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codeName="ThisWorkbook"/>
  <mc:AlternateContent xmlns:mc="http://schemas.openxmlformats.org/markup-compatibility/2006">
    <mc:Choice Requires="x15">
      <x15ac:absPath xmlns:x15ac="http://schemas.microsoft.com/office/spreadsheetml/2010/11/ac" url="C:\Users\k21\OneDrive - Oak Ridge National Laboratory\EPA Tools\RAD_Master QA Sheets\2019_Internal_Verification_Spreadsheets\"/>
    </mc:Choice>
  </mc:AlternateContent>
  <xr:revisionPtr revIDLastSave="3" documentId="13_ncr:1_{F5D701E2-80C0-4894-B987-0DD61F5F078C}" xr6:coauthVersionLast="43" xr6:coauthVersionMax="43" xr10:uidLastSave="{96B38D58-6076-4304-A856-D120C277C2E3}"/>
  <bookViews>
    <workbookView xWindow="-120" yWindow="-120" windowWidth="29040" windowHeight="15840" tabRatio="791" xr2:uid="{00000000-000D-0000-FFFF-FFFF00000000}"/>
  </bookViews>
  <sheets>
    <sheet name="Instructions" sheetId="49" r:id="rId1"/>
    <sheet name="RadSpec" sheetId="1" r:id="rId2"/>
    <sheet name="d" sheetId="2" r:id="rId3"/>
    <sheet name="Irr" sheetId="36" r:id="rId4"/>
    <sheet name="dir" sheetId="26" r:id="rId5"/>
    <sheet name="b2s" sheetId="27" r:id="rId6"/>
    <sheet name="b2w" sheetId="28" r:id="rId7"/>
    <sheet name="d_ss_Bv" sheetId="25" r:id="rId8"/>
    <sheet name="d_res" sheetId="4" r:id="rId9"/>
    <sheet name="d_far" sheetId="17" r:id="rId10"/>
    <sheet name="d_rec" sheetId="15" r:id="rId11"/>
    <sheet name="d_sgw" sheetId="19" r:id="rId12"/>
    <sheet name="def_acf" sheetId="21" r:id="rId13"/>
    <sheet name="s_RadSpec" sheetId="46" r:id="rId14"/>
    <sheet name="ss" sheetId="3" r:id="rId15"/>
    <sheet name="s_Irr" sheetId="35" r:id="rId16"/>
    <sheet name="s_dir" sheetId="29" r:id="rId17"/>
    <sheet name="s_b2s" sheetId="30" r:id="rId18"/>
    <sheet name="s_b2w" sheetId="31" r:id="rId19"/>
    <sheet name="s_res" sheetId="5" r:id="rId20"/>
    <sheet name="s_far" sheetId="18" r:id="rId21"/>
    <sheet name="s_rec" sheetId="37" r:id="rId22"/>
    <sheet name="s_sgw" sheetId="20" r:id="rId23"/>
    <sheet name="up_RadSpec" sheetId="33" r:id="rId24"/>
    <sheet name="up_Bv" sheetId="40" r:id="rId25"/>
    <sheet name="up_Irr" sheetId="44" r:id="rId26"/>
    <sheet name="up_dir" sheetId="41" r:id="rId27"/>
    <sheet name="up_b2s" sheetId="42" r:id="rId28"/>
    <sheet name="up_b2w" sheetId="43" r:id="rId29"/>
    <sheet name="up_res" sheetId="32" r:id="rId30"/>
    <sheet name="up_far" sheetId="38" r:id="rId31"/>
    <sheet name="up_rec" sheetId="16" r:id="rId32"/>
    <sheet name="up_sgw" sheetId="45" r:id="rId33"/>
  </sheets>
  <externalReferences>
    <externalReference r:id="rId34"/>
  </externalReferences>
  <definedNames>
    <definedName name="_xlnm._FilterDatabase" localSheetId="5" hidden="1">b2s!$A$1:$AZ$76</definedName>
    <definedName name="_xlnm._FilterDatabase" localSheetId="6" hidden="1">b2w!$A$1:$AZ$76</definedName>
    <definedName name="_xlnm._FilterDatabase" localSheetId="9" hidden="1">d_far!$A$1:$BB$76</definedName>
    <definedName name="_xlnm._FilterDatabase" localSheetId="10" hidden="1">d_rec!$A$1:$W$76</definedName>
    <definedName name="_xlnm._FilterDatabase" localSheetId="8" hidden="1">d_res!$A$1:$V$76</definedName>
    <definedName name="_xlnm._FilterDatabase" localSheetId="11" hidden="1">d_sgw!$A$1:$F$76</definedName>
    <definedName name="_xlnm._FilterDatabase" localSheetId="7" hidden="1">d_ss_Bv!$A$1:$Z$30</definedName>
    <definedName name="_xlnm._FilterDatabase" localSheetId="12" hidden="1">def_acf!$A$1:$G$30</definedName>
    <definedName name="_xlnm._FilterDatabase" localSheetId="4" hidden="1">dir!$A$1:$AZ$76</definedName>
    <definedName name="_xlnm._FilterDatabase" localSheetId="3" hidden="1">Irr!$A$1:$BV$30</definedName>
    <definedName name="_xlnm._FilterDatabase" localSheetId="1" hidden="1">RadSpec!$A$1:$BC$30</definedName>
    <definedName name="_xlnm._FilterDatabase" localSheetId="17" hidden="1">s_b2s!$A$1:$CX$76</definedName>
    <definedName name="_xlnm._FilterDatabase" localSheetId="18" hidden="1">s_b2w!$A$1:$CX$76</definedName>
    <definedName name="_xlnm._FilterDatabase" localSheetId="16" hidden="1">s_dir!$A$1:$BY$76</definedName>
    <definedName name="_xlnm._FilterDatabase" localSheetId="20" hidden="1">s_far!$A$1:$FC$76</definedName>
    <definedName name="_xlnm._FilterDatabase" localSheetId="15" hidden="1">s_Irr!$A$1:$BV$30</definedName>
    <definedName name="_xlnm._FilterDatabase" localSheetId="13" hidden="1">s_RadSpec!$A$1:$BC$30</definedName>
    <definedName name="_xlnm._FilterDatabase" localSheetId="21" hidden="1">s_rec!$A$1:$BJ$76</definedName>
    <definedName name="_xlnm._FilterDatabase" localSheetId="19" hidden="1">s_res!$A$1:$BE$76</definedName>
    <definedName name="_xlnm._FilterDatabase" localSheetId="22" hidden="1">s_sgw!$A$1:$F$76</definedName>
    <definedName name="_xlnm._FilterDatabase" localSheetId="27" hidden="1">up_b2s!$A$1:$CX$76</definedName>
    <definedName name="_xlnm._FilterDatabase" localSheetId="28" hidden="1">up_b2w!$A$1:$CX$76</definedName>
    <definedName name="_xlnm._FilterDatabase" localSheetId="24" hidden="1">up_Bv!$A$1:$Z$30</definedName>
    <definedName name="_xlnm._FilterDatabase" localSheetId="26" hidden="1">up_dir!$A$1:$BY$76</definedName>
    <definedName name="_xlnm._FilterDatabase" localSheetId="30" hidden="1">up_far!$A$1:$FC$76</definedName>
    <definedName name="_xlnm._FilterDatabase" localSheetId="25" hidden="1">up_Irr!$A$1:$BV$1299</definedName>
    <definedName name="_xlnm._FilterDatabase" localSheetId="23" hidden="1">up_RadSpec!$A$1:$BD$1299</definedName>
    <definedName name="_xlnm._FilterDatabase" localSheetId="31" hidden="1">up_rec!$A$1:$AR$1299</definedName>
    <definedName name="_xlnm._FilterDatabase" localSheetId="29" hidden="1">up_res!$A$1:$BE$1299</definedName>
    <definedName name="_xlnm._FilterDatabase" localSheetId="32" hidden="1">up_sgw!$A$1:$F$1299</definedName>
    <definedName name="A_wind" localSheetId="0">[1]d!$B$34</definedName>
    <definedName name="A_wind">d!$B$34</definedName>
    <definedName name="As" localSheetId="0">[1]d!$B$33</definedName>
    <definedName name="As">d!$B$33</definedName>
    <definedName name="B_wind" localSheetId="0">[1]d!$B$35</definedName>
    <definedName name="B_wind">d!$B$35</definedName>
    <definedName name="BW_a">d!#REF!</definedName>
    <definedName name="BW_c">d!#REF!</definedName>
    <definedName name="C_wind" localSheetId="0">[1]d!$B$36</definedName>
    <definedName name="C_wind">d!$B$36</definedName>
    <definedName name="CF_apple" localSheetId="0">[1]d!$N$2</definedName>
    <definedName name="CF_apple">d!$N$2</definedName>
    <definedName name="CF_asparagus" localSheetId="0">[1]d!$N$3</definedName>
    <definedName name="CF_asparagus">d!$N$3</definedName>
    <definedName name="CF_beet" localSheetId="0">[1]d!$N$4</definedName>
    <definedName name="CF_beet">d!$N$4</definedName>
    <definedName name="CF_berries" localSheetId="0">[1]d!$N$5</definedName>
    <definedName name="CF_berries">d!$N$5</definedName>
    <definedName name="CF_broccoli" localSheetId="0">[1]d!$N$6</definedName>
    <definedName name="CF_broccoli">d!$N$6</definedName>
    <definedName name="CF_cabbage" localSheetId="0">[1]d!$N$7</definedName>
    <definedName name="CF_cabbage">d!$N$7</definedName>
    <definedName name="CF_carrot" localSheetId="0">[1]d!$N$8</definedName>
    <definedName name="CF_carrot">d!$N$8</definedName>
    <definedName name="CF_cereal" localSheetId="0">[1]d!$N$24</definedName>
    <definedName name="CF_cereal">d!$N$24</definedName>
    <definedName name="CF_citrus" localSheetId="0">[1]d!$N$9</definedName>
    <definedName name="CF_citrus">d!$N$9</definedName>
    <definedName name="CF_corn" localSheetId="0">[1]d!$N$10</definedName>
    <definedName name="CF_corn">d!$N$10</definedName>
    <definedName name="CF_cucumber" localSheetId="0">[1]d!$N$11</definedName>
    <definedName name="CF_cucumber">d!$N$11</definedName>
    <definedName name="CF_far_beef" localSheetId="0">[1]d!$Q$2</definedName>
    <definedName name="CF_far_beef">d!$Q$2</definedName>
    <definedName name="CF_far_dairy" localSheetId="0">[1]d!$Q$3</definedName>
    <definedName name="CF_far_dairy">d!$Q$3</definedName>
    <definedName name="CF_far_egg" localSheetId="0">[1]d!$Q$5</definedName>
    <definedName name="CF_far_egg">d!$Q$5</definedName>
    <definedName name="CF_far_fish" localSheetId="0">[1]d!$Q$6</definedName>
    <definedName name="CF_far_fish">d!$Q$6</definedName>
    <definedName name="CF_far_poultry" localSheetId="0">[1]d!$Q$4</definedName>
    <definedName name="CF_far_poultry">d!$Q$4</definedName>
    <definedName name="CF_far_produce">d!$N$2</definedName>
    <definedName name="CF_far_sheep">d!$Q$8</definedName>
    <definedName name="CF_far_swine" localSheetId="0">[1]d!$Q$7</definedName>
    <definedName name="CF_far_swine">d!$Q$7</definedName>
    <definedName name="CF_fowl" localSheetId="0">[1]d!$H$38</definedName>
    <definedName name="CF_fowl">d!$H$38</definedName>
    <definedName name="CF_game" localSheetId="0">[1]d!$H$39</definedName>
    <definedName name="CF_game">d!$H$39</definedName>
    <definedName name="CF_lettuce" localSheetId="0">[1]d!$N$12</definedName>
    <definedName name="CF_lettuce">d!$N$12</definedName>
    <definedName name="CF_lima_bean" localSheetId="0">[1]d!$N$13</definedName>
    <definedName name="CF_lima_bean">d!$N$13</definedName>
    <definedName name="CF_okra" localSheetId="0">[1]d!$N$14</definedName>
    <definedName name="CF_okra">d!$N$14</definedName>
    <definedName name="CF_onion" localSheetId="0">[1]d!$N$15</definedName>
    <definedName name="CF_onion">d!$N$15</definedName>
    <definedName name="CF_peach" localSheetId="0">[1]d!$N$16</definedName>
    <definedName name="CF_peach">d!$N$16</definedName>
    <definedName name="CF_pear" localSheetId="0">[1]d!$N$17</definedName>
    <definedName name="CF_pear">d!$N$17</definedName>
    <definedName name="CF_peas" localSheetId="0">[1]d!$N$18</definedName>
    <definedName name="CF_peas">d!$N$18</definedName>
    <definedName name="CF_potato" localSheetId="0">[1]d!$N$19</definedName>
    <definedName name="CF_potato">d!$N$19</definedName>
    <definedName name="CF_pumpkin" localSheetId="0">[1]d!$N$20</definedName>
    <definedName name="CF_pumpkin">d!$N$20</definedName>
    <definedName name="CF_res_fish" localSheetId="0">[1]d!$E$29</definedName>
    <definedName name="CF_res_fish">d!$E$29</definedName>
    <definedName name="CF_rice" localSheetId="0">[1]d!$N$25</definedName>
    <definedName name="CF_rice">d!$N$25</definedName>
    <definedName name="CF_snap_bean" localSheetId="0">[1]d!$N$21</definedName>
    <definedName name="CF_snap_bean">d!$N$21</definedName>
    <definedName name="CF_strawberry" localSheetId="0">[1]d!$N$22</definedName>
    <definedName name="CF_strawberry">d!$N$22</definedName>
    <definedName name="CF_tomato" localSheetId="0">[1]d!$N$23</definedName>
    <definedName name="CF_tomato">d!$N$23</definedName>
    <definedName name="d_a">d!$B$24</definedName>
    <definedName name="D_milk" localSheetId="0">[1]d!$Q$43</definedName>
    <definedName name="D_milk">d!$Q$43</definedName>
    <definedName name="d_s">d!$B$25</definedName>
    <definedName name="DAF">d!$B$38</definedName>
    <definedName name="DF_i">d!$K$28</definedName>
    <definedName name="DFA_far_adj" localSheetId="0">[1]d!$K$9</definedName>
    <definedName name="DFA_far_adj">d!$K$9</definedName>
    <definedName name="DFA_rec_adj" localSheetId="0">[1]d!$H$9</definedName>
    <definedName name="DFA_rec_adj">d!$H$9</definedName>
    <definedName name="DFA_res_adj" localSheetId="0">[1]d!$E$9</definedName>
    <definedName name="DFA_res_adj">d!$E$9</definedName>
    <definedName name="dm">d!$B$26</definedName>
    <definedName name="ED_far" localSheetId="0">[1]d!$K$4</definedName>
    <definedName name="ED_far">d!$K$4</definedName>
    <definedName name="ED_far_a" localSheetId="0">[1]d!$K$3</definedName>
    <definedName name="ED_far_a">d!$K$3</definedName>
    <definedName name="ED_far_c" localSheetId="0">[1]d!$K$2</definedName>
    <definedName name="ED_far_c">d!$K$2</definedName>
    <definedName name="ED_rec" localSheetId="0">[1]d!$H$4</definedName>
    <definedName name="ED_rec">d!$H$4</definedName>
    <definedName name="ED_rec_a" localSheetId="0">[1]d!$H$3</definedName>
    <definedName name="ED_rec_a">d!$H$3</definedName>
    <definedName name="ED_rec_c" localSheetId="0">[1]d!$H$2</definedName>
    <definedName name="ED_rec_c">d!$H$2</definedName>
    <definedName name="ED_res" localSheetId="0">[1]d!$E$4</definedName>
    <definedName name="ED_res">d!$E$4</definedName>
    <definedName name="ED_res_a" localSheetId="0">[1]d!$E$3</definedName>
    <definedName name="ED_res_a">d!$E$3</definedName>
    <definedName name="ED_res_c" localSheetId="0">[1]d!$E$2</definedName>
    <definedName name="ED_res_c">d!$E$2</definedName>
    <definedName name="ED_s2gw">d!$B$19</definedName>
    <definedName name="EF_far" localSheetId="0">[1]d!$K$18</definedName>
    <definedName name="EF_far">d!$K$18</definedName>
    <definedName name="EF_far_a" localSheetId="0">[1]d!$K$17</definedName>
    <definedName name="EF_far_a">d!$K$17</definedName>
    <definedName name="EF_far_c" localSheetId="0">[1]d!$K$16</definedName>
    <definedName name="EF_far_c">d!$K$16</definedName>
    <definedName name="EF_rec" localSheetId="0">[1]d!$H$20</definedName>
    <definedName name="EF_rec">d!$H$20</definedName>
    <definedName name="EF_rec_a" localSheetId="0">[1]d!$H$19</definedName>
    <definedName name="EF_rec_a">d!$H$19</definedName>
    <definedName name="EF_rec_c" localSheetId="0">[1]d!$H$18</definedName>
    <definedName name="EF_rec_c">d!$H$18</definedName>
    <definedName name="EF_res" localSheetId="0">[1]d!$E$19</definedName>
    <definedName name="EF_res">d!$E$19</definedName>
    <definedName name="EF_res_a" localSheetId="0">[1]d!$E$18</definedName>
    <definedName name="EF_res_a">d!$E$18</definedName>
    <definedName name="EF_res_c" localSheetId="0">[1]d!$E$17</definedName>
    <definedName name="EF_res_c">d!$E$17</definedName>
    <definedName name="ET_event_far_a" localSheetId="0">[1]d!$K$23</definedName>
    <definedName name="ET_event_far_a">d!$K$23</definedName>
    <definedName name="ET_event_far_c" localSheetId="0">[1]d!$K$22</definedName>
    <definedName name="ET_event_far_c">d!$K$22</definedName>
    <definedName name="ET_event_rec_a" localSheetId="0">[1]d!$H$25</definedName>
    <definedName name="ET_event_rec_a">d!$H$25</definedName>
    <definedName name="ET_event_rec_c" localSheetId="0">[1]d!$H$24</definedName>
    <definedName name="ET_event_rec_c">d!$H$24</definedName>
    <definedName name="ET_event_res_a" localSheetId="0">[1]d!$E$21</definedName>
    <definedName name="ET_event_res_a">d!$E$21</definedName>
    <definedName name="ET_event_res_c" localSheetId="0">[1]d!$E$20</definedName>
    <definedName name="ET_event_res_c">d!$E$20</definedName>
    <definedName name="ET_far" localSheetId="0">[1]d!$K$21</definedName>
    <definedName name="ET_far">d!$K$21</definedName>
    <definedName name="ET_far_a" localSheetId="0">[1]d!$K$20</definedName>
    <definedName name="ET_far_a">d!$K$20</definedName>
    <definedName name="ET_far_c" localSheetId="0">[1]d!$K$19</definedName>
    <definedName name="ET_far_c">d!$K$19</definedName>
    <definedName name="ET_far_i" localSheetId="0">[1]d!$K$25</definedName>
    <definedName name="ET_far_i">d!$K$25</definedName>
    <definedName name="ET_far_o" localSheetId="0">[1]d!$K$24</definedName>
    <definedName name="ET_far_o">d!$K$24</definedName>
    <definedName name="ET_rec" localSheetId="0">[1]d!$H$21</definedName>
    <definedName name="ET_rec">d!$H$21</definedName>
    <definedName name="ET_rec_a" localSheetId="0">[1]d!$H$23</definedName>
    <definedName name="ET_rec_a">d!$H$23</definedName>
    <definedName name="ET_rec_c" localSheetId="0">[1]d!$H$22</definedName>
    <definedName name="ET_rec_c">d!$H$22</definedName>
    <definedName name="ET_res" localSheetId="0">[1]d!$E$24</definedName>
    <definedName name="ET_res">d!$E$24</definedName>
    <definedName name="ET_res_a" localSheetId="0">[1]d!$E$23</definedName>
    <definedName name="ET_res_a">d!$E$23</definedName>
    <definedName name="ET_res_c" localSheetId="0">[1]d!$E$22</definedName>
    <definedName name="ET_res_c">d!$E$22</definedName>
    <definedName name="ET_res_i" localSheetId="0">[1]d!$E$28</definedName>
    <definedName name="ET_res_i">d!$E$28</definedName>
    <definedName name="ET_res_o" localSheetId="0">[1]d!$E$27</definedName>
    <definedName name="ET_res_o">d!$E$27</definedName>
    <definedName name="EV_far_a" localSheetId="0">[1]d!$K$27</definedName>
    <definedName name="EV_far_a">d!$K$27</definedName>
    <definedName name="EV_far_c" localSheetId="0">[1]d!$K$26</definedName>
    <definedName name="EV_far_c">d!$K$26</definedName>
    <definedName name="EV_rec_a" localSheetId="0">[1]d!$H$27</definedName>
    <definedName name="EV_rec_a">d!$H$27</definedName>
    <definedName name="EV_rec_c" localSheetId="0">[1]d!$H$26</definedName>
    <definedName name="EV_rec_c">d!$H$26</definedName>
    <definedName name="EV_res_a" localSheetId="0">[1]d!$E$26</definedName>
    <definedName name="EV_res_a">d!$E$26</definedName>
    <definedName name="EV_res_c" localSheetId="0">[1]d!$E$25</definedName>
    <definedName name="EV_res_c">d!$E$25</definedName>
    <definedName name="F" localSheetId="0">[1]d!$B$9</definedName>
    <definedName name="F">d!$B$9</definedName>
    <definedName name="f_p_beef" localSheetId="0">[1]d!$Q$51</definedName>
    <definedName name="f_p_beef">d!$Q$51</definedName>
    <definedName name="f_p_dairy" localSheetId="0">[1]d!$Q$46</definedName>
    <definedName name="f_p_dairy">d!$Q$46</definedName>
    <definedName name="f_p_egg">d!$Q$56</definedName>
    <definedName name="f_p_fowl" localSheetId="0">[1]d!$H$30</definedName>
    <definedName name="f_p_fowl">d!$H$30</definedName>
    <definedName name="f_p_game" localSheetId="0">[1]d!$H$35</definedName>
    <definedName name="f_p_game">d!$H$35</definedName>
    <definedName name="f_p_goat">d!$Q$78</definedName>
    <definedName name="f_p_goat_milk">d!$Q$83</definedName>
    <definedName name="f_p_poultry" localSheetId="0">[1]d!$Q$61</definedName>
    <definedName name="f_p_poultry">d!$Q$61</definedName>
    <definedName name="f_p_sheep">d!$Q$73</definedName>
    <definedName name="f_p_sheep_milk">d!$Q$88</definedName>
    <definedName name="f_p_swine" localSheetId="0">[1]d!$Q$66</definedName>
    <definedName name="f_p_swine">d!$Q$66</definedName>
    <definedName name="f_s_beef" localSheetId="0">[1]d!$Q$52</definedName>
    <definedName name="f_s_beef">d!$Q$52</definedName>
    <definedName name="f_s_dairy" localSheetId="0">[1]d!$Q$47</definedName>
    <definedName name="f_s_dairy">d!$Q$47</definedName>
    <definedName name="f_s_egg">d!$Q$57</definedName>
    <definedName name="f_s_fowl" localSheetId="0">[1]d!$H$31</definedName>
    <definedName name="f_s_fowl">d!$H$31</definedName>
    <definedName name="f_s_game" localSheetId="0">[1]d!$H$36</definedName>
    <definedName name="f_s_game">d!$H$36</definedName>
    <definedName name="f_s_goat">d!$Q$79</definedName>
    <definedName name="f_s_goat_milk">d!$Q$84</definedName>
    <definedName name="f_s_poultry" localSheetId="0">[1]d!$Q$62</definedName>
    <definedName name="f_s_poultry">d!$Q$62</definedName>
    <definedName name="f_s_sheep">d!$Q$74</definedName>
    <definedName name="f_s_sheep_milk">d!$Q$89</definedName>
    <definedName name="f_s_swine" localSheetId="0">[1]d!$Q$67</definedName>
    <definedName name="f_s_swine">d!$Q$67</definedName>
    <definedName name="F_x" localSheetId="0">[1]d!$B$30</definedName>
    <definedName name="F_x">d!$B$30</definedName>
    <definedName name="GSF_a" localSheetId="0">[1]d!$B$4</definedName>
    <definedName name="GSF_a">d!$B$4</definedName>
    <definedName name="GSF_i">d!$B$5</definedName>
    <definedName name="GSF_o" localSheetId="0">[1]d!$B$6</definedName>
    <definedName name="GSF_o">d!$B$6</definedName>
    <definedName name="i">d!$B$21</definedName>
    <definedName name="I_f" localSheetId="0">[1]d!$B$12</definedName>
    <definedName name="I_f">d!$B$12</definedName>
    <definedName name="I_s2gw">d!$B$22</definedName>
    <definedName name="IFA_far_adj" localSheetId="0">[1]d!$K$8</definedName>
    <definedName name="IFA_far_adj">d!$K$8</definedName>
    <definedName name="IFA_rec_adj" localSheetId="0">[1]d!$H$8</definedName>
    <definedName name="IFA_rec_adj">d!$H$8</definedName>
    <definedName name="IFA_res_adj" localSheetId="0">[1]d!$E$8</definedName>
    <definedName name="IFA_res_adj">d!$E$8</definedName>
    <definedName name="IFAP_far_adj" localSheetId="0">[1]d!$N$28</definedName>
    <definedName name="IFAP_far_adj">d!$N$28</definedName>
    <definedName name="IFAP_res_adj" localSheetId="0">[1]d!$E$32</definedName>
    <definedName name="IFAP_res_adj">d!$E$32</definedName>
    <definedName name="IFAS_far_adj" localSheetId="0">[1]d!$N$31</definedName>
    <definedName name="IFAS_far_adj">d!$N$31</definedName>
    <definedName name="IFAS_res_adj" localSheetId="0">[1]d!$E$35</definedName>
    <definedName name="IFAS_res_adj">d!$E$35</definedName>
    <definedName name="IFB_far_adj" localSheetId="0">[1]d!$Q$14</definedName>
    <definedName name="IFB_far_adj">d!$Q$14</definedName>
    <definedName name="IFBE_far_adj" localSheetId="0">[1]d!$N$37</definedName>
    <definedName name="IFBE_far_adj">d!$N$37</definedName>
    <definedName name="IFBE_res_adj" localSheetId="0">[1]d!$E$41</definedName>
    <definedName name="IFBE_res_adj">d!$E$41</definedName>
    <definedName name="IFBR_far_adj" localSheetId="0">[1]d!$N$40</definedName>
    <definedName name="IFBR_far_adj">d!$N$40</definedName>
    <definedName name="IFBR_res_adj" localSheetId="0">[1]d!$E$44</definedName>
    <definedName name="IFBR_res_adj">d!$E$44</definedName>
    <definedName name="IFBT_far_adj" localSheetId="0">[1]d!$N$34</definedName>
    <definedName name="IFBT_far_adj">d!$N$34</definedName>
    <definedName name="IFBT_res_adj" localSheetId="0">[1]d!$E$38</definedName>
    <definedName name="IFBT_res_adj">d!$E$38</definedName>
    <definedName name="IFCB_far_adj" localSheetId="0">[1]d!$N$43</definedName>
    <definedName name="IFCB_far_adj">d!$N$43</definedName>
    <definedName name="IFCB_res_adj" localSheetId="0">[1]d!$E$47</definedName>
    <definedName name="IFCB_res_adj">d!$E$47</definedName>
    <definedName name="IFCG_far_adj" localSheetId="0">[1]d!$N$49</definedName>
    <definedName name="IFCG_far_adj">d!$N$49</definedName>
    <definedName name="IFCG_res_adj" localSheetId="0">[1]d!$E$53</definedName>
    <definedName name="IFCG_res_adj">d!$E$53</definedName>
    <definedName name="IFCI_far_adj" localSheetId="0">[1]d!$N$52</definedName>
    <definedName name="IFCI_far_adj">d!$N$52</definedName>
    <definedName name="IFCI_res_adj" localSheetId="0">[1]d!$E$56</definedName>
    <definedName name="IFCI_res_adj">d!$E$56</definedName>
    <definedName name="IFCO_far_adj" localSheetId="0">[1]d!$N$55</definedName>
    <definedName name="IFCO_far_adj">d!$N$55</definedName>
    <definedName name="IFCO_res_adj" localSheetId="0">[1]d!$E$59</definedName>
    <definedName name="IFCO_res_adj">d!$E$59</definedName>
    <definedName name="IFCR_far_adj" localSheetId="0">[1]d!$N$46</definedName>
    <definedName name="IFCR_far_adj">d!$N$46</definedName>
    <definedName name="IFCR_res_adj" localSheetId="0">[1]d!$E$50</definedName>
    <definedName name="IFCR_res_adj">d!$E$50</definedName>
    <definedName name="IFCU_far_adj" localSheetId="0">[1]d!$N$58</definedName>
    <definedName name="IFCU_far_adj">d!$N$58</definedName>
    <definedName name="IFCU_res_adj" localSheetId="0">[1]d!$E$62</definedName>
    <definedName name="IFCU_res_adj">d!$E$62</definedName>
    <definedName name="IFD_far_adj" localSheetId="0">[1]d!$Q$17</definedName>
    <definedName name="IFD_far_adj">d!$Q$17</definedName>
    <definedName name="IFE_far_adj" localSheetId="0">[1]d!$Q$20</definedName>
    <definedName name="IFE_far_adj">d!$Q$20</definedName>
    <definedName name="IFFI_far_adj" localSheetId="0">[1]d!$Q$26</definedName>
    <definedName name="IFFI_far_adj">d!$Q$26</definedName>
    <definedName name="IFGM_far_adj">d!$Q$41</definedName>
    <definedName name="IFGO_far_adj">d!$Q$35</definedName>
    <definedName name="IFLE_far_adj" localSheetId="0">[1]d!$N$61</definedName>
    <definedName name="IFLE_far_adj">d!$N$61</definedName>
    <definedName name="IFLE_res_adj" localSheetId="0">[1]d!$E$65</definedName>
    <definedName name="IFLE_res_adj">d!$E$65</definedName>
    <definedName name="IFLI_far_adj" localSheetId="0">[1]d!$N$64</definedName>
    <definedName name="IFLI_far_adj">d!$N$64</definedName>
    <definedName name="IFLI_res_adj" localSheetId="0">[1]d!$E$68</definedName>
    <definedName name="IFLI_res_adj">d!$E$68</definedName>
    <definedName name="IFOK_far_adj" localSheetId="0">[1]d!$N$67</definedName>
    <definedName name="IFOK_far_adj">d!$N$67</definedName>
    <definedName name="IFOK_res_adj" localSheetId="0">[1]d!$E$71</definedName>
    <definedName name="IFOK_res_adj">d!$E$71</definedName>
    <definedName name="IFON_far_adj" localSheetId="0">[1]d!$N$70</definedName>
    <definedName name="IFON_far_adj">d!$N$70</definedName>
    <definedName name="IFON_res_adj" localSheetId="0">[1]d!$E$74</definedName>
    <definedName name="IFON_res_adj">d!$E$74</definedName>
    <definedName name="IFP_far_adj" localSheetId="0">[1]d!$Q$23</definedName>
    <definedName name="IFP_far_adj">d!$Q$23</definedName>
    <definedName name="IFPC_far_adj" localSheetId="0">[1]d!$N$73</definedName>
    <definedName name="IFPC_far_adj">d!$N$73</definedName>
    <definedName name="IFPC_res_adj" localSheetId="0">[1]d!$E$77</definedName>
    <definedName name="IFPC_res_adj">d!$E$77</definedName>
    <definedName name="IFPE_far_adj" localSheetId="0">[1]d!$N$79</definedName>
    <definedName name="IFPE_far_adj">d!$N$79</definedName>
    <definedName name="IFPE_res_adj" localSheetId="0">[1]d!$E$83</definedName>
    <definedName name="IFPE_res_adj">d!$E$83</definedName>
    <definedName name="IFPR_far_adj" localSheetId="0">[1]d!$N$76</definedName>
    <definedName name="IFPR_far_adj">d!$N$76</definedName>
    <definedName name="IFPR_res_adj" localSheetId="0">[1]d!$E$80</definedName>
    <definedName name="IFPR_res_adj">d!$E$80</definedName>
    <definedName name="IFPT_far_adj" localSheetId="0">[1]d!$N$82</definedName>
    <definedName name="IFPT_far_adj">d!$N$82</definedName>
    <definedName name="IFPT_res_adj" localSheetId="0">[1]d!$E$86</definedName>
    <definedName name="IFPT_res_adj">d!$E$86</definedName>
    <definedName name="IFPU_far_adj" localSheetId="0">[1]d!$N$85</definedName>
    <definedName name="IFPU_far_adj">d!$N$85</definedName>
    <definedName name="IFPU_res_adj" localSheetId="0">[1]d!$E$89</definedName>
    <definedName name="IFPU_res_adj">d!$E$89</definedName>
    <definedName name="IFRI_far_adj" localSheetId="0">[1]d!$N$88</definedName>
    <definedName name="IFRI_far_adj">d!$N$88</definedName>
    <definedName name="IFRI_res_adj" localSheetId="0">[1]d!$E$92</definedName>
    <definedName name="IFRI_res_adj">d!$E$92</definedName>
    <definedName name="IFS_far_adj" localSheetId="0">[1]d!$K$12</definedName>
    <definedName name="IFS_far_adj">d!$K$12</definedName>
    <definedName name="IFS_rec_adj" localSheetId="0">[1]d!$H$12</definedName>
    <definedName name="IFS_rec_adj">d!$H$12</definedName>
    <definedName name="IFS_res_adj" localSheetId="0">[1]d!$E$12</definedName>
    <definedName name="IFS_res_adj">d!$E$12</definedName>
    <definedName name="IFSH_far_adj">d!$Q$32</definedName>
    <definedName name="IFSM_far_adj">d!$Q$38</definedName>
    <definedName name="IFSN_far_adj" localSheetId="0">[1]d!$N$91</definedName>
    <definedName name="IFSN_far_adj">d!$N$91</definedName>
    <definedName name="IFSN_res_adj" localSheetId="0">[1]d!$E$95</definedName>
    <definedName name="IFSN_res_adj">d!$E$95</definedName>
    <definedName name="IFST_far_adj" localSheetId="0">[1]d!$N$94</definedName>
    <definedName name="IFST_far_adj">d!$N$94</definedName>
    <definedName name="IFST_res_adj" localSheetId="0">[1]d!$E$98</definedName>
    <definedName name="IFST_res_adj">d!$E$98</definedName>
    <definedName name="IFSW_far_adj" localSheetId="0">[1]d!$Q$29</definedName>
    <definedName name="IFSW_far_adj">d!$Q$29</definedName>
    <definedName name="IFTO_far_adj" localSheetId="0">[1]d!$N$97</definedName>
    <definedName name="IFTO_far_adj">d!$N$97</definedName>
    <definedName name="IFTO_res_adj" localSheetId="0">[1]d!$E$101</definedName>
    <definedName name="IFTO_res_adj">d!$E$101</definedName>
    <definedName name="IFW_far_adj" localSheetId="0">[1]d!$K$15</definedName>
    <definedName name="IFW_far_adj">d!$K$15</definedName>
    <definedName name="IFW_rec_adj" localSheetId="0">[1]d!$H$15</definedName>
    <definedName name="IFW_rec_adj">d!$H$15</definedName>
    <definedName name="IFW_res_adj" localSheetId="0">[1]d!$E$15</definedName>
    <definedName name="IFW_res_adj">d!$E$15</definedName>
    <definedName name="Ir" localSheetId="0">[1]d!$B$8</definedName>
    <definedName name="Ir">d!$B$8</definedName>
    <definedName name="IRA_far_a" localSheetId="0">[1]d!$K$7</definedName>
    <definedName name="IRA_far_a">d!$K$7</definedName>
    <definedName name="IRA_far_c" localSheetId="0">[1]d!$K$6</definedName>
    <definedName name="IRA_far_c">d!$K$6</definedName>
    <definedName name="IRA_rec_a" localSheetId="0">[1]d!$H$7</definedName>
    <definedName name="IRA_rec_a">d!$H$7</definedName>
    <definedName name="IRA_rec_c" localSheetId="0">[1]d!$H$6</definedName>
    <definedName name="IRA_rec_c">d!$H$6</definedName>
    <definedName name="IRA_res_a" localSheetId="0">[1]d!$E$7</definedName>
    <definedName name="IRA_res_a">d!$E$7</definedName>
    <definedName name="IRA_res_c" localSheetId="0">[1]d!$E$6</definedName>
    <definedName name="IRA_res_c">d!$E$6</definedName>
    <definedName name="IRAP_far_a" localSheetId="0">[1]d!$N$27</definedName>
    <definedName name="IRAP_far_a">d!$N$27</definedName>
    <definedName name="IRAP_far_c" localSheetId="0">[1]d!$N$26</definedName>
    <definedName name="IRAP_far_c">d!$N$26</definedName>
    <definedName name="IRAP_res_a" localSheetId="0">[1]d!$E$31</definedName>
    <definedName name="IRAP_res_a">d!$E$31</definedName>
    <definedName name="IRAP_res_c" localSheetId="0">[1]d!$E$30</definedName>
    <definedName name="IRAP_res_c">d!$E$30</definedName>
    <definedName name="IRAS_far_a" localSheetId="0">[1]d!$N$30</definedName>
    <definedName name="IRAS_far_a">d!$N$30</definedName>
    <definedName name="IRAS_far_c" localSheetId="0">[1]d!$N$29</definedName>
    <definedName name="IRAS_far_c">d!$N$29</definedName>
    <definedName name="IRAS_res_a" localSheetId="0">[1]d!$E$34</definedName>
    <definedName name="IRAS_res_a">d!$E$34</definedName>
    <definedName name="IRAS_res_c" localSheetId="0">[1]d!$E$33</definedName>
    <definedName name="IRAS_res_c">d!$E$33</definedName>
    <definedName name="IRB_far_a" localSheetId="0">[1]d!$Q$13</definedName>
    <definedName name="IRB_far_a">d!$Q$13</definedName>
    <definedName name="IRB_far_c" localSheetId="0">[1]d!$Q$12</definedName>
    <definedName name="IRB_far_c">d!$Q$12</definedName>
    <definedName name="IRBE_far_a" localSheetId="0">[1]d!$N$36</definedName>
    <definedName name="IRBE_far_a">d!$N$36</definedName>
    <definedName name="IRBE_far_c" localSheetId="0">[1]d!$N$35</definedName>
    <definedName name="IRBE_far_c">d!$N$35</definedName>
    <definedName name="IRBE_res_a" localSheetId="0">[1]d!$E$40</definedName>
    <definedName name="IRBE_res_a">d!$E$40</definedName>
    <definedName name="IRBE_res_c" localSheetId="0">[1]d!$E$39</definedName>
    <definedName name="IRBE_res_c">d!$E$39</definedName>
    <definedName name="IRBR_far_a" localSheetId="0">[1]d!$N$39</definedName>
    <definedName name="IRBR_far_a">d!$N$39</definedName>
    <definedName name="IRBR_far_c" localSheetId="0">[1]d!$N$38</definedName>
    <definedName name="IRBR_far_c">d!$N$38</definedName>
    <definedName name="IRBR_res_a" localSheetId="0">[1]d!$E$43</definedName>
    <definedName name="IRBR_res_a">d!$E$43</definedName>
    <definedName name="IRBR_res_c" localSheetId="0">[1]d!$E$42</definedName>
    <definedName name="IRBR_res_c">d!$E$42</definedName>
    <definedName name="IRBT_far_a" localSheetId="0">[1]d!$N$33</definedName>
    <definedName name="IRBT_far_a">d!$N$33</definedName>
    <definedName name="IRBT_far_c" localSheetId="0">[1]d!$N$32</definedName>
    <definedName name="IRBT_far_c">d!$N$32</definedName>
    <definedName name="IRBT_res_a" localSheetId="0">[1]d!$E$37</definedName>
    <definedName name="IRBT_res_a">d!$E$37</definedName>
    <definedName name="IRBT_res_c" localSheetId="0">[1]d!$E$36</definedName>
    <definedName name="IRBT_res_c">d!$E$36</definedName>
    <definedName name="IRCB_far_a" localSheetId="0">[1]d!$N$42</definedName>
    <definedName name="IRCB_far_a">d!$N$42</definedName>
    <definedName name="IRCB_far_c" localSheetId="0">[1]d!$N$41</definedName>
    <definedName name="IRCB_far_c">d!$N$41</definedName>
    <definedName name="IRCB_res_a" localSheetId="0">[1]d!$E$46</definedName>
    <definedName name="IRCB_res_a">d!$E$46</definedName>
    <definedName name="IRCB_res_c" localSheetId="0">[1]d!$E$45</definedName>
    <definedName name="IRCB_res_c">d!$E$45</definedName>
    <definedName name="IRCG_far_a" localSheetId="0">[1]d!$N$48</definedName>
    <definedName name="IRCG_far_a">d!$N$48</definedName>
    <definedName name="IRCG_far_c" localSheetId="0">[1]d!$N$47</definedName>
    <definedName name="IRCG_far_c">d!$N$47</definedName>
    <definedName name="IRCG_res_a" localSheetId="0">[1]d!$E$52</definedName>
    <definedName name="IRCG_res_a">d!$E$52</definedName>
    <definedName name="IRCG_res_c" localSheetId="0">[1]d!$E$51</definedName>
    <definedName name="IRCG_res_c">d!$E$51</definedName>
    <definedName name="IRCI_far_a" localSheetId="0">[1]d!$N$51</definedName>
    <definedName name="IRCI_far_a">d!$N$51</definedName>
    <definedName name="IRCI_far_c" localSheetId="0">[1]d!$N$50</definedName>
    <definedName name="IRCI_far_c">d!$N$50</definedName>
    <definedName name="IRCI_res_a" localSheetId="0">[1]d!$E$55</definedName>
    <definedName name="IRCI_res_a">d!$E$55</definedName>
    <definedName name="IRCI_res_c" localSheetId="0">[1]d!$E$54</definedName>
    <definedName name="IRCI_res_c">d!$E$54</definedName>
    <definedName name="IRCO_far_a" localSheetId="0">[1]d!$N$54</definedName>
    <definedName name="IRCO_far_a">d!$N$54</definedName>
    <definedName name="IRCO_far_c" localSheetId="0">[1]d!$N$53</definedName>
    <definedName name="IRCO_far_c">d!$N$53</definedName>
    <definedName name="IRCO_res_a" localSheetId="0">[1]d!$E$58</definedName>
    <definedName name="IRCO_res_a">d!$E$58</definedName>
    <definedName name="IRCO_res_c" localSheetId="0">[1]d!$E$57</definedName>
    <definedName name="IRCO_res_c">d!$E$57</definedName>
    <definedName name="IRCR_far_a" localSheetId="0">[1]d!$N$45</definedName>
    <definedName name="IRCR_far_a">d!$N$45</definedName>
    <definedName name="IRCR_far_c" localSheetId="0">[1]d!$N$44</definedName>
    <definedName name="IRCR_far_c">d!$N$44</definedName>
    <definedName name="IRCR_res_a" localSheetId="0">[1]d!$E$49</definedName>
    <definedName name="IRCR_res_a">d!$E$49</definedName>
    <definedName name="IRCR_res_c" localSheetId="0">[1]d!$E$48</definedName>
    <definedName name="IRCR_res_c">d!$E$48</definedName>
    <definedName name="IRCU_far_a" localSheetId="0">[1]d!$N$57</definedName>
    <definedName name="IRCU_far_a">d!$N$57</definedName>
    <definedName name="IRCU_far_c" localSheetId="0">[1]d!$N$56</definedName>
    <definedName name="IRCU_far_c">d!$N$56</definedName>
    <definedName name="IRCU_res_a" localSheetId="0">[1]d!$E$61</definedName>
    <definedName name="IRCU_res_a">d!$E$61</definedName>
    <definedName name="IRCU_res_c" localSheetId="0">[1]d!$E$60</definedName>
    <definedName name="IRCU_res_c">d!$E$60</definedName>
    <definedName name="IRD_far_a" localSheetId="0">[1]d!$Q$16</definedName>
    <definedName name="IRD_far_a">d!$Q$16</definedName>
    <definedName name="IRD_far_c" localSheetId="0">[1]d!$Q$15</definedName>
    <definedName name="IRD_far_c">d!$Q$15</definedName>
    <definedName name="IRE_far_a" localSheetId="0">[1]d!$Q$19</definedName>
    <definedName name="IRE_far_a">d!$Q$19</definedName>
    <definedName name="IRE_far_c" localSheetId="0">[1]d!$Q$18</definedName>
    <definedName name="IRE_far_c">d!$Q$18</definedName>
    <definedName name="IRF_res" localSheetId="0">[1]d!$E$16</definedName>
    <definedName name="IRF_res">d!$E$16</definedName>
    <definedName name="IRFI_far_a" localSheetId="0">[1]d!$Q$25</definedName>
    <definedName name="IRFI_far_a">d!$Q$25</definedName>
    <definedName name="IRFI_far_c" localSheetId="0">[1]d!$Q$24</definedName>
    <definedName name="IRFI_far_c">d!$Q$24</definedName>
    <definedName name="IRGF_rec" localSheetId="0">[1]d!$H$17</definedName>
    <definedName name="IRGF_rec">d!$H$17</definedName>
    <definedName name="IRGL_rec" localSheetId="0">[1]d!$H$16</definedName>
    <definedName name="IRGL_rec">d!$H$16</definedName>
    <definedName name="IRGM_far_a" localSheetId="0">[1]d!$Q$40</definedName>
    <definedName name="IRGM_far_a">d!$Q$40</definedName>
    <definedName name="IRGM_far_c" localSheetId="0">[1]d!$Q$39</definedName>
    <definedName name="IRGM_far_c">d!$Q$39</definedName>
    <definedName name="IRGO_far_a" localSheetId="0">[1]d!$Q$34</definedName>
    <definedName name="IRGO_far_a">d!$Q$34</definedName>
    <definedName name="IRGO_far_c" localSheetId="0">[1]d!$Q$33</definedName>
    <definedName name="IRGO_far_c">d!$Q$33</definedName>
    <definedName name="IRLE_far_a" localSheetId="0">[1]d!$N$60</definedName>
    <definedName name="IRLE_far_a">d!$N$60</definedName>
    <definedName name="IRLE_far_c" localSheetId="0">[1]d!$N$59</definedName>
    <definedName name="IRLE_far_c">d!$N$59</definedName>
    <definedName name="IRLE_res_a" localSheetId="0">[1]d!$E$64</definedName>
    <definedName name="IRLE_res_a">d!$E$64</definedName>
    <definedName name="IRLE_res_c" localSheetId="0">[1]d!$E$63</definedName>
    <definedName name="IRLE_res_c">d!$E$63</definedName>
    <definedName name="IRLI_far_a" localSheetId="0">[1]d!$N$63</definedName>
    <definedName name="IRLI_far_a">d!$N$63</definedName>
    <definedName name="IRLI_far_c" localSheetId="0">[1]d!$N$62</definedName>
    <definedName name="IRLI_far_c">d!$N$62</definedName>
    <definedName name="IRLI_res_a" localSheetId="0">[1]d!$E$67</definedName>
    <definedName name="IRLI_res_a">d!$E$67</definedName>
    <definedName name="IRLI_res_c" localSheetId="0">[1]d!$E$66</definedName>
    <definedName name="IRLI_res_c">d!$E$66</definedName>
    <definedName name="IROK_far_a" localSheetId="0">[1]d!$N$66</definedName>
    <definedName name="IROK_far_a">d!$N$66</definedName>
    <definedName name="IROK_far_c" localSheetId="0">[1]d!$N$65</definedName>
    <definedName name="IROK_far_c">d!$N$65</definedName>
    <definedName name="IROK_res_a" localSheetId="0">[1]d!$E$70</definedName>
    <definedName name="IROK_res_a">d!$E$70</definedName>
    <definedName name="IROK_res_c" localSheetId="0">[1]d!$E$69</definedName>
    <definedName name="IROK_res_c">d!$E$69</definedName>
    <definedName name="IRON_far_a" localSheetId="0">[1]d!$N$69</definedName>
    <definedName name="IRON_far_a">d!$N$69</definedName>
    <definedName name="IRON_far_c" localSheetId="0">[1]d!$N$68</definedName>
    <definedName name="IRON_far_c">d!$N$68</definedName>
    <definedName name="IRON_res_a" localSheetId="0">[1]d!$E$73</definedName>
    <definedName name="IRON_res_a">d!$E$73</definedName>
    <definedName name="IRON_res_c" localSheetId="0">[1]d!$E$72</definedName>
    <definedName name="IRON_res_c">d!$E$72</definedName>
    <definedName name="IRP_far_a" localSheetId="0">[1]d!$Q$22</definedName>
    <definedName name="IRP_far_a">d!$Q$22</definedName>
    <definedName name="IRP_far_c" localSheetId="0">[1]d!$Q$21</definedName>
    <definedName name="IRP_far_c">d!$Q$21</definedName>
    <definedName name="IRPC_far_a" localSheetId="0">[1]d!$N$72</definedName>
    <definedName name="IRPC_far_a">d!$N$72</definedName>
    <definedName name="IRPC_far_c" localSheetId="0">[1]d!$N$71</definedName>
    <definedName name="IRPC_far_c">d!$N$71</definedName>
    <definedName name="IRPC_res_a" localSheetId="0">[1]d!$E$76</definedName>
    <definedName name="IRPC_res_a">d!$E$76</definedName>
    <definedName name="IRPC_res_c" localSheetId="0">[1]d!$E$75</definedName>
    <definedName name="IRPC_res_c">d!$E$75</definedName>
    <definedName name="IRPE_far_a" localSheetId="0">[1]d!$N$78</definedName>
    <definedName name="IRPE_far_a">d!$N$78</definedName>
    <definedName name="IRPE_far_c" localSheetId="0">[1]d!$N$77</definedName>
    <definedName name="IRPE_far_c">d!$N$77</definedName>
    <definedName name="IRPE_res_a" localSheetId="0">[1]d!$E$82</definedName>
    <definedName name="IRPE_res_a">d!$E$82</definedName>
    <definedName name="IRPE_res_c" localSheetId="0">[1]d!$E$81</definedName>
    <definedName name="IRPE_res_c">d!$E$81</definedName>
    <definedName name="IRPR_far_a" localSheetId="0">[1]d!$N$75</definedName>
    <definedName name="IRPR_far_a">d!$N$75</definedName>
    <definedName name="IRPR_far_c" localSheetId="0">[1]d!$N$74</definedName>
    <definedName name="IRPR_far_c">d!$N$74</definedName>
    <definedName name="IRPR_res_a" localSheetId="0">[1]d!$E$79</definedName>
    <definedName name="IRPR_res_a">d!$E$79</definedName>
    <definedName name="IRPR_res_c" localSheetId="0">[1]d!$E$78</definedName>
    <definedName name="IRPR_res_c">d!$E$78</definedName>
    <definedName name="IRPT_far_a" localSheetId="0">[1]d!$N$81</definedName>
    <definedName name="IRPT_far_a">d!$N$81</definedName>
    <definedName name="IRPT_far_c" localSheetId="0">[1]d!$N$80</definedName>
    <definedName name="IRPT_far_c">d!$N$80</definedName>
    <definedName name="IRPT_res_a" localSheetId="0">[1]d!$E$85</definedName>
    <definedName name="IRPT_res_a">d!$E$85</definedName>
    <definedName name="IRPT_res_c" localSheetId="0">[1]d!$E$84</definedName>
    <definedName name="IRPT_res_c">d!$E$84</definedName>
    <definedName name="IRPU_far_a" localSheetId="0">[1]d!$N$84</definedName>
    <definedName name="IRPU_far_a">d!$N$84</definedName>
    <definedName name="IRPU_far_c" localSheetId="0">[1]d!$N$83</definedName>
    <definedName name="IRPU_far_c">d!$N$83</definedName>
    <definedName name="IRPU_res_a" localSheetId="0">[1]d!$E$88</definedName>
    <definedName name="IRPU_res_a">d!$E$88</definedName>
    <definedName name="IRPU_res_c" localSheetId="0">[1]d!$E$87</definedName>
    <definedName name="IRPU_res_c">d!$E$87</definedName>
    <definedName name="IRRI_far_a" localSheetId="0">[1]d!$N$87</definedName>
    <definedName name="IRRI_far_a">d!$N$87</definedName>
    <definedName name="IRRI_far_c" localSheetId="0">[1]d!$N$86</definedName>
    <definedName name="IRRI_far_c">d!$N$86</definedName>
    <definedName name="IRRI_res_a" localSheetId="0">[1]d!$E$91</definedName>
    <definedName name="IRRI_res_a">d!$E$91</definedName>
    <definedName name="IRRI_res_c" localSheetId="0">[1]d!$E$90</definedName>
    <definedName name="IRRI_res_c">d!$E$90</definedName>
    <definedName name="IRS_far_a" localSheetId="0">[1]d!$K$11</definedName>
    <definedName name="IRS_far_a">d!$K$11</definedName>
    <definedName name="IRS_far_c" localSheetId="0">[1]d!$K$10</definedName>
    <definedName name="IRS_far_c">d!$K$10</definedName>
    <definedName name="IRS_rec_a" localSheetId="0">[1]d!$H$11</definedName>
    <definedName name="IRS_rec_a">d!$H$11</definedName>
    <definedName name="IRS_rec_c" localSheetId="0">[1]d!$H$10</definedName>
    <definedName name="IRS_rec_c">d!$H$10</definedName>
    <definedName name="IRS_res_a" localSheetId="0">[1]d!$E$11</definedName>
    <definedName name="IRS_res_a">d!$E$11</definedName>
    <definedName name="IRS_res_c" localSheetId="0">[1]d!$E$10</definedName>
    <definedName name="IRS_res_c">d!$E$10</definedName>
    <definedName name="IRSH_far_a" localSheetId="0">[1]d!$Q$31</definedName>
    <definedName name="IRSH_far_a">d!$Q$31</definedName>
    <definedName name="IRSH_far_c" localSheetId="0">[1]d!$Q$30</definedName>
    <definedName name="IRSH_far_c">d!$Q$30</definedName>
    <definedName name="IRSM_far_a" localSheetId="0">[1]d!$Q$37</definedName>
    <definedName name="IRSM_far_a">d!$Q$37</definedName>
    <definedName name="IRSM_far_c" localSheetId="0">[1]d!$Q$36</definedName>
    <definedName name="IRSM_far_c">d!$Q$36</definedName>
    <definedName name="IRSN_far_a" localSheetId="0">[1]d!$N$90</definedName>
    <definedName name="IRSN_far_a">d!$N$90</definedName>
    <definedName name="IRSN_far_c" localSheetId="0">[1]d!$N$89</definedName>
    <definedName name="IRSN_far_c">d!$N$89</definedName>
    <definedName name="IRSN_res_a" localSheetId="0">[1]d!$E$94</definedName>
    <definedName name="IRSN_res_a">d!$E$94</definedName>
    <definedName name="IRSN_res_c" localSheetId="0">[1]d!$E$93</definedName>
    <definedName name="IRSN_res_c">d!$E$93</definedName>
    <definedName name="IRST_far_a" localSheetId="0">[1]d!$N$93</definedName>
    <definedName name="IRST_far_a">d!$N$93</definedName>
    <definedName name="IRST_far_c" localSheetId="0">[1]d!$N$92</definedName>
    <definedName name="IRST_far_c">d!$N$92</definedName>
    <definedName name="IRST_res_a" localSheetId="0">[1]d!$E$97</definedName>
    <definedName name="IRST_res_a">d!$E$97</definedName>
    <definedName name="IRST_res_c" localSheetId="0">[1]d!$E$96</definedName>
    <definedName name="IRST_res_c">d!$E$96</definedName>
    <definedName name="IRSW_far_a" localSheetId="0">[1]d!$Q$28</definedName>
    <definedName name="IRSW_far_a">d!$Q$28</definedName>
    <definedName name="IRSW_far_c" localSheetId="0">[1]d!$Q$27</definedName>
    <definedName name="IRSW_far_c">d!$Q$27</definedName>
    <definedName name="IRTO_far_a" localSheetId="0">[1]d!$N$96</definedName>
    <definedName name="IRTO_far_a">d!$N$96</definedName>
    <definedName name="IRTO_far_c" localSheetId="0">[1]d!$N$95</definedName>
    <definedName name="IRTO_far_c">d!$N$95</definedName>
    <definedName name="IRTO_res_a" localSheetId="0">[1]d!$E$100</definedName>
    <definedName name="IRTO_res_a">d!$E$100</definedName>
    <definedName name="IRTO_res_c" localSheetId="0">[1]d!$E$99</definedName>
    <definedName name="IRTO_res_c">d!$E$99</definedName>
    <definedName name="IRW_far_a" localSheetId="0">[1]d!$K$14</definedName>
    <definedName name="IRW_far_a">d!$K$14</definedName>
    <definedName name="IRW_far_c" localSheetId="0">[1]d!$K$13</definedName>
    <definedName name="IRW_far_c">d!$K$13</definedName>
    <definedName name="IRW_rec_a" localSheetId="0">[1]d!$H$14</definedName>
    <definedName name="IRW_rec_a">d!$H$14</definedName>
    <definedName name="IRW_rec_c" localSheetId="0">[1]d!$H$13</definedName>
    <definedName name="IRW_rec_c">d!$H$13</definedName>
    <definedName name="IRW_res_a" localSheetId="0">[1]d!$E$14</definedName>
    <definedName name="IRW_res_a">d!$E$14</definedName>
    <definedName name="IRW_res_c" localSheetId="0">[1]d!$E$13</definedName>
    <definedName name="IRW_res_c">d!$E$13</definedName>
    <definedName name="K" localSheetId="0">[1]d!$B$3</definedName>
    <definedName name="K">d!$B$3</definedName>
    <definedName name="K_s2gw">d!$B$20</definedName>
    <definedName name="L_s2gw">d!$B$23</definedName>
    <definedName name="lambda_HL" localSheetId="0">[1]d!$B$7</definedName>
    <definedName name="lambda_HL">d!$B$7</definedName>
    <definedName name="MLF_apple" localSheetId="0">[1]d!$K$30</definedName>
    <definedName name="MLF_apple">d!$N$98</definedName>
    <definedName name="MLF_asparagus" localSheetId="0">[1]d!$K$31</definedName>
    <definedName name="MLF_asparagus">d!$N$99</definedName>
    <definedName name="MLF_beet" localSheetId="0">[1]d!$K$32</definedName>
    <definedName name="MLF_beet">d!$N$100</definedName>
    <definedName name="MLF_berries" localSheetId="0">[1]d!$K$33</definedName>
    <definedName name="MLF_berries">d!$N$101</definedName>
    <definedName name="MLF_broccoli" localSheetId="0">[1]d!$K$34</definedName>
    <definedName name="MLF_broccoli">d!$N$102</definedName>
    <definedName name="MLF_cabbage" localSheetId="0">[1]d!$K$35</definedName>
    <definedName name="MLF_cabbage">d!$N$103</definedName>
    <definedName name="MLF_carrot" localSheetId="0">[1]d!$K$36</definedName>
    <definedName name="MLF_carrot">d!$N$104</definedName>
    <definedName name="MLF_cereal" localSheetId="0">[1]d!$K$52</definedName>
    <definedName name="MLF_cereal">d!$N$120</definedName>
    <definedName name="MLF_citrus" localSheetId="0">[1]d!$K$37</definedName>
    <definedName name="MLF_citrus">d!$N$105</definedName>
    <definedName name="MLF_corn" localSheetId="0">[1]d!$K$38</definedName>
    <definedName name="MLF_corn">d!$N$106</definedName>
    <definedName name="MLF_cucumber" localSheetId="0">[1]d!$K$39</definedName>
    <definedName name="MLF_cucumber">d!$N$107</definedName>
    <definedName name="MLF_lettuce" localSheetId="0">[1]d!$K$40</definedName>
    <definedName name="MLF_lettuce">d!$N$108</definedName>
    <definedName name="MLF_lima_bean" localSheetId="0">[1]d!$K$41</definedName>
    <definedName name="MLF_lima_bean">d!$N$109</definedName>
    <definedName name="MLF_okra" localSheetId="0">[1]d!$K$42</definedName>
    <definedName name="MLF_okra">d!$N$110</definedName>
    <definedName name="MLF_onion" localSheetId="0">[1]d!$K$43</definedName>
    <definedName name="MLF_onion">d!$N$111</definedName>
    <definedName name="MLF_pasture" localSheetId="0">[1]d!$Q$68</definedName>
    <definedName name="MLF_pasture">d!$Q$68</definedName>
    <definedName name="MLF_peach" localSheetId="0">[1]d!$K$44</definedName>
    <definedName name="MLF_peach">d!$N$112</definedName>
    <definedName name="MLF_pear" localSheetId="0">[1]d!$K$45</definedName>
    <definedName name="MLF_pear">d!$N$113</definedName>
    <definedName name="MLF_peas" localSheetId="0">[1]d!$K$46</definedName>
    <definedName name="MLF_peas">d!$N$114</definedName>
    <definedName name="MLF_potato" localSheetId="0">[1]d!$K$47</definedName>
    <definedName name="MLF_potato">d!$N$115</definedName>
    <definedName name="MLF_pumpkin" localSheetId="0">[1]d!$K$48</definedName>
    <definedName name="MLF_pumpkin">d!$N$116</definedName>
    <definedName name="MLF_rice" localSheetId="0">[1]d!$K$53</definedName>
    <definedName name="MLF_rice">d!$N$121</definedName>
    <definedName name="MLF_snap_bean" localSheetId="0">[1]d!$K$49</definedName>
    <definedName name="MLF_snap_bean">d!$N$117</definedName>
    <definedName name="MLF_strawberry" localSheetId="0">[1]d!$K$50</definedName>
    <definedName name="MLF_strawberry">d!$N$118</definedName>
    <definedName name="MLF_tomato" localSheetId="0">[1]d!$K$51</definedName>
    <definedName name="MLF_tomato">d!$N$119</definedName>
    <definedName name="P" localSheetId="0">[1]d!$B$11</definedName>
    <definedName name="P">d!$B$11</definedName>
    <definedName name="PEF_wind" localSheetId="0">[1]d!$B$27</definedName>
    <definedName name="PEF_wind">d!$B$27</definedName>
    <definedName name="Q_C_wind" localSheetId="0">[1]d!$B$32</definedName>
    <definedName name="Q_C_wind">d!$B$32</definedName>
    <definedName name="Q_p_beef" localSheetId="0">[1]d!$Q$49</definedName>
    <definedName name="Q_p_beef">d!$Q$49</definedName>
    <definedName name="Q_p_dairy" localSheetId="0">[1]d!$Q$44</definedName>
    <definedName name="Q_p_dairy">d!$Q$44</definedName>
    <definedName name="Q_p_egg">d!$Q$54</definedName>
    <definedName name="Q_p_fowl" localSheetId="0">[1]d!$H$28</definedName>
    <definedName name="Q_p_fowl">d!$H$28</definedName>
    <definedName name="Q_p_game" localSheetId="0">[1]d!$H$33</definedName>
    <definedName name="Q_p_game">d!$H$33</definedName>
    <definedName name="Q_p_goat">d!$Q$76</definedName>
    <definedName name="Q_p_goat_milk">d!$Q$81</definedName>
    <definedName name="Q_p_poultry" localSheetId="0">[1]d!$Q$59</definedName>
    <definedName name="Q_p_poultry">d!$Q$59</definedName>
    <definedName name="Q_p_sheep">d!$Q$71</definedName>
    <definedName name="Q_p_sheep_milk">d!$Q$86</definedName>
    <definedName name="Q_p_swine" localSheetId="0">[1]d!$Q$64</definedName>
    <definedName name="Q_p_swine">d!$Q$64</definedName>
    <definedName name="Q_s_beef" localSheetId="0">[1]d!$Q$50</definedName>
    <definedName name="Q_s_beef">d!$Q$50</definedName>
    <definedName name="Q_s_dairy" localSheetId="0">[1]d!$Q$45</definedName>
    <definedName name="Q_s_dairy">d!$Q$45</definedName>
    <definedName name="Q_s_egg">d!$Q$55</definedName>
    <definedName name="Q_s_fowl" localSheetId="0">[1]d!$H$29</definedName>
    <definedName name="Q_s_fowl">d!$H$29</definedName>
    <definedName name="Q_s_game" localSheetId="0">[1]d!$H$34</definedName>
    <definedName name="Q_s_game">d!$H$34</definedName>
    <definedName name="Q_s_poultry" localSheetId="0">[1]d!$Q$60</definedName>
    <definedName name="Q_s_poultry">d!$Q$60</definedName>
    <definedName name="Q_s_sheep">d!$Q$72</definedName>
    <definedName name="Q_s_sheep_milk">d!$Q$87</definedName>
    <definedName name="Q_s_swine" localSheetId="0">[1]d!$Q$65</definedName>
    <definedName name="Q_s_swine">d!$Q$65</definedName>
    <definedName name="Q_w_beef" localSheetId="0">[1]d!$Q$48</definedName>
    <definedName name="Q_w_beef">d!$Q$48</definedName>
    <definedName name="Q_w_dairy" localSheetId="0">[1]d!$Q$42</definedName>
    <definedName name="Q_w_dairy">d!$Q$42</definedName>
    <definedName name="Q_w_egg">d!$Q$53</definedName>
    <definedName name="Q_w_fowl" localSheetId="0">[1]d!$H$32</definedName>
    <definedName name="Q_w_fowl">d!$H$32</definedName>
    <definedName name="Q_w_game" localSheetId="0">[1]d!$H$37</definedName>
    <definedName name="Q_w_game">d!$H$37</definedName>
    <definedName name="Q_w_goat">d!$Q$75</definedName>
    <definedName name="Q_w_goat_milk">d!$Q$80</definedName>
    <definedName name="Q_w_poultry" localSheetId="0">[1]d!$Q$58</definedName>
    <definedName name="Q_w_poultry">d!$Q$58</definedName>
    <definedName name="Q_w_sheep">d!$Q$70</definedName>
    <definedName name="Q_w_sheep_milk">d!$Q$85</definedName>
    <definedName name="Q_w_swine" localSheetId="0">[1]d!$Q$63</definedName>
    <definedName name="Q_w_swine">d!$Q$63</definedName>
    <definedName name="R_es_past" localSheetId="0">[1]d!$Q$69</definedName>
    <definedName name="R_es_past">d!$Q$69</definedName>
    <definedName name="s_A_wind" localSheetId="0">[1]ss!$B$34</definedName>
    <definedName name="s_A_wind">ss!$B$34</definedName>
    <definedName name="s_As" localSheetId="0">[1]ss!$B$33</definedName>
    <definedName name="s_As">ss!$B$33</definedName>
    <definedName name="s_B_wind" localSheetId="0">[1]ss!$B$35</definedName>
    <definedName name="s_B_wind">ss!$B$35</definedName>
    <definedName name="s_BW_a">ss!#REF!</definedName>
    <definedName name="s_BW_c">ss!#REF!</definedName>
    <definedName name="s_C" localSheetId="0">[1]ss!$B$38</definedName>
    <definedName name="s_C">ss!$B$38</definedName>
    <definedName name="s_C_wind" localSheetId="0">[1]ss!$B$36</definedName>
    <definedName name="s_C_wind">ss!$B$36</definedName>
    <definedName name="s_CF_apple" localSheetId="0">[1]ss!$N$2</definedName>
    <definedName name="s_CF_apple">ss!$N$2</definedName>
    <definedName name="s_CF_asparagus" localSheetId="0">[1]ss!$N$3</definedName>
    <definedName name="s_CF_asparagus">ss!$N$3</definedName>
    <definedName name="s_CF_beet" localSheetId="0">[1]ss!$N$4</definedName>
    <definedName name="s_CF_beet">ss!$N$4</definedName>
    <definedName name="s_CF_berries" localSheetId="0">[1]ss!$N$5</definedName>
    <definedName name="s_CF_berries">ss!$N$5</definedName>
    <definedName name="s_CF_broccoli" localSheetId="0">[1]ss!$N$6</definedName>
    <definedName name="s_CF_broccoli">ss!$N$6</definedName>
    <definedName name="s_CF_cabbage" localSheetId="0">[1]ss!$N$7</definedName>
    <definedName name="s_CF_cabbage">ss!$N$7</definedName>
    <definedName name="s_CF_carrot" localSheetId="0">[1]ss!$N$8</definedName>
    <definedName name="s_CF_carrot">ss!$N$8</definedName>
    <definedName name="s_CF_cereal" localSheetId="0">[1]ss!$N$24</definedName>
    <definedName name="s_CF_cereal">ss!$N$24</definedName>
    <definedName name="s_CF_citrus" localSheetId="0">[1]ss!$N$9</definedName>
    <definedName name="s_CF_citrus">ss!$N$9</definedName>
    <definedName name="s_CF_corn" localSheetId="0">[1]ss!$N$10</definedName>
    <definedName name="s_CF_corn">ss!$N$10</definedName>
    <definedName name="s_CF_cucumber" localSheetId="0">[1]ss!$N$11</definedName>
    <definedName name="s_CF_cucumber">ss!$N$11</definedName>
    <definedName name="s_CF_far_beef" localSheetId="0">[1]ss!$Q$2</definedName>
    <definedName name="s_CF_far_beef">ss!$Q$2</definedName>
    <definedName name="s_CF_far_dairy" localSheetId="0">[1]ss!$Q$3</definedName>
    <definedName name="s_CF_far_dairy">ss!$Q$3</definedName>
    <definedName name="s_CF_far_egg" localSheetId="0">[1]ss!$Q$5</definedName>
    <definedName name="s_CF_far_egg">ss!$Q$5</definedName>
    <definedName name="s_CF_far_fish" localSheetId="0">[1]ss!$Q$6</definedName>
    <definedName name="s_CF_far_fish">ss!$Q$6</definedName>
    <definedName name="s_CF_far_goat" localSheetId="0">[1]ss!$Q$9</definedName>
    <definedName name="s_CF_far_goat">ss!$Q$9</definedName>
    <definedName name="s_CF_far_goat_milk" localSheetId="0">[1]ss!$Q$11</definedName>
    <definedName name="s_CF_far_goat_milk">ss!$Q$11</definedName>
    <definedName name="s_CF_far_poultry" localSheetId="0">[1]ss!$Q$4</definedName>
    <definedName name="s_CF_far_poultry">ss!$Q$4</definedName>
    <definedName name="s_CF_far_sheep" localSheetId="0">[1]ss!$Q$8</definedName>
    <definedName name="s_CF_far_sheep">ss!$Q$8</definedName>
    <definedName name="s_CF_far_sheep_milk" localSheetId="0">[1]ss!$Q$10</definedName>
    <definedName name="s_CF_far_sheep_milk">ss!$Q$10</definedName>
    <definedName name="s_CF_far_swine" localSheetId="0">[1]ss!$Q$7</definedName>
    <definedName name="s_CF_far_swine">ss!$Q$7</definedName>
    <definedName name="s_CF_fowl" localSheetId="0">[1]ss!$H$38</definedName>
    <definedName name="s_CF_fowl">ss!$H$38</definedName>
    <definedName name="s_CF_game" localSheetId="0">[1]ss!$H$39</definedName>
    <definedName name="s_CF_game">ss!$H$39</definedName>
    <definedName name="s_CF_lettuce" localSheetId="0">[1]ss!$N$12</definedName>
    <definedName name="s_CF_lettuce">ss!$N$12</definedName>
    <definedName name="s_CF_lima_bean" localSheetId="0">[1]ss!$N$13</definedName>
    <definedName name="s_CF_lima_bean">ss!$N$13</definedName>
    <definedName name="s_CF_okra" localSheetId="0">[1]ss!$N$14</definedName>
    <definedName name="s_CF_okra">ss!$N$14</definedName>
    <definedName name="s_CF_onion" localSheetId="0">[1]ss!$N$15</definedName>
    <definedName name="s_CF_onion">ss!$N$15</definedName>
    <definedName name="s_CF_peach" localSheetId="0">[1]ss!$N$16</definedName>
    <definedName name="s_CF_peach">ss!$N$16</definedName>
    <definedName name="s_CF_pear" localSheetId="0">[1]ss!$N$17</definedName>
    <definedName name="s_CF_pear">ss!$N$17</definedName>
    <definedName name="s_CF_peas" localSheetId="0">[1]ss!$N$18</definedName>
    <definedName name="s_CF_peas">ss!$N$18</definedName>
    <definedName name="s_CF_potato" localSheetId="0">[1]ss!$N$19</definedName>
    <definedName name="s_CF_potato">ss!$N$19</definedName>
    <definedName name="s_CF_pumpkin" localSheetId="0">[1]ss!$N$20</definedName>
    <definedName name="s_CF_pumpkin">ss!$N$20</definedName>
    <definedName name="s_CF_res_fish" localSheetId="0">[1]ss!$E$29</definedName>
    <definedName name="s_CF_res_fish">ss!$E$29</definedName>
    <definedName name="s_CF_rice" localSheetId="0">[1]ss!$N$25</definedName>
    <definedName name="s_CF_rice">ss!$N$25</definedName>
    <definedName name="s_CF_snap_bean" localSheetId="0">[1]ss!$N$21</definedName>
    <definedName name="s_CF_snap_bean">ss!$N$21</definedName>
    <definedName name="s_CF_strawberry" localSheetId="0">[1]ss!$N$22</definedName>
    <definedName name="s_CF_strawberry">ss!$N$22</definedName>
    <definedName name="s_CF_tomato" localSheetId="0">[1]ss!$N$23</definedName>
    <definedName name="s_CF_tomato">ss!$N$23</definedName>
    <definedName name="s_d_a" localSheetId="0">[1]ss!$B$24</definedName>
    <definedName name="s_d_a">ss!$B$24</definedName>
    <definedName name="s_D_milk" localSheetId="0">[1]ss!$Q$43</definedName>
    <definedName name="s_D_milk">ss!$Q$43</definedName>
    <definedName name="s_d_s" localSheetId="0">[1]ss!$B$25</definedName>
    <definedName name="s_d_s">ss!$B$25</definedName>
    <definedName name="s_DAF">ss!$B$40</definedName>
    <definedName name="s_DF_i">ss!$K$28</definedName>
    <definedName name="s_DFA_far_adj" localSheetId="0">[1]ss!$K$9</definedName>
    <definedName name="s_DFA_far_adj">ss!$K$9</definedName>
    <definedName name="s_DFA_rec_adj" localSheetId="0">[1]ss!$H$9</definedName>
    <definedName name="s_DFA_rec_adj">ss!$H$9</definedName>
    <definedName name="s_DFA_res_adj" localSheetId="0">[1]ss!$E$9</definedName>
    <definedName name="s_DFA_res_adj">ss!$E$9</definedName>
    <definedName name="s_dm" localSheetId="0">[1]ss!$B$26</definedName>
    <definedName name="s_dm">ss!$B$26</definedName>
    <definedName name="s_ED_far" localSheetId="0">[1]ss!$K$4</definedName>
    <definedName name="s_ED_far">ss!$K$4</definedName>
    <definedName name="s_ED_far_a" localSheetId="0">[1]ss!$K$3</definedName>
    <definedName name="s_ED_far_a">ss!$K$3</definedName>
    <definedName name="s_ED_far_c" localSheetId="0">[1]ss!$K$2</definedName>
    <definedName name="s_ED_far_c">ss!$K$2</definedName>
    <definedName name="s_ED_rec" localSheetId="0">[1]ss!$H$4</definedName>
    <definedName name="s_ED_rec">ss!$H$4</definedName>
    <definedName name="s_ED_rec_a" localSheetId="0">[1]ss!$H$3</definedName>
    <definedName name="s_ED_rec_a">ss!$H$3</definedName>
    <definedName name="s_ED_rec_c" localSheetId="0">[1]ss!$H$2</definedName>
    <definedName name="s_ED_rec_c">ss!$H$2</definedName>
    <definedName name="s_ED_res" localSheetId="0">[1]ss!$E$4</definedName>
    <definedName name="s_ED_res">ss!$E$4</definedName>
    <definedName name="s_ED_res_a" localSheetId="0">[1]ss!$E$3</definedName>
    <definedName name="s_ED_res_a">ss!$E$3</definedName>
    <definedName name="s_ED_res_c" localSheetId="0">[1]ss!$E$2</definedName>
    <definedName name="s_ED_res_c">ss!$E$2</definedName>
    <definedName name="s_ED_s2gw" localSheetId="0">[1]ss!$B$19</definedName>
    <definedName name="s_ED_s2gw">ss!$B$19</definedName>
    <definedName name="s_EF_far" localSheetId="0">[1]ss!$K$18</definedName>
    <definedName name="s_EF_far">ss!$K$18</definedName>
    <definedName name="s_EF_far_a" localSheetId="0">[1]ss!$K$17</definedName>
    <definedName name="s_EF_far_a">ss!$K$17</definedName>
    <definedName name="s_EF_far_c" localSheetId="0">[1]ss!$K$16</definedName>
    <definedName name="s_EF_far_c">ss!$K$16</definedName>
    <definedName name="s_EF_rec" localSheetId="0">[1]ss!$H$20</definedName>
    <definedName name="s_EF_rec">ss!$H$20</definedName>
    <definedName name="s_EF_rec_a" localSheetId="0">[1]ss!$H$19</definedName>
    <definedName name="s_EF_rec_a">ss!$H$19</definedName>
    <definedName name="s_EF_rec_c" localSheetId="0">[1]ss!$H$18</definedName>
    <definedName name="s_EF_rec_c">ss!$H$18</definedName>
    <definedName name="s_EF_res" localSheetId="0">[1]ss!$E$19</definedName>
    <definedName name="s_EF_res">ss!$E$19</definedName>
    <definedName name="s_EF_res_a" localSheetId="0">[1]ss!$E$18</definedName>
    <definedName name="s_EF_res_a">ss!$E$18</definedName>
    <definedName name="s_EF_res_c" localSheetId="0">[1]ss!$E$17</definedName>
    <definedName name="s_EF_res_c">ss!$E$17</definedName>
    <definedName name="s_ET_event_far_a" localSheetId="0">[1]ss!$K$23</definedName>
    <definedName name="s_ET_event_far_a">ss!$K$23</definedName>
    <definedName name="s_ET_event_far_c" localSheetId="0">[1]ss!$K$22</definedName>
    <definedName name="s_ET_event_far_c">ss!$K$22</definedName>
    <definedName name="s_ET_event_rec_a" localSheetId="0">[1]ss!$H$25</definedName>
    <definedName name="s_ET_event_rec_a">ss!$H$25</definedName>
    <definedName name="s_ET_event_rec_c" localSheetId="0">[1]ss!$H$24</definedName>
    <definedName name="s_ET_event_rec_c">ss!$H$24</definedName>
    <definedName name="s_ET_event_res_a" localSheetId="0">[1]ss!$E$21</definedName>
    <definedName name="s_ET_event_res_a">ss!$E$21</definedName>
    <definedName name="s_ET_event_res_c" localSheetId="0">[1]ss!$E$20</definedName>
    <definedName name="s_ET_event_res_c">ss!$E$20</definedName>
    <definedName name="s_ET_far" localSheetId="0">[1]ss!$K$21</definedName>
    <definedName name="s_ET_far">ss!$K$21</definedName>
    <definedName name="s_ET_far_a" localSheetId="0">[1]ss!$K$20</definedName>
    <definedName name="s_ET_far_a">ss!$K$20</definedName>
    <definedName name="s_ET_far_c" localSheetId="0">[1]ss!$K$19</definedName>
    <definedName name="s_ET_far_c">ss!$K$19</definedName>
    <definedName name="s_ET_far_i" localSheetId="0">[1]ss!$K$25</definedName>
    <definedName name="s_ET_far_i">ss!$K$25</definedName>
    <definedName name="s_ET_far_o" localSheetId="0">[1]ss!$K$24</definedName>
    <definedName name="s_ET_far_o">ss!$K$24</definedName>
    <definedName name="s_ET_rec" localSheetId="0">[1]ss!$H$21</definedName>
    <definedName name="s_ET_rec">ss!$H$21</definedName>
    <definedName name="s_ET_rec_a" localSheetId="0">[1]ss!$H$23</definedName>
    <definedName name="s_ET_rec_a">ss!$H$23</definedName>
    <definedName name="s_ET_rec_c" localSheetId="0">[1]ss!$H$22</definedName>
    <definedName name="s_ET_rec_c">ss!$H$22</definedName>
    <definedName name="s_ET_res" localSheetId="0">[1]ss!$E$24</definedName>
    <definedName name="s_ET_res">ss!$E$24</definedName>
    <definedName name="s_ET_res_a" localSheetId="0">[1]ss!$E$23</definedName>
    <definedName name="s_ET_res_a">ss!$E$23</definedName>
    <definedName name="s_ET_res_c" localSheetId="0">[1]ss!$E$22</definedName>
    <definedName name="s_ET_res_c">ss!$E$22</definedName>
    <definedName name="s_ET_res_i" localSheetId="0">[1]ss!$E$28</definedName>
    <definedName name="s_ET_res_i">ss!$E$28</definedName>
    <definedName name="s_ET_res_o" localSheetId="0">[1]ss!$E$27</definedName>
    <definedName name="s_ET_res_o">ss!$E$27</definedName>
    <definedName name="s_EV_far_a" localSheetId="0">[1]ss!$K$27</definedName>
    <definedName name="s_EV_far_a">ss!$K$27</definedName>
    <definedName name="s_EV_far_c" localSheetId="0">[1]ss!$K$26</definedName>
    <definedName name="s_EV_far_c">ss!$K$26</definedName>
    <definedName name="s_EV_rec_a" localSheetId="0">[1]ss!$H$27</definedName>
    <definedName name="s_EV_rec_a">ss!$H$27</definedName>
    <definedName name="s_EV_rec_c" localSheetId="0">[1]ss!$H$26</definedName>
    <definedName name="s_EV_rec_c">ss!$H$26</definedName>
    <definedName name="s_EV_res_a" localSheetId="0">[1]ss!$E$26</definedName>
    <definedName name="s_EV_res_a">ss!$E$26</definedName>
    <definedName name="s_EV_res_c" localSheetId="0">[1]ss!$E$25</definedName>
    <definedName name="s_EV_res_c">ss!$E$25</definedName>
    <definedName name="s_F" localSheetId="0">[1]ss!$B$9</definedName>
    <definedName name="s_F">ss!$B$9</definedName>
    <definedName name="s_f_p_beef" localSheetId="0">[1]ss!$Q$51</definedName>
    <definedName name="s_f_p_beef">ss!$Q$51</definedName>
    <definedName name="s_f_p_dairy" localSheetId="0">[1]ss!$Q$46</definedName>
    <definedName name="s_f_p_dairy">ss!$Q$46</definedName>
    <definedName name="s_f_p_egg" localSheetId="0">[1]ss!$Q$56</definedName>
    <definedName name="s_f_p_egg">ss!$Q$56</definedName>
    <definedName name="s_f_p_fowl" localSheetId="0">[1]ss!$H$30</definedName>
    <definedName name="s_f_p_fowl">ss!$H$30</definedName>
    <definedName name="s_f_p_game" localSheetId="0">[1]ss!$H$35</definedName>
    <definedName name="s_f_p_game">ss!$H$35</definedName>
    <definedName name="s_f_p_goat" localSheetId="0">[1]ss!$Q$78</definedName>
    <definedName name="s_f_p_goat">ss!$Q$78</definedName>
    <definedName name="s_f_p_goat_milk" localSheetId="0">[1]ss!$Q$83</definedName>
    <definedName name="s_f_p_goat_milk">ss!$Q$83</definedName>
    <definedName name="s_f_p_poultry" localSheetId="0">[1]ss!$Q$61</definedName>
    <definedName name="s_f_p_poultry">ss!$Q$61</definedName>
    <definedName name="s_f_p_sheep" localSheetId="0">[1]ss!$Q$73</definedName>
    <definedName name="s_f_p_sheep">ss!$Q$73</definedName>
    <definedName name="s_f_p_sheep_milk" localSheetId="0">[1]ss!$Q$88</definedName>
    <definedName name="s_f_p_sheep_milk">ss!$Q$88</definedName>
    <definedName name="s_f_p_swine" localSheetId="0">[1]ss!$Q$66</definedName>
    <definedName name="s_f_p_swine">ss!$Q$66</definedName>
    <definedName name="s_f_s_beef" localSheetId="0">[1]ss!$Q$52</definedName>
    <definedName name="s_f_s_beef">ss!$Q$52</definedName>
    <definedName name="s_f_s_dairy" localSheetId="0">[1]ss!$Q$47</definedName>
    <definedName name="s_f_s_dairy">ss!$Q$47</definedName>
    <definedName name="s_f_s_egg" localSheetId="0">[1]ss!$Q$57</definedName>
    <definedName name="s_f_s_egg">ss!$Q$57</definedName>
    <definedName name="s_f_s_fowl" localSheetId="0">[1]ss!$H$31</definedName>
    <definedName name="s_f_s_fowl">ss!$H$31</definedName>
    <definedName name="s_f_s_game" localSheetId="0">[1]ss!$H$36</definedName>
    <definedName name="s_f_s_game">ss!$H$36</definedName>
    <definedName name="s_f_s_goat" localSheetId="0">[1]ss!$Q$79</definedName>
    <definedName name="s_f_s_goat">ss!$Q$79</definedName>
    <definedName name="s_f_s_goat_milk" localSheetId="0">[1]ss!$Q$84</definedName>
    <definedName name="s_f_s_goat_milk">ss!$Q$84</definedName>
    <definedName name="s_f_s_poultry" localSheetId="0">[1]ss!$Q$62</definedName>
    <definedName name="s_f_s_poultry">ss!$Q$62</definedName>
    <definedName name="s_f_s_sheep" localSheetId="0">[1]ss!$Q$74</definedName>
    <definedName name="s_f_s_sheep">ss!$Q$74</definedName>
    <definedName name="s_f_s_sheep_milk" localSheetId="0">[1]ss!$Q$89</definedName>
    <definedName name="s_f_s_sheep_milk">ss!$Q$89</definedName>
    <definedName name="s_f_s_swine" localSheetId="0">[1]ss!$Q$67</definedName>
    <definedName name="s_f_s_swine">ss!$Q$67</definedName>
    <definedName name="s_F_x" localSheetId="0">[1]ss!$B$30</definedName>
    <definedName name="s_F_x">ss!$B$30</definedName>
    <definedName name="s_GSF_a" localSheetId="0">[1]ss!$B$4</definedName>
    <definedName name="s_GSF_a">ss!$B$4</definedName>
    <definedName name="s_GSF_i">ss!$B$5</definedName>
    <definedName name="s_GSF_o" localSheetId="0">[1]ss!$B$6</definedName>
    <definedName name="s_GSF_o">ss!$B$6</definedName>
    <definedName name="s_I_f" localSheetId="0">[1]ss!$B$12</definedName>
    <definedName name="s_I_f">ss!$B$12</definedName>
    <definedName name="s_i_s2gw" localSheetId="0">[1]ss!$B$21</definedName>
    <definedName name="s_i_s2gw">ss!$B$21</definedName>
    <definedName name="s_IFA_far_adj" localSheetId="0">[1]ss!$K$8</definedName>
    <definedName name="s_IFA_far_adj">ss!$K$8</definedName>
    <definedName name="s_IFA_rec_adj" localSheetId="0">[1]ss!$H$8</definedName>
    <definedName name="s_IFA_rec_adj">ss!$H$8</definedName>
    <definedName name="s_IFA_res_adj" localSheetId="0">[1]ss!$E$8</definedName>
    <definedName name="s_IFA_res_adj">ss!$E$8</definedName>
    <definedName name="s_IFAP_far_adj" localSheetId="0">[1]ss!$N$28</definedName>
    <definedName name="s_IFAP_far_adj">ss!$N$28</definedName>
    <definedName name="s_IFAP_res_adj" localSheetId="0">[1]ss!$E$32</definedName>
    <definedName name="s_IFAP_res_adj">ss!$E$32</definedName>
    <definedName name="s_IFAS_far_adj" localSheetId="0">[1]ss!$N$31</definedName>
    <definedName name="s_IFAS_far_adj">ss!$N$31</definedName>
    <definedName name="s_IFAS_res_adj" localSheetId="0">[1]ss!$E$35</definedName>
    <definedName name="s_IFAS_res_adj">ss!$E$35</definedName>
    <definedName name="s_IFB_far_adj" localSheetId="0">[1]ss!$Q$14</definedName>
    <definedName name="s_IFB_far_adj">ss!$Q$14</definedName>
    <definedName name="s_IFBE_far_adj" localSheetId="0">[1]ss!$N$37</definedName>
    <definedName name="s_IFBE_far_adj">ss!$N$37</definedName>
    <definedName name="s_IFBE_res_adj" localSheetId="0">[1]ss!$E$41</definedName>
    <definedName name="s_IFBE_res_adj">ss!$E$41</definedName>
    <definedName name="s_IFBR_far_adj" localSheetId="0">[1]ss!$N$40</definedName>
    <definedName name="s_IFBR_far_adj">ss!$N$40</definedName>
    <definedName name="s_IFBR_res_adj" localSheetId="0">[1]ss!$E$44</definedName>
    <definedName name="s_IFBR_res_adj">ss!$E$44</definedName>
    <definedName name="s_IFBT_far_adj" localSheetId="0">[1]ss!$N$34</definedName>
    <definedName name="s_IFBT_far_adj">ss!$N$34</definedName>
    <definedName name="s_IFBT_res_adj" localSheetId="0">[1]ss!$E$38</definedName>
    <definedName name="s_IFBT_res_adj">ss!$E$38</definedName>
    <definedName name="s_IFCB_far_adj" localSheetId="0">[1]ss!$N$43</definedName>
    <definedName name="s_IFCB_far_adj">ss!$N$43</definedName>
    <definedName name="s_IFCB_res_adj" localSheetId="0">[1]ss!$E$47</definedName>
    <definedName name="s_IFCB_res_adj">ss!$E$47</definedName>
    <definedName name="s_IFCG_far_adj" localSheetId="0">[1]ss!$N$49</definedName>
    <definedName name="s_IFCG_far_adj">ss!$N$49</definedName>
    <definedName name="s_IFCG_res_adj" localSheetId="0">[1]ss!$E$53</definedName>
    <definedName name="s_IFCG_res_adj">ss!$E$53</definedName>
    <definedName name="s_IFCI_far_adj" localSheetId="0">[1]ss!$N$52</definedName>
    <definedName name="s_IFCI_far_adj">ss!$N$52</definedName>
    <definedName name="s_IFCI_res_adj" localSheetId="0">[1]ss!$E$56</definedName>
    <definedName name="s_IFCI_res_adj">ss!$E$56</definedName>
    <definedName name="s_IFCO_far_adj" localSheetId="0">[1]ss!$N$55</definedName>
    <definedName name="s_IFCO_far_adj">ss!$N$55</definedName>
    <definedName name="s_IFCO_res_adj" localSheetId="0">[1]ss!$E$59</definedName>
    <definedName name="s_IFCO_res_adj">ss!$E$59</definedName>
    <definedName name="s_IFCR_far_adj" localSheetId="0">[1]ss!$N$46</definedName>
    <definedName name="s_IFCR_far_adj">ss!$N$46</definedName>
    <definedName name="s_IFCR_res_adj" localSheetId="0">[1]ss!$E$50</definedName>
    <definedName name="s_IFCR_res_adj">ss!$E$50</definedName>
    <definedName name="s_IFCU_far_adj" localSheetId="0">[1]ss!$N$58</definedName>
    <definedName name="s_IFCU_far_adj">ss!$N$58</definedName>
    <definedName name="s_IFCU_res_adj" localSheetId="0">[1]ss!$E$62</definedName>
    <definedName name="s_IFCU_res_adj">ss!$E$62</definedName>
    <definedName name="s_IFD_far_adj" localSheetId="0">[1]ss!$Q$17</definedName>
    <definedName name="s_IFD_far_adj">ss!$Q$17</definedName>
    <definedName name="s_IFE_far_adj" localSheetId="0">[1]ss!$Q$20</definedName>
    <definedName name="s_IFE_far_adj">ss!$Q$20</definedName>
    <definedName name="s_IFFI_far_adj" localSheetId="0">[1]ss!$Q$26</definedName>
    <definedName name="s_IFFI_far_adj">ss!$Q$26</definedName>
    <definedName name="s_IFGM_far_adj" localSheetId="0">[1]ss!$Q$41</definedName>
    <definedName name="s_IFGM_far_adj">ss!$Q$41</definedName>
    <definedName name="s_IFGO_far_adj" localSheetId="0">[1]ss!$Q$35</definedName>
    <definedName name="s_IFGO_far_adj">ss!$Q$35</definedName>
    <definedName name="s_IFLE_far_adj" localSheetId="0">[1]ss!$N$61</definedName>
    <definedName name="s_IFLE_far_adj">ss!$N$61</definedName>
    <definedName name="s_IFLE_res_adj" localSheetId="0">[1]ss!$E$65</definedName>
    <definedName name="s_IFLE_res_adj">ss!$E$65</definedName>
    <definedName name="s_IFLI_far_adj" localSheetId="0">[1]ss!$N$64</definedName>
    <definedName name="s_IFLI_far_adj">ss!$N$64</definedName>
    <definedName name="s_IFLI_res_adj" localSheetId="0">[1]ss!$E$68</definedName>
    <definedName name="s_IFLI_res_adj">ss!$E$68</definedName>
    <definedName name="s_IFOK_far_adj" localSheetId="0">[1]ss!$N$67</definedName>
    <definedName name="s_IFOK_far_adj">ss!$N$67</definedName>
    <definedName name="s_IFOK_res_adj" localSheetId="0">[1]ss!$E$71</definedName>
    <definedName name="s_IFOK_res_adj">ss!$E$71</definedName>
    <definedName name="s_IFON_far_adj" localSheetId="0">[1]ss!$N$70</definedName>
    <definedName name="s_IFON_far_adj">ss!$N$70</definedName>
    <definedName name="s_IFON_res_adj" localSheetId="0">[1]ss!$E$74</definedName>
    <definedName name="s_IFON_res_adj">ss!$E$74</definedName>
    <definedName name="s_IFP_far_adj" localSheetId="0">[1]ss!$Q$23</definedName>
    <definedName name="s_IFP_far_adj">ss!$Q$23</definedName>
    <definedName name="s_IFPC_far_adj" localSheetId="0">[1]ss!$N$73</definedName>
    <definedName name="s_IFPC_far_adj">ss!$N$73</definedName>
    <definedName name="s_IFPC_res_adj" localSheetId="0">[1]ss!$E$77</definedName>
    <definedName name="s_IFPC_res_adj">ss!$E$77</definedName>
    <definedName name="s_IFPE_far_adj" localSheetId="0">[1]ss!$N$79</definedName>
    <definedName name="s_IFPE_far_adj">ss!$N$79</definedName>
    <definedName name="s_IFPE_res_adj" localSheetId="0">[1]ss!$E$83</definedName>
    <definedName name="s_IFPE_res_adj">ss!$E$83</definedName>
    <definedName name="s_IFPR_far_adj" localSheetId="0">[1]ss!$N$76</definedName>
    <definedName name="s_IFPR_far_adj">ss!$N$76</definedName>
    <definedName name="s_IFPR_res_adj" localSheetId="0">[1]ss!$E$80</definedName>
    <definedName name="s_IFPR_res_adj">ss!$E$80</definedName>
    <definedName name="s_IFPT_far_adj" localSheetId="0">[1]ss!$N$82</definedName>
    <definedName name="s_IFPT_far_adj">ss!$N$82</definedName>
    <definedName name="s_IFPT_res_adj" localSheetId="0">[1]ss!$E$86</definedName>
    <definedName name="s_IFPT_res_adj">ss!$E$86</definedName>
    <definedName name="s_IFPU_far_adj" localSheetId="0">[1]ss!$N$85</definedName>
    <definedName name="s_IFPU_far_adj">ss!$N$85</definedName>
    <definedName name="s_IFPU_res_adj" localSheetId="0">[1]ss!$E$89</definedName>
    <definedName name="s_IFPU_res_adj">ss!$E$89</definedName>
    <definedName name="s_IFRI_far_adj" localSheetId="0">[1]ss!$N$88</definedName>
    <definedName name="s_IFRI_far_adj">ss!$N$88</definedName>
    <definedName name="s_IFRI_res_adj" localSheetId="0">[1]ss!$E$92</definedName>
    <definedName name="s_IFRI_res_adj">ss!$E$92</definedName>
    <definedName name="s_IFS_far_adj" localSheetId="0">[1]ss!$K$12</definedName>
    <definedName name="s_IFS_far_adj">ss!$K$12</definedName>
    <definedName name="s_IFS_rec_adj" localSheetId="0">[1]ss!$H$12</definedName>
    <definedName name="s_IFS_rec_adj">ss!$H$12</definedName>
    <definedName name="s_IFS_res_adj" localSheetId="0">[1]ss!$E$12</definedName>
    <definedName name="s_IFS_res_adj">ss!$E$12</definedName>
    <definedName name="s_IFSH_far_adj" localSheetId="0">[1]ss!$Q$32</definedName>
    <definedName name="s_IFSH_far_adj">ss!$Q$32</definedName>
    <definedName name="s_IFSM_far_adj" localSheetId="0">[1]ss!$Q$38</definedName>
    <definedName name="s_IFSM_far_adj">ss!$Q$38</definedName>
    <definedName name="s_IFSN_far_adj" localSheetId="0">[1]ss!$N$91</definedName>
    <definedName name="s_IFSN_far_adj">ss!$N$91</definedName>
    <definedName name="s_IFSN_res_adj" localSheetId="0">[1]ss!$E$95</definedName>
    <definedName name="s_IFSN_res_adj">ss!$E$95</definedName>
    <definedName name="s_IFST_far_adj" localSheetId="0">[1]ss!$N$94</definedName>
    <definedName name="s_IFST_far_adj">ss!$N$94</definedName>
    <definedName name="s_IFST_res_adj" localSheetId="0">[1]ss!$E$98</definedName>
    <definedName name="s_IFST_res_adj">ss!$E$98</definedName>
    <definedName name="s_IFSW_far_adj" localSheetId="0">[1]ss!$Q$29</definedName>
    <definedName name="s_IFSW_far_adj">ss!$Q$29</definedName>
    <definedName name="s_IFTO_far_adj" localSheetId="0">[1]ss!$N$97</definedName>
    <definedName name="s_IFTO_far_adj">ss!$N$97</definedName>
    <definedName name="s_IFTO_res_adj" localSheetId="0">[1]ss!$E$101</definedName>
    <definedName name="s_IFTO_res_adj">ss!$E$101</definedName>
    <definedName name="s_IFW_far_adj" localSheetId="0">[1]ss!$K$15</definedName>
    <definedName name="s_IFW_far_adj">ss!$K$15</definedName>
    <definedName name="s_IFW_rec_adj" localSheetId="0">[1]ss!$H$15</definedName>
    <definedName name="s_IFW_rec_adj">ss!$H$15</definedName>
    <definedName name="s_IFW_res_adj" localSheetId="0">[1]ss!$E$15</definedName>
    <definedName name="s_IFW_res_adj">ss!$E$15</definedName>
    <definedName name="s_Ir" localSheetId="0">[1]ss!$B$8</definedName>
    <definedName name="s_Ir">ss!$B$8</definedName>
    <definedName name="s_IRA_far_a" localSheetId="0">[1]ss!$K$7</definedName>
    <definedName name="s_IRA_far_a">ss!$K$7</definedName>
    <definedName name="s_IRA_far_c" localSheetId="0">[1]ss!$K$6</definedName>
    <definedName name="s_IRA_far_c">ss!$K$6</definedName>
    <definedName name="s_IRA_rec_a" localSheetId="0">[1]ss!$H$7</definedName>
    <definedName name="s_IRA_rec_a">ss!$H$7</definedName>
    <definedName name="s_IRA_rec_c" localSheetId="0">[1]ss!$H$6</definedName>
    <definedName name="s_IRA_rec_c">ss!$H$6</definedName>
    <definedName name="s_IRA_res_a" localSheetId="0">[1]ss!$E$7</definedName>
    <definedName name="s_IRA_res_a">ss!$E$7</definedName>
    <definedName name="s_IRA_res_c" localSheetId="0">[1]ss!$E$6</definedName>
    <definedName name="s_IRA_res_c">ss!$E$6</definedName>
    <definedName name="s_IRAP_far_a" localSheetId="0">[1]ss!$N$27</definedName>
    <definedName name="s_IRAP_far_a">ss!$N$27</definedName>
    <definedName name="s_IRAP_far_c" localSheetId="0">[1]ss!$N$26</definedName>
    <definedName name="s_IRAP_far_c">ss!$N$26</definedName>
    <definedName name="s_IRAP_res_a" localSheetId="0">[1]ss!$E$31</definedName>
    <definedName name="s_IRAP_res_a">ss!$E$31</definedName>
    <definedName name="s_IRAP_res_c" localSheetId="0">[1]ss!$E$30</definedName>
    <definedName name="s_IRAP_res_c">ss!$E$30</definedName>
    <definedName name="s_IRAS_far_a" localSheetId="0">[1]ss!$N$30</definedName>
    <definedName name="s_IRAS_far_a">ss!$N$30</definedName>
    <definedName name="s_IRAS_far_c" localSheetId="0">[1]ss!$N$29</definedName>
    <definedName name="s_IRAS_far_c">ss!$N$29</definedName>
    <definedName name="s_IRAS_res_a" localSheetId="0">[1]ss!$E$34</definedName>
    <definedName name="s_IRAS_res_a">ss!$E$34</definedName>
    <definedName name="s_IRAS_res_c" localSheetId="0">[1]ss!$E$33</definedName>
    <definedName name="s_IRAS_res_c">ss!$E$33</definedName>
    <definedName name="s_IRB_far_a" localSheetId="0">[1]ss!$Q$13</definedName>
    <definedName name="s_IRB_far_a">ss!$Q$13</definedName>
    <definedName name="s_IRB_far_c" localSheetId="0">[1]ss!$Q$12</definedName>
    <definedName name="s_IRB_far_c">ss!$Q$12</definedName>
    <definedName name="s_IRBE_far_a" localSheetId="0">[1]ss!$N$36</definedName>
    <definedName name="s_IRBE_far_a">ss!$N$36</definedName>
    <definedName name="s_IRBE_far_c" localSheetId="0">[1]ss!$N$35</definedName>
    <definedName name="s_IRBE_far_c">ss!$N$35</definedName>
    <definedName name="s_IRBE_res_a" localSheetId="0">[1]ss!$E$40</definedName>
    <definedName name="s_IRBE_res_a">ss!$E$40</definedName>
    <definedName name="s_IRBE_res_c" localSheetId="0">[1]ss!$E$39</definedName>
    <definedName name="s_IRBE_res_c">ss!$E$39</definedName>
    <definedName name="s_IRBR_far_a" localSheetId="0">[1]ss!$N$39</definedName>
    <definedName name="s_IRBR_far_a">ss!$N$39</definedName>
    <definedName name="s_IRBR_far_c" localSheetId="0">[1]ss!$N$38</definedName>
    <definedName name="s_IRBR_far_c">ss!$N$38</definedName>
    <definedName name="s_IRBR_res_a" localSheetId="0">[1]ss!$E$43</definedName>
    <definedName name="s_IRBR_res_a">ss!$E$43</definedName>
    <definedName name="s_IRBR_res_c" localSheetId="0">[1]ss!$E$42</definedName>
    <definedName name="s_IRBR_res_c">ss!$E$42</definedName>
    <definedName name="s_IRBT_far_a" localSheetId="0">[1]ss!$N$33</definedName>
    <definedName name="s_IRBT_far_a">ss!$N$33</definedName>
    <definedName name="s_IRBT_far_c" localSheetId="0">[1]ss!$N$32</definedName>
    <definedName name="s_IRBT_far_c">ss!$N$32</definedName>
    <definedName name="s_IRBT_res_a" localSheetId="0">[1]ss!$E$37</definedName>
    <definedName name="s_IRBT_res_a">ss!$E$37</definedName>
    <definedName name="s_IRBT_res_c" localSheetId="0">[1]ss!$E$36</definedName>
    <definedName name="s_IRBT_res_c">ss!$E$36</definedName>
    <definedName name="s_IRCB_far_a" localSheetId="0">[1]ss!$N$42</definedName>
    <definedName name="s_IRCB_far_a">ss!$N$42</definedName>
    <definedName name="s_IRCB_far_c" localSheetId="0">[1]ss!$N$41</definedName>
    <definedName name="s_IRCB_far_c">ss!$N$41</definedName>
    <definedName name="s_IRCB_res_a" localSheetId="0">[1]ss!$E$46</definedName>
    <definedName name="s_IRCB_res_a">ss!$E$46</definedName>
    <definedName name="s_IRCB_res_c" localSheetId="0">[1]ss!$E$45</definedName>
    <definedName name="s_IRCB_res_c">ss!$E$45</definedName>
    <definedName name="s_IRCG_far_a" localSheetId="0">[1]ss!$N$48</definedName>
    <definedName name="s_IRCG_far_a">ss!$N$48</definedName>
    <definedName name="s_IRCG_far_c" localSheetId="0">[1]ss!$N$47</definedName>
    <definedName name="s_IRCG_far_c">ss!$N$47</definedName>
    <definedName name="s_IRCG_res_a" localSheetId="0">[1]ss!$E$52</definedName>
    <definedName name="s_IRCG_res_a">ss!$E$52</definedName>
    <definedName name="s_IRCG_res_c" localSheetId="0">[1]ss!$E$51</definedName>
    <definedName name="s_IRCG_res_c">ss!$E$51</definedName>
    <definedName name="s_IRCI_far_a" localSheetId="0">[1]ss!$N$51</definedName>
    <definedName name="s_IRCI_far_a">ss!$N$51</definedName>
    <definedName name="s_IRCI_far_c" localSheetId="0">[1]ss!$N$50</definedName>
    <definedName name="s_IRCI_far_c">ss!$N$50</definedName>
    <definedName name="s_IRCI_res_a" localSheetId="0">[1]ss!$E$55</definedName>
    <definedName name="s_IRCI_res_a">ss!$E$55</definedName>
    <definedName name="s_IRCI_res_c" localSheetId="0">[1]ss!$E$54</definedName>
    <definedName name="s_IRCI_res_c">ss!$E$54</definedName>
    <definedName name="s_IRCO_far_a" localSheetId="0">[1]ss!$N$54</definedName>
    <definedName name="s_IRCO_far_a">ss!$N$54</definedName>
    <definedName name="s_IRCO_far_c" localSheetId="0">[1]ss!$N$53</definedName>
    <definedName name="s_IRCO_far_c">ss!$N$53</definedName>
    <definedName name="s_IRCO_res_a" localSheetId="0">[1]ss!$E$58</definedName>
    <definedName name="s_IRCO_res_a">ss!$E$58</definedName>
    <definedName name="s_IRCO_res_c" localSheetId="0">[1]ss!$E$57</definedName>
    <definedName name="s_IRCO_res_c">ss!$E$57</definedName>
    <definedName name="s_IRCR_far_a" localSheetId="0">[1]ss!$N$45</definedName>
    <definedName name="s_IRCR_far_a">ss!$N$45</definedName>
    <definedName name="s_IRCR_far_c" localSheetId="0">[1]ss!$N$44</definedName>
    <definedName name="s_IRCR_far_c">ss!$N$44</definedName>
    <definedName name="s_IRCR_res_a" localSheetId="0">[1]ss!$E$49</definedName>
    <definedName name="s_IRCR_res_a">ss!$E$49</definedName>
    <definedName name="s_IRCR_res_c" localSheetId="0">[1]ss!$E$48</definedName>
    <definedName name="s_IRCR_res_c">ss!$E$48</definedName>
    <definedName name="s_IRCU_far_a" localSheetId="0">[1]ss!$N$57</definedName>
    <definedName name="s_IRCU_far_a">ss!$N$57</definedName>
    <definedName name="s_IRCU_far_c" localSheetId="0">[1]ss!$N$56</definedName>
    <definedName name="s_IRCU_far_c">ss!$N$56</definedName>
    <definedName name="s_IRCU_res_a" localSheetId="0">[1]ss!$E$61</definedName>
    <definedName name="s_IRCU_res_a">ss!$E$61</definedName>
    <definedName name="s_IRCU_res_c" localSheetId="0">[1]ss!$E$60</definedName>
    <definedName name="s_IRCU_res_c">ss!$E$60</definedName>
    <definedName name="s_IRD_far_a" localSheetId="0">[1]ss!$Q$16</definedName>
    <definedName name="s_IRD_far_a">ss!$Q$16</definedName>
    <definedName name="s_IRD_far_c" localSheetId="0">[1]ss!$Q$15</definedName>
    <definedName name="s_IRD_far_c">ss!$Q$15</definedName>
    <definedName name="s_IRE_far_a" localSheetId="0">[1]ss!$Q$19</definedName>
    <definedName name="s_IRE_far_a">ss!$Q$19</definedName>
    <definedName name="s_IRE_far_c" localSheetId="0">[1]ss!$Q$18</definedName>
    <definedName name="s_IRE_far_c">ss!$Q$18</definedName>
    <definedName name="s_IRF_res" localSheetId="0">[1]ss!$E$16</definedName>
    <definedName name="s_IRF_res">ss!$E$16</definedName>
    <definedName name="s_IRFI_far_a" localSheetId="0">[1]ss!$Q$25</definedName>
    <definedName name="s_IRFI_far_a">ss!$Q$25</definedName>
    <definedName name="s_IRFI_far_c" localSheetId="0">[1]ss!$Q$24</definedName>
    <definedName name="s_IRFI_far_c">ss!$Q$24</definedName>
    <definedName name="s_IRGF_rec" localSheetId="0">[1]ss!$H$17</definedName>
    <definedName name="s_IRGF_rec">ss!$H$17</definedName>
    <definedName name="s_IRGL_rec" localSheetId="0">[1]ss!$H$16</definedName>
    <definedName name="s_IRGL_rec">ss!$H$16</definedName>
    <definedName name="s_IRGM_far_a" localSheetId="0">[1]ss!$Q$40</definedName>
    <definedName name="s_IRGM_far_a">ss!$Q$40</definedName>
    <definedName name="s_IRGM_far_c" localSheetId="0">[1]ss!$Q$39</definedName>
    <definedName name="s_IRGM_far_c">ss!$Q$39</definedName>
    <definedName name="s_IRGO_far_a" localSheetId="0">[1]ss!$Q$34</definedName>
    <definedName name="s_IRGO_far_a">ss!$Q$34</definedName>
    <definedName name="s_IRGO_far_c" localSheetId="0">[1]ss!$Q$33</definedName>
    <definedName name="s_IRGO_far_c">ss!$Q$33</definedName>
    <definedName name="s_IRLE_far_a" localSheetId="0">[1]ss!$N$60</definedName>
    <definedName name="s_IRLE_far_a">ss!$N$60</definedName>
    <definedName name="s_IRLE_far_c" localSheetId="0">[1]ss!$N$59</definedName>
    <definedName name="s_IRLE_far_c">ss!$N$59</definedName>
    <definedName name="s_IRLE_res_a" localSheetId="0">[1]ss!$E$64</definedName>
    <definedName name="s_IRLE_res_a">ss!$E$64</definedName>
    <definedName name="s_IRLE_res_c" localSheetId="0">[1]ss!$E$63</definedName>
    <definedName name="s_IRLE_res_c">ss!$E$63</definedName>
    <definedName name="s_IRLI_far_a" localSheetId="0">[1]ss!$N$63</definedName>
    <definedName name="s_IRLI_far_a">ss!$N$63</definedName>
    <definedName name="s_IRLI_far_c" localSheetId="0">[1]ss!$N$62</definedName>
    <definedName name="s_IRLI_far_c">ss!$N$62</definedName>
    <definedName name="s_IRLI_res_a" localSheetId="0">[1]ss!$E$67</definedName>
    <definedName name="s_IRLI_res_a">ss!$E$67</definedName>
    <definedName name="s_IRLI_res_c" localSheetId="0">[1]ss!$E$66</definedName>
    <definedName name="s_IRLI_res_c">ss!$E$66</definedName>
    <definedName name="s_IROK_far_a" localSheetId="0">[1]ss!$N$66</definedName>
    <definedName name="s_IROK_far_a">ss!$N$66</definedName>
    <definedName name="s_IROK_far_c" localSheetId="0">[1]ss!$N$65</definedName>
    <definedName name="s_IROK_far_c">ss!$N$65</definedName>
    <definedName name="s_IROK_res_a" localSheetId="0">[1]ss!$E$70</definedName>
    <definedName name="s_IROK_res_a">ss!$E$70</definedName>
    <definedName name="s_IROK_res_c" localSheetId="0">[1]ss!$E$69</definedName>
    <definedName name="s_IROK_res_c">ss!$E$69</definedName>
    <definedName name="s_IRON_far_a" localSheetId="0">[1]ss!$N$69</definedName>
    <definedName name="s_IRON_far_a">ss!$N$69</definedName>
    <definedName name="s_IRON_far_c" localSheetId="0">[1]ss!$N$68</definedName>
    <definedName name="s_IRON_far_c">ss!$N$68</definedName>
    <definedName name="s_IRON_res_a" localSheetId="0">[1]ss!$E$73</definedName>
    <definedName name="s_IRON_res_a">ss!$E$73</definedName>
    <definedName name="s_IRON_res_c" localSheetId="0">[1]ss!$E$72</definedName>
    <definedName name="s_IRON_res_c">ss!$E$72</definedName>
    <definedName name="s_IRP_far_a" localSheetId="0">[1]ss!$Q$22</definedName>
    <definedName name="s_IRP_far_a">ss!$Q$22</definedName>
    <definedName name="s_IRP_far_c" localSheetId="0">[1]ss!$Q$21</definedName>
    <definedName name="s_IRP_far_c">ss!$Q$21</definedName>
    <definedName name="s_IRPC_far_a" localSheetId="0">[1]ss!$N$72</definedName>
    <definedName name="s_IRPC_far_a">ss!$N$72</definedName>
    <definedName name="s_IRPC_far_c" localSheetId="0">[1]ss!$N$71</definedName>
    <definedName name="s_IRPC_far_c">ss!$N$71</definedName>
    <definedName name="s_IRPC_res_a" localSheetId="0">[1]ss!$E$76</definedName>
    <definedName name="s_IRPC_res_a">ss!$E$76</definedName>
    <definedName name="s_IRPC_res_c" localSheetId="0">[1]ss!$E$75</definedName>
    <definedName name="s_IRPC_res_c">ss!$E$75</definedName>
    <definedName name="s_IRPE_far_a" localSheetId="0">[1]ss!$N$78</definedName>
    <definedName name="s_IRPE_far_a">ss!$N$78</definedName>
    <definedName name="s_IRPE_far_c" localSheetId="0">[1]ss!$N$77</definedName>
    <definedName name="s_IRPE_far_c">ss!$N$77</definedName>
    <definedName name="s_IRPE_res_a" localSheetId="0">[1]ss!$E$82</definedName>
    <definedName name="s_IRPE_res_a">ss!$E$82</definedName>
    <definedName name="s_IRPE_res_c" localSheetId="0">[1]ss!$E$81</definedName>
    <definedName name="s_IRPE_res_c">ss!$E$81</definedName>
    <definedName name="s_IRPR_far_a" localSheetId="0">[1]ss!$N$75</definedName>
    <definedName name="s_IRPR_far_a">ss!$N$75</definedName>
    <definedName name="s_IRPR_far_c" localSheetId="0">[1]ss!$N$74</definedName>
    <definedName name="s_IRPR_far_c">ss!$N$74</definedName>
    <definedName name="s_IRPR_res_a" localSheetId="0">[1]ss!$E$79</definedName>
    <definedName name="s_IRPR_res_a">ss!$E$79</definedName>
    <definedName name="s_IRPR_res_c" localSheetId="0">[1]ss!$E$78</definedName>
    <definedName name="s_IRPR_res_c">ss!$E$78</definedName>
    <definedName name="s_IRPT_far_a" localSheetId="0">[1]ss!$N$81</definedName>
    <definedName name="s_IRPT_far_a">ss!$N$81</definedName>
    <definedName name="s_IRPT_far_c" localSheetId="0">[1]ss!$N$80</definedName>
    <definedName name="s_IRPT_far_c">ss!$N$80</definedName>
    <definedName name="s_IRPT_res_a" localSheetId="0">[1]ss!$E$85</definedName>
    <definedName name="s_IRPT_res_a">ss!$E$85</definedName>
    <definedName name="s_IRPT_res_c" localSheetId="0">[1]ss!$E$84</definedName>
    <definedName name="s_IRPT_res_c">ss!$E$84</definedName>
    <definedName name="s_IRPU_far_a" localSheetId="0">[1]ss!$N$84</definedName>
    <definedName name="s_IRPU_far_a">ss!$N$84</definedName>
    <definedName name="s_IRPU_far_c" localSheetId="0">[1]ss!$N$83</definedName>
    <definedName name="s_IRPU_far_c">ss!$N$83</definedName>
    <definedName name="s_IRPU_res_a" localSheetId="0">[1]ss!$E$88</definedName>
    <definedName name="s_IRPU_res_a">ss!$E$88</definedName>
    <definedName name="s_IRPU_res_c" localSheetId="0">[1]ss!$E$87</definedName>
    <definedName name="s_IRPU_res_c">ss!$E$87</definedName>
    <definedName name="s_IRRI_far_a" localSheetId="0">[1]ss!$N$87</definedName>
    <definedName name="s_IRRI_far_a">ss!$N$87</definedName>
    <definedName name="s_IRRI_far_c" localSheetId="0">[1]ss!$N$86</definedName>
    <definedName name="s_IRRI_far_c">ss!$N$86</definedName>
    <definedName name="s_IRRI_res_a" localSheetId="0">[1]ss!$E$91</definedName>
    <definedName name="s_IRRI_res_a">ss!$E$91</definedName>
    <definedName name="s_IRRI_res_c" localSheetId="0">[1]ss!$E$90</definedName>
    <definedName name="s_IRRI_res_c">ss!$E$90</definedName>
    <definedName name="s_IRS_far_a" localSheetId="0">[1]ss!$K$11</definedName>
    <definedName name="s_IRS_far_a">ss!$K$11</definedName>
    <definedName name="s_IRS_far_c" localSheetId="0">[1]ss!$K$10</definedName>
    <definedName name="s_IRS_far_c">ss!$K$10</definedName>
    <definedName name="s_IRS_rec_a" localSheetId="0">[1]ss!$H$11</definedName>
    <definedName name="s_IRS_rec_a">ss!$H$11</definedName>
    <definedName name="s_IRS_rec_c" localSheetId="0">[1]ss!$H$10</definedName>
    <definedName name="s_IRS_rec_c">ss!$H$10</definedName>
    <definedName name="s_IRS_res_a" localSheetId="0">[1]ss!$E$11</definedName>
    <definedName name="s_IRS_res_a">ss!$E$11</definedName>
    <definedName name="s_IRS_res_c" localSheetId="0">[1]ss!$E$10</definedName>
    <definedName name="s_IRS_res_c">ss!$E$10</definedName>
    <definedName name="s_IRSH_far_a" localSheetId="0">[1]ss!$Q$31</definedName>
    <definedName name="s_IRSH_far_a">ss!$Q$31</definedName>
    <definedName name="s_IRSH_far_c" localSheetId="0">[1]ss!$Q$30</definedName>
    <definedName name="s_IRSH_far_c">ss!$Q$30</definedName>
    <definedName name="s_IRSM_far_a" localSheetId="0">[1]ss!$Q$37</definedName>
    <definedName name="s_IRSM_far_a">ss!$Q$37</definedName>
    <definedName name="s_IRSM_far_c" localSheetId="0">[1]ss!$Q$36</definedName>
    <definedName name="s_IRSM_far_c">ss!$Q$36</definedName>
    <definedName name="s_IRSN_far_a" localSheetId="0">[1]ss!$N$90</definedName>
    <definedName name="s_IRSN_far_a">ss!$N$90</definedName>
    <definedName name="s_IRSN_far_c" localSheetId="0">[1]ss!$N$89</definedName>
    <definedName name="s_IRSN_far_c">ss!$N$89</definedName>
    <definedName name="s_IRSN_res_a" localSheetId="0">[1]ss!$E$94</definedName>
    <definedName name="s_IRSN_res_a">ss!$E$94</definedName>
    <definedName name="s_IRSN_res_c" localSheetId="0">[1]ss!$E$93</definedName>
    <definedName name="s_IRSN_res_c">ss!$E$93</definedName>
    <definedName name="s_IRST_far_a" localSheetId="0">[1]ss!$N$93</definedName>
    <definedName name="s_IRST_far_a">ss!$N$93</definedName>
    <definedName name="s_IRST_far_c" localSheetId="0">[1]ss!$N$92</definedName>
    <definedName name="s_IRST_far_c">ss!$N$92</definedName>
    <definedName name="s_IRST_res_a" localSheetId="0">[1]ss!$E$97</definedName>
    <definedName name="s_IRST_res_a">ss!$E$97</definedName>
    <definedName name="s_IRST_res_c" localSheetId="0">[1]ss!$E$96</definedName>
    <definedName name="s_IRST_res_c">ss!$E$96</definedName>
    <definedName name="s_IRSW_far_a" localSheetId="0">[1]ss!$Q$28</definedName>
    <definedName name="s_IRSW_far_a">ss!$Q$28</definedName>
    <definedName name="s_IRSW_far_c" localSheetId="0">[1]ss!$Q$27</definedName>
    <definedName name="s_IRSW_far_c">ss!$Q$27</definedName>
    <definedName name="s_IRTO_far_a" localSheetId="0">[1]ss!$N$96</definedName>
    <definedName name="s_IRTO_far_a">ss!$N$96</definedName>
    <definedName name="s_IRTO_far_c" localSheetId="0">[1]ss!$N$95</definedName>
    <definedName name="s_IRTO_far_c">ss!$N$95</definedName>
    <definedName name="s_IRTO_res_a" localSheetId="0">[1]ss!$E$100</definedName>
    <definedName name="s_IRTO_res_a">ss!$E$100</definedName>
    <definedName name="s_IRTO_res_c" localSheetId="0">[1]ss!$E$99</definedName>
    <definedName name="s_IRTO_res_c">ss!$E$99</definedName>
    <definedName name="s_IRW_far_a" localSheetId="0">[1]ss!$K$14</definedName>
    <definedName name="s_IRW_far_a">ss!$K$14</definedName>
    <definedName name="s_IRW_far_c" localSheetId="0">[1]ss!$K$13</definedName>
    <definedName name="s_IRW_far_c">ss!$K$13</definedName>
    <definedName name="s_IRW_rec_a" localSheetId="0">[1]ss!$H$14</definedName>
    <definedName name="s_IRW_rec_a">ss!$H$14</definedName>
    <definedName name="s_IRW_rec_c" localSheetId="0">[1]ss!$H$13</definedName>
    <definedName name="s_IRW_rec_c">ss!$H$13</definedName>
    <definedName name="s_IRW_res_a" localSheetId="0">[1]ss!$E$14</definedName>
    <definedName name="s_IRW_res_a">ss!$E$14</definedName>
    <definedName name="s_IRW_res_c" localSheetId="0">[1]ss!$E$13</definedName>
    <definedName name="s_IRW_res_c">ss!$E$13</definedName>
    <definedName name="s_K" localSheetId="0">[1]ss!$B$3</definedName>
    <definedName name="s_K">ss!$B$3</definedName>
    <definedName name="s_K_s2gw" localSheetId="0">[1]ss!$B$20</definedName>
    <definedName name="s_K_s2gw">ss!$B$20</definedName>
    <definedName name="s_L_s2gw" localSheetId="0">[1]ss!$B$23</definedName>
    <definedName name="s_L_s2gw">ss!$B$23</definedName>
    <definedName name="s_lambda_HL" localSheetId="0">[1]ss!$B$7</definedName>
    <definedName name="s_lambda_HL">ss!$B$7</definedName>
    <definedName name="s_ls2gw" localSheetId="0">[1]ss!$B$22</definedName>
    <definedName name="s_ls2gw">ss!$B$22</definedName>
    <definedName name="s_MLF_apple" localSheetId="0">[1]ss!$K$30</definedName>
    <definedName name="s_MLF_apple">ss!$N$98</definedName>
    <definedName name="s_MLF_asparagus" localSheetId="0">[1]ss!$K$31</definedName>
    <definedName name="s_MLF_asparagus">ss!$N$99</definedName>
    <definedName name="s_MLF_beet" localSheetId="0">[1]ss!$K$32</definedName>
    <definedName name="s_MLF_beet">ss!$N$100</definedName>
    <definedName name="s_MLF_berries" localSheetId="0">[1]ss!$K$33</definedName>
    <definedName name="s_MLF_berries">ss!$N$101</definedName>
    <definedName name="s_MLF_broccoli" localSheetId="0">[1]ss!$K$34</definedName>
    <definedName name="s_MLF_broccoli">ss!$N$102</definedName>
    <definedName name="s_MLF_cabbage" localSheetId="0">[1]ss!$K$35</definedName>
    <definedName name="s_MLF_cabbage">ss!$N$103</definedName>
    <definedName name="s_MLF_carrot" localSheetId="0">[1]ss!$K$36</definedName>
    <definedName name="s_MLF_carrot">ss!$N$104</definedName>
    <definedName name="s_MLF_cereal" localSheetId="0">[1]ss!$K$52</definedName>
    <definedName name="s_MLF_cereal">ss!$N$120</definedName>
    <definedName name="s_MLF_citrus" localSheetId="0">[1]ss!$K$37</definedName>
    <definedName name="s_MLF_citrus">ss!$N$105</definedName>
    <definedName name="s_MLF_corn" localSheetId="0">[1]ss!$K$38</definedName>
    <definedName name="s_MLF_corn">ss!$N$106</definedName>
    <definedName name="s_MLF_cucumber" localSheetId="0">[1]ss!$K$39</definedName>
    <definedName name="s_MLF_cucumber">ss!$N$107</definedName>
    <definedName name="s_MLF_lettuce" localSheetId="0">[1]ss!$K$40</definedName>
    <definedName name="s_MLF_lettuce">ss!$N$108</definedName>
    <definedName name="s_MLF_lima_bean" localSheetId="0">[1]ss!$K$41</definedName>
    <definedName name="s_MLF_lima_bean">ss!$N$109</definedName>
    <definedName name="s_MLF_okra" localSheetId="0">[1]ss!$K$42</definedName>
    <definedName name="s_MLF_okra">ss!$N$110</definedName>
    <definedName name="s_MLF_onion" localSheetId="0">[1]ss!$K$43</definedName>
    <definedName name="s_MLF_onion">ss!$N$111</definedName>
    <definedName name="s_MLF_pasture" localSheetId="0">[1]ss!$Q$68</definedName>
    <definedName name="s_MLF_pasture">ss!$Q$68</definedName>
    <definedName name="s_MLF_peach" localSheetId="0">[1]ss!$K$44</definedName>
    <definedName name="s_MLF_peach">ss!$N$112</definedName>
    <definedName name="s_MLF_pear" localSheetId="0">[1]ss!$K$45</definedName>
    <definedName name="s_MLF_pear">ss!$N$113</definedName>
    <definedName name="s_MLF_peas" localSheetId="0">[1]ss!$K$46</definedName>
    <definedName name="s_MLF_peas">ss!$N$114</definedName>
    <definedName name="s_MLF_potato" localSheetId="0">[1]ss!$K$47</definedName>
    <definedName name="s_MLF_potato">ss!$N$115</definedName>
    <definedName name="s_MLF_pumpkin" localSheetId="0">[1]ss!$K$48</definedName>
    <definedName name="s_MLF_pumpkin">ss!$N$116</definedName>
    <definedName name="s_MLF_rice" localSheetId="0">[1]ss!$K$53</definedName>
    <definedName name="s_MLF_rice">ss!$N$121</definedName>
    <definedName name="s_MLF_snap_bean" localSheetId="0">[1]ss!$K$49</definedName>
    <definedName name="s_MLF_snap_bean">ss!$N$117</definedName>
    <definedName name="s_MLF_strawberry" localSheetId="0">[1]ss!$K$50</definedName>
    <definedName name="s_MLF_strawberry">ss!$N$118</definedName>
    <definedName name="s_MLF_tomato" localSheetId="0">[1]ss!$K$51</definedName>
    <definedName name="s_MLF_tomato">ss!$N$119</definedName>
    <definedName name="s_P" localSheetId="0">[1]ss!$B$11</definedName>
    <definedName name="s_P">ss!$B$11</definedName>
    <definedName name="s_PEF_wind" localSheetId="0">[1]ss!$B$27</definedName>
    <definedName name="s_PEF_wind">ss!$B$27</definedName>
    <definedName name="s_Q_C_wind" localSheetId="0">[1]ss!$B$32</definedName>
    <definedName name="s_Q_C_wind">ss!$B$32</definedName>
    <definedName name="s_Q_p_beef" localSheetId="0">[1]ss!$Q$49</definedName>
    <definedName name="s_Q_p_beef">ss!$Q$49</definedName>
    <definedName name="s_Q_p_dairy" localSheetId="0">[1]ss!$Q$44</definedName>
    <definedName name="s_Q_p_dairy">ss!$Q$44</definedName>
    <definedName name="s_Q_p_egg" localSheetId="0">[1]ss!$Q$54</definedName>
    <definedName name="s_Q_p_egg">ss!$Q$54</definedName>
    <definedName name="s_Q_p_fowl" localSheetId="0">[1]ss!$H$28</definedName>
    <definedName name="s_Q_p_fowl">ss!$H$28</definedName>
    <definedName name="s_Q_p_game" localSheetId="0">[1]ss!$H$33</definedName>
    <definedName name="s_Q_p_game">ss!$H$33</definedName>
    <definedName name="s_Q_p_goat" localSheetId="0">[1]ss!$Q$76</definedName>
    <definedName name="s_Q_p_goat">ss!$Q$76</definedName>
    <definedName name="s_Q_p_goat_milk" localSheetId="0">[1]ss!$Q$81</definedName>
    <definedName name="s_Q_p_goat_milk">ss!$Q$81</definedName>
    <definedName name="s_Q_p_poultry" localSheetId="0">[1]ss!$Q$59</definedName>
    <definedName name="s_Q_p_poultry">ss!$Q$59</definedName>
    <definedName name="s_Q_p_sheep" localSheetId="0">[1]ss!$Q$71</definedName>
    <definedName name="s_Q_p_sheep">ss!$Q$71</definedName>
    <definedName name="s_Q_p_sheep_milk" localSheetId="0">[1]ss!$Q$86</definedName>
    <definedName name="s_Q_p_sheep_milk">ss!$Q$86</definedName>
    <definedName name="s_Q_p_swine" localSheetId="0">[1]ss!$Q$64</definedName>
    <definedName name="s_Q_p_swine">ss!$Q$64</definedName>
    <definedName name="s_Q_s_beef" localSheetId="0">[1]ss!$Q$50</definedName>
    <definedName name="s_Q_s_beef">ss!$Q$50</definedName>
    <definedName name="s_Q_s_dairy" localSheetId="0">[1]ss!$Q$45</definedName>
    <definedName name="s_Q_s_dairy">ss!$Q$45</definedName>
    <definedName name="s_Q_s_egg">ss!$Q$55</definedName>
    <definedName name="s_Q_s_fowl" localSheetId="0">[1]ss!$H$29</definedName>
    <definedName name="s_Q_s_fowl">ss!$H$29</definedName>
    <definedName name="s_Q_s_game" localSheetId="0">[1]ss!$H$34</definedName>
    <definedName name="s_Q_s_game">ss!$H$34</definedName>
    <definedName name="s_Q_s_goat" localSheetId="0">[1]ss!$Q$77</definedName>
    <definedName name="s_Q_s_goat">ss!$Q$77</definedName>
    <definedName name="s_Q_s_goat_milk" localSheetId="0">[1]ss!$Q$82</definedName>
    <definedName name="s_Q_s_goat_milk">ss!$Q$82</definedName>
    <definedName name="s_Q_s_poultry" localSheetId="0">[1]ss!$Q$60</definedName>
    <definedName name="s_Q_s_poultry">ss!$Q$60</definedName>
    <definedName name="s_Q_s_sheep" localSheetId="0">[1]ss!$Q$72</definedName>
    <definedName name="s_Q_s_sheep">ss!$Q$72</definedName>
    <definedName name="s_Q_s_sheep_milk" localSheetId="0">[1]ss!$Q$87</definedName>
    <definedName name="s_Q_s_sheep_milk">ss!$Q$87</definedName>
    <definedName name="s_Q_s_swine" localSheetId="0">[1]ss!$Q$65</definedName>
    <definedName name="s_Q_s_swine">ss!$Q$65</definedName>
    <definedName name="s_Q_w_beef" localSheetId="0">[1]ss!$Q$48</definedName>
    <definedName name="s_Q_w_beef">ss!$Q$48</definedName>
    <definedName name="s_Q_w_dairy" localSheetId="0">[1]ss!$Q$42</definedName>
    <definedName name="s_Q_w_dairy">ss!$Q$42</definedName>
    <definedName name="s_Q_w_egg" localSheetId="0">[1]ss!$Q$53</definedName>
    <definedName name="s_Q_w_egg">ss!$Q$53</definedName>
    <definedName name="s_Q_w_fowl" localSheetId="0">[1]ss!$H$32</definedName>
    <definedName name="s_Q_w_fowl">ss!$H$32</definedName>
    <definedName name="s_Q_w_game" localSheetId="0">[1]ss!$H$37</definedName>
    <definedName name="s_Q_w_game">ss!$H$37</definedName>
    <definedName name="s_Q_w_goat" localSheetId="0">[1]ss!$Q$75</definedName>
    <definedName name="s_Q_w_goat">ss!$Q$75</definedName>
    <definedName name="s_Q_w_goat_milk" localSheetId="0">[1]ss!$Q$80</definedName>
    <definedName name="s_Q_w_goat_milk">ss!$Q$80</definedName>
    <definedName name="s_Q_w_poultry" localSheetId="0">[1]ss!$Q$58</definedName>
    <definedName name="s_Q_w_poultry">ss!$Q$58</definedName>
    <definedName name="s_Q_w_sheep" localSheetId="0">[1]ss!$Q$70</definedName>
    <definedName name="s_Q_w_sheep">ss!$Q$70</definedName>
    <definedName name="s_Q_w_sheep_milk" localSheetId="0">[1]ss!$Q$85</definedName>
    <definedName name="s_Q_w_sheep_milk">ss!$Q$85</definedName>
    <definedName name="s_Q_w_swine" localSheetId="0">[1]ss!$Q$63</definedName>
    <definedName name="s_Q_w_swine">ss!$Q$63</definedName>
    <definedName name="s_R_es_past" localSheetId="0">[1]ss!$Q$69</definedName>
    <definedName name="s_R_es_past">ss!$Q$69</definedName>
    <definedName name="s_T" localSheetId="0">[1]ss!$B$15</definedName>
    <definedName name="s_T">ss!$B$15</definedName>
    <definedName name="s_t_b" localSheetId="0">[1]ss!$B$10</definedName>
    <definedName name="s_t_b">ss!$B$10</definedName>
    <definedName name="s_t_far" localSheetId="0">[1]ss!$K$5</definedName>
    <definedName name="s_t_far">ss!$K$5</definedName>
    <definedName name="s_t_rec" localSheetId="0">[1]ss!$H$5</definedName>
    <definedName name="s_t_rec">ss!$H$5</definedName>
    <definedName name="s_t_res" localSheetId="0">[1]ss!$E$5</definedName>
    <definedName name="s_t_res">ss!$E$5</definedName>
    <definedName name="s_t_v" localSheetId="0">[1]ss!$B$13</definedName>
    <definedName name="s_t_v">ss!$B$13</definedName>
    <definedName name="s_t_w" localSheetId="0">[1]ss!$B$16</definedName>
    <definedName name="s_t_w">ss!$B$16</definedName>
    <definedName name="s_TR" localSheetId="0">[1]ss!$B$2</definedName>
    <definedName name="s_TR">ss!$B$2</definedName>
    <definedName name="s_Um" localSheetId="0">[1]ss!$B$28</definedName>
    <definedName name="s_Um">ss!$B$28</definedName>
    <definedName name="s_Ut" localSheetId="0">[1]ss!$B$29</definedName>
    <definedName name="s_Ut">ss!$B$29</definedName>
    <definedName name="s_V" localSheetId="0">[1]ss!$B$31</definedName>
    <definedName name="s_V">ss!$B$31</definedName>
    <definedName name="s_x">ss!$B$39</definedName>
    <definedName name="s_Y_v" localSheetId="0">[1]ss!$B$14</definedName>
    <definedName name="s_Y_v">ss!$B$14</definedName>
    <definedName name="s_θw" localSheetId="0">[1]ss!$B$18</definedName>
    <definedName name="s_θw">ss!$B$18</definedName>
    <definedName name="s_ρb" localSheetId="0">[1]ss!$B$17</definedName>
    <definedName name="s_ρb">ss!$B$17</definedName>
    <definedName name="T" localSheetId="0">[1]d!$B$15</definedName>
    <definedName name="T">d!$B$15</definedName>
    <definedName name="t_b" localSheetId="0">[1]d!$B$10</definedName>
    <definedName name="t_b">d!$B$10</definedName>
    <definedName name="t_far" localSheetId="0">[1]d!$K$5</definedName>
    <definedName name="t_far">d!$K$5</definedName>
    <definedName name="t_rec" localSheetId="0">[1]d!$H$5</definedName>
    <definedName name="t_rec">d!$H$5</definedName>
    <definedName name="t_res" localSheetId="0">[1]d!$E$5</definedName>
    <definedName name="t_res">d!$E$5</definedName>
    <definedName name="t_v" localSheetId="0">[1]d!$B$13</definedName>
    <definedName name="t_v">d!$B$13</definedName>
    <definedName name="t_w" localSheetId="0">[1]d!$B$16</definedName>
    <definedName name="t_w">d!$B$16</definedName>
    <definedName name="TR" localSheetId="0">[1]d!$B$2</definedName>
    <definedName name="TR">d!$B$2</definedName>
    <definedName name="Um" localSheetId="0">[1]d!$B$28</definedName>
    <definedName name="Um">d!$B$28</definedName>
    <definedName name="Ut" localSheetId="0">[1]d!$B$29</definedName>
    <definedName name="Ut">d!$B$29</definedName>
    <definedName name="V" localSheetId="0">[1]d!$B$31</definedName>
    <definedName name="V">d!$B$31</definedName>
    <definedName name="Y_v" localSheetId="0">[1]d!$B$14</definedName>
    <definedName name="Y_v">d!$B$14</definedName>
    <definedName name="θw" localSheetId="0">[1]d!$B$18</definedName>
    <definedName name="θw">d!$B$18</definedName>
    <definedName name="ρb" localSheetId="0">[1]d!$B$17</definedName>
    <definedName name="ρb">d!$B$17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76" i="37" l="1"/>
  <c r="AG75" i="37"/>
  <c r="AG74" i="37"/>
  <c r="AG73" i="37"/>
  <c r="AG72" i="37"/>
  <c r="AG71" i="37"/>
  <c r="AG70" i="37"/>
  <c r="AG69" i="37"/>
  <c r="AG68" i="37"/>
  <c r="AG67" i="37"/>
  <c r="AG66" i="37"/>
  <c r="AG65" i="37"/>
  <c r="AG64" i="37"/>
  <c r="AG62" i="37"/>
  <c r="AG61" i="37"/>
  <c r="AG60" i="37"/>
  <c r="AG59" i="37"/>
  <c r="AG58" i="37"/>
  <c r="AG57" i="37"/>
  <c r="AG56" i="37"/>
  <c r="AG55" i="37"/>
  <c r="AG54" i="37"/>
  <c r="AG53" i="37"/>
  <c r="AG52" i="37"/>
  <c r="AG51" i="37"/>
  <c r="AG50" i="37"/>
  <c r="W76" i="37"/>
  <c r="W75" i="37"/>
  <c r="W74" i="37"/>
  <c r="W73" i="37"/>
  <c r="W72" i="37"/>
  <c r="W71" i="37"/>
  <c r="W70" i="37"/>
  <c r="W69" i="37"/>
  <c r="W68" i="37"/>
  <c r="W67" i="37"/>
  <c r="W66" i="37"/>
  <c r="W65" i="37"/>
  <c r="W64" i="37"/>
  <c r="W62" i="37"/>
  <c r="W61" i="37"/>
  <c r="W60" i="37"/>
  <c r="W59" i="37"/>
  <c r="W58" i="37"/>
  <c r="W57" i="37"/>
  <c r="W56" i="37"/>
  <c r="W55" i="37"/>
  <c r="W54" i="37"/>
  <c r="W53" i="37"/>
  <c r="W52" i="37"/>
  <c r="W51" i="37"/>
  <c r="W50" i="37"/>
  <c r="W49" i="37"/>
  <c r="V76" i="37"/>
  <c r="V75" i="37"/>
  <c r="V74" i="37"/>
  <c r="V73" i="37"/>
  <c r="V72" i="37"/>
  <c r="V71" i="37"/>
  <c r="V70" i="37"/>
  <c r="V69" i="37"/>
  <c r="V68" i="37"/>
  <c r="V67" i="37"/>
  <c r="V66" i="37"/>
  <c r="V65" i="37"/>
  <c r="V64" i="37"/>
  <c r="V62" i="37"/>
  <c r="V61" i="37"/>
  <c r="V60" i="37"/>
  <c r="V59" i="37"/>
  <c r="V58" i="37"/>
  <c r="V57" i="37"/>
  <c r="V56" i="37"/>
  <c r="V55" i="37"/>
  <c r="V54" i="37"/>
  <c r="V53" i="37"/>
  <c r="V52" i="37"/>
  <c r="V51" i="37"/>
  <c r="V50" i="37"/>
  <c r="V49" i="37"/>
  <c r="U76" i="37"/>
  <c r="U75" i="37"/>
  <c r="U74" i="37"/>
  <c r="U73" i="37"/>
  <c r="U72" i="37"/>
  <c r="U71" i="37"/>
  <c r="U70" i="37"/>
  <c r="U69" i="37"/>
  <c r="U68" i="37"/>
  <c r="U67" i="37"/>
  <c r="U66" i="37"/>
  <c r="U65" i="37"/>
  <c r="U64" i="37"/>
  <c r="U62" i="37"/>
  <c r="U61" i="37"/>
  <c r="U60" i="37"/>
  <c r="U59" i="37"/>
  <c r="U58" i="37"/>
  <c r="U57" i="37"/>
  <c r="U56" i="37"/>
  <c r="U55" i="37"/>
  <c r="U54" i="37"/>
  <c r="U53" i="37"/>
  <c r="U52" i="37"/>
  <c r="U51" i="37"/>
  <c r="U50" i="37"/>
  <c r="U49" i="37"/>
  <c r="T76" i="37"/>
  <c r="T75" i="37"/>
  <c r="T74" i="37"/>
  <c r="T73" i="37"/>
  <c r="T72" i="37"/>
  <c r="T71" i="37"/>
  <c r="T70" i="37"/>
  <c r="T69" i="37"/>
  <c r="T68" i="37"/>
  <c r="T67" i="37"/>
  <c r="T66" i="37"/>
  <c r="T65" i="37"/>
  <c r="T64" i="37"/>
  <c r="T62" i="37"/>
  <c r="T61" i="37"/>
  <c r="T60" i="37"/>
  <c r="T59" i="37"/>
  <c r="T58" i="37"/>
  <c r="T57" i="37"/>
  <c r="T56" i="37"/>
  <c r="T55" i="37"/>
  <c r="T54" i="37"/>
  <c r="T53" i="37"/>
  <c r="T52" i="37"/>
  <c r="T51" i="37"/>
  <c r="T50" i="37"/>
  <c r="T49" i="37"/>
  <c r="S76" i="37"/>
  <c r="S75" i="37"/>
  <c r="S74" i="37"/>
  <c r="S73" i="37"/>
  <c r="S72" i="37"/>
  <c r="S71" i="37"/>
  <c r="S70" i="37"/>
  <c r="S69" i="37"/>
  <c r="S68" i="37"/>
  <c r="S67" i="37"/>
  <c r="S66" i="37"/>
  <c r="S65" i="37"/>
  <c r="S64" i="37"/>
  <c r="S62" i="37"/>
  <c r="S61" i="37"/>
  <c r="S60" i="37"/>
  <c r="S59" i="37"/>
  <c r="S58" i="37"/>
  <c r="S57" i="37"/>
  <c r="S56" i="37"/>
  <c r="S55" i="37"/>
  <c r="S54" i="37"/>
  <c r="S53" i="37"/>
  <c r="S52" i="37"/>
  <c r="S51" i="37"/>
  <c r="S50" i="37"/>
  <c r="S49" i="37"/>
  <c r="S47" i="37"/>
  <c r="T47" i="37"/>
  <c r="U47" i="37"/>
  <c r="V47" i="37"/>
  <c r="W47" i="37"/>
  <c r="CQ30" i="38" l="1"/>
  <c r="CQ29" i="38"/>
  <c r="CQ28" i="38"/>
  <c r="CQ27" i="38"/>
  <c r="DE27" i="38" s="1"/>
  <c r="CQ26" i="38"/>
  <c r="DE26" i="38" s="1"/>
  <c r="CQ24" i="38"/>
  <c r="CQ22" i="38"/>
  <c r="CQ37" i="38" s="1"/>
  <c r="CQ21" i="38"/>
  <c r="CQ20" i="38"/>
  <c r="CQ19" i="38"/>
  <c r="CQ18" i="38"/>
  <c r="CQ17" i="38"/>
  <c r="CQ16" i="38"/>
  <c r="CQ15" i="38"/>
  <c r="CQ14" i="38"/>
  <c r="CQ34" i="38" s="1"/>
  <c r="CQ13" i="38"/>
  <c r="CQ12" i="38"/>
  <c r="CQ11" i="38"/>
  <c r="CQ39" i="38" s="1"/>
  <c r="CQ10" i="38"/>
  <c r="CQ46" i="38" s="1"/>
  <c r="CQ9" i="38"/>
  <c r="DE9" i="38" s="1"/>
  <c r="CQ8" i="38"/>
  <c r="CQ7" i="38"/>
  <c r="DE7" i="38" s="1"/>
  <c r="CQ6" i="38"/>
  <c r="CQ5" i="38"/>
  <c r="CQ4" i="38"/>
  <c r="DE4" i="38" s="1"/>
  <c r="CQ3" i="38"/>
  <c r="DE3" i="38" s="1"/>
  <c r="CQ2" i="38"/>
  <c r="AP30" i="32"/>
  <c r="AP29" i="32"/>
  <c r="AP28" i="32"/>
  <c r="AP27" i="32"/>
  <c r="AP26" i="32"/>
  <c r="AP24" i="32"/>
  <c r="AP22" i="32"/>
  <c r="AP21" i="32"/>
  <c r="AP20" i="32"/>
  <c r="AP19" i="32"/>
  <c r="AP18" i="32"/>
  <c r="AP17" i="32"/>
  <c r="AP16" i="32"/>
  <c r="AP15" i="32"/>
  <c r="AP14" i="32"/>
  <c r="AP13" i="32"/>
  <c r="AP12" i="32"/>
  <c r="AP11" i="32"/>
  <c r="AP10" i="32"/>
  <c r="AP9" i="32"/>
  <c r="AP68" i="32" s="1"/>
  <c r="AY68" i="32" s="1"/>
  <c r="AP8" i="32"/>
  <c r="AP7" i="32"/>
  <c r="AP6" i="32"/>
  <c r="AP47" i="32" s="1"/>
  <c r="AY47" i="32" s="1"/>
  <c r="AP5" i="32"/>
  <c r="AP4" i="32"/>
  <c r="AP3" i="32"/>
  <c r="AP2" i="32"/>
  <c r="AP38" i="32" s="1"/>
  <c r="AY38" i="32" s="1"/>
  <c r="CQ35" i="38"/>
  <c r="CQ43" i="38"/>
  <c r="CQ36" i="38"/>
  <c r="DE22" i="38"/>
  <c r="CQ42" i="38"/>
  <c r="DE18" i="38"/>
  <c r="DE17" i="38"/>
  <c r="CQ44" i="38"/>
  <c r="DE14" i="38"/>
  <c r="CQ33" i="38"/>
  <c r="DE12" i="38"/>
  <c r="DE11" i="38"/>
  <c r="CQ47" i="38"/>
  <c r="DE5" i="38"/>
  <c r="CQ40" i="38"/>
  <c r="CQ38" i="38"/>
  <c r="AP43" i="32"/>
  <c r="AY43" i="32" s="1"/>
  <c r="AP39" i="32"/>
  <c r="AY39" i="32" s="1"/>
  <c r="AP35" i="32"/>
  <c r="AY35" i="32" s="1"/>
  <c r="AP71" i="32"/>
  <c r="AY71" i="32" s="1"/>
  <c r="AP36" i="32"/>
  <c r="AY36" i="32" s="1"/>
  <c r="AP37" i="32"/>
  <c r="AY37" i="32" s="1"/>
  <c r="AP42" i="32"/>
  <c r="AY42" i="32" s="1"/>
  <c r="AP58" i="32"/>
  <c r="AY58" i="32" s="1"/>
  <c r="AP44" i="32"/>
  <c r="AY44" i="32" s="1"/>
  <c r="AP34" i="32"/>
  <c r="AY34" i="32" s="1"/>
  <c r="AP33" i="32"/>
  <c r="AY33" i="32" s="1"/>
  <c r="AP46" i="32"/>
  <c r="AP54" i="32"/>
  <c r="AY54" i="32" s="1"/>
  <c r="AP41" i="32"/>
  <c r="AY41" i="32" s="1"/>
  <c r="AP40" i="32"/>
  <c r="AY40" i="32" s="1"/>
  <c r="AP32" i="32"/>
  <c r="AY32" i="32" s="1"/>
  <c r="BC30" i="33"/>
  <c r="BB30" i="33"/>
  <c r="AY30" i="33"/>
  <c r="AX30" i="33"/>
  <c r="AD30" i="33"/>
  <c r="AC30" i="33"/>
  <c r="AB30" i="33"/>
  <c r="AA30" i="33"/>
  <c r="Z30" i="33"/>
  <c r="BC29" i="33"/>
  <c r="BB29" i="33"/>
  <c r="AY29" i="33"/>
  <c r="AX29" i="33"/>
  <c r="AD29" i="33"/>
  <c r="AC29" i="33"/>
  <c r="AB29" i="33"/>
  <c r="AA29" i="33"/>
  <c r="Z29" i="33"/>
  <c r="BC28" i="33"/>
  <c r="BB28" i="33"/>
  <c r="AY28" i="33"/>
  <c r="AX28" i="33"/>
  <c r="AD28" i="33"/>
  <c r="AC28" i="33"/>
  <c r="AB28" i="33"/>
  <c r="AA28" i="33"/>
  <c r="Z28" i="33"/>
  <c r="BC27" i="33"/>
  <c r="BB27" i="33"/>
  <c r="AY27" i="33"/>
  <c r="AX27" i="33"/>
  <c r="AD27" i="33"/>
  <c r="AC27" i="33"/>
  <c r="AB27" i="33"/>
  <c r="AA27" i="33"/>
  <c r="Z27" i="33"/>
  <c r="BC26" i="33"/>
  <c r="BB26" i="33"/>
  <c r="AY26" i="33"/>
  <c r="AX26" i="33"/>
  <c r="AD26" i="33"/>
  <c r="AC26" i="33"/>
  <c r="AB26" i="33"/>
  <c r="AA26" i="33"/>
  <c r="Z26" i="33"/>
  <c r="BC25" i="33"/>
  <c r="BB25" i="33"/>
  <c r="AY25" i="33"/>
  <c r="AX25" i="33"/>
  <c r="AD25" i="33"/>
  <c r="AC25" i="33"/>
  <c r="AB25" i="33"/>
  <c r="AA25" i="33"/>
  <c r="Z25" i="33"/>
  <c r="BC24" i="33"/>
  <c r="BB24" i="33"/>
  <c r="AY24" i="33"/>
  <c r="AX24" i="33"/>
  <c r="AD24" i="33"/>
  <c r="AC24" i="33"/>
  <c r="AB24" i="33"/>
  <c r="AA24" i="33"/>
  <c r="Z24" i="33"/>
  <c r="BC23" i="33"/>
  <c r="BB23" i="33"/>
  <c r="AY23" i="33"/>
  <c r="AX23" i="33"/>
  <c r="AD23" i="33"/>
  <c r="AC23" i="33"/>
  <c r="AB23" i="33"/>
  <c r="AA23" i="33"/>
  <c r="Z23" i="33"/>
  <c r="BC22" i="33"/>
  <c r="BB22" i="33"/>
  <c r="AY22" i="33"/>
  <c r="AX22" i="33"/>
  <c r="AD22" i="33"/>
  <c r="AC22" i="33"/>
  <c r="AB22" i="33"/>
  <c r="AA22" i="33"/>
  <c r="Z22" i="33"/>
  <c r="BC21" i="33"/>
  <c r="BB21" i="33"/>
  <c r="AY21" i="33"/>
  <c r="AX21" i="33"/>
  <c r="AD21" i="33"/>
  <c r="AC21" i="33"/>
  <c r="AB21" i="33"/>
  <c r="AA21" i="33"/>
  <c r="Z21" i="33"/>
  <c r="BC20" i="33"/>
  <c r="BB20" i="33"/>
  <c r="AY20" i="33"/>
  <c r="AX20" i="33"/>
  <c r="AD20" i="33"/>
  <c r="AC20" i="33"/>
  <c r="AB20" i="33"/>
  <c r="AA20" i="33"/>
  <c r="Z20" i="33"/>
  <c r="BC19" i="33"/>
  <c r="BB19" i="33"/>
  <c r="AY19" i="33"/>
  <c r="AX19" i="33"/>
  <c r="AD19" i="33"/>
  <c r="AC19" i="33"/>
  <c r="AB19" i="33"/>
  <c r="AA19" i="33"/>
  <c r="Z19" i="33"/>
  <c r="BC18" i="33"/>
  <c r="BB18" i="33"/>
  <c r="AY18" i="33"/>
  <c r="AX18" i="33"/>
  <c r="AD18" i="33"/>
  <c r="AC18" i="33"/>
  <c r="AB18" i="33"/>
  <c r="AA18" i="33"/>
  <c r="Z18" i="33"/>
  <c r="BC17" i="33"/>
  <c r="BB17" i="33"/>
  <c r="AY17" i="33"/>
  <c r="AX17" i="33"/>
  <c r="AD17" i="33"/>
  <c r="AC17" i="33"/>
  <c r="AB17" i="33"/>
  <c r="AA17" i="33"/>
  <c r="Z17" i="33"/>
  <c r="BC16" i="33"/>
  <c r="BB16" i="33"/>
  <c r="AY16" i="33"/>
  <c r="AX16" i="33"/>
  <c r="AD16" i="33"/>
  <c r="AC16" i="33"/>
  <c r="AB16" i="33"/>
  <c r="AA16" i="33"/>
  <c r="Z16" i="33"/>
  <c r="BC15" i="33"/>
  <c r="BB15" i="33"/>
  <c r="AY15" i="33"/>
  <c r="AX15" i="33"/>
  <c r="AD15" i="33"/>
  <c r="AC15" i="33"/>
  <c r="AB15" i="33"/>
  <c r="AA15" i="33"/>
  <c r="Z15" i="33"/>
  <c r="BC14" i="33"/>
  <c r="BB14" i="33"/>
  <c r="AY14" i="33"/>
  <c r="AX14" i="33"/>
  <c r="AD14" i="33"/>
  <c r="AC14" i="33"/>
  <c r="AB14" i="33"/>
  <c r="AA14" i="33"/>
  <c r="Z14" i="33"/>
  <c r="BC13" i="33"/>
  <c r="BB13" i="33"/>
  <c r="AY13" i="33"/>
  <c r="AX13" i="33"/>
  <c r="AD13" i="33"/>
  <c r="AC13" i="33"/>
  <c r="AB13" i="33"/>
  <c r="AA13" i="33"/>
  <c r="Z13" i="33"/>
  <c r="BC12" i="33"/>
  <c r="BB12" i="33"/>
  <c r="AY12" i="33"/>
  <c r="AX12" i="33"/>
  <c r="AD12" i="33"/>
  <c r="AC12" i="33"/>
  <c r="AB12" i="33"/>
  <c r="AA12" i="33"/>
  <c r="Z12" i="33"/>
  <c r="BC11" i="33"/>
  <c r="BB11" i="33"/>
  <c r="AY11" i="33"/>
  <c r="AX11" i="33"/>
  <c r="AD11" i="33"/>
  <c r="AC11" i="33"/>
  <c r="AB11" i="33"/>
  <c r="AA11" i="33"/>
  <c r="Z11" i="33"/>
  <c r="BC10" i="33"/>
  <c r="BB10" i="33"/>
  <c r="AY10" i="33"/>
  <c r="AX10" i="33"/>
  <c r="AD10" i="33"/>
  <c r="AC10" i="33"/>
  <c r="AB10" i="33"/>
  <c r="AA10" i="33"/>
  <c r="Z10" i="33"/>
  <c r="BC9" i="33"/>
  <c r="BB9" i="33"/>
  <c r="AY9" i="33"/>
  <c r="AX9" i="33"/>
  <c r="AD9" i="33"/>
  <c r="AC9" i="33"/>
  <c r="AB9" i="33"/>
  <c r="AA9" i="33"/>
  <c r="Z9" i="33"/>
  <c r="BC8" i="33"/>
  <c r="BB8" i="33"/>
  <c r="AY8" i="33"/>
  <c r="AX8" i="33"/>
  <c r="AD8" i="33"/>
  <c r="AC8" i="33"/>
  <c r="AB8" i="33"/>
  <c r="AA8" i="33"/>
  <c r="Z8" i="33"/>
  <c r="BC7" i="33"/>
  <c r="BB7" i="33"/>
  <c r="AY7" i="33"/>
  <c r="AX7" i="33"/>
  <c r="AD7" i="33"/>
  <c r="AC7" i="33"/>
  <c r="AB7" i="33"/>
  <c r="AA7" i="33"/>
  <c r="Z7" i="33"/>
  <c r="BC6" i="33"/>
  <c r="BB6" i="33"/>
  <c r="AY6" i="33"/>
  <c r="AX6" i="33"/>
  <c r="AD6" i="33"/>
  <c r="AC6" i="33"/>
  <c r="AB6" i="33"/>
  <c r="AA6" i="33"/>
  <c r="Z6" i="33"/>
  <c r="BC5" i="33"/>
  <c r="BB5" i="33"/>
  <c r="AY5" i="33"/>
  <c r="AX5" i="33"/>
  <c r="AD5" i="33"/>
  <c r="AC5" i="33"/>
  <c r="AB5" i="33"/>
  <c r="AA5" i="33"/>
  <c r="Z5" i="33"/>
  <c r="BC4" i="33"/>
  <c r="BB4" i="33"/>
  <c r="AY4" i="33"/>
  <c r="AX4" i="33"/>
  <c r="AD4" i="33"/>
  <c r="AC4" i="33"/>
  <c r="AB4" i="33"/>
  <c r="AA4" i="33"/>
  <c r="Z4" i="33"/>
  <c r="BC3" i="33"/>
  <c r="BB3" i="33"/>
  <c r="AY3" i="33"/>
  <c r="AX3" i="33"/>
  <c r="AD3" i="33"/>
  <c r="AC3" i="33"/>
  <c r="AB3" i="33"/>
  <c r="AA3" i="33"/>
  <c r="Z3" i="33"/>
  <c r="BC2" i="33"/>
  <c r="BB2" i="33"/>
  <c r="AY2" i="33"/>
  <c r="AX2" i="33"/>
  <c r="AR2" i="44" s="1"/>
  <c r="AD2" i="33"/>
  <c r="AC2" i="33"/>
  <c r="AB2" i="33"/>
  <c r="AA2" i="33"/>
  <c r="Z2" i="33"/>
  <c r="R3" i="4"/>
  <c r="R4" i="4"/>
  <c r="R5" i="4"/>
  <c r="R6" i="4"/>
  <c r="R7" i="4"/>
  <c r="R8" i="4"/>
  <c r="R9" i="4"/>
  <c r="R10" i="4"/>
  <c r="R11" i="4"/>
  <c r="R12" i="4"/>
  <c r="R13" i="4"/>
  <c r="R14" i="4"/>
  <c r="R15" i="4"/>
  <c r="R16" i="4"/>
  <c r="R17" i="4"/>
  <c r="R18" i="4"/>
  <c r="R19" i="4"/>
  <c r="R20" i="4"/>
  <c r="R21" i="4"/>
  <c r="R22" i="4"/>
  <c r="R24" i="4"/>
  <c r="R26" i="4"/>
  <c r="R27" i="4"/>
  <c r="R28" i="4"/>
  <c r="R29" i="4"/>
  <c r="R30" i="4"/>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2" i="19"/>
  <c r="CQ30" i="18"/>
  <c r="CQ29" i="18"/>
  <c r="CQ28" i="18"/>
  <c r="CQ27" i="18"/>
  <c r="CQ26" i="18"/>
  <c r="CQ24" i="18"/>
  <c r="CQ22" i="18"/>
  <c r="CQ21" i="18"/>
  <c r="CQ20" i="18"/>
  <c r="CQ19" i="18"/>
  <c r="CQ18" i="18"/>
  <c r="CQ17" i="18"/>
  <c r="CQ16" i="18"/>
  <c r="CQ15" i="18"/>
  <c r="CQ14" i="18"/>
  <c r="CQ13" i="18"/>
  <c r="CQ12" i="18"/>
  <c r="CQ11" i="18"/>
  <c r="CQ10" i="18"/>
  <c r="CQ9" i="18"/>
  <c r="CQ8" i="18"/>
  <c r="CQ7" i="18"/>
  <c r="CQ6" i="18"/>
  <c r="CQ5" i="18"/>
  <c r="CQ4" i="18"/>
  <c r="CQ3" i="18"/>
  <c r="CQ2" i="18"/>
  <c r="CQ41" i="38" l="1"/>
  <c r="DE8" i="38"/>
  <c r="CQ32" i="38"/>
  <c r="BU2" i="44"/>
  <c r="BT2" i="44"/>
  <c r="BS2" i="44"/>
  <c r="BO2" i="44"/>
  <c r="BK2" i="44"/>
  <c r="BG2" i="44"/>
  <c r="BC2" i="44"/>
  <c r="AY2" i="44"/>
  <c r="BV2" i="44"/>
  <c r="BR2" i="44"/>
  <c r="BN2" i="44"/>
  <c r="BJ2" i="44"/>
  <c r="BF2" i="44"/>
  <c r="BB2" i="44"/>
  <c r="AW3" i="44"/>
  <c r="AS3" i="44"/>
  <c r="AO3" i="44"/>
  <c r="AK3" i="44"/>
  <c r="AG3" i="44"/>
  <c r="AC3" i="44"/>
  <c r="Y3" i="44"/>
  <c r="U3" i="44"/>
  <c r="Q3" i="44"/>
  <c r="M3" i="44"/>
  <c r="I3" i="44"/>
  <c r="E3" i="44"/>
  <c r="AV3" i="44"/>
  <c r="AR3" i="44"/>
  <c r="AN3" i="44"/>
  <c r="AJ3" i="44"/>
  <c r="AF3" i="44"/>
  <c r="AB3" i="44"/>
  <c r="X3" i="44"/>
  <c r="T3" i="44"/>
  <c r="P3" i="44"/>
  <c r="L3" i="44"/>
  <c r="H3" i="44"/>
  <c r="D3" i="44"/>
  <c r="AU3" i="44"/>
  <c r="AQ3" i="44"/>
  <c r="AM3" i="44"/>
  <c r="AI3" i="44"/>
  <c r="AE3" i="44"/>
  <c r="AA3" i="44"/>
  <c r="W3" i="44"/>
  <c r="S3" i="44"/>
  <c r="O3" i="44"/>
  <c r="K3" i="44"/>
  <c r="G3" i="44"/>
  <c r="C3" i="44"/>
  <c r="AX3" i="44"/>
  <c r="AT3" i="44"/>
  <c r="AP3" i="44"/>
  <c r="AL3" i="44"/>
  <c r="AH3" i="44"/>
  <c r="AD3" i="44"/>
  <c r="Z3" i="44"/>
  <c r="V3" i="44"/>
  <c r="R3" i="44"/>
  <c r="N3" i="44"/>
  <c r="J3" i="44"/>
  <c r="F3" i="44"/>
  <c r="BU6" i="44"/>
  <c r="BQ6" i="44"/>
  <c r="BM6" i="44"/>
  <c r="BI6" i="44"/>
  <c r="BE6" i="44"/>
  <c r="BA6" i="44"/>
  <c r="BT6" i="44"/>
  <c r="BP6" i="44"/>
  <c r="BL6" i="44"/>
  <c r="BH6" i="44"/>
  <c r="BD6" i="44"/>
  <c r="AZ6" i="44"/>
  <c r="BS6" i="44"/>
  <c r="BO6" i="44"/>
  <c r="BK6" i="44"/>
  <c r="BG6" i="44"/>
  <c r="BC6" i="44"/>
  <c r="AY6" i="44"/>
  <c r="BV6" i="44"/>
  <c r="BR6" i="44"/>
  <c r="BN6" i="44"/>
  <c r="BJ6" i="44"/>
  <c r="BF6" i="44"/>
  <c r="BB6" i="44"/>
  <c r="AW7" i="44"/>
  <c r="AS7" i="44"/>
  <c r="AO7" i="44"/>
  <c r="AK7" i="44"/>
  <c r="AG7" i="44"/>
  <c r="AC7" i="44"/>
  <c r="Y7" i="44"/>
  <c r="U7" i="44"/>
  <c r="Q7" i="44"/>
  <c r="M7" i="44"/>
  <c r="I7" i="44"/>
  <c r="E7" i="44"/>
  <c r="AV7" i="44"/>
  <c r="AR7" i="44"/>
  <c r="AN7" i="44"/>
  <c r="AJ7" i="44"/>
  <c r="AF7" i="44"/>
  <c r="AB7" i="44"/>
  <c r="X7" i="44"/>
  <c r="T7" i="44"/>
  <c r="P7" i="44"/>
  <c r="L7" i="44"/>
  <c r="H7" i="44"/>
  <c r="D7" i="44"/>
  <c r="AU7" i="44"/>
  <c r="AQ7" i="44"/>
  <c r="AM7" i="44"/>
  <c r="AI7" i="44"/>
  <c r="AE7" i="44"/>
  <c r="AA7" i="44"/>
  <c r="W7" i="44"/>
  <c r="S7" i="44"/>
  <c r="O7" i="44"/>
  <c r="K7" i="44"/>
  <c r="G7" i="44"/>
  <c r="C7" i="44"/>
  <c r="AX7" i="44"/>
  <c r="AT7" i="44"/>
  <c r="AP7" i="44"/>
  <c r="AL7" i="44"/>
  <c r="AH7" i="44"/>
  <c r="AD7" i="44"/>
  <c r="Z7" i="44"/>
  <c r="V7" i="44"/>
  <c r="R7" i="44"/>
  <c r="N7" i="44"/>
  <c r="J7" i="44"/>
  <c r="F7" i="44"/>
  <c r="BU10" i="44"/>
  <c r="BQ10" i="44"/>
  <c r="BM10" i="44"/>
  <c r="BI10" i="44"/>
  <c r="BE10" i="44"/>
  <c r="BA10" i="44"/>
  <c r="BT10" i="44"/>
  <c r="BP10" i="44"/>
  <c r="BL10" i="44"/>
  <c r="BH10" i="44"/>
  <c r="BD10" i="44"/>
  <c r="AZ10" i="44"/>
  <c r="BS10" i="44"/>
  <c r="BO10" i="44"/>
  <c r="BK10" i="44"/>
  <c r="BG10" i="44"/>
  <c r="BC10" i="44"/>
  <c r="AY10" i="44"/>
  <c r="BV10" i="44"/>
  <c r="BR10" i="44"/>
  <c r="BN10" i="44"/>
  <c r="BJ10" i="44"/>
  <c r="BF10" i="44"/>
  <c r="BB10" i="44"/>
  <c r="AW11" i="44"/>
  <c r="AS11" i="44"/>
  <c r="AO11" i="44"/>
  <c r="AK11" i="44"/>
  <c r="AG11" i="44"/>
  <c r="AC11" i="44"/>
  <c r="Y11" i="44"/>
  <c r="U11" i="44"/>
  <c r="Q11" i="44"/>
  <c r="M11" i="44"/>
  <c r="I11" i="44"/>
  <c r="E11" i="44"/>
  <c r="AV11" i="44"/>
  <c r="AR11" i="44"/>
  <c r="AN11" i="44"/>
  <c r="AJ11" i="44"/>
  <c r="AF11" i="44"/>
  <c r="AB11" i="44"/>
  <c r="X11" i="44"/>
  <c r="T11" i="44"/>
  <c r="P11" i="44"/>
  <c r="L11" i="44"/>
  <c r="H11" i="44"/>
  <c r="D11" i="44"/>
  <c r="AU11" i="44"/>
  <c r="AQ11" i="44"/>
  <c r="AM11" i="44"/>
  <c r="AI11" i="44"/>
  <c r="AE11" i="44"/>
  <c r="AA11" i="44"/>
  <c r="W11" i="44"/>
  <c r="S11" i="44"/>
  <c r="O11" i="44"/>
  <c r="K11" i="44"/>
  <c r="G11" i="44"/>
  <c r="C11" i="44"/>
  <c r="AX11" i="44"/>
  <c r="AT11" i="44"/>
  <c r="AP11" i="44"/>
  <c r="AL11" i="44"/>
  <c r="AH11" i="44"/>
  <c r="AD11" i="44"/>
  <c r="Z11" i="44"/>
  <c r="V11" i="44"/>
  <c r="R11" i="44"/>
  <c r="N11" i="44"/>
  <c r="J11" i="44"/>
  <c r="F11" i="44"/>
  <c r="BU14" i="44"/>
  <c r="BQ14" i="44"/>
  <c r="BM14" i="44"/>
  <c r="BI14" i="44"/>
  <c r="BE14" i="44"/>
  <c r="BA14" i="44"/>
  <c r="BT14" i="44"/>
  <c r="BP14" i="44"/>
  <c r="BL14" i="44"/>
  <c r="BH14" i="44"/>
  <c r="BD14" i="44"/>
  <c r="AZ14" i="44"/>
  <c r="BS14" i="44"/>
  <c r="BO14" i="44"/>
  <c r="BK14" i="44"/>
  <c r="BG14" i="44"/>
  <c r="BC14" i="44"/>
  <c r="AY14" i="44"/>
  <c r="BV14" i="44"/>
  <c r="BR14" i="44"/>
  <c r="BN14" i="44"/>
  <c r="BJ14" i="44"/>
  <c r="BF14" i="44"/>
  <c r="BB14" i="44"/>
  <c r="AW15" i="44"/>
  <c r="AS15" i="44"/>
  <c r="AO15" i="44"/>
  <c r="AK15" i="44"/>
  <c r="AG15" i="44"/>
  <c r="AC15" i="44"/>
  <c r="Y15" i="44"/>
  <c r="U15" i="44"/>
  <c r="Q15" i="44"/>
  <c r="M15" i="44"/>
  <c r="I15" i="44"/>
  <c r="E15" i="44"/>
  <c r="AV15" i="44"/>
  <c r="AR15" i="44"/>
  <c r="AN15" i="44"/>
  <c r="AJ15" i="44"/>
  <c r="AF15" i="44"/>
  <c r="AB15" i="44"/>
  <c r="X15" i="44"/>
  <c r="T15" i="44"/>
  <c r="P15" i="44"/>
  <c r="L15" i="44"/>
  <c r="H15" i="44"/>
  <c r="D15" i="44"/>
  <c r="AU15" i="44"/>
  <c r="AQ15" i="44"/>
  <c r="AM15" i="44"/>
  <c r="AI15" i="44"/>
  <c r="AE15" i="44"/>
  <c r="AA15" i="44"/>
  <c r="W15" i="44"/>
  <c r="S15" i="44"/>
  <c r="O15" i="44"/>
  <c r="K15" i="44"/>
  <c r="G15" i="44"/>
  <c r="C15" i="44"/>
  <c r="AX15" i="44"/>
  <c r="AT15" i="44"/>
  <c r="AP15" i="44"/>
  <c r="AL15" i="44"/>
  <c r="AH15" i="44"/>
  <c r="AD15" i="44"/>
  <c r="Z15" i="44"/>
  <c r="V15" i="44"/>
  <c r="R15" i="44"/>
  <c r="N15" i="44"/>
  <c r="J15" i="44"/>
  <c r="F15" i="44"/>
  <c r="BU18" i="44"/>
  <c r="BQ18" i="44"/>
  <c r="BM18" i="44"/>
  <c r="BI18" i="44"/>
  <c r="BE18" i="44"/>
  <c r="BA18" i="44"/>
  <c r="BT18" i="44"/>
  <c r="BP18" i="44"/>
  <c r="BL18" i="44"/>
  <c r="BH18" i="44"/>
  <c r="BD18" i="44"/>
  <c r="AZ18" i="44"/>
  <c r="BS18" i="44"/>
  <c r="BO18" i="44"/>
  <c r="BK18" i="44"/>
  <c r="BG18" i="44"/>
  <c r="BC18" i="44"/>
  <c r="AY18" i="44"/>
  <c r="BV18" i="44"/>
  <c r="BR18" i="44"/>
  <c r="BN18" i="44"/>
  <c r="BJ18" i="44"/>
  <c r="BF18" i="44"/>
  <c r="BB18" i="44"/>
  <c r="AW19" i="44"/>
  <c r="AS19" i="44"/>
  <c r="AO19" i="44"/>
  <c r="AK19" i="44"/>
  <c r="AG19" i="44"/>
  <c r="AC19" i="44"/>
  <c r="Y19" i="44"/>
  <c r="U19" i="44"/>
  <c r="Q19" i="44"/>
  <c r="M19" i="44"/>
  <c r="I19" i="44"/>
  <c r="E19" i="44"/>
  <c r="AV19" i="44"/>
  <c r="AR19" i="44"/>
  <c r="AN19" i="44"/>
  <c r="AJ19" i="44"/>
  <c r="AF19" i="44"/>
  <c r="AB19" i="44"/>
  <c r="X19" i="44"/>
  <c r="T19" i="44"/>
  <c r="P19" i="44"/>
  <c r="L19" i="44"/>
  <c r="H19" i="44"/>
  <c r="D19" i="44"/>
  <c r="AU19" i="44"/>
  <c r="AQ19" i="44"/>
  <c r="AM19" i="44"/>
  <c r="AI19" i="44"/>
  <c r="AE19" i="44"/>
  <c r="AA19" i="44"/>
  <c r="W19" i="44"/>
  <c r="S19" i="44"/>
  <c r="O19" i="44"/>
  <c r="K19" i="44"/>
  <c r="G19" i="44"/>
  <c r="C19" i="44"/>
  <c r="AX19" i="44"/>
  <c r="AT19" i="44"/>
  <c r="AP19" i="44"/>
  <c r="AL19" i="44"/>
  <c r="AH19" i="44"/>
  <c r="AD19" i="44"/>
  <c r="Z19" i="44"/>
  <c r="V19" i="44"/>
  <c r="R19" i="44"/>
  <c r="N19" i="44"/>
  <c r="J19" i="44"/>
  <c r="F19" i="44"/>
  <c r="BU22" i="44"/>
  <c r="BQ22" i="44"/>
  <c r="BM22" i="44"/>
  <c r="BI22" i="44"/>
  <c r="BE22" i="44"/>
  <c r="BA22" i="44"/>
  <c r="BT22" i="44"/>
  <c r="BP22" i="44"/>
  <c r="BL22" i="44"/>
  <c r="BH22" i="44"/>
  <c r="BD22" i="44"/>
  <c r="AZ22" i="44"/>
  <c r="BS22" i="44"/>
  <c r="BO22" i="44"/>
  <c r="BK22" i="44"/>
  <c r="BG22" i="44"/>
  <c r="BC22" i="44"/>
  <c r="AY22" i="44"/>
  <c r="BV22" i="44"/>
  <c r="BR22" i="44"/>
  <c r="BN22" i="44"/>
  <c r="BJ22" i="44"/>
  <c r="BF22" i="44"/>
  <c r="BB22" i="44"/>
  <c r="AW23" i="44"/>
  <c r="AS23" i="44"/>
  <c r="AO23" i="44"/>
  <c r="AK23" i="44"/>
  <c r="AG23" i="44"/>
  <c r="AC23" i="44"/>
  <c r="Y23" i="44"/>
  <c r="U23" i="44"/>
  <c r="Q23" i="44"/>
  <c r="M23" i="44"/>
  <c r="I23" i="44"/>
  <c r="E23" i="44"/>
  <c r="AV23" i="44"/>
  <c r="AR23" i="44"/>
  <c r="AN23" i="44"/>
  <c r="AJ23" i="44"/>
  <c r="AF23" i="44"/>
  <c r="AB23" i="44"/>
  <c r="X23" i="44"/>
  <c r="T23" i="44"/>
  <c r="P23" i="44"/>
  <c r="L23" i="44"/>
  <c r="H23" i="44"/>
  <c r="D23" i="44"/>
  <c r="AU23" i="44"/>
  <c r="AQ23" i="44"/>
  <c r="AM23" i="44"/>
  <c r="AI23" i="44"/>
  <c r="AE23" i="44"/>
  <c r="AA23" i="44"/>
  <c r="W23" i="44"/>
  <c r="S23" i="44"/>
  <c r="O23" i="44"/>
  <c r="K23" i="44"/>
  <c r="G23" i="44"/>
  <c r="C23" i="44"/>
  <c r="AX23" i="44"/>
  <c r="AT23" i="44"/>
  <c r="AP23" i="44"/>
  <c r="AL23" i="44"/>
  <c r="AH23" i="44"/>
  <c r="AD23" i="44"/>
  <c r="Z23" i="44"/>
  <c r="V23" i="44"/>
  <c r="R23" i="44"/>
  <c r="N23" i="44"/>
  <c r="J23" i="44"/>
  <c r="F23" i="44"/>
  <c r="BU26" i="44"/>
  <c r="BQ26" i="44"/>
  <c r="BM26" i="44"/>
  <c r="BI26" i="44"/>
  <c r="BE26" i="44"/>
  <c r="BA26" i="44"/>
  <c r="BT26" i="44"/>
  <c r="BP26" i="44"/>
  <c r="BL26" i="44"/>
  <c r="BH26" i="44"/>
  <c r="BD26" i="44"/>
  <c r="AZ26" i="44"/>
  <c r="BS26" i="44"/>
  <c r="BO26" i="44"/>
  <c r="BK26" i="44"/>
  <c r="BG26" i="44"/>
  <c r="BC26" i="44"/>
  <c r="AY26" i="44"/>
  <c r="BV26" i="44"/>
  <c r="BR26" i="44"/>
  <c r="BN26" i="44"/>
  <c r="BJ26" i="44"/>
  <c r="BF26" i="44"/>
  <c r="BB26" i="44"/>
  <c r="AW27" i="44"/>
  <c r="AS27" i="44"/>
  <c r="AO27" i="44"/>
  <c r="AK27" i="44"/>
  <c r="AG27" i="44"/>
  <c r="AC27" i="44"/>
  <c r="Y27" i="44"/>
  <c r="U27" i="44"/>
  <c r="Q27" i="44"/>
  <c r="M27" i="44"/>
  <c r="I27" i="44"/>
  <c r="E27" i="44"/>
  <c r="AV27" i="44"/>
  <c r="AR27" i="44"/>
  <c r="AN27" i="44"/>
  <c r="AJ27" i="44"/>
  <c r="AF27" i="44"/>
  <c r="AB27" i="44"/>
  <c r="X27" i="44"/>
  <c r="T27" i="44"/>
  <c r="P27" i="44"/>
  <c r="L27" i="44"/>
  <c r="H27" i="44"/>
  <c r="D27" i="44"/>
  <c r="AU27" i="44"/>
  <c r="AQ27" i="44"/>
  <c r="AM27" i="44"/>
  <c r="AI27" i="44"/>
  <c r="AE27" i="44"/>
  <c r="AA27" i="44"/>
  <c r="W27" i="44"/>
  <c r="S27" i="44"/>
  <c r="O27" i="44"/>
  <c r="K27" i="44"/>
  <c r="G27" i="44"/>
  <c r="C27" i="44"/>
  <c r="AX27" i="44"/>
  <c r="AT27" i="44"/>
  <c r="AP27" i="44"/>
  <c r="AL27" i="44"/>
  <c r="AH27" i="44"/>
  <c r="AD27" i="44"/>
  <c r="Z27" i="44"/>
  <c r="V27" i="44"/>
  <c r="R27" i="44"/>
  <c r="N27" i="44"/>
  <c r="J27" i="44"/>
  <c r="F27" i="44"/>
  <c r="BU30" i="44"/>
  <c r="BQ30" i="44"/>
  <c r="BM30" i="44"/>
  <c r="BI30" i="44"/>
  <c r="BE30" i="44"/>
  <c r="BA30" i="44"/>
  <c r="BT30" i="44"/>
  <c r="BP30" i="44"/>
  <c r="BL30" i="44"/>
  <c r="BH30" i="44"/>
  <c r="BD30" i="44"/>
  <c r="AZ30" i="44"/>
  <c r="BS30" i="44"/>
  <c r="BO30" i="44"/>
  <c r="BK30" i="44"/>
  <c r="BG30" i="44"/>
  <c r="BC30" i="44"/>
  <c r="AY30" i="44"/>
  <c r="BV30" i="44"/>
  <c r="BR30" i="44"/>
  <c r="BN30" i="44"/>
  <c r="BJ30" i="44"/>
  <c r="BF30" i="44"/>
  <c r="BB30" i="44"/>
  <c r="D2" i="44"/>
  <c r="H2" i="44"/>
  <c r="L2" i="44"/>
  <c r="P2" i="44"/>
  <c r="T2" i="44"/>
  <c r="X2" i="44"/>
  <c r="AB2" i="44"/>
  <c r="AF2" i="44"/>
  <c r="AJ2" i="44"/>
  <c r="AN2" i="44"/>
  <c r="AV2" i="44"/>
  <c r="BD2" i="44"/>
  <c r="BL2" i="44"/>
  <c r="BU3" i="44"/>
  <c r="BQ3" i="44"/>
  <c r="BM3" i="44"/>
  <c r="BI3" i="44"/>
  <c r="BE3" i="44"/>
  <c r="BA3" i="44"/>
  <c r="BT3" i="44"/>
  <c r="BP3" i="44"/>
  <c r="BL3" i="44"/>
  <c r="BH3" i="44"/>
  <c r="BD3" i="44"/>
  <c r="AZ3" i="44"/>
  <c r="BS3" i="44"/>
  <c r="BO3" i="44"/>
  <c r="BK3" i="44"/>
  <c r="BG3" i="44"/>
  <c r="BC3" i="44"/>
  <c r="AY3" i="44"/>
  <c r="BV3" i="44"/>
  <c r="BR3" i="44"/>
  <c r="BN3" i="44"/>
  <c r="BJ3" i="44"/>
  <c r="BF3" i="44"/>
  <c r="BB3" i="44"/>
  <c r="AW4" i="44"/>
  <c r="AS4" i="44"/>
  <c r="AO4" i="44"/>
  <c r="AK4" i="44"/>
  <c r="AG4" i="44"/>
  <c r="AC4" i="44"/>
  <c r="Y4" i="44"/>
  <c r="U4" i="44"/>
  <c r="Q4" i="44"/>
  <c r="M4" i="44"/>
  <c r="I4" i="44"/>
  <c r="E4" i="44"/>
  <c r="AV4" i="44"/>
  <c r="AR4" i="44"/>
  <c r="AN4" i="44"/>
  <c r="AJ4" i="44"/>
  <c r="AF4" i="44"/>
  <c r="AB4" i="44"/>
  <c r="X4" i="44"/>
  <c r="T4" i="44"/>
  <c r="P4" i="44"/>
  <c r="L4" i="44"/>
  <c r="H4" i="44"/>
  <c r="D4" i="44"/>
  <c r="AU4" i="44"/>
  <c r="AQ4" i="44"/>
  <c r="AM4" i="44"/>
  <c r="AI4" i="44"/>
  <c r="AE4" i="44"/>
  <c r="AA4" i="44"/>
  <c r="W4" i="44"/>
  <c r="S4" i="44"/>
  <c r="O4" i="44"/>
  <c r="K4" i="44"/>
  <c r="G4" i="44"/>
  <c r="C4" i="44"/>
  <c r="AX4" i="44"/>
  <c r="AT4" i="44"/>
  <c r="AP4" i="44"/>
  <c r="AL4" i="44"/>
  <c r="AH4" i="44"/>
  <c r="AD4" i="44"/>
  <c r="Z4" i="44"/>
  <c r="V4" i="44"/>
  <c r="R4" i="44"/>
  <c r="N4" i="44"/>
  <c r="J4" i="44"/>
  <c r="F4" i="44"/>
  <c r="BU7" i="44"/>
  <c r="BQ7" i="44"/>
  <c r="BM7" i="44"/>
  <c r="BI7" i="44"/>
  <c r="BE7" i="44"/>
  <c r="BA7" i="44"/>
  <c r="BT7" i="44"/>
  <c r="BP7" i="44"/>
  <c r="BL7" i="44"/>
  <c r="BH7" i="44"/>
  <c r="BD7" i="44"/>
  <c r="AZ7" i="44"/>
  <c r="BS7" i="44"/>
  <c r="BO7" i="44"/>
  <c r="BK7" i="44"/>
  <c r="BG7" i="44"/>
  <c r="BC7" i="44"/>
  <c r="AY7" i="44"/>
  <c r="BV7" i="44"/>
  <c r="BR7" i="44"/>
  <c r="BN7" i="44"/>
  <c r="BJ7" i="44"/>
  <c r="BF7" i="44"/>
  <c r="BB7" i="44"/>
  <c r="AW8" i="44"/>
  <c r="AS8" i="44"/>
  <c r="AO8" i="44"/>
  <c r="AK8" i="44"/>
  <c r="AG8" i="44"/>
  <c r="AC8" i="44"/>
  <c r="Y8" i="44"/>
  <c r="U8" i="44"/>
  <c r="Q8" i="44"/>
  <c r="M8" i="44"/>
  <c r="I8" i="44"/>
  <c r="E8" i="44"/>
  <c r="AV8" i="44"/>
  <c r="AR8" i="44"/>
  <c r="AN8" i="44"/>
  <c r="AJ8" i="44"/>
  <c r="AF8" i="44"/>
  <c r="AB8" i="44"/>
  <c r="X8" i="44"/>
  <c r="T8" i="44"/>
  <c r="P8" i="44"/>
  <c r="L8" i="44"/>
  <c r="H8" i="44"/>
  <c r="D8" i="44"/>
  <c r="AU8" i="44"/>
  <c r="AQ8" i="44"/>
  <c r="AM8" i="44"/>
  <c r="AI8" i="44"/>
  <c r="AE8" i="44"/>
  <c r="AA8" i="44"/>
  <c r="W8" i="44"/>
  <c r="S8" i="44"/>
  <c r="O8" i="44"/>
  <c r="K8" i="44"/>
  <c r="G8" i="44"/>
  <c r="C8" i="44"/>
  <c r="AX8" i="44"/>
  <c r="AT8" i="44"/>
  <c r="AP8" i="44"/>
  <c r="AL8" i="44"/>
  <c r="AH8" i="44"/>
  <c r="AD8" i="44"/>
  <c r="Z8" i="44"/>
  <c r="V8" i="44"/>
  <c r="R8" i="44"/>
  <c r="N8" i="44"/>
  <c r="J8" i="44"/>
  <c r="F8" i="44"/>
  <c r="BU11" i="44"/>
  <c r="BQ11" i="44"/>
  <c r="BM11" i="44"/>
  <c r="BI11" i="44"/>
  <c r="BE11" i="44"/>
  <c r="BA11" i="44"/>
  <c r="BT11" i="44"/>
  <c r="BP11" i="44"/>
  <c r="BL11" i="44"/>
  <c r="BH11" i="44"/>
  <c r="BD11" i="44"/>
  <c r="AZ11" i="44"/>
  <c r="BS11" i="44"/>
  <c r="BO11" i="44"/>
  <c r="BK11" i="44"/>
  <c r="BG11" i="44"/>
  <c r="BC11" i="44"/>
  <c r="AY11" i="44"/>
  <c r="BV11" i="44"/>
  <c r="BR11" i="44"/>
  <c r="BN11" i="44"/>
  <c r="BJ11" i="44"/>
  <c r="BF11" i="44"/>
  <c r="BB11" i="44"/>
  <c r="AW12" i="44"/>
  <c r="AS12" i="44"/>
  <c r="AO12" i="44"/>
  <c r="AK12" i="44"/>
  <c r="AG12" i="44"/>
  <c r="AC12" i="44"/>
  <c r="Y12" i="44"/>
  <c r="U12" i="44"/>
  <c r="Q12" i="44"/>
  <c r="M12" i="44"/>
  <c r="I12" i="44"/>
  <c r="E12" i="44"/>
  <c r="AV12" i="44"/>
  <c r="AR12" i="44"/>
  <c r="AN12" i="44"/>
  <c r="AJ12" i="44"/>
  <c r="AF12" i="44"/>
  <c r="AB12" i="44"/>
  <c r="X12" i="44"/>
  <c r="T12" i="44"/>
  <c r="P12" i="44"/>
  <c r="L12" i="44"/>
  <c r="H12" i="44"/>
  <c r="D12" i="44"/>
  <c r="AU12" i="44"/>
  <c r="AQ12" i="44"/>
  <c r="AM12" i="44"/>
  <c r="AI12" i="44"/>
  <c r="AE12" i="44"/>
  <c r="AA12" i="44"/>
  <c r="W12" i="44"/>
  <c r="S12" i="44"/>
  <c r="O12" i="44"/>
  <c r="K12" i="44"/>
  <c r="G12" i="44"/>
  <c r="C12" i="44"/>
  <c r="AX12" i="44"/>
  <c r="AT12" i="44"/>
  <c r="AP12" i="44"/>
  <c r="AL12" i="44"/>
  <c r="AH12" i="44"/>
  <c r="AD12" i="44"/>
  <c r="Z12" i="44"/>
  <c r="V12" i="44"/>
  <c r="R12" i="44"/>
  <c r="N12" i="44"/>
  <c r="J12" i="44"/>
  <c r="F12" i="44"/>
  <c r="BU15" i="44"/>
  <c r="BQ15" i="44"/>
  <c r="BM15" i="44"/>
  <c r="BI15" i="44"/>
  <c r="BE15" i="44"/>
  <c r="BA15" i="44"/>
  <c r="BT15" i="44"/>
  <c r="BP15" i="44"/>
  <c r="BL15" i="44"/>
  <c r="BH15" i="44"/>
  <c r="BD15" i="44"/>
  <c r="AZ15" i="44"/>
  <c r="BS15" i="44"/>
  <c r="BO15" i="44"/>
  <c r="BK15" i="44"/>
  <c r="BG15" i="44"/>
  <c r="BC15" i="44"/>
  <c r="AY15" i="44"/>
  <c r="BV15" i="44"/>
  <c r="BR15" i="44"/>
  <c r="BN15" i="44"/>
  <c r="BJ15" i="44"/>
  <c r="BF15" i="44"/>
  <c r="BB15" i="44"/>
  <c r="AW16" i="44"/>
  <c r="AS16" i="44"/>
  <c r="AO16" i="44"/>
  <c r="AK16" i="44"/>
  <c r="AG16" i="44"/>
  <c r="AC16" i="44"/>
  <c r="Y16" i="44"/>
  <c r="U16" i="44"/>
  <c r="Q16" i="44"/>
  <c r="M16" i="44"/>
  <c r="I16" i="44"/>
  <c r="E16" i="44"/>
  <c r="AV16" i="44"/>
  <c r="AR16" i="44"/>
  <c r="AN16" i="44"/>
  <c r="AJ16" i="44"/>
  <c r="AF16" i="44"/>
  <c r="AB16" i="44"/>
  <c r="X16" i="44"/>
  <c r="T16" i="44"/>
  <c r="P16" i="44"/>
  <c r="L16" i="44"/>
  <c r="H16" i="44"/>
  <c r="D16" i="44"/>
  <c r="AU16" i="44"/>
  <c r="AQ16" i="44"/>
  <c r="AM16" i="44"/>
  <c r="AI16" i="44"/>
  <c r="AE16" i="44"/>
  <c r="AA16" i="44"/>
  <c r="W16" i="44"/>
  <c r="S16" i="44"/>
  <c r="O16" i="44"/>
  <c r="K16" i="44"/>
  <c r="G16" i="44"/>
  <c r="C16" i="44"/>
  <c r="AX16" i="44"/>
  <c r="AT16" i="44"/>
  <c r="AP16" i="44"/>
  <c r="AL16" i="44"/>
  <c r="AH16" i="44"/>
  <c r="AD16" i="44"/>
  <c r="Z16" i="44"/>
  <c r="V16" i="44"/>
  <c r="R16" i="44"/>
  <c r="N16" i="44"/>
  <c r="J16" i="44"/>
  <c r="F16" i="44"/>
  <c r="BU19" i="44"/>
  <c r="BQ19" i="44"/>
  <c r="BM19" i="44"/>
  <c r="BI19" i="44"/>
  <c r="BE19" i="44"/>
  <c r="BA19" i="44"/>
  <c r="BT19" i="44"/>
  <c r="BP19" i="44"/>
  <c r="BL19" i="44"/>
  <c r="BH19" i="44"/>
  <c r="BD19" i="44"/>
  <c r="AZ19" i="44"/>
  <c r="BS19" i="44"/>
  <c r="BO19" i="44"/>
  <c r="BK19" i="44"/>
  <c r="BG19" i="44"/>
  <c r="BC19" i="44"/>
  <c r="AY19" i="44"/>
  <c r="BV19" i="44"/>
  <c r="BR19" i="44"/>
  <c r="BN19" i="44"/>
  <c r="BJ19" i="44"/>
  <c r="BF19" i="44"/>
  <c r="BB19" i="44"/>
  <c r="AW20" i="44"/>
  <c r="AS20" i="44"/>
  <c r="AO20" i="44"/>
  <c r="AK20" i="44"/>
  <c r="AG20" i="44"/>
  <c r="AC20" i="44"/>
  <c r="Y20" i="44"/>
  <c r="U20" i="44"/>
  <c r="Q20" i="44"/>
  <c r="M20" i="44"/>
  <c r="I20" i="44"/>
  <c r="E20" i="44"/>
  <c r="AV20" i="44"/>
  <c r="AR20" i="44"/>
  <c r="AN20" i="44"/>
  <c r="AJ20" i="44"/>
  <c r="AF20" i="44"/>
  <c r="AB20" i="44"/>
  <c r="X20" i="44"/>
  <c r="T20" i="44"/>
  <c r="P20" i="44"/>
  <c r="L20" i="44"/>
  <c r="H20" i="44"/>
  <c r="D20" i="44"/>
  <c r="AU20" i="44"/>
  <c r="AQ20" i="44"/>
  <c r="AM20" i="44"/>
  <c r="AI20" i="44"/>
  <c r="AE20" i="44"/>
  <c r="AA20" i="44"/>
  <c r="W20" i="44"/>
  <c r="S20" i="44"/>
  <c r="O20" i="44"/>
  <c r="K20" i="44"/>
  <c r="G20" i="44"/>
  <c r="C20" i="44"/>
  <c r="AX20" i="44"/>
  <c r="AT20" i="44"/>
  <c r="AP20" i="44"/>
  <c r="AL20" i="44"/>
  <c r="AH20" i="44"/>
  <c r="AD20" i="44"/>
  <c r="Z20" i="44"/>
  <c r="V20" i="44"/>
  <c r="R20" i="44"/>
  <c r="N20" i="44"/>
  <c r="J20" i="44"/>
  <c r="F20" i="44"/>
  <c r="BU23" i="44"/>
  <c r="BQ23" i="44"/>
  <c r="BM23" i="44"/>
  <c r="BI23" i="44"/>
  <c r="BE23" i="44"/>
  <c r="BA23" i="44"/>
  <c r="BT23" i="44"/>
  <c r="BP23" i="44"/>
  <c r="BL23" i="44"/>
  <c r="BH23" i="44"/>
  <c r="BD23" i="44"/>
  <c r="AZ23" i="44"/>
  <c r="BS23" i="44"/>
  <c r="BO23" i="44"/>
  <c r="BK23" i="44"/>
  <c r="BG23" i="44"/>
  <c r="BC23" i="44"/>
  <c r="AY23" i="44"/>
  <c r="BV23" i="44"/>
  <c r="BR23" i="44"/>
  <c r="BN23" i="44"/>
  <c r="BJ23" i="44"/>
  <c r="BF23" i="44"/>
  <c r="BB23" i="44"/>
  <c r="AW24" i="44"/>
  <c r="AS24" i="44"/>
  <c r="AO24" i="44"/>
  <c r="AK24" i="44"/>
  <c r="AG24" i="44"/>
  <c r="AC24" i="44"/>
  <c r="Y24" i="44"/>
  <c r="U24" i="44"/>
  <c r="Q24" i="44"/>
  <c r="M24" i="44"/>
  <c r="I24" i="44"/>
  <c r="E24" i="44"/>
  <c r="AV24" i="44"/>
  <c r="AR24" i="44"/>
  <c r="AN24" i="44"/>
  <c r="AJ24" i="44"/>
  <c r="AF24" i="44"/>
  <c r="AB24" i="44"/>
  <c r="X24" i="44"/>
  <c r="T24" i="44"/>
  <c r="P24" i="44"/>
  <c r="L24" i="44"/>
  <c r="H24" i="44"/>
  <c r="D24" i="44"/>
  <c r="AU24" i="44"/>
  <c r="AQ24" i="44"/>
  <c r="AM24" i="44"/>
  <c r="AI24" i="44"/>
  <c r="AE24" i="44"/>
  <c r="AA24" i="44"/>
  <c r="W24" i="44"/>
  <c r="S24" i="44"/>
  <c r="O24" i="44"/>
  <c r="K24" i="44"/>
  <c r="G24" i="44"/>
  <c r="C24" i="44"/>
  <c r="AX24" i="44"/>
  <c r="AT24" i="44"/>
  <c r="AP24" i="44"/>
  <c r="AL24" i="44"/>
  <c r="AH24" i="44"/>
  <c r="AD24" i="44"/>
  <c r="Z24" i="44"/>
  <c r="V24" i="44"/>
  <c r="R24" i="44"/>
  <c r="N24" i="44"/>
  <c r="J24" i="44"/>
  <c r="F24" i="44"/>
  <c r="BU27" i="44"/>
  <c r="BQ27" i="44"/>
  <c r="BM27" i="44"/>
  <c r="BI27" i="44"/>
  <c r="BE27" i="44"/>
  <c r="BA27" i="44"/>
  <c r="BT27" i="44"/>
  <c r="BP27" i="44"/>
  <c r="BL27" i="44"/>
  <c r="BH27" i="44"/>
  <c r="BD27" i="44"/>
  <c r="AZ27" i="44"/>
  <c r="BS27" i="44"/>
  <c r="BO27" i="44"/>
  <c r="BK27" i="44"/>
  <c r="BG27" i="44"/>
  <c r="BC27" i="44"/>
  <c r="AY27" i="44"/>
  <c r="BV27" i="44"/>
  <c r="BR27" i="44"/>
  <c r="BN27" i="44"/>
  <c r="BJ27" i="44"/>
  <c r="BF27" i="44"/>
  <c r="BB27" i="44"/>
  <c r="AW28" i="44"/>
  <c r="AS28" i="44"/>
  <c r="AO28" i="44"/>
  <c r="AK28" i="44"/>
  <c r="AG28" i="44"/>
  <c r="AC28" i="44"/>
  <c r="Y28" i="44"/>
  <c r="U28" i="44"/>
  <c r="Q28" i="44"/>
  <c r="M28" i="44"/>
  <c r="I28" i="44"/>
  <c r="E28" i="44"/>
  <c r="AV28" i="44"/>
  <c r="AR28" i="44"/>
  <c r="AN28" i="44"/>
  <c r="AJ28" i="44"/>
  <c r="AF28" i="44"/>
  <c r="AB28" i="44"/>
  <c r="X28" i="44"/>
  <c r="T28" i="44"/>
  <c r="P28" i="44"/>
  <c r="L28" i="44"/>
  <c r="H28" i="44"/>
  <c r="D28" i="44"/>
  <c r="AU28" i="44"/>
  <c r="AQ28" i="44"/>
  <c r="AM28" i="44"/>
  <c r="AI28" i="44"/>
  <c r="AE28" i="44"/>
  <c r="AA28" i="44"/>
  <c r="W28" i="44"/>
  <c r="S28" i="44"/>
  <c r="O28" i="44"/>
  <c r="K28" i="44"/>
  <c r="G28" i="44"/>
  <c r="C28" i="44"/>
  <c r="AX28" i="44"/>
  <c r="AT28" i="44"/>
  <c r="AP28" i="44"/>
  <c r="AL28" i="44"/>
  <c r="AH28" i="44"/>
  <c r="AD28" i="44"/>
  <c r="Z28" i="44"/>
  <c r="V28" i="44"/>
  <c r="R28" i="44"/>
  <c r="N28" i="44"/>
  <c r="J28" i="44"/>
  <c r="F28" i="44"/>
  <c r="E2" i="44"/>
  <c r="I2" i="44"/>
  <c r="M2" i="44"/>
  <c r="Q2" i="44"/>
  <c r="U2" i="44"/>
  <c r="Y2" i="44"/>
  <c r="AC2" i="44"/>
  <c r="AG2" i="44"/>
  <c r="AK2" i="44"/>
  <c r="AO2" i="44"/>
  <c r="AW2" i="44"/>
  <c r="BE2" i="44"/>
  <c r="BM2" i="44"/>
  <c r="BU4" i="44"/>
  <c r="BQ4" i="44"/>
  <c r="BM4" i="44"/>
  <c r="BI4" i="44"/>
  <c r="BE4" i="44"/>
  <c r="BA4" i="44"/>
  <c r="BT4" i="44"/>
  <c r="BP4" i="44"/>
  <c r="BL4" i="44"/>
  <c r="BH4" i="44"/>
  <c r="BD4" i="44"/>
  <c r="AZ4" i="44"/>
  <c r="BS4" i="44"/>
  <c r="BO4" i="44"/>
  <c r="BK4" i="44"/>
  <c r="BG4" i="44"/>
  <c r="BC4" i="44"/>
  <c r="AY4" i="44"/>
  <c r="BV4" i="44"/>
  <c r="BR4" i="44"/>
  <c r="BN4" i="44"/>
  <c r="BJ4" i="44"/>
  <c r="BF4" i="44"/>
  <c r="BB4" i="44"/>
  <c r="AW5" i="44"/>
  <c r="AS5" i="44"/>
  <c r="AO5" i="44"/>
  <c r="AK5" i="44"/>
  <c r="AG5" i="44"/>
  <c r="AC5" i="44"/>
  <c r="Y5" i="44"/>
  <c r="U5" i="44"/>
  <c r="Q5" i="44"/>
  <c r="M5" i="44"/>
  <c r="I5" i="44"/>
  <c r="E5" i="44"/>
  <c r="AV5" i="44"/>
  <c r="AR5" i="44"/>
  <c r="AN5" i="44"/>
  <c r="AJ5" i="44"/>
  <c r="AF5" i="44"/>
  <c r="AB5" i="44"/>
  <c r="X5" i="44"/>
  <c r="T5" i="44"/>
  <c r="P5" i="44"/>
  <c r="L5" i="44"/>
  <c r="H5" i="44"/>
  <c r="D5" i="44"/>
  <c r="AU5" i="44"/>
  <c r="AQ5" i="44"/>
  <c r="AM5" i="44"/>
  <c r="AI5" i="44"/>
  <c r="AE5" i="44"/>
  <c r="AA5" i="44"/>
  <c r="W5" i="44"/>
  <c r="S5" i="44"/>
  <c r="O5" i="44"/>
  <c r="K5" i="44"/>
  <c r="G5" i="44"/>
  <c r="C5" i="44"/>
  <c r="AX5" i="44"/>
  <c r="AT5" i="44"/>
  <c r="AP5" i="44"/>
  <c r="AL5" i="44"/>
  <c r="AH5" i="44"/>
  <c r="AD5" i="44"/>
  <c r="Z5" i="44"/>
  <c r="V5" i="44"/>
  <c r="R5" i="44"/>
  <c r="N5" i="44"/>
  <c r="J5" i="44"/>
  <c r="F5" i="44"/>
  <c r="BU8" i="44"/>
  <c r="BQ8" i="44"/>
  <c r="BM8" i="44"/>
  <c r="BI8" i="44"/>
  <c r="BE8" i="44"/>
  <c r="BA8" i="44"/>
  <c r="BT8" i="44"/>
  <c r="BP8" i="44"/>
  <c r="BL8" i="44"/>
  <c r="BH8" i="44"/>
  <c r="BD8" i="44"/>
  <c r="AZ8" i="44"/>
  <c r="BS8" i="44"/>
  <c r="BO8" i="44"/>
  <c r="BK8" i="44"/>
  <c r="BG8" i="44"/>
  <c r="BC8" i="44"/>
  <c r="AY8" i="44"/>
  <c r="BV8" i="44"/>
  <c r="BR8" i="44"/>
  <c r="BN8" i="44"/>
  <c r="BJ8" i="44"/>
  <c r="BF8" i="44"/>
  <c r="BB8" i="44"/>
  <c r="AW9" i="44"/>
  <c r="AS9" i="44"/>
  <c r="AO9" i="44"/>
  <c r="AK9" i="44"/>
  <c r="AG9" i="44"/>
  <c r="AC9" i="44"/>
  <c r="Y9" i="44"/>
  <c r="U9" i="44"/>
  <c r="Q9" i="44"/>
  <c r="M9" i="44"/>
  <c r="I9" i="44"/>
  <c r="E9" i="44"/>
  <c r="AV9" i="44"/>
  <c r="AR9" i="44"/>
  <c r="AN9" i="44"/>
  <c r="AJ9" i="44"/>
  <c r="AF9" i="44"/>
  <c r="AB9" i="44"/>
  <c r="X9" i="44"/>
  <c r="T9" i="44"/>
  <c r="P9" i="44"/>
  <c r="L9" i="44"/>
  <c r="H9" i="44"/>
  <c r="D9" i="44"/>
  <c r="AU9" i="44"/>
  <c r="AQ9" i="44"/>
  <c r="AM9" i="44"/>
  <c r="AI9" i="44"/>
  <c r="AE9" i="44"/>
  <c r="AA9" i="44"/>
  <c r="W9" i="44"/>
  <c r="S9" i="44"/>
  <c r="O9" i="44"/>
  <c r="K9" i="44"/>
  <c r="G9" i="44"/>
  <c r="C9" i="44"/>
  <c r="AX9" i="44"/>
  <c r="AT9" i="44"/>
  <c r="AP9" i="44"/>
  <c r="AL9" i="44"/>
  <c r="AH9" i="44"/>
  <c r="AD9" i="44"/>
  <c r="Z9" i="44"/>
  <c r="V9" i="44"/>
  <c r="R9" i="44"/>
  <c r="N9" i="44"/>
  <c r="J9" i="44"/>
  <c r="F9" i="44"/>
  <c r="BU12" i="44"/>
  <c r="BQ12" i="44"/>
  <c r="BM12" i="44"/>
  <c r="BI12" i="44"/>
  <c r="BE12" i="44"/>
  <c r="BA12" i="44"/>
  <c r="BT12" i="44"/>
  <c r="BP12" i="44"/>
  <c r="BL12" i="44"/>
  <c r="BH12" i="44"/>
  <c r="BD12" i="44"/>
  <c r="AZ12" i="44"/>
  <c r="BS12" i="44"/>
  <c r="BO12" i="44"/>
  <c r="BK12" i="44"/>
  <c r="BG12" i="44"/>
  <c r="BC12" i="44"/>
  <c r="AY12" i="44"/>
  <c r="BV12" i="44"/>
  <c r="BR12" i="44"/>
  <c r="BN12" i="44"/>
  <c r="BJ12" i="44"/>
  <c r="BF12" i="44"/>
  <c r="BB12" i="44"/>
  <c r="AW13" i="44"/>
  <c r="AS13" i="44"/>
  <c r="AO13" i="44"/>
  <c r="AK13" i="44"/>
  <c r="AG13" i="44"/>
  <c r="AC13" i="44"/>
  <c r="Y13" i="44"/>
  <c r="U13" i="44"/>
  <c r="Q13" i="44"/>
  <c r="M13" i="44"/>
  <c r="I13" i="44"/>
  <c r="E13" i="44"/>
  <c r="AV13" i="44"/>
  <c r="AR13" i="44"/>
  <c r="AN13" i="44"/>
  <c r="AJ13" i="44"/>
  <c r="AF13" i="44"/>
  <c r="AB13" i="44"/>
  <c r="X13" i="44"/>
  <c r="T13" i="44"/>
  <c r="P13" i="44"/>
  <c r="L13" i="44"/>
  <c r="H13" i="44"/>
  <c r="D13" i="44"/>
  <c r="AU13" i="44"/>
  <c r="AQ13" i="44"/>
  <c r="AM13" i="44"/>
  <c r="AI13" i="44"/>
  <c r="AE13" i="44"/>
  <c r="AA13" i="44"/>
  <c r="W13" i="44"/>
  <c r="S13" i="44"/>
  <c r="O13" i="44"/>
  <c r="K13" i="44"/>
  <c r="G13" i="44"/>
  <c r="C13" i="44"/>
  <c r="AX13" i="44"/>
  <c r="AT13" i="44"/>
  <c r="AP13" i="44"/>
  <c r="AL13" i="44"/>
  <c r="AH13" i="44"/>
  <c r="AD13" i="44"/>
  <c r="Z13" i="44"/>
  <c r="V13" i="44"/>
  <c r="R13" i="44"/>
  <c r="N13" i="44"/>
  <c r="J13" i="44"/>
  <c r="F13" i="44"/>
  <c r="BU16" i="44"/>
  <c r="BQ16" i="44"/>
  <c r="BM16" i="44"/>
  <c r="BI16" i="44"/>
  <c r="BE16" i="44"/>
  <c r="BA16" i="44"/>
  <c r="BT16" i="44"/>
  <c r="BP16" i="44"/>
  <c r="BL16" i="44"/>
  <c r="BH16" i="44"/>
  <c r="BD16" i="44"/>
  <c r="AZ16" i="44"/>
  <c r="BS16" i="44"/>
  <c r="BO16" i="44"/>
  <c r="BK16" i="44"/>
  <c r="BG16" i="44"/>
  <c r="BC16" i="44"/>
  <c r="AY16" i="44"/>
  <c r="BV16" i="44"/>
  <c r="BR16" i="44"/>
  <c r="BN16" i="44"/>
  <c r="BJ16" i="44"/>
  <c r="BF16" i="44"/>
  <c r="BB16" i="44"/>
  <c r="AW17" i="44"/>
  <c r="AS17" i="44"/>
  <c r="AO17" i="44"/>
  <c r="AK17" i="44"/>
  <c r="AG17" i="44"/>
  <c r="AC17" i="44"/>
  <c r="Y17" i="44"/>
  <c r="U17" i="44"/>
  <c r="Q17" i="44"/>
  <c r="M17" i="44"/>
  <c r="I17" i="44"/>
  <c r="E17" i="44"/>
  <c r="AV17" i="44"/>
  <c r="AR17" i="44"/>
  <c r="AN17" i="44"/>
  <c r="AJ17" i="44"/>
  <c r="AF17" i="44"/>
  <c r="AB17" i="44"/>
  <c r="X17" i="44"/>
  <c r="T17" i="44"/>
  <c r="P17" i="44"/>
  <c r="L17" i="44"/>
  <c r="H17" i="44"/>
  <c r="D17" i="44"/>
  <c r="AU17" i="44"/>
  <c r="AQ17" i="44"/>
  <c r="AM17" i="44"/>
  <c r="AI17" i="44"/>
  <c r="AE17" i="44"/>
  <c r="AA17" i="44"/>
  <c r="W17" i="44"/>
  <c r="S17" i="44"/>
  <c r="O17" i="44"/>
  <c r="K17" i="44"/>
  <c r="G17" i="44"/>
  <c r="C17" i="44"/>
  <c r="AX17" i="44"/>
  <c r="AT17" i="44"/>
  <c r="AP17" i="44"/>
  <c r="AL17" i="44"/>
  <c r="AH17" i="44"/>
  <c r="AD17" i="44"/>
  <c r="Z17" i="44"/>
  <c r="V17" i="44"/>
  <c r="R17" i="44"/>
  <c r="N17" i="44"/>
  <c r="J17" i="44"/>
  <c r="F17" i="44"/>
  <c r="BU20" i="44"/>
  <c r="BQ20" i="44"/>
  <c r="BM20" i="44"/>
  <c r="BI20" i="44"/>
  <c r="BE20" i="44"/>
  <c r="BA20" i="44"/>
  <c r="BT20" i="44"/>
  <c r="BP20" i="44"/>
  <c r="BL20" i="44"/>
  <c r="BH20" i="44"/>
  <c r="BD20" i="44"/>
  <c r="AZ20" i="44"/>
  <c r="BS20" i="44"/>
  <c r="BO20" i="44"/>
  <c r="BK20" i="44"/>
  <c r="BG20" i="44"/>
  <c r="BC20" i="44"/>
  <c r="AY20" i="44"/>
  <c r="BV20" i="44"/>
  <c r="BR20" i="44"/>
  <c r="BN20" i="44"/>
  <c r="BJ20" i="44"/>
  <c r="BF20" i="44"/>
  <c r="BB20" i="44"/>
  <c r="AW21" i="44"/>
  <c r="AS21" i="44"/>
  <c r="AO21" i="44"/>
  <c r="AK21" i="44"/>
  <c r="AG21" i="44"/>
  <c r="AC21" i="44"/>
  <c r="Y21" i="44"/>
  <c r="U21" i="44"/>
  <c r="Q21" i="44"/>
  <c r="M21" i="44"/>
  <c r="I21" i="44"/>
  <c r="E21" i="44"/>
  <c r="AV21" i="44"/>
  <c r="AR21" i="44"/>
  <c r="AN21" i="44"/>
  <c r="AJ21" i="44"/>
  <c r="AF21" i="44"/>
  <c r="AB21" i="44"/>
  <c r="X21" i="44"/>
  <c r="T21" i="44"/>
  <c r="P21" i="44"/>
  <c r="L21" i="44"/>
  <c r="H21" i="44"/>
  <c r="D21" i="44"/>
  <c r="AU21" i="44"/>
  <c r="AQ21" i="44"/>
  <c r="AM21" i="44"/>
  <c r="AI21" i="44"/>
  <c r="AE21" i="44"/>
  <c r="AA21" i="44"/>
  <c r="W21" i="44"/>
  <c r="S21" i="44"/>
  <c r="O21" i="44"/>
  <c r="K21" i="44"/>
  <c r="G21" i="44"/>
  <c r="C21" i="44"/>
  <c r="AX21" i="44"/>
  <c r="AT21" i="44"/>
  <c r="AP21" i="44"/>
  <c r="AL21" i="44"/>
  <c r="AH21" i="44"/>
  <c r="AD21" i="44"/>
  <c r="Z21" i="44"/>
  <c r="V21" i="44"/>
  <c r="R21" i="44"/>
  <c r="N21" i="44"/>
  <c r="J21" i="44"/>
  <c r="F21" i="44"/>
  <c r="BU24" i="44"/>
  <c r="BQ24" i="44"/>
  <c r="BM24" i="44"/>
  <c r="BI24" i="44"/>
  <c r="BE24" i="44"/>
  <c r="BA24" i="44"/>
  <c r="BT24" i="44"/>
  <c r="BP24" i="44"/>
  <c r="BL24" i="44"/>
  <c r="BH24" i="44"/>
  <c r="BD24" i="44"/>
  <c r="AZ24" i="44"/>
  <c r="BS24" i="44"/>
  <c r="BO24" i="44"/>
  <c r="BK24" i="44"/>
  <c r="BG24" i="44"/>
  <c r="BC24" i="44"/>
  <c r="AY24" i="44"/>
  <c r="BV24" i="44"/>
  <c r="BR24" i="44"/>
  <c r="BN24" i="44"/>
  <c r="BJ24" i="44"/>
  <c r="BF24" i="44"/>
  <c r="BB24" i="44"/>
  <c r="AW25" i="44"/>
  <c r="AS25" i="44"/>
  <c r="AO25" i="44"/>
  <c r="AK25" i="44"/>
  <c r="AG25" i="44"/>
  <c r="AC25" i="44"/>
  <c r="Y25" i="44"/>
  <c r="U25" i="44"/>
  <c r="Q25" i="44"/>
  <c r="M25" i="44"/>
  <c r="I25" i="44"/>
  <c r="E25" i="44"/>
  <c r="AV25" i="44"/>
  <c r="AR25" i="44"/>
  <c r="AN25" i="44"/>
  <c r="AJ25" i="44"/>
  <c r="AF25" i="44"/>
  <c r="AB25" i="44"/>
  <c r="X25" i="44"/>
  <c r="T25" i="44"/>
  <c r="P25" i="44"/>
  <c r="L25" i="44"/>
  <c r="H25" i="44"/>
  <c r="D25" i="44"/>
  <c r="AU25" i="44"/>
  <c r="AQ25" i="44"/>
  <c r="AM25" i="44"/>
  <c r="AI25" i="44"/>
  <c r="AE25" i="44"/>
  <c r="AA25" i="44"/>
  <c r="W25" i="44"/>
  <c r="S25" i="44"/>
  <c r="O25" i="44"/>
  <c r="K25" i="44"/>
  <c r="G25" i="44"/>
  <c r="C25" i="44"/>
  <c r="AX25" i="44"/>
  <c r="AT25" i="44"/>
  <c r="AP25" i="44"/>
  <c r="AL25" i="44"/>
  <c r="AH25" i="44"/>
  <c r="AD25" i="44"/>
  <c r="Z25" i="44"/>
  <c r="V25" i="44"/>
  <c r="R25" i="44"/>
  <c r="N25" i="44"/>
  <c r="J25" i="44"/>
  <c r="F25" i="44"/>
  <c r="BU28" i="44"/>
  <c r="BQ28" i="44"/>
  <c r="BM28" i="44"/>
  <c r="BI28" i="44"/>
  <c r="BE28" i="44"/>
  <c r="BA28" i="44"/>
  <c r="BT28" i="44"/>
  <c r="BP28" i="44"/>
  <c r="BL28" i="44"/>
  <c r="BH28" i="44"/>
  <c r="BD28" i="44"/>
  <c r="AZ28" i="44"/>
  <c r="BS28" i="44"/>
  <c r="BO28" i="44"/>
  <c r="BK28" i="44"/>
  <c r="BG28" i="44"/>
  <c r="BC28" i="44"/>
  <c r="AY28" i="44"/>
  <c r="BV28" i="44"/>
  <c r="BR28" i="44"/>
  <c r="BN28" i="44"/>
  <c r="BJ28" i="44"/>
  <c r="BF28" i="44"/>
  <c r="BB28" i="44"/>
  <c r="AW29" i="44"/>
  <c r="AS29" i="44"/>
  <c r="AO29" i="44"/>
  <c r="AK29" i="44"/>
  <c r="AG29" i="44"/>
  <c r="AC29" i="44"/>
  <c r="Y29" i="44"/>
  <c r="U29" i="44"/>
  <c r="Q29" i="44"/>
  <c r="M29" i="44"/>
  <c r="I29" i="44"/>
  <c r="E29" i="44"/>
  <c r="AV29" i="44"/>
  <c r="AR29" i="44"/>
  <c r="AN29" i="44"/>
  <c r="AJ29" i="44"/>
  <c r="AF29" i="44"/>
  <c r="AB29" i="44"/>
  <c r="X29" i="44"/>
  <c r="T29" i="44"/>
  <c r="P29" i="44"/>
  <c r="L29" i="44"/>
  <c r="H29" i="44"/>
  <c r="D29" i="44"/>
  <c r="AU29" i="44"/>
  <c r="AQ29" i="44"/>
  <c r="AM29" i="44"/>
  <c r="AI29" i="44"/>
  <c r="AE29" i="44"/>
  <c r="AA29" i="44"/>
  <c r="W29" i="44"/>
  <c r="S29" i="44"/>
  <c r="O29" i="44"/>
  <c r="K29" i="44"/>
  <c r="G29" i="44"/>
  <c r="C29" i="44"/>
  <c r="AX29" i="44"/>
  <c r="AT29" i="44"/>
  <c r="AP29" i="44"/>
  <c r="AL29" i="44"/>
  <c r="AH29" i="44"/>
  <c r="AD29" i="44"/>
  <c r="Z29" i="44"/>
  <c r="V29" i="44"/>
  <c r="R29" i="44"/>
  <c r="N29" i="44"/>
  <c r="J29" i="44"/>
  <c r="F29" i="44"/>
  <c r="F2" i="44"/>
  <c r="J2" i="44"/>
  <c r="N2" i="44"/>
  <c r="R2" i="44"/>
  <c r="V2" i="44"/>
  <c r="Z2" i="44"/>
  <c r="AD2" i="44"/>
  <c r="AH2" i="44"/>
  <c r="AL2" i="44"/>
  <c r="AZ2" i="44"/>
  <c r="BH2" i="44"/>
  <c r="BP2" i="44"/>
  <c r="AU2" i="44"/>
  <c r="AQ2" i="44"/>
  <c r="AX2" i="44"/>
  <c r="AT2" i="44"/>
  <c r="AP2" i="44"/>
  <c r="BU5" i="44"/>
  <c r="BQ5" i="44"/>
  <c r="BM5" i="44"/>
  <c r="BI5" i="44"/>
  <c r="BE5" i="44"/>
  <c r="BA5" i="44"/>
  <c r="BT5" i="44"/>
  <c r="BP5" i="44"/>
  <c r="BL5" i="44"/>
  <c r="BH5" i="44"/>
  <c r="BD5" i="44"/>
  <c r="AZ5" i="44"/>
  <c r="BS5" i="44"/>
  <c r="BO5" i="44"/>
  <c r="BK5" i="44"/>
  <c r="BG5" i="44"/>
  <c r="BC5" i="44"/>
  <c r="AY5" i="44"/>
  <c r="BV5" i="44"/>
  <c r="BR5" i="44"/>
  <c r="BN5" i="44"/>
  <c r="BJ5" i="44"/>
  <c r="BF5" i="44"/>
  <c r="BB5" i="44"/>
  <c r="AW6" i="44"/>
  <c r="AS6" i="44"/>
  <c r="AO6" i="44"/>
  <c r="AK6" i="44"/>
  <c r="AG6" i="44"/>
  <c r="AC6" i="44"/>
  <c r="Y6" i="44"/>
  <c r="U6" i="44"/>
  <c r="Q6" i="44"/>
  <c r="M6" i="44"/>
  <c r="I6" i="44"/>
  <c r="E6" i="44"/>
  <c r="AV6" i="44"/>
  <c r="AR6" i="44"/>
  <c r="AN6" i="44"/>
  <c r="AJ6" i="44"/>
  <c r="AF6" i="44"/>
  <c r="AB6" i="44"/>
  <c r="X6" i="44"/>
  <c r="T6" i="44"/>
  <c r="P6" i="44"/>
  <c r="L6" i="44"/>
  <c r="H6" i="44"/>
  <c r="D6" i="44"/>
  <c r="AU6" i="44"/>
  <c r="AQ6" i="44"/>
  <c r="AM6" i="44"/>
  <c r="AI6" i="44"/>
  <c r="AE6" i="44"/>
  <c r="AA6" i="44"/>
  <c r="W6" i="44"/>
  <c r="S6" i="44"/>
  <c r="O6" i="44"/>
  <c r="K6" i="44"/>
  <c r="G6" i="44"/>
  <c r="C6" i="44"/>
  <c r="AX6" i="44"/>
  <c r="AT6" i="44"/>
  <c r="AP6" i="44"/>
  <c r="AL6" i="44"/>
  <c r="AH6" i="44"/>
  <c r="AD6" i="44"/>
  <c r="Z6" i="44"/>
  <c r="V6" i="44"/>
  <c r="R6" i="44"/>
  <c r="N6" i="44"/>
  <c r="J6" i="44"/>
  <c r="F6" i="44"/>
  <c r="BU9" i="44"/>
  <c r="BQ9" i="44"/>
  <c r="BM9" i="44"/>
  <c r="BI9" i="44"/>
  <c r="BE9" i="44"/>
  <c r="BA9" i="44"/>
  <c r="BT9" i="44"/>
  <c r="BP9" i="44"/>
  <c r="BL9" i="44"/>
  <c r="BH9" i="44"/>
  <c r="BD9" i="44"/>
  <c r="AZ9" i="44"/>
  <c r="BS9" i="44"/>
  <c r="BO9" i="44"/>
  <c r="BK9" i="44"/>
  <c r="BG9" i="44"/>
  <c r="BC9" i="44"/>
  <c r="AY9" i="44"/>
  <c r="BV9" i="44"/>
  <c r="BR9" i="44"/>
  <c r="BN9" i="44"/>
  <c r="BJ9" i="44"/>
  <c r="BF9" i="44"/>
  <c r="BB9" i="44"/>
  <c r="AW10" i="44"/>
  <c r="AS10" i="44"/>
  <c r="AO10" i="44"/>
  <c r="AK10" i="44"/>
  <c r="AG10" i="44"/>
  <c r="AC10" i="44"/>
  <c r="Y10" i="44"/>
  <c r="U10" i="44"/>
  <c r="Q10" i="44"/>
  <c r="M10" i="44"/>
  <c r="I10" i="44"/>
  <c r="E10" i="44"/>
  <c r="AV10" i="44"/>
  <c r="AR10" i="44"/>
  <c r="AN10" i="44"/>
  <c r="AJ10" i="44"/>
  <c r="AF10" i="44"/>
  <c r="AB10" i="44"/>
  <c r="X10" i="44"/>
  <c r="T10" i="44"/>
  <c r="P10" i="44"/>
  <c r="L10" i="44"/>
  <c r="H10" i="44"/>
  <c r="D10" i="44"/>
  <c r="AU10" i="44"/>
  <c r="AQ10" i="44"/>
  <c r="AM10" i="44"/>
  <c r="AI10" i="44"/>
  <c r="AE10" i="44"/>
  <c r="AA10" i="44"/>
  <c r="W10" i="44"/>
  <c r="S10" i="44"/>
  <c r="O10" i="44"/>
  <c r="K10" i="44"/>
  <c r="G10" i="44"/>
  <c r="C10" i="44"/>
  <c r="AX10" i="44"/>
  <c r="AT10" i="44"/>
  <c r="AP10" i="44"/>
  <c r="AL10" i="44"/>
  <c r="AH10" i="44"/>
  <c r="AD10" i="44"/>
  <c r="Z10" i="44"/>
  <c r="V10" i="44"/>
  <c r="R10" i="44"/>
  <c r="N10" i="44"/>
  <c r="J10" i="44"/>
  <c r="F10" i="44"/>
  <c r="BU13" i="44"/>
  <c r="BQ13" i="44"/>
  <c r="BM13" i="44"/>
  <c r="BI13" i="44"/>
  <c r="BE13" i="44"/>
  <c r="BA13" i="44"/>
  <c r="BT13" i="44"/>
  <c r="BP13" i="44"/>
  <c r="BL13" i="44"/>
  <c r="BH13" i="44"/>
  <c r="BD13" i="44"/>
  <c r="AZ13" i="44"/>
  <c r="BS13" i="44"/>
  <c r="BO13" i="44"/>
  <c r="BK13" i="44"/>
  <c r="BG13" i="44"/>
  <c r="BC13" i="44"/>
  <c r="AY13" i="44"/>
  <c r="BV13" i="44"/>
  <c r="BR13" i="44"/>
  <c r="BN13" i="44"/>
  <c r="BJ13" i="44"/>
  <c r="BF13" i="44"/>
  <c r="BB13" i="44"/>
  <c r="AW14" i="44"/>
  <c r="AS14" i="44"/>
  <c r="AO14" i="44"/>
  <c r="AK14" i="44"/>
  <c r="AG14" i="44"/>
  <c r="AC14" i="44"/>
  <c r="Y14" i="44"/>
  <c r="U14" i="44"/>
  <c r="Q14" i="44"/>
  <c r="M14" i="44"/>
  <c r="I14" i="44"/>
  <c r="E14" i="44"/>
  <c r="AV14" i="44"/>
  <c r="AR14" i="44"/>
  <c r="AN14" i="44"/>
  <c r="AJ14" i="44"/>
  <c r="AF14" i="44"/>
  <c r="AB14" i="44"/>
  <c r="X14" i="44"/>
  <c r="T14" i="44"/>
  <c r="P14" i="44"/>
  <c r="L14" i="44"/>
  <c r="H14" i="44"/>
  <c r="D14" i="44"/>
  <c r="AU14" i="44"/>
  <c r="AQ14" i="44"/>
  <c r="AM14" i="44"/>
  <c r="AI14" i="44"/>
  <c r="AE14" i="44"/>
  <c r="AA14" i="44"/>
  <c r="W14" i="44"/>
  <c r="S14" i="44"/>
  <c r="O14" i="44"/>
  <c r="K14" i="44"/>
  <c r="G14" i="44"/>
  <c r="C14" i="44"/>
  <c r="AX14" i="44"/>
  <c r="AT14" i="44"/>
  <c r="AP14" i="44"/>
  <c r="AL14" i="44"/>
  <c r="AH14" i="44"/>
  <c r="AD14" i="44"/>
  <c r="Z14" i="44"/>
  <c r="V14" i="44"/>
  <c r="R14" i="44"/>
  <c r="N14" i="44"/>
  <c r="J14" i="44"/>
  <c r="F14" i="44"/>
  <c r="BU17" i="44"/>
  <c r="BQ17" i="44"/>
  <c r="BM17" i="44"/>
  <c r="BI17" i="44"/>
  <c r="BE17" i="44"/>
  <c r="BA17" i="44"/>
  <c r="BT17" i="44"/>
  <c r="BP17" i="44"/>
  <c r="BL17" i="44"/>
  <c r="BH17" i="44"/>
  <c r="BD17" i="44"/>
  <c r="AZ17" i="44"/>
  <c r="BS17" i="44"/>
  <c r="BO17" i="44"/>
  <c r="BK17" i="44"/>
  <c r="BG17" i="44"/>
  <c r="BC17" i="44"/>
  <c r="AY17" i="44"/>
  <c r="BV17" i="44"/>
  <c r="BR17" i="44"/>
  <c r="BN17" i="44"/>
  <c r="BJ17" i="44"/>
  <c r="BF17" i="44"/>
  <c r="BB17" i="44"/>
  <c r="AW18" i="44"/>
  <c r="AS18" i="44"/>
  <c r="AO18" i="44"/>
  <c r="AK18" i="44"/>
  <c r="AG18" i="44"/>
  <c r="AC18" i="44"/>
  <c r="Y18" i="44"/>
  <c r="U18" i="44"/>
  <c r="Q18" i="44"/>
  <c r="M18" i="44"/>
  <c r="I18" i="44"/>
  <c r="E18" i="44"/>
  <c r="AV18" i="44"/>
  <c r="AR18" i="44"/>
  <c r="AN18" i="44"/>
  <c r="AJ18" i="44"/>
  <c r="AF18" i="44"/>
  <c r="AB18" i="44"/>
  <c r="X18" i="44"/>
  <c r="T18" i="44"/>
  <c r="P18" i="44"/>
  <c r="L18" i="44"/>
  <c r="H18" i="44"/>
  <c r="D18" i="44"/>
  <c r="AU18" i="44"/>
  <c r="AQ18" i="44"/>
  <c r="AM18" i="44"/>
  <c r="AI18" i="44"/>
  <c r="AE18" i="44"/>
  <c r="AA18" i="44"/>
  <c r="W18" i="44"/>
  <c r="S18" i="44"/>
  <c r="O18" i="44"/>
  <c r="K18" i="44"/>
  <c r="G18" i="44"/>
  <c r="C18" i="44"/>
  <c r="AX18" i="44"/>
  <c r="AT18" i="44"/>
  <c r="AP18" i="44"/>
  <c r="AL18" i="44"/>
  <c r="AH18" i="44"/>
  <c r="AD18" i="44"/>
  <c r="Z18" i="44"/>
  <c r="V18" i="44"/>
  <c r="R18" i="44"/>
  <c r="N18" i="44"/>
  <c r="J18" i="44"/>
  <c r="F18" i="44"/>
  <c r="BU21" i="44"/>
  <c r="BQ21" i="44"/>
  <c r="BM21" i="44"/>
  <c r="BI21" i="44"/>
  <c r="BE21" i="44"/>
  <c r="BA21" i="44"/>
  <c r="BT21" i="44"/>
  <c r="BP21" i="44"/>
  <c r="BL21" i="44"/>
  <c r="BH21" i="44"/>
  <c r="BD21" i="44"/>
  <c r="AZ21" i="44"/>
  <c r="BS21" i="44"/>
  <c r="BO21" i="44"/>
  <c r="BK21" i="44"/>
  <c r="BG21" i="44"/>
  <c r="BC21" i="44"/>
  <c r="AY21" i="44"/>
  <c r="BV21" i="44"/>
  <c r="BR21" i="44"/>
  <c r="BN21" i="44"/>
  <c r="BJ21" i="44"/>
  <c r="BF21" i="44"/>
  <c r="BB21" i="44"/>
  <c r="AW22" i="44"/>
  <c r="AS22" i="44"/>
  <c r="AO22" i="44"/>
  <c r="AK22" i="44"/>
  <c r="AG22" i="44"/>
  <c r="AC22" i="44"/>
  <c r="Y22" i="44"/>
  <c r="U22" i="44"/>
  <c r="Q22" i="44"/>
  <c r="M22" i="44"/>
  <c r="I22" i="44"/>
  <c r="E22" i="44"/>
  <c r="AV22" i="44"/>
  <c r="AR22" i="44"/>
  <c r="AN22" i="44"/>
  <c r="AJ22" i="44"/>
  <c r="AF22" i="44"/>
  <c r="AB22" i="44"/>
  <c r="X22" i="44"/>
  <c r="T22" i="44"/>
  <c r="P22" i="44"/>
  <c r="L22" i="44"/>
  <c r="H22" i="44"/>
  <c r="D22" i="44"/>
  <c r="AU22" i="44"/>
  <c r="AQ22" i="44"/>
  <c r="AM22" i="44"/>
  <c r="AI22" i="44"/>
  <c r="AE22" i="44"/>
  <c r="AA22" i="44"/>
  <c r="W22" i="44"/>
  <c r="S22" i="44"/>
  <c r="O22" i="44"/>
  <c r="K22" i="44"/>
  <c r="G22" i="44"/>
  <c r="C22" i="44"/>
  <c r="AX22" i="44"/>
  <c r="AT22" i="44"/>
  <c r="AP22" i="44"/>
  <c r="AL22" i="44"/>
  <c r="AH22" i="44"/>
  <c r="AD22" i="44"/>
  <c r="Z22" i="44"/>
  <c r="V22" i="44"/>
  <c r="R22" i="44"/>
  <c r="N22" i="44"/>
  <c r="J22" i="44"/>
  <c r="F22" i="44"/>
  <c r="BU25" i="44"/>
  <c r="BQ25" i="44"/>
  <c r="BM25" i="44"/>
  <c r="BI25" i="44"/>
  <c r="BE25" i="44"/>
  <c r="BA25" i="44"/>
  <c r="BT25" i="44"/>
  <c r="BP25" i="44"/>
  <c r="BL25" i="44"/>
  <c r="BH25" i="44"/>
  <c r="BD25" i="44"/>
  <c r="AZ25" i="44"/>
  <c r="BS25" i="44"/>
  <c r="BO25" i="44"/>
  <c r="BK25" i="44"/>
  <c r="BG25" i="44"/>
  <c r="BC25" i="44"/>
  <c r="AY25" i="44"/>
  <c r="BV25" i="44"/>
  <c r="BR25" i="44"/>
  <c r="BN25" i="44"/>
  <c r="BJ25" i="44"/>
  <c r="BF25" i="44"/>
  <c r="BB25" i="44"/>
  <c r="AW26" i="44"/>
  <c r="AS26" i="44"/>
  <c r="AO26" i="44"/>
  <c r="AK26" i="44"/>
  <c r="AG26" i="44"/>
  <c r="AC26" i="44"/>
  <c r="Y26" i="44"/>
  <c r="U26" i="44"/>
  <c r="Q26" i="44"/>
  <c r="M26" i="44"/>
  <c r="I26" i="44"/>
  <c r="E26" i="44"/>
  <c r="AV26" i="44"/>
  <c r="AR26" i="44"/>
  <c r="AN26" i="44"/>
  <c r="AJ26" i="44"/>
  <c r="AF26" i="44"/>
  <c r="AB26" i="44"/>
  <c r="X26" i="44"/>
  <c r="T26" i="44"/>
  <c r="P26" i="44"/>
  <c r="L26" i="44"/>
  <c r="H26" i="44"/>
  <c r="D26" i="44"/>
  <c r="AU26" i="44"/>
  <c r="AQ26" i="44"/>
  <c r="AM26" i="44"/>
  <c r="AI26" i="44"/>
  <c r="AE26" i="44"/>
  <c r="AA26" i="44"/>
  <c r="W26" i="44"/>
  <c r="S26" i="44"/>
  <c r="O26" i="44"/>
  <c r="K26" i="44"/>
  <c r="G26" i="44"/>
  <c r="C26" i="44"/>
  <c r="AX26" i="44"/>
  <c r="AT26" i="44"/>
  <c r="AP26" i="44"/>
  <c r="AL26" i="44"/>
  <c r="AH26" i="44"/>
  <c r="AD26" i="44"/>
  <c r="Z26" i="44"/>
  <c r="V26" i="44"/>
  <c r="R26" i="44"/>
  <c r="N26" i="44"/>
  <c r="J26" i="44"/>
  <c r="F26" i="44"/>
  <c r="BU29" i="44"/>
  <c r="BQ29" i="44"/>
  <c r="BM29" i="44"/>
  <c r="BI29" i="44"/>
  <c r="BE29" i="44"/>
  <c r="BA29" i="44"/>
  <c r="BT29" i="44"/>
  <c r="BP29" i="44"/>
  <c r="BL29" i="44"/>
  <c r="BH29" i="44"/>
  <c r="BD29" i="44"/>
  <c r="AZ29" i="44"/>
  <c r="BS29" i="44"/>
  <c r="BO29" i="44"/>
  <c r="BK29" i="44"/>
  <c r="BG29" i="44"/>
  <c r="BC29" i="44"/>
  <c r="AY29" i="44"/>
  <c r="BV29" i="44"/>
  <c r="BR29" i="44"/>
  <c r="BN29" i="44"/>
  <c r="BJ29" i="44"/>
  <c r="BF29" i="44"/>
  <c r="BB29" i="44"/>
  <c r="AW30" i="44"/>
  <c r="AS30" i="44"/>
  <c r="AO30" i="44"/>
  <c r="AK30" i="44"/>
  <c r="AG30" i="44"/>
  <c r="AC30" i="44"/>
  <c r="Y30" i="44"/>
  <c r="U30" i="44"/>
  <c r="Q30" i="44"/>
  <c r="M30" i="44"/>
  <c r="I30" i="44"/>
  <c r="E30" i="44"/>
  <c r="AV30" i="44"/>
  <c r="AR30" i="44"/>
  <c r="AN30" i="44"/>
  <c r="AJ30" i="44"/>
  <c r="AF30" i="44"/>
  <c r="AB30" i="44"/>
  <c r="X30" i="44"/>
  <c r="T30" i="44"/>
  <c r="P30" i="44"/>
  <c r="L30" i="44"/>
  <c r="H30" i="44"/>
  <c r="D30" i="44"/>
  <c r="AU30" i="44"/>
  <c r="AQ30" i="44"/>
  <c r="AM30" i="44"/>
  <c r="AI30" i="44"/>
  <c r="AE30" i="44"/>
  <c r="AA30" i="44"/>
  <c r="W30" i="44"/>
  <c r="S30" i="44"/>
  <c r="O30" i="44"/>
  <c r="K30" i="44"/>
  <c r="G30" i="44"/>
  <c r="C30" i="44"/>
  <c r="AX30" i="44"/>
  <c r="AT30" i="44"/>
  <c r="AP30" i="44"/>
  <c r="AL30" i="44"/>
  <c r="AH30" i="44"/>
  <c r="AD30" i="44"/>
  <c r="Z30" i="44"/>
  <c r="V30" i="44"/>
  <c r="R30" i="44"/>
  <c r="N30" i="44"/>
  <c r="J30" i="44"/>
  <c r="F30" i="44"/>
  <c r="C2" i="44"/>
  <c r="G2" i="44"/>
  <c r="K2" i="44"/>
  <c r="O2" i="44"/>
  <c r="S2" i="44"/>
  <c r="W2" i="44"/>
  <c r="AA2" i="44"/>
  <c r="AE2" i="44"/>
  <c r="AI2" i="44"/>
  <c r="AM2" i="44"/>
  <c r="AS2" i="44"/>
  <c r="BA2" i="44"/>
  <c r="BI2" i="44"/>
  <c r="BQ2" i="44"/>
  <c r="CQ31" i="38"/>
  <c r="CQ73" i="38"/>
  <c r="CQ59" i="38"/>
  <c r="DE13" i="38"/>
  <c r="DE2" i="38"/>
  <c r="DE6" i="38"/>
  <c r="DE10" i="38"/>
  <c r="CQ74" i="38"/>
  <c r="CQ60" i="38"/>
  <c r="CQ67" i="38"/>
  <c r="CQ53" i="38"/>
  <c r="CQ68" i="38"/>
  <c r="CQ54" i="38"/>
  <c r="CQ45" i="38"/>
  <c r="CQ72" i="38"/>
  <c r="CQ58" i="38"/>
  <c r="CQ70" i="38"/>
  <c r="CQ56" i="38"/>
  <c r="CQ69" i="38"/>
  <c r="CQ55" i="38"/>
  <c r="DE30" i="38"/>
  <c r="DE15" i="38"/>
  <c r="CQ66" i="38"/>
  <c r="CQ52" i="38"/>
  <c r="DE19" i="38"/>
  <c r="CQ65" i="38"/>
  <c r="CQ51" i="38"/>
  <c r="CQ71" i="38"/>
  <c r="CQ57" i="38"/>
  <c r="DE16" i="38"/>
  <c r="CQ75" i="38"/>
  <c r="CQ61" i="38"/>
  <c r="DE20" i="38"/>
  <c r="DE24" i="38"/>
  <c r="DE28" i="38"/>
  <c r="DE21" i="38"/>
  <c r="CQ76" i="38"/>
  <c r="CQ62" i="38"/>
  <c r="DE29" i="38"/>
  <c r="AP67" i="32"/>
  <c r="AY67" i="32" s="1"/>
  <c r="AP53" i="32"/>
  <c r="AY53" i="32" s="1"/>
  <c r="AP45" i="32"/>
  <c r="AY46" i="32"/>
  <c r="AP31" i="32"/>
  <c r="AP57" i="32"/>
  <c r="AY57" i="32" s="1"/>
  <c r="AP72" i="32"/>
  <c r="AY72" i="32" s="1"/>
  <c r="AP73" i="32"/>
  <c r="AY73" i="32" s="1"/>
  <c r="AP59" i="32"/>
  <c r="AY59" i="32" s="1"/>
  <c r="AP74" i="32"/>
  <c r="AY74" i="32" s="1"/>
  <c r="AP60" i="32"/>
  <c r="AY60" i="32" s="1"/>
  <c r="AP66" i="32"/>
  <c r="AY66" i="32" s="1"/>
  <c r="AP52" i="32"/>
  <c r="AY52" i="32" s="1"/>
  <c r="AP75" i="32"/>
  <c r="AY75" i="32" s="1"/>
  <c r="AP61" i="32"/>
  <c r="AY61" i="32" s="1"/>
  <c r="AP70" i="32"/>
  <c r="AY70" i="32" s="1"/>
  <c r="AP56" i="32"/>
  <c r="AY56" i="32" s="1"/>
  <c r="AP65" i="32"/>
  <c r="AY65" i="32" s="1"/>
  <c r="AP51" i="32"/>
  <c r="AY51" i="32" s="1"/>
  <c r="AP69" i="32"/>
  <c r="AY69" i="32" s="1"/>
  <c r="AP55" i="32"/>
  <c r="AY55" i="32" s="1"/>
  <c r="AP76" i="32"/>
  <c r="AY76" i="32" s="1"/>
  <c r="AP62" i="32"/>
  <c r="AY62" i="32" s="1"/>
  <c r="AP30" i="5" l="1"/>
  <c r="AP29" i="5"/>
  <c r="AP28" i="5"/>
  <c r="AP27" i="5"/>
  <c r="AP26" i="5"/>
  <c r="AP24" i="5"/>
  <c r="AP22" i="5"/>
  <c r="AP21" i="5"/>
  <c r="AP20" i="5"/>
  <c r="AP19" i="5"/>
  <c r="AP18" i="5"/>
  <c r="AP17" i="5"/>
  <c r="AP16" i="5"/>
  <c r="AP15" i="5"/>
  <c r="AP14" i="5"/>
  <c r="AP13" i="5"/>
  <c r="AP12" i="5"/>
  <c r="AP11" i="5"/>
  <c r="AP10" i="5"/>
  <c r="AP9" i="5"/>
  <c r="AP8" i="5"/>
  <c r="AP7" i="5"/>
  <c r="AP6" i="5"/>
  <c r="AP5" i="5"/>
  <c r="AP4" i="5"/>
  <c r="AP3" i="5"/>
  <c r="AP2" i="5"/>
  <c r="H9" i="3" l="1"/>
  <c r="AL30" i="16" l="1"/>
  <c r="AL35" i="16" s="1"/>
  <c r="AL26" i="16"/>
  <c r="AL36" i="16" s="1"/>
  <c r="AL23" i="16"/>
  <c r="AL49" i="16" s="1"/>
  <c r="AL20" i="16"/>
  <c r="AL16" i="16"/>
  <c r="AL10" i="16"/>
  <c r="AL46" i="16" s="1"/>
  <c r="AL7" i="16"/>
  <c r="AL4" i="16"/>
  <c r="AL40" i="16" s="1"/>
  <c r="AL27" i="16"/>
  <c r="AL21" i="16"/>
  <c r="AL17" i="16"/>
  <c r="AL14" i="16"/>
  <c r="AL34" i="16" s="1"/>
  <c r="AL11" i="16"/>
  <c r="AL39" i="16" s="1"/>
  <c r="AL5" i="16"/>
  <c r="AL28" i="16"/>
  <c r="AL43" i="16" s="1"/>
  <c r="AL15" i="16"/>
  <c r="AL44" i="16" s="1"/>
  <c r="AL8" i="16"/>
  <c r="AL41" i="16" s="1"/>
  <c r="AL2" i="16"/>
  <c r="AL38" i="16" s="1"/>
  <c r="AL29" i="16"/>
  <c r="AL22" i="16"/>
  <c r="AL37" i="16" s="1"/>
  <c r="AL9" i="16"/>
  <c r="AL3" i="16"/>
  <c r="AL32" i="16" s="1"/>
  <c r="AL18" i="16"/>
  <c r="AO30" i="16"/>
  <c r="AO27" i="16"/>
  <c r="AO24" i="16"/>
  <c r="AO23" i="16"/>
  <c r="AO49" i="16" s="1"/>
  <c r="AO22" i="16"/>
  <c r="AO19" i="16"/>
  <c r="AO17" i="16"/>
  <c r="AO15" i="16"/>
  <c r="AO14" i="16"/>
  <c r="AO7" i="16"/>
  <c r="AO3" i="16"/>
  <c r="AO32" i="16" s="1"/>
  <c r="AL25" i="16"/>
  <c r="AL13" i="16"/>
  <c r="AL33" i="16" s="1"/>
  <c r="AL6" i="16"/>
  <c r="AL47" i="16" s="1"/>
  <c r="AO21" i="16"/>
  <c r="AO16" i="16"/>
  <c r="AO9" i="16"/>
  <c r="AO8" i="16"/>
  <c r="AO5" i="16"/>
  <c r="AL24" i="16"/>
  <c r="AO20" i="16"/>
  <c r="AO12" i="16"/>
  <c r="AO29" i="16"/>
  <c r="AO25" i="16"/>
  <c r="AO18" i="16"/>
  <c r="AO6" i="16"/>
  <c r="AL12" i="16"/>
  <c r="AL19" i="16"/>
  <c r="AL42" i="16" s="1"/>
  <c r="AO28" i="16"/>
  <c r="AO4" i="16"/>
  <c r="AO26" i="16"/>
  <c r="AO36" i="16" s="1"/>
  <c r="AQ36" i="16" s="1"/>
  <c r="AO2" i="16"/>
  <c r="AO10" i="16"/>
  <c r="AO46" i="16" s="1"/>
  <c r="AO13" i="16"/>
  <c r="AO11" i="16"/>
  <c r="AL30" i="37"/>
  <c r="AL35" i="37" s="1"/>
  <c r="AL29" i="37"/>
  <c r="AL28" i="37"/>
  <c r="AL43" i="37" s="1"/>
  <c r="AL27" i="37"/>
  <c r="AL26" i="37"/>
  <c r="AL36" i="37" s="1"/>
  <c r="AL25" i="37"/>
  <c r="AL24" i="37"/>
  <c r="AL23" i="37"/>
  <c r="AL49" i="37" s="1"/>
  <c r="AL22" i="37"/>
  <c r="AL37" i="37" s="1"/>
  <c r="AL21" i="37"/>
  <c r="AL20" i="37"/>
  <c r="AL19" i="37"/>
  <c r="AL42" i="37" s="1"/>
  <c r="AL18" i="37"/>
  <c r="AL17" i="37"/>
  <c r="AL16" i="37"/>
  <c r="AL15" i="37"/>
  <c r="AL44" i="37" s="1"/>
  <c r="AL14" i="37"/>
  <c r="AL34" i="37" s="1"/>
  <c r="AL13" i="37"/>
  <c r="AL33" i="37" s="1"/>
  <c r="AL12" i="37"/>
  <c r="AL11" i="37"/>
  <c r="AL39" i="37" s="1"/>
  <c r="AL10" i="37"/>
  <c r="AL46" i="37" s="1"/>
  <c r="AL9" i="37"/>
  <c r="AL8" i="37"/>
  <c r="AL41" i="37" s="1"/>
  <c r="AL7" i="37"/>
  <c r="AL6" i="37"/>
  <c r="AL47" i="37" s="1"/>
  <c r="AL5" i="37"/>
  <c r="AL4" i="37"/>
  <c r="AL40" i="37" s="1"/>
  <c r="AL3" i="37"/>
  <c r="AL32" i="37" s="1"/>
  <c r="AL2" i="37"/>
  <c r="AL38" i="37" s="1"/>
  <c r="AO22" i="37"/>
  <c r="AO37" i="37" s="1"/>
  <c r="AQ37" i="37" s="1"/>
  <c r="AO18" i="37"/>
  <c r="AO14" i="37"/>
  <c r="AO34" i="37" s="1"/>
  <c r="AQ34" i="37" s="1"/>
  <c r="AO10" i="37"/>
  <c r="AO46" i="37" s="1"/>
  <c r="AO6" i="37"/>
  <c r="AO47" i="37" s="1"/>
  <c r="AQ47" i="37" s="1"/>
  <c r="AO2" i="37"/>
  <c r="AO38" i="37" s="1"/>
  <c r="AQ38" i="37" s="1"/>
  <c r="AO28" i="37"/>
  <c r="AO43" i="37" s="1"/>
  <c r="AQ43" i="37" s="1"/>
  <c r="AO26" i="37"/>
  <c r="AO36" i="37" s="1"/>
  <c r="AQ36" i="37" s="1"/>
  <c r="AO19" i="37"/>
  <c r="AO42" i="37" s="1"/>
  <c r="AQ42" i="37" s="1"/>
  <c r="AO11" i="37"/>
  <c r="AO39" i="37" s="1"/>
  <c r="AQ39" i="37" s="1"/>
  <c r="AO7" i="37"/>
  <c r="AO29" i="37"/>
  <c r="AO27" i="37"/>
  <c r="AO25" i="37"/>
  <c r="AO21" i="37"/>
  <c r="AO17" i="37"/>
  <c r="AO13" i="37"/>
  <c r="AO33" i="37" s="1"/>
  <c r="AQ33" i="37" s="1"/>
  <c r="AO9" i="37"/>
  <c r="AO5" i="37"/>
  <c r="AO20" i="37"/>
  <c r="AO16" i="37"/>
  <c r="AO12" i="37"/>
  <c r="AO8" i="37"/>
  <c r="AO41" i="37" s="1"/>
  <c r="AQ41" i="37" s="1"/>
  <c r="AO4" i="37"/>
  <c r="AO40" i="37" s="1"/>
  <c r="AQ40" i="37" s="1"/>
  <c r="AO30" i="37"/>
  <c r="AO35" i="37" s="1"/>
  <c r="AQ35" i="37" s="1"/>
  <c r="AO24" i="37"/>
  <c r="AO23" i="37"/>
  <c r="AO49" i="37" s="1"/>
  <c r="AO15" i="37"/>
  <c r="AO44" i="37" s="1"/>
  <c r="AQ44" i="37" s="1"/>
  <c r="AO3" i="37"/>
  <c r="AO32" i="37" s="1"/>
  <c r="E12" i="3"/>
  <c r="AQ31" i="37" l="1"/>
  <c r="AQ32" i="37"/>
  <c r="AL51" i="37"/>
  <c r="AL65" i="37"/>
  <c r="AL71" i="37"/>
  <c r="AL57" i="37"/>
  <c r="AO43" i="16"/>
  <c r="AQ43" i="16" s="1"/>
  <c r="AO35" i="16"/>
  <c r="AQ35" i="16" s="1"/>
  <c r="AO52" i="37"/>
  <c r="AQ52" i="37" s="1"/>
  <c r="AO66" i="37"/>
  <c r="AQ66" i="37" s="1"/>
  <c r="AQ46" i="37"/>
  <c r="AQ45" i="37"/>
  <c r="AL45" i="37"/>
  <c r="AL75" i="37"/>
  <c r="AL61" i="37"/>
  <c r="AL31" i="37"/>
  <c r="AO38" i="16"/>
  <c r="AQ38" i="16" s="1"/>
  <c r="AO50" i="16"/>
  <c r="AQ50" i="16" s="1"/>
  <c r="AO64" i="16"/>
  <c r="AL55" i="16"/>
  <c r="AL69" i="16"/>
  <c r="AO72" i="16"/>
  <c r="AQ72" i="16" s="1"/>
  <c r="AO58" i="16"/>
  <c r="AQ58" i="16" s="1"/>
  <c r="AL50" i="16"/>
  <c r="AL48" i="16" s="1"/>
  <c r="AL64" i="16"/>
  <c r="AL63" i="16" s="1"/>
  <c r="AO44" i="16"/>
  <c r="AQ44" i="16" s="1"/>
  <c r="AQ49" i="16"/>
  <c r="AL61" i="16"/>
  <c r="AL75" i="16"/>
  <c r="AL71" i="16"/>
  <c r="AL57" i="16"/>
  <c r="AL66" i="16"/>
  <c r="AL52" i="16"/>
  <c r="AL73" i="16"/>
  <c r="AL59" i="16"/>
  <c r="AQ49" i="37"/>
  <c r="AO53" i="37"/>
  <c r="AQ53" i="37" s="1"/>
  <c r="AO67" i="37"/>
  <c r="AQ67" i="37" s="1"/>
  <c r="AO65" i="37"/>
  <c r="AQ65" i="37" s="1"/>
  <c r="AO51" i="37"/>
  <c r="AQ51" i="37" s="1"/>
  <c r="AO59" i="37"/>
  <c r="AQ59" i="37" s="1"/>
  <c r="AO73" i="37"/>
  <c r="AQ73" i="37" s="1"/>
  <c r="AL59" i="37"/>
  <c r="AL73" i="37"/>
  <c r="AL76" i="37"/>
  <c r="AL62" i="37"/>
  <c r="AO39" i="16"/>
  <c r="AQ39" i="16" s="1"/>
  <c r="AL60" i="16"/>
  <c r="AL74" i="16"/>
  <c r="AO71" i="16"/>
  <c r="AQ71" i="16" s="1"/>
  <c r="AO57" i="16"/>
  <c r="AQ57" i="16" s="1"/>
  <c r="AO67" i="16"/>
  <c r="AQ67" i="16" s="1"/>
  <c r="AO53" i="16"/>
  <c r="AQ53" i="16" s="1"/>
  <c r="AO65" i="16"/>
  <c r="AQ65" i="16" s="1"/>
  <c r="AO51" i="16"/>
  <c r="AQ51" i="16" s="1"/>
  <c r="AQ32" i="16"/>
  <c r="AO66" i="16"/>
  <c r="AQ66" i="16" s="1"/>
  <c r="AO52" i="16"/>
  <c r="AQ52" i="16" s="1"/>
  <c r="AO69" i="16"/>
  <c r="AQ69" i="16" s="1"/>
  <c r="AO55" i="16"/>
  <c r="AQ55" i="16" s="1"/>
  <c r="AL31" i="16"/>
  <c r="AL53" i="16"/>
  <c r="AL67" i="16"/>
  <c r="AL65" i="16"/>
  <c r="AL51" i="16"/>
  <c r="AL45" i="16"/>
  <c r="AO58" i="37"/>
  <c r="AQ58" i="37" s="1"/>
  <c r="AO72" i="37"/>
  <c r="AQ72" i="37" s="1"/>
  <c r="AO76" i="37"/>
  <c r="AQ76" i="37" s="1"/>
  <c r="AO62" i="37"/>
  <c r="AQ62" i="37" s="1"/>
  <c r="AL53" i="37"/>
  <c r="AL67" i="37"/>
  <c r="AL54" i="37"/>
  <c r="AL68" i="37"/>
  <c r="AL52" i="37"/>
  <c r="AL66" i="37"/>
  <c r="AL50" i="37"/>
  <c r="AL64" i="37"/>
  <c r="AQ46" i="16"/>
  <c r="AO75" i="16"/>
  <c r="AQ75" i="16" s="1"/>
  <c r="AO61" i="16"/>
  <c r="AQ61" i="16" s="1"/>
  <c r="AO56" i="16"/>
  <c r="AQ56" i="16" s="1"/>
  <c r="AO70" i="16"/>
  <c r="AQ70" i="16" s="1"/>
  <c r="AO68" i="16"/>
  <c r="AQ68" i="16" s="1"/>
  <c r="AO54" i="16"/>
  <c r="AQ54" i="16" s="1"/>
  <c r="AO34" i="16"/>
  <c r="AQ34" i="16" s="1"/>
  <c r="AO37" i="16"/>
  <c r="AQ37" i="16" s="1"/>
  <c r="AL70" i="16"/>
  <c r="AL56" i="16"/>
  <c r="AO70" i="37"/>
  <c r="AQ70" i="37" s="1"/>
  <c r="AO56" i="37"/>
  <c r="AQ56" i="37" s="1"/>
  <c r="AO71" i="37"/>
  <c r="AQ71" i="37" s="1"/>
  <c r="AO57" i="37"/>
  <c r="AQ57" i="37" s="1"/>
  <c r="I30" i="32"/>
  <c r="I35" i="32" s="1"/>
  <c r="I25" i="32"/>
  <c r="I21" i="32"/>
  <c r="I19" i="32"/>
  <c r="I42" i="32" s="1"/>
  <c r="I11" i="32"/>
  <c r="I39" i="32" s="1"/>
  <c r="I10" i="32"/>
  <c r="I46" i="32" s="1"/>
  <c r="I8" i="32"/>
  <c r="I41" i="32" s="1"/>
  <c r="I7" i="32"/>
  <c r="I4" i="32"/>
  <c r="I40" i="32" s="1"/>
  <c r="C28" i="32"/>
  <c r="C22" i="32"/>
  <c r="C18" i="32"/>
  <c r="C14" i="32"/>
  <c r="C10" i="32"/>
  <c r="C6" i="32"/>
  <c r="C2" i="32"/>
  <c r="I27" i="32"/>
  <c r="I26" i="32"/>
  <c r="I36" i="32" s="1"/>
  <c r="I22" i="32"/>
  <c r="I37" i="32" s="1"/>
  <c r="I16" i="32"/>
  <c r="I15" i="32"/>
  <c r="I44" i="32" s="1"/>
  <c r="I14" i="32"/>
  <c r="I34" i="32" s="1"/>
  <c r="I9" i="32"/>
  <c r="I5" i="32"/>
  <c r="I2" i="32"/>
  <c r="I38" i="32" s="1"/>
  <c r="C27" i="32"/>
  <c r="C21" i="32"/>
  <c r="C17" i="32"/>
  <c r="C13" i="32"/>
  <c r="C9" i="32"/>
  <c r="C5" i="32"/>
  <c r="I29" i="32"/>
  <c r="I28" i="32"/>
  <c r="I43" i="32" s="1"/>
  <c r="I24" i="32"/>
  <c r="I17" i="32"/>
  <c r="I12" i="32"/>
  <c r="I6" i="32"/>
  <c r="I47" i="32" s="1"/>
  <c r="C25" i="32"/>
  <c r="C24" i="32"/>
  <c r="C30" i="32"/>
  <c r="C29" i="32"/>
  <c r="C26" i="32"/>
  <c r="C23" i="32"/>
  <c r="C20" i="32"/>
  <c r="C19" i="32"/>
  <c r="C16" i="32"/>
  <c r="C15" i="32"/>
  <c r="C12" i="32"/>
  <c r="C11" i="32"/>
  <c r="C8" i="32"/>
  <c r="C7" i="32"/>
  <c r="C4" i="32"/>
  <c r="C3" i="32"/>
  <c r="I23" i="32"/>
  <c r="I49" i="32" s="1"/>
  <c r="I3" i="32"/>
  <c r="I32" i="32" s="1"/>
  <c r="I13" i="32"/>
  <c r="I33" i="32" s="1"/>
  <c r="I18" i="32"/>
  <c r="I20" i="32"/>
  <c r="C15" i="5"/>
  <c r="C13" i="5"/>
  <c r="C7" i="5"/>
  <c r="C3" i="5"/>
  <c r="C30" i="5"/>
  <c r="C28" i="5"/>
  <c r="C26" i="5"/>
  <c r="C24" i="5"/>
  <c r="C22" i="5"/>
  <c r="C20" i="5"/>
  <c r="C18" i="5"/>
  <c r="C16" i="5"/>
  <c r="C14" i="5"/>
  <c r="C12" i="5"/>
  <c r="C10" i="5"/>
  <c r="C8" i="5"/>
  <c r="C6" i="5"/>
  <c r="C4" i="5"/>
  <c r="C2" i="5"/>
  <c r="C29" i="5"/>
  <c r="C27" i="5"/>
  <c r="C25" i="5"/>
  <c r="C23" i="5"/>
  <c r="C21" i="5"/>
  <c r="C19" i="5"/>
  <c r="C17" i="5"/>
  <c r="C11" i="5"/>
  <c r="C9" i="5"/>
  <c r="C5" i="5"/>
  <c r="AO55" i="37"/>
  <c r="AQ55" i="37" s="1"/>
  <c r="AO69" i="37"/>
  <c r="AQ69" i="37" s="1"/>
  <c r="AO60" i="37"/>
  <c r="AQ60" i="37" s="1"/>
  <c r="AO74" i="37"/>
  <c r="AQ74" i="37" s="1"/>
  <c r="AO54" i="37"/>
  <c r="AQ54" i="37" s="1"/>
  <c r="AO68" i="37"/>
  <c r="AQ68" i="37" s="1"/>
  <c r="AO64" i="37"/>
  <c r="AO50" i="37"/>
  <c r="AQ50" i="37" s="1"/>
  <c r="AO75" i="37"/>
  <c r="AQ75" i="37" s="1"/>
  <c r="AO61" i="37"/>
  <c r="AQ61" i="37" s="1"/>
  <c r="AL74" i="37"/>
  <c r="AL60" i="37"/>
  <c r="AL58" i="37"/>
  <c r="AL72" i="37"/>
  <c r="AL56" i="37"/>
  <c r="AL48" i="37" s="1"/>
  <c r="AL70" i="37"/>
  <c r="AL69" i="37"/>
  <c r="AL55" i="37"/>
  <c r="AQ33" i="16"/>
  <c r="AO33" i="16"/>
  <c r="AQ31" i="16" s="1"/>
  <c r="AO40" i="16"/>
  <c r="AQ40" i="16" s="1"/>
  <c r="AQ47" i="16"/>
  <c r="AO47" i="16"/>
  <c r="AQ45" i="16" s="1"/>
  <c r="AO60" i="16"/>
  <c r="AQ60" i="16" s="1"/>
  <c r="AO74" i="16"/>
  <c r="AQ74" i="16" s="1"/>
  <c r="AQ41" i="16"/>
  <c r="AO41" i="16"/>
  <c r="AO73" i="16"/>
  <c r="AQ73" i="16" s="1"/>
  <c r="AO59" i="16"/>
  <c r="AQ59" i="16" s="1"/>
  <c r="AQ42" i="16"/>
  <c r="AO42" i="16"/>
  <c r="AO62" i="16"/>
  <c r="AQ62" i="16" s="1"/>
  <c r="AO76" i="16"/>
  <c r="AQ76" i="16" s="1"/>
  <c r="AL54" i="16"/>
  <c r="AL68" i="16"/>
  <c r="AL62" i="16"/>
  <c r="AL76" i="16"/>
  <c r="AL58" i="16"/>
  <c r="AL72" i="16"/>
  <c r="I30" i="5"/>
  <c r="I27" i="5"/>
  <c r="I25" i="5"/>
  <c r="I20" i="5"/>
  <c r="I17" i="5"/>
  <c r="I14" i="5"/>
  <c r="I7" i="5"/>
  <c r="I4" i="5"/>
  <c r="I26" i="5"/>
  <c r="I21" i="5"/>
  <c r="I16" i="5"/>
  <c r="I8" i="5"/>
  <c r="I22" i="5"/>
  <c r="I18" i="5"/>
  <c r="I15" i="5"/>
  <c r="I5" i="5"/>
  <c r="I2" i="5"/>
  <c r="I29" i="5"/>
  <c r="I19" i="5"/>
  <c r="I11" i="5"/>
  <c r="I9" i="5"/>
  <c r="I6" i="5"/>
  <c r="I3" i="5"/>
  <c r="I32" i="5" s="1"/>
  <c r="M32" i="5" s="1"/>
  <c r="I23" i="5"/>
  <c r="I49" i="5" s="1"/>
  <c r="I13" i="5"/>
  <c r="I33" i="5" s="1"/>
  <c r="I10" i="5"/>
  <c r="I12" i="5"/>
  <c r="I28" i="5"/>
  <c r="I24" i="5"/>
  <c r="M49" i="32" l="1"/>
  <c r="C36" i="32"/>
  <c r="I69" i="32"/>
  <c r="I55" i="32"/>
  <c r="C76" i="32"/>
  <c r="C62" i="32"/>
  <c r="M36" i="32"/>
  <c r="C43" i="32"/>
  <c r="I64" i="32"/>
  <c r="I50" i="32"/>
  <c r="M48" i="32" s="1"/>
  <c r="AL63" i="37"/>
  <c r="AQ48" i="16"/>
  <c r="I75" i="32"/>
  <c r="I61" i="32"/>
  <c r="C32" i="32"/>
  <c r="C39" i="32"/>
  <c r="C42" i="32"/>
  <c r="C71" i="32"/>
  <c r="C57" i="32"/>
  <c r="M47" i="32"/>
  <c r="M43" i="32"/>
  <c r="C33" i="32"/>
  <c r="M38" i="32"/>
  <c r="M44" i="32"/>
  <c r="I76" i="32"/>
  <c r="I62" i="32"/>
  <c r="C34" i="32"/>
  <c r="M40" i="32"/>
  <c r="M39" i="32"/>
  <c r="M35" i="32"/>
  <c r="AQ48" i="37"/>
  <c r="AQ63" i="37"/>
  <c r="AQ64" i="37"/>
  <c r="I70" i="32"/>
  <c r="I56" i="32"/>
  <c r="C41" i="32"/>
  <c r="C72" i="32"/>
  <c r="C58" i="32"/>
  <c r="C64" i="32"/>
  <c r="C50" i="32"/>
  <c r="C68" i="32"/>
  <c r="C54" i="32"/>
  <c r="M34" i="32"/>
  <c r="C46" i="32"/>
  <c r="M45" i="32"/>
  <c r="M46" i="32"/>
  <c r="M33" i="32"/>
  <c r="C40" i="32"/>
  <c r="C60" i="32"/>
  <c r="C74" i="32"/>
  <c r="C70" i="32"/>
  <c r="C56" i="32"/>
  <c r="C35" i="32"/>
  <c r="I74" i="32"/>
  <c r="I60" i="32"/>
  <c r="I71" i="32"/>
  <c r="I57" i="32"/>
  <c r="C66" i="32"/>
  <c r="C52" i="32"/>
  <c r="I67" i="32"/>
  <c r="I53" i="32"/>
  <c r="I72" i="32"/>
  <c r="I58" i="32"/>
  <c r="C38" i="32"/>
  <c r="C75" i="32"/>
  <c r="C61" i="32"/>
  <c r="I73" i="32"/>
  <c r="I59" i="32"/>
  <c r="M42" i="32"/>
  <c r="AQ63" i="16"/>
  <c r="AQ64" i="16"/>
  <c r="M31" i="32"/>
  <c r="M32" i="32"/>
  <c r="C59" i="32"/>
  <c r="C73" i="32"/>
  <c r="C44" i="32"/>
  <c r="C49" i="32"/>
  <c r="C69" i="32"/>
  <c r="C55" i="32"/>
  <c r="I66" i="32"/>
  <c r="I52" i="32"/>
  <c r="C67" i="32"/>
  <c r="C53" i="32"/>
  <c r="C65" i="32"/>
  <c r="C51" i="32"/>
  <c r="I68" i="32"/>
  <c r="I54" i="32"/>
  <c r="M37" i="32"/>
  <c r="C47" i="32"/>
  <c r="C37" i="32"/>
  <c r="M41" i="32"/>
  <c r="I65" i="32"/>
  <c r="I51" i="32"/>
  <c r="I42" i="5"/>
  <c r="I36" i="5"/>
  <c r="I69" i="5"/>
  <c r="I55" i="5"/>
  <c r="I46" i="5"/>
  <c r="I39" i="5"/>
  <c r="I38" i="5"/>
  <c r="I44" i="5"/>
  <c r="M44" i="5" s="1"/>
  <c r="I41" i="5"/>
  <c r="I40" i="5"/>
  <c r="I34" i="5"/>
  <c r="I64" i="5"/>
  <c r="I50" i="5"/>
  <c r="M49" i="5"/>
  <c r="I57" i="5"/>
  <c r="I71" i="5"/>
  <c r="I37" i="5"/>
  <c r="I43" i="5"/>
  <c r="M33" i="5"/>
  <c r="I53" i="5"/>
  <c r="I67" i="5"/>
  <c r="I61" i="5"/>
  <c r="I75" i="5"/>
  <c r="I72" i="5"/>
  <c r="I58" i="5"/>
  <c r="I73" i="5"/>
  <c r="I59" i="5"/>
  <c r="I66" i="5"/>
  <c r="I52" i="5"/>
  <c r="I76" i="5"/>
  <c r="I62" i="5"/>
  <c r="I68" i="5"/>
  <c r="I54" i="5"/>
  <c r="I74" i="5"/>
  <c r="I60" i="5"/>
  <c r="I47" i="5"/>
  <c r="I65" i="5"/>
  <c r="I51" i="5"/>
  <c r="I70" i="5"/>
  <c r="I56" i="5"/>
  <c r="I35" i="5"/>
  <c r="M53" i="32" l="1"/>
  <c r="C63" i="32"/>
  <c r="M75" i="32"/>
  <c r="M63" i="32"/>
  <c r="M64" i="32"/>
  <c r="M55" i="32"/>
  <c r="M68" i="32"/>
  <c r="C48" i="32"/>
  <c r="M67" i="32"/>
  <c r="M57" i="32"/>
  <c r="M56" i="32"/>
  <c r="M69" i="32"/>
  <c r="M66" i="32"/>
  <c r="M74" i="32"/>
  <c r="M51" i="32"/>
  <c r="M58" i="32"/>
  <c r="M71" i="32"/>
  <c r="M70" i="32"/>
  <c r="M62" i="32"/>
  <c r="C31" i="32"/>
  <c r="M54" i="32"/>
  <c r="M73" i="32"/>
  <c r="M31" i="5"/>
  <c r="M65" i="32"/>
  <c r="M52" i="32"/>
  <c r="M59" i="32"/>
  <c r="M72" i="32"/>
  <c r="M60" i="32"/>
  <c r="C45" i="32"/>
  <c r="M76" i="32"/>
  <c r="M61" i="32"/>
  <c r="M50" i="32"/>
  <c r="M56" i="5"/>
  <c r="M47" i="5"/>
  <c r="M68" i="5"/>
  <c r="M66" i="5"/>
  <c r="M72" i="5"/>
  <c r="M53" i="5"/>
  <c r="M71" i="5"/>
  <c r="M55" i="5"/>
  <c r="M70" i="5"/>
  <c r="M60" i="5"/>
  <c r="M62" i="5"/>
  <c r="M59" i="5"/>
  <c r="M75" i="5"/>
  <c r="M57" i="5"/>
  <c r="M34" i="5"/>
  <c r="M38" i="5"/>
  <c r="M69" i="5"/>
  <c r="M51" i="5"/>
  <c r="M74" i="5"/>
  <c r="M76" i="5"/>
  <c r="M73" i="5"/>
  <c r="M61" i="5"/>
  <c r="M43" i="5"/>
  <c r="M40" i="5"/>
  <c r="M39" i="5"/>
  <c r="M36" i="5"/>
  <c r="M35" i="5"/>
  <c r="M65" i="5"/>
  <c r="M54" i="5"/>
  <c r="M52" i="5"/>
  <c r="M58" i="5"/>
  <c r="M67" i="5"/>
  <c r="M37" i="5"/>
  <c r="M50" i="5"/>
  <c r="M41" i="5"/>
  <c r="M42" i="5"/>
  <c r="M45" i="5"/>
  <c r="M48" i="5"/>
  <c r="M46" i="5"/>
  <c r="M64" i="5"/>
  <c r="M63" i="5"/>
  <c r="C35" i="19" l="1"/>
  <c r="E35" i="19" s="1"/>
  <c r="C76" i="19"/>
  <c r="C62" i="19"/>
  <c r="AP38" i="5" l="1"/>
  <c r="AY38" i="5" s="1"/>
  <c r="AP43" i="5"/>
  <c r="AY43" i="5" s="1"/>
  <c r="AP32" i="5"/>
  <c r="AY32" i="5" s="1"/>
  <c r="AP41" i="5" l="1"/>
  <c r="AY41" i="5" s="1"/>
  <c r="AP46" i="5"/>
  <c r="AY46" i="5" s="1"/>
  <c r="AP33" i="5"/>
  <c r="AY33" i="5" s="1"/>
  <c r="AP72" i="5"/>
  <c r="AY72" i="5" s="1"/>
  <c r="AP58" i="5"/>
  <c r="AY58" i="5" s="1"/>
  <c r="AP65" i="5"/>
  <c r="AY65" i="5" s="1"/>
  <c r="AP51" i="5"/>
  <c r="AY51" i="5" s="1"/>
  <c r="AP47" i="5"/>
  <c r="AY47" i="5" s="1"/>
  <c r="AP68" i="5"/>
  <c r="AY68" i="5" s="1"/>
  <c r="AP54" i="5"/>
  <c r="AY54" i="5" s="1"/>
  <c r="AP39" i="5"/>
  <c r="AY39" i="5" s="1"/>
  <c r="AP42" i="5"/>
  <c r="AY42" i="5" s="1"/>
  <c r="AP69" i="5"/>
  <c r="AY69" i="5" s="1"/>
  <c r="AP55" i="5"/>
  <c r="AY55" i="5" s="1"/>
  <c r="AP36" i="5"/>
  <c r="AY36" i="5" s="1"/>
  <c r="AP73" i="5"/>
  <c r="AY73" i="5" s="1"/>
  <c r="AP59" i="5"/>
  <c r="AY59" i="5" s="1"/>
  <c r="AP40" i="5"/>
  <c r="AY40" i="5" s="1"/>
  <c r="AP34" i="5"/>
  <c r="AY34" i="5" s="1"/>
  <c r="AP66" i="5"/>
  <c r="AY66" i="5" s="1"/>
  <c r="AP52" i="5"/>
  <c r="AY52" i="5" s="1"/>
  <c r="AP56" i="5"/>
  <c r="AY56" i="5" s="1"/>
  <c r="AP70" i="5"/>
  <c r="AY70" i="5" s="1"/>
  <c r="AP71" i="5"/>
  <c r="AY71" i="5" s="1"/>
  <c r="AP57" i="5"/>
  <c r="AY57" i="5" s="1"/>
  <c r="AP67" i="5"/>
  <c r="AY67" i="5" s="1"/>
  <c r="AP53" i="5"/>
  <c r="AY53" i="5" s="1"/>
  <c r="AP74" i="5"/>
  <c r="AY74" i="5" s="1"/>
  <c r="AP60" i="5"/>
  <c r="AY60" i="5" s="1"/>
  <c r="AP44" i="5"/>
  <c r="AY44" i="5" s="1"/>
  <c r="AP61" i="5"/>
  <c r="AY61" i="5" s="1"/>
  <c r="AP75" i="5"/>
  <c r="AY75" i="5" s="1"/>
  <c r="AP37" i="5"/>
  <c r="AY37" i="5" s="1"/>
  <c r="AP76" i="5"/>
  <c r="AY76" i="5" s="1"/>
  <c r="AP62" i="5"/>
  <c r="AY62" i="5" s="1"/>
  <c r="AP35" i="5"/>
  <c r="AY35" i="5" s="1"/>
  <c r="AP45" i="5" l="1"/>
  <c r="AP31" i="5"/>
  <c r="R35" i="4"/>
  <c r="R43" i="4"/>
  <c r="R36" i="4"/>
  <c r="R37" i="4"/>
  <c r="R42" i="4"/>
  <c r="R44" i="4"/>
  <c r="R34" i="4"/>
  <c r="R33" i="4"/>
  <c r="R39" i="4"/>
  <c r="R46" i="4"/>
  <c r="R41" i="4"/>
  <c r="R47" i="4"/>
  <c r="R40" i="4"/>
  <c r="R2" i="4"/>
  <c r="R38" i="4" s="1"/>
  <c r="R54" i="4" l="1"/>
  <c r="R68" i="4"/>
  <c r="R55" i="4"/>
  <c r="R69" i="4"/>
  <c r="R59" i="4"/>
  <c r="R73" i="4"/>
  <c r="R52" i="4"/>
  <c r="R66" i="4"/>
  <c r="R56" i="4"/>
  <c r="R70" i="4"/>
  <c r="R57" i="4"/>
  <c r="R71" i="4"/>
  <c r="R53" i="4"/>
  <c r="R67" i="4"/>
  <c r="R60" i="4"/>
  <c r="R74" i="4"/>
  <c r="R61" i="4"/>
  <c r="R75" i="4"/>
  <c r="R62" i="4"/>
  <c r="R76" i="4"/>
  <c r="R45" i="4"/>
  <c r="R58" i="4"/>
  <c r="R72" i="4"/>
  <c r="R51" i="4"/>
  <c r="R65" i="4"/>
  <c r="C46" i="19" l="1"/>
  <c r="C47" i="19"/>
  <c r="E47" i="19" s="1"/>
  <c r="E46" i="19" l="1"/>
  <c r="E45" i="19" s="1"/>
  <c r="C45" i="19"/>
  <c r="E10" i="19"/>
  <c r="BV25" i="35" l="1"/>
  <c r="BU25" i="35"/>
  <c r="BT25" i="35"/>
  <c r="BS25" i="35"/>
  <c r="BR25" i="35"/>
  <c r="BQ25" i="35"/>
  <c r="BP25" i="35"/>
  <c r="BO25" i="35"/>
  <c r="BN25" i="35"/>
  <c r="BM25" i="35"/>
  <c r="BL25" i="35"/>
  <c r="BK25" i="35"/>
  <c r="BJ25" i="35"/>
  <c r="BI25" i="35"/>
  <c r="BH25" i="35"/>
  <c r="BG25" i="35"/>
  <c r="BF25" i="35"/>
  <c r="BE25" i="35"/>
  <c r="BD25" i="35"/>
  <c r="BC25" i="35"/>
  <c r="BB25" i="35"/>
  <c r="BA25" i="35"/>
  <c r="AZ25" i="35"/>
  <c r="AY25" i="35"/>
  <c r="AX25" i="35"/>
  <c r="AW25" i="35"/>
  <c r="AV25" i="35"/>
  <c r="AU25" i="35"/>
  <c r="AT25" i="35"/>
  <c r="AS25" i="35"/>
  <c r="AR25" i="35"/>
  <c r="AQ25" i="35"/>
  <c r="AP25" i="35"/>
  <c r="AO25" i="35"/>
  <c r="AN25" i="35"/>
  <c r="AM25" i="35"/>
  <c r="AL25" i="35"/>
  <c r="AK25" i="35"/>
  <c r="AJ25" i="35"/>
  <c r="AI25" i="35"/>
  <c r="AH25" i="35"/>
  <c r="AG25" i="35"/>
  <c r="AF25" i="35"/>
  <c r="AE25" i="35"/>
  <c r="AD25" i="35"/>
  <c r="AC25" i="35"/>
  <c r="AB25" i="35"/>
  <c r="AA25" i="35"/>
  <c r="Z25" i="35"/>
  <c r="Y25" i="35"/>
  <c r="X25" i="35"/>
  <c r="W25" i="35"/>
  <c r="V25" i="35"/>
  <c r="U25" i="35"/>
  <c r="T25" i="35"/>
  <c r="S25" i="35"/>
  <c r="R25" i="35"/>
  <c r="Q25" i="35"/>
  <c r="P25" i="35"/>
  <c r="O25" i="35"/>
  <c r="N25" i="35"/>
  <c r="M25" i="35"/>
  <c r="L25" i="35"/>
  <c r="K25" i="35"/>
  <c r="J25" i="35"/>
  <c r="I25" i="35"/>
  <c r="H25" i="35"/>
  <c r="G25" i="35"/>
  <c r="F25" i="35"/>
  <c r="E25" i="35"/>
  <c r="D25" i="35"/>
  <c r="C25" i="35"/>
  <c r="BV24" i="35"/>
  <c r="BU24" i="35"/>
  <c r="BT24" i="35"/>
  <c r="BS24" i="35"/>
  <c r="BR24" i="35"/>
  <c r="BQ24"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P24" i="35"/>
  <c r="O24" i="35"/>
  <c r="N24" i="35"/>
  <c r="M24" i="35"/>
  <c r="L24" i="35"/>
  <c r="K24" i="35"/>
  <c r="J24" i="35"/>
  <c r="I24" i="35"/>
  <c r="H24" i="35"/>
  <c r="G24" i="35"/>
  <c r="F24" i="35"/>
  <c r="E24" i="35"/>
  <c r="D24" i="35"/>
  <c r="C24" i="35"/>
  <c r="AY30" i="46"/>
  <c r="AX30" i="46"/>
  <c r="AY29" i="46"/>
  <c r="AX29" i="46"/>
  <c r="AY28" i="46"/>
  <c r="AX28" i="46"/>
  <c r="AY27" i="46"/>
  <c r="AX27" i="46"/>
  <c r="AY26" i="46"/>
  <c r="AX26" i="46"/>
  <c r="AY25" i="46"/>
  <c r="AX25" i="46"/>
  <c r="AY24" i="46"/>
  <c r="AX24" i="46"/>
  <c r="AY23" i="46"/>
  <c r="AX23" i="46"/>
  <c r="AY22" i="46"/>
  <c r="AX22" i="46"/>
  <c r="AY21" i="46"/>
  <c r="AX21" i="46"/>
  <c r="AY20" i="46"/>
  <c r="AX20" i="46"/>
  <c r="AY19" i="46"/>
  <c r="AX19" i="46"/>
  <c r="AY18" i="46"/>
  <c r="AX18" i="46"/>
  <c r="AY17" i="46"/>
  <c r="AX17" i="46"/>
  <c r="AY16" i="46"/>
  <c r="AX16" i="46"/>
  <c r="AY15" i="46"/>
  <c r="AX15" i="46"/>
  <c r="AY14" i="46"/>
  <c r="AX14" i="46"/>
  <c r="AY13" i="46"/>
  <c r="AX13" i="46"/>
  <c r="AY12" i="46"/>
  <c r="AX12" i="46"/>
  <c r="AY11" i="46"/>
  <c r="AX11" i="46"/>
  <c r="AY10" i="46"/>
  <c r="AX10" i="46"/>
  <c r="AY9" i="46"/>
  <c r="BS9" i="35" s="1"/>
  <c r="AX9" i="46"/>
  <c r="AU9" i="35" s="1"/>
  <c r="AY8" i="46"/>
  <c r="BS8" i="35" s="1"/>
  <c r="AX8" i="46"/>
  <c r="AU8" i="35" s="1"/>
  <c r="AY7" i="46"/>
  <c r="BS7" i="35" s="1"/>
  <c r="AX7" i="46"/>
  <c r="AU7" i="35" s="1"/>
  <c r="AY6" i="46"/>
  <c r="BS6" i="35" s="1"/>
  <c r="AX6" i="46"/>
  <c r="AU6" i="35" s="1"/>
  <c r="AY5" i="46"/>
  <c r="BS5" i="35" s="1"/>
  <c r="AX5" i="46"/>
  <c r="AU5" i="35" s="1"/>
  <c r="AY4" i="46"/>
  <c r="BS4" i="35" s="1"/>
  <c r="AX4" i="46"/>
  <c r="AU4" i="35" s="1"/>
  <c r="AY3" i="46"/>
  <c r="BS3" i="35" s="1"/>
  <c r="AX3" i="46"/>
  <c r="AY2" i="46"/>
  <c r="BS2" i="35" s="1"/>
  <c r="AX2" i="46"/>
  <c r="AU2" i="35" s="1"/>
  <c r="BC30" i="46"/>
  <c r="BB30" i="46"/>
  <c r="AD30" i="46"/>
  <c r="AC30" i="46"/>
  <c r="AB30" i="46"/>
  <c r="AA30" i="46"/>
  <c r="Z30" i="46"/>
  <c r="BC29" i="46"/>
  <c r="BB29" i="46"/>
  <c r="AD29" i="46"/>
  <c r="AC29" i="46"/>
  <c r="AB29" i="46"/>
  <c r="AA29" i="46"/>
  <c r="Z29" i="46"/>
  <c r="BC28" i="46"/>
  <c r="BB28" i="46"/>
  <c r="AD28" i="46"/>
  <c r="AC28" i="46"/>
  <c r="AB28" i="46"/>
  <c r="AA28" i="46"/>
  <c r="Z28" i="46"/>
  <c r="BC27" i="46"/>
  <c r="BB27" i="46"/>
  <c r="AD27" i="46"/>
  <c r="AC27" i="46"/>
  <c r="AB27" i="46"/>
  <c r="AA27" i="46"/>
  <c r="Z27" i="46"/>
  <c r="BC26" i="46"/>
  <c r="BB26" i="46"/>
  <c r="AD26" i="46"/>
  <c r="AC26" i="46"/>
  <c r="AB26" i="46"/>
  <c r="AA26" i="46"/>
  <c r="Z26" i="46"/>
  <c r="BC25" i="46"/>
  <c r="BB25" i="46"/>
  <c r="AD25" i="46"/>
  <c r="AC25" i="46"/>
  <c r="AB25" i="46"/>
  <c r="AA25" i="46"/>
  <c r="Z25" i="46"/>
  <c r="BC24" i="46"/>
  <c r="BB24" i="46"/>
  <c r="AD24" i="46"/>
  <c r="AC24" i="46"/>
  <c r="AB24" i="46"/>
  <c r="AA24" i="46"/>
  <c r="Z24" i="46"/>
  <c r="BC23" i="46"/>
  <c r="BB23" i="46"/>
  <c r="AD23" i="46"/>
  <c r="AC23" i="46"/>
  <c r="AB23" i="46"/>
  <c r="AA23" i="46"/>
  <c r="Z23" i="46"/>
  <c r="BC22" i="46"/>
  <c r="BB22" i="46"/>
  <c r="AD22" i="46"/>
  <c r="AC22" i="46"/>
  <c r="AB22" i="46"/>
  <c r="AA22" i="46"/>
  <c r="Z22" i="46"/>
  <c r="BC21" i="46"/>
  <c r="BB21" i="46"/>
  <c r="AD21" i="46"/>
  <c r="AC21" i="46"/>
  <c r="AB21" i="46"/>
  <c r="AA21" i="46"/>
  <c r="Z21" i="46"/>
  <c r="BC20" i="46"/>
  <c r="BB20" i="46"/>
  <c r="AD20" i="46"/>
  <c r="AC20" i="46"/>
  <c r="AB20" i="46"/>
  <c r="AA20" i="46"/>
  <c r="Z20" i="46"/>
  <c r="BC19" i="46"/>
  <c r="BB19" i="46"/>
  <c r="AD19" i="46"/>
  <c r="AC19" i="46"/>
  <c r="AB19" i="46"/>
  <c r="AA19" i="46"/>
  <c r="Z19" i="46"/>
  <c r="BC18" i="46"/>
  <c r="BB18" i="46"/>
  <c r="AD18" i="46"/>
  <c r="AC18" i="46"/>
  <c r="AB18" i="46"/>
  <c r="AA18" i="46"/>
  <c r="Z18" i="46"/>
  <c r="BC17" i="46"/>
  <c r="BB17" i="46"/>
  <c r="AD17" i="46"/>
  <c r="AC17" i="46"/>
  <c r="AB17" i="46"/>
  <c r="AA17" i="46"/>
  <c r="Z17" i="46"/>
  <c r="BC16" i="46"/>
  <c r="BB16" i="46"/>
  <c r="AD16" i="46"/>
  <c r="AC16" i="46"/>
  <c r="AB16" i="46"/>
  <c r="AA16" i="46"/>
  <c r="Z16" i="46"/>
  <c r="BC15" i="46"/>
  <c r="BB15" i="46"/>
  <c r="AD15" i="46"/>
  <c r="AC15" i="46"/>
  <c r="AB15" i="46"/>
  <c r="AA15" i="46"/>
  <c r="Z15" i="46"/>
  <c r="BC14" i="46"/>
  <c r="BB14" i="46"/>
  <c r="AD14" i="46"/>
  <c r="AC14" i="46"/>
  <c r="AB14" i="46"/>
  <c r="AA14" i="46"/>
  <c r="Z14" i="46"/>
  <c r="BC13" i="46"/>
  <c r="BB13" i="46"/>
  <c r="AD13" i="46"/>
  <c r="AC13" i="46"/>
  <c r="AB13" i="46"/>
  <c r="AA13" i="46"/>
  <c r="Z13" i="46"/>
  <c r="BC12" i="46"/>
  <c r="BB12" i="46"/>
  <c r="AD12" i="46"/>
  <c r="AC12" i="46"/>
  <c r="AB12" i="46"/>
  <c r="AA12" i="46"/>
  <c r="Z12" i="46"/>
  <c r="BC11" i="46"/>
  <c r="BB11" i="46"/>
  <c r="AD11" i="46"/>
  <c r="AC11" i="46"/>
  <c r="AB11" i="46"/>
  <c r="AA11" i="46"/>
  <c r="Z11" i="46"/>
  <c r="BC10" i="46"/>
  <c r="BB10" i="46"/>
  <c r="AD10" i="46"/>
  <c r="AC10" i="46"/>
  <c r="AB10" i="46"/>
  <c r="AA10" i="46"/>
  <c r="Z10" i="46"/>
  <c r="BC9" i="46"/>
  <c r="BB9" i="46"/>
  <c r="AD9" i="46"/>
  <c r="AC9" i="46"/>
  <c r="AB9" i="46"/>
  <c r="AA9" i="46"/>
  <c r="Z9" i="46"/>
  <c r="BC8" i="46"/>
  <c r="BB8" i="46"/>
  <c r="AD8" i="46"/>
  <c r="AC8" i="46"/>
  <c r="AB8" i="46"/>
  <c r="AA8" i="46"/>
  <c r="Z8" i="46"/>
  <c r="BC7" i="46"/>
  <c r="BB7" i="46"/>
  <c r="AD7" i="46"/>
  <c r="AC7" i="46"/>
  <c r="AB7" i="46"/>
  <c r="AA7" i="46"/>
  <c r="Z7" i="46"/>
  <c r="BC6" i="46"/>
  <c r="BB6" i="46"/>
  <c r="AD6" i="46"/>
  <c r="AC6" i="46"/>
  <c r="AB6" i="46"/>
  <c r="AA6" i="46"/>
  <c r="Z6" i="46"/>
  <c r="BC5" i="46"/>
  <c r="BB5" i="46"/>
  <c r="AD5" i="46"/>
  <c r="AC5" i="46"/>
  <c r="AB5" i="46"/>
  <c r="AA5" i="46"/>
  <c r="Z5" i="46"/>
  <c r="BC4" i="46"/>
  <c r="BB4" i="46"/>
  <c r="AD4" i="46"/>
  <c r="AC4" i="46"/>
  <c r="AB4" i="46"/>
  <c r="AA4" i="46"/>
  <c r="Z4" i="46"/>
  <c r="BC3" i="46"/>
  <c r="BB3" i="46"/>
  <c r="AD3" i="46"/>
  <c r="AC3" i="46"/>
  <c r="AB3" i="46"/>
  <c r="AA3" i="46"/>
  <c r="Z3" i="46"/>
  <c r="BC2" i="46"/>
  <c r="BB2" i="46"/>
  <c r="AD2" i="46"/>
  <c r="AC2" i="46"/>
  <c r="AB2" i="46"/>
  <c r="AA2" i="46"/>
  <c r="Z2" i="46"/>
  <c r="AU3" i="35" l="1"/>
  <c r="AA3" i="35"/>
  <c r="BT10" i="35"/>
  <c r="BP10" i="35"/>
  <c r="BL10" i="35"/>
  <c r="BH10" i="35"/>
  <c r="BD10" i="35"/>
  <c r="AZ10" i="35"/>
  <c r="BS10" i="35"/>
  <c r="BO10" i="35"/>
  <c r="BK10" i="35"/>
  <c r="BG10" i="35"/>
  <c r="BC10" i="35"/>
  <c r="AY10" i="35"/>
  <c r="BV10" i="35"/>
  <c r="BR10" i="35"/>
  <c r="BN10" i="35"/>
  <c r="BJ10" i="35"/>
  <c r="BF10" i="35"/>
  <c r="BB10" i="35"/>
  <c r="BU10" i="35"/>
  <c r="BQ10" i="35"/>
  <c r="BM10" i="35"/>
  <c r="BI10" i="35"/>
  <c r="BE10" i="35"/>
  <c r="BA10" i="35"/>
  <c r="BT11" i="35"/>
  <c r="BP11" i="35"/>
  <c r="BL11" i="35"/>
  <c r="BH11" i="35"/>
  <c r="BD11" i="35"/>
  <c r="AZ11" i="35"/>
  <c r="BS11" i="35"/>
  <c r="BO11" i="35"/>
  <c r="BK11" i="35"/>
  <c r="BG11" i="35"/>
  <c r="BC11" i="35"/>
  <c r="AY11" i="35"/>
  <c r="BV11" i="35"/>
  <c r="BR11" i="35"/>
  <c r="BN11" i="35"/>
  <c r="BJ11" i="35"/>
  <c r="BF11" i="35"/>
  <c r="BB11" i="35"/>
  <c r="BU11" i="35"/>
  <c r="BQ11" i="35"/>
  <c r="BM11" i="35"/>
  <c r="BI11" i="35"/>
  <c r="BE11" i="35"/>
  <c r="BA11" i="35"/>
  <c r="BV12" i="35"/>
  <c r="BR12" i="35"/>
  <c r="BN12" i="35"/>
  <c r="BJ12" i="35"/>
  <c r="BF12" i="35"/>
  <c r="BB12" i="35"/>
  <c r="BS12" i="35"/>
  <c r="BM12" i="35"/>
  <c r="BH12" i="35"/>
  <c r="BC12" i="35"/>
  <c r="BQ12" i="35"/>
  <c r="BL12" i="35"/>
  <c r="BG12" i="35"/>
  <c r="BA12" i="35"/>
  <c r="BU12" i="35"/>
  <c r="BP12" i="35"/>
  <c r="BK12" i="35"/>
  <c r="BE12" i="35"/>
  <c r="AZ12" i="35"/>
  <c r="BT12" i="35"/>
  <c r="BO12" i="35"/>
  <c r="BI12" i="35"/>
  <c r="BD12" i="35"/>
  <c r="AY12" i="35"/>
  <c r="BU15" i="35"/>
  <c r="BQ15" i="35"/>
  <c r="BM15" i="35"/>
  <c r="BI15" i="35"/>
  <c r="BE15" i="35"/>
  <c r="BA15" i="35"/>
  <c r="BT15" i="35"/>
  <c r="BP15" i="35"/>
  <c r="BL15" i="35"/>
  <c r="BH15" i="35"/>
  <c r="BD15" i="35"/>
  <c r="AZ15" i="35"/>
  <c r="BS15" i="35"/>
  <c r="BO15" i="35"/>
  <c r="BK15" i="35"/>
  <c r="BG15" i="35"/>
  <c r="BC15" i="35"/>
  <c r="AY15" i="35"/>
  <c r="BV15" i="35"/>
  <c r="BR15" i="35"/>
  <c r="BN15" i="35"/>
  <c r="BJ15" i="35"/>
  <c r="BF15" i="35"/>
  <c r="BB15" i="35"/>
  <c r="BU17" i="35"/>
  <c r="BQ17" i="35"/>
  <c r="BM17" i="35"/>
  <c r="BI17" i="35"/>
  <c r="BE17" i="35"/>
  <c r="BA17" i="35"/>
  <c r="BT17" i="35"/>
  <c r="BP17" i="35"/>
  <c r="BL17" i="35"/>
  <c r="BH17" i="35"/>
  <c r="BD17" i="35"/>
  <c r="AZ17" i="35"/>
  <c r="BS17" i="35"/>
  <c r="BO17" i="35"/>
  <c r="BK17" i="35"/>
  <c r="BG17" i="35"/>
  <c r="BC17" i="35"/>
  <c r="AY17" i="35"/>
  <c r="BV17" i="35"/>
  <c r="BR17" i="35"/>
  <c r="BN17" i="35"/>
  <c r="BJ17" i="35"/>
  <c r="BF17" i="35"/>
  <c r="BB17" i="35"/>
  <c r="BV20" i="35"/>
  <c r="BR20" i="35"/>
  <c r="BN20" i="35"/>
  <c r="BJ20" i="35"/>
  <c r="BF20" i="35"/>
  <c r="BB20" i="35"/>
  <c r="BU20" i="35"/>
  <c r="BQ20" i="35"/>
  <c r="BM20" i="35"/>
  <c r="BI20" i="35"/>
  <c r="BE20" i="35"/>
  <c r="BA20" i="35"/>
  <c r="BT20" i="35"/>
  <c r="BP20" i="35"/>
  <c r="BL20" i="35"/>
  <c r="BH20" i="35"/>
  <c r="BD20" i="35"/>
  <c r="AZ20" i="35"/>
  <c r="BS20" i="35"/>
  <c r="BO20" i="35"/>
  <c r="BK20" i="35"/>
  <c r="BG20" i="35"/>
  <c r="BC20" i="35"/>
  <c r="AY20" i="35"/>
  <c r="BV22" i="35"/>
  <c r="BR22" i="35"/>
  <c r="BN22" i="35"/>
  <c r="BJ22" i="35"/>
  <c r="BF22" i="35"/>
  <c r="BB22" i="35"/>
  <c r="BU22" i="35"/>
  <c r="BQ22" i="35"/>
  <c r="BM22" i="35"/>
  <c r="BI22" i="35"/>
  <c r="BE22" i="35"/>
  <c r="BA22" i="35"/>
  <c r="BT22" i="35"/>
  <c r="BP22" i="35"/>
  <c r="BL22" i="35"/>
  <c r="BH22" i="35"/>
  <c r="BD22" i="35"/>
  <c r="AZ22" i="35"/>
  <c r="BS22" i="35"/>
  <c r="BO22" i="35"/>
  <c r="BK22" i="35"/>
  <c r="BG22" i="35"/>
  <c r="BC22" i="35"/>
  <c r="AY22" i="35"/>
  <c r="BT26" i="35"/>
  <c r="BP26" i="35"/>
  <c r="BL26" i="35"/>
  <c r="BH26" i="35"/>
  <c r="BD26" i="35"/>
  <c r="AZ26" i="35"/>
  <c r="BS26" i="35"/>
  <c r="BO26" i="35"/>
  <c r="BK26" i="35"/>
  <c r="BG26" i="35"/>
  <c r="BC26" i="35"/>
  <c r="AY26" i="35"/>
  <c r="BV26" i="35"/>
  <c r="BR26" i="35"/>
  <c r="BN26" i="35"/>
  <c r="BJ26" i="35"/>
  <c r="BF26" i="35"/>
  <c r="BB26" i="35"/>
  <c r="BU26" i="35"/>
  <c r="BQ26" i="35"/>
  <c r="BM26" i="35"/>
  <c r="BI26" i="35"/>
  <c r="BE26" i="35"/>
  <c r="BA26" i="35"/>
  <c r="BT27" i="35"/>
  <c r="BP27" i="35"/>
  <c r="BL27" i="35"/>
  <c r="BH27" i="35"/>
  <c r="BD27" i="35"/>
  <c r="AZ27" i="35"/>
  <c r="BS27" i="35"/>
  <c r="BO27" i="35"/>
  <c r="BK27" i="35"/>
  <c r="BG27" i="35"/>
  <c r="BC27" i="35"/>
  <c r="AY27" i="35"/>
  <c r="BV27" i="35"/>
  <c r="BR27" i="35"/>
  <c r="BN27" i="35"/>
  <c r="BJ27" i="35"/>
  <c r="BF27" i="35"/>
  <c r="BB27" i="35"/>
  <c r="BU27" i="35"/>
  <c r="BQ27" i="35"/>
  <c r="BM27" i="35"/>
  <c r="BI27" i="35"/>
  <c r="BE27" i="35"/>
  <c r="BA27" i="35"/>
  <c r="BT28" i="35"/>
  <c r="BP28" i="35"/>
  <c r="BL28" i="35"/>
  <c r="BH28" i="35"/>
  <c r="BD28" i="35"/>
  <c r="AZ28" i="35"/>
  <c r="BS28" i="35"/>
  <c r="BO28" i="35"/>
  <c r="BK28" i="35"/>
  <c r="BG28" i="35"/>
  <c r="BC28" i="35"/>
  <c r="AY28" i="35"/>
  <c r="BV28" i="35"/>
  <c r="BR28" i="35"/>
  <c r="BN28" i="35"/>
  <c r="BJ28" i="35"/>
  <c r="BF28" i="35"/>
  <c r="BB28" i="35"/>
  <c r="BU28" i="35"/>
  <c r="BQ28" i="35"/>
  <c r="BM28" i="35"/>
  <c r="BI28" i="35"/>
  <c r="BE28" i="35"/>
  <c r="BA28" i="35"/>
  <c r="BS30" i="35"/>
  <c r="BO30" i="35"/>
  <c r="BK30" i="35"/>
  <c r="BG30" i="35"/>
  <c r="BC30" i="35"/>
  <c r="AY30" i="35"/>
  <c r="BV30" i="35"/>
  <c r="BR30" i="35"/>
  <c r="BN30" i="35"/>
  <c r="BJ30" i="35"/>
  <c r="BF30" i="35"/>
  <c r="BB30" i="35"/>
  <c r="BU30" i="35"/>
  <c r="BQ30" i="35"/>
  <c r="BM30" i="35"/>
  <c r="BI30" i="35"/>
  <c r="BE30" i="35"/>
  <c r="BA30" i="35"/>
  <c r="BT30" i="35"/>
  <c r="BP30" i="35"/>
  <c r="BL30" i="35"/>
  <c r="BH30" i="35"/>
  <c r="BD30" i="35"/>
  <c r="AZ30" i="35"/>
  <c r="D2" i="35"/>
  <c r="H2" i="35"/>
  <c r="L2" i="35"/>
  <c r="P2" i="35"/>
  <c r="T2" i="35"/>
  <c r="X2" i="35"/>
  <c r="AB2" i="35"/>
  <c r="AF2" i="35"/>
  <c r="AJ2" i="35"/>
  <c r="AN2" i="35"/>
  <c r="AR2" i="35"/>
  <c r="AV2" i="35"/>
  <c r="AZ2" i="35"/>
  <c r="BD2" i="35"/>
  <c r="BH2" i="35"/>
  <c r="BL2" i="35"/>
  <c r="BP2" i="35"/>
  <c r="BT2" i="35"/>
  <c r="D3" i="35"/>
  <c r="H3" i="35"/>
  <c r="L3" i="35"/>
  <c r="P3" i="35"/>
  <c r="T3" i="35"/>
  <c r="X3" i="35"/>
  <c r="AB3" i="35"/>
  <c r="AF3" i="35"/>
  <c r="AJ3" i="35"/>
  <c r="AN3" i="35"/>
  <c r="AR3" i="35"/>
  <c r="AV3" i="35"/>
  <c r="AZ3" i="35"/>
  <c r="BD3" i="35"/>
  <c r="BH3" i="35"/>
  <c r="BL3" i="35"/>
  <c r="BP3" i="35"/>
  <c r="BT3" i="35"/>
  <c r="D4" i="35"/>
  <c r="H4" i="35"/>
  <c r="L4" i="35"/>
  <c r="P4" i="35"/>
  <c r="T4" i="35"/>
  <c r="X4" i="35"/>
  <c r="AB4" i="35"/>
  <c r="AF4" i="35"/>
  <c r="AJ4" i="35"/>
  <c r="AN4" i="35"/>
  <c r="AR4" i="35"/>
  <c r="AV4" i="35"/>
  <c r="AZ4" i="35"/>
  <c r="BD4" i="35"/>
  <c r="BH4" i="35"/>
  <c r="BL4" i="35"/>
  <c r="BP4" i="35"/>
  <c r="BT4" i="35"/>
  <c r="D5" i="35"/>
  <c r="H5" i="35"/>
  <c r="L5" i="35"/>
  <c r="P5" i="35"/>
  <c r="T5" i="35"/>
  <c r="X5" i="35"/>
  <c r="AB5" i="35"/>
  <c r="AF5" i="35"/>
  <c r="AJ5" i="35"/>
  <c r="AN5" i="35"/>
  <c r="AR5" i="35"/>
  <c r="AV5" i="35"/>
  <c r="AZ5" i="35"/>
  <c r="BD5" i="35"/>
  <c r="BH5" i="35"/>
  <c r="BL5" i="35"/>
  <c r="BP5" i="35"/>
  <c r="BT5" i="35"/>
  <c r="D6" i="35"/>
  <c r="H6" i="35"/>
  <c r="L6" i="35"/>
  <c r="P6" i="35"/>
  <c r="T6" i="35"/>
  <c r="X6" i="35"/>
  <c r="AB6" i="35"/>
  <c r="AF6" i="35"/>
  <c r="AJ6" i="35"/>
  <c r="AN6" i="35"/>
  <c r="AR6" i="35"/>
  <c r="AV6" i="35"/>
  <c r="AZ6" i="35"/>
  <c r="BD6" i="35"/>
  <c r="BH6" i="35"/>
  <c r="BL6" i="35"/>
  <c r="BP6" i="35"/>
  <c r="BT6" i="35"/>
  <c r="D7" i="35"/>
  <c r="H7" i="35"/>
  <c r="L7" i="35"/>
  <c r="P7" i="35"/>
  <c r="T7" i="35"/>
  <c r="X7" i="35"/>
  <c r="AB7" i="35"/>
  <c r="AF7" i="35"/>
  <c r="AJ7" i="35"/>
  <c r="AN7" i="35"/>
  <c r="AR7" i="35"/>
  <c r="AV7" i="35"/>
  <c r="AZ7" i="35"/>
  <c r="BD7" i="35"/>
  <c r="BH7" i="35"/>
  <c r="BL7" i="35"/>
  <c r="BP7" i="35"/>
  <c r="BT7" i="35"/>
  <c r="D8" i="35"/>
  <c r="H8" i="35"/>
  <c r="L8" i="35"/>
  <c r="P8" i="35"/>
  <c r="T8" i="35"/>
  <c r="X8" i="35"/>
  <c r="AB8" i="35"/>
  <c r="AF8" i="35"/>
  <c r="AJ8" i="35"/>
  <c r="AN8" i="35"/>
  <c r="AR8" i="35"/>
  <c r="AV8" i="35"/>
  <c r="AZ8" i="35"/>
  <c r="BD8" i="35"/>
  <c r="BH8" i="35"/>
  <c r="BL8" i="35"/>
  <c r="BP8" i="35"/>
  <c r="BT8" i="35"/>
  <c r="D9" i="35"/>
  <c r="H9" i="35"/>
  <c r="L9" i="35"/>
  <c r="P9" i="35"/>
  <c r="T9" i="35"/>
  <c r="X9" i="35"/>
  <c r="AB9" i="35"/>
  <c r="AF9" i="35"/>
  <c r="AJ9" i="35"/>
  <c r="AN9" i="35"/>
  <c r="AR9" i="35"/>
  <c r="AV9" i="35"/>
  <c r="AZ9" i="35"/>
  <c r="BD9" i="35"/>
  <c r="BH9" i="35"/>
  <c r="BL9" i="35"/>
  <c r="BP9" i="35"/>
  <c r="BT9" i="35"/>
  <c r="AW13" i="35"/>
  <c r="AS13" i="35"/>
  <c r="AO13" i="35"/>
  <c r="AK13" i="35"/>
  <c r="AG13" i="35"/>
  <c r="AC13" i="35"/>
  <c r="Y13" i="35"/>
  <c r="U13" i="35"/>
  <c r="Q13" i="35"/>
  <c r="M13" i="35"/>
  <c r="I13" i="35"/>
  <c r="E13" i="35"/>
  <c r="AV13" i="35"/>
  <c r="AR13" i="35"/>
  <c r="AN13" i="35"/>
  <c r="AJ13" i="35"/>
  <c r="AF13" i="35"/>
  <c r="AB13" i="35"/>
  <c r="X13" i="35"/>
  <c r="T13" i="35"/>
  <c r="P13" i="35"/>
  <c r="L13" i="35"/>
  <c r="H13" i="35"/>
  <c r="D13" i="35"/>
  <c r="AU13" i="35"/>
  <c r="AQ13" i="35"/>
  <c r="AM13" i="35"/>
  <c r="AI13" i="35"/>
  <c r="AE13" i="35"/>
  <c r="AA13" i="35"/>
  <c r="W13" i="35"/>
  <c r="S13" i="35"/>
  <c r="O13" i="35"/>
  <c r="K13" i="35"/>
  <c r="G13" i="35"/>
  <c r="C13" i="35"/>
  <c r="AX13" i="35"/>
  <c r="AT13" i="35"/>
  <c r="AP13" i="35"/>
  <c r="AL13" i="35"/>
  <c r="AH13" i="35"/>
  <c r="AD13" i="35"/>
  <c r="Z13" i="35"/>
  <c r="V13" i="35"/>
  <c r="R13" i="35"/>
  <c r="N13" i="35"/>
  <c r="J13" i="35"/>
  <c r="F13" i="35"/>
  <c r="AW14" i="35"/>
  <c r="AS14" i="35"/>
  <c r="AO14" i="35"/>
  <c r="AK14" i="35"/>
  <c r="AG14" i="35"/>
  <c r="AC14" i="35"/>
  <c r="Y14" i="35"/>
  <c r="U14" i="35"/>
  <c r="Q14" i="35"/>
  <c r="M14" i="35"/>
  <c r="I14" i="35"/>
  <c r="E14" i="35"/>
  <c r="AV14" i="35"/>
  <c r="AR14" i="35"/>
  <c r="AN14" i="35"/>
  <c r="AJ14" i="35"/>
  <c r="AF14" i="35"/>
  <c r="AB14" i="35"/>
  <c r="X14" i="35"/>
  <c r="T14" i="35"/>
  <c r="P14" i="35"/>
  <c r="L14" i="35"/>
  <c r="H14" i="35"/>
  <c r="D14" i="35"/>
  <c r="AU14" i="35"/>
  <c r="AQ14" i="35"/>
  <c r="AM14" i="35"/>
  <c r="AI14" i="35"/>
  <c r="AE14" i="35"/>
  <c r="AA14" i="35"/>
  <c r="W14" i="35"/>
  <c r="S14" i="35"/>
  <c r="O14" i="35"/>
  <c r="K14" i="35"/>
  <c r="G14" i="35"/>
  <c r="C14" i="35"/>
  <c r="AX14" i="35"/>
  <c r="AT14" i="35"/>
  <c r="AP14" i="35"/>
  <c r="AL14" i="35"/>
  <c r="AH14" i="35"/>
  <c r="AD14" i="35"/>
  <c r="Z14" i="35"/>
  <c r="V14" i="35"/>
  <c r="R14" i="35"/>
  <c r="N14" i="35"/>
  <c r="J14" i="35"/>
  <c r="F14" i="35"/>
  <c r="AW16" i="35"/>
  <c r="AS16" i="35"/>
  <c r="AO16" i="35"/>
  <c r="AK16" i="35"/>
  <c r="AG16" i="35"/>
  <c r="AC16" i="35"/>
  <c r="Y16" i="35"/>
  <c r="U16" i="35"/>
  <c r="Q16" i="35"/>
  <c r="M16" i="35"/>
  <c r="I16" i="35"/>
  <c r="E16" i="35"/>
  <c r="AV16" i="35"/>
  <c r="AR16" i="35"/>
  <c r="AN16" i="35"/>
  <c r="AJ16" i="35"/>
  <c r="AF16" i="35"/>
  <c r="AB16" i="35"/>
  <c r="X16" i="35"/>
  <c r="T16" i="35"/>
  <c r="P16" i="35"/>
  <c r="L16" i="35"/>
  <c r="H16" i="35"/>
  <c r="D16" i="35"/>
  <c r="AU16" i="35"/>
  <c r="AQ16" i="35"/>
  <c r="AM16" i="35"/>
  <c r="AI16" i="35"/>
  <c r="AE16" i="35"/>
  <c r="AA16" i="35"/>
  <c r="W16" i="35"/>
  <c r="S16" i="35"/>
  <c r="O16" i="35"/>
  <c r="K16" i="35"/>
  <c r="G16" i="35"/>
  <c r="C16" i="35"/>
  <c r="AX16" i="35"/>
  <c r="AT16" i="35"/>
  <c r="AP16" i="35"/>
  <c r="AL16" i="35"/>
  <c r="AH16" i="35"/>
  <c r="AD16" i="35"/>
  <c r="Z16" i="35"/>
  <c r="V16" i="35"/>
  <c r="R16" i="35"/>
  <c r="N16" i="35"/>
  <c r="J16" i="35"/>
  <c r="F16" i="35"/>
  <c r="AX18" i="35"/>
  <c r="AT18" i="35"/>
  <c r="AP18" i="35"/>
  <c r="AL18" i="35"/>
  <c r="AH18" i="35"/>
  <c r="AD18" i="35"/>
  <c r="Z18" i="35"/>
  <c r="V18" i="35"/>
  <c r="R18" i="35"/>
  <c r="N18" i="35"/>
  <c r="J18" i="35"/>
  <c r="F18" i="35"/>
  <c r="AW18" i="35"/>
  <c r="AS18" i="35"/>
  <c r="AO18" i="35"/>
  <c r="AK18" i="35"/>
  <c r="AG18" i="35"/>
  <c r="AC18" i="35"/>
  <c r="Y18" i="35"/>
  <c r="U18" i="35"/>
  <c r="Q18" i="35"/>
  <c r="M18" i="35"/>
  <c r="I18" i="35"/>
  <c r="E18" i="35"/>
  <c r="AV18" i="35"/>
  <c r="AR18" i="35"/>
  <c r="AN18" i="35"/>
  <c r="AJ18" i="35"/>
  <c r="AF18" i="35"/>
  <c r="AB18" i="35"/>
  <c r="X18" i="35"/>
  <c r="T18" i="35"/>
  <c r="P18" i="35"/>
  <c r="L18" i="35"/>
  <c r="H18" i="35"/>
  <c r="D18" i="35"/>
  <c r="AU18" i="35"/>
  <c r="AQ18" i="35"/>
  <c r="AM18" i="35"/>
  <c r="AI18" i="35"/>
  <c r="AE18" i="35"/>
  <c r="AA18" i="35"/>
  <c r="W18" i="35"/>
  <c r="S18" i="35"/>
  <c r="O18" i="35"/>
  <c r="K18" i="35"/>
  <c r="G18" i="35"/>
  <c r="C18" i="35"/>
  <c r="AX19" i="35"/>
  <c r="AT19" i="35"/>
  <c r="AP19" i="35"/>
  <c r="AL19" i="35"/>
  <c r="AH19" i="35"/>
  <c r="AD19" i="35"/>
  <c r="Z19" i="35"/>
  <c r="V19" i="35"/>
  <c r="R19" i="35"/>
  <c r="N19" i="35"/>
  <c r="J19" i="35"/>
  <c r="F19" i="35"/>
  <c r="AW19" i="35"/>
  <c r="AS19" i="35"/>
  <c r="AO19" i="35"/>
  <c r="AK19" i="35"/>
  <c r="AG19" i="35"/>
  <c r="AC19" i="35"/>
  <c r="Y19" i="35"/>
  <c r="U19" i="35"/>
  <c r="Q19" i="35"/>
  <c r="M19" i="35"/>
  <c r="I19" i="35"/>
  <c r="E19" i="35"/>
  <c r="AV19" i="35"/>
  <c r="AR19" i="35"/>
  <c r="AN19" i="35"/>
  <c r="AJ19" i="35"/>
  <c r="AF19" i="35"/>
  <c r="AB19" i="35"/>
  <c r="X19" i="35"/>
  <c r="T19" i="35"/>
  <c r="P19" i="35"/>
  <c r="L19" i="35"/>
  <c r="H19" i="35"/>
  <c r="D19" i="35"/>
  <c r="AU19" i="35"/>
  <c r="AQ19" i="35"/>
  <c r="AM19" i="35"/>
  <c r="AI19" i="35"/>
  <c r="AE19" i="35"/>
  <c r="AA19" i="35"/>
  <c r="W19" i="35"/>
  <c r="S19" i="35"/>
  <c r="O19" i="35"/>
  <c r="K19" i="35"/>
  <c r="G19" i="35"/>
  <c r="C19" i="35"/>
  <c r="AX21" i="35"/>
  <c r="AT21" i="35"/>
  <c r="AP21" i="35"/>
  <c r="AL21" i="35"/>
  <c r="AH21" i="35"/>
  <c r="AD21" i="35"/>
  <c r="Z21" i="35"/>
  <c r="V21" i="35"/>
  <c r="R21" i="35"/>
  <c r="N21" i="35"/>
  <c r="J21" i="35"/>
  <c r="F21" i="35"/>
  <c r="AW21" i="35"/>
  <c r="AS21" i="35"/>
  <c r="AO21" i="35"/>
  <c r="AK21" i="35"/>
  <c r="AG21" i="35"/>
  <c r="AC21" i="35"/>
  <c r="Y21" i="35"/>
  <c r="U21" i="35"/>
  <c r="Q21" i="35"/>
  <c r="M21" i="35"/>
  <c r="I21" i="35"/>
  <c r="E21" i="35"/>
  <c r="AV21" i="35"/>
  <c r="AR21" i="35"/>
  <c r="AN21" i="35"/>
  <c r="AJ21" i="35"/>
  <c r="AF21" i="35"/>
  <c r="AB21" i="35"/>
  <c r="X21" i="35"/>
  <c r="T21" i="35"/>
  <c r="P21" i="35"/>
  <c r="L21" i="35"/>
  <c r="H21" i="35"/>
  <c r="D21" i="35"/>
  <c r="AU21" i="35"/>
  <c r="AQ21" i="35"/>
  <c r="AM21" i="35"/>
  <c r="AI21" i="35"/>
  <c r="AE21" i="35"/>
  <c r="AA21" i="35"/>
  <c r="W21" i="35"/>
  <c r="S21" i="35"/>
  <c r="O21" i="35"/>
  <c r="K21" i="35"/>
  <c r="G21" i="35"/>
  <c r="C21" i="35"/>
  <c r="AX23" i="35"/>
  <c r="AT23" i="35"/>
  <c r="AP23" i="35"/>
  <c r="AL23" i="35"/>
  <c r="AH23" i="35"/>
  <c r="AD23" i="35"/>
  <c r="Z23" i="35"/>
  <c r="V23" i="35"/>
  <c r="R23" i="35"/>
  <c r="N23" i="35"/>
  <c r="J23" i="35"/>
  <c r="F23" i="35"/>
  <c r="AW23" i="35"/>
  <c r="AS23" i="35"/>
  <c r="AO23" i="35"/>
  <c r="AK23" i="35"/>
  <c r="AG23" i="35"/>
  <c r="AC23" i="35"/>
  <c r="Y23" i="35"/>
  <c r="U23" i="35"/>
  <c r="Q23" i="35"/>
  <c r="M23" i="35"/>
  <c r="I23" i="35"/>
  <c r="E23" i="35"/>
  <c r="AV23" i="35"/>
  <c r="AR23" i="35"/>
  <c r="AN23" i="35"/>
  <c r="AJ23" i="35"/>
  <c r="AF23" i="35"/>
  <c r="AB23" i="35"/>
  <c r="X23" i="35"/>
  <c r="T23" i="35"/>
  <c r="P23" i="35"/>
  <c r="L23" i="35"/>
  <c r="H23" i="35"/>
  <c r="D23" i="35"/>
  <c r="AU23" i="35"/>
  <c r="AQ23" i="35"/>
  <c r="AM23" i="35"/>
  <c r="AI23" i="35"/>
  <c r="AE23" i="35"/>
  <c r="AA23" i="35"/>
  <c r="W23" i="35"/>
  <c r="S23" i="35"/>
  <c r="O23" i="35"/>
  <c r="K23" i="35"/>
  <c r="G23" i="35"/>
  <c r="C23" i="35"/>
  <c r="AV29" i="35"/>
  <c r="AR29" i="35"/>
  <c r="AN29" i="35"/>
  <c r="AJ29" i="35"/>
  <c r="AF29" i="35"/>
  <c r="AB29" i="35"/>
  <c r="X29" i="35"/>
  <c r="T29" i="35"/>
  <c r="P29" i="35"/>
  <c r="L29" i="35"/>
  <c r="H29" i="35"/>
  <c r="D29" i="35"/>
  <c r="AU29" i="35"/>
  <c r="AQ29" i="35"/>
  <c r="AM29" i="35"/>
  <c r="AI29" i="35"/>
  <c r="AE29" i="35"/>
  <c r="AA29" i="35"/>
  <c r="W29" i="35"/>
  <c r="S29" i="35"/>
  <c r="O29" i="35"/>
  <c r="K29" i="35"/>
  <c r="G29" i="35"/>
  <c r="C29" i="35"/>
  <c r="AX29" i="35"/>
  <c r="AT29" i="35"/>
  <c r="AP29" i="35"/>
  <c r="AL29" i="35"/>
  <c r="AH29" i="35"/>
  <c r="AD29" i="35"/>
  <c r="Z29" i="35"/>
  <c r="V29" i="35"/>
  <c r="R29" i="35"/>
  <c r="N29" i="35"/>
  <c r="J29" i="35"/>
  <c r="F29" i="35"/>
  <c r="AW29" i="35"/>
  <c r="AS29" i="35"/>
  <c r="AO29" i="35"/>
  <c r="AK29" i="35"/>
  <c r="AG29" i="35"/>
  <c r="AC29" i="35"/>
  <c r="Y29" i="35"/>
  <c r="U29" i="35"/>
  <c r="Q29" i="35"/>
  <c r="M29" i="35"/>
  <c r="I29" i="35"/>
  <c r="E29" i="35"/>
  <c r="E2" i="35"/>
  <c r="I2" i="35"/>
  <c r="M2" i="35"/>
  <c r="Q2" i="35"/>
  <c r="U2" i="35"/>
  <c r="Y2" i="35"/>
  <c r="AC2" i="35"/>
  <c r="AG2" i="35"/>
  <c r="AK2" i="35"/>
  <c r="AO2" i="35"/>
  <c r="AS2" i="35"/>
  <c r="AW2" i="35"/>
  <c r="BA2" i="35"/>
  <c r="BE2" i="35"/>
  <c r="BI2" i="35"/>
  <c r="BM2" i="35"/>
  <c r="BQ2" i="35"/>
  <c r="BU2" i="35"/>
  <c r="E3" i="35"/>
  <c r="I3" i="35"/>
  <c r="M3" i="35"/>
  <c r="Q3" i="35"/>
  <c r="U3" i="35"/>
  <c r="Y3" i="35"/>
  <c r="AC3" i="35"/>
  <c r="AG3" i="35"/>
  <c r="AK3" i="35"/>
  <c r="AO3" i="35"/>
  <c r="AS3" i="35"/>
  <c r="AW3" i="35"/>
  <c r="BA3" i="35"/>
  <c r="BE3" i="35"/>
  <c r="BI3" i="35"/>
  <c r="BM3" i="35"/>
  <c r="BQ3" i="35"/>
  <c r="BU3" i="35"/>
  <c r="E4" i="35"/>
  <c r="I4" i="35"/>
  <c r="M4" i="35"/>
  <c r="Q4" i="35"/>
  <c r="U4" i="35"/>
  <c r="Y4" i="35"/>
  <c r="AC4" i="35"/>
  <c r="AG4" i="35"/>
  <c r="AK4" i="35"/>
  <c r="AO4" i="35"/>
  <c r="AS4" i="35"/>
  <c r="AW4" i="35"/>
  <c r="BA4" i="35"/>
  <c r="BE4" i="35"/>
  <c r="BI4" i="35"/>
  <c r="BM4" i="35"/>
  <c r="BQ4" i="35"/>
  <c r="BU4" i="35"/>
  <c r="E5" i="35"/>
  <c r="I5" i="35"/>
  <c r="M5" i="35"/>
  <c r="Q5" i="35"/>
  <c r="U5" i="35"/>
  <c r="Y5" i="35"/>
  <c r="AC5" i="35"/>
  <c r="AG5" i="35"/>
  <c r="AK5" i="35"/>
  <c r="AO5" i="35"/>
  <c r="AS5" i="35"/>
  <c r="AW5" i="35"/>
  <c r="BA5" i="35"/>
  <c r="BE5" i="35"/>
  <c r="BI5" i="35"/>
  <c r="BM5" i="35"/>
  <c r="BQ5" i="35"/>
  <c r="BU5" i="35"/>
  <c r="E6" i="35"/>
  <c r="I6" i="35"/>
  <c r="M6" i="35"/>
  <c r="Q6" i="35"/>
  <c r="U6" i="35"/>
  <c r="Y6" i="35"/>
  <c r="AC6" i="35"/>
  <c r="AG6" i="35"/>
  <c r="AK6" i="35"/>
  <c r="AO6" i="35"/>
  <c r="AS6" i="35"/>
  <c r="AW6" i="35"/>
  <c r="BA6" i="35"/>
  <c r="BE6" i="35"/>
  <c r="BI6" i="35"/>
  <c r="BM6" i="35"/>
  <c r="BQ6" i="35"/>
  <c r="BU6" i="35"/>
  <c r="E7" i="35"/>
  <c r="I7" i="35"/>
  <c r="M7" i="35"/>
  <c r="Q7" i="35"/>
  <c r="U7" i="35"/>
  <c r="Y7" i="35"/>
  <c r="AC7" i="35"/>
  <c r="AG7" i="35"/>
  <c r="AK7" i="35"/>
  <c r="AO7" i="35"/>
  <c r="AS7" i="35"/>
  <c r="AW7" i="35"/>
  <c r="BA7" i="35"/>
  <c r="BE7" i="35"/>
  <c r="BI7" i="35"/>
  <c r="BM7" i="35"/>
  <c r="BQ7" i="35"/>
  <c r="BU7" i="35"/>
  <c r="E8" i="35"/>
  <c r="I8" i="35"/>
  <c r="M8" i="35"/>
  <c r="Q8" i="35"/>
  <c r="U8" i="35"/>
  <c r="Y8" i="35"/>
  <c r="AC8" i="35"/>
  <c r="AG8" i="35"/>
  <c r="AK8" i="35"/>
  <c r="AO8" i="35"/>
  <c r="AS8" i="35"/>
  <c r="AW8" i="35"/>
  <c r="BA8" i="35"/>
  <c r="BE8" i="35"/>
  <c r="BI8" i="35"/>
  <c r="BM8" i="35"/>
  <c r="BQ8" i="35"/>
  <c r="BU8" i="35"/>
  <c r="E9" i="35"/>
  <c r="I9" i="35"/>
  <c r="M9" i="35"/>
  <c r="Q9" i="35"/>
  <c r="U9" i="35"/>
  <c r="Y9" i="35"/>
  <c r="AC9" i="35"/>
  <c r="AG9" i="35"/>
  <c r="AK9" i="35"/>
  <c r="AO9" i="35"/>
  <c r="AS9" i="35"/>
  <c r="AW9" i="35"/>
  <c r="BA9" i="35"/>
  <c r="BE9" i="35"/>
  <c r="BI9" i="35"/>
  <c r="BM9" i="35"/>
  <c r="BQ9" i="35"/>
  <c r="BU9" i="35"/>
  <c r="BU13" i="35"/>
  <c r="BQ13" i="35"/>
  <c r="BM13" i="35"/>
  <c r="BI13" i="35"/>
  <c r="BE13" i="35"/>
  <c r="BA13" i="35"/>
  <c r="BT13" i="35"/>
  <c r="BP13" i="35"/>
  <c r="BL13" i="35"/>
  <c r="BH13" i="35"/>
  <c r="BD13" i="35"/>
  <c r="AZ13" i="35"/>
  <c r="BS13" i="35"/>
  <c r="BO13" i="35"/>
  <c r="BK13" i="35"/>
  <c r="BG13" i="35"/>
  <c r="BC13" i="35"/>
  <c r="AY13" i="35"/>
  <c r="BV13" i="35"/>
  <c r="BR13" i="35"/>
  <c r="BN13" i="35"/>
  <c r="BJ13" i="35"/>
  <c r="BF13" i="35"/>
  <c r="BB13" i="35"/>
  <c r="BU14" i="35"/>
  <c r="BQ14" i="35"/>
  <c r="BM14" i="35"/>
  <c r="BI14" i="35"/>
  <c r="BE14" i="35"/>
  <c r="BA14" i="35"/>
  <c r="BT14" i="35"/>
  <c r="BP14" i="35"/>
  <c r="BL14" i="35"/>
  <c r="BH14" i="35"/>
  <c r="BD14" i="35"/>
  <c r="AZ14" i="35"/>
  <c r="BS14" i="35"/>
  <c r="BO14" i="35"/>
  <c r="BK14" i="35"/>
  <c r="BG14" i="35"/>
  <c r="BC14" i="35"/>
  <c r="AY14" i="35"/>
  <c r="BV14" i="35"/>
  <c r="BR14" i="35"/>
  <c r="BN14" i="35"/>
  <c r="BJ14" i="35"/>
  <c r="BF14" i="35"/>
  <c r="BB14" i="35"/>
  <c r="BU16" i="35"/>
  <c r="BQ16" i="35"/>
  <c r="BM16" i="35"/>
  <c r="BI16" i="35"/>
  <c r="BE16" i="35"/>
  <c r="BA16" i="35"/>
  <c r="BT16" i="35"/>
  <c r="BP16" i="35"/>
  <c r="BL16" i="35"/>
  <c r="BH16" i="35"/>
  <c r="BD16" i="35"/>
  <c r="AZ16" i="35"/>
  <c r="BS16" i="35"/>
  <c r="BO16" i="35"/>
  <c r="BK16" i="35"/>
  <c r="BG16" i="35"/>
  <c r="BC16" i="35"/>
  <c r="AY16" i="35"/>
  <c r="BV16" i="35"/>
  <c r="BR16" i="35"/>
  <c r="BN16" i="35"/>
  <c r="BJ16" i="35"/>
  <c r="BF16" i="35"/>
  <c r="BB16" i="35"/>
  <c r="BV18" i="35"/>
  <c r="BR18" i="35"/>
  <c r="BN18" i="35"/>
  <c r="BJ18" i="35"/>
  <c r="BF18" i="35"/>
  <c r="BB18" i="35"/>
  <c r="BU18" i="35"/>
  <c r="BQ18" i="35"/>
  <c r="BM18" i="35"/>
  <c r="BI18" i="35"/>
  <c r="BE18" i="35"/>
  <c r="BA18" i="35"/>
  <c r="BT18" i="35"/>
  <c r="BP18" i="35"/>
  <c r="BL18" i="35"/>
  <c r="BH18" i="35"/>
  <c r="BD18" i="35"/>
  <c r="AZ18" i="35"/>
  <c r="BS18" i="35"/>
  <c r="BO18" i="35"/>
  <c r="BK18" i="35"/>
  <c r="BG18" i="35"/>
  <c r="BC18" i="35"/>
  <c r="AY18" i="35"/>
  <c r="BV19" i="35"/>
  <c r="BR19" i="35"/>
  <c r="BN19" i="35"/>
  <c r="BJ19" i="35"/>
  <c r="BF19" i="35"/>
  <c r="BB19" i="35"/>
  <c r="BU19" i="35"/>
  <c r="BQ19" i="35"/>
  <c r="BM19" i="35"/>
  <c r="BI19" i="35"/>
  <c r="BE19" i="35"/>
  <c r="BA19" i="35"/>
  <c r="BT19" i="35"/>
  <c r="BP19" i="35"/>
  <c r="BL19" i="35"/>
  <c r="BH19" i="35"/>
  <c r="BD19" i="35"/>
  <c r="AZ19" i="35"/>
  <c r="BS19" i="35"/>
  <c r="BO19" i="35"/>
  <c r="BK19" i="35"/>
  <c r="BG19" i="35"/>
  <c r="BC19" i="35"/>
  <c r="AY19" i="35"/>
  <c r="BV21" i="35"/>
  <c r="BR21" i="35"/>
  <c r="BN21" i="35"/>
  <c r="BJ21" i="35"/>
  <c r="BF21" i="35"/>
  <c r="BB21" i="35"/>
  <c r="BU21" i="35"/>
  <c r="BQ21" i="35"/>
  <c r="BM21" i="35"/>
  <c r="BI21" i="35"/>
  <c r="BE21" i="35"/>
  <c r="BA21" i="35"/>
  <c r="BT21" i="35"/>
  <c r="BP21" i="35"/>
  <c r="BL21" i="35"/>
  <c r="BH21" i="35"/>
  <c r="BD21" i="35"/>
  <c r="AZ21" i="35"/>
  <c r="BS21" i="35"/>
  <c r="BO21" i="35"/>
  <c r="BK21" i="35"/>
  <c r="BG21" i="35"/>
  <c r="BC21" i="35"/>
  <c r="AY21" i="35"/>
  <c r="BV23" i="35"/>
  <c r="BR23" i="35"/>
  <c r="BN23" i="35"/>
  <c r="BJ23" i="35"/>
  <c r="BF23" i="35"/>
  <c r="BB23" i="35"/>
  <c r="BU23" i="35"/>
  <c r="BQ23" i="35"/>
  <c r="BM23" i="35"/>
  <c r="BI23" i="35"/>
  <c r="BE23" i="35"/>
  <c r="BA23" i="35"/>
  <c r="BT23" i="35"/>
  <c r="BP23" i="35"/>
  <c r="BL23" i="35"/>
  <c r="BH23" i="35"/>
  <c r="BD23" i="35"/>
  <c r="AZ23" i="35"/>
  <c r="BS23" i="35"/>
  <c r="BO23" i="35"/>
  <c r="BK23" i="35"/>
  <c r="BG23" i="35"/>
  <c r="BC23" i="35"/>
  <c r="AY23" i="35"/>
  <c r="BT29" i="35"/>
  <c r="BP29" i="35"/>
  <c r="BL29" i="35"/>
  <c r="BH29" i="35"/>
  <c r="BD29" i="35"/>
  <c r="AZ29" i="35"/>
  <c r="BS29" i="35"/>
  <c r="BO29" i="35"/>
  <c r="BK29" i="35"/>
  <c r="BG29" i="35"/>
  <c r="BC29" i="35"/>
  <c r="AY29" i="35"/>
  <c r="BV29" i="35"/>
  <c r="BR29" i="35"/>
  <c r="BN29" i="35"/>
  <c r="BJ29" i="35"/>
  <c r="BF29" i="35"/>
  <c r="BB29" i="35"/>
  <c r="BU29" i="35"/>
  <c r="BQ29" i="35"/>
  <c r="BM29" i="35"/>
  <c r="BI29" i="35"/>
  <c r="BE29" i="35"/>
  <c r="BA29" i="35"/>
  <c r="F2" i="35"/>
  <c r="J2" i="35"/>
  <c r="N2" i="35"/>
  <c r="R2" i="35"/>
  <c r="V2" i="35"/>
  <c r="Z2" i="35"/>
  <c r="AD2" i="35"/>
  <c r="AH2" i="35"/>
  <c r="AL2" i="35"/>
  <c r="AP2" i="35"/>
  <c r="AT2" i="35"/>
  <c r="AX2" i="35"/>
  <c r="BB2" i="35"/>
  <c r="BF2" i="35"/>
  <c r="BJ2" i="35"/>
  <c r="BN2" i="35"/>
  <c r="BR2" i="35"/>
  <c r="BV2" i="35"/>
  <c r="F3" i="35"/>
  <c r="J3" i="35"/>
  <c r="N3" i="35"/>
  <c r="R3" i="35"/>
  <c r="V3" i="35"/>
  <c r="Z3" i="35"/>
  <c r="AD3" i="35"/>
  <c r="AH3" i="35"/>
  <c r="AL3" i="35"/>
  <c r="AP3" i="35"/>
  <c r="AT3" i="35"/>
  <c r="AX3" i="35"/>
  <c r="BB3" i="35"/>
  <c r="BF3" i="35"/>
  <c r="BJ3" i="35"/>
  <c r="BN3" i="35"/>
  <c r="BR3" i="35"/>
  <c r="BV3" i="35"/>
  <c r="F4" i="35"/>
  <c r="J4" i="35"/>
  <c r="N4" i="35"/>
  <c r="R4" i="35"/>
  <c r="V4" i="35"/>
  <c r="Z4" i="35"/>
  <c r="AD4" i="35"/>
  <c r="AH4" i="35"/>
  <c r="AL4" i="35"/>
  <c r="AP4" i="35"/>
  <c r="AT4" i="35"/>
  <c r="AX4" i="35"/>
  <c r="BB4" i="35"/>
  <c r="BF4" i="35"/>
  <c r="BJ4" i="35"/>
  <c r="BN4" i="35"/>
  <c r="BR4" i="35"/>
  <c r="BV4" i="35"/>
  <c r="F5" i="35"/>
  <c r="J5" i="35"/>
  <c r="N5" i="35"/>
  <c r="R5" i="35"/>
  <c r="V5" i="35"/>
  <c r="Z5" i="35"/>
  <c r="AD5" i="35"/>
  <c r="AH5" i="35"/>
  <c r="AL5" i="35"/>
  <c r="AP5" i="35"/>
  <c r="AT5" i="35"/>
  <c r="AX5" i="35"/>
  <c r="BB5" i="35"/>
  <c r="BF5" i="35"/>
  <c r="BJ5" i="35"/>
  <c r="BN5" i="35"/>
  <c r="BR5" i="35"/>
  <c r="BV5" i="35"/>
  <c r="F6" i="35"/>
  <c r="J6" i="35"/>
  <c r="N6" i="35"/>
  <c r="R6" i="35"/>
  <c r="V6" i="35"/>
  <c r="Z6" i="35"/>
  <c r="AD6" i="35"/>
  <c r="AH6" i="35"/>
  <c r="AL6" i="35"/>
  <c r="AP6" i="35"/>
  <c r="AT6" i="35"/>
  <c r="AX6" i="35"/>
  <c r="BB6" i="35"/>
  <c r="BF6" i="35"/>
  <c r="BJ6" i="35"/>
  <c r="BN6" i="35"/>
  <c r="BR6" i="35"/>
  <c r="BV6" i="35"/>
  <c r="F7" i="35"/>
  <c r="J7" i="35"/>
  <c r="N7" i="35"/>
  <c r="R7" i="35"/>
  <c r="V7" i="35"/>
  <c r="Z7" i="35"/>
  <c r="AD7" i="35"/>
  <c r="AH7" i="35"/>
  <c r="AL7" i="35"/>
  <c r="AP7" i="35"/>
  <c r="AT7" i="35"/>
  <c r="AX7" i="35"/>
  <c r="BB7" i="35"/>
  <c r="BF7" i="35"/>
  <c r="BJ7" i="35"/>
  <c r="BN7" i="35"/>
  <c r="BR7" i="35"/>
  <c r="BV7" i="35"/>
  <c r="F8" i="35"/>
  <c r="J8" i="35"/>
  <c r="N8" i="35"/>
  <c r="R8" i="35"/>
  <c r="V8" i="35"/>
  <c r="Z8" i="35"/>
  <c r="AD8" i="35"/>
  <c r="AH8" i="35"/>
  <c r="AL8" i="35"/>
  <c r="AP8" i="35"/>
  <c r="AT8" i="35"/>
  <c r="AX8" i="35"/>
  <c r="BB8" i="35"/>
  <c r="BF8" i="35"/>
  <c r="BJ8" i="35"/>
  <c r="BN8" i="35"/>
  <c r="BR8" i="35"/>
  <c r="BV8" i="35"/>
  <c r="F9" i="35"/>
  <c r="J9" i="35"/>
  <c r="N9" i="35"/>
  <c r="R9" i="35"/>
  <c r="V9" i="35"/>
  <c r="Z9" i="35"/>
  <c r="AD9" i="35"/>
  <c r="AH9" i="35"/>
  <c r="AL9" i="35"/>
  <c r="AP9" i="35"/>
  <c r="AT9" i="35"/>
  <c r="AX9" i="35"/>
  <c r="BB9" i="35"/>
  <c r="BF9" i="35"/>
  <c r="BJ9" i="35"/>
  <c r="BN9" i="35"/>
  <c r="BR9" i="35"/>
  <c r="BV9" i="35"/>
  <c r="AV10" i="35"/>
  <c r="AR10" i="35"/>
  <c r="AN10" i="35"/>
  <c r="AJ10" i="35"/>
  <c r="AF10" i="35"/>
  <c r="AB10" i="35"/>
  <c r="X10" i="35"/>
  <c r="T10" i="35"/>
  <c r="P10" i="35"/>
  <c r="L10" i="35"/>
  <c r="H10" i="35"/>
  <c r="D10" i="35"/>
  <c r="AU10" i="35"/>
  <c r="AQ10" i="35"/>
  <c r="AM10" i="35"/>
  <c r="AI10" i="35"/>
  <c r="AE10" i="35"/>
  <c r="AA10" i="35"/>
  <c r="W10" i="35"/>
  <c r="S10" i="35"/>
  <c r="O10" i="35"/>
  <c r="K10" i="35"/>
  <c r="G10" i="35"/>
  <c r="C10" i="35"/>
  <c r="AX10" i="35"/>
  <c r="AT10" i="35"/>
  <c r="AP10" i="35"/>
  <c r="AL10" i="35"/>
  <c r="AH10" i="35"/>
  <c r="AD10" i="35"/>
  <c r="Z10" i="35"/>
  <c r="V10" i="35"/>
  <c r="R10" i="35"/>
  <c r="N10" i="35"/>
  <c r="J10" i="35"/>
  <c r="F10" i="35"/>
  <c r="AW10" i="35"/>
  <c r="AS10" i="35"/>
  <c r="AO10" i="35"/>
  <c r="AK10" i="35"/>
  <c r="AG10" i="35"/>
  <c r="AC10" i="35"/>
  <c r="Y10" i="35"/>
  <c r="U10" i="35"/>
  <c r="Q10" i="35"/>
  <c r="M10" i="35"/>
  <c r="I10" i="35"/>
  <c r="E10" i="35"/>
  <c r="AV11" i="35"/>
  <c r="AR11" i="35"/>
  <c r="AN11" i="35"/>
  <c r="AJ11" i="35"/>
  <c r="AF11" i="35"/>
  <c r="AB11" i="35"/>
  <c r="X11" i="35"/>
  <c r="T11" i="35"/>
  <c r="P11" i="35"/>
  <c r="L11" i="35"/>
  <c r="H11" i="35"/>
  <c r="D11" i="35"/>
  <c r="AU11" i="35"/>
  <c r="AQ11" i="35"/>
  <c r="AM11" i="35"/>
  <c r="AI11" i="35"/>
  <c r="AE11" i="35"/>
  <c r="AA11" i="35"/>
  <c r="W11" i="35"/>
  <c r="S11" i="35"/>
  <c r="O11" i="35"/>
  <c r="K11" i="35"/>
  <c r="G11" i="35"/>
  <c r="C11" i="35"/>
  <c r="AX11" i="35"/>
  <c r="AT11" i="35"/>
  <c r="AP11" i="35"/>
  <c r="AL11" i="35"/>
  <c r="AH11" i="35"/>
  <c r="AD11" i="35"/>
  <c r="Z11" i="35"/>
  <c r="V11" i="35"/>
  <c r="R11" i="35"/>
  <c r="N11" i="35"/>
  <c r="J11" i="35"/>
  <c r="F11" i="35"/>
  <c r="AW11" i="35"/>
  <c r="AS11" i="35"/>
  <c r="AO11" i="35"/>
  <c r="AK11" i="35"/>
  <c r="AG11" i="35"/>
  <c r="AC11" i="35"/>
  <c r="Y11" i="35"/>
  <c r="U11" i="35"/>
  <c r="Q11" i="35"/>
  <c r="M11" i="35"/>
  <c r="I11" i="35"/>
  <c r="E11" i="35"/>
  <c r="AX12" i="35"/>
  <c r="AT12" i="35"/>
  <c r="AP12" i="35"/>
  <c r="AL12" i="35"/>
  <c r="AH12" i="35"/>
  <c r="AD12" i="35"/>
  <c r="Z12" i="35"/>
  <c r="V12" i="35"/>
  <c r="R12" i="35"/>
  <c r="N12" i="35"/>
  <c r="J12" i="35"/>
  <c r="F12" i="35"/>
  <c r="AW12" i="35"/>
  <c r="AR12" i="35"/>
  <c r="AM12" i="35"/>
  <c r="AG12" i="35"/>
  <c r="AB12" i="35"/>
  <c r="W12" i="35"/>
  <c r="Q12" i="35"/>
  <c r="L12" i="35"/>
  <c r="G12" i="35"/>
  <c r="AV12" i="35"/>
  <c r="AQ12" i="35"/>
  <c r="AK12" i="35"/>
  <c r="AF12" i="35"/>
  <c r="AA12" i="35"/>
  <c r="U12" i="35"/>
  <c r="P12" i="35"/>
  <c r="K12" i="35"/>
  <c r="E12" i="35"/>
  <c r="AU12" i="35"/>
  <c r="AO12" i="35"/>
  <c r="AJ12" i="35"/>
  <c r="AE12" i="35"/>
  <c r="Y12" i="35"/>
  <c r="T12" i="35"/>
  <c r="O12" i="35"/>
  <c r="I12" i="35"/>
  <c r="D12" i="35"/>
  <c r="AS12" i="35"/>
  <c r="AN12" i="35"/>
  <c r="AI12" i="35"/>
  <c r="AC12" i="35"/>
  <c r="X12" i="35"/>
  <c r="S12" i="35"/>
  <c r="M12" i="35"/>
  <c r="H12" i="35"/>
  <c r="C12" i="35"/>
  <c r="AW15" i="35"/>
  <c r="AS15" i="35"/>
  <c r="AO15" i="35"/>
  <c r="AK15" i="35"/>
  <c r="AG15" i="35"/>
  <c r="AC15" i="35"/>
  <c r="Y15" i="35"/>
  <c r="U15" i="35"/>
  <c r="Q15" i="35"/>
  <c r="M15" i="35"/>
  <c r="I15" i="35"/>
  <c r="E15" i="35"/>
  <c r="AV15" i="35"/>
  <c r="AR15" i="35"/>
  <c r="AN15" i="35"/>
  <c r="AJ15" i="35"/>
  <c r="AF15" i="35"/>
  <c r="AB15" i="35"/>
  <c r="X15" i="35"/>
  <c r="T15" i="35"/>
  <c r="P15" i="35"/>
  <c r="L15" i="35"/>
  <c r="H15" i="35"/>
  <c r="D15" i="35"/>
  <c r="AU15" i="35"/>
  <c r="AQ15" i="35"/>
  <c r="AM15" i="35"/>
  <c r="AI15" i="35"/>
  <c r="AE15" i="35"/>
  <c r="AA15" i="35"/>
  <c r="W15" i="35"/>
  <c r="S15" i="35"/>
  <c r="O15" i="35"/>
  <c r="K15" i="35"/>
  <c r="G15" i="35"/>
  <c r="C15" i="35"/>
  <c r="AX15" i="35"/>
  <c r="AT15" i="35"/>
  <c r="AP15" i="35"/>
  <c r="AL15" i="35"/>
  <c r="AH15" i="35"/>
  <c r="AD15" i="35"/>
  <c r="Z15" i="35"/>
  <c r="V15" i="35"/>
  <c r="R15" i="35"/>
  <c r="N15" i="35"/>
  <c r="J15" i="35"/>
  <c r="F15" i="35"/>
  <c r="AW17" i="35"/>
  <c r="AS17" i="35"/>
  <c r="AO17" i="35"/>
  <c r="AK17" i="35"/>
  <c r="AG17" i="35"/>
  <c r="AC17" i="35"/>
  <c r="Y17" i="35"/>
  <c r="U17" i="35"/>
  <c r="Q17" i="35"/>
  <c r="M17" i="35"/>
  <c r="I17" i="35"/>
  <c r="E17" i="35"/>
  <c r="AV17" i="35"/>
  <c r="AR17" i="35"/>
  <c r="AN17" i="35"/>
  <c r="AJ17" i="35"/>
  <c r="AF17" i="35"/>
  <c r="AB17" i="35"/>
  <c r="X17" i="35"/>
  <c r="T17" i="35"/>
  <c r="P17" i="35"/>
  <c r="L17" i="35"/>
  <c r="H17" i="35"/>
  <c r="D17" i="35"/>
  <c r="AU17" i="35"/>
  <c r="AQ17" i="35"/>
  <c r="AM17" i="35"/>
  <c r="AI17" i="35"/>
  <c r="AE17" i="35"/>
  <c r="AA17" i="35"/>
  <c r="W17" i="35"/>
  <c r="S17" i="35"/>
  <c r="O17" i="35"/>
  <c r="K17" i="35"/>
  <c r="G17" i="35"/>
  <c r="C17" i="35"/>
  <c r="AX17" i="35"/>
  <c r="AT17" i="35"/>
  <c r="AP17" i="35"/>
  <c r="AL17" i="35"/>
  <c r="AH17" i="35"/>
  <c r="AD17" i="35"/>
  <c r="Z17" i="35"/>
  <c r="V17" i="35"/>
  <c r="R17" i="35"/>
  <c r="N17" i="35"/>
  <c r="J17" i="35"/>
  <c r="F17" i="35"/>
  <c r="AX20" i="35"/>
  <c r="AT20" i="35"/>
  <c r="AP20" i="35"/>
  <c r="AL20" i="35"/>
  <c r="AH20" i="35"/>
  <c r="AD20" i="35"/>
  <c r="Z20" i="35"/>
  <c r="V20" i="35"/>
  <c r="R20" i="35"/>
  <c r="N20" i="35"/>
  <c r="J20" i="35"/>
  <c r="F20" i="35"/>
  <c r="AW20" i="35"/>
  <c r="AS20" i="35"/>
  <c r="AO20" i="35"/>
  <c r="AK20" i="35"/>
  <c r="AG20" i="35"/>
  <c r="AC20" i="35"/>
  <c r="Y20" i="35"/>
  <c r="U20" i="35"/>
  <c r="Q20" i="35"/>
  <c r="M20" i="35"/>
  <c r="I20" i="35"/>
  <c r="E20" i="35"/>
  <c r="AV20" i="35"/>
  <c r="AR20" i="35"/>
  <c r="AN20" i="35"/>
  <c r="AJ20" i="35"/>
  <c r="AF20" i="35"/>
  <c r="AB20" i="35"/>
  <c r="X20" i="35"/>
  <c r="T20" i="35"/>
  <c r="P20" i="35"/>
  <c r="L20" i="35"/>
  <c r="H20" i="35"/>
  <c r="D20" i="35"/>
  <c r="AU20" i="35"/>
  <c r="AQ20" i="35"/>
  <c r="AM20" i="35"/>
  <c r="AI20" i="35"/>
  <c r="AE20" i="35"/>
  <c r="AA20" i="35"/>
  <c r="W20" i="35"/>
  <c r="S20" i="35"/>
  <c r="O20" i="35"/>
  <c r="K20" i="35"/>
  <c r="G20" i="35"/>
  <c r="C20" i="35"/>
  <c r="AX22" i="35"/>
  <c r="AT22" i="35"/>
  <c r="AP22" i="35"/>
  <c r="AL22" i="35"/>
  <c r="AH22" i="35"/>
  <c r="AD22" i="35"/>
  <c r="Z22" i="35"/>
  <c r="V22" i="35"/>
  <c r="R22" i="35"/>
  <c r="N22" i="35"/>
  <c r="J22" i="35"/>
  <c r="F22" i="35"/>
  <c r="AW22" i="35"/>
  <c r="AS22" i="35"/>
  <c r="AO22" i="35"/>
  <c r="AK22" i="35"/>
  <c r="AG22" i="35"/>
  <c r="AC22" i="35"/>
  <c r="Y22" i="35"/>
  <c r="U22" i="35"/>
  <c r="Q22" i="35"/>
  <c r="M22" i="35"/>
  <c r="I22" i="35"/>
  <c r="E22" i="35"/>
  <c r="AV22" i="35"/>
  <c r="AR22" i="35"/>
  <c r="AN22" i="35"/>
  <c r="AJ22" i="35"/>
  <c r="AF22" i="35"/>
  <c r="AB22" i="35"/>
  <c r="X22" i="35"/>
  <c r="T22" i="35"/>
  <c r="P22" i="35"/>
  <c r="L22" i="35"/>
  <c r="H22" i="35"/>
  <c r="D22" i="35"/>
  <c r="AU22" i="35"/>
  <c r="AQ22" i="35"/>
  <c r="AM22" i="35"/>
  <c r="AI22" i="35"/>
  <c r="AE22" i="35"/>
  <c r="AA22" i="35"/>
  <c r="W22" i="35"/>
  <c r="S22" i="35"/>
  <c r="O22" i="35"/>
  <c r="K22" i="35"/>
  <c r="G22" i="35"/>
  <c r="C22" i="35"/>
  <c r="AV26" i="35"/>
  <c r="AR26" i="35"/>
  <c r="AN26" i="35"/>
  <c r="AJ26" i="35"/>
  <c r="AF26" i="35"/>
  <c r="AB26" i="35"/>
  <c r="X26" i="35"/>
  <c r="T26" i="35"/>
  <c r="P26" i="35"/>
  <c r="L26" i="35"/>
  <c r="H26" i="35"/>
  <c r="D26" i="35"/>
  <c r="AU26" i="35"/>
  <c r="AQ26" i="35"/>
  <c r="AM26" i="35"/>
  <c r="AI26" i="35"/>
  <c r="AE26" i="35"/>
  <c r="AA26" i="35"/>
  <c r="W26" i="35"/>
  <c r="S26" i="35"/>
  <c r="O26" i="35"/>
  <c r="K26" i="35"/>
  <c r="G26" i="35"/>
  <c r="C26" i="35"/>
  <c r="AX26" i="35"/>
  <c r="AT26" i="35"/>
  <c r="AP26" i="35"/>
  <c r="AL26" i="35"/>
  <c r="AH26" i="35"/>
  <c r="AD26" i="35"/>
  <c r="Z26" i="35"/>
  <c r="V26" i="35"/>
  <c r="R26" i="35"/>
  <c r="N26" i="35"/>
  <c r="J26" i="35"/>
  <c r="F26" i="35"/>
  <c r="AW26" i="35"/>
  <c r="AS26" i="35"/>
  <c r="AO26" i="35"/>
  <c r="AK26" i="35"/>
  <c r="AG26" i="35"/>
  <c r="AC26" i="35"/>
  <c r="Y26" i="35"/>
  <c r="U26" i="35"/>
  <c r="Q26" i="35"/>
  <c r="M26" i="35"/>
  <c r="I26" i="35"/>
  <c r="E26" i="35"/>
  <c r="AV27" i="35"/>
  <c r="AR27" i="35"/>
  <c r="AN27" i="35"/>
  <c r="AJ27" i="35"/>
  <c r="AF27" i="35"/>
  <c r="AB27" i="35"/>
  <c r="X27" i="35"/>
  <c r="T27" i="35"/>
  <c r="P27" i="35"/>
  <c r="L27" i="35"/>
  <c r="H27" i="35"/>
  <c r="D27" i="35"/>
  <c r="AU27" i="35"/>
  <c r="AQ27" i="35"/>
  <c r="AM27" i="35"/>
  <c r="AI27" i="35"/>
  <c r="AE27" i="35"/>
  <c r="AA27" i="35"/>
  <c r="W27" i="35"/>
  <c r="S27" i="35"/>
  <c r="O27" i="35"/>
  <c r="K27" i="35"/>
  <c r="G27" i="35"/>
  <c r="C27" i="35"/>
  <c r="AX27" i="35"/>
  <c r="AT27" i="35"/>
  <c r="AP27" i="35"/>
  <c r="AL27" i="35"/>
  <c r="AH27" i="35"/>
  <c r="AD27" i="35"/>
  <c r="Z27" i="35"/>
  <c r="V27" i="35"/>
  <c r="R27" i="35"/>
  <c r="N27" i="35"/>
  <c r="J27" i="35"/>
  <c r="F27" i="35"/>
  <c r="AW27" i="35"/>
  <c r="AS27" i="35"/>
  <c r="AO27" i="35"/>
  <c r="AK27" i="35"/>
  <c r="AG27" i="35"/>
  <c r="AC27" i="35"/>
  <c r="Y27" i="35"/>
  <c r="U27" i="35"/>
  <c r="Q27" i="35"/>
  <c r="M27" i="35"/>
  <c r="I27" i="35"/>
  <c r="E27" i="35"/>
  <c r="AV28" i="35"/>
  <c r="AR28" i="35"/>
  <c r="AN28" i="35"/>
  <c r="AJ28" i="35"/>
  <c r="AF28" i="35"/>
  <c r="AB28" i="35"/>
  <c r="X28" i="35"/>
  <c r="T28" i="35"/>
  <c r="P28" i="35"/>
  <c r="L28" i="35"/>
  <c r="H28" i="35"/>
  <c r="D28" i="35"/>
  <c r="AU28" i="35"/>
  <c r="AQ28" i="35"/>
  <c r="AM28" i="35"/>
  <c r="AI28" i="35"/>
  <c r="AE28" i="35"/>
  <c r="AA28" i="35"/>
  <c r="W28" i="35"/>
  <c r="S28" i="35"/>
  <c r="O28" i="35"/>
  <c r="K28" i="35"/>
  <c r="G28" i="35"/>
  <c r="C28" i="35"/>
  <c r="AX28" i="35"/>
  <c r="AT28" i="35"/>
  <c r="AP28" i="35"/>
  <c r="AL28" i="35"/>
  <c r="AH28" i="35"/>
  <c r="AD28" i="35"/>
  <c r="Z28" i="35"/>
  <c r="V28" i="35"/>
  <c r="R28" i="35"/>
  <c r="N28" i="35"/>
  <c r="J28" i="35"/>
  <c r="F28" i="35"/>
  <c r="AW28" i="35"/>
  <c r="AS28" i="35"/>
  <c r="AO28" i="35"/>
  <c r="AK28" i="35"/>
  <c r="AG28" i="35"/>
  <c r="AC28" i="35"/>
  <c r="Y28" i="35"/>
  <c r="U28" i="35"/>
  <c r="Q28" i="35"/>
  <c r="M28" i="35"/>
  <c r="I28" i="35"/>
  <c r="E28" i="35"/>
  <c r="AU30" i="35"/>
  <c r="AQ30" i="35"/>
  <c r="AM30" i="35"/>
  <c r="AI30" i="35"/>
  <c r="AE30" i="35"/>
  <c r="AA30" i="35"/>
  <c r="W30" i="35"/>
  <c r="S30" i="35"/>
  <c r="O30" i="35"/>
  <c r="K30" i="35"/>
  <c r="G30" i="35"/>
  <c r="C30" i="35"/>
  <c r="AX30" i="35"/>
  <c r="AT30" i="35"/>
  <c r="AP30" i="35"/>
  <c r="AL30" i="35"/>
  <c r="AH30" i="35"/>
  <c r="AD30" i="35"/>
  <c r="Z30" i="35"/>
  <c r="V30" i="35"/>
  <c r="R30" i="35"/>
  <c r="N30" i="35"/>
  <c r="J30" i="35"/>
  <c r="F30" i="35"/>
  <c r="AW30" i="35"/>
  <c r="AS30" i="35"/>
  <c r="AO30" i="35"/>
  <c r="AK30" i="35"/>
  <c r="AG30" i="35"/>
  <c r="AC30" i="35"/>
  <c r="Y30" i="35"/>
  <c r="U30" i="35"/>
  <c r="Q30" i="35"/>
  <c r="M30" i="35"/>
  <c r="I30" i="35"/>
  <c r="E30" i="35"/>
  <c r="AV30" i="35"/>
  <c r="AR30" i="35"/>
  <c r="AN30" i="35"/>
  <c r="AJ30" i="35"/>
  <c r="AF30" i="35"/>
  <c r="AB30" i="35"/>
  <c r="X30" i="35"/>
  <c r="T30" i="35"/>
  <c r="P30" i="35"/>
  <c r="L30" i="35"/>
  <c r="H30" i="35"/>
  <c r="D30" i="35"/>
  <c r="C2" i="35"/>
  <c r="G2" i="35"/>
  <c r="K2" i="35"/>
  <c r="O2" i="35"/>
  <c r="S2" i="35"/>
  <c r="W2" i="35"/>
  <c r="AA2" i="35"/>
  <c r="AE2" i="35"/>
  <c r="AI2" i="35"/>
  <c r="AM2" i="35"/>
  <c r="AQ2" i="35"/>
  <c r="AY2" i="35"/>
  <c r="BC2" i="35"/>
  <c r="BG2" i="35"/>
  <c r="BK2" i="35"/>
  <c r="BO2" i="35"/>
  <c r="C3" i="35"/>
  <c r="G3" i="35"/>
  <c r="K3" i="35"/>
  <c r="O3" i="35"/>
  <c r="S3" i="35"/>
  <c r="W3" i="35"/>
  <c r="AE3" i="35"/>
  <c r="AI3" i="35"/>
  <c r="AM3" i="35"/>
  <c r="AQ3" i="35"/>
  <c r="AY3" i="35"/>
  <c r="BC3" i="35"/>
  <c r="BG3" i="35"/>
  <c r="BK3" i="35"/>
  <c r="BO3" i="35"/>
  <c r="C4" i="35"/>
  <c r="G4" i="35"/>
  <c r="K4" i="35"/>
  <c r="O4" i="35"/>
  <c r="S4" i="35"/>
  <c r="W4" i="35"/>
  <c r="AA4" i="35"/>
  <c r="AE4" i="35"/>
  <c r="AI4" i="35"/>
  <c r="AM4" i="35"/>
  <c r="AQ4" i="35"/>
  <c r="AY4" i="35"/>
  <c r="BC4" i="35"/>
  <c r="BG4" i="35"/>
  <c r="BK4" i="35"/>
  <c r="BO4" i="35"/>
  <c r="C5" i="35"/>
  <c r="G5" i="35"/>
  <c r="K5" i="35"/>
  <c r="O5" i="35"/>
  <c r="S5" i="35"/>
  <c r="W5" i="35"/>
  <c r="AA5" i="35"/>
  <c r="AE5" i="35"/>
  <c r="AI5" i="35"/>
  <c r="AM5" i="35"/>
  <c r="AQ5" i="35"/>
  <c r="AY5" i="35"/>
  <c r="BC5" i="35"/>
  <c r="BG5" i="35"/>
  <c r="BK5" i="35"/>
  <c r="BO5" i="35"/>
  <c r="C6" i="35"/>
  <c r="G6" i="35"/>
  <c r="K6" i="35"/>
  <c r="O6" i="35"/>
  <c r="S6" i="35"/>
  <c r="W6" i="35"/>
  <c r="AA6" i="35"/>
  <c r="AE6" i="35"/>
  <c r="AI6" i="35"/>
  <c r="AM6" i="35"/>
  <c r="AQ6" i="35"/>
  <c r="AY6" i="35"/>
  <c r="BC6" i="35"/>
  <c r="BG6" i="35"/>
  <c r="BK6" i="35"/>
  <c r="BO6" i="35"/>
  <c r="C7" i="35"/>
  <c r="G7" i="35"/>
  <c r="K7" i="35"/>
  <c r="O7" i="35"/>
  <c r="S7" i="35"/>
  <c r="W7" i="35"/>
  <c r="AA7" i="35"/>
  <c r="AE7" i="35"/>
  <c r="AI7" i="35"/>
  <c r="AM7" i="35"/>
  <c r="AQ7" i="35"/>
  <c r="AY7" i="35"/>
  <c r="BC7" i="35"/>
  <c r="BG7" i="35"/>
  <c r="BK7" i="35"/>
  <c r="BO7" i="35"/>
  <c r="C8" i="35"/>
  <c r="G8" i="35"/>
  <c r="K8" i="35"/>
  <c r="O8" i="35"/>
  <c r="S8" i="35"/>
  <c r="W8" i="35"/>
  <c r="AA8" i="35"/>
  <c r="AE8" i="35"/>
  <c r="AI8" i="35"/>
  <c r="AM8" i="35"/>
  <c r="AQ8" i="35"/>
  <c r="AY8" i="35"/>
  <c r="BC8" i="35"/>
  <c r="BG8" i="35"/>
  <c r="BK8" i="35"/>
  <c r="BO8" i="35"/>
  <c r="C9" i="35"/>
  <c r="G9" i="35"/>
  <c r="K9" i="35"/>
  <c r="O9" i="35"/>
  <c r="S9" i="35"/>
  <c r="W9" i="35"/>
  <c r="AA9" i="35"/>
  <c r="AE9" i="35"/>
  <c r="AI9" i="35"/>
  <c r="AM9" i="35"/>
  <c r="AQ9" i="35"/>
  <c r="AY9" i="35"/>
  <c r="BC9" i="35"/>
  <c r="BG9" i="35"/>
  <c r="BK9" i="35"/>
  <c r="BO9" i="35"/>
  <c r="B39" i="3" l="1"/>
  <c r="B30" i="3" s="1"/>
  <c r="AY2" i="1" l="1"/>
  <c r="Q32" i="3" l="1"/>
  <c r="Q32" i="2"/>
  <c r="EE30" i="38" l="1"/>
  <c r="EE35" i="38" s="1"/>
  <c r="ES35" i="38" s="1"/>
  <c r="EE27" i="38"/>
  <c r="K27" i="38"/>
  <c r="EE25" i="38"/>
  <c r="K23" i="38"/>
  <c r="EE21" i="38"/>
  <c r="EE26" i="38"/>
  <c r="EE36" i="38" s="1"/>
  <c r="ES36" i="38" s="1"/>
  <c r="EE20" i="38"/>
  <c r="K18" i="38"/>
  <c r="EE16" i="38"/>
  <c r="K14" i="38"/>
  <c r="EE12" i="38"/>
  <c r="K11" i="38"/>
  <c r="EE9" i="38"/>
  <c r="EE6" i="38"/>
  <c r="EE47" i="38" s="1"/>
  <c r="ES47" i="38" s="1"/>
  <c r="K5" i="38"/>
  <c r="K30" i="38"/>
  <c r="EE29" i="38"/>
  <c r="K29" i="38"/>
  <c r="EE28" i="38"/>
  <c r="EE43" i="38" s="1"/>
  <c r="ES43" i="38" s="1"/>
  <c r="K28" i="38"/>
  <c r="EE19" i="38"/>
  <c r="EE42" i="38" s="1"/>
  <c r="ES42" i="38" s="1"/>
  <c r="K26" i="38"/>
  <c r="K24" i="38"/>
  <c r="EE23" i="38"/>
  <c r="EE49" i="38" s="1"/>
  <c r="EE3" i="38"/>
  <c r="EE32" i="38" s="1"/>
  <c r="V28" i="38"/>
  <c r="V43" i="38" s="1"/>
  <c r="AG43" i="38" s="1"/>
  <c r="V23" i="38"/>
  <c r="V49" i="38" s="1"/>
  <c r="V17" i="38"/>
  <c r="V15" i="38"/>
  <c r="V44" i="38" s="1"/>
  <c r="AG44" i="38" s="1"/>
  <c r="V13" i="38"/>
  <c r="V33" i="38" s="1"/>
  <c r="AG33" i="38" s="1"/>
  <c r="V11" i="38"/>
  <c r="V39" i="38" s="1"/>
  <c r="AG39" i="38" s="1"/>
  <c r="K21" i="38"/>
  <c r="K17" i="38"/>
  <c r="K16" i="38"/>
  <c r="EE15" i="38"/>
  <c r="EE44" i="38" s="1"/>
  <c r="ES44" i="38" s="1"/>
  <c r="K15" i="38"/>
  <c r="EE14" i="38"/>
  <c r="EE34" i="38" s="1"/>
  <c r="ES34" i="38" s="1"/>
  <c r="K13" i="38"/>
  <c r="K12" i="38"/>
  <c r="EE11" i="38"/>
  <c r="EE39" i="38" s="1"/>
  <c r="ES39" i="38" s="1"/>
  <c r="K4" i="38"/>
  <c r="K2" i="38"/>
  <c r="V26" i="38"/>
  <c r="V36" i="38" s="1"/>
  <c r="V24" i="38"/>
  <c r="V22" i="38"/>
  <c r="V37" i="38" s="1"/>
  <c r="AG37" i="38" s="1"/>
  <c r="V21" i="38"/>
  <c r="V10" i="38"/>
  <c r="V46" i="38" s="1"/>
  <c r="V5" i="38"/>
  <c r="V4" i="38"/>
  <c r="V40" i="38" s="1"/>
  <c r="AG40" i="38" s="1"/>
  <c r="V3" i="38"/>
  <c r="V32" i="38" s="1"/>
  <c r="AG32" i="38" s="1"/>
  <c r="V2" i="38"/>
  <c r="V38" i="38" s="1"/>
  <c r="AG38" i="38" s="1"/>
  <c r="EE17" i="38"/>
  <c r="EE10" i="38"/>
  <c r="EE46" i="38" s="1"/>
  <c r="EE2" i="38"/>
  <c r="EE38" i="38" s="1"/>
  <c r="ES38" i="38" s="1"/>
  <c r="V20" i="38"/>
  <c r="V9" i="38"/>
  <c r="V7" i="38"/>
  <c r="EE24" i="38"/>
  <c r="K22" i="38"/>
  <c r="K20" i="38"/>
  <c r="EE18" i="38"/>
  <c r="K10" i="38"/>
  <c r="K8" i="38"/>
  <c r="EE7" i="38"/>
  <c r="EE4" i="38"/>
  <c r="EE40" i="38" s="1"/>
  <c r="ES40" i="38" s="1"/>
  <c r="V29" i="38"/>
  <c r="V27" i="38"/>
  <c r="V18" i="38"/>
  <c r="V16" i="38"/>
  <c r="V12" i="38"/>
  <c r="K19" i="38"/>
  <c r="K7" i="38"/>
  <c r="K6" i="38"/>
  <c r="EE13" i="38"/>
  <c r="EE33" i="38" s="1"/>
  <c r="ES33" i="38" s="1"/>
  <c r="K9" i="38"/>
  <c r="EE5" i="38"/>
  <c r="V19" i="38"/>
  <c r="V42" i="38" s="1"/>
  <c r="AG42" i="38" s="1"/>
  <c r="V14" i="38"/>
  <c r="V34" i="38" s="1"/>
  <c r="AG34" i="38" s="1"/>
  <c r="EE22" i="38"/>
  <c r="EE37" i="38" s="1"/>
  <c r="ES37" i="38" s="1"/>
  <c r="EE8" i="38"/>
  <c r="EE41" i="38" s="1"/>
  <c r="ES41" i="38" s="1"/>
  <c r="V8" i="38"/>
  <c r="V41" i="38" s="1"/>
  <c r="AG41" i="38" s="1"/>
  <c r="V6" i="38"/>
  <c r="V47" i="38" s="1"/>
  <c r="AG47" i="38" s="1"/>
  <c r="V25" i="38"/>
  <c r="K25" i="38"/>
  <c r="V30" i="38"/>
  <c r="V35" i="38" s="1"/>
  <c r="AG35" i="38" s="1"/>
  <c r="K3" i="38"/>
  <c r="K29" i="18"/>
  <c r="K25" i="18"/>
  <c r="K21" i="18"/>
  <c r="K17" i="18"/>
  <c r="K13" i="18"/>
  <c r="K9" i="18"/>
  <c r="K5" i="18"/>
  <c r="K16" i="18"/>
  <c r="K8" i="18"/>
  <c r="K4" i="18"/>
  <c r="K30" i="18"/>
  <c r="K26" i="18"/>
  <c r="K22" i="18"/>
  <c r="K10" i="18"/>
  <c r="K28" i="18"/>
  <c r="K24" i="18"/>
  <c r="K20" i="18"/>
  <c r="K12" i="18"/>
  <c r="K27" i="18"/>
  <c r="K23" i="18"/>
  <c r="K19" i="18"/>
  <c r="K15" i="18"/>
  <c r="K11" i="18"/>
  <c r="K7" i="18"/>
  <c r="K3" i="18"/>
  <c r="K18" i="18"/>
  <c r="K14" i="18"/>
  <c r="K6" i="18"/>
  <c r="K2" i="18"/>
  <c r="EE29" i="18"/>
  <c r="EE27" i="18"/>
  <c r="EE25" i="18"/>
  <c r="EE23" i="18"/>
  <c r="EE49" i="18" s="1"/>
  <c r="ES49" i="18" s="1"/>
  <c r="EE21" i="18"/>
  <c r="EE19" i="18"/>
  <c r="EE42" i="18" s="1"/>
  <c r="ES42" i="18" s="1"/>
  <c r="EE17" i="18"/>
  <c r="EE15" i="18"/>
  <c r="EE44" i="18" s="1"/>
  <c r="ES44" i="18" s="1"/>
  <c r="EE13" i="18"/>
  <c r="EE33" i="18" s="1"/>
  <c r="ES33" i="18" s="1"/>
  <c r="EE30" i="18"/>
  <c r="EE35" i="18" s="1"/>
  <c r="ES35" i="18" s="1"/>
  <c r="EE28" i="18"/>
  <c r="EE43" i="18" s="1"/>
  <c r="ES43" i="18" s="1"/>
  <c r="EE26" i="18"/>
  <c r="EE36" i="18" s="1"/>
  <c r="ES36" i="18" s="1"/>
  <c r="EE24" i="18"/>
  <c r="EE22" i="18"/>
  <c r="EE37" i="18" s="1"/>
  <c r="ES37" i="18" s="1"/>
  <c r="EE20" i="18"/>
  <c r="EE18" i="18"/>
  <c r="EE16" i="18"/>
  <c r="EE14" i="18"/>
  <c r="EE34" i="18" s="1"/>
  <c r="ES34" i="18" s="1"/>
  <c r="EE10" i="18"/>
  <c r="EE46" i="18" s="1"/>
  <c r="ES46" i="18" s="1"/>
  <c r="EE8" i="18"/>
  <c r="EE41" i="18" s="1"/>
  <c r="ES41" i="18" s="1"/>
  <c r="EE6" i="18"/>
  <c r="EE47" i="18" s="1"/>
  <c r="ES47" i="18" s="1"/>
  <c r="EE4" i="18"/>
  <c r="EE40" i="18" s="1"/>
  <c r="ES40" i="18" s="1"/>
  <c r="EE2" i="18"/>
  <c r="EE38" i="18" s="1"/>
  <c r="ES38" i="18" s="1"/>
  <c r="EE12" i="18"/>
  <c r="EE9" i="18"/>
  <c r="EE5" i="18"/>
  <c r="EE11" i="18"/>
  <c r="EE39" i="18" s="1"/>
  <c r="ES39" i="18" s="1"/>
  <c r="EE3" i="18"/>
  <c r="EE32" i="18" s="1"/>
  <c r="ES32" i="18" s="1"/>
  <c r="EE7" i="18"/>
  <c r="V30" i="18"/>
  <c r="V35" i="18" s="1"/>
  <c r="AG35" i="18" s="1"/>
  <c r="V28" i="18"/>
  <c r="V43" i="18" s="1"/>
  <c r="AG43" i="18" s="1"/>
  <c r="V26" i="18"/>
  <c r="V36" i="18" s="1"/>
  <c r="AG36" i="18" s="1"/>
  <c r="V24" i="18"/>
  <c r="V22" i="18"/>
  <c r="V37" i="18" s="1"/>
  <c r="AG37" i="18" s="1"/>
  <c r="V20" i="18"/>
  <c r="V18" i="18"/>
  <c r="V16" i="18"/>
  <c r="V14" i="18"/>
  <c r="V34" i="18" s="1"/>
  <c r="AG34" i="18" s="1"/>
  <c r="V12" i="18"/>
  <c r="V11" i="18"/>
  <c r="V39" i="18" s="1"/>
  <c r="AG39" i="18" s="1"/>
  <c r="V9" i="18"/>
  <c r="V7" i="18"/>
  <c r="V5" i="18"/>
  <c r="V3" i="18"/>
  <c r="V32" i="18" s="1"/>
  <c r="V29" i="18"/>
  <c r="V27" i="18"/>
  <c r="V25" i="18"/>
  <c r="V23" i="18"/>
  <c r="V49" i="18" s="1"/>
  <c r="V21" i="18"/>
  <c r="V19" i="18"/>
  <c r="V42" i="18" s="1"/>
  <c r="AG42" i="18" s="1"/>
  <c r="V17" i="18"/>
  <c r="V15" i="18"/>
  <c r="V44" i="18" s="1"/>
  <c r="AG44" i="18" s="1"/>
  <c r="V13" i="18"/>
  <c r="V33" i="18" s="1"/>
  <c r="AG33" i="18" s="1"/>
  <c r="V10" i="18"/>
  <c r="V46" i="18" s="1"/>
  <c r="V8" i="18"/>
  <c r="V41" i="18" s="1"/>
  <c r="AG41" i="18" s="1"/>
  <c r="V6" i="18"/>
  <c r="V47" i="18" s="1"/>
  <c r="AG47" i="18" s="1"/>
  <c r="V4" i="18"/>
  <c r="V40" i="18" s="1"/>
  <c r="AG40" i="18" s="1"/>
  <c r="V2" i="18"/>
  <c r="V38" i="18" s="1"/>
  <c r="AG38" i="18" s="1"/>
  <c r="K44" i="18"/>
  <c r="DB6" i="18" l="1"/>
  <c r="DB7" i="18"/>
  <c r="DB23" i="18"/>
  <c r="DB24" i="18"/>
  <c r="DB26" i="18"/>
  <c r="DB16" i="18"/>
  <c r="DB17" i="18"/>
  <c r="DB3" i="38"/>
  <c r="K32" i="38"/>
  <c r="DB6" i="38"/>
  <c r="K47" i="38"/>
  <c r="V62" i="38"/>
  <c r="AG62" i="38" s="1"/>
  <c r="V76" i="38"/>
  <c r="AG76" i="38" s="1"/>
  <c r="K41" i="38"/>
  <c r="DB8" i="38"/>
  <c r="K37" i="38"/>
  <c r="DB22" i="38"/>
  <c r="V56" i="38"/>
  <c r="AG56" i="38" s="1"/>
  <c r="V70" i="38"/>
  <c r="AG70" i="38" s="1"/>
  <c r="K44" i="38"/>
  <c r="DB15" i="38"/>
  <c r="DB21" i="38"/>
  <c r="K65" i="38"/>
  <c r="K51" i="38"/>
  <c r="K36" i="38"/>
  <c r="DB26" i="38"/>
  <c r="DB5" i="38"/>
  <c r="K67" i="38"/>
  <c r="K53" i="38"/>
  <c r="DB14" i="38"/>
  <c r="K34" i="38"/>
  <c r="EE70" i="38"/>
  <c r="ES70" i="38" s="1"/>
  <c r="EE56" i="38"/>
  <c r="ES56" i="38" s="1"/>
  <c r="DB27" i="38"/>
  <c r="K76" i="38"/>
  <c r="K62" i="38"/>
  <c r="DB14" i="18"/>
  <c r="DB28" i="18"/>
  <c r="DB43" i="18" s="1"/>
  <c r="DB21" i="18"/>
  <c r="DB7" i="38"/>
  <c r="K73" i="38"/>
  <c r="K59" i="38"/>
  <c r="V60" i="38"/>
  <c r="AG60" i="38" s="1"/>
  <c r="V74" i="38"/>
  <c r="AG74" i="38" s="1"/>
  <c r="V57" i="38"/>
  <c r="AG57" i="38" s="1"/>
  <c r="V71" i="38"/>
  <c r="AG71" i="38" s="1"/>
  <c r="DB10" i="38"/>
  <c r="K46" i="38"/>
  <c r="K45" i="38" s="1"/>
  <c r="EE55" i="38"/>
  <c r="ES55" i="38" s="1"/>
  <c r="EE69" i="38"/>
  <c r="ES69" i="38" s="1"/>
  <c r="EE52" i="38"/>
  <c r="ES52" i="38" s="1"/>
  <c r="EE66" i="38"/>
  <c r="ES66" i="38" s="1"/>
  <c r="V67" i="38"/>
  <c r="AG67" i="38" s="1"/>
  <c r="V53" i="38"/>
  <c r="AG53" i="38" s="1"/>
  <c r="V55" i="38"/>
  <c r="AG55" i="38" s="1"/>
  <c r="V69" i="38"/>
  <c r="AG69" i="38" s="1"/>
  <c r="K40" i="38"/>
  <c r="DB4" i="38"/>
  <c r="DB12" i="38"/>
  <c r="K74" i="38"/>
  <c r="K60" i="38"/>
  <c r="V52" i="38"/>
  <c r="AG52" i="38" s="1"/>
  <c r="V66" i="38"/>
  <c r="AG66" i="38" s="1"/>
  <c r="ES32" i="38"/>
  <c r="ES31" i="38"/>
  <c r="DB29" i="38"/>
  <c r="K71" i="38"/>
  <c r="K57" i="38"/>
  <c r="K39" i="38"/>
  <c r="DB11" i="38"/>
  <c r="EE58" i="38"/>
  <c r="ES58" i="38" s="1"/>
  <c r="EE72" i="38"/>
  <c r="ES72" i="38" s="1"/>
  <c r="K49" i="38"/>
  <c r="DB23" i="38"/>
  <c r="EE62" i="38"/>
  <c r="ES62" i="38" s="1"/>
  <c r="EE76" i="38"/>
  <c r="ES76" i="38" s="1"/>
  <c r="DB11" i="18"/>
  <c r="DB39" i="18" s="1"/>
  <c r="DB30" i="18"/>
  <c r="DB18" i="18"/>
  <c r="DB15" i="18"/>
  <c r="DB44" i="18" s="1"/>
  <c r="DB12" i="18"/>
  <c r="DB10" i="18"/>
  <c r="DB4" i="18"/>
  <c r="DB40" i="18" s="1"/>
  <c r="DB9" i="18"/>
  <c r="DB25" i="18"/>
  <c r="DB25" i="38"/>
  <c r="K50" i="38"/>
  <c r="K64" i="38"/>
  <c r="EE67" i="38"/>
  <c r="ES67" i="38" s="1"/>
  <c r="EE53" i="38"/>
  <c r="ES53" i="38" s="1"/>
  <c r="DB9" i="38"/>
  <c r="K68" i="38"/>
  <c r="K54" i="38"/>
  <c r="V58" i="38"/>
  <c r="AG58" i="38" s="1"/>
  <c r="V72" i="38"/>
  <c r="AG72" i="38" s="1"/>
  <c r="EE75" i="38"/>
  <c r="ES75" i="38" s="1"/>
  <c r="EE61" i="38"/>
  <c r="ES61" i="38" s="1"/>
  <c r="V73" i="38"/>
  <c r="AG73" i="38" s="1"/>
  <c r="V59" i="38"/>
  <c r="AG59" i="38" s="1"/>
  <c r="ES46" i="38"/>
  <c r="ES45" i="38"/>
  <c r="AG45" i="38"/>
  <c r="AG46" i="38"/>
  <c r="AG31" i="38"/>
  <c r="AG36" i="38"/>
  <c r="K33" i="38"/>
  <c r="DB13" i="38"/>
  <c r="DB16" i="38"/>
  <c r="K72" i="38"/>
  <c r="K58" i="38"/>
  <c r="AG49" i="38"/>
  <c r="ES49" i="38"/>
  <c r="EE71" i="38"/>
  <c r="ES71" i="38" s="1"/>
  <c r="EE57" i="38"/>
  <c r="ES57" i="38" s="1"/>
  <c r="EE74" i="38"/>
  <c r="ES74" i="38" s="1"/>
  <c r="EE60" i="38"/>
  <c r="ES60" i="38" s="1"/>
  <c r="EE64" i="38"/>
  <c r="EE50" i="38"/>
  <c r="ES50" i="38" s="1"/>
  <c r="DB27" i="18"/>
  <c r="DB5" i="18"/>
  <c r="DB2" i="18"/>
  <c r="DB38" i="18" s="1"/>
  <c r="DB3" i="18"/>
  <c r="DB19" i="18"/>
  <c r="DB42" i="18" s="1"/>
  <c r="DB20" i="18"/>
  <c r="DB22" i="18"/>
  <c r="DB37" i="18" s="1"/>
  <c r="DB8" i="18"/>
  <c r="DB13" i="18"/>
  <c r="DB33" i="18" s="1"/>
  <c r="DB29" i="18"/>
  <c r="V64" i="38"/>
  <c r="V50" i="38"/>
  <c r="AG50" i="38" s="1"/>
  <c r="DB19" i="38"/>
  <c r="K42" i="38"/>
  <c r="V75" i="38"/>
  <c r="AG75" i="38" s="1"/>
  <c r="V61" i="38"/>
  <c r="AG61" i="38" s="1"/>
  <c r="EE73" i="38"/>
  <c r="ES73" i="38" s="1"/>
  <c r="EE59" i="38"/>
  <c r="ES59" i="38" s="1"/>
  <c r="K56" i="38"/>
  <c r="K70" i="38"/>
  <c r="DB20" i="38"/>
  <c r="V68" i="38"/>
  <c r="AG68" i="38" s="1"/>
  <c r="V54" i="38"/>
  <c r="AG54" i="38" s="1"/>
  <c r="V51" i="38"/>
  <c r="AG51" i="38" s="1"/>
  <c r="V65" i="38"/>
  <c r="AG65" i="38" s="1"/>
  <c r="DB2" i="38"/>
  <c r="K38" i="38"/>
  <c r="DB17" i="38"/>
  <c r="K66" i="38"/>
  <c r="K52" i="38"/>
  <c r="DB24" i="38"/>
  <c r="K55" i="38"/>
  <c r="K69" i="38"/>
  <c r="DB28" i="38"/>
  <c r="K43" i="38"/>
  <c r="K35" i="38"/>
  <c r="DB30" i="38"/>
  <c r="EE68" i="38"/>
  <c r="ES68" i="38" s="1"/>
  <c r="EE54" i="38"/>
  <c r="ES54" i="38" s="1"/>
  <c r="K75" i="38"/>
  <c r="DB18" i="38"/>
  <c r="K61" i="38"/>
  <c r="EE65" i="38"/>
  <c r="ES65" i="38" s="1"/>
  <c r="EE51" i="38"/>
  <c r="ES51" i="38" s="1"/>
  <c r="ES45" i="18"/>
  <c r="AG46" i="18"/>
  <c r="AG45" i="18"/>
  <c r="V66" i="18"/>
  <c r="AG66" i="18" s="1"/>
  <c r="V52" i="18"/>
  <c r="AG52" i="18" s="1"/>
  <c r="V50" i="18"/>
  <c r="AG50" i="18" s="1"/>
  <c r="V64" i="18"/>
  <c r="AG31" i="18"/>
  <c r="AG32" i="18"/>
  <c r="V61" i="18"/>
  <c r="AG61" i="18" s="1"/>
  <c r="V75" i="18"/>
  <c r="AG75" i="18" s="1"/>
  <c r="ES31" i="18"/>
  <c r="EE74" i="18"/>
  <c r="ES74" i="18" s="1"/>
  <c r="EE60" i="18"/>
  <c r="ES60" i="18" s="1"/>
  <c r="EE72" i="18"/>
  <c r="ES72" i="18" s="1"/>
  <c r="EE58" i="18"/>
  <c r="ES58" i="18" s="1"/>
  <c r="EE55" i="18"/>
  <c r="ES55" i="18" s="1"/>
  <c r="EE69" i="18"/>
  <c r="ES69" i="18" s="1"/>
  <c r="EE65" i="18"/>
  <c r="ES65" i="18" s="1"/>
  <c r="EE51" i="18"/>
  <c r="ES51" i="18" s="1"/>
  <c r="EE57" i="18"/>
  <c r="ES57" i="18" s="1"/>
  <c r="EE71" i="18"/>
  <c r="ES71" i="18" s="1"/>
  <c r="V62" i="18"/>
  <c r="AG62" i="18" s="1"/>
  <c r="V76" i="18"/>
  <c r="AG76" i="18" s="1"/>
  <c r="V53" i="18"/>
  <c r="AG53" i="18" s="1"/>
  <c r="V67" i="18"/>
  <c r="AG67" i="18" s="1"/>
  <c r="V74" i="18"/>
  <c r="AG74" i="18" s="1"/>
  <c r="V60" i="18"/>
  <c r="AG60" i="18" s="1"/>
  <c r="V70" i="18"/>
  <c r="AG70" i="18" s="1"/>
  <c r="V56" i="18"/>
  <c r="AG56" i="18" s="1"/>
  <c r="EE75" i="18"/>
  <c r="ES75" i="18" s="1"/>
  <c r="EE61" i="18"/>
  <c r="ES61" i="18" s="1"/>
  <c r="V51" i="18"/>
  <c r="AG51" i="18" s="1"/>
  <c r="V65" i="18"/>
  <c r="AG65" i="18" s="1"/>
  <c r="V57" i="18"/>
  <c r="AG57" i="18" s="1"/>
  <c r="V71" i="18"/>
  <c r="AG71" i="18" s="1"/>
  <c r="V59" i="18"/>
  <c r="AG59" i="18" s="1"/>
  <c r="V73" i="18"/>
  <c r="AG73" i="18" s="1"/>
  <c r="EE67" i="18"/>
  <c r="ES67" i="18" s="1"/>
  <c r="EE53" i="18"/>
  <c r="ES53" i="18" s="1"/>
  <c r="EE56" i="18"/>
  <c r="ES56" i="18" s="1"/>
  <c r="EE70" i="18"/>
  <c r="ES70" i="18" s="1"/>
  <c r="EE66" i="18"/>
  <c r="ES66" i="18" s="1"/>
  <c r="EE52" i="18"/>
  <c r="ES52" i="18" s="1"/>
  <c r="EE50" i="18"/>
  <c r="ES50" i="18" s="1"/>
  <c r="EE64" i="18"/>
  <c r="ES64" i="18" s="1"/>
  <c r="AG49" i="18"/>
  <c r="V54" i="18"/>
  <c r="AG54" i="18" s="1"/>
  <c r="V68" i="18"/>
  <c r="AG68" i="18" s="1"/>
  <c r="V58" i="18"/>
  <c r="AG58" i="18" s="1"/>
  <c r="V72" i="18"/>
  <c r="AG72" i="18" s="1"/>
  <c r="V55" i="18"/>
  <c r="AG55" i="18" s="1"/>
  <c r="V69" i="18"/>
  <c r="AG69" i="18" s="1"/>
  <c r="EE73" i="18"/>
  <c r="ES73" i="18" s="1"/>
  <c r="EE59" i="18"/>
  <c r="ES59" i="18" s="1"/>
  <c r="EE68" i="18"/>
  <c r="ES68" i="18" s="1"/>
  <c r="EE54" i="18"/>
  <c r="ES54" i="18" s="1"/>
  <c r="EE62" i="18"/>
  <c r="ES62" i="18" s="1"/>
  <c r="EE76" i="18"/>
  <c r="ES76" i="18" s="1"/>
  <c r="K73" i="18"/>
  <c r="K59" i="18"/>
  <c r="DB41" i="18"/>
  <c r="K41" i="18"/>
  <c r="K39" i="18"/>
  <c r="K71" i="18"/>
  <c r="K57" i="18"/>
  <c r="DB32" i="18"/>
  <c r="K32" i="18"/>
  <c r="K38" i="18"/>
  <c r="K40" i="18"/>
  <c r="K74" i="18"/>
  <c r="K60" i="18"/>
  <c r="DB34" i="18"/>
  <c r="K34" i="18"/>
  <c r="DB36" i="18"/>
  <c r="K36" i="18"/>
  <c r="K33" i="18"/>
  <c r="K65" i="18"/>
  <c r="K51" i="18"/>
  <c r="K43" i="18"/>
  <c r="DB49" i="18"/>
  <c r="K49" i="18"/>
  <c r="DB46" i="18"/>
  <c r="K46" i="18"/>
  <c r="K75" i="18"/>
  <c r="K61" i="18"/>
  <c r="K64" i="18"/>
  <c r="K50" i="18"/>
  <c r="K66" i="18"/>
  <c r="K52" i="18"/>
  <c r="K70" i="18"/>
  <c r="K56" i="18"/>
  <c r="K69" i="18"/>
  <c r="K55" i="18"/>
  <c r="K37" i="18"/>
  <c r="DB47" i="18"/>
  <c r="K47" i="18"/>
  <c r="K68" i="18"/>
  <c r="K54" i="18"/>
  <c r="K67" i="18"/>
  <c r="K53" i="18"/>
  <c r="K72" i="18"/>
  <c r="K58" i="18"/>
  <c r="K42" i="18"/>
  <c r="K76" i="18"/>
  <c r="K62" i="18"/>
  <c r="DB35" i="18"/>
  <c r="K35" i="18"/>
  <c r="DB35" i="38" l="1"/>
  <c r="DP30" i="38"/>
  <c r="DB69" i="38"/>
  <c r="DB55" i="38"/>
  <c r="DP24" i="38"/>
  <c r="DB70" i="38"/>
  <c r="DP20" i="38"/>
  <c r="DB56" i="38"/>
  <c r="DB46" i="38"/>
  <c r="DP10" i="38"/>
  <c r="DB44" i="38"/>
  <c r="DP15" i="38"/>
  <c r="DB75" i="38"/>
  <c r="DB61" i="38"/>
  <c r="DP18" i="38"/>
  <c r="K63" i="38"/>
  <c r="DB42" i="38"/>
  <c r="DP19" i="38"/>
  <c r="ES64" i="38"/>
  <c r="ES63" i="38"/>
  <c r="DP16" i="38"/>
  <c r="DB58" i="38"/>
  <c r="DB72" i="38"/>
  <c r="K48" i="38"/>
  <c r="DB39" i="38"/>
  <c r="DP11" i="38"/>
  <c r="K31" i="38"/>
  <c r="DP26" i="38"/>
  <c r="DB36" i="38"/>
  <c r="DP3" i="38"/>
  <c r="DB32" i="38"/>
  <c r="DP28" i="38"/>
  <c r="DB43" i="38"/>
  <c r="DP17" i="38"/>
  <c r="DB66" i="38"/>
  <c r="DB63" i="38" s="1"/>
  <c r="DB52" i="38"/>
  <c r="AG64" i="38"/>
  <c r="AG63" i="38"/>
  <c r="AG48" i="38"/>
  <c r="DB54" i="38"/>
  <c r="DP9" i="38"/>
  <c r="DB68" i="38"/>
  <c r="DB37" i="38"/>
  <c r="DP22" i="38"/>
  <c r="DB38" i="38"/>
  <c r="DP2" i="38"/>
  <c r="ES48" i="38"/>
  <c r="DP13" i="38"/>
  <c r="DB33" i="38"/>
  <c r="DB64" i="38"/>
  <c r="DB50" i="38"/>
  <c r="DP25" i="38"/>
  <c r="DP29" i="38"/>
  <c r="DB57" i="38"/>
  <c r="DB71" i="38"/>
  <c r="DP12" i="38"/>
  <c r="DB60" i="38"/>
  <c r="DB74" i="38"/>
  <c r="DB62" i="38"/>
  <c r="DP27" i="38"/>
  <c r="DB76" i="38"/>
  <c r="DP21" i="38"/>
  <c r="DB65" i="38"/>
  <c r="DB51" i="38"/>
  <c r="DB47" i="38"/>
  <c r="DP6" i="38"/>
  <c r="DB49" i="38"/>
  <c r="DP23" i="38"/>
  <c r="DP4" i="38"/>
  <c r="DB40" i="38"/>
  <c r="DB59" i="38"/>
  <c r="DP7" i="38"/>
  <c r="DB73" i="38"/>
  <c r="DB34" i="38"/>
  <c r="DP14" i="38"/>
  <c r="DB53" i="38"/>
  <c r="DP5" i="38"/>
  <c r="DB67" i="38"/>
  <c r="DP8" i="38"/>
  <c r="DB41" i="38"/>
  <c r="ES48" i="18"/>
  <c r="AG48" i="18"/>
  <c r="ES63" i="18"/>
  <c r="AG63" i="18"/>
  <c r="AG64" i="18"/>
  <c r="K31" i="18"/>
  <c r="DB70" i="18"/>
  <c r="DB56" i="18"/>
  <c r="DB55" i="18"/>
  <c r="DB69" i="18"/>
  <c r="DB75" i="18"/>
  <c r="DB61" i="18"/>
  <c r="DB31" i="18"/>
  <c r="DB72" i="18"/>
  <c r="DB58" i="18"/>
  <c r="K48" i="18"/>
  <c r="DB68" i="18"/>
  <c r="DB54" i="18"/>
  <c r="K63" i="18"/>
  <c r="DB64" i="18"/>
  <c r="DB50" i="18"/>
  <c r="K45" i="18"/>
  <c r="DB65" i="18"/>
  <c r="DB51" i="18"/>
  <c r="DB71" i="18"/>
  <c r="DB57" i="18"/>
  <c r="DB76" i="18"/>
  <c r="DB62" i="18"/>
  <c r="DB53" i="18"/>
  <c r="DB67" i="18"/>
  <c r="DB66" i="18"/>
  <c r="DB63" i="18" s="1"/>
  <c r="DB52" i="18"/>
  <c r="DB45" i="18"/>
  <c r="DB74" i="18"/>
  <c r="DB60" i="18"/>
  <c r="DB73" i="18"/>
  <c r="DB59" i="18"/>
  <c r="C43" i="19"/>
  <c r="E43" i="19" s="1"/>
  <c r="E27" i="19"/>
  <c r="C36" i="19"/>
  <c r="E36" i="19" s="1"/>
  <c r="C49" i="19"/>
  <c r="C37" i="19"/>
  <c r="E37" i="19" s="1"/>
  <c r="C42" i="19"/>
  <c r="E42" i="19" s="1"/>
  <c r="C44" i="19"/>
  <c r="E44" i="19" s="1"/>
  <c r="C34" i="19"/>
  <c r="E34" i="19" s="1"/>
  <c r="C33" i="19"/>
  <c r="E33" i="19" s="1"/>
  <c r="C39" i="19"/>
  <c r="E39" i="19" s="1"/>
  <c r="C41" i="19"/>
  <c r="E41" i="19" s="1"/>
  <c r="C40" i="19"/>
  <c r="E40" i="19" s="1"/>
  <c r="DB48" i="38" l="1"/>
  <c r="DB31" i="38"/>
  <c r="DB45" i="38"/>
  <c r="DB48" i="18"/>
  <c r="C38" i="19"/>
  <c r="E38" i="19" s="1"/>
  <c r="E2" i="19"/>
  <c r="C61" i="19"/>
  <c r="C75" i="19"/>
  <c r="C68" i="19"/>
  <c r="C54" i="19"/>
  <c r="C74" i="19"/>
  <c r="C60" i="19"/>
  <c r="C66" i="19"/>
  <c r="C52" i="19"/>
  <c r="C70" i="19"/>
  <c r="C56" i="19"/>
  <c r="C55" i="19"/>
  <c r="C69" i="19"/>
  <c r="C51" i="19"/>
  <c r="C65" i="19"/>
  <c r="C57" i="19"/>
  <c r="C71" i="19"/>
  <c r="C53" i="19"/>
  <c r="C67" i="19"/>
  <c r="C72" i="19"/>
  <c r="C58" i="19"/>
  <c r="C64" i="19"/>
  <c r="C50" i="19"/>
  <c r="E50" i="19" s="1"/>
  <c r="C59" i="19"/>
  <c r="C73" i="19"/>
  <c r="E8" i="19"/>
  <c r="E26" i="19"/>
  <c r="E30" i="19"/>
  <c r="E4" i="19"/>
  <c r="E13" i="19"/>
  <c r="E18" i="19"/>
  <c r="E19" i="19"/>
  <c r="E21" i="19"/>
  <c r="E5" i="19"/>
  <c r="E11" i="19"/>
  <c r="E12" i="19"/>
  <c r="E15" i="19"/>
  <c r="E17" i="19"/>
  <c r="E20" i="19"/>
  <c r="E22" i="19"/>
  <c r="E24" i="19"/>
  <c r="E28" i="19"/>
  <c r="E7" i="19"/>
  <c r="E9" i="19"/>
  <c r="E14" i="19"/>
  <c r="E16" i="19"/>
  <c r="E23" i="19"/>
  <c r="E25" i="19"/>
  <c r="E29" i="19"/>
  <c r="E6" i="19"/>
  <c r="C48" i="19" l="1"/>
  <c r="C63" i="19"/>
  <c r="E76" i="19" l="1"/>
  <c r="E62" i="19"/>
  <c r="E75" i="19"/>
  <c r="E61" i="19"/>
  <c r="E74" i="19"/>
  <c r="E60" i="19"/>
  <c r="E73" i="19"/>
  <c r="E59" i="19"/>
  <c r="E72" i="19"/>
  <c r="E58" i="19"/>
  <c r="E71" i="19"/>
  <c r="E57" i="19"/>
  <c r="E70" i="19"/>
  <c r="E56" i="19"/>
  <c r="E69" i="19"/>
  <c r="E55" i="19"/>
  <c r="E68" i="19"/>
  <c r="E54" i="19"/>
  <c r="E67" i="19"/>
  <c r="E53" i="19"/>
  <c r="E66" i="19"/>
  <c r="E52" i="19"/>
  <c r="E65" i="19"/>
  <c r="E51" i="19"/>
  <c r="E64" i="19"/>
  <c r="E49" i="19"/>
  <c r="BB22" i="1"/>
  <c r="E48" i="19" l="1"/>
  <c r="E63" i="19"/>
  <c r="K12" i="3"/>
  <c r="CQ35" i="18"/>
  <c r="CQ43" i="18"/>
  <c r="CQ36" i="18"/>
  <c r="CQ37" i="18"/>
  <c r="CQ42" i="18"/>
  <c r="CQ44" i="18"/>
  <c r="CQ34" i="18"/>
  <c r="CQ33" i="18"/>
  <c r="CQ39" i="18"/>
  <c r="CQ46" i="18"/>
  <c r="CQ41" i="18"/>
  <c r="CQ47" i="18"/>
  <c r="CQ40" i="18"/>
  <c r="CQ38" i="18"/>
  <c r="AF30" i="17"/>
  <c r="AF29" i="17"/>
  <c r="AF28" i="17"/>
  <c r="AF43" i="17" s="1"/>
  <c r="AP43" i="17" s="1"/>
  <c r="AF27" i="17"/>
  <c r="AF26" i="17"/>
  <c r="AF36" i="17" s="1"/>
  <c r="AP36" i="17" s="1"/>
  <c r="AF24" i="17"/>
  <c r="AF22" i="17"/>
  <c r="AF37" i="17" s="1"/>
  <c r="AP37" i="17" s="1"/>
  <c r="AF21" i="17"/>
  <c r="AF20" i="17"/>
  <c r="AF19" i="17"/>
  <c r="AF42" i="17" s="1"/>
  <c r="AP42" i="17" s="1"/>
  <c r="AF18" i="17"/>
  <c r="AF17" i="17"/>
  <c r="AF16" i="17"/>
  <c r="AF15" i="17"/>
  <c r="AF44" i="17" s="1"/>
  <c r="AP44" i="17" s="1"/>
  <c r="AF14" i="17"/>
  <c r="AF34" i="17" s="1"/>
  <c r="AP34" i="17" s="1"/>
  <c r="AF13" i="17"/>
  <c r="AF33" i="17" s="1"/>
  <c r="AP33" i="17" s="1"/>
  <c r="AF12" i="17"/>
  <c r="AF11" i="17"/>
  <c r="AF39" i="17" s="1"/>
  <c r="AP39" i="17" s="1"/>
  <c r="AF10" i="17"/>
  <c r="AF46" i="17" s="1"/>
  <c r="AF9" i="17"/>
  <c r="AF8" i="17"/>
  <c r="AF41" i="17" s="1"/>
  <c r="AP41" i="17" s="1"/>
  <c r="AF7" i="17"/>
  <c r="AF6" i="17"/>
  <c r="AF47" i="17" s="1"/>
  <c r="AP47" i="17" s="1"/>
  <c r="AF5" i="17"/>
  <c r="AF4" i="17"/>
  <c r="AF40" i="17" s="1"/>
  <c r="AP40" i="17" s="1"/>
  <c r="AF2" i="17"/>
  <c r="AF38" i="17" s="1"/>
  <c r="AP38" i="17" s="1"/>
  <c r="C32" i="19"/>
  <c r="AJ29" i="38" l="1"/>
  <c r="AJ24" i="38"/>
  <c r="AJ23" i="38"/>
  <c r="AJ22" i="38"/>
  <c r="AJ21" i="38"/>
  <c r="AJ19" i="38"/>
  <c r="AJ15" i="38"/>
  <c r="AJ8" i="38"/>
  <c r="AJ6" i="38"/>
  <c r="AJ27" i="38"/>
  <c r="AJ26" i="38"/>
  <c r="AJ25" i="38"/>
  <c r="AJ18" i="38"/>
  <c r="AJ30" i="38"/>
  <c r="AJ11" i="38"/>
  <c r="AJ10" i="38"/>
  <c r="AJ9" i="38"/>
  <c r="AJ7" i="38"/>
  <c r="AJ3" i="38"/>
  <c r="BM26" i="38"/>
  <c r="BM36" i="38" s="1"/>
  <c r="S26" i="38"/>
  <c r="S36" i="38" s="1"/>
  <c r="AD36" i="38" s="1"/>
  <c r="S24" i="38"/>
  <c r="S22" i="38"/>
  <c r="S37" i="38" s="1"/>
  <c r="AD37" i="38" s="1"/>
  <c r="S21" i="38"/>
  <c r="BM17" i="38"/>
  <c r="BM13" i="38"/>
  <c r="BM33" i="38" s="1"/>
  <c r="S10" i="38"/>
  <c r="S46" i="38" s="1"/>
  <c r="BM5" i="38"/>
  <c r="S5" i="38"/>
  <c r="S4" i="38"/>
  <c r="S40" i="38" s="1"/>
  <c r="AD40" i="38" s="1"/>
  <c r="S3" i="38"/>
  <c r="S32" i="38" s="1"/>
  <c r="S2" i="38"/>
  <c r="S38" i="38" s="1"/>
  <c r="AD38" i="38" s="1"/>
  <c r="AJ5" i="38"/>
  <c r="BM30" i="38"/>
  <c r="BM35" i="38" s="1"/>
  <c r="S25" i="38"/>
  <c r="BM21" i="38"/>
  <c r="S20" i="38"/>
  <c r="BM19" i="38"/>
  <c r="BM42" i="38" s="1"/>
  <c r="S19" i="38"/>
  <c r="S42" i="38" s="1"/>
  <c r="AD42" i="38" s="1"/>
  <c r="BM15" i="38"/>
  <c r="BM44" i="38" s="1"/>
  <c r="BM12" i="38"/>
  <c r="S12" i="38"/>
  <c r="BM11" i="38"/>
  <c r="BM39" i="38" s="1"/>
  <c r="BM8" i="38"/>
  <c r="BM41" i="38" s="1"/>
  <c r="BM6" i="38"/>
  <c r="BM47" i="38" s="1"/>
  <c r="S6" i="38"/>
  <c r="S47" i="38" s="1"/>
  <c r="AD47" i="38" s="1"/>
  <c r="BM4" i="38"/>
  <c r="BM40" i="38" s="1"/>
  <c r="AJ28" i="38"/>
  <c r="AJ20" i="38"/>
  <c r="AJ16" i="38"/>
  <c r="AJ12" i="38"/>
  <c r="S30" i="38"/>
  <c r="S35" i="38" s="1"/>
  <c r="AD35" i="38" s="1"/>
  <c r="S14" i="38"/>
  <c r="S34" i="38" s="1"/>
  <c r="AD34" i="38" s="1"/>
  <c r="S11" i="38"/>
  <c r="S39" i="38" s="1"/>
  <c r="AD39" i="38" s="1"/>
  <c r="BM10" i="38"/>
  <c r="BM46" i="38" s="1"/>
  <c r="BM3" i="38"/>
  <c r="BM32" i="38" s="1"/>
  <c r="BM2" i="38"/>
  <c r="BM38" i="38" s="1"/>
  <c r="AJ17" i="38"/>
  <c r="AJ13" i="38"/>
  <c r="AJ2" i="38"/>
  <c r="BM28" i="38"/>
  <c r="BM43" i="38" s="1"/>
  <c r="S28" i="38"/>
  <c r="S43" i="38" s="1"/>
  <c r="AD43" i="38" s="1"/>
  <c r="BM25" i="38"/>
  <c r="BM22" i="38"/>
  <c r="BM37" i="38" s="1"/>
  <c r="S17" i="38"/>
  <c r="BM14" i="38"/>
  <c r="BM34" i="38" s="1"/>
  <c r="S13" i="38"/>
  <c r="S33" i="38" s="1"/>
  <c r="AD33" i="38" s="1"/>
  <c r="S9" i="38"/>
  <c r="S7" i="38"/>
  <c r="AJ14" i="38"/>
  <c r="AJ4" i="38"/>
  <c r="BM29" i="38"/>
  <c r="S29" i="38"/>
  <c r="BM23" i="38"/>
  <c r="BM49" i="38" s="1"/>
  <c r="S16" i="38"/>
  <c r="BM27" i="38"/>
  <c r="S18" i="38"/>
  <c r="S27" i="38"/>
  <c r="BM24" i="38"/>
  <c r="BM20" i="38"/>
  <c r="S8" i="38"/>
  <c r="S41" i="38" s="1"/>
  <c r="AD41" i="38" s="1"/>
  <c r="BM18" i="38"/>
  <c r="S15" i="38"/>
  <c r="S44" i="38" s="1"/>
  <c r="AD44" i="38" s="1"/>
  <c r="BM7" i="38"/>
  <c r="BM16" i="38"/>
  <c r="BM9" i="38"/>
  <c r="S23" i="38"/>
  <c r="S49" i="38" s="1"/>
  <c r="AJ30" i="18"/>
  <c r="AJ26" i="18"/>
  <c r="AJ36" i="18" s="1"/>
  <c r="AJ22" i="18"/>
  <c r="AJ18" i="18"/>
  <c r="AJ14" i="18"/>
  <c r="AJ10" i="18"/>
  <c r="AJ6" i="18"/>
  <c r="AJ2" i="18"/>
  <c r="AJ38" i="18" s="1"/>
  <c r="AJ25" i="18"/>
  <c r="AJ21" i="18"/>
  <c r="AJ27" i="18"/>
  <c r="AJ19" i="18"/>
  <c r="AJ42" i="18" s="1"/>
  <c r="AJ15" i="18"/>
  <c r="AJ44" i="18" s="1"/>
  <c r="AJ11" i="18"/>
  <c r="AJ7" i="18"/>
  <c r="AJ29" i="18"/>
  <c r="AJ17" i="18"/>
  <c r="AJ13" i="18"/>
  <c r="AJ33" i="18" s="1"/>
  <c r="AJ9" i="18"/>
  <c r="AJ5" i="18"/>
  <c r="AJ28" i="18"/>
  <c r="AJ24" i="18"/>
  <c r="AJ20" i="18"/>
  <c r="AJ16" i="18"/>
  <c r="AJ12" i="18"/>
  <c r="AJ8" i="18"/>
  <c r="AJ4" i="18"/>
  <c r="AJ23" i="18"/>
  <c r="AJ49" i="18" s="1"/>
  <c r="AJ3" i="18"/>
  <c r="AJ32" i="18" s="1"/>
  <c r="BM29" i="18"/>
  <c r="BM25" i="18"/>
  <c r="BM21" i="18"/>
  <c r="BM17" i="18"/>
  <c r="BM13" i="18"/>
  <c r="BM33" i="18" s="1"/>
  <c r="CA33" i="18" s="1"/>
  <c r="BM10" i="18"/>
  <c r="BM46" i="18" s="1"/>
  <c r="CA46" i="18" s="1"/>
  <c r="BM6" i="18"/>
  <c r="BM47" i="18" s="1"/>
  <c r="CA47" i="18" s="1"/>
  <c r="BM2" i="18"/>
  <c r="BM38" i="18" s="1"/>
  <c r="CA38" i="18" s="1"/>
  <c r="BM28" i="18"/>
  <c r="BM43" i="18" s="1"/>
  <c r="CA43" i="18" s="1"/>
  <c r="BM24" i="18"/>
  <c r="BM20" i="18"/>
  <c r="BM16" i="18"/>
  <c r="BM12" i="18"/>
  <c r="BM9" i="18"/>
  <c r="BM5" i="18"/>
  <c r="BM27" i="18"/>
  <c r="BM23" i="18"/>
  <c r="BM49" i="18" s="1"/>
  <c r="CA49" i="18" s="1"/>
  <c r="BM19" i="18"/>
  <c r="BM42" i="18" s="1"/>
  <c r="CA42" i="18" s="1"/>
  <c r="BM15" i="18"/>
  <c r="BM44" i="18" s="1"/>
  <c r="CA44" i="18" s="1"/>
  <c r="BM8" i="18"/>
  <c r="BM41" i="18" s="1"/>
  <c r="CA41" i="18" s="1"/>
  <c r="BM4" i="18"/>
  <c r="BM40" i="18" s="1"/>
  <c r="CA40" i="18" s="1"/>
  <c r="BM30" i="18"/>
  <c r="BM35" i="18" s="1"/>
  <c r="CA35" i="18" s="1"/>
  <c r="BM14" i="18"/>
  <c r="BM34" i="18" s="1"/>
  <c r="CA34" i="18" s="1"/>
  <c r="BM26" i="18"/>
  <c r="BM36" i="18" s="1"/>
  <c r="CA36" i="18" s="1"/>
  <c r="BM11" i="18"/>
  <c r="BM39" i="18" s="1"/>
  <c r="CA39" i="18" s="1"/>
  <c r="BM22" i="18"/>
  <c r="BM37" i="18" s="1"/>
  <c r="CA37" i="18" s="1"/>
  <c r="BM7" i="18"/>
  <c r="BM18" i="18"/>
  <c r="S29" i="18"/>
  <c r="S27" i="18"/>
  <c r="S25" i="18"/>
  <c r="S23" i="18"/>
  <c r="S49" i="18" s="1"/>
  <c r="S21" i="18"/>
  <c r="S19" i="18"/>
  <c r="S42" i="18" s="1"/>
  <c r="AD42" i="18" s="1"/>
  <c r="S17" i="18"/>
  <c r="S15" i="18"/>
  <c r="S44" i="18" s="1"/>
  <c r="AD44" i="18" s="1"/>
  <c r="S13" i="18"/>
  <c r="S33" i="18" s="1"/>
  <c r="AD33" i="18" s="1"/>
  <c r="S10" i="18"/>
  <c r="S46" i="18" s="1"/>
  <c r="S8" i="18"/>
  <c r="S41" i="18" s="1"/>
  <c r="AD41" i="18" s="1"/>
  <c r="S6" i="18"/>
  <c r="S47" i="18" s="1"/>
  <c r="AD47" i="18" s="1"/>
  <c r="S4" i="18"/>
  <c r="S40" i="18" s="1"/>
  <c r="AD40" i="18" s="1"/>
  <c r="S2" i="18"/>
  <c r="S38" i="18" s="1"/>
  <c r="AD38" i="18" s="1"/>
  <c r="BM3" i="18"/>
  <c r="BM32" i="18" s="1"/>
  <c r="CA32" i="18" s="1"/>
  <c r="S24" i="18"/>
  <c r="S16" i="18"/>
  <c r="S9" i="18"/>
  <c r="S30" i="18"/>
  <c r="S35" i="18" s="1"/>
  <c r="AD35" i="18" s="1"/>
  <c r="S22" i="18"/>
  <c r="S37" i="18" s="1"/>
  <c r="AD37" i="18" s="1"/>
  <c r="S14" i="18"/>
  <c r="S34" i="18" s="1"/>
  <c r="AD34" i="18" s="1"/>
  <c r="S7" i="18"/>
  <c r="S26" i="18"/>
  <c r="S36" i="18" s="1"/>
  <c r="AD36" i="18" s="1"/>
  <c r="S18" i="18"/>
  <c r="S11" i="18"/>
  <c r="S39" i="18" s="1"/>
  <c r="AD39" i="18" s="1"/>
  <c r="S28" i="18"/>
  <c r="S43" i="18" s="1"/>
  <c r="AD43" i="18" s="1"/>
  <c r="S20" i="18"/>
  <c r="S12" i="18"/>
  <c r="S5" i="18"/>
  <c r="S3" i="18"/>
  <c r="S32" i="18" s="1"/>
  <c r="CQ45" i="18"/>
  <c r="DE16" i="18"/>
  <c r="CQ72" i="18"/>
  <c r="CQ58" i="18"/>
  <c r="CQ76" i="18"/>
  <c r="CQ62" i="18"/>
  <c r="CQ71" i="18"/>
  <c r="CQ57" i="18"/>
  <c r="DE20" i="18"/>
  <c r="CQ56" i="18"/>
  <c r="CQ70" i="18"/>
  <c r="CQ67" i="18"/>
  <c r="CQ53" i="18"/>
  <c r="AJ68" i="18"/>
  <c r="AJ54" i="18"/>
  <c r="DE18" i="18"/>
  <c r="CQ75" i="18"/>
  <c r="CQ61" i="18"/>
  <c r="DE21" i="18"/>
  <c r="CQ65" i="18"/>
  <c r="CQ51" i="18"/>
  <c r="DE7" i="18"/>
  <c r="CQ73" i="18"/>
  <c r="CQ59" i="18"/>
  <c r="DE9" i="18"/>
  <c r="CQ68" i="18"/>
  <c r="CQ54" i="18"/>
  <c r="CQ74" i="18"/>
  <c r="CQ60" i="18"/>
  <c r="DE17" i="18"/>
  <c r="CQ66" i="18"/>
  <c r="CQ52" i="18"/>
  <c r="CQ69" i="18"/>
  <c r="CQ55" i="18"/>
  <c r="E32" i="19"/>
  <c r="C31" i="19"/>
  <c r="AF73" i="17"/>
  <c r="AP73" i="17" s="1"/>
  <c r="AF59" i="17"/>
  <c r="AP59" i="17" s="1"/>
  <c r="AF72" i="17"/>
  <c r="AP72" i="17" s="1"/>
  <c r="AF58" i="17"/>
  <c r="AP58" i="17" s="1"/>
  <c r="AF45" i="17"/>
  <c r="AP46" i="17"/>
  <c r="AF76" i="17"/>
  <c r="AP76" i="17" s="1"/>
  <c r="AF62" i="17"/>
  <c r="AP62" i="17" s="1"/>
  <c r="AP30" i="17"/>
  <c r="AF35" i="17"/>
  <c r="AP35" i="17" s="1"/>
  <c r="AJ40" i="18"/>
  <c r="AX24" i="18"/>
  <c r="AF67" i="17"/>
  <c r="AP67" i="17" s="1"/>
  <c r="AF53" i="17"/>
  <c r="AP53" i="17" s="1"/>
  <c r="AF68" i="17"/>
  <c r="AP68" i="17" s="1"/>
  <c r="AF54" i="17"/>
  <c r="AP54" i="17" s="1"/>
  <c r="AF75" i="17"/>
  <c r="AP75" i="17" s="1"/>
  <c r="AF61" i="17"/>
  <c r="AP61" i="17" s="1"/>
  <c r="AP21" i="17"/>
  <c r="AF65" i="17"/>
  <c r="AP65" i="17" s="1"/>
  <c r="AF51" i="17"/>
  <c r="AP51" i="17" s="1"/>
  <c r="AF71" i="17"/>
  <c r="AP71" i="17" s="1"/>
  <c r="AF57" i="17"/>
  <c r="AP57" i="17" s="1"/>
  <c r="AJ37" i="18"/>
  <c r="AF60" i="17"/>
  <c r="AP60" i="17" s="1"/>
  <c r="AF74" i="17"/>
  <c r="AP74" i="17" s="1"/>
  <c r="AP17" i="17"/>
  <c r="AF52" i="17"/>
  <c r="AP52" i="17" s="1"/>
  <c r="AF66" i="17"/>
  <c r="AP66" i="17" s="1"/>
  <c r="AF56" i="17"/>
  <c r="AP56" i="17" s="1"/>
  <c r="AF70" i="17"/>
  <c r="AP70" i="17" s="1"/>
  <c r="AF69" i="17"/>
  <c r="AP69" i="17" s="1"/>
  <c r="AF55" i="17"/>
  <c r="AP55" i="17" s="1"/>
  <c r="E3" i="19"/>
  <c r="DE15" i="18"/>
  <c r="DE19" i="18"/>
  <c r="AX2" i="18"/>
  <c r="DP9" i="18"/>
  <c r="DE2" i="18"/>
  <c r="AP28" i="17"/>
  <c r="DE5" i="18"/>
  <c r="DE4" i="18"/>
  <c r="DP6" i="18"/>
  <c r="DE8" i="18"/>
  <c r="AX9" i="18"/>
  <c r="DE10" i="18"/>
  <c r="DE6" i="18"/>
  <c r="DE11" i="18"/>
  <c r="DE12" i="18"/>
  <c r="DE22" i="18"/>
  <c r="DP14" i="18"/>
  <c r="AX19" i="18"/>
  <c r="AX13" i="18"/>
  <c r="DE13" i="18"/>
  <c r="DE14" i="18"/>
  <c r="AX23" i="18"/>
  <c r="DE24" i="18"/>
  <c r="AX26" i="18"/>
  <c r="DE26" i="18"/>
  <c r="DE29" i="18"/>
  <c r="DE28" i="18"/>
  <c r="DE27" i="18"/>
  <c r="DE30" i="18"/>
  <c r="AP8" i="17"/>
  <c r="AP19" i="17"/>
  <c r="AP2" i="17"/>
  <c r="AP5" i="17"/>
  <c r="AP7" i="17"/>
  <c r="AP9" i="17"/>
  <c r="AP10" i="17"/>
  <c r="AP11" i="17"/>
  <c r="AP12" i="17"/>
  <c r="AP13" i="17"/>
  <c r="AP16" i="17"/>
  <c r="AP15" i="17"/>
  <c r="AP14" i="17"/>
  <c r="AP18" i="17"/>
  <c r="AP22" i="17"/>
  <c r="AP24" i="17"/>
  <c r="AP26" i="17"/>
  <c r="AP29" i="17"/>
  <c r="AP27" i="17"/>
  <c r="AP4" i="17"/>
  <c r="AP6" i="17"/>
  <c r="AP20" i="17"/>
  <c r="BM59" i="38" l="1"/>
  <c r="BM73" i="38"/>
  <c r="BM57" i="38"/>
  <c r="BM71" i="38"/>
  <c r="CA32" i="38"/>
  <c r="CA31" i="38"/>
  <c r="CA44" i="38"/>
  <c r="AJ64" i="38"/>
  <c r="AJ50" i="38"/>
  <c r="AX25" i="38"/>
  <c r="AD49" i="38"/>
  <c r="S72" i="38"/>
  <c r="AD72" i="38" s="1"/>
  <c r="S58" i="38"/>
  <c r="AD58" i="38" s="1"/>
  <c r="AX4" i="38"/>
  <c r="AJ40" i="38"/>
  <c r="BM64" i="38"/>
  <c r="BM50" i="38"/>
  <c r="CA46" i="38"/>
  <c r="CA45" i="38"/>
  <c r="CA40" i="38"/>
  <c r="AD31" i="38"/>
  <c r="AD32" i="38"/>
  <c r="AD45" i="38"/>
  <c r="AD46" i="38"/>
  <c r="AX3" i="38"/>
  <c r="AJ32" i="38"/>
  <c r="AJ39" i="38"/>
  <c r="AX11" i="38"/>
  <c r="AX26" i="38"/>
  <c r="AJ36" i="38"/>
  <c r="AJ44" i="38"/>
  <c r="AX15" i="38"/>
  <c r="AJ49" i="38"/>
  <c r="AX23" i="38"/>
  <c r="BM56" i="38"/>
  <c r="BM70" i="38"/>
  <c r="CA37" i="38"/>
  <c r="AJ38" i="38"/>
  <c r="AX2" i="38"/>
  <c r="AJ43" i="38"/>
  <c r="AX28" i="38"/>
  <c r="S51" i="38"/>
  <c r="AD51" i="38" s="1"/>
  <c r="S65" i="38"/>
  <c r="AD65" i="38" s="1"/>
  <c r="AJ46" i="38"/>
  <c r="AX10" i="38"/>
  <c r="AX22" i="38"/>
  <c r="AJ37" i="38"/>
  <c r="AX15" i="18"/>
  <c r="BM69" i="38"/>
  <c r="BM55" i="38"/>
  <c r="AJ33" i="38"/>
  <c r="AX13" i="38"/>
  <c r="AX12" i="38"/>
  <c r="AJ74" i="38"/>
  <c r="AJ60" i="38"/>
  <c r="CA39" i="38"/>
  <c r="S50" i="38"/>
  <c r="AD50" i="38" s="1"/>
  <c r="S64" i="38"/>
  <c r="BM68" i="38"/>
  <c r="BM54" i="38"/>
  <c r="BM61" i="38"/>
  <c r="BM75" i="38"/>
  <c r="S76" i="38"/>
  <c r="AD76" i="38" s="1"/>
  <c r="S62" i="38"/>
  <c r="AD62" i="38" s="1"/>
  <c r="CA49" i="38"/>
  <c r="AJ34" i="38"/>
  <c r="AX14" i="38"/>
  <c r="CA34" i="38"/>
  <c r="AX17" i="38"/>
  <c r="AJ66" i="38"/>
  <c r="AJ52" i="38"/>
  <c r="AJ58" i="38"/>
  <c r="AX16" i="38"/>
  <c r="AJ72" i="38"/>
  <c r="S60" i="38"/>
  <c r="AD60" i="38" s="1"/>
  <c r="S74" i="38"/>
  <c r="AD74" i="38" s="1"/>
  <c r="CA42" i="38"/>
  <c r="CA35" i="38"/>
  <c r="CA33" i="38"/>
  <c r="S55" i="38"/>
  <c r="AD55" i="38" s="1"/>
  <c r="S69" i="38"/>
  <c r="AD69" i="38" s="1"/>
  <c r="AX7" i="38"/>
  <c r="AJ59" i="38"/>
  <c r="AJ73" i="38"/>
  <c r="AJ35" i="38"/>
  <c r="AX30" i="38"/>
  <c r="AX27" i="38"/>
  <c r="AJ76" i="38"/>
  <c r="AJ62" i="38"/>
  <c r="AJ42" i="38"/>
  <c r="AX19" i="38"/>
  <c r="AJ55" i="38"/>
  <c r="AX24" i="38"/>
  <c r="AJ69" i="38"/>
  <c r="BM62" i="38"/>
  <c r="BM76" i="38"/>
  <c r="S54" i="38"/>
  <c r="AD54" i="38" s="1"/>
  <c r="S68" i="38"/>
  <c r="AD68" i="38" s="1"/>
  <c r="CA41" i="38"/>
  <c r="BM65" i="38"/>
  <c r="CA65" i="38" s="1"/>
  <c r="BM51" i="38"/>
  <c r="BM53" i="38"/>
  <c r="BM67" i="38"/>
  <c r="CA36" i="38"/>
  <c r="AJ41" i="38"/>
  <c r="AX8" i="38"/>
  <c r="BM72" i="38"/>
  <c r="BM58" i="38"/>
  <c r="S75" i="38"/>
  <c r="AD75" i="38" s="1"/>
  <c r="S61" i="38"/>
  <c r="AD61" i="38" s="1"/>
  <c r="S71" i="38"/>
  <c r="AD71" i="38" s="1"/>
  <c r="S57" i="38"/>
  <c r="AD57" i="38" s="1"/>
  <c r="S59" i="38"/>
  <c r="AD59" i="38" s="1"/>
  <c r="S73" i="38"/>
  <c r="AD73" i="38" s="1"/>
  <c r="S66" i="38"/>
  <c r="AD66" i="38" s="1"/>
  <c r="S52" i="38"/>
  <c r="AD52" i="38" s="1"/>
  <c r="CA43" i="38"/>
  <c r="CA38" i="38"/>
  <c r="AJ70" i="38"/>
  <c r="AX20" i="38"/>
  <c r="AJ56" i="38"/>
  <c r="CA47" i="38"/>
  <c r="BM74" i="38"/>
  <c r="BM60" i="38"/>
  <c r="S70" i="38"/>
  <c r="AD70" i="38" s="1"/>
  <c r="S56" i="38"/>
  <c r="AD56" i="38" s="1"/>
  <c r="AX5" i="38"/>
  <c r="AJ67" i="38"/>
  <c r="AJ53" i="38"/>
  <c r="S67" i="38"/>
  <c r="AD67" i="38" s="1"/>
  <c r="S53" i="38"/>
  <c r="AD53" i="38" s="1"/>
  <c r="BM66" i="38"/>
  <c r="BM52" i="38"/>
  <c r="AX9" i="38"/>
  <c r="AJ68" i="38"/>
  <c r="AJ54" i="38"/>
  <c r="AX18" i="38"/>
  <c r="AJ75" i="38"/>
  <c r="AJ61" i="38"/>
  <c r="AJ47" i="38"/>
  <c r="AX6" i="38"/>
  <c r="AJ51" i="38"/>
  <c r="AX21" i="38"/>
  <c r="AJ65" i="38"/>
  <c r="AJ71" i="38"/>
  <c r="AJ57" i="38"/>
  <c r="AX29" i="38"/>
  <c r="CA31" i="18"/>
  <c r="BM51" i="18"/>
  <c r="CA51" i="18" s="1"/>
  <c r="BM65" i="18"/>
  <c r="CA65" i="18" s="1"/>
  <c r="S56" i="18"/>
  <c r="AD56" i="18" s="1"/>
  <c r="S70" i="18"/>
  <c r="AD70" i="18" s="1"/>
  <c r="BM53" i="18"/>
  <c r="CA53" i="18" s="1"/>
  <c r="BM67" i="18"/>
  <c r="CA67" i="18" s="1"/>
  <c r="AD31" i="18"/>
  <c r="AD32" i="18"/>
  <c r="S73" i="18"/>
  <c r="AD73" i="18" s="1"/>
  <c r="S59" i="18"/>
  <c r="AD59" i="18" s="1"/>
  <c r="S54" i="18"/>
  <c r="AD54" i="18" s="1"/>
  <c r="S68" i="18"/>
  <c r="AD68" i="18" s="1"/>
  <c r="AD45" i="18"/>
  <c r="AD46" i="18"/>
  <c r="S52" i="18"/>
  <c r="AD52" i="18" s="1"/>
  <c r="S66" i="18"/>
  <c r="AD66" i="18" s="1"/>
  <c r="S50" i="18"/>
  <c r="AD50" i="18" s="1"/>
  <c r="S64" i="18"/>
  <c r="BM61" i="18"/>
  <c r="CA61" i="18" s="1"/>
  <c r="BM75" i="18"/>
  <c r="CA75" i="18" s="1"/>
  <c r="BM68" i="18"/>
  <c r="CA68" i="18" s="1"/>
  <c r="BM54" i="18"/>
  <c r="CA54" i="18" s="1"/>
  <c r="BM55" i="18"/>
  <c r="CA55" i="18" s="1"/>
  <c r="BM69" i="18"/>
  <c r="CA69" i="18" s="1"/>
  <c r="CA45" i="18"/>
  <c r="BM50" i="18"/>
  <c r="CA50" i="18" s="1"/>
  <c r="BM64" i="18"/>
  <c r="CA64" i="18" s="1"/>
  <c r="AD49" i="18"/>
  <c r="BM70" i="18"/>
  <c r="CA70" i="18" s="1"/>
  <c r="BM56" i="18"/>
  <c r="CA56" i="18" s="1"/>
  <c r="AX4" i="18"/>
  <c r="S53" i="18"/>
  <c r="AD53" i="18" s="1"/>
  <c r="S67" i="18"/>
  <c r="AD67" i="18" s="1"/>
  <c r="S58" i="18"/>
  <c r="AD58" i="18" s="1"/>
  <c r="S72" i="18"/>
  <c r="AD72" i="18" s="1"/>
  <c r="S76" i="18"/>
  <c r="AD76" i="18" s="1"/>
  <c r="S62" i="18"/>
  <c r="AD62" i="18" s="1"/>
  <c r="BM59" i="18"/>
  <c r="CA59" i="18" s="1"/>
  <c r="BM73" i="18"/>
  <c r="CA73" i="18" s="1"/>
  <c r="BM76" i="18"/>
  <c r="CA76" i="18" s="1"/>
  <c r="BM62" i="18"/>
  <c r="CA62" i="18" s="1"/>
  <c r="BM74" i="18"/>
  <c r="CA74" i="18" s="1"/>
  <c r="BM60" i="18"/>
  <c r="CA60" i="18" s="1"/>
  <c r="BM71" i="18"/>
  <c r="CA71" i="18" s="1"/>
  <c r="BM57" i="18"/>
  <c r="CA57" i="18" s="1"/>
  <c r="AX22" i="18"/>
  <c r="S60" i="18"/>
  <c r="AD60" i="18" s="1"/>
  <c r="S74" i="18"/>
  <c r="AD74" i="18" s="1"/>
  <c r="S61" i="18"/>
  <c r="AD61" i="18" s="1"/>
  <c r="S75" i="18"/>
  <c r="AD75" i="18" s="1"/>
  <c r="S69" i="18"/>
  <c r="AD69" i="18" s="1"/>
  <c r="S55" i="18"/>
  <c r="AD55" i="18" s="1"/>
  <c r="S65" i="18"/>
  <c r="AD65" i="18" s="1"/>
  <c r="S51" i="18"/>
  <c r="AD51" i="18" s="1"/>
  <c r="S57" i="18"/>
  <c r="AD57" i="18" s="1"/>
  <c r="S71" i="18"/>
  <c r="AD71" i="18" s="1"/>
  <c r="BM72" i="18"/>
  <c r="CA72" i="18" s="1"/>
  <c r="BM58" i="18"/>
  <c r="CA58" i="18" s="1"/>
  <c r="BM66" i="18"/>
  <c r="CA66" i="18" s="1"/>
  <c r="BM52" i="18"/>
  <c r="CA52" i="18" s="1"/>
  <c r="AX30" i="18"/>
  <c r="AJ35" i="18"/>
  <c r="AJ74" i="18"/>
  <c r="AJ60" i="18"/>
  <c r="AX25" i="18"/>
  <c r="AJ64" i="18"/>
  <c r="AJ50" i="18"/>
  <c r="AJ65" i="18"/>
  <c r="AJ51" i="18"/>
  <c r="AX10" i="18"/>
  <c r="AJ46" i="18"/>
  <c r="AX18" i="18"/>
  <c r="AJ75" i="18"/>
  <c r="AJ61" i="18"/>
  <c r="AX6" i="18"/>
  <c r="AJ47" i="18"/>
  <c r="AJ71" i="18"/>
  <c r="AJ57" i="18"/>
  <c r="AJ69" i="18"/>
  <c r="AJ55" i="18"/>
  <c r="AX12" i="18"/>
  <c r="AJ76" i="18"/>
  <c r="AJ62" i="18"/>
  <c r="AX5" i="18"/>
  <c r="AJ67" i="18"/>
  <c r="AJ53" i="18"/>
  <c r="AX20" i="18"/>
  <c r="AJ70" i="18"/>
  <c r="AJ56" i="18"/>
  <c r="AX17" i="18"/>
  <c r="AJ66" i="18"/>
  <c r="AJ52" i="18"/>
  <c r="AX11" i="18"/>
  <c r="AJ39" i="18"/>
  <c r="AX8" i="18"/>
  <c r="AJ41" i="18"/>
  <c r="AX28" i="18"/>
  <c r="AJ43" i="18"/>
  <c r="AJ72" i="18"/>
  <c r="AJ58" i="18"/>
  <c r="AX14" i="18"/>
  <c r="AJ34" i="18"/>
  <c r="AX7" i="18"/>
  <c r="AJ73" i="18"/>
  <c r="AJ59" i="18"/>
  <c r="AX27" i="18"/>
  <c r="AX21" i="18"/>
  <c r="AX29" i="18"/>
  <c r="AX16" i="18"/>
  <c r="E31" i="19"/>
  <c r="DP29" i="18"/>
  <c r="DP15" i="18"/>
  <c r="DP17" i="18"/>
  <c r="DP5" i="18"/>
  <c r="DP27" i="18"/>
  <c r="DP30" i="18"/>
  <c r="DP26" i="18"/>
  <c r="DP28" i="18"/>
  <c r="DP24" i="18"/>
  <c r="DP12" i="18"/>
  <c r="DP16" i="18"/>
  <c r="DP19" i="18"/>
  <c r="DP13" i="18"/>
  <c r="DP10" i="18"/>
  <c r="DP7" i="18"/>
  <c r="DP11" i="18"/>
  <c r="DP8" i="18"/>
  <c r="DP2" i="18"/>
  <c r="DP22" i="18"/>
  <c r="DP25" i="18"/>
  <c r="DP21" i="18"/>
  <c r="DP20" i="18"/>
  <c r="DP18" i="18"/>
  <c r="DP23" i="18"/>
  <c r="DP4" i="18"/>
  <c r="CA69" i="38" l="1"/>
  <c r="CA64" i="38"/>
  <c r="CA63" i="38"/>
  <c r="CA71" i="38"/>
  <c r="CA66" i="38"/>
  <c r="CA60" i="38"/>
  <c r="CA72" i="38"/>
  <c r="CA68" i="38"/>
  <c r="AJ45" i="38"/>
  <c r="AJ48" i="38"/>
  <c r="AD48" i="38"/>
  <c r="CA57" i="38"/>
  <c r="CA52" i="38"/>
  <c r="CA58" i="38"/>
  <c r="CA51" i="38"/>
  <c r="CA48" i="38"/>
  <c r="CA54" i="38"/>
  <c r="CA74" i="38"/>
  <c r="CA67" i="38"/>
  <c r="CA76" i="38"/>
  <c r="CA75" i="38"/>
  <c r="AD64" i="38"/>
  <c r="AD63" i="38"/>
  <c r="CA70" i="38"/>
  <c r="CA73" i="38"/>
  <c r="CA53" i="38"/>
  <c r="CA62" i="38"/>
  <c r="AJ63" i="38"/>
  <c r="CA61" i="38"/>
  <c r="CA55" i="38"/>
  <c r="CA56" i="38"/>
  <c r="AJ31" i="38"/>
  <c r="CA50" i="38"/>
  <c r="CA59" i="38"/>
  <c r="CA63" i="18"/>
  <c r="AD64" i="18"/>
  <c r="AD63" i="18"/>
  <c r="AD48" i="18"/>
  <c r="CA48" i="18"/>
  <c r="AJ31" i="18"/>
  <c r="AJ63" i="18"/>
  <c r="AJ45" i="18"/>
  <c r="AJ48" i="18"/>
  <c r="AX3" i="1" l="1"/>
  <c r="AP10" i="36"/>
  <c r="AY3" i="1" l="1"/>
  <c r="BH3" i="36" s="1"/>
  <c r="AS3" i="36"/>
  <c r="AK3" i="36"/>
  <c r="AC3" i="36"/>
  <c r="T3" i="36"/>
  <c r="L3" i="36"/>
  <c r="D3" i="36"/>
  <c r="AW3" i="36"/>
  <c r="AG3" i="36"/>
  <c r="X3" i="36"/>
  <c r="H3" i="36"/>
  <c r="AN3" i="36"/>
  <c r="W3" i="36"/>
  <c r="AU3" i="36"/>
  <c r="AA3" i="36"/>
  <c r="AR3" i="36"/>
  <c r="AJ3" i="36"/>
  <c r="AB3" i="36"/>
  <c r="S3" i="36"/>
  <c r="K3" i="36"/>
  <c r="C3" i="36"/>
  <c r="AO3" i="36"/>
  <c r="P3" i="36"/>
  <c r="AV3" i="36"/>
  <c r="AF3" i="36"/>
  <c r="O3" i="36"/>
  <c r="G3" i="36"/>
  <c r="BJ3" i="36"/>
  <c r="BP3" i="36"/>
  <c r="BG3" i="36"/>
  <c r="BF3" i="36"/>
  <c r="BI3" i="36"/>
  <c r="E3" i="36"/>
  <c r="I3" i="36"/>
  <c r="M3" i="36"/>
  <c r="Q3" i="36"/>
  <c r="U3" i="36"/>
  <c r="Y3" i="36"/>
  <c r="AD3" i="36"/>
  <c r="AH3" i="36"/>
  <c r="AL3" i="36"/>
  <c r="AP3" i="36"/>
  <c r="AT3" i="36"/>
  <c r="AX3" i="36"/>
  <c r="F3" i="36"/>
  <c r="J3" i="36"/>
  <c r="N3" i="36"/>
  <c r="R3" i="36"/>
  <c r="V3" i="36"/>
  <c r="Z3" i="36"/>
  <c r="AE3" i="36"/>
  <c r="AI3" i="36"/>
  <c r="AM3" i="36"/>
  <c r="AQ3" i="36"/>
  <c r="BK3" i="36" l="1"/>
  <c r="BM3" i="36"/>
  <c r="BR3" i="36"/>
  <c r="BB3" i="36"/>
  <c r="BL3" i="36"/>
  <c r="BN3" i="36"/>
  <c r="BQ3" i="36"/>
  <c r="AY3" i="36"/>
  <c r="BO3" i="36"/>
  <c r="AZ3" i="36"/>
  <c r="BT3" i="36"/>
  <c r="BE3" i="36"/>
  <c r="BU3" i="36"/>
  <c r="BC3" i="36"/>
  <c r="BS3" i="36"/>
  <c r="BA3" i="36"/>
  <c r="BV3" i="36"/>
  <c r="BD3" i="36"/>
  <c r="K9" i="3" l="1"/>
  <c r="H15" i="3"/>
  <c r="AK29" i="16" l="1"/>
  <c r="AK25" i="16"/>
  <c r="AK22" i="16"/>
  <c r="AK19" i="16"/>
  <c r="AK13" i="16"/>
  <c r="AK9" i="16"/>
  <c r="AK6" i="16"/>
  <c r="AK3" i="16"/>
  <c r="AK30" i="16"/>
  <c r="AK26" i="16"/>
  <c r="AK23" i="16"/>
  <c r="AK20" i="16"/>
  <c r="AK16" i="16"/>
  <c r="AK10" i="16"/>
  <c r="AK7" i="16"/>
  <c r="AK4" i="16"/>
  <c r="AK27" i="16"/>
  <c r="AK21" i="16"/>
  <c r="AK14" i="16"/>
  <c r="AK28" i="16"/>
  <c r="AK15" i="16"/>
  <c r="AK8" i="16"/>
  <c r="AK2" i="16"/>
  <c r="AK11" i="16"/>
  <c r="AN29" i="16"/>
  <c r="AN26" i="16"/>
  <c r="AN36" i="16" s="1"/>
  <c r="AN25" i="16"/>
  <c r="AN18" i="16"/>
  <c r="AN13" i="16"/>
  <c r="AN33" i="16" s="1"/>
  <c r="AN11" i="16"/>
  <c r="AN39" i="16" s="1"/>
  <c r="AN6" i="16"/>
  <c r="AN47" i="16" s="1"/>
  <c r="AN2" i="16"/>
  <c r="AN38" i="16" s="1"/>
  <c r="AK18" i="16"/>
  <c r="AN30" i="16"/>
  <c r="AN35" i="16" s="1"/>
  <c r="AN27" i="16"/>
  <c r="AN24" i="16"/>
  <c r="AN23" i="16"/>
  <c r="AN49" i="16" s="1"/>
  <c r="AN22" i="16"/>
  <c r="AN37" i="16" s="1"/>
  <c r="AN19" i="16"/>
  <c r="AN42" i="16" s="1"/>
  <c r="AN17" i="16"/>
  <c r="AN15" i="16"/>
  <c r="AN44" i="16" s="1"/>
  <c r="AN14" i="16"/>
  <c r="AN34" i="16" s="1"/>
  <c r="AN7" i="16"/>
  <c r="AN3" i="16"/>
  <c r="AN32" i="16" s="1"/>
  <c r="AK17" i="16"/>
  <c r="AN21" i="16"/>
  <c r="AN9" i="16"/>
  <c r="AN5" i="16"/>
  <c r="AK24" i="16"/>
  <c r="AN20" i="16"/>
  <c r="AN12" i="16"/>
  <c r="AK5" i="16"/>
  <c r="AN10" i="16"/>
  <c r="AN46" i="16" s="1"/>
  <c r="AK12" i="16"/>
  <c r="AN28" i="16"/>
  <c r="AN43" i="16" s="1"/>
  <c r="AN8" i="16"/>
  <c r="AN41" i="16" s="1"/>
  <c r="AN4" i="16"/>
  <c r="AN40" i="16" s="1"/>
  <c r="AN16" i="16"/>
  <c r="AK30" i="37"/>
  <c r="AK29" i="37"/>
  <c r="AK28" i="37"/>
  <c r="AK27" i="37"/>
  <c r="AK26" i="37"/>
  <c r="AK25" i="37"/>
  <c r="AK24" i="37"/>
  <c r="AN30" i="37"/>
  <c r="AN35" i="37" s="1"/>
  <c r="AN28" i="37"/>
  <c r="AN43" i="37" s="1"/>
  <c r="AN26" i="37"/>
  <c r="AN36" i="37" s="1"/>
  <c r="AN24" i="37"/>
  <c r="AN23" i="37"/>
  <c r="AN49" i="37" s="1"/>
  <c r="AK20" i="37"/>
  <c r="AN19" i="37"/>
  <c r="AN42" i="37" s="1"/>
  <c r="AK16" i="37"/>
  <c r="AN15" i="37"/>
  <c r="AN44" i="37" s="1"/>
  <c r="AK12" i="37"/>
  <c r="AN11" i="37"/>
  <c r="AN39" i="37" s="1"/>
  <c r="AK8" i="37"/>
  <c r="AN7" i="37"/>
  <c r="AK4" i="37"/>
  <c r="AN3" i="37"/>
  <c r="AN32" i="37" s="1"/>
  <c r="AK21" i="37"/>
  <c r="AN20" i="37"/>
  <c r="AK13" i="37"/>
  <c r="AN12" i="37"/>
  <c r="AK9" i="37"/>
  <c r="AN8" i="37"/>
  <c r="AN41" i="37" s="1"/>
  <c r="AK5" i="37"/>
  <c r="AK23" i="37"/>
  <c r="AN22" i="37"/>
  <c r="AN37" i="37" s="1"/>
  <c r="AK19" i="37"/>
  <c r="AN18" i="37"/>
  <c r="AK15" i="37"/>
  <c r="AN14" i="37"/>
  <c r="AN34" i="37" s="1"/>
  <c r="AK11" i="37"/>
  <c r="AN10" i="37"/>
  <c r="AN46" i="37" s="1"/>
  <c r="AK7" i="37"/>
  <c r="AN6" i="37"/>
  <c r="AN47" i="37" s="1"/>
  <c r="AK3" i="37"/>
  <c r="AN2" i="37"/>
  <c r="AN38" i="37" s="1"/>
  <c r="AN29" i="37"/>
  <c r="AN27" i="37"/>
  <c r="AN25" i="37"/>
  <c r="AK22" i="37"/>
  <c r="AN21" i="37"/>
  <c r="AK18" i="37"/>
  <c r="AN17" i="37"/>
  <c r="AK14" i="37"/>
  <c r="AN13" i="37"/>
  <c r="AN33" i="37" s="1"/>
  <c r="AK10" i="37"/>
  <c r="AN9" i="37"/>
  <c r="AK6" i="37"/>
  <c r="AN5" i="37"/>
  <c r="AK2" i="37"/>
  <c r="AK17" i="37"/>
  <c r="AN16" i="37"/>
  <c r="AN4" i="37"/>
  <c r="AN40" i="37" s="1"/>
  <c r="CR28" i="38"/>
  <c r="CR26" i="38"/>
  <c r="CR22" i="38"/>
  <c r="CR30" i="38"/>
  <c r="CR29" i="38"/>
  <c r="CR17" i="38"/>
  <c r="CR13" i="38"/>
  <c r="CR10" i="38"/>
  <c r="CR7" i="38"/>
  <c r="CR21" i="38"/>
  <c r="CR20" i="38"/>
  <c r="CR18" i="38"/>
  <c r="CR16" i="38"/>
  <c r="CR15" i="38"/>
  <c r="CR14" i="38"/>
  <c r="CR12" i="38"/>
  <c r="CR4" i="38"/>
  <c r="CR2" i="38"/>
  <c r="DU26" i="38"/>
  <c r="DU36" i="38" s="1"/>
  <c r="EI36" i="38" s="1"/>
  <c r="DU20" i="38"/>
  <c r="DU13" i="38"/>
  <c r="DU33" i="38" s="1"/>
  <c r="EI33" i="38" s="1"/>
  <c r="CR24" i="38"/>
  <c r="CR19" i="38"/>
  <c r="CR11" i="38"/>
  <c r="CR9" i="38"/>
  <c r="CR8" i="38"/>
  <c r="CR3" i="38"/>
  <c r="DU24" i="38"/>
  <c r="DU23" i="38"/>
  <c r="DU49" i="38" s="1"/>
  <c r="DU21" i="38"/>
  <c r="DU15" i="38"/>
  <c r="DU44" i="38" s="1"/>
  <c r="EI44" i="38" s="1"/>
  <c r="DU14" i="38"/>
  <c r="DU34" i="38" s="1"/>
  <c r="EI34" i="38" s="1"/>
  <c r="DU9" i="38"/>
  <c r="DU8" i="38"/>
  <c r="DU41" i="38" s="1"/>
  <c r="EI41" i="38" s="1"/>
  <c r="DU7" i="38"/>
  <c r="CR25" i="38"/>
  <c r="DU30" i="38"/>
  <c r="DU35" i="38" s="1"/>
  <c r="EI35" i="38" s="1"/>
  <c r="DU27" i="38"/>
  <c r="DU19" i="38"/>
  <c r="DU42" i="38" s="1"/>
  <c r="EI42" i="38" s="1"/>
  <c r="DU16" i="38"/>
  <c r="DU10" i="38"/>
  <c r="DU46" i="38" s="1"/>
  <c r="DU4" i="38"/>
  <c r="DU40" i="38" s="1"/>
  <c r="EI40" i="38" s="1"/>
  <c r="CR27" i="38"/>
  <c r="CR5" i="38"/>
  <c r="DU29" i="38"/>
  <c r="DU22" i="38"/>
  <c r="DU37" i="38" s="1"/>
  <c r="EI37" i="38" s="1"/>
  <c r="DU5" i="38"/>
  <c r="DU3" i="38"/>
  <c r="DU32" i="38" s="1"/>
  <c r="DU2" i="38"/>
  <c r="DU38" i="38" s="1"/>
  <c r="EI38" i="38" s="1"/>
  <c r="CR23" i="38"/>
  <c r="CR6" i="38"/>
  <c r="DU28" i="38"/>
  <c r="DU43" i="38" s="1"/>
  <c r="EI43" i="38" s="1"/>
  <c r="DU12" i="38"/>
  <c r="DU6" i="38"/>
  <c r="DU47" i="38" s="1"/>
  <c r="EI47" i="38" s="1"/>
  <c r="DU25" i="38"/>
  <c r="DU18" i="38"/>
  <c r="DU11" i="38"/>
  <c r="DU39" i="38" s="1"/>
  <c r="EI39" i="38" s="1"/>
  <c r="DU17" i="38"/>
  <c r="CR30" i="18"/>
  <c r="CR35" i="18" s="1"/>
  <c r="CR26" i="18"/>
  <c r="CR22" i="18"/>
  <c r="CR18" i="18"/>
  <c r="CR14" i="18"/>
  <c r="CR34" i="18" s="1"/>
  <c r="CR10" i="18"/>
  <c r="CR46" i="18" s="1"/>
  <c r="CR6" i="18"/>
  <c r="CR2" i="18"/>
  <c r="CR38" i="18" s="1"/>
  <c r="CR17" i="18"/>
  <c r="CR13" i="18"/>
  <c r="CR5" i="18"/>
  <c r="CR27" i="18"/>
  <c r="CR23" i="18"/>
  <c r="CR49" i="18" s="1"/>
  <c r="CR3" i="18"/>
  <c r="CR29" i="18"/>
  <c r="CR25" i="18"/>
  <c r="CR21" i="18"/>
  <c r="CR9" i="18"/>
  <c r="CR28" i="18"/>
  <c r="CR24" i="18"/>
  <c r="CR20" i="18"/>
  <c r="CR16" i="18"/>
  <c r="CR12" i="18"/>
  <c r="CR8" i="18"/>
  <c r="CR4" i="18"/>
  <c r="CR19" i="18"/>
  <c r="CR42" i="18" s="1"/>
  <c r="CR15" i="18"/>
  <c r="CR11" i="18"/>
  <c r="CR7" i="18"/>
  <c r="DU27" i="18"/>
  <c r="DU28" i="18"/>
  <c r="DU43" i="18" s="1"/>
  <c r="EI43" i="18" s="1"/>
  <c r="DU26" i="18"/>
  <c r="DU36" i="18" s="1"/>
  <c r="EI36" i="18" s="1"/>
  <c r="DU22" i="18"/>
  <c r="DU37" i="18" s="1"/>
  <c r="EI37" i="18" s="1"/>
  <c r="DU18" i="18"/>
  <c r="DU14" i="18"/>
  <c r="DU34" i="18" s="1"/>
  <c r="EI34" i="18" s="1"/>
  <c r="DU11" i="18"/>
  <c r="DU39" i="18" s="1"/>
  <c r="EI39" i="18" s="1"/>
  <c r="DU7" i="18"/>
  <c r="DU3" i="18"/>
  <c r="DU32" i="18" s="1"/>
  <c r="EI32" i="18" s="1"/>
  <c r="DU30" i="18"/>
  <c r="DU35" i="18" s="1"/>
  <c r="EI35" i="18" s="1"/>
  <c r="DU23" i="18"/>
  <c r="DU49" i="18" s="1"/>
  <c r="EI49" i="18" s="1"/>
  <c r="DU19" i="18"/>
  <c r="DU42" i="18" s="1"/>
  <c r="EI42" i="18" s="1"/>
  <c r="DU15" i="18"/>
  <c r="DU44" i="18" s="1"/>
  <c r="EI44" i="18" s="1"/>
  <c r="DU8" i="18"/>
  <c r="DU41" i="18" s="1"/>
  <c r="EI41" i="18" s="1"/>
  <c r="DU4" i="18"/>
  <c r="DU40" i="18" s="1"/>
  <c r="EI40" i="18" s="1"/>
  <c r="DU24" i="18"/>
  <c r="DU16" i="18"/>
  <c r="DU9" i="18"/>
  <c r="DU21" i="18"/>
  <c r="DU13" i="18"/>
  <c r="DU33" i="18" s="1"/>
  <c r="EI33" i="18" s="1"/>
  <c r="DU6" i="18"/>
  <c r="DU47" i="18" s="1"/>
  <c r="EI47" i="18" s="1"/>
  <c r="DU29" i="18"/>
  <c r="DU12" i="18"/>
  <c r="DU17" i="18"/>
  <c r="DU5" i="18"/>
  <c r="DU25" i="18"/>
  <c r="DU10" i="18"/>
  <c r="DU46" i="18" s="1"/>
  <c r="EI46" i="18" s="1"/>
  <c r="DU20" i="18"/>
  <c r="DU2" i="18"/>
  <c r="DU38" i="18" s="1"/>
  <c r="EI38" i="18" s="1"/>
  <c r="CR43" i="18"/>
  <c r="CR37" i="18"/>
  <c r="CR36" i="18"/>
  <c r="CR44" i="18"/>
  <c r="CR33" i="18"/>
  <c r="CR47" i="18"/>
  <c r="CR40" i="18"/>
  <c r="CR39" i="18"/>
  <c r="CR41" i="18"/>
  <c r="DU67" i="18" l="1"/>
  <c r="EI67" i="18" s="1"/>
  <c r="DU53" i="18"/>
  <c r="EI53" i="18" s="1"/>
  <c r="DU72" i="18"/>
  <c r="EI72" i="18" s="1"/>
  <c r="DU58" i="18"/>
  <c r="EI58" i="18" s="1"/>
  <c r="DU61" i="38"/>
  <c r="EI61" i="38" s="1"/>
  <c r="DU75" i="38"/>
  <c r="EI75" i="38" s="1"/>
  <c r="DU58" i="38"/>
  <c r="EI58" i="38" s="1"/>
  <c r="DU72" i="38"/>
  <c r="EI72" i="38" s="1"/>
  <c r="DF25" i="38"/>
  <c r="CR50" i="38"/>
  <c r="CR64" i="38"/>
  <c r="DU55" i="38"/>
  <c r="EI55" i="38" s="1"/>
  <c r="DU69" i="38"/>
  <c r="EI69" i="38" s="1"/>
  <c r="DF11" i="38"/>
  <c r="CR39" i="38"/>
  <c r="DU70" i="38"/>
  <c r="EI70" i="38" s="1"/>
  <c r="DU56" i="38"/>
  <c r="EI56" i="38" s="1"/>
  <c r="DF12" i="38"/>
  <c r="CR60" i="38"/>
  <c r="CR74" i="38"/>
  <c r="DF18" i="38"/>
  <c r="CR75" i="38"/>
  <c r="CR61" i="38"/>
  <c r="DF10" i="38"/>
  <c r="CR46" i="38"/>
  <c r="DF30" i="38"/>
  <c r="CR35" i="38"/>
  <c r="AR40" i="37"/>
  <c r="AP40" i="37"/>
  <c r="AN67" i="37"/>
  <c r="AN53" i="37"/>
  <c r="AP33" i="37"/>
  <c r="AR33" i="37"/>
  <c r="AN65" i="37"/>
  <c r="AN51" i="37"/>
  <c r="AN71" i="37"/>
  <c r="AN57" i="37"/>
  <c r="AK73" i="37"/>
  <c r="AM73" i="37" s="1"/>
  <c r="AM7" i="37"/>
  <c r="AK59" i="37"/>
  <c r="AM59" i="37" s="1"/>
  <c r="AK44" i="37"/>
  <c r="AM44" i="37" s="1"/>
  <c r="AM15" i="37"/>
  <c r="AK49" i="37"/>
  <c r="AM23" i="37"/>
  <c r="AN60" i="37"/>
  <c r="AN74" i="37"/>
  <c r="AR31" i="37"/>
  <c r="AP32" i="37"/>
  <c r="AR32" i="37"/>
  <c r="AP31" i="37"/>
  <c r="AR39" i="37"/>
  <c r="AP39" i="37"/>
  <c r="AP42" i="37"/>
  <c r="AR42" i="37"/>
  <c r="AR36" i="37"/>
  <c r="AP36" i="37"/>
  <c r="AK50" i="37"/>
  <c r="AM50" i="37" s="1"/>
  <c r="AK64" i="37"/>
  <c r="AM64" i="37" s="1"/>
  <c r="AM25" i="37"/>
  <c r="AK57" i="37"/>
  <c r="AM57" i="37" s="1"/>
  <c r="AM29" i="37"/>
  <c r="AK71" i="37"/>
  <c r="AM71" i="37" s="1"/>
  <c r="AP41" i="16"/>
  <c r="AR41" i="16"/>
  <c r="AM5" i="16"/>
  <c r="AK53" i="16"/>
  <c r="AM53" i="16" s="1"/>
  <c r="AK67" i="16"/>
  <c r="AM67" i="16" s="1"/>
  <c r="AN67" i="16"/>
  <c r="AN53" i="16"/>
  <c r="AR31" i="16"/>
  <c r="AR32" i="16"/>
  <c r="AP31" i="16"/>
  <c r="AP32" i="16"/>
  <c r="AN52" i="16"/>
  <c r="AN66" i="16"/>
  <c r="AN69" i="16"/>
  <c r="AN55" i="16"/>
  <c r="AP38" i="16"/>
  <c r="AR38" i="16"/>
  <c r="AN75" i="16"/>
  <c r="AN61" i="16"/>
  <c r="AK39" i="16"/>
  <c r="AM39" i="16" s="1"/>
  <c r="AM11" i="16"/>
  <c r="AM28" i="16"/>
  <c r="AK43" i="16"/>
  <c r="AM43" i="16" s="1"/>
  <c r="AK40" i="16"/>
  <c r="AM40" i="16" s="1"/>
  <c r="AM4" i="16"/>
  <c r="AM20" i="16"/>
  <c r="AK70" i="16"/>
  <c r="AM70" i="16" s="1"/>
  <c r="AK56" i="16"/>
  <c r="AM56" i="16" s="1"/>
  <c r="AK32" i="16"/>
  <c r="AM3" i="16"/>
  <c r="AK42" i="16"/>
  <c r="AM42" i="16" s="1"/>
  <c r="AM19" i="16"/>
  <c r="DU76" i="18"/>
  <c r="EI76" i="18" s="1"/>
  <c r="DU62" i="18"/>
  <c r="EI62" i="18" s="1"/>
  <c r="DF5" i="38"/>
  <c r="CR53" i="38"/>
  <c r="CR67" i="38"/>
  <c r="DU52" i="18"/>
  <c r="EI52" i="18" s="1"/>
  <c r="DU66" i="18"/>
  <c r="EI66" i="18" s="1"/>
  <c r="DU69" i="18"/>
  <c r="EI69" i="18" s="1"/>
  <c r="DU55" i="18"/>
  <c r="EI55" i="18" s="1"/>
  <c r="DU73" i="18"/>
  <c r="EI73" i="18" s="1"/>
  <c r="DU59" i="18"/>
  <c r="EI59" i="18" s="1"/>
  <c r="DU50" i="38"/>
  <c r="EI50" i="38" s="1"/>
  <c r="DU64" i="38"/>
  <c r="CR47" i="38"/>
  <c r="DF6" i="38"/>
  <c r="DU53" i="38"/>
  <c r="EI53" i="38" s="1"/>
  <c r="DU67" i="38"/>
  <c r="EI67" i="38" s="1"/>
  <c r="CR76" i="38"/>
  <c r="DF27" i="38"/>
  <c r="CR62" i="38"/>
  <c r="DU73" i="38"/>
  <c r="EI73" i="38" s="1"/>
  <c r="DU59" i="38"/>
  <c r="EI59" i="38" s="1"/>
  <c r="DF3" i="38"/>
  <c r="CR32" i="38"/>
  <c r="CR42" i="38"/>
  <c r="DF19" i="38"/>
  <c r="CR34" i="38"/>
  <c r="DF14" i="38"/>
  <c r="DF20" i="38"/>
  <c r="CR70" i="38"/>
  <c r="CR56" i="38"/>
  <c r="DF13" i="38"/>
  <c r="CR33" i="38"/>
  <c r="CR37" i="38"/>
  <c r="DF22" i="38"/>
  <c r="AN58" i="37"/>
  <c r="AN72" i="37"/>
  <c r="AK47" i="37"/>
  <c r="AM47" i="37" s="1"/>
  <c r="AM6" i="37"/>
  <c r="AK34" i="37"/>
  <c r="AM34" i="37" s="1"/>
  <c r="AM14" i="37"/>
  <c r="AK37" i="37"/>
  <c r="AM37" i="37" s="1"/>
  <c r="AM22" i="37"/>
  <c r="AP38" i="37"/>
  <c r="AR38" i="37"/>
  <c r="AP45" i="37"/>
  <c r="AR45" i="37"/>
  <c r="AR46" i="37"/>
  <c r="AP46" i="37"/>
  <c r="AN61" i="37"/>
  <c r="AN75" i="37"/>
  <c r="AK67" i="37"/>
  <c r="AM67" i="37" s="1"/>
  <c r="AK53" i="37"/>
  <c r="AM53" i="37" s="1"/>
  <c r="AM5" i="37"/>
  <c r="AK33" i="37"/>
  <c r="AM33" i="37" s="1"/>
  <c r="AM13" i="37"/>
  <c r="AK40" i="37"/>
  <c r="AM40" i="37" s="1"/>
  <c r="AM4" i="37"/>
  <c r="AK74" i="37"/>
  <c r="AM74" i="37" s="1"/>
  <c r="AK60" i="37"/>
  <c r="AM60" i="37" s="1"/>
  <c r="AM12" i="37"/>
  <c r="AM20" i="37"/>
  <c r="AK70" i="37"/>
  <c r="AM70" i="37" s="1"/>
  <c r="AK56" i="37"/>
  <c r="AM56" i="37" s="1"/>
  <c r="AP43" i="37"/>
  <c r="AR43" i="37"/>
  <c r="AK36" i="37"/>
  <c r="AM36" i="37" s="1"/>
  <c r="AM26" i="37"/>
  <c r="AK35" i="37"/>
  <c r="AM35" i="37" s="1"/>
  <c r="AM30" i="37"/>
  <c r="AP43" i="16"/>
  <c r="AR43" i="16"/>
  <c r="AN60" i="16"/>
  <c r="AN74" i="16"/>
  <c r="AN54" i="16"/>
  <c r="AN68" i="16"/>
  <c r="AN59" i="16"/>
  <c r="AN73" i="16"/>
  <c r="AR42" i="16"/>
  <c r="AP42" i="16"/>
  <c r="AN62" i="16"/>
  <c r="AN76" i="16"/>
  <c r="AP47" i="16"/>
  <c r="AR47" i="16"/>
  <c r="AN50" i="16"/>
  <c r="AN64" i="16"/>
  <c r="AK38" i="16"/>
  <c r="AM38" i="16" s="1"/>
  <c r="AM2" i="16"/>
  <c r="AK34" i="16"/>
  <c r="AM34" i="16" s="1"/>
  <c r="AM14" i="16"/>
  <c r="AK59" i="16"/>
  <c r="AM59" i="16" s="1"/>
  <c r="AM7" i="16"/>
  <c r="AK73" i="16"/>
  <c r="AM73" i="16" s="1"/>
  <c r="AK49" i="16"/>
  <c r="AM23" i="16"/>
  <c r="AK47" i="16"/>
  <c r="AM47" i="16" s="1"/>
  <c r="AM6" i="16"/>
  <c r="AK37" i="16"/>
  <c r="AM37" i="16" s="1"/>
  <c r="AM22" i="16"/>
  <c r="DU75" i="18"/>
  <c r="EI75" i="18" s="1"/>
  <c r="DU61" i="18"/>
  <c r="EI61" i="18" s="1"/>
  <c r="EI32" i="38"/>
  <c r="EI31" i="38"/>
  <c r="CR49" i="38"/>
  <c r="DF23" i="38"/>
  <c r="DU76" i="38"/>
  <c r="EI76" i="38" s="1"/>
  <c r="DU62" i="38"/>
  <c r="EI62" i="38" s="1"/>
  <c r="DU65" i="38"/>
  <c r="EI65" i="38" s="1"/>
  <c r="DU51" i="38"/>
  <c r="EI51" i="38" s="1"/>
  <c r="CR41" i="38"/>
  <c r="DF8" i="38"/>
  <c r="CR69" i="38"/>
  <c r="DF24" i="38"/>
  <c r="CR55" i="38"/>
  <c r="DF2" i="38"/>
  <c r="CR38" i="38"/>
  <c r="CR44" i="38"/>
  <c r="DF15" i="38"/>
  <c r="DF21" i="38"/>
  <c r="CR65" i="38"/>
  <c r="CR51" i="38"/>
  <c r="DF17" i="38"/>
  <c r="CR66" i="38"/>
  <c r="CR52" i="38"/>
  <c r="CR36" i="38"/>
  <c r="DF26" i="38"/>
  <c r="AM17" i="37"/>
  <c r="AK66" i="37"/>
  <c r="AK52" i="37"/>
  <c r="AM52" i="37" s="1"/>
  <c r="AN68" i="37"/>
  <c r="AN54" i="37"/>
  <c r="AN66" i="37"/>
  <c r="AN52" i="37"/>
  <c r="AP48" i="37" s="1"/>
  <c r="AN64" i="37"/>
  <c r="AN50" i="37"/>
  <c r="AM3" i="37"/>
  <c r="AK32" i="37"/>
  <c r="AK39" i="37"/>
  <c r="AM39" i="37" s="1"/>
  <c r="AM11" i="37"/>
  <c r="AK42" i="37"/>
  <c r="AM42" i="37" s="1"/>
  <c r="AM19" i="37"/>
  <c r="AP41" i="37"/>
  <c r="AR41" i="37"/>
  <c r="AN56" i="37"/>
  <c r="AN70" i="37"/>
  <c r="AN59" i="37"/>
  <c r="AN73" i="37"/>
  <c r="AR44" i="37"/>
  <c r="AP44" i="37"/>
  <c r="AP49" i="37"/>
  <c r="AR49" i="37"/>
  <c r="AR35" i="37"/>
  <c r="AP35" i="37"/>
  <c r="AK62" i="37"/>
  <c r="AM62" i="37" s="1"/>
  <c r="AM27" i="37"/>
  <c r="AK76" i="37"/>
  <c r="AM76" i="37" s="1"/>
  <c r="AN72" i="16"/>
  <c r="AN58" i="16"/>
  <c r="AM12" i="16"/>
  <c r="AK74" i="16"/>
  <c r="AM74" i="16" s="1"/>
  <c r="AK60" i="16"/>
  <c r="AM60" i="16" s="1"/>
  <c r="AN56" i="16"/>
  <c r="AN70" i="16"/>
  <c r="AN65" i="16"/>
  <c r="AN51" i="16"/>
  <c r="AR34" i="16"/>
  <c r="AP34" i="16"/>
  <c r="AR37" i="16"/>
  <c r="AP37" i="16"/>
  <c r="AR35" i="16"/>
  <c r="AP35" i="16"/>
  <c r="AR39" i="16"/>
  <c r="AP39" i="16"/>
  <c r="AP36" i="16"/>
  <c r="AR36" i="16"/>
  <c r="AK41" i="16"/>
  <c r="AM41" i="16" s="1"/>
  <c r="AM8" i="16"/>
  <c r="AM21" i="16"/>
  <c r="AK65" i="16"/>
  <c r="AM65" i="16" s="1"/>
  <c r="AK51" i="16"/>
  <c r="AM51" i="16" s="1"/>
  <c r="AK46" i="16"/>
  <c r="AM10" i="16"/>
  <c r="AK36" i="16"/>
  <c r="AM36" i="16" s="1"/>
  <c r="AM26" i="16"/>
  <c r="AM9" i="16"/>
  <c r="AK54" i="16"/>
  <c r="AM54" i="16" s="1"/>
  <c r="AK68" i="16"/>
  <c r="AM68" i="16" s="1"/>
  <c r="AM25" i="16"/>
  <c r="AK64" i="16"/>
  <c r="AM64" i="16" s="1"/>
  <c r="AK50" i="16"/>
  <c r="AM50" i="16" s="1"/>
  <c r="DU56" i="18"/>
  <c r="EI56" i="18" s="1"/>
  <c r="DU70" i="18"/>
  <c r="EI70" i="18" s="1"/>
  <c r="DU60" i="18"/>
  <c r="EI60" i="18" s="1"/>
  <c r="DU74" i="18"/>
  <c r="EI74" i="18" s="1"/>
  <c r="DU65" i="18"/>
  <c r="EI65" i="18" s="1"/>
  <c r="DU51" i="18"/>
  <c r="EI51" i="18" s="1"/>
  <c r="DU66" i="38"/>
  <c r="EI66" i="38" s="1"/>
  <c r="DU52" i="38"/>
  <c r="EI52" i="38" s="1"/>
  <c r="DU64" i="18"/>
  <c r="EI64" i="18" s="1"/>
  <c r="DU50" i="18"/>
  <c r="EI50" i="18" s="1"/>
  <c r="DU57" i="18"/>
  <c r="EI57" i="18" s="1"/>
  <c r="DU71" i="18"/>
  <c r="EI71" i="18" s="1"/>
  <c r="DU68" i="18"/>
  <c r="EI68" i="18" s="1"/>
  <c r="DU54" i="18"/>
  <c r="EI54" i="18" s="1"/>
  <c r="DU60" i="38"/>
  <c r="EI60" i="38" s="1"/>
  <c r="DU74" i="38"/>
  <c r="EI74" i="38" s="1"/>
  <c r="DU57" i="38"/>
  <c r="EI57" i="38" s="1"/>
  <c r="DU71" i="38"/>
  <c r="EI71" i="38" s="1"/>
  <c r="EI46" i="38"/>
  <c r="EI45" i="38"/>
  <c r="DU68" i="38"/>
  <c r="EI68" i="38" s="1"/>
  <c r="DU54" i="38"/>
  <c r="EI54" i="38" s="1"/>
  <c r="EI49" i="38"/>
  <c r="DF9" i="38"/>
  <c r="CR68" i="38"/>
  <c r="CR54" i="38"/>
  <c r="CR40" i="38"/>
  <c r="DF4" i="38"/>
  <c r="DF16" i="38"/>
  <c r="CR72" i="38"/>
  <c r="CR58" i="38"/>
  <c r="DF7" i="38"/>
  <c r="CR73" i="38"/>
  <c r="CR59" i="38"/>
  <c r="DF29" i="38"/>
  <c r="CR57" i="38"/>
  <c r="CR71" i="38"/>
  <c r="CR43" i="38"/>
  <c r="DF28" i="38"/>
  <c r="AK38" i="37"/>
  <c r="AM38" i="37" s="1"/>
  <c r="AM2" i="37"/>
  <c r="AK46" i="37"/>
  <c r="AM10" i="37"/>
  <c r="AM18" i="37"/>
  <c r="AK75" i="37"/>
  <c r="AM75" i="37" s="1"/>
  <c r="AK61" i="37"/>
  <c r="AM61" i="37" s="1"/>
  <c r="AN76" i="37"/>
  <c r="AN62" i="37"/>
  <c r="AR47" i="37"/>
  <c r="AP47" i="37"/>
  <c r="AR34" i="37"/>
  <c r="AP34" i="37"/>
  <c r="AR37" i="37"/>
  <c r="AP37" i="37"/>
  <c r="AK68" i="37"/>
  <c r="AM68" i="37" s="1"/>
  <c r="AM9" i="37"/>
  <c r="AK54" i="37"/>
  <c r="AM54" i="37" s="1"/>
  <c r="AM21" i="37"/>
  <c r="AK65" i="37"/>
  <c r="AM65" i="37" s="1"/>
  <c r="AK51" i="37"/>
  <c r="AM51" i="37" s="1"/>
  <c r="AK41" i="37"/>
  <c r="AM41" i="37" s="1"/>
  <c r="AM8" i="37"/>
  <c r="AK72" i="37"/>
  <c r="AM72" i="37" s="1"/>
  <c r="AM16" i="37"/>
  <c r="AK58" i="37"/>
  <c r="AM58" i="37" s="1"/>
  <c r="AN69" i="37"/>
  <c r="AN55" i="37"/>
  <c r="AM24" i="37"/>
  <c r="AK69" i="37"/>
  <c r="AM69" i="37" s="1"/>
  <c r="AK55" i="37"/>
  <c r="AM55" i="37" s="1"/>
  <c r="AK43" i="37"/>
  <c r="AM43" i="37" s="1"/>
  <c r="AM28" i="37"/>
  <c r="AP40" i="16"/>
  <c r="AR40" i="16"/>
  <c r="AP46" i="16"/>
  <c r="AP45" i="16"/>
  <c r="AR46" i="16"/>
  <c r="AR45" i="16"/>
  <c r="AM24" i="16"/>
  <c r="AK55" i="16"/>
  <c r="AM55" i="16" s="1"/>
  <c r="AK69" i="16"/>
  <c r="AM69" i="16" s="1"/>
  <c r="AM17" i="16"/>
  <c r="AK52" i="16"/>
  <c r="AM52" i="16" s="1"/>
  <c r="AK66" i="16"/>
  <c r="AP44" i="16"/>
  <c r="AR44" i="16"/>
  <c r="AR49" i="16"/>
  <c r="AP49" i="16"/>
  <c r="AK61" i="16"/>
  <c r="AM61" i="16" s="1"/>
  <c r="AK75" i="16"/>
  <c r="AM75" i="16" s="1"/>
  <c r="AM18" i="16"/>
  <c r="AP33" i="16"/>
  <c r="AR33" i="16"/>
  <c r="AN71" i="16"/>
  <c r="AN57" i="16"/>
  <c r="AK44" i="16"/>
  <c r="AM44" i="16" s="1"/>
  <c r="AM15" i="16"/>
  <c r="AM27" i="16"/>
  <c r="AK62" i="16"/>
  <c r="AM62" i="16" s="1"/>
  <c r="AK76" i="16"/>
  <c r="AM76" i="16" s="1"/>
  <c r="AM16" i="16"/>
  <c r="AK58" i="16"/>
  <c r="AM58" i="16" s="1"/>
  <c r="AK72" i="16"/>
  <c r="AM72" i="16" s="1"/>
  <c r="AK35" i="16"/>
  <c r="AM35" i="16" s="1"/>
  <c r="AM30" i="16"/>
  <c r="AM13" i="16"/>
  <c r="AK33" i="16"/>
  <c r="AM33" i="16" s="1"/>
  <c r="AM29" i="16"/>
  <c r="AK71" i="16"/>
  <c r="AM71" i="16" s="1"/>
  <c r="AK57" i="16"/>
  <c r="AM57" i="16" s="1"/>
  <c r="EI31" i="18"/>
  <c r="EI45" i="18"/>
  <c r="CR45" i="18"/>
  <c r="CR68" i="18"/>
  <c r="CR54" i="18"/>
  <c r="CR72" i="18"/>
  <c r="CR58" i="18"/>
  <c r="CR76" i="18"/>
  <c r="CR62" i="18"/>
  <c r="CR71" i="18"/>
  <c r="CR57" i="18"/>
  <c r="CR66" i="18"/>
  <c r="CR52" i="18"/>
  <c r="CR69" i="18"/>
  <c r="CR55" i="18"/>
  <c r="CR74" i="18"/>
  <c r="CR60" i="18"/>
  <c r="CR65" i="18"/>
  <c r="CR51" i="18"/>
  <c r="CR67" i="18"/>
  <c r="CR53" i="18"/>
  <c r="CR73" i="18"/>
  <c r="CR59" i="18"/>
  <c r="CR64" i="18"/>
  <c r="CR50" i="18"/>
  <c r="CR75" i="18"/>
  <c r="CR61" i="18"/>
  <c r="CR70" i="18"/>
  <c r="CR56" i="18"/>
  <c r="DF8" i="18"/>
  <c r="DF6" i="18"/>
  <c r="DF24" i="18"/>
  <c r="DF12" i="18"/>
  <c r="DF4" i="18"/>
  <c r="DF7" i="18"/>
  <c r="DF20" i="18"/>
  <c r="DF25" i="18"/>
  <c r="DF16" i="18"/>
  <c r="DF23" i="18"/>
  <c r="DF28" i="18"/>
  <c r="DF30" i="18"/>
  <c r="DF5" i="18"/>
  <c r="DF2" i="18"/>
  <c r="DF10" i="18"/>
  <c r="DF14" i="18"/>
  <c r="DF13" i="18"/>
  <c r="DF19" i="18"/>
  <c r="DF15" i="18"/>
  <c r="DF18" i="18"/>
  <c r="DF21" i="18"/>
  <c r="DF27" i="18"/>
  <c r="DF11" i="18"/>
  <c r="DF9" i="18"/>
  <c r="DF17" i="18"/>
  <c r="DF26" i="18"/>
  <c r="DF22" i="18"/>
  <c r="DF29" i="18"/>
  <c r="AR62" i="37" l="1"/>
  <c r="AP62" i="37"/>
  <c r="AR70" i="37"/>
  <c r="AP70" i="37"/>
  <c r="AR59" i="16"/>
  <c r="AP59" i="16"/>
  <c r="AP72" i="37"/>
  <c r="AR72" i="37"/>
  <c r="EI64" i="38"/>
  <c r="EI63" i="38"/>
  <c r="AM32" i="16"/>
  <c r="AM31" i="16" s="1"/>
  <c r="AK31" i="16"/>
  <c r="AR66" i="16"/>
  <c r="AP66" i="16"/>
  <c r="AM49" i="37"/>
  <c r="AM48" i="37" s="1"/>
  <c r="AK48" i="37"/>
  <c r="AR51" i="37"/>
  <c r="AP51" i="37"/>
  <c r="AR53" i="37"/>
  <c r="AP53" i="37"/>
  <c r="CR63" i="38"/>
  <c r="AR57" i="16"/>
  <c r="AP57" i="16"/>
  <c r="AR59" i="37"/>
  <c r="AP59" i="37"/>
  <c r="AP64" i="37"/>
  <c r="AR63" i="37"/>
  <c r="AR64" i="37"/>
  <c r="AP63" i="37"/>
  <c r="AP76" i="16"/>
  <c r="AR76" i="16"/>
  <c r="AP74" i="16"/>
  <c r="AR74" i="16"/>
  <c r="AR75" i="16"/>
  <c r="AP75" i="16"/>
  <c r="AP69" i="16"/>
  <c r="AR69" i="16"/>
  <c r="AP71" i="37"/>
  <c r="AR71" i="37"/>
  <c r="AP71" i="16"/>
  <c r="AR71" i="16"/>
  <c r="AM66" i="16"/>
  <c r="AK63" i="16"/>
  <c r="AP70" i="16"/>
  <c r="AR70" i="16"/>
  <c r="AR48" i="37"/>
  <c r="AM32" i="37"/>
  <c r="AM31" i="37" s="1"/>
  <c r="AK31" i="37"/>
  <c r="AP62" i="16"/>
  <c r="AR62" i="16"/>
  <c r="EI48" i="18"/>
  <c r="AP55" i="37"/>
  <c r="AR55" i="37"/>
  <c r="AR76" i="37"/>
  <c r="AP76" i="37"/>
  <c r="EI48" i="38"/>
  <c r="AR56" i="16"/>
  <c r="AP56" i="16"/>
  <c r="AP58" i="16"/>
  <c r="AR58" i="16"/>
  <c r="AR56" i="37"/>
  <c r="AP56" i="37"/>
  <c r="AP66" i="37"/>
  <c r="AR66" i="37"/>
  <c r="AM66" i="37"/>
  <c r="AK63" i="37"/>
  <c r="CR48" i="38"/>
  <c r="AR68" i="16"/>
  <c r="AP68" i="16"/>
  <c r="AR58" i="37"/>
  <c r="AP58" i="37"/>
  <c r="CR31" i="38"/>
  <c r="AR52" i="16"/>
  <c r="AP52" i="16"/>
  <c r="AM63" i="37"/>
  <c r="AR74" i="37"/>
  <c r="AP74" i="37"/>
  <c r="AP65" i="37"/>
  <c r="AR65" i="37"/>
  <c r="AR67" i="37"/>
  <c r="AP67" i="37"/>
  <c r="AR48" i="16"/>
  <c r="AP65" i="16"/>
  <c r="AR65" i="16"/>
  <c r="AR68" i="37"/>
  <c r="AP68" i="37"/>
  <c r="AM49" i="16"/>
  <c r="AM48" i="16" s="1"/>
  <c r="AK48" i="16"/>
  <c r="AP64" i="16"/>
  <c r="AR63" i="16"/>
  <c r="AP63" i="16"/>
  <c r="AR64" i="16"/>
  <c r="AP73" i="16"/>
  <c r="AR73" i="16"/>
  <c r="AR61" i="37"/>
  <c r="AP61" i="37"/>
  <c r="AR67" i="16"/>
  <c r="AP67" i="16"/>
  <c r="AR52" i="37"/>
  <c r="AP52" i="37"/>
  <c r="AP50" i="16"/>
  <c r="AR50" i="16"/>
  <c r="AP60" i="16"/>
  <c r="AR60" i="16"/>
  <c r="AP48" i="16"/>
  <c r="AP69" i="37"/>
  <c r="AR69" i="37"/>
  <c r="AM46" i="37"/>
  <c r="AM45" i="37" s="1"/>
  <c r="AK45" i="37"/>
  <c r="AM63" i="16"/>
  <c r="AM46" i="16"/>
  <c r="AM45" i="16" s="1"/>
  <c r="AK45" i="16"/>
  <c r="AR51" i="16"/>
  <c r="AP51" i="16"/>
  <c r="AP72" i="16"/>
  <c r="AR72" i="16"/>
  <c r="AP73" i="37"/>
  <c r="AR73" i="37"/>
  <c r="AR50" i="37"/>
  <c r="AP50" i="37"/>
  <c r="AR54" i="37"/>
  <c r="AP54" i="37"/>
  <c r="AR54" i="16"/>
  <c r="AP54" i="16"/>
  <c r="AR75" i="37"/>
  <c r="AP75" i="37"/>
  <c r="AP61" i="16"/>
  <c r="AR61" i="16"/>
  <c r="AR55" i="16"/>
  <c r="AP55" i="16"/>
  <c r="AP53" i="16"/>
  <c r="AR53" i="16"/>
  <c r="AP60" i="37"/>
  <c r="AR60" i="37"/>
  <c r="AP57" i="37"/>
  <c r="AR57" i="37"/>
  <c r="CR45" i="38"/>
  <c r="EI63" i="18"/>
  <c r="CR48" i="18"/>
  <c r="CR63" i="18"/>
  <c r="C32" i="5" l="1"/>
  <c r="C76" i="5"/>
  <c r="C62" i="5"/>
  <c r="C49" i="5"/>
  <c r="C33" i="5"/>
  <c r="C40" i="5"/>
  <c r="C61" i="5"/>
  <c r="C75" i="5"/>
  <c r="C36" i="5"/>
  <c r="C68" i="5"/>
  <c r="C54" i="5"/>
  <c r="C59" i="5"/>
  <c r="C73" i="5"/>
  <c r="C42" i="5"/>
  <c r="C47" i="5"/>
  <c r="C74" i="5"/>
  <c r="C60" i="5"/>
  <c r="C70" i="5"/>
  <c r="C56" i="5"/>
  <c r="C43" i="5"/>
  <c r="C44" i="5"/>
  <c r="C53" i="5"/>
  <c r="C67" i="5"/>
  <c r="C64" i="5"/>
  <c r="C50" i="5"/>
  <c r="C41" i="5"/>
  <c r="C34" i="5"/>
  <c r="C37" i="5"/>
  <c r="C35" i="5"/>
  <c r="C38" i="5"/>
  <c r="C51" i="5"/>
  <c r="C65" i="5"/>
  <c r="C66" i="5"/>
  <c r="C52" i="5"/>
  <c r="C39" i="5"/>
  <c r="C71" i="5"/>
  <c r="C57" i="5"/>
  <c r="C46" i="5"/>
  <c r="C72" i="5"/>
  <c r="C58" i="5"/>
  <c r="C69" i="5"/>
  <c r="C55" i="5"/>
  <c r="C63" i="5" l="1"/>
  <c r="C45" i="5"/>
  <c r="C48" i="5"/>
  <c r="C31" i="5"/>
  <c r="B26" i="3"/>
  <c r="B40" i="3" s="1"/>
  <c r="H8" i="3"/>
  <c r="AP30" i="36"/>
  <c r="AP29" i="36"/>
  <c r="AP28" i="36"/>
  <c r="AP27" i="36"/>
  <c r="AP26"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U25" i="36"/>
  <c r="T25" i="36"/>
  <c r="S25" i="36"/>
  <c r="R25" i="36"/>
  <c r="Q25" i="36"/>
  <c r="P25" i="36"/>
  <c r="O25" i="36"/>
  <c r="N25" i="36"/>
  <c r="M25" i="36"/>
  <c r="L25" i="36"/>
  <c r="K25" i="36"/>
  <c r="J25" i="36"/>
  <c r="I25" i="36"/>
  <c r="H25" i="36"/>
  <c r="G25" i="36"/>
  <c r="F25" i="36"/>
  <c r="E25" i="36"/>
  <c r="D25" i="36"/>
  <c r="C25"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U24" i="36"/>
  <c r="T24" i="36"/>
  <c r="S24" i="36"/>
  <c r="R24" i="36"/>
  <c r="Q24" i="36"/>
  <c r="P24" i="36"/>
  <c r="O24" i="36"/>
  <c r="N24" i="36"/>
  <c r="M24" i="36"/>
  <c r="L24" i="36"/>
  <c r="K24" i="36"/>
  <c r="J24" i="36"/>
  <c r="I24" i="36"/>
  <c r="H24" i="36"/>
  <c r="G24" i="36"/>
  <c r="F24" i="36"/>
  <c r="E24" i="36"/>
  <c r="D24" i="36"/>
  <c r="C24" i="36"/>
  <c r="AP22" i="36"/>
  <c r="AP21" i="36"/>
  <c r="AP20" i="36"/>
  <c r="AP19" i="36"/>
  <c r="AP18" i="36"/>
  <c r="AP17" i="36"/>
  <c r="AP16" i="36"/>
  <c r="AP15" i="36"/>
  <c r="AP14" i="36"/>
  <c r="AP13" i="36"/>
  <c r="AP12" i="36"/>
  <c r="AP11" i="36"/>
  <c r="AP9" i="36"/>
  <c r="AP8" i="36"/>
  <c r="AP7" i="36"/>
  <c r="AP6" i="36"/>
  <c r="AP5" i="36"/>
  <c r="AP4" i="36"/>
  <c r="AP2" i="36"/>
  <c r="AC27" i="16" l="1"/>
  <c r="AC21" i="16"/>
  <c r="AC17" i="16"/>
  <c r="AC14" i="16"/>
  <c r="AC11" i="16"/>
  <c r="AC5" i="16"/>
  <c r="AC28" i="16"/>
  <c r="AC24" i="16"/>
  <c r="AC18" i="16"/>
  <c r="AC15" i="16"/>
  <c r="AC12" i="16"/>
  <c r="AC8" i="16"/>
  <c r="AC41" i="16" s="1"/>
  <c r="AC2" i="16"/>
  <c r="AC25" i="16"/>
  <c r="AC19" i="16"/>
  <c r="AC13" i="16"/>
  <c r="AC6" i="16"/>
  <c r="D29" i="16"/>
  <c r="AC26" i="16"/>
  <c r="AC20" i="16"/>
  <c r="D9" i="16"/>
  <c r="AC7" i="16"/>
  <c r="AC9" i="16"/>
  <c r="AF28" i="16"/>
  <c r="AF43" i="16" s="1"/>
  <c r="H27" i="16"/>
  <c r="AF26" i="16"/>
  <c r="AF36" i="16" s="1"/>
  <c r="AF24" i="16"/>
  <c r="AF23" i="16"/>
  <c r="AF49" i="16" s="1"/>
  <c r="AF17" i="16"/>
  <c r="H15" i="16"/>
  <c r="AF11" i="16"/>
  <c r="AF39" i="16" s="1"/>
  <c r="AF6" i="16"/>
  <c r="AF47" i="16" s="1"/>
  <c r="AC30" i="16"/>
  <c r="AC23" i="16"/>
  <c r="AC16" i="16"/>
  <c r="AC4" i="16"/>
  <c r="AC40" i="16" s="1"/>
  <c r="AF30" i="16"/>
  <c r="AF35" i="16" s="1"/>
  <c r="AF22" i="16"/>
  <c r="AF37" i="16" s="1"/>
  <c r="AF21" i="16"/>
  <c r="AF19" i="16"/>
  <c r="AF42" i="16" s="1"/>
  <c r="AF16" i="16"/>
  <c r="AF15" i="16"/>
  <c r="AF44" i="16" s="1"/>
  <c r="AF14" i="16"/>
  <c r="AF34" i="16" s="1"/>
  <c r="AF13" i="16"/>
  <c r="AF33" i="16" s="1"/>
  <c r="AF12" i="16"/>
  <c r="AF9" i="16"/>
  <c r="AF5" i="16"/>
  <c r="AF3" i="16"/>
  <c r="AF32" i="16" s="1"/>
  <c r="H3" i="16"/>
  <c r="H32" i="16" s="1"/>
  <c r="AC3" i="16"/>
  <c r="H23" i="16"/>
  <c r="H49" i="16" s="1"/>
  <c r="D19" i="16"/>
  <c r="D42" i="16" s="1"/>
  <c r="AC10" i="16"/>
  <c r="H13" i="16"/>
  <c r="AF10" i="16"/>
  <c r="AF46" i="16" s="1"/>
  <c r="AF8" i="16"/>
  <c r="AF41" i="16" s="1"/>
  <c r="AF7" i="16"/>
  <c r="AF4" i="16"/>
  <c r="AF40" i="16" s="1"/>
  <c r="AF2" i="16"/>
  <c r="AF38" i="16" s="1"/>
  <c r="AC29" i="16"/>
  <c r="D24" i="16"/>
  <c r="AC22" i="16"/>
  <c r="AF29" i="16"/>
  <c r="AF27" i="16"/>
  <c r="AF25" i="16"/>
  <c r="AF20" i="16"/>
  <c r="H9" i="16"/>
  <c r="AF18" i="16"/>
  <c r="H21" i="16"/>
  <c r="D27" i="37"/>
  <c r="D23" i="37"/>
  <c r="D49" i="37" s="1"/>
  <c r="D19" i="37"/>
  <c r="D42" i="37" s="1"/>
  <c r="D15" i="37"/>
  <c r="D44" i="37" s="1"/>
  <c r="D11" i="37"/>
  <c r="D39" i="37" s="1"/>
  <c r="D7" i="37"/>
  <c r="D3" i="37"/>
  <c r="D32" i="37" s="1"/>
  <c r="AC30" i="37"/>
  <c r="AC29" i="37"/>
  <c r="AC28" i="37"/>
  <c r="AC27" i="37"/>
  <c r="AC26" i="37"/>
  <c r="AC25" i="37"/>
  <c r="AF29" i="37"/>
  <c r="AF27" i="37"/>
  <c r="AF25" i="37"/>
  <c r="AC23" i="37"/>
  <c r="AF22" i="37"/>
  <c r="AF37" i="37" s="1"/>
  <c r="AC19" i="37"/>
  <c r="AF18" i="37"/>
  <c r="AC15" i="37"/>
  <c r="AF14" i="37"/>
  <c r="AF34" i="37" s="1"/>
  <c r="H12" i="37"/>
  <c r="AC11" i="37"/>
  <c r="AF10" i="37"/>
  <c r="AF46" i="37" s="1"/>
  <c r="AC7" i="37"/>
  <c r="AF6" i="37"/>
  <c r="AF47" i="37" s="1"/>
  <c r="AC3" i="37"/>
  <c r="AF2" i="37"/>
  <c r="AF38" i="37" s="1"/>
  <c r="AC24" i="37"/>
  <c r="AF23" i="37"/>
  <c r="AF49" i="37" s="1"/>
  <c r="AC16" i="37"/>
  <c r="AF15" i="37"/>
  <c r="AF44" i="37" s="1"/>
  <c r="AC4" i="37"/>
  <c r="AF3" i="37"/>
  <c r="AF32" i="37" s="1"/>
  <c r="H25" i="37"/>
  <c r="AC22" i="37"/>
  <c r="AF21" i="37"/>
  <c r="H19" i="37"/>
  <c r="H42" i="37" s="1"/>
  <c r="K42" i="37" s="1"/>
  <c r="AC18" i="37"/>
  <c r="AF17" i="37"/>
  <c r="AC14" i="37"/>
  <c r="AF13" i="37"/>
  <c r="AF33" i="37" s="1"/>
  <c r="AC10" i="37"/>
  <c r="AF9" i="37"/>
  <c r="AC6" i="37"/>
  <c r="AF5" i="37"/>
  <c r="H3" i="37"/>
  <c r="H32" i="37" s="1"/>
  <c r="AC2" i="37"/>
  <c r="AF30" i="37"/>
  <c r="AF35" i="37" s="1"/>
  <c r="AF28" i="37"/>
  <c r="AF43" i="37" s="1"/>
  <c r="AF26" i="37"/>
  <c r="AF36" i="37" s="1"/>
  <c r="AF24" i="37"/>
  <c r="AC21" i="37"/>
  <c r="AF20" i="37"/>
  <c r="AC17" i="37"/>
  <c r="AF16" i="37"/>
  <c r="H14" i="37"/>
  <c r="H34" i="37" s="1"/>
  <c r="K34" i="37" s="1"/>
  <c r="AC13" i="37"/>
  <c r="AF12" i="37"/>
  <c r="AC9" i="37"/>
  <c r="AF8" i="37"/>
  <c r="AF41" i="37" s="1"/>
  <c r="AC5" i="37"/>
  <c r="AF4" i="37"/>
  <c r="AF40" i="37" s="1"/>
  <c r="AC20" i="37"/>
  <c r="AF19" i="37"/>
  <c r="AF42" i="37" s="1"/>
  <c r="AC12" i="37"/>
  <c r="AF11" i="37"/>
  <c r="AF39" i="37" s="1"/>
  <c r="AC8" i="37"/>
  <c r="AF7" i="37"/>
  <c r="H5" i="37"/>
  <c r="C30" i="45"/>
  <c r="C26" i="45"/>
  <c r="C22" i="45"/>
  <c r="C18" i="45"/>
  <c r="C14" i="45"/>
  <c r="C10" i="45"/>
  <c r="C6" i="45"/>
  <c r="C2" i="45"/>
  <c r="C27" i="20"/>
  <c r="C23" i="20"/>
  <c r="C19" i="20"/>
  <c r="C15" i="20"/>
  <c r="C11" i="20"/>
  <c r="C7" i="20"/>
  <c r="C3" i="20"/>
  <c r="C29" i="45"/>
  <c r="C25" i="45"/>
  <c r="C21" i="45"/>
  <c r="C17" i="45"/>
  <c r="C13" i="45"/>
  <c r="C9" i="45"/>
  <c r="C5" i="45"/>
  <c r="C30" i="20"/>
  <c r="C26" i="20"/>
  <c r="C22" i="20"/>
  <c r="C18" i="20"/>
  <c r="C14" i="20"/>
  <c r="C10" i="20"/>
  <c r="C6" i="20"/>
  <c r="C2" i="20"/>
  <c r="C28" i="45"/>
  <c r="C20" i="45"/>
  <c r="C12" i="45"/>
  <c r="C4" i="45"/>
  <c r="C25" i="20"/>
  <c r="C17" i="20"/>
  <c r="C9" i="20"/>
  <c r="C27" i="45"/>
  <c r="C19" i="45"/>
  <c r="C11" i="45"/>
  <c r="C3" i="45"/>
  <c r="C24" i="20"/>
  <c r="C16" i="20"/>
  <c r="C8" i="20"/>
  <c r="C24" i="45"/>
  <c r="C8" i="45"/>
  <c r="C21" i="20"/>
  <c r="C5" i="20"/>
  <c r="C23" i="45"/>
  <c r="C7" i="45"/>
  <c r="C20" i="20"/>
  <c r="C4" i="20"/>
  <c r="C16" i="45"/>
  <c r="C13" i="20"/>
  <c r="C15" i="45"/>
  <c r="C12" i="20"/>
  <c r="C29" i="20"/>
  <c r="C28" i="20"/>
  <c r="E101" i="3"/>
  <c r="E98" i="3"/>
  <c r="E95" i="3"/>
  <c r="E92" i="3"/>
  <c r="E89" i="3"/>
  <c r="E86" i="3"/>
  <c r="E83" i="3"/>
  <c r="E80" i="3"/>
  <c r="E77" i="3"/>
  <c r="E74" i="3"/>
  <c r="E71" i="3"/>
  <c r="E68" i="3"/>
  <c r="E65" i="3"/>
  <c r="E62" i="3"/>
  <c r="E59" i="3"/>
  <c r="E56" i="3"/>
  <c r="E53" i="3"/>
  <c r="E50" i="3"/>
  <c r="E47" i="3"/>
  <c r="E44" i="3"/>
  <c r="E41" i="3"/>
  <c r="E38" i="3"/>
  <c r="E35" i="3"/>
  <c r="E32" i="3"/>
  <c r="B32" i="3"/>
  <c r="B27" i="3" s="1"/>
  <c r="D30" i="16" s="1"/>
  <c r="D35" i="16" s="1"/>
  <c r="E15" i="3"/>
  <c r="E9" i="3"/>
  <c r="E8" i="3"/>
  <c r="H12" i="3"/>
  <c r="E4" i="3"/>
  <c r="K4" i="3"/>
  <c r="H4" i="3"/>
  <c r="K15" i="3"/>
  <c r="K8" i="3"/>
  <c r="Q41" i="3"/>
  <c r="Q38" i="3"/>
  <c r="Q35" i="3"/>
  <c r="Q14" i="3"/>
  <c r="Q29" i="3"/>
  <c r="Q26" i="3"/>
  <c r="Q23" i="3"/>
  <c r="Q20" i="3"/>
  <c r="Q17" i="3"/>
  <c r="N97" i="3"/>
  <c r="N94" i="3"/>
  <c r="N91" i="3"/>
  <c r="N88" i="3"/>
  <c r="N85" i="3"/>
  <c r="N82" i="3"/>
  <c r="N79" i="3"/>
  <c r="N76" i="3"/>
  <c r="N73" i="3"/>
  <c r="N70" i="3"/>
  <c r="N67" i="3"/>
  <c r="N64" i="3"/>
  <c r="N61" i="3"/>
  <c r="N58" i="3"/>
  <c r="N55" i="3"/>
  <c r="N52" i="3"/>
  <c r="N49" i="3"/>
  <c r="N46" i="3"/>
  <c r="N43" i="3"/>
  <c r="N40" i="3"/>
  <c r="N37" i="3"/>
  <c r="N34" i="3"/>
  <c r="N31" i="3"/>
  <c r="N28" i="3"/>
  <c r="Q69" i="3"/>
  <c r="CF30" i="42" l="1"/>
  <c r="CF35" i="42" s="1"/>
  <c r="CF29" i="42"/>
  <c r="CF28" i="42"/>
  <c r="CF43" i="42" s="1"/>
  <c r="CF27" i="42"/>
  <c r="CF26" i="42"/>
  <c r="CF36" i="42" s="1"/>
  <c r="CF25" i="42"/>
  <c r="CF24" i="42"/>
  <c r="CF23" i="42"/>
  <c r="CF49" i="42" s="1"/>
  <c r="CF22" i="42"/>
  <c r="CF37" i="42" s="1"/>
  <c r="CF21" i="42"/>
  <c r="CF20" i="42"/>
  <c r="CF19" i="42"/>
  <c r="CF42" i="42" s="1"/>
  <c r="CF18" i="42"/>
  <c r="CF17" i="42"/>
  <c r="CF16" i="42"/>
  <c r="CF15" i="42"/>
  <c r="CF44" i="42" s="1"/>
  <c r="CF14" i="42"/>
  <c r="CF34" i="42" s="1"/>
  <c r="CF13" i="42"/>
  <c r="CF33" i="42" s="1"/>
  <c r="CF12" i="42"/>
  <c r="CF11" i="42"/>
  <c r="CF39" i="42" s="1"/>
  <c r="CF10" i="42"/>
  <c r="CF46" i="42" s="1"/>
  <c r="CF9" i="42"/>
  <c r="CF8" i="42"/>
  <c r="CF41" i="42" s="1"/>
  <c r="CF7" i="42"/>
  <c r="CF6" i="42"/>
  <c r="CF47" i="42" s="1"/>
  <c r="CF5" i="42"/>
  <c r="CF4" i="42"/>
  <c r="CF40" i="42" s="1"/>
  <c r="CF3" i="42"/>
  <c r="CF32" i="42" s="1"/>
  <c r="CF31" i="42" s="1"/>
  <c r="CF2" i="42"/>
  <c r="CF38" i="42" s="1"/>
  <c r="BG30" i="41"/>
  <c r="BG35" i="41" s="1"/>
  <c r="AH30" i="41"/>
  <c r="AH29" i="41"/>
  <c r="AH28" i="41"/>
  <c r="AH27" i="41"/>
  <c r="AH26" i="41"/>
  <c r="AH25" i="41"/>
  <c r="AH24" i="41"/>
  <c r="AH23" i="41"/>
  <c r="AH22" i="41"/>
  <c r="AH21" i="41"/>
  <c r="AH20" i="41"/>
  <c r="AH19" i="41"/>
  <c r="AH18" i="41"/>
  <c r="AH17" i="41"/>
  <c r="AH16" i="41"/>
  <c r="AH15" i="41"/>
  <c r="AH14" i="41"/>
  <c r="AH13" i="41"/>
  <c r="AH12" i="41"/>
  <c r="AH11" i="41"/>
  <c r="AH10" i="41"/>
  <c r="AH9" i="41"/>
  <c r="AH8" i="41"/>
  <c r="AH7" i="41"/>
  <c r="AH6" i="41"/>
  <c r="AH5" i="41"/>
  <c r="AH4" i="41"/>
  <c r="AH3" i="41"/>
  <c r="AH2" i="41"/>
  <c r="BG29" i="41"/>
  <c r="BG28" i="41"/>
  <c r="BG43" i="41" s="1"/>
  <c r="BG10" i="41"/>
  <c r="BF46" i="41" s="1"/>
  <c r="BG9" i="41"/>
  <c r="BG8" i="41"/>
  <c r="BG41" i="41" s="1"/>
  <c r="AH2" i="29"/>
  <c r="AH38" i="29" s="1"/>
  <c r="BG2" i="29"/>
  <c r="BG38" i="29" s="1"/>
  <c r="AH3" i="29"/>
  <c r="BG3" i="29"/>
  <c r="BG32" i="29" s="1"/>
  <c r="AH4" i="29"/>
  <c r="BG4" i="29"/>
  <c r="BG40" i="29" s="1"/>
  <c r="AH5" i="29"/>
  <c r="BG5" i="29"/>
  <c r="AH6" i="29"/>
  <c r="BG6" i="29"/>
  <c r="BF47" i="29" s="1"/>
  <c r="AH7" i="29"/>
  <c r="BG7" i="29"/>
  <c r="AH8" i="29"/>
  <c r="BG8" i="29"/>
  <c r="BG41" i="29" s="1"/>
  <c r="AH9" i="29"/>
  <c r="BG9" i="29"/>
  <c r="AH10" i="29"/>
  <c r="BG10" i="29"/>
  <c r="BF46" i="29" s="1"/>
  <c r="BF45" i="29" s="1"/>
  <c r="AH11" i="29"/>
  <c r="BG11" i="29"/>
  <c r="BG39" i="29" s="1"/>
  <c r="AH12" i="29"/>
  <c r="BG27" i="41"/>
  <c r="BG26" i="41"/>
  <c r="BG36" i="41" s="1"/>
  <c r="BG25" i="41"/>
  <c r="BG24" i="41"/>
  <c r="BG23" i="41"/>
  <c r="BG49" i="41" s="1"/>
  <c r="BG21" i="41"/>
  <c r="BG20" i="41"/>
  <c r="BG19" i="41"/>
  <c r="BG42" i="41" s="1"/>
  <c r="BG18" i="41"/>
  <c r="BG17" i="41"/>
  <c r="BG16" i="41"/>
  <c r="BG15" i="41"/>
  <c r="BG44" i="41" s="1"/>
  <c r="BG12" i="41"/>
  <c r="BG11" i="41"/>
  <c r="BG39" i="41" s="1"/>
  <c r="BG22" i="41"/>
  <c r="BG37" i="41" s="1"/>
  <c r="BG14" i="41"/>
  <c r="BG34" i="41" s="1"/>
  <c r="BG13" i="41"/>
  <c r="BG33" i="41" s="1"/>
  <c r="BG2" i="41"/>
  <c r="BG38" i="41" s="1"/>
  <c r="BG6" i="41"/>
  <c r="BF47" i="41" s="1"/>
  <c r="BG5" i="41"/>
  <c r="BG7" i="41"/>
  <c r="BG3" i="41"/>
  <c r="BG32" i="41" s="1"/>
  <c r="AH22" i="29"/>
  <c r="AH26" i="29"/>
  <c r="AH30" i="29"/>
  <c r="BG12" i="29"/>
  <c r="AH13" i="29"/>
  <c r="BG14" i="29"/>
  <c r="BG34" i="29" s="1"/>
  <c r="AH15" i="29"/>
  <c r="BG16" i="29"/>
  <c r="AH17" i="29"/>
  <c r="BG18" i="29"/>
  <c r="AH19" i="29"/>
  <c r="BG20" i="29"/>
  <c r="AH21" i="29"/>
  <c r="BG22" i="29"/>
  <c r="BG37" i="29" s="1"/>
  <c r="AH23" i="29"/>
  <c r="BG24" i="29"/>
  <c r="AH25" i="29"/>
  <c r="BG26" i="29"/>
  <c r="BG36" i="29" s="1"/>
  <c r="AH27" i="29"/>
  <c r="BG28" i="29"/>
  <c r="BG43" i="29" s="1"/>
  <c r="AH29" i="29"/>
  <c r="BG30" i="29"/>
  <c r="BG35" i="29" s="1"/>
  <c r="BG17" i="29"/>
  <c r="AH20" i="29"/>
  <c r="BG21" i="29"/>
  <c r="BG23" i="29"/>
  <c r="BG49" i="29" s="1"/>
  <c r="AH24" i="29"/>
  <c r="AH28" i="29"/>
  <c r="BG4" i="41"/>
  <c r="BG40" i="41" s="1"/>
  <c r="BG13" i="29"/>
  <c r="BG33" i="29" s="1"/>
  <c r="AH14" i="29"/>
  <c r="BG15" i="29"/>
  <c r="BG44" i="29" s="1"/>
  <c r="AH16" i="29"/>
  <c r="AH18" i="29"/>
  <c r="BG19" i="29"/>
  <c r="BG42" i="29" s="1"/>
  <c r="BG25" i="29"/>
  <c r="BG27" i="29"/>
  <c r="BG29" i="29"/>
  <c r="CF22" i="43"/>
  <c r="CF37" i="43" s="1"/>
  <c r="CF6" i="43"/>
  <c r="CF47" i="43" s="1"/>
  <c r="CF29" i="43"/>
  <c r="CF16" i="43"/>
  <c r="CF23" i="43"/>
  <c r="CF17" i="43"/>
  <c r="CF13" i="43"/>
  <c r="CF33" i="43" s="1"/>
  <c r="CF9" i="43"/>
  <c r="CF5" i="43"/>
  <c r="CF19" i="43"/>
  <c r="CF42" i="43" s="1"/>
  <c r="CF7" i="43"/>
  <c r="CF26" i="43"/>
  <c r="CF36" i="43" s="1"/>
  <c r="CF18" i="43"/>
  <c r="CF25" i="43"/>
  <c r="CF21" i="43"/>
  <c r="CF12" i="43"/>
  <c r="CF15" i="43"/>
  <c r="CF44" i="43" s="1"/>
  <c r="CF3" i="43"/>
  <c r="CF32" i="43" s="1"/>
  <c r="CF11" i="43"/>
  <c r="CF39" i="43" s="1"/>
  <c r="CF30" i="43"/>
  <c r="CF35" i="43" s="1"/>
  <c r="CF14" i="43"/>
  <c r="CF34" i="43" s="1"/>
  <c r="CF8" i="43"/>
  <c r="CF41" i="43" s="1"/>
  <c r="CF10" i="43"/>
  <c r="CF46" i="43" s="1"/>
  <c r="CF45" i="43" s="1"/>
  <c r="CF24" i="43"/>
  <c r="CF4" i="43"/>
  <c r="CF40" i="43" s="1"/>
  <c r="CF28" i="43"/>
  <c r="CF43" i="43" s="1"/>
  <c r="CF20" i="43"/>
  <c r="CF2" i="43"/>
  <c r="CF38" i="43" s="1"/>
  <c r="CF27" i="43"/>
  <c r="CF5" i="30"/>
  <c r="CF6" i="30"/>
  <c r="CF47" i="30" s="1"/>
  <c r="CF7" i="30"/>
  <c r="CF9" i="30"/>
  <c r="CF14" i="30"/>
  <c r="CF34" i="30" s="1"/>
  <c r="CF16" i="30"/>
  <c r="CF17" i="30"/>
  <c r="CF18" i="30"/>
  <c r="CF19" i="30"/>
  <c r="CF42" i="30" s="1"/>
  <c r="CF20" i="30"/>
  <c r="CF22" i="30"/>
  <c r="CF37" i="30" s="1"/>
  <c r="CF23" i="30"/>
  <c r="CF49" i="30" s="1"/>
  <c r="CF30" i="30"/>
  <c r="CF35" i="30" s="1"/>
  <c r="CF24" i="30"/>
  <c r="CF25" i="30"/>
  <c r="CF26" i="30"/>
  <c r="CF36" i="30" s="1"/>
  <c r="CF28" i="30"/>
  <c r="CF43" i="30" s="1"/>
  <c r="CF29" i="30"/>
  <c r="CF3" i="30"/>
  <c r="CF32" i="30" s="1"/>
  <c r="CF4" i="30"/>
  <c r="CF40" i="30" s="1"/>
  <c r="CF8" i="30"/>
  <c r="CF41" i="30" s="1"/>
  <c r="CF10" i="30"/>
  <c r="CF46" i="30" s="1"/>
  <c r="CF45" i="30" s="1"/>
  <c r="CF11" i="30"/>
  <c r="CF39" i="30" s="1"/>
  <c r="CF12" i="30"/>
  <c r="CF13" i="30"/>
  <c r="CF33" i="30" s="1"/>
  <c r="CF15" i="30"/>
  <c r="CF44" i="30" s="1"/>
  <c r="CF21" i="30"/>
  <c r="CF27" i="30"/>
  <c r="BV30" i="38"/>
  <c r="BV35" i="38" s="1"/>
  <c r="CJ35" i="38" s="1"/>
  <c r="E30" i="38"/>
  <c r="EB29" i="38"/>
  <c r="BV25" i="38"/>
  <c r="E25" i="38"/>
  <c r="EB24" i="38"/>
  <c r="BV21" i="38"/>
  <c r="EB30" i="38"/>
  <c r="EB35" i="38" s="1"/>
  <c r="EP35" i="38" s="1"/>
  <c r="EB27" i="38"/>
  <c r="BV27" i="38"/>
  <c r="E27" i="38"/>
  <c r="BV26" i="38"/>
  <c r="BV36" i="38" s="1"/>
  <c r="CJ36" i="38" s="1"/>
  <c r="E26" i="38"/>
  <c r="BV20" i="38"/>
  <c r="E20" i="38"/>
  <c r="EB19" i="38"/>
  <c r="EB42" i="38" s="1"/>
  <c r="EP42" i="38" s="1"/>
  <c r="BV16" i="38"/>
  <c r="E16" i="38"/>
  <c r="EB15" i="38"/>
  <c r="EB44" i="38" s="1"/>
  <c r="EP44" i="38" s="1"/>
  <c r="BV12" i="38"/>
  <c r="E12" i="38"/>
  <c r="EB11" i="38"/>
  <c r="EB39" i="38" s="1"/>
  <c r="EP39" i="38" s="1"/>
  <c r="BV9" i="38"/>
  <c r="E9" i="38"/>
  <c r="EB8" i="38"/>
  <c r="EB41" i="38" s="1"/>
  <c r="EP41" i="38" s="1"/>
  <c r="BV29" i="38"/>
  <c r="E29" i="38"/>
  <c r="EB23" i="38"/>
  <c r="EB49" i="38" s="1"/>
  <c r="EB22" i="38"/>
  <c r="EB37" i="38" s="1"/>
  <c r="EP37" i="38" s="1"/>
  <c r="EB21" i="38"/>
  <c r="BV19" i="38"/>
  <c r="BV42" i="38" s="1"/>
  <c r="CJ42" i="38" s="1"/>
  <c r="E19" i="38"/>
  <c r="EB18" i="38"/>
  <c r="BV24" i="38"/>
  <c r="E23" i="38"/>
  <c r="BV22" i="38"/>
  <c r="BV37" i="38" s="1"/>
  <c r="CJ37" i="38" s="1"/>
  <c r="E21" i="38"/>
  <c r="EB20" i="38"/>
  <c r="BV18" i="38"/>
  <c r="E18" i="38"/>
  <c r="EB17" i="38"/>
  <c r="EB16" i="38"/>
  <c r="EB13" i="38"/>
  <c r="EB33" i="38" s="1"/>
  <c r="EP33" i="38" s="1"/>
  <c r="EB12" i="38"/>
  <c r="EB7" i="38"/>
  <c r="BV5" i="38"/>
  <c r="BV3" i="38"/>
  <c r="BV32" i="38" s="1"/>
  <c r="P25" i="38"/>
  <c r="P20" i="38"/>
  <c r="P19" i="38"/>
  <c r="P42" i="38" s="1"/>
  <c r="AA42" i="38" s="1"/>
  <c r="P12" i="38"/>
  <c r="P6" i="38"/>
  <c r="P47" i="38" s="1"/>
  <c r="AA47" i="38" s="1"/>
  <c r="EB28" i="38"/>
  <c r="EB43" i="38" s="1"/>
  <c r="EP43" i="38" s="1"/>
  <c r="E28" i="38"/>
  <c r="EB25" i="38"/>
  <c r="BV15" i="38"/>
  <c r="BV44" i="38" s="1"/>
  <c r="CJ44" i="38" s="1"/>
  <c r="E15" i="38"/>
  <c r="EB10" i="38"/>
  <c r="EB46" i="38" s="1"/>
  <c r="EB9" i="38"/>
  <c r="EB6" i="38"/>
  <c r="EB47" i="38" s="1"/>
  <c r="EP47" i="38" s="1"/>
  <c r="EB5" i="38"/>
  <c r="E5" i="38"/>
  <c r="EB4" i="38"/>
  <c r="EB40" i="38" s="1"/>
  <c r="EP40" i="38" s="1"/>
  <c r="E3" i="38"/>
  <c r="EB2" i="38"/>
  <c r="EB38" i="38" s="1"/>
  <c r="EP38" i="38" s="1"/>
  <c r="P30" i="38"/>
  <c r="P35" i="38" s="1"/>
  <c r="AA35" i="38" s="1"/>
  <c r="P29" i="38"/>
  <c r="P27" i="38"/>
  <c r="P18" i="38"/>
  <c r="P16" i="38"/>
  <c r="P14" i="38"/>
  <c r="P34" i="38" s="1"/>
  <c r="AA34" i="38" s="1"/>
  <c r="P9" i="38"/>
  <c r="P8" i="38"/>
  <c r="P41" i="38" s="1"/>
  <c r="AA41" i="38" s="1"/>
  <c r="P7" i="38"/>
  <c r="EB26" i="38"/>
  <c r="EB36" i="38" s="1"/>
  <c r="EP36" i="38" s="1"/>
  <c r="E17" i="38"/>
  <c r="E13" i="38"/>
  <c r="BV11" i="38"/>
  <c r="BV39" i="38" s="1"/>
  <c r="CJ39" i="38" s="1"/>
  <c r="E10" i="38"/>
  <c r="BV7" i="38"/>
  <c r="E6" i="38"/>
  <c r="P23" i="38"/>
  <c r="P49" i="38" s="1"/>
  <c r="P4" i="38"/>
  <c r="P40" i="38" s="1"/>
  <c r="AA40" i="38" s="1"/>
  <c r="EB14" i="38"/>
  <c r="EB34" i="38" s="1"/>
  <c r="EP34" i="38" s="1"/>
  <c r="E14" i="38"/>
  <c r="BV8" i="38"/>
  <c r="BV41" i="38" s="1"/>
  <c r="CJ41" i="38" s="1"/>
  <c r="P26" i="38"/>
  <c r="P36" i="38" s="1"/>
  <c r="AA36" i="38" s="1"/>
  <c r="P21" i="38"/>
  <c r="P11" i="38"/>
  <c r="P39" i="38" s="1"/>
  <c r="AA39" i="38" s="1"/>
  <c r="E22" i="38"/>
  <c r="BV17" i="38"/>
  <c r="BV13" i="38"/>
  <c r="BV33" i="38" s="1"/>
  <c r="CJ33" i="38" s="1"/>
  <c r="E24" i="38"/>
  <c r="E8" i="38"/>
  <c r="E7" i="38"/>
  <c r="EB3" i="38"/>
  <c r="EB32" i="38" s="1"/>
  <c r="P28" i="38"/>
  <c r="P43" i="38" s="1"/>
  <c r="AA43" i="38" s="1"/>
  <c r="BV23" i="38"/>
  <c r="BV49" i="38" s="1"/>
  <c r="BV6" i="38"/>
  <c r="BV47" i="38" s="1"/>
  <c r="CJ47" i="38" s="1"/>
  <c r="BV2" i="38"/>
  <c r="BV38" i="38" s="1"/>
  <c r="CJ38" i="38" s="1"/>
  <c r="E2" i="38"/>
  <c r="E4" i="38"/>
  <c r="P17" i="38"/>
  <c r="P15" i="38"/>
  <c r="P44" i="38" s="1"/>
  <c r="AA44" i="38" s="1"/>
  <c r="BV14" i="38"/>
  <c r="BV34" i="38" s="1"/>
  <c r="CJ34" i="38" s="1"/>
  <c r="BV10" i="38"/>
  <c r="BV46" i="38" s="1"/>
  <c r="P24" i="38"/>
  <c r="P22" i="38"/>
  <c r="P37" i="38" s="1"/>
  <c r="AA37" i="38" s="1"/>
  <c r="P2" i="38"/>
  <c r="P38" i="38" s="1"/>
  <c r="AA38" i="38" s="1"/>
  <c r="P13" i="38"/>
  <c r="P33" i="38" s="1"/>
  <c r="AA33" i="38" s="1"/>
  <c r="P5" i="38"/>
  <c r="P3" i="38"/>
  <c r="P32" i="38" s="1"/>
  <c r="BV4" i="38"/>
  <c r="BV40" i="38" s="1"/>
  <c r="CJ40" i="38" s="1"/>
  <c r="BV28" i="38"/>
  <c r="BV43" i="38" s="1"/>
  <c r="CJ43" i="38" s="1"/>
  <c r="E11" i="38"/>
  <c r="P10" i="38"/>
  <c r="P46" i="38" s="1"/>
  <c r="E27" i="18"/>
  <c r="E23" i="18"/>
  <c r="E19" i="18"/>
  <c r="E15" i="18"/>
  <c r="E11" i="18"/>
  <c r="E7" i="18"/>
  <c r="E3" i="18"/>
  <c r="E22" i="18"/>
  <c r="E10" i="18"/>
  <c r="E2" i="18"/>
  <c r="E28" i="18"/>
  <c r="E24" i="18"/>
  <c r="E12" i="18"/>
  <c r="E8" i="18"/>
  <c r="E30" i="18"/>
  <c r="E26" i="18"/>
  <c r="E18" i="18"/>
  <c r="E14" i="18"/>
  <c r="E6" i="18"/>
  <c r="CY6" i="18" s="1"/>
  <c r="E29" i="18"/>
  <c r="E25" i="18"/>
  <c r="E21" i="18"/>
  <c r="E17" i="18"/>
  <c r="E13" i="18"/>
  <c r="E9" i="18"/>
  <c r="E5" i="18"/>
  <c r="E20" i="18"/>
  <c r="E16" i="18"/>
  <c r="E4" i="18"/>
  <c r="AE30" i="42"/>
  <c r="AE35" i="42" s="1"/>
  <c r="AE29" i="42"/>
  <c r="AE28" i="42"/>
  <c r="AE43" i="42" s="1"/>
  <c r="AE27" i="42"/>
  <c r="AE26" i="42"/>
  <c r="AE36" i="42" s="1"/>
  <c r="AE25" i="42"/>
  <c r="AE24" i="42"/>
  <c r="AE23" i="42"/>
  <c r="AE22" i="42"/>
  <c r="AE37" i="42" s="1"/>
  <c r="AE21" i="42"/>
  <c r="AE20" i="42"/>
  <c r="AE19" i="42"/>
  <c r="AE42" i="42" s="1"/>
  <c r="AE18" i="42"/>
  <c r="AE17" i="42"/>
  <c r="AE16" i="42"/>
  <c r="AE15" i="42"/>
  <c r="AE44" i="42" s="1"/>
  <c r="AE14" i="42"/>
  <c r="AE34" i="42" s="1"/>
  <c r="AE13" i="42"/>
  <c r="AE33" i="42" s="1"/>
  <c r="AE12" i="42"/>
  <c r="AE11" i="42"/>
  <c r="AE39" i="42" s="1"/>
  <c r="AE10" i="42"/>
  <c r="AE46" i="42" s="1"/>
  <c r="AE9" i="42"/>
  <c r="AE8" i="42"/>
  <c r="AE41" i="42" s="1"/>
  <c r="AE7" i="42"/>
  <c r="AE6" i="42"/>
  <c r="AE47" i="42" s="1"/>
  <c r="F30" i="41"/>
  <c r="F29" i="41"/>
  <c r="F28" i="41"/>
  <c r="F27" i="41"/>
  <c r="F26" i="41"/>
  <c r="F25" i="41"/>
  <c r="F24" i="41"/>
  <c r="F23" i="41"/>
  <c r="F22" i="41"/>
  <c r="F21" i="41"/>
  <c r="F20" i="41"/>
  <c r="F19" i="41"/>
  <c r="F18" i="41"/>
  <c r="F17" i="41"/>
  <c r="F16" i="41"/>
  <c r="F15" i="41"/>
  <c r="F14" i="41"/>
  <c r="F13" i="41"/>
  <c r="F12" i="41"/>
  <c r="F11" i="41"/>
  <c r="F10" i="41"/>
  <c r="F9" i="41"/>
  <c r="F8" i="41"/>
  <c r="F7" i="41"/>
  <c r="F6" i="41"/>
  <c r="F5" i="41"/>
  <c r="F4" i="41"/>
  <c r="F3" i="41"/>
  <c r="F2" i="41"/>
  <c r="AE5" i="42"/>
  <c r="AE4" i="42"/>
  <c r="AE40" i="42" s="1"/>
  <c r="AE3" i="42"/>
  <c r="AE32" i="42" s="1"/>
  <c r="AE31" i="42" s="1"/>
  <c r="AE2" i="42"/>
  <c r="AE38" i="42" s="1"/>
  <c r="F2" i="29"/>
  <c r="F38" i="29" s="1"/>
  <c r="F3" i="29"/>
  <c r="F4" i="29"/>
  <c r="F5" i="29"/>
  <c r="F6" i="29"/>
  <c r="F8" i="29"/>
  <c r="F10" i="29"/>
  <c r="F12" i="29"/>
  <c r="F13" i="29"/>
  <c r="F14" i="29"/>
  <c r="F15" i="29"/>
  <c r="F16" i="29"/>
  <c r="F17" i="29"/>
  <c r="F18" i="29"/>
  <c r="F19" i="29"/>
  <c r="F20" i="29"/>
  <c r="F21" i="29"/>
  <c r="F22" i="29"/>
  <c r="F23" i="29"/>
  <c r="F24" i="29"/>
  <c r="F25" i="29"/>
  <c r="F26" i="29"/>
  <c r="F27" i="29"/>
  <c r="F28" i="29"/>
  <c r="F29" i="29"/>
  <c r="F30" i="29"/>
  <c r="F7" i="29"/>
  <c r="F9" i="29"/>
  <c r="F11" i="29"/>
  <c r="AE30" i="43"/>
  <c r="AE35" i="43" s="1"/>
  <c r="AE6" i="43"/>
  <c r="AE47" i="43" s="1"/>
  <c r="AE13" i="43"/>
  <c r="AE33" i="43" s="1"/>
  <c r="AE7" i="43"/>
  <c r="AE21" i="43"/>
  <c r="AE8" i="43"/>
  <c r="AE41" i="43" s="1"/>
  <c r="AE27" i="43"/>
  <c r="AE11" i="43"/>
  <c r="AE39" i="43" s="1"/>
  <c r="AE10" i="43"/>
  <c r="AE46" i="43" s="1"/>
  <c r="AE29" i="43"/>
  <c r="AE24" i="43"/>
  <c r="AE4" i="43"/>
  <c r="AE40" i="43" s="1"/>
  <c r="AE23" i="43"/>
  <c r="AE16" i="43"/>
  <c r="AE22" i="43"/>
  <c r="AE37" i="43" s="1"/>
  <c r="AE17" i="43"/>
  <c r="AE9" i="43"/>
  <c r="AE5" i="43"/>
  <c r="AE2" i="43"/>
  <c r="AE38" i="43" s="1"/>
  <c r="AE19" i="43"/>
  <c r="AE42" i="43" s="1"/>
  <c r="AE18" i="43"/>
  <c r="AE25" i="43"/>
  <c r="AE28" i="43"/>
  <c r="AE43" i="43" s="1"/>
  <c r="AE20" i="43"/>
  <c r="AE12" i="43"/>
  <c r="AE15" i="43"/>
  <c r="AE44" i="43" s="1"/>
  <c r="AE3" i="43"/>
  <c r="AE32" i="43" s="1"/>
  <c r="AE14" i="43"/>
  <c r="AE34" i="43" s="1"/>
  <c r="AE26" i="43"/>
  <c r="AE36" i="43" s="1"/>
  <c r="AE6" i="30"/>
  <c r="AE47" i="30" s="1"/>
  <c r="AE10" i="30"/>
  <c r="AE46" i="30" s="1"/>
  <c r="AE14" i="30"/>
  <c r="AE34" i="30" s="1"/>
  <c r="AE19" i="30"/>
  <c r="AE42" i="30" s="1"/>
  <c r="AE21" i="30"/>
  <c r="AE27" i="30"/>
  <c r="AE29" i="30"/>
  <c r="AE2" i="30"/>
  <c r="AE38" i="30" s="1"/>
  <c r="AE3" i="30"/>
  <c r="AE32" i="30" s="1"/>
  <c r="AE5" i="30"/>
  <c r="AE9" i="30"/>
  <c r="AE13" i="30"/>
  <c r="AE33" i="30" s="1"/>
  <c r="AE17" i="30"/>
  <c r="AE20" i="30"/>
  <c r="AE22" i="30"/>
  <c r="AE37" i="30" s="1"/>
  <c r="AE28" i="30"/>
  <c r="AE43" i="30" s="1"/>
  <c r="AE30" i="30"/>
  <c r="AE35" i="30" s="1"/>
  <c r="AE11" i="30"/>
  <c r="AE39" i="30" s="1"/>
  <c r="AE15" i="30"/>
  <c r="AE44" i="30" s="1"/>
  <c r="AE26" i="30"/>
  <c r="AE36" i="30" s="1"/>
  <c r="AE4" i="30"/>
  <c r="AE40" i="30" s="1"/>
  <c r="AE8" i="30"/>
  <c r="AE41" i="30" s="1"/>
  <c r="AE12" i="30"/>
  <c r="AE16" i="30"/>
  <c r="AE23" i="30"/>
  <c r="AE25" i="30"/>
  <c r="AE7" i="30"/>
  <c r="AE18" i="30"/>
  <c r="AE24" i="30"/>
  <c r="AT30" i="42"/>
  <c r="AT35" i="42" s="1"/>
  <c r="AT29" i="42"/>
  <c r="AT28" i="42"/>
  <c r="AT43" i="42" s="1"/>
  <c r="AT27" i="42"/>
  <c r="AT26" i="42"/>
  <c r="AT36" i="42" s="1"/>
  <c r="AT25" i="42"/>
  <c r="AT24" i="42"/>
  <c r="AT23" i="42"/>
  <c r="AT22" i="42"/>
  <c r="AT37" i="42" s="1"/>
  <c r="AT21" i="42"/>
  <c r="AT20" i="42"/>
  <c r="AT19" i="42"/>
  <c r="AT42" i="42" s="1"/>
  <c r="AT18" i="42"/>
  <c r="AT17" i="42"/>
  <c r="AT16" i="42"/>
  <c r="AT15" i="42"/>
  <c r="AT44" i="42" s="1"/>
  <c r="AT14" i="42"/>
  <c r="AT34" i="42" s="1"/>
  <c r="AT13" i="42"/>
  <c r="AT33" i="42" s="1"/>
  <c r="AT12" i="42"/>
  <c r="AT11" i="42"/>
  <c r="AT39" i="42" s="1"/>
  <c r="AT10" i="42"/>
  <c r="AT46" i="42" s="1"/>
  <c r="AT9" i="42"/>
  <c r="AT8" i="42"/>
  <c r="AT41" i="42" s="1"/>
  <c r="AT7" i="42"/>
  <c r="AT6" i="42"/>
  <c r="AT47" i="42" s="1"/>
  <c r="AT5" i="42"/>
  <c r="AT4" i="42"/>
  <c r="AT40" i="42" s="1"/>
  <c r="AT3" i="42"/>
  <c r="AT32" i="42" s="1"/>
  <c r="AT31" i="42" s="1"/>
  <c r="AT2" i="42"/>
  <c r="AT38" i="42" s="1"/>
  <c r="U30" i="41"/>
  <c r="U29" i="41"/>
  <c r="U28" i="41"/>
  <c r="U27" i="41"/>
  <c r="U26" i="41"/>
  <c r="U25" i="41"/>
  <c r="U24" i="41"/>
  <c r="U23" i="41"/>
  <c r="U22" i="41"/>
  <c r="U21" i="41"/>
  <c r="U20" i="41"/>
  <c r="U19" i="41"/>
  <c r="U18" i="41"/>
  <c r="U17" i="41"/>
  <c r="U16" i="41"/>
  <c r="U15" i="41"/>
  <c r="U14" i="41"/>
  <c r="U13" i="41"/>
  <c r="U12" i="41"/>
  <c r="U11" i="41"/>
  <c r="U10" i="41"/>
  <c r="U9" i="41"/>
  <c r="U8" i="41"/>
  <c r="U7" i="41"/>
  <c r="U6" i="41"/>
  <c r="U5" i="41"/>
  <c r="U4" i="41"/>
  <c r="U3" i="41"/>
  <c r="U2" i="41"/>
  <c r="U2" i="29"/>
  <c r="U38" i="29" s="1"/>
  <c r="U3" i="29"/>
  <c r="U4" i="29"/>
  <c r="U5" i="29"/>
  <c r="U6" i="29"/>
  <c r="U7" i="29"/>
  <c r="U8" i="29"/>
  <c r="U9" i="29"/>
  <c r="U10" i="29"/>
  <c r="U11" i="29"/>
  <c r="U12" i="29"/>
  <c r="U14" i="29"/>
  <c r="U16" i="29"/>
  <c r="U18" i="29"/>
  <c r="U20" i="29"/>
  <c r="U22" i="29"/>
  <c r="U24" i="29"/>
  <c r="U26" i="29"/>
  <c r="U28" i="29"/>
  <c r="U30" i="29"/>
  <c r="U13" i="29"/>
  <c r="U15" i="29"/>
  <c r="U17" i="29"/>
  <c r="U19" i="29"/>
  <c r="U21" i="29"/>
  <c r="U23" i="29"/>
  <c r="U25" i="29"/>
  <c r="U27" i="29"/>
  <c r="U29" i="29"/>
  <c r="AT30" i="43"/>
  <c r="AT35" i="43" s="1"/>
  <c r="AT6" i="43"/>
  <c r="AT47" i="43" s="1"/>
  <c r="AT13" i="43"/>
  <c r="AT33" i="43" s="1"/>
  <c r="AT7" i="43"/>
  <c r="AT21" i="43"/>
  <c r="AT8" i="43"/>
  <c r="AT41" i="43" s="1"/>
  <c r="AT27" i="43"/>
  <c r="AT11" i="43"/>
  <c r="AT39" i="43" s="1"/>
  <c r="AT10" i="43"/>
  <c r="AT46" i="43" s="1"/>
  <c r="AT45" i="43" s="1"/>
  <c r="AT29" i="43"/>
  <c r="AT24" i="43"/>
  <c r="AT4" i="43"/>
  <c r="AT40" i="43" s="1"/>
  <c r="AT2" i="43"/>
  <c r="AT38" i="43" s="1"/>
  <c r="AT23" i="43"/>
  <c r="AT18" i="43"/>
  <c r="AT26" i="43"/>
  <c r="AT36" i="43" s="1"/>
  <c r="AT22" i="43"/>
  <c r="AT37" i="43" s="1"/>
  <c r="AT17" i="43"/>
  <c r="AT9" i="43"/>
  <c r="AT5" i="43"/>
  <c r="AT19" i="43"/>
  <c r="AT42" i="43" s="1"/>
  <c r="AT25" i="43"/>
  <c r="AT28" i="43"/>
  <c r="AT43" i="43" s="1"/>
  <c r="AT20" i="43"/>
  <c r="AT12" i="43"/>
  <c r="AT15" i="43"/>
  <c r="AT44" i="43" s="1"/>
  <c r="AT3" i="43"/>
  <c r="AT32" i="43" s="1"/>
  <c r="AT14" i="43"/>
  <c r="AT34" i="43" s="1"/>
  <c r="AT16" i="43"/>
  <c r="AT5" i="30"/>
  <c r="AT9" i="30"/>
  <c r="AT13" i="30"/>
  <c r="AT33" i="30" s="1"/>
  <c r="AT17" i="30"/>
  <c r="AT20" i="30"/>
  <c r="AT22" i="30"/>
  <c r="AT37" i="30" s="1"/>
  <c r="AT28" i="30"/>
  <c r="AT43" i="30" s="1"/>
  <c r="AT30" i="30"/>
  <c r="AT35" i="30" s="1"/>
  <c r="AT25" i="30"/>
  <c r="AT14" i="30"/>
  <c r="AT34" i="30" s="1"/>
  <c r="AT27" i="30"/>
  <c r="AT4" i="30"/>
  <c r="AT40" i="30" s="1"/>
  <c r="AT8" i="30"/>
  <c r="AT41" i="30" s="1"/>
  <c r="AT12" i="30"/>
  <c r="AT16" i="30"/>
  <c r="AT23" i="30"/>
  <c r="AT6" i="30"/>
  <c r="AT47" i="30" s="1"/>
  <c r="AT10" i="30"/>
  <c r="AT46" i="30" s="1"/>
  <c r="AT45" i="30" s="1"/>
  <c r="AT19" i="30"/>
  <c r="AT42" i="30" s="1"/>
  <c r="AT29" i="30"/>
  <c r="AT2" i="30"/>
  <c r="AT38" i="30" s="1"/>
  <c r="AT3" i="30"/>
  <c r="AT32" i="30" s="1"/>
  <c r="AT7" i="30"/>
  <c r="AT11" i="30"/>
  <c r="AT39" i="30" s="1"/>
  <c r="AT15" i="30"/>
  <c r="AT44" i="30" s="1"/>
  <c r="AT18" i="30"/>
  <c r="AT24" i="30"/>
  <c r="AT26" i="30"/>
  <c r="AT36" i="30" s="1"/>
  <c r="AT21" i="30"/>
  <c r="C52" i="20"/>
  <c r="E52" i="20" s="1"/>
  <c r="C66" i="20"/>
  <c r="E66" i="20" s="1"/>
  <c r="E17" i="20"/>
  <c r="E13" i="45"/>
  <c r="C33" i="45"/>
  <c r="E33" i="45" s="1"/>
  <c r="E18" i="45"/>
  <c r="C75" i="45"/>
  <c r="E75" i="45" s="1"/>
  <c r="C61" i="45"/>
  <c r="E61" i="45" s="1"/>
  <c r="AC70" i="37"/>
  <c r="AC56" i="37"/>
  <c r="K32" i="37"/>
  <c r="AC40" i="37"/>
  <c r="H74" i="37"/>
  <c r="K74" i="37" s="1"/>
  <c r="H60" i="37"/>
  <c r="K60" i="37" s="1"/>
  <c r="AF71" i="37"/>
  <c r="AF57" i="37"/>
  <c r="D69" i="16"/>
  <c r="D55" i="16"/>
  <c r="H33" i="16"/>
  <c r="K33" i="16" s="1"/>
  <c r="AH44" i="16"/>
  <c r="AH47" i="16"/>
  <c r="H44" i="16"/>
  <c r="K44" i="16" s="1"/>
  <c r="D54" i="16"/>
  <c r="D68" i="16"/>
  <c r="D71" i="16"/>
  <c r="D57" i="16"/>
  <c r="AC33" i="16"/>
  <c r="D28" i="16"/>
  <c r="D43" i="16" s="1"/>
  <c r="D11" i="16"/>
  <c r="D39" i="16" s="1"/>
  <c r="D17" i="16"/>
  <c r="D27" i="16"/>
  <c r="D7" i="16"/>
  <c r="D16" i="16"/>
  <c r="D23" i="16"/>
  <c r="D49" i="16" s="1"/>
  <c r="CI30" i="42"/>
  <c r="CI35" i="42" s="1"/>
  <c r="CI29" i="42"/>
  <c r="CI28" i="42"/>
  <c r="CI43" i="42" s="1"/>
  <c r="CI27" i="42"/>
  <c r="CI26" i="42"/>
  <c r="CI36" i="42" s="1"/>
  <c r="CI25" i="42"/>
  <c r="CI24" i="42"/>
  <c r="CI23" i="42"/>
  <c r="CI49" i="42" s="1"/>
  <c r="CI22" i="42"/>
  <c r="CI37" i="42" s="1"/>
  <c r="CI21" i="42"/>
  <c r="CI20" i="42"/>
  <c r="CI19" i="42"/>
  <c r="CI42" i="42" s="1"/>
  <c r="CI4" i="42"/>
  <c r="CI40" i="42" s="1"/>
  <c r="CI3" i="42"/>
  <c r="CI32" i="42" s="1"/>
  <c r="CI2" i="42"/>
  <c r="CI38" i="42" s="1"/>
  <c r="CI17" i="42"/>
  <c r="CI15" i="42"/>
  <c r="CI44" i="42" s="1"/>
  <c r="CI13" i="42"/>
  <c r="CI33" i="42" s="1"/>
  <c r="CI11" i="42"/>
  <c r="CI39" i="42" s="1"/>
  <c r="CI9" i="42"/>
  <c r="CI7" i="42"/>
  <c r="CI5" i="42"/>
  <c r="BJ30" i="41"/>
  <c r="BJ35" i="41" s="1"/>
  <c r="CI18" i="42"/>
  <c r="CI16" i="42"/>
  <c r="CI14" i="42"/>
  <c r="CI34" i="42" s="1"/>
  <c r="CI12" i="42"/>
  <c r="CI10" i="42"/>
  <c r="CI46" i="42" s="1"/>
  <c r="CI8" i="42"/>
  <c r="CI41" i="42" s="1"/>
  <c r="CI6" i="42"/>
  <c r="CI47" i="42" s="1"/>
  <c r="BJ7" i="41"/>
  <c r="BJ6" i="41"/>
  <c r="BI47" i="41" s="1"/>
  <c r="BJ5" i="41"/>
  <c r="BJ4" i="41"/>
  <c r="BJ40" i="41" s="1"/>
  <c r="BJ3" i="41"/>
  <c r="BJ32" i="41" s="1"/>
  <c r="AK30" i="41"/>
  <c r="AK29" i="41"/>
  <c r="AK28" i="41"/>
  <c r="AK27" i="41"/>
  <c r="AK26" i="41"/>
  <c r="AK25" i="41"/>
  <c r="AK24" i="41"/>
  <c r="AK23" i="41"/>
  <c r="AK22" i="41"/>
  <c r="AK21" i="41"/>
  <c r="AK20" i="41"/>
  <c r="AK19" i="41"/>
  <c r="AK18" i="41"/>
  <c r="AK17" i="41"/>
  <c r="AK16" i="41"/>
  <c r="AK15" i="41"/>
  <c r="AK14" i="41"/>
  <c r="AK13" i="41"/>
  <c r="AK12" i="41"/>
  <c r="AK11" i="41"/>
  <c r="AK10" i="41"/>
  <c r="AK9" i="41"/>
  <c r="AK8" i="41"/>
  <c r="AK7" i="41"/>
  <c r="AK6" i="41"/>
  <c r="AK5" i="41"/>
  <c r="AK4" i="41"/>
  <c r="AK3" i="41"/>
  <c r="AK2" i="41"/>
  <c r="BJ29" i="41"/>
  <c r="BJ28" i="41"/>
  <c r="BJ43" i="41" s="1"/>
  <c r="BJ10" i="41"/>
  <c r="BI46" i="41" s="1"/>
  <c r="BI45" i="41" s="1"/>
  <c r="BJ9" i="41"/>
  <c r="BJ8" i="41"/>
  <c r="BJ41" i="41" s="1"/>
  <c r="BJ27" i="41"/>
  <c r="BJ26" i="41"/>
  <c r="BJ36" i="41" s="1"/>
  <c r="BJ25" i="41"/>
  <c r="BJ24" i="41"/>
  <c r="BJ23" i="41"/>
  <c r="BJ49" i="41" s="1"/>
  <c r="BJ21" i="41"/>
  <c r="BJ20" i="41"/>
  <c r="BJ19" i="41"/>
  <c r="BJ42" i="41" s="1"/>
  <c r="BJ18" i="41"/>
  <c r="BJ17" i="41"/>
  <c r="BJ16" i="41"/>
  <c r="BJ15" i="41"/>
  <c r="BJ44" i="41" s="1"/>
  <c r="BJ12" i="41"/>
  <c r="BJ11" i="41"/>
  <c r="BJ39" i="41" s="1"/>
  <c r="BJ14" i="41"/>
  <c r="BJ34" i="41" s="1"/>
  <c r="BJ22" i="41"/>
  <c r="BJ37" i="41" s="1"/>
  <c r="BJ2" i="29"/>
  <c r="BJ38" i="29" s="1"/>
  <c r="AK3" i="29"/>
  <c r="BJ4" i="29"/>
  <c r="BJ40" i="29" s="1"/>
  <c r="AK5" i="29"/>
  <c r="BJ5" i="29"/>
  <c r="BJ6" i="29"/>
  <c r="BI47" i="29" s="1"/>
  <c r="AK7" i="29"/>
  <c r="BJ8" i="29"/>
  <c r="BJ41" i="29" s="1"/>
  <c r="AK9" i="29"/>
  <c r="BJ10" i="29"/>
  <c r="BI46" i="29" s="1"/>
  <c r="AK11" i="29"/>
  <c r="BJ2" i="41"/>
  <c r="BJ38" i="41" s="1"/>
  <c r="BJ12" i="29"/>
  <c r="AK13" i="29"/>
  <c r="BJ13" i="29"/>
  <c r="BJ33" i="29" s="1"/>
  <c r="AK14" i="29"/>
  <c r="BJ14" i="29"/>
  <c r="BJ34" i="29" s="1"/>
  <c r="AK15" i="29"/>
  <c r="BJ15" i="29"/>
  <c r="BJ44" i="29" s="1"/>
  <c r="AK16" i="29"/>
  <c r="BJ16" i="29"/>
  <c r="AK17" i="29"/>
  <c r="BJ17" i="29"/>
  <c r="AK18" i="29"/>
  <c r="BJ18" i="29"/>
  <c r="AK19" i="29"/>
  <c r="BJ19" i="29"/>
  <c r="BJ42" i="29" s="1"/>
  <c r="AK20" i="29"/>
  <c r="BJ20" i="29"/>
  <c r="AK21" i="29"/>
  <c r="BJ21" i="29"/>
  <c r="AK22" i="29"/>
  <c r="BJ22" i="29"/>
  <c r="BJ37" i="29" s="1"/>
  <c r="AK23" i="29"/>
  <c r="BJ23" i="29"/>
  <c r="BJ49" i="29" s="1"/>
  <c r="AK24" i="29"/>
  <c r="BJ24" i="29"/>
  <c r="AK25" i="29"/>
  <c r="BJ25" i="29"/>
  <c r="AK26" i="29"/>
  <c r="BJ26" i="29"/>
  <c r="BJ36" i="29" s="1"/>
  <c r="AK27" i="29"/>
  <c r="BJ27" i="29"/>
  <c r="AK28" i="29"/>
  <c r="BJ28" i="29"/>
  <c r="BJ43" i="29" s="1"/>
  <c r="AK29" i="29"/>
  <c r="BJ29" i="29"/>
  <c r="AK30" i="29"/>
  <c r="BJ30" i="29"/>
  <c r="BJ35" i="29" s="1"/>
  <c r="AK6" i="29"/>
  <c r="BJ11" i="29"/>
  <c r="BJ39" i="29" s="1"/>
  <c r="AK2" i="29"/>
  <c r="AK38" i="29" s="1"/>
  <c r="BJ9" i="29"/>
  <c r="AK12" i="29"/>
  <c r="AK4" i="29"/>
  <c r="BJ7" i="29"/>
  <c r="AK10" i="29"/>
  <c r="BJ13" i="41"/>
  <c r="BJ33" i="41" s="1"/>
  <c r="BJ3" i="29"/>
  <c r="BJ32" i="29" s="1"/>
  <c r="AK8" i="29"/>
  <c r="CI29" i="43"/>
  <c r="CI8" i="43"/>
  <c r="CI41" i="43" s="1"/>
  <c r="CI24" i="43"/>
  <c r="CI16" i="43"/>
  <c r="CI30" i="43"/>
  <c r="CI35" i="43" s="1"/>
  <c r="CI22" i="43"/>
  <c r="CI37" i="43" s="1"/>
  <c r="CI17" i="43"/>
  <c r="CI13" i="43"/>
  <c r="CI33" i="43" s="1"/>
  <c r="CI9" i="43"/>
  <c r="CI5" i="43"/>
  <c r="CI19" i="43"/>
  <c r="CI42" i="43" s="1"/>
  <c r="CI26" i="43"/>
  <c r="CI36" i="43" s="1"/>
  <c r="CI25" i="43"/>
  <c r="CI21" i="43"/>
  <c r="CI15" i="43"/>
  <c r="CI44" i="43" s="1"/>
  <c r="CI3" i="43"/>
  <c r="CI32" i="43" s="1"/>
  <c r="CI2" i="43"/>
  <c r="CI38" i="43" s="1"/>
  <c r="CI10" i="43"/>
  <c r="CI46" i="43" s="1"/>
  <c r="CI45" i="43" s="1"/>
  <c r="CI18" i="43"/>
  <c r="CI20" i="43"/>
  <c r="CI12" i="43"/>
  <c r="CI14" i="43"/>
  <c r="CI34" i="43" s="1"/>
  <c r="CI27" i="43"/>
  <c r="CI11" i="43"/>
  <c r="CI39" i="43" s="1"/>
  <c r="CI4" i="43"/>
  <c r="CI40" i="43" s="1"/>
  <c r="CI23" i="43"/>
  <c r="CI6" i="43"/>
  <c r="CI47" i="43" s="1"/>
  <c r="CI7" i="43"/>
  <c r="CI28" i="43"/>
  <c r="CI43" i="43" s="1"/>
  <c r="CI3" i="30"/>
  <c r="CI32" i="30" s="1"/>
  <c r="CI4" i="30"/>
  <c r="CI40" i="30" s="1"/>
  <c r="CI5" i="30"/>
  <c r="CI6" i="30"/>
  <c r="CI47" i="30" s="1"/>
  <c r="CI7" i="30"/>
  <c r="CI8" i="30"/>
  <c r="CI41" i="30" s="1"/>
  <c r="CI9" i="30"/>
  <c r="CI10" i="30"/>
  <c r="CI46" i="30" s="1"/>
  <c r="CI45" i="30" s="1"/>
  <c r="CI11" i="30"/>
  <c r="CI39" i="30" s="1"/>
  <c r="CI12" i="30"/>
  <c r="CI13" i="30"/>
  <c r="CI33" i="30" s="1"/>
  <c r="CI14" i="30"/>
  <c r="CI34" i="30" s="1"/>
  <c r="CI15" i="30"/>
  <c r="CI44" i="30" s="1"/>
  <c r="CI16" i="30"/>
  <c r="CI17" i="30"/>
  <c r="CI18" i="30"/>
  <c r="CI19" i="30"/>
  <c r="CI42" i="30" s="1"/>
  <c r="CI20" i="30"/>
  <c r="CI21" i="30"/>
  <c r="CI22" i="30"/>
  <c r="CI37" i="30" s="1"/>
  <c r="CI23" i="30"/>
  <c r="CI49" i="30" s="1"/>
  <c r="CI24" i="30"/>
  <c r="CI25" i="30"/>
  <c r="CI26" i="30"/>
  <c r="CI36" i="30" s="1"/>
  <c r="CI27" i="30"/>
  <c r="CI28" i="30"/>
  <c r="CI43" i="30" s="1"/>
  <c r="CI29" i="30"/>
  <c r="CI30" i="30"/>
  <c r="CI35" i="30" s="1"/>
  <c r="CT30" i="42"/>
  <c r="CT35" i="42" s="1"/>
  <c r="CT29" i="42"/>
  <c r="CT28" i="42"/>
  <c r="CT43" i="42" s="1"/>
  <c r="CT27" i="42"/>
  <c r="CT26" i="42"/>
  <c r="CT36" i="42" s="1"/>
  <c r="CT25" i="42"/>
  <c r="CT24" i="42"/>
  <c r="CT23" i="42"/>
  <c r="CT49" i="42" s="1"/>
  <c r="CT22" i="42"/>
  <c r="CT37" i="42" s="1"/>
  <c r="CT21" i="42"/>
  <c r="CT20" i="42"/>
  <c r="CT19" i="42"/>
  <c r="CT42" i="42" s="1"/>
  <c r="CT18" i="42"/>
  <c r="CT17" i="42"/>
  <c r="CT15" i="42"/>
  <c r="CT44" i="42" s="1"/>
  <c r="CT13" i="42"/>
  <c r="CT33" i="42" s="1"/>
  <c r="CT11" i="42"/>
  <c r="CT39" i="42" s="1"/>
  <c r="CT9" i="42"/>
  <c r="CT7" i="42"/>
  <c r="CT5" i="42"/>
  <c r="CT4" i="42"/>
  <c r="CT40" i="42" s="1"/>
  <c r="CT3" i="42"/>
  <c r="CT32" i="42" s="1"/>
  <c r="CT2" i="42"/>
  <c r="CT38" i="42" s="1"/>
  <c r="CT16" i="42"/>
  <c r="CT14" i="42"/>
  <c r="CT34" i="42" s="1"/>
  <c r="CT12" i="42"/>
  <c r="CT10" i="42"/>
  <c r="CT46" i="42" s="1"/>
  <c r="CT8" i="42"/>
  <c r="CT41" i="42" s="1"/>
  <c r="CT6" i="42"/>
  <c r="CT47" i="42" s="1"/>
  <c r="AV30" i="41"/>
  <c r="AV29" i="41"/>
  <c r="AV28" i="41"/>
  <c r="AV27" i="41"/>
  <c r="AV26" i="41"/>
  <c r="AV25" i="41"/>
  <c r="AV24" i="41"/>
  <c r="AV23" i="41"/>
  <c r="AV22" i="41"/>
  <c r="AV21" i="41"/>
  <c r="AV20" i="41"/>
  <c r="AV19" i="41"/>
  <c r="AV18" i="41"/>
  <c r="AV17" i="41"/>
  <c r="AV16" i="41"/>
  <c r="AV15" i="41"/>
  <c r="AV14" i="41"/>
  <c r="AV13" i="41"/>
  <c r="AV12" i="41"/>
  <c r="AV11" i="41"/>
  <c r="AV10" i="41"/>
  <c r="AV9" i="41"/>
  <c r="AV8" i="41"/>
  <c r="AV7" i="41"/>
  <c r="AV6" i="41"/>
  <c r="AV5" i="41"/>
  <c r="AV4" i="41"/>
  <c r="AV3" i="41"/>
  <c r="AV2" i="41"/>
  <c r="BU29" i="41"/>
  <c r="BU22" i="41"/>
  <c r="BU37" i="41" s="1"/>
  <c r="BU14" i="41"/>
  <c r="BU34" i="41" s="1"/>
  <c r="BU13" i="41"/>
  <c r="BU33" i="41" s="1"/>
  <c r="BU2" i="41"/>
  <c r="BU38" i="41" s="1"/>
  <c r="BU7" i="41"/>
  <c r="BU6" i="41"/>
  <c r="BT47" i="41" s="1"/>
  <c r="BU5" i="41"/>
  <c r="BU4" i="41"/>
  <c r="BU40" i="41" s="1"/>
  <c r="BU3" i="41"/>
  <c r="BU32" i="41" s="1"/>
  <c r="BU28" i="41"/>
  <c r="BU43" i="41" s="1"/>
  <c r="BU10" i="41"/>
  <c r="BT46" i="41" s="1"/>
  <c r="BU9" i="41"/>
  <c r="BU8" i="41"/>
  <c r="BU41" i="41" s="1"/>
  <c r="AV2" i="29"/>
  <c r="AV38" i="29" s="1"/>
  <c r="BU2" i="29"/>
  <c r="BU38" i="29" s="1"/>
  <c r="AV3" i="29"/>
  <c r="BU3" i="29"/>
  <c r="BU32" i="29" s="1"/>
  <c r="AV4" i="29"/>
  <c r="BU4" i="29"/>
  <c r="BU40" i="29" s="1"/>
  <c r="AV5" i="29"/>
  <c r="BU27" i="41"/>
  <c r="BU24" i="41"/>
  <c r="BU21" i="41"/>
  <c r="BU19" i="41"/>
  <c r="BU42" i="41" s="1"/>
  <c r="BU11" i="41"/>
  <c r="BU39" i="41" s="1"/>
  <c r="BU30" i="41"/>
  <c r="BU35" i="41" s="1"/>
  <c r="BU17" i="41"/>
  <c r="BU15" i="41"/>
  <c r="BU44" i="41" s="1"/>
  <c r="BU6" i="29"/>
  <c r="BT47" i="29" s="1"/>
  <c r="AV7" i="29"/>
  <c r="BU8" i="29"/>
  <c r="BU41" i="29" s="1"/>
  <c r="AV9" i="29"/>
  <c r="BU10" i="29"/>
  <c r="BT46" i="29" s="1"/>
  <c r="BT45" i="29" s="1"/>
  <c r="AV11" i="29"/>
  <c r="BU12" i="29"/>
  <c r="AV13" i="29"/>
  <c r="BU13" i="29"/>
  <c r="BU33" i="29" s="1"/>
  <c r="AV14" i="29"/>
  <c r="BU14" i="29"/>
  <c r="BU34" i="29" s="1"/>
  <c r="AV15" i="29"/>
  <c r="BU15" i="29"/>
  <c r="BU44" i="29" s="1"/>
  <c r="AV16" i="29"/>
  <c r="BU16" i="29"/>
  <c r="AV17" i="29"/>
  <c r="BU17" i="29"/>
  <c r="AV18" i="29"/>
  <c r="BU18" i="29"/>
  <c r="AV19" i="29"/>
  <c r="BU19" i="29"/>
  <c r="BU42" i="29" s="1"/>
  <c r="AV20" i="29"/>
  <c r="BU20" i="29"/>
  <c r="AV21" i="29"/>
  <c r="BU21" i="29"/>
  <c r="AV22" i="29"/>
  <c r="BU22" i="29"/>
  <c r="BU37" i="29" s="1"/>
  <c r="AV23" i="29"/>
  <c r="BU23" i="29"/>
  <c r="BU49" i="29" s="1"/>
  <c r="AV24" i="29"/>
  <c r="BU24" i="29"/>
  <c r="AV25" i="29"/>
  <c r="BU25" i="29"/>
  <c r="AV26" i="29"/>
  <c r="BU26" i="29"/>
  <c r="BU36" i="29" s="1"/>
  <c r="AV27" i="29"/>
  <c r="BU27" i="29"/>
  <c r="AV28" i="29"/>
  <c r="BU28" i="29"/>
  <c r="BU43" i="29" s="1"/>
  <c r="AV29" i="29"/>
  <c r="BU29" i="29"/>
  <c r="AV30" i="29"/>
  <c r="BU30" i="29"/>
  <c r="BU35" i="29" s="1"/>
  <c r="BU26" i="41"/>
  <c r="BU36" i="41" s="1"/>
  <c r="BU25" i="41"/>
  <c r="BU23" i="41"/>
  <c r="BU49" i="41" s="1"/>
  <c r="BU20" i="41"/>
  <c r="BU12" i="41"/>
  <c r="BU5" i="29"/>
  <c r="BU7" i="29"/>
  <c r="AV10" i="29"/>
  <c r="AV8" i="29"/>
  <c r="BU9" i="29"/>
  <c r="BU16" i="41"/>
  <c r="AV6" i="29"/>
  <c r="BU11" i="29"/>
  <c r="BU39" i="29" s="1"/>
  <c r="BU18" i="41"/>
  <c r="AV12" i="29"/>
  <c r="CT18" i="43"/>
  <c r="CT22" i="43"/>
  <c r="CT37" i="43" s="1"/>
  <c r="CT17" i="43"/>
  <c r="CT9" i="43"/>
  <c r="CT5" i="43"/>
  <c r="CT19" i="43"/>
  <c r="CT42" i="43" s="1"/>
  <c r="CT25" i="43"/>
  <c r="CT28" i="43"/>
  <c r="CT43" i="43" s="1"/>
  <c r="CT20" i="43"/>
  <c r="CT12" i="43"/>
  <c r="CT15" i="43"/>
  <c r="CT44" i="43" s="1"/>
  <c r="CT3" i="43"/>
  <c r="CT32" i="43" s="1"/>
  <c r="CT14" i="43"/>
  <c r="CT34" i="43" s="1"/>
  <c r="CT16" i="43"/>
  <c r="CT26" i="43"/>
  <c r="CT36" i="43" s="1"/>
  <c r="CT2" i="43"/>
  <c r="CT38" i="43" s="1"/>
  <c r="CT4" i="43"/>
  <c r="CT40" i="43" s="1"/>
  <c r="CT23" i="43"/>
  <c r="CT30" i="43"/>
  <c r="CT35" i="43" s="1"/>
  <c r="CT6" i="43"/>
  <c r="CT47" i="43" s="1"/>
  <c r="CT13" i="43"/>
  <c r="CT33" i="43" s="1"/>
  <c r="CT7" i="43"/>
  <c r="CT21" i="43"/>
  <c r="CT8" i="43"/>
  <c r="CT41" i="43" s="1"/>
  <c r="CT27" i="43"/>
  <c r="CT11" i="43"/>
  <c r="CT39" i="43" s="1"/>
  <c r="CT10" i="43"/>
  <c r="CT46" i="43" s="1"/>
  <c r="CT29" i="43"/>
  <c r="CT24" i="43"/>
  <c r="CT3" i="30"/>
  <c r="CT32" i="30" s="1"/>
  <c r="CT4" i="30"/>
  <c r="CT40" i="30" s="1"/>
  <c r="CT5" i="30"/>
  <c r="CT6" i="30"/>
  <c r="CT47" i="30" s="1"/>
  <c r="CT7" i="30"/>
  <c r="CT8" i="30"/>
  <c r="CT41" i="30" s="1"/>
  <c r="CT9" i="30"/>
  <c r="CT10" i="30"/>
  <c r="CT46" i="30" s="1"/>
  <c r="CT45" i="30" s="1"/>
  <c r="CT11" i="30"/>
  <c r="CT39" i="30" s="1"/>
  <c r="CT12" i="30"/>
  <c r="CT13" i="30"/>
  <c r="CT33" i="30" s="1"/>
  <c r="CT14" i="30"/>
  <c r="CT34" i="30" s="1"/>
  <c r="CT15" i="30"/>
  <c r="CT44" i="30" s="1"/>
  <c r="CT16" i="30"/>
  <c r="CT17" i="30"/>
  <c r="CT18" i="30"/>
  <c r="CT19" i="30"/>
  <c r="CT42" i="30" s="1"/>
  <c r="CT20" i="30"/>
  <c r="CT21" i="30"/>
  <c r="CT22" i="30"/>
  <c r="CT37" i="30" s="1"/>
  <c r="CT23" i="30"/>
  <c r="CT49" i="30" s="1"/>
  <c r="CT24" i="30"/>
  <c r="CT25" i="30"/>
  <c r="CT26" i="30"/>
  <c r="CT36" i="30" s="1"/>
  <c r="CT27" i="30"/>
  <c r="CT28" i="30"/>
  <c r="CT43" i="30" s="1"/>
  <c r="CT29" i="30"/>
  <c r="CT30" i="30"/>
  <c r="CT35" i="30" s="1"/>
  <c r="AT29" i="32"/>
  <c r="AT27" i="32"/>
  <c r="AT25" i="32"/>
  <c r="AT7" i="32"/>
  <c r="AT6" i="32"/>
  <c r="AT47" i="32" s="1"/>
  <c r="AO30" i="32"/>
  <c r="AO26" i="32"/>
  <c r="AO25" i="32"/>
  <c r="AO20" i="32"/>
  <c r="AO16" i="32"/>
  <c r="AO12" i="32"/>
  <c r="AO8" i="32"/>
  <c r="AO4" i="32"/>
  <c r="AT30" i="32"/>
  <c r="AT35" i="32" s="1"/>
  <c r="AT28" i="32"/>
  <c r="AT43" i="32" s="1"/>
  <c r="AT21" i="32"/>
  <c r="AT16" i="32"/>
  <c r="AT14" i="32"/>
  <c r="AT34" i="32" s="1"/>
  <c r="AT11" i="32"/>
  <c r="AT39" i="32" s="1"/>
  <c r="AT9" i="32"/>
  <c r="AT3" i="32"/>
  <c r="AT32" i="32" s="1"/>
  <c r="AO29" i="32"/>
  <c r="AO24" i="32"/>
  <c r="AO23" i="32"/>
  <c r="AO19" i="32"/>
  <c r="AO15" i="32"/>
  <c r="AO11" i="32"/>
  <c r="AO7" i="32"/>
  <c r="AO3" i="32"/>
  <c r="AT23" i="32"/>
  <c r="AT49" i="32" s="1"/>
  <c r="AT17" i="32"/>
  <c r="AT13" i="32"/>
  <c r="AT33" i="32" s="1"/>
  <c r="AT5" i="32"/>
  <c r="AO28" i="32"/>
  <c r="AO22" i="32"/>
  <c r="AO18" i="32"/>
  <c r="AO14" i="32"/>
  <c r="AO21" i="32"/>
  <c r="AO13" i="32"/>
  <c r="AT22" i="32"/>
  <c r="AT37" i="32" s="1"/>
  <c r="AT19" i="32"/>
  <c r="AT42" i="32" s="1"/>
  <c r="AT12" i="32"/>
  <c r="AT4" i="32"/>
  <c r="AT40" i="32" s="1"/>
  <c r="AO27" i="32"/>
  <c r="AO10" i="32"/>
  <c r="AO6" i="32"/>
  <c r="AO2" i="32"/>
  <c r="AT20" i="32"/>
  <c r="AT15" i="32"/>
  <c r="AT44" i="32" s="1"/>
  <c r="AT8" i="32"/>
  <c r="AT41" i="32" s="1"/>
  <c r="AO17" i="32"/>
  <c r="AT18" i="32"/>
  <c r="AT24" i="32"/>
  <c r="AT10" i="32"/>
  <c r="AT46" i="32" s="1"/>
  <c r="AO9" i="32"/>
  <c r="AT26" i="32"/>
  <c r="AT36" i="32" s="1"/>
  <c r="AO5" i="32"/>
  <c r="AT2" i="32"/>
  <c r="AT38" i="32" s="1"/>
  <c r="AO29" i="5"/>
  <c r="AO27" i="5"/>
  <c r="AO25" i="5"/>
  <c r="AO23" i="5"/>
  <c r="AO21" i="5"/>
  <c r="AO19" i="5"/>
  <c r="AO17" i="5"/>
  <c r="AO15" i="5"/>
  <c r="AO13" i="5"/>
  <c r="AO11" i="5"/>
  <c r="AO9" i="5"/>
  <c r="AO7" i="5"/>
  <c r="AO5" i="5"/>
  <c r="AO3" i="5"/>
  <c r="AO2" i="5"/>
  <c r="AO30" i="5"/>
  <c r="AO28" i="5"/>
  <c r="AO26" i="5"/>
  <c r="AO24" i="5"/>
  <c r="AO22" i="5"/>
  <c r="AO20" i="5"/>
  <c r="AO18" i="5"/>
  <c r="AO16" i="5"/>
  <c r="AO14" i="5"/>
  <c r="AO12" i="5"/>
  <c r="AO10" i="5"/>
  <c r="AO8" i="5"/>
  <c r="AO6" i="5"/>
  <c r="AO4" i="5"/>
  <c r="AP30" i="42"/>
  <c r="AP35" i="42" s="1"/>
  <c r="AP29" i="42"/>
  <c r="AP28" i="42"/>
  <c r="AP43" i="42" s="1"/>
  <c r="AP27" i="42"/>
  <c r="AP26" i="42"/>
  <c r="AP36" i="42" s="1"/>
  <c r="AP25" i="42"/>
  <c r="AP24" i="42"/>
  <c r="AP23" i="42"/>
  <c r="AP22" i="42"/>
  <c r="AP37" i="42" s="1"/>
  <c r="AP21" i="42"/>
  <c r="AP20" i="42"/>
  <c r="AP19" i="42"/>
  <c r="AP42" i="42" s="1"/>
  <c r="AP18" i="42"/>
  <c r="AP17" i="42"/>
  <c r="AP16" i="42"/>
  <c r="AP15" i="42"/>
  <c r="AP44" i="42" s="1"/>
  <c r="AP14" i="42"/>
  <c r="AP34" i="42" s="1"/>
  <c r="AP13" i="42"/>
  <c r="AP33" i="42" s="1"/>
  <c r="AP12" i="42"/>
  <c r="AP11" i="42"/>
  <c r="AP39" i="42" s="1"/>
  <c r="AP10" i="42"/>
  <c r="AP46" i="42" s="1"/>
  <c r="AP9" i="42"/>
  <c r="AP8" i="42"/>
  <c r="AP41" i="42" s="1"/>
  <c r="AP7" i="42"/>
  <c r="AP6" i="42"/>
  <c r="AP47" i="42" s="1"/>
  <c r="AP5" i="42"/>
  <c r="AP4" i="42"/>
  <c r="AP40" i="42" s="1"/>
  <c r="AP3" i="42"/>
  <c r="AP32" i="42" s="1"/>
  <c r="AP31" i="42" s="1"/>
  <c r="AP2" i="42"/>
  <c r="AP38" i="42" s="1"/>
  <c r="Q30" i="41"/>
  <c r="Q29" i="41"/>
  <c r="Q28" i="41"/>
  <c r="Q27" i="41"/>
  <c r="Q26" i="41"/>
  <c r="Q25" i="41"/>
  <c r="Q24" i="41"/>
  <c r="Q23" i="41"/>
  <c r="Q22" i="41"/>
  <c r="Q21" i="41"/>
  <c r="Q20" i="41"/>
  <c r="Q19" i="41"/>
  <c r="Q18" i="41"/>
  <c r="Q17" i="41"/>
  <c r="Q16" i="41"/>
  <c r="Q15" i="41"/>
  <c r="Q14" i="41"/>
  <c r="Q13" i="41"/>
  <c r="Q12" i="41"/>
  <c r="Q11" i="41"/>
  <c r="Q10" i="41"/>
  <c r="Q9" i="41"/>
  <c r="Q8" i="41"/>
  <c r="Q7" i="41"/>
  <c r="Q6" i="41"/>
  <c r="Q5" i="41"/>
  <c r="Q4" i="41"/>
  <c r="Q3" i="41"/>
  <c r="Q2" i="41"/>
  <c r="Q2" i="29"/>
  <c r="Q38" i="29" s="1"/>
  <c r="Q3" i="29"/>
  <c r="Q4" i="29"/>
  <c r="Q5" i="29"/>
  <c r="Q6" i="29"/>
  <c r="Q7" i="29"/>
  <c r="Q8" i="29"/>
  <c r="Q9" i="29"/>
  <c r="Q10" i="29"/>
  <c r="Q11" i="29"/>
  <c r="Q12" i="29"/>
  <c r="Q24" i="29"/>
  <c r="Q28" i="29"/>
  <c r="Q13" i="29"/>
  <c r="Q15" i="29"/>
  <c r="Q17" i="29"/>
  <c r="Q19" i="29"/>
  <c r="Q21" i="29"/>
  <c r="Q23" i="29"/>
  <c r="Q25" i="29"/>
  <c r="Q27" i="29"/>
  <c r="Q29" i="29"/>
  <c r="Q18" i="29"/>
  <c r="Q22" i="29"/>
  <c r="Q30" i="29"/>
  <c r="Q14" i="29"/>
  <c r="Q16" i="29"/>
  <c r="Q20" i="29"/>
  <c r="Q26" i="29"/>
  <c r="AP26" i="43"/>
  <c r="AP36" i="43" s="1"/>
  <c r="AP21" i="43"/>
  <c r="AP2" i="43"/>
  <c r="AP38" i="43" s="1"/>
  <c r="AP15" i="43"/>
  <c r="AP44" i="43" s="1"/>
  <c r="AP27" i="43"/>
  <c r="AP4" i="43"/>
  <c r="AP40" i="43" s="1"/>
  <c r="AP30" i="43"/>
  <c r="AP35" i="43" s="1"/>
  <c r="AP13" i="43"/>
  <c r="AP33" i="43" s="1"/>
  <c r="AP5" i="43"/>
  <c r="AP19" i="43"/>
  <c r="AP42" i="43" s="1"/>
  <c r="AP7" i="43"/>
  <c r="AP18" i="43"/>
  <c r="AP25" i="43"/>
  <c r="AP28" i="43"/>
  <c r="AP43" i="43" s="1"/>
  <c r="AP20" i="43"/>
  <c r="AP12" i="43"/>
  <c r="AP3" i="43"/>
  <c r="AP32" i="43" s="1"/>
  <c r="AP8" i="43"/>
  <c r="AP41" i="43" s="1"/>
  <c r="AP11" i="43"/>
  <c r="AP39" i="43" s="1"/>
  <c r="AP10" i="43"/>
  <c r="AP46" i="43" s="1"/>
  <c r="AP29" i="43"/>
  <c r="AP24" i="43"/>
  <c r="AP16" i="43"/>
  <c r="AP23" i="43"/>
  <c r="AP22" i="43"/>
  <c r="AP37" i="43" s="1"/>
  <c r="AP6" i="43"/>
  <c r="AP47" i="43" s="1"/>
  <c r="AP17" i="43"/>
  <c r="AP9" i="43"/>
  <c r="AP14" i="43"/>
  <c r="AP34" i="43" s="1"/>
  <c r="AP5" i="30"/>
  <c r="AP9" i="30"/>
  <c r="AP13" i="30"/>
  <c r="AP33" i="30" s="1"/>
  <c r="AP17" i="30"/>
  <c r="AP20" i="30"/>
  <c r="AP22" i="30"/>
  <c r="AP37" i="30" s="1"/>
  <c r="AP28" i="30"/>
  <c r="AP43" i="30" s="1"/>
  <c r="AP30" i="30"/>
  <c r="AP35" i="30" s="1"/>
  <c r="AP6" i="30"/>
  <c r="AP47" i="30" s="1"/>
  <c r="AP10" i="30"/>
  <c r="AP46" i="30" s="1"/>
  <c r="AP45" i="30" s="1"/>
  <c r="AP19" i="30"/>
  <c r="AP42" i="30" s="1"/>
  <c r="AP21" i="30"/>
  <c r="AP29" i="30"/>
  <c r="AP2" i="30"/>
  <c r="AP38" i="30" s="1"/>
  <c r="AP4" i="30"/>
  <c r="AP40" i="30" s="1"/>
  <c r="AP8" i="30"/>
  <c r="AP41" i="30" s="1"/>
  <c r="AP12" i="30"/>
  <c r="AP16" i="30"/>
  <c r="AP23" i="30"/>
  <c r="AP25" i="30"/>
  <c r="AP14" i="30"/>
  <c r="AP34" i="30" s="1"/>
  <c r="AP27" i="30"/>
  <c r="AP3" i="30"/>
  <c r="AP32" i="30" s="1"/>
  <c r="AP7" i="30"/>
  <c r="AP11" i="30"/>
  <c r="AP39" i="30" s="1"/>
  <c r="AP15" i="30"/>
  <c r="AP44" i="30" s="1"/>
  <c r="AP18" i="30"/>
  <c r="AP24" i="30"/>
  <c r="AP26" i="30"/>
  <c r="AP36" i="30" s="1"/>
  <c r="C40" i="20"/>
  <c r="E40" i="20" s="1"/>
  <c r="E4" i="20"/>
  <c r="E11" i="45"/>
  <c r="C39" i="45"/>
  <c r="E39" i="45" s="1"/>
  <c r="E26" i="20"/>
  <c r="C36" i="20"/>
  <c r="E36" i="20" s="1"/>
  <c r="E2" i="45"/>
  <c r="C38" i="45"/>
  <c r="E38" i="45" s="1"/>
  <c r="AH38" i="37"/>
  <c r="AF61" i="37"/>
  <c r="AF75" i="37"/>
  <c r="AC43" i="37"/>
  <c r="D73" i="37"/>
  <c r="D59" i="37"/>
  <c r="H65" i="16"/>
  <c r="K65" i="16" s="1"/>
  <c r="H51" i="16"/>
  <c r="K51" i="16" s="1"/>
  <c r="AH40" i="16"/>
  <c r="K32" i="16"/>
  <c r="AF51" i="16"/>
  <c r="AF65" i="16"/>
  <c r="AF55" i="16"/>
  <c r="AF69" i="16"/>
  <c r="CC30" i="42"/>
  <c r="CC35" i="42" s="1"/>
  <c r="CC29" i="42"/>
  <c r="CC28" i="42"/>
  <c r="CC43" i="42" s="1"/>
  <c r="CC27" i="42"/>
  <c r="CC26" i="42"/>
  <c r="CC36" i="42" s="1"/>
  <c r="CC25" i="42"/>
  <c r="CC24" i="42"/>
  <c r="CC23" i="42"/>
  <c r="CC49" i="42" s="1"/>
  <c r="CC22" i="42"/>
  <c r="CC37" i="42" s="1"/>
  <c r="CC21" i="42"/>
  <c r="CC20" i="42"/>
  <c r="CC19" i="42"/>
  <c r="CC42" i="42" s="1"/>
  <c r="AE30" i="41"/>
  <c r="AE29" i="41"/>
  <c r="AE28" i="41"/>
  <c r="AE27" i="41"/>
  <c r="AE26" i="41"/>
  <c r="AE25" i="41"/>
  <c r="AE24" i="41"/>
  <c r="AE23" i="41"/>
  <c r="AE22" i="41"/>
  <c r="AE21" i="41"/>
  <c r="AE20" i="41"/>
  <c r="AE19" i="41"/>
  <c r="AE18" i="41"/>
  <c r="AE17" i="41"/>
  <c r="AE16" i="41"/>
  <c r="AE15" i="41"/>
  <c r="AE14" i="41"/>
  <c r="AE13" i="41"/>
  <c r="AE12" i="41"/>
  <c r="AE11" i="41"/>
  <c r="AE10" i="41"/>
  <c r="AE9" i="41"/>
  <c r="AE8" i="41"/>
  <c r="AE7" i="41"/>
  <c r="AE6" i="41"/>
  <c r="AE5" i="41"/>
  <c r="AE4" i="41"/>
  <c r="AE3" i="41"/>
  <c r="AE2" i="41"/>
  <c r="CC18" i="42"/>
  <c r="CC16" i="42"/>
  <c r="CC14" i="42"/>
  <c r="CC34" i="42" s="1"/>
  <c r="CC12" i="42"/>
  <c r="CC10" i="42"/>
  <c r="CC46" i="42" s="1"/>
  <c r="CC8" i="42"/>
  <c r="CC41" i="42" s="1"/>
  <c r="CC6" i="42"/>
  <c r="CC47" i="42" s="1"/>
  <c r="CC4" i="42"/>
  <c r="CC40" i="42" s="1"/>
  <c r="CC3" i="42"/>
  <c r="CC32" i="42" s="1"/>
  <c r="CC2" i="42"/>
  <c r="CC38" i="42" s="1"/>
  <c r="CC13" i="42"/>
  <c r="CC33" i="42" s="1"/>
  <c r="CC5" i="42"/>
  <c r="BD30" i="41"/>
  <c r="BD35" i="41" s="1"/>
  <c r="BD27" i="41"/>
  <c r="BD26" i="41"/>
  <c r="BD36" i="41" s="1"/>
  <c r="BD25" i="41"/>
  <c r="BD24" i="41"/>
  <c r="BD23" i="41"/>
  <c r="BD49" i="41" s="1"/>
  <c r="BD21" i="41"/>
  <c r="BD20" i="41"/>
  <c r="BD19" i="41"/>
  <c r="BD42" i="41" s="1"/>
  <c r="BD18" i="41"/>
  <c r="BD17" i="41"/>
  <c r="BD16" i="41"/>
  <c r="BD15" i="41"/>
  <c r="BD44" i="41" s="1"/>
  <c r="BD12" i="41"/>
  <c r="BD11" i="41"/>
  <c r="BD39" i="41" s="1"/>
  <c r="CC11" i="42"/>
  <c r="CC39" i="42" s="1"/>
  <c r="BD22" i="41"/>
  <c r="BD37" i="41" s="1"/>
  <c r="BD14" i="41"/>
  <c r="BD34" i="41" s="1"/>
  <c r="BD13" i="41"/>
  <c r="BD33" i="41" s="1"/>
  <c r="BD2" i="41"/>
  <c r="BD38" i="41" s="1"/>
  <c r="AE2" i="29"/>
  <c r="AE38" i="29" s="1"/>
  <c r="BD2" i="29"/>
  <c r="BD38" i="29" s="1"/>
  <c r="AE3" i="29"/>
  <c r="BD3" i="29"/>
  <c r="BD32" i="29" s="1"/>
  <c r="BD31" i="29" s="1"/>
  <c r="AE4" i="29"/>
  <c r="BD4" i="29"/>
  <c r="BD40" i="29" s="1"/>
  <c r="AE5" i="29"/>
  <c r="BD5" i="29"/>
  <c r="CC17" i="42"/>
  <c r="CC9" i="42"/>
  <c r="BD7" i="41"/>
  <c r="BD6" i="41"/>
  <c r="BD5" i="41"/>
  <c r="BD4" i="41"/>
  <c r="BD40" i="41" s="1"/>
  <c r="BD3" i="41"/>
  <c r="BD32" i="41" s="1"/>
  <c r="CC15" i="42"/>
  <c r="CC44" i="42" s="1"/>
  <c r="BD28" i="41"/>
  <c r="BD43" i="41" s="1"/>
  <c r="BD9" i="41"/>
  <c r="BD6" i="29"/>
  <c r="AE7" i="29"/>
  <c r="BD8" i="29"/>
  <c r="BD41" i="29" s="1"/>
  <c r="AE9" i="29"/>
  <c r="BD10" i="29"/>
  <c r="AE11" i="29"/>
  <c r="BD12" i="29"/>
  <c r="AE13" i="29"/>
  <c r="BD13" i="29"/>
  <c r="BD33" i="29" s="1"/>
  <c r="AE14" i="29"/>
  <c r="BD14" i="29"/>
  <c r="BD34" i="29" s="1"/>
  <c r="AE15" i="29"/>
  <c r="BD15" i="29"/>
  <c r="BD44" i="29" s="1"/>
  <c r="AE16" i="29"/>
  <c r="BD16" i="29"/>
  <c r="AE17" i="29"/>
  <c r="BD17" i="29"/>
  <c r="AE18" i="29"/>
  <c r="BD18" i="29"/>
  <c r="AE19" i="29"/>
  <c r="BD19" i="29"/>
  <c r="BD42" i="29" s="1"/>
  <c r="AE20" i="29"/>
  <c r="BD20" i="29"/>
  <c r="AE21" i="29"/>
  <c r="BD21" i="29"/>
  <c r="AE22" i="29"/>
  <c r="BD22" i="29"/>
  <c r="BD37" i="29" s="1"/>
  <c r="AE23" i="29"/>
  <c r="BD23" i="29"/>
  <c r="BD49" i="29" s="1"/>
  <c r="AE24" i="29"/>
  <c r="BD24" i="29"/>
  <c r="AE25" i="29"/>
  <c r="BD25" i="29"/>
  <c r="AE26" i="29"/>
  <c r="BD26" i="29"/>
  <c r="BD36" i="29" s="1"/>
  <c r="AE27" i="29"/>
  <c r="BD27" i="29"/>
  <c r="AE28" i="29"/>
  <c r="BD28" i="29"/>
  <c r="BD43" i="29" s="1"/>
  <c r="AE29" i="29"/>
  <c r="BD29" i="29"/>
  <c r="AE30" i="29"/>
  <c r="BD30" i="29"/>
  <c r="BD35" i="29" s="1"/>
  <c r="CC7" i="42"/>
  <c r="BD10" i="41"/>
  <c r="BD29" i="41"/>
  <c r="BD8" i="41"/>
  <c r="BD41" i="41" s="1"/>
  <c r="AE6" i="29"/>
  <c r="BD7" i="29"/>
  <c r="AE8" i="29"/>
  <c r="BD9" i="29"/>
  <c r="AE10" i="29"/>
  <c r="BD11" i="29"/>
  <c r="BD39" i="29" s="1"/>
  <c r="AE12" i="29"/>
  <c r="CC22" i="43"/>
  <c r="CC37" i="43" s="1"/>
  <c r="CC17" i="43"/>
  <c r="CC9" i="43"/>
  <c r="CC5" i="43"/>
  <c r="CC2" i="43"/>
  <c r="CC38" i="43" s="1"/>
  <c r="CC19" i="43"/>
  <c r="CC42" i="43" s="1"/>
  <c r="CC18" i="43"/>
  <c r="CC25" i="43"/>
  <c r="CC28" i="43"/>
  <c r="CC43" i="43" s="1"/>
  <c r="CC20" i="43"/>
  <c r="CC12" i="43"/>
  <c r="CC15" i="43"/>
  <c r="CC44" i="43" s="1"/>
  <c r="CC3" i="43"/>
  <c r="CC32" i="43" s="1"/>
  <c r="CC14" i="43"/>
  <c r="CC34" i="43" s="1"/>
  <c r="CC16" i="43"/>
  <c r="CC26" i="43"/>
  <c r="CC36" i="43" s="1"/>
  <c r="CC10" i="43"/>
  <c r="CC46" i="43" s="1"/>
  <c r="CC4" i="43"/>
  <c r="CC40" i="43" s="1"/>
  <c r="CC23" i="43"/>
  <c r="CC30" i="43"/>
  <c r="CC35" i="43" s="1"/>
  <c r="CC6" i="43"/>
  <c r="CC47" i="43" s="1"/>
  <c r="CC13" i="43"/>
  <c r="CC33" i="43" s="1"/>
  <c r="CC7" i="43"/>
  <c r="CC21" i="43"/>
  <c r="CC8" i="43"/>
  <c r="CC41" i="43" s="1"/>
  <c r="CC27" i="43"/>
  <c r="CC11" i="43"/>
  <c r="CC39" i="43" s="1"/>
  <c r="CC29" i="43"/>
  <c r="CC24" i="43"/>
  <c r="CC3" i="30"/>
  <c r="CC32" i="30" s="1"/>
  <c r="CC4" i="30"/>
  <c r="CC40" i="30" s="1"/>
  <c r="CC5" i="30"/>
  <c r="CC6" i="30"/>
  <c r="CC47" i="30" s="1"/>
  <c r="CC7" i="30"/>
  <c r="CC8" i="30"/>
  <c r="CC41" i="30" s="1"/>
  <c r="CC9" i="30"/>
  <c r="CC10" i="30"/>
  <c r="CC46" i="30" s="1"/>
  <c r="CC45" i="30" s="1"/>
  <c r="CC11" i="30"/>
  <c r="CC39" i="30" s="1"/>
  <c r="CC12" i="30"/>
  <c r="CC13" i="30"/>
  <c r="CC33" i="30" s="1"/>
  <c r="CC14" i="30"/>
  <c r="CC34" i="30" s="1"/>
  <c r="CC15" i="30"/>
  <c r="CC44" i="30" s="1"/>
  <c r="CC16" i="30"/>
  <c r="CC17" i="30"/>
  <c r="CC18" i="30"/>
  <c r="CC19" i="30"/>
  <c r="CC42" i="30" s="1"/>
  <c r="CC20" i="30"/>
  <c r="CC21" i="30"/>
  <c r="CC22" i="30"/>
  <c r="CC37" i="30" s="1"/>
  <c r="CC23" i="30"/>
  <c r="CC49" i="30" s="1"/>
  <c r="CC24" i="30"/>
  <c r="CC25" i="30"/>
  <c r="CC26" i="30"/>
  <c r="CC36" i="30" s="1"/>
  <c r="CC27" i="30"/>
  <c r="CC28" i="30"/>
  <c r="CC43" i="30" s="1"/>
  <c r="CC29" i="30"/>
  <c r="CC30" i="30"/>
  <c r="CC35" i="30" s="1"/>
  <c r="CR30" i="42"/>
  <c r="CR35" i="42" s="1"/>
  <c r="CR29" i="42"/>
  <c r="CR28" i="42"/>
  <c r="CR43" i="42" s="1"/>
  <c r="CR27" i="42"/>
  <c r="CR26" i="42"/>
  <c r="CR36" i="42" s="1"/>
  <c r="CR25" i="42"/>
  <c r="CR24" i="42"/>
  <c r="CR23" i="42"/>
  <c r="CR49" i="42" s="1"/>
  <c r="CR22" i="42"/>
  <c r="CR37" i="42" s="1"/>
  <c r="CR21" i="42"/>
  <c r="CR20" i="42"/>
  <c r="CR19" i="42"/>
  <c r="CR42" i="42" s="1"/>
  <c r="CR18" i="42"/>
  <c r="CR17" i="42"/>
  <c r="CR16" i="42"/>
  <c r="CR15" i="42"/>
  <c r="CR44" i="42" s="1"/>
  <c r="CR14" i="42"/>
  <c r="CR34" i="42" s="1"/>
  <c r="CR13" i="42"/>
  <c r="CR33" i="42" s="1"/>
  <c r="CR12" i="42"/>
  <c r="CR11" i="42"/>
  <c r="CR39" i="42" s="1"/>
  <c r="CR10" i="42"/>
  <c r="CR46" i="42" s="1"/>
  <c r="CR9" i="42"/>
  <c r="CR8" i="42"/>
  <c r="CR41" i="42" s="1"/>
  <c r="CR7" i="42"/>
  <c r="CR6" i="42"/>
  <c r="CR47" i="42" s="1"/>
  <c r="CR5" i="42"/>
  <c r="CR4" i="42"/>
  <c r="CR40" i="42" s="1"/>
  <c r="CR3" i="42"/>
  <c r="CR32" i="42" s="1"/>
  <c r="CR2" i="42"/>
  <c r="CR38" i="42" s="1"/>
  <c r="BS30" i="41"/>
  <c r="BS35" i="41" s="1"/>
  <c r="AT30" i="41"/>
  <c r="AT29" i="41"/>
  <c r="AT28" i="41"/>
  <c r="AT27" i="41"/>
  <c r="AT26" i="41"/>
  <c r="AT25" i="41"/>
  <c r="AT24" i="41"/>
  <c r="AT23" i="41"/>
  <c r="AT22" i="41"/>
  <c r="AT21" i="41"/>
  <c r="AT20" i="41"/>
  <c r="AT19" i="41"/>
  <c r="AT18" i="41"/>
  <c r="AT17" i="41"/>
  <c r="AT16" i="41"/>
  <c r="AT15" i="41"/>
  <c r="AT14" i="41"/>
  <c r="AT13" i="41"/>
  <c r="AT12" i="41"/>
  <c r="AT11" i="41"/>
  <c r="AT10" i="41"/>
  <c r="AT9" i="41"/>
  <c r="AT8" i="41"/>
  <c r="AT7" i="41"/>
  <c r="AT6" i="41"/>
  <c r="AT5" i="41"/>
  <c r="AT4" i="41"/>
  <c r="AT3" i="41"/>
  <c r="AT2" i="41"/>
  <c r="BS29" i="41"/>
  <c r="BS28" i="41"/>
  <c r="BS43" i="41" s="1"/>
  <c r="BS10" i="41"/>
  <c r="BR46" i="41" s="1"/>
  <c r="BS9" i="41"/>
  <c r="BS8" i="41"/>
  <c r="BS41" i="41" s="1"/>
  <c r="AT2" i="29"/>
  <c r="AT38" i="29" s="1"/>
  <c r="BS2" i="29"/>
  <c r="BS38" i="29" s="1"/>
  <c r="AT3" i="29"/>
  <c r="BS3" i="29"/>
  <c r="BS32" i="29" s="1"/>
  <c r="AT4" i="29"/>
  <c r="BS4" i="29"/>
  <c r="BS40" i="29" s="1"/>
  <c r="AT5" i="29"/>
  <c r="BS5" i="29"/>
  <c r="AT6" i="29"/>
  <c r="BS6" i="29"/>
  <c r="BR47" i="29" s="1"/>
  <c r="AT7" i="29"/>
  <c r="BS7" i="29"/>
  <c r="AT8" i="29"/>
  <c r="BS8" i="29"/>
  <c r="BS41" i="29" s="1"/>
  <c r="AT9" i="29"/>
  <c r="BS9" i="29"/>
  <c r="AT10" i="29"/>
  <c r="BS10" i="29"/>
  <c r="BR46" i="29" s="1"/>
  <c r="BR45" i="29" s="1"/>
  <c r="AT11" i="29"/>
  <c r="BS11" i="29"/>
  <c r="BS39" i="29" s="1"/>
  <c r="AT12" i="29"/>
  <c r="BS27" i="41"/>
  <c r="BS26" i="41"/>
  <c r="BS36" i="41" s="1"/>
  <c r="BS25" i="41"/>
  <c r="BS24" i="41"/>
  <c r="BS23" i="41"/>
  <c r="BS49" i="41" s="1"/>
  <c r="BS21" i="41"/>
  <c r="BS20" i="41"/>
  <c r="BS19" i="41"/>
  <c r="BS42" i="41" s="1"/>
  <c r="BS18" i="41"/>
  <c r="BS17" i="41"/>
  <c r="BS16" i="41"/>
  <c r="BS15" i="41"/>
  <c r="BS44" i="41" s="1"/>
  <c r="BS12" i="41"/>
  <c r="BS11" i="41"/>
  <c r="BS39" i="41" s="1"/>
  <c r="BS22" i="41"/>
  <c r="BS37" i="41" s="1"/>
  <c r="BS14" i="41"/>
  <c r="BS34" i="41" s="1"/>
  <c r="BS13" i="41"/>
  <c r="BS33" i="41" s="1"/>
  <c r="BS2" i="41"/>
  <c r="BS38" i="41" s="1"/>
  <c r="BS4" i="41"/>
  <c r="BS40" i="41" s="1"/>
  <c r="BS6" i="41"/>
  <c r="BR47" i="41" s="1"/>
  <c r="BS5" i="41"/>
  <c r="BS12" i="29"/>
  <c r="AT13" i="29"/>
  <c r="BS14" i="29"/>
  <c r="BS34" i="29" s="1"/>
  <c r="AT15" i="29"/>
  <c r="BS16" i="29"/>
  <c r="AT17" i="29"/>
  <c r="BS18" i="29"/>
  <c r="AT19" i="29"/>
  <c r="BS20" i="29"/>
  <c r="AT21" i="29"/>
  <c r="BS22" i="29"/>
  <c r="BS37" i="29" s="1"/>
  <c r="AT23" i="29"/>
  <c r="BS24" i="29"/>
  <c r="AT25" i="29"/>
  <c r="BS26" i="29"/>
  <c r="BS36" i="29" s="1"/>
  <c r="AT27" i="29"/>
  <c r="BS28" i="29"/>
  <c r="BS43" i="29" s="1"/>
  <c r="AT29" i="29"/>
  <c r="BS30" i="29"/>
  <c r="BS35" i="29" s="1"/>
  <c r="BS3" i="41"/>
  <c r="BS32" i="41" s="1"/>
  <c r="BS13" i="29"/>
  <c r="BS33" i="29" s="1"/>
  <c r="AT14" i="29"/>
  <c r="BS15" i="29"/>
  <c r="BS44" i="29" s="1"/>
  <c r="AT16" i="29"/>
  <c r="BS17" i="29"/>
  <c r="AT18" i="29"/>
  <c r="BS19" i="29"/>
  <c r="BS42" i="29" s="1"/>
  <c r="AT20" i="29"/>
  <c r="BS21" i="29"/>
  <c r="AT22" i="29"/>
  <c r="BS23" i="29"/>
  <c r="BS49" i="29" s="1"/>
  <c r="AT24" i="29"/>
  <c r="BS25" i="29"/>
  <c r="AT26" i="29"/>
  <c r="BS27" i="29"/>
  <c r="AT28" i="29"/>
  <c r="BS29" i="29"/>
  <c r="AT30" i="29"/>
  <c r="BS7" i="41"/>
  <c r="CR26" i="43"/>
  <c r="CR36" i="43" s="1"/>
  <c r="CR22" i="43"/>
  <c r="CR37" i="43" s="1"/>
  <c r="CR17" i="43"/>
  <c r="CR9" i="43"/>
  <c r="CR5" i="43"/>
  <c r="CR19" i="43"/>
  <c r="CR42" i="43" s="1"/>
  <c r="CR25" i="43"/>
  <c r="CR28" i="43"/>
  <c r="CR43" i="43" s="1"/>
  <c r="CR20" i="43"/>
  <c r="CR12" i="43"/>
  <c r="CR15" i="43"/>
  <c r="CR44" i="43" s="1"/>
  <c r="CR3" i="43"/>
  <c r="CR32" i="43" s="1"/>
  <c r="CR14" i="43"/>
  <c r="CR34" i="43" s="1"/>
  <c r="CR16" i="43"/>
  <c r="CR18" i="43"/>
  <c r="CR29" i="43"/>
  <c r="CR24" i="43"/>
  <c r="CR2" i="43"/>
  <c r="CR38" i="43" s="1"/>
  <c r="CR30" i="43"/>
  <c r="CR35" i="43" s="1"/>
  <c r="CR6" i="43"/>
  <c r="CR47" i="43" s="1"/>
  <c r="CR13" i="43"/>
  <c r="CR33" i="43" s="1"/>
  <c r="CR7" i="43"/>
  <c r="CR21" i="43"/>
  <c r="CR8" i="43"/>
  <c r="CR41" i="43" s="1"/>
  <c r="CR27" i="43"/>
  <c r="CR11" i="43"/>
  <c r="CR39" i="43" s="1"/>
  <c r="CR10" i="43"/>
  <c r="CR46" i="43" s="1"/>
  <c r="CR4" i="43"/>
  <c r="CR40" i="43" s="1"/>
  <c r="CR23" i="43"/>
  <c r="CR3" i="30"/>
  <c r="CR32" i="30" s="1"/>
  <c r="CR5" i="30"/>
  <c r="CR8" i="30"/>
  <c r="CR41" i="30" s="1"/>
  <c r="CR14" i="30"/>
  <c r="CR34" i="30" s="1"/>
  <c r="CR20" i="30"/>
  <c r="CR22" i="30"/>
  <c r="CR37" i="30" s="1"/>
  <c r="CR30" i="30"/>
  <c r="CR35" i="30" s="1"/>
  <c r="CR23" i="30"/>
  <c r="CR49" i="30" s="1"/>
  <c r="CR24" i="30"/>
  <c r="CR25" i="30"/>
  <c r="CR28" i="30"/>
  <c r="CR43" i="30" s="1"/>
  <c r="CR4" i="30"/>
  <c r="CR40" i="30" s="1"/>
  <c r="CR6" i="30"/>
  <c r="CR47" i="30" s="1"/>
  <c r="CR7" i="30"/>
  <c r="CR9" i="30"/>
  <c r="CR10" i="30"/>
  <c r="CR46" i="30" s="1"/>
  <c r="CR11" i="30"/>
  <c r="CR39" i="30" s="1"/>
  <c r="CR12" i="30"/>
  <c r="CR13" i="30"/>
  <c r="CR33" i="30" s="1"/>
  <c r="CR15" i="30"/>
  <c r="CR44" i="30" s="1"/>
  <c r="CR16" i="30"/>
  <c r="CR17" i="30"/>
  <c r="CR18" i="30"/>
  <c r="CR19" i="30"/>
  <c r="CR42" i="30" s="1"/>
  <c r="CR21" i="30"/>
  <c r="CR26" i="30"/>
  <c r="CR36" i="30" s="1"/>
  <c r="CR27" i="30"/>
  <c r="CR29" i="30"/>
  <c r="EA30" i="38"/>
  <c r="EA35" i="38" s="1"/>
  <c r="EO35" i="38" s="1"/>
  <c r="BU28" i="38"/>
  <c r="BU43" i="38" s="1"/>
  <c r="CI43" i="38" s="1"/>
  <c r="D28" i="38"/>
  <c r="EA27" i="38"/>
  <c r="BU26" i="38"/>
  <c r="BU36" i="38" s="1"/>
  <c r="CI36" i="38" s="1"/>
  <c r="D26" i="38"/>
  <c r="EA25" i="38"/>
  <c r="BU22" i="38"/>
  <c r="BU37" i="38" s="1"/>
  <c r="CI37" i="38" s="1"/>
  <c r="D22" i="38"/>
  <c r="EA21" i="38"/>
  <c r="EA29" i="38"/>
  <c r="EA28" i="38"/>
  <c r="EA43" i="38" s="1"/>
  <c r="EO43" i="38" s="1"/>
  <c r="BU25" i="38"/>
  <c r="D25" i="38"/>
  <c r="BU24" i="38"/>
  <c r="D24" i="38"/>
  <c r="BU23" i="38"/>
  <c r="BU49" i="38" s="1"/>
  <c r="D23" i="38"/>
  <c r="D21" i="38"/>
  <c r="EA20" i="38"/>
  <c r="BU17" i="38"/>
  <c r="D17" i="38"/>
  <c r="EA16" i="38"/>
  <c r="BU13" i="38"/>
  <c r="BU33" i="38" s="1"/>
  <c r="CI33" i="38" s="1"/>
  <c r="D13" i="38"/>
  <c r="EA12" i="38"/>
  <c r="BU10" i="38"/>
  <c r="BU46" i="38" s="1"/>
  <c r="D10" i="38"/>
  <c r="EA9" i="38"/>
  <c r="BU7" i="38"/>
  <c r="D7" i="38"/>
  <c r="EA6" i="38"/>
  <c r="EA47" i="38" s="1"/>
  <c r="EO47" i="38" s="1"/>
  <c r="BU27" i="38"/>
  <c r="D27" i="38"/>
  <c r="BU20" i="38"/>
  <c r="D20" i="38"/>
  <c r="EA19" i="38"/>
  <c r="EA42" i="38" s="1"/>
  <c r="EO42" i="38" s="1"/>
  <c r="BU29" i="38"/>
  <c r="EA26" i="38"/>
  <c r="EA36" i="38" s="1"/>
  <c r="EO36" i="38" s="1"/>
  <c r="EA15" i="38"/>
  <c r="EA44" i="38" s="1"/>
  <c r="EO44" i="38" s="1"/>
  <c r="EA14" i="38"/>
  <c r="EA34" i="38" s="1"/>
  <c r="EO34" i="38" s="1"/>
  <c r="EA11" i="38"/>
  <c r="EA39" i="38" s="1"/>
  <c r="EO39" i="38" s="1"/>
  <c r="BU11" i="38"/>
  <c r="BU39" i="38" s="1"/>
  <c r="CI39" i="38" s="1"/>
  <c r="D11" i="38"/>
  <c r="BU6" i="38"/>
  <c r="BU47" i="38" s="1"/>
  <c r="CI47" i="38" s="1"/>
  <c r="D6" i="38"/>
  <c r="BU4" i="38"/>
  <c r="BU40" i="38" s="1"/>
  <c r="CI40" i="38" s="1"/>
  <c r="D4" i="38"/>
  <c r="EA3" i="38"/>
  <c r="EA32" i="38" s="1"/>
  <c r="BU2" i="38"/>
  <c r="BU38" i="38" s="1"/>
  <c r="CI38" i="38" s="1"/>
  <c r="D2" i="38"/>
  <c r="O26" i="38"/>
  <c r="O36" i="38" s="1"/>
  <c r="Z36" i="38" s="1"/>
  <c r="O24" i="38"/>
  <c r="O22" i="38"/>
  <c r="O37" i="38" s="1"/>
  <c r="Z37" i="38" s="1"/>
  <c r="O21" i="38"/>
  <c r="O10" i="38"/>
  <c r="O46" i="38" s="1"/>
  <c r="O5" i="38"/>
  <c r="O4" i="38"/>
  <c r="O40" i="38" s="1"/>
  <c r="Z40" i="38" s="1"/>
  <c r="O3" i="38"/>
  <c r="O32" i="38" s="1"/>
  <c r="Z32" i="38" s="1"/>
  <c r="O2" i="38"/>
  <c r="O38" i="38" s="1"/>
  <c r="Z38" i="38" s="1"/>
  <c r="BU30" i="38"/>
  <c r="BU35" i="38" s="1"/>
  <c r="CI35" i="38" s="1"/>
  <c r="EA23" i="38"/>
  <c r="EA49" i="38" s="1"/>
  <c r="BU19" i="38"/>
  <c r="BU42" i="38" s="1"/>
  <c r="CI42" i="38" s="1"/>
  <c r="D19" i="38"/>
  <c r="EA18" i="38"/>
  <c r="BU18" i="38"/>
  <c r="D18" i="38"/>
  <c r="EA17" i="38"/>
  <c r="EA13" i="38"/>
  <c r="EA33" i="38" s="1"/>
  <c r="EO33" i="38" s="1"/>
  <c r="EA8" i="38"/>
  <c r="EA41" i="38" s="1"/>
  <c r="EO41" i="38" s="1"/>
  <c r="EA7" i="38"/>
  <c r="BU5" i="38"/>
  <c r="BU3" i="38"/>
  <c r="BU32" i="38" s="1"/>
  <c r="O25" i="38"/>
  <c r="O20" i="38"/>
  <c r="O19" i="38"/>
  <c r="O42" i="38" s="1"/>
  <c r="Z42" i="38" s="1"/>
  <c r="O12" i="38"/>
  <c r="O6" i="38"/>
  <c r="O47" i="38" s="1"/>
  <c r="Z47" i="38" s="1"/>
  <c r="EA22" i="38"/>
  <c r="EA37" i="38" s="1"/>
  <c r="EO37" i="38" s="1"/>
  <c r="BU15" i="38"/>
  <c r="BU44" i="38" s="1"/>
  <c r="CI44" i="38" s="1"/>
  <c r="BU14" i="38"/>
  <c r="BU34" i="38" s="1"/>
  <c r="CI34" i="38" s="1"/>
  <c r="BU9" i="38"/>
  <c r="D8" i="38"/>
  <c r="O29" i="38"/>
  <c r="O27" i="38"/>
  <c r="O18" i="38"/>
  <c r="O16" i="38"/>
  <c r="O15" i="38"/>
  <c r="O44" i="38" s="1"/>
  <c r="D30" i="38"/>
  <c r="D29" i="38"/>
  <c r="BU16" i="38"/>
  <c r="BU12" i="38"/>
  <c r="EA10" i="38"/>
  <c r="EA46" i="38" s="1"/>
  <c r="O23" i="38"/>
  <c r="O49" i="38" s="1"/>
  <c r="O8" i="38"/>
  <c r="O41" i="38" s="1"/>
  <c r="Z41" i="38" s="1"/>
  <c r="EA24" i="38"/>
  <c r="BU21" i="38"/>
  <c r="D15" i="38"/>
  <c r="D14" i="38"/>
  <c r="D3" i="38"/>
  <c r="D12" i="38"/>
  <c r="D5" i="38"/>
  <c r="D9" i="38"/>
  <c r="BU8" i="38"/>
  <c r="BU41" i="38" s="1"/>
  <c r="CI41" i="38" s="1"/>
  <c r="EA2" i="38"/>
  <c r="EA38" i="38" s="1"/>
  <c r="EO38" i="38" s="1"/>
  <c r="O30" i="38"/>
  <c r="O35" i="38" s="1"/>
  <c r="Z35" i="38" s="1"/>
  <c r="D16" i="38"/>
  <c r="EA4" i="38"/>
  <c r="EA40" i="38" s="1"/>
  <c r="EO40" i="38" s="1"/>
  <c r="O28" i="38"/>
  <c r="O43" i="38" s="1"/>
  <c r="Z43" i="38" s="1"/>
  <c r="O17" i="38"/>
  <c r="O14" i="38"/>
  <c r="O34" i="38" s="1"/>
  <c r="Z34" i="38" s="1"/>
  <c r="EA5" i="38"/>
  <c r="O9" i="38"/>
  <c r="O7" i="38"/>
  <c r="O11" i="38"/>
  <c r="O39" i="38" s="1"/>
  <c r="Z39" i="38" s="1"/>
  <c r="O13" i="38"/>
  <c r="O33" i="38" s="1"/>
  <c r="Z33" i="38" s="1"/>
  <c r="D28" i="18"/>
  <c r="D24" i="18"/>
  <c r="D20" i="18"/>
  <c r="D16" i="18"/>
  <c r="D12" i="18"/>
  <c r="D8" i="18"/>
  <c r="D4" i="18"/>
  <c r="D15" i="18"/>
  <c r="D7" i="18"/>
  <c r="D3" i="18"/>
  <c r="D29" i="18"/>
  <c r="D25" i="18"/>
  <c r="D9" i="18"/>
  <c r="D5" i="18"/>
  <c r="D27" i="18"/>
  <c r="D23" i="18"/>
  <c r="D19" i="18"/>
  <c r="D11" i="18"/>
  <c r="D30" i="18"/>
  <c r="D26" i="18"/>
  <c r="D22" i="18"/>
  <c r="D18" i="18"/>
  <c r="D14" i="18"/>
  <c r="D10" i="18"/>
  <c r="D6" i="18"/>
  <c r="D2" i="18"/>
  <c r="D21" i="18"/>
  <c r="D17" i="18"/>
  <c r="D13" i="18"/>
  <c r="CP29" i="38"/>
  <c r="CP24" i="38"/>
  <c r="CP27" i="38"/>
  <c r="CP26" i="38"/>
  <c r="CP25" i="38"/>
  <c r="CP19" i="38"/>
  <c r="CP15" i="38"/>
  <c r="CP8" i="38"/>
  <c r="CP6" i="38"/>
  <c r="CP18" i="38"/>
  <c r="CP23" i="38"/>
  <c r="CP21" i="38"/>
  <c r="CP20" i="38"/>
  <c r="CP5" i="38"/>
  <c r="DS30" i="38"/>
  <c r="DS35" i="38" s="1"/>
  <c r="DS27" i="38"/>
  <c r="DS19" i="38"/>
  <c r="DS42" i="38" s="1"/>
  <c r="DS17" i="38"/>
  <c r="DS16" i="38"/>
  <c r="DS12" i="38"/>
  <c r="DS6" i="38"/>
  <c r="DS47" i="38" s="1"/>
  <c r="DS5" i="38"/>
  <c r="DS3" i="38"/>
  <c r="DS32" i="38" s="1"/>
  <c r="DS2" i="38"/>
  <c r="DS38" i="38" s="1"/>
  <c r="CP28" i="38"/>
  <c r="DS29" i="38"/>
  <c r="DS28" i="38"/>
  <c r="DS43" i="38" s="1"/>
  <c r="DS25" i="38"/>
  <c r="DS22" i="38"/>
  <c r="DS37" i="38" s="1"/>
  <c r="DS18" i="38"/>
  <c r="DS11" i="38"/>
  <c r="DS39" i="38" s="1"/>
  <c r="DS10" i="38"/>
  <c r="DS46" i="38" s="1"/>
  <c r="DS4" i="38"/>
  <c r="DS40" i="38" s="1"/>
  <c r="CP17" i="38"/>
  <c r="CP13" i="38"/>
  <c r="CP10" i="38"/>
  <c r="CP4" i="38"/>
  <c r="DS26" i="38"/>
  <c r="DS36" i="38" s="1"/>
  <c r="DS20" i="38"/>
  <c r="DS13" i="38"/>
  <c r="DS33" i="38" s="1"/>
  <c r="DS9" i="38"/>
  <c r="DS7" i="38"/>
  <c r="CP30" i="38"/>
  <c r="CP14" i="38"/>
  <c r="DS24" i="38"/>
  <c r="CP22" i="38"/>
  <c r="CP11" i="38"/>
  <c r="CP16" i="38"/>
  <c r="CP7" i="38"/>
  <c r="CP2" i="38"/>
  <c r="CP9" i="38"/>
  <c r="CP12" i="38"/>
  <c r="DS21" i="38"/>
  <c r="DS15" i="38"/>
  <c r="DS44" i="38" s="1"/>
  <c r="DS8" i="38"/>
  <c r="DS41" i="38" s="1"/>
  <c r="CP3" i="38"/>
  <c r="DS14" i="38"/>
  <c r="DS34" i="38" s="1"/>
  <c r="DS23" i="38"/>
  <c r="DS49" i="38" s="1"/>
  <c r="CP28" i="18"/>
  <c r="CP24" i="18"/>
  <c r="CP20" i="18"/>
  <c r="CP16" i="18"/>
  <c r="CP12" i="18"/>
  <c r="CP8" i="18"/>
  <c r="CP4" i="18"/>
  <c r="CP23" i="18"/>
  <c r="CP29" i="18"/>
  <c r="CP27" i="18"/>
  <c r="CP19" i="18"/>
  <c r="CP15" i="18"/>
  <c r="CP11" i="18"/>
  <c r="CP7" i="18"/>
  <c r="CP3" i="18"/>
  <c r="CP30" i="18"/>
  <c r="CP26" i="18"/>
  <c r="CP22" i="18"/>
  <c r="CP18" i="18"/>
  <c r="CP14" i="18"/>
  <c r="CP10" i="18"/>
  <c r="CP6" i="18"/>
  <c r="CP2" i="18"/>
  <c r="CP25" i="18"/>
  <c r="CP21" i="18"/>
  <c r="CP17" i="18"/>
  <c r="CP13" i="18"/>
  <c r="CP9" i="18"/>
  <c r="CP5" i="18"/>
  <c r="AF30" i="42"/>
  <c r="AF35" i="42" s="1"/>
  <c r="AF29" i="42"/>
  <c r="AF28" i="42"/>
  <c r="AF43" i="42" s="1"/>
  <c r="AF27" i="42"/>
  <c r="AF26" i="42"/>
  <c r="AF36" i="42" s="1"/>
  <c r="AF25" i="42"/>
  <c r="AF24" i="42"/>
  <c r="AF23" i="42"/>
  <c r="AF22" i="42"/>
  <c r="AF37" i="42" s="1"/>
  <c r="AF21" i="42"/>
  <c r="AF20" i="42"/>
  <c r="AF19" i="42"/>
  <c r="AF42" i="42" s="1"/>
  <c r="AF18" i="42"/>
  <c r="AF17" i="42"/>
  <c r="AF16" i="42"/>
  <c r="AF15" i="42"/>
  <c r="AF44" i="42" s="1"/>
  <c r="AF14" i="42"/>
  <c r="AF34" i="42" s="1"/>
  <c r="AF13" i="42"/>
  <c r="AF33" i="42" s="1"/>
  <c r="AF12" i="42"/>
  <c r="AF11" i="42"/>
  <c r="AF39" i="42" s="1"/>
  <c r="AF10" i="42"/>
  <c r="AF46" i="42" s="1"/>
  <c r="AF9" i="42"/>
  <c r="AF8" i="42"/>
  <c r="AF41" i="42" s="1"/>
  <c r="AF7" i="42"/>
  <c r="AF6" i="42"/>
  <c r="AF47" i="42" s="1"/>
  <c r="AF5" i="42"/>
  <c r="AF4" i="42"/>
  <c r="AF40" i="42" s="1"/>
  <c r="AF3" i="42"/>
  <c r="AF32" i="42" s="1"/>
  <c r="AF2" i="42"/>
  <c r="AF38" i="42" s="1"/>
  <c r="G30" i="41"/>
  <c r="G29" i="41"/>
  <c r="G28" i="41"/>
  <c r="G27" i="41"/>
  <c r="G26" i="41"/>
  <c r="G25" i="41"/>
  <c r="G24" i="41"/>
  <c r="G23" i="41"/>
  <c r="G22" i="41"/>
  <c r="G21" i="41"/>
  <c r="G20" i="41"/>
  <c r="G19" i="41"/>
  <c r="G18" i="41"/>
  <c r="G17" i="41"/>
  <c r="G16" i="41"/>
  <c r="G15" i="41"/>
  <c r="G14" i="41"/>
  <c r="G13" i="41"/>
  <c r="G12" i="41"/>
  <c r="G11" i="41"/>
  <c r="G10" i="41"/>
  <c r="G9" i="41"/>
  <c r="G8" i="41"/>
  <c r="G7" i="41"/>
  <c r="G6" i="41"/>
  <c r="G5" i="41"/>
  <c r="G4" i="41"/>
  <c r="G3" i="41"/>
  <c r="G2" i="41"/>
  <c r="G2" i="29"/>
  <c r="G38" i="29" s="1"/>
  <c r="G3" i="29"/>
  <c r="G4" i="29"/>
  <c r="G5" i="29"/>
  <c r="G8" i="29"/>
  <c r="G10" i="29"/>
  <c r="G12" i="29"/>
  <c r="G13" i="29"/>
  <c r="G14" i="29"/>
  <c r="G15" i="29"/>
  <c r="G16" i="29"/>
  <c r="G17" i="29"/>
  <c r="G18" i="29"/>
  <c r="G19" i="29"/>
  <c r="G20" i="29"/>
  <c r="G21" i="29"/>
  <c r="G22" i="29"/>
  <c r="G23" i="29"/>
  <c r="G24" i="29"/>
  <c r="G25" i="29"/>
  <c r="G26" i="29"/>
  <c r="G27" i="29"/>
  <c r="G28" i="29"/>
  <c r="G29" i="29"/>
  <c r="G30" i="29"/>
  <c r="G6" i="29"/>
  <c r="G7" i="29"/>
  <c r="G11" i="29"/>
  <c r="G9" i="29"/>
  <c r="AF30" i="43"/>
  <c r="AF35" i="43" s="1"/>
  <c r="AF6" i="43"/>
  <c r="AF47" i="43" s="1"/>
  <c r="AF13" i="43"/>
  <c r="AF33" i="43" s="1"/>
  <c r="AF7" i="43"/>
  <c r="AF21" i="43"/>
  <c r="AF8" i="43"/>
  <c r="AF41" i="43" s="1"/>
  <c r="AF27" i="43"/>
  <c r="AF11" i="43"/>
  <c r="AF39" i="43" s="1"/>
  <c r="AF10" i="43"/>
  <c r="AF46" i="43" s="1"/>
  <c r="AF2" i="43"/>
  <c r="AF38" i="43" s="1"/>
  <c r="AF29" i="43"/>
  <c r="AF24" i="43"/>
  <c r="AF4" i="43"/>
  <c r="AF40" i="43" s="1"/>
  <c r="AF23" i="43"/>
  <c r="AF16" i="43"/>
  <c r="AF22" i="43"/>
  <c r="AF37" i="43" s="1"/>
  <c r="AF17" i="43"/>
  <c r="AF9" i="43"/>
  <c r="AF5" i="43"/>
  <c r="AF19" i="43"/>
  <c r="AF42" i="43" s="1"/>
  <c r="AF26" i="43"/>
  <c r="AF36" i="43" s="1"/>
  <c r="AF25" i="43"/>
  <c r="AF28" i="43"/>
  <c r="AF43" i="43" s="1"/>
  <c r="AF20" i="43"/>
  <c r="AF12" i="43"/>
  <c r="AF15" i="43"/>
  <c r="AF44" i="43" s="1"/>
  <c r="AF3" i="43"/>
  <c r="AF32" i="43" s="1"/>
  <c r="AF14" i="43"/>
  <c r="AF34" i="43" s="1"/>
  <c r="AF18" i="43"/>
  <c r="AF3" i="30"/>
  <c r="AF32" i="30" s="1"/>
  <c r="AF7" i="30"/>
  <c r="AF11" i="30"/>
  <c r="AF39" i="30" s="1"/>
  <c r="AF15" i="30"/>
  <c r="AF44" i="30" s="1"/>
  <c r="AF18" i="30"/>
  <c r="AF24" i="30"/>
  <c r="AF26" i="30"/>
  <c r="AF36" i="30" s="1"/>
  <c r="AF27" i="30"/>
  <c r="AF4" i="30"/>
  <c r="AF40" i="30" s="1"/>
  <c r="AF12" i="30"/>
  <c r="AF16" i="30"/>
  <c r="AF23" i="30"/>
  <c r="AF25" i="30"/>
  <c r="AF6" i="30"/>
  <c r="AF47" i="30" s="1"/>
  <c r="AF10" i="30"/>
  <c r="AF46" i="30" s="1"/>
  <c r="AF45" i="30" s="1"/>
  <c r="AF14" i="30"/>
  <c r="AF34" i="30" s="1"/>
  <c r="AF19" i="30"/>
  <c r="AF42" i="30" s="1"/>
  <c r="AF21" i="30"/>
  <c r="AF29" i="30"/>
  <c r="AF2" i="30"/>
  <c r="AF38" i="30" s="1"/>
  <c r="AF5" i="30"/>
  <c r="AF9" i="30"/>
  <c r="AF13" i="30"/>
  <c r="AF33" i="30" s="1"/>
  <c r="AF17" i="30"/>
  <c r="AF20" i="30"/>
  <c r="AF22" i="30"/>
  <c r="AF37" i="30" s="1"/>
  <c r="AF28" i="30"/>
  <c r="AF43" i="30" s="1"/>
  <c r="AF30" i="30"/>
  <c r="AF35" i="30" s="1"/>
  <c r="AF8" i="30"/>
  <c r="AF41" i="30" s="1"/>
  <c r="AX30" i="42"/>
  <c r="AX35" i="42" s="1"/>
  <c r="AX29" i="42"/>
  <c r="AX28" i="42"/>
  <c r="AX43" i="42" s="1"/>
  <c r="AX27" i="42"/>
  <c r="AX26" i="42"/>
  <c r="AX36" i="42" s="1"/>
  <c r="AX25" i="42"/>
  <c r="AX24" i="42"/>
  <c r="AX23" i="42"/>
  <c r="AX22" i="42"/>
  <c r="AX37" i="42" s="1"/>
  <c r="AX21" i="42"/>
  <c r="AX20" i="42"/>
  <c r="AX19" i="42"/>
  <c r="AX42" i="42" s="1"/>
  <c r="AX18" i="42"/>
  <c r="AX17" i="42"/>
  <c r="AX16" i="42"/>
  <c r="AX15" i="42"/>
  <c r="AX44" i="42" s="1"/>
  <c r="AX14" i="42"/>
  <c r="AX34" i="42" s="1"/>
  <c r="AX13" i="42"/>
  <c r="AX33" i="42" s="1"/>
  <c r="AX12" i="42"/>
  <c r="AX11" i="42"/>
  <c r="AX39" i="42" s="1"/>
  <c r="AX10" i="42"/>
  <c r="AX46" i="42" s="1"/>
  <c r="AX9" i="42"/>
  <c r="AX8" i="42"/>
  <c r="AX41" i="42" s="1"/>
  <c r="AX7" i="42"/>
  <c r="AX6" i="42"/>
  <c r="AX47" i="42" s="1"/>
  <c r="AX5" i="42"/>
  <c r="AX4" i="42"/>
  <c r="AX40" i="42" s="1"/>
  <c r="AX3" i="42"/>
  <c r="AX32" i="42" s="1"/>
  <c r="AX31" i="42" s="1"/>
  <c r="AX2" i="42"/>
  <c r="AX38" i="42" s="1"/>
  <c r="Y30" i="41"/>
  <c r="Y29" i="41"/>
  <c r="Y28" i="41"/>
  <c r="Y27" i="41"/>
  <c r="Y26" i="41"/>
  <c r="Y25" i="41"/>
  <c r="Y24" i="41"/>
  <c r="Y23" i="41"/>
  <c r="Y22" i="41"/>
  <c r="Y21" i="41"/>
  <c r="Y20" i="41"/>
  <c r="Y19" i="41"/>
  <c r="Y18" i="41"/>
  <c r="Y17" i="41"/>
  <c r="Y16" i="41"/>
  <c r="Y15" i="41"/>
  <c r="Y14" i="41"/>
  <c r="Y13" i="41"/>
  <c r="Y12" i="41"/>
  <c r="Y11" i="41"/>
  <c r="Y10" i="41"/>
  <c r="Y9" i="41"/>
  <c r="Y8" i="41"/>
  <c r="Y7" i="41"/>
  <c r="Y6" i="41"/>
  <c r="Y5" i="41"/>
  <c r="Y4" i="41"/>
  <c r="Y3" i="41"/>
  <c r="Y2" i="41"/>
  <c r="Y2" i="29"/>
  <c r="Y38" i="29" s="1"/>
  <c r="Y3" i="29"/>
  <c r="Y4" i="29"/>
  <c r="Y5" i="29"/>
  <c r="Y6" i="29"/>
  <c r="Y7" i="29"/>
  <c r="Y8" i="29"/>
  <c r="Y9" i="29"/>
  <c r="Y10" i="29"/>
  <c r="Y11" i="29"/>
  <c r="Y12" i="29"/>
  <c r="Y25" i="29"/>
  <c r="Y29" i="29"/>
  <c r="Y14" i="29"/>
  <c r="Y16" i="29"/>
  <c r="Y18" i="29"/>
  <c r="Y20" i="29"/>
  <c r="Y22" i="29"/>
  <c r="Y24" i="29"/>
  <c r="Y26" i="29"/>
  <c r="Y28" i="29"/>
  <c r="Y30" i="29"/>
  <c r="Y17" i="29"/>
  <c r="Y21" i="29"/>
  <c r="Y23" i="29"/>
  <c r="Y13" i="29"/>
  <c r="Y15" i="29"/>
  <c r="Y19" i="29"/>
  <c r="Y27" i="29"/>
  <c r="AX10" i="43"/>
  <c r="AX46" i="43" s="1"/>
  <c r="AX24" i="43"/>
  <c r="AX4" i="43"/>
  <c r="AX40" i="43" s="1"/>
  <c r="AX28" i="43"/>
  <c r="AX43" i="43" s="1"/>
  <c r="AX20" i="43"/>
  <c r="AX2" i="43"/>
  <c r="AX38" i="43" s="1"/>
  <c r="AX14" i="43"/>
  <c r="AX34" i="43" s="1"/>
  <c r="AX8" i="43"/>
  <c r="AX41" i="43" s="1"/>
  <c r="AX27" i="43"/>
  <c r="AX11" i="43"/>
  <c r="AX39" i="43" s="1"/>
  <c r="AX22" i="43"/>
  <c r="AX37" i="43" s="1"/>
  <c r="AX29" i="43"/>
  <c r="AX16" i="43"/>
  <c r="AX23" i="43"/>
  <c r="AX30" i="43"/>
  <c r="AX35" i="43" s="1"/>
  <c r="AX17" i="43"/>
  <c r="AX13" i="43"/>
  <c r="AX33" i="43" s="1"/>
  <c r="AX9" i="43"/>
  <c r="AX5" i="43"/>
  <c r="AX19" i="43"/>
  <c r="AX42" i="43" s="1"/>
  <c r="AX7" i="43"/>
  <c r="AX26" i="43"/>
  <c r="AX36" i="43" s="1"/>
  <c r="AX18" i="43"/>
  <c r="AX25" i="43"/>
  <c r="AX21" i="43"/>
  <c r="AX12" i="43"/>
  <c r="AX15" i="43"/>
  <c r="AX44" i="43" s="1"/>
  <c r="AX3" i="43"/>
  <c r="AX32" i="43" s="1"/>
  <c r="AX6" i="43"/>
  <c r="AX47" i="43" s="1"/>
  <c r="AX5" i="30"/>
  <c r="AX9" i="30"/>
  <c r="AX13" i="30"/>
  <c r="AX33" i="30" s="1"/>
  <c r="AX17" i="30"/>
  <c r="AX20" i="30"/>
  <c r="AX22" i="30"/>
  <c r="AX37" i="30" s="1"/>
  <c r="AX28" i="30"/>
  <c r="AX43" i="30" s="1"/>
  <c r="AX30" i="30"/>
  <c r="AX35" i="30" s="1"/>
  <c r="AX27" i="30"/>
  <c r="AX4" i="30"/>
  <c r="AX40" i="30" s="1"/>
  <c r="AX8" i="30"/>
  <c r="AX41" i="30" s="1"/>
  <c r="AX12" i="30"/>
  <c r="AX16" i="30"/>
  <c r="AX23" i="30"/>
  <c r="AX25" i="30"/>
  <c r="AX21" i="30"/>
  <c r="AX3" i="30"/>
  <c r="AX32" i="30" s="1"/>
  <c r="AX7" i="30"/>
  <c r="AX11" i="30"/>
  <c r="AX39" i="30" s="1"/>
  <c r="AX15" i="30"/>
  <c r="AX44" i="30" s="1"/>
  <c r="AX18" i="30"/>
  <c r="AX24" i="30"/>
  <c r="AX26" i="30"/>
  <c r="AX36" i="30" s="1"/>
  <c r="AX6" i="30"/>
  <c r="AX47" i="30" s="1"/>
  <c r="AX10" i="30"/>
  <c r="AX46" i="30" s="1"/>
  <c r="AX14" i="30"/>
  <c r="AX34" i="30" s="1"/>
  <c r="AX19" i="30"/>
  <c r="AX42" i="30" s="1"/>
  <c r="AX29" i="30"/>
  <c r="AX2" i="30"/>
  <c r="AX38" i="30" s="1"/>
  <c r="E16" i="20"/>
  <c r="C58" i="20"/>
  <c r="E58" i="20" s="1"/>
  <c r="C72" i="20"/>
  <c r="E72" i="20" s="1"/>
  <c r="E30" i="20"/>
  <c r="C35" i="20"/>
  <c r="E35" i="20" s="1"/>
  <c r="E6" i="45"/>
  <c r="C47" i="45"/>
  <c r="E47" i="45" s="1"/>
  <c r="AC60" i="37"/>
  <c r="AC74" i="37"/>
  <c r="H21" i="37"/>
  <c r="H10" i="37"/>
  <c r="H46" i="37" s="1"/>
  <c r="AH43" i="37"/>
  <c r="AC46" i="37"/>
  <c r="AF65" i="37"/>
  <c r="AF51" i="37"/>
  <c r="H27" i="37"/>
  <c r="AH44" i="37"/>
  <c r="AC69" i="37"/>
  <c r="AC55" i="37"/>
  <c r="AC32" i="37"/>
  <c r="H8" i="37"/>
  <c r="H41" i="37" s="1"/>
  <c r="K41" i="37" s="1"/>
  <c r="AH34" i="37"/>
  <c r="AC42" i="37"/>
  <c r="AE19" i="37"/>
  <c r="H24" i="37"/>
  <c r="AC64" i="37"/>
  <c r="AC50" i="37"/>
  <c r="AC71" i="37"/>
  <c r="AC57" i="37"/>
  <c r="D4" i="37"/>
  <c r="D40" i="37" s="1"/>
  <c r="D8" i="37"/>
  <c r="D41" i="37" s="1"/>
  <c r="D12" i="37"/>
  <c r="D16" i="37"/>
  <c r="D20" i="37"/>
  <c r="D24" i="37"/>
  <c r="D28" i="37"/>
  <c r="D43" i="37" s="1"/>
  <c r="H5" i="16"/>
  <c r="AF70" i="16"/>
  <c r="AF56" i="16"/>
  <c r="AF76" i="16"/>
  <c r="AF62" i="16"/>
  <c r="AC71" i="16"/>
  <c r="AC57" i="16"/>
  <c r="AF73" i="16"/>
  <c r="AF59" i="16"/>
  <c r="H16" i="16"/>
  <c r="H6" i="16"/>
  <c r="H24" i="16"/>
  <c r="AH31" i="16"/>
  <c r="AH32" i="16"/>
  <c r="AF74" i="16"/>
  <c r="AF60" i="16"/>
  <c r="AF72" i="16"/>
  <c r="AF58" i="16"/>
  <c r="AH37" i="16"/>
  <c r="D6" i="16"/>
  <c r="D47" i="16" s="1"/>
  <c r="D25" i="16"/>
  <c r="H7" i="16"/>
  <c r="AF66" i="16"/>
  <c r="AF52" i="16"/>
  <c r="H25" i="16"/>
  <c r="AH43" i="16"/>
  <c r="D18" i="16"/>
  <c r="AC70" i="16"/>
  <c r="AC56" i="16"/>
  <c r="D2" i="16"/>
  <c r="D38" i="16" s="1"/>
  <c r="D15" i="16"/>
  <c r="D44" i="16" s="1"/>
  <c r="AC38" i="16"/>
  <c r="AE38" i="16" s="1"/>
  <c r="AC74" i="16"/>
  <c r="AC60" i="16"/>
  <c r="AC61" i="16"/>
  <c r="AC75" i="16"/>
  <c r="AC43" i="16"/>
  <c r="AE43" i="16" s="1"/>
  <c r="D10" i="16"/>
  <c r="D46" i="16" s="1"/>
  <c r="D45" i="16" s="1"/>
  <c r="AC52" i="16"/>
  <c r="AC66" i="16"/>
  <c r="D26" i="16"/>
  <c r="D36" i="16" s="1"/>
  <c r="CM30" i="42"/>
  <c r="CM35" i="42" s="1"/>
  <c r="CM29" i="42"/>
  <c r="CM28" i="42"/>
  <c r="CM43" i="42" s="1"/>
  <c r="CM27" i="42"/>
  <c r="CM26" i="42"/>
  <c r="CM36" i="42" s="1"/>
  <c r="CM25" i="42"/>
  <c r="CM24" i="42"/>
  <c r="CM23" i="42"/>
  <c r="CM49" i="42" s="1"/>
  <c r="CM22" i="42"/>
  <c r="CM37" i="42" s="1"/>
  <c r="CM21" i="42"/>
  <c r="CM20" i="42"/>
  <c r="CM19" i="42"/>
  <c r="CM42" i="42" s="1"/>
  <c r="CM18" i="42"/>
  <c r="CM4" i="42"/>
  <c r="CM40" i="42" s="1"/>
  <c r="CM3" i="42"/>
  <c r="CM32" i="42" s="1"/>
  <c r="CM2" i="42"/>
  <c r="CM38" i="42" s="1"/>
  <c r="CM16" i="42"/>
  <c r="CM14" i="42"/>
  <c r="CM34" i="42" s="1"/>
  <c r="CM12" i="42"/>
  <c r="CM10" i="42"/>
  <c r="CM46" i="42" s="1"/>
  <c r="CM8" i="42"/>
  <c r="CM41" i="42" s="1"/>
  <c r="CM6" i="42"/>
  <c r="CM47" i="42" s="1"/>
  <c r="BN30" i="41"/>
  <c r="BN35" i="41" s="1"/>
  <c r="CM11" i="42"/>
  <c r="CM39" i="42" s="1"/>
  <c r="BN7" i="41"/>
  <c r="BN6" i="41"/>
  <c r="BM47" i="41" s="1"/>
  <c r="BN5" i="41"/>
  <c r="BN4" i="41"/>
  <c r="BN40" i="41" s="1"/>
  <c r="BN3" i="41"/>
  <c r="BN32" i="41" s="1"/>
  <c r="CM17" i="42"/>
  <c r="CM9" i="42"/>
  <c r="BN28" i="41"/>
  <c r="BN43" i="41" s="1"/>
  <c r="BN10" i="41"/>
  <c r="BM46" i="41" s="1"/>
  <c r="BN9" i="41"/>
  <c r="BN8" i="41"/>
  <c r="BN41" i="41" s="1"/>
  <c r="CM15" i="42"/>
  <c r="CM44" i="42" s="1"/>
  <c r="CM7" i="42"/>
  <c r="BN27" i="41"/>
  <c r="BN26" i="41"/>
  <c r="BN36" i="41" s="1"/>
  <c r="BN25" i="41"/>
  <c r="BN24" i="41"/>
  <c r="BN23" i="41"/>
  <c r="BN49" i="41" s="1"/>
  <c r="BN21" i="41"/>
  <c r="BN20" i="41"/>
  <c r="BN19" i="41"/>
  <c r="BN42" i="41" s="1"/>
  <c r="BN18" i="41"/>
  <c r="BN17" i="41"/>
  <c r="BN16" i="41"/>
  <c r="BN15" i="41"/>
  <c r="BN44" i="41" s="1"/>
  <c r="BN12" i="41"/>
  <c r="BN11" i="41"/>
  <c r="BN39" i="41" s="1"/>
  <c r="BN29" i="41"/>
  <c r="BN22" i="41"/>
  <c r="BN37" i="41" s="1"/>
  <c r="AO2" i="29"/>
  <c r="AO38" i="29" s="1"/>
  <c r="BN3" i="29"/>
  <c r="BN32" i="29" s="1"/>
  <c r="AO4" i="29"/>
  <c r="BN6" i="29"/>
  <c r="BM47" i="29" s="1"/>
  <c r="AO7" i="29"/>
  <c r="BN8" i="29"/>
  <c r="BN41" i="29" s="1"/>
  <c r="AO9" i="29"/>
  <c r="BN10" i="29"/>
  <c r="BM46" i="29" s="1"/>
  <c r="AO11" i="29"/>
  <c r="AO30" i="41"/>
  <c r="AO28" i="41"/>
  <c r="AO26" i="41"/>
  <c r="AO24" i="41"/>
  <c r="AO22" i="41"/>
  <c r="AO20" i="41"/>
  <c r="AO18" i="41"/>
  <c r="AO16" i="41"/>
  <c r="AO14" i="41"/>
  <c r="AO12" i="41"/>
  <c r="AO10" i="41"/>
  <c r="AO8" i="41"/>
  <c r="AO6" i="41"/>
  <c r="AO4" i="41"/>
  <c r="AO2" i="41"/>
  <c r="BN2" i="41"/>
  <c r="BN38" i="41" s="1"/>
  <c r="CM13" i="42"/>
  <c r="CM33" i="42" s="1"/>
  <c r="BN13" i="41"/>
  <c r="BN33" i="41" s="1"/>
  <c r="BN2" i="29"/>
  <c r="BN38" i="29" s="1"/>
  <c r="AO3" i="29"/>
  <c r="BN4" i="29"/>
  <c r="BN40" i="29" s="1"/>
  <c r="AO5" i="29"/>
  <c r="AO6" i="29"/>
  <c r="BN7" i="29"/>
  <c r="AO8" i="29"/>
  <c r="BN9" i="29"/>
  <c r="AO10" i="29"/>
  <c r="BN11" i="29"/>
  <c r="BN39" i="29" s="1"/>
  <c r="AO12" i="29"/>
  <c r="BN12" i="29"/>
  <c r="AO13" i="29"/>
  <c r="BN13" i="29"/>
  <c r="BN33" i="29" s="1"/>
  <c r="AO14" i="29"/>
  <c r="BN14" i="29"/>
  <c r="BN34" i="29" s="1"/>
  <c r="AO15" i="29"/>
  <c r="BN15" i="29"/>
  <c r="BN44" i="29" s="1"/>
  <c r="AO16" i="29"/>
  <c r="BN16" i="29"/>
  <c r="AO17" i="29"/>
  <c r="BN17" i="29"/>
  <c r="AO18" i="29"/>
  <c r="BN18" i="29"/>
  <c r="AO19" i="29"/>
  <c r="BN19" i="29"/>
  <c r="BN42" i="29" s="1"/>
  <c r="AO20" i="29"/>
  <c r="BN20" i="29"/>
  <c r="AO21" i="29"/>
  <c r="BN21" i="29"/>
  <c r="AO22" i="29"/>
  <c r="BN22" i="29"/>
  <c r="BN37" i="29" s="1"/>
  <c r="AO23" i="29"/>
  <c r="BN23" i="29"/>
  <c r="BN49" i="29" s="1"/>
  <c r="AO24" i="29"/>
  <c r="BN24" i="29"/>
  <c r="AO25" i="29"/>
  <c r="BN25" i="29"/>
  <c r="AO26" i="29"/>
  <c r="BN26" i="29"/>
  <c r="BN36" i="29" s="1"/>
  <c r="AO27" i="29"/>
  <c r="BN27" i="29"/>
  <c r="AO28" i="29"/>
  <c r="BN28" i="29"/>
  <c r="BN43" i="29" s="1"/>
  <c r="AO29" i="29"/>
  <c r="BN29" i="29"/>
  <c r="AO30" i="29"/>
  <c r="BN30" i="29"/>
  <c r="BN35" i="29" s="1"/>
  <c r="CM5" i="42"/>
  <c r="AO25" i="41"/>
  <c r="AO17" i="41"/>
  <c r="AO9" i="41"/>
  <c r="AO27" i="41"/>
  <c r="AO19" i="41"/>
  <c r="AO11" i="41"/>
  <c r="AO3" i="41"/>
  <c r="BN5" i="29"/>
  <c r="AO29" i="41"/>
  <c r="AO21" i="41"/>
  <c r="AO13" i="41"/>
  <c r="AO5" i="41"/>
  <c r="AO23" i="41"/>
  <c r="AO15" i="41"/>
  <c r="AO7" i="41"/>
  <c r="BN14" i="41"/>
  <c r="BN34" i="41" s="1"/>
  <c r="CM18" i="43"/>
  <c r="CM25" i="43"/>
  <c r="CM28" i="43"/>
  <c r="CM43" i="43" s="1"/>
  <c r="CM20" i="43"/>
  <c r="CM12" i="43"/>
  <c r="CM3" i="43"/>
  <c r="CM32" i="43" s="1"/>
  <c r="CM8" i="43"/>
  <c r="CM41" i="43" s="1"/>
  <c r="CM11" i="43"/>
  <c r="CM39" i="43" s="1"/>
  <c r="CM10" i="43"/>
  <c r="CM46" i="43" s="1"/>
  <c r="CM45" i="43" s="1"/>
  <c r="CM29" i="43"/>
  <c r="CM24" i="43"/>
  <c r="CM16" i="43"/>
  <c r="CM23" i="43"/>
  <c r="CM22" i="43"/>
  <c r="CM37" i="43" s="1"/>
  <c r="CM6" i="43"/>
  <c r="CM47" i="43" s="1"/>
  <c r="CM17" i="43"/>
  <c r="CM9" i="43"/>
  <c r="CM7" i="43"/>
  <c r="CM14" i="43"/>
  <c r="CM34" i="43" s="1"/>
  <c r="CM30" i="43"/>
  <c r="CM35" i="43" s="1"/>
  <c r="CM13" i="43"/>
  <c r="CM33" i="43" s="1"/>
  <c r="CM19" i="43"/>
  <c r="CM42" i="43" s="1"/>
  <c r="CM2" i="43"/>
  <c r="CM38" i="43" s="1"/>
  <c r="CM26" i="43"/>
  <c r="CM36" i="43" s="1"/>
  <c r="CM21" i="43"/>
  <c r="CM15" i="43"/>
  <c r="CM44" i="43" s="1"/>
  <c r="CM27" i="43"/>
  <c r="CM4" i="43"/>
  <c r="CM40" i="43" s="1"/>
  <c r="CM5" i="43"/>
  <c r="CM3" i="30"/>
  <c r="CM32" i="30" s="1"/>
  <c r="CM4" i="30"/>
  <c r="CM40" i="30" s="1"/>
  <c r="CM5" i="30"/>
  <c r="CM6" i="30"/>
  <c r="CM47" i="30" s="1"/>
  <c r="CM7" i="30"/>
  <c r="CM8" i="30"/>
  <c r="CM41" i="30" s="1"/>
  <c r="CM9" i="30"/>
  <c r="CM10" i="30"/>
  <c r="CM46" i="30" s="1"/>
  <c r="CM45" i="30" s="1"/>
  <c r="CM11" i="30"/>
  <c r="CM39" i="30" s="1"/>
  <c r="CM12" i="30"/>
  <c r="CM13" i="30"/>
  <c r="CM33" i="30" s="1"/>
  <c r="CM14" i="30"/>
  <c r="CM34" i="30" s="1"/>
  <c r="CM15" i="30"/>
  <c r="CM44" i="30" s="1"/>
  <c r="CM16" i="30"/>
  <c r="CM17" i="30"/>
  <c r="CM18" i="30"/>
  <c r="CM19" i="30"/>
  <c r="CM42" i="30" s="1"/>
  <c r="CM20" i="30"/>
  <c r="CM21" i="30"/>
  <c r="CM22" i="30"/>
  <c r="CM37" i="30" s="1"/>
  <c r="CM23" i="30"/>
  <c r="CM49" i="30" s="1"/>
  <c r="CM24" i="30"/>
  <c r="CM25" i="30"/>
  <c r="CM26" i="30"/>
  <c r="CM36" i="30" s="1"/>
  <c r="CM27" i="30"/>
  <c r="CM28" i="30"/>
  <c r="CM43" i="30" s="1"/>
  <c r="CM29" i="30"/>
  <c r="CM30" i="30"/>
  <c r="CM35" i="30" s="1"/>
  <c r="EV28" i="38"/>
  <c r="AK27" i="38"/>
  <c r="EV23" i="38"/>
  <c r="CQ23" i="38"/>
  <c r="AK23" i="38"/>
  <c r="EV30" i="38"/>
  <c r="EV29" i="38"/>
  <c r="EV27" i="38"/>
  <c r="AK26" i="38"/>
  <c r="AK25" i="38"/>
  <c r="AK24" i="38"/>
  <c r="EV18" i="38"/>
  <c r="AK18" i="38"/>
  <c r="EV14" i="38"/>
  <c r="AK14" i="38"/>
  <c r="AK11" i="38"/>
  <c r="EV7" i="38"/>
  <c r="EV5" i="38"/>
  <c r="AK5" i="38"/>
  <c r="EV22" i="38"/>
  <c r="EV21" i="38"/>
  <c r="EV17" i="38"/>
  <c r="CQ25" i="38"/>
  <c r="AK21" i="38"/>
  <c r="EV19" i="38"/>
  <c r="AK19" i="38"/>
  <c r="EV16" i="38"/>
  <c r="EV15" i="38"/>
  <c r="EV13" i="38"/>
  <c r="EV33" i="38" s="1"/>
  <c r="EV12" i="38"/>
  <c r="EV11" i="38"/>
  <c r="AK6" i="38"/>
  <c r="EV4" i="38"/>
  <c r="EV2" i="38"/>
  <c r="EY30" i="38"/>
  <c r="EY35" i="38" s="1"/>
  <c r="BN30" i="38"/>
  <c r="BN35" i="38" s="1"/>
  <c r="DT29" i="38"/>
  <c r="EY28" i="38"/>
  <c r="EY43" i="38" s="1"/>
  <c r="DT28" i="38"/>
  <c r="DT43" i="38" s="1"/>
  <c r="EH43" i="38" s="1"/>
  <c r="EY26" i="38"/>
  <c r="EY36" i="38" s="1"/>
  <c r="DT25" i="38"/>
  <c r="DT22" i="38"/>
  <c r="DT37" i="38" s="1"/>
  <c r="EH37" i="38" s="1"/>
  <c r="EY21" i="38"/>
  <c r="BN21" i="38"/>
  <c r="BN19" i="38"/>
  <c r="BN42" i="38" s="1"/>
  <c r="DT18" i="38"/>
  <c r="EY17" i="38"/>
  <c r="EY15" i="38"/>
  <c r="EY44" i="38" s="1"/>
  <c r="BN15" i="38"/>
  <c r="BN44" i="38" s="1"/>
  <c r="BN12" i="38"/>
  <c r="DT11" i="38"/>
  <c r="DT39" i="38" s="1"/>
  <c r="EH39" i="38" s="1"/>
  <c r="BN11" i="38"/>
  <c r="BN39" i="38" s="1"/>
  <c r="EY10" i="38"/>
  <c r="EY46" i="38" s="1"/>
  <c r="DT10" i="38"/>
  <c r="DT46" i="38" s="1"/>
  <c r="EY8" i="38"/>
  <c r="EY41" i="38" s="1"/>
  <c r="BN8" i="38"/>
  <c r="BN41" i="38" s="1"/>
  <c r="EY6" i="38"/>
  <c r="EY47" i="38" s="1"/>
  <c r="BN6" i="38"/>
  <c r="BN47" i="38" s="1"/>
  <c r="DT4" i="38"/>
  <c r="DT40" i="38" s="1"/>
  <c r="EH40" i="38" s="1"/>
  <c r="BN4" i="38"/>
  <c r="BN40" i="38" s="1"/>
  <c r="EY3" i="38"/>
  <c r="EY32" i="38" s="1"/>
  <c r="AK28" i="38"/>
  <c r="EV26" i="38"/>
  <c r="EV24" i="38"/>
  <c r="EV20" i="38"/>
  <c r="AK20" i="38"/>
  <c r="EV10" i="38"/>
  <c r="EV9" i="38"/>
  <c r="EV8" i="38"/>
  <c r="EV6" i="38"/>
  <c r="AK4" i="38"/>
  <c r="AK2" i="38"/>
  <c r="EY27" i="38"/>
  <c r="DT26" i="38"/>
  <c r="DT36" i="38" s="1"/>
  <c r="EH36" i="38" s="1"/>
  <c r="BN24" i="38"/>
  <c r="BN23" i="38"/>
  <c r="BN49" i="38" s="1"/>
  <c r="DT20" i="38"/>
  <c r="BN20" i="38"/>
  <c r="BN18" i="38"/>
  <c r="EY16" i="38"/>
  <c r="DT13" i="38"/>
  <c r="DT33" i="38" s="1"/>
  <c r="EH33" i="38" s="1"/>
  <c r="EY12" i="38"/>
  <c r="EY5" i="38"/>
  <c r="AK22" i="38"/>
  <c r="AK17" i="38"/>
  <c r="AK13" i="38"/>
  <c r="AK10" i="38"/>
  <c r="AK8" i="38"/>
  <c r="EV3" i="38"/>
  <c r="EY29" i="38"/>
  <c r="BN28" i="38"/>
  <c r="BN43" i="38" s="1"/>
  <c r="BN25" i="38"/>
  <c r="DT24" i="38"/>
  <c r="EY23" i="38"/>
  <c r="EY49" i="38" s="1"/>
  <c r="BN22" i="38"/>
  <c r="BN37" i="38" s="1"/>
  <c r="BN14" i="38"/>
  <c r="BN34" i="38" s="1"/>
  <c r="DT6" i="38"/>
  <c r="DT47" i="38" s="1"/>
  <c r="EH47" i="38" s="1"/>
  <c r="BN5" i="38"/>
  <c r="AK3" i="38"/>
  <c r="DT30" i="38"/>
  <c r="DT35" i="38" s="1"/>
  <c r="EH35" i="38" s="1"/>
  <c r="DT27" i="38"/>
  <c r="EY19" i="38"/>
  <c r="EY42" i="38" s="1"/>
  <c r="DT19" i="38"/>
  <c r="DT42" i="38" s="1"/>
  <c r="EH42" i="38" s="1"/>
  <c r="BN17" i="38"/>
  <c r="DT16" i="38"/>
  <c r="DT14" i="38"/>
  <c r="DT34" i="38" s="1"/>
  <c r="EH34" i="38" s="1"/>
  <c r="EY13" i="38"/>
  <c r="EY33" i="38" s="1"/>
  <c r="BN13" i="38"/>
  <c r="BN33" i="38" s="1"/>
  <c r="BN9" i="38"/>
  <c r="DT8" i="38"/>
  <c r="DT41" i="38" s="1"/>
  <c r="EH41" i="38" s="1"/>
  <c r="BN7" i="38"/>
  <c r="EV25" i="38"/>
  <c r="AK15" i="38"/>
  <c r="AK29" i="38"/>
  <c r="AK12" i="38"/>
  <c r="AK9" i="38"/>
  <c r="AK30" i="38"/>
  <c r="AK16" i="38"/>
  <c r="BN27" i="38"/>
  <c r="EY25" i="38"/>
  <c r="DT21" i="38"/>
  <c r="EY20" i="38"/>
  <c r="EY18" i="38"/>
  <c r="DT17" i="38"/>
  <c r="DT15" i="38"/>
  <c r="DT44" i="38" s="1"/>
  <c r="EH44" i="38" s="1"/>
  <c r="BN10" i="38"/>
  <c r="BN46" i="38" s="1"/>
  <c r="EY2" i="38"/>
  <c r="EY38" i="38" s="1"/>
  <c r="EY24" i="38"/>
  <c r="EY14" i="38"/>
  <c r="EY34" i="38" s="1"/>
  <c r="DT12" i="38"/>
  <c r="EY9" i="38"/>
  <c r="EY7" i="38"/>
  <c r="AK7" i="38"/>
  <c r="DT23" i="38"/>
  <c r="DT49" i="38" s="1"/>
  <c r="BN16" i="38"/>
  <c r="DT9" i="38"/>
  <c r="DT7" i="38"/>
  <c r="DT5" i="38"/>
  <c r="DT3" i="38"/>
  <c r="DT32" i="38" s="1"/>
  <c r="DT2" i="38"/>
  <c r="DT38" i="38" s="1"/>
  <c r="EH38" i="38" s="1"/>
  <c r="BN2" i="38"/>
  <c r="BN38" i="38" s="1"/>
  <c r="EY22" i="38"/>
  <c r="EY37" i="38" s="1"/>
  <c r="FA37" i="38" s="1"/>
  <c r="EY11" i="38"/>
  <c r="EY39" i="38" s="1"/>
  <c r="EY4" i="38"/>
  <c r="EY40" i="38" s="1"/>
  <c r="BN3" i="38"/>
  <c r="BN32" i="38" s="1"/>
  <c r="BN29" i="38"/>
  <c r="BN26" i="38"/>
  <c r="BN36" i="38" s="1"/>
  <c r="EV29" i="18"/>
  <c r="AK29" i="18"/>
  <c r="EV25" i="18"/>
  <c r="AK25" i="18"/>
  <c r="CQ23" i="18"/>
  <c r="EV21" i="18"/>
  <c r="AK21" i="18"/>
  <c r="EV17" i="18"/>
  <c r="AK17" i="18"/>
  <c r="EV13" i="18"/>
  <c r="AK13" i="18"/>
  <c r="EV9" i="18"/>
  <c r="AK9" i="18"/>
  <c r="EV5" i="18"/>
  <c r="AK5" i="18"/>
  <c r="AK20" i="18"/>
  <c r="EV16" i="18"/>
  <c r="AK12" i="18"/>
  <c r="EV8" i="18"/>
  <c r="EV4" i="18"/>
  <c r="EV30" i="18"/>
  <c r="EV26" i="18"/>
  <c r="EV22" i="18"/>
  <c r="AK18" i="18"/>
  <c r="AK14" i="18"/>
  <c r="EV10" i="18"/>
  <c r="AK6" i="18"/>
  <c r="AK2" i="18"/>
  <c r="EV28" i="18"/>
  <c r="AK28" i="18"/>
  <c r="EV24" i="18"/>
  <c r="AK24" i="18"/>
  <c r="EV20" i="18"/>
  <c r="AK16" i="18"/>
  <c r="EV12" i="18"/>
  <c r="AK8" i="18"/>
  <c r="AK4" i="18"/>
  <c r="EV27" i="18"/>
  <c r="AK27" i="18"/>
  <c r="CQ25" i="18"/>
  <c r="EV23" i="18"/>
  <c r="AK23" i="18"/>
  <c r="EV19" i="18"/>
  <c r="AK19" i="18"/>
  <c r="EV15" i="18"/>
  <c r="AK15" i="18"/>
  <c r="EV11" i="18"/>
  <c r="AK11" i="18"/>
  <c r="EV7" i="18"/>
  <c r="AK7" i="18"/>
  <c r="EV3" i="18"/>
  <c r="AK3" i="18"/>
  <c r="AK30" i="18"/>
  <c r="AK26" i="18"/>
  <c r="AK22" i="18"/>
  <c r="EV18" i="18"/>
  <c r="EV14" i="18"/>
  <c r="AK10" i="18"/>
  <c r="EV6" i="18"/>
  <c r="EV2" i="18"/>
  <c r="AI18" i="42"/>
  <c r="AI16" i="42"/>
  <c r="AI14" i="42"/>
  <c r="AI34" i="42" s="1"/>
  <c r="AI12" i="42"/>
  <c r="AI10" i="42"/>
  <c r="AI46" i="42" s="1"/>
  <c r="AI45" i="42" s="1"/>
  <c r="AI8" i="42"/>
  <c r="AI41" i="42" s="1"/>
  <c r="AI6" i="42"/>
  <c r="AI47" i="42" s="1"/>
  <c r="J30" i="41"/>
  <c r="J29" i="41"/>
  <c r="J28" i="41"/>
  <c r="J27" i="41"/>
  <c r="J26" i="41"/>
  <c r="J25" i="41"/>
  <c r="J24" i="41"/>
  <c r="J23" i="41"/>
  <c r="J22" i="41"/>
  <c r="J21" i="41"/>
  <c r="J20" i="41"/>
  <c r="J19" i="41"/>
  <c r="J18" i="41"/>
  <c r="J17" i="41"/>
  <c r="J16" i="41"/>
  <c r="J15" i="41"/>
  <c r="J14" i="41"/>
  <c r="J13" i="41"/>
  <c r="J12" i="41"/>
  <c r="J11" i="41"/>
  <c r="J10" i="41"/>
  <c r="J9" i="41"/>
  <c r="J8" i="41"/>
  <c r="J7" i="41"/>
  <c r="J6" i="41"/>
  <c r="J5" i="41"/>
  <c r="J4" i="41"/>
  <c r="J3" i="41"/>
  <c r="J2" i="41"/>
  <c r="AI30" i="42"/>
  <c r="AI35" i="42" s="1"/>
  <c r="AI28" i="42"/>
  <c r="AI43" i="42" s="1"/>
  <c r="AI26" i="42"/>
  <c r="AI36" i="42" s="1"/>
  <c r="AI24" i="42"/>
  <c r="AI22" i="42"/>
  <c r="AI37" i="42" s="1"/>
  <c r="AI20" i="42"/>
  <c r="AI19" i="42"/>
  <c r="AI42" i="42" s="1"/>
  <c r="AI17" i="42"/>
  <c r="AI15" i="42"/>
  <c r="AI44" i="42" s="1"/>
  <c r="AI13" i="42"/>
  <c r="AI33" i="42" s="1"/>
  <c r="AI11" i="42"/>
  <c r="AI39" i="42" s="1"/>
  <c r="AI9" i="42"/>
  <c r="AI7" i="42"/>
  <c r="AI25" i="42"/>
  <c r="AI4" i="42"/>
  <c r="AI40" i="42" s="1"/>
  <c r="AI2" i="42"/>
  <c r="AI38" i="42" s="1"/>
  <c r="AI27" i="42"/>
  <c r="J2" i="29"/>
  <c r="J38" i="29" s="1"/>
  <c r="J3" i="29"/>
  <c r="J4" i="29"/>
  <c r="J5" i="29"/>
  <c r="J6" i="29"/>
  <c r="AI29" i="42"/>
  <c r="AI21" i="42"/>
  <c r="AI5" i="42"/>
  <c r="AI3" i="42"/>
  <c r="AI32" i="42" s="1"/>
  <c r="J13" i="29"/>
  <c r="J14" i="29"/>
  <c r="J15" i="29"/>
  <c r="J16" i="29"/>
  <c r="J17" i="29"/>
  <c r="J18" i="29"/>
  <c r="J19" i="29"/>
  <c r="J20" i="29"/>
  <c r="J21" i="29"/>
  <c r="J22" i="29"/>
  <c r="J23" i="29"/>
  <c r="J24" i="29"/>
  <c r="J25" i="29"/>
  <c r="J26" i="29"/>
  <c r="J27" i="29"/>
  <c r="J28" i="29"/>
  <c r="J29" i="29"/>
  <c r="J30" i="29"/>
  <c r="J7" i="29"/>
  <c r="J9" i="29"/>
  <c r="J11" i="29"/>
  <c r="AI23" i="42"/>
  <c r="J12" i="29"/>
  <c r="J10" i="29"/>
  <c r="J8" i="29"/>
  <c r="AI10" i="43"/>
  <c r="AI46" i="43" s="1"/>
  <c r="AI24" i="43"/>
  <c r="AI4" i="43"/>
  <c r="AI40" i="43" s="1"/>
  <c r="AI28" i="43"/>
  <c r="AI43" i="43" s="1"/>
  <c r="AI20" i="43"/>
  <c r="AI14" i="43"/>
  <c r="AI34" i="43" s="1"/>
  <c r="AI2" i="43"/>
  <c r="AI38" i="43" s="1"/>
  <c r="AI8" i="43"/>
  <c r="AI41" i="43" s="1"/>
  <c r="AI27" i="43"/>
  <c r="AI22" i="43"/>
  <c r="AI37" i="43" s="1"/>
  <c r="AI6" i="43"/>
  <c r="AI47" i="43" s="1"/>
  <c r="AI29" i="43"/>
  <c r="AI16" i="43"/>
  <c r="AI23" i="43"/>
  <c r="AI17" i="43"/>
  <c r="AI13" i="43"/>
  <c r="AI33" i="43" s="1"/>
  <c r="AI9" i="43"/>
  <c r="AI5" i="43"/>
  <c r="AI19" i="43"/>
  <c r="AI42" i="43" s="1"/>
  <c r="AI7" i="43"/>
  <c r="AI26" i="43"/>
  <c r="AI36" i="43" s="1"/>
  <c r="AI18" i="43"/>
  <c r="AI25" i="43"/>
  <c r="AI21" i="43"/>
  <c r="AI12" i="43"/>
  <c r="AI15" i="43"/>
  <c r="AI44" i="43" s="1"/>
  <c r="AI3" i="43"/>
  <c r="AI32" i="43" s="1"/>
  <c r="AI11" i="43"/>
  <c r="AI39" i="43" s="1"/>
  <c r="AI30" i="43"/>
  <c r="AI35" i="43" s="1"/>
  <c r="AI6" i="30"/>
  <c r="AI47" i="30" s="1"/>
  <c r="AI10" i="30"/>
  <c r="AI46" i="30" s="1"/>
  <c r="AI14" i="30"/>
  <c r="AI34" i="30" s="1"/>
  <c r="AI19" i="30"/>
  <c r="AI42" i="30" s="1"/>
  <c r="AI21" i="30"/>
  <c r="AI27" i="30"/>
  <c r="AI29" i="30"/>
  <c r="AI2" i="30"/>
  <c r="AI38" i="30" s="1"/>
  <c r="AI28" i="30"/>
  <c r="AI43" i="30" s="1"/>
  <c r="AI30" i="30"/>
  <c r="AI35" i="30" s="1"/>
  <c r="AI7" i="30"/>
  <c r="AI11" i="30"/>
  <c r="AI39" i="30" s="1"/>
  <c r="AI15" i="30"/>
  <c r="AI44" i="30" s="1"/>
  <c r="AI24" i="30"/>
  <c r="AI26" i="30"/>
  <c r="AI36" i="30" s="1"/>
  <c r="AI5" i="30"/>
  <c r="AI9" i="30"/>
  <c r="AI13" i="30"/>
  <c r="AI33" i="30" s="1"/>
  <c r="AI17" i="30"/>
  <c r="AI20" i="30"/>
  <c r="AI22" i="30"/>
  <c r="AI37" i="30" s="1"/>
  <c r="AI3" i="30"/>
  <c r="AI32" i="30" s="1"/>
  <c r="AI18" i="30"/>
  <c r="AI4" i="30"/>
  <c r="AI40" i="30" s="1"/>
  <c r="AI8" i="30"/>
  <c r="AI41" i="30" s="1"/>
  <c r="AI12" i="30"/>
  <c r="AI16" i="30"/>
  <c r="AI23" i="30"/>
  <c r="AI25" i="30"/>
  <c r="AW30" i="42"/>
  <c r="AW35" i="42" s="1"/>
  <c r="AW29" i="42"/>
  <c r="AW28" i="42"/>
  <c r="AW43" i="42" s="1"/>
  <c r="AW27" i="42"/>
  <c r="AW26" i="42"/>
  <c r="AW36" i="42" s="1"/>
  <c r="AW25" i="42"/>
  <c r="AW24" i="42"/>
  <c r="AW23" i="42"/>
  <c r="AW22" i="42"/>
  <c r="AW37" i="42" s="1"/>
  <c r="AW21" i="42"/>
  <c r="AW20" i="42"/>
  <c r="AW19" i="42"/>
  <c r="AW42" i="42" s="1"/>
  <c r="AW4" i="42"/>
  <c r="AW40" i="42" s="1"/>
  <c r="AW3" i="42"/>
  <c r="AW32" i="42" s="1"/>
  <c r="AW2" i="42"/>
  <c r="AW38" i="42" s="1"/>
  <c r="AW17" i="42"/>
  <c r="AW15" i="42"/>
  <c r="AW44" i="42" s="1"/>
  <c r="AW13" i="42"/>
  <c r="AW33" i="42" s="1"/>
  <c r="AW11" i="42"/>
  <c r="AW39" i="42" s="1"/>
  <c r="AW9" i="42"/>
  <c r="AW7" i="42"/>
  <c r="AW5" i="42"/>
  <c r="AW14" i="42"/>
  <c r="AW34" i="42" s="1"/>
  <c r="AW6" i="42"/>
  <c r="AW47" i="42" s="1"/>
  <c r="AW12" i="42"/>
  <c r="AW18" i="42"/>
  <c r="AW10" i="42"/>
  <c r="AW46" i="42" s="1"/>
  <c r="AW8" i="42"/>
  <c r="AW41" i="42" s="1"/>
  <c r="X2" i="29"/>
  <c r="X38" i="29" s="1"/>
  <c r="X4" i="29"/>
  <c r="X7" i="29"/>
  <c r="X9" i="29"/>
  <c r="X11" i="29"/>
  <c r="X29" i="41"/>
  <c r="X27" i="41"/>
  <c r="X25" i="41"/>
  <c r="X23" i="41"/>
  <c r="X21" i="41"/>
  <c r="X19" i="41"/>
  <c r="X17" i="41"/>
  <c r="X15" i="41"/>
  <c r="X13" i="41"/>
  <c r="X11" i="41"/>
  <c r="X9" i="41"/>
  <c r="X7" i="41"/>
  <c r="X5" i="41"/>
  <c r="X3" i="41"/>
  <c r="X3" i="29"/>
  <c r="X5" i="29"/>
  <c r="X6" i="29"/>
  <c r="X8" i="29"/>
  <c r="X10" i="29"/>
  <c r="X12" i="29"/>
  <c r="X13" i="29"/>
  <c r="X14" i="29"/>
  <c r="X15" i="29"/>
  <c r="X16" i="29"/>
  <c r="X17" i="29"/>
  <c r="X18" i="29"/>
  <c r="X19" i="29"/>
  <c r="X20" i="29"/>
  <c r="X21" i="29"/>
  <c r="X22" i="29"/>
  <c r="X23" i="29"/>
  <c r="X24" i="29"/>
  <c r="X25" i="29"/>
  <c r="X26" i="29"/>
  <c r="X27" i="29"/>
  <c r="X28" i="29"/>
  <c r="X29" i="29"/>
  <c r="X30" i="29"/>
  <c r="X28" i="41"/>
  <c r="X20" i="41"/>
  <c r="X12" i="41"/>
  <c r="X4" i="41"/>
  <c r="AW16" i="42"/>
  <c r="X30" i="41"/>
  <c r="X22" i="41"/>
  <c r="X14" i="41"/>
  <c r="X6" i="41"/>
  <c r="X24" i="41"/>
  <c r="X16" i="41"/>
  <c r="X8" i="41"/>
  <c r="X26" i="41"/>
  <c r="X18" i="41"/>
  <c r="X10" i="41"/>
  <c r="X2" i="41"/>
  <c r="AW10" i="43"/>
  <c r="AW46" i="43" s="1"/>
  <c r="AW45" i="43" s="1"/>
  <c r="AW24" i="43"/>
  <c r="AW4" i="43"/>
  <c r="AW40" i="43" s="1"/>
  <c r="AW28" i="43"/>
  <c r="AW43" i="43" s="1"/>
  <c r="AW20" i="43"/>
  <c r="AW14" i="43"/>
  <c r="AW34" i="43" s="1"/>
  <c r="AW8" i="43"/>
  <c r="AW41" i="43" s="1"/>
  <c r="AW27" i="43"/>
  <c r="AW11" i="43"/>
  <c r="AW39" i="43" s="1"/>
  <c r="AW22" i="43"/>
  <c r="AW37" i="43" s="1"/>
  <c r="AW6" i="43"/>
  <c r="AW47" i="43" s="1"/>
  <c r="AW29" i="43"/>
  <c r="AW16" i="43"/>
  <c r="AW23" i="43"/>
  <c r="AW30" i="43"/>
  <c r="AW35" i="43" s="1"/>
  <c r="AW17" i="43"/>
  <c r="AW13" i="43"/>
  <c r="AW33" i="43" s="1"/>
  <c r="AW9" i="43"/>
  <c r="AW5" i="43"/>
  <c r="AW19" i="43"/>
  <c r="AW42" i="43" s="1"/>
  <c r="AW7" i="43"/>
  <c r="AW2" i="43"/>
  <c r="AW38" i="43" s="1"/>
  <c r="AW26" i="43"/>
  <c r="AW36" i="43" s="1"/>
  <c r="AW18" i="43"/>
  <c r="AW25" i="43"/>
  <c r="AW21" i="43"/>
  <c r="AW12" i="43"/>
  <c r="AW15" i="43"/>
  <c r="AW44" i="43" s="1"/>
  <c r="AW3" i="43"/>
  <c r="AW32" i="43" s="1"/>
  <c r="AW31" i="43" s="1"/>
  <c r="AW4" i="30"/>
  <c r="AW40" i="30" s="1"/>
  <c r="AW8" i="30"/>
  <c r="AW41" i="30" s="1"/>
  <c r="AW12" i="30"/>
  <c r="AW16" i="30"/>
  <c r="AW23" i="30"/>
  <c r="AW25" i="30"/>
  <c r="AW26" i="30"/>
  <c r="AW36" i="30" s="1"/>
  <c r="AW5" i="30"/>
  <c r="AW9" i="30"/>
  <c r="AW13" i="30"/>
  <c r="AW33" i="30" s="1"/>
  <c r="AW20" i="30"/>
  <c r="AW28" i="30"/>
  <c r="AW43" i="30" s="1"/>
  <c r="AW30" i="30"/>
  <c r="AW35" i="30" s="1"/>
  <c r="AW3" i="30"/>
  <c r="AW32" i="30" s="1"/>
  <c r="AW7" i="30"/>
  <c r="AW11" i="30"/>
  <c r="AW39" i="30" s="1"/>
  <c r="AW15" i="30"/>
  <c r="AW44" i="30" s="1"/>
  <c r="AW18" i="30"/>
  <c r="AW24" i="30"/>
  <c r="AW17" i="30"/>
  <c r="AW22" i="30"/>
  <c r="AW37" i="30" s="1"/>
  <c r="AW6" i="30"/>
  <c r="AW47" i="30" s="1"/>
  <c r="AW10" i="30"/>
  <c r="AW46" i="30" s="1"/>
  <c r="AW14" i="30"/>
  <c r="AW34" i="30" s="1"/>
  <c r="AW19" i="30"/>
  <c r="AW42" i="30" s="1"/>
  <c r="AW21" i="30"/>
  <c r="AW27" i="30"/>
  <c r="AW29" i="30"/>
  <c r="AW2" i="30"/>
  <c r="AW38" i="30" s="1"/>
  <c r="C67" i="20"/>
  <c r="E67" i="20" s="1"/>
  <c r="C53" i="20"/>
  <c r="E53" i="20" s="1"/>
  <c r="E5" i="20"/>
  <c r="C56" i="45"/>
  <c r="E56" i="45" s="1"/>
  <c r="C70" i="45"/>
  <c r="E70" i="45" s="1"/>
  <c r="E20" i="45"/>
  <c r="E15" i="20"/>
  <c r="C44" i="20"/>
  <c r="E44" i="20" s="1"/>
  <c r="AH39" i="37"/>
  <c r="AC54" i="37"/>
  <c r="AC68" i="37"/>
  <c r="AF56" i="37"/>
  <c r="AF70" i="37"/>
  <c r="AF54" i="37"/>
  <c r="AF68" i="37"/>
  <c r="H50" i="37"/>
  <c r="K50" i="37" s="1"/>
  <c r="H64" i="37"/>
  <c r="AC59" i="37"/>
  <c r="AC73" i="37"/>
  <c r="D62" i="37"/>
  <c r="D76" i="37"/>
  <c r="AF64" i="16"/>
  <c r="AF50" i="16"/>
  <c r="K49" i="16"/>
  <c r="AF68" i="16"/>
  <c r="AF54" i="16"/>
  <c r="AC49" i="16"/>
  <c r="AE49" i="16" s="1"/>
  <c r="AC68" i="16"/>
  <c r="AC54" i="16"/>
  <c r="CJ30" i="42"/>
  <c r="CJ35" i="42" s="1"/>
  <c r="CJ29" i="42"/>
  <c r="CJ28" i="42"/>
  <c r="CJ43" i="42" s="1"/>
  <c r="CJ27" i="42"/>
  <c r="CJ26" i="42"/>
  <c r="CJ36" i="42" s="1"/>
  <c r="CJ25" i="42"/>
  <c r="CJ24" i="42"/>
  <c r="CJ23" i="42"/>
  <c r="CJ49" i="42" s="1"/>
  <c r="CJ22" i="42"/>
  <c r="CJ37" i="42" s="1"/>
  <c r="CJ21" i="42"/>
  <c r="CJ20" i="42"/>
  <c r="CJ19" i="42"/>
  <c r="CJ42" i="42" s="1"/>
  <c r="CJ18" i="42"/>
  <c r="CJ17" i="42"/>
  <c r="CJ16" i="42"/>
  <c r="CJ15" i="42"/>
  <c r="CJ44" i="42" s="1"/>
  <c r="CJ14" i="42"/>
  <c r="CJ34" i="42" s="1"/>
  <c r="CJ13" i="42"/>
  <c r="CJ33" i="42" s="1"/>
  <c r="CJ12" i="42"/>
  <c r="CJ11" i="42"/>
  <c r="CJ39" i="42" s="1"/>
  <c r="CJ10" i="42"/>
  <c r="CJ46" i="42" s="1"/>
  <c r="CJ9" i="42"/>
  <c r="CJ8" i="42"/>
  <c r="CJ41" i="42" s="1"/>
  <c r="CJ7" i="42"/>
  <c r="CJ6" i="42"/>
  <c r="CJ47" i="42" s="1"/>
  <c r="CJ5" i="42"/>
  <c r="CJ4" i="42"/>
  <c r="CJ40" i="42" s="1"/>
  <c r="CJ3" i="42"/>
  <c r="CJ32" i="42" s="1"/>
  <c r="CJ31" i="42" s="1"/>
  <c r="CJ2" i="42"/>
  <c r="CJ38" i="42" s="1"/>
  <c r="BK30" i="41"/>
  <c r="BK35" i="41" s="1"/>
  <c r="AL30" i="41"/>
  <c r="AL29" i="41"/>
  <c r="AL28" i="41"/>
  <c r="AL27" i="41"/>
  <c r="AL26" i="41"/>
  <c r="AL25" i="41"/>
  <c r="AL24" i="41"/>
  <c r="AL23" i="41"/>
  <c r="AL22" i="41"/>
  <c r="AL21" i="41"/>
  <c r="AL20" i="41"/>
  <c r="AL19" i="41"/>
  <c r="AL18" i="41"/>
  <c r="AL17" i="41"/>
  <c r="AL16" i="41"/>
  <c r="AL15" i="41"/>
  <c r="AL14" i="41"/>
  <c r="AL13" i="41"/>
  <c r="AL12" i="41"/>
  <c r="AL11" i="41"/>
  <c r="AL10" i="41"/>
  <c r="AL9" i="41"/>
  <c r="AL8" i="41"/>
  <c r="AL7" i="41"/>
  <c r="AL6" i="41"/>
  <c r="AL5" i="41"/>
  <c r="AL4" i="41"/>
  <c r="AL3" i="41"/>
  <c r="AL2" i="41"/>
  <c r="BK29" i="41"/>
  <c r="BK28" i="41"/>
  <c r="BK43" i="41" s="1"/>
  <c r="BK10" i="41"/>
  <c r="BJ46" i="41" s="1"/>
  <c r="BK9" i="41"/>
  <c r="BK8" i="41"/>
  <c r="BK41" i="41" s="1"/>
  <c r="AL2" i="29"/>
  <c r="AL38" i="29" s="1"/>
  <c r="BK2" i="29"/>
  <c r="BK38" i="29" s="1"/>
  <c r="AL3" i="29"/>
  <c r="BK3" i="29"/>
  <c r="BK32" i="29" s="1"/>
  <c r="AL4" i="29"/>
  <c r="BK4" i="29"/>
  <c r="BK40" i="29" s="1"/>
  <c r="AL5" i="29"/>
  <c r="BK5" i="29"/>
  <c r="AL6" i="29"/>
  <c r="BK6" i="29"/>
  <c r="BJ47" i="29" s="1"/>
  <c r="AL7" i="29"/>
  <c r="BK7" i="29"/>
  <c r="AL8" i="29"/>
  <c r="BK8" i="29"/>
  <c r="BK41" i="29" s="1"/>
  <c r="AL9" i="29"/>
  <c r="BK9" i="29"/>
  <c r="AL10" i="29"/>
  <c r="BK10" i="29"/>
  <c r="BJ46" i="29" s="1"/>
  <c r="BJ45" i="29" s="1"/>
  <c r="AL11" i="29"/>
  <c r="BK11" i="29"/>
  <c r="BK39" i="29" s="1"/>
  <c r="AL12" i="29"/>
  <c r="BK27" i="41"/>
  <c r="BK26" i="41"/>
  <c r="BK36" i="41" s="1"/>
  <c r="BK25" i="41"/>
  <c r="BK24" i="41"/>
  <c r="BK23" i="41"/>
  <c r="BK49" i="41" s="1"/>
  <c r="BK21" i="41"/>
  <c r="BK20" i="41"/>
  <c r="BK19" i="41"/>
  <c r="BK42" i="41" s="1"/>
  <c r="BK18" i="41"/>
  <c r="BK17" i="41"/>
  <c r="BK16" i="41"/>
  <c r="BK15" i="41"/>
  <c r="BK44" i="41" s="1"/>
  <c r="BK12" i="41"/>
  <c r="BK11" i="41"/>
  <c r="BK39" i="41" s="1"/>
  <c r="BK22" i="41"/>
  <c r="BK37" i="41" s="1"/>
  <c r="BK14" i="41"/>
  <c r="BK34" i="41" s="1"/>
  <c r="BK13" i="41"/>
  <c r="BK33" i="41" s="1"/>
  <c r="BK2" i="41"/>
  <c r="BK38" i="41" s="1"/>
  <c r="BK5" i="41"/>
  <c r="BK7" i="41"/>
  <c r="BK3" i="41"/>
  <c r="BK32" i="41" s="1"/>
  <c r="BK4" i="41"/>
  <c r="BK40" i="41" s="1"/>
  <c r="BK13" i="29"/>
  <c r="BK33" i="29" s="1"/>
  <c r="AL14" i="29"/>
  <c r="BK15" i="29"/>
  <c r="BK44" i="29" s="1"/>
  <c r="AL16" i="29"/>
  <c r="BK17" i="29"/>
  <c r="AL18" i="29"/>
  <c r="BK19" i="29"/>
  <c r="BK42" i="29" s="1"/>
  <c r="AL20" i="29"/>
  <c r="BK21" i="29"/>
  <c r="AL22" i="29"/>
  <c r="BK23" i="29"/>
  <c r="BK49" i="29" s="1"/>
  <c r="AL24" i="29"/>
  <c r="BK25" i="29"/>
  <c r="AL26" i="29"/>
  <c r="BK27" i="29"/>
  <c r="AL28" i="29"/>
  <c r="BK29" i="29"/>
  <c r="AL30" i="29"/>
  <c r="BK6" i="41"/>
  <c r="BJ47" i="41" s="1"/>
  <c r="BK12" i="29"/>
  <c r="AL13" i="29"/>
  <c r="BK14" i="29"/>
  <c r="BK34" i="29" s="1"/>
  <c r="AL15" i="29"/>
  <c r="BK16" i="29"/>
  <c r="AL17" i="29"/>
  <c r="BK18" i="29"/>
  <c r="AL19" i="29"/>
  <c r="BK20" i="29"/>
  <c r="AL21" i="29"/>
  <c r="BK22" i="29"/>
  <c r="BK37" i="29" s="1"/>
  <c r="AL23" i="29"/>
  <c r="BK24" i="29"/>
  <c r="AL25" i="29"/>
  <c r="BK26" i="29"/>
  <c r="BK36" i="29" s="1"/>
  <c r="AL27" i="29"/>
  <c r="BK28" i="29"/>
  <c r="BK43" i="29" s="1"/>
  <c r="AL29" i="29"/>
  <c r="BK30" i="29"/>
  <c r="BK35" i="29" s="1"/>
  <c r="CJ8" i="43"/>
  <c r="CJ41" i="43" s="1"/>
  <c r="CJ24" i="43"/>
  <c r="CJ16" i="43"/>
  <c r="CJ30" i="43"/>
  <c r="CJ35" i="43" s="1"/>
  <c r="CJ22" i="43"/>
  <c r="CJ37" i="43" s="1"/>
  <c r="CJ17" i="43"/>
  <c r="CJ13" i="43"/>
  <c r="CJ33" i="43" s="1"/>
  <c r="CJ9" i="43"/>
  <c r="CJ5" i="43"/>
  <c r="CJ19" i="43"/>
  <c r="CJ42" i="43" s="1"/>
  <c r="CJ26" i="43"/>
  <c r="CJ36" i="43" s="1"/>
  <c r="CJ25" i="43"/>
  <c r="CJ21" i="43"/>
  <c r="CJ15" i="43"/>
  <c r="CJ44" i="43" s="1"/>
  <c r="CJ3" i="43"/>
  <c r="CJ32" i="43" s="1"/>
  <c r="CJ10" i="43"/>
  <c r="CJ46" i="43" s="1"/>
  <c r="CJ29" i="43"/>
  <c r="CJ28" i="43"/>
  <c r="CJ43" i="43" s="1"/>
  <c r="CJ14" i="43"/>
  <c r="CJ34" i="43" s="1"/>
  <c r="CJ27" i="43"/>
  <c r="CJ11" i="43"/>
  <c r="CJ39" i="43" s="1"/>
  <c r="CJ4" i="43"/>
  <c r="CJ40" i="43" s="1"/>
  <c r="CJ2" i="43"/>
  <c r="CJ38" i="43" s="1"/>
  <c r="CJ23" i="43"/>
  <c r="CJ6" i="43"/>
  <c r="CJ47" i="43" s="1"/>
  <c r="CJ7" i="43"/>
  <c r="CJ18" i="43"/>
  <c r="CJ20" i="43"/>
  <c r="CJ12" i="43"/>
  <c r="CJ3" i="30"/>
  <c r="CJ32" i="30" s="1"/>
  <c r="CJ4" i="30"/>
  <c r="CJ40" i="30" s="1"/>
  <c r="CJ5" i="30"/>
  <c r="CJ8" i="30"/>
  <c r="CJ41" i="30" s="1"/>
  <c r="CJ15" i="30"/>
  <c r="CJ44" i="30" s="1"/>
  <c r="CJ17" i="30"/>
  <c r="CJ28" i="30"/>
  <c r="CJ43" i="30" s="1"/>
  <c r="CJ29" i="30"/>
  <c r="CJ20" i="30"/>
  <c r="CJ21" i="30"/>
  <c r="CJ22" i="30"/>
  <c r="CJ37" i="30" s="1"/>
  <c r="CJ23" i="30"/>
  <c r="CJ49" i="30" s="1"/>
  <c r="CJ26" i="30"/>
  <c r="CJ36" i="30" s="1"/>
  <c r="CJ27" i="30"/>
  <c r="CJ6" i="30"/>
  <c r="CJ47" i="30" s="1"/>
  <c r="CJ7" i="30"/>
  <c r="CJ9" i="30"/>
  <c r="CJ10" i="30"/>
  <c r="CJ46" i="30" s="1"/>
  <c r="CJ45" i="30" s="1"/>
  <c r="CJ11" i="30"/>
  <c r="CJ39" i="30" s="1"/>
  <c r="CJ12" i="30"/>
  <c r="CJ13" i="30"/>
  <c r="CJ33" i="30" s="1"/>
  <c r="CJ14" i="30"/>
  <c r="CJ34" i="30" s="1"/>
  <c r="CJ16" i="30"/>
  <c r="CJ18" i="30"/>
  <c r="CJ19" i="30"/>
  <c r="CJ42" i="30" s="1"/>
  <c r="CJ24" i="30"/>
  <c r="CJ25" i="30"/>
  <c r="CJ30" i="30"/>
  <c r="CJ35" i="30" s="1"/>
  <c r="AM30" i="42"/>
  <c r="AM35" i="42" s="1"/>
  <c r="AM29" i="42"/>
  <c r="AM28" i="42"/>
  <c r="AM43" i="42" s="1"/>
  <c r="AM27" i="42"/>
  <c r="AM26" i="42"/>
  <c r="AM36" i="42" s="1"/>
  <c r="AM25" i="42"/>
  <c r="AM24" i="42"/>
  <c r="AM23" i="42"/>
  <c r="AM22" i="42"/>
  <c r="AM37" i="42" s="1"/>
  <c r="AM21" i="42"/>
  <c r="AM20" i="42"/>
  <c r="AM19" i="42"/>
  <c r="AM42" i="42" s="1"/>
  <c r="N30" i="41"/>
  <c r="N29" i="41"/>
  <c r="N28" i="41"/>
  <c r="N27" i="41"/>
  <c r="N26" i="41"/>
  <c r="N25" i="41"/>
  <c r="N24" i="41"/>
  <c r="N23" i="41"/>
  <c r="N22" i="41"/>
  <c r="N21" i="41"/>
  <c r="N20" i="41"/>
  <c r="N19" i="41"/>
  <c r="N18" i="41"/>
  <c r="N17" i="41"/>
  <c r="N16" i="41"/>
  <c r="N15" i="41"/>
  <c r="N14" i="41"/>
  <c r="N13" i="41"/>
  <c r="N12" i="41"/>
  <c r="N11" i="41"/>
  <c r="N10" i="41"/>
  <c r="N9" i="41"/>
  <c r="N8" i="41"/>
  <c r="N7" i="41"/>
  <c r="N6" i="41"/>
  <c r="N5" i="41"/>
  <c r="N4" i="41"/>
  <c r="N3" i="41"/>
  <c r="N2" i="41"/>
  <c r="AM17" i="42"/>
  <c r="AM15" i="42"/>
  <c r="AM44" i="42" s="1"/>
  <c r="AM13" i="42"/>
  <c r="AM33" i="42" s="1"/>
  <c r="AM11" i="42"/>
  <c r="AM39" i="42" s="1"/>
  <c r="AM9" i="42"/>
  <c r="AM7" i="42"/>
  <c r="AM5" i="42"/>
  <c r="AM4" i="42"/>
  <c r="AM40" i="42" s="1"/>
  <c r="AM3" i="42"/>
  <c r="AM32" i="42" s="1"/>
  <c r="AM2" i="42"/>
  <c r="AM38" i="42" s="1"/>
  <c r="AM16" i="42"/>
  <c r="AM8" i="42"/>
  <c r="AM41" i="42" s="1"/>
  <c r="AM14" i="42"/>
  <c r="AM34" i="42" s="1"/>
  <c r="AM6" i="42"/>
  <c r="AM47" i="42" s="1"/>
  <c r="N2" i="29"/>
  <c r="N38" i="29" s="1"/>
  <c r="N3" i="29"/>
  <c r="N4" i="29"/>
  <c r="N5" i="29"/>
  <c r="AM12" i="42"/>
  <c r="N7" i="29"/>
  <c r="N9" i="29"/>
  <c r="N11" i="29"/>
  <c r="N13" i="29"/>
  <c r="N14" i="29"/>
  <c r="N15" i="29"/>
  <c r="N16" i="29"/>
  <c r="N17" i="29"/>
  <c r="N18" i="29"/>
  <c r="N19" i="29"/>
  <c r="N20" i="29"/>
  <c r="N21" i="29"/>
  <c r="N22" i="29"/>
  <c r="N23" i="29"/>
  <c r="N24" i="29"/>
  <c r="N25" i="29"/>
  <c r="N26" i="29"/>
  <c r="N27" i="29"/>
  <c r="N28" i="29"/>
  <c r="N29" i="29"/>
  <c r="N30" i="29"/>
  <c r="AM18" i="42"/>
  <c r="AM10" i="42"/>
  <c r="AM46" i="42" s="1"/>
  <c r="AM45" i="42" s="1"/>
  <c r="N6" i="29"/>
  <c r="N8" i="29"/>
  <c r="N10" i="29"/>
  <c r="N12" i="29"/>
  <c r="AM14" i="43"/>
  <c r="AM34" i="43" s="1"/>
  <c r="AM27" i="43"/>
  <c r="AM11" i="43"/>
  <c r="AM39" i="43" s="1"/>
  <c r="AM4" i="43"/>
  <c r="AM40" i="43" s="1"/>
  <c r="AM23" i="43"/>
  <c r="AM6" i="43"/>
  <c r="AM47" i="43" s="1"/>
  <c r="AM2" i="43"/>
  <c r="AM38" i="43" s="1"/>
  <c r="AM7" i="43"/>
  <c r="AM18" i="43"/>
  <c r="AM28" i="43"/>
  <c r="AM43" i="43" s="1"/>
  <c r="AM20" i="43"/>
  <c r="AM12" i="43"/>
  <c r="AM21" i="43"/>
  <c r="AM3" i="43"/>
  <c r="AM32" i="43" s="1"/>
  <c r="AM29" i="43"/>
  <c r="AM8" i="43"/>
  <c r="AM41" i="43" s="1"/>
  <c r="AM24" i="43"/>
  <c r="AM16" i="43"/>
  <c r="AM30" i="43"/>
  <c r="AM35" i="43" s="1"/>
  <c r="AM22" i="43"/>
  <c r="AM37" i="43" s="1"/>
  <c r="AM17" i="43"/>
  <c r="AM13" i="43"/>
  <c r="AM33" i="43" s="1"/>
  <c r="AM9" i="43"/>
  <c r="AM5" i="43"/>
  <c r="AM19" i="43"/>
  <c r="AM42" i="43" s="1"/>
  <c r="AM26" i="43"/>
  <c r="AM36" i="43" s="1"/>
  <c r="AM25" i="43"/>
  <c r="AM15" i="43"/>
  <c r="AM44" i="43" s="1"/>
  <c r="AM10" i="43"/>
  <c r="AM46" i="43" s="1"/>
  <c r="AM45" i="43" s="1"/>
  <c r="AM6" i="30"/>
  <c r="AM47" i="30" s="1"/>
  <c r="AM10" i="30"/>
  <c r="AM46" i="30" s="1"/>
  <c r="AM45" i="30" s="1"/>
  <c r="AM14" i="30"/>
  <c r="AM34" i="30" s="1"/>
  <c r="AM19" i="30"/>
  <c r="AM42" i="30" s="1"/>
  <c r="AM21" i="30"/>
  <c r="AM27" i="30"/>
  <c r="AM29" i="30"/>
  <c r="AM2" i="30"/>
  <c r="AM38" i="30" s="1"/>
  <c r="AM18" i="30"/>
  <c r="AM5" i="30"/>
  <c r="AM9" i="30"/>
  <c r="AM13" i="30"/>
  <c r="AM33" i="30" s="1"/>
  <c r="AM17" i="30"/>
  <c r="AM20" i="30"/>
  <c r="AM22" i="30"/>
  <c r="AM37" i="30" s="1"/>
  <c r="AM28" i="30"/>
  <c r="AM43" i="30" s="1"/>
  <c r="AM30" i="30"/>
  <c r="AM35" i="30" s="1"/>
  <c r="AM7" i="30"/>
  <c r="AM24" i="30"/>
  <c r="AM4" i="30"/>
  <c r="AM40" i="30" s="1"/>
  <c r="AM8" i="30"/>
  <c r="AM41" i="30" s="1"/>
  <c r="AM12" i="30"/>
  <c r="AM16" i="30"/>
  <c r="AM23" i="30"/>
  <c r="AM25" i="30"/>
  <c r="AM3" i="30"/>
  <c r="AM32" i="30" s="1"/>
  <c r="AM31" i="30" s="1"/>
  <c r="AM11" i="30"/>
  <c r="AM39" i="30" s="1"/>
  <c r="AM15" i="30"/>
  <c r="AM44" i="30" s="1"/>
  <c r="AM26" i="30"/>
  <c r="AM36" i="30" s="1"/>
  <c r="AU30" i="42"/>
  <c r="AU35" i="42" s="1"/>
  <c r="AU29" i="42"/>
  <c r="AU28" i="42"/>
  <c r="AU43" i="42" s="1"/>
  <c r="AU27" i="42"/>
  <c r="AU26" i="42"/>
  <c r="AU36" i="42" s="1"/>
  <c r="AU25" i="42"/>
  <c r="AU24" i="42"/>
  <c r="AU23" i="42"/>
  <c r="AU22" i="42"/>
  <c r="AU37" i="42" s="1"/>
  <c r="AU21" i="42"/>
  <c r="AU20" i="42"/>
  <c r="AU19" i="42"/>
  <c r="AU42" i="42" s="1"/>
  <c r="AU18" i="42"/>
  <c r="AU17" i="42"/>
  <c r="AU16" i="42"/>
  <c r="AU15" i="42"/>
  <c r="AU44" i="42" s="1"/>
  <c r="AU14" i="42"/>
  <c r="AU34" i="42" s="1"/>
  <c r="AU13" i="42"/>
  <c r="AU33" i="42" s="1"/>
  <c r="AU12" i="42"/>
  <c r="AU11" i="42"/>
  <c r="AU39" i="42" s="1"/>
  <c r="AU10" i="42"/>
  <c r="AU46" i="42" s="1"/>
  <c r="AU9" i="42"/>
  <c r="AU8" i="42"/>
  <c r="AU41" i="42" s="1"/>
  <c r="AU7" i="42"/>
  <c r="AU6" i="42"/>
  <c r="AU47" i="42" s="1"/>
  <c r="AU5" i="42"/>
  <c r="V30" i="41"/>
  <c r="V29" i="41"/>
  <c r="V28" i="41"/>
  <c r="V27" i="41"/>
  <c r="V26" i="41"/>
  <c r="V25" i="41"/>
  <c r="V24" i="41"/>
  <c r="V23" i="41"/>
  <c r="V22" i="41"/>
  <c r="V21" i="41"/>
  <c r="V20" i="41"/>
  <c r="V19" i="41"/>
  <c r="V18" i="41"/>
  <c r="V17" i="41"/>
  <c r="V16" i="41"/>
  <c r="V15" i="41"/>
  <c r="V14" i="41"/>
  <c r="V13" i="41"/>
  <c r="V12" i="41"/>
  <c r="V11" i="41"/>
  <c r="V10" i="41"/>
  <c r="V9" i="41"/>
  <c r="V8" i="41"/>
  <c r="V7" i="41"/>
  <c r="V6" i="41"/>
  <c r="V5" i="41"/>
  <c r="V4" i="41"/>
  <c r="V3" i="41"/>
  <c r="V2" i="41"/>
  <c r="AU4" i="42"/>
  <c r="AU40" i="42" s="1"/>
  <c r="AU3" i="42"/>
  <c r="AU32" i="42" s="1"/>
  <c r="AU31" i="42" s="1"/>
  <c r="AU2" i="42"/>
  <c r="AU38" i="42" s="1"/>
  <c r="V2" i="29"/>
  <c r="V38" i="29" s="1"/>
  <c r="V3" i="29"/>
  <c r="V4" i="29"/>
  <c r="V5" i="29"/>
  <c r="V6" i="29"/>
  <c r="V8" i="29"/>
  <c r="V10" i="29"/>
  <c r="V12" i="29"/>
  <c r="V13" i="29"/>
  <c r="V14" i="29"/>
  <c r="V15" i="29"/>
  <c r="V16" i="29"/>
  <c r="V17" i="29"/>
  <c r="V18" i="29"/>
  <c r="V19" i="29"/>
  <c r="V20" i="29"/>
  <c r="V21" i="29"/>
  <c r="V22" i="29"/>
  <c r="V23" i="29"/>
  <c r="V24" i="29"/>
  <c r="V25" i="29"/>
  <c r="V26" i="29"/>
  <c r="V27" i="29"/>
  <c r="V28" i="29"/>
  <c r="V29" i="29"/>
  <c r="V30" i="29"/>
  <c r="V7" i="29"/>
  <c r="V9" i="29"/>
  <c r="V11" i="29"/>
  <c r="AU30" i="43"/>
  <c r="AU35" i="43" s="1"/>
  <c r="AU6" i="43"/>
  <c r="AU47" i="43" s="1"/>
  <c r="AU13" i="43"/>
  <c r="AU33" i="43" s="1"/>
  <c r="AU7" i="43"/>
  <c r="AU21" i="43"/>
  <c r="AU8" i="43"/>
  <c r="AU41" i="43" s="1"/>
  <c r="AU27" i="43"/>
  <c r="AU11" i="43"/>
  <c r="AU39" i="43" s="1"/>
  <c r="AU10" i="43"/>
  <c r="AU46" i="43" s="1"/>
  <c r="AU29" i="43"/>
  <c r="AU24" i="43"/>
  <c r="AU4" i="43"/>
  <c r="AU40" i="43" s="1"/>
  <c r="AU23" i="43"/>
  <c r="AU16" i="43"/>
  <c r="AU26" i="43"/>
  <c r="AU36" i="43" s="1"/>
  <c r="AU22" i="43"/>
  <c r="AU37" i="43" s="1"/>
  <c r="AU17" i="43"/>
  <c r="AU9" i="43"/>
  <c r="AU5" i="43"/>
  <c r="AU2" i="43"/>
  <c r="AU38" i="43" s="1"/>
  <c r="AU19" i="43"/>
  <c r="AU42" i="43" s="1"/>
  <c r="AU25" i="43"/>
  <c r="AU28" i="43"/>
  <c r="AU43" i="43" s="1"/>
  <c r="AU20" i="43"/>
  <c r="AU12" i="43"/>
  <c r="AU15" i="43"/>
  <c r="AU44" i="43" s="1"/>
  <c r="AU3" i="43"/>
  <c r="AU32" i="43" s="1"/>
  <c r="AU14" i="43"/>
  <c r="AU34" i="43" s="1"/>
  <c r="AU18" i="43"/>
  <c r="AU6" i="30"/>
  <c r="AU47" i="30" s="1"/>
  <c r="AU10" i="30"/>
  <c r="AU46" i="30" s="1"/>
  <c r="AU14" i="30"/>
  <c r="AU34" i="30" s="1"/>
  <c r="AU19" i="30"/>
  <c r="AU42" i="30" s="1"/>
  <c r="AU21" i="30"/>
  <c r="AU27" i="30"/>
  <c r="AU29" i="30"/>
  <c r="AU2" i="30"/>
  <c r="AU38" i="30" s="1"/>
  <c r="AU11" i="30"/>
  <c r="AU39" i="30" s="1"/>
  <c r="AU15" i="30"/>
  <c r="AU44" i="30" s="1"/>
  <c r="AU18" i="30"/>
  <c r="AU26" i="30"/>
  <c r="AU36" i="30" s="1"/>
  <c r="AU5" i="30"/>
  <c r="AU9" i="30"/>
  <c r="AU13" i="30"/>
  <c r="AU33" i="30" s="1"/>
  <c r="AU17" i="30"/>
  <c r="AU20" i="30"/>
  <c r="AU22" i="30"/>
  <c r="AU37" i="30" s="1"/>
  <c r="AU28" i="30"/>
  <c r="AU43" i="30" s="1"/>
  <c r="AU30" i="30"/>
  <c r="AU35" i="30" s="1"/>
  <c r="AU3" i="30"/>
  <c r="AU32" i="30" s="1"/>
  <c r="AU7" i="30"/>
  <c r="AU24" i="30"/>
  <c r="AU4" i="30"/>
  <c r="AU40" i="30" s="1"/>
  <c r="AU8" i="30"/>
  <c r="AU41" i="30" s="1"/>
  <c r="AU12" i="30"/>
  <c r="AU16" i="30"/>
  <c r="AU23" i="30"/>
  <c r="AU25" i="30"/>
  <c r="E20" i="20"/>
  <c r="C56" i="20"/>
  <c r="E56" i="20" s="1"/>
  <c r="C70" i="20"/>
  <c r="E70" i="20" s="1"/>
  <c r="E19" i="45"/>
  <c r="C42" i="45"/>
  <c r="E42" i="45" s="1"/>
  <c r="E28" i="45"/>
  <c r="C43" i="45"/>
  <c r="E43" i="45" s="1"/>
  <c r="C52" i="45"/>
  <c r="E52" i="45" s="1"/>
  <c r="E17" i="45"/>
  <c r="C66" i="45"/>
  <c r="E66" i="45" s="1"/>
  <c r="E19" i="20"/>
  <c r="C42" i="20"/>
  <c r="E42" i="20" s="1"/>
  <c r="E22" i="45"/>
  <c r="C37" i="45"/>
  <c r="E37" i="45" s="1"/>
  <c r="AF59" i="37"/>
  <c r="AF73" i="37"/>
  <c r="AC53" i="37"/>
  <c r="AC67" i="37"/>
  <c r="AF72" i="37"/>
  <c r="AF58" i="37"/>
  <c r="AC65" i="37"/>
  <c r="AC51" i="37"/>
  <c r="AF53" i="37"/>
  <c r="AF67" i="37"/>
  <c r="H15" i="37"/>
  <c r="H44" i="37" s="1"/>
  <c r="K44" i="37" s="1"/>
  <c r="BY26" i="38"/>
  <c r="BY36" i="38" s="1"/>
  <c r="CM36" i="38" s="1"/>
  <c r="BY13" i="38"/>
  <c r="BY33" i="38" s="1"/>
  <c r="CM33" i="38" s="1"/>
  <c r="BY20" i="38"/>
  <c r="BY8" i="38"/>
  <c r="BY41" i="38" s="1"/>
  <c r="CM41" i="38" s="1"/>
  <c r="BY11" i="38"/>
  <c r="BY39" i="38" s="1"/>
  <c r="CM39" i="38" s="1"/>
  <c r="BY12" i="38"/>
  <c r="BY15" i="38"/>
  <c r="BY44" i="38" s="1"/>
  <c r="CM44" i="38" s="1"/>
  <c r="BY28" i="38"/>
  <c r="BY43" i="38" s="1"/>
  <c r="CM43" i="38" s="1"/>
  <c r="BY17" i="38"/>
  <c r="BY7" i="38"/>
  <c r="BY25" i="38"/>
  <c r="BY4" i="38"/>
  <c r="BY40" i="38" s="1"/>
  <c r="CM40" i="38" s="1"/>
  <c r="BY6" i="38"/>
  <c r="BY47" i="38" s="1"/>
  <c r="CM47" i="38" s="1"/>
  <c r="BY18" i="38"/>
  <c r="BY21" i="38"/>
  <c r="BY24" i="38"/>
  <c r="BY30" i="38"/>
  <c r="BY35" i="38" s="1"/>
  <c r="CM35" i="38" s="1"/>
  <c r="BY14" i="38"/>
  <c r="BY34" i="38" s="1"/>
  <c r="CM34" i="38" s="1"/>
  <c r="BY27" i="38"/>
  <c r="BY5" i="38"/>
  <c r="BY22" i="38"/>
  <c r="BY37" i="38" s="1"/>
  <c r="CM37" i="38" s="1"/>
  <c r="BY10" i="38"/>
  <c r="BY46" i="38" s="1"/>
  <c r="BY23" i="38"/>
  <c r="BY49" i="38" s="1"/>
  <c r="BY9" i="38"/>
  <c r="BY2" i="38"/>
  <c r="BY38" i="38" s="1"/>
  <c r="CM38" i="38" s="1"/>
  <c r="BY3" i="38"/>
  <c r="BY32" i="38" s="1"/>
  <c r="BY16" i="38"/>
  <c r="BY29" i="38"/>
  <c r="BY19" i="38"/>
  <c r="BY42" i="38" s="1"/>
  <c r="CM42" i="38" s="1"/>
  <c r="AV15" i="38"/>
  <c r="AV28" i="18"/>
  <c r="AV6" i="18"/>
  <c r="AV23" i="18"/>
  <c r="AV26" i="18"/>
  <c r="AV17" i="18"/>
  <c r="AV14" i="38"/>
  <c r="AV10" i="38"/>
  <c r="AV27" i="18"/>
  <c r="AV2" i="18"/>
  <c r="AV19" i="18"/>
  <c r="AV22" i="18"/>
  <c r="AV13" i="18"/>
  <c r="AV20" i="38"/>
  <c r="AV17" i="38"/>
  <c r="AV24" i="38"/>
  <c r="AV30" i="38"/>
  <c r="AV24" i="18"/>
  <c r="AV16" i="18"/>
  <c r="AV6" i="38"/>
  <c r="AV5" i="38"/>
  <c r="AV27" i="38"/>
  <c r="AV4" i="38"/>
  <c r="AV23" i="38"/>
  <c r="AV3" i="18"/>
  <c r="AV8" i="18"/>
  <c r="AV11" i="18"/>
  <c r="AV4" i="18"/>
  <c r="AV13" i="38"/>
  <c r="AV18" i="38"/>
  <c r="AV22" i="38"/>
  <c r="AV21" i="38"/>
  <c r="AV14" i="18"/>
  <c r="AV21" i="18"/>
  <c r="AV12" i="38"/>
  <c r="AV30" i="18"/>
  <c r="AV15" i="18"/>
  <c r="AV10" i="18"/>
  <c r="AV9" i="18"/>
  <c r="AV28" i="38"/>
  <c r="AV7" i="18"/>
  <c r="AV3" i="38"/>
  <c r="AV8" i="38"/>
  <c r="AV26" i="38"/>
  <c r="AV7" i="38"/>
  <c r="AV29" i="38"/>
  <c r="AV11" i="38"/>
  <c r="AV25" i="38"/>
  <c r="AV16" i="38"/>
  <c r="AV5" i="18"/>
  <c r="AV20" i="18"/>
  <c r="AV29" i="18"/>
  <c r="AV2" i="38"/>
  <c r="AV18" i="18"/>
  <c r="AV12" i="18"/>
  <c r="AV25" i="18"/>
  <c r="AV9" i="38"/>
  <c r="AV19" i="38"/>
  <c r="AF30" i="41"/>
  <c r="AF29" i="41"/>
  <c r="AF28" i="41"/>
  <c r="AF27" i="41"/>
  <c r="AF26" i="41"/>
  <c r="AF25" i="41"/>
  <c r="AF24" i="41"/>
  <c r="AF23" i="41"/>
  <c r="AF22" i="41"/>
  <c r="AF21" i="41"/>
  <c r="AF20" i="41"/>
  <c r="AF19" i="41"/>
  <c r="AF18" i="41"/>
  <c r="AF17" i="41"/>
  <c r="AF16" i="41"/>
  <c r="AF15" i="41"/>
  <c r="AF14" i="41"/>
  <c r="AF13" i="41"/>
  <c r="AF12" i="41"/>
  <c r="AF11" i="41"/>
  <c r="AF10" i="41"/>
  <c r="AF9" i="41"/>
  <c r="AF8" i="41"/>
  <c r="AF7" i="41"/>
  <c r="AF6" i="41"/>
  <c r="AF5" i="41"/>
  <c r="AF4" i="41"/>
  <c r="AF3" i="41"/>
  <c r="AF2" i="41"/>
  <c r="AF2" i="29"/>
  <c r="AF38" i="29" s="1"/>
  <c r="AF3" i="29"/>
  <c r="AF4" i="29"/>
  <c r="AF5" i="29"/>
  <c r="AF7" i="29"/>
  <c r="AF9" i="29"/>
  <c r="AF11" i="29"/>
  <c r="AF13" i="29"/>
  <c r="AF14" i="29"/>
  <c r="AF15" i="29"/>
  <c r="AF16" i="29"/>
  <c r="AF17" i="29"/>
  <c r="AF18" i="29"/>
  <c r="AF19" i="29"/>
  <c r="AF20" i="29"/>
  <c r="AF21" i="29"/>
  <c r="AF22" i="29"/>
  <c r="AF23" i="29"/>
  <c r="AF24" i="29"/>
  <c r="AF25" i="29"/>
  <c r="AF26" i="29"/>
  <c r="AF27" i="29"/>
  <c r="AF28" i="29"/>
  <c r="AF29" i="29"/>
  <c r="AF30" i="29"/>
  <c r="AF12" i="29"/>
  <c r="AF10" i="29"/>
  <c r="AF8" i="29"/>
  <c r="AF6" i="29"/>
  <c r="CD22" i="43"/>
  <c r="CD37" i="43" s="1"/>
  <c r="CD17" i="43"/>
  <c r="CD9" i="43"/>
  <c r="CD5" i="43"/>
  <c r="CD19" i="43"/>
  <c r="CD42" i="43" s="1"/>
  <c r="CD26" i="43"/>
  <c r="CD36" i="43" s="1"/>
  <c r="CD25" i="43"/>
  <c r="CD28" i="43"/>
  <c r="CD43" i="43" s="1"/>
  <c r="CD20" i="43"/>
  <c r="CD12" i="43"/>
  <c r="CD15" i="43"/>
  <c r="CD44" i="43" s="1"/>
  <c r="CD3" i="43"/>
  <c r="CD32" i="43" s="1"/>
  <c r="CD14" i="43"/>
  <c r="CD34" i="43" s="1"/>
  <c r="CD16" i="43"/>
  <c r="CD18" i="43"/>
  <c r="CD10" i="43"/>
  <c r="CD46" i="43" s="1"/>
  <c r="CD29" i="43"/>
  <c r="CD24" i="43"/>
  <c r="CD30" i="43"/>
  <c r="CD35" i="43" s="1"/>
  <c r="CD6" i="43"/>
  <c r="CD47" i="43" s="1"/>
  <c r="CD13" i="43"/>
  <c r="CD33" i="43" s="1"/>
  <c r="CD7" i="43"/>
  <c r="CD21" i="43"/>
  <c r="CD8" i="43"/>
  <c r="CD41" i="43" s="1"/>
  <c r="CD27" i="43"/>
  <c r="CD11" i="43"/>
  <c r="CD39" i="43" s="1"/>
  <c r="CD2" i="43"/>
  <c r="CD38" i="43" s="1"/>
  <c r="CD4" i="43"/>
  <c r="CD40" i="43" s="1"/>
  <c r="CD23" i="43"/>
  <c r="CX30" i="42"/>
  <c r="CX35" i="42" s="1"/>
  <c r="CX29" i="42"/>
  <c r="CX28" i="42"/>
  <c r="CX43" i="42" s="1"/>
  <c r="CX27" i="42"/>
  <c r="CX26" i="42"/>
  <c r="CX36" i="42" s="1"/>
  <c r="CX25" i="42"/>
  <c r="CX24" i="42"/>
  <c r="CX23" i="42"/>
  <c r="CX49" i="42" s="1"/>
  <c r="CX22" i="42"/>
  <c r="CX37" i="42" s="1"/>
  <c r="CX21" i="42"/>
  <c r="CX20" i="42"/>
  <c r="CX16" i="42"/>
  <c r="CX14" i="42"/>
  <c r="CX34" i="42" s="1"/>
  <c r="CX12" i="42"/>
  <c r="CX10" i="42"/>
  <c r="CX46" i="42" s="1"/>
  <c r="CX45" i="42" s="1"/>
  <c r="CX8" i="42"/>
  <c r="CX41" i="42" s="1"/>
  <c r="CX6" i="42"/>
  <c r="CX47" i="42" s="1"/>
  <c r="CX19" i="42"/>
  <c r="CX42" i="42" s="1"/>
  <c r="CX18" i="42"/>
  <c r="CX4" i="42"/>
  <c r="CX40" i="42" s="1"/>
  <c r="CX3" i="42"/>
  <c r="CX32" i="42" s="1"/>
  <c r="CX2" i="42"/>
  <c r="CX38" i="42" s="1"/>
  <c r="CX17" i="42"/>
  <c r="CX9" i="42"/>
  <c r="BY22" i="41"/>
  <c r="BY37" i="41" s="1"/>
  <c r="BY14" i="41"/>
  <c r="BY34" i="41" s="1"/>
  <c r="BY13" i="41"/>
  <c r="BY33" i="41" s="1"/>
  <c r="BY2" i="41"/>
  <c r="BY38" i="41" s="1"/>
  <c r="CX15" i="42"/>
  <c r="CX44" i="42" s="1"/>
  <c r="CX7" i="42"/>
  <c r="BY30" i="41"/>
  <c r="BY35" i="41" s="1"/>
  <c r="BY7" i="41"/>
  <c r="BY6" i="41"/>
  <c r="BX47" i="41" s="1"/>
  <c r="BY5" i="41"/>
  <c r="BY4" i="41"/>
  <c r="BY40" i="41" s="1"/>
  <c r="BY3" i="41"/>
  <c r="BY32" i="41" s="1"/>
  <c r="CX13" i="42"/>
  <c r="CX33" i="42" s="1"/>
  <c r="CX5" i="42"/>
  <c r="AZ30" i="41"/>
  <c r="AZ29" i="41"/>
  <c r="AZ28" i="41"/>
  <c r="AZ27" i="41"/>
  <c r="AZ26" i="41"/>
  <c r="AZ25" i="41"/>
  <c r="AZ24" i="41"/>
  <c r="AZ23" i="41"/>
  <c r="AZ22" i="41"/>
  <c r="AZ21" i="41"/>
  <c r="AZ20" i="41"/>
  <c r="AZ19" i="41"/>
  <c r="AZ18" i="41"/>
  <c r="AZ17" i="41"/>
  <c r="AZ16" i="41"/>
  <c r="AZ15" i="41"/>
  <c r="AZ14" i="41"/>
  <c r="AZ13" i="41"/>
  <c r="AZ12" i="41"/>
  <c r="AZ11" i="41"/>
  <c r="AZ10" i="41"/>
  <c r="AZ9" i="41"/>
  <c r="AZ8" i="41"/>
  <c r="AZ7" i="41"/>
  <c r="AZ6" i="41"/>
  <c r="AZ5" i="41"/>
  <c r="AZ4" i="41"/>
  <c r="AZ3" i="41"/>
  <c r="AZ2" i="41"/>
  <c r="BY29" i="41"/>
  <c r="BY28" i="41"/>
  <c r="BY43" i="41" s="1"/>
  <c r="BY10" i="41"/>
  <c r="BX46" i="41" s="1"/>
  <c r="BY9" i="41"/>
  <c r="BY8" i="41"/>
  <c r="BY41" i="41" s="1"/>
  <c r="AZ2" i="29"/>
  <c r="AZ38" i="29" s="1"/>
  <c r="BY2" i="29"/>
  <c r="BY38" i="29" s="1"/>
  <c r="AZ3" i="29"/>
  <c r="BY3" i="29"/>
  <c r="BY32" i="29" s="1"/>
  <c r="AZ4" i="29"/>
  <c r="BY4" i="29"/>
  <c r="BY40" i="29" s="1"/>
  <c r="AZ5" i="29"/>
  <c r="CX11" i="42"/>
  <c r="CX39" i="42" s="1"/>
  <c r="BY17" i="41"/>
  <c r="BY15" i="41"/>
  <c r="BY44" i="41" s="1"/>
  <c r="BY5" i="29"/>
  <c r="BY6" i="29"/>
  <c r="BX47" i="29" s="1"/>
  <c r="AZ7" i="29"/>
  <c r="BY8" i="29"/>
  <c r="BY41" i="29" s="1"/>
  <c r="AZ9" i="29"/>
  <c r="BY10" i="29"/>
  <c r="BX46" i="29" s="1"/>
  <c r="BX45" i="29" s="1"/>
  <c r="AZ11" i="29"/>
  <c r="BY26" i="41"/>
  <c r="BY36" i="41" s="1"/>
  <c r="BY25" i="41"/>
  <c r="BY23" i="41"/>
  <c r="BY49" i="41" s="1"/>
  <c r="BY20" i="41"/>
  <c r="BY12" i="41"/>
  <c r="BY12" i="29"/>
  <c r="AZ13" i="29"/>
  <c r="BY13" i="29"/>
  <c r="BY33" i="29" s="1"/>
  <c r="AZ14" i="29"/>
  <c r="BY14" i="29"/>
  <c r="BY34" i="29" s="1"/>
  <c r="AZ15" i="29"/>
  <c r="BY15" i="29"/>
  <c r="BY44" i="29" s="1"/>
  <c r="AZ16" i="29"/>
  <c r="BY16" i="29"/>
  <c r="AZ17" i="29"/>
  <c r="BY17" i="29"/>
  <c r="AZ18" i="29"/>
  <c r="BY18" i="29"/>
  <c r="AZ19" i="29"/>
  <c r="BY19" i="29"/>
  <c r="BY42" i="29" s="1"/>
  <c r="AZ20" i="29"/>
  <c r="BY20" i="29"/>
  <c r="AZ21" i="29"/>
  <c r="BY21" i="29"/>
  <c r="AZ22" i="29"/>
  <c r="BY22" i="29"/>
  <c r="BY37" i="29" s="1"/>
  <c r="AZ23" i="29"/>
  <c r="BY23" i="29"/>
  <c r="BY49" i="29" s="1"/>
  <c r="AZ24" i="29"/>
  <c r="BY24" i="29"/>
  <c r="AZ25" i="29"/>
  <c r="BY25" i="29"/>
  <c r="AZ26" i="29"/>
  <c r="BY26" i="29"/>
  <c r="BY36" i="29" s="1"/>
  <c r="AZ27" i="29"/>
  <c r="BY27" i="29"/>
  <c r="AZ28" i="29"/>
  <c r="BY28" i="29"/>
  <c r="BY43" i="29" s="1"/>
  <c r="AZ29" i="29"/>
  <c r="BY29" i="29"/>
  <c r="AZ30" i="29"/>
  <c r="BY30" i="29"/>
  <c r="BY35" i="29" s="1"/>
  <c r="BY18" i="41"/>
  <c r="BY16" i="41"/>
  <c r="AZ6" i="29"/>
  <c r="BY7" i="29"/>
  <c r="AZ8" i="29"/>
  <c r="BY9" i="29"/>
  <c r="AZ10" i="29"/>
  <c r="BY11" i="29"/>
  <c r="BY39" i="29" s="1"/>
  <c r="AZ12" i="29"/>
  <c r="BY24" i="41"/>
  <c r="BY21" i="41"/>
  <c r="BY27" i="41"/>
  <c r="BY19" i="41"/>
  <c r="BY42" i="41" s="1"/>
  <c r="BY11" i="41"/>
  <c r="BY39" i="41" s="1"/>
  <c r="CX30" i="43"/>
  <c r="CX35" i="43" s="1"/>
  <c r="CX6" i="43"/>
  <c r="CX47" i="43" s="1"/>
  <c r="CX29" i="43"/>
  <c r="CX16" i="43"/>
  <c r="CX23" i="43"/>
  <c r="CX17" i="43"/>
  <c r="CX13" i="43"/>
  <c r="CX33" i="43" s="1"/>
  <c r="CX9" i="43"/>
  <c r="CX5" i="43"/>
  <c r="CX19" i="43"/>
  <c r="CX42" i="43" s="1"/>
  <c r="CX7" i="43"/>
  <c r="CX26" i="43"/>
  <c r="CX36" i="43" s="1"/>
  <c r="CX18" i="43"/>
  <c r="CX2" i="43"/>
  <c r="CX38" i="43" s="1"/>
  <c r="CX25" i="43"/>
  <c r="CX21" i="43"/>
  <c r="CX12" i="43"/>
  <c r="CX15" i="43"/>
  <c r="CX44" i="43" s="1"/>
  <c r="CX3" i="43"/>
  <c r="CX32" i="43" s="1"/>
  <c r="CX11" i="43"/>
  <c r="CX39" i="43" s="1"/>
  <c r="CX22" i="43"/>
  <c r="CX37" i="43" s="1"/>
  <c r="CX10" i="43"/>
  <c r="CX46" i="43" s="1"/>
  <c r="CX45" i="43" s="1"/>
  <c r="CX24" i="43"/>
  <c r="CX4" i="43"/>
  <c r="CX40" i="43" s="1"/>
  <c r="CX28" i="43"/>
  <c r="CX43" i="43" s="1"/>
  <c r="CX20" i="43"/>
  <c r="CX14" i="43"/>
  <c r="CX34" i="43" s="1"/>
  <c r="CX8" i="43"/>
  <c r="CX41" i="43" s="1"/>
  <c r="CX27" i="43"/>
  <c r="CX3" i="30"/>
  <c r="CX4" i="30"/>
  <c r="CX5" i="30"/>
  <c r="CX6" i="30"/>
  <c r="CX7" i="30"/>
  <c r="CX8" i="30"/>
  <c r="CX9" i="30"/>
  <c r="CX10" i="30"/>
  <c r="CX11" i="30"/>
  <c r="CX12" i="30"/>
  <c r="CX13" i="30"/>
  <c r="CX33" i="30" s="1"/>
  <c r="CX14" i="30"/>
  <c r="CX15" i="30"/>
  <c r="CX44" i="30" s="1"/>
  <c r="CX16" i="30"/>
  <c r="CX17" i="30"/>
  <c r="CX18" i="30"/>
  <c r="CX19" i="30"/>
  <c r="CX20" i="30"/>
  <c r="CX21" i="30"/>
  <c r="CX22" i="30"/>
  <c r="CX23" i="30"/>
  <c r="CX24" i="30"/>
  <c r="CX25" i="30"/>
  <c r="CX26" i="30"/>
  <c r="CX27" i="30"/>
  <c r="CX28" i="30"/>
  <c r="CX29" i="30"/>
  <c r="CX30" i="30"/>
  <c r="CK30" i="42"/>
  <c r="CK35" i="42" s="1"/>
  <c r="CK29" i="42"/>
  <c r="CK28" i="42"/>
  <c r="CK43" i="42" s="1"/>
  <c r="CK27" i="42"/>
  <c r="CK26" i="42"/>
  <c r="CK36" i="42" s="1"/>
  <c r="CK25" i="42"/>
  <c r="CK24" i="42"/>
  <c r="CK23" i="42"/>
  <c r="CK49" i="42" s="1"/>
  <c r="CK22" i="42"/>
  <c r="CK37" i="42" s="1"/>
  <c r="CK21" i="42"/>
  <c r="CK20" i="42"/>
  <c r="CK19" i="42"/>
  <c r="CK42" i="42" s="1"/>
  <c r="CK18" i="42"/>
  <c r="CK17" i="42"/>
  <c r="CK16" i="42"/>
  <c r="CK15" i="42"/>
  <c r="CK44" i="42" s="1"/>
  <c r="CK14" i="42"/>
  <c r="CK34" i="42" s="1"/>
  <c r="CK13" i="42"/>
  <c r="CK33" i="42" s="1"/>
  <c r="CK12" i="42"/>
  <c r="CK11" i="42"/>
  <c r="CK39" i="42" s="1"/>
  <c r="CK10" i="42"/>
  <c r="CK46" i="42" s="1"/>
  <c r="CK9" i="42"/>
  <c r="CK8" i="42"/>
  <c r="CK41" i="42" s="1"/>
  <c r="CK7" i="42"/>
  <c r="CK6" i="42"/>
  <c r="CK47" i="42" s="1"/>
  <c r="CK5" i="42"/>
  <c r="AM30" i="41"/>
  <c r="AM29" i="41"/>
  <c r="AM28" i="41"/>
  <c r="AM27" i="41"/>
  <c r="AM26" i="41"/>
  <c r="AM25" i="41"/>
  <c r="AM24" i="41"/>
  <c r="AM23" i="41"/>
  <c r="AM22" i="41"/>
  <c r="AM21" i="41"/>
  <c r="AM20" i="41"/>
  <c r="AM19" i="41"/>
  <c r="AM18" i="41"/>
  <c r="AM17" i="41"/>
  <c r="AM16" i="41"/>
  <c r="AM15" i="41"/>
  <c r="AM14" i="41"/>
  <c r="AM13" i="41"/>
  <c r="AM12" i="41"/>
  <c r="AM11" i="41"/>
  <c r="AM10" i="41"/>
  <c r="AM9" i="41"/>
  <c r="AM8" i="41"/>
  <c r="AM7" i="41"/>
  <c r="AM6" i="41"/>
  <c r="AM5" i="41"/>
  <c r="AM4" i="41"/>
  <c r="AM3" i="41"/>
  <c r="AM2" i="41"/>
  <c r="BL29" i="41"/>
  <c r="CK4" i="42"/>
  <c r="CK40" i="42" s="1"/>
  <c r="CK3" i="42"/>
  <c r="CK32" i="42" s="1"/>
  <c r="CK2" i="42"/>
  <c r="CK38" i="42" s="1"/>
  <c r="BL30" i="41"/>
  <c r="BL35" i="41" s="1"/>
  <c r="BL27" i="41"/>
  <c r="BL26" i="41"/>
  <c r="BL36" i="41" s="1"/>
  <c r="BL25" i="41"/>
  <c r="BL24" i="41"/>
  <c r="BL23" i="41"/>
  <c r="BL49" i="41" s="1"/>
  <c r="BL21" i="41"/>
  <c r="BL20" i="41"/>
  <c r="BL19" i="41"/>
  <c r="BL42" i="41" s="1"/>
  <c r="BL18" i="41"/>
  <c r="BL17" i="41"/>
  <c r="BL16" i="41"/>
  <c r="BL15" i="41"/>
  <c r="BL44" i="41" s="1"/>
  <c r="BL12" i="41"/>
  <c r="BL11" i="41"/>
  <c r="BL39" i="41" s="1"/>
  <c r="BL22" i="41"/>
  <c r="BL37" i="41" s="1"/>
  <c r="BL14" i="41"/>
  <c r="BL34" i="41" s="1"/>
  <c r="BL13" i="41"/>
  <c r="BL33" i="41" s="1"/>
  <c r="BL2" i="41"/>
  <c r="BL38" i="41" s="1"/>
  <c r="AM2" i="29"/>
  <c r="AM38" i="29" s="1"/>
  <c r="BL2" i="29"/>
  <c r="BL38" i="29" s="1"/>
  <c r="AM3" i="29"/>
  <c r="BL3" i="29"/>
  <c r="BL32" i="29" s="1"/>
  <c r="AM4" i="29"/>
  <c r="BL4" i="29"/>
  <c r="BL40" i="29" s="1"/>
  <c r="AM5" i="29"/>
  <c r="BL5" i="29"/>
  <c r="BL7" i="41"/>
  <c r="BL6" i="41"/>
  <c r="BK47" i="41" s="1"/>
  <c r="BL5" i="41"/>
  <c r="BL4" i="41"/>
  <c r="BL40" i="41" s="1"/>
  <c r="BL3" i="41"/>
  <c r="BL32" i="41" s="1"/>
  <c r="BL8" i="41"/>
  <c r="BL41" i="41" s="1"/>
  <c r="AM6" i="29"/>
  <c r="BL7" i="29"/>
  <c r="AM8" i="29"/>
  <c r="BL9" i="29"/>
  <c r="AM10" i="29"/>
  <c r="BL11" i="29"/>
  <c r="BL39" i="29" s="1"/>
  <c r="AM12" i="29"/>
  <c r="BL12" i="29"/>
  <c r="AM13" i="29"/>
  <c r="BL13" i="29"/>
  <c r="BL33" i="29" s="1"/>
  <c r="AM14" i="29"/>
  <c r="BL14" i="29"/>
  <c r="BL34" i="29" s="1"/>
  <c r="AM15" i="29"/>
  <c r="BL15" i="29"/>
  <c r="BL44" i="29" s="1"/>
  <c r="AM16" i="29"/>
  <c r="BL16" i="29"/>
  <c r="AM17" i="29"/>
  <c r="BL17" i="29"/>
  <c r="AM18" i="29"/>
  <c r="BL18" i="29"/>
  <c r="AM19" i="29"/>
  <c r="BL19" i="29"/>
  <c r="BL42" i="29" s="1"/>
  <c r="AM20" i="29"/>
  <c r="BL20" i="29"/>
  <c r="AM21" i="29"/>
  <c r="BL21" i="29"/>
  <c r="AM22" i="29"/>
  <c r="BL22" i="29"/>
  <c r="BL37" i="29" s="1"/>
  <c r="AM23" i="29"/>
  <c r="BL23" i="29"/>
  <c r="BL49" i="29" s="1"/>
  <c r="AM24" i="29"/>
  <c r="BL24" i="29"/>
  <c r="AM25" i="29"/>
  <c r="BL25" i="29"/>
  <c r="AM26" i="29"/>
  <c r="BL26" i="29"/>
  <c r="BL36" i="29" s="1"/>
  <c r="AM27" i="29"/>
  <c r="BL27" i="29"/>
  <c r="AM28" i="29"/>
  <c r="BL28" i="29"/>
  <c r="BL43" i="29" s="1"/>
  <c r="AM29" i="29"/>
  <c r="BL29" i="29"/>
  <c r="AM30" i="29"/>
  <c r="BL30" i="29"/>
  <c r="BL35" i="29" s="1"/>
  <c r="BL28" i="41"/>
  <c r="BL43" i="41" s="1"/>
  <c r="BL9" i="41"/>
  <c r="BL6" i="29"/>
  <c r="BK47" i="29" s="1"/>
  <c r="AM7" i="29"/>
  <c r="BL8" i="29"/>
  <c r="BL41" i="29" s="1"/>
  <c r="AM9" i="29"/>
  <c r="BL10" i="29"/>
  <c r="BK46" i="29" s="1"/>
  <c r="BK45" i="29" s="1"/>
  <c r="AM11" i="29"/>
  <c r="BL10" i="41"/>
  <c r="BK46" i="41" s="1"/>
  <c r="BK45" i="41" s="1"/>
  <c r="CK8" i="43"/>
  <c r="CK41" i="43" s="1"/>
  <c r="CK24" i="43"/>
  <c r="CK16" i="43"/>
  <c r="CK30" i="43"/>
  <c r="CK35" i="43" s="1"/>
  <c r="CK22" i="43"/>
  <c r="CK37" i="43" s="1"/>
  <c r="CK17" i="43"/>
  <c r="CK13" i="43"/>
  <c r="CK33" i="43" s="1"/>
  <c r="CK9" i="43"/>
  <c r="CK5" i="43"/>
  <c r="CK19" i="43"/>
  <c r="CK42" i="43" s="1"/>
  <c r="CK26" i="43"/>
  <c r="CK36" i="43" s="1"/>
  <c r="CK25" i="43"/>
  <c r="CK21" i="43"/>
  <c r="CK15" i="43"/>
  <c r="CK44" i="43" s="1"/>
  <c r="CK3" i="43"/>
  <c r="CK32" i="43" s="1"/>
  <c r="CK10" i="43"/>
  <c r="CK46" i="43" s="1"/>
  <c r="CK45" i="43" s="1"/>
  <c r="CK29" i="43"/>
  <c r="CK18" i="43"/>
  <c r="CK20" i="43"/>
  <c r="CK12" i="43"/>
  <c r="CK14" i="43"/>
  <c r="CK34" i="43" s="1"/>
  <c r="CK27" i="43"/>
  <c r="CK11" i="43"/>
  <c r="CK39" i="43" s="1"/>
  <c r="CK4" i="43"/>
  <c r="CK40" i="43" s="1"/>
  <c r="CK23" i="43"/>
  <c r="CK6" i="43"/>
  <c r="CK47" i="43" s="1"/>
  <c r="CK2" i="43"/>
  <c r="CK38" i="43" s="1"/>
  <c r="CK7" i="43"/>
  <c r="CK28" i="43"/>
  <c r="CK43" i="43" s="1"/>
  <c r="CK3" i="30"/>
  <c r="CK32" i="30" s="1"/>
  <c r="CK4" i="30"/>
  <c r="CK40" i="30" s="1"/>
  <c r="CK5" i="30"/>
  <c r="CK6" i="30"/>
  <c r="CK47" i="30" s="1"/>
  <c r="CK7" i="30"/>
  <c r="CK8" i="30"/>
  <c r="CK41" i="30" s="1"/>
  <c r="CK9" i="30"/>
  <c r="CK10" i="30"/>
  <c r="CK46" i="30" s="1"/>
  <c r="CK45" i="30" s="1"/>
  <c r="CK11" i="30"/>
  <c r="CK39" i="30" s="1"/>
  <c r="CK12" i="30"/>
  <c r="CK13" i="30"/>
  <c r="CK33" i="30" s="1"/>
  <c r="CK14" i="30"/>
  <c r="CK34" i="30" s="1"/>
  <c r="CK15" i="30"/>
  <c r="CK44" i="30" s="1"/>
  <c r="CK16" i="30"/>
  <c r="CK17" i="30"/>
  <c r="CK18" i="30"/>
  <c r="CK19" i="30"/>
  <c r="CK42" i="30" s="1"/>
  <c r="CK20" i="30"/>
  <c r="CK21" i="30"/>
  <c r="CK22" i="30"/>
  <c r="CK37" i="30" s="1"/>
  <c r="CK23" i="30"/>
  <c r="CK49" i="30" s="1"/>
  <c r="CK24" i="30"/>
  <c r="CK25" i="30"/>
  <c r="CK26" i="30"/>
  <c r="CK36" i="30" s="1"/>
  <c r="CK27" i="30"/>
  <c r="CK28" i="30"/>
  <c r="CK43" i="30" s="1"/>
  <c r="CK29" i="30"/>
  <c r="CK30" i="30"/>
  <c r="CK35" i="30" s="1"/>
  <c r="CO16" i="42"/>
  <c r="CO14" i="42"/>
  <c r="CO34" i="42" s="1"/>
  <c r="CO12" i="42"/>
  <c r="CO10" i="42"/>
  <c r="CO46" i="42" s="1"/>
  <c r="CO45" i="42" s="1"/>
  <c r="CO8" i="42"/>
  <c r="CO41" i="42" s="1"/>
  <c r="CO6" i="42"/>
  <c r="CO47" i="42" s="1"/>
  <c r="AQ30" i="41"/>
  <c r="AQ29" i="41"/>
  <c r="AQ28" i="41"/>
  <c r="AQ27" i="41"/>
  <c r="AQ26" i="41"/>
  <c r="AQ25" i="41"/>
  <c r="AQ24" i="41"/>
  <c r="AQ23" i="41"/>
  <c r="AQ22" i="41"/>
  <c r="AQ21" i="41"/>
  <c r="AQ20" i="41"/>
  <c r="AQ19" i="41"/>
  <c r="AQ18" i="41"/>
  <c r="AQ17" i="41"/>
  <c r="AQ16" i="41"/>
  <c r="AQ15" i="41"/>
  <c r="AQ14" i="41"/>
  <c r="AQ13" i="41"/>
  <c r="AQ12" i="41"/>
  <c r="AQ11" i="41"/>
  <c r="AQ10" i="41"/>
  <c r="AQ9" i="41"/>
  <c r="AQ8" i="41"/>
  <c r="AQ7" i="41"/>
  <c r="AQ6" i="41"/>
  <c r="AQ5" i="41"/>
  <c r="AQ4" i="41"/>
  <c r="AQ3" i="41"/>
  <c r="AQ2" i="41"/>
  <c r="BP29" i="41"/>
  <c r="CO30" i="42"/>
  <c r="CO35" i="42" s="1"/>
  <c r="CO28" i="42"/>
  <c r="CO43" i="42" s="1"/>
  <c r="CO26" i="42"/>
  <c r="CO36" i="42" s="1"/>
  <c r="CO24" i="42"/>
  <c r="CO22" i="42"/>
  <c r="CO37" i="42" s="1"/>
  <c r="CO20" i="42"/>
  <c r="CO19" i="42"/>
  <c r="CO42" i="42" s="1"/>
  <c r="CO18" i="42"/>
  <c r="CO17" i="42"/>
  <c r="CO15" i="42"/>
  <c r="CO44" i="42" s="1"/>
  <c r="CO13" i="42"/>
  <c r="CO33" i="42" s="1"/>
  <c r="CO11" i="42"/>
  <c r="CO39" i="42" s="1"/>
  <c r="CO9" i="42"/>
  <c r="CO7" i="42"/>
  <c r="CO5" i="42"/>
  <c r="CO27" i="42"/>
  <c r="CO4" i="42"/>
  <c r="CO40" i="42" s="1"/>
  <c r="CO2" i="42"/>
  <c r="CO38" i="42" s="1"/>
  <c r="BP27" i="41"/>
  <c r="BP26" i="41"/>
  <c r="BP36" i="41" s="1"/>
  <c r="BP25" i="41"/>
  <c r="BP24" i="41"/>
  <c r="BP23" i="41"/>
  <c r="BP49" i="41" s="1"/>
  <c r="BP21" i="41"/>
  <c r="BP20" i="41"/>
  <c r="BP19" i="41"/>
  <c r="BP42" i="41" s="1"/>
  <c r="BP18" i="41"/>
  <c r="BP17" i="41"/>
  <c r="BP16" i="41"/>
  <c r="BP15" i="41"/>
  <c r="BP44" i="41" s="1"/>
  <c r="BP12" i="41"/>
  <c r="BP11" i="41"/>
  <c r="BP39" i="41" s="1"/>
  <c r="CO29" i="42"/>
  <c r="CO21" i="42"/>
  <c r="BP22" i="41"/>
  <c r="BP37" i="41" s="1"/>
  <c r="BP14" i="41"/>
  <c r="BP34" i="41" s="1"/>
  <c r="BP13" i="41"/>
  <c r="BP33" i="41" s="1"/>
  <c r="BP2" i="41"/>
  <c r="BP38" i="41" s="1"/>
  <c r="AQ2" i="29"/>
  <c r="AQ38" i="29" s="1"/>
  <c r="BP2" i="29"/>
  <c r="BP38" i="29" s="1"/>
  <c r="AQ3" i="29"/>
  <c r="BP3" i="29"/>
  <c r="BP32" i="29" s="1"/>
  <c r="AQ4" i="29"/>
  <c r="BP4" i="29"/>
  <c r="BP40" i="29" s="1"/>
  <c r="AQ5" i="29"/>
  <c r="BP5" i="29"/>
  <c r="CO23" i="42"/>
  <c r="CO49" i="42" s="1"/>
  <c r="CO3" i="42"/>
  <c r="CO32" i="42" s="1"/>
  <c r="BP30" i="41"/>
  <c r="BP35" i="41" s="1"/>
  <c r="BP7" i="41"/>
  <c r="BP6" i="41"/>
  <c r="BO47" i="41" s="1"/>
  <c r="BP5" i="41"/>
  <c r="BP4" i="41"/>
  <c r="BP40" i="41" s="1"/>
  <c r="BP3" i="41"/>
  <c r="BP32" i="41" s="1"/>
  <c r="BP12" i="29"/>
  <c r="AQ13" i="29"/>
  <c r="BP13" i="29"/>
  <c r="BP33" i="29" s="1"/>
  <c r="AQ14" i="29"/>
  <c r="BP14" i="29"/>
  <c r="BP34" i="29" s="1"/>
  <c r="AQ15" i="29"/>
  <c r="BP15" i="29"/>
  <c r="BP44" i="29" s="1"/>
  <c r="AQ16" i="29"/>
  <c r="BP16" i="29"/>
  <c r="AQ17" i="29"/>
  <c r="BP17" i="29"/>
  <c r="AQ18" i="29"/>
  <c r="BP18" i="29"/>
  <c r="AQ19" i="29"/>
  <c r="BP19" i="29"/>
  <c r="BP42" i="29" s="1"/>
  <c r="AQ20" i="29"/>
  <c r="BP20" i="29"/>
  <c r="AQ21" i="29"/>
  <c r="BP21" i="29"/>
  <c r="AQ22" i="29"/>
  <c r="BP22" i="29"/>
  <c r="BP37" i="29" s="1"/>
  <c r="AQ23" i="29"/>
  <c r="BP23" i="29"/>
  <c r="BP49" i="29" s="1"/>
  <c r="AQ24" i="29"/>
  <c r="BP24" i="29"/>
  <c r="AQ25" i="29"/>
  <c r="BP25" i="29"/>
  <c r="AQ26" i="29"/>
  <c r="BP26" i="29"/>
  <c r="BP36" i="29" s="1"/>
  <c r="AQ27" i="29"/>
  <c r="BP27" i="29"/>
  <c r="AQ28" i="29"/>
  <c r="BP28" i="29"/>
  <c r="BP43" i="29" s="1"/>
  <c r="AQ29" i="29"/>
  <c r="BP29" i="29"/>
  <c r="AQ30" i="29"/>
  <c r="BP30" i="29"/>
  <c r="BP35" i="29" s="1"/>
  <c r="CO25" i="42"/>
  <c r="BP28" i="41"/>
  <c r="BP43" i="41" s="1"/>
  <c r="BP9" i="41"/>
  <c r="BP6" i="29"/>
  <c r="BO47" i="29" s="1"/>
  <c r="AQ7" i="29"/>
  <c r="BP8" i="29"/>
  <c r="BP41" i="29" s="1"/>
  <c r="AQ9" i="29"/>
  <c r="BP10" i="29"/>
  <c r="BO46" i="29" s="1"/>
  <c r="BO45" i="29" s="1"/>
  <c r="AQ11" i="29"/>
  <c r="BP10" i="41"/>
  <c r="BO46" i="41" s="1"/>
  <c r="BP8" i="41"/>
  <c r="BP41" i="41" s="1"/>
  <c r="AQ8" i="29"/>
  <c r="AQ6" i="29"/>
  <c r="BP11" i="29"/>
  <c r="BP39" i="29" s="1"/>
  <c r="BP9" i="29"/>
  <c r="AQ12" i="29"/>
  <c r="BP7" i="29"/>
  <c r="AQ10" i="29"/>
  <c r="CO14" i="43"/>
  <c r="CO34" i="43" s="1"/>
  <c r="CO18" i="43"/>
  <c r="CO25" i="43"/>
  <c r="CO28" i="43"/>
  <c r="CO43" i="43" s="1"/>
  <c r="CO20" i="43"/>
  <c r="CO12" i="43"/>
  <c r="CO3" i="43"/>
  <c r="CO32" i="43" s="1"/>
  <c r="CO2" i="43"/>
  <c r="CO38" i="43" s="1"/>
  <c r="CO8" i="43"/>
  <c r="CO41" i="43" s="1"/>
  <c r="CO11" i="43"/>
  <c r="CO39" i="43" s="1"/>
  <c r="CO10" i="43"/>
  <c r="CO46" i="43" s="1"/>
  <c r="CO45" i="43" s="1"/>
  <c r="CO29" i="43"/>
  <c r="CO24" i="43"/>
  <c r="CO16" i="43"/>
  <c r="CO23" i="43"/>
  <c r="CO22" i="43"/>
  <c r="CO37" i="43" s="1"/>
  <c r="CO6" i="43"/>
  <c r="CO47" i="43" s="1"/>
  <c r="CO17" i="43"/>
  <c r="CO9" i="43"/>
  <c r="CO7" i="43"/>
  <c r="CO30" i="43"/>
  <c r="CO35" i="43" s="1"/>
  <c r="CO19" i="43"/>
  <c r="CO42" i="43" s="1"/>
  <c r="CO26" i="43"/>
  <c r="CO36" i="43" s="1"/>
  <c r="CO21" i="43"/>
  <c r="CO15" i="43"/>
  <c r="CO44" i="43" s="1"/>
  <c r="CO27" i="43"/>
  <c r="CO4" i="43"/>
  <c r="CO40" i="43" s="1"/>
  <c r="CO13" i="43"/>
  <c r="CO33" i="43" s="1"/>
  <c r="CO5" i="43"/>
  <c r="CO3" i="30"/>
  <c r="CO32" i="30" s="1"/>
  <c r="CO4" i="30"/>
  <c r="CO40" i="30" s="1"/>
  <c r="CO5" i="30"/>
  <c r="CO6" i="30"/>
  <c r="CO47" i="30" s="1"/>
  <c r="CO7" i="30"/>
  <c r="CO8" i="30"/>
  <c r="CO41" i="30" s="1"/>
  <c r="CO9" i="30"/>
  <c r="CO10" i="30"/>
  <c r="CO46" i="30" s="1"/>
  <c r="CO45" i="30" s="1"/>
  <c r="CO11" i="30"/>
  <c r="CO39" i="30" s="1"/>
  <c r="CO12" i="30"/>
  <c r="CO13" i="30"/>
  <c r="CO33" i="30" s="1"/>
  <c r="CO14" i="30"/>
  <c r="CO34" i="30" s="1"/>
  <c r="CO15" i="30"/>
  <c r="CO44" i="30" s="1"/>
  <c r="CO16" i="30"/>
  <c r="CO17" i="30"/>
  <c r="CO18" i="30"/>
  <c r="CO19" i="30"/>
  <c r="CO42" i="30" s="1"/>
  <c r="CO20" i="30"/>
  <c r="CO21" i="30"/>
  <c r="CO22" i="30"/>
  <c r="CO37" i="30" s="1"/>
  <c r="CO23" i="30"/>
  <c r="CO49" i="30" s="1"/>
  <c r="CO24" i="30"/>
  <c r="CO25" i="30"/>
  <c r="CO26" i="30"/>
  <c r="CO36" i="30" s="1"/>
  <c r="CO27" i="30"/>
  <c r="CO28" i="30"/>
  <c r="CO43" i="30" s="1"/>
  <c r="CO29" i="30"/>
  <c r="CO30" i="30"/>
  <c r="CO35" i="30" s="1"/>
  <c r="CS30" i="42"/>
  <c r="CS35" i="42" s="1"/>
  <c r="CS29" i="42"/>
  <c r="CS28" i="42"/>
  <c r="CS43" i="42" s="1"/>
  <c r="CS27" i="42"/>
  <c r="CS26" i="42"/>
  <c r="CS36" i="42" s="1"/>
  <c r="CS25" i="42"/>
  <c r="CS24" i="42"/>
  <c r="CS23" i="42"/>
  <c r="CS49" i="42" s="1"/>
  <c r="CS22" i="42"/>
  <c r="CS37" i="42" s="1"/>
  <c r="CS21" i="42"/>
  <c r="CS20" i="42"/>
  <c r="CS19" i="42"/>
  <c r="CS42" i="42" s="1"/>
  <c r="CS18" i="42"/>
  <c r="AU30" i="41"/>
  <c r="AU29" i="41"/>
  <c r="AU28" i="41"/>
  <c r="AU27" i="41"/>
  <c r="AU26" i="41"/>
  <c r="AU25" i="41"/>
  <c r="AU24" i="41"/>
  <c r="AU23" i="41"/>
  <c r="AU22" i="41"/>
  <c r="AU21" i="41"/>
  <c r="AU20" i="41"/>
  <c r="AU19" i="41"/>
  <c r="AU18" i="41"/>
  <c r="AU17" i="41"/>
  <c r="AU16" i="41"/>
  <c r="AU15" i="41"/>
  <c r="AU14" i="41"/>
  <c r="AU13" i="41"/>
  <c r="AU12" i="41"/>
  <c r="AU11" i="41"/>
  <c r="AU10" i="41"/>
  <c r="AU9" i="41"/>
  <c r="AU8" i="41"/>
  <c r="AU7" i="41"/>
  <c r="AU6" i="41"/>
  <c r="AU5" i="41"/>
  <c r="AU4" i="41"/>
  <c r="AU3" i="41"/>
  <c r="AU2" i="41"/>
  <c r="BT29" i="41"/>
  <c r="CS17" i="42"/>
  <c r="CS15" i="42"/>
  <c r="CS44" i="42" s="1"/>
  <c r="CS13" i="42"/>
  <c r="CS33" i="42" s="1"/>
  <c r="CS11" i="42"/>
  <c r="CS39" i="42" s="1"/>
  <c r="CS9" i="42"/>
  <c r="CS7" i="42"/>
  <c r="CS5" i="42"/>
  <c r="CS4" i="42"/>
  <c r="CS40" i="42" s="1"/>
  <c r="CS3" i="42"/>
  <c r="CS32" i="42" s="1"/>
  <c r="CS2" i="42"/>
  <c r="CS38" i="42" s="1"/>
  <c r="CS10" i="42"/>
  <c r="CS46" i="42" s="1"/>
  <c r="BT30" i="41"/>
  <c r="BT35" i="41" s="1"/>
  <c r="BT27" i="41"/>
  <c r="BT26" i="41"/>
  <c r="BT36" i="41" s="1"/>
  <c r="BT25" i="41"/>
  <c r="BT24" i="41"/>
  <c r="BT23" i="41"/>
  <c r="BT49" i="41" s="1"/>
  <c r="BT21" i="41"/>
  <c r="BT20" i="41"/>
  <c r="BT19" i="41"/>
  <c r="BT42" i="41" s="1"/>
  <c r="BT18" i="41"/>
  <c r="BT17" i="41"/>
  <c r="BT16" i="41"/>
  <c r="BT15" i="41"/>
  <c r="BT44" i="41" s="1"/>
  <c r="BT12" i="41"/>
  <c r="BT11" i="41"/>
  <c r="BT39" i="41" s="1"/>
  <c r="CS16" i="42"/>
  <c r="CS8" i="42"/>
  <c r="CS41" i="42" s="1"/>
  <c r="BT22" i="41"/>
  <c r="BT37" i="41" s="1"/>
  <c r="BT14" i="41"/>
  <c r="BT34" i="41" s="1"/>
  <c r="BT13" i="41"/>
  <c r="BT33" i="41" s="1"/>
  <c r="BT2" i="41"/>
  <c r="BT38" i="41" s="1"/>
  <c r="AU2" i="29"/>
  <c r="AU38" i="29" s="1"/>
  <c r="BT2" i="29"/>
  <c r="BT38" i="29" s="1"/>
  <c r="AU3" i="29"/>
  <c r="BT3" i="29"/>
  <c r="BT32" i="29" s="1"/>
  <c r="AU4" i="29"/>
  <c r="BT4" i="29"/>
  <c r="BT40" i="29" s="1"/>
  <c r="AU5" i="29"/>
  <c r="BT5" i="29"/>
  <c r="CS14" i="42"/>
  <c r="CS34" i="42" s="1"/>
  <c r="CS6" i="42"/>
  <c r="CS47" i="42" s="1"/>
  <c r="BT7" i="41"/>
  <c r="BT6" i="41"/>
  <c r="BS47" i="41" s="1"/>
  <c r="BT5" i="41"/>
  <c r="BT4" i="41"/>
  <c r="BT40" i="41" s="1"/>
  <c r="BT3" i="41"/>
  <c r="BT32" i="41" s="1"/>
  <c r="BT28" i="41"/>
  <c r="BT43" i="41" s="1"/>
  <c r="BT9" i="41"/>
  <c r="BT6" i="29"/>
  <c r="BS47" i="29" s="1"/>
  <c r="AU7" i="29"/>
  <c r="BT8" i="29"/>
  <c r="BT41" i="29" s="1"/>
  <c r="AU9" i="29"/>
  <c r="BT10" i="29"/>
  <c r="BS46" i="29" s="1"/>
  <c r="BS45" i="29" s="1"/>
  <c r="AU11" i="29"/>
  <c r="BT12" i="29"/>
  <c r="AU13" i="29"/>
  <c r="BT13" i="29"/>
  <c r="BT33" i="29" s="1"/>
  <c r="AU14" i="29"/>
  <c r="BT14" i="29"/>
  <c r="BT34" i="29" s="1"/>
  <c r="AU15" i="29"/>
  <c r="BT15" i="29"/>
  <c r="BT44" i="29" s="1"/>
  <c r="AU16" i="29"/>
  <c r="BT16" i="29"/>
  <c r="AU17" i="29"/>
  <c r="BT17" i="29"/>
  <c r="AU18" i="29"/>
  <c r="BT18" i="29"/>
  <c r="AU19" i="29"/>
  <c r="BT19" i="29"/>
  <c r="BT42" i="29" s="1"/>
  <c r="AU20" i="29"/>
  <c r="BT20" i="29"/>
  <c r="AU21" i="29"/>
  <c r="BT21" i="29"/>
  <c r="AU22" i="29"/>
  <c r="BT22" i="29"/>
  <c r="BT37" i="29" s="1"/>
  <c r="AU23" i="29"/>
  <c r="BT23" i="29"/>
  <c r="BT49" i="29" s="1"/>
  <c r="AU24" i="29"/>
  <c r="BT24" i="29"/>
  <c r="AU25" i="29"/>
  <c r="BT25" i="29"/>
  <c r="AU26" i="29"/>
  <c r="BT26" i="29"/>
  <c r="BT36" i="29" s="1"/>
  <c r="AU27" i="29"/>
  <c r="BT27" i="29"/>
  <c r="AU28" i="29"/>
  <c r="BT28" i="29"/>
  <c r="BT43" i="29" s="1"/>
  <c r="AU29" i="29"/>
  <c r="BT29" i="29"/>
  <c r="AU30" i="29"/>
  <c r="BT30" i="29"/>
  <c r="BT35" i="29" s="1"/>
  <c r="BT10" i="41"/>
  <c r="BS46" i="41" s="1"/>
  <c r="BT8" i="41"/>
  <c r="BT41" i="41" s="1"/>
  <c r="AU6" i="29"/>
  <c r="BT7" i="29"/>
  <c r="AU8" i="29"/>
  <c r="BT9" i="29"/>
  <c r="AU10" i="29"/>
  <c r="BT11" i="29"/>
  <c r="BT39" i="29" s="1"/>
  <c r="AU12" i="29"/>
  <c r="CS12" i="42"/>
  <c r="CS26" i="43"/>
  <c r="CS36" i="43" s="1"/>
  <c r="CS22" i="43"/>
  <c r="CS37" i="43" s="1"/>
  <c r="CS17" i="43"/>
  <c r="CS9" i="43"/>
  <c r="CS5" i="43"/>
  <c r="CS2" i="43"/>
  <c r="CS38" i="43" s="1"/>
  <c r="CS19" i="43"/>
  <c r="CS42" i="43" s="1"/>
  <c r="CS25" i="43"/>
  <c r="CS28" i="43"/>
  <c r="CS43" i="43" s="1"/>
  <c r="CS20" i="43"/>
  <c r="CS12" i="43"/>
  <c r="CS15" i="43"/>
  <c r="CS44" i="43" s="1"/>
  <c r="CS3" i="43"/>
  <c r="CS32" i="43" s="1"/>
  <c r="CS14" i="43"/>
  <c r="CS34" i="43" s="1"/>
  <c r="CS16" i="43"/>
  <c r="CS18" i="43"/>
  <c r="CS29" i="43"/>
  <c r="CS24" i="43"/>
  <c r="CS30" i="43"/>
  <c r="CS35" i="43" s="1"/>
  <c r="CS6" i="43"/>
  <c r="CS47" i="43" s="1"/>
  <c r="CS13" i="43"/>
  <c r="CS33" i="43" s="1"/>
  <c r="CS7" i="43"/>
  <c r="CS21" i="43"/>
  <c r="CS8" i="43"/>
  <c r="CS41" i="43" s="1"/>
  <c r="CS27" i="43"/>
  <c r="CS11" i="43"/>
  <c r="CS39" i="43" s="1"/>
  <c r="CS10" i="43"/>
  <c r="CS46" i="43" s="1"/>
  <c r="CS4" i="43"/>
  <c r="CS40" i="43" s="1"/>
  <c r="CS23" i="43"/>
  <c r="CS3" i="30"/>
  <c r="CS32" i="30" s="1"/>
  <c r="CS4" i="30"/>
  <c r="CS40" i="30" s="1"/>
  <c r="CS5" i="30"/>
  <c r="CS6" i="30"/>
  <c r="CS47" i="30" s="1"/>
  <c r="CS7" i="30"/>
  <c r="CS8" i="30"/>
  <c r="CS41" i="30" s="1"/>
  <c r="CS9" i="30"/>
  <c r="CS10" i="30"/>
  <c r="CS46" i="30" s="1"/>
  <c r="CS45" i="30" s="1"/>
  <c r="CS11" i="30"/>
  <c r="CS39" i="30" s="1"/>
  <c r="CS12" i="30"/>
  <c r="CS13" i="30"/>
  <c r="CS33" i="30" s="1"/>
  <c r="CS14" i="30"/>
  <c r="CS34" i="30" s="1"/>
  <c r="CS15" i="30"/>
  <c r="CS44" i="30" s="1"/>
  <c r="CS16" i="30"/>
  <c r="CS17" i="30"/>
  <c r="CS18" i="30"/>
  <c r="CS19" i="30"/>
  <c r="CS42" i="30" s="1"/>
  <c r="CS20" i="30"/>
  <c r="CS21" i="30"/>
  <c r="CS22" i="30"/>
  <c r="CS37" i="30" s="1"/>
  <c r="CS23" i="30"/>
  <c r="CS49" i="30" s="1"/>
  <c r="CS24" i="30"/>
  <c r="CS25" i="30"/>
  <c r="CS26" i="30"/>
  <c r="CS36" i="30" s="1"/>
  <c r="CS27" i="30"/>
  <c r="CS28" i="30"/>
  <c r="CS43" i="30" s="1"/>
  <c r="CS29" i="30"/>
  <c r="CS30" i="30"/>
  <c r="CS35" i="30" s="1"/>
  <c r="CV30" i="42"/>
  <c r="CV35" i="42" s="1"/>
  <c r="CV29" i="42"/>
  <c r="CV28" i="42"/>
  <c r="CV43" i="42" s="1"/>
  <c r="CV27" i="42"/>
  <c r="CV26" i="42"/>
  <c r="CV36" i="42" s="1"/>
  <c r="CV25" i="42"/>
  <c r="CV24" i="42"/>
  <c r="CV23" i="42"/>
  <c r="CV49" i="42" s="1"/>
  <c r="CV22" i="42"/>
  <c r="CV37" i="42" s="1"/>
  <c r="CV21" i="42"/>
  <c r="CV20" i="42"/>
  <c r="CV19" i="42"/>
  <c r="CV42" i="42" s="1"/>
  <c r="CV18" i="42"/>
  <c r="CV17" i="42"/>
  <c r="CV16" i="42"/>
  <c r="CV15" i="42"/>
  <c r="CV44" i="42" s="1"/>
  <c r="CV14" i="42"/>
  <c r="CV34" i="42" s="1"/>
  <c r="CV13" i="42"/>
  <c r="CV33" i="42" s="1"/>
  <c r="CV12" i="42"/>
  <c r="CV11" i="42"/>
  <c r="CV39" i="42" s="1"/>
  <c r="CV10" i="42"/>
  <c r="CV46" i="42" s="1"/>
  <c r="CV9" i="42"/>
  <c r="CV8" i="42"/>
  <c r="CV41" i="42" s="1"/>
  <c r="CV7" i="42"/>
  <c r="CV6" i="42"/>
  <c r="CV47" i="42" s="1"/>
  <c r="CV5" i="42"/>
  <c r="CV4" i="42"/>
  <c r="CV40" i="42" s="1"/>
  <c r="CV3" i="42"/>
  <c r="CV32" i="42" s="1"/>
  <c r="CV2" i="42"/>
  <c r="CV38" i="42" s="1"/>
  <c r="BW30" i="41"/>
  <c r="BW35" i="41" s="1"/>
  <c r="AX30" i="41"/>
  <c r="AX29" i="41"/>
  <c r="AX28" i="41"/>
  <c r="AX27" i="41"/>
  <c r="AX26" i="41"/>
  <c r="AX25" i="41"/>
  <c r="AX24" i="41"/>
  <c r="AX23" i="41"/>
  <c r="AX22" i="41"/>
  <c r="AX21" i="41"/>
  <c r="AX20" i="41"/>
  <c r="AX19" i="41"/>
  <c r="AX18" i="41"/>
  <c r="AX17" i="41"/>
  <c r="AX16" i="41"/>
  <c r="AX15" i="41"/>
  <c r="AX14" i="41"/>
  <c r="AX13" i="41"/>
  <c r="AX12" i="41"/>
  <c r="AX11" i="41"/>
  <c r="AX10" i="41"/>
  <c r="AX9" i="41"/>
  <c r="AX8" i="41"/>
  <c r="AX7" i="41"/>
  <c r="AX6" i="41"/>
  <c r="AX5" i="41"/>
  <c r="AX4" i="41"/>
  <c r="AX3" i="41"/>
  <c r="AX2" i="41"/>
  <c r="BW29" i="41"/>
  <c r="BW28" i="41"/>
  <c r="BW43" i="41" s="1"/>
  <c r="BW10" i="41"/>
  <c r="BV46" i="41" s="1"/>
  <c r="BW9" i="41"/>
  <c r="BW8" i="41"/>
  <c r="BW41" i="41" s="1"/>
  <c r="AX2" i="29"/>
  <c r="AX38" i="29" s="1"/>
  <c r="BW2" i="29"/>
  <c r="BW38" i="29" s="1"/>
  <c r="AX3" i="29"/>
  <c r="BW3" i="29"/>
  <c r="BW32" i="29" s="1"/>
  <c r="AX4" i="29"/>
  <c r="BW4" i="29"/>
  <c r="BW40" i="29" s="1"/>
  <c r="AX5" i="29"/>
  <c r="BW5" i="29"/>
  <c r="AX6" i="29"/>
  <c r="BW6" i="29"/>
  <c r="BV47" i="29" s="1"/>
  <c r="AX7" i="29"/>
  <c r="BW7" i="29"/>
  <c r="AX8" i="29"/>
  <c r="BW8" i="29"/>
  <c r="BW41" i="29" s="1"/>
  <c r="AX9" i="29"/>
  <c r="BW9" i="29"/>
  <c r="AX10" i="29"/>
  <c r="BW10" i="29"/>
  <c r="BV46" i="29" s="1"/>
  <c r="BV45" i="29" s="1"/>
  <c r="AX11" i="29"/>
  <c r="BW11" i="29"/>
  <c r="BW39" i="29" s="1"/>
  <c r="AX12" i="29"/>
  <c r="BW27" i="41"/>
  <c r="BW26" i="41"/>
  <c r="BW36" i="41" s="1"/>
  <c r="BW25" i="41"/>
  <c r="BW24" i="41"/>
  <c r="BW23" i="41"/>
  <c r="BW49" i="41" s="1"/>
  <c r="BW21" i="41"/>
  <c r="BW20" i="41"/>
  <c r="BW19" i="41"/>
  <c r="BW42" i="41" s="1"/>
  <c r="BW18" i="41"/>
  <c r="BW17" i="41"/>
  <c r="BW16" i="41"/>
  <c r="BW15" i="41"/>
  <c r="BW44" i="41" s="1"/>
  <c r="BW12" i="41"/>
  <c r="BW11" i="41"/>
  <c r="BW39" i="41" s="1"/>
  <c r="BW22" i="41"/>
  <c r="BW37" i="41" s="1"/>
  <c r="BW14" i="41"/>
  <c r="BW34" i="41" s="1"/>
  <c r="BW13" i="41"/>
  <c r="BW33" i="41" s="1"/>
  <c r="BW2" i="41"/>
  <c r="BW38" i="41" s="1"/>
  <c r="BW6" i="41"/>
  <c r="BV47" i="41" s="1"/>
  <c r="BW5" i="41"/>
  <c r="BW7" i="41"/>
  <c r="BW3" i="41"/>
  <c r="BW32" i="41" s="1"/>
  <c r="BW31" i="41" s="1"/>
  <c r="BW4" i="41"/>
  <c r="BW40" i="41" s="1"/>
  <c r="BW12" i="29"/>
  <c r="AX13" i="29"/>
  <c r="BW14" i="29"/>
  <c r="BW34" i="29" s="1"/>
  <c r="AX15" i="29"/>
  <c r="BW16" i="29"/>
  <c r="AX17" i="29"/>
  <c r="BW18" i="29"/>
  <c r="AX19" i="29"/>
  <c r="BW20" i="29"/>
  <c r="AX21" i="29"/>
  <c r="BW22" i="29"/>
  <c r="BW37" i="29" s="1"/>
  <c r="AX23" i="29"/>
  <c r="BW24" i="29"/>
  <c r="AX25" i="29"/>
  <c r="BW26" i="29"/>
  <c r="BW36" i="29" s="1"/>
  <c r="AX27" i="29"/>
  <c r="BW28" i="29"/>
  <c r="BW43" i="29" s="1"/>
  <c r="AX29" i="29"/>
  <c r="BW30" i="29"/>
  <c r="BW35" i="29" s="1"/>
  <c r="AX16" i="29"/>
  <c r="AX18" i="29"/>
  <c r="BW19" i="29"/>
  <c r="BW42" i="29" s="1"/>
  <c r="BW25" i="29"/>
  <c r="AX26" i="29"/>
  <c r="BW27" i="29"/>
  <c r="BW13" i="29"/>
  <c r="BW33" i="29" s="1"/>
  <c r="AX14" i="29"/>
  <c r="BW15" i="29"/>
  <c r="BW44" i="29" s="1"/>
  <c r="BW17" i="29"/>
  <c r="AX20" i="29"/>
  <c r="BW21" i="29"/>
  <c r="AX22" i="29"/>
  <c r="BW23" i="29"/>
  <c r="BW49" i="29" s="1"/>
  <c r="AX24" i="29"/>
  <c r="AX28" i="29"/>
  <c r="BW29" i="29"/>
  <c r="AX30" i="29"/>
  <c r="CV29" i="43"/>
  <c r="CV16" i="43"/>
  <c r="CV23" i="43"/>
  <c r="CV30" i="43"/>
  <c r="CV35" i="43" s="1"/>
  <c r="CV17" i="43"/>
  <c r="CV13" i="43"/>
  <c r="CV33" i="43" s="1"/>
  <c r="CV9" i="43"/>
  <c r="CV5" i="43"/>
  <c r="CV19" i="43"/>
  <c r="CV42" i="43" s="1"/>
  <c r="CV7" i="43"/>
  <c r="CV26" i="43"/>
  <c r="CV36" i="43" s="1"/>
  <c r="CV18" i="43"/>
  <c r="CV25" i="43"/>
  <c r="CV21" i="43"/>
  <c r="CV12" i="43"/>
  <c r="CV15" i="43"/>
  <c r="CV44" i="43" s="1"/>
  <c r="CV3" i="43"/>
  <c r="CV32" i="43" s="1"/>
  <c r="CV11" i="43"/>
  <c r="CV39" i="43" s="1"/>
  <c r="CV22" i="43"/>
  <c r="CV37" i="43" s="1"/>
  <c r="CV6" i="43"/>
  <c r="CV47" i="43" s="1"/>
  <c r="CV8" i="43"/>
  <c r="CV41" i="43" s="1"/>
  <c r="CV27" i="43"/>
  <c r="CV10" i="43"/>
  <c r="CV46" i="43" s="1"/>
  <c r="CV24" i="43"/>
  <c r="CV4" i="43"/>
  <c r="CV40" i="43" s="1"/>
  <c r="CV28" i="43"/>
  <c r="CV43" i="43" s="1"/>
  <c r="CV20" i="43"/>
  <c r="CV2" i="43"/>
  <c r="CV38" i="43" s="1"/>
  <c r="CV14" i="43"/>
  <c r="CV34" i="43" s="1"/>
  <c r="CV4" i="30"/>
  <c r="CV40" i="30" s="1"/>
  <c r="CV6" i="30"/>
  <c r="CV47" i="30" s="1"/>
  <c r="CV7" i="30"/>
  <c r="CV8" i="30"/>
  <c r="CV41" i="30" s="1"/>
  <c r="CV9" i="30"/>
  <c r="CV15" i="30"/>
  <c r="CV44" i="30" s="1"/>
  <c r="CV16" i="30"/>
  <c r="CV17" i="30"/>
  <c r="CV18" i="30"/>
  <c r="CV19" i="30"/>
  <c r="CV42" i="30" s="1"/>
  <c r="CV28" i="30"/>
  <c r="CV43" i="30" s="1"/>
  <c r="CV29" i="30"/>
  <c r="CV20" i="30"/>
  <c r="CV21" i="30"/>
  <c r="CV22" i="30"/>
  <c r="CV37" i="30" s="1"/>
  <c r="CV26" i="30"/>
  <c r="CV36" i="30" s="1"/>
  <c r="CV27" i="30"/>
  <c r="CV3" i="30"/>
  <c r="CV32" i="30" s="1"/>
  <c r="CV5" i="30"/>
  <c r="CV10" i="30"/>
  <c r="CV46" i="30" s="1"/>
  <c r="CV11" i="30"/>
  <c r="CV39" i="30" s="1"/>
  <c r="CV12" i="30"/>
  <c r="CV13" i="30"/>
  <c r="CV33" i="30" s="1"/>
  <c r="CV14" i="30"/>
  <c r="CV34" i="30" s="1"/>
  <c r="CV23" i="30"/>
  <c r="CV49" i="30" s="1"/>
  <c r="CV24" i="30"/>
  <c r="CV25" i="30"/>
  <c r="CV30" i="30"/>
  <c r="CV35" i="30" s="1"/>
  <c r="DW30" i="38"/>
  <c r="DW35" i="38" s="1"/>
  <c r="EK35" i="38" s="1"/>
  <c r="I30" i="38"/>
  <c r="BQ28" i="38"/>
  <c r="BQ43" i="38" s="1"/>
  <c r="CE43" i="38" s="1"/>
  <c r="DW27" i="38"/>
  <c r="BQ26" i="38"/>
  <c r="BQ36" i="38" s="1"/>
  <c r="CE36" i="38" s="1"/>
  <c r="DW25" i="38"/>
  <c r="I25" i="38"/>
  <c r="BQ22" i="38"/>
  <c r="BQ37" i="38" s="1"/>
  <c r="CE37" i="38" s="1"/>
  <c r="DW21" i="38"/>
  <c r="I21" i="38"/>
  <c r="BQ27" i="38"/>
  <c r="I24" i="38"/>
  <c r="I23" i="38"/>
  <c r="I22" i="38"/>
  <c r="DW20" i="38"/>
  <c r="I20" i="38"/>
  <c r="BQ17" i="38"/>
  <c r="DW16" i="38"/>
  <c r="I16" i="38"/>
  <c r="BQ13" i="38"/>
  <c r="BQ33" i="38" s="1"/>
  <c r="CE33" i="38" s="1"/>
  <c r="DW12" i="38"/>
  <c r="I12" i="38"/>
  <c r="BQ10" i="38"/>
  <c r="BQ46" i="38" s="1"/>
  <c r="DW9" i="38"/>
  <c r="I9" i="38"/>
  <c r="BQ7" i="38"/>
  <c r="DW6" i="38"/>
  <c r="DW47" i="38" s="1"/>
  <c r="EK47" i="38" s="1"/>
  <c r="BQ30" i="38"/>
  <c r="BQ35" i="38" s="1"/>
  <c r="CE35" i="38" s="1"/>
  <c r="BQ29" i="38"/>
  <c r="I27" i="38"/>
  <c r="I26" i="38"/>
  <c r="DW24" i="38"/>
  <c r="DW23" i="38"/>
  <c r="DW49" i="38" s="1"/>
  <c r="DW22" i="38"/>
  <c r="DW37" i="38" s="1"/>
  <c r="EK37" i="38" s="1"/>
  <c r="BQ20" i="38"/>
  <c r="DW19" i="38"/>
  <c r="DW42" i="38" s="1"/>
  <c r="EK42" i="38" s="1"/>
  <c r="I19" i="38"/>
  <c r="DW29" i="38"/>
  <c r="I29" i="38"/>
  <c r="I28" i="38"/>
  <c r="BQ25" i="38"/>
  <c r="BQ23" i="38"/>
  <c r="BQ49" i="38" s="1"/>
  <c r="DW17" i="38"/>
  <c r="DW13" i="38"/>
  <c r="DW33" i="38" s="1"/>
  <c r="EK33" i="38" s="1"/>
  <c r="I11" i="38"/>
  <c r="I10" i="38"/>
  <c r="DW8" i="38"/>
  <c r="DW41" i="38" s="1"/>
  <c r="EK41" i="38" s="1"/>
  <c r="DW7" i="38"/>
  <c r="I7" i="38"/>
  <c r="I6" i="38"/>
  <c r="BQ5" i="38"/>
  <c r="BQ4" i="38"/>
  <c r="BQ40" i="38" s="1"/>
  <c r="CE40" i="38" s="1"/>
  <c r="DW3" i="38"/>
  <c r="DW32" i="38" s="1"/>
  <c r="BQ2" i="38"/>
  <c r="BQ38" i="38" s="1"/>
  <c r="CE38" i="38" s="1"/>
  <c r="T25" i="38"/>
  <c r="T20" i="38"/>
  <c r="T19" i="38"/>
  <c r="T42" i="38" s="1"/>
  <c r="AE42" i="38" s="1"/>
  <c r="T12" i="38"/>
  <c r="T6" i="38"/>
  <c r="T47" i="38" s="1"/>
  <c r="AE47" i="38" s="1"/>
  <c r="DW26" i="38"/>
  <c r="DW36" i="38" s="1"/>
  <c r="EK36" i="38" s="1"/>
  <c r="BQ16" i="38"/>
  <c r="BQ15" i="38"/>
  <c r="BQ44" i="38" s="1"/>
  <c r="CE44" i="38" s="1"/>
  <c r="BQ12" i="38"/>
  <c r="DW10" i="38"/>
  <c r="DW46" i="38" s="1"/>
  <c r="DW5" i="38"/>
  <c r="I5" i="38"/>
  <c r="BQ3" i="38"/>
  <c r="BQ32" i="38" s="1"/>
  <c r="I3" i="38"/>
  <c r="T30" i="38"/>
  <c r="T35" i="38" s="1"/>
  <c r="AE35" i="38" s="1"/>
  <c r="T29" i="38"/>
  <c r="T27" i="38"/>
  <c r="T18" i="38"/>
  <c r="T16" i="38"/>
  <c r="T14" i="38"/>
  <c r="T34" i="38" s="1"/>
  <c r="AE34" i="38" s="1"/>
  <c r="T9" i="38"/>
  <c r="T8" i="38"/>
  <c r="T41" i="38" s="1"/>
  <c r="AE41" i="38" s="1"/>
  <c r="T7" i="38"/>
  <c r="DW28" i="38"/>
  <c r="DW43" i="38" s="1"/>
  <c r="EK43" i="38" s="1"/>
  <c r="BQ18" i="38"/>
  <c r="DW15" i="38"/>
  <c r="DW44" i="38" s="1"/>
  <c r="EK44" i="38" s="1"/>
  <c r="I15" i="38"/>
  <c r="I14" i="38"/>
  <c r="DW11" i="38"/>
  <c r="DW39" i="38" s="1"/>
  <c r="EK39" i="38" s="1"/>
  <c r="BQ6" i="38"/>
  <c r="BQ47" i="38" s="1"/>
  <c r="CE47" i="38" s="1"/>
  <c r="DW2" i="38"/>
  <c r="DW38" i="38" s="1"/>
  <c r="EK38" i="38" s="1"/>
  <c r="I2" i="38"/>
  <c r="T28" i="38"/>
  <c r="T43" i="38" s="1"/>
  <c r="AE43" i="38" s="1"/>
  <c r="T17" i="38"/>
  <c r="T13" i="38"/>
  <c r="T33" i="38" s="1"/>
  <c r="AE33" i="38" s="1"/>
  <c r="T10" i="38"/>
  <c r="T46" i="38" s="1"/>
  <c r="T5" i="38"/>
  <c r="T3" i="38"/>
  <c r="T32" i="38" s="1"/>
  <c r="AE32" i="38" s="1"/>
  <c r="T2" i="38"/>
  <c r="T38" i="38" s="1"/>
  <c r="AE38" i="38" s="1"/>
  <c r="BQ24" i="38"/>
  <c r="BQ19" i="38"/>
  <c r="BQ42" i="38" s="1"/>
  <c r="CE42" i="38" s="1"/>
  <c r="I18" i="38"/>
  <c r="BQ14" i="38"/>
  <c r="BQ34" i="38" s="1"/>
  <c r="CE34" i="38" s="1"/>
  <c r="BQ9" i="38"/>
  <c r="DW4" i="38"/>
  <c r="DW40" i="38" s="1"/>
  <c r="EK40" i="38" s="1"/>
  <c r="I4" i="38"/>
  <c r="T24" i="38"/>
  <c r="T22" i="38"/>
  <c r="T37" i="38" s="1"/>
  <c r="AE37" i="38" s="1"/>
  <c r="T15" i="38"/>
  <c r="T44" i="38" s="1"/>
  <c r="AE44" i="38" s="1"/>
  <c r="BQ21" i="38"/>
  <c r="DW18" i="38"/>
  <c r="I13" i="38"/>
  <c r="I8" i="38"/>
  <c r="DW14" i="38"/>
  <c r="DW34" i="38" s="1"/>
  <c r="EK34" i="38" s="1"/>
  <c r="BQ11" i="38"/>
  <c r="BQ39" i="38" s="1"/>
  <c r="CE39" i="38" s="1"/>
  <c r="I17" i="38"/>
  <c r="T26" i="38"/>
  <c r="T36" i="38" s="1"/>
  <c r="T23" i="38"/>
  <c r="T49" i="38" s="1"/>
  <c r="T11" i="38"/>
  <c r="T39" i="38" s="1"/>
  <c r="AE39" i="38" s="1"/>
  <c r="T4" i="38"/>
  <c r="T40" i="38" s="1"/>
  <c r="AE40" i="38" s="1"/>
  <c r="T21" i="38"/>
  <c r="BQ8" i="38"/>
  <c r="BQ41" i="38" s="1"/>
  <c r="CE41" i="38" s="1"/>
  <c r="I27" i="18"/>
  <c r="I23" i="18"/>
  <c r="I19" i="18"/>
  <c r="I15" i="18"/>
  <c r="I11" i="18"/>
  <c r="I7" i="18"/>
  <c r="I3" i="18"/>
  <c r="I22" i="18"/>
  <c r="I18" i="18"/>
  <c r="I14" i="18"/>
  <c r="I6" i="18"/>
  <c r="I2" i="18"/>
  <c r="I28" i="18"/>
  <c r="I24" i="18"/>
  <c r="I12" i="18"/>
  <c r="I8" i="18"/>
  <c r="I4" i="18"/>
  <c r="I30" i="18"/>
  <c r="I26" i="18"/>
  <c r="I10" i="18"/>
  <c r="I29" i="18"/>
  <c r="I25" i="18"/>
  <c r="I21" i="18"/>
  <c r="I17" i="18"/>
  <c r="I13" i="18"/>
  <c r="I9" i="18"/>
  <c r="I5" i="18"/>
  <c r="I20" i="18"/>
  <c r="I16" i="18"/>
  <c r="BZ30" i="38"/>
  <c r="BZ35" i="38" s="1"/>
  <c r="CN35" i="38" s="1"/>
  <c r="M30" i="38"/>
  <c r="EF29" i="38"/>
  <c r="BZ25" i="38"/>
  <c r="M25" i="38"/>
  <c r="EF24" i="38"/>
  <c r="BZ21" i="38"/>
  <c r="M21" i="38"/>
  <c r="EF28" i="38"/>
  <c r="EF43" i="38" s="1"/>
  <c r="ET43" i="38" s="1"/>
  <c r="M28" i="38"/>
  <c r="BZ24" i="38"/>
  <c r="BZ23" i="38"/>
  <c r="BZ49" i="38" s="1"/>
  <c r="BZ22" i="38"/>
  <c r="BZ37" i="38" s="1"/>
  <c r="CN37" i="38" s="1"/>
  <c r="BZ20" i="38"/>
  <c r="M20" i="38"/>
  <c r="EF19" i="38"/>
  <c r="EF42" i="38" s="1"/>
  <c r="ET42" i="38" s="1"/>
  <c r="BZ16" i="38"/>
  <c r="M16" i="38"/>
  <c r="EF15" i="38"/>
  <c r="EF44" i="38" s="1"/>
  <c r="ET44" i="38" s="1"/>
  <c r="BZ12" i="38"/>
  <c r="M12" i="38"/>
  <c r="EF11" i="38"/>
  <c r="EF39" i="38" s="1"/>
  <c r="ET39" i="38" s="1"/>
  <c r="BZ9" i="38"/>
  <c r="M9" i="38"/>
  <c r="EF8" i="38"/>
  <c r="EF41" i="38" s="1"/>
  <c r="ET41" i="38" s="1"/>
  <c r="EF30" i="38"/>
  <c r="EF35" i="38" s="1"/>
  <c r="ET35" i="38" s="1"/>
  <c r="EF27" i="38"/>
  <c r="BZ27" i="38"/>
  <c r="BZ26" i="38"/>
  <c r="BZ36" i="38" s="1"/>
  <c r="CN36" i="38" s="1"/>
  <c r="M24" i="38"/>
  <c r="M23" i="38"/>
  <c r="M22" i="38"/>
  <c r="BZ19" i="38"/>
  <c r="BZ42" i="38" s="1"/>
  <c r="CN42" i="38" s="1"/>
  <c r="M19" i="38"/>
  <c r="EF18" i="38"/>
  <c r="EF25" i="38"/>
  <c r="M18" i="38"/>
  <c r="M17" i="38"/>
  <c r="EF14" i="38"/>
  <c r="EF34" i="38" s="1"/>
  <c r="ET34" i="38" s="1"/>
  <c r="M14" i="38"/>
  <c r="M13" i="38"/>
  <c r="BZ11" i="38"/>
  <c r="BZ39" i="38" s="1"/>
  <c r="CN39" i="38" s="1"/>
  <c r="BZ10" i="38"/>
  <c r="BZ46" i="38" s="1"/>
  <c r="M8" i="38"/>
  <c r="BZ7" i="38"/>
  <c r="BZ6" i="38"/>
  <c r="BZ47" i="38" s="1"/>
  <c r="CN47" i="38" s="1"/>
  <c r="BZ3" i="38"/>
  <c r="BZ32" i="38" s="1"/>
  <c r="X25" i="38"/>
  <c r="X20" i="38"/>
  <c r="X19" i="38"/>
  <c r="X42" i="38" s="1"/>
  <c r="AI42" i="38" s="1"/>
  <c r="X12" i="38"/>
  <c r="X6" i="38"/>
  <c r="X47" i="38" s="1"/>
  <c r="AI47" i="38" s="1"/>
  <c r="M27" i="38"/>
  <c r="EF22" i="38"/>
  <c r="EF37" i="38" s="1"/>
  <c r="ET37" i="38" s="1"/>
  <c r="EF16" i="38"/>
  <c r="EF13" i="38"/>
  <c r="EF33" i="38" s="1"/>
  <c r="ET33" i="38" s="1"/>
  <c r="EF12" i="38"/>
  <c r="M11" i="38"/>
  <c r="M10" i="38"/>
  <c r="EF7" i="38"/>
  <c r="M7" i="38"/>
  <c r="M6" i="38"/>
  <c r="BZ5" i="38"/>
  <c r="EF4" i="38"/>
  <c r="EF40" i="38" s="1"/>
  <c r="ET40" i="38" s="1"/>
  <c r="M3" i="38"/>
  <c r="EF2" i="38"/>
  <c r="EF38" i="38" s="1"/>
  <c r="ET38" i="38" s="1"/>
  <c r="X30" i="38"/>
  <c r="X35" i="38" s="1"/>
  <c r="AI35" i="38" s="1"/>
  <c r="X29" i="38"/>
  <c r="X27" i="38"/>
  <c r="X18" i="38"/>
  <c r="X16" i="38"/>
  <c r="X14" i="38"/>
  <c r="X34" i="38" s="1"/>
  <c r="AI34" i="38" s="1"/>
  <c r="X9" i="38"/>
  <c r="X8" i="38"/>
  <c r="X41" i="38" s="1"/>
  <c r="AI41" i="38" s="1"/>
  <c r="X7" i="38"/>
  <c r="M29" i="38"/>
  <c r="M26" i="38"/>
  <c r="EF23" i="38"/>
  <c r="EF49" i="38" s="1"/>
  <c r="BZ8" i="38"/>
  <c r="BZ41" i="38" s="1"/>
  <c r="CN41" i="38" s="1"/>
  <c r="BZ2" i="38"/>
  <c r="BZ38" i="38" s="1"/>
  <c r="CN38" i="38" s="1"/>
  <c r="X23" i="38"/>
  <c r="X49" i="38" s="1"/>
  <c r="X4" i="38"/>
  <c r="X40" i="38" s="1"/>
  <c r="AI40" i="38" s="1"/>
  <c r="BZ29" i="38"/>
  <c r="BZ18" i="38"/>
  <c r="BZ17" i="38"/>
  <c r="BZ13" i="38"/>
  <c r="BZ33" i="38" s="1"/>
  <c r="CN33" i="38" s="1"/>
  <c r="EF9" i="38"/>
  <c r="EF5" i="38"/>
  <c r="BZ4" i="38"/>
  <c r="BZ40" i="38" s="1"/>
  <c r="CN40" i="38" s="1"/>
  <c r="EF3" i="38"/>
  <c r="EF32" i="38" s="1"/>
  <c r="X26" i="38"/>
  <c r="X36" i="38" s="1"/>
  <c r="AI36" i="38" s="1"/>
  <c r="X21" i="38"/>
  <c r="X11" i="38"/>
  <c r="X39" i="38" s="1"/>
  <c r="AI39" i="38" s="1"/>
  <c r="BZ28" i="38"/>
  <c r="BZ43" i="38" s="1"/>
  <c r="CN43" i="38" s="1"/>
  <c r="EF20" i="38"/>
  <c r="BZ15" i="38"/>
  <c r="BZ44" i="38" s="1"/>
  <c r="CN44" i="38" s="1"/>
  <c r="BZ14" i="38"/>
  <c r="BZ34" i="38" s="1"/>
  <c r="CN34" i="38" s="1"/>
  <c r="EF10" i="38"/>
  <c r="EF46" i="38" s="1"/>
  <c r="M2" i="38"/>
  <c r="M4" i="38"/>
  <c r="EF21" i="38"/>
  <c r="EF6" i="38"/>
  <c r="EF47" i="38" s="1"/>
  <c r="ET47" i="38" s="1"/>
  <c r="M5" i="38"/>
  <c r="X13" i="38"/>
  <c r="X33" i="38" s="1"/>
  <c r="AI33" i="38" s="1"/>
  <c r="X5" i="38"/>
  <c r="X3" i="38"/>
  <c r="X32" i="38" s="1"/>
  <c r="EF26" i="38"/>
  <c r="EF36" i="38" s="1"/>
  <c r="ET36" i="38" s="1"/>
  <c r="EF17" i="38"/>
  <c r="X10" i="38"/>
  <c r="X46" i="38" s="1"/>
  <c r="X17" i="38"/>
  <c r="X15" i="38"/>
  <c r="X44" i="38" s="1"/>
  <c r="AI44" i="38" s="1"/>
  <c r="M15" i="38"/>
  <c r="X28" i="38"/>
  <c r="X43" i="38" s="1"/>
  <c r="AI43" i="38" s="1"/>
  <c r="X24" i="38"/>
  <c r="X2" i="38"/>
  <c r="X38" i="38" s="1"/>
  <c r="AI38" i="38" s="1"/>
  <c r="X22" i="38"/>
  <c r="X37" i="38" s="1"/>
  <c r="AI37" i="38" s="1"/>
  <c r="EF6" i="18"/>
  <c r="EF10" i="18"/>
  <c r="EF14" i="18"/>
  <c r="EF18" i="18"/>
  <c r="EF22" i="18"/>
  <c r="EF26" i="18"/>
  <c r="EF30" i="18"/>
  <c r="M27" i="18"/>
  <c r="M23" i="18"/>
  <c r="M19" i="18"/>
  <c r="M15" i="18"/>
  <c r="M11" i="18"/>
  <c r="M7" i="18"/>
  <c r="M3" i="18"/>
  <c r="M22" i="18"/>
  <c r="M18" i="18"/>
  <c r="M14" i="18"/>
  <c r="M6" i="18"/>
  <c r="M2" i="18"/>
  <c r="EF9" i="18"/>
  <c r="EF17" i="18"/>
  <c r="EF25" i="18"/>
  <c r="M28" i="18"/>
  <c r="M24" i="18"/>
  <c r="M12" i="18"/>
  <c r="M8" i="18"/>
  <c r="M4" i="18"/>
  <c r="EF7" i="18"/>
  <c r="EF11" i="18"/>
  <c r="EF15" i="18"/>
  <c r="EF19" i="18"/>
  <c r="EF23" i="18"/>
  <c r="EF27" i="18"/>
  <c r="EF2" i="18"/>
  <c r="M30" i="18"/>
  <c r="M26" i="18"/>
  <c r="M10" i="18"/>
  <c r="EF4" i="18"/>
  <c r="EF8" i="18"/>
  <c r="EF12" i="18"/>
  <c r="EF16" i="18"/>
  <c r="EF20" i="18"/>
  <c r="EF24" i="18"/>
  <c r="EF28" i="18"/>
  <c r="EF3" i="18"/>
  <c r="M29" i="18"/>
  <c r="M25" i="18"/>
  <c r="M21" i="18"/>
  <c r="M17" i="18"/>
  <c r="M13" i="18"/>
  <c r="M9" i="18"/>
  <c r="M5" i="18"/>
  <c r="EF5" i="18"/>
  <c r="EF13" i="18"/>
  <c r="EF21" i="18"/>
  <c r="EF29" i="18"/>
  <c r="M20" i="18"/>
  <c r="M16" i="18"/>
  <c r="BA30" i="16"/>
  <c r="BA35" i="16" s="1"/>
  <c r="BG35" i="16" s="1"/>
  <c r="W30" i="16"/>
  <c r="W35" i="16" s="1"/>
  <c r="AB35" i="16" s="1"/>
  <c r="S30" i="16"/>
  <c r="S35" i="16" s="1"/>
  <c r="X35" i="16" s="1"/>
  <c r="O30" i="16"/>
  <c r="O35" i="16" s="1"/>
  <c r="V29" i="16"/>
  <c r="R29" i="16"/>
  <c r="N29" i="16"/>
  <c r="AV28" i="16"/>
  <c r="AV43" i="16" s="1"/>
  <c r="AD28" i="16"/>
  <c r="AD43" i="16" s="1"/>
  <c r="U28" i="16"/>
  <c r="U43" i="16" s="1"/>
  <c r="Z43" i="16" s="1"/>
  <c r="Q28" i="16"/>
  <c r="Q43" i="16" s="1"/>
  <c r="I28" i="16"/>
  <c r="I43" i="16" s="1"/>
  <c r="L43" i="16" s="1"/>
  <c r="BD27" i="16"/>
  <c r="AS27" i="16"/>
  <c r="T27" i="16"/>
  <c r="P27" i="16"/>
  <c r="E27" i="16"/>
  <c r="BA26" i="16"/>
  <c r="BA36" i="16" s="1"/>
  <c r="BG36" i="16" s="1"/>
  <c r="W26" i="16"/>
  <c r="W36" i="16" s="1"/>
  <c r="AB36" i="16" s="1"/>
  <c r="S26" i="16"/>
  <c r="S36" i="16" s="1"/>
  <c r="X36" i="16" s="1"/>
  <c r="O26" i="16"/>
  <c r="O36" i="16" s="1"/>
  <c r="V25" i="16"/>
  <c r="R25" i="16"/>
  <c r="N25" i="16"/>
  <c r="AV24" i="16"/>
  <c r="AD24" i="16"/>
  <c r="U24" i="16"/>
  <c r="Q24" i="16"/>
  <c r="I24" i="16"/>
  <c r="BD23" i="16"/>
  <c r="BD49" i="16" s="1"/>
  <c r="W23" i="16"/>
  <c r="W49" i="16" s="1"/>
  <c r="S23" i="16"/>
  <c r="S49" i="16" s="1"/>
  <c r="O23" i="16"/>
  <c r="O49" i="16" s="1"/>
  <c r="V22" i="16"/>
  <c r="V37" i="16" s="1"/>
  <c r="AA37" i="16" s="1"/>
  <c r="R22" i="16"/>
  <c r="R37" i="16" s="1"/>
  <c r="N22" i="16"/>
  <c r="N37" i="16" s="1"/>
  <c r="AS21" i="16"/>
  <c r="T21" i="16"/>
  <c r="P21" i="16"/>
  <c r="E21" i="16"/>
  <c r="BA20" i="16"/>
  <c r="W20" i="16"/>
  <c r="S20" i="16"/>
  <c r="O20" i="16"/>
  <c r="V19" i="16"/>
  <c r="V42" i="16" s="1"/>
  <c r="AA42" i="16" s="1"/>
  <c r="R19" i="16"/>
  <c r="R42" i="16" s="1"/>
  <c r="N19" i="16"/>
  <c r="N42" i="16" s="1"/>
  <c r="AV18" i="16"/>
  <c r="AD18" i="16"/>
  <c r="U18" i="16"/>
  <c r="Q18" i="16"/>
  <c r="I18" i="16"/>
  <c r="BD17" i="16"/>
  <c r="AS17" i="16"/>
  <c r="T17" i="16"/>
  <c r="P17" i="16"/>
  <c r="E17" i="16"/>
  <c r="BA16" i="16"/>
  <c r="W16" i="16"/>
  <c r="S16" i="16"/>
  <c r="O16" i="16"/>
  <c r="AV15" i="16"/>
  <c r="AV44" i="16" s="1"/>
  <c r="AD15" i="16"/>
  <c r="AD44" i="16" s="1"/>
  <c r="U15" i="16"/>
  <c r="U44" i="16" s="1"/>
  <c r="Z44" i="16" s="1"/>
  <c r="Q15" i="16"/>
  <c r="Q44" i="16" s="1"/>
  <c r="I15" i="16"/>
  <c r="I44" i="16" s="1"/>
  <c r="L44" i="16" s="1"/>
  <c r="BD14" i="16"/>
  <c r="BD34" i="16" s="1"/>
  <c r="BJ34" i="16" s="1"/>
  <c r="AS14" i="16"/>
  <c r="T14" i="16"/>
  <c r="T34" i="16" s="1"/>
  <c r="Y34" i="16" s="1"/>
  <c r="P14" i="16"/>
  <c r="P34" i="16" s="1"/>
  <c r="E14" i="16"/>
  <c r="E34" i="16" s="1"/>
  <c r="BA13" i="16"/>
  <c r="BA33" i="16" s="1"/>
  <c r="BG33" i="16" s="1"/>
  <c r="V13" i="16"/>
  <c r="V33" i="16" s="1"/>
  <c r="AA33" i="16" s="1"/>
  <c r="R13" i="16"/>
  <c r="R33" i="16" s="1"/>
  <c r="N13" i="16"/>
  <c r="N33" i="16" s="1"/>
  <c r="AV12" i="16"/>
  <c r="AD12" i="16"/>
  <c r="U12" i="16"/>
  <c r="Q12" i="16"/>
  <c r="I12" i="16"/>
  <c r="BD11" i="16"/>
  <c r="BD39" i="16" s="1"/>
  <c r="BJ39" i="16" s="1"/>
  <c r="AS11" i="16"/>
  <c r="T11" i="16"/>
  <c r="T39" i="16" s="1"/>
  <c r="Y39" i="16" s="1"/>
  <c r="P11" i="16"/>
  <c r="P39" i="16" s="1"/>
  <c r="E11" i="16"/>
  <c r="E39" i="16" s="1"/>
  <c r="BA10" i="16"/>
  <c r="BA46" i="16" s="1"/>
  <c r="W10" i="16"/>
  <c r="W46" i="16" s="1"/>
  <c r="S10" i="16"/>
  <c r="S46" i="16" s="1"/>
  <c r="O10" i="16"/>
  <c r="O46" i="16" s="1"/>
  <c r="V9" i="16"/>
  <c r="R9" i="16"/>
  <c r="N9" i="16"/>
  <c r="AV8" i="16"/>
  <c r="AV41" i="16" s="1"/>
  <c r="AD8" i="16"/>
  <c r="U8" i="16"/>
  <c r="U41" i="16" s="1"/>
  <c r="Z41" i="16" s="1"/>
  <c r="Q8" i="16"/>
  <c r="Q41" i="16" s="1"/>
  <c r="I8" i="16"/>
  <c r="I41" i="16" s="1"/>
  <c r="L41" i="16" s="1"/>
  <c r="BD7" i="16"/>
  <c r="W7" i="16"/>
  <c r="S7" i="16"/>
  <c r="O7" i="16"/>
  <c r="V6" i="16"/>
  <c r="V47" i="16" s="1"/>
  <c r="AA47" i="16" s="1"/>
  <c r="R6" i="16"/>
  <c r="R47" i="16" s="1"/>
  <c r="N6" i="16"/>
  <c r="N47" i="16" s="1"/>
  <c r="AS5" i="16"/>
  <c r="T5" i="16"/>
  <c r="P5" i="16"/>
  <c r="E5" i="16"/>
  <c r="BA4" i="16"/>
  <c r="BA40" i="16" s="1"/>
  <c r="BG40" i="16" s="1"/>
  <c r="W4" i="16"/>
  <c r="W40" i="16" s="1"/>
  <c r="AB40" i="16" s="1"/>
  <c r="S4" i="16"/>
  <c r="S40" i="16" s="1"/>
  <c r="X40" i="16" s="1"/>
  <c r="O4" i="16"/>
  <c r="O40" i="16" s="1"/>
  <c r="V3" i="16"/>
  <c r="V32" i="16" s="1"/>
  <c r="R3" i="16"/>
  <c r="R32" i="16" s="1"/>
  <c r="N3" i="16"/>
  <c r="N32" i="16" s="1"/>
  <c r="AV2" i="16"/>
  <c r="AV38" i="16" s="1"/>
  <c r="V30" i="16"/>
  <c r="V35" i="16" s="1"/>
  <c r="AA35" i="16" s="1"/>
  <c r="R30" i="16"/>
  <c r="R35" i="16" s="1"/>
  <c r="N30" i="16"/>
  <c r="N35" i="16" s="1"/>
  <c r="AV29" i="16"/>
  <c r="AD29" i="16"/>
  <c r="U29" i="16"/>
  <c r="Q29" i="16"/>
  <c r="I29" i="16"/>
  <c r="BD28" i="16"/>
  <c r="BD43" i="16" s="1"/>
  <c r="BJ43" i="16" s="1"/>
  <c r="AS28" i="16"/>
  <c r="T28" i="16"/>
  <c r="T43" i="16" s="1"/>
  <c r="Y43" i="16" s="1"/>
  <c r="P28" i="16"/>
  <c r="P43" i="16" s="1"/>
  <c r="E28" i="16"/>
  <c r="E43" i="16" s="1"/>
  <c r="BA27" i="16"/>
  <c r="W27" i="16"/>
  <c r="S27" i="16"/>
  <c r="O27" i="16"/>
  <c r="V26" i="16"/>
  <c r="V36" i="16" s="1"/>
  <c r="AA36" i="16" s="1"/>
  <c r="R26" i="16"/>
  <c r="R36" i="16" s="1"/>
  <c r="N26" i="16"/>
  <c r="N36" i="16" s="1"/>
  <c r="AV25" i="16"/>
  <c r="AD25" i="16"/>
  <c r="U25" i="16"/>
  <c r="Q25" i="16"/>
  <c r="I25" i="16"/>
  <c r="BD24" i="16"/>
  <c r="AS24" i="16"/>
  <c r="T24" i="16"/>
  <c r="P24" i="16"/>
  <c r="E24" i="16"/>
  <c r="BA23" i="16"/>
  <c r="BA49" i="16" s="1"/>
  <c r="V23" i="16"/>
  <c r="V49" i="16" s="1"/>
  <c r="R23" i="16"/>
  <c r="R49" i="16" s="1"/>
  <c r="N23" i="16"/>
  <c r="N49" i="16" s="1"/>
  <c r="AV22" i="16"/>
  <c r="AV37" i="16" s="1"/>
  <c r="AD22" i="16"/>
  <c r="AD37" i="16" s="1"/>
  <c r="U22" i="16"/>
  <c r="U37" i="16" s="1"/>
  <c r="Z37" i="16" s="1"/>
  <c r="Q22" i="16"/>
  <c r="Q37" i="16" s="1"/>
  <c r="I22" i="16"/>
  <c r="I37" i="16" s="1"/>
  <c r="L37" i="16" s="1"/>
  <c r="BD21" i="16"/>
  <c r="W21" i="16"/>
  <c r="S21" i="16"/>
  <c r="O21" i="16"/>
  <c r="V20" i="16"/>
  <c r="R20" i="16"/>
  <c r="N20" i="16"/>
  <c r="AV19" i="16"/>
  <c r="AV42" i="16" s="1"/>
  <c r="AD19" i="16"/>
  <c r="AD42" i="16" s="1"/>
  <c r="U19" i="16"/>
  <c r="U42" i="16" s="1"/>
  <c r="Z42" i="16" s="1"/>
  <c r="Q19" i="16"/>
  <c r="Q42" i="16" s="1"/>
  <c r="I19" i="16"/>
  <c r="I42" i="16" s="1"/>
  <c r="L42" i="16" s="1"/>
  <c r="BD18" i="16"/>
  <c r="AS18" i="16"/>
  <c r="T18" i="16"/>
  <c r="P18" i="16"/>
  <c r="E18" i="16"/>
  <c r="BA17" i="16"/>
  <c r="W17" i="16"/>
  <c r="S17" i="16"/>
  <c r="O17" i="16"/>
  <c r="V16" i="16"/>
  <c r="R16" i="16"/>
  <c r="N16" i="16"/>
  <c r="AS15" i="16"/>
  <c r="T15" i="16"/>
  <c r="T44" i="16" s="1"/>
  <c r="Y44" i="16" s="1"/>
  <c r="P15" i="16"/>
  <c r="P44" i="16" s="1"/>
  <c r="E15" i="16"/>
  <c r="E44" i="16" s="1"/>
  <c r="BA14" i="16"/>
  <c r="BA34" i="16" s="1"/>
  <c r="BG34" i="16" s="1"/>
  <c r="W14" i="16"/>
  <c r="W34" i="16" s="1"/>
  <c r="AB34" i="16" s="1"/>
  <c r="S14" i="16"/>
  <c r="S34" i="16" s="1"/>
  <c r="X34" i="16" s="1"/>
  <c r="O14" i="16"/>
  <c r="O34" i="16" s="1"/>
  <c r="AV13" i="16"/>
  <c r="AV33" i="16" s="1"/>
  <c r="AD13" i="16"/>
  <c r="AD33" i="16" s="1"/>
  <c r="U13" i="16"/>
  <c r="U33" i="16" s="1"/>
  <c r="Z33" i="16" s="1"/>
  <c r="Q13" i="16"/>
  <c r="Q33" i="16" s="1"/>
  <c r="I13" i="16"/>
  <c r="I33" i="16" s="1"/>
  <c r="L33" i="16" s="1"/>
  <c r="BD12" i="16"/>
  <c r="AS12" i="16"/>
  <c r="T12" i="16"/>
  <c r="P12" i="16"/>
  <c r="E12" i="16"/>
  <c r="BA11" i="16"/>
  <c r="BA39" i="16" s="1"/>
  <c r="BG39" i="16" s="1"/>
  <c r="W11" i="16"/>
  <c r="W39" i="16" s="1"/>
  <c r="AB39" i="16" s="1"/>
  <c r="S11" i="16"/>
  <c r="S39" i="16" s="1"/>
  <c r="X39" i="16" s="1"/>
  <c r="O11" i="16"/>
  <c r="O39" i="16" s="1"/>
  <c r="V10" i="16"/>
  <c r="V46" i="16" s="1"/>
  <c r="R10" i="16"/>
  <c r="R46" i="16" s="1"/>
  <c r="R45" i="16" s="1"/>
  <c r="N10" i="16"/>
  <c r="N46" i="16" s="1"/>
  <c r="N45" i="16" s="1"/>
  <c r="AV9" i="16"/>
  <c r="AD9" i="16"/>
  <c r="U9" i="16"/>
  <c r="Q9" i="16"/>
  <c r="I9" i="16"/>
  <c r="BD8" i="16"/>
  <c r="BD41" i="16" s="1"/>
  <c r="BJ41" i="16" s="1"/>
  <c r="AS8" i="16"/>
  <c r="T8" i="16"/>
  <c r="T41" i="16" s="1"/>
  <c r="Y41" i="16" s="1"/>
  <c r="P8" i="16"/>
  <c r="P41" i="16" s="1"/>
  <c r="E8" i="16"/>
  <c r="E41" i="16" s="1"/>
  <c r="BA7" i="16"/>
  <c r="V7" i="16"/>
  <c r="R7" i="16"/>
  <c r="N7" i="16"/>
  <c r="AV6" i="16"/>
  <c r="AV47" i="16" s="1"/>
  <c r="AD6" i="16"/>
  <c r="AD47" i="16" s="1"/>
  <c r="U6" i="16"/>
  <c r="U47" i="16" s="1"/>
  <c r="Z47" i="16" s="1"/>
  <c r="Q6" i="16"/>
  <c r="Q47" i="16" s="1"/>
  <c r="I6" i="16"/>
  <c r="I47" i="16" s="1"/>
  <c r="L47" i="16" s="1"/>
  <c r="BD5" i="16"/>
  <c r="W5" i="16"/>
  <c r="S5" i="16"/>
  <c r="O5" i="16"/>
  <c r="V4" i="16"/>
  <c r="V40" i="16" s="1"/>
  <c r="AA40" i="16" s="1"/>
  <c r="R4" i="16"/>
  <c r="R40" i="16" s="1"/>
  <c r="N4" i="16"/>
  <c r="N40" i="16" s="1"/>
  <c r="AV3" i="16"/>
  <c r="AV32" i="16" s="1"/>
  <c r="AD3" i="16"/>
  <c r="AD32" i="16" s="1"/>
  <c r="U3" i="16"/>
  <c r="U32" i="16" s="1"/>
  <c r="Q3" i="16"/>
  <c r="Q32" i="16" s="1"/>
  <c r="I3" i="16"/>
  <c r="I32" i="16" s="1"/>
  <c r="BD2" i="16"/>
  <c r="BD38" i="16" s="1"/>
  <c r="BJ38" i="16" s="1"/>
  <c r="AS2" i="16"/>
  <c r="T2" i="16"/>
  <c r="T38" i="16" s="1"/>
  <c r="Y38" i="16" s="1"/>
  <c r="P2" i="16"/>
  <c r="P38" i="16" s="1"/>
  <c r="E2" i="16"/>
  <c r="E38" i="16" s="1"/>
  <c r="AV30" i="16"/>
  <c r="AV35" i="16" s="1"/>
  <c r="U30" i="16"/>
  <c r="U35" i="16" s="1"/>
  <c r="Z35" i="16" s="1"/>
  <c r="I30" i="16"/>
  <c r="I35" i="16" s="1"/>
  <c r="L35" i="16" s="1"/>
  <c r="AS29" i="16"/>
  <c r="T29" i="16"/>
  <c r="E29" i="16"/>
  <c r="S28" i="16"/>
  <c r="S43" i="16" s="1"/>
  <c r="X43" i="16" s="1"/>
  <c r="R27" i="16"/>
  <c r="AD26" i="16"/>
  <c r="AD36" i="16" s="1"/>
  <c r="Q26" i="16"/>
  <c r="Q36" i="16" s="1"/>
  <c r="BD25" i="16"/>
  <c r="P25" i="16"/>
  <c r="BA24" i="16"/>
  <c r="W24" i="16"/>
  <c r="O24" i="16"/>
  <c r="AV23" i="16"/>
  <c r="AV49" i="16" s="1"/>
  <c r="U23" i="16"/>
  <c r="U49" i="16" s="1"/>
  <c r="I23" i="16"/>
  <c r="I49" i="16" s="1"/>
  <c r="AS22" i="16"/>
  <c r="T22" i="16"/>
  <c r="T37" i="16" s="1"/>
  <c r="Y37" i="16" s="1"/>
  <c r="E22" i="16"/>
  <c r="E37" i="16" s="1"/>
  <c r="R21" i="16"/>
  <c r="AD20" i="16"/>
  <c r="AE20" i="16" s="1"/>
  <c r="Q20" i="16"/>
  <c r="BD19" i="16"/>
  <c r="BD42" i="16" s="1"/>
  <c r="BJ42" i="16" s="1"/>
  <c r="P19" i="16"/>
  <c r="P42" i="16" s="1"/>
  <c r="BA18" i="16"/>
  <c r="W18" i="16"/>
  <c r="O18" i="16"/>
  <c r="V17" i="16"/>
  <c r="N17" i="16"/>
  <c r="AV16" i="16"/>
  <c r="U16" i="16"/>
  <c r="I16" i="16"/>
  <c r="S15" i="16"/>
  <c r="S44" i="16" s="1"/>
  <c r="X44" i="16" s="1"/>
  <c r="R14" i="16"/>
  <c r="R34" i="16" s="1"/>
  <c r="P13" i="16"/>
  <c r="P33" i="16" s="1"/>
  <c r="BA12" i="16"/>
  <c r="W12" i="16"/>
  <c r="O12" i="16"/>
  <c r="V11" i="16"/>
  <c r="V39" i="16" s="1"/>
  <c r="AA39" i="16" s="1"/>
  <c r="N11" i="16"/>
  <c r="N39" i="16" s="1"/>
  <c r="AV10" i="16"/>
  <c r="AV46" i="16" s="1"/>
  <c r="AV45" i="16" s="1"/>
  <c r="U10" i="16"/>
  <c r="U46" i="16" s="1"/>
  <c r="I10" i="16"/>
  <c r="I46" i="16" s="1"/>
  <c r="AS9" i="16"/>
  <c r="T9" i="16"/>
  <c r="E9" i="16"/>
  <c r="S8" i="16"/>
  <c r="S41" i="16" s="1"/>
  <c r="X41" i="16" s="1"/>
  <c r="AD7" i="16"/>
  <c r="Q7" i="16"/>
  <c r="BD6" i="16"/>
  <c r="BD47" i="16" s="1"/>
  <c r="BJ47" i="16" s="1"/>
  <c r="P6" i="16"/>
  <c r="P47" i="16" s="1"/>
  <c r="BA5" i="16"/>
  <c r="V5" i="16"/>
  <c r="N5" i="16"/>
  <c r="AV4" i="16"/>
  <c r="AV40" i="16" s="1"/>
  <c r="U4" i="16"/>
  <c r="U40" i="16" s="1"/>
  <c r="Z40" i="16" s="1"/>
  <c r="I4" i="16"/>
  <c r="I40" i="16" s="1"/>
  <c r="L40" i="16" s="1"/>
  <c r="AS3" i="16"/>
  <c r="T3" i="16"/>
  <c r="T32" i="16" s="1"/>
  <c r="E3" i="16"/>
  <c r="E32" i="16" s="1"/>
  <c r="V2" i="16"/>
  <c r="V38" i="16" s="1"/>
  <c r="AA38" i="16" s="1"/>
  <c r="Q2" i="16"/>
  <c r="Q38" i="16" s="1"/>
  <c r="AS30" i="16"/>
  <c r="T30" i="16"/>
  <c r="T35" i="16" s="1"/>
  <c r="Y35" i="16" s="1"/>
  <c r="E30" i="16"/>
  <c r="E35" i="16" s="1"/>
  <c r="S29" i="16"/>
  <c r="R28" i="16"/>
  <c r="R43" i="16" s="1"/>
  <c r="AD27" i="16"/>
  <c r="Q27" i="16"/>
  <c r="BD26" i="16"/>
  <c r="BD36" i="16" s="1"/>
  <c r="BJ36" i="16" s="1"/>
  <c r="P26" i="16"/>
  <c r="P36" i="16" s="1"/>
  <c r="BA25" i="16"/>
  <c r="W25" i="16"/>
  <c r="O25" i="16"/>
  <c r="V24" i="16"/>
  <c r="N24" i="16"/>
  <c r="AS23" i="16"/>
  <c r="T23" i="16"/>
  <c r="T49" i="16" s="1"/>
  <c r="E23" i="16"/>
  <c r="E49" i="16" s="1"/>
  <c r="S22" i="16"/>
  <c r="S37" i="16" s="1"/>
  <c r="X37" i="16" s="1"/>
  <c r="AD21" i="16"/>
  <c r="Q21" i="16"/>
  <c r="BD20" i="16"/>
  <c r="P20" i="16"/>
  <c r="BA19" i="16"/>
  <c r="BA42" i="16" s="1"/>
  <c r="BG42" i="16" s="1"/>
  <c r="W19" i="16"/>
  <c r="W42" i="16" s="1"/>
  <c r="AB42" i="16" s="1"/>
  <c r="O19" i="16"/>
  <c r="O42" i="16" s="1"/>
  <c r="V18" i="16"/>
  <c r="N18" i="16"/>
  <c r="AV17" i="16"/>
  <c r="U17" i="16"/>
  <c r="I17" i="16"/>
  <c r="AS16" i="16"/>
  <c r="T16" i="16"/>
  <c r="E16" i="16"/>
  <c r="R15" i="16"/>
  <c r="R44" i="16" s="1"/>
  <c r="AD14" i="16"/>
  <c r="AD34" i="16" s="1"/>
  <c r="Q14" i="16"/>
  <c r="Q34" i="16" s="1"/>
  <c r="BD13" i="16"/>
  <c r="BD33" i="16" s="1"/>
  <c r="BJ33" i="16" s="1"/>
  <c r="W13" i="16"/>
  <c r="W33" i="16" s="1"/>
  <c r="AB33" i="16" s="1"/>
  <c r="O13" i="16"/>
  <c r="O33" i="16" s="1"/>
  <c r="V12" i="16"/>
  <c r="N12" i="16"/>
  <c r="AV11" i="16"/>
  <c r="AV39" i="16" s="1"/>
  <c r="U11" i="16"/>
  <c r="U39" i="16" s="1"/>
  <c r="Z39" i="16" s="1"/>
  <c r="I11" i="16"/>
  <c r="I39" i="16" s="1"/>
  <c r="L39" i="16" s="1"/>
  <c r="AS10" i="16"/>
  <c r="T10" i="16"/>
  <c r="T46" i="16" s="1"/>
  <c r="E10" i="16"/>
  <c r="E46" i="16" s="1"/>
  <c r="S9" i="16"/>
  <c r="R8" i="16"/>
  <c r="R41" i="16" s="1"/>
  <c r="P7" i="16"/>
  <c r="BA6" i="16"/>
  <c r="BA47" i="16" s="1"/>
  <c r="BG47" i="16" s="1"/>
  <c r="W6" i="16"/>
  <c r="W47" i="16" s="1"/>
  <c r="AB47" i="16" s="1"/>
  <c r="O6" i="16"/>
  <c r="O47" i="16" s="1"/>
  <c r="AV5" i="16"/>
  <c r="U5" i="16"/>
  <c r="I5" i="16"/>
  <c r="AS4" i="16"/>
  <c r="T4" i="16"/>
  <c r="T40" i="16" s="1"/>
  <c r="Y40" i="16" s="1"/>
  <c r="E4" i="16"/>
  <c r="E40" i="16" s="1"/>
  <c r="S3" i="16"/>
  <c r="S32" i="16" s="1"/>
  <c r="U2" i="16"/>
  <c r="U38" i="16" s="1"/>
  <c r="Z38" i="16" s="1"/>
  <c r="O2" i="16"/>
  <c r="O38" i="16" s="1"/>
  <c r="AD30" i="16"/>
  <c r="AD35" i="16" s="1"/>
  <c r="BD29" i="16"/>
  <c r="P29" i="16"/>
  <c r="W28" i="16"/>
  <c r="W43" i="16" s="1"/>
  <c r="AB43" i="16" s="1"/>
  <c r="N27" i="16"/>
  <c r="U26" i="16"/>
  <c r="U36" i="16" s="1"/>
  <c r="Z36" i="16" s="1"/>
  <c r="AS25" i="16"/>
  <c r="E25" i="16"/>
  <c r="S24" i="16"/>
  <c r="AD23" i="16"/>
  <c r="AD49" i="16" s="1"/>
  <c r="BD22" i="16"/>
  <c r="BD37" i="16" s="1"/>
  <c r="BJ37" i="16" s="1"/>
  <c r="P22" i="16"/>
  <c r="P37" i="16" s="1"/>
  <c r="V21" i="16"/>
  <c r="AV20" i="16"/>
  <c r="I20" i="16"/>
  <c r="T19" i="16"/>
  <c r="T42" i="16" s="1"/>
  <c r="Y42" i="16" s="1"/>
  <c r="R17" i="16"/>
  <c r="AD16" i="16"/>
  <c r="BD15" i="16"/>
  <c r="BD44" i="16" s="1"/>
  <c r="BJ44" i="16" s="1"/>
  <c r="O15" i="16"/>
  <c r="O44" i="16" s="1"/>
  <c r="V14" i="16"/>
  <c r="V34" i="16" s="1"/>
  <c r="AA34" i="16" s="1"/>
  <c r="AS13" i="16"/>
  <c r="E13" i="16"/>
  <c r="E33" i="16" s="1"/>
  <c r="S12" i="16"/>
  <c r="Q10" i="16"/>
  <c r="Q46" i="16" s="1"/>
  <c r="BA8" i="16"/>
  <c r="BA41" i="16" s="1"/>
  <c r="BG41" i="16" s="1"/>
  <c r="O8" i="16"/>
  <c r="O41" i="16" s="1"/>
  <c r="U7" i="16"/>
  <c r="AS6" i="16"/>
  <c r="E6" i="16"/>
  <c r="E47" i="16" s="1"/>
  <c r="R5" i="16"/>
  <c r="AD4" i="16"/>
  <c r="BD3" i="16"/>
  <c r="BD32" i="16" s="1"/>
  <c r="P3" i="16"/>
  <c r="P32" i="16" s="1"/>
  <c r="AD2" i="16"/>
  <c r="AD38" i="16" s="1"/>
  <c r="N2" i="16"/>
  <c r="N38" i="16" s="1"/>
  <c r="BB30" i="16"/>
  <c r="BB35" i="16" s="1"/>
  <c r="BH35" i="16" s="1"/>
  <c r="AG30" i="16"/>
  <c r="AG35" i="16" s="1"/>
  <c r="AI35" i="16" s="1"/>
  <c r="AY26" i="16"/>
  <c r="AY36" i="16" s="1"/>
  <c r="BE36" i="16" s="1"/>
  <c r="AY22" i="16"/>
  <c r="AY37" i="16" s="1"/>
  <c r="BE37" i="16" s="1"/>
  <c r="AG22" i="16"/>
  <c r="AY21" i="16"/>
  <c r="AG21" i="16"/>
  <c r="BB20" i="16"/>
  <c r="AG19" i="16"/>
  <c r="AY16" i="16"/>
  <c r="AG16" i="16"/>
  <c r="AG15" i="16"/>
  <c r="BB14" i="16"/>
  <c r="BB34" i="16" s="1"/>
  <c r="BH34" i="16" s="1"/>
  <c r="AG14" i="16"/>
  <c r="AG13" i="16"/>
  <c r="BB12" i="16"/>
  <c r="AG12" i="16"/>
  <c r="AY11" i="16"/>
  <c r="AY39" i="16" s="1"/>
  <c r="BE39" i="16" s="1"/>
  <c r="AY9" i="16"/>
  <c r="AG9" i="16"/>
  <c r="AY5" i="16"/>
  <c r="AG5" i="16"/>
  <c r="BB4" i="16"/>
  <c r="BB40" i="16" s="1"/>
  <c r="BH40" i="16" s="1"/>
  <c r="AG3" i="16"/>
  <c r="AG32" i="16" s="1"/>
  <c r="AY2" i="16"/>
  <c r="AY38" i="16" s="1"/>
  <c r="BE38" i="16" s="1"/>
  <c r="BA29" i="16"/>
  <c r="O29" i="16"/>
  <c r="V28" i="16"/>
  <c r="V43" i="16" s="1"/>
  <c r="AA43" i="16" s="1"/>
  <c r="AV27" i="16"/>
  <c r="I27" i="16"/>
  <c r="T26" i="16"/>
  <c r="T36" i="16" s="1"/>
  <c r="Y36" i="16" s="1"/>
  <c r="R24" i="16"/>
  <c r="BA22" i="16"/>
  <c r="BA37" i="16" s="1"/>
  <c r="BG37" i="16" s="1"/>
  <c r="O22" i="16"/>
  <c r="O37" i="16" s="1"/>
  <c r="U21" i="16"/>
  <c r="AS20" i="16"/>
  <c r="E20" i="16"/>
  <c r="S19" i="16"/>
  <c r="S42" i="16" s="1"/>
  <c r="X42" i="16" s="1"/>
  <c r="Q17" i="16"/>
  <c r="BA15" i="16"/>
  <c r="BA44" i="16" s="1"/>
  <c r="BG44" i="16" s="1"/>
  <c r="N15" i="16"/>
  <c r="N44" i="16" s="1"/>
  <c r="U14" i="16"/>
  <c r="U34" i="16" s="1"/>
  <c r="Z34" i="16" s="1"/>
  <c r="R12" i="16"/>
  <c r="AD11" i="16"/>
  <c r="AD39" i="16" s="1"/>
  <c r="BD10" i="16"/>
  <c r="BD46" i="16" s="1"/>
  <c r="P10" i="16"/>
  <c r="P46" i="16" s="1"/>
  <c r="P45" i="16" s="1"/>
  <c r="W9" i="16"/>
  <c r="N8" i="16"/>
  <c r="N41" i="16" s="1"/>
  <c r="T7" i="16"/>
  <c r="Q5" i="16"/>
  <c r="BA3" i="16"/>
  <c r="BA32" i="16" s="1"/>
  <c r="O3" i="16"/>
  <c r="O32" i="16" s="1"/>
  <c r="O31" i="16" s="1"/>
  <c r="W2" i="16"/>
  <c r="W38" i="16" s="1"/>
  <c r="AB38" i="16" s="1"/>
  <c r="I2" i="16"/>
  <c r="I38" i="16" s="1"/>
  <c r="L38" i="16" s="1"/>
  <c r="AY30" i="16"/>
  <c r="AY35" i="16" s="1"/>
  <c r="BE35" i="16" s="1"/>
  <c r="BB29" i="16"/>
  <c r="BB25" i="16"/>
  <c r="BB23" i="16"/>
  <c r="BB49" i="16" s="1"/>
  <c r="AY20" i="16"/>
  <c r="AG20" i="16"/>
  <c r="AY19" i="16"/>
  <c r="AY42" i="16" s="1"/>
  <c r="BE42" i="16" s="1"/>
  <c r="BB18" i="16"/>
  <c r="AG18" i="16"/>
  <c r="AY15" i="16"/>
  <c r="AY44" i="16" s="1"/>
  <c r="BE44" i="16" s="1"/>
  <c r="AY14" i="16"/>
  <c r="AY34" i="16" s="1"/>
  <c r="BE34" i="16" s="1"/>
  <c r="AY13" i="16"/>
  <c r="AY33" i="16" s="1"/>
  <c r="BE33" i="16" s="1"/>
  <c r="AY12" i="16"/>
  <c r="BB8" i="16"/>
  <c r="BB41" i="16" s="1"/>
  <c r="BH41" i="16" s="1"/>
  <c r="BB3" i="16"/>
  <c r="BB32" i="16" s="1"/>
  <c r="Q30" i="16"/>
  <c r="Q35" i="16" s="1"/>
  <c r="BA28" i="16"/>
  <c r="BA43" i="16" s="1"/>
  <c r="BG43" i="16" s="1"/>
  <c r="V27" i="16"/>
  <c r="I26" i="16"/>
  <c r="I36" i="16" s="1"/>
  <c r="L36" i="16" s="1"/>
  <c r="Q23" i="16"/>
  <c r="Q49" i="16" s="1"/>
  <c r="BA21" i="16"/>
  <c r="U20" i="16"/>
  <c r="E19" i="16"/>
  <c r="E42" i="16" s="1"/>
  <c r="Q16" i="16"/>
  <c r="T13" i="16"/>
  <c r="T33" i="16" s="1"/>
  <c r="Y33" i="16" s="1"/>
  <c r="AD10" i="16"/>
  <c r="AD46" i="16" s="1"/>
  <c r="AD45" i="16" s="1"/>
  <c r="P9" i="16"/>
  <c r="AV7" i="16"/>
  <c r="T6" i="16"/>
  <c r="T47" i="16" s="1"/>
  <c r="Y47" i="16" s="1"/>
  <c r="S2" i="16"/>
  <c r="S38" i="16" s="1"/>
  <c r="X38" i="16" s="1"/>
  <c r="AY29" i="16"/>
  <c r="BB28" i="16"/>
  <c r="BB43" i="16" s="1"/>
  <c r="BH43" i="16" s="1"/>
  <c r="BB27" i="16"/>
  <c r="AY25" i="16"/>
  <c r="BB24" i="16"/>
  <c r="AY18" i="16"/>
  <c r="BB17" i="16"/>
  <c r="BB10" i="16"/>
  <c r="BB46" i="16" s="1"/>
  <c r="AG10" i="16"/>
  <c r="AG46" i="16" s="1"/>
  <c r="AY8" i="16"/>
  <c r="AY41" i="16" s="1"/>
  <c r="BE41" i="16" s="1"/>
  <c r="AG8" i="16"/>
  <c r="AG7" i="16"/>
  <c r="AY4" i="16"/>
  <c r="AY40" i="16" s="1"/>
  <c r="BE40" i="16" s="1"/>
  <c r="AG4" i="16"/>
  <c r="AG2" i="16"/>
  <c r="P30" i="16"/>
  <c r="P35" i="16" s="1"/>
  <c r="U27" i="16"/>
  <c r="E26" i="16"/>
  <c r="E36" i="16" s="1"/>
  <c r="P23" i="16"/>
  <c r="P49" i="16" s="1"/>
  <c r="AV21" i="16"/>
  <c r="T20" i="16"/>
  <c r="AD17" i="16"/>
  <c r="P16" i="16"/>
  <c r="AV14" i="16"/>
  <c r="AV34" i="16" s="1"/>
  <c r="S13" i="16"/>
  <c r="S33" i="16" s="1"/>
  <c r="X33" i="16" s="1"/>
  <c r="O9" i="16"/>
  <c r="AS7" i="16"/>
  <c r="S6" i="16"/>
  <c r="S47" i="16" s="1"/>
  <c r="X47" i="16" s="1"/>
  <c r="BD4" i="16"/>
  <c r="BD40" i="16" s="1"/>
  <c r="BJ40" i="16" s="1"/>
  <c r="W3" i="16"/>
  <c r="W32" i="16" s="1"/>
  <c r="R2" i="16"/>
  <c r="R38" i="16" s="1"/>
  <c r="AY28" i="16"/>
  <c r="AY43" i="16" s="1"/>
  <c r="BE43" i="16" s="1"/>
  <c r="AG28" i="16"/>
  <c r="AY27" i="16"/>
  <c r="BB26" i="16"/>
  <c r="BB36" i="16" s="1"/>
  <c r="BH36" i="16" s="1"/>
  <c r="AG26" i="16"/>
  <c r="AY24" i="16"/>
  <c r="AG23" i="16"/>
  <c r="AG49" i="16" s="1"/>
  <c r="BB19" i="16"/>
  <c r="BB42" i="16" s="1"/>
  <c r="BH42" i="16" s="1"/>
  <c r="AY17" i="16"/>
  <c r="BB16" i="16"/>
  <c r="BB13" i="16"/>
  <c r="BB33" i="16" s="1"/>
  <c r="BH33" i="16" s="1"/>
  <c r="BB11" i="16"/>
  <c r="BB39" i="16" s="1"/>
  <c r="BH39" i="16" s="1"/>
  <c r="AG11" i="16"/>
  <c r="AY10" i="16"/>
  <c r="AY46" i="16" s="1"/>
  <c r="BB2" i="16"/>
  <c r="BB38" i="16" s="1"/>
  <c r="BH38" i="16" s="1"/>
  <c r="O28" i="16"/>
  <c r="O43" i="16" s="1"/>
  <c r="AV26" i="16"/>
  <c r="AV36" i="16" s="1"/>
  <c r="T25" i="16"/>
  <c r="N21" i="16"/>
  <c r="AS19" i="16"/>
  <c r="S18" i="16"/>
  <c r="W15" i="16"/>
  <c r="W44" i="16" s="1"/>
  <c r="AB44" i="16" s="1"/>
  <c r="N14" i="16"/>
  <c r="N34" i="16" s="1"/>
  <c r="R11" i="16"/>
  <c r="R39" i="16" s="1"/>
  <c r="BD9" i="16"/>
  <c r="W8" i="16"/>
  <c r="W41" i="16" s="1"/>
  <c r="AB41" i="16" s="1"/>
  <c r="I7" i="16"/>
  <c r="Q4" i="16"/>
  <c r="Q40" i="16" s="1"/>
  <c r="BA2" i="16"/>
  <c r="BA38" i="16" s="1"/>
  <c r="BG38" i="16" s="1"/>
  <c r="AS26" i="16"/>
  <c r="I21" i="16"/>
  <c r="V15" i="16"/>
  <c r="V44" i="16" s="1"/>
  <c r="AA44" i="16" s="1"/>
  <c r="BA9" i="16"/>
  <c r="P4" i="16"/>
  <c r="P40" i="16" s="1"/>
  <c r="BD30" i="16"/>
  <c r="BD35" i="16" s="1"/>
  <c r="BJ35" i="16" s="1"/>
  <c r="S25" i="16"/>
  <c r="I14" i="16"/>
  <c r="I34" i="16" s="1"/>
  <c r="L34" i="16" s="1"/>
  <c r="V8" i="16"/>
  <c r="V41" i="16" s="1"/>
  <c r="AA41" i="16" s="1"/>
  <c r="BB9" i="16"/>
  <c r="AY6" i="16"/>
  <c r="AY47" i="16" s="1"/>
  <c r="BE47" i="16" s="1"/>
  <c r="W29" i="16"/>
  <c r="R18" i="16"/>
  <c r="E7" i="16"/>
  <c r="BB7" i="16"/>
  <c r="BD16" i="16"/>
  <c r="AG24" i="16"/>
  <c r="BB15" i="16"/>
  <c r="BB44" i="16" s="1"/>
  <c r="BH44" i="16" s="1"/>
  <c r="AY7" i="16"/>
  <c r="BB5" i="16"/>
  <c r="Q11" i="16"/>
  <c r="Q39" i="16" s="1"/>
  <c r="AY23" i="16"/>
  <c r="AY49" i="16" s="1"/>
  <c r="BB6" i="16"/>
  <c r="BB47" i="16" s="1"/>
  <c r="BH47" i="16" s="1"/>
  <c r="AY3" i="16"/>
  <c r="AY32" i="16" s="1"/>
  <c r="N28" i="16"/>
  <c r="N43" i="16" s="1"/>
  <c r="AD5" i="16"/>
  <c r="BB21" i="16"/>
  <c r="AG17" i="16"/>
  <c r="AG6" i="16"/>
  <c r="W22" i="16"/>
  <c r="W37" i="16" s="1"/>
  <c r="AB37" i="16" s="1"/>
  <c r="AG29" i="16"/>
  <c r="AG27" i="16"/>
  <c r="AG25" i="16"/>
  <c r="BB22" i="16"/>
  <c r="BB37" i="16" s="1"/>
  <c r="BH37" i="16" s="1"/>
  <c r="BD6" i="37"/>
  <c r="BD47" i="37" s="1"/>
  <c r="BJ47" i="37" s="1"/>
  <c r="BD10" i="37"/>
  <c r="BD46" i="37" s="1"/>
  <c r="BD14" i="37"/>
  <c r="BD34" i="37" s="1"/>
  <c r="BJ34" i="37" s="1"/>
  <c r="BD18" i="37"/>
  <c r="BD22" i="37"/>
  <c r="BD37" i="37" s="1"/>
  <c r="BJ37" i="37" s="1"/>
  <c r="BD26" i="37"/>
  <c r="BD36" i="37" s="1"/>
  <c r="BJ36" i="37" s="1"/>
  <c r="BD30" i="37"/>
  <c r="BD35" i="37" s="1"/>
  <c r="BJ35" i="37" s="1"/>
  <c r="BA4" i="37"/>
  <c r="BA40" i="37" s="1"/>
  <c r="BG40" i="37" s="1"/>
  <c r="BA8" i="37"/>
  <c r="BA41" i="37" s="1"/>
  <c r="BG41" i="37" s="1"/>
  <c r="BA12" i="37"/>
  <c r="BA16" i="37"/>
  <c r="BA20" i="37"/>
  <c r="BA24" i="37"/>
  <c r="BA28" i="37"/>
  <c r="BA43" i="37" s="1"/>
  <c r="BG43" i="37" s="1"/>
  <c r="AS30" i="37"/>
  <c r="AS28" i="37"/>
  <c r="AS26" i="37"/>
  <c r="AS24" i="37"/>
  <c r="AS22" i="37"/>
  <c r="AS20" i="37"/>
  <c r="AS18" i="37"/>
  <c r="AS16" i="37"/>
  <c r="AS14" i="37"/>
  <c r="AS12" i="37"/>
  <c r="AS10" i="37"/>
  <c r="AS8" i="37"/>
  <c r="AS6" i="37"/>
  <c r="AS4" i="37"/>
  <c r="AS2" i="37"/>
  <c r="AY6" i="37"/>
  <c r="AY47" i="37" s="1"/>
  <c r="BE47" i="37" s="1"/>
  <c r="AY10" i="37"/>
  <c r="AY46" i="37" s="1"/>
  <c r="AY14" i="37"/>
  <c r="AY34" i="37" s="1"/>
  <c r="BE34" i="37" s="1"/>
  <c r="AY18" i="37"/>
  <c r="AY22" i="37"/>
  <c r="AY37" i="37" s="1"/>
  <c r="BE37" i="37" s="1"/>
  <c r="AY26" i="37"/>
  <c r="AY36" i="37" s="1"/>
  <c r="BE36" i="37" s="1"/>
  <c r="AY30" i="37"/>
  <c r="AY35" i="37" s="1"/>
  <c r="BE35" i="37" s="1"/>
  <c r="BB6" i="37"/>
  <c r="BB47" i="37" s="1"/>
  <c r="BH47" i="37" s="1"/>
  <c r="BB10" i="37"/>
  <c r="BB46" i="37" s="1"/>
  <c r="BB14" i="37"/>
  <c r="BB34" i="37" s="1"/>
  <c r="BH34" i="37" s="1"/>
  <c r="BB18" i="37"/>
  <c r="BB22" i="37"/>
  <c r="BB37" i="37" s="1"/>
  <c r="BH37" i="37" s="1"/>
  <c r="BB26" i="37"/>
  <c r="BB36" i="37" s="1"/>
  <c r="BH36" i="37" s="1"/>
  <c r="BB30" i="37"/>
  <c r="BB35" i="37" s="1"/>
  <c r="BH35" i="37" s="1"/>
  <c r="S3" i="37"/>
  <c r="S32" i="37" s="1"/>
  <c r="W3" i="37"/>
  <c r="W32" i="37" s="1"/>
  <c r="V4" i="37"/>
  <c r="V40" i="37" s="1"/>
  <c r="AA40" i="37" s="1"/>
  <c r="U5" i="37"/>
  <c r="T6" i="37"/>
  <c r="Y47" i="37" s="1"/>
  <c r="S7" i="37"/>
  <c r="W7" i="37"/>
  <c r="V8" i="37"/>
  <c r="V41" i="37" s="1"/>
  <c r="AA41" i="37" s="1"/>
  <c r="U9" i="37"/>
  <c r="T10" i="37"/>
  <c r="T46" i="37" s="1"/>
  <c r="S11" i="37"/>
  <c r="S39" i="37" s="1"/>
  <c r="X39" i="37" s="1"/>
  <c r="W11" i="37"/>
  <c r="W39" i="37" s="1"/>
  <c r="AB39" i="37" s="1"/>
  <c r="V12" i="37"/>
  <c r="U13" i="37"/>
  <c r="U33" i="37" s="1"/>
  <c r="Z33" i="37" s="1"/>
  <c r="T14" i="37"/>
  <c r="T34" i="37" s="1"/>
  <c r="Y34" i="37" s="1"/>
  <c r="S15" i="37"/>
  <c r="S44" i="37" s="1"/>
  <c r="X44" i="37" s="1"/>
  <c r="W15" i="37"/>
  <c r="W44" i="37" s="1"/>
  <c r="AB44" i="37" s="1"/>
  <c r="V16" i="37"/>
  <c r="U17" i="37"/>
  <c r="T18" i="37"/>
  <c r="S19" i="37"/>
  <c r="S42" i="37" s="1"/>
  <c r="X42" i="37" s="1"/>
  <c r="W19" i="37"/>
  <c r="W42" i="37" s="1"/>
  <c r="AB42" i="37" s="1"/>
  <c r="V20" i="37"/>
  <c r="U21" i="37"/>
  <c r="T22" i="37"/>
  <c r="T37" i="37" s="1"/>
  <c r="Y37" i="37" s="1"/>
  <c r="S23" i="37"/>
  <c r="W23" i="37"/>
  <c r="V24" i="37"/>
  <c r="U25" i="37"/>
  <c r="T26" i="37"/>
  <c r="T36" i="37" s="1"/>
  <c r="Y36" i="37" s="1"/>
  <c r="S27" i="37"/>
  <c r="W27" i="37"/>
  <c r="V28" i="37"/>
  <c r="V43" i="37" s="1"/>
  <c r="AA43" i="37" s="1"/>
  <c r="U29" i="37"/>
  <c r="T30" i="37"/>
  <c r="T35" i="37" s="1"/>
  <c r="Y35" i="37" s="1"/>
  <c r="W2" i="37"/>
  <c r="W38" i="37" s="1"/>
  <c r="AB38" i="37" s="1"/>
  <c r="V2" i="37"/>
  <c r="V38" i="37" s="1"/>
  <c r="AA38" i="37" s="1"/>
  <c r="I5" i="37"/>
  <c r="I9" i="37"/>
  <c r="I13" i="37"/>
  <c r="I33" i="37" s="1"/>
  <c r="L33" i="37" s="1"/>
  <c r="I17" i="37"/>
  <c r="I21" i="37"/>
  <c r="I25" i="37"/>
  <c r="I29" i="37"/>
  <c r="AD30" i="37"/>
  <c r="AD35" i="37" s="1"/>
  <c r="AD29" i="37"/>
  <c r="AD28" i="37"/>
  <c r="AD27" i="37"/>
  <c r="AD26" i="37"/>
  <c r="AD36" i="37" s="1"/>
  <c r="AD25" i="37"/>
  <c r="AD24" i="37"/>
  <c r="AD23" i="37"/>
  <c r="AD49" i="37" s="1"/>
  <c r="AD22" i="37"/>
  <c r="AD37" i="37" s="1"/>
  <c r="AD21" i="37"/>
  <c r="AD20" i="37"/>
  <c r="AD19" i="37"/>
  <c r="AD42" i="37" s="1"/>
  <c r="AD18" i="37"/>
  <c r="AD17" i="37"/>
  <c r="AD16" i="37"/>
  <c r="AD15" i="37"/>
  <c r="AD44" i="37" s="1"/>
  <c r="AD14" i="37"/>
  <c r="AD34" i="37" s="1"/>
  <c r="AD13" i="37"/>
  <c r="AD33" i="37" s="1"/>
  <c r="AD12" i="37"/>
  <c r="AD11" i="37"/>
  <c r="AD39" i="37" s="1"/>
  <c r="AD10" i="37"/>
  <c r="AD46" i="37" s="1"/>
  <c r="AD9" i="37"/>
  <c r="AD8" i="37"/>
  <c r="AD41" i="37" s="1"/>
  <c r="AD7" i="37"/>
  <c r="AE7" i="37" s="1"/>
  <c r="AD6" i="37"/>
  <c r="AD47" i="37" s="1"/>
  <c r="AD5" i="37"/>
  <c r="AD4" i="37"/>
  <c r="AD3" i="37"/>
  <c r="AD32" i="37" s="1"/>
  <c r="AD2" i="37"/>
  <c r="AD38" i="37" s="1"/>
  <c r="P3" i="37"/>
  <c r="P32" i="37" s="1"/>
  <c r="O4" i="37"/>
  <c r="O40" i="37" s="1"/>
  <c r="N5" i="37"/>
  <c r="R5" i="37"/>
  <c r="Q6" i="37"/>
  <c r="Q47" i="37" s="1"/>
  <c r="P7" i="37"/>
  <c r="O8" i="37"/>
  <c r="O41" i="37" s="1"/>
  <c r="N9" i="37"/>
  <c r="R9" i="37"/>
  <c r="Q10" i="37"/>
  <c r="Q46" i="37" s="1"/>
  <c r="Q45" i="37" s="1"/>
  <c r="P11" i="37"/>
  <c r="P39" i="37" s="1"/>
  <c r="O12" i="37"/>
  <c r="BD3" i="37"/>
  <c r="BD32" i="37" s="1"/>
  <c r="BD7" i="37"/>
  <c r="BD11" i="37"/>
  <c r="BD39" i="37" s="1"/>
  <c r="BJ39" i="37" s="1"/>
  <c r="BD15" i="37"/>
  <c r="BD44" i="37" s="1"/>
  <c r="BJ44" i="37" s="1"/>
  <c r="BD19" i="37"/>
  <c r="BD42" i="37" s="1"/>
  <c r="BJ42" i="37" s="1"/>
  <c r="BD23" i="37"/>
  <c r="BD49" i="37" s="1"/>
  <c r="BD27" i="37"/>
  <c r="BD2" i="37"/>
  <c r="BD38" i="37" s="1"/>
  <c r="BJ38" i="37" s="1"/>
  <c r="BA5" i="37"/>
  <c r="BA9" i="37"/>
  <c r="BA13" i="37"/>
  <c r="BA33" i="37" s="1"/>
  <c r="BG33" i="37" s="1"/>
  <c r="BA17" i="37"/>
  <c r="BA21" i="37"/>
  <c r="BA25" i="37"/>
  <c r="BA29" i="37"/>
  <c r="AV29" i="37"/>
  <c r="AV27" i="37"/>
  <c r="AV25" i="37"/>
  <c r="AV23" i="37"/>
  <c r="AV21" i="37"/>
  <c r="AV19" i="37"/>
  <c r="AV17" i="37"/>
  <c r="AV15" i="37"/>
  <c r="AV13" i="37"/>
  <c r="AV11" i="37"/>
  <c r="AV9" i="37"/>
  <c r="AV7" i="37"/>
  <c r="AV5" i="37"/>
  <c r="AV3" i="37"/>
  <c r="AY3" i="37"/>
  <c r="AY32" i="37" s="1"/>
  <c r="AY7" i="37"/>
  <c r="AY11" i="37"/>
  <c r="AY39" i="37" s="1"/>
  <c r="BE39" i="37" s="1"/>
  <c r="AY15" i="37"/>
  <c r="AY44" i="37" s="1"/>
  <c r="BE44" i="37" s="1"/>
  <c r="AY19" i="37"/>
  <c r="AY42" i="37" s="1"/>
  <c r="BE42" i="37" s="1"/>
  <c r="AY23" i="37"/>
  <c r="AY49" i="37" s="1"/>
  <c r="AY27" i="37"/>
  <c r="BB3" i="37"/>
  <c r="BB32" i="37" s="1"/>
  <c r="BB7" i="37"/>
  <c r="BB11" i="37"/>
  <c r="BB39" i="37" s="1"/>
  <c r="BH39" i="37" s="1"/>
  <c r="BB15" i="37"/>
  <c r="BB44" i="37" s="1"/>
  <c r="BH44" i="37" s="1"/>
  <c r="BB19" i="37"/>
  <c r="BB42" i="37" s="1"/>
  <c r="BH42" i="37" s="1"/>
  <c r="BB23" i="37"/>
  <c r="BB49" i="37" s="1"/>
  <c r="BB27" i="37"/>
  <c r="BB2" i="37"/>
  <c r="BB38" i="37" s="1"/>
  <c r="BH38" i="37" s="1"/>
  <c r="T3" i="37"/>
  <c r="T32" i="37" s="1"/>
  <c r="S4" i="37"/>
  <c r="S40" i="37" s="1"/>
  <c r="X40" i="37" s="1"/>
  <c r="W4" i="37"/>
  <c r="W40" i="37" s="1"/>
  <c r="AB40" i="37" s="1"/>
  <c r="V5" i="37"/>
  <c r="U6" i="37"/>
  <c r="Z47" i="37" s="1"/>
  <c r="T7" i="37"/>
  <c r="S8" i="37"/>
  <c r="S41" i="37" s="1"/>
  <c r="X41" i="37" s="1"/>
  <c r="W8" i="37"/>
  <c r="W41" i="37" s="1"/>
  <c r="AB41" i="37" s="1"/>
  <c r="V9" i="37"/>
  <c r="U10" i="37"/>
  <c r="U46" i="37" s="1"/>
  <c r="T11" i="37"/>
  <c r="T39" i="37" s="1"/>
  <c r="Y39" i="37" s="1"/>
  <c r="S12" i="37"/>
  <c r="W12" i="37"/>
  <c r="V13" i="37"/>
  <c r="V33" i="37" s="1"/>
  <c r="AA33" i="37" s="1"/>
  <c r="U14" i="37"/>
  <c r="U34" i="37" s="1"/>
  <c r="Z34" i="37" s="1"/>
  <c r="T15" i="37"/>
  <c r="T44" i="37" s="1"/>
  <c r="Y44" i="37" s="1"/>
  <c r="S16" i="37"/>
  <c r="W16" i="37"/>
  <c r="V17" i="37"/>
  <c r="U18" i="37"/>
  <c r="T19" i="37"/>
  <c r="T42" i="37" s="1"/>
  <c r="Y42" i="37" s="1"/>
  <c r="S20" i="37"/>
  <c r="W20" i="37"/>
  <c r="V21" i="37"/>
  <c r="U22" i="37"/>
  <c r="U37" i="37" s="1"/>
  <c r="Z37" i="37" s="1"/>
  <c r="T23" i="37"/>
  <c r="S24" i="37"/>
  <c r="W24" i="37"/>
  <c r="V25" i="37"/>
  <c r="U26" i="37"/>
  <c r="U36" i="37" s="1"/>
  <c r="Z36" i="37" s="1"/>
  <c r="T27" i="37"/>
  <c r="S28" i="37"/>
  <c r="S43" i="37" s="1"/>
  <c r="X43" i="37" s="1"/>
  <c r="W28" i="37"/>
  <c r="W43" i="37" s="1"/>
  <c r="AB43" i="37" s="1"/>
  <c r="V29" i="37"/>
  <c r="U30" i="37"/>
  <c r="U35" i="37" s="1"/>
  <c r="Z35" i="37" s="1"/>
  <c r="S2" i="37"/>
  <c r="S38" i="37" s="1"/>
  <c r="X38" i="37" s="1"/>
  <c r="I2" i="37"/>
  <c r="I38" i="37" s="1"/>
  <c r="L38" i="37" s="1"/>
  <c r="I6" i="37"/>
  <c r="I47" i="37" s="1"/>
  <c r="L47" i="37" s="1"/>
  <c r="I10" i="37"/>
  <c r="I46" i="37" s="1"/>
  <c r="I14" i="37"/>
  <c r="I34" i="37" s="1"/>
  <c r="L34" i="37" s="1"/>
  <c r="I18" i="37"/>
  <c r="I22" i="37"/>
  <c r="I37" i="37" s="1"/>
  <c r="L37" i="37" s="1"/>
  <c r="I26" i="37"/>
  <c r="I36" i="37" s="1"/>
  <c r="L36" i="37" s="1"/>
  <c r="I30" i="37"/>
  <c r="I35" i="37" s="1"/>
  <c r="L35" i="37" s="1"/>
  <c r="BD9" i="37"/>
  <c r="BD17" i="37"/>
  <c r="BD25" i="37"/>
  <c r="BA3" i="37"/>
  <c r="BA32" i="37" s="1"/>
  <c r="BA11" i="37"/>
  <c r="BA39" i="37" s="1"/>
  <c r="BG39" i="37" s="1"/>
  <c r="BA19" i="37"/>
  <c r="BA42" i="37" s="1"/>
  <c r="BG42" i="37" s="1"/>
  <c r="BA27" i="37"/>
  <c r="AV28" i="37"/>
  <c r="AV24" i="37"/>
  <c r="AV20" i="37"/>
  <c r="AV16" i="37"/>
  <c r="AV12" i="37"/>
  <c r="AV8" i="37"/>
  <c r="AV4" i="37"/>
  <c r="AY5" i="37"/>
  <c r="AY13" i="37"/>
  <c r="AY33" i="37" s="1"/>
  <c r="BE33" i="37" s="1"/>
  <c r="AY21" i="37"/>
  <c r="AY29" i="37"/>
  <c r="BB9" i="37"/>
  <c r="BB17" i="37"/>
  <c r="BB25" i="37"/>
  <c r="U4" i="37"/>
  <c r="U40" i="37" s="1"/>
  <c r="Z40" i="37" s="1"/>
  <c r="S6" i="37"/>
  <c r="X47" i="37" s="1"/>
  <c r="V7" i="37"/>
  <c r="T9" i="37"/>
  <c r="W10" i="37"/>
  <c r="W46" i="37" s="1"/>
  <c r="U12" i="37"/>
  <c r="S14" i="37"/>
  <c r="S34" i="37" s="1"/>
  <c r="X34" i="37" s="1"/>
  <c r="V15" i="37"/>
  <c r="V44" i="37" s="1"/>
  <c r="AA44" i="37" s="1"/>
  <c r="T17" i="37"/>
  <c r="W18" i="37"/>
  <c r="U20" i="37"/>
  <c r="S22" i="37"/>
  <c r="S37" i="37" s="1"/>
  <c r="X37" i="37" s="1"/>
  <c r="V23" i="37"/>
  <c r="T25" i="37"/>
  <c r="W26" i="37"/>
  <c r="W36" i="37" s="1"/>
  <c r="AB36" i="37" s="1"/>
  <c r="U28" i="37"/>
  <c r="U43" i="37" s="1"/>
  <c r="Z43" i="37" s="1"/>
  <c r="S30" i="37"/>
  <c r="S35" i="37" s="1"/>
  <c r="X35" i="37" s="1"/>
  <c r="U2" i="37"/>
  <c r="U38" i="37" s="1"/>
  <c r="Z38" i="37" s="1"/>
  <c r="I8" i="37"/>
  <c r="I41" i="37" s="1"/>
  <c r="L41" i="37" s="1"/>
  <c r="I16" i="37"/>
  <c r="I24" i="37"/>
  <c r="AG21" i="37"/>
  <c r="AG17" i="37"/>
  <c r="AG13" i="37"/>
  <c r="AG33" i="37" s="1"/>
  <c r="AI33" i="37" s="1"/>
  <c r="AG9" i="37"/>
  <c r="AG5" i="37"/>
  <c r="R3" i="37"/>
  <c r="R32" i="37" s="1"/>
  <c r="R4" i="37"/>
  <c r="R40" i="37" s="1"/>
  <c r="N6" i="37"/>
  <c r="N47" i="37" s="1"/>
  <c r="N7" i="37"/>
  <c r="N8" i="37"/>
  <c r="N41" i="37" s="1"/>
  <c r="O9" i="37"/>
  <c r="O10" i="37"/>
  <c r="O46" i="37" s="1"/>
  <c r="O45" i="37" s="1"/>
  <c r="O11" i="37"/>
  <c r="O39" i="37" s="1"/>
  <c r="P12" i="37"/>
  <c r="O13" i="37"/>
  <c r="O33" i="37" s="1"/>
  <c r="N14" i="37"/>
  <c r="N34" i="37" s="1"/>
  <c r="R14" i="37"/>
  <c r="R34" i="37" s="1"/>
  <c r="Q15" i="37"/>
  <c r="Q44" i="37" s="1"/>
  <c r="P16" i="37"/>
  <c r="O17" i="37"/>
  <c r="N18" i="37"/>
  <c r="R18" i="37"/>
  <c r="Q19" i="37"/>
  <c r="Q42" i="37" s="1"/>
  <c r="P20" i="37"/>
  <c r="O21" i="37"/>
  <c r="N22" i="37"/>
  <c r="N37" i="37" s="1"/>
  <c r="R22" i="37"/>
  <c r="R37" i="37" s="1"/>
  <c r="Q23" i="37"/>
  <c r="Q49" i="37" s="1"/>
  <c r="P24" i="37"/>
  <c r="O25" i="37"/>
  <c r="N26" i="37"/>
  <c r="N36" i="37" s="1"/>
  <c r="R26" i="37"/>
  <c r="R36" i="37" s="1"/>
  <c r="Q27" i="37"/>
  <c r="P28" i="37"/>
  <c r="P43" i="37" s="1"/>
  <c r="O29" i="37"/>
  <c r="N30" i="37"/>
  <c r="N35" i="37" s="1"/>
  <c r="R30" i="37"/>
  <c r="R35" i="37" s="1"/>
  <c r="O2" i="37"/>
  <c r="O38" i="37" s="1"/>
  <c r="E4" i="37"/>
  <c r="E8" i="37"/>
  <c r="E12" i="37"/>
  <c r="E16" i="37"/>
  <c r="E20" i="37"/>
  <c r="E24" i="37"/>
  <c r="E28" i="37"/>
  <c r="E43" i="37" s="1"/>
  <c r="BD8" i="37"/>
  <c r="BD41" i="37" s="1"/>
  <c r="BJ41" i="37" s="1"/>
  <c r="BD24" i="37"/>
  <c r="BA10" i="37"/>
  <c r="BA46" i="37" s="1"/>
  <c r="AS25" i="37"/>
  <c r="AS17" i="37"/>
  <c r="AS5" i="37"/>
  <c r="BB8" i="37"/>
  <c r="BB41" i="37" s="1"/>
  <c r="BH41" i="37" s="1"/>
  <c r="W5" i="37"/>
  <c r="T12" i="37"/>
  <c r="T20" i="37"/>
  <c r="U23" i="37"/>
  <c r="V26" i="37"/>
  <c r="V36" i="37" s="1"/>
  <c r="AA36" i="37" s="1"/>
  <c r="W29" i="37"/>
  <c r="I7" i="37"/>
  <c r="I23" i="37"/>
  <c r="I49" i="37" s="1"/>
  <c r="AG25" i="37"/>
  <c r="AG22" i="37"/>
  <c r="AG37" i="37" s="1"/>
  <c r="AI37" i="37" s="1"/>
  <c r="AG14" i="37"/>
  <c r="AG34" i="37" s="1"/>
  <c r="AI34" i="37" s="1"/>
  <c r="AG2" i="37"/>
  <c r="AG38" i="37" s="1"/>
  <c r="Q3" i="37"/>
  <c r="Q32" i="37" s="1"/>
  <c r="Q5" i="37"/>
  <c r="R7" i="37"/>
  <c r="N10" i="37"/>
  <c r="N46" i="37" s="1"/>
  <c r="N45" i="37" s="1"/>
  <c r="N12" i="37"/>
  <c r="R13" i="37"/>
  <c r="R33" i="37" s="1"/>
  <c r="P15" i="37"/>
  <c r="P44" i="37" s="1"/>
  <c r="N17" i="37"/>
  <c r="P19" i="37"/>
  <c r="P42" i="37" s="1"/>
  <c r="N21" i="37"/>
  <c r="R21" i="37"/>
  <c r="P23" i="37"/>
  <c r="P49" i="37" s="1"/>
  <c r="O24" i="37"/>
  <c r="R25" i="37"/>
  <c r="P27" i="37"/>
  <c r="N29" i="37"/>
  <c r="Q30" i="37"/>
  <c r="Q35" i="37" s="1"/>
  <c r="E3" i="37"/>
  <c r="E32" i="37" s="1"/>
  <c r="E11" i="37"/>
  <c r="E39" i="37" s="1"/>
  <c r="E23" i="37"/>
  <c r="E49" i="37" s="1"/>
  <c r="BD4" i="37"/>
  <c r="BD40" i="37" s="1"/>
  <c r="BJ40" i="37" s="1"/>
  <c r="BD12" i="37"/>
  <c r="BD20" i="37"/>
  <c r="BD28" i="37"/>
  <c r="BD43" i="37" s="1"/>
  <c r="BJ43" i="37" s="1"/>
  <c r="BA6" i="37"/>
  <c r="BA47" i="37" s="1"/>
  <c r="BG47" i="37" s="1"/>
  <c r="BA14" i="37"/>
  <c r="BA34" i="37" s="1"/>
  <c r="BG34" i="37" s="1"/>
  <c r="BA22" i="37"/>
  <c r="BA37" i="37" s="1"/>
  <c r="BG37" i="37" s="1"/>
  <c r="BA30" i="37"/>
  <c r="BA35" i="37" s="1"/>
  <c r="BG35" i="37" s="1"/>
  <c r="AS27" i="37"/>
  <c r="AS23" i="37"/>
  <c r="AS19" i="37"/>
  <c r="AS15" i="37"/>
  <c r="AS11" i="37"/>
  <c r="AS7" i="37"/>
  <c r="AS3" i="37"/>
  <c r="AY8" i="37"/>
  <c r="AY41" i="37" s="1"/>
  <c r="BE41" i="37" s="1"/>
  <c r="AY16" i="37"/>
  <c r="AY24" i="37"/>
  <c r="BB4" i="37"/>
  <c r="BB40" i="37" s="1"/>
  <c r="BH40" i="37" s="1"/>
  <c r="BB12" i="37"/>
  <c r="BB20" i="37"/>
  <c r="BB28" i="37"/>
  <c r="BB43" i="37" s="1"/>
  <c r="BH43" i="37" s="1"/>
  <c r="U3" i="37"/>
  <c r="U32" i="37" s="1"/>
  <c r="S5" i="37"/>
  <c r="V6" i="37"/>
  <c r="AA47" i="37" s="1"/>
  <c r="T8" i="37"/>
  <c r="T41" i="37" s="1"/>
  <c r="Y41" i="37" s="1"/>
  <c r="W9" i="37"/>
  <c r="U11" i="37"/>
  <c r="U39" i="37" s="1"/>
  <c r="Z39" i="37" s="1"/>
  <c r="S13" i="37"/>
  <c r="S33" i="37" s="1"/>
  <c r="X33" i="37" s="1"/>
  <c r="V14" i="37"/>
  <c r="V34" i="37" s="1"/>
  <c r="AA34" i="37" s="1"/>
  <c r="T16" i="37"/>
  <c r="W17" i="37"/>
  <c r="U19" i="37"/>
  <c r="U42" i="37" s="1"/>
  <c r="Z42" i="37" s="1"/>
  <c r="S21" i="37"/>
  <c r="V22" i="37"/>
  <c r="V37" i="37" s="1"/>
  <c r="AA37" i="37" s="1"/>
  <c r="T24" i="37"/>
  <c r="W25" i="37"/>
  <c r="U27" i="37"/>
  <c r="S29" i="37"/>
  <c r="V30" i="37"/>
  <c r="V35" i="37" s="1"/>
  <c r="AA35" i="37" s="1"/>
  <c r="I3" i="37"/>
  <c r="I32" i="37" s="1"/>
  <c r="I11" i="37"/>
  <c r="I39" i="37" s="1"/>
  <c r="L39" i="37" s="1"/>
  <c r="I19" i="37"/>
  <c r="I42" i="37" s="1"/>
  <c r="L42" i="37" s="1"/>
  <c r="I27" i="37"/>
  <c r="AG30" i="37"/>
  <c r="AG35" i="37" s="1"/>
  <c r="AI35" i="37" s="1"/>
  <c r="AG28" i="37"/>
  <c r="AG43" i="37" s="1"/>
  <c r="AG26" i="37"/>
  <c r="AG36" i="37" s="1"/>
  <c r="AI36" i="37" s="1"/>
  <c r="AG24" i="37"/>
  <c r="AG20" i="37"/>
  <c r="AG16" i="37"/>
  <c r="AG12" i="37"/>
  <c r="AG8" i="37"/>
  <c r="AG41" i="37" s="1"/>
  <c r="AI41" i="37" s="1"/>
  <c r="AG4" i="37"/>
  <c r="AG40" i="37" s="1"/>
  <c r="AI40" i="37" s="1"/>
  <c r="N3" i="37"/>
  <c r="N32" i="37" s="1"/>
  <c r="N4" i="37"/>
  <c r="N40" i="37" s="1"/>
  <c r="O5" i="37"/>
  <c r="O6" i="37"/>
  <c r="O47" i="37" s="1"/>
  <c r="O7" i="37"/>
  <c r="P8" i="37"/>
  <c r="P41" i="37" s="1"/>
  <c r="P9" i="37"/>
  <c r="P10" i="37"/>
  <c r="P46" i="37" s="1"/>
  <c r="Q11" i="37"/>
  <c r="Q39" i="37" s="1"/>
  <c r="Q12" i="37"/>
  <c r="P13" i="37"/>
  <c r="P33" i="37" s="1"/>
  <c r="O14" i="37"/>
  <c r="O34" i="37" s="1"/>
  <c r="N15" i="37"/>
  <c r="N44" i="37" s="1"/>
  <c r="R15" i="37"/>
  <c r="R44" i="37" s="1"/>
  <c r="Q16" i="37"/>
  <c r="P17" i="37"/>
  <c r="O18" i="37"/>
  <c r="N19" i="37"/>
  <c r="N42" i="37" s="1"/>
  <c r="R19" i="37"/>
  <c r="R42" i="37" s="1"/>
  <c r="Q20" i="37"/>
  <c r="P21" i="37"/>
  <c r="O22" i="37"/>
  <c r="O37" i="37" s="1"/>
  <c r="N23" i="37"/>
  <c r="N49" i="37" s="1"/>
  <c r="R23" i="37"/>
  <c r="R49" i="37" s="1"/>
  <c r="Q24" i="37"/>
  <c r="P25" i="37"/>
  <c r="O26" i="37"/>
  <c r="O36" i="37" s="1"/>
  <c r="N27" i="37"/>
  <c r="R27" i="37"/>
  <c r="Q28" i="37"/>
  <c r="Q43" i="37" s="1"/>
  <c r="P29" i="37"/>
  <c r="O30" i="37"/>
  <c r="O35" i="37" s="1"/>
  <c r="R2" i="37"/>
  <c r="R38" i="37" s="1"/>
  <c r="N2" i="37"/>
  <c r="N38" i="37" s="1"/>
  <c r="E5" i="37"/>
  <c r="E9" i="37"/>
  <c r="E13" i="37"/>
  <c r="E33" i="37" s="1"/>
  <c r="E17" i="37"/>
  <c r="E21" i="37"/>
  <c r="E25" i="37"/>
  <c r="E29" i="37"/>
  <c r="BA26" i="37"/>
  <c r="BA36" i="37" s="1"/>
  <c r="BG36" i="37" s="1"/>
  <c r="AY4" i="37"/>
  <c r="AY40" i="37" s="1"/>
  <c r="BE40" i="37" s="1"/>
  <c r="AY20" i="37"/>
  <c r="BB16" i="37"/>
  <c r="AY2" i="37"/>
  <c r="AY38" i="37" s="1"/>
  <c r="BE38" i="37" s="1"/>
  <c r="U7" i="37"/>
  <c r="V10" i="37"/>
  <c r="V46" i="37" s="1"/>
  <c r="U15" i="37"/>
  <c r="U44" i="37" s="1"/>
  <c r="Z44" i="37" s="1"/>
  <c r="V18" i="37"/>
  <c r="BD5" i="37"/>
  <c r="BD13" i="37"/>
  <c r="BD33" i="37" s="1"/>
  <c r="BJ33" i="37" s="1"/>
  <c r="BD21" i="37"/>
  <c r="BD29" i="37"/>
  <c r="BA7" i="37"/>
  <c r="BA15" i="37"/>
  <c r="BA44" i="37" s="1"/>
  <c r="BG44" i="37" s="1"/>
  <c r="BA23" i="37"/>
  <c r="BA49" i="37" s="1"/>
  <c r="AV30" i="37"/>
  <c r="AV26" i="37"/>
  <c r="AV22" i="37"/>
  <c r="AV18" i="37"/>
  <c r="AV14" i="37"/>
  <c r="AV10" i="37"/>
  <c r="AV6" i="37"/>
  <c r="AV2" i="37"/>
  <c r="AY9" i="37"/>
  <c r="AY17" i="37"/>
  <c r="AY25" i="37"/>
  <c r="BB5" i="37"/>
  <c r="BB13" i="37"/>
  <c r="BB33" i="37" s="1"/>
  <c r="BH33" i="37" s="1"/>
  <c r="BB21" i="37"/>
  <c r="BB29" i="37"/>
  <c r="V3" i="37"/>
  <c r="V32" i="37" s="1"/>
  <c r="T5" i="37"/>
  <c r="W6" i="37"/>
  <c r="AB47" i="37" s="1"/>
  <c r="U8" i="37"/>
  <c r="U41" i="37" s="1"/>
  <c r="Z41" i="37" s="1"/>
  <c r="S10" i="37"/>
  <c r="S46" i="37" s="1"/>
  <c r="V11" i="37"/>
  <c r="V39" i="37" s="1"/>
  <c r="AA39" i="37" s="1"/>
  <c r="T13" i="37"/>
  <c r="T33" i="37" s="1"/>
  <c r="Y33" i="37" s="1"/>
  <c r="W14" i="37"/>
  <c r="W34" i="37" s="1"/>
  <c r="AB34" i="37" s="1"/>
  <c r="U16" i="37"/>
  <c r="S18" i="37"/>
  <c r="V19" i="37"/>
  <c r="V42" i="37" s="1"/>
  <c r="AA42" i="37" s="1"/>
  <c r="T21" i="37"/>
  <c r="W22" i="37"/>
  <c r="W37" i="37" s="1"/>
  <c r="AB37" i="37" s="1"/>
  <c r="U24" i="37"/>
  <c r="S26" i="37"/>
  <c r="S36" i="37" s="1"/>
  <c r="X36" i="37" s="1"/>
  <c r="V27" i="37"/>
  <c r="T29" i="37"/>
  <c r="W30" i="37"/>
  <c r="W35" i="37" s="1"/>
  <c r="AB35" i="37" s="1"/>
  <c r="I4" i="37"/>
  <c r="I40" i="37" s="1"/>
  <c r="L40" i="37" s="1"/>
  <c r="I12" i="37"/>
  <c r="I20" i="37"/>
  <c r="I28" i="37"/>
  <c r="I43" i="37" s="1"/>
  <c r="L43" i="37" s="1"/>
  <c r="AG23" i="37"/>
  <c r="AG49" i="37" s="1"/>
  <c r="AG19" i="37"/>
  <c r="AG42" i="37" s="1"/>
  <c r="AI42" i="37" s="1"/>
  <c r="AG15" i="37"/>
  <c r="AG44" i="37" s="1"/>
  <c r="AG11" i="37"/>
  <c r="AG39" i="37" s="1"/>
  <c r="AI39" i="37" s="1"/>
  <c r="AG7" i="37"/>
  <c r="AG3" i="37"/>
  <c r="AG32" i="37" s="1"/>
  <c r="O3" i="37"/>
  <c r="O32" i="37" s="1"/>
  <c r="P4" i="37"/>
  <c r="P40" i="37" s="1"/>
  <c r="P5" i="37"/>
  <c r="P6" i="37"/>
  <c r="P47" i="37" s="1"/>
  <c r="Q7" i="37"/>
  <c r="Q8" i="37"/>
  <c r="Q41" i="37" s="1"/>
  <c r="Q9" i="37"/>
  <c r="R10" i="37"/>
  <c r="R46" i="37" s="1"/>
  <c r="R11" i="37"/>
  <c r="R39" i="37" s="1"/>
  <c r="R12" i="37"/>
  <c r="Q13" i="37"/>
  <c r="Q33" i="37" s="1"/>
  <c r="P14" i="37"/>
  <c r="P34" i="37" s="1"/>
  <c r="O15" i="37"/>
  <c r="O44" i="37" s="1"/>
  <c r="N16" i="37"/>
  <c r="R16" i="37"/>
  <c r="Q17" i="37"/>
  <c r="P18" i="37"/>
  <c r="O19" i="37"/>
  <c r="O42" i="37" s="1"/>
  <c r="N20" i="37"/>
  <c r="R20" i="37"/>
  <c r="Q21" i="37"/>
  <c r="P22" i="37"/>
  <c r="P37" i="37" s="1"/>
  <c r="O23" i="37"/>
  <c r="O49" i="37" s="1"/>
  <c r="N24" i="37"/>
  <c r="R24" i="37"/>
  <c r="Q25" i="37"/>
  <c r="P26" i="37"/>
  <c r="P36" i="37" s="1"/>
  <c r="O27" i="37"/>
  <c r="N28" i="37"/>
  <c r="N43" i="37" s="1"/>
  <c r="R28" i="37"/>
  <c r="R43" i="37" s="1"/>
  <c r="Q29" i="37"/>
  <c r="P30" i="37"/>
  <c r="P35" i="37" s="1"/>
  <c r="Q2" i="37"/>
  <c r="Q38" i="37" s="1"/>
  <c r="E2" i="37"/>
  <c r="E38" i="37" s="1"/>
  <c r="E6" i="37"/>
  <c r="E47" i="37" s="1"/>
  <c r="E10" i="37"/>
  <c r="E46" i="37" s="1"/>
  <c r="E14" i="37"/>
  <c r="E34" i="37" s="1"/>
  <c r="E18" i="37"/>
  <c r="E22" i="37"/>
  <c r="E37" i="37" s="1"/>
  <c r="E26" i="37"/>
  <c r="E36" i="37" s="1"/>
  <c r="E30" i="37"/>
  <c r="E35" i="37" s="1"/>
  <c r="BD16" i="37"/>
  <c r="BA2" i="37"/>
  <c r="BA38" i="37" s="1"/>
  <c r="BG38" i="37" s="1"/>
  <c r="BA18" i="37"/>
  <c r="AS29" i="37"/>
  <c r="AS21" i="37"/>
  <c r="AS13" i="37"/>
  <c r="AS9" i="37"/>
  <c r="AY12" i="37"/>
  <c r="AY28" i="37"/>
  <c r="AY43" i="37" s="1"/>
  <c r="BE43" i="37" s="1"/>
  <c r="BB24" i="37"/>
  <c r="T4" i="37"/>
  <c r="T40" i="37" s="1"/>
  <c r="Y40" i="37" s="1"/>
  <c r="S9" i="37"/>
  <c r="W13" i="37"/>
  <c r="W33" i="37" s="1"/>
  <c r="AB33" i="37" s="1"/>
  <c r="S17" i="37"/>
  <c r="W21" i="37"/>
  <c r="S25" i="37"/>
  <c r="T28" i="37"/>
  <c r="T43" i="37" s="1"/>
  <c r="Y43" i="37" s="1"/>
  <c r="T2" i="37"/>
  <c r="T38" i="37" s="1"/>
  <c r="Y38" i="37" s="1"/>
  <c r="I15" i="37"/>
  <c r="I44" i="37" s="1"/>
  <c r="L44" i="37" s="1"/>
  <c r="AG29" i="37"/>
  <c r="AG27" i="37"/>
  <c r="AG18" i="37"/>
  <c r="AG10" i="37"/>
  <c r="AG46" i="37" s="1"/>
  <c r="AG6" i="37"/>
  <c r="AG47" i="37" s="1"/>
  <c r="AI47" i="37" s="1"/>
  <c r="Q4" i="37"/>
  <c r="Q40" i="37" s="1"/>
  <c r="R6" i="37"/>
  <c r="R47" i="37" s="1"/>
  <c r="R8" i="37"/>
  <c r="R41" i="37" s="1"/>
  <c r="N11" i="37"/>
  <c r="N39" i="37" s="1"/>
  <c r="N13" i="37"/>
  <c r="N33" i="37" s="1"/>
  <c r="Q14" i="37"/>
  <c r="Q34" i="37" s="1"/>
  <c r="O16" i="37"/>
  <c r="R17" i="37"/>
  <c r="Q18" i="37"/>
  <c r="O20" i="37"/>
  <c r="Q22" i="37"/>
  <c r="Q37" i="37" s="1"/>
  <c r="N25" i="37"/>
  <c r="Q26" i="37"/>
  <c r="Q36" i="37" s="1"/>
  <c r="O28" i="37"/>
  <c r="O43" i="37" s="1"/>
  <c r="R29" i="37"/>
  <c r="P2" i="37"/>
  <c r="P38" i="37" s="1"/>
  <c r="E7" i="37"/>
  <c r="E15" i="37"/>
  <c r="E44" i="37" s="1"/>
  <c r="E19" i="37"/>
  <c r="E42" i="37" s="1"/>
  <c r="E27" i="37"/>
  <c r="AZ21" i="16"/>
  <c r="BC25" i="16"/>
  <c r="BC2" i="16"/>
  <c r="BC38" i="16" s="1"/>
  <c r="BI38" i="16" s="1"/>
  <c r="BC10" i="16"/>
  <c r="BC46" i="16" s="1"/>
  <c r="AZ14" i="16"/>
  <c r="AZ34" i="16" s="1"/>
  <c r="BF34" i="16" s="1"/>
  <c r="AZ22" i="16"/>
  <c r="AZ37" i="16" s="1"/>
  <c r="BF37" i="16" s="1"/>
  <c r="BC30" i="16"/>
  <c r="BC35" i="16" s="1"/>
  <c r="BI35" i="16" s="1"/>
  <c r="BC23" i="16"/>
  <c r="BC49" i="16" s="1"/>
  <c r="AZ27" i="16"/>
  <c r="AZ4" i="16"/>
  <c r="AZ40" i="16" s="1"/>
  <c r="BF40" i="16" s="1"/>
  <c r="BC16" i="16"/>
  <c r="AZ20" i="16"/>
  <c r="BC28" i="16"/>
  <c r="BC43" i="16" s="1"/>
  <c r="BI43" i="16" s="1"/>
  <c r="AZ9" i="16"/>
  <c r="BC13" i="16"/>
  <c r="BC33" i="16" s="1"/>
  <c r="BI33" i="16" s="1"/>
  <c r="AZ25" i="16"/>
  <c r="AZ29" i="16"/>
  <c r="BC14" i="16"/>
  <c r="BC34" i="16" s="1"/>
  <c r="BI34" i="16" s="1"/>
  <c r="AZ30" i="16"/>
  <c r="AZ35" i="16" s="1"/>
  <c r="BF35" i="16" s="1"/>
  <c r="BC3" i="16"/>
  <c r="BC32" i="16" s="1"/>
  <c r="BC7" i="16"/>
  <c r="BC11" i="16"/>
  <c r="BC39" i="16" s="1"/>
  <c r="BI39" i="16" s="1"/>
  <c r="BC15" i="16"/>
  <c r="BC44" i="16" s="1"/>
  <c r="BI44" i="16" s="1"/>
  <c r="BC19" i="16"/>
  <c r="BC42" i="16" s="1"/>
  <c r="BI42" i="16" s="1"/>
  <c r="AZ23" i="16"/>
  <c r="AZ49" i="16" s="1"/>
  <c r="BC27" i="16"/>
  <c r="BC4" i="16"/>
  <c r="BC40" i="16" s="1"/>
  <c r="BI40" i="16" s="1"/>
  <c r="AZ8" i="16"/>
  <c r="AZ41" i="16" s="1"/>
  <c r="BF41" i="16" s="1"/>
  <c r="BC5" i="16"/>
  <c r="AZ13" i="16"/>
  <c r="AZ33" i="16" s="1"/>
  <c r="BF33" i="16" s="1"/>
  <c r="BC17" i="16"/>
  <c r="BC29" i="16"/>
  <c r="AZ6" i="16"/>
  <c r="AZ47" i="16" s="1"/>
  <c r="BF47" i="16" s="1"/>
  <c r="AZ18" i="16"/>
  <c r="BC22" i="16"/>
  <c r="BC37" i="16" s="1"/>
  <c r="BI37" i="16" s="1"/>
  <c r="BC26" i="16"/>
  <c r="BC36" i="16" s="1"/>
  <c r="BI36" i="16" s="1"/>
  <c r="AZ3" i="16"/>
  <c r="AZ32" i="16" s="1"/>
  <c r="AZ7" i="16"/>
  <c r="AZ11" i="16"/>
  <c r="AZ39" i="16" s="1"/>
  <c r="BF39" i="16" s="1"/>
  <c r="AZ15" i="16"/>
  <c r="AZ44" i="16" s="1"/>
  <c r="BF44" i="16" s="1"/>
  <c r="BC8" i="16"/>
  <c r="BC41" i="16" s="1"/>
  <c r="BI41" i="16" s="1"/>
  <c r="AZ12" i="16"/>
  <c r="AZ5" i="16"/>
  <c r="BC9" i="16"/>
  <c r="AZ26" i="16"/>
  <c r="AZ36" i="16" s="1"/>
  <c r="BF36" i="16" s="1"/>
  <c r="AZ28" i="16"/>
  <c r="AZ43" i="16" s="1"/>
  <c r="BF43" i="16" s="1"/>
  <c r="AZ17" i="16"/>
  <c r="BC21" i="16"/>
  <c r="AZ2" i="16"/>
  <c r="AZ38" i="16" s="1"/>
  <c r="BF38" i="16" s="1"/>
  <c r="AZ19" i="16"/>
  <c r="AZ42" i="16" s="1"/>
  <c r="BF42" i="16" s="1"/>
  <c r="BC12" i="16"/>
  <c r="AZ16" i="16"/>
  <c r="BC6" i="16"/>
  <c r="BC47" i="16" s="1"/>
  <c r="BI47" i="16" s="1"/>
  <c r="AZ10" i="16"/>
  <c r="AZ46" i="16" s="1"/>
  <c r="BC20" i="16"/>
  <c r="AZ24" i="16"/>
  <c r="BC18" i="16"/>
  <c r="BC24" i="16"/>
  <c r="AZ3" i="37"/>
  <c r="AZ32" i="37" s="1"/>
  <c r="BC10" i="37"/>
  <c r="BC46" i="37" s="1"/>
  <c r="BC14" i="37"/>
  <c r="BC34" i="37" s="1"/>
  <c r="BI34" i="37" s="1"/>
  <c r="BC18" i="37"/>
  <c r="BC22" i="37"/>
  <c r="BC37" i="37" s="1"/>
  <c r="BI37" i="37" s="1"/>
  <c r="BC26" i="37"/>
  <c r="BC36" i="37" s="1"/>
  <c r="BI36" i="37" s="1"/>
  <c r="BC30" i="37"/>
  <c r="BC35" i="37" s="1"/>
  <c r="BI35" i="37" s="1"/>
  <c r="BC5" i="37"/>
  <c r="BC9" i="37"/>
  <c r="BC13" i="37"/>
  <c r="BC33" i="37" s="1"/>
  <c r="BI33" i="37" s="1"/>
  <c r="BC17" i="37"/>
  <c r="BC21" i="37"/>
  <c r="BC25" i="37"/>
  <c r="BC29" i="37"/>
  <c r="AZ4" i="37"/>
  <c r="AZ40" i="37" s="1"/>
  <c r="BF40" i="37" s="1"/>
  <c r="AZ8" i="37"/>
  <c r="AZ41" i="37" s="1"/>
  <c r="BF41" i="37" s="1"/>
  <c r="AZ12" i="37"/>
  <c r="AZ16" i="37"/>
  <c r="AZ20" i="37"/>
  <c r="AZ24" i="37"/>
  <c r="AZ28" i="37"/>
  <c r="AZ43" i="37" s="1"/>
  <c r="BF43" i="37" s="1"/>
  <c r="BC7" i="37"/>
  <c r="BC11" i="37"/>
  <c r="BC39" i="37" s="1"/>
  <c r="BI39" i="37" s="1"/>
  <c r="BC15" i="37"/>
  <c r="BC44" i="37" s="1"/>
  <c r="BI44" i="37" s="1"/>
  <c r="BC19" i="37"/>
  <c r="BC42" i="37" s="1"/>
  <c r="BI42" i="37" s="1"/>
  <c r="BC23" i="37"/>
  <c r="BC49" i="37" s="1"/>
  <c r="BC27" i="37"/>
  <c r="BC2" i="37"/>
  <c r="BC38" i="37" s="1"/>
  <c r="BI38" i="37" s="1"/>
  <c r="BC6" i="37"/>
  <c r="BC47" i="37" s="1"/>
  <c r="BI47" i="37" s="1"/>
  <c r="AZ10" i="37"/>
  <c r="AZ46" i="37" s="1"/>
  <c r="AZ14" i="37"/>
  <c r="AZ34" i="37" s="1"/>
  <c r="BF34" i="37" s="1"/>
  <c r="AZ18" i="37"/>
  <c r="AZ22" i="37"/>
  <c r="AZ37" i="37" s="1"/>
  <c r="BF37" i="37" s="1"/>
  <c r="AZ26" i="37"/>
  <c r="AZ36" i="37" s="1"/>
  <c r="BF36" i="37" s="1"/>
  <c r="AZ30" i="37"/>
  <c r="AZ35" i="37" s="1"/>
  <c r="BF35" i="37" s="1"/>
  <c r="AZ5" i="37"/>
  <c r="AZ9" i="37"/>
  <c r="AZ13" i="37"/>
  <c r="AZ33" i="37" s="1"/>
  <c r="BF33" i="37" s="1"/>
  <c r="AZ17" i="37"/>
  <c r="AZ21" i="37"/>
  <c r="AZ25" i="37"/>
  <c r="AZ29" i="37"/>
  <c r="BC4" i="37"/>
  <c r="BC40" i="37" s="1"/>
  <c r="BI40" i="37" s="1"/>
  <c r="BC8" i="37"/>
  <c r="BC41" i="37" s="1"/>
  <c r="BI41" i="37" s="1"/>
  <c r="BC12" i="37"/>
  <c r="BC16" i="37"/>
  <c r="BC20" i="37"/>
  <c r="BC24" i="37"/>
  <c r="BC28" i="37"/>
  <c r="BC43" i="37" s="1"/>
  <c r="BI43" i="37" s="1"/>
  <c r="AZ7" i="37"/>
  <c r="AZ11" i="37"/>
  <c r="AZ39" i="37" s="1"/>
  <c r="BF39" i="37" s="1"/>
  <c r="AZ15" i="37"/>
  <c r="AZ44" i="37" s="1"/>
  <c r="BF44" i="37" s="1"/>
  <c r="AZ19" i="37"/>
  <c r="AZ42" i="37" s="1"/>
  <c r="BF42" i="37" s="1"/>
  <c r="AZ23" i="37"/>
  <c r="AZ49" i="37" s="1"/>
  <c r="AZ27" i="37"/>
  <c r="AZ2" i="37"/>
  <c r="AZ38" i="37" s="1"/>
  <c r="BF38" i="37" s="1"/>
  <c r="AZ6" i="37"/>
  <c r="AZ47" i="37" s="1"/>
  <c r="BF47" i="37" s="1"/>
  <c r="BC3" i="37"/>
  <c r="BC32" i="37" s="1"/>
  <c r="AG30" i="32"/>
  <c r="AG29" i="32"/>
  <c r="AG28" i="32"/>
  <c r="AG27" i="32"/>
  <c r="AG26" i="32"/>
  <c r="AG25" i="32"/>
  <c r="AG24" i="32"/>
  <c r="AG23" i="32"/>
  <c r="AG22" i="32"/>
  <c r="AG37" i="32" s="1"/>
  <c r="AG21" i="32"/>
  <c r="AG20" i="32"/>
  <c r="AG19" i="32"/>
  <c r="AG18" i="32"/>
  <c r="AG17" i="32"/>
  <c r="AG16" i="32"/>
  <c r="AG15" i="32"/>
  <c r="AG14" i="32"/>
  <c r="AG34" i="32" s="1"/>
  <c r="AG13" i="32"/>
  <c r="AG33" i="32" s="1"/>
  <c r="AG12" i="32"/>
  <c r="AG11" i="32"/>
  <c r="AG10" i="32"/>
  <c r="AG46" i="32" s="1"/>
  <c r="AG9" i="32"/>
  <c r="AG8" i="32"/>
  <c r="AG7" i="32"/>
  <c r="AG6" i="32"/>
  <c r="AG5" i="32"/>
  <c r="AG4" i="32"/>
  <c r="AG3" i="32"/>
  <c r="AG2" i="32"/>
  <c r="AU29" i="32"/>
  <c r="D30" i="32"/>
  <c r="D29" i="32"/>
  <c r="D28" i="32"/>
  <c r="D27" i="32"/>
  <c r="D26" i="32"/>
  <c r="AP25" i="32"/>
  <c r="D25" i="32"/>
  <c r="D24" i="32"/>
  <c r="AP23" i="32"/>
  <c r="AP49" i="32" s="1"/>
  <c r="D23" i="32"/>
  <c r="D22" i="32"/>
  <c r="D21" i="32"/>
  <c r="D20" i="32"/>
  <c r="D19" i="32"/>
  <c r="D18" i="32"/>
  <c r="D17" i="32"/>
  <c r="D16" i="32"/>
  <c r="D15" i="32"/>
  <c r="D14" i="32"/>
  <c r="D13" i="32"/>
  <c r="D12" i="32"/>
  <c r="D11" i="32"/>
  <c r="D10" i="32"/>
  <c r="D9" i="32"/>
  <c r="D8" i="32"/>
  <c r="D7" i="32"/>
  <c r="D6" i="32"/>
  <c r="D5" i="32"/>
  <c r="D4" i="32"/>
  <c r="D3" i="32"/>
  <c r="D2" i="32"/>
  <c r="AU30" i="32"/>
  <c r="AU35" i="32" s="1"/>
  <c r="AJ30" i="32"/>
  <c r="AJ35" i="32" s="1"/>
  <c r="AL35" i="32" s="1"/>
  <c r="J29" i="32"/>
  <c r="AU28" i="32"/>
  <c r="AU43" i="32" s="1"/>
  <c r="AJ28" i="32"/>
  <c r="AJ43" i="32" s="1"/>
  <c r="AL43" i="32" s="1"/>
  <c r="J27" i="32"/>
  <c r="AU26" i="32"/>
  <c r="AU36" i="32" s="1"/>
  <c r="AU24" i="32"/>
  <c r="J24" i="32"/>
  <c r="J23" i="32"/>
  <c r="J49" i="32" s="1"/>
  <c r="AU20" i="32"/>
  <c r="AU18" i="32"/>
  <c r="J18" i="32"/>
  <c r="AU17" i="32"/>
  <c r="AJ15" i="32"/>
  <c r="AJ44" i="32" s="1"/>
  <c r="J14" i="32"/>
  <c r="J34" i="32" s="1"/>
  <c r="AU10" i="32"/>
  <c r="AU46" i="32" s="1"/>
  <c r="AY45" i="32" s="1"/>
  <c r="AU9" i="32"/>
  <c r="AJ9" i="32"/>
  <c r="J6" i="32"/>
  <c r="J47" i="32" s="1"/>
  <c r="AJ5" i="32"/>
  <c r="AJ29" i="32"/>
  <c r="J28" i="32"/>
  <c r="J43" i="32" s="1"/>
  <c r="AU27" i="32"/>
  <c r="AJ24" i="32"/>
  <c r="AU23" i="32"/>
  <c r="AU49" i="32" s="1"/>
  <c r="AJ23" i="32"/>
  <c r="AJ49" i="32" s="1"/>
  <c r="J17" i="32"/>
  <c r="AU13" i="32"/>
  <c r="AU33" i="32" s="1"/>
  <c r="AJ13" i="32"/>
  <c r="AJ33" i="32" s="1"/>
  <c r="J12" i="32"/>
  <c r="J10" i="32"/>
  <c r="J46" i="32" s="1"/>
  <c r="J8" i="32"/>
  <c r="J41" i="32" s="1"/>
  <c r="AJ6" i="32"/>
  <c r="AJ47" i="32" s="1"/>
  <c r="AU5" i="32"/>
  <c r="AJ25" i="32"/>
  <c r="AJ21" i="32"/>
  <c r="AJ20" i="32"/>
  <c r="AU19" i="32"/>
  <c r="AU42" i="32" s="1"/>
  <c r="AJ18" i="32"/>
  <c r="J13" i="32"/>
  <c r="J33" i="32" s="1"/>
  <c r="AU12" i="32"/>
  <c r="AJ7" i="32"/>
  <c r="AU6" i="32"/>
  <c r="AU47" i="32" s="1"/>
  <c r="AJ4" i="32"/>
  <c r="AJ40" i="32" s="1"/>
  <c r="AJ3" i="32"/>
  <c r="AJ32" i="32" s="1"/>
  <c r="AJ2" i="32"/>
  <c r="AJ38" i="32" s="1"/>
  <c r="AU25" i="32"/>
  <c r="J19" i="32"/>
  <c r="J42" i="32" s="1"/>
  <c r="AU16" i="32"/>
  <c r="AU15" i="32"/>
  <c r="AU44" i="32" s="1"/>
  <c r="J15" i="32"/>
  <c r="J44" i="32" s="1"/>
  <c r="AJ11" i="32"/>
  <c r="AJ39" i="32" s="1"/>
  <c r="AU8" i="32"/>
  <c r="AU41" i="32" s="1"/>
  <c r="AJ8" i="32"/>
  <c r="AJ41" i="32" s="1"/>
  <c r="J3" i="32"/>
  <c r="J32" i="32" s="1"/>
  <c r="AJ27" i="32"/>
  <c r="AJ26" i="32"/>
  <c r="AJ36" i="32" s="1"/>
  <c r="J25" i="32"/>
  <c r="AU21" i="32"/>
  <c r="AJ14" i="32"/>
  <c r="AJ34" i="32" s="1"/>
  <c r="AJ12" i="32"/>
  <c r="J11" i="32"/>
  <c r="J39" i="32" s="1"/>
  <c r="AJ10" i="32"/>
  <c r="AJ46" i="32" s="1"/>
  <c r="AU3" i="32"/>
  <c r="AU32" i="32" s="1"/>
  <c r="J2" i="32"/>
  <c r="J38" i="32" s="1"/>
  <c r="J26" i="32"/>
  <c r="J36" i="32" s="1"/>
  <c r="AJ22" i="32"/>
  <c r="AJ37" i="32" s="1"/>
  <c r="J20" i="32"/>
  <c r="AJ17" i="32"/>
  <c r="AJ16" i="32"/>
  <c r="AU14" i="32"/>
  <c r="AU34" i="32" s="1"/>
  <c r="AU7" i="32"/>
  <c r="J5" i="32"/>
  <c r="AU2" i="32"/>
  <c r="AU38" i="32" s="1"/>
  <c r="AU11" i="32"/>
  <c r="AU39" i="32" s="1"/>
  <c r="J7" i="32"/>
  <c r="J4" i="32"/>
  <c r="J40" i="32" s="1"/>
  <c r="J22" i="32"/>
  <c r="J37" i="32" s="1"/>
  <c r="AJ19" i="32"/>
  <c r="AJ42" i="32" s="1"/>
  <c r="J16" i="32"/>
  <c r="J9" i="32"/>
  <c r="J30" i="32"/>
  <c r="J35" i="32" s="1"/>
  <c r="J21" i="32"/>
  <c r="AU4" i="32"/>
  <c r="AU40" i="32" s="1"/>
  <c r="AU22" i="32"/>
  <c r="AU37" i="32" s="1"/>
  <c r="AG30" i="5"/>
  <c r="AG28" i="5"/>
  <c r="AG26" i="5"/>
  <c r="AG24" i="5"/>
  <c r="AG22" i="5"/>
  <c r="AG20" i="5"/>
  <c r="AG18" i="5"/>
  <c r="AG16" i="5"/>
  <c r="AG14" i="5"/>
  <c r="AG12" i="5"/>
  <c r="AG10" i="5"/>
  <c r="AG8" i="5"/>
  <c r="AG6" i="5"/>
  <c r="AG4" i="5"/>
  <c r="AG2" i="5"/>
  <c r="AG29" i="5"/>
  <c r="AG27" i="5"/>
  <c r="AG25" i="5"/>
  <c r="AG23" i="5"/>
  <c r="AG21" i="5"/>
  <c r="AG19" i="5"/>
  <c r="AG17" i="5"/>
  <c r="AG15" i="5"/>
  <c r="AG13" i="5"/>
  <c r="AG11" i="5"/>
  <c r="AG9" i="5"/>
  <c r="AG7" i="5"/>
  <c r="AG5" i="5"/>
  <c r="AG3" i="5"/>
  <c r="AP25" i="5"/>
  <c r="AP23" i="5"/>
  <c r="AC30" i="42"/>
  <c r="AC29" i="42"/>
  <c r="AC28" i="42"/>
  <c r="AC27" i="42"/>
  <c r="AC26" i="42"/>
  <c r="AC25" i="42"/>
  <c r="AC24" i="42"/>
  <c r="AC23" i="42"/>
  <c r="AC22" i="42"/>
  <c r="AC21" i="42"/>
  <c r="AC20" i="42"/>
  <c r="AC19" i="42"/>
  <c r="AC5" i="42"/>
  <c r="AC4" i="42"/>
  <c r="AC3" i="42"/>
  <c r="AC2" i="42"/>
  <c r="AC17" i="42"/>
  <c r="AC15" i="42"/>
  <c r="AC13" i="42"/>
  <c r="AC11" i="42"/>
  <c r="AC9" i="42"/>
  <c r="AC7" i="42"/>
  <c r="AC18" i="42"/>
  <c r="AC16" i="42"/>
  <c r="AC14" i="42"/>
  <c r="AC12" i="42"/>
  <c r="AC10" i="42"/>
  <c r="AC8" i="42"/>
  <c r="AC6" i="42"/>
  <c r="D30" i="41"/>
  <c r="D29" i="41"/>
  <c r="D28" i="41"/>
  <c r="D27" i="41"/>
  <c r="D26" i="41"/>
  <c r="D25" i="41"/>
  <c r="D24" i="41"/>
  <c r="D23" i="41"/>
  <c r="D22" i="41"/>
  <c r="D21" i="41"/>
  <c r="D20" i="41"/>
  <c r="D19" i="41"/>
  <c r="D18" i="41"/>
  <c r="D17" i="41"/>
  <c r="D16" i="41"/>
  <c r="D15" i="41"/>
  <c r="D14" i="41"/>
  <c r="D13" i="41"/>
  <c r="D12" i="41"/>
  <c r="D11" i="41"/>
  <c r="D10" i="41"/>
  <c r="D9" i="41"/>
  <c r="D8" i="41"/>
  <c r="D7" i="41"/>
  <c r="D6" i="41"/>
  <c r="D5" i="41"/>
  <c r="D4" i="41"/>
  <c r="D3" i="41"/>
  <c r="D2" i="41"/>
  <c r="D3" i="29"/>
  <c r="D5" i="29"/>
  <c r="D6" i="29"/>
  <c r="D7" i="29"/>
  <c r="D9" i="29"/>
  <c r="D11" i="29"/>
  <c r="D13" i="29"/>
  <c r="D14" i="29"/>
  <c r="D15" i="29"/>
  <c r="D16" i="29"/>
  <c r="D17" i="29"/>
  <c r="D18" i="29"/>
  <c r="D19" i="29"/>
  <c r="D20" i="29"/>
  <c r="D21" i="29"/>
  <c r="D22" i="29"/>
  <c r="D23" i="29"/>
  <c r="D24" i="29"/>
  <c r="D25" i="29"/>
  <c r="D26" i="29"/>
  <c r="D27" i="29"/>
  <c r="D28" i="29"/>
  <c r="D29" i="29"/>
  <c r="D30" i="29"/>
  <c r="D4" i="29"/>
  <c r="D10" i="29"/>
  <c r="D8" i="29"/>
  <c r="D2" i="29"/>
  <c r="D12" i="29"/>
  <c r="AC30" i="43"/>
  <c r="AC6" i="43"/>
  <c r="AC13" i="43"/>
  <c r="AC7" i="43"/>
  <c r="AC21" i="43"/>
  <c r="AC8" i="43"/>
  <c r="AC27" i="43"/>
  <c r="AC11" i="43"/>
  <c r="AC2" i="43"/>
  <c r="AC10" i="43"/>
  <c r="AC29" i="43"/>
  <c r="AC24" i="43"/>
  <c r="AC4" i="43"/>
  <c r="AC23" i="43"/>
  <c r="AC18" i="43"/>
  <c r="AC22" i="43"/>
  <c r="AC17" i="43"/>
  <c r="AC9" i="43"/>
  <c r="AC5" i="43"/>
  <c r="AC19" i="43"/>
  <c r="AC25" i="43"/>
  <c r="AC28" i="43"/>
  <c r="AC20" i="43"/>
  <c r="AC12" i="43"/>
  <c r="AC15" i="43"/>
  <c r="AC3" i="43"/>
  <c r="AC14" i="43"/>
  <c r="AC16" i="43"/>
  <c r="AC26" i="43"/>
  <c r="AG30" i="42"/>
  <c r="AG35" i="42" s="1"/>
  <c r="AG29" i="42"/>
  <c r="AG28" i="42"/>
  <c r="AG43" i="42" s="1"/>
  <c r="AG27" i="42"/>
  <c r="AG26" i="42"/>
  <c r="AG36" i="42" s="1"/>
  <c r="AG25" i="42"/>
  <c r="AG24" i="42"/>
  <c r="AG23" i="42"/>
  <c r="AG22" i="42"/>
  <c r="AG37" i="42" s="1"/>
  <c r="AG21" i="42"/>
  <c r="AG20" i="42"/>
  <c r="AG19" i="42"/>
  <c r="AG42" i="42" s="1"/>
  <c r="AG5" i="42"/>
  <c r="AG4" i="42"/>
  <c r="AG40" i="42" s="1"/>
  <c r="AG3" i="42"/>
  <c r="AG32" i="42" s="1"/>
  <c r="AG2" i="42"/>
  <c r="AG38" i="42" s="1"/>
  <c r="AG18" i="42"/>
  <c r="AG16" i="42"/>
  <c r="AG14" i="42"/>
  <c r="AG34" i="42" s="1"/>
  <c r="AG12" i="42"/>
  <c r="AG10" i="42"/>
  <c r="AG46" i="42" s="1"/>
  <c r="AG45" i="42" s="1"/>
  <c r="AG8" i="42"/>
  <c r="AG41" i="42" s="1"/>
  <c r="AG6" i="42"/>
  <c r="AG47" i="42" s="1"/>
  <c r="AG17" i="42"/>
  <c r="AG9" i="42"/>
  <c r="AG15" i="42"/>
  <c r="AG44" i="42" s="1"/>
  <c r="AG7" i="42"/>
  <c r="AG13" i="42"/>
  <c r="AG33" i="42" s="1"/>
  <c r="H2" i="29"/>
  <c r="H38" i="29" s="1"/>
  <c r="H4" i="29"/>
  <c r="H7" i="29"/>
  <c r="H9" i="29"/>
  <c r="H11" i="29"/>
  <c r="AG11" i="42"/>
  <c r="AG39" i="42" s="1"/>
  <c r="H30" i="41"/>
  <c r="H28" i="41"/>
  <c r="H26" i="41"/>
  <c r="H24" i="41"/>
  <c r="H22" i="41"/>
  <c r="H20" i="41"/>
  <c r="H18" i="41"/>
  <c r="H16" i="41"/>
  <c r="H14" i="41"/>
  <c r="H12" i="41"/>
  <c r="H10" i="41"/>
  <c r="H8" i="41"/>
  <c r="H6" i="41"/>
  <c r="H4" i="41"/>
  <c r="H2" i="41"/>
  <c r="H3" i="29"/>
  <c r="H5" i="29"/>
  <c r="H8" i="29"/>
  <c r="H10" i="29"/>
  <c r="H12" i="29"/>
  <c r="H13" i="29"/>
  <c r="H14" i="29"/>
  <c r="H15" i="29"/>
  <c r="H16" i="29"/>
  <c r="H17" i="29"/>
  <c r="H18" i="29"/>
  <c r="H19" i="29"/>
  <c r="H20" i="29"/>
  <c r="H21" i="29"/>
  <c r="H22" i="29"/>
  <c r="H23" i="29"/>
  <c r="H24" i="29"/>
  <c r="H25" i="29"/>
  <c r="H26" i="29"/>
  <c r="H27" i="29"/>
  <c r="H28" i="29"/>
  <c r="H29" i="29"/>
  <c r="H30" i="29"/>
  <c r="H23" i="41"/>
  <c r="H15" i="41"/>
  <c r="H7" i="41"/>
  <c r="H25" i="41"/>
  <c r="H17" i="41"/>
  <c r="H9" i="41"/>
  <c r="H27" i="41"/>
  <c r="H19" i="41"/>
  <c r="H11" i="41"/>
  <c r="H3" i="41"/>
  <c r="H29" i="41"/>
  <c r="H21" i="41"/>
  <c r="H13" i="41"/>
  <c r="H5" i="41"/>
  <c r="H6" i="29"/>
  <c r="AG10" i="43"/>
  <c r="AG46" i="43" s="1"/>
  <c r="AG45" i="43" s="1"/>
  <c r="AG24" i="43"/>
  <c r="AG4" i="43"/>
  <c r="AG40" i="43" s="1"/>
  <c r="AG28" i="43"/>
  <c r="AG43" i="43" s="1"/>
  <c r="AG20" i="43"/>
  <c r="AG14" i="43"/>
  <c r="AG34" i="43" s="1"/>
  <c r="AG8" i="43"/>
  <c r="AG41" i="43" s="1"/>
  <c r="AG27" i="43"/>
  <c r="AG30" i="43"/>
  <c r="AG35" i="43" s="1"/>
  <c r="AG6" i="43"/>
  <c r="AG47" i="43" s="1"/>
  <c r="AG29" i="43"/>
  <c r="AG16" i="43"/>
  <c r="AG23" i="43"/>
  <c r="AG17" i="43"/>
  <c r="AG13" i="43"/>
  <c r="AG33" i="43" s="1"/>
  <c r="AG9" i="43"/>
  <c r="AG5" i="43"/>
  <c r="AG19" i="43"/>
  <c r="AG42" i="43" s="1"/>
  <c r="AG7" i="43"/>
  <c r="AG2" i="43"/>
  <c r="AG38" i="43" s="1"/>
  <c r="AG26" i="43"/>
  <c r="AG36" i="43" s="1"/>
  <c r="AG18" i="43"/>
  <c r="AG25" i="43"/>
  <c r="AG21" i="43"/>
  <c r="AG12" i="43"/>
  <c r="AG15" i="43"/>
  <c r="AG44" i="43" s="1"/>
  <c r="AG3" i="43"/>
  <c r="AG32" i="43" s="1"/>
  <c r="AG11" i="43"/>
  <c r="AG39" i="43" s="1"/>
  <c r="AG22" i="43"/>
  <c r="AG37" i="43" s="1"/>
  <c r="AG4" i="30"/>
  <c r="AG40" i="30" s="1"/>
  <c r="AG8" i="30"/>
  <c r="AG41" i="30" s="1"/>
  <c r="AG12" i="30"/>
  <c r="AG16" i="30"/>
  <c r="AG23" i="30"/>
  <c r="AG25" i="30"/>
  <c r="AG26" i="30"/>
  <c r="AG36" i="30" s="1"/>
  <c r="AG22" i="30"/>
  <c r="AG37" i="30" s="1"/>
  <c r="AG3" i="30"/>
  <c r="AG32" i="30" s="1"/>
  <c r="AG7" i="30"/>
  <c r="AG11" i="30"/>
  <c r="AG39" i="30" s="1"/>
  <c r="AG15" i="30"/>
  <c r="AG44" i="30" s="1"/>
  <c r="AG18" i="30"/>
  <c r="AG24" i="30"/>
  <c r="AG5" i="30"/>
  <c r="AG9" i="30"/>
  <c r="AG13" i="30"/>
  <c r="AG33" i="30" s="1"/>
  <c r="AG17" i="30"/>
  <c r="AG20" i="30"/>
  <c r="AG28" i="30"/>
  <c r="AG43" i="30" s="1"/>
  <c r="AG30" i="30"/>
  <c r="AG35" i="30" s="1"/>
  <c r="AG6" i="30"/>
  <c r="AG47" i="30" s="1"/>
  <c r="AG10" i="30"/>
  <c r="AG46" i="30" s="1"/>
  <c r="AG14" i="30"/>
  <c r="AG34" i="30" s="1"/>
  <c r="AG19" i="30"/>
  <c r="AG42" i="30" s="1"/>
  <c r="AG21" i="30"/>
  <c r="AG27" i="30"/>
  <c r="AG29" i="30"/>
  <c r="AG2" i="30"/>
  <c r="AG38" i="30" s="1"/>
  <c r="AJ18" i="42"/>
  <c r="AJ17" i="42"/>
  <c r="AJ16" i="42"/>
  <c r="AJ15" i="42"/>
  <c r="AJ44" i="42" s="1"/>
  <c r="AJ14" i="42"/>
  <c r="AJ34" i="42" s="1"/>
  <c r="AJ13" i="42"/>
  <c r="AJ33" i="42" s="1"/>
  <c r="AJ12" i="42"/>
  <c r="AJ11" i="42"/>
  <c r="AJ39" i="42" s="1"/>
  <c r="AJ10" i="42"/>
  <c r="AJ46" i="42" s="1"/>
  <c r="AJ9" i="42"/>
  <c r="AJ8" i="42"/>
  <c r="AJ41" i="42" s="1"/>
  <c r="AJ7" i="42"/>
  <c r="AJ6" i="42"/>
  <c r="AJ47" i="42" s="1"/>
  <c r="AJ30" i="42"/>
  <c r="AJ35" i="42" s="1"/>
  <c r="AJ29" i="42"/>
  <c r="AJ28" i="42"/>
  <c r="AJ43" i="42" s="1"/>
  <c r="AJ27" i="42"/>
  <c r="AJ26" i="42"/>
  <c r="AJ36" i="42" s="1"/>
  <c r="AJ25" i="42"/>
  <c r="AJ24" i="42"/>
  <c r="AJ23" i="42"/>
  <c r="AJ22" i="42"/>
  <c r="AJ37" i="42" s="1"/>
  <c r="AJ21" i="42"/>
  <c r="AJ20" i="42"/>
  <c r="AJ19" i="42"/>
  <c r="AJ42" i="42" s="1"/>
  <c r="AJ5" i="42"/>
  <c r="AJ4" i="42"/>
  <c r="AJ40" i="42" s="1"/>
  <c r="AJ3" i="42"/>
  <c r="AJ32" i="42" s="1"/>
  <c r="AJ2" i="42"/>
  <c r="AJ38" i="42" s="1"/>
  <c r="K30" i="41"/>
  <c r="K29" i="41"/>
  <c r="K28" i="41"/>
  <c r="K27" i="41"/>
  <c r="K26" i="41"/>
  <c r="K25" i="41"/>
  <c r="K24" i="41"/>
  <c r="K23" i="41"/>
  <c r="K22" i="41"/>
  <c r="K21" i="41"/>
  <c r="K20" i="41"/>
  <c r="K19" i="41"/>
  <c r="K18" i="41"/>
  <c r="K17" i="41"/>
  <c r="K16" i="41"/>
  <c r="K15" i="41"/>
  <c r="K14" i="41"/>
  <c r="K13" i="41"/>
  <c r="K12" i="41"/>
  <c r="K11" i="41"/>
  <c r="K10" i="41"/>
  <c r="K9" i="41"/>
  <c r="K8" i="41"/>
  <c r="K7" i="41"/>
  <c r="K6" i="41"/>
  <c r="K5" i="41"/>
  <c r="K4" i="41"/>
  <c r="K3" i="41"/>
  <c r="K2" i="41"/>
  <c r="K2" i="29"/>
  <c r="K38" i="29" s="1"/>
  <c r="K3" i="29"/>
  <c r="K4" i="29"/>
  <c r="K5" i="29"/>
  <c r="K6" i="29"/>
  <c r="K8" i="29"/>
  <c r="K10" i="29"/>
  <c r="K12" i="29"/>
  <c r="K13" i="29"/>
  <c r="K14" i="29"/>
  <c r="K15" i="29"/>
  <c r="K16" i="29"/>
  <c r="K17" i="29"/>
  <c r="K18" i="29"/>
  <c r="K19" i="29"/>
  <c r="K20" i="29"/>
  <c r="K21" i="29"/>
  <c r="K22" i="29"/>
  <c r="K23" i="29"/>
  <c r="K24" i="29"/>
  <c r="K25" i="29"/>
  <c r="K26" i="29"/>
  <c r="K27" i="29"/>
  <c r="K28" i="29"/>
  <c r="K29" i="29"/>
  <c r="K30" i="29"/>
  <c r="K7" i="29"/>
  <c r="K9" i="29"/>
  <c r="K11" i="29"/>
  <c r="AJ10" i="43"/>
  <c r="AJ46" i="43" s="1"/>
  <c r="AJ24" i="43"/>
  <c r="AJ4" i="43"/>
  <c r="AJ40" i="43" s="1"/>
  <c r="AJ28" i="43"/>
  <c r="AJ43" i="43" s="1"/>
  <c r="AJ20" i="43"/>
  <c r="AJ14" i="43"/>
  <c r="AJ34" i="43" s="1"/>
  <c r="AJ8" i="43"/>
  <c r="AJ41" i="43" s="1"/>
  <c r="AJ27" i="43"/>
  <c r="AJ11" i="43"/>
  <c r="AJ39" i="43" s="1"/>
  <c r="AJ6" i="43"/>
  <c r="AJ47" i="43" s="1"/>
  <c r="AJ29" i="43"/>
  <c r="AJ16" i="43"/>
  <c r="AJ23" i="43"/>
  <c r="AJ30" i="43"/>
  <c r="AJ35" i="43" s="1"/>
  <c r="AJ22" i="43"/>
  <c r="AJ37" i="43" s="1"/>
  <c r="AJ17" i="43"/>
  <c r="AJ13" i="43"/>
  <c r="AJ33" i="43" s="1"/>
  <c r="AJ9" i="43"/>
  <c r="AJ5" i="43"/>
  <c r="AJ19" i="43"/>
  <c r="AJ42" i="43" s="1"/>
  <c r="AJ7" i="43"/>
  <c r="AJ26" i="43"/>
  <c r="AJ36" i="43" s="1"/>
  <c r="AJ18" i="43"/>
  <c r="AJ2" i="43"/>
  <c r="AJ38" i="43" s="1"/>
  <c r="AJ25" i="43"/>
  <c r="AJ21" i="43"/>
  <c r="AJ12" i="43"/>
  <c r="AJ15" i="43"/>
  <c r="AJ44" i="43" s="1"/>
  <c r="AJ3" i="43"/>
  <c r="AJ32" i="43" s="1"/>
  <c r="AJ3" i="30"/>
  <c r="AJ32" i="30" s="1"/>
  <c r="AJ7" i="30"/>
  <c r="AJ11" i="30"/>
  <c r="AJ39" i="30" s="1"/>
  <c r="AJ15" i="30"/>
  <c r="AJ44" i="30" s="1"/>
  <c r="AJ18" i="30"/>
  <c r="AJ24" i="30"/>
  <c r="AJ26" i="30"/>
  <c r="AJ36" i="30" s="1"/>
  <c r="AJ29" i="30"/>
  <c r="AJ2" i="30"/>
  <c r="AJ38" i="30" s="1"/>
  <c r="AJ8" i="30"/>
  <c r="AJ41" i="30" s="1"/>
  <c r="AJ6" i="30"/>
  <c r="AJ47" i="30" s="1"/>
  <c r="AJ10" i="30"/>
  <c r="AJ46" i="30" s="1"/>
  <c r="AJ14" i="30"/>
  <c r="AJ34" i="30" s="1"/>
  <c r="AJ19" i="30"/>
  <c r="AJ42" i="30" s="1"/>
  <c r="AJ21" i="30"/>
  <c r="AJ27" i="30"/>
  <c r="AJ12" i="30"/>
  <c r="AJ16" i="30"/>
  <c r="AJ23" i="30"/>
  <c r="AJ25" i="30"/>
  <c r="AJ5" i="30"/>
  <c r="AJ9" i="30"/>
  <c r="AJ13" i="30"/>
  <c r="AJ33" i="30" s="1"/>
  <c r="AJ17" i="30"/>
  <c r="AJ20" i="30"/>
  <c r="AJ22" i="30"/>
  <c r="AJ37" i="30" s="1"/>
  <c r="AJ28" i="30"/>
  <c r="AJ43" i="30" s="1"/>
  <c r="AJ30" i="30"/>
  <c r="AJ35" i="30" s="1"/>
  <c r="AJ4" i="30"/>
  <c r="AJ40" i="30" s="1"/>
  <c r="AN30" i="42"/>
  <c r="AN35" i="42" s="1"/>
  <c r="AN29" i="42"/>
  <c r="AN28" i="42"/>
  <c r="AN43" i="42" s="1"/>
  <c r="AN27" i="42"/>
  <c r="AN26" i="42"/>
  <c r="AN36" i="42" s="1"/>
  <c r="AN25" i="42"/>
  <c r="AN24" i="42"/>
  <c r="AN23" i="42"/>
  <c r="AN22" i="42"/>
  <c r="AN37" i="42" s="1"/>
  <c r="AN21" i="42"/>
  <c r="AN20" i="42"/>
  <c r="AN19" i="42"/>
  <c r="AN42" i="42" s="1"/>
  <c r="AN17" i="42"/>
  <c r="AN15" i="42"/>
  <c r="AN44" i="42" s="1"/>
  <c r="AN13" i="42"/>
  <c r="AN33" i="42" s="1"/>
  <c r="AN11" i="42"/>
  <c r="AN39" i="42" s="1"/>
  <c r="AN9" i="42"/>
  <c r="AN7" i="42"/>
  <c r="AN5" i="42"/>
  <c r="AN4" i="42"/>
  <c r="AN40" i="42" s="1"/>
  <c r="AN3" i="42"/>
  <c r="AN32" i="42" s="1"/>
  <c r="AN2" i="42"/>
  <c r="AN38" i="42" s="1"/>
  <c r="AN18" i="42"/>
  <c r="AN16" i="42"/>
  <c r="AN14" i="42"/>
  <c r="AN34" i="42" s="1"/>
  <c r="AN12" i="42"/>
  <c r="AN10" i="42"/>
  <c r="AN46" i="42" s="1"/>
  <c r="AN45" i="42" s="1"/>
  <c r="AN8" i="42"/>
  <c r="AN41" i="42" s="1"/>
  <c r="AN6" i="42"/>
  <c r="AN47" i="42" s="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O2" i="41"/>
  <c r="O2" i="29"/>
  <c r="O38" i="29" s="1"/>
  <c r="O3" i="29"/>
  <c r="O4" i="29"/>
  <c r="O5" i="29"/>
  <c r="O7" i="29"/>
  <c r="O9" i="29"/>
  <c r="O11" i="29"/>
  <c r="O13" i="29"/>
  <c r="O14" i="29"/>
  <c r="O15" i="29"/>
  <c r="O16" i="29"/>
  <c r="O17" i="29"/>
  <c r="O18" i="29"/>
  <c r="O19" i="29"/>
  <c r="O20" i="29"/>
  <c r="O21" i="29"/>
  <c r="O22" i="29"/>
  <c r="O23" i="29"/>
  <c r="O24" i="29"/>
  <c r="O25" i="29"/>
  <c r="O26" i="29"/>
  <c r="O27" i="29"/>
  <c r="O28" i="29"/>
  <c r="O29" i="29"/>
  <c r="O30" i="29"/>
  <c r="O6" i="29"/>
  <c r="O12" i="29"/>
  <c r="O10" i="29"/>
  <c r="O8" i="29"/>
  <c r="AN14" i="43"/>
  <c r="AN34" i="43" s="1"/>
  <c r="AN27" i="43"/>
  <c r="AN11" i="43"/>
  <c r="AN39" i="43" s="1"/>
  <c r="AN4" i="43"/>
  <c r="AN40" i="43" s="1"/>
  <c r="AN23" i="43"/>
  <c r="AN6" i="43"/>
  <c r="AN47" i="43" s="1"/>
  <c r="AN7" i="43"/>
  <c r="AN18" i="43"/>
  <c r="AN28" i="43"/>
  <c r="AN43" i="43" s="1"/>
  <c r="AN20" i="43"/>
  <c r="AN12" i="43"/>
  <c r="AN26" i="43"/>
  <c r="AN36" i="43" s="1"/>
  <c r="AN25" i="43"/>
  <c r="AN21" i="43"/>
  <c r="AN15" i="43"/>
  <c r="AN44" i="43" s="1"/>
  <c r="AN3" i="43"/>
  <c r="AN32" i="43" s="1"/>
  <c r="AN10" i="43"/>
  <c r="AN46" i="43" s="1"/>
  <c r="AN45" i="43" s="1"/>
  <c r="AN29" i="43"/>
  <c r="AN2" i="43"/>
  <c r="AN38" i="43" s="1"/>
  <c r="AN8" i="43"/>
  <c r="AN41" i="43" s="1"/>
  <c r="AN24" i="43"/>
  <c r="AN16" i="43"/>
  <c r="AN30" i="43"/>
  <c r="AN35" i="43" s="1"/>
  <c r="AN22" i="43"/>
  <c r="AN37" i="43" s="1"/>
  <c r="AN17" i="43"/>
  <c r="AN13" i="43"/>
  <c r="AN33" i="43" s="1"/>
  <c r="AN9" i="43"/>
  <c r="AN5" i="43"/>
  <c r="AN19" i="43"/>
  <c r="AN42" i="43" s="1"/>
  <c r="AN3" i="30"/>
  <c r="AN32" i="30" s="1"/>
  <c r="AN7" i="30"/>
  <c r="AN11" i="30"/>
  <c r="AN39" i="30" s="1"/>
  <c r="AN15" i="30"/>
  <c r="AN44" i="30" s="1"/>
  <c r="AN18" i="30"/>
  <c r="AN24" i="30"/>
  <c r="AN26" i="30"/>
  <c r="AN36" i="30" s="1"/>
  <c r="AN27" i="30"/>
  <c r="AN6" i="30"/>
  <c r="AN47" i="30" s="1"/>
  <c r="AN10" i="30"/>
  <c r="AN46" i="30" s="1"/>
  <c r="AN45" i="30" s="1"/>
  <c r="AN14" i="30"/>
  <c r="AN34" i="30" s="1"/>
  <c r="AN19" i="30"/>
  <c r="AN42" i="30" s="1"/>
  <c r="AN21" i="30"/>
  <c r="AN29" i="30"/>
  <c r="AN2" i="30"/>
  <c r="AN38" i="30" s="1"/>
  <c r="AN4" i="30"/>
  <c r="AN40" i="30" s="1"/>
  <c r="AN8" i="30"/>
  <c r="AN41" i="30" s="1"/>
  <c r="AN5" i="30"/>
  <c r="AN9" i="30"/>
  <c r="AN13" i="30"/>
  <c r="AN33" i="30" s="1"/>
  <c r="AN17" i="30"/>
  <c r="AN20" i="30"/>
  <c r="AN22" i="30"/>
  <c r="AN37" i="30" s="1"/>
  <c r="AN28" i="30"/>
  <c r="AN43" i="30" s="1"/>
  <c r="AN30" i="30"/>
  <c r="AN35" i="30" s="1"/>
  <c r="AN12" i="30"/>
  <c r="AN16" i="30"/>
  <c r="AN23" i="30"/>
  <c r="AN25" i="30"/>
  <c r="AR30" i="42"/>
  <c r="AR35" i="42" s="1"/>
  <c r="AR29" i="42"/>
  <c r="AR28" i="42"/>
  <c r="AR43" i="42" s="1"/>
  <c r="AR27" i="42"/>
  <c r="AR26" i="42"/>
  <c r="AR36" i="42" s="1"/>
  <c r="AR25" i="42"/>
  <c r="AR24" i="42"/>
  <c r="AR23" i="42"/>
  <c r="AR22" i="42"/>
  <c r="AR37" i="42" s="1"/>
  <c r="AR21" i="42"/>
  <c r="AR18" i="42"/>
  <c r="AR16" i="42"/>
  <c r="AR14" i="42"/>
  <c r="AR34" i="42" s="1"/>
  <c r="AR12" i="42"/>
  <c r="AR10" i="42"/>
  <c r="AR46" i="42" s="1"/>
  <c r="AR8" i="42"/>
  <c r="AR41" i="42" s="1"/>
  <c r="AR6" i="42"/>
  <c r="AR47" i="42" s="1"/>
  <c r="AR20" i="42"/>
  <c r="AR19" i="42"/>
  <c r="AR42" i="42" s="1"/>
  <c r="AR4" i="42"/>
  <c r="AR40" i="42" s="1"/>
  <c r="AR3" i="42"/>
  <c r="AR32" i="42" s="1"/>
  <c r="AR2" i="42"/>
  <c r="AR38" i="42" s="1"/>
  <c r="AR15" i="42"/>
  <c r="AR44" i="42" s="1"/>
  <c r="AR7" i="42"/>
  <c r="AR13" i="42"/>
  <c r="AR33" i="42" s="1"/>
  <c r="AR5" i="42"/>
  <c r="AR11" i="42"/>
  <c r="AR39" i="42" s="1"/>
  <c r="S30" i="41"/>
  <c r="S29" i="41"/>
  <c r="S28" i="41"/>
  <c r="S27" i="41"/>
  <c r="S26" i="41"/>
  <c r="S25" i="41"/>
  <c r="S24" i="41"/>
  <c r="S23" i="41"/>
  <c r="S22" i="41"/>
  <c r="S21" i="41"/>
  <c r="S20" i="41"/>
  <c r="S19" i="41"/>
  <c r="S18" i="41"/>
  <c r="S17" i="41"/>
  <c r="S16" i="41"/>
  <c r="S15" i="41"/>
  <c r="S14" i="41"/>
  <c r="S13" i="41"/>
  <c r="S12" i="41"/>
  <c r="S11" i="41"/>
  <c r="S10" i="41"/>
  <c r="S9" i="41"/>
  <c r="S8" i="41"/>
  <c r="S7" i="41"/>
  <c r="S6" i="41"/>
  <c r="S5" i="41"/>
  <c r="S4" i="41"/>
  <c r="S3" i="41"/>
  <c r="S2" i="41"/>
  <c r="S2" i="29"/>
  <c r="S38" i="29" s="1"/>
  <c r="S3" i="29"/>
  <c r="S4" i="29"/>
  <c r="S5" i="29"/>
  <c r="S7" i="29"/>
  <c r="S9" i="29"/>
  <c r="S11" i="29"/>
  <c r="S13" i="29"/>
  <c r="S14" i="29"/>
  <c r="S15" i="29"/>
  <c r="S16" i="29"/>
  <c r="S17" i="29"/>
  <c r="S18" i="29"/>
  <c r="S19" i="29"/>
  <c r="S20" i="29"/>
  <c r="S21" i="29"/>
  <c r="S22" i="29"/>
  <c r="S23" i="29"/>
  <c r="S24" i="29"/>
  <c r="S25" i="29"/>
  <c r="S26" i="29"/>
  <c r="S27" i="29"/>
  <c r="S28" i="29"/>
  <c r="S29" i="29"/>
  <c r="S30" i="29"/>
  <c r="AR17" i="42"/>
  <c r="S6" i="29"/>
  <c r="S8" i="29"/>
  <c r="S10" i="29"/>
  <c r="S12" i="29"/>
  <c r="AR9" i="42"/>
  <c r="AR26" i="43"/>
  <c r="AR36" i="43" s="1"/>
  <c r="AR21" i="43"/>
  <c r="AR15" i="43"/>
  <c r="AR44" i="43" s="1"/>
  <c r="AR27" i="43"/>
  <c r="AR4" i="43"/>
  <c r="AR40" i="43" s="1"/>
  <c r="AR30" i="43"/>
  <c r="AR35" i="43" s="1"/>
  <c r="AR13" i="43"/>
  <c r="AR33" i="43" s="1"/>
  <c r="AR5" i="43"/>
  <c r="AR19" i="43"/>
  <c r="AR42" i="43" s="1"/>
  <c r="AR7" i="43"/>
  <c r="AR14" i="43"/>
  <c r="AR34" i="43" s="1"/>
  <c r="AR18" i="43"/>
  <c r="AR2" i="43"/>
  <c r="AR38" i="43" s="1"/>
  <c r="AR25" i="43"/>
  <c r="AR28" i="43"/>
  <c r="AR43" i="43" s="1"/>
  <c r="AR20" i="43"/>
  <c r="AR12" i="43"/>
  <c r="AR3" i="43"/>
  <c r="AR32" i="43" s="1"/>
  <c r="AR8" i="43"/>
  <c r="AR41" i="43" s="1"/>
  <c r="AR11" i="43"/>
  <c r="AR39" i="43" s="1"/>
  <c r="AR10" i="43"/>
  <c r="AR46" i="43" s="1"/>
  <c r="AR29" i="43"/>
  <c r="AR24" i="43"/>
  <c r="AR16" i="43"/>
  <c r="AR23" i="43"/>
  <c r="AR22" i="43"/>
  <c r="AR37" i="43" s="1"/>
  <c r="AR6" i="43"/>
  <c r="AR47" i="43" s="1"/>
  <c r="AR17" i="43"/>
  <c r="AR9" i="43"/>
  <c r="AR3" i="30"/>
  <c r="AR32" i="30" s="1"/>
  <c r="AR7" i="30"/>
  <c r="AR11" i="30"/>
  <c r="AR39" i="30" s="1"/>
  <c r="AR15" i="30"/>
  <c r="AR44" i="30" s="1"/>
  <c r="AR18" i="30"/>
  <c r="AR24" i="30"/>
  <c r="AR26" i="30"/>
  <c r="AR36" i="30" s="1"/>
  <c r="AR29" i="30"/>
  <c r="AR2" i="30"/>
  <c r="AR38" i="30" s="1"/>
  <c r="AR4" i="30"/>
  <c r="AR40" i="30" s="1"/>
  <c r="AR8" i="30"/>
  <c r="AR41" i="30" s="1"/>
  <c r="AR12" i="30"/>
  <c r="AR23" i="30"/>
  <c r="AR25" i="30"/>
  <c r="AR6" i="30"/>
  <c r="AR47" i="30" s="1"/>
  <c r="AR10" i="30"/>
  <c r="AR46" i="30" s="1"/>
  <c r="AR14" i="30"/>
  <c r="AR34" i="30" s="1"/>
  <c r="AR19" i="30"/>
  <c r="AR42" i="30" s="1"/>
  <c r="AR21" i="30"/>
  <c r="AR27" i="30"/>
  <c r="AR16" i="30"/>
  <c r="AR5" i="30"/>
  <c r="AR9" i="30"/>
  <c r="AR13" i="30"/>
  <c r="AR33" i="30" s="1"/>
  <c r="AR17" i="30"/>
  <c r="AR20" i="30"/>
  <c r="AR22" i="30"/>
  <c r="AR37" i="30" s="1"/>
  <c r="AR28" i="30"/>
  <c r="AR43" i="30" s="1"/>
  <c r="AR30" i="30"/>
  <c r="AR35" i="30" s="1"/>
  <c r="AY17" i="42"/>
  <c r="AY15" i="42"/>
  <c r="AY44" i="42" s="1"/>
  <c r="AY13" i="42"/>
  <c r="AY33" i="42" s="1"/>
  <c r="AY11" i="42"/>
  <c r="AY39" i="42" s="1"/>
  <c r="AY9" i="42"/>
  <c r="AY7" i="42"/>
  <c r="AY5" i="42"/>
  <c r="Z30" i="41"/>
  <c r="Z29" i="41"/>
  <c r="Z28" i="41"/>
  <c r="Z27" i="41"/>
  <c r="Z26" i="41"/>
  <c r="Z25" i="41"/>
  <c r="Z24" i="41"/>
  <c r="Z23" i="41"/>
  <c r="Z22" i="41"/>
  <c r="Z21" i="41"/>
  <c r="Z20" i="41"/>
  <c r="Z19" i="41"/>
  <c r="Z18" i="41"/>
  <c r="Z17" i="41"/>
  <c r="Z16" i="41"/>
  <c r="Z15" i="41"/>
  <c r="Z14" i="41"/>
  <c r="Z13" i="41"/>
  <c r="Z12" i="41"/>
  <c r="Z11" i="41"/>
  <c r="Z10" i="41"/>
  <c r="Z9" i="41"/>
  <c r="Z8" i="41"/>
  <c r="Z7" i="41"/>
  <c r="Z6" i="41"/>
  <c r="Z5" i="41"/>
  <c r="Z4" i="41"/>
  <c r="Z3" i="41"/>
  <c r="Z2" i="41"/>
  <c r="AY29" i="42"/>
  <c r="AY27" i="42"/>
  <c r="AY25" i="42"/>
  <c r="AY23" i="42"/>
  <c r="AY21" i="42"/>
  <c r="AY20" i="42"/>
  <c r="AY19" i="42"/>
  <c r="AY42" i="42" s="1"/>
  <c r="AY18" i="42"/>
  <c r="AY16" i="42"/>
  <c r="AY14" i="42"/>
  <c r="AY34" i="42" s="1"/>
  <c r="AY12" i="42"/>
  <c r="AY10" i="42"/>
  <c r="AY46" i="42" s="1"/>
  <c r="AY45" i="42" s="1"/>
  <c r="AY8" i="42"/>
  <c r="AY41" i="42" s="1"/>
  <c r="AY6" i="42"/>
  <c r="AY47" i="42" s="1"/>
  <c r="AY30" i="42"/>
  <c r="AY35" i="42" s="1"/>
  <c r="AY22" i="42"/>
  <c r="AY37" i="42" s="1"/>
  <c r="AY3" i="42"/>
  <c r="AY32" i="42" s="1"/>
  <c r="AY24" i="42"/>
  <c r="Z2" i="29"/>
  <c r="Z38" i="29" s="1"/>
  <c r="Z3" i="29"/>
  <c r="Z4" i="29"/>
  <c r="Z5" i="29"/>
  <c r="AY26" i="42"/>
  <c r="AY36" i="42" s="1"/>
  <c r="AY4" i="42"/>
  <c r="AY40" i="42" s="1"/>
  <c r="AY2" i="42"/>
  <c r="AY38" i="42" s="1"/>
  <c r="AY28" i="42"/>
  <c r="AY43" i="42" s="1"/>
  <c r="Z13" i="29"/>
  <c r="Z14" i="29"/>
  <c r="Z15" i="29"/>
  <c r="Z16" i="29"/>
  <c r="Z17" i="29"/>
  <c r="Z18" i="29"/>
  <c r="Z19" i="29"/>
  <c r="Z20" i="29"/>
  <c r="Z21" i="29"/>
  <c r="Z22" i="29"/>
  <c r="Z23" i="29"/>
  <c r="Z24" i="29"/>
  <c r="Z25" i="29"/>
  <c r="Z26" i="29"/>
  <c r="Z27" i="29"/>
  <c r="Z28" i="29"/>
  <c r="Z29" i="29"/>
  <c r="Z30" i="29"/>
  <c r="Z7" i="29"/>
  <c r="Z9" i="29"/>
  <c r="Z11" i="29"/>
  <c r="Z10" i="29"/>
  <c r="Z8" i="29"/>
  <c r="Z6" i="29"/>
  <c r="Z12" i="29"/>
  <c r="AY10" i="43"/>
  <c r="AY46" i="43" s="1"/>
  <c r="AY24" i="43"/>
  <c r="AY4" i="43"/>
  <c r="AY40" i="43" s="1"/>
  <c r="AY28" i="43"/>
  <c r="AY43" i="43" s="1"/>
  <c r="AY20" i="43"/>
  <c r="AY14" i="43"/>
  <c r="AY34" i="43" s="1"/>
  <c r="AY2" i="43"/>
  <c r="AY38" i="43" s="1"/>
  <c r="AY8" i="43"/>
  <c r="AY41" i="43" s="1"/>
  <c r="AY27" i="43"/>
  <c r="AY11" i="43"/>
  <c r="AY39" i="43" s="1"/>
  <c r="AY30" i="43"/>
  <c r="AY35" i="43" s="1"/>
  <c r="AY22" i="43"/>
  <c r="AY37" i="43" s="1"/>
  <c r="AY29" i="43"/>
  <c r="AY16" i="43"/>
  <c r="AY23" i="43"/>
  <c r="AY17" i="43"/>
  <c r="AY13" i="43"/>
  <c r="AY33" i="43" s="1"/>
  <c r="AY9" i="43"/>
  <c r="AY5" i="43"/>
  <c r="AY19" i="43"/>
  <c r="AY42" i="43" s="1"/>
  <c r="AY7" i="43"/>
  <c r="AY26" i="43"/>
  <c r="AY36" i="43" s="1"/>
  <c r="AY18" i="43"/>
  <c r="AY25" i="43"/>
  <c r="AY21" i="43"/>
  <c r="AY12" i="43"/>
  <c r="AY15" i="43"/>
  <c r="AY44" i="43" s="1"/>
  <c r="AY3" i="43"/>
  <c r="AY32" i="43" s="1"/>
  <c r="AY6" i="43"/>
  <c r="AY47" i="43" s="1"/>
  <c r="AY6" i="30"/>
  <c r="AY47" i="30" s="1"/>
  <c r="AY10" i="30"/>
  <c r="AY46" i="30" s="1"/>
  <c r="AY45" i="30" s="1"/>
  <c r="AY14" i="30"/>
  <c r="AY34" i="30" s="1"/>
  <c r="AY19" i="30"/>
  <c r="AY42" i="30" s="1"/>
  <c r="AY21" i="30"/>
  <c r="AY27" i="30"/>
  <c r="AY29" i="30"/>
  <c r="AY2" i="30"/>
  <c r="AY38" i="30" s="1"/>
  <c r="AY28" i="30"/>
  <c r="AY43" i="30" s="1"/>
  <c r="AY30" i="30"/>
  <c r="AY35" i="30" s="1"/>
  <c r="AY3" i="30"/>
  <c r="AY32" i="30" s="1"/>
  <c r="AY5" i="30"/>
  <c r="AY9" i="30"/>
  <c r="AY13" i="30"/>
  <c r="AY33" i="30" s="1"/>
  <c r="AY17" i="30"/>
  <c r="AY20" i="30"/>
  <c r="AY22" i="30"/>
  <c r="AY37" i="30" s="1"/>
  <c r="AY4" i="30"/>
  <c r="AY40" i="30" s="1"/>
  <c r="AY8" i="30"/>
  <c r="AY41" i="30" s="1"/>
  <c r="AY12" i="30"/>
  <c r="AY16" i="30"/>
  <c r="AY23" i="30"/>
  <c r="AY25" i="30"/>
  <c r="AY7" i="30"/>
  <c r="AY11" i="30"/>
  <c r="AY39" i="30" s="1"/>
  <c r="AY15" i="30"/>
  <c r="AY44" i="30" s="1"/>
  <c r="AY18" i="30"/>
  <c r="AY24" i="30"/>
  <c r="AY26" i="30"/>
  <c r="AY36" i="30" s="1"/>
  <c r="E28" i="20"/>
  <c r="C43" i="20"/>
  <c r="E43" i="20" s="1"/>
  <c r="C33" i="20"/>
  <c r="E33" i="20" s="1"/>
  <c r="E13" i="20"/>
  <c r="C73" i="45"/>
  <c r="E73" i="45" s="1"/>
  <c r="C59" i="45"/>
  <c r="E59" i="45" s="1"/>
  <c r="E7" i="45"/>
  <c r="E8" i="45"/>
  <c r="C41" i="45"/>
  <c r="E41" i="45" s="1"/>
  <c r="C69" i="20"/>
  <c r="E69" i="20" s="1"/>
  <c r="E24" i="20"/>
  <c r="C55" i="20"/>
  <c r="E55" i="20" s="1"/>
  <c r="C76" i="45"/>
  <c r="E76" i="45" s="1"/>
  <c r="C62" i="45"/>
  <c r="E62" i="45" s="1"/>
  <c r="E27" i="45"/>
  <c r="E4" i="45"/>
  <c r="C40" i="45"/>
  <c r="E40" i="45" s="1"/>
  <c r="E2" i="20"/>
  <c r="C38" i="20"/>
  <c r="E38" i="20" s="1"/>
  <c r="C61" i="20"/>
  <c r="E61" i="20" s="1"/>
  <c r="E18" i="20"/>
  <c r="C75" i="20"/>
  <c r="E75" i="20" s="1"/>
  <c r="C53" i="45"/>
  <c r="E53" i="45" s="1"/>
  <c r="E5" i="45"/>
  <c r="C67" i="45"/>
  <c r="E67" i="45" s="1"/>
  <c r="C51" i="45"/>
  <c r="E51" i="45" s="1"/>
  <c r="E21" i="45"/>
  <c r="C65" i="45"/>
  <c r="C59" i="20"/>
  <c r="E59" i="20" s="1"/>
  <c r="E7" i="20"/>
  <c r="C73" i="20"/>
  <c r="E73" i="20" s="1"/>
  <c r="E23" i="20"/>
  <c r="C49" i="20"/>
  <c r="E10" i="45"/>
  <c r="C46" i="45"/>
  <c r="E26" i="45"/>
  <c r="C36" i="45"/>
  <c r="E36" i="45" s="1"/>
  <c r="AC41" i="37"/>
  <c r="AE8" i="37"/>
  <c r="H13" i="37"/>
  <c r="H33" i="37" s="1"/>
  <c r="H26" i="37"/>
  <c r="H36" i="37" s="1"/>
  <c r="K36" i="37" s="1"/>
  <c r="H6" i="37"/>
  <c r="H47" i="37" s="1"/>
  <c r="K47" i="37" s="1"/>
  <c r="AF74" i="37"/>
  <c r="AF60" i="37"/>
  <c r="AC66" i="37"/>
  <c r="AC52" i="37"/>
  <c r="AE17" i="37"/>
  <c r="H22" i="37"/>
  <c r="H37" i="37" s="1"/>
  <c r="K37" i="37" s="1"/>
  <c r="AJ35" i="37"/>
  <c r="AH35" i="37"/>
  <c r="AC47" i="37"/>
  <c r="AE47" i="37" s="1"/>
  <c r="AE6" i="37"/>
  <c r="H11" i="37"/>
  <c r="H39" i="37" s="1"/>
  <c r="K39" i="37" s="1"/>
  <c r="AF52" i="37"/>
  <c r="AF66" i="37"/>
  <c r="AC37" i="37"/>
  <c r="AE37" i="37" s="1"/>
  <c r="AE22" i="37"/>
  <c r="H29" i="37"/>
  <c r="AE16" i="37"/>
  <c r="AC58" i="37"/>
  <c r="AC72" i="37"/>
  <c r="H28" i="37"/>
  <c r="H43" i="37" s="1"/>
  <c r="K43" i="37" s="1"/>
  <c r="H4" i="37"/>
  <c r="H40" i="37" s="1"/>
  <c r="K40" i="37" s="1"/>
  <c r="AH45" i="37"/>
  <c r="AH46" i="37"/>
  <c r="AJ46" i="37"/>
  <c r="AC44" i="37"/>
  <c r="AE44" i="37" s="1"/>
  <c r="AE15" i="37"/>
  <c r="H20" i="37"/>
  <c r="AF50" i="37"/>
  <c r="AF64" i="37"/>
  <c r="AC36" i="37"/>
  <c r="AE36" i="37" s="1"/>
  <c r="AE26" i="37"/>
  <c r="AE30" i="37"/>
  <c r="AC35" i="37"/>
  <c r="AE35" i="37" s="1"/>
  <c r="D5" i="37"/>
  <c r="D9" i="37"/>
  <c r="D13" i="37"/>
  <c r="D33" i="37" s="1"/>
  <c r="D17" i="37"/>
  <c r="D21" i="37"/>
  <c r="D25" i="37"/>
  <c r="D29" i="37"/>
  <c r="H14" i="16"/>
  <c r="H12" i="16"/>
  <c r="AF71" i="16"/>
  <c r="AF57" i="16"/>
  <c r="H2" i="16"/>
  <c r="AH41" i="16"/>
  <c r="H19" i="16"/>
  <c r="H10" i="16"/>
  <c r="H46" i="16" s="1"/>
  <c r="AE3" i="16"/>
  <c r="AC32" i="16"/>
  <c r="AF53" i="16"/>
  <c r="AF67" i="16"/>
  <c r="AH33" i="16"/>
  <c r="H17" i="16"/>
  <c r="H28" i="16"/>
  <c r="D13" i="16"/>
  <c r="D33" i="16" s="1"/>
  <c r="AC35" i="16"/>
  <c r="AE35" i="16" s="1"/>
  <c r="AE30" i="16"/>
  <c r="H11" i="16"/>
  <c r="H20" i="16"/>
  <c r="H26" i="16"/>
  <c r="H29" i="16"/>
  <c r="D3" i="16"/>
  <c r="D32" i="16" s="1"/>
  <c r="D22" i="16"/>
  <c r="D37" i="16" s="1"/>
  <c r="AC47" i="16"/>
  <c r="AE47" i="16" s="1"/>
  <c r="AE6" i="16"/>
  <c r="AC42" i="16"/>
  <c r="AE42" i="16" s="1"/>
  <c r="AE19" i="16"/>
  <c r="D5" i="16"/>
  <c r="D14" i="16"/>
  <c r="D34" i="16" s="1"/>
  <c r="D21" i="16"/>
  <c r="D4" i="16"/>
  <c r="D40" i="16" s="1"/>
  <c r="AC39" i="16"/>
  <c r="AE39" i="16" s="1"/>
  <c r="D20" i="16"/>
  <c r="AC76" i="16"/>
  <c r="AC62" i="16"/>
  <c r="CB30" i="42"/>
  <c r="CB35" i="42" s="1"/>
  <c r="CB29" i="42"/>
  <c r="CB28" i="42"/>
  <c r="CB43" i="42" s="1"/>
  <c r="CB27" i="42"/>
  <c r="CB26" i="42"/>
  <c r="CB36" i="42" s="1"/>
  <c r="CB25" i="42"/>
  <c r="CB24" i="42"/>
  <c r="CB23" i="42"/>
  <c r="CB49" i="42" s="1"/>
  <c r="CB22" i="42"/>
  <c r="CB37" i="42" s="1"/>
  <c r="CB21" i="42"/>
  <c r="CB20" i="42"/>
  <c r="CB19" i="42"/>
  <c r="CB42" i="42" s="1"/>
  <c r="CB18" i="42"/>
  <c r="CB17" i="42"/>
  <c r="CB16" i="42"/>
  <c r="CB15" i="42"/>
  <c r="CB44" i="42" s="1"/>
  <c r="CB14" i="42"/>
  <c r="CB34" i="42" s="1"/>
  <c r="CB13" i="42"/>
  <c r="CB33" i="42" s="1"/>
  <c r="CB12" i="42"/>
  <c r="CB11" i="42"/>
  <c r="CB39" i="42" s="1"/>
  <c r="CB10" i="42"/>
  <c r="CB46" i="42" s="1"/>
  <c r="CB9" i="42"/>
  <c r="CB8" i="42"/>
  <c r="CB41" i="42" s="1"/>
  <c r="CB7" i="42"/>
  <c r="CB6" i="42"/>
  <c r="CB47" i="42" s="1"/>
  <c r="CB5" i="42"/>
  <c r="CB4" i="42"/>
  <c r="CB40" i="42" s="1"/>
  <c r="CB3" i="42"/>
  <c r="CB32" i="42" s="1"/>
  <c r="CB2" i="42"/>
  <c r="CB38" i="42" s="1"/>
  <c r="BC30" i="41"/>
  <c r="BC35" i="41" s="1"/>
  <c r="AD30" i="41"/>
  <c r="AD29" i="41"/>
  <c r="AD28" i="41"/>
  <c r="AD27" i="41"/>
  <c r="AD26" i="41"/>
  <c r="AD25" i="41"/>
  <c r="AD24" i="41"/>
  <c r="AD23" i="41"/>
  <c r="AD22" i="41"/>
  <c r="AD21" i="41"/>
  <c r="AD20" i="41"/>
  <c r="AD19" i="41"/>
  <c r="AD18" i="41"/>
  <c r="AD17" i="41"/>
  <c r="AD16" i="41"/>
  <c r="AD15" i="41"/>
  <c r="AD14" i="41"/>
  <c r="AD13" i="41"/>
  <c r="AD12" i="41"/>
  <c r="AD11" i="41"/>
  <c r="AD10" i="41"/>
  <c r="AD9" i="41"/>
  <c r="AD8" i="41"/>
  <c r="AD7" i="41"/>
  <c r="AD6" i="41"/>
  <c r="AD5" i="41"/>
  <c r="AD4" i="41"/>
  <c r="AD3" i="41"/>
  <c r="AD2" i="41"/>
  <c r="BC29" i="41"/>
  <c r="BC28" i="41"/>
  <c r="BC43" i="41" s="1"/>
  <c r="BC10" i="41"/>
  <c r="BC46" i="41" s="1"/>
  <c r="BC9" i="41"/>
  <c r="BC8" i="41"/>
  <c r="BC41" i="41" s="1"/>
  <c r="AD2" i="29"/>
  <c r="AD38" i="29" s="1"/>
  <c r="BC2" i="29"/>
  <c r="BC38" i="29" s="1"/>
  <c r="AD3" i="29"/>
  <c r="BC3" i="29"/>
  <c r="BC32" i="29" s="1"/>
  <c r="AD4" i="29"/>
  <c r="BC4" i="29"/>
  <c r="BC40" i="29" s="1"/>
  <c r="AD5" i="29"/>
  <c r="BC5" i="29"/>
  <c r="AD6" i="29"/>
  <c r="BC6" i="29"/>
  <c r="BC47" i="29" s="1"/>
  <c r="AD7" i="29"/>
  <c r="BC7" i="29"/>
  <c r="AD8" i="29"/>
  <c r="BC8" i="29"/>
  <c r="BC41" i="29" s="1"/>
  <c r="AD9" i="29"/>
  <c r="BC9" i="29"/>
  <c r="AD10" i="29"/>
  <c r="BC10" i="29"/>
  <c r="BC46" i="29" s="1"/>
  <c r="BC45" i="29" s="1"/>
  <c r="AD11" i="29"/>
  <c r="BC11" i="29"/>
  <c r="BC39" i="29" s="1"/>
  <c r="AD12" i="29"/>
  <c r="BC12" i="29"/>
  <c r="BC27" i="41"/>
  <c r="BC26" i="41"/>
  <c r="BC36" i="41" s="1"/>
  <c r="BC25" i="41"/>
  <c r="BC24" i="41"/>
  <c r="BC23" i="41"/>
  <c r="BC49" i="41" s="1"/>
  <c r="BC21" i="41"/>
  <c r="BC20" i="41"/>
  <c r="BC19" i="41"/>
  <c r="BC42" i="41" s="1"/>
  <c r="BC18" i="41"/>
  <c r="BC17" i="41"/>
  <c r="BC16" i="41"/>
  <c r="BC15" i="41"/>
  <c r="BC44" i="41" s="1"/>
  <c r="BC12" i="41"/>
  <c r="BC11" i="41"/>
  <c r="BC39" i="41" s="1"/>
  <c r="BC22" i="41"/>
  <c r="BC37" i="41" s="1"/>
  <c r="BC14" i="41"/>
  <c r="BC34" i="41" s="1"/>
  <c r="BC13" i="41"/>
  <c r="BC33" i="41" s="1"/>
  <c r="BC2" i="41"/>
  <c r="BC38" i="41" s="1"/>
  <c r="BC4" i="41"/>
  <c r="BC40" i="41" s="1"/>
  <c r="BC6" i="41"/>
  <c r="BC47" i="41" s="1"/>
  <c r="BC5" i="41"/>
  <c r="BC7" i="41"/>
  <c r="AD13" i="29"/>
  <c r="BC14" i="29"/>
  <c r="BC34" i="29" s="1"/>
  <c r="AD15" i="29"/>
  <c r="BC16" i="29"/>
  <c r="AD17" i="29"/>
  <c r="BC18" i="29"/>
  <c r="AD19" i="29"/>
  <c r="BC20" i="29"/>
  <c r="AD21" i="29"/>
  <c r="BC22" i="29"/>
  <c r="BC37" i="29" s="1"/>
  <c r="AD23" i="29"/>
  <c r="BC24" i="29"/>
  <c r="AD25" i="29"/>
  <c r="BC26" i="29"/>
  <c r="BC36" i="29" s="1"/>
  <c r="AD27" i="29"/>
  <c r="BC28" i="29"/>
  <c r="BC43" i="29" s="1"/>
  <c r="AD29" i="29"/>
  <c r="BC30" i="29"/>
  <c r="BC35" i="29" s="1"/>
  <c r="BC3" i="41"/>
  <c r="BC32" i="41" s="1"/>
  <c r="BC13" i="29"/>
  <c r="BC33" i="29" s="1"/>
  <c r="AD14" i="29"/>
  <c r="BC15" i="29"/>
  <c r="BC44" i="29" s="1"/>
  <c r="AD16" i="29"/>
  <c r="BC17" i="29"/>
  <c r="AD18" i="29"/>
  <c r="BC19" i="29"/>
  <c r="BC42" i="29" s="1"/>
  <c r="AD20" i="29"/>
  <c r="BC21" i="29"/>
  <c r="AD22" i="29"/>
  <c r="BC23" i="29"/>
  <c r="BC49" i="29" s="1"/>
  <c r="AD24" i="29"/>
  <c r="BC25" i="29"/>
  <c r="AD26" i="29"/>
  <c r="BC27" i="29"/>
  <c r="AD28" i="29"/>
  <c r="BC29" i="29"/>
  <c r="AD30" i="29"/>
  <c r="CB22" i="43"/>
  <c r="CB37" i="43" s="1"/>
  <c r="CB17" i="43"/>
  <c r="CB9" i="43"/>
  <c r="CB5" i="43"/>
  <c r="CB19" i="43"/>
  <c r="CB42" i="43" s="1"/>
  <c r="CB25" i="43"/>
  <c r="CB28" i="43"/>
  <c r="CB43" i="43" s="1"/>
  <c r="CB20" i="43"/>
  <c r="CB12" i="43"/>
  <c r="CB15" i="43"/>
  <c r="CB44" i="43" s="1"/>
  <c r="CB3" i="43"/>
  <c r="CB32" i="43" s="1"/>
  <c r="CB14" i="43"/>
  <c r="CB34" i="43" s="1"/>
  <c r="CB16" i="43"/>
  <c r="CB26" i="43"/>
  <c r="CB36" i="43" s="1"/>
  <c r="CB18" i="43"/>
  <c r="CB10" i="43"/>
  <c r="CB46" i="43" s="1"/>
  <c r="CB24" i="43"/>
  <c r="CB4" i="43"/>
  <c r="CB40" i="43" s="1"/>
  <c r="CB23" i="43"/>
  <c r="CB30" i="43"/>
  <c r="CB35" i="43" s="1"/>
  <c r="CB6" i="43"/>
  <c r="CB47" i="43" s="1"/>
  <c r="CB13" i="43"/>
  <c r="CB33" i="43" s="1"/>
  <c r="CB7" i="43"/>
  <c r="CB21" i="43"/>
  <c r="CB8" i="43"/>
  <c r="CB41" i="43" s="1"/>
  <c r="CB27" i="43"/>
  <c r="CB11" i="43"/>
  <c r="CB39" i="43" s="1"/>
  <c r="CB29" i="43"/>
  <c r="CB2" i="43"/>
  <c r="CB38" i="43" s="1"/>
  <c r="CB3" i="30"/>
  <c r="CB32" i="30" s="1"/>
  <c r="CB4" i="30"/>
  <c r="CB40" i="30" s="1"/>
  <c r="CB6" i="30"/>
  <c r="CB47" i="30" s="1"/>
  <c r="CB8" i="30"/>
  <c r="CB41" i="30" s="1"/>
  <c r="CB15" i="30"/>
  <c r="CB44" i="30" s="1"/>
  <c r="CB21" i="30"/>
  <c r="CB22" i="30"/>
  <c r="CB37" i="30" s="1"/>
  <c r="CB24" i="30"/>
  <c r="CB25" i="30"/>
  <c r="CB26" i="30"/>
  <c r="CB36" i="30" s="1"/>
  <c r="CB27" i="30"/>
  <c r="CB28" i="30"/>
  <c r="CB43" i="30" s="1"/>
  <c r="CB30" i="30"/>
  <c r="CB35" i="30" s="1"/>
  <c r="CB5" i="30"/>
  <c r="CB7" i="30"/>
  <c r="CB9" i="30"/>
  <c r="CB10" i="30"/>
  <c r="CB46" i="30" s="1"/>
  <c r="CB45" i="30" s="1"/>
  <c r="CB11" i="30"/>
  <c r="CB39" i="30" s="1"/>
  <c r="CB12" i="30"/>
  <c r="CB13" i="30"/>
  <c r="CB33" i="30" s="1"/>
  <c r="CB14" i="30"/>
  <c r="CB34" i="30" s="1"/>
  <c r="CB16" i="30"/>
  <c r="CB17" i="30"/>
  <c r="CB18" i="30"/>
  <c r="CB19" i="30"/>
  <c r="CB42" i="30" s="1"/>
  <c r="CB20" i="30"/>
  <c r="CB23" i="30"/>
  <c r="CB49" i="30" s="1"/>
  <c r="CB29" i="30"/>
  <c r="CQ30" i="42"/>
  <c r="CQ35" i="42" s="1"/>
  <c r="CQ29" i="42"/>
  <c r="CQ28" i="42"/>
  <c r="CQ43" i="42" s="1"/>
  <c r="CQ27" i="42"/>
  <c r="CQ26" i="42"/>
  <c r="CQ36" i="42" s="1"/>
  <c r="CQ25" i="42"/>
  <c r="CQ24" i="42"/>
  <c r="CQ23" i="42"/>
  <c r="CQ49" i="42" s="1"/>
  <c r="CQ22" i="42"/>
  <c r="CQ37" i="42" s="1"/>
  <c r="CQ21" i="42"/>
  <c r="CQ20" i="42"/>
  <c r="CQ19" i="42"/>
  <c r="CQ42" i="42" s="1"/>
  <c r="CQ18" i="42"/>
  <c r="CQ17" i="42"/>
  <c r="CQ16" i="42"/>
  <c r="CQ15" i="42"/>
  <c r="CQ44" i="42" s="1"/>
  <c r="CQ14" i="42"/>
  <c r="CQ34" i="42" s="1"/>
  <c r="CQ13" i="42"/>
  <c r="CQ33" i="42" s="1"/>
  <c r="CQ12" i="42"/>
  <c r="CQ11" i="42"/>
  <c r="CQ39" i="42" s="1"/>
  <c r="CQ10" i="42"/>
  <c r="CQ46" i="42" s="1"/>
  <c r="CQ9" i="42"/>
  <c r="CQ8" i="42"/>
  <c r="CQ41" i="42" s="1"/>
  <c r="CQ7" i="42"/>
  <c r="CQ6" i="42"/>
  <c r="CQ47" i="42" s="1"/>
  <c r="CQ5" i="42"/>
  <c r="CQ4" i="42"/>
  <c r="CQ40" i="42" s="1"/>
  <c r="CQ3" i="42"/>
  <c r="CQ32" i="42" s="1"/>
  <c r="CQ31" i="42" s="1"/>
  <c r="CQ2" i="42"/>
  <c r="CQ38" i="42" s="1"/>
  <c r="BR30" i="41"/>
  <c r="BR35" i="41" s="1"/>
  <c r="BR7" i="41"/>
  <c r="BR6" i="41"/>
  <c r="BQ47" i="41" s="1"/>
  <c r="BR5" i="41"/>
  <c r="BR4" i="41"/>
  <c r="BR40" i="41" s="1"/>
  <c r="BR3" i="41"/>
  <c r="BR32" i="41" s="1"/>
  <c r="AS30" i="41"/>
  <c r="AS29" i="41"/>
  <c r="AS28" i="41"/>
  <c r="AS27" i="41"/>
  <c r="AS26" i="41"/>
  <c r="AS25" i="41"/>
  <c r="AS24" i="41"/>
  <c r="AS23" i="41"/>
  <c r="AS22" i="41"/>
  <c r="AS21" i="41"/>
  <c r="AS20" i="41"/>
  <c r="AS19" i="41"/>
  <c r="AS18" i="41"/>
  <c r="AS17" i="41"/>
  <c r="AS16" i="41"/>
  <c r="AS15" i="41"/>
  <c r="AS14" i="41"/>
  <c r="AS13" i="41"/>
  <c r="AS12" i="41"/>
  <c r="AS11" i="41"/>
  <c r="AS10" i="41"/>
  <c r="AS9" i="41"/>
  <c r="AS8" i="41"/>
  <c r="AS7" i="41"/>
  <c r="AS6" i="41"/>
  <c r="AS5" i="41"/>
  <c r="AS4" i="41"/>
  <c r="AS3" i="41"/>
  <c r="AS2" i="41"/>
  <c r="BR29" i="41"/>
  <c r="BR28" i="41"/>
  <c r="BR43" i="41" s="1"/>
  <c r="BR10" i="41"/>
  <c r="BQ46" i="41" s="1"/>
  <c r="BR9" i="41"/>
  <c r="BR8" i="41"/>
  <c r="BR41" i="41" s="1"/>
  <c r="BR27" i="41"/>
  <c r="BR26" i="41"/>
  <c r="BR36" i="41" s="1"/>
  <c r="BR25" i="41"/>
  <c r="BR24" i="41"/>
  <c r="BR23" i="41"/>
  <c r="BR49" i="41" s="1"/>
  <c r="BR21" i="41"/>
  <c r="BR20" i="41"/>
  <c r="BR19" i="41"/>
  <c r="BR42" i="41" s="1"/>
  <c r="BR18" i="41"/>
  <c r="BR17" i="41"/>
  <c r="BR16" i="41"/>
  <c r="BR15" i="41"/>
  <c r="BR44" i="41" s="1"/>
  <c r="BR12" i="41"/>
  <c r="BR11" i="41"/>
  <c r="BR39" i="41" s="1"/>
  <c r="BR2" i="41"/>
  <c r="BR38" i="41" s="1"/>
  <c r="BR13" i="41"/>
  <c r="BR33" i="41" s="1"/>
  <c r="AS2" i="29"/>
  <c r="AS38" i="29" s="1"/>
  <c r="BR3" i="29"/>
  <c r="BR32" i="29" s="1"/>
  <c r="AS4" i="29"/>
  <c r="BR5" i="29"/>
  <c r="AS6" i="29"/>
  <c r="BR7" i="29"/>
  <c r="AS8" i="29"/>
  <c r="BR9" i="29"/>
  <c r="AS10" i="29"/>
  <c r="BR11" i="29"/>
  <c r="BR39" i="29" s="1"/>
  <c r="AS12" i="29"/>
  <c r="BR14" i="41"/>
  <c r="BR34" i="41" s="1"/>
  <c r="BR12" i="29"/>
  <c r="AS13" i="29"/>
  <c r="BR13" i="29"/>
  <c r="BR33" i="29" s="1"/>
  <c r="AS14" i="29"/>
  <c r="BR14" i="29"/>
  <c r="BR34" i="29" s="1"/>
  <c r="AS15" i="29"/>
  <c r="BR15" i="29"/>
  <c r="BR44" i="29" s="1"/>
  <c r="AS16" i="29"/>
  <c r="BR16" i="29"/>
  <c r="AS17" i="29"/>
  <c r="BR17" i="29"/>
  <c r="AS18" i="29"/>
  <c r="BR18" i="29"/>
  <c r="AS19" i="29"/>
  <c r="BR19" i="29"/>
  <c r="BR42" i="29" s="1"/>
  <c r="AS20" i="29"/>
  <c r="BR20" i="29"/>
  <c r="AS21" i="29"/>
  <c r="BR21" i="29"/>
  <c r="AS22" i="29"/>
  <c r="BR22" i="29"/>
  <c r="BR37" i="29" s="1"/>
  <c r="AS23" i="29"/>
  <c r="BR23" i="29"/>
  <c r="BR49" i="29" s="1"/>
  <c r="AS24" i="29"/>
  <c r="BR24" i="29"/>
  <c r="AS25" i="29"/>
  <c r="BR25" i="29"/>
  <c r="AS26" i="29"/>
  <c r="BR26" i="29"/>
  <c r="BR36" i="29" s="1"/>
  <c r="AS27" i="29"/>
  <c r="BR27" i="29"/>
  <c r="AS28" i="29"/>
  <c r="BR28" i="29"/>
  <c r="BR43" i="29" s="1"/>
  <c r="AS29" i="29"/>
  <c r="BR29" i="29"/>
  <c r="AS30" i="29"/>
  <c r="BR30" i="29"/>
  <c r="BR35" i="29" s="1"/>
  <c r="BR4" i="29"/>
  <c r="BR40" i="29" s="1"/>
  <c r="BR10" i="29"/>
  <c r="BQ46" i="29" s="1"/>
  <c r="BR22" i="41"/>
  <c r="BR37" i="41" s="1"/>
  <c r="BR8" i="29"/>
  <c r="BR41" i="29" s="1"/>
  <c r="AS11" i="29"/>
  <c r="AS3" i="29"/>
  <c r="BR6" i="29"/>
  <c r="BQ47" i="29" s="1"/>
  <c r="AS9" i="29"/>
  <c r="BR2" i="29"/>
  <c r="BR38" i="29" s="1"/>
  <c r="AS5" i="29"/>
  <c r="AS7" i="29"/>
  <c r="CQ22" i="43"/>
  <c r="CQ37" i="43" s="1"/>
  <c r="CQ17" i="43"/>
  <c r="CQ9" i="43"/>
  <c r="CQ5" i="43"/>
  <c r="CQ19" i="43"/>
  <c r="CQ42" i="43" s="1"/>
  <c r="CQ26" i="43"/>
  <c r="CQ36" i="43" s="1"/>
  <c r="CQ25" i="43"/>
  <c r="CQ28" i="43"/>
  <c r="CQ43" i="43" s="1"/>
  <c r="CQ20" i="43"/>
  <c r="CQ12" i="43"/>
  <c r="CQ15" i="43"/>
  <c r="CQ44" i="43" s="1"/>
  <c r="CQ3" i="43"/>
  <c r="CQ32" i="43" s="1"/>
  <c r="CQ14" i="43"/>
  <c r="CQ34" i="43" s="1"/>
  <c r="CQ16" i="43"/>
  <c r="CQ18" i="43"/>
  <c r="CQ2" i="43"/>
  <c r="CQ38" i="43" s="1"/>
  <c r="CQ4" i="43"/>
  <c r="CQ40" i="43" s="1"/>
  <c r="CQ23" i="43"/>
  <c r="CQ30" i="43"/>
  <c r="CQ35" i="43" s="1"/>
  <c r="CQ6" i="43"/>
  <c r="CQ47" i="43" s="1"/>
  <c r="CQ13" i="43"/>
  <c r="CQ33" i="43" s="1"/>
  <c r="CQ7" i="43"/>
  <c r="CQ21" i="43"/>
  <c r="CQ8" i="43"/>
  <c r="CQ41" i="43" s="1"/>
  <c r="CQ27" i="43"/>
  <c r="CQ11" i="43"/>
  <c r="CQ39" i="43" s="1"/>
  <c r="CQ10" i="43"/>
  <c r="CQ46" i="43" s="1"/>
  <c r="CQ45" i="43" s="1"/>
  <c r="CQ29" i="43"/>
  <c r="CQ24" i="43"/>
  <c r="CQ3" i="30"/>
  <c r="CQ32" i="30" s="1"/>
  <c r="CQ4" i="30"/>
  <c r="CQ40" i="30" s="1"/>
  <c r="CQ5" i="30"/>
  <c r="CQ6" i="30"/>
  <c r="CQ47" i="30" s="1"/>
  <c r="CQ7" i="30"/>
  <c r="CQ8" i="30"/>
  <c r="CQ41" i="30" s="1"/>
  <c r="CQ9" i="30"/>
  <c r="CQ10" i="30"/>
  <c r="CQ46" i="30" s="1"/>
  <c r="CQ45" i="30" s="1"/>
  <c r="CQ11" i="30"/>
  <c r="CQ39" i="30" s="1"/>
  <c r="CQ12" i="30"/>
  <c r="CQ13" i="30"/>
  <c r="CQ33" i="30" s="1"/>
  <c r="CQ14" i="30"/>
  <c r="CQ34" i="30" s="1"/>
  <c r="CQ15" i="30"/>
  <c r="CQ44" i="30" s="1"/>
  <c r="CQ16" i="30"/>
  <c r="CQ17" i="30"/>
  <c r="CQ18" i="30"/>
  <c r="CQ19" i="30"/>
  <c r="CQ42" i="30" s="1"/>
  <c r="CQ20" i="30"/>
  <c r="CQ21" i="30"/>
  <c r="CQ22" i="30"/>
  <c r="CQ37" i="30" s="1"/>
  <c r="CQ23" i="30"/>
  <c r="CQ49" i="30" s="1"/>
  <c r="CQ24" i="30"/>
  <c r="CQ25" i="30"/>
  <c r="CQ26" i="30"/>
  <c r="CQ36" i="30" s="1"/>
  <c r="CQ27" i="30"/>
  <c r="CQ28" i="30"/>
  <c r="CQ43" i="30" s="1"/>
  <c r="CQ29" i="30"/>
  <c r="CQ30" i="30"/>
  <c r="CQ35" i="30" s="1"/>
  <c r="BR30" i="38"/>
  <c r="BR35" i="38" s="1"/>
  <c r="CF35" i="38" s="1"/>
  <c r="DX29" i="38"/>
  <c r="F29" i="38"/>
  <c r="BR25" i="38"/>
  <c r="DX24" i="38"/>
  <c r="F24" i="38"/>
  <c r="BR21" i="38"/>
  <c r="BR29" i="38"/>
  <c r="DX23" i="38"/>
  <c r="DX49" i="38" s="1"/>
  <c r="DX22" i="38"/>
  <c r="DX37" i="38" s="1"/>
  <c r="EL37" i="38" s="1"/>
  <c r="DX21" i="38"/>
  <c r="BR20" i="38"/>
  <c r="DX19" i="38"/>
  <c r="DX42" i="38" s="1"/>
  <c r="EL42" i="38" s="1"/>
  <c r="F19" i="38"/>
  <c r="BR16" i="38"/>
  <c r="DX15" i="38"/>
  <c r="DX44" i="38" s="1"/>
  <c r="EL44" i="38" s="1"/>
  <c r="F15" i="38"/>
  <c r="BR12" i="38"/>
  <c r="DX11" i="38"/>
  <c r="DX39" i="38" s="1"/>
  <c r="EL39" i="38" s="1"/>
  <c r="BR9" i="38"/>
  <c r="DX8" i="38"/>
  <c r="DX41" i="38" s="1"/>
  <c r="EL41" i="38" s="1"/>
  <c r="F8" i="38"/>
  <c r="F6" i="38"/>
  <c r="F30" i="38"/>
  <c r="BR28" i="38"/>
  <c r="BR43" i="38" s="1"/>
  <c r="CF43" i="38" s="1"/>
  <c r="F28" i="38"/>
  <c r="DX26" i="38"/>
  <c r="DX36" i="38" s="1"/>
  <c r="EL36" i="38" s="1"/>
  <c r="DX25" i="38"/>
  <c r="BR19" i="38"/>
  <c r="BR42" i="38" s="1"/>
  <c r="CF42" i="38" s="1"/>
  <c r="DX18" i="38"/>
  <c r="F18" i="38"/>
  <c r="BR27" i="38"/>
  <c r="F27" i="38"/>
  <c r="F25" i="38"/>
  <c r="BR15" i="38"/>
  <c r="BR44" i="38" s="1"/>
  <c r="CF44" i="38" s="1"/>
  <c r="DX10" i="38"/>
  <c r="DX46" i="38" s="1"/>
  <c r="DX9" i="38"/>
  <c r="DX6" i="38"/>
  <c r="DX47" i="38" s="1"/>
  <c r="EL47" i="38" s="1"/>
  <c r="DX5" i="38"/>
  <c r="F5" i="38"/>
  <c r="BR3" i="38"/>
  <c r="BR32" i="38" s="1"/>
  <c r="F3" i="38"/>
  <c r="Q30" i="38"/>
  <c r="Q35" i="38" s="1"/>
  <c r="AB35" i="38" s="1"/>
  <c r="Q29" i="38"/>
  <c r="Q27" i="38"/>
  <c r="Q18" i="38"/>
  <c r="Q16" i="38"/>
  <c r="Q14" i="38"/>
  <c r="Q34" i="38" s="1"/>
  <c r="AB34" i="38" s="1"/>
  <c r="Q9" i="38"/>
  <c r="Q8" i="38"/>
  <c r="Q41" i="38" s="1"/>
  <c r="AB41" i="38" s="1"/>
  <c r="Q7" i="38"/>
  <c r="DX30" i="38"/>
  <c r="DX35" i="38" s="1"/>
  <c r="EL35" i="38" s="1"/>
  <c r="BR24" i="38"/>
  <c r="BR22" i="38"/>
  <c r="BR37" i="38" s="1"/>
  <c r="CF37" i="38" s="1"/>
  <c r="F22" i="38"/>
  <c r="BR17" i="38"/>
  <c r="F17" i="38"/>
  <c r="F16" i="38"/>
  <c r="BR14" i="38"/>
  <c r="BR34" i="38" s="1"/>
  <c r="CF34" i="38" s="1"/>
  <c r="F14" i="38"/>
  <c r="BR13" i="38"/>
  <c r="BR33" i="38" s="1"/>
  <c r="CF33" i="38" s="1"/>
  <c r="F13" i="38"/>
  <c r="F12" i="38"/>
  <c r="BR8" i="38"/>
  <c r="BR41" i="38" s="1"/>
  <c r="CF41" i="38" s="1"/>
  <c r="DX4" i="38"/>
  <c r="DX40" i="38" s="1"/>
  <c r="EL40" i="38" s="1"/>
  <c r="DX2" i="38"/>
  <c r="DX38" i="38" s="1"/>
  <c r="EL38" i="38" s="1"/>
  <c r="Q28" i="38"/>
  <c r="Q43" i="38" s="1"/>
  <c r="AB43" i="38" s="1"/>
  <c r="Q23" i="38"/>
  <c r="Q49" i="38" s="1"/>
  <c r="Q17" i="38"/>
  <c r="Q15" i="38"/>
  <c r="Q44" i="38" s="1"/>
  <c r="AB44" i="38" s="1"/>
  <c r="Q13" i="38"/>
  <c r="Q33" i="38" s="1"/>
  <c r="Q11" i="38"/>
  <c r="Q39" i="38" s="1"/>
  <c r="AB39" i="38" s="1"/>
  <c r="DX27" i="38"/>
  <c r="BR23" i="38"/>
  <c r="BR49" i="38" s="1"/>
  <c r="DX20" i="38"/>
  <c r="DX7" i="38"/>
  <c r="BR2" i="38"/>
  <c r="BR38" i="38" s="1"/>
  <c r="CF38" i="38" s="1"/>
  <c r="Q26" i="38"/>
  <c r="Q36" i="38" s="1"/>
  <c r="AB36" i="38" s="1"/>
  <c r="Q21" i="38"/>
  <c r="Q12" i="38"/>
  <c r="F26" i="38"/>
  <c r="F21" i="38"/>
  <c r="DX16" i="38"/>
  <c r="DX12" i="38"/>
  <c r="BR11" i="38"/>
  <c r="BR39" i="38" s="1"/>
  <c r="CF39" i="38" s="1"/>
  <c r="F11" i="38"/>
  <c r="F9" i="38"/>
  <c r="BR7" i="38"/>
  <c r="F7" i="38"/>
  <c r="BR4" i="38"/>
  <c r="BR40" i="38" s="1"/>
  <c r="CF40" i="38" s="1"/>
  <c r="DX3" i="38"/>
  <c r="DX32" i="38" s="1"/>
  <c r="F2" i="38"/>
  <c r="Q25" i="38"/>
  <c r="Q19" i="38"/>
  <c r="Q42" i="38" s="1"/>
  <c r="AB42" i="38" s="1"/>
  <c r="Q10" i="38"/>
  <c r="Q46" i="38" s="1"/>
  <c r="AB46" i="38" s="1"/>
  <c r="Q5" i="38"/>
  <c r="Q3" i="38"/>
  <c r="Q32" i="38" s="1"/>
  <c r="AB32" i="38" s="1"/>
  <c r="Q2" i="38"/>
  <c r="Q38" i="38" s="1"/>
  <c r="AB38" i="38" s="1"/>
  <c r="F23" i="38"/>
  <c r="F20" i="38"/>
  <c r="DX17" i="38"/>
  <c r="DX14" i="38"/>
  <c r="DX34" i="38" s="1"/>
  <c r="EL34" i="38" s="1"/>
  <c r="DX13" i="38"/>
  <c r="DX33" i="38" s="1"/>
  <c r="EL33" i="38" s="1"/>
  <c r="BR10" i="38"/>
  <c r="BR46" i="38" s="1"/>
  <c r="DX28" i="38"/>
  <c r="DX43" i="38" s="1"/>
  <c r="EL43" i="38" s="1"/>
  <c r="BR26" i="38"/>
  <c r="BR36" i="38" s="1"/>
  <c r="CF36" i="38" s="1"/>
  <c r="BR18" i="38"/>
  <c r="F10" i="38"/>
  <c r="BR5" i="38"/>
  <c r="F4" i="38"/>
  <c r="Q24" i="38"/>
  <c r="Q22" i="38"/>
  <c r="Q37" i="38" s="1"/>
  <c r="AB37" i="38" s="1"/>
  <c r="BR6" i="38"/>
  <c r="BR47" i="38" s="1"/>
  <c r="CF47" i="38" s="1"/>
  <c r="Q20" i="38"/>
  <c r="Q6" i="38"/>
  <c r="Q47" i="38" s="1"/>
  <c r="Q4" i="38"/>
  <c r="Q40" i="38" s="1"/>
  <c r="AB40" i="38" s="1"/>
  <c r="F30" i="18"/>
  <c r="F26" i="18"/>
  <c r="F22" i="18"/>
  <c r="F18" i="18"/>
  <c r="F14" i="18"/>
  <c r="F10" i="18"/>
  <c r="F6" i="18"/>
  <c r="F2" i="18"/>
  <c r="F21" i="18"/>
  <c r="F13" i="18"/>
  <c r="F27" i="18"/>
  <c r="F23" i="18"/>
  <c r="F19" i="18"/>
  <c r="F15" i="18"/>
  <c r="F7" i="18"/>
  <c r="F29" i="18"/>
  <c r="F25" i="18"/>
  <c r="F17" i="18"/>
  <c r="F9" i="18"/>
  <c r="F5" i="18"/>
  <c r="F28" i="18"/>
  <c r="F24" i="18"/>
  <c r="F20" i="18"/>
  <c r="F16" i="18"/>
  <c r="F12" i="18"/>
  <c r="F8" i="18"/>
  <c r="F4" i="18"/>
  <c r="F11" i="18"/>
  <c r="F3" i="18"/>
  <c r="AK30" i="32"/>
  <c r="AK35" i="32" s="1"/>
  <c r="AK26" i="32"/>
  <c r="AK36" i="32" s="1"/>
  <c r="AM36" i="32" s="1"/>
  <c r="AK21" i="32"/>
  <c r="AK16" i="32"/>
  <c r="BD15" i="32"/>
  <c r="BD44" i="32" s="1"/>
  <c r="BE44" i="32" s="1"/>
  <c r="BD14" i="32"/>
  <c r="BD34" i="32" s="1"/>
  <c r="BE34" i="32" s="1"/>
  <c r="BD12" i="32"/>
  <c r="AK12" i="32"/>
  <c r="BD11" i="32"/>
  <c r="BD39" i="32" s="1"/>
  <c r="BE39" i="32" s="1"/>
  <c r="AK10" i="32"/>
  <c r="AK46" i="32" s="1"/>
  <c r="AK4" i="32"/>
  <c r="AK40" i="32" s="1"/>
  <c r="AM40" i="32" s="1"/>
  <c r="BC28" i="32"/>
  <c r="BC43" i="32" s="1"/>
  <c r="AH27" i="32"/>
  <c r="BC23" i="32"/>
  <c r="BC49" i="32" s="1"/>
  <c r="BC22" i="32"/>
  <c r="BC37" i="32" s="1"/>
  <c r="AH21" i="32"/>
  <c r="BC18" i="32"/>
  <c r="AH17" i="32"/>
  <c r="BC14" i="32"/>
  <c r="BC34" i="32" s="1"/>
  <c r="AH13" i="32"/>
  <c r="BC10" i="32"/>
  <c r="BC46" i="32" s="1"/>
  <c r="BC45" i="32" s="1"/>
  <c r="AH9" i="32"/>
  <c r="BC6" i="32"/>
  <c r="BC47" i="32" s="1"/>
  <c r="AH5" i="32"/>
  <c r="BC2" i="32"/>
  <c r="BC38" i="32" s="1"/>
  <c r="BD29" i="32"/>
  <c r="AK25" i="32"/>
  <c r="BD24" i="32"/>
  <c r="BD22" i="32"/>
  <c r="BD37" i="32" s="1"/>
  <c r="BE37" i="32" s="1"/>
  <c r="AK20" i="32"/>
  <c r="BD19" i="32"/>
  <c r="BD42" i="32" s="1"/>
  <c r="BE42" i="32" s="1"/>
  <c r="AK18" i="32"/>
  <c r="AK7" i="32"/>
  <c r="AK3" i="32"/>
  <c r="AK32" i="32" s="1"/>
  <c r="BD2" i="32"/>
  <c r="BD38" i="32" s="1"/>
  <c r="BE38" i="32" s="1"/>
  <c r="AK2" i="32"/>
  <c r="AK38" i="32" s="1"/>
  <c r="AM38" i="32" s="1"/>
  <c r="AH30" i="32"/>
  <c r="AH35" i="32" s="1"/>
  <c r="BC27" i="32"/>
  <c r="AH26" i="32"/>
  <c r="AH36" i="32" s="1"/>
  <c r="AH25" i="32"/>
  <c r="BC21" i="32"/>
  <c r="AH20" i="32"/>
  <c r="BC17" i="32"/>
  <c r="AH16" i="32"/>
  <c r="BC13" i="32"/>
  <c r="BC33" i="32" s="1"/>
  <c r="AH12" i="32"/>
  <c r="BC9" i="32"/>
  <c r="AH8" i="32"/>
  <c r="AH41" i="32" s="1"/>
  <c r="BC5" i="32"/>
  <c r="AH4" i="32"/>
  <c r="AH40" i="32" s="1"/>
  <c r="BD26" i="32"/>
  <c r="BD36" i="32" s="1"/>
  <c r="BE36" i="32" s="1"/>
  <c r="BD25" i="32"/>
  <c r="AK22" i="32"/>
  <c r="AK37" i="32" s="1"/>
  <c r="AM37" i="32" s="1"/>
  <c r="BD21" i="32"/>
  <c r="BD20" i="32"/>
  <c r="AK19" i="32"/>
  <c r="AK42" i="32" s="1"/>
  <c r="AM42" i="32" s="1"/>
  <c r="BD18" i="32"/>
  <c r="AK11" i="32"/>
  <c r="AK39" i="32" s="1"/>
  <c r="AM39" i="32" s="1"/>
  <c r="BD10" i="32"/>
  <c r="BD46" i="32" s="1"/>
  <c r="BE46" i="32" s="1"/>
  <c r="BD8" i="32"/>
  <c r="BD41" i="32" s="1"/>
  <c r="BE41" i="32" s="1"/>
  <c r="BD7" i="32"/>
  <c r="BD4" i="32"/>
  <c r="BD40" i="32" s="1"/>
  <c r="BE40" i="32" s="1"/>
  <c r="BC30" i="32"/>
  <c r="BC35" i="32" s="1"/>
  <c r="BC26" i="32"/>
  <c r="BC36" i="32" s="1"/>
  <c r="BC20" i="32"/>
  <c r="BC16" i="32"/>
  <c r="BC12" i="32"/>
  <c r="AH29" i="32"/>
  <c r="AH28" i="32"/>
  <c r="AH43" i="32" s="1"/>
  <c r="BC24" i="32"/>
  <c r="AH23" i="32"/>
  <c r="AH49" i="32" s="1"/>
  <c r="AH22" i="32"/>
  <c r="AH19" i="32"/>
  <c r="AH42" i="32" s="1"/>
  <c r="AH18" i="32"/>
  <c r="AH15" i="32"/>
  <c r="AH44" i="32" s="1"/>
  <c r="AH14" i="32"/>
  <c r="AH11" i="32"/>
  <c r="AH39" i="32" s="1"/>
  <c r="AH10" i="32"/>
  <c r="AH7" i="32"/>
  <c r="AH6" i="32"/>
  <c r="AH47" i="32" s="1"/>
  <c r="AH3" i="32"/>
  <c r="AH32" i="32" s="1"/>
  <c r="AH2" i="32"/>
  <c r="AH38" i="32" s="1"/>
  <c r="BC15" i="32"/>
  <c r="BC44" i="32" s="1"/>
  <c r="BC8" i="32"/>
  <c r="BC41" i="32" s="1"/>
  <c r="BC4" i="32"/>
  <c r="BC40" i="32" s="1"/>
  <c r="AK28" i="32"/>
  <c r="AK43" i="32" s="1"/>
  <c r="AK27" i="32"/>
  <c r="AK24" i="32"/>
  <c r="AK23" i="32"/>
  <c r="AK49" i="32" s="1"/>
  <c r="BD17" i="32"/>
  <c r="AK14" i="32"/>
  <c r="AK34" i="32" s="1"/>
  <c r="AM34" i="32" s="1"/>
  <c r="BD6" i="32"/>
  <c r="BD5" i="32"/>
  <c r="BD3" i="32"/>
  <c r="BD32" i="32" s="1"/>
  <c r="BC29" i="32"/>
  <c r="AH24" i="32"/>
  <c r="BD30" i="32"/>
  <c r="BD35" i="32" s="1"/>
  <c r="BE35" i="32" s="1"/>
  <c r="AK29" i="32"/>
  <c r="AK17" i="32"/>
  <c r="AK13" i="32"/>
  <c r="AK33" i="32" s="1"/>
  <c r="AM33" i="32" s="1"/>
  <c r="AK5" i="32"/>
  <c r="BC19" i="32"/>
  <c r="BC42" i="32" s="1"/>
  <c r="BC11" i="32"/>
  <c r="BC39" i="32" s="1"/>
  <c r="BC7" i="32"/>
  <c r="BC3" i="32"/>
  <c r="BC32" i="32" s="1"/>
  <c r="BC31" i="32" s="1"/>
  <c r="BD28" i="32"/>
  <c r="BD43" i="32" s="1"/>
  <c r="BE43" i="32" s="1"/>
  <c r="BD27" i="32"/>
  <c r="BD23" i="32"/>
  <c r="BD49" i="32" s="1"/>
  <c r="BE49" i="32" s="1"/>
  <c r="BD13" i="32"/>
  <c r="BD33" i="32" s="1"/>
  <c r="BE33" i="32" s="1"/>
  <c r="AK9" i="32"/>
  <c r="AK6" i="32"/>
  <c r="AK47" i="32" s="1"/>
  <c r="AM47" i="32" s="1"/>
  <c r="BC25" i="32"/>
  <c r="AK15" i="32"/>
  <c r="AK44" i="32" s="1"/>
  <c r="AM44" i="32" s="1"/>
  <c r="AK8" i="32"/>
  <c r="AK41" i="32" s="1"/>
  <c r="AM41" i="32" s="1"/>
  <c r="BD16" i="32"/>
  <c r="BD9" i="32"/>
  <c r="W3" i="32"/>
  <c r="W32" i="32" s="1"/>
  <c r="AA4" i="32"/>
  <c r="AA40" i="32" s="1"/>
  <c r="AF40" i="32" s="1"/>
  <c r="T5" i="32"/>
  <c r="K7" i="32"/>
  <c r="Z8" i="32"/>
  <c r="Z41" i="32" s="1"/>
  <c r="AE41" i="32" s="1"/>
  <c r="S10" i="32"/>
  <c r="S46" i="32" s="1"/>
  <c r="V12" i="32"/>
  <c r="Y13" i="32"/>
  <c r="Y33" i="32" s="1"/>
  <c r="AD33" i="32" s="1"/>
  <c r="X14" i="32"/>
  <c r="X34" i="32" s="1"/>
  <c r="AC34" i="32" s="1"/>
  <c r="W15" i="32"/>
  <c r="W44" i="32" s="1"/>
  <c r="AB44" i="32" s="1"/>
  <c r="AA16" i="32"/>
  <c r="T17" i="32"/>
  <c r="K19" i="32"/>
  <c r="K42" i="32" s="1"/>
  <c r="O42" i="32" s="1"/>
  <c r="U20" i="32"/>
  <c r="E23" i="32"/>
  <c r="E49" i="32" s="1"/>
  <c r="R23" i="32"/>
  <c r="R49" i="32" s="1"/>
  <c r="Z24" i="32"/>
  <c r="S26" i="32"/>
  <c r="S36" i="32" s="1"/>
  <c r="R27" i="32"/>
  <c r="V28" i="32"/>
  <c r="V43" i="32" s="1"/>
  <c r="Y29" i="32"/>
  <c r="X3" i="32"/>
  <c r="X32" i="32" s="1"/>
  <c r="W4" i="32"/>
  <c r="W40" i="32" s="1"/>
  <c r="AB40" i="32" s="1"/>
  <c r="AA5" i="32"/>
  <c r="T6" i="32"/>
  <c r="T47" i="32" s="1"/>
  <c r="E8" i="32"/>
  <c r="E41" i="32" s="1"/>
  <c r="K8" i="32"/>
  <c r="K41" i="32" s="1"/>
  <c r="O41" i="32" s="1"/>
  <c r="Z9" i="32"/>
  <c r="K12" i="32"/>
  <c r="U13" i="32"/>
  <c r="U33" i="32" s="1"/>
  <c r="X15" i="32"/>
  <c r="X44" i="32" s="1"/>
  <c r="AC44" i="32" s="1"/>
  <c r="AA17" i="32"/>
  <c r="T18" i="32"/>
  <c r="E20" i="32"/>
  <c r="K20" i="32"/>
  <c r="U21" i="32"/>
  <c r="X23" i="32"/>
  <c r="X49" i="32" s="1"/>
  <c r="W24" i="32"/>
  <c r="AA25" i="32"/>
  <c r="T26" i="32"/>
  <c r="T36" i="32" s="1"/>
  <c r="R28" i="32"/>
  <c r="R43" i="32" s="1"/>
  <c r="U29" i="32"/>
  <c r="V2" i="32"/>
  <c r="V38" i="32" s="1"/>
  <c r="Y3" i="32"/>
  <c r="Y32" i="32" s="1"/>
  <c r="S4" i="32"/>
  <c r="S40" i="32" s="1"/>
  <c r="K5" i="32"/>
  <c r="AA6" i="32"/>
  <c r="AA47" i="32" s="1"/>
  <c r="AF47" i="32" s="1"/>
  <c r="Y7" i="32"/>
  <c r="S8" i="32"/>
  <c r="S41" i="32" s="1"/>
  <c r="V10" i="32"/>
  <c r="V46" i="32" s="1"/>
  <c r="Y11" i="32"/>
  <c r="Y39" i="32" s="1"/>
  <c r="AD39" i="32" s="1"/>
  <c r="S12" i="32"/>
  <c r="R13" i="32"/>
  <c r="R33" i="32" s="1"/>
  <c r="V14" i="32"/>
  <c r="V34" i="32" s="1"/>
  <c r="Y15" i="32"/>
  <c r="Y44" i="32" s="1"/>
  <c r="AD44" i="32" s="1"/>
  <c r="S16" i="32"/>
  <c r="V18" i="32"/>
  <c r="Y19" i="32"/>
  <c r="Y42" i="32" s="1"/>
  <c r="AD42" i="32" s="1"/>
  <c r="R21" i="32"/>
  <c r="Z22" i="32"/>
  <c r="Z37" i="32" s="1"/>
  <c r="AE37" i="32" s="1"/>
  <c r="R25" i="32"/>
  <c r="Z26" i="32"/>
  <c r="Z36" i="32" s="1"/>
  <c r="AE36" i="32" s="1"/>
  <c r="X28" i="32"/>
  <c r="X43" i="32" s="1"/>
  <c r="AC43" i="32" s="1"/>
  <c r="E29" i="32"/>
  <c r="AA30" i="32"/>
  <c r="AA35" i="32" s="1"/>
  <c r="AF35" i="32" s="1"/>
  <c r="W2" i="32"/>
  <c r="W38" i="32" s="1"/>
  <c r="AB38" i="32" s="1"/>
  <c r="Z3" i="32"/>
  <c r="Z32" i="32" s="1"/>
  <c r="S5" i="32"/>
  <c r="W6" i="32"/>
  <c r="W47" i="32" s="1"/>
  <c r="AB47" i="32" s="1"/>
  <c r="AA7" i="32"/>
  <c r="Y8" i="32"/>
  <c r="Y41" i="32" s="1"/>
  <c r="AD41" i="32" s="1"/>
  <c r="X9" i="32"/>
  <c r="R10" i="32"/>
  <c r="R46" i="32" s="1"/>
  <c r="R45" i="32" s="1"/>
  <c r="AA11" i="32"/>
  <c r="AA39" i="32" s="1"/>
  <c r="AF39" i="32" s="1"/>
  <c r="T12" i="32"/>
  <c r="K14" i="32"/>
  <c r="K34" i="32" s="1"/>
  <c r="O34" i="32" s="1"/>
  <c r="Z15" i="32"/>
  <c r="Z44" i="32" s="1"/>
  <c r="AE44" i="32" s="1"/>
  <c r="E18" i="32"/>
  <c r="K18" i="32"/>
  <c r="U19" i="32"/>
  <c r="U42" i="32" s="1"/>
  <c r="S21" i="32"/>
  <c r="V23" i="32"/>
  <c r="V49" i="32" s="1"/>
  <c r="Y24" i="32"/>
  <c r="K26" i="32"/>
  <c r="K36" i="32" s="1"/>
  <c r="O36" i="32" s="1"/>
  <c r="U27" i="32"/>
  <c r="S29" i="32"/>
  <c r="W30" i="32"/>
  <c r="W35" i="32" s="1"/>
  <c r="AB35" i="32" s="1"/>
  <c r="R3" i="32"/>
  <c r="R32" i="32" s="1"/>
  <c r="V4" i="32"/>
  <c r="V40" i="32" s="1"/>
  <c r="Y5" i="32"/>
  <c r="X6" i="32"/>
  <c r="X47" i="32" s="1"/>
  <c r="AC47" i="32" s="1"/>
  <c r="AA8" i="32"/>
  <c r="AA41" i="32" s="1"/>
  <c r="AF41" i="32" s="1"/>
  <c r="T9" i="32"/>
  <c r="E11" i="32"/>
  <c r="E39" i="32" s="1"/>
  <c r="R11" i="32"/>
  <c r="R39" i="32" s="1"/>
  <c r="Z12" i="32"/>
  <c r="S14" i="32"/>
  <c r="S34" i="32" s="1"/>
  <c r="V16" i="32"/>
  <c r="Y17" i="32"/>
  <c r="X18" i="32"/>
  <c r="E19" i="32"/>
  <c r="E42" i="32" s="1"/>
  <c r="AA20" i="32"/>
  <c r="T21" i="32"/>
  <c r="K23" i="32"/>
  <c r="K49" i="32" s="1"/>
  <c r="U24" i="32"/>
  <c r="Z28" i="32"/>
  <c r="Z43" i="32" s="1"/>
  <c r="AE43" i="32" s="1"/>
  <c r="T2" i="32"/>
  <c r="T38" i="32" s="1"/>
  <c r="S3" i="32"/>
  <c r="S32" i="32" s="1"/>
  <c r="R4" i="32"/>
  <c r="R40" i="32" s="1"/>
  <c r="V5" i="32"/>
  <c r="Y6" i="32"/>
  <c r="Y47" i="32" s="1"/>
  <c r="AD47" i="32" s="1"/>
  <c r="X7" i="32"/>
  <c r="AA9" i="32"/>
  <c r="T10" i="32"/>
  <c r="T46" i="32" s="1"/>
  <c r="E12" i="32"/>
  <c r="Z13" i="32"/>
  <c r="Z33" i="32" s="1"/>
  <c r="AE33" i="32" s="1"/>
  <c r="S15" i="32"/>
  <c r="S44" i="32" s="1"/>
  <c r="R16" i="32"/>
  <c r="V17" i="32"/>
  <c r="Y18" i="32"/>
  <c r="Z21" i="32"/>
  <c r="S23" i="32"/>
  <c r="S49" i="32" s="1"/>
  <c r="R24" i="32"/>
  <c r="V25" i="32"/>
  <c r="Y26" i="32"/>
  <c r="Y36" i="32" s="1"/>
  <c r="AD36" i="32" s="1"/>
  <c r="E28" i="32"/>
  <c r="E43" i="32" s="1"/>
  <c r="K28" i="32"/>
  <c r="K43" i="32" s="1"/>
  <c r="O43" i="32" s="1"/>
  <c r="Z29" i="32"/>
  <c r="Z2" i="32"/>
  <c r="Z38" i="32" s="1"/>
  <c r="AE38" i="32" s="1"/>
  <c r="W5" i="32"/>
  <c r="Z6" i="32"/>
  <c r="Z47" i="32" s="1"/>
  <c r="AE47" i="32" s="1"/>
  <c r="E9" i="32"/>
  <c r="Z10" i="32"/>
  <c r="Z46" i="32" s="1"/>
  <c r="E13" i="32"/>
  <c r="E33" i="32" s="1"/>
  <c r="K13" i="32"/>
  <c r="K33" i="32" s="1"/>
  <c r="O33" i="32" s="1"/>
  <c r="Z14" i="32"/>
  <c r="Z34" i="32" s="1"/>
  <c r="AE34" i="32" s="1"/>
  <c r="R17" i="32"/>
  <c r="Z18" i="32"/>
  <c r="E21" i="32"/>
  <c r="K21" i="32"/>
  <c r="U22" i="32"/>
  <c r="U37" i="32" s="1"/>
  <c r="E25" i="32"/>
  <c r="K25" i="32"/>
  <c r="U26" i="32"/>
  <c r="U36" i="32" s="1"/>
  <c r="S28" i="32"/>
  <c r="S43" i="32" s="1"/>
  <c r="W29" i="32"/>
  <c r="V30" i="32"/>
  <c r="V35" i="32" s="1"/>
  <c r="E2" i="32"/>
  <c r="E38" i="32" s="1"/>
  <c r="U3" i="32"/>
  <c r="U32" i="32" s="1"/>
  <c r="E6" i="32"/>
  <c r="E47" i="32" s="1"/>
  <c r="R6" i="32"/>
  <c r="R47" i="32" s="1"/>
  <c r="U7" i="32"/>
  <c r="S9" i="32"/>
  <c r="K10" i="32"/>
  <c r="K46" i="32" s="1"/>
  <c r="X2" i="32"/>
  <c r="X38" i="32" s="1"/>
  <c r="AC38" i="32" s="1"/>
  <c r="E3" i="32"/>
  <c r="E32" i="32" s="1"/>
  <c r="K3" i="32"/>
  <c r="K32" i="32" s="1"/>
  <c r="Z4" i="32"/>
  <c r="Z40" i="32" s="1"/>
  <c r="AE40" i="32" s="1"/>
  <c r="S6" i="32"/>
  <c r="S47" i="32" s="1"/>
  <c r="W7" i="32"/>
  <c r="V8" i="32"/>
  <c r="V41" i="32" s="1"/>
  <c r="Y9" i="32"/>
  <c r="W11" i="32"/>
  <c r="W39" i="32" s="1"/>
  <c r="AB39" i="32" s="1"/>
  <c r="K11" i="32"/>
  <c r="K39" i="32" s="1"/>
  <c r="O39" i="32" s="1"/>
  <c r="U12" i="32"/>
  <c r="R15" i="32"/>
  <c r="R44" i="32" s="1"/>
  <c r="Z16" i="32"/>
  <c r="S18" i="32"/>
  <c r="W19" i="32"/>
  <c r="W42" i="32" s="1"/>
  <c r="AB42" i="32" s="1"/>
  <c r="V20" i="32"/>
  <c r="Y21" i="32"/>
  <c r="X22" i="32"/>
  <c r="X37" i="32" s="1"/>
  <c r="AC37" i="32" s="1"/>
  <c r="W23" i="32"/>
  <c r="W49" i="32" s="1"/>
  <c r="AA24" i="32"/>
  <c r="T25" i="32"/>
  <c r="E27" i="32"/>
  <c r="K27" i="32"/>
  <c r="U28" i="32"/>
  <c r="U43" i="32" s="1"/>
  <c r="X30" i="32"/>
  <c r="X35" i="32" s="1"/>
  <c r="AC35" i="32" s="1"/>
  <c r="Y2" i="32"/>
  <c r="Y38" i="32" s="1"/>
  <c r="AD38" i="32" s="1"/>
  <c r="K4" i="32"/>
  <c r="K40" i="32" s="1"/>
  <c r="O40" i="32" s="1"/>
  <c r="Z5" i="32"/>
  <c r="S7" i="32"/>
  <c r="W8" i="32"/>
  <c r="W41" i="32" s="1"/>
  <c r="AB41" i="32" s="1"/>
  <c r="V9" i="32"/>
  <c r="Y10" i="32"/>
  <c r="Y46" i="32" s="1"/>
  <c r="X11" i="32"/>
  <c r="X39" i="32" s="1"/>
  <c r="AC39" i="32" s="1"/>
  <c r="W12" i="32"/>
  <c r="AA13" i="32"/>
  <c r="AA33" i="32" s="1"/>
  <c r="AF33" i="32" s="1"/>
  <c r="T14" i="32"/>
  <c r="T34" i="32" s="1"/>
  <c r="E16" i="32"/>
  <c r="U17" i="32"/>
  <c r="X19" i="32"/>
  <c r="X42" i="32" s="1"/>
  <c r="AC42" i="32" s="1"/>
  <c r="W20" i="32"/>
  <c r="AA21" i="32"/>
  <c r="T22" i="32"/>
  <c r="T37" i="32" s="1"/>
  <c r="K24" i="32"/>
  <c r="U25" i="32"/>
  <c r="X27" i="32"/>
  <c r="AA29" i="32"/>
  <c r="T30" i="32"/>
  <c r="T35" i="32" s="1"/>
  <c r="U2" i="32"/>
  <c r="U38" i="32" s="1"/>
  <c r="E5" i="32"/>
  <c r="R5" i="32"/>
  <c r="U6" i="32"/>
  <c r="U47" i="32" s="1"/>
  <c r="W9" i="32"/>
  <c r="R9" i="32"/>
  <c r="U10" i="32"/>
  <c r="U46" i="32" s="1"/>
  <c r="U14" i="32"/>
  <c r="U34" i="32" s="1"/>
  <c r="E17" i="32"/>
  <c r="K17" i="32"/>
  <c r="U18" i="32"/>
  <c r="X20" i="32"/>
  <c r="AA22" i="32"/>
  <c r="AA37" i="32" s="1"/>
  <c r="AF37" i="32" s="1"/>
  <c r="T23" i="32"/>
  <c r="T49" i="32" s="1"/>
  <c r="X24" i="32"/>
  <c r="AA26" i="32"/>
  <c r="AA36" i="32" s="1"/>
  <c r="AF36" i="32" s="1"/>
  <c r="T27" i="32"/>
  <c r="R29" i="32"/>
  <c r="Z30" i="32"/>
  <c r="Z35" i="32" s="1"/>
  <c r="AE35" i="32" s="1"/>
  <c r="R2" i="32"/>
  <c r="R38" i="32" s="1"/>
  <c r="AA3" i="32"/>
  <c r="AA32" i="32" s="1"/>
  <c r="T4" i="32"/>
  <c r="T40" i="32" s="1"/>
  <c r="K6" i="32"/>
  <c r="Z7" i="32"/>
  <c r="E10" i="32"/>
  <c r="E46" i="32" s="1"/>
  <c r="E45" i="32" s="1"/>
  <c r="U11" i="32"/>
  <c r="U39" i="32" s="1"/>
  <c r="S13" i="32"/>
  <c r="S33" i="32" s="1"/>
  <c r="W14" i="32"/>
  <c r="W34" i="32" s="1"/>
  <c r="AB34" i="32" s="1"/>
  <c r="V15" i="32"/>
  <c r="V44" i="32" s="1"/>
  <c r="Y16" i="32"/>
  <c r="X17" i="32"/>
  <c r="AA19" i="32"/>
  <c r="AA42" i="32" s="1"/>
  <c r="AF42" i="32" s="1"/>
  <c r="T20" i="32"/>
  <c r="E22" i="32"/>
  <c r="E37" i="32" s="1"/>
  <c r="K22" i="32"/>
  <c r="K37" i="32" s="1"/>
  <c r="O37" i="32" s="1"/>
  <c r="Z23" i="32"/>
  <c r="Z49" i="32" s="1"/>
  <c r="X25" i="32"/>
  <c r="W26" i="32"/>
  <c r="W36" i="32" s="1"/>
  <c r="AB36" i="32" s="1"/>
  <c r="AA27" i="32"/>
  <c r="T28" i="32"/>
  <c r="T43" i="32" s="1"/>
  <c r="K30" i="32"/>
  <c r="K35" i="32" s="1"/>
  <c r="O35" i="32" s="1"/>
  <c r="T13" i="32"/>
  <c r="T33" i="32" s="1"/>
  <c r="U16" i="32"/>
  <c r="Z20" i="32"/>
  <c r="V24" i="32"/>
  <c r="AA28" i="32"/>
  <c r="AA43" i="32" s="1"/>
  <c r="AF43" i="32" s="1"/>
  <c r="R8" i="32"/>
  <c r="R41" i="32" s="1"/>
  <c r="R12" i="32"/>
  <c r="W16" i="32"/>
  <c r="S19" i="32"/>
  <c r="S42" i="32" s="1"/>
  <c r="Y30" i="32"/>
  <c r="Y35" i="32" s="1"/>
  <c r="AD35" i="32" s="1"/>
  <c r="T3" i="32"/>
  <c r="T32" i="32" s="1"/>
  <c r="T7" i="32"/>
  <c r="T11" i="32"/>
  <c r="T39" i="32" s="1"/>
  <c r="T15" i="32"/>
  <c r="T44" i="32" s="1"/>
  <c r="T19" i="32"/>
  <c r="T42" i="32" s="1"/>
  <c r="V22" i="32"/>
  <c r="V37" i="32" s="1"/>
  <c r="V26" i="32"/>
  <c r="V36" i="32" s="1"/>
  <c r="K29" i="32"/>
  <c r="W10" i="32"/>
  <c r="W46" i="32" s="1"/>
  <c r="Y12" i="32"/>
  <c r="T16" i="32"/>
  <c r="W18" i="32"/>
  <c r="Z19" i="32"/>
  <c r="Z42" i="32" s="1"/>
  <c r="AE42" i="32" s="1"/>
  <c r="U23" i="32"/>
  <c r="U49" i="32" s="1"/>
  <c r="R30" i="32"/>
  <c r="R35" i="32" s="1"/>
  <c r="E7" i="32"/>
  <c r="X10" i="32"/>
  <c r="X46" i="32" s="1"/>
  <c r="Y25" i="32"/>
  <c r="T29" i="32"/>
  <c r="U5" i="32"/>
  <c r="U9" i="32"/>
  <c r="V13" i="32"/>
  <c r="V33" i="32" s="1"/>
  <c r="K16" i="32"/>
  <c r="R20" i="32"/>
  <c r="E24" i="32"/>
  <c r="S27" i="32"/>
  <c r="X4" i="32"/>
  <c r="X40" i="32" s="1"/>
  <c r="AC40" i="32" s="1"/>
  <c r="X8" i="32"/>
  <c r="X41" i="32" s="1"/>
  <c r="AC41" i="32" s="1"/>
  <c r="X12" i="32"/>
  <c r="X16" i="32"/>
  <c r="Y23" i="32"/>
  <c r="Y49" i="32" s="1"/>
  <c r="Y27" i="32"/>
  <c r="U30" i="32"/>
  <c r="U35" i="32" s="1"/>
  <c r="V3" i="32"/>
  <c r="V32" i="32" s="1"/>
  <c r="V7" i="32"/>
  <c r="R14" i="32"/>
  <c r="R34" i="32" s="1"/>
  <c r="R18" i="32"/>
  <c r="Y20" i="32"/>
  <c r="W22" i="32"/>
  <c r="W37" i="32" s="1"/>
  <c r="AB37" i="32" s="1"/>
  <c r="T24" i="32"/>
  <c r="S25" i="32"/>
  <c r="V27" i="32"/>
  <c r="X29" i="32"/>
  <c r="S2" i="32"/>
  <c r="S38" i="32" s="1"/>
  <c r="R7" i="32"/>
  <c r="E15" i="32"/>
  <c r="E44" i="32" s="1"/>
  <c r="S22" i="32"/>
  <c r="S37" i="32" s="1"/>
  <c r="X26" i="32"/>
  <c r="X36" i="32" s="1"/>
  <c r="AC36" i="32" s="1"/>
  <c r="Y14" i="32"/>
  <c r="Y34" i="32" s="1"/>
  <c r="AD34" i="32" s="1"/>
  <c r="Z17" i="32"/>
  <c r="V21" i="32"/>
  <c r="W28" i="32"/>
  <c r="W43" i="32" s="1"/>
  <c r="AB43" i="32" s="1"/>
  <c r="K9" i="32"/>
  <c r="W13" i="32"/>
  <c r="W33" i="32" s="1"/>
  <c r="AB33" i="32" s="1"/>
  <c r="W17" i="32"/>
  <c r="S20" i="32"/>
  <c r="S24" i="32"/>
  <c r="Y4" i="32"/>
  <c r="Y40" i="32" s="1"/>
  <c r="AD40" i="32" s="1"/>
  <c r="T8" i="32"/>
  <c r="T41" i="32" s="1"/>
  <c r="V11" i="32"/>
  <c r="V39" i="32" s="1"/>
  <c r="X13" i="32"/>
  <c r="X33" i="32" s="1"/>
  <c r="AC33" i="32" s="1"/>
  <c r="AA15" i="32"/>
  <c r="AA44" i="32" s="1"/>
  <c r="AF44" i="32" s="1"/>
  <c r="R22" i="32"/>
  <c r="R37" i="32" s="1"/>
  <c r="E26" i="32"/>
  <c r="E36" i="32" s="1"/>
  <c r="Z27" i="32"/>
  <c r="U8" i="32"/>
  <c r="U41" i="32" s="1"/>
  <c r="E4" i="32"/>
  <c r="E40" i="32" s="1"/>
  <c r="AA14" i="32"/>
  <c r="AA34" i="32" s="1"/>
  <c r="AF34" i="32" s="1"/>
  <c r="S17" i="32"/>
  <c r="U4" i="32"/>
  <c r="U40" i="32" s="1"/>
  <c r="AA12" i="32"/>
  <c r="W27" i="32"/>
  <c r="Y22" i="32"/>
  <c r="Y37" i="32" s="1"/>
  <c r="AD37" i="32" s="1"/>
  <c r="AA2" i="32"/>
  <c r="AA38" i="32" s="1"/>
  <c r="AF38" i="32" s="1"/>
  <c r="AA18" i="32"/>
  <c r="K2" i="32"/>
  <c r="K38" i="32" s="1"/>
  <c r="O38" i="32" s="1"/>
  <c r="Z11" i="32"/>
  <c r="Z39" i="32" s="1"/>
  <c r="AE39" i="32" s="1"/>
  <c r="V19" i="32"/>
  <c r="V42" i="32" s="1"/>
  <c r="R26" i="32"/>
  <c r="R36" i="32" s="1"/>
  <c r="R19" i="32"/>
  <c r="R42" i="32" s="1"/>
  <c r="AA10" i="32"/>
  <c r="AA46" i="32" s="1"/>
  <c r="X5" i="32"/>
  <c r="K15" i="32"/>
  <c r="K44" i="32" s="1"/>
  <c r="O44" i="32" s="1"/>
  <c r="S30" i="32"/>
  <c r="S35" i="32" s="1"/>
  <c r="S11" i="32"/>
  <c r="S39" i="32" s="1"/>
  <c r="Z25" i="32"/>
  <c r="V6" i="32"/>
  <c r="V47" i="32" s="1"/>
  <c r="W21" i="32"/>
  <c r="E14" i="32"/>
  <c r="E34" i="32" s="1"/>
  <c r="X21" i="32"/>
  <c r="Y28" i="32"/>
  <c r="Y43" i="32" s="1"/>
  <c r="AD43" i="32" s="1"/>
  <c r="V29" i="32"/>
  <c r="W25" i="32"/>
  <c r="U15" i="32"/>
  <c r="U44" i="32" s="1"/>
  <c r="AA23" i="32"/>
  <c r="AA49" i="32" s="1"/>
  <c r="E30" i="32"/>
  <c r="E35" i="32" s="1"/>
  <c r="BC3" i="5"/>
  <c r="BC32" i="5" s="1"/>
  <c r="BC7" i="5"/>
  <c r="BC11" i="5"/>
  <c r="BC39" i="5" s="1"/>
  <c r="BC15" i="5"/>
  <c r="BC44" i="5" s="1"/>
  <c r="BC19" i="5"/>
  <c r="BC42" i="5" s="1"/>
  <c r="BC23" i="5"/>
  <c r="BC27" i="5"/>
  <c r="BC9" i="5"/>
  <c r="BC17" i="5"/>
  <c r="BC29" i="5"/>
  <c r="BC10" i="5"/>
  <c r="BC18" i="5"/>
  <c r="BC30" i="5"/>
  <c r="BC35" i="5" s="1"/>
  <c r="BC4" i="5"/>
  <c r="BC40" i="5" s="1"/>
  <c r="BC8" i="5"/>
  <c r="BC41" i="5" s="1"/>
  <c r="BC12" i="5"/>
  <c r="BC16" i="5"/>
  <c r="BC20" i="5"/>
  <c r="BC24" i="5"/>
  <c r="BC28" i="5"/>
  <c r="BC43" i="5" s="1"/>
  <c r="BC5" i="5"/>
  <c r="BC13" i="5"/>
  <c r="BC33" i="5" s="1"/>
  <c r="BC21" i="5"/>
  <c r="BC25" i="5"/>
  <c r="BC6" i="5"/>
  <c r="BC14" i="5"/>
  <c r="BC34" i="5" s="1"/>
  <c r="BC22" i="5"/>
  <c r="BC37" i="5" s="1"/>
  <c r="BC26" i="5"/>
  <c r="BC36" i="5" s="1"/>
  <c r="BC2" i="5"/>
  <c r="BC38" i="5" s="1"/>
  <c r="BC31" i="5" s="1"/>
  <c r="AH2" i="5"/>
  <c r="AH8" i="5"/>
  <c r="AH29" i="5"/>
  <c r="AH27" i="5"/>
  <c r="AH25" i="5"/>
  <c r="AH23" i="5"/>
  <c r="AH21" i="5"/>
  <c r="AH19" i="5"/>
  <c r="AH17" i="5"/>
  <c r="AH15" i="5"/>
  <c r="AH13" i="5"/>
  <c r="AH11" i="5"/>
  <c r="AH9" i="5"/>
  <c r="AH7" i="5"/>
  <c r="AH5" i="5"/>
  <c r="AH3" i="5"/>
  <c r="AH30" i="5"/>
  <c r="AH28" i="5"/>
  <c r="AH26" i="5"/>
  <c r="AH24" i="5"/>
  <c r="AH22" i="5"/>
  <c r="AH20" i="5"/>
  <c r="AH18" i="5"/>
  <c r="AH16" i="5"/>
  <c r="AH14" i="5"/>
  <c r="AH12" i="5"/>
  <c r="AH10" i="5"/>
  <c r="AH6" i="5"/>
  <c r="AH4" i="5"/>
  <c r="T4" i="5"/>
  <c r="S15" i="5"/>
  <c r="T24" i="5"/>
  <c r="S2" i="5"/>
  <c r="S6" i="5"/>
  <c r="S10" i="5"/>
  <c r="S14" i="5"/>
  <c r="S18" i="5"/>
  <c r="S22" i="5"/>
  <c r="S26" i="5"/>
  <c r="S30" i="5"/>
  <c r="U17" i="5"/>
  <c r="S13" i="5"/>
  <c r="S25" i="5"/>
  <c r="V5" i="5"/>
  <c r="U13" i="5"/>
  <c r="S23" i="5"/>
  <c r="T2" i="5"/>
  <c r="U7" i="5"/>
  <c r="T14" i="5"/>
  <c r="U19" i="5"/>
  <c r="T26" i="5"/>
  <c r="S4" i="5"/>
  <c r="S8" i="5"/>
  <c r="S12" i="5"/>
  <c r="S16" i="5"/>
  <c r="S20" i="5"/>
  <c r="S24" i="5"/>
  <c r="S28" i="5"/>
  <c r="E2" i="5"/>
  <c r="R2" i="5"/>
  <c r="R6" i="5"/>
  <c r="K4" i="5"/>
  <c r="Y6" i="5"/>
  <c r="W8" i="5"/>
  <c r="AA11" i="5"/>
  <c r="W12" i="5"/>
  <c r="Z15" i="5"/>
  <c r="X17" i="5"/>
  <c r="K20" i="5"/>
  <c r="Y22" i="5"/>
  <c r="E24" i="5"/>
  <c r="AA27" i="5"/>
  <c r="W28" i="5"/>
  <c r="X3" i="5"/>
  <c r="K6" i="5"/>
  <c r="Y8" i="5"/>
  <c r="W10" i="5"/>
  <c r="AA13" i="5"/>
  <c r="W14" i="5"/>
  <c r="Z17" i="5"/>
  <c r="X19" i="5"/>
  <c r="K22" i="5"/>
  <c r="Y24" i="5"/>
  <c r="E26" i="5"/>
  <c r="AA29" i="5"/>
  <c r="W30" i="5"/>
  <c r="Z4" i="5"/>
  <c r="X6" i="5"/>
  <c r="K9" i="5"/>
  <c r="Y11" i="5"/>
  <c r="E13" i="5"/>
  <c r="AA16" i="5"/>
  <c r="W17" i="5"/>
  <c r="Z20" i="5"/>
  <c r="X22" i="5"/>
  <c r="K25" i="5"/>
  <c r="Y27" i="5"/>
  <c r="E29" i="5"/>
  <c r="Z2" i="5"/>
  <c r="X4" i="5"/>
  <c r="K7" i="5"/>
  <c r="Y9" i="5"/>
  <c r="W11" i="5"/>
  <c r="AA14" i="5"/>
  <c r="W15" i="5"/>
  <c r="Z18" i="5"/>
  <c r="X20" i="5"/>
  <c r="K23" i="5"/>
  <c r="Y25" i="5"/>
  <c r="E27" i="5"/>
  <c r="AA30" i="5"/>
  <c r="U5" i="5"/>
  <c r="V17" i="5"/>
  <c r="U25" i="5"/>
  <c r="T3" i="5"/>
  <c r="T7" i="5"/>
  <c r="T11" i="5"/>
  <c r="T15" i="5"/>
  <c r="T19" i="5"/>
  <c r="T23" i="5"/>
  <c r="T27" i="5"/>
  <c r="S3" i="5"/>
  <c r="U3" i="5"/>
  <c r="U15" i="5"/>
  <c r="U27" i="5"/>
  <c r="S7" i="5"/>
  <c r="T16" i="5"/>
  <c r="V25" i="5"/>
  <c r="V3" i="5"/>
  <c r="S9" i="5"/>
  <c r="V15" i="5"/>
  <c r="S21" i="5"/>
  <c r="V27" i="5"/>
  <c r="T5" i="5"/>
  <c r="T9" i="5"/>
  <c r="T13" i="5"/>
  <c r="T17" i="5"/>
  <c r="T21" i="5"/>
  <c r="T25" i="5"/>
  <c r="T29" i="5"/>
  <c r="Y2" i="5"/>
  <c r="E4" i="5"/>
  <c r="AA7" i="5"/>
  <c r="E8" i="5"/>
  <c r="Z11" i="5"/>
  <c r="X13" i="5"/>
  <c r="K16" i="5"/>
  <c r="Y18" i="5"/>
  <c r="E20" i="5"/>
  <c r="AA23" i="5"/>
  <c r="W24" i="5"/>
  <c r="Z27" i="5"/>
  <c r="X29" i="5"/>
  <c r="Y4" i="5"/>
  <c r="W6" i="5"/>
  <c r="AA9" i="5"/>
  <c r="E10" i="5"/>
  <c r="Z13" i="5"/>
  <c r="X15" i="5"/>
  <c r="K18" i="5"/>
  <c r="Y20" i="5"/>
  <c r="E22" i="5"/>
  <c r="AA25" i="5"/>
  <c r="W26" i="5"/>
  <c r="Z29" i="5"/>
  <c r="X2" i="5"/>
  <c r="K5" i="5"/>
  <c r="Y7" i="5"/>
  <c r="W9" i="5"/>
  <c r="AA12" i="5"/>
  <c r="W13" i="5"/>
  <c r="W33" i="5" s="1"/>
  <c r="Z16" i="5"/>
  <c r="X18" i="5"/>
  <c r="K21" i="5"/>
  <c r="Y23" i="5"/>
  <c r="E25" i="5"/>
  <c r="AA28" i="5"/>
  <c r="W29" i="5"/>
  <c r="E3" i="5"/>
  <c r="Y5" i="5"/>
  <c r="W7" i="5"/>
  <c r="AA10" i="5"/>
  <c r="E11" i="5"/>
  <c r="Z14" i="5"/>
  <c r="X16" i="5"/>
  <c r="K19" i="5"/>
  <c r="Y21" i="5"/>
  <c r="E23" i="5"/>
  <c r="AA26" i="5"/>
  <c r="W27" i="5"/>
  <c r="Z30" i="5"/>
  <c r="T12" i="5"/>
  <c r="U4" i="5"/>
  <c r="U12" i="5"/>
  <c r="U20" i="5"/>
  <c r="U28" i="5"/>
  <c r="T10" i="5"/>
  <c r="T22" i="5"/>
  <c r="S11" i="5"/>
  <c r="V29" i="5"/>
  <c r="U11" i="5"/>
  <c r="U23" i="5"/>
  <c r="U6" i="5"/>
  <c r="U14" i="5"/>
  <c r="U22" i="5"/>
  <c r="U30" i="5"/>
  <c r="R14" i="5"/>
  <c r="R22" i="5"/>
  <c r="R30" i="5"/>
  <c r="R9" i="5"/>
  <c r="R13" i="5"/>
  <c r="R21" i="5"/>
  <c r="R29" i="5"/>
  <c r="R8" i="5"/>
  <c r="R12" i="5"/>
  <c r="R20" i="5"/>
  <c r="R28" i="5"/>
  <c r="R11" i="5"/>
  <c r="R39" i="5" s="1"/>
  <c r="R15" i="5"/>
  <c r="R23" i="5"/>
  <c r="R27" i="5"/>
  <c r="Z3" i="5"/>
  <c r="K8" i="5"/>
  <c r="E12" i="5"/>
  <c r="W16" i="5"/>
  <c r="K24" i="5"/>
  <c r="E28" i="5"/>
  <c r="Z5" i="5"/>
  <c r="X7" i="5"/>
  <c r="Y12" i="5"/>
  <c r="AA17" i="5"/>
  <c r="W18" i="5"/>
  <c r="X23" i="5"/>
  <c r="Y28" i="5"/>
  <c r="AA4" i="5"/>
  <c r="Z8" i="5"/>
  <c r="K13" i="5"/>
  <c r="AA20" i="5"/>
  <c r="W21" i="5"/>
  <c r="X26" i="5"/>
  <c r="K29" i="5"/>
  <c r="K3" i="5"/>
  <c r="X8" i="5"/>
  <c r="Y13" i="5"/>
  <c r="E15" i="5"/>
  <c r="W19" i="5"/>
  <c r="X24" i="5"/>
  <c r="Y29" i="5"/>
  <c r="U9" i="5"/>
  <c r="T20" i="5"/>
  <c r="T28" i="5"/>
  <c r="V4" i="5"/>
  <c r="V8" i="5"/>
  <c r="V12" i="5"/>
  <c r="V16" i="5"/>
  <c r="V20" i="5"/>
  <c r="V24" i="5"/>
  <c r="V28" i="5"/>
  <c r="T8" i="5"/>
  <c r="V7" i="5"/>
  <c r="V19" i="5"/>
  <c r="S29" i="5"/>
  <c r="V9" i="5"/>
  <c r="S19" i="5"/>
  <c r="S27" i="5"/>
  <c r="S5" i="5"/>
  <c r="V11" i="5"/>
  <c r="S17" i="5"/>
  <c r="V23" i="5"/>
  <c r="V2" i="5"/>
  <c r="V6" i="5"/>
  <c r="V10" i="5"/>
  <c r="V14" i="5"/>
  <c r="V18" i="5"/>
  <c r="V22" i="5"/>
  <c r="V26" i="5"/>
  <c r="V30" i="5"/>
  <c r="R3" i="5"/>
  <c r="K2" i="5"/>
  <c r="AA3" i="5"/>
  <c r="W4" i="5"/>
  <c r="Z7" i="5"/>
  <c r="X9" i="5"/>
  <c r="K12" i="5"/>
  <c r="Y14" i="5"/>
  <c r="E16" i="5"/>
  <c r="AA19" i="5"/>
  <c r="W20" i="5"/>
  <c r="Z23" i="5"/>
  <c r="X25" i="5"/>
  <c r="K28" i="5"/>
  <c r="Y30" i="5"/>
  <c r="AA5" i="5"/>
  <c r="E6" i="5"/>
  <c r="Z9" i="5"/>
  <c r="X11" i="5"/>
  <c r="K14" i="5"/>
  <c r="Y16" i="5"/>
  <c r="E18" i="5"/>
  <c r="AA21" i="5"/>
  <c r="W22" i="5"/>
  <c r="Z25" i="5"/>
  <c r="X27" i="5"/>
  <c r="K30" i="5"/>
  <c r="Y3" i="5"/>
  <c r="E5" i="5"/>
  <c r="AA8" i="5"/>
  <c r="E9" i="5"/>
  <c r="Z12" i="5"/>
  <c r="X14" i="5"/>
  <c r="K17" i="5"/>
  <c r="Y19" i="5"/>
  <c r="E21" i="5"/>
  <c r="AA24" i="5"/>
  <c r="W25" i="5"/>
  <c r="Z28" i="5"/>
  <c r="X30" i="5"/>
  <c r="W3" i="5"/>
  <c r="W32" i="5" s="1"/>
  <c r="AB32" i="5" s="1"/>
  <c r="AA6" i="5"/>
  <c r="E7" i="5"/>
  <c r="Z10" i="5"/>
  <c r="X12" i="5"/>
  <c r="K15" i="5"/>
  <c r="Y17" i="5"/>
  <c r="E19" i="5"/>
  <c r="AA22" i="5"/>
  <c r="W23" i="5"/>
  <c r="Z26" i="5"/>
  <c r="X28" i="5"/>
  <c r="U21" i="5"/>
  <c r="U29" i="5"/>
  <c r="U8" i="5"/>
  <c r="U16" i="5"/>
  <c r="U24" i="5"/>
  <c r="V13" i="5"/>
  <c r="T30" i="5"/>
  <c r="V21" i="5"/>
  <c r="T6" i="5"/>
  <c r="T18" i="5"/>
  <c r="U2" i="5"/>
  <c r="U10" i="5"/>
  <c r="U18" i="5"/>
  <c r="U26" i="5"/>
  <c r="R10" i="5"/>
  <c r="R18" i="5"/>
  <c r="R26" i="5"/>
  <c r="R5" i="5"/>
  <c r="R17" i="5"/>
  <c r="R25" i="5"/>
  <c r="R4" i="5"/>
  <c r="R16" i="5"/>
  <c r="R24" i="5"/>
  <c r="R7" i="5"/>
  <c r="R19" i="5"/>
  <c r="X5" i="5"/>
  <c r="Y10" i="5"/>
  <c r="AA15" i="5"/>
  <c r="Z19" i="5"/>
  <c r="X21" i="5"/>
  <c r="Y26" i="5"/>
  <c r="W2" i="5"/>
  <c r="K10" i="5"/>
  <c r="E14" i="5"/>
  <c r="Z21" i="5"/>
  <c r="K26" i="5"/>
  <c r="E30" i="5"/>
  <c r="W5" i="5"/>
  <c r="X10" i="5"/>
  <c r="Y15" i="5"/>
  <c r="E17" i="5"/>
  <c r="Z24" i="5"/>
  <c r="AA2" i="5"/>
  <c r="Z6" i="5"/>
  <c r="K11" i="5"/>
  <c r="AA18" i="5"/>
  <c r="Z22" i="5"/>
  <c r="K27" i="5"/>
  <c r="AL30" i="42"/>
  <c r="AL35" i="42" s="1"/>
  <c r="AL29" i="42"/>
  <c r="AL28" i="42"/>
  <c r="AL43" i="42" s="1"/>
  <c r="AL27" i="42"/>
  <c r="AL26" i="42"/>
  <c r="AL36" i="42" s="1"/>
  <c r="AL25" i="42"/>
  <c r="AL24" i="42"/>
  <c r="AL23" i="42"/>
  <c r="AL22" i="42"/>
  <c r="AL37" i="42" s="1"/>
  <c r="AL21" i="42"/>
  <c r="AL20" i="42"/>
  <c r="AL19" i="42"/>
  <c r="AL42" i="42" s="1"/>
  <c r="AL18" i="42"/>
  <c r="AL17" i="42"/>
  <c r="AL16" i="42"/>
  <c r="AL15" i="42"/>
  <c r="AL44" i="42" s="1"/>
  <c r="AL14" i="42"/>
  <c r="AL34" i="42" s="1"/>
  <c r="AL13" i="42"/>
  <c r="AL33" i="42" s="1"/>
  <c r="AL12" i="42"/>
  <c r="AL11" i="42"/>
  <c r="AL39" i="42" s="1"/>
  <c r="AL10" i="42"/>
  <c r="AL46" i="42" s="1"/>
  <c r="AL9" i="42"/>
  <c r="AL8" i="42"/>
  <c r="AL41" i="42" s="1"/>
  <c r="AL7" i="42"/>
  <c r="AL6" i="42"/>
  <c r="AL47" i="42" s="1"/>
  <c r="AL5" i="42"/>
  <c r="AL4" i="42"/>
  <c r="AL40" i="42" s="1"/>
  <c r="AL3" i="42"/>
  <c r="AL32" i="42" s="1"/>
  <c r="AL2" i="42"/>
  <c r="AL38" i="42" s="1"/>
  <c r="M30" i="41"/>
  <c r="M29" i="41"/>
  <c r="M28" i="41"/>
  <c r="M27" i="41"/>
  <c r="M26" i="41"/>
  <c r="M25" i="41"/>
  <c r="M24" i="41"/>
  <c r="M23" i="41"/>
  <c r="M22" i="41"/>
  <c r="M21" i="41"/>
  <c r="M20" i="41"/>
  <c r="M19" i="41"/>
  <c r="M18" i="41"/>
  <c r="M17" i="41"/>
  <c r="M16" i="41"/>
  <c r="M15" i="41"/>
  <c r="M14" i="41"/>
  <c r="M13" i="41"/>
  <c r="M12" i="41"/>
  <c r="M11" i="41"/>
  <c r="M10" i="41"/>
  <c r="M9" i="41"/>
  <c r="M8" i="41"/>
  <c r="M7" i="41"/>
  <c r="M6" i="41"/>
  <c r="M5" i="41"/>
  <c r="M4" i="41"/>
  <c r="M3" i="41"/>
  <c r="M2" i="41"/>
  <c r="M2" i="29"/>
  <c r="M38" i="29" s="1"/>
  <c r="M3" i="29"/>
  <c r="M4" i="29"/>
  <c r="M5" i="29"/>
  <c r="M6" i="29"/>
  <c r="M7" i="29"/>
  <c r="M8" i="29"/>
  <c r="M9" i="29"/>
  <c r="M10" i="29"/>
  <c r="M11" i="29"/>
  <c r="M12" i="29"/>
  <c r="M13" i="29"/>
  <c r="M15" i="29"/>
  <c r="M17" i="29"/>
  <c r="M19" i="29"/>
  <c r="M21" i="29"/>
  <c r="M23" i="29"/>
  <c r="M25" i="29"/>
  <c r="M27" i="29"/>
  <c r="M29" i="29"/>
  <c r="M14" i="29"/>
  <c r="M16" i="29"/>
  <c r="M18" i="29"/>
  <c r="M20" i="29"/>
  <c r="M22" i="29"/>
  <c r="M24" i="29"/>
  <c r="M26" i="29"/>
  <c r="M28" i="29"/>
  <c r="M30" i="29"/>
  <c r="AL14" i="43"/>
  <c r="AL34" i="43" s="1"/>
  <c r="AL27" i="43"/>
  <c r="AL11" i="43"/>
  <c r="AL39" i="43" s="1"/>
  <c r="AL4" i="43"/>
  <c r="AL40" i="43" s="1"/>
  <c r="AL2" i="43"/>
  <c r="AL38" i="43" s="1"/>
  <c r="AL23" i="43"/>
  <c r="AL6" i="43"/>
  <c r="AL47" i="43" s="1"/>
  <c r="AL7" i="43"/>
  <c r="AL18" i="43"/>
  <c r="AL28" i="43"/>
  <c r="AL43" i="43" s="1"/>
  <c r="AL20" i="43"/>
  <c r="AL12" i="43"/>
  <c r="AL26" i="43"/>
  <c r="AL36" i="43" s="1"/>
  <c r="AL25" i="43"/>
  <c r="AL15" i="43"/>
  <c r="AL44" i="43" s="1"/>
  <c r="AL3" i="43"/>
  <c r="AL32" i="43" s="1"/>
  <c r="AL10" i="43"/>
  <c r="AL46" i="43" s="1"/>
  <c r="AL45" i="43" s="1"/>
  <c r="AL8" i="43"/>
  <c r="AL41" i="43" s="1"/>
  <c r="AL24" i="43"/>
  <c r="AL16" i="43"/>
  <c r="AL30" i="43"/>
  <c r="AL35" i="43" s="1"/>
  <c r="AL22" i="43"/>
  <c r="AL37" i="43" s="1"/>
  <c r="AL17" i="43"/>
  <c r="AL13" i="43"/>
  <c r="AL33" i="43" s="1"/>
  <c r="AL9" i="43"/>
  <c r="AL5" i="43"/>
  <c r="AL19" i="43"/>
  <c r="AL42" i="43" s="1"/>
  <c r="AL21" i="43"/>
  <c r="AL29" i="43"/>
  <c r="AL5" i="30"/>
  <c r="AL9" i="30"/>
  <c r="AL13" i="30"/>
  <c r="AL33" i="30" s="1"/>
  <c r="AL17" i="30"/>
  <c r="AL20" i="30"/>
  <c r="AL22" i="30"/>
  <c r="AL37" i="30" s="1"/>
  <c r="AL28" i="30"/>
  <c r="AL43" i="30" s="1"/>
  <c r="AL30" i="30"/>
  <c r="AL35" i="30" s="1"/>
  <c r="AL25" i="30"/>
  <c r="AL14" i="30"/>
  <c r="AL34" i="30" s="1"/>
  <c r="AL4" i="30"/>
  <c r="AL40" i="30" s="1"/>
  <c r="AL8" i="30"/>
  <c r="AL41" i="30" s="1"/>
  <c r="AL12" i="30"/>
  <c r="AL16" i="30"/>
  <c r="AL23" i="30"/>
  <c r="AL6" i="30"/>
  <c r="AL47" i="30" s="1"/>
  <c r="AL10" i="30"/>
  <c r="AL46" i="30" s="1"/>
  <c r="AL45" i="30" s="1"/>
  <c r="AL21" i="30"/>
  <c r="AL2" i="30"/>
  <c r="AL38" i="30" s="1"/>
  <c r="AL3" i="30"/>
  <c r="AL32" i="30" s="1"/>
  <c r="AL7" i="30"/>
  <c r="AL11" i="30"/>
  <c r="AL39" i="30" s="1"/>
  <c r="AL15" i="30"/>
  <c r="AL44" i="30" s="1"/>
  <c r="AL18" i="30"/>
  <c r="AL24" i="30"/>
  <c r="AL26" i="30"/>
  <c r="AL36" i="30" s="1"/>
  <c r="AL19" i="30"/>
  <c r="AL42" i="30" s="1"/>
  <c r="AL27" i="30"/>
  <c r="AL29" i="30"/>
  <c r="C60" i="20"/>
  <c r="E60" i="20" s="1"/>
  <c r="E12" i="20"/>
  <c r="C74" i="20"/>
  <c r="E74" i="20" s="1"/>
  <c r="C41" i="20"/>
  <c r="E41" i="20" s="1"/>
  <c r="E8" i="20"/>
  <c r="C46" i="20"/>
  <c r="E10" i="20"/>
  <c r="C57" i="45"/>
  <c r="E57" i="45" s="1"/>
  <c r="C71" i="45"/>
  <c r="E71" i="45" s="1"/>
  <c r="E29" i="45"/>
  <c r="H53" i="37"/>
  <c r="K53" i="37" s="1"/>
  <c r="H67" i="37"/>
  <c r="K67" i="37" s="1"/>
  <c r="AH40" i="37"/>
  <c r="AJ40" i="37"/>
  <c r="AH36" i="37"/>
  <c r="AJ36" i="37"/>
  <c r="AC34" i="37"/>
  <c r="AE34" i="37" s="1"/>
  <c r="AE14" i="37"/>
  <c r="AH49" i="37"/>
  <c r="AJ49" i="37"/>
  <c r="AC49" i="37"/>
  <c r="AE23" i="37"/>
  <c r="H68" i="16"/>
  <c r="K68" i="16" s="1"/>
  <c r="H54" i="16"/>
  <c r="K54" i="16" s="1"/>
  <c r="H62" i="16"/>
  <c r="K62" i="16" s="1"/>
  <c r="H76" i="16"/>
  <c r="K76" i="16" s="1"/>
  <c r="CG18" i="42"/>
  <c r="CG17" i="42"/>
  <c r="CG16" i="42"/>
  <c r="CG15" i="42"/>
  <c r="CG44" i="42" s="1"/>
  <c r="CG14" i="42"/>
  <c r="CG34" i="42" s="1"/>
  <c r="CG13" i="42"/>
  <c r="CG33" i="42" s="1"/>
  <c r="CG12" i="42"/>
  <c r="CG11" i="42"/>
  <c r="CG39" i="42" s="1"/>
  <c r="CG10" i="42"/>
  <c r="CG46" i="42" s="1"/>
  <c r="CG9" i="42"/>
  <c r="CG8" i="42"/>
  <c r="CG41" i="42" s="1"/>
  <c r="CG7" i="42"/>
  <c r="CG6" i="42"/>
  <c r="CG47" i="42" s="1"/>
  <c r="CG5" i="42"/>
  <c r="CG29" i="42"/>
  <c r="CG27" i="42"/>
  <c r="CG25" i="42"/>
  <c r="CG23" i="42"/>
  <c r="CG49" i="42" s="1"/>
  <c r="CG21" i="42"/>
  <c r="AI30" i="41"/>
  <c r="AI29" i="41"/>
  <c r="AI28" i="41"/>
  <c r="AI27" i="41"/>
  <c r="AI26" i="41"/>
  <c r="AI25" i="41"/>
  <c r="AI24" i="41"/>
  <c r="AI23" i="41"/>
  <c r="AI22" i="41"/>
  <c r="AI21" i="41"/>
  <c r="AI20" i="41"/>
  <c r="AI19" i="41"/>
  <c r="AI18" i="41"/>
  <c r="AI17" i="41"/>
  <c r="AI16" i="41"/>
  <c r="AI15" i="41"/>
  <c r="AI14" i="41"/>
  <c r="AI13" i="41"/>
  <c r="AI12" i="41"/>
  <c r="AI11" i="41"/>
  <c r="AI10" i="41"/>
  <c r="AI9" i="41"/>
  <c r="AI8" i="41"/>
  <c r="AI7" i="41"/>
  <c r="AI6" i="41"/>
  <c r="AI5" i="41"/>
  <c r="AI4" i="41"/>
  <c r="AI3" i="41"/>
  <c r="AI2" i="41"/>
  <c r="CG30" i="42"/>
  <c r="CG35" i="42" s="1"/>
  <c r="CG28" i="42"/>
  <c r="CG43" i="42" s="1"/>
  <c r="CG26" i="42"/>
  <c r="CG36" i="42" s="1"/>
  <c r="CG24" i="42"/>
  <c r="CG22" i="42"/>
  <c r="CG37" i="42" s="1"/>
  <c r="BH27" i="41"/>
  <c r="BH26" i="41"/>
  <c r="BH36" i="41" s="1"/>
  <c r="BH25" i="41"/>
  <c r="BH24" i="41"/>
  <c r="BH23" i="41"/>
  <c r="BH49" i="41" s="1"/>
  <c r="BH21" i="41"/>
  <c r="BH20" i="41"/>
  <c r="BH19" i="41"/>
  <c r="BH42" i="41" s="1"/>
  <c r="BH18" i="41"/>
  <c r="BH17" i="41"/>
  <c r="BH16" i="41"/>
  <c r="BH15" i="41"/>
  <c r="BH44" i="41" s="1"/>
  <c r="BH12" i="41"/>
  <c r="BH11" i="41"/>
  <c r="BH39" i="41" s="1"/>
  <c r="CG4" i="42"/>
  <c r="CG40" i="42" s="1"/>
  <c r="CG2" i="42"/>
  <c r="CG38" i="42" s="1"/>
  <c r="BH22" i="41"/>
  <c r="BH37" i="41" s="1"/>
  <c r="BH14" i="41"/>
  <c r="BH34" i="41" s="1"/>
  <c r="BH13" i="41"/>
  <c r="BH33" i="41" s="1"/>
  <c r="BH2" i="41"/>
  <c r="BH38" i="41" s="1"/>
  <c r="AI2" i="29"/>
  <c r="AI38" i="29" s="1"/>
  <c r="BH2" i="29"/>
  <c r="BH38" i="29" s="1"/>
  <c r="AI3" i="29"/>
  <c r="BH3" i="29"/>
  <c r="BH32" i="29" s="1"/>
  <c r="AI4" i="29"/>
  <c r="BH4" i="29"/>
  <c r="BH40" i="29" s="1"/>
  <c r="AI5" i="29"/>
  <c r="BH5" i="29"/>
  <c r="CG19" i="42"/>
  <c r="CG42" i="42" s="1"/>
  <c r="BH30" i="41"/>
  <c r="BH35" i="41" s="1"/>
  <c r="BH7" i="41"/>
  <c r="BH6" i="41"/>
  <c r="BG47" i="41" s="1"/>
  <c r="BH5" i="41"/>
  <c r="BH4" i="41"/>
  <c r="BH40" i="41" s="1"/>
  <c r="BH3" i="41"/>
  <c r="BH32" i="41" s="1"/>
  <c r="BH10" i="41"/>
  <c r="BG46" i="41" s="1"/>
  <c r="BG45" i="41" s="1"/>
  <c r="BH12" i="29"/>
  <c r="AI13" i="29"/>
  <c r="BH13" i="29"/>
  <c r="BH33" i="29" s="1"/>
  <c r="AI14" i="29"/>
  <c r="BH14" i="29"/>
  <c r="BH34" i="29" s="1"/>
  <c r="AI15" i="29"/>
  <c r="BH15" i="29"/>
  <c r="BH44" i="29" s="1"/>
  <c r="AI16" i="29"/>
  <c r="BH16" i="29"/>
  <c r="AI17" i="29"/>
  <c r="BH17" i="29"/>
  <c r="AI18" i="29"/>
  <c r="BH18" i="29"/>
  <c r="AI19" i="29"/>
  <c r="BH19" i="29"/>
  <c r="BH42" i="29" s="1"/>
  <c r="AI20" i="29"/>
  <c r="BH20" i="29"/>
  <c r="AI21" i="29"/>
  <c r="BH21" i="29"/>
  <c r="AI22" i="29"/>
  <c r="BH22" i="29"/>
  <c r="BH37" i="29" s="1"/>
  <c r="AI23" i="29"/>
  <c r="BH23" i="29"/>
  <c r="BH49" i="29" s="1"/>
  <c r="AI24" i="29"/>
  <c r="BH24" i="29"/>
  <c r="AI25" i="29"/>
  <c r="BH25" i="29"/>
  <c r="AI26" i="29"/>
  <c r="BH26" i="29"/>
  <c r="BH36" i="29" s="1"/>
  <c r="AI27" i="29"/>
  <c r="BH27" i="29"/>
  <c r="AI28" i="29"/>
  <c r="BH28" i="29"/>
  <c r="BH43" i="29" s="1"/>
  <c r="AI29" i="29"/>
  <c r="BH29" i="29"/>
  <c r="AI30" i="29"/>
  <c r="BH30" i="29"/>
  <c r="BH35" i="29" s="1"/>
  <c r="BH29" i="41"/>
  <c r="BH8" i="41"/>
  <c r="BH41" i="41" s="1"/>
  <c r="AI6" i="29"/>
  <c r="BH7" i="29"/>
  <c r="AI8" i="29"/>
  <c r="BH9" i="29"/>
  <c r="AI10" i="29"/>
  <c r="BH11" i="29"/>
  <c r="BH39" i="29" s="1"/>
  <c r="AI12" i="29"/>
  <c r="CG3" i="42"/>
  <c r="CG32" i="42" s="1"/>
  <c r="CG20" i="42"/>
  <c r="BH28" i="41"/>
  <c r="BH43" i="41" s="1"/>
  <c r="BH6" i="29"/>
  <c r="BG47" i="29" s="1"/>
  <c r="AI9" i="29"/>
  <c r="AI7" i="29"/>
  <c r="BH10" i="29"/>
  <c r="BG46" i="29" s="1"/>
  <c r="BG45" i="29" s="1"/>
  <c r="BH9" i="41"/>
  <c r="BH8" i="29"/>
  <c r="BH41" i="29" s="1"/>
  <c r="AI11" i="29"/>
  <c r="CG29" i="43"/>
  <c r="CG16" i="43"/>
  <c r="CG23" i="43"/>
  <c r="CG17" i="43"/>
  <c r="CG13" i="43"/>
  <c r="CG33" i="43" s="1"/>
  <c r="CG9" i="43"/>
  <c r="CG5" i="43"/>
  <c r="CG19" i="43"/>
  <c r="CG42" i="43" s="1"/>
  <c r="CG7" i="43"/>
  <c r="CG26" i="43"/>
  <c r="CG36" i="43" s="1"/>
  <c r="CG18" i="43"/>
  <c r="CG25" i="43"/>
  <c r="CG21" i="43"/>
  <c r="CG12" i="43"/>
  <c r="CG15" i="43"/>
  <c r="CG44" i="43" s="1"/>
  <c r="CG3" i="43"/>
  <c r="CG32" i="43" s="1"/>
  <c r="CG11" i="43"/>
  <c r="CG39" i="43" s="1"/>
  <c r="CG30" i="43"/>
  <c r="CG35" i="43" s="1"/>
  <c r="CG22" i="43"/>
  <c r="CG37" i="43" s="1"/>
  <c r="CG6" i="43"/>
  <c r="CG47" i="43" s="1"/>
  <c r="CG14" i="43"/>
  <c r="CG34" i="43" s="1"/>
  <c r="CG10" i="43"/>
  <c r="CG46" i="43" s="1"/>
  <c r="CG24" i="43"/>
  <c r="CG4" i="43"/>
  <c r="CG40" i="43" s="1"/>
  <c r="CG28" i="43"/>
  <c r="CG43" i="43" s="1"/>
  <c r="CG20" i="43"/>
  <c r="CG2" i="43"/>
  <c r="CG38" i="43" s="1"/>
  <c r="CG8" i="43"/>
  <c r="CG41" i="43" s="1"/>
  <c r="CG27" i="43"/>
  <c r="CG3" i="30"/>
  <c r="CG32" i="30" s="1"/>
  <c r="CG4" i="30"/>
  <c r="CG40" i="30" s="1"/>
  <c r="CG5" i="30"/>
  <c r="CG6" i="30"/>
  <c r="CG47" i="30" s="1"/>
  <c r="CG7" i="30"/>
  <c r="CG8" i="30"/>
  <c r="CG41" i="30" s="1"/>
  <c r="CG9" i="30"/>
  <c r="CG10" i="30"/>
  <c r="CG46" i="30" s="1"/>
  <c r="CG45" i="30" s="1"/>
  <c r="CG11" i="30"/>
  <c r="CG39" i="30" s="1"/>
  <c r="CG12" i="30"/>
  <c r="CG13" i="30"/>
  <c r="CG33" i="30" s="1"/>
  <c r="CG14" i="30"/>
  <c r="CG34" i="30" s="1"/>
  <c r="CG15" i="30"/>
  <c r="CG44" i="30" s="1"/>
  <c r="CG16" i="30"/>
  <c r="CG17" i="30"/>
  <c r="CG18" i="30"/>
  <c r="CG19" i="30"/>
  <c r="CG42" i="30" s="1"/>
  <c r="CG20" i="30"/>
  <c r="CG21" i="30"/>
  <c r="CG22" i="30"/>
  <c r="CG37" i="30" s="1"/>
  <c r="CG23" i="30"/>
  <c r="CG49" i="30" s="1"/>
  <c r="CG24" i="30"/>
  <c r="CG25" i="30"/>
  <c r="CG26" i="30"/>
  <c r="CG36" i="30" s="1"/>
  <c r="CG27" i="30"/>
  <c r="CG28" i="30"/>
  <c r="CG43" i="30" s="1"/>
  <c r="CG29" i="30"/>
  <c r="CG30" i="30"/>
  <c r="CG35" i="30" s="1"/>
  <c r="CN30" i="42"/>
  <c r="CN35" i="42" s="1"/>
  <c r="CN29" i="42"/>
  <c r="CN28" i="42"/>
  <c r="CN43" i="42" s="1"/>
  <c r="CN27" i="42"/>
  <c r="CN26" i="42"/>
  <c r="CN36" i="42" s="1"/>
  <c r="CN25" i="42"/>
  <c r="CN24" i="42"/>
  <c r="CN23" i="42"/>
  <c r="CN49" i="42" s="1"/>
  <c r="CN22" i="42"/>
  <c r="CN37" i="42" s="1"/>
  <c r="CN21" i="42"/>
  <c r="CN20" i="42"/>
  <c r="CN19" i="42"/>
  <c r="CN42" i="42" s="1"/>
  <c r="CN18" i="42"/>
  <c r="CN17" i="42"/>
  <c r="CN16" i="42"/>
  <c r="CN15" i="42"/>
  <c r="CN44" i="42" s="1"/>
  <c r="CN14" i="42"/>
  <c r="CN34" i="42" s="1"/>
  <c r="CN13" i="42"/>
  <c r="CN33" i="42" s="1"/>
  <c r="CN12" i="42"/>
  <c r="CN11" i="42"/>
  <c r="CN39" i="42" s="1"/>
  <c r="CN10" i="42"/>
  <c r="CN46" i="42" s="1"/>
  <c r="CN9" i="42"/>
  <c r="CN8" i="42"/>
  <c r="CN41" i="42" s="1"/>
  <c r="CN7" i="42"/>
  <c r="CN6" i="42"/>
  <c r="CN47" i="42" s="1"/>
  <c r="CN5" i="42"/>
  <c r="CN4" i="42"/>
  <c r="CN40" i="42" s="1"/>
  <c r="CN3" i="42"/>
  <c r="CN32" i="42" s="1"/>
  <c r="CN31" i="42" s="1"/>
  <c r="CN2" i="42"/>
  <c r="CN38" i="42" s="1"/>
  <c r="BO30" i="41"/>
  <c r="BO35" i="41" s="1"/>
  <c r="AP30" i="41"/>
  <c r="AP29" i="41"/>
  <c r="AP28" i="41"/>
  <c r="AP27" i="41"/>
  <c r="AP26" i="41"/>
  <c r="AP25" i="41"/>
  <c r="AP24" i="41"/>
  <c r="AP23" i="41"/>
  <c r="AP22" i="41"/>
  <c r="AP21" i="41"/>
  <c r="AP20" i="41"/>
  <c r="AP19" i="41"/>
  <c r="AP18" i="41"/>
  <c r="AP17" i="41"/>
  <c r="AP16" i="41"/>
  <c r="AP15" i="41"/>
  <c r="AP14" i="41"/>
  <c r="AP13" i="41"/>
  <c r="AP12" i="41"/>
  <c r="AP11" i="41"/>
  <c r="AP10" i="41"/>
  <c r="AP9" i="41"/>
  <c r="AP8" i="41"/>
  <c r="AP7" i="41"/>
  <c r="AP6" i="41"/>
  <c r="AP5" i="41"/>
  <c r="AP4" i="41"/>
  <c r="AP3" i="41"/>
  <c r="AP2" i="41"/>
  <c r="BO29" i="41"/>
  <c r="BO28" i="41"/>
  <c r="BO43" i="41" s="1"/>
  <c r="BO10" i="41"/>
  <c r="BN46" i="41" s="1"/>
  <c r="BN45" i="41" s="1"/>
  <c r="BO9" i="41"/>
  <c r="BO8" i="41"/>
  <c r="BO41" i="41" s="1"/>
  <c r="AP2" i="29"/>
  <c r="AP38" i="29" s="1"/>
  <c r="BO2" i="29"/>
  <c r="BO38" i="29" s="1"/>
  <c r="AP3" i="29"/>
  <c r="BO3" i="29"/>
  <c r="BO32" i="29" s="1"/>
  <c r="AP4" i="29"/>
  <c r="BO4" i="29"/>
  <c r="BO40" i="29" s="1"/>
  <c r="AP5" i="29"/>
  <c r="BO5" i="29"/>
  <c r="AP6" i="29"/>
  <c r="BO6" i="29"/>
  <c r="BN47" i="29" s="1"/>
  <c r="AP7" i="29"/>
  <c r="BO7" i="29"/>
  <c r="AP8" i="29"/>
  <c r="BO8" i="29"/>
  <c r="BO41" i="29" s="1"/>
  <c r="AP9" i="29"/>
  <c r="BO9" i="29"/>
  <c r="AP10" i="29"/>
  <c r="BO10" i="29"/>
  <c r="BN46" i="29" s="1"/>
  <c r="BN45" i="29" s="1"/>
  <c r="AP11" i="29"/>
  <c r="BO11" i="29"/>
  <c r="BO39" i="29" s="1"/>
  <c r="AP12" i="29"/>
  <c r="BO27" i="41"/>
  <c r="BO26" i="41"/>
  <c r="BO36" i="41" s="1"/>
  <c r="BO25" i="41"/>
  <c r="BO24" i="41"/>
  <c r="BO23" i="41"/>
  <c r="BO49" i="41" s="1"/>
  <c r="BO21" i="41"/>
  <c r="BO20" i="41"/>
  <c r="BO19" i="41"/>
  <c r="BO42" i="41" s="1"/>
  <c r="BO18" i="41"/>
  <c r="BO17" i="41"/>
  <c r="BO16" i="41"/>
  <c r="BO15" i="41"/>
  <c r="BO44" i="41" s="1"/>
  <c r="BO12" i="41"/>
  <c r="BO11" i="41"/>
  <c r="BO39" i="41" s="1"/>
  <c r="BO22" i="41"/>
  <c r="BO37" i="41" s="1"/>
  <c r="BO14" i="41"/>
  <c r="BO34" i="41" s="1"/>
  <c r="BO13" i="41"/>
  <c r="BO33" i="41" s="1"/>
  <c r="BO2" i="41"/>
  <c r="BO38" i="41" s="1"/>
  <c r="BO7" i="41"/>
  <c r="BO3" i="41"/>
  <c r="BO32" i="41" s="1"/>
  <c r="BO4" i="41"/>
  <c r="BO40" i="41" s="1"/>
  <c r="BO6" i="41"/>
  <c r="BN47" i="41" s="1"/>
  <c r="BO5" i="41"/>
  <c r="AP27" i="29"/>
  <c r="BO13" i="29"/>
  <c r="BO33" i="29" s="1"/>
  <c r="AP14" i="29"/>
  <c r="BO15" i="29"/>
  <c r="BO44" i="29" s="1"/>
  <c r="AP16" i="29"/>
  <c r="BO17" i="29"/>
  <c r="AP18" i="29"/>
  <c r="BO19" i="29"/>
  <c r="BO42" i="29" s="1"/>
  <c r="AP20" i="29"/>
  <c r="BO21" i="29"/>
  <c r="AP22" i="29"/>
  <c r="BO23" i="29"/>
  <c r="BO49" i="29" s="1"/>
  <c r="AP24" i="29"/>
  <c r="BO25" i="29"/>
  <c r="AP26" i="29"/>
  <c r="BO27" i="29"/>
  <c r="AP28" i="29"/>
  <c r="BO29" i="29"/>
  <c r="AP30" i="29"/>
  <c r="AP19" i="29"/>
  <c r="BO20" i="29"/>
  <c r="BO22" i="29"/>
  <c r="BO37" i="29" s="1"/>
  <c r="BO24" i="29"/>
  <c r="AP25" i="29"/>
  <c r="BO28" i="29"/>
  <c r="BO43" i="29" s="1"/>
  <c r="AP29" i="29"/>
  <c r="BO30" i="29"/>
  <c r="BO35" i="29" s="1"/>
  <c r="BO12" i="29"/>
  <c r="AP13" i="29"/>
  <c r="BO14" i="29"/>
  <c r="BO34" i="29" s="1"/>
  <c r="AP15" i="29"/>
  <c r="BO16" i="29"/>
  <c r="AP17" i="29"/>
  <c r="BO18" i="29"/>
  <c r="AP21" i="29"/>
  <c r="AP23" i="29"/>
  <c r="BO26" i="29"/>
  <c r="BO36" i="29" s="1"/>
  <c r="CN18" i="43"/>
  <c r="CN25" i="43"/>
  <c r="CN28" i="43"/>
  <c r="CN43" i="43" s="1"/>
  <c r="CN20" i="43"/>
  <c r="CN12" i="43"/>
  <c r="CN3" i="43"/>
  <c r="CN32" i="43" s="1"/>
  <c r="CN8" i="43"/>
  <c r="CN41" i="43" s="1"/>
  <c r="CN11" i="43"/>
  <c r="CN39" i="43" s="1"/>
  <c r="CN10" i="43"/>
  <c r="CN46" i="43" s="1"/>
  <c r="CN29" i="43"/>
  <c r="CN24" i="43"/>
  <c r="CN16" i="43"/>
  <c r="CN23" i="43"/>
  <c r="CN22" i="43"/>
  <c r="CN37" i="43" s="1"/>
  <c r="CN6" i="43"/>
  <c r="CN47" i="43" s="1"/>
  <c r="CN17" i="43"/>
  <c r="CN9" i="43"/>
  <c r="CN7" i="43"/>
  <c r="CN14" i="43"/>
  <c r="CN34" i="43" s="1"/>
  <c r="CN13" i="43"/>
  <c r="CN33" i="43" s="1"/>
  <c r="CN5" i="43"/>
  <c r="CN26" i="43"/>
  <c r="CN36" i="43" s="1"/>
  <c r="CN21" i="43"/>
  <c r="CN2" i="43"/>
  <c r="CN38" i="43" s="1"/>
  <c r="CN15" i="43"/>
  <c r="CN44" i="43" s="1"/>
  <c r="CN27" i="43"/>
  <c r="CN4" i="43"/>
  <c r="CN40" i="43" s="1"/>
  <c r="CN30" i="43"/>
  <c r="CN35" i="43" s="1"/>
  <c r="CN19" i="43"/>
  <c r="CN42" i="43" s="1"/>
  <c r="CN4" i="30"/>
  <c r="CN40" i="30" s="1"/>
  <c r="CN6" i="30"/>
  <c r="CN47" i="30" s="1"/>
  <c r="CN7" i="30"/>
  <c r="CN9" i="30"/>
  <c r="CN15" i="30"/>
  <c r="CN44" i="30" s="1"/>
  <c r="CN16" i="30"/>
  <c r="CN18" i="30"/>
  <c r="CN19" i="30"/>
  <c r="CN42" i="30" s="1"/>
  <c r="CN21" i="30"/>
  <c r="CN23" i="30"/>
  <c r="CN49" i="30" s="1"/>
  <c r="CN24" i="30"/>
  <c r="CN25" i="30"/>
  <c r="CN26" i="30"/>
  <c r="CN36" i="30" s="1"/>
  <c r="CN27" i="30"/>
  <c r="CN17" i="30"/>
  <c r="CN29" i="30"/>
  <c r="CN30" i="30"/>
  <c r="CN35" i="30" s="1"/>
  <c r="CN3" i="30"/>
  <c r="CN32" i="30" s="1"/>
  <c r="CN5" i="30"/>
  <c r="CN8" i="30"/>
  <c r="CN41" i="30" s="1"/>
  <c r="CN10" i="30"/>
  <c r="CN46" i="30" s="1"/>
  <c r="CN11" i="30"/>
  <c r="CN39" i="30" s="1"/>
  <c r="CN12" i="30"/>
  <c r="CN13" i="30"/>
  <c r="CN33" i="30" s="1"/>
  <c r="CN14" i="30"/>
  <c r="CN34" i="30" s="1"/>
  <c r="CN20" i="30"/>
  <c r="CN22" i="30"/>
  <c r="CN37" i="30" s="1"/>
  <c r="CN28" i="30"/>
  <c r="CN43" i="30" s="1"/>
  <c r="CU30" i="42"/>
  <c r="CU35" i="42" s="1"/>
  <c r="CU29" i="42"/>
  <c r="CU28" i="42"/>
  <c r="CU43" i="42" s="1"/>
  <c r="CU27" i="42"/>
  <c r="CU26" i="42"/>
  <c r="CU36" i="42" s="1"/>
  <c r="CU25" i="42"/>
  <c r="CU24" i="42"/>
  <c r="CU23" i="42"/>
  <c r="CU49" i="42" s="1"/>
  <c r="CU22" i="42"/>
  <c r="CU37" i="42" s="1"/>
  <c r="CU21" i="42"/>
  <c r="CU20" i="42"/>
  <c r="CU19" i="42"/>
  <c r="CU42" i="42" s="1"/>
  <c r="CU18" i="42"/>
  <c r="CU17" i="42"/>
  <c r="CU16" i="42"/>
  <c r="CU15" i="42"/>
  <c r="CU44" i="42" s="1"/>
  <c r="CU14" i="42"/>
  <c r="CU34" i="42" s="1"/>
  <c r="CU13" i="42"/>
  <c r="CU33" i="42" s="1"/>
  <c r="CU12" i="42"/>
  <c r="CU11" i="42"/>
  <c r="CU39" i="42" s="1"/>
  <c r="CU10" i="42"/>
  <c r="CU46" i="42" s="1"/>
  <c r="CU9" i="42"/>
  <c r="CU8" i="42"/>
  <c r="CU41" i="42" s="1"/>
  <c r="CU7" i="42"/>
  <c r="CU6" i="42"/>
  <c r="CU47" i="42" s="1"/>
  <c r="CU5" i="42"/>
  <c r="CU4" i="42"/>
  <c r="CU40" i="42" s="1"/>
  <c r="CU3" i="42"/>
  <c r="CU32" i="42" s="1"/>
  <c r="CU2" i="42"/>
  <c r="CU38" i="42" s="1"/>
  <c r="BV30" i="41"/>
  <c r="BV35" i="41" s="1"/>
  <c r="BV7" i="41"/>
  <c r="BV6" i="41"/>
  <c r="BU47" i="41" s="1"/>
  <c r="BV5" i="41"/>
  <c r="BV4" i="41"/>
  <c r="BV40" i="41" s="1"/>
  <c r="BV3" i="41"/>
  <c r="BV32" i="41" s="1"/>
  <c r="BV28" i="41"/>
  <c r="BV43" i="41" s="1"/>
  <c r="BV10" i="41"/>
  <c r="BU46" i="41" s="1"/>
  <c r="BV9" i="41"/>
  <c r="BV8" i="41"/>
  <c r="BV41" i="41" s="1"/>
  <c r="BV27" i="41"/>
  <c r="BV26" i="41"/>
  <c r="BV36" i="41" s="1"/>
  <c r="BV25" i="41"/>
  <c r="BV24" i="41"/>
  <c r="BV23" i="41"/>
  <c r="BV49" i="41" s="1"/>
  <c r="BV21" i="41"/>
  <c r="BV20" i="41"/>
  <c r="BV19" i="41"/>
  <c r="BV42" i="41" s="1"/>
  <c r="BV18" i="41"/>
  <c r="BV17" i="41"/>
  <c r="BV16" i="41"/>
  <c r="BV15" i="41"/>
  <c r="BV44" i="41" s="1"/>
  <c r="BV12" i="41"/>
  <c r="BV11" i="41"/>
  <c r="BV39" i="41" s="1"/>
  <c r="AW30" i="41"/>
  <c r="AW28" i="41"/>
  <c r="AW26" i="41"/>
  <c r="AW24" i="41"/>
  <c r="AW22" i="41"/>
  <c r="AW20" i="41"/>
  <c r="AW18" i="41"/>
  <c r="AW16" i="41"/>
  <c r="AW14" i="41"/>
  <c r="AW12" i="41"/>
  <c r="AW10" i="41"/>
  <c r="AW8" i="41"/>
  <c r="AW6" i="41"/>
  <c r="AW4" i="41"/>
  <c r="AW2" i="41"/>
  <c r="BV13" i="41"/>
  <c r="BV33" i="41" s="1"/>
  <c r="BV2" i="29"/>
  <c r="BV38" i="29" s="1"/>
  <c r="AW3" i="29"/>
  <c r="BV4" i="29"/>
  <c r="BV40" i="29" s="1"/>
  <c r="AW5" i="29"/>
  <c r="AW6" i="29"/>
  <c r="BV7" i="29"/>
  <c r="AW8" i="29"/>
  <c r="BV9" i="29"/>
  <c r="AW10" i="29"/>
  <c r="BV11" i="29"/>
  <c r="BV39" i="29" s="1"/>
  <c r="AW12" i="29"/>
  <c r="BV14" i="41"/>
  <c r="BV34" i="41" s="1"/>
  <c r="AW29" i="41"/>
  <c r="AW27" i="41"/>
  <c r="AW25" i="41"/>
  <c r="AW23" i="41"/>
  <c r="AW21" i="41"/>
  <c r="AW19" i="41"/>
  <c r="AW17" i="41"/>
  <c r="AW15" i="41"/>
  <c r="AW13" i="41"/>
  <c r="AW11" i="41"/>
  <c r="AW9" i="41"/>
  <c r="AW7" i="41"/>
  <c r="AW5" i="41"/>
  <c r="AW3" i="41"/>
  <c r="BV22" i="41"/>
  <c r="BV37" i="41" s="1"/>
  <c r="AW2" i="29"/>
  <c r="AW38" i="29" s="1"/>
  <c r="BV3" i="29"/>
  <c r="BV32" i="29" s="1"/>
  <c r="AW4" i="29"/>
  <c r="BV6" i="29"/>
  <c r="BU47" i="29" s="1"/>
  <c r="AW7" i="29"/>
  <c r="BV8" i="29"/>
  <c r="BV41" i="29" s="1"/>
  <c r="AW9" i="29"/>
  <c r="BV10" i="29"/>
  <c r="BU46" i="29" s="1"/>
  <c r="AW11" i="29"/>
  <c r="BV12" i="29"/>
  <c r="AW13" i="29"/>
  <c r="BV13" i="29"/>
  <c r="BV33" i="29" s="1"/>
  <c r="AW14" i="29"/>
  <c r="BV14" i="29"/>
  <c r="BV34" i="29" s="1"/>
  <c r="AW15" i="29"/>
  <c r="BV15" i="29"/>
  <c r="BV44" i="29" s="1"/>
  <c r="AW16" i="29"/>
  <c r="BV16" i="29"/>
  <c r="AW17" i="29"/>
  <c r="BV17" i="29"/>
  <c r="AW18" i="29"/>
  <c r="BV18" i="29"/>
  <c r="AW19" i="29"/>
  <c r="BV19" i="29"/>
  <c r="BV42" i="29" s="1"/>
  <c r="AW20" i="29"/>
  <c r="BV20" i="29"/>
  <c r="AW21" i="29"/>
  <c r="BV21" i="29"/>
  <c r="AW22" i="29"/>
  <c r="BV22" i="29"/>
  <c r="BV37" i="29" s="1"/>
  <c r="AW23" i="29"/>
  <c r="BV23" i="29"/>
  <c r="BV49" i="29" s="1"/>
  <c r="AW24" i="29"/>
  <c r="BV24" i="29"/>
  <c r="AW25" i="29"/>
  <c r="BV25" i="29"/>
  <c r="AW26" i="29"/>
  <c r="BV26" i="29"/>
  <c r="BV36" i="29" s="1"/>
  <c r="AW27" i="29"/>
  <c r="BV27" i="29"/>
  <c r="AW28" i="29"/>
  <c r="BV28" i="29"/>
  <c r="BV43" i="29" s="1"/>
  <c r="AW29" i="29"/>
  <c r="BV29" i="29"/>
  <c r="AW30" i="29"/>
  <c r="BV30" i="29"/>
  <c r="BV35" i="29" s="1"/>
  <c r="BV2" i="41"/>
  <c r="BV38" i="41" s="1"/>
  <c r="BV29" i="41"/>
  <c r="BV5" i="29"/>
  <c r="CU22" i="43"/>
  <c r="CU37" i="43" s="1"/>
  <c r="CU6" i="43"/>
  <c r="CU47" i="43" s="1"/>
  <c r="CU29" i="43"/>
  <c r="CU16" i="43"/>
  <c r="CU23" i="43"/>
  <c r="CU30" i="43"/>
  <c r="CU35" i="43" s="1"/>
  <c r="CU17" i="43"/>
  <c r="CU13" i="43"/>
  <c r="CU33" i="43" s="1"/>
  <c r="CU9" i="43"/>
  <c r="CU5" i="43"/>
  <c r="CU19" i="43"/>
  <c r="CU42" i="43" s="1"/>
  <c r="CU7" i="43"/>
  <c r="CU2" i="43"/>
  <c r="CU38" i="43" s="1"/>
  <c r="CU26" i="43"/>
  <c r="CU36" i="43" s="1"/>
  <c r="CU18" i="43"/>
  <c r="CU25" i="43"/>
  <c r="CU21" i="43"/>
  <c r="CU12" i="43"/>
  <c r="CU15" i="43"/>
  <c r="CU44" i="43" s="1"/>
  <c r="CU3" i="43"/>
  <c r="CU32" i="43" s="1"/>
  <c r="CU11" i="43"/>
  <c r="CU39" i="43" s="1"/>
  <c r="CU27" i="43"/>
  <c r="CU10" i="43"/>
  <c r="CU46" i="43" s="1"/>
  <c r="CU45" i="43" s="1"/>
  <c r="CU24" i="43"/>
  <c r="CU4" i="43"/>
  <c r="CU40" i="43" s="1"/>
  <c r="CU28" i="43"/>
  <c r="CU43" i="43" s="1"/>
  <c r="CU20" i="43"/>
  <c r="CU14" i="43"/>
  <c r="CU34" i="43" s="1"/>
  <c r="CU8" i="43"/>
  <c r="CU41" i="43" s="1"/>
  <c r="CU3" i="30"/>
  <c r="CU32" i="30" s="1"/>
  <c r="CU4" i="30"/>
  <c r="CU40" i="30" s="1"/>
  <c r="CU5" i="30"/>
  <c r="CU6" i="30"/>
  <c r="CU47" i="30" s="1"/>
  <c r="CU7" i="30"/>
  <c r="CU8" i="30"/>
  <c r="CU41" i="30" s="1"/>
  <c r="CU9" i="30"/>
  <c r="CU10" i="30"/>
  <c r="CU46" i="30" s="1"/>
  <c r="CU45" i="30" s="1"/>
  <c r="CU11" i="30"/>
  <c r="CU39" i="30" s="1"/>
  <c r="CU12" i="30"/>
  <c r="CU13" i="30"/>
  <c r="CU33" i="30" s="1"/>
  <c r="CU14" i="30"/>
  <c r="CU34" i="30" s="1"/>
  <c r="CU15" i="30"/>
  <c r="CU44" i="30" s="1"/>
  <c r="CU16" i="30"/>
  <c r="CU17" i="30"/>
  <c r="CU18" i="30"/>
  <c r="CU19" i="30"/>
  <c r="CU42" i="30" s="1"/>
  <c r="CU20" i="30"/>
  <c r="CU21" i="30"/>
  <c r="CU22" i="30"/>
  <c r="CU37" i="30" s="1"/>
  <c r="CU23" i="30"/>
  <c r="CU49" i="30" s="1"/>
  <c r="CU24" i="30"/>
  <c r="CU25" i="30"/>
  <c r="CU26" i="30"/>
  <c r="CU36" i="30" s="1"/>
  <c r="CU27" i="30"/>
  <c r="CU28" i="30"/>
  <c r="CU43" i="30" s="1"/>
  <c r="CU29" i="30"/>
  <c r="CU30" i="30"/>
  <c r="CU35" i="30" s="1"/>
  <c r="BW29" i="38"/>
  <c r="J29" i="38"/>
  <c r="EC28" i="38"/>
  <c r="EC43" i="38" s="1"/>
  <c r="EQ43" i="38" s="1"/>
  <c r="BW24" i="38"/>
  <c r="J24" i="38"/>
  <c r="EC23" i="38"/>
  <c r="EC49" i="38" s="1"/>
  <c r="J27" i="38"/>
  <c r="J26" i="38"/>
  <c r="J25" i="38"/>
  <c r="EC22" i="38"/>
  <c r="EC37" i="38" s="1"/>
  <c r="EQ37" i="38" s="1"/>
  <c r="EC21" i="38"/>
  <c r="BW19" i="38"/>
  <c r="BW42" i="38" s="1"/>
  <c r="CK42" i="38" s="1"/>
  <c r="J19" i="38"/>
  <c r="EC18" i="38"/>
  <c r="BW15" i="38"/>
  <c r="BW44" i="38" s="1"/>
  <c r="CK44" i="38" s="1"/>
  <c r="J15" i="38"/>
  <c r="EC14" i="38"/>
  <c r="EC34" i="38" s="1"/>
  <c r="EQ34" i="38" s="1"/>
  <c r="BW8" i="38"/>
  <c r="BW41" i="38" s="1"/>
  <c r="CK41" i="38" s="1"/>
  <c r="J8" i="38"/>
  <c r="EC7" i="38"/>
  <c r="BW6" i="38"/>
  <c r="BW47" i="38" s="1"/>
  <c r="CK47" i="38" s="1"/>
  <c r="J6" i="38"/>
  <c r="EC5" i="38"/>
  <c r="BW30" i="38"/>
  <c r="BW35" i="38" s="1"/>
  <c r="CK35" i="38" s="1"/>
  <c r="BW28" i="38"/>
  <c r="BW43" i="38" s="1"/>
  <c r="CK43" i="38" s="1"/>
  <c r="EC26" i="38"/>
  <c r="EC36" i="38" s="1"/>
  <c r="EQ36" i="38" s="1"/>
  <c r="EC25" i="38"/>
  <c r="EC24" i="38"/>
  <c r="BW18" i="38"/>
  <c r="J18" i="38"/>
  <c r="EC17" i="38"/>
  <c r="EC27" i="38"/>
  <c r="BW26" i="38"/>
  <c r="BW36" i="38" s="1"/>
  <c r="CK36" i="38" s="1"/>
  <c r="J22" i="38"/>
  <c r="J20" i="38"/>
  <c r="EC10" i="38"/>
  <c r="EC46" i="38" s="1"/>
  <c r="EC9" i="38"/>
  <c r="EC8" i="38"/>
  <c r="EC41" i="38" s="1"/>
  <c r="EQ41" i="38" s="1"/>
  <c r="EC6" i="38"/>
  <c r="EC47" i="38" s="1"/>
  <c r="EQ47" i="38" s="1"/>
  <c r="J5" i="38"/>
  <c r="EC4" i="38"/>
  <c r="EC40" i="38" s="1"/>
  <c r="EQ40" i="38" s="1"/>
  <c r="J3" i="38"/>
  <c r="EC2" i="38"/>
  <c r="EC38" i="38" s="1"/>
  <c r="EQ38" i="38" s="1"/>
  <c r="U30" i="38"/>
  <c r="U35" i="38" s="1"/>
  <c r="AF35" i="38" s="1"/>
  <c r="U29" i="38"/>
  <c r="U27" i="38"/>
  <c r="U18" i="38"/>
  <c r="U16" i="38"/>
  <c r="U14" i="38"/>
  <c r="U34" i="38" s="1"/>
  <c r="AF34" i="38" s="1"/>
  <c r="U9" i="38"/>
  <c r="U8" i="38"/>
  <c r="U41" i="38" s="1"/>
  <c r="AF41" i="38" s="1"/>
  <c r="U7" i="38"/>
  <c r="J30" i="38"/>
  <c r="BW23" i="38"/>
  <c r="BW49" i="38" s="1"/>
  <c r="BW21" i="38"/>
  <c r="BW17" i="38"/>
  <c r="BW16" i="38"/>
  <c r="BW14" i="38"/>
  <c r="BW34" i="38" s="1"/>
  <c r="CK34" i="38" s="1"/>
  <c r="BW13" i="38"/>
  <c r="BW33" i="38" s="1"/>
  <c r="CK33" i="38" s="1"/>
  <c r="BW12" i="38"/>
  <c r="U28" i="38"/>
  <c r="U43" i="38" s="1"/>
  <c r="AF43" i="38" s="1"/>
  <c r="U23" i="38"/>
  <c r="U49" i="38" s="1"/>
  <c r="U17" i="38"/>
  <c r="U15" i="38"/>
  <c r="U44" i="38" s="1"/>
  <c r="AF44" i="38" s="1"/>
  <c r="U13" i="38"/>
  <c r="U33" i="38" s="1"/>
  <c r="AF33" i="38" s="1"/>
  <c r="U11" i="38"/>
  <c r="U39" i="38" s="1"/>
  <c r="AF39" i="38" s="1"/>
  <c r="J21" i="38"/>
  <c r="EC19" i="38"/>
  <c r="EC42" i="38" s="1"/>
  <c r="EQ42" i="38" s="1"/>
  <c r="EC13" i="38"/>
  <c r="EC33" i="38" s="1"/>
  <c r="EQ33" i="38" s="1"/>
  <c r="J11" i="38"/>
  <c r="J9" i="38"/>
  <c r="J7" i="38"/>
  <c r="BW5" i="38"/>
  <c r="J4" i="38"/>
  <c r="U24" i="38"/>
  <c r="U22" i="38"/>
  <c r="U37" i="38" s="1"/>
  <c r="AF37" i="38" s="1"/>
  <c r="U6" i="38"/>
  <c r="U47" i="38" s="1"/>
  <c r="AF47" i="38" s="1"/>
  <c r="J28" i="38"/>
  <c r="BW25" i="38"/>
  <c r="J23" i="38"/>
  <c r="J16" i="38"/>
  <c r="J12" i="38"/>
  <c r="BW10" i="38"/>
  <c r="BW46" i="38" s="1"/>
  <c r="BW3" i="38"/>
  <c r="BW32" i="38" s="1"/>
  <c r="BW2" i="38"/>
  <c r="BW38" i="38" s="1"/>
  <c r="CK38" i="38" s="1"/>
  <c r="U20" i="38"/>
  <c r="U4" i="38"/>
  <c r="U40" i="38" s="1"/>
  <c r="AF40" i="38" s="1"/>
  <c r="EC29" i="38"/>
  <c r="BW20" i="38"/>
  <c r="J17" i="38"/>
  <c r="EC15" i="38"/>
  <c r="EC44" i="38" s="1"/>
  <c r="EQ44" i="38" s="1"/>
  <c r="J13" i="38"/>
  <c r="EC11" i="38"/>
  <c r="EC39" i="38" s="1"/>
  <c r="EQ39" i="38" s="1"/>
  <c r="J14" i="38"/>
  <c r="BW11" i="38"/>
  <c r="BW39" i="38" s="1"/>
  <c r="CK39" i="38" s="1"/>
  <c r="EC3" i="38"/>
  <c r="EC32" i="38" s="1"/>
  <c r="BW22" i="38"/>
  <c r="BW37" i="38" s="1"/>
  <c r="CK37" i="38" s="1"/>
  <c r="EC20" i="38"/>
  <c r="EC12" i="38"/>
  <c r="J10" i="38"/>
  <c r="J2" i="38"/>
  <c r="BW27" i="38"/>
  <c r="BW7" i="38"/>
  <c r="BW4" i="38"/>
  <c r="BW40" i="38" s="1"/>
  <c r="CK40" i="38" s="1"/>
  <c r="BW9" i="38"/>
  <c r="U26" i="38"/>
  <c r="U36" i="38" s="1"/>
  <c r="AF36" i="38" s="1"/>
  <c r="U2" i="38"/>
  <c r="U38" i="38" s="1"/>
  <c r="AF38" i="38" s="1"/>
  <c r="U19" i="38"/>
  <c r="U42" i="38" s="1"/>
  <c r="AF42" i="38" s="1"/>
  <c r="U12" i="38"/>
  <c r="U5" i="38"/>
  <c r="U3" i="38"/>
  <c r="U32" i="38" s="1"/>
  <c r="U21" i="38"/>
  <c r="U10" i="38"/>
  <c r="U46" i="38" s="1"/>
  <c r="U25" i="38"/>
  <c r="EC30" i="38"/>
  <c r="EC35" i="38" s="1"/>
  <c r="EQ35" i="38" s="1"/>
  <c r="EC16" i="38"/>
  <c r="J30" i="18"/>
  <c r="J26" i="18"/>
  <c r="J22" i="18"/>
  <c r="J18" i="18"/>
  <c r="J14" i="18"/>
  <c r="J10" i="18"/>
  <c r="J6" i="18"/>
  <c r="J2" i="18"/>
  <c r="J17" i="18"/>
  <c r="J13" i="18"/>
  <c r="J9" i="18"/>
  <c r="J5" i="18"/>
  <c r="J23" i="18"/>
  <c r="J11" i="18"/>
  <c r="J3" i="18"/>
  <c r="J29" i="18"/>
  <c r="J25" i="18"/>
  <c r="J21" i="18"/>
  <c r="J28" i="18"/>
  <c r="J24" i="18"/>
  <c r="J20" i="18"/>
  <c r="J16" i="18"/>
  <c r="J12" i="18"/>
  <c r="J8" i="18"/>
  <c r="J4" i="18"/>
  <c r="J27" i="18"/>
  <c r="J19" i="18"/>
  <c r="J15" i="18"/>
  <c r="J7" i="18"/>
  <c r="C29" i="16"/>
  <c r="C25" i="16"/>
  <c r="C22" i="16"/>
  <c r="C19" i="16"/>
  <c r="C13" i="16"/>
  <c r="C9" i="16"/>
  <c r="C6" i="16"/>
  <c r="C3" i="16"/>
  <c r="C30" i="16"/>
  <c r="C26" i="16"/>
  <c r="C23" i="16"/>
  <c r="C20" i="16"/>
  <c r="C16" i="16"/>
  <c r="C10" i="16"/>
  <c r="C7" i="16"/>
  <c r="C4" i="16"/>
  <c r="C27" i="16"/>
  <c r="C21" i="16"/>
  <c r="C14" i="16"/>
  <c r="C28" i="16"/>
  <c r="C15" i="16"/>
  <c r="C8" i="16"/>
  <c r="C2" i="16"/>
  <c r="C11" i="16"/>
  <c r="G19" i="16"/>
  <c r="G42" i="16" s="1"/>
  <c r="G18" i="16"/>
  <c r="G16" i="16"/>
  <c r="G13" i="16"/>
  <c r="G33" i="16" s="1"/>
  <c r="G12" i="16"/>
  <c r="G2" i="16"/>
  <c r="G38" i="16" s="1"/>
  <c r="C18" i="16"/>
  <c r="G30" i="16"/>
  <c r="G35" i="16" s="1"/>
  <c r="G29" i="16"/>
  <c r="G27" i="16"/>
  <c r="G26" i="16"/>
  <c r="G36" i="16" s="1"/>
  <c r="G25" i="16"/>
  <c r="G20" i="16"/>
  <c r="G15" i="16"/>
  <c r="G44" i="16" s="1"/>
  <c r="G11" i="16"/>
  <c r="G39" i="16" s="1"/>
  <c r="G7" i="16"/>
  <c r="G4" i="16"/>
  <c r="G40" i="16" s="1"/>
  <c r="C5" i="16"/>
  <c r="G17" i="16"/>
  <c r="G8" i="16"/>
  <c r="G41" i="16" s="1"/>
  <c r="C12" i="16"/>
  <c r="G24" i="16"/>
  <c r="G23" i="16"/>
  <c r="G49" i="16" s="1"/>
  <c r="G22" i="16"/>
  <c r="G37" i="16" s="1"/>
  <c r="G10" i="16"/>
  <c r="G46" i="16" s="1"/>
  <c r="G6" i="16"/>
  <c r="G47" i="16" s="1"/>
  <c r="C17" i="16"/>
  <c r="G21" i="16"/>
  <c r="G14" i="16"/>
  <c r="G34" i="16" s="1"/>
  <c r="G5" i="16"/>
  <c r="C24" i="16"/>
  <c r="G28" i="16"/>
  <c r="G43" i="16" s="1"/>
  <c r="G9" i="16"/>
  <c r="G3" i="16"/>
  <c r="G32" i="16" s="1"/>
  <c r="C30" i="37"/>
  <c r="C29" i="37"/>
  <c r="C28" i="37"/>
  <c r="C27" i="37"/>
  <c r="C26" i="37"/>
  <c r="C25" i="37"/>
  <c r="G30" i="37"/>
  <c r="G35" i="37" s="1"/>
  <c r="G28" i="37"/>
  <c r="G43" i="37" s="1"/>
  <c r="G26" i="37"/>
  <c r="G36" i="37" s="1"/>
  <c r="C22" i="37"/>
  <c r="G21" i="37"/>
  <c r="C18" i="37"/>
  <c r="G17" i="37"/>
  <c r="C14" i="37"/>
  <c r="G13" i="37"/>
  <c r="G33" i="37" s="1"/>
  <c r="C10" i="37"/>
  <c r="G9" i="37"/>
  <c r="C6" i="37"/>
  <c r="G5" i="37"/>
  <c r="C2" i="37"/>
  <c r="C19" i="37"/>
  <c r="G18" i="37"/>
  <c r="C11" i="37"/>
  <c r="G10" i="37"/>
  <c r="G46" i="37" s="1"/>
  <c r="C7" i="37"/>
  <c r="G6" i="37"/>
  <c r="G47" i="37" s="1"/>
  <c r="G24" i="37"/>
  <c r="C21" i="37"/>
  <c r="G20" i="37"/>
  <c r="C17" i="37"/>
  <c r="G16" i="37"/>
  <c r="C13" i="37"/>
  <c r="G12" i="37"/>
  <c r="C9" i="37"/>
  <c r="G8" i="37"/>
  <c r="G41" i="37" s="1"/>
  <c r="C5" i="37"/>
  <c r="G4" i="37"/>
  <c r="G40" i="37" s="1"/>
  <c r="G29" i="37"/>
  <c r="G27" i="37"/>
  <c r="G25" i="37"/>
  <c r="C24" i="37"/>
  <c r="G23" i="37"/>
  <c r="G49" i="37" s="1"/>
  <c r="C20" i="37"/>
  <c r="G19" i="37"/>
  <c r="G42" i="37" s="1"/>
  <c r="C16" i="37"/>
  <c r="G15" i="37"/>
  <c r="G44" i="37" s="1"/>
  <c r="C12" i="37"/>
  <c r="G11" i="37"/>
  <c r="G39" i="37" s="1"/>
  <c r="C8" i="37"/>
  <c r="C41" i="37" s="1"/>
  <c r="G7" i="37"/>
  <c r="C4" i="37"/>
  <c r="C40" i="37" s="1"/>
  <c r="G3" i="37"/>
  <c r="G32" i="37" s="1"/>
  <c r="C23" i="37"/>
  <c r="G22" i="37"/>
  <c r="G37" i="37" s="1"/>
  <c r="C15" i="37"/>
  <c r="G14" i="37"/>
  <c r="G34" i="37" s="1"/>
  <c r="C3" i="37"/>
  <c r="G2" i="37"/>
  <c r="G38" i="37" s="1"/>
  <c r="AZ18" i="42"/>
  <c r="AZ17" i="42"/>
  <c r="AZ16" i="42"/>
  <c r="AZ15" i="42"/>
  <c r="AZ44" i="42" s="1"/>
  <c r="AZ14" i="42"/>
  <c r="AZ34" i="42" s="1"/>
  <c r="AZ13" i="42"/>
  <c r="AZ33" i="42" s="1"/>
  <c r="AZ12" i="42"/>
  <c r="AZ11" i="42"/>
  <c r="AZ39" i="42" s="1"/>
  <c r="AZ10" i="42"/>
  <c r="AZ46" i="42" s="1"/>
  <c r="AZ9" i="42"/>
  <c r="AZ8" i="42"/>
  <c r="AZ41" i="42" s="1"/>
  <c r="AZ7" i="42"/>
  <c r="AZ6" i="42"/>
  <c r="AZ47" i="42" s="1"/>
  <c r="AZ5" i="42"/>
  <c r="AZ30" i="42"/>
  <c r="AZ35" i="42" s="1"/>
  <c r="AZ29" i="42"/>
  <c r="AZ28" i="42"/>
  <c r="AZ43" i="42" s="1"/>
  <c r="AZ27" i="42"/>
  <c r="AZ26" i="42"/>
  <c r="AZ36" i="42" s="1"/>
  <c r="AZ25" i="42"/>
  <c r="AZ24" i="42"/>
  <c r="AZ23" i="42"/>
  <c r="AZ22" i="42"/>
  <c r="AZ37" i="42" s="1"/>
  <c r="AZ21" i="42"/>
  <c r="AZ20" i="42"/>
  <c r="AZ19" i="42"/>
  <c r="AZ42" i="42" s="1"/>
  <c r="AZ4" i="42"/>
  <c r="AZ40" i="42" s="1"/>
  <c r="AZ3" i="42"/>
  <c r="AZ32" i="42" s="1"/>
  <c r="AZ2" i="42"/>
  <c r="AZ38" i="42" s="1"/>
  <c r="AA30" i="41"/>
  <c r="AA29" i="41"/>
  <c r="AA28" i="41"/>
  <c r="AA27" i="41"/>
  <c r="AA26" i="41"/>
  <c r="AA25" i="41"/>
  <c r="AA24" i="41"/>
  <c r="AA23" i="41"/>
  <c r="AA22" i="41"/>
  <c r="AA21" i="41"/>
  <c r="AA20" i="41"/>
  <c r="AA19" i="41"/>
  <c r="AA18" i="41"/>
  <c r="AA17" i="41"/>
  <c r="AA16" i="41"/>
  <c r="AA15" i="41"/>
  <c r="AA14" i="41"/>
  <c r="AA13" i="41"/>
  <c r="AA12" i="41"/>
  <c r="AA11" i="41"/>
  <c r="AA10" i="41"/>
  <c r="AA9" i="41"/>
  <c r="AA8" i="41"/>
  <c r="AA7" i="41"/>
  <c r="AA6" i="41"/>
  <c r="AA5" i="41"/>
  <c r="AA4" i="41"/>
  <c r="AA3" i="41"/>
  <c r="AA2" i="41"/>
  <c r="AA2" i="29"/>
  <c r="AA38" i="29" s="1"/>
  <c r="AA3" i="29"/>
  <c r="AA4" i="29"/>
  <c r="AA5" i="29"/>
  <c r="AA6" i="29"/>
  <c r="AA8" i="29"/>
  <c r="AA10" i="29"/>
  <c r="AA12" i="29"/>
  <c r="AA13" i="29"/>
  <c r="AA14" i="29"/>
  <c r="AA15" i="29"/>
  <c r="AA16" i="29"/>
  <c r="AA17" i="29"/>
  <c r="AA18" i="29"/>
  <c r="AA19" i="29"/>
  <c r="AA20" i="29"/>
  <c r="AA21" i="29"/>
  <c r="AA22" i="29"/>
  <c r="AA23" i="29"/>
  <c r="AA24" i="29"/>
  <c r="AA25" i="29"/>
  <c r="AA26" i="29"/>
  <c r="AA27" i="29"/>
  <c r="AA28" i="29"/>
  <c r="AA29" i="29"/>
  <c r="AA30" i="29"/>
  <c r="AA7" i="29"/>
  <c r="AA9" i="29"/>
  <c r="AA11" i="29"/>
  <c r="AZ10" i="43"/>
  <c r="AZ46" i="43" s="1"/>
  <c r="AZ24" i="43"/>
  <c r="AZ4" i="43"/>
  <c r="AZ40" i="43" s="1"/>
  <c r="AZ28" i="43"/>
  <c r="AZ43" i="43" s="1"/>
  <c r="AZ20" i="43"/>
  <c r="AZ14" i="43"/>
  <c r="AZ34" i="43" s="1"/>
  <c r="AZ8" i="43"/>
  <c r="AZ41" i="43" s="1"/>
  <c r="AZ27" i="43"/>
  <c r="AZ11" i="43"/>
  <c r="AZ39" i="43" s="1"/>
  <c r="AZ22" i="43"/>
  <c r="AZ37" i="43" s="1"/>
  <c r="AZ30" i="43"/>
  <c r="AZ35" i="43" s="1"/>
  <c r="AZ6" i="43"/>
  <c r="AZ47" i="43" s="1"/>
  <c r="AZ29" i="43"/>
  <c r="AZ16" i="43"/>
  <c r="AZ23" i="43"/>
  <c r="AZ17" i="43"/>
  <c r="AZ13" i="43"/>
  <c r="AZ33" i="43" s="1"/>
  <c r="AZ9" i="43"/>
  <c r="AZ5" i="43"/>
  <c r="AZ19" i="43"/>
  <c r="AZ42" i="43" s="1"/>
  <c r="AZ7" i="43"/>
  <c r="AZ26" i="43"/>
  <c r="AZ36" i="43" s="1"/>
  <c r="AZ18" i="43"/>
  <c r="AZ2" i="43"/>
  <c r="AZ38" i="43" s="1"/>
  <c r="AZ25" i="43"/>
  <c r="AZ21" i="43"/>
  <c r="AZ12" i="43"/>
  <c r="AZ15" i="43"/>
  <c r="AZ44" i="43" s="1"/>
  <c r="AZ3" i="43"/>
  <c r="AZ32" i="43" s="1"/>
  <c r="AZ3" i="30"/>
  <c r="AZ7" i="30"/>
  <c r="AZ11" i="30"/>
  <c r="AZ15" i="30"/>
  <c r="AZ44" i="30" s="1"/>
  <c r="AZ18" i="30"/>
  <c r="AZ24" i="30"/>
  <c r="AZ26" i="30"/>
  <c r="AZ29" i="30"/>
  <c r="AZ2" i="30"/>
  <c r="AZ6" i="30"/>
  <c r="AZ10" i="30"/>
  <c r="AZ14" i="30"/>
  <c r="AZ19" i="30"/>
  <c r="AZ21" i="30"/>
  <c r="AZ27" i="30"/>
  <c r="AZ5" i="30"/>
  <c r="AZ9" i="30"/>
  <c r="AZ13" i="30"/>
  <c r="AZ33" i="30" s="1"/>
  <c r="AZ17" i="30"/>
  <c r="AZ20" i="30"/>
  <c r="AZ22" i="30"/>
  <c r="AZ28" i="30"/>
  <c r="AZ30" i="30"/>
  <c r="AZ4" i="30"/>
  <c r="AZ8" i="30"/>
  <c r="AZ12" i="30"/>
  <c r="AZ16" i="30"/>
  <c r="AZ23" i="30"/>
  <c r="AZ25" i="30"/>
  <c r="AQ18" i="42"/>
  <c r="AQ17" i="42"/>
  <c r="AQ16" i="42"/>
  <c r="AQ15" i="42"/>
  <c r="AQ44" i="42" s="1"/>
  <c r="AQ14" i="42"/>
  <c r="AQ34" i="42" s="1"/>
  <c r="AQ13" i="42"/>
  <c r="AQ33" i="42" s="1"/>
  <c r="AQ12" i="42"/>
  <c r="AQ11" i="42"/>
  <c r="AQ39" i="42" s="1"/>
  <c r="AQ10" i="42"/>
  <c r="AQ46" i="42" s="1"/>
  <c r="AQ9" i="42"/>
  <c r="AQ8" i="42"/>
  <c r="AQ41" i="42" s="1"/>
  <c r="AQ7" i="42"/>
  <c r="AQ6" i="42"/>
  <c r="AQ47" i="42" s="1"/>
  <c r="AQ5" i="42"/>
  <c r="AQ30" i="42"/>
  <c r="AQ35" i="42" s="1"/>
  <c r="AQ28" i="42"/>
  <c r="AQ43" i="42" s="1"/>
  <c r="AQ26" i="42"/>
  <c r="AQ36" i="42" s="1"/>
  <c r="AQ24" i="42"/>
  <c r="AQ22" i="42"/>
  <c r="AQ37" i="42" s="1"/>
  <c r="R30" i="41"/>
  <c r="R29" i="41"/>
  <c r="R28" i="41"/>
  <c r="R27" i="41"/>
  <c r="R26" i="41"/>
  <c r="R25" i="41"/>
  <c r="R24" i="41"/>
  <c r="R23" i="41"/>
  <c r="R22" i="41"/>
  <c r="R21" i="41"/>
  <c r="R20" i="41"/>
  <c r="R19" i="41"/>
  <c r="R18" i="41"/>
  <c r="R17" i="41"/>
  <c r="R16" i="41"/>
  <c r="R15" i="41"/>
  <c r="R14" i="41"/>
  <c r="R13" i="41"/>
  <c r="R12" i="41"/>
  <c r="R11" i="41"/>
  <c r="R10" i="41"/>
  <c r="R9" i="41"/>
  <c r="R8" i="41"/>
  <c r="R7" i="41"/>
  <c r="R6" i="41"/>
  <c r="R5" i="41"/>
  <c r="R4" i="41"/>
  <c r="R3" i="41"/>
  <c r="R2" i="41"/>
  <c r="AQ29" i="42"/>
  <c r="AQ27" i="42"/>
  <c r="AQ25" i="42"/>
  <c r="AQ23" i="42"/>
  <c r="AQ21" i="42"/>
  <c r="AQ20" i="42"/>
  <c r="AQ3" i="42"/>
  <c r="AQ32" i="42" s="1"/>
  <c r="R2" i="29"/>
  <c r="R38" i="29" s="1"/>
  <c r="R3" i="29"/>
  <c r="R4" i="29"/>
  <c r="R5" i="29"/>
  <c r="AQ19" i="42"/>
  <c r="AQ42" i="42" s="1"/>
  <c r="AQ2" i="42"/>
  <c r="AQ38" i="42" s="1"/>
  <c r="R13" i="29"/>
  <c r="R14" i="29"/>
  <c r="R15" i="29"/>
  <c r="R16" i="29"/>
  <c r="R17" i="29"/>
  <c r="R18" i="29"/>
  <c r="R19" i="29"/>
  <c r="R20" i="29"/>
  <c r="R21" i="29"/>
  <c r="R22" i="29"/>
  <c r="R23" i="29"/>
  <c r="R24" i="29"/>
  <c r="R25" i="29"/>
  <c r="R26" i="29"/>
  <c r="R27" i="29"/>
  <c r="R28" i="29"/>
  <c r="R29" i="29"/>
  <c r="R30" i="29"/>
  <c r="AQ4" i="42"/>
  <c r="AQ40" i="42" s="1"/>
  <c r="R6" i="29"/>
  <c r="R8" i="29"/>
  <c r="R10" i="29"/>
  <c r="R12" i="29"/>
  <c r="R11" i="29"/>
  <c r="R9" i="29"/>
  <c r="R7" i="29"/>
  <c r="AQ26" i="43"/>
  <c r="AQ36" i="43" s="1"/>
  <c r="AQ21" i="43"/>
  <c r="AQ15" i="43"/>
  <c r="AQ44" i="43" s="1"/>
  <c r="AQ27" i="43"/>
  <c r="AQ4" i="43"/>
  <c r="AQ40" i="43" s="1"/>
  <c r="AQ30" i="43"/>
  <c r="AQ35" i="43" s="1"/>
  <c r="AQ13" i="43"/>
  <c r="AQ33" i="43" s="1"/>
  <c r="AQ5" i="43"/>
  <c r="AQ19" i="43"/>
  <c r="AQ42" i="43" s="1"/>
  <c r="AQ22" i="43"/>
  <c r="AQ37" i="43" s="1"/>
  <c r="AQ17" i="43"/>
  <c r="AQ9" i="43"/>
  <c r="AQ14" i="43"/>
  <c r="AQ34" i="43" s="1"/>
  <c r="AQ18" i="43"/>
  <c r="AQ25" i="43"/>
  <c r="AQ28" i="43"/>
  <c r="AQ43" i="43" s="1"/>
  <c r="AQ20" i="43"/>
  <c r="AQ12" i="43"/>
  <c r="AQ3" i="43"/>
  <c r="AQ32" i="43" s="1"/>
  <c r="AQ31" i="43" s="1"/>
  <c r="AQ2" i="43"/>
  <c r="AQ38" i="43" s="1"/>
  <c r="AQ8" i="43"/>
  <c r="AQ41" i="43" s="1"/>
  <c r="AQ11" i="43"/>
  <c r="AQ39" i="43" s="1"/>
  <c r="AQ10" i="43"/>
  <c r="AQ46" i="43" s="1"/>
  <c r="AQ45" i="43" s="1"/>
  <c r="AQ29" i="43"/>
  <c r="AQ24" i="43"/>
  <c r="AQ16" i="43"/>
  <c r="AQ23" i="43"/>
  <c r="AQ6" i="43"/>
  <c r="AQ47" i="43" s="1"/>
  <c r="AQ7" i="43"/>
  <c r="AQ6" i="30"/>
  <c r="AQ47" i="30" s="1"/>
  <c r="AQ10" i="30"/>
  <c r="AQ46" i="30" s="1"/>
  <c r="AQ45" i="30" s="1"/>
  <c r="AQ14" i="30"/>
  <c r="AQ34" i="30" s="1"/>
  <c r="AQ19" i="30"/>
  <c r="AQ42" i="30" s="1"/>
  <c r="AQ21" i="30"/>
  <c r="AQ27" i="30"/>
  <c r="AQ29" i="30"/>
  <c r="AQ2" i="30"/>
  <c r="AQ38" i="30" s="1"/>
  <c r="AQ28" i="30"/>
  <c r="AQ43" i="30" s="1"/>
  <c r="AQ30" i="30"/>
  <c r="AQ35" i="30" s="1"/>
  <c r="AQ3" i="30"/>
  <c r="AQ32" i="30" s="1"/>
  <c r="AQ7" i="30"/>
  <c r="AQ24" i="30"/>
  <c r="AQ5" i="30"/>
  <c r="AQ9" i="30"/>
  <c r="AQ13" i="30"/>
  <c r="AQ33" i="30" s="1"/>
  <c r="AQ17" i="30"/>
  <c r="AQ20" i="30"/>
  <c r="AQ22" i="30"/>
  <c r="AQ37" i="30" s="1"/>
  <c r="AQ11" i="30"/>
  <c r="AQ39" i="30" s="1"/>
  <c r="AQ15" i="30"/>
  <c r="AQ44" i="30" s="1"/>
  <c r="AQ18" i="30"/>
  <c r="AQ26" i="30"/>
  <c r="AQ36" i="30" s="1"/>
  <c r="AQ4" i="30"/>
  <c r="AQ40" i="30" s="1"/>
  <c r="AQ8" i="30"/>
  <c r="AQ41" i="30" s="1"/>
  <c r="AQ12" i="30"/>
  <c r="AQ16" i="30"/>
  <c r="AQ23" i="30"/>
  <c r="AQ25" i="30"/>
  <c r="E15" i="45"/>
  <c r="C44" i="45"/>
  <c r="E44" i="45" s="1"/>
  <c r="E21" i="20"/>
  <c r="C65" i="20"/>
  <c r="C51" i="20"/>
  <c r="E51" i="20" s="1"/>
  <c r="E25" i="20"/>
  <c r="C50" i="20"/>
  <c r="E50" i="20" s="1"/>
  <c r="C64" i="20"/>
  <c r="E64" i="20" s="1"/>
  <c r="C34" i="20"/>
  <c r="E34" i="20" s="1"/>
  <c r="E14" i="20"/>
  <c r="C32" i="20"/>
  <c r="E3" i="20"/>
  <c r="CA30" i="42"/>
  <c r="CA29" i="42"/>
  <c r="CA28" i="42"/>
  <c r="CA27" i="42"/>
  <c r="CA26" i="42"/>
  <c r="CA25" i="42"/>
  <c r="CA24" i="42"/>
  <c r="CA23" i="42"/>
  <c r="CA22" i="42"/>
  <c r="CA21" i="42"/>
  <c r="CA20" i="42"/>
  <c r="CA19" i="42"/>
  <c r="CA18" i="42"/>
  <c r="CA17" i="42"/>
  <c r="CA16" i="42"/>
  <c r="CA15" i="42"/>
  <c r="CA14" i="42"/>
  <c r="CA13" i="42"/>
  <c r="CA12" i="42"/>
  <c r="CA11" i="42"/>
  <c r="CA10" i="42"/>
  <c r="CA9" i="42"/>
  <c r="CA8" i="42"/>
  <c r="CA7" i="42"/>
  <c r="CA6" i="42"/>
  <c r="CA5" i="42"/>
  <c r="CA4" i="42"/>
  <c r="CA3" i="42"/>
  <c r="CA2" i="42"/>
  <c r="BB30" i="41"/>
  <c r="BB7" i="41"/>
  <c r="BB6" i="41"/>
  <c r="BB5" i="41"/>
  <c r="BB4" i="41"/>
  <c r="BB3" i="41"/>
  <c r="AC30" i="41"/>
  <c r="AC29" i="41"/>
  <c r="AC28" i="41"/>
  <c r="AC27" i="41"/>
  <c r="AC26" i="41"/>
  <c r="AC25" i="41"/>
  <c r="AC24" i="41"/>
  <c r="AC23" i="41"/>
  <c r="AC22" i="41"/>
  <c r="AC21" i="41"/>
  <c r="AC20" i="41"/>
  <c r="AC19" i="41"/>
  <c r="AC18" i="41"/>
  <c r="AC17" i="41"/>
  <c r="AC16" i="41"/>
  <c r="AC15" i="41"/>
  <c r="AC14" i="41"/>
  <c r="AC13" i="41"/>
  <c r="AC12" i="41"/>
  <c r="AC11" i="41"/>
  <c r="AC10" i="41"/>
  <c r="AC9" i="41"/>
  <c r="AC8" i="41"/>
  <c r="AC7" i="41"/>
  <c r="AC6" i="41"/>
  <c r="AC5" i="41"/>
  <c r="AC4" i="41"/>
  <c r="AC3" i="41"/>
  <c r="AC2" i="41"/>
  <c r="BB29" i="41"/>
  <c r="BB28" i="41"/>
  <c r="BB10" i="41"/>
  <c r="BB9" i="41"/>
  <c r="BB8" i="41"/>
  <c r="BB27" i="41"/>
  <c r="BB26" i="41"/>
  <c r="BB25" i="41"/>
  <c r="BB24" i="41"/>
  <c r="BB23" i="41"/>
  <c r="BB21" i="41"/>
  <c r="BB20" i="41"/>
  <c r="BB19" i="41"/>
  <c r="BB18" i="41"/>
  <c r="BB17" i="41"/>
  <c r="BB16" i="41"/>
  <c r="BB15" i="41"/>
  <c r="BB12" i="41"/>
  <c r="BB11" i="41"/>
  <c r="BB2" i="41"/>
  <c r="BB13" i="41"/>
  <c r="AC2" i="29"/>
  <c r="BB3" i="29"/>
  <c r="AC4" i="29"/>
  <c r="BB5" i="29"/>
  <c r="AC6" i="29"/>
  <c r="BB7" i="29"/>
  <c r="AC8" i="29"/>
  <c r="BB9" i="29"/>
  <c r="AC10" i="29"/>
  <c r="BB11" i="29"/>
  <c r="AC12" i="29"/>
  <c r="BB14" i="41"/>
  <c r="AC13" i="29"/>
  <c r="BB13" i="29"/>
  <c r="AC14" i="29"/>
  <c r="BB14" i="29"/>
  <c r="AC15" i="29"/>
  <c r="BB15" i="29"/>
  <c r="AC16" i="29"/>
  <c r="BB16" i="29"/>
  <c r="AC17" i="29"/>
  <c r="BB17" i="29"/>
  <c r="AC18" i="29"/>
  <c r="BB18" i="29"/>
  <c r="AC19" i="29"/>
  <c r="BB19" i="29"/>
  <c r="AC20" i="29"/>
  <c r="BB20" i="29"/>
  <c r="AC21" i="29"/>
  <c r="BB21" i="29"/>
  <c r="AC22" i="29"/>
  <c r="BB22" i="29"/>
  <c r="AC23" i="29"/>
  <c r="BB23" i="29"/>
  <c r="AC24" i="29"/>
  <c r="BB24" i="29"/>
  <c r="AC25" i="29"/>
  <c r="BB25" i="29"/>
  <c r="AC26" i="29"/>
  <c r="BB26" i="29"/>
  <c r="AC27" i="29"/>
  <c r="BB27" i="29"/>
  <c r="AC28" i="29"/>
  <c r="BB28" i="29"/>
  <c r="AC29" i="29"/>
  <c r="BB29" i="29"/>
  <c r="AC30" i="29"/>
  <c r="BB30" i="29"/>
  <c r="AC7" i="29"/>
  <c r="BB12" i="29"/>
  <c r="AC3" i="29"/>
  <c r="BB10" i="29"/>
  <c r="BB22" i="41"/>
  <c r="BB2" i="29"/>
  <c r="AC5" i="29"/>
  <c r="BB8" i="29"/>
  <c r="AC11" i="29"/>
  <c r="BB4" i="29"/>
  <c r="BB6" i="29"/>
  <c r="AC9" i="29"/>
  <c r="CA18" i="43"/>
  <c r="CA22" i="43"/>
  <c r="CA17" i="43"/>
  <c r="CA9" i="43"/>
  <c r="BZ9" i="43" s="1"/>
  <c r="DV9" i="38" s="1"/>
  <c r="CA5" i="43"/>
  <c r="CA19" i="43"/>
  <c r="CA25" i="43"/>
  <c r="CA28" i="43"/>
  <c r="CA20" i="43"/>
  <c r="CA12" i="43"/>
  <c r="CA15" i="43"/>
  <c r="CA3" i="43"/>
  <c r="CA14" i="43"/>
  <c r="CA16" i="43"/>
  <c r="CA26" i="43"/>
  <c r="CA10" i="43"/>
  <c r="CA29" i="43"/>
  <c r="CA24" i="43"/>
  <c r="CA30" i="43"/>
  <c r="CA6" i="43"/>
  <c r="CA13" i="43"/>
  <c r="CA7" i="43"/>
  <c r="CA21" i="43"/>
  <c r="CA8" i="43"/>
  <c r="CA27" i="43"/>
  <c r="CA11" i="43"/>
  <c r="CA2" i="43"/>
  <c r="CA4" i="43"/>
  <c r="CA23" i="43"/>
  <c r="CA3" i="30"/>
  <c r="CA4" i="30"/>
  <c r="CA5" i="30"/>
  <c r="CA6" i="30"/>
  <c r="CA7" i="30"/>
  <c r="CA8" i="30"/>
  <c r="CA9" i="30"/>
  <c r="CA10" i="30"/>
  <c r="CA11" i="30"/>
  <c r="CA12" i="30"/>
  <c r="CA13" i="30"/>
  <c r="CA14" i="30"/>
  <c r="CA15" i="30"/>
  <c r="CA16" i="30"/>
  <c r="CA17" i="30"/>
  <c r="CA18" i="30"/>
  <c r="CA19" i="30"/>
  <c r="CA20" i="30"/>
  <c r="CA21" i="30"/>
  <c r="CA22" i="30"/>
  <c r="CA23" i="30"/>
  <c r="CA24" i="30"/>
  <c r="CA25" i="30"/>
  <c r="CA26" i="30"/>
  <c r="CA27" i="30"/>
  <c r="CA28" i="30"/>
  <c r="CA29" i="30"/>
  <c r="CA30" i="30"/>
  <c r="CE30" i="42"/>
  <c r="CE35" i="42" s="1"/>
  <c r="CE29" i="42"/>
  <c r="CE28" i="42"/>
  <c r="CE43" i="42" s="1"/>
  <c r="CE27" i="42"/>
  <c r="CE26" i="42"/>
  <c r="CE36" i="42" s="1"/>
  <c r="CE25" i="42"/>
  <c r="CE24" i="42"/>
  <c r="CE23" i="42"/>
  <c r="CE49" i="42" s="1"/>
  <c r="CE22" i="42"/>
  <c r="CE37" i="42" s="1"/>
  <c r="CE21" i="42"/>
  <c r="CE20" i="42"/>
  <c r="CE19" i="42"/>
  <c r="CE42" i="42" s="1"/>
  <c r="CD30" i="42"/>
  <c r="CD35" i="42" s="1"/>
  <c r="CD29" i="42"/>
  <c r="CD28" i="42"/>
  <c r="CD43" i="42" s="1"/>
  <c r="CD27" i="42"/>
  <c r="CD26" i="42"/>
  <c r="CD36" i="42" s="1"/>
  <c r="CD25" i="42"/>
  <c r="CD24" i="42"/>
  <c r="CD23" i="42"/>
  <c r="CD49" i="42" s="1"/>
  <c r="CD22" i="42"/>
  <c r="CD37" i="42" s="1"/>
  <c r="CD21" i="42"/>
  <c r="CD20" i="42"/>
  <c r="CD19" i="42"/>
  <c r="CD42" i="42" s="1"/>
  <c r="CE18" i="42"/>
  <c r="CE17" i="42"/>
  <c r="CE16" i="42"/>
  <c r="CE15" i="42"/>
  <c r="CE44" i="42" s="1"/>
  <c r="CE14" i="42"/>
  <c r="CE34" i="42" s="1"/>
  <c r="CE13" i="42"/>
  <c r="CE33" i="42" s="1"/>
  <c r="CE12" i="42"/>
  <c r="CE11" i="42"/>
  <c r="CE39" i="42" s="1"/>
  <c r="CE10" i="42"/>
  <c r="CE46" i="42" s="1"/>
  <c r="CE9" i="42"/>
  <c r="CE8" i="42"/>
  <c r="CE41" i="42" s="1"/>
  <c r="CE7" i="42"/>
  <c r="CE6" i="42"/>
  <c r="CE47" i="42" s="1"/>
  <c r="CE5" i="42"/>
  <c r="CE4" i="42"/>
  <c r="CE40" i="42" s="1"/>
  <c r="CE3" i="42"/>
  <c r="CE32" i="42" s="1"/>
  <c r="CE2" i="42"/>
  <c r="CE38" i="42" s="1"/>
  <c r="CD18" i="42"/>
  <c r="CD16" i="42"/>
  <c r="CD14" i="42"/>
  <c r="CD34" i="42" s="1"/>
  <c r="CD12" i="42"/>
  <c r="CD10" i="42"/>
  <c r="CD46" i="42" s="1"/>
  <c r="CD45" i="42" s="1"/>
  <c r="CD8" i="42"/>
  <c r="CD41" i="42" s="1"/>
  <c r="CD6" i="42"/>
  <c r="CD47" i="42" s="1"/>
  <c r="CD4" i="42"/>
  <c r="CD40" i="42" s="1"/>
  <c r="CD3" i="42"/>
  <c r="CD32" i="42" s="1"/>
  <c r="CD2" i="42"/>
  <c r="CD38" i="42" s="1"/>
  <c r="BF30" i="41"/>
  <c r="BF35" i="41" s="1"/>
  <c r="CD17" i="42"/>
  <c r="CD15" i="42"/>
  <c r="CD44" i="42" s="1"/>
  <c r="CD13" i="42"/>
  <c r="CD33" i="42" s="1"/>
  <c r="CD11" i="42"/>
  <c r="CD39" i="42" s="1"/>
  <c r="CD9" i="42"/>
  <c r="CD7" i="42"/>
  <c r="CD5" i="42"/>
  <c r="BE22" i="41"/>
  <c r="BE37" i="41" s="1"/>
  <c r="BE14" i="41"/>
  <c r="BE34" i="41" s="1"/>
  <c r="BE13" i="41"/>
  <c r="BE33" i="41" s="1"/>
  <c r="BF7" i="41"/>
  <c r="BF6" i="41"/>
  <c r="BE47" i="41" s="1"/>
  <c r="BF5" i="41"/>
  <c r="BF4" i="41"/>
  <c r="BF40" i="41" s="1"/>
  <c r="BF3" i="41"/>
  <c r="BF32" i="41" s="1"/>
  <c r="BE2" i="41"/>
  <c r="BE38" i="41" s="1"/>
  <c r="BF29" i="41"/>
  <c r="BF28" i="41"/>
  <c r="BF43" i="41" s="1"/>
  <c r="BF10" i="41"/>
  <c r="BE46" i="41" s="1"/>
  <c r="BE45" i="41" s="1"/>
  <c r="BF9" i="41"/>
  <c r="BF8" i="41"/>
  <c r="BF41" i="41" s="1"/>
  <c r="BE7" i="41"/>
  <c r="BE6" i="41"/>
  <c r="BD47" i="41" s="1"/>
  <c r="BE5" i="41"/>
  <c r="BE4" i="41"/>
  <c r="BE40" i="41" s="1"/>
  <c r="BE3" i="41"/>
  <c r="BE32" i="41" s="1"/>
  <c r="BE29" i="41"/>
  <c r="BE28" i="41"/>
  <c r="BE43" i="41" s="1"/>
  <c r="BF27" i="41"/>
  <c r="BF26" i="41"/>
  <c r="BF36" i="41" s="1"/>
  <c r="BF25" i="41"/>
  <c r="BF24" i="41"/>
  <c r="BF23" i="41"/>
  <c r="BF49" i="41" s="1"/>
  <c r="BF21" i="41"/>
  <c r="BF20" i="41"/>
  <c r="BF19" i="41"/>
  <c r="BF42" i="41" s="1"/>
  <c r="BF18" i="41"/>
  <c r="BF17" i="41"/>
  <c r="BF16" i="41"/>
  <c r="BF15" i="41"/>
  <c r="BF44" i="41" s="1"/>
  <c r="BF12" i="41"/>
  <c r="BF11" i="41"/>
  <c r="BF39" i="41" s="1"/>
  <c r="BE10" i="41"/>
  <c r="BD46" i="41" s="1"/>
  <c r="BD45" i="41" s="1"/>
  <c r="BE9" i="41"/>
  <c r="BE8" i="41"/>
  <c r="BE41" i="41" s="1"/>
  <c r="BE2" i="29"/>
  <c r="BE38" i="29" s="1"/>
  <c r="BE3" i="29"/>
  <c r="BE32" i="29" s="1"/>
  <c r="BE4" i="29"/>
  <c r="BE40" i="29" s="1"/>
  <c r="AG29" i="41"/>
  <c r="AG27" i="41"/>
  <c r="AG25" i="41"/>
  <c r="AG23" i="41"/>
  <c r="AG21" i="41"/>
  <c r="AG19" i="41"/>
  <c r="AG17" i="41"/>
  <c r="AG15" i="41"/>
  <c r="AG13" i="41"/>
  <c r="AG11" i="41"/>
  <c r="AG9" i="41"/>
  <c r="AG7" i="41"/>
  <c r="AG5" i="41"/>
  <c r="AG3" i="41"/>
  <c r="BE27" i="41"/>
  <c r="BE24" i="41"/>
  <c r="BE21" i="41"/>
  <c r="BE19" i="41"/>
  <c r="BE42" i="41" s="1"/>
  <c r="BF13" i="41"/>
  <c r="BF33" i="41" s="1"/>
  <c r="BE11" i="41"/>
  <c r="BE39" i="41" s="1"/>
  <c r="BF2" i="29"/>
  <c r="BF38" i="29" s="1"/>
  <c r="AG3" i="29"/>
  <c r="BF4" i="29"/>
  <c r="BF40" i="29" s="1"/>
  <c r="AG5" i="29"/>
  <c r="AG6" i="29"/>
  <c r="BF7" i="29"/>
  <c r="AG8" i="29"/>
  <c r="BF9" i="29"/>
  <c r="AG10" i="29"/>
  <c r="BF11" i="29"/>
  <c r="BF39" i="29" s="1"/>
  <c r="AG12" i="29"/>
  <c r="BE17" i="41"/>
  <c r="BE15" i="41"/>
  <c r="BE44" i="41" s="1"/>
  <c r="BF14" i="41"/>
  <c r="BF34" i="41" s="1"/>
  <c r="BE6" i="29"/>
  <c r="BD47" i="29" s="1"/>
  <c r="BE8" i="29"/>
  <c r="BE41" i="29" s="1"/>
  <c r="BE10" i="29"/>
  <c r="BD46" i="29" s="1"/>
  <c r="BE12" i="29"/>
  <c r="BE13" i="29"/>
  <c r="BE33" i="29" s="1"/>
  <c r="BE14" i="29"/>
  <c r="BE34" i="29" s="1"/>
  <c r="BE15" i="29"/>
  <c r="BE44" i="29" s="1"/>
  <c r="BE16" i="29"/>
  <c r="BE17" i="29"/>
  <c r="BE18" i="29"/>
  <c r="BE19" i="29"/>
  <c r="BE42" i="29" s="1"/>
  <c r="BE20" i="29"/>
  <c r="BE21" i="29"/>
  <c r="BE22" i="29"/>
  <c r="BE37" i="29" s="1"/>
  <c r="BE23" i="29"/>
  <c r="BE49" i="29" s="1"/>
  <c r="BE24" i="29"/>
  <c r="BE25" i="29"/>
  <c r="BE26" i="29"/>
  <c r="BE36" i="29" s="1"/>
  <c r="BE27" i="29"/>
  <c r="BE28" i="29"/>
  <c r="BE43" i="29" s="1"/>
  <c r="BE29" i="29"/>
  <c r="BE30" i="29"/>
  <c r="BE35" i="29" s="1"/>
  <c r="AG30" i="41"/>
  <c r="AG28" i="41"/>
  <c r="AG26" i="41"/>
  <c r="AG24" i="41"/>
  <c r="AG22" i="41"/>
  <c r="AG20" i="41"/>
  <c r="AG18" i="41"/>
  <c r="AG16" i="41"/>
  <c r="AG14" i="41"/>
  <c r="AG12" i="41"/>
  <c r="AG10" i="41"/>
  <c r="AG8" i="41"/>
  <c r="AG6" i="41"/>
  <c r="AG4" i="41"/>
  <c r="AG2" i="41"/>
  <c r="BE26" i="41"/>
  <c r="BE36" i="41" s="1"/>
  <c r="BE25" i="41"/>
  <c r="BE23" i="41"/>
  <c r="BE49" i="41" s="1"/>
  <c r="BF22" i="41"/>
  <c r="BF37" i="41" s="1"/>
  <c r="BE20" i="41"/>
  <c r="BE12" i="41"/>
  <c r="AG2" i="29"/>
  <c r="AG38" i="29" s="1"/>
  <c r="BF3" i="29"/>
  <c r="BF32" i="29" s="1"/>
  <c r="BF31" i="29" s="1"/>
  <c r="AG4" i="29"/>
  <c r="BE5" i="29"/>
  <c r="BF6" i="29"/>
  <c r="BE47" i="29" s="1"/>
  <c r="AG7" i="29"/>
  <c r="BF8" i="29"/>
  <c r="BF41" i="29" s="1"/>
  <c r="AG9" i="29"/>
  <c r="BF10" i="29"/>
  <c r="BE46" i="29" s="1"/>
  <c r="AG11" i="29"/>
  <c r="BF12" i="29"/>
  <c r="AG13" i="29"/>
  <c r="BF13" i="29"/>
  <c r="BF33" i="29" s="1"/>
  <c r="AG14" i="29"/>
  <c r="BF14" i="29"/>
  <c r="BF34" i="29" s="1"/>
  <c r="AG15" i="29"/>
  <c r="BF15" i="29"/>
  <c r="BF44" i="29" s="1"/>
  <c r="AG16" i="29"/>
  <c r="BF16" i="29"/>
  <c r="AG17" i="29"/>
  <c r="BF17" i="29"/>
  <c r="AG18" i="29"/>
  <c r="BF18" i="29"/>
  <c r="AG19" i="29"/>
  <c r="BF19" i="29"/>
  <c r="BF42" i="29" s="1"/>
  <c r="AG20" i="29"/>
  <c r="BF20" i="29"/>
  <c r="AG21" i="29"/>
  <c r="BF21" i="29"/>
  <c r="AG22" i="29"/>
  <c r="BF22" i="29"/>
  <c r="BF37" i="29" s="1"/>
  <c r="AG23" i="29"/>
  <c r="BF23" i="29"/>
  <c r="BF49" i="29" s="1"/>
  <c r="AG24" i="29"/>
  <c r="BF24" i="29"/>
  <c r="AG25" i="29"/>
  <c r="BF25" i="29"/>
  <c r="AG26" i="29"/>
  <c r="BF26" i="29"/>
  <c r="BF36" i="29" s="1"/>
  <c r="AG27" i="29"/>
  <c r="BF27" i="29"/>
  <c r="AG28" i="29"/>
  <c r="BF28" i="29"/>
  <c r="BF43" i="29" s="1"/>
  <c r="AG29" i="29"/>
  <c r="BF29" i="29"/>
  <c r="AG30" i="29"/>
  <c r="BF30" i="29"/>
  <c r="BF35" i="29" s="1"/>
  <c r="BE18" i="41"/>
  <c r="BF5" i="29"/>
  <c r="BE9" i="29"/>
  <c r="BE30" i="41"/>
  <c r="BE35" i="41" s="1"/>
  <c r="BF2" i="41"/>
  <c r="BF38" i="41" s="1"/>
  <c r="BE7" i="29"/>
  <c r="BE16" i="41"/>
  <c r="BE11" i="29"/>
  <c r="BE39" i="29" s="1"/>
  <c r="CE6" i="43"/>
  <c r="CE47" i="43" s="1"/>
  <c r="CE29" i="43"/>
  <c r="CE16" i="43"/>
  <c r="CE23" i="43"/>
  <c r="CE17" i="43"/>
  <c r="CE13" i="43"/>
  <c r="CE33" i="43" s="1"/>
  <c r="CE9" i="43"/>
  <c r="CE5" i="43"/>
  <c r="CE19" i="43"/>
  <c r="CE42" i="43" s="1"/>
  <c r="CE7" i="43"/>
  <c r="CE2" i="43"/>
  <c r="CE38" i="43" s="1"/>
  <c r="CE26" i="43"/>
  <c r="CE36" i="43" s="1"/>
  <c r="CE18" i="43"/>
  <c r="CE25" i="43"/>
  <c r="CE21" i="43"/>
  <c r="CE12" i="43"/>
  <c r="CE15" i="43"/>
  <c r="CE44" i="43" s="1"/>
  <c r="CE3" i="43"/>
  <c r="CE32" i="43" s="1"/>
  <c r="CE30" i="43"/>
  <c r="CE35" i="43" s="1"/>
  <c r="CE11" i="43"/>
  <c r="CE39" i="43" s="1"/>
  <c r="CE22" i="43"/>
  <c r="CE37" i="43" s="1"/>
  <c r="CE14" i="43"/>
  <c r="CE34" i="43" s="1"/>
  <c r="CE8" i="43"/>
  <c r="CE41" i="43" s="1"/>
  <c r="CE27" i="43"/>
  <c r="CE10" i="43"/>
  <c r="CE46" i="43" s="1"/>
  <c r="CE45" i="43" s="1"/>
  <c r="CE24" i="43"/>
  <c r="CE4" i="43"/>
  <c r="CE40" i="43" s="1"/>
  <c r="CE28" i="43"/>
  <c r="CE43" i="43" s="1"/>
  <c r="CE20" i="43"/>
  <c r="CD3" i="30"/>
  <c r="CD32" i="30" s="1"/>
  <c r="CD4" i="30"/>
  <c r="CD40" i="30" s="1"/>
  <c r="CD5" i="30"/>
  <c r="CD6" i="30"/>
  <c r="CD47" i="30" s="1"/>
  <c r="CD7" i="30"/>
  <c r="CD8" i="30"/>
  <c r="CD41" i="30" s="1"/>
  <c r="CD9" i="30"/>
  <c r="CD10" i="30"/>
  <c r="CD46" i="30" s="1"/>
  <c r="CD45" i="30" s="1"/>
  <c r="CD11" i="30"/>
  <c r="CD39" i="30" s="1"/>
  <c r="CD12" i="30"/>
  <c r="CD13" i="30"/>
  <c r="CD33" i="30" s="1"/>
  <c r="CD14" i="30"/>
  <c r="CD34" i="30" s="1"/>
  <c r="CD15" i="30"/>
  <c r="CD44" i="30" s="1"/>
  <c r="CD16" i="30"/>
  <c r="CD17" i="30"/>
  <c r="CD18" i="30"/>
  <c r="CD19" i="30"/>
  <c r="CD42" i="30" s="1"/>
  <c r="CD20" i="30"/>
  <c r="CD21" i="30"/>
  <c r="CD22" i="30"/>
  <c r="CD37" i="30" s="1"/>
  <c r="CD23" i="30"/>
  <c r="CD49" i="30" s="1"/>
  <c r="CD24" i="30"/>
  <c r="CD25" i="30"/>
  <c r="CD26" i="30"/>
  <c r="CD36" i="30" s="1"/>
  <c r="CD27" i="30"/>
  <c r="CD28" i="30"/>
  <c r="CD43" i="30" s="1"/>
  <c r="CD29" i="30"/>
  <c r="CD30" i="30"/>
  <c r="CD35" i="30" s="1"/>
  <c r="CE3" i="30"/>
  <c r="CE32" i="30" s="1"/>
  <c r="CE4" i="30"/>
  <c r="CE40" i="30" s="1"/>
  <c r="CE5" i="30"/>
  <c r="CE6" i="30"/>
  <c r="CE47" i="30" s="1"/>
  <c r="CE7" i="30"/>
  <c r="CE8" i="30"/>
  <c r="CE41" i="30" s="1"/>
  <c r="CE9" i="30"/>
  <c r="CE10" i="30"/>
  <c r="CE46" i="30" s="1"/>
  <c r="CE45" i="30" s="1"/>
  <c r="CE11" i="30"/>
  <c r="CE39" i="30" s="1"/>
  <c r="CE12" i="30"/>
  <c r="CE13" i="30"/>
  <c r="CE33" i="30" s="1"/>
  <c r="CE14" i="30"/>
  <c r="CE34" i="30" s="1"/>
  <c r="CE15" i="30"/>
  <c r="CE44" i="30" s="1"/>
  <c r="CE16" i="30"/>
  <c r="CE17" i="30"/>
  <c r="CE18" i="30"/>
  <c r="CE19" i="30"/>
  <c r="CE42" i="30" s="1"/>
  <c r="CE20" i="30"/>
  <c r="CE21" i="30"/>
  <c r="CE22" i="30"/>
  <c r="CE37" i="30" s="1"/>
  <c r="CE23" i="30"/>
  <c r="CE49" i="30" s="1"/>
  <c r="CE24" i="30"/>
  <c r="CE25" i="30"/>
  <c r="CE26" i="30"/>
  <c r="CE36" i="30" s="1"/>
  <c r="CE27" i="30"/>
  <c r="CE28" i="30"/>
  <c r="CE43" i="30" s="1"/>
  <c r="CE29" i="30"/>
  <c r="CE30" i="30"/>
  <c r="CE35" i="30" s="1"/>
  <c r="CH30" i="42"/>
  <c r="CH35" i="42" s="1"/>
  <c r="CH29" i="42"/>
  <c r="CH28" i="42"/>
  <c r="CH43" i="42" s="1"/>
  <c r="CH27" i="42"/>
  <c r="CH26" i="42"/>
  <c r="CH36" i="42" s="1"/>
  <c r="CH25" i="42"/>
  <c r="CH24" i="42"/>
  <c r="CH23" i="42"/>
  <c r="CH49" i="42" s="1"/>
  <c r="CH22" i="42"/>
  <c r="CH37" i="42" s="1"/>
  <c r="CH21" i="42"/>
  <c r="CH17" i="42"/>
  <c r="CH15" i="42"/>
  <c r="CH44" i="42" s="1"/>
  <c r="CH13" i="42"/>
  <c r="CH33" i="42" s="1"/>
  <c r="CH11" i="42"/>
  <c r="CH39" i="42" s="1"/>
  <c r="CH9" i="42"/>
  <c r="CH7" i="42"/>
  <c r="CH5" i="42"/>
  <c r="CH20" i="42"/>
  <c r="CH19" i="42"/>
  <c r="CH42" i="42" s="1"/>
  <c r="CH4" i="42"/>
  <c r="CH40" i="42" s="1"/>
  <c r="CH3" i="42"/>
  <c r="CH32" i="42" s="1"/>
  <c r="CH2" i="42"/>
  <c r="CH38" i="42" s="1"/>
  <c r="CH12" i="42"/>
  <c r="BI22" i="41"/>
  <c r="BI37" i="41" s="1"/>
  <c r="BI14" i="41"/>
  <c r="BI34" i="41" s="1"/>
  <c r="BI13" i="41"/>
  <c r="BI33" i="41" s="1"/>
  <c r="BI2" i="41"/>
  <c r="BI38" i="41" s="1"/>
  <c r="CH18" i="42"/>
  <c r="CH10" i="42"/>
  <c r="CH46" i="42" s="1"/>
  <c r="CH45" i="42" s="1"/>
  <c r="BI30" i="41"/>
  <c r="BI35" i="41" s="1"/>
  <c r="BI7" i="41"/>
  <c r="BI6" i="41"/>
  <c r="BH47" i="41" s="1"/>
  <c r="BI5" i="41"/>
  <c r="BI4" i="41"/>
  <c r="BI40" i="41" s="1"/>
  <c r="BI3" i="41"/>
  <c r="BI32" i="41" s="1"/>
  <c r="CH16" i="42"/>
  <c r="CH8" i="42"/>
  <c r="CH41" i="42" s="1"/>
  <c r="AJ30" i="41"/>
  <c r="AJ29" i="41"/>
  <c r="AJ28" i="41"/>
  <c r="AJ27" i="41"/>
  <c r="AJ26" i="41"/>
  <c r="AJ25" i="41"/>
  <c r="AJ24" i="41"/>
  <c r="AJ23" i="41"/>
  <c r="AJ22" i="41"/>
  <c r="AJ21" i="41"/>
  <c r="AJ20" i="41"/>
  <c r="AJ19" i="41"/>
  <c r="AJ18" i="41"/>
  <c r="AJ17" i="41"/>
  <c r="AJ16" i="41"/>
  <c r="AJ15" i="41"/>
  <c r="AJ14" i="41"/>
  <c r="AJ13" i="41"/>
  <c r="AJ12" i="41"/>
  <c r="AJ11" i="41"/>
  <c r="AJ10" i="41"/>
  <c r="AJ9" i="41"/>
  <c r="AJ8" i="41"/>
  <c r="AJ7" i="41"/>
  <c r="AJ6" i="41"/>
  <c r="AJ5" i="41"/>
  <c r="AJ4" i="41"/>
  <c r="AJ3" i="41"/>
  <c r="AJ2" i="41"/>
  <c r="BI29" i="41"/>
  <c r="BI28" i="41"/>
  <c r="BI43" i="41" s="1"/>
  <c r="BI10" i="41"/>
  <c r="BH46" i="41" s="1"/>
  <c r="BH45" i="41" s="1"/>
  <c r="BI9" i="41"/>
  <c r="BI8" i="41"/>
  <c r="BI41" i="41" s="1"/>
  <c r="AJ2" i="29"/>
  <c r="AJ38" i="29" s="1"/>
  <c r="BI2" i="29"/>
  <c r="BI38" i="29" s="1"/>
  <c r="AJ3" i="29"/>
  <c r="BI3" i="29"/>
  <c r="BI32" i="29" s="1"/>
  <c r="AJ4" i="29"/>
  <c r="BI4" i="29"/>
  <c r="BI40" i="29" s="1"/>
  <c r="AJ5" i="29"/>
  <c r="BI17" i="41"/>
  <c r="BI15" i="41"/>
  <c r="BI44" i="41" s="1"/>
  <c r="BI5" i="29"/>
  <c r="BI6" i="29"/>
  <c r="BH47" i="29" s="1"/>
  <c r="AJ7" i="29"/>
  <c r="BI8" i="29"/>
  <c r="BI41" i="29" s="1"/>
  <c r="AJ9" i="29"/>
  <c r="BI10" i="29"/>
  <c r="BH46" i="29" s="1"/>
  <c r="BH45" i="29" s="1"/>
  <c r="AJ11" i="29"/>
  <c r="CH14" i="42"/>
  <c r="CH34" i="42" s="1"/>
  <c r="BI26" i="41"/>
  <c r="BI36" i="41" s="1"/>
  <c r="BI25" i="41"/>
  <c r="BI23" i="41"/>
  <c r="BI49" i="41" s="1"/>
  <c r="BI20" i="41"/>
  <c r="BI12" i="41"/>
  <c r="BI12" i="29"/>
  <c r="AJ13" i="29"/>
  <c r="BI13" i="29"/>
  <c r="BI33" i="29" s="1"/>
  <c r="AJ14" i="29"/>
  <c r="BI14" i="29"/>
  <c r="BI34" i="29" s="1"/>
  <c r="AJ15" i="29"/>
  <c r="BI15" i="29"/>
  <c r="BI44" i="29" s="1"/>
  <c r="AJ16" i="29"/>
  <c r="BI16" i="29"/>
  <c r="AJ17" i="29"/>
  <c r="BI17" i="29"/>
  <c r="AJ18" i="29"/>
  <c r="BI18" i="29"/>
  <c r="AJ19" i="29"/>
  <c r="BI19" i="29"/>
  <c r="BI42" i="29" s="1"/>
  <c r="AJ20" i="29"/>
  <c r="BI20" i="29"/>
  <c r="AJ21" i="29"/>
  <c r="BI21" i="29"/>
  <c r="AJ22" i="29"/>
  <c r="BI22" i="29"/>
  <c r="BI37" i="29" s="1"/>
  <c r="AJ23" i="29"/>
  <c r="BI23" i="29"/>
  <c r="BI49" i="29" s="1"/>
  <c r="AJ24" i="29"/>
  <c r="BI24" i="29"/>
  <c r="AJ25" i="29"/>
  <c r="BI25" i="29"/>
  <c r="AJ26" i="29"/>
  <c r="BI26" i="29"/>
  <c r="BI36" i="29" s="1"/>
  <c r="AJ27" i="29"/>
  <c r="BI27" i="29"/>
  <c r="AJ28" i="29"/>
  <c r="BI28" i="29"/>
  <c r="BI43" i="29" s="1"/>
  <c r="AJ29" i="29"/>
  <c r="BI29" i="29"/>
  <c r="AJ30" i="29"/>
  <c r="BI30" i="29"/>
  <c r="BI35" i="29" s="1"/>
  <c r="CH6" i="42"/>
  <c r="CH47" i="42" s="1"/>
  <c r="BI18" i="41"/>
  <c r="BI16" i="41"/>
  <c r="AJ6" i="29"/>
  <c r="BI7" i="29"/>
  <c r="AJ8" i="29"/>
  <c r="BI9" i="29"/>
  <c r="AJ10" i="29"/>
  <c r="BI11" i="29"/>
  <c r="BI39" i="29" s="1"/>
  <c r="AJ12" i="29"/>
  <c r="BI19" i="41"/>
  <c r="BI42" i="41" s="1"/>
  <c r="BI11" i="41"/>
  <c r="BI39" i="41" s="1"/>
  <c r="BI24" i="41"/>
  <c r="BI21" i="41"/>
  <c r="BI27" i="41"/>
  <c r="CH29" i="43"/>
  <c r="CH16" i="43"/>
  <c r="CH23" i="43"/>
  <c r="CH30" i="43"/>
  <c r="CH35" i="43" s="1"/>
  <c r="CH22" i="43"/>
  <c r="CH37" i="43" s="1"/>
  <c r="CH17" i="43"/>
  <c r="CH13" i="43"/>
  <c r="CH33" i="43" s="1"/>
  <c r="CH9" i="43"/>
  <c r="CH5" i="43"/>
  <c r="CH19" i="43"/>
  <c r="CH42" i="43" s="1"/>
  <c r="CH7" i="43"/>
  <c r="CH26" i="43"/>
  <c r="CH36" i="43" s="1"/>
  <c r="CH18" i="43"/>
  <c r="CH2" i="43"/>
  <c r="CH38" i="43" s="1"/>
  <c r="CH25" i="43"/>
  <c r="CH21" i="43"/>
  <c r="CH12" i="43"/>
  <c r="CH15" i="43"/>
  <c r="CH44" i="43" s="1"/>
  <c r="CH3" i="43"/>
  <c r="CH32" i="43" s="1"/>
  <c r="CH11" i="43"/>
  <c r="CH39" i="43" s="1"/>
  <c r="CH6" i="43"/>
  <c r="CH47" i="43" s="1"/>
  <c r="CH8" i="43"/>
  <c r="CH41" i="43" s="1"/>
  <c r="CH27" i="43"/>
  <c r="CH10" i="43"/>
  <c r="CH46" i="43" s="1"/>
  <c r="CH24" i="43"/>
  <c r="CH4" i="43"/>
  <c r="CH40" i="43" s="1"/>
  <c r="CH28" i="43"/>
  <c r="CH43" i="43" s="1"/>
  <c r="CH20" i="43"/>
  <c r="CH14" i="43"/>
  <c r="CH34" i="43" s="1"/>
  <c r="CH3" i="30"/>
  <c r="CH32" i="30" s="1"/>
  <c r="CH4" i="30"/>
  <c r="CH40" i="30" s="1"/>
  <c r="CH5" i="30"/>
  <c r="CH6" i="30"/>
  <c r="CH47" i="30" s="1"/>
  <c r="CH7" i="30"/>
  <c r="CH8" i="30"/>
  <c r="CH41" i="30" s="1"/>
  <c r="CH9" i="30"/>
  <c r="CH10" i="30"/>
  <c r="CH46" i="30" s="1"/>
  <c r="CH45" i="30" s="1"/>
  <c r="CH11" i="30"/>
  <c r="CH39" i="30" s="1"/>
  <c r="CH12" i="30"/>
  <c r="CH13" i="30"/>
  <c r="CH33" i="30" s="1"/>
  <c r="CH14" i="30"/>
  <c r="CH34" i="30" s="1"/>
  <c r="CH15" i="30"/>
  <c r="CH44" i="30" s="1"/>
  <c r="CH16" i="30"/>
  <c r="CH17" i="30"/>
  <c r="CH18" i="30"/>
  <c r="CH19" i="30"/>
  <c r="CH42" i="30" s="1"/>
  <c r="CH20" i="30"/>
  <c r="CH21" i="30"/>
  <c r="CH22" i="30"/>
  <c r="CH37" i="30" s="1"/>
  <c r="CH23" i="30"/>
  <c r="CH49" i="30" s="1"/>
  <c r="CH24" i="30"/>
  <c r="CH25" i="30"/>
  <c r="CH26" i="30"/>
  <c r="CH36" i="30" s="1"/>
  <c r="CH27" i="30"/>
  <c r="CH28" i="30"/>
  <c r="CH43" i="30" s="1"/>
  <c r="CH29" i="30"/>
  <c r="CH30" i="30"/>
  <c r="CH35" i="30" s="1"/>
  <c r="CL30" i="42"/>
  <c r="CL35" i="42" s="1"/>
  <c r="CL29" i="42"/>
  <c r="CL28" i="42"/>
  <c r="CL43" i="42" s="1"/>
  <c r="CL27" i="42"/>
  <c r="CL26" i="42"/>
  <c r="CL36" i="42" s="1"/>
  <c r="CL25" i="42"/>
  <c r="CL24" i="42"/>
  <c r="CL23" i="42"/>
  <c r="CL49" i="42" s="1"/>
  <c r="CL22" i="42"/>
  <c r="CL37" i="42" s="1"/>
  <c r="CL21" i="42"/>
  <c r="CL20" i="42"/>
  <c r="CL19" i="42"/>
  <c r="CL42" i="42" s="1"/>
  <c r="CL18" i="42"/>
  <c r="CL17" i="42"/>
  <c r="CL16" i="42"/>
  <c r="CL15" i="42"/>
  <c r="CL44" i="42" s="1"/>
  <c r="CL14" i="42"/>
  <c r="CL34" i="42" s="1"/>
  <c r="CL13" i="42"/>
  <c r="CL33" i="42" s="1"/>
  <c r="CL12" i="42"/>
  <c r="CL11" i="42"/>
  <c r="CL39" i="42" s="1"/>
  <c r="CL10" i="42"/>
  <c r="CL46" i="42" s="1"/>
  <c r="CL9" i="42"/>
  <c r="CL8" i="42"/>
  <c r="CL41" i="42" s="1"/>
  <c r="CL7" i="42"/>
  <c r="CL6" i="42"/>
  <c r="CL47" i="42" s="1"/>
  <c r="CL5" i="42"/>
  <c r="CL4" i="42"/>
  <c r="CL40" i="42" s="1"/>
  <c r="CL3" i="42"/>
  <c r="CL32" i="42" s="1"/>
  <c r="CL31" i="42" s="1"/>
  <c r="CL2" i="42"/>
  <c r="CL38" i="42" s="1"/>
  <c r="AN30" i="41"/>
  <c r="AN29" i="41"/>
  <c r="AN28" i="41"/>
  <c r="AN27" i="41"/>
  <c r="AN26" i="41"/>
  <c r="AN25" i="41"/>
  <c r="AN24" i="41"/>
  <c r="AN23" i="41"/>
  <c r="AN22" i="41"/>
  <c r="AN21" i="41"/>
  <c r="AN20" i="41"/>
  <c r="AN19" i="41"/>
  <c r="AN18" i="41"/>
  <c r="AN17" i="41"/>
  <c r="AN16" i="41"/>
  <c r="AN15" i="41"/>
  <c r="AN14" i="41"/>
  <c r="AN13" i="41"/>
  <c r="AN12" i="41"/>
  <c r="AN11" i="41"/>
  <c r="AN10" i="41"/>
  <c r="AN9" i="41"/>
  <c r="AN8" i="41"/>
  <c r="AN7" i="41"/>
  <c r="AN6" i="41"/>
  <c r="AN5" i="41"/>
  <c r="AN4" i="41"/>
  <c r="AN3" i="41"/>
  <c r="AN2" i="41"/>
  <c r="BM29" i="41"/>
  <c r="BM22" i="41"/>
  <c r="BM37" i="41" s="1"/>
  <c r="BM14" i="41"/>
  <c r="BM34" i="41" s="1"/>
  <c r="BM13" i="41"/>
  <c r="BM33" i="41" s="1"/>
  <c r="BM2" i="41"/>
  <c r="BM38" i="41" s="1"/>
  <c r="BM7" i="41"/>
  <c r="BM6" i="41"/>
  <c r="BL47" i="41" s="1"/>
  <c r="BM5" i="41"/>
  <c r="BM4" i="41"/>
  <c r="BM40" i="41" s="1"/>
  <c r="BM3" i="41"/>
  <c r="BM32" i="41" s="1"/>
  <c r="BM28" i="41"/>
  <c r="BM43" i="41" s="1"/>
  <c r="BM10" i="41"/>
  <c r="BL46" i="41" s="1"/>
  <c r="BL45" i="41" s="1"/>
  <c r="BM9" i="41"/>
  <c r="BM8" i="41"/>
  <c r="BM41" i="41" s="1"/>
  <c r="AN2" i="29"/>
  <c r="AN38" i="29" s="1"/>
  <c r="BM2" i="29"/>
  <c r="BM38" i="29" s="1"/>
  <c r="AN3" i="29"/>
  <c r="BM3" i="29"/>
  <c r="BM32" i="29" s="1"/>
  <c r="AN4" i="29"/>
  <c r="BM4" i="29"/>
  <c r="BM40" i="29" s="1"/>
  <c r="AN5" i="29"/>
  <c r="BM26" i="41"/>
  <c r="BM36" i="41" s="1"/>
  <c r="BM25" i="41"/>
  <c r="BM23" i="41"/>
  <c r="BM49" i="41" s="1"/>
  <c r="BM20" i="41"/>
  <c r="BM12" i="41"/>
  <c r="BM18" i="41"/>
  <c r="BM16" i="41"/>
  <c r="AN6" i="29"/>
  <c r="BM7" i="29"/>
  <c r="AN8" i="29"/>
  <c r="BM9" i="29"/>
  <c r="AN10" i="29"/>
  <c r="BM11" i="29"/>
  <c r="BM39" i="29" s="1"/>
  <c r="AN12" i="29"/>
  <c r="BM12" i="29"/>
  <c r="AN13" i="29"/>
  <c r="BM13" i="29"/>
  <c r="BM33" i="29" s="1"/>
  <c r="AN14" i="29"/>
  <c r="BM14" i="29"/>
  <c r="BM34" i="29" s="1"/>
  <c r="AN15" i="29"/>
  <c r="BM15" i="29"/>
  <c r="BM44" i="29" s="1"/>
  <c r="AN16" i="29"/>
  <c r="BM16" i="29"/>
  <c r="AN17" i="29"/>
  <c r="BM17" i="29"/>
  <c r="AN18" i="29"/>
  <c r="BM18" i="29"/>
  <c r="AN19" i="29"/>
  <c r="BM19" i="29"/>
  <c r="BM42" i="29" s="1"/>
  <c r="AN20" i="29"/>
  <c r="BM20" i="29"/>
  <c r="AN21" i="29"/>
  <c r="BM21" i="29"/>
  <c r="AN22" i="29"/>
  <c r="BM22" i="29"/>
  <c r="BM37" i="29" s="1"/>
  <c r="AN23" i="29"/>
  <c r="BM23" i="29"/>
  <c r="BM49" i="29" s="1"/>
  <c r="AN24" i="29"/>
  <c r="BM24" i="29"/>
  <c r="AN25" i="29"/>
  <c r="BM25" i="29"/>
  <c r="AN26" i="29"/>
  <c r="BM26" i="29"/>
  <c r="BM36" i="29" s="1"/>
  <c r="AN27" i="29"/>
  <c r="BM27" i="29"/>
  <c r="AN28" i="29"/>
  <c r="BM28" i="29"/>
  <c r="BM43" i="29" s="1"/>
  <c r="AN29" i="29"/>
  <c r="BM29" i="29"/>
  <c r="AN30" i="29"/>
  <c r="BM30" i="29"/>
  <c r="BM35" i="29" s="1"/>
  <c r="BM30" i="41"/>
  <c r="BM35" i="41" s="1"/>
  <c r="BM27" i="41"/>
  <c r="BM24" i="41"/>
  <c r="BM21" i="41"/>
  <c r="BM19" i="41"/>
  <c r="BM42" i="41" s="1"/>
  <c r="BM11" i="41"/>
  <c r="BM39" i="41" s="1"/>
  <c r="BM5" i="29"/>
  <c r="BM15" i="41"/>
  <c r="BM44" i="41" s="1"/>
  <c r="BM8" i="29"/>
  <c r="BM41" i="29" s="1"/>
  <c r="AN11" i="29"/>
  <c r="BM17" i="41"/>
  <c r="BM6" i="29"/>
  <c r="BL47" i="29" s="1"/>
  <c r="AN9" i="29"/>
  <c r="AN7" i="29"/>
  <c r="BM10" i="29"/>
  <c r="BL46" i="29" s="1"/>
  <c r="CL2" i="43"/>
  <c r="CL38" i="43" s="1"/>
  <c r="CL8" i="43"/>
  <c r="CL41" i="43" s="1"/>
  <c r="CL24" i="43"/>
  <c r="CL16" i="43"/>
  <c r="CL30" i="43"/>
  <c r="CL35" i="43" s="1"/>
  <c r="CL22" i="43"/>
  <c r="CL37" i="43" s="1"/>
  <c r="CL17" i="43"/>
  <c r="CL13" i="43"/>
  <c r="CL33" i="43" s="1"/>
  <c r="CL9" i="43"/>
  <c r="CL5" i="43"/>
  <c r="CL19" i="43"/>
  <c r="CL42" i="43" s="1"/>
  <c r="CL26" i="43"/>
  <c r="CL36" i="43" s="1"/>
  <c r="CL25" i="43"/>
  <c r="CL21" i="43"/>
  <c r="CL15" i="43"/>
  <c r="CL44" i="43" s="1"/>
  <c r="CL3" i="43"/>
  <c r="CL32" i="43" s="1"/>
  <c r="CL10" i="43"/>
  <c r="CL46" i="43" s="1"/>
  <c r="CL29" i="43"/>
  <c r="CL28" i="43"/>
  <c r="CL43" i="43" s="1"/>
  <c r="CL14" i="43"/>
  <c r="CL34" i="43" s="1"/>
  <c r="CL27" i="43"/>
  <c r="CL11" i="43"/>
  <c r="CL39" i="43" s="1"/>
  <c r="CL4" i="43"/>
  <c r="CL40" i="43" s="1"/>
  <c r="CL23" i="43"/>
  <c r="CL6" i="43"/>
  <c r="CL47" i="43" s="1"/>
  <c r="CL7" i="43"/>
  <c r="CL18" i="43"/>
  <c r="CL20" i="43"/>
  <c r="CL12" i="43"/>
  <c r="CL3" i="30"/>
  <c r="CL32" i="30" s="1"/>
  <c r="CL4" i="30"/>
  <c r="CL40" i="30" s="1"/>
  <c r="CL5" i="30"/>
  <c r="CL6" i="30"/>
  <c r="CL47" i="30" s="1"/>
  <c r="CL7" i="30"/>
  <c r="CL8" i="30"/>
  <c r="CL41" i="30" s="1"/>
  <c r="CL9" i="30"/>
  <c r="CL10" i="30"/>
  <c r="CL46" i="30" s="1"/>
  <c r="CL45" i="30" s="1"/>
  <c r="CL11" i="30"/>
  <c r="CL39" i="30" s="1"/>
  <c r="CL12" i="30"/>
  <c r="CL13" i="30"/>
  <c r="CL33" i="30" s="1"/>
  <c r="CL14" i="30"/>
  <c r="CL34" i="30" s="1"/>
  <c r="CL15" i="30"/>
  <c r="CL44" i="30" s="1"/>
  <c r="CL16" i="30"/>
  <c r="CL17" i="30"/>
  <c r="CL18" i="30"/>
  <c r="CL19" i="30"/>
  <c r="CL42" i="30" s="1"/>
  <c r="CL20" i="30"/>
  <c r="CL21" i="30"/>
  <c r="CL22" i="30"/>
  <c r="CL37" i="30" s="1"/>
  <c r="CL23" i="30"/>
  <c r="CL49" i="30" s="1"/>
  <c r="CL24" i="30"/>
  <c r="CL25" i="30"/>
  <c r="CL26" i="30"/>
  <c r="CL36" i="30" s="1"/>
  <c r="CL27" i="30"/>
  <c r="CL28" i="30"/>
  <c r="CL43" i="30" s="1"/>
  <c r="CL29" i="30"/>
  <c r="CL30" i="30"/>
  <c r="CL35" i="30" s="1"/>
  <c r="CP17" i="42"/>
  <c r="CP16" i="42"/>
  <c r="CP15" i="42"/>
  <c r="CP44" i="42" s="1"/>
  <c r="CP14" i="42"/>
  <c r="CP34" i="42" s="1"/>
  <c r="CP13" i="42"/>
  <c r="CP33" i="42" s="1"/>
  <c r="CP12" i="42"/>
  <c r="CP11" i="42"/>
  <c r="CP39" i="42" s="1"/>
  <c r="CP10" i="42"/>
  <c r="CP46" i="42" s="1"/>
  <c r="CP9" i="42"/>
  <c r="CP8" i="42"/>
  <c r="CP41" i="42" s="1"/>
  <c r="CP7" i="42"/>
  <c r="CP6" i="42"/>
  <c r="CP47" i="42" s="1"/>
  <c r="CP5" i="42"/>
  <c r="CP30" i="42"/>
  <c r="CP35" i="42" s="1"/>
  <c r="CP29" i="42"/>
  <c r="CP28" i="42"/>
  <c r="CP43" i="42" s="1"/>
  <c r="CP27" i="42"/>
  <c r="CP26" i="42"/>
  <c r="CP36" i="42" s="1"/>
  <c r="CP25" i="42"/>
  <c r="CP24" i="42"/>
  <c r="CP23" i="42"/>
  <c r="CP49" i="42" s="1"/>
  <c r="CP22" i="42"/>
  <c r="CP37" i="42" s="1"/>
  <c r="CP21" i="42"/>
  <c r="CP20" i="42"/>
  <c r="CP19" i="42"/>
  <c r="CP42" i="42" s="1"/>
  <c r="CP18" i="42"/>
  <c r="CP4" i="42"/>
  <c r="CP40" i="42" s="1"/>
  <c r="CP3" i="42"/>
  <c r="CP32" i="42" s="1"/>
  <c r="CP2" i="42"/>
  <c r="CP38" i="42" s="1"/>
  <c r="BQ22" i="41"/>
  <c r="BQ37" i="41" s="1"/>
  <c r="BQ14" i="41"/>
  <c r="BQ34" i="41" s="1"/>
  <c r="BQ13" i="41"/>
  <c r="BQ33" i="41" s="1"/>
  <c r="BQ2" i="41"/>
  <c r="BQ38" i="41" s="1"/>
  <c r="BQ30" i="41"/>
  <c r="BQ35" i="41" s="1"/>
  <c r="BQ7" i="41"/>
  <c r="BQ6" i="41"/>
  <c r="BP47" i="41" s="1"/>
  <c r="BQ5" i="41"/>
  <c r="BQ4" i="41"/>
  <c r="BQ40" i="41" s="1"/>
  <c r="BQ3" i="41"/>
  <c r="BQ32" i="41" s="1"/>
  <c r="AR30" i="41"/>
  <c r="AR29" i="41"/>
  <c r="AR28" i="41"/>
  <c r="AR27" i="41"/>
  <c r="AR26" i="41"/>
  <c r="AR25" i="41"/>
  <c r="AR24" i="41"/>
  <c r="AR23" i="41"/>
  <c r="AR22" i="41"/>
  <c r="AR21" i="41"/>
  <c r="AR20" i="41"/>
  <c r="AR19" i="41"/>
  <c r="AR18" i="41"/>
  <c r="AR17" i="41"/>
  <c r="AR16" i="41"/>
  <c r="AR15" i="41"/>
  <c r="AR14" i="41"/>
  <c r="AR13" i="41"/>
  <c r="AR12" i="41"/>
  <c r="AR11" i="41"/>
  <c r="AR10" i="41"/>
  <c r="AR9" i="41"/>
  <c r="AR8" i="41"/>
  <c r="AR7" i="41"/>
  <c r="AR6" i="41"/>
  <c r="AR5" i="41"/>
  <c r="AR4" i="41"/>
  <c r="AR3" i="41"/>
  <c r="AR2" i="41"/>
  <c r="BQ29" i="41"/>
  <c r="BQ28" i="41"/>
  <c r="BQ43" i="41" s="1"/>
  <c r="BQ10" i="41"/>
  <c r="BP46" i="41" s="1"/>
  <c r="BP45" i="41" s="1"/>
  <c r="BQ9" i="41"/>
  <c r="BQ8" i="41"/>
  <c r="BQ41" i="41" s="1"/>
  <c r="AR2" i="29"/>
  <c r="AR38" i="29" s="1"/>
  <c r="BQ2" i="29"/>
  <c r="BQ38" i="29" s="1"/>
  <c r="AR3" i="29"/>
  <c r="BQ3" i="29"/>
  <c r="BQ32" i="29" s="1"/>
  <c r="AR4" i="29"/>
  <c r="BQ4" i="29"/>
  <c r="BQ40" i="29" s="1"/>
  <c r="AR5" i="29"/>
  <c r="BQ18" i="41"/>
  <c r="BQ16" i="41"/>
  <c r="BQ5" i="29"/>
  <c r="AR6" i="29"/>
  <c r="BQ7" i="29"/>
  <c r="AR8" i="29"/>
  <c r="BQ9" i="29"/>
  <c r="AR10" i="29"/>
  <c r="BQ11" i="29"/>
  <c r="BQ39" i="29" s="1"/>
  <c r="AR12" i="29"/>
  <c r="BQ27" i="41"/>
  <c r="BQ24" i="41"/>
  <c r="BQ21" i="41"/>
  <c r="BQ19" i="41"/>
  <c r="BQ42" i="41" s="1"/>
  <c r="BQ11" i="41"/>
  <c r="BQ39" i="41" s="1"/>
  <c r="BQ12" i="29"/>
  <c r="AR13" i="29"/>
  <c r="BQ13" i="29"/>
  <c r="BQ33" i="29" s="1"/>
  <c r="AR14" i="29"/>
  <c r="BQ14" i="29"/>
  <c r="BQ34" i="29" s="1"/>
  <c r="AR15" i="29"/>
  <c r="BQ15" i="29"/>
  <c r="BQ44" i="29" s="1"/>
  <c r="AR16" i="29"/>
  <c r="BQ16" i="29"/>
  <c r="AR17" i="29"/>
  <c r="BQ17" i="29"/>
  <c r="AR18" i="29"/>
  <c r="BQ18" i="29"/>
  <c r="AR19" i="29"/>
  <c r="BQ19" i="29"/>
  <c r="BQ42" i="29" s="1"/>
  <c r="AR20" i="29"/>
  <c r="BQ20" i="29"/>
  <c r="AR21" i="29"/>
  <c r="BQ21" i="29"/>
  <c r="AR22" i="29"/>
  <c r="BQ22" i="29"/>
  <c r="BQ37" i="29" s="1"/>
  <c r="AR23" i="29"/>
  <c r="BQ23" i="29"/>
  <c r="BQ49" i="29" s="1"/>
  <c r="AR24" i="29"/>
  <c r="BQ24" i="29"/>
  <c r="AR25" i="29"/>
  <c r="BQ25" i="29"/>
  <c r="AR26" i="29"/>
  <c r="BQ26" i="29"/>
  <c r="BQ36" i="29" s="1"/>
  <c r="AR27" i="29"/>
  <c r="BQ27" i="29"/>
  <c r="AR28" i="29"/>
  <c r="BQ28" i="29"/>
  <c r="BQ43" i="29" s="1"/>
  <c r="AR29" i="29"/>
  <c r="BQ29" i="29"/>
  <c r="AR30" i="29"/>
  <c r="BQ30" i="29"/>
  <c r="BQ35" i="29" s="1"/>
  <c r="BQ17" i="41"/>
  <c r="BQ15" i="41"/>
  <c r="BQ44" i="41" s="1"/>
  <c r="BQ6" i="29"/>
  <c r="BP47" i="29" s="1"/>
  <c r="AR7" i="29"/>
  <c r="BQ8" i="29"/>
  <c r="BQ41" i="29" s="1"/>
  <c r="AR9" i="29"/>
  <c r="BQ10" i="29"/>
  <c r="BP46" i="29" s="1"/>
  <c r="BP45" i="29" s="1"/>
  <c r="AR11" i="29"/>
  <c r="BQ26" i="41"/>
  <c r="BQ36" i="41" s="1"/>
  <c r="BQ23" i="41"/>
  <c r="BQ49" i="41" s="1"/>
  <c r="BQ20" i="41"/>
  <c r="BQ12" i="41"/>
  <c r="BQ25" i="41"/>
  <c r="CP14" i="43"/>
  <c r="CP34" i="43" s="1"/>
  <c r="CP18" i="43"/>
  <c r="CP2" i="43"/>
  <c r="CP38" i="43" s="1"/>
  <c r="CP25" i="43"/>
  <c r="CP28" i="43"/>
  <c r="CP43" i="43" s="1"/>
  <c r="CP20" i="43"/>
  <c r="CP12" i="43"/>
  <c r="CP3" i="43"/>
  <c r="CP32" i="43" s="1"/>
  <c r="CP8" i="43"/>
  <c r="CP41" i="43" s="1"/>
  <c r="CP11" i="43"/>
  <c r="CP39" i="43" s="1"/>
  <c r="CP10" i="43"/>
  <c r="CP46" i="43" s="1"/>
  <c r="CP29" i="43"/>
  <c r="CP24" i="43"/>
  <c r="CP16" i="43"/>
  <c r="CP23" i="43"/>
  <c r="CP22" i="43"/>
  <c r="CP37" i="43" s="1"/>
  <c r="CP6" i="43"/>
  <c r="CP47" i="43" s="1"/>
  <c r="CP17" i="43"/>
  <c r="CP9" i="43"/>
  <c r="CP7" i="43"/>
  <c r="CP19" i="43"/>
  <c r="CP42" i="43" s="1"/>
  <c r="CP26" i="43"/>
  <c r="CP36" i="43" s="1"/>
  <c r="CP21" i="43"/>
  <c r="CP15" i="43"/>
  <c r="CP44" i="43" s="1"/>
  <c r="CP27" i="43"/>
  <c r="CP4" i="43"/>
  <c r="CP40" i="43" s="1"/>
  <c r="CP30" i="43"/>
  <c r="CP35" i="43" s="1"/>
  <c r="CP13" i="43"/>
  <c r="CP33" i="43" s="1"/>
  <c r="CP5" i="43"/>
  <c r="CP3" i="30"/>
  <c r="CP32" i="30" s="1"/>
  <c r="CP4" i="30"/>
  <c r="CP40" i="30" s="1"/>
  <c r="CP5" i="30"/>
  <c r="CP6" i="30"/>
  <c r="CP47" i="30" s="1"/>
  <c r="CP7" i="30"/>
  <c r="CP8" i="30"/>
  <c r="CP41" i="30" s="1"/>
  <c r="CP9" i="30"/>
  <c r="CP10" i="30"/>
  <c r="CP46" i="30" s="1"/>
  <c r="CP45" i="30" s="1"/>
  <c r="CP11" i="30"/>
  <c r="CP39" i="30" s="1"/>
  <c r="CP12" i="30"/>
  <c r="CP13" i="30"/>
  <c r="CP33" i="30" s="1"/>
  <c r="CP14" i="30"/>
  <c r="CP34" i="30" s="1"/>
  <c r="CP15" i="30"/>
  <c r="CP44" i="30" s="1"/>
  <c r="CP16" i="30"/>
  <c r="CP17" i="30"/>
  <c r="CP18" i="30"/>
  <c r="CP19" i="30"/>
  <c r="CP42" i="30" s="1"/>
  <c r="CP20" i="30"/>
  <c r="CP21" i="30"/>
  <c r="CP22" i="30"/>
  <c r="CP37" i="30" s="1"/>
  <c r="CP23" i="30"/>
  <c r="CP49" i="30" s="1"/>
  <c r="CP24" i="30"/>
  <c r="CP25" i="30"/>
  <c r="CP26" i="30"/>
  <c r="CP36" i="30" s="1"/>
  <c r="CP27" i="30"/>
  <c r="CP28" i="30"/>
  <c r="CP43" i="30" s="1"/>
  <c r="CP29" i="30"/>
  <c r="CP30" i="30"/>
  <c r="CP35" i="30" s="1"/>
  <c r="CW17" i="42"/>
  <c r="CW16" i="42"/>
  <c r="CW15" i="42"/>
  <c r="CW44" i="42" s="1"/>
  <c r="CW14" i="42"/>
  <c r="CW34" i="42" s="1"/>
  <c r="CW13" i="42"/>
  <c r="CW33" i="42" s="1"/>
  <c r="CW12" i="42"/>
  <c r="CW11" i="42"/>
  <c r="CW39" i="42" s="1"/>
  <c r="CW10" i="42"/>
  <c r="CW46" i="42" s="1"/>
  <c r="CW9" i="42"/>
  <c r="CW8" i="42"/>
  <c r="CW41" i="42" s="1"/>
  <c r="CW7" i="42"/>
  <c r="CW6" i="42"/>
  <c r="CW47" i="42" s="1"/>
  <c r="CW5" i="42"/>
  <c r="CW30" i="42"/>
  <c r="CW35" i="42" s="1"/>
  <c r="CW28" i="42"/>
  <c r="CW43" i="42" s="1"/>
  <c r="CW26" i="42"/>
  <c r="CW36" i="42" s="1"/>
  <c r="CW24" i="42"/>
  <c r="CW22" i="42"/>
  <c r="CW37" i="42" s="1"/>
  <c r="CW20" i="42"/>
  <c r="AY30" i="41"/>
  <c r="AY29" i="41"/>
  <c r="AY28" i="41"/>
  <c r="AY27" i="41"/>
  <c r="AY26" i="41"/>
  <c r="AY25" i="41"/>
  <c r="AY24" i="41"/>
  <c r="AY23" i="41"/>
  <c r="AY22" i="41"/>
  <c r="AY21" i="41"/>
  <c r="AY20" i="41"/>
  <c r="AY19" i="41"/>
  <c r="AY18" i="41"/>
  <c r="AY17" i="41"/>
  <c r="AY16" i="41"/>
  <c r="AY15" i="41"/>
  <c r="AY14" i="41"/>
  <c r="AY13" i="41"/>
  <c r="AY12" i="41"/>
  <c r="AY11" i="41"/>
  <c r="AY10" i="41"/>
  <c r="AY9" i="41"/>
  <c r="AY8" i="41"/>
  <c r="AY7" i="41"/>
  <c r="AY6" i="41"/>
  <c r="AY5" i="41"/>
  <c r="AY4" i="41"/>
  <c r="AY3" i="41"/>
  <c r="AY2" i="41"/>
  <c r="BX29" i="41"/>
  <c r="CW29" i="42"/>
  <c r="CW27" i="42"/>
  <c r="CW25" i="42"/>
  <c r="CW23" i="42"/>
  <c r="CW49" i="42" s="1"/>
  <c r="CW21" i="42"/>
  <c r="CW18" i="42"/>
  <c r="BX27" i="41"/>
  <c r="BX26" i="41"/>
  <c r="BX36" i="41" s="1"/>
  <c r="BX25" i="41"/>
  <c r="BX24" i="41"/>
  <c r="BX23" i="41"/>
  <c r="BX49" i="41" s="1"/>
  <c r="BX21" i="41"/>
  <c r="BX20" i="41"/>
  <c r="BX19" i="41"/>
  <c r="BX42" i="41" s="1"/>
  <c r="BX18" i="41"/>
  <c r="BX17" i="41"/>
  <c r="BX16" i="41"/>
  <c r="BX15" i="41"/>
  <c r="BX44" i="41" s="1"/>
  <c r="BX12" i="41"/>
  <c r="BX11" i="41"/>
  <c r="BX39" i="41" s="1"/>
  <c r="CW19" i="42"/>
  <c r="CW42" i="42" s="1"/>
  <c r="CW3" i="42"/>
  <c r="CW32" i="42" s="1"/>
  <c r="BX22" i="41"/>
  <c r="BX37" i="41" s="1"/>
  <c r="BX14" i="41"/>
  <c r="BX34" i="41" s="1"/>
  <c r="BX13" i="41"/>
  <c r="BX33" i="41" s="1"/>
  <c r="BX2" i="41"/>
  <c r="BX38" i="41" s="1"/>
  <c r="AY2" i="29"/>
  <c r="AY38" i="29" s="1"/>
  <c r="BX2" i="29"/>
  <c r="BX38" i="29" s="1"/>
  <c r="AY3" i="29"/>
  <c r="BX3" i="29"/>
  <c r="BX32" i="29" s="1"/>
  <c r="AY4" i="29"/>
  <c r="BX4" i="29"/>
  <c r="BX40" i="29" s="1"/>
  <c r="AY5" i="29"/>
  <c r="BX5" i="29"/>
  <c r="BX30" i="41"/>
  <c r="BX35" i="41" s="1"/>
  <c r="BX7" i="41"/>
  <c r="BX6" i="41"/>
  <c r="BX5" i="41"/>
  <c r="BX4" i="41"/>
  <c r="BX40" i="41" s="1"/>
  <c r="BX3" i="41"/>
  <c r="BX32" i="41" s="1"/>
  <c r="CW4" i="42"/>
  <c r="CW40" i="42" s="1"/>
  <c r="BX10" i="41"/>
  <c r="BX12" i="29"/>
  <c r="AY13" i="29"/>
  <c r="BX13" i="29"/>
  <c r="BX33" i="29" s="1"/>
  <c r="AY14" i="29"/>
  <c r="BX14" i="29"/>
  <c r="BX34" i="29" s="1"/>
  <c r="AY15" i="29"/>
  <c r="BX15" i="29"/>
  <c r="BX44" i="29" s="1"/>
  <c r="AY16" i="29"/>
  <c r="BX16" i="29"/>
  <c r="AY17" i="29"/>
  <c r="BX17" i="29"/>
  <c r="AY18" i="29"/>
  <c r="BX18" i="29"/>
  <c r="AY19" i="29"/>
  <c r="BX19" i="29"/>
  <c r="BX42" i="29" s="1"/>
  <c r="AY20" i="29"/>
  <c r="BX20" i="29"/>
  <c r="AY21" i="29"/>
  <c r="BX21" i="29"/>
  <c r="AY22" i="29"/>
  <c r="BX22" i="29"/>
  <c r="BX37" i="29" s="1"/>
  <c r="AY23" i="29"/>
  <c r="BX23" i="29"/>
  <c r="BX49" i="29" s="1"/>
  <c r="AY24" i="29"/>
  <c r="BX24" i="29"/>
  <c r="AY25" i="29"/>
  <c r="BX25" i="29"/>
  <c r="AY26" i="29"/>
  <c r="BX26" i="29"/>
  <c r="BX36" i="29" s="1"/>
  <c r="AY27" i="29"/>
  <c r="BX27" i="29"/>
  <c r="AY28" i="29"/>
  <c r="BX28" i="29"/>
  <c r="BX43" i="29" s="1"/>
  <c r="AY29" i="29"/>
  <c r="BX29" i="29"/>
  <c r="AY30" i="29"/>
  <c r="BX30" i="29"/>
  <c r="BX35" i="29" s="1"/>
  <c r="BX8" i="41"/>
  <c r="BX41" i="41" s="1"/>
  <c r="AY6" i="29"/>
  <c r="BX7" i="29"/>
  <c r="AY8" i="29"/>
  <c r="BX9" i="29"/>
  <c r="AY10" i="29"/>
  <c r="BX11" i="29"/>
  <c r="BX39" i="29" s="1"/>
  <c r="AY12" i="29"/>
  <c r="AY7" i="29"/>
  <c r="CW2" i="42"/>
  <c r="CW38" i="42" s="1"/>
  <c r="BX10" i="29"/>
  <c r="BX9" i="41"/>
  <c r="BX8" i="29"/>
  <c r="BX41" i="29" s="1"/>
  <c r="AY11" i="29"/>
  <c r="BX28" i="41"/>
  <c r="BX43" i="41" s="1"/>
  <c r="BX6" i="29"/>
  <c r="AY9" i="29"/>
  <c r="CW30" i="43"/>
  <c r="CW35" i="43" s="1"/>
  <c r="CW22" i="43"/>
  <c r="CW37" i="43" s="1"/>
  <c r="CW29" i="43"/>
  <c r="CW16" i="43"/>
  <c r="CW23" i="43"/>
  <c r="CW17" i="43"/>
  <c r="CW13" i="43"/>
  <c r="CW33" i="43" s="1"/>
  <c r="CW9" i="43"/>
  <c r="CW5" i="43"/>
  <c r="CW19" i="43"/>
  <c r="CW42" i="43" s="1"/>
  <c r="CW7" i="43"/>
  <c r="CW26" i="43"/>
  <c r="CW36" i="43" s="1"/>
  <c r="CW18" i="43"/>
  <c r="CW25" i="43"/>
  <c r="CW21" i="43"/>
  <c r="CW12" i="43"/>
  <c r="CW15" i="43"/>
  <c r="CW44" i="43" s="1"/>
  <c r="CW3" i="43"/>
  <c r="CW32" i="43" s="1"/>
  <c r="CW11" i="43"/>
  <c r="CW39" i="43" s="1"/>
  <c r="CW6" i="43"/>
  <c r="CW47" i="43" s="1"/>
  <c r="CW2" i="43"/>
  <c r="CW38" i="43" s="1"/>
  <c r="CW8" i="43"/>
  <c r="CW41" i="43" s="1"/>
  <c r="CW27" i="43"/>
  <c r="CW10" i="43"/>
  <c r="CW46" i="43" s="1"/>
  <c r="CW45" i="43" s="1"/>
  <c r="CW24" i="43"/>
  <c r="CW4" i="43"/>
  <c r="CW40" i="43" s="1"/>
  <c r="CW28" i="43"/>
  <c r="CW43" i="43" s="1"/>
  <c r="CW20" i="43"/>
  <c r="CW14" i="43"/>
  <c r="CW34" i="43" s="1"/>
  <c r="CW3" i="30"/>
  <c r="CW4" i="30"/>
  <c r="CW5" i="30"/>
  <c r="CW6" i="30"/>
  <c r="CW7" i="30"/>
  <c r="CW8" i="30"/>
  <c r="CW9" i="30"/>
  <c r="CW10" i="30"/>
  <c r="CW11" i="30"/>
  <c r="CW12" i="30"/>
  <c r="CW13" i="30"/>
  <c r="CW14" i="30"/>
  <c r="CW15" i="30"/>
  <c r="CW44" i="30" s="1"/>
  <c r="CW16" i="30"/>
  <c r="CW17" i="30"/>
  <c r="CW18" i="30"/>
  <c r="CW19" i="30"/>
  <c r="CW20" i="30"/>
  <c r="CW21" i="30"/>
  <c r="CW22" i="30"/>
  <c r="CW23" i="30"/>
  <c r="CW24" i="30"/>
  <c r="CW25" i="30"/>
  <c r="CW26" i="30"/>
  <c r="CW27" i="30"/>
  <c r="CW28" i="30"/>
  <c r="CW29" i="30"/>
  <c r="CW30" i="30"/>
  <c r="BS29" i="38"/>
  <c r="DY28" i="38"/>
  <c r="DY43" i="38" s="1"/>
  <c r="EM43" i="38" s="1"/>
  <c r="G27" i="38"/>
  <c r="BS24" i="38"/>
  <c r="DY23" i="38"/>
  <c r="DY49" i="38" s="1"/>
  <c r="G23" i="38"/>
  <c r="BS30" i="38"/>
  <c r="BS35" i="38" s="1"/>
  <c r="CG35" i="38" s="1"/>
  <c r="G30" i="38"/>
  <c r="G29" i="38"/>
  <c r="BS28" i="38"/>
  <c r="BS43" i="38" s="1"/>
  <c r="CG43" i="38" s="1"/>
  <c r="G28" i="38"/>
  <c r="DY26" i="38"/>
  <c r="DY36" i="38" s="1"/>
  <c r="EM36" i="38" s="1"/>
  <c r="DY25" i="38"/>
  <c r="DY24" i="38"/>
  <c r="BS19" i="38"/>
  <c r="BS42" i="38" s="1"/>
  <c r="CG42" i="38" s="1"/>
  <c r="DY18" i="38"/>
  <c r="G18" i="38"/>
  <c r="BS15" i="38"/>
  <c r="BS44" i="38" s="1"/>
  <c r="CG44" i="38" s="1"/>
  <c r="DY14" i="38"/>
  <c r="DY34" i="38" s="1"/>
  <c r="EM34" i="38" s="1"/>
  <c r="G14" i="38"/>
  <c r="G11" i="38"/>
  <c r="BS8" i="38"/>
  <c r="BS41" i="38" s="1"/>
  <c r="CG41" i="38" s="1"/>
  <c r="DY7" i="38"/>
  <c r="BS6" i="38"/>
  <c r="BS47" i="38" s="1"/>
  <c r="CG47" i="38" s="1"/>
  <c r="DY5" i="38"/>
  <c r="BS23" i="38"/>
  <c r="BS49" i="38" s="1"/>
  <c r="BS22" i="38"/>
  <c r="BS37" i="38" s="1"/>
  <c r="CG37" i="38" s="1"/>
  <c r="G22" i="38"/>
  <c r="BS21" i="38"/>
  <c r="G21" i="38"/>
  <c r="BS18" i="38"/>
  <c r="DY30" i="38"/>
  <c r="DY35" i="38" s="1"/>
  <c r="EM35" i="38" s="1"/>
  <c r="DY22" i="38"/>
  <c r="DY37" i="38" s="1"/>
  <c r="EM37" i="38" s="1"/>
  <c r="BS20" i="38"/>
  <c r="DY19" i="38"/>
  <c r="DY42" i="38" s="1"/>
  <c r="EM42" i="38" s="1"/>
  <c r="G19" i="38"/>
  <c r="BS17" i="38"/>
  <c r="G17" i="38"/>
  <c r="BS16" i="38"/>
  <c r="G16" i="38"/>
  <c r="G15" i="38"/>
  <c r="BS14" i="38"/>
  <c r="BS34" i="38" s="1"/>
  <c r="CG34" i="38" s="1"/>
  <c r="BS13" i="38"/>
  <c r="BS33" i="38" s="1"/>
  <c r="CG33" i="38" s="1"/>
  <c r="G13" i="38"/>
  <c r="BS12" i="38"/>
  <c r="G12" i="38"/>
  <c r="DY4" i="38"/>
  <c r="DY40" i="38" s="1"/>
  <c r="EM40" i="38" s="1"/>
  <c r="DY2" i="38"/>
  <c r="DY38" i="38" s="1"/>
  <c r="EM38" i="38" s="1"/>
  <c r="R28" i="38"/>
  <c r="R43" i="38" s="1"/>
  <c r="AC43" i="38" s="1"/>
  <c r="R23" i="38"/>
  <c r="R49" i="38" s="1"/>
  <c r="R17" i="38"/>
  <c r="R15" i="38"/>
  <c r="R44" i="38" s="1"/>
  <c r="AC44" i="38" s="1"/>
  <c r="R13" i="38"/>
  <c r="R33" i="38" s="1"/>
  <c r="AC33" i="38" s="1"/>
  <c r="R11" i="38"/>
  <c r="R39" i="38" s="1"/>
  <c r="AC39" i="38" s="1"/>
  <c r="DY27" i="38"/>
  <c r="BS26" i="38"/>
  <c r="BS36" i="38" s="1"/>
  <c r="CG36" i="38" s="1"/>
  <c r="G26" i="38"/>
  <c r="G24" i="38"/>
  <c r="DY20" i="38"/>
  <c r="G20" i="38"/>
  <c r="BS11" i="38"/>
  <c r="BS39" i="38" s="1"/>
  <c r="CG39" i="38" s="1"/>
  <c r="BS10" i="38"/>
  <c r="BS46" i="38" s="1"/>
  <c r="G10" i="38"/>
  <c r="BS9" i="38"/>
  <c r="G9" i="38"/>
  <c r="G8" i="38"/>
  <c r="BS7" i="38"/>
  <c r="G7" i="38"/>
  <c r="G4" i="38"/>
  <c r="G2" i="38"/>
  <c r="R26" i="38"/>
  <c r="R36" i="38" s="1"/>
  <c r="AC36" i="38" s="1"/>
  <c r="R24" i="38"/>
  <c r="R22" i="38"/>
  <c r="R37" i="38" s="1"/>
  <c r="AC37" i="38" s="1"/>
  <c r="R21" i="38"/>
  <c r="R10" i="38"/>
  <c r="R46" i="38" s="1"/>
  <c r="R5" i="38"/>
  <c r="R4" i="38"/>
  <c r="R40" i="38" s="1"/>
  <c r="AC40" i="38" s="1"/>
  <c r="R3" i="38"/>
  <c r="R32" i="38" s="1"/>
  <c r="R2" i="38"/>
  <c r="R38" i="38" s="1"/>
  <c r="AC38" i="38" s="1"/>
  <c r="BS27" i="38"/>
  <c r="G25" i="38"/>
  <c r="DY21" i="38"/>
  <c r="DY16" i="38"/>
  <c r="DY12" i="38"/>
  <c r="DY9" i="38"/>
  <c r="BS4" i="38"/>
  <c r="BS40" i="38" s="1"/>
  <c r="CG40" i="38" s="1"/>
  <c r="DY3" i="38"/>
  <c r="DY32" i="38" s="1"/>
  <c r="R25" i="38"/>
  <c r="R19" i="38"/>
  <c r="R42" i="38" s="1"/>
  <c r="AC42" i="38" s="1"/>
  <c r="R8" i="38"/>
  <c r="R41" i="38" s="1"/>
  <c r="AC41" i="38" s="1"/>
  <c r="DY17" i="38"/>
  <c r="DY13" i="38"/>
  <c r="DY33" i="38" s="1"/>
  <c r="EM33" i="38" s="1"/>
  <c r="BS5" i="38"/>
  <c r="G3" i="38"/>
  <c r="R30" i="38"/>
  <c r="R35" i="38" s="1"/>
  <c r="AC35" i="38" s="1"/>
  <c r="R14" i="38"/>
  <c r="R34" i="38" s="1"/>
  <c r="AC34" i="38" s="1"/>
  <c r="R6" i="38"/>
  <c r="R47" i="38" s="1"/>
  <c r="AC47" i="38" s="1"/>
  <c r="BS25" i="38"/>
  <c r="DY15" i="38"/>
  <c r="DY44" i="38" s="1"/>
  <c r="EM44" i="38" s="1"/>
  <c r="DY8" i="38"/>
  <c r="DY41" i="38" s="1"/>
  <c r="EM41" i="38" s="1"/>
  <c r="G5" i="38"/>
  <c r="DY10" i="38"/>
  <c r="DY46" i="38" s="1"/>
  <c r="G6" i="38"/>
  <c r="BS3" i="38"/>
  <c r="BS32" i="38" s="1"/>
  <c r="DY29" i="38"/>
  <c r="DY11" i="38"/>
  <c r="DY39" i="38" s="1"/>
  <c r="EM39" i="38" s="1"/>
  <c r="R20" i="38"/>
  <c r="R29" i="38"/>
  <c r="R16" i="38"/>
  <c r="R9" i="38"/>
  <c r="R7" i="38"/>
  <c r="BS2" i="38"/>
  <c r="BS38" i="38" s="1"/>
  <c r="CG38" i="38" s="1"/>
  <c r="R18" i="38"/>
  <c r="R12" i="38"/>
  <c r="DY6" i="38"/>
  <c r="DY47" i="38" s="1"/>
  <c r="EM47" i="38" s="1"/>
  <c r="R27" i="38"/>
  <c r="DY3" i="18"/>
  <c r="DY7" i="18"/>
  <c r="DY11" i="18"/>
  <c r="DY15" i="18"/>
  <c r="DY19" i="18"/>
  <c r="DY23" i="18"/>
  <c r="DY49" i="18" s="1"/>
  <c r="DY27" i="18"/>
  <c r="DY2" i="18"/>
  <c r="G29" i="18"/>
  <c r="G25" i="18"/>
  <c r="G21" i="18"/>
  <c r="G17" i="18"/>
  <c r="G13" i="18"/>
  <c r="G9" i="18"/>
  <c r="G5" i="18"/>
  <c r="G24" i="18"/>
  <c r="G16" i="18"/>
  <c r="G8" i="18"/>
  <c r="G4" i="18"/>
  <c r="DY6" i="18"/>
  <c r="DY14" i="18"/>
  <c r="DY18" i="18"/>
  <c r="DY26" i="18"/>
  <c r="G30" i="18"/>
  <c r="G26" i="18"/>
  <c r="G22" i="18"/>
  <c r="G10" i="18"/>
  <c r="DY4" i="18"/>
  <c r="DY8" i="18"/>
  <c r="DY12" i="18"/>
  <c r="DY16" i="18"/>
  <c r="DY20" i="18"/>
  <c r="DY24" i="18"/>
  <c r="DY28" i="18"/>
  <c r="DY43" i="18" s="1"/>
  <c r="G28" i="18"/>
  <c r="G20" i="18"/>
  <c r="G12" i="18"/>
  <c r="DY5" i="18"/>
  <c r="DY9" i="18"/>
  <c r="DY13" i="18"/>
  <c r="DY17" i="18"/>
  <c r="DY21" i="18"/>
  <c r="DY25" i="18"/>
  <c r="DY29" i="18"/>
  <c r="G27" i="18"/>
  <c r="G23" i="18"/>
  <c r="G19" i="18"/>
  <c r="G15" i="18"/>
  <c r="G11" i="18"/>
  <c r="G7" i="18"/>
  <c r="G3" i="18"/>
  <c r="DY10" i="18"/>
  <c r="DY22" i="18"/>
  <c r="DY30" i="18"/>
  <c r="G18" i="18"/>
  <c r="G14" i="18"/>
  <c r="G6" i="18"/>
  <c r="G2" i="18"/>
  <c r="H28" i="38"/>
  <c r="BT27" i="38"/>
  <c r="DZ26" i="38"/>
  <c r="DZ36" i="38" s="1"/>
  <c r="EN36" i="38" s="1"/>
  <c r="H26" i="38"/>
  <c r="BT23" i="38"/>
  <c r="BT49" i="38" s="1"/>
  <c r="DZ22" i="38"/>
  <c r="DZ37" i="38" s="1"/>
  <c r="EN37" i="38" s="1"/>
  <c r="H22" i="38"/>
  <c r="BT22" i="38"/>
  <c r="BT37" i="38" s="1"/>
  <c r="CH37" i="38" s="1"/>
  <c r="BT21" i="38"/>
  <c r="H21" i="38"/>
  <c r="BT18" i="38"/>
  <c r="DZ17" i="38"/>
  <c r="H17" i="38"/>
  <c r="BT14" i="38"/>
  <c r="BT34" i="38" s="1"/>
  <c r="CH34" i="38" s="1"/>
  <c r="DZ13" i="38"/>
  <c r="DZ33" i="38" s="1"/>
  <c r="EN33" i="38" s="1"/>
  <c r="H13" i="38"/>
  <c r="BT11" i="38"/>
  <c r="BT39" i="38" s="1"/>
  <c r="CH39" i="38" s="1"/>
  <c r="DZ10" i="38"/>
  <c r="DZ46" i="38" s="1"/>
  <c r="H10" i="38"/>
  <c r="H7" i="38"/>
  <c r="BT5" i="38"/>
  <c r="DZ30" i="38"/>
  <c r="DZ35" i="38" s="1"/>
  <c r="EN35" i="38" s="1"/>
  <c r="DZ29" i="38"/>
  <c r="DZ28" i="38"/>
  <c r="DZ43" i="38" s="1"/>
  <c r="EN43" i="38" s="1"/>
  <c r="DZ27" i="38"/>
  <c r="BT26" i="38"/>
  <c r="BT36" i="38" s="1"/>
  <c r="CH36" i="38" s="1"/>
  <c r="BT25" i="38"/>
  <c r="H25" i="38"/>
  <c r="BT24" i="38"/>
  <c r="H24" i="38"/>
  <c r="H23" i="38"/>
  <c r="DZ20" i="38"/>
  <c r="H20" i="38"/>
  <c r="BT28" i="38"/>
  <c r="BT43" i="38" s="1"/>
  <c r="CH43" i="38" s="1"/>
  <c r="DZ24" i="38"/>
  <c r="H14" i="38"/>
  <c r="BT10" i="38"/>
  <c r="BT46" i="38" s="1"/>
  <c r="BT9" i="38"/>
  <c r="H9" i="38"/>
  <c r="BT8" i="38"/>
  <c r="BT41" i="38" s="1"/>
  <c r="CH41" i="38" s="1"/>
  <c r="H8" i="38"/>
  <c r="BT7" i="38"/>
  <c r="H4" i="38"/>
  <c r="H2" i="38"/>
  <c r="BT29" i="38"/>
  <c r="H29" i="38"/>
  <c r="DZ21" i="38"/>
  <c r="DZ16" i="38"/>
  <c r="DZ15" i="38"/>
  <c r="DZ44" i="38" s="1"/>
  <c r="EN44" i="38" s="1"/>
  <c r="DZ14" i="38"/>
  <c r="DZ34" i="38" s="1"/>
  <c r="EN34" i="38" s="1"/>
  <c r="DZ12" i="38"/>
  <c r="DZ11" i="38"/>
  <c r="DZ39" i="38" s="1"/>
  <c r="EN39" i="38" s="1"/>
  <c r="H11" i="38"/>
  <c r="BT6" i="38"/>
  <c r="BT47" i="38" s="1"/>
  <c r="CH47" i="38" s="1"/>
  <c r="H6" i="38"/>
  <c r="BT4" i="38"/>
  <c r="BT40" i="38" s="1"/>
  <c r="CH40" i="38" s="1"/>
  <c r="DZ3" i="38"/>
  <c r="DZ32" i="38" s="1"/>
  <c r="BT2" i="38"/>
  <c r="BT38" i="38" s="1"/>
  <c r="CH38" i="38" s="1"/>
  <c r="H30" i="38"/>
  <c r="BT19" i="38"/>
  <c r="BT42" i="38" s="1"/>
  <c r="CH42" i="38" s="1"/>
  <c r="DZ5" i="38"/>
  <c r="DZ4" i="38"/>
  <c r="DZ40" i="38" s="1"/>
  <c r="EN40" i="38" s="1"/>
  <c r="H3" i="38"/>
  <c r="DZ23" i="38"/>
  <c r="DZ49" i="38" s="1"/>
  <c r="DZ19" i="38"/>
  <c r="DZ42" i="38" s="1"/>
  <c r="EN42" i="38" s="1"/>
  <c r="BT15" i="38"/>
  <c r="BT44" i="38" s="1"/>
  <c r="CH44" i="38" s="1"/>
  <c r="H15" i="38"/>
  <c r="DZ8" i="38"/>
  <c r="DZ41" i="38" s="1"/>
  <c r="EN41" i="38" s="1"/>
  <c r="DZ6" i="38"/>
  <c r="DZ47" i="38" s="1"/>
  <c r="EN47" i="38" s="1"/>
  <c r="H5" i="38"/>
  <c r="BT30" i="38"/>
  <c r="BT35" i="38" s="1"/>
  <c r="CH35" i="38" s="1"/>
  <c r="H27" i="38"/>
  <c r="DZ18" i="38"/>
  <c r="H18" i="38"/>
  <c r="BT16" i="38"/>
  <c r="H16" i="38"/>
  <c r="BT12" i="38"/>
  <c r="H12" i="38"/>
  <c r="DZ9" i="38"/>
  <c r="BT3" i="38"/>
  <c r="BT32" i="38" s="1"/>
  <c r="BT17" i="38"/>
  <c r="DZ25" i="38"/>
  <c r="DZ7" i="38"/>
  <c r="DZ2" i="38"/>
  <c r="DZ38" i="38" s="1"/>
  <c r="EN38" i="38" s="1"/>
  <c r="BT20" i="38"/>
  <c r="H19" i="38"/>
  <c r="BT13" i="38"/>
  <c r="BT33" i="38" s="1"/>
  <c r="CH33" i="38" s="1"/>
  <c r="H28" i="18"/>
  <c r="H24" i="18"/>
  <c r="H20" i="18"/>
  <c r="H16" i="18"/>
  <c r="H12" i="18"/>
  <c r="H8" i="18"/>
  <c r="H4" i="18"/>
  <c r="H23" i="18"/>
  <c r="H19" i="18"/>
  <c r="H25" i="18"/>
  <c r="H21" i="18"/>
  <c r="H17" i="18"/>
  <c r="H13" i="18"/>
  <c r="H27" i="18"/>
  <c r="H15" i="18"/>
  <c r="H11" i="18"/>
  <c r="H7" i="18"/>
  <c r="H3" i="18"/>
  <c r="H30" i="18"/>
  <c r="H26" i="18"/>
  <c r="H22" i="18"/>
  <c r="H18" i="18"/>
  <c r="H14" i="18"/>
  <c r="H10" i="18"/>
  <c r="H6" i="18"/>
  <c r="H2" i="18"/>
  <c r="H29" i="18"/>
  <c r="H9" i="18"/>
  <c r="H5" i="18"/>
  <c r="L28" i="38"/>
  <c r="BX27" i="38"/>
  <c r="ED26" i="38"/>
  <c r="ED36" i="38" s="1"/>
  <c r="ER36" i="38" s="1"/>
  <c r="L26" i="38"/>
  <c r="BX23" i="38"/>
  <c r="BX49" i="38" s="1"/>
  <c r="ED22" i="38"/>
  <c r="ED37" i="38" s="1"/>
  <c r="ER37" i="38" s="1"/>
  <c r="L22" i="38"/>
  <c r="BX30" i="38"/>
  <c r="BX35" i="38" s="1"/>
  <c r="CL35" i="38" s="1"/>
  <c r="L30" i="38"/>
  <c r="BX29" i="38"/>
  <c r="L29" i="38"/>
  <c r="BX28" i="38"/>
  <c r="BX43" i="38" s="1"/>
  <c r="CL43" i="38" s="1"/>
  <c r="ED25" i="38"/>
  <c r="ED24" i="38"/>
  <c r="ED23" i="38"/>
  <c r="ED49" i="38" s="1"/>
  <c r="BX18" i="38"/>
  <c r="ED17" i="38"/>
  <c r="L17" i="38"/>
  <c r="BX14" i="38"/>
  <c r="BX34" i="38" s="1"/>
  <c r="CL34" i="38" s="1"/>
  <c r="ED13" i="38"/>
  <c r="ED33" i="38" s="1"/>
  <c r="ER33" i="38" s="1"/>
  <c r="L13" i="38"/>
  <c r="BX11" i="38"/>
  <c r="BX39" i="38" s="1"/>
  <c r="CL39" i="38" s="1"/>
  <c r="ED10" i="38"/>
  <c r="ED46" i="38" s="1"/>
  <c r="L10" i="38"/>
  <c r="L7" i="38"/>
  <c r="BX5" i="38"/>
  <c r="BX22" i="38"/>
  <c r="BX37" i="38" s="1"/>
  <c r="CL37" i="38" s="1"/>
  <c r="BX21" i="38"/>
  <c r="L21" i="38"/>
  <c r="ED20" i="38"/>
  <c r="L20" i="38"/>
  <c r="ED28" i="38"/>
  <c r="ED43" i="38" s="1"/>
  <c r="ER43" i="38" s="1"/>
  <c r="ED21" i="38"/>
  <c r="BX19" i="38"/>
  <c r="BX42" i="38" s="1"/>
  <c r="CL42" i="38" s="1"/>
  <c r="ED18" i="38"/>
  <c r="BX17" i="38"/>
  <c r="BX16" i="38"/>
  <c r="L16" i="38"/>
  <c r="BX15" i="38"/>
  <c r="BX44" i="38" s="1"/>
  <c r="CL44" i="38" s="1"/>
  <c r="L15" i="38"/>
  <c r="BX13" i="38"/>
  <c r="BX33" i="38" s="1"/>
  <c r="CL33" i="38" s="1"/>
  <c r="BX12" i="38"/>
  <c r="L12" i="38"/>
  <c r="ED5" i="38"/>
  <c r="L4" i="38"/>
  <c r="L2" i="38"/>
  <c r="W26" i="38"/>
  <c r="W36" i="38" s="1"/>
  <c r="AH36" i="38" s="1"/>
  <c r="W24" i="38"/>
  <c r="W22" i="38"/>
  <c r="W37" i="38" s="1"/>
  <c r="AH37" i="38" s="1"/>
  <c r="W21" i="38"/>
  <c r="W10" i="38"/>
  <c r="W46" i="38" s="1"/>
  <c r="W5" i="38"/>
  <c r="W4" i="38"/>
  <c r="W40" i="38" s="1"/>
  <c r="AH40" i="38" s="1"/>
  <c r="W3" i="38"/>
  <c r="W32" i="38" s="1"/>
  <c r="W2" i="38"/>
  <c r="W38" i="38" s="1"/>
  <c r="AH38" i="38" s="1"/>
  <c r="ED29" i="38"/>
  <c r="BX25" i="38"/>
  <c r="L25" i="38"/>
  <c r="L23" i="38"/>
  <c r="BX20" i="38"/>
  <c r="ED19" i="38"/>
  <c r="ED42" i="38" s="1"/>
  <c r="ER42" i="38" s="1"/>
  <c r="L19" i="38"/>
  <c r="L18" i="38"/>
  <c r="L14" i="38"/>
  <c r="BX10" i="38"/>
  <c r="BX46" i="38" s="1"/>
  <c r="BX9" i="38"/>
  <c r="L9" i="38"/>
  <c r="BX8" i="38"/>
  <c r="BX41" i="38" s="1"/>
  <c r="CL41" i="38" s="1"/>
  <c r="L8" i="38"/>
  <c r="BX7" i="38"/>
  <c r="BX4" i="38"/>
  <c r="BX40" i="38" s="1"/>
  <c r="CL40" i="38" s="1"/>
  <c r="ED3" i="38"/>
  <c r="ED32" i="38" s="1"/>
  <c r="BX2" i="38"/>
  <c r="BX38" i="38" s="1"/>
  <c r="CL38" i="38" s="1"/>
  <c r="W25" i="38"/>
  <c r="W20" i="38"/>
  <c r="W19" i="38"/>
  <c r="W42" i="38" s="1"/>
  <c r="AH42" i="38" s="1"/>
  <c r="W12" i="38"/>
  <c r="W6" i="38"/>
  <c r="W47" i="38" s="1"/>
  <c r="AH47" i="38" s="1"/>
  <c r="BX24" i="38"/>
  <c r="ED14" i="38"/>
  <c r="ED34" i="38" s="1"/>
  <c r="ER34" i="38" s="1"/>
  <c r="ED8" i="38"/>
  <c r="ED41" i="38" s="1"/>
  <c r="ER41" i="38" s="1"/>
  <c r="ED6" i="38"/>
  <c r="ED47" i="38" s="1"/>
  <c r="ER47" i="38" s="1"/>
  <c r="L5" i="38"/>
  <c r="BX3" i="38"/>
  <c r="BX32" i="38" s="1"/>
  <c r="W29" i="38"/>
  <c r="W27" i="38"/>
  <c r="W18" i="38"/>
  <c r="W16" i="38"/>
  <c r="W15" i="38"/>
  <c r="W44" i="38" s="1"/>
  <c r="AH44" i="38" s="1"/>
  <c r="L27" i="38"/>
  <c r="ED15" i="38"/>
  <c r="ED44" i="38" s="1"/>
  <c r="ER44" i="38" s="1"/>
  <c r="ED11" i="38"/>
  <c r="ED39" i="38" s="1"/>
  <c r="ER39" i="38" s="1"/>
  <c r="BX6" i="38"/>
  <c r="BX47" i="38" s="1"/>
  <c r="CL47" i="38" s="1"/>
  <c r="L6" i="38"/>
  <c r="ED2" i="38"/>
  <c r="ED38" i="38" s="1"/>
  <c r="ER38" i="38" s="1"/>
  <c r="W23" i="38"/>
  <c r="W49" i="38" s="1"/>
  <c r="W8" i="38"/>
  <c r="W41" i="38" s="1"/>
  <c r="AH41" i="38" s="1"/>
  <c r="ED30" i="38"/>
  <c r="ED35" i="38" s="1"/>
  <c r="ER35" i="38" s="1"/>
  <c r="BX26" i="38"/>
  <c r="BX36" i="38" s="1"/>
  <c r="CL36" i="38" s="1"/>
  <c r="L24" i="38"/>
  <c r="ED16" i="38"/>
  <c r="ED12" i="38"/>
  <c r="ED27" i="38"/>
  <c r="L11" i="38"/>
  <c r="ED7" i="38"/>
  <c r="ED4" i="38"/>
  <c r="ED40" i="38" s="1"/>
  <c r="ER40" i="38" s="1"/>
  <c r="L3" i="38"/>
  <c r="W30" i="38"/>
  <c r="W35" i="38" s="1"/>
  <c r="AH35" i="38" s="1"/>
  <c r="W28" i="38"/>
  <c r="W43" i="38" s="1"/>
  <c r="AH43" i="38" s="1"/>
  <c r="W9" i="38"/>
  <c r="W7" i="38"/>
  <c r="W13" i="38"/>
  <c r="W33" i="38" s="1"/>
  <c r="AH33" i="38" s="1"/>
  <c r="W11" i="38"/>
  <c r="W39" i="38" s="1"/>
  <c r="AH39" i="38" s="1"/>
  <c r="ED9" i="38"/>
  <c r="W17" i="38"/>
  <c r="W14" i="38"/>
  <c r="W34" i="38" s="1"/>
  <c r="AH34" i="38" s="1"/>
  <c r="ED4" i="18"/>
  <c r="ED8" i="18"/>
  <c r="ED12" i="18"/>
  <c r="ED16" i="18"/>
  <c r="ED20" i="18"/>
  <c r="ED24" i="18"/>
  <c r="ED28" i="18"/>
  <c r="L28" i="18"/>
  <c r="L24" i="18"/>
  <c r="L20" i="18"/>
  <c r="L16" i="18"/>
  <c r="L12" i="18"/>
  <c r="L8" i="18"/>
  <c r="L4" i="18"/>
  <c r="L15" i="18"/>
  <c r="L7" i="18"/>
  <c r="L3" i="18"/>
  <c r="ED3" i="18"/>
  <c r="ED7" i="18"/>
  <c r="ED15" i="18"/>
  <c r="ED44" i="18" s="1"/>
  <c r="ER44" i="18" s="1"/>
  <c r="ED23" i="18"/>
  <c r="ED2" i="18"/>
  <c r="L29" i="18"/>
  <c r="L25" i="18"/>
  <c r="L21" i="18"/>
  <c r="L9" i="18"/>
  <c r="L5" i="18"/>
  <c r="ED5" i="18"/>
  <c r="ED9" i="18"/>
  <c r="ED13" i="18"/>
  <c r="ED17" i="18"/>
  <c r="ED21" i="18"/>
  <c r="ED25" i="18"/>
  <c r="ED29" i="18"/>
  <c r="L27" i="18"/>
  <c r="L23" i="18"/>
  <c r="L19" i="18"/>
  <c r="L11" i="18"/>
  <c r="ED6" i="18"/>
  <c r="ED10" i="18"/>
  <c r="ED46" i="18" s="1"/>
  <c r="ER46" i="18" s="1"/>
  <c r="ED14" i="18"/>
  <c r="ED18" i="18"/>
  <c r="ED22" i="18"/>
  <c r="ED26" i="18"/>
  <c r="ED36" i="18" s="1"/>
  <c r="ER36" i="18" s="1"/>
  <c r="ED30" i="18"/>
  <c r="L30" i="18"/>
  <c r="L26" i="18"/>
  <c r="L22" i="18"/>
  <c r="L18" i="18"/>
  <c r="L14" i="18"/>
  <c r="L10" i="18"/>
  <c r="L6" i="18"/>
  <c r="L2" i="18"/>
  <c r="ED11" i="18"/>
  <c r="ED19" i="18"/>
  <c r="ED27" i="18"/>
  <c r="L17" i="18"/>
  <c r="L13" i="18"/>
  <c r="EW26" i="38"/>
  <c r="EW36" i="38" s="1"/>
  <c r="EW22" i="38"/>
  <c r="EW37" i="38" s="1"/>
  <c r="EW21" i="38"/>
  <c r="EW17" i="38"/>
  <c r="EW13" i="38"/>
  <c r="EW10" i="38"/>
  <c r="EW46" i="38" s="1"/>
  <c r="EW45" i="38" s="1"/>
  <c r="EW25" i="38"/>
  <c r="EW24" i="38"/>
  <c r="EW23" i="38"/>
  <c r="EW49" i="38" s="1"/>
  <c r="EW20" i="38"/>
  <c r="EW29" i="38"/>
  <c r="EW9" i="38"/>
  <c r="EW8" i="38"/>
  <c r="EW41" i="38" s="1"/>
  <c r="EW7" i="38"/>
  <c r="EW6" i="38"/>
  <c r="EW47" i="38" s="1"/>
  <c r="EZ27" i="38"/>
  <c r="EZ16" i="38"/>
  <c r="EZ12" i="38"/>
  <c r="EZ5" i="38"/>
  <c r="EW30" i="38"/>
  <c r="EW35" i="38" s="1"/>
  <c r="EW5" i="38"/>
  <c r="EW3" i="38"/>
  <c r="EW32" i="38" s="1"/>
  <c r="EZ29" i="38"/>
  <c r="EZ25" i="38"/>
  <c r="EZ23" i="38"/>
  <c r="EZ49" i="38" s="1"/>
  <c r="EZ20" i="38"/>
  <c r="EZ18" i="38"/>
  <c r="EZ4" i="38"/>
  <c r="EZ40" i="38" s="1"/>
  <c r="FB40" i="38" s="1"/>
  <c r="EW18" i="38"/>
  <c r="EW15" i="38"/>
  <c r="EW44" i="38" s="1"/>
  <c r="EW11" i="38"/>
  <c r="EW39" i="38" s="1"/>
  <c r="EW4" i="38"/>
  <c r="EW40" i="38" s="1"/>
  <c r="EZ19" i="38"/>
  <c r="EZ42" i="38" s="1"/>
  <c r="FB42" i="38" s="1"/>
  <c r="EZ13" i="38"/>
  <c r="EZ33" i="38" s="1"/>
  <c r="EZ8" i="38"/>
  <c r="EZ41" i="38" s="1"/>
  <c r="FB41" i="38" s="1"/>
  <c r="EZ6" i="38"/>
  <c r="EZ47" i="38" s="1"/>
  <c r="FB47" i="38" s="1"/>
  <c r="EZ3" i="38"/>
  <c r="EZ32" i="38" s="1"/>
  <c r="FB32" i="38" s="1"/>
  <c r="EW16" i="38"/>
  <c r="EW12" i="38"/>
  <c r="EZ28" i="38"/>
  <c r="EZ43" i="38" s="1"/>
  <c r="FB43" i="38" s="1"/>
  <c r="EZ26" i="38"/>
  <c r="EZ36" i="38" s="1"/>
  <c r="FB36" i="38" s="1"/>
  <c r="EZ21" i="38"/>
  <c r="EZ17" i="38"/>
  <c r="EZ15" i="38"/>
  <c r="EZ44" i="38" s="1"/>
  <c r="FB44" i="38" s="1"/>
  <c r="EZ14" i="38"/>
  <c r="EZ34" i="38" s="1"/>
  <c r="FB34" i="38" s="1"/>
  <c r="EZ11" i="38"/>
  <c r="EZ39" i="38" s="1"/>
  <c r="FB39" i="38" s="1"/>
  <c r="EZ9" i="38"/>
  <c r="EZ7" i="38"/>
  <c r="EZ2" i="38"/>
  <c r="EZ38" i="38" s="1"/>
  <c r="FB38" i="38" s="1"/>
  <c r="EW28" i="38"/>
  <c r="EW43" i="38" s="1"/>
  <c r="EW27" i="38"/>
  <c r="EW19" i="38"/>
  <c r="EW42" i="38" s="1"/>
  <c r="EW14" i="38"/>
  <c r="EW34" i="38" s="1"/>
  <c r="EW2" i="38"/>
  <c r="EW38" i="38" s="1"/>
  <c r="EZ24" i="38"/>
  <c r="EZ10" i="38"/>
  <c r="EZ46" i="38" s="1"/>
  <c r="EZ30" i="38"/>
  <c r="EZ35" i="38" s="1"/>
  <c r="FB35" i="38" s="1"/>
  <c r="EZ22" i="38"/>
  <c r="EZ37" i="38" s="1"/>
  <c r="EW28" i="18"/>
  <c r="EW24" i="18"/>
  <c r="EW20" i="18"/>
  <c r="EW16" i="18"/>
  <c r="EW12" i="18"/>
  <c r="EW8" i="18"/>
  <c r="EW4" i="18"/>
  <c r="EW15" i="18"/>
  <c r="EW7" i="18"/>
  <c r="EW3" i="18"/>
  <c r="EW29" i="18"/>
  <c r="EW25" i="18"/>
  <c r="EW21" i="18"/>
  <c r="EW9" i="18"/>
  <c r="EW27" i="18"/>
  <c r="EW23" i="18"/>
  <c r="EW19" i="18"/>
  <c r="EW11" i="18"/>
  <c r="EW30" i="18"/>
  <c r="EW26" i="18"/>
  <c r="EW22" i="18"/>
  <c r="EW18" i="18"/>
  <c r="EW14" i="18"/>
  <c r="EW10" i="18"/>
  <c r="EW6" i="18"/>
  <c r="EW2" i="18"/>
  <c r="EW17" i="18"/>
  <c r="EW13" i="18"/>
  <c r="EW5" i="18"/>
  <c r="BO7" i="38"/>
  <c r="AL11" i="38"/>
  <c r="AL19" i="38"/>
  <c r="BO12" i="38"/>
  <c r="BO16" i="38"/>
  <c r="AL28" i="38"/>
  <c r="AL9" i="38"/>
  <c r="AL17" i="38"/>
  <c r="AL21" i="38"/>
  <c r="AL25" i="38"/>
  <c r="AL2" i="38"/>
  <c r="BO14" i="38"/>
  <c r="BO34" i="38" s="1"/>
  <c r="CC34" i="38" s="1"/>
  <c r="AL22" i="38"/>
  <c r="BO26" i="38"/>
  <c r="BO36" i="38" s="1"/>
  <c r="CC36" i="38" s="1"/>
  <c r="AL7" i="38"/>
  <c r="BO15" i="38"/>
  <c r="BO44" i="38" s="1"/>
  <c r="CC44" i="38" s="1"/>
  <c r="AL23" i="38"/>
  <c r="AL27" i="38"/>
  <c r="BO27" i="38"/>
  <c r="AL8" i="38"/>
  <c r="AL12" i="38"/>
  <c r="AL20" i="38"/>
  <c r="BO20" i="38"/>
  <c r="AL5" i="38"/>
  <c r="BO9" i="38"/>
  <c r="BO17" i="38"/>
  <c r="AL15" i="38"/>
  <c r="BO4" i="38"/>
  <c r="BO40" i="38" s="1"/>
  <c r="CC40" i="38" s="1"/>
  <c r="AL16" i="38"/>
  <c r="AL24" i="38"/>
  <c r="BO28" i="38"/>
  <c r="BO43" i="38" s="1"/>
  <c r="CC43" i="38" s="1"/>
  <c r="BO13" i="38"/>
  <c r="BO33" i="38" s="1"/>
  <c r="CC33" i="38" s="1"/>
  <c r="AL13" i="38"/>
  <c r="BO21" i="38"/>
  <c r="BO25" i="38"/>
  <c r="BO29" i="38"/>
  <c r="AL6" i="38"/>
  <c r="BO10" i="38"/>
  <c r="BO46" i="38" s="1"/>
  <c r="AL18" i="38"/>
  <c r="BO30" i="38"/>
  <c r="BO35" i="38" s="1"/>
  <c r="CC35" i="38" s="1"/>
  <c r="AL4" i="38"/>
  <c r="BO6" i="38"/>
  <c r="BO47" i="38" s="1"/>
  <c r="CC47" i="38" s="1"/>
  <c r="AL14" i="38"/>
  <c r="BO22" i="38"/>
  <c r="BO37" i="38" s="1"/>
  <c r="CC37" i="38" s="1"/>
  <c r="AL26" i="38"/>
  <c r="BO3" i="38"/>
  <c r="BO32" i="38" s="1"/>
  <c r="AL10" i="38"/>
  <c r="AL3" i="38"/>
  <c r="BO11" i="38"/>
  <c r="BO39" i="38" s="1"/>
  <c r="CC39" i="38" s="1"/>
  <c r="BO19" i="38"/>
  <c r="BO42" i="38" s="1"/>
  <c r="CC42" i="38" s="1"/>
  <c r="BO24" i="38"/>
  <c r="BO5" i="38"/>
  <c r="BO2" i="38"/>
  <c r="BO38" i="38" s="1"/>
  <c r="CC38" i="38" s="1"/>
  <c r="BO18" i="38"/>
  <c r="AL30" i="38"/>
  <c r="BO23" i="38"/>
  <c r="BO49" i="38" s="1"/>
  <c r="AL29" i="38"/>
  <c r="BO8" i="38"/>
  <c r="BO41" i="38" s="1"/>
  <c r="CC41" i="38" s="1"/>
  <c r="BO3" i="18"/>
  <c r="BO32" i="18" s="1"/>
  <c r="CC32" i="18" s="1"/>
  <c r="AL3" i="18"/>
  <c r="BO2" i="18"/>
  <c r="BO10" i="18"/>
  <c r="BO14" i="18"/>
  <c r="BO34" i="18" s="1"/>
  <c r="CC34" i="18" s="1"/>
  <c r="BO18" i="18"/>
  <c r="BO22" i="18"/>
  <c r="BO26" i="18"/>
  <c r="BO30" i="18"/>
  <c r="BO35" i="18" s="1"/>
  <c r="CC35" i="18" s="1"/>
  <c r="BO5" i="18"/>
  <c r="AL9" i="18"/>
  <c r="AL13" i="18"/>
  <c r="AL17" i="18"/>
  <c r="AL21" i="18"/>
  <c r="AL25" i="18"/>
  <c r="AL29" i="18"/>
  <c r="BO4" i="18"/>
  <c r="AL8" i="18"/>
  <c r="AL12" i="18"/>
  <c r="AL16" i="18"/>
  <c r="AL20" i="18"/>
  <c r="AL24" i="18"/>
  <c r="AL28" i="18"/>
  <c r="BO7" i="18"/>
  <c r="BO11" i="18"/>
  <c r="BO39" i="18" s="1"/>
  <c r="CC39" i="18" s="1"/>
  <c r="BO15" i="18"/>
  <c r="BO19" i="18"/>
  <c r="BO23" i="18"/>
  <c r="BO27" i="18"/>
  <c r="AL6" i="18"/>
  <c r="BO6" i="18"/>
  <c r="AL10" i="18"/>
  <c r="AL14" i="18"/>
  <c r="AL18" i="18"/>
  <c r="AL22" i="18"/>
  <c r="AL26" i="18"/>
  <c r="AL30" i="18"/>
  <c r="AL5" i="18"/>
  <c r="BO9" i="18"/>
  <c r="BO13" i="18"/>
  <c r="BO17" i="18"/>
  <c r="BO21" i="18"/>
  <c r="BO25" i="18"/>
  <c r="BO29" i="18"/>
  <c r="AL4" i="18"/>
  <c r="BO8" i="18"/>
  <c r="BO12" i="18"/>
  <c r="BO16" i="18"/>
  <c r="BO20" i="18"/>
  <c r="BO24" i="18"/>
  <c r="BO28" i="18"/>
  <c r="AL7" i="18"/>
  <c r="AL11" i="18"/>
  <c r="AL15" i="18"/>
  <c r="AL19" i="18"/>
  <c r="AL23" i="18"/>
  <c r="AL27" i="18"/>
  <c r="AL2" i="18"/>
  <c r="AQ30" i="32"/>
  <c r="AQ35" i="32" s="1"/>
  <c r="AQ29" i="32"/>
  <c r="AQ28" i="32"/>
  <c r="AQ43" i="32" s="1"/>
  <c r="AQ27" i="32"/>
  <c r="AQ26" i="32"/>
  <c r="AQ36" i="32" s="1"/>
  <c r="AQ25" i="32"/>
  <c r="AQ24" i="32"/>
  <c r="AQ23" i="32"/>
  <c r="AQ49" i="32" s="1"/>
  <c r="AQ22" i="32"/>
  <c r="AQ37" i="32" s="1"/>
  <c r="AQ21" i="32"/>
  <c r="AQ20" i="32"/>
  <c r="AQ19" i="32"/>
  <c r="AQ42" i="32" s="1"/>
  <c r="AQ18" i="32"/>
  <c r="AQ17" i="32"/>
  <c r="AQ16" i="32"/>
  <c r="AQ15" i="32"/>
  <c r="AQ44" i="32" s="1"/>
  <c r="AQ14" i="32"/>
  <c r="AQ34" i="32" s="1"/>
  <c r="AQ13" i="32"/>
  <c r="AQ33" i="32" s="1"/>
  <c r="AQ12" i="32"/>
  <c r="AQ11" i="32"/>
  <c r="AQ39" i="32" s="1"/>
  <c r="AQ10" i="32"/>
  <c r="AQ46" i="32" s="1"/>
  <c r="AQ9" i="32"/>
  <c r="AQ8" i="32"/>
  <c r="AQ41" i="32" s="1"/>
  <c r="AQ7" i="32"/>
  <c r="AQ6" i="32"/>
  <c r="AQ47" i="32" s="1"/>
  <c r="AQ5" i="32"/>
  <c r="AQ4" i="32"/>
  <c r="AQ40" i="32" s="1"/>
  <c r="AQ3" i="32"/>
  <c r="AQ32" i="32" s="1"/>
  <c r="AQ2" i="32"/>
  <c r="AQ38" i="32" s="1"/>
  <c r="AV30" i="32"/>
  <c r="AV35" i="32" s="1"/>
  <c r="AZ35" i="32" s="1"/>
  <c r="AV23" i="32"/>
  <c r="AV49" i="32" s="1"/>
  <c r="AV19" i="32"/>
  <c r="AV42" i="32" s="1"/>
  <c r="AZ42" i="32" s="1"/>
  <c r="AV16" i="32"/>
  <c r="AV8" i="32"/>
  <c r="AV41" i="32" s="1"/>
  <c r="AZ41" i="32" s="1"/>
  <c r="AV5" i="32"/>
  <c r="AV4" i="32"/>
  <c r="AV40" i="32" s="1"/>
  <c r="AZ40" i="32" s="1"/>
  <c r="AV3" i="32"/>
  <c r="AV32" i="32" s="1"/>
  <c r="AV17" i="32"/>
  <c r="AV12" i="32"/>
  <c r="AV6" i="32"/>
  <c r="AV47" i="32" s="1"/>
  <c r="AZ47" i="32" s="1"/>
  <c r="AV29" i="32"/>
  <c r="AV24" i="32"/>
  <c r="AV22" i="32"/>
  <c r="AV37" i="32" s="1"/>
  <c r="AZ37" i="32" s="1"/>
  <c r="AV15" i="32"/>
  <c r="AV44" i="32" s="1"/>
  <c r="AZ44" i="32" s="1"/>
  <c r="AV2" i="32"/>
  <c r="AV38" i="32" s="1"/>
  <c r="AZ38" i="32" s="1"/>
  <c r="AV21" i="32"/>
  <c r="AV20" i="32"/>
  <c r="AV9" i="32"/>
  <c r="AV18" i="32"/>
  <c r="AV14" i="32"/>
  <c r="AV34" i="32" s="1"/>
  <c r="AZ34" i="32" s="1"/>
  <c r="AV7" i="32"/>
  <c r="AV26" i="32"/>
  <c r="AV36" i="32" s="1"/>
  <c r="AZ36" i="32" s="1"/>
  <c r="AV11" i="32"/>
  <c r="AV39" i="32" s="1"/>
  <c r="AZ39" i="32" s="1"/>
  <c r="AV10" i="32"/>
  <c r="AV46" i="32" s="1"/>
  <c r="AV28" i="32"/>
  <c r="AV43" i="32" s="1"/>
  <c r="AZ43" i="32" s="1"/>
  <c r="AV25" i="32"/>
  <c r="AV27" i="32"/>
  <c r="AV13" i="32"/>
  <c r="AV33" i="32" s="1"/>
  <c r="AZ33" i="32" s="1"/>
  <c r="AQ30" i="5"/>
  <c r="AQ28" i="5"/>
  <c r="AQ26" i="5"/>
  <c r="AQ24" i="5"/>
  <c r="AQ22" i="5"/>
  <c r="AQ20" i="5"/>
  <c r="AQ18" i="5"/>
  <c r="AQ16" i="5"/>
  <c r="AQ14" i="5"/>
  <c r="AQ12" i="5"/>
  <c r="AQ10" i="5"/>
  <c r="AQ8" i="5"/>
  <c r="AQ6" i="5"/>
  <c r="AQ4" i="5"/>
  <c r="AQ2" i="5"/>
  <c r="AQ29" i="5"/>
  <c r="AQ27" i="5"/>
  <c r="AQ25" i="5"/>
  <c r="AQ23" i="5"/>
  <c r="AQ21" i="5"/>
  <c r="AQ19" i="5"/>
  <c r="AQ17" i="5"/>
  <c r="AQ15" i="5"/>
  <c r="AQ13" i="5"/>
  <c r="AQ11" i="5"/>
  <c r="AQ9" i="5"/>
  <c r="AQ7" i="5"/>
  <c r="AQ5" i="5"/>
  <c r="AQ3" i="5"/>
  <c r="AD30" i="42"/>
  <c r="AD35" i="42" s="1"/>
  <c r="AD29" i="42"/>
  <c r="AD28" i="42"/>
  <c r="AD43" i="42" s="1"/>
  <c r="AD27" i="42"/>
  <c r="AD26" i="42"/>
  <c r="AD36" i="42" s="1"/>
  <c r="AD25" i="42"/>
  <c r="AD24" i="42"/>
  <c r="AD23" i="42"/>
  <c r="AD22" i="42"/>
  <c r="AD37" i="42" s="1"/>
  <c r="AD21" i="42"/>
  <c r="AD20" i="42"/>
  <c r="AD19" i="42"/>
  <c r="AD42" i="42" s="1"/>
  <c r="AD18" i="42"/>
  <c r="AD17" i="42"/>
  <c r="AD16" i="42"/>
  <c r="AD15" i="42"/>
  <c r="AD44" i="42" s="1"/>
  <c r="AD14" i="42"/>
  <c r="AD34" i="42" s="1"/>
  <c r="AD13" i="42"/>
  <c r="AD33" i="42" s="1"/>
  <c r="AD12" i="42"/>
  <c r="AD11" i="42"/>
  <c r="AD39" i="42" s="1"/>
  <c r="AD10" i="42"/>
  <c r="AD46" i="42" s="1"/>
  <c r="AD9" i="42"/>
  <c r="AD8" i="42"/>
  <c r="AD41" i="42" s="1"/>
  <c r="AD7" i="42"/>
  <c r="AD6" i="42"/>
  <c r="AD47" i="42" s="1"/>
  <c r="AD5" i="42"/>
  <c r="AD4" i="42"/>
  <c r="AD40" i="42" s="1"/>
  <c r="AD3" i="42"/>
  <c r="AD32" i="42" s="1"/>
  <c r="AD31" i="42" s="1"/>
  <c r="AD2" i="42"/>
  <c r="AD38" i="42" s="1"/>
  <c r="E30" i="41"/>
  <c r="E29" i="41"/>
  <c r="E28" i="41"/>
  <c r="E27" i="41"/>
  <c r="E26" i="41"/>
  <c r="E25" i="41"/>
  <c r="E24" i="41"/>
  <c r="E23" i="41"/>
  <c r="E22" i="41"/>
  <c r="E21" i="41"/>
  <c r="E20" i="41"/>
  <c r="E19" i="41"/>
  <c r="E18" i="41"/>
  <c r="E17" i="41"/>
  <c r="E16" i="41"/>
  <c r="E15" i="41"/>
  <c r="E14" i="41"/>
  <c r="E13" i="41"/>
  <c r="E12" i="41"/>
  <c r="E11" i="41"/>
  <c r="E10" i="41"/>
  <c r="E9" i="41"/>
  <c r="E8" i="41"/>
  <c r="E7" i="41"/>
  <c r="E6" i="41"/>
  <c r="E5" i="41"/>
  <c r="E4" i="41"/>
  <c r="E3" i="41"/>
  <c r="E2" i="41"/>
  <c r="E2" i="29"/>
  <c r="E38" i="29" s="1"/>
  <c r="E3" i="29"/>
  <c r="E4" i="29"/>
  <c r="E5" i="29"/>
  <c r="E6" i="29"/>
  <c r="E7" i="29"/>
  <c r="E8" i="29"/>
  <c r="E9" i="29"/>
  <c r="E10" i="29"/>
  <c r="E11" i="29"/>
  <c r="E12" i="29"/>
  <c r="E14" i="29"/>
  <c r="E16" i="29"/>
  <c r="E18" i="29"/>
  <c r="E20" i="29"/>
  <c r="E22" i="29"/>
  <c r="E24" i="29"/>
  <c r="E26" i="29"/>
  <c r="E28" i="29"/>
  <c r="E30" i="29"/>
  <c r="E13" i="29"/>
  <c r="E15" i="29"/>
  <c r="E17" i="29"/>
  <c r="E19" i="29"/>
  <c r="E21" i="29"/>
  <c r="E23" i="29"/>
  <c r="E25" i="29"/>
  <c r="E27" i="29"/>
  <c r="E29" i="29"/>
  <c r="AD30" i="43"/>
  <c r="AD35" i="43" s="1"/>
  <c r="AD6" i="43"/>
  <c r="AD47" i="43" s="1"/>
  <c r="AD13" i="43"/>
  <c r="AD33" i="43" s="1"/>
  <c r="AD7" i="43"/>
  <c r="AD21" i="43"/>
  <c r="AD8" i="43"/>
  <c r="AD41" i="43" s="1"/>
  <c r="AD27" i="43"/>
  <c r="AD11" i="43"/>
  <c r="AD39" i="43" s="1"/>
  <c r="AD10" i="43"/>
  <c r="AD46" i="43" s="1"/>
  <c r="AD45" i="43" s="1"/>
  <c r="AD29" i="43"/>
  <c r="AD24" i="43"/>
  <c r="AD4" i="43"/>
  <c r="AD40" i="43" s="1"/>
  <c r="AD2" i="43"/>
  <c r="AD38" i="43" s="1"/>
  <c r="AD23" i="43"/>
  <c r="AD16" i="43"/>
  <c r="AD26" i="43"/>
  <c r="AD36" i="43" s="1"/>
  <c r="AD22" i="43"/>
  <c r="AD37" i="43" s="1"/>
  <c r="AD17" i="43"/>
  <c r="AD9" i="43"/>
  <c r="AD5" i="43"/>
  <c r="AD19" i="43"/>
  <c r="AD42" i="43" s="1"/>
  <c r="AD25" i="43"/>
  <c r="AD28" i="43"/>
  <c r="AD43" i="43" s="1"/>
  <c r="AD20" i="43"/>
  <c r="AD12" i="43"/>
  <c r="AD15" i="43"/>
  <c r="AD44" i="43" s="1"/>
  <c r="AD3" i="43"/>
  <c r="AD32" i="43" s="1"/>
  <c r="AD14" i="43"/>
  <c r="AD34" i="43" s="1"/>
  <c r="AD18" i="43"/>
  <c r="AD5" i="30"/>
  <c r="AD9" i="30"/>
  <c r="AD13" i="30"/>
  <c r="AD33" i="30" s="1"/>
  <c r="AD17" i="30"/>
  <c r="AD20" i="30"/>
  <c r="AD22" i="30"/>
  <c r="AD37" i="30" s="1"/>
  <c r="AD28" i="30"/>
  <c r="AD43" i="30" s="1"/>
  <c r="AD30" i="30"/>
  <c r="AD35" i="30" s="1"/>
  <c r="AD6" i="30"/>
  <c r="AD47" i="30" s="1"/>
  <c r="AD10" i="30"/>
  <c r="AD46" i="30" s="1"/>
  <c r="AD29" i="30"/>
  <c r="AD4" i="30"/>
  <c r="AD40" i="30" s="1"/>
  <c r="AD8" i="30"/>
  <c r="AD41" i="30" s="1"/>
  <c r="AD12" i="30"/>
  <c r="AD16" i="30"/>
  <c r="AD23" i="30"/>
  <c r="AD25" i="30"/>
  <c r="AD19" i="30"/>
  <c r="AD42" i="30" s="1"/>
  <c r="AD27" i="30"/>
  <c r="AD3" i="30"/>
  <c r="AD32" i="30" s="1"/>
  <c r="AD7" i="30"/>
  <c r="AD11" i="30"/>
  <c r="AD39" i="30" s="1"/>
  <c r="AD15" i="30"/>
  <c r="AD44" i="30" s="1"/>
  <c r="AD18" i="30"/>
  <c r="AD24" i="30"/>
  <c r="AD26" i="30"/>
  <c r="AD36" i="30" s="1"/>
  <c r="AD14" i="30"/>
  <c r="AD34" i="30" s="1"/>
  <c r="AD21" i="30"/>
  <c r="AD2" i="30"/>
  <c r="AD38" i="30" s="1"/>
  <c r="AH30" i="42"/>
  <c r="AH35" i="42" s="1"/>
  <c r="AH29" i="42"/>
  <c r="AH28" i="42"/>
  <c r="AH43" i="42" s="1"/>
  <c r="AH27" i="42"/>
  <c r="AH26" i="42"/>
  <c r="AH36" i="42" s="1"/>
  <c r="AH25" i="42"/>
  <c r="AH24" i="42"/>
  <c r="AH23" i="42"/>
  <c r="AH22" i="42"/>
  <c r="AH37" i="42" s="1"/>
  <c r="AH21" i="42"/>
  <c r="AH20" i="42"/>
  <c r="AH19" i="42"/>
  <c r="AH42" i="42" s="1"/>
  <c r="AH18" i="42"/>
  <c r="AH17" i="42"/>
  <c r="AH16" i="42"/>
  <c r="AH15" i="42"/>
  <c r="AH44" i="42" s="1"/>
  <c r="AH14" i="42"/>
  <c r="AH34" i="42" s="1"/>
  <c r="AH13" i="42"/>
  <c r="AH33" i="42" s="1"/>
  <c r="AH12" i="42"/>
  <c r="AH11" i="42"/>
  <c r="AH39" i="42" s="1"/>
  <c r="AH10" i="42"/>
  <c r="AH46" i="42" s="1"/>
  <c r="AH9" i="42"/>
  <c r="AH8" i="42"/>
  <c r="AH41" i="42" s="1"/>
  <c r="AH7" i="42"/>
  <c r="AH6" i="42"/>
  <c r="AH47" i="42" s="1"/>
  <c r="AH5" i="42"/>
  <c r="AH4" i="42"/>
  <c r="AH40" i="42" s="1"/>
  <c r="AH3" i="42"/>
  <c r="AH32" i="42" s="1"/>
  <c r="AH2" i="42"/>
  <c r="AH38" i="42" s="1"/>
  <c r="I30" i="41"/>
  <c r="I29" i="41"/>
  <c r="I28" i="41"/>
  <c r="I27" i="41"/>
  <c r="I26" i="41"/>
  <c r="I25" i="41"/>
  <c r="I24" i="41"/>
  <c r="I23" i="41"/>
  <c r="I22" i="41"/>
  <c r="I21" i="41"/>
  <c r="I20" i="41"/>
  <c r="I19" i="41"/>
  <c r="I18" i="41"/>
  <c r="I17" i="41"/>
  <c r="I16" i="41"/>
  <c r="I15" i="41"/>
  <c r="I14" i="41"/>
  <c r="I13" i="41"/>
  <c r="I12" i="41"/>
  <c r="I11" i="41"/>
  <c r="I10" i="41"/>
  <c r="I9" i="41"/>
  <c r="I8" i="41"/>
  <c r="I7" i="41"/>
  <c r="I6" i="41"/>
  <c r="I5" i="41"/>
  <c r="I4" i="41"/>
  <c r="I3" i="41"/>
  <c r="I2" i="41"/>
  <c r="I2" i="29"/>
  <c r="I38" i="29" s="1"/>
  <c r="I3" i="29"/>
  <c r="I4" i="29"/>
  <c r="I5" i="29"/>
  <c r="I6" i="29"/>
  <c r="I7" i="29"/>
  <c r="I8" i="29"/>
  <c r="I9" i="29"/>
  <c r="I10" i="29"/>
  <c r="I11" i="29"/>
  <c r="I12" i="29"/>
  <c r="I14" i="29"/>
  <c r="I16" i="29"/>
  <c r="I18" i="29"/>
  <c r="I20" i="29"/>
  <c r="I22" i="29"/>
  <c r="I24" i="29"/>
  <c r="I26" i="29"/>
  <c r="I28" i="29"/>
  <c r="I30" i="29"/>
  <c r="I19" i="29"/>
  <c r="I27" i="29"/>
  <c r="I13" i="29"/>
  <c r="I15" i="29"/>
  <c r="I17" i="29"/>
  <c r="I21" i="29"/>
  <c r="I23" i="29"/>
  <c r="I25" i="29"/>
  <c r="I29" i="29"/>
  <c r="AH10" i="43"/>
  <c r="AH46" i="43" s="1"/>
  <c r="AH24" i="43"/>
  <c r="AH4" i="43"/>
  <c r="AH40" i="43" s="1"/>
  <c r="AH28" i="43"/>
  <c r="AH43" i="43" s="1"/>
  <c r="AH20" i="43"/>
  <c r="AH2" i="43"/>
  <c r="AH38" i="43" s="1"/>
  <c r="AH14" i="43"/>
  <c r="AH34" i="43" s="1"/>
  <c r="AH8" i="43"/>
  <c r="AH41" i="43" s="1"/>
  <c r="AH27" i="43"/>
  <c r="AH30" i="43"/>
  <c r="AH35" i="43" s="1"/>
  <c r="AH22" i="43"/>
  <c r="AH37" i="43" s="1"/>
  <c r="AH6" i="43"/>
  <c r="AH47" i="43" s="1"/>
  <c r="AH29" i="43"/>
  <c r="AH16" i="43"/>
  <c r="AH23" i="43"/>
  <c r="AH17" i="43"/>
  <c r="AH13" i="43"/>
  <c r="AH33" i="43" s="1"/>
  <c r="AH9" i="43"/>
  <c r="AH5" i="43"/>
  <c r="AH19" i="43"/>
  <c r="AH42" i="43" s="1"/>
  <c r="AH7" i="43"/>
  <c r="AH26" i="43"/>
  <c r="AH36" i="43" s="1"/>
  <c r="AH18" i="43"/>
  <c r="AH25" i="43"/>
  <c r="AH21" i="43"/>
  <c r="AH12" i="43"/>
  <c r="AH15" i="43"/>
  <c r="AH44" i="43" s="1"/>
  <c r="AH3" i="43"/>
  <c r="AH32" i="43" s="1"/>
  <c r="AH31" i="43" s="1"/>
  <c r="AH11" i="43"/>
  <c r="AH39" i="43" s="1"/>
  <c r="AH5" i="30"/>
  <c r="AH9" i="30"/>
  <c r="AH13" i="30"/>
  <c r="AH33" i="30" s="1"/>
  <c r="AH17" i="30"/>
  <c r="AH20" i="30"/>
  <c r="AH22" i="30"/>
  <c r="AH37" i="30" s="1"/>
  <c r="AH28" i="30"/>
  <c r="AH43" i="30" s="1"/>
  <c r="AH30" i="30"/>
  <c r="AH35" i="30" s="1"/>
  <c r="AH19" i="30"/>
  <c r="AH42" i="30" s="1"/>
  <c r="AH21" i="30"/>
  <c r="AH27" i="30"/>
  <c r="AH2" i="30"/>
  <c r="AH38" i="30" s="1"/>
  <c r="AH4" i="30"/>
  <c r="AH40" i="30" s="1"/>
  <c r="AH8" i="30"/>
  <c r="AH41" i="30" s="1"/>
  <c r="AH12" i="30"/>
  <c r="AH16" i="30"/>
  <c r="AH23" i="30"/>
  <c r="AH25" i="30"/>
  <c r="AH14" i="30"/>
  <c r="AH34" i="30" s="1"/>
  <c r="AH29" i="30"/>
  <c r="AH3" i="30"/>
  <c r="AH32" i="30" s="1"/>
  <c r="AH7" i="30"/>
  <c r="AH11" i="30"/>
  <c r="AH39" i="30" s="1"/>
  <c r="AH15" i="30"/>
  <c r="AH44" i="30" s="1"/>
  <c r="AH18" i="30"/>
  <c r="AH24" i="30"/>
  <c r="AH26" i="30"/>
  <c r="AH36" i="30" s="1"/>
  <c r="AH6" i="30"/>
  <c r="AH47" i="30" s="1"/>
  <c r="AH10" i="30"/>
  <c r="AH46" i="30" s="1"/>
  <c r="AK30" i="42"/>
  <c r="AK35" i="42" s="1"/>
  <c r="AK29" i="42"/>
  <c r="AK28" i="42"/>
  <c r="AK43" i="42" s="1"/>
  <c r="AK27" i="42"/>
  <c r="AK26" i="42"/>
  <c r="AK36" i="42" s="1"/>
  <c r="AK25" i="42"/>
  <c r="AK24" i="42"/>
  <c r="AK23" i="42"/>
  <c r="AK22" i="42"/>
  <c r="AK37" i="42" s="1"/>
  <c r="AK21" i="42"/>
  <c r="AK20" i="42"/>
  <c r="AK19" i="42"/>
  <c r="AK42" i="42" s="1"/>
  <c r="AK18" i="42"/>
  <c r="AK17" i="42"/>
  <c r="AK16" i="42"/>
  <c r="AK15" i="42"/>
  <c r="AK44" i="42" s="1"/>
  <c r="AK14" i="42"/>
  <c r="AK34" i="42" s="1"/>
  <c r="AK13" i="42"/>
  <c r="AK33" i="42" s="1"/>
  <c r="AK12" i="42"/>
  <c r="AK11" i="42"/>
  <c r="AK39" i="42" s="1"/>
  <c r="AK10" i="42"/>
  <c r="AK46" i="42" s="1"/>
  <c r="AK9" i="42"/>
  <c r="AK8" i="42"/>
  <c r="AK41" i="42" s="1"/>
  <c r="AK7" i="42"/>
  <c r="AK6" i="42"/>
  <c r="AK47" i="42" s="1"/>
  <c r="AK5" i="42"/>
  <c r="AK4" i="42"/>
  <c r="AK40" i="42" s="1"/>
  <c r="AK3" i="42"/>
  <c r="AK32" i="42" s="1"/>
  <c r="AK2" i="42"/>
  <c r="AK38" i="42" s="1"/>
  <c r="L30" i="41"/>
  <c r="L29" i="41"/>
  <c r="L28" i="41"/>
  <c r="L27" i="41"/>
  <c r="L26" i="41"/>
  <c r="L25" i="41"/>
  <c r="L24" i="41"/>
  <c r="L23" i="41"/>
  <c r="L22" i="41"/>
  <c r="L21" i="41"/>
  <c r="L20" i="41"/>
  <c r="L19" i="41"/>
  <c r="L18" i="41"/>
  <c r="L17" i="41"/>
  <c r="L16" i="41"/>
  <c r="L15" i="41"/>
  <c r="L14" i="41"/>
  <c r="L13" i="41"/>
  <c r="L12" i="41"/>
  <c r="L11" i="41"/>
  <c r="L10" i="41"/>
  <c r="L9" i="41"/>
  <c r="L8" i="41"/>
  <c r="L7" i="41"/>
  <c r="L6" i="41"/>
  <c r="L5" i="41"/>
  <c r="L4" i="41"/>
  <c r="L3" i="41"/>
  <c r="L2" i="41"/>
  <c r="L2" i="29"/>
  <c r="L38" i="29" s="1"/>
  <c r="L4" i="29"/>
  <c r="L6" i="29"/>
  <c r="L8" i="29"/>
  <c r="L10" i="29"/>
  <c r="L12" i="29"/>
  <c r="L13" i="29"/>
  <c r="L14" i="29"/>
  <c r="L15" i="29"/>
  <c r="L16" i="29"/>
  <c r="L17" i="29"/>
  <c r="L18" i="29"/>
  <c r="L19" i="29"/>
  <c r="L20" i="29"/>
  <c r="L21" i="29"/>
  <c r="L22" i="29"/>
  <c r="L23" i="29"/>
  <c r="L24" i="29"/>
  <c r="L25" i="29"/>
  <c r="L26" i="29"/>
  <c r="L27" i="29"/>
  <c r="L28" i="29"/>
  <c r="L29" i="29"/>
  <c r="L30" i="29"/>
  <c r="L3" i="29"/>
  <c r="L9" i="29"/>
  <c r="L5" i="29"/>
  <c r="L7" i="29"/>
  <c r="L11" i="29"/>
  <c r="AK14" i="43"/>
  <c r="AK34" i="43" s="1"/>
  <c r="AK27" i="43"/>
  <c r="AK11" i="43"/>
  <c r="AK39" i="43" s="1"/>
  <c r="AK4" i="43"/>
  <c r="AK40" i="43" s="1"/>
  <c r="AK23" i="43"/>
  <c r="AK6" i="43"/>
  <c r="AK47" i="43" s="1"/>
  <c r="AK7" i="43"/>
  <c r="AK18" i="43"/>
  <c r="AK28" i="43"/>
  <c r="AK43" i="43" s="1"/>
  <c r="AK20" i="43"/>
  <c r="AK12" i="43"/>
  <c r="AK21" i="43"/>
  <c r="AK15" i="43"/>
  <c r="AK44" i="43" s="1"/>
  <c r="AK29" i="43"/>
  <c r="AK8" i="43"/>
  <c r="AK41" i="43" s="1"/>
  <c r="AK24" i="43"/>
  <c r="AK16" i="43"/>
  <c r="AK30" i="43"/>
  <c r="AK35" i="43" s="1"/>
  <c r="AK22" i="43"/>
  <c r="AK37" i="43" s="1"/>
  <c r="AK17" i="43"/>
  <c r="AK13" i="43"/>
  <c r="AK33" i="43" s="1"/>
  <c r="AK9" i="43"/>
  <c r="AK5" i="43"/>
  <c r="AK19" i="43"/>
  <c r="AK42" i="43" s="1"/>
  <c r="AK26" i="43"/>
  <c r="AK36" i="43" s="1"/>
  <c r="AK25" i="43"/>
  <c r="AK3" i="43"/>
  <c r="AK32" i="43" s="1"/>
  <c r="AK31" i="43" s="1"/>
  <c r="AK2" i="43"/>
  <c r="AK38" i="43" s="1"/>
  <c r="AK10" i="43"/>
  <c r="AK46" i="43" s="1"/>
  <c r="AK4" i="30"/>
  <c r="AK40" i="30" s="1"/>
  <c r="AK8" i="30"/>
  <c r="AK41" i="30" s="1"/>
  <c r="AK12" i="30"/>
  <c r="AK16" i="30"/>
  <c r="AK23" i="30"/>
  <c r="AK25" i="30"/>
  <c r="AK5" i="30"/>
  <c r="AK9" i="30"/>
  <c r="AK17" i="30"/>
  <c r="AK20" i="30"/>
  <c r="AK28" i="30"/>
  <c r="AK43" i="30" s="1"/>
  <c r="AK30" i="30"/>
  <c r="AK35" i="30" s="1"/>
  <c r="AK3" i="30"/>
  <c r="AK32" i="30" s="1"/>
  <c r="AK7" i="30"/>
  <c r="AK11" i="30"/>
  <c r="AK39" i="30" s="1"/>
  <c r="AK15" i="30"/>
  <c r="AK44" i="30" s="1"/>
  <c r="AK18" i="30"/>
  <c r="AK24" i="30"/>
  <c r="AK26" i="30"/>
  <c r="AK36" i="30" s="1"/>
  <c r="AK22" i="30"/>
  <c r="AK37" i="30" s="1"/>
  <c r="AK6" i="30"/>
  <c r="AK47" i="30" s="1"/>
  <c r="AK10" i="30"/>
  <c r="AK46" i="30" s="1"/>
  <c r="AK45" i="30" s="1"/>
  <c r="AK14" i="30"/>
  <c r="AK34" i="30" s="1"/>
  <c r="AK19" i="30"/>
  <c r="AK42" i="30" s="1"/>
  <c r="AK21" i="30"/>
  <c r="AK27" i="30"/>
  <c r="AK29" i="30"/>
  <c r="AK2" i="30"/>
  <c r="AK38" i="30" s="1"/>
  <c r="AK13" i="30"/>
  <c r="AK33" i="30" s="1"/>
  <c r="AO30" i="42"/>
  <c r="AO35" i="42" s="1"/>
  <c r="AO29" i="42"/>
  <c r="AO28" i="42"/>
  <c r="AO43" i="42" s="1"/>
  <c r="AO27" i="42"/>
  <c r="AO26" i="42"/>
  <c r="AO36" i="42" s="1"/>
  <c r="AO25" i="42"/>
  <c r="AO24" i="42"/>
  <c r="AO23" i="42"/>
  <c r="AO22" i="42"/>
  <c r="AO37" i="42" s="1"/>
  <c r="AO21" i="42"/>
  <c r="AO20" i="42"/>
  <c r="AO19" i="42"/>
  <c r="AO42" i="42" s="1"/>
  <c r="AO18" i="42"/>
  <c r="AO17" i="42"/>
  <c r="AO16" i="42"/>
  <c r="AO15" i="42"/>
  <c r="AO44" i="42" s="1"/>
  <c r="AO14" i="42"/>
  <c r="AO34" i="42" s="1"/>
  <c r="AO13" i="42"/>
  <c r="AO33" i="42" s="1"/>
  <c r="AO12" i="42"/>
  <c r="AO11" i="42"/>
  <c r="AO39" i="42" s="1"/>
  <c r="AO10" i="42"/>
  <c r="AO46" i="42" s="1"/>
  <c r="AO9" i="42"/>
  <c r="AO8" i="42"/>
  <c r="AO41" i="42" s="1"/>
  <c r="AO7" i="42"/>
  <c r="AO6" i="42"/>
  <c r="AO47" i="42" s="1"/>
  <c r="AO5" i="42"/>
  <c r="AO4" i="42"/>
  <c r="AO40" i="42" s="1"/>
  <c r="AO3" i="42"/>
  <c r="AO32" i="42" s="1"/>
  <c r="AO2" i="42"/>
  <c r="AO38" i="42" s="1"/>
  <c r="P30" i="41"/>
  <c r="P28" i="41"/>
  <c r="P26" i="41"/>
  <c r="P24" i="41"/>
  <c r="P22" i="41"/>
  <c r="P20" i="41"/>
  <c r="P18" i="41"/>
  <c r="P16" i="41"/>
  <c r="P14" i="41"/>
  <c r="P12" i="41"/>
  <c r="P10" i="41"/>
  <c r="P8" i="41"/>
  <c r="P6" i="41"/>
  <c r="P4" i="41"/>
  <c r="P2" i="41"/>
  <c r="P3" i="29"/>
  <c r="P5" i="29"/>
  <c r="P6" i="29"/>
  <c r="P8" i="29"/>
  <c r="P10" i="29"/>
  <c r="P12" i="29"/>
  <c r="P29" i="41"/>
  <c r="P27" i="41"/>
  <c r="P25" i="41"/>
  <c r="P23" i="41"/>
  <c r="P21" i="41"/>
  <c r="P19" i="41"/>
  <c r="P17" i="41"/>
  <c r="P15" i="41"/>
  <c r="P13" i="41"/>
  <c r="P11" i="41"/>
  <c r="P9" i="41"/>
  <c r="P7" i="41"/>
  <c r="P5" i="41"/>
  <c r="P3" i="41"/>
  <c r="P2" i="29"/>
  <c r="P38" i="29" s="1"/>
  <c r="P4" i="29"/>
  <c r="P7" i="29"/>
  <c r="P9" i="29"/>
  <c r="P11" i="29"/>
  <c r="P13" i="29"/>
  <c r="P14" i="29"/>
  <c r="P15" i="29"/>
  <c r="P16" i="29"/>
  <c r="P17" i="29"/>
  <c r="P18" i="29"/>
  <c r="P19" i="29"/>
  <c r="P20" i="29"/>
  <c r="P21" i="29"/>
  <c r="P22" i="29"/>
  <c r="P23" i="29"/>
  <c r="P24" i="29"/>
  <c r="P25" i="29"/>
  <c r="P26" i="29"/>
  <c r="P27" i="29"/>
  <c r="P28" i="29"/>
  <c r="P29" i="29"/>
  <c r="P30" i="29"/>
  <c r="AO2" i="43"/>
  <c r="AO38" i="43" s="1"/>
  <c r="AO26" i="43"/>
  <c r="AO36" i="43" s="1"/>
  <c r="AO21" i="43"/>
  <c r="AO15" i="43"/>
  <c r="AO44" i="43" s="1"/>
  <c r="AO27" i="43"/>
  <c r="AO4" i="43"/>
  <c r="AO40" i="43" s="1"/>
  <c r="AO30" i="43"/>
  <c r="AO35" i="43" s="1"/>
  <c r="AO13" i="43"/>
  <c r="AO33" i="43" s="1"/>
  <c r="AO5" i="43"/>
  <c r="AO19" i="43"/>
  <c r="AO42" i="43" s="1"/>
  <c r="AO22" i="43"/>
  <c r="AO37" i="43" s="1"/>
  <c r="AO6" i="43"/>
  <c r="AO47" i="43" s="1"/>
  <c r="AO17" i="43"/>
  <c r="AO14" i="43"/>
  <c r="AO34" i="43" s="1"/>
  <c r="AO18" i="43"/>
  <c r="AO25" i="43"/>
  <c r="AO28" i="43"/>
  <c r="AO43" i="43" s="1"/>
  <c r="AO20" i="43"/>
  <c r="AO12" i="43"/>
  <c r="AO3" i="43"/>
  <c r="AO32" i="43" s="1"/>
  <c r="AO8" i="43"/>
  <c r="AO41" i="43" s="1"/>
  <c r="AO11" i="43"/>
  <c r="AO39" i="43" s="1"/>
  <c r="AO10" i="43"/>
  <c r="AO46" i="43" s="1"/>
  <c r="AO45" i="43" s="1"/>
  <c r="AO29" i="43"/>
  <c r="AO24" i="43"/>
  <c r="AO16" i="43"/>
  <c r="AO23" i="43"/>
  <c r="AO9" i="43"/>
  <c r="AO7" i="43"/>
  <c r="AO4" i="30"/>
  <c r="AO40" i="30" s="1"/>
  <c r="AO8" i="30"/>
  <c r="AO41" i="30" s="1"/>
  <c r="AO12" i="30"/>
  <c r="AO16" i="30"/>
  <c r="AO23" i="30"/>
  <c r="AO25" i="30"/>
  <c r="AO26" i="30"/>
  <c r="AO36" i="30" s="1"/>
  <c r="AO13" i="30"/>
  <c r="AO33" i="30" s="1"/>
  <c r="AO3" i="30"/>
  <c r="AO32" i="30" s="1"/>
  <c r="AO7" i="30"/>
  <c r="AO11" i="30"/>
  <c r="AO39" i="30" s="1"/>
  <c r="AO15" i="30"/>
  <c r="AO44" i="30" s="1"/>
  <c r="AO18" i="30"/>
  <c r="AO24" i="30"/>
  <c r="AO6" i="30"/>
  <c r="AO47" i="30" s="1"/>
  <c r="AO10" i="30"/>
  <c r="AO46" i="30" s="1"/>
  <c r="AO45" i="30" s="1"/>
  <c r="AO14" i="30"/>
  <c r="AO34" i="30" s="1"/>
  <c r="AO19" i="30"/>
  <c r="AO42" i="30" s="1"/>
  <c r="AO21" i="30"/>
  <c r="AO27" i="30"/>
  <c r="AO29" i="30"/>
  <c r="AO2" i="30"/>
  <c r="AO38" i="30" s="1"/>
  <c r="AO5" i="30"/>
  <c r="AO9" i="30"/>
  <c r="AO17" i="30"/>
  <c r="AO20" i="30"/>
  <c r="AO22" i="30"/>
  <c r="AO37" i="30" s="1"/>
  <c r="AO28" i="30"/>
  <c r="AO43" i="30" s="1"/>
  <c r="AO30" i="30"/>
  <c r="AO35" i="30" s="1"/>
  <c r="AS30" i="42"/>
  <c r="AS35" i="42" s="1"/>
  <c r="AS29" i="42"/>
  <c r="AS28" i="42"/>
  <c r="AS43" i="42" s="1"/>
  <c r="AS27" i="42"/>
  <c r="AS26" i="42"/>
  <c r="AS36" i="42" s="1"/>
  <c r="AS25" i="42"/>
  <c r="AS24" i="42"/>
  <c r="AS23" i="42"/>
  <c r="AS22" i="42"/>
  <c r="AS37" i="42" s="1"/>
  <c r="AS21" i="42"/>
  <c r="AS20" i="42"/>
  <c r="AS19" i="42"/>
  <c r="AS42" i="42" s="1"/>
  <c r="AS4" i="42"/>
  <c r="AS40" i="42" s="1"/>
  <c r="AS3" i="42"/>
  <c r="AS32" i="42" s="1"/>
  <c r="AS2" i="42"/>
  <c r="AS38" i="42" s="1"/>
  <c r="AS18" i="42"/>
  <c r="AS16" i="42"/>
  <c r="AS14" i="42"/>
  <c r="AS34" i="42" s="1"/>
  <c r="AS12" i="42"/>
  <c r="AS10" i="42"/>
  <c r="AS46" i="42" s="1"/>
  <c r="AS45" i="42" s="1"/>
  <c r="AS8" i="42"/>
  <c r="AS41" i="42" s="1"/>
  <c r="AS6" i="42"/>
  <c r="AS47" i="42" s="1"/>
  <c r="AS17" i="42"/>
  <c r="AS15" i="42"/>
  <c r="AS44" i="42" s="1"/>
  <c r="AS13" i="42"/>
  <c r="AS33" i="42" s="1"/>
  <c r="AS11" i="42"/>
  <c r="AS39" i="42" s="1"/>
  <c r="AS9" i="42"/>
  <c r="AS7" i="42"/>
  <c r="AS5" i="42"/>
  <c r="T30" i="41"/>
  <c r="T29" i="41"/>
  <c r="T28" i="41"/>
  <c r="T27" i="41"/>
  <c r="T26" i="41"/>
  <c r="T25" i="41"/>
  <c r="T24" i="41"/>
  <c r="T23" i="41"/>
  <c r="T22" i="41"/>
  <c r="T21" i="41"/>
  <c r="T20" i="41"/>
  <c r="T19" i="41"/>
  <c r="T18" i="41"/>
  <c r="T17" i="41"/>
  <c r="T16" i="41"/>
  <c r="T15" i="41"/>
  <c r="T14" i="41"/>
  <c r="T13" i="41"/>
  <c r="T12" i="41"/>
  <c r="T11" i="41"/>
  <c r="T10" i="41"/>
  <c r="T9" i="41"/>
  <c r="T8" i="41"/>
  <c r="T7" i="41"/>
  <c r="T6" i="41"/>
  <c r="T5" i="41"/>
  <c r="T4" i="41"/>
  <c r="T3" i="41"/>
  <c r="T2" i="41"/>
  <c r="T3" i="29"/>
  <c r="T5" i="29"/>
  <c r="T7" i="29"/>
  <c r="T9" i="29"/>
  <c r="T11" i="29"/>
  <c r="T13" i="29"/>
  <c r="T14" i="29"/>
  <c r="T15" i="29"/>
  <c r="T16" i="29"/>
  <c r="T17" i="29"/>
  <c r="T18" i="29"/>
  <c r="T19" i="29"/>
  <c r="T20" i="29"/>
  <c r="T21" i="29"/>
  <c r="T22" i="29"/>
  <c r="T23" i="29"/>
  <c r="T24" i="29"/>
  <c r="T25" i="29"/>
  <c r="T26" i="29"/>
  <c r="T27" i="29"/>
  <c r="T28" i="29"/>
  <c r="T29" i="29"/>
  <c r="T30" i="29"/>
  <c r="T2" i="29"/>
  <c r="T38" i="29" s="1"/>
  <c r="T8" i="29"/>
  <c r="T10" i="29"/>
  <c r="T4" i="29"/>
  <c r="T6" i="29"/>
  <c r="T12" i="29"/>
  <c r="AS30" i="43"/>
  <c r="AS35" i="43" s="1"/>
  <c r="AS6" i="43"/>
  <c r="AS47" i="43" s="1"/>
  <c r="AS13" i="43"/>
  <c r="AS33" i="43" s="1"/>
  <c r="AS7" i="43"/>
  <c r="AS21" i="43"/>
  <c r="AS8" i="43"/>
  <c r="AS41" i="43" s="1"/>
  <c r="AS27" i="43"/>
  <c r="AS11" i="43"/>
  <c r="AS39" i="43" s="1"/>
  <c r="AS2" i="43"/>
  <c r="AS38" i="43" s="1"/>
  <c r="AS10" i="43"/>
  <c r="AS46" i="43" s="1"/>
  <c r="AS45" i="43" s="1"/>
  <c r="AS29" i="43"/>
  <c r="AS24" i="43"/>
  <c r="AS4" i="43"/>
  <c r="AS40" i="43" s="1"/>
  <c r="AS23" i="43"/>
  <c r="AS16" i="43"/>
  <c r="AS18" i="43"/>
  <c r="AS22" i="43"/>
  <c r="AS37" i="43" s="1"/>
  <c r="AS17" i="43"/>
  <c r="AS9" i="43"/>
  <c r="AS5" i="43"/>
  <c r="AS19" i="43"/>
  <c r="AS42" i="43" s="1"/>
  <c r="AS26" i="43"/>
  <c r="AS36" i="43" s="1"/>
  <c r="AS25" i="43"/>
  <c r="AS28" i="43"/>
  <c r="AS43" i="43" s="1"/>
  <c r="AS20" i="43"/>
  <c r="AS12" i="43"/>
  <c r="AS15" i="43"/>
  <c r="AS44" i="43" s="1"/>
  <c r="AS3" i="43"/>
  <c r="AS32" i="43" s="1"/>
  <c r="AS14" i="43"/>
  <c r="AS34" i="43" s="1"/>
  <c r="AS4" i="30"/>
  <c r="AS40" i="30" s="1"/>
  <c r="AS8" i="30"/>
  <c r="AS41" i="30" s="1"/>
  <c r="AS12" i="30"/>
  <c r="AS16" i="30"/>
  <c r="AS23" i="30"/>
  <c r="AS25" i="30"/>
  <c r="AS24" i="30"/>
  <c r="AS17" i="30"/>
  <c r="AS22" i="30"/>
  <c r="AS37" i="30" s="1"/>
  <c r="AS3" i="30"/>
  <c r="AS32" i="30" s="1"/>
  <c r="AS7" i="30"/>
  <c r="AS11" i="30"/>
  <c r="AS39" i="30" s="1"/>
  <c r="AS15" i="30"/>
  <c r="AS44" i="30" s="1"/>
  <c r="AS18" i="30"/>
  <c r="AS26" i="30"/>
  <c r="AS36" i="30" s="1"/>
  <c r="AS5" i="30"/>
  <c r="AS9" i="30"/>
  <c r="AS13" i="30"/>
  <c r="AS33" i="30" s="1"/>
  <c r="AS20" i="30"/>
  <c r="AS28" i="30"/>
  <c r="AS43" i="30" s="1"/>
  <c r="AS30" i="30"/>
  <c r="AS35" i="30" s="1"/>
  <c r="AS6" i="30"/>
  <c r="AS47" i="30" s="1"/>
  <c r="AS10" i="30"/>
  <c r="AS46" i="30" s="1"/>
  <c r="AS45" i="30" s="1"/>
  <c r="AS14" i="30"/>
  <c r="AS34" i="30" s="1"/>
  <c r="AS19" i="30"/>
  <c r="AS42" i="30" s="1"/>
  <c r="AS21" i="30"/>
  <c r="AS27" i="30"/>
  <c r="AS29" i="30"/>
  <c r="AS2" i="30"/>
  <c r="AS38" i="30" s="1"/>
  <c r="AV30" i="42"/>
  <c r="AV35" i="42" s="1"/>
  <c r="AV29" i="42"/>
  <c r="AV28" i="42"/>
  <c r="AV43" i="42" s="1"/>
  <c r="AV27" i="42"/>
  <c r="AV26" i="42"/>
  <c r="AV36" i="42" s="1"/>
  <c r="AV25" i="42"/>
  <c r="AV24" i="42"/>
  <c r="AV23" i="42"/>
  <c r="AV22" i="42"/>
  <c r="AV37" i="42" s="1"/>
  <c r="AV21" i="42"/>
  <c r="AV20" i="42"/>
  <c r="AV19" i="42"/>
  <c r="AV42" i="42" s="1"/>
  <c r="AV18" i="42"/>
  <c r="AV17" i="42"/>
  <c r="AV16" i="42"/>
  <c r="AV15" i="42"/>
  <c r="AV44" i="42" s="1"/>
  <c r="AV14" i="42"/>
  <c r="AV34" i="42" s="1"/>
  <c r="AV13" i="42"/>
  <c r="AV33" i="42" s="1"/>
  <c r="AV12" i="42"/>
  <c r="AV11" i="42"/>
  <c r="AV39" i="42" s="1"/>
  <c r="AV10" i="42"/>
  <c r="AV46" i="42" s="1"/>
  <c r="AV9" i="42"/>
  <c r="AV8" i="42"/>
  <c r="AV41" i="42" s="1"/>
  <c r="AV7" i="42"/>
  <c r="AV6" i="42"/>
  <c r="AV47" i="42" s="1"/>
  <c r="AV5" i="42"/>
  <c r="AV4" i="42"/>
  <c r="AV40" i="42" s="1"/>
  <c r="AV3" i="42"/>
  <c r="AV32" i="42" s="1"/>
  <c r="AV2" i="42"/>
  <c r="AV38" i="42" s="1"/>
  <c r="W30" i="41"/>
  <c r="W29" i="41"/>
  <c r="W28" i="41"/>
  <c r="W27" i="41"/>
  <c r="W26" i="41"/>
  <c r="W25" i="41"/>
  <c r="W24" i="41"/>
  <c r="W23" i="41"/>
  <c r="W22" i="41"/>
  <c r="W21" i="41"/>
  <c r="W20" i="41"/>
  <c r="W19" i="41"/>
  <c r="W18" i="41"/>
  <c r="W17" i="41"/>
  <c r="W16" i="41"/>
  <c r="W15" i="41"/>
  <c r="W14" i="41"/>
  <c r="W13" i="41"/>
  <c r="W12" i="41"/>
  <c r="W11" i="41"/>
  <c r="W10" i="41"/>
  <c r="W9" i="41"/>
  <c r="W8" i="41"/>
  <c r="W7" i="41"/>
  <c r="W6" i="41"/>
  <c r="W5" i="41"/>
  <c r="W4" i="41"/>
  <c r="W3" i="41"/>
  <c r="W2" i="41"/>
  <c r="W2" i="29"/>
  <c r="W38" i="29" s="1"/>
  <c r="W3" i="29"/>
  <c r="W4" i="29"/>
  <c r="W5" i="29"/>
  <c r="W6" i="29"/>
  <c r="W8" i="29"/>
  <c r="W10" i="29"/>
  <c r="W12" i="29"/>
  <c r="W13" i="29"/>
  <c r="W14" i="29"/>
  <c r="W15" i="29"/>
  <c r="W16" i="29"/>
  <c r="W17" i="29"/>
  <c r="W18" i="29"/>
  <c r="W19" i="29"/>
  <c r="W20" i="29"/>
  <c r="W21" i="29"/>
  <c r="W22" i="29"/>
  <c r="W23" i="29"/>
  <c r="W24" i="29"/>
  <c r="W25" i="29"/>
  <c r="W26" i="29"/>
  <c r="W27" i="29"/>
  <c r="W28" i="29"/>
  <c r="W29" i="29"/>
  <c r="W30" i="29"/>
  <c r="W11" i="29"/>
  <c r="W9" i="29"/>
  <c r="W7" i="29"/>
  <c r="AV30" i="43"/>
  <c r="AV35" i="43" s="1"/>
  <c r="AV6" i="43"/>
  <c r="AV47" i="43" s="1"/>
  <c r="AV13" i="43"/>
  <c r="AV33" i="43" s="1"/>
  <c r="AV7" i="43"/>
  <c r="AV21" i="43"/>
  <c r="AV8" i="43"/>
  <c r="AV41" i="43" s="1"/>
  <c r="AV27" i="43"/>
  <c r="AV11" i="43"/>
  <c r="AV39" i="43" s="1"/>
  <c r="AV10" i="43"/>
  <c r="AV46" i="43" s="1"/>
  <c r="AV45" i="43" s="1"/>
  <c r="AV2" i="43"/>
  <c r="AV38" i="43" s="1"/>
  <c r="AV29" i="43"/>
  <c r="AV24" i="43"/>
  <c r="AV4" i="43"/>
  <c r="AV40" i="43" s="1"/>
  <c r="AV23" i="43"/>
  <c r="AV16" i="43"/>
  <c r="AV26" i="43"/>
  <c r="AV36" i="43" s="1"/>
  <c r="AV18" i="43"/>
  <c r="AV22" i="43"/>
  <c r="AV37" i="43" s="1"/>
  <c r="AV17" i="43"/>
  <c r="AV9" i="43"/>
  <c r="AV5" i="43"/>
  <c r="AV19" i="43"/>
  <c r="AV42" i="43" s="1"/>
  <c r="AV25" i="43"/>
  <c r="AV28" i="43"/>
  <c r="AV43" i="43" s="1"/>
  <c r="AV20" i="43"/>
  <c r="AV12" i="43"/>
  <c r="AV15" i="43"/>
  <c r="AV44" i="43" s="1"/>
  <c r="AV3" i="43"/>
  <c r="AV32" i="43" s="1"/>
  <c r="AV31" i="43" s="1"/>
  <c r="AV14" i="43"/>
  <c r="AV34" i="43" s="1"/>
  <c r="AV3" i="30"/>
  <c r="AV32" i="30" s="1"/>
  <c r="AV7" i="30"/>
  <c r="AV11" i="30"/>
  <c r="AV39" i="30" s="1"/>
  <c r="AV15" i="30"/>
  <c r="AV44" i="30" s="1"/>
  <c r="AV18" i="30"/>
  <c r="AV24" i="30"/>
  <c r="AV26" i="30"/>
  <c r="AV36" i="30" s="1"/>
  <c r="AV27" i="30"/>
  <c r="AV16" i="30"/>
  <c r="AV6" i="30"/>
  <c r="AV47" i="30" s="1"/>
  <c r="AV10" i="30"/>
  <c r="AV46" i="30" s="1"/>
  <c r="AV45" i="30" s="1"/>
  <c r="AV14" i="30"/>
  <c r="AV34" i="30" s="1"/>
  <c r="AV19" i="30"/>
  <c r="AV42" i="30" s="1"/>
  <c r="AV21" i="30"/>
  <c r="AV29" i="30"/>
  <c r="AV2" i="30"/>
  <c r="AV38" i="30" s="1"/>
  <c r="AV4" i="30"/>
  <c r="AV40" i="30" s="1"/>
  <c r="AV8" i="30"/>
  <c r="AV41" i="30" s="1"/>
  <c r="AV12" i="30"/>
  <c r="AV23" i="30"/>
  <c r="AV25" i="30"/>
  <c r="AV5" i="30"/>
  <c r="AV9" i="30"/>
  <c r="AV13" i="30"/>
  <c r="AV33" i="30" s="1"/>
  <c r="AV17" i="30"/>
  <c r="AV20" i="30"/>
  <c r="AV22" i="30"/>
  <c r="AV37" i="30" s="1"/>
  <c r="AV28" i="30"/>
  <c r="AV43" i="30" s="1"/>
  <c r="AV30" i="30"/>
  <c r="AV35" i="30" s="1"/>
  <c r="E29" i="20"/>
  <c r="C57" i="20"/>
  <c r="E57" i="20" s="1"/>
  <c r="C71" i="20"/>
  <c r="E71" i="20" s="1"/>
  <c r="E16" i="45"/>
  <c r="C72" i="45"/>
  <c r="E72" i="45" s="1"/>
  <c r="C58" i="45"/>
  <c r="E58" i="45" s="1"/>
  <c r="E23" i="45"/>
  <c r="C49" i="45"/>
  <c r="C55" i="45"/>
  <c r="E55" i="45" s="1"/>
  <c r="E24" i="45"/>
  <c r="C69" i="45"/>
  <c r="E69" i="45" s="1"/>
  <c r="E3" i="45"/>
  <c r="C32" i="45"/>
  <c r="C54" i="20"/>
  <c r="E54" i="20" s="1"/>
  <c r="C68" i="20"/>
  <c r="E68" i="20" s="1"/>
  <c r="E9" i="20"/>
  <c r="C60" i="45"/>
  <c r="E60" i="45" s="1"/>
  <c r="E12" i="45"/>
  <c r="C74" i="45"/>
  <c r="E74" i="45" s="1"/>
  <c r="C47" i="20"/>
  <c r="E47" i="20" s="1"/>
  <c r="E6" i="20"/>
  <c r="C37" i="20"/>
  <c r="E37" i="20" s="1"/>
  <c r="E22" i="20"/>
  <c r="C68" i="45"/>
  <c r="E68" i="45" s="1"/>
  <c r="C54" i="45"/>
  <c r="E54" i="45" s="1"/>
  <c r="E9" i="45"/>
  <c r="E25" i="45"/>
  <c r="C64" i="45"/>
  <c r="E64" i="45" s="1"/>
  <c r="C50" i="45"/>
  <c r="E50" i="45" s="1"/>
  <c r="E11" i="20"/>
  <c r="C39" i="20"/>
  <c r="E39" i="20" s="1"/>
  <c r="C76" i="20"/>
  <c r="E76" i="20" s="1"/>
  <c r="E27" i="20"/>
  <c r="C62" i="20"/>
  <c r="E62" i="20" s="1"/>
  <c r="E14" i="45"/>
  <c r="C34" i="45"/>
  <c r="E34" i="45" s="1"/>
  <c r="E30" i="45"/>
  <c r="C35" i="45"/>
  <c r="E35" i="45" s="1"/>
  <c r="H9" i="37"/>
  <c r="AJ42" i="37"/>
  <c r="AH42" i="37"/>
  <c r="H2" i="37"/>
  <c r="H38" i="37" s="1"/>
  <c r="K38" i="37" s="1"/>
  <c r="AJ41" i="37"/>
  <c r="AH41" i="37"/>
  <c r="AC33" i="37"/>
  <c r="AE33" i="37" s="1"/>
  <c r="AE13" i="37"/>
  <c r="H18" i="37"/>
  <c r="AF69" i="37"/>
  <c r="AF55" i="37"/>
  <c r="AC38" i="37"/>
  <c r="AE38" i="37" s="1"/>
  <c r="AE2" i="37"/>
  <c r="H7" i="37"/>
  <c r="AH33" i="37"/>
  <c r="AJ33" i="37"/>
  <c r="AC61" i="37"/>
  <c r="AC75" i="37"/>
  <c r="AE18" i="37"/>
  <c r="H23" i="37"/>
  <c r="H49" i="37" s="1"/>
  <c r="AH32" i="37"/>
  <c r="AH31" i="37"/>
  <c r="AJ31" i="37"/>
  <c r="AJ32" i="37"/>
  <c r="H17" i="37"/>
  <c r="H30" i="37"/>
  <c r="H35" i="37" s="1"/>
  <c r="K35" i="37" s="1"/>
  <c r="AH47" i="37"/>
  <c r="AJ47" i="37"/>
  <c r="AC39" i="37"/>
  <c r="AE39" i="37" s="1"/>
  <c r="AE11" i="37"/>
  <c r="H16" i="37"/>
  <c r="AJ37" i="37"/>
  <c r="AH37" i="37"/>
  <c r="AF62" i="37"/>
  <c r="AF76" i="37"/>
  <c r="AE27" i="37"/>
  <c r="AC76" i="37"/>
  <c r="AC62" i="37"/>
  <c r="D2" i="37"/>
  <c r="D38" i="37" s="1"/>
  <c r="D6" i="37"/>
  <c r="D47" i="37" s="1"/>
  <c r="D10" i="37"/>
  <c r="D46" i="37" s="1"/>
  <c r="D14" i="37"/>
  <c r="D34" i="37" s="1"/>
  <c r="D18" i="37"/>
  <c r="D22" i="37"/>
  <c r="D37" i="37" s="1"/>
  <c r="D26" i="37"/>
  <c r="D36" i="37" s="1"/>
  <c r="D30" i="37"/>
  <c r="D35" i="37" s="1"/>
  <c r="AF61" i="16"/>
  <c r="AF75" i="16"/>
  <c r="H18" i="16"/>
  <c r="AC37" i="16"/>
  <c r="AE37" i="16" s="1"/>
  <c r="AE22" i="16"/>
  <c r="AH38" i="16"/>
  <c r="AJ46" i="16"/>
  <c r="AH46" i="16"/>
  <c r="AJ45" i="16" s="1"/>
  <c r="AH45" i="16"/>
  <c r="AC46" i="16"/>
  <c r="AE10" i="16"/>
  <c r="H22" i="16"/>
  <c r="D12" i="16"/>
  <c r="H8" i="16"/>
  <c r="AH34" i="16"/>
  <c r="AH42" i="16"/>
  <c r="AH35" i="16"/>
  <c r="AJ35" i="16"/>
  <c r="AE16" i="16"/>
  <c r="AC72" i="16"/>
  <c r="AC58" i="16"/>
  <c r="H4" i="16"/>
  <c r="AH39" i="16"/>
  <c r="AH49" i="16"/>
  <c r="AH48" i="16"/>
  <c r="AJ49" i="16"/>
  <c r="AH36" i="16"/>
  <c r="H30" i="16"/>
  <c r="H35" i="16" s="1"/>
  <c r="K35" i="16" s="1"/>
  <c r="AC73" i="16"/>
  <c r="AC59" i="16"/>
  <c r="AE7" i="16"/>
  <c r="AC36" i="16"/>
  <c r="AE36" i="16" s="1"/>
  <c r="AE26" i="16"/>
  <c r="D8" i="16"/>
  <c r="D41" i="16" s="1"/>
  <c r="AC64" i="16"/>
  <c r="AE25" i="16"/>
  <c r="AC50" i="16"/>
  <c r="AC44" i="16"/>
  <c r="AE44" i="16" s="1"/>
  <c r="AE15" i="16"/>
  <c r="AE24" i="16"/>
  <c r="AC69" i="16"/>
  <c r="AC55" i="16"/>
  <c r="AC53" i="16"/>
  <c r="AE5" i="16"/>
  <c r="AC67" i="16"/>
  <c r="AE14" i="16"/>
  <c r="AC34" i="16"/>
  <c r="AE34" i="16" s="1"/>
  <c r="AC51" i="16"/>
  <c r="AE21" i="16"/>
  <c r="AC65" i="16"/>
  <c r="BY30" i="18"/>
  <c r="BY22" i="18"/>
  <c r="BY14" i="18"/>
  <c r="BY7" i="18"/>
  <c r="BY23" i="18"/>
  <c r="BY49" i="18" s="1"/>
  <c r="CM49" i="18" s="1"/>
  <c r="BY17" i="18"/>
  <c r="BY19" i="18"/>
  <c r="BY13" i="18"/>
  <c r="BY33" i="18" s="1"/>
  <c r="CM33" i="18" s="1"/>
  <c r="BY28" i="18"/>
  <c r="BY20" i="18"/>
  <c r="BY12" i="18"/>
  <c r="BY5" i="18"/>
  <c r="BY15" i="18"/>
  <c r="BY10" i="18"/>
  <c r="BY46" i="18" s="1"/>
  <c r="CM46" i="18" s="1"/>
  <c r="BY21" i="18"/>
  <c r="BY26" i="18"/>
  <c r="BY18" i="18"/>
  <c r="BY11" i="18"/>
  <c r="BY2" i="18"/>
  <c r="BY8" i="18"/>
  <c r="BY41" i="18" s="1"/>
  <c r="CM41" i="18" s="1"/>
  <c r="BY29" i="18"/>
  <c r="BY4" i="18"/>
  <c r="BY40" i="18" s="1"/>
  <c r="CM40" i="18" s="1"/>
  <c r="BY24" i="18"/>
  <c r="BY16" i="18"/>
  <c r="BY9" i="18"/>
  <c r="BY25" i="18"/>
  <c r="BY27" i="18"/>
  <c r="BY6" i="18"/>
  <c r="BY47" i="18" s="1"/>
  <c r="CM47" i="18" s="1"/>
  <c r="CE30" i="31"/>
  <c r="CE35" i="31" s="1"/>
  <c r="CE29" i="31"/>
  <c r="CE28" i="31"/>
  <c r="CE43" i="31" s="1"/>
  <c r="CE27" i="31"/>
  <c r="CE26" i="31"/>
  <c r="CE36" i="31" s="1"/>
  <c r="CE25" i="31"/>
  <c r="CE24" i="31"/>
  <c r="CE23" i="31"/>
  <c r="CE22" i="31"/>
  <c r="CE37" i="31" s="1"/>
  <c r="CE21" i="31"/>
  <c r="CE20" i="31"/>
  <c r="CE19" i="31"/>
  <c r="CE42" i="31" s="1"/>
  <c r="CE18" i="31"/>
  <c r="CE17" i="31"/>
  <c r="CE16" i="31"/>
  <c r="CE15" i="31"/>
  <c r="CE44" i="31" s="1"/>
  <c r="CE14" i="31"/>
  <c r="CE34" i="31" s="1"/>
  <c r="CE13" i="31"/>
  <c r="CE33" i="31" s="1"/>
  <c r="CE12" i="31"/>
  <c r="CE11" i="31"/>
  <c r="CE39" i="31" s="1"/>
  <c r="CE10" i="31"/>
  <c r="CE46" i="31" s="1"/>
  <c r="CE9" i="31"/>
  <c r="CE8" i="31"/>
  <c r="CE41" i="31" s="1"/>
  <c r="CE7" i="31"/>
  <c r="CE6" i="31"/>
  <c r="CE47" i="31" s="1"/>
  <c r="CE5" i="31"/>
  <c r="CE4" i="31"/>
  <c r="CE40" i="31" s="1"/>
  <c r="CE3" i="31"/>
  <c r="CE32" i="31" s="1"/>
  <c r="CE2" i="31"/>
  <c r="CE38" i="31" s="1"/>
  <c r="CE2" i="30"/>
  <c r="CE38" i="30" s="1"/>
  <c r="CE31" i="30" s="1"/>
  <c r="CD2" i="30"/>
  <c r="CD38" i="30" s="1"/>
  <c r="BF2" i="30"/>
  <c r="CH13" i="31"/>
  <c r="CH33" i="31" s="1"/>
  <c r="CH12" i="31"/>
  <c r="CH11" i="31"/>
  <c r="CH39" i="31" s="1"/>
  <c r="CH10" i="31"/>
  <c r="CH46" i="31" s="1"/>
  <c r="CH9" i="31"/>
  <c r="CH8" i="31"/>
  <c r="CH41" i="31" s="1"/>
  <c r="CH7" i="31"/>
  <c r="CH6" i="31"/>
  <c r="CH47" i="31" s="1"/>
  <c r="CH5" i="31"/>
  <c r="CH4" i="31"/>
  <c r="CH40" i="31" s="1"/>
  <c r="CH3" i="31"/>
  <c r="CH32" i="31" s="1"/>
  <c r="CH2" i="31"/>
  <c r="CH38" i="31" s="1"/>
  <c r="CH29" i="31"/>
  <c r="CH27" i="31"/>
  <c r="CH25" i="31"/>
  <c r="CH23" i="31"/>
  <c r="CH21" i="31"/>
  <c r="CH19" i="31"/>
  <c r="CH42" i="31" s="1"/>
  <c r="CH17" i="31"/>
  <c r="CH15" i="31"/>
  <c r="CH44" i="31" s="1"/>
  <c r="CH28" i="31"/>
  <c r="CH43" i="31" s="1"/>
  <c r="CH24" i="31"/>
  <c r="CH20" i="31"/>
  <c r="CH16" i="31"/>
  <c r="CH30" i="31"/>
  <c r="CH35" i="31" s="1"/>
  <c r="CH22" i="31"/>
  <c r="CH37" i="31" s="1"/>
  <c r="CH14" i="31"/>
  <c r="CH34" i="31" s="1"/>
  <c r="CH18" i="31"/>
  <c r="CH26" i="31"/>
  <c r="CH36" i="31" s="1"/>
  <c r="CH2" i="30"/>
  <c r="CH38" i="30" s="1"/>
  <c r="BI2" i="30"/>
  <c r="CL30" i="31"/>
  <c r="CL35" i="31" s="1"/>
  <c r="CL29" i="31"/>
  <c r="CL28" i="31"/>
  <c r="CL43" i="31" s="1"/>
  <c r="CL27" i="31"/>
  <c r="CL26" i="31"/>
  <c r="CL36" i="31" s="1"/>
  <c r="CL25" i="31"/>
  <c r="CL24" i="31"/>
  <c r="CL23" i="31"/>
  <c r="CL22" i="31"/>
  <c r="CL37" i="31" s="1"/>
  <c r="CL21" i="31"/>
  <c r="CL20" i="31"/>
  <c r="CL19" i="31"/>
  <c r="CL42" i="31" s="1"/>
  <c r="CL18" i="31"/>
  <c r="CL17" i="31"/>
  <c r="CL16" i="31"/>
  <c r="CL15" i="31"/>
  <c r="CL44" i="31" s="1"/>
  <c r="CL14" i="31"/>
  <c r="CL34" i="31" s="1"/>
  <c r="CL12" i="31"/>
  <c r="CL11" i="31"/>
  <c r="CL39" i="31" s="1"/>
  <c r="CL9" i="31"/>
  <c r="CL7" i="31"/>
  <c r="CL5" i="31"/>
  <c r="CL3" i="31"/>
  <c r="CL32" i="31" s="1"/>
  <c r="CL8" i="31"/>
  <c r="CL41" i="31" s="1"/>
  <c r="CL4" i="31"/>
  <c r="CL40" i="31" s="1"/>
  <c r="CL13" i="31"/>
  <c r="CL33" i="31" s="1"/>
  <c r="CL10" i="31"/>
  <c r="CL46" i="31" s="1"/>
  <c r="CL45" i="31" s="1"/>
  <c r="CL6" i="31"/>
  <c r="CL47" i="31" s="1"/>
  <c r="CL2" i="31"/>
  <c r="CL38" i="31" s="1"/>
  <c r="CL2" i="30"/>
  <c r="CL38" i="30" s="1"/>
  <c r="CL31" i="30" s="1"/>
  <c r="BM2" i="30"/>
  <c r="CP13" i="31"/>
  <c r="CP33" i="31" s="1"/>
  <c r="CP12" i="31"/>
  <c r="CP11" i="31"/>
  <c r="CP39" i="31" s="1"/>
  <c r="CP10" i="31"/>
  <c r="CP46" i="31" s="1"/>
  <c r="CP9" i="31"/>
  <c r="CP8" i="31"/>
  <c r="CP41" i="31" s="1"/>
  <c r="CP7" i="31"/>
  <c r="CP6" i="31"/>
  <c r="CP47" i="31" s="1"/>
  <c r="CP5" i="31"/>
  <c r="CP4" i="31"/>
  <c r="CP40" i="31" s="1"/>
  <c r="CP3" i="31"/>
  <c r="CP32" i="31" s="1"/>
  <c r="CP2" i="31"/>
  <c r="CP38" i="31" s="1"/>
  <c r="CP30" i="31"/>
  <c r="CP35" i="31" s="1"/>
  <c r="CP28" i="31"/>
  <c r="CP43" i="31" s="1"/>
  <c r="CP26" i="31"/>
  <c r="CP36" i="31" s="1"/>
  <c r="CP24" i="31"/>
  <c r="CP22" i="31"/>
  <c r="CP37" i="31" s="1"/>
  <c r="CP20" i="31"/>
  <c r="CP18" i="31"/>
  <c r="CP16" i="31"/>
  <c r="CP14" i="31"/>
  <c r="CP34" i="31" s="1"/>
  <c r="CP29" i="31"/>
  <c r="CP25" i="31"/>
  <c r="CP21" i="31"/>
  <c r="CP17" i="31"/>
  <c r="CP27" i="31"/>
  <c r="CP19" i="31"/>
  <c r="CP42" i="31" s="1"/>
  <c r="CP15" i="31"/>
  <c r="CP44" i="31" s="1"/>
  <c r="CP23" i="31"/>
  <c r="CP2" i="30"/>
  <c r="CP38" i="30" s="1"/>
  <c r="BQ2" i="30"/>
  <c r="CW30" i="31"/>
  <c r="CW35" i="31" s="1"/>
  <c r="CW29" i="31"/>
  <c r="CW28" i="31"/>
  <c r="CW43" i="31" s="1"/>
  <c r="CW27" i="31"/>
  <c r="CW26" i="31"/>
  <c r="CW36" i="31" s="1"/>
  <c r="CW25" i="31"/>
  <c r="CW24" i="31"/>
  <c r="CW23" i="31"/>
  <c r="CW22" i="31"/>
  <c r="CW37" i="31" s="1"/>
  <c r="CW21" i="31"/>
  <c r="CW20" i="31"/>
  <c r="CW19" i="31"/>
  <c r="CW42" i="31" s="1"/>
  <c r="CW18" i="31"/>
  <c r="CW17" i="31"/>
  <c r="CW16" i="31"/>
  <c r="CW15" i="31"/>
  <c r="CW44" i="31" s="1"/>
  <c r="CW14" i="31"/>
  <c r="CW34" i="31" s="1"/>
  <c r="CW13" i="31"/>
  <c r="CW33" i="31" s="1"/>
  <c r="CW12" i="31"/>
  <c r="CW11" i="31"/>
  <c r="CW39" i="31" s="1"/>
  <c r="CW10" i="31"/>
  <c r="CW46" i="31" s="1"/>
  <c r="CW9" i="31"/>
  <c r="CW8" i="31"/>
  <c r="CW41" i="31" s="1"/>
  <c r="CW7" i="31"/>
  <c r="CW6" i="31"/>
  <c r="CW47" i="31" s="1"/>
  <c r="CW5" i="31"/>
  <c r="CW4" i="31"/>
  <c r="CW40" i="31" s="1"/>
  <c r="CW3" i="31"/>
  <c r="CW32" i="31" s="1"/>
  <c r="CW2" i="31"/>
  <c r="CW38" i="31" s="1"/>
  <c r="CW2" i="30"/>
  <c r="BS30" i="18"/>
  <c r="BS28" i="18"/>
  <c r="BS26" i="18"/>
  <c r="BS24" i="18"/>
  <c r="BS22" i="18"/>
  <c r="BS20" i="18"/>
  <c r="BS18" i="18"/>
  <c r="BS16" i="18"/>
  <c r="BS14" i="18"/>
  <c r="BS12" i="18"/>
  <c r="BS11" i="18"/>
  <c r="BS9" i="18"/>
  <c r="BS7" i="18"/>
  <c r="BS5" i="18"/>
  <c r="BS2" i="18"/>
  <c r="BS3" i="18"/>
  <c r="BS29" i="18"/>
  <c r="BS25" i="18"/>
  <c r="BS17" i="18"/>
  <c r="BS10" i="18"/>
  <c r="BS46" i="18" s="1"/>
  <c r="CG46" i="18" s="1"/>
  <c r="BS27" i="18"/>
  <c r="BS19" i="18"/>
  <c r="BS4" i="18"/>
  <c r="BS40" i="18" s="1"/>
  <c r="CG40" i="18" s="1"/>
  <c r="BS21" i="18"/>
  <c r="BS13" i="18"/>
  <c r="BS33" i="18" s="1"/>
  <c r="CG33" i="18" s="1"/>
  <c r="BS6" i="18"/>
  <c r="BS47" i="18" s="1"/>
  <c r="CG47" i="18" s="1"/>
  <c r="BS23" i="18"/>
  <c r="BS8" i="18"/>
  <c r="BS41" i="18" s="1"/>
  <c r="CG41" i="18" s="1"/>
  <c r="BS15" i="18"/>
  <c r="DY42" i="18"/>
  <c r="DY44" i="18"/>
  <c r="DY35" i="18"/>
  <c r="DY36" i="18"/>
  <c r="DY37" i="18"/>
  <c r="DY34" i="18"/>
  <c r="DY33" i="18"/>
  <c r="DY46" i="18"/>
  <c r="DY41" i="18"/>
  <c r="DY47" i="18"/>
  <c r="DY40" i="18"/>
  <c r="DY38" i="18"/>
  <c r="DY39" i="18"/>
  <c r="DY32" i="18"/>
  <c r="R30" i="18"/>
  <c r="R35" i="18" s="1"/>
  <c r="AC35" i="18" s="1"/>
  <c r="R28" i="18"/>
  <c r="R43" i="18" s="1"/>
  <c r="AC43" i="18" s="1"/>
  <c r="R26" i="18"/>
  <c r="R36" i="18" s="1"/>
  <c r="AC36" i="18" s="1"/>
  <c r="R24" i="18"/>
  <c r="R22" i="18"/>
  <c r="R37" i="18" s="1"/>
  <c r="AC37" i="18" s="1"/>
  <c r="R20" i="18"/>
  <c r="R18" i="18"/>
  <c r="R16" i="18"/>
  <c r="R14" i="18"/>
  <c r="R34" i="18" s="1"/>
  <c r="AC34" i="18" s="1"/>
  <c r="R12" i="18"/>
  <c r="R11" i="18"/>
  <c r="R39" i="18" s="1"/>
  <c r="AC39" i="18" s="1"/>
  <c r="R9" i="18"/>
  <c r="R7" i="18"/>
  <c r="R5" i="18"/>
  <c r="R3" i="18"/>
  <c r="R32" i="18" s="1"/>
  <c r="R29" i="18"/>
  <c r="R27" i="18"/>
  <c r="R25" i="18"/>
  <c r="R23" i="18"/>
  <c r="R49" i="18" s="1"/>
  <c r="AC49" i="18" s="1"/>
  <c r="R21" i="18"/>
  <c r="R19" i="18"/>
  <c r="R42" i="18" s="1"/>
  <c r="AC42" i="18" s="1"/>
  <c r="R17" i="18"/>
  <c r="R15" i="18"/>
  <c r="R44" i="18" s="1"/>
  <c r="AC44" i="18" s="1"/>
  <c r="R13" i="18"/>
  <c r="R33" i="18" s="1"/>
  <c r="AC33" i="18" s="1"/>
  <c r="R10" i="18"/>
  <c r="R46" i="18" s="1"/>
  <c r="AC46" i="18" s="1"/>
  <c r="R8" i="18"/>
  <c r="R41" i="18" s="1"/>
  <c r="AC41" i="18" s="1"/>
  <c r="R6" i="18"/>
  <c r="R47" i="18" s="1"/>
  <c r="AC47" i="18" s="1"/>
  <c r="R4" i="18"/>
  <c r="R40" i="18" s="1"/>
  <c r="AC40" i="18" s="1"/>
  <c r="R2" i="18"/>
  <c r="R38" i="18" s="1"/>
  <c r="AC38" i="18" s="1"/>
  <c r="BT29" i="18"/>
  <c r="BT27" i="18"/>
  <c r="BT26" i="18"/>
  <c r="BT19" i="18"/>
  <c r="BT18" i="18"/>
  <c r="BT11" i="18"/>
  <c r="BT4" i="18"/>
  <c r="BT40" i="18" s="1"/>
  <c r="CH40" i="18" s="1"/>
  <c r="BT2" i="18"/>
  <c r="BT28" i="18"/>
  <c r="BT21" i="18"/>
  <c r="BT20" i="18"/>
  <c r="BT13" i="18"/>
  <c r="BT33" i="18" s="1"/>
  <c r="CH33" i="18" s="1"/>
  <c r="BT12" i="18"/>
  <c r="BT6" i="18"/>
  <c r="BT47" i="18" s="1"/>
  <c r="CH47" i="18" s="1"/>
  <c r="BT5" i="18"/>
  <c r="BT23" i="18"/>
  <c r="BT22" i="18"/>
  <c r="BT15" i="18"/>
  <c r="BT14" i="18"/>
  <c r="BT8" i="18"/>
  <c r="BT41" i="18" s="1"/>
  <c r="CH41" i="18" s="1"/>
  <c r="BT7" i="18"/>
  <c r="BT30" i="18"/>
  <c r="BT25" i="18"/>
  <c r="BT9" i="18"/>
  <c r="BT16" i="18"/>
  <c r="BT24" i="18"/>
  <c r="BT10" i="18"/>
  <c r="BT46" i="18" s="1"/>
  <c r="CH46" i="18" s="1"/>
  <c r="BT17" i="18"/>
  <c r="DZ27" i="18"/>
  <c r="DZ23" i="18"/>
  <c r="DZ49" i="18" s="1"/>
  <c r="EN49" i="18" s="1"/>
  <c r="DZ19" i="18"/>
  <c r="DZ42" i="18" s="1"/>
  <c r="EN42" i="18" s="1"/>
  <c r="DZ15" i="18"/>
  <c r="DZ44" i="18" s="1"/>
  <c r="EN44" i="18" s="1"/>
  <c r="DZ30" i="18"/>
  <c r="DZ35" i="18" s="1"/>
  <c r="EN35" i="18" s="1"/>
  <c r="DZ26" i="18"/>
  <c r="DZ36" i="18" s="1"/>
  <c r="EN36" i="18" s="1"/>
  <c r="DZ22" i="18"/>
  <c r="DZ37" i="18" s="1"/>
  <c r="EN37" i="18" s="1"/>
  <c r="DZ18" i="18"/>
  <c r="DZ14" i="18"/>
  <c r="DZ34" i="18" s="1"/>
  <c r="EN34" i="18" s="1"/>
  <c r="DZ12" i="18"/>
  <c r="DZ11" i="18"/>
  <c r="DZ39" i="18" s="1"/>
  <c r="EN39" i="18" s="1"/>
  <c r="DZ9" i="18"/>
  <c r="DZ7" i="18"/>
  <c r="DZ5" i="18"/>
  <c r="DZ3" i="18"/>
  <c r="DZ32" i="18" s="1"/>
  <c r="EN32" i="18" s="1"/>
  <c r="DZ29" i="18"/>
  <c r="DZ21" i="18"/>
  <c r="DZ24" i="18"/>
  <c r="DZ16" i="18"/>
  <c r="DZ13" i="18"/>
  <c r="DZ33" i="18" s="1"/>
  <c r="EN33" i="18" s="1"/>
  <c r="DZ10" i="18"/>
  <c r="DZ46" i="18" s="1"/>
  <c r="EN46" i="18" s="1"/>
  <c r="DZ6" i="18"/>
  <c r="DZ47" i="18" s="1"/>
  <c r="EN47" i="18" s="1"/>
  <c r="DZ2" i="18"/>
  <c r="DZ38" i="18" s="1"/>
  <c r="EN38" i="18" s="1"/>
  <c r="DZ17" i="18"/>
  <c r="DZ20" i="18"/>
  <c r="DZ8" i="18"/>
  <c r="DZ41" i="18" s="1"/>
  <c r="EN41" i="18" s="1"/>
  <c r="DZ25" i="18"/>
  <c r="DZ4" i="18"/>
  <c r="DZ40" i="18" s="1"/>
  <c r="EN40" i="18" s="1"/>
  <c r="DZ28" i="18"/>
  <c r="DZ43" i="18" s="1"/>
  <c r="EN43" i="18" s="1"/>
  <c r="BX29" i="18"/>
  <c r="BX25" i="18"/>
  <c r="BX24" i="18"/>
  <c r="BX17" i="18"/>
  <c r="BX16" i="18"/>
  <c r="BX10" i="18"/>
  <c r="BX46" i="18" s="1"/>
  <c r="CL46" i="18" s="1"/>
  <c r="BX9" i="18"/>
  <c r="BX30" i="18"/>
  <c r="BX27" i="18"/>
  <c r="BX26" i="18"/>
  <c r="BX19" i="18"/>
  <c r="BX18" i="18"/>
  <c r="BX11" i="18"/>
  <c r="BX4" i="18"/>
  <c r="BX40" i="18" s="1"/>
  <c r="CL40" i="18" s="1"/>
  <c r="BX2" i="18"/>
  <c r="BX3" i="18"/>
  <c r="BX21" i="18"/>
  <c r="BX20" i="18"/>
  <c r="BX13" i="18"/>
  <c r="BX33" i="18" s="1"/>
  <c r="CL33" i="18" s="1"/>
  <c r="BX12" i="18"/>
  <c r="BX6" i="18"/>
  <c r="BX47" i="18" s="1"/>
  <c r="CL47" i="18" s="1"/>
  <c r="BX5" i="18"/>
  <c r="BX28" i="18"/>
  <c r="BX14" i="18"/>
  <c r="BX22" i="18"/>
  <c r="BX8" i="18"/>
  <c r="BX41" i="18" s="1"/>
  <c r="CL41" i="18" s="1"/>
  <c r="BX15" i="18"/>
  <c r="BX23" i="18"/>
  <c r="BX7" i="18"/>
  <c r="ED33" i="18"/>
  <c r="ER33" i="18" s="1"/>
  <c r="ED43" i="18"/>
  <c r="ER43" i="18" s="1"/>
  <c r="ED39" i="18"/>
  <c r="ER39" i="18" s="1"/>
  <c r="ED32" i="18"/>
  <c r="ER32" i="18" s="1"/>
  <c r="ED42" i="18"/>
  <c r="ER42" i="18" s="1"/>
  <c r="ED35" i="18"/>
  <c r="ER35" i="18" s="1"/>
  <c r="ED37" i="18"/>
  <c r="ER37" i="18" s="1"/>
  <c r="ED34" i="18"/>
  <c r="ER34" i="18" s="1"/>
  <c r="ED41" i="18"/>
  <c r="ER41" i="18" s="1"/>
  <c r="ED40" i="18"/>
  <c r="ER40" i="18" s="1"/>
  <c r="ED49" i="18"/>
  <c r="ER49" i="18" s="1"/>
  <c r="ED47" i="18"/>
  <c r="ER47" i="18" s="1"/>
  <c r="ED38" i="18"/>
  <c r="ER38" i="18" s="1"/>
  <c r="W29" i="18"/>
  <c r="W27" i="18"/>
  <c r="W25" i="18"/>
  <c r="W23" i="18"/>
  <c r="W49" i="18" s="1"/>
  <c r="W21" i="18"/>
  <c r="W19" i="18"/>
  <c r="W42" i="18" s="1"/>
  <c r="AH42" i="18" s="1"/>
  <c r="W17" i="18"/>
  <c r="W15" i="18"/>
  <c r="W44" i="18" s="1"/>
  <c r="AH44" i="18" s="1"/>
  <c r="W13" i="18"/>
  <c r="W33" i="18" s="1"/>
  <c r="AH33" i="18" s="1"/>
  <c r="W10" i="18"/>
  <c r="W46" i="18" s="1"/>
  <c r="W8" i="18"/>
  <c r="W41" i="18" s="1"/>
  <c r="AH41" i="18" s="1"/>
  <c r="W6" i="18"/>
  <c r="W47" i="18" s="1"/>
  <c r="AH47" i="18" s="1"/>
  <c r="W4" i="18"/>
  <c r="W40" i="18" s="1"/>
  <c r="AH40" i="18" s="1"/>
  <c r="W2" i="18"/>
  <c r="W38" i="18" s="1"/>
  <c r="AH38" i="18" s="1"/>
  <c r="W30" i="18"/>
  <c r="W35" i="18" s="1"/>
  <c r="AH35" i="18" s="1"/>
  <c r="W22" i="18"/>
  <c r="W37" i="18" s="1"/>
  <c r="AH37" i="18" s="1"/>
  <c r="W14" i="18"/>
  <c r="W34" i="18" s="1"/>
  <c r="AH34" i="18" s="1"/>
  <c r="W7" i="18"/>
  <c r="W24" i="18"/>
  <c r="W16" i="18"/>
  <c r="W9" i="18"/>
  <c r="W28" i="18"/>
  <c r="W43" i="18" s="1"/>
  <c r="AH43" i="18" s="1"/>
  <c r="W20" i="18"/>
  <c r="W12" i="18"/>
  <c r="W5" i="18"/>
  <c r="W26" i="18"/>
  <c r="W36" i="18" s="1"/>
  <c r="AH36" i="18" s="1"/>
  <c r="W18" i="18"/>
  <c r="W11" i="18"/>
  <c r="W39" i="18" s="1"/>
  <c r="AH39" i="18" s="1"/>
  <c r="W3" i="18"/>
  <c r="W32" i="18" s="1"/>
  <c r="EZ29" i="18"/>
  <c r="EZ27" i="18"/>
  <c r="EZ25" i="18"/>
  <c r="EZ23" i="18"/>
  <c r="EZ49" i="18" s="1"/>
  <c r="EZ21" i="18"/>
  <c r="EZ19" i="18"/>
  <c r="EZ42" i="18" s="1"/>
  <c r="FB42" i="18" s="1"/>
  <c r="EZ17" i="18"/>
  <c r="EZ15" i="18"/>
  <c r="EZ44" i="18" s="1"/>
  <c r="FB44" i="18" s="1"/>
  <c r="EZ13" i="18"/>
  <c r="EZ33" i="18" s="1"/>
  <c r="FB33" i="18" s="1"/>
  <c r="EZ10" i="18"/>
  <c r="EZ46" i="18" s="1"/>
  <c r="EZ8" i="18"/>
  <c r="EZ41" i="18" s="1"/>
  <c r="FB41" i="18" s="1"/>
  <c r="EZ6" i="18"/>
  <c r="EZ47" i="18" s="1"/>
  <c r="FB47" i="18" s="1"/>
  <c r="EZ4" i="18"/>
  <c r="EZ40" i="18" s="1"/>
  <c r="FB40" i="18" s="1"/>
  <c r="EZ2" i="18"/>
  <c r="EZ38" i="18" s="1"/>
  <c r="FB38" i="18" s="1"/>
  <c r="EZ30" i="18"/>
  <c r="EZ35" i="18" s="1"/>
  <c r="FB35" i="18" s="1"/>
  <c r="EZ28" i="18"/>
  <c r="EZ43" i="18" s="1"/>
  <c r="FB43" i="18" s="1"/>
  <c r="EZ26" i="18"/>
  <c r="EZ36" i="18" s="1"/>
  <c r="FB36" i="18" s="1"/>
  <c r="EZ24" i="18"/>
  <c r="EZ22" i="18"/>
  <c r="EZ37" i="18" s="1"/>
  <c r="FB37" i="18" s="1"/>
  <c r="EZ20" i="18"/>
  <c r="EZ18" i="18"/>
  <c r="EZ16" i="18"/>
  <c r="EZ14" i="18"/>
  <c r="EZ34" i="18" s="1"/>
  <c r="FB34" i="18" s="1"/>
  <c r="EZ12" i="18"/>
  <c r="EZ11" i="18"/>
  <c r="EZ39" i="18" s="1"/>
  <c r="FB39" i="18" s="1"/>
  <c r="EZ9" i="18"/>
  <c r="EZ7" i="18"/>
  <c r="EZ5" i="18"/>
  <c r="EZ3" i="18"/>
  <c r="EZ32" i="18" s="1"/>
  <c r="BO36" i="18"/>
  <c r="CC36" i="18" s="1"/>
  <c r="BO37" i="18"/>
  <c r="CC37" i="18" s="1"/>
  <c r="BO33" i="18"/>
  <c r="CC33" i="18" s="1"/>
  <c r="BO46" i="18"/>
  <c r="CC46" i="18" s="1"/>
  <c r="BO47" i="18"/>
  <c r="CC47" i="18" s="1"/>
  <c r="BO38" i="18"/>
  <c r="CC38" i="18" s="1"/>
  <c r="BO43" i="18"/>
  <c r="CC43" i="18" s="1"/>
  <c r="BO44" i="18"/>
  <c r="CC44" i="18" s="1"/>
  <c r="BO49" i="18"/>
  <c r="CC49" i="18" s="1"/>
  <c r="BO41" i="18"/>
  <c r="CC41" i="18" s="1"/>
  <c r="BO42" i="18"/>
  <c r="CC42" i="18" s="1"/>
  <c r="BO40" i="18"/>
  <c r="CC40" i="18" s="1"/>
  <c r="AV28" i="5"/>
  <c r="AV43" i="5" s="1"/>
  <c r="AZ43" i="5" s="1"/>
  <c r="AV26" i="5"/>
  <c r="AV36" i="5" s="1"/>
  <c r="AZ36" i="5" s="1"/>
  <c r="AV24" i="5"/>
  <c r="AV19" i="5"/>
  <c r="AV42" i="5" s="1"/>
  <c r="AZ42" i="5" s="1"/>
  <c r="AV11" i="5"/>
  <c r="AV39" i="5" s="1"/>
  <c r="AZ39" i="5" s="1"/>
  <c r="AV9" i="5"/>
  <c r="AV6" i="5"/>
  <c r="AV47" i="5" s="1"/>
  <c r="AZ47" i="5" s="1"/>
  <c r="AV3" i="5"/>
  <c r="AV32" i="5" s="1"/>
  <c r="AZ32" i="5" s="1"/>
  <c r="AV23" i="5"/>
  <c r="AV49" i="5" s="1"/>
  <c r="AV21" i="5"/>
  <c r="AV16" i="5"/>
  <c r="AV13" i="5"/>
  <c r="AV33" i="5" s="1"/>
  <c r="AZ33" i="5" s="1"/>
  <c r="AV10" i="5"/>
  <c r="AV46" i="5" s="1"/>
  <c r="AV8" i="5"/>
  <c r="AV41" i="5" s="1"/>
  <c r="AZ41" i="5" s="1"/>
  <c r="AV30" i="5"/>
  <c r="AV35" i="5" s="1"/>
  <c r="AZ35" i="5" s="1"/>
  <c r="AV27" i="5"/>
  <c r="AV25" i="5"/>
  <c r="AV22" i="5"/>
  <c r="AV37" i="5" s="1"/>
  <c r="AZ37" i="5" s="1"/>
  <c r="AV18" i="5"/>
  <c r="AV15" i="5"/>
  <c r="AV44" i="5" s="1"/>
  <c r="AZ44" i="5" s="1"/>
  <c r="AV12" i="5"/>
  <c r="AV5" i="5"/>
  <c r="AV2" i="5"/>
  <c r="AV38" i="5" s="1"/>
  <c r="AZ38" i="5" s="1"/>
  <c r="AV29" i="5"/>
  <c r="AV20" i="5"/>
  <c r="AV17" i="5"/>
  <c r="AV14" i="5"/>
  <c r="AV34" i="5" s="1"/>
  <c r="AZ34" i="5" s="1"/>
  <c r="AV7" i="5"/>
  <c r="AV4" i="5"/>
  <c r="AV40" i="5" s="1"/>
  <c r="AZ40" i="5" s="1"/>
  <c r="AD29" i="31"/>
  <c r="AD25" i="31"/>
  <c r="AD21" i="31"/>
  <c r="AD17" i="31"/>
  <c r="AD13" i="31"/>
  <c r="AD10" i="31"/>
  <c r="AD6" i="31"/>
  <c r="AD2" i="31"/>
  <c r="AD8" i="31"/>
  <c r="AD30" i="31"/>
  <c r="AD26" i="31"/>
  <c r="AD22" i="31"/>
  <c r="AD18" i="31"/>
  <c r="AD14" i="31"/>
  <c r="AD11" i="31"/>
  <c r="AD7" i="31"/>
  <c r="AD3" i="31"/>
  <c r="AD4" i="31"/>
  <c r="AD27" i="31"/>
  <c r="AD23" i="31"/>
  <c r="CB49" i="31" s="1"/>
  <c r="AD19" i="31"/>
  <c r="AD15" i="31"/>
  <c r="AD28" i="31"/>
  <c r="AD24" i="31"/>
  <c r="AD20" i="31"/>
  <c r="AD16" i="31"/>
  <c r="AD12" i="31"/>
  <c r="AD9" i="31"/>
  <c r="AD5" i="31"/>
  <c r="AH29" i="31"/>
  <c r="AH25" i="31"/>
  <c r="AH21" i="31"/>
  <c r="AH17" i="31"/>
  <c r="AH13" i="31"/>
  <c r="AH33" i="31" s="1"/>
  <c r="AH10" i="31"/>
  <c r="AH46" i="31" s="1"/>
  <c r="AH6" i="31"/>
  <c r="AH47" i="31" s="1"/>
  <c r="AH2" i="31"/>
  <c r="AH38" i="31" s="1"/>
  <c r="AH30" i="31"/>
  <c r="AH35" i="31" s="1"/>
  <c r="AH26" i="31"/>
  <c r="AH36" i="31" s="1"/>
  <c r="AH22" i="31"/>
  <c r="AH37" i="31" s="1"/>
  <c r="AH18" i="31"/>
  <c r="AH14" i="31"/>
  <c r="AH34" i="31" s="1"/>
  <c r="AH11" i="31"/>
  <c r="AH39" i="31" s="1"/>
  <c r="AH7" i="31"/>
  <c r="AH3" i="31"/>
  <c r="AH32" i="31" s="1"/>
  <c r="AH27" i="31"/>
  <c r="AH23" i="31"/>
  <c r="AH19" i="31"/>
  <c r="AH42" i="31" s="1"/>
  <c r="AH15" i="31"/>
  <c r="AH44" i="31" s="1"/>
  <c r="AH8" i="31"/>
  <c r="AH41" i="31" s="1"/>
  <c r="AH28" i="31"/>
  <c r="AH43" i="31" s="1"/>
  <c r="AH24" i="31"/>
  <c r="AH20" i="31"/>
  <c r="AH16" i="31"/>
  <c r="AH12" i="31"/>
  <c r="AH9" i="31"/>
  <c r="AH5" i="31"/>
  <c r="AH4" i="31"/>
  <c r="AH40" i="31" s="1"/>
  <c r="AK28" i="31"/>
  <c r="AK43" i="31" s="1"/>
  <c r="AK24" i="31"/>
  <c r="AK20" i="31"/>
  <c r="AK16" i="31"/>
  <c r="AK12" i="31"/>
  <c r="AK9" i="31"/>
  <c r="AK5" i="31"/>
  <c r="AK11" i="31"/>
  <c r="AK39" i="31" s="1"/>
  <c r="AK7" i="31"/>
  <c r="AK29" i="31"/>
  <c r="AK25" i="31"/>
  <c r="AK21" i="31"/>
  <c r="AK17" i="31"/>
  <c r="AK13" i="31"/>
  <c r="AK33" i="31" s="1"/>
  <c r="AK10" i="31"/>
  <c r="AK46" i="31" s="1"/>
  <c r="AK6" i="31"/>
  <c r="AK47" i="31" s="1"/>
  <c r="AK2" i="31"/>
  <c r="AK38" i="31" s="1"/>
  <c r="AK14" i="31"/>
  <c r="AK34" i="31" s="1"/>
  <c r="AK3" i="31"/>
  <c r="AK32" i="31" s="1"/>
  <c r="AK30" i="31"/>
  <c r="AK35" i="31" s="1"/>
  <c r="AK26" i="31"/>
  <c r="AK36" i="31" s="1"/>
  <c r="AK22" i="31"/>
  <c r="AK37" i="31" s="1"/>
  <c r="AK18" i="31"/>
  <c r="AK27" i="31"/>
  <c r="AK23" i="31"/>
  <c r="AK19" i="31"/>
  <c r="AK42" i="31" s="1"/>
  <c r="AK15" i="31"/>
  <c r="AK44" i="31" s="1"/>
  <c r="AK8" i="31"/>
  <c r="AK41" i="31" s="1"/>
  <c r="AK4" i="31"/>
  <c r="AK40" i="31" s="1"/>
  <c r="AO28" i="31"/>
  <c r="AO43" i="31" s="1"/>
  <c r="AO24" i="31"/>
  <c r="AO20" i="31"/>
  <c r="AO16" i="31"/>
  <c r="AO12" i="31"/>
  <c r="AO9" i="31"/>
  <c r="AO5" i="31"/>
  <c r="AO29" i="31"/>
  <c r="AO25" i="31"/>
  <c r="AO21" i="31"/>
  <c r="AO17" i="31"/>
  <c r="AO13" i="31"/>
  <c r="AO33" i="31" s="1"/>
  <c r="AO10" i="31"/>
  <c r="AO46" i="31" s="1"/>
  <c r="AO45" i="31" s="1"/>
  <c r="AO6" i="31"/>
  <c r="AO47" i="31" s="1"/>
  <c r="AO2" i="31"/>
  <c r="AO38" i="31" s="1"/>
  <c r="AO30" i="31"/>
  <c r="AO35" i="31" s="1"/>
  <c r="AO26" i="31"/>
  <c r="AO36" i="31" s="1"/>
  <c r="AO22" i="31"/>
  <c r="AO37" i="31" s="1"/>
  <c r="AO18" i="31"/>
  <c r="AO14" i="31"/>
  <c r="AO34" i="31" s="1"/>
  <c r="AO11" i="31"/>
  <c r="AO39" i="31" s="1"/>
  <c r="AO7" i="31"/>
  <c r="AO3" i="31"/>
  <c r="AO32" i="31" s="1"/>
  <c r="AO27" i="31"/>
  <c r="AO23" i="31"/>
  <c r="AO19" i="31"/>
  <c r="AO42" i="31" s="1"/>
  <c r="AO15" i="31"/>
  <c r="AO44" i="31" s="1"/>
  <c r="AO8" i="31"/>
  <c r="AO41" i="31" s="1"/>
  <c r="AO4" i="31"/>
  <c r="AO40" i="31" s="1"/>
  <c r="AS28" i="31"/>
  <c r="AS43" i="31" s="1"/>
  <c r="AS24" i="31"/>
  <c r="AS20" i="31"/>
  <c r="AS16" i="31"/>
  <c r="AS12" i="31"/>
  <c r="AS9" i="31"/>
  <c r="AS5" i="31"/>
  <c r="AS29" i="31"/>
  <c r="AS25" i="31"/>
  <c r="AS21" i="31"/>
  <c r="AS17" i="31"/>
  <c r="AS13" i="31"/>
  <c r="AS33" i="31" s="1"/>
  <c r="AS10" i="31"/>
  <c r="AS46" i="31" s="1"/>
  <c r="AS6" i="31"/>
  <c r="AS47" i="31" s="1"/>
  <c r="AS2" i="31"/>
  <c r="AS38" i="31" s="1"/>
  <c r="AS30" i="31"/>
  <c r="AS35" i="31" s="1"/>
  <c r="AS26" i="31"/>
  <c r="AS36" i="31" s="1"/>
  <c r="AS22" i="31"/>
  <c r="AS37" i="31" s="1"/>
  <c r="AS18" i="31"/>
  <c r="AS14" i="31"/>
  <c r="AS34" i="31" s="1"/>
  <c r="AS27" i="31"/>
  <c r="AS23" i="31"/>
  <c r="AS19" i="31"/>
  <c r="AS42" i="31" s="1"/>
  <c r="AS15" i="31"/>
  <c r="AS44" i="31" s="1"/>
  <c r="AS8" i="31"/>
  <c r="AS41" i="31" s="1"/>
  <c r="AS4" i="31"/>
  <c r="AS40" i="31" s="1"/>
  <c r="AS11" i="31"/>
  <c r="AS39" i="31" s="1"/>
  <c r="AS7" i="31"/>
  <c r="AS3" i="31"/>
  <c r="AS32" i="31" s="1"/>
  <c r="AV27" i="31"/>
  <c r="AV23" i="31"/>
  <c r="AV19" i="31"/>
  <c r="AV42" i="31" s="1"/>
  <c r="AV15" i="31"/>
  <c r="AV44" i="31" s="1"/>
  <c r="AV8" i="31"/>
  <c r="AV41" i="31" s="1"/>
  <c r="AV4" i="31"/>
  <c r="AV40" i="31" s="1"/>
  <c r="AV13" i="31"/>
  <c r="AV33" i="31" s="1"/>
  <c r="AV28" i="31"/>
  <c r="AV43" i="31" s="1"/>
  <c r="AV24" i="31"/>
  <c r="AV20" i="31"/>
  <c r="AV16" i="31"/>
  <c r="AV12" i="31"/>
  <c r="AV9" i="31"/>
  <c r="AV5" i="31"/>
  <c r="AV29" i="31"/>
  <c r="AV25" i="31"/>
  <c r="AV21" i="31"/>
  <c r="AV17" i="31"/>
  <c r="AV10" i="31"/>
  <c r="AV46" i="31" s="1"/>
  <c r="AV6" i="31"/>
  <c r="AV47" i="31" s="1"/>
  <c r="AV2" i="31"/>
  <c r="AV38" i="31" s="1"/>
  <c r="AV30" i="31"/>
  <c r="AV35" i="31" s="1"/>
  <c r="AV26" i="31"/>
  <c r="AV36" i="31" s="1"/>
  <c r="AV22" i="31"/>
  <c r="AV37" i="31" s="1"/>
  <c r="AV18" i="31"/>
  <c r="AV14" i="31"/>
  <c r="AV34" i="31" s="1"/>
  <c r="AV11" i="31"/>
  <c r="AV39" i="31" s="1"/>
  <c r="AV7" i="31"/>
  <c r="AV3" i="31"/>
  <c r="AV32" i="31" s="1"/>
  <c r="CA13" i="31"/>
  <c r="CA33" i="31" s="1"/>
  <c r="CA12" i="31"/>
  <c r="CA11" i="31"/>
  <c r="CA39" i="31" s="1"/>
  <c r="CA10" i="31"/>
  <c r="CA46" i="31" s="1"/>
  <c r="CA9" i="31"/>
  <c r="CA8" i="31"/>
  <c r="CA41" i="31" s="1"/>
  <c r="CA7" i="31"/>
  <c r="CA6" i="31"/>
  <c r="CA47" i="31" s="1"/>
  <c r="CA5" i="31"/>
  <c r="CA4" i="31"/>
  <c r="CA40" i="31" s="1"/>
  <c r="CA3" i="31"/>
  <c r="CA32" i="31" s="1"/>
  <c r="CA30" i="31"/>
  <c r="CA35" i="31" s="1"/>
  <c r="CA28" i="31"/>
  <c r="CA43" i="31" s="1"/>
  <c r="CA26" i="31"/>
  <c r="CA36" i="31" s="1"/>
  <c r="CA24" i="31"/>
  <c r="CA22" i="31"/>
  <c r="CA37" i="31" s="1"/>
  <c r="CA20" i="31"/>
  <c r="CA18" i="31"/>
  <c r="CA16" i="31"/>
  <c r="CA14" i="31"/>
  <c r="CA34" i="31" s="1"/>
  <c r="CA2" i="31"/>
  <c r="CA38" i="31" s="1"/>
  <c r="CA27" i="31"/>
  <c r="CA23" i="31"/>
  <c r="CA19" i="31"/>
  <c r="CA42" i="31" s="1"/>
  <c r="CA15" i="31"/>
  <c r="CA44" i="31" s="1"/>
  <c r="CA25" i="31"/>
  <c r="CA17" i="31"/>
  <c r="CA29" i="31"/>
  <c r="CA21" i="31"/>
  <c r="CA2" i="30"/>
  <c r="CA38" i="30" s="1"/>
  <c r="BB2" i="30"/>
  <c r="CB30" i="31"/>
  <c r="CB35" i="31" s="1"/>
  <c r="CB29" i="31"/>
  <c r="CB28" i="31"/>
  <c r="CB43" i="31" s="1"/>
  <c r="CB27" i="31"/>
  <c r="CB26" i="31"/>
  <c r="CB36" i="31" s="1"/>
  <c r="CB25" i="31"/>
  <c r="CB24" i="31"/>
  <c r="CB23" i="31"/>
  <c r="CB22" i="31"/>
  <c r="CB37" i="31" s="1"/>
  <c r="CB21" i="31"/>
  <c r="CB20" i="31"/>
  <c r="CB19" i="31"/>
  <c r="CB42" i="31" s="1"/>
  <c r="CB18" i="31"/>
  <c r="CB17" i="31"/>
  <c r="CB16" i="31"/>
  <c r="CB15" i="31"/>
  <c r="CB44" i="31" s="1"/>
  <c r="CB14" i="31"/>
  <c r="CB34" i="31" s="1"/>
  <c r="CB13" i="31"/>
  <c r="CB33" i="31" s="1"/>
  <c r="CB12" i="31"/>
  <c r="CB11" i="31"/>
  <c r="CB39" i="31" s="1"/>
  <c r="CB10" i="31"/>
  <c r="CB46" i="31" s="1"/>
  <c r="CB9" i="31"/>
  <c r="CB8" i="31"/>
  <c r="CB41" i="31" s="1"/>
  <c r="CB7" i="31"/>
  <c r="CB6" i="31"/>
  <c r="CB47" i="31" s="1"/>
  <c r="CB5" i="31"/>
  <c r="CB4" i="31"/>
  <c r="CB40" i="31" s="1"/>
  <c r="CB3" i="31"/>
  <c r="CB32" i="31" s="1"/>
  <c r="CB2" i="31"/>
  <c r="CB38" i="31" s="1"/>
  <c r="CB2" i="30"/>
  <c r="CB38" i="30" s="1"/>
  <c r="CB31" i="30" s="1"/>
  <c r="BC2" i="30"/>
  <c r="CF30" i="31"/>
  <c r="CF35" i="31" s="1"/>
  <c r="CF29" i="31"/>
  <c r="CF28" i="31"/>
  <c r="CF43" i="31" s="1"/>
  <c r="CF27" i="31"/>
  <c r="CF26" i="31"/>
  <c r="CF36" i="31" s="1"/>
  <c r="CF25" i="31"/>
  <c r="CF24" i="31"/>
  <c r="CF23" i="31"/>
  <c r="CF22" i="31"/>
  <c r="CF37" i="31" s="1"/>
  <c r="CF21" i="31"/>
  <c r="CF20" i="31"/>
  <c r="CF19" i="31"/>
  <c r="CF42" i="31" s="1"/>
  <c r="CF18" i="31"/>
  <c r="CF17" i="31"/>
  <c r="CF16" i="31"/>
  <c r="CF15" i="31"/>
  <c r="CF44" i="31" s="1"/>
  <c r="CF14" i="31"/>
  <c r="CF34" i="31" s="1"/>
  <c r="CF13" i="31"/>
  <c r="CF33" i="31" s="1"/>
  <c r="CF12" i="31"/>
  <c r="CF11" i="31"/>
  <c r="CF39" i="31" s="1"/>
  <c r="CF10" i="31"/>
  <c r="CF46" i="31" s="1"/>
  <c r="CF9" i="31"/>
  <c r="CF8" i="31"/>
  <c r="CF41" i="31" s="1"/>
  <c r="CF7" i="31"/>
  <c r="CF6" i="31"/>
  <c r="CF47" i="31" s="1"/>
  <c r="CF45" i="31" s="1"/>
  <c r="CF5" i="31"/>
  <c r="CF4" i="31"/>
  <c r="CF40" i="31" s="1"/>
  <c r="CF3" i="31"/>
  <c r="CF32" i="31" s="1"/>
  <c r="CF2" i="31"/>
  <c r="CF38" i="31" s="1"/>
  <c r="CF2" i="30"/>
  <c r="CF38" i="30" s="1"/>
  <c r="CF31" i="30" s="1"/>
  <c r="BG2" i="30"/>
  <c r="CI13" i="31"/>
  <c r="CI33" i="31" s="1"/>
  <c r="CI12" i="31"/>
  <c r="CI11" i="31"/>
  <c r="CI39" i="31" s="1"/>
  <c r="CI10" i="31"/>
  <c r="CI46" i="31" s="1"/>
  <c r="CI9" i="31"/>
  <c r="CI8" i="31"/>
  <c r="CI41" i="31" s="1"/>
  <c r="CI7" i="31"/>
  <c r="CI6" i="31"/>
  <c r="CI47" i="31" s="1"/>
  <c r="CI5" i="31"/>
  <c r="CI4" i="31"/>
  <c r="CI40" i="31" s="1"/>
  <c r="CI3" i="31"/>
  <c r="CI32" i="31" s="1"/>
  <c r="CI2" i="31"/>
  <c r="CI38" i="31" s="1"/>
  <c r="CI29" i="31"/>
  <c r="CI27" i="31"/>
  <c r="CI25" i="31"/>
  <c r="CI23" i="31"/>
  <c r="CI21" i="31"/>
  <c r="CI19" i="31"/>
  <c r="CI42" i="31" s="1"/>
  <c r="CI17" i="31"/>
  <c r="CI15" i="31"/>
  <c r="CI44" i="31" s="1"/>
  <c r="CI28" i="31"/>
  <c r="CI43" i="31" s="1"/>
  <c r="CI24" i="31"/>
  <c r="CI20" i="31"/>
  <c r="CI16" i="31"/>
  <c r="CI30" i="31"/>
  <c r="CI35" i="31" s="1"/>
  <c r="CI22" i="31"/>
  <c r="CI37" i="31" s="1"/>
  <c r="CI14" i="31"/>
  <c r="CI34" i="31" s="1"/>
  <c r="CI26" i="31"/>
  <c r="CI36" i="31" s="1"/>
  <c r="CI18" i="31"/>
  <c r="CI2" i="30"/>
  <c r="CI38" i="30" s="1"/>
  <c r="CI31" i="30" s="1"/>
  <c r="BJ2" i="30"/>
  <c r="CM30" i="31"/>
  <c r="CM35" i="31" s="1"/>
  <c r="CM29" i="31"/>
  <c r="CM28" i="31"/>
  <c r="CM43" i="31" s="1"/>
  <c r="CM27" i="31"/>
  <c r="CM26" i="31"/>
  <c r="CM36" i="31" s="1"/>
  <c r="CM25" i="31"/>
  <c r="CM24" i="31"/>
  <c r="CM23" i="31"/>
  <c r="CM22" i="31"/>
  <c r="CM37" i="31" s="1"/>
  <c r="CM21" i="31"/>
  <c r="CM20" i="31"/>
  <c r="CM19" i="31"/>
  <c r="CM42" i="31" s="1"/>
  <c r="CM18" i="31"/>
  <c r="CM17" i="31"/>
  <c r="CM16" i="31"/>
  <c r="CM15" i="31"/>
  <c r="CM44" i="31" s="1"/>
  <c r="CM14" i="31"/>
  <c r="CM34" i="31" s="1"/>
  <c r="CM13" i="31"/>
  <c r="CM33" i="31" s="1"/>
  <c r="CM12" i="31"/>
  <c r="CM11" i="31"/>
  <c r="CM39" i="31" s="1"/>
  <c r="CM10" i="31"/>
  <c r="CM46" i="31" s="1"/>
  <c r="CM9" i="31"/>
  <c r="CM8" i="31"/>
  <c r="CM41" i="31" s="1"/>
  <c r="CM7" i="31"/>
  <c r="CM6" i="31"/>
  <c r="CM47" i="31" s="1"/>
  <c r="CM5" i="31"/>
  <c r="CM4" i="31"/>
  <c r="CM40" i="31" s="1"/>
  <c r="CM3" i="31"/>
  <c r="CM32" i="31" s="1"/>
  <c r="CM2" i="31"/>
  <c r="CM38" i="31" s="1"/>
  <c r="CM2" i="30"/>
  <c r="CM38" i="30" s="1"/>
  <c r="CM31" i="30" s="1"/>
  <c r="BN2" i="30"/>
  <c r="CQ13" i="31"/>
  <c r="CQ33" i="31" s="1"/>
  <c r="CQ12" i="31"/>
  <c r="CQ11" i="31"/>
  <c r="CQ39" i="31" s="1"/>
  <c r="CQ10" i="31"/>
  <c r="CQ46" i="31" s="1"/>
  <c r="CQ9" i="31"/>
  <c r="CQ8" i="31"/>
  <c r="CQ41" i="31" s="1"/>
  <c r="CQ7" i="31"/>
  <c r="CQ6" i="31"/>
  <c r="CQ47" i="31" s="1"/>
  <c r="CQ5" i="31"/>
  <c r="CQ4" i="31"/>
  <c r="CQ40" i="31" s="1"/>
  <c r="CQ3" i="31"/>
  <c r="CQ32" i="31" s="1"/>
  <c r="CQ2" i="31"/>
  <c r="CQ38" i="31" s="1"/>
  <c r="CQ30" i="31"/>
  <c r="CQ35" i="31" s="1"/>
  <c r="CQ28" i="31"/>
  <c r="CQ43" i="31" s="1"/>
  <c r="CQ26" i="31"/>
  <c r="CQ36" i="31" s="1"/>
  <c r="CQ24" i="31"/>
  <c r="CQ22" i="31"/>
  <c r="CQ37" i="31" s="1"/>
  <c r="CQ20" i="31"/>
  <c r="CQ18" i="31"/>
  <c r="CQ16" i="31"/>
  <c r="CQ14" i="31"/>
  <c r="CQ34" i="31" s="1"/>
  <c r="CQ29" i="31"/>
  <c r="CQ25" i="31"/>
  <c r="CQ21" i="31"/>
  <c r="CQ17" i="31"/>
  <c r="CQ27" i="31"/>
  <c r="CQ19" i="31"/>
  <c r="CQ42" i="31" s="1"/>
  <c r="CQ23" i="31"/>
  <c r="CQ15" i="31"/>
  <c r="CQ44" i="31" s="1"/>
  <c r="CQ2" i="30"/>
  <c r="CQ38" i="30" s="1"/>
  <c r="CQ31" i="30" s="1"/>
  <c r="BR2" i="30"/>
  <c r="CT30" i="31"/>
  <c r="CT35" i="31" s="1"/>
  <c r="CT29" i="31"/>
  <c r="CT28" i="31"/>
  <c r="CT43" i="31" s="1"/>
  <c r="CT27" i="31"/>
  <c r="CT26" i="31"/>
  <c r="CT36" i="31" s="1"/>
  <c r="CT25" i="31"/>
  <c r="CT24" i="31"/>
  <c r="CT23" i="31"/>
  <c r="CT22" i="31"/>
  <c r="CT37" i="31" s="1"/>
  <c r="CT21" i="31"/>
  <c r="CT20" i="31"/>
  <c r="CT19" i="31"/>
  <c r="CT42" i="31" s="1"/>
  <c r="CT18" i="31"/>
  <c r="CT17" i="31"/>
  <c r="CT16" i="31"/>
  <c r="CT15" i="31"/>
  <c r="CT44" i="31" s="1"/>
  <c r="CT14" i="31"/>
  <c r="CT34" i="31" s="1"/>
  <c r="CT13" i="31"/>
  <c r="CT33" i="31" s="1"/>
  <c r="CT10" i="31"/>
  <c r="CT46" i="31" s="1"/>
  <c r="CT8" i="31"/>
  <c r="CT41" i="31" s="1"/>
  <c r="CT6" i="31"/>
  <c r="CT47" i="31" s="1"/>
  <c r="CT4" i="31"/>
  <c r="CT40" i="31" s="1"/>
  <c r="CT2" i="31"/>
  <c r="CT38" i="31" s="1"/>
  <c r="CT12" i="31"/>
  <c r="CT9" i="31"/>
  <c r="CT5" i="31"/>
  <c r="CT11" i="31"/>
  <c r="CT39" i="31" s="1"/>
  <c r="CT7" i="31"/>
  <c r="CT3" i="31"/>
  <c r="CT32" i="31" s="1"/>
  <c r="CT2" i="30"/>
  <c r="CT38" i="30" s="1"/>
  <c r="CT31" i="30" s="1"/>
  <c r="BU2" i="30"/>
  <c r="BV29" i="18"/>
  <c r="BV27" i="18"/>
  <c r="BV25" i="18"/>
  <c r="BV23" i="18"/>
  <c r="BV49" i="18" s="1"/>
  <c r="CJ49" i="18" s="1"/>
  <c r="BV21" i="18"/>
  <c r="BV19" i="18"/>
  <c r="BV17" i="18"/>
  <c r="BV15" i="18"/>
  <c r="BV44" i="18" s="1"/>
  <c r="CJ44" i="18" s="1"/>
  <c r="BV13" i="18"/>
  <c r="BV33" i="18" s="1"/>
  <c r="CJ33" i="18" s="1"/>
  <c r="BV10" i="18"/>
  <c r="BV46" i="18" s="1"/>
  <c r="CJ46" i="18" s="1"/>
  <c r="BV8" i="18"/>
  <c r="BV41" i="18" s="1"/>
  <c r="CJ41" i="18" s="1"/>
  <c r="BV6" i="18"/>
  <c r="BV47" i="18" s="1"/>
  <c r="CJ47" i="18" s="1"/>
  <c r="BV4" i="18"/>
  <c r="BV40" i="18" s="1"/>
  <c r="CJ40" i="18" s="1"/>
  <c r="BV30" i="18"/>
  <c r="BV22" i="18"/>
  <c r="BV14" i="18"/>
  <c r="BV34" i="18" s="1"/>
  <c r="CJ34" i="18" s="1"/>
  <c r="BV7" i="18"/>
  <c r="BV24" i="18"/>
  <c r="BV16" i="18"/>
  <c r="BV9" i="18"/>
  <c r="BV26" i="18"/>
  <c r="BV18" i="18"/>
  <c r="BV11" i="18"/>
  <c r="BV2" i="18"/>
  <c r="BV38" i="18" s="1"/>
  <c r="CJ38" i="18" s="1"/>
  <c r="BV28" i="18"/>
  <c r="BV5" i="18"/>
  <c r="BV12" i="18"/>
  <c r="BV20" i="18"/>
  <c r="EB30" i="18"/>
  <c r="EB35" i="18" s="1"/>
  <c r="EP35" i="18" s="1"/>
  <c r="EB28" i="18"/>
  <c r="EB43" i="18" s="1"/>
  <c r="EP43" i="18" s="1"/>
  <c r="EB26" i="18"/>
  <c r="EB36" i="18" s="1"/>
  <c r="EP36" i="18" s="1"/>
  <c r="EB24" i="18"/>
  <c r="EB22" i="18"/>
  <c r="EB37" i="18" s="1"/>
  <c r="EP37" i="18" s="1"/>
  <c r="EB20" i="18"/>
  <c r="EB18" i="18"/>
  <c r="EB16" i="18"/>
  <c r="EB14" i="18"/>
  <c r="EB34" i="18" s="1"/>
  <c r="EP34" i="18" s="1"/>
  <c r="EB29" i="18"/>
  <c r="EB27" i="18"/>
  <c r="EB25" i="18"/>
  <c r="EB23" i="18"/>
  <c r="EB49" i="18" s="1"/>
  <c r="EP49" i="18" s="1"/>
  <c r="EB21" i="18"/>
  <c r="EB19" i="18"/>
  <c r="EB42" i="18" s="1"/>
  <c r="EP42" i="18" s="1"/>
  <c r="EB17" i="18"/>
  <c r="EB15" i="18"/>
  <c r="EB44" i="18" s="1"/>
  <c r="EP44" i="18" s="1"/>
  <c r="EB12" i="18"/>
  <c r="EB11" i="18"/>
  <c r="EB39" i="18" s="1"/>
  <c r="EP39" i="18" s="1"/>
  <c r="EB9" i="18"/>
  <c r="EB7" i="18"/>
  <c r="EB5" i="18"/>
  <c r="EB3" i="18"/>
  <c r="EB32" i="18" s="1"/>
  <c r="EP32" i="18" s="1"/>
  <c r="EB8" i="18"/>
  <c r="EB41" i="18" s="1"/>
  <c r="EP41" i="18" s="1"/>
  <c r="EB4" i="18"/>
  <c r="EB40" i="18" s="1"/>
  <c r="EP40" i="18" s="1"/>
  <c r="EB10" i="18"/>
  <c r="EB46" i="18" s="1"/>
  <c r="EP46" i="18" s="1"/>
  <c r="EB2" i="18"/>
  <c r="EB38" i="18" s="1"/>
  <c r="EP38" i="18" s="1"/>
  <c r="EB13" i="18"/>
  <c r="EB33" i="18" s="1"/>
  <c r="EP33" i="18" s="1"/>
  <c r="EB6" i="18"/>
  <c r="EB47" i="18" s="1"/>
  <c r="EP47" i="18" s="1"/>
  <c r="P29" i="18"/>
  <c r="P27" i="18"/>
  <c r="P25" i="18"/>
  <c r="P23" i="18"/>
  <c r="P49" i="18" s="1"/>
  <c r="AA49" i="18" s="1"/>
  <c r="P21" i="18"/>
  <c r="P19" i="18"/>
  <c r="P42" i="18" s="1"/>
  <c r="AA42" i="18" s="1"/>
  <c r="P17" i="18"/>
  <c r="P15" i="18"/>
  <c r="P44" i="18" s="1"/>
  <c r="AA44" i="18" s="1"/>
  <c r="P13" i="18"/>
  <c r="P33" i="18" s="1"/>
  <c r="AA33" i="18" s="1"/>
  <c r="P10" i="18"/>
  <c r="P46" i="18" s="1"/>
  <c r="AA46" i="18" s="1"/>
  <c r="P8" i="18"/>
  <c r="P41" i="18" s="1"/>
  <c r="AA41" i="18" s="1"/>
  <c r="P6" i="18"/>
  <c r="P47" i="18" s="1"/>
  <c r="AA47" i="18" s="1"/>
  <c r="P4" i="18"/>
  <c r="P40" i="18" s="1"/>
  <c r="AA40" i="18" s="1"/>
  <c r="P2" i="18"/>
  <c r="P38" i="18" s="1"/>
  <c r="AA38" i="18" s="1"/>
  <c r="P30" i="18"/>
  <c r="P35" i="18" s="1"/>
  <c r="AA35" i="18" s="1"/>
  <c r="P28" i="18"/>
  <c r="P43" i="18" s="1"/>
  <c r="AA43" i="18" s="1"/>
  <c r="P26" i="18"/>
  <c r="P36" i="18" s="1"/>
  <c r="AA36" i="18" s="1"/>
  <c r="P24" i="18"/>
  <c r="P22" i="18"/>
  <c r="P37" i="18" s="1"/>
  <c r="AA37" i="18" s="1"/>
  <c r="P20" i="18"/>
  <c r="P18" i="18"/>
  <c r="P16" i="18"/>
  <c r="P14" i="18"/>
  <c r="P34" i="18" s="1"/>
  <c r="AA34" i="18" s="1"/>
  <c r="P12" i="18"/>
  <c r="P11" i="18"/>
  <c r="P39" i="18" s="1"/>
  <c r="AA39" i="18" s="1"/>
  <c r="P9" i="18"/>
  <c r="P7" i="18"/>
  <c r="P5" i="18"/>
  <c r="P3" i="18"/>
  <c r="P32" i="18" s="1"/>
  <c r="AA32" i="18" s="1"/>
  <c r="BR30" i="18"/>
  <c r="BR24" i="18"/>
  <c r="BR23" i="18"/>
  <c r="BR16" i="18"/>
  <c r="BR15" i="18"/>
  <c r="BR9" i="18"/>
  <c r="BR8" i="18"/>
  <c r="BR41" i="18" s="1"/>
  <c r="CF41" i="18" s="1"/>
  <c r="BR29" i="18"/>
  <c r="BR26" i="18"/>
  <c r="BR25" i="18"/>
  <c r="BR18" i="18"/>
  <c r="BR17" i="18"/>
  <c r="BR11" i="18"/>
  <c r="BR10" i="18"/>
  <c r="BR46" i="18" s="1"/>
  <c r="CF46" i="18" s="1"/>
  <c r="BR2" i="18"/>
  <c r="BR28" i="18"/>
  <c r="BR27" i="18"/>
  <c r="BR20" i="18"/>
  <c r="BR19" i="18"/>
  <c r="BR12" i="18"/>
  <c r="BR5" i="18"/>
  <c r="BR4" i="18"/>
  <c r="BR40" i="18" s="1"/>
  <c r="CF40" i="18" s="1"/>
  <c r="BR21" i="18"/>
  <c r="BR7" i="18"/>
  <c r="BR14" i="18"/>
  <c r="BR22" i="18"/>
  <c r="BR37" i="18" s="1"/>
  <c r="CF37" i="18" s="1"/>
  <c r="BR6" i="18"/>
  <c r="BR47" i="18" s="1"/>
  <c r="CF47" i="18" s="1"/>
  <c r="BR13" i="18"/>
  <c r="BR33" i="18" s="1"/>
  <c r="CF33" i="18" s="1"/>
  <c r="DX28" i="18"/>
  <c r="DX43" i="18" s="1"/>
  <c r="EL43" i="18" s="1"/>
  <c r="DX24" i="18"/>
  <c r="DX20" i="18"/>
  <c r="DX16" i="18"/>
  <c r="DX27" i="18"/>
  <c r="DX23" i="18"/>
  <c r="DX49" i="18" s="1"/>
  <c r="EL49" i="18" s="1"/>
  <c r="DX19" i="18"/>
  <c r="DX42" i="18" s="1"/>
  <c r="EL42" i="18" s="1"/>
  <c r="DX15" i="18"/>
  <c r="DX44" i="18" s="1"/>
  <c r="EL44" i="18" s="1"/>
  <c r="DX13" i="18"/>
  <c r="DX33" i="18" s="1"/>
  <c r="EL33" i="18" s="1"/>
  <c r="DX10" i="18"/>
  <c r="DX46" i="18" s="1"/>
  <c r="EL46" i="18" s="1"/>
  <c r="DX8" i="18"/>
  <c r="DX41" i="18" s="1"/>
  <c r="EL41" i="18" s="1"/>
  <c r="DX6" i="18"/>
  <c r="DX47" i="18" s="1"/>
  <c r="EL47" i="18" s="1"/>
  <c r="DX4" i="18"/>
  <c r="DX40" i="18" s="1"/>
  <c r="EL40" i="18" s="1"/>
  <c r="DX2" i="18"/>
  <c r="DX38" i="18" s="1"/>
  <c r="EL38" i="18" s="1"/>
  <c r="DX26" i="18"/>
  <c r="DX36" i="18" s="1"/>
  <c r="EL36" i="18" s="1"/>
  <c r="DX18" i="18"/>
  <c r="DX29" i="18"/>
  <c r="DX21" i="18"/>
  <c r="DX11" i="18"/>
  <c r="DX39" i="18" s="1"/>
  <c r="EL39" i="18" s="1"/>
  <c r="DX7" i="18"/>
  <c r="DX3" i="18"/>
  <c r="DX32" i="18" s="1"/>
  <c r="EL32" i="18" s="1"/>
  <c r="DX30" i="18"/>
  <c r="DX35" i="18" s="1"/>
  <c r="EL35" i="18" s="1"/>
  <c r="DX14" i="18"/>
  <c r="DX34" i="18" s="1"/>
  <c r="EL34" i="18" s="1"/>
  <c r="DX17" i="18"/>
  <c r="DX12" i="18"/>
  <c r="DX5" i="18"/>
  <c r="DX25" i="18"/>
  <c r="DX9" i="18"/>
  <c r="DX22" i="18"/>
  <c r="DX37" i="18" s="1"/>
  <c r="EL37" i="18" s="1"/>
  <c r="Q30" i="18"/>
  <c r="Q35" i="18" s="1"/>
  <c r="AB35" i="18" s="1"/>
  <c r="Q28" i="18"/>
  <c r="Q43" i="18" s="1"/>
  <c r="AB43" i="18" s="1"/>
  <c r="Q26" i="18"/>
  <c r="Q36" i="18" s="1"/>
  <c r="AB36" i="18" s="1"/>
  <c r="Q24" i="18"/>
  <c r="Q22" i="18"/>
  <c r="Q37" i="18" s="1"/>
  <c r="AB37" i="18" s="1"/>
  <c r="Q20" i="18"/>
  <c r="Q18" i="18"/>
  <c r="Q16" i="18"/>
  <c r="Q14" i="18"/>
  <c r="Q34" i="18" s="1"/>
  <c r="AB34" i="18" s="1"/>
  <c r="Q12" i="18"/>
  <c r="Q11" i="18"/>
  <c r="Q39" i="18" s="1"/>
  <c r="AB39" i="18" s="1"/>
  <c r="Q9" i="18"/>
  <c r="Q7" i="18"/>
  <c r="Q5" i="18"/>
  <c r="Q3" i="18"/>
  <c r="Q32" i="18" s="1"/>
  <c r="AB32" i="18" s="1"/>
  <c r="Q29" i="18"/>
  <c r="Q21" i="18"/>
  <c r="Q13" i="18"/>
  <c r="Q33" i="18" s="1"/>
  <c r="AB33" i="18" s="1"/>
  <c r="Q6" i="18"/>
  <c r="Q47" i="18" s="1"/>
  <c r="AB47" i="18" s="1"/>
  <c r="Q27" i="18"/>
  <c r="Q19" i="18"/>
  <c r="Q42" i="18" s="1"/>
  <c r="AB42" i="18" s="1"/>
  <c r="Q4" i="18"/>
  <c r="Q40" i="18" s="1"/>
  <c r="AB40" i="18" s="1"/>
  <c r="Q15" i="18"/>
  <c r="Q44" i="18" s="1"/>
  <c r="AB44" i="18" s="1"/>
  <c r="Q8" i="18"/>
  <c r="Q41" i="18" s="1"/>
  <c r="AB41" i="18" s="1"/>
  <c r="Q25" i="18"/>
  <c r="Q17" i="18"/>
  <c r="Q10" i="18"/>
  <c r="Q46" i="18" s="1"/>
  <c r="AB46" i="18" s="1"/>
  <c r="Q2" i="18"/>
  <c r="Q38" i="18" s="1"/>
  <c r="AB38" i="18" s="1"/>
  <c r="Q23" i="18"/>
  <c r="Q49" i="18" s="1"/>
  <c r="AB49" i="18" s="1"/>
  <c r="EY30" i="18"/>
  <c r="EY35" i="18" s="1"/>
  <c r="EY26" i="18"/>
  <c r="EY36" i="18" s="1"/>
  <c r="EY22" i="18"/>
  <c r="EY37" i="18" s="1"/>
  <c r="EY18" i="18"/>
  <c r="EY14" i="18"/>
  <c r="EY34" i="18" s="1"/>
  <c r="EY11" i="18"/>
  <c r="EY39" i="18" s="1"/>
  <c r="EY7" i="18"/>
  <c r="EY3" i="18"/>
  <c r="EY32" i="18" s="1"/>
  <c r="DT30" i="18"/>
  <c r="DT35" i="18" s="1"/>
  <c r="EH35" i="18" s="1"/>
  <c r="EY29" i="18"/>
  <c r="EY25" i="18"/>
  <c r="EY21" i="18"/>
  <c r="EY17" i="18"/>
  <c r="EY13" i="18"/>
  <c r="EY33" i="18" s="1"/>
  <c r="EY10" i="18"/>
  <c r="EY46" i="18" s="1"/>
  <c r="EY6" i="18"/>
  <c r="EY47" i="18" s="1"/>
  <c r="EY2" i="18"/>
  <c r="EY38" i="18" s="1"/>
  <c r="EY28" i="18"/>
  <c r="EY43" i="18" s="1"/>
  <c r="EY20" i="18"/>
  <c r="EY12" i="18"/>
  <c r="EY5" i="18"/>
  <c r="DT28" i="18"/>
  <c r="DT43" i="18" s="1"/>
  <c r="EH43" i="18" s="1"/>
  <c r="DT25" i="18"/>
  <c r="DT21" i="18"/>
  <c r="DT17" i="18"/>
  <c r="DT13" i="18"/>
  <c r="DT33" i="18" s="1"/>
  <c r="EH33" i="18" s="1"/>
  <c r="DT10" i="18"/>
  <c r="DT46" i="18" s="1"/>
  <c r="EH46" i="18" s="1"/>
  <c r="DT6" i="18"/>
  <c r="DT47" i="18" s="1"/>
  <c r="EH47" i="18" s="1"/>
  <c r="EY27" i="18"/>
  <c r="EY19" i="18"/>
  <c r="EY42" i="18" s="1"/>
  <c r="EY4" i="18"/>
  <c r="EY40" i="18" s="1"/>
  <c r="DT26" i="18"/>
  <c r="DT36" i="18" s="1"/>
  <c r="EH36" i="18" s="1"/>
  <c r="DT22" i="18"/>
  <c r="DT37" i="18" s="1"/>
  <c r="EH37" i="18" s="1"/>
  <c r="DT18" i="18"/>
  <c r="DT14" i="18"/>
  <c r="DT34" i="18" s="1"/>
  <c r="EH34" i="18" s="1"/>
  <c r="DT11" i="18"/>
  <c r="DT39" i="18" s="1"/>
  <c r="EH39" i="18" s="1"/>
  <c r="DT7" i="18"/>
  <c r="DT3" i="18"/>
  <c r="DT32" i="18" s="1"/>
  <c r="EH32" i="18" s="1"/>
  <c r="EY24" i="18"/>
  <c r="EY9" i="18"/>
  <c r="DT27" i="18"/>
  <c r="DT19" i="18"/>
  <c r="DT42" i="18" s="1"/>
  <c r="EH42" i="18" s="1"/>
  <c r="DT4" i="18"/>
  <c r="DT40" i="18" s="1"/>
  <c r="EH40" i="18" s="1"/>
  <c r="EY23" i="18"/>
  <c r="EY49" i="18" s="1"/>
  <c r="EY8" i="18"/>
  <c r="EY41" i="18" s="1"/>
  <c r="DT24" i="18"/>
  <c r="DT16" i="18"/>
  <c r="DT9" i="18"/>
  <c r="DT23" i="18"/>
  <c r="DT49" i="18" s="1"/>
  <c r="EH49" i="18" s="1"/>
  <c r="DT8" i="18"/>
  <c r="DT41" i="18" s="1"/>
  <c r="EH41" i="18" s="1"/>
  <c r="DT29" i="18"/>
  <c r="DT12" i="18"/>
  <c r="DT15" i="18"/>
  <c r="DT44" i="18" s="1"/>
  <c r="EH44" i="18" s="1"/>
  <c r="DT5" i="18"/>
  <c r="EY16" i="18"/>
  <c r="EY15" i="18"/>
  <c r="EY44" i="18" s="1"/>
  <c r="DT20" i="18"/>
  <c r="DT2" i="18"/>
  <c r="DT38" i="18" s="1"/>
  <c r="EH38" i="18" s="1"/>
  <c r="BN30" i="18"/>
  <c r="BN35" i="18" s="1"/>
  <c r="CB35" i="18" s="1"/>
  <c r="BN26" i="18"/>
  <c r="BN36" i="18" s="1"/>
  <c r="CB36" i="18" s="1"/>
  <c r="BN22" i="18"/>
  <c r="BN37" i="18" s="1"/>
  <c r="CB37" i="18" s="1"/>
  <c r="BN18" i="18"/>
  <c r="BN14" i="18"/>
  <c r="BN34" i="18" s="1"/>
  <c r="CB34" i="18" s="1"/>
  <c r="BN11" i="18"/>
  <c r="BN39" i="18" s="1"/>
  <c r="CB39" i="18" s="1"/>
  <c r="BN7" i="18"/>
  <c r="BN3" i="18"/>
  <c r="BN32" i="18" s="1"/>
  <c r="CB32" i="18" s="1"/>
  <c r="BN29" i="18"/>
  <c r="BN25" i="18"/>
  <c r="BN21" i="18"/>
  <c r="BN17" i="18"/>
  <c r="BN13" i="18"/>
  <c r="BN33" i="18" s="1"/>
  <c r="CB33" i="18" s="1"/>
  <c r="BN10" i="18"/>
  <c r="BN46" i="18" s="1"/>
  <c r="CB46" i="18" s="1"/>
  <c r="BN6" i="18"/>
  <c r="BN47" i="18" s="1"/>
  <c r="CB47" i="18" s="1"/>
  <c r="BN2" i="18"/>
  <c r="BN38" i="18" s="1"/>
  <c r="CB38" i="18" s="1"/>
  <c r="BN28" i="18"/>
  <c r="BN43" i="18" s="1"/>
  <c r="CB43" i="18" s="1"/>
  <c r="BN24" i="18"/>
  <c r="BN20" i="18"/>
  <c r="BN16" i="18"/>
  <c r="BN12" i="18"/>
  <c r="BN9" i="18"/>
  <c r="BN5" i="18"/>
  <c r="BN15" i="18"/>
  <c r="BN44" i="18" s="1"/>
  <c r="CB44" i="18" s="1"/>
  <c r="BN27" i="18"/>
  <c r="BN23" i="18"/>
  <c r="BN49" i="18" s="1"/>
  <c r="CB49" i="18" s="1"/>
  <c r="BN8" i="18"/>
  <c r="BN41" i="18" s="1"/>
  <c r="CB41" i="18" s="1"/>
  <c r="BN19" i="18"/>
  <c r="BN42" i="18" s="1"/>
  <c r="CB42" i="18" s="1"/>
  <c r="BN4" i="18"/>
  <c r="BN40" i="18" s="1"/>
  <c r="CB40" i="18" s="1"/>
  <c r="K38" i="5"/>
  <c r="BD30" i="5"/>
  <c r="BD35" i="5" s="1"/>
  <c r="BE35" i="5" s="1"/>
  <c r="BD27" i="5"/>
  <c r="BD25" i="5"/>
  <c r="BD22" i="5"/>
  <c r="BD37" i="5" s="1"/>
  <c r="BE37" i="5" s="1"/>
  <c r="BD18" i="5"/>
  <c r="BD15" i="5"/>
  <c r="BD12" i="5"/>
  <c r="BD5" i="5"/>
  <c r="BD2" i="5"/>
  <c r="BD38" i="5" s="1"/>
  <c r="BE38" i="5" s="1"/>
  <c r="AK29" i="5"/>
  <c r="AK20" i="5"/>
  <c r="AK17" i="5"/>
  <c r="AK14" i="5"/>
  <c r="AK34" i="5" s="1"/>
  <c r="AM34" i="5" s="1"/>
  <c r="AK7" i="5"/>
  <c r="AK4" i="5"/>
  <c r="AK40" i="5" s="1"/>
  <c r="AM40" i="5" s="1"/>
  <c r="BD29" i="5"/>
  <c r="BD20" i="5"/>
  <c r="BD17" i="5"/>
  <c r="BD14" i="5"/>
  <c r="BD34" i="5" s="1"/>
  <c r="BE34" i="5" s="1"/>
  <c r="BD7" i="5"/>
  <c r="BD4" i="5"/>
  <c r="BD40" i="5" s="1"/>
  <c r="BE40" i="5" s="1"/>
  <c r="AK28" i="5"/>
  <c r="AK43" i="5" s="1"/>
  <c r="AM43" i="5" s="1"/>
  <c r="AK26" i="5"/>
  <c r="AK36" i="5" s="1"/>
  <c r="AM36" i="5" s="1"/>
  <c r="AK24" i="5"/>
  <c r="AK19" i="5"/>
  <c r="AK42" i="5" s="1"/>
  <c r="AM42" i="5" s="1"/>
  <c r="AK11" i="5"/>
  <c r="AK39" i="5" s="1"/>
  <c r="AM39" i="5" s="1"/>
  <c r="AK9" i="5"/>
  <c r="AK6" i="5"/>
  <c r="AK47" i="5" s="1"/>
  <c r="AM47" i="5" s="1"/>
  <c r="AK3" i="5"/>
  <c r="AK32" i="5" s="1"/>
  <c r="AM32" i="5" s="1"/>
  <c r="BD28" i="5"/>
  <c r="BD43" i="5" s="1"/>
  <c r="BE43" i="5" s="1"/>
  <c r="BD26" i="5"/>
  <c r="BD36" i="5" s="1"/>
  <c r="BE36" i="5" s="1"/>
  <c r="BD24" i="5"/>
  <c r="BD19" i="5"/>
  <c r="BD42" i="5" s="1"/>
  <c r="BE42" i="5" s="1"/>
  <c r="BD11" i="5"/>
  <c r="BD39" i="5" s="1"/>
  <c r="BE39" i="5" s="1"/>
  <c r="BD9" i="5"/>
  <c r="BD6" i="5"/>
  <c r="BD3" i="5"/>
  <c r="BD32" i="5" s="1"/>
  <c r="AK23" i="5"/>
  <c r="AK49" i="5" s="1"/>
  <c r="AM49" i="5" s="1"/>
  <c r="AK21" i="5"/>
  <c r="AK16" i="5"/>
  <c r="AK13" i="5"/>
  <c r="AK33" i="5" s="1"/>
  <c r="AM33" i="5" s="1"/>
  <c r="AK10" i="5"/>
  <c r="AK46" i="5" s="1"/>
  <c r="AM46" i="5" s="1"/>
  <c r="AK8" i="5"/>
  <c r="AK41" i="5" s="1"/>
  <c r="AM41" i="5" s="1"/>
  <c r="BD23" i="5"/>
  <c r="BD49" i="5" s="1"/>
  <c r="BE49" i="5" s="1"/>
  <c r="BD21" i="5"/>
  <c r="BD16" i="5"/>
  <c r="BD13" i="5"/>
  <c r="BD33" i="5" s="1"/>
  <c r="BE33" i="5" s="1"/>
  <c r="BD10" i="5"/>
  <c r="BD46" i="5" s="1"/>
  <c r="BE46" i="5" s="1"/>
  <c r="BD8" i="5"/>
  <c r="BD41" i="5" s="1"/>
  <c r="BE41" i="5" s="1"/>
  <c r="AK30" i="5"/>
  <c r="AK35" i="5" s="1"/>
  <c r="AM35" i="5" s="1"/>
  <c r="AK27" i="5"/>
  <c r="AK25" i="5"/>
  <c r="AK22" i="5"/>
  <c r="AK37" i="5" s="1"/>
  <c r="AM37" i="5" s="1"/>
  <c r="AK18" i="5"/>
  <c r="AK15" i="5"/>
  <c r="AK44" i="5" s="1"/>
  <c r="AM44" i="5" s="1"/>
  <c r="AK12" i="5"/>
  <c r="AK5" i="5"/>
  <c r="AK2" i="5"/>
  <c r="AK38" i="5" s="1"/>
  <c r="AM38" i="5" s="1"/>
  <c r="X36" i="5"/>
  <c r="AC36" i="5" s="1"/>
  <c r="Y42" i="5"/>
  <c r="Z32" i="5"/>
  <c r="Z38" i="5"/>
  <c r="AA35" i="5"/>
  <c r="X37" i="5"/>
  <c r="AC37" i="5" s="1"/>
  <c r="Y39" i="5"/>
  <c r="Y47" i="5"/>
  <c r="X32" i="5"/>
  <c r="AA49" i="5"/>
  <c r="AA42" i="5"/>
  <c r="AA34" i="5"/>
  <c r="AA46" i="5"/>
  <c r="AA41" i="5"/>
  <c r="W47" i="5"/>
  <c r="W49" i="5"/>
  <c r="W42" i="5"/>
  <c r="AB42" i="5" s="1"/>
  <c r="W34" i="5"/>
  <c r="AB34" i="5" s="1"/>
  <c r="W40" i="5"/>
  <c r="AB40" i="5" s="1"/>
  <c r="Z43" i="5"/>
  <c r="Y49" i="5"/>
  <c r="AA32" i="5"/>
  <c r="X49" i="5"/>
  <c r="Z39" i="5"/>
  <c r="Z47" i="5"/>
  <c r="X40" i="5"/>
  <c r="AC40" i="5" s="1"/>
  <c r="AA38" i="5"/>
  <c r="X43" i="5"/>
  <c r="AC43" i="5" s="1"/>
  <c r="Y33" i="5"/>
  <c r="Y38" i="5"/>
  <c r="Z40" i="5"/>
  <c r="X38" i="5"/>
  <c r="AC38" i="5" s="1"/>
  <c r="K36" i="5"/>
  <c r="O36" i="5" s="1"/>
  <c r="K35" i="5"/>
  <c r="O35" i="5" s="1"/>
  <c r="K41" i="5"/>
  <c r="O41" i="5" s="1"/>
  <c r="K39" i="5"/>
  <c r="O39" i="5" s="1"/>
  <c r="K44" i="5"/>
  <c r="O44" i="5" s="1"/>
  <c r="K43" i="5"/>
  <c r="O43" i="5" s="1"/>
  <c r="K37" i="5"/>
  <c r="O37" i="5" s="1"/>
  <c r="K32" i="5"/>
  <c r="O32" i="5" s="1"/>
  <c r="AA43" i="5"/>
  <c r="Z37" i="5"/>
  <c r="X44" i="5"/>
  <c r="AC44" i="5" s="1"/>
  <c r="Y46" i="5"/>
  <c r="Y41" i="5"/>
  <c r="Y43" i="5"/>
  <c r="Y37" i="5"/>
  <c r="X42" i="5"/>
  <c r="AC42" i="5" s="1"/>
  <c r="Z33" i="5"/>
  <c r="AA39" i="5"/>
  <c r="AA47" i="5"/>
  <c r="Y32" i="5"/>
  <c r="Z36" i="5"/>
  <c r="Z44" i="5"/>
  <c r="Y35" i="5"/>
  <c r="Y36" i="5"/>
  <c r="Y44" i="5"/>
  <c r="X33" i="5"/>
  <c r="AC33" i="5" s="1"/>
  <c r="X39" i="5"/>
  <c r="AC39" i="5" s="1"/>
  <c r="X47" i="5"/>
  <c r="AC47" i="5" s="1"/>
  <c r="AA40" i="5"/>
  <c r="W38" i="5"/>
  <c r="AB38" i="5" s="1"/>
  <c r="W36" i="5"/>
  <c r="AB36" i="5" s="1"/>
  <c r="W35" i="5"/>
  <c r="AB35" i="5" s="1"/>
  <c r="W41" i="5"/>
  <c r="AB41" i="5" s="1"/>
  <c r="W39" i="5"/>
  <c r="AB39" i="5" s="1"/>
  <c r="W44" i="5"/>
  <c r="AB44" i="5" s="1"/>
  <c r="W43" i="5"/>
  <c r="AB43" i="5" s="1"/>
  <c r="W37" i="5"/>
  <c r="AB37" i="5" s="1"/>
  <c r="X35" i="5"/>
  <c r="AC35" i="5" s="1"/>
  <c r="AA37" i="5"/>
  <c r="Y34" i="5"/>
  <c r="Y40" i="5"/>
  <c r="X34" i="5"/>
  <c r="AC34" i="5" s="1"/>
  <c r="AA33" i="5"/>
  <c r="X46" i="5"/>
  <c r="X41" i="5"/>
  <c r="AC41" i="5" s="1"/>
  <c r="Z35" i="5"/>
  <c r="AA36" i="5"/>
  <c r="AA44" i="5"/>
  <c r="Z49" i="5"/>
  <c r="Z42" i="5"/>
  <c r="Z34" i="5"/>
  <c r="Z46" i="5"/>
  <c r="Z41" i="5"/>
  <c r="K33" i="5"/>
  <c r="O33" i="5" s="1"/>
  <c r="K49" i="5"/>
  <c r="K42" i="5"/>
  <c r="O42" i="5" s="1"/>
  <c r="K34" i="5"/>
  <c r="O34" i="5" s="1"/>
  <c r="K46" i="5"/>
  <c r="K40" i="5"/>
  <c r="O40" i="5" s="1"/>
  <c r="AT30" i="5"/>
  <c r="AT35" i="5" s="1"/>
  <c r="AT27" i="5"/>
  <c r="AT25" i="5"/>
  <c r="AT22" i="5"/>
  <c r="AT37" i="5" s="1"/>
  <c r="AT18" i="5"/>
  <c r="AT15" i="5"/>
  <c r="AT44" i="5" s="1"/>
  <c r="AT12" i="5"/>
  <c r="AT5" i="5"/>
  <c r="AT2" i="5"/>
  <c r="AT38" i="5" s="1"/>
  <c r="AT29" i="5"/>
  <c r="AT20" i="5"/>
  <c r="AT17" i="5"/>
  <c r="AT14" i="5"/>
  <c r="AT34" i="5" s="1"/>
  <c r="AT7" i="5"/>
  <c r="AT4" i="5"/>
  <c r="AT40" i="5" s="1"/>
  <c r="AT28" i="5"/>
  <c r="AT43" i="5" s="1"/>
  <c r="AT26" i="5"/>
  <c r="AT36" i="5" s="1"/>
  <c r="AT24" i="5"/>
  <c r="AT19" i="5"/>
  <c r="AT42" i="5" s="1"/>
  <c r="AT11" i="5"/>
  <c r="AT39" i="5" s="1"/>
  <c r="AT9" i="5"/>
  <c r="AT6" i="5"/>
  <c r="AT47" i="5" s="1"/>
  <c r="AT3" i="5"/>
  <c r="AT32" i="5" s="1"/>
  <c r="AT23" i="5"/>
  <c r="AT49" i="5" s="1"/>
  <c r="AT21" i="5"/>
  <c r="AT16" i="5"/>
  <c r="AT13" i="5"/>
  <c r="AT33" i="5" s="1"/>
  <c r="AT10" i="5"/>
  <c r="AT46" i="5" s="1"/>
  <c r="AT8" i="5"/>
  <c r="AT41" i="5" s="1"/>
  <c r="AE30" i="31"/>
  <c r="AE35" i="31" s="1"/>
  <c r="AE26" i="31"/>
  <c r="AE36" i="31" s="1"/>
  <c r="AE22" i="31"/>
  <c r="AE37" i="31" s="1"/>
  <c r="AE18" i="31"/>
  <c r="AE14" i="31"/>
  <c r="AE34" i="31" s="1"/>
  <c r="AE11" i="31"/>
  <c r="AE39" i="31" s="1"/>
  <c r="AE7" i="31"/>
  <c r="AE3" i="31"/>
  <c r="AE32" i="31" s="1"/>
  <c r="AE27" i="31"/>
  <c r="AE23" i="31"/>
  <c r="AE19" i="31"/>
  <c r="AE42" i="31" s="1"/>
  <c r="AE15" i="31"/>
  <c r="AE44" i="31" s="1"/>
  <c r="AE8" i="31"/>
  <c r="AE41" i="31" s="1"/>
  <c r="AE4" i="31"/>
  <c r="AE40" i="31" s="1"/>
  <c r="AE16" i="31"/>
  <c r="AE28" i="31"/>
  <c r="AE43" i="31" s="1"/>
  <c r="AE24" i="31"/>
  <c r="AE20" i="31"/>
  <c r="AE9" i="31"/>
  <c r="AE5" i="31"/>
  <c r="AE29" i="31"/>
  <c r="AE25" i="31"/>
  <c r="AE21" i="31"/>
  <c r="AE17" i="31"/>
  <c r="AE13" i="31"/>
  <c r="AE33" i="31" s="1"/>
  <c r="AE10" i="31"/>
  <c r="AE46" i="31" s="1"/>
  <c r="AE6" i="31"/>
  <c r="AE47" i="31" s="1"/>
  <c r="AE2" i="31"/>
  <c r="AE38" i="31" s="1"/>
  <c r="AE12" i="31"/>
  <c r="AI30" i="31"/>
  <c r="AI35" i="31" s="1"/>
  <c r="AI26" i="31"/>
  <c r="AI36" i="31" s="1"/>
  <c r="AI22" i="31"/>
  <c r="AI37" i="31" s="1"/>
  <c r="AI18" i="31"/>
  <c r="AI14" i="31"/>
  <c r="AI34" i="31" s="1"/>
  <c r="AI11" i="31"/>
  <c r="AI39" i="31" s="1"/>
  <c r="AI7" i="31"/>
  <c r="AI3" i="31"/>
  <c r="AI32" i="31" s="1"/>
  <c r="AI16" i="31"/>
  <c r="AI5" i="31"/>
  <c r="AI27" i="31"/>
  <c r="AI23" i="31"/>
  <c r="AI19" i="31"/>
  <c r="AI42" i="31" s="1"/>
  <c r="AI15" i="31"/>
  <c r="AI44" i="31" s="1"/>
  <c r="AI8" i="31"/>
  <c r="AI41" i="31" s="1"/>
  <c r="AI4" i="31"/>
  <c r="AI40" i="31" s="1"/>
  <c r="AI12" i="31"/>
  <c r="AI9" i="31"/>
  <c r="AI28" i="31"/>
  <c r="AI43" i="31" s="1"/>
  <c r="AI24" i="31"/>
  <c r="AI20" i="31"/>
  <c r="AI29" i="31"/>
  <c r="AI25" i="31"/>
  <c r="AI21" i="31"/>
  <c r="AI17" i="31"/>
  <c r="AI13" i="31"/>
  <c r="AI33" i="31" s="1"/>
  <c r="AI10" i="31"/>
  <c r="AI46" i="31" s="1"/>
  <c r="AI6" i="31"/>
  <c r="AI47" i="31" s="1"/>
  <c r="AI2" i="31"/>
  <c r="AI38" i="31" s="1"/>
  <c r="AL29" i="31"/>
  <c r="AL25" i="31"/>
  <c r="AL21" i="31"/>
  <c r="AL17" i="31"/>
  <c r="AL13" i="31"/>
  <c r="AL33" i="31" s="1"/>
  <c r="AL10" i="31"/>
  <c r="AL46" i="31" s="1"/>
  <c r="AL6" i="31"/>
  <c r="AL47" i="31" s="1"/>
  <c r="AL2" i="31"/>
  <c r="AL38" i="31" s="1"/>
  <c r="AL30" i="31"/>
  <c r="AL35" i="31" s="1"/>
  <c r="AL26" i="31"/>
  <c r="AL36" i="31" s="1"/>
  <c r="AL22" i="31"/>
  <c r="AL37" i="31" s="1"/>
  <c r="AL18" i="31"/>
  <c r="AL14" i="31"/>
  <c r="AL34" i="31" s="1"/>
  <c r="AL11" i="31"/>
  <c r="AL39" i="31" s="1"/>
  <c r="AL7" i="31"/>
  <c r="AL3" i="31"/>
  <c r="AL32" i="31" s="1"/>
  <c r="AL27" i="31"/>
  <c r="AL23" i="31"/>
  <c r="AL19" i="31"/>
  <c r="AL42" i="31" s="1"/>
  <c r="AL15" i="31"/>
  <c r="AL44" i="31" s="1"/>
  <c r="AL4" i="31"/>
  <c r="AL40" i="31" s="1"/>
  <c r="AL28" i="31"/>
  <c r="AL43" i="31" s="1"/>
  <c r="AL24" i="31"/>
  <c r="AL20" i="31"/>
  <c r="AL16" i="31"/>
  <c r="AL12" i="31"/>
  <c r="AL9" i="31"/>
  <c r="AL5" i="31"/>
  <c r="AL8" i="31"/>
  <c r="AL41" i="31" s="1"/>
  <c r="AP29" i="31"/>
  <c r="AP25" i="31"/>
  <c r="AP21" i="31"/>
  <c r="AP17" i="31"/>
  <c r="AP13" i="31"/>
  <c r="AP33" i="31" s="1"/>
  <c r="AP10" i="31"/>
  <c r="AP46" i="31" s="1"/>
  <c r="AP6" i="31"/>
  <c r="AP47" i="31" s="1"/>
  <c r="AP2" i="31"/>
  <c r="AP38" i="31" s="1"/>
  <c r="AP4" i="31"/>
  <c r="AP40" i="31" s="1"/>
  <c r="AP30" i="31"/>
  <c r="AP35" i="31" s="1"/>
  <c r="AP26" i="31"/>
  <c r="AP36" i="31" s="1"/>
  <c r="AP22" i="31"/>
  <c r="AP37" i="31" s="1"/>
  <c r="AP18" i="31"/>
  <c r="AP14" i="31"/>
  <c r="AP34" i="31" s="1"/>
  <c r="AP11" i="31"/>
  <c r="AP39" i="31" s="1"/>
  <c r="AP7" i="31"/>
  <c r="AP3" i="31"/>
  <c r="AP32" i="31" s="1"/>
  <c r="AP8" i="31"/>
  <c r="AP41" i="31" s="1"/>
  <c r="AP27" i="31"/>
  <c r="AP23" i="31"/>
  <c r="AP19" i="31"/>
  <c r="AP42" i="31" s="1"/>
  <c r="AP28" i="31"/>
  <c r="AP43" i="31" s="1"/>
  <c r="AP24" i="31"/>
  <c r="AP20" i="31"/>
  <c r="AP16" i="31"/>
  <c r="AP12" i="31"/>
  <c r="AP9" i="31"/>
  <c r="AP5" i="31"/>
  <c r="AP15" i="31"/>
  <c r="AP44" i="31" s="1"/>
  <c r="AT29" i="31"/>
  <c r="AT25" i="31"/>
  <c r="AT21" i="31"/>
  <c r="AT17" i="31"/>
  <c r="AT13" i="31"/>
  <c r="AT33" i="31" s="1"/>
  <c r="AT10" i="31"/>
  <c r="AT46" i="31" s="1"/>
  <c r="AT45" i="31" s="1"/>
  <c r="AT6" i="31"/>
  <c r="AT47" i="31" s="1"/>
  <c r="AT2" i="31"/>
  <c r="AT38" i="31" s="1"/>
  <c r="AT8" i="31"/>
  <c r="AT41" i="31" s="1"/>
  <c r="AT30" i="31"/>
  <c r="AT35" i="31" s="1"/>
  <c r="AT26" i="31"/>
  <c r="AT36" i="31" s="1"/>
  <c r="AT22" i="31"/>
  <c r="AT37" i="31" s="1"/>
  <c r="AT18" i="31"/>
  <c r="AT14" i="31"/>
  <c r="AT34" i="31" s="1"/>
  <c r="AT11" i="31"/>
  <c r="AT39" i="31" s="1"/>
  <c r="AT7" i="31"/>
  <c r="AT3" i="31"/>
  <c r="AT32" i="31" s="1"/>
  <c r="AT4" i="31"/>
  <c r="AT40" i="31" s="1"/>
  <c r="AT27" i="31"/>
  <c r="AT23" i="31"/>
  <c r="AT19" i="31"/>
  <c r="AT42" i="31" s="1"/>
  <c r="AT15" i="31"/>
  <c r="AT44" i="31" s="1"/>
  <c r="AT28" i="31"/>
  <c r="AT43" i="31" s="1"/>
  <c r="AT24" i="31"/>
  <c r="AT20" i="31"/>
  <c r="AT16" i="31"/>
  <c r="AT12" i="31"/>
  <c r="AT9" i="31"/>
  <c r="AT5" i="31"/>
  <c r="AW28" i="31"/>
  <c r="AW43" i="31" s="1"/>
  <c r="AW24" i="31"/>
  <c r="AW20" i="31"/>
  <c r="AW16" i="31"/>
  <c r="AW12" i="31"/>
  <c r="AW9" i="31"/>
  <c r="AW5" i="31"/>
  <c r="AW3" i="31"/>
  <c r="AW32" i="31" s="1"/>
  <c r="AW29" i="31"/>
  <c r="AW25" i="31"/>
  <c r="AW21" i="31"/>
  <c r="AW17" i="31"/>
  <c r="AW13" i="31"/>
  <c r="AW33" i="31" s="1"/>
  <c r="AW10" i="31"/>
  <c r="AW46" i="31" s="1"/>
  <c r="AW6" i="31"/>
  <c r="AW47" i="31" s="1"/>
  <c r="AW2" i="31"/>
  <c r="AW38" i="31" s="1"/>
  <c r="AW11" i="31"/>
  <c r="AW39" i="31" s="1"/>
  <c r="AW7" i="31"/>
  <c r="AW30" i="31"/>
  <c r="AW35" i="31" s="1"/>
  <c r="AW26" i="31"/>
  <c r="AW36" i="31" s="1"/>
  <c r="AW22" i="31"/>
  <c r="AW37" i="31" s="1"/>
  <c r="AW18" i="31"/>
  <c r="AW14" i="31"/>
  <c r="AW34" i="31" s="1"/>
  <c r="AW27" i="31"/>
  <c r="AW23" i="31"/>
  <c r="AW19" i="31"/>
  <c r="AW42" i="31" s="1"/>
  <c r="AW15" i="31"/>
  <c r="AW44" i="31" s="1"/>
  <c r="AW8" i="31"/>
  <c r="AW41" i="31" s="1"/>
  <c r="AW4" i="31"/>
  <c r="AW40" i="31" s="1"/>
  <c r="CG30" i="31"/>
  <c r="CG35" i="31" s="1"/>
  <c r="CG29" i="31"/>
  <c r="CG28" i="31"/>
  <c r="CG43" i="31" s="1"/>
  <c r="CG27" i="31"/>
  <c r="CG26" i="31"/>
  <c r="CG36" i="31" s="1"/>
  <c r="CG25" i="31"/>
  <c r="CG24" i="31"/>
  <c r="CG23" i="31"/>
  <c r="CG22" i="31"/>
  <c r="CG37" i="31" s="1"/>
  <c r="CG21" i="31"/>
  <c r="CG20" i="31"/>
  <c r="CG19" i="31"/>
  <c r="CG42" i="31" s="1"/>
  <c r="CG18" i="31"/>
  <c r="CG17" i="31"/>
  <c r="CG16" i="31"/>
  <c r="CG15" i="31"/>
  <c r="CG44" i="31" s="1"/>
  <c r="CG14" i="31"/>
  <c r="CG34" i="31" s="1"/>
  <c r="CG13" i="31"/>
  <c r="CG33" i="31" s="1"/>
  <c r="CG12" i="31"/>
  <c r="CG11" i="31"/>
  <c r="CG39" i="31" s="1"/>
  <c r="CG10" i="31"/>
  <c r="CG46" i="31" s="1"/>
  <c r="CG9" i="31"/>
  <c r="CG8" i="31"/>
  <c r="CG41" i="31" s="1"/>
  <c r="CG7" i="31"/>
  <c r="CG6" i="31"/>
  <c r="CG47" i="31" s="1"/>
  <c r="CG5" i="31"/>
  <c r="CG4" i="31"/>
  <c r="CG40" i="31" s="1"/>
  <c r="CG3" i="31"/>
  <c r="CG32" i="31" s="1"/>
  <c r="CG2" i="31"/>
  <c r="CG38" i="31" s="1"/>
  <c r="CG2" i="30"/>
  <c r="CG38" i="30" s="1"/>
  <c r="CG31" i="30" s="1"/>
  <c r="BH2" i="30"/>
  <c r="CJ30" i="31"/>
  <c r="CJ35" i="31" s="1"/>
  <c r="CJ29" i="31"/>
  <c r="CJ28" i="31"/>
  <c r="CJ43" i="31" s="1"/>
  <c r="CJ27" i="31"/>
  <c r="CJ26" i="31"/>
  <c r="CJ36" i="31" s="1"/>
  <c r="CJ25" i="31"/>
  <c r="CJ24" i="31"/>
  <c r="CJ23" i="31"/>
  <c r="CJ22" i="31"/>
  <c r="CJ37" i="31" s="1"/>
  <c r="CJ21" i="31"/>
  <c r="CJ20" i="31"/>
  <c r="CJ19" i="31"/>
  <c r="CJ42" i="31" s="1"/>
  <c r="CJ18" i="31"/>
  <c r="CJ17" i="31"/>
  <c r="CJ16" i="31"/>
  <c r="CJ15" i="31"/>
  <c r="CJ44" i="31" s="1"/>
  <c r="CJ14" i="31"/>
  <c r="CJ34" i="31" s="1"/>
  <c r="CJ13" i="31"/>
  <c r="CJ33" i="31" s="1"/>
  <c r="CJ12" i="31"/>
  <c r="CJ11" i="31"/>
  <c r="CJ39" i="31" s="1"/>
  <c r="CJ10" i="31"/>
  <c r="CJ46" i="31" s="1"/>
  <c r="CJ9" i="31"/>
  <c r="CJ8" i="31"/>
  <c r="CJ41" i="31" s="1"/>
  <c r="CJ7" i="31"/>
  <c r="CJ6" i="31"/>
  <c r="CJ47" i="31" s="1"/>
  <c r="CJ45" i="31" s="1"/>
  <c r="CJ5" i="31"/>
  <c r="CJ4" i="31"/>
  <c r="CJ40" i="31" s="1"/>
  <c r="CJ3" i="31"/>
  <c r="CJ32" i="31" s="1"/>
  <c r="CJ2" i="31"/>
  <c r="CJ38" i="31" s="1"/>
  <c r="CJ2" i="30"/>
  <c r="CJ38" i="30" s="1"/>
  <c r="CJ31" i="30" s="1"/>
  <c r="BK2" i="30"/>
  <c r="CN30" i="31"/>
  <c r="CN35" i="31" s="1"/>
  <c r="CN29" i="31"/>
  <c r="CN28" i="31"/>
  <c r="CN43" i="31" s="1"/>
  <c r="CN27" i="31"/>
  <c r="CN26" i="31"/>
  <c r="CN36" i="31" s="1"/>
  <c r="CN25" i="31"/>
  <c r="CN24" i="31"/>
  <c r="CN23" i="31"/>
  <c r="CN22" i="31"/>
  <c r="CN37" i="31" s="1"/>
  <c r="CN21" i="31"/>
  <c r="CN20" i="31"/>
  <c r="CN19" i="31"/>
  <c r="CN42" i="31" s="1"/>
  <c r="CN18" i="31"/>
  <c r="CN17" i="31"/>
  <c r="CN16" i="31"/>
  <c r="CN15" i="31"/>
  <c r="CN44" i="31" s="1"/>
  <c r="CN14" i="31"/>
  <c r="CN34" i="31" s="1"/>
  <c r="CN13" i="31"/>
  <c r="CN33" i="31" s="1"/>
  <c r="CN12" i="31"/>
  <c r="CN11" i="31"/>
  <c r="CN39" i="31" s="1"/>
  <c r="CN10" i="31"/>
  <c r="CN46" i="31" s="1"/>
  <c r="CN9" i="31"/>
  <c r="CN8" i="31"/>
  <c r="CN41" i="31" s="1"/>
  <c r="CN7" i="31"/>
  <c r="CN6" i="31"/>
  <c r="CN47" i="31" s="1"/>
  <c r="CN45" i="31" s="1"/>
  <c r="CN5" i="31"/>
  <c r="CN4" i="31"/>
  <c r="CN40" i="31" s="1"/>
  <c r="CN3" i="31"/>
  <c r="CN32" i="31" s="1"/>
  <c r="CN2" i="31"/>
  <c r="CN38" i="31" s="1"/>
  <c r="CN2" i="30"/>
  <c r="CN38" i="30" s="1"/>
  <c r="CN31" i="30" s="1"/>
  <c r="BO2" i="30"/>
  <c r="CR30" i="31"/>
  <c r="CR35" i="31" s="1"/>
  <c r="CR29" i="31"/>
  <c r="CR28" i="31"/>
  <c r="CR43" i="31" s="1"/>
  <c r="CR27" i="31"/>
  <c r="CR26" i="31"/>
  <c r="CR36" i="31" s="1"/>
  <c r="CR25" i="31"/>
  <c r="CR24" i="31"/>
  <c r="CR23" i="31"/>
  <c r="CR22" i="31"/>
  <c r="CR37" i="31" s="1"/>
  <c r="CR21" i="31"/>
  <c r="CR20" i="31"/>
  <c r="CR19" i="31"/>
  <c r="CR42" i="31" s="1"/>
  <c r="CR18" i="31"/>
  <c r="CR17" i="31"/>
  <c r="CR16" i="31"/>
  <c r="CR15" i="31"/>
  <c r="CR44" i="31" s="1"/>
  <c r="CR14" i="31"/>
  <c r="CR34" i="31" s="1"/>
  <c r="CR13" i="31"/>
  <c r="CR33" i="31" s="1"/>
  <c r="CR12" i="31"/>
  <c r="CR11" i="31"/>
  <c r="CR39" i="31" s="1"/>
  <c r="CR10" i="31"/>
  <c r="CR46" i="31" s="1"/>
  <c r="CR9" i="31"/>
  <c r="CR8" i="31"/>
  <c r="CR41" i="31" s="1"/>
  <c r="CR7" i="31"/>
  <c r="CR6" i="31"/>
  <c r="CR47" i="31" s="1"/>
  <c r="CR45" i="31" s="1"/>
  <c r="CR5" i="31"/>
  <c r="CR4" i="31"/>
  <c r="CR40" i="31" s="1"/>
  <c r="CR3" i="31"/>
  <c r="CR32" i="31" s="1"/>
  <c r="CR2" i="31"/>
  <c r="CR38" i="31" s="1"/>
  <c r="CR2" i="30"/>
  <c r="CR38" i="30" s="1"/>
  <c r="CR31" i="30" s="1"/>
  <c r="BS2" i="30"/>
  <c r="CU30" i="31"/>
  <c r="CU35" i="31" s="1"/>
  <c r="CU29" i="31"/>
  <c r="CU28" i="31"/>
  <c r="CU43" i="31" s="1"/>
  <c r="CU27" i="31"/>
  <c r="CU26" i="31"/>
  <c r="CU36" i="31" s="1"/>
  <c r="CU25" i="31"/>
  <c r="CU24" i="31"/>
  <c r="CU23" i="31"/>
  <c r="CU22" i="31"/>
  <c r="CU37" i="31" s="1"/>
  <c r="CU21" i="31"/>
  <c r="CU20" i="31"/>
  <c r="CU19" i="31"/>
  <c r="CU42" i="31" s="1"/>
  <c r="CU18" i="31"/>
  <c r="CU17" i="31"/>
  <c r="CU16" i="31"/>
  <c r="CU15" i="31"/>
  <c r="CU44" i="31" s="1"/>
  <c r="CU14" i="31"/>
  <c r="CU34" i="31" s="1"/>
  <c r="CU13" i="31"/>
  <c r="CU33" i="31" s="1"/>
  <c r="CU12" i="31"/>
  <c r="CU11" i="31"/>
  <c r="CU39" i="31" s="1"/>
  <c r="CU10" i="31"/>
  <c r="CU46" i="31" s="1"/>
  <c r="CU9" i="31"/>
  <c r="CU8" i="31"/>
  <c r="CU41" i="31" s="1"/>
  <c r="CU7" i="31"/>
  <c r="CU6" i="31"/>
  <c r="CU47" i="31" s="1"/>
  <c r="CU5" i="31"/>
  <c r="CU4" i="31"/>
  <c r="CU40" i="31" s="1"/>
  <c r="CU3" i="31"/>
  <c r="CU32" i="31" s="1"/>
  <c r="CU2" i="31"/>
  <c r="CU38" i="31" s="1"/>
  <c r="CU2" i="30"/>
  <c r="CU38" i="30" s="1"/>
  <c r="CU31" i="30" s="1"/>
  <c r="BV2" i="30"/>
  <c r="BU29" i="18"/>
  <c r="BU28" i="18"/>
  <c r="BU43" i="18" s="1"/>
  <c r="CI43" i="18" s="1"/>
  <c r="BU21" i="18"/>
  <c r="BU20" i="18"/>
  <c r="BU13" i="18"/>
  <c r="BU33" i="18" s="1"/>
  <c r="CI33" i="18" s="1"/>
  <c r="BU12" i="18"/>
  <c r="BU6" i="18"/>
  <c r="BU47" i="18" s="1"/>
  <c r="CI47" i="18" s="1"/>
  <c r="BU5" i="18"/>
  <c r="BU30" i="18"/>
  <c r="BU35" i="18" s="1"/>
  <c r="CI35" i="18" s="1"/>
  <c r="BU23" i="18"/>
  <c r="BU49" i="18" s="1"/>
  <c r="CI49" i="18" s="1"/>
  <c r="BU22" i="18"/>
  <c r="BU37" i="18" s="1"/>
  <c r="CI37" i="18" s="1"/>
  <c r="BU15" i="18"/>
  <c r="BU44" i="18" s="1"/>
  <c r="CI44" i="18" s="1"/>
  <c r="BU14" i="18"/>
  <c r="BU34" i="18" s="1"/>
  <c r="CI34" i="18" s="1"/>
  <c r="BU8" i="18"/>
  <c r="BU41" i="18" s="1"/>
  <c r="CI41" i="18" s="1"/>
  <c r="BU7" i="18"/>
  <c r="BU25" i="18"/>
  <c r="BU24" i="18"/>
  <c r="BU17" i="18"/>
  <c r="BU16" i="18"/>
  <c r="BU10" i="18"/>
  <c r="BU46" i="18" s="1"/>
  <c r="CI46" i="18" s="1"/>
  <c r="BU9" i="18"/>
  <c r="BU19" i="18"/>
  <c r="BU42" i="18" s="1"/>
  <c r="CI42" i="18" s="1"/>
  <c r="BU2" i="18"/>
  <c r="BU38" i="18" s="1"/>
  <c r="CI38" i="18" s="1"/>
  <c r="BU27" i="18"/>
  <c r="BU11" i="18"/>
  <c r="BU39" i="18" s="1"/>
  <c r="CI39" i="18" s="1"/>
  <c r="BU18" i="18"/>
  <c r="BU4" i="18"/>
  <c r="BU40" i="18" s="1"/>
  <c r="CI40" i="18" s="1"/>
  <c r="BU26" i="18"/>
  <c r="BU36" i="18" s="1"/>
  <c r="CI36" i="18" s="1"/>
  <c r="EA29" i="18"/>
  <c r="EA25" i="18"/>
  <c r="EA21" i="18"/>
  <c r="EA17" i="18"/>
  <c r="EA28" i="18"/>
  <c r="EA43" i="18" s="1"/>
  <c r="EO43" i="18" s="1"/>
  <c r="EA24" i="18"/>
  <c r="EA20" i="18"/>
  <c r="EA16" i="18"/>
  <c r="EA12" i="18"/>
  <c r="EA11" i="18"/>
  <c r="EA39" i="18" s="1"/>
  <c r="EO39" i="18" s="1"/>
  <c r="EA9" i="18"/>
  <c r="EA7" i="18"/>
  <c r="EA5" i="18"/>
  <c r="EA3" i="18"/>
  <c r="EA32" i="18" s="1"/>
  <c r="EO32" i="18" s="1"/>
  <c r="EA23" i="18"/>
  <c r="EA49" i="18" s="1"/>
  <c r="EO49" i="18" s="1"/>
  <c r="EA15" i="18"/>
  <c r="EA44" i="18" s="1"/>
  <c r="EO44" i="18" s="1"/>
  <c r="EA26" i="18"/>
  <c r="EA36" i="18" s="1"/>
  <c r="EO36" i="18" s="1"/>
  <c r="EA18" i="18"/>
  <c r="EA8" i="18"/>
  <c r="EA41" i="18" s="1"/>
  <c r="EO41" i="18" s="1"/>
  <c r="EA4" i="18"/>
  <c r="EA40" i="18" s="1"/>
  <c r="EO40" i="18" s="1"/>
  <c r="EA27" i="18"/>
  <c r="EA30" i="18"/>
  <c r="EA35" i="18" s="1"/>
  <c r="EO35" i="18" s="1"/>
  <c r="EA14" i="18"/>
  <c r="EA34" i="18" s="1"/>
  <c r="EO34" i="18" s="1"/>
  <c r="EA10" i="18"/>
  <c r="EA46" i="18" s="1"/>
  <c r="EO46" i="18" s="1"/>
  <c r="EA2" i="18"/>
  <c r="EA38" i="18" s="1"/>
  <c r="EO38" i="18" s="1"/>
  <c r="EA19" i="18"/>
  <c r="EA42" i="18" s="1"/>
  <c r="EO42" i="18" s="1"/>
  <c r="EA13" i="18"/>
  <c r="EA33" i="18" s="1"/>
  <c r="EO33" i="18" s="1"/>
  <c r="EA22" i="18"/>
  <c r="EA37" i="18" s="1"/>
  <c r="EO37" i="18" s="1"/>
  <c r="EA6" i="18"/>
  <c r="EA47" i="18" s="1"/>
  <c r="EO47" i="18" s="1"/>
  <c r="O29" i="18"/>
  <c r="O27" i="18"/>
  <c r="O25" i="18"/>
  <c r="O23" i="18"/>
  <c r="O49" i="18" s="1"/>
  <c r="Z49" i="18" s="1"/>
  <c r="O21" i="18"/>
  <c r="O19" i="18"/>
  <c r="O42" i="18" s="1"/>
  <c r="Z42" i="18" s="1"/>
  <c r="O17" i="18"/>
  <c r="O15" i="18"/>
  <c r="O44" i="18" s="1"/>
  <c r="Z44" i="18" s="1"/>
  <c r="O13" i="18"/>
  <c r="O33" i="18" s="1"/>
  <c r="Z33" i="18" s="1"/>
  <c r="O10" i="18"/>
  <c r="O46" i="18" s="1"/>
  <c r="Z46" i="18" s="1"/>
  <c r="O8" i="18"/>
  <c r="O41" i="18" s="1"/>
  <c r="Z41" i="18" s="1"/>
  <c r="O6" i="18"/>
  <c r="O47" i="18" s="1"/>
  <c r="Z47" i="18" s="1"/>
  <c r="O4" i="18"/>
  <c r="O40" i="18" s="1"/>
  <c r="Z40" i="18" s="1"/>
  <c r="O2" i="18"/>
  <c r="O38" i="18" s="1"/>
  <c r="Z38" i="18" s="1"/>
  <c r="O26" i="18"/>
  <c r="O36" i="18" s="1"/>
  <c r="Z36" i="18" s="1"/>
  <c r="O18" i="18"/>
  <c r="O11" i="18"/>
  <c r="O39" i="18" s="1"/>
  <c r="Z39" i="18" s="1"/>
  <c r="O3" i="18"/>
  <c r="O32" i="18" s="1"/>
  <c r="Z32" i="18" s="1"/>
  <c r="O28" i="18"/>
  <c r="O43" i="18" s="1"/>
  <c r="Z43" i="18" s="1"/>
  <c r="O20" i="18"/>
  <c r="O12" i="18"/>
  <c r="O24" i="18"/>
  <c r="O16" i="18"/>
  <c r="O9" i="18"/>
  <c r="O5" i="18"/>
  <c r="O30" i="18"/>
  <c r="O35" i="18" s="1"/>
  <c r="Z35" i="18" s="1"/>
  <c r="O22" i="18"/>
  <c r="O37" i="18" s="1"/>
  <c r="Z37" i="18" s="1"/>
  <c r="O14" i="18"/>
  <c r="O34" i="18" s="1"/>
  <c r="Z34" i="18" s="1"/>
  <c r="O7" i="18"/>
  <c r="BW30" i="18"/>
  <c r="BW28" i="18"/>
  <c r="BW43" i="18" s="1"/>
  <c r="CK43" i="18" s="1"/>
  <c r="BW22" i="18"/>
  <c r="BW37" i="18" s="1"/>
  <c r="CK37" i="18" s="1"/>
  <c r="BW21" i="18"/>
  <c r="BW14" i="18"/>
  <c r="BW34" i="18" s="1"/>
  <c r="CK34" i="18" s="1"/>
  <c r="BW13" i="18"/>
  <c r="BW33" i="18" s="1"/>
  <c r="CK33" i="18" s="1"/>
  <c r="BW7" i="18"/>
  <c r="BW6" i="18"/>
  <c r="BW47" i="18" s="1"/>
  <c r="CK47" i="18" s="1"/>
  <c r="BW24" i="18"/>
  <c r="BW23" i="18"/>
  <c r="BW49" i="18" s="1"/>
  <c r="CK49" i="18" s="1"/>
  <c r="BW16" i="18"/>
  <c r="BW15" i="18"/>
  <c r="BW44" i="18" s="1"/>
  <c r="CK44" i="18" s="1"/>
  <c r="BW9" i="18"/>
  <c r="BW8" i="18"/>
  <c r="BW41" i="18" s="1"/>
  <c r="CK41" i="18" s="1"/>
  <c r="BW26" i="18"/>
  <c r="BW36" i="18" s="1"/>
  <c r="CK36" i="18" s="1"/>
  <c r="BW25" i="18"/>
  <c r="BW18" i="18"/>
  <c r="BW17" i="18"/>
  <c r="BW11" i="18"/>
  <c r="BW39" i="18" s="1"/>
  <c r="CK39" i="18" s="1"/>
  <c r="BW10" i="18"/>
  <c r="BW46" i="18" s="1"/>
  <c r="CK46" i="18" s="1"/>
  <c r="BW2" i="18"/>
  <c r="BW29" i="18"/>
  <c r="BW27" i="18"/>
  <c r="BW12" i="18"/>
  <c r="BW20" i="18"/>
  <c r="BW4" i="18"/>
  <c r="BW40" i="18" s="1"/>
  <c r="CK40" i="18" s="1"/>
  <c r="BW19" i="18"/>
  <c r="BW42" i="18" s="1"/>
  <c r="CK42" i="18" s="1"/>
  <c r="BW5" i="18"/>
  <c r="EC30" i="18"/>
  <c r="EC35" i="18" s="1"/>
  <c r="EQ35" i="18" s="1"/>
  <c r="EC26" i="18"/>
  <c r="EC36" i="18" s="1"/>
  <c r="EQ36" i="18" s="1"/>
  <c r="EC22" i="18"/>
  <c r="EC37" i="18" s="1"/>
  <c r="EQ37" i="18" s="1"/>
  <c r="EC18" i="18"/>
  <c r="EC14" i="18"/>
  <c r="EC34" i="18" s="1"/>
  <c r="EQ34" i="18" s="1"/>
  <c r="EC29" i="18"/>
  <c r="EC25" i="18"/>
  <c r="EC21" i="18"/>
  <c r="EC17" i="18"/>
  <c r="EC13" i="18"/>
  <c r="EC33" i="18" s="1"/>
  <c r="EQ33" i="18" s="1"/>
  <c r="EC10" i="18"/>
  <c r="EC46" i="18" s="1"/>
  <c r="EQ46" i="18" s="1"/>
  <c r="EC8" i="18"/>
  <c r="EC41" i="18" s="1"/>
  <c r="EQ41" i="18" s="1"/>
  <c r="EC6" i="18"/>
  <c r="EC47" i="18" s="1"/>
  <c r="EQ47" i="18" s="1"/>
  <c r="EC4" i="18"/>
  <c r="EC40" i="18" s="1"/>
  <c r="EQ40" i="18" s="1"/>
  <c r="EC2" i="18"/>
  <c r="EC38" i="18" s="1"/>
  <c r="EQ38" i="18" s="1"/>
  <c r="EC24" i="18"/>
  <c r="EC16" i="18"/>
  <c r="EC27" i="18"/>
  <c r="EC19" i="18"/>
  <c r="EC42" i="18" s="1"/>
  <c r="EQ42" i="18" s="1"/>
  <c r="EC12" i="18"/>
  <c r="EC9" i="18"/>
  <c r="EC5" i="18"/>
  <c r="EC20" i="18"/>
  <c r="EC23" i="18"/>
  <c r="EC49" i="18" s="1"/>
  <c r="EQ49" i="18" s="1"/>
  <c r="EC11" i="18"/>
  <c r="EC39" i="18" s="1"/>
  <c r="EQ39" i="18" s="1"/>
  <c r="EC3" i="18"/>
  <c r="EC32" i="18" s="1"/>
  <c r="EQ32" i="18" s="1"/>
  <c r="EC7" i="18"/>
  <c r="EC28" i="18"/>
  <c r="EC43" i="18" s="1"/>
  <c r="EQ43" i="18" s="1"/>
  <c r="EC15" i="18"/>
  <c r="EC44" i="18" s="1"/>
  <c r="EQ44" i="18" s="1"/>
  <c r="U30" i="18"/>
  <c r="U35" i="18" s="1"/>
  <c r="AF35" i="18" s="1"/>
  <c r="U28" i="18"/>
  <c r="U43" i="18" s="1"/>
  <c r="AF43" i="18" s="1"/>
  <c r="U26" i="18"/>
  <c r="U36" i="18" s="1"/>
  <c r="AF36" i="18" s="1"/>
  <c r="U24" i="18"/>
  <c r="U22" i="18"/>
  <c r="U37" i="18" s="1"/>
  <c r="AF37" i="18" s="1"/>
  <c r="U20" i="18"/>
  <c r="U18" i="18"/>
  <c r="U16" i="18"/>
  <c r="U14" i="18"/>
  <c r="U34" i="18" s="1"/>
  <c r="AF34" i="18" s="1"/>
  <c r="U12" i="18"/>
  <c r="U11" i="18"/>
  <c r="U39" i="18" s="1"/>
  <c r="AF39" i="18" s="1"/>
  <c r="U9" i="18"/>
  <c r="U7" i="18"/>
  <c r="U5" i="18"/>
  <c r="U3" i="18"/>
  <c r="U32" i="18" s="1"/>
  <c r="U27" i="18"/>
  <c r="U19" i="18"/>
  <c r="U42" i="18" s="1"/>
  <c r="AF42" i="18" s="1"/>
  <c r="U4" i="18"/>
  <c r="U40" i="18" s="1"/>
  <c r="AF40" i="18" s="1"/>
  <c r="U6" i="18"/>
  <c r="U47" i="18" s="1"/>
  <c r="AF47" i="18" s="1"/>
  <c r="U25" i="18"/>
  <c r="U17" i="18"/>
  <c r="U10" i="18"/>
  <c r="U46" i="18" s="1"/>
  <c r="U2" i="18"/>
  <c r="U38" i="18" s="1"/>
  <c r="AF38" i="18" s="1"/>
  <c r="U29" i="18"/>
  <c r="U21" i="18"/>
  <c r="U23" i="18"/>
  <c r="U49" i="18" s="1"/>
  <c r="U15" i="18"/>
  <c r="U44" i="18" s="1"/>
  <c r="AF44" i="18" s="1"/>
  <c r="U8" i="18"/>
  <c r="U41" i="18" s="1"/>
  <c r="AF41" i="18" s="1"/>
  <c r="U13" i="18"/>
  <c r="U33" i="18" s="1"/>
  <c r="AF33" i="18" s="1"/>
  <c r="DS29" i="18"/>
  <c r="DS30" i="18"/>
  <c r="DS35" i="18" s="1"/>
  <c r="EG35" i="18" s="1"/>
  <c r="DS24" i="18"/>
  <c r="DS20" i="18"/>
  <c r="DS16" i="18"/>
  <c r="DS12" i="18"/>
  <c r="DS9" i="18"/>
  <c r="DS5" i="18"/>
  <c r="DS28" i="18"/>
  <c r="DS43" i="18" s="1"/>
  <c r="EG43" i="18" s="1"/>
  <c r="DS25" i="18"/>
  <c r="DS21" i="18"/>
  <c r="DS17" i="18"/>
  <c r="DS13" i="18"/>
  <c r="DS33" i="18" s="1"/>
  <c r="EG33" i="18" s="1"/>
  <c r="DS10" i="18"/>
  <c r="DS46" i="18" s="1"/>
  <c r="EG46" i="18" s="1"/>
  <c r="DS6" i="18"/>
  <c r="DS47" i="18" s="1"/>
  <c r="EG47" i="18" s="1"/>
  <c r="DS22" i="18"/>
  <c r="DS37" i="18" s="1"/>
  <c r="EG37" i="18" s="1"/>
  <c r="DS14" i="18"/>
  <c r="DS34" i="18" s="1"/>
  <c r="EG34" i="18" s="1"/>
  <c r="DS7" i="18"/>
  <c r="DS27" i="18"/>
  <c r="DS19" i="18"/>
  <c r="DS42" i="18" s="1"/>
  <c r="EG42" i="18" s="1"/>
  <c r="DS4" i="18"/>
  <c r="DS40" i="18" s="1"/>
  <c r="EG40" i="18" s="1"/>
  <c r="DS18" i="18"/>
  <c r="DS3" i="18"/>
  <c r="DS32" i="18" s="1"/>
  <c r="DS23" i="18"/>
  <c r="DS49" i="18" s="1"/>
  <c r="EG49" i="18" s="1"/>
  <c r="DS8" i="18"/>
  <c r="DS41" i="18" s="1"/>
  <c r="EG41" i="18" s="1"/>
  <c r="DS26" i="18"/>
  <c r="DS36" i="18" s="1"/>
  <c r="EG36" i="18" s="1"/>
  <c r="DS15" i="18"/>
  <c r="DS44" i="18" s="1"/>
  <c r="EG44" i="18" s="1"/>
  <c r="DS11" i="18"/>
  <c r="DS39" i="18" s="1"/>
  <c r="EG39" i="18" s="1"/>
  <c r="DS2" i="18"/>
  <c r="DS38" i="18" s="1"/>
  <c r="EG38" i="18" s="1"/>
  <c r="AF27" i="31"/>
  <c r="AF23" i="31"/>
  <c r="AF19" i="31"/>
  <c r="AF42" i="31" s="1"/>
  <c r="AF15" i="31"/>
  <c r="AF44" i="31" s="1"/>
  <c r="AF8" i="31"/>
  <c r="AF41" i="31" s="1"/>
  <c r="AF4" i="31"/>
  <c r="AF40" i="31" s="1"/>
  <c r="AF13" i="31"/>
  <c r="AF33" i="31" s="1"/>
  <c r="AF28" i="31"/>
  <c r="AF43" i="31" s="1"/>
  <c r="AF24" i="31"/>
  <c r="AF20" i="31"/>
  <c r="AF16" i="31"/>
  <c r="AF12" i="31"/>
  <c r="AF9" i="31"/>
  <c r="AF5" i="31"/>
  <c r="AF29" i="31"/>
  <c r="AF25" i="31"/>
  <c r="AF21" i="31"/>
  <c r="AF17" i="31"/>
  <c r="AF10" i="31"/>
  <c r="AF46" i="31" s="1"/>
  <c r="AF6" i="31"/>
  <c r="AF47" i="31" s="1"/>
  <c r="AF2" i="31"/>
  <c r="AF38" i="31" s="1"/>
  <c r="AF30" i="31"/>
  <c r="AF35" i="31" s="1"/>
  <c r="AF26" i="31"/>
  <c r="AF36" i="31" s="1"/>
  <c r="AF22" i="31"/>
  <c r="AF37" i="31" s="1"/>
  <c r="AF18" i="31"/>
  <c r="AF14" i="31"/>
  <c r="AF34" i="31" s="1"/>
  <c r="AF11" i="31"/>
  <c r="AF39" i="31" s="1"/>
  <c r="AF7" i="31"/>
  <c r="AF3" i="31"/>
  <c r="AF32" i="31" s="1"/>
  <c r="AZ27" i="31"/>
  <c r="AZ23" i="31"/>
  <c r="CX49" i="31" s="1"/>
  <c r="AZ19" i="31"/>
  <c r="AZ15" i="31"/>
  <c r="AZ8" i="31"/>
  <c r="AZ4" i="31"/>
  <c r="AZ28" i="31"/>
  <c r="AZ24" i="31"/>
  <c r="AZ20" i="31"/>
  <c r="AZ16" i="31"/>
  <c r="AZ12" i="31"/>
  <c r="AZ9" i="31"/>
  <c r="AZ5" i="31"/>
  <c r="AZ29" i="31"/>
  <c r="AZ25" i="31"/>
  <c r="AZ21" i="31"/>
  <c r="AZ17" i="31"/>
  <c r="AZ13" i="31"/>
  <c r="AZ33" i="31" s="1"/>
  <c r="AZ30" i="31"/>
  <c r="AZ26" i="31"/>
  <c r="AZ22" i="31"/>
  <c r="AZ18" i="31"/>
  <c r="AZ14" i="31"/>
  <c r="AZ11" i="31"/>
  <c r="AZ7" i="31"/>
  <c r="AZ3" i="31"/>
  <c r="AZ10" i="31"/>
  <c r="AZ6" i="31"/>
  <c r="AZ2" i="31"/>
  <c r="AM30" i="31"/>
  <c r="AM35" i="31" s="1"/>
  <c r="AM26" i="31"/>
  <c r="AM36" i="31" s="1"/>
  <c r="AM22" i="31"/>
  <c r="AM37" i="31" s="1"/>
  <c r="AM18" i="31"/>
  <c r="AM14" i="31"/>
  <c r="AM34" i="31" s="1"/>
  <c r="AM11" i="31"/>
  <c r="AM39" i="31" s="1"/>
  <c r="AM7" i="31"/>
  <c r="AM3" i="31"/>
  <c r="AM32" i="31" s="1"/>
  <c r="AM12" i="31"/>
  <c r="AM9" i="31"/>
  <c r="AM27" i="31"/>
  <c r="AM23" i="31"/>
  <c r="AM19" i="31"/>
  <c r="AM42" i="31" s="1"/>
  <c r="AM15" i="31"/>
  <c r="AM44" i="31" s="1"/>
  <c r="AM8" i="31"/>
  <c r="AM41" i="31" s="1"/>
  <c r="AM4" i="31"/>
  <c r="AM40" i="31" s="1"/>
  <c r="AM5" i="31"/>
  <c r="AM28" i="31"/>
  <c r="AM43" i="31" s="1"/>
  <c r="AM24" i="31"/>
  <c r="AM20" i="31"/>
  <c r="AM16" i="31"/>
  <c r="AM29" i="31"/>
  <c r="AM25" i="31"/>
  <c r="AM21" i="31"/>
  <c r="AM17" i="31"/>
  <c r="AM13" i="31"/>
  <c r="AM33" i="31" s="1"/>
  <c r="AM10" i="31"/>
  <c r="AM46" i="31" s="1"/>
  <c r="AM6" i="31"/>
  <c r="AM47" i="31" s="1"/>
  <c r="AM2" i="31"/>
  <c r="AM38" i="31" s="1"/>
  <c r="AQ30" i="31"/>
  <c r="AQ35" i="31" s="1"/>
  <c r="AQ26" i="31"/>
  <c r="AQ36" i="31" s="1"/>
  <c r="AQ22" i="31"/>
  <c r="AQ37" i="31" s="1"/>
  <c r="AQ18" i="31"/>
  <c r="AQ14" i="31"/>
  <c r="AQ34" i="31" s="1"/>
  <c r="AQ11" i="31"/>
  <c r="AQ39" i="31" s="1"/>
  <c r="AQ7" i="31"/>
  <c r="AQ3" i="31"/>
  <c r="AQ32" i="31" s="1"/>
  <c r="AQ27" i="31"/>
  <c r="AQ23" i="31"/>
  <c r="AQ19" i="31"/>
  <c r="AQ42" i="31" s="1"/>
  <c r="AQ15" i="31"/>
  <c r="AQ44" i="31" s="1"/>
  <c r="AQ8" i="31"/>
  <c r="AQ41" i="31" s="1"/>
  <c r="AQ4" i="31"/>
  <c r="AQ40" i="31" s="1"/>
  <c r="AQ28" i="31"/>
  <c r="AQ43" i="31" s="1"/>
  <c r="AQ24" i="31"/>
  <c r="AQ20" i="31"/>
  <c r="AQ16" i="31"/>
  <c r="AQ12" i="31"/>
  <c r="AQ29" i="31"/>
  <c r="AQ25" i="31"/>
  <c r="AQ21" i="31"/>
  <c r="AQ17" i="31"/>
  <c r="AQ13" i="31"/>
  <c r="AQ33" i="31" s="1"/>
  <c r="AQ10" i="31"/>
  <c r="AQ46" i="31" s="1"/>
  <c r="AQ6" i="31"/>
  <c r="AQ47" i="31" s="1"/>
  <c r="AQ2" i="31"/>
  <c r="AQ38" i="31" s="1"/>
  <c r="AQ9" i="31"/>
  <c r="AQ5" i="31"/>
  <c r="AU30" i="31"/>
  <c r="AU35" i="31" s="1"/>
  <c r="AU26" i="31"/>
  <c r="AU36" i="31" s="1"/>
  <c r="AU22" i="31"/>
  <c r="AU37" i="31" s="1"/>
  <c r="AU18" i="31"/>
  <c r="AU14" i="31"/>
  <c r="AU34" i="31" s="1"/>
  <c r="AU11" i="31"/>
  <c r="AU39" i="31" s="1"/>
  <c r="AU7" i="31"/>
  <c r="AU3" i="31"/>
  <c r="AU32" i="31" s="1"/>
  <c r="AU5" i="31"/>
  <c r="AU27" i="31"/>
  <c r="AU23" i="31"/>
  <c r="AU19" i="31"/>
  <c r="AU42" i="31" s="1"/>
  <c r="AU15" i="31"/>
  <c r="AU44" i="31" s="1"/>
  <c r="AU8" i="31"/>
  <c r="AU41" i="31" s="1"/>
  <c r="AU4" i="31"/>
  <c r="AU40" i="31" s="1"/>
  <c r="AU9" i="31"/>
  <c r="AU28" i="31"/>
  <c r="AU43" i="31" s="1"/>
  <c r="AU24" i="31"/>
  <c r="AU20" i="31"/>
  <c r="AU16" i="31"/>
  <c r="AU29" i="31"/>
  <c r="AU25" i="31"/>
  <c r="AU21" i="31"/>
  <c r="AU17" i="31"/>
  <c r="AU13" i="31"/>
  <c r="AU33" i="31" s="1"/>
  <c r="AU10" i="31"/>
  <c r="AU46" i="31" s="1"/>
  <c r="AU6" i="31"/>
  <c r="AU47" i="31" s="1"/>
  <c r="AU2" i="31"/>
  <c r="AU38" i="31" s="1"/>
  <c r="AU12" i="31"/>
  <c r="AX29" i="31"/>
  <c r="AX25" i="31"/>
  <c r="AX21" i="31"/>
  <c r="AX17" i="31"/>
  <c r="AX13" i="31"/>
  <c r="AX33" i="31" s="1"/>
  <c r="AX10" i="31"/>
  <c r="AX46" i="31" s="1"/>
  <c r="AX6" i="31"/>
  <c r="AX47" i="31" s="1"/>
  <c r="AX2" i="31"/>
  <c r="AX38" i="31" s="1"/>
  <c r="AX30" i="31"/>
  <c r="AX35" i="31" s="1"/>
  <c r="AX26" i="31"/>
  <c r="AX36" i="31" s="1"/>
  <c r="AX22" i="31"/>
  <c r="AX37" i="31" s="1"/>
  <c r="AX18" i="31"/>
  <c r="AX14" i="31"/>
  <c r="AX34" i="31" s="1"/>
  <c r="AX11" i="31"/>
  <c r="AX39" i="31" s="1"/>
  <c r="AX7" i="31"/>
  <c r="AX3" i="31"/>
  <c r="AX32" i="31" s="1"/>
  <c r="AX27" i="31"/>
  <c r="AX23" i="31"/>
  <c r="AX19" i="31"/>
  <c r="AX42" i="31" s="1"/>
  <c r="AX15" i="31"/>
  <c r="AX44" i="31" s="1"/>
  <c r="AX28" i="31"/>
  <c r="AX43" i="31" s="1"/>
  <c r="AX24" i="31"/>
  <c r="AX20" i="31"/>
  <c r="AX16" i="31"/>
  <c r="AX12" i="31"/>
  <c r="AX9" i="31"/>
  <c r="AX5" i="31"/>
  <c r="AX8" i="31"/>
  <c r="AX41" i="31" s="1"/>
  <c r="AX4" i="31"/>
  <c r="AX40" i="31" s="1"/>
  <c r="CC30" i="31"/>
  <c r="CC35" i="31" s="1"/>
  <c r="CC29" i="31"/>
  <c r="CC28" i="31"/>
  <c r="CC43" i="31" s="1"/>
  <c r="CC27" i="31"/>
  <c r="CC26" i="31"/>
  <c r="CC36" i="31" s="1"/>
  <c r="CC25" i="31"/>
  <c r="CC24" i="31"/>
  <c r="CC23" i="31"/>
  <c r="CC22" i="31"/>
  <c r="CC37" i="31" s="1"/>
  <c r="CC21" i="31"/>
  <c r="CC20" i="31"/>
  <c r="CC19" i="31"/>
  <c r="CC42" i="31" s="1"/>
  <c r="CC18" i="31"/>
  <c r="CC17" i="31"/>
  <c r="CC16" i="31"/>
  <c r="CC15" i="31"/>
  <c r="CC44" i="31" s="1"/>
  <c r="CC14" i="31"/>
  <c r="CC34" i="31" s="1"/>
  <c r="CC13" i="31"/>
  <c r="CC33" i="31" s="1"/>
  <c r="CC10" i="31"/>
  <c r="CC46" i="31" s="1"/>
  <c r="CC8" i="31"/>
  <c r="CC41" i="31" s="1"/>
  <c r="CC6" i="31"/>
  <c r="CC47" i="31" s="1"/>
  <c r="CC4" i="31"/>
  <c r="CC40" i="31" s="1"/>
  <c r="CC2" i="31"/>
  <c r="CC38" i="31" s="1"/>
  <c r="CC11" i="31"/>
  <c r="CC39" i="31" s="1"/>
  <c r="CC7" i="31"/>
  <c r="CC3" i="31"/>
  <c r="CC32" i="31" s="1"/>
  <c r="CC5" i="31"/>
  <c r="CC9" i="31"/>
  <c r="CC12" i="31"/>
  <c r="CC2" i="30"/>
  <c r="CC38" i="30" s="1"/>
  <c r="CC31" i="30" s="1"/>
  <c r="BD2" i="30"/>
  <c r="CD30" i="31"/>
  <c r="CD35" i="31" s="1"/>
  <c r="CD29" i="31"/>
  <c r="CD28" i="31"/>
  <c r="CD43" i="31" s="1"/>
  <c r="CD27" i="31"/>
  <c r="CD26" i="31"/>
  <c r="CD36" i="31" s="1"/>
  <c r="CD25" i="31"/>
  <c r="CD24" i="31"/>
  <c r="CD23" i="31"/>
  <c r="CD22" i="31"/>
  <c r="CD37" i="31" s="1"/>
  <c r="CD21" i="31"/>
  <c r="CD20" i="31"/>
  <c r="CD19" i="31"/>
  <c r="CD42" i="31" s="1"/>
  <c r="CD18" i="31"/>
  <c r="CD17" i="31"/>
  <c r="CD16" i="31"/>
  <c r="CD15" i="31"/>
  <c r="CD44" i="31" s="1"/>
  <c r="CD14" i="31"/>
  <c r="CD34" i="31" s="1"/>
  <c r="CD13" i="31"/>
  <c r="CD33" i="31" s="1"/>
  <c r="CD10" i="31"/>
  <c r="CD46" i="31" s="1"/>
  <c r="CD8" i="31"/>
  <c r="CD41" i="31" s="1"/>
  <c r="CD6" i="31"/>
  <c r="CD47" i="31" s="1"/>
  <c r="CD4" i="31"/>
  <c r="CD40" i="31" s="1"/>
  <c r="CD2" i="31"/>
  <c r="CD38" i="31" s="1"/>
  <c r="CD11" i="31"/>
  <c r="CD39" i="31" s="1"/>
  <c r="CD7" i="31"/>
  <c r="CD3" i="31"/>
  <c r="CD32" i="31" s="1"/>
  <c r="CD12" i="31"/>
  <c r="CD9" i="31"/>
  <c r="CD5" i="31"/>
  <c r="BE2" i="30"/>
  <c r="CX12" i="31"/>
  <c r="CX11" i="31"/>
  <c r="CX39" i="31" s="1"/>
  <c r="CX10" i="31"/>
  <c r="CX46" i="31" s="1"/>
  <c r="CX9" i="31"/>
  <c r="CX8" i="31"/>
  <c r="CX41" i="31" s="1"/>
  <c r="CX7" i="31"/>
  <c r="CX6" i="31"/>
  <c r="CX47" i="31" s="1"/>
  <c r="CX5" i="31"/>
  <c r="CX4" i="31"/>
  <c r="CX40" i="31" s="1"/>
  <c r="CX3" i="31"/>
  <c r="CX32" i="31" s="1"/>
  <c r="CX2" i="31"/>
  <c r="CX38" i="31" s="1"/>
  <c r="CX29" i="31"/>
  <c r="CX27" i="31"/>
  <c r="CX25" i="31"/>
  <c r="CX23" i="31"/>
  <c r="CX21" i="31"/>
  <c r="CX19" i="31"/>
  <c r="CX42" i="31" s="1"/>
  <c r="CX17" i="31"/>
  <c r="CX15" i="31"/>
  <c r="CX44" i="31" s="1"/>
  <c r="CX13" i="31"/>
  <c r="CX33" i="31" s="1"/>
  <c r="CX30" i="31"/>
  <c r="CX35" i="31" s="1"/>
  <c r="CX26" i="31"/>
  <c r="CX36" i="31" s="1"/>
  <c r="CX22" i="31"/>
  <c r="CX37" i="31" s="1"/>
  <c r="CX18" i="31"/>
  <c r="CX14" i="31"/>
  <c r="CX34" i="31" s="1"/>
  <c r="CX24" i="31"/>
  <c r="CX16" i="31"/>
  <c r="CX28" i="31"/>
  <c r="CX43" i="31" s="1"/>
  <c r="CX20" i="31"/>
  <c r="CX2" i="30"/>
  <c r="BY2" i="30"/>
  <c r="CK30" i="31"/>
  <c r="CK35" i="31" s="1"/>
  <c r="CK29" i="31"/>
  <c r="CK28" i="31"/>
  <c r="CK43" i="31" s="1"/>
  <c r="CK27" i="31"/>
  <c r="CK26" i="31"/>
  <c r="CK36" i="31" s="1"/>
  <c r="CK25" i="31"/>
  <c r="CK24" i="31"/>
  <c r="CK23" i="31"/>
  <c r="CK22" i="31"/>
  <c r="CK37" i="31" s="1"/>
  <c r="CK21" i="31"/>
  <c r="CK20" i="31"/>
  <c r="CK19" i="31"/>
  <c r="CK42" i="31" s="1"/>
  <c r="CK18" i="31"/>
  <c r="CK17" i="31"/>
  <c r="CK16" i="31"/>
  <c r="CK15" i="31"/>
  <c r="CK44" i="31" s="1"/>
  <c r="CK14" i="31"/>
  <c r="CK34" i="31" s="1"/>
  <c r="CK12" i="31"/>
  <c r="CK11" i="31"/>
  <c r="CK39" i="31" s="1"/>
  <c r="CK9" i="31"/>
  <c r="CK7" i="31"/>
  <c r="CK5" i="31"/>
  <c r="CK3" i="31"/>
  <c r="CK32" i="31" s="1"/>
  <c r="CK8" i="31"/>
  <c r="CK41" i="31" s="1"/>
  <c r="CK4" i="31"/>
  <c r="CK40" i="31" s="1"/>
  <c r="CK6" i="31"/>
  <c r="CK47" i="31" s="1"/>
  <c r="CK10" i="31"/>
  <c r="CK46" i="31" s="1"/>
  <c r="CK13" i="31"/>
  <c r="CK33" i="31" s="1"/>
  <c r="CK2" i="31"/>
  <c r="CK38" i="31" s="1"/>
  <c r="CK2" i="30"/>
  <c r="CK38" i="30" s="1"/>
  <c r="CK31" i="30" s="1"/>
  <c r="BL2" i="30"/>
  <c r="CO30" i="31"/>
  <c r="CO35" i="31" s="1"/>
  <c r="CO29" i="31"/>
  <c r="CO28" i="31"/>
  <c r="CO43" i="31" s="1"/>
  <c r="CO27" i="31"/>
  <c r="CO26" i="31"/>
  <c r="CO36" i="31" s="1"/>
  <c r="CO25" i="31"/>
  <c r="CO24" i="31"/>
  <c r="CO23" i="31"/>
  <c r="CO22" i="31"/>
  <c r="CO37" i="31" s="1"/>
  <c r="CO21" i="31"/>
  <c r="CO20" i="31"/>
  <c r="CO19" i="31"/>
  <c r="CO42" i="31" s="1"/>
  <c r="CO18" i="31"/>
  <c r="CO17" i="31"/>
  <c r="CO16" i="31"/>
  <c r="CO15" i="31"/>
  <c r="CO44" i="31" s="1"/>
  <c r="CO14" i="31"/>
  <c r="CO34" i="31" s="1"/>
  <c r="CO13" i="31"/>
  <c r="CO33" i="31" s="1"/>
  <c r="CO12" i="31"/>
  <c r="CO11" i="31"/>
  <c r="CO39" i="31" s="1"/>
  <c r="CO10" i="31"/>
  <c r="CO46" i="31" s="1"/>
  <c r="CO9" i="31"/>
  <c r="CO8" i="31"/>
  <c r="CO41" i="31" s="1"/>
  <c r="CO7" i="31"/>
  <c r="CO6" i="31"/>
  <c r="CO47" i="31" s="1"/>
  <c r="CO5" i="31"/>
  <c r="CO4" i="31"/>
  <c r="CO40" i="31" s="1"/>
  <c r="CO3" i="31"/>
  <c r="CO32" i="31" s="1"/>
  <c r="CO2" i="31"/>
  <c r="CO38" i="31" s="1"/>
  <c r="CO2" i="30"/>
  <c r="CO38" i="30" s="1"/>
  <c r="CO31" i="30" s="1"/>
  <c r="BP2" i="30"/>
  <c r="CS30" i="31"/>
  <c r="CS35" i="31" s="1"/>
  <c r="CS29" i="31"/>
  <c r="CS28" i="31"/>
  <c r="CS43" i="31" s="1"/>
  <c r="CS27" i="31"/>
  <c r="CS26" i="31"/>
  <c r="CS36" i="31" s="1"/>
  <c r="CS25" i="31"/>
  <c r="CS24" i="31"/>
  <c r="CS23" i="31"/>
  <c r="CS22" i="31"/>
  <c r="CS37" i="31" s="1"/>
  <c r="CS21" i="31"/>
  <c r="CS20" i="31"/>
  <c r="CS19" i="31"/>
  <c r="CS42" i="31" s="1"/>
  <c r="CS18" i="31"/>
  <c r="CS17" i="31"/>
  <c r="CS16" i="31"/>
  <c r="CS15" i="31"/>
  <c r="CS44" i="31" s="1"/>
  <c r="CS14" i="31"/>
  <c r="CS34" i="31" s="1"/>
  <c r="CS13" i="31"/>
  <c r="CS33" i="31" s="1"/>
  <c r="CS10" i="31"/>
  <c r="CS46" i="31" s="1"/>
  <c r="CS8" i="31"/>
  <c r="CS41" i="31" s="1"/>
  <c r="CS6" i="31"/>
  <c r="CS47" i="31" s="1"/>
  <c r="CS4" i="31"/>
  <c r="CS40" i="31" s="1"/>
  <c r="CS2" i="31"/>
  <c r="CS38" i="31" s="1"/>
  <c r="CS12" i="31"/>
  <c r="CS9" i="31"/>
  <c r="CS5" i="31"/>
  <c r="CS11" i="31"/>
  <c r="CS39" i="31" s="1"/>
  <c r="CS3" i="31"/>
  <c r="CS32" i="31" s="1"/>
  <c r="CS7" i="31"/>
  <c r="CS2" i="30"/>
  <c r="CS38" i="30" s="1"/>
  <c r="CS31" i="30" s="1"/>
  <c r="BT2" i="30"/>
  <c r="CV30" i="31"/>
  <c r="CV35" i="31" s="1"/>
  <c r="CV29" i="31"/>
  <c r="CV28" i="31"/>
  <c r="CV43" i="31" s="1"/>
  <c r="CV27" i="31"/>
  <c r="CV26" i="31"/>
  <c r="CV36" i="31" s="1"/>
  <c r="CV25" i="31"/>
  <c r="CV24" i="31"/>
  <c r="CV23" i="31"/>
  <c r="CV22" i="31"/>
  <c r="CV37" i="31" s="1"/>
  <c r="CV21" i="31"/>
  <c r="CV20" i="31"/>
  <c r="CV19" i="31"/>
  <c r="CV42" i="31" s="1"/>
  <c r="CV18" i="31"/>
  <c r="CV17" i="31"/>
  <c r="CV16" i="31"/>
  <c r="CV15" i="31"/>
  <c r="CV44" i="31" s="1"/>
  <c r="CV14" i="31"/>
  <c r="CV34" i="31" s="1"/>
  <c r="CV13" i="31"/>
  <c r="CV33" i="31" s="1"/>
  <c r="CV12" i="31"/>
  <c r="CV11" i="31"/>
  <c r="CV39" i="31" s="1"/>
  <c r="CV10" i="31"/>
  <c r="CV46" i="31" s="1"/>
  <c r="CV9" i="31"/>
  <c r="CV8" i="31"/>
  <c r="CV41" i="31" s="1"/>
  <c r="CV7" i="31"/>
  <c r="CV6" i="31"/>
  <c r="CV47" i="31" s="1"/>
  <c r="CV5" i="31"/>
  <c r="CV4" i="31"/>
  <c r="CV40" i="31" s="1"/>
  <c r="CV3" i="31"/>
  <c r="CV32" i="31" s="1"/>
  <c r="CV2" i="31"/>
  <c r="CV38" i="31" s="1"/>
  <c r="CV2" i="30"/>
  <c r="CV38" i="30" s="1"/>
  <c r="CV31" i="30" s="1"/>
  <c r="BW2" i="30"/>
  <c r="BQ29" i="18"/>
  <c r="BQ27" i="18"/>
  <c r="BQ25" i="18"/>
  <c r="BQ23" i="18"/>
  <c r="BQ49" i="18" s="1"/>
  <c r="CE49" i="18" s="1"/>
  <c r="BQ21" i="18"/>
  <c r="BQ19" i="18"/>
  <c r="BQ42" i="18" s="1"/>
  <c r="CE42" i="18" s="1"/>
  <c r="BQ17" i="18"/>
  <c r="BQ15" i="18"/>
  <c r="BQ44" i="18" s="1"/>
  <c r="CE44" i="18" s="1"/>
  <c r="BQ13" i="18"/>
  <c r="BQ33" i="18" s="1"/>
  <c r="CE33" i="18" s="1"/>
  <c r="BQ10" i="18"/>
  <c r="BQ46" i="18" s="1"/>
  <c r="CE46" i="18" s="1"/>
  <c r="BQ8" i="18"/>
  <c r="BQ41" i="18" s="1"/>
  <c r="CE41" i="18" s="1"/>
  <c r="BQ6" i="18"/>
  <c r="BQ47" i="18" s="1"/>
  <c r="CE47" i="18" s="1"/>
  <c r="BQ4" i="18"/>
  <c r="BQ40" i="18" s="1"/>
  <c r="CE40" i="18" s="1"/>
  <c r="BQ28" i="18"/>
  <c r="BQ43" i="18" s="1"/>
  <c r="CE43" i="18" s="1"/>
  <c r="BQ20" i="18"/>
  <c r="BQ12" i="18"/>
  <c r="BQ5" i="18"/>
  <c r="BQ22" i="18"/>
  <c r="BQ37" i="18" s="1"/>
  <c r="CE37" i="18" s="1"/>
  <c r="BQ14" i="18"/>
  <c r="BQ34" i="18" s="1"/>
  <c r="CE34" i="18" s="1"/>
  <c r="BQ7" i="18"/>
  <c r="BQ30" i="18"/>
  <c r="BQ35" i="18" s="1"/>
  <c r="CE35" i="18" s="1"/>
  <c r="BQ24" i="18"/>
  <c r="BQ16" i="18"/>
  <c r="BQ9" i="18"/>
  <c r="BQ3" i="18"/>
  <c r="BQ32" i="18" s="1"/>
  <c r="BQ11" i="18"/>
  <c r="BQ39" i="18" s="1"/>
  <c r="CE39" i="18" s="1"/>
  <c r="BQ18" i="18"/>
  <c r="BQ26" i="18"/>
  <c r="BQ36" i="18" s="1"/>
  <c r="CE36" i="18" s="1"/>
  <c r="BQ2" i="18"/>
  <c r="BQ38" i="18" s="1"/>
  <c r="CE38" i="18" s="1"/>
  <c r="DW30" i="18"/>
  <c r="DW35" i="18" s="1"/>
  <c r="EK35" i="18" s="1"/>
  <c r="DW28" i="18"/>
  <c r="DW43" i="18" s="1"/>
  <c r="EK43" i="18" s="1"/>
  <c r="DW26" i="18"/>
  <c r="DW36" i="18" s="1"/>
  <c r="EK36" i="18" s="1"/>
  <c r="DW24" i="18"/>
  <c r="DW22" i="18"/>
  <c r="DW37" i="18" s="1"/>
  <c r="EK37" i="18" s="1"/>
  <c r="DW20" i="18"/>
  <c r="DW18" i="18"/>
  <c r="DW16" i="18"/>
  <c r="DW14" i="18"/>
  <c r="DW34" i="18" s="1"/>
  <c r="EK34" i="18" s="1"/>
  <c r="DW29" i="18"/>
  <c r="DW27" i="18"/>
  <c r="DW25" i="18"/>
  <c r="DW23" i="18"/>
  <c r="DW49" i="18" s="1"/>
  <c r="EK49" i="18" s="1"/>
  <c r="DW21" i="18"/>
  <c r="DW19" i="18"/>
  <c r="DW42" i="18" s="1"/>
  <c r="EK42" i="18" s="1"/>
  <c r="DW17" i="18"/>
  <c r="DW15" i="18"/>
  <c r="DW44" i="18" s="1"/>
  <c r="EK44" i="18" s="1"/>
  <c r="DW12" i="18"/>
  <c r="DW11" i="18"/>
  <c r="DW39" i="18" s="1"/>
  <c r="EK39" i="18" s="1"/>
  <c r="DW9" i="18"/>
  <c r="DW7" i="18"/>
  <c r="DW5" i="18"/>
  <c r="DW3" i="18"/>
  <c r="DW32" i="18" s="1"/>
  <c r="EK32" i="18" s="1"/>
  <c r="DW13" i="18"/>
  <c r="DW33" i="18" s="1"/>
  <c r="EK33" i="18" s="1"/>
  <c r="DW10" i="18"/>
  <c r="DW46" i="18" s="1"/>
  <c r="EK46" i="18" s="1"/>
  <c r="DW6" i="18"/>
  <c r="DW47" i="18" s="1"/>
  <c r="EK47" i="18" s="1"/>
  <c r="DW2" i="18"/>
  <c r="DW38" i="18" s="1"/>
  <c r="EK38" i="18" s="1"/>
  <c r="DW8" i="18"/>
  <c r="DW41" i="18" s="1"/>
  <c r="EK41" i="18" s="1"/>
  <c r="DW4" i="18"/>
  <c r="DW40" i="18" s="1"/>
  <c r="EK40" i="18" s="1"/>
  <c r="T29" i="18"/>
  <c r="T27" i="18"/>
  <c r="T25" i="18"/>
  <c r="T23" i="18"/>
  <c r="T49" i="18" s="1"/>
  <c r="T21" i="18"/>
  <c r="T19" i="18"/>
  <c r="T42" i="18" s="1"/>
  <c r="AE42" i="18" s="1"/>
  <c r="T17" i="18"/>
  <c r="T15" i="18"/>
  <c r="T44" i="18" s="1"/>
  <c r="AE44" i="18" s="1"/>
  <c r="T13" i="18"/>
  <c r="T33" i="18" s="1"/>
  <c r="AE33" i="18" s="1"/>
  <c r="T10" i="18"/>
  <c r="T46" i="18" s="1"/>
  <c r="T8" i="18"/>
  <c r="T41" i="18" s="1"/>
  <c r="AE41" i="18" s="1"/>
  <c r="T6" i="18"/>
  <c r="T47" i="18" s="1"/>
  <c r="AE47" i="18" s="1"/>
  <c r="T4" i="18"/>
  <c r="T40" i="18" s="1"/>
  <c r="AE40" i="18" s="1"/>
  <c r="T2" i="18"/>
  <c r="T38" i="18" s="1"/>
  <c r="AE38" i="18" s="1"/>
  <c r="T30" i="18"/>
  <c r="T35" i="18" s="1"/>
  <c r="AE35" i="18" s="1"/>
  <c r="T28" i="18"/>
  <c r="T43" i="18" s="1"/>
  <c r="AE43" i="18" s="1"/>
  <c r="T26" i="18"/>
  <c r="T36" i="18" s="1"/>
  <c r="AE36" i="18" s="1"/>
  <c r="T24" i="18"/>
  <c r="T22" i="18"/>
  <c r="T37" i="18" s="1"/>
  <c r="AE37" i="18" s="1"/>
  <c r="T20" i="18"/>
  <c r="T18" i="18"/>
  <c r="T16" i="18"/>
  <c r="T14" i="18"/>
  <c r="T34" i="18" s="1"/>
  <c r="AE34" i="18" s="1"/>
  <c r="T12" i="18"/>
  <c r="T11" i="18"/>
  <c r="T39" i="18" s="1"/>
  <c r="AE39" i="18" s="1"/>
  <c r="T9" i="18"/>
  <c r="T7" i="18"/>
  <c r="T5" i="18"/>
  <c r="T3" i="18"/>
  <c r="T32" i="18" s="1"/>
  <c r="BZ29" i="18"/>
  <c r="BZ27" i="18"/>
  <c r="BZ25" i="18"/>
  <c r="BZ23" i="18"/>
  <c r="BZ49" i="18" s="1"/>
  <c r="CN49" i="18" s="1"/>
  <c r="BZ21" i="18"/>
  <c r="BZ19" i="18"/>
  <c r="BZ42" i="18" s="1"/>
  <c r="CN42" i="18" s="1"/>
  <c r="BZ17" i="18"/>
  <c r="BZ15" i="18"/>
  <c r="BZ44" i="18" s="1"/>
  <c r="CN44" i="18" s="1"/>
  <c r="BZ13" i="18"/>
  <c r="BZ33" i="18" s="1"/>
  <c r="CN33" i="18" s="1"/>
  <c r="BZ10" i="18"/>
  <c r="BZ46" i="18" s="1"/>
  <c r="CN46" i="18" s="1"/>
  <c r="BZ8" i="18"/>
  <c r="BZ41" i="18" s="1"/>
  <c r="CN41" i="18" s="1"/>
  <c r="BZ6" i="18"/>
  <c r="BZ47" i="18" s="1"/>
  <c r="CN47" i="18" s="1"/>
  <c r="BZ4" i="18"/>
  <c r="BZ40" i="18" s="1"/>
  <c r="CN40" i="18" s="1"/>
  <c r="BZ30" i="18"/>
  <c r="BZ35" i="18" s="1"/>
  <c r="CN35" i="18" s="1"/>
  <c r="BZ26" i="18"/>
  <c r="BZ36" i="18" s="1"/>
  <c r="CN36" i="18" s="1"/>
  <c r="BZ18" i="18"/>
  <c r="BZ11" i="18"/>
  <c r="BZ39" i="18" s="1"/>
  <c r="CN39" i="18" s="1"/>
  <c r="BZ2" i="18"/>
  <c r="BZ38" i="18" s="1"/>
  <c r="CN38" i="18" s="1"/>
  <c r="BZ3" i="18"/>
  <c r="BZ32" i="18" s="1"/>
  <c r="BZ20" i="18"/>
  <c r="BZ12" i="18"/>
  <c r="BZ5" i="18"/>
  <c r="BZ28" i="18"/>
  <c r="BZ43" i="18" s="1"/>
  <c r="CN43" i="18" s="1"/>
  <c r="BZ22" i="18"/>
  <c r="BZ37" i="18" s="1"/>
  <c r="CN37" i="18" s="1"/>
  <c r="BZ14" i="18"/>
  <c r="BZ34" i="18" s="1"/>
  <c r="CN34" i="18" s="1"/>
  <c r="BZ7" i="18"/>
  <c r="BZ16" i="18"/>
  <c r="BZ24" i="18"/>
  <c r="BZ9" i="18"/>
  <c r="EF35" i="18"/>
  <c r="ET35" i="18" s="1"/>
  <c r="EF43" i="18"/>
  <c r="ET43" i="18" s="1"/>
  <c r="EF36" i="18"/>
  <c r="ET36" i="18" s="1"/>
  <c r="EF37" i="18"/>
  <c r="ET37" i="18" s="1"/>
  <c r="EF34" i="18"/>
  <c r="ET34" i="18" s="1"/>
  <c r="EF49" i="18"/>
  <c r="ET49" i="18" s="1"/>
  <c r="EF42" i="18"/>
  <c r="ET42" i="18" s="1"/>
  <c r="EF44" i="18"/>
  <c r="ET44" i="18" s="1"/>
  <c r="EF33" i="18"/>
  <c r="ET33" i="18" s="1"/>
  <c r="EF39" i="18"/>
  <c r="ET39" i="18" s="1"/>
  <c r="EF32" i="18"/>
  <c r="ET32" i="18" s="1"/>
  <c r="EF41" i="18"/>
  <c r="ET41" i="18" s="1"/>
  <c r="EF40" i="18"/>
  <c r="ET40" i="18" s="1"/>
  <c r="EF47" i="18"/>
  <c r="ET47" i="18" s="1"/>
  <c r="EF46" i="18"/>
  <c r="ET46" i="18" s="1"/>
  <c r="EF38" i="18"/>
  <c r="ET38" i="18" s="1"/>
  <c r="X29" i="18"/>
  <c r="X27" i="18"/>
  <c r="X25" i="18"/>
  <c r="X23" i="18"/>
  <c r="X49" i="18" s="1"/>
  <c r="X21" i="18"/>
  <c r="X19" i="18"/>
  <c r="X42" i="18" s="1"/>
  <c r="AI42" i="18" s="1"/>
  <c r="X17" i="18"/>
  <c r="X15" i="18"/>
  <c r="X44" i="18" s="1"/>
  <c r="AI44" i="18" s="1"/>
  <c r="X13" i="18"/>
  <c r="X33" i="18" s="1"/>
  <c r="AI33" i="18" s="1"/>
  <c r="X10" i="18"/>
  <c r="X46" i="18" s="1"/>
  <c r="X8" i="18"/>
  <c r="X41" i="18" s="1"/>
  <c r="AI41" i="18" s="1"/>
  <c r="X6" i="18"/>
  <c r="X47" i="18" s="1"/>
  <c r="AI47" i="18" s="1"/>
  <c r="X4" i="18"/>
  <c r="X40" i="18" s="1"/>
  <c r="AI40" i="18" s="1"/>
  <c r="X2" i="18"/>
  <c r="X38" i="18" s="1"/>
  <c r="AI38" i="18" s="1"/>
  <c r="X30" i="18"/>
  <c r="X35" i="18" s="1"/>
  <c r="AI35" i="18" s="1"/>
  <c r="X28" i="18"/>
  <c r="X43" i="18" s="1"/>
  <c r="AI43" i="18" s="1"/>
  <c r="X26" i="18"/>
  <c r="X36" i="18" s="1"/>
  <c r="AI36" i="18" s="1"/>
  <c r="X24" i="18"/>
  <c r="X22" i="18"/>
  <c r="X37" i="18" s="1"/>
  <c r="AI37" i="18" s="1"/>
  <c r="X20" i="18"/>
  <c r="X18" i="18"/>
  <c r="X16" i="18"/>
  <c r="X14" i="18"/>
  <c r="X34" i="18" s="1"/>
  <c r="AI34" i="18" s="1"/>
  <c r="X12" i="18"/>
  <c r="X11" i="18"/>
  <c r="X39" i="18" s="1"/>
  <c r="AI39" i="18" s="1"/>
  <c r="X9" i="18"/>
  <c r="X7" i="18"/>
  <c r="X5" i="18"/>
  <c r="X3" i="18"/>
  <c r="X32" i="18" s="1"/>
  <c r="AU23" i="5"/>
  <c r="AU49" i="5" s="1"/>
  <c r="AU21" i="5"/>
  <c r="AU16" i="5"/>
  <c r="AU13" i="5"/>
  <c r="AU33" i="5" s="1"/>
  <c r="AU10" i="5"/>
  <c r="AU46" i="5" s="1"/>
  <c r="AU8" i="5"/>
  <c r="AU41" i="5" s="1"/>
  <c r="AJ23" i="5"/>
  <c r="AJ49" i="5" s="1"/>
  <c r="AJ21" i="5"/>
  <c r="AJ16" i="5"/>
  <c r="AJ13" i="5"/>
  <c r="AJ33" i="5" s="1"/>
  <c r="AJ10" i="5"/>
  <c r="AJ46" i="5" s="1"/>
  <c r="AJ8" i="5"/>
  <c r="AJ41" i="5" s="1"/>
  <c r="AU30" i="5"/>
  <c r="AU35" i="5" s="1"/>
  <c r="AU27" i="5"/>
  <c r="AU25" i="5"/>
  <c r="AU22" i="5"/>
  <c r="AU37" i="5" s="1"/>
  <c r="AU18" i="5"/>
  <c r="AU15" i="5"/>
  <c r="AU44" i="5" s="1"/>
  <c r="AU12" i="5"/>
  <c r="AU5" i="5"/>
  <c r="AU2" i="5"/>
  <c r="AU38" i="5" s="1"/>
  <c r="AJ30" i="5"/>
  <c r="AJ35" i="5" s="1"/>
  <c r="AJ27" i="5"/>
  <c r="AJ25" i="5"/>
  <c r="AJ22" i="5"/>
  <c r="AJ37" i="5" s="1"/>
  <c r="AJ18" i="5"/>
  <c r="AJ15" i="5"/>
  <c r="AJ44" i="5" s="1"/>
  <c r="AJ12" i="5"/>
  <c r="AJ5" i="5"/>
  <c r="AJ2" i="5"/>
  <c r="AJ38" i="5" s="1"/>
  <c r="AU29" i="5"/>
  <c r="AU20" i="5"/>
  <c r="AU17" i="5"/>
  <c r="AU14" i="5"/>
  <c r="AU34" i="5" s="1"/>
  <c r="AU7" i="5"/>
  <c r="AU4" i="5"/>
  <c r="AU40" i="5" s="1"/>
  <c r="AJ29" i="5"/>
  <c r="AJ20" i="5"/>
  <c r="AJ17" i="5"/>
  <c r="AJ14" i="5"/>
  <c r="AJ34" i="5" s="1"/>
  <c r="AJ7" i="5"/>
  <c r="AJ4" i="5"/>
  <c r="AJ40" i="5" s="1"/>
  <c r="AU28" i="5"/>
  <c r="AU43" i="5" s="1"/>
  <c r="AU26" i="5"/>
  <c r="AU36" i="5" s="1"/>
  <c r="AU24" i="5"/>
  <c r="AU19" i="5"/>
  <c r="AU42" i="5" s="1"/>
  <c r="AU11" i="5"/>
  <c r="AU39" i="5" s="1"/>
  <c r="AU9" i="5"/>
  <c r="AU6" i="5"/>
  <c r="AU47" i="5" s="1"/>
  <c r="AU3" i="5"/>
  <c r="AU32" i="5" s="1"/>
  <c r="AJ28" i="5"/>
  <c r="AJ43" i="5" s="1"/>
  <c r="AJ26" i="5"/>
  <c r="AJ36" i="5" s="1"/>
  <c r="AJ24" i="5"/>
  <c r="AJ19" i="5"/>
  <c r="AJ42" i="5" s="1"/>
  <c r="AJ11" i="5"/>
  <c r="AJ39" i="5" s="1"/>
  <c r="AJ9" i="5"/>
  <c r="AJ6" i="5"/>
  <c r="AJ47" i="5" s="1"/>
  <c r="AJ3" i="5"/>
  <c r="AJ32" i="5" s="1"/>
  <c r="J28" i="5"/>
  <c r="J43" i="5" s="1"/>
  <c r="J26" i="5"/>
  <c r="J36" i="5" s="1"/>
  <c r="J23" i="5"/>
  <c r="J49" i="5" s="1"/>
  <c r="J21" i="5"/>
  <c r="J16" i="5"/>
  <c r="J13" i="5"/>
  <c r="J33" i="5" s="1"/>
  <c r="J10" i="5"/>
  <c r="J46" i="5" s="1"/>
  <c r="J8" i="5"/>
  <c r="J41" i="5" s="1"/>
  <c r="J25" i="5"/>
  <c r="J14" i="5"/>
  <c r="J34" i="5" s="1"/>
  <c r="J4" i="5"/>
  <c r="J40" i="5" s="1"/>
  <c r="J29" i="5"/>
  <c r="J24" i="5"/>
  <c r="J19" i="5"/>
  <c r="J42" i="5" s="1"/>
  <c r="J9" i="5"/>
  <c r="J6" i="5"/>
  <c r="J47" i="5" s="1"/>
  <c r="J3" i="5"/>
  <c r="J32" i="5" s="1"/>
  <c r="J22" i="5"/>
  <c r="J37" i="5" s="1"/>
  <c r="J18" i="5"/>
  <c r="J15" i="5"/>
  <c r="J12" i="5"/>
  <c r="J5" i="5"/>
  <c r="J27" i="5"/>
  <c r="J17" i="5"/>
  <c r="J7" i="5"/>
  <c r="J30" i="5"/>
  <c r="J35" i="5" s="1"/>
  <c r="J20" i="5"/>
  <c r="J2" i="5"/>
  <c r="J38" i="5" s="1"/>
  <c r="J11" i="5"/>
  <c r="J39" i="5" s="1"/>
  <c r="D2" i="30"/>
  <c r="AC29" i="30"/>
  <c r="AB29" i="30" s="1"/>
  <c r="AC25" i="30"/>
  <c r="AB25" i="30" s="1"/>
  <c r="AC21" i="30"/>
  <c r="AB21" i="30" s="1"/>
  <c r="AC17" i="30"/>
  <c r="AC13" i="30"/>
  <c r="AC10" i="30"/>
  <c r="AC6" i="30"/>
  <c r="AC28" i="31"/>
  <c r="AC24" i="31"/>
  <c r="AC20" i="31"/>
  <c r="AC16" i="31"/>
  <c r="AC12" i="31"/>
  <c r="AC9" i="31"/>
  <c r="AC5" i="31"/>
  <c r="AC26" i="31"/>
  <c r="AC11" i="31"/>
  <c r="AC28" i="30"/>
  <c r="AC24" i="30"/>
  <c r="AB24" i="30" s="1"/>
  <c r="AC20" i="30"/>
  <c r="AB20" i="30" s="1"/>
  <c r="AC16" i="30"/>
  <c r="AB16" i="30" s="1"/>
  <c r="AC12" i="30"/>
  <c r="AB12" i="30" s="1"/>
  <c r="AC9" i="30"/>
  <c r="AB9" i="30" s="1"/>
  <c r="AC5" i="30"/>
  <c r="AB5" i="30" s="1"/>
  <c r="AC27" i="31"/>
  <c r="AC23" i="31"/>
  <c r="CA49" i="31" s="1"/>
  <c r="AC19" i="31"/>
  <c r="AC15" i="31"/>
  <c r="AC8" i="31"/>
  <c r="AC4" i="31"/>
  <c r="AC30" i="31"/>
  <c r="AC14" i="31"/>
  <c r="AC27" i="30"/>
  <c r="AB27" i="30" s="1"/>
  <c r="AC23" i="30"/>
  <c r="AB23" i="30" s="1"/>
  <c r="AC19" i="30"/>
  <c r="AC15" i="30"/>
  <c r="AC8" i="30"/>
  <c r="AC4" i="30"/>
  <c r="AC18" i="31"/>
  <c r="AC3" i="31"/>
  <c r="AC30" i="30"/>
  <c r="AC26" i="30"/>
  <c r="AC22" i="30"/>
  <c r="AC18" i="30"/>
  <c r="AB18" i="30" s="1"/>
  <c r="AC14" i="30"/>
  <c r="AC11" i="30"/>
  <c r="AC7" i="30"/>
  <c r="AB7" i="30" s="1"/>
  <c r="AC3" i="30"/>
  <c r="AC29" i="31"/>
  <c r="AC25" i="31"/>
  <c r="AC21" i="31"/>
  <c r="AC17" i="31"/>
  <c r="AC13" i="31"/>
  <c r="AC10" i="31"/>
  <c r="AC6" i="31"/>
  <c r="AC2" i="31"/>
  <c r="AC22" i="31"/>
  <c r="AC7" i="31"/>
  <c r="AC2" i="30"/>
  <c r="AC38" i="30" s="1"/>
  <c r="AG28" i="31"/>
  <c r="AG43" i="31" s="1"/>
  <c r="AG24" i="31"/>
  <c r="AG20" i="31"/>
  <c r="AG16" i="31"/>
  <c r="AG12" i="31"/>
  <c r="AG9" i="31"/>
  <c r="AG5" i="31"/>
  <c r="AG14" i="31"/>
  <c r="AG34" i="31" s="1"/>
  <c r="AG3" i="31"/>
  <c r="AG32" i="31" s="1"/>
  <c r="AG29" i="31"/>
  <c r="AG25" i="31"/>
  <c r="AG21" i="31"/>
  <c r="AG17" i="31"/>
  <c r="AG13" i="31"/>
  <c r="AG33" i="31" s="1"/>
  <c r="AG10" i="31"/>
  <c r="AG46" i="31" s="1"/>
  <c r="AG45" i="31" s="1"/>
  <c r="AG6" i="31"/>
  <c r="AG47" i="31" s="1"/>
  <c r="AG2" i="31"/>
  <c r="AG38" i="31" s="1"/>
  <c r="AG11" i="31"/>
  <c r="AG39" i="31" s="1"/>
  <c r="AG7" i="31"/>
  <c r="AG30" i="31"/>
  <c r="AG35" i="31" s="1"/>
  <c r="AG26" i="31"/>
  <c r="AG36" i="31" s="1"/>
  <c r="AG22" i="31"/>
  <c r="AG37" i="31" s="1"/>
  <c r="AG18" i="31"/>
  <c r="AG27" i="31"/>
  <c r="AG23" i="31"/>
  <c r="AG19" i="31"/>
  <c r="AG42" i="31" s="1"/>
  <c r="AG15" i="31"/>
  <c r="AG44" i="31" s="1"/>
  <c r="AG8" i="31"/>
  <c r="AG41" i="31" s="1"/>
  <c r="AG4" i="31"/>
  <c r="AG40" i="31" s="1"/>
  <c r="AJ27" i="31"/>
  <c r="AJ23" i="31"/>
  <c r="AJ19" i="31"/>
  <c r="AJ42" i="31" s="1"/>
  <c r="AJ15" i="31"/>
  <c r="AJ44" i="31" s="1"/>
  <c r="AJ8" i="31"/>
  <c r="AJ41" i="31" s="1"/>
  <c r="AJ4" i="31"/>
  <c r="AJ40" i="31" s="1"/>
  <c r="AJ28" i="31"/>
  <c r="AJ43" i="31" s="1"/>
  <c r="AJ24" i="31"/>
  <c r="AJ20" i="31"/>
  <c r="AJ16" i="31"/>
  <c r="AJ12" i="31"/>
  <c r="AJ9" i="31"/>
  <c r="AJ5" i="31"/>
  <c r="AJ29" i="31"/>
  <c r="AJ25" i="31"/>
  <c r="AJ21" i="31"/>
  <c r="AJ17" i="31"/>
  <c r="AJ13" i="31"/>
  <c r="AJ33" i="31" s="1"/>
  <c r="AJ30" i="31"/>
  <c r="AJ35" i="31" s="1"/>
  <c r="AJ26" i="31"/>
  <c r="AJ36" i="31" s="1"/>
  <c r="AJ22" i="31"/>
  <c r="AJ37" i="31" s="1"/>
  <c r="AJ18" i="31"/>
  <c r="AJ14" i="31"/>
  <c r="AJ34" i="31" s="1"/>
  <c r="AJ11" i="31"/>
  <c r="AJ39" i="31" s="1"/>
  <c r="AJ7" i="31"/>
  <c r="AJ3" i="31"/>
  <c r="AJ32" i="31" s="1"/>
  <c r="AJ10" i="31"/>
  <c r="AJ46" i="31" s="1"/>
  <c r="AJ6" i="31"/>
  <c r="AJ47" i="31" s="1"/>
  <c r="AJ2" i="31"/>
  <c r="AJ38" i="31" s="1"/>
  <c r="AN27" i="31"/>
  <c r="AN23" i="31"/>
  <c r="AN19" i="31"/>
  <c r="AN42" i="31" s="1"/>
  <c r="AN15" i="31"/>
  <c r="AN44" i="31" s="1"/>
  <c r="AN8" i="31"/>
  <c r="AN41" i="31" s="1"/>
  <c r="AN4" i="31"/>
  <c r="AN40" i="31" s="1"/>
  <c r="AN2" i="31"/>
  <c r="AN38" i="31" s="1"/>
  <c r="AN28" i="31"/>
  <c r="AN43" i="31" s="1"/>
  <c r="AN24" i="31"/>
  <c r="AN20" i="31"/>
  <c r="AN16" i="31"/>
  <c r="AN12" i="31"/>
  <c r="AN9" i="31"/>
  <c r="AN5" i="31"/>
  <c r="AN10" i="31"/>
  <c r="AN46" i="31" s="1"/>
  <c r="AN6" i="31"/>
  <c r="AN47" i="31" s="1"/>
  <c r="AN29" i="31"/>
  <c r="AN25" i="31"/>
  <c r="AN21" i="31"/>
  <c r="AN17" i="31"/>
  <c r="AN30" i="31"/>
  <c r="AN35" i="31" s="1"/>
  <c r="AN26" i="31"/>
  <c r="AN36" i="31" s="1"/>
  <c r="AN22" i="31"/>
  <c r="AN37" i="31" s="1"/>
  <c r="AN18" i="31"/>
  <c r="AN14" i="31"/>
  <c r="AN34" i="31" s="1"/>
  <c r="AN11" i="31"/>
  <c r="AN39" i="31" s="1"/>
  <c r="AN7" i="31"/>
  <c r="AN3" i="31"/>
  <c r="AN32" i="31" s="1"/>
  <c r="AN13" i="31"/>
  <c r="AN33" i="31" s="1"/>
  <c r="AR27" i="31"/>
  <c r="AR23" i="31"/>
  <c r="AR19" i="31"/>
  <c r="AR42" i="31" s="1"/>
  <c r="AR15" i="31"/>
  <c r="AR44" i="31" s="1"/>
  <c r="AR8" i="31"/>
  <c r="AR41" i="31" s="1"/>
  <c r="AR4" i="31"/>
  <c r="AR40" i="31" s="1"/>
  <c r="AR10" i="31"/>
  <c r="AR46" i="31" s="1"/>
  <c r="AR6" i="31"/>
  <c r="AR47" i="31" s="1"/>
  <c r="AR28" i="31"/>
  <c r="AR43" i="31" s="1"/>
  <c r="AR24" i="31"/>
  <c r="AR20" i="31"/>
  <c r="AR16" i="31"/>
  <c r="AR12" i="31"/>
  <c r="AR9" i="31"/>
  <c r="AR5" i="31"/>
  <c r="AR13" i="31"/>
  <c r="AR33" i="31" s="1"/>
  <c r="AR2" i="31"/>
  <c r="AR38" i="31" s="1"/>
  <c r="AR29" i="31"/>
  <c r="AR25" i="31"/>
  <c r="AR21" i="31"/>
  <c r="AR17" i="31"/>
  <c r="AR30" i="31"/>
  <c r="AR35" i="31" s="1"/>
  <c r="AR26" i="31"/>
  <c r="AR36" i="31" s="1"/>
  <c r="AR22" i="31"/>
  <c r="AR37" i="31" s="1"/>
  <c r="AR18" i="31"/>
  <c r="AR14" i="31"/>
  <c r="AR34" i="31" s="1"/>
  <c r="AR11" i="31"/>
  <c r="AR39" i="31" s="1"/>
  <c r="AR7" i="31"/>
  <c r="AR3" i="31"/>
  <c r="AR32" i="31" s="1"/>
  <c r="AY30" i="31"/>
  <c r="AY26" i="31"/>
  <c r="AY22" i="31"/>
  <c r="AY18" i="31"/>
  <c r="AY14" i="31"/>
  <c r="AY11" i="31"/>
  <c r="AY7" i="31"/>
  <c r="AY3" i="31"/>
  <c r="AY9" i="31"/>
  <c r="AY27" i="31"/>
  <c r="AY23" i="31"/>
  <c r="AY19" i="31"/>
  <c r="AY15" i="31"/>
  <c r="AY8" i="31"/>
  <c r="AY4" i="31"/>
  <c r="AY12" i="31"/>
  <c r="AY5" i="31"/>
  <c r="AY28" i="31"/>
  <c r="AY24" i="31"/>
  <c r="AY20" i="31"/>
  <c r="AY16" i="31"/>
  <c r="AY29" i="31"/>
  <c r="AY25" i="31"/>
  <c r="AY21" i="31"/>
  <c r="AY17" i="31"/>
  <c r="AY13" i="31"/>
  <c r="AY10" i="31"/>
  <c r="AY6" i="31"/>
  <c r="AY2" i="31"/>
  <c r="BR39" i="18"/>
  <c r="CF39" i="18" s="1"/>
  <c r="BS39" i="18"/>
  <c r="CG39" i="18" s="1"/>
  <c r="BX32" i="18"/>
  <c r="BW3" i="18"/>
  <c r="BW32" i="18" s="1"/>
  <c r="BR3" i="18"/>
  <c r="BR32" i="18" s="1"/>
  <c r="BX39" i="18"/>
  <c r="CL39" i="18" s="1"/>
  <c r="BV39" i="18"/>
  <c r="CJ39" i="18" s="1"/>
  <c r="BS32" i="18"/>
  <c r="BV3" i="18"/>
  <c r="BV32" i="18" s="1"/>
  <c r="BY39" i="18"/>
  <c r="CM39" i="18" s="1"/>
  <c r="BT39" i="18"/>
  <c r="CH39" i="18" s="1"/>
  <c r="BY3" i="18"/>
  <c r="BY32" i="18" s="1"/>
  <c r="BT3" i="18"/>
  <c r="BT32" i="18" s="1"/>
  <c r="BU3" i="18"/>
  <c r="BU32" i="18" s="1"/>
  <c r="BT43" i="18"/>
  <c r="CH43" i="18" s="1"/>
  <c r="BY35" i="18"/>
  <c r="CM35" i="18" s="1"/>
  <c r="BV35" i="18"/>
  <c r="CJ35" i="18" s="1"/>
  <c r="BS43" i="18"/>
  <c r="CG43" i="18" s="1"/>
  <c r="BY36" i="18"/>
  <c r="CM36" i="18" s="1"/>
  <c r="BV36" i="18"/>
  <c r="CJ36" i="18" s="1"/>
  <c r="BX49" i="18"/>
  <c r="CL49" i="18" s="1"/>
  <c r="BR49" i="18"/>
  <c r="CF49" i="18" s="1"/>
  <c r="BY37" i="18"/>
  <c r="CM37" i="18" s="1"/>
  <c r="BV37" i="18"/>
  <c r="CJ37" i="18" s="1"/>
  <c r="BX42" i="18"/>
  <c r="CL42" i="18" s="1"/>
  <c r="BR42" i="18"/>
  <c r="CF42" i="18" s="1"/>
  <c r="BX44" i="18"/>
  <c r="CL44" i="18" s="1"/>
  <c r="BR44" i="18"/>
  <c r="CF44" i="18" s="1"/>
  <c r="BY34" i="18"/>
  <c r="CM34" i="18" s="1"/>
  <c r="BW38" i="18"/>
  <c r="CK38" i="18" s="1"/>
  <c r="BT35" i="18"/>
  <c r="CH35" i="18" s="1"/>
  <c r="BS34" i="18"/>
  <c r="CG34" i="18" s="1"/>
  <c r="BX38" i="18"/>
  <c r="CL38" i="18" s="1"/>
  <c r="BT49" i="18"/>
  <c r="CH49" i="18" s="1"/>
  <c r="BT42" i="18"/>
  <c r="CH42" i="18" s="1"/>
  <c r="BT44" i="18"/>
  <c r="CH44" i="18" s="1"/>
  <c r="BT38" i="18"/>
  <c r="CH38" i="18" s="1"/>
  <c r="BW35" i="18"/>
  <c r="CK35" i="18" s="1"/>
  <c r="BX43" i="18"/>
  <c r="CL43" i="18" s="1"/>
  <c r="BR43" i="18"/>
  <c r="CF43" i="18" s="1"/>
  <c r="BY42" i="18"/>
  <c r="CM42" i="18" s="1"/>
  <c r="BV42" i="18"/>
  <c r="CJ42" i="18" s="1"/>
  <c r="BY44" i="18"/>
  <c r="CM44" i="18" s="1"/>
  <c r="BS38" i="18"/>
  <c r="CG38" i="18" s="1"/>
  <c r="BT36" i="18"/>
  <c r="CH36" i="18" s="1"/>
  <c r="BT34" i="18"/>
  <c r="CH34" i="18" s="1"/>
  <c r="BY43" i="18"/>
  <c r="CM43" i="18" s="1"/>
  <c r="BS36" i="18"/>
  <c r="CG36" i="18" s="1"/>
  <c r="BR38" i="18"/>
  <c r="CF38" i="18" s="1"/>
  <c r="BT37" i="18"/>
  <c r="CH37" i="18" s="1"/>
  <c r="BS35" i="18"/>
  <c r="CG35" i="18" s="1"/>
  <c r="BV43" i="18"/>
  <c r="CJ43" i="18" s="1"/>
  <c r="BS37" i="18"/>
  <c r="CG37" i="18" s="1"/>
  <c r="BX35" i="18"/>
  <c r="CL35" i="18" s="1"/>
  <c r="BR36" i="18"/>
  <c r="CF36" i="18" s="1"/>
  <c r="BS42" i="18"/>
  <c r="CG42" i="18" s="1"/>
  <c r="BX34" i="18"/>
  <c r="CL34" i="18" s="1"/>
  <c r="BS44" i="18"/>
  <c r="CG44" i="18" s="1"/>
  <c r="BR35" i="18"/>
  <c r="CF35" i="18" s="1"/>
  <c r="BS49" i="18"/>
  <c r="CG49" i="18" s="1"/>
  <c r="BR34" i="18"/>
  <c r="CF34" i="18" s="1"/>
  <c r="BX37" i="18"/>
  <c r="CL37" i="18" s="1"/>
  <c r="BX36" i="18"/>
  <c r="CL36" i="18" s="1"/>
  <c r="BY38" i="18"/>
  <c r="CM38" i="18" s="1"/>
  <c r="AV37" i="18"/>
  <c r="D30" i="5"/>
  <c r="D28" i="5"/>
  <c r="D26" i="5"/>
  <c r="D24" i="5"/>
  <c r="D22" i="5"/>
  <c r="D20" i="5"/>
  <c r="D18" i="5"/>
  <c r="D16" i="5"/>
  <c r="D14" i="5"/>
  <c r="D12" i="5"/>
  <c r="D10" i="5"/>
  <c r="D8" i="5"/>
  <c r="D6" i="5"/>
  <c r="D4" i="5"/>
  <c r="D29" i="5"/>
  <c r="D27" i="5"/>
  <c r="D25" i="5"/>
  <c r="D23" i="5"/>
  <c r="D21" i="5"/>
  <c r="D19" i="5"/>
  <c r="D17" i="5"/>
  <c r="D15" i="5"/>
  <c r="D13" i="5"/>
  <c r="D11" i="5"/>
  <c r="D9" i="5"/>
  <c r="D7" i="5"/>
  <c r="D5" i="5"/>
  <c r="D3" i="5"/>
  <c r="AS32" i="37"/>
  <c r="AV32" i="37"/>
  <c r="AV35" i="37"/>
  <c r="AV43" i="37"/>
  <c r="AV36" i="37"/>
  <c r="AV49" i="37"/>
  <c r="AV37" i="37"/>
  <c r="AV42" i="37"/>
  <c r="AV44" i="37"/>
  <c r="AV34" i="37"/>
  <c r="AV33" i="37"/>
  <c r="AV39" i="37"/>
  <c r="AV46" i="37"/>
  <c r="AV41" i="37"/>
  <c r="AV47" i="37"/>
  <c r="AV40" i="37"/>
  <c r="AV38" i="37"/>
  <c r="AS35" i="37"/>
  <c r="AS43" i="37"/>
  <c r="AS36" i="37"/>
  <c r="AS49" i="37"/>
  <c r="AS37" i="37"/>
  <c r="AS42" i="37"/>
  <c r="AS44" i="37"/>
  <c r="AS34" i="37"/>
  <c r="AS33" i="37"/>
  <c r="AS39" i="37"/>
  <c r="AS46" i="37"/>
  <c r="AS41" i="37"/>
  <c r="AS47" i="37"/>
  <c r="AS40" i="37"/>
  <c r="AS38" i="37"/>
  <c r="H5" i="3"/>
  <c r="AL49" i="18"/>
  <c r="AL43" i="18"/>
  <c r="AL39" i="18"/>
  <c r="AL47" i="18"/>
  <c r="AL33" i="18"/>
  <c r="AL35" i="18"/>
  <c r="AL41" i="18"/>
  <c r="AL40" i="18"/>
  <c r="AL38" i="18"/>
  <c r="AL34" i="18"/>
  <c r="AL32" i="18"/>
  <c r="AL37" i="18"/>
  <c r="AL44" i="18"/>
  <c r="AL42" i="18"/>
  <c r="AL36" i="18"/>
  <c r="AL46" i="18"/>
  <c r="E5" i="3"/>
  <c r="R46" i="5"/>
  <c r="D2" i="5"/>
  <c r="E35" i="18"/>
  <c r="E43" i="18"/>
  <c r="E49" i="18"/>
  <c r="E37" i="18"/>
  <c r="E36" i="18"/>
  <c r="E42" i="18"/>
  <c r="E44" i="18"/>
  <c r="E33" i="18"/>
  <c r="E34" i="18"/>
  <c r="E40" i="18"/>
  <c r="E38" i="18"/>
  <c r="E46" i="18"/>
  <c r="E41" i="18"/>
  <c r="E47" i="18"/>
  <c r="E39" i="18"/>
  <c r="F35" i="18"/>
  <c r="F43" i="18"/>
  <c r="F36" i="18"/>
  <c r="F42" i="18"/>
  <c r="F44" i="18"/>
  <c r="F33" i="18"/>
  <c r="F34" i="18"/>
  <c r="F49" i="18"/>
  <c r="F37" i="18"/>
  <c r="F46" i="18"/>
  <c r="F41" i="18"/>
  <c r="F47" i="18"/>
  <c r="F39" i="18"/>
  <c r="F40" i="18"/>
  <c r="F38" i="18"/>
  <c r="EV35" i="18"/>
  <c r="EV43" i="18"/>
  <c r="EV57" i="18"/>
  <c r="EV36" i="18"/>
  <c r="EV49" i="18"/>
  <c r="EV44" i="18"/>
  <c r="EV42" i="18"/>
  <c r="EV33" i="18"/>
  <c r="CQ49" i="18"/>
  <c r="EV34" i="18"/>
  <c r="EV37" i="18"/>
  <c r="EV46" i="18"/>
  <c r="EV40" i="18"/>
  <c r="EV38" i="18"/>
  <c r="EV41" i="18"/>
  <c r="EV47" i="18"/>
  <c r="EV39" i="18"/>
  <c r="EV32" i="18"/>
  <c r="D35" i="18"/>
  <c r="D43" i="18"/>
  <c r="D34" i="18"/>
  <c r="D49" i="18"/>
  <c r="D37" i="18"/>
  <c r="D36" i="18"/>
  <c r="D42" i="18"/>
  <c r="D44" i="18"/>
  <c r="D33" i="18"/>
  <c r="D41" i="18"/>
  <c r="D40" i="18"/>
  <c r="D38" i="18"/>
  <c r="D46" i="18"/>
  <c r="D47" i="18"/>
  <c r="D39" i="18"/>
  <c r="J35" i="18"/>
  <c r="J43" i="18"/>
  <c r="J36" i="18"/>
  <c r="J42" i="18"/>
  <c r="J44" i="18"/>
  <c r="J33" i="18"/>
  <c r="J34" i="18"/>
  <c r="J49" i="18"/>
  <c r="J37" i="18"/>
  <c r="J46" i="18"/>
  <c r="J41" i="18"/>
  <c r="J47" i="18"/>
  <c r="J39" i="18"/>
  <c r="J40" i="18"/>
  <c r="J38" i="18"/>
  <c r="J32" i="18"/>
  <c r="CP35" i="18"/>
  <c r="CP43" i="18"/>
  <c r="CP42" i="18"/>
  <c r="CP33" i="18"/>
  <c r="CP34" i="18"/>
  <c r="CP37" i="18"/>
  <c r="CP36" i="18"/>
  <c r="CP49" i="18"/>
  <c r="CP44" i="18"/>
  <c r="CP41" i="18"/>
  <c r="CP47" i="18"/>
  <c r="CP39" i="18"/>
  <c r="CP46" i="18"/>
  <c r="CP40" i="18"/>
  <c r="CP38" i="18"/>
  <c r="I35" i="18"/>
  <c r="I43" i="18"/>
  <c r="I49" i="18"/>
  <c r="I37" i="18"/>
  <c r="I36" i="18"/>
  <c r="I42" i="18"/>
  <c r="I44" i="18"/>
  <c r="I33" i="18"/>
  <c r="I34" i="18"/>
  <c r="I40" i="18"/>
  <c r="I38" i="18"/>
  <c r="I46" i="18"/>
  <c r="I41" i="18"/>
  <c r="I47" i="18"/>
  <c r="I39" i="18"/>
  <c r="I32" i="18"/>
  <c r="M35" i="18"/>
  <c r="M43" i="18"/>
  <c r="M37" i="18"/>
  <c r="M36" i="18"/>
  <c r="M49" i="18"/>
  <c r="M44" i="18"/>
  <c r="M42" i="18"/>
  <c r="M33" i="18"/>
  <c r="M34" i="18"/>
  <c r="M41" i="18"/>
  <c r="M46" i="18"/>
  <c r="M40" i="18"/>
  <c r="M38" i="18"/>
  <c r="M47" i="18"/>
  <c r="M39" i="18"/>
  <c r="M32" i="18"/>
  <c r="G35" i="18"/>
  <c r="G43" i="18"/>
  <c r="G33" i="18"/>
  <c r="G34" i="18"/>
  <c r="G49" i="18"/>
  <c r="G37" i="18"/>
  <c r="G36" i="18"/>
  <c r="G42" i="18"/>
  <c r="G44" i="18"/>
  <c r="G39" i="18"/>
  <c r="G40" i="18"/>
  <c r="G38" i="18"/>
  <c r="G46" i="18"/>
  <c r="G41" i="18"/>
  <c r="G47" i="18"/>
  <c r="H35" i="18"/>
  <c r="H43" i="18"/>
  <c r="H34" i="18"/>
  <c r="H49" i="18"/>
  <c r="H37" i="18"/>
  <c r="H36" i="18"/>
  <c r="H42" i="18"/>
  <c r="H44" i="18"/>
  <c r="H33" i="18"/>
  <c r="H40" i="18"/>
  <c r="H38" i="18"/>
  <c r="H46" i="18"/>
  <c r="H39" i="18"/>
  <c r="H41" i="18"/>
  <c r="H47" i="18"/>
  <c r="L35" i="18"/>
  <c r="L43" i="18"/>
  <c r="L34" i="18"/>
  <c r="L37" i="18"/>
  <c r="L36" i="18"/>
  <c r="L49" i="18"/>
  <c r="L44" i="18"/>
  <c r="L42" i="18"/>
  <c r="L33" i="18"/>
  <c r="L39" i="18"/>
  <c r="L46" i="18"/>
  <c r="L40" i="18"/>
  <c r="L41" i="18"/>
  <c r="L47" i="18"/>
  <c r="L38" i="18"/>
  <c r="L32" i="18"/>
  <c r="EW35" i="18"/>
  <c r="EW43" i="18"/>
  <c r="EW42" i="18"/>
  <c r="EW33" i="18"/>
  <c r="EW34" i="18"/>
  <c r="EW37" i="18"/>
  <c r="EW36" i="18"/>
  <c r="EW49" i="18"/>
  <c r="EW44" i="18"/>
  <c r="EW41" i="18"/>
  <c r="EW47" i="18"/>
  <c r="EW39" i="18"/>
  <c r="EW46" i="18"/>
  <c r="EW40" i="18"/>
  <c r="EW38" i="18"/>
  <c r="EW32" i="18"/>
  <c r="K5" i="3"/>
  <c r="AK35" i="18"/>
  <c r="AK43" i="18"/>
  <c r="AK36" i="18"/>
  <c r="AK37" i="18"/>
  <c r="AK34" i="18"/>
  <c r="AK44" i="18"/>
  <c r="AK49" i="18"/>
  <c r="AK42" i="18"/>
  <c r="AK33" i="18"/>
  <c r="AK39" i="18"/>
  <c r="AK41" i="18"/>
  <c r="AK46" i="18"/>
  <c r="AK47" i="18"/>
  <c r="AK38" i="18"/>
  <c r="AK40" i="18"/>
  <c r="AK32" i="18"/>
  <c r="DP3" i="18"/>
  <c r="CP32" i="18"/>
  <c r="H32" i="18"/>
  <c r="G32" i="18"/>
  <c r="F32" i="18"/>
  <c r="E32" i="18"/>
  <c r="E31" i="18" s="1"/>
  <c r="D32" i="18"/>
  <c r="E31" i="16" l="1"/>
  <c r="DS75" i="18"/>
  <c r="EG75" i="18" s="1"/>
  <c r="DS61" i="18"/>
  <c r="EG61" i="18" s="1"/>
  <c r="DS73" i="18"/>
  <c r="EG73" i="18" s="1"/>
  <c r="DS59" i="18"/>
  <c r="EG59" i="18" s="1"/>
  <c r="DS50" i="18"/>
  <c r="EG50" i="18" s="1"/>
  <c r="DS64" i="18"/>
  <c r="EG64" i="18" s="1"/>
  <c r="DS74" i="18"/>
  <c r="EG74" i="18" s="1"/>
  <c r="DS60" i="18"/>
  <c r="EG60" i="18" s="1"/>
  <c r="CH31" i="30"/>
  <c r="AC48" i="16"/>
  <c r="H41" i="16"/>
  <c r="K41" i="16" s="1"/>
  <c r="AE46" i="16"/>
  <c r="AE45" i="16" s="1"/>
  <c r="AC45" i="16"/>
  <c r="H75" i="16"/>
  <c r="K75" i="16" s="1"/>
  <c r="H61" i="16"/>
  <c r="K61" i="16" s="1"/>
  <c r="D45" i="37"/>
  <c r="H52" i="37"/>
  <c r="K52" i="37" s="1"/>
  <c r="H66" i="37"/>
  <c r="K66" i="37" s="1"/>
  <c r="H61" i="37"/>
  <c r="K61" i="37" s="1"/>
  <c r="H75" i="37"/>
  <c r="K75" i="37" s="1"/>
  <c r="H54" i="37"/>
  <c r="K54" i="37" s="1"/>
  <c r="H68" i="37"/>
  <c r="K68" i="37" s="1"/>
  <c r="W35" i="29"/>
  <c r="W30" i="30"/>
  <c r="W36" i="29"/>
  <c r="W26" i="30"/>
  <c r="W37" i="29"/>
  <c r="W22" i="30"/>
  <c r="W61" i="29"/>
  <c r="W75" i="29"/>
  <c r="W18" i="30"/>
  <c r="W34" i="29"/>
  <c r="W14" i="30"/>
  <c r="W41" i="29"/>
  <c r="W8" i="30"/>
  <c r="W32" i="29"/>
  <c r="W3" i="30"/>
  <c r="W4" i="42"/>
  <c r="W40" i="42" s="1"/>
  <c r="W40" i="41"/>
  <c r="W4" i="43"/>
  <c r="W40" i="43" s="1"/>
  <c r="W8" i="42"/>
  <c r="W41" i="42" s="1"/>
  <c r="W41" i="41"/>
  <c r="W8" i="43"/>
  <c r="W41" i="43" s="1"/>
  <c r="W12" i="42"/>
  <c r="W74" i="41"/>
  <c r="W60" i="41"/>
  <c r="W12" i="43"/>
  <c r="W16" i="42"/>
  <c r="W58" i="41"/>
  <c r="W72" i="41"/>
  <c r="W16" i="43"/>
  <c r="W20" i="42"/>
  <c r="W56" i="41"/>
  <c r="W70" i="41"/>
  <c r="W20" i="43"/>
  <c r="W24" i="42"/>
  <c r="W55" i="41"/>
  <c r="W69" i="41"/>
  <c r="W24" i="43"/>
  <c r="W28" i="42"/>
  <c r="W43" i="42" s="1"/>
  <c r="W43" i="41"/>
  <c r="W28" i="43"/>
  <c r="W43" i="43" s="1"/>
  <c r="AV31" i="42"/>
  <c r="T40" i="29"/>
  <c r="T4" i="30"/>
  <c r="T35" i="29"/>
  <c r="T30" i="30"/>
  <c r="T36" i="29"/>
  <c r="T26" i="30"/>
  <c r="T37" i="29"/>
  <c r="T22" i="30"/>
  <c r="T75" i="29"/>
  <c r="T61" i="29"/>
  <c r="T18" i="30"/>
  <c r="T34" i="29"/>
  <c r="T14" i="30"/>
  <c r="T59" i="29"/>
  <c r="T73" i="29"/>
  <c r="T7" i="30"/>
  <c r="T32" i="41"/>
  <c r="T3" i="42"/>
  <c r="T32" i="42" s="1"/>
  <c r="T3" i="43"/>
  <c r="T32" i="43" s="1"/>
  <c r="T7" i="42"/>
  <c r="T73" i="41"/>
  <c r="T59" i="41"/>
  <c r="T7" i="43"/>
  <c r="T39" i="41"/>
  <c r="T11" i="42"/>
  <c r="T39" i="42" s="1"/>
  <c r="T11" i="43"/>
  <c r="T39" i="43" s="1"/>
  <c r="T15" i="42"/>
  <c r="T44" i="42" s="1"/>
  <c r="T44" i="41"/>
  <c r="T15" i="43"/>
  <c r="T44" i="43" s="1"/>
  <c r="T19" i="42"/>
  <c r="T42" i="42" s="1"/>
  <c r="T42" i="41"/>
  <c r="T19" i="43"/>
  <c r="T42" i="43" s="1"/>
  <c r="T49" i="41"/>
  <c r="T23" i="42"/>
  <c r="T49" i="42" s="1"/>
  <c r="T23" i="43"/>
  <c r="T49" i="43" s="1"/>
  <c r="T27" i="42"/>
  <c r="T76" i="41"/>
  <c r="T62" i="41"/>
  <c r="T27" i="43"/>
  <c r="P57" i="29"/>
  <c r="P71" i="29"/>
  <c r="P29" i="30"/>
  <c r="P64" i="29"/>
  <c r="P50" i="29"/>
  <c r="P25" i="30"/>
  <c r="P65" i="29"/>
  <c r="P51" i="29"/>
  <c r="P21" i="30"/>
  <c r="P52" i="29"/>
  <c r="P66" i="29"/>
  <c r="P17" i="30"/>
  <c r="P33" i="29"/>
  <c r="P13" i="30"/>
  <c r="P40" i="29"/>
  <c r="P4" i="30"/>
  <c r="P7" i="42"/>
  <c r="P73" i="41"/>
  <c r="P59" i="41"/>
  <c r="P7" i="43"/>
  <c r="P15" i="42"/>
  <c r="P44" i="42" s="1"/>
  <c r="P44" i="41"/>
  <c r="P15" i="43"/>
  <c r="P44" i="43" s="1"/>
  <c r="P49" i="41"/>
  <c r="P23" i="42"/>
  <c r="P49" i="42" s="1"/>
  <c r="P23" i="43"/>
  <c r="P49" i="43" s="1"/>
  <c r="P60" i="29"/>
  <c r="P74" i="29"/>
  <c r="P12" i="30"/>
  <c r="P67" i="29"/>
  <c r="P53" i="29"/>
  <c r="P5" i="30"/>
  <c r="P47" i="41"/>
  <c r="P6" i="42"/>
  <c r="P47" i="42" s="1"/>
  <c r="P6" i="43"/>
  <c r="P47" i="43" s="1"/>
  <c r="P14" i="42"/>
  <c r="P34" i="42" s="1"/>
  <c r="P34" i="41"/>
  <c r="P14" i="43"/>
  <c r="P34" i="43" s="1"/>
  <c r="P22" i="42"/>
  <c r="P37" i="42" s="1"/>
  <c r="P37" i="41"/>
  <c r="P22" i="43"/>
  <c r="P37" i="43" s="1"/>
  <c r="P30" i="42"/>
  <c r="P35" i="42" s="1"/>
  <c r="P35" i="41"/>
  <c r="P30" i="43"/>
  <c r="P35" i="43" s="1"/>
  <c r="L39" i="29"/>
  <c r="L11" i="30"/>
  <c r="L32" i="29"/>
  <c r="L3" i="30"/>
  <c r="L76" i="29"/>
  <c r="L62" i="29"/>
  <c r="L27" i="30"/>
  <c r="L49" i="29"/>
  <c r="L23" i="30"/>
  <c r="L42" i="29"/>
  <c r="L19" i="30"/>
  <c r="L44" i="29"/>
  <c r="L15" i="30"/>
  <c r="L46" i="29"/>
  <c r="L10" i="30"/>
  <c r="L5" i="42"/>
  <c r="L67" i="41"/>
  <c r="L53" i="41"/>
  <c r="L5" i="43"/>
  <c r="L9" i="42"/>
  <c r="L54" i="41"/>
  <c r="L68" i="41"/>
  <c r="L9" i="43"/>
  <c r="L33" i="41"/>
  <c r="L13" i="42"/>
  <c r="L33" i="42" s="1"/>
  <c r="L13" i="43"/>
  <c r="L33" i="43" s="1"/>
  <c r="L17" i="42"/>
  <c r="L66" i="41"/>
  <c r="L52" i="41"/>
  <c r="L17" i="43"/>
  <c r="L21" i="42"/>
  <c r="L51" i="41"/>
  <c r="L65" i="41"/>
  <c r="L21" i="43"/>
  <c r="L25" i="42"/>
  <c r="L50" i="41"/>
  <c r="L64" i="41"/>
  <c r="L25" i="43"/>
  <c r="L29" i="42"/>
  <c r="L71" i="41"/>
  <c r="L57" i="41"/>
  <c r="L29" i="43"/>
  <c r="AH45" i="43"/>
  <c r="I65" i="29"/>
  <c r="I51" i="29"/>
  <c r="I21" i="30"/>
  <c r="I62" i="29"/>
  <c r="I76" i="29"/>
  <c r="I27" i="30"/>
  <c r="I36" i="29"/>
  <c r="I26" i="30"/>
  <c r="I61" i="29"/>
  <c r="I75" i="29"/>
  <c r="I18" i="30"/>
  <c r="I39" i="29"/>
  <c r="I11" i="30"/>
  <c r="I59" i="29"/>
  <c r="I73" i="29"/>
  <c r="I7" i="30"/>
  <c r="I32" i="29"/>
  <c r="I3" i="30"/>
  <c r="I4" i="42"/>
  <c r="I40" i="42" s="1"/>
  <c r="I40" i="41"/>
  <c r="I4" i="43"/>
  <c r="I40" i="43" s="1"/>
  <c r="I8" i="42"/>
  <c r="I41" i="42" s="1"/>
  <c r="I41" i="41"/>
  <c r="I8" i="43"/>
  <c r="I41" i="43" s="1"/>
  <c r="I12" i="42"/>
  <c r="I60" i="41"/>
  <c r="I74" i="41"/>
  <c r="I12" i="43"/>
  <c r="I16" i="42"/>
  <c r="I58" i="41"/>
  <c r="I72" i="41"/>
  <c r="I16" i="43"/>
  <c r="I20" i="42"/>
  <c r="I70" i="41"/>
  <c r="I56" i="41"/>
  <c r="I20" i="43"/>
  <c r="I24" i="42"/>
  <c r="I55" i="41"/>
  <c r="I69" i="41"/>
  <c r="I24" i="43"/>
  <c r="I28" i="42"/>
  <c r="I43" i="42" s="1"/>
  <c r="I43" i="41"/>
  <c r="I28" i="43"/>
  <c r="I43" i="43" s="1"/>
  <c r="AH31" i="42"/>
  <c r="AD64" i="43"/>
  <c r="CB50" i="43"/>
  <c r="CB64" i="43"/>
  <c r="AD50" i="43"/>
  <c r="CB66" i="43"/>
  <c r="AD66" i="43"/>
  <c r="CB52" i="43"/>
  <c r="AD52" i="43"/>
  <c r="CB49" i="43"/>
  <c r="AD49" i="43"/>
  <c r="AD57" i="43"/>
  <c r="CB71" i="43"/>
  <c r="CB57" i="43"/>
  <c r="AD71" i="43"/>
  <c r="E50" i="29"/>
  <c r="E64" i="29"/>
  <c r="E25" i="30"/>
  <c r="E66" i="29"/>
  <c r="E52" i="29"/>
  <c r="E17" i="30"/>
  <c r="E43" i="29"/>
  <c r="E28" i="30"/>
  <c r="E70" i="29"/>
  <c r="E56" i="29"/>
  <c r="E20" i="30"/>
  <c r="E60" i="29"/>
  <c r="E74" i="29"/>
  <c r="E12" i="30"/>
  <c r="E41" i="29"/>
  <c r="E8" i="30"/>
  <c r="E40" i="29"/>
  <c r="E4" i="30"/>
  <c r="E3" i="42"/>
  <c r="E32" i="42" s="1"/>
  <c r="E32" i="41"/>
  <c r="E3" i="43"/>
  <c r="E32" i="43" s="1"/>
  <c r="E7" i="42"/>
  <c r="E73" i="41"/>
  <c r="E59" i="41"/>
  <c r="E7" i="43"/>
  <c r="E11" i="42"/>
  <c r="E39" i="42" s="1"/>
  <c r="E39" i="41"/>
  <c r="E11" i="43"/>
  <c r="E39" i="43" s="1"/>
  <c r="E15" i="42"/>
  <c r="E44" i="42" s="1"/>
  <c r="E44" i="41"/>
  <c r="E15" i="43"/>
  <c r="E44" i="43" s="1"/>
  <c r="E19" i="42"/>
  <c r="E42" i="42" s="1"/>
  <c r="E42" i="41"/>
  <c r="E19" i="43"/>
  <c r="E42" i="43" s="1"/>
  <c r="E23" i="42"/>
  <c r="E49" i="42" s="1"/>
  <c r="E49" i="41"/>
  <c r="E23" i="43"/>
  <c r="E49" i="43" s="1"/>
  <c r="E27" i="42"/>
  <c r="E76" i="41"/>
  <c r="E62" i="41"/>
  <c r="E27" i="43"/>
  <c r="AD45" i="42"/>
  <c r="AV64" i="32"/>
  <c r="AV50" i="32"/>
  <c r="AZ50" i="32" s="1"/>
  <c r="AV68" i="32"/>
  <c r="AZ68" i="32" s="1"/>
  <c r="AV54" i="32"/>
  <c r="AZ54" i="32" s="1"/>
  <c r="AQ31" i="32"/>
  <c r="AQ73" i="32"/>
  <c r="AQ59" i="32"/>
  <c r="AQ62" i="32"/>
  <c r="AQ76" i="32"/>
  <c r="CC49" i="38"/>
  <c r="BO67" i="38"/>
  <c r="CC67" i="38" s="1"/>
  <c r="BO53" i="38"/>
  <c r="CC53" i="38" s="1"/>
  <c r="AL32" i="38"/>
  <c r="AZ3" i="38"/>
  <c r="BO57" i="38"/>
  <c r="CC57" i="38" s="1"/>
  <c r="BO71" i="38"/>
  <c r="CC71" i="38" s="1"/>
  <c r="AZ5" i="38"/>
  <c r="AL67" i="38"/>
  <c r="AL53" i="38"/>
  <c r="AL41" i="38"/>
  <c r="AZ8" i="38"/>
  <c r="AZ17" i="38"/>
  <c r="AL66" i="38"/>
  <c r="AL52" i="38"/>
  <c r="BO74" i="38"/>
  <c r="CC74" i="38" s="1"/>
  <c r="BO60" i="38"/>
  <c r="CC60" i="38" s="1"/>
  <c r="EZ69" i="38"/>
  <c r="FB69" i="38" s="1"/>
  <c r="EZ55" i="38"/>
  <c r="FB55" i="38" s="1"/>
  <c r="EW76" i="38"/>
  <c r="EW62" i="38"/>
  <c r="EZ68" i="38"/>
  <c r="FB68" i="38" s="1"/>
  <c r="EZ54" i="38"/>
  <c r="FB54" i="38" s="1"/>
  <c r="EZ66" i="38"/>
  <c r="FB66" i="38" s="1"/>
  <c r="EZ52" i="38"/>
  <c r="FB52" i="38" s="1"/>
  <c r="EW74" i="38"/>
  <c r="EW60" i="38"/>
  <c r="EZ61" i="38"/>
  <c r="FB61" i="38" s="1"/>
  <c r="EZ75" i="38"/>
  <c r="FB75" i="38" s="1"/>
  <c r="EZ71" i="38"/>
  <c r="FB71" i="38" s="1"/>
  <c r="EZ57" i="38"/>
  <c r="FB57" i="38" s="1"/>
  <c r="EZ67" i="38"/>
  <c r="FB67" i="38" s="1"/>
  <c r="EZ53" i="38"/>
  <c r="FB53" i="38" s="1"/>
  <c r="EW71" i="38"/>
  <c r="EW57" i="38"/>
  <c r="EW64" i="38"/>
  <c r="EW50" i="38"/>
  <c r="EW65" i="38"/>
  <c r="EW51" i="38"/>
  <c r="DA17" i="18"/>
  <c r="AU17" i="18"/>
  <c r="DA2" i="18"/>
  <c r="AU2" i="18"/>
  <c r="DA18" i="18"/>
  <c r="AU18" i="18"/>
  <c r="DA19" i="18"/>
  <c r="AU19" i="18"/>
  <c r="DA21" i="18"/>
  <c r="AU21" i="18"/>
  <c r="DA3" i="18"/>
  <c r="AU3" i="18"/>
  <c r="DA8" i="18"/>
  <c r="AU8" i="18"/>
  <c r="DA24" i="18"/>
  <c r="AU24" i="18"/>
  <c r="ED59" i="38"/>
  <c r="ER59" i="38" s="1"/>
  <c r="ED73" i="38"/>
  <c r="ER73" i="38" s="1"/>
  <c r="ED72" i="38"/>
  <c r="ER72" i="38" s="1"/>
  <c r="ED58" i="38"/>
  <c r="ER58" i="38" s="1"/>
  <c r="W71" i="38"/>
  <c r="AH71" i="38" s="1"/>
  <c r="W57" i="38"/>
  <c r="AH57" i="38" s="1"/>
  <c r="W60" i="38"/>
  <c r="AH60" i="38" s="1"/>
  <c r="W74" i="38"/>
  <c r="AH74" i="38" s="1"/>
  <c r="DA8" i="38"/>
  <c r="L41" i="38"/>
  <c r="AU8" i="38"/>
  <c r="CL46" i="38"/>
  <c r="CL45" i="38"/>
  <c r="BX64" i="38"/>
  <c r="BX50" i="38"/>
  <c r="CL50" i="38" s="1"/>
  <c r="DA4" i="38"/>
  <c r="L40" i="38"/>
  <c r="AU4" i="38"/>
  <c r="BX72" i="38"/>
  <c r="CL72" i="38" s="1"/>
  <c r="BX58" i="38"/>
  <c r="CL58" i="38" s="1"/>
  <c r="ED65" i="38"/>
  <c r="ER65" i="38" s="1"/>
  <c r="ED51" i="38"/>
  <c r="ER51" i="38" s="1"/>
  <c r="DA21" i="38"/>
  <c r="AU21" i="38"/>
  <c r="L51" i="38"/>
  <c r="L65" i="38"/>
  <c r="DA7" i="38"/>
  <c r="L73" i="38"/>
  <c r="AU7" i="38"/>
  <c r="L59" i="38"/>
  <c r="L33" i="38"/>
  <c r="DA13" i="38"/>
  <c r="AU13" i="38"/>
  <c r="ED66" i="38"/>
  <c r="ER66" i="38" s="1"/>
  <c r="ED52" i="38"/>
  <c r="ER52" i="38" s="1"/>
  <c r="ED64" i="38"/>
  <c r="ED50" i="38"/>
  <c r="ER50" i="38" s="1"/>
  <c r="L35" i="38"/>
  <c r="AU30" i="38"/>
  <c r="DA30" i="38"/>
  <c r="CL49" i="38"/>
  <c r="DA28" i="38"/>
  <c r="L43" i="38"/>
  <c r="AU28" i="38"/>
  <c r="CW2" i="18"/>
  <c r="AQ2" i="18"/>
  <c r="CW18" i="18"/>
  <c r="AQ18" i="18"/>
  <c r="CW3" i="18"/>
  <c r="AQ3" i="18"/>
  <c r="CW27" i="18"/>
  <c r="AQ27" i="18"/>
  <c r="CW25" i="18"/>
  <c r="AQ25" i="18"/>
  <c r="CW8" i="18"/>
  <c r="AQ8" i="18"/>
  <c r="CW24" i="18"/>
  <c r="AQ24" i="18"/>
  <c r="BT70" i="38"/>
  <c r="CH70" i="38" s="1"/>
  <c r="BT56" i="38"/>
  <c r="CH56" i="38" s="1"/>
  <c r="BT52" i="38"/>
  <c r="CH52" i="38" s="1"/>
  <c r="BT66" i="38"/>
  <c r="CH66" i="38" s="1"/>
  <c r="BT74" i="38"/>
  <c r="CH74" i="38" s="1"/>
  <c r="BT60" i="38"/>
  <c r="CH60" i="38" s="1"/>
  <c r="DZ61" i="38"/>
  <c r="EN61" i="38" s="1"/>
  <c r="DZ75" i="38"/>
  <c r="EN75" i="38" s="1"/>
  <c r="DZ53" i="38"/>
  <c r="EN53" i="38" s="1"/>
  <c r="DZ67" i="38"/>
  <c r="EN67" i="38" s="1"/>
  <c r="EN31" i="38"/>
  <c r="EN32" i="38"/>
  <c r="CW11" i="38"/>
  <c r="AQ11" i="38"/>
  <c r="H39" i="38"/>
  <c r="BT57" i="38"/>
  <c r="CH57" i="38" s="1"/>
  <c r="BT71" i="38"/>
  <c r="CH71" i="38" s="1"/>
  <c r="CW8" i="38"/>
  <c r="H41" i="38"/>
  <c r="AQ8" i="38"/>
  <c r="CH45" i="38"/>
  <c r="CH46" i="38"/>
  <c r="CW20" i="38"/>
  <c r="H70" i="38"/>
  <c r="AQ20" i="38"/>
  <c r="H56" i="38"/>
  <c r="BT55" i="38"/>
  <c r="CH55" i="38" s="1"/>
  <c r="BT69" i="38"/>
  <c r="CH69" i="38" s="1"/>
  <c r="DZ76" i="38"/>
  <c r="EN76" i="38" s="1"/>
  <c r="DZ62" i="38"/>
  <c r="EN62" i="38" s="1"/>
  <c r="BT53" i="38"/>
  <c r="CH53" i="38" s="1"/>
  <c r="BT67" i="38"/>
  <c r="CH67" i="38" s="1"/>
  <c r="CW17" i="38"/>
  <c r="H66" i="38"/>
  <c r="H52" i="38"/>
  <c r="AQ17" i="38"/>
  <c r="BT65" i="38"/>
  <c r="CH65" i="38" s="1"/>
  <c r="BT51" i="38"/>
  <c r="CH51" i="38" s="1"/>
  <c r="CH49" i="38"/>
  <c r="CW28" i="38"/>
  <c r="H43" i="38"/>
  <c r="AQ28" i="38"/>
  <c r="CV18" i="18"/>
  <c r="AP18" i="18"/>
  <c r="CV3" i="18"/>
  <c r="AP3" i="18"/>
  <c r="CV19" i="18"/>
  <c r="AP19" i="18"/>
  <c r="CV28" i="18"/>
  <c r="AP28" i="18"/>
  <c r="CV10" i="18"/>
  <c r="AP10" i="18"/>
  <c r="CV4" i="18"/>
  <c r="AP4" i="18"/>
  <c r="CV5" i="18"/>
  <c r="AP5" i="18"/>
  <c r="CV21" i="18"/>
  <c r="AP21" i="18"/>
  <c r="R73" i="38"/>
  <c r="AC73" i="38" s="1"/>
  <c r="R59" i="38"/>
  <c r="AC59" i="38" s="1"/>
  <c r="R56" i="38"/>
  <c r="AC56" i="38" s="1"/>
  <c r="R70" i="38"/>
  <c r="AC70" i="38" s="1"/>
  <c r="CV6" i="38"/>
  <c r="G47" i="38"/>
  <c r="AP6" i="38"/>
  <c r="DY66" i="38"/>
  <c r="EM66" i="38" s="1"/>
  <c r="DY52" i="38"/>
  <c r="EM52" i="38" s="1"/>
  <c r="EM31" i="38"/>
  <c r="EM32" i="38"/>
  <c r="DY58" i="38"/>
  <c r="EM58" i="38" s="1"/>
  <c r="DY72" i="38"/>
  <c r="EM72" i="38" s="1"/>
  <c r="AC45" i="38"/>
  <c r="AC46" i="38"/>
  <c r="BS59" i="38"/>
  <c r="CG59" i="38" s="1"/>
  <c r="BS73" i="38"/>
  <c r="CG73" i="38" s="1"/>
  <c r="CV10" i="38"/>
  <c r="G46" i="38"/>
  <c r="G45" i="38" s="1"/>
  <c r="AP10" i="38"/>
  <c r="DY56" i="38"/>
  <c r="EM56" i="38" s="1"/>
  <c r="DY70" i="38"/>
  <c r="EM70" i="38" s="1"/>
  <c r="DY76" i="38"/>
  <c r="EM76" i="38" s="1"/>
  <c r="DY62" i="38"/>
  <c r="EM62" i="38" s="1"/>
  <c r="R52" i="38"/>
  <c r="AC52" i="38" s="1"/>
  <c r="R66" i="38"/>
  <c r="AC66" i="38" s="1"/>
  <c r="BS72" i="38"/>
  <c r="CG72" i="38" s="1"/>
  <c r="BS58" i="38"/>
  <c r="CG58" i="38" s="1"/>
  <c r="BS75" i="38"/>
  <c r="CG75" i="38" s="1"/>
  <c r="BS61" i="38"/>
  <c r="CG61" i="38" s="1"/>
  <c r="DY73" i="38"/>
  <c r="EM73" i="38" s="1"/>
  <c r="DY59" i="38"/>
  <c r="EM59" i="38" s="1"/>
  <c r="CV28" i="38"/>
  <c r="G43" i="38"/>
  <c r="AP28" i="38"/>
  <c r="CV27" i="38"/>
  <c r="AP27" i="38"/>
  <c r="G62" i="38"/>
  <c r="G76" i="38"/>
  <c r="AY54" i="29"/>
  <c r="AY68" i="29"/>
  <c r="BX9" i="30"/>
  <c r="AY73" i="29"/>
  <c r="AY59" i="29"/>
  <c r="BX7" i="30"/>
  <c r="BX54" i="29"/>
  <c r="BX68" i="29"/>
  <c r="AY57" i="29"/>
  <c r="AY71" i="29"/>
  <c r="BX29" i="30"/>
  <c r="AY76" i="29"/>
  <c r="AY62" i="29"/>
  <c r="BX27" i="30"/>
  <c r="AY64" i="29"/>
  <c r="AY50" i="29"/>
  <c r="BX25" i="30"/>
  <c r="AY49" i="29"/>
  <c r="BX23" i="30"/>
  <c r="AY51" i="29"/>
  <c r="AY65" i="29"/>
  <c r="BX21" i="30"/>
  <c r="AY42" i="29"/>
  <c r="BX19" i="30"/>
  <c r="AY66" i="29"/>
  <c r="AY52" i="29"/>
  <c r="BX17" i="30"/>
  <c r="AY44" i="29"/>
  <c r="BX15" i="30"/>
  <c r="AY33" i="29"/>
  <c r="BX13" i="30"/>
  <c r="BX31" i="41"/>
  <c r="BX73" i="41"/>
  <c r="BX59" i="41"/>
  <c r="BX66" i="41"/>
  <c r="BX52" i="41"/>
  <c r="BX65" i="41"/>
  <c r="BX51" i="41"/>
  <c r="BX71" i="41"/>
  <c r="BX57" i="41"/>
  <c r="BX5" i="42"/>
  <c r="AY53" i="41"/>
  <c r="AY67" i="41"/>
  <c r="BX5" i="43"/>
  <c r="BX9" i="42"/>
  <c r="AY68" i="41"/>
  <c r="AY54" i="41"/>
  <c r="BX9" i="43"/>
  <c r="BX13" i="42"/>
  <c r="BX33" i="42" s="1"/>
  <c r="AY33" i="41"/>
  <c r="BX13" i="43"/>
  <c r="BX33" i="43" s="1"/>
  <c r="BX17" i="42"/>
  <c r="AY66" i="41"/>
  <c r="AY52" i="41"/>
  <c r="BX17" i="43"/>
  <c r="BX21" i="42"/>
  <c r="AY65" i="41"/>
  <c r="AY51" i="41"/>
  <c r="BX21" i="43"/>
  <c r="BX25" i="42"/>
  <c r="AY50" i="41"/>
  <c r="AY64" i="41"/>
  <c r="BX25" i="43"/>
  <c r="BX29" i="42"/>
  <c r="AY71" i="41"/>
  <c r="AY57" i="41"/>
  <c r="BX29" i="43"/>
  <c r="CW55" i="42"/>
  <c r="CW69" i="42"/>
  <c r="CW53" i="42"/>
  <c r="CW67" i="42"/>
  <c r="CW54" i="42"/>
  <c r="CW68" i="42"/>
  <c r="CW52" i="42"/>
  <c r="CW66" i="42"/>
  <c r="CP62" i="30"/>
  <c r="CP76" i="30"/>
  <c r="CP73" i="30"/>
  <c r="CP59" i="30"/>
  <c r="BQ70" i="41"/>
  <c r="BQ56" i="41"/>
  <c r="AR35" i="29"/>
  <c r="BQ30" i="30"/>
  <c r="AR43" i="29"/>
  <c r="BQ28" i="30"/>
  <c r="AR36" i="29"/>
  <c r="BQ26" i="30"/>
  <c r="AR55" i="29"/>
  <c r="AR69" i="29"/>
  <c r="BQ24" i="30"/>
  <c r="AR37" i="29"/>
  <c r="BQ22" i="30"/>
  <c r="AR56" i="29"/>
  <c r="AR70" i="29"/>
  <c r="BQ20" i="30"/>
  <c r="AR61" i="29"/>
  <c r="AR75" i="29"/>
  <c r="BQ18" i="30"/>
  <c r="AR58" i="29"/>
  <c r="AR72" i="29"/>
  <c r="BQ16" i="30"/>
  <c r="AR34" i="29"/>
  <c r="BQ14" i="30"/>
  <c r="BQ76" i="41"/>
  <c r="BQ62" i="41"/>
  <c r="BQ54" i="29"/>
  <c r="BQ68" i="29"/>
  <c r="BQ53" i="29"/>
  <c r="BQ67" i="29"/>
  <c r="BQ3" i="42"/>
  <c r="BQ32" i="42" s="1"/>
  <c r="AR32" i="41"/>
  <c r="BQ3" i="43"/>
  <c r="BQ32" i="43" s="1"/>
  <c r="BQ7" i="42"/>
  <c r="AR59" i="41"/>
  <c r="AR73" i="41"/>
  <c r="BQ7" i="43"/>
  <c r="BQ11" i="42"/>
  <c r="BQ39" i="42" s="1"/>
  <c r="AR39" i="41"/>
  <c r="BQ11" i="43"/>
  <c r="BQ39" i="43" s="1"/>
  <c r="BQ15" i="42"/>
  <c r="BQ44" i="42" s="1"/>
  <c r="AR44" i="41"/>
  <c r="BQ15" i="43"/>
  <c r="BQ44" i="43" s="1"/>
  <c r="BQ19" i="42"/>
  <c r="BQ42" i="42" s="1"/>
  <c r="AR42" i="41"/>
  <c r="BQ19" i="43"/>
  <c r="BQ42" i="43" s="1"/>
  <c r="BQ23" i="42"/>
  <c r="BQ49" i="42" s="1"/>
  <c r="AR49" i="41"/>
  <c r="BQ23" i="43"/>
  <c r="BQ49" i="43" s="1"/>
  <c r="BQ27" i="42"/>
  <c r="AR76" i="41"/>
  <c r="AR62" i="41"/>
  <c r="BQ27" i="43"/>
  <c r="BQ31" i="41"/>
  <c r="BQ59" i="41"/>
  <c r="BQ73" i="41"/>
  <c r="CP65" i="42"/>
  <c r="CP51" i="42"/>
  <c r="CP50" i="42"/>
  <c r="CP64" i="42"/>
  <c r="CP57" i="42"/>
  <c r="CP71" i="42"/>
  <c r="CP59" i="42"/>
  <c r="CP73" i="42"/>
  <c r="CL57" i="30"/>
  <c r="CL71" i="30"/>
  <c r="CL64" i="30"/>
  <c r="CL50" i="30"/>
  <c r="CL51" i="30"/>
  <c r="CL65" i="30"/>
  <c r="CL52" i="30"/>
  <c r="CL66" i="30"/>
  <c r="CL68" i="30"/>
  <c r="CL54" i="30"/>
  <c r="CL53" i="30"/>
  <c r="CL67" i="30"/>
  <c r="CL31" i="43"/>
  <c r="BL45" i="29"/>
  <c r="BM66" i="41"/>
  <c r="BM52" i="41"/>
  <c r="BM53" i="29"/>
  <c r="BM67" i="29"/>
  <c r="BM69" i="41"/>
  <c r="BM55" i="41"/>
  <c r="AN35" i="29"/>
  <c r="BM30" i="30"/>
  <c r="AN43" i="29"/>
  <c r="BM28" i="30"/>
  <c r="AN36" i="29"/>
  <c r="BM26" i="30"/>
  <c r="AN55" i="29"/>
  <c r="AN69" i="29"/>
  <c r="BM24" i="30"/>
  <c r="AN37" i="29"/>
  <c r="BM22" i="30"/>
  <c r="AN70" i="29"/>
  <c r="AN56" i="29"/>
  <c r="BM20" i="30"/>
  <c r="AN61" i="29"/>
  <c r="AN75" i="29"/>
  <c r="BM18" i="30"/>
  <c r="AN72" i="29"/>
  <c r="AN58" i="29"/>
  <c r="BM16" i="30"/>
  <c r="AN34" i="29"/>
  <c r="BM14" i="30"/>
  <c r="AN74" i="29"/>
  <c r="AN60" i="29"/>
  <c r="BM12" i="30"/>
  <c r="AN41" i="29"/>
  <c r="BM8" i="30"/>
  <c r="BM61" i="41"/>
  <c r="BM75" i="41"/>
  <c r="BM64" i="41"/>
  <c r="BM50" i="41"/>
  <c r="AN40" i="29"/>
  <c r="BM4" i="30"/>
  <c r="BM3" i="42"/>
  <c r="BM32" i="42" s="1"/>
  <c r="AN32" i="41"/>
  <c r="BM3" i="43"/>
  <c r="BM32" i="43" s="1"/>
  <c r="BM7" i="42"/>
  <c r="AN73" i="41"/>
  <c r="AN59" i="41"/>
  <c r="BM7" i="43"/>
  <c r="BM11" i="42"/>
  <c r="BM39" i="42" s="1"/>
  <c r="AN39" i="41"/>
  <c r="BM11" i="43"/>
  <c r="BM39" i="43" s="1"/>
  <c r="BM15" i="42"/>
  <c r="BM44" i="42" s="1"/>
  <c r="AN44" i="41"/>
  <c r="BM15" i="43"/>
  <c r="BM44" i="43" s="1"/>
  <c r="AN42" i="41"/>
  <c r="BM19" i="42"/>
  <c r="BM42" i="42" s="1"/>
  <c r="BM19" i="43"/>
  <c r="BM42" i="43" s="1"/>
  <c r="BM23" i="42"/>
  <c r="BM49" i="42" s="1"/>
  <c r="AN49" i="41"/>
  <c r="BM23" i="43"/>
  <c r="BM49" i="43" s="1"/>
  <c r="BM27" i="42"/>
  <c r="AN62" i="41"/>
  <c r="AN76" i="41"/>
  <c r="BM27" i="43"/>
  <c r="CL45" i="42"/>
  <c r="CL61" i="42"/>
  <c r="CL75" i="42"/>
  <c r="CH76" i="30"/>
  <c r="CH62" i="30"/>
  <c r="CH59" i="30"/>
  <c r="CH73" i="30"/>
  <c r="BI55" i="41"/>
  <c r="BI69" i="41"/>
  <c r="BI59" i="29"/>
  <c r="BI73" i="29"/>
  <c r="AJ57" i="29"/>
  <c r="AJ71" i="29"/>
  <c r="BI29" i="30"/>
  <c r="AJ62" i="29"/>
  <c r="AJ76" i="29"/>
  <c r="BI27" i="30"/>
  <c r="AJ64" i="29"/>
  <c r="AJ50" i="29"/>
  <c r="BI25" i="30"/>
  <c r="AJ49" i="29"/>
  <c r="BI23" i="30"/>
  <c r="AJ65" i="29"/>
  <c r="AJ51" i="29"/>
  <c r="BI21" i="30"/>
  <c r="AJ42" i="29"/>
  <c r="BI19" i="30"/>
  <c r="AJ52" i="29"/>
  <c r="AJ66" i="29"/>
  <c r="BI17" i="30"/>
  <c r="AJ44" i="29"/>
  <c r="BI15" i="30"/>
  <c r="AJ33" i="29"/>
  <c r="BI13" i="30"/>
  <c r="AJ39" i="29"/>
  <c r="BI11" i="30"/>
  <c r="AJ59" i="29"/>
  <c r="AJ73" i="29"/>
  <c r="BI7" i="30"/>
  <c r="BI52" i="41"/>
  <c r="BI66" i="41"/>
  <c r="BI31" i="29"/>
  <c r="BI71" i="41"/>
  <c r="BI57" i="41"/>
  <c r="BI5" i="42"/>
  <c r="AJ67" i="41"/>
  <c r="AJ53" i="41"/>
  <c r="BI5" i="43"/>
  <c r="BI9" i="42"/>
  <c r="AJ68" i="41"/>
  <c r="AJ54" i="41"/>
  <c r="BI9" i="43"/>
  <c r="BI13" i="42"/>
  <c r="BI33" i="42" s="1"/>
  <c r="AJ33" i="41"/>
  <c r="BI13" i="43"/>
  <c r="BI33" i="43" s="1"/>
  <c r="BI17" i="42"/>
  <c r="AJ66" i="41"/>
  <c r="AJ52" i="41"/>
  <c r="BI17" i="43"/>
  <c r="BI21" i="42"/>
  <c r="AJ51" i="41"/>
  <c r="AJ65" i="41"/>
  <c r="BI21" i="43"/>
  <c r="BI25" i="42"/>
  <c r="AJ64" i="41"/>
  <c r="AJ50" i="41"/>
  <c r="BI25" i="43"/>
  <c r="BI29" i="42"/>
  <c r="AJ57" i="41"/>
  <c r="AJ71" i="41"/>
  <c r="BI29" i="43"/>
  <c r="BI31" i="41"/>
  <c r="BI59" i="41"/>
  <c r="BI73" i="41"/>
  <c r="CH60" i="42"/>
  <c r="CH74" i="42"/>
  <c r="CH54" i="42"/>
  <c r="CH68" i="42"/>
  <c r="CH52" i="42"/>
  <c r="CH66" i="42"/>
  <c r="CH55" i="42"/>
  <c r="CH69" i="42"/>
  <c r="CE71" i="30"/>
  <c r="CE57" i="30"/>
  <c r="CE50" i="30"/>
  <c r="CE64" i="30"/>
  <c r="CE51" i="30"/>
  <c r="CE65" i="30"/>
  <c r="CE66" i="30"/>
  <c r="CE52" i="30"/>
  <c r="CE54" i="30"/>
  <c r="CE68" i="30"/>
  <c r="CE53" i="30"/>
  <c r="CE67" i="30"/>
  <c r="CD71" i="30"/>
  <c r="CD57" i="30"/>
  <c r="CD50" i="30"/>
  <c r="CD64" i="30"/>
  <c r="CD65" i="30"/>
  <c r="CD51" i="30"/>
  <c r="CD52" i="30"/>
  <c r="CD66" i="30"/>
  <c r="CD54" i="30"/>
  <c r="CD68" i="30"/>
  <c r="CD67" i="30"/>
  <c r="CD53" i="30"/>
  <c r="BF55" i="29"/>
  <c r="BF69" i="29"/>
  <c r="BF56" i="29"/>
  <c r="BF70" i="29"/>
  <c r="BF61" i="29"/>
  <c r="BF75" i="29"/>
  <c r="BF58" i="29"/>
  <c r="BF72" i="29"/>
  <c r="BF60" i="29"/>
  <c r="BF74" i="29"/>
  <c r="AG40" i="29"/>
  <c r="BF4" i="30"/>
  <c r="BE70" i="41"/>
  <c r="BE56" i="41"/>
  <c r="AG41" i="41"/>
  <c r="BF8" i="42"/>
  <c r="BF41" i="42" s="1"/>
  <c r="BF8" i="43"/>
  <c r="BF41" i="43" s="1"/>
  <c r="BF16" i="42"/>
  <c r="AG58" i="41"/>
  <c r="AG72" i="41"/>
  <c r="BF16" i="43"/>
  <c r="BF24" i="42"/>
  <c r="AG55" i="41"/>
  <c r="AG69" i="41"/>
  <c r="BF24" i="43"/>
  <c r="BE61" i="29"/>
  <c r="BE75" i="29"/>
  <c r="BE66" i="41"/>
  <c r="BE52" i="41"/>
  <c r="BF68" i="29"/>
  <c r="BF54" i="29"/>
  <c r="AG67" i="29"/>
  <c r="AG53" i="29"/>
  <c r="BF5" i="30"/>
  <c r="BE69" i="41"/>
  <c r="BE55" i="41"/>
  <c r="BF7" i="42"/>
  <c r="AG73" i="41"/>
  <c r="AG59" i="41"/>
  <c r="BF7" i="43"/>
  <c r="BF15" i="42"/>
  <c r="BF44" i="42" s="1"/>
  <c r="AG44" i="41"/>
  <c r="BF15" i="43"/>
  <c r="BF44" i="43" s="1"/>
  <c r="AG49" i="41"/>
  <c r="BF23" i="42"/>
  <c r="BF49" i="42" s="1"/>
  <c r="BF23" i="43"/>
  <c r="BF49" i="43" s="1"/>
  <c r="BE68" i="41"/>
  <c r="BE54" i="41"/>
  <c r="BF69" i="41"/>
  <c r="BF55" i="41"/>
  <c r="BE67" i="41"/>
  <c r="BE53" i="41"/>
  <c r="BF68" i="41"/>
  <c r="BF54" i="41"/>
  <c r="CE31" i="42"/>
  <c r="CE73" i="42"/>
  <c r="CE59" i="42"/>
  <c r="CD62" i="42"/>
  <c r="CD76" i="42"/>
  <c r="CE76" i="42"/>
  <c r="CE62" i="42"/>
  <c r="CA35" i="30"/>
  <c r="BZ30" i="30"/>
  <c r="CA36" i="30"/>
  <c r="BZ26" i="30"/>
  <c r="CA37" i="30"/>
  <c r="BZ22" i="30"/>
  <c r="CA61" i="30"/>
  <c r="CA75" i="30"/>
  <c r="BZ18" i="30"/>
  <c r="CA34" i="30"/>
  <c r="BZ14" i="30"/>
  <c r="CA46" i="30"/>
  <c r="BZ10" i="30"/>
  <c r="CA47" i="30"/>
  <c r="BZ6" i="30"/>
  <c r="BZ23" i="43"/>
  <c r="DV23" i="38" s="1"/>
  <c r="BZ27" i="43"/>
  <c r="DV27" i="38" s="1"/>
  <c r="BZ13" i="43"/>
  <c r="DV13" i="38" s="1"/>
  <c r="CA33" i="43"/>
  <c r="BZ33" i="43" s="1"/>
  <c r="DV33" i="38" s="1"/>
  <c r="EJ33" i="38" s="1"/>
  <c r="BZ29" i="43"/>
  <c r="DV29" i="38" s="1"/>
  <c r="BZ14" i="43"/>
  <c r="DV14" i="38" s="1"/>
  <c r="CA34" i="43"/>
  <c r="BZ34" i="43" s="1"/>
  <c r="DV34" i="38" s="1"/>
  <c r="EJ34" i="38" s="1"/>
  <c r="BZ20" i="43"/>
  <c r="DV20" i="38" s="1"/>
  <c r="BZ5" i="43"/>
  <c r="DV5" i="38" s="1"/>
  <c r="BZ18" i="43"/>
  <c r="DV18" i="38" s="1"/>
  <c r="AC39" i="29"/>
  <c r="AB11" i="29"/>
  <c r="C11" i="18" s="1"/>
  <c r="BB11" i="30"/>
  <c r="BB37" i="41"/>
  <c r="BA37" i="41" s="1"/>
  <c r="N37" i="38" s="1"/>
  <c r="Y37" i="38" s="1"/>
  <c r="BA22" i="41"/>
  <c r="N22" i="38" s="1"/>
  <c r="AC59" i="29"/>
  <c r="AC73" i="29"/>
  <c r="AB7" i="29"/>
  <c r="C7" i="18" s="1"/>
  <c r="BB7" i="30"/>
  <c r="AC57" i="29"/>
  <c r="AC71" i="29"/>
  <c r="AB29" i="29"/>
  <c r="C29" i="18" s="1"/>
  <c r="BB29" i="30"/>
  <c r="AC62" i="29"/>
  <c r="AC76" i="29"/>
  <c r="AB27" i="29"/>
  <c r="C27" i="18" s="1"/>
  <c r="BB27" i="30"/>
  <c r="AC64" i="29"/>
  <c r="AC50" i="29"/>
  <c r="AB25" i="29"/>
  <c r="C25" i="18" s="1"/>
  <c r="BB25" i="30"/>
  <c r="AC49" i="29"/>
  <c r="AB23" i="29"/>
  <c r="C23" i="18" s="1"/>
  <c r="BB23" i="30"/>
  <c r="AC51" i="29"/>
  <c r="AC65" i="29"/>
  <c r="AB21" i="29"/>
  <c r="C21" i="18" s="1"/>
  <c r="BB21" i="30"/>
  <c r="AC42" i="29"/>
  <c r="AB19" i="29"/>
  <c r="C19" i="18" s="1"/>
  <c r="BB19" i="30"/>
  <c r="AC66" i="29"/>
  <c r="AC52" i="29"/>
  <c r="AB17" i="29"/>
  <c r="C17" i="18" s="1"/>
  <c r="BB17" i="30"/>
  <c r="AC44" i="29"/>
  <c r="AB15" i="29"/>
  <c r="C15" i="18" s="1"/>
  <c r="BB15" i="30"/>
  <c r="AC33" i="29"/>
  <c r="AB13" i="29"/>
  <c r="C13" i="18" s="1"/>
  <c r="BB13" i="30"/>
  <c r="AC46" i="29"/>
  <c r="AB10" i="29"/>
  <c r="C10" i="18" s="1"/>
  <c r="BB10" i="30"/>
  <c r="AC47" i="29"/>
  <c r="AB6" i="29"/>
  <c r="C6" i="18" s="1"/>
  <c r="BB6" i="30"/>
  <c r="AC38" i="29"/>
  <c r="AB38" i="29" s="1"/>
  <c r="AB2" i="29"/>
  <c r="BA12" i="41"/>
  <c r="N12" i="38" s="1"/>
  <c r="BB74" i="41"/>
  <c r="BB60" i="41"/>
  <c r="BA18" i="41"/>
  <c r="N18" i="38" s="1"/>
  <c r="BB75" i="41"/>
  <c r="BB61" i="41"/>
  <c r="BB49" i="41"/>
  <c r="BA23" i="41"/>
  <c r="N23" i="38" s="1"/>
  <c r="BB76" i="41"/>
  <c r="BB62" i="41"/>
  <c r="BA27" i="41"/>
  <c r="N27" i="38" s="1"/>
  <c r="BB43" i="41"/>
  <c r="BA43" i="41" s="1"/>
  <c r="N43" i="38" s="1"/>
  <c r="Y43" i="38" s="1"/>
  <c r="BA28" i="41"/>
  <c r="N28" i="38" s="1"/>
  <c r="BB4" i="42"/>
  <c r="AC40" i="41"/>
  <c r="AB4" i="41"/>
  <c r="C4" i="38" s="1"/>
  <c r="C40" i="38" s="1"/>
  <c r="BB4" i="43"/>
  <c r="AC41" i="41"/>
  <c r="BB8" i="42"/>
  <c r="AB8" i="41"/>
  <c r="C8" i="38" s="1"/>
  <c r="C41" i="38" s="1"/>
  <c r="BB8" i="43"/>
  <c r="AB12" i="41"/>
  <c r="C12" i="38" s="1"/>
  <c r="BB12" i="42"/>
  <c r="AC74" i="41"/>
  <c r="AC60" i="41"/>
  <c r="BB12" i="43"/>
  <c r="BB16" i="42"/>
  <c r="AC72" i="41"/>
  <c r="AB16" i="41"/>
  <c r="C16" i="38" s="1"/>
  <c r="AC58" i="41"/>
  <c r="BB16" i="43"/>
  <c r="AB20" i="41"/>
  <c r="C20" i="38" s="1"/>
  <c r="BB20" i="42"/>
  <c r="AC70" i="41"/>
  <c r="AC56" i="41"/>
  <c r="BB20" i="43"/>
  <c r="BB24" i="42"/>
  <c r="AB24" i="41"/>
  <c r="C24" i="38" s="1"/>
  <c r="AC55" i="41"/>
  <c r="AC69" i="41"/>
  <c r="BB24" i="43"/>
  <c r="BB28" i="42"/>
  <c r="AC43" i="41"/>
  <c r="AB28" i="41"/>
  <c r="C28" i="38" s="1"/>
  <c r="C43" i="38" s="1"/>
  <c r="BB28" i="43"/>
  <c r="BB40" i="41"/>
  <c r="BA40" i="41" s="1"/>
  <c r="N40" i="38" s="1"/>
  <c r="Y40" i="38" s="1"/>
  <c r="BA4" i="41"/>
  <c r="N4" i="38" s="1"/>
  <c r="BB35" i="41"/>
  <c r="BA35" i="41" s="1"/>
  <c r="N35" i="38" s="1"/>
  <c r="Y35" i="38" s="1"/>
  <c r="BA30" i="41"/>
  <c r="N30" i="38" s="1"/>
  <c r="CA67" i="42"/>
  <c r="CA53" i="42"/>
  <c r="BZ5" i="42"/>
  <c r="BP5" i="38" s="1"/>
  <c r="CA68" i="42"/>
  <c r="CA54" i="42"/>
  <c r="BZ9" i="42"/>
  <c r="BP9" i="38" s="1"/>
  <c r="CA33" i="42"/>
  <c r="BZ33" i="42" s="1"/>
  <c r="BP33" i="38" s="1"/>
  <c r="CD33" i="38" s="1"/>
  <c r="BZ13" i="42"/>
  <c r="BP13" i="38" s="1"/>
  <c r="CA66" i="42"/>
  <c r="CA52" i="42"/>
  <c r="BZ17" i="42"/>
  <c r="BP17" i="38" s="1"/>
  <c r="CA51" i="42"/>
  <c r="BZ21" i="42"/>
  <c r="BP21" i="38" s="1"/>
  <c r="CA65" i="42"/>
  <c r="CA64" i="42"/>
  <c r="CA50" i="42"/>
  <c r="BZ25" i="42"/>
  <c r="BP25" i="38" s="1"/>
  <c r="CA71" i="42"/>
  <c r="CA57" i="42"/>
  <c r="BZ29" i="42"/>
  <c r="BP29" i="38" s="1"/>
  <c r="AQ31" i="30"/>
  <c r="R59" i="29"/>
  <c r="R73" i="29"/>
  <c r="R7" i="30"/>
  <c r="R46" i="29"/>
  <c r="R10" i="30"/>
  <c r="R35" i="29"/>
  <c r="R30" i="30"/>
  <c r="R36" i="29"/>
  <c r="R26" i="30"/>
  <c r="R37" i="29"/>
  <c r="R22" i="30"/>
  <c r="R61" i="29"/>
  <c r="R75" i="29"/>
  <c r="R18" i="30"/>
  <c r="R34" i="29"/>
  <c r="R14" i="30"/>
  <c r="R53" i="29"/>
  <c r="R67" i="29"/>
  <c r="R5" i="30"/>
  <c r="AQ31" i="42"/>
  <c r="R3" i="42"/>
  <c r="R32" i="42" s="1"/>
  <c r="R32" i="41"/>
  <c r="R3" i="43"/>
  <c r="R32" i="43" s="1"/>
  <c r="R7" i="42"/>
  <c r="R73" i="41"/>
  <c r="R59" i="41"/>
  <c r="R7" i="43"/>
  <c r="R11" i="42"/>
  <c r="R39" i="42" s="1"/>
  <c r="R39" i="41"/>
  <c r="R11" i="43"/>
  <c r="R39" i="43" s="1"/>
  <c r="R15" i="42"/>
  <c r="R44" i="42" s="1"/>
  <c r="R44" i="41"/>
  <c r="R15" i="43"/>
  <c r="R44" i="43" s="1"/>
  <c r="R19" i="42"/>
  <c r="R42" i="42" s="1"/>
  <c r="R42" i="41"/>
  <c r="R19" i="43"/>
  <c r="R42" i="43" s="1"/>
  <c r="R23" i="42"/>
  <c r="R49" i="42" s="1"/>
  <c r="R49" i="41"/>
  <c r="R23" i="43"/>
  <c r="R49" i="43" s="1"/>
  <c r="R27" i="42"/>
  <c r="R62" i="41"/>
  <c r="R76" i="41"/>
  <c r="R27" i="43"/>
  <c r="AJ49" i="30"/>
  <c r="AQ49" i="30"/>
  <c r="AX49" i="30"/>
  <c r="AH49" i="30"/>
  <c r="AG49" i="30"/>
  <c r="AV49" i="30"/>
  <c r="AF49" i="30"/>
  <c r="AM49" i="30"/>
  <c r="AT49" i="30"/>
  <c r="AD49" i="30"/>
  <c r="AO49" i="30"/>
  <c r="AN49" i="30"/>
  <c r="AL49" i="30"/>
  <c r="AK49" i="30"/>
  <c r="AR49" i="30"/>
  <c r="AY49" i="30"/>
  <c r="AI49" i="30"/>
  <c r="AP49" i="30"/>
  <c r="AS49" i="30"/>
  <c r="AW49" i="30"/>
  <c r="AU49" i="30"/>
  <c r="AE49" i="30"/>
  <c r="AC49" i="30"/>
  <c r="AS70" i="30"/>
  <c r="AC70" i="30"/>
  <c r="AJ70" i="30"/>
  <c r="AQ70" i="30"/>
  <c r="AP70" i="30"/>
  <c r="AM56" i="30"/>
  <c r="AX56" i="30"/>
  <c r="AH56" i="30"/>
  <c r="AW56" i="30"/>
  <c r="AG56" i="30"/>
  <c r="AD70" i="30"/>
  <c r="AV56" i="30"/>
  <c r="AO70" i="30"/>
  <c r="AV70" i="30"/>
  <c r="AF70" i="30"/>
  <c r="AM70" i="30"/>
  <c r="AY56" i="30"/>
  <c r="AI56" i="30"/>
  <c r="AT56" i="30"/>
  <c r="AD56" i="30"/>
  <c r="AS56" i="30"/>
  <c r="AC56" i="30"/>
  <c r="AN56" i="30"/>
  <c r="AG70" i="30"/>
  <c r="AU70" i="30"/>
  <c r="AQ56" i="30"/>
  <c r="AL56" i="30"/>
  <c r="AK56" i="30"/>
  <c r="AF56" i="30"/>
  <c r="AK70" i="30"/>
  <c r="AR70" i="30"/>
  <c r="AY70" i="30"/>
  <c r="AI70" i="30"/>
  <c r="AU56" i="30"/>
  <c r="AE56" i="30"/>
  <c r="AP56" i="30"/>
  <c r="AX70" i="30"/>
  <c r="AO56" i="30"/>
  <c r="AT70" i="30"/>
  <c r="AJ56" i="30"/>
  <c r="AW70" i="30"/>
  <c r="AN70" i="30"/>
  <c r="AE70" i="30"/>
  <c r="AL70" i="30"/>
  <c r="AH70" i="30"/>
  <c r="AR56" i="30"/>
  <c r="AL67" i="30"/>
  <c r="AS67" i="30"/>
  <c r="AC67" i="30"/>
  <c r="AJ67" i="30"/>
  <c r="AV53" i="30"/>
  <c r="AF53" i="30"/>
  <c r="AQ53" i="30"/>
  <c r="AM67" i="30"/>
  <c r="AL53" i="30"/>
  <c r="AW53" i="30"/>
  <c r="AC53" i="30"/>
  <c r="AP67" i="30"/>
  <c r="AE53" i="30"/>
  <c r="AS53" i="30"/>
  <c r="AX67" i="30"/>
  <c r="AH67" i="30"/>
  <c r="AO67" i="30"/>
  <c r="AV67" i="30"/>
  <c r="AF67" i="30"/>
  <c r="AR53" i="30"/>
  <c r="AQ67" i="30"/>
  <c r="AM53" i="30"/>
  <c r="AX53" i="30"/>
  <c r="AH53" i="30"/>
  <c r="AG53" i="30"/>
  <c r="AO53" i="30"/>
  <c r="AG67" i="30"/>
  <c r="AE67" i="30"/>
  <c r="AJ53" i="30"/>
  <c r="AP53" i="30"/>
  <c r="AT67" i="30"/>
  <c r="AD67" i="30"/>
  <c r="AK67" i="30"/>
  <c r="AR67" i="30"/>
  <c r="AU67" i="30"/>
  <c r="AN53" i="30"/>
  <c r="AY53" i="30"/>
  <c r="AI53" i="30"/>
  <c r="AT53" i="30"/>
  <c r="AD53" i="30"/>
  <c r="AI67" i="30"/>
  <c r="AK53" i="30"/>
  <c r="AW67" i="30"/>
  <c r="AN67" i="30"/>
  <c r="AU53" i="30"/>
  <c r="AY67" i="30"/>
  <c r="AX71" i="30"/>
  <c r="AH71" i="30"/>
  <c r="AO71" i="30"/>
  <c r="AV71" i="30"/>
  <c r="AF71" i="30"/>
  <c r="AR57" i="30"/>
  <c r="AU71" i="30"/>
  <c r="AQ57" i="30"/>
  <c r="AQ71" i="30"/>
  <c r="AL57" i="30"/>
  <c r="AW57" i="30"/>
  <c r="AM71" i="30"/>
  <c r="AL71" i="30"/>
  <c r="AF57" i="30"/>
  <c r="AC57" i="30"/>
  <c r="AT71" i="30"/>
  <c r="AD71" i="30"/>
  <c r="AK71" i="30"/>
  <c r="AR71" i="30"/>
  <c r="AY71" i="30"/>
  <c r="AN57" i="30"/>
  <c r="AE71" i="30"/>
  <c r="AM57" i="30"/>
  <c r="AX57" i="30"/>
  <c r="AH57" i="30"/>
  <c r="AG57" i="30"/>
  <c r="AO57" i="30"/>
  <c r="AS71" i="30"/>
  <c r="AJ71" i="30"/>
  <c r="AU57" i="30"/>
  <c r="AP57" i="30"/>
  <c r="AP71" i="30"/>
  <c r="AW71" i="30"/>
  <c r="AG71" i="30"/>
  <c r="AN71" i="30"/>
  <c r="AI71" i="30"/>
  <c r="AJ57" i="30"/>
  <c r="AY57" i="30"/>
  <c r="AI57" i="30"/>
  <c r="AT57" i="30"/>
  <c r="AD57" i="30"/>
  <c r="AS57" i="30"/>
  <c r="AC71" i="30"/>
  <c r="AV57" i="30"/>
  <c r="AE57" i="30"/>
  <c r="AK57" i="30"/>
  <c r="AZ31" i="43"/>
  <c r="AZ50" i="43"/>
  <c r="CX64" i="43"/>
  <c r="CX50" i="43"/>
  <c r="AZ64" i="43"/>
  <c r="CX59" i="43"/>
  <c r="AZ59" i="43"/>
  <c r="AZ73" i="43"/>
  <c r="CX73" i="43"/>
  <c r="AZ57" i="43"/>
  <c r="CX71" i="43"/>
  <c r="AZ71" i="43"/>
  <c r="CX57" i="43"/>
  <c r="CX56" i="43"/>
  <c r="AZ56" i="43"/>
  <c r="AZ70" i="43"/>
  <c r="CX70" i="43"/>
  <c r="AZ45" i="43"/>
  <c r="AA35" i="29"/>
  <c r="AA30" i="30"/>
  <c r="AA36" i="29"/>
  <c r="AA26" i="30"/>
  <c r="AA37" i="29"/>
  <c r="AA22" i="30"/>
  <c r="AA61" i="29"/>
  <c r="AA75" i="29"/>
  <c r="AA18" i="30"/>
  <c r="AA34" i="29"/>
  <c r="AA14" i="30"/>
  <c r="AA41" i="29"/>
  <c r="AA8" i="30"/>
  <c r="AA32" i="29"/>
  <c r="AA3" i="30"/>
  <c r="AA4" i="42"/>
  <c r="AA40" i="42" s="1"/>
  <c r="AA40" i="41"/>
  <c r="AA4" i="43"/>
  <c r="AA40" i="43" s="1"/>
  <c r="AA8" i="42"/>
  <c r="AA41" i="42" s="1"/>
  <c r="AA41" i="41"/>
  <c r="AA8" i="43"/>
  <c r="AA41" i="43" s="1"/>
  <c r="AA12" i="42"/>
  <c r="AA74" i="41"/>
  <c r="AA60" i="41"/>
  <c r="AA12" i="43"/>
  <c r="AA16" i="42"/>
  <c r="AA72" i="41"/>
  <c r="AA58" i="41"/>
  <c r="AA16" i="43"/>
  <c r="AA20" i="42"/>
  <c r="AA70" i="41"/>
  <c r="AA56" i="41"/>
  <c r="AA20" i="43"/>
  <c r="AA24" i="42"/>
  <c r="AA55" i="41"/>
  <c r="AA69" i="41"/>
  <c r="AA24" i="43"/>
  <c r="AA28" i="42"/>
  <c r="AA43" i="42" s="1"/>
  <c r="AA43" i="41"/>
  <c r="AA28" i="43"/>
  <c r="AA43" i="43" s="1"/>
  <c r="AZ31" i="42"/>
  <c r="AZ65" i="42"/>
  <c r="AU65" i="42"/>
  <c r="AO65" i="42"/>
  <c r="AJ65" i="42"/>
  <c r="AE65" i="42"/>
  <c r="AZ51" i="42"/>
  <c r="AV51" i="42"/>
  <c r="AR51" i="42"/>
  <c r="AN51" i="42"/>
  <c r="AJ51" i="42"/>
  <c r="AF51" i="42"/>
  <c r="AY65" i="42"/>
  <c r="AS65" i="42"/>
  <c r="AN65" i="42"/>
  <c r="AI65" i="42"/>
  <c r="AC65" i="42"/>
  <c r="AY51" i="42"/>
  <c r="AU51" i="42"/>
  <c r="AQ51" i="42"/>
  <c r="AM51" i="42"/>
  <c r="AI51" i="42"/>
  <c r="AE51" i="42"/>
  <c r="AW65" i="42"/>
  <c r="AM65" i="42"/>
  <c r="AT51" i="42"/>
  <c r="AL51" i="42"/>
  <c r="AD51" i="42"/>
  <c r="AV65" i="42"/>
  <c r="AK65" i="42"/>
  <c r="AS51" i="42"/>
  <c r="AK51" i="42"/>
  <c r="AC51" i="42"/>
  <c r="AR65" i="42"/>
  <c r="AG65" i="42"/>
  <c r="AX51" i="42"/>
  <c r="AP51" i="42"/>
  <c r="AH51" i="42"/>
  <c r="AF65" i="42"/>
  <c r="AO51" i="42"/>
  <c r="AG51" i="42"/>
  <c r="AW51" i="42"/>
  <c r="AQ65" i="42"/>
  <c r="AX65" i="42"/>
  <c r="AH65" i="42"/>
  <c r="AT65" i="42"/>
  <c r="AD65" i="42"/>
  <c r="AP65" i="42"/>
  <c r="AL65" i="42"/>
  <c r="AW64" i="42"/>
  <c r="AR64" i="42"/>
  <c r="AM64" i="42"/>
  <c r="AG64" i="42"/>
  <c r="AZ50" i="42"/>
  <c r="AV50" i="42"/>
  <c r="AR50" i="42"/>
  <c r="AN50" i="42"/>
  <c r="AJ50" i="42"/>
  <c r="AF50" i="42"/>
  <c r="AV64" i="42"/>
  <c r="AQ64" i="42"/>
  <c r="AK64" i="42"/>
  <c r="AF64" i="42"/>
  <c r="AY50" i="42"/>
  <c r="AU50" i="42"/>
  <c r="AQ50" i="42"/>
  <c r="AM50" i="42"/>
  <c r="AI50" i="42"/>
  <c r="AE50" i="42"/>
  <c r="AZ64" i="42"/>
  <c r="AO64" i="42"/>
  <c r="AE64" i="42"/>
  <c r="AT50" i="42"/>
  <c r="AL50" i="42"/>
  <c r="AD50" i="42"/>
  <c r="AY64" i="42"/>
  <c r="AN64" i="42"/>
  <c r="AC64" i="42"/>
  <c r="AS50" i="42"/>
  <c r="AK50" i="42"/>
  <c r="AC50" i="42"/>
  <c r="AU64" i="42"/>
  <c r="AJ64" i="42"/>
  <c r="AX50" i="42"/>
  <c r="AP50" i="42"/>
  <c r="AH50" i="42"/>
  <c r="AS64" i="42"/>
  <c r="AI64" i="42"/>
  <c r="AW50" i="42"/>
  <c r="AO50" i="42"/>
  <c r="AG50" i="42"/>
  <c r="AP64" i="42"/>
  <c r="AL64" i="42"/>
  <c r="AX64" i="42"/>
  <c r="AH64" i="42"/>
  <c r="AT64" i="42"/>
  <c r="AD64" i="42"/>
  <c r="AV71" i="42"/>
  <c r="AN71" i="42"/>
  <c r="AF71" i="42"/>
  <c r="AZ57" i="42"/>
  <c r="AV57" i="42"/>
  <c r="AR57" i="42"/>
  <c r="AN57" i="42"/>
  <c r="AJ57" i="42"/>
  <c r="AF57" i="42"/>
  <c r="AS71" i="42"/>
  <c r="AK71" i="42"/>
  <c r="AC71" i="42"/>
  <c r="AY57" i="42"/>
  <c r="AU57" i="42"/>
  <c r="AQ57" i="42"/>
  <c r="AM57" i="42"/>
  <c r="AI57" i="42"/>
  <c r="AE57" i="42"/>
  <c r="AZ71" i="42"/>
  <c r="AJ71" i="42"/>
  <c r="AT57" i="42"/>
  <c r="AL57" i="42"/>
  <c r="AD57" i="42"/>
  <c r="AW71" i="42"/>
  <c r="AG71" i="42"/>
  <c r="AS57" i="42"/>
  <c r="AK57" i="42"/>
  <c r="AC57" i="42"/>
  <c r="AR71" i="42"/>
  <c r="AX57" i="42"/>
  <c r="AP57" i="42"/>
  <c r="AH57" i="42"/>
  <c r="AO57" i="42"/>
  <c r="AG57" i="42"/>
  <c r="AW57" i="42"/>
  <c r="AO71" i="42"/>
  <c r="AY71" i="42"/>
  <c r="AI71" i="42"/>
  <c r="AP71" i="42"/>
  <c r="AU71" i="42"/>
  <c r="AE71" i="42"/>
  <c r="AL71" i="42"/>
  <c r="AQ71" i="42"/>
  <c r="AX71" i="42"/>
  <c r="AH71" i="42"/>
  <c r="AM71" i="42"/>
  <c r="AT71" i="42"/>
  <c r="AD71" i="42"/>
  <c r="AV73" i="42"/>
  <c r="AN73" i="42"/>
  <c r="AF73" i="42"/>
  <c r="AZ59" i="42"/>
  <c r="AV59" i="42"/>
  <c r="AR59" i="42"/>
  <c r="AN59" i="42"/>
  <c r="AJ59" i="42"/>
  <c r="AF59" i="42"/>
  <c r="AS73" i="42"/>
  <c r="AK73" i="42"/>
  <c r="AC73" i="42"/>
  <c r="AY59" i="42"/>
  <c r="AU59" i="42"/>
  <c r="AQ59" i="42"/>
  <c r="AM59" i="42"/>
  <c r="AI59" i="42"/>
  <c r="AE59" i="42"/>
  <c r="AZ73" i="42"/>
  <c r="AJ73" i="42"/>
  <c r="AT59" i="42"/>
  <c r="AL59" i="42"/>
  <c r="AD59" i="42"/>
  <c r="AW73" i="42"/>
  <c r="AG73" i="42"/>
  <c r="AS59" i="42"/>
  <c r="AK59" i="42"/>
  <c r="AC59" i="42"/>
  <c r="AR73" i="42"/>
  <c r="AX59" i="42"/>
  <c r="AP59" i="42"/>
  <c r="AH59" i="42"/>
  <c r="AO59" i="42"/>
  <c r="AG59" i="42"/>
  <c r="AO73" i="42"/>
  <c r="AW59" i="42"/>
  <c r="AQ73" i="42"/>
  <c r="AX73" i="42"/>
  <c r="AH73" i="42"/>
  <c r="AM73" i="42"/>
  <c r="AT73" i="42"/>
  <c r="AD73" i="42"/>
  <c r="AY73" i="42"/>
  <c r="AI73" i="42"/>
  <c r="AP73" i="42"/>
  <c r="AU73" i="42"/>
  <c r="AE73" i="42"/>
  <c r="AL73" i="42"/>
  <c r="M38" i="37"/>
  <c r="J38" i="37"/>
  <c r="M37" i="37"/>
  <c r="J37" i="37"/>
  <c r="G59" i="37"/>
  <c r="G73" i="37"/>
  <c r="M44" i="37"/>
  <c r="J44" i="37"/>
  <c r="J49" i="37"/>
  <c r="M49" i="37"/>
  <c r="G57" i="37"/>
  <c r="G71" i="37"/>
  <c r="F9" i="37"/>
  <c r="C68" i="37"/>
  <c r="C54" i="37"/>
  <c r="F17" i="37"/>
  <c r="C66" i="37"/>
  <c r="C52" i="37"/>
  <c r="J47" i="37"/>
  <c r="M47" i="37"/>
  <c r="G75" i="37"/>
  <c r="G61" i="37"/>
  <c r="C47" i="37"/>
  <c r="F47" i="37" s="1"/>
  <c r="F6" i="37"/>
  <c r="C34" i="37"/>
  <c r="F34" i="37" s="1"/>
  <c r="F14" i="37"/>
  <c r="C37" i="37"/>
  <c r="F22" i="37"/>
  <c r="F25" i="37"/>
  <c r="C64" i="37"/>
  <c r="C50" i="37"/>
  <c r="C71" i="37"/>
  <c r="F29" i="37"/>
  <c r="C57" i="37"/>
  <c r="J43" i="16"/>
  <c r="G65" i="16"/>
  <c r="G51" i="16"/>
  <c r="J37" i="16"/>
  <c r="M41" i="16"/>
  <c r="J41" i="16"/>
  <c r="G59" i="16"/>
  <c r="G73" i="16"/>
  <c r="G50" i="16"/>
  <c r="G64" i="16"/>
  <c r="M35" i="16"/>
  <c r="J35" i="16"/>
  <c r="M33" i="16"/>
  <c r="J33" i="16"/>
  <c r="C39" i="16"/>
  <c r="F39" i="16" s="1"/>
  <c r="F11" i="16"/>
  <c r="C43" i="16"/>
  <c r="F43" i="16" s="1"/>
  <c r="F28" i="16"/>
  <c r="C40" i="16"/>
  <c r="F40" i="16" s="1"/>
  <c r="F4" i="16"/>
  <c r="F20" i="16"/>
  <c r="C70" i="16"/>
  <c r="C56" i="16"/>
  <c r="C32" i="16"/>
  <c r="F3" i="16"/>
  <c r="C42" i="16"/>
  <c r="F42" i="16" s="1"/>
  <c r="F19" i="16"/>
  <c r="CZ7" i="18"/>
  <c r="AT7" i="18"/>
  <c r="CZ4" i="18"/>
  <c r="AT4" i="18"/>
  <c r="CZ20" i="18"/>
  <c r="AT20" i="18"/>
  <c r="CZ25" i="18"/>
  <c r="AT25" i="18"/>
  <c r="CZ23" i="18"/>
  <c r="AT23" i="18"/>
  <c r="CZ17" i="18"/>
  <c r="AT17" i="18"/>
  <c r="CZ14" i="18"/>
  <c r="AT14" i="18"/>
  <c r="CZ30" i="18"/>
  <c r="AT30" i="18"/>
  <c r="AF45" i="38"/>
  <c r="AF46" i="38"/>
  <c r="U74" i="38"/>
  <c r="AF74" i="38" s="1"/>
  <c r="U60" i="38"/>
  <c r="AF60" i="38" s="1"/>
  <c r="BW68" i="38"/>
  <c r="CK68" i="38" s="1"/>
  <c r="BW54" i="38"/>
  <c r="CK54" i="38" s="1"/>
  <c r="CZ2" i="38"/>
  <c r="AT2" i="38"/>
  <c r="J38" i="38"/>
  <c r="BW56" i="38"/>
  <c r="CK56" i="38" s="1"/>
  <c r="BW70" i="38"/>
  <c r="CK70" i="38" s="1"/>
  <c r="CZ16" i="38"/>
  <c r="J72" i="38"/>
  <c r="J58" i="38"/>
  <c r="AT16" i="38"/>
  <c r="BW53" i="38"/>
  <c r="CK53" i="38" s="1"/>
  <c r="BW67" i="38"/>
  <c r="CK67" i="38" s="1"/>
  <c r="BW72" i="38"/>
  <c r="CK72" i="38" s="1"/>
  <c r="BW58" i="38"/>
  <c r="CK58" i="38" s="1"/>
  <c r="J35" i="38"/>
  <c r="AT30" i="38"/>
  <c r="CZ30" i="38"/>
  <c r="U57" i="38"/>
  <c r="AF57" i="38" s="1"/>
  <c r="U71" i="38"/>
  <c r="AF71" i="38" s="1"/>
  <c r="EC54" i="38"/>
  <c r="EQ54" i="38" s="1"/>
  <c r="EC68" i="38"/>
  <c r="EQ68" i="38" s="1"/>
  <c r="BW61" i="38"/>
  <c r="CK61" i="38" s="1"/>
  <c r="BW75" i="38"/>
  <c r="CK75" i="38" s="1"/>
  <c r="CZ19" i="38"/>
  <c r="J42" i="38"/>
  <c r="AT19" i="38"/>
  <c r="AT25" i="38"/>
  <c r="CZ25" i="38"/>
  <c r="J64" i="38"/>
  <c r="J50" i="38"/>
  <c r="CZ24" i="38"/>
  <c r="AT24" i="38"/>
  <c r="J69" i="38"/>
  <c r="J55" i="38"/>
  <c r="BW57" i="38"/>
  <c r="CK57" i="38" s="1"/>
  <c r="BW71" i="38"/>
  <c r="CK71" i="38" s="1"/>
  <c r="CU76" i="30"/>
  <c r="CU62" i="30"/>
  <c r="CU73" i="30"/>
  <c r="CU59" i="30"/>
  <c r="AW57" i="29"/>
  <c r="AW71" i="29"/>
  <c r="BV29" i="30"/>
  <c r="AW62" i="29"/>
  <c r="AW76" i="29"/>
  <c r="BV27" i="30"/>
  <c r="AW64" i="29"/>
  <c r="AW50" i="29"/>
  <c r="BV25" i="30"/>
  <c r="AW49" i="29"/>
  <c r="BV23" i="30"/>
  <c r="AW65" i="29"/>
  <c r="AW51" i="29"/>
  <c r="BV21" i="30"/>
  <c r="AW42" i="29"/>
  <c r="BV19" i="30"/>
  <c r="AW52" i="29"/>
  <c r="AW66" i="29"/>
  <c r="BV17" i="30"/>
  <c r="AW44" i="29"/>
  <c r="BV15" i="30"/>
  <c r="AW33" i="29"/>
  <c r="BV13" i="30"/>
  <c r="AW68" i="29"/>
  <c r="AW54" i="29"/>
  <c r="BV9" i="30"/>
  <c r="AW40" i="29"/>
  <c r="BV4" i="30"/>
  <c r="AW32" i="41"/>
  <c r="BV3" i="42"/>
  <c r="BV32" i="42" s="1"/>
  <c r="BV3" i="43"/>
  <c r="BV32" i="43" s="1"/>
  <c r="AW39" i="41"/>
  <c r="BV11" i="42"/>
  <c r="BV39" i="42" s="1"/>
  <c r="BV11" i="43"/>
  <c r="BV39" i="43" s="1"/>
  <c r="BV19" i="42"/>
  <c r="BV42" i="42" s="1"/>
  <c r="AW42" i="41"/>
  <c r="BV19" i="43"/>
  <c r="BV42" i="43" s="1"/>
  <c r="BV27" i="42"/>
  <c r="AW62" i="41"/>
  <c r="AW76" i="41"/>
  <c r="BV27" i="43"/>
  <c r="BV73" i="29"/>
  <c r="BV59" i="29"/>
  <c r="AW32" i="29"/>
  <c r="BV3" i="30"/>
  <c r="BV4" i="42"/>
  <c r="BV40" i="42" s="1"/>
  <c r="AW40" i="41"/>
  <c r="BV4" i="43"/>
  <c r="BV40" i="43" s="1"/>
  <c r="BV12" i="42"/>
  <c r="AW60" i="41"/>
  <c r="AW74" i="41"/>
  <c r="BV12" i="43"/>
  <c r="BV20" i="42"/>
  <c r="AW70" i="41"/>
  <c r="AW56" i="41"/>
  <c r="BV20" i="43"/>
  <c r="BV28" i="42"/>
  <c r="BV43" i="42" s="1"/>
  <c r="AW43" i="41"/>
  <c r="BV28" i="43"/>
  <c r="BV43" i="43" s="1"/>
  <c r="BV69" i="41"/>
  <c r="BV55" i="41"/>
  <c r="BV31" i="41"/>
  <c r="BV73" i="41"/>
  <c r="BV59" i="41"/>
  <c r="CU74" i="42"/>
  <c r="CU60" i="42"/>
  <c r="CU72" i="42"/>
  <c r="CU58" i="42"/>
  <c r="CU70" i="42"/>
  <c r="CU56" i="42"/>
  <c r="CU69" i="42"/>
  <c r="CU55" i="42"/>
  <c r="CN74" i="30"/>
  <c r="CN60" i="30"/>
  <c r="CN53" i="30"/>
  <c r="CN67" i="30"/>
  <c r="CN66" i="30"/>
  <c r="CN52" i="30"/>
  <c r="CN69" i="30"/>
  <c r="CN55" i="30"/>
  <c r="CN61" i="30"/>
  <c r="CN75" i="30"/>
  <c r="CN73" i="30"/>
  <c r="CN59" i="30"/>
  <c r="AP66" i="29"/>
  <c r="AP52" i="29"/>
  <c r="BO17" i="30"/>
  <c r="AP33" i="29"/>
  <c r="BO13" i="30"/>
  <c r="BO70" i="29"/>
  <c r="BO56" i="29"/>
  <c r="AP43" i="29"/>
  <c r="BO28" i="30"/>
  <c r="AP69" i="29"/>
  <c r="AP55" i="29"/>
  <c r="BO24" i="30"/>
  <c r="AP70" i="29"/>
  <c r="AP56" i="29"/>
  <c r="BO20" i="30"/>
  <c r="AP72" i="29"/>
  <c r="AP58" i="29"/>
  <c r="BO16" i="30"/>
  <c r="AP62" i="29"/>
  <c r="AP76" i="29"/>
  <c r="BO27" i="30"/>
  <c r="BO31" i="41"/>
  <c r="BO69" i="41"/>
  <c r="BO55" i="41"/>
  <c r="AP60" i="29"/>
  <c r="AP74" i="29"/>
  <c r="BO12" i="30"/>
  <c r="AP46" i="29"/>
  <c r="BO10" i="30"/>
  <c r="AP41" i="29"/>
  <c r="BO8" i="30"/>
  <c r="AP47" i="29"/>
  <c r="BO6" i="30"/>
  <c r="AP40" i="29"/>
  <c r="BO4" i="30"/>
  <c r="BO4" i="42"/>
  <c r="BO40" i="42" s="1"/>
  <c r="AP40" i="41"/>
  <c r="BO4" i="43"/>
  <c r="BO40" i="43" s="1"/>
  <c r="BO8" i="42"/>
  <c r="BO41" i="42" s="1"/>
  <c r="AP41" i="41"/>
  <c r="BO8" i="43"/>
  <c r="BO41" i="43" s="1"/>
  <c r="BO12" i="42"/>
  <c r="AP74" i="41"/>
  <c r="AP60" i="41"/>
  <c r="BO12" i="43"/>
  <c r="BO16" i="42"/>
  <c r="AP72" i="41"/>
  <c r="AP58" i="41"/>
  <c r="BO16" i="43"/>
  <c r="BO20" i="42"/>
  <c r="AP70" i="41"/>
  <c r="AP56" i="41"/>
  <c r="BO20" i="43"/>
  <c r="BO24" i="42"/>
  <c r="AP69" i="41"/>
  <c r="AP55" i="41"/>
  <c r="BO24" i="43"/>
  <c r="BO28" i="42"/>
  <c r="BO43" i="42" s="1"/>
  <c r="AP43" i="41"/>
  <c r="BO28" i="43"/>
  <c r="BO43" i="43" s="1"/>
  <c r="CN45" i="42"/>
  <c r="CN75" i="42"/>
  <c r="CN61" i="42"/>
  <c r="CG62" i="30"/>
  <c r="CG76" i="30"/>
  <c r="CG59" i="30"/>
  <c r="CG73" i="30"/>
  <c r="CG45" i="43"/>
  <c r="BH54" i="41"/>
  <c r="BH68" i="41"/>
  <c r="AI74" i="29"/>
  <c r="AI60" i="29"/>
  <c r="BH12" i="30"/>
  <c r="AI41" i="29"/>
  <c r="BH8" i="30"/>
  <c r="BH71" i="41"/>
  <c r="BH57" i="41"/>
  <c r="AI57" i="29"/>
  <c r="AI71" i="29"/>
  <c r="BH29" i="30"/>
  <c r="AI76" i="29"/>
  <c r="AI62" i="29"/>
  <c r="BH27" i="30"/>
  <c r="AI64" i="29"/>
  <c r="AI50" i="29"/>
  <c r="BH25" i="30"/>
  <c r="AI49" i="29"/>
  <c r="BH23" i="30"/>
  <c r="AI51" i="29"/>
  <c r="AI65" i="29"/>
  <c r="BH21" i="30"/>
  <c r="AI42" i="29"/>
  <c r="BH19" i="30"/>
  <c r="AI66" i="29"/>
  <c r="AI52" i="29"/>
  <c r="BH17" i="30"/>
  <c r="AI44" i="29"/>
  <c r="BH15" i="30"/>
  <c r="AI33" i="29"/>
  <c r="BH13" i="30"/>
  <c r="BH66" i="41"/>
  <c r="BH52" i="41"/>
  <c r="BH65" i="41"/>
  <c r="BH51" i="41"/>
  <c r="BH3" i="42"/>
  <c r="BH32" i="42" s="1"/>
  <c r="AI32" i="41"/>
  <c r="BH3" i="43"/>
  <c r="BH32" i="43" s="1"/>
  <c r="BH7" i="42"/>
  <c r="AI73" i="41"/>
  <c r="AI59" i="41"/>
  <c r="BH7" i="43"/>
  <c r="BH11" i="42"/>
  <c r="BH39" i="42" s="1"/>
  <c r="AI39" i="41"/>
  <c r="BH11" i="43"/>
  <c r="BH39" i="43" s="1"/>
  <c r="BH15" i="42"/>
  <c r="BH44" i="42" s="1"/>
  <c r="AI44" i="41"/>
  <c r="BH15" i="43"/>
  <c r="BH44" i="43" s="1"/>
  <c r="BH19" i="42"/>
  <c r="BH42" i="42" s="1"/>
  <c r="AI42" i="41"/>
  <c r="BH19" i="43"/>
  <c r="BH42" i="43" s="1"/>
  <c r="BH23" i="42"/>
  <c r="BH49" i="42" s="1"/>
  <c r="AI49" i="41"/>
  <c r="BH23" i="43"/>
  <c r="BH49" i="43" s="1"/>
  <c r="BH27" i="42"/>
  <c r="AI62" i="41"/>
  <c r="AI76" i="41"/>
  <c r="BH27" i="43"/>
  <c r="CG65" i="42"/>
  <c r="CG51" i="42"/>
  <c r="CG57" i="42"/>
  <c r="CG71" i="42"/>
  <c r="CG60" i="42"/>
  <c r="CG74" i="42"/>
  <c r="CG58" i="42"/>
  <c r="CG72" i="42"/>
  <c r="AL31" i="30"/>
  <c r="M69" i="29"/>
  <c r="M55" i="29"/>
  <c r="M24" i="30"/>
  <c r="M72" i="29"/>
  <c r="M58" i="29"/>
  <c r="M16" i="30"/>
  <c r="M50" i="29"/>
  <c r="M64" i="29"/>
  <c r="M25" i="30"/>
  <c r="M66" i="29"/>
  <c r="M52" i="29"/>
  <c r="M17" i="30"/>
  <c r="M39" i="29"/>
  <c r="M11" i="30"/>
  <c r="M59" i="29"/>
  <c r="M73" i="29"/>
  <c r="M7" i="30"/>
  <c r="M32" i="29"/>
  <c r="M3" i="30"/>
  <c r="M4" i="42"/>
  <c r="M40" i="42" s="1"/>
  <c r="M40" i="41"/>
  <c r="M4" i="43"/>
  <c r="M40" i="43" s="1"/>
  <c r="M8" i="42"/>
  <c r="M41" i="42" s="1"/>
  <c r="M41" i="41"/>
  <c r="M8" i="43"/>
  <c r="M41" i="43" s="1"/>
  <c r="M12" i="42"/>
  <c r="M60" i="41"/>
  <c r="M74" i="41"/>
  <c r="M12" i="43"/>
  <c r="M16" i="42"/>
  <c r="M72" i="41"/>
  <c r="M58" i="41"/>
  <c r="M16" i="43"/>
  <c r="M20" i="42"/>
  <c r="M56" i="41"/>
  <c r="M70" i="41"/>
  <c r="M20" i="43"/>
  <c r="M24" i="42"/>
  <c r="M69" i="41"/>
  <c r="M55" i="41"/>
  <c r="M24" i="43"/>
  <c r="M28" i="42"/>
  <c r="M43" i="42" s="1"/>
  <c r="M43" i="41"/>
  <c r="M28" i="43"/>
  <c r="M43" i="43" s="1"/>
  <c r="AL31" i="42"/>
  <c r="D65" i="16"/>
  <c r="D51" i="16"/>
  <c r="D31" i="16"/>
  <c r="K39" i="16"/>
  <c r="H39" i="16"/>
  <c r="K43" i="16"/>
  <c r="H43" i="16"/>
  <c r="M43" i="16" s="1"/>
  <c r="D74" i="16"/>
  <c r="D60" i="16"/>
  <c r="F37" i="37"/>
  <c r="K49" i="37"/>
  <c r="W73" i="29"/>
  <c r="W59" i="29"/>
  <c r="W7" i="30"/>
  <c r="W64" i="29"/>
  <c r="W50" i="29"/>
  <c r="W25" i="30"/>
  <c r="W52" i="29"/>
  <c r="W66" i="29"/>
  <c r="W17" i="30"/>
  <c r="W33" i="29"/>
  <c r="W13" i="30"/>
  <c r="W9" i="42"/>
  <c r="W54" i="41"/>
  <c r="W68" i="41"/>
  <c r="W9" i="43"/>
  <c r="W17" i="42"/>
  <c r="W52" i="41"/>
  <c r="W66" i="41"/>
  <c r="W17" i="43"/>
  <c r="W25" i="42"/>
  <c r="W64" i="41"/>
  <c r="W50" i="41"/>
  <c r="W25" i="43"/>
  <c r="T46" i="29"/>
  <c r="T10" i="30"/>
  <c r="T50" i="29"/>
  <c r="T64" i="29"/>
  <c r="T25" i="30"/>
  <c r="T52" i="29"/>
  <c r="T66" i="29"/>
  <c r="T17" i="30"/>
  <c r="T67" i="29"/>
  <c r="T53" i="29"/>
  <c r="T5" i="30"/>
  <c r="T41" i="41"/>
  <c r="T8" i="42"/>
  <c r="T41" i="42" s="1"/>
  <c r="T8" i="43"/>
  <c r="T41" i="43" s="1"/>
  <c r="T16" i="42"/>
  <c r="T58" i="41"/>
  <c r="T72" i="41"/>
  <c r="T16" i="43"/>
  <c r="T24" i="42"/>
  <c r="T55" i="41"/>
  <c r="T69" i="41"/>
  <c r="T24" i="43"/>
  <c r="P43" i="29"/>
  <c r="P28" i="30"/>
  <c r="P56" i="29"/>
  <c r="P70" i="29"/>
  <c r="P20" i="30"/>
  <c r="P58" i="29"/>
  <c r="P72" i="29"/>
  <c r="P16" i="30"/>
  <c r="P17" i="42"/>
  <c r="P66" i="41"/>
  <c r="P52" i="41"/>
  <c r="P17" i="43"/>
  <c r="P46" i="29"/>
  <c r="P10" i="30"/>
  <c r="P32" i="29"/>
  <c r="P3" i="30"/>
  <c r="P16" i="42"/>
  <c r="P72" i="41"/>
  <c r="P58" i="41"/>
  <c r="P16" i="43"/>
  <c r="P24" i="42"/>
  <c r="P69" i="41"/>
  <c r="P55" i="41"/>
  <c r="P24" i="43"/>
  <c r="AO45" i="42"/>
  <c r="L59" i="29"/>
  <c r="L73" i="29"/>
  <c r="L7" i="30"/>
  <c r="L35" i="29"/>
  <c r="L30" i="30"/>
  <c r="L36" i="29"/>
  <c r="L26" i="30"/>
  <c r="L61" i="29"/>
  <c r="L75" i="29"/>
  <c r="L18" i="30"/>
  <c r="L34" i="29"/>
  <c r="L14" i="30"/>
  <c r="L41" i="29"/>
  <c r="L8" i="30"/>
  <c r="L38" i="41"/>
  <c r="L2" i="42"/>
  <c r="L38" i="42" s="1"/>
  <c r="L2" i="43"/>
  <c r="L38" i="43" s="1"/>
  <c r="L47" i="41"/>
  <c r="L6" i="42"/>
  <c r="L47" i="42" s="1"/>
  <c r="L6" i="43"/>
  <c r="L47" i="43" s="1"/>
  <c r="L10" i="42"/>
  <c r="L46" i="42" s="1"/>
  <c r="L46" i="41"/>
  <c r="L45" i="41" s="1"/>
  <c r="L10" i="43"/>
  <c r="L46" i="43" s="1"/>
  <c r="L45" i="43" s="1"/>
  <c r="L14" i="42"/>
  <c r="L34" i="42" s="1"/>
  <c r="L34" i="41"/>
  <c r="L14" i="43"/>
  <c r="L34" i="43" s="1"/>
  <c r="L18" i="42"/>
  <c r="L75" i="41"/>
  <c r="L61" i="41"/>
  <c r="L18" i="43"/>
  <c r="L22" i="42"/>
  <c r="L37" i="42" s="1"/>
  <c r="L37" i="41"/>
  <c r="L22" i="43"/>
  <c r="L37" i="43" s="1"/>
  <c r="L26" i="42"/>
  <c r="L36" i="42" s="1"/>
  <c r="L36" i="41"/>
  <c r="L26" i="43"/>
  <c r="L36" i="43" s="1"/>
  <c r="L30" i="42"/>
  <c r="L35" i="42" s="1"/>
  <c r="L35" i="41"/>
  <c r="L30" i="43"/>
  <c r="L35" i="43" s="1"/>
  <c r="I71" i="29"/>
  <c r="I57" i="29"/>
  <c r="I29" i="30"/>
  <c r="I66" i="29"/>
  <c r="I52" i="29"/>
  <c r="I17" i="30"/>
  <c r="I42" i="29"/>
  <c r="I19" i="30"/>
  <c r="I69" i="29"/>
  <c r="I55" i="29"/>
  <c r="I24" i="30"/>
  <c r="I72" i="29"/>
  <c r="I58" i="29"/>
  <c r="I16" i="30"/>
  <c r="I46" i="29"/>
  <c r="I10" i="30"/>
  <c r="I47" i="29"/>
  <c r="I6" i="30"/>
  <c r="I5" i="42"/>
  <c r="I67" i="41"/>
  <c r="I53" i="41"/>
  <c r="I5" i="43"/>
  <c r="I9" i="42"/>
  <c r="I68" i="41"/>
  <c r="I54" i="41"/>
  <c r="I9" i="43"/>
  <c r="I13" i="42"/>
  <c r="I33" i="42" s="1"/>
  <c r="I33" i="41"/>
  <c r="I13" i="43"/>
  <c r="I33" i="43" s="1"/>
  <c r="I17" i="42"/>
  <c r="I52" i="41"/>
  <c r="I66" i="41"/>
  <c r="I17" i="43"/>
  <c r="I21" i="42"/>
  <c r="I51" i="41"/>
  <c r="I65" i="41"/>
  <c r="I21" i="43"/>
  <c r="I25" i="42"/>
  <c r="I64" i="41"/>
  <c r="I50" i="41"/>
  <c r="I25" i="43"/>
  <c r="I29" i="42"/>
  <c r="I71" i="41"/>
  <c r="I57" i="41"/>
  <c r="I29" i="43"/>
  <c r="AD31" i="30"/>
  <c r="CB75" i="43"/>
  <c r="AD75" i="43"/>
  <c r="AD61" i="43"/>
  <c r="CB61" i="43"/>
  <c r="CB74" i="43"/>
  <c r="AD74" i="43"/>
  <c r="CB60" i="43"/>
  <c r="AD60" i="43"/>
  <c r="CB65" i="43"/>
  <c r="AD65" i="43"/>
  <c r="CB51" i="43"/>
  <c r="AD51" i="43"/>
  <c r="E49" i="29"/>
  <c r="E23" i="30"/>
  <c r="E44" i="29"/>
  <c r="E15" i="30"/>
  <c r="E36" i="29"/>
  <c r="E26" i="30"/>
  <c r="E61" i="29"/>
  <c r="E75" i="29"/>
  <c r="E18" i="30"/>
  <c r="E39" i="29"/>
  <c r="E11" i="30"/>
  <c r="E59" i="29"/>
  <c r="E73" i="29"/>
  <c r="E7" i="30"/>
  <c r="E32" i="29"/>
  <c r="E3" i="30"/>
  <c r="E4" i="42"/>
  <c r="E40" i="42" s="1"/>
  <c r="E40" i="41"/>
  <c r="E4" i="43"/>
  <c r="E40" i="43" s="1"/>
  <c r="E8" i="42"/>
  <c r="E41" i="42" s="1"/>
  <c r="E41" i="41"/>
  <c r="E8" i="43"/>
  <c r="E41" i="43" s="1"/>
  <c r="E12" i="42"/>
  <c r="E74" i="41"/>
  <c r="E60" i="41"/>
  <c r="E12" i="43"/>
  <c r="E16" i="42"/>
  <c r="E72" i="41"/>
  <c r="E58" i="41"/>
  <c r="E16" i="43"/>
  <c r="E20" i="42"/>
  <c r="E70" i="41"/>
  <c r="E56" i="41"/>
  <c r="E20" i="43"/>
  <c r="E24" i="42"/>
  <c r="E55" i="41"/>
  <c r="E69" i="41"/>
  <c r="E24" i="43"/>
  <c r="E28" i="42"/>
  <c r="E43" i="42" s="1"/>
  <c r="E43" i="41"/>
  <c r="E28" i="43"/>
  <c r="E43" i="43" s="1"/>
  <c r="AV73" i="32"/>
  <c r="AZ73" i="32" s="1"/>
  <c r="AV59" i="32"/>
  <c r="AZ59" i="32" s="1"/>
  <c r="AV70" i="32"/>
  <c r="AZ70" i="32" s="1"/>
  <c r="AV56" i="32"/>
  <c r="AZ56" i="32" s="1"/>
  <c r="AV60" i="32"/>
  <c r="AZ60" i="32" s="1"/>
  <c r="AV74" i="32"/>
  <c r="AZ74" i="32" s="1"/>
  <c r="AV67" i="32"/>
  <c r="AZ67" i="32" s="1"/>
  <c r="AV53" i="32"/>
  <c r="AZ53" i="32" s="1"/>
  <c r="AZ49" i="32"/>
  <c r="AQ60" i="32"/>
  <c r="AQ74" i="32"/>
  <c r="AQ72" i="32"/>
  <c r="AQ58" i="32"/>
  <c r="AQ70" i="32"/>
  <c r="AQ56" i="32"/>
  <c r="AQ55" i="32"/>
  <c r="AQ69" i="32"/>
  <c r="AL35" i="38"/>
  <c r="AZ30" i="38"/>
  <c r="BO55" i="38"/>
  <c r="CC55" i="38" s="1"/>
  <c r="BO69" i="38"/>
  <c r="CC69" i="38" s="1"/>
  <c r="AZ10" i="38"/>
  <c r="AL46" i="38"/>
  <c r="AZ14" i="38"/>
  <c r="AL34" i="38"/>
  <c r="AL75" i="38"/>
  <c r="AZ18" i="38"/>
  <c r="AL61" i="38"/>
  <c r="BO64" i="38"/>
  <c r="BO50" i="38"/>
  <c r="CC50" i="38" s="1"/>
  <c r="AL44" i="38"/>
  <c r="AZ15" i="38"/>
  <c r="BO70" i="38"/>
  <c r="CC70" i="38" s="1"/>
  <c r="BO56" i="38"/>
  <c r="CC56" i="38" s="1"/>
  <c r="BO76" i="38"/>
  <c r="CC76" i="38" s="1"/>
  <c r="BO62" i="38"/>
  <c r="CC62" i="38" s="1"/>
  <c r="AZ7" i="38"/>
  <c r="AL73" i="38"/>
  <c r="AL59" i="38"/>
  <c r="AZ2" i="38"/>
  <c r="AL38" i="38"/>
  <c r="AZ9" i="38"/>
  <c r="AL68" i="38"/>
  <c r="AL54" i="38"/>
  <c r="AL42" i="38"/>
  <c r="AZ19" i="38"/>
  <c r="FC37" i="38"/>
  <c r="FB37" i="38"/>
  <c r="EZ51" i="38"/>
  <c r="FB51" i="38" s="1"/>
  <c r="EZ65" i="38"/>
  <c r="FB65" i="38" s="1"/>
  <c r="EW58" i="38"/>
  <c r="EW72" i="38"/>
  <c r="FB31" i="38"/>
  <c r="FB33" i="38"/>
  <c r="EZ70" i="38"/>
  <c r="FB70" i="38" s="1"/>
  <c r="EZ56" i="38"/>
  <c r="FB56" i="38" s="1"/>
  <c r="EZ74" i="38"/>
  <c r="FB74" i="38" s="1"/>
  <c r="EZ60" i="38"/>
  <c r="FB60" i="38" s="1"/>
  <c r="EW73" i="38"/>
  <c r="EW59" i="38"/>
  <c r="EW70" i="38"/>
  <c r="EW56" i="38"/>
  <c r="DA6" i="18"/>
  <c r="AU6" i="18"/>
  <c r="DA22" i="18"/>
  <c r="AU22" i="18"/>
  <c r="DA23" i="18"/>
  <c r="AU23" i="18"/>
  <c r="DA25" i="18"/>
  <c r="AU25" i="18"/>
  <c r="DA7" i="18"/>
  <c r="AU7" i="18"/>
  <c r="DA12" i="18"/>
  <c r="AU12" i="18"/>
  <c r="DA28" i="18"/>
  <c r="AU28" i="18"/>
  <c r="L39" i="38"/>
  <c r="DA11" i="38"/>
  <c r="AU11" i="38"/>
  <c r="DA24" i="38"/>
  <c r="AU24" i="38"/>
  <c r="L69" i="38"/>
  <c r="L55" i="38"/>
  <c r="AH49" i="38"/>
  <c r="W72" i="38"/>
  <c r="AH72" i="38" s="1"/>
  <c r="W58" i="38"/>
  <c r="AH58" i="38" s="1"/>
  <c r="CL31" i="38"/>
  <c r="CL32" i="38"/>
  <c r="ER32" i="38"/>
  <c r="ER31" i="38"/>
  <c r="DA14" i="38"/>
  <c r="L34" i="38"/>
  <c r="AU14" i="38"/>
  <c r="BX70" i="38"/>
  <c r="CL70" i="38" s="1"/>
  <c r="BX56" i="38"/>
  <c r="CL56" i="38" s="1"/>
  <c r="ED71" i="38"/>
  <c r="ER71" i="38" s="1"/>
  <c r="ED57" i="38"/>
  <c r="ER57" i="38" s="1"/>
  <c r="W67" i="38"/>
  <c r="AH67" i="38" s="1"/>
  <c r="W53" i="38"/>
  <c r="AH53" i="38" s="1"/>
  <c r="W55" i="38"/>
  <c r="AH55" i="38" s="1"/>
  <c r="W69" i="38"/>
  <c r="AH69" i="38" s="1"/>
  <c r="ED67" i="38"/>
  <c r="ER67" i="38" s="1"/>
  <c r="ED53" i="38"/>
  <c r="ER53" i="38" s="1"/>
  <c r="L44" i="38"/>
  <c r="AU15" i="38"/>
  <c r="DA15" i="38"/>
  <c r="BX66" i="38"/>
  <c r="CL66" i="38" s="1"/>
  <c r="BX52" i="38"/>
  <c r="CL52" i="38" s="1"/>
  <c r="BX65" i="38"/>
  <c r="CL65" i="38" s="1"/>
  <c r="BX51" i="38"/>
  <c r="CL51" i="38" s="1"/>
  <c r="AU10" i="38"/>
  <c r="DA10" i="38"/>
  <c r="L46" i="38"/>
  <c r="BX61" i="38"/>
  <c r="CL61" i="38" s="1"/>
  <c r="BX75" i="38"/>
  <c r="CL75" i="38" s="1"/>
  <c r="DA26" i="38"/>
  <c r="L36" i="38"/>
  <c r="AU26" i="38"/>
  <c r="CW5" i="18"/>
  <c r="AQ5" i="18"/>
  <c r="CW6" i="18"/>
  <c r="AQ6" i="18"/>
  <c r="CW22" i="18"/>
  <c r="AQ22" i="18"/>
  <c r="CW7" i="18"/>
  <c r="AQ7" i="18"/>
  <c r="CW13" i="18"/>
  <c r="AQ13" i="18"/>
  <c r="CW19" i="18"/>
  <c r="AQ19" i="18"/>
  <c r="CW12" i="18"/>
  <c r="AQ12" i="18"/>
  <c r="CW28" i="18"/>
  <c r="AQ28" i="18"/>
  <c r="CH32" i="38"/>
  <c r="CH31" i="38"/>
  <c r="CW16" i="38"/>
  <c r="AQ16" i="38"/>
  <c r="H72" i="38"/>
  <c r="H58" i="38"/>
  <c r="AQ27" i="38"/>
  <c r="CW27" i="38"/>
  <c r="H76" i="38"/>
  <c r="H62" i="38"/>
  <c r="EN49" i="38"/>
  <c r="DZ72" i="38"/>
  <c r="EN72" i="38" s="1"/>
  <c r="DZ58" i="38"/>
  <c r="EN58" i="38" s="1"/>
  <c r="CW2" i="38"/>
  <c r="H38" i="38"/>
  <c r="AQ2" i="38"/>
  <c r="CW14" i="38"/>
  <c r="H34" i="38"/>
  <c r="AQ14" i="38"/>
  <c r="DZ56" i="38"/>
  <c r="EN56" i="38" s="1"/>
  <c r="DZ70" i="38"/>
  <c r="EN70" i="38" s="1"/>
  <c r="CW25" i="38"/>
  <c r="H64" i="38"/>
  <c r="AQ25" i="38"/>
  <c r="H50" i="38"/>
  <c r="H59" i="38"/>
  <c r="AQ7" i="38"/>
  <c r="CW7" i="38"/>
  <c r="H73" i="38"/>
  <c r="H33" i="38"/>
  <c r="AQ13" i="38"/>
  <c r="CW13" i="38"/>
  <c r="DZ52" i="38"/>
  <c r="EN52" i="38" s="1"/>
  <c r="DZ66" i="38"/>
  <c r="EN66" i="38" s="1"/>
  <c r="CW26" i="38"/>
  <c r="H36" i="38"/>
  <c r="AQ26" i="38"/>
  <c r="CV2" i="18"/>
  <c r="AP2" i="18"/>
  <c r="CV7" i="18"/>
  <c r="AP7" i="18"/>
  <c r="CV23" i="18"/>
  <c r="AP23" i="18"/>
  <c r="CV22" i="18"/>
  <c r="AP22" i="18"/>
  <c r="CV8" i="18"/>
  <c r="AP8" i="18"/>
  <c r="CV9" i="18"/>
  <c r="AP9" i="18"/>
  <c r="CV25" i="18"/>
  <c r="AP25" i="18"/>
  <c r="R60" i="38"/>
  <c r="AC60" i="38" s="1"/>
  <c r="R74" i="38"/>
  <c r="AC74" i="38" s="1"/>
  <c r="R54" i="38"/>
  <c r="AC54" i="38" s="1"/>
  <c r="R68" i="38"/>
  <c r="AC68" i="38" s="1"/>
  <c r="EM46" i="38"/>
  <c r="EM45" i="38"/>
  <c r="BS50" i="38"/>
  <c r="CG50" i="38" s="1"/>
  <c r="BS64" i="38"/>
  <c r="CV3" i="38"/>
  <c r="G32" i="38"/>
  <c r="AP3" i="38"/>
  <c r="DY65" i="38"/>
  <c r="EM65" i="38" s="1"/>
  <c r="DY51" i="38"/>
  <c r="EM51" i="38" s="1"/>
  <c r="AC32" i="38"/>
  <c r="AC31" i="38"/>
  <c r="R65" i="38"/>
  <c r="AC65" i="38" s="1"/>
  <c r="R51" i="38"/>
  <c r="AC51" i="38" s="1"/>
  <c r="CV2" i="38"/>
  <c r="G38" i="38"/>
  <c r="AP2" i="38"/>
  <c r="CV8" i="38"/>
  <c r="G41" i="38"/>
  <c r="AP8" i="38"/>
  <c r="CG46" i="38"/>
  <c r="CG45" i="38"/>
  <c r="CV24" i="38"/>
  <c r="AP24" i="38"/>
  <c r="G69" i="38"/>
  <c r="G55" i="38"/>
  <c r="AC49" i="38"/>
  <c r="AP12" i="38"/>
  <c r="G74" i="38"/>
  <c r="CV12" i="38"/>
  <c r="G60" i="38"/>
  <c r="G52" i="38"/>
  <c r="CV17" i="38"/>
  <c r="G66" i="38"/>
  <c r="AP17" i="38"/>
  <c r="BS70" i="38"/>
  <c r="CG70" i="38" s="1"/>
  <c r="BS56" i="38"/>
  <c r="CG56" i="38" s="1"/>
  <c r="CV21" i="38"/>
  <c r="G65" i="38"/>
  <c r="G51" i="38"/>
  <c r="AP21" i="38"/>
  <c r="CG49" i="38"/>
  <c r="DY55" i="38"/>
  <c r="EM55" i="38" s="1"/>
  <c r="DY69" i="38"/>
  <c r="EM69" i="38" s="1"/>
  <c r="CV23" i="38"/>
  <c r="G49" i="38"/>
  <c r="AP23" i="38"/>
  <c r="BY47" i="29"/>
  <c r="BW47" i="29"/>
  <c r="BX54" i="41"/>
  <c r="BX68" i="41"/>
  <c r="AY74" i="29"/>
  <c r="AY60" i="29"/>
  <c r="BX12" i="30"/>
  <c r="AY41" i="29"/>
  <c r="BX8" i="30"/>
  <c r="BX69" i="29"/>
  <c r="BX55" i="29"/>
  <c r="BX56" i="29"/>
  <c r="BX70" i="29"/>
  <c r="BX75" i="29"/>
  <c r="BX61" i="29"/>
  <c r="BX58" i="29"/>
  <c r="BX72" i="29"/>
  <c r="BX60" i="29"/>
  <c r="BX74" i="29"/>
  <c r="AY40" i="29"/>
  <c r="BX4" i="30"/>
  <c r="BX74" i="41"/>
  <c r="BX60" i="41"/>
  <c r="BX75" i="41"/>
  <c r="BX61" i="41"/>
  <c r="BX76" i="41"/>
  <c r="BX62" i="41"/>
  <c r="CW50" i="42"/>
  <c r="CW48" i="42" s="1"/>
  <c r="CW64" i="42"/>
  <c r="BX2" i="42"/>
  <c r="BX38" i="42" s="1"/>
  <c r="AY38" i="41"/>
  <c r="BX2" i="43"/>
  <c r="BX38" i="43" s="1"/>
  <c r="BX6" i="42"/>
  <c r="BX47" i="42" s="1"/>
  <c r="AY47" i="41"/>
  <c r="BX6" i="43"/>
  <c r="BX47" i="43" s="1"/>
  <c r="BX10" i="42"/>
  <c r="BX46" i="42" s="1"/>
  <c r="AY46" i="41"/>
  <c r="BX10" i="43"/>
  <c r="BX46" i="43" s="1"/>
  <c r="BX45" i="43" s="1"/>
  <c r="BX14" i="42"/>
  <c r="BX34" i="42" s="1"/>
  <c r="AY34" i="41"/>
  <c r="BX14" i="43"/>
  <c r="BX34" i="43" s="1"/>
  <c r="BX18" i="42"/>
  <c r="AY75" i="41"/>
  <c r="AY61" i="41"/>
  <c r="BX18" i="43"/>
  <c r="BX22" i="42"/>
  <c r="BX37" i="42" s="1"/>
  <c r="AY37" i="41"/>
  <c r="BX22" i="43"/>
  <c r="BX37" i="43" s="1"/>
  <c r="BX26" i="42"/>
  <c r="BX36" i="42" s="1"/>
  <c r="AY36" i="41"/>
  <c r="BX26" i="43"/>
  <c r="BX36" i="43" s="1"/>
  <c r="BX30" i="42"/>
  <c r="BX35" i="42" s="1"/>
  <c r="AY35" i="41"/>
  <c r="BX30" i="43"/>
  <c r="BX35" i="43" s="1"/>
  <c r="CW45" i="42"/>
  <c r="CP61" i="30"/>
  <c r="CP75" i="30"/>
  <c r="AR54" i="29"/>
  <c r="AR68" i="29"/>
  <c r="BQ9" i="30"/>
  <c r="BQ57" i="29"/>
  <c r="BQ71" i="29"/>
  <c r="BQ62" i="29"/>
  <c r="BQ76" i="29"/>
  <c r="BQ64" i="29"/>
  <c r="BQ50" i="29"/>
  <c r="BQ65" i="29"/>
  <c r="BQ51" i="29"/>
  <c r="BQ52" i="29"/>
  <c r="BQ66" i="29"/>
  <c r="AR60" i="29"/>
  <c r="AR74" i="29"/>
  <c r="BQ12" i="30"/>
  <c r="AR41" i="29"/>
  <c r="BQ8" i="30"/>
  <c r="BQ72" i="41"/>
  <c r="BQ58" i="41"/>
  <c r="AR40" i="29"/>
  <c r="BQ4" i="30"/>
  <c r="BQ4" i="42"/>
  <c r="BQ40" i="42" s="1"/>
  <c r="AR40" i="41"/>
  <c r="BQ4" i="43"/>
  <c r="BQ40" i="43" s="1"/>
  <c r="BQ8" i="42"/>
  <c r="BQ41" i="42" s="1"/>
  <c r="AR41" i="41"/>
  <c r="BQ8" i="43"/>
  <c r="BQ41" i="43" s="1"/>
  <c r="BQ12" i="42"/>
  <c r="AR74" i="41"/>
  <c r="AR60" i="41"/>
  <c r="BQ12" i="43"/>
  <c r="BQ16" i="42"/>
  <c r="AR72" i="41"/>
  <c r="AR58" i="41"/>
  <c r="BQ16" i="43"/>
  <c r="BQ20" i="42"/>
  <c r="AR70" i="41"/>
  <c r="AR56" i="41"/>
  <c r="BQ20" i="43"/>
  <c r="BQ24" i="42"/>
  <c r="AR69" i="41"/>
  <c r="AR55" i="41"/>
  <c r="BQ24" i="43"/>
  <c r="BQ28" i="42"/>
  <c r="BQ43" i="42" s="1"/>
  <c r="AR43" i="41"/>
  <c r="BQ28" i="43"/>
  <c r="BQ43" i="43" s="1"/>
  <c r="CP61" i="42"/>
  <c r="CP75" i="42"/>
  <c r="CP60" i="42"/>
  <c r="CP74" i="42"/>
  <c r="CP58" i="42"/>
  <c r="CP72" i="42"/>
  <c r="CL55" i="30"/>
  <c r="CL69" i="30"/>
  <c r="CL56" i="30"/>
  <c r="CL48" i="30" s="1"/>
  <c r="CL70" i="30"/>
  <c r="CL58" i="30"/>
  <c r="CL72" i="30"/>
  <c r="CL60" i="30"/>
  <c r="CL74" i="30"/>
  <c r="AN59" i="29"/>
  <c r="AN73" i="29"/>
  <c r="BM7" i="30"/>
  <c r="AN39" i="29"/>
  <c r="BM11" i="30"/>
  <c r="BM76" i="41"/>
  <c r="BM62" i="41"/>
  <c r="BM71" i="29"/>
  <c r="BM57" i="29"/>
  <c r="BM62" i="29"/>
  <c r="BM76" i="29"/>
  <c r="BM50" i="29"/>
  <c r="BM48" i="29" s="1"/>
  <c r="BM64" i="29"/>
  <c r="BM65" i="29"/>
  <c r="BM51" i="29"/>
  <c r="BM52" i="29"/>
  <c r="BM66" i="29"/>
  <c r="BM73" i="29"/>
  <c r="BM59" i="29"/>
  <c r="BM74" i="41"/>
  <c r="BM60" i="41"/>
  <c r="BM31" i="29"/>
  <c r="BM31" i="41"/>
  <c r="BM73" i="41"/>
  <c r="BM59" i="41"/>
  <c r="BM4" i="42"/>
  <c r="BM40" i="42" s="1"/>
  <c r="AN40" i="41"/>
  <c r="BM4" i="43"/>
  <c r="BM40" i="43" s="1"/>
  <c r="BM8" i="42"/>
  <c r="BM41" i="42" s="1"/>
  <c r="AN41" i="41"/>
  <c r="BM8" i="43"/>
  <c r="BM41" i="43" s="1"/>
  <c r="BM12" i="42"/>
  <c r="AN60" i="41"/>
  <c r="AN74" i="41"/>
  <c r="BM12" i="43"/>
  <c r="BM16" i="42"/>
  <c r="AN58" i="41"/>
  <c r="AN72" i="41"/>
  <c r="BM16" i="43"/>
  <c r="BM20" i="42"/>
  <c r="AN70" i="41"/>
  <c r="AN56" i="41"/>
  <c r="BM20" i="43"/>
  <c r="BM24" i="42"/>
  <c r="AN69" i="41"/>
  <c r="AN55" i="41"/>
  <c r="BM24" i="43"/>
  <c r="AN43" i="41"/>
  <c r="BM28" i="42"/>
  <c r="BM43" i="42" s="1"/>
  <c r="BM28" i="43"/>
  <c r="BM43" i="43" s="1"/>
  <c r="CL59" i="42"/>
  <c r="CL73" i="42"/>
  <c r="CL62" i="42"/>
  <c r="CL76" i="42"/>
  <c r="CH61" i="30"/>
  <c r="CH75" i="30"/>
  <c r="AJ46" i="29"/>
  <c r="AJ45" i="29" s="1"/>
  <c r="BI10" i="30"/>
  <c r="AJ47" i="29"/>
  <c r="BI6" i="30"/>
  <c r="BI55" i="29"/>
  <c r="BI69" i="29"/>
  <c r="BI56" i="29"/>
  <c r="BI70" i="29"/>
  <c r="BI61" i="29"/>
  <c r="BI75" i="29"/>
  <c r="BI72" i="29"/>
  <c r="BI58" i="29"/>
  <c r="BI60" i="29"/>
  <c r="BI74" i="29"/>
  <c r="BI64" i="41"/>
  <c r="BI50" i="41"/>
  <c r="AJ53" i="29"/>
  <c r="AJ67" i="29"/>
  <c r="BI5" i="30"/>
  <c r="AJ32" i="29"/>
  <c r="BI3" i="30"/>
  <c r="BI68" i="41"/>
  <c r="BI54" i="41"/>
  <c r="BI2" i="42"/>
  <c r="BI38" i="42" s="1"/>
  <c r="AJ38" i="41"/>
  <c r="BI2" i="43"/>
  <c r="BI38" i="43" s="1"/>
  <c r="BI6" i="42"/>
  <c r="BI47" i="42" s="1"/>
  <c r="AJ47" i="41"/>
  <c r="AJ45" i="41" s="1"/>
  <c r="BI6" i="43"/>
  <c r="BI47" i="43" s="1"/>
  <c r="BI10" i="42"/>
  <c r="BI46" i="42" s="1"/>
  <c r="BI45" i="42" s="1"/>
  <c r="AJ46" i="41"/>
  <c r="BI10" i="43"/>
  <c r="BI46" i="43" s="1"/>
  <c r="BI14" i="42"/>
  <c r="BI34" i="42" s="1"/>
  <c r="AJ34" i="41"/>
  <c r="BI14" i="43"/>
  <c r="BI34" i="43" s="1"/>
  <c r="BI18" i="42"/>
  <c r="AJ75" i="41"/>
  <c r="AJ61" i="41"/>
  <c r="BI18" i="43"/>
  <c r="AJ37" i="41"/>
  <c r="BI22" i="42"/>
  <c r="BI37" i="42" s="1"/>
  <c r="BI22" i="43"/>
  <c r="BI37" i="43" s="1"/>
  <c r="BI26" i="42"/>
  <c r="BI36" i="42" s="1"/>
  <c r="AJ36" i="41"/>
  <c r="BI26" i="43"/>
  <c r="BI36" i="43" s="1"/>
  <c r="BI30" i="42"/>
  <c r="BI35" i="42" s="1"/>
  <c r="AJ35" i="41"/>
  <c r="BI30" i="43"/>
  <c r="BI35" i="43" s="1"/>
  <c r="CH56" i="42"/>
  <c r="CH70" i="42"/>
  <c r="CH65" i="42"/>
  <c r="CH51" i="42"/>
  <c r="CH50" i="42"/>
  <c r="CH48" i="42" s="1"/>
  <c r="CH64" i="42"/>
  <c r="CH57" i="42"/>
  <c r="CH71" i="42"/>
  <c r="CE69" i="30"/>
  <c r="CE55" i="30"/>
  <c r="CE70" i="30"/>
  <c r="CE56" i="30"/>
  <c r="CE58" i="30"/>
  <c r="CE48" i="30" s="1"/>
  <c r="CE72" i="30"/>
  <c r="CE74" i="30"/>
  <c r="CE60" i="30"/>
  <c r="CD55" i="30"/>
  <c r="CD69" i="30"/>
  <c r="CD56" i="30"/>
  <c r="CD70" i="30"/>
  <c r="CD72" i="30"/>
  <c r="CD58" i="30"/>
  <c r="CD60" i="30"/>
  <c r="CD74" i="30"/>
  <c r="BE58" i="41"/>
  <c r="BE72" i="41"/>
  <c r="BE68" i="29"/>
  <c r="BE54" i="29"/>
  <c r="AG35" i="29"/>
  <c r="BF30" i="30"/>
  <c r="AG43" i="29"/>
  <c r="BF28" i="30"/>
  <c r="AG36" i="29"/>
  <c r="BF26" i="30"/>
  <c r="AG55" i="29"/>
  <c r="AG69" i="29"/>
  <c r="BF24" i="30"/>
  <c r="AG37" i="29"/>
  <c r="BF22" i="30"/>
  <c r="AG56" i="29"/>
  <c r="AG70" i="29"/>
  <c r="BF20" i="30"/>
  <c r="AG61" i="29"/>
  <c r="AG75" i="29"/>
  <c r="BF18" i="30"/>
  <c r="AG58" i="29"/>
  <c r="AG72" i="29"/>
  <c r="BF16" i="30"/>
  <c r="AG34" i="29"/>
  <c r="BF14" i="30"/>
  <c r="AG39" i="29"/>
  <c r="BF11" i="30"/>
  <c r="AG73" i="29"/>
  <c r="AG59" i="29"/>
  <c r="BF7" i="30"/>
  <c r="AG38" i="41"/>
  <c r="BF2" i="42"/>
  <c r="BF38" i="42" s="1"/>
  <c r="BF2" i="43"/>
  <c r="BF38" i="43" s="1"/>
  <c r="BF10" i="42"/>
  <c r="BF46" i="42" s="1"/>
  <c r="AG46" i="41"/>
  <c r="BF10" i="43"/>
  <c r="BF46" i="43" s="1"/>
  <c r="BF18" i="42"/>
  <c r="AG75" i="41"/>
  <c r="AG61" i="41"/>
  <c r="BF18" i="43"/>
  <c r="BF26" i="42"/>
  <c r="BF36" i="42" s="1"/>
  <c r="AG36" i="41"/>
  <c r="BF26" i="43"/>
  <c r="BF36" i="43" s="1"/>
  <c r="BE57" i="29"/>
  <c r="BE71" i="29"/>
  <c r="BE64" i="29"/>
  <c r="BE50" i="29"/>
  <c r="BE51" i="29"/>
  <c r="BE65" i="29"/>
  <c r="BE66" i="29"/>
  <c r="BE52" i="29"/>
  <c r="AG60" i="29"/>
  <c r="AG74" i="29"/>
  <c r="BF12" i="30"/>
  <c r="AG41" i="29"/>
  <c r="BF8" i="30"/>
  <c r="BE76" i="41"/>
  <c r="BE62" i="41"/>
  <c r="BF9" i="42"/>
  <c r="AG68" i="41"/>
  <c r="AG54" i="41"/>
  <c r="BF9" i="43"/>
  <c r="BF17" i="42"/>
  <c r="AG66" i="41"/>
  <c r="AG52" i="41"/>
  <c r="BF17" i="43"/>
  <c r="BF25" i="42"/>
  <c r="AG64" i="41"/>
  <c r="AG50" i="41"/>
  <c r="BF25" i="43"/>
  <c r="BE31" i="29"/>
  <c r="BF72" i="41"/>
  <c r="BF58" i="41"/>
  <c r="BF70" i="41"/>
  <c r="BF56" i="41"/>
  <c r="BF64" i="41"/>
  <c r="BF50" i="41"/>
  <c r="BE71" i="41"/>
  <c r="BE57" i="41"/>
  <c r="BF31" i="41"/>
  <c r="BF73" i="41"/>
  <c r="BF59" i="41"/>
  <c r="CD53" i="42"/>
  <c r="CD67" i="42"/>
  <c r="CD58" i="42"/>
  <c r="CD72" i="42"/>
  <c r="CE74" i="42"/>
  <c r="CE60" i="42"/>
  <c r="CE72" i="42"/>
  <c r="CE58" i="42"/>
  <c r="CD56" i="42"/>
  <c r="CD70" i="42"/>
  <c r="CD55" i="42"/>
  <c r="CD69" i="42"/>
  <c r="CE70" i="42"/>
  <c r="CE56" i="42"/>
  <c r="CE69" i="42"/>
  <c r="CE55" i="42"/>
  <c r="CA57" i="30"/>
  <c r="CA71" i="30"/>
  <c r="BZ29" i="30"/>
  <c r="CA50" i="30"/>
  <c r="BZ25" i="30"/>
  <c r="CA64" i="30"/>
  <c r="CA51" i="30"/>
  <c r="CA65" i="30"/>
  <c r="BZ21" i="30"/>
  <c r="CA52" i="30"/>
  <c r="BZ17" i="30"/>
  <c r="CA66" i="30"/>
  <c r="CA33" i="30"/>
  <c r="BZ13" i="30"/>
  <c r="CA54" i="30"/>
  <c r="CA68" i="30"/>
  <c r="BZ9" i="30"/>
  <c r="CA53" i="30"/>
  <c r="CA67" i="30"/>
  <c r="BZ5" i="30"/>
  <c r="BZ4" i="43"/>
  <c r="DV4" i="38" s="1"/>
  <c r="CA40" i="43"/>
  <c r="BZ40" i="43" s="1"/>
  <c r="DV40" i="38" s="1"/>
  <c r="EJ40" i="38" s="1"/>
  <c r="BZ8" i="43"/>
  <c r="DV8" i="38" s="1"/>
  <c r="CA41" i="43"/>
  <c r="BZ41" i="43" s="1"/>
  <c r="DV41" i="38" s="1"/>
  <c r="EJ41" i="38" s="1"/>
  <c r="CA47" i="43"/>
  <c r="BZ47" i="43" s="1"/>
  <c r="DV47" i="38" s="1"/>
  <c r="EJ47" i="38" s="1"/>
  <c r="BZ6" i="43"/>
  <c r="DV6" i="38" s="1"/>
  <c r="CA46" i="43"/>
  <c r="BZ10" i="43"/>
  <c r="DV10" i="38" s="1"/>
  <c r="BZ3" i="43"/>
  <c r="DV3" i="38" s="1"/>
  <c r="CA32" i="43"/>
  <c r="BZ28" i="43"/>
  <c r="DV28" i="38" s="1"/>
  <c r="CA43" i="43"/>
  <c r="BZ43" i="43" s="1"/>
  <c r="DV43" i="38" s="1"/>
  <c r="EJ43" i="38" s="1"/>
  <c r="AC68" i="29"/>
  <c r="AC54" i="29"/>
  <c r="AB9" i="29"/>
  <c r="C9" i="18" s="1"/>
  <c r="BB9" i="30"/>
  <c r="BB41" i="29"/>
  <c r="BA41" i="29" s="1"/>
  <c r="BA8" i="29"/>
  <c r="BB46" i="29"/>
  <c r="BA10" i="29"/>
  <c r="BA30" i="29"/>
  <c r="BB35" i="29"/>
  <c r="BA35" i="29" s="1"/>
  <c r="BB43" i="29"/>
  <c r="BA28" i="29"/>
  <c r="BB36" i="29"/>
  <c r="BA36" i="29" s="1"/>
  <c r="BA26" i="29"/>
  <c r="BB69" i="29"/>
  <c r="BB55" i="29"/>
  <c r="BA24" i="29"/>
  <c r="BB37" i="29"/>
  <c r="BA37" i="29" s="1"/>
  <c r="BA22" i="29"/>
  <c r="BB56" i="29"/>
  <c r="BB70" i="29"/>
  <c r="BA20" i="29"/>
  <c r="BB75" i="29"/>
  <c r="BB61" i="29"/>
  <c r="BA18" i="29"/>
  <c r="BB58" i="29"/>
  <c r="BB72" i="29"/>
  <c r="BA16" i="29"/>
  <c r="BB34" i="29"/>
  <c r="BA34" i="29" s="1"/>
  <c r="BA14" i="29"/>
  <c r="BA14" i="41"/>
  <c r="N14" i="38" s="1"/>
  <c r="BB34" i="41"/>
  <c r="BA34" i="41" s="1"/>
  <c r="N34" i="38" s="1"/>
  <c r="Y34" i="38" s="1"/>
  <c r="BB54" i="29"/>
  <c r="BB68" i="29"/>
  <c r="BA9" i="29"/>
  <c r="BB67" i="29"/>
  <c r="BB53" i="29"/>
  <c r="BA5" i="29"/>
  <c r="BB33" i="41"/>
  <c r="BA33" i="41" s="1"/>
  <c r="N33" i="38" s="1"/>
  <c r="Y33" i="38" s="1"/>
  <c r="BA13" i="41"/>
  <c r="N13" i="38" s="1"/>
  <c r="BB44" i="41"/>
  <c r="BA44" i="41" s="1"/>
  <c r="N44" i="38" s="1"/>
  <c r="Y44" i="38" s="1"/>
  <c r="BA15" i="41"/>
  <c r="N15" i="38" s="1"/>
  <c r="BB42" i="41"/>
  <c r="BA42" i="41" s="1"/>
  <c r="N42" i="38" s="1"/>
  <c r="Y42" i="38" s="1"/>
  <c r="BA19" i="41"/>
  <c r="N19" i="38" s="1"/>
  <c r="BB69" i="41"/>
  <c r="BB55" i="41"/>
  <c r="BA24" i="41"/>
  <c r="N24" i="38" s="1"/>
  <c r="BB41" i="41"/>
  <c r="BA41" i="41" s="1"/>
  <c r="N41" i="38" s="1"/>
  <c r="Y41" i="38" s="1"/>
  <c r="BA8" i="41"/>
  <c r="N8" i="38" s="1"/>
  <c r="BA29" i="41"/>
  <c r="N29" i="38" s="1"/>
  <c r="BB71" i="41"/>
  <c r="BB57" i="41"/>
  <c r="AB5" i="41"/>
  <c r="C5" i="38" s="1"/>
  <c r="BB5" i="42"/>
  <c r="AC67" i="41"/>
  <c r="AC53" i="41"/>
  <c r="BB5" i="43"/>
  <c r="BB9" i="42"/>
  <c r="AB9" i="41"/>
  <c r="C9" i="38" s="1"/>
  <c r="AC68" i="41"/>
  <c r="AC54" i="41"/>
  <c r="BB9" i="43"/>
  <c r="AC33" i="41"/>
  <c r="AB13" i="41"/>
  <c r="C13" i="38" s="1"/>
  <c r="C33" i="38" s="1"/>
  <c r="BB13" i="42"/>
  <c r="BB13" i="43"/>
  <c r="BB17" i="42"/>
  <c r="AB17" i="41"/>
  <c r="C17" i="38" s="1"/>
  <c r="AC52" i="41"/>
  <c r="AC66" i="41"/>
  <c r="BB17" i="43"/>
  <c r="AB21" i="41"/>
  <c r="C21" i="38" s="1"/>
  <c r="BB21" i="42"/>
  <c r="AC65" i="41"/>
  <c r="AC51" i="41"/>
  <c r="BB21" i="43"/>
  <c r="BB25" i="42"/>
  <c r="AC50" i="41"/>
  <c r="AB25" i="41"/>
  <c r="C25" i="38" s="1"/>
  <c r="AC64" i="41"/>
  <c r="BB25" i="43"/>
  <c r="BB29" i="42"/>
  <c r="AC71" i="41"/>
  <c r="AB29" i="41"/>
  <c r="C29" i="38" s="1"/>
  <c r="AC57" i="41"/>
  <c r="BB29" i="43"/>
  <c r="BB53" i="41"/>
  <c r="BA5" i="41"/>
  <c r="N5" i="38" s="1"/>
  <c r="BB67" i="41"/>
  <c r="CA38" i="42"/>
  <c r="BZ38" i="42" s="1"/>
  <c r="BP38" i="38" s="1"/>
  <c r="CD38" i="38" s="1"/>
  <c r="BZ2" i="42"/>
  <c r="BP2" i="38" s="1"/>
  <c r="CA47" i="42"/>
  <c r="BZ47" i="42" s="1"/>
  <c r="BP47" i="38" s="1"/>
  <c r="CD47" i="38" s="1"/>
  <c r="BZ6" i="42"/>
  <c r="BP6" i="38" s="1"/>
  <c r="CA46" i="42"/>
  <c r="BZ10" i="42"/>
  <c r="BP10" i="38" s="1"/>
  <c r="CA34" i="42"/>
  <c r="BZ34" i="42" s="1"/>
  <c r="BP34" i="38" s="1"/>
  <c r="CD34" i="38" s="1"/>
  <c r="BZ14" i="42"/>
  <c r="BP14" i="38" s="1"/>
  <c r="CA75" i="42"/>
  <c r="CA61" i="42"/>
  <c r="BZ18" i="42"/>
  <c r="BP18" i="38" s="1"/>
  <c r="CA37" i="42"/>
  <c r="BZ37" i="42" s="1"/>
  <c r="BP37" i="38" s="1"/>
  <c r="CD37" i="38" s="1"/>
  <c r="BZ22" i="42"/>
  <c r="BP22" i="38" s="1"/>
  <c r="BZ26" i="42"/>
  <c r="BP26" i="38" s="1"/>
  <c r="CA36" i="42"/>
  <c r="BZ36" i="42" s="1"/>
  <c r="BP36" i="38" s="1"/>
  <c r="CD36" i="38" s="1"/>
  <c r="CA35" i="42"/>
  <c r="BZ35" i="42" s="1"/>
  <c r="BP35" i="38" s="1"/>
  <c r="CD35" i="38" s="1"/>
  <c r="BZ30" i="42"/>
  <c r="BP30" i="38" s="1"/>
  <c r="R54" i="29"/>
  <c r="R68" i="29"/>
  <c r="R9" i="30"/>
  <c r="R41" i="29"/>
  <c r="R8" i="30"/>
  <c r="R57" i="29"/>
  <c r="R71" i="29"/>
  <c r="R29" i="30"/>
  <c r="R64" i="29"/>
  <c r="R50" i="29"/>
  <c r="R25" i="30"/>
  <c r="R51" i="29"/>
  <c r="R65" i="29"/>
  <c r="R21" i="30"/>
  <c r="R52" i="29"/>
  <c r="R66" i="29"/>
  <c r="R17" i="30"/>
  <c r="R33" i="29"/>
  <c r="R13" i="30"/>
  <c r="R40" i="29"/>
  <c r="R4" i="30"/>
  <c r="R4" i="42"/>
  <c r="R40" i="42" s="1"/>
  <c r="R40" i="41"/>
  <c r="R4" i="43"/>
  <c r="R40" i="43" s="1"/>
  <c r="R8" i="42"/>
  <c r="R41" i="42" s="1"/>
  <c r="R41" i="41"/>
  <c r="R8" i="43"/>
  <c r="R41" i="43" s="1"/>
  <c r="R12" i="42"/>
  <c r="R60" i="41"/>
  <c r="R74" i="41"/>
  <c r="R12" i="43"/>
  <c r="R16" i="42"/>
  <c r="R72" i="41"/>
  <c r="R58" i="41"/>
  <c r="R16" i="43"/>
  <c r="R20" i="42"/>
  <c r="R70" i="41"/>
  <c r="R56" i="41"/>
  <c r="R20" i="43"/>
  <c r="R24" i="42"/>
  <c r="R55" i="41"/>
  <c r="R69" i="41"/>
  <c r="R24" i="43"/>
  <c r="R28" i="42"/>
  <c r="R43" i="42" s="1"/>
  <c r="R43" i="41"/>
  <c r="R28" i="43"/>
  <c r="R43" i="43" s="1"/>
  <c r="AY72" i="30"/>
  <c r="AI72" i="30"/>
  <c r="AP72" i="30"/>
  <c r="AW72" i="30"/>
  <c r="AG72" i="30"/>
  <c r="AS58" i="30"/>
  <c r="AC58" i="30"/>
  <c r="AN58" i="30"/>
  <c r="AY58" i="30"/>
  <c r="AI58" i="30"/>
  <c r="AV72" i="30"/>
  <c r="AX58" i="30"/>
  <c r="AU72" i="30"/>
  <c r="AE72" i="30"/>
  <c r="AL72" i="30"/>
  <c r="AS72" i="30"/>
  <c r="AC72" i="30"/>
  <c r="AO58" i="30"/>
  <c r="AN72" i="30"/>
  <c r="AJ58" i="30"/>
  <c r="AU58" i="30"/>
  <c r="AE58" i="30"/>
  <c r="AP58" i="30"/>
  <c r="AH58" i="30"/>
  <c r="AT72" i="30"/>
  <c r="AD72" i="30"/>
  <c r="AW58" i="30"/>
  <c r="AR58" i="30"/>
  <c r="AM58" i="30"/>
  <c r="AL58" i="30"/>
  <c r="AQ72" i="30"/>
  <c r="AX72" i="30"/>
  <c r="AH72" i="30"/>
  <c r="AO72" i="30"/>
  <c r="AR72" i="30"/>
  <c r="AK58" i="30"/>
  <c r="AV58" i="30"/>
  <c r="AF58" i="30"/>
  <c r="AQ58" i="30"/>
  <c r="AT58" i="30"/>
  <c r="AF72" i="30"/>
  <c r="AM72" i="30"/>
  <c r="AK72" i="30"/>
  <c r="AG58" i="30"/>
  <c r="AJ72" i="30"/>
  <c r="AD58" i="30"/>
  <c r="AK66" i="30"/>
  <c r="AR66" i="30"/>
  <c r="AY66" i="30"/>
  <c r="AI66" i="30"/>
  <c r="AU52" i="30"/>
  <c r="AE52" i="30"/>
  <c r="AT52" i="30"/>
  <c r="AD52" i="30"/>
  <c r="AS52" i="30"/>
  <c r="AC52" i="30"/>
  <c r="AV52" i="30"/>
  <c r="AF66" i="30"/>
  <c r="AW66" i="30"/>
  <c r="AG66" i="30"/>
  <c r="AN66" i="30"/>
  <c r="AU66" i="30"/>
  <c r="AE66" i="30"/>
  <c r="AQ52" i="30"/>
  <c r="AX66" i="30"/>
  <c r="AP52" i="30"/>
  <c r="AT66" i="30"/>
  <c r="AO52" i="30"/>
  <c r="AN52" i="30"/>
  <c r="AF52" i="30"/>
  <c r="AV66" i="30"/>
  <c r="AY52" i="30"/>
  <c r="AX52" i="30"/>
  <c r="AW52" i="30"/>
  <c r="AP66" i="30"/>
  <c r="AS66" i="30"/>
  <c r="AC66" i="30"/>
  <c r="AJ66" i="30"/>
  <c r="AQ66" i="30"/>
  <c r="AL66" i="30"/>
  <c r="AM52" i="30"/>
  <c r="AH66" i="30"/>
  <c r="AL52" i="30"/>
  <c r="AD66" i="30"/>
  <c r="AK52" i="30"/>
  <c r="AJ52" i="30"/>
  <c r="AR52" i="30"/>
  <c r="AO66" i="30"/>
  <c r="AM66" i="30"/>
  <c r="AI52" i="30"/>
  <c r="AH52" i="30"/>
  <c r="AG52" i="30"/>
  <c r="AQ76" i="30"/>
  <c r="AV62" i="30"/>
  <c r="AF62" i="30"/>
  <c r="AL76" i="30"/>
  <c r="AU62" i="30"/>
  <c r="AE62" i="30"/>
  <c r="AK76" i="30"/>
  <c r="AT62" i="30"/>
  <c r="AD62" i="30"/>
  <c r="AG62" i="30"/>
  <c r="AN76" i="30"/>
  <c r="AJ62" i="30"/>
  <c r="AI62" i="30"/>
  <c r="AC62" i="30"/>
  <c r="AM76" i="30"/>
  <c r="AR62" i="30"/>
  <c r="AX76" i="30"/>
  <c r="AH76" i="30"/>
  <c r="AQ62" i="30"/>
  <c r="AW76" i="30"/>
  <c r="AG76" i="30"/>
  <c r="AP62" i="30"/>
  <c r="AV76" i="30"/>
  <c r="AR76" i="30"/>
  <c r="AO62" i="30"/>
  <c r="AU76" i="30"/>
  <c r="AP76" i="30"/>
  <c r="AO76" i="30"/>
  <c r="AH62" i="30"/>
  <c r="AY76" i="30"/>
  <c r="AI76" i="30"/>
  <c r="AN62" i="30"/>
  <c r="AT76" i="30"/>
  <c r="AD76" i="30"/>
  <c r="AM62" i="30"/>
  <c r="AS76" i="30"/>
  <c r="AC76" i="30"/>
  <c r="AL62" i="30"/>
  <c r="AF76" i="30"/>
  <c r="AS62" i="30"/>
  <c r="AJ76" i="30"/>
  <c r="AE76" i="30"/>
  <c r="AY62" i="30"/>
  <c r="AX62" i="30"/>
  <c r="AW62" i="30"/>
  <c r="AK62" i="30"/>
  <c r="CX66" i="43"/>
  <c r="AZ66" i="43"/>
  <c r="CX52" i="43"/>
  <c r="AZ52" i="43"/>
  <c r="AZ62" i="43"/>
  <c r="AZ76" i="43"/>
  <c r="CX62" i="43"/>
  <c r="CX76" i="43"/>
  <c r="AA39" i="29"/>
  <c r="AA11" i="30"/>
  <c r="AA57" i="29"/>
  <c r="AA71" i="29"/>
  <c r="AA29" i="30"/>
  <c r="AA64" i="29"/>
  <c r="AA50" i="29"/>
  <c r="AA25" i="30"/>
  <c r="AA65" i="29"/>
  <c r="AA51" i="29"/>
  <c r="AA21" i="30"/>
  <c r="AA52" i="29"/>
  <c r="AA66" i="29"/>
  <c r="AA17" i="30"/>
  <c r="AA33" i="29"/>
  <c r="AA13" i="30"/>
  <c r="AA47" i="29"/>
  <c r="AA6" i="30"/>
  <c r="AA5" i="42"/>
  <c r="AA67" i="41"/>
  <c r="AA53" i="41"/>
  <c r="AA5" i="43"/>
  <c r="AA9" i="42"/>
  <c r="AA54" i="41"/>
  <c r="AA68" i="41"/>
  <c r="AA9" i="43"/>
  <c r="AA13" i="42"/>
  <c r="AA33" i="42" s="1"/>
  <c r="AA33" i="41"/>
  <c r="AA13" i="43"/>
  <c r="AA33" i="43" s="1"/>
  <c r="AA17" i="42"/>
  <c r="AA66" i="41"/>
  <c r="AA52" i="41"/>
  <c r="AA17" i="43"/>
  <c r="AA21" i="42"/>
  <c r="AA51" i="41"/>
  <c r="AA65" i="41"/>
  <c r="AA21" i="43"/>
  <c r="AA25" i="42"/>
  <c r="AA64" i="41"/>
  <c r="AA50" i="41"/>
  <c r="AA25" i="43"/>
  <c r="AA29" i="42"/>
  <c r="AA57" i="41"/>
  <c r="AA71" i="41"/>
  <c r="AA29" i="43"/>
  <c r="AV74" i="42"/>
  <c r="AN74" i="42"/>
  <c r="AF74" i="42"/>
  <c r="AZ60" i="42"/>
  <c r="AV60" i="42"/>
  <c r="AR60" i="42"/>
  <c r="AN60" i="42"/>
  <c r="AJ60" i="42"/>
  <c r="AF60" i="42"/>
  <c r="AS74" i="42"/>
  <c r="AK74" i="42"/>
  <c r="AC74" i="42"/>
  <c r="AY60" i="42"/>
  <c r="AU60" i="42"/>
  <c r="AQ60" i="42"/>
  <c r="AM60" i="42"/>
  <c r="AI60" i="42"/>
  <c r="AE60" i="42"/>
  <c r="AR74" i="42"/>
  <c r="AT60" i="42"/>
  <c r="AL60" i="42"/>
  <c r="AD60" i="42"/>
  <c r="AO74" i="42"/>
  <c r="AS60" i="42"/>
  <c r="AK60" i="42"/>
  <c r="AC60" i="42"/>
  <c r="AZ74" i="42"/>
  <c r="AJ74" i="42"/>
  <c r="AX60" i="42"/>
  <c r="AP60" i="42"/>
  <c r="AH60" i="42"/>
  <c r="AW74" i="42"/>
  <c r="AW60" i="42"/>
  <c r="AG74" i="42"/>
  <c r="AO60" i="42"/>
  <c r="AG60" i="42"/>
  <c r="AQ74" i="42"/>
  <c r="AX74" i="42"/>
  <c r="AH74" i="42"/>
  <c r="AM74" i="42"/>
  <c r="AT74" i="42"/>
  <c r="AD74" i="42"/>
  <c r="AY74" i="42"/>
  <c r="AI74" i="42"/>
  <c r="AP74" i="42"/>
  <c r="AL74" i="42"/>
  <c r="AU74" i="42"/>
  <c r="AE74" i="42"/>
  <c r="AV72" i="42"/>
  <c r="AN72" i="42"/>
  <c r="AF72" i="42"/>
  <c r="AZ58" i="42"/>
  <c r="AV58" i="42"/>
  <c r="AR58" i="42"/>
  <c r="AN58" i="42"/>
  <c r="AJ58" i="42"/>
  <c r="AF58" i="42"/>
  <c r="AS72" i="42"/>
  <c r="AK72" i="42"/>
  <c r="AC72" i="42"/>
  <c r="AY58" i="42"/>
  <c r="AU58" i="42"/>
  <c r="AQ58" i="42"/>
  <c r="AM58" i="42"/>
  <c r="AI58" i="42"/>
  <c r="AE58" i="42"/>
  <c r="AR72" i="42"/>
  <c r="AT58" i="42"/>
  <c r="AL58" i="42"/>
  <c r="AD58" i="42"/>
  <c r="AO72" i="42"/>
  <c r="AS58" i="42"/>
  <c r="AK58" i="42"/>
  <c r="AC58" i="42"/>
  <c r="AZ72" i="42"/>
  <c r="AJ72" i="42"/>
  <c r="AX58" i="42"/>
  <c r="AP58" i="42"/>
  <c r="AH58" i="42"/>
  <c r="AW58" i="42"/>
  <c r="AW72" i="42"/>
  <c r="AO58" i="42"/>
  <c r="AG72" i="42"/>
  <c r="AG58" i="42"/>
  <c r="AQ72" i="42"/>
  <c r="AX72" i="42"/>
  <c r="AH72" i="42"/>
  <c r="AM72" i="42"/>
  <c r="AT72" i="42"/>
  <c r="AD72" i="42"/>
  <c r="AY72" i="42"/>
  <c r="AI72" i="42"/>
  <c r="AP72" i="42"/>
  <c r="AU72" i="42"/>
  <c r="AE72" i="42"/>
  <c r="AL72" i="42"/>
  <c r="C32" i="37"/>
  <c r="F3" i="37"/>
  <c r="C49" i="37"/>
  <c r="F23" i="37"/>
  <c r="C72" i="37"/>
  <c r="C58" i="37"/>
  <c r="C55" i="37"/>
  <c r="C69" i="37"/>
  <c r="M40" i="37"/>
  <c r="J40" i="37"/>
  <c r="G60" i="37"/>
  <c r="G74" i="37"/>
  <c r="G56" i="37"/>
  <c r="G70" i="37"/>
  <c r="C73" i="37"/>
  <c r="C59" i="37"/>
  <c r="F7" i="37"/>
  <c r="C42" i="37"/>
  <c r="F42" i="37" s="1"/>
  <c r="F19" i="37"/>
  <c r="G54" i="37"/>
  <c r="G68" i="37"/>
  <c r="G66" i="37"/>
  <c r="G52" i="37"/>
  <c r="J36" i="37"/>
  <c r="M36" i="37"/>
  <c r="C36" i="37"/>
  <c r="F36" i="37" s="1"/>
  <c r="F26" i="37"/>
  <c r="C35" i="37"/>
  <c r="F35" i="37" s="1"/>
  <c r="F30" i="37"/>
  <c r="F24" i="16"/>
  <c r="C69" i="16"/>
  <c r="C55" i="16"/>
  <c r="C66" i="16"/>
  <c r="F17" i="16"/>
  <c r="C52" i="16"/>
  <c r="J49" i="16"/>
  <c r="M49" i="16"/>
  <c r="G52" i="16"/>
  <c r="G66" i="16"/>
  <c r="M39" i="16"/>
  <c r="J39" i="16"/>
  <c r="J36" i="16"/>
  <c r="F18" i="16"/>
  <c r="C75" i="16"/>
  <c r="C61" i="16"/>
  <c r="G72" i="16"/>
  <c r="G58" i="16"/>
  <c r="C38" i="16"/>
  <c r="F38" i="16" s="1"/>
  <c r="F2" i="16"/>
  <c r="F14" i="16"/>
  <c r="C34" i="16"/>
  <c r="F34" i="16" s="1"/>
  <c r="C73" i="16"/>
  <c r="C59" i="16"/>
  <c r="C49" i="16"/>
  <c r="F23" i="16"/>
  <c r="C47" i="16"/>
  <c r="F47" i="16" s="1"/>
  <c r="F6" i="16"/>
  <c r="C37" i="16"/>
  <c r="F37" i="16" s="1"/>
  <c r="F22" i="16"/>
  <c r="CZ15" i="18"/>
  <c r="AT15" i="18"/>
  <c r="CZ8" i="18"/>
  <c r="AT8" i="18"/>
  <c r="CZ24" i="18"/>
  <c r="AT24" i="18"/>
  <c r="CZ29" i="18"/>
  <c r="AT29" i="18"/>
  <c r="CZ5" i="18"/>
  <c r="AT5" i="18"/>
  <c r="CZ2" i="18"/>
  <c r="AT2" i="18"/>
  <c r="CZ18" i="18"/>
  <c r="AT18" i="18"/>
  <c r="EC72" i="38"/>
  <c r="EQ72" i="38" s="1"/>
  <c r="EC58" i="38"/>
  <c r="EQ58" i="38" s="1"/>
  <c r="U65" i="38"/>
  <c r="AF65" i="38" s="1"/>
  <c r="U51" i="38"/>
  <c r="AF51" i="38" s="1"/>
  <c r="CZ10" i="38"/>
  <c r="J46" i="38"/>
  <c r="AT10" i="38"/>
  <c r="EQ31" i="38"/>
  <c r="EQ32" i="38"/>
  <c r="AT13" i="38"/>
  <c r="CZ13" i="38"/>
  <c r="J33" i="38"/>
  <c r="EC71" i="38"/>
  <c r="EQ71" i="38" s="1"/>
  <c r="EC57" i="38"/>
  <c r="EQ57" i="38" s="1"/>
  <c r="CK32" i="38"/>
  <c r="CK31" i="38"/>
  <c r="CZ23" i="38"/>
  <c r="J49" i="38"/>
  <c r="J48" i="38" s="1"/>
  <c r="AT23" i="38"/>
  <c r="CZ7" i="38"/>
  <c r="AT7" i="38"/>
  <c r="J73" i="38"/>
  <c r="J59" i="38"/>
  <c r="BW74" i="38"/>
  <c r="CK74" i="38" s="1"/>
  <c r="BW60" i="38"/>
  <c r="CK60" i="38" s="1"/>
  <c r="BW66" i="38"/>
  <c r="CK66" i="38" s="1"/>
  <c r="BW52" i="38"/>
  <c r="CK52" i="38" s="1"/>
  <c r="U73" i="38"/>
  <c r="AF73" i="38" s="1"/>
  <c r="U59" i="38"/>
  <c r="AF59" i="38" s="1"/>
  <c r="U72" i="38"/>
  <c r="AF72" i="38" s="1"/>
  <c r="U58" i="38"/>
  <c r="AF58" i="38" s="1"/>
  <c r="CZ5" i="38"/>
  <c r="AT5" i="38"/>
  <c r="J67" i="38"/>
  <c r="J53" i="38"/>
  <c r="EQ45" i="38"/>
  <c r="EQ46" i="38"/>
  <c r="EC62" i="38"/>
  <c r="EQ62" i="38" s="1"/>
  <c r="EC76" i="38"/>
  <c r="EQ76" i="38" s="1"/>
  <c r="EC55" i="38"/>
  <c r="EQ55" i="38" s="1"/>
  <c r="EC69" i="38"/>
  <c r="EQ69" i="38" s="1"/>
  <c r="EC73" i="38"/>
  <c r="EQ73" i="38" s="1"/>
  <c r="EC59" i="38"/>
  <c r="EQ59" i="38" s="1"/>
  <c r="J44" i="38"/>
  <c r="CZ15" i="38"/>
  <c r="AT15" i="38"/>
  <c r="CZ26" i="38"/>
  <c r="AT26" i="38"/>
  <c r="J36" i="38"/>
  <c r="BW69" i="38"/>
  <c r="CK69" i="38" s="1"/>
  <c r="BW55" i="38"/>
  <c r="CK55" i="38" s="1"/>
  <c r="CU61" i="30"/>
  <c r="CU75" i="30"/>
  <c r="BV55" i="29"/>
  <c r="BV69" i="29"/>
  <c r="BV56" i="29"/>
  <c r="BV70" i="29"/>
  <c r="BV61" i="29"/>
  <c r="BV75" i="29"/>
  <c r="BV58" i="29"/>
  <c r="BV72" i="29"/>
  <c r="BV60" i="29"/>
  <c r="BV74" i="29"/>
  <c r="BV31" i="29"/>
  <c r="BV5" i="42"/>
  <c r="AW67" i="41"/>
  <c r="AW53" i="41"/>
  <c r="BV5" i="43"/>
  <c r="BV13" i="42"/>
  <c r="BV33" i="42" s="1"/>
  <c r="AW33" i="41"/>
  <c r="BV13" i="43"/>
  <c r="BV33" i="43" s="1"/>
  <c r="BV21" i="42"/>
  <c r="AW65" i="41"/>
  <c r="AW51" i="41"/>
  <c r="BV21" i="43"/>
  <c r="BV29" i="42"/>
  <c r="AW71" i="41"/>
  <c r="AW57" i="41"/>
  <c r="BV29" i="43"/>
  <c r="AW46" i="29"/>
  <c r="BV10" i="30"/>
  <c r="AW47" i="29"/>
  <c r="AW45" i="29" s="1"/>
  <c r="BV6" i="30"/>
  <c r="AW47" i="41"/>
  <c r="BV6" i="42"/>
  <c r="BV47" i="42" s="1"/>
  <c r="BV6" i="43"/>
  <c r="BV47" i="43" s="1"/>
  <c r="BV14" i="42"/>
  <c r="BV34" i="42" s="1"/>
  <c r="AW34" i="41"/>
  <c r="BV14" i="43"/>
  <c r="BV34" i="43" s="1"/>
  <c r="AW37" i="41"/>
  <c r="BV22" i="42"/>
  <c r="BV37" i="42" s="1"/>
  <c r="BV22" i="43"/>
  <c r="BV37" i="43" s="1"/>
  <c r="BV30" i="42"/>
  <c r="BV35" i="42" s="1"/>
  <c r="AW35" i="41"/>
  <c r="BV30" i="43"/>
  <c r="BV35" i="43" s="1"/>
  <c r="BV72" i="41"/>
  <c r="BV58" i="41"/>
  <c r="BV70" i="41"/>
  <c r="BV56" i="41"/>
  <c r="BV64" i="41"/>
  <c r="BV50" i="41"/>
  <c r="BV68" i="41"/>
  <c r="BV54" i="41"/>
  <c r="CU67" i="42"/>
  <c r="CU53" i="42"/>
  <c r="CU68" i="42"/>
  <c r="CU54" i="42"/>
  <c r="CU66" i="42"/>
  <c r="CU52" i="42"/>
  <c r="CU65" i="42"/>
  <c r="CU51" i="42"/>
  <c r="CU64" i="42"/>
  <c r="CU50" i="42"/>
  <c r="CU71" i="42"/>
  <c r="CU57" i="42"/>
  <c r="CN70" i="30"/>
  <c r="CN56" i="30"/>
  <c r="CN76" i="30"/>
  <c r="CN62" i="30"/>
  <c r="CN58" i="30"/>
  <c r="CN72" i="30"/>
  <c r="AP49" i="29"/>
  <c r="BO23" i="30"/>
  <c r="BO72" i="29"/>
  <c r="BO58" i="29"/>
  <c r="BO60" i="29"/>
  <c r="BO74" i="29"/>
  <c r="AP50" i="29"/>
  <c r="AP64" i="29"/>
  <c r="BO25" i="30"/>
  <c r="AP42" i="29"/>
  <c r="BO19" i="30"/>
  <c r="BO62" i="29"/>
  <c r="BO76" i="29"/>
  <c r="BO53" i="41"/>
  <c r="BO67" i="41"/>
  <c r="BO59" i="41"/>
  <c r="BO73" i="41"/>
  <c r="BO58" i="41"/>
  <c r="BO72" i="41"/>
  <c r="BO70" i="41"/>
  <c r="BO56" i="41"/>
  <c r="BO64" i="41"/>
  <c r="BO50" i="41"/>
  <c r="BO68" i="29"/>
  <c r="BO54" i="29"/>
  <c r="BO59" i="29"/>
  <c r="BO73" i="29"/>
  <c r="BO53" i="29"/>
  <c r="BO67" i="29"/>
  <c r="BO31" i="29"/>
  <c r="BO71" i="41"/>
  <c r="BO57" i="41"/>
  <c r="BO5" i="42"/>
  <c r="AP53" i="41"/>
  <c r="AP67" i="41"/>
  <c r="BO5" i="43"/>
  <c r="BO9" i="42"/>
  <c r="AP68" i="41"/>
  <c r="AP54" i="41"/>
  <c r="BO9" i="43"/>
  <c r="BO13" i="42"/>
  <c r="BO33" i="42" s="1"/>
  <c r="AP33" i="41"/>
  <c r="BO13" i="43"/>
  <c r="BO33" i="43" s="1"/>
  <c r="BO17" i="42"/>
  <c r="AP66" i="41"/>
  <c r="AP52" i="41"/>
  <c r="BO17" i="43"/>
  <c r="BO21" i="42"/>
  <c r="AP65" i="41"/>
  <c r="AP51" i="41"/>
  <c r="BO21" i="43"/>
  <c r="BO25" i="42"/>
  <c r="AP50" i="41"/>
  <c r="AP64" i="41"/>
  <c r="BO25" i="43"/>
  <c r="BO29" i="42"/>
  <c r="AP57" i="41"/>
  <c r="AP71" i="41"/>
  <c r="BO29" i="43"/>
  <c r="CN73" i="42"/>
  <c r="CN59" i="42"/>
  <c r="CN76" i="42"/>
  <c r="CN62" i="42"/>
  <c r="CG61" i="30"/>
  <c r="CG75" i="30"/>
  <c r="BH59" i="29"/>
  <c r="BH73" i="29"/>
  <c r="BH69" i="29"/>
  <c r="BH55" i="29"/>
  <c r="BH56" i="29"/>
  <c r="BH70" i="29"/>
  <c r="BH75" i="29"/>
  <c r="BH61" i="29"/>
  <c r="BH58" i="29"/>
  <c r="BH72" i="29"/>
  <c r="BH60" i="29"/>
  <c r="BH74" i="29"/>
  <c r="BH67" i="41"/>
  <c r="BH53" i="41"/>
  <c r="AI40" i="29"/>
  <c r="BH4" i="30"/>
  <c r="BH74" i="41"/>
  <c r="BH60" i="41"/>
  <c r="BH75" i="41"/>
  <c r="BH61" i="41"/>
  <c r="BH76" i="41"/>
  <c r="BH62" i="41"/>
  <c r="BH4" i="42"/>
  <c r="BH40" i="42" s="1"/>
  <c r="AI40" i="41"/>
  <c r="BH4" i="43"/>
  <c r="BH40" i="43" s="1"/>
  <c r="BH8" i="42"/>
  <c r="BH41" i="42" s="1"/>
  <c r="AI41" i="41"/>
  <c r="BH8" i="43"/>
  <c r="BH41" i="43" s="1"/>
  <c r="BH12" i="42"/>
  <c r="AI74" i="41"/>
  <c r="AI60" i="41"/>
  <c r="BH12" i="43"/>
  <c r="BH16" i="42"/>
  <c r="AI72" i="41"/>
  <c r="AI58" i="41"/>
  <c r="BH16" i="43"/>
  <c r="BH20" i="42"/>
  <c r="AI56" i="41"/>
  <c r="AI70" i="41"/>
  <c r="BH20" i="43"/>
  <c r="BH24" i="42"/>
  <c r="AI55" i="41"/>
  <c r="AI69" i="41"/>
  <c r="BH24" i="43"/>
  <c r="BH28" i="42"/>
  <c r="BH43" i="42" s="1"/>
  <c r="AI43" i="41"/>
  <c r="BH28" i="43"/>
  <c r="BH43" i="43" s="1"/>
  <c r="CG53" i="42"/>
  <c r="CG67" i="42"/>
  <c r="CG54" i="42"/>
  <c r="CG68" i="42"/>
  <c r="CG52" i="42"/>
  <c r="CG66" i="42"/>
  <c r="AE49" i="37"/>
  <c r="AC48" i="37"/>
  <c r="C45" i="20"/>
  <c r="E46" i="20"/>
  <c r="E45" i="20" s="1"/>
  <c r="AL31" i="43"/>
  <c r="M35" i="29"/>
  <c r="M30" i="30"/>
  <c r="M37" i="29"/>
  <c r="M22" i="30"/>
  <c r="M34" i="29"/>
  <c r="M14" i="30"/>
  <c r="M49" i="29"/>
  <c r="M23" i="30"/>
  <c r="M44" i="29"/>
  <c r="M15" i="30"/>
  <c r="M46" i="29"/>
  <c r="M10" i="30"/>
  <c r="M47" i="29"/>
  <c r="M6" i="30"/>
  <c r="M5" i="42"/>
  <c r="M67" i="41"/>
  <c r="M53" i="41"/>
  <c r="M5" i="43"/>
  <c r="M9" i="42"/>
  <c r="M68" i="41"/>
  <c r="M54" i="41"/>
  <c r="M9" i="43"/>
  <c r="M13" i="42"/>
  <c r="M33" i="42" s="1"/>
  <c r="M33" i="41"/>
  <c r="M13" i="43"/>
  <c r="M33" i="43" s="1"/>
  <c r="M17" i="42"/>
  <c r="M52" i="41"/>
  <c r="M66" i="41"/>
  <c r="M17" i="43"/>
  <c r="M21" i="42"/>
  <c r="M65" i="41"/>
  <c r="M51" i="41"/>
  <c r="M21" i="43"/>
  <c r="M25" i="42"/>
  <c r="M64" i="41"/>
  <c r="M50" i="41"/>
  <c r="M25" i="43"/>
  <c r="M29" i="42"/>
  <c r="M71" i="41"/>
  <c r="M57" i="41"/>
  <c r="M29" i="43"/>
  <c r="W50" i="32"/>
  <c r="AB50" i="32" s="1"/>
  <c r="W64" i="32"/>
  <c r="AF46" i="32"/>
  <c r="AF45" i="32"/>
  <c r="S66" i="32"/>
  <c r="S52" i="32"/>
  <c r="Z62" i="32"/>
  <c r="AE62" i="32" s="1"/>
  <c r="Z76" i="32"/>
  <c r="AE76" i="32" s="1"/>
  <c r="S69" i="32"/>
  <c r="S55" i="32"/>
  <c r="K54" i="32"/>
  <c r="O54" i="32" s="1"/>
  <c r="K68" i="32"/>
  <c r="O68" i="32" s="1"/>
  <c r="R73" i="32"/>
  <c r="R59" i="32"/>
  <c r="S64" i="32"/>
  <c r="S50" i="32"/>
  <c r="R61" i="32"/>
  <c r="R75" i="32"/>
  <c r="X60" i="32"/>
  <c r="AC60" i="32" s="1"/>
  <c r="X74" i="32"/>
  <c r="AC74" i="32" s="1"/>
  <c r="E69" i="32"/>
  <c r="E55" i="32"/>
  <c r="U54" i="32"/>
  <c r="U68" i="32"/>
  <c r="AC46" i="32"/>
  <c r="AC45" i="32"/>
  <c r="AB46" i="32"/>
  <c r="AB45" i="32"/>
  <c r="T31" i="32"/>
  <c r="R74" i="32"/>
  <c r="R60" i="32"/>
  <c r="Z70" i="32"/>
  <c r="AE70" i="32" s="1"/>
  <c r="Z56" i="32"/>
  <c r="AE56" i="32" s="1"/>
  <c r="AE49" i="32"/>
  <c r="Z73" i="32"/>
  <c r="AE73" i="32" s="1"/>
  <c r="Z59" i="32"/>
  <c r="AE59" i="32" s="1"/>
  <c r="X56" i="32"/>
  <c r="AC56" i="32" s="1"/>
  <c r="X70" i="32"/>
  <c r="AC70" i="32" s="1"/>
  <c r="K55" i="32"/>
  <c r="O55" i="32" s="1"/>
  <c r="K69" i="32"/>
  <c r="O69" i="32" s="1"/>
  <c r="V68" i="32"/>
  <c r="V54" i="32"/>
  <c r="K76" i="32"/>
  <c r="O76" i="32" s="1"/>
  <c r="K62" i="32"/>
  <c r="O62" i="32" s="1"/>
  <c r="AB49" i="32"/>
  <c r="U74" i="32"/>
  <c r="U60" i="32"/>
  <c r="O32" i="32"/>
  <c r="O31" i="32"/>
  <c r="S54" i="32"/>
  <c r="S68" i="32"/>
  <c r="U31" i="32"/>
  <c r="R66" i="32"/>
  <c r="R52" i="32"/>
  <c r="AE46" i="32"/>
  <c r="AE45" i="32"/>
  <c r="Z65" i="32"/>
  <c r="AE65" i="32" s="1"/>
  <c r="Z51" i="32"/>
  <c r="AE51" i="32" s="1"/>
  <c r="AA54" i="32"/>
  <c r="AF54" i="32" s="1"/>
  <c r="AA68" i="32"/>
  <c r="AF68" i="32" s="1"/>
  <c r="U69" i="32"/>
  <c r="U55" i="32"/>
  <c r="T68" i="32"/>
  <c r="T54" i="32"/>
  <c r="U76" i="32"/>
  <c r="U62" i="32"/>
  <c r="S65" i="32"/>
  <c r="S51" i="32"/>
  <c r="R64" i="32"/>
  <c r="R50" i="32"/>
  <c r="V61" i="32"/>
  <c r="V75" i="32"/>
  <c r="AC49" i="32"/>
  <c r="T75" i="32"/>
  <c r="T61" i="32"/>
  <c r="K60" i="32"/>
  <c r="O60" i="32" s="1"/>
  <c r="K74" i="32"/>
  <c r="O74" i="32" s="1"/>
  <c r="Y57" i="32"/>
  <c r="AD57" i="32" s="1"/>
  <c r="Y71" i="32"/>
  <c r="AD71" i="32" s="1"/>
  <c r="Z69" i="32"/>
  <c r="AE69" i="32" s="1"/>
  <c r="Z55" i="32"/>
  <c r="AE55" i="32" s="1"/>
  <c r="AB32" i="32"/>
  <c r="AB31" i="32"/>
  <c r="AK67" i="32"/>
  <c r="AM67" i="32" s="1"/>
  <c r="AK53" i="32"/>
  <c r="AM53" i="32" s="1"/>
  <c r="BD67" i="32"/>
  <c r="BE67" i="32" s="1"/>
  <c r="BD53" i="32"/>
  <c r="BE53" i="32" s="1"/>
  <c r="AM49" i="32"/>
  <c r="BC56" i="32"/>
  <c r="BC70" i="32"/>
  <c r="BD73" i="32"/>
  <c r="BE73" i="32" s="1"/>
  <c r="BD59" i="32"/>
  <c r="BE59" i="32" s="1"/>
  <c r="BD75" i="32"/>
  <c r="BE75" i="32" s="1"/>
  <c r="BD61" i="32"/>
  <c r="BE61" i="32" s="1"/>
  <c r="BC67" i="32"/>
  <c r="BC53" i="32"/>
  <c r="BC65" i="32"/>
  <c r="BC51" i="32"/>
  <c r="AK73" i="32"/>
  <c r="AM73" i="32" s="1"/>
  <c r="AK59" i="32"/>
  <c r="AM59" i="32" s="1"/>
  <c r="BC75" i="32"/>
  <c r="BC61" i="32"/>
  <c r="AH62" i="32"/>
  <c r="AH76" i="32"/>
  <c r="AN35" i="32"/>
  <c r="AM35" i="32"/>
  <c r="CU8" i="18"/>
  <c r="AO8" i="18"/>
  <c r="CU24" i="18"/>
  <c r="AO24" i="18"/>
  <c r="CU17" i="18"/>
  <c r="AO17" i="18"/>
  <c r="CU15" i="18"/>
  <c r="AO15" i="18"/>
  <c r="CU13" i="18"/>
  <c r="AO13" i="18"/>
  <c r="CU10" i="18"/>
  <c r="AO10" i="18"/>
  <c r="CU26" i="18"/>
  <c r="AO26" i="18"/>
  <c r="Q56" i="38"/>
  <c r="AB56" i="38" s="1"/>
  <c r="Q70" i="38"/>
  <c r="AB70" i="38" s="1"/>
  <c r="CU4" i="38"/>
  <c r="F40" i="38"/>
  <c r="AO4" i="38"/>
  <c r="CU11" i="38"/>
  <c r="F39" i="38"/>
  <c r="AO11" i="38"/>
  <c r="CU21" i="38"/>
  <c r="F65" i="38"/>
  <c r="F51" i="38"/>
  <c r="AO21" i="38"/>
  <c r="CF49" i="38"/>
  <c r="F33" i="38"/>
  <c r="AO13" i="38"/>
  <c r="CU13" i="38"/>
  <c r="CU16" i="38"/>
  <c r="AO16" i="38"/>
  <c r="F72" i="38"/>
  <c r="F58" i="38"/>
  <c r="Q61" i="38"/>
  <c r="AB61" i="38" s="1"/>
  <c r="Q75" i="38"/>
  <c r="AB75" i="38" s="1"/>
  <c r="AO3" i="38"/>
  <c r="CU3" i="38"/>
  <c r="F32" i="38"/>
  <c r="CU25" i="38"/>
  <c r="AO25" i="38"/>
  <c r="F50" i="38"/>
  <c r="F64" i="38"/>
  <c r="DX75" i="38"/>
  <c r="EL75" i="38" s="1"/>
  <c r="DX61" i="38"/>
  <c r="EL61" i="38" s="1"/>
  <c r="CU28" i="38"/>
  <c r="F43" i="38"/>
  <c r="AO28" i="38"/>
  <c r="CU8" i="38"/>
  <c r="F41" i="38"/>
  <c r="AO8" i="38"/>
  <c r="BR60" i="38"/>
  <c r="CF60" i="38" s="1"/>
  <c r="BR74" i="38"/>
  <c r="CF74" i="38" s="1"/>
  <c r="CU19" i="38"/>
  <c r="F42" i="38"/>
  <c r="AO19" i="38"/>
  <c r="CU24" i="38"/>
  <c r="F69" i="38"/>
  <c r="F55" i="38"/>
  <c r="AO24" i="38"/>
  <c r="DX71" i="38"/>
  <c r="EL71" i="38" s="1"/>
  <c r="DX57" i="38"/>
  <c r="EL57" i="38" s="1"/>
  <c r="CQ69" i="30"/>
  <c r="CQ55" i="30"/>
  <c r="CQ56" i="30"/>
  <c r="CQ70" i="30"/>
  <c r="CQ58" i="30"/>
  <c r="CQ72" i="30"/>
  <c r="CQ60" i="30"/>
  <c r="CQ74" i="30"/>
  <c r="AS53" i="29"/>
  <c r="AS67" i="29"/>
  <c r="BR5" i="30"/>
  <c r="AS32" i="29"/>
  <c r="BR3" i="30"/>
  <c r="BR71" i="29"/>
  <c r="BR57" i="29"/>
  <c r="BR62" i="29"/>
  <c r="BR76" i="29"/>
  <c r="BR50" i="29"/>
  <c r="BR48" i="29" s="1"/>
  <c r="BR64" i="29"/>
  <c r="BR65" i="29"/>
  <c r="BR51" i="29"/>
  <c r="BR52" i="29"/>
  <c r="BR66" i="29"/>
  <c r="AS60" i="29"/>
  <c r="AS74" i="29"/>
  <c r="BR12" i="30"/>
  <c r="AS41" i="29"/>
  <c r="BR8" i="30"/>
  <c r="AS40" i="29"/>
  <c r="BR4" i="30"/>
  <c r="BR72" i="41"/>
  <c r="BR58" i="41"/>
  <c r="BR70" i="41"/>
  <c r="BR56" i="41"/>
  <c r="BR64" i="41"/>
  <c r="BR50" i="41"/>
  <c r="BR54" i="41"/>
  <c r="BR68" i="41"/>
  <c r="AS38" i="41"/>
  <c r="BR2" i="42"/>
  <c r="BR38" i="42" s="1"/>
  <c r="BR2" i="43"/>
  <c r="BR38" i="43" s="1"/>
  <c r="AS47" i="41"/>
  <c r="BR6" i="42"/>
  <c r="BR47" i="42" s="1"/>
  <c r="BR6" i="43"/>
  <c r="BR47" i="43" s="1"/>
  <c r="BR10" i="42"/>
  <c r="BR46" i="42" s="1"/>
  <c r="BR45" i="42" s="1"/>
  <c r="AS46" i="41"/>
  <c r="AS45" i="41" s="1"/>
  <c r="BR10" i="43"/>
  <c r="BR46" i="43" s="1"/>
  <c r="BR14" i="42"/>
  <c r="BR34" i="42" s="1"/>
  <c r="AS34" i="41"/>
  <c r="BR14" i="43"/>
  <c r="BR34" i="43" s="1"/>
  <c r="BR18" i="42"/>
  <c r="AS75" i="41"/>
  <c r="AS61" i="41"/>
  <c r="BR18" i="43"/>
  <c r="AS37" i="41"/>
  <c r="BR22" i="42"/>
  <c r="BR37" i="42" s="1"/>
  <c r="BR22" i="43"/>
  <c r="BR37" i="43" s="1"/>
  <c r="BR26" i="42"/>
  <c r="BR36" i="42" s="1"/>
  <c r="AS36" i="41"/>
  <c r="BR26" i="43"/>
  <c r="BR36" i="43" s="1"/>
  <c r="BR30" i="42"/>
  <c r="BR35" i="42" s="1"/>
  <c r="AS35" i="41"/>
  <c r="BR30" i="43"/>
  <c r="BR35" i="43" s="1"/>
  <c r="CQ73" i="42"/>
  <c r="CQ59" i="42"/>
  <c r="CQ76" i="42"/>
  <c r="CQ62" i="42"/>
  <c r="CB57" i="30"/>
  <c r="CB71" i="30"/>
  <c r="CB61" i="30"/>
  <c r="CB75" i="30"/>
  <c r="CB54" i="30"/>
  <c r="CB68" i="30"/>
  <c r="CB55" i="30"/>
  <c r="CB69" i="30"/>
  <c r="BC62" i="29"/>
  <c r="BC76" i="29"/>
  <c r="BC61" i="29"/>
  <c r="BC75" i="29"/>
  <c r="BC55" i="41"/>
  <c r="BC69" i="41"/>
  <c r="BC60" i="29"/>
  <c r="BC74" i="29"/>
  <c r="BC45" i="41"/>
  <c r="BC3" i="42"/>
  <c r="BC32" i="42" s="1"/>
  <c r="AD32" i="41"/>
  <c r="BC3" i="43"/>
  <c r="BC32" i="43" s="1"/>
  <c r="BC7" i="42"/>
  <c r="AD73" i="41"/>
  <c r="AD59" i="41"/>
  <c r="BC7" i="43"/>
  <c r="BC11" i="42"/>
  <c r="BC39" i="42" s="1"/>
  <c r="AD39" i="41"/>
  <c r="BC11" i="43"/>
  <c r="BC39" i="43" s="1"/>
  <c r="BC15" i="42"/>
  <c r="BC44" i="42" s="1"/>
  <c r="AD44" i="41"/>
  <c r="BC15" i="43"/>
  <c r="BC44" i="43" s="1"/>
  <c r="BC19" i="42"/>
  <c r="BC42" i="42" s="1"/>
  <c r="AD42" i="41"/>
  <c r="BC19" i="43"/>
  <c r="BC42" i="43" s="1"/>
  <c r="BC23" i="42"/>
  <c r="BC49" i="42" s="1"/>
  <c r="AD49" i="41"/>
  <c r="BC23" i="43"/>
  <c r="BC49" i="43" s="1"/>
  <c r="BC27" i="42"/>
  <c r="AD76" i="41"/>
  <c r="AD62" i="41"/>
  <c r="BC27" i="43"/>
  <c r="CB67" i="42"/>
  <c r="CB53" i="42"/>
  <c r="CB68" i="42"/>
  <c r="CB54" i="42"/>
  <c r="CB66" i="42"/>
  <c r="CB52" i="42"/>
  <c r="CB51" i="42"/>
  <c r="CB65" i="42"/>
  <c r="CB64" i="42"/>
  <c r="CB50" i="42"/>
  <c r="CB71" i="42"/>
  <c r="CB57" i="42"/>
  <c r="D70" i="16"/>
  <c r="D56" i="16"/>
  <c r="CV45" i="31"/>
  <c r="DS58" i="18"/>
  <c r="EG58" i="18" s="1"/>
  <c r="DS72" i="18"/>
  <c r="EG72" i="18" s="1"/>
  <c r="AH75" i="16"/>
  <c r="W57" i="29"/>
  <c r="W71" i="29"/>
  <c r="W29" i="30"/>
  <c r="W51" i="29"/>
  <c r="W65" i="29"/>
  <c r="W21" i="30"/>
  <c r="W47" i="29"/>
  <c r="W6" i="30"/>
  <c r="W5" i="42"/>
  <c r="W53" i="41"/>
  <c r="W67" i="41"/>
  <c r="W5" i="43"/>
  <c r="W13" i="42"/>
  <c r="W33" i="42" s="1"/>
  <c r="W33" i="41"/>
  <c r="W13" i="43"/>
  <c r="W33" i="43" s="1"/>
  <c r="W21" i="42"/>
  <c r="W51" i="41"/>
  <c r="W65" i="41"/>
  <c r="W21" i="43"/>
  <c r="W29" i="42"/>
  <c r="W71" i="41"/>
  <c r="W57" i="41"/>
  <c r="W29" i="43"/>
  <c r="T71" i="29"/>
  <c r="T57" i="29"/>
  <c r="T29" i="30"/>
  <c r="T65" i="29"/>
  <c r="T51" i="29"/>
  <c r="T21" i="30"/>
  <c r="T33" i="29"/>
  <c r="T13" i="30"/>
  <c r="T4" i="42"/>
  <c r="T40" i="42" s="1"/>
  <c r="T40" i="41"/>
  <c r="T4" i="43"/>
  <c r="T40" i="43" s="1"/>
  <c r="T12" i="42"/>
  <c r="T60" i="41"/>
  <c r="T74" i="41"/>
  <c r="T12" i="43"/>
  <c r="T20" i="42"/>
  <c r="T70" i="41"/>
  <c r="T56" i="41"/>
  <c r="T20" i="43"/>
  <c r="T28" i="42"/>
  <c r="T43" i="42" s="1"/>
  <c r="T43" i="41"/>
  <c r="T28" i="43"/>
  <c r="T43" i="43" s="1"/>
  <c r="AO31" i="30"/>
  <c r="P55" i="29"/>
  <c r="P69" i="29"/>
  <c r="P24" i="30"/>
  <c r="P39" i="29"/>
  <c r="P11" i="30"/>
  <c r="P9" i="42"/>
  <c r="P54" i="41"/>
  <c r="P68" i="41"/>
  <c r="P9" i="43"/>
  <c r="P25" i="42"/>
  <c r="P50" i="41"/>
  <c r="P64" i="41"/>
  <c r="P25" i="43"/>
  <c r="P41" i="41"/>
  <c r="P8" i="42"/>
  <c r="P41" i="42" s="1"/>
  <c r="P8" i="43"/>
  <c r="P41" i="43" s="1"/>
  <c r="L37" i="29"/>
  <c r="L22" i="30"/>
  <c r="AB17" i="30"/>
  <c r="CV31" i="31"/>
  <c r="CS45" i="31"/>
  <c r="CC31" i="31"/>
  <c r="AX45" i="31"/>
  <c r="DS66" i="18"/>
  <c r="EG66" i="18" s="1"/>
  <c r="DS52" i="18"/>
  <c r="EG52" i="18" s="1"/>
  <c r="DS67" i="18"/>
  <c r="EG67" i="18" s="1"/>
  <c r="DS53" i="18"/>
  <c r="EG53" i="18" s="1"/>
  <c r="DS70" i="18"/>
  <c r="EG70" i="18" s="1"/>
  <c r="DS56" i="18"/>
  <c r="EG56" i="18" s="1"/>
  <c r="CJ31" i="31"/>
  <c r="AP45" i="31"/>
  <c r="CM31" i="31"/>
  <c r="BZ47" i="31"/>
  <c r="BZ35" i="31"/>
  <c r="BX2" i="30"/>
  <c r="CP31" i="30"/>
  <c r="CE31" i="31"/>
  <c r="AC63" i="16"/>
  <c r="H40" i="16"/>
  <c r="K40" i="16" s="1"/>
  <c r="K37" i="16"/>
  <c r="H37" i="16"/>
  <c r="M37" i="16" s="1"/>
  <c r="AH61" i="16"/>
  <c r="D75" i="37"/>
  <c r="D61" i="37"/>
  <c r="AH76" i="37"/>
  <c r="H72" i="37"/>
  <c r="K72" i="37" s="1"/>
  <c r="H58" i="37"/>
  <c r="K58" i="37" s="1"/>
  <c r="AH55" i="37"/>
  <c r="AH48" i="37"/>
  <c r="E32" i="45"/>
  <c r="E31" i="45" s="1"/>
  <c r="C31" i="45"/>
  <c r="W68" i="29"/>
  <c r="W54" i="29"/>
  <c r="W9" i="30"/>
  <c r="W43" i="29"/>
  <c r="W28" i="30"/>
  <c r="W55" i="29"/>
  <c r="W69" i="29"/>
  <c r="W24" i="30"/>
  <c r="W70" i="29"/>
  <c r="W56" i="29"/>
  <c r="W20" i="30"/>
  <c r="W72" i="29"/>
  <c r="W58" i="29"/>
  <c r="W16" i="30"/>
  <c r="W60" i="29"/>
  <c r="W74" i="29"/>
  <c r="W12" i="30"/>
  <c r="W53" i="29"/>
  <c r="W67" i="29"/>
  <c r="W5" i="30"/>
  <c r="W2" i="42"/>
  <c r="W38" i="42" s="1"/>
  <c r="W38" i="41"/>
  <c r="W2" i="43"/>
  <c r="W38" i="43" s="1"/>
  <c r="W6" i="42"/>
  <c r="W47" i="42" s="1"/>
  <c r="W47" i="41"/>
  <c r="W6" i="43"/>
  <c r="W47" i="43" s="1"/>
  <c r="W10" i="42"/>
  <c r="W46" i="42" s="1"/>
  <c r="W45" i="42" s="1"/>
  <c r="W46" i="41"/>
  <c r="W10" i="43"/>
  <c r="W46" i="43" s="1"/>
  <c r="W45" i="43" s="1"/>
  <c r="W14" i="42"/>
  <c r="W34" i="42" s="1"/>
  <c r="W34" i="41"/>
  <c r="W14" i="43"/>
  <c r="W34" i="43" s="1"/>
  <c r="W18" i="42"/>
  <c r="W75" i="41"/>
  <c r="W61" i="41"/>
  <c r="W18" i="43"/>
  <c r="W22" i="42"/>
  <c r="W37" i="42" s="1"/>
  <c r="W37" i="41"/>
  <c r="W22" i="43"/>
  <c r="W37" i="43" s="1"/>
  <c r="W26" i="42"/>
  <c r="W36" i="42" s="1"/>
  <c r="W36" i="41"/>
  <c r="W26" i="43"/>
  <c r="W36" i="43" s="1"/>
  <c r="W35" i="41"/>
  <c r="W30" i="42"/>
  <c r="W35" i="42" s="1"/>
  <c r="W30" i="43"/>
  <c r="W35" i="43" s="1"/>
  <c r="AS31" i="43"/>
  <c r="T60" i="29"/>
  <c r="T74" i="29"/>
  <c r="T12" i="30"/>
  <c r="T41" i="29"/>
  <c r="T8" i="30"/>
  <c r="T43" i="29"/>
  <c r="T28" i="30"/>
  <c r="T69" i="29"/>
  <c r="T55" i="29"/>
  <c r="T24" i="30"/>
  <c r="T56" i="29"/>
  <c r="T70" i="29"/>
  <c r="T20" i="30"/>
  <c r="T58" i="29"/>
  <c r="T72" i="29"/>
  <c r="T16" i="30"/>
  <c r="T39" i="29"/>
  <c r="T11" i="30"/>
  <c r="T32" i="29"/>
  <c r="T3" i="30"/>
  <c r="T5" i="42"/>
  <c r="T67" i="41"/>
  <c r="T53" i="41"/>
  <c r="T5" i="43"/>
  <c r="T9" i="42"/>
  <c r="T54" i="41"/>
  <c r="T68" i="41"/>
  <c r="T9" i="43"/>
  <c r="T33" i="41"/>
  <c r="T13" i="42"/>
  <c r="T33" i="42" s="1"/>
  <c r="T13" i="43"/>
  <c r="T33" i="43" s="1"/>
  <c r="T17" i="42"/>
  <c r="T66" i="41"/>
  <c r="T52" i="41"/>
  <c r="T17" i="43"/>
  <c r="T21" i="42"/>
  <c r="T51" i="41"/>
  <c r="T65" i="41"/>
  <c r="T21" i="43"/>
  <c r="T25" i="42"/>
  <c r="T64" i="41"/>
  <c r="T50" i="41"/>
  <c r="T25" i="43"/>
  <c r="T29" i="42"/>
  <c r="T71" i="41"/>
  <c r="T57" i="41"/>
  <c r="T29" i="43"/>
  <c r="P62" i="29"/>
  <c r="P76" i="29"/>
  <c r="P27" i="30"/>
  <c r="P49" i="29"/>
  <c r="P23" i="30"/>
  <c r="P42" i="29"/>
  <c r="P19" i="30"/>
  <c r="P44" i="29"/>
  <c r="P15" i="30"/>
  <c r="P68" i="29"/>
  <c r="P54" i="29"/>
  <c r="P9" i="30"/>
  <c r="P32" i="41"/>
  <c r="P3" i="42"/>
  <c r="P32" i="42" s="1"/>
  <c r="P3" i="43"/>
  <c r="P32" i="43" s="1"/>
  <c r="P39" i="41"/>
  <c r="P11" i="42"/>
  <c r="P39" i="42" s="1"/>
  <c r="P11" i="43"/>
  <c r="P39" i="43" s="1"/>
  <c r="P19" i="42"/>
  <c r="P42" i="42" s="1"/>
  <c r="P42" i="41"/>
  <c r="P19" i="43"/>
  <c r="P42" i="43" s="1"/>
  <c r="P27" i="42"/>
  <c r="P76" i="41"/>
  <c r="P62" i="41"/>
  <c r="P27" i="43"/>
  <c r="P41" i="29"/>
  <c r="P8" i="30"/>
  <c r="P38" i="41"/>
  <c r="P2" i="42"/>
  <c r="P38" i="42" s="1"/>
  <c r="P2" i="43"/>
  <c r="P38" i="43" s="1"/>
  <c r="P10" i="42"/>
  <c r="P46" i="42" s="1"/>
  <c r="P46" i="41"/>
  <c r="P45" i="41" s="1"/>
  <c r="P10" i="43"/>
  <c r="P46" i="43" s="1"/>
  <c r="P45" i="43" s="1"/>
  <c r="P18" i="42"/>
  <c r="P75" i="41"/>
  <c r="P61" i="41"/>
  <c r="P18" i="43"/>
  <c r="P26" i="42"/>
  <c r="P36" i="42" s="1"/>
  <c r="P36" i="41"/>
  <c r="P26" i="43"/>
  <c r="P36" i="43" s="1"/>
  <c r="AO31" i="42"/>
  <c r="AK31" i="30"/>
  <c r="L53" i="29"/>
  <c r="L67" i="29"/>
  <c r="L5" i="30"/>
  <c r="L57" i="29"/>
  <c r="L71" i="29"/>
  <c r="L29" i="30"/>
  <c r="L64" i="29"/>
  <c r="L50" i="29"/>
  <c r="L25" i="30"/>
  <c r="L51" i="29"/>
  <c r="L65" i="29"/>
  <c r="L21" i="30"/>
  <c r="L66" i="29"/>
  <c r="L52" i="29"/>
  <c r="L17" i="30"/>
  <c r="L33" i="29"/>
  <c r="L13" i="30"/>
  <c r="L47" i="29"/>
  <c r="L6" i="30"/>
  <c r="L32" i="41"/>
  <c r="L3" i="42"/>
  <c r="L32" i="42" s="1"/>
  <c r="L3" i="43"/>
  <c r="L32" i="43" s="1"/>
  <c r="L7" i="42"/>
  <c r="L73" i="41"/>
  <c r="L59" i="41"/>
  <c r="L7" i="43"/>
  <c r="L39" i="41"/>
  <c r="L11" i="42"/>
  <c r="L39" i="42" s="1"/>
  <c r="L11" i="43"/>
  <c r="L39" i="43" s="1"/>
  <c r="L15" i="42"/>
  <c r="L44" i="42" s="1"/>
  <c r="L44" i="41"/>
  <c r="L15" i="43"/>
  <c r="L44" i="43" s="1"/>
  <c r="L19" i="42"/>
  <c r="L42" i="42" s="1"/>
  <c r="L42" i="41"/>
  <c r="L19" i="43"/>
  <c r="L42" i="43" s="1"/>
  <c r="L49" i="41"/>
  <c r="L23" i="42"/>
  <c r="L49" i="42" s="1"/>
  <c r="L23" i="43"/>
  <c r="L49" i="43" s="1"/>
  <c r="L27" i="42"/>
  <c r="L76" i="41"/>
  <c r="L62" i="41"/>
  <c r="L27" i="43"/>
  <c r="AK45" i="42"/>
  <c r="I64" i="29"/>
  <c r="I50" i="29"/>
  <c r="I25" i="30"/>
  <c r="I44" i="29"/>
  <c r="I15" i="30"/>
  <c r="I35" i="29"/>
  <c r="I30" i="30"/>
  <c r="I37" i="29"/>
  <c r="I22" i="30"/>
  <c r="I34" i="29"/>
  <c r="I14" i="30"/>
  <c r="I68" i="29"/>
  <c r="I54" i="29"/>
  <c r="I9" i="30"/>
  <c r="I53" i="29"/>
  <c r="I67" i="29"/>
  <c r="I5" i="30"/>
  <c r="I2" i="42"/>
  <c r="I38" i="42" s="1"/>
  <c r="I38" i="41"/>
  <c r="I2" i="43"/>
  <c r="I38" i="43" s="1"/>
  <c r="I6" i="42"/>
  <c r="I47" i="42" s="1"/>
  <c r="I47" i="41"/>
  <c r="I6" i="43"/>
  <c r="I47" i="43" s="1"/>
  <c r="I10" i="42"/>
  <c r="I46" i="42" s="1"/>
  <c r="I45" i="42" s="1"/>
  <c r="I46" i="41"/>
  <c r="I45" i="41" s="1"/>
  <c r="I10" i="43"/>
  <c r="I46" i="43" s="1"/>
  <c r="I14" i="42"/>
  <c r="I34" i="42" s="1"/>
  <c r="I34" i="41"/>
  <c r="I14" i="43"/>
  <c r="I34" i="43" s="1"/>
  <c r="I18" i="42"/>
  <c r="I75" i="41"/>
  <c r="I61" i="41"/>
  <c r="I18" i="43"/>
  <c r="I22" i="42"/>
  <c r="I37" i="42" s="1"/>
  <c r="I37" i="41"/>
  <c r="I22" i="43"/>
  <c r="I37" i="43" s="1"/>
  <c r="I26" i="42"/>
  <c r="I36" i="42" s="1"/>
  <c r="I36" i="41"/>
  <c r="I26" i="43"/>
  <c r="I36" i="43" s="1"/>
  <c r="I30" i="42"/>
  <c r="I35" i="42" s="1"/>
  <c r="I35" i="41"/>
  <c r="I30" i="43"/>
  <c r="I35" i="43" s="1"/>
  <c r="AD56" i="43"/>
  <c r="CB70" i="43"/>
  <c r="AD70" i="43"/>
  <c r="CB56" i="43"/>
  <c r="AD67" i="43"/>
  <c r="CB53" i="43"/>
  <c r="AD53" i="43"/>
  <c r="CB67" i="43"/>
  <c r="CB59" i="43"/>
  <c r="AD59" i="43"/>
  <c r="AD73" i="43"/>
  <c r="CB73" i="43"/>
  <c r="E57" i="29"/>
  <c r="E71" i="29"/>
  <c r="E29" i="30"/>
  <c r="E51" i="29"/>
  <c r="E65" i="29"/>
  <c r="E21" i="30"/>
  <c r="E33" i="29"/>
  <c r="E13" i="30"/>
  <c r="E69" i="29"/>
  <c r="E55" i="29"/>
  <c r="E24" i="30"/>
  <c r="E72" i="29"/>
  <c r="E58" i="29"/>
  <c r="E16" i="30"/>
  <c r="E46" i="29"/>
  <c r="E10" i="30"/>
  <c r="E47" i="29"/>
  <c r="E6" i="30"/>
  <c r="E5" i="42"/>
  <c r="E67" i="41"/>
  <c r="E53" i="41"/>
  <c r="E5" i="43"/>
  <c r="E9" i="42"/>
  <c r="E68" i="41"/>
  <c r="E54" i="41"/>
  <c r="E9" i="43"/>
  <c r="E13" i="42"/>
  <c r="E33" i="42" s="1"/>
  <c r="E33" i="41"/>
  <c r="E13" i="43"/>
  <c r="E33" i="43" s="1"/>
  <c r="E17" i="42"/>
  <c r="E52" i="41"/>
  <c r="E66" i="41"/>
  <c r="E17" i="43"/>
  <c r="E21" i="42"/>
  <c r="E65" i="41"/>
  <c r="E51" i="41"/>
  <c r="E21" i="43"/>
  <c r="E25" i="42"/>
  <c r="E64" i="41"/>
  <c r="E50" i="41"/>
  <c r="E25" i="43"/>
  <c r="E29" i="42"/>
  <c r="E71" i="41"/>
  <c r="E57" i="41"/>
  <c r="E29" i="43"/>
  <c r="AZ45" i="32"/>
  <c r="AZ46" i="32"/>
  <c r="AV65" i="32"/>
  <c r="AZ65" i="32" s="1"/>
  <c r="AV51" i="32"/>
  <c r="AZ51" i="32" s="1"/>
  <c r="AV69" i="32"/>
  <c r="AZ69" i="32" s="1"/>
  <c r="AV55" i="32"/>
  <c r="AZ55" i="32" s="1"/>
  <c r="AV52" i="32"/>
  <c r="AZ52" i="32" s="1"/>
  <c r="AV66" i="32"/>
  <c r="AZ66" i="32" s="1"/>
  <c r="AQ67" i="32"/>
  <c r="AQ53" i="32"/>
  <c r="AQ54" i="32"/>
  <c r="AQ68" i="32"/>
  <c r="AQ52" i="32"/>
  <c r="AQ66" i="32"/>
  <c r="AQ51" i="32"/>
  <c r="AQ65" i="32"/>
  <c r="AQ50" i="32"/>
  <c r="AQ48" i="32" s="1"/>
  <c r="AQ64" i="32"/>
  <c r="AQ57" i="32"/>
  <c r="AQ71" i="32"/>
  <c r="BO61" i="38"/>
  <c r="CC61" i="38" s="1"/>
  <c r="BO75" i="38"/>
  <c r="CC75" i="38" s="1"/>
  <c r="CC32" i="38"/>
  <c r="CC31" i="38"/>
  <c r="CC46" i="38"/>
  <c r="CC45" i="38"/>
  <c r="BO51" i="38"/>
  <c r="CC51" i="38" s="1"/>
  <c r="BO65" i="38"/>
  <c r="CC65" i="38" s="1"/>
  <c r="AZ24" i="38"/>
  <c r="AL69" i="38"/>
  <c r="AL55" i="38"/>
  <c r="BO66" i="38"/>
  <c r="CC66" i="38" s="1"/>
  <c r="BO52" i="38"/>
  <c r="CC52" i="38" s="1"/>
  <c r="AZ20" i="38"/>
  <c r="AL56" i="38"/>
  <c r="AL70" i="38"/>
  <c r="AL62" i="38"/>
  <c r="AL76" i="38"/>
  <c r="AZ27" i="38"/>
  <c r="AZ25" i="38"/>
  <c r="AL50" i="38"/>
  <c r="AL64" i="38"/>
  <c r="AZ28" i="38"/>
  <c r="AL43" i="38"/>
  <c r="AL39" i="38"/>
  <c r="AZ11" i="38"/>
  <c r="EW75" i="38"/>
  <c r="EW61" i="38"/>
  <c r="FB49" i="38"/>
  <c r="EW53" i="38"/>
  <c r="EW67" i="38"/>
  <c r="EZ72" i="38"/>
  <c r="FB72" i="38" s="1"/>
  <c r="EZ58" i="38"/>
  <c r="FB58" i="38" s="1"/>
  <c r="EX13" i="38"/>
  <c r="EX33" i="38" s="1"/>
  <c r="EW33" i="38"/>
  <c r="EW31" i="38" s="1"/>
  <c r="DA10" i="18"/>
  <c r="AU10" i="18"/>
  <c r="DA26" i="18"/>
  <c r="AU26" i="18"/>
  <c r="DA27" i="18"/>
  <c r="AU27" i="18"/>
  <c r="DA5" i="18"/>
  <c r="AU5" i="18"/>
  <c r="DA29" i="18"/>
  <c r="AU29" i="18"/>
  <c r="DA15" i="18"/>
  <c r="AU15" i="18"/>
  <c r="DA16" i="18"/>
  <c r="AU16" i="18"/>
  <c r="W66" i="38"/>
  <c r="AH66" i="38" s="1"/>
  <c r="W52" i="38"/>
  <c r="AH52" i="38" s="1"/>
  <c r="W59" i="38"/>
  <c r="AH59" i="38" s="1"/>
  <c r="W73" i="38"/>
  <c r="AH73" i="38" s="1"/>
  <c r="DA3" i="38"/>
  <c r="L32" i="38"/>
  <c r="L31" i="38" s="1"/>
  <c r="AU3" i="38"/>
  <c r="ED76" i="38"/>
  <c r="ER76" i="38" s="1"/>
  <c r="ED62" i="38"/>
  <c r="ER62" i="38" s="1"/>
  <c r="W61" i="38"/>
  <c r="AH61" i="38" s="1"/>
  <c r="W75" i="38"/>
  <c r="AH75" i="38" s="1"/>
  <c r="DA5" i="38"/>
  <c r="AU5" i="38"/>
  <c r="L67" i="38"/>
  <c r="L53" i="38"/>
  <c r="BX69" i="38"/>
  <c r="CL69" i="38" s="1"/>
  <c r="BX55" i="38"/>
  <c r="CL55" i="38" s="1"/>
  <c r="W56" i="38"/>
  <c r="AH56" i="38" s="1"/>
  <c r="W70" i="38"/>
  <c r="AH70" i="38" s="1"/>
  <c r="AU9" i="38"/>
  <c r="DA9" i="38"/>
  <c r="L68" i="38"/>
  <c r="L54" i="38"/>
  <c r="AU18" i="38"/>
  <c r="DA18" i="38"/>
  <c r="L75" i="38"/>
  <c r="L61" i="38"/>
  <c r="DA23" i="38"/>
  <c r="L49" i="38"/>
  <c r="AU23" i="38"/>
  <c r="AH45" i="38"/>
  <c r="AH46" i="38"/>
  <c r="DA12" i="38"/>
  <c r="AU12" i="38"/>
  <c r="L74" i="38"/>
  <c r="L60" i="38"/>
  <c r="ED61" i="38"/>
  <c r="ER61" i="38" s="1"/>
  <c r="ED75" i="38"/>
  <c r="ER75" i="38" s="1"/>
  <c r="DA20" i="38"/>
  <c r="AU20" i="38"/>
  <c r="L70" i="38"/>
  <c r="L56" i="38"/>
  <c r="ER46" i="38"/>
  <c r="ER45" i="38"/>
  <c r="ER49" i="38"/>
  <c r="DA29" i="38"/>
  <c r="L71" i="38"/>
  <c r="L57" i="38"/>
  <c r="AU29" i="38"/>
  <c r="DA22" i="38"/>
  <c r="L37" i="38"/>
  <c r="AU22" i="38"/>
  <c r="CW9" i="18"/>
  <c r="AQ9" i="18"/>
  <c r="CW10" i="18"/>
  <c r="AQ10" i="18"/>
  <c r="CW26" i="18"/>
  <c r="AQ26" i="18"/>
  <c r="CW11" i="18"/>
  <c r="AQ11" i="18"/>
  <c r="CW17" i="18"/>
  <c r="AQ17" i="18"/>
  <c r="CW23" i="18"/>
  <c r="AQ23" i="18"/>
  <c r="CW16" i="18"/>
  <c r="AQ16" i="18"/>
  <c r="DZ59" i="38"/>
  <c r="EN59" i="38" s="1"/>
  <c r="DZ73" i="38"/>
  <c r="EN73" i="38" s="1"/>
  <c r="DZ68" i="38"/>
  <c r="EN68" i="38" s="1"/>
  <c r="DZ54" i="38"/>
  <c r="EN54" i="38" s="1"/>
  <c r="BT58" i="38"/>
  <c r="CH58" i="38" s="1"/>
  <c r="BT72" i="38"/>
  <c r="CH72" i="38" s="1"/>
  <c r="CW15" i="38"/>
  <c r="H44" i="38"/>
  <c r="AQ15" i="38"/>
  <c r="CW3" i="38"/>
  <c r="H32" i="38"/>
  <c r="AQ3" i="38"/>
  <c r="CW30" i="38"/>
  <c r="H35" i="38"/>
  <c r="AQ30" i="38"/>
  <c r="CW6" i="38"/>
  <c r="H47" i="38"/>
  <c r="AQ6" i="38"/>
  <c r="DZ60" i="38"/>
  <c r="EN60" i="38" s="1"/>
  <c r="DZ74" i="38"/>
  <c r="EN74" i="38" s="1"/>
  <c r="DZ51" i="38"/>
  <c r="EN51" i="38" s="1"/>
  <c r="DZ65" i="38"/>
  <c r="EN65" i="38" s="1"/>
  <c r="CW4" i="38"/>
  <c r="H40" i="38"/>
  <c r="AQ4" i="38"/>
  <c r="CW9" i="38"/>
  <c r="AQ9" i="38"/>
  <c r="H68" i="38"/>
  <c r="H54" i="38"/>
  <c r="DZ55" i="38"/>
  <c r="EN55" i="38" s="1"/>
  <c r="DZ69" i="38"/>
  <c r="EN69" i="38" s="1"/>
  <c r="CW23" i="38"/>
  <c r="H49" i="38"/>
  <c r="AQ23" i="38"/>
  <c r="BT50" i="38"/>
  <c r="CH50" i="38" s="1"/>
  <c r="BT64" i="38"/>
  <c r="DZ71" i="38"/>
  <c r="EN71" i="38" s="1"/>
  <c r="DZ57" i="38"/>
  <c r="EN57" i="38" s="1"/>
  <c r="CW10" i="38"/>
  <c r="AQ10" i="38"/>
  <c r="H46" i="38"/>
  <c r="H45" i="38" s="1"/>
  <c r="BT75" i="38"/>
  <c r="CH75" i="38" s="1"/>
  <c r="BT61" i="38"/>
  <c r="CH61" i="38" s="1"/>
  <c r="CW22" i="38"/>
  <c r="H37" i="38"/>
  <c r="AQ22" i="38"/>
  <c r="CV6" i="18"/>
  <c r="AP6" i="18"/>
  <c r="CV11" i="18"/>
  <c r="AP11" i="18"/>
  <c r="CV27" i="18"/>
  <c r="AP27" i="18"/>
  <c r="CV12" i="18"/>
  <c r="AP12" i="18"/>
  <c r="CV26" i="18"/>
  <c r="AP26" i="18"/>
  <c r="CV16" i="18"/>
  <c r="AP16" i="18"/>
  <c r="CV13" i="18"/>
  <c r="AP13" i="18"/>
  <c r="CV29" i="18"/>
  <c r="AP29" i="18"/>
  <c r="R61" i="38"/>
  <c r="AC61" i="38" s="1"/>
  <c r="R75" i="38"/>
  <c r="AC75" i="38" s="1"/>
  <c r="R72" i="38"/>
  <c r="AC72" i="38" s="1"/>
  <c r="R58" i="38"/>
  <c r="AC58" i="38" s="1"/>
  <c r="DY57" i="38"/>
  <c r="EM57" i="38" s="1"/>
  <c r="DY71" i="38"/>
  <c r="EM71" i="38" s="1"/>
  <c r="CV5" i="38"/>
  <c r="G67" i="38"/>
  <c r="AP5" i="38"/>
  <c r="G53" i="38"/>
  <c r="BS53" i="38"/>
  <c r="CG53" i="38" s="1"/>
  <c r="BS67" i="38"/>
  <c r="CG67" i="38" s="1"/>
  <c r="DY68" i="38"/>
  <c r="EM68" i="38" s="1"/>
  <c r="DY54" i="38"/>
  <c r="EM54" i="38" s="1"/>
  <c r="CV25" i="38"/>
  <c r="AP25" i="38"/>
  <c r="G64" i="38"/>
  <c r="G50" i="38"/>
  <c r="G40" i="38"/>
  <c r="AP4" i="38"/>
  <c r="CV4" i="38"/>
  <c r="CV9" i="38"/>
  <c r="AP9" i="38"/>
  <c r="G68" i="38"/>
  <c r="G54" i="38"/>
  <c r="CV26" i="38"/>
  <c r="G36" i="38"/>
  <c r="AP26" i="38"/>
  <c r="BS60" i="38"/>
  <c r="CG60" i="38" s="1"/>
  <c r="BS74" i="38"/>
  <c r="CG74" i="38" s="1"/>
  <c r="CV15" i="38"/>
  <c r="G44" i="38"/>
  <c r="AP15" i="38"/>
  <c r="BS66" i="38"/>
  <c r="CG66" i="38" s="1"/>
  <c r="BS52" i="38"/>
  <c r="CG52" i="38" s="1"/>
  <c r="BS65" i="38"/>
  <c r="CG65" i="38" s="1"/>
  <c r="BS51" i="38"/>
  <c r="CG51" i="38" s="1"/>
  <c r="DY67" i="38"/>
  <c r="EM67" i="38" s="1"/>
  <c r="DY53" i="38"/>
  <c r="EM53" i="38" s="1"/>
  <c r="CV11" i="38"/>
  <c r="G39" i="38"/>
  <c r="AP11" i="38"/>
  <c r="CV18" i="38"/>
  <c r="AP18" i="38"/>
  <c r="G61" i="38"/>
  <c r="G75" i="38"/>
  <c r="DY50" i="38"/>
  <c r="EM50" i="38" s="1"/>
  <c r="DY64" i="38"/>
  <c r="CV29" i="38"/>
  <c r="G57" i="38"/>
  <c r="AP29" i="38"/>
  <c r="G71" i="38"/>
  <c r="EM49" i="38"/>
  <c r="BS71" i="38"/>
  <c r="CG71" i="38" s="1"/>
  <c r="BS57" i="38"/>
  <c r="CG57" i="38" s="1"/>
  <c r="CW31" i="43"/>
  <c r="BY46" i="29"/>
  <c r="BW46" i="29"/>
  <c r="BW45" i="29" s="1"/>
  <c r="BX59" i="29"/>
  <c r="BX73" i="29"/>
  <c r="AY35" i="29"/>
  <c r="BX30" i="30"/>
  <c r="AY43" i="29"/>
  <c r="BX28" i="30"/>
  <c r="AY36" i="29"/>
  <c r="BX26" i="30"/>
  <c r="AY55" i="29"/>
  <c r="AY69" i="29"/>
  <c r="BX24" i="30"/>
  <c r="AY37" i="29"/>
  <c r="BX22" i="30"/>
  <c r="AY70" i="29"/>
  <c r="AY56" i="29"/>
  <c r="BX20" i="30"/>
  <c r="AY61" i="29"/>
  <c r="AY75" i="29"/>
  <c r="BX18" i="30"/>
  <c r="AY72" i="29"/>
  <c r="AY58" i="29"/>
  <c r="BX16" i="30"/>
  <c r="AY34" i="29"/>
  <c r="BX14" i="30"/>
  <c r="BW46" i="41"/>
  <c r="BW45" i="41" s="1"/>
  <c r="BY46" i="41"/>
  <c r="BX67" i="41"/>
  <c r="BX53" i="41"/>
  <c r="BX53" i="29"/>
  <c r="BX67" i="29"/>
  <c r="BX31" i="29"/>
  <c r="CW31" i="42"/>
  <c r="BX69" i="41"/>
  <c r="BX55" i="41"/>
  <c r="CW61" i="42"/>
  <c r="CW75" i="42"/>
  <c r="CW62" i="42"/>
  <c r="CW76" i="42"/>
  <c r="BX3" i="42"/>
  <c r="BX32" i="42" s="1"/>
  <c r="AY32" i="41"/>
  <c r="BX3" i="43"/>
  <c r="BX32" i="43" s="1"/>
  <c r="BX7" i="42"/>
  <c r="AY73" i="41"/>
  <c r="AY59" i="41"/>
  <c r="BX7" i="43"/>
  <c r="BX11" i="42"/>
  <c r="BX39" i="42" s="1"/>
  <c r="AY39" i="41"/>
  <c r="BX11" i="43"/>
  <c r="BX39" i="43" s="1"/>
  <c r="BX15" i="42"/>
  <c r="BX44" i="42" s="1"/>
  <c r="AY44" i="41"/>
  <c r="BX15" i="43"/>
  <c r="BX44" i="43" s="1"/>
  <c r="BX19" i="42"/>
  <c r="BX42" i="42" s="1"/>
  <c r="AY42" i="41"/>
  <c r="BX19" i="43"/>
  <c r="BX42" i="43" s="1"/>
  <c r="BX23" i="42"/>
  <c r="BX49" i="42" s="1"/>
  <c r="AY49" i="41"/>
  <c r="BX23" i="43"/>
  <c r="BX49" i="43" s="1"/>
  <c r="BX27" i="42"/>
  <c r="AY76" i="41"/>
  <c r="AY62" i="41"/>
  <c r="BX27" i="43"/>
  <c r="CW56" i="42"/>
  <c r="CW70" i="42"/>
  <c r="CW59" i="42"/>
  <c r="CW73" i="42"/>
  <c r="CP57" i="30"/>
  <c r="CP71" i="30"/>
  <c r="CP50" i="30"/>
  <c r="CP48" i="30" s="1"/>
  <c r="CP64" i="30"/>
  <c r="CP51" i="30"/>
  <c r="CP65" i="30"/>
  <c r="CP66" i="30"/>
  <c r="CP52" i="30"/>
  <c r="CP54" i="30"/>
  <c r="CP68" i="30"/>
  <c r="CP53" i="30"/>
  <c r="CP67" i="30"/>
  <c r="CP31" i="43"/>
  <c r="BQ64" i="41"/>
  <c r="BQ50" i="41"/>
  <c r="BQ66" i="41"/>
  <c r="BQ52" i="41"/>
  <c r="BQ48" i="41" s="1"/>
  <c r="AR57" i="29"/>
  <c r="AR71" i="29"/>
  <c r="BQ29" i="30"/>
  <c r="AR62" i="29"/>
  <c r="AR76" i="29"/>
  <c r="BQ27" i="30"/>
  <c r="AR64" i="29"/>
  <c r="AR50" i="29"/>
  <c r="BQ25" i="30"/>
  <c r="AR49" i="29"/>
  <c r="BQ23" i="30"/>
  <c r="AR65" i="29"/>
  <c r="AR51" i="29"/>
  <c r="BQ21" i="30"/>
  <c r="AR42" i="29"/>
  <c r="BQ19" i="30"/>
  <c r="AR52" i="29"/>
  <c r="AR66" i="29"/>
  <c r="BQ17" i="30"/>
  <c r="AR44" i="29"/>
  <c r="BQ15" i="30"/>
  <c r="AR33" i="29"/>
  <c r="BQ13" i="30"/>
  <c r="BQ65" i="41"/>
  <c r="BQ51" i="41"/>
  <c r="BQ59" i="29"/>
  <c r="BQ73" i="29"/>
  <c r="BQ75" i="41"/>
  <c r="BQ61" i="41"/>
  <c r="BQ31" i="29"/>
  <c r="BQ71" i="41"/>
  <c r="BQ57" i="41"/>
  <c r="BQ5" i="42"/>
  <c r="AR67" i="41"/>
  <c r="AR53" i="41"/>
  <c r="BQ5" i="43"/>
  <c r="BQ9" i="42"/>
  <c r="AR54" i="41"/>
  <c r="AR68" i="41"/>
  <c r="BQ9" i="43"/>
  <c r="BQ13" i="42"/>
  <c r="BQ33" i="42" s="1"/>
  <c r="AR33" i="41"/>
  <c r="BQ13" i="43"/>
  <c r="BQ33" i="43" s="1"/>
  <c r="BQ17" i="42"/>
  <c r="AR66" i="41"/>
  <c r="AR52" i="41"/>
  <c r="BQ17" i="43"/>
  <c r="BQ21" i="42"/>
  <c r="AR65" i="41"/>
  <c r="AR51" i="41"/>
  <c r="BQ21" i="43"/>
  <c r="BQ25" i="42"/>
  <c r="AR50" i="41"/>
  <c r="AR64" i="41"/>
  <c r="BQ25" i="43"/>
  <c r="BQ29" i="42"/>
  <c r="AR57" i="41"/>
  <c r="AR71" i="41"/>
  <c r="BQ29" i="43"/>
  <c r="BQ67" i="41"/>
  <c r="BQ53" i="41"/>
  <c r="CP62" i="42"/>
  <c r="CP76" i="42"/>
  <c r="CP53" i="42"/>
  <c r="CP67" i="42"/>
  <c r="CP54" i="42"/>
  <c r="CP68" i="42"/>
  <c r="CP52" i="42"/>
  <c r="CP48" i="42" s="1"/>
  <c r="CP66" i="42"/>
  <c r="CL62" i="30"/>
  <c r="CL76" i="30"/>
  <c r="CL59" i="30"/>
  <c r="CL73" i="30"/>
  <c r="AN68" i="29"/>
  <c r="AN54" i="29"/>
  <c r="BM9" i="30"/>
  <c r="AN57" i="29"/>
  <c r="AN71" i="29"/>
  <c r="BM29" i="30"/>
  <c r="AN76" i="29"/>
  <c r="AN62" i="29"/>
  <c r="BM27" i="30"/>
  <c r="AN64" i="29"/>
  <c r="AN50" i="29"/>
  <c r="BM25" i="30"/>
  <c r="AN49" i="29"/>
  <c r="BM23" i="30"/>
  <c r="AN51" i="29"/>
  <c r="AN65" i="29"/>
  <c r="BM21" i="30"/>
  <c r="AN42" i="29"/>
  <c r="BM19" i="30"/>
  <c r="AN52" i="29"/>
  <c r="AN66" i="29"/>
  <c r="BM17" i="30"/>
  <c r="AN44" i="29"/>
  <c r="BM15" i="30"/>
  <c r="AN33" i="29"/>
  <c r="BM13" i="30"/>
  <c r="AN46" i="29"/>
  <c r="BM10" i="30"/>
  <c r="AN47" i="29"/>
  <c r="BM6" i="30"/>
  <c r="BM70" i="41"/>
  <c r="BM56" i="41"/>
  <c r="AN53" i="29"/>
  <c r="AN67" i="29"/>
  <c r="BM5" i="30"/>
  <c r="AN32" i="29"/>
  <c r="AN31" i="29" s="1"/>
  <c r="BM3" i="30"/>
  <c r="BM68" i="41"/>
  <c r="BM54" i="41"/>
  <c r="BM71" i="41"/>
  <c r="BM57" i="41"/>
  <c r="BM5" i="42"/>
  <c r="AN67" i="41"/>
  <c r="AN53" i="41"/>
  <c r="BM5" i="43"/>
  <c r="BM9" i="42"/>
  <c r="AN54" i="41"/>
  <c r="AN68" i="41"/>
  <c r="BM9" i="43"/>
  <c r="BM13" i="42"/>
  <c r="BM33" i="42" s="1"/>
  <c r="AN33" i="41"/>
  <c r="BM13" i="43"/>
  <c r="BM33" i="43" s="1"/>
  <c r="BM17" i="42"/>
  <c r="AN66" i="41"/>
  <c r="AN52" i="41"/>
  <c r="BM17" i="43"/>
  <c r="BM21" i="42"/>
  <c r="AN51" i="41"/>
  <c r="AN65" i="41"/>
  <c r="BM21" i="43"/>
  <c r="BM25" i="42"/>
  <c r="AN50" i="41"/>
  <c r="AN64" i="41"/>
  <c r="BM25" i="43"/>
  <c r="BM29" i="42"/>
  <c r="AN57" i="41"/>
  <c r="AN71" i="41"/>
  <c r="BM29" i="43"/>
  <c r="CL60" i="42"/>
  <c r="CL74" i="42"/>
  <c r="CL58" i="42"/>
  <c r="CL72" i="42"/>
  <c r="CL56" i="42"/>
  <c r="CL70" i="42"/>
  <c r="CL55" i="42"/>
  <c r="CL69" i="42"/>
  <c r="CH57" i="30"/>
  <c r="CH71" i="30"/>
  <c r="CH50" i="30"/>
  <c r="CH48" i="30" s="1"/>
  <c r="CH64" i="30"/>
  <c r="CH51" i="30"/>
  <c r="CH65" i="30"/>
  <c r="CH52" i="30"/>
  <c r="CH66" i="30"/>
  <c r="CH54" i="30"/>
  <c r="CH68" i="30"/>
  <c r="CH53" i="30"/>
  <c r="CH67" i="30"/>
  <c r="CH45" i="43"/>
  <c r="BI76" i="41"/>
  <c r="BI62" i="41"/>
  <c r="BI54" i="29"/>
  <c r="BI68" i="29"/>
  <c r="BI72" i="41"/>
  <c r="BI58" i="41"/>
  <c r="AJ35" i="29"/>
  <c r="BI30" i="30"/>
  <c r="AJ43" i="29"/>
  <c r="BI28" i="30"/>
  <c r="AJ36" i="29"/>
  <c r="BI26" i="30"/>
  <c r="AJ55" i="29"/>
  <c r="AJ69" i="29"/>
  <c r="BI24" i="30"/>
  <c r="AJ37" i="29"/>
  <c r="BI22" i="30"/>
  <c r="AJ56" i="29"/>
  <c r="AJ70" i="29"/>
  <c r="BI20" i="30"/>
  <c r="AJ61" i="29"/>
  <c r="AJ75" i="29"/>
  <c r="BI18" i="30"/>
  <c r="AJ58" i="29"/>
  <c r="AJ72" i="29"/>
  <c r="BI16" i="30"/>
  <c r="AJ34" i="29"/>
  <c r="BI14" i="30"/>
  <c r="BI60" i="41"/>
  <c r="BI74" i="41"/>
  <c r="AJ54" i="29"/>
  <c r="AJ68" i="29"/>
  <c r="BI9" i="30"/>
  <c r="BI53" i="29"/>
  <c r="BI67" i="29"/>
  <c r="BI3" i="42"/>
  <c r="BI32" i="42" s="1"/>
  <c r="AJ32" i="41"/>
  <c r="BI3" i="43"/>
  <c r="BI32" i="43" s="1"/>
  <c r="BI7" i="42"/>
  <c r="AJ59" i="41"/>
  <c r="AJ73" i="41"/>
  <c r="BI7" i="43"/>
  <c r="BI11" i="42"/>
  <c r="BI39" i="42" s="1"/>
  <c r="AJ39" i="41"/>
  <c r="BI11" i="43"/>
  <c r="BI39" i="43" s="1"/>
  <c r="BI15" i="42"/>
  <c r="BI44" i="42" s="1"/>
  <c r="AJ44" i="41"/>
  <c r="BI15" i="43"/>
  <c r="BI44" i="43" s="1"/>
  <c r="BI19" i="42"/>
  <c r="BI42" i="42" s="1"/>
  <c r="AJ42" i="41"/>
  <c r="BI19" i="43"/>
  <c r="BI42" i="43" s="1"/>
  <c r="BI23" i="42"/>
  <c r="BI49" i="42" s="1"/>
  <c r="AJ49" i="41"/>
  <c r="BI23" i="43"/>
  <c r="BI49" i="43" s="1"/>
  <c r="BI27" i="42"/>
  <c r="AJ76" i="41"/>
  <c r="AJ62" i="41"/>
  <c r="BI27" i="43"/>
  <c r="BI67" i="41"/>
  <c r="BI53" i="41"/>
  <c r="CH31" i="42"/>
  <c r="CH53" i="42"/>
  <c r="CH67" i="42"/>
  <c r="CE76" i="30"/>
  <c r="CE62" i="30"/>
  <c r="CE73" i="30"/>
  <c r="CE59" i="30"/>
  <c r="CD62" i="30"/>
  <c r="CD76" i="30"/>
  <c r="CD59" i="30"/>
  <c r="CD73" i="30"/>
  <c r="CE31" i="43"/>
  <c r="BE59" i="29"/>
  <c r="BE48" i="29" s="1"/>
  <c r="BE73" i="29"/>
  <c r="BF53" i="29"/>
  <c r="BF67" i="29"/>
  <c r="BF57" i="29"/>
  <c r="BF71" i="29"/>
  <c r="BF62" i="29"/>
  <c r="BF76" i="29"/>
  <c r="BF64" i="29"/>
  <c r="BF63" i="29" s="1"/>
  <c r="BF50" i="29"/>
  <c r="BF48" i="29" s="1"/>
  <c r="BF65" i="29"/>
  <c r="BF51" i="29"/>
  <c r="BF52" i="29"/>
  <c r="BF66" i="29"/>
  <c r="BE45" i="29"/>
  <c r="BF4" i="42"/>
  <c r="BF40" i="42" s="1"/>
  <c r="AG40" i="41"/>
  <c r="BF4" i="43"/>
  <c r="BF40" i="43" s="1"/>
  <c r="BF12" i="42"/>
  <c r="AG60" i="41"/>
  <c r="AG74" i="41"/>
  <c r="BF12" i="43"/>
  <c r="BF20" i="42"/>
  <c r="AG70" i="41"/>
  <c r="AG56" i="41"/>
  <c r="BF20" i="43"/>
  <c r="BF28" i="42"/>
  <c r="BF43" i="42" s="1"/>
  <c r="AG43" i="41"/>
  <c r="BF28" i="43"/>
  <c r="BF43" i="43" s="1"/>
  <c r="BE55" i="29"/>
  <c r="BE69" i="29"/>
  <c r="BE70" i="29"/>
  <c r="BE56" i="29"/>
  <c r="BE72" i="29"/>
  <c r="BE58" i="29"/>
  <c r="BE74" i="29"/>
  <c r="BE60" i="29"/>
  <c r="BF73" i="29"/>
  <c r="BF59" i="29"/>
  <c r="AG32" i="29"/>
  <c r="AG31" i="29" s="1"/>
  <c r="BF3" i="30"/>
  <c r="AG32" i="41"/>
  <c r="BF3" i="42"/>
  <c r="BF32" i="42" s="1"/>
  <c r="BF3" i="43"/>
  <c r="BF32" i="43" s="1"/>
  <c r="AG39" i="41"/>
  <c r="BF11" i="42"/>
  <c r="BF39" i="42" s="1"/>
  <c r="BF11" i="43"/>
  <c r="BF39" i="43" s="1"/>
  <c r="BF19" i="42"/>
  <c r="BF42" i="42" s="1"/>
  <c r="AG42" i="41"/>
  <c r="BF19" i="43"/>
  <c r="BF42" i="43" s="1"/>
  <c r="BF27" i="42"/>
  <c r="AG62" i="41"/>
  <c r="AG76" i="41"/>
  <c r="BF27" i="43"/>
  <c r="BF52" i="41"/>
  <c r="BF66" i="41"/>
  <c r="BF65" i="41"/>
  <c r="BF51" i="41"/>
  <c r="BE31" i="41"/>
  <c r="BE73" i="41"/>
  <c r="BE59" i="41"/>
  <c r="CD59" i="42"/>
  <c r="CD73" i="42"/>
  <c r="CD31" i="42"/>
  <c r="CD61" i="42"/>
  <c r="CD75" i="42"/>
  <c r="CE67" i="42"/>
  <c r="CE53" i="42"/>
  <c r="CE68" i="42"/>
  <c r="CE54" i="42"/>
  <c r="CE66" i="42"/>
  <c r="CE52" i="42"/>
  <c r="CD65" i="42"/>
  <c r="CD51" i="42"/>
  <c r="CD50" i="42"/>
  <c r="CD48" i="42" s="1"/>
  <c r="CD64" i="42"/>
  <c r="CD57" i="42"/>
  <c r="CD71" i="42"/>
  <c r="CE65" i="42"/>
  <c r="CE51" i="42"/>
  <c r="CE64" i="42"/>
  <c r="CE50" i="42"/>
  <c r="CE48" i="42" s="1"/>
  <c r="CE71" i="42"/>
  <c r="CE57" i="42"/>
  <c r="CA43" i="30"/>
  <c r="BZ28" i="30"/>
  <c r="CA69" i="30"/>
  <c r="BZ24" i="30"/>
  <c r="CA55" i="30"/>
  <c r="CA56" i="30"/>
  <c r="CA70" i="30"/>
  <c r="BZ20" i="30"/>
  <c r="CA58" i="30"/>
  <c r="BZ16" i="30"/>
  <c r="CA72" i="30"/>
  <c r="CA60" i="30"/>
  <c r="BZ12" i="30"/>
  <c r="CA74" i="30"/>
  <c r="CA41" i="30"/>
  <c r="BZ8" i="30"/>
  <c r="CA40" i="30"/>
  <c r="BZ4" i="30"/>
  <c r="CA38" i="43"/>
  <c r="BZ38" i="43" s="1"/>
  <c r="DV38" i="38" s="1"/>
  <c r="EJ38" i="38" s="1"/>
  <c r="BZ2" i="43"/>
  <c r="DV2" i="38" s="1"/>
  <c r="BZ21" i="43"/>
  <c r="DV21" i="38" s="1"/>
  <c r="CA35" i="43"/>
  <c r="BZ35" i="43" s="1"/>
  <c r="DV35" i="38" s="1"/>
  <c r="EJ35" i="38" s="1"/>
  <c r="BZ30" i="43"/>
  <c r="DV30" i="38" s="1"/>
  <c r="CA36" i="43"/>
  <c r="BZ36" i="43" s="1"/>
  <c r="DV36" i="38" s="1"/>
  <c r="EJ36" i="38" s="1"/>
  <c r="BZ26" i="43"/>
  <c r="DV26" i="38" s="1"/>
  <c r="BZ15" i="43"/>
  <c r="DV15" i="38" s="1"/>
  <c r="CA44" i="43"/>
  <c r="BZ44" i="43" s="1"/>
  <c r="DV44" i="38" s="1"/>
  <c r="EJ44" i="38" s="1"/>
  <c r="BZ25" i="43"/>
  <c r="DV25" i="38" s="1"/>
  <c r="BZ17" i="43"/>
  <c r="DV17" i="38" s="1"/>
  <c r="BB47" i="29"/>
  <c r="BA47" i="29" s="1"/>
  <c r="BA6" i="29"/>
  <c r="AC53" i="29"/>
  <c r="AC67" i="29"/>
  <c r="AB5" i="29"/>
  <c r="C5" i="18" s="1"/>
  <c r="BB5" i="30"/>
  <c r="AC32" i="29"/>
  <c r="AB3" i="29"/>
  <c r="C3" i="18" s="1"/>
  <c r="BB3" i="30"/>
  <c r="AC35" i="29"/>
  <c r="AB30" i="29"/>
  <c r="C30" i="18" s="1"/>
  <c r="BB30" i="30"/>
  <c r="AC43" i="29"/>
  <c r="AB28" i="29"/>
  <c r="C28" i="18" s="1"/>
  <c r="BB28" i="30"/>
  <c r="AC36" i="29"/>
  <c r="AB26" i="29"/>
  <c r="C26" i="18" s="1"/>
  <c r="BB26" i="30"/>
  <c r="AC55" i="29"/>
  <c r="AC69" i="29"/>
  <c r="AB24" i="29"/>
  <c r="C24" i="18" s="1"/>
  <c r="BB24" i="30"/>
  <c r="AC37" i="29"/>
  <c r="AB22" i="29"/>
  <c r="C22" i="18" s="1"/>
  <c r="BB22" i="30"/>
  <c r="AC70" i="29"/>
  <c r="AC56" i="29"/>
  <c r="AB20" i="29"/>
  <c r="C20" i="18" s="1"/>
  <c r="BB20" i="30"/>
  <c r="AC61" i="29"/>
  <c r="AC75" i="29"/>
  <c r="AB18" i="29"/>
  <c r="C18" i="18" s="1"/>
  <c r="BB18" i="30"/>
  <c r="AC72" i="29"/>
  <c r="AC58" i="29"/>
  <c r="AB16" i="29"/>
  <c r="C16" i="18" s="1"/>
  <c r="BB16" i="30"/>
  <c r="AC34" i="29"/>
  <c r="AB14" i="29"/>
  <c r="C14" i="18" s="1"/>
  <c r="BB14" i="30"/>
  <c r="AC74" i="29"/>
  <c r="AC60" i="29"/>
  <c r="AB12" i="29"/>
  <c r="C12" i="18" s="1"/>
  <c r="BB12" i="30"/>
  <c r="AC41" i="29"/>
  <c r="AB8" i="29"/>
  <c r="C8" i="18" s="1"/>
  <c r="BB8" i="30"/>
  <c r="AC40" i="29"/>
  <c r="AB4" i="29"/>
  <c r="C4" i="18" s="1"/>
  <c r="BB4" i="30"/>
  <c r="BB38" i="41"/>
  <c r="BA38" i="41" s="1"/>
  <c r="N38" i="38" s="1"/>
  <c r="Y38" i="38" s="1"/>
  <c r="BA2" i="41"/>
  <c r="N2" i="38" s="1"/>
  <c r="BB72" i="41"/>
  <c r="BB58" i="41"/>
  <c r="BA16" i="41"/>
  <c r="N16" i="38" s="1"/>
  <c r="BB70" i="41"/>
  <c r="BB56" i="41"/>
  <c r="BA20" i="41"/>
  <c r="N20" i="38" s="1"/>
  <c r="BB64" i="41"/>
  <c r="BB50" i="41"/>
  <c r="BA25" i="41"/>
  <c r="N25" i="38" s="1"/>
  <c r="BB54" i="41"/>
  <c r="BA9" i="41"/>
  <c r="N9" i="38" s="1"/>
  <c r="BB68" i="41"/>
  <c r="AC38" i="41"/>
  <c r="BB2" i="42"/>
  <c r="AB2" i="41"/>
  <c r="C2" i="38" s="1"/>
  <c r="C38" i="38" s="1"/>
  <c r="BB2" i="43"/>
  <c r="AC47" i="41"/>
  <c r="BB6" i="42"/>
  <c r="AB6" i="41"/>
  <c r="C6" i="38" s="1"/>
  <c r="C47" i="38" s="1"/>
  <c r="BB6" i="43"/>
  <c r="BB10" i="42"/>
  <c r="AC46" i="41"/>
  <c r="AB10" i="41"/>
  <c r="C10" i="38" s="1"/>
  <c r="C46" i="38" s="1"/>
  <c r="C45" i="38" s="1"/>
  <c r="BB10" i="43"/>
  <c r="BB14" i="42"/>
  <c r="AC34" i="41"/>
  <c r="AB14" i="41"/>
  <c r="C14" i="38" s="1"/>
  <c r="C34" i="38" s="1"/>
  <c r="BB14" i="43"/>
  <c r="BB18" i="42"/>
  <c r="AB18" i="41"/>
  <c r="C18" i="38" s="1"/>
  <c r="AC75" i="41"/>
  <c r="AC61" i="41"/>
  <c r="BB18" i="43"/>
  <c r="AB22" i="41"/>
  <c r="C22" i="38" s="1"/>
  <c r="C37" i="38" s="1"/>
  <c r="AC37" i="41"/>
  <c r="BB22" i="42"/>
  <c r="BB22" i="43"/>
  <c r="BB26" i="42"/>
  <c r="AC36" i="41"/>
  <c r="AB26" i="41"/>
  <c r="C26" i="38" s="1"/>
  <c r="C36" i="38" s="1"/>
  <c r="BB26" i="43"/>
  <c r="BB30" i="42"/>
  <c r="AC35" i="41"/>
  <c r="AB30" i="41"/>
  <c r="C30" i="38" s="1"/>
  <c r="C35" i="38" s="1"/>
  <c r="BB30" i="43"/>
  <c r="BB47" i="41"/>
  <c r="BA6" i="41"/>
  <c r="N6" i="38" s="1"/>
  <c r="CA32" i="42"/>
  <c r="BZ3" i="42"/>
  <c r="BP3" i="38" s="1"/>
  <c r="CA73" i="42"/>
  <c r="CA59" i="42"/>
  <c r="BZ7" i="42"/>
  <c r="BP7" i="38" s="1"/>
  <c r="CA39" i="42"/>
  <c r="BZ39" i="42" s="1"/>
  <c r="BP39" i="38" s="1"/>
  <c r="CD39" i="38" s="1"/>
  <c r="BZ11" i="42"/>
  <c r="BP11" i="38" s="1"/>
  <c r="CA44" i="42"/>
  <c r="BZ44" i="42" s="1"/>
  <c r="BP44" i="38" s="1"/>
  <c r="CD44" i="38" s="1"/>
  <c r="BZ15" i="42"/>
  <c r="BP15" i="38" s="1"/>
  <c r="CA42" i="42"/>
  <c r="BZ42" i="42" s="1"/>
  <c r="BP42" i="38" s="1"/>
  <c r="CD42" i="38" s="1"/>
  <c r="BZ19" i="42"/>
  <c r="BP19" i="38" s="1"/>
  <c r="CA49" i="42"/>
  <c r="BZ23" i="42"/>
  <c r="BP23" i="38" s="1"/>
  <c r="CA76" i="42"/>
  <c r="CA62" i="42"/>
  <c r="BZ27" i="42"/>
  <c r="BP27" i="38" s="1"/>
  <c r="C63" i="20"/>
  <c r="E65" i="20"/>
  <c r="E63" i="20" s="1"/>
  <c r="R39" i="29"/>
  <c r="R11" i="30"/>
  <c r="R47" i="29"/>
  <c r="R6" i="30"/>
  <c r="R43" i="29"/>
  <c r="R28" i="30"/>
  <c r="R55" i="29"/>
  <c r="R69" i="29"/>
  <c r="R24" i="30"/>
  <c r="R70" i="29"/>
  <c r="R56" i="29"/>
  <c r="R20" i="30"/>
  <c r="R72" i="29"/>
  <c r="R58" i="29"/>
  <c r="R16" i="30"/>
  <c r="R32" i="29"/>
  <c r="R3" i="30"/>
  <c r="R5" i="42"/>
  <c r="R53" i="41"/>
  <c r="R67" i="41"/>
  <c r="R5" i="43"/>
  <c r="R9" i="42"/>
  <c r="R68" i="41"/>
  <c r="R54" i="41"/>
  <c r="R9" i="43"/>
  <c r="R13" i="42"/>
  <c r="R33" i="42" s="1"/>
  <c r="R33" i="41"/>
  <c r="R13" i="43"/>
  <c r="R33" i="43" s="1"/>
  <c r="R17" i="42"/>
  <c r="R52" i="41"/>
  <c r="R66" i="41"/>
  <c r="R17" i="43"/>
  <c r="R21" i="42"/>
  <c r="R65" i="41"/>
  <c r="R51" i="41"/>
  <c r="R21" i="43"/>
  <c r="R25" i="42"/>
  <c r="R50" i="41"/>
  <c r="R64" i="41"/>
  <c r="R25" i="43"/>
  <c r="R29" i="42"/>
  <c r="R71" i="41"/>
  <c r="R57" i="41"/>
  <c r="R29" i="43"/>
  <c r="AQ45" i="42"/>
  <c r="AS74" i="30"/>
  <c r="AC74" i="30"/>
  <c r="AJ74" i="30"/>
  <c r="AQ74" i="30"/>
  <c r="AT74" i="30"/>
  <c r="AQ60" i="30"/>
  <c r="AP74" i="30"/>
  <c r="AL60" i="30"/>
  <c r="AW60" i="30"/>
  <c r="AG60" i="30"/>
  <c r="AR60" i="30"/>
  <c r="AJ60" i="30"/>
  <c r="AO74" i="30"/>
  <c r="AV74" i="30"/>
  <c r="AF74" i="30"/>
  <c r="AM74" i="30"/>
  <c r="AD74" i="30"/>
  <c r="AM60" i="30"/>
  <c r="AX60" i="30"/>
  <c r="AH60" i="30"/>
  <c r="AS60" i="30"/>
  <c r="AC60" i="30"/>
  <c r="AX74" i="30"/>
  <c r="AW74" i="30"/>
  <c r="AN74" i="30"/>
  <c r="AE74" i="30"/>
  <c r="AE60" i="30"/>
  <c r="AL74" i="30"/>
  <c r="AF60" i="30"/>
  <c r="AK74" i="30"/>
  <c r="AR74" i="30"/>
  <c r="AY74" i="30"/>
  <c r="AI74" i="30"/>
  <c r="AY60" i="30"/>
  <c r="AI60" i="30"/>
  <c r="AT60" i="30"/>
  <c r="AD60" i="30"/>
  <c r="AO60" i="30"/>
  <c r="AV60" i="30"/>
  <c r="AN60" i="30"/>
  <c r="AG74" i="30"/>
  <c r="AU74" i="30"/>
  <c r="AU60" i="30"/>
  <c r="AP60" i="30"/>
  <c r="AK60" i="30"/>
  <c r="AH74" i="30"/>
  <c r="AV65" i="30"/>
  <c r="AF65" i="30"/>
  <c r="AM65" i="30"/>
  <c r="AT65" i="30"/>
  <c r="AD65" i="30"/>
  <c r="AT51" i="30"/>
  <c r="AD51" i="30"/>
  <c r="AO51" i="30"/>
  <c r="AK65" i="30"/>
  <c r="AJ51" i="30"/>
  <c r="AE51" i="30"/>
  <c r="AW65" i="30"/>
  <c r="AQ65" i="30"/>
  <c r="AH51" i="30"/>
  <c r="AN51" i="30"/>
  <c r="AR65" i="30"/>
  <c r="AY65" i="30"/>
  <c r="AI65" i="30"/>
  <c r="AP65" i="30"/>
  <c r="AS65" i="30"/>
  <c r="AP51" i="30"/>
  <c r="AO65" i="30"/>
  <c r="AK51" i="30"/>
  <c r="AV51" i="30"/>
  <c r="AF51" i="30"/>
  <c r="AQ51" i="30"/>
  <c r="AI51" i="30"/>
  <c r="AJ65" i="30"/>
  <c r="AH65" i="30"/>
  <c r="AS51" i="30"/>
  <c r="AU51" i="30"/>
  <c r="AN65" i="30"/>
  <c r="AU65" i="30"/>
  <c r="AE65" i="30"/>
  <c r="AL65" i="30"/>
  <c r="AC65" i="30"/>
  <c r="AL51" i="30"/>
  <c r="AW51" i="30"/>
  <c r="AG51" i="30"/>
  <c r="AR51" i="30"/>
  <c r="AG65" i="30"/>
  <c r="AM51" i="30"/>
  <c r="AX65" i="30"/>
  <c r="AX51" i="30"/>
  <c r="AC51" i="30"/>
  <c r="AY51" i="30"/>
  <c r="AR69" i="30"/>
  <c r="AY69" i="30"/>
  <c r="AI69" i="30"/>
  <c r="AP69" i="30"/>
  <c r="AW69" i="30"/>
  <c r="AP55" i="30"/>
  <c r="AS69" i="30"/>
  <c r="AO55" i="30"/>
  <c r="AO69" i="30"/>
  <c r="AJ55" i="30"/>
  <c r="AU55" i="30"/>
  <c r="AM55" i="30"/>
  <c r="AV69" i="30"/>
  <c r="AT55" i="30"/>
  <c r="AC55" i="30"/>
  <c r="AN69" i="30"/>
  <c r="AU69" i="30"/>
  <c r="AE69" i="30"/>
  <c r="AL69" i="30"/>
  <c r="AG69" i="30"/>
  <c r="AL55" i="30"/>
  <c r="AC69" i="30"/>
  <c r="AK55" i="30"/>
  <c r="AV55" i="30"/>
  <c r="AF55" i="30"/>
  <c r="AE55" i="30"/>
  <c r="AF69" i="30"/>
  <c r="AT69" i="30"/>
  <c r="AD55" i="30"/>
  <c r="AI55" i="30"/>
  <c r="AJ69" i="30"/>
  <c r="AQ69" i="30"/>
  <c r="AX69" i="30"/>
  <c r="AH69" i="30"/>
  <c r="AX55" i="30"/>
  <c r="AH55" i="30"/>
  <c r="AW55" i="30"/>
  <c r="AG55" i="30"/>
  <c r="AR55" i="30"/>
  <c r="AY55" i="30"/>
  <c r="AK69" i="30"/>
  <c r="AM69" i="30"/>
  <c r="AD69" i="30"/>
  <c r="AS55" i="30"/>
  <c r="AN55" i="30"/>
  <c r="AQ55" i="30"/>
  <c r="AR73" i="30"/>
  <c r="AY73" i="30"/>
  <c r="AI73" i="30"/>
  <c r="AP73" i="30"/>
  <c r="AK73" i="30"/>
  <c r="AL59" i="30"/>
  <c r="AG73" i="30"/>
  <c r="AK59" i="30"/>
  <c r="AC73" i="30"/>
  <c r="AJ59" i="30"/>
  <c r="AY59" i="30"/>
  <c r="AQ59" i="30"/>
  <c r="AM73" i="30"/>
  <c r="AO59" i="30"/>
  <c r="AN73" i="30"/>
  <c r="AU73" i="30"/>
  <c r="AE73" i="30"/>
  <c r="AL73" i="30"/>
  <c r="AX59" i="30"/>
  <c r="AH59" i="30"/>
  <c r="AW59" i="30"/>
  <c r="AG59" i="30"/>
  <c r="AV59" i="30"/>
  <c r="AF59" i="30"/>
  <c r="AI59" i="30"/>
  <c r="AF73" i="30"/>
  <c r="AD73" i="30"/>
  <c r="AW73" i="30"/>
  <c r="AN59" i="30"/>
  <c r="AE59" i="30"/>
  <c r="AJ73" i="30"/>
  <c r="AQ73" i="30"/>
  <c r="AX73" i="30"/>
  <c r="AH73" i="30"/>
  <c r="AT59" i="30"/>
  <c r="AD59" i="30"/>
  <c r="AS59" i="30"/>
  <c r="AC59" i="30"/>
  <c r="AR59" i="30"/>
  <c r="AO73" i="30"/>
  <c r="AU59" i="30"/>
  <c r="AV73" i="30"/>
  <c r="AT73" i="30"/>
  <c r="AP59" i="30"/>
  <c r="AS73" i="30"/>
  <c r="AM59" i="30"/>
  <c r="AZ60" i="43"/>
  <c r="AZ74" i="43"/>
  <c r="CX60" i="43"/>
  <c r="CX74" i="43"/>
  <c r="CX75" i="43"/>
  <c r="AZ75" i="43"/>
  <c r="CX61" i="43"/>
  <c r="AZ61" i="43"/>
  <c r="CX67" i="43"/>
  <c r="AZ67" i="43"/>
  <c r="AZ53" i="43"/>
  <c r="CX53" i="43"/>
  <c r="CX49" i="43"/>
  <c r="AZ49" i="43"/>
  <c r="AA54" i="29"/>
  <c r="AA68" i="29"/>
  <c r="AA9" i="30"/>
  <c r="AA43" i="29"/>
  <c r="AA28" i="30"/>
  <c r="AA55" i="29"/>
  <c r="AA69" i="29"/>
  <c r="AA24" i="30"/>
  <c r="AA56" i="29"/>
  <c r="AA70" i="29"/>
  <c r="AA20" i="30"/>
  <c r="AA58" i="29"/>
  <c r="AA72" i="29"/>
  <c r="AA16" i="30"/>
  <c r="AA60" i="29"/>
  <c r="AA74" i="29"/>
  <c r="AA12" i="30"/>
  <c r="AA53" i="29"/>
  <c r="AA67" i="29"/>
  <c r="AA5" i="30"/>
  <c r="AA2" i="42"/>
  <c r="AA38" i="42" s="1"/>
  <c r="AA38" i="41"/>
  <c r="AA2" i="43"/>
  <c r="AA38" i="43" s="1"/>
  <c r="AA6" i="42"/>
  <c r="AA47" i="42" s="1"/>
  <c r="AA47" i="41"/>
  <c r="AA6" i="43"/>
  <c r="AA47" i="43" s="1"/>
  <c r="AA10" i="42"/>
  <c r="AA46" i="42" s="1"/>
  <c r="AA45" i="42" s="1"/>
  <c r="AA46" i="41"/>
  <c r="AA45" i="41" s="1"/>
  <c r="AA10" i="43"/>
  <c r="AA46" i="43" s="1"/>
  <c r="AA45" i="43" s="1"/>
  <c r="AA14" i="42"/>
  <c r="AA34" i="42" s="1"/>
  <c r="AA34" i="41"/>
  <c r="AA14" i="43"/>
  <c r="AA34" i="43" s="1"/>
  <c r="AA18" i="42"/>
  <c r="AA75" i="41"/>
  <c r="AA61" i="41"/>
  <c r="AA18" i="43"/>
  <c r="AA22" i="42"/>
  <c r="AA37" i="42" s="1"/>
  <c r="AA37" i="41"/>
  <c r="AA22" i="43"/>
  <c r="AA37" i="43" s="1"/>
  <c r="AA26" i="42"/>
  <c r="AA36" i="42" s="1"/>
  <c r="AA36" i="41"/>
  <c r="AA26" i="43"/>
  <c r="AA36" i="43" s="1"/>
  <c r="AA30" i="42"/>
  <c r="AA35" i="42" s="1"/>
  <c r="AA35" i="41"/>
  <c r="AA30" i="43"/>
  <c r="AA35" i="43" s="1"/>
  <c r="AZ49" i="42"/>
  <c r="AV49" i="42"/>
  <c r="AR49" i="42"/>
  <c r="AN49" i="42"/>
  <c r="AJ49" i="42"/>
  <c r="AF49" i="42"/>
  <c r="AY49" i="42"/>
  <c r="AU49" i="42"/>
  <c r="AQ49" i="42"/>
  <c r="AM49" i="42"/>
  <c r="AI49" i="42"/>
  <c r="AE49" i="42"/>
  <c r="AT49" i="42"/>
  <c r="AL49" i="42"/>
  <c r="AD49" i="42"/>
  <c r="AS49" i="42"/>
  <c r="AK49" i="42"/>
  <c r="AC49" i="42"/>
  <c r="AX49" i="42"/>
  <c r="AP49" i="42"/>
  <c r="AH49" i="42"/>
  <c r="AO49" i="42"/>
  <c r="AO48" i="42" s="1"/>
  <c r="AG49" i="42"/>
  <c r="AW49" i="42"/>
  <c r="AV76" i="42"/>
  <c r="AN76" i="42"/>
  <c r="AF76" i="42"/>
  <c r="AZ62" i="42"/>
  <c r="AV62" i="42"/>
  <c r="AR62" i="42"/>
  <c r="AN62" i="42"/>
  <c r="AJ62" i="42"/>
  <c r="AF62" i="42"/>
  <c r="AS76" i="42"/>
  <c r="AK76" i="42"/>
  <c r="AC76" i="42"/>
  <c r="AY62" i="42"/>
  <c r="AU62" i="42"/>
  <c r="AQ62" i="42"/>
  <c r="AM62" i="42"/>
  <c r="AI62" i="42"/>
  <c r="AE62" i="42"/>
  <c r="AR76" i="42"/>
  <c r="AT62" i="42"/>
  <c r="AL62" i="42"/>
  <c r="AD62" i="42"/>
  <c r="AO76" i="42"/>
  <c r="AS62" i="42"/>
  <c r="AK62" i="42"/>
  <c r="AC62" i="42"/>
  <c r="AZ76" i="42"/>
  <c r="AJ76" i="42"/>
  <c r="AX62" i="42"/>
  <c r="AP62" i="42"/>
  <c r="AH62" i="42"/>
  <c r="AW76" i="42"/>
  <c r="AG76" i="42"/>
  <c r="AW62" i="42"/>
  <c r="AO62" i="42"/>
  <c r="AG62" i="42"/>
  <c r="AY76" i="42"/>
  <c r="AI76" i="42"/>
  <c r="AP76" i="42"/>
  <c r="AU76" i="42"/>
  <c r="AE76" i="42"/>
  <c r="AL76" i="42"/>
  <c r="AQ76" i="42"/>
  <c r="AX76" i="42"/>
  <c r="AH76" i="42"/>
  <c r="AD76" i="42"/>
  <c r="AM76" i="42"/>
  <c r="AT76" i="42"/>
  <c r="AV67" i="42"/>
  <c r="AN67" i="42"/>
  <c r="AF67" i="42"/>
  <c r="AZ53" i="42"/>
  <c r="AV53" i="42"/>
  <c r="AR53" i="42"/>
  <c r="AN53" i="42"/>
  <c r="AJ53" i="42"/>
  <c r="AF53" i="42"/>
  <c r="AS67" i="42"/>
  <c r="AK67" i="42"/>
  <c r="AC67" i="42"/>
  <c r="AY53" i="42"/>
  <c r="AU53" i="42"/>
  <c r="AQ53" i="42"/>
  <c r="AM53" i="42"/>
  <c r="AI53" i="42"/>
  <c r="AE53" i="42"/>
  <c r="AZ67" i="42"/>
  <c r="AJ67" i="42"/>
  <c r="AT53" i="42"/>
  <c r="AL53" i="42"/>
  <c r="AD53" i="42"/>
  <c r="AW67" i="42"/>
  <c r="AG67" i="42"/>
  <c r="AS53" i="42"/>
  <c r="AK53" i="42"/>
  <c r="AC53" i="42"/>
  <c r="AR67" i="42"/>
  <c r="AX53" i="42"/>
  <c r="AP53" i="42"/>
  <c r="AH53" i="42"/>
  <c r="AO53" i="42"/>
  <c r="AO67" i="42"/>
  <c r="AG53" i="42"/>
  <c r="AW53" i="42"/>
  <c r="AQ67" i="42"/>
  <c r="AX67" i="42"/>
  <c r="AH67" i="42"/>
  <c r="AM67" i="42"/>
  <c r="AT67" i="42"/>
  <c r="AD67" i="42"/>
  <c r="AY67" i="42"/>
  <c r="AI67" i="42"/>
  <c r="AP67" i="42"/>
  <c r="AU67" i="42"/>
  <c r="AE67" i="42"/>
  <c r="AL67" i="42"/>
  <c r="AV68" i="42"/>
  <c r="AN68" i="42"/>
  <c r="AF68" i="42"/>
  <c r="AZ54" i="42"/>
  <c r="AV54" i="42"/>
  <c r="AR54" i="42"/>
  <c r="AN54" i="42"/>
  <c r="AJ54" i="42"/>
  <c r="AF54" i="42"/>
  <c r="AS68" i="42"/>
  <c r="AK68" i="42"/>
  <c r="AC68" i="42"/>
  <c r="AY54" i="42"/>
  <c r="AU54" i="42"/>
  <c r="AQ54" i="42"/>
  <c r="AM54" i="42"/>
  <c r="AI54" i="42"/>
  <c r="AE54" i="42"/>
  <c r="AR68" i="42"/>
  <c r="AT54" i="42"/>
  <c r="AL54" i="42"/>
  <c r="AD54" i="42"/>
  <c r="AO68" i="42"/>
  <c r="AS54" i="42"/>
  <c r="AK54" i="42"/>
  <c r="AC54" i="42"/>
  <c r="AZ68" i="42"/>
  <c r="AJ68" i="42"/>
  <c r="AX54" i="42"/>
  <c r="AP54" i="42"/>
  <c r="AH54" i="42"/>
  <c r="AW68" i="42"/>
  <c r="AG68" i="42"/>
  <c r="AW54" i="42"/>
  <c r="AO54" i="42"/>
  <c r="AG54" i="42"/>
  <c r="AQ68" i="42"/>
  <c r="AX68" i="42"/>
  <c r="AH68" i="42"/>
  <c r="AM68" i="42"/>
  <c r="AT68" i="42"/>
  <c r="AD68" i="42"/>
  <c r="AY68" i="42"/>
  <c r="AI68" i="42"/>
  <c r="AP68" i="42"/>
  <c r="AE68" i="42"/>
  <c r="AL68" i="42"/>
  <c r="AU68" i="42"/>
  <c r="AW66" i="42"/>
  <c r="AR66" i="42"/>
  <c r="AM66" i="42"/>
  <c r="AG66" i="42"/>
  <c r="AZ52" i="42"/>
  <c r="AV52" i="42"/>
  <c r="AR52" i="42"/>
  <c r="AN52" i="42"/>
  <c r="AJ52" i="42"/>
  <c r="AF52" i="42"/>
  <c r="AV66" i="42"/>
  <c r="AQ66" i="42"/>
  <c r="AK66" i="42"/>
  <c r="AF66" i="42"/>
  <c r="AY52" i="42"/>
  <c r="AU52" i="42"/>
  <c r="AQ52" i="42"/>
  <c r="AM52" i="42"/>
  <c r="AI52" i="42"/>
  <c r="AE52" i="42"/>
  <c r="AU66" i="42"/>
  <c r="AJ66" i="42"/>
  <c r="AT52" i="42"/>
  <c r="AL52" i="42"/>
  <c r="AD52" i="42"/>
  <c r="AS66" i="42"/>
  <c r="AI66" i="42"/>
  <c r="AS52" i="42"/>
  <c r="AK52" i="42"/>
  <c r="AC52" i="42"/>
  <c r="AZ66" i="42"/>
  <c r="AO66" i="42"/>
  <c r="AE66" i="42"/>
  <c r="AX52" i="42"/>
  <c r="AP52" i="42"/>
  <c r="AH52" i="42"/>
  <c r="AY66" i="42"/>
  <c r="AW52" i="42"/>
  <c r="AN66" i="42"/>
  <c r="AO52" i="42"/>
  <c r="AG52" i="42"/>
  <c r="AC66" i="42"/>
  <c r="AP66" i="42"/>
  <c r="AL66" i="42"/>
  <c r="AX66" i="42"/>
  <c r="AH66" i="42"/>
  <c r="AT66" i="42"/>
  <c r="AD66" i="42"/>
  <c r="J34" i="37"/>
  <c r="M34" i="37"/>
  <c r="J32" i="37"/>
  <c r="M31" i="37"/>
  <c r="M32" i="37"/>
  <c r="J31" i="37"/>
  <c r="J39" i="37"/>
  <c r="M39" i="37"/>
  <c r="M42" i="37"/>
  <c r="J42" i="37"/>
  <c r="G50" i="37"/>
  <c r="M48" i="37" s="1"/>
  <c r="G64" i="37"/>
  <c r="C67" i="37"/>
  <c r="F5" i="37"/>
  <c r="C53" i="37"/>
  <c r="C33" i="37"/>
  <c r="F13" i="37"/>
  <c r="F21" i="37"/>
  <c r="C65" i="37"/>
  <c r="C51" i="37"/>
  <c r="M45" i="37"/>
  <c r="J46" i="37"/>
  <c r="M46" i="37"/>
  <c r="J45" i="37"/>
  <c r="C38" i="37"/>
  <c r="F38" i="37" s="1"/>
  <c r="F2" i="37"/>
  <c r="C46" i="37"/>
  <c r="F10" i="37"/>
  <c r="C75" i="37"/>
  <c r="F18" i="37"/>
  <c r="C61" i="37"/>
  <c r="M43" i="37"/>
  <c r="J43" i="37"/>
  <c r="F27" i="37"/>
  <c r="C76" i="37"/>
  <c r="C62" i="37"/>
  <c r="M32" i="16"/>
  <c r="J32" i="16"/>
  <c r="J31" i="16"/>
  <c r="G67" i="16"/>
  <c r="G53" i="16"/>
  <c r="J47" i="16"/>
  <c r="G69" i="16"/>
  <c r="G55" i="16"/>
  <c r="C53" i="16"/>
  <c r="F5" i="16"/>
  <c r="C67" i="16"/>
  <c r="J44" i="16"/>
  <c r="M44" i="16"/>
  <c r="G62" i="16"/>
  <c r="G76" i="16"/>
  <c r="J38" i="16"/>
  <c r="M38" i="16"/>
  <c r="G75" i="16"/>
  <c r="G61" i="16"/>
  <c r="C41" i="16"/>
  <c r="F41" i="16" s="1"/>
  <c r="F8" i="16"/>
  <c r="C51" i="16"/>
  <c r="F21" i="16"/>
  <c r="C65" i="16"/>
  <c r="C46" i="16"/>
  <c r="F10" i="16"/>
  <c r="C36" i="16"/>
  <c r="F36" i="16" s="1"/>
  <c r="F26" i="16"/>
  <c r="C68" i="16"/>
  <c r="F9" i="16"/>
  <c r="C54" i="16"/>
  <c r="C64" i="16"/>
  <c r="C50" i="16"/>
  <c r="F25" i="16"/>
  <c r="CZ19" i="18"/>
  <c r="AT19" i="18"/>
  <c r="CZ12" i="18"/>
  <c r="AT12" i="18"/>
  <c r="CZ28" i="18"/>
  <c r="AT28" i="18"/>
  <c r="CZ3" i="18"/>
  <c r="AT3" i="18"/>
  <c r="CZ9" i="18"/>
  <c r="AT9" i="18"/>
  <c r="CZ6" i="18"/>
  <c r="AT6" i="18"/>
  <c r="CZ22" i="18"/>
  <c r="AT22" i="18"/>
  <c r="AF31" i="38"/>
  <c r="AF32" i="38"/>
  <c r="BW73" i="38"/>
  <c r="CK73" i="38" s="1"/>
  <c r="BW59" i="38"/>
  <c r="CK59" i="38" s="1"/>
  <c r="EC74" i="38"/>
  <c r="EQ74" i="38" s="1"/>
  <c r="EC60" i="38"/>
  <c r="EQ60" i="38" s="1"/>
  <c r="CK46" i="38"/>
  <c r="CK45" i="38"/>
  <c r="BW64" i="38"/>
  <c r="BW50" i="38"/>
  <c r="CK50" i="38" s="1"/>
  <c r="U69" i="38"/>
  <c r="AF69" i="38" s="1"/>
  <c r="U55" i="38"/>
  <c r="AF55" i="38" s="1"/>
  <c r="CZ9" i="38"/>
  <c r="J68" i="38"/>
  <c r="J54" i="38"/>
  <c r="AT9" i="38"/>
  <c r="CZ21" i="38"/>
  <c r="J65" i="38"/>
  <c r="J51" i="38"/>
  <c r="AT21" i="38"/>
  <c r="U52" i="38"/>
  <c r="AF52" i="38" s="1"/>
  <c r="U66" i="38"/>
  <c r="AF66" i="38" s="1"/>
  <c r="BW65" i="38"/>
  <c r="CK65" i="38" s="1"/>
  <c r="BW51" i="38"/>
  <c r="CK51" i="38" s="1"/>
  <c r="U61" i="38"/>
  <c r="AF61" i="38" s="1"/>
  <c r="U75" i="38"/>
  <c r="AF75" i="38" s="1"/>
  <c r="J70" i="38"/>
  <c r="CZ20" i="38"/>
  <c r="J56" i="38"/>
  <c r="AT20" i="38"/>
  <c r="EC52" i="38"/>
  <c r="EQ52" i="38" s="1"/>
  <c r="EC66" i="38"/>
  <c r="EQ66" i="38" s="1"/>
  <c r="EC50" i="38"/>
  <c r="EQ50" i="38" s="1"/>
  <c r="EC64" i="38"/>
  <c r="EC67" i="38"/>
  <c r="EQ67" i="38" s="1"/>
  <c r="EC53" i="38"/>
  <c r="EQ53" i="38" s="1"/>
  <c r="CZ8" i="38"/>
  <c r="J41" i="38"/>
  <c r="AT8" i="38"/>
  <c r="EC65" i="38"/>
  <c r="EQ65" i="38" s="1"/>
  <c r="EC51" i="38"/>
  <c r="EQ51" i="38" s="1"/>
  <c r="CZ27" i="38"/>
  <c r="J76" i="38"/>
  <c r="AT27" i="38"/>
  <c r="J62" i="38"/>
  <c r="CU57" i="30"/>
  <c r="CU71" i="30"/>
  <c r="CU50" i="30"/>
  <c r="CU48" i="30" s="1"/>
  <c r="CU64" i="30"/>
  <c r="CU51" i="30"/>
  <c r="CU65" i="30"/>
  <c r="CU66" i="30"/>
  <c r="CU52" i="30"/>
  <c r="CU54" i="30"/>
  <c r="CU68" i="30"/>
  <c r="CU53" i="30"/>
  <c r="CU67" i="30"/>
  <c r="CU31" i="43"/>
  <c r="BV53" i="29"/>
  <c r="BV67" i="29"/>
  <c r="AW35" i="29"/>
  <c r="BV30" i="30"/>
  <c r="AW43" i="29"/>
  <c r="BV28" i="30"/>
  <c r="AW36" i="29"/>
  <c r="BV26" i="30"/>
  <c r="AW55" i="29"/>
  <c r="AW69" i="29"/>
  <c r="BV24" i="30"/>
  <c r="AW37" i="29"/>
  <c r="BV22" i="30"/>
  <c r="AW56" i="29"/>
  <c r="AW70" i="29"/>
  <c r="BV20" i="30"/>
  <c r="AW61" i="29"/>
  <c r="AW75" i="29"/>
  <c r="BV18" i="30"/>
  <c r="AW58" i="29"/>
  <c r="AW72" i="29"/>
  <c r="BV16" i="30"/>
  <c r="AW34" i="29"/>
  <c r="BV14" i="30"/>
  <c r="AW39" i="29"/>
  <c r="BV11" i="30"/>
  <c r="AW59" i="29"/>
  <c r="AW73" i="29"/>
  <c r="BV7" i="30"/>
  <c r="BV7" i="42"/>
  <c r="AW73" i="41"/>
  <c r="AW59" i="41"/>
  <c r="BV7" i="43"/>
  <c r="BV15" i="42"/>
  <c r="BV44" i="42" s="1"/>
  <c r="AW44" i="41"/>
  <c r="BV15" i="43"/>
  <c r="BV44" i="43" s="1"/>
  <c r="AW49" i="41"/>
  <c r="BV23" i="42"/>
  <c r="BV49" i="42" s="1"/>
  <c r="BV23" i="43"/>
  <c r="BV49" i="43" s="1"/>
  <c r="BV68" i="29"/>
  <c r="BV54" i="29"/>
  <c r="AW53" i="29"/>
  <c r="AW67" i="29"/>
  <c r="BV5" i="30"/>
  <c r="AW41" i="41"/>
  <c r="BV8" i="42"/>
  <c r="BV41" i="42" s="1"/>
  <c r="BV8" i="43"/>
  <c r="BV41" i="43" s="1"/>
  <c r="BV16" i="42"/>
  <c r="AW72" i="41"/>
  <c r="AW58" i="41"/>
  <c r="BV16" i="43"/>
  <c r="BV24" i="42"/>
  <c r="AW55" i="41"/>
  <c r="AW69" i="41"/>
  <c r="BV24" i="43"/>
  <c r="BV52" i="41"/>
  <c r="BV66" i="41"/>
  <c r="BV65" i="41"/>
  <c r="BV51" i="41"/>
  <c r="BU45" i="41"/>
  <c r="BV67" i="41"/>
  <c r="BV53" i="41"/>
  <c r="CU45" i="42"/>
  <c r="CU75" i="42"/>
  <c r="CU61" i="42"/>
  <c r="CN45" i="30"/>
  <c r="CN51" i="30"/>
  <c r="CN65" i="30"/>
  <c r="CN31" i="43"/>
  <c r="AP65" i="29"/>
  <c r="AP51" i="29"/>
  <c r="BO21" i="30"/>
  <c r="AP44" i="29"/>
  <c r="BO15" i="30"/>
  <c r="BO69" i="29"/>
  <c r="BO55" i="29"/>
  <c r="AP35" i="29"/>
  <c r="BO30" i="30"/>
  <c r="AP36" i="29"/>
  <c r="BO26" i="30"/>
  <c r="AP37" i="29"/>
  <c r="BO22" i="30"/>
  <c r="AP61" i="29"/>
  <c r="AP75" i="29"/>
  <c r="BO18" i="30"/>
  <c r="AP34" i="29"/>
  <c r="BO14" i="30"/>
  <c r="BO66" i="41"/>
  <c r="BO52" i="41"/>
  <c r="BO65" i="41"/>
  <c r="BO51" i="41"/>
  <c r="AP39" i="29"/>
  <c r="BO11" i="30"/>
  <c r="AP68" i="29"/>
  <c r="AP54" i="29"/>
  <c r="BO9" i="30"/>
  <c r="AP59" i="29"/>
  <c r="AP73" i="29"/>
  <c r="BO7" i="30"/>
  <c r="AP53" i="29"/>
  <c r="AP67" i="29"/>
  <c r="BO5" i="30"/>
  <c r="AP32" i="29"/>
  <c r="BO3" i="30"/>
  <c r="BO54" i="41"/>
  <c r="BO68" i="41"/>
  <c r="BO2" i="42"/>
  <c r="BO38" i="42" s="1"/>
  <c r="AP38" i="41"/>
  <c r="BO2" i="43"/>
  <c r="BO38" i="43" s="1"/>
  <c r="BO6" i="42"/>
  <c r="BO47" i="42" s="1"/>
  <c r="AP47" i="41"/>
  <c r="BO6" i="43"/>
  <c r="BO47" i="43" s="1"/>
  <c r="BO10" i="42"/>
  <c r="BO46" i="42" s="1"/>
  <c r="AP46" i="41"/>
  <c r="AP45" i="41" s="1"/>
  <c r="BO10" i="43"/>
  <c r="BO46" i="43" s="1"/>
  <c r="BO45" i="43" s="1"/>
  <c r="BO14" i="42"/>
  <c r="BO34" i="42" s="1"/>
  <c r="AP34" i="41"/>
  <c r="BO14" i="43"/>
  <c r="BO34" i="43" s="1"/>
  <c r="BO18" i="42"/>
  <c r="AP75" i="41"/>
  <c r="AP61" i="41"/>
  <c r="BO18" i="43"/>
  <c r="BO22" i="42"/>
  <c r="BO37" i="42" s="1"/>
  <c r="AP37" i="41"/>
  <c r="BO22" i="43"/>
  <c r="BO37" i="43" s="1"/>
  <c r="BO26" i="42"/>
  <c r="BO36" i="42" s="1"/>
  <c r="AP36" i="41"/>
  <c r="BO26" i="43"/>
  <c r="BO36" i="43" s="1"/>
  <c r="BO30" i="42"/>
  <c r="BO35" i="42" s="1"/>
  <c r="AP35" i="41"/>
  <c r="BO30" i="43"/>
  <c r="BO35" i="43" s="1"/>
  <c r="CN74" i="42"/>
  <c r="CN60" i="42"/>
  <c r="CN72" i="42"/>
  <c r="CN58" i="42"/>
  <c r="CN70" i="42"/>
  <c r="CN56" i="42"/>
  <c r="CN69" i="42"/>
  <c r="CN55" i="42"/>
  <c r="CG71" i="30"/>
  <c r="CG57" i="30"/>
  <c r="CG50" i="30"/>
  <c r="CG48" i="30" s="1"/>
  <c r="CG64" i="30"/>
  <c r="CG65" i="30"/>
  <c r="CG51" i="30"/>
  <c r="CG52" i="30"/>
  <c r="CG66" i="30"/>
  <c r="CG68" i="30"/>
  <c r="CG54" i="30"/>
  <c r="CG67" i="30"/>
  <c r="CG53" i="30"/>
  <c r="CG31" i="43"/>
  <c r="AI39" i="29"/>
  <c r="BH11" i="30"/>
  <c r="AI59" i="29"/>
  <c r="AI73" i="29"/>
  <c r="BH7" i="30"/>
  <c r="CG56" i="42"/>
  <c r="CG70" i="42"/>
  <c r="AI46" i="29"/>
  <c r="BH10" i="30"/>
  <c r="AI47" i="29"/>
  <c r="BH6" i="30"/>
  <c r="AI35" i="29"/>
  <c r="BH30" i="30"/>
  <c r="AI43" i="29"/>
  <c r="BH28" i="30"/>
  <c r="AI36" i="29"/>
  <c r="BH26" i="30"/>
  <c r="AI55" i="29"/>
  <c r="AI69" i="29"/>
  <c r="BH24" i="30"/>
  <c r="AI37" i="29"/>
  <c r="BH22" i="30"/>
  <c r="AI70" i="29"/>
  <c r="AI56" i="29"/>
  <c r="BH20" i="30"/>
  <c r="AI61" i="29"/>
  <c r="AI75" i="29"/>
  <c r="BH18" i="30"/>
  <c r="AI72" i="29"/>
  <c r="AI58" i="29"/>
  <c r="BH16" i="30"/>
  <c r="AI34" i="29"/>
  <c r="BH14" i="30"/>
  <c r="BH53" i="29"/>
  <c r="BH67" i="29"/>
  <c r="BH31" i="29"/>
  <c r="BH69" i="41"/>
  <c r="BH55" i="41"/>
  <c r="BH5" i="42"/>
  <c r="AI53" i="41"/>
  <c r="AI67" i="41"/>
  <c r="BH5" i="43"/>
  <c r="BH9" i="42"/>
  <c r="AI68" i="41"/>
  <c r="AI54" i="41"/>
  <c r="BH9" i="43"/>
  <c r="BH13" i="42"/>
  <c r="BH33" i="42" s="1"/>
  <c r="AI33" i="41"/>
  <c r="BH13" i="43"/>
  <c r="BH33" i="43" s="1"/>
  <c r="BH17" i="42"/>
  <c r="AI66" i="41"/>
  <c r="AI52" i="41"/>
  <c r="BH17" i="43"/>
  <c r="BH21" i="42"/>
  <c r="AI65" i="41"/>
  <c r="AI51" i="41"/>
  <c r="BH21" i="43"/>
  <c r="BH25" i="42"/>
  <c r="AI64" i="41"/>
  <c r="AI50" i="41"/>
  <c r="BH25" i="43"/>
  <c r="BH29" i="42"/>
  <c r="AI57" i="41"/>
  <c r="AI71" i="41"/>
  <c r="BH29" i="43"/>
  <c r="CG50" i="42"/>
  <c r="CG48" i="42" s="1"/>
  <c r="CG64" i="42"/>
  <c r="CG45" i="42"/>
  <c r="CG61" i="42"/>
  <c r="CG75" i="42"/>
  <c r="K38" i="16"/>
  <c r="H38" i="16"/>
  <c r="H34" i="16"/>
  <c r="D66" i="37"/>
  <c r="D52" i="37"/>
  <c r="AH64" i="37"/>
  <c r="AH63" i="37"/>
  <c r="AH66" i="37"/>
  <c r="AH74" i="37"/>
  <c r="E46" i="45"/>
  <c r="E45" i="45" s="1"/>
  <c r="C45" i="45"/>
  <c r="CH65" i="43"/>
  <c r="AN65" i="43"/>
  <c r="CS65" i="43"/>
  <c r="CC65" i="43"/>
  <c r="AM65" i="43"/>
  <c r="CR65" i="43"/>
  <c r="AX65" i="43"/>
  <c r="AH65" i="43"/>
  <c r="CI65" i="43"/>
  <c r="AO65" i="43"/>
  <c r="CP51" i="43"/>
  <c r="AV51" i="43"/>
  <c r="AF51" i="43"/>
  <c r="CK51" i="43"/>
  <c r="AU51" i="43"/>
  <c r="AE51" i="43"/>
  <c r="CJ51" i="43"/>
  <c r="AP51" i="43"/>
  <c r="CQ51" i="43"/>
  <c r="AW51" i="43"/>
  <c r="AG51" i="43"/>
  <c r="CL65" i="43"/>
  <c r="CG65" i="43"/>
  <c r="CV65" i="43"/>
  <c r="AL65" i="43"/>
  <c r="CT51" i="43"/>
  <c r="CO51" i="43"/>
  <c r="AI51" i="43"/>
  <c r="CU51" i="43"/>
  <c r="AK51" i="43"/>
  <c r="CT65" i="43"/>
  <c r="CD65" i="43"/>
  <c r="AJ65" i="43"/>
  <c r="CO65" i="43"/>
  <c r="AY65" i="43"/>
  <c r="AI65" i="43"/>
  <c r="CN65" i="43"/>
  <c r="AT65" i="43"/>
  <c r="CU65" i="43"/>
  <c r="CE65" i="43"/>
  <c r="AK65" i="43"/>
  <c r="CL51" i="43"/>
  <c r="AR51" i="43"/>
  <c r="CW51" i="43"/>
  <c r="CG51" i="43"/>
  <c r="AQ51" i="43"/>
  <c r="CV51" i="43"/>
  <c r="CF51" i="43"/>
  <c r="AL51" i="43"/>
  <c r="CM51" i="43"/>
  <c r="AS51" i="43"/>
  <c r="AR65" i="43"/>
  <c r="AQ65" i="43"/>
  <c r="CF65" i="43"/>
  <c r="CM65" i="43"/>
  <c r="CD51" i="43"/>
  <c r="AJ51" i="43"/>
  <c r="AY51" i="43"/>
  <c r="AT51" i="43"/>
  <c r="CE51" i="43"/>
  <c r="CP65" i="43"/>
  <c r="AV65" i="43"/>
  <c r="AF65" i="43"/>
  <c r="CK65" i="43"/>
  <c r="AU65" i="43"/>
  <c r="AE65" i="43"/>
  <c r="CJ65" i="43"/>
  <c r="AP65" i="43"/>
  <c r="CQ65" i="43"/>
  <c r="AW65" i="43"/>
  <c r="AG65" i="43"/>
  <c r="CH51" i="43"/>
  <c r="AN51" i="43"/>
  <c r="CS51" i="43"/>
  <c r="CC51" i="43"/>
  <c r="AM51" i="43"/>
  <c r="CR51" i="43"/>
  <c r="AX51" i="43"/>
  <c r="AH51" i="43"/>
  <c r="CI51" i="43"/>
  <c r="AO51" i="43"/>
  <c r="CW65" i="43"/>
  <c r="AS65" i="43"/>
  <c r="CN51" i="43"/>
  <c r="CN73" i="43"/>
  <c r="AT73" i="43"/>
  <c r="CW73" i="43"/>
  <c r="AV73" i="43"/>
  <c r="CU73" i="43"/>
  <c r="AU73" i="43"/>
  <c r="CT73" i="43"/>
  <c r="AY73" i="43"/>
  <c r="CS73" i="43"/>
  <c r="AW73" i="43"/>
  <c r="CT59" i="43"/>
  <c r="CD59" i="43"/>
  <c r="AJ59" i="43"/>
  <c r="CO59" i="43"/>
  <c r="AY59" i="43"/>
  <c r="AI59" i="43"/>
  <c r="CN59" i="43"/>
  <c r="AT59" i="43"/>
  <c r="CU59" i="43"/>
  <c r="CE59" i="43"/>
  <c r="AK59" i="43"/>
  <c r="CJ73" i="43"/>
  <c r="AP73" i="43"/>
  <c r="CQ73" i="43"/>
  <c r="AQ73" i="43"/>
  <c r="CP73" i="43"/>
  <c r="AO73" i="43"/>
  <c r="CO73" i="43"/>
  <c r="AS73" i="43"/>
  <c r="CM73" i="43"/>
  <c r="AR73" i="43"/>
  <c r="CP59" i="43"/>
  <c r="AV59" i="43"/>
  <c r="AF59" i="43"/>
  <c r="CK59" i="43"/>
  <c r="AU59" i="43"/>
  <c r="AE59" i="43"/>
  <c r="CJ59" i="43"/>
  <c r="AP59" i="43"/>
  <c r="CQ59" i="43"/>
  <c r="AW59" i="43"/>
  <c r="AG59" i="43"/>
  <c r="CR73" i="43"/>
  <c r="AX73" i="43"/>
  <c r="AH73" i="43"/>
  <c r="AF73" i="43"/>
  <c r="CE73" i="43"/>
  <c r="CD73" i="43"/>
  <c r="AI73" i="43"/>
  <c r="AG73" i="43"/>
  <c r="AN59" i="43"/>
  <c r="CC59" i="43"/>
  <c r="CR59" i="43"/>
  <c r="AX59" i="43"/>
  <c r="CI59" i="43"/>
  <c r="AO59" i="43"/>
  <c r="CV73" i="43"/>
  <c r="CF73" i="43"/>
  <c r="AL73" i="43"/>
  <c r="CL73" i="43"/>
  <c r="AK73" i="43"/>
  <c r="CK73" i="43"/>
  <c r="AJ73" i="43"/>
  <c r="CI73" i="43"/>
  <c r="AN73" i="43"/>
  <c r="CH73" i="43"/>
  <c r="AM73" i="43"/>
  <c r="CL59" i="43"/>
  <c r="AR59" i="43"/>
  <c r="CW59" i="43"/>
  <c r="CG59" i="43"/>
  <c r="AQ59" i="43"/>
  <c r="CV59" i="43"/>
  <c r="CF59" i="43"/>
  <c r="AL59" i="43"/>
  <c r="CM59" i="43"/>
  <c r="AS59" i="43"/>
  <c r="CG73" i="43"/>
  <c r="AE73" i="43"/>
  <c r="CC73" i="43"/>
  <c r="CH59" i="43"/>
  <c r="CS59" i="43"/>
  <c r="AM59" i="43"/>
  <c r="AH59" i="43"/>
  <c r="CJ71" i="43"/>
  <c r="AP71" i="43"/>
  <c r="CQ71" i="43"/>
  <c r="CK71" i="43"/>
  <c r="AJ71" i="43"/>
  <c r="CL57" i="43"/>
  <c r="AR57" i="43"/>
  <c r="CP71" i="43"/>
  <c r="AS71" i="43"/>
  <c r="CS57" i="43"/>
  <c r="CC57" i="43"/>
  <c r="AM57" i="43"/>
  <c r="CH71" i="43"/>
  <c r="AM71" i="43"/>
  <c r="CN57" i="43"/>
  <c r="AT57" i="43"/>
  <c r="CU71" i="43"/>
  <c r="AQ71" i="43"/>
  <c r="CQ57" i="43"/>
  <c r="AW57" i="43"/>
  <c r="AG57" i="43"/>
  <c r="CV71" i="43"/>
  <c r="CF71" i="43"/>
  <c r="AL71" i="43"/>
  <c r="CL71" i="43"/>
  <c r="CE71" i="43"/>
  <c r="AE71" i="43"/>
  <c r="CH57" i="43"/>
  <c r="AN57" i="43"/>
  <c r="CI71" i="43"/>
  <c r="AN71" i="43"/>
  <c r="CO57" i="43"/>
  <c r="AY57" i="43"/>
  <c r="AI57" i="43"/>
  <c r="CC71" i="43"/>
  <c r="AG71" i="43"/>
  <c r="CJ57" i="43"/>
  <c r="AP57" i="43"/>
  <c r="CM71" i="43"/>
  <c r="AK71" i="43"/>
  <c r="CM57" i="43"/>
  <c r="AS57" i="43"/>
  <c r="AT71" i="43"/>
  <c r="CT71" i="43"/>
  <c r="CP57" i="43"/>
  <c r="AV57" i="43"/>
  <c r="AY71" i="43"/>
  <c r="CG57" i="43"/>
  <c r="CO71" i="43"/>
  <c r="AR71" i="43"/>
  <c r="AX57" i="43"/>
  <c r="AH57" i="43"/>
  <c r="CU57" i="43"/>
  <c r="AK57" i="43"/>
  <c r="CR71" i="43"/>
  <c r="AX71" i="43"/>
  <c r="AH71" i="43"/>
  <c r="CS71" i="43"/>
  <c r="AU71" i="43"/>
  <c r="CT57" i="43"/>
  <c r="CD57" i="43"/>
  <c r="AJ57" i="43"/>
  <c r="CD71" i="43"/>
  <c r="AI71" i="43"/>
  <c r="CK57" i="43"/>
  <c r="AU57" i="43"/>
  <c r="AE57" i="43"/>
  <c r="AW71" i="43"/>
  <c r="CV57" i="43"/>
  <c r="CF57" i="43"/>
  <c r="AL57" i="43"/>
  <c r="CG71" i="43"/>
  <c r="AF71" i="43"/>
  <c r="CI57" i="43"/>
  <c r="AO57" i="43"/>
  <c r="CN71" i="43"/>
  <c r="CW71" i="43"/>
  <c r="AO71" i="43"/>
  <c r="AF57" i="43"/>
  <c r="CW57" i="43"/>
  <c r="AQ57" i="43"/>
  <c r="CR57" i="43"/>
  <c r="AV71" i="43"/>
  <c r="CE57" i="43"/>
  <c r="CJ76" i="43"/>
  <c r="AP76" i="43"/>
  <c r="CQ76" i="43"/>
  <c r="AQ76" i="43"/>
  <c r="CP76" i="43"/>
  <c r="AO76" i="43"/>
  <c r="CO76" i="43"/>
  <c r="AS76" i="43"/>
  <c r="CM76" i="43"/>
  <c r="AR76" i="43"/>
  <c r="CP62" i="43"/>
  <c r="AV62" i="43"/>
  <c r="AF62" i="43"/>
  <c r="CK62" i="43"/>
  <c r="AU62" i="43"/>
  <c r="AE62" i="43"/>
  <c r="CJ62" i="43"/>
  <c r="AP62" i="43"/>
  <c r="CQ62" i="43"/>
  <c r="AW62" i="43"/>
  <c r="AG62" i="43"/>
  <c r="AT76" i="43"/>
  <c r="AV76" i="43"/>
  <c r="AU76" i="43"/>
  <c r="AY76" i="43"/>
  <c r="CT62" i="43"/>
  <c r="AJ62" i="43"/>
  <c r="AY62" i="43"/>
  <c r="CN62" i="43"/>
  <c r="CU62" i="43"/>
  <c r="AK62" i="43"/>
  <c r="CV76" i="43"/>
  <c r="CF76" i="43"/>
  <c r="AL76" i="43"/>
  <c r="CL76" i="43"/>
  <c r="AK76" i="43"/>
  <c r="CK76" i="43"/>
  <c r="AJ76" i="43"/>
  <c r="CI76" i="43"/>
  <c r="AN76" i="43"/>
  <c r="CH76" i="43"/>
  <c r="AM76" i="43"/>
  <c r="CL62" i="43"/>
  <c r="AR62" i="43"/>
  <c r="CW62" i="43"/>
  <c r="CG62" i="43"/>
  <c r="AQ62" i="43"/>
  <c r="CV62" i="43"/>
  <c r="CF62" i="43"/>
  <c r="AL62" i="43"/>
  <c r="CM62" i="43"/>
  <c r="AS62" i="43"/>
  <c r="CN76" i="43"/>
  <c r="CW76" i="43"/>
  <c r="CU76" i="43"/>
  <c r="CT76" i="43"/>
  <c r="AW76" i="43"/>
  <c r="CD62" i="43"/>
  <c r="CO62" i="43"/>
  <c r="AI62" i="43"/>
  <c r="AT62" i="43"/>
  <c r="CR76" i="43"/>
  <c r="AX76" i="43"/>
  <c r="AH76" i="43"/>
  <c r="CG76" i="43"/>
  <c r="AF76" i="43"/>
  <c r="CE76" i="43"/>
  <c r="AE76" i="43"/>
  <c r="CD76" i="43"/>
  <c r="AI76" i="43"/>
  <c r="CC76" i="43"/>
  <c r="AG76" i="43"/>
  <c r="CH62" i="43"/>
  <c r="AN62" i="43"/>
  <c r="CS62" i="43"/>
  <c r="CC62" i="43"/>
  <c r="AM62" i="43"/>
  <c r="CR62" i="43"/>
  <c r="AX62" i="43"/>
  <c r="AH62" i="43"/>
  <c r="CI62" i="43"/>
  <c r="AO62" i="43"/>
  <c r="CS76" i="43"/>
  <c r="CE62" i="43"/>
  <c r="CR70" i="43"/>
  <c r="CU70" i="43"/>
  <c r="AV70" i="43"/>
  <c r="AF70" i="43"/>
  <c r="CH56" i="43"/>
  <c r="AN56" i="43"/>
  <c r="CI70" i="43"/>
  <c r="AQ70" i="43"/>
  <c r="CW56" i="43"/>
  <c r="CG56" i="43"/>
  <c r="AQ56" i="43"/>
  <c r="CM70" i="43"/>
  <c r="AT70" i="43"/>
  <c r="CV56" i="43"/>
  <c r="CF56" i="43"/>
  <c r="CL70" i="43"/>
  <c r="AO70" i="43"/>
  <c r="CQ56" i="43"/>
  <c r="AW56" i="43"/>
  <c r="AS56" i="43"/>
  <c r="AH56" i="43"/>
  <c r="CN70" i="43"/>
  <c r="CP70" i="43"/>
  <c r="AR70" i="43"/>
  <c r="CT56" i="43"/>
  <c r="CD56" i="43"/>
  <c r="AJ56" i="43"/>
  <c r="CD70" i="43"/>
  <c r="AM70" i="43"/>
  <c r="CS56" i="43"/>
  <c r="CC56" i="43"/>
  <c r="AM56" i="43"/>
  <c r="CH70" i="43"/>
  <c r="AP70" i="43"/>
  <c r="CR56" i="43"/>
  <c r="AX56" i="43"/>
  <c r="CG70" i="43"/>
  <c r="AK70" i="43"/>
  <c r="CM56" i="43"/>
  <c r="AT56" i="43"/>
  <c r="AK56" i="43"/>
  <c r="AO56" i="43"/>
  <c r="CV70" i="43"/>
  <c r="CE70" i="43"/>
  <c r="AJ70" i="43"/>
  <c r="CL56" i="43"/>
  <c r="AR56" i="43"/>
  <c r="CO70" i="43"/>
  <c r="AU70" i="43"/>
  <c r="AE70" i="43"/>
  <c r="AU56" i="43"/>
  <c r="CS70" i="43"/>
  <c r="AX70" i="43"/>
  <c r="CJ56" i="43"/>
  <c r="CQ70" i="43"/>
  <c r="CU56" i="43"/>
  <c r="CE56" i="43"/>
  <c r="AP56" i="43"/>
  <c r="CJ70" i="43"/>
  <c r="CK70" i="43"/>
  <c r="AN70" i="43"/>
  <c r="CP56" i="43"/>
  <c r="AV56" i="43"/>
  <c r="CT70" i="43"/>
  <c r="AY70" i="43"/>
  <c r="AI70" i="43"/>
  <c r="CO56" i="43"/>
  <c r="AY56" i="43"/>
  <c r="AI56" i="43"/>
  <c r="CC70" i="43"/>
  <c r="AL70" i="43"/>
  <c r="CN56" i="43"/>
  <c r="CW70" i="43"/>
  <c r="AW70" i="43"/>
  <c r="AG70" i="43"/>
  <c r="CI56" i="43"/>
  <c r="AL56" i="43"/>
  <c r="AE56" i="43"/>
  <c r="AG56" i="43"/>
  <c r="CF70" i="43"/>
  <c r="CK56" i="43"/>
  <c r="AH70" i="43"/>
  <c r="AS70" i="43"/>
  <c r="AF56" i="43"/>
  <c r="AY45" i="43"/>
  <c r="Z46" i="29"/>
  <c r="Z10" i="30"/>
  <c r="Z35" i="29"/>
  <c r="C35" i="29" s="1"/>
  <c r="Z30" i="30"/>
  <c r="Z36" i="29"/>
  <c r="Z26" i="30"/>
  <c r="Z37" i="29"/>
  <c r="Z22" i="30"/>
  <c r="Z75" i="29"/>
  <c r="Z61" i="29"/>
  <c r="Z18" i="30"/>
  <c r="Z34" i="29"/>
  <c r="Z14" i="30"/>
  <c r="Z32" i="29"/>
  <c r="Z3" i="30"/>
  <c r="Z2" i="42"/>
  <c r="Z38" i="42" s="1"/>
  <c r="Z38" i="41"/>
  <c r="Z2" i="43"/>
  <c r="Z38" i="43" s="1"/>
  <c r="Z6" i="42"/>
  <c r="Z47" i="42" s="1"/>
  <c r="Z47" i="41"/>
  <c r="Z6" i="43"/>
  <c r="Z47" i="43" s="1"/>
  <c r="Z10" i="42"/>
  <c r="Z46" i="42" s="1"/>
  <c r="Z46" i="41"/>
  <c r="Z45" i="41" s="1"/>
  <c r="Z10" i="43"/>
  <c r="Z46" i="43" s="1"/>
  <c r="Z45" i="43" s="1"/>
  <c r="Z14" i="42"/>
  <c r="Z34" i="42" s="1"/>
  <c r="Z34" i="41"/>
  <c r="Z14" i="43"/>
  <c r="Z34" i="43" s="1"/>
  <c r="Z18" i="42"/>
  <c r="Z61" i="41"/>
  <c r="Z75" i="41"/>
  <c r="Z18" i="43"/>
  <c r="Z22" i="42"/>
  <c r="Z37" i="42" s="1"/>
  <c r="Z37" i="41"/>
  <c r="Z22" i="43"/>
  <c r="Z37" i="43" s="1"/>
  <c r="Z26" i="42"/>
  <c r="Z36" i="42" s="1"/>
  <c r="Z36" i="41"/>
  <c r="Z26" i="43"/>
  <c r="Z36" i="43" s="1"/>
  <c r="Z30" i="42"/>
  <c r="Z35" i="42" s="1"/>
  <c r="Z35" i="41"/>
  <c r="Z30" i="43"/>
  <c r="Z35" i="43" s="1"/>
  <c r="AR31" i="30"/>
  <c r="AR31" i="43"/>
  <c r="S46" i="29"/>
  <c r="S10" i="30"/>
  <c r="S35" i="29"/>
  <c r="S30" i="30"/>
  <c r="S36" i="29"/>
  <c r="S26" i="30"/>
  <c r="S37" i="29"/>
  <c r="S22" i="30"/>
  <c r="S61" i="29"/>
  <c r="S75" i="29"/>
  <c r="S18" i="30"/>
  <c r="S34" i="29"/>
  <c r="S14" i="30"/>
  <c r="S59" i="29"/>
  <c r="S73" i="29"/>
  <c r="S7" i="30"/>
  <c r="S5" i="42"/>
  <c r="S67" i="41"/>
  <c r="S53" i="41"/>
  <c r="S5" i="43"/>
  <c r="S9" i="42"/>
  <c r="S68" i="41"/>
  <c r="S54" i="41"/>
  <c r="S9" i="43"/>
  <c r="S13" i="42"/>
  <c r="S33" i="42" s="1"/>
  <c r="S33" i="41"/>
  <c r="S13" i="43"/>
  <c r="S33" i="43" s="1"/>
  <c r="S17" i="42"/>
  <c r="S66" i="41"/>
  <c r="S52" i="41"/>
  <c r="S17" i="43"/>
  <c r="S21" i="42"/>
  <c r="S51" i="41"/>
  <c r="S65" i="41"/>
  <c r="S21" i="43"/>
  <c r="S25" i="42"/>
  <c r="S50" i="41"/>
  <c r="S64" i="41"/>
  <c r="S25" i="43"/>
  <c r="S29" i="42"/>
  <c r="S57" i="41"/>
  <c r="S71" i="41"/>
  <c r="S29" i="43"/>
  <c r="AR31" i="42"/>
  <c r="O46" i="29"/>
  <c r="O10" i="30"/>
  <c r="O71" i="29"/>
  <c r="O57" i="29"/>
  <c r="O29" i="30"/>
  <c r="O50" i="29"/>
  <c r="O64" i="29"/>
  <c r="O25" i="30"/>
  <c r="O65" i="29"/>
  <c r="O51" i="29"/>
  <c r="O21" i="30"/>
  <c r="O52" i="29"/>
  <c r="O66" i="29"/>
  <c r="O17" i="30"/>
  <c r="O33" i="29"/>
  <c r="O13" i="30"/>
  <c r="O53" i="29"/>
  <c r="O67" i="29"/>
  <c r="O5" i="30"/>
  <c r="O2" i="42"/>
  <c r="O38" i="42" s="1"/>
  <c r="O38" i="41"/>
  <c r="O2" i="43"/>
  <c r="O38" i="43" s="1"/>
  <c r="O6" i="42"/>
  <c r="O47" i="42" s="1"/>
  <c r="O47" i="41"/>
  <c r="O6" i="43"/>
  <c r="O47" i="43" s="1"/>
  <c r="O10" i="42"/>
  <c r="O46" i="42" s="1"/>
  <c r="O45" i="42" s="1"/>
  <c r="O46" i="41"/>
  <c r="O45" i="41" s="1"/>
  <c r="O10" i="43"/>
  <c r="O46" i="43" s="1"/>
  <c r="O14" i="42"/>
  <c r="O34" i="42" s="1"/>
  <c r="O34" i="41"/>
  <c r="O14" i="43"/>
  <c r="O34" i="43" s="1"/>
  <c r="O18" i="42"/>
  <c r="O75" i="41"/>
  <c r="O61" i="41"/>
  <c r="O18" i="43"/>
  <c r="O22" i="42"/>
  <c r="O37" i="42" s="1"/>
  <c r="O37" i="41"/>
  <c r="O22" i="43"/>
  <c r="O37" i="43" s="1"/>
  <c r="O26" i="42"/>
  <c r="O36" i="42" s="1"/>
  <c r="O36" i="41"/>
  <c r="O26" i="43"/>
  <c r="O36" i="43" s="1"/>
  <c r="O30" i="42"/>
  <c r="O35" i="42" s="1"/>
  <c r="O35" i="41"/>
  <c r="O30" i="43"/>
  <c r="O35" i="43" s="1"/>
  <c r="K39" i="29"/>
  <c r="K11" i="30"/>
  <c r="K57" i="29"/>
  <c r="K71" i="29"/>
  <c r="K29" i="30"/>
  <c r="K64" i="29"/>
  <c r="K50" i="29"/>
  <c r="K25" i="30"/>
  <c r="K65" i="29"/>
  <c r="K51" i="29"/>
  <c r="K21" i="30"/>
  <c r="K52" i="29"/>
  <c r="K66" i="29"/>
  <c r="K17" i="30"/>
  <c r="K33" i="29"/>
  <c r="K13" i="30"/>
  <c r="K47" i="29"/>
  <c r="K6" i="30"/>
  <c r="K5" i="42"/>
  <c r="K53" i="41"/>
  <c r="K67" i="41"/>
  <c r="K5" i="43"/>
  <c r="K9" i="42"/>
  <c r="K68" i="41"/>
  <c r="K54" i="41"/>
  <c r="K9" i="43"/>
  <c r="K13" i="42"/>
  <c r="K33" i="42" s="1"/>
  <c r="K33" i="41"/>
  <c r="K13" i="43"/>
  <c r="K33" i="43" s="1"/>
  <c r="K17" i="42"/>
  <c r="K66" i="41"/>
  <c r="K52" i="41"/>
  <c r="K17" i="43"/>
  <c r="K21" i="42"/>
  <c r="K51" i="41"/>
  <c r="K65" i="41"/>
  <c r="K21" i="43"/>
  <c r="K25" i="42"/>
  <c r="K64" i="41"/>
  <c r="K50" i="41"/>
  <c r="K25" i="43"/>
  <c r="K29" i="42"/>
  <c r="K57" i="41"/>
  <c r="K71" i="41"/>
  <c r="K29" i="43"/>
  <c r="H21" i="42"/>
  <c r="H51" i="41"/>
  <c r="H65" i="41"/>
  <c r="H21" i="43"/>
  <c r="H19" i="42"/>
  <c r="H42" i="42" s="1"/>
  <c r="H42" i="41"/>
  <c r="H19" i="43"/>
  <c r="H42" i="43" s="1"/>
  <c r="H25" i="42"/>
  <c r="H50" i="41"/>
  <c r="H64" i="41"/>
  <c r="H25" i="43"/>
  <c r="H35" i="29"/>
  <c r="H30" i="30"/>
  <c r="H36" i="29"/>
  <c r="H26" i="30"/>
  <c r="H37" i="29"/>
  <c r="H22" i="30"/>
  <c r="H61" i="29"/>
  <c r="H75" i="29"/>
  <c r="H18" i="30"/>
  <c r="H34" i="29"/>
  <c r="H14" i="30"/>
  <c r="H41" i="29"/>
  <c r="H8" i="30"/>
  <c r="H4" i="42"/>
  <c r="H40" i="42" s="1"/>
  <c r="H40" i="41"/>
  <c r="H4" i="43"/>
  <c r="H40" i="43" s="1"/>
  <c r="H12" i="42"/>
  <c r="H74" i="41"/>
  <c r="H60" i="41"/>
  <c r="H12" i="43"/>
  <c r="H20" i="42"/>
  <c r="H70" i="41"/>
  <c r="H56" i="41"/>
  <c r="H20" i="43"/>
  <c r="H28" i="42"/>
  <c r="H43" i="42" s="1"/>
  <c r="H43" i="41"/>
  <c r="H28" i="43"/>
  <c r="H43" i="43" s="1"/>
  <c r="H68" i="29"/>
  <c r="H54" i="29"/>
  <c r="H9" i="30"/>
  <c r="AC36" i="43"/>
  <c r="AB36" i="43" s="1"/>
  <c r="AW36" i="32" s="1"/>
  <c r="BA36" i="32" s="1"/>
  <c r="AB26" i="43"/>
  <c r="AW26" i="32" s="1"/>
  <c r="AB15" i="43"/>
  <c r="AW15" i="32" s="1"/>
  <c r="AC44" i="43"/>
  <c r="AB44" i="43" s="1"/>
  <c r="AC64" i="43"/>
  <c r="CA50" i="43"/>
  <c r="AB25" i="43"/>
  <c r="AW25" i="32" s="1"/>
  <c r="AC50" i="43"/>
  <c r="CA64" i="43"/>
  <c r="AB17" i="43"/>
  <c r="AW17" i="32" s="1"/>
  <c r="AC52" i="43"/>
  <c r="CA66" i="43"/>
  <c r="CA52" i="43"/>
  <c r="AC66" i="43"/>
  <c r="AC40" i="43"/>
  <c r="AB40" i="43" s="1"/>
  <c r="AW40" i="32" s="1"/>
  <c r="BA40" i="32" s="1"/>
  <c r="AB4" i="43"/>
  <c r="AW4" i="32" s="1"/>
  <c r="AB2" i="43"/>
  <c r="AW2" i="32" s="1"/>
  <c r="AC38" i="43"/>
  <c r="AB38" i="43" s="1"/>
  <c r="AW38" i="32" s="1"/>
  <c r="BA38" i="32" s="1"/>
  <c r="AB21" i="43"/>
  <c r="AW21" i="32" s="1"/>
  <c r="AC51" i="43"/>
  <c r="CA65" i="43"/>
  <c r="CA51" i="43"/>
  <c r="AC65" i="43"/>
  <c r="AB30" i="43"/>
  <c r="AW30" i="32" s="1"/>
  <c r="AC35" i="43"/>
  <c r="AB35" i="43" s="1"/>
  <c r="AW35" i="32" s="1"/>
  <c r="BA35" i="32" s="1"/>
  <c r="D46" i="29"/>
  <c r="C10" i="29"/>
  <c r="D10" i="30"/>
  <c r="C10" i="30" s="1"/>
  <c r="D43" i="29"/>
  <c r="C28" i="29"/>
  <c r="D28" i="30"/>
  <c r="D69" i="29"/>
  <c r="D55" i="29"/>
  <c r="C24" i="29"/>
  <c r="D24" i="30"/>
  <c r="D56" i="29"/>
  <c r="D70" i="29"/>
  <c r="C20" i="29"/>
  <c r="D20" i="30"/>
  <c r="D58" i="29"/>
  <c r="D72" i="29"/>
  <c r="C16" i="29"/>
  <c r="D16" i="30"/>
  <c r="D39" i="29"/>
  <c r="C11" i="29"/>
  <c r="D11" i="30"/>
  <c r="D67" i="29"/>
  <c r="D53" i="29"/>
  <c r="C5" i="29"/>
  <c r="D5" i="30"/>
  <c r="D40" i="41"/>
  <c r="D4" i="42"/>
  <c r="C4" i="41"/>
  <c r="G4" i="32" s="1"/>
  <c r="G40" i="32" s="1"/>
  <c r="D4" i="43"/>
  <c r="D41" i="41"/>
  <c r="D8" i="42"/>
  <c r="C8" i="41"/>
  <c r="G8" i="32" s="1"/>
  <c r="G41" i="32" s="1"/>
  <c r="D8" i="43"/>
  <c r="C12" i="41"/>
  <c r="G12" i="32" s="1"/>
  <c r="D12" i="42"/>
  <c r="D60" i="41"/>
  <c r="D74" i="41"/>
  <c r="D12" i="43"/>
  <c r="D16" i="42"/>
  <c r="C16" i="41"/>
  <c r="G16" i="32" s="1"/>
  <c r="D58" i="41"/>
  <c r="D72" i="41"/>
  <c r="C72" i="41" s="1"/>
  <c r="D16" i="43"/>
  <c r="D20" i="42"/>
  <c r="C20" i="41"/>
  <c r="G20" i="32" s="1"/>
  <c r="D70" i="41"/>
  <c r="D56" i="41"/>
  <c r="D20" i="43"/>
  <c r="D24" i="42"/>
  <c r="D69" i="41"/>
  <c r="C69" i="41" s="1"/>
  <c r="C24" i="41"/>
  <c r="G24" i="32" s="1"/>
  <c r="D55" i="41"/>
  <c r="D24" i="43"/>
  <c r="D28" i="42"/>
  <c r="C28" i="41"/>
  <c r="G28" i="32" s="1"/>
  <c r="G43" i="32" s="1"/>
  <c r="D43" i="41"/>
  <c r="D28" i="43"/>
  <c r="AC41" i="42"/>
  <c r="AB41" i="42" s="1"/>
  <c r="L41" i="32" s="1"/>
  <c r="P41" i="32" s="1"/>
  <c r="AB8" i="42"/>
  <c r="L8" i="32" s="1"/>
  <c r="AB16" i="42"/>
  <c r="L16" i="32" s="1"/>
  <c r="AB11" i="42"/>
  <c r="L11" i="32" s="1"/>
  <c r="AC39" i="42"/>
  <c r="AB39" i="42" s="1"/>
  <c r="L39" i="32" s="1"/>
  <c r="P39" i="32" s="1"/>
  <c r="AC38" i="42"/>
  <c r="AB38" i="42" s="1"/>
  <c r="L38" i="32" s="1"/>
  <c r="P38" i="32" s="1"/>
  <c r="AB2" i="42"/>
  <c r="L2" i="32" s="1"/>
  <c r="AC42" i="42"/>
  <c r="AB42" i="42" s="1"/>
  <c r="L42" i="32" s="1"/>
  <c r="P42" i="32" s="1"/>
  <c r="AB19" i="42"/>
  <c r="L19" i="32" s="1"/>
  <c r="AB23" i="42"/>
  <c r="L23" i="32" s="1"/>
  <c r="AB27" i="42"/>
  <c r="L27" i="32" s="1"/>
  <c r="J72" i="32"/>
  <c r="J58" i="32"/>
  <c r="J73" i="32"/>
  <c r="J59" i="32"/>
  <c r="AU73" i="32"/>
  <c r="AU59" i="32"/>
  <c r="J70" i="32"/>
  <c r="J56" i="32"/>
  <c r="AY31" i="32"/>
  <c r="AN34" i="32"/>
  <c r="AL34" i="32"/>
  <c r="AJ76" i="32"/>
  <c r="AJ62" i="32"/>
  <c r="AL39" i="32"/>
  <c r="AN39" i="32"/>
  <c r="N42" i="32"/>
  <c r="Q42" i="32"/>
  <c r="AL40" i="32"/>
  <c r="AN40" i="32"/>
  <c r="N33" i="32"/>
  <c r="AJ65" i="32"/>
  <c r="AJ51" i="32"/>
  <c r="N41" i="32"/>
  <c r="AJ69" i="32"/>
  <c r="AJ55" i="32"/>
  <c r="AJ53" i="32"/>
  <c r="AJ67" i="32"/>
  <c r="J75" i="32"/>
  <c r="J61" i="32"/>
  <c r="J69" i="32"/>
  <c r="J55" i="32"/>
  <c r="D67" i="32"/>
  <c r="D53" i="32"/>
  <c r="D68" i="32"/>
  <c r="D54" i="32"/>
  <c r="D33" i="32"/>
  <c r="D66" i="32"/>
  <c r="D52" i="32"/>
  <c r="D65" i="32"/>
  <c r="D51" i="32"/>
  <c r="D69" i="32"/>
  <c r="D55" i="32"/>
  <c r="D62" i="32"/>
  <c r="D76" i="32"/>
  <c r="AU71" i="32"/>
  <c r="AU57" i="32"/>
  <c r="AG53" i="32"/>
  <c r="AG67" i="32"/>
  <c r="AI9" i="32"/>
  <c r="AG68" i="32"/>
  <c r="AG54" i="32"/>
  <c r="AG52" i="32"/>
  <c r="AG66" i="32"/>
  <c r="AI17" i="32"/>
  <c r="AG65" i="32"/>
  <c r="AG51" i="32"/>
  <c r="AI21" i="32"/>
  <c r="AG64" i="32"/>
  <c r="AG50" i="32"/>
  <c r="AI25" i="32"/>
  <c r="AG71" i="32"/>
  <c r="AI71" i="32" s="1"/>
  <c r="AI29" i="32"/>
  <c r="AG57" i="32"/>
  <c r="BC69" i="37"/>
  <c r="BI69" i="37" s="1"/>
  <c r="BC55" i="37"/>
  <c r="BI55" i="37" s="1"/>
  <c r="AZ65" i="37"/>
  <c r="BF65" i="37" s="1"/>
  <c r="AZ51" i="37"/>
  <c r="BF51" i="37" s="1"/>
  <c r="AZ53" i="37"/>
  <c r="BF53" i="37" s="1"/>
  <c r="AZ67" i="37"/>
  <c r="BF67" i="37" s="1"/>
  <c r="AZ75" i="37"/>
  <c r="BF75" i="37" s="1"/>
  <c r="AZ61" i="37"/>
  <c r="BF61" i="37" s="1"/>
  <c r="AZ69" i="37"/>
  <c r="BF69" i="37" s="1"/>
  <c r="AZ55" i="37"/>
  <c r="BF55" i="37" s="1"/>
  <c r="BC51" i="37"/>
  <c r="BI51" i="37" s="1"/>
  <c r="BC65" i="37"/>
  <c r="BI65" i="37" s="1"/>
  <c r="BC67" i="37"/>
  <c r="BI67" i="37" s="1"/>
  <c r="BC53" i="37"/>
  <c r="BI53" i="37" s="1"/>
  <c r="BC75" i="37"/>
  <c r="BI75" i="37" s="1"/>
  <c r="BC61" i="37"/>
  <c r="BI61" i="37" s="1"/>
  <c r="BC55" i="16"/>
  <c r="BI55" i="16" s="1"/>
  <c r="BC69" i="16"/>
  <c r="BI69" i="16" s="1"/>
  <c r="BF46" i="16"/>
  <c r="BF45" i="16"/>
  <c r="AZ60" i="16"/>
  <c r="BF60" i="16" s="1"/>
  <c r="AZ74" i="16"/>
  <c r="BF74" i="16" s="1"/>
  <c r="AZ73" i="16"/>
  <c r="BF73" i="16" s="1"/>
  <c r="AZ59" i="16"/>
  <c r="BF59" i="16" s="1"/>
  <c r="AZ75" i="16"/>
  <c r="BF75" i="16" s="1"/>
  <c r="AZ61" i="16"/>
  <c r="BF61" i="16" s="1"/>
  <c r="BC76" i="16"/>
  <c r="BI76" i="16" s="1"/>
  <c r="BC62" i="16"/>
  <c r="BI62" i="16" s="1"/>
  <c r="DS71" i="18"/>
  <c r="EG71" i="18" s="1"/>
  <c r="DS57" i="18"/>
  <c r="EG57" i="18" s="1"/>
  <c r="CX45" i="31"/>
  <c r="EG32" i="18"/>
  <c r="EG31" i="18"/>
  <c r="DS62" i="18"/>
  <c r="EG62" i="18" s="1"/>
  <c r="DS76" i="18"/>
  <c r="EG76" i="18" s="1"/>
  <c r="DS65" i="18"/>
  <c r="EG65" i="18" s="1"/>
  <c r="DS51" i="18"/>
  <c r="EG51" i="18" s="1"/>
  <c r="DS54" i="18"/>
  <c r="EG54" i="18" s="1"/>
  <c r="DS68" i="18"/>
  <c r="EG68" i="18" s="1"/>
  <c r="DS55" i="18"/>
  <c r="EG55" i="18" s="1"/>
  <c r="DS69" i="18"/>
  <c r="EG69" i="18" s="1"/>
  <c r="CD31" i="30"/>
  <c r="AH62" i="37"/>
  <c r="H59" i="37"/>
  <c r="K59" i="37" s="1"/>
  <c r="H73" i="37"/>
  <c r="K73" i="37" s="1"/>
  <c r="AH69" i="37"/>
  <c r="AJ69" i="37"/>
  <c r="C48" i="45"/>
  <c r="E49" i="45"/>
  <c r="E48" i="45" s="1"/>
  <c r="AV31" i="30"/>
  <c r="W39" i="29"/>
  <c r="W11" i="30"/>
  <c r="W76" i="29"/>
  <c r="W62" i="29"/>
  <c r="W27" i="30"/>
  <c r="W49" i="29"/>
  <c r="W48" i="29" s="1"/>
  <c r="W23" i="30"/>
  <c r="W42" i="29"/>
  <c r="W19" i="30"/>
  <c r="W44" i="29"/>
  <c r="W15" i="30"/>
  <c r="W46" i="29"/>
  <c r="W45" i="29" s="1"/>
  <c r="W10" i="30"/>
  <c r="W40" i="29"/>
  <c r="W4" i="30"/>
  <c r="W3" i="42"/>
  <c r="W32" i="42" s="1"/>
  <c r="W32" i="41"/>
  <c r="W3" i="43"/>
  <c r="W32" i="43" s="1"/>
  <c r="W7" i="42"/>
  <c r="W73" i="41"/>
  <c r="W59" i="41"/>
  <c r="W7" i="43"/>
  <c r="W11" i="42"/>
  <c r="W39" i="42" s="1"/>
  <c r="W39" i="41"/>
  <c r="W11" i="43"/>
  <c r="W39" i="43" s="1"/>
  <c r="W15" i="42"/>
  <c r="W44" i="42" s="1"/>
  <c r="W44" i="41"/>
  <c r="W15" i="43"/>
  <c r="W44" i="43" s="1"/>
  <c r="W19" i="42"/>
  <c r="W42" i="42" s="1"/>
  <c r="W42" i="41"/>
  <c r="W19" i="43"/>
  <c r="W42" i="43" s="1"/>
  <c r="W23" i="42"/>
  <c r="W49" i="42" s="1"/>
  <c r="W49" i="41"/>
  <c r="W48" i="41" s="1"/>
  <c r="W23" i="43"/>
  <c r="W49" i="43" s="1"/>
  <c r="W27" i="42"/>
  <c r="W62" i="41"/>
  <c r="W76" i="41"/>
  <c r="W27" i="43"/>
  <c r="AV45" i="42"/>
  <c r="AS31" i="30"/>
  <c r="T47" i="29"/>
  <c r="T6" i="30"/>
  <c r="T62" i="29"/>
  <c r="T76" i="29"/>
  <c r="T27" i="30"/>
  <c r="T49" i="29"/>
  <c r="T48" i="29" s="1"/>
  <c r="T23" i="30"/>
  <c r="T42" i="29"/>
  <c r="T19" i="30"/>
  <c r="T44" i="29"/>
  <c r="T15" i="30"/>
  <c r="T54" i="29"/>
  <c r="T68" i="29"/>
  <c r="T9" i="30"/>
  <c r="T38" i="41"/>
  <c r="T2" i="42"/>
  <c r="T38" i="42" s="1"/>
  <c r="T2" i="43"/>
  <c r="T38" i="43" s="1"/>
  <c r="T47" i="41"/>
  <c r="T6" i="42"/>
  <c r="T47" i="42" s="1"/>
  <c r="T6" i="43"/>
  <c r="T47" i="43" s="1"/>
  <c r="T10" i="42"/>
  <c r="T46" i="42" s="1"/>
  <c r="T45" i="42" s="1"/>
  <c r="T46" i="41"/>
  <c r="T45" i="41" s="1"/>
  <c r="T10" i="43"/>
  <c r="T46" i="43" s="1"/>
  <c r="T45" i="43" s="1"/>
  <c r="T14" i="42"/>
  <c r="T34" i="42" s="1"/>
  <c r="T34" i="41"/>
  <c r="T14" i="43"/>
  <c r="T34" i="43" s="1"/>
  <c r="T18" i="42"/>
  <c r="T61" i="41"/>
  <c r="T75" i="41"/>
  <c r="T18" i="43"/>
  <c r="T22" i="42"/>
  <c r="T37" i="42" s="1"/>
  <c r="T37" i="41"/>
  <c r="T22" i="43"/>
  <c r="T37" i="43" s="1"/>
  <c r="T26" i="42"/>
  <c r="T36" i="42" s="1"/>
  <c r="T36" i="41"/>
  <c r="T26" i="43"/>
  <c r="T36" i="43" s="1"/>
  <c r="T30" i="42"/>
  <c r="T35" i="42" s="1"/>
  <c r="T35" i="41"/>
  <c r="T30" i="43"/>
  <c r="T35" i="43" s="1"/>
  <c r="AS31" i="42"/>
  <c r="AO31" i="43"/>
  <c r="P35" i="29"/>
  <c r="P30" i="30"/>
  <c r="P36" i="29"/>
  <c r="P26" i="30"/>
  <c r="P37" i="29"/>
  <c r="P22" i="30"/>
  <c r="P61" i="29"/>
  <c r="P75" i="29"/>
  <c r="P18" i="30"/>
  <c r="P34" i="29"/>
  <c r="P14" i="30"/>
  <c r="P59" i="29"/>
  <c r="P73" i="29"/>
  <c r="P7" i="30"/>
  <c r="P5" i="42"/>
  <c r="P67" i="41"/>
  <c r="P53" i="41"/>
  <c r="P5" i="43"/>
  <c r="P33" i="41"/>
  <c r="P13" i="42"/>
  <c r="P33" i="42" s="1"/>
  <c r="P13" i="43"/>
  <c r="P33" i="43" s="1"/>
  <c r="P21" i="42"/>
  <c r="P65" i="41"/>
  <c r="P51" i="41"/>
  <c r="P21" i="43"/>
  <c r="P29" i="42"/>
  <c r="P71" i="41"/>
  <c r="P57" i="41"/>
  <c r="P29" i="43"/>
  <c r="P47" i="29"/>
  <c r="P6" i="30"/>
  <c r="P4" i="42"/>
  <c r="P40" i="42" s="1"/>
  <c r="P40" i="41"/>
  <c r="P4" i="43"/>
  <c r="P40" i="43" s="1"/>
  <c r="P12" i="42"/>
  <c r="P60" i="41"/>
  <c r="P74" i="41"/>
  <c r="P12" i="43"/>
  <c r="P20" i="42"/>
  <c r="P56" i="41"/>
  <c r="P70" i="41"/>
  <c r="P20" i="43"/>
  <c r="P28" i="42"/>
  <c r="P43" i="42" s="1"/>
  <c r="P43" i="41"/>
  <c r="P28" i="43"/>
  <c r="P43" i="43" s="1"/>
  <c r="AK45" i="43"/>
  <c r="L68" i="29"/>
  <c r="L54" i="29"/>
  <c r="L9" i="30"/>
  <c r="L43" i="29"/>
  <c r="L28" i="30"/>
  <c r="L55" i="29"/>
  <c r="L69" i="29"/>
  <c r="L24" i="30"/>
  <c r="L70" i="29"/>
  <c r="L56" i="29"/>
  <c r="L20" i="30"/>
  <c r="L72" i="29"/>
  <c r="L58" i="29"/>
  <c r="L16" i="30"/>
  <c r="L60" i="29"/>
  <c r="L74" i="29"/>
  <c r="L12" i="30"/>
  <c r="L40" i="29"/>
  <c r="L4" i="30"/>
  <c r="L4" i="42"/>
  <c r="L40" i="42" s="1"/>
  <c r="L40" i="41"/>
  <c r="L4" i="43"/>
  <c r="L40" i="43" s="1"/>
  <c r="L41" i="41"/>
  <c r="L8" i="42"/>
  <c r="L41" i="42" s="1"/>
  <c r="L8" i="43"/>
  <c r="L41" i="43" s="1"/>
  <c r="L12" i="42"/>
  <c r="L60" i="41"/>
  <c r="L74" i="41"/>
  <c r="L12" i="43"/>
  <c r="L16" i="42"/>
  <c r="L58" i="41"/>
  <c r="L72" i="41"/>
  <c r="L16" i="43"/>
  <c r="L20" i="42"/>
  <c r="L70" i="41"/>
  <c r="L56" i="41"/>
  <c r="L20" i="43"/>
  <c r="L24" i="42"/>
  <c r="L55" i="41"/>
  <c r="L69" i="41"/>
  <c r="L24" i="43"/>
  <c r="L28" i="42"/>
  <c r="L43" i="42" s="1"/>
  <c r="L43" i="41"/>
  <c r="L28" i="43"/>
  <c r="L43" i="43" s="1"/>
  <c r="AK31" i="42"/>
  <c r="AH45" i="30"/>
  <c r="AH31" i="30"/>
  <c r="I49" i="29"/>
  <c r="I23" i="30"/>
  <c r="I33" i="29"/>
  <c r="I13" i="30"/>
  <c r="I43" i="29"/>
  <c r="I28" i="30"/>
  <c r="I70" i="29"/>
  <c r="I56" i="29"/>
  <c r="I20" i="30"/>
  <c r="I60" i="29"/>
  <c r="I74" i="29"/>
  <c r="I12" i="30"/>
  <c r="I41" i="29"/>
  <c r="I8" i="30"/>
  <c r="I40" i="29"/>
  <c r="I4" i="30"/>
  <c r="I3" i="42"/>
  <c r="I32" i="42" s="1"/>
  <c r="I32" i="41"/>
  <c r="I3" i="43"/>
  <c r="I32" i="43" s="1"/>
  <c r="I31" i="43" s="1"/>
  <c r="I7" i="42"/>
  <c r="I73" i="41"/>
  <c r="I59" i="41"/>
  <c r="I7" i="43"/>
  <c r="I11" i="42"/>
  <c r="I39" i="42" s="1"/>
  <c r="I39" i="41"/>
  <c r="I11" i="43"/>
  <c r="I39" i="43" s="1"/>
  <c r="I15" i="42"/>
  <c r="I44" i="42" s="1"/>
  <c r="I44" i="41"/>
  <c r="I15" i="43"/>
  <c r="I44" i="43" s="1"/>
  <c r="I19" i="42"/>
  <c r="I42" i="42" s="1"/>
  <c r="I42" i="41"/>
  <c r="I19" i="43"/>
  <c r="I42" i="43" s="1"/>
  <c r="I23" i="42"/>
  <c r="I49" i="42" s="1"/>
  <c r="I49" i="41"/>
  <c r="I23" i="43"/>
  <c r="I49" i="43" s="1"/>
  <c r="I27" i="42"/>
  <c r="I62" i="41"/>
  <c r="I76" i="41"/>
  <c r="I27" i="43"/>
  <c r="AH45" i="42"/>
  <c r="AD45" i="30"/>
  <c r="AD31" i="43"/>
  <c r="CB68" i="43"/>
  <c r="AD68" i="43"/>
  <c r="AD54" i="43"/>
  <c r="CB54" i="43"/>
  <c r="AD58" i="43"/>
  <c r="CB72" i="43"/>
  <c r="CB58" i="43"/>
  <c r="AD72" i="43"/>
  <c r="CB69" i="43"/>
  <c r="AD69" i="43"/>
  <c r="AD55" i="43"/>
  <c r="CB55" i="43"/>
  <c r="CB76" i="43"/>
  <c r="AD76" i="43"/>
  <c r="AD62" i="43"/>
  <c r="CB62" i="43"/>
  <c r="E62" i="29"/>
  <c r="E76" i="29"/>
  <c r="E27" i="30"/>
  <c r="E42" i="29"/>
  <c r="E19" i="30"/>
  <c r="E35" i="29"/>
  <c r="E30" i="30"/>
  <c r="E37" i="29"/>
  <c r="E22" i="30"/>
  <c r="E34" i="29"/>
  <c r="E14" i="30"/>
  <c r="E68" i="29"/>
  <c r="E54" i="29"/>
  <c r="E9" i="30"/>
  <c r="E53" i="29"/>
  <c r="E67" i="29"/>
  <c r="E5" i="30"/>
  <c r="E2" i="42"/>
  <c r="E38" i="42" s="1"/>
  <c r="E38" i="41"/>
  <c r="E2" i="43"/>
  <c r="E38" i="43" s="1"/>
  <c r="E6" i="42"/>
  <c r="E47" i="42" s="1"/>
  <c r="E47" i="41"/>
  <c r="E6" i="43"/>
  <c r="E47" i="43" s="1"/>
  <c r="E10" i="42"/>
  <c r="E46" i="42" s="1"/>
  <c r="E46" i="41"/>
  <c r="E45" i="41" s="1"/>
  <c r="E10" i="43"/>
  <c r="E46" i="43" s="1"/>
  <c r="E45" i="43" s="1"/>
  <c r="E14" i="42"/>
  <c r="E34" i="42" s="1"/>
  <c r="E34" i="41"/>
  <c r="E14" i="43"/>
  <c r="E34" i="43" s="1"/>
  <c r="E18" i="42"/>
  <c r="E75" i="41"/>
  <c r="E61" i="41"/>
  <c r="E18" i="43"/>
  <c r="E22" i="42"/>
  <c r="E37" i="42" s="1"/>
  <c r="E37" i="41"/>
  <c r="E22" i="43"/>
  <c r="E37" i="43" s="1"/>
  <c r="E26" i="42"/>
  <c r="E36" i="42" s="1"/>
  <c r="E36" i="41"/>
  <c r="E26" i="43"/>
  <c r="E36" i="43" s="1"/>
  <c r="E30" i="42"/>
  <c r="E35" i="42" s="1"/>
  <c r="E35" i="41"/>
  <c r="E30" i="43"/>
  <c r="E35" i="43" s="1"/>
  <c r="AV76" i="32"/>
  <c r="AZ76" i="32" s="1"/>
  <c r="AV62" i="32"/>
  <c r="AZ62" i="32" s="1"/>
  <c r="AV61" i="32"/>
  <c r="AZ61" i="32" s="1"/>
  <c r="AV75" i="32"/>
  <c r="AZ75" i="32" s="1"/>
  <c r="AV57" i="32"/>
  <c r="AZ57" i="32" s="1"/>
  <c r="AV71" i="32"/>
  <c r="AZ71" i="32" s="1"/>
  <c r="AZ32" i="32"/>
  <c r="AZ31" i="32"/>
  <c r="AV72" i="32"/>
  <c r="AZ72" i="32" s="1"/>
  <c r="AV58" i="32"/>
  <c r="AZ58" i="32" s="1"/>
  <c r="AQ45" i="32"/>
  <c r="AQ75" i="32"/>
  <c r="AQ61" i="32"/>
  <c r="AZ29" i="38"/>
  <c r="AL71" i="38"/>
  <c r="AL57" i="38"/>
  <c r="AL36" i="38"/>
  <c r="AZ26" i="38"/>
  <c r="AL40" i="38"/>
  <c r="AZ4" i="38"/>
  <c r="AL47" i="38"/>
  <c r="AZ6" i="38"/>
  <c r="AZ13" i="38"/>
  <c r="AL33" i="38"/>
  <c r="AZ16" i="38"/>
  <c r="AL72" i="38"/>
  <c r="AL58" i="38"/>
  <c r="BO68" i="38"/>
  <c r="CC68" i="38" s="1"/>
  <c r="BO54" i="38"/>
  <c r="CC54" i="38" s="1"/>
  <c r="AZ12" i="38"/>
  <c r="AL74" i="38"/>
  <c r="AL60" i="38"/>
  <c r="AL49" i="38"/>
  <c r="AZ23" i="38"/>
  <c r="AL37" i="38"/>
  <c r="AZ22" i="38"/>
  <c r="AZ21" i="38"/>
  <c r="AL65" i="38"/>
  <c r="AL51" i="38"/>
  <c r="BO72" i="38"/>
  <c r="CC72" i="38" s="1"/>
  <c r="BO58" i="38"/>
  <c r="CC58" i="38" s="1"/>
  <c r="BO73" i="38"/>
  <c r="CC73" i="38" s="1"/>
  <c r="BO59" i="38"/>
  <c r="CC59" i="38" s="1"/>
  <c r="FB46" i="38"/>
  <c r="FB45" i="38"/>
  <c r="EZ59" i="38"/>
  <c r="FB59" i="38" s="1"/>
  <c r="EZ73" i="38"/>
  <c r="FB73" i="38" s="1"/>
  <c r="EZ50" i="38"/>
  <c r="FB50" i="38" s="1"/>
  <c r="EZ64" i="38"/>
  <c r="EZ76" i="38"/>
  <c r="FB76" i="38" s="1"/>
  <c r="EZ62" i="38"/>
  <c r="FB62" i="38" s="1"/>
  <c r="EW68" i="38"/>
  <c r="EW54" i="38"/>
  <c r="EW55" i="38"/>
  <c r="EW69" i="38"/>
  <c r="EW66" i="38"/>
  <c r="EW52" i="38"/>
  <c r="EW48" i="38" s="1"/>
  <c r="DA13" i="18"/>
  <c r="AU13" i="18"/>
  <c r="DA14" i="18"/>
  <c r="AU14" i="18"/>
  <c r="DA30" i="18"/>
  <c r="AU30" i="18"/>
  <c r="DA11" i="18"/>
  <c r="AU11" i="18"/>
  <c r="DA9" i="18"/>
  <c r="AU9" i="18"/>
  <c r="DA4" i="18"/>
  <c r="AU4" i="18"/>
  <c r="DA20" i="18"/>
  <c r="AU20" i="18"/>
  <c r="ED68" i="38"/>
  <c r="ER68" i="38" s="1"/>
  <c r="ED54" i="38"/>
  <c r="ER54" i="38" s="1"/>
  <c r="W54" i="38"/>
  <c r="AH54" i="38" s="1"/>
  <c r="W68" i="38"/>
  <c r="AH68" i="38" s="1"/>
  <c r="ED74" i="38"/>
  <c r="ER74" i="38" s="1"/>
  <c r="ED60" i="38"/>
  <c r="ER60" i="38" s="1"/>
  <c r="DA6" i="38"/>
  <c r="L47" i="38"/>
  <c r="AU6" i="38"/>
  <c r="DA27" i="38"/>
  <c r="L76" i="38"/>
  <c r="L62" i="38"/>
  <c r="AU27" i="38"/>
  <c r="W62" i="38"/>
  <c r="AH62" i="38" s="1"/>
  <c r="W76" i="38"/>
  <c r="AH76" i="38" s="1"/>
  <c r="W64" i="38"/>
  <c r="W50" i="38"/>
  <c r="AH50" i="38" s="1"/>
  <c r="BX59" i="38"/>
  <c r="CL59" i="38" s="1"/>
  <c r="BX73" i="38"/>
  <c r="CL73" i="38" s="1"/>
  <c r="BX68" i="38"/>
  <c r="CL68" i="38" s="1"/>
  <c r="BX54" i="38"/>
  <c r="CL54" i="38" s="1"/>
  <c r="L42" i="38"/>
  <c r="DA19" i="38"/>
  <c r="AU19" i="38"/>
  <c r="DA25" i="38"/>
  <c r="L50" i="38"/>
  <c r="AU25" i="38"/>
  <c r="L64" i="38"/>
  <c r="AH31" i="38"/>
  <c r="AH32" i="38"/>
  <c r="W51" i="38"/>
  <c r="AH51" i="38" s="1"/>
  <c r="W65" i="38"/>
  <c r="AH65" i="38" s="1"/>
  <c r="DA2" i="38"/>
  <c r="L38" i="38"/>
  <c r="AU2" i="38"/>
  <c r="BX60" i="38"/>
  <c r="CL60" i="38" s="1"/>
  <c r="BX74" i="38"/>
  <c r="CL74" i="38" s="1"/>
  <c r="DA16" i="38"/>
  <c r="L72" i="38"/>
  <c r="L58" i="38"/>
  <c r="AU16" i="38"/>
  <c r="ED70" i="38"/>
  <c r="ER70" i="38" s="1"/>
  <c r="ED56" i="38"/>
  <c r="ER56" i="38" s="1"/>
  <c r="BX67" i="38"/>
  <c r="CL67" i="38" s="1"/>
  <c r="BX53" i="38"/>
  <c r="CL53" i="38" s="1"/>
  <c r="AU17" i="38"/>
  <c r="DA17" i="38"/>
  <c r="L66" i="38"/>
  <c r="L63" i="38" s="1"/>
  <c r="L52" i="38"/>
  <c r="ED55" i="38"/>
  <c r="ER55" i="38" s="1"/>
  <c r="ED69" i="38"/>
  <c r="ER69" i="38" s="1"/>
  <c r="BX57" i="38"/>
  <c r="CL57" i="38" s="1"/>
  <c r="BX71" i="38"/>
  <c r="CL71" i="38" s="1"/>
  <c r="BX76" i="38"/>
  <c r="CL76" i="38" s="1"/>
  <c r="BX62" i="38"/>
  <c r="CL62" i="38" s="1"/>
  <c r="CW29" i="18"/>
  <c r="AQ29" i="18"/>
  <c r="CW14" i="18"/>
  <c r="AQ14" i="18"/>
  <c r="CW30" i="18"/>
  <c r="AQ30" i="18"/>
  <c r="CW15" i="18"/>
  <c r="AQ15" i="18"/>
  <c r="CW21" i="18"/>
  <c r="AQ21" i="18"/>
  <c r="CW4" i="18"/>
  <c r="AQ4" i="18"/>
  <c r="CW20" i="18"/>
  <c r="AQ20" i="18"/>
  <c r="H42" i="38"/>
  <c r="CW19" i="38"/>
  <c r="AQ19" i="38"/>
  <c r="DZ64" i="38"/>
  <c r="DZ50" i="38"/>
  <c r="EN50" i="38" s="1"/>
  <c r="CW12" i="38"/>
  <c r="H60" i="38"/>
  <c r="H74" i="38"/>
  <c r="AQ12" i="38"/>
  <c r="CW18" i="38"/>
  <c r="H75" i="38"/>
  <c r="AQ18" i="38"/>
  <c r="H61" i="38"/>
  <c r="CW5" i="38"/>
  <c r="H67" i="38"/>
  <c r="H53" i="38"/>
  <c r="AQ5" i="38"/>
  <c r="CW29" i="38"/>
  <c r="AQ29" i="38"/>
  <c r="H71" i="38"/>
  <c r="H57" i="38"/>
  <c r="BT73" i="38"/>
  <c r="CH73" i="38" s="1"/>
  <c r="BT59" i="38"/>
  <c r="CH59" i="38" s="1"/>
  <c r="BT68" i="38"/>
  <c r="CH68" i="38" s="1"/>
  <c r="BT54" i="38"/>
  <c r="CH54" i="38" s="1"/>
  <c r="CW24" i="38"/>
  <c r="AQ24" i="38"/>
  <c r="H69" i="38"/>
  <c r="H55" i="38"/>
  <c r="EN45" i="38"/>
  <c r="EN46" i="38"/>
  <c r="CW21" i="38"/>
  <c r="H65" i="38"/>
  <c r="H51" i="38"/>
  <c r="AQ21" i="38"/>
  <c r="BT76" i="38"/>
  <c r="CH76" i="38" s="1"/>
  <c r="BT62" i="38"/>
  <c r="CH62" i="38" s="1"/>
  <c r="CV14" i="18"/>
  <c r="AP14" i="18"/>
  <c r="CV15" i="18"/>
  <c r="AP15" i="18"/>
  <c r="CV20" i="18"/>
  <c r="AP20" i="18"/>
  <c r="CV30" i="18"/>
  <c r="AP30" i="18"/>
  <c r="CV24" i="18"/>
  <c r="AP24" i="18"/>
  <c r="CV17" i="18"/>
  <c r="AP17" i="18"/>
  <c r="R62" i="38"/>
  <c r="AC62" i="38" s="1"/>
  <c r="R76" i="38"/>
  <c r="AC76" i="38" s="1"/>
  <c r="R57" i="38"/>
  <c r="AC57" i="38" s="1"/>
  <c r="R71" i="38"/>
  <c r="AC71" i="38" s="1"/>
  <c r="CG32" i="38"/>
  <c r="CG31" i="38"/>
  <c r="R64" i="38"/>
  <c r="R50" i="38"/>
  <c r="AC50" i="38" s="1"/>
  <c r="DY74" i="38"/>
  <c r="EM74" i="38" s="1"/>
  <c r="DY60" i="38"/>
  <c r="EM60" i="38" s="1"/>
  <c r="BS76" i="38"/>
  <c r="CG76" i="38" s="1"/>
  <c r="BS62" i="38"/>
  <c r="CG62" i="38" s="1"/>
  <c r="R67" i="38"/>
  <c r="AC67" i="38" s="1"/>
  <c r="R53" i="38"/>
  <c r="AC53" i="38" s="1"/>
  <c r="R69" i="38"/>
  <c r="AC69" i="38" s="1"/>
  <c r="R55" i="38"/>
  <c r="AC55" i="38" s="1"/>
  <c r="CV7" i="38"/>
  <c r="G59" i="38"/>
  <c r="AP7" i="38"/>
  <c r="G73" i="38"/>
  <c r="BS68" i="38"/>
  <c r="CG68" i="38" s="1"/>
  <c r="BS54" i="38"/>
  <c r="CG54" i="38" s="1"/>
  <c r="CV20" i="38"/>
  <c r="G70" i="38"/>
  <c r="G56" i="38"/>
  <c r="AP20" i="38"/>
  <c r="CV13" i="38"/>
  <c r="G33" i="38"/>
  <c r="AP13" i="38"/>
  <c r="AP16" i="38"/>
  <c r="G72" i="38"/>
  <c r="CV16" i="38"/>
  <c r="G58" i="38"/>
  <c r="CV19" i="38"/>
  <c r="G42" i="38"/>
  <c r="AP19" i="38"/>
  <c r="CV22" i="38"/>
  <c r="G37" i="38"/>
  <c r="AP22" i="38"/>
  <c r="G34" i="38"/>
  <c r="CV14" i="38"/>
  <c r="AP14" i="38"/>
  <c r="DY75" i="38"/>
  <c r="EM75" i="38" s="1"/>
  <c r="DY61" i="38"/>
  <c r="EM61" i="38" s="1"/>
  <c r="CV30" i="38"/>
  <c r="G35" i="38"/>
  <c r="AP30" i="38"/>
  <c r="BS55" i="38"/>
  <c r="CG55" i="38" s="1"/>
  <c r="BS69" i="38"/>
  <c r="CG69" i="38" s="1"/>
  <c r="AY39" i="29"/>
  <c r="BX11" i="30"/>
  <c r="AY46" i="29"/>
  <c r="BX10" i="30"/>
  <c r="AY47" i="29"/>
  <c r="BX6" i="30"/>
  <c r="BX71" i="29"/>
  <c r="BX57" i="29"/>
  <c r="BX62" i="29"/>
  <c r="BX76" i="29"/>
  <c r="BX50" i="29"/>
  <c r="BX64" i="29"/>
  <c r="BX48" i="29"/>
  <c r="BX51" i="29"/>
  <c r="BX65" i="29"/>
  <c r="BX52" i="29"/>
  <c r="BX66" i="29"/>
  <c r="BY47" i="41"/>
  <c r="BW47" i="41"/>
  <c r="AY53" i="29"/>
  <c r="AY67" i="29"/>
  <c r="BX5" i="30"/>
  <c r="AY32" i="29"/>
  <c r="BX3" i="30"/>
  <c r="BX72" i="41"/>
  <c r="BX58" i="41"/>
  <c r="BX70" i="41"/>
  <c r="BX56" i="41"/>
  <c r="BX50" i="41"/>
  <c r="BX48" i="41" s="1"/>
  <c r="BX64" i="41"/>
  <c r="CW65" i="42"/>
  <c r="CW51" i="42"/>
  <c r="CW57" i="42"/>
  <c r="CW71" i="42"/>
  <c r="BX4" i="42"/>
  <c r="BX40" i="42" s="1"/>
  <c r="AY40" i="41"/>
  <c r="BX4" i="43"/>
  <c r="BX40" i="43" s="1"/>
  <c r="BX8" i="42"/>
  <c r="BX41" i="42" s="1"/>
  <c r="AY41" i="41"/>
  <c r="BX8" i="43"/>
  <c r="BX41" i="43" s="1"/>
  <c r="BX12" i="42"/>
  <c r="AY74" i="41"/>
  <c r="AY60" i="41"/>
  <c r="BX12" i="43"/>
  <c r="BX16" i="42"/>
  <c r="AY72" i="41"/>
  <c r="AY58" i="41"/>
  <c r="BX16" i="43"/>
  <c r="BX20" i="42"/>
  <c r="AY56" i="41"/>
  <c r="AY70" i="41"/>
  <c r="BX20" i="43"/>
  <c r="BX24" i="42"/>
  <c r="AY55" i="41"/>
  <c r="AY69" i="41"/>
  <c r="BX24" i="43"/>
  <c r="BX28" i="42"/>
  <c r="BX43" i="42" s="1"/>
  <c r="AY43" i="41"/>
  <c r="BX28" i="43"/>
  <c r="BX43" i="43" s="1"/>
  <c r="CW60" i="42"/>
  <c r="CW74" i="42"/>
  <c r="CW58" i="42"/>
  <c r="CW72" i="42"/>
  <c r="CP69" i="30"/>
  <c r="CP55" i="30"/>
  <c r="CP56" i="30"/>
  <c r="CP70" i="30"/>
  <c r="CP58" i="30"/>
  <c r="CP72" i="30"/>
  <c r="CP60" i="30"/>
  <c r="CP74" i="30"/>
  <c r="CP45" i="43"/>
  <c r="BQ60" i="41"/>
  <c r="BQ74" i="41"/>
  <c r="AR39" i="29"/>
  <c r="BQ11" i="30"/>
  <c r="AR59" i="29"/>
  <c r="AR73" i="29"/>
  <c r="BQ7" i="30"/>
  <c r="BQ55" i="29"/>
  <c r="BQ69" i="29"/>
  <c r="BQ56" i="29"/>
  <c r="BQ70" i="29"/>
  <c r="BQ61" i="29"/>
  <c r="BQ75" i="29"/>
  <c r="BQ72" i="29"/>
  <c r="BQ58" i="29"/>
  <c r="BQ60" i="29"/>
  <c r="BQ74" i="29"/>
  <c r="BQ55" i="41"/>
  <c r="BQ69" i="41"/>
  <c r="AR46" i="29"/>
  <c r="BQ10" i="30"/>
  <c r="AR47" i="29"/>
  <c r="BQ6" i="30"/>
  <c r="AR53" i="29"/>
  <c r="AR67" i="29"/>
  <c r="BQ5" i="30"/>
  <c r="AR32" i="29"/>
  <c r="BQ3" i="30"/>
  <c r="BQ68" i="41"/>
  <c r="BQ54" i="41"/>
  <c r="BQ2" i="42"/>
  <c r="BQ38" i="42" s="1"/>
  <c r="AR38" i="41"/>
  <c r="BQ2" i="43"/>
  <c r="BQ38" i="43" s="1"/>
  <c r="BQ6" i="42"/>
  <c r="BQ47" i="42" s="1"/>
  <c r="AR47" i="41"/>
  <c r="BQ6" i="43"/>
  <c r="BQ47" i="43" s="1"/>
  <c r="BQ10" i="42"/>
  <c r="BQ46" i="42" s="1"/>
  <c r="BQ45" i="42" s="1"/>
  <c r="AR46" i="41"/>
  <c r="AR45" i="41" s="1"/>
  <c r="BQ10" i="43"/>
  <c r="BQ46" i="43" s="1"/>
  <c r="BQ45" i="43" s="1"/>
  <c r="BQ14" i="42"/>
  <c r="BQ34" i="42" s="1"/>
  <c r="AR34" i="41"/>
  <c r="BQ14" i="43"/>
  <c r="BQ34" i="43" s="1"/>
  <c r="BQ18" i="42"/>
  <c r="AR75" i="41"/>
  <c r="AR61" i="41"/>
  <c r="BQ18" i="43"/>
  <c r="BQ22" i="42"/>
  <c r="BQ37" i="42" s="1"/>
  <c r="AR37" i="41"/>
  <c r="BQ22" i="43"/>
  <c r="BQ37" i="43" s="1"/>
  <c r="BQ26" i="42"/>
  <c r="BQ36" i="42" s="1"/>
  <c r="AR36" i="41"/>
  <c r="BQ26" i="43"/>
  <c r="BQ36" i="43" s="1"/>
  <c r="AR35" i="41"/>
  <c r="BQ30" i="42"/>
  <c r="BQ35" i="42" s="1"/>
  <c r="BQ30" i="43"/>
  <c r="BQ35" i="43" s="1"/>
  <c r="CP31" i="42"/>
  <c r="CP56" i="42"/>
  <c r="CP70" i="42"/>
  <c r="CP55" i="42"/>
  <c r="CP69" i="42"/>
  <c r="CP45" i="42"/>
  <c r="CL75" i="30"/>
  <c r="CL61" i="30"/>
  <c r="CL45" i="43"/>
  <c r="BM65" i="41"/>
  <c r="BM51" i="41"/>
  <c r="BM69" i="29"/>
  <c r="BM55" i="29"/>
  <c r="BM56" i="29"/>
  <c r="BM70" i="29"/>
  <c r="BM75" i="29"/>
  <c r="BM61" i="29"/>
  <c r="BM58" i="29"/>
  <c r="BM72" i="29"/>
  <c r="BM60" i="29"/>
  <c r="BM74" i="29"/>
  <c r="BM54" i="29"/>
  <c r="BM68" i="29"/>
  <c r="BM58" i="41"/>
  <c r="BM72" i="41"/>
  <c r="BM67" i="41"/>
  <c r="BM53" i="41"/>
  <c r="BM2" i="42"/>
  <c r="BM38" i="42" s="1"/>
  <c r="AN38" i="41"/>
  <c r="BM2" i="43"/>
  <c r="BM38" i="43" s="1"/>
  <c r="BM6" i="42"/>
  <c r="BM47" i="42" s="1"/>
  <c r="AN47" i="41"/>
  <c r="BM6" i="43"/>
  <c r="BM47" i="43" s="1"/>
  <c r="BM10" i="42"/>
  <c r="BM46" i="42" s="1"/>
  <c r="BM45" i="42" s="1"/>
  <c r="AN46" i="41"/>
  <c r="AN45" i="41" s="1"/>
  <c r="BM10" i="43"/>
  <c r="BM46" i="43" s="1"/>
  <c r="BM45" i="43" s="1"/>
  <c r="BM14" i="42"/>
  <c r="BM34" i="42" s="1"/>
  <c r="AN34" i="41"/>
  <c r="BM14" i="43"/>
  <c r="BM34" i="43" s="1"/>
  <c r="BM18" i="42"/>
  <c r="AN61" i="41"/>
  <c r="AN75" i="41"/>
  <c r="BM18" i="43"/>
  <c r="BM22" i="42"/>
  <c r="BM37" i="42" s="1"/>
  <c r="AN37" i="41"/>
  <c r="BM22" i="43"/>
  <c r="BM37" i="43" s="1"/>
  <c r="AN36" i="41"/>
  <c r="BM26" i="42"/>
  <c r="BM36" i="42" s="1"/>
  <c r="BM26" i="43"/>
  <c r="BM36" i="43" s="1"/>
  <c r="AN35" i="41"/>
  <c r="BM30" i="42"/>
  <c r="BM35" i="42" s="1"/>
  <c r="BM30" i="43"/>
  <c r="BM35" i="43" s="1"/>
  <c r="CL53" i="42"/>
  <c r="CL67" i="42"/>
  <c r="CL54" i="42"/>
  <c r="CL68" i="42"/>
  <c r="CL52" i="42"/>
  <c r="CL66" i="42"/>
  <c r="CL65" i="42"/>
  <c r="CL51" i="42"/>
  <c r="CL50" i="42"/>
  <c r="CL48" i="42" s="1"/>
  <c r="CL64" i="42"/>
  <c r="CL63" i="42" s="1"/>
  <c r="CL57" i="42"/>
  <c r="CL71" i="42"/>
  <c r="CH55" i="30"/>
  <c r="CH69" i="30"/>
  <c r="CH70" i="30"/>
  <c r="CH56" i="30"/>
  <c r="CH58" i="30"/>
  <c r="CH72" i="30"/>
  <c r="CH74" i="30"/>
  <c r="CH60" i="30"/>
  <c r="CH31" i="43"/>
  <c r="BI65" i="41"/>
  <c r="BI51" i="41"/>
  <c r="AJ60" i="29"/>
  <c r="AJ74" i="29"/>
  <c r="BI12" i="30"/>
  <c r="AJ41" i="29"/>
  <c r="BI8" i="30"/>
  <c r="BI75" i="41"/>
  <c r="BI61" i="41"/>
  <c r="BI57" i="29"/>
  <c r="BI71" i="29"/>
  <c r="BI62" i="29"/>
  <c r="BI76" i="29"/>
  <c r="BI64" i="29"/>
  <c r="BI50" i="29"/>
  <c r="BI65" i="29"/>
  <c r="BI51" i="29"/>
  <c r="BI48" i="29" s="1"/>
  <c r="BI52" i="29"/>
  <c r="BI66" i="29"/>
  <c r="BI70" i="41"/>
  <c r="BI56" i="41"/>
  <c r="AJ40" i="29"/>
  <c r="BI4" i="30"/>
  <c r="BI4" i="42"/>
  <c r="BI40" i="42" s="1"/>
  <c r="AJ40" i="41"/>
  <c r="BI4" i="43"/>
  <c r="BI40" i="43" s="1"/>
  <c r="BI8" i="42"/>
  <c r="BI41" i="42" s="1"/>
  <c r="AJ41" i="41"/>
  <c r="BI8" i="43"/>
  <c r="BI41" i="43" s="1"/>
  <c r="BI12" i="42"/>
  <c r="AJ74" i="41"/>
  <c r="AJ60" i="41"/>
  <c r="BI12" i="43"/>
  <c r="BI16" i="42"/>
  <c r="AJ72" i="41"/>
  <c r="AJ58" i="41"/>
  <c r="BI16" i="43"/>
  <c r="BI20" i="42"/>
  <c r="AJ70" i="41"/>
  <c r="AJ56" i="41"/>
  <c r="BI20" i="43"/>
  <c r="BI24" i="42"/>
  <c r="AJ69" i="41"/>
  <c r="AJ55" i="41"/>
  <c r="BI24" i="43"/>
  <c r="BI28" i="42"/>
  <c r="BI43" i="42" s="1"/>
  <c r="AJ43" i="41"/>
  <c r="BI28" i="43"/>
  <c r="BI43" i="43" s="1"/>
  <c r="CH58" i="42"/>
  <c r="CH72" i="42"/>
  <c r="CH61" i="42"/>
  <c r="CH75" i="42"/>
  <c r="CH59" i="42"/>
  <c r="CH73" i="42"/>
  <c r="CH62" i="42"/>
  <c r="CH76" i="42"/>
  <c r="CE61" i="30"/>
  <c r="CE75" i="30"/>
  <c r="CD61" i="30"/>
  <c r="CD48" i="30" s="1"/>
  <c r="CD75" i="30"/>
  <c r="BE61" i="41"/>
  <c r="BE75" i="41"/>
  <c r="AG57" i="29"/>
  <c r="AG71" i="29"/>
  <c r="BF29" i="30"/>
  <c r="AG62" i="29"/>
  <c r="AG76" i="29"/>
  <c r="BF27" i="30"/>
  <c r="AG64" i="29"/>
  <c r="AG50" i="29"/>
  <c r="BF25" i="30"/>
  <c r="AG49" i="29"/>
  <c r="BF23" i="30"/>
  <c r="AG65" i="29"/>
  <c r="AG51" i="29"/>
  <c r="BF21" i="30"/>
  <c r="AG42" i="29"/>
  <c r="BF19" i="30"/>
  <c r="AG52" i="29"/>
  <c r="AG66" i="29"/>
  <c r="BF17" i="30"/>
  <c r="AG44" i="29"/>
  <c r="BF15" i="30"/>
  <c r="AG33" i="29"/>
  <c r="BF13" i="30"/>
  <c r="AG54" i="29"/>
  <c r="AG68" i="29"/>
  <c r="BF9" i="30"/>
  <c r="BE53" i="29"/>
  <c r="BE67" i="29"/>
  <c r="BE74" i="41"/>
  <c r="BE60" i="41"/>
  <c r="BE64" i="41"/>
  <c r="BE50" i="41"/>
  <c r="AG47" i="41"/>
  <c r="BF6" i="42"/>
  <c r="BF47" i="42" s="1"/>
  <c r="BF45" i="42" s="1"/>
  <c r="BF6" i="43"/>
  <c r="BF47" i="43" s="1"/>
  <c r="BF14" i="42"/>
  <c r="BF34" i="42" s="1"/>
  <c r="AG34" i="41"/>
  <c r="BF14" i="43"/>
  <c r="BF34" i="43" s="1"/>
  <c r="AG37" i="41"/>
  <c r="BF22" i="42"/>
  <c r="BF37" i="42" s="1"/>
  <c r="BF22" i="43"/>
  <c r="BF37" i="43" s="1"/>
  <c r="BF30" i="42"/>
  <c r="BF35" i="42" s="1"/>
  <c r="AG35" i="41"/>
  <c r="BF30" i="43"/>
  <c r="BF35" i="43" s="1"/>
  <c r="BE76" i="29"/>
  <c r="BE62" i="29"/>
  <c r="BD45" i="29"/>
  <c r="AG46" i="29"/>
  <c r="BF10" i="30"/>
  <c r="AG47" i="29"/>
  <c r="BF6" i="30"/>
  <c r="BE65" i="41"/>
  <c r="BE51" i="41"/>
  <c r="BF5" i="42"/>
  <c r="AG67" i="41"/>
  <c r="AG53" i="41"/>
  <c r="BF5" i="43"/>
  <c r="BF13" i="42"/>
  <c r="BF33" i="42" s="1"/>
  <c r="AG33" i="41"/>
  <c r="BF13" i="43"/>
  <c r="BF33" i="43" s="1"/>
  <c r="BF21" i="42"/>
  <c r="AG51" i="41"/>
  <c r="AG65" i="41"/>
  <c r="BF21" i="43"/>
  <c r="BF29" i="42"/>
  <c r="AG57" i="41"/>
  <c r="AG71" i="41"/>
  <c r="BF29" i="43"/>
  <c r="BF74" i="41"/>
  <c r="BF60" i="41"/>
  <c r="BF75" i="41"/>
  <c r="BF61" i="41"/>
  <c r="BF76" i="41"/>
  <c r="BF62" i="41"/>
  <c r="BF71" i="41"/>
  <c r="BF57" i="41"/>
  <c r="BF67" i="41"/>
  <c r="BF53" i="41"/>
  <c r="CD54" i="42"/>
  <c r="CD68" i="42"/>
  <c r="CD52" i="42"/>
  <c r="CD66" i="42"/>
  <c r="CD60" i="42"/>
  <c r="CD74" i="42"/>
  <c r="CE45" i="42"/>
  <c r="CE75" i="42"/>
  <c r="CE61" i="42"/>
  <c r="CA62" i="30"/>
  <c r="BZ27" i="30"/>
  <c r="CA76" i="30"/>
  <c r="CA49" i="30"/>
  <c r="BZ23" i="30"/>
  <c r="CA42" i="30"/>
  <c r="BZ19" i="30"/>
  <c r="CA44" i="30"/>
  <c r="BZ44" i="30" s="1"/>
  <c r="BZ15" i="30"/>
  <c r="CA39" i="30"/>
  <c r="BZ11" i="30"/>
  <c r="CA59" i="30"/>
  <c r="CA73" i="30"/>
  <c r="BZ7" i="30"/>
  <c r="CA32" i="30"/>
  <c r="BZ3" i="30"/>
  <c r="CA39" i="43"/>
  <c r="BZ39" i="43" s="1"/>
  <c r="DV39" i="38" s="1"/>
  <c r="EJ39" i="38" s="1"/>
  <c r="BZ11" i="43"/>
  <c r="DV11" i="38" s="1"/>
  <c r="BZ7" i="43"/>
  <c r="DV7" i="38" s="1"/>
  <c r="BZ24" i="43"/>
  <c r="DV24" i="38" s="1"/>
  <c r="BZ16" i="43"/>
  <c r="DV16" i="38" s="1"/>
  <c r="BZ12" i="43"/>
  <c r="DV12" i="38" s="1"/>
  <c r="BZ19" i="43"/>
  <c r="DV19" i="38" s="1"/>
  <c r="CA42" i="43"/>
  <c r="BZ42" i="43" s="1"/>
  <c r="DV42" i="38" s="1"/>
  <c r="EJ42" i="38" s="1"/>
  <c r="CA37" i="43"/>
  <c r="BZ37" i="43" s="1"/>
  <c r="DV37" i="38" s="1"/>
  <c r="EJ37" i="38" s="1"/>
  <c r="BZ22" i="43"/>
  <c r="DV22" i="38" s="1"/>
  <c r="BB40" i="29"/>
  <c r="BA4" i="29"/>
  <c r="BB38" i="29"/>
  <c r="BA38" i="29" s="1"/>
  <c r="BA2" i="29"/>
  <c r="BB60" i="29"/>
  <c r="BB74" i="29"/>
  <c r="BA12" i="29"/>
  <c r="BB71" i="29"/>
  <c r="BB57" i="29"/>
  <c r="BA29" i="29"/>
  <c r="BB62" i="29"/>
  <c r="BB76" i="29"/>
  <c r="BA27" i="29"/>
  <c r="BB50" i="29"/>
  <c r="BB64" i="29"/>
  <c r="BA25" i="29"/>
  <c r="BB49" i="29"/>
  <c r="BA23" i="29"/>
  <c r="BB65" i="29"/>
  <c r="BB51" i="29"/>
  <c r="BA21" i="29"/>
  <c r="BB42" i="29"/>
  <c r="BA42" i="29" s="1"/>
  <c r="BA19" i="29"/>
  <c r="BB52" i="29"/>
  <c r="BB66" i="29"/>
  <c r="BA17" i="29"/>
  <c r="BB44" i="29"/>
  <c r="BA44" i="29" s="1"/>
  <c r="BA15" i="29"/>
  <c r="BB33" i="29"/>
  <c r="BA33" i="29" s="1"/>
  <c r="BA13" i="29"/>
  <c r="BB39" i="29"/>
  <c r="BA39" i="29" s="1"/>
  <c r="N39" i="18" s="1"/>
  <c r="Y39" i="18" s="1"/>
  <c r="BA11" i="29"/>
  <c r="BB73" i="29"/>
  <c r="BB59" i="29"/>
  <c r="BA7" i="29"/>
  <c r="BB32" i="29"/>
  <c r="BA3" i="29"/>
  <c r="BB39" i="41"/>
  <c r="BA39" i="41" s="1"/>
  <c r="N39" i="38" s="1"/>
  <c r="Y39" i="38" s="1"/>
  <c r="BA11" i="41"/>
  <c r="N11" i="38" s="1"/>
  <c r="BB66" i="41"/>
  <c r="BA17" i="41"/>
  <c r="N17" i="38" s="1"/>
  <c r="BB52" i="41"/>
  <c r="BB65" i="41"/>
  <c r="BB51" i="41"/>
  <c r="BA21" i="41"/>
  <c r="N21" i="38" s="1"/>
  <c r="BB36" i="41"/>
  <c r="BA36" i="41" s="1"/>
  <c r="N36" i="38" s="1"/>
  <c r="Y36" i="38" s="1"/>
  <c r="BA26" i="41"/>
  <c r="N26" i="38" s="1"/>
  <c r="BB46" i="41"/>
  <c r="BA10" i="41"/>
  <c r="N10" i="38" s="1"/>
  <c r="AC32" i="41"/>
  <c r="BB3" i="42"/>
  <c r="AB3" i="41"/>
  <c r="C3" i="38" s="1"/>
  <c r="C32" i="38" s="1"/>
  <c r="BB3" i="43"/>
  <c r="BB7" i="42"/>
  <c r="AB7" i="41"/>
  <c r="C7" i="38" s="1"/>
  <c r="AC73" i="41"/>
  <c r="AC59" i="41"/>
  <c r="BB7" i="43"/>
  <c r="AC39" i="41"/>
  <c r="AB39" i="41" s="1"/>
  <c r="AB11" i="41"/>
  <c r="C11" i="38" s="1"/>
  <c r="C39" i="38" s="1"/>
  <c r="BB11" i="42"/>
  <c r="BB11" i="43"/>
  <c r="BB15" i="42"/>
  <c r="AB15" i="41"/>
  <c r="C15" i="38" s="1"/>
  <c r="C44" i="38" s="1"/>
  <c r="AC44" i="41"/>
  <c r="BB15" i="43"/>
  <c r="BB19" i="42"/>
  <c r="AC42" i="41"/>
  <c r="AB19" i="41"/>
  <c r="C19" i="38" s="1"/>
  <c r="C42" i="38" s="1"/>
  <c r="BB19" i="43"/>
  <c r="AC49" i="41"/>
  <c r="AB23" i="41"/>
  <c r="C23" i="38" s="1"/>
  <c r="C49" i="38" s="1"/>
  <c r="BB23" i="42"/>
  <c r="BB23" i="43"/>
  <c r="BB27" i="42"/>
  <c r="AB27" i="41"/>
  <c r="C27" i="38" s="1"/>
  <c r="AC62" i="41"/>
  <c r="AC76" i="41"/>
  <c r="BB27" i="43"/>
  <c r="BB32" i="41"/>
  <c r="BA3" i="41"/>
  <c r="N3" i="38" s="1"/>
  <c r="BB73" i="41"/>
  <c r="BB59" i="41"/>
  <c r="BA7" i="41"/>
  <c r="N7" i="38" s="1"/>
  <c r="CA40" i="42"/>
  <c r="BZ40" i="42" s="1"/>
  <c r="BP40" i="38" s="1"/>
  <c r="CD40" i="38" s="1"/>
  <c r="BZ4" i="42"/>
  <c r="BP4" i="38" s="1"/>
  <c r="CA41" i="42"/>
  <c r="BZ41" i="42" s="1"/>
  <c r="BP41" i="38" s="1"/>
  <c r="CD41" i="38" s="1"/>
  <c r="BZ8" i="42"/>
  <c r="BP8" i="38" s="1"/>
  <c r="CA74" i="42"/>
  <c r="CA60" i="42"/>
  <c r="BZ12" i="42"/>
  <c r="BP12" i="38" s="1"/>
  <c r="CA72" i="42"/>
  <c r="CA58" i="42"/>
  <c r="BZ16" i="42"/>
  <c r="BP16" i="38" s="1"/>
  <c r="CA70" i="42"/>
  <c r="BZ70" i="42" s="1"/>
  <c r="BP70" i="38" s="1"/>
  <c r="CD70" i="38" s="1"/>
  <c r="BZ20" i="42"/>
  <c r="BP20" i="38" s="1"/>
  <c r="CA56" i="42"/>
  <c r="CA69" i="42"/>
  <c r="CA55" i="42"/>
  <c r="BZ24" i="42"/>
  <c r="BP24" i="38" s="1"/>
  <c r="CA43" i="42"/>
  <c r="BZ43" i="42" s="1"/>
  <c r="BP43" i="38" s="1"/>
  <c r="CD43" i="38" s="1"/>
  <c r="BZ28" i="42"/>
  <c r="BP28" i="38" s="1"/>
  <c r="E32" i="20"/>
  <c r="E31" i="20" s="1"/>
  <c r="C31" i="20"/>
  <c r="R74" i="29"/>
  <c r="R60" i="29"/>
  <c r="R12" i="30"/>
  <c r="R76" i="29"/>
  <c r="R62" i="29"/>
  <c r="R27" i="30"/>
  <c r="R49" i="29"/>
  <c r="R23" i="30"/>
  <c r="R42" i="29"/>
  <c r="R19" i="30"/>
  <c r="R44" i="29"/>
  <c r="R15" i="30"/>
  <c r="R2" i="42"/>
  <c r="R38" i="42" s="1"/>
  <c r="R38" i="41"/>
  <c r="R2" i="43"/>
  <c r="R38" i="43" s="1"/>
  <c r="R6" i="42"/>
  <c r="R47" i="42" s="1"/>
  <c r="R47" i="41"/>
  <c r="R6" i="43"/>
  <c r="R47" i="43" s="1"/>
  <c r="R10" i="42"/>
  <c r="R46" i="42" s="1"/>
  <c r="R45" i="42" s="1"/>
  <c r="R46" i="41"/>
  <c r="R45" i="41" s="1"/>
  <c r="R10" i="43"/>
  <c r="R46" i="43" s="1"/>
  <c r="R45" i="43" s="1"/>
  <c r="R14" i="42"/>
  <c r="R34" i="42" s="1"/>
  <c r="R34" i="41"/>
  <c r="R14" i="43"/>
  <c r="R34" i="43" s="1"/>
  <c r="R18" i="42"/>
  <c r="R75" i="41"/>
  <c r="R61" i="41"/>
  <c r="R18" i="43"/>
  <c r="R22" i="42"/>
  <c r="R37" i="42" s="1"/>
  <c r="R37" i="41"/>
  <c r="R22" i="43"/>
  <c r="R37" i="43" s="1"/>
  <c r="R26" i="42"/>
  <c r="R36" i="42" s="1"/>
  <c r="R36" i="41"/>
  <c r="R26" i="43"/>
  <c r="R36" i="43" s="1"/>
  <c r="R30" i="42"/>
  <c r="R35" i="42" s="1"/>
  <c r="R35" i="41"/>
  <c r="R30" i="43"/>
  <c r="R35" i="43" s="1"/>
  <c r="AU64" i="30"/>
  <c r="AE64" i="30"/>
  <c r="AE63" i="30" s="1"/>
  <c r="AL64" i="30"/>
  <c r="AS64" i="30"/>
  <c r="AC64" i="30"/>
  <c r="AO50" i="30"/>
  <c r="AV50" i="30"/>
  <c r="AY50" i="30"/>
  <c r="AL50" i="30"/>
  <c r="AX50" i="30"/>
  <c r="AI50" i="30"/>
  <c r="AD50" i="30"/>
  <c r="AN64" i="30"/>
  <c r="AQ64" i="30"/>
  <c r="AQ63" i="30" s="1"/>
  <c r="AX64" i="30"/>
  <c r="AH64" i="30"/>
  <c r="AO64" i="30"/>
  <c r="AJ64" i="30"/>
  <c r="AJ63" i="30" s="1"/>
  <c r="AK50" i="30"/>
  <c r="AR50" i="30"/>
  <c r="AU50" i="30"/>
  <c r="AG50" i="30"/>
  <c r="AJ50" i="30"/>
  <c r="AE50" i="30"/>
  <c r="AY64" i="30"/>
  <c r="AP64" i="30"/>
  <c r="AP63" i="30" s="1"/>
  <c r="AG64" i="30"/>
  <c r="AF64" i="30"/>
  <c r="AM50" i="30"/>
  <c r="AH50" i="30"/>
  <c r="AM64" i="30"/>
  <c r="AT64" i="30"/>
  <c r="AD64" i="30"/>
  <c r="AK64" i="30"/>
  <c r="AW50" i="30"/>
  <c r="AV64" i="30"/>
  <c r="AN50" i="30"/>
  <c r="AQ50" i="30"/>
  <c r="AC50" i="30"/>
  <c r="AF50" i="30"/>
  <c r="AP50" i="30"/>
  <c r="AI64" i="30"/>
  <c r="AI63" i="30" s="1"/>
  <c r="AW64" i="30"/>
  <c r="AS50" i="30"/>
  <c r="AR64" i="30"/>
  <c r="AT50" i="30"/>
  <c r="AU68" i="30"/>
  <c r="AE68" i="30"/>
  <c r="AL68" i="30"/>
  <c r="AS68" i="30"/>
  <c r="AC68" i="30"/>
  <c r="AO54" i="30"/>
  <c r="AJ68" i="30"/>
  <c r="AJ54" i="30"/>
  <c r="AY54" i="30"/>
  <c r="AI54" i="30"/>
  <c r="AX54" i="30"/>
  <c r="AT54" i="30"/>
  <c r="AG68" i="30"/>
  <c r="AQ68" i="30"/>
  <c r="AX68" i="30"/>
  <c r="AH68" i="30"/>
  <c r="AO68" i="30"/>
  <c r="AN68" i="30"/>
  <c r="AK54" i="30"/>
  <c r="AV54" i="30"/>
  <c r="AF54" i="30"/>
  <c r="AU54" i="30"/>
  <c r="AE54" i="30"/>
  <c r="AH54" i="30"/>
  <c r="AI68" i="30"/>
  <c r="AW68" i="30"/>
  <c r="AC54" i="30"/>
  <c r="AF68" i="30"/>
  <c r="AM54" i="30"/>
  <c r="AR68" i="30"/>
  <c r="AM68" i="30"/>
  <c r="AT68" i="30"/>
  <c r="AD68" i="30"/>
  <c r="AK68" i="30"/>
  <c r="AW54" i="30"/>
  <c r="AG54" i="30"/>
  <c r="AR54" i="30"/>
  <c r="AV68" i="30"/>
  <c r="AQ54" i="30"/>
  <c r="AP54" i="30"/>
  <c r="AD54" i="30"/>
  <c r="AY68" i="30"/>
  <c r="AP68" i="30"/>
  <c r="AS54" i="30"/>
  <c r="AN54" i="30"/>
  <c r="AL54" i="30"/>
  <c r="AL75" i="30"/>
  <c r="AU61" i="30"/>
  <c r="AO75" i="30"/>
  <c r="AX61" i="30"/>
  <c r="AR75" i="30"/>
  <c r="AW61" i="30"/>
  <c r="AN61" i="30"/>
  <c r="AI75" i="30"/>
  <c r="AU75" i="30"/>
  <c r="AH61" i="30"/>
  <c r="AK61" i="30"/>
  <c r="AY61" i="30"/>
  <c r="AM75" i="30"/>
  <c r="AL61" i="30"/>
  <c r="AX75" i="30"/>
  <c r="AH75" i="30"/>
  <c r="AQ61" i="30"/>
  <c r="AK75" i="30"/>
  <c r="AT61" i="30"/>
  <c r="AN75" i="30"/>
  <c r="AS61" i="30"/>
  <c r="AJ61" i="30"/>
  <c r="AM61" i="30"/>
  <c r="AE75" i="30"/>
  <c r="AD61" i="30"/>
  <c r="AG61" i="30"/>
  <c r="AP75" i="30"/>
  <c r="AC75" i="30"/>
  <c r="AF75" i="30"/>
  <c r="AE61" i="30"/>
  <c r="AQ75" i="30"/>
  <c r="AT75" i="30"/>
  <c r="AD75" i="30"/>
  <c r="AW75" i="30"/>
  <c r="AG75" i="30"/>
  <c r="AP61" i="30"/>
  <c r="AJ75" i="30"/>
  <c r="AO61" i="30"/>
  <c r="AF61" i="30"/>
  <c r="AI61" i="30"/>
  <c r="AV61" i="30"/>
  <c r="AR61" i="30"/>
  <c r="AC61" i="30"/>
  <c r="AS75" i="30"/>
  <c r="AV75" i="30"/>
  <c r="AY75" i="30"/>
  <c r="AZ51" i="43"/>
  <c r="CX65" i="43"/>
  <c r="CX51" i="43"/>
  <c r="AZ65" i="43"/>
  <c r="CX68" i="43"/>
  <c r="AZ68" i="43"/>
  <c r="AZ54" i="43"/>
  <c r="CX54" i="43"/>
  <c r="CX72" i="43"/>
  <c r="CX58" i="43"/>
  <c r="AZ72" i="43"/>
  <c r="AZ58" i="43"/>
  <c r="AZ55" i="43"/>
  <c r="CX55" i="43"/>
  <c r="CX69" i="43"/>
  <c r="AZ69" i="43"/>
  <c r="AA59" i="29"/>
  <c r="AA73" i="29"/>
  <c r="AA7" i="30"/>
  <c r="AA62" i="29"/>
  <c r="AA76" i="29"/>
  <c r="AA27" i="30"/>
  <c r="AA49" i="29"/>
  <c r="AA23" i="30"/>
  <c r="AA49" i="30" s="1"/>
  <c r="AA42" i="29"/>
  <c r="AA19" i="30"/>
  <c r="AA44" i="29"/>
  <c r="AA15" i="30"/>
  <c r="AA44" i="30" s="1"/>
  <c r="AA46" i="29"/>
  <c r="AA45" i="29" s="1"/>
  <c r="AA10" i="30"/>
  <c r="AA40" i="29"/>
  <c r="AA4" i="30"/>
  <c r="AA3" i="42"/>
  <c r="AA32" i="42" s="1"/>
  <c r="AA32" i="41"/>
  <c r="AA3" i="43"/>
  <c r="AA32" i="43" s="1"/>
  <c r="AA7" i="42"/>
  <c r="AA73" i="41"/>
  <c r="AA59" i="41"/>
  <c r="AA7" i="43"/>
  <c r="AA11" i="42"/>
  <c r="AA39" i="42" s="1"/>
  <c r="AA39" i="41"/>
  <c r="AA11" i="43"/>
  <c r="AA39" i="43" s="1"/>
  <c r="AA15" i="42"/>
  <c r="AA44" i="42" s="1"/>
  <c r="AA44" i="41"/>
  <c r="AA15" i="43"/>
  <c r="AA44" i="43" s="1"/>
  <c r="AA19" i="42"/>
  <c r="AA42" i="42" s="1"/>
  <c r="AA42" i="41"/>
  <c r="AA19" i="43"/>
  <c r="AA42" i="43" s="1"/>
  <c r="AA49" i="41"/>
  <c r="AA23" i="42"/>
  <c r="AA49" i="42" s="1"/>
  <c r="AA23" i="43"/>
  <c r="AA49" i="43" s="1"/>
  <c r="AA27" i="42"/>
  <c r="AA76" i="41"/>
  <c r="AA62" i="41"/>
  <c r="AA27" i="43"/>
  <c r="AV70" i="42"/>
  <c r="AN70" i="42"/>
  <c r="AF70" i="42"/>
  <c r="AZ56" i="42"/>
  <c r="AV56" i="42"/>
  <c r="AR56" i="42"/>
  <c r="AN56" i="42"/>
  <c r="AJ56" i="42"/>
  <c r="AF56" i="42"/>
  <c r="AS70" i="42"/>
  <c r="AK70" i="42"/>
  <c r="AC70" i="42"/>
  <c r="AY56" i="42"/>
  <c r="AU56" i="42"/>
  <c r="AQ56" i="42"/>
  <c r="AM56" i="42"/>
  <c r="AI56" i="42"/>
  <c r="AE56" i="42"/>
  <c r="AR70" i="42"/>
  <c r="AT56" i="42"/>
  <c r="AL56" i="42"/>
  <c r="AD56" i="42"/>
  <c r="AO70" i="42"/>
  <c r="AS56" i="42"/>
  <c r="AK56" i="42"/>
  <c r="AC56" i="42"/>
  <c r="AZ70" i="42"/>
  <c r="AJ70" i="42"/>
  <c r="AX56" i="42"/>
  <c r="AP56" i="42"/>
  <c r="AH56" i="42"/>
  <c r="AG70" i="42"/>
  <c r="AW56" i="42"/>
  <c r="AO56" i="42"/>
  <c r="AW70" i="42"/>
  <c r="AG56" i="42"/>
  <c r="AY70" i="42"/>
  <c r="AI70" i="42"/>
  <c r="AP70" i="42"/>
  <c r="AU70" i="42"/>
  <c r="AE70" i="42"/>
  <c r="AL70" i="42"/>
  <c r="AQ70" i="42"/>
  <c r="AX70" i="42"/>
  <c r="AH70" i="42"/>
  <c r="AM70" i="42"/>
  <c r="AT70" i="42"/>
  <c r="AD70" i="42"/>
  <c r="AV69" i="42"/>
  <c r="AN69" i="42"/>
  <c r="AF69" i="42"/>
  <c r="AZ55" i="42"/>
  <c r="AV55" i="42"/>
  <c r="AR55" i="42"/>
  <c r="AN55" i="42"/>
  <c r="AJ55" i="42"/>
  <c r="AF55" i="42"/>
  <c r="AS69" i="42"/>
  <c r="AK69" i="42"/>
  <c r="AC69" i="42"/>
  <c r="AY55" i="42"/>
  <c r="AU55" i="42"/>
  <c r="AQ55" i="42"/>
  <c r="AM55" i="42"/>
  <c r="AI55" i="42"/>
  <c r="AE55" i="42"/>
  <c r="AZ69" i="42"/>
  <c r="AJ69" i="42"/>
  <c r="AT55" i="42"/>
  <c r="AL55" i="42"/>
  <c r="AD55" i="42"/>
  <c r="AW69" i="42"/>
  <c r="AG69" i="42"/>
  <c r="AS55" i="42"/>
  <c r="AK55" i="42"/>
  <c r="AC55" i="42"/>
  <c r="AR69" i="42"/>
  <c r="AX55" i="42"/>
  <c r="AP55" i="42"/>
  <c r="AH55" i="42"/>
  <c r="AO69" i="42"/>
  <c r="AO55" i="42"/>
  <c r="AG55" i="42"/>
  <c r="AW55" i="42"/>
  <c r="AQ69" i="42"/>
  <c r="AX69" i="42"/>
  <c r="AH69" i="42"/>
  <c r="AM69" i="42"/>
  <c r="AT69" i="42"/>
  <c r="AD69" i="42"/>
  <c r="AY69" i="42"/>
  <c r="AI69" i="42"/>
  <c r="AP69" i="42"/>
  <c r="AU69" i="42"/>
  <c r="AE69" i="42"/>
  <c r="AL69" i="42"/>
  <c r="AZ45" i="42"/>
  <c r="AV75" i="42"/>
  <c r="AN75" i="42"/>
  <c r="AF75" i="42"/>
  <c r="AZ61" i="42"/>
  <c r="AV61" i="42"/>
  <c r="AR61" i="42"/>
  <c r="AN61" i="42"/>
  <c r="AJ61" i="42"/>
  <c r="AF61" i="42"/>
  <c r="AS75" i="42"/>
  <c r="AK75" i="42"/>
  <c r="AC75" i="42"/>
  <c r="AY61" i="42"/>
  <c r="AU61" i="42"/>
  <c r="AQ61" i="42"/>
  <c r="AM61" i="42"/>
  <c r="AI61" i="42"/>
  <c r="AE61" i="42"/>
  <c r="AZ75" i="42"/>
  <c r="AJ75" i="42"/>
  <c r="AT61" i="42"/>
  <c r="AL61" i="42"/>
  <c r="AD61" i="42"/>
  <c r="AW75" i="42"/>
  <c r="AG75" i="42"/>
  <c r="AS61" i="42"/>
  <c r="AK61" i="42"/>
  <c r="AC61" i="42"/>
  <c r="AR75" i="42"/>
  <c r="AX61" i="42"/>
  <c r="AP61" i="42"/>
  <c r="AH61" i="42"/>
  <c r="AO61" i="42"/>
  <c r="AO75" i="42"/>
  <c r="AG61" i="42"/>
  <c r="AW61" i="42"/>
  <c r="AY75" i="42"/>
  <c r="AI75" i="42"/>
  <c r="AP75" i="42"/>
  <c r="AU75" i="42"/>
  <c r="AE75" i="42"/>
  <c r="AL75" i="42"/>
  <c r="AQ75" i="42"/>
  <c r="AX75" i="42"/>
  <c r="AH75" i="42"/>
  <c r="AD75" i="42"/>
  <c r="AM75" i="42"/>
  <c r="AT75" i="42"/>
  <c r="C44" i="37"/>
  <c r="F15" i="37"/>
  <c r="C74" i="37"/>
  <c r="C60" i="37"/>
  <c r="C70" i="37"/>
  <c r="C56" i="37"/>
  <c r="G76" i="37"/>
  <c r="G62" i="37"/>
  <c r="M41" i="37"/>
  <c r="J41" i="37"/>
  <c r="G72" i="37"/>
  <c r="G58" i="37"/>
  <c r="G69" i="37"/>
  <c r="G55" i="37"/>
  <c r="C39" i="37"/>
  <c r="F11" i="37"/>
  <c r="G67" i="37"/>
  <c r="G53" i="37"/>
  <c r="J33" i="37"/>
  <c r="M33" i="37"/>
  <c r="G51" i="37"/>
  <c r="G65" i="37"/>
  <c r="J35" i="37"/>
  <c r="M35" i="37"/>
  <c r="F28" i="37"/>
  <c r="C43" i="37"/>
  <c r="F43" i="37" s="1"/>
  <c r="G54" i="16"/>
  <c r="G68" i="16"/>
  <c r="J34" i="16"/>
  <c r="J45" i="16"/>
  <c r="M45" i="16"/>
  <c r="J46" i="16"/>
  <c r="M46" i="16"/>
  <c r="F12" i="16"/>
  <c r="C74" i="16"/>
  <c r="C60" i="16"/>
  <c r="J40" i="16"/>
  <c r="G56" i="16"/>
  <c r="G70" i="16"/>
  <c r="G71" i="16"/>
  <c r="G57" i="16"/>
  <c r="G60" i="16"/>
  <c r="G74" i="16"/>
  <c r="J42" i="16"/>
  <c r="C44" i="16"/>
  <c r="F44" i="16" s="1"/>
  <c r="F15" i="16"/>
  <c r="F27" i="16"/>
  <c r="C76" i="16"/>
  <c r="C62" i="16"/>
  <c r="F16" i="16"/>
  <c r="C72" i="16"/>
  <c r="C58" i="16"/>
  <c r="C35" i="16"/>
  <c r="F35" i="16" s="1"/>
  <c r="F30" i="16"/>
  <c r="F13" i="16"/>
  <c r="C33" i="16"/>
  <c r="F33" i="16" s="1"/>
  <c r="C71" i="16"/>
  <c r="C57" i="16"/>
  <c r="F29" i="16"/>
  <c r="CZ27" i="18"/>
  <c r="AT27" i="18"/>
  <c r="CZ16" i="18"/>
  <c r="AT16" i="18"/>
  <c r="CZ21" i="18"/>
  <c r="AT21" i="18"/>
  <c r="CZ11" i="18"/>
  <c r="AT11" i="18"/>
  <c r="CZ13" i="18"/>
  <c r="AT13" i="18"/>
  <c r="CZ10" i="18"/>
  <c r="AT10" i="18"/>
  <c r="CZ26" i="18"/>
  <c r="AT26" i="18"/>
  <c r="U64" i="38"/>
  <c r="U50" i="38"/>
  <c r="AF50" i="38" s="1"/>
  <c r="U53" i="38"/>
  <c r="AF53" i="38" s="1"/>
  <c r="U67" i="38"/>
  <c r="AF67" i="38" s="1"/>
  <c r="BW62" i="38"/>
  <c r="CK62" i="38" s="1"/>
  <c r="BW76" i="38"/>
  <c r="CK76" i="38" s="1"/>
  <c r="EC56" i="38"/>
  <c r="EQ56" i="38" s="1"/>
  <c r="EC70" i="38"/>
  <c r="EQ70" i="38" s="1"/>
  <c r="CZ14" i="38"/>
  <c r="J34" i="38"/>
  <c r="AT14" i="38"/>
  <c r="CZ17" i="38"/>
  <c r="J66" i="38"/>
  <c r="J63" i="38" s="1"/>
  <c r="AT17" i="38"/>
  <c r="J52" i="38"/>
  <c r="U70" i="38"/>
  <c r="AF70" i="38" s="1"/>
  <c r="U56" i="38"/>
  <c r="AF56" i="38" s="1"/>
  <c r="CZ12" i="38"/>
  <c r="J74" i="38"/>
  <c r="AT12" i="38"/>
  <c r="J60" i="38"/>
  <c r="CZ28" i="38"/>
  <c r="J43" i="38"/>
  <c r="AT28" i="38"/>
  <c r="CZ4" i="38"/>
  <c r="J40" i="38"/>
  <c r="AT4" i="38"/>
  <c r="J39" i="38"/>
  <c r="AT11" i="38"/>
  <c r="CZ11" i="38"/>
  <c r="AF49" i="38"/>
  <c r="CK49" i="38"/>
  <c r="U68" i="38"/>
  <c r="AF68" i="38" s="1"/>
  <c r="U54" i="38"/>
  <c r="AF54" i="38" s="1"/>
  <c r="U76" i="38"/>
  <c r="AF76" i="38" s="1"/>
  <c r="U62" i="38"/>
  <c r="AF62" i="38" s="1"/>
  <c r="CZ3" i="38"/>
  <c r="AT3" i="38"/>
  <c r="J32" i="38"/>
  <c r="J31" i="38" s="1"/>
  <c r="CZ22" i="38"/>
  <c r="J37" i="38"/>
  <c r="AT22" i="38"/>
  <c r="CZ18" i="38"/>
  <c r="J75" i="38"/>
  <c r="J61" i="38"/>
  <c r="AT18" i="38"/>
  <c r="J47" i="38"/>
  <c r="AT6" i="38"/>
  <c r="CZ6" i="38"/>
  <c r="EC61" i="38"/>
  <c r="EQ61" i="38" s="1"/>
  <c r="EC75" i="38"/>
  <c r="EQ75" i="38" s="1"/>
  <c r="EQ49" i="38"/>
  <c r="AT29" i="38"/>
  <c r="J71" i="38"/>
  <c r="J57" i="38"/>
  <c r="CZ29" i="38"/>
  <c r="CU69" i="30"/>
  <c r="CU55" i="30"/>
  <c r="CU70" i="30"/>
  <c r="CU56" i="30"/>
  <c r="CU58" i="30"/>
  <c r="CU72" i="30"/>
  <c r="CU74" i="30"/>
  <c r="CU60" i="30"/>
  <c r="BV71" i="41"/>
  <c r="BV57" i="41"/>
  <c r="BV57" i="29"/>
  <c r="BV71" i="29"/>
  <c r="BV62" i="29"/>
  <c r="BV76" i="29"/>
  <c r="BV64" i="29"/>
  <c r="BV50" i="29"/>
  <c r="BV48" i="29"/>
  <c r="BV51" i="29"/>
  <c r="BV65" i="29"/>
  <c r="BV52" i="29"/>
  <c r="BV66" i="29"/>
  <c r="BU45" i="29"/>
  <c r="BV9" i="42"/>
  <c r="AW54" i="41"/>
  <c r="AW68" i="41"/>
  <c r="BV9" i="43"/>
  <c r="BV17" i="42"/>
  <c r="AW52" i="41"/>
  <c r="AW66" i="41"/>
  <c r="BV17" i="43"/>
  <c r="BV25" i="42"/>
  <c r="AW64" i="41"/>
  <c r="AW50" i="41"/>
  <c r="BV25" i="43"/>
  <c r="AW60" i="29"/>
  <c r="AW74" i="29"/>
  <c r="BV12" i="30"/>
  <c r="AW41" i="29"/>
  <c r="BV8" i="30"/>
  <c r="AW38" i="41"/>
  <c r="BV2" i="42"/>
  <c r="BV38" i="42" s="1"/>
  <c r="BV2" i="43"/>
  <c r="BV38" i="43" s="1"/>
  <c r="BV10" i="42"/>
  <c r="BV46" i="42" s="1"/>
  <c r="AW46" i="41"/>
  <c r="AW45" i="41" s="1"/>
  <c r="BV10" i="43"/>
  <c r="BV46" i="43" s="1"/>
  <c r="BV45" i="43" s="1"/>
  <c r="BV18" i="42"/>
  <c r="AW75" i="41"/>
  <c r="AW61" i="41"/>
  <c r="BV18" i="43"/>
  <c r="BV26" i="42"/>
  <c r="BV36" i="42" s="1"/>
  <c r="AW36" i="41"/>
  <c r="BV26" i="43"/>
  <c r="BV36" i="43" s="1"/>
  <c r="BV74" i="41"/>
  <c r="BV60" i="41"/>
  <c r="BV75" i="41"/>
  <c r="BV61" i="41"/>
  <c r="BV62" i="41"/>
  <c r="BV76" i="41"/>
  <c r="CU31" i="42"/>
  <c r="CU73" i="42"/>
  <c r="CU59" i="42"/>
  <c r="CU48" i="42" s="1"/>
  <c r="CU76" i="42"/>
  <c r="CU62" i="42"/>
  <c r="CN71" i="30"/>
  <c r="CN57" i="30"/>
  <c r="CN50" i="30"/>
  <c r="CN48" i="30" s="1"/>
  <c r="CN64" i="30"/>
  <c r="CN54" i="30"/>
  <c r="CN68" i="30"/>
  <c r="CN45" i="43"/>
  <c r="BO61" i="29"/>
  <c r="BO75" i="29"/>
  <c r="AP71" i="29"/>
  <c r="AP57" i="29"/>
  <c r="BO29" i="30"/>
  <c r="BO71" i="29"/>
  <c r="BO57" i="29"/>
  <c r="BO50" i="29"/>
  <c r="BO48" i="29" s="1"/>
  <c r="BO64" i="29"/>
  <c r="BO65" i="29"/>
  <c r="BO51" i="29"/>
  <c r="BO66" i="29"/>
  <c r="BO52" i="29"/>
  <c r="BO74" i="41"/>
  <c r="BO60" i="41"/>
  <c r="BO75" i="41"/>
  <c r="BO61" i="41"/>
  <c r="BO62" i="41"/>
  <c r="BO76" i="41"/>
  <c r="BO3" i="42"/>
  <c r="BO32" i="42" s="1"/>
  <c r="AP32" i="41"/>
  <c r="BO3" i="43"/>
  <c r="BO32" i="43" s="1"/>
  <c r="BO31" i="43" s="1"/>
  <c r="BO7" i="42"/>
  <c r="AP73" i="41"/>
  <c r="AP59" i="41"/>
  <c r="BO7" i="43"/>
  <c r="BO11" i="42"/>
  <c r="BO39" i="42" s="1"/>
  <c r="AP39" i="41"/>
  <c r="BO11" i="43"/>
  <c r="BO39" i="43" s="1"/>
  <c r="BO15" i="42"/>
  <c r="BO44" i="42" s="1"/>
  <c r="AP44" i="41"/>
  <c r="BO15" i="43"/>
  <c r="BO44" i="43" s="1"/>
  <c r="BO19" i="42"/>
  <c r="BO42" i="42" s="1"/>
  <c r="AP42" i="41"/>
  <c r="BO19" i="43"/>
  <c r="BO42" i="43" s="1"/>
  <c r="BO23" i="42"/>
  <c r="BO49" i="42" s="1"/>
  <c r="AP49" i="41"/>
  <c r="BO23" i="43"/>
  <c r="BO49" i="43" s="1"/>
  <c r="BO27" i="42"/>
  <c r="AP62" i="41"/>
  <c r="AP76" i="41"/>
  <c r="BO27" i="43"/>
  <c r="CN67" i="42"/>
  <c r="CN53" i="42"/>
  <c r="CN68" i="42"/>
  <c r="CN54" i="42"/>
  <c r="CN66" i="42"/>
  <c r="CN52" i="42"/>
  <c r="CN65" i="42"/>
  <c r="CN51" i="42"/>
  <c r="CN64" i="42"/>
  <c r="CN50" i="42"/>
  <c r="CN48" i="42" s="1"/>
  <c r="CN71" i="42"/>
  <c r="CN57" i="42"/>
  <c r="CG55" i="30"/>
  <c r="CG69" i="30"/>
  <c r="CG56" i="30"/>
  <c r="CG70" i="30"/>
  <c r="CG72" i="30"/>
  <c r="CG58" i="30"/>
  <c r="CG60" i="30"/>
  <c r="CG74" i="30"/>
  <c r="AI54" i="29"/>
  <c r="AI68" i="29"/>
  <c r="BH9" i="30"/>
  <c r="CG31" i="42"/>
  <c r="BH54" i="29"/>
  <c r="BH68" i="29"/>
  <c r="BH71" i="29"/>
  <c r="BH57" i="29"/>
  <c r="BH62" i="29"/>
  <c r="BH76" i="29"/>
  <c r="BH50" i="29"/>
  <c r="BH64" i="29"/>
  <c r="BH63" i="29" s="1"/>
  <c r="BH65" i="29"/>
  <c r="BH51" i="29"/>
  <c r="BH52" i="29"/>
  <c r="BH48" i="29" s="1"/>
  <c r="BH66" i="29"/>
  <c r="BH31" i="41"/>
  <c r="BH73" i="41"/>
  <c r="BH59" i="41"/>
  <c r="AI53" i="29"/>
  <c r="AI67" i="29"/>
  <c r="BH5" i="30"/>
  <c r="AI32" i="29"/>
  <c r="AI31" i="29" s="1"/>
  <c r="BH3" i="30"/>
  <c r="BH72" i="41"/>
  <c r="BH58" i="41"/>
  <c r="BH70" i="41"/>
  <c r="BH56" i="41"/>
  <c r="BH50" i="41"/>
  <c r="BH48" i="41" s="1"/>
  <c r="BH64" i="41"/>
  <c r="CG55" i="42"/>
  <c r="CG69" i="42"/>
  <c r="BH2" i="42"/>
  <c r="BH38" i="42" s="1"/>
  <c r="AI38" i="41"/>
  <c r="BH2" i="43"/>
  <c r="BH38" i="43" s="1"/>
  <c r="BH6" i="42"/>
  <c r="BH47" i="42" s="1"/>
  <c r="AI47" i="41"/>
  <c r="BH6" i="43"/>
  <c r="BH47" i="43" s="1"/>
  <c r="BH10" i="42"/>
  <c r="BH46" i="42" s="1"/>
  <c r="BH45" i="42" s="1"/>
  <c r="AI46" i="41"/>
  <c r="AI45" i="41" s="1"/>
  <c r="BH10" i="43"/>
  <c r="BH46" i="43" s="1"/>
  <c r="BH45" i="43" s="1"/>
  <c r="BH14" i="42"/>
  <c r="BH34" i="42" s="1"/>
  <c r="AI34" i="41"/>
  <c r="BH14" i="43"/>
  <c r="BH34" i="43" s="1"/>
  <c r="BH18" i="42"/>
  <c r="AI61" i="41"/>
  <c r="AI75" i="41"/>
  <c r="BH18" i="43"/>
  <c r="BH22" i="42"/>
  <c r="BH37" i="42" s="1"/>
  <c r="AI37" i="41"/>
  <c r="BH22" i="43"/>
  <c r="BH37" i="43" s="1"/>
  <c r="BH26" i="42"/>
  <c r="BH36" i="42" s="1"/>
  <c r="AI36" i="41"/>
  <c r="BH26" i="43"/>
  <c r="BH36" i="43" s="1"/>
  <c r="BH30" i="42"/>
  <c r="BH35" i="42" s="1"/>
  <c r="AI35" i="41"/>
  <c r="BH30" i="43"/>
  <c r="BH35" i="43" s="1"/>
  <c r="M36" i="29"/>
  <c r="M26" i="30"/>
  <c r="M61" i="29"/>
  <c r="M75" i="29"/>
  <c r="M18" i="30"/>
  <c r="M62" i="29"/>
  <c r="M76" i="29"/>
  <c r="M27" i="30"/>
  <c r="M42" i="29"/>
  <c r="M19" i="30"/>
  <c r="M42" i="30" s="1"/>
  <c r="M60" i="29"/>
  <c r="M74" i="29"/>
  <c r="M12" i="30"/>
  <c r="M41" i="29"/>
  <c r="M8" i="30"/>
  <c r="M40" i="29"/>
  <c r="M4" i="30"/>
  <c r="M3" i="42"/>
  <c r="M32" i="42" s="1"/>
  <c r="M32" i="41"/>
  <c r="M3" i="43"/>
  <c r="M32" i="43" s="1"/>
  <c r="M7" i="42"/>
  <c r="M73" i="41"/>
  <c r="M59" i="41"/>
  <c r="M7" i="43"/>
  <c r="M11" i="42"/>
  <c r="M39" i="42" s="1"/>
  <c r="M39" i="41"/>
  <c r="M11" i="43"/>
  <c r="M39" i="43" s="1"/>
  <c r="M15" i="42"/>
  <c r="M44" i="42" s="1"/>
  <c r="M44" i="41"/>
  <c r="M15" i="43"/>
  <c r="M44" i="43" s="1"/>
  <c r="M19" i="42"/>
  <c r="M42" i="42" s="1"/>
  <c r="M42" i="41"/>
  <c r="M19" i="43"/>
  <c r="M42" i="43" s="1"/>
  <c r="M23" i="42"/>
  <c r="M49" i="42" s="1"/>
  <c r="M49" i="41"/>
  <c r="M23" i="43"/>
  <c r="M49" i="43" s="1"/>
  <c r="M27" i="42"/>
  <c r="M76" i="41"/>
  <c r="M62" i="41"/>
  <c r="M27" i="43"/>
  <c r="AL45" i="42"/>
  <c r="AF49" i="32"/>
  <c r="AA75" i="32"/>
  <c r="AF75" i="32" s="1"/>
  <c r="AA61" i="32"/>
  <c r="AF61" i="32" s="1"/>
  <c r="AA60" i="32"/>
  <c r="AF60" i="32" s="1"/>
  <c r="AA74" i="32"/>
  <c r="AF74" i="32" s="1"/>
  <c r="W52" i="32"/>
  <c r="AB52" i="32" s="1"/>
  <c r="W66" i="32"/>
  <c r="AB66" i="32" s="1"/>
  <c r="V65" i="32"/>
  <c r="V51" i="32"/>
  <c r="X71" i="32"/>
  <c r="AC71" i="32" s="1"/>
  <c r="X57" i="32"/>
  <c r="AC57" i="32" s="1"/>
  <c r="V73" i="32"/>
  <c r="V59" i="32"/>
  <c r="AD49" i="32"/>
  <c r="K58" i="32"/>
  <c r="O58" i="32" s="1"/>
  <c r="K72" i="32"/>
  <c r="O72" i="32" s="1"/>
  <c r="T57" i="32"/>
  <c r="T71" i="32"/>
  <c r="T72" i="32"/>
  <c r="T58" i="32"/>
  <c r="Y72" i="32"/>
  <c r="AD72" i="32" s="1"/>
  <c r="Y58" i="32"/>
  <c r="AD58" i="32" s="1"/>
  <c r="R71" i="32"/>
  <c r="R57" i="32"/>
  <c r="K52" i="32"/>
  <c r="O52" i="32" s="1"/>
  <c r="K66" i="32"/>
  <c r="O66" i="32" s="1"/>
  <c r="R68" i="32"/>
  <c r="R54" i="32"/>
  <c r="R48" i="32" s="1"/>
  <c r="E67" i="32"/>
  <c r="E53" i="32"/>
  <c r="X76" i="32"/>
  <c r="AC76" i="32" s="1"/>
  <c r="X62" i="32"/>
  <c r="AC62" i="32" s="1"/>
  <c r="AA65" i="32"/>
  <c r="AF65" i="32" s="1"/>
  <c r="AA51" i="32"/>
  <c r="AF51" i="32" s="1"/>
  <c r="E72" i="32"/>
  <c r="E58" i="32"/>
  <c r="S73" i="32"/>
  <c r="S59" i="32"/>
  <c r="T64" i="32"/>
  <c r="T50" i="32"/>
  <c r="Y51" i="32"/>
  <c r="AD51" i="32" s="1"/>
  <c r="Y65" i="32"/>
  <c r="AD65" i="32" s="1"/>
  <c r="Z58" i="32"/>
  <c r="AE58" i="32" s="1"/>
  <c r="Z72" i="32"/>
  <c r="AE72" i="32" s="1"/>
  <c r="K50" i="32"/>
  <c r="O50" i="32" s="1"/>
  <c r="K64" i="32"/>
  <c r="O64" i="32" s="1"/>
  <c r="E51" i="32"/>
  <c r="E65" i="32"/>
  <c r="R69" i="32"/>
  <c r="R55" i="32"/>
  <c r="V66" i="32"/>
  <c r="V52" i="32"/>
  <c r="E74" i="32"/>
  <c r="E60" i="32"/>
  <c r="T65" i="32"/>
  <c r="T51" i="32"/>
  <c r="Y66" i="32"/>
  <c r="AD66" i="32" s="1"/>
  <c r="Y52" i="32"/>
  <c r="AD52" i="32" s="1"/>
  <c r="Y55" i="32"/>
  <c r="AD55" i="32" s="1"/>
  <c r="Y69" i="32"/>
  <c r="AD69" i="32" s="1"/>
  <c r="K75" i="32"/>
  <c r="O75" i="32" s="1"/>
  <c r="K61" i="32"/>
  <c r="O61" i="32" s="1"/>
  <c r="T74" i="32"/>
  <c r="T60" i="32"/>
  <c r="AE32" i="32"/>
  <c r="AE31" i="32"/>
  <c r="R65" i="32"/>
  <c r="R51" i="32"/>
  <c r="AA50" i="32"/>
  <c r="AF50" i="32" s="1"/>
  <c r="AA64" i="32"/>
  <c r="K70" i="32"/>
  <c r="O70" i="32" s="1"/>
  <c r="K56" i="32"/>
  <c r="O56" i="32" s="1"/>
  <c r="R76" i="32"/>
  <c r="R62" i="32"/>
  <c r="AA58" i="32"/>
  <c r="AF58" i="32" s="1"/>
  <c r="AA72" i="32"/>
  <c r="AF72" i="32" s="1"/>
  <c r="V74" i="32"/>
  <c r="V60" i="32"/>
  <c r="T67" i="32"/>
  <c r="T53" i="32"/>
  <c r="BD58" i="32"/>
  <c r="BE58" i="32" s="1"/>
  <c r="BD72" i="32"/>
  <c r="BE72" i="32" s="1"/>
  <c r="BD76" i="32"/>
  <c r="BE76" i="32" s="1"/>
  <c r="BD62" i="32"/>
  <c r="BE62" i="32" s="1"/>
  <c r="AK66" i="32"/>
  <c r="AM66" i="32" s="1"/>
  <c r="AK52" i="32"/>
  <c r="AM52" i="32" s="1"/>
  <c r="BC71" i="32"/>
  <c r="BC57" i="32"/>
  <c r="AK62" i="32"/>
  <c r="AM62" i="32" s="1"/>
  <c r="AK76" i="32"/>
  <c r="AM76" i="32" s="1"/>
  <c r="AH73" i="32"/>
  <c r="AH59" i="32"/>
  <c r="BC74" i="32"/>
  <c r="BC60" i="32"/>
  <c r="BD70" i="32"/>
  <c r="BE70" i="32" s="1"/>
  <c r="BD56" i="32"/>
  <c r="BE56" i="32" s="1"/>
  <c r="BC68" i="32"/>
  <c r="BC54" i="32"/>
  <c r="BC66" i="32"/>
  <c r="BC52" i="32"/>
  <c r="AK64" i="32"/>
  <c r="AK50" i="32"/>
  <c r="AM50" i="32" s="1"/>
  <c r="BD60" i="32"/>
  <c r="BE60" i="32" s="1"/>
  <c r="BD74" i="32"/>
  <c r="BE74" i="32" s="1"/>
  <c r="AK65" i="32"/>
  <c r="AM65" i="32" s="1"/>
  <c r="AK51" i="32"/>
  <c r="AM51" i="32" s="1"/>
  <c r="CU11" i="18"/>
  <c r="AO11" i="18"/>
  <c r="CU16" i="18"/>
  <c r="AO16" i="18"/>
  <c r="CU5" i="18"/>
  <c r="AO5" i="18"/>
  <c r="CU29" i="18"/>
  <c r="AO29" i="18"/>
  <c r="CU23" i="18"/>
  <c r="AO23" i="18"/>
  <c r="CU2" i="18"/>
  <c r="CU38" i="18" s="1"/>
  <c r="AO2" i="18"/>
  <c r="CU18" i="18"/>
  <c r="AO18" i="18"/>
  <c r="CU10" i="38"/>
  <c r="F46" i="38"/>
  <c r="AO10" i="38"/>
  <c r="CF46" i="38"/>
  <c r="CF45" i="38"/>
  <c r="CU20" i="38"/>
  <c r="F70" i="38"/>
  <c r="AO20" i="38"/>
  <c r="F56" i="38"/>
  <c r="Q53" i="38"/>
  <c r="AB53" i="38" s="1"/>
  <c r="Q67" i="38"/>
  <c r="AB67" i="38" s="1"/>
  <c r="CU2" i="38"/>
  <c r="F38" i="38"/>
  <c r="AO2" i="38"/>
  <c r="BR73" i="38"/>
  <c r="CF73" i="38" s="1"/>
  <c r="BR59" i="38"/>
  <c r="CF59" i="38" s="1"/>
  <c r="DX74" i="38"/>
  <c r="EL74" i="38" s="1"/>
  <c r="DX60" i="38"/>
  <c r="EL60" i="38" s="1"/>
  <c r="Q74" i="38"/>
  <c r="AB74" i="38" s="1"/>
  <c r="Q60" i="38"/>
  <c r="AB60" i="38" s="1"/>
  <c r="DX59" i="38"/>
  <c r="EL59" i="38" s="1"/>
  <c r="DX73" i="38"/>
  <c r="EL73" i="38" s="1"/>
  <c r="AB49" i="38"/>
  <c r="CU14" i="38"/>
  <c r="AO14" i="38"/>
  <c r="F34" i="38"/>
  <c r="BR66" i="38"/>
  <c r="CF66" i="38" s="1"/>
  <c r="BR52" i="38"/>
  <c r="CF52" i="38" s="1"/>
  <c r="Q57" i="38"/>
  <c r="AB57" i="38" s="1"/>
  <c r="Q71" i="38"/>
  <c r="AB71" i="38" s="1"/>
  <c r="CU5" i="38"/>
  <c r="AO5" i="38"/>
  <c r="F67" i="38"/>
  <c r="F53" i="38"/>
  <c r="EL46" i="38"/>
  <c r="EL45" i="38"/>
  <c r="BR76" i="38"/>
  <c r="CF76" i="38" s="1"/>
  <c r="BR62" i="38"/>
  <c r="CF62" i="38" s="1"/>
  <c r="DX50" i="38"/>
  <c r="EL50" i="38" s="1"/>
  <c r="DX64" i="38"/>
  <c r="CU30" i="38"/>
  <c r="F35" i="38"/>
  <c r="AO30" i="38"/>
  <c r="BR54" i="38"/>
  <c r="CF54" i="38" s="1"/>
  <c r="BR68" i="38"/>
  <c r="CF68" i="38" s="1"/>
  <c r="BR56" i="38"/>
  <c r="CF56" i="38" s="1"/>
  <c r="BR70" i="38"/>
  <c r="CF70" i="38" s="1"/>
  <c r="BR57" i="38"/>
  <c r="CF57" i="38" s="1"/>
  <c r="BR71" i="38"/>
  <c r="CF71" i="38" s="1"/>
  <c r="BR50" i="38"/>
  <c r="CF50" i="38" s="1"/>
  <c r="BR64" i="38"/>
  <c r="CQ61" i="30"/>
  <c r="CQ75" i="30"/>
  <c r="AS68" i="29"/>
  <c r="AS54" i="29"/>
  <c r="BR9" i="30"/>
  <c r="BR69" i="29"/>
  <c r="BR55" i="29"/>
  <c r="BR56" i="29"/>
  <c r="BR70" i="29"/>
  <c r="BR75" i="29"/>
  <c r="BR61" i="29"/>
  <c r="BR58" i="29"/>
  <c r="BR72" i="29"/>
  <c r="BR60" i="29"/>
  <c r="BR74" i="29"/>
  <c r="AS46" i="29"/>
  <c r="BR10" i="30"/>
  <c r="BR46" i="30" s="1"/>
  <c r="AH67" i="16"/>
  <c r="K46" i="16"/>
  <c r="AZ68" i="16"/>
  <c r="BF68" i="16" s="1"/>
  <c r="AZ54" i="16"/>
  <c r="BF54" i="16" s="1"/>
  <c r="BC50" i="16"/>
  <c r="BI50" i="16" s="1"/>
  <c r="BC64" i="16"/>
  <c r="F44" i="37"/>
  <c r="O56" i="37"/>
  <c r="O70" i="37"/>
  <c r="AI75" i="37"/>
  <c r="AI61" i="37"/>
  <c r="X66" i="37"/>
  <c r="X52" i="37"/>
  <c r="BB55" i="37"/>
  <c r="BH55" i="37" s="1"/>
  <c r="BB69" i="37"/>
  <c r="BH69" i="37" s="1"/>
  <c r="AX13" i="37"/>
  <c r="AU13" i="37"/>
  <c r="AW13" i="37"/>
  <c r="AT13" i="37"/>
  <c r="Q57" i="37"/>
  <c r="Q71" i="37"/>
  <c r="N70" i="37"/>
  <c r="N56" i="37"/>
  <c r="R72" i="37"/>
  <c r="R58" i="37"/>
  <c r="Q68" i="37"/>
  <c r="Q54" i="37"/>
  <c r="P67" i="37"/>
  <c r="P53" i="37"/>
  <c r="AI59" i="37"/>
  <c r="AI73" i="37"/>
  <c r="AI49" i="37"/>
  <c r="BB65" i="37"/>
  <c r="BH65" i="37" s="1"/>
  <c r="BB51" i="37"/>
  <c r="BH51" i="37" s="1"/>
  <c r="AY66" i="37"/>
  <c r="BE66" i="37" s="1"/>
  <c r="AY52" i="37"/>
  <c r="BE52" i="37" s="1"/>
  <c r="BA73" i="37"/>
  <c r="BG73" i="37" s="1"/>
  <c r="BA59" i="37"/>
  <c r="BG59" i="37" s="1"/>
  <c r="BD67" i="37"/>
  <c r="BJ67" i="37" s="1"/>
  <c r="BD53" i="37"/>
  <c r="BJ53" i="37" s="1"/>
  <c r="Z73" i="37"/>
  <c r="Z59" i="37"/>
  <c r="E65" i="37"/>
  <c r="E51" i="37"/>
  <c r="E53" i="37"/>
  <c r="E67" i="37"/>
  <c r="P71" i="37"/>
  <c r="P57" i="37"/>
  <c r="Q72" i="37"/>
  <c r="Q58" i="37"/>
  <c r="P54" i="37"/>
  <c r="P68" i="37"/>
  <c r="O53" i="37"/>
  <c r="O67" i="37"/>
  <c r="AI55" i="37"/>
  <c r="AI69" i="37"/>
  <c r="I76" i="37"/>
  <c r="L76" i="37" s="1"/>
  <c r="I62" i="37"/>
  <c r="L62" i="37" s="1"/>
  <c r="Y55" i="37"/>
  <c r="Y69" i="37"/>
  <c r="AB66" i="37"/>
  <c r="AB52" i="37"/>
  <c r="X53" i="37"/>
  <c r="X67" i="37"/>
  <c r="BB60" i="37"/>
  <c r="BH60" i="37" s="1"/>
  <c r="BB74" i="37"/>
  <c r="BH74" i="37" s="1"/>
  <c r="AX15" i="37"/>
  <c r="AX44" i="37" s="1"/>
  <c r="AU15" i="37"/>
  <c r="AT15" i="37"/>
  <c r="AW15" i="37"/>
  <c r="F49" i="37"/>
  <c r="N57" i="37"/>
  <c r="N71" i="37"/>
  <c r="N52" i="37"/>
  <c r="N48" i="37" s="1"/>
  <c r="N66" i="37"/>
  <c r="AI38" i="37"/>
  <c r="AJ38" i="37"/>
  <c r="L49" i="37"/>
  <c r="Z49" i="37"/>
  <c r="BG46" i="37"/>
  <c r="BG45" i="37"/>
  <c r="F24" i="37"/>
  <c r="E69" i="37"/>
  <c r="E55" i="37"/>
  <c r="F8" i="37"/>
  <c r="E41" i="37"/>
  <c r="F41" i="37" s="1"/>
  <c r="P70" i="37"/>
  <c r="P56" i="37"/>
  <c r="O52" i="37"/>
  <c r="O66" i="37"/>
  <c r="AI54" i="37"/>
  <c r="AI68" i="37"/>
  <c r="I69" i="37"/>
  <c r="L69" i="37" s="1"/>
  <c r="I55" i="37"/>
  <c r="L55" i="37" s="1"/>
  <c r="AA49" i="37"/>
  <c r="Y66" i="37"/>
  <c r="Y52" i="37"/>
  <c r="AB46" i="37"/>
  <c r="AB45" i="37"/>
  <c r="AY71" i="37"/>
  <c r="BE71" i="37" s="1"/>
  <c r="AY57" i="37"/>
  <c r="BE57" i="37" s="1"/>
  <c r="BD52" i="37"/>
  <c r="BJ52" i="37" s="1"/>
  <c r="BD66" i="37"/>
  <c r="BJ66" i="37" s="1"/>
  <c r="AA57" i="37"/>
  <c r="AA71" i="37"/>
  <c r="Y49" i="37"/>
  <c r="X70" i="37"/>
  <c r="X56" i="37"/>
  <c r="AB58" i="37"/>
  <c r="AB72" i="37"/>
  <c r="Z46" i="37"/>
  <c r="Z45" i="37"/>
  <c r="Y73" i="37"/>
  <c r="Y59" i="37"/>
  <c r="BH49" i="37"/>
  <c r="BB73" i="37"/>
  <c r="BH73" i="37" s="1"/>
  <c r="BB59" i="37"/>
  <c r="BH59" i="37" s="1"/>
  <c r="BE32" i="37"/>
  <c r="BE31" i="37"/>
  <c r="BA64" i="37"/>
  <c r="BA50" i="37"/>
  <c r="BG50" i="37" s="1"/>
  <c r="BA68" i="37"/>
  <c r="BG68" i="37" s="1"/>
  <c r="BA54" i="37"/>
  <c r="BG54" i="37" s="1"/>
  <c r="BJ49" i="37"/>
  <c r="BD73" i="37"/>
  <c r="BJ73" i="37" s="1"/>
  <c r="BD59" i="37"/>
  <c r="BJ59" i="37" s="1"/>
  <c r="P59" i="37"/>
  <c r="P73" i="37"/>
  <c r="AD40" i="37"/>
  <c r="AE4" i="37"/>
  <c r="AD74" i="37"/>
  <c r="AD60" i="37"/>
  <c r="AE12" i="37"/>
  <c r="AD72" i="37"/>
  <c r="AE72" i="37" s="1"/>
  <c r="AD58" i="37"/>
  <c r="AD56" i="37"/>
  <c r="AD70" i="37"/>
  <c r="AE20" i="37"/>
  <c r="AD55" i="37"/>
  <c r="AD69" i="37"/>
  <c r="AD43" i="37"/>
  <c r="AE28" i="37"/>
  <c r="I64" i="37"/>
  <c r="I50" i="37"/>
  <c r="L50" i="37" s="1"/>
  <c r="I54" i="37"/>
  <c r="L54" i="37" s="1"/>
  <c r="I68" i="37"/>
  <c r="L68" i="37" s="1"/>
  <c r="X76" i="37"/>
  <c r="X62" i="37"/>
  <c r="AB49" i="37"/>
  <c r="AA56" i="37"/>
  <c r="AA70" i="37"/>
  <c r="Z66" i="37"/>
  <c r="Z52" i="37"/>
  <c r="AB59" i="37"/>
  <c r="AB73" i="37"/>
  <c r="BH46" i="37"/>
  <c r="BH45" i="37"/>
  <c r="AU8" i="37"/>
  <c r="AX8" i="37"/>
  <c r="AT8" i="37"/>
  <c r="AW8" i="37"/>
  <c r="AX16" i="37"/>
  <c r="AU16" i="37"/>
  <c r="AW16" i="37"/>
  <c r="AT16" i="37"/>
  <c r="AX24" i="37"/>
  <c r="AU24" i="37"/>
  <c r="AW24" i="37"/>
  <c r="AT24" i="37"/>
  <c r="BA60" i="37"/>
  <c r="BG60" i="37" s="1"/>
  <c r="BA74" i="37"/>
  <c r="BG74" i="37" s="1"/>
  <c r="BJ46" i="37"/>
  <c r="BJ45" i="37"/>
  <c r="AG76" i="16"/>
  <c r="AI76" i="16" s="1"/>
  <c r="AG62" i="16"/>
  <c r="AI62" i="16" s="1"/>
  <c r="AG66" i="16"/>
  <c r="AI66" i="16" s="1"/>
  <c r="AG52" i="16"/>
  <c r="AI52" i="16" s="1"/>
  <c r="BE31" i="16"/>
  <c r="BE32" i="16"/>
  <c r="BB53" i="16"/>
  <c r="BH53" i="16" s="1"/>
  <c r="BB67" i="16"/>
  <c r="BH67" i="16" s="1"/>
  <c r="BD72" i="16"/>
  <c r="BJ72" i="16" s="1"/>
  <c r="BD58" i="16"/>
  <c r="BJ58" i="16" s="1"/>
  <c r="W71" i="16"/>
  <c r="AB71" i="16" s="1"/>
  <c r="W57" i="16"/>
  <c r="AB57" i="16" s="1"/>
  <c r="BA54" i="16"/>
  <c r="BG54" i="16" s="1"/>
  <c r="BA68" i="16"/>
  <c r="BG68" i="16" s="1"/>
  <c r="BD68" i="16"/>
  <c r="BJ68" i="16" s="1"/>
  <c r="BD54" i="16"/>
  <c r="BJ54" i="16" s="1"/>
  <c r="S61" i="16"/>
  <c r="X61" i="16" s="1"/>
  <c r="S75" i="16"/>
  <c r="X75" i="16" s="1"/>
  <c r="AG39" i="16"/>
  <c r="AJ39" i="16" s="1"/>
  <c r="AY66" i="16"/>
  <c r="BE66" i="16" s="1"/>
  <c r="AY52" i="16"/>
  <c r="BE52" i="16" s="1"/>
  <c r="AG36" i="16"/>
  <c r="AJ36" i="16" s="1"/>
  <c r="AV65" i="16"/>
  <c r="AV51" i="16"/>
  <c r="AG59" i="16"/>
  <c r="AI59" i="16" s="1"/>
  <c r="AG73" i="16"/>
  <c r="AI73" i="16" s="1"/>
  <c r="BH46" i="16"/>
  <c r="BH45" i="16"/>
  <c r="AY64" i="16"/>
  <c r="AY50" i="16"/>
  <c r="BE50" i="16" s="1"/>
  <c r="U56" i="16"/>
  <c r="Z56" i="16" s="1"/>
  <c r="U70" i="16"/>
  <c r="Z70" i="16" s="1"/>
  <c r="V76" i="16"/>
  <c r="AA76" i="16" s="1"/>
  <c r="V62" i="16"/>
  <c r="AA62" i="16" s="1"/>
  <c r="AG70" i="16"/>
  <c r="AI70" i="16" s="1"/>
  <c r="AG56" i="16"/>
  <c r="AI56" i="16" s="1"/>
  <c r="BB57" i="16"/>
  <c r="BH57" i="16" s="1"/>
  <c r="BB71" i="16"/>
  <c r="BH71" i="16" s="1"/>
  <c r="AX20" i="16"/>
  <c r="AS56" i="16"/>
  <c r="AT20" i="16"/>
  <c r="AS70" i="16"/>
  <c r="AU20" i="16"/>
  <c r="AW20" i="16"/>
  <c r="R69" i="16"/>
  <c r="R55" i="16"/>
  <c r="AI32" i="16"/>
  <c r="AJ32" i="16"/>
  <c r="AG68" i="16"/>
  <c r="AI68" i="16" s="1"/>
  <c r="AG54" i="16"/>
  <c r="AI54" i="16" s="1"/>
  <c r="BB74" i="16"/>
  <c r="BH74" i="16" s="1"/>
  <c r="BB60" i="16"/>
  <c r="BH60" i="16" s="1"/>
  <c r="AI44" i="16"/>
  <c r="AG44" i="16"/>
  <c r="AJ44" i="16" s="1"/>
  <c r="BB70" i="16"/>
  <c r="BH70" i="16" s="1"/>
  <c r="BB56" i="16"/>
  <c r="BH56" i="16" s="1"/>
  <c r="AE4" i="16"/>
  <c r="AD40" i="16"/>
  <c r="AE40" i="16" s="1"/>
  <c r="U59" i="16"/>
  <c r="Z59" i="16" s="1"/>
  <c r="U73" i="16"/>
  <c r="Z73" i="16" s="1"/>
  <c r="S74" i="16"/>
  <c r="X74" i="16" s="1"/>
  <c r="S60" i="16"/>
  <c r="X60" i="16" s="1"/>
  <c r="E64" i="16"/>
  <c r="E50" i="16"/>
  <c r="AV53" i="16"/>
  <c r="AV67" i="16"/>
  <c r="P59" i="16"/>
  <c r="P73" i="16"/>
  <c r="Y46" i="16"/>
  <c r="Y45" i="16"/>
  <c r="I66" i="16"/>
  <c r="L66" i="16" s="1"/>
  <c r="I52" i="16"/>
  <c r="L52" i="16" s="1"/>
  <c r="V75" i="16"/>
  <c r="AA75" i="16" s="1"/>
  <c r="V61" i="16"/>
  <c r="AA61" i="16" s="1"/>
  <c r="P56" i="16"/>
  <c r="P70" i="16"/>
  <c r="N69" i="16"/>
  <c r="N55" i="16"/>
  <c r="BA50" i="16"/>
  <c r="BG50" i="16" s="1"/>
  <c r="BA64" i="16"/>
  <c r="AE27" i="16"/>
  <c r="AD62" i="16"/>
  <c r="AD76" i="16"/>
  <c r="BA67" i="16"/>
  <c r="BG67" i="16" s="1"/>
  <c r="BA53" i="16"/>
  <c r="BG53" i="16" s="1"/>
  <c r="AD59" i="16"/>
  <c r="AE59" i="16" s="1"/>
  <c r="AD73" i="16"/>
  <c r="AE73" i="16" s="1"/>
  <c r="AX9" i="16"/>
  <c r="AW9" i="16"/>
  <c r="AT9" i="16"/>
  <c r="AU9" i="16"/>
  <c r="AS68" i="16"/>
  <c r="AS54" i="16"/>
  <c r="BA60" i="16"/>
  <c r="BG60" i="16" s="1"/>
  <c r="BA74" i="16"/>
  <c r="BG74" i="16" s="1"/>
  <c r="I72" i="16"/>
  <c r="L72" i="16" s="1"/>
  <c r="I58" i="16"/>
  <c r="L58" i="16" s="1"/>
  <c r="V52" i="16"/>
  <c r="AA52" i="16" s="1"/>
  <c r="V66" i="16"/>
  <c r="AA66" i="16" s="1"/>
  <c r="R65" i="16"/>
  <c r="R51" i="16"/>
  <c r="L49" i="16"/>
  <c r="W69" i="16"/>
  <c r="AB69" i="16" s="1"/>
  <c r="W55" i="16"/>
  <c r="AB55" i="16" s="1"/>
  <c r="E71" i="16"/>
  <c r="E57" i="16"/>
  <c r="Q31" i="16"/>
  <c r="S53" i="16"/>
  <c r="X53" i="16" s="1"/>
  <c r="S67" i="16"/>
  <c r="X67" i="16" s="1"/>
  <c r="N73" i="16"/>
  <c r="N59" i="16"/>
  <c r="AD54" i="16"/>
  <c r="AE54" i="16" s="1"/>
  <c r="AD68" i="16"/>
  <c r="AE9" i="16"/>
  <c r="AA46" i="16"/>
  <c r="AA45" i="16"/>
  <c r="AX12" i="16"/>
  <c r="AT12" i="16"/>
  <c r="AU12" i="16"/>
  <c r="AS74" i="16"/>
  <c r="AW12" i="16"/>
  <c r="AS60" i="16"/>
  <c r="R58" i="16"/>
  <c r="R72" i="16"/>
  <c r="W52" i="16"/>
  <c r="AB52" i="16" s="1"/>
  <c r="W66" i="16"/>
  <c r="AB66" i="16" s="1"/>
  <c r="T61" i="16"/>
  <c r="Y61" i="16" s="1"/>
  <c r="T75" i="16"/>
  <c r="Y75" i="16" s="1"/>
  <c r="N56" i="16"/>
  <c r="N70" i="16"/>
  <c r="S51" i="16"/>
  <c r="X51" i="16" s="1"/>
  <c r="S65" i="16"/>
  <c r="X65" i="16" s="1"/>
  <c r="E69" i="16"/>
  <c r="E55" i="16"/>
  <c r="BD69" i="16"/>
  <c r="BJ69" i="16" s="1"/>
  <c r="BD55" i="16"/>
  <c r="BJ55" i="16" s="1"/>
  <c r="AD64" i="16"/>
  <c r="AD50" i="16"/>
  <c r="AD48" i="16" s="1"/>
  <c r="BA62" i="16"/>
  <c r="BG62" i="16" s="1"/>
  <c r="BA76" i="16"/>
  <c r="BG76" i="16" s="1"/>
  <c r="AS43" i="16"/>
  <c r="AX28" i="16"/>
  <c r="AX43" i="16" s="1"/>
  <c r="AT28" i="16"/>
  <c r="AT43" i="16" s="1"/>
  <c r="AU28" i="16"/>
  <c r="AU43" i="16" s="1"/>
  <c r="AW28" i="16"/>
  <c r="AW43" i="16" s="1"/>
  <c r="U57" i="16"/>
  <c r="Z57" i="16" s="1"/>
  <c r="U71" i="16"/>
  <c r="Z71" i="16" s="1"/>
  <c r="R31" i="16"/>
  <c r="T53" i="16"/>
  <c r="Y53" i="16" s="1"/>
  <c r="T67" i="16"/>
  <c r="Y67" i="16" s="1"/>
  <c r="BD73" i="16"/>
  <c r="BJ73" i="16" s="1"/>
  <c r="BD59" i="16"/>
  <c r="BJ59" i="16" s="1"/>
  <c r="AE8" i="16"/>
  <c r="AD41" i="16"/>
  <c r="AE41" i="16" s="1"/>
  <c r="V68" i="16"/>
  <c r="AA68" i="16" s="1"/>
  <c r="V54" i="16"/>
  <c r="AA54" i="16" s="1"/>
  <c r="BG45" i="16"/>
  <c r="BG46" i="16"/>
  <c r="AX11" i="16"/>
  <c r="AX39" i="16" s="1"/>
  <c r="AS39" i="16"/>
  <c r="AW11" i="16"/>
  <c r="AW39" i="16" s="1"/>
  <c r="AU11" i="16"/>
  <c r="AU39" i="16" s="1"/>
  <c r="AT11" i="16"/>
  <c r="AT39" i="16" s="1"/>
  <c r="U60" i="16"/>
  <c r="Z60" i="16" s="1"/>
  <c r="U74" i="16"/>
  <c r="Z74" i="16" s="1"/>
  <c r="BA72" i="16"/>
  <c r="BG72" i="16" s="1"/>
  <c r="BA58" i="16"/>
  <c r="BG58" i="16" s="1"/>
  <c r="AX17" i="16"/>
  <c r="AU17" i="16"/>
  <c r="AW17" i="16"/>
  <c r="AS66" i="16"/>
  <c r="AS52" i="16"/>
  <c r="AT17" i="16"/>
  <c r="U61" i="16"/>
  <c r="Z61" i="16" s="1"/>
  <c r="U75" i="16"/>
  <c r="Z75" i="16" s="1"/>
  <c r="W70" i="16"/>
  <c r="AB70" i="16" s="1"/>
  <c r="W56" i="16"/>
  <c r="AB56" i="16" s="1"/>
  <c r="T65" i="16"/>
  <c r="Y65" i="16" s="1"/>
  <c r="T51" i="16"/>
  <c r="Y51" i="16" s="1"/>
  <c r="BJ49" i="16"/>
  <c r="AD69" i="16"/>
  <c r="AE69" i="16" s="1"/>
  <c r="AD55" i="16"/>
  <c r="AE55" i="16" s="1"/>
  <c r="V50" i="16"/>
  <c r="AA50" i="16" s="1"/>
  <c r="V64" i="16"/>
  <c r="AX27" i="16"/>
  <c r="AU27" i="16"/>
  <c r="AT27" i="16"/>
  <c r="AS62" i="16"/>
  <c r="AS76" i="16"/>
  <c r="AW27" i="16"/>
  <c r="R71" i="16"/>
  <c r="R57" i="16"/>
  <c r="DC5" i="18"/>
  <c r="AW5" i="18"/>
  <c r="DC21" i="18"/>
  <c r="AW21" i="18"/>
  <c r="DC26" i="18"/>
  <c r="DC36" i="18" s="1"/>
  <c r="AW26" i="18"/>
  <c r="DC24" i="18"/>
  <c r="AW24" i="18"/>
  <c r="DC18" i="18"/>
  <c r="AW18" i="18"/>
  <c r="DC11" i="18"/>
  <c r="AW11" i="18"/>
  <c r="DC27" i="18"/>
  <c r="AW27" i="18"/>
  <c r="DC15" i="38"/>
  <c r="AW15" i="38"/>
  <c r="M44" i="38"/>
  <c r="EF52" i="38"/>
  <c r="ET52" i="38" s="1"/>
  <c r="EF66" i="38"/>
  <c r="ET66" i="38" s="1"/>
  <c r="DC4" i="38"/>
  <c r="M40" i="38"/>
  <c r="AW4" i="38"/>
  <c r="X65" i="38"/>
  <c r="AI65" i="38" s="1"/>
  <c r="X51" i="38"/>
  <c r="AI51" i="38" s="1"/>
  <c r="EF53" i="38"/>
  <c r="ET53" i="38" s="1"/>
  <c r="EF67" i="38"/>
  <c r="ET67" i="38" s="1"/>
  <c r="BZ75" i="38"/>
  <c r="CN75" i="38" s="1"/>
  <c r="BZ61" i="38"/>
  <c r="CN61" i="38" s="1"/>
  <c r="DC29" i="38"/>
  <c r="AW29" i="38"/>
  <c r="M57" i="38"/>
  <c r="M71" i="38"/>
  <c r="X71" i="38"/>
  <c r="AI71" i="38" s="1"/>
  <c r="X57" i="38"/>
  <c r="AI57" i="38" s="1"/>
  <c r="EF59" i="38"/>
  <c r="ET59" i="38" s="1"/>
  <c r="EF73" i="38"/>
  <c r="ET73" i="38" s="1"/>
  <c r="X50" i="38"/>
  <c r="AI50" i="38" s="1"/>
  <c r="X64" i="38"/>
  <c r="M41" i="38"/>
  <c r="DC8" i="38"/>
  <c r="AW8" i="38"/>
  <c r="AW14" i="38"/>
  <c r="DC14" i="38"/>
  <c r="M34" i="38"/>
  <c r="EF50" i="38"/>
  <c r="ET50" i="38" s="1"/>
  <c r="EF64" i="38"/>
  <c r="DC22" i="38"/>
  <c r="M37" i="38"/>
  <c r="AW22" i="38"/>
  <c r="BZ76" i="38"/>
  <c r="CN76" i="38" s="1"/>
  <c r="BZ62" i="38"/>
  <c r="CN62" i="38" s="1"/>
  <c r="DC9" i="38"/>
  <c r="AW9" i="38"/>
  <c r="M68" i="38"/>
  <c r="M54" i="38"/>
  <c r="BZ74" i="38"/>
  <c r="CN74" i="38" s="1"/>
  <c r="BZ60" i="38"/>
  <c r="CN60" i="38" s="1"/>
  <c r="CN49" i="38"/>
  <c r="AW21" i="38"/>
  <c r="M65" i="38"/>
  <c r="M51" i="38"/>
  <c r="DC21" i="38"/>
  <c r="BZ50" i="38"/>
  <c r="CN50" i="38" s="1"/>
  <c r="BZ64" i="38"/>
  <c r="CT16" i="18"/>
  <c r="AN16" i="18"/>
  <c r="CT13" i="18"/>
  <c r="AN13" i="18"/>
  <c r="AN33" i="18" s="1"/>
  <c r="CT29" i="18"/>
  <c r="AN29" i="18"/>
  <c r="CT4" i="18"/>
  <c r="AN4" i="18"/>
  <c r="AN40" i="18" s="1"/>
  <c r="CT28" i="18"/>
  <c r="AN28" i="18"/>
  <c r="CT18" i="18"/>
  <c r="AN18" i="18"/>
  <c r="AN11" i="18"/>
  <c r="CT11" i="18"/>
  <c r="CT27" i="18"/>
  <c r="AN27" i="18"/>
  <c r="DW61" i="38"/>
  <c r="EK61" i="38" s="1"/>
  <c r="DW75" i="38"/>
  <c r="EK75" i="38" s="1"/>
  <c r="T69" i="38"/>
  <c r="AE69" i="38" s="1"/>
  <c r="T55" i="38"/>
  <c r="AE55" i="38" s="1"/>
  <c r="CT15" i="38"/>
  <c r="AN15" i="38"/>
  <c r="I44" i="38"/>
  <c r="T59" i="38"/>
  <c r="AE59" i="38" s="1"/>
  <c r="T73" i="38"/>
  <c r="AE73" i="38" s="1"/>
  <c r="T58" i="38"/>
  <c r="AE58" i="38" s="1"/>
  <c r="T72" i="38"/>
  <c r="AE72" i="38" s="1"/>
  <c r="DW67" i="38"/>
  <c r="EK67" i="38" s="1"/>
  <c r="DW53" i="38"/>
  <c r="EK53" i="38" s="1"/>
  <c r="BQ72" i="38"/>
  <c r="CE72" i="38" s="1"/>
  <c r="BQ58" i="38"/>
  <c r="CE58" i="38" s="1"/>
  <c r="EK32" i="38"/>
  <c r="EK31" i="38"/>
  <c r="CT7" i="38"/>
  <c r="I73" i="38"/>
  <c r="AN7" i="38"/>
  <c r="I59" i="38"/>
  <c r="CT11" i="38"/>
  <c r="I39" i="38"/>
  <c r="AN11" i="38"/>
  <c r="BQ64" i="38"/>
  <c r="BQ50" i="38"/>
  <c r="CE50" i="38" s="1"/>
  <c r="AN19" i="38"/>
  <c r="I42" i="38"/>
  <c r="CT19" i="38"/>
  <c r="EK49" i="38"/>
  <c r="BQ71" i="38"/>
  <c r="CE71" i="38" s="1"/>
  <c r="BQ57" i="38"/>
  <c r="CE57" i="38" s="1"/>
  <c r="CT9" i="38"/>
  <c r="I54" i="38"/>
  <c r="AN9" i="38"/>
  <c r="I68" i="38"/>
  <c r="DW74" i="38"/>
  <c r="EK74" i="38" s="1"/>
  <c r="DW60" i="38"/>
  <c r="EK60" i="38" s="1"/>
  <c r="BQ66" i="38"/>
  <c r="CE66" i="38" s="1"/>
  <c r="BQ52" i="38"/>
  <c r="CE52" i="38" s="1"/>
  <c r="CT23" i="38"/>
  <c r="I49" i="38"/>
  <c r="AN23" i="38"/>
  <c r="DW51" i="38"/>
  <c r="EK51" i="38" s="1"/>
  <c r="DW65" i="38"/>
  <c r="EK65" i="38" s="1"/>
  <c r="CV62" i="30"/>
  <c r="CV76" i="30"/>
  <c r="CV56" i="30"/>
  <c r="CV70" i="30"/>
  <c r="CV75" i="30"/>
  <c r="CV61" i="30"/>
  <c r="CV68" i="30"/>
  <c r="CV54" i="30"/>
  <c r="AX43" i="29"/>
  <c r="BW28" i="30"/>
  <c r="BW43" i="30" s="1"/>
  <c r="BW51" i="29"/>
  <c r="BW65" i="29"/>
  <c r="AX34" i="29"/>
  <c r="BW14" i="30"/>
  <c r="BW34" i="30" s="1"/>
  <c r="BW50" i="29"/>
  <c r="BW64" i="29"/>
  <c r="BW61" i="29"/>
  <c r="BW75" i="29"/>
  <c r="BW66" i="41"/>
  <c r="BW52" i="41"/>
  <c r="BW65" i="41"/>
  <c r="BW51" i="41"/>
  <c r="AX39" i="29"/>
  <c r="BW11" i="30"/>
  <c r="AX68" i="29"/>
  <c r="AX54" i="29"/>
  <c r="BW9" i="30"/>
  <c r="AX59" i="29"/>
  <c r="AX73" i="29"/>
  <c r="BW7" i="30"/>
  <c r="AX53" i="29"/>
  <c r="AX67" i="29"/>
  <c r="BW5" i="30"/>
  <c r="AX32" i="29"/>
  <c r="BW3" i="30"/>
  <c r="BW54" i="41"/>
  <c r="BW68" i="41"/>
  <c r="BW2" i="42"/>
  <c r="BW38" i="42" s="1"/>
  <c r="AX38" i="41"/>
  <c r="BW2" i="43"/>
  <c r="BW38" i="43" s="1"/>
  <c r="BW6" i="42"/>
  <c r="BW47" i="42" s="1"/>
  <c r="AX47" i="41"/>
  <c r="BW6" i="43"/>
  <c r="BW47" i="43" s="1"/>
  <c r="BW10" i="42"/>
  <c r="BW46" i="42" s="1"/>
  <c r="BW45" i="42" s="1"/>
  <c r="AX46" i="41"/>
  <c r="BW10" i="43"/>
  <c r="BW46" i="43" s="1"/>
  <c r="BW45" i="43" s="1"/>
  <c r="BW14" i="42"/>
  <c r="BW34" i="42" s="1"/>
  <c r="AX34" i="41"/>
  <c r="BW14" i="43"/>
  <c r="BW34" i="43" s="1"/>
  <c r="BW18" i="42"/>
  <c r="AX75" i="41"/>
  <c r="AX61" i="41"/>
  <c r="BW18" i="43"/>
  <c r="BW22" i="42"/>
  <c r="BW37" i="42" s="1"/>
  <c r="AX37" i="41"/>
  <c r="BW22" i="43"/>
  <c r="BW37" i="43" s="1"/>
  <c r="BW26" i="42"/>
  <c r="BW36" i="42" s="1"/>
  <c r="AX36" i="41"/>
  <c r="BW26" i="43"/>
  <c r="BW36" i="43" s="1"/>
  <c r="BW30" i="42"/>
  <c r="BW35" i="42" s="1"/>
  <c r="AX35" i="41"/>
  <c r="BW30" i="43"/>
  <c r="BW35" i="43" s="1"/>
  <c r="CV74" i="42"/>
  <c r="CV60" i="42"/>
  <c r="CV72" i="42"/>
  <c r="CV58" i="42"/>
  <c r="CV70" i="42"/>
  <c r="CV56" i="42"/>
  <c r="CV69" i="42"/>
  <c r="CV55" i="42"/>
  <c r="CS57" i="30"/>
  <c r="CS71" i="30"/>
  <c r="CS50" i="30"/>
  <c r="CS64" i="30"/>
  <c r="CS51" i="30"/>
  <c r="CS65" i="30"/>
  <c r="CS52" i="30"/>
  <c r="CS66" i="30"/>
  <c r="CS54" i="30"/>
  <c r="CS68" i="30"/>
  <c r="CS53" i="30"/>
  <c r="CS67" i="30"/>
  <c r="CS60" i="42"/>
  <c r="CS74" i="42"/>
  <c r="BT54" i="29"/>
  <c r="BT68" i="29"/>
  <c r="BT57" i="29"/>
  <c r="BT71" i="29"/>
  <c r="BT76" i="29"/>
  <c r="BT62" i="29"/>
  <c r="BT64" i="29"/>
  <c r="BT50" i="29"/>
  <c r="BT48" i="29" s="1"/>
  <c r="BT51" i="29"/>
  <c r="BT65" i="29"/>
  <c r="BT52" i="29"/>
  <c r="BT66" i="29"/>
  <c r="BT52" i="41"/>
  <c r="BT66" i="41"/>
  <c r="BT51" i="41"/>
  <c r="BT65" i="41"/>
  <c r="CS59" i="42"/>
  <c r="CS73" i="42"/>
  <c r="BT3" i="42"/>
  <c r="BT32" i="42" s="1"/>
  <c r="AU32" i="41"/>
  <c r="BT3" i="43"/>
  <c r="BT32" i="43" s="1"/>
  <c r="BT7" i="42"/>
  <c r="AU59" i="41"/>
  <c r="AU73" i="41"/>
  <c r="BT7" i="43"/>
  <c r="BT11" i="42"/>
  <c r="BT39" i="42" s="1"/>
  <c r="AU39" i="41"/>
  <c r="BT11" i="43"/>
  <c r="BT39" i="43" s="1"/>
  <c r="BT15" i="42"/>
  <c r="BT44" i="42" s="1"/>
  <c r="AU44" i="41"/>
  <c r="BT15" i="43"/>
  <c r="BT44" i="43" s="1"/>
  <c r="BT19" i="42"/>
  <c r="BT42" i="42" s="1"/>
  <c r="AU42" i="41"/>
  <c r="BT19" i="43"/>
  <c r="BT42" i="43" s="1"/>
  <c r="BT23" i="42"/>
  <c r="BT49" i="42" s="1"/>
  <c r="AU49" i="41"/>
  <c r="BT23" i="43"/>
  <c r="BT49" i="43" s="1"/>
  <c r="BT27" i="42"/>
  <c r="AU62" i="41"/>
  <c r="AU76" i="41"/>
  <c r="BT27" i="43"/>
  <c r="CS61" i="42"/>
  <c r="CS75" i="42"/>
  <c r="CO62" i="30"/>
  <c r="CO76" i="30"/>
  <c r="CO59" i="30"/>
  <c r="CO73" i="30"/>
  <c r="AQ60" i="29"/>
  <c r="AQ74" i="29"/>
  <c r="BP12" i="30"/>
  <c r="AQ41" i="29"/>
  <c r="BP8" i="30"/>
  <c r="BP41" i="30" s="1"/>
  <c r="BP55" i="29"/>
  <c r="BP69" i="29"/>
  <c r="BP70" i="29"/>
  <c r="BP56" i="29"/>
  <c r="BP48" i="29" s="1"/>
  <c r="BP61" i="29"/>
  <c r="BP75" i="29"/>
  <c r="BP72" i="29"/>
  <c r="BP58" i="29"/>
  <c r="BP74" i="29"/>
  <c r="BP60" i="29"/>
  <c r="AQ40" i="29"/>
  <c r="BP4" i="30"/>
  <c r="BP74" i="41"/>
  <c r="BP60" i="41"/>
  <c r="BP75" i="41"/>
  <c r="BP61" i="41"/>
  <c r="BP76" i="41"/>
  <c r="BP62" i="41"/>
  <c r="CO53" i="42"/>
  <c r="CO67" i="42"/>
  <c r="BP2" i="42"/>
  <c r="BP38" i="42" s="1"/>
  <c r="AQ38" i="41"/>
  <c r="BP2" i="43"/>
  <c r="BP38" i="43" s="1"/>
  <c r="BP6" i="42"/>
  <c r="BP47" i="42" s="1"/>
  <c r="AQ47" i="41"/>
  <c r="BP6" i="43"/>
  <c r="BP47" i="43" s="1"/>
  <c r="BP10" i="42"/>
  <c r="BP46" i="42" s="1"/>
  <c r="BP45" i="42" s="1"/>
  <c r="AQ46" i="41"/>
  <c r="AQ45" i="41" s="1"/>
  <c r="BP10" i="43"/>
  <c r="BP46" i="43" s="1"/>
  <c r="BP45" i="43" s="1"/>
  <c r="BP14" i="42"/>
  <c r="BP34" i="42" s="1"/>
  <c r="AQ34" i="41"/>
  <c r="BP14" i="43"/>
  <c r="BP34" i="43" s="1"/>
  <c r="BP18" i="42"/>
  <c r="AQ61" i="41"/>
  <c r="AQ75" i="41"/>
  <c r="BP18" i="43"/>
  <c r="BP22" i="42"/>
  <c r="BP37" i="42" s="1"/>
  <c r="AQ37" i="41"/>
  <c r="BP22" i="43"/>
  <c r="BP37" i="43" s="1"/>
  <c r="BP26" i="42"/>
  <c r="BP36" i="42" s="1"/>
  <c r="AQ36" i="41"/>
  <c r="BP26" i="43"/>
  <c r="BP36" i="43" s="1"/>
  <c r="BP30" i="42"/>
  <c r="BP35" i="42" s="1"/>
  <c r="AQ35" i="41"/>
  <c r="BP30" i="43"/>
  <c r="BP35" i="43" s="1"/>
  <c r="CO60" i="42"/>
  <c r="CO74" i="42"/>
  <c r="CK57" i="30"/>
  <c r="CK71" i="30"/>
  <c r="CK50" i="30"/>
  <c r="CK64" i="30"/>
  <c r="CK51" i="30"/>
  <c r="CK65" i="30"/>
  <c r="CK52" i="30"/>
  <c r="CK66" i="30"/>
  <c r="CK54" i="30"/>
  <c r="CK68" i="30"/>
  <c r="CK53" i="30"/>
  <c r="CK67" i="30"/>
  <c r="AM57" i="29"/>
  <c r="AM71" i="29"/>
  <c r="BL29" i="30"/>
  <c r="AM76" i="29"/>
  <c r="AM62" i="29"/>
  <c r="BL27" i="30"/>
  <c r="AM64" i="29"/>
  <c r="AM50" i="29"/>
  <c r="BL25" i="30"/>
  <c r="AM49" i="29"/>
  <c r="BL23" i="30"/>
  <c r="AM65" i="29"/>
  <c r="AM51" i="29"/>
  <c r="BL21" i="30"/>
  <c r="AM42" i="29"/>
  <c r="BL19" i="30"/>
  <c r="BL42" i="30" s="1"/>
  <c r="AM52" i="29"/>
  <c r="AM66" i="29"/>
  <c r="BL17" i="30"/>
  <c r="AM44" i="29"/>
  <c r="BL15" i="30"/>
  <c r="AM33" i="29"/>
  <c r="BL13" i="30"/>
  <c r="AM46" i="29"/>
  <c r="AM45" i="29" s="1"/>
  <c r="BL10" i="30"/>
  <c r="AM47" i="29"/>
  <c r="BL6" i="30"/>
  <c r="BL67" i="41"/>
  <c r="BL53" i="41"/>
  <c r="AM53" i="29"/>
  <c r="AM67" i="29"/>
  <c r="BL5" i="30"/>
  <c r="AM32" i="29"/>
  <c r="BL3" i="30"/>
  <c r="BL60" i="41"/>
  <c r="BL74" i="41"/>
  <c r="BL75" i="41"/>
  <c r="BL61" i="41"/>
  <c r="BL76" i="41"/>
  <c r="BL62" i="41"/>
  <c r="BL4" i="42"/>
  <c r="BL40" i="42" s="1"/>
  <c r="AM40" i="41"/>
  <c r="BL4" i="43"/>
  <c r="BL40" i="43" s="1"/>
  <c r="BL8" i="42"/>
  <c r="BL41" i="42" s="1"/>
  <c r="AM41" i="41"/>
  <c r="BL8" i="43"/>
  <c r="BL41" i="43" s="1"/>
  <c r="BL12" i="42"/>
  <c r="AM74" i="41"/>
  <c r="AM60" i="41"/>
  <c r="BL12" i="43"/>
  <c r="BL16" i="42"/>
  <c r="AM58" i="41"/>
  <c r="AM72" i="41"/>
  <c r="BL16" i="43"/>
  <c r="BL20" i="42"/>
  <c r="AM56" i="41"/>
  <c r="AM70" i="41"/>
  <c r="BL20" i="43"/>
  <c r="BL24" i="42"/>
  <c r="AM55" i="41"/>
  <c r="AM69" i="41"/>
  <c r="BL24" i="43"/>
  <c r="BL28" i="42"/>
  <c r="BL43" i="42" s="1"/>
  <c r="AM43" i="41"/>
  <c r="BL28" i="43"/>
  <c r="BL43" i="43" s="1"/>
  <c r="CK45" i="42"/>
  <c r="CK61" i="42"/>
  <c r="CK75" i="42"/>
  <c r="BY76" i="41"/>
  <c r="BY62" i="41"/>
  <c r="BY59" i="29"/>
  <c r="BY73" i="29"/>
  <c r="BY55" i="29"/>
  <c r="BY69" i="29"/>
  <c r="BY56" i="29"/>
  <c r="BY70" i="29"/>
  <c r="BY61" i="29"/>
  <c r="BY75" i="29"/>
  <c r="BY72" i="29"/>
  <c r="BY58" i="29"/>
  <c r="BY60" i="29"/>
  <c r="BY74" i="29"/>
  <c r="BY64" i="41"/>
  <c r="BY50" i="41"/>
  <c r="AZ54" i="29"/>
  <c r="AZ68" i="29"/>
  <c r="BY9" i="30"/>
  <c r="BY53" i="29"/>
  <c r="BY67" i="29"/>
  <c r="AZ53" i="29"/>
  <c r="AZ67" i="29"/>
  <c r="BY5" i="30"/>
  <c r="AZ32" i="29"/>
  <c r="BY3" i="30"/>
  <c r="BY68" i="41"/>
  <c r="BY54" i="41"/>
  <c r="BY2" i="42"/>
  <c r="BY38" i="42" s="1"/>
  <c r="AZ38" i="41"/>
  <c r="BY2" i="43"/>
  <c r="BY38" i="43" s="1"/>
  <c r="BY6" i="42"/>
  <c r="BY47" i="42" s="1"/>
  <c r="AZ47" i="41"/>
  <c r="BY6" i="43"/>
  <c r="BY47" i="43" s="1"/>
  <c r="BY10" i="42"/>
  <c r="BY46" i="42" s="1"/>
  <c r="AZ46" i="41"/>
  <c r="AZ45" i="41" s="1"/>
  <c r="BY10" i="43"/>
  <c r="BY46" i="43" s="1"/>
  <c r="BY45" i="43" s="1"/>
  <c r="BY14" i="42"/>
  <c r="BY34" i="42" s="1"/>
  <c r="AZ34" i="41"/>
  <c r="BY14" i="43"/>
  <c r="BY34" i="43" s="1"/>
  <c r="BY18" i="42"/>
  <c r="AZ75" i="41"/>
  <c r="AZ61" i="41"/>
  <c r="BY18" i="43"/>
  <c r="BY22" i="42"/>
  <c r="BY37" i="42" s="1"/>
  <c r="AZ37" i="41"/>
  <c r="BY22" i="43"/>
  <c r="BY37" i="43" s="1"/>
  <c r="BY26" i="42"/>
  <c r="BY36" i="42" s="1"/>
  <c r="AZ36" i="41"/>
  <c r="BY26" i="43"/>
  <c r="BY36" i="43" s="1"/>
  <c r="BY30" i="42"/>
  <c r="BY35" i="42" s="1"/>
  <c r="AZ35" i="41"/>
  <c r="BY30" i="43"/>
  <c r="BY35" i="43" s="1"/>
  <c r="CX52" i="42"/>
  <c r="CX66" i="42"/>
  <c r="CX61" i="42"/>
  <c r="CX75" i="42"/>
  <c r="CX56" i="42"/>
  <c r="CX70" i="42"/>
  <c r="CX55" i="42"/>
  <c r="CX69" i="42"/>
  <c r="CD45" i="43"/>
  <c r="CD31" i="43"/>
  <c r="AF47" i="29"/>
  <c r="BE6" i="30"/>
  <c r="AF35" i="29"/>
  <c r="BE30" i="30"/>
  <c r="AF36" i="29"/>
  <c r="BE26" i="30"/>
  <c r="AF37" i="29"/>
  <c r="BE22" i="30"/>
  <c r="AF75" i="29"/>
  <c r="AF61" i="29"/>
  <c r="BE18" i="30"/>
  <c r="AF34" i="29"/>
  <c r="BE14" i="30"/>
  <c r="BE34" i="30" s="1"/>
  <c r="AF59" i="29"/>
  <c r="AF73" i="29"/>
  <c r="BE7" i="30"/>
  <c r="BE5" i="42"/>
  <c r="AF67" i="41"/>
  <c r="AF53" i="41"/>
  <c r="BE5" i="43"/>
  <c r="BE9" i="42"/>
  <c r="AF54" i="41"/>
  <c r="AF68" i="41"/>
  <c r="BE9" i="43"/>
  <c r="BE13" i="42"/>
  <c r="BE33" i="42" s="1"/>
  <c r="AF33" i="41"/>
  <c r="BE13" i="43"/>
  <c r="BE33" i="43" s="1"/>
  <c r="BE17" i="42"/>
  <c r="AF66" i="41"/>
  <c r="AF52" i="41"/>
  <c r="BE17" i="43"/>
  <c r="BE21" i="42"/>
  <c r="AF51" i="41"/>
  <c r="AF65" i="41"/>
  <c r="BE21" i="43"/>
  <c r="BE25" i="42"/>
  <c r="AF64" i="41"/>
  <c r="AF63" i="41" s="1"/>
  <c r="AF50" i="41"/>
  <c r="BE25" i="43"/>
  <c r="BE29" i="42"/>
  <c r="AF57" i="41"/>
  <c r="AF71" i="41"/>
  <c r="BE29" i="43"/>
  <c r="AV64" i="38"/>
  <c r="AV50" i="38"/>
  <c r="BJ25" i="38"/>
  <c r="AV36" i="38"/>
  <c r="BJ26" i="38"/>
  <c r="BJ28" i="38"/>
  <c r="AV43" i="38"/>
  <c r="BJ21" i="38"/>
  <c r="AV51" i="38"/>
  <c r="AV65" i="38"/>
  <c r="AV49" i="38"/>
  <c r="BJ23" i="38"/>
  <c r="AV47" i="38"/>
  <c r="BJ6" i="38"/>
  <c r="AV69" i="38"/>
  <c r="BJ24" i="38"/>
  <c r="AV55" i="38"/>
  <c r="AV46" i="38"/>
  <c r="AV45" i="38" s="1"/>
  <c r="BJ10" i="38"/>
  <c r="BY66" i="38"/>
  <c r="CM66" i="38" s="1"/>
  <c r="BY52" i="38"/>
  <c r="CM52" i="38" s="1"/>
  <c r="AE51" i="37"/>
  <c r="X26" i="42"/>
  <c r="X36" i="42" s="1"/>
  <c r="X36" i="41"/>
  <c r="X26" i="43"/>
  <c r="X36" i="43" s="1"/>
  <c r="X47" i="41"/>
  <c r="X6" i="42"/>
  <c r="X47" i="42" s="1"/>
  <c r="X6" i="43"/>
  <c r="X47" i="43" s="1"/>
  <c r="X28" i="42"/>
  <c r="X43" i="42" s="1"/>
  <c r="X43" i="41"/>
  <c r="X28" i="43"/>
  <c r="X43" i="43" s="1"/>
  <c r="X62" i="29"/>
  <c r="X76" i="29"/>
  <c r="X27" i="30"/>
  <c r="X49" i="29"/>
  <c r="X23" i="30"/>
  <c r="X42" i="29"/>
  <c r="X19" i="30"/>
  <c r="X42" i="30" s="1"/>
  <c r="X44" i="29"/>
  <c r="X15" i="30"/>
  <c r="X46" i="29"/>
  <c r="X10" i="30"/>
  <c r="X32" i="29"/>
  <c r="X3" i="30"/>
  <c r="X9" i="42"/>
  <c r="X54" i="41"/>
  <c r="X68" i="41"/>
  <c r="X9" i="43"/>
  <c r="X17" i="42"/>
  <c r="X66" i="41"/>
  <c r="X52" i="41"/>
  <c r="X17" i="43"/>
  <c r="X25" i="42"/>
  <c r="X50" i="41"/>
  <c r="X64" i="41"/>
  <c r="X25" i="43"/>
  <c r="X68" i="29"/>
  <c r="X54" i="29"/>
  <c r="X9" i="30"/>
  <c r="J60" i="29"/>
  <c r="J74" i="29"/>
  <c r="J12" i="30"/>
  <c r="J59" i="29"/>
  <c r="J73" i="29"/>
  <c r="J7" i="30"/>
  <c r="J62" i="29"/>
  <c r="J76" i="29"/>
  <c r="J27" i="30"/>
  <c r="J49" i="29"/>
  <c r="J23" i="30"/>
  <c r="J42" i="29"/>
  <c r="J19" i="30"/>
  <c r="J44" i="29"/>
  <c r="J15" i="30"/>
  <c r="J44" i="30" s="1"/>
  <c r="J53" i="29"/>
  <c r="J67" i="29"/>
  <c r="J5" i="30"/>
  <c r="J5" i="42"/>
  <c r="J53" i="41"/>
  <c r="J67" i="41"/>
  <c r="J5" i="43"/>
  <c r="J9" i="42"/>
  <c r="J68" i="41"/>
  <c r="J54" i="41"/>
  <c r="J9" i="43"/>
  <c r="J13" i="42"/>
  <c r="J33" i="42" s="1"/>
  <c r="J33" i="41"/>
  <c r="J13" i="43"/>
  <c r="J33" i="43" s="1"/>
  <c r="J17" i="42"/>
  <c r="J66" i="41"/>
  <c r="J52" i="41"/>
  <c r="J17" i="43"/>
  <c r="J21" i="42"/>
  <c r="J65" i="41"/>
  <c r="J51" i="41"/>
  <c r="J21" i="43"/>
  <c r="J25" i="42"/>
  <c r="J50" i="41"/>
  <c r="J64" i="41"/>
  <c r="J25" i="43"/>
  <c r="J29" i="42"/>
  <c r="J57" i="41"/>
  <c r="J71" i="41"/>
  <c r="J29" i="43"/>
  <c r="FA40" i="38"/>
  <c r="FC40" i="38"/>
  <c r="DT54" i="38"/>
  <c r="EH54" i="38" s="1"/>
  <c r="DT68" i="38"/>
  <c r="EH68" i="38" s="1"/>
  <c r="EY73" i="38"/>
  <c r="EY59" i="38"/>
  <c r="EY55" i="38"/>
  <c r="EY69" i="38"/>
  <c r="DT66" i="38"/>
  <c r="EH66" i="38" s="1"/>
  <c r="DT52" i="38"/>
  <c r="EH52" i="38" s="1"/>
  <c r="EY50" i="38"/>
  <c r="EY64" i="38"/>
  <c r="AY9" i="38"/>
  <c r="AK68" i="38"/>
  <c r="AK54" i="38"/>
  <c r="EV64" i="38"/>
  <c r="EX25" i="38"/>
  <c r="EV50" i="38"/>
  <c r="CB33" i="38"/>
  <c r="CO33" i="38"/>
  <c r="BN52" i="38"/>
  <c r="BN66" i="38"/>
  <c r="CB34" i="38"/>
  <c r="CO34" i="38"/>
  <c r="BN64" i="38"/>
  <c r="BN50" i="38"/>
  <c r="AK41" i="38"/>
  <c r="AY8" i="38"/>
  <c r="AK37" i="38"/>
  <c r="AY22" i="38"/>
  <c r="EY58" i="38"/>
  <c r="EY72" i="38"/>
  <c r="CB49" i="38"/>
  <c r="AY2" i="38"/>
  <c r="AK38" i="38"/>
  <c r="EX9" i="38"/>
  <c r="EV68" i="38"/>
  <c r="EV54" i="38"/>
  <c r="EX24" i="38"/>
  <c r="EV55" i="38"/>
  <c r="EV69" i="38"/>
  <c r="CB40" i="38"/>
  <c r="CO40" i="38"/>
  <c r="CB41" i="38"/>
  <c r="CB39" i="38"/>
  <c r="CO39" i="38"/>
  <c r="FC44" i="38"/>
  <c r="FA44" i="38"/>
  <c r="BN65" i="38"/>
  <c r="CB65" i="38" s="1"/>
  <c r="BN51" i="38"/>
  <c r="FA36" i="38"/>
  <c r="FC36" i="38"/>
  <c r="CB35" i="38"/>
  <c r="CO35" i="38"/>
  <c r="AK47" i="38"/>
  <c r="AY6" i="38"/>
  <c r="EX15" i="38"/>
  <c r="EX44" i="38" s="1"/>
  <c r="EV44" i="38"/>
  <c r="AY21" i="38"/>
  <c r="AK51" i="38"/>
  <c r="AK65" i="38"/>
  <c r="EV37" i="38"/>
  <c r="EX22" i="38"/>
  <c r="EX37" i="38" s="1"/>
  <c r="AK39" i="38"/>
  <c r="AY11" i="38"/>
  <c r="EV75" i="38"/>
  <c r="EV61" i="38"/>
  <c r="EX18" i="38"/>
  <c r="EX27" i="38"/>
  <c r="EV76" i="38"/>
  <c r="EV62" i="38"/>
  <c r="DE23" i="38"/>
  <c r="CQ49" i="38"/>
  <c r="CM75" i="30"/>
  <c r="CM61" i="30"/>
  <c r="AO49" i="41"/>
  <c r="BN23" i="42"/>
  <c r="BN49" i="42" s="1"/>
  <c r="BN23" i="43"/>
  <c r="BN49" i="43" s="1"/>
  <c r="BN29" i="42"/>
  <c r="AO71" i="41"/>
  <c r="AO57" i="41"/>
  <c r="BN29" i="43"/>
  <c r="BN19" i="42"/>
  <c r="BN42" i="42" s="1"/>
  <c r="AO42" i="41"/>
  <c r="BN19" i="43"/>
  <c r="BN42" i="43" s="1"/>
  <c r="BN25" i="42"/>
  <c r="AO64" i="41"/>
  <c r="AO50" i="41"/>
  <c r="BN25" i="43"/>
  <c r="BN57" i="29"/>
  <c r="BN71" i="29"/>
  <c r="BN62" i="29"/>
  <c r="BN76" i="29"/>
  <c r="BN64" i="29"/>
  <c r="BN50" i="29"/>
  <c r="BN48" i="29" s="1"/>
  <c r="BN65" i="29"/>
  <c r="BN51" i="29"/>
  <c r="BN52" i="29"/>
  <c r="BN66" i="29"/>
  <c r="BN59" i="29"/>
  <c r="BN73" i="29"/>
  <c r="AO32" i="29"/>
  <c r="BN3" i="30"/>
  <c r="AO41" i="41"/>
  <c r="BN8" i="42"/>
  <c r="BN41" i="42" s="1"/>
  <c r="BN8" i="43"/>
  <c r="BN41" i="43" s="1"/>
  <c r="BN16" i="42"/>
  <c r="AO72" i="41"/>
  <c r="AO58" i="41"/>
  <c r="BN16" i="43"/>
  <c r="BN24" i="42"/>
  <c r="AO55" i="41"/>
  <c r="AO69" i="41"/>
  <c r="BN24" i="43"/>
  <c r="AO39" i="29"/>
  <c r="BN11" i="30"/>
  <c r="AO73" i="29"/>
  <c r="AO59" i="29"/>
  <c r="BN7" i="30"/>
  <c r="BN74" i="41"/>
  <c r="BN60" i="41"/>
  <c r="BN75" i="41"/>
  <c r="BN61" i="41"/>
  <c r="BN76" i="41"/>
  <c r="BN62" i="41"/>
  <c r="BN68" i="41"/>
  <c r="BN54" i="41"/>
  <c r="CM66" i="42"/>
  <c r="CM52" i="42"/>
  <c r="CM65" i="42"/>
  <c r="CM51" i="42"/>
  <c r="CM64" i="42"/>
  <c r="CM50" i="42"/>
  <c r="CM48" i="42" s="1"/>
  <c r="CM71" i="42"/>
  <c r="CM57" i="42"/>
  <c r="AC45" i="37"/>
  <c r="AE46" i="37"/>
  <c r="AE45" i="37" s="1"/>
  <c r="CG62" i="42"/>
  <c r="CG76" i="42"/>
  <c r="CG59" i="42"/>
  <c r="CG73" i="42"/>
  <c r="M43" i="29"/>
  <c r="M28" i="30"/>
  <c r="M56" i="29"/>
  <c r="M70" i="29"/>
  <c r="M20" i="30"/>
  <c r="M71" i="29"/>
  <c r="M57" i="29"/>
  <c r="M29" i="30"/>
  <c r="M51" i="29"/>
  <c r="M65" i="29"/>
  <c r="M21" i="30"/>
  <c r="M33" i="29"/>
  <c r="M13" i="30"/>
  <c r="M68" i="29"/>
  <c r="M54" i="29"/>
  <c r="M9" i="30"/>
  <c r="M53" i="29"/>
  <c r="M67" i="29"/>
  <c r="M5" i="30"/>
  <c r="M2" i="42"/>
  <c r="M38" i="42" s="1"/>
  <c r="M38" i="41"/>
  <c r="M2" i="43"/>
  <c r="M38" i="43" s="1"/>
  <c r="M6" i="42"/>
  <c r="M47" i="42" s="1"/>
  <c r="M47" i="41"/>
  <c r="M6" i="43"/>
  <c r="M47" i="43" s="1"/>
  <c r="M10" i="42"/>
  <c r="M46" i="42" s="1"/>
  <c r="M45" i="42" s="1"/>
  <c r="M46" i="41"/>
  <c r="M10" i="43"/>
  <c r="M46" i="43" s="1"/>
  <c r="M45" i="43" s="1"/>
  <c r="M14" i="42"/>
  <c r="M34" i="42" s="1"/>
  <c r="M34" i="41"/>
  <c r="M14" i="43"/>
  <c r="M34" i="43" s="1"/>
  <c r="M18" i="42"/>
  <c r="M75" i="41"/>
  <c r="M61" i="41"/>
  <c r="M18" i="43"/>
  <c r="M22" i="42"/>
  <c r="M37" i="42" s="1"/>
  <c r="M37" i="41"/>
  <c r="M22" i="43"/>
  <c r="M37" i="43" s="1"/>
  <c r="M26" i="42"/>
  <c r="M36" i="42" s="1"/>
  <c r="M36" i="41"/>
  <c r="M26" i="43"/>
  <c r="M36" i="43" s="1"/>
  <c r="M30" i="42"/>
  <c r="M35" i="42" s="1"/>
  <c r="M35" i="41"/>
  <c r="M30" i="43"/>
  <c r="M35" i="43" s="1"/>
  <c r="V57" i="32"/>
  <c r="V71" i="32"/>
  <c r="W65" i="32"/>
  <c r="AB65" i="32" s="1"/>
  <c r="W51" i="32"/>
  <c r="AB51" i="32" s="1"/>
  <c r="W62" i="32"/>
  <c r="AB62" i="32" s="1"/>
  <c r="W76" i="32"/>
  <c r="AB76" i="32" s="1"/>
  <c r="S56" i="32"/>
  <c r="S70" i="32"/>
  <c r="T69" i="32"/>
  <c r="T55" i="32"/>
  <c r="Y76" i="32"/>
  <c r="AD76" i="32" s="1"/>
  <c r="Y62" i="32"/>
  <c r="AD62" i="32" s="1"/>
  <c r="R70" i="32"/>
  <c r="R56" i="32"/>
  <c r="U53" i="32"/>
  <c r="U67" i="32"/>
  <c r="E59" i="32"/>
  <c r="E73" i="32"/>
  <c r="W75" i="32"/>
  <c r="AB75" i="32" s="1"/>
  <c r="W61" i="32"/>
  <c r="AB61" i="32" s="1"/>
  <c r="K57" i="32"/>
  <c r="O57" i="32" s="1"/>
  <c r="K71" i="32"/>
  <c r="O71" i="32" s="1"/>
  <c r="U58" i="32"/>
  <c r="U72" i="32"/>
  <c r="AA62" i="32"/>
  <c r="AF62" i="32" s="1"/>
  <c r="AA76" i="32"/>
  <c r="AF76" i="32" s="1"/>
  <c r="X66" i="32"/>
  <c r="AC66" i="32" s="1"/>
  <c r="X52" i="32"/>
  <c r="AC52" i="32" s="1"/>
  <c r="K47" i="32"/>
  <c r="O47" i="32" s="1"/>
  <c r="BD47" i="32"/>
  <c r="BE47" i="32" s="1"/>
  <c r="BE45" i="32" s="1"/>
  <c r="X55" i="32"/>
  <c r="AC55" i="32" s="1"/>
  <c r="X69" i="32"/>
  <c r="AC69" i="32" s="1"/>
  <c r="U75" i="32"/>
  <c r="U61" i="32"/>
  <c r="U45" i="32"/>
  <c r="R53" i="32"/>
  <c r="R67" i="32"/>
  <c r="AA71" i="32"/>
  <c r="AF71" i="32" s="1"/>
  <c r="AA57" i="32"/>
  <c r="AF57" i="32" s="1"/>
  <c r="U66" i="32"/>
  <c r="U52" i="32"/>
  <c r="W60" i="32"/>
  <c r="AB60" i="32" s="1"/>
  <c r="W74" i="32"/>
  <c r="AB74" i="32" s="1"/>
  <c r="E76" i="32"/>
  <c r="E62" i="32"/>
  <c r="S61" i="32"/>
  <c r="S75" i="32"/>
  <c r="W73" i="32"/>
  <c r="AB73" i="32" s="1"/>
  <c r="W59" i="32"/>
  <c r="AB59" i="32" s="1"/>
  <c r="E31" i="32"/>
  <c r="U59" i="32"/>
  <c r="U73" i="32"/>
  <c r="K51" i="32"/>
  <c r="O51" i="32" s="1"/>
  <c r="K65" i="32"/>
  <c r="E68" i="32"/>
  <c r="E54" i="32"/>
  <c r="Z71" i="32"/>
  <c r="AE71" i="32" s="1"/>
  <c r="Z57" i="32"/>
  <c r="AE57" i="32" s="1"/>
  <c r="V64" i="32"/>
  <c r="V50" i="32"/>
  <c r="V48" i="32" s="1"/>
  <c r="Y61" i="32"/>
  <c r="AD61" i="32" s="1"/>
  <c r="Y75" i="32"/>
  <c r="AD75" i="32" s="1"/>
  <c r="X59" i="32"/>
  <c r="AC59" i="32" s="1"/>
  <c r="X73" i="32"/>
  <c r="AC73" i="32" s="1"/>
  <c r="S31" i="32"/>
  <c r="O49" i="32"/>
  <c r="X75" i="32"/>
  <c r="AC75" i="32" s="1"/>
  <c r="X61" i="32"/>
  <c r="AC61" i="32" s="1"/>
  <c r="Z60" i="32"/>
  <c r="AE60" i="32" s="1"/>
  <c r="Z74" i="32"/>
  <c r="AE74" i="32" s="1"/>
  <c r="R31" i="32"/>
  <c r="X68" i="32"/>
  <c r="AC68" i="32" s="1"/>
  <c r="X54" i="32"/>
  <c r="AC54" i="32" s="1"/>
  <c r="S67" i="32"/>
  <c r="S53" i="32"/>
  <c r="E71" i="32"/>
  <c r="E57" i="32"/>
  <c r="S72" i="32"/>
  <c r="S58" i="32"/>
  <c r="S74" i="32"/>
  <c r="S60" i="32"/>
  <c r="Y59" i="32"/>
  <c r="AD59" i="32" s="1"/>
  <c r="Y73" i="32"/>
  <c r="AD73" i="32" s="1"/>
  <c r="AD32" i="32"/>
  <c r="AD31" i="32"/>
  <c r="U51" i="32"/>
  <c r="U65" i="32"/>
  <c r="AA52" i="32"/>
  <c r="AF52" i="32" s="1"/>
  <c r="AA66" i="32"/>
  <c r="AF66" i="32" s="1"/>
  <c r="Z54" i="32"/>
  <c r="AE54" i="32" s="1"/>
  <c r="Z68" i="32"/>
  <c r="AE68" i="32" s="1"/>
  <c r="AA67" i="32"/>
  <c r="AF67" i="32" s="1"/>
  <c r="AA53" i="32"/>
  <c r="AF53" i="32" s="1"/>
  <c r="T66" i="32"/>
  <c r="T52" i="32"/>
  <c r="K73" i="32"/>
  <c r="O73" i="32" s="1"/>
  <c r="K59" i="32"/>
  <c r="O59" i="32" s="1"/>
  <c r="BD68" i="32"/>
  <c r="BE68" i="32" s="1"/>
  <c r="BD54" i="32"/>
  <c r="BE54" i="32" s="1"/>
  <c r="BC64" i="32"/>
  <c r="BC50" i="32"/>
  <c r="BE48" i="32"/>
  <c r="BC59" i="32"/>
  <c r="BC73" i="32"/>
  <c r="AH69" i="32"/>
  <c r="AH55" i="32"/>
  <c r="AK69" i="32"/>
  <c r="AM69" i="32" s="1"/>
  <c r="AK55" i="32"/>
  <c r="AM55" i="32" s="1"/>
  <c r="AI14" i="32"/>
  <c r="AH34" i="32"/>
  <c r="AI34" i="32" s="1"/>
  <c r="AI22" i="32"/>
  <c r="AH37" i="32"/>
  <c r="AH71" i="32"/>
  <c r="AH57" i="32"/>
  <c r="BD64" i="32"/>
  <c r="BE64" i="32" s="1"/>
  <c r="BD50" i="32"/>
  <c r="BE50" i="32" s="1"/>
  <c r="AH72" i="32"/>
  <c r="AH58" i="32"/>
  <c r="AH50" i="32"/>
  <c r="AH48" i="32" s="1"/>
  <c r="AH64" i="32"/>
  <c r="AK75" i="32"/>
  <c r="AM75" i="32" s="1"/>
  <c r="AK61" i="32"/>
  <c r="AM61" i="32" s="1"/>
  <c r="BD69" i="32"/>
  <c r="BE69" i="32" s="1"/>
  <c r="BD55" i="32"/>
  <c r="BE55" i="32" s="1"/>
  <c r="AI5" i="32"/>
  <c r="AH67" i="32"/>
  <c r="AH53" i="32"/>
  <c r="AI13" i="32"/>
  <c r="AH33" i="32"/>
  <c r="AH31" i="32" s="1"/>
  <c r="AH51" i="32"/>
  <c r="AH65" i="32"/>
  <c r="AI65" i="32" s="1"/>
  <c r="AK74" i="32"/>
  <c r="AM74" i="32" s="1"/>
  <c r="AK60" i="32"/>
  <c r="AM60" i="32" s="1"/>
  <c r="AK72" i="32"/>
  <c r="AM72" i="32" s="1"/>
  <c r="AK58" i="32"/>
  <c r="AM58" i="32" s="1"/>
  <c r="AO3" i="18"/>
  <c r="CU3" i="18"/>
  <c r="CU12" i="18"/>
  <c r="AO12" i="18"/>
  <c r="CU28" i="18"/>
  <c r="AO28" i="18"/>
  <c r="CU25" i="18"/>
  <c r="AO25" i="18"/>
  <c r="CU19" i="18"/>
  <c r="AO19" i="18"/>
  <c r="CU21" i="18"/>
  <c r="AO21" i="18"/>
  <c r="CU14" i="18"/>
  <c r="AO14" i="18"/>
  <c r="CU30" i="18"/>
  <c r="CU35" i="18" s="1"/>
  <c r="AO30" i="18"/>
  <c r="BR53" i="38"/>
  <c r="CF53" i="38" s="1"/>
  <c r="BR67" i="38"/>
  <c r="CF67" i="38" s="1"/>
  <c r="DX52" i="38"/>
  <c r="EL52" i="38" s="1"/>
  <c r="DX66" i="38"/>
  <c r="EL66" i="38" s="1"/>
  <c r="Q64" i="38"/>
  <c r="Q50" i="38"/>
  <c r="AB50" i="38" s="1"/>
  <c r="CU7" i="38"/>
  <c r="F73" i="38"/>
  <c r="AO7" i="38"/>
  <c r="F59" i="38"/>
  <c r="CU26" i="38"/>
  <c r="F36" i="38"/>
  <c r="AO26" i="38"/>
  <c r="DX76" i="38"/>
  <c r="EL76" i="38" s="1"/>
  <c r="DX62" i="38"/>
  <c r="EL62" i="38" s="1"/>
  <c r="Q66" i="38"/>
  <c r="AB66" i="38" s="1"/>
  <c r="Q52" i="38"/>
  <c r="AB52" i="38" s="1"/>
  <c r="CU17" i="38"/>
  <c r="F66" i="38"/>
  <c r="F63" i="38" s="1"/>
  <c r="F52" i="38"/>
  <c r="AO17" i="38"/>
  <c r="BR69" i="38"/>
  <c r="CF69" i="38" s="1"/>
  <c r="BR55" i="38"/>
  <c r="CF55" i="38" s="1"/>
  <c r="Q68" i="38"/>
  <c r="AB68" i="38" s="1"/>
  <c r="Q54" i="38"/>
  <c r="AB54" i="38" s="1"/>
  <c r="Q62" i="38"/>
  <c r="AB62" i="38" s="1"/>
  <c r="Q76" i="38"/>
  <c r="AB76" i="38" s="1"/>
  <c r="CF31" i="38"/>
  <c r="CF32" i="38"/>
  <c r="DX68" i="38"/>
  <c r="EL68" i="38" s="1"/>
  <c r="DX54" i="38"/>
  <c r="EL54" i="38" s="1"/>
  <c r="CU27" i="38"/>
  <c r="AO27" i="38"/>
  <c r="F76" i="38"/>
  <c r="F62" i="38"/>
  <c r="AO15" i="38"/>
  <c r="CU15" i="38"/>
  <c r="F44" i="38"/>
  <c r="EL49" i="38"/>
  <c r="DX69" i="38"/>
  <c r="EL69" i="38" s="1"/>
  <c r="DX55" i="38"/>
  <c r="EL55" i="38" s="1"/>
  <c r="CQ62" i="30"/>
  <c r="CQ76" i="30"/>
  <c r="CQ59" i="30"/>
  <c r="CQ73" i="30"/>
  <c r="AS39" i="29"/>
  <c r="BR11" i="30"/>
  <c r="AS57" i="29"/>
  <c r="AS71" i="29"/>
  <c r="BR29" i="30"/>
  <c r="AS76" i="29"/>
  <c r="AS62" i="29"/>
  <c r="BR27" i="30"/>
  <c r="AS64" i="29"/>
  <c r="AS50" i="29"/>
  <c r="BR25" i="30"/>
  <c r="AS49" i="29"/>
  <c r="BR23" i="30"/>
  <c r="AS51" i="29"/>
  <c r="AS65" i="29"/>
  <c r="BR21" i="30"/>
  <c r="AS42" i="29"/>
  <c r="BR19" i="30"/>
  <c r="AS52" i="29"/>
  <c r="AS66" i="29"/>
  <c r="BR17" i="30"/>
  <c r="AS44" i="29"/>
  <c r="BR15" i="30"/>
  <c r="AS33" i="29"/>
  <c r="BR13" i="30"/>
  <c r="BR73" i="29"/>
  <c r="BR59" i="29"/>
  <c r="BR31" i="29"/>
  <c r="BR52" i="41"/>
  <c r="BR66" i="41"/>
  <c r="BR65" i="41"/>
  <c r="BR51" i="41"/>
  <c r="BR48" i="41" s="1"/>
  <c r="BQ45" i="41"/>
  <c r="AS32" i="41"/>
  <c r="BR3" i="42"/>
  <c r="BR32" i="42" s="1"/>
  <c r="BR3" i="43"/>
  <c r="BR32" i="43" s="1"/>
  <c r="BR7" i="42"/>
  <c r="AS73" i="41"/>
  <c r="AS59" i="41"/>
  <c r="BR7" i="43"/>
  <c r="AS39" i="41"/>
  <c r="BR11" i="42"/>
  <c r="BR39" i="42" s="1"/>
  <c r="BR11" i="43"/>
  <c r="BR39" i="43" s="1"/>
  <c r="BR15" i="42"/>
  <c r="BR44" i="42" s="1"/>
  <c r="AS44" i="41"/>
  <c r="BR15" i="43"/>
  <c r="BR44" i="43" s="1"/>
  <c r="BR19" i="42"/>
  <c r="BR42" i="42" s="1"/>
  <c r="AS42" i="41"/>
  <c r="BR19" i="43"/>
  <c r="BR42" i="43" s="1"/>
  <c r="AS49" i="41"/>
  <c r="BR23" i="42"/>
  <c r="BR49" i="42" s="1"/>
  <c r="BR23" i="43"/>
  <c r="BR49" i="43" s="1"/>
  <c r="BR27" i="42"/>
  <c r="AS76" i="41"/>
  <c r="AS62" i="41"/>
  <c r="BR27" i="43"/>
  <c r="BR31" i="41"/>
  <c r="BR73" i="41"/>
  <c r="BR59" i="41"/>
  <c r="CQ74" i="42"/>
  <c r="CQ60" i="42"/>
  <c r="CQ72" i="42"/>
  <c r="CQ58" i="42"/>
  <c r="CQ70" i="42"/>
  <c r="CQ56" i="42"/>
  <c r="CQ69" i="42"/>
  <c r="CQ55" i="42"/>
  <c r="CB48" i="30"/>
  <c r="CB52" i="30"/>
  <c r="CB66" i="30"/>
  <c r="CB60" i="30"/>
  <c r="CB74" i="30"/>
  <c r="CB59" i="30"/>
  <c r="CB73" i="30"/>
  <c r="CB62" i="30"/>
  <c r="CB76" i="30"/>
  <c r="CB45" i="43"/>
  <c r="AD35" i="29"/>
  <c r="BC30" i="30"/>
  <c r="AD36" i="29"/>
  <c r="AB36" i="29" s="1"/>
  <c r="BC26" i="30"/>
  <c r="AD37" i="29"/>
  <c r="BC22" i="30"/>
  <c r="AD61" i="29"/>
  <c r="AD75" i="29"/>
  <c r="BC18" i="30"/>
  <c r="AD34" i="29"/>
  <c r="BC14" i="30"/>
  <c r="BC34" i="30" s="1"/>
  <c r="AD57" i="29"/>
  <c r="AD71" i="29"/>
  <c r="BC29" i="30"/>
  <c r="AD64" i="29"/>
  <c r="AD50" i="29"/>
  <c r="BC25" i="30"/>
  <c r="AD65" i="29"/>
  <c r="AD51" i="29"/>
  <c r="BC21" i="30"/>
  <c r="AD66" i="29"/>
  <c r="AD52" i="29"/>
  <c r="BC17" i="30"/>
  <c r="AD33" i="29"/>
  <c r="BC13" i="30"/>
  <c r="BC72" i="41"/>
  <c r="BC58" i="41"/>
  <c r="BC70" i="41"/>
  <c r="BC56" i="41"/>
  <c r="BC64" i="41"/>
  <c r="BC50" i="41"/>
  <c r="BC48" i="41" s="1"/>
  <c r="AD60" i="29"/>
  <c r="AD74" i="29"/>
  <c r="BC12" i="30"/>
  <c r="AD46" i="29"/>
  <c r="BC10" i="30"/>
  <c r="AD41" i="29"/>
  <c r="BC8" i="30"/>
  <c r="AD47" i="29"/>
  <c r="BC6" i="30"/>
  <c r="AD40" i="29"/>
  <c r="BC4" i="30"/>
  <c r="BC4" i="42"/>
  <c r="BC40" i="42" s="1"/>
  <c r="AD40" i="41"/>
  <c r="BC4" i="43"/>
  <c r="BC40" i="43" s="1"/>
  <c r="BC8" i="42"/>
  <c r="BC41" i="42" s="1"/>
  <c r="AD41" i="41"/>
  <c r="BC8" i="43"/>
  <c r="BC41" i="43" s="1"/>
  <c r="BC12" i="42"/>
  <c r="AD60" i="41"/>
  <c r="AD74" i="41"/>
  <c r="BC12" i="43"/>
  <c r="BC16" i="42"/>
  <c r="AD72" i="41"/>
  <c r="AD58" i="41"/>
  <c r="BC16" i="43"/>
  <c r="BC20" i="42"/>
  <c r="AD56" i="41"/>
  <c r="AD70" i="41"/>
  <c r="BC20" i="43"/>
  <c r="BC24" i="42"/>
  <c r="AD69" i="41"/>
  <c r="AD55" i="41"/>
  <c r="BC24" i="43"/>
  <c r="BC28" i="42"/>
  <c r="BC43" i="42" s="1"/>
  <c r="AD43" i="41"/>
  <c r="BC28" i="43"/>
  <c r="BC43" i="43" s="1"/>
  <c r="CB45" i="42"/>
  <c r="CB75" i="42"/>
  <c r="CB61" i="42"/>
  <c r="AE11" i="16"/>
  <c r="H71" i="16"/>
  <c r="K71" i="16" s="1"/>
  <c r="H57" i="16"/>
  <c r="K57" i="16" s="1"/>
  <c r="H66" i="16"/>
  <c r="K66" i="16" s="1"/>
  <c r="H52" i="16"/>
  <c r="K52" i="16" s="1"/>
  <c r="AH53" i="16"/>
  <c r="H42" i="16"/>
  <c r="M42" i="16" s="1"/>
  <c r="AH57" i="16"/>
  <c r="D57" i="37"/>
  <c r="D71" i="37"/>
  <c r="D31" i="37"/>
  <c r="AH50" i="37"/>
  <c r="H71" i="37"/>
  <c r="K71" i="37" s="1"/>
  <c r="H57" i="37"/>
  <c r="K57" i="37" s="1"/>
  <c r="AH52" i="37"/>
  <c r="AE52" i="37"/>
  <c r="AE41" i="37"/>
  <c r="AY31" i="30"/>
  <c r="AY31" i="43"/>
  <c r="CH64" i="43"/>
  <c r="AN64" i="43"/>
  <c r="CS64" i="43"/>
  <c r="CC64" i="43"/>
  <c r="AM64" i="43"/>
  <c r="CR64" i="43"/>
  <c r="AX64" i="43"/>
  <c r="AH64" i="43"/>
  <c r="CI64" i="43"/>
  <c r="AO64" i="43"/>
  <c r="CP50" i="43"/>
  <c r="AV50" i="43"/>
  <c r="AF50" i="43"/>
  <c r="CK50" i="43"/>
  <c r="AU50" i="43"/>
  <c r="AE50" i="43"/>
  <c r="CJ50" i="43"/>
  <c r="AP50" i="43"/>
  <c r="CQ50" i="43"/>
  <c r="AW50" i="43"/>
  <c r="AG50" i="43"/>
  <c r="CL64" i="43"/>
  <c r="CG64" i="43"/>
  <c r="CV64" i="43"/>
  <c r="AL64" i="43"/>
  <c r="AS64" i="43"/>
  <c r="CD50" i="43"/>
  <c r="AY50" i="43"/>
  <c r="AI50" i="43"/>
  <c r="AT50" i="43"/>
  <c r="AK50" i="43"/>
  <c r="CT64" i="43"/>
  <c r="CD64" i="43"/>
  <c r="AJ64" i="43"/>
  <c r="CO64" i="43"/>
  <c r="AY64" i="43"/>
  <c r="AI64" i="43"/>
  <c r="CN64" i="43"/>
  <c r="AT64" i="43"/>
  <c r="CU64" i="43"/>
  <c r="CE64" i="43"/>
  <c r="AK64" i="43"/>
  <c r="CL50" i="43"/>
  <c r="AR50" i="43"/>
  <c r="CW50" i="43"/>
  <c r="CG50" i="43"/>
  <c r="AQ50" i="43"/>
  <c r="CV50" i="43"/>
  <c r="CF50" i="43"/>
  <c r="AL50" i="43"/>
  <c r="CM50" i="43"/>
  <c r="AS50" i="43"/>
  <c r="AR64" i="43"/>
  <c r="AQ64" i="43"/>
  <c r="CF64" i="43"/>
  <c r="CM64" i="43"/>
  <c r="CT50" i="43"/>
  <c r="CO50" i="43"/>
  <c r="CN50" i="43"/>
  <c r="CU50" i="43"/>
  <c r="CP64" i="43"/>
  <c r="AV64" i="43"/>
  <c r="AF64" i="43"/>
  <c r="CK64" i="43"/>
  <c r="AU64" i="43"/>
  <c r="AE64" i="43"/>
  <c r="CJ64" i="43"/>
  <c r="AP64" i="43"/>
  <c r="CQ64" i="43"/>
  <c r="AW64" i="43"/>
  <c r="AG64" i="43"/>
  <c r="CH50" i="43"/>
  <c r="AN50" i="43"/>
  <c r="CS50" i="43"/>
  <c r="CC50" i="43"/>
  <c r="AM50" i="43"/>
  <c r="CR50" i="43"/>
  <c r="AX50" i="43"/>
  <c r="AH50" i="43"/>
  <c r="CI50" i="43"/>
  <c r="AO50" i="43"/>
  <c r="CW64" i="43"/>
  <c r="AJ50" i="43"/>
  <c r="CE50" i="43"/>
  <c r="CT66" i="43"/>
  <c r="CD66" i="43"/>
  <c r="AJ66" i="43"/>
  <c r="CO66" i="43"/>
  <c r="AY66" i="43"/>
  <c r="AI66" i="43"/>
  <c r="CN66" i="43"/>
  <c r="AT66" i="43"/>
  <c r="CU66" i="43"/>
  <c r="CE66" i="43"/>
  <c r="AK66" i="43"/>
  <c r="CL52" i="43"/>
  <c r="AR52" i="43"/>
  <c r="CW52" i="43"/>
  <c r="CG52" i="43"/>
  <c r="AQ52" i="43"/>
  <c r="CV52" i="43"/>
  <c r="CF52" i="43"/>
  <c r="AL52" i="43"/>
  <c r="CM52" i="43"/>
  <c r="AS52" i="43"/>
  <c r="AF52" i="43"/>
  <c r="CP66" i="43"/>
  <c r="AV66" i="43"/>
  <c r="AF66" i="43"/>
  <c r="CK66" i="43"/>
  <c r="AU66" i="43"/>
  <c r="AE66" i="43"/>
  <c r="CJ66" i="43"/>
  <c r="AP66" i="43"/>
  <c r="CQ66" i="43"/>
  <c r="AW66" i="43"/>
  <c r="AG66" i="43"/>
  <c r="CH52" i="43"/>
  <c r="AN52" i="43"/>
  <c r="CS52" i="43"/>
  <c r="CC52" i="43"/>
  <c r="AM52" i="43"/>
  <c r="CR52" i="43"/>
  <c r="AX52" i="43"/>
  <c r="AH52" i="43"/>
  <c r="CI52" i="43"/>
  <c r="AO52" i="43"/>
  <c r="CH66" i="43"/>
  <c r="CS66" i="43"/>
  <c r="AM66" i="43"/>
  <c r="AX66" i="43"/>
  <c r="AH66" i="43"/>
  <c r="AO66" i="43"/>
  <c r="CP52" i="43"/>
  <c r="CK52" i="43"/>
  <c r="AU52" i="43"/>
  <c r="CJ52" i="43"/>
  <c r="CQ52" i="43"/>
  <c r="AG52" i="43"/>
  <c r="CL66" i="43"/>
  <c r="AR66" i="43"/>
  <c r="CW66" i="43"/>
  <c r="CG66" i="43"/>
  <c r="AQ66" i="43"/>
  <c r="CV66" i="43"/>
  <c r="CF66" i="43"/>
  <c r="AL66" i="43"/>
  <c r="CM66" i="43"/>
  <c r="AS66" i="43"/>
  <c r="CT52" i="43"/>
  <c r="CD52" i="43"/>
  <c r="AJ52" i="43"/>
  <c r="CO52" i="43"/>
  <c r="AY52" i="43"/>
  <c r="AI52" i="43"/>
  <c r="CN52" i="43"/>
  <c r="AT52" i="43"/>
  <c r="CU52" i="43"/>
  <c r="CE52" i="43"/>
  <c r="AK52" i="43"/>
  <c r="AN66" i="43"/>
  <c r="CC66" i="43"/>
  <c r="CR66" i="43"/>
  <c r="CI66" i="43"/>
  <c r="AV52" i="43"/>
  <c r="AE52" i="43"/>
  <c r="AP52" i="43"/>
  <c r="AW52" i="43"/>
  <c r="Z60" i="29"/>
  <c r="Z74" i="29"/>
  <c r="Z12" i="30"/>
  <c r="Z39" i="29"/>
  <c r="Z11" i="30"/>
  <c r="Z71" i="29"/>
  <c r="Z57" i="29"/>
  <c r="Z29" i="30"/>
  <c r="Z50" i="29"/>
  <c r="Z64" i="29"/>
  <c r="Z25" i="30"/>
  <c r="Z65" i="29"/>
  <c r="Z51" i="29"/>
  <c r="Z21" i="30"/>
  <c r="Z52" i="29"/>
  <c r="Z66" i="29"/>
  <c r="Z17" i="30"/>
  <c r="Z33" i="29"/>
  <c r="Z13" i="30"/>
  <c r="Z3" i="42"/>
  <c r="Z32" i="42" s="1"/>
  <c r="Z32" i="41"/>
  <c r="Z3" i="43"/>
  <c r="Z32" i="43" s="1"/>
  <c r="Z7" i="42"/>
  <c r="Z73" i="41"/>
  <c r="Z59" i="41"/>
  <c r="Z7" i="43"/>
  <c r="Z11" i="42"/>
  <c r="Z39" i="42" s="1"/>
  <c r="Z39" i="41"/>
  <c r="Z11" i="43"/>
  <c r="Z39" i="43" s="1"/>
  <c r="Z15" i="42"/>
  <c r="Z44" i="42" s="1"/>
  <c r="Z44" i="41"/>
  <c r="Z15" i="43"/>
  <c r="Z44" i="43" s="1"/>
  <c r="Z19" i="42"/>
  <c r="Z42" i="42" s="1"/>
  <c r="Z42" i="41"/>
  <c r="Z19" i="43"/>
  <c r="Z42" i="43" s="1"/>
  <c r="Z23" i="42"/>
  <c r="Z49" i="42" s="1"/>
  <c r="Z49" i="41"/>
  <c r="Z23" i="43"/>
  <c r="Z49" i="43" s="1"/>
  <c r="Z27" i="42"/>
  <c r="Z62" i="41"/>
  <c r="Z76" i="41"/>
  <c r="Z27" i="43"/>
  <c r="AR45" i="30"/>
  <c r="AR45" i="43"/>
  <c r="S41" i="29"/>
  <c r="S8" i="30"/>
  <c r="S57" i="29"/>
  <c r="S71" i="29"/>
  <c r="S29" i="30"/>
  <c r="S64" i="29"/>
  <c r="S50" i="29"/>
  <c r="S25" i="30"/>
  <c r="S65" i="29"/>
  <c r="S51" i="29"/>
  <c r="S21" i="30"/>
  <c r="S52" i="29"/>
  <c r="S66" i="29"/>
  <c r="S17" i="30"/>
  <c r="S33" i="29"/>
  <c r="S13" i="30"/>
  <c r="S53" i="29"/>
  <c r="S67" i="29"/>
  <c r="S5" i="30"/>
  <c r="S2" i="42"/>
  <c r="S38" i="42" s="1"/>
  <c r="S38" i="41"/>
  <c r="S2" i="43"/>
  <c r="S38" i="43" s="1"/>
  <c r="S6" i="42"/>
  <c r="S47" i="42" s="1"/>
  <c r="S47" i="41"/>
  <c r="S6" i="43"/>
  <c r="S47" i="43" s="1"/>
  <c r="S10" i="42"/>
  <c r="S46" i="42" s="1"/>
  <c r="S45" i="42" s="1"/>
  <c r="S46" i="41"/>
  <c r="S45" i="41" s="1"/>
  <c r="S10" i="43"/>
  <c r="S46" i="43" s="1"/>
  <c r="S14" i="42"/>
  <c r="S34" i="42" s="1"/>
  <c r="S34" i="41"/>
  <c r="S14" i="43"/>
  <c r="S34" i="43" s="1"/>
  <c r="S18" i="42"/>
  <c r="S75" i="41"/>
  <c r="S61" i="41"/>
  <c r="S18" i="43"/>
  <c r="S22" i="42"/>
  <c r="S37" i="42" s="1"/>
  <c r="S37" i="41"/>
  <c r="S22" i="43"/>
  <c r="S37" i="43" s="1"/>
  <c r="S36" i="41"/>
  <c r="S26" i="42"/>
  <c r="S36" i="42" s="1"/>
  <c r="S26" i="43"/>
  <c r="S36" i="43" s="1"/>
  <c r="S30" i="42"/>
  <c r="S35" i="42" s="1"/>
  <c r="S35" i="41"/>
  <c r="S30" i="43"/>
  <c r="S35" i="43" s="1"/>
  <c r="AE54" i="37"/>
  <c r="H73" i="16"/>
  <c r="K73" i="16" s="1"/>
  <c r="H59" i="16"/>
  <c r="K59" i="16" s="1"/>
  <c r="AH74" i="16"/>
  <c r="H62" i="37"/>
  <c r="K62" i="37" s="1"/>
  <c r="H76" i="37"/>
  <c r="K76" i="37" s="1"/>
  <c r="AS47" i="29"/>
  <c r="BR6" i="30"/>
  <c r="BR60" i="41"/>
  <c r="BR74" i="41"/>
  <c r="BR61" i="41"/>
  <c r="BR75" i="41"/>
  <c r="BR76" i="41"/>
  <c r="BR62" i="41"/>
  <c r="BR4" i="42"/>
  <c r="BR40" i="42" s="1"/>
  <c r="AS40" i="41"/>
  <c r="BR4" i="43"/>
  <c r="BR40" i="43" s="1"/>
  <c r="AS41" i="41"/>
  <c r="BR8" i="42"/>
  <c r="BR41" i="42" s="1"/>
  <c r="BR8" i="43"/>
  <c r="BR41" i="43" s="1"/>
  <c r="BR12" i="42"/>
  <c r="AS60" i="41"/>
  <c r="AS74" i="41"/>
  <c r="BR12" i="43"/>
  <c r="BR16" i="42"/>
  <c r="AS72" i="41"/>
  <c r="AS58" i="41"/>
  <c r="BR16" i="43"/>
  <c r="BR20" i="42"/>
  <c r="AS56" i="41"/>
  <c r="AS70" i="41"/>
  <c r="BR20" i="43"/>
  <c r="BR24" i="42"/>
  <c r="AS69" i="41"/>
  <c r="AS55" i="41"/>
  <c r="BR24" i="43"/>
  <c r="BR28" i="42"/>
  <c r="BR43" i="42" s="1"/>
  <c r="AS43" i="41"/>
  <c r="BR28" i="43"/>
  <c r="BR43" i="43" s="1"/>
  <c r="CQ67" i="42"/>
  <c r="CQ53" i="42"/>
  <c r="CQ68" i="42"/>
  <c r="CQ54" i="42"/>
  <c r="CQ66" i="42"/>
  <c r="CQ52" i="42"/>
  <c r="CQ51" i="42"/>
  <c r="CQ65" i="42"/>
  <c r="CQ64" i="42"/>
  <c r="CQ50" i="42"/>
  <c r="CQ48" i="42" s="1"/>
  <c r="CQ71" i="42"/>
  <c r="CQ57" i="42"/>
  <c r="CB56" i="30"/>
  <c r="CB70" i="30"/>
  <c r="CB58" i="30"/>
  <c r="CB72" i="30"/>
  <c r="CB53" i="30"/>
  <c r="CB67" i="30"/>
  <c r="CB51" i="30"/>
  <c r="CB65" i="30"/>
  <c r="CB31" i="43"/>
  <c r="BC71" i="29"/>
  <c r="BC57" i="29"/>
  <c r="BC50" i="29"/>
  <c r="BC64" i="29"/>
  <c r="BC65" i="29"/>
  <c r="BC51" i="29"/>
  <c r="BC66" i="29"/>
  <c r="BC52" i="29"/>
  <c r="BA43" i="29"/>
  <c r="N43" i="18" s="1"/>
  <c r="Y43" i="18" s="1"/>
  <c r="BC69" i="29"/>
  <c r="BC55" i="29"/>
  <c r="BC70" i="29"/>
  <c r="BC56" i="29"/>
  <c r="BC72" i="29"/>
  <c r="BC58" i="29"/>
  <c r="BC73" i="41"/>
  <c r="BC59" i="41"/>
  <c r="BC52" i="41"/>
  <c r="BC66" i="41"/>
  <c r="BC51" i="41"/>
  <c r="BC65" i="41"/>
  <c r="BC68" i="29"/>
  <c r="BC54" i="29"/>
  <c r="BC59" i="29"/>
  <c r="BC73" i="29"/>
  <c r="BC53" i="29"/>
  <c r="BC67" i="29"/>
  <c r="BC31" i="29"/>
  <c r="BC71" i="41"/>
  <c r="BC57" i="41"/>
  <c r="BC5" i="42"/>
  <c r="AD53" i="41"/>
  <c r="AD67" i="41"/>
  <c r="BC5" i="43"/>
  <c r="BC9" i="42"/>
  <c r="AD68" i="41"/>
  <c r="AD54" i="41"/>
  <c r="BC9" i="43"/>
  <c r="BC13" i="42"/>
  <c r="BC33" i="42" s="1"/>
  <c r="AD33" i="41"/>
  <c r="BC13" i="43"/>
  <c r="BC33" i="43" s="1"/>
  <c r="BC17" i="42"/>
  <c r="AD66" i="41"/>
  <c r="AD52" i="41"/>
  <c r="BC17" i="43"/>
  <c r="BC21" i="42"/>
  <c r="AD51" i="41"/>
  <c r="AD65" i="41"/>
  <c r="BC21" i="43"/>
  <c r="BC25" i="42"/>
  <c r="AD64" i="41"/>
  <c r="AD50" i="41"/>
  <c r="BC25" i="43"/>
  <c r="BC29" i="42"/>
  <c r="AD57" i="41"/>
  <c r="AD71" i="41"/>
  <c r="BC29" i="43"/>
  <c r="CB31" i="42"/>
  <c r="CB73" i="42"/>
  <c r="CB59" i="42"/>
  <c r="CB76" i="42"/>
  <c r="CB62" i="42"/>
  <c r="AE62" i="16"/>
  <c r="D53" i="16"/>
  <c r="D67" i="16"/>
  <c r="K36" i="16"/>
  <c r="H36" i="16"/>
  <c r="M36" i="16" s="1"/>
  <c r="AE32" i="16"/>
  <c r="AC31" i="16"/>
  <c r="AH71" i="16"/>
  <c r="D50" i="37"/>
  <c r="D64" i="37"/>
  <c r="D68" i="37"/>
  <c r="D54" i="37"/>
  <c r="H56" i="37"/>
  <c r="K56" i="37" s="1"/>
  <c r="H70" i="37"/>
  <c r="K70" i="37" s="1"/>
  <c r="AJ45" i="37"/>
  <c r="C48" i="20"/>
  <c r="E49" i="20"/>
  <c r="E48" i="20" s="1"/>
  <c r="CR75" i="43"/>
  <c r="AX75" i="43"/>
  <c r="AH75" i="43"/>
  <c r="CG75" i="43"/>
  <c r="AF75" i="43"/>
  <c r="CE75" i="43"/>
  <c r="AE75" i="43"/>
  <c r="CD75" i="43"/>
  <c r="AI75" i="43"/>
  <c r="CC75" i="43"/>
  <c r="AG75" i="43"/>
  <c r="CH61" i="43"/>
  <c r="AN61" i="43"/>
  <c r="CS61" i="43"/>
  <c r="CC61" i="43"/>
  <c r="AM61" i="43"/>
  <c r="CR61" i="43"/>
  <c r="AX61" i="43"/>
  <c r="AH61" i="43"/>
  <c r="CI61" i="43"/>
  <c r="AO61" i="43"/>
  <c r="CV75" i="43"/>
  <c r="AL75" i="43"/>
  <c r="CK75" i="43"/>
  <c r="AN75" i="43"/>
  <c r="AM75" i="43"/>
  <c r="CW61" i="43"/>
  <c r="AQ61" i="43"/>
  <c r="AL61" i="43"/>
  <c r="CM61" i="43"/>
  <c r="CN75" i="43"/>
  <c r="AT75" i="43"/>
  <c r="CW75" i="43"/>
  <c r="AV75" i="43"/>
  <c r="CU75" i="43"/>
  <c r="AU75" i="43"/>
  <c r="CT75" i="43"/>
  <c r="AY75" i="43"/>
  <c r="CS75" i="43"/>
  <c r="AW75" i="43"/>
  <c r="CT61" i="43"/>
  <c r="CD61" i="43"/>
  <c r="AJ61" i="43"/>
  <c r="CO61" i="43"/>
  <c r="AY61" i="43"/>
  <c r="AI61" i="43"/>
  <c r="CN61" i="43"/>
  <c r="AT61" i="43"/>
  <c r="CU61" i="43"/>
  <c r="CE61" i="43"/>
  <c r="AK61" i="43"/>
  <c r="CF75" i="43"/>
  <c r="CL75" i="43"/>
  <c r="AJ75" i="43"/>
  <c r="CI75" i="43"/>
  <c r="CH75" i="43"/>
  <c r="AR61" i="43"/>
  <c r="CG61" i="43"/>
  <c r="CF61" i="43"/>
  <c r="AS61" i="43"/>
  <c r="CJ75" i="43"/>
  <c r="AP75" i="43"/>
  <c r="CQ75" i="43"/>
  <c r="AQ75" i="43"/>
  <c r="CP75" i="43"/>
  <c r="AO75" i="43"/>
  <c r="CO75" i="43"/>
  <c r="AS75" i="43"/>
  <c r="CM75" i="43"/>
  <c r="AR75" i="43"/>
  <c r="CP61" i="43"/>
  <c r="AV61" i="43"/>
  <c r="AF61" i="43"/>
  <c r="CK61" i="43"/>
  <c r="AU61" i="43"/>
  <c r="AE61" i="43"/>
  <c r="CJ61" i="43"/>
  <c r="AP61" i="43"/>
  <c r="CQ61" i="43"/>
  <c r="AW61" i="43"/>
  <c r="AG61" i="43"/>
  <c r="AK75" i="43"/>
  <c r="CL61" i="43"/>
  <c r="CV61" i="43"/>
  <c r="CT67" i="43"/>
  <c r="CD67" i="43"/>
  <c r="AJ67" i="43"/>
  <c r="CO67" i="43"/>
  <c r="AY67" i="43"/>
  <c r="AI67" i="43"/>
  <c r="CN67" i="43"/>
  <c r="AT67" i="43"/>
  <c r="CU67" i="43"/>
  <c r="CE67" i="43"/>
  <c r="AK67" i="43"/>
  <c r="CL53" i="43"/>
  <c r="AR53" i="43"/>
  <c r="CW53" i="43"/>
  <c r="CG53" i="43"/>
  <c r="AQ53" i="43"/>
  <c r="CV53" i="43"/>
  <c r="CF53" i="43"/>
  <c r="AL53" i="43"/>
  <c r="CM53" i="43"/>
  <c r="AS53" i="43"/>
  <c r="CP67" i="43"/>
  <c r="AV67" i="43"/>
  <c r="AF67" i="43"/>
  <c r="CK67" i="43"/>
  <c r="AU67" i="43"/>
  <c r="AE67" i="43"/>
  <c r="CJ67" i="43"/>
  <c r="AP67" i="43"/>
  <c r="CQ67" i="43"/>
  <c r="AW67" i="43"/>
  <c r="AG67" i="43"/>
  <c r="CH53" i="43"/>
  <c r="AN53" i="43"/>
  <c r="CS53" i="43"/>
  <c r="CC53" i="43"/>
  <c r="AM53" i="43"/>
  <c r="CR53" i="43"/>
  <c r="AX53" i="43"/>
  <c r="AH53" i="43"/>
  <c r="CI53" i="43"/>
  <c r="AO53" i="43"/>
  <c r="AN67" i="43"/>
  <c r="CS67" i="43"/>
  <c r="AM67" i="43"/>
  <c r="CR67" i="43"/>
  <c r="AH67" i="43"/>
  <c r="AO67" i="43"/>
  <c r="CP53" i="43"/>
  <c r="AF53" i="43"/>
  <c r="CK53" i="43"/>
  <c r="AE53" i="43"/>
  <c r="CJ53" i="43"/>
  <c r="CQ53" i="43"/>
  <c r="AW53" i="43"/>
  <c r="CL67" i="43"/>
  <c r="AR67" i="43"/>
  <c r="CW67" i="43"/>
  <c r="CG67" i="43"/>
  <c r="AQ67" i="43"/>
  <c r="CV67" i="43"/>
  <c r="CF67" i="43"/>
  <c r="AL67" i="43"/>
  <c r="CM67" i="43"/>
  <c r="AS67" i="43"/>
  <c r="CT53" i="43"/>
  <c r="CD53" i="43"/>
  <c r="AJ53" i="43"/>
  <c r="CO53" i="43"/>
  <c r="AY53" i="43"/>
  <c r="AI53" i="43"/>
  <c r="CN53" i="43"/>
  <c r="AT53" i="43"/>
  <c r="CU53" i="43"/>
  <c r="CE53" i="43"/>
  <c r="AK53" i="43"/>
  <c r="CH67" i="43"/>
  <c r="CC67" i="43"/>
  <c r="AX67" i="43"/>
  <c r="CI67" i="43"/>
  <c r="AV53" i="43"/>
  <c r="AU53" i="43"/>
  <c r="AP53" i="43"/>
  <c r="AG53" i="43"/>
  <c r="CP49" i="43"/>
  <c r="AV49" i="43"/>
  <c r="AF49" i="43"/>
  <c r="CK49" i="43"/>
  <c r="AU49" i="43"/>
  <c r="AE49" i="43"/>
  <c r="CJ49" i="43"/>
  <c r="AP49" i="43"/>
  <c r="CQ49" i="43"/>
  <c r="AW49" i="43"/>
  <c r="AG49" i="43"/>
  <c r="CL49" i="43"/>
  <c r="AR49" i="43"/>
  <c r="CW49" i="43"/>
  <c r="CG49" i="43"/>
  <c r="AQ49" i="43"/>
  <c r="CV49" i="43"/>
  <c r="CF49" i="43"/>
  <c r="AL49" i="43"/>
  <c r="CM49" i="43"/>
  <c r="AS49" i="43"/>
  <c r="CD49" i="43"/>
  <c r="CD48" i="43" s="1"/>
  <c r="CO49" i="43"/>
  <c r="AY49" i="43"/>
  <c r="CN49" i="43"/>
  <c r="AT49" i="43"/>
  <c r="CU49" i="43"/>
  <c r="AK49" i="43"/>
  <c r="CH49" i="43"/>
  <c r="AN49" i="43"/>
  <c r="AN48" i="43" s="1"/>
  <c r="CS49" i="43"/>
  <c r="CC49" i="43"/>
  <c r="AM49" i="43"/>
  <c r="CR49" i="43"/>
  <c r="CR48" i="43" s="1"/>
  <c r="AX49" i="43"/>
  <c r="AH49" i="43"/>
  <c r="CI49" i="43"/>
  <c r="AO49" i="43"/>
  <c r="AO48" i="43" s="1"/>
  <c r="CT49" i="43"/>
  <c r="AJ49" i="43"/>
  <c r="AI49" i="43"/>
  <c r="CE49" i="43"/>
  <c r="Z47" i="29"/>
  <c r="Z6" i="30"/>
  <c r="Z54" i="29"/>
  <c r="Z68" i="29"/>
  <c r="Z9" i="30"/>
  <c r="Z43" i="29"/>
  <c r="Z28" i="30"/>
  <c r="Z69" i="29"/>
  <c r="Z55" i="29"/>
  <c r="Z24" i="30"/>
  <c r="C24" i="30" s="1"/>
  <c r="Z56" i="29"/>
  <c r="Z70" i="29"/>
  <c r="Z20" i="30"/>
  <c r="Z58" i="29"/>
  <c r="Z72" i="29"/>
  <c r="Z16" i="30"/>
  <c r="Z53" i="29"/>
  <c r="Z67" i="29"/>
  <c r="Z5" i="30"/>
  <c r="Z4" i="42"/>
  <c r="Z40" i="42" s="1"/>
  <c r="Z40" i="41"/>
  <c r="Z4" i="43"/>
  <c r="Z40" i="43" s="1"/>
  <c r="Z8" i="42"/>
  <c r="Z41" i="42" s="1"/>
  <c r="Z41" i="41"/>
  <c r="Z8" i="43"/>
  <c r="Z41" i="43" s="1"/>
  <c r="Z12" i="42"/>
  <c r="Z74" i="41"/>
  <c r="Z60" i="41"/>
  <c r="Z12" i="43"/>
  <c r="Z16" i="42"/>
  <c r="Z72" i="41"/>
  <c r="Z58" i="41"/>
  <c r="Z16" i="43"/>
  <c r="Z20" i="42"/>
  <c r="Z56" i="41"/>
  <c r="Z70" i="41"/>
  <c r="Z20" i="43"/>
  <c r="Z24" i="42"/>
  <c r="Z69" i="41"/>
  <c r="Z55" i="41"/>
  <c r="Z24" i="43"/>
  <c r="Z28" i="42"/>
  <c r="Z43" i="42" s="1"/>
  <c r="Z43" i="41"/>
  <c r="Z28" i="43"/>
  <c r="Z43" i="43" s="1"/>
  <c r="S47" i="29"/>
  <c r="S6" i="30"/>
  <c r="S43" i="29"/>
  <c r="S28" i="30"/>
  <c r="S55" i="29"/>
  <c r="S69" i="29"/>
  <c r="S24" i="30"/>
  <c r="S56" i="29"/>
  <c r="S70" i="29"/>
  <c r="S20" i="30"/>
  <c r="S58" i="29"/>
  <c r="S72" i="29"/>
  <c r="S16" i="30"/>
  <c r="S39" i="29"/>
  <c r="S11" i="30"/>
  <c r="S40" i="29"/>
  <c r="S4" i="30"/>
  <c r="S3" i="42"/>
  <c r="S32" i="42" s="1"/>
  <c r="S32" i="41"/>
  <c r="S3" i="43"/>
  <c r="S32" i="43" s="1"/>
  <c r="S7" i="42"/>
  <c r="S73" i="41"/>
  <c r="S59" i="41"/>
  <c r="S7" i="43"/>
  <c r="S11" i="42"/>
  <c r="S39" i="42" s="1"/>
  <c r="S39" i="41"/>
  <c r="S11" i="43"/>
  <c r="S39" i="43" s="1"/>
  <c r="S15" i="42"/>
  <c r="S44" i="42" s="1"/>
  <c r="S44" i="41"/>
  <c r="S15" i="43"/>
  <c r="S44" i="43" s="1"/>
  <c r="S19" i="42"/>
  <c r="S42" i="42" s="1"/>
  <c r="S42" i="41"/>
  <c r="S19" i="43"/>
  <c r="S42" i="43" s="1"/>
  <c r="S23" i="42"/>
  <c r="S49" i="42" s="1"/>
  <c r="S49" i="41"/>
  <c r="S23" i="43"/>
  <c r="S49" i="43" s="1"/>
  <c r="S27" i="42"/>
  <c r="S76" i="41"/>
  <c r="S62" i="41"/>
  <c r="S27" i="43"/>
  <c r="AR45" i="42"/>
  <c r="O47" i="29"/>
  <c r="O6" i="30"/>
  <c r="O62" i="29"/>
  <c r="O76" i="29"/>
  <c r="O27" i="30"/>
  <c r="O49" i="29"/>
  <c r="O23" i="30"/>
  <c r="O49" i="30" s="1"/>
  <c r="O42" i="29"/>
  <c r="O19" i="30"/>
  <c r="O44" i="29"/>
  <c r="O15" i="30"/>
  <c r="O44" i="30" s="1"/>
  <c r="O54" i="29"/>
  <c r="O68" i="29"/>
  <c r="O9" i="30"/>
  <c r="O32" i="29"/>
  <c r="O3" i="30"/>
  <c r="O4" i="42"/>
  <c r="O40" i="42" s="1"/>
  <c r="O40" i="41"/>
  <c r="O4" i="43"/>
  <c r="O40" i="43" s="1"/>
  <c r="O8" i="42"/>
  <c r="O41" i="42" s="1"/>
  <c r="O41" i="41"/>
  <c r="O8" i="43"/>
  <c r="O41" i="43" s="1"/>
  <c r="O12" i="42"/>
  <c r="O74" i="41"/>
  <c r="O60" i="41"/>
  <c r="O12" i="43"/>
  <c r="O16" i="42"/>
  <c r="O72" i="41"/>
  <c r="O58" i="41"/>
  <c r="O16" i="43"/>
  <c r="O20" i="42"/>
  <c r="O56" i="41"/>
  <c r="O70" i="41"/>
  <c r="O20" i="43"/>
  <c r="O24" i="42"/>
  <c r="O55" i="41"/>
  <c r="O69" i="41"/>
  <c r="O24" i="43"/>
  <c r="O28" i="42"/>
  <c r="O43" i="42" s="1"/>
  <c r="O43" i="41"/>
  <c r="O28" i="43"/>
  <c r="O43" i="43" s="1"/>
  <c r="AJ31" i="30"/>
  <c r="K59" i="29"/>
  <c r="K73" i="29"/>
  <c r="K7" i="30"/>
  <c r="K62" i="29"/>
  <c r="K76" i="29"/>
  <c r="K27" i="30"/>
  <c r="K49" i="29"/>
  <c r="K23" i="30"/>
  <c r="K42" i="29"/>
  <c r="K19" i="30"/>
  <c r="K44" i="29"/>
  <c r="K15" i="30"/>
  <c r="K46" i="29"/>
  <c r="K45" i="29" s="1"/>
  <c r="K10" i="30"/>
  <c r="K40" i="29"/>
  <c r="K4" i="30"/>
  <c r="K3" i="42"/>
  <c r="K32" i="42" s="1"/>
  <c r="K32" i="41"/>
  <c r="K3" i="43"/>
  <c r="K32" i="43" s="1"/>
  <c r="K7" i="42"/>
  <c r="K73" i="41"/>
  <c r="K59" i="41"/>
  <c r="K7" i="43"/>
  <c r="K11" i="42"/>
  <c r="K39" i="42" s="1"/>
  <c r="K39" i="41"/>
  <c r="K11" i="43"/>
  <c r="K39" i="43" s="1"/>
  <c r="K15" i="42"/>
  <c r="K44" i="42" s="1"/>
  <c r="K44" i="41"/>
  <c r="K15" i="43"/>
  <c r="K44" i="43" s="1"/>
  <c r="K19" i="42"/>
  <c r="K42" i="42" s="1"/>
  <c r="K42" i="41"/>
  <c r="K19" i="43"/>
  <c r="K42" i="43" s="1"/>
  <c r="K49" i="41"/>
  <c r="K23" i="42"/>
  <c r="K49" i="42" s="1"/>
  <c r="K23" i="43"/>
  <c r="K49" i="43" s="1"/>
  <c r="K27" i="42"/>
  <c r="K76" i="41"/>
  <c r="K62" i="41"/>
  <c r="K27" i="43"/>
  <c r="AJ45" i="42"/>
  <c r="AG31" i="43"/>
  <c r="H5" i="42"/>
  <c r="H67" i="41"/>
  <c r="H53" i="41"/>
  <c r="H5" i="43"/>
  <c r="H32" i="41"/>
  <c r="H3" i="42"/>
  <c r="H32" i="42" s="1"/>
  <c r="H3" i="43"/>
  <c r="H32" i="43" s="1"/>
  <c r="H9" i="42"/>
  <c r="H54" i="41"/>
  <c r="H68" i="41"/>
  <c r="H9" i="43"/>
  <c r="H15" i="42"/>
  <c r="H44" i="42" s="1"/>
  <c r="H44" i="41"/>
  <c r="H15" i="43"/>
  <c r="H44" i="43" s="1"/>
  <c r="H43" i="29"/>
  <c r="H28" i="30"/>
  <c r="H55" i="29"/>
  <c r="H69" i="29"/>
  <c r="H24" i="30"/>
  <c r="H56" i="29"/>
  <c r="H70" i="29"/>
  <c r="H20" i="30"/>
  <c r="H58" i="29"/>
  <c r="H72" i="29"/>
  <c r="H16" i="30"/>
  <c r="H60" i="29"/>
  <c r="H74" i="29"/>
  <c r="H12" i="30"/>
  <c r="H32" i="29"/>
  <c r="H3" i="30"/>
  <c r="H41" i="41"/>
  <c r="H8" i="42"/>
  <c r="H41" i="42" s="1"/>
  <c r="H8" i="43"/>
  <c r="H41" i="43" s="1"/>
  <c r="H16" i="42"/>
  <c r="H72" i="41"/>
  <c r="H58" i="41"/>
  <c r="H16" i="43"/>
  <c r="H24" i="42"/>
  <c r="H69" i="41"/>
  <c r="H55" i="41"/>
  <c r="H24" i="43"/>
  <c r="H40" i="29"/>
  <c r="H4" i="30"/>
  <c r="AC34" i="43"/>
  <c r="AB34" i="43" s="1"/>
  <c r="AW34" i="32" s="1"/>
  <c r="BA34" i="32" s="1"/>
  <c r="AB14" i="43"/>
  <c r="AW14" i="32" s="1"/>
  <c r="AC56" i="43"/>
  <c r="AB56" i="43" s="1"/>
  <c r="AW56" i="32" s="1"/>
  <c r="BA56" i="32" s="1"/>
  <c r="CA70" i="43"/>
  <c r="BZ70" i="43" s="1"/>
  <c r="DV70" i="38" s="1"/>
  <c r="EJ70" i="38" s="1"/>
  <c r="AB20" i="43"/>
  <c r="AW20" i="32" s="1"/>
  <c r="CA56" i="43"/>
  <c r="BZ56" i="43" s="1"/>
  <c r="DV56" i="38" s="1"/>
  <c r="EJ56" i="38" s="1"/>
  <c r="AC70" i="43"/>
  <c r="AB70" i="43" s="1"/>
  <c r="AW70" i="32" s="1"/>
  <c r="BA70" i="32" s="1"/>
  <c r="AC67" i="43"/>
  <c r="AB67" i="43" s="1"/>
  <c r="AW67" i="32" s="1"/>
  <c r="BA67" i="32" s="1"/>
  <c r="CA53" i="43"/>
  <c r="BZ53" i="43" s="1"/>
  <c r="DV53" i="38" s="1"/>
  <c r="EJ53" i="38" s="1"/>
  <c r="CA67" i="43"/>
  <c r="AC53" i="43"/>
  <c r="AB5" i="43"/>
  <c r="AW5" i="32" s="1"/>
  <c r="AC61" i="43"/>
  <c r="AB61" i="43" s="1"/>
  <c r="AW61" i="32" s="1"/>
  <c r="BA61" i="32" s="1"/>
  <c r="CA75" i="43"/>
  <c r="BZ75" i="43" s="1"/>
  <c r="DV75" i="38" s="1"/>
  <c r="EJ75" i="38" s="1"/>
  <c r="AB18" i="43"/>
  <c r="AW18" i="32" s="1"/>
  <c r="CA61" i="43"/>
  <c r="AC75" i="43"/>
  <c r="AB75" i="43" s="1"/>
  <c r="AW75" i="32" s="1"/>
  <c r="BA75" i="32" s="1"/>
  <c r="AC57" i="43"/>
  <c r="AB57" i="43" s="1"/>
  <c r="AW57" i="32" s="1"/>
  <c r="BA57" i="32" s="1"/>
  <c r="CA57" i="43"/>
  <c r="BZ57" i="43" s="1"/>
  <c r="DV57" i="38" s="1"/>
  <c r="EJ57" i="38" s="1"/>
  <c r="AC71" i="43"/>
  <c r="AB71" i="43" s="1"/>
  <c r="AW71" i="32" s="1"/>
  <c r="BA71" i="32" s="1"/>
  <c r="AB29" i="43"/>
  <c r="AW29" i="32" s="1"/>
  <c r="CA71" i="43"/>
  <c r="BZ71" i="43" s="1"/>
  <c r="DV71" i="38" s="1"/>
  <c r="EJ71" i="38" s="1"/>
  <c r="CA76" i="43"/>
  <c r="BZ76" i="43" s="1"/>
  <c r="DV76" i="38" s="1"/>
  <c r="EJ76" i="38" s="1"/>
  <c r="AB27" i="43"/>
  <c r="AW27" i="32" s="1"/>
  <c r="AC76" i="43"/>
  <c r="AB76" i="43" s="1"/>
  <c r="AW76" i="32" s="1"/>
  <c r="BA76" i="32" s="1"/>
  <c r="AC62" i="43"/>
  <c r="AB62" i="43" s="1"/>
  <c r="AW62" i="32" s="1"/>
  <c r="BA62" i="32" s="1"/>
  <c r="CA62" i="43"/>
  <c r="BZ62" i="43" s="1"/>
  <c r="DV62" i="38" s="1"/>
  <c r="EJ62" i="38" s="1"/>
  <c r="AB13" i="43"/>
  <c r="AW13" i="32" s="1"/>
  <c r="AC33" i="43"/>
  <c r="AB33" i="43" s="1"/>
  <c r="AW33" i="32" s="1"/>
  <c r="BA33" i="32" s="1"/>
  <c r="D38" i="29"/>
  <c r="C38" i="29" s="1"/>
  <c r="C2" i="29"/>
  <c r="D35" i="29"/>
  <c r="C30" i="29"/>
  <c r="D30" i="30"/>
  <c r="C30" i="30" s="1"/>
  <c r="D36" i="29"/>
  <c r="C26" i="29"/>
  <c r="D26" i="30"/>
  <c r="C26" i="30" s="1"/>
  <c r="D37" i="29"/>
  <c r="C37" i="29" s="1"/>
  <c r="C22" i="29"/>
  <c r="D22" i="30"/>
  <c r="D75" i="29"/>
  <c r="C75" i="29" s="1"/>
  <c r="D61" i="29"/>
  <c r="C61" i="29" s="1"/>
  <c r="C18" i="29"/>
  <c r="D18" i="30"/>
  <c r="D34" i="29"/>
  <c r="C34" i="29" s="1"/>
  <c r="C14" i="29"/>
  <c r="D14" i="30"/>
  <c r="C14" i="30" s="1"/>
  <c r="D59" i="29"/>
  <c r="D73" i="29"/>
  <c r="C7" i="29"/>
  <c r="D7" i="30"/>
  <c r="D38" i="41"/>
  <c r="C38" i="41" s="1"/>
  <c r="D2" i="42"/>
  <c r="C2" i="41"/>
  <c r="G2" i="32" s="1"/>
  <c r="G38" i="32" s="1"/>
  <c r="D2" i="43"/>
  <c r="D47" i="41"/>
  <c r="C47" i="41" s="1"/>
  <c r="D6" i="42"/>
  <c r="C6" i="41"/>
  <c r="G6" i="32" s="1"/>
  <c r="G47" i="32" s="1"/>
  <c r="D6" i="43"/>
  <c r="D10" i="42"/>
  <c r="D46" i="41"/>
  <c r="C10" i="41"/>
  <c r="G10" i="32" s="1"/>
  <c r="G46" i="32" s="1"/>
  <c r="G45" i="32" s="1"/>
  <c r="D10" i="43"/>
  <c r="D14" i="42"/>
  <c r="D34" i="41"/>
  <c r="C14" i="41"/>
  <c r="G14" i="32" s="1"/>
  <c r="G34" i="32" s="1"/>
  <c r="D14" i="43"/>
  <c r="D18" i="42"/>
  <c r="C18" i="41"/>
  <c r="G18" i="32" s="1"/>
  <c r="D61" i="41"/>
  <c r="C61" i="41" s="1"/>
  <c r="D75" i="41"/>
  <c r="C75" i="41" s="1"/>
  <c r="D18" i="43"/>
  <c r="D22" i="42"/>
  <c r="D37" i="41"/>
  <c r="C22" i="41"/>
  <c r="G22" i="32" s="1"/>
  <c r="G37" i="32" s="1"/>
  <c r="D22" i="43"/>
  <c r="D26" i="42"/>
  <c r="D36" i="41"/>
  <c r="C36" i="41" s="1"/>
  <c r="C26" i="41"/>
  <c r="G26" i="32" s="1"/>
  <c r="G36" i="32" s="1"/>
  <c r="D26" i="43"/>
  <c r="D30" i="42"/>
  <c r="D35" i="41"/>
  <c r="C35" i="41" s="1"/>
  <c r="C30" i="41"/>
  <c r="G30" i="32" s="1"/>
  <c r="G35" i="32" s="1"/>
  <c r="D30" i="43"/>
  <c r="AB12" i="42"/>
  <c r="L12" i="32" s="1"/>
  <c r="AB7" i="42"/>
  <c r="L7" i="32" s="1"/>
  <c r="AC44" i="42"/>
  <c r="AB44" i="42" s="1"/>
  <c r="L44" i="32" s="1"/>
  <c r="P44" i="32" s="1"/>
  <c r="AB15" i="42"/>
  <c r="L15" i="32" s="1"/>
  <c r="AC40" i="42"/>
  <c r="AB40" i="42" s="1"/>
  <c r="L40" i="32" s="1"/>
  <c r="P40" i="32" s="1"/>
  <c r="AB4" i="42"/>
  <c r="L4" i="32" s="1"/>
  <c r="AB21" i="42"/>
  <c r="L21" i="32" s="1"/>
  <c r="AB25" i="42"/>
  <c r="L25" i="32" s="1"/>
  <c r="AB29" i="42"/>
  <c r="L29" i="32" s="1"/>
  <c r="N35" i="32"/>
  <c r="Q35" i="32"/>
  <c r="N37" i="32"/>
  <c r="Q37" i="32"/>
  <c r="AJ72" i="32"/>
  <c r="AJ58" i="32"/>
  <c r="N36" i="32"/>
  <c r="Q36" i="32"/>
  <c r="N39" i="32"/>
  <c r="Q39" i="32"/>
  <c r="J64" i="32"/>
  <c r="J50" i="32"/>
  <c r="AL41" i="32"/>
  <c r="AN41" i="32"/>
  <c r="AL38" i="32"/>
  <c r="AN38" i="32"/>
  <c r="AJ73" i="32"/>
  <c r="AJ59" i="32"/>
  <c r="AU67" i="32"/>
  <c r="AU53" i="32"/>
  <c r="J74" i="32"/>
  <c r="J60" i="32"/>
  <c r="AN49" i="32"/>
  <c r="AL49" i="32"/>
  <c r="N43" i="32"/>
  <c r="Q43" i="32"/>
  <c r="AJ68" i="32"/>
  <c r="AJ54" i="32"/>
  <c r="AL44" i="32"/>
  <c r="AN44" i="32"/>
  <c r="AU70" i="32"/>
  <c r="AU56" i="32"/>
  <c r="J71" i="32"/>
  <c r="J57" i="32"/>
  <c r="D32" i="32"/>
  <c r="D59" i="32"/>
  <c r="D73" i="32"/>
  <c r="D39" i="32"/>
  <c r="D44" i="32"/>
  <c r="D42" i="32"/>
  <c r="D49" i="32"/>
  <c r="AP50" i="32"/>
  <c r="AP48" i="32" s="1"/>
  <c r="AP64" i="32"/>
  <c r="D71" i="32"/>
  <c r="D57" i="32"/>
  <c r="AG32" i="32"/>
  <c r="AI3" i="32"/>
  <c r="AG73" i="32"/>
  <c r="AI73" i="32" s="1"/>
  <c r="AG59" i="32"/>
  <c r="AI59" i="32" s="1"/>
  <c r="AI7" i="32"/>
  <c r="AG39" i="32"/>
  <c r="AI39" i="32" s="1"/>
  <c r="AI11" i="32"/>
  <c r="AI15" i="32"/>
  <c r="AG44" i="32"/>
  <c r="AI44" i="32" s="1"/>
  <c r="AG42" i="32"/>
  <c r="AI42" i="32" s="1"/>
  <c r="AI19" i="32"/>
  <c r="AG49" i="32"/>
  <c r="AI23" i="32"/>
  <c r="AG76" i="32"/>
  <c r="AI76" i="32" s="1"/>
  <c r="AG62" i="32"/>
  <c r="AI62" i="32" s="1"/>
  <c r="AI27" i="32"/>
  <c r="BI31" i="37"/>
  <c r="BI32" i="37"/>
  <c r="BF49" i="37"/>
  <c r="AZ73" i="37"/>
  <c r="BF73" i="37" s="1"/>
  <c r="AZ59" i="37"/>
  <c r="BF59" i="37" s="1"/>
  <c r="BC58" i="37"/>
  <c r="BI58" i="37" s="1"/>
  <c r="BC72" i="37"/>
  <c r="BI72" i="37" s="1"/>
  <c r="AZ71" i="37"/>
  <c r="BF71" i="37" s="1"/>
  <c r="AZ57" i="37"/>
  <c r="BF57" i="37" s="1"/>
  <c r="BF45" i="37"/>
  <c r="BF46" i="37"/>
  <c r="BI49" i="37"/>
  <c r="BI48" i="37"/>
  <c r="BC59" i="37"/>
  <c r="BI59" i="37" s="1"/>
  <c r="BC73" i="37"/>
  <c r="BI73" i="37" s="1"/>
  <c r="AZ72" i="37"/>
  <c r="BF72" i="37" s="1"/>
  <c r="AZ58" i="37"/>
  <c r="BF58" i="37" s="1"/>
  <c r="BC71" i="37"/>
  <c r="BI71" i="37" s="1"/>
  <c r="BC57" i="37"/>
  <c r="BI57" i="37" s="1"/>
  <c r="BI46" i="37"/>
  <c r="BI45" i="37"/>
  <c r="AZ55" i="16"/>
  <c r="BF55" i="16" s="1"/>
  <c r="AZ69" i="16"/>
  <c r="BF69" i="16" s="1"/>
  <c r="AZ72" i="16"/>
  <c r="BF72" i="16" s="1"/>
  <c r="AZ58" i="16"/>
  <c r="BF58" i="16" s="1"/>
  <c r="BC51" i="16"/>
  <c r="BI51" i="16" s="1"/>
  <c r="BC65" i="16"/>
  <c r="BI65" i="16" s="1"/>
  <c r="BC68" i="16"/>
  <c r="BI68" i="16" s="1"/>
  <c r="BC54" i="16"/>
  <c r="BI54" i="16" s="1"/>
  <c r="BC57" i="16"/>
  <c r="BI57" i="16" s="1"/>
  <c r="BC71" i="16"/>
  <c r="BI71" i="16" s="1"/>
  <c r="BI32" i="16"/>
  <c r="BI31" i="16"/>
  <c r="AZ64" i="16"/>
  <c r="AZ50" i="16"/>
  <c r="BF50" i="16" s="1"/>
  <c r="AZ56" i="16"/>
  <c r="BF56" i="16" s="1"/>
  <c r="AZ70" i="16"/>
  <c r="BF70" i="16" s="1"/>
  <c r="BI49" i="16"/>
  <c r="BI46" i="16"/>
  <c r="BI45" i="16"/>
  <c r="E62" i="37"/>
  <c r="E76" i="37"/>
  <c r="N50" i="37"/>
  <c r="N64" i="37"/>
  <c r="R52" i="37"/>
  <c r="R66" i="37"/>
  <c r="AI71" i="37"/>
  <c r="AI57" i="37"/>
  <c r="X50" i="37"/>
  <c r="X68" i="37"/>
  <c r="X54" i="37"/>
  <c r="AY74" i="37"/>
  <c r="BE74" i="37" s="1"/>
  <c r="AY60" i="37"/>
  <c r="BE60" i="37" s="1"/>
  <c r="AX29" i="37"/>
  <c r="AU29" i="37"/>
  <c r="AW29" i="37"/>
  <c r="AT29" i="37"/>
  <c r="R69" i="37"/>
  <c r="R55" i="37"/>
  <c r="Q65" i="37"/>
  <c r="Q51" i="37"/>
  <c r="P61" i="37"/>
  <c r="P75" i="37"/>
  <c r="Q59" i="37"/>
  <c r="Q73" i="37"/>
  <c r="O31" i="37"/>
  <c r="AI44" i="37"/>
  <c r="AJ44" i="37"/>
  <c r="I70" i="37"/>
  <c r="L70" i="37" s="1"/>
  <c r="I56" i="37"/>
  <c r="L56" i="37" s="1"/>
  <c r="Y71" i="37"/>
  <c r="Y57" i="37"/>
  <c r="Z72" i="37"/>
  <c r="Z58" i="37"/>
  <c r="X46" i="37"/>
  <c r="X45" i="37"/>
  <c r="AA32" i="37"/>
  <c r="AA31" i="37"/>
  <c r="BB53" i="37"/>
  <c r="BH53" i="37" s="1"/>
  <c r="BB67" i="37"/>
  <c r="BH67" i="37" s="1"/>
  <c r="BG49" i="37"/>
  <c r="BD65" i="37"/>
  <c r="BJ65" i="37" s="1"/>
  <c r="BD51" i="37"/>
  <c r="BJ51" i="37" s="1"/>
  <c r="BB72" i="37"/>
  <c r="BH72" i="37" s="1"/>
  <c r="BB58" i="37"/>
  <c r="BH58" i="37" s="1"/>
  <c r="E57" i="37"/>
  <c r="E71" i="37"/>
  <c r="F33" i="37"/>
  <c r="R76" i="37"/>
  <c r="R62" i="37"/>
  <c r="Q55" i="37"/>
  <c r="Q69" i="37"/>
  <c r="P65" i="37"/>
  <c r="P51" i="37"/>
  <c r="O75" i="37"/>
  <c r="O61" i="37"/>
  <c r="O59" i="37"/>
  <c r="O73" i="37"/>
  <c r="N31" i="37"/>
  <c r="AI72" i="37"/>
  <c r="AI58" i="37"/>
  <c r="AI43" i="37"/>
  <c r="AJ43" i="37"/>
  <c r="Z76" i="37"/>
  <c r="Z62" i="37"/>
  <c r="X51" i="37"/>
  <c r="X65" i="37"/>
  <c r="AH73" i="37"/>
  <c r="AJ73" i="37"/>
  <c r="AU31" i="30"/>
  <c r="V59" i="29"/>
  <c r="V73" i="29"/>
  <c r="V7" i="30"/>
  <c r="V76" i="29"/>
  <c r="V62" i="29"/>
  <c r="V27" i="30"/>
  <c r="V49" i="29"/>
  <c r="V23" i="30"/>
  <c r="V49" i="30" s="1"/>
  <c r="V42" i="29"/>
  <c r="V19" i="30"/>
  <c r="V44" i="29"/>
  <c r="V15" i="30"/>
  <c r="V44" i="30" s="1"/>
  <c r="V46" i="29"/>
  <c r="V10" i="30"/>
  <c r="V40" i="29"/>
  <c r="V4" i="30"/>
  <c r="V40" i="30" s="1"/>
  <c r="V4" i="42"/>
  <c r="V40" i="42" s="1"/>
  <c r="V40" i="41"/>
  <c r="V4" i="43"/>
  <c r="V40" i="43" s="1"/>
  <c r="V8" i="42"/>
  <c r="V41" i="42" s="1"/>
  <c r="V41" i="41"/>
  <c r="V8" i="43"/>
  <c r="V41" i="43" s="1"/>
  <c r="V12" i="42"/>
  <c r="V60" i="41"/>
  <c r="V74" i="41"/>
  <c r="V12" i="43"/>
  <c r="V16" i="42"/>
  <c r="V58" i="41"/>
  <c r="V72" i="41"/>
  <c r="V16" i="43"/>
  <c r="V20" i="42"/>
  <c r="V56" i="41"/>
  <c r="V70" i="41"/>
  <c r="V20" i="43"/>
  <c r="V24" i="42"/>
  <c r="V69" i="41"/>
  <c r="V55" i="41"/>
  <c r="V24" i="43"/>
  <c r="V28" i="42"/>
  <c r="V43" i="42" s="1"/>
  <c r="V43" i="41"/>
  <c r="V28" i="43"/>
  <c r="V43" i="43" s="1"/>
  <c r="AU45" i="42"/>
  <c r="N46" i="29"/>
  <c r="N10" i="30"/>
  <c r="N46" i="30" s="1"/>
  <c r="N62" i="29"/>
  <c r="N76" i="29"/>
  <c r="N27" i="30"/>
  <c r="N49" i="29"/>
  <c r="N23" i="30"/>
  <c r="N42" i="29"/>
  <c r="N19" i="30"/>
  <c r="N44" i="29"/>
  <c r="N15" i="30"/>
  <c r="N54" i="29"/>
  <c r="N68" i="29"/>
  <c r="N9" i="30"/>
  <c r="N40" i="29"/>
  <c r="N4" i="30"/>
  <c r="AM31" i="42"/>
  <c r="N5" i="42"/>
  <c r="N53" i="41"/>
  <c r="N67" i="41"/>
  <c r="N5" i="43"/>
  <c r="N9" i="42"/>
  <c r="N54" i="41"/>
  <c r="N68" i="41"/>
  <c r="N9" i="43"/>
  <c r="N13" i="42"/>
  <c r="N33" i="42" s="1"/>
  <c r="N33" i="41"/>
  <c r="N13" i="43"/>
  <c r="N33" i="43" s="1"/>
  <c r="N17" i="42"/>
  <c r="N66" i="41"/>
  <c r="N52" i="41"/>
  <c r="N17" i="43"/>
  <c r="N21" i="42"/>
  <c r="N65" i="41"/>
  <c r="N51" i="41"/>
  <c r="N21" i="43"/>
  <c r="N25" i="42"/>
  <c r="N50" i="41"/>
  <c r="N64" i="41"/>
  <c r="N25" i="43"/>
  <c r="N29" i="42"/>
  <c r="N57" i="41"/>
  <c r="N71" i="41"/>
  <c r="N29" i="43"/>
  <c r="CJ55" i="30"/>
  <c r="CJ69" i="30"/>
  <c r="CJ62" i="30"/>
  <c r="CJ76" i="30"/>
  <c r="CJ51" i="30"/>
  <c r="CJ65" i="30"/>
  <c r="CJ52" i="30"/>
  <c r="CJ66" i="30"/>
  <c r="CJ31" i="43"/>
  <c r="AL71" i="29"/>
  <c r="AL57" i="29"/>
  <c r="BK29" i="30"/>
  <c r="AL50" i="29"/>
  <c r="AL64" i="29"/>
  <c r="BK25" i="30"/>
  <c r="AL65" i="29"/>
  <c r="AL51" i="29"/>
  <c r="BK21" i="30"/>
  <c r="AL66" i="29"/>
  <c r="AL52" i="29"/>
  <c r="BK17" i="30"/>
  <c r="AL33" i="29"/>
  <c r="BK13" i="30"/>
  <c r="BK71" i="29"/>
  <c r="BK57" i="29"/>
  <c r="BK64" i="29"/>
  <c r="BK50" i="29"/>
  <c r="BK65" i="29"/>
  <c r="BK51" i="29"/>
  <c r="BK66" i="29"/>
  <c r="BK52" i="29"/>
  <c r="BK67" i="41"/>
  <c r="BK53" i="41"/>
  <c r="BK72" i="41"/>
  <c r="BK58" i="41"/>
  <c r="BK70" i="41"/>
  <c r="BK56" i="41"/>
  <c r="BK64" i="41"/>
  <c r="BK50" i="41"/>
  <c r="BK68" i="29"/>
  <c r="BK54" i="29"/>
  <c r="BK59" i="29"/>
  <c r="BK73" i="29"/>
  <c r="BK53" i="29"/>
  <c r="BK67" i="29"/>
  <c r="BK31" i="29"/>
  <c r="BK71" i="41"/>
  <c r="BK57" i="41"/>
  <c r="BK5" i="42"/>
  <c r="AL53" i="41"/>
  <c r="AL67" i="41"/>
  <c r="BK5" i="43"/>
  <c r="BK9" i="42"/>
  <c r="AL68" i="41"/>
  <c r="AL54" i="41"/>
  <c r="BK9" i="43"/>
  <c r="BK13" i="42"/>
  <c r="BK33" i="42" s="1"/>
  <c r="AL33" i="41"/>
  <c r="BK13" i="43"/>
  <c r="BK33" i="43" s="1"/>
  <c r="BK17" i="42"/>
  <c r="AL66" i="41"/>
  <c r="AL52" i="41"/>
  <c r="BK17" i="43"/>
  <c r="BK21" i="42"/>
  <c r="AL51" i="41"/>
  <c r="AL65" i="41"/>
  <c r="BK21" i="43"/>
  <c r="BK25" i="42"/>
  <c r="AL64" i="41"/>
  <c r="AL50" i="41"/>
  <c r="BK25" i="43"/>
  <c r="BK29" i="42"/>
  <c r="AL57" i="41"/>
  <c r="AL71" i="41"/>
  <c r="BK29" i="43"/>
  <c r="CJ73" i="42"/>
  <c r="CJ59" i="42"/>
  <c r="CJ48" i="42"/>
  <c r="CJ76" i="42"/>
  <c r="CJ62" i="42"/>
  <c r="K64" i="37"/>
  <c r="AH70" i="37"/>
  <c r="AE71" i="16"/>
  <c r="AJ70" i="16"/>
  <c r="AH70" i="16"/>
  <c r="D70" i="37"/>
  <c r="D56" i="37"/>
  <c r="AE24" i="37"/>
  <c r="AX45" i="43"/>
  <c r="Y33" i="29"/>
  <c r="Y13" i="30"/>
  <c r="Y33" i="30" s="1"/>
  <c r="Y35" i="29"/>
  <c r="Y30" i="30"/>
  <c r="Y37" i="29"/>
  <c r="Y22" i="30"/>
  <c r="Y37" i="30" s="1"/>
  <c r="Y34" i="29"/>
  <c r="Y14" i="30"/>
  <c r="Y39" i="29"/>
  <c r="Y11" i="30"/>
  <c r="Y39" i="30" s="1"/>
  <c r="Y59" i="29"/>
  <c r="Y73" i="29"/>
  <c r="Y7" i="30"/>
  <c r="Y32" i="29"/>
  <c r="Y3" i="30"/>
  <c r="Y4" i="42"/>
  <c r="Y40" i="42" s="1"/>
  <c r="Y40" i="41"/>
  <c r="Y4" i="43"/>
  <c r="Y40" i="43" s="1"/>
  <c r="Y8" i="42"/>
  <c r="Y41" i="42" s="1"/>
  <c r="Y41" i="41"/>
  <c r="Y8" i="43"/>
  <c r="Y41" i="43" s="1"/>
  <c r="Y12" i="42"/>
  <c r="Y60" i="41"/>
  <c r="Y74" i="41"/>
  <c r="Y12" i="43"/>
  <c r="Y16" i="42"/>
  <c r="Y72" i="41"/>
  <c r="Y58" i="41"/>
  <c r="Y16" i="43"/>
  <c r="Y20" i="42"/>
  <c r="Y70" i="41"/>
  <c r="Y56" i="41"/>
  <c r="Y20" i="43"/>
  <c r="Y24" i="42"/>
  <c r="Y55" i="41"/>
  <c r="Y69" i="41"/>
  <c r="Y24" i="43"/>
  <c r="Y28" i="42"/>
  <c r="Y43" i="42" s="1"/>
  <c r="Y43" i="41"/>
  <c r="Y28" i="43"/>
  <c r="Y43" i="43" s="1"/>
  <c r="AF31" i="30"/>
  <c r="G73" i="29"/>
  <c r="G59" i="29"/>
  <c r="G7" i="30"/>
  <c r="G43" i="29"/>
  <c r="G28" i="30"/>
  <c r="G55" i="29"/>
  <c r="G69" i="29"/>
  <c r="G24" i="30"/>
  <c r="G70" i="29"/>
  <c r="G56" i="29"/>
  <c r="G20" i="30"/>
  <c r="G72" i="29"/>
  <c r="G58" i="29"/>
  <c r="G16" i="30"/>
  <c r="G74" i="29"/>
  <c r="G60" i="29"/>
  <c r="G12" i="30"/>
  <c r="G40" i="29"/>
  <c r="G4" i="30"/>
  <c r="G3" i="42"/>
  <c r="G32" i="42" s="1"/>
  <c r="G32" i="41"/>
  <c r="G3" i="43"/>
  <c r="G32" i="43" s="1"/>
  <c r="G7" i="42"/>
  <c r="G59" i="41"/>
  <c r="G73" i="41"/>
  <c r="G7" i="43"/>
  <c r="G11" i="42"/>
  <c r="G39" i="42" s="1"/>
  <c r="G39" i="41"/>
  <c r="G11" i="43"/>
  <c r="G39" i="43" s="1"/>
  <c r="G15" i="42"/>
  <c r="G44" i="42" s="1"/>
  <c r="G44" i="41"/>
  <c r="G15" i="43"/>
  <c r="G44" i="43" s="1"/>
  <c r="G19" i="42"/>
  <c r="G42" i="42" s="1"/>
  <c r="G42" i="41"/>
  <c r="G19" i="43"/>
  <c r="G42" i="43" s="1"/>
  <c r="G49" i="41"/>
  <c r="G23" i="42"/>
  <c r="G49" i="42" s="1"/>
  <c r="G23" i="43"/>
  <c r="G49" i="43" s="1"/>
  <c r="G27" i="42"/>
  <c r="G62" i="41"/>
  <c r="G76" i="41"/>
  <c r="G27" i="43"/>
  <c r="AF45" i="42"/>
  <c r="CP32" i="38"/>
  <c r="DD3" i="38"/>
  <c r="DD12" i="38"/>
  <c r="CP60" i="38"/>
  <c r="CP74" i="38"/>
  <c r="DD16" i="38"/>
  <c r="CP72" i="38"/>
  <c r="CP58" i="38"/>
  <c r="DD14" i="38"/>
  <c r="CP34" i="38"/>
  <c r="EG33" i="38"/>
  <c r="EU33" i="38"/>
  <c r="CP46" i="38"/>
  <c r="DD10" i="38"/>
  <c r="EG46" i="38"/>
  <c r="EG45" i="38"/>
  <c r="DS64" i="38"/>
  <c r="DS50" i="38"/>
  <c r="EG38" i="38"/>
  <c r="EU38" i="38"/>
  <c r="DS60" i="38"/>
  <c r="DS74" i="38"/>
  <c r="DS76" i="38"/>
  <c r="DS62" i="38"/>
  <c r="CP65" i="38"/>
  <c r="DD21" i="38"/>
  <c r="CP51" i="38"/>
  <c r="DD8" i="38"/>
  <c r="CP41" i="38"/>
  <c r="CP36" i="38"/>
  <c r="DD26" i="38"/>
  <c r="CX13" i="18"/>
  <c r="AR13" i="18"/>
  <c r="CX6" i="18"/>
  <c r="AR6" i="18"/>
  <c r="CX22" i="18"/>
  <c r="CX37" i="18" s="1"/>
  <c r="AR22" i="18"/>
  <c r="CX19" i="18"/>
  <c r="AR19" i="18"/>
  <c r="CX9" i="18"/>
  <c r="AR9" i="18"/>
  <c r="CX7" i="18"/>
  <c r="AR7" i="18"/>
  <c r="CX12" i="18"/>
  <c r="AR12" i="18"/>
  <c r="CX28" i="18"/>
  <c r="AR28" i="18"/>
  <c r="O68" i="38"/>
  <c r="Z68" i="38" s="1"/>
  <c r="O54" i="38"/>
  <c r="Z54" i="38" s="1"/>
  <c r="AR12" i="38"/>
  <c r="D74" i="38"/>
  <c r="D60" i="38"/>
  <c r="CX12" i="38"/>
  <c r="BU65" i="38"/>
  <c r="CI65" i="38" s="1"/>
  <c r="BU51" i="38"/>
  <c r="CI51" i="38" s="1"/>
  <c r="EO45" i="38"/>
  <c r="EO46" i="38"/>
  <c r="CX30" i="38"/>
  <c r="D35" i="38"/>
  <c r="AR30" i="38"/>
  <c r="O62" i="38"/>
  <c r="Z62" i="38" s="1"/>
  <c r="O76" i="38"/>
  <c r="Z76" i="38" s="1"/>
  <c r="O74" i="38"/>
  <c r="Z74" i="38" s="1"/>
  <c r="O60" i="38"/>
  <c r="Z60" i="38" s="1"/>
  <c r="CI32" i="38"/>
  <c r="CI31" i="38"/>
  <c r="EA61" i="38"/>
  <c r="EO61" i="38" s="1"/>
  <c r="EA75" i="38"/>
  <c r="EO75" i="38" s="1"/>
  <c r="O67" i="38"/>
  <c r="Z67" i="38" s="1"/>
  <c r="O53" i="38"/>
  <c r="Z53" i="38" s="1"/>
  <c r="O55" i="38"/>
  <c r="Z55" i="38" s="1"/>
  <c r="O69" i="38"/>
  <c r="Z69" i="38" s="1"/>
  <c r="EO31" i="38"/>
  <c r="EO32" i="38"/>
  <c r="BU76" i="38"/>
  <c r="CI76" i="38" s="1"/>
  <c r="BU62" i="38"/>
  <c r="CI62" i="38" s="1"/>
  <c r="EA54" i="38"/>
  <c r="EO54" i="38" s="1"/>
  <c r="EA68" i="38"/>
  <c r="EO68" i="38" s="1"/>
  <c r="D33" i="38"/>
  <c r="AR13" i="38"/>
  <c r="CX13" i="38"/>
  <c r="BU66" i="38"/>
  <c r="CI66" i="38" s="1"/>
  <c r="BU52" i="38"/>
  <c r="CI52" i="38" s="1"/>
  <c r="CI49" i="38"/>
  <c r="BU50" i="38"/>
  <c r="CI50" i="38" s="1"/>
  <c r="BU64" i="38"/>
  <c r="CX22" i="38"/>
  <c r="D37" i="38"/>
  <c r="AR22" i="38"/>
  <c r="CR51" i="30"/>
  <c r="CR65" i="30"/>
  <c r="CR58" i="30"/>
  <c r="CR72" i="30"/>
  <c r="CR55" i="30"/>
  <c r="CR69" i="30"/>
  <c r="CR56" i="30"/>
  <c r="CR70" i="30"/>
  <c r="BS57" i="29"/>
  <c r="BS71" i="29"/>
  <c r="BS50" i="29"/>
  <c r="BS64" i="29"/>
  <c r="BS51" i="29"/>
  <c r="BS65" i="29"/>
  <c r="BS66" i="29"/>
  <c r="BS52" i="29"/>
  <c r="BS69" i="29"/>
  <c r="BS55" i="29"/>
  <c r="BS70" i="29"/>
  <c r="BS56" i="29"/>
  <c r="BS72" i="29"/>
  <c r="BS58" i="29"/>
  <c r="BS60" i="29"/>
  <c r="BS74" i="29"/>
  <c r="BS52" i="41"/>
  <c r="BS66" i="41"/>
  <c r="BS51" i="41"/>
  <c r="BS65" i="41"/>
  <c r="AT39" i="29"/>
  <c r="BS11" i="30"/>
  <c r="BS39" i="30" s="1"/>
  <c r="AT68" i="29"/>
  <c r="AT54" i="29"/>
  <c r="BS9" i="30"/>
  <c r="AT73" i="29"/>
  <c r="AT59" i="29"/>
  <c r="BS7" i="30"/>
  <c r="AT53" i="29"/>
  <c r="AT67" i="29"/>
  <c r="BS5" i="30"/>
  <c r="AT32" i="29"/>
  <c r="BS3" i="30"/>
  <c r="BS68" i="41"/>
  <c r="BS54" i="41"/>
  <c r="BS2" i="42"/>
  <c r="BS38" i="42" s="1"/>
  <c r="AT38" i="41"/>
  <c r="BS2" i="43"/>
  <c r="BS38" i="43" s="1"/>
  <c r="BS6" i="42"/>
  <c r="BS47" i="42" s="1"/>
  <c r="AT47" i="41"/>
  <c r="BS6" i="43"/>
  <c r="BS47" i="43" s="1"/>
  <c r="BS10" i="42"/>
  <c r="BS46" i="42" s="1"/>
  <c r="BS45" i="42" s="1"/>
  <c r="AT46" i="41"/>
  <c r="AT45" i="41" s="1"/>
  <c r="BS10" i="43"/>
  <c r="BS46" i="43" s="1"/>
  <c r="BS45" i="43" s="1"/>
  <c r="X51" i="32"/>
  <c r="AC51" i="32" s="1"/>
  <c r="X65" i="32"/>
  <c r="AC65" i="32" s="1"/>
  <c r="Z50" i="32"/>
  <c r="AE50" i="32" s="1"/>
  <c r="Z64" i="32"/>
  <c r="X53" i="32"/>
  <c r="AC53" i="32" s="1"/>
  <c r="X67" i="32"/>
  <c r="AC67" i="32" s="1"/>
  <c r="Z52" i="32"/>
  <c r="AE52" i="32" s="1"/>
  <c r="Z66" i="32"/>
  <c r="AE66" i="32" s="1"/>
  <c r="V76" i="32"/>
  <c r="V62" i="32"/>
  <c r="Y70" i="32"/>
  <c r="AD70" i="32" s="1"/>
  <c r="Y56" i="32"/>
  <c r="AD56" i="32" s="1"/>
  <c r="V31" i="32"/>
  <c r="X72" i="32"/>
  <c r="AC72" i="32" s="1"/>
  <c r="X58" i="32"/>
  <c r="AC58" i="32" s="1"/>
  <c r="S76" i="32"/>
  <c r="S62" i="32"/>
  <c r="Y64" i="32"/>
  <c r="Y50" i="32"/>
  <c r="AD50" i="32" s="1"/>
  <c r="Y74" i="32"/>
  <c r="AD74" i="32" s="1"/>
  <c r="Y60" i="32"/>
  <c r="AD60" i="32" s="1"/>
  <c r="T73" i="32"/>
  <c r="T59" i="32"/>
  <c r="W58" i="32"/>
  <c r="AB58" i="32" s="1"/>
  <c r="W72" i="32"/>
  <c r="AB72" i="32" s="1"/>
  <c r="V69" i="32"/>
  <c r="V55" i="32"/>
  <c r="X64" i="32"/>
  <c r="X50" i="32"/>
  <c r="AC50" i="32" s="1"/>
  <c r="T70" i="32"/>
  <c r="T56" i="32"/>
  <c r="AF32" i="32"/>
  <c r="AF31" i="32"/>
  <c r="T76" i="32"/>
  <c r="T62" i="32"/>
  <c r="E66" i="32"/>
  <c r="E52" i="32"/>
  <c r="E48" i="32" s="1"/>
  <c r="W54" i="32"/>
  <c r="AB54" i="32" s="1"/>
  <c r="W68" i="32"/>
  <c r="AB68" i="32" s="1"/>
  <c r="U50" i="32"/>
  <c r="U64" i="32"/>
  <c r="U63" i="32" s="1"/>
  <c r="W56" i="32"/>
  <c r="AB56" i="32" s="1"/>
  <c r="W70" i="32"/>
  <c r="AB70" i="32" s="1"/>
  <c r="AD46" i="32"/>
  <c r="AD45" i="32"/>
  <c r="Z67" i="32"/>
  <c r="AE67" i="32" s="1"/>
  <c r="Z53" i="32"/>
  <c r="AE53" i="32" s="1"/>
  <c r="AA69" i="32"/>
  <c r="AF69" i="32" s="1"/>
  <c r="AA55" i="32"/>
  <c r="AF55" i="32" s="1"/>
  <c r="V70" i="32"/>
  <c r="V56" i="32"/>
  <c r="Y68" i="32"/>
  <c r="AD68" i="32" s="1"/>
  <c r="Y54" i="32"/>
  <c r="AD54" i="32" s="1"/>
  <c r="O45" i="32"/>
  <c r="O46" i="32"/>
  <c r="W71" i="32"/>
  <c r="AB71" i="32" s="1"/>
  <c r="W57" i="32"/>
  <c r="AB57" i="32" s="1"/>
  <c r="E50" i="32"/>
  <c r="E64" i="32"/>
  <c r="Z61" i="32"/>
  <c r="AE61" i="32" s="1"/>
  <c r="Z75" i="32"/>
  <c r="AE75" i="32" s="1"/>
  <c r="W67" i="32"/>
  <c r="AB67" i="32" s="1"/>
  <c r="W53" i="32"/>
  <c r="AB53" i="32" s="1"/>
  <c r="R72" i="32"/>
  <c r="R58" i="32"/>
  <c r="T45" i="32"/>
  <c r="V67" i="32"/>
  <c r="V53" i="32"/>
  <c r="AA56" i="32"/>
  <c r="AF56" i="32" s="1"/>
  <c r="AA70" i="32"/>
  <c r="AF70" i="32" s="1"/>
  <c r="V72" i="32"/>
  <c r="V58" i="32"/>
  <c r="Y53" i="32"/>
  <c r="AD53" i="32" s="1"/>
  <c r="Y67" i="32"/>
  <c r="AD67" i="32" s="1"/>
  <c r="S71" i="32"/>
  <c r="S57" i="32"/>
  <c r="S48" i="32" s="1"/>
  <c r="E61" i="32"/>
  <c r="E75" i="32"/>
  <c r="AA73" i="32"/>
  <c r="AF73" i="32" s="1"/>
  <c r="AA59" i="32"/>
  <c r="AF59" i="32" s="1"/>
  <c r="V45" i="32"/>
  <c r="K67" i="32"/>
  <c r="O67" i="32" s="1"/>
  <c r="K53" i="32"/>
  <c r="O53" i="32" s="1"/>
  <c r="U71" i="32"/>
  <c r="U57" i="32"/>
  <c r="W69" i="32"/>
  <c r="AB69" i="32" s="1"/>
  <c r="W55" i="32"/>
  <c r="AB55" i="32" s="1"/>
  <c r="E70" i="32"/>
  <c r="E56" i="32"/>
  <c r="AC32" i="32"/>
  <c r="AC31" i="32"/>
  <c r="U70" i="32"/>
  <c r="U56" i="32"/>
  <c r="U48" i="32" s="1"/>
  <c r="S45" i="32"/>
  <c r="AK68" i="32"/>
  <c r="AM68" i="32" s="1"/>
  <c r="AK54" i="32"/>
  <c r="AM54" i="32" s="1"/>
  <c r="AK71" i="32"/>
  <c r="AM71" i="32" s="1"/>
  <c r="AK57" i="32"/>
  <c r="AM57" i="32" s="1"/>
  <c r="BE32" i="32"/>
  <c r="BE31" i="32"/>
  <c r="BD66" i="32"/>
  <c r="BE66" i="32" s="1"/>
  <c r="BD52" i="32"/>
  <c r="BE52" i="32" s="1"/>
  <c r="AN43" i="32"/>
  <c r="AM43" i="32"/>
  <c r="AI10" i="32"/>
  <c r="AH46" i="32"/>
  <c r="AH45" i="32" s="1"/>
  <c r="AH61" i="32"/>
  <c r="AH75" i="32"/>
  <c r="BC69" i="32"/>
  <c r="BC55" i="32"/>
  <c r="BC58" i="32"/>
  <c r="BC72" i="32"/>
  <c r="BD65" i="32"/>
  <c r="BE65" i="32" s="1"/>
  <c r="BD51" i="32"/>
  <c r="BE51" i="32" s="1"/>
  <c r="AH74" i="32"/>
  <c r="AH60" i="32"/>
  <c r="AH70" i="32"/>
  <c r="AH56" i="32"/>
  <c r="BC62" i="32"/>
  <c r="BC76" i="32"/>
  <c r="AM32" i="32"/>
  <c r="AM31" i="32"/>
  <c r="AK56" i="32"/>
  <c r="AM56" i="32" s="1"/>
  <c r="AK70" i="32"/>
  <c r="AM70" i="32" s="1"/>
  <c r="BD71" i="32"/>
  <c r="BE71" i="32" s="1"/>
  <c r="BD57" i="32"/>
  <c r="BE57" i="32" s="1"/>
  <c r="AH68" i="32"/>
  <c r="AH54" i="32"/>
  <c r="AH66" i="32"/>
  <c r="AI66" i="32" s="1"/>
  <c r="AH52" i="32"/>
  <c r="AI52" i="32" s="1"/>
  <c r="BC48" i="32"/>
  <c r="AM46" i="32"/>
  <c r="AM45" i="32"/>
  <c r="CU4" i="18"/>
  <c r="AO4" i="18"/>
  <c r="CU20" i="18"/>
  <c r="AO20" i="18"/>
  <c r="CU9" i="18"/>
  <c r="AO9" i="18"/>
  <c r="CU7" i="18"/>
  <c r="AO7" i="18"/>
  <c r="CU27" i="18"/>
  <c r="AO27" i="18"/>
  <c r="CU6" i="18"/>
  <c r="AO6" i="18"/>
  <c r="CU22" i="18"/>
  <c r="AO22" i="18"/>
  <c r="AB45" i="38"/>
  <c r="AB47" i="38"/>
  <c r="Q69" i="38"/>
  <c r="AB69" i="38" s="1"/>
  <c r="Q55" i="38"/>
  <c r="AB55" i="38" s="1"/>
  <c r="BR75" i="38"/>
  <c r="CF75" i="38" s="1"/>
  <c r="BR61" i="38"/>
  <c r="CF61" i="38" s="1"/>
  <c r="CU23" i="38"/>
  <c r="F49" i="38"/>
  <c r="F48" i="38" s="1"/>
  <c r="AO23" i="38"/>
  <c r="EL31" i="38"/>
  <c r="EL32" i="38"/>
  <c r="AO9" i="38"/>
  <c r="F54" i="38"/>
  <c r="CU9" i="38"/>
  <c r="F68" i="38"/>
  <c r="DX72" i="38"/>
  <c r="EL72" i="38" s="1"/>
  <c r="DX58" i="38"/>
  <c r="EL58" i="38" s="1"/>
  <c r="Q65" i="38"/>
  <c r="AB65" i="38" s="1"/>
  <c r="Q51" i="38"/>
  <c r="AB51" i="38" s="1"/>
  <c r="DX70" i="38"/>
  <c r="EL70" i="38" s="1"/>
  <c r="DX56" i="38"/>
  <c r="EL56" i="38" s="1"/>
  <c r="AB31" i="38"/>
  <c r="AB33" i="38"/>
  <c r="CU12" i="38"/>
  <c r="AO12" i="38"/>
  <c r="F74" i="38"/>
  <c r="F60" i="38"/>
  <c r="CU22" i="38"/>
  <c r="F37" i="38"/>
  <c r="AO22" i="38"/>
  <c r="Q73" i="38"/>
  <c r="AB73" i="38" s="1"/>
  <c r="Q59" i="38"/>
  <c r="AB59" i="38" s="1"/>
  <c r="Q72" i="38"/>
  <c r="AB72" i="38" s="1"/>
  <c r="Q58" i="38"/>
  <c r="AB58" i="38" s="1"/>
  <c r="DX53" i="38"/>
  <c r="EL53" i="38" s="1"/>
  <c r="DX67" i="38"/>
  <c r="EL67" i="38" s="1"/>
  <c r="CU18" i="38"/>
  <c r="F61" i="38"/>
  <c r="F75" i="38"/>
  <c r="AO18" i="38"/>
  <c r="F47" i="38"/>
  <c r="CU6" i="38"/>
  <c r="AO6" i="38"/>
  <c r="BR58" i="38"/>
  <c r="CF58" i="38" s="1"/>
  <c r="BR72" i="38"/>
  <c r="CF72" i="38" s="1"/>
  <c r="DX65" i="38"/>
  <c r="EL65" i="38" s="1"/>
  <c r="DX51" i="38"/>
  <c r="EL51" i="38" s="1"/>
  <c r="BR65" i="38"/>
  <c r="CF65" i="38" s="1"/>
  <c r="BR51" i="38"/>
  <c r="CF51" i="38" s="1"/>
  <c r="AO29" i="38"/>
  <c r="CU29" i="38"/>
  <c r="F71" i="38"/>
  <c r="F57" i="38"/>
  <c r="CQ57" i="30"/>
  <c r="CQ71" i="30"/>
  <c r="CQ50" i="30"/>
  <c r="CQ48" i="30" s="1"/>
  <c r="CQ64" i="30"/>
  <c r="CQ51" i="30"/>
  <c r="CQ65" i="30"/>
  <c r="CQ52" i="30"/>
  <c r="CQ66" i="30"/>
  <c r="CQ54" i="30"/>
  <c r="CQ68" i="30"/>
  <c r="CQ53" i="30"/>
  <c r="CQ67" i="30"/>
  <c r="CQ31" i="43"/>
  <c r="AS73" i="29"/>
  <c r="AS59" i="29"/>
  <c r="BR7" i="30"/>
  <c r="BQ45" i="29"/>
  <c r="AS35" i="29"/>
  <c r="BR30" i="30"/>
  <c r="BR35" i="30" s="1"/>
  <c r="AS43" i="29"/>
  <c r="BR28" i="30"/>
  <c r="AS36" i="29"/>
  <c r="BR26" i="30"/>
  <c r="BR36" i="30" s="1"/>
  <c r="AS55" i="29"/>
  <c r="AS69" i="29"/>
  <c r="BR24" i="30"/>
  <c r="AS37" i="29"/>
  <c r="BR22" i="30"/>
  <c r="AS70" i="29"/>
  <c r="AS56" i="29"/>
  <c r="BR20" i="30"/>
  <c r="AS61" i="29"/>
  <c r="AS75" i="29"/>
  <c r="BR18" i="30"/>
  <c r="AS58" i="29"/>
  <c r="AS72" i="29"/>
  <c r="BR16" i="30"/>
  <c r="AS34" i="29"/>
  <c r="BR14" i="30"/>
  <c r="BR54" i="29"/>
  <c r="BR68" i="29"/>
  <c r="BR67" i="29"/>
  <c r="BR53" i="29"/>
  <c r="BR69" i="41"/>
  <c r="BR55" i="41"/>
  <c r="BR71" i="41"/>
  <c r="BR57" i="41"/>
  <c r="BR5" i="42"/>
  <c r="AS67" i="41"/>
  <c r="AS53" i="41"/>
  <c r="BR5" i="43"/>
  <c r="BR9" i="42"/>
  <c r="AS68" i="41"/>
  <c r="AS54" i="41"/>
  <c r="BR9" i="43"/>
  <c r="BR13" i="42"/>
  <c r="BR33" i="42" s="1"/>
  <c r="AS33" i="41"/>
  <c r="BR13" i="43"/>
  <c r="BR33" i="43" s="1"/>
  <c r="BR17" i="42"/>
  <c r="AS52" i="41"/>
  <c r="AS66" i="41"/>
  <c r="BR17" i="43"/>
  <c r="BR21" i="42"/>
  <c r="AS65" i="41"/>
  <c r="AS51" i="41"/>
  <c r="BR21" i="43"/>
  <c r="BR25" i="42"/>
  <c r="AS64" i="41"/>
  <c r="AS50" i="41"/>
  <c r="BR25" i="43"/>
  <c r="BR29" i="42"/>
  <c r="AS71" i="41"/>
  <c r="AS57" i="41"/>
  <c r="BR29" i="43"/>
  <c r="BR67" i="41"/>
  <c r="BR53" i="41"/>
  <c r="CQ45" i="42"/>
  <c r="CQ75" i="42"/>
  <c r="CQ61" i="42"/>
  <c r="CB50" i="30"/>
  <c r="CB64" i="30"/>
  <c r="AD43" i="29"/>
  <c r="BC28" i="30"/>
  <c r="BC43" i="30" s="1"/>
  <c r="AD69" i="29"/>
  <c r="AD55" i="29"/>
  <c r="BC24" i="30"/>
  <c r="AD70" i="29"/>
  <c r="AD56" i="29"/>
  <c r="BC20" i="30"/>
  <c r="AD72" i="29"/>
  <c r="AD58" i="29"/>
  <c r="BC16" i="30"/>
  <c r="BC31" i="41"/>
  <c r="AD62" i="29"/>
  <c r="AD76" i="29"/>
  <c r="BC27" i="30"/>
  <c r="AD49" i="29"/>
  <c r="BC23" i="30"/>
  <c r="AD42" i="29"/>
  <c r="BC19" i="30"/>
  <c r="AD44" i="29"/>
  <c r="BC15" i="30"/>
  <c r="BC67" i="41"/>
  <c r="BC53" i="41"/>
  <c r="BC74" i="41"/>
  <c r="BC60" i="41"/>
  <c r="BC61" i="41"/>
  <c r="BC75" i="41"/>
  <c r="BC76" i="41"/>
  <c r="BC62" i="41"/>
  <c r="AD39" i="29"/>
  <c r="BC11" i="30"/>
  <c r="AD68" i="29"/>
  <c r="AD54" i="29"/>
  <c r="BC9" i="30"/>
  <c r="AD59" i="29"/>
  <c r="AD73" i="29"/>
  <c r="BC7" i="30"/>
  <c r="AD53" i="29"/>
  <c r="AD67" i="29"/>
  <c r="BC5" i="30"/>
  <c r="AD32" i="29"/>
  <c r="AD31" i="29" s="1"/>
  <c r="BC3" i="30"/>
  <c r="BC68" i="41"/>
  <c r="BC54" i="41"/>
  <c r="BC2" i="42"/>
  <c r="BC38" i="42" s="1"/>
  <c r="AD38" i="41"/>
  <c r="BC2" i="43"/>
  <c r="BC38" i="43" s="1"/>
  <c r="BC6" i="42"/>
  <c r="BC47" i="42" s="1"/>
  <c r="AD47" i="41"/>
  <c r="BC6" i="43"/>
  <c r="BC47" i="43" s="1"/>
  <c r="BC10" i="42"/>
  <c r="BC46" i="42" s="1"/>
  <c r="BC45" i="42" s="1"/>
  <c r="AD46" i="41"/>
  <c r="BC10" i="43"/>
  <c r="BC46" i="43" s="1"/>
  <c r="BC45" i="43" s="1"/>
  <c r="BC14" i="42"/>
  <c r="BC34" i="42" s="1"/>
  <c r="AD34" i="41"/>
  <c r="BC14" i="43"/>
  <c r="BC34" i="43" s="1"/>
  <c r="BC18" i="42"/>
  <c r="AD61" i="41"/>
  <c r="AD75" i="41"/>
  <c r="BC18" i="43"/>
  <c r="BC22" i="42"/>
  <c r="BC37" i="42" s="1"/>
  <c r="AD37" i="41"/>
  <c r="BC22" i="43"/>
  <c r="BC37" i="43" s="1"/>
  <c r="BC26" i="42"/>
  <c r="BC36" i="42" s="1"/>
  <c r="AD36" i="41"/>
  <c r="BC26" i="43"/>
  <c r="BC36" i="43" s="1"/>
  <c r="BC30" i="42"/>
  <c r="BC35" i="42" s="1"/>
  <c r="AD35" i="41"/>
  <c r="BC30" i="43"/>
  <c r="BC35" i="43" s="1"/>
  <c r="CB74" i="42"/>
  <c r="CB60" i="42"/>
  <c r="CB72" i="42"/>
  <c r="CB58" i="42"/>
  <c r="CB70" i="42"/>
  <c r="CB56" i="42"/>
  <c r="CB69" i="42"/>
  <c r="CB55" i="42"/>
  <c r="CB48" i="42" s="1"/>
  <c r="AE76" i="16"/>
  <c r="H70" i="16"/>
  <c r="K70" i="16" s="1"/>
  <c r="H56" i="16"/>
  <c r="K56" i="16" s="1"/>
  <c r="H60" i="16"/>
  <c r="K60" i="16" s="1"/>
  <c r="H74" i="16"/>
  <c r="K74" i="16" s="1"/>
  <c r="D65" i="37"/>
  <c r="D51" i="37"/>
  <c r="D67" i="37"/>
  <c r="D53" i="37"/>
  <c r="AE58" i="37"/>
  <c r="AH60" i="37"/>
  <c r="AJ60" i="37"/>
  <c r="K33" i="37"/>
  <c r="K31" i="37"/>
  <c r="E65" i="45"/>
  <c r="E63" i="45" s="1"/>
  <c r="C63" i="45"/>
  <c r="CJ74" i="43"/>
  <c r="AP74" i="43"/>
  <c r="CQ74" i="43"/>
  <c r="AQ74" i="43"/>
  <c r="CP74" i="43"/>
  <c r="AO74" i="43"/>
  <c r="CO74" i="43"/>
  <c r="AS74" i="43"/>
  <c r="CM74" i="43"/>
  <c r="AR74" i="43"/>
  <c r="CP60" i="43"/>
  <c r="AV60" i="43"/>
  <c r="AF60" i="43"/>
  <c r="CK60" i="43"/>
  <c r="AU60" i="43"/>
  <c r="AE60" i="43"/>
  <c r="CJ60" i="43"/>
  <c r="AP60" i="43"/>
  <c r="CQ60" i="43"/>
  <c r="AW60" i="43"/>
  <c r="AG60" i="43"/>
  <c r="CW74" i="43"/>
  <c r="CU74" i="43"/>
  <c r="CT74" i="43"/>
  <c r="CS74" i="43"/>
  <c r="CD60" i="43"/>
  <c r="AY60" i="43"/>
  <c r="AI60" i="43"/>
  <c r="CU60" i="43"/>
  <c r="AK60" i="43"/>
  <c r="CV74" i="43"/>
  <c r="CF74" i="43"/>
  <c r="AL74" i="43"/>
  <c r="CL74" i="43"/>
  <c r="AK74" i="43"/>
  <c r="CK74" i="43"/>
  <c r="AJ74" i="43"/>
  <c r="CI74" i="43"/>
  <c r="AN74" i="43"/>
  <c r="CH74" i="43"/>
  <c r="AM74" i="43"/>
  <c r="CL60" i="43"/>
  <c r="AR60" i="43"/>
  <c r="CW60" i="43"/>
  <c r="CG60" i="43"/>
  <c r="AQ60" i="43"/>
  <c r="CV60" i="43"/>
  <c r="CF60" i="43"/>
  <c r="AL60" i="43"/>
  <c r="CM60" i="43"/>
  <c r="AS60" i="43"/>
  <c r="AT74" i="43"/>
  <c r="AV74" i="43"/>
  <c r="AU74" i="43"/>
  <c r="AY74" i="43"/>
  <c r="AW74" i="43"/>
  <c r="AJ60" i="43"/>
  <c r="CO60" i="43"/>
  <c r="CN60" i="43"/>
  <c r="CE60" i="43"/>
  <c r="CR74" i="43"/>
  <c r="AX74" i="43"/>
  <c r="AH74" i="43"/>
  <c r="CG74" i="43"/>
  <c r="AF74" i="43"/>
  <c r="CE74" i="43"/>
  <c r="AE74" i="43"/>
  <c r="CD74" i="43"/>
  <c r="AI74" i="43"/>
  <c r="CC74" i="43"/>
  <c r="AG74" i="43"/>
  <c r="CH60" i="43"/>
  <c r="AN60" i="43"/>
  <c r="CS60" i="43"/>
  <c r="CC60" i="43"/>
  <c r="AM60" i="43"/>
  <c r="CR60" i="43"/>
  <c r="AX60" i="43"/>
  <c r="AH60" i="43"/>
  <c r="CI60" i="43"/>
  <c r="AO60" i="43"/>
  <c r="CN74" i="43"/>
  <c r="CT60" i="43"/>
  <c r="AT60" i="43"/>
  <c r="CT68" i="43"/>
  <c r="CD68" i="43"/>
  <c r="AJ68" i="43"/>
  <c r="CO68" i="43"/>
  <c r="AY68" i="43"/>
  <c r="AI68" i="43"/>
  <c r="CN68" i="43"/>
  <c r="AT68" i="43"/>
  <c r="CU68" i="43"/>
  <c r="CE68" i="43"/>
  <c r="AK68" i="43"/>
  <c r="CL54" i="43"/>
  <c r="AR54" i="43"/>
  <c r="CW54" i="43"/>
  <c r="CG54" i="43"/>
  <c r="AQ54" i="43"/>
  <c r="CV54" i="43"/>
  <c r="CF54" i="43"/>
  <c r="AL54" i="43"/>
  <c r="CM54" i="43"/>
  <c r="AS54" i="43"/>
  <c r="CP68" i="43"/>
  <c r="AV68" i="43"/>
  <c r="AF68" i="43"/>
  <c r="CK68" i="43"/>
  <c r="AU68" i="43"/>
  <c r="AE68" i="43"/>
  <c r="CJ68" i="43"/>
  <c r="AP68" i="43"/>
  <c r="CQ68" i="43"/>
  <c r="AW68" i="43"/>
  <c r="AG68" i="43"/>
  <c r="CH54" i="43"/>
  <c r="AN54" i="43"/>
  <c r="CS54" i="43"/>
  <c r="CC54" i="43"/>
  <c r="AM54" i="43"/>
  <c r="CR54" i="43"/>
  <c r="AX54" i="43"/>
  <c r="AH54" i="43"/>
  <c r="CI54" i="43"/>
  <c r="AO54" i="43"/>
  <c r="AN68" i="43"/>
  <c r="CC68" i="43"/>
  <c r="AM68" i="43"/>
  <c r="CR68" i="43"/>
  <c r="AH68" i="43"/>
  <c r="CI68" i="43"/>
  <c r="CP54" i="43"/>
  <c r="AF54" i="43"/>
  <c r="CK54" i="43"/>
  <c r="AU54" i="43"/>
  <c r="CJ54" i="43"/>
  <c r="CQ54" i="43"/>
  <c r="AW54" i="43"/>
  <c r="CL68" i="43"/>
  <c r="AR68" i="43"/>
  <c r="CW68" i="43"/>
  <c r="CG68" i="43"/>
  <c r="AQ68" i="43"/>
  <c r="CV68" i="43"/>
  <c r="CF68" i="43"/>
  <c r="AL68" i="43"/>
  <c r="CM68" i="43"/>
  <c r="AS68" i="43"/>
  <c r="CT54" i="43"/>
  <c r="CD54" i="43"/>
  <c r="AJ54" i="43"/>
  <c r="CO54" i="43"/>
  <c r="AY54" i="43"/>
  <c r="AI54" i="43"/>
  <c r="CN54" i="43"/>
  <c r="AT54" i="43"/>
  <c r="CU54" i="43"/>
  <c r="CE54" i="43"/>
  <c r="AK54" i="43"/>
  <c r="CH68" i="43"/>
  <c r="CS68" i="43"/>
  <c r="AX68" i="43"/>
  <c r="AO68" i="43"/>
  <c r="AV54" i="43"/>
  <c r="AE54" i="43"/>
  <c r="AP54" i="43"/>
  <c r="AG54" i="43"/>
  <c r="CR72" i="43"/>
  <c r="AX72" i="43"/>
  <c r="AH72" i="43"/>
  <c r="CG72" i="43"/>
  <c r="AF72" i="43"/>
  <c r="CE72" i="43"/>
  <c r="CI72" i="43"/>
  <c r="AN72" i="43"/>
  <c r="CH72" i="43"/>
  <c r="AM72" i="43"/>
  <c r="CP58" i="43"/>
  <c r="AV58" i="43"/>
  <c r="AF58" i="43"/>
  <c r="CO58" i="43"/>
  <c r="AY58" i="43"/>
  <c r="AI58" i="43"/>
  <c r="CR58" i="43"/>
  <c r="AX58" i="43"/>
  <c r="AH58" i="43"/>
  <c r="CI58" i="43"/>
  <c r="AO58" i="43"/>
  <c r="CN72" i="43"/>
  <c r="AT72" i="43"/>
  <c r="CW72" i="43"/>
  <c r="AV72" i="43"/>
  <c r="CU72" i="43"/>
  <c r="AU72" i="43"/>
  <c r="CD72" i="43"/>
  <c r="AI72" i="43"/>
  <c r="CC72" i="43"/>
  <c r="AG72" i="43"/>
  <c r="CL58" i="43"/>
  <c r="AR58" i="43"/>
  <c r="AJ72" i="43"/>
  <c r="CK58" i="43"/>
  <c r="AU58" i="43"/>
  <c r="AE58" i="43"/>
  <c r="CN58" i="43"/>
  <c r="AT58" i="43"/>
  <c r="CU58" i="43"/>
  <c r="CE58" i="43"/>
  <c r="AK58" i="43"/>
  <c r="CF72" i="43"/>
  <c r="AL72" i="43"/>
  <c r="AK72" i="43"/>
  <c r="CO72" i="43"/>
  <c r="CT58" i="43"/>
  <c r="CS58" i="43"/>
  <c r="AM58" i="43"/>
  <c r="CF58" i="43"/>
  <c r="CM58" i="43"/>
  <c r="CJ72" i="43"/>
  <c r="AP72" i="43"/>
  <c r="CQ72" i="43"/>
  <c r="AQ72" i="43"/>
  <c r="CP72" i="43"/>
  <c r="CT72" i="43"/>
  <c r="AY72" i="43"/>
  <c r="CS72" i="43"/>
  <c r="AW72" i="43"/>
  <c r="AO72" i="43"/>
  <c r="CH58" i="43"/>
  <c r="AN58" i="43"/>
  <c r="CW58" i="43"/>
  <c r="CG58" i="43"/>
  <c r="AQ58" i="43"/>
  <c r="AE72" i="43"/>
  <c r="CJ58" i="43"/>
  <c r="AP58" i="43"/>
  <c r="CQ58" i="43"/>
  <c r="AW58" i="43"/>
  <c r="AG58" i="43"/>
  <c r="CV72" i="43"/>
  <c r="CL72" i="43"/>
  <c r="CK72" i="43"/>
  <c r="AS72" i="43"/>
  <c r="CM72" i="43"/>
  <c r="AR72" i="43"/>
  <c r="CD58" i="43"/>
  <c r="AJ58" i="43"/>
  <c r="CC58" i="43"/>
  <c r="CV58" i="43"/>
  <c r="AL58" i="43"/>
  <c r="AS58" i="43"/>
  <c r="CH69" i="43"/>
  <c r="AN69" i="43"/>
  <c r="CS69" i="43"/>
  <c r="CC69" i="43"/>
  <c r="AM69" i="43"/>
  <c r="CR69" i="43"/>
  <c r="AX69" i="43"/>
  <c r="AH69" i="43"/>
  <c r="CI69" i="43"/>
  <c r="AO69" i="43"/>
  <c r="CP55" i="43"/>
  <c r="AV55" i="43"/>
  <c r="AF55" i="43"/>
  <c r="CK55" i="43"/>
  <c r="AU55" i="43"/>
  <c r="AE55" i="43"/>
  <c r="CJ55" i="43"/>
  <c r="AP55" i="43"/>
  <c r="CQ55" i="43"/>
  <c r="AW55" i="43"/>
  <c r="AG55" i="43"/>
  <c r="AR69" i="43"/>
  <c r="CG69" i="43"/>
  <c r="AQ69" i="43"/>
  <c r="AL69" i="43"/>
  <c r="AS69" i="43"/>
  <c r="CD55" i="43"/>
  <c r="AY55" i="43"/>
  <c r="CN55" i="43"/>
  <c r="CU55" i="43"/>
  <c r="CT69" i="43"/>
  <c r="CD69" i="43"/>
  <c r="AJ69" i="43"/>
  <c r="CO69" i="43"/>
  <c r="AY69" i="43"/>
  <c r="AI69" i="43"/>
  <c r="CN69" i="43"/>
  <c r="AT69" i="43"/>
  <c r="CU69" i="43"/>
  <c r="CE69" i="43"/>
  <c r="AK69" i="43"/>
  <c r="CL55" i="43"/>
  <c r="AR55" i="43"/>
  <c r="CW55" i="43"/>
  <c r="CG55" i="43"/>
  <c r="AQ55" i="43"/>
  <c r="CV55" i="43"/>
  <c r="CF55" i="43"/>
  <c r="AL55" i="43"/>
  <c r="CM55" i="43"/>
  <c r="AS55" i="43"/>
  <c r="CL69" i="43"/>
  <c r="CW69" i="43"/>
  <c r="CV69" i="43"/>
  <c r="CM69" i="43"/>
  <c r="CT55" i="43"/>
  <c r="AJ55" i="43"/>
  <c r="AI55" i="43"/>
  <c r="AT55" i="43"/>
  <c r="CE55" i="43"/>
  <c r="CP69" i="43"/>
  <c r="AV69" i="43"/>
  <c r="AF69" i="43"/>
  <c r="CK69" i="43"/>
  <c r="AU69" i="43"/>
  <c r="AE69" i="43"/>
  <c r="CJ69" i="43"/>
  <c r="AP69" i="43"/>
  <c r="CQ69" i="43"/>
  <c r="AW69" i="43"/>
  <c r="AG69" i="43"/>
  <c r="CH55" i="43"/>
  <c r="AN55" i="43"/>
  <c r="CS55" i="43"/>
  <c r="CC55" i="43"/>
  <c r="AM55" i="43"/>
  <c r="CR55" i="43"/>
  <c r="AX55" i="43"/>
  <c r="AH55" i="43"/>
  <c r="CI55" i="43"/>
  <c r="AO55" i="43"/>
  <c r="CF69" i="43"/>
  <c r="CO55" i="43"/>
  <c r="AK55" i="43"/>
  <c r="Z41" i="29"/>
  <c r="Z8" i="30"/>
  <c r="Z59" i="29"/>
  <c r="Z73" i="29"/>
  <c r="Z7" i="30"/>
  <c r="Z62" i="29"/>
  <c r="Z76" i="29"/>
  <c r="Z27" i="30"/>
  <c r="Z49" i="29"/>
  <c r="Z23" i="30"/>
  <c r="Z42" i="29"/>
  <c r="Z19" i="30"/>
  <c r="Z42" i="30" s="1"/>
  <c r="Z44" i="29"/>
  <c r="Z15" i="30"/>
  <c r="Z40" i="29"/>
  <c r="Z4" i="30"/>
  <c r="Z40" i="30" s="1"/>
  <c r="AY31" i="42"/>
  <c r="Z5" i="42"/>
  <c r="Z67" i="41"/>
  <c r="Z53" i="41"/>
  <c r="Z5" i="43"/>
  <c r="Z9" i="42"/>
  <c r="Z68" i="41"/>
  <c r="Z54" i="41"/>
  <c r="Z9" i="43"/>
  <c r="Z13" i="42"/>
  <c r="Z33" i="42" s="1"/>
  <c r="Z33" i="41"/>
  <c r="Z13" i="43"/>
  <c r="Z33" i="43" s="1"/>
  <c r="Z17" i="42"/>
  <c r="Z66" i="41"/>
  <c r="Z52" i="41"/>
  <c r="Z17" i="43"/>
  <c r="Z21" i="42"/>
  <c r="Z65" i="41"/>
  <c r="Z51" i="41"/>
  <c r="Z21" i="43"/>
  <c r="Z25" i="42"/>
  <c r="Z50" i="41"/>
  <c r="Z64" i="41"/>
  <c r="Z25" i="43"/>
  <c r="Z29" i="42"/>
  <c r="Z71" i="41"/>
  <c r="Z57" i="41"/>
  <c r="Z29" i="43"/>
  <c r="S60" i="29"/>
  <c r="S74" i="29"/>
  <c r="S12" i="30"/>
  <c r="S62" i="29"/>
  <c r="S76" i="29"/>
  <c r="S27" i="30"/>
  <c r="S49" i="29"/>
  <c r="S23" i="30"/>
  <c r="S49" i="30" s="1"/>
  <c r="S42" i="29"/>
  <c r="S19" i="30"/>
  <c r="S44" i="29"/>
  <c r="S15" i="30"/>
  <c r="S44" i="30" s="1"/>
  <c r="S54" i="29"/>
  <c r="S68" i="29"/>
  <c r="S9" i="30"/>
  <c r="S32" i="29"/>
  <c r="S31" i="29" s="1"/>
  <c r="S3" i="30"/>
  <c r="S4" i="42"/>
  <c r="S40" i="42" s="1"/>
  <c r="S40" i="41"/>
  <c r="S4" i="43"/>
  <c r="S40" i="43" s="1"/>
  <c r="S8" i="42"/>
  <c r="S41" i="42" s="1"/>
  <c r="S41" i="41"/>
  <c r="S8" i="43"/>
  <c r="S41" i="43" s="1"/>
  <c r="S12" i="42"/>
  <c r="S74" i="41"/>
  <c r="S60" i="41"/>
  <c r="S12" i="43"/>
  <c r="S16" i="42"/>
  <c r="S72" i="41"/>
  <c r="S58" i="41"/>
  <c r="S16" i="43"/>
  <c r="S20" i="42"/>
  <c r="S56" i="41"/>
  <c r="S70" i="41"/>
  <c r="S20" i="43"/>
  <c r="S24" i="42"/>
  <c r="S55" i="41"/>
  <c r="S69" i="41"/>
  <c r="S24" i="43"/>
  <c r="S43" i="41"/>
  <c r="S28" i="42"/>
  <c r="S43" i="42" s="1"/>
  <c r="S28" i="43"/>
  <c r="S43" i="43" s="1"/>
  <c r="AN31" i="43"/>
  <c r="O41" i="29"/>
  <c r="O8" i="30"/>
  <c r="O35" i="29"/>
  <c r="O30" i="30"/>
  <c r="O36" i="29"/>
  <c r="O26" i="30"/>
  <c r="O37" i="29"/>
  <c r="O22" i="30"/>
  <c r="O75" i="29"/>
  <c r="O61" i="29"/>
  <c r="O18" i="30"/>
  <c r="O34" i="29"/>
  <c r="O14" i="30"/>
  <c r="O59" i="29"/>
  <c r="O73" i="29"/>
  <c r="O7" i="30"/>
  <c r="O5" i="42"/>
  <c r="O53" i="41"/>
  <c r="O67" i="41"/>
  <c r="O5" i="43"/>
  <c r="O9" i="42"/>
  <c r="O54" i="41"/>
  <c r="O68" i="41"/>
  <c r="O9" i="43"/>
  <c r="O33" i="41"/>
  <c r="O13" i="42"/>
  <c r="O33" i="42" s="1"/>
  <c r="O13" i="43"/>
  <c r="O33" i="43" s="1"/>
  <c r="O17" i="42"/>
  <c r="O66" i="41"/>
  <c r="O52" i="41"/>
  <c r="O17" i="43"/>
  <c r="O21" i="42"/>
  <c r="O51" i="41"/>
  <c r="O65" i="41"/>
  <c r="O21" i="43"/>
  <c r="O25" i="42"/>
  <c r="O64" i="41"/>
  <c r="O63" i="41" s="1"/>
  <c r="O50" i="41"/>
  <c r="O25" i="43"/>
  <c r="O29" i="42"/>
  <c r="O71" i="41"/>
  <c r="O57" i="41"/>
  <c r="O29" i="43"/>
  <c r="AJ45" i="30"/>
  <c r="AJ31" i="43"/>
  <c r="AJ45" i="43"/>
  <c r="K35" i="29"/>
  <c r="K30" i="30"/>
  <c r="K36" i="29"/>
  <c r="K26" i="30"/>
  <c r="K37" i="29"/>
  <c r="K22" i="30"/>
  <c r="K61" i="29"/>
  <c r="K75" i="29"/>
  <c r="K18" i="30"/>
  <c r="K34" i="29"/>
  <c r="K14" i="30"/>
  <c r="K41" i="29"/>
  <c r="K8" i="30"/>
  <c r="K32" i="29"/>
  <c r="K3" i="30"/>
  <c r="K32" i="30" s="1"/>
  <c r="K4" i="42"/>
  <c r="K40" i="42" s="1"/>
  <c r="K40" i="41"/>
  <c r="K4" i="43"/>
  <c r="K40" i="43" s="1"/>
  <c r="K8" i="42"/>
  <c r="K41" i="42" s="1"/>
  <c r="K41" i="41"/>
  <c r="K8" i="43"/>
  <c r="K41" i="43" s="1"/>
  <c r="K12" i="42"/>
  <c r="K74" i="41"/>
  <c r="K60" i="41"/>
  <c r="K12" i="43"/>
  <c r="K16" i="42"/>
  <c r="K72" i="41"/>
  <c r="K58" i="41"/>
  <c r="K16" i="43"/>
  <c r="K20" i="42"/>
  <c r="K70" i="41"/>
  <c r="K56" i="41"/>
  <c r="K20" i="43"/>
  <c r="K24" i="42"/>
  <c r="K55" i="41"/>
  <c r="K69" i="41"/>
  <c r="K24" i="43"/>
  <c r="K28" i="42"/>
  <c r="K43" i="42" s="1"/>
  <c r="K43" i="41"/>
  <c r="K28" i="43"/>
  <c r="K43" i="43" s="1"/>
  <c r="AJ31" i="42"/>
  <c r="AG31" i="30"/>
  <c r="H33" i="41"/>
  <c r="H13" i="42"/>
  <c r="H33" i="42" s="1"/>
  <c r="H13" i="43"/>
  <c r="H33" i="43" s="1"/>
  <c r="H39" i="41"/>
  <c r="H11" i="42"/>
  <c r="H39" i="42" s="1"/>
  <c r="H11" i="43"/>
  <c r="H39" i="43" s="1"/>
  <c r="H17" i="42"/>
  <c r="H66" i="41"/>
  <c r="H52" i="41"/>
  <c r="H17" i="43"/>
  <c r="H49" i="41"/>
  <c r="H23" i="42"/>
  <c r="H49" i="42" s="1"/>
  <c r="H23" i="43"/>
  <c r="H49" i="43" s="1"/>
  <c r="H62" i="29"/>
  <c r="H76" i="29"/>
  <c r="H27" i="30"/>
  <c r="H49" i="29"/>
  <c r="H23" i="30"/>
  <c r="H42" i="29"/>
  <c r="H19" i="30"/>
  <c r="H44" i="29"/>
  <c r="H15" i="30"/>
  <c r="H46" i="29"/>
  <c r="H45" i="29" s="1"/>
  <c r="H10" i="30"/>
  <c r="H38" i="41"/>
  <c r="H2" i="42"/>
  <c r="H38" i="42" s="1"/>
  <c r="H2" i="43"/>
  <c r="H38" i="43" s="1"/>
  <c r="H10" i="42"/>
  <c r="H46" i="42" s="1"/>
  <c r="H46" i="41"/>
  <c r="H45" i="41" s="1"/>
  <c r="H10" i="43"/>
  <c r="H46" i="43" s="1"/>
  <c r="H18" i="42"/>
  <c r="H75" i="41"/>
  <c r="H61" i="41"/>
  <c r="H18" i="43"/>
  <c r="H26" i="42"/>
  <c r="H36" i="42" s="1"/>
  <c r="H36" i="41"/>
  <c r="H26" i="43"/>
  <c r="H36" i="43" s="1"/>
  <c r="H39" i="29"/>
  <c r="H11" i="30"/>
  <c r="AC32" i="43"/>
  <c r="AB3" i="43"/>
  <c r="AW3" i="32" s="1"/>
  <c r="AB28" i="43"/>
  <c r="AW28" i="32" s="1"/>
  <c r="AC43" i="43"/>
  <c r="AB43" i="43" s="1"/>
  <c r="AW43" i="32" s="1"/>
  <c r="BA43" i="32" s="1"/>
  <c r="AB9" i="43"/>
  <c r="AW9" i="32" s="1"/>
  <c r="AC54" i="43"/>
  <c r="AB54" i="43" s="1"/>
  <c r="AW54" i="32" s="1"/>
  <c r="BA54" i="32" s="1"/>
  <c r="CA68" i="43"/>
  <c r="BZ68" i="43" s="1"/>
  <c r="DV68" i="38" s="1"/>
  <c r="EJ68" i="38" s="1"/>
  <c r="CA54" i="43"/>
  <c r="AC68" i="43"/>
  <c r="AC49" i="43"/>
  <c r="CA49" i="43"/>
  <c r="AB23" i="43"/>
  <c r="AW23" i="32" s="1"/>
  <c r="AB10" i="43"/>
  <c r="AW10" i="32" s="1"/>
  <c r="AC46" i="43"/>
  <c r="AC41" i="43"/>
  <c r="AB41" i="43" s="1"/>
  <c r="AW41" i="32" s="1"/>
  <c r="BA41" i="32" s="1"/>
  <c r="AB8" i="43"/>
  <c r="AW8" i="32" s="1"/>
  <c r="AB6" i="43"/>
  <c r="AW6" i="32" s="1"/>
  <c r="AC47" i="43"/>
  <c r="AB47" i="43" s="1"/>
  <c r="C8" i="29"/>
  <c r="D41" i="29"/>
  <c r="C41" i="29" s="1"/>
  <c r="D8" i="30"/>
  <c r="D71" i="29"/>
  <c r="C71" i="29" s="1"/>
  <c r="D57" i="29"/>
  <c r="C57" i="29" s="1"/>
  <c r="C29" i="29"/>
  <c r="D29" i="30"/>
  <c r="C29" i="30" s="1"/>
  <c r="D50" i="29"/>
  <c r="C50" i="29" s="1"/>
  <c r="D64" i="29"/>
  <c r="C25" i="29"/>
  <c r="D25" i="30"/>
  <c r="C25" i="30" s="1"/>
  <c r="D65" i="29"/>
  <c r="C65" i="29" s="1"/>
  <c r="D51" i="29"/>
  <c r="C21" i="29"/>
  <c r="D21" i="30"/>
  <c r="D52" i="29"/>
  <c r="C52" i="29" s="1"/>
  <c r="D66" i="29"/>
  <c r="C66" i="29" s="1"/>
  <c r="C17" i="29"/>
  <c r="D17" i="30"/>
  <c r="D33" i="29"/>
  <c r="C33" i="29" s="1"/>
  <c r="C13" i="29"/>
  <c r="D13" i="30"/>
  <c r="C13" i="30" s="1"/>
  <c r="D47" i="29"/>
  <c r="C6" i="29"/>
  <c r="D6" i="30"/>
  <c r="C6" i="30" s="1"/>
  <c r="D32" i="41"/>
  <c r="D3" i="42"/>
  <c r="C3" i="41"/>
  <c r="G3" i="32" s="1"/>
  <c r="G32" i="32" s="1"/>
  <c r="G31" i="32" s="1"/>
  <c r="D3" i="43"/>
  <c r="C7" i="41"/>
  <c r="G7" i="32" s="1"/>
  <c r="D7" i="42"/>
  <c r="D73" i="41"/>
  <c r="C73" i="41" s="1"/>
  <c r="D59" i="41"/>
  <c r="D7" i="43"/>
  <c r="D39" i="41"/>
  <c r="C39" i="41" s="1"/>
  <c r="D11" i="42"/>
  <c r="C11" i="41"/>
  <c r="G11" i="32" s="1"/>
  <c r="G39" i="32" s="1"/>
  <c r="D11" i="43"/>
  <c r="D15" i="42"/>
  <c r="D44" i="41"/>
  <c r="C44" i="41" s="1"/>
  <c r="C15" i="41"/>
  <c r="G15" i="32" s="1"/>
  <c r="G44" i="32" s="1"/>
  <c r="D15" i="43"/>
  <c r="D19" i="42"/>
  <c r="D42" i="41"/>
  <c r="C42" i="41" s="1"/>
  <c r="C19" i="41"/>
  <c r="G19" i="32" s="1"/>
  <c r="G42" i="32" s="1"/>
  <c r="D19" i="43"/>
  <c r="D49" i="41"/>
  <c r="D23" i="42"/>
  <c r="C23" i="41"/>
  <c r="G23" i="32" s="1"/>
  <c r="G49" i="32" s="1"/>
  <c r="D23" i="43"/>
  <c r="D27" i="42"/>
  <c r="C27" i="41"/>
  <c r="G27" i="32" s="1"/>
  <c r="D62" i="41"/>
  <c r="C62" i="41" s="1"/>
  <c r="D76" i="41"/>
  <c r="D27" i="43"/>
  <c r="AC47" i="42"/>
  <c r="AB47" i="42" s="1"/>
  <c r="L47" i="32" s="1"/>
  <c r="P47" i="32" s="1"/>
  <c r="AB6" i="42"/>
  <c r="L6" i="32" s="1"/>
  <c r="AC34" i="42"/>
  <c r="AB34" i="42" s="1"/>
  <c r="L34" i="32" s="1"/>
  <c r="P34" i="32" s="1"/>
  <c r="AB14" i="42"/>
  <c r="L14" i="32" s="1"/>
  <c r="AB9" i="42"/>
  <c r="L9" i="32" s="1"/>
  <c r="AB17" i="42"/>
  <c r="L17" i="32" s="1"/>
  <c r="AB5" i="42"/>
  <c r="L5" i="32" s="1"/>
  <c r="AC37" i="42"/>
  <c r="AB37" i="42" s="1"/>
  <c r="L37" i="32" s="1"/>
  <c r="P37" i="32" s="1"/>
  <c r="AB22" i="42"/>
  <c r="L22" i="32" s="1"/>
  <c r="AC36" i="42"/>
  <c r="AB36" i="42" s="1"/>
  <c r="L36" i="32" s="1"/>
  <c r="P36" i="32" s="1"/>
  <c r="AB26" i="42"/>
  <c r="L26" i="32" s="1"/>
  <c r="AC35" i="42"/>
  <c r="AB35" i="42" s="1"/>
  <c r="L35" i="32" s="1"/>
  <c r="P35" i="32" s="1"/>
  <c r="AB30" i="42"/>
  <c r="L30" i="32" s="1"/>
  <c r="J68" i="32"/>
  <c r="J54" i="32"/>
  <c r="N40" i="32"/>
  <c r="Q40" i="32"/>
  <c r="J67" i="32"/>
  <c r="J53" i="32"/>
  <c r="AJ66" i="32"/>
  <c r="AJ52" i="32"/>
  <c r="N38" i="32"/>
  <c r="Q38" i="32"/>
  <c r="AJ74" i="32"/>
  <c r="AJ60" i="32"/>
  <c r="AL36" i="32"/>
  <c r="AN36" i="32"/>
  <c r="AU72" i="32"/>
  <c r="AU58" i="32"/>
  <c r="AN31" i="32"/>
  <c r="AN32" i="32"/>
  <c r="AL31" i="32"/>
  <c r="AL32" i="32"/>
  <c r="AU74" i="32"/>
  <c r="AU60" i="32"/>
  <c r="AJ70" i="32"/>
  <c r="AJ56" i="32"/>
  <c r="AN47" i="32"/>
  <c r="AL47" i="32"/>
  <c r="AL33" i="32"/>
  <c r="AN33" i="32"/>
  <c r="AJ57" i="32"/>
  <c r="AJ71" i="32"/>
  <c r="AU68" i="32"/>
  <c r="AU54" i="32"/>
  <c r="AU66" i="32"/>
  <c r="AU52" i="32"/>
  <c r="N49" i="32"/>
  <c r="J76" i="32"/>
  <c r="J62" i="32"/>
  <c r="D40" i="32"/>
  <c r="D41" i="32"/>
  <c r="D74" i="32"/>
  <c r="D60" i="32"/>
  <c r="D58" i="32"/>
  <c r="D72" i="32"/>
  <c r="D56" i="32"/>
  <c r="D70" i="32"/>
  <c r="AY49" i="32"/>
  <c r="D36" i="32"/>
  <c r="D35" i="32"/>
  <c r="AG40" i="32"/>
  <c r="AI40" i="32" s="1"/>
  <c r="AI4" i="32"/>
  <c r="AG41" i="32"/>
  <c r="AI41" i="32" s="1"/>
  <c r="AI8" i="32"/>
  <c r="AI12" i="32"/>
  <c r="AG74" i="32"/>
  <c r="AG60" i="32"/>
  <c r="AI60" i="32" s="1"/>
  <c r="AG58" i="32"/>
  <c r="AI16" i="32"/>
  <c r="AG72" i="32"/>
  <c r="AI72" i="32" s="1"/>
  <c r="AG70" i="32"/>
  <c r="AG56" i="32"/>
  <c r="AI20" i="32"/>
  <c r="AG69" i="32"/>
  <c r="AI69" i="32" s="1"/>
  <c r="AG55" i="32"/>
  <c r="AI24" i="32"/>
  <c r="AG43" i="32"/>
  <c r="AI43" i="32" s="1"/>
  <c r="AI28" i="32"/>
  <c r="BC74" i="37"/>
  <c r="BI74" i="37" s="1"/>
  <c r="BC60" i="37"/>
  <c r="BI60" i="37" s="1"/>
  <c r="AZ64" i="37"/>
  <c r="AZ50" i="37"/>
  <c r="BF50" i="37" s="1"/>
  <c r="AZ54" i="37"/>
  <c r="BF54" i="37" s="1"/>
  <c r="AZ68" i="37"/>
  <c r="BF68" i="37" s="1"/>
  <c r="AZ74" i="37"/>
  <c r="BF74" i="37" s="1"/>
  <c r="AZ60" i="37"/>
  <c r="BF60" i="37" s="1"/>
  <c r="BC64" i="37"/>
  <c r="BC50" i="37"/>
  <c r="BI50" i="37" s="1"/>
  <c r="BC68" i="37"/>
  <c r="BI68" i="37" s="1"/>
  <c r="BC54" i="37"/>
  <c r="BI54" i="37" s="1"/>
  <c r="BF31" i="37"/>
  <c r="BF32" i="37"/>
  <c r="BC70" i="16"/>
  <c r="BI70" i="16" s="1"/>
  <c r="BC56" i="16"/>
  <c r="BI56" i="16" s="1"/>
  <c r="BC74" i="16"/>
  <c r="BI74" i="16" s="1"/>
  <c r="BC60" i="16"/>
  <c r="BI60" i="16" s="1"/>
  <c r="AZ66" i="16"/>
  <c r="BF66" i="16" s="1"/>
  <c r="AZ52" i="16"/>
  <c r="BF52" i="16" s="1"/>
  <c r="AZ53" i="16"/>
  <c r="BF53" i="16" s="1"/>
  <c r="AZ67" i="16"/>
  <c r="BF67" i="16" s="1"/>
  <c r="BC66" i="16"/>
  <c r="BI66" i="16" s="1"/>
  <c r="BC52" i="16"/>
  <c r="BI52" i="16" s="1"/>
  <c r="BC72" i="16"/>
  <c r="BI72" i="16" s="1"/>
  <c r="BC58" i="16"/>
  <c r="BI58" i="16" s="1"/>
  <c r="AH72" i="37"/>
  <c r="AJ72" i="37"/>
  <c r="AJ59" i="16"/>
  <c r="AH59" i="16"/>
  <c r="H65" i="37"/>
  <c r="K65" i="37" s="1"/>
  <c r="H51" i="37"/>
  <c r="K51" i="37" s="1"/>
  <c r="BS14" i="42"/>
  <c r="BS34" i="42" s="1"/>
  <c r="AT34" i="41"/>
  <c r="BS14" i="43"/>
  <c r="BS34" i="43" s="1"/>
  <c r="BS18" i="42"/>
  <c r="AT61" i="41"/>
  <c r="AT75" i="41"/>
  <c r="BS18" i="43"/>
  <c r="BS22" i="42"/>
  <c r="BS37" i="42" s="1"/>
  <c r="AT37" i="41"/>
  <c r="BS22" i="43"/>
  <c r="BS37" i="43" s="1"/>
  <c r="BS26" i="42"/>
  <c r="BS36" i="42" s="1"/>
  <c r="AT36" i="41"/>
  <c r="BS26" i="43"/>
  <c r="BS36" i="43" s="1"/>
  <c r="BS30" i="42"/>
  <c r="BS35" i="42" s="1"/>
  <c r="AT35" i="41"/>
  <c r="BS30" i="43"/>
  <c r="BS35" i="43" s="1"/>
  <c r="CR74" i="42"/>
  <c r="CR60" i="42"/>
  <c r="CR72" i="42"/>
  <c r="CR58" i="42"/>
  <c r="CR70" i="42"/>
  <c r="CR56" i="42"/>
  <c r="CR69" i="42"/>
  <c r="CR55" i="42"/>
  <c r="CC57" i="30"/>
  <c r="CC71" i="30"/>
  <c r="CC50" i="30"/>
  <c r="CC64" i="30"/>
  <c r="CC51" i="30"/>
  <c r="CC48" i="30" s="1"/>
  <c r="CC65" i="30"/>
  <c r="CC52" i="30"/>
  <c r="CC66" i="30"/>
  <c r="CC54" i="30"/>
  <c r="CC68" i="30"/>
  <c r="CC53" i="30"/>
  <c r="CC67" i="30"/>
  <c r="AE60" i="29"/>
  <c r="AE74" i="29"/>
  <c r="BD12" i="30"/>
  <c r="AE41" i="29"/>
  <c r="BD8" i="30"/>
  <c r="BD41" i="30" s="1"/>
  <c r="BD71" i="41"/>
  <c r="BD57" i="41"/>
  <c r="AE35" i="29"/>
  <c r="BD30" i="30"/>
  <c r="BD35" i="30" s="1"/>
  <c r="AE43" i="29"/>
  <c r="BD28" i="30"/>
  <c r="AE36" i="29"/>
  <c r="BD26" i="30"/>
  <c r="BD36" i="30" s="1"/>
  <c r="AE55" i="29"/>
  <c r="AE69" i="29"/>
  <c r="BD24" i="30"/>
  <c r="AE37" i="29"/>
  <c r="BD22" i="30"/>
  <c r="AE56" i="29"/>
  <c r="AE70" i="29"/>
  <c r="BD20" i="30"/>
  <c r="AE75" i="29"/>
  <c r="AE61" i="29"/>
  <c r="BD18" i="30"/>
  <c r="AE58" i="29"/>
  <c r="AE72" i="29"/>
  <c r="BD16" i="30"/>
  <c r="AE34" i="29"/>
  <c r="BD14" i="30"/>
  <c r="BD34" i="30" s="1"/>
  <c r="AE39" i="29"/>
  <c r="BD11" i="30"/>
  <c r="AE59" i="29"/>
  <c r="AE73" i="29"/>
  <c r="BD7" i="30"/>
  <c r="BD53" i="29"/>
  <c r="BD67" i="29"/>
  <c r="BD72" i="41"/>
  <c r="BD58" i="41"/>
  <c r="BD56" i="41"/>
  <c r="BD70" i="41"/>
  <c r="BD64" i="41"/>
  <c r="BD50" i="41"/>
  <c r="CC53" i="42"/>
  <c r="CC67" i="42"/>
  <c r="CC60" i="42"/>
  <c r="CC74" i="42"/>
  <c r="BD2" i="42"/>
  <c r="BD38" i="42" s="1"/>
  <c r="AE38" i="41"/>
  <c r="BD2" i="43"/>
  <c r="BD38" i="43" s="1"/>
  <c r="BD6" i="42"/>
  <c r="BD47" i="42" s="1"/>
  <c r="AE47" i="41"/>
  <c r="BD6" i="43"/>
  <c r="BD47" i="43" s="1"/>
  <c r="BD10" i="42"/>
  <c r="BD46" i="42" s="1"/>
  <c r="BD45" i="42" s="1"/>
  <c r="AE46" i="41"/>
  <c r="BD10" i="43"/>
  <c r="BD46" i="43" s="1"/>
  <c r="BD45" i="43" s="1"/>
  <c r="BD14" i="42"/>
  <c r="BD34" i="42" s="1"/>
  <c r="AE34" i="41"/>
  <c r="BD14" i="43"/>
  <c r="BD34" i="43" s="1"/>
  <c r="BD18" i="42"/>
  <c r="AE75" i="41"/>
  <c r="AE61" i="41"/>
  <c r="BD18" i="43"/>
  <c r="BD22" i="42"/>
  <c r="BD37" i="42" s="1"/>
  <c r="AE37" i="41"/>
  <c r="BD22" i="43"/>
  <c r="BD37" i="43" s="1"/>
  <c r="BD26" i="42"/>
  <c r="BD36" i="42" s="1"/>
  <c r="AE36" i="41"/>
  <c r="BD26" i="43"/>
  <c r="BD36" i="43" s="1"/>
  <c r="BD30" i="42"/>
  <c r="BD35" i="42" s="1"/>
  <c r="AE35" i="41"/>
  <c r="BD30" i="43"/>
  <c r="BD35" i="43" s="1"/>
  <c r="AH51" i="16"/>
  <c r="AJ51" i="16"/>
  <c r="AH61" i="37"/>
  <c r="AJ61" i="37"/>
  <c r="AP31" i="43"/>
  <c r="Q34" i="29"/>
  <c r="Q14" i="30"/>
  <c r="Q71" i="29"/>
  <c r="Q57" i="29"/>
  <c r="Q29" i="30"/>
  <c r="Q65" i="29"/>
  <c r="Q51" i="29"/>
  <c r="Q21" i="30"/>
  <c r="Q33" i="29"/>
  <c r="Q13" i="30"/>
  <c r="Q39" i="29"/>
  <c r="Q11" i="30"/>
  <c r="Q59" i="29"/>
  <c r="Q73" i="29"/>
  <c r="Q7" i="30"/>
  <c r="Q32" i="29"/>
  <c r="Q3" i="30"/>
  <c r="Q32" i="30" s="1"/>
  <c r="Q4" i="42"/>
  <c r="Q40" i="42" s="1"/>
  <c r="Q40" i="41"/>
  <c r="Q4" i="43"/>
  <c r="Q40" i="43" s="1"/>
  <c r="Q8" i="42"/>
  <c r="Q41" i="42" s="1"/>
  <c r="Q41" i="41"/>
  <c r="Q8" i="43"/>
  <c r="Q41" i="43" s="1"/>
  <c r="Q12" i="42"/>
  <c r="Q60" i="41"/>
  <c r="Q74" i="41"/>
  <c r="Q12" i="43"/>
  <c r="Q16" i="42"/>
  <c r="Q72" i="41"/>
  <c r="Q58" i="41"/>
  <c r="Q16" i="43"/>
  <c r="Q20" i="42"/>
  <c r="Q70" i="41"/>
  <c r="Q56" i="41"/>
  <c r="Q20" i="43"/>
  <c r="Q24" i="42"/>
  <c r="Q55" i="41"/>
  <c r="Q69" i="41"/>
  <c r="Q24" i="43"/>
  <c r="Q28" i="42"/>
  <c r="Q43" i="42" s="1"/>
  <c r="Q43" i="41"/>
  <c r="Q28" i="43"/>
  <c r="Q43" i="43" s="1"/>
  <c r="AO68" i="32"/>
  <c r="AO54" i="32"/>
  <c r="AO66" i="32"/>
  <c r="AO52" i="32"/>
  <c r="AO38" i="32"/>
  <c r="AX40" i="32"/>
  <c r="BB40" i="32"/>
  <c r="AO33" i="32"/>
  <c r="AO37" i="32"/>
  <c r="AT66" i="32"/>
  <c r="AT52" i="32"/>
  <c r="AO39" i="32"/>
  <c r="AO69" i="32"/>
  <c r="AO55" i="32"/>
  <c r="AX39" i="32"/>
  <c r="BB39" i="32"/>
  <c r="AX43" i="32"/>
  <c r="BB43" i="32"/>
  <c r="AO74" i="32"/>
  <c r="AO60" i="32"/>
  <c r="AO36" i="32"/>
  <c r="AT64" i="32"/>
  <c r="AT50" i="32"/>
  <c r="CT71" i="30"/>
  <c r="CT57" i="30"/>
  <c r="CT50" i="30"/>
  <c r="CT48" i="30" s="1"/>
  <c r="CT64" i="30"/>
  <c r="CT65" i="30"/>
  <c r="CT51" i="30"/>
  <c r="CT52" i="30"/>
  <c r="CT66" i="30"/>
  <c r="CT54" i="30"/>
  <c r="CT68" i="30"/>
  <c r="CT67" i="30"/>
  <c r="CT53" i="30"/>
  <c r="CT31" i="43"/>
  <c r="AV60" i="29"/>
  <c r="AV74" i="29"/>
  <c r="BU12" i="30"/>
  <c r="BU58" i="41"/>
  <c r="BU72" i="41"/>
  <c r="BU59" i="29"/>
  <c r="BU73" i="29"/>
  <c r="AV35" i="29"/>
  <c r="BU30" i="30"/>
  <c r="AV43" i="29"/>
  <c r="BU28" i="30"/>
  <c r="AV36" i="29"/>
  <c r="BU26" i="30"/>
  <c r="AV69" i="29"/>
  <c r="AV55" i="29"/>
  <c r="BU24" i="30"/>
  <c r="AV37" i="29"/>
  <c r="BU22" i="30"/>
  <c r="BU37" i="30" s="1"/>
  <c r="AV56" i="29"/>
  <c r="AV70" i="29"/>
  <c r="BU20" i="30"/>
  <c r="AV75" i="29"/>
  <c r="AV61" i="29"/>
  <c r="BU18" i="30"/>
  <c r="AV72" i="29"/>
  <c r="AV58" i="29"/>
  <c r="BU16" i="30"/>
  <c r="AV34" i="29"/>
  <c r="BU14" i="30"/>
  <c r="AV39" i="29"/>
  <c r="BU11" i="30"/>
  <c r="AV59" i="29"/>
  <c r="AV73" i="29"/>
  <c r="BU7" i="30"/>
  <c r="BU69" i="41"/>
  <c r="BU55" i="41"/>
  <c r="AV40" i="29"/>
  <c r="BU4" i="30"/>
  <c r="BU40" i="30" s="1"/>
  <c r="BU3" i="42"/>
  <c r="BU32" i="42" s="1"/>
  <c r="AV32" i="41"/>
  <c r="BU3" i="43"/>
  <c r="BU32" i="43" s="1"/>
  <c r="BU7" i="42"/>
  <c r="AV73" i="41"/>
  <c r="AV59" i="41"/>
  <c r="BU7" i="43"/>
  <c r="BU11" i="42"/>
  <c r="BU39" i="42" s="1"/>
  <c r="AV39" i="41"/>
  <c r="BU11" i="43"/>
  <c r="BU39" i="43" s="1"/>
  <c r="BU15" i="42"/>
  <c r="BU44" i="42" s="1"/>
  <c r="AV44" i="41"/>
  <c r="BU15" i="43"/>
  <c r="BU44" i="43" s="1"/>
  <c r="BU19" i="42"/>
  <c r="BU42" i="42" s="1"/>
  <c r="AV42" i="41"/>
  <c r="BU19" i="43"/>
  <c r="BU42" i="43" s="1"/>
  <c r="BU23" i="42"/>
  <c r="BU49" i="42" s="1"/>
  <c r="AV49" i="41"/>
  <c r="BU23" i="43"/>
  <c r="BU49" i="43" s="1"/>
  <c r="BU27" i="42"/>
  <c r="AV62" i="41"/>
  <c r="AV76" i="41"/>
  <c r="BU27" i="43"/>
  <c r="CT61" i="42"/>
  <c r="CT75" i="42"/>
  <c r="CI62" i="30"/>
  <c r="CI76" i="30"/>
  <c r="CI59" i="30"/>
  <c r="CI73" i="30"/>
  <c r="AK60" i="29"/>
  <c r="AK74" i="29"/>
  <c r="BJ12" i="30"/>
  <c r="AK47" i="29"/>
  <c r="AK45" i="29" s="1"/>
  <c r="BJ6" i="30"/>
  <c r="AK71" i="29"/>
  <c r="AK57" i="29"/>
  <c r="BJ29" i="30"/>
  <c r="AK62" i="29"/>
  <c r="AK76" i="29"/>
  <c r="BJ27" i="30"/>
  <c r="AK50" i="29"/>
  <c r="AK64" i="29"/>
  <c r="BJ25" i="30"/>
  <c r="AK49" i="29"/>
  <c r="BJ23" i="30"/>
  <c r="AK65" i="29"/>
  <c r="AK51" i="29"/>
  <c r="BJ21" i="30"/>
  <c r="AK42" i="29"/>
  <c r="BJ19" i="30"/>
  <c r="AK52" i="29"/>
  <c r="AK66" i="29"/>
  <c r="BJ17" i="30"/>
  <c r="AK44" i="29"/>
  <c r="BJ15" i="30"/>
  <c r="BJ44" i="30" s="1"/>
  <c r="AK33" i="29"/>
  <c r="BJ13" i="30"/>
  <c r="BI45" i="29"/>
  <c r="AK32" i="29"/>
  <c r="BJ3" i="30"/>
  <c r="BJ52" i="41"/>
  <c r="BJ66" i="41"/>
  <c r="BJ65" i="41"/>
  <c r="BJ51" i="41"/>
  <c r="AK32" i="41"/>
  <c r="BJ3" i="42"/>
  <c r="BJ32" i="42" s="1"/>
  <c r="BJ3" i="43"/>
  <c r="BJ32" i="43" s="1"/>
  <c r="BJ7" i="42"/>
  <c r="AK73" i="41"/>
  <c r="AK59" i="41"/>
  <c r="BJ7" i="43"/>
  <c r="AK39" i="41"/>
  <c r="BJ11" i="42"/>
  <c r="BJ39" i="42" s="1"/>
  <c r="BJ11" i="43"/>
  <c r="BJ39" i="43" s="1"/>
  <c r="BJ15" i="42"/>
  <c r="BJ44" i="42" s="1"/>
  <c r="AK44" i="41"/>
  <c r="BJ15" i="43"/>
  <c r="BJ44" i="43" s="1"/>
  <c r="BJ19" i="42"/>
  <c r="BJ42" i="42" s="1"/>
  <c r="AK42" i="41"/>
  <c r="BJ19" i="43"/>
  <c r="BJ42" i="43" s="1"/>
  <c r="AK49" i="41"/>
  <c r="BJ23" i="42"/>
  <c r="BJ49" i="42" s="1"/>
  <c r="BJ23" i="43"/>
  <c r="BJ49" i="43" s="1"/>
  <c r="BJ27" i="42"/>
  <c r="AK62" i="41"/>
  <c r="AK76" i="41"/>
  <c r="BJ27" i="43"/>
  <c r="BJ31" i="41"/>
  <c r="BJ73" i="41"/>
  <c r="BJ59" i="41"/>
  <c r="CI74" i="42"/>
  <c r="CI60" i="42"/>
  <c r="CI70" i="42"/>
  <c r="CI56" i="42"/>
  <c r="CI69" i="42"/>
  <c r="CI55" i="42"/>
  <c r="D72" i="16"/>
  <c r="D58" i="16"/>
  <c r="AJ57" i="37"/>
  <c r="AH57" i="37"/>
  <c r="AE56" i="37"/>
  <c r="U49" i="29"/>
  <c r="U23" i="30"/>
  <c r="U44" i="29"/>
  <c r="U15" i="30"/>
  <c r="U36" i="29"/>
  <c r="U26" i="30"/>
  <c r="U61" i="29"/>
  <c r="U75" i="29"/>
  <c r="U18" i="30"/>
  <c r="U39" i="29"/>
  <c r="U11" i="30"/>
  <c r="U59" i="29"/>
  <c r="U73" i="29"/>
  <c r="U7" i="30"/>
  <c r="U32" i="29"/>
  <c r="U3" i="30"/>
  <c r="U4" i="42"/>
  <c r="U40" i="42" s="1"/>
  <c r="U40" i="41"/>
  <c r="U4" i="43"/>
  <c r="U40" i="43" s="1"/>
  <c r="U8" i="42"/>
  <c r="U41" i="42" s="1"/>
  <c r="U41" i="41"/>
  <c r="U8" i="43"/>
  <c r="U41" i="43" s="1"/>
  <c r="U12" i="42"/>
  <c r="U74" i="41"/>
  <c r="U60" i="41"/>
  <c r="U12" i="43"/>
  <c r="U16" i="42"/>
  <c r="U72" i="41"/>
  <c r="U58" i="41"/>
  <c r="U16" i="43"/>
  <c r="U20" i="42"/>
  <c r="U70" i="41"/>
  <c r="U56" i="41"/>
  <c r="U20" i="43"/>
  <c r="U24" i="42"/>
  <c r="U69" i="41"/>
  <c r="U55" i="41"/>
  <c r="U24" i="43"/>
  <c r="U28" i="42"/>
  <c r="U43" i="42" s="1"/>
  <c r="U43" i="41"/>
  <c r="U28" i="43"/>
  <c r="U43" i="43" s="1"/>
  <c r="AE31" i="30"/>
  <c r="F59" i="29"/>
  <c r="F73" i="29"/>
  <c r="F7" i="30"/>
  <c r="F76" i="29"/>
  <c r="F62" i="29"/>
  <c r="F27" i="30"/>
  <c r="F49" i="29"/>
  <c r="F23" i="30"/>
  <c r="F42" i="29"/>
  <c r="F19" i="30"/>
  <c r="F44" i="29"/>
  <c r="F15" i="30"/>
  <c r="F44" i="30" s="1"/>
  <c r="F46" i="29"/>
  <c r="F10" i="30"/>
  <c r="F40" i="29"/>
  <c r="F4" i="30"/>
  <c r="F40" i="30" s="1"/>
  <c r="F3" i="42"/>
  <c r="F32" i="42" s="1"/>
  <c r="F32" i="41"/>
  <c r="F3" i="43"/>
  <c r="F32" i="43" s="1"/>
  <c r="F7" i="42"/>
  <c r="F73" i="41"/>
  <c r="F59" i="41"/>
  <c r="F7" i="43"/>
  <c r="F11" i="42"/>
  <c r="F39" i="42" s="1"/>
  <c r="F39" i="41"/>
  <c r="F11" i="43"/>
  <c r="F39" i="43" s="1"/>
  <c r="F15" i="42"/>
  <c r="F44" i="42" s="1"/>
  <c r="F44" i="41"/>
  <c r="F15" i="43"/>
  <c r="F44" i="43" s="1"/>
  <c r="F19" i="42"/>
  <c r="F42" i="42" s="1"/>
  <c r="F42" i="41"/>
  <c r="F19" i="43"/>
  <c r="F42" i="43" s="1"/>
  <c r="F23" i="42"/>
  <c r="F49" i="42" s="1"/>
  <c r="F49" i="41"/>
  <c r="F23" i="43"/>
  <c r="F49" i="43" s="1"/>
  <c r="F27" i="42"/>
  <c r="F62" i="41"/>
  <c r="F76" i="41"/>
  <c r="F27" i="43"/>
  <c r="AE45" i="42"/>
  <c r="CY5" i="18"/>
  <c r="AS5" i="18"/>
  <c r="CY21" i="18"/>
  <c r="AS21" i="18"/>
  <c r="CY14" i="18"/>
  <c r="AS14" i="18"/>
  <c r="CY8" i="18"/>
  <c r="AS8" i="18"/>
  <c r="CY2" i="18"/>
  <c r="AS2" i="18"/>
  <c r="CY7" i="18"/>
  <c r="AS7" i="18"/>
  <c r="CY23" i="18"/>
  <c r="AS23" i="18"/>
  <c r="CJ46" i="38"/>
  <c r="CJ45" i="38"/>
  <c r="CY4" i="38"/>
  <c r="E40" i="38"/>
  <c r="AS4" i="38"/>
  <c r="CJ49" i="38"/>
  <c r="CY8" i="38"/>
  <c r="E41" i="38"/>
  <c r="AS8" i="38"/>
  <c r="CY22" i="38"/>
  <c r="E37" i="38"/>
  <c r="AS22" i="38"/>
  <c r="AA49" i="38"/>
  <c r="P73" i="38"/>
  <c r="AA73" i="38" s="1"/>
  <c r="P59" i="38"/>
  <c r="AA59" i="38" s="1"/>
  <c r="P58" i="38"/>
  <c r="AA58" i="38" s="1"/>
  <c r="P72" i="38"/>
  <c r="AA72" i="38" s="1"/>
  <c r="CY5" i="38"/>
  <c r="AS5" i="38"/>
  <c r="E53" i="38"/>
  <c r="E67" i="38"/>
  <c r="EP45" i="38"/>
  <c r="EP46" i="38"/>
  <c r="E43" i="38"/>
  <c r="CY28" i="38"/>
  <c r="AS28" i="38"/>
  <c r="BV67" i="38"/>
  <c r="CJ67" i="38" s="1"/>
  <c r="BV53" i="38"/>
  <c r="CJ53" i="38" s="1"/>
  <c r="EB72" i="38"/>
  <c r="EP72" i="38" s="1"/>
  <c r="EB58" i="38"/>
  <c r="EP58" i="38" s="1"/>
  <c r="EB56" i="38"/>
  <c r="EP56" i="38" s="1"/>
  <c r="EB70" i="38"/>
  <c r="EP70" i="38" s="1"/>
  <c r="BV69" i="38"/>
  <c r="CJ69" i="38" s="1"/>
  <c r="BV55" i="38"/>
  <c r="CJ55" i="38" s="1"/>
  <c r="EB65" i="38"/>
  <c r="EP65" i="38" s="1"/>
  <c r="EB51" i="38"/>
  <c r="EP51" i="38" s="1"/>
  <c r="BV71" i="38"/>
  <c r="CJ71" i="38" s="1"/>
  <c r="BV57" i="38"/>
  <c r="CJ57" i="38" s="1"/>
  <c r="AS16" i="38"/>
  <c r="CY16" i="38"/>
  <c r="E72" i="38"/>
  <c r="E58" i="38"/>
  <c r="BV70" i="38"/>
  <c r="CJ70" i="38" s="1"/>
  <c r="BV56" i="38"/>
  <c r="CJ56" i="38" s="1"/>
  <c r="BV62" i="38"/>
  <c r="CJ62" i="38" s="1"/>
  <c r="BV76" i="38"/>
  <c r="CJ76" i="38" s="1"/>
  <c r="EB69" i="38"/>
  <c r="EP69" i="38" s="1"/>
  <c r="EB55" i="38"/>
  <c r="EP55" i="38" s="1"/>
  <c r="E35" i="38"/>
  <c r="AS30" i="38"/>
  <c r="CY30" i="38"/>
  <c r="CF71" i="30"/>
  <c r="CF57" i="30"/>
  <c r="CF55" i="30"/>
  <c r="CF69" i="30"/>
  <c r="CF56" i="30"/>
  <c r="CF70" i="30"/>
  <c r="CF72" i="30"/>
  <c r="CF58" i="30"/>
  <c r="BG62" i="29"/>
  <c r="BG76" i="29"/>
  <c r="AH72" i="29"/>
  <c r="AH58" i="29"/>
  <c r="BG16" i="30"/>
  <c r="BG51" i="29"/>
  <c r="BG65" i="29"/>
  <c r="AH71" i="29"/>
  <c r="AH57" i="29"/>
  <c r="BG29" i="30"/>
  <c r="AH50" i="29"/>
  <c r="AH64" i="29"/>
  <c r="BG25" i="30"/>
  <c r="AH51" i="29"/>
  <c r="AH65" i="29"/>
  <c r="BG21" i="30"/>
  <c r="AH66" i="29"/>
  <c r="AH52" i="29"/>
  <c r="BG17" i="30"/>
  <c r="AH33" i="29"/>
  <c r="BG13" i="30"/>
  <c r="BG33" i="30" s="1"/>
  <c r="AH37" i="29"/>
  <c r="BG22" i="30"/>
  <c r="BG58" i="41"/>
  <c r="BG72" i="41"/>
  <c r="BG70" i="41"/>
  <c r="BG56" i="41"/>
  <c r="BG64" i="41"/>
  <c r="BG50" i="41"/>
  <c r="BG68" i="29"/>
  <c r="BG54" i="29"/>
  <c r="BG59" i="29"/>
  <c r="BG73" i="29"/>
  <c r="BG53" i="29"/>
  <c r="BG67" i="29"/>
  <c r="BG31" i="29"/>
  <c r="BG71" i="41"/>
  <c r="BG57" i="41"/>
  <c r="BG5" i="42"/>
  <c r="AH67" i="41"/>
  <c r="AH53" i="41"/>
  <c r="BG5" i="43"/>
  <c r="BG9" i="42"/>
  <c r="AH68" i="41"/>
  <c r="AH54" i="41"/>
  <c r="BG9" i="43"/>
  <c r="BG13" i="42"/>
  <c r="BG33" i="42" s="1"/>
  <c r="AH33" i="41"/>
  <c r="BG13" i="43"/>
  <c r="BG33" i="43" s="1"/>
  <c r="BG17" i="42"/>
  <c r="AH66" i="41"/>
  <c r="AH52" i="41"/>
  <c r="BG17" i="43"/>
  <c r="BG21" i="42"/>
  <c r="AH65" i="41"/>
  <c r="AH51" i="41"/>
  <c r="BG21" i="43"/>
  <c r="BG25" i="42"/>
  <c r="AH50" i="41"/>
  <c r="AH64" i="41"/>
  <c r="BG25" i="43"/>
  <c r="BG29" i="42"/>
  <c r="AH71" i="41"/>
  <c r="AH57" i="41"/>
  <c r="BG29" i="43"/>
  <c r="CF73" i="42"/>
  <c r="CF59" i="42"/>
  <c r="CF76" i="42"/>
  <c r="CF62" i="42"/>
  <c r="AN31" i="30"/>
  <c r="O60" i="29"/>
  <c r="O74" i="29"/>
  <c r="O12" i="30"/>
  <c r="O43" i="29"/>
  <c r="O28" i="30"/>
  <c r="O69" i="29"/>
  <c r="O55" i="29"/>
  <c r="O24" i="30"/>
  <c r="O56" i="29"/>
  <c r="O70" i="29"/>
  <c r="O20" i="30"/>
  <c r="O58" i="29"/>
  <c r="O72" i="29"/>
  <c r="O16" i="30"/>
  <c r="O39" i="29"/>
  <c r="O11" i="30"/>
  <c r="O40" i="29"/>
  <c r="O4" i="30"/>
  <c r="O3" i="42"/>
  <c r="O32" i="42" s="1"/>
  <c r="O31" i="42" s="1"/>
  <c r="O32" i="41"/>
  <c r="O3" i="43"/>
  <c r="O32" i="43" s="1"/>
  <c r="O7" i="42"/>
  <c r="O59" i="41"/>
  <c r="O73" i="41"/>
  <c r="O7" i="43"/>
  <c r="O11" i="42"/>
  <c r="O39" i="42" s="1"/>
  <c r="O39" i="41"/>
  <c r="O11" i="43"/>
  <c r="O39" i="43" s="1"/>
  <c r="O15" i="42"/>
  <c r="O44" i="42" s="1"/>
  <c r="O44" i="41"/>
  <c r="O15" i="43"/>
  <c r="O44" i="43" s="1"/>
  <c r="O42" i="41"/>
  <c r="O19" i="42"/>
  <c r="O42" i="42" s="1"/>
  <c r="O19" i="43"/>
  <c r="O42" i="43" s="1"/>
  <c r="O23" i="42"/>
  <c r="O49" i="42" s="1"/>
  <c r="O49" i="41"/>
  <c r="O23" i="43"/>
  <c r="O49" i="43" s="1"/>
  <c r="O27" i="42"/>
  <c r="O62" i="41"/>
  <c r="O76" i="41"/>
  <c r="O27" i="43"/>
  <c r="AN31" i="42"/>
  <c r="K54" i="29"/>
  <c r="K68" i="29"/>
  <c r="K9" i="30"/>
  <c r="K43" i="29"/>
  <c r="K28" i="30"/>
  <c r="K55" i="29"/>
  <c r="K69" i="29"/>
  <c r="K24" i="30"/>
  <c r="K56" i="29"/>
  <c r="K70" i="29"/>
  <c r="K20" i="30"/>
  <c r="K58" i="29"/>
  <c r="K72" i="29"/>
  <c r="K16" i="30"/>
  <c r="K60" i="29"/>
  <c r="K74" i="29"/>
  <c r="K12" i="30"/>
  <c r="K53" i="29"/>
  <c r="K67" i="29"/>
  <c r="K5" i="30"/>
  <c r="K2" i="42"/>
  <c r="K38" i="42" s="1"/>
  <c r="K38" i="41"/>
  <c r="K2" i="43"/>
  <c r="K38" i="43" s="1"/>
  <c r="K6" i="42"/>
  <c r="K47" i="42" s="1"/>
  <c r="K47" i="41"/>
  <c r="K6" i="43"/>
  <c r="K47" i="43" s="1"/>
  <c r="K10" i="42"/>
  <c r="K46" i="42" s="1"/>
  <c r="K46" i="41"/>
  <c r="K45" i="41" s="1"/>
  <c r="K10" i="43"/>
  <c r="K46" i="43" s="1"/>
  <c r="K14" i="42"/>
  <c r="K34" i="42" s="1"/>
  <c r="K34" i="41"/>
  <c r="K14" i="43"/>
  <c r="K34" i="43" s="1"/>
  <c r="K18" i="42"/>
  <c r="K61" i="41"/>
  <c r="K75" i="41"/>
  <c r="K18" i="43"/>
  <c r="K22" i="42"/>
  <c r="K37" i="42" s="1"/>
  <c r="K37" i="41"/>
  <c r="K22" i="43"/>
  <c r="K37" i="43" s="1"/>
  <c r="K26" i="42"/>
  <c r="K36" i="42" s="1"/>
  <c r="K36" i="41"/>
  <c r="K26" i="43"/>
  <c r="K36" i="43" s="1"/>
  <c r="K30" i="42"/>
  <c r="K35" i="42" s="1"/>
  <c r="K35" i="41"/>
  <c r="K30" i="43"/>
  <c r="K35" i="43" s="1"/>
  <c r="AG45" i="30"/>
  <c r="H47" i="29"/>
  <c r="H6" i="30"/>
  <c r="H47" i="30" s="1"/>
  <c r="H29" i="42"/>
  <c r="H57" i="41"/>
  <c r="H71" i="41"/>
  <c r="H29" i="43"/>
  <c r="H27" i="42"/>
  <c r="H76" i="41"/>
  <c r="H62" i="41"/>
  <c r="H27" i="43"/>
  <c r="H7" i="42"/>
  <c r="H59" i="41"/>
  <c r="H73" i="41"/>
  <c r="H7" i="43"/>
  <c r="H57" i="29"/>
  <c r="H71" i="29"/>
  <c r="H29" i="30"/>
  <c r="H64" i="29"/>
  <c r="H63" i="29" s="1"/>
  <c r="H50" i="29"/>
  <c r="H25" i="30"/>
  <c r="H65" i="29"/>
  <c r="H51" i="29"/>
  <c r="H21" i="30"/>
  <c r="H52" i="29"/>
  <c r="H66" i="29"/>
  <c r="H17" i="30"/>
  <c r="H33" i="29"/>
  <c r="H13" i="30"/>
  <c r="H67" i="29"/>
  <c r="H53" i="29"/>
  <c r="H5" i="30"/>
  <c r="H47" i="41"/>
  <c r="H6" i="42"/>
  <c r="H47" i="42" s="1"/>
  <c r="H45" i="42" s="1"/>
  <c r="H6" i="43"/>
  <c r="H47" i="43" s="1"/>
  <c r="H14" i="42"/>
  <c r="H34" i="42" s="1"/>
  <c r="H34" i="41"/>
  <c r="H14" i="43"/>
  <c r="H34" i="43" s="1"/>
  <c r="H22" i="42"/>
  <c r="H37" i="42" s="1"/>
  <c r="H37" i="41"/>
  <c r="H22" i="43"/>
  <c r="H37" i="43" s="1"/>
  <c r="H30" i="42"/>
  <c r="H35" i="42" s="1"/>
  <c r="H35" i="41"/>
  <c r="H30" i="43"/>
  <c r="H35" i="43" s="1"/>
  <c r="H59" i="29"/>
  <c r="H73" i="29"/>
  <c r="H7" i="30"/>
  <c r="AG31" i="42"/>
  <c r="AC58" i="43"/>
  <c r="CA72" i="43"/>
  <c r="AB16" i="43"/>
  <c r="AW16" i="32" s="1"/>
  <c r="CA58" i="43"/>
  <c r="AC72" i="43"/>
  <c r="AB72" i="43" s="1"/>
  <c r="AW72" i="32" s="1"/>
  <c r="BA72" i="32" s="1"/>
  <c r="CA74" i="43"/>
  <c r="AB12" i="43"/>
  <c r="AW12" i="32" s="1"/>
  <c r="AC74" i="43"/>
  <c r="AB74" i="43" s="1"/>
  <c r="AW74" i="32" s="1"/>
  <c r="BA74" i="32" s="1"/>
  <c r="AC60" i="43"/>
  <c r="AB60" i="43" s="1"/>
  <c r="AW60" i="32" s="1"/>
  <c r="BA60" i="32" s="1"/>
  <c r="CA60" i="43"/>
  <c r="AC42" i="43"/>
  <c r="AB42" i="43" s="1"/>
  <c r="AW42" i="32" s="1"/>
  <c r="BA42" i="32" s="1"/>
  <c r="AB19" i="43"/>
  <c r="AW19" i="32" s="1"/>
  <c r="AB22" i="43"/>
  <c r="AW22" i="32" s="1"/>
  <c r="AC37" i="43"/>
  <c r="AB37" i="43" s="1"/>
  <c r="AW37" i="32" s="1"/>
  <c r="BA37" i="32" s="1"/>
  <c r="CA69" i="43"/>
  <c r="BZ69" i="43" s="1"/>
  <c r="DV69" i="38" s="1"/>
  <c r="EJ69" i="38" s="1"/>
  <c r="AB24" i="43"/>
  <c r="AW24" i="32" s="1"/>
  <c r="AC69" i="43"/>
  <c r="AC55" i="43"/>
  <c r="CA55" i="43"/>
  <c r="BZ55" i="43" s="1"/>
  <c r="DV55" i="38" s="1"/>
  <c r="EJ55" i="38" s="1"/>
  <c r="AB11" i="43"/>
  <c r="AW11" i="32" s="1"/>
  <c r="AC39" i="43"/>
  <c r="AB39" i="43" s="1"/>
  <c r="AW39" i="32" s="1"/>
  <c r="BA39" i="32" s="1"/>
  <c r="AC73" i="43"/>
  <c r="AB73" i="43" s="1"/>
  <c r="AW73" i="32" s="1"/>
  <c r="BA73" i="32" s="1"/>
  <c r="CA73" i="43"/>
  <c r="BZ73" i="43" s="1"/>
  <c r="DV73" i="38" s="1"/>
  <c r="EJ73" i="38" s="1"/>
  <c r="CA59" i="43"/>
  <c r="BZ59" i="43" s="1"/>
  <c r="DV59" i="38" s="1"/>
  <c r="EJ59" i="38" s="1"/>
  <c r="AB7" i="43"/>
  <c r="AW7" i="32" s="1"/>
  <c r="AC59" i="43"/>
  <c r="AB59" i="43" s="1"/>
  <c r="AW59" i="32" s="1"/>
  <c r="BA59" i="32" s="1"/>
  <c r="D60" i="29"/>
  <c r="C60" i="29" s="1"/>
  <c r="D74" i="29"/>
  <c r="C74" i="29" s="1"/>
  <c r="C12" i="29"/>
  <c r="D12" i="30"/>
  <c r="C12" i="30" s="1"/>
  <c r="D40" i="29"/>
  <c r="C40" i="29" s="1"/>
  <c r="C4" i="29"/>
  <c r="D4" i="30"/>
  <c r="D62" i="29"/>
  <c r="D76" i="29"/>
  <c r="C76" i="29" s="1"/>
  <c r="C27" i="29"/>
  <c r="D27" i="30"/>
  <c r="D49" i="29"/>
  <c r="C23" i="29"/>
  <c r="D23" i="30"/>
  <c r="D42" i="29"/>
  <c r="C42" i="29" s="1"/>
  <c r="C19" i="29"/>
  <c r="D19" i="30"/>
  <c r="C19" i="30" s="1"/>
  <c r="D44" i="29"/>
  <c r="C44" i="29" s="1"/>
  <c r="C15" i="29"/>
  <c r="D15" i="30"/>
  <c r="D54" i="29"/>
  <c r="C54" i="29" s="1"/>
  <c r="D68" i="29"/>
  <c r="C9" i="29"/>
  <c r="D9" i="30"/>
  <c r="C9" i="30" s="1"/>
  <c r="D32" i="29"/>
  <c r="C3" i="29"/>
  <c r="D3" i="30"/>
  <c r="C3" i="30" s="1"/>
  <c r="D5" i="42"/>
  <c r="C5" i="41"/>
  <c r="G5" i="32" s="1"/>
  <c r="D67" i="41"/>
  <c r="C67" i="41" s="1"/>
  <c r="D53" i="41"/>
  <c r="D5" i="43"/>
  <c r="D9" i="42"/>
  <c r="D54" i="41"/>
  <c r="D68" i="41"/>
  <c r="C68" i="41" s="1"/>
  <c r="C9" i="41"/>
  <c r="G9" i="32" s="1"/>
  <c r="D9" i="43"/>
  <c r="D33" i="41"/>
  <c r="C33" i="41" s="1"/>
  <c r="D13" i="42"/>
  <c r="C13" i="41"/>
  <c r="G13" i="32" s="1"/>
  <c r="G33" i="32" s="1"/>
  <c r="D13" i="43"/>
  <c r="D17" i="42"/>
  <c r="C17" i="41"/>
  <c r="G17" i="32" s="1"/>
  <c r="D52" i="41"/>
  <c r="C52" i="41" s="1"/>
  <c r="D66" i="41"/>
  <c r="C66" i="41" s="1"/>
  <c r="D17" i="43"/>
  <c r="C21" i="41"/>
  <c r="G21" i="32" s="1"/>
  <c r="D21" i="42"/>
  <c r="D51" i="41"/>
  <c r="C51" i="41" s="1"/>
  <c r="D65" i="41"/>
  <c r="C65" i="41" s="1"/>
  <c r="D21" i="43"/>
  <c r="D25" i="42"/>
  <c r="C25" i="41"/>
  <c r="G25" i="32" s="1"/>
  <c r="D64" i="41"/>
  <c r="D50" i="41"/>
  <c r="C50" i="41" s="1"/>
  <c r="D25" i="43"/>
  <c r="D29" i="42"/>
  <c r="D71" i="41"/>
  <c r="C71" i="41" s="1"/>
  <c r="C29" i="41"/>
  <c r="G29" i="32" s="1"/>
  <c r="D57" i="41"/>
  <c r="C57" i="41" s="1"/>
  <c r="D29" i="43"/>
  <c r="AC46" i="42"/>
  <c r="AB10" i="42"/>
  <c r="L10" i="32" s="1"/>
  <c r="AB18" i="42"/>
  <c r="L18" i="32" s="1"/>
  <c r="AC33" i="42"/>
  <c r="AB33" i="42" s="1"/>
  <c r="L33" i="32" s="1"/>
  <c r="P33" i="32" s="1"/>
  <c r="AB13" i="42"/>
  <c r="L13" i="32" s="1"/>
  <c r="AC32" i="42"/>
  <c r="AB3" i="42"/>
  <c r="L3" i="32" s="1"/>
  <c r="AB20" i="42"/>
  <c r="L20" i="32" s="1"/>
  <c r="AB24" i="42"/>
  <c r="L24" i="32" s="1"/>
  <c r="AC43" i="42"/>
  <c r="AB43" i="42" s="1"/>
  <c r="L43" i="32" s="1"/>
  <c r="P43" i="32" s="1"/>
  <c r="AB28" i="42"/>
  <c r="L28" i="32" s="1"/>
  <c r="J65" i="32"/>
  <c r="J51" i="32"/>
  <c r="AN42" i="32"/>
  <c r="AL42" i="32"/>
  <c r="AL37" i="32"/>
  <c r="AN37" i="32"/>
  <c r="AN46" i="32"/>
  <c r="AL45" i="32"/>
  <c r="AL46" i="32"/>
  <c r="AU65" i="32"/>
  <c r="AU51" i="32"/>
  <c r="N32" i="32"/>
  <c r="N31" i="32"/>
  <c r="N44" i="32"/>
  <c r="Q44" i="32"/>
  <c r="AU64" i="32"/>
  <c r="AU50" i="32"/>
  <c r="AJ75" i="32"/>
  <c r="AJ61" i="32"/>
  <c r="AJ64" i="32"/>
  <c r="AJ50" i="32"/>
  <c r="N45" i="32"/>
  <c r="N46" i="32"/>
  <c r="J66" i="32"/>
  <c r="J52" i="32"/>
  <c r="N48" i="32" s="1"/>
  <c r="AU76" i="32"/>
  <c r="AU62" i="32"/>
  <c r="N47" i="32"/>
  <c r="Q47" i="32"/>
  <c r="N34" i="32"/>
  <c r="Q34" i="32"/>
  <c r="AU75" i="32"/>
  <c r="AU61" i="32"/>
  <c r="AU69" i="32"/>
  <c r="AU55" i="32"/>
  <c r="D38" i="32"/>
  <c r="D47" i="32"/>
  <c r="D46" i="32"/>
  <c r="D34" i="32"/>
  <c r="D75" i="32"/>
  <c r="D61" i="32"/>
  <c r="D37" i="32"/>
  <c r="D64" i="32"/>
  <c r="D50" i="32"/>
  <c r="D43" i="32"/>
  <c r="AG38" i="32"/>
  <c r="AI38" i="32" s="1"/>
  <c r="AI2" i="32"/>
  <c r="AI6" i="32"/>
  <c r="AG47" i="32"/>
  <c r="AI47" i="32" s="1"/>
  <c r="AI46" i="32"/>
  <c r="AG75" i="32"/>
  <c r="AI75" i="32" s="1"/>
  <c r="AG61" i="32"/>
  <c r="AI18" i="32"/>
  <c r="AI37" i="32"/>
  <c r="AI26" i="32"/>
  <c r="AG36" i="32"/>
  <c r="AI36" i="32" s="1"/>
  <c r="AG35" i="32"/>
  <c r="AI35" i="32" s="1"/>
  <c r="AI30" i="32"/>
  <c r="AZ62" i="37"/>
  <c r="BF62" i="37" s="1"/>
  <c r="AZ76" i="37"/>
  <c r="BF76" i="37" s="1"/>
  <c r="BC70" i="37"/>
  <c r="BI70" i="37" s="1"/>
  <c r="BC56" i="37"/>
  <c r="BI56" i="37" s="1"/>
  <c r="AZ66" i="37"/>
  <c r="BF66" i="37" s="1"/>
  <c r="AZ52" i="37"/>
  <c r="BF52" i="37" s="1"/>
  <c r="BC76" i="37"/>
  <c r="BI76" i="37" s="1"/>
  <c r="BC62" i="37"/>
  <c r="BI62" i="37" s="1"/>
  <c r="AZ70" i="37"/>
  <c r="BF70" i="37" s="1"/>
  <c r="AZ56" i="37"/>
  <c r="BF56" i="37" s="1"/>
  <c r="BC66" i="37"/>
  <c r="BI66" i="37" s="1"/>
  <c r="BC52" i="37"/>
  <c r="BI52" i="37" s="1"/>
  <c r="BC75" i="16"/>
  <c r="BI75" i="16" s="1"/>
  <c r="BC61" i="16"/>
  <c r="BI61" i="16" s="1"/>
  <c r="BF32" i="16"/>
  <c r="BF31" i="16"/>
  <c r="BC67" i="16"/>
  <c r="BI67" i="16" s="1"/>
  <c r="BC53" i="16"/>
  <c r="BI53" i="16" s="1"/>
  <c r="BF49" i="16"/>
  <c r="BC59" i="16"/>
  <c r="BI59" i="16" s="1"/>
  <c r="BC73" i="16"/>
  <c r="BI73" i="16" s="1"/>
  <c r="AZ71" i="16"/>
  <c r="BF71" i="16" s="1"/>
  <c r="AZ57" i="16"/>
  <c r="BF57" i="16" s="1"/>
  <c r="AZ76" i="16"/>
  <c r="BF76" i="16" s="1"/>
  <c r="AZ62" i="16"/>
  <c r="BF62" i="16" s="1"/>
  <c r="AZ51" i="16"/>
  <c r="BF51" i="16" s="1"/>
  <c r="AZ65" i="16"/>
  <c r="BF65" i="16" s="1"/>
  <c r="E73" i="37"/>
  <c r="E59" i="37"/>
  <c r="Q75" i="37"/>
  <c r="Q61" i="37"/>
  <c r="AI76" i="37"/>
  <c r="AI62" i="37"/>
  <c r="AX21" i="37"/>
  <c r="AU21" i="37"/>
  <c r="AW21" i="37"/>
  <c r="AT21" i="37"/>
  <c r="BD58" i="37"/>
  <c r="BJ58" i="37" s="1"/>
  <c r="BD72" i="37"/>
  <c r="BJ72" i="37" s="1"/>
  <c r="E75" i="37"/>
  <c r="E61" i="37"/>
  <c r="Q50" i="37"/>
  <c r="Q64" i="37"/>
  <c r="N72" i="37"/>
  <c r="N58" i="37"/>
  <c r="R74" i="37"/>
  <c r="R60" i="37"/>
  <c r="Z55" i="37"/>
  <c r="Z69" i="37"/>
  <c r="X61" i="37"/>
  <c r="X75" i="37"/>
  <c r="Y53" i="37"/>
  <c r="Y67" i="37"/>
  <c r="AY68" i="37"/>
  <c r="BE68" i="37" s="1"/>
  <c r="AY54" i="37"/>
  <c r="BE54" i="37" s="1"/>
  <c r="BD57" i="37"/>
  <c r="BJ57" i="37" s="1"/>
  <c r="BD71" i="37"/>
  <c r="BJ71" i="37" s="1"/>
  <c r="AA75" i="37"/>
  <c r="AA61" i="37"/>
  <c r="E52" i="37"/>
  <c r="E66" i="37"/>
  <c r="P64" i="37"/>
  <c r="P50" i="37"/>
  <c r="Q60" i="37"/>
  <c r="Q74" i="37"/>
  <c r="AI74" i="37"/>
  <c r="AI60" i="37"/>
  <c r="X71" i="37"/>
  <c r="X57" i="37"/>
  <c r="Y58" i="37"/>
  <c r="Y72" i="37"/>
  <c r="AB54" i="37"/>
  <c r="AB68" i="37"/>
  <c r="Z32" i="37"/>
  <c r="Z31" i="37"/>
  <c r="AX3" i="37"/>
  <c r="AU3" i="37"/>
  <c r="AW3" i="37"/>
  <c r="AT3" i="37"/>
  <c r="AX19" i="37"/>
  <c r="AU19" i="37"/>
  <c r="AT19" i="37"/>
  <c r="AW19" i="37"/>
  <c r="BD70" i="37"/>
  <c r="BJ70" i="37" s="1"/>
  <c r="BD56" i="37"/>
  <c r="BJ56" i="37" s="1"/>
  <c r="F39" i="37"/>
  <c r="P76" i="37"/>
  <c r="P62" i="37"/>
  <c r="R51" i="37"/>
  <c r="R65" i="37"/>
  <c r="R73" i="37"/>
  <c r="R59" i="37"/>
  <c r="I59" i="37"/>
  <c r="L59" i="37" s="1"/>
  <c r="I73" i="37"/>
  <c r="L73" i="37" s="1"/>
  <c r="Y56" i="37"/>
  <c r="Y70" i="37"/>
  <c r="AX5" i="37"/>
  <c r="AU5" i="37"/>
  <c r="AT5" i="37"/>
  <c r="AW5" i="37"/>
  <c r="BD69" i="37"/>
  <c r="BJ69" i="37" s="1"/>
  <c r="BD55" i="37"/>
  <c r="BJ55" i="37" s="1"/>
  <c r="F20" i="37"/>
  <c r="E56" i="37"/>
  <c r="E70" i="37"/>
  <c r="F4" i="37"/>
  <c r="E40" i="37"/>
  <c r="F40" i="37" s="1"/>
  <c r="O71" i="37"/>
  <c r="O57" i="37"/>
  <c r="P58" i="37"/>
  <c r="P72" i="37"/>
  <c r="O54" i="37"/>
  <c r="O48" i="37" s="1"/>
  <c r="O68" i="37"/>
  <c r="I58" i="37"/>
  <c r="L58" i="37" s="1"/>
  <c r="I72" i="37"/>
  <c r="L72" i="37" s="1"/>
  <c r="Y68" i="37"/>
  <c r="Y54" i="37"/>
  <c r="BB64" i="37"/>
  <c r="BB50" i="37"/>
  <c r="BH50" i="37" s="1"/>
  <c r="AY51" i="37"/>
  <c r="BE51" i="37" s="1"/>
  <c r="AY65" i="37"/>
  <c r="BE65" i="37" s="1"/>
  <c r="BD54" i="37"/>
  <c r="BJ54" i="37" s="1"/>
  <c r="BD68" i="37"/>
  <c r="BJ68" i="37" s="1"/>
  <c r="I61" i="37"/>
  <c r="L61" i="37" s="1"/>
  <c r="I75" i="37"/>
  <c r="L75" i="37" s="1"/>
  <c r="AA50" i="37"/>
  <c r="X58" i="37"/>
  <c r="X72" i="37"/>
  <c r="AB74" i="37"/>
  <c r="AB60" i="37"/>
  <c r="AA54" i="37"/>
  <c r="AA68" i="37"/>
  <c r="Y32" i="37"/>
  <c r="Y31" i="37"/>
  <c r="BH32" i="37"/>
  <c r="BH31" i="37"/>
  <c r="BA65" i="37"/>
  <c r="BG65" i="37" s="1"/>
  <c r="BA51" i="37"/>
  <c r="BG51" i="37" s="1"/>
  <c r="BA67" i="37"/>
  <c r="BG67" i="37" s="1"/>
  <c r="BA53" i="37"/>
  <c r="BG53" i="37" s="1"/>
  <c r="BJ32" i="37"/>
  <c r="BJ31" i="37"/>
  <c r="R54" i="37"/>
  <c r="R68" i="37"/>
  <c r="P31" i="37"/>
  <c r="AD67" i="37"/>
  <c r="AD53" i="37"/>
  <c r="AE53" i="37" s="1"/>
  <c r="AD68" i="37"/>
  <c r="AD54" i="37"/>
  <c r="AD52" i="37"/>
  <c r="AD66" i="37"/>
  <c r="AE66" i="37" s="1"/>
  <c r="AD65" i="37"/>
  <c r="AD51" i="37"/>
  <c r="AD64" i="37"/>
  <c r="AD50" i="37"/>
  <c r="AD48" i="37" s="1"/>
  <c r="AD71" i="37"/>
  <c r="AD57" i="37"/>
  <c r="I51" i="37"/>
  <c r="L51" i="37" s="1"/>
  <c r="I65" i="37"/>
  <c r="L65" i="37" s="1"/>
  <c r="I67" i="37"/>
  <c r="L67" i="37" s="1"/>
  <c r="I53" i="37"/>
  <c r="L53" i="37" s="1"/>
  <c r="Z57" i="37"/>
  <c r="Z71" i="37"/>
  <c r="X49" i="37"/>
  <c r="AA72" i="37"/>
  <c r="AA58" i="37"/>
  <c r="Y46" i="37"/>
  <c r="Y45" i="37"/>
  <c r="X59" i="37"/>
  <c r="X73" i="37"/>
  <c r="AB32" i="37"/>
  <c r="AB31" i="37"/>
  <c r="AY75" i="37"/>
  <c r="BE75" i="37" s="1"/>
  <c r="AY61" i="37"/>
  <c r="BE61" i="37" s="1"/>
  <c r="AU2" i="37"/>
  <c r="AX2" i="37"/>
  <c r="AW2" i="37"/>
  <c r="AT2" i="37"/>
  <c r="AX10" i="37"/>
  <c r="AU10" i="37"/>
  <c r="AW10" i="37"/>
  <c r="AT10" i="37"/>
  <c r="AX18" i="37"/>
  <c r="AU18" i="37"/>
  <c r="AW18" i="37"/>
  <c r="AT18" i="37"/>
  <c r="AX26" i="37"/>
  <c r="AU26" i="37"/>
  <c r="AW26" i="37"/>
  <c r="AT26" i="37"/>
  <c r="BA69" i="37"/>
  <c r="BG69" i="37" s="1"/>
  <c r="BA55" i="37"/>
  <c r="BG55" i="37" s="1"/>
  <c r="AG71" i="16"/>
  <c r="AI71" i="16" s="1"/>
  <c r="AG57" i="16"/>
  <c r="AI57" i="16" s="1"/>
  <c r="BB65" i="16"/>
  <c r="BH65" i="16" s="1"/>
  <c r="BB51" i="16"/>
  <c r="BH51" i="16" s="1"/>
  <c r="AY73" i="16"/>
  <c r="BE73" i="16" s="1"/>
  <c r="AY59" i="16"/>
  <c r="BE59" i="16" s="1"/>
  <c r="BB73" i="16"/>
  <c r="BH73" i="16" s="1"/>
  <c r="BB59" i="16"/>
  <c r="BH59" i="16" s="1"/>
  <c r="S64" i="16"/>
  <c r="S50" i="16"/>
  <c r="X50" i="16" s="1"/>
  <c r="AX19" i="16"/>
  <c r="AX42" i="16" s="1"/>
  <c r="AS42" i="16"/>
  <c r="AW19" i="16"/>
  <c r="AW42" i="16" s="1"/>
  <c r="AU19" i="16"/>
  <c r="AU42" i="16" s="1"/>
  <c r="AT19" i="16"/>
  <c r="AT42" i="16" s="1"/>
  <c r="AW7" i="16"/>
  <c r="AT7" i="16"/>
  <c r="AU7" i="16"/>
  <c r="AS73" i="16"/>
  <c r="AX7" i="16"/>
  <c r="AS59" i="16"/>
  <c r="P72" i="16"/>
  <c r="P58" i="16"/>
  <c r="AG38" i="16"/>
  <c r="AJ38" i="16" s="1"/>
  <c r="AG41" i="16"/>
  <c r="AJ41" i="16" s="1"/>
  <c r="BB66" i="16"/>
  <c r="BH66" i="16" s="1"/>
  <c r="BB52" i="16"/>
  <c r="BH52" i="16" s="1"/>
  <c r="BB76" i="16"/>
  <c r="BH76" i="16" s="1"/>
  <c r="BB62" i="16"/>
  <c r="BH62" i="16" s="1"/>
  <c r="BA65" i="16"/>
  <c r="BG65" i="16" s="1"/>
  <c r="BA51" i="16"/>
  <c r="BG51" i="16" s="1"/>
  <c r="AY60" i="16"/>
  <c r="BE60" i="16" s="1"/>
  <c r="AY74" i="16"/>
  <c r="BE74" i="16" s="1"/>
  <c r="AG61" i="16"/>
  <c r="AI61" i="16" s="1"/>
  <c r="AG75" i="16"/>
  <c r="AI75" i="16" s="1"/>
  <c r="AY56" i="16"/>
  <c r="BE56" i="16" s="1"/>
  <c r="AY70" i="16"/>
  <c r="BE70" i="16" s="1"/>
  <c r="BG32" i="16"/>
  <c r="BG31" i="16"/>
  <c r="W54" i="16"/>
  <c r="AB54" i="16" s="1"/>
  <c r="W68" i="16"/>
  <c r="AB68" i="16" s="1"/>
  <c r="R60" i="16"/>
  <c r="R74" i="16"/>
  <c r="Q66" i="16"/>
  <c r="Q52" i="16"/>
  <c r="U65" i="16"/>
  <c r="Z65" i="16" s="1"/>
  <c r="U51" i="16"/>
  <c r="Z51" i="16" s="1"/>
  <c r="O57" i="16"/>
  <c r="O71" i="16"/>
  <c r="AY54" i="16"/>
  <c r="BE54" i="16" s="1"/>
  <c r="AY68" i="16"/>
  <c r="BE68" i="16" s="1"/>
  <c r="AG33" i="16"/>
  <c r="AJ33" i="16" s="1"/>
  <c r="AG72" i="16"/>
  <c r="AI72" i="16" s="1"/>
  <c r="AG58" i="16"/>
  <c r="AI58" i="16" s="1"/>
  <c r="AG51" i="16"/>
  <c r="AI51" i="16" s="1"/>
  <c r="AG65" i="16"/>
  <c r="AI65" i="16" s="1"/>
  <c r="R67" i="16"/>
  <c r="R53" i="16"/>
  <c r="I56" i="16"/>
  <c r="L56" i="16" s="1"/>
  <c r="I70" i="16"/>
  <c r="L70" i="16" s="1"/>
  <c r="AX25" i="16"/>
  <c r="AW25" i="16"/>
  <c r="AU25" i="16"/>
  <c r="AT25" i="16"/>
  <c r="AS64" i="16"/>
  <c r="AS50" i="16"/>
  <c r="P71" i="16"/>
  <c r="P57" i="16"/>
  <c r="AX4" i="16"/>
  <c r="AX40" i="16" s="1"/>
  <c r="AS40" i="16"/>
  <c r="AW4" i="16"/>
  <c r="AW40" i="16" s="1"/>
  <c r="AU4" i="16"/>
  <c r="AU40" i="16" s="1"/>
  <c r="AT4" i="16"/>
  <c r="AT40" i="16" s="1"/>
  <c r="AX10" i="16"/>
  <c r="AX46" i="16" s="1"/>
  <c r="AX45" i="16" s="1"/>
  <c r="AS46" i="16"/>
  <c r="AU10" i="16"/>
  <c r="AU46" i="16" s="1"/>
  <c r="AT10" i="16"/>
  <c r="AT46" i="16" s="1"/>
  <c r="AW10" i="16"/>
  <c r="AW46" i="16" s="1"/>
  <c r="AW45" i="16" s="1"/>
  <c r="N74" i="16"/>
  <c r="N60" i="16"/>
  <c r="E58" i="16"/>
  <c r="E72" i="16"/>
  <c r="U52" i="16"/>
  <c r="Z52" i="16" s="1"/>
  <c r="U66" i="16"/>
  <c r="Z66" i="16" s="1"/>
  <c r="BD56" i="16"/>
  <c r="BJ56" i="16" s="1"/>
  <c r="BD70" i="16"/>
  <c r="BJ70" i="16" s="1"/>
  <c r="V69" i="16"/>
  <c r="AA69" i="16" s="1"/>
  <c r="V55" i="16"/>
  <c r="AA55" i="16" s="1"/>
  <c r="AX30" i="16"/>
  <c r="AX35" i="16" s="1"/>
  <c r="AS35" i="16"/>
  <c r="AT30" i="16"/>
  <c r="AT35" i="16" s="1"/>
  <c r="AW30" i="16"/>
  <c r="AW35" i="16" s="1"/>
  <c r="AU30" i="16"/>
  <c r="AU35" i="16" s="1"/>
  <c r="Y32" i="16"/>
  <c r="Y31" i="16"/>
  <c r="L45" i="16"/>
  <c r="L46" i="16"/>
  <c r="U72" i="16"/>
  <c r="Z72" i="16" s="1"/>
  <c r="U58" i="16"/>
  <c r="Z58" i="16" s="1"/>
  <c r="O61" i="16"/>
  <c r="O75" i="16"/>
  <c r="Z49" i="16"/>
  <c r="BA69" i="16"/>
  <c r="BG69" i="16" s="1"/>
  <c r="BA55" i="16"/>
  <c r="BG55" i="16" s="1"/>
  <c r="T57" i="16"/>
  <c r="Y57" i="16" s="1"/>
  <c r="T71" i="16"/>
  <c r="Y71" i="16" s="1"/>
  <c r="AX2" i="16"/>
  <c r="AX38" i="16" s="1"/>
  <c r="AS38" i="16"/>
  <c r="AT2" i="16"/>
  <c r="AT38" i="16" s="1"/>
  <c r="AU2" i="16"/>
  <c r="AU38" i="16" s="1"/>
  <c r="AW2" i="16"/>
  <c r="AW38" i="16" s="1"/>
  <c r="Z32" i="16"/>
  <c r="Z31" i="16"/>
  <c r="W67" i="16"/>
  <c r="AB67" i="16" s="1"/>
  <c r="W53" i="16"/>
  <c r="AB53" i="16" s="1"/>
  <c r="R73" i="16"/>
  <c r="R59" i="16"/>
  <c r="I68" i="16"/>
  <c r="L68" i="16" s="1"/>
  <c r="I54" i="16"/>
  <c r="L54" i="16" s="1"/>
  <c r="AV54" i="16"/>
  <c r="AV68" i="16"/>
  <c r="E60" i="16"/>
  <c r="E74" i="16"/>
  <c r="BD60" i="16"/>
  <c r="BJ60" i="16" s="1"/>
  <c r="BD74" i="16"/>
  <c r="BJ74" i="16" s="1"/>
  <c r="V58" i="16"/>
  <c r="AA58" i="16" s="1"/>
  <c r="V72" i="16"/>
  <c r="AA72" i="16" s="1"/>
  <c r="BA52" i="16"/>
  <c r="BG52" i="16" s="1"/>
  <c r="BA66" i="16"/>
  <c r="BG66" i="16" s="1"/>
  <c r="AX18" i="16"/>
  <c r="AT18" i="16"/>
  <c r="AS61" i="16"/>
  <c r="AW18" i="16"/>
  <c r="AU18" i="16"/>
  <c r="AS75" i="16"/>
  <c r="R56" i="16"/>
  <c r="R70" i="16"/>
  <c r="W65" i="16"/>
  <c r="AB65" i="16" s="1"/>
  <c r="W51" i="16"/>
  <c r="AB51" i="16" s="1"/>
  <c r="P69" i="16"/>
  <c r="P55" i="16"/>
  <c r="I64" i="16"/>
  <c r="I50" i="16"/>
  <c r="L50" i="16" s="1"/>
  <c r="AV50" i="16"/>
  <c r="AV64" i="16"/>
  <c r="O62" i="16"/>
  <c r="O76" i="16"/>
  <c r="AD71" i="16"/>
  <c r="AD57" i="16"/>
  <c r="AA32" i="16"/>
  <c r="AA31" i="16"/>
  <c r="AS53" i="16"/>
  <c r="AX5" i="16"/>
  <c r="AS67" i="16"/>
  <c r="AW5" i="16"/>
  <c r="AU5" i="16"/>
  <c r="AT5" i="16"/>
  <c r="O73" i="16"/>
  <c r="O59" i="16"/>
  <c r="O45" i="16"/>
  <c r="AD60" i="16"/>
  <c r="AE60" i="16" s="1"/>
  <c r="AD74" i="16"/>
  <c r="O72" i="16"/>
  <c r="O58" i="16"/>
  <c r="E52" i="16"/>
  <c r="E66" i="16"/>
  <c r="BD52" i="16"/>
  <c r="BJ52" i="16" s="1"/>
  <c r="BD66" i="16"/>
  <c r="BJ66" i="16" s="1"/>
  <c r="AD75" i="16"/>
  <c r="AD61" i="16"/>
  <c r="BA56" i="16"/>
  <c r="BG56" i="16" s="1"/>
  <c r="BA70" i="16"/>
  <c r="BG70" i="16" s="1"/>
  <c r="AW21" i="16"/>
  <c r="AS65" i="16"/>
  <c r="AT21" i="16"/>
  <c r="AS51" i="16"/>
  <c r="AX21" i="16"/>
  <c r="AU21" i="16"/>
  <c r="I55" i="16"/>
  <c r="L55" i="16" s="1"/>
  <c r="I69" i="16"/>
  <c r="L69" i="16" s="1"/>
  <c r="AV55" i="16"/>
  <c r="AV69" i="16"/>
  <c r="E76" i="16"/>
  <c r="E62" i="16"/>
  <c r="BD76" i="16"/>
  <c r="BJ76" i="16" s="1"/>
  <c r="BD62" i="16"/>
  <c r="BJ62" i="16" s="1"/>
  <c r="AD31" i="16"/>
  <c r="V71" i="16"/>
  <c r="AA71" i="16" s="1"/>
  <c r="V57" i="16"/>
  <c r="AA57" i="16" s="1"/>
  <c r="DC9" i="18"/>
  <c r="AW9" i="18"/>
  <c r="DC25" i="18"/>
  <c r="AW25" i="18"/>
  <c r="DC30" i="18"/>
  <c r="AW30" i="18"/>
  <c r="DC4" i="18"/>
  <c r="AW4" i="18"/>
  <c r="DC28" i="18"/>
  <c r="AW28" i="18"/>
  <c r="DC2" i="18"/>
  <c r="AW2" i="18"/>
  <c r="DC22" i="18"/>
  <c r="AW22" i="18"/>
  <c r="DC15" i="18"/>
  <c r="AW15" i="18"/>
  <c r="DC5" i="38"/>
  <c r="M53" i="38"/>
  <c r="AW5" i="38"/>
  <c r="M67" i="38"/>
  <c r="M38" i="38"/>
  <c r="AW2" i="38"/>
  <c r="DC2" i="38"/>
  <c r="EF70" i="38"/>
  <c r="ET70" i="38" s="1"/>
  <c r="EF56" i="38"/>
  <c r="ET56" i="38" s="1"/>
  <c r="EF68" i="38"/>
  <c r="ET68" i="38" s="1"/>
  <c r="EF54" i="38"/>
  <c r="ET54" i="38" s="1"/>
  <c r="BZ57" i="38"/>
  <c r="CN57" i="38" s="1"/>
  <c r="BZ71" i="38"/>
  <c r="CN71" i="38" s="1"/>
  <c r="X73" i="38"/>
  <c r="AI73" i="38" s="1"/>
  <c r="X59" i="38"/>
  <c r="AI59" i="38" s="1"/>
  <c r="X58" i="38"/>
  <c r="AI58" i="38" s="1"/>
  <c r="X72" i="38"/>
  <c r="AI72" i="38" s="1"/>
  <c r="BZ67" i="38"/>
  <c r="CN67" i="38" s="1"/>
  <c r="BZ53" i="38"/>
  <c r="CN53" i="38" s="1"/>
  <c r="M46" i="38"/>
  <c r="AW10" i="38"/>
  <c r="DC10" i="38"/>
  <c r="EF72" i="38"/>
  <c r="ET72" i="38" s="1"/>
  <c r="EF58" i="38"/>
  <c r="ET58" i="38" s="1"/>
  <c r="X74" i="38"/>
  <c r="AI74" i="38" s="1"/>
  <c r="X60" i="38"/>
  <c r="AI60" i="38" s="1"/>
  <c r="CN31" i="38"/>
  <c r="CN32" i="38"/>
  <c r="CN46" i="38"/>
  <c r="CN45" i="38"/>
  <c r="EF75" i="38"/>
  <c r="ET75" i="38" s="1"/>
  <c r="EF61" i="38"/>
  <c r="ET61" i="38" s="1"/>
  <c r="DC23" i="38"/>
  <c r="M49" i="38"/>
  <c r="AW23" i="38"/>
  <c r="EF62" i="38"/>
  <c r="ET62" i="38" s="1"/>
  <c r="EF76" i="38"/>
  <c r="ET76" i="38" s="1"/>
  <c r="BZ54" i="38"/>
  <c r="CN54" i="38" s="1"/>
  <c r="BZ68" i="38"/>
  <c r="CN68" i="38" s="1"/>
  <c r="DC20" i="38"/>
  <c r="AW20" i="38"/>
  <c r="M70" i="38"/>
  <c r="M56" i="38"/>
  <c r="BZ69" i="38"/>
  <c r="CN69" i="38" s="1"/>
  <c r="BZ55" i="38"/>
  <c r="CN55" i="38" s="1"/>
  <c r="BZ51" i="38"/>
  <c r="CN51" i="38" s="1"/>
  <c r="BZ65" i="38"/>
  <c r="CN65" i="38" s="1"/>
  <c r="EF71" i="38"/>
  <c r="ET71" i="38" s="1"/>
  <c r="EF57" i="38"/>
  <c r="ET57" i="38" s="1"/>
  <c r="CT20" i="18"/>
  <c r="AN20" i="18"/>
  <c r="CT17" i="18"/>
  <c r="AN17" i="18"/>
  <c r="CT10" i="18"/>
  <c r="AN10" i="18"/>
  <c r="CT8" i="18"/>
  <c r="AN8" i="18"/>
  <c r="CT2" i="18"/>
  <c r="CT38" i="18" s="1"/>
  <c r="AN2" i="18"/>
  <c r="CT22" i="18"/>
  <c r="AN22" i="18"/>
  <c r="CT15" i="18"/>
  <c r="CT44" i="18" s="1"/>
  <c r="AN15" i="18"/>
  <c r="AE49" i="38"/>
  <c r="BQ65" i="38"/>
  <c r="CE65" i="38" s="1"/>
  <c r="BQ51" i="38"/>
  <c r="CE51" i="38" s="1"/>
  <c r="CT4" i="38"/>
  <c r="I40" i="38"/>
  <c r="AN4" i="38"/>
  <c r="CT18" i="38"/>
  <c r="I75" i="38"/>
  <c r="AN18" i="38"/>
  <c r="I61" i="38"/>
  <c r="T52" i="38"/>
  <c r="AE52" i="38" s="1"/>
  <c r="T66" i="38"/>
  <c r="AE66" i="38" s="1"/>
  <c r="T61" i="38"/>
  <c r="AE61" i="38" s="1"/>
  <c r="T75" i="38"/>
  <c r="AE75" i="38" s="1"/>
  <c r="CT3" i="38"/>
  <c r="I32" i="38"/>
  <c r="AN3" i="38"/>
  <c r="EK46" i="38"/>
  <c r="EK45" i="38"/>
  <c r="T70" i="38"/>
  <c r="AE70" i="38" s="1"/>
  <c r="T56" i="38"/>
  <c r="AE56" i="38" s="1"/>
  <c r="DW59" i="38"/>
  <c r="EK59" i="38" s="1"/>
  <c r="DW73" i="38"/>
  <c r="EK73" i="38" s="1"/>
  <c r="AN28" i="38"/>
  <c r="I43" i="38"/>
  <c r="CT28" i="38"/>
  <c r="DW55" i="38"/>
  <c r="EK55" i="38" s="1"/>
  <c r="DW69" i="38"/>
  <c r="EK69" i="38" s="1"/>
  <c r="DW68" i="38"/>
  <c r="EK68" i="38" s="1"/>
  <c r="DW54" i="38"/>
  <c r="EK54" i="38" s="1"/>
  <c r="AN20" i="38"/>
  <c r="I56" i="38"/>
  <c r="CT20" i="38"/>
  <c r="I70" i="38"/>
  <c r="CT24" i="38"/>
  <c r="AN24" i="38"/>
  <c r="I69" i="38"/>
  <c r="I55" i="38"/>
  <c r="DW62" i="38"/>
  <c r="EK62" i="38" s="1"/>
  <c r="DW76" i="38"/>
  <c r="EK76" i="38" s="1"/>
  <c r="CV45" i="30"/>
  <c r="CV57" i="30"/>
  <c r="CV71" i="30"/>
  <c r="CV52" i="30"/>
  <c r="CV66" i="30"/>
  <c r="CV31" i="43"/>
  <c r="AX55" i="29"/>
  <c r="AX69" i="29"/>
  <c r="BW24" i="30"/>
  <c r="AX70" i="29"/>
  <c r="AX56" i="29"/>
  <c r="BW20" i="30"/>
  <c r="AX57" i="29"/>
  <c r="AX71" i="29"/>
  <c r="BW29" i="30"/>
  <c r="AX50" i="29"/>
  <c r="AX64" i="29"/>
  <c r="BW25" i="30"/>
  <c r="AX65" i="29"/>
  <c r="AX51" i="29"/>
  <c r="BW21" i="30"/>
  <c r="AX66" i="29"/>
  <c r="AX52" i="29"/>
  <c r="BW17" i="30"/>
  <c r="AX33" i="29"/>
  <c r="BW13" i="30"/>
  <c r="BW33" i="30" s="1"/>
  <c r="BW59" i="41"/>
  <c r="BW73" i="41"/>
  <c r="BW74" i="41"/>
  <c r="BW60" i="41"/>
  <c r="BW75" i="41"/>
  <c r="BW61" i="41"/>
  <c r="BW62" i="41"/>
  <c r="BW76" i="41"/>
  <c r="BV45" i="41"/>
  <c r="BW3" i="42"/>
  <c r="BW32" i="42" s="1"/>
  <c r="AX32" i="41"/>
  <c r="BW3" i="43"/>
  <c r="BW32" i="43" s="1"/>
  <c r="BW7" i="42"/>
  <c r="AX73" i="41"/>
  <c r="AX59" i="41"/>
  <c r="BW7" i="43"/>
  <c r="BW11" i="42"/>
  <c r="BW39" i="42" s="1"/>
  <c r="AX39" i="41"/>
  <c r="BW11" i="43"/>
  <c r="BW39" i="43" s="1"/>
  <c r="BW15" i="42"/>
  <c r="BW44" i="42" s="1"/>
  <c r="AX44" i="41"/>
  <c r="BW15" i="43"/>
  <c r="BW44" i="43" s="1"/>
  <c r="BW19" i="42"/>
  <c r="BW42" i="42" s="1"/>
  <c r="AX42" i="41"/>
  <c r="BW19" i="43"/>
  <c r="BW42" i="43" s="1"/>
  <c r="BW23" i="42"/>
  <c r="BW49" i="42" s="1"/>
  <c r="AX49" i="41"/>
  <c r="BW23" i="43"/>
  <c r="BW49" i="43" s="1"/>
  <c r="BW27" i="42"/>
  <c r="AX62" i="41"/>
  <c r="AX76" i="41"/>
  <c r="BW27" i="43"/>
  <c r="CV67" i="42"/>
  <c r="CV53" i="42"/>
  <c r="CV68" i="42"/>
  <c r="CV54" i="42"/>
  <c r="CV66" i="42"/>
  <c r="CV52" i="42"/>
  <c r="CV65" i="42"/>
  <c r="CV51" i="42"/>
  <c r="CV48" i="42" s="1"/>
  <c r="CV64" i="42"/>
  <c r="CV50" i="42"/>
  <c r="CV71" i="42"/>
  <c r="CV57" i="42"/>
  <c r="CS69" i="30"/>
  <c r="CS55" i="30"/>
  <c r="CS56" i="30"/>
  <c r="CS70" i="30"/>
  <c r="CS58" i="30"/>
  <c r="CS72" i="30"/>
  <c r="CS60" i="30"/>
  <c r="CS74" i="30"/>
  <c r="CS45" i="43"/>
  <c r="AU60" i="29"/>
  <c r="AU74" i="29"/>
  <c r="BT12" i="30"/>
  <c r="AU41" i="29"/>
  <c r="BT8" i="30"/>
  <c r="BS45" i="41"/>
  <c r="AU57" i="29"/>
  <c r="AU71" i="29"/>
  <c r="BT29" i="30"/>
  <c r="AU62" i="29"/>
  <c r="AU76" i="29"/>
  <c r="BT27" i="30"/>
  <c r="AU64" i="29"/>
  <c r="AU50" i="29"/>
  <c r="BT25" i="30"/>
  <c r="AU49" i="29"/>
  <c r="BT23" i="30"/>
  <c r="AU65" i="29"/>
  <c r="AU51" i="29"/>
  <c r="BT21" i="30"/>
  <c r="AU42" i="29"/>
  <c r="BT19" i="30"/>
  <c r="AU52" i="29"/>
  <c r="AU66" i="29"/>
  <c r="BT17" i="30"/>
  <c r="AU44" i="29"/>
  <c r="BT15" i="30"/>
  <c r="BT44" i="30" s="1"/>
  <c r="AU33" i="29"/>
  <c r="BT13" i="30"/>
  <c r="AU54" i="29"/>
  <c r="AU68" i="29"/>
  <c r="BT9" i="30"/>
  <c r="BT68" i="41"/>
  <c r="BT54" i="41"/>
  <c r="BT67" i="41"/>
  <c r="BT53" i="41"/>
  <c r="AU40" i="29"/>
  <c r="BT4" i="30"/>
  <c r="BT60" i="41"/>
  <c r="BT74" i="41"/>
  <c r="BT75" i="41"/>
  <c r="BT61" i="41"/>
  <c r="BT76" i="41"/>
  <c r="BT62" i="41"/>
  <c r="CS31" i="42"/>
  <c r="CS54" i="42"/>
  <c r="CS68" i="42"/>
  <c r="CS52" i="42"/>
  <c r="CS66" i="42"/>
  <c r="BT4" i="42"/>
  <c r="BT40" i="42" s="1"/>
  <c r="AU40" i="41"/>
  <c r="BT4" i="43"/>
  <c r="BT40" i="43" s="1"/>
  <c r="BT8" i="42"/>
  <c r="BT41" i="42" s="1"/>
  <c r="AU41" i="41"/>
  <c r="BT8" i="43"/>
  <c r="BT41" i="43" s="1"/>
  <c r="BT12" i="42"/>
  <c r="AU60" i="41"/>
  <c r="AU74" i="41"/>
  <c r="BT12" i="43"/>
  <c r="BT16" i="42"/>
  <c r="AU72" i="41"/>
  <c r="AU58" i="41"/>
  <c r="BT16" i="43"/>
  <c r="BT20" i="42"/>
  <c r="AU56" i="41"/>
  <c r="AU70" i="41"/>
  <c r="BT20" i="43"/>
  <c r="BT24" i="42"/>
  <c r="AU69" i="41"/>
  <c r="AU55" i="41"/>
  <c r="BT24" i="43"/>
  <c r="BT28" i="42"/>
  <c r="BT43" i="42" s="1"/>
  <c r="AU43" i="41"/>
  <c r="BT28" i="43"/>
  <c r="BT43" i="43" s="1"/>
  <c r="CS62" i="42"/>
  <c r="CS76" i="42"/>
  <c r="CO75" i="30"/>
  <c r="CO61" i="30"/>
  <c r="BP54" i="29"/>
  <c r="BP68" i="29"/>
  <c r="AQ54" i="29"/>
  <c r="AQ68" i="29"/>
  <c r="BP9" i="30"/>
  <c r="BP68" i="41"/>
  <c r="BP54" i="41"/>
  <c r="AQ35" i="29"/>
  <c r="BP30" i="30"/>
  <c r="AQ43" i="29"/>
  <c r="BP28" i="30"/>
  <c r="AQ36" i="29"/>
  <c r="BP26" i="30"/>
  <c r="AQ69" i="29"/>
  <c r="AQ55" i="29"/>
  <c r="BP24" i="30"/>
  <c r="AQ37" i="29"/>
  <c r="BP22" i="30"/>
  <c r="AQ56" i="29"/>
  <c r="AQ70" i="29"/>
  <c r="BP20" i="30"/>
  <c r="AQ75" i="29"/>
  <c r="AQ61" i="29"/>
  <c r="BP18" i="30"/>
  <c r="AQ58" i="29"/>
  <c r="AQ72" i="29"/>
  <c r="BP16" i="30"/>
  <c r="AQ34" i="29"/>
  <c r="BP14" i="30"/>
  <c r="BP31" i="41"/>
  <c r="BP59" i="41"/>
  <c r="BP73" i="41"/>
  <c r="BP53" i="29"/>
  <c r="BP67" i="29"/>
  <c r="BP31" i="29"/>
  <c r="CO65" i="42"/>
  <c r="CO51" i="42"/>
  <c r="BP69" i="41"/>
  <c r="BP55" i="41"/>
  <c r="CO59" i="42"/>
  <c r="CO73" i="42"/>
  <c r="CO56" i="42"/>
  <c r="CO70" i="42"/>
  <c r="BP3" i="42"/>
  <c r="BP32" i="42" s="1"/>
  <c r="AQ32" i="41"/>
  <c r="BP3" i="43"/>
  <c r="BP32" i="43" s="1"/>
  <c r="BP7" i="42"/>
  <c r="AQ73" i="41"/>
  <c r="AQ59" i="41"/>
  <c r="BP7" i="43"/>
  <c r="BP11" i="42"/>
  <c r="BP39" i="42" s="1"/>
  <c r="AQ39" i="41"/>
  <c r="BP11" i="43"/>
  <c r="BP39" i="43" s="1"/>
  <c r="BP15" i="42"/>
  <c r="BP44" i="42" s="1"/>
  <c r="AQ44" i="41"/>
  <c r="BP15" i="43"/>
  <c r="BP44" i="43" s="1"/>
  <c r="BP19" i="42"/>
  <c r="BP42" i="42" s="1"/>
  <c r="AQ42" i="41"/>
  <c r="BP19" i="43"/>
  <c r="BP42" i="43" s="1"/>
  <c r="BP23" i="42"/>
  <c r="BP49" i="42" s="1"/>
  <c r="AQ49" i="41"/>
  <c r="BP23" i="43"/>
  <c r="BP49" i="43" s="1"/>
  <c r="BP27" i="42"/>
  <c r="AQ62" i="41"/>
  <c r="AQ76" i="41"/>
  <c r="BP27" i="43"/>
  <c r="CK55" i="30"/>
  <c r="CK69" i="30"/>
  <c r="CK56" i="30"/>
  <c r="CK70" i="30"/>
  <c r="CK58" i="30"/>
  <c r="CK72" i="30"/>
  <c r="CK74" i="30"/>
  <c r="CK60" i="30"/>
  <c r="CK31" i="43"/>
  <c r="AM39" i="29"/>
  <c r="BL11" i="30"/>
  <c r="AM59" i="29"/>
  <c r="AM73" i="29"/>
  <c r="BL7" i="30"/>
  <c r="BL55" i="29"/>
  <c r="BL69" i="29"/>
  <c r="BL56" i="29"/>
  <c r="BL70" i="29"/>
  <c r="BL75" i="29"/>
  <c r="BL61" i="29"/>
  <c r="BL58" i="29"/>
  <c r="BL72" i="29"/>
  <c r="BL60" i="29"/>
  <c r="BL74" i="29"/>
  <c r="BL54" i="29"/>
  <c r="BL68" i="29"/>
  <c r="BL69" i="41"/>
  <c r="BL55" i="41"/>
  <c r="BL71" i="41"/>
  <c r="BL57" i="41"/>
  <c r="BL5" i="42"/>
  <c r="AM53" i="41"/>
  <c r="AM67" i="41"/>
  <c r="BL5" i="43"/>
  <c r="BL9" i="42"/>
  <c r="AM54" i="41"/>
  <c r="AM68" i="41"/>
  <c r="BL9" i="43"/>
  <c r="BL13" i="42"/>
  <c r="BL33" i="42" s="1"/>
  <c r="AM33" i="41"/>
  <c r="BL13" i="43"/>
  <c r="BL33" i="43" s="1"/>
  <c r="BL17" i="42"/>
  <c r="AM52" i="41"/>
  <c r="AM66" i="41"/>
  <c r="BL17" i="43"/>
  <c r="BL21" i="42"/>
  <c r="AM51" i="41"/>
  <c r="AM65" i="41"/>
  <c r="BL21" i="43"/>
  <c r="BL25" i="42"/>
  <c r="AM64" i="41"/>
  <c r="AM50" i="41"/>
  <c r="BL25" i="43"/>
  <c r="BL29" i="42"/>
  <c r="AM57" i="41"/>
  <c r="AM71" i="41"/>
  <c r="BL29" i="43"/>
  <c r="CK59" i="42"/>
  <c r="CK73" i="42"/>
  <c r="CK62" i="42"/>
  <c r="CK76" i="42"/>
  <c r="BY65" i="41"/>
  <c r="BY51" i="41"/>
  <c r="AZ46" i="29"/>
  <c r="BY10" i="30"/>
  <c r="BY46" i="30" s="1"/>
  <c r="AZ47" i="29"/>
  <c r="BY6" i="30"/>
  <c r="AZ35" i="29"/>
  <c r="BY30" i="30"/>
  <c r="AZ43" i="29"/>
  <c r="BY28" i="30"/>
  <c r="AZ36" i="29"/>
  <c r="BY26" i="30"/>
  <c r="BY36" i="30" s="1"/>
  <c r="AZ55" i="29"/>
  <c r="AZ69" i="29"/>
  <c r="BY24" i="30"/>
  <c r="AZ37" i="29"/>
  <c r="BY22" i="30"/>
  <c r="AZ56" i="29"/>
  <c r="AZ70" i="29"/>
  <c r="BY20" i="30"/>
  <c r="AZ61" i="29"/>
  <c r="AZ75" i="29"/>
  <c r="BY18" i="30"/>
  <c r="AZ72" i="29"/>
  <c r="AZ58" i="29"/>
  <c r="BY16" i="30"/>
  <c r="AZ34" i="29"/>
  <c r="BY14" i="30"/>
  <c r="BY34" i="30" s="1"/>
  <c r="BY60" i="41"/>
  <c r="BY74" i="41"/>
  <c r="BA40" i="29"/>
  <c r="BX45" i="41"/>
  <c r="BY3" i="42"/>
  <c r="BY32" i="42" s="1"/>
  <c r="AZ32" i="41"/>
  <c r="BY3" i="43"/>
  <c r="BY32" i="43" s="1"/>
  <c r="BY7" i="42"/>
  <c r="AZ73" i="41"/>
  <c r="AZ59" i="41"/>
  <c r="BY7" i="43"/>
  <c r="BY11" i="42"/>
  <c r="BY39" i="42" s="1"/>
  <c r="AZ39" i="41"/>
  <c r="BY11" i="43"/>
  <c r="BY39" i="43" s="1"/>
  <c r="BY15" i="42"/>
  <c r="BY44" i="42" s="1"/>
  <c r="AZ44" i="41"/>
  <c r="BY15" i="43"/>
  <c r="BY44" i="43" s="1"/>
  <c r="BY19" i="42"/>
  <c r="BY42" i="42" s="1"/>
  <c r="AZ42" i="41"/>
  <c r="AB42" i="41" s="1"/>
  <c r="BY19" i="43"/>
  <c r="BY42" i="43" s="1"/>
  <c r="BY23" i="42"/>
  <c r="BY49" i="42" s="1"/>
  <c r="AZ49" i="41"/>
  <c r="BY23" i="43"/>
  <c r="BY49" i="43" s="1"/>
  <c r="BY27" i="42"/>
  <c r="AZ76" i="41"/>
  <c r="AZ62" i="41"/>
  <c r="BY27" i="43"/>
  <c r="CX53" i="42"/>
  <c r="CX48" i="42" s="1"/>
  <c r="CX67" i="42"/>
  <c r="BY67" i="41"/>
  <c r="BY53" i="41"/>
  <c r="CX59" i="42"/>
  <c r="CX73" i="42"/>
  <c r="CX60" i="42"/>
  <c r="CX74" i="42"/>
  <c r="CX65" i="42"/>
  <c r="CX51" i="42"/>
  <c r="CX50" i="42"/>
  <c r="CX64" i="42"/>
  <c r="CX57" i="42"/>
  <c r="CX71" i="42"/>
  <c r="AF41" i="29"/>
  <c r="BE8" i="30"/>
  <c r="AF71" i="29"/>
  <c r="AF57" i="29"/>
  <c r="BE29" i="30"/>
  <c r="AF50" i="29"/>
  <c r="AF64" i="29"/>
  <c r="BE25" i="30"/>
  <c r="AF65" i="29"/>
  <c r="AF51" i="29"/>
  <c r="BE21" i="30"/>
  <c r="AF52" i="29"/>
  <c r="AF66" i="29"/>
  <c r="BE17" i="30"/>
  <c r="AF33" i="29"/>
  <c r="BE13" i="30"/>
  <c r="AF53" i="29"/>
  <c r="AF67" i="29"/>
  <c r="BE5" i="30"/>
  <c r="BE2" i="42"/>
  <c r="BE38" i="42" s="1"/>
  <c r="AF38" i="41"/>
  <c r="BE2" i="43"/>
  <c r="BE38" i="43" s="1"/>
  <c r="BE6" i="42"/>
  <c r="BE47" i="42" s="1"/>
  <c r="AF47" i="41"/>
  <c r="BE6" i="43"/>
  <c r="BE47" i="43" s="1"/>
  <c r="BE10" i="42"/>
  <c r="BE46" i="42" s="1"/>
  <c r="AF46" i="41"/>
  <c r="AF45" i="41" s="1"/>
  <c r="BE10" i="43"/>
  <c r="BE46" i="43" s="1"/>
  <c r="BE14" i="42"/>
  <c r="BE34" i="42" s="1"/>
  <c r="AF34" i="41"/>
  <c r="BE14" i="43"/>
  <c r="BE34" i="43" s="1"/>
  <c r="BE18" i="42"/>
  <c r="AF75" i="41"/>
  <c r="AF61" i="41"/>
  <c r="BE18" i="43"/>
  <c r="BE22" i="42"/>
  <c r="BE37" i="42" s="1"/>
  <c r="AF37" i="41"/>
  <c r="BE22" i="43"/>
  <c r="BE37" i="43" s="1"/>
  <c r="BE26" i="42"/>
  <c r="BE36" i="42" s="1"/>
  <c r="AF36" i="41"/>
  <c r="BE26" i="43"/>
  <c r="BE36" i="43" s="1"/>
  <c r="BE30" i="42"/>
  <c r="BE35" i="42" s="1"/>
  <c r="AF35" i="41"/>
  <c r="BE30" i="43"/>
  <c r="BE35" i="43" s="1"/>
  <c r="BJ11" i="38"/>
  <c r="AV39" i="38"/>
  <c r="BJ8" i="38"/>
  <c r="AV41" i="38"/>
  <c r="BJ12" i="38"/>
  <c r="AV60" i="38"/>
  <c r="AV74" i="38"/>
  <c r="BJ22" i="38"/>
  <c r="AV37" i="38"/>
  <c r="AV40" i="38"/>
  <c r="BJ4" i="38"/>
  <c r="AV66" i="38"/>
  <c r="AV52" i="38"/>
  <c r="BJ17" i="38"/>
  <c r="AV34" i="38"/>
  <c r="BJ14" i="38"/>
  <c r="BY57" i="38"/>
  <c r="CM57" i="38" s="1"/>
  <c r="BY71" i="38"/>
  <c r="CM71" i="38" s="1"/>
  <c r="BY68" i="38"/>
  <c r="CM68" i="38" s="1"/>
  <c r="BY54" i="38"/>
  <c r="CM54" i="38" s="1"/>
  <c r="BY53" i="38"/>
  <c r="CM53" i="38" s="1"/>
  <c r="BY67" i="38"/>
  <c r="CM67" i="38" s="1"/>
  <c r="BY69" i="38"/>
  <c r="CM69" i="38" s="1"/>
  <c r="BY55" i="38"/>
  <c r="CM55" i="38" s="1"/>
  <c r="AE21" i="37"/>
  <c r="AE5" i="37"/>
  <c r="AJ59" i="37"/>
  <c r="AH59" i="37"/>
  <c r="AU45" i="43"/>
  <c r="V35" i="29"/>
  <c r="V30" i="30"/>
  <c r="V35" i="30" s="1"/>
  <c r="V36" i="29"/>
  <c r="V26" i="30"/>
  <c r="V37" i="29"/>
  <c r="V22" i="30"/>
  <c r="V37" i="30" s="1"/>
  <c r="V61" i="29"/>
  <c r="V75" i="29"/>
  <c r="V18" i="30"/>
  <c r="V34" i="29"/>
  <c r="V14" i="30"/>
  <c r="V41" i="29"/>
  <c r="V8" i="30"/>
  <c r="V32" i="29"/>
  <c r="V31" i="29" s="1"/>
  <c r="V3" i="30"/>
  <c r="V5" i="42"/>
  <c r="V53" i="41"/>
  <c r="V67" i="41"/>
  <c r="V5" i="43"/>
  <c r="V9" i="42"/>
  <c r="V54" i="41"/>
  <c r="V68" i="41"/>
  <c r="V9" i="43"/>
  <c r="V13" i="42"/>
  <c r="V33" i="42" s="1"/>
  <c r="V33" i="41"/>
  <c r="V13" i="43"/>
  <c r="V33" i="43" s="1"/>
  <c r="V17" i="42"/>
  <c r="V66" i="41"/>
  <c r="V52" i="41"/>
  <c r="V17" i="43"/>
  <c r="V21" i="42"/>
  <c r="V65" i="41"/>
  <c r="V51" i="41"/>
  <c r="V21" i="43"/>
  <c r="V25" i="42"/>
  <c r="V50" i="41"/>
  <c r="V64" i="41"/>
  <c r="V25" i="43"/>
  <c r="V29" i="42"/>
  <c r="V57" i="41"/>
  <c r="V71" i="41"/>
  <c r="V29" i="43"/>
  <c r="AM31" i="43"/>
  <c r="N41" i="29"/>
  <c r="N8" i="30"/>
  <c r="N35" i="29"/>
  <c r="N30" i="30"/>
  <c r="N36" i="29"/>
  <c r="N26" i="30"/>
  <c r="N37" i="29"/>
  <c r="N22" i="30"/>
  <c r="N75" i="29"/>
  <c r="N61" i="29"/>
  <c r="N18" i="30"/>
  <c r="N34" i="29"/>
  <c r="N14" i="30"/>
  <c r="N59" i="29"/>
  <c r="N73" i="29"/>
  <c r="N7" i="30"/>
  <c r="N32" i="29"/>
  <c r="N3" i="30"/>
  <c r="N2" i="42"/>
  <c r="N38" i="42" s="1"/>
  <c r="N38" i="41"/>
  <c r="N2" i="43"/>
  <c r="N38" i="43" s="1"/>
  <c r="N6" i="42"/>
  <c r="N47" i="42" s="1"/>
  <c r="N47" i="41"/>
  <c r="N6" i="43"/>
  <c r="N47" i="43" s="1"/>
  <c r="N10" i="42"/>
  <c r="N46" i="42" s="1"/>
  <c r="N45" i="42" s="1"/>
  <c r="N46" i="41"/>
  <c r="N10" i="43"/>
  <c r="N46" i="43" s="1"/>
  <c r="N45" i="43" s="1"/>
  <c r="N14" i="42"/>
  <c r="N34" i="42" s="1"/>
  <c r="N34" i="41"/>
  <c r="N14" i="43"/>
  <c r="N34" i="43" s="1"/>
  <c r="N18" i="42"/>
  <c r="N61" i="41"/>
  <c r="N75" i="41"/>
  <c r="N18" i="43"/>
  <c r="N22" i="42"/>
  <c r="N37" i="42" s="1"/>
  <c r="N37" i="41"/>
  <c r="N22" i="43"/>
  <c r="N37" i="43" s="1"/>
  <c r="N26" i="42"/>
  <c r="N36" i="42" s="1"/>
  <c r="N36" i="41"/>
  <c r="N26" i="43"/>
  <c r="N36" i="43" s="1"/>
  <c r="N30" i="42"/>
  <c r="N35" i="42" s="1"/>
  <c r="N35" i="41"/>
  <c r="N30" i="43"/>
  <c r="N35" i="43" s="1"/>
  <c r="CJ54" i="30"/>
  <c r="CJ68" i="30"/>
  <c r="CJ56" i="30"/>
  <c r="CJ70" i="30"/>
  <c r="BK69" i="29"/>
  <c r="BK55" i="29"/>
  <c r="BK48" i="29" s="1"/>
  <c r="BK70" i="29"/>
  <c r="BK56" i="29"/>
  <c r="BK72" i="29"/>
  <c r="BK58" i="29"/>
  <c r="BK60" i="29"/>
  <c r="BK74" i="29"/>
  <c r="AL43" i="29"/>
  <c r="BK28" i="30"/>
  <c r="AL69" i="29"/>
  <c r="AL55" i="29"/>
  <c r="BK24" i="30"/>
  <c r="AL56" i="29"/>
  <c r="AL70" i="29"/>
  <c r="BK20" i="30"/>
  <c r="AL72" i="29"/>
  <c r="AL58" i="29"/>
  <c r="BK16" i="30"/>
  <c r="BK52" i="41"/>
  <c r="BK48" i="41" s="1"/>
  <c r="BK66" i="41"/>
  <c r="BK51" i="41"/>
  <c r="BK65" i="41"/>
  <c r="AL39" i="29"/>
  <c r="BK11" i="30"/>
  <c r="AL68" i="29"/>
  <c r="AL54" i="29"/>
  <c r="BK9" i="30"/>
  <c r="AL59" i="29"/>
  <c r="AL73" i="29"/>
  <c r="BK7" i="30"/>
  <c r="AL53" i="29"/>
  <c r="AL67" i="29"/>
  <c r="BK5" i="30"/>
  <c r="AL32" i="29"/>
  <c r="BK3" i="30"/>
  <c r="BK32" i="30" s="1"/>
  <c r="BK68" i="41"/>
  <c r="BK54" i="41"/>
  <c r="BK2" i="42"/>
  <c r="BK38" i="42" s="1"/>
  <c r="AL38" i="41"/>
  <c r="BK2" i="43"/>
  <c r="BK38" i="43" s="1"/>
  <c r="BK6" i="42"/>
  <c r="BK47" i="42" s="1"/>
  <c r="AL47" i="41"/>
  <c r="BK6" i="43"/>
  <c r="BK47" i="43" s="1"/>
  <c r="BK10" i="42"/>
  <c r="BK46" i="42" s="1"/>
  <c r="AL46" i="41"/>
  <c r="AL45" i="41" s="1"/>
  <c r="BK10" i="43"/>
  <c r="BK46" i="43" s="1"/>
  <c r="BK14" i="42"/>
  <c r="BK34" i="42" s="1"/>
  <c r="AL34" i="41"/>
  <c r="BK14" i="43"/>
  <c r="BK34" i="43" s="1"/>
  <c r="BK18" i="42"/>
  <c r="AL61" i="41"/>
  <c r="AL75" i="41"/>
  <c r="BK18" i="43"/>
  <c r="BK22" i="42"/>
  <c r="BK37" i="42" s="1"/>
  <c r="AL37" i="41"/>
  <c r="BK22" i="43"/>
  <c r="BK37" i="43" s="1"/>
  <c r="BK26" i="42"/>
  <c r="BK36" i="42" s="1"/>
  <c r="AL36" i="41"/>
  <c r="BK26" i="43"/>
  <c r="BK36" i="43" s="1"/>
  <c r="BK30" i="42"/>
  <c r="BK35" i="42" s="1"/>
  <c r="AL35" i="41"/>
  <c r="BK30" i="43"/>
  <c r="BK35" i="43" s="1"/>
  <c r="CJ74" i="42"/>
  <c r="CJ60" i="42"/>
  <c r="CJ72" i="42"/>
  <c r="CJ58" i="42"/>
  <c r="CJ70" i="42"/>
  <c r="CJ56" i="42"/>
  <c r="CJ69" i="42"/>
  <c r="CJ55" i="42"/>
  <c r="AE68" i="16"/>
  <c r="AH54" i="16"/>
  <c r="AJ54" i="16"/>
  <c r="AH50" i="16"/>
  <c r="AH56" i="37"/>
  <c r="AW45" i="30"/>
  <c r="X38" i="41"/>
  <c r="X2" i="42"/>
  <c r="X38" i="42" s="1"/>
  <c r="X2" i="43"/>
  <c r="X38" i="43" s="1"/>
  <c r="X41" i="41"/>
  <c r="X8" i="42"/>
  <c r="X41" i="42" s="1"/>
  <c r="X8" i="43"/>
  <c r="X41" i="43" s="1"/>
  <c r="X14" i="42"/>
  <c r="X34" i="42" s="1"/>
  <c r="X34" i="41"/>
  <c r="X14" i="43"/>
  <c r="X34" i="43" s="1"/>
  <c r="X4" i="42"/>
  <c r="X40" i="42" s="1"/>
  <c r="X40" i="41"/>
  <c r="X4" i="43"/>
  <c r="X40" i="43" s="1"/>
  <c r="X35" i="29"/>
  <c r="X30" i="30"/>
  <c r="X36" i="29"/>
  <c r="X26" i="30"/>
  <c r="X37" i="29"/>
  <c r="X22" i="30"/>
  <c r="X61" i="29"/>
  <c r="X75" i="29"/>
  <c r="X18" i="30"/>
  <c r="X34" i="29"/>
  <c r="X14" i="30"/>
  <c r="X41" i="29"/>
  <c r="X8" i="30"/>
  <c r="X41" i="30" s="1"/>
  <c r="X32" i="41"/>
  <c r="X3" i="42"/>
  <c r="X32" i="42" s="1"/>
  <c r="X3" i="43"/>
  <c r="X32" i="43" s="1"/>
  <c r="X39" i="41"/>
  <c r="X11" i="42"/>
  <c r="X39" i="42" s="1"/>
  <c r="X11" i="43"/>
  <c r="X39" i="43" s="1"/>
  <c r="X19" i="42"/>
  <c r="X42" i="42" s="1"/>
  <c r="X42" i="41"/>
  <c r="X19" i="43"/>
  <c r="X42" i="43" s="1"/>
  <c r="X27" i="42"/>
  <c r="X76" i="41"/>
  <c r="X62" i="41"/>
  <c r="X27" i="43"/>
  <c r="X59" i="29"/>
  <c r="X73" i="29"/>
  <c r="X7" i="30"/>
  <c r="AW45" i="42"/>
  <c r="AI45" i="43"/>
  <c r="J35" i="29"/>
  <c r="J30" i="30"/>
  <c r="J35" i="30" s="1"/>
  <c r="J36" i="29"/>
  <c r="J26" i="30"/>
  <c r="J37" i="29"/>
  <c r="J22" i="30"/>
  <c r="J37" i="30" s="1"/>
  <c r="J75" i="29"/>
  <c r="J61" i="29"/>
  <c r="J18" i="30"/>
  <c r="J34" i="29"/>
  <c r="J14" i="30"/>
  <c r="J40" i="29"/>
  <c r="J4" i="30"/>
  <c r="J2" i="42"/>
  <c r="J38" i="42" s="1"/>
  <c r="J38" i="41"/>
  <c r="J2" i="43"/>
  <c r="J38" i="43" s="1"/>
  <c r="J6" i="42"/>
  <c r="J47" i="42" s="1"/>
  <c r="J47" i="41"/>
  <c r="J6" i="43"/>
  <c r="J47" i="43" s="1"/>
  <c r="J10" i="42"/>
  <c r="J46" i="42" s="1"/>
  <c r="J45" i="42" s="1"/>
  <c r="J46" i="41"/>
  <c r="J10" i="43"/>
  <c r="J46" i="43" s="1"/>
  <c r="J45" i="43" s="1"/>
  <c r="J14" i="42"/>
  <c r="J34" i="42" s="1"/>
  <c r="J34" i="41"/>
  <c r="J14" i="43"/>
  <c r="J34" i="43" s="1"/>
  <c r="J18" i="42"/>
  <c r="J75" i="41"/>
  <c r="J61" i="41"/>
  <c r="J18" i="43"/>
  <c r="J22" i="42"/>
  <c r="J37" i="42" s="1"/>
  <c r="J37" i="41"/>
  <c r="J22" i="43"/>
  <c r="J37" i="43" s="1"/>
  <c r="J26" i="42"/>
  <c r="J36" i="42" s="1"/>
  <c r="J36" i="41"/>
  <c r="J26" i="43"/>
  <c r="J36" i="43" s="1"/>
  <c r="J30" i="42"/>
  <c r="J35" i="42" s="1"/>
  <c r="J35" i="41"/>
  <c r="J30" i="43"/>
  <c r="J35" i="43" s="1"/>
  <c r="CB36" i="38"/>
  <c r="CO36" i="38"/>
  <c r="FA39" i="38"/>
  <c r="FC39" i="38"/>
  <c r="EH32" i="38"/>
  <c r="EH31" i="38"/>
  <c r="BN72" i="38"/>
  <c r="BN58" i="38"/>
  <c r="EY68" i="38"/>
  <c r="EY54" i="38"/>
  <c r="FC38" i="38"/>
  <c r="FA38" i="38"/>
  <c r="EY75" i="38"/>
  <c r="EY61" i="38"/>
  <c r="BN76" i="38"/>
  <c r="BN62" i="38"/>
  <c r="AY12" i="38"/>
  <c r="AK74" i="38"/>
  <c r="AK60" i="38"/>
  <c r="BN73" i="38"/>
  <c r="BN59" i="38"/>
  <c r="FA33" i="38"/>
  <c r="FC33" i="38"/>
  <c r="AY3" i="38"/>
  <c r="AK32" i="38"/>
  <c r="CB37" i="38"/>
  <c r="CO37" i="38"/>
  <c r="CB43" i="38"/>
  <c r="CO43" i="38"/>
  <c r="AY10" i="38"/>
  <c r="AK46" i="38"/>
  <c r="AK45" i="38" s="1"/>
  <c r="EY67" i="38"/>
  <c r="EY53" i="38"/>
  <c r="BN75" i="38"/>
  <c r="BN61" i="38"/>
  <c r="BN69" i="38"/>
  <c r="BN55" i="38"/>
  <c r="AK40" i="38"/>
  <c r="AY4" i="38"/>
  <c r="EV46" i="38"/>
  <c r="EV45" i="38" s="1"/>
  <c r="EX10" i="38"/>
  <c r="EX46" i="38" s="1"/>
  <c r="EV36" i="38"/>
  <c r="EX26" i="38"/>
  <c r="EX36" i="38" s="1"/>
  <c r="FA41" i="38"/>
  <c r="FC41" i="38"/>
  <c r="EY52" i="38"/>
  <c r="EY66" i="38"/>
  <c r="EY65" i="38"/>
  <c r="EY51" i="38"/>
  <c r="FA35" i="38"/>
  <c r="FC35" i="38"/>
  <c r="EV39" i="38"/>
  <c r="EX11" i="38"/>
  <c r="EX39" i="38" s="1"/>
  <c r="EX16" i="38"/>
  <c r="EV72" i="38"/>
  <c r="EV58" i="38"/>
  <c r="CQ64" i="38"/>
  <c r="CQ63" i="38" s="1"/>
  <c r="CQ50" i="38"/>
  <c r="CQ48" i="38" s="1"/>
  <c r="DE25" i="38"/>
  <c r="AY5" i="38"/>
  <c r="AK67" i="38"/>
  <c r="AK53" i="38"/>
  <c r="AK34" i="38"/>
  <c r="AY14" i="38"/>
  <c r="AK55" i="38"/>
  <c r="AK69" i="38"/>
  <c r="AY24" i="38"/>
  <c r="EV71" i="38"/>
  <c r="EV57" i="38"/>
  <c r="EX29" i="38"/>
  <c r="EV49" i="38"/>
  <c r="EX23" i="38"/>
  <c r="EX49" i="38" s="1"/>
  <c r="CM71" i="30"/>
  <c r="CM57" i="30"/>
  <c r="CM64" i="30"/>
  <c r="CM50" i="30"/>
  <c r="CM48" i="30" s="1"/>
  <c r="CM65" i="30"/>
  <c r="CM51" i="30"/>
  <c r="CM52" i="30"/>
  <c r="CM66" i="30"/>
  <c r="CM68" i="30"/>
  <c r="CM54" i="30"/>
  <c r="CM53" i="30"/>
  <c r="CM67" i="30"/>
  <c r="BN5" i="42"/>
  <c r="AO67" i="41"/>
  <c r="AO53" i="41"/>
  <c r="BN5" i="43"/>
  <c r="BN53" i="29"/>
  <c r="BN67" i="29"/>
  <c r="BN27" i="42"/>
  <c r="AO62" i="41"/>
  <c r="AO76" i="41"/>
  <c r="BN27" i="43"/>
  <c r="CM67" i="42"/>
  <c r="CM53" i="42"/>
  <c r="AO57" i="29"/>
  <c r="AO71" i="29"/>
  <c r="BN29" i="30"/>
  <c r="AO62" i="29"/>
  <c r="AO76" i="29"/>
  <c r="BN27" i="30"/>
  <c r="AO64" i="29"/>
  <c r="AO50" i="29"/>
  <c r="BN25" i="30"/>
  <c r="AO49" i="29"/>
  <c r="BN23" i="30"/>
  <c r="AO65" i="29"/>
  <c r="AO51" i="29"/>
  <c r="BN21" i="30"/>
  <c r="AO42" i="29"/>
  <c r="BN19" i="30"/>
  <c r="BN42" i="30" s="1"/>
  <c r="AO52" i="29"/>
  <c r="AO66" i="29"/>
  <c r="BN17" i="30"/>
  <c r="AO44" i="29"/>
  <c r="BN15" i="30"/>
  <c r="AO33" i="29"/>
  <c r="BN13" i="30"/>
  <c r="AO46" i="29"/>
  <c r="BN10" i="30"/>
  <c r="AO47" i="29"/>
  <c r="BN6" i="30"/>
  <c r="AO38" i="41"/>
  <c r="BN2" i="42"/>
  <c r="BN38" i="42" s="1"/>
  <c r="BN2" i="43"/>
  <c r="BN38" i="43" s="1"/>
  <c r="BN10" i="42"/>
  <c r="BN46" i="42" s="1"/>
  <c r="AO46" i="41"/>
  <c r="AO45" i="41" s="1"/>
  <c r="BN10" i="43"/>
  <c r="BN46" i="43" s="1"/>
  <c r="BN18" i="42"/>
  <c r="AO75" i="41"/>
  <c r="AO61" i="41"/>
  <c r="BN18" i="43"/>
  <c r="BN26" i="42"/>
  <c r="BN36" i="42" s="1"/>
  <c r="AO36" i="41"/>
  <c r="BN26" i="43"/>
  <c r="BN36" i="43" s="1"/>
  <c r="BM45" i="29"/>
  <c r="BN69" i="41"/>
  <c r="BN55" i="41"/>
  <c r="CM73" i="42"/>
  <c r="CM59" i="42"/>
  <c r="BM45" i="41"/>
  <c r="BN31" i="41"/>
  <c r="BN73" i="41"/>
  <c r="BN59" i="41"/>
  <c r="CM72" i="42"/>
  <c r="CM58" i="42"/>
  <c r="CM75" i="42"/>
  <c r="CM61" i="42"/>
  <c r="AE52" i="16"/>
  <c r="AE18" i="16"/>
  <c r="AE74" i="16"/>
  <c r="H50" i="16"/>
  <c r="M48" i="16" s="1"/>
  <c r="H64" i="16"/>
  <c r="D50" i="16"/>
  <c r="D64" i="16"/>
  <c r="AH58" i="16"/>
  <c r="H69" i="16"/>
  <c r="K69" i="16" s="1"/>
  <c r="H55" i="16"/>
  <c r="K55" i="16" s="1"/>
  <c r="AH73" i="16"/>
  <c r="AJ62" i="16"/>
  <c r="AH62" i="16"/>
  <c r="H67" i="16"/>
  <c r="K67" i="16" s="1"/>
  <c r="H53" i="16"/>
  <c r="K53" i="16" s="1"/>
  <c r="D72" i="37"/>
  <c r="D58" i="37"/>
  <c r="AE57" i="37"/>
  <c r="AE25" i="37"/>
  <c r="AE42" i="37"/>
  <c r="AC31" i="37"/>
  <c r="AE32" i="37"/>
  <c r="AE69" i="37"/>
  <c r="AH51" i="37"/>
  <c r="AX31" i="43"/>
  <c r="Y62" i="29"/>
  <c r="Y76" i="29"/>
  <c r="Y27" i="30"/>
  <c r="Y49" i="29"/>
  <c r="Y23" i="30"/>
  <c r="Y43" i="29"/>
  <c r="Y28" i="30"/>
  <c r="Y43" i="30" s="1"/>
  <c r="Y70" i="29"/>
  <c r="Y56" i="29"/>
  <c r="Y20" i="30"/>
  <c r="Y71" i="29"/>
  <c r="Y57" i="29"/>
  <c r="Y29" i="30"/>
  <c r="Y46" i="29"/>
  <c r="Y10" i="30"/>
  <c r="Y47" i="29"/>
  <c r="Y6" i="30"/>
  <c r="Y5" i="42"/>
  <c r="Y67" i="41"/>
  <c r="Y53" i="41"/>
  <c r="Y5" i="43"/>
  <c r="Y9" i="42"/>
  <c r="Y68" i="41"/>
  <c r="Y54" i="41"/>
  <c r="Y9" i="43"/>
  <c r="Y13" i="42"/>
  <c r="Y33" i="42" s="1"/>
  <c r="Y33" i="41"/>
  <c r="Y13" i="43"/>
  <c r="Y33" i="43" s="1"/>
  <c r="Y17" i="42"/>
  <c r="Y66" i="41"/>
  <c r="Y52" i="41"/>
  <c r="Y17" i="43"/>
  <c r="Y21" i="42"/>
  <c r="Y65" i="41"/>
  <c r="Y51" i="41"/>
  <c r="Y21" i="43"/>
  <c r="Y25" i="42"/>
  <c r="Y64" i="41"/>
  <c r="Y50" i="41"/>
  <c r="Y25" i="43"/>
  <c r="Y29" i="42"/>
  <c r="Y57" i="41"/>
  <c r="Y71" i="41"/>
  <c r="Y29" i="43"/>
  <c r="AF45" i="43"/>
  <c r="G47" i="29"/>
  <c r="G6" i="30"/>
  <c r="G47" i="30" s="1"/>
  <c r="G76" i="29"/>
  <c r="G62" i="29"/>
  <c r="G27" i="30"/>
  <c r="G49" i="29"/>
  <c r="G23" i="30"/>
  <c r="G42" i="29"/>
  <c r="G19" i="30"/>
  <c r="G44" i="29"/>
  <c r="G15" i="30"/>
  <c r="G46" i="29"/>
  <c r="G45" i="29" s="1"/>
  <c r="G10" i="30"/>
  <c r="G32" i="29"/>
  <c r="G3" i="30"/>
  <c r="G4" i="42"/>
  <c r="G40" i="42" s="1"/>
  <c r="G40" i="41"/>
  <c r="G4" i="43"/>
  <c r="G40" i="43" s="1"/>
  <c r="G8" i="42"/>
  <c r="G41" i="42" s="1"/>
  <c r="G41" i="41"/>
  <c r="G8" i="43"/>
  <c r="G41" i="43" s="1"/>
  <c r="G12" i="42"/>
  <c r="G74" i="41"/>
  <c r="G60" i="41"/>
  <c r="G12" i="43"/>
  <c r="G16" i="42"/>
  <c r="G72" i="41"/>
  <c r="G58" i="41"/>
  <c r="G16" i="43"/>
  <c r="G20" i="42"/>
  <c r="G56" i="41"/>
  <c r="G70" i="41"/>
  <c r="G20" i="43"/>
  <c r="G24" i="42"/>
  <c r="G69" i="41"/>
  <c r="G55" i="41"/>
  <c r="G24" i="43"/>
  <c r="G28" i="42"/>
  <c r="G43" i="42" s="1"/>
  <c r="G43" i="41"/>
  <c r="G28" i="43"/>
  <c r="G43" i="43" s="1"/>
  <c r="AF31" i="42"/>
  <c r="EG41" i="38"/>
  <c r="EU41" i="38"/>
  <c r="DD9" i="38"/>
  <c r="CP68" i="38"/>
  <c r="CP54" i="38"/>
  <c r="CP39" i="38"/>
  <c r="DD11" i="38"/>
  <c r="CP35" i="38"/>
  <c r="DD30" i="38"/>
  <c r="DS70" i="38"/>
  <c r="DS56" i="38"/>
  <c r="CP33" i="38"/>
  <c r="DD13" i="38"/>
  <c r="EG39" i="38"/>
  <c r="EU39" i="38"/>
  <c r="EG43" i="38"/>
  <c r="EU43" i="38"/>
  <c r="EG32" i="38"/>
  <c r="EG31" i="38"/>
  <c r="DS72" i="38"/>
  <c r="DS58" i="38"/>
  <c r="EG35" i="38"/>
  <c r="EU35" i="38"/>
  <c r="CP49" i="38"/>
  <c r="DD23" i="38"/>
  <c r="DD15" i="38"/>
  <c r="CP44" i="38"/>
  <c r="DD27" i="38"/>
  <c r="CP76" i="38"/>
  <c r="CP62" i="38"/>
  <c r="CX17" i="18"/>
  <c r="AR17" i="18"/>
  <c r="CX10" i="18"/>
  <c r="AR10" i="18"/>
  <c r="CX26" i="18"/>
  <c r="CX36" i="18" s="1"/>
  <c r="AR26" i="18"/>
  <c r="CX23" i="18"/>
  <c r="AR23" i="18"/>
  <c r="CX25" i="18"/>
  <c r="AR25" i="18"/>
  <c r="CX15" i="18"/>
  <c r="AR15" i="18"/>
  <c r="CX16" i="18"/>
  <c r="AR16" i="18"/>
  <c r="EA67" i="38"/>
  <c r="EO67" i="38" s="1"/>
  <c r="EA53" i="38"/>
  <c r="EO53" i="38" s="1"/>
  <c r="CX3" i="38"/>
  <c r="AR3" i="38"/>
  <c r="D32" i="38"/>
  <c r="EA55" i="38"/>
  <c r="EO55" i="38" s="1"/>
  <c r="EA69" i="38"/>
  <c r="EO69" i="38" s="1"/>
  <c r="BU74" i="38"/>
  <c r="CI74" i="38" s="1"/>
  <c r="BU60" i="38"/>
  <c r="CI60" i="38" s="1"/>
  <c r="Z31" i="38"/>
  <c r="Z44" i="38"/>
  <c r="O71" i="38"/>
  <c r="Z71" i="38" s="1"/>
  <c r="O57" i="38"/>
  <c r="Z57" i="38" s="1"/>
  <c r="BU53" i="38"/>
  <c r="CI53" i="38" s="1"/>
  <c r="BU67" i="38"/>
  <c r="CI67" i="38" s="1"/>
  <c r="EA52" i="38"/>
  <c r="EO52" i="38" s="1"/>
  <c r="EA66" i="38"/>
  <c r="EO66" i="38" s="1"/>
  <c r="CX19" i="38"/>
  <c r="AR19" i="38"/>
  <c r="D42" i="38"/>
  <c r="Z45" i="38"/>
  <c r="Z46" i="38"/>
  <c r="D40" i="38"/>
  <c r="CX4" i="38"/>
  <c r="AR4" i="38"/>
  <c r="D39" i="38"/>
  <c r="CX11" i="38"/>
  <c r="AR11" i="38"/>
  <c r="AR20" i="38"/>
  <c r="CX20" i="38"/>
  <c r="D70" i="38"/>
  <c r="D56" i="38"/>
  <c r="D46" i="38"/>
  <c r="CX10" i="38"/>
  <c r="AR10" i="38"/>
  <c r="EA70" i="38"/>
  <c r="EO70" i="38" s="1"/>
  <c r="EA56" i="38"/>
  <c r="EO56" i="38" s="1"/>
  <c r="CX24" i="38"/>
  <c r="AR24" i="38"/>
  <c r="D69" i="38"/>
  <c r="D55" i="38"/>
  <c r="EA62" i="38"/>
  <c r="EO62" i="38" s="1"/>
  <c r="EA76" i="38"/>
  <c r="EO76" i="38" s="1"/>
  <c r="CR57" i="30"/>
  <c r="CR71" i="30"/>
  <c r="CR45" i="30"/>
  <c r="AT43" i="29"/>
  <c r="BS28" i="30"/>
  <c r="AT69" i="29"/>
  <c r="AT55" i="29"/>
  <c r="BS24" i="30"/>
  <c r="AT70" i="29"/>
  <c r="AT56" i="29"/>
  <c r="BS20" i="30"/>
  <c r="AT72" i="29"/>
  <c r="AT58" i="29"/>
  <c r="BS16" i="30"/>
  <c r="BS31" i="41"/>
  <c r="AT62" i="29"/>
  <c r="AT76" i="29"/>
  <c r="BS27" i="30"/>
  <c r="AT49" i="29"/>
  <c r="BS23" i="30"/>
  <c r="AT42" i="29"/>
  <c r="BS19" i="30"/>
  <c r="AT44" i="29"/>
  <c r="BS15" i="30"/>
  <c r="BS67" i="41"/>
  <c r="BS53" i="41"/>
  <c r="BS60" i="41"/>
  <c r="BS74" i="41"/>
  <c r="BS61" i="41"/>
  <c r="BS75" i="41"/>
  <c r="BS76" i="41"/>
  <c r="BS62" i="41"/>
  <c r="BR45" i="41"/>
  <c r="BS3" i="42"/>
  <c r="BS32" i="42" s="1"/>
  <c r="AT32" i="41"/>
  <c r="BS3" i="43"/>
  <c r="BS32" i="43" s="1"/>
  <c r="BS7" i="42"/>
  <c r="AT73" i="41"/>
  <c r="AT59" i="41"/>
  <c r="BS7" i="43"/>
  <c r="BS11" i="42"/>
  <c r="BS39" i="42" s="1"/>
  <c r="AT39" i="41"/>
  <c r="BS11" i="43"/>
  <c r="BS39" i="43" s="1"/>
  <c r="BS15" i="42"/>
  <c r="BS44" i="42" s="1"/>
  <c r="AT44" i="41"/>
  <c r="BS15" i="43"/>
  <c r="BS44" i="43" s="1"/>
  <c r="BS19" i="42"/>
  <c r="BS42" i="42" s="1"/>
  <c r="AT42" i="41"/>
  <c r="BS19" i="43"/>
  <c r="BS42" i="43" s="1"/>
  <c r="BS23" i="42"/>
  <c r="BS49" i="42" s="1"/>
  <c r="AT49" i="41"/>
  <c r="BS23" i="43"/>
  <c r="BS49" i="43" s="1"/>
  <c r="BS27" i="42"/>
  <c r="AT76" i="41"/>
  <c r="AT62" i="41"/>
  <c r="BS27" i="43"/>
  <c r="CR67" i="42"/>
  <c r="CR53" i="42"/>
  <c r="CR68" i="42"/>
  <c r="CR54" i="42"/>
  <c r="CR66" i="42"/>
  <c r="CR52" i="42"/>
  <c r="CR51" i="42"/>
  <c r="CR48" i="42" s="1"/>
  <c r="CR65" i="42"/>
  <c r="CR64" i="42"/>
  <c r="CR50" i="42"/>
  <c r="CR71" i="42"/>
  <c r="CR57" i="42"/>
  <c r="CC69" i="30"/>
  <c r="CC55" i="30"/>
  <c r="CC56" i="30"/>
  <c r="CC70" i="30"/>
  <c r="CC58" i="30"/>
  <c r="CC72" i="30"/>
  <c r="CC74" i="30"/>
  <c r="CC60" i="30"/>
  <c r="BD59" i="29"/>
  <c r="BD73" i="29"/>
  <c r="BD57" i="29"/>
  <c r="BD71" i="29"/>
  <c r="BD76" i="29"/>
  <c r="BD62" i="29"/>
  <c r="BD64" i="29"/>
  <c r="BD63" i="29" s="1"/>
  <c r="BD50" i="29"/>
  <c r="BD65" i="29"/>
  <c r="BD51" i="29"/>
  <c r="BD48" i="29" s="1"/>
  <c r="BD52" i="29"/>
  <c r="BD66" i="29"/>
  <c r="BD31" i="41"/>
  <c r="BD73" i="41"/>
  <c r="BD59" i="41"/>
  <c r="AE53" i="29"/>
  <c r="AE67" i="29"/>
  <c r="BD5" i="30"/>
  <c r="AE32" i="29"/>
  <c r="BD3" i="30"/>
  <c r="BD52" i="41"/>
  <c r="BD66" i="41"/>
  <c r="BD51" i="41"/>
  <c r="BD65" i="41"/>
  <c r="BD3" i="42"/>
  <c r="BD32" i="42" s="1"/>
  <c r="AE32" i="41"/>
  <c r="AE31" i="41" s="1"/>
  <c r="BD3" i="43"/>
  <c r="BD32" i="43" s="1"/>
  <c r="BD7" i="42"/>
  <c r="AE73" i="41"/>
  <c r="AE59" i="41"/>
  <c r="BD7" i="43"/>
  <c r="BD11" i="42"/>
  <c r="BD39" i="42" s="1"/>
  <c r="AE39" i="41"/>
  <c r="BD11" i="43"/>
  <c r="BD39" i="43" s="1"/>
  <c r="BD15" i="42"/>
  <c r="BD44" i="42" s="1"/>
  <c r="AE44" i="41"/>
  <c r="BD15" i="43"/>
  <c r="BD44" i="43" s="1"/>
  <c r="BD19" i="42"/>
  <c r="BD42" i="42" s="1"/>
  <c r="AE42" i="41"/>
  <c r="BD19" i="43"/>
  <c r="BD42" i="43" s="1"/>
  <c r="BD23" i="42"/>
  <c r="BD49" i="42" s="1"/>
  <c r="AE49" i="41"/>
  <c r="BD23" i="43"/>
  <c r="BD49" i="43" s="1"/>
  <c r="BD27" i="42"/>
  <c r="AE62" i="41"/>
  <c r="AE76" i="41"/>
  <c r="BD27" i="43"/>
  <c r="CC62" i="42"/>
  <c r="CC76" i="42"/>
  <c r="AH69" i="16"/>
  <c r="AP31" i="30"/>
  <c r="AP45" i="43"/>
  <c r="Q36" i="29"/>
  <c r="Q26" i="30"/>
  <c r="Q35" i="29"/>
  <c r="Q30" i="30"/>
  <c r="Q35" i="30" s="1"/>
  <c r="Q62" i="29"/>
  <c r="Q76" i="29"/>
  <c r="Q27" i="30"/>
  <c r="Q42" i="29"/>
  <c r="Q19" i="30"/>
  <c r="Q43" i="29"/>
  <c r="Q28" i="30"/>
  <c r="Q46" i="29"/>
  <c r="Q45" i="29" s="1"/>
  <c r="Q10" i="30"/>
  <c r="Q47" i="29"/>
  <c r="Q6" i="30"/>
  <c r="Q5" i="42"/>
  <c r="Q67" i="41"/>
  <c r="Q53" i="41"/>
  <c r="Q5" i="43"/>
  <c r="Q9" i="42"/>
  <c r="Q54" i="41"/>
  <c r="Q68" i="41"/>
  <c r="Q9" i="43"/>
  <c r="Q13" i="42"/>
  <c r="Q33" i="42" s="1"/>
  <c r="Q33" i="41"/>
  <c r="Q13" i="43"/>
  <c r="Q33" i="43" s="1"/>
  <c r="Q17" i="42"/>
  <c r="Q52" i="41"/>
  <c r="Q66" i="41"/>
  <c r="Q17" i="43"/>
  <c r="Q21" i="42"/>
  <c r="Q65" i="41"/>
  <c r="Q51" i="41"/>
  <c r="Q21" i="43"/>
  <c r="Q25" i="42"/>
  <c r="Q64" i="41"/>
  <c r="Q63" i="41" s="1"/>
  <c r="Q50" i="41"/>
  <c r="Q25" i="43"/>
  <c r="Q29" i="42"/>
  <c r="Q71" i="41"/>
  <c r="Q57" i="41"/>
  <c r="Q29" i="43"/>
  <c r="AX38" i="32"/>
  <c r="BB38" i="32"/>
  <c r="AX45" i="32"/>
  <c r="AX46" i="32"/>
  <c r="AX41" i="32"/>
  <c r="BB41" i="32"/>
  <c r="AO47" i="32"/>
  <c r="AT74" i="32"/>
  <c r="AT60" i="32"/>
  <c r="AO65" i="32"/>
  <c r="AO51" i="32"/>
  <c r="AO43" i="32"/>
  <c r="AX49" i="32"/>
  <c r="AO44" i="32"/>
  <c r="AO71" i="32"/>
  <c r="AO57" i="32"/>
  <c r="AX34" i="32"/>
  <c r="AX35" i="32"/>
  <c r="BB35" i="32"/>
  <c r="AO58" i="32"/>
  <c r="AO72" i="32"/>
  <c r="AO35" i="32"/>
  <c r="AT76" i="32"/>
  <c r="AT62" i="32"/>
  <c r="CT55" i="30"/>
  <c r="CT69" i="30"/>
  <c r="CT56" i="30"/>
  <c r="CT70" i="30"/>
  <c r="CT72" i="30"/>
  <c r="CT58" i="30"/>
  <c r="CT60" i="30"/>
  <c r="CT74" i="30"/>
  <c r="CT45" i="43"/>
  <c r="BU61" i="41"/>
  <c r="BU75" i="41"/>
  <c r="BU68" i="29"/>
  <c r="BU54" i="29"/>
  <c r="BU53" i="29"/>
  <c r="BU67" i="29"/>
  <c r="BU64" i="41"/>
  <c r="BU50" i="41"/>
  <c r="BU57" i="29"/>
  <c r="BU71" i="29"/>
  <c r="BU76" i="29"/>
  <c r="BU62" i="29"/>
  <c r="BU64" i="29"/>
  <c r="BU50" i="29"/>
  <c r="BU65" i="29"/>
  <c r="BU51" i="29"/>
  <c r="BU48" i="29" s="1"/>
  <c r="BU66" i="29"/>
  <c r="BU52" i="29"/>
  <c r="BU76" i="41"/>
  <c r="BU62" i="41"/>
  <c r="BU31" i="29"/>
  <c r="BU31" i="41"/>
  <c r="BU73" i="41"/>
  <c r="BU59" i="41"/>
  <c r="BU4" i="42"/>
  <c r="BU40" i="42" s="1"/>
  <c r="AV40" i="41"/>
  <c r="BU4" i="43"/>
  <c r="BU40" i="43" s="1"/>
  <c r="BU8" i="42"/>
  <c r="BU41" i="42" s="1"/>
  <c r="AV41" i="41"/>
  <c r="BU8" i="43"/>
  <c r="BU41" i="43" s="1"/>
  <c r="BU12" i="42"/>
  <c r="AV60" i="41"/>
  <c r="AV74" i="41"/>
  <c r="BU12" i="43"/>
  <c r="BU16" i="42"/>
  <c r="AV58" i="41"/>
  <c r="AV72" i="41"/>
  <c r="BU16" i="43"/>
  <c r="BU20" i="42"/>
  <c r="AV70" i="41"/>
  <c r="AV56" i="41"/>
  <c r="BU20" i="43"/>
  <c r="BU24" i="42"/>
  <c r="AV55" i="41"/>
  <c r="AV69" i="41"/>
  <c r="BU24" i="43"/>
  <c r="BU28" i="42"/>
  <c r="BU43" i="42" s="1"/>
  <c r="AV43" i="41"/>
  <c r="BU28" i="43"/>
  <c r="BU43" i="43" s="1"/>
  <c r="CT58" i="42"/>
  <c r="CT72" i="42"/>
  <c r="CT53" i="42"/>
  <c r="CT67" i="42"/>
  <c r="CT62" i="42"/>
  <c r="CT76" i="42"/>
  <c r="CI61" i="30"/>
  <c r="CI75" i="30"/>
  <c r="AK46" i="29"/>
  <c r="BJ10" i="30"/>
  <c r="BJ46" i="30" s="1"/>
  <c r="BJ68" i="29"/>
  <c r="BJ54" i="29"/>
  <c r="BJ55" i="29"/>
  <c r="BJ69" i="29"/>
  <c r="BJ70" i="29"/>
  <c r="BJ56" i="29"/>
  <c r="BJ61" i="29"/>
  <c r="BJ75" i="29"/>
  <c r="BJ58" i="29"/>
  <c r="BJ72" i="29"/>
  <c r="BJ74" i="29"/>
  <c r="BJ60" i="29"/>
  <c r="AK54" i="29"/>
  <c r="AK68" i="29"/>
  <c r="BJ9" i="30"/>
  <c r="BJ53" i="29"/>
  <c r="BJ48" i="29" s="1"/>
  <c r="BJ67" i="29"/>
  <c r="BJ60" i="41"/>
  <c r="BJ74" i="41"/>
  <c r="BJ61" i="41"/>
  <c r="BJ75" i="41"/>
  <c r="BJ62" i="41"/>
  <c r="BJ76" i="41"/>
  <c r="BJ4" i="42"/>
  <c r="BJ40" i="42" s="1"/>
  <c r="AK40" i="41"/>
  <c r="BJ4" i="43"/>
  <c r="BJ40" i="43" s="1"/>
  <c r="AK41" i="41"/>
  <c r="BJ8" i="42"/>
  <c r="BJ41" i="42" s="1"/>
  <c r="BJ8" i="43"/>
  <c r="BJ41" i="43" s="1"/>
  <c r="BJ12" i="42"/>
  <c r="AK74" i="41"/>
  <c r="AK60" i="41"/>
  <c r="BJ12" i="43"/>
  <c r="BJ16" i="42"/>
  <c r="AK72" i="41"/>
  <c r="AK58" i="41"/>
  <c r="BJ16" i="43"/>
  <c r="BJ20" i="42"/>
  <c r="AK70" i="41"/>
  <c r="AK56" i="41"/>
  <c r="BJ20" i="43"/>
  <c r="BJ24" i="42"/>
  <c r="AK69" i="41"/>
  <c r="AK55" i="41"/>
  <c r="BJ24" i="43"/>
  <c r="BJ28" i="42"/>
  <c r="BJ43" i="42" s="1"/>
  <c r="AK43" i="41"/>
  <c r="BJ28" i="43"/>
  <c r="BJ43" i="43" s="1"/>
  <c r="CI67" i="42"/>
  <c r="CI53" i="42"/>
  <c r="CI31" i="42"/>
  <c r="CI51" i="42"/>
  <c r="CI65" i="42"/>
  <c r="CI64" i="42"/>
  <c r="CI50" i="42"/>
  <c r="CI71" i="42"/>
  <c r="CI57" i="42"/>
  <c r="F7" i="16"/>
  <c r="D73" i="16"/>
  <c r="D59" i="16"/>
  <c r="AH71" i="37"/>
  <c r="AJ71" i="37"/>
  <c r="AE40" i="37"/>
  <c r="U57" i="29"/>
  <c r="U71" i="29"/>
  <c r="U29" i="30"/>
  <c r="U65" i="29"/>
  <c r="U51" i="29"/>
  <c r="U21" i="30"/>
  <c r="U33" i="29"/>
  <c r="U13" i="30"/>
  <c r="U69" i="29"/>
  <c r="U55" i="29"/>
  <c r="U24" i="30"/>
  <c r="U72" i="29"/>
  <c r="U58" i="29"/>
  <c r="U16" i="30"/>
  <c r="U46" i="29"/>
  <c r="U10" i="30"/>
  <c r="U47" i="29"/>
  <c r="U6" i="30"/>
  <c r="U5" i="42"/>
  <c r="U53" i="41"/>
  <c r="U67" i="41"/>
  <c r="U5" i="43"/>
  <c r="U9" i="42"/>
  <c r="U68" i="41"/>
  <c r="U54" i="41"/>
  <c r="U9" i="43"/>
  <c r="U13" i="42"/>
  <c r="U33" i="42" s="1"/>
  <c r="U33" i="41"/>
  <c r="U13" i="43"/>
  <c r="U33" i="43" s="1"/>
  <c r="U17" i="42"/>
  <c r="U52" i="41"/>
  <c r="U66" i="41"/>
  <c r="U17" i="43"/>
  <c r="U21" i="42"/>
  <c r="U65" i="41"/>
  <c r="U51" i="41"/>
  <c r="U21" i="43"/>
  <c r="U25" i="42"/>
  <c r="U64" i="41"/>
  <c r="U50" i="41"/>
  <c r="U25" i="43"/>
  <c r="U29" i="42"/>
  <c r="U71" i="41"/>
  <c r="U57" i="41"/>
  <c r="U29" i="43"/>
  <c r="AE45" i="43"/>
  <c r="F35" i="29"/>
  <c r="F30" i="30"/>
  <c r="F36" i="29"/>
  <c r="F26" i="30"/>
  <c r="F37" i="29"/>
  <c r="F22" i="30"/>
  <c r="F61" i="29"/>
  <c r="F75" i="29"/>
  <c r="F18" i="30"/>
  <c r="F34" i="29"/>
  <c r="F14" i="30"/>
  <c r="F34" i="30" s="1"/>
  <c r="F41" i="29"/>
  <c r="F8" i="30"/>
  <c r="F32" i="29"/>
  <c r="F3" i="30"/>
  <c r="F32" i="30" s="1"/>
  <c r="F4" i="42"/>
  <c r="F40" i="42" s="1"/>
  <c r="F40" i="41"/>
  <c r="F4" i="43"/>
  <c r="F40" i="43" s="1"/>
  <c r="F8" i="42"/>
  <c r="F41" i="42" s="1"/>
  <c r="F41" i="41"/>
  <c r="F8" i="43"/>
  <c r="F41" i="43" s="1"/>
  <c r="F12" i="42"/>
  <c r="F60" i="41"/>
  <c r="F74" i="41"/>
  <c r="F12" i="43"/>
  <c r="F16" i="42"/>
  <c r="F58" i="41"/>
  <c r="F72" i="41"/>
  <c r="F16" i="43"/>
  <c r="F20" i="42"/>
  <c r="F56" i="41"/>
  <c r="F70" i="41"/>
  <c r="F20" i="43"/>
  <c r="F24" i="42"/>
  <c r="F69" i="41"/>
  <c r="F55" i="41"/>
  <c r="F24" i="43"/>
  <c r="F28" i="42"/>
  <c r="F43" i="42" s="1"/>
  <c r="F43" i="41"/>
  <c r="F28" i="43"/>
  <c r="F43" i="43" s="1"/>
  <c r="CY4" i="18"/>
  <c r="AS4" i="18"/>
  <c r="CY9" i="18"/>
  <c r="AS9" i="18"/>
  <c r="CY25" i="18"/>
  <c r="AS25" i="18"/>
  <c r="CY18" i="18"/>
  <c r="AS18" i="18"/>
  <c r="CY12" i="18"/>
  <c r="AS12" i="18"/>
  <c r="CY10" i="18"/>
  <c r="CY46" i="18" s="1"/>
  <c r="AS10" i="18"/>
  <c r="CY11" i="18"/>
  <c r="AS11" i="18"/>
  <c r="CY27" i="18"/>
  <c r="AS27" i="18"/>
  <c r="E38" i="38"/>
  <c r="CY2" i="38"/>
  <c r="AS2" i="38"/>
  <c r="CY24" i="38"/>
  <c r="AS24" i="38"/>
  <c r="E69" i="38"/>
  <c r="E55" i="38"/>
  <c r="AS14" i="38"/>
  <c r="E34" i="38"/>
  <c r="CY14" i="38"/>
  <c r="E47" i="38"/>
  <c r="AS6" i="38"/>
  <c r="CY6" i="38"/>
  <c r="E33" i="38"/>
  <c r="AS13" i="38"/>
  <c r="CY13" i="38"/>
  <c r="P75" i="38"/>
  <c r="AA75" i="38" s="1"/>
  <c r="P61" i="38"/>
  <c r="AA61" i="38" s="1"/>
  <c r="EB67" i="38"/>
  <c r="EP67" i="38" s="1"/>
  <c r="EB53" i="38"/>
  <c r="EP53" i="38" s="1"/>
  <c r="CY15" i="38"/>
  <c r="AS15" i="38"/>
  <c r="E44" i="38"/>
  <c r="P70" i="38"/>
  <c r="AA70" i="38" s="1"/>
  <c r="P56" i="38"/>
  <c r="AA56" i="38" s="1"/>
  <c r="EB73" i="38"/>
  <c r="EP73" i="38" s="1"/>
  <c r="EB59" i="38"/>
  <c r="EP59" i="38" s="1"/>
  <c r="EB66" i="38"/>
  <c r="EP66" i="38" s="1"/>
  <c r="EB52" i="38"/>
  <c r="EP52" i="38" s="1"/>
  <c r="CY21" i="38"/>
  <c r="AS21" i="38"/>
  <c r="E65" i="38"/>
  <c r="E51" i="38"/>
  <c r="EB75" i="38"/>
  <c r="EP75" i="38" s="1"/>
  <c r="EB61" i="38"/>
  <c r="EP61" i="38" s="1"/>
  <c r="CY12" i="38"/>
  <c r="E60" i="38"/>
  <c r="AS12" i="38"/>
  <c r="E74" i="38"/>
  <c r="BV58" i="38"/>
  <c r="CJ58" i="38" s="1"/>
  <c r="BV72" i="38"/>
  <c r="CJ72" i="38" s="1"/>
  <c r="CY26" i="38"/>
  <c r="E36" i="38"/>
  <c r="AS26" i="38"/>
  <c r="EB62" i="38"/>
  <c r="EP62" i="38" s="1"/>
  <c r="EB76" i="38"/>
  <c r="EP76" i="38" s="1"/>
  <c r="CY25" i="38"/>
  <c r="AS25" i="38"/>
  <c r="E64" i="38"/>
  <c r="E50" i="38"/>
  <c r="CF67" i="30"/>
  <c r="CF53" i="30"/>
  <c r="CF31" i="43"/>
  <c r="BG50" i="29"/>
  <c r="BG64" i="29"/>
  <c r="BG63" i="29" s="1"/>
  <c r="AH43" i="29"/>
  <c r="BG28" i="30"/>
  <c r="AH70" i="29"/>
  <c r="AH56" i="29"/>
  <c r="BG20" i="30"/>
  <c r="BG69" i="29"/>
  <c r="BG55" i="29"/>
  <c r="BG56" i="29"/>
  <c r="BG70" i="29"/>
  <c r="BG72" i="29"/>
  <c r="BG58" i="29"/>
  <c r="BG60" i="29"/>
  <c r="BG74" i="29"/>
  <c r="BG31" i="41"/>
  <c r="BG66" i="41"/>
  <c r="BG52" i="41"/>
  <c r="BG65" i="41"/>
  <c r="BG51" i="41"/>
  <c r="AH39" i="29"/>
  <c r="BG11" i="30"/>
  <c r="BG39" i="30" s="1"/>
  <c r="AH68" i="29"/>
  <c r="AH54" i="29"/>
  <c r="BG9" i="30"/>
  <c r="AH59" i="29"/>
  <c r="AH73" i="29"/>
  <c r="BG7" i="30"/>
  <c r="AH53" i="29"/>
  <c r="AH67" i="29"/>
  <c r="BG5" i="30"/>
  <c r="AH32" i="29"/>
  <c r="BG3" i="30"/>
  <c r="BG54" i="41"/>
  <c r="BG68" i="41"/>
  <c r="BG2" i="42"/>
  <c r="BG38" i="42" s="1"/>
  <c r="AH38" i="41"/>
  <c r="BG2" i="43"/>
  <c r="BG38" i="43" s="1"/>
  <c r="BG6" i="42"/>
  <c r="BG47" i="42" s="1"/>
  <c r="AH47" i="41"/>
  <c r="BG6" i="43"/>
  <c r="BG47" i="43" s="1"/>
  <c r="BG10" i="42"/>
  <c r="BG46" i="42" s="1"/>
  <c r="BG45" i="42" s="1"/>
  <c r="AH46" i="41"/>
  <c r="BG10" i="43"/>
  <c r="BG46" i="43" s="1"/>
  <c r="BG45" i="43" s="1"/>
  <c r="BG14" i="42"/>
  <c r="BG34" i="42" s="1"/>
  <c r="AH34" i="41"/>
  <c r="BG14" i="43"/>
  <c r="BG34" i="43" s="1"/>
  <c r="BG18" i="42"/>
  <c r="AH75" i="41"/>
  <c r="AH61" i="41"/>
  <c r="BG18" i="43"/>
  <c r="BG22" i="42"/>
  <c r="BG37" i="42" s="1"/>
  <c r="AH37" i="41"/>
  <c r="BG22" i="43"/>
  <c r="BG37" i="43" s="1"/>
  <c r="BG26" i="42"/>
  <c r="BG36" i="42" s="1"/>
  <c r="AH36" i="41"/>
  <c r="BG26" i="43"/>
  <c r="BG36" i="43" s="1"/>
  <c r="BG30" i="42"/>
  <c r="BG35" i="42" s="1"/>
  <c r="AH35" i="41"/>
  <c r="BG30" i="43"/>
  <c r="BG35" i="43" s="1"/>
  <c r="CF74" i="42"/>
  <c r="CF60" i="42"/>
  <c r="CF72" i="42"/>
  <c r="CF58" i="42"/>
  <c r="CF70" i="42"/>
  <c r="CF56" i="42"/>
  <c r="CF69" i="42"/>
  <c r="CF55" i="42"/>
  <c r="AY55" i="37"/>
  <c r="BE55" i="37" s="1"/>
  <c r="AY69" i="37"/>
  <c r="BE69" i="37" s="1"/>
  <c r="AU7" i="37"/>
  <c r="AX7" i="37"/>
  <c r="AW7" i="37"/>
  <c r="AT7" i="37"/>
  <c r="AX23" i="37"/>
  <c r="AU23" i="37"/>
  <c r="AW23" i="37"/>
  <c r="AT23" i="37"/>
  <c r="BD74" i="37"/>
  <c r="BJ74" i="37" s="1"/>
  <c r="BD60" i="37"/>
  <c r="BJ60" i="37" s="1"/>
  <c r="F32" i="37"/>
  <c r="E31" i="37"/>
  <c r="R50" i="37"/>
  <c r="R64" i="37"/>
  <c r="N51" i="37"/>
  <c r="N65" i="37"/>
  <c r="Q67" i="37"/>
  <c r="Q53" i="37"/>
  <c r="AB71" i="37"/>
  <c r="AB57" i="37"/>
  <c r="Y74" i="37"/>
  <c r="Y60" i="37"/>
  <c r="AX17" i="37"/>
  <c r="AU17" i="37"/>
  <c r="AT17" i="37"/>
  <c r="AW17" i="37"/>
  <c r="F16" i="37"/>
  <c r="E72" i="37"/>
  <c r="E58" i="37"/>
  <c r="O64" i="37"/>
  <c r="O50" i="37"/>
  <c r="R75" i="37"/>
  <c r="R61" i="37"/>
  <c r="P60" i="37"/>
  <c r="P74" i="37"/>
  <c r="R31" i="37"/>
  <c r="AI66" i="37"/>
  <c r="AI52" i="37"/>
  <c r="Z70" i="37"/>
  <c r="Z56" i="37"/>
  <c r="AA73" i="37"/>
  <c r="AA59" i="37"/>
  <c r="BB66" i="37"/>
  <c r="BH66" i="37" s="1"/>
  <c r="BB52" i="37"/>
  <c r="BH52" i="37" s="1"/>
  <c r="BG31" i="37"/>
  <c r="BG32" i="37"/>
  <c r="AB69" i="37"/>
  <c r="AB55" i="37"/>
  <c r="AA65" i="37"/>
  <c r="AA51" i="37"/>
  <c r="Z75" i="37"/>
  <c r="Z61" i="37"/>
  <c r="X74" i="37"/>
  <c r="X60" i="37"/>
  <c r="AA53" i="37"/>
  <c r="AA67" i="37"/>
  <c r="AY76" i="37"/>
  <c r="BE76" i="37" s="1"/>
  <c r="AY62" i="37"/>
  <c r="BE62" i="37" s="1"/>
  <c r="BA52" i="37"/>
  <c r="BG52" i="37" s="1"/>
  <c r="BA66" i="37"/>
  <c r="BG66" i="37" s="1"/>
  <c r="O74" i="37"/>
  <c r="O60" i="37"/>
  <c r="N54" i="37"/>
  <c r="N68" i="37"/>
  <c r="R53" i="37"/>
  <c r="R67" i="37"/>
  <c r="AD45" i="37"/>
  <c r="AD75" i="37"/>
  <c r="AE75" i="37" s="1"/>
  <c r="AD61" i="37"/>
  <c r="AE61" i="37" s="1"/>
  <c r="I52" i="37"/>
  <c r="L52" i="37" s="1"/>
  <c r="I66" i="37"/>
  <c r="L66" i="37" s="1"/>
  <c r="Z50" i="37"/>
  <c r="AA74" i="37"/>
  <c r="AA60" i="37"/>
  <c r="Z68" i="37"/>
  <c r="Z54" i="37"/>
  <c r="X31" i="37"/>
  <c r="X32" i="37"/>
  <c r="BB61" i="37"/>
  <c r="BH61" i="37" s="1"/>
  <c r="BB75" i="37"/>
  <c r="BH75" i="37" s="1"/>
  <c r="AX4" i="37"/>
  <c r="AU4" i="37"/>
  <c r="AW4" i="37"/>
  <c r="AT4" i="37"/>
  <c r="AX12" i="37"/>
  <c r="AU12" i="37"/>
  <c r="AW12" i="37"/>
  <c r="AT12" i="37"/>
  <c r="AX20" i="37"/>
  <c r="AU20" i="37"/>
  <c r="AW20" i="37"/>
  <c r="AT20" i="37"/>
  <c r="AX28" i="37"/>
  <c r="AU28" i="37"/>
  <c r="AT28" i="37"/>
  <c r="AW28" i="37"/>
  <c r="BA56" i="37"/>
  <c r="BG56" i="37" s="1"/>
  <c r="BA70" i="37"/>
  <c r="BG70" i="37" s="1"/>
  <c r="BD75" i="37"/>
  <c r="BJ75" i="37" s="1"/>
  <c r="BD61" i="37"/>
  <c r="BJ61" i="37" s="1"/>
  <c r="AD67" i="16"/>
  <c r="AE67" i="16" s="1"/>
  <c r="AD53" i="16"/>
  <c r="AE53" i="16" s="1"/>
  <c r="BE49" i="16"/>
  <c r="E59" i="16"/>
  <c r="E73" i="16"/>
  <c r="BB68" i="16"/>
  <c r="BH68" i="16" s="1"/>
  <c r="BB54" i="16"/>
  <c r="BH54" i="16" s="1"/>
  <c r="I65" i="16"/>
  <c r="L65" i="16" s="1"/>
  <c r="I51" i="16"/>
  <c r="L51" i="16" s="1"/>
  <c r="I59" i="16"/>
  <c r="L59" i="16" s="1"/>
  <c r="I73" i="16"/>
  <c r="L73" i="16" s="1"/>
  <c r="N51" i="16"/>
  <c r="N65" i="16"/>
  <c r="AI49" i="16"/>
  <c r="AY76" i="16"/>
  <c r="BE76" i="16" s="1"/>
  <c r="AY62" i="16"/>
  <c r="BE62" i="16" s="1"/>
  <c r="AB31" i="16"/>
  <c r="AB32" i="16"/>
  <c r="O68" i="16"/>
  <c r="O54" i="16"/>
  <c r="AD66" i="16"/>
  <c r="AE66" i="16" s="1"/>
  <c r="AD52" i="16"/>
  <c r="AI40" i="16"/>
  <c r="AG40" i="16"/>
  <c r="AJ40" i="16" s="1"/>
  <c r="AY61" i="16"/>
  <c r="BE61" i="16" s="1"/>
  <c r="AY75" i="16"/>
  <c r="BE75" i="16" s="1"/>
  <c r="AV73" i="16"/>
  <c r="AV59" i="16"/>
  <c r="Q72" i="16"/>
  <c r="Q58" i="16"/>
  <c r="BB75" i="16"/>
  <c r="BH75" i="16" s="1"/>
  <c r="BB61" i="16"/>
  <c r="BH61" i="16" s="1"/>
  <c r="BH49" i="16"/>
  <c r="Q67" i="16"/>
  <c r="Q53" i="16"/>
  <c r="I62" i="16"/>
  <c r="L62" i="16" s="1"/>
  <c r="I76" i="16"/>
  <c r="L76" i="16" s="1"/>
  <c r="BA71" i="16"/>
  <c r="BG71" i="16" s="1"/>
  <c r="BA57" i="16"/>
  <c r="BG57" i="16" s="1"/>
  <c r="AG67" i="16"/>
  <c r="AI67" i="16" s="1"/>
  <c r="AG53" i="16"/>
  <c r="AI53" i="16" s="1"/>
  <c r="AG34" i="16"/>
  <c r="AJ34" i="16" s="1"/>
  <c r="AY58" i="16"/>
  <c r="BE58" i="16" s="1"/>
  <c r="AY72" i="16"/>
  <c r="BE72" i="16" s="1"/>
  <c r="AY51" i="16"/>
  <c r="BE51" i="16" s="1"/>
  <c r="AY65" i="16"/>
  <c r="BE65" i="16" s="1"/>
  <c r="P31" i="16"/>
  <c r="AW13" i="16"/>
  <c r="AW33" i="16" s="1"/>
  <c r="AT13" i="16"/>
  <c r="AT33" i="16" s="1"/>
  <c r="AX13" i="16"/>
  <c r="AX33" i="16" s="1"/>
  <c r="AU13" i="16"/>
  <c r="AU33" i="16" s="1"/>
  <c r="AS33" i="16"/>
  <c r="AD72" i="16"/>
  <c r="AE72" i="16" s="1"/>
  <c r="AD58" i="16"/>
  <c r="AE58" i="16" s="1"/>
  <c r="AV70" i="16"/>
  <c r="AV56" i="16"/>
  <c r="BD57" i="16"/>
  <c r="BJ57" i="16" s="1"/>
  <c r="BD71" i="16"/>
  <c r="BJ71" i="16" s="1"/>
  <c r="X32" i="16"/>
  <c r="X31" i="16"/>
  <c r="I67" i="16"/>
  <c r="L67" i="16" s="1"/>
  <c r="I53" i="16"/>
  <c r="L53" i="16" s="1"/>
  <c r="S68" i="16"/>
  <c r="X68" i="16" s="1"/>
  <c r="S54" i="16"/>
  <c r="X54" i="16" s="1"/>
  <c r="V60" i="16"/>
  <c r="AA60" i="16" s="1"/>
  <c r="V74" i="16"/>
  <c r="AA74" i="16" s="1"/>
  <c r="T72" i="16"/>
  <c r="Y72" i="16" s="1"/>
  <c r="T58" i="16"/>
  <c r="Y58" i="16" s="1"/>
  <c r="AV52" i="16"/>
  <c r="AV48" i="16" s="1"/>
  <c r="AV66" i="16"/>
  <c r="Q51" i="16"/>
  <c r="Q65" i="16"/>
  <c r="Y49" i="16"/>
  <c r="O64" i="16"/>
  <c r="O50" i="16"/>
  <c r="S57" i="16"/>
  <c r="X57" i="16" s="1"/>
  <c r="S71" i="16"/>
  <c r="X71" i="16" s="1"/>
  <c r="AX3" i="16"/>
  <c r="AX32" i="16" s="1"/>
  <c r="AW3" i="16"/>
  <c r="AW32" i="16" s="1"/>
  <c r="AW31" i="16" s="1"/>
  <c r="AT3" i="16"/>
  <c r="AT32" i="16" s="1"/>
  <c r="AU3" i="16"/>
  <c r="AU32" i="16" s="1"/>
  <c r="AS32" i="16"/>
  <c r="N67" i="16"/>
  <c r="N53" i="16"/>
  <c r="E68" i="16"/>
  <c r="E54" i="16"/>
  <c r="Z45" i="16"/>
  <c r="Z46" i="16"/>
  <c r="O74" i="16"/>
  <c r="O60" i="16"/>
  <c r="AV58" i="16"/>
  <c r="AV72" i="16"/>
  <c r="W75" i="16"/>
  <c r="AB75" i="16" s="1"/>
  <c r="W61" i="16"/>
  <c r="AB61" i="16" s="1"/>
  <c r="Q56" i="16"/>
  <c r="Q70" i="16"/>
  <c r="P64" i="16"/>
  <c r="P50" i="16"/>
  <c r="R76" i="16"/>
  <c r="R62" i="16"/>
  <c r="AX29" i="16"/>
  <c r="AU29" i="16"/>
  <c r="AW29" i="16"/>
  <c r="AS57" i="16"/>
  <c r="AT29" i="16"/>
  <c r="AS71" i="16"/>
  <c r="BD53" i="16"/>
  <c r="BJ53" i="16" s="1"/>
  <c r="BD67" i="16"/>
  <c r="BJ67" i="16" s="1"/>
  <c r="V73" i="16"/>
  <c r="AA73" i="16" s="1"/>
  <c r="V59" i="16"/>
  <c r="AA59" i="16" s="1"/>
  <c r="Q68" i="16"/>
  <c r="Q54" i="16"/>
  <c r="P74" i="16"/>
  <c r="P60" i="16"/>
  <c r="AS44" i="16"/>
  <c r="AT15" i="16"/>
  <c r="AT44" i="16" s="1"/>
  <c r="AW15" i="16"/>
  <c r="AW44" i="16" s="1"/>
  <c r="AX15" i="16"/>
  <c r="AX44" i="16" s="1"/>
  <c r="AU15" i="16"/>
  <c r="AU44" i="16" s="1"/>
  <c r="O52" i="16"/>
  <c r="O66" i="16"/>
  <c r="E75" i="16"/>
  <c r="E61" i="16"/>
  <c r="BD61" i="16"/>
  <c r="BJ61" i="16" s="1"/>
  <c r="BD75" i="16"/>
  <c r="BJ75" i="16" s="1"/>
  <c r="V56" i="16"/>
  <c r="AA56" i="16" s="1"/>
  <c r="V70" i="16"/>
  <c r="AA70" i="16" s="1"/>
  <c r="BD51" i="16"/>
  <c r="BJ51" i="16" s="1"/>
  <c r="BD65" i="16"/>
  <c r="BJ65" i="16" s="1"/>
  <c r="AA49" i="16"/>
  <c r="AA48" i="16"/>
  <c r="T55" i="16"/>
  <c r="Y55" i="16" s="1"/>
  <c r="T69" i="16"/>
  <c r="Y69" i="16" s="1"/>
  <c r="Q50" i="16"/>
  <c r="Q64" i="16"/>
  <c r="S76" i="16"/>
  <c r="X76" i="16" s="1"/>
  <c r="S62" i="16"/>
  <c r="X62" i="16" s="1"/>
  <c r="I71" i="16"/>
  <c r="L71" i="16" s="1"/>
  <c r="I57" i="16"/>
  <c r="L57" i="16" s="1"/>
  <c r="AV57" i="16"/>
  <c r="AV71" i="16"/>
  <c r="E67" i="16"/>
  <c r="E53" i="16"/>
  <c r="S59" i="16"/>
  <c r="X59" i="16" s="1"/>
  <c r="S73" i="16"/>
  <c r="X73" i="16" s="1"/>
  <c r="N68" i="16"/>
  <c r="N54" i="16"/>
  <c r="X45" i="16"/>
  <c r="X46" i="16"/>
  <c r="I74" i="16"/>
  <c r="L74" i="16" s="1"/>
  <c r="I60" i="16"/>
  <c r="L60" i="16" s="1"/>
  <c r="AV74" i="16"/>
  <c r="AV60" i="16"/>
  <c r="AX14" i="16"/>
  <c r="AX34" i="16" s="1"/>
  <c r="AT14" i="16"/>
  <c r="AT34" i="16" s="1"/>
  <c r="AW14" i="16"/>
  <c r="AW34" i="16" s="1"/>
  <c r="AU14" i="16"/>
  <c r="AU34" i="16" s="1"/>
  <c r="AS34" i="16"/>
  <c r="S72" i="16"/>
  <c r="X72" i="16" s="1"/>
  <c r="S58" i="16"/>
  <c r="X58" i="16" s="1"/>
  <c r="P52" i="16"/>
  <c r="P48" i="16" s="1"/>
  <c r="P66" i="16"/>
  <c r="I75" i="16"/>
  <c r="L75" i="16" s="1"/>
  <c r="I61" i="16"/>
  <c r="L61" i="16" s="1"/>
  <c r="AV61" i="16"/>
  <c r="AV75" i="16"/>
  <c r="O70" i="16"/>
  <c r="O56" i="16"/>
  <c r="E51" i="16"/>
  <c r="E65" i="16"/>
  <c r="X49" i="16"/>
  <c r="Q69" i="16"/>
  <c r="Q55" i="16"/>
  <c r="N64" i="16"/>
  <c r="N50" i="16"/>
  <c r="N48" i="16" s="1"/>
  <c r="P76" i="16"/>
  <c r="P62" i="16"/>
  <c r="DC16" i="18"/>
  <c r="AW16" i="18"/>
  <c r="DC13" i="18"/>
  <c r="AW13" i="18"/>
  <c r="DC29" i="18"/>
  <c r="AW29" i="18"/>
  <c r="DC8" i="18"/>
  <c r="AW8" i="18"/>
  <c r="DC6" i="18"/>
  <c r="AW6" i="18"/>
  <c r="AW3" i="18"/>
  <c r="DC3" i="18"/>
  <c r="DC19" i="18"/>
  <c r="DC42" i="18" s="1"/>
  <c r="AW19" i="18"/>
  <c r="X69" i="38"/>
  <c r="AI69" i="38" s="1"/>
  <c r="X55" i="38"/>
  <c r="AI55" i="38" s="1"/>
  <c r="X52" i="38"/>
  <c r="AI52" i="38" s="1"/>
  <c r="X66" i="38"/>
  <c r="AI66" i="38" s="1"/>
  <c r="AI31" i="38"/>
  <c r="AI32" i="38"/>
  <c r="ET46" i="38"/>
  <c r="ET45" i="38"/>
  <c r="ET31" i="38"/>
  <c r="ET32" i="38"/>
  <c r="ET49" i="38"/>
  <c r="X75" i="38"/>
  <c r="AI75" i="38" s="1"/>
  <c r="X61" i="38"/>
  <c r="AI61" i="38" s="1"/>
  <c r="M47" i="38"/>
  <c r="DC6" i="38"/>
  <c r="AW6" i="38"/>
  <c r="DC11" i="38"/>
  <c r="M39" i="38"/>
  <c r="AW11" i="38"/>
  <c r="DC17" i="38"/>
  <c r="AW17" i="38"/>
  <c r="M52" i="38"/>
  <c r="M66" i="38"/>
  <c r="M42" i="38"/>
  <c r="DC19" i="38"/>
  <c r="AW19" i="38"/>
  <c r="AW24" i="38"/>
  <c r="M69" i="38"/>
  <c r="M55" i="38"/>
  <c r="DC24" i="38"/>
  <c r="DC16" i="38"/>
  <c r="AW16" i="38"/>
  <c r="M72" i="38"/>
  <c r="M58" i="38"/>
  <c r="BZ70" i="38"/>
  <c r="CN70" i="38" s="1"/>
  <c r="BZ56" i="38"/>
  <c r="CN56" i="38" s="1"/>
  <c r="M43" i="38"/>
  <c r="DC28" i="38"/>
  <c r="AW28" i="38"/>
  <c r="EF55" i="38"/>
  <c r="ET55" i="38" s="1"/>
  <c r="EF69" i="38"/>
  <c r="ET69" i="38" s="1"/>
  <c r="M35" i="38"/>
  <c r="AW30" i="38"/>
  <c r="DC30" i="38"/>
  <c r="AN5" i="18"/>
  <c r="CT5" i="18"/>
  <c r="CT21" i="18"/>
  <c r="AN21" i="18"/>
  <c r="CT26" i="18"/>
  <c r="AN26" i="18"/>
  <c r="CT12" i="18"/>
  <c r="AN12" i="18"/>
  <c r="AN6" i="18"/>
  <c r="CT6" i="18"/>
  <c r="CT47" i="18" s="1"/>
  <c r="AN3" i="18"/>
  <c r="CT3" i="18"/>
  <c r="CT32" i="18" s="1"/>
  <c r="CT19" i="18"/>
  <c r="AN19" i="18"/>
  <c r="AN42" i="18" s="1"/>
  <c r="T51" i="38"/>
  <c r="AE51" i="38" s="1"/>
  <c r="T65" i="38"/>
  <c r="AE65" i="38" s="1"/>
  <c r="AE31" i="38"/>
  <c r="AE36" i="38"/>
  <c r="AN8" i="38"/>
  <c r="I41" i="38"/>
  <c r="CT8" i="38"/>
  <c r="T67" i="38"/>
  <c r="AE67" i="38" s="1"/>
  <c r="T53" i="38"/>
  <c r="AE53" i="38" s="1"/>
  <c r="BQ61" i="38"/>
  <c r="CE61" i="38" s="1"/>
  <c r="BQ75" i="38"/>
  <c r="CE75" i="38" s="1"/>
  <c r="T54" i="38"/>
  <c r="AE54" i="38" s="1"/>
  <c r="T68" i="38"/>
  <c r="AE68" i="38" s="1"/>
  <c r="T62" i="38"/>
  <c r="AE62" i="38" s="1"/>
  <c r="T76" i="38"/>
  <c r="AE76" i="38" s="1"/>
  <c r="CE32" i="38"/>
  <c r="CE31" i="38"/>
  <c r="BQ74" i="38"/>
  <c r="CE74" i="38" s="1"/>
  <c r="BQ60" i="38"/>
  <c r="CE60" i="38" s="1"/>
  <c r="T50" i="38"/>
  <c r="AE50" i="38" s="1"/>
  <c r="T64" i="38"/>
  <c r="BQ67" i="38"/>
  <c r="CE67" i="38" s="1"/>
  <c r="BQ53" i="38"/>
  <c r="CE53" i="38" s="1"/>
  <c r="DW66" i="38"/>
  <c r="EK66" i="38" s="1"/>
  <c r="DW52" i="38"/>
  <c r="EK52" i="38" s="1"/>
  <c r="CT29" i="38"/>
  <c r="AN29" i="38"/>
  <c r="I71" i="38"/>
  <c r="I57" i="38"/>
  <c r="BQ70" i="38"/>
  <c r="CE70" i="38" s="1"/>
  <c r="BQ56" i="38"/>
  <c r="CE56" i="38" s="1"/>
  <c r="CT26" i="38"/>
  <c r="I36" i="38"/>
  <c r="AN26" i="38"/>
  <c r="CE46" i="38"/>
  <c r="CE45" i="38"/>
  <c r="AN16" i="38"/>
  <c r="CT16" i="38"/>
  <c r="I72" i="38"/>
  <c r="I58" i="38"/>
  <c r="DW56" i="38"/>
  <c r="EK56" i="38" s="1"/>
  <c r="DW70" i="38"/>
  <c r="EK70" i="38" s="1"/>
  <c r="BQ62" i="38"/>
  <c r="CE62" i="38" s="1"/>
  <c r="BQ76" i="38"/>
  <c r="CE76" i="38" s="1"/>
  <c r="CT25" i="38"/>
  <c r="AN25" i="38"/>
  <c r="I50" i="38"/>
  <c r="I64" i="38"/>
  <c r="CV64" i="30"/>
  <c r="CV50" i="30"/>
  <c r="CV67" i="30"/>
  <c r="CV53" i="30"/>
  <c r="CV72" i="30"/>
  <c r="CV58" i="30"/>
  <c r="CV59" i="30"/>
  <c r="CV73" i="30"/>
  <c r="AX35" i="29"/>
  <c r="BW30" i="30"/>
  <c r="BW66" i="29"/>
  <c r="BW52" i="29"/>
  <c r="BW48" i="29" s="1"/>
  <c r="BW62" i="29"/>
  <c r="BW76" i="29"/>
  <c r="AX61" i="29"/>
  <c r="AX75" i="29"/>
  <c r="BW18" i="30"/>
  <c r="BW69" i="29"/>
  <c r="BW55" i="29"/>
  <c r="BW70" i="29"/>
  <c r="BW56" i="29"/>
  <c r="BW72" i="29"/>
  <c r="BW58" i="29"/>
  <c r="BW60" i="29"/>
  <c r="BW74" i="29"/>
  <c r="BW53" i="41"/>
  <c r="BW67" i="41"/>
  <c r="BW69" i="41"/>
  <c r="BW55" i="41"/>
  <c r="AX60" i="29"/>
  <c r="AX74" i="29"/>
  <c r="BW12" i="30"/>
  <c r="AX46" i="29"/>
  <c r="BW10" i="30"/>
  <c r="AX41" i="29"/>
  <c r="BW8" i="30"/>
  <c r="AX47" i="29"/>
  <c r="BW6" i="30"/>
  <c r="AX40" i="29"/>
  <c r="BW4" i="30"/>
  <c r="BW4" i="42"/>
  <c r="BW40" i="42" s="1"/>
  <c r="AX40" i="41"/>
  <c r="BW4" i="43"/>
  <c r="BW40" i="43" s="1"/>
  <c r="BW8" i="42"/>
  <c r="BW41" i="42" s="1"/>
  <c r="AX41" i="41"/>
  <c r="BW8" i="43"/>
  <c r="BW41" i="43" s="1"/>
  <c r="BW12" i="42"/>
  <c r="AX60" i="41"/>
  <c r="AX74" i="41"/>
  <c r="BW12" i="43"/>
  <c r="BW16" i="42"/>
  <c r="AX72" i="41"/>
  <c r="AX58" i="41"/>
  <c r="BW16" i="43"/>
  <c r="BW20" i="42"/>
  <c r="AX70" i="41"/>
  <c r="AX56" i="41"/>
  <c r="BW20" i="43"/>
  <c r="BW24" i="42"/>
  <c r="AX69" i="41"/>
  <c r="AX55" i="41"/>
  <c r="BW24" i="43"/>
  <c r="BW28" i="42"/>
  <c r="BW43" i="42" s="1"/>
  <c r="AX43" i="41"/>
  <c r="BW28" i="43"/>
  <c r="BW43" i="43" s="1"/>
  <c r="CV45" i="42"/>
  <c r="CV75" i="42"/>
  <c r="CV61" i="42"/>
  <c r="CS62" i="30"/>
  <c r="CS76" i="30"/>
  <c r="CS48" i="30"/>
  <c r="CS73" i="30"/>
  <c r="CS59" i="30"/>
  <c r="BT59" i="29"/>
  <c r="BT73" i="29"/>
  <c r="BT55" i="29"/>
  <c r="BT69" i="29"/>
  <c r="BT56" i="29"/>
  <c r="BT70" i="29"/>
  <c r="BT61" i="29"/>
  <c r="BT75" i="29"/>
  <c r="BT58" i="29"/>
  <c r="BT72" i="29"/>
  <c r="BT74" i="29"/>
  <c r="BT60" i="29"/>
  <c r="BT53" i="29"/>
  <c r="BT67" i="29"/>
  <c r="BT31" i="29"/>
  <c r="BT69" i="41"/>
  <c r="BT55" i="41"/>
  <c r="BT71" i="41"/>
  <c r="BT57" i="41"/>
  <c r="BT5" i="42"/>
  <c r="AU53" i="41"/>
  <c r="AU67" i="41"/>
  <c r="BT5" i="43"/>
  <c r="BT9" i="42"/>
  <c r="AU54" i="41"/>
  <c r="AU68" i="41"/>
  <c r="BT9" i="43"/>
  <c r="BT13" i="42"/>
  <c r="BT33" i="42" s="1"/>
  <c r="AU33" i="41"/>
  <c r="BT13" i="43"/>
  <c r="BT33" i="43" s="1"/>
  <c r="BT17" i="42"/>
  <c r="AU66" i="41"/>
  <c r="AU52" i="41"/>
  <c r="BT17" i="43"/>
  <c r="BT21" i="42"/>
  <c r="AU51" i="41"/>
  <c r="AU65" i="41"/>
  <c r="BT21" i="43"/>
  <c r="BT25" i="42"/>
  <c r="AU64" i="41"/>
  <c r="AU50" i="41"/>
  <c r="BT25" i="43"/>
  <c r="BT29" i="42"/>
  <c r="AU71" i="41"/>
  <c r="AU57" i="41"/>
  <c r="BT29" i="43"/>
  <c r="CS56" i="42"/>
  <c r="CS70" i="42"/>
  <c r="CS55" i="42"/>
  <c r="CS69" i="42"/>
  <c r="CO57" i="30"/>
  <c r="CO71" i="30"/>
  <c r="CO50" i="30"/>
  <c r="CO48" i="30" s="1"/>
  <c r="CO64" i="30"/>
  <c r="CO63" i="30" s="1"/>
  <c r="CO51" i="30"/>
  <c r="CO65" i="30"/>
  <c r="CO52" i="30"/>
  <c r="CO66" i="30"/>
  <c r="CO68" i="30"/>
  <c r="CO54" i="30"/>
  <c r="CO67" i="30"/>
  <c r="CO53" i="30"/>
  <c r="AQ46" i="29"/>
  <c r="BP10" i="30"/>
  <c r="BO45" i="41"/>
  <c r="BP57" i="29"/>
  <c r="BP71" i="29"/>
  <c r="BP76" i="29"/>
  <c r="BP62" i="29"/>
  <c r="BP64" i="29"/>
  <c r="BP50" i="29"/>
  <c r="BP51" i="29"/>
  <c r="BP65" i="29"/>
  <c r="BP52" i="29"/>
  <c r="BP66" i="29"/>
  <c r="AQ53" i="29"/>
  <c r="AQ67" i="29"/>
  <c r="BP5" i="30"/>
  <c r="AQ32" i="29"/>
  <c r="BP3" i="30"/>
  <c r="CO57" i="42"/>
  <c r="CO71" i="42"/>
  <c r="BP72" i="41"/>
  <c r="BP58" i="41"/>
  <c r="BP70" i="41"/>
  <c r="BP56" i="41"/>
  <c r="BP50" i="41"/>
  <c r="BP64" i="41"/>
  <c r="CO54" i="42"/>
  <c r="CO68" i="42"/>
  <c r="CO52" i="42"/>
  <c r="CO66" i="42"/>
  <c r="BP4" i="42"/>
  <c r="BP40" i="42" s="1"/>
  <c r="AQ40" i="41"/>
  <c r="BP4" i="43"/>
  <c r="BP40" i="43" s="1"/>
  <c r="BP8" i="42"/>
  <c r="BP41" i="42" s="1"/>
  <c r="AQ41" i="41"/>
  <c r="BP8" i="43"/>
  <c r="BP41" i="43" s="1"/>
  <c r="BP12" i="42"/>
  <c r="AQ74" i="41"/>
  <c r="AQ60" i="41"/>
  <c r="BP12" i="43"/>
  <c r="BP16" i="42"/>
  <c r="AQ72" i="41"/>
  <c r="AQ58" i="41"/>
  <c r="BP16" i="43"/>
  <c r="BP20" i="42"/>
  <c r="AQ70" i="41"/>
  <c r="AQ56" i="41"/>
  <c r="BP20" i="43"/>
  <c r="BP24" i="42"/>
  <c r="AQ55" i="41"/>
  <c r="AQ69" i="41"/>
  <c r="BP24" i="43"/>
  <c r="BP28" i="42"/>
  <c r="BP43" i="42" s="1"/>
  <c r="AQ43" i="41"/>
  <c r="BP28" i="43"/>
  <c r="BP43" i="43" s="1"/>
  <c r="CO58" i="42"/>
  <c r="CO72" i="42"/>
  <c r="CK76" i="30"/>
  <c r="CK62" i="30"/>
  <c r="CK59" i="30"/>
  <c r="CK48" i="30" s="1"/>
  <c r="CK73" i="30"/>
  <c r="AM35" i="29"/>
  <c r="BL30" i="30"/>
  <c r="AM43" i="29"/>
  <c r="BL28" i="30"/>
  <c r="AM36" i="29"/>
  <c r="BL26" i="30"/>
  <c r="AM55" i="29"/>
  <c r="AM69" i="29"/>
  <c r="BL24" i="30"/>
  <c r="AM37" i="29"/>
  <c r="BL22" i="30"/>
  <c r="AM56" i="29"/>
  <c r="AM70" i="29"/>
  <c r="BL20" i="30"/>
  <c r="AM61" i="29"/>
  <c r="AM75" i="29"/>
  <c r="BL18" i="30"/>
  <c r="AM58" i="29"/>
  <c r="AM72" i="29"/>
  <c r="BL16" i="30"/>
  <c r="AM34" i="29"/>
  <c r="BL14" i="30"/>
  <c r="AM74" i="29"/>
  <c r="AM60" i="29"/>
  <c r="BL12" i="30"/>
  <c r="AM41" i="29"/>
  <c r="BL8" i="30"/>
  <c r="BL31" i="41"/>
  <c r="BL59" i="41"/>
  <c r="BL73" i="41"/>
  <c r="AM40" i="29"/>
  <c r="BL4" i="30"/>
  <c r="BL72" i="41"/>
  <c r="BL58" i="41"/>
  <c r="BL56" i="41"/>
  <c r="BL70" i="41"/>
  <c r="BL64" i="41"/>
  <c r="BL50" i="41"/>
  <c r="BL2" i="42"/>
  <c r="BL38" i="42" s="1"/>
  <c r="AM38" i="41"/>
  <c r="BL2" i="43"/>
  <c r="BL38" i="43" s="1"/>
  <c r="BL6" i="42"/>
  <c r="BL47" i="42" s="1"/>
  <c r="AM47" i="41"/>
  <c r="BL6" i="43"/>
  <c r="BL47" i="43" s="1"/>
  <c r="BL10" i="42"/>
  <c r="BL46" i="42" s="1"/>
  <c r="BL45" i="42" s="1"/>
  <c r="AM46" i="41"/>
  <c r="BL10" i="43"/>
  <c r="BL46" i="43" s="1"/>
  <c r="BL45" i="43" s="1"/>
  <c r="BL14" i="42"/>
  <c r="BL34" i="42" s="1"/>
  <c r="AM34" i="41"/>
  <c r="BL14" i="43"/>
  <c r="BL34" i="43" s="1"/>
  <c r="BL18" i="42"/>
  <c r="AM75" i="41"/>
  <c r="AM61" i="41"/>
  <c r="BL18" i="43"/>
  <c r="BL22" i="42"/>
  <c r="BL37" i="42" s="1"/>
  <c r="AM37" i="41"/>
  <c r="BL22" i="43"/>
  <c r="BL37" i="43" s="1"/>
  <c r="BL26" i="42"/>
  <c r="BL36" i="42" s="1"/>
  <c r="AM36" i="41"/>
  <c r="BL26" i="43"/>
  <c r="BL36" i="43" s="1"/>
  <c r="BL30" i="42"/>
  <c r="BL35" i="42" s="1"/>
  <c r="AM35" i="41"/>
  <c r="BL30" i="43"/>
  <c r="BL35" i="43" s="1"/>
  <c r="CK60" i="42"/>
  <c r="CK74" i="42"/>
  <c r="CK58" i="42"/>
  <c r="CK72" i="42"/>
  <c r="CK56" i="42"/>
  <c r="CK70" i="42"/>
  <c r="CK55" i="42"/>
  <c r="CK69" i="42"/>
  <c r="BY55" i="41"/>
  <c r="BY69" i="41"/>
  <c r="BY54" i="29"/>
  <c r="BY68" i="29"/>
  <c r="BY72" i="41"/>
  <c r="BY58" i="41"/>
  <c r="BY57" i="29"/>
  <c r="BY71" i="29"/>
  <c r="BY62" i="29"/>
  <c r="BY76" i="29"/>
  <c r="BY64" i="29"/>
  <c r="BY50" i="29"/>
  <c r="BY48" i="29" s="1"/>
  <c r="BY51" i="29"/>
  <c r="BA51" i="29" s="1"/>
  <c r="BY65" i="29"/>
  <c r="BY52" i="29"/>
  <c r="BY66" i="29"/>
  <c r="BY70" i="41"/>
  <c r="BY56" i="41"/>
  <c r="AZ39" i="29"/>
  <c r="BY11" i="30"/>
  <c r="AZ59" i="29"/>
  <c r="AZ73" i="29"/>
  <c r="BY7" i="30"/>
  <c r="BY66" i="41"/>
  <c r="BY52" i="41"/>
  <c r="AZ40" i="29"/>
  <c r="BY4" i="30"/>
  <c r="BY4" i="42"/>
  <c r="BY40" i="42" s="1"/>
  <c r="AZ40" i="41"/>
  <c r="BY4" i="43"/>
  <c r="BY40" i="43" s="1"/>
  <c r="BY8" i="42"/>
  <c r="BY41" i="42" s="1"/>
  <c r="AZ41" i="41"/>
  <c r="BY8" i="43"/>
  <c r="BY41" i="43" s="1"/>
  <c r="BY12" i="42"/>
  <c r="AZ60" i="41"/>
  <c r="AZ74" i="41"/>
  <c r="BY12" i="43"/>
  <c r="BY16" i="42"/>
  <c r="AZ72" i="41"/>
  <c r="AZ58" i="41"/>
  <c r="BY16" i="43"/>
  <c r="BY20" i="42"/>
  <c r="AZ56" i="41"/>
  <c r="AZ70" i="41"/>
  <c r="BY20" i="43"/>
  <c r="BY24" i="42"/>
  <c r="AZ69" i="41"/>
  <c r="AZ55" i="41"/>
  <c r="BY24" i="43"/>
  <c r="BY28" i="42"/>
  <c r="BY43" i="42" s="1"/>
  <c r="AZ43" i="41"/>
  <c r="BY28" i="43"/>
  <c r="BY43" i="43" s="1"/>
  <c r="CX31" i="42"/>
  <c r="AF46" i="29"/>
  <c r="BE10" i="30"/>
  <c r="AF43" i="29"/>
  <c r="BE28" i="30"/>
  <c r="BE43" i="30" s="1"/>
  <c r="AF69" i="29"/>
  <c r="AF55" i="29"/>
  <c r="BE24" i="30"/>
  <c r="AF56" i="29"/>
  <c r="AF70" i="29"/>
  <c r="BE20" i="30"/>
  <c r="AF58" i="29"/>
  <c r="AF72" i="29"/>
  <c r="BE16" i="30"/>
  <c r="AF39" i="29"/>
  <c r="BE11" i="30"/>
  <c r="AF40" i="29"/>
  <c r="BE4" i="30"/>
  <c r="BE3" i="42"/>
  <c r="BE32" i="42" s="1"/>
  <c r="AF32" i="41"/>
  <c r="BE3" i="43"/>
  <c r="BE32" i="43" s="1"/>
  <c r="BE7" i="42"/>
  <c r="AF73" i="41"/>
  <c r="AF59" i="41"/>
  <c r="BE7" i="43"/>
  <c r="BE11" i="42"/>
  <c r="BE39" i="42" s="1"/>
  <c r="AF39" i="41"/>
  <c r="BE11" i="43"/>
  <c r="BE39" i="43" s="1"/>
  <c r="BE15" i="42"/>
  <c r="BE44" i="42" s="1"/>
  <c r="AF44" i="41"/>
  <c r="BE15" i="43"/>
  <c r="BE44" i="43" s="1"/>
  <c r="BE19" i="42"/>
  <c r="BE42" i="42" s="1"/>
  <c r="AF42" i="41"/>
  <c r="BE19" i="43"/>
  <c r="BE42" i="43" s="1"/>
  <c r="AF49" i="41"/>
  <c r="BE23" i="42"/>
  <c r="BE49" i="42" s="1"/>
  <c r="BE23" i="43"/>
  <c r="BE49" i="43" s="1"/>
  <c r="BE27" i="42"/>
  <c r="AF76" i="41"/>
  <c r="AF62" i="41"/>
  <c r="BE27" i="43"/>
  <c r="AV42" i="38"/>
  <c r="BJ19" i="38"/>
  <c r="AV71" i="38"/>
  <c r="AV57" i="38"/>
  <c r="BJ29" i="38"/>
  <c r="AV32" i="38"/>
  <c r="BJ3" i="38"/>
  <c r="AV75" i="38"/>
  <c r="AV61" i="38"/>
  <c r="BJ18" i="38"/>
  <c r="AV76" i="38"/>
  <c r="AV62" i="38"/>
  <c r="BJ27" i="38"/>
  <c r="BJ20" i="38"/>
  <c r="AV70" i="38"/>
  <c r="AV56" i="38"/>
  <c r="BY72" i="38"/>
  <c r="CM72" i="38" s="1"/>
  <c r="BY58" i="38"/>
  <c r="CM58" i="38" s="1"/>
  <c r="CM49" i="38"/>
  <c r="BY62" i="38"/>
  <c r="CM62" i="38" s="1"/>
  <c r="BY76" i="38"/>
  <c r="CM76" i="38" s="1"/>
  <c r="BY65" i="38"/>
  <c r="CM65" i="38" s="1"/>
  <c r="BY51" i="38"/>
  <c r="CM51" i="38" s="1"/>
  <c r="BY64" i="38"/>
  <c r="BY50" i="38"/>
  <c r="CM50" i="38" s="1"/>
  <c r="BY70" i="38"/>
  <c r="CM70" i="38" s="1"/>
  <c r="BY56" i="38"/>
  <c r="CM56" i="38" s="1"/>
  <c r="AH67" i="37"/>
  <c r="AE65" i="37"/>
  <c r="AE67" i="37"/>
  <c r="V39" i="29"/>
  <c r="V11" i="30"/>
  <c r="V57" i="29"/>
  <c r="V71" i="29"/>
  <c r="V29" i="30"/>
  <c r="V64" i="29"/>
  <c r="V50" i="29"/>
  <c r="V25" i="30"/>
  <c r="V65" i="29"/>
  <c r="V51" i="29"/>
  <c r="V21" i="30"/>
  <c r="V52" i="29"/>
  <c r="V66" i="29"/>
  <c r="V17" i="30"/>
  <c r="V33" i="29"/>
  <c r="V13" i="30"/>
  <c r="V33" i="30" s="1"/>
  <c r="V47" i="29"/>
  <c r="V6" i="30"/>
  <c r="V2" i="42"/>
  <c r="V38" i="42" s="1"/>
  <c r="V38" i="41"/>
  <c r="V2" i="43"/>
  <c r="V38" i="43" s="1"/>
  <c r="V6" i="42"/>
  <c r="V47" i="42" s="1"/>
  <c r="V47" i="41"/>
  <c r="V6" i="43"/>
  <c r="V47" i="43" s="1"/>
  <c r="V10" i="42"/>
  <c r="V46" i="42" s="1"/>
  <c r="V46" i="41"/>
  <c r="V45" i="41" s="1"/>
  <c r="V10" i="43"/>
  <c r="V46" i="43" s="1"/>
  <c r="V14" i="42"/>
  <c r="V34" i="42" s="1"/>
  <c r="V34" i="41"/>
  <c r="V14" i="43"/>
  <c r="V34" i="43" s="1"/>
  <c r="V18" i="42"/>
  <c r="V61" i="41"/>
  <c r="V75" i="41"/>
  <c r="V18" i="43"/>
  <c r="V22" i="42"/>
  <c r="V37" i="42" s="1"/>
  <c r="V37" i="41"/>
  <c r="V22" i="43"/>
  <c r="V37" i="43" s="1"/>
  <c r="V26" i="42"/>
  <c r="V36" i="42" s="1"/>
  <c r="V36" i="41"/>
  <c r="V26" i="43"/>
  <c r="V36" i="43" s="1"/>
  <c r="V30" i="42"/>
  <c r="V35" i="42" s="1"/>
  <c r="V35" i="41"/>
  <c r="V30" i="43"/>
  <c r="V35" i="43" s="1"/>
  <c r="N47" i="29"/>
  <c r="N6" i="30"/>
  <c r="N57" i="29"/>
  <c r="N71" i="29"/>
  <c r="N29" i="30"/>
  <c r="N64" i="29"/>
  <c r="N50" i="29"/>
  <c r="N25" i="30"/>
  <c r="N65" i="29"/>
  <c r="N51" i="29"/>
  <c r="N21" i="30"/>
  <c r="N52" i="29"/>
  <c r="N66" i="29"/>
  <c r="N17" i="30"/>
  <c r="N33" i="29"/>
  <c r="N13" i="30"/>
  <c r="N3" i="42"/>
  <c r="N32" i="42" s="1"/>
  <c r="N31" i="42" s="1"/>
  <c r="N32" i="41"/>
  <c r="N3" i="43"/>
  <c r="N32" i="43" s="1"/>
  <c r="N7" i="42"/>
  <c r="N73" i="41"/>
  <c r="N59" i="41"/>
  <c r="N7" i="43"/>
  <c r="N11" i="42"/>
  <c r="N39" i="42" s="1"/>
  <c r="N39" i="41"/>
  <c r="N11" i="43"/>
  <c r="N39" i="43" s="1"/>
  <c r="N15" i="42"/>
  <c r="N44" i="42" s="1"/>
  <c r="N44" i="41"/>
  <c r="N15" i="43"/>
  <c r="N44" i="43" s="1"/>
  <c r="N19" i="42"/>
  <c r="N42" i="42" s="1"/>
  <c r="N42" i="41"/>
  <c r="N19" i="43"/>
  <c r="N42" i="43" s="1"/>
  <c r="N23" i="42"/>
  <c r="N49" i="42" s="1"/>
  <c r="N49" i="41"/>
  <c r="N23" i="43"/>
  <c r="N49" i="43" s="1"/>
  <c r="N27" i="42"/>
  <c r="N62" i="41"/>
  <c r="N76" i="41"/>
  <c r="N27" i="43"/>
  <c r="CJ61" i="30"/>
  <c r="CJ75" i="30"/>
  <c r="CJ60" i="30"/>
  <c r="CJ74" i="30"/>
  <c r="CJ59" i="30"/>
  <c r="CJ73" i="30"/>
  <c r="CJ57" i="30"/>
  <c r="CJ71" i="30"/>
  <c r="AL62" i="29"/>
  <c r="AL76" i="29"/>
  <c r="BK27" i="30"/>
  <c r="AL49" i="29"/>
  <c r="BK23" i="30"/>
  <c r="BK49" i="30" s="1"/>
  <c r="AL42" i="29"/>
  <c r="BK19" i="30"/>
  <c r="AL44" i="29"/>
  <c r="BK15" i="30"/>
  <c r="BK62" i="29"/>
  <c r="BK76" i="29"/>
  <c r="BK31" i="41"/>
  <c r="BK74" i="41"/>
  <c r="BK60" i="41"/>
  <c r="BK61" i="41"/>
  <c r="BK75" i="41"/>
  <c r="BK76" i="41"/>
  <c r="BK62" i="41"/>
  <c r="BJ45" i="41"/>
  <c r="BK3" i="42"/>
  <c r="BK32" i="42" s="1"/>
  <c r="AL32" i="41"/>
  <c r="BK3" i="43"/>
  <c r="BK32" i="43" s="1"/>
  <c r="BK7" i="42"/>
  <c r="AL59" i="41"/>
  <c r="AL73" i="41"/>
  <c r="BK7" i="43"/>
  <c r="BK11" i="42"/>
  <c r="BK39" i="42" s="1"/>
  <c r="AL39" i="41"/>
  <c r="BK11" i="43"/>
  <c r="BK39" i="43" s="1"/>
  <c r="BK15" i="42"/>
  <c r="BK44" i="42" s="1"/>
  <c r="AL44" i="41"/>
  <c r="BK15" i="43"/>
  <c r="BK44" i="43" s="1"/>
  <c r="BK19" i="42"/>
  <c r="BK42" i="42" s="1"/>
  <c r="AL42" i="41"/>
  <c r="BK19" i="43"/>
  <c r="BK42" i="43" s="1"/>
  <c r="BK23" i="42"/>
  <c r="BK49" i="42" s="1"/>
  <c r="AL49" i="41"/>
  <c r="BK23" i="43"/>
  <c r="BK49" i="43" s="1"/>
  <c r="BK27" i="42"/>
  <c r="AL62" i="41"/>
  <c r="AL76" i="41"/>
  <c r="BK27" i="43"/>
  <c r="CJ67" i="42"/>
  <c r="CJ53" i="42"/>
  <c r="CJ68" i="42"/>
  <c r="CJ54" i="42"/>
  <c r="CJ66" i="42"/>
  <c r="CJ52" i="42"/>
  <c r="CJ51" i="42"/>
  <c r="CJ65" i="42"/>
  <c r="CJ64" i="42"/>
  <c r="CJ50" i="42"/>
  <c r="CJ71" i="42"/>
  <c r="CJ57" i="42"/>
  <c r="AJ68" i="16"/>
  <c r="AH68" i="16"/>
  <c r="AH64" i="16"/>
  <c r="AH63" i="16"/>
  <c r="AJ68" i="37"/>
  <c r="AH68" i="37"/>
  <c r="AE68" i="37"/>
  <c r="AJ39" i="37"/>
  <c r="AW31" i="30"/>
  <c r="X10" i="42"/>
  <c r="X46" i="42" s="1"/>
  <c r="X46" i="41"/>
  <c r="X10" i="43"/>
  <c r="X46" i="43" s="1"/>
  <c r="X45" i="43" s="1"/>
  <c r="X16" i="42"/>
  <c r="X58" i="41"/>
  <c r="X72" i="41"/>
  <c r="X16" i="43"/>
  <c r="X22" i="42"/>
  <c r="X37" i="42" s="1"/>
  <c r="X37" i="41"/>
  <c r="X22" i="43"/>
  <c r="X37" i="43" s="1"/>
  <c r="X12" i="42"/>
  <c r="X60" i="41"/>
  <c r="X74" i="41"/>
  <c r="X12" i="43"/>
  <c r="X57" i="29"/>
  <c r="X71" i="29"/>
  <c r="X29" i="30"/>
  <c r="X64" i="29"/>
  <c r="X50" i="29"/>
  <c r="X25" i="30"/>
  <c r="X65" i="29"/>
  <c r="X51" i="29"/>
  <c r="X21" i="30"/>
  <c r="X52" i="29"/>
  <c r="X66" i="29"/>
  <c r="X17" i="30"/>
  <c r="X33" i="29"/>
  <c r="X13" i="30"/>
  <c r="X47" i="29"/>
  <c r="X6" i="30"/>
  <c r="X5" i="42"/>
  <c r="X67" i="41"/>
  <c r="X53" i="41"/>
  <c r="X5" i="43"/>
  <c r="X33" i="41"/>
  <c r="X13" i="42"/>
  <c r="X33" i="42" s="1"/>
  <c r="X13" i="43"/>
  <c r="X33" i="43" s="1"/>
  <c r="X21" i="42"/>
  <c r="X51" i="41"/>
  <c r="X65" i="41"/>
  <c r="X21" i="43"/>
  <c r="X29" i="42"/>
  <c r="X57" i="41"/>
  <c r="X71" i="41"/>
  <c r="X29" i="43"/>
  <c r="X40" i="29"/>
  <c r="X4" i="30"/>
  <c r="AW31" i="42"/>
  <c r="J41" i="29"/>
  <c r="J8" i="30"/>
  <c r="J39" i="29"/>
  <c r="J11" i="30"/>
  <c r="J71" i="29"/>
  <c r="J57" i="29"/>
  <c r="J29" i="30"/>
  <c r="J50" i="29"/>
  <c r="J64" i="29"/>
  <c r="J25" i="30"/>
  <c r="J65" i="29"/>
  <c r="J51" i="29"/>
  <c r="J21" i="30"/>
  <c r="J52" i="29"/>
  <c r="J66" i="29"/>
  <c r="J17" i="30"/>
  <c r="J33" i="29"/>
  <c r="J13" i="30"/>
  <c r="J32" i="29"/>
  <c r="J3" i="30"/>
  <c r="J3" i="42"/>
  <c r="J32" i="42" s="1"/>
  <c r="J32" i="41"/>
  <c r="J3" i="43"/>
  <c r="J32" i="43" s="1"/>
  <c r="J7" i="42"/>
  <c r="J73" i="41"/>
  <c r="J59" i="41"/>
  <c r="J7" i="43"/>
  <c r="J11" i="42"/>
  <c r="J39" i="42" s="1"/>
  <c r="J39" i="41"/>
  <c r="J11" i="43"/>
  <c r="J39" i="43" s="1"/>
  <c r="J15" i="42"/>
  <c r="J44" i="42" s="1"/>
  <c r="J44" i="41"/>
  <c r="J15" i="43"/>
  <c r="J44" i="43" s="1"/>
  <c r="J19" i="42"/>
  <c r="J42" i="42" s="1"/>
  <c r="J42" i="41"/>
  <c r="J19" i="43"/>
  <c r="J42" i="43" s="1"/>
  <c r="J23" i="42"/>
  <c r="J49" i="42" s="1"/>
  <c r="J49" i="41"/>
  <c r="J23" i="43"/>
  <c r="J49" i="43" s="1"/>
  <c r="J27" i="42"/>
  <c r="J62" i="41"/>
  <c r="J76" i="41"/>
  <c r="J27" i="43"/>
  <c r="BN57" i="38"/>
  <c r="BN71" i="38"/>
  <c r="DT67" i="38"/>
  <c r="EH67" i="38" s="1"/>
  <c r="DT53" i="38"/>
  <c r="EH53" i="38" s="1"/>
  <c r="EH49" i="38"/>
  <c r="DT74" i="38"/>
  <c r="EH74" i="38" s="1"/>
  <c r="DT60" i="38"/>
  <c r="EH60" i="38" s="1"/>
  <c r="CB46" i="38"/>
  <c r="CB45" i="38"/>
  <c r="EY56" i="38"/>
  <c r="EY70" i="38"/>
  <c r="AY16" i="38"/>
  <c r="AK72" i="38"/>
  <c r="AK58" i="38"/>
  <c r="AY29" i="38"/>
  <c r="AK71" i="38"/>
  <c r="AK57" i="38"/>
  <c r="FA42" i="38"/>
  <c r="FC42" i="38"/>
  <c r="BN53" i="38"/>
  <c r="BN67" i="38"/>
  <c r="FA49" i="38"/>
  <c r="FC49" i="38"/>
  <c r="FC48" i="38"/>
  <c r="EY57" i="38"/>
  <c r="EY71" i="38"/>
  <c r="AK33" i="38"/>
  <c r="AY13" i="38"/>
  <c r="EY60" i="38"/>
  <c r="EY74" i="38"/>
  <c r="BN70" i="38"/>
  <c r="BN56" i="38"/>
  <c r="EV47" i="38"/>
  <c r="EX6" i="38"/>
  <c r="EX47" i="38" s="1"/>
  <c r="AY20" i="38"/>
  <c r="AK70" i="38"/>
  <c r="AK56" i="38"/>
  <c r="AK43" i="38"/>
  <c r="AY28" i="38"/>
  <c r="CB47" i="38"/>
  <c r="CO47" i="38"/>
  <c r="EH46" i="38"/>
  <c r="EH45" i="38"/>
  <c r="BN60" i="38"/>
  <c r="BN74" i="38"/>
  <c r="DT75" i="38"/>
  <c r="EH75" i="38" s="1"/>
  <c r="DT61" i="38"/>
  <c r="EH61" i="38" s="1"/>
  <c r="FA43" i="38"/>
  <c r="FC43" i="38"/>
  <c r="EV38" i="38"/>
  <c r="EX2" i="38"/>
  <c r="EX38" i="38" s="1"/>
  <c r="EX12" i="38"/>
  <c r="EV74" i="38"/>
  <c r="EV60" i="38"/>
  <c r="AK42" i="38"/>
  <c r="AY19" i="38"/>
  <c r="EX17" i="38"/>
  <c r="EV52" i="38"/>
  <c r="EV66" i="38"/>
  <c r="EX5" i="38"/>
  <c r="EV67" i="38"/>
  <c r="EV53" i="38"/>
  <c r="EV34" i="38"/>
  <c r="EV31" i="38" s="1"/>
  <c r="EX14" i="38"/>
  <c r="EX34" i="38" s="1"/>
  <c r="AY25" i="38"/>
  <c r="AK64" i="38"/>
  <c r="AK50" i="38"/>
  <c r="EV35" i="38"/>
  <c r="EX30" i="38"/>
  <c r="EX35" i="38" s="1"/>
  <c r="AK76" i="38"/>
  <c r="AK62" i="38"/>
  <c r="AY27" i="38"/>
  <c r="CM55" i="30"/>
  <c r="CM69" i="30"/>
  <c r="CM56" i="30"/>
  <c r="CM70" i="30"/>
  <c r="CM72" i="30"/>
  <c r="CM58" i="30"/>
  <c r="CM60" i="30"/>
  <c r="CM74" i="30"/>
  <c r="BN7" i="42"/>
  <c r="AO73" i="41"/>
  <c r="AO59" i="41"/>
  <c r="BN7" i="43"/>
  <c r="BN13" i="42"/>
  <c r="BN33" i="42" s="1"/>
  <c r="AO33" i="41"/>
  <c r="BN13" i="43"/>
  <c r="BN33" i="43" s="1"/>
  <c r="AO32" i="41"/>
  <c r="BN3" i="42"/>
  <c r="BN32" i="42" s="1"/>
  <c r="BN3" i="43"/>
  <c r="BN32" i="43" s="1"/>
  <c r="BN9" i="42"/>
  <c r="AO68" i="41"/>
  <c r="AO54" i="41"/>
  <c r="BN9" i="43"/>
  <c r="BN55" i="29"/>
  <c r="BN69" i="29"/>
  <c r="BN56" i="29"/>
  <c r="BN70" i="29"/>
  <c r="BN61" i="29"/>
  <c r="BN75" i="29"/>
  <c r="BN58" i="29"/>
  <c r="BN72" i="29"/>
  <c r="BN60" i="29"/>
  <c r="BN74" i="29"/>
  <c r="BN54" i="29"/>
  <c r="BN68" i="29"/>
  <c r="AO67" i="29"/>
  <c r="AO53" i="29"/>
  <c r="BN5" i="30"/>
  <c r="BN4" i="42"/>
  <c r="BN40" i="42" s="1"/>
  <c r="AO40" i="41"/>
  <c r="BN4" i="43"/>
  <c r="BN40" i="43" s="1"/>
  <c r="BN12" i="42"/>
  <c r="AO60" i="41"/>
  <c r="AO74" i="41"/>
  <c r="BN12" i="43"/>
  <c r="BN20" i="42"/>
  <c r="AO70" i="41"/>
  <c r="AO56" i="41"/>
  <c r="BN20" i="43"/>
  <c r="BN28" i="42"/>
  <c r="BN43" i="42" s="1"/>
  <c r="AO43" i="41"/>
  <c r="BN28" i="43"/>
  <c r="BN43" i="43" s="1"/>
  <c r="AO68" i="29"/>
  <c r="AO54" i="29"/>
  <c r="BN9" i="30"/>
  <c r="AO40" i="29"/>
  <c r="BN4" i="30"/>
  <c r="BN71" i="41"/>
  <c r="BN57" i="41"/>
  <c r="BN72" i="41"/>
  <c r="BN58" i="41"/>
  <c r="BN70" i="41"/>
  <c r="BN56" i="41"/>
  <c r="BN64" i="41"/>
  <c r="BN63" i="41" s="1"/>
  <c r="BN50" i="41"/>
  <c r="CM45" i="42"/>
  <c r="CM76" i="42"/>
  <c r="CM62" i="42"/>
  <c r="AE75" i="16"/>
  <c r="AE12" i="16"/>
  <c r="D61" i="16"/>
  <c r="D75" i="16"/>
  <c r="AH52" i="16"/>
  <c r="AJ72" i="16"/>
  <c r="AH72" i="16"/>
  <c r="K47" i="16"/>
  <c r="H47" i="16"/>
  <c r="M47" i="16" s="1"/>
  <c r="AE57" i="16"/>
  <c r="AJ76" i="16"/>
  <c r="AH76" i="16"/>
  <c r="D74" i="37"/>
  <c r="D60" i="37"/>
  <c r="AE29" i="37"/>
  <c r="AE64" i="37"/>
  <c r="AC63" i="37"/>
  <c r="AE3" i="37"/>
  <c r="AH65" i="37"/>
  <c r="AE74" i="37"/>
  <c r="Y42" i="29"/>
  <c r="Y19" i="30"/>
  <c r="Y65" i="29"/>
  <c r="Y51" i="29"/>
  <c r="Y21" i="30"/>
  <c r="Y36" i="29"/>
  <c r="Y26" i="30"/>
  <c r="Y61" i="29"/>
  <c r="Y75" i="29"/>
  <c r="Y18" i="30"/>
  <c r="Y50" i="29"/>
  <c r="Y64" i="29"/>
  <c r="Y25" i="30"/>
  <c r="Y68" i="29"/>
  <c r="Y54" i="29"/>
  <c r="Y9" i="30"/>
  <c r="Y53" i="29"/>
  <c r="Y67" i="29"/>
  <c r="Y5" i="30"/>
  <c r="Y2" i="42"/>
  <c r="Y38" i="42" s="1"/>
  <c r="Y38" i="41"/>
  <c r="Y2" i="43"/>
  <c r="Y38" i="43" s="1"/>
  <c r="Y6" i="42"/>
  <c r="Y47" i="42" s="1"/>
  <c r="Y47" i="41"/>
  <c r="Y6" i="43"/>
  <c r="Y47" i="43" s="1"/>
  <c r="Y10" i="42"/>
  <c r="Y46" i="42" s="1"/>
  <c r="Y46" i="41"/>
  <c r="Y45" i="41" s="1"/>
  <c r="Y10" i="43"/>
  <c r="Y46" i="43" s="1"/>
  <c r="Y14" i="42"/>
  <c r="Y34" i="42" s="1"/>
  <c r="Y34" i="41"/>
  <c r="Y14" i="43"/>
  <c r="Y34" i="43" s="1"/>
  <c r="Y18" i="42"/>
  <c r="Y75" i="41"/>
  <c r="Y61" i="41"/>
  <c r="Y18" i="43"/>
  <c r="Y22" i="42"/>
  <c r="Y37" i="42" s="1"/>
  <c r="Y37" i="41"/>
  <c r="Y22" i="43"/>
  <c r="Y37" i="43" s="1"/>
  <c r="Y26" i="42"/>
  <c r="Y36" i="42" s="1"/>
  <c r="Y36" i="41"/>
  <c r="Y26" i="43"/>
  <c r="Y36" i="43" s="1"/>
  <c r="Y30" i="42"/>
  <c r="Y35" i="42" s="1"/>
  <c r="Y35" i="41"/>
  <c r="Y30" i="43"/>
  <c r="Y35" i="43" s="1"/>
  <c r="G68" i="29"/>
  <c r="G54" i="29"/>
  <c r="G9" i="30"/>
  <c r="G35" i="29"/>
  <c r="G30" i="30"/>
  <c r="G35" i="30" s="1"/>
  <c r="G36" i="29"/>
  <c r="G26" i="30"/>
  <c r="G37" i="29"/>
  <c r="G22" i="30"/>
  <c r="G37" i="30" s="1"/>
  <c r="G61" i="29"/>
  <c r="G75" i="29"/>
  <c r="G18" i="30"/>
  <c r="G34" i="29"/>
  <c r="G14" i="30"/>
  <c r="G41" i="29"/>
  <c r="G8" i="30"/>
  <c r="G5" i="42"/>
  <c r="G53" i="41"/>
  <c r="G67" i="41"/>
  <c r="G5" i="43"/>
  <c r="G9" i="42"/>
  <c r="G54" i="41"/>
  <c r="G68" i="41"/>
  <c r="G9" i="43"/>
  <c r="G13" i="42"/>
  <c r="G33" i="42" s="1"/>
  <c r="G33" i="41"/>
  <c r="G13" i="43"/>
  <c r="G33" i="43" s="1"/>
  <c r="G17" i="42"/>
  <c r="G52" i="41"/>
  <c r="G66" i="41"/>
  <c r="G17" i="43"/>
  <c r="G21" i="42"/>
  <c r="G51" i="41"/>
  <c r="G65" i="41"/>
  <c r="G21" i="43"/>
  <c r="G25" i="42"/>
  <c r="G64" i="41"/>
  <c r="G50" i="41"/>
  <c r="G25" i="43"/>
  <c r="G29" i="42"/>
  <c r="G57" i="41"/>
  <c r="G71" i="41"/>
  <c r="G29" i="43"/>
  <c r="EG49" i="38"/>
  <c r="EG44" i="38"/>
  <c r="EU44" i="38"/>
  <c r="CP38" i="38"/>
  <c r="DD2" i="38"/>
  <c r="CP37" i="38"/>
  <c r="DD22" i="38"/>
  <c r="DS59" i="38"/>
  <c r="DS73" i="38"/>
  <c r="EG36" i="38"/>
  <c r="EU36" i="38"/>
  <c r="CP66" i="38"/>
  <c r="CP63" i="38" s="1"/>
  <c r="CP52" i="38"/>
  <c r="DD17" i="38"/>
  <c r="DS75" i="38"/>
  <c r="DS61" i="38"/>
  <c r="DS71" i="38"/>
  <c r="DS57" i="38"/>
  <c r="DS67" i="38"/>
  <c r="DS53" i="38"/>
  <c r="DS52" i="38"/>
  <c r="DS66" i="38"/>
  <c r="DD5" i="38"/>
  <c r="CP53" i="38"/>
  <c r="CP67" i="38"/>
  <c r="DD18" i="38"/>
  <c r="CP75" i="38"/>
  <c r="CP61" i="38"/>
  <c r="CP42" i="38"/>
  <c r="DD19" i="38"/>
  <c r="DD24" i="38"/>
  <c r="CP69" i="38"/>
  <c r="CP55" i="38"/>
  <c r="CX21" i="18"/>
  <c r="AR21" i="18"/>
  <c r="CX14" i="18"/>
  <c r="CX34" i="18" s="1"/>
  <c r="AR14" i="18"/>
  <c r="CX30" i="18"/>
  <c r="AR30" i="18"/>
  <c r="CX27" i="18"/>
  <c r="AR27" i="18"/>
  <c r="CX29" i="18"/>
  <c r="AR29" i="18"/>
  <c r="CX4" i="18"/>
  <c r="AR4" i="18"/>
  <c r="CX20" i="18"/>
  <c r="AR20" i="18"/>
  <c r="D72" i="38"/>
  <c r="CX16" i="38"/>
  <c r="D58" i="38"/>
  <c r="AR16" i="38"/>
  <c r="AR9" i="38"/>
  <c r="D68" i="38"/>
  <c r="D54" i="38"/>
  <c r="CX9" i="38"/>
  <c r="CX14" i="38"/>
  <c r="D34" i="38"/>
  <c r="AR14" i="38"/>
  <c r="BU72" i="38"/>
  <c r="CI72" i="38" s="1"/>
  <c r="BU58" i="38"/>
  <c r="CI58" i="38" s="1"/>
  <c r="O72" i="38"/>
  <c r="Z72" i="38" s="1"/>
  <c r="O58" i="38"/>
  <c r="Z58" i="38" s="1"/>
  <c r="D41" i="38"/>
  <c r="CX8" i="38"/>
  <c r="AR8" i="38"/>
  <c r="O70" i="38"/>
  <c r="Z70" i="38" s="1"/>
  <c r="O56" i="38"/>
  <c r="Z56" i="38" s="1"/>
  <c r="EA73" i="38"/>
  <c r="EO73" i="38" s="1"/>
  <c r="EA59" i="38"/>
  <c r="EO59" i="38" s="1"/>
  <c r="CX18" i="38"/>
  <c r="D75" i="38"/>
  <c r="D61" i="38"/>
  <c r="AR18" i="38"/>
  <c r="O51" i="38"/>
  <c r="Z51" i="38" s="1"/>
  <c r="O65" i="38"/>
  <c r="Z65" i="38" s="1"/>
  <c r="CX2" i="38"/>
  <c r="D38" i="38"/>
  <c r="AR2" i="38"/>
  <c r="BU70" i="38"/>
  <c r="CI70" i="38" s="1"/>
  <c r="BU56" i="38"/>
  <c r="CI56" i="38" s="1"/>
  <c r="CX7" i="38"/>
  <c r="AR7" i="38"/>
  <c r="D73" i="38"/>
  <c r="D59" i="38"/>
  <c r="CI46" i="38"/>
  <c r="CI45" i="38"/>
  <c r="EA58" i="38"/>
  <c r="EO58" i="38" s="1"/>
  <c r="EA72" i="38"/>
  <c r="EO72" i="38" s="1"/>
  <c r="CX21" i="38"/>
  <c r="D51" i="38"/>
  <c r="D65" i="38"/>
  <c r="AR21" i="38"/>
  <c r="BU69" i="38"/>
  <c r="CI69" i="38" s="1"/>
  <c r="BU55" i="38"/>
  <c r="CI55" i="38" s="1"/>
  <c r="EA57" i="38"/>
  <c r="EO57" i="38" s="1"/>
  <c r="EA71" i="38"/>
  <c r="EO71" i="38" s="1"/>
  <c r="EA64" i="38"/>
  <c r="EA50" i="38"/>
  <c r="EO50" i="38" s="1"/>
  <c r="CX28" i="38"/>
  <c r="D43" i="38"/>
  <c r="AR28" i="38"/>
  <c r="CR62" i="30"/>
  <c r="CR76" i="30"/>
  <c r="CR61" i="30"/>
  <c r="CR75" i="30"/>
  <c r="CR54" i="30"/>
  <c r="CR68" i="30"/>
  <c r="CR31" i="43"/>
  <c r="BS73" i="41"/>
  <c r="BS59" i="41"/>
  <c r="BS62" i="29"/>
  <c r="BS76" i="29"/>
  <c r="BS61" i="29"/>
  <c r="BS75" i="29"/>
  <c r="BS55" i="41"/>
  <c r="BS69" i="41"/>
  <c r="AT60" i="29"/>
  <c r="AT74" i="29"/>
  <c r="BS12" i="30"/>
  <c r="AT46" i="29"/>
  <c r="BS10" i="30"/>
  <c r="AT41" i="29"/>
  <c r="BS8" i="30"/>
  <c r="AT47" i="29"/>
  <c r="BS6" i="30"/>
  <c r="AT40" i="29"/>
  <c r="BS4" i="30"/>
  <c r="BS40" i="30" s="1"/>
  <c r="BS4" i="42"/>
  <c r="BS40" i="42" s="1"/>
  <c r="AT40" i="41"/>
  <c r="BS4" i="43"/>
  <c r="BS40" i="43" s="1"/>
  <c r="BS8" i="42"/>
  <c r="BS41" i="42" s="1"/>
  <c r="AT41" i="41"/>
  <c r="BS8" i="43"/>
  <c r="BS41" i="43" s="1"/>
  <c r="BS12" i="42"/>
  <c r="AT60" i="41"/>
  <c r="AT74" i="41"/>
  <c r="BS12" i="43"/>
  <c r="BS16" i="42"/>
  <c r="AT72" i="41"/>
  <c r="AT58" i="41"/>
  <c r="BS16" i="43"/>
  <c r="BS20" i="42"/>
  <c r="AT56" i="41"/>
  <c r="AT70" i="41"/>
  <c r="BS20" i="43"/>
  <c r="BS24" i="42"/>
  <c r="AT69" i="41"/>
  <c r="AT55" i="41"/>
  <c r="BS24" i="43"/>
  <c r="BS28" i="42"/>
  <c r="BS43" i="42" s="1"/>
  <c r="AT43" i="41"/>
  <c r="BS28" i="43"/>
  <c r="BS43" i="43" s="1"/>
  <c r="CR45" i="42"/>
  <c r="CR75" i="42"/>
  <c r="CR61" i="42"/>
  <c r="CC62" i="30"/>
  <c r="CC76" i="30"/>
  <c r="CC73" i="30"/>
  <c r="CC59" i="30"/>
  <c r="AE46" i="29"/>
  <c r="BD10" i="30"/>
  <c r="AE47" i="29"/>
  <c r="BD6" i="30"/>
  <c r="CC59" i="42"/>
  <c r="CC73" i="42"/>
  <c r="AE57" i="29"/>
  <c r="AE71" i="29"/>
  <c r="BD29" i="30"/>
  <c r="AE62" i="29"/>
  <c r="AE76" i="29"/>
  <c r="BD27" i="30"/>
  <c r="AE64" i="29"/>
  <c r="AE50" i="29"/>
  <c r="BD25" i="30"/>
  <c r="AE49" i="29"/>
  <c r="BD23" i="30"/>
  <c r="AE65" i="29"/>
  <c r="AE51" i="29"/>
  <c r="BD21" i="30"/>
  <c r="AE42" i="29"/>
  <c r="BD19" i="30"/>
  <c r="AE52" i="29"/>
  <c r="AE66" i="29"/>
  <c r="BD17" i="30"/>
  <c r="AE44" i="29"/>
  <c r="BD15" i="30"/>
  <c r="BD44" i="30" s="1"/>
  <c r="AE33" i="29"/>
  <c r="BD13" i="30"/>
  <c r="AE54" i="29"/>
  <c r="AE68" i="29"/>
  <c r="BD9" i="30"/>
  <c r="BD68" i="41"/>
  <c r="BD54" i="41"/>
  <c r="CC54" i="42"/>
  <c r="CC68" i="42"/>
  <c r="BD60" i="41"/>
  <c r="BD74" i="41"/>
  <c r="BD75" i="41"/>
  <c r="BD61" i="41"/>
  <c r="BD76" i="41"/>
  <c r="BD62" i="41"/>
  <c r="CC58" i="42"/>
  <c r="CC72" i="42"/>
  <c r="BD4" i="42"/>
  <c r="BD40" i="42" s="1"/>
  <c r="AE40" i="41"/>
  <c r="BD4" i="43"/>
  <c r="BD40" i="43" s="1"/>
  <c r="BD8" i="42"/>
  <c r="BD41" i="42" s="1"/>
  <c r="AE41" i="41"/>
  <c r="BD8" i="43"/>
  <c r="BD41" i="43" s="1"/>
  <c r="BD12" i="42"/>
  <c r="AE74" i="41"/>
  <c r="AE60" i="41"/>
  <c r="BD12" i="43"/>
  <c r="BD16" i="42"/>
  <c r="AE72" i="41"/>
  <c r="AE58" i="41"/>
  <c r="BD16" i="43"/>
  <c r="BD20" i="42"/>
  <c r="AE56" i="41"/>
  <c r="AE70" i="41"/>
  <c r="BD20" i="43"/>
  <c r="BD24" i="42"/>
  <c r="AE69" i="41"/>
  <c r="AE55" i="41"/>
  <c r="BD24" i="43"/>
  <c r="BD28" i="42"/>
  <c r="BD43" i="42" s="1"/>
  <c r="AE43" i="41"/>
  <c r="BD28" i="43"/>
  <c r="BD43" i="43" s="1"/>
  <c r="CC56" i="42"/>
  <c r="CC70" i="42"/>
  <c r="CC55" i="42"/>
  <c r="CC69" i="42"/>
  <c r="AH55" i="16"/>
  <c r="AE43" i="37"/>
  <c r="Q70" i="29"/>
  <c r="Q56" i="29"/>
  <c r="Q20" i="30"/>
  <c r="Q37" i="29"/>
  <c r="Q22" i="30"/>
  <c r="Q50" i="29"/>
  <c r="Q64" i="29"/>
  <c r="Q25" i="30"/>
  <c r="Q66" i="29"/>
  <c r="Q52" i="29"/>
  <c r="Q17" i="30"/>
  <c r="Q69" i="29"/>
  <c r="Q55" i="29"/>
  <c r="Q24" i="30"/>
  <c r="Q68" i="29"/>
  <c r="Q54" i="29"/>
  <c r="Q9" i="30"/>
  <c r="Q53" i="29"/>
  <c r="Q67" i="29"/>
  <c r="Q5" i="30"/>
  <c r="Q2" i="42"/>
  <c r="Q38" i="42" s="1"/>
  <c r="Q38" i="41"/>
  <c r="Q2" i="43"/>
  <c r="Q38" i="43" s="1"/>
  <c r="Q6" i="42"/>
  <c r="Q47" i="42" s="1"/>
  <c r="Q47" i="41"/>
  <c r="Q6" i="43"/>
  <c r="Q47" i="43" s="1"/>
  <c r="Q10" i="42"/>
  <c r="Q46" i="42" s="1"/>
  <c r="Q45" i="42" s="1"/>
  <c r="Q46" i="41"/>
  <c r="Q10" i="43"/>
  <c r="Q46" i="43" s="1"/>
  <c r="Q45" i="43" s="1"/>
  <c r="Q14" i="42"/>
  <c r="Q34" i="42" s="1"/>
  <c r="Q34" i="41"/>
  <c r="Q14" i="43"/>
  <c r="Q34" i="43" s="1"/>
  <c r="Q18" i="42"/>
  <c r="Q75" i="41"/>
  <c r="Q61" i="41"/>
  <c r="Q18" i="43"/>
  <c r="Q22" i="42"/>
  <c r="Q37" i="42" s="1"/>
  <c r="Q37" i="41"/>
  <c r="Q22" i="43"/>
  <c r="Q37" i="43" s="1"/>
  <c r="Q26" i="42"/>
  <c r="Q36" i="42" s="1"/>
  <c r="Q36" i="41"/>
  <c r="Q26" i="43"/>
  <c r="Q36" i="43" s="1"/>
  <c r="Q30" i="42"/>
  <c r="Q35" i="42" s="1"/>
  <c r="Q35" i="41"/>
  <c r="Q30" i="43"/>
  <c r="Q35" i="43" s="1"/>
  <c r="AO67" i="32"/>
  <c r="AO53" i="32"/>
  <c r="AT69" i="32"/>
  <c r="AT55" i="32"/>
  <c r="AX44" i="32"/>
  <c r="AO46" i="32"/>
  <c r="AX42" i="32"/>
  <c r="AO34" i="32"/>
  <c r="AT67" i="32"/>
  <c r="AT53" i="32"/>
  <c r="AO32" i="32"/>
  <c r="AO42" i="32"/>
  <c r="AX32" i="32"/>
  <c r="AX31" i="32"/>
  <c r="AT72" i="32"/>
  <c r="AT58" i="32"/>
  <c r="AO40" i="32"/>
  <c r="AO56" i="32"/>
  <c r="AO70" i="32"/>
  <c r="AX47" i="32"/>
  <c r="AT71" i="32"/>
  <c r="AT57" i="32"/>
  <c r="CT62" i="30"/>
  <c r="CT76" i="30"/>
  <c r="CT59" i="30"/>
  <c r="CT73" i="30"/>
  <c r="AV41" i="29"/>
  <c r="BU8" i="30"/>
  <c r="BU74" i="41"/>
  <c r="BU60" i="41"/>
  <c r="AV71" i="29"/>
  <c r="AV57" i="29"/>
  <c r="BU29" i="30"/>
  <c r="AV62" i="29"/>
  <c r="AV76" i="29"/>
  <c r="BU27" i="30"/>
  <c r="AV50" i="29"/>
  <c r="AV64" i="29"/>
  <c r="BU25" i="30"/>
  <c r="AV49" i="29"/>
  <c r="BU23" i="30"/>
  <c r="BU49" i="30" s="1"/>
  <c r="AV65" i="29"/>
  <c r="AV51" i="29"/>
  <c r="BU21" i="30"/>
  <c r="AV42" i="29"/>
  <c r="BU19" i="30"/>
  <c r="AV52" i="29"/>
  <c r="AV66" i="29"/>
  <c r="BU17" i="30"/>
  <c r="AV44" i="29"/>
  <c r="BU15" i="30"/>
  <c r="AV33" i="29"/>
  <c r="BU13" i="30"/>
  <c r="BU33" i="30" s="1"/>
  <c r="AV54" i="29"/>
  <c r="AV68" i="29"/>
  <c r="BU9" i="30"/>
  <c r="AV53" i="29"/>
  <c r="AV67" i="29"/>
  <c r="BU5" i="30"/>
  <c r="AV32" i="29"/>
  <c r="BU3" i="30"/>
  <c r="BU32" i="30" s="1"/>
  <c r="BU68" i="41"/>
  <c r="BU54" i="41"/>
  <c r="BU71" i="41"/>
  <c r="BU57" i="41"/>
  <c r="BU5" i="42"/>
  <c r="AV67" i="41"/>
  <c r="AV53" i="41"/>
  <c r="BU5" i="43"/>
  <c r="BU9" i="42"/>
  <c r="AV54" i="41"/>
  <c r="AV68" i="41"/>
  <c r="BU9" i="43"/>
  <c r="BU13" i="42"/>
  <c r="BU33" i="42" s="1"/>
  <c r="AV33" i="41"/>
  <c r="BU13" i="43"/>
  <c r="BU33" i="43" s="1"/>
  <c r="BU17" i="42"/>
  <c r="AV66" i="41"/>
  <c r="AV52" i="41"/>
  <c r="BU17" i="43"/>
  <c r="BU21" i="42"/>
  <c r="AV51" i="41"/>
  <c r="AV65" i="41"/>
  <c r="BU21" i="43"/>
  <c r="BU25" i="42"/>
  <c r="AV64" i="41"/>
  <c r="AV50" i="41"/>
  <c r="BU25" i="43"/>
  <c r="BU29" i="42"/>
  <c r="AV71" i="41"/>
  <c r="AV57" i="41"/>
  <c r="BU29" i="43"/>
  <c r="CT45" i="42"/>
  <c r="CT59" i="42"/>
  <c r="CT73" i="42"/>
  <c r="CT56" i="42"/>
  <c r="CT70" i="42"/>
  <c r="CT55" i="42"/>
  <c r="CT69" i="42"/>
  <c r="CI57" i="30"/>
  <c r="CI71" i="30"/>
  <c r="CI50" i="30"/>
  <c r="CI64" i="30"/>
  <c r="CI65" i="30"/>
  <c r="CI51" i="30"/>
  <c r="CI48" i="30" s="1"/>
  <c r="CI52" i="30"/>
  <c r="CI66" i="30"/>
  <c r="CI54" i="30"/>
  <c r="CI68" i="30"/>
  <c r="CI53" i="30"/>
  <c r="CI67" i="30"/>
  <c r="CI31" i="43"/>
  <c r="AK41" i="29"/>
  <c r="BJ8" i="30"/>
  <c r="BJ59" i="29"/>
  <c r="BJ73" i="29"/>
  <c r="AK35" i="29"/>
  <c r="BJ30" i="30"/>
  <c r="AK43" i="29"/>
  <c r="BJ28" i="30"/>
  <c r="AK36" i="29"/>
  <c r="BJ26" i="30"/>
  <c r="AK69" i="29"/>
  <c r="AK55" i="29"/>
  <c r="BJ24" i="30"/>
  <c r="AK37" i="29"/>
  <c r="BJ22" i="30"/>
  <c r="AK56" i="29"/>
  <c r="AK70" i="29"/>
  <c r="BJ20" i="30"/>
  <c r="AK61" i="29"/>
  <c r="AK75" i="29"/>
  <c r="BJ18" i="30"/>
  <c r="AK58" i="29"/>
  <c r="AK72" i="29"/>
  <c r="BJ16" i="30"/>
  <c r="AK34" i="29"/>
  <c r="BJ14" i="30"/>
  <c r="AK67" i="29"/>
  <c r="AK53" i="29"/>
  <c r="BJ5" i="30"/>
  <c r="BJ69" i="41"/>
  <c r="BJ55" i="41"/>
  <c r="BJ71" i="41"/>
  <c r="BJ57" i="41"/>
  <c r="BJ5" i="42"/>
  <c r="AK67" i="41"/>
  <c r="AK53" i="41"/>
  <c r="BJ5" i="43"/>
  <c r="BJ9" i="42"/>
  <c r="AK68" i="41"/>
  <c r="AK54" i="41"/>
  <c r="BJ9" i="43"/>
  <c r="BJ13" i="42"/>
  <c r="BJ33" i="42" s="1"/>
  <c r="AK33" i="41"/>
  <c r="BJ13" i="43"/>
  <c r="BJ33" i="43" s="1"/>
  <c r="BJ17" i="42"/>
  <c r="AK52" i="41"/>
  <c r="AK66" i="41"/>
  <c r="BJ17" i="43"/>
  <c r="BJ21" i="42"/>
  <c r="AK65" i="41"/>
  <c r="AK51" i="41"/>
  <c r="BJ21" i="43"/>
  <c r="BJ25" i="42"/>
  <c r="AK50" i="41"/>
  <c r="AK64" i="41"/>
  <c r="BJ25" i="43"/>
  <c r="BJ29" i="42"/>
  <c r="AK71" i="41"/>
  <c r="AK57" i="41"/>
  <c r="BJ29" i="43"/>
  <c r="BJ67" i="41"/>
  <c r="BJ53" i="41"/>
  <c r="CI72" i="42"/>
  <c r="CI58" i="42"/>
  <c r="CI73" i="42"/>
  <c r="CI59" i="42"/>
  <c r="D76" i="16"/>
  <c r="D62" i="16"/>
  <c r="AE33" i="16"/>
  <c r="AE70" i="37"/>
  <c r="AT31" i="30"/>
  <c r="AT31" i="43"/>
  <c r="U62" i="29"/>
  <c r="U76" i="29"/>
  <c r="U27" i="30"/>
  <c r="U42" i="29"/>
  <c r="U19" i="30"/>
  <c r="U42" i="30" s="1"/>
  <c r="U35" i="29"/>
  <c r="U30" i="30"/>
  <c r="U37" i="29"/>
  <c r="U22" i="30"/>
  <c r="U37" i="30" s="1"/>
  <c r="U34" i="29"/>
  <c r="U14" i="30"/>
  <c r="U68" i="29"/>
  <c r="U54" i="29"/>
  <c r="U9" i="30"/>
  <c r="U53" i="29"/>
  <c r="U67" i="29"/>
  <c r="U5" i="30"/>
  <c r="U2" i="42"/>
  <c r="U38" i="42" s="1"/>
  <c r="U38" i="41"/>
  <c r="U2" i="43"/>
  <c r="U38" i="43" s="1"/>
  <c r="U6" i="42"/>
  <c r="U47" i="42" s="1"/>
  <c r="U47" i="41"/>
  <c r="U6" i="43"/>
  <c r="U47" i="43" s="1"/>
  <c r="U10" i="42"/>
  <c r="U46" i="42" s="1"/>
  <c r="U46" i="41"/>
  <c r="U45" i="41" s="1"/>
  <c r="U10" i="43"/>
  <c r="U46" i="43" s="1"/>
  <c r="U14" i="42"/>
  <c r="U34" i="42" s="1"/>
  <c r="U34" i="41"/>
  <c r="U14" i="43"/>
  <c r="U34" i="43" s="1"/>
  <c r="U18" i="42"/>
  <c r="U75" i="41"/>
  <c r="U61" i="41"/>
  <c r="U18" i="43"/>
  <c r="U22" i="42"/>
  <c r="U37" i="42" s="1"/>
  <c r="U37" i="41"/>
  <c r="U22" i="43"/>
  <c r="U37" i="43" s="1"/>
  <c r="U26" i="42"/>
  <c r="U36" i="42" s="1"/>
  <c r="U36" i="41"/>
  <c r="U26" i="43"/>
  <c r="U36" i="43" s="1"/>
  <c r="U30" i="42"/>
  <c r="U35" i="42" s="1"/>
  <c r="U35" i="41"/>
  <c r="U30" i="43"/>
  <c r="U35" i="43" s="1"/>
  <c r="F39" i="29"/>
  <c r="F11" i="30"/>
  <c r="F57" i="29"/>
  <c r="F71" i="29"/>
  <c r="F29" i="30"/>
  <c r="F64" i="29"/>
  <c r="F50" i="29"/>
  <c r="F25" i="30"/>
  <c r="F65" i="29"/>
  <c r="F51" i="29"/>
  <c r="F21" i="30"/>
  <c r="F52" i="29"/>
  <c r="F66" i="29"/>
  <c r="F17" i="30"/>
  <c r="F33" i="29"/>
  <c r="F13" i="30"/>
  <c r="F47" i="29"/>
  <c r="F6" i="30"/>
  <c r="F5" i="42"/>
  <c r="F53" i="41"/>
  <c r="F67" i="41"/>
  <c r="F5" i="43"/>
  <c r="F9" i="42"/>
  <c r="F68" i="41"/>
  <c r="F54" i="41"/>
  <c r="F9" i="43"/>
  <c r="F13" i="42"/>
  <c r="F33" i="42" s="1"/>
  <c r="F33" i="41"/>
  <c r="F13" i="43"/>
  <c r="F33" i="43" s="1"/>
  <c r="F17" i="42"/>
  <c r="F66" i="41"/>
  <c r="F52" i="41"/>
  <c r="F17" i="43"/>
  <c r="F21" i="42"/>
  <c r="F51" i="41"/>
  <c r="F65" i="41"/>
  <c r="F21" i="43"/>
  <c r="F25" i="42"/>
  <c r="F64" i="41"/>
  <c r="F50" i="41"/>
  <c r="F25" i="43"/>
  <c r="F29" i="42"/>
  <c r="F57" i="41"/>
  <c r="F71" i="41"/>
  <c r="F29" i="43"/>
  <c r="CY16" i="18"/>
  <c r="AS16" i="18"/>
  <c r="CY13" i="18"/>
  <c r="AS13" i="18"/>
  <c r="CY29" i="18"/>
  <c r="AS29" i="18"/>
  <c r="CY26" i="18"/>
  <c r="AS26" i="18"/>
  <c r="CY24" i="18"/>
  <c r="AS24" i="18"/>
  <c r="CY22" i="18"/>
  <c r="AS22" i="18"/>
  <c r="CY15" i="18"/>
  <c r="AS15" i="18"/>
  <c r="AA45" i="38"/>
  <c r="AA46" i="38"/>
  <c r="AA32" i="38"/>
  <c r="AA31" i="38"/>
  <c r="EP32" i="38"/>
  <c r="EP31" i="38"/>
  <c r="P65" i="38"/>
  <c r="AA65" i="38" s="1"/>
  <c r="P51" i="38"/>
  <c r="AA51" i="38" s="1"/>
  <c r="BV59" i="38"/>
  <c r="CJ59" i="38" s="1"/>
  <c r="BV73" i="38"/>
  <c r="CJ73" i="38" s="1"/>
  <c r="CY17" i="38"/>
  <c r="E52" i="38"/>
  <c r="AS17" i="38"/>
  <c r="E66" i="38"/>
  <c r="P54" i="38"/>
  <c r="AA54" i="38" s="1"/>
  <c r="P68" i="38"/>
  <c r="AA68" i="38" s="1"/>
  <c r="P62" i="38"/>
  <c r="AA62" i="38" s="1"/>
  <c r="P76" i="38"/>
  <c r="AA76" i="38" s="1"/>
  <c r="CY3" i="38"/>
  <c r="E32" i="38"/>
  <c r="E31" i="38" s="1"/>
  <c r="AS3" i="38"/>
  <c r="P50" i="38"/>
  <c r="AA50" i="38" s="1"/>
  <c r="P64" i="38"/>
  <c r="EB74" i="38"/>
  <c r="EP74" i="38" s="1"/>
  <c r="EB60" i="38"/>
  <c r="EP60" i="38" s="1"/>
  <c r="CY18" i="38"/>
  <c r="AS18" i="38"/>
  <c r="E75" i="38"/>
  <c r="E61" i="38"/>
  <c r="E42" i="38"/>
  <c r="CY19" i="38"/>
  <c r="AS19" i="38"/>
  <c r="EP49" i="38"/>
  <c r="AS9" i="38"/>
  <c r="E68" i="38"/>
  <c r="E54" i="38"/>
  <c r="CY9" i="38"/>
  <c r="BV60" i="38"/>
  <c r="CJ60" i="38" s="1"/>
  <c r="BV74" i="38"/>
  <c r="CJ74" i="38" s="1"/>
  <c r="BV50" i="38"/>
  <c r="CJ50" i="38" s="1"/>
  <c r="BV64" i="38"/>
  <c r="CF62" i="30"/>
  <c r="CF76" i="30"/>
  <c r="CF60" i="30"/>
  <c r="CF74" i="30"/>
  <c r="CF75" i="30"/>
  <c r="CF61" i="30"/>
  <c r="CF68" i="30"/>
  <c r="CF54" i="30"/>
  <c r="AH34" i="29"/>
  <c r="BG14" i="30"/>
  <c r="AH69" i="29"/>
  <c r="AH55" i="29"/>
  <c r="BG24" i="30"/>
  <c r="BG66" i="29"/>
  <c r="BG52" i="29"/>
  <c r="BG48" i="29" s="1"/>
  <c r="AH62" i="29"/>
  <c r="AH76" i="29"/>
  <c r="BG27" i="30"/>
  <c r="AH49" i="29"/>
  <c r="BG23" i="30"/>
  <c r="AH42" i="29"/>
  <c r="BG19" i="30"/>
  <c r="AH44" i="29"/>
  <c r="BG15" i="30"/>
  <c r="AH35" i="29"/>
  <c r="BG30" i="30"/>
  <c r="BG59" i="41"/>
  <c r="BG73" i="41"/>
  <c r="BG60" i="41"/>
  <c r="BG74" i="41"/>
  <c r="BG75" i="41"/>
  <c r="BG61" i="41"/>
  <c r="BG62" i="41"/>
  <c r="BG76" i="41"/>
  <c r="BF45" i="41"/>
  <c r="BG3" i="42"/>
  <c r="BG32" i="42" s="1"/>
  <c r="AH32" i="41"/>
  <c r="BG3" i="43"/>
  <c r="BG32" i="43" s="1"/>
  <c r="BG7" i="42"/>
  <c r="AH73" i="41"/>
  <c r="AH59" i="41"/>
  <c r="BG7" i="43"/>
  <c r="BG11" i="42"/>
  <c r="BG39" i="42" s="1"/>
  <c r="AH39" i="41"/>
  <c r="BG11" i="43"/>
  <c r="BG39" i="43" s="1"/>
  <c r="BG15" i="42"/>
  <c r="BG44" i="42" s="1"/>
  <c r="AH44" i="41"/>
  <c r="BG15" i="43"/>
  <c r="BG44" i="43" s="1"/>
  <c r="BG19" i="42"/>
  <c r="BG42" i="42" s="1"/>
  <c r="AH42" i="41"/>
  <c r="BG19" i="43"/>
  <c r="BG42" i="43" s="1"/>
  <c r="BG23" i="42"/>
  <c r="BG49" i="42" s="1"/>
  <c r="AH49" i="41"/>
  <c r="AH48" i="41" s="1"/>
  <c r="BG23" i="43"/>
  <c r="BG49" i="43" s="1"/>
  <c r="BG27" i="42"/>
  <c r="AH62" i="41"/>
  <c r="AH76" i="41"/>
  <c r="BG27" i="43"/>
  <c r="CF67" i="42"/>
  <c r="CF53" i="42"/>
  <c r="CF68" i="42"/>
  <c r="CF54" i="42"/>
  <c r="CF66" i="42"/>
  <c r="CF52" i="42"/>
  <c r="CF65" i="42"/>
  <c r="CF51" i="42"/>
  <c r="CF64" i="42"/>
  <c r="CF50" i="42"/>
  <c r="CF48" i="42" s="1"/>
  <c r="CF71" i="42"/>
  <c r="CF57" i="42"/>
  <c r="R71" i="37"/>
  <c r="R57" i="37"/>
  <c r="O58" i="37"/>
  <c r="O72" i="37"/>
  <c r="AI46" i="37"/>
  <c r="AI45" i="37"/>
  <c r="AB51" i="37"/>
  <c r="AB65" i="37"/>
  <c r="AX9" i="37"/>
  <c r="AU9" i="37"/>
  <c r="AT9" i="37"/>
  <c r="AW9" i="37"/>
  <c r="BA75" i="37"/>
  <c r="BG75" i="37" s="1"/>
  <c r="BA61" i="37"/>
  <c r="BG61" i="37" s="1"/>
  <c r="E45" i="37"/>
  <c r="O76" i="37"/>
  <c r="O62" i="37"/>
  <c r="N69" i="37"/>
  <c r="N55" i="37"/>
  <c r="R56" i="37"/>
  <c r="R70" i="37"/>
  <c r="Q66" i="37"/>
  <c r="Q52" i="37"/>
  <c r="Q48" i="37" s="1"/>
  <c r="R45" i="37"/>
  <c r="AI31" i="37"/>
  <c r="AI32" i="37"/>
  <c r="I60" i="37"/>
  <c r="L60" i="37" s="1"/>
  <c r="I74" i="37"/>
  <c r="L74" i="37" s="1"/>
  <c r="AA76" i="37"/>
  <c r="AA62" i="37"/>
  <c r="Y51" i="37"/>
  <c r="Y65" i="37"/>
  <c r="BB57" i="37"/>
  <c r="BH57" i="37" s="1"/>
  <c r="BB71" i="37"/>
  <c r="BH71" i="37" s="1"/>
  <c r="AY64" i="37"/>
  <c r="AY50" i="37"/>
  <c r="BE50" i="37" s="1"/>
  <c r="AA46" i="37"/>
  <c r="AA45" i="37"/>
  <c r="AY70" i="37"/>
  <c r="BE70" i="37" s="1"/>
  <c r="AY56" i="37"/>
  <c r="BE56" i="37" s="1"/>
  <c r="E50" i="37"/>
  <c r="E64" i="37"/>
  <c r="E68" i="37"/>
  <c r="E54" i="37"/>
  <c r="N76" i="37"/>
  <c r="N62" i="37"/>
  <c r="R48" i="37"/>
  <c r="Q70" i="37"/>
  <c r="Q56" i="37"/>
  <c r="P66" i="37"/>
  <c r="P52" i="37"/>
  <c r="P48" i="37" s="1"/>
  <c r="P45" i="37"/>
  <c r="AI56" i="37"/>
  <c r="AI70" i="37"/>
  <c r="L32" i="37"/>
  <c r="L31" i="37"/>
  <c r="AB50" i="37"/>
  <c r="BB56" i="37"/>
  <c r="BH56" i="37" s="1"/>
  <c r="BB70" i="37"/>
  <c r="BH70" i="37" s="1"/>
  <c r="AY72" i="37"/>
  <c r="BE72" i="37" s="1"/>
  <c r="AY58" i="37"/>
  <c r="BE58" i="37" s="1"/>
  <c r="AX11" i="37"/>
  <c r="AX39" i="37" s="1"/>
  <c r="AU11" i="37"/>
  <c r="AW11" i="37"/>
  <c r="AT11" i="37"/>
  <c r="AX27" i="37"/>
  <c r="AU27" i="37"/>
  <c r="AT27" i="37"/>
  <c r="AW27" i="37"/>
  <c r="O69" i="37"/>
  <c r="O55" i="37"/>
  <c r="N74" i="37"/>
  <c r="N60" i="37"/>
  <c r="Q31" i="37"/>
  <c r="AJ63" i="37"/>
  <c r="AJ50" i="37"/>
  <c r="AB53" i="37"/>
  <c r="AB67" i="37"/>
  <c r="AX25" i="37"/>
  <c r="AU25" i="37"/>
  <c r="AT25" i="37"/>
  <c r="AW25" i="37"/>
  <c r="F12" i="37"/>
  <c r="E74" i="37"/>
  <c r="E60" i="37"/>
  <c r="Q62" i="37"/>
  <c r="Q76" i="37"/>
  <c r="P69" i="37"/>
  <c r="P55" i="37"/>
  <c r="O51" i="37"/>
  <c r="O65" i="37"/>
  <c r="N75" i="37"/>
  <c r="N61" i="37"/>
  <c r="N73" i="37"/>
  <c r="N59" i="37"/>
  <c r="AI67" i="37"/>
  <c r="AI53" i="37"/>
  <c r="AI51" i="37"/>
  <c r="AI65" i="37"/>
  <c r="Y50" i="37"/>
  <c r="AB61" i="37"/>
  <c r="AB75" i="37"/>
  <c r="Z74" i="37"/>
  <c r="Z60" i="37"/>
  <c r="BB68" i="37"/>
  <c r="BH68" i="37" s="1"/>
  <c r="BB54" i="37"/>
  <c r="BH54" i="37" s="1"/>
  <c r="AY67" i="37"/>
  <c r="BE67" i="37" s="1"/>
  <c r="AY53" i="37"/>
  <c r="BE53" i="37" s="1"/>
  <c r="BA76" i="37"/>
  <c r="BG76" i="37" s="1"/>
  <c r="BA62" i="37"/>
  <c r="BG62" i="37" s="1"/>
  <c r="BD50" i="37"/>
  <c r="BJ50" i="37" s="1"/>
  <c r="BD64" i="37"/>
  <c r="L46" i="37"/>
  <c r="L45" i="37"/>
  <c r="Y76" i="37"/>
  <c r="Y62" i="37"/>
  <c r="X55" i="37"/>
  <c r="X69" i="37"/>
  <c r="AB56" i="37"/>
  <c r="AB70" i="37"/>
  <c r="AA52" i="37"/>
  <c r="AA66" i="37"/>
  <c r="BB76" i="37"/>
  <c r="BH76" i="37" s="1"/>
  <c r="BB62" i="37"/>
  <c r="BH62" i="37" s="1"/>
  <c r="BE49" i="37"/>
  <c r="AY59" i="37"/>
  <c r="BE59" i="37" s="1"/>
  <c r="AY73" i="37"/>
  <c r="BE73" i="37" s="1"/>
  <c r="BA71" i="37"/>
  <c r="BG71" i="37" s="1"/>
  <c r="BA57" i="37"/>
  <c r="BG57" i="37" s="1"/>
  <c r="BD62" i="37"/>
  <c r="BJ62" i="37" s="1"/>
  <c r="BD76" i="37"/>
  <c r="BJ76" i="37" s="1"/>
  <c r="N53" i="37"/>
  <c r="N67" i="37"/>
  <c r="AD31" i="37"/>
  <c r="AD59" i="37"/>
  <c r="AD73" i="37"/>
  <c r="AE73" i="37" s="1"/>
  <c r="AD62" i="37"/>
  <c r="AE62" i="37" s="1"/>
  <c r="AD76" i="37"/>
  <c r="AE76" i="37" s="1"/>
  <c r="I71" i="37"/>
  <c r="L71" i="37" s="1"/>
  <c r="I57" i="37"/>
  <c r="L57" i="37" s="1"/>
  <c r="AB76" i="37"/>
  <c r="AB62" i="37"/>
  <c r="AA69" i="37"/>
  <c r="AA55" i="37"/>
  <c r="Z65" i="37"/>
  <c r="Z51" i="37"/>
  <c r="Y75" i="37"/>
  <c r="Y61" i="37"/>
  <c r="Z67" i="37"/>
  <c r="Z53" i="37"/>
  <c r="BE46" i="37"/>
  <c r="BE45" i="37"/>
  <c r="AX6" i="37"/>
  <c r="AU6" i="37"/>
  <c r="AT6" i="37"/>
  <c r="AW6" i="37"/>
  <c r="AX14" i="37"/>
  <c r="AU14" i="37"/>
  <c r="AW14" i="37"/>
  <c r="AT14" i="37"/>
  <c r="AX22" i="37"/>
  <c r="AU22" i="37"/>
  <c r="AW22" i="37"/>
  <c r="AT22" i="37"/>
  <c r="AX30" i="37"/>
  <c r="AU30" i="37"/>
  <c r="AT30" i="37"/>
  <c r="AW30" i="37"/>
  <c r="BA72" i="37"/>
  <c r="BG72" i="37" s="1"/>
  <c r="BA58" i="37"/>
  <c r="BG58" i="37" s="1"/>
  <c r="AG64" i="16"/>
  <c r="AJ63" i="16" s="1"/>
  <c r="AG50" i="16"/>
  <c r="AJ50" i="16" s="1"/>
  <c r="AI47" i="16"/>
  <c r="AG47" i="16"/>
  <c r="AJ47" i="16" s="1"/>
  <c r="AG69" i="16"/>
  <c r="AI69" i="16" s="1"/>
  <c r="AG55" i="16"/>
  <c r="AI55" i="16" s="1"/>
  <c r="R75" i="16"/>
  <c r="R61" i="16"/>
  <c r="AX26" i="16"/>
  <c r="AX36" i="16" s="1"/>
  <c r="AS36" i="16"/>
  <c r="AT26" i="16"/>
  <c r="AT36" i="16" s="1"/>
  <c r="AW26" i="16"/>
  <c r="AW36" i="16" s="1"/>
  <c r="AU26" i="16"/>
  <c r="AU36" i="16" s="1"/>
  <c r="T64" i="16"/>
  <c r="T50" i="16"/>
  <c r="Y50" i="16" s="1"/>
  <c r="BE46" i="16"/>
  <c r="BE45" i="16"/>
  <c r="BB72" i="16"/>
  <c r="BH72" i="16" s="1"/>
  <c r="BB58" i="16"/>
  <c r="BH58" i="16" s="1"/>
  <c r="AY55" i="16"/>
  <c r="BE55" i="16" s="1"/>
  <c r="AY69" i="16"/>
  <c r="BE69" i="16" s="1"/>
  <c r="AG43" i="16"/>
  <c r="AJ43" i="16" s="1"/>
  <c r="T70" i="16"/>
  <c r="Y70" i="16" s="1"/>
  <c r="T56" i="16"/>
  <c r="Y56" i="16" s="1"/>
  <c r="U62" i="16"/>
  <c r="Z62" i="16" s="1"/>
  <c r="U76" i="16"/>
  <c r="Z76" i="16" s="1"/>
  <c r="AI46" i="16"/>
  <c r="AI45" i="16"/>
  <c r="BB69" i="16"/>
  <c r="BH69" i="16" s="1"/>
  <c r="BB55" i="16"/>
  <c r="BH55" i="16" s="1"/>
  <c r="AY57" i="16"/>
  <c r="BE57" i="16" s="1"/>
  <c r="AY71" i="16"/>
  <c r="BE71" i="16" s="1"/>
  <c r="P68" i="16"/>
  <c r="P54" i="16"/>
  <c r="BH32" i="16"/>
  <c r="BH31" i="16"/>
  <c r="BB64" i="16"/>
  <c r="BB50" i="16"/>
  <c r="BH50" i="16" s="1"/>
  <c r="T59" i="16"/>
  <c r="Y59" i="16" s="1"/>
  <c r="T73" i="16"/>
  <c r="Y73" i="16" s="1"/>
  <c r="BJ46" i="16"/>
  <c r="BJ45" i="16"/>
  <c r="E56" i="16"/>
  <c r="E70" i="16"/>
  <c r="AV76" i="16"/>
  <c r="AV62" i="16"/>
  <c r="AY67" i="16"/>
  <c r="BE67" i="16" s="1"/>
  <c r="AY53" i="16"/>
  <c r="BE53" i="16" s="1"/>
  <c r="AG74" i="16"/>
  <c r="AI74" i="16" s="1"/>
  <c r="AG60" i="16"/>
  <c r="AI60" i="16" s="1"/>
  <c r="AG42" i="16"/>
  <c r="AJ42" i="16" s="1"/>
  <c r="AG37" i="16"/>
  <c r="AJ37" i="16" s="1"/>
  <c r="BJ32" i="16"/>
  <c r="BJ31" i="16"/>
  <c r="AX6" i="16"/>
  <c r="AX47" i="16" s="1"/>
  <c r="AS47" i="16"/>
  <c r="AT6" i="16"/>
  <c r="AT47" i="16" s="1"/>
  <c r="AU6" i="16"/>
  <c r="AU47" i="16" s="1"/>
  <c r="AW6" i="16"/>
  <c r="AW47" i="16" s="1"/>
  <c r="Q45" i="16"/>
  <c r="R66" i="16"/>
  <c r="R52" i="16"/>
  <c r="R48" i="16" s="1"/>
  <c r="V65" i="16"/>
  <c r="AA65" i="16" s="1"/>
  <c r="V51" i="16"/>
  <c r="AA51" i="16" s="1"/>
  <c r="S55" i="16"/>
  <c r="X55" i="16" s="1"/>
  <c r="S69" i="16"/>
  <c r="X69" i="16" s="1"/>
  <c r="N76" i="16"/>
  <c r="N62" i="16"/>
  <c r="U67" i="16"/>
  <c r="Z67" i="16" s="1"/>
  <c r="U53" i="16"/>
  <c r="Z53" i="16" s="1"/>
  <c r="E45" i="16"/>
  <c r="AX16" i="16"/>
  <c r="AW16" i="16"/>
  <c r="AU16" i="16"/>
  <c r="AS58" i="16"/>
  <c r="AT16" i="16"/>
  <c r="AS72" i="16"/>
  <c r="N75" i="16"/>
  <c r="N61" i="16"/>
  <c r="AD65" i="16"/>
  <c r="AE65" i="16" s="1"/>
  <c r="AD51" i="16"/>
  <c r="AE51" i="16" s="1"/>
  <c r="AX23" i="16"/>
  <c r="AX49" i="16" s="1"/>
  <c r="AS49" i="16"/>
  <c r="AW23" i="16"/>
  <c r="AW49" i="16" s="1"/>
  <c r="AU23" i="16"/>
  <c r="AU49" i="16" s="1"/>
  <c r="AT23" i="16"/>
  <c r="AT49" i="16" s="1"/>
  <c r="W50" i="16"/>
  <c r="AB50" i="16" s="1"/>
  <c r="W64" i="16"/>
  <c r="Q76" i="16"/>
  <c r="Q62" i="16"/>
  <c r="V67" i="16"/>
  <c r="AA67" i="16" s="1"/>
  <c r="V53" i="16"/>
  <c r="AA53" i="16" s="1"/>
  <c r="Q59" i="16"/>
  <c r="Q73" i="16"/>
  <c r="T68" i="16"/>
  <c r="Y68" i="16" s="1"/>
  <c r="T54" i="16"/>
  <c r="Y54" i="16" s="1"/>
  <c r="W74" i="16"/>
  <c r="AB74" i="16" s="1"/>
  <c r="W60" i="16"/>
  <c r="AB60" i="16" s="1"/>
  <c r="N66" i="16"/>
  <c r="N52" i="16"/>
  <c r="BA75" i="16"/>
  <c r="BG75" i="16" s="1"/>
  <c r="BA61" i="16"/>
  <c r="BG61" i="16" s="1"/>
  <c r="AD56" i="16"/>
  <c r="AD70" i="16"/>
  <c r="AE70" i="16" s="1"/>
  <c r="AX22" i="16"/>
  <c r="AX37" i="16" s="1"/>
  <c r="AS37" i="16"/>
  <c r="AU22" i="16"/>
  <c r="AU37" i="16" s="1"/>
  <c r="AT22" i="16"/>
  <c r="AT37" i="16" s="1"/>
  <c r="AW22" i="16"/>
  <c r="AW37" i="16" s="1"/>
  <c r="O69" i="16"/>
  <c r="O55" i="16"/>
  <c r="BD50" i="16"/>
  <c r="BJ50" i="16" s="1"/>
  <c r="BD64" i="16"/>
  <c r="L32" i="16"/>
  <c r="L31" i="16"/>
  <c r="AV31" i="16"/>
  <c r="O67" i="16"/>
  <c r="O53" i="16"/>
  <c r="BA73" i="16"/>
  <c r="BG73" i="16" s="1"/>
  <c r="BA59" i="16"/>
  <c r="BG59" i="16" s="1"/>
  <c r="AS41" i="16"/>
  <c r="AX8" i="16"/>
  <c r="AX41" i="16" s="1"/>
  <c r="AU8" i="16"/>
  <c r="AU41" i="16" s="1"/>
  <c r="AW8" i="16"/>
  <c r="AW41" i="16" s="1"/>
  <c r="AT8" i="16"/>
  <c r="AT41" i="16" s="1"/>
  <c r="U54" i="16"/>
  <c r="Z54" i="16" s="1"/>
  <c r="U68" i="16"/>
  <c r="Z68" i="16" s="1"/>
  <c r="T74" i="16"/>
  <c r="Y74" i="16" s="1"/>
  <c r="T60" i="16"/>
  <c r="Y60" i="16" s="1"/>
  <c r="N72" i="16"/>
  <c r="N58" i="16"/>
  <c r="S66" i="16"/>
  <c r="X66" i="16" s="1"/>
  <c r="S52" i="16"/>
  <c r="X52" i="16" s="1"/>
  <c r="P61" i="16"/>
  <c r="P75" i="16"/>
  <c r="O65" i="16"/>
  <c r="O51" i="16"/>
  <c r="BG49" i="16"/>
  <c r="AX24" i="16"/>
  <c r="AT24" i="16"/>
  <c r="AW24" i="16"/>
  <c r="AS69" i="16"/>
  <c r="AS55" i="16"/>
  <c r="AU24" i="16"/>
  <c r="U64" i="16"/>
  <c r="U50" i="16"/>
  <c r="Z50" i="16" s="1"/>
  <c r="W76" i="16"/>
  <c r="AB76" i="16" s="1"/>
  <c r="W62" i="16"/>
  <c r="AB62" i="16" s="1"/>
  <c r="Q71" i="16"/>
  <c r="Q57" i="16"/>
  <c r="Q48" i="16" s="1"/>
  <c r="N31" i="16"/>
  <c r="P53" i="16"/>
  <c r="P67" i="16"/>
  <c r="W73" i="16"/>
  <c r="AB73" i="16" s="1"/>
  <c r="W59" i="16"/>
  <c r="AB59" i="16" s="1"/>
  <c r="R54" i="16"/>
  <c r="R68" i="16"/>
  <c r="AB45" i="16"/>
  <c r="AB46" i="16"/>
  <c r="Q60" i="16"/>
  <c r="Q74" i="16"/>
  <c r="W58" i="16"/>
  <c r="AB58" i="16" s="1"/>
  <c r="W72" i="16"/>
  <c r="AB72" i="16" s="1"/>
  <c r="T66" i="16"/>
  <c r="Y66" i="16" s="1"/>
  <c r="T52" i="16"/>
  <c r="Y52" i="16" s="1"/>
  <c r="Q61" i="16"/>
  <c r="Q75" i="16"/>
  <c r="S70" i="16"/>
  <c r="X70" i="16" s="1"/>
  <c r="S56" i="16"/>
  <c r="X56" i="16" s="1"/>
  <c r="P65" i="16"/>
  <c r="P51" i="16"/>
  <c r="AB49" i="16"/>
  <c r="AB48" i="16"/>
  <c r="U69" i="16"/>
  <c r="Z69" i="16" s="1"/>
  <c r="U55" i="16"/>
  <c r="Z55" i="16" s="1"/>
  <c r="R50" i="16"/>
  <c r="R64" i="16"/>
  <c r="R63" i="16" s="1"/>
  <c r="T76" i="16"/>
  <c r="Y76" i="16" s="1"/>
  <c r="T62" i="16"/>
  <c r="Y62" i="16" s="1"/>
  <c r="N71" i="16"/>
  <c r="N57" i="16"/>
  <c r="DC20" i="18"/>
  <c r="AW20" i="18"/>
  <c r="DC17" i="18"/>
  <c r="AW17" i="18"/>
  <c r="DC10" i="18"/>
  <c r="AW10" i="18"/>
  <c r="DC12" i="18"/>
  <c r="AW12" i="18"/>
  <c r="DC14" i="18"/>
  <c r="AW14" i="18"/>
  <c r="DC7" i="18"/>
  <c r="AW7" i="18"/>
  <c r="DC23" i="18"/>
  <c r="AW23" i="18"/>
  <c r="AI45" i="38"/>
  <c r="AI46" i="38"/>
  <c r="X67" i="38"/>
  <c r="AI67" i="38" s="1"/>
  <c r="X53" i="38"/>
  <c r="AI53" i="38" s="1"/>
  <c r="EF65" i="38"/>
  <c r="ET65" i="38" s="1"/>
  <c r="EF51" i="38"/>
  <c r="ET51" i="38" s="1"/>
  <c r="BZ52" i="38"/>
  <c r="CN52" i="38" s="1"/>
  <c r="BZ66" i="38"/>
  <c r="CN66" i="38" s="1"/>
  <c r="AI49" i="38"/>
  <c r="DC26" i="38"/>
  <c r="M36" i="38"/>
  <c r="AW26" i="38"/>
  <c r="X54" i="38"/>
  <c r="AI54" i="38" s="1"/>
  <c r="X68" i="38"/>
  <c r="AI68" i="38" s="1"/>
  <c r="X62" i="38"/>
  <c r="AI62" i="38" s="1"/>
  <c r="X76" i="38"/>
  <c r="AI76" i="38" s="1"/>
  <c r="M32" i="38"/>
  <c r="DC3" i="38"/>
  <c r="AW3" i="38"/>
  <c r="DC7" i="38"/>
  <c r="AW7" i="38"/>
  <c r="M73" i="38"/>
  <c r="M59" i="38"/>
  <c r="EF60" i="38"/>
  <c r="ET60" i="38" s="1"/>
  <c r="EF74" i="38"/>
  <c r="ET74" i="38" s="1"/>
  <c r="DC27" i="38"/>
  <c r="M76" i="38"/>
  <c r="M62" i="38"/>
  <c r="AW27" i="38"/>
  <c r="X70" i="38"/>
  <c r="AI70" i="38" s="1"/>
  <c r="X56" i="38"/>
  <c r="AI56" i="38" s="1"/>
  <c r="BZ73" i="38"/>
  <c r="CN73" i="38" s="1"/>
  <c r="BZ59" i="38"/>
  <c r="CN59" i="38" s="1"/>
  <c r="M33" i="38"/>
  <c r="DC13" i="38"/>
  <c r="AW13" i="38"/>
  <c r="DC18" i="38"/>
  <c r="M75" i="38"/>
  <c r="AW18" i="38"/>
  <c r="M61" i="38"/>
  <c r="AW12" i="38"/>
  <c r="M60" i="38"/>
  <c r="DC12" i="38"/>
  <c r="M74" i="38"/>
  <c r="BZ58" i="38"/>
  <c r="CN58" i="38" s="1"/>
  <c r="BZ72" i="38"/>
  <c r="CN72" i="38" s="1"/>
  <c r="DC25" i="38"/>
  <c r="AW25" i="38"/>
  <c r="M64" i="38"/>
  <c r="M50" i="38"/>
  <c r="CT9" i="18"/>
  <c r="AN9" i="18"/>
  <c r="CT25" i="18"/>
  <c r="AN25" i="18"/>
  <c r="CT30" i="18"/>
  <c r="AN30" i="18"/>
  <c r="CT24" i="18"/>
  <c r="AN24" i="18"/>
  <c r="CT14" i="18"/>
  <c r="AN14" i="18"/>
  <c r="CT7" i="18"/>
  <c r="AN7" i="18"/>
  <c r="CT23" i="18"/>
  <c r="AN23" i="18"/>
  <c r="CT17" i="38"/>
  <c r="I66" i="38"/>
  <c r="I63" i="38" s="1"/>
  <c r="I52" i="38"/>
  <c r="AN17" i="38"/>
  <c r="CT13" i="38"/>
  <c r="I33" i="38"/>
  <c r="AN13" i="38"/>
  <c r="BQ68" i="38"/>
  <c r="CE68" i="38" s="1"/>
  <c r="BQ54" i="38"/>
  <c r="CE54" i="38" s="1"/>
  <c r="BQ69" i="38"/>
  <c r="CE69" i="38" s="1"/>
  <c r="BQ55" i="38"/>
  <c r="CE55" i="38" s="1"/>
  <c r="AE46" i="38"/>
  <c r="AE45" i="38"/>
  <c r="AN2" i="38"/>
  <c r="CT2" i="38"/>
  <c r="I38" i="38"/>
  <c r="AN14" i="38"/>
  <c r="I34" i="38"/>
  <c r="CT14" i="38"/>
  <c r="T71" i="38"/>
  <c r="AE71" i="38" s="1"/>
  <c r="T57" i="38"/>
  <c r="AE57" i="38" s="1"/>
  <c r="CT5" i="38"/>
  <c r="AN5" i="38"/>
  <c r="I67" i="38"/>
  <c r="I53" i="38"/>
  <c r="T74" i="38"/>
  <c r="AE74" i="38" s="1"/>
  <c r="T60" i="38"/>
  <c r="AE60" i="38" s="1"/>
  <c r="CT6" i="38"/>
  <c r="I47" i="38"/>
  <c r="AN6" i="38"/>
  <c r="CT10" i="38"/>
  <c r="I46" i="38"/>
  <c r="AN10" i="38"/>
  <c r="CE49" i="38"/>
  <c r="DW71" i="38"/>
  <c r="EK71" i="38" s="1"/>
  <c r="DW57" i="38"/>
  <c r="EK57" i="38" s="1"/>
  <c r="CT27" i="38"/>
  <c r="AN27" i="38"/>
  <c r="I76" i="38"/>
  <c r="I62" i="38"/>
  <c r="BQ59" i="38"/>
  <c r="CE59" i="38" s="1"/>
  <c r="BQ73" i="38"/>
  <c r="CE73" i="38" s="1"/>
  <c r="CT12" i="38"/>
  <c r="AN12" i="38"/>
  <c r="I74" i="38"/>
  <c r="I60" i="38"/>
  <c r="DW58" i="38"/>
  <c r="EK58" i="38" s="1"/>
  <c r="DW72" i="38"/>
  <c r="EK72" i="38" s="1"/>
  <c r="CT22" i="38"/>
  <c r="I37" i="38"/>
  <c r="AN22" i="38"/>
  <c r="CT21" i="38"/>
  <c r="I51" i="38"/>
  <c r="AN21" i="38"/>
  <c r="I65" i="38"/>
  <c r="DW64" i="38"/>
  <c r="DW50" i="38"/>
  <c r="EK50" i="38" s="1"/>
  <c r="CT30" i="38"/>
  <c r="I35" i="38"/>
  <c r="AN30" i="38"/>
  <c r="CV55" i="30"/>
  <c r="CV69" i="30"/>
  <c r="CV60" i="30"/>
  <c r="CV74" i="30"/>
  <c r="CV65" i="30"/>
  <c r="CV51" i="30"/>
  <c r="CV45" i="43"/>
  <c r="BW71" i="29"/>
  <c r="BW57" i="29"/>
  <c r="AX37" i="29"/>
  <c r="BW22" i="30"/>
  <c r="AX36" i="29"/>
  <c r="BW26" i="30"/>
  <c r="AX72" i="29"/>
  <c r="AX58" i="29"/>
  <c r="BW16" i="30"/>
  <c r="AX62" i="29"/>
  <c r="AX76" i="29"/>
  <c r="BW27" i="30"/>
  <c r="AX49" i="29"/>
  <c r="AX48" i="29" s="1"/>
  <c r="BW23" i="30"/>
  <c r="AX42" i="29"/>
  <c r="BW19" i="30"/>
  <c r="AX44" i="29"/>
  <c r="BW15" i="30"/>
  <c r="BW58" i="41"/>
  <c r="BW72" i="41"/>
  <c r="BW70" i="41"/>
  <c r="BW56" i="41"/>
  <c r="BW64" i="41"/>
  <c r="BW50" i="41"/>
  <c r="BW68" i="29"/>
  <c r="BW54" i="29"/>
  <c r="BW59" i="29"/>
  <c r="BW73" i="29"/>
  <c r="BW53" i="29"/>
  <c r="BW67" i="29"/>
  <c r="BW31" i="29"/>
  <c r="BW71" i="41"/>
  <c r="BW57" i="41"/>
  <c r="BW5" i="42"/>
  <c r="AX67" i="41"/>
  <c r="AX53" i="41"/>
  <c r="BW5" i="43"/>
  <c r="BW9" i="42"/>
  <c r="AX68" i="41"/>
  <c r="AX54" i="41"/>
  <c r="BW9" i="43"/>
  <c r="BW13" i="42"/>
  <c r="BW33" i="42" s="1"/>
  <c r="AX33" i="41"/>
  <c r="BW13" i="43"/>
  <c r="BW33" i="43" s="1"/>
  <c r="BW17" i="42"/>
  <c r="AX52" i="41"/>
  <c r="AX66" i="41"/>
  <c r="BW17" i="43"/>
  <c r="BW21" i="42"/>
  <c r="AX65" i="41"/>
  <c r="AX51" i="41"/>
  <c r="BW21" i="43"/>
  <c r="BW25" i="42"/>
  <c r="AX50" i="41"/>
  <c r="AX64" i="41"/>
  <c r="BW25" i="43"/>
  <c r="BW29" i="42"/>
  <c r="AX57" i="41"/>
  <c r="AX71" i="41"/>
  <c r="BW29" i="43"/>
  <c r="CV31" i="42"/>
  <c r="CV73" i="42"/>
  <c r="CV59" i="42"/>
  <c r="CV76" i="42"/>
  <c r="CV62" i="42"/>
  <c r="CS61" i="30"/>
  <c r="CS75" i="30"/>
  <c r="CS31" i="43"/>
  <c r="AU46" i="29"/>
  <c r="AU45" i="29" s="1"/>
  <c r="BT10" i="30"/>
  <c r="AU47" i="29"/>
  <c r="BT6" i="30"/>
  <c r="BT47" i="30" s="1"/>
  <c r="AU35" i="29"/>
  <c r="BT30" i="30"/>
  <c r="AU43" i="29"/>
  <c r="BT28" i="30"/>
  <c r="BT43" i="30" s="1"/>
  <c r="AU36" i="29"/>
  <c r="BT26" i="30"/>
  <c r="AU55" i="29"/>
  <c r="AU69" i="29"/>
  <c r="BT24" i="30"/>
  <c r="AU37" i="29"/>
  <c r="BT22" i="30"/>
  <c r="AU56" i="29"/>
  <c r="AU70" i="29"/>
  <c r="BT20" i="30"/>
  <c r="AU75" i="29"/>
  <c r="AU61" i="29"/>
  <c r="BT18" i="30"/>
  <c r="AU58" i="29"/>
  <c r="AU72" i="29"/>
  <c r="BT16" i="30"/>
  <c r="AU34" i="29"/>
  <c r="BT14" i="30"/>
  <c r="AU39" i="29"/>
  <c r="BT11" i="30"/>
  <c r="BT39" i="30" s="1"/>
  <c r="AU59" i="29"/>
  <c r="AU73" i="29"/>
  <c r="BT7" i="30"/>
  <c r="BT31" i="41"/>
  <c r="BT73" i="41"/>
  <c r="BT59" i="41"/>
  <c r="AU53" i="29"/>
  <c r="AU67" i="29"/>
  <c r="BT5" i="30"/>
  <c r="AU32" i="29"/>
  <c r="AU31" i="29" s="1"/>
  <c r="BT3" i="30"/>
  <c r="CS58" i="42"/>
  <c r="CS72" i="42"/>
  <c r="BT72" i="41"/>
  <c r="BT58" i="41"/>
  <c r="BT56" i="41"/>
  <c r="BT70" i="41"/>
  <c r="BT64" i="41"/>
  <c r="BT50" i="41"/>
  <c r="CS45" i="42"/>
  <c r="CS53" i="42"/>
  <c r="CS67" i="42"/>
  <c r="BT2" i="42"/>
  <c r="BT38" i="42" s="1"/>
  <c r="AU38" i="41"/>
  <c r="BT2" i="43"/>
  <c r="BT38" i="43" s="1"/>
  <c r="BT6" i="42"/>
  <c r="BT47" i="42" s="1"/>
  <c r="AU47" i="41"/>
  <c r="BT6" i="43"/>
  <c r="BT47" i="43" s="1"/>
  <c r="BT10" i="42"/>
  <c r="BT46" i="42" s="1"/>
  <c r="AU46" i="41"/>
  <c r="AU45" i="41" s="1"/>
  <c r="BT10" i="43"/>
  <c r="BT46" i="43" s="1"/>
  <c r="BT14" i="42"/>
  <c r="BT34" i="42" s="1"/>
  <c r="AU34" i="41"/>
  <c r="BT14" i="43"/>
  <c r="BT34" i="43" s="1"/>
  <c r="BT18" i="42"/>
  <c r="AU75" i="41"/>
  <c r="AU61" i="41"/>
  <c r="BT18" i="43"/>
  <c r="BT22" i="42"/>
  <c r="BT37" i="42" s="1"/>
  <c r="AU37" i="41"/>
  <c r="BT22" i="43"/>
  <c r="BT37" i="43" s="1"/>
  <c r="BT26" i="42"/>
  <c r="BT36" i="42" s="1"/>
  <c r="AU36" i="41"/>
  <c r="BT26" i="43"/>
  <c r="BT36" i="43" s="1"/>
  <c r="BT30" i="42"/>
  <c r="BT35" i="42" s="1"/>
  <c r="AU35" i="41"/>
  <c r="BT30" i="43"/>
  <c r="BT35" i="43" s="1"/>
  <c r="CS65" i="42"/>
  <c r="CS51" i="42"/>
  <c r="CS50" i="42"/>
  <c r="CS64" i="42"/>
  <c r="CS57" i="42"/>
  <c r="CS48" i="42" s="1"/>
  <c r="CS71" i="42"/>
  <c r="CO55" i="30"/>
  <c r="CO69" i="30"/>
  <c r="CO56" i="30"/>
  <c r="CO70" i="30"/>
  <c r="CO58" i="30"/>
  <c r="CO72" i="30"/>
  <c r="CO60" i="30"/>
  <c r="CO74" i="30"/>
  <c r="CO31" i="43"/>
  <c r="BP59" i="29"/>
  <c r="BP73" i="29"/>
  <c r="AQ47" i="29"/>
  <c r="BP6" i="30"/>
  <c r="AQ39" i="29"/>
  <c r="BP11" i="30"/>
  <c r="AQ59" i="29"/>
  <c r="AQ73" i="29"/>
  <c r="BP7" i="30"/>
  <c r="CO50" i="42"/>
  <c r="CO48" i="42" s="1"/>
  <c r="CO64" i="42"/>
  <c r="AQ71" i="29"/>
  <c r="AQ57" i="29"/>
  <c r="BP29" i="30"/>
  <c r="AQ62" i="29"/>
  <c r="AQ76" i="29"/>
  <c r="BP27" i="30"/>
  <c r="AQ50" i="29"/>
  <c r="AQ64" i="29"/>
  <c r="BP25" i="30"/>
  <c r="AQ49" i="29"/>
  <c r="BP23" i="30"/>
  <c r="BP49" i="30" s="1"/>
  <c r="AQ65" i="29"/>
  <c r="AQ51" i="29"/>
  <c r="BP21" i="30"/>
  <c r="AQ42" i="29"/>
  <c r="BP19" i="30"/>
  <c r="AQ52" i="29"/>
  <c r="AQ66" i="29"/>
  <c r="BP17" i="30"/>
  <c r="AQ44" i="29"/>
  <c r="BP15" i="30"/>
  <c r="AQ33" i="29"/>
  <c r="BP13" i="30"/>
  <c r="BP33" i="30" s="1"/>
  <c r="BP67" i="41"/>
  <c r="BP53" i="41"/>
  <c r="CO31" i="42"/>
  <c r="BP66" i="41"/>
  <c r="BP52" i="41"/>
  <c r="BP65" i="41"/>
  <c r="BP51" i="41"/>
  <c r="CO62" i="42"/>
  <c r="CO76" i="42"/>
  <c r="CO61" i="42"/>
  <c r="CO75" i="42"/>
  <c r="CO55" i="42"/>
  <c r="CO69" i="42"/>
  <c r="BP71" i="41"/>
  <c r="BP57" i="41"/>
  <c r="BP5" i="42"/>
  <c r="AQ53" i="41"/>
  <c r="AQ67" i="41"/>
  <c r="BP5" i="43"/>
  <c r="BP9" i="42"/>
  <c r="AQ54" i="41"/>
  <c r="AQ68" i="41"/>
  <c r="BP9" i="43"/>
  <c r="BP13" i="42"/>
  <c r="BP33" i="42" s="1"/>
  <c r="AQ33" i="41"/>
  <c r="BP13" i="43"/>
  <c r="BP33" i="43" s="1"/>
  <c r="BP17" i="42"/>
  <c r="AQ66" i="41"/>
  <c r="AQ52" i="41"/>
  <c r="BP17" i="43"/>
  <c r="BP21" i="42"/>
  <c r="AQ51" i="41"/>
  <c r="AQ65" i="41"/>
  <c r="BP21" i="43"/>
  <c r="BP25" i="42"/>
  <c r="AQ64" i="41"/>
  <c r="AQ63" i="41" s="1"/>
  <c r="AQ50" i="41"/>
  <c r="BP25" i="43"/>
  <c r="BP29" i="42"/>
  <c r="AQ57" i="41"/>
  <c r="AQ71" i="41"/>
  <c r="BP29" i="43"/>
  <c r="CK61" i="30"/>
  <c r="CK75" i="30"/>
  <c r="AM54" i="29"/>
  <c r="AM68" i="29"/>
  <c r="BL9" i="30"/>
  <c r="BL68" i="41"/>
  <c r="BL54" i="41"/>
  <c r="BL57" i="29"/>
  <c r="BL71" i="29"/>
  <c r="BL62" i="29"/>
  <c r="BL76" i="29"/>
  <c r="BL64" i="29"/>
  <c r="BL50" i="29"/>
  <c r="BL48" i="29"/>
  <c r="BL65" i="29"/>
  <c r="BL51" i="29"/>
  <c r="BL52" i="29"/>
  <c r="BL66" i="29"/>
  <c r="BL59" i="29"/>
  <c r="BL73" i="29"/>
  <c r="BL53" i="29"/>
  <c r="BL67" i="29"/>
  <c r="BL31" i="29"/>
  <c r="BL52" i="41"/>
  <c r="BL66" i="41"/>
  <c r="BL51" i="41"/>
  <c r="BL48" i="41" s="1"/>
  <c r="BL65" i="41"/>
  <c r="CK31" i="42"/>
  <c r="BL3" i="42"/>
  <c r="BL32" i="42" s="1"/>
  <c r="AM32" i="41"/>
  <c r="AM31" i="41" s="1"/>
  <c r="BL3" i="43"/>
  <c r="BL32" i="43" s="1"/>
  <c r="BL7" i="42"/>
  <c r="AM59" i="41"/>
  <c r="AM73" i="41"/>
  <c r="BL7" i="43"/>
  <c r="BL11" i="42"/>
  <c r="BL39" i="42" s="1"/>
  <c r="AM39" i="41"/>
  <c r="BL11" i="43"/>
  <c r="BL39" i="43" s="1"/>
  <c r="BL15" i="42"/>
  <c r="BL44" i="42" s="1"/>
  <c r="AM44" i="41"/>
  <c r="BL15" i="43"/>
  <c r="BL44" i="43" s="1"/>
  <c r="BL19" i="42"/>
  <c r="BL42" i="42" s="1"/>
  <c r="AM42" i="41"/>
  <c r="BL19" i="43"/>
  <c r="BL42" i="43" s="1"/>
  <c r="BL23" i="42"/>
  <c r="BL49" i="42" s="1"/>
  <c r="AM49" i="41"/>
  <c r="AM48" i="41" s="1"/>
  <c r="BL23" i="43"/>
  <c r="BL49" i="43" s="1"/>
  <c r="BL27" i="42"/>
  <c r="AM62" i="41"/>
  <c r="AM76" i="41"/>
  <c r="BL27" i="43"/>
  <c r="CK53" i="42"/>
  <c r="CK67" i="42"/>
  <c r="CK54" i="42"/>
  <c r="CK68" i="42"/>
  <c r="CK52" i="42"/>
  <c r="CK66" i="42"/>
  <c r="CK65" i="42"/>
  <c r="CK51" i="42"/>
  <c r="CK50" i="42"/>
  <c r="CK48" i="42" s="1"/>
  <c r="CK64" i="42"/>
  <c r="CK57" i="42"/>
  <c r="CK71" i="42"/>
  <c r="CX31" i="43"/>
  <c r="AZ60" i="29"/>
  <c r="AZ74" i="29"/>
  <c r="BY12" i="30"/>
  <c r="AZ41" i="29"/>
  <c r="BY8" i="30"/>
  <c r="BY75" i="41"/>
  <c r="BY61" i="41"/>
  <c r="AZ57" i="29"/>
  <c r="AZ71" i="29"/>
  <c r="BY29" i="30"/>
  <c r="AZ62" i="29"/>
  <c r="AZ76" i="29"/>
  <c r="BY27" i="30"/>
  <c r="AZ64" i="29"/>
  <c r="AZ63" i="29" s="1"/>
  <c r="AZ50" i="29"/>
  <c r="BY25" i="30"/>
  <c r="AZ49" i="29"/>
  <c r="BY23" i="30"/>
  <c r="AZ65" i="29"/>
  <c r="AZ51" i="29"/>
  <c r="BY21" i="30"/>
  <c r="AZ42" i="29"/>
  <c r="BY19" i="30"/>
  <c r="AZ52" i="29"/>
  <c r="AZ66" i="29"/>
  <c r="BY17" i="30"/>
  <c r="AZ44" i="29"/>
  <c r="BY15" i="30"/>
  <c r="AZ33" i="29"/>
  <c r="BY13" i="30"/>
  <c r="BY33" i="30" s="1"/>
  <c r="BY31" i="29"/>
  <c r="BY71" i="41"/>
  <c r="BY57" i="41"/>
  <c r="BY5" i="42"/>
  <c r="AZ67" i="41"/>
  <c r="AZ53" i="41"/>
  <c r="BY5" i="43"/>
  <c r="BY9" i="42"/>
  <c r="AZ54" i="41"/>
  <c r="AZ68" i="41"/>
  <c r="BY9" i="43"/>
  <c r="BY13" i="42"/>
  <c r="BY33" i="42" s="1"/>
  <c r="AZ33" i="41"/>
  <c r="BY13" i="43"/>
  <c r="BY33" i="43" s="1"/>
  <c r="BY17" i="42"/>
  <c r="AZ66" i="41"/>
  <c r="AZ52" i="41"/>
  <c r="BY17" i="43"/>
  <c r="BY21" i="42"/>
  <c r="AZ51" i="41"/>
  <c r="AZ65" i="41"/>
  <c r="BY21" i="43"/>
  <c r="BY25" i="42"/>
  <c r="AZ64" i="41"/>
  <c r="AZ63" i="41" s="1"/>
  <c r="AZ50" i="41"/>
  <c r="BY25" i="43"/>
  <c r="BY29" i="42"/>
  <c r="AZ57" i="41"/>
  <c r="AZ71" i="41"/>
  <c r="BY29" i="43"/>
  <c r="BY31" i="41"/>
  <c r="BY59" i="41"/>
  <c r="BY73" i="41"/>
  <c r="CX54" i="42"/>
  <c r="CX68" i="42"/>
  <c r="CX58" i="42"/>
  <c r="CX72" i="42"/>
  <c r="CX62" i="42"/>
  <c r="CX76" i="42"/>
  <c r="AF60" i="29"/>
  <c r="AF74" i="29"/>
  <c r="BE12" i="30"/>
  <c r="AF62" i="29"/>
  <c r="AF76" i="29"/>
  <c r="BE27" i="30"/>
  <c r="AF49" i="29"/>
  <c r="BE23" i="30"/>
  <c r="BE49" i="30" s="1"/>
  <c r="AF42" i="29"/>
  <c r="BE19" i="30"/>
  <c r="AF44" i="29"/>
  <c r="BE15" i="30"/>
  <c r="AF54" i="29"/>
  <c r="AF68" i="29"/>
  <c r="BE9" i="30"/>
  <c r="AF32" i="29"/>
  <c r="AF31" i="29" s="1"/>
  <c r="BE3" i="30"/>
  <c r="BE4" i="42"/>
  <c r="BE40" i="42" s="1"/>
  <c r="AF40" i="41"/>
  <c r="BE4" i="43"/>
  <c r="BE40" i="43" s="1"/>
  <c r="BE8" i="42"/>
  <c r="BE41" i="42" s="1"/>
  <c r="AF41" i="41"/>
  <c r="BE8" i="43"/>
  <c r="BE41" i="43" s="1"/>
  <c r="BE12" i="42"/>
  <c r="AF60" i="41"/>
  <c r="AF74" i="41"/>
  <c r="BE12" i="43"/>
  <c r="BE16" i="42"/>
  <c r="AF58" i="41"/>
  <c r="AF72" i="41"/>
  <c r="BE16" i="43"/>
  <c r="BE20" i="42"/>
  <c r="AF70" i="41"/>
  <c r="AF56" i="41"/>
  <c r="BE20" i="43"/>
  <c r="BE24" i="42"/>
  <c r="AF69" i="41"/>
  <c r="AF55" i="41"/>
  <c r="BE24" i="43"/>
  <c r="BE28" i="42"/>
  <c r="BE43" i="42" s="1"/>
  <c r="AF43" i="41"/>
  <c r="BE28" i="43"/>
  <c r="BE43" i="43" s="1"/>
  <c r="BJ9" i="38"/>
  <c r="AV68" i="38"/>
  <c r="AV54" i="38"/>
  <c r="AV38" i="38"/>
  <c r="BJ2" i="38"/>
  <c r="AV58" i="38"/>
  <c r="BJ16" i="38"/>
  <c r="AV72" i="38"/>
  <c r="AV73" i="38"/>
  <c r="AV59" i="38"/>
  <c r="BJ7" i="38"/>
  <c r="AV33" i="38"/>
  <c r="BJ13" i="38"/>
  <c r="BJ5" i="38"/>
  <c r="AV67" i="38"/>
  <c r="AV53" i="38"/>
  <c r="AV35" i="38"/>
  <c r="BJ30" i="38"/>
  <c r="AV44" i="38"/>
  <c r="BJ15" i="38"/>
  <c r="CM32" i="38"/>
  <c r="CM31" i="38"/>
  <c r="CM46" i="38"/>
  <c r="CM45" i="38"/>
  <c r="BY75" i="38"/>
  <c r="CM75" i="38" s="1"/>
  <c r="BY61" i="38"/>
  <c r="CM61" i="38" s="1"/>
  <c r="BY59" i="38"/>
  <c r="CM59" i="38" s="1"/>
  <c r="BY73" i="38"/>
  <c r="CM73" i="38" s="1"/>
  <c r="BY60" i="38"/>
  <c r="CM60" i="38" s="1"/>
  <c r="BY74" i="38"/>
  <c r="CM74" i="38" s="1"/>
  <c r="AH53" i="37"/>
  <c r="AJ53" i="37"/>
  <c r="AH58" i="37"/>
  <c r="AJ58" i="37"/>
  <c r="AU45" i="30"/>
  <c r="AU31" i="43"/>
  <c r="V54" i="29"/>
  <c r="V68" i="29"/>
  <c r="V9" i="30"/>
  <c r="V43" i="29"/>
  <c r="V28" i="30"/>
  <c r="V55" i="29"/>
  <c r="V69" i="29"/>
  <c r="V24" i="30"/>
  <c r="V56" i="29"/>
  <c r="V70" i="29"/>
  <c r="V20" i="30"/>
  <c r="V58" i="29"/>
  <c r="V72" i="29"/>
  <c r="V16" i="30"/>
  <c r="V60" i="29"/>
  <c r="V74" i="29"/>
  <c r="V12" i="30"/>
  <c r="V53" i="29"/>
  <c r="V67" i="29"/>
  <c r="V5" i="30"/>
  <c r="V3" i="42"/>
  <c r="V32" i="42" s="1"/>
  <c r="V31" i="42" s="1"/>
  <c r="V32" i="41"/>
  <c r="V3" i="43"/>
  <c r="V32" i="43" s="1"/>
  <c r="V7" i="42"/>
  <c r="V73" i="41"/>
  <c r="V59" i="41"/>
  <c r="V7" i="43"/>
  <c r="V11" i="42"/>
  <c r="V39" i="42" s="1"/>
  <c r="V39" i="41"/>
  <c r="V11" i="43"/>
  <c r="V39" i="43" s="1"/>
  <c r="V15" i="42"/>
  <c r="V44" i="42" s="1"/>
  <c r="V44" i="41"/>
  <c r="V15" i="43"/>
  <c r="V44" i="43" s="1"/>
  <c r="V19" i="42"/>
  <c r="V42" i="42" s="1"/>
  <c r="V42" i="41"/>
  <c r="V19" i="43"/>
  <c r="V42" i="43" s="1"/>
  <c r="V23" i="42"/>
  <c r="V49" i="42" s="1"/>
  <c r="V49" i="41"/>
  <c r="V23" i="43"/>
  <c r="V49" i="43" s="1"/>
  <c r="V27" i="42"/>
  <c r="V62" i="41"/>
  <c r="V76" i="41"/>
  <c r="V27" i="43"/>
  <c r="N60" i="29"/>
  <c r="N74" i="29"/>
  <c r="N12" i="30"/>
  <c r="N43" i="29"/>
  <c r="N28" i="30"/>
  <c r="N55" i="29"/>
  <c r="N69" i="29"/>
  <c r="N24" i="30"/>
  <c r="N56" i="29"/>
  <c r="N70" i="29"/>
  <c r="N20" i="30"/>
  <c r="N58" i="29"/>
  <c r="N72" i="29"/>
  <c r="N16" i="30"/>
  <c r="N39" i="29"/>
  <c r="N11" i="30"/>
  <c r="N53" i="29"/>
  <c r="N67" i="29"/>
  <c r="N5" i="30"/>
  <c r="N4" i="42"/>
  <c r="N40" i="42" s="1"/>
  <c r="N40" i="41"/>
  <c r="N4" i="43"/>
  <c r="N40" i="43" s="1"/>
  <c r="N8" i="42"/>
  <c r="N41" i="42" s="1"/>
  <c r="N41" i="41"/>
  <c r="N8" i="43"/>
  <c r="N41" i="43" s="1"/>
  <c r="N12" i="42"/>
  <c r="N60" i="41"/>
  <c r="N74" i="41"/>
  <c r="N12" i="43"/>
  <c r="N16" i="42"/>
  <c r="N72" i="41"/>
  <c r="N58" i="41"/>
  <c r="N16" i="43"/>
  <c r="N20" i="42"/>
  <c r="N56" i="41"/>
  <c r="N70" i="41"/>
  <c r="N20" i="43"/>
  <c r="N24" i="42"/>
  <c r="N69" i="41"/>
  <c r="N55" i="41"/>
  <c r="N24" i="43"/>
  <c r="N28" i="42"/>
  <c r="N43" i="42" s="1"/>
  <c r="N43" i="41"/>
  <c r="N28" i="43"/>
  <c r="N43" i="43" s="1"/>
  <c r="CJ50" i="30"/>
  <c r="CJ48" i="30" s="1"/>
  <c r="CJ64" i="30"/>
  <c r="CJ58" i="30"/>
  <c r="CJ72" i="30"/>
  <c r="CJ53" i="30"/>
  <c r="CJ67" i="30"/>
  <c r="CJ45" i="43"/>
  <c r="BK61" i="29"/>
  <c r="BK75" i="29"/>
  <c r="AL35" i="29"/>
  <c r="BK30" i="30"/>
  <c r="AL36" i="29"/>
  <c r="BK26" i="30"/>
  <c r="AL37" i="29"/>
  <c r="BK22" i="30"/>
  <c r="AL61" i="29"/>
  <c r="AL75" i="29"/>
  <c r="BK18" i="30"/>
  <c r="AL34" i="29"/>
  <c r="BK14" i="30"/>
  <c r="BK73" i="41"/>
  <c r="BK59" i="41"/>
  <c r="BK55" i="41"/>
  <c r="BK69" i="41"/>
  <c r="AL60" i="29"/>
  <c r="AL74" i="29"/>
  <c r="BK12" i="30"/>
  <c r="AL46" i="29"/>
  <c r="BK10" i="30"/>
  <c r="AL41" i="29"/>
  <c r="BK8" i="30"/>
  <c r="AL47" i="29"/>
  <c r="BK6" i="30"/>
  <c r="AL40" i="29"/>
  <c r="BK4" i="30"/>
  <c r="BK4" i="42"/>
  <c r="BK40" i="42" s="1"/>
  <c r="AL40" i="41"/>
  <c r="BK4" i="43"/>
  <c r="BK40" i="43" s="1"/>
  <c r="BK8" i="42"/>
  <c r="BK41" i="42" s="1"/>
  <c r="AL41" i="41"/>
  <c r="BK8" i="43"/>
  <c r="BK41" i="43" s="1"/>
  <c r="BK12" i="42"/>
  <c r="AL60" i="41"/>
  <c r="AL74" i="41"/>
  <c r="BK12" i="43"/>
  <c r="BK16" i="42"/>
  <c r="AL58" i="41"/>
  <c r="AL72" i="41"/>
  <c r="BK16" i="43"/>
  <c r="BK20" i="42"/>
  <c r="AL56" i="41"/>
  <c r="AL70" i="41"/>
  <c r="BK20" i="43"/>
  <c r="BK24" i="42"/>
  <c r="AL69" i="41"/>
  <c r="AL55" i="41"/>
  <c r="BK24" i="43"/>
  <c r="BK28" i="42"/>
  <c r="BK43" i="42" s="1"/>
  <c r="AL43" i="41"/>
  <c r="BK28" i="43"/>
  <c r="BK43" i="43" s="1"/>
  <c r="CJ45" i="42"/>
  <c r="CJ75" i="42"/>
  <c r="CJ61" i="42"/>
  <c r="AE23" i="16"/>
  <c r="AE59" i="37"/>
  <c r="AH54" i="37"/>
  <c r="AJ54" i="37"/>
  <c r="AE9" i="37"/>
  <c r="X18" i="42"/>
  <c r="X75" i="41"/>
  <c r="X61" i="41"/>
  <c r="X18" i="43"/>
  <c r="X24" i="42"/>
  <c r="X69" i="41"/>
  <c r="X55" i="41"/>
  <c r="X24" i="43"/>
  <c r="X30" i="42"/>
  <c r="X35" i="42" s="1"/>
  <c r="X35" i="41"/>
  <c r="X30" i="43"/>
  <c r="X35" i="43" s="1"/>
  <c r="X20" i="42"/>
  <c r="X56" i="41"/>
  <c r="X70" i="41"/>
  <c r="X20" i="43"/>
  <c r="X43" i="29"/>
  <c r="X28" i="30"/>
  <c r="X55" i="29"/>
  <c r="X69" i="29"/>
  <c r="X24" i="30"/>
  <c r="X56" i="29"/>
  <c r="X70" i="29"/>
  <c r="X20" i="30"/>
  <c r="X58" i="29"/>
  <c r="X72" i="29"/>
  <c r="X16" i="30"/>
  <c r="X60" i="29"/>
  <c r="X74" i="29"/>
  <c r="X12" i="30"/>
  <c r="X53" i="29"/>
  <c r="X67" i="29"/>
  <c r="X5" i="30"/>
  <c r="X7" i="42"/>
  <c r="X73" i="41"/>
  <c r="X59" i="41"/>
  <c r="X7" i="43"/>
  <c r="X15" i="42"/>
  <c r="X44" i="42" s="1"/>
  <c r="X44" i="41"/>
  <c r="X15" i="43"/>
  <c r="X44" i="43" s="1"/>
  <c r="X49" i="41"/>
  <c r="X23" i="42"/>
  <c r="X49" i="42" s="1"/>
  <c r="X23" i="43"/>
  <c r="X49" i="43" s="1"/>
  <c r="X39" i="29"/>
  <c r="X11" i="30"/>
  <c r="AI31" i="30"/>
  <c r="AI45" i="30"/>
  <c r="AI31" i="43"/>
  <c r="J46" i="29"/>
  <c r="J45" i="29" s="1"/>
  <c r="J10" i="30"/>
  <c r="J54" i="29"/>
  <c r="J68" i="29"/>
  <c r="J9" i="30"/>
  <c r="J43" i="29"/>
  <c r="J28" i="30"/>
  <c r="J43" i="30" s="1"/>
  <c r="J69" i="29"/>
  <c r="J55" i="29"/>
  <c r="J24" i="30"/>
  <c r="J56" i="29"/>
  <c r="J70" i="29"/>
  <c r="J20" i="30"/>
  <c r="J58" i="29"/>
  <c r="J72" i="29"/>
  <c r="J16" i="30"/>
  <c r="AI31" i="42"/>
  <c r="J47" i="29"/>
  <c r="J6" i="30"/>
  <c r="J47" i="30" s="1"/>
  <c r="J4" i="42"/>
  <c r="J40" i="42" s="1"/>
  <c r="J40" i="41"/>
  <c r="J4" i="43"/>
  <c r="J40" i="43" s="1"/>
  <c r="J8" i="42"/>
  <c r="J41" i="42" s="1"/>
  <c r="J41" i="41"/>
  <c r="J8" i="43"/>
  <c r="J41" i="43" s="1"/>
  <c r="J12" i="42"/>
  <c r="J74" i="41"/>
  <c r="J60" i="41"/>
  <c r="J12" i="43"/>
  <c r="J16" i="42"/>
  <c r="J72" i="41"/>
  <c r="J58" i="41"/>
  <c r="J16" i="43"/>
  <c r="J20" i="42"/>
  <c r="J56" i="41"/>
  <c r="J70" i="41"/>
  <c r="J20" i="43"/>
  <c r="J24" i="42"/>
  <c r="J55" i="41"/>
  <c r="J69" i="41"/>
  <c r="J24" i="43"/>
  <c r="J28" i="42"/>
  <c r="J43" i="42" s="1"/>
  <c r="J43" i="41"/>
  <c r="J28" i="43"/>
  <c r="J43" i="43" s="1"/>
  <c r="CB32" i="38"/>
  <c r="CB31" i="38"/>
  <c r="CB38" i="38"/>
  <c r="CO38" i="38"/>
  <c r="DT59" i="38"/>
  <c r="EH59" i="38" s="1"/>
  <c r="DT73" i="38"/>
  <c r="EH73" i="38" s="1"/>
  <c r="AY7" i="38"/>
  <c r="AK73" i="38"/>
  <c r="AK59" i="38"/>
  <c r="FA34" i="38"/>
  <c r="FC34" i="38"/>
  <c r="DT65" i="38"/>
  <c r="EH65" i="38" s="1"/>
  <c r="DT51" i="38"/>
  <c r="EH51" i="38" s="1"/>
  <c r="AY30" i="38"/>
  <c r="AK35" i="38"/>
  <c r="AK44" i="38"/>
  <c r="AY15" i="38"/>
  <c r="BN68" i="38"/>
  <c r="BN54" i="38"/>
  <c r="DT58" i="38"/>
  <c r="EH58" i="38" s="1"/>
  <c r="DT72" i="38"/>
  <c r="EH72" i="38" s="1"/>
  <c r="DT62" i="38"/>
  <c r="EH62" i="38" s="1"/>
  <c r="DT76" i="38"/>
  <c r="EH76" i="38" s="1"/>
  <c r="DT69" i="38"/>
  <c r="EH69" i="38" s="1"/>
  <c r="DT55" i="38"/>
  <c r="EH55" i="38" s="1"/>
  <c r="EV32" i="38"/>
  <c r="EX3" i="38"/>
  <c r="EX32" i="38" s="1"/>
  <c r="AY17" i="38"/>
  <c r="AK52" i="38"/>
  <c r="AK66" i="38"/>
  <c r="DT70" i="38"/>
  <c r="EH70" i="38" s="1"/>
  <c r="DT56" i="38"/>
  <c r="EH56" i="38" s="1"/>
  <c r="EY76" i="38"/>
  <c r="EY62" i="38"/>
  <c r="EV41" i="38"/>
  <c r="EX8" i="38"/>
  <c r="EX41" i="38" s="1"/>
  <c r="EX20" i="38"/>
  <c r="EV70" i="38"/>
  <c r="EV56" i="38"/>
  <c r="FA31" i="38"/>
  <c r="FC32" i="38"/>
  <c r="FA32" i="38"/>
  <c r="FC31" i="38"/>
  <c r="FA47" i="38"/>
  <c r="FC47" i="38"/>
  <c r="FC46" i="38"/>
  <c r="FA46" i="38"/>
  <c r="FC45" i="38" s="1"/>
  <c r="FA45" i="38"/>
  <c r="CB44" i="38"/>
  <c r="CO44" i="38"/>
  <c r="CB42" i="38"/>
  <c r="CO42" i="38"/>
  <c r="DT50" i="38"/>
  <c r="EH50" i="38" s="1"/>
  <c r="DT64" i="38"/>
  <c r="DT71" i="38"/>
  <c r="EH71" i="38" s="1"/>
  <c r="DT57" i="38"/>
  <c r="EH57" i="38" s="1"/>
  <c r="EV40" i="38"/>
  <c r="EX4" i="38"/>
  <c r="EX40" i="38" s="1"/>
  <c r="EV42" i="38"/>
  <c r="EX19" i="38"/>
  <c r="EX42" i="38" s="1"/>
  <c r="EX21" i="38"/>
  <c r="EV65" i="38"/>
  <c r="EV51" i="38"/>
  <c r="EX7" i="38"/>
  <c r="EV59" i="38"/>
  <c r="EV73" i="38"/>
  <c r="AY18" i="38"/>
  <c r="AK61" i="38"/>
  <c r="AK75" i="38"/>
  <c r="AY26" i="38"/>
  <c r="AK36" i="38"/>
  <c r="AK49" i="38"/>
  <c r="AY23" i="38"/>
  <c r="EX28" i="38"/>
  <c r="EX43" i="38" s="1"/>
  <c r="EV43" i="38"/>
  <c r="CM62" i="30"/>
  <c r="CM76" i="30"/>
  <c r="CM59" i="30"/>
  <c r="CM73" i="30"/>
  <c r="CM31" i="43"/>
  <c r="BN15" i="42"/>
  <c r="BN44" i="42" s="1"/>
  <c r="AO44" i="41"/>
  <c r="BN15" i="43"/>
  <c r="BN44" i="43" s="1"/>
  <c r="BN21" i="42"/>
  <c r="AO65" i="41"/>
  <c r="AO51" i="41"/>
  <c r="BN21" i="43"/>
  <c r="AO39" i="41"/>
  <c r="BN11" i="42"/>
  <c r="BN39" i="42" s="1"/>
  <c r="BN11" i="43"/>
  <c r="BN39" i="43" s="1"/>
  <c r="BN17" i="42"/>
  <c r="AO52" i="41"/>
  <c r="AO66" i="41"/>
  <c r="BN17" i="43"/>
  <c r="AO35" i="29"/>
  <c r="BN30" i="30"/>
  <c r="BN35" i="30" s="1"/>
  <c r="AO43" i="29"/>
  <c r="BN28" i="30"/>
  <c r="AO36" i="29"/>
  <c r="BN26" i="30"/>
  <c r="AO55" i="29"/>
  <c r="AO69" i="29"/>
  <c r="BN24" i="30"/>
  <c r="AO37" i="29"/>
  <c r="BN22" i="30"/>
  <c r="AO56" i="29"/>
  <c r="AO70" i="29"/>
  <c r="BN20" i="30"/>
  <c r="AO61" i="29"/>
  <c r="AO75" i="29"/>
  <c r="BN18" i="30"/>
  <c r="AO58" i="29"/>
  <c r="AO72" i="29"/>
  <c r="BN16" i="30"/>
  <c r="AO34" i="29"/>
  <c r="BN14" i="30"/>
  <c r="BN34" i="30" s="1"/>
  <c r="AO60" i="29"/>
  <c r="AO74" i="29"/>
  <c r="BN12" i="30"/>
  <c r="AO41" i="29"/>
  <c r="BN8" i="30"/>
  <c r="AO47" i="41"/>
  <c r="BN6" i="42"/>
  <c r="BN47" i="42" s="1"/>
  <c r="BN6" i="43"/>
  <c r="BN47" i="43" s="1"/>
  <c r="BN14" i="42"/>
  <c r="BN34" i="42" s="1"/>
  <c r="AO34" i="41"/>
  <c r="BN14" i="43"/>
  <c r="BN34" i="43" s="1"/>
  <c r="AO37" i="41"/>
  <c r="BN22" i="42"/>
  <c r="BN37" i="42" s="1"/>
  <c r="BN22" i="43"/>
  <c r="BN37" i="43" s="1"/>
  <c r="BN30" i="42"/>
  <c r="BN35" i="42" s="1"/>
  <c r="AO35" i="41"/>
  <c r="BN30" i="43"/>
  <c r="BN35" i="43" s="1"/>
  <c r="BN31" i="29"/>
  <c r="BN66" i="41"/>
  <c r="BN52" i="41"/>
  <c r="BN65" i="41"/>
  <c r="BN51" i="41"/>
  <c r="CM68" i="42"/>
  <c r="CM54" i="42"/>
  <c r="BN53" i="41"/>
  <c r="BN67" i="41"/>
  <c r="CM74" i="42"/>
  <c r="CM60" i="42"/>
  <c r="CM31" i="42"/>
  <c r="CM70" i="42"/>
  <c r="CM56" i="42"/>
  <c r="CM69" i="42"/>
  <c r="CM55" i="42"/>
  <c r="AE17" i="16"/>
  <c r="AE28" i="16"/>
  <c r="AE61" i="16"/>
  <c r="AE2" i="16"/>
  <c r="AE56" i="16"/>
  <c r="AJ66" i="16"/>
  <c r="AH66" i="16"/>
  <c r="AH60" i="16"/>
  <c r="H72" i="16"/>
  <c r="K72" i="16" s="1"/>
  <c r="H58" i="16"/>
  <c r="K58" i="16" s="1"/>
  <c r="AE29" i="16"/>
  <c r="AJ56" i="16"/>
  <c r="AH56" i="16"/>
  <c r="D55" i="37"/>
  <c r="D69" i="37"/>
  <c r="AE71" i="37"/>
  <c r="H55" i="37"/>
  <c r="K55" i="37" s="1"/>
  <c r="H69" i="37"/>
  <c r="K69" i="37" s="1"/>
  <c r="AJ34" i="37"/>
  <c r="AE55" i="37"/>
  <c r="AE10" i="37"/>
  <c r="K45" i="37"/>
  <c r="K46" i="37"/>
  <c r="AE60" i="37"/>
  <c r="AX45" i="30"/>
  <c r="AX31" i="30"/>
  <c r="Y44" i="29"/>
  <c r="Y15" i="30"/>
  <c r="Y66" i="29"/>
  <c r="Y52" i="29"/>
  <c r="Y17" i="30"/>
  <c r="Y55" i="29"/>
  <c r="Y69" i="29"/>
  <c r="Y24" i="30"/>
  <c r="Y72" i="29"/>
  <c r="Y58" i="29"/>
  <c r="Y16" i="30"/>
  <c r="Y60" i="29"/>
  <c r="Y74" i="29"/>
  <c r="Y12" i="30"/>
  <c r="Y41" i="29"/>
  <c r="Y8" i="30"/>
  <c r="Y41" i="30" s="1"/>
  <c r="Y40" i="29"/>
  <c r="Y4" i="30"/>
  <c r="Y3" i="42"/>
  <c r="Y32" i="42" s="1"/>
  <c r="Y32" i="41"/>
  <c r="Y31" i="41" s="1"/>
  <c r="Y3" i="43"/>
  <c r="Y32" i="43" s="1"/>
  <c r="Y7" i="42"/>
  <c r="Y73" i="41"/>
  <c r="Y59" i="41"/>
  <c r="Y7" i="43"/>
  <c r="Y11" i="42"/>
  <c r="Y39" i="42" s="1"/>
  <c r="Y39" i="41"/>
  <c r="Y11" i="43"/>
  <c r="Y39" i="43" s="1"/>
  <c r="Y15" i="42"/>
  <c r="Y44" i="42" s="1"/>
  <c r="Y44" i="41"/>
  <c r="Y15" i="43"/>
  <c r="Y44" i="43" s="1"/>
  <c r="Y19" i="42"/>
  <c r="Y42" i="42" s="1"/>
  <c r="Y42" i="41"/>
  <c r="Y19" i="43"/>
  <c r="Y42" i="43" s="1"/>
  <c r="Y23" i="42"/>
  <c r="Y49" i="42" s="1"/>
  <c r="Y49" i="41"/>
  <c r="Y48" i="41" s="1"/>
  <c r="Y23" i="43"/>
  <c r="Y49" i="43" s="1"/>
  <c r="Y27" i="42"/>
  <c r="Y62" i="41"/>
  <c r="Y76" i="41"/>
  <c r="Y27" i="43"/>
  <c r="AX45" i="42"/>
  <c r="AF31" i="43"/>
  <c r="G39" i="29"/>
  <c r="G11" i="30"/>
  <c r="G57" i="29"/>
  <c r="G71" i="29"/>
  <c r="G29" i="30"/>
  <c r="G64" i="29"/>
  <c r="G50" i="29"/>
  <c r="G25" i="30"/>
  <c r="G51" i="29"/>
  <c r="G65" i="29"/>
  <c r="G21" i="30"/>
  <c r="G66" i="29"/>
  <c r="G52" i="29"/>
  <c r="G17" i="30"/>
  <c r="G33" i="29"/>
  <c r="G13" i="30"/>
  <c r="G53" i="29"/>
  <c r="G67" i="29"/>
  <c r="G5" i="30"/>
  <c r="G2" i="42"/>
  <c r="G38" i="42" s="1"/>
  <c r="G38" i="41"/>
  <c r="G2" i="43"/>
  <c r="G38" i="43" s="1"/>
  <c r="G6" i="42"/>
  <c r="G47" i="42" s="1"/>
  <c r="G47" i="41"/>
  <c r="G6" i="43"/>
  <c r="G47" i="43" s="1"/>
  <c r="G10" i="42"/>
  <c r="G46" i="42" s="1"/>
  <c r="G46" i="41"/>
  <c r="G45" i="41" s="1"/>
  <c r="G10" i="43"/>
  <c r="G46" i="43" s="1"/>
  <c r="G14" i="42"/>
  <c r="G34" i="42" s="1"/>
  <c r="G34" i="41"/>
  <c r="G14" i="43"/>
  <c r="G34" i="43" s="1"/>
  <c r="G18" i="42"/>
  <c r="G75" i="41"/>
  <c r="G61" i="41"/>
  <c r="G18" i="43"/>
  <c r="G22" i="42"/>
  <c r="G37" i="42" s="1"/>
  <c r="G37" i="41"/>
  <c r="G22" i="43"/>
  <c r="G37" i="43" s="1"/>
  <c r="G36" i="41"/>
  <c r="G26" i="42"/>
  <c r="G36" i="42" s="1"/>
  <c r="G26" i="43"/>
  <c r="G36" i="43" s="1"/>
  <c r="G30" i="42"/>
  <c r="G35" i="42" s="1"/>
  <c r="G35" i="41"/>
  <c r="G30" i="43"/>
  <c r="G35" i="43" s="1"/>
  <c r="EG34" i="38"/>
  <c r="EU34" i="38"/>
  <c r="DS51" i="38"/>
  <c r="DS65" i="38"/>
  <c r="DD7" i="38"/>
  <c r="CP59" i="38"/>
  <c r="CP73" i="38"/>
  <c r="DS55" i="38"/>
  <c r="DS69" i="38"/>
  <c r="DS68" i="38"/>
  <c r="DS54" i="38"/>
  <c r="CP40" i="38"/>
  <c r="DD4" i="38"/>
  <c r="EG40" i="38"/>
  <c r="EU40" i="38"/>
  <c r="EG37" i="38"/>
  <c r="EU37" i="38"/>
  <c r="CP43" i="38"/>
  <c r="DD28" i="38"/>
  <c r="EG47" i="38"/>
  <c r="EU47" i="38"/>
  <c r="EG42" i="38"/>
  <c r="EU42" i="38"/>
  <c r="DD20" i="38"/>
  <c r="CP70" i="38"/>
  <c r="CP56" i="38"/>
  <c r="CP47" i="38"/>
  <c r="DD6" i="38"/>
  <c r="CP64" i="38"/>
  <c r="DD25" i="38"/>
  <c r="CP50" i="38"/>
  <c r="CP71" i="38"/>
  <c r="CP57" i="38"/>
  <c r="DD29" i="38"/>
  <c r="CX2" i="18"/>
  <c r="AR2" i="18"/>
  <c r="CX18" i="18"/>
  <c r="AR18" i="18"/>
  <c r="CX11" i="18"/>
  <c r="AR11" i="18"/>
  <c r="CX5" i="18"/>
  <c r="AR5" i="18"/>
  <c r="CX3" i="18"/>
  <c r="AR3" i="18"/>
  <c r="CX8" i="18"/>
  <c r="CX41" i="18" s="1"/>
  <c r="AR8" i="18"/>
  <c r="CX24" i="18"/>
  <c r="AR24" i="18"/>
  <c r="O59" i="38"/>
  <c r="Z59" i="38" s="1"/>
  <c r="O73" i="38"/>
  <c r="Z73" i="38" s="1"/>
  <c r="O66" i="38"/>
  <c r="Z66" i="38" s="1"/>
  <c r="O52" i="38"/>
  <c r="Z52" i="38" s="1"/>
  <c r="CX5" i="38"/>
  <c r="AR5" i="38"/>
  <c r="D67" i="38"/>
  <c r="D53" i="38"/>
  <c r="CX15" i="38"/>
  <c r="D44" i="38"/>
  <c r="AR15" i="38"/>
  <c r="Z49" i="38"/>
  <c r="Z48" i="38"/>
  <c r="CX29" i="38"/>
  <c r="D71" i="38"/>
  <c r="AR29" i="38"/>
  <c r="D57" i="38"/>
  <c r="O61" i="38"/>
  <c r="Z61" i="38" s="1"/>
  <c r="O75" i="38"/>
  <c r="Z75" i="38" s="1"/>
  <c r="BU68" i="38"/>
  <c r="CI68" i="38" s="1"/>
  <c r="BU54" i="38"/>
  <c r="CI54" i="38" s="1"/>
  <c r="O64" i="38"/>
  <c r="O50" i="38"/>
  <c r="Z50" i="38" s="1"/>
  <c r="BU61" i="38"/>
  <c r="CI61" i="38" s="1"/>
  <c r="BU75" i="38"/>
  <c r="CI75" i="38" s="1"/>
  <c r="EO49" i="38"/>
  <c r="D47" i="38"/>
  <c r="AR6" i="38"/>
  <c r="CX6" i="38"/>
  <c r="BU71" i="38"/>
  <c r="CI71" i="38" s="1"/>
  <c r="BU57" i="38"/>
  <c r="CI57" i="38" s="1"/>
  <c r="CX27" i="38"/>
  <c r="D76" i="38"/>
  <c r="D62" i="38"/>
  <c r="AR27" i="38"/>
  <c r="BU73" i="38"/>
  <c r="CI73" i="38" s="1"/>
  <c r="BU59" i="38"/>
  <c r="CI59" i="38" s="1"/>
  <c r="EA60" i="38"/>
  <c r="EO60" i="38" s="1"/>
  <c r="EA74" i="38"/>
  <c r="EO74" i="38" s="1"/>
  <c r="CX17" i="38"/>
  <c r="D66" i="38"/>
  <c r="D52" i="38"/>
  <c r="AR17" i="38"/>
  <c r="D49" i="38"/>
  <c r="D48" i="38" s="1"/>
  <c r="CX23" i="38"/>
  <c r="AR23" i="38"/>
  <c r="CX25" i="38"/>
  <c r="D50" i="38"/>
  <c r="AR25" i="38"/>
  <c r="D64" i="38"/>
  <c r="EA51" i="38"/>
  <c r="EO51" i="38" s="1"/>
  <c r="EA65" i="38"/>
  <c r="EO65" i="38" s="1"/>
  <c r="CX26" i="38"/>
  <c r="D36" i="38"/>
  <c r="AR26" i="38"/>
  <c r="CR52" i="30"/>
  <c r="CR48" i="30" s="1"/>
  <c r="CR66" i="30"/>
  <c r="CR60" i="30"/>
  <c r="CR74" i="30"/>
  <c r="CR59" i="30"/>
  <c r="CR73" i="30"/>
  <c r="CR50" i="30"/>
  <c r="CR64" i="30"/>
  <c r="CR53" i="30"/>
  <c r="CR67" i="30"/>
  <c r="CR45" i="43"/>
  <c r="AT35" i="29"/>
  <c r="BS30" i="30"/>
  <c r="BS35" i="30" s="1"/>
  <c r="AT36" i="29"/>
  <c r="BS26" i="30"/>
  <c r="AT37" i="29"/>
  <c r="BS22" i="30"/>
  <c r="BS37" i="30" s="1"/>
  <c r="AT61" i="29"/>
  <c r="AT75" i="29"/>
  <c r="BS18" i="30"/>
  <c r="AT34" i="29"/>
  <c r="BS14" i="30"/>
  <c r="AT71" i="29"/>
  <c r="AT57" i="29"/>
  <c r="BS29" i="30"/>
  <c r="AT64" i="29"/>
  <c r="AT50" i="29"/>
  <c r="BS25" i="30"/>
  <c r="AT65" i="29"/>
  <c r="AT51" i="29"/>
  <c r="BS21" i="30"/>
  <c r="AT66" i="29"/>
  <c r="AT52" i="29"/>
  <c r="BS17" i="30"/>
  <c r="AT33" i="29"/>
  <c r="BS13" i="30"/>
  <c r="BS72" i="41"/>
  <c r="BS58" i="41"/>
  <c r="BS70" i="41"/>
  <c r="BS56" i="41"/>
  <c r="BS64" i="41"/>
  <c r="BS63" i="41" s="1"/>
  <c r="BS50" i="41"/>
  <c r="BS68" i="29"/>
  <c r="BS54" i="29"/>
  <c r="BS59" i="29"/>
  <c r="BS73" i="29"/>
  <c r="BS53" i="29"/>
  <c r="BS48" i="29" s="1"/>
  <c r="BS67" i="29"/>
  <c r="BS31" i="29"/>
  <c r="BS71" i="41"/>
  <c r="BS57" i="41"/>
  <c r="BS5" i="42"/>
  <c r="AT53" i="41"/>
  <c r="AT67" i="41"/>
  <c r="BS5" i="43"/>
  <c r="BS9" i="42"/>
  <c r="AT54" i="41"/>
  <c r="AT68" i="41"/>
  <c r="BS9" i="43"/>
  <c r="BS13" i="42"/>
  <c r="BS33" i="42" s="1"/>
  <c r="AT33" i="41"/>
  <c r="BS13" i="43"/>
  <c r="BS33" i="43" s="1"/>
  <c r="BS17" i="42"/>
  <c r="AT66" i="41"/>
  <c r="AT52" i="41"/>
  <c r="BS17" i="43"/>
  <c r="BS21" i="42"/>
  <c r="AT65" i="41"/>
  <c r="AT51" i="41"/>
  <c r="BS21" i="43"/>
  <c r="BS25" i="42"/>
  <c r="AT50" i="41"/>
  <c r="AT64" i="41"/>
  <c r="BS25" i="43"/>
  <c r="BS29" i="42"/>
  <c r="AT57" i="41"/>
  <c r="AT71" i="41"/>
  <c r="BS29" i="43"/>
  <c r="CR31" i="42"/>
  <c r="CR73" i="42"/>
  <c r="CR59" i="42"/>
  <c r="CR76" i="42"/>
  <c r="CR62" i="42"/>
  <c r="CC61" i="30"/>
  <c r="CC75" i="30"/>
  <c r="CC45" i="43"/>
  <c r="CC31" i="43"/>
  <c r="BD54" i="29"/>
  <c r="BD68" i="29"/>
  <c r="BD55" i="29"/>
  <c r="BD69" i="29"/>
  <c r="BD56" i="29"/>
  <c r="BD70" i="29"/>
  <c r="BD61" i="29"/>
  <c r="BD75" i="29"/>
  <c r="BD58" i="29"/>
  <c r="BD72" i="29"/>
  <c r="BD74" i="29"/>
  <c r="BD60" i="29"/>
  <c r="BD67" i="41"/>
  <c r="BD53" i="41"/>
  <c r="CC52" i="42"/>
  <c r="CC66" i="42"/>
  <c r="AE40" i="29"/>
  <c r="BD4" i="30"/>
  <c r="BD69" i="41"/>
  <c r="BD55" i="41"/>
  <c r="CC31" i="42"/>
  <c r="CC45" i="42"/>
  <c r="CC61" i="42"/>
  <c r="CC75" i="42"/>
  <c r="BD5" i="42"/>
  <c r="AE53" i="41"/>
  <c r="AE67" i="41"/>
  <c r="BD5" i="43"/>
  <c r="BD9" i="42"/>
  <c r="AE54" i="41"/>
  <c r="AE68" i="41"/>
  <c r="BD9" i="43"/>
  <c r="BD13" i="42"/>
  <c r="BD33" i="42" s="1"/>
  <c r="AE33" i="41"/>
  <c r="BD13" i="43"/>
  <c r="BD33" i="43" s="1"/>
  <c r="BD17" i="42"/>
  <c r="AE66" i="41"/>
  <c r="AE52" i="41"/>
  <c r="BD17" i="43"/>
  <c r="BD21" i="42"/>
  <c r="AE51" i="41"/>
  <c r="AE65" i="41"/>
  <c r="BD21" i="43"/>
  <c r="BD25" i="42"/>
  <c r="AE64" i="41"/>
  <c r="AE50" i="41"/>
  <c r="BD25" i="43"/>
  <c r="BD29" i="42"/>
  <c r="AE71" i="41"/>
  <c r="AE57" i="41"/>
  <c r="BD29" i="43"/>
  <c r="CC65" i="42"/>
  <c r="CC51" i="42"/>
  <c r="CC50" i="42"/>
  <c r="CC48" i="42" s="1"/>
  <c r="CC64" i="42"/>
  <c r="CC57" i="42"/>
  <c r="CC71" i="42"/>
  <c r="AH65" i="16"/>
  <c r="AJ65" i="16"/>
  <c r="AH75" i="37"/>
  <c r="AJ75" i="37"/>
  <c r="Q72" i="29"/>
  <c r="Q58" i="29"/>
  <c r="Q16" i="30"/>
  <c r="Q61" i="29"/>
  <c r="Q75" i="29"/>
  <c r="Q18" i="30"/>
  <c r="Q49" i="29"/>
  <c r="Q23" i="30"/>
  <c r="Q44" i="29"/>
  <c r="Q15" i="30"/>
  <c r="Q60" i="29"/>
  <c r="Q74" i="29"/>
  <c r="Q12" i="30"/>
  <c r="Q41" i="29"/>
  <c r="Q8" i="30"/>
  <c r="Q40" i="29"/>
  <c r="Q4" i="30"/>
  <c r="Q3" i="42"/>
  <c r="Q32" i="42" s="1"/>
  <c r="Q32" i="41"/>
  <c r="Q3" i="43"/>
  <c r="Q32" i="43" s="1"/>
  <c r="Q31" i="43" s="1"/>
  <c r="Q7" i="42"/>
  <c r="Q73" i="41"/>
  <c r="Q59" i="41"/>
  <c r="Q7" i="43"/>
  <c r="Q11" i="42"/>
  <c r="Q39" i="42" s="1"/>
  <c r="Q39" i="41"/>
  <c r="Q11" i="43"/>
  <c r="Q39" i="43" s="1"/>
  <c r="Q15" i="42"/>
  <c r="Q44" i="42" s="1"/>
  <c r="Q44" i="41"/>
  <c r="Q15" i="43"/>
  <c r="Q44" i="43" s="1"/>
  <c r="Q19" i="42"/>
  <c r="Q42" i="42" s="1"/>
  <c r="Q42" i="41"/>
  <c r="Q19" i="43"/>
  <c r="Q42" i="43" s="1"/>
  <c r="Q23" i="42"/>
  <c r="Q49" i="42" s="1"/>
  <c r="Q49" i="41"/>
  <c r="Q23" i="43"/>
  <c r="Q49" i="43" s="1"/>
  <c r="Q27" i="42"/>
  <c r="Q62" i="41"/>
  <c r="Q76" i="41"/>
  <c r="Q27" i="43"/>
  <c r="AP45" i="42"/>
  <c r="AX36" i="32"/>
  <c r="BB36" i="32"/>
  <c r="AT75" i="32"/>
  <c r="AT61" i="32"/>
  <c r="AT70" i="32"/>
  <c r="AT56" i="32"/>
  <c r="AO76" i="32"/>
  <c r="AO62" i="32"/>
  <c r="AX37" i="32"/>
  <c r="BB37" i="32"/>
  <c r="AO75" i="32"/>
  <c r="AO61" i="32"/>
  <c r="AX33" i="32"/>
  <c r="AO73" i="32"/>
  <c r="AO59" i="32"/>
  <c r="AO49" i="32"/>
  <c r="AT68" i="32"/>
  <c r="AT54" i="32"/>
  <c r="AT65" i="32"/>
  <c r="AT51" i="32"/>
  <c r="AO41" i="32"/>
  <c r="AO64" i="32"/>
  <c r="AO50" i="32"/>
  <c r="AT73" i="32"/>
  <c r="AT59" i="32"/>
  <c r="CT61" i="30"/>
  <c r="CT75" i="30"/>
  <c r="AV47" i="29"/>
  <c r="BU6" i="30"/>
  <c r="AV46" i="29"/>
  <c r="BU10" i="30"/>
  <c r="BU70" i="41"/>
  <c r="BU56" i="41"/>
  <c r="BU55" i="29"/>
  <c r="BU69" i="29"/>
  <c r="BU70" i="29"/>
  <c r="BU56" i="29"/>
  <c r="BU61" i="29"/>
  <c r="BU75" i="29"/>
  <c r="BU72" i="29"/>
  <c r="BU58" i="29"/>
  <c r="BU74" i="29"/>
  <c r="BU60" i="29"/>
  <c r="BU52" i="41"/>
  <c r="BU66" i="41"/>
  <c r="BU65" i="41"/>
  <c r="BU51" i="41"/>
  <c r="BT45" i="41"/>
  <c r="BU67" i="41"/>
  <c r="BU53" i="41"/>
  <c r="BU2" i="42"/>
  <c r="BU38" i="42" s="1"/>
  <c r="AV38" i="41"/>
  <c r="BU2" i="43"/>
  <c r="BU38" i="43" s="1"/>
  <c r="BU6" i="42"/>
  <c r="BU47" i="42" s="1"/>
  <c r="AV47" i="41"/>
  <c r="BU6" i="43"/>
  <c r="BU47" i="43" s="1"/>
  <c r="BU10" i="42"/>
  <c r="BU46" i="42" s="1"/>
  <c r="AV46" i="41"/>
  <c r="AV45" i="41" s="1"/>
  <c r="BU10" i="43"/>
  <c r="BU46" i="43" s="1"/>
  <c r="BU14" i="42"/>
  <c r="BU34" i="42" s="1"/>
  <c r="AV34" i="41"/>
  <c r="BU14" i="43"/>
  <c r="BU34" i="43" s="1"/>
  <c r="BU18" i="42"/>
  <c r="AV75" i="41"/>
  <c r="AV61" i="41"/>
  <c r="BU18" i="43"/>
  <c r="BU22" i="42"/>
  <c r="BU37" i="42" s="1"/>
  <c r="AV37" i="41"/>
  <c r="BU22" i="43"/>
  <c r="BU37" i="43" s="1"/>
  <c r="BU26" i="42"/>
  <c r="BU36" i="42" s="1"/>
  <c r="AV36" i="41"/>
  <c r="BU26" i="43"/>
  <c r="BU36" i="43" s="1"/>
  <c r="BU30" i="42"/>
  <c r="BU35" i="42" s="1"/>
  <c r="AV35" i="41"/>
  <c r="BU30" i="43"/>
  <c r="BU35" i="43" s="1"/>
  <c r="CT60" i="42"/>
  <c r="CT74" i="42"/>
  <c r="CT31" i="42"/>
  <c r="CT54" i="42"/>
  <c r="CT68" i="42"/>
  <c r="CT52" i="42"/>
  <c r="CT66" i="42"/>
  <c r="CT65" i="42"/>
  <c r="CT51" i="42"/>
  <c r="CT50" i="42"/>
  <c r="CT48" i="42" s="1"/>
  <c r="CT64" i="42"/>
  <c r="CT57" i="42"/>
  <c r="CT71" i="42"/>
  <c r="CI55" i="30"/>
  <c r="CI69" i="30"/>
  <c r="CI56" i="30"/>
  <c r="CI70" i="30"/>
  <c r="CI58" i="30"/>
  <c r="CI72" i="30"/>
  <c r="CI60" i="30"/>
  <c r="CI74" i="30"/>
  <c r="BJ31" i="29"/>
  <c r="AK40" i="29"/>
  <c r="BJ4" i="30"/>
  <c r="BJ57" i="29"/>
  <c r="BJ71" i="29"/>
  <c r="BJ76" i="29"/>
  <c r="BJ62" i="29"/>
  <c r="BJ64" i="29"/>
  <c r="BJ63" i="29" s="1"/>
  <c r="BJ50" i="29"/>
  <c r="BJ51" i="29"/>
  <c r="BJ65" i="29"/>
  <c r="BJ52" i="29"/>
  <c r="BJ66" i="29"/>
  <c r="AK39" i="29"/>
  <c r="BJ11" i="30"/>
  <c r="BJ39" i="30" s="1"/>
  <c r="AK59" i="29"/>
  <c r="AK73" i="29"/>
  <c r="BJ7" i="30"/>
  <c r="BJ72" i="41"/>
  <c r="BJ58" i="41"/>
  <c r="BJ70" i="41"/>
  <c r="BJ56" i="41"/>
  <c r="BJ64" i="41"/>
  <c r="BJ63" i="41" s="1"/>
  <c r="BJ50" i="41"/>
  <c r="BJ54" i="41"/>
  <c r="BJ68" i="41"/>
  <c r="AK38" i="41"/>
  <c r="BJ2" i="42"/>
  <c r="BJ38" i="42" s="1"/>
  <c r="BJ2" i="43"/>
  <c r="BJ38" i="43" s="1"/>
  <c r="AK47" i="41"/>
  <c r="BJ6" i="42"/>
  <c r="BJ47" i="42" s="1"/>
  <c r="BJ6" i="43"/>
  <c r="BJ47" i="43" s="1"/>
  <c r="BJ10" i="42"/>
  <c r="BJ46" i="42" s="1"/>
  <c r="AK46" i="41"/>
  <c r="AK45" i="41" s="1"/>
  <c r="BJ10" i="43"/>
  <c r="BJ46" i="43" s="1"/>
  <c r="BJ45" i="43" s="1"/>
  <c r="BJ14" i="42"/>
  <c r="BJ34" i="42" s="1"/>
  <c r="AK34" i="41"/>
  <c r="BJ14" i="43"/>
  <c r="BJ34" i="43" s="1"/>
  <c r="BJ18" i="42"/>
  <c r="AK75" i="41"/>
  <c r="AK61" i="41"/>
  <c r="BJ18" i="43"/>
  <c r="AK37" i="41"/>
  <c r="BJ22" i="42"/>
  <c r="BJ37" i="42" s="1"/>
  <c r="BJ22" i="43"/>
  <c r="BJ37" i="43" s="1"/>
  <c r="BJ26" i="42"/>
  <c r="BJ36" i="42" s="1"/>
  <c r="AK36" i="41"/>
  <c r="BJ26" i="43"/>
  <c r="BJ36" i="43" s="1"/>
  <c r="BJ30" i="42"/>
  <c r="BJ35" i="42" s="1"/>
  <c r="AK35" i="41"/>
  <c r="BJ30" i="43"/>
  <c r="BJ35" i="43" s="1"/>
  <c r="CI45" i="42"/>
  <c r="CI75" i="42"/>
  <c r="CI61" i="42"/>
  <c r="CI68" i="42"/>
  <c r="CI54" i="42"/>
  <c r="CI66" i="42"/>
  <c r="CI52" i="42"/>
  <c r="CI48" i="42"/>
  <c r="CI76" i="42"/>
  <c r="CI62" i="42"/>
  <c r="D52" i="16"/>
  <c r="D66" i="16"/>
  <c r="AE13" i="16"/>
  <c r="U50" i="29"/>
  <c r="U64" i="29"/>
  <c r="U25" i="30"/>
  <c r="U66" i="29"/>
  <c r="U52" i="29"/>
  <c r="U17" i="30"/>
  <c r="U43" i="29"/>
  <c r="U28" i="30"/>
  <c r="U70" i="29"/>
  <c r="U56" i="29"/>
  <c r="U20" i="30"/>
  <c r="U60" i="29"/>
  <c r="U74" i="29"/>
  <c r="U12" i="30"/>
  <c r="U41" i="29"/>
  <c r="U8" i="30"/>
  <c r="U40" i="29"/>
  <c r="U4" i="30"/>
  <c r="U3" i="42"/>
  <c r="U32" i="42" s="1"/>
  <c r="U31" i="42" s="1"/>
  <c r="U32" i="41"/>
  <c r="U3" i="43"/>
  <c r="U32" i="43" s="1"/>
  <c r="U7" i="42"/>
  <c r="U59" i="41"/>
  <c r="U73" i="41"/>
  <c r="U7" i="43"/>
  <c r="U11" i="42"/>
  <c r="U39" i="42" s="1"/>
  <c r="U39" i="41"/>
  <c r="U11" i="43"/>
  <c r="U39" i="43" s="1"/>
  <c r="U15" i="42"/>
  <c r="U44" i="42" s="1"/>
  <c r="U44" i="41"/>
  <c r="U15" i="43"/>
  <c r="U44" i="43" s="1"/>
  <c r="U19" i="42"/>
  <c r="U42" i="42" s="1"/>
  <c r="U42" i="41"/>
  <c r="U19" i="43"/>
  <c r="U42" i="43" s="1"/>
  <c r="U23" i="42"/>
  <c r="U49" i="42" s="1"/>
  <c r="U49" i="41"/>
  <c r="U23" i="43"/>
  <c r="U49" i="43" s="1"/>
  <c r="U27" i="42"/>
  <c r="U62" i="41"/>
  <c r="U76" i="41"/>
  <c r="U27" i="43"/>
  <c r="AT45" i="42"/>
  <c r="AE45" i="30"/>
  <c r="AE31" i="43"/>
  <c r="F54" i="29"/>
  <c r="F68" i="29"/>
  <c r="F9" i="30"/>
  <c r="F43" i="29"/>
  <c r="F28" i="30"/>
  <c r="F55" i="29"/>
  <c r="F69" i="29"/>
  <c r="F24" i="30"/>
  <c r="F56" i="29"/>
  <c r="F70" i="29"/>
  <c r="F20" i="30"/>
  <c r="F58" i="29"/>
  <c r="F72" i="29"/>
  <c r="F16" i="30"/>
  <c r="F60" i="29"/>
  <c r="F74" i="29"/>
  <c r="F12" i="30"/>
  <c r="F53" i="29"/>
  <c r="F67" i="29"/>
  <c r="F5" i="30"/>
  <c r="F2" i="42"/>
  <c r="F38" i="42" s="1"/>
  <c r="F38" i="41"/>
  <c r="F2" i="43"/>
  <c r="F38" i="43" s="1"/>
  <c r="F6" i="42"/>
  <c r="F47" i="42" s="1"/>
  <c r="F47" i="41"/>
  <c r="F6" i="43"/>
  <c r="F47" i="43" s="1"/>
  <c r="F10" i="42"/>
  <c r="F46" i="42" s="1"/>
  <c r="F45" i="42" s="1"/>
  <c r="F46" i="41"/>
  <c r="F10" i="43"/>
  <c r="F46" i="43" s="1"/>
  <c r="F45" i="43" s="1"/>
  <c r="F14" i="42"/>
  <c r="F34" i="42" s="1"/>
  <c r="F34" i="41"/>
  <c r="F14" i="43"/>
  <c r="F34" i="43" s="1"/>
  <c r="F18" i="42"/>
  <c r="F61" i="41"/>
  <c r="F75" i="41"/>
  <c r="F18" i="43"/>
  <c r="F22" i="42"/>
  <c r="F37" i="42" s="1"/>
  <c r="F37" i="41"/>
  <c r="F22" i="43"/>
  <c r="F37" i="43" s="1"/>
  <c r="F26" i="42"/>
  <c r="F36" i="42" s="1"/>
  <c r="F36" i="41"/>
  <c r="F26" i="43"/>
  <c r="F36" i="43" s="1"/>
  <c r="F30" i="42"/>
  <c r="F35" i="42" s="1"/>
  <c r="F35" i="41"/>
  <c r="F30" i="43"/>
  <c r="F35" i="43" s="1"/>
  <c r="CY20" i="18"/>
  <c r="AS20" i="18"/>
  <c r="CY17" i="18"/>
  <c r="AS17" i="18"/>
  <c r="CY30" i="18"/>
  <c r="AS30" i="18"/>
  <c r="CY28" i="18"/>
  <c r="AS28" i="18"/>
  <c r="AS3" i="18"/>
  <c r="CY3" i="18"/>
  <c r="CY19" i="18"/>
  <c r="AS19" i="18"/>
  <c r="CY11" i="38"/>
  <c r="E39" i="38"/>
  <c r="AS11" i="38"/>
  <c r="P67" i="38"/>
  <c r="AA67" i="38" s="1"/>
  <c r="P53" i="38"/>
  <c r="AA53" i="38" s="1"/>
  <c r="P69" i="38"/>
  <c r="AA69" i="38" s="1"/>
  <c r="P55" i="38"/>
  <c r="AA55" i="38" s="1"/>
  <c r="P66" i="38"/>
  <c r="AA66" i="38" s="1"/>
  <c r="P52" i="38"/>
  <c r="AA52" i="38" s="1"/>
  <c r="CY7" i="38"/>
  <c r="AS7" i="38"/>
  <c r="E73" i="38"/>
  <c r="E59" i="38"/>
  <c r="BV66" i="38"/>
  <c r="CJ66" i="38" s="1"/>
  <c r="BV52" i="38"/>
  <c r="CJ52" i="38" s="1"/>
  <c r="E46" i="38"/>
  <c r="AS10" i="38"/>
  <c r="CY10" i="38"/>
  <c r="P71" i="38"/>
  <c r="AA71" i="38" s="1"/>
  <c r="P57" i="38"/>
  <c r="AA57" i="38" s="1"/>
  <c r="EB68" i="38"/>
  <c r="EP68" i="38" s="1"/>
  <c r="EB54" i="38"/>
  <c r="EP54" i="38" s="1"/>
  <c r="EB64" i="38"/>
  <c r="EB50" i="38"/>
  <c r="EP50" i="38" s="1"/>
  <c r="P74" i="38"/>
  <c r="AA74" i="38" s="1"/>
  <c r="P60" i="38"/>
  <c r="AA60" i="38" s="1"/>
  <c r="CJ32" i="38"/>
  <c r="CJ31" i="38"/>
  <c r="BV75" i="38"/>
  <c r="CJ75" i="38" s="1"/>
  <c r="BV61" i="38"/>
  <c r="CJ61" i="38" s="1"/>
  <c r="CY23" i="38"/>
  <c r="E49" i="38"/>
  <c r="AS23" i="38"/>
  <c r="CY29" i="38"/>
  <c r="AS29" i="38"/>
  <c r="E57" i="38"/>
  <c r="E71" i="38"/>
  <c r="BV54" i="38"/>
  <c r="CJ54" i="38" s="1"/>
  <c r="BV68" i="38"/>
  <c r="CJ68" i="38" s="1"/>
  <c r="CY20" i="38"/>
  <c r="E70" i="38"/>
  <c r="E56" i="38"/>
  <c r="AS20" i="38"/>
  <c r="CY27" i="38"/>
  <c r="AS27" i="38"/>
  <c r="E76" i="38"/>
  <c r="E62" i="38"/>
  <c r="BV51" i="38"/>
  <c r="CJ51" i="38" s="1"/>
  <c r="BV65" i="38"/>
  <c r="CJ65" i="38" s="1"/>
  <c r="EB71" i="38"/>
  <c r="EP71" i="38" s="1"/>
  <c r="EB57" i="38"/>
  <c r="EP57" i="38" s="1"/>
  <c r="CF65" i="30"/>
  <c r="CF51" i="30"/>
  <c r="CF64" i="30"/>
  <c r="CF63" i="30" s="1"/>
  <c r="CF50" i="30"/>
  <c r="CF48" i="30" s="1"/>
  <c r="CF52" i="30"/>
  <c r="CF66" i="30"/>
  <c r="CF59" i="30"/>
  <c r="CF73" i="30"/>
  <c r="BG71" i="29"/>
  <c r="BG57" i="29"/>
  <c r="AH61" i="29"/>
  <c r="AH75" i="29"/>
  <c r="BG18" i="30"/>
  <c r="BG61" i="29"/>
  <c r="BG75" i="29"/>
  <c r="AH36" i="29"/>
  <c r="BG26" i="30"/>
  <c r="BG53" i="41"/>
  <c r="BG67" i="41"/>
  <c r="BG69" i="41"/>
  <c r="BG55" i="41"/>
  <c r="AH60" i="29"/>
  <c r="AH74" i="29"/>
  <c r="BG12" i="30"/>
  <c r="AH46" i="29"/>
  <c r="BG10" i="30"/>
  <c r="BG46" i="30" s="1"/>
  <c r="AH41" i="29"/>
  <c r="BG8" i="30"/>
  <c r="AH47" i="29"/>
  <c r="BG6" i="30"/>
  <c r="BG47" i="30" s="1"/>
  <c r="AH40" i="29"/>
  <c r="BG4" i="30"/>
  <c r="BG4" i="42"/>
  <c r="BG40" i="42" s="1"/>
  <c r="AH40" i="41"/>
  <c r="BG4" i="43"/>
  <c r="BG40" i="43" s="1"/>
  <c r="BG8" i="42"/>
  <c r="BG41" i="42" s="1"/>
  <c r="AH41" i="41"/>
  <c r="BG8" i="43"/>
  <c r="BG41" i="43" s="1"/>
  <c r="BG12" i="42"/>
  <c r="AH60" i="41"/>
  <c r="AH74" i="41"/>
  <c r="BG12" i="43"/>
  <c r="BG16" i="42"/>
  <c r="AH72" i="41"/>
  <c r="AH58" i="41"/>
  <c r="BG16" i="43"/>
  <c r="BG20" i="42"/>
  <c r="AH70" i="41"/>
  <c r="AH56" i="41"/>
  <c r="BG20" i="43"/>
  <c r="BG24" i="42"/>
  <c r="AH55" i="41"/>
  <c r="AH69" i="41"/>
  <c r="BG24" i="43"/>
  <c r="BG28" i="42"/>
  <c r="BG43" i="42" s="1"/>
  <c r="AH43" i="41"/>
  <c r="BG28" i="43"/>
  <c r="BG43" i="43" s="1"/>
  <c r="CF45" i="42"/>
  <c r="CF75" i="42"/>
  <c r="CF61" i="42"/>
  <c r="BA2" i="30"/>
  <c r="CA31" i="30"/>
  <c r="CX75" i="31"/>
  <c r="CX61" i="31"/>
  <c r="CX71" i="31"/>
  <c r="CX57" i="31"/>
  <c r="BZ34" i="31"/>
  <c r="CB64" i="31"/>
  <c r="CB50" i="31"/>
  <c r="CU72" i="31"/>
  <c r="CQ72" i="31"/>
  <c r="CM72" i="31"/>
  <c r="CI72" i="31"/>
  <c r="CE72" i="31"/>
  <c r="CT72" i="31"/>
  <c r="CP72" i="31"/>
  <c r="CL72" i="31"/>
  <c r="CH72" i="31"/>
  <c r="CD72" i="31"/>
  <c r="CW72" i="31"/>
  <c r="CO72" i="31"/>
  <c r="CG72" i="31"/>
  <c r="CU58" i="31"/>
  <c r="CQ58" i="31"/>
  <c r="CM58" i="31"/>
  <c r="CI58" i="31"/>
  <c r="CE58" i="31"/>
  <c r="CV72" i="31"/>
  <c r="CN72" i="31"/>
  <c r="CF72" i="31"/>
  <c r="CS72" i="31"/>
  <c r="CK72" i="31"/>
  <c r="CC72" i="31"/>
  <c r="CW58" i="31"/>
  <c r="CS58" i="31"/>
  <c r="CO58" i="31"/>
  <c r="CK58" i="31"/>
  <c r="CG58" i="31"/>
  <c r="CC58" i="31"/>
  <c r="CR72" i="31"/>
  <c r="CP58" i="31"/>
  <c r="CH58" i="31"/>
  <c r="CJ72" i="31"/>
  <c r="CV58" i="31"/>
  <c r="CN58" i="31"/>
  <c r="CF58" i="31"/>
  <c r="CT58" i="31"/>
  <c r="CL58" i="31"/>
  <c r="CD58" i="31"/>
  <c r="CR58" i="31"/>
  <c r="CJ58" i="31"/>
  <c r="CV68" i="31"/>
  <c r="CR68" i="31"/>
  <c r="CN68" i="31"/>
  <c r="CJ68" i="31"/>
  <c r="CF68" i="31"/>
  <c r="CU68" i="31"/>
  <c r="CQ68" i="31"/>
  <c r="CM68" i="31"/>
  <c r="CI68" i="31"/>
  <c r="CE68" i="31"/>
  <c r="CP68" i="31"/>
  <c r="CH68" i="31"/>
  <c r="CW68" i="31"/>
  <c r="CO68" i="31"/>
  <c r="CG68" i="31"/>
  <c r="CT68" i="31"/>
  <c r="CL68" i="31"/>
  <c r="CD68" i="31"/>
  <c r="CS68" i="31"/>
  <c r="CT54" i="31"/>
  <c r="CP54" i="31"/>
  <c r="CL54" i="31"/>
  <c r="CH54" i="31"/>
  <c r="CD54" i="31"/>
  <c r="CK68" i="31"/>
  <c r="CW54" i="31"/>
  <c r="CS54" i="31"/>
  <c r="CO54" i="31"/>
  <c r="CK54" i="31"/>
  <c r="CG54" i="31"/>
  <c r="CC54" i="31"/>
  <c r="CC68" i="31"/>
  <c r="CV54" i="31"/>
  <c r="CR54" i="31"/>
  <c r="CN54" i="31"/>
  <c r="CJ54" i="31"/>
  <c r="CF54" i="31"/>
  <c r="CM54" i="31"/>
  <c r="CI54" i="31"/>
  <c r="CQ54" i="31"/>
  <c r="CU54" i="31"/>
  <c r="CE54" i="31"/>
  <c r="CO31" i="31"/>
  <c r="CX73" i="31"/>
  <c r="CX59" i="31"/>
  <c r="CX66" i="31"/>
  <c r="CX52" i="31"/>
  <c r="CX67" i="31"/>
  <c r="CX53" i="31"/>
  <c r="CX70" i="31"/>
  <c r="CX56" i="31"/>
  <c r="CX76" i="31"/>
  <c r="CX62" i="31"/>
  <c r="CN31" i="31"/>
  <c r="CQ45" i="31"/>
  <c r="CF31" i="31"/>
  <c r="CB31" i="31"/>
  <c r="BZ32" i="31"/>
  <c r="BZ31" i="31"/>
  <c r="CA31" i="31"/>
  <c r="BZ39" i="31"/>
  <c r="AS31" i="31"/>
  <c r="AS45" i="31"/>
  <c r="AK45" i="31"/>
  <c r="CB67" i="31"/>
  <c r="CB53" i="31"/>
  <c r="CB56" i="31"/>
  <c r="CB70" i="31"/>
  <c r="CB75" i="31"/>
  <c r="CB61" i="31"/>
  <c r="CB71" i="31"/>
  <c r="CB57" i="31"/>
  <c r="CP31" i="31"/>
  <c r="CA71" i="31"/>
  <c r="CA57" i="31"/>
  <c r="CA76" i="31"/>
  <c r="CA62" i="31"/>
  <c r="CA60" i="31"/>
  <c r="CA74" i="31"/>
  <c r="CK31" i="31"/>
  <c r="CT31" i="31"/>
  <c r="CI31" i="31"/>
  <c r="CB72" i="31"/>
  <c r="CB58" i="31"/>
  <c r="CV66" i="31"/>
  <c r="CR66" i="31"/>
  <c r="CN66" i="31"/>
  <c r="CJ66" i="31"/>
  <c r="CF66" i="31"/>
  <c r="CU66" i="31"/>
  <c r="CQ66" i="31"/>
  <c r="CM66" i="31"/>
  <c r="CI66" i="31"/>
  <c r="CE66" i="31"/>
  <c r="CP66" i="31"/>
  <c r="CH66" i="31"/>
  <c r="CW66" i="31"/>
  <c r="CO66" i="31"/>
  <c r="CG66" i="31"/>
  <c r="CT66" i="31"/>
  <c r="CL66" i="31"/>
  <c r="CD66" i="31"/>
  <c r="CC66" i="31"/>
  <c r="CU52" i="31"/>
  <c r="CQ52" i="31"/>
  <c r="CM52" i="31"/>
  <c r="CI52" i="31"/>
  <c r="CE52" i="31"/>
  <c r="CT52" i="31"/>
  <c r="CP52" i="31"/>
  <c r="CL52" i="31"/>
  <c r="CH52" i="31"/>
  <c r="CD52" i="31"/>
  <c r="CS66" i="31"/>
  <c r="CW52" i="31"/>
  <c r="CS52" i="31"/>
  <c r="CO52" i="31"/>
  <c r="CK52" i="31"/>
  <c r="CG52" i="31"/>
  <c r="CC52" i="31"/>
  <c r="CN52" i="31"/>
  <c r="CJ52" i="31"/>
  <c r="CK66" i="31"/>
  <c r="CR52" i="31"/>
  <c r="CV52" i="31"/>
  <c r="CF52" i="31"/>
  <c r="CA72" i="31"/>
  <c r="CA58" i="31"/>
  <c r="CO45" i="31"/>
  <c r="CV65" i="31"/>
  <c r="CR65" i="31"/>
  <c r="CN65" i="31"/>
  <c r="CJ65" i="31"/>
  <c r="CF65" i="31"/>
  <c r="CU65" i="31"/>
  <c r="CQ65" i="31"/>
  <c r="CM65" i="31"/>
  <c r="CI65" i="31"/>
  <c r="CE65" i="31"/>
  <c r="CP65" i="31"/>
  <c r="CH65" i="31"/>
  <c r="CW65" i="31"/>
  <c r="CO65" i="31"/>
  <c r="CG65" i="31"/>
  <c r="CT65" i="31"/>
  <c r="CL65" i="31"/>
  <c r="CD65" i="31"/>
  <c r="CU51" i="31"/>
  <c r="CQ51" i="31"/>
  <c r="CM51" i="31"/>
  <c r="CI51" i="31"/>
  <c r="CE51" i="31"/>
  <c r="CS65" i="31"/>
  <c r="CT51" i="31"/>
  <c r="CP51" i="31"/>
  <c r="CL51" i="31"/>
  <c r="CH51" i="31"/>
  <c r="CD51" i="31"/>
  <c r="CK65" i="31"/>
  <c r="CW51" i="31"/>
  <c r="CS51" i="31"/>
  <c r="CO51" i="31"/>
  <c r="CK51" i="31"/>
  <c r="CG51" i="31"/>
  <c r="CC51" i="31"/>
  <c r="CC65" i="31"/>
  <c r="CV51" i="31"/>
  <c r="CF51" i="31"/>
  <c r="CR51" i="31"/>
  <c r="CJ51" i="31"/>
  <c r="CN51" i="31"/>
  <c r="CU70" i="31"/>
  <c r="CQ70" i="31"/>
  <c r="CM70" i="31"/>
  <c r="CI70" i="31"/>
  <c r="CE70" i="31"/>
  <c r="CT70" i="31"/>
  <c r="CP70" i="31"/>
  <c r="CL70" i="31"/>
  <c r="CH70" i="31"/>
  <c r="CD70" i="31"/>
  <c r="CW70" i="31"/>
  <c r="BZ70" i="31" s="1"/>
  <c r="CO70" i="31"/>
  <c r="CG70" i="31"/>
  <c r="CV56" i="31"/>
  <c r="CR56" i="31"/>
  <c r="CN56" i="31"/>
  <c r="CJ56" i="31"/>
  <c r="CF56" i="31"/>
  <c r="CV70" i="31"/>
  <c r="CN70" i="31"/>
  <c r="CF70" i="31"/>
  <c r="CS70" i="31"/>
  <c r="CK70" i="31"/>
  <c r="CC70" i="31"/>
  <c r="CT56" i="31"/>
  <c r="CP56" i="31"/>
  <c r="CL56" i="31"/>
  <c r="CH56" i="31"/>
  <c r="CD56" i="31"/>
  <c r="CQ56" i="31"/>
  <c r="CI56" i="31"/>
  <c r="CW56" i="31"/>
  <c r="CO56" i="31"/>
  <c r="CG56" i="31"/>
  <c r="CR70" i="31"/>
  <c r="CU56" i="31"/>
  <c r="CM56" i="31"/>
  <c r="CE56" i="31"/>
  <c r="CJ70" i="31"/>
  <c r="CK56" i="31"/>
  <c r="CC56" i="31"/>
  <c r="CS56" i="31"/>
  <c r="CT74" i="31"/>
  <c r="CP74" i="31"/>
  <c r="CL74" i="31"/>
  <c r="CH74" i="31"/>
  <c r="CD74" i="31"/>
  <c r="CW74" i="31"/>
  <c r="CS74" i="31"/>
  <c r="CO74" i="31"/>
  <c r="CK74" i="31"/>
  <c r="CG74" i="31"/>
  <c r="CC74" i="31"/>
  <c r="CV74" i="31"/>
  <c r="CN74" i="31"/>
  <c r="CF74" i="31"/>
  <c r="CU60" i="31"/>
  <c r="CQ60" i="31"/>
  <c r="CM60" i="31"/>
  <c r="CI60" i="31"/>
  <c r="CE60" i="31"/>
  <c r="CU74" i="31"/>
  <c r="CM74" i="31"/>
  <c r="CE74" i="31"/>
  <c r="CR74" i="31"/>
  <c r="CJ74" i="31"/>
  <c r="CW60" i="31"/>
  <c r="CS60" i="31"/>
  <c r="CO60" i="31"/>
  <c r="CK60" i="31"/>
  <c r="CG60" i="31"/>
  <c r="CC60" i="31"/>
  <c r="CP60" i="31"/>
  <c r="CH60" i="31"/>
  <c r="CV60" i="31"/>
  <c r="CN60" i="31"/>
  <c r="CF60" i="31"/>
  <c r="CQ74" i="31"/>
  <c r="CT60" i="31"/>
  <c r="CL60" i="31"/>
  <c r="CD60" i="31"/>
  <c r="CJ60" i="31"/>
  <c r="CI74" i="31"/>
  <c r="CR60" i="31"/>
  <c r="CT75" i="31"/>
  <c r="CP75" i="31"/>
  <c r="CL75" i="31"/>
  <c r="CH75" i="31"/>
  <c r="CD75" i="31"/>
  <c r="CW75" i="31"/>
  <c r="CS75" i="31"/>
  <c r="CO75" i="31"/>
  <c r="CK75" i="31"/>
  <c r="CG75" i="31"/>
  <c r="CC75" i="31"/>
  <c r="CV75" i="31"/>
  <c r="CN75" i="31"/>
  <c r="CF75" i="31"/>
  <c r="CT61" i="31"/>
  <c r="CP61" i="31"/>
  <c r="CL61" i="31"/>
  <c r="CH61" i="31"/>
  <c r="CD61" i="31"/>
  <c r="CU75" i="31"/>
  <c r="CM75" i="31"/>
  <c r="CE75" i="31"/>
  <c r="CR75" i="31"/>
  <c r="CJ75" i="31"/>
  <c r="CV61" i="31"/>
  <c r="CR61" i="31"/>
  <c r="CN61" i="31"/>
  <c r="CJ61" i="31"/>
  <c r="CF61" i="31"/>
  <c r="CI75" i="31"/>
  <c r="CW61" i="31"/>
  <c r="CO61" i="31"/>
  <c r="CG61" i="31"/>
  <c r="CU61" i="31"/>
  <c r="CM61" i="31"/>
  <c r="CE61" i="31"/>
  <c r="CS61" i="31"/>
  <c r="CK61" i="31"/>
  <c r="CC61" i="31"/>
  <c r="CQ75" i="31"/>
  <c r="CQ61" i="31"/>
  <c r="CI61" i="31"/>
  <c r="AR31" i="31"/>
  <c r="CA65" i="31"/>
  <c r="CA51" i="31"/>
  <c r="CA75" i="31"/>
  <c r="CA61" i="31"/>
  <c r="BZ61" i="31" s="1"/>
  <c r="CA67" i="31"/>
  <c r="CA53" i="31"/>
  <c r="CA70" i="31"/>
  <c r="CA56" i="31"/>
  <c r="BZ56" i="31" s="1"/>
  <c r="CS31" i="31"/>
  <c r="CK45" i="31"/>
  <c r="CC45" i="31"/>
  <c r="AM45" i="31"/>
  <c r="CX65" i="31"/>
  <c r="CX51" i="31"/>
  <c r="CX68" i="31"/>
  <c r="CX54" i="31"/>
  <c r="CX69" i="31"/>
  <c r="CX55" i="31"/>
  <c r="AF31" i="31"/>
  <c r="CU45" i="31"/>
  <c r="CR31" i="31"/>
  <c r="CG45" i="31"/>
  <c r="CG31" i="31"/>
  <c r="CQ31" i="31"/>
  <c r="BZ43" i="31"/>
  <c r="BZ36" i="31"/>
  <c r="BZ40" i="31"/>
  <c r="BZ41" i="31"/>
  <c r="CB68" i="31"/>
  <c r="CB54" i="31"/>
  <c r="CB55" i="31"/>
  <c r="CB69" i="31"/>
  <c r="CB73" i="31"/>
  <c r="CB59" i="31"/>
  <c r="CB66" i="31"/>
  <c r="CB52" i="31"/>
  <c r="BZ38" i="31"/>
  <c r="CW45" i="31"/>
  <c r="CW31" i="31"/>
  <c r="CP45" i="31"/>
  <c r="CU71" i="31"/>
  <c r="CQ71" i="31"/>
  <c r="CM71" i="31"/>
  <c r="CI71" i="31"/>
  <c r="CE71" i="31"/>
  <c r="CT71" i="31"/>
  <c r="CP71" i="31"/>
  <c r="CL71" i="31"/>
  <c r="CH71" i="31"/>
  <c r="CD71" i="31"/>
  <c r="CW71" i="31"/>
  <c r="CO71" i="31"/>
  <c r="CG71" i="31"/>
  <c r="CU57" i="31"/>
  <c r="CQ57" i="31"/>
  <c r="CM57" i="31"/>
  <c r="CI57" i="31"/>
  <c r="CE57" i="31"/>
  <c r="CV71" i="31"/>
  <c r="CN71" i="31"/>
  <c r="CF71" i="31"/>
  <c r="CS71" i="31"/>
  <c r="CK71" i="31"/>
  <c r="CC71" i="31"/>
  <c r="CW57" i="31"/>
  <c r="CS57" i="31"/>
  <c r="CO57" i="31"/>
  <c r="CK57" i="31"/>
  <c r="CG57" i="31"/>
  <c r="CC57" i="31"/>
  <c r="CJ71" i="31"/>
  <c r="CP57" i="31"/>
  <c r="CH57" i="31"/>
  <c r="CV57" i="31"/>
  <c r="CN57" i="31"/>
  <c r="CF57" i="31"/>
  <c r="CT57" i="31"/>
  <c r="CL57" i="31"/>
  <c r="CD57" i="31"/>
  <c r="CR57" i="31"/>
  <c r="CJ57" i="31"/>
  <c r="CR71" i="31"/>
  <c r="CT76" i="31"/>
  <c r="CP76" i="31"/>
  <c r="CL76" i="31"/>
  <c r="CH76" i="31"/>
  <c r="CD76" i="31"/>
  <c r="CU62" i="31"/>
  <c r="CQ62" i="31"/>
  <c r="CM62" i="31"/>
  <c r="CW76" i="31"/>
  <c r="CS76" i="31"/>
  <c r="CO76" i="31"/>
  <c r="CK76" i="31"/>
  <c r="CG76" i="31"/>
  <c r="CC76" i="31"/>
  <c r="CT62" i="31"/>
  <c r="CP62" i="31"/>
  <c r="CL62" i="31"/>
  <c r="CH62" i="31"/>
  <c r="CV76" i="31"/>
  <c r="CN76" i="31"/>
  <c r="CF76" i="31"/>
  <c r="CW62" i="31"/>
  <c r="CO62" i="31"/>
  <c r="CI62" i="31"/>
  <c r="CD62" i="31"/>
  <c r="CU76" i="31"/>
  <c r="CM76" i="31"/>
  <c r="CE76" i="31"/>
  <c r="CR76" i="31"/>
  <c r="CJ76" i="31"/>
  <c r="CS62" i="31"/>
  <c r="CK62" i="31"/>
  <c r="CF62" i="31"/>
  <c r="CQ76" i="31"/>
  <c r="CV62" i="31"/>
  <c r="CG62" i="31"/>
  <c r="CI76" i="31"/>
  <c r="CR62" i="31"/>
  <c r="CE62" i="31"/>
  <c r="CN62" i="31"/>
  <c r="CC62" i="31"/>
  <c r="CJ62" i="31"/>
  <c r="CX31" i="31"/>
  <c r="CD31" i="31"/>
  <c r="CX72" i="31"/>
  <c r="CX58" i="31"/>
  <c r="CB45" i="31"/>
  <c r="BZ37" i="31"/>
  <c r="BZ45" i="31"/>
  <c r="CA45" i="31"/>
  <c r="BZ46" i="31"/>
  <c r="CH45" i="31"/>
  <c r="CV67" i="31"/>
  <c r="CR67" i="31"/>
  <c r="CN67" i="31"/>
  <c r="CJ67" i="31"/>
  <c r="CF67" i="31"/>
  <c r="CU67" i="31"/>
  <c r="CQ67" i="31"/>
  <c r="CM67" i="31"/>
  <c r="CI67" i="31"/>
  <c r="CE67" i="31"/>
  <c r="CP67" i="31"/>
  <c r="CH67" i="31"/>
  <c r="CW67" i="31"/>
  <c r="CO67" i="31"/>
  <c r="CG67" i="31"/>
  <c r="CT67" i="31"/>
  <c r="CL67" i="31"/>
  <c r="CD67" i="31"/>
  <c r="CK67" i="31"/>
  <c r="CT53" i="31"/>
  <c r="CP53" i="31"/>
  <c r="CL53" i="31"/>
  <c r="CH53" i="31"/>
  <c r="CD53" i="31"/>
  <c r="CC67" i="31"/>
  <c r="CW53" i="31"/>
  <c r="CS53" i="31"/>
  <c r="CO53" i="31"/>
  <c r="CK53" i="31"/>
  <c r="CG53" i="31"/>
  <c r="CC53" i="31"/>
  <c r="CV53" i="31"/>
  <c r="CR53" i="31"/>
  <c r="CN53" i="31"/>
  <c r="CJ53" i="31"/>
  <c r="CF53" i="31"/>
  <c r="CU53" i="31"/>
  <c r="CE53" i="31"/>
  <c r="CQ53" i="31"/>
  <c r="CI53" i="31"/>
  <c r="CS67" i="31"/>
  <c r="CM53" i="31"/>
  <c r="CA66" i="31"/>
  <c r="CA52" i="31"/>
  <c r="CW64" i="31"/>
  <c r="CS64" i="31"/>
  <c r="CO64" i="31"/>
  <c r="CK64" i="31"/>
  <c r="CG64" i="31"/>
  <c r="CC64" i="31"/>
  <c r="CV64" i="31"/>
  <c r="CR64" i="31"/>
  <c r="CN64" i="31"/>
  <c r="CJ64" i="31"/>
  <c r="CF64" i="31"/>
  <c r="CQ64" i="31"/>
  <c r="CI64" i="31"/>
  <c r="CP64" i="31"/>
  <c r="CH64" i="31"/>
  <c r="CU64" i="31"/>
  <c r="CM64" i="31"/>
  <c r="CE64" i="31"/>
  <c r="CT64" i="31"/>
  <c r="CU50" i="31"/>
  <c r="CQ50" i="31"/>
  <c r="CM50" i="31"/>
  <c r="CI50" i="31"/>
  <c r="CE50" i="31"/>
  <c r="CL64" i="31"/>
  <c r="CT50" i="31"/>
  <c r="CP50" i="31"/>
  <c r="CL50" i="31"/>
  <c r="CH50" i="31"/>
  <c r="CD50" i="31"/>
  <c r="CD64" i="31"/>
  <c r="CW50" i="31"/>
  <c r="CS50" i="31"/>
  <c r="CO50" i="31"/>
  <c r="CK50" i="31"/>
  <c r="CG50" i="31"/>
  <c r="CC50" i="31"/>
  <c r="CN50" i="31"/>
  <c r="CJ50" i="31"/>
  <c r="CR50" i="31"/>
  <c r="CV50" i="31"/>
  <c r="CF50" i="31"/>
  <c r="CU69" i="31"/>
  <c r="CQ69" i="31"/>
  <c r="CM69" i="31"/>
  <c r="CI69" i="31"/>
  <c r="CE69" i="31"/>
  <c r="CT69" i="31"/>
  <c r="CP69" i="31"/>
  <c r="CL69" i="31"/>
  <c r="CH69" i="31"/>
  <c r="CD69" i="31"/>
  <c r="CW69" i="31"/>
  <c r="CO69" i="31"/>
  <c r="CG69" i="31"/>
  <c r="CV55" i="31"/>
  <c r="CR55" i="31"/>
  <c r="CN55" i="31"/>
  <c r="CJ55" i="31"/>
  <c r="CV69" i="31"/>
  <c r="CN69" i="31"/>
  <c r="CF69" i="31"/>
  <c r="CS69" i="31"/>
  <c r="CK69" i="31"/>
  <c r="CC69" i="31"/>
  <c r="CT55" i="31"/>
  <c r="CP55" i="31"/>
  <c r="CL55" i="31"/>
  <c r="CH55" i="31"/>
  <c r="CQ55" i="31"/>
  <c r="CI55" i="31"/>
  <c r="CD55" i="31"/>
  <c r="CR69" i="31"/>
  <c r="CW55" i="31"/>
  <c r="CO55" i="31"/>
  <c r="CG55" i="31"/>
  <c r="CC55" i="31"/>
  <c r="CJ69" i="31"/>
  <c r="CU55" i="31"/>
  <c r="CM55" i="31"/>
  <c r="CF55" i="31"/>
  <c r="CE55" i="31"/>
  <c r="CK55" i="31"/>
  <c r="CS55" i="31"/>
  <c r="CU49" i="31"/>
  <c r="CQ49" i="31"/>
  <c r="CM49" i="31"/>
  <c r="CI49" i="31"/>
  <c r="CE49" i="31"/>
  <c r="CT49" i="31"/>
  <c r="CP49" i="31"/>
  <c r="CL49" i="31"/>
  <c r="CH49" i="31"/>
  <c r="CD49" i="31"/>
  <c r="CW49" i="31"/>
  <c r="CS49" i="31"/>
  <c r="CO49" i="31"/>
  <c r="CK49" i="31"/>
  <c r="CG49" i="31"/>
  <c r="CC49" i="31"/>
  <c r="CV49" i="31"/>
  <c r="CF49" i="31"/>
  <c r="CR49" i="31"/>
  <c r="CJ49" i="31"/>
  <c r="CN49" i="31"/>
  <c r="CT73" i="31"/>
  <c r="CP73" i="31"/>
  <c r="CL73" i="31"/>
  <c r="CH73" i="31"/>
  <c r="CD73" i="31"/>
  <c r="CW73" i="31"/>
  <c r="CS73" i="31"/>
  <c r="CO73" i="31"/>
  <c r="CK73" i="31"/>
  <c r="CG73" i="31"/>
  <c r="CC73" i="31"/>
  <c r="CV73" i="31"/>
  <c r="CN73" i="31"/>
  <c r="CF73" i="31"/>
  <c r="CU59" i="31"/>
  <c r="CQ59" i="31"/>
  <c r="CM59" i="31"/>
  <c r="CI59" i="31"/>
  <c r="CE59" i="31"/>
  <c r="CU73" i="31"/>
  <c r="CM73" i="31"/>
  <c r="CE73" i="31"/>
  <c r="CR73" i="31"/>
  <c r="CJ73" i="31"/>
  <c r="CW59" i="31"/>
  <c r="CS59" i="31"/>
  <c r="CO59" i="31"/>
  <c r="CK59" i="31"/>
  <c r="CG59" i="31"/>
  <c r="CC59" i="31"/>
  <c r="CP59" i="31"/>
  <c r="CH59" i="31"/>
  <c r="CQ73" i="31"/>
  <c r="CV59" i="31"/>
  <c r="CN59" i="31"/>
  <c r="CF59" i="31"/>
  <c r="CI73" i="31"/>
  <c r="CT59" i="31"/>
  <c r="CL59" i="31"/>
  <c r="CD59" i="31"/>
  <c r="CJ59" i="31"/>
  <c r="CR59" i="31"/>
  <c r="CA59" i="31"/>
  <c r="CA73" i="31"/>
  <c r="CA64" i="31"/>
  <c r="CA50" i="31"/>
  <c r="BZ49" i="31"/>
  <c r="CA68" i="31"/>
  <c r="CA54" i="31"/>
  <c r="CA69" i="31"/>
  <c r="CA55" i="31"/>
  <c r="CD45" i="31"/>
  <c r="CX64" i="31"/>
  <c r="CX50" i="31"/>
  <c r="CX74" i="31"/>
  <c r="CX60" i="31"/>
  <c r="CU31" i="31"/>
  <c r="AE45" i="31"/>
  <c r="CT45" i="31"/>
  <c r="CM45" i="31"/>
  <c r="CI45" i="31"/>
  <c r="BZ44" i="31"/>
  <c r="BZ33" i="31"/>
  <c r="AH45" i="31"/>
  <c r="CB74" i="31"/>
  <c r="CB60" i="31"/>
  <c r="CB76" i="31"/>
  <c r="CB62" i="31"/>
  <c r="CB65" i="31"/>
  <c r="CB51" i="31"/>
  <c r="BZ42" i="31"/>
  <c r="CL31" i="31"/>
  <c r="CH31" i="31"/>
  <c r="CE45" i="31"/>
  <c r="AN45" i="31"/>
  <c r="AU45" i="31"/>
  <c r="AV31" i="31"/>
  <c r="AG51" i="31"/>
  <c r="AK51" i="31"/>
  <c r="AO51" i="31"/>
  <c r="AS51" i="31"/>
  <c r="AW51" i="31"/>
  <c r="AH51" i="31"/>
  <c r="AL51" i="31"/>
  <c r="AP51" i="31"/>
  <c r="AT51" i="31"/>
  <c r="AX51" i="31"/>
  <c r="AE51" i="31"/>
  <c r="AM51" i="31"/>
  <c r="AU51" i="31"/>
  <c r="AF65" i="31"/>
  <c r="AJ65" i="31"/>
  <c r="AN65" i="31"/>
  <c r="AR65" i="31"/>
  <c r="AV65" i="31"/>
  <c r="AQ51" i="31"/>
  <c r="AH65" i="31"/>
  <c r="AP65" i="31"/>
  <c r="AT65" i="31"/>
  <c r="AF51" i="31"/>
  <c r="AN51" i="31"/>
  <c r="AV51" i="31"/>
  <c r="AG65" i="31"/>
  <c r="AK65" i="31"/>
  <c r="AO65" i="31"/>
  <c r="AS65" i="31"/>
  <c r="AW65" i="31"/>
  <c r="AI51" i="31"/>
  <c r="AL65" i="31"/>
  <c r="AX65" i="31"/>
  <c r="AE65" i="31"/>
  <c r="AU65" i="31"/>
  <c r="AJ51" i="31"/>
  <c r="AI65" i="31"/>
  <c r="AQ65" i="31"/>
  <c r="AR51" i="31"/>
  <c r="AM65" i="31"/>
  <c r="AG56" i="31"/>
  <c r="AK56" i="31"/>
  <c r="AO56" i="31"/>
  <c r="AS56" i="31"/>
  <c r="AW56" i="31"/>
  <c r="AH56" i="31"/>
  <c r="AL56" i="31"/>
  <c r="AP56" i="31"/>
  <c r="AT56" i="31"/>
  <c r="AX56" i="31"/>
  <c r="AI56" i="31"/>
  <c r="AQ56" i="31"/>
  <c r="AF70" i="31"/>
  <c r="AJ70" i="31"/>
  <c r="AN70" i="31"/>
  <c r="AR70" i="31"/>
  <c r="AV70" i="31"/>
  <c r="AM56" i="31"/>
  <c r="AU56" i="31"/>
  <c r="AJ56" i="31"/>
  <c r="AR56" i="31"/>
  <c r="AG70" i="31"/>
  <c r="AK70" i="31"/>
  <c r="AO70" i="31"/>
  <c r="AS70" i="31"/>
  <c r="AW70" i="31"/>
  <c r="AE56" i="31"/>
  <c r="AH70" i="31"/>
  <c r="AP70" i="31"/>
  <c r="AX70" i="31"/>
  <c r="AV56" i="31"/>
  <c r="AE70" i="31"/>
  <c r="AF56" i="31"/>
  <c r="AI70" i="31"/>
  <c r="AQ70" i="31"/>
  <c r="AU70" i="31"/>
  <c r="AN56" i="31"/>
  <c r="AL70" i="31"/>
  <c r="AT70" i="31"/>
  <c r="AM70" i="31"/>
  <c r="AF60" i="31"/>
  <c r="AJ60" i="31"/>
  <c r="AN60" i="31"/>
  <c r="AR60" i="31"/>
  <c r="AV60" i="31"/>
  <c r="AF74" i="31"/>
  <c r="AJ74" i="31"/>
  <c r="AN74" i="31"/>
  <c r="AR74" i="31"/>
  <c r="AV74" i="31"/>
  <c r="AH60" i="31"/>
  <c r="AP60" i="31"/>
  <c r="AX60" i="31"/>
  <c r="AG60" i="31"/>
  <c r="AK60" i="31"/>
  <c r="AO60" i="31"/>
  <c r="AS60" i="31"/>
  <c r="AW60" i="31"/>
  <c r="AG74" i="31"/>
  <c r="AK74" i="31"/>
  <c r="AO74" i="31"/>
  <c r="AS74" i="31"/>
  <c r="AW74" i="31"/>
  <c r="AL60" i="31"/>
  <c r="AT60" i="31"/>
  <c r="AE60" i="31"/>
  <c r="AU60" i="31"/>
  <c r="AH74" i="31"/>
  <c r="AP74" i="31"/>
  <c r="AX74" i="31"/>
  <c r="AI60" i="31"/>
  <c r="AI74" i="31"/>
  <c r="AQ74" i="31"/>
  <c r="AQ60" i="31"/>
  <c r="AM74" i="31"/>
  <c r="AM60" i="31"/>
  <c r="AL74" i="31"/>
  <c r="AT74" i="31"/>
  <c r="AE74" i="31"/>
  <c r="AU74" i="31"/>
  <c r="AF61" i="31"/>
  <c r="AJ61" i="31"/>
  <c r="AN61" i="31"/>
  <c r="AR61" i="31"/>
  <c r="AV61" i="31"/>
  <c r="AF75" i="31"/>
  <c r="AJ75" i="31"/>
  <c r="AN75" i="31"/>
  <c r="AR75" i="31"/>
  <c r="AV75" i="31"/>
  <c r="AL61" i="31"/>
  <c r="AP61" i="31"/>
  <c r="AG61" i="31"/>
  <c r="AK61" i="31"/>
  <c r="AO61" i="31"/>
  <c r="AS61" i="31"/>
  <c r="AW61" i="31"/>
  <c r="AG75" i="31"/>
  <c r="AK75" i="31"/>
  <c r="AO75" i="31"/>
  <c r="AS75" i="31"/>
  <c r="AW75" i="31"/>
  <c r="AH61" i="31"/>
  <c r="AT61" i="31"/>
  <c r="AX61" i="31"/>
  <c r="AQ61" i="31"/>
  <c r="AL75" i="31"/>
  <c r="AT75" i="31"/>
  <c r="AE61" i="31"/>
  <c r="AU61" i="31"/>
  <c r="AE75" i="31"/>
  <c r="AM75" i="31"/>
  <c r="AU75" i="31"/>
  <c r="AI75" i="31"/>
  <c r="AI61" i="31"/>
  <c r="AH75" i="31"/>
  <c r="AP75" i="31"/>
  <c r="AX75" i="31"/>
  <c r="AM61" i="31"/>
  <c r="AQ75" i="31"/>
  <c r="AJ45" i="31"/>
  <c r="AX31" i="31"/>
  <c r="AL45" i="31"/>
  <c r="AI45" i="31"/>
  <c r="AE31" i="31"/>
  <c r="AK31" i="31"/>
  <c r="AH31" i="31"/>
  <c r="AE50" i="31"/>
  <c r="AI50" i="31"/>
  <c r="AM50" i="31"/>
  <c r="AQ50" i="31"/>
  <c r="AU50" i="31"/>
  <c r="AF50" i="31"/>
  <c r="AJ50" i="31"/>
  <c r="AN50" i="31"/>
  <c r="AR50" i="31"/>
  <c r="AV50" i="31"/>
  <c r="AG50" i="31"/>
  <c r="AO50" i="31"/>
  <c r="AW50" i="31"/>
  <c r="AH50" i="31"/>
  <c r="AP50" i="31"/>
  <c r="AX50" i="31"/>
  <c r="AK50" i="31"/>
  <c r="AF64" i="31"/>
  <c r="AJ64" i="31"/>
  <c r="AN64" i="31"/>
  <c r="AR64" i="31"/>
  <c r="AV64" i="31"/>
  <c r="AS50" i="31"/>
  <c r="AH64" i="31"/>
  <c r="AP64" i="31"/>
  <c r="AL50" i="31"/>
  <c r="AG64" i="31"/>
  <c r="AK64" i="31"/>
  <c r="AO64" i="31"/>
  <c r="AS64" i="31"/>
  <c r="AW64" i="31"/>
  <c r="AL64" i="31"/>
  <c r="AT64" i="31"/>
  <c r="AX64" i="31"/>
  <c r="AT50" i="31"/>
  <c r="AI64" i="31"/>
  <c r="AM64" i="31"/>
  <c r="AE64" i="31"/>
  <c r="AQ64" i="31"/>
  <c r="AU64" i="31"/>
  <c r="AG55" i="31"/>
  <c r="AK55" i="31"/>
  <c r="AO55" i="31"/>
  <c r="AS55" i="31"/>
  <c r="AW55" i="31"/>
  <c r="AH55" i="31"/>
  <c r="AL55" i="31"/>
  <c r="AP55" i="31"/>
  <c r="AT55" i="31"/>
  <c r="AX55" i="31"/>
  <c r="AE55" i="31"/>
  <c r="AM55" i="31"/>
  <c r="AU55" i="31"/>
  <c r="AF69" i="31"/>
  <c r="AJ69" i="31"/>
  <c r="AN69" i="31"/>
  <c r="AR69" i="31"/>
  <c r="AV69" i="31"/>
  <c r="AQ55" i="31"/>
  <c r="AF55" i="31"/>
  <c r="AN55" i="31"/>
  <c r="AV55" i="31"/>
  <c r="AG69" i="31"/>
  <c r="AK69" i="31"/>
  <c r="AO69" i="31"/>
  <c r="AS69" i="31"/>
  <c r="AW69" i="31"/>
  <c r="AI55" i="31"/>
  <c r="AR55" i="31"/>
  <c r="AL69" i="31"/>
  <c r="AT69" i="31"/>
  <c r="AE69" i="31"/>
  <c r="AM69" i="31"/>
  <c r="AU69" i="31"/>
  <c r="AJ55" i="31"/>
  <c r="AQ69" i="31"/>
  <c r="AH69" i="31"/>
  <c r="AP69" i="31"/>
  <c r="AX69" i="31"/>
  <c r="AI69" i="31"/>
  <c r="AE49" i="31"/>
  <c r="AI49" i="31"/>
  <c r="AM49" i="31"/>
  <c r="AQ49" i="31"/>
  <c r="AU49" i="31"/>
  <c r="AF49" i="31"/>
  <c r="AJ49" i="31"/>
  <c r="AN49" i="31"/>
  <c r="AR49" i="31"/>
  <c r="AV49" i="31"/>
  <c r="AK49" i="31"/>
  <c r="AS49" i="31"/>
  <c r="AL49" i="31"/>
  <c r="AT49" i="31"/>
  <c r="AO49" i="31"/>
  <c r="AG49" i="31"/>
  <c r="AP49" i="31"/>
  <c r="AW49" i="31"/>
  <c r="AX49" i="31"/>
  <c r="AH49" i="31"/>
  <c r="AG59" i="31"/>
  <c r="AK59" i="31"/>
  <c r="AH59" i="31"/>
  <c r="AL59" i="31"/>
  <c r="AP59" i="31"/>
  <c r="AE59" i="31"/>
  <c r="AM59" i="31"/>
  <c r="AR59" i="31"/>
  <c r="AV59" i="31"/>
  <c r="AF73" i="31"/>
  <c r="AJ73" i="31"/>
  <c r="AN73" i="31"/>
  <c r="AR73" i="31"/>
  <c r="AV73" i="31"/>
  <c r="AI59" i="31"/>
  <c r="AT59" i="31"/>
  <c r="AF59" i="31"/>
  <c r="AN59" i="31"/>
  <c r="AS59" i="31"/>
  <c r="AW59" i="31"/>
  <c r="AG73" i="31"/>
  <c r="AK73" i="31"/>
  <c r="AO73" i="31"/>
  <c r="AS73" i="31"/>
  <c r="AW73" i="31"/>
  <c r="AO59" i="31"/>
  <c r="AX59" i="31"/>
  <c r="AL73" i="31"/>
  <c r="AT73" i="31"/>
  <c r="AJ59" i="31"/>
  <c r="AE73" i="31"/>
  <c r="AM73" i="31"/>
  <c r="AU73" i="31"/>
  <c r="AI73" i="31"/>
  <c r="AQ59" i="31"/>
  <c r="AH73" i="31"/>
  <c r="AP73" i="31"/>
  <c r="AX73" i="31"/>
  <c r="AU59" i="31"/>
  <c r="AQ73" i="31"/>
  <c r="AJ31" i="31"/>
  <c r="AU31" i="31"/>
  <c r="AQ45" i="31"/>
  <c r="AW45" i="31"/>
  <c r="AV45" i="31"/>
  <c r="AG57" i="31"/>
  <c r="AK57" i="31"/>
  <c r="AO57" i="31"/>
  <c r="AS57" i="31"/>
  <c r="AW57" i="31"/>
  <c r="AH57" i="31"/>
  <c r="AL57" i="31"/>
  <c r="AP57" i="31"/>
  <c r="AT57" i="31"/>
  <c r="AX57" i="31"/>
  <c r="AE57" i="31"/>
  <c r="AM57" i="31"/>
  <c r="AU57" i="31"/>
  <c r="AF71" i="31"/>
  <c r="AJ71" i="31"/>
  <c r="AN71" i="31"/>
  <c r="AR71" i="31"/>
  <c r="AV71" i="31"/>
  <c r="AQ57" i="31"/>
  <c r="AF57" i="31"/>
  <c r="AN57" i="31"/>
  <c r="AV57" i="31"/>
  <c r="AG71" i="31"/>
  <c r="AK71" i="31"/>
  <c r="AO71" i="31"/>
  <c r="AS71" i="31"/>
  <c r="AW71" i="31"/>
  <c r="AI57" i="31"/>
  <c r="AJ57" i="31"/>
  <c r="AL71" i="31"/>
  <c r="AT71" i="31"/>
  <c r="AI71" i="31"/>
  <c r="AR57" i="31"/>
  <c r="AE71" i="31"/>
  <c r="AM71" i="31"/>
  <c r="AU71" i="31"/>
  <c r="AH71" i="31"/>
  <c r="AP71" i="31"/>
  <c r="AX71" i="31"/>
  <c r="AQ71" i="31"/>
  <c r="AF62" i="31"/>
  <c r="AJ62" i="31"/>
  <c r="AN62" i="31"/>
  <c r="AR62" i="31"/>
  <c r="AV62" i="31"/>
  <c r="AF76" i="31"/>
  <c r="AJ76" i="31"/>
  <c r="AN76" i="31"/>
  <c r="AR76" i="31"/>
  <c r="AV76" i="31"/>
  <c r="AH62" i="31"/>
  <c r="AT62" i="31"/>
  <c r="AG62" i="31"/>
  <c r="AK62" i="31"/>
  <c r="AO62" i="31"/>
  <c r="AS62" i="31"/>
  <c r="AW62" i="31"/>
  <c r="AG76" i="31"/>
  <c r="AK76" i="31"/>
  <c r="AO76" i="31"/>
  <c r="AS76" i="31"/>
  <c r="AW76" i="31"/>
  <c r="AL62" i="31"/>
  <c r="AP62" i="31"/>
  <c r="AX62" i="31"/>
  <c r="AM62" i="31"/>
  <c r="AH76" i="31"/>
  <c r="AP76" i="31"/>
  <c r="AX76" i="31"/>
  <c r="AI62" i="31"/>
  <c r="AE76" i="31"/>
  <c r="AQ62" i="31"/>
  <c r="AI76" i="31"/>
  <c r="AQ76" i="31"/>
  <c r="AM76" i="31"/>
  <c r="AE62" i="31"/>
  <c r="AU62" i="31"/>
  <c r="AL76" i="31"/>
  <c r="AT76" i="31"/>
  <c r="AU76" i="31"/>
  <c r="AR45" i="31"/>
  <c r="AN31" i="31"/>
  <c r="AQ31" i="31"/>
  <c r="AF45" i="31"/>
  <c r="AL31" i="31"/>
  <c r="AG52" i="31"/>
  <c r="AK52" i="31"/>
  <c r="AO52" i="31"/>
  <c r="AS52" i="31"/>
  <c r="AW52" i="31"/>
  <c r="AH52" i="31"/>
  <c r="AL52" i="31"/>
  <c r="AP52" i="31"/>
  <c r="AT52" i="31"/>
  <c r="AX52" i="31"/>
  <c r="AI52" i="31"/>
  <c r="AQ52" i="31"/>
  <c r="AF66" i="31"/>
  <c r="AJ66" i="31"/>
  <c r="AN66" i="31"/>
  <c r="AR66" i="31"/>
  <c r="AV66" i="31"/>
  <c r="AM52" i="31"/>
  <c r="AU52" i="31"/>
  <c r="AH66" i="31"/>
  <c r="AL66" i="31"/>
  <c r="AT66" i="31"/>
  <c r="AX66" i="31"/>
  <c r="AJ52" i="31"/>
  <c r="AR52" i="31"/>
  <c r="AG66" i="31"/>
  <c r="AK66" i="31"/>
  <c r="AO66" i="31"/>
  <c r="AS66" i="31"/>
  <c r="AW66" i="31"/>
  <c r="AE52" i="31"/>
  <c r="AP66" i="31"/>
  <c r="AN52" i="31"/>
  <c r="AQ66" i="31"/>
  <c r="AM66" i="31"/>
  <c r="AV52" i="31"/>
  <c r="AE66" i="31"/>
  <c r="AU66" i="31"/>
  <c r="AI66" i="31"/>
  <c r="AF52" i="31"/>
  <c r="AG58" i="31"/>
  <c r="AK58" i="31"/>
  <c r="AO58" i="31"/>
  <c r="AS58" i="31"/>
  <c r="AW58" i="31"/>
  <c r="AH58" i="31"/>
  <c r="AL58" i="31"/>
  <c r="AP58" i="31"/>
  <c r="AT58" i="31"/>
  <c r="AX58" i="31"/>
  <c r="AI58" i="31"/>
  <c r="AQ58" i="31"/>
  <c r="AF72" i="31"/>
  <c r="AJ72" i="31"/>
  <c r="AN72" i="31"/>
  <c r="AR72" i="31"/>
  <c r="AV72" i="31"/>
  <c r="AM58" i="31"/>
  <c r="AJ58" i="31"/>
  <c r="AR58" i="31"/>
  <c r="AG72" i="31"/>
  <c r="AK72" i="31"/>
  <c r="AO72" i="31"/>
  <c r="AS72" i="31"/>
  <c r="AW72" i="31"/>
  <c r="AE58" i="31"/>
  <c r="AU58" i="31"/>
  <c r="AV58" i="31"/>
  <c r="AH72" i="31"/>
  <c r="AP72" i="31"/>
  <c r="AX72" i="31"/>
  <c r="AN58" i="31"/>
  <c r="AU72" i="31"/>
  <c r="AI72" i="31"/>
  <c r="AQ72" i="31"/>
  <c r="AE72" i="31"/>
  <c r="AF58" i="31"/>
  <c r="AL72" i="31"/>
  <c r="AT72" i="31"/>
  <c r="AM72" i="31"/>
  <c r="AG53" i="31"/>
  <c r="AK53" i="31"/>
  <c r="AO53" i="31"/>
  <c r="AS53" i="31"/>
  <c r="AW53" i="31"/>
  <c r="AH53" i="31"/>
  <c r="AL53" i="31"/>
  <c r="AP53" i="31"/>
  <c r="AT53" i="31"/>
  <c r="AX53" i="31"/>
  <c r="AE53" i="31"/>
  <c r="AM53" i="31"/>
  <c r="AU53" i="31"/>
  <c r="AF67" i="31"/>
  <c r="AJ67" i="31"/>
  <c r="AN67" i="31"/>
  <c r="AR67" i="31"/>
  <c r="AV67" i="31"/>
  <c r="AQ53" i="31"/>
  <c r="AL67" i="31"/>
  <c r="AT67" i="31"/>
  <c r="AF53" i="31"/>
  <c r="AN53" i="31"/>
  <c r="AV53" i="31"/>
  <c r="AG67" i="31"/>
  <c r="AK67" i="31"/>
  <c r="AO67" i="31"/>
  <c r="AS67" i="31"/>
  <c r="AW67" i="31"/>
  <c r="AI53" i="31"/>
  <c r="AH67" i="31"/>
  <c r="AP67" i="31"/>
  <c r="AX67" i="31"/>
  <c r="AM67" i="31"/>
  <c r="AQ67" i="31"/>
  <c r="AJ53" i="31"/>
  <c r="AE67" i="31"/>
  <c r="AU67" i="31"/>
  <c r="AR53" i="31"/>
  <c r="AI67" i="31"/>
  <c r="AG54" i="31"/>
  <c r="AK54" i="31"/>
  <c r="AO54" i="31"/>
  <c r="AS54" i="31"/>
  <c r="AW54" i="31"/>
  <c r="AH54" i="31"/>
  <c r="AL54" i="31"/>
  <c r="AP54" i="31"/>
  <c r="AT54" i="31"/>
  <c r="AX54" i="31"/>
  <c r="AI54" i="31"/>
  <c r="AQ54" i="31"/>
  <c r="AF68" i="31"/>
  <c r="AJ68" i="31"/>
  <c r="AN68" i="31"/>
  <c r="AR68" i="31"/>
  <c r="AV68" i="31"/>
  <c r="AE54" i="31"/>
  <c r="AU54" i="31"/>
  <c r="AJ54" i="31"/>
  <c r="AR54" i="31"/>
  <c r="AG68" i="31"/>
  <c r="AK68" i="31"/>
  <c r="AO68" i="31"/>
  <c r="AS68" i="31"/>
  <c r="AW68" i="31"/>
  <c r="AM54" i="31"/>
  <c r="AF54" i="31"/>
  <c r="AH68" i="31"/>
  <c r="AP68" i="31"/>
  <c r="AX68" i="31"/>
  <c r="AU68" i="31"/>
  <c r="AN54" i="31"/>
  <c r="AI68" i="31"/>
  <c r="AQ68" i="31"/>
  <c r="AM68" i="31"/>
  <c r="AV54" i="31"/>
  <c r="AL68" i="31"/>
  <c r="AT68" i="31"/>
  <c r="AE68" i="31"/>
  <c r="AG31" i="31"/>
  <c r="AM31" i="31"/>
  <c r="AW31" i="31"/>
  <c r="AT31" i="31"/>
  <c r="AP31" i="31"/>
  <c r="AI31" i="31"/>
  <c r="AO31" i="31"/>
  <c r="AC37" i="30"/>
  <c r="AB22" i="30"/>
  <c r="AC42" i="30"/>
  <c r="AB19" i="30"/>
  <c r="L19" i="5" s="1"/>
  <c r="AC46" i="30"/>
  <c r="AB10" i="30"/>
  <c r="L10" i="5" s="1"/>
  <c r="AC39" i="30"/>
  <c r="AB11" i="30"/>
  <c r="AC36" i="30"/>
  <c r="AB26" i="30"/>
  <c r="L26" i="5" s="1"/>
  <c r="AC40" i="30"/>
  <c r="AB4" i="30"/>
  <c r="L4" i="5" s="1"/>
  <c r="AC43" i="30"/>
  <c r="AB28" i="30"/>
  <c r="AC33" i="30"/>
  <c r="AB33" i="30" s="1"/>
  <c r="AB13" i="30"/>
  <c r="L13" i="5" s="1"/>
  <c r="AC34" i="30"/>
  <c r="AB14" i="30"/>
  <c r="AC35" i="30"/>
  <c r="AB30" i="30"/>
  <c r="L30" i="5" s="1"/>
  <c r="AC41" i="30"/>
  <c r="AB8" i="30"/>
  <c r="AC32" i="30"/>
  <c r="AB3" i="30"/>
  <c r="L3" i="5" s="1"/>
  <c r="AC44" i="30"/>
  <c r="AB44" i="30" s="1"/>
  <c r="AB15" i="30"/>
  <c r="AC47" i="30"/>
  <c r="AB6" i="30"/>
  <c r="L6" i="5" s="1"/>
  <c r="AL31" i="5"/>
  <c r="AN32" i="5"/>
  <c r="AL32" i="5"/>
  <c r="AL42" i="5"/>
  <c r="AN42" i="5"/>
  <c r="AN40" i="5"/>
  <c r="AL40" i="5"/>
  <c r="AL38" i="5"/>
  <c r="AN38" i="5"/>
  <c r="AN35" i="5"/>
  <c r="AL35" i="5"/>
  <c r="AL33" i="5"/>
  <c r="AN33" i="5"/>
  <c r="FC40" i="18"/>
  <c r="FA40" i="18"/>
  <c r="FA46" i="18"/>
  <c r="FA45" i="18"/>
  <c r="FC46" i="18"/>
  <c r="FC37" i="18"/>
  <c r="FA37" i="18"/>
  <c r="FB49" i="18"/>
  <c r="AN47" i="5"/>
  <c r="AL47" i="5"/>
  <c r="AN37" i="5"/>
  <c r="AL37" i="5"/>
  <c r="FA42" i="18"/>
  <c r="FC42" i="18"/>
  <c r="FA43" i="18"/>
  <c r="FC43" i="18"/>
  <c r="FC33" i="18"/>
  <c r="FA33" i="18"/>
  <c r="FA39" i="18"/>
  <c r="FC39" i="18"/>
  <c r="FC36" i="18"/>
  <c r="FA36" i="18"/>
  <c r="AY44" i="31"/>
  <c r="AN36" i="5"/>
  <c r="AL36" i="5"/>
  <c r="AL34" i="5"/>
  <c r="AN34" i="5"/>
  <c r="AL41" i="5"/>
  <c r="AN41" i="5"/>
  <c r="FC41" i="18"/>
  <c r="FA41" i="18"/>
  <c r="FC38" i="18"/>
  <c r="FA38" i="18"/>
  <c r="FC34" i="18"/>
  <c r="FA34" i="18"/>
  <c r="FA35" i="18"/>
  <c r="FC35" i="18"/>
  <c r="FB46" i="18"/>
  <c r="FB45" i="18"/>
  <c r="AC44" i="31"/>
  <c r="N32" i="5"/>
  <c r="AN39" i="5"/>
  <c r="AL39" i="5"/>
  <c r="AL43" i="5"/>
  <c r="AN43" i="5"/>
  <c r="AN44" i="5"/>
  <c r="AL44" i="5"/>
  <c r="AL46" i="5"/>
  <c r="AN46" i="5"/>
  <c r="AN49" i="5"/>
  <c r="AL49" i="5"/>
  <c r="AZ44" i="31"/>
  <c r="FA44" i="18"/>
  <c r="FC44" i="18"/>
  <c r="FC49" i="18"/>
  <c r="FA49" i="18"/>
  <c r="FC47" i="18"/>
  <c r="FA47" i="18"/>
  <c r="FA31" i="18"/>
  <c r="FC31" i="18"/>
  <c r="FA32" i="18"/>
  <c r="FC32" i="18"/>
  <c r="AD44" i="31"/>
  <c r="FB32" i="18"/>
  <c r="FB31" i="18"/>
  <c r="EM32" i="18"/>
  <c r="EM47" i="18"/>
  <c r="EM34" i="18"/>
  <c r="EM35" i="18"/>
  <c r="EM39" i="18"/>
  <c r="EM41" i="18"/>
  <c r="EM37" i="18"/>
  <c r="EM44" i="18"/>
  <c r="EM46" i="18"/>
  <c r="EM36" i="18"/>
  <c r="EM42" i="18"/>
  <c r="EM40" i="18"/>
  <c r="EM33" i="18"/>
  <c r="EM43" i="18"/>
  <c r="EM49" i="18"/>
  <c r="EM38" i="18"/>
  <c r="CL31" i="18"/>
  <c r="CL32" i="18"/>
  <c r="CN32" i="18"/>
  <c r="CN31" i="18"/>
  <c r="CB31" i="18"/>
  <c r="CI31" i="18"/>
  <c r="CI32" i="18"/>
  <c r="CE32" i="18"/>
  <c r="CE31" i="18"/>
  <c r="CH31" i="18"/>
  <c r="CH32" i="18"/>
  <c r="CJ31" i="18"/>
  <c r="CJ32" i="18"/>
  <c r="CF32" i="18"/>
  <c r="CF31" i="18"/>
  <c r="CC31" i="18"/>
  <c r="CM32" i="18"/>
  <c r="CM31" i="18"/>
  <c r="CG31" i="18"/>
  <c r="CG32" i="18"/>
  <c r="CK32" i="18"/>
  <c r="CK31" i="18"/>
  <c r="AL31" i="18"/>
  <c r="F31" i="18"/>
  <c r="D31" i="18"/>
  <c r="BD44" i="5"/>
  <c r="BE44" i="5" s="1"/>
  <c r="BZ2" i="30"/>
  <c r="CH45" i="18"/>
  <c r="AL45" i="5"/>
  <c r="ET45" i="18"/>
  <c r="ER45" i="18"/>
  <c r="EO45" i="18"/>
  <c r="EL45" i="18"/>
  <c r="EP45" i="18"/>
  <c r="CB45" i="18"/>
  <c r="G31" i="18"/>
  <c r="AS53" i="37"/>
  <c r="AS67" i="37"/>
  <c r="AS54" i="37"/>
  <c r="AS68" i="37"/>
  <c r="AS52" i="37"/>
  <c r="AS66" i="37"/>
  <c r="AV72" i="37"/>
  <c r="AV58" i="37"/>
  <c r="AY33" i="31"/>
  <c r="AY57" i="31"/>
  <c r="AY71" i="31"/>
  <c r="AY43" i="31"/>
  <c r="AY41" i="31"/>
  <c r="AY49" i="31"/>
  <c r="AY32" i="31"/>
  <c r="AY61" i="31"/>
  <c r="AY75" i="31"/>
  <c r="AC59" i="31"/>
  <c r="AC73" i="31"/>
  <c r="AB7" i="31"/>
  <c r="AW7" i="5" s="1"/>
  <c r="AB10" i="31"/>
  <c r="AW10" i="5" s="1"/>
  <c r="AC46" i="31"/>
  <c r="AC50" i="31"/>
  <c r="AB25" i="31"/>
  <c r="AW25" i="5" s="1"/>
  <c r="AC64" i="31"/>
  <c r="L11" i="5"/>
  <c r="AC34" i="31"/>
  <c r="AB14" i="31"/>
  <c r="AW14" i="5" s="1"/>
  <c r="AC62" i="31"/>
  <c r="AC76" i="31"/>
  <c r="AB27" i="31"/>
  <c r="AW27" i="5" s="1"/>
  <c r="L12" i="5"/>
  <c r="L28" i="5"/>
  <c r="AC54" i="31"/>
  <c r="AC68" i="31"/>
  <c r="AB9" i="31"/>
  <c r="AW9" i="5" s="1"/>
  <c r="AC55" i="31"/>
  <c r="AC69" i="31"/>
  <c r="AB24" i="31"/>
  <c r="AW24" i="5" s="1"/>
  <c r="L29" i="5"/>
  <c r="N39" i="5"/>
  <c r="N38" i="5"/>
  <c r="J73" i="5"/>
  <c r="J59" i="5"/>
  <c r="J62" i="5"/>
  <c r="J76" i="5"/>
  <c r="J60" i="5"/>
  <c r="J74" i="5"/>
  <c r="N37" i="5"/>
  <c r="N42" i="5"/>
  <c r="J72" i="5"/>
  <c r="J58" i="5"/>
  <c r="N36" i="5"/>
  <c r="AJ59" i="5"/>
  <c r="AJ73" i="5"/>
  <c r="AJ66" i="5"/>
  <c r="AJ52" i="5"/>
  <c r="AU70" i="5"/>
  <c r="AU56" i="5"/>
  <c r="AU71" i="5"/>
  <c r="AU57" i="5"/>
  <c r="AJ51" i="5"/>
  <c r="AJ65" i="5"/>
  <c r="AY45" i="5"/>
  <c r="AU65" i="5"/>
  <c r="AU51" i="5"/>
  <c r="X68" i="18"/>
  <c r="AI68" i="18" s="1"/>
  <c r="X54" i="18"/>
  <c r="AI54" i="18" s="1"/>
  <c r="X72" i="18"/>
  <c r="AI72" i="18" s="1"/>
  <c r="X58" i="18"/>
  <c r="AI58" i="18" s="1"/>
  <c r="X55" i="18"/>
  <c r="AI55" i="18" s="1"/>
  <c r="X69" i="18"/>
  <c r="AI69" i="18" s="1"/>
  <c r="AI46" i="18"/>
  <c r="AI45" i="18"/>
  <c r="X52" i="18"/>
  <c r="AI52" i="18" s="1"/>
  <c r="X66" i="18"/>
  <c r="AI66" i="18" s="1"/>
  <c r="X64" i="18"/>
  <c r="X50" i="18"/>
  <c r="AI50" i="18" s="1"/>
  <c r="EF73" i="18"/>
  <c r="ET73" i="18" s="1"/>
  <c r="EF59" i="18"/>
  <c r="ET59" i="18" s="1"/>
  <c r="EF51" i="18"/>
  <c r="ET51" i="18" s="1"/>
  <c r="EF65" i="18"/>
  <c r="ET65" i="18" s="1"/>
  <c r="EF57" i="18"/>
  <c r="ET57" i="18" s="1"/>
  <c r="EF71" i="18"/>
  <c r="ET71" i="18" s="1"/>
  <c r="EF61" i="18"/>
  <c r="ET61" i="18" s="1"/>
  <c r="EF75" i="18"/>
  <c r="ET75" i="18" s="1"/>
  <c r="T59" i="18"/>
  <c r="AE59" i="18" s="1"/>
  <c r="T73" i="18"/>
  <c r="AE73" i="18" s="1"/>
  <c r="AE49" i="18"/>
  <c r="EK31" i="18"/>
  <c r="DW76" i="18"/>
  <c r="EK76" i="18" s="1"/>
  <c r="DW62" i="18"/>
  <c r="EK62" i="18" s="1"/>
  <c r="DW58" i="18"/>
  <c r="EK58" i="18" s="1"/>
  <c r="DW72" i="18"/>
  <c r="EK72" i="18" s="1"/>
  <c r="DW55" i="18"/>
  <c r="EK55" i="18" s="1"/>
  <c r="DW69" i="18"/>
  <c r="EK69" i="18" s="1"/>
  <c r="BQ53" i="18"/>
  <c r="CE53" i="18" s="1"/>
  <c r="BQ67" i="18"/>
  <c r="CE67" i="18" s="1"/>
  <c r="BQ76" i="18"/>
  <c r="CE76" i="18" s="1"/>
  <c r="BQ62" i="18"/>
  <c r="CE62" i="18" s="1"/>
  <c r="BW5" i="31"/>
  <c r="BW12" i="31"/>
  <c r="BW20" i="31"/>
  <c r="BW28" i="31"/>
  <c r="BW6" i="31"/>
  <c r="BW13" i="31"/>
  <c r="BW21" i="31"/>
  <c r="BW29" i="31"/>
  <c r="BT3" i="31"/>
  <c r="BT7" i="31"/>
  <c r="BT11" i="31"/>
  <c r="BT14" i="31"/>
  <c r="BT18" i="31"/>
  <c r="BT22" i="31"/>
  <c r="BT26" i="31"/>
  <c r="BT30" i="31"/>
  <c r="BP4" i="31"/>
  <c r="BP8" i="31"/>
  <c r="BP15" i="31"/>
  <c r="BP19" i="31"/>
  <c r="BP23" i="31"/>
  <c r="BP49" i="31" s="1"/>
  <c r="BP27" i="31"/>
  <c r="BL5" i="31"/>
  <c r="BL9" i="31"/>
  <c r="BL12" i="31"/>
  <c r="BL16" i="31"/>
  <c r="BL20" i="31"/>
  <c r="BL24" i="31"/>
  <c r="BL28" i="31"/>
  <c r="BY2" i="31"/>
  <c r="BY6" i="31"/>
  <c r="BY10" i="31"/>
  <c r="BY13" i="31"/>
  <c r="BY17" i="31"/>
  <c r="BY21" i="31"/>
  <c r="BY25" i="31"/>
  <c r="BY29" i="31"/>
  <c r="CX73" i="30"/>
  <c r="CX59" i="30"/>
  <c r="CX34" i="30"/>
  <c r="CX37" i="30"/>
  <c r="CX35" i="30"/>
  <c r="CX41" i="30"/>
  <c r="CX49" i="30"/>
  <c r="BE3" i="31"/>
  <c r="BE7" i="31"/>
  <c r="BE11" i="31"/>
  <c r="BE14" i="31"/>
  <c r="BE18" i="31"/>
  <c r="BE22" i="31"/>
  <c r="BE26" i="31"/>
  <c r="BE30" i="31"/>
  <c r="BD4" i="31"/>
  <c r="BD8" i="31"/>
  <c r="BD15" i="31"/>
  <c r="BD19" i="31"/>
  <c r="BD23" i="31"/>
  <c r="BD27" i="31"/>
  <c r="AZ65" i="30"/>
  <c r="AB65" i="30" s="1"/>
  <c r="L65" i="5" s="1"/>
  <c r="P65" i="5" s="1"/>
  <c r="AZ51" i="30"/>
  <c r="AB51" i="30" s="1"/>
  <c r="AZ34" i="30"/>
  <c r="AZ37" i="30"/>
  <c r="AZ64" i="30"/>
  <c r="AZ50" i="30"/>
  <c r="AB50" i="30" s="1"/>
  <c r="AZ46" i="30"/>
  <c r="AZ74" i="30"/>
  <c r="AB74" i="30" s="1"/>
  <c r="AZ60" i="30"/>
  <c r="AB60" i="30" s="1"/>
  <c r="AZ62" i="30"/>
  <c r="AB62" i="30" s="1"/>
  <c r="AZ76" i="30"/>
  <c r="AB76" i="30" s="1"/>
  <c r="AZ47" i="30"/>
  <c r="AZ46" i="31"/>
  <c r="AZ34" i="31"/>
  <c r="AZ35" i="31"/>
  <c r="AZ64" i="31"/>
  <c r="AZ50" i="31"/>
  <c r="AZ74" i="31"/>
  <c r="AZ60" i="31"/>
  <c r="AZ43" i="31"/>
  <c r="AF45" i="18"/>
  <c r="AF46" i="18"/>
  <c r="AF32" i="18"/>
  <c r="AF31" i="18"/>
  <c r="U75" i="18"/>
  <c r="AF75" i="18" s="1"/>
  <c r="U61" i="18"/>
  <c r="AF61" i="18" s="1"/>
  <c r="EC68" i="18"/>
  <c r="EQ68" i="18" s="1"/>
  <c r="EC54" i="18"/>
  <c r="EQ54" i="18" s="1"/>
  <c r="EC58" i="18"/>
  <c r="EQ58" i="18" s="1"/>
  <c r="EC72" i="18"/>
  <c r="EQ72" i="18" s="1"/>
  <c r="EC57" i="18"/>
  <c r="EQ57" i="18" s="1"/>
  <c r="EC71" i="18"/>
  <c r="EQ71" i="18" s="1"/>
  <c r="O73" i="18"/>
  <c r="Z73" i="18" s="1"/>
  <c r="O59" i="18"/>
  <c r="Z59" i="18" s="1"/>
  <c r="O67" i="18"/>
  <c r="Z67" i="18" s="1"/>
  <c r="O53" i="18"/>
  <c r="Z53" i="18" s="1"/>
  <c r="O60" i="18"/>
  <c r="Z60" i="18" s="1"/>
  <c r="O74" i="18"/>
  <c r="Z74" i="18" s="1"/>
  <c r="O76" i="18"/>
  <c r="Z76" i="18" s="1"/>
  <c r="O62" i="18"/>
  <c r="Z62" i="18" s="1"/>
  <c r="EO31" i="18"/>
  <c r="EA55" i="18"/>
  <c r="EO55" i="18" s="1"/>
  <c r="EA69" i="18"/>
  <c r="EO69" i="18" s="1"/>
  <c r="EA50" i="18"/>
  <c r="EO50" i="18" s="1"/>
  <c r="EA64" i="18"/>
  <c r="EO64" i="18" s="1"/>
  <c r="BU73" i="18"/>
  <c r="CI73" i="18" s="1"/>
  <c r="BU59" i="18"/>
  <c r="CI59" i="18" s="1"/>
  <c r="BV2" i="31"/>
  <c r="BV6" i="31"/>
  <c r="BV10" i="31"/>
  <c r="BV13" i="31"/>
  <c r="BV17" i="31"/>
  <c r="BV21" i="31"/>
  <c r="BV25" i="31"/>
  <c r="BV29" i="31"/>
  <c r="BS9" i="31"/>
  <c r="BS20" i="31"/>
  <c r="BS4" i="31"/>
  <c r="BS19" i="31"/>
  <c r="BS27" i="31"/>
  <c r="BS3" i="31"/>
  <c r="BS24" i="31"/>
  <c r="BO2" i="31"/>
  <c r="BO10" i="31"/>
  <c r="BO17" i="31"/>
  <c r="BO25" i="31"/>
  <c r="BO9" i="31"/>
  <c r="BO16" i="31"/>
  <c r="BO24" i="31"/>
  <c r="BK10" i="31"/>
  <c r="BK8" i="31"/>
  <c r="BK9" i="31"/>
  <c r="BK16" i="31"/>
  <c r="BK24" i="31"/>
  <c r="BK23" i="31"/>
  <c r="BK49" i="31" s="1"/>
  <c r="BH5" i="31"/>
  <c r="BH9" i="31"/>
  <c r="BH12" i="31"/>
  <c r="BH16" i="31"/>
  <c r="BH20" i="31"/>
  <c r="BH24" i="31"/>
  <c r="BH28" i="31"/>
  <c r="AX46" i="5"/>
  <c r="AX45" i="5"/>
  <c r="AT65" i="5"/>
  <c r="AT51" i="5"/>
  <c r="AX39" i="5"/>
  <c r="AX38" i="5"/>
  <c r="AT74" i="5"/>
  <c r="AT60" i="5"/>
  <c r="AX37" i="5"/>
  <c r="K59" i="5"/>
  <c r="O59" i="5" s="1"/>
  <c r="K73" i="5"/>
  <c r="O73" i="5" s="1"/>
  <c r="O49" i="5"/>
  <c r="X73" i="5"/>
  <c r="AC73" i="5" s="1"/>
  <c r="X59" i="5"/>
  <c r="AC59" i="5" s="1"/>
  <c r="AA52" i="5"/>
  <c r="AA66" i="5"/>
  <c r="Y62" i="5"/>
  <c r="Y76" i="5"/>
  <c r="W51" i="5"/>
  <c r="AB51" i="5" s="1"/>
  <c r="W65" i="5"/>
  <c r="AB65" i="5" s="1"/>
  <c r="Z67" i="5"/>
  <c r="Z53" i="5"/>
  <c r="Z55" i="5"/>
  <c r="Z69" i="5"/>
  <c r="X64" i="5"/>
  <c r="X50" i="5"/>
  <c r="AC50" i="5" s="1"/>
  <c r="Y65" i="5"/>
  <c r="Y51" i="5"/>
  <c r="K67" i="5"/>
  <c r="O67" i="5" s="1"/>
  <c r="K53" i="5"/>
  <c r="O53" i="5" s="1"/>
  <c r="Z58" i="5"/>
  <c r="Z72" i="5"/>
  <c r="X57" i="5"/>
  <c r="AC57" i="5" s="1"/>
  <c r="X71" i="5"/>
  <c r="AC71" i="5" s="1"/>
  <c r="W60" i="5"/>
  <c r="AB60" i="5" s="1"/>
  <c r="W74" i="5"/>
  <c r="AB74" i="5" s="1"/>
  <c r="AA71" i="5"/>
  <c r="AA57" i="5"/>
  <c r="AA68" i="5"/>
  <c r="AA54" i="5"/>
  <c r="X76" i="5"/>
  <c r="AC76" i="5" s="1"/>
  <c r="X62" i="5"/>
  <c r="AC62" i="5" s="1"/>
  <c r="Y73" i="5"/>
  <c r="Y59" i="5"/>
  <c r="X60" i="5"/>
  <c r="AC60" i="5" s="1"/>
  <c r="X74" i="5"/>
  <c r="AC74" i="5" s="1"/>
  <c r="X69" i="5"/>
  <c r="AC69" i="5" s="1"/>
  <c r="X55" i="5"/>
  <c r="AC55" i="5" s="1"/>
  <c r="AK60" i="5"/>
  <c r="AM60" i="5" s="1"/>
  <c r="AK74" i="5"/>
  <c r="AM74" i="5" s="1"/>
  <c r="AK65" i="5"/>
  <c r="AM65" i="5" s="1"/>
  <c r="AK51" i="5"/>
  <c r="AM51" i="5" s="1"/>
  <c r="BD67" i="5"/>
  <c r="BE67" i="5" s="1"/>
  <c r="BD53" i="5"/>
  <c r="BE53" i="5" s="1"/>
  <c r="BD64" i="5"/>
  <c r="BE64" i="5" s="1"/>
  <c r="BD50" i="5"/>
  <c r="BE50" i="5" s="1"/>
  <c r="BN58" i="18"/>
  <c r="CB58" i="18" s="1"/>
  <c r="BN72" i="18"/>
  <c r="CB72" i="18" s="1"/>
  <c r="BN66" i="18"/>
  <c r="CB66" i="18" s="1"/>
  <c r="BN52" i="18"/>
  <c r="CB52" i="18" s="1"/>
  <c r="BN61" i="18"/>
  <c r="CB61" i="18" s="1"/>
  <c r="BN75" i="18"/>
  <c r="CB75" i="18" s="1"/>
  <c r="DT53" i="18"/>
  <c r="EH53" i="18" s="1"/>
  <c r="DT67" i="18"/>
  <c r="EH67" i="18" s="1"/>
  <c r="DT58" i="18"/>
  <c r="EH58" i="18" s="1"/>
  <c r="DT72" i="18"/>
  <c r="EH72" i="18" s="1"/>
  <c r="EY68" i="18"/>
  <c r="EY54" i="18"/>
  <c r="EY76" i="18"/>
  <c r="EY62" i="18"/>
  <c r="DT66" i="18"/>
  <c r="EH66" i="18" s="1"/>
  <c r="DT52" i="18"/>
  <c r="EH52" i="18" s="1"/>
  <c r="EY53" i="18"/>
  <c r="EY67" i="18"/>
  <c r="EY57" i="18"/>
  <c r="EY71" i="18"/>
  <c r="Q51" i="18"/>
  <c r="AB51" i="18" s="1"/>
  <c r="Q65" i="18"/>
  <c r="AB65" i="18" s="1"/>
  <c r="Q59" i="18"/>
  <c r="AB59" i="18" s="1"/>
  <c r="Q73" i="18"/>
  <c r="AB73" i="18" s="1"/>
  <c r="DX53" i="18"/>
  <c r="EL53" i="18" s="1"/>
  <c r="DX67" i="18"/>
  <c r="EL67" i="18" s="1"/>
  <c r="DX65" i="18"/>
  <c r="EL65" i="18" s="1"/>
  <c r="DX51" i="18"/>
  <c r="EL51" i="18" s="1"/>
  <c r="DX72" i="18"/>
  <c r="EL72" i="18" s="1"/>
  <c r="DX58" i="18"/>
  <c r="EL58" i="18" s="1"/>
  <c r="BR59" i="18"/>
  <c r="CF59" i="18" s="1"/>
  <c r="BR73" i="18"/>
  <c r="CF73" i="18" s="1"/>
  <c r="CF45" i="18"/>
  <c r="BR68" i="18"/>
  <c r="CF68" i="18" s="1"/>
  <c r="BR54" i="18"/>
  <c r="CF54" i="18" s="1"/>
  <c r="P59" i="18"/>
  <c r="AA59" i="18" s="1"/>
  <c r="P73" i="18"/>
  <c r="AA73" i="18" s="1"/>
  <c r="EP31" i="18"/>
  <c r="EB62" i="18"/>
  <c r="EP62" i="18" s="1"/>
  <c r="EB76" i="18"/>
  <c r="EP76" i="18" s="1"/>
  <c r="EB58" i="18"/>
  <c r="EP58" i="18" s="1"/>
  <c r="EB72" i="18"/>
  <c r="EP72" i="18" s="1"/>
  <c r="EB69" i="18"/>
  <c r="EP69" i="18" s="1"/>
  <c r="EB55" i="18"/>
  <c r="EP55" i="18" s="1"/>
  <c r="BV54" i="18"/>
  <c r="CJ54" i="18" s="1"/>
  <c r="BV68" i="18"/>
  <c r="CJ68" i="18" s="1"/>
  <c r="BU3" i="31"/>
  <c r="BU7" i="31"/>
  <c r="BU11" i="31"/>
  <c r="BU14" i="31"/>
  <c r="BU18" i="31"/>
  <c r="BU22" i="31"/>
  <c r="BU26" i="31"/>
  <c r="BU30" i="31"/>
  <c r="BR2" i="31"/>
  <c r="BR6" i="31"/>
  <c r="BR10" i="31"/>
  <c r="BR13" i="31"/>
  <c r="BR17" i="31"/>
  <c r="BR21" i="31"/>
  <c r="BR25" i="31"/>
  <c r="BR29" i="31"/>
  <c r="BN2" i="31"/>
  <c r="BN6" i="31"/>
  <c r="BN10" i="31"/>
  <c r="BN46" i="31" s="1"/>
  <c r="BN13" i="31"/>
  <c r="BN17" i="31"/>
  <c r="BN21" i="31"/>
  <c r="BN25" i="31"/>
  <c r="BN29" i="31"/>
  <c r="BJ3" i="31"/>
  <c r="BJ7" i="31"/>
  <c r="BJ11" i="31"/>
  <c r="BJ14" i="31"/>
  <c r="BJ18" i="31"/>
  <c r="BJ22" i="31"/>
  <c r="BJ26" i="31"/>
  <c r="BJ30" i="31"/>
  <c r="BG7" i="31"/>
  <c r="BG14" i="31"/>
  <c r="BG22" i="31"/>
  <c r="BG30" i="31"/>
  <c r="BG8" i="31"/>
  <c r="BG15" i="31"/>
  <c r="BG23" i="31"/>
  <c r="BG49" i="31" s="1"/>
  <c r="BC3" i="31"/>
  <c r="BC7" i="31"/>
  <c r="BC24" i="31"/>
  <c r="BC8" i="31"/>
  <c r="BC15" i="31"/>
  <c r="BC23" i="31"/>
  <c r="BC49" i="31" s="1"/>
  <c r="BC14" i="31"/>
  <c r="N40" i="18"/>
  <c r="Y40" i="18" s="1"/>
  <c r="N4" i="18"/>
  <c r="N41" i="18"/>
  <c r="Y41" i="18" s="1"/>
  <c r="N8" i="18"/>
  <c r="N44" i="18"/>
  <c r="Y44" i="18" s="1"/>
  <c r="N15" i="18"/>
  <c r="N42" i="18"/>
  <c r="Y42" i="18" s="1"/>
  <c r="N19" i="18"/>
  <c r="N23" i="18"/>
  <c r="N27" i="18"/>
  <c r="BB3" i="31"/>
  <c r="BB7" i="31"/>
  <c r="BB11" i="31"/>
  <c r="BA11" i="31" s="1"/>
  <c r="BB14" i="31"/>
  <c r="BB18" i="31"/>
  <c r="BB22" i="31"/>
  <c r="BB26" i="31"/>
  <c r="BB30" i="31"/>
  <c r="BP3" i="18"/>
  <c r="BP7" i="18"/>
  <c r="BP11" i="18"/>
  <c r="BP14" i="18"/>
  <c r="BP18" i="18"/>
  <c r="BP22" i="18"/>
  <c r="BP26" i="18"/>
  <c r="BP30" i="18"/>
  <c r="BZ17" i="31"/>
  <c r="DV17" i="18" s="1"/>
  <c r="BZ27" i="31"/>
  <c r="DV27" i="18" s="1"/>
  <c r="BZ18" i="31"/>
  <c r="DV18" i="18" s="1"/>
  <c r="BZ26" i="31"/>
  <c r="DV26" i="18" s="1"/>
  <c r="BZ6" i="31"/>
  <c r="DV6" i="18" s="1"/>
  <c r="BZ10" i="31"/>
  <c r="DV10" i="18" s="1"/>
  <c r="BZ13" i="31"/>
  <c r="DV13" i="18" s="1"/>
  <c r="AD67" i="31"/>
  <c r="AD53" i="31"/>
  <c r="AD70" i="31"/>
  <c r="AD56" i="31"/>
  <c r="AD42" i="31"/>
  <c r="AD40" i="31"/>
  <c r="AD34" i="31"/>
  <c r="AD35" i="31"/>
  <c r="AD47" i="31"/>
  <c r="AD65" i="31"/>
  <c r="AD51" i="31"/>
  <c r="AV70" i="5"/>
  <c r="AZ70" i="5" s="1"/>
  <c r="AV56" i="5"/>
  <c r="AZ56" i="5" s="1"/>
  <c r="AV71" i="5"/>
  <c r="AZ71" i="5" s="1"/>
  <c r="AV57" i="5"/>
  <c r="AZ57" i="5" s="1"/>
  <c r="AZ46" i="5"/>
  <c r="AZ45" i="5"/>
  <c r="AV65" i="5"/>
  <c r="AV51" i="5"/>
  <c r="AZ51" i="5" s="1"/>
  <c r="BO72" i="18"/>
  <c r="CC72" i="18" s="1"/>
  <c r="BO58" i="18"/>
  <c r="CC58" i="18" s="1"/>
  <c r="BO52" i="18"/>
  <c r="CC52" i="18" s="1"/>
  <c r="BO66" i="18"/>
  <c r="CC66" i="18" s="1"/>
  <c r="BO75" i="18"/>
  <c r="CC75" i="18" s="1"/>
  <c r="BO61" i="18"/>
  <c r="CC61" i="18" s="1"/>
  <c r="EZ61" i="18"/>
  <c r="FB61" i="18" s="1"/>
  <c r="EZ75" i="18"/>
  <c r="FB75" i="18" s="1"/>
  <c r="EZ76" i="18"/>
  <c r="FB76" i="18" s="1"/>
  <c r="EZ62" i="18"/>
  <c r="FB62" i="18" s="1"/>
  <c r="W60" i="18"/>
  <c r="AH60" i="18" s="1"/>
  <c r="W74" i="18"/>
  <c r="AH74" i="18" s="1"/>
  <c r="W58" i="18"/>
  <c r="AH58" i="18" s="1"/>
  <c r="W72" i="18"/>
  <c r="AH72" i="18" s="1"/>
  <c r="W65" i="18"/>
  <c r="AH65" i="18" s="1"/>
  <c r="W51" i="18"/>
  <c r="AH51" i="18" s="1"/>
  <c r="W57" i="18"/>
  <c r="AH57" i="18" s="1"/>
  <c r="W71" i="18"/>
  <c r="AH71" i="18" s="1"/>
  <c r="ED59" i="18"/>
  <c r="ER59" i="18" s="1"/>
  <c r="ED73" i="18"/>
  <c r="ER73" i="18" s="1"/>
  <c r="ED58" i="18"/>
  <c r="ER58" i="18" s="1"/>
  <c r="ED72" i="18"/>
  <c r="ER72" i="18" s="1"/>
  <c r="ED71" i="18"/>
  <c r="ER71" i="18" s="1"/>
  <c r="ED57" i="18"/>
  <c r="ER57" i="18" s="1"/>
  <c r="BX54" i="18"/>
  <c r="CL54" i="18" s="1"/>
  <c r="BX68" i="18"/>
  <c r="CL68" i="18" s="1"/>
  <c r="DZ55" i="18"/>
  <c r="EN55" i="18" s="1"/>
  <c r="DZ69" i="18"/>
  <c r="EN69" i="18" s="1"/>
  <c r="DZ53" i="18"/>
  <c r="EN53" i="18" s="1"/>
  <c r="DZ67" i="18"/>
  <c r="EN67" i="18" s="1"/>
  <c r="DZ60" i="18"/>
  <c r="EN60" i="18" s="1"/>
  <c r="DZ74" i="18"/>
  <c r="EN74" i="18" s="1"/>
  <c r="R54" i="18"/>
  <c r="AC54" i="18" s="1"/>
  <c r="R68" i="18"/>
  <c r="AC68" i="18" s="1"/>
  <c r="R58" i="18"/>
  <c r="AC58" i="18" s="1"/>
  <c r="R72" i="18"/>
  <c r="AC72" i="18" s="1"/>
  <c r="R55" i="18"/>
  <c r="AC55" i="18" s="1"/>
  <c r="R69" i="18"/>
  <c r="AC69" i="18" s="1"/>
  <c r="DY54" i="18"/>
  <c r="DY68" i="18"/>
  <c r="DY59" i="18"/>
  <c r="DY73" i="18"/>
  <c r="DY56" i="18"/>
  <c r="DY70" i="18"/>
  <c r="DY76" i="18"/>
  <c r="DY62" i="18"/>
  <c r="BX5" i="31"/>
  <c r="BX9" i="31"/>
  <c r="BX12" i="31"/>
  <c r="BX16" i="31"/>
  <c r="BX20" i="31"/>
  <c r="BX24" i="31"/>
  <c r="BX28" i="31"/>
  <c r="CW53" i="30"/>
  <c r="CW67" i="30"/>
  <c r="CW54" i="30"/>
  <c r="CW68" i="30"/>
  <c r="CW74" i="30"/>
  <c r="CW60" i="30"/>
  <c r="CW58" i="30"/>
  <c r="CW72" i="30"/>
  <c r="CW70" i="30"/>
  <c r="CW56" i="30"/>
  <c r="CW69" i="30"/>
  <c r="CW55" i="30"/>
  <c r="CW43" i="30"/>
  <c r="BQ4" i="31"/>
  <c r="BQ8" i="31"/>
  <c r="BQ15" i="31"/>
  <c r="BQ19" i="31"/>
  <c r="BQ23" i="31"/>
  <c r="BQ49" i="31" s="1"/>
  <c r="BQ27" i="31"/>
  <c r="BM4" i="31"/>
  <c r="BM8" i="31"/>
  <c r="BM15" i="31"/>
  <c r="BM19" i="31"/>
  <c r="BM23" i="31"/>
  <c r="BM49" i="31" s="1"/>
  <c r="BM27" i="31"/>
  <c r="BI4" i="31"/>
  <c r="BI8" i="31"/>
  <c r="BI15" i="31"/>
  <c r="BI19" i="31"/>
  <c r="BI23" i="31"/>
  <c r="BI49" i="31" s="1"/>
  <c r="BI27" i="31"/>
  <c r="BF5" i="31"/>
  <c r="BF9" i="31"/>
  <c r="BF12" i="31"/>
  <c r="BF16" i="31"/>
  <c r="BF20" i="31"/>
  <c r="BF24" i="31"/>
  <c r="BF28" i="31"/>
  <c r="BY73" i="18"/>
  <c r="CM73" i="18" s="1"/>
  <c r="BY59" i="18"/>
  <c r="CM59" i="18" s="1"/>
  <c r="AS58" i="37"/>
  <c r="AS72" i="37"/>
  <c r="AS51" i="37"/>
  <c r="AS65" i="37"/>
  <c r="AS50" i="37"/>
  <c r="AS64" i="37"/>
  <c r="AS57" i="37"/>
  <c r="AS71" i="37"/>
  <c r="AV67" i="37"/>
  <c r="AV53" i="37"/>
  <c r="AV68" i="37"/>
  <c r="AV54" i="37"/>
  <c r="AV66" i="37"/>
  <c r="AV52" i="37"/>
  <c r="AV31" i="37"/>
  <c r="AS31" i="37"/>
  <c r="AY38" i="31"/>
  <c r="AY52" i="31"/>
  <c r="AY66" i="31"/>
  <c r="AY58" i="31"/>
  <c r="AY72" i="31"/>
  <c r="AY53" i="31"/>
  <c r="AY67" i="31"/>
  <c r="AY62" i="31"/>
  <c r="AY76" i="31"/>
  <c r="AY59" i="31"/>
  <c r="AY73" i="31"/>
  <c r="AY37" i="31"/>
  <c r="AC37" i="31"/>
  <c r="AB22" i="31"/>
  <c r="AW22" i="5" s="1"/>
  <c r="AC33" i="31"/>
  <c r="AB13" i="31"/>
  <c r="AW13" i="5" s="1"/>
  <c r="AC57" i="31"/>
  <c r="AC71" i="31"/>
  <c r="AB29" i="31"/>
  <c r="AW29" i="5" s="1"/>
  <c r="L14" i="5"/>
  <c r="L8" i="5"/>
  <c r="L23" i="5"/>
  <c r="AC35" i="31"/>
  <c r="AB30" i="31"/>
  <c r="AW30" i="5" s="1"/>
  <c r="AB15" i="31"/>
  <c r="AW15" i="5" s="1"/>
  <c r="L16" i="5"/>
  <c r="AC39" i="31"/>
  <c r="AB11" i="31"/>
  <c r="AW11" i="5" s="1"/>
  <c r="AC60" i="31"/>
  <c r="AC74" i="31"/>
  <c r="AB12" i="31"/>
  <c r="AW12" i="5" s="1"/>
  <c r="AB28" i="31"/>
  <c r="AW28" i="5" s="1"/>
  <c r="AC43" i="31"/>
  <c r="L17" i="5"/>
  <c r="J70" i="5"/>
  <c r="J56" i="5"/>
  <c r="J67" i="5"/>
  <c r="J53" i="5"/>
  <c r="J44" i="5"/>
  <c r="N31" i="5" s="1"/>
  <c r="N47" i="5"/>
  <c r="J55" i="5"/>
  <c r="J69" i="5"/>
  <c r="N34" i="5"/>
  <c r="N41" i="5"/>
  <c r="N43" i="5"/>
  <c r="AJ68" i="5"/>
  <c r="AJ54" i="5"/>
  <c r="AU54" i="5"/>
  <c r="AU68" i="5"/>
  <c r="AJ70" i="5"/>
  <c r="AJ56" i="5"/>
  <c r="AJ71" i="5"/>
  <c r="AJ57" i="5"/>
  <c r="AJ74" i="5"/>
  <c r="AJ60" i="5"/>
  <c r="AU74" i="5"/>
  <c r="AU60" i="5"/>
  <c r="AI32" i="18"/>
  <c r="AI31" i="18"/>
  <c r="X61" i="18"/>
  <c r="AI61" i="18" s="1"/>
  <c r="X75" i="18"/>
  <c r="AI75" i="18" s="1"/>
  <c r="X76" i="18"/>
  <c r="AI76" i="18" s="1"/>
  <c r="X62" i="18"/>
  <c r="AI62" i="18" s="1"/>
  <c r="EF54" i="18"/>
  <c r="ET54" i="18" s="1"/>
  <c r="EF68" i="18"/>
  <c r="ET68" i="18" s="1"/>
  <c r="EF56" i="18"/>
  <c r="ET56" i="18" s="1"/>
  <c r="EF70" i="18"/>
  <c r="ET70" i="18" s="1"/>
  <c r="T68" i="18"/>
  <c r="AE68" i="18" s="1"/>
  <c r="T54" i="18"/>
  <c r="AE54" i="18" s="1"/>
  <c r="T72" i="18"/>
  <c r="AE72" i="18" s="1"/>
  <c r="T58" i="18"/>
  <c r="AE58" i="18" s="1"/>
  <c r="T55" i="18"/>
  <c r="AE55" i="18" s="1"/>
  <c r="T69" i="18"/>
  <c r="AE69" i="18" s="1"/>
  <c r="AE46" i="18"/>
  <c r="AE45" i="18"/>
  <c r="T52" i="18"/>
  <c r="AE52" i="18" s="1"/>
  <c r="T66" i="18"/>
  <c r="AE66" i="18" s="1"/>
  <c r="T64" i="18"/>
  <c r="T50" i="18"/>
  <c r="AE50" i="18" s="1"/>
  <c r="DW67" i="18"/>
  <c r="EK67" i="18" s="1"/>
  <c r="DW53" i="18"/>
  <c r="EK53" i="18" s="1"/>
  <c r="DW60" i="18"/>
  <c r="EK60" i="18" s="1"/>
  <c r="DW74" i="18"/>
  <c r="EK74" i="18" s="1"/>
  <c r="DW65" i="18"/>
  <c r="EK65" i="18" s="1"/>
  <c r="DW51" i="18"/>
  <c r="EK51" i="18" s="1"/>
  <c r="DW57" i="18"/>
  <c r="EK57" i="18" s="1"/>
  <c r="DW71" i="18"/>
  <c r="EK71" i="18" s="1"/>
  <c r="DW75" i="18"/>
  <c r="EK75" i="18" s="1"/>
  <c r="DW61" i="18"/>
  <c r="EK61" i="18" s="1"/>
  <c r="BQ54" i="18"/>
  <c r="CE54" i="18" s="1"/>
  <c r="BQ68" i="18"/>
  <c r="CE68" i="18" s="1"/>
  <c r="BQ73" i="18"/>
  <c r="CE73" i="18" s="1"/>
  <c r="BQ59" i="18"/>
  <c r="CE59" i="18" s="1"/>
  <c r="BQ74" i="18"/>
  <c r="CE74" i="18" s="1"/>
  <c r="BQ60" i="18"/>
  <c r="CE60" i="18" s="1"/>
  <c r="BQ65" i="18"/>
  <c r="CE65" i="18" s="1"/>
  <c r="BQ51" i="18"/>
  <c r="CE51" i="18" s="1"/>
  <c r="BQ71" i="18"/>
  <c r="CE71" i="18" s="1"/>
  <c r="BQ57" i="18"/>
  <c r="CE57" i="18" s="1"/>
  <c r="BW7" i="31"/>
  <c r="BW14" i="31"/>
  <c r="BW22" i="31"/>
  <c r="BW30" i="31"/>
  <c r="BW8" i="31"/>
  <c r="BW15" i="31"/>
  <c r="BW23" i="31"/>
  <c r="BT4" i="31"/>
  <c r="BT8" i="31"/>
  <c r="BT15" i="31"/>
  <c r="BT19" i="31"/>
  <c r="BT23" i="31"/>
  <c r="BT49" i="31" s="1"/>
  <c r="BT27" i="31"/>
  <c r="BP5" i="31"/>
  <c r="BP9" i="31"/>
  <c r="BP12" i="31"/>
  <c r="BP16" i="31"/>
  <c r="BP20" i="31"/>
  <c r="BP24" i="31"/>
  <c r="BP28" i="31"/>
  <c r="BL2" i="31"/>
  <c r="BL6" i="31"/>
  <c r="BL10" i="31"/>
  <c r="BL13" i="31"/>
  <c r="BL17" i="31"/>
  <c r="BL21" i="31"/>
  <c r="BL25" i="31"/>
  <c r="BL29" i="31"/>
  <c r="BY3" i="31"/>
  <c r="BY7" i="31"/>
  <c r="BY11" i="31"/>
  <c r="BY14" i="31"/>
  <c r="BA14" i="31" s="1"/>
  <c r="BY18" i="31"/>
  <c r="BY22" i="31"/>
  <c r="BY26" i="31"/>
  <c r="BY30" i="31"/>
  <c r="CX68" i="30"/>
  <c r="CX54" i="30"/>
  <c r="CX72" i="30"/>
  <c r="CX58" i="30"/>
  <c r="CX55" i="30"/>
  <c r="CX69" i="30"/>
  <c r="CX38" i="30"/>
  <c r="CX46" i="30"/>
  <c r="CX66" i="30"/>
  <c r="CX52" i="30"/>
  <c r="CX64" i="30"/>
  <c r="CX50" i="30"/>
  <c r="BE4" i="31"/>
  <c r="BE8" i="31"/>
  <c r="BE15" i="31"/>
  <c r="BE19" i="31"/>
  <c r="BE23" i="31"/>
  <c r="BE27" i="31"/>
  <c r="BD5" i="31"/>
  <c r="BD9" i="31"/>
  <c r="BD12" i="31"/>
  <c r="BD16" i="31"/>
  <c r="BD20" i="31"/>
  <c r="BD24" i="31"/>
  <c r="BD28" i="31"/>
  <c r="AZ38" i="30"/>
  <c r="AB38" i="30" s="1"/>
  <c r="AZ66" i="30"/>
  <c r="AB66" i="30" s="1"/>
  <c r="AZ52" i="30"/>
  <c r="AB52" i="30" s="1"/>
  <c r="AZ42" i="30"/>
  <c r="AZ40" i="30"/>
  <c r="AZ41" i="30"/>
  <c r="AZ70" i="30"/>
  <c r="AB70" i="30" s="1"/>
  <c r="AZ56" i="30"/>
  <c r="AB56" i="30" s="1"/>
  <c r="AZ67" i="30"/>
  <c r="AB67" i="30" s="1"/>
  <c r="AZ53" i="30"/>
  <c r="AB53" i="30" s="1"/>
  <c r="AZ32" i="31"/>
  <c r="AZ75" i="31"/>
  <c r="AZ61" i="31"/>
  <c r="AZ71" i="31"/>
  <c r="AZ57" i="31"/>
  <c r="AZ72" i="31"/>
  <c r="AZ58" i="31"/>
  <c r="AZ40" i="31"/>
  <c r="AZ42" i="31"/>
  <c r="EG45" i="18"/>
  <c r="U51" i="18"/>
  <c r="AF51" i="18" s="1"/>
  <c r="U65" i="18"/>
  <c r="AF65" i="18" s="1"/>
  <c r="U52" i="18"/>
  <c r="AF52" i="18" s="1"/>
  <c r="U66" i="18"/>
  <c r="AF66" i="18" s="1"/>
  <c r="U67" i="18"/>
  <c r="AF67" i="18" s="1"/>
  <c r="U53" i="18"/>
  <c r="AF53" i="18" s="1"/>
  <c r="U74" i="18"/>
  <c r="AF74" i="18" s="1"/>
  <c r="U60" i="18"/>
  <c r="AF60" i="18" s="1"/>
  <c r="U56" i="18"/>
  <c r="AF56" i="18" s="1"/>
  <c r="U70" i="18"/>
  <c r="AF70" i="18" s="1"/>
  <c r="EC59" i="18"/>
  <c r="EQ59" i="18" s="1"/>
  <c r="EC73" i="18"/>
  <c r="EQ73" i="18" s="1"/>
  <c r="EC74" i="18"/>
  <c r="EQ74" i="18" s="1"/>
  <c r="EC60" i="18"/>
  <c r="EQ60" i="18" s="1"/>
  <c r="EC69" i="18"/>
  <c r="EQ69" i="18" s="1"/>
  <c r="EC55" i="18"/>
  <c r="EQ55" i="18" s="1"/>
  <c r="EC66" i="18"/>
  <c r="EQ66" i="18" s="1"/>
  <c r="EC52" i="18"/>
  <c r="EQ52" i="18" s="1"/>
  <c r="BW73" i="18"/>
  <c r="CK73" i="18" s="1"/>
  <c r="BW59" i="18"/>
  <c r="CK59" i="18" s="1"/>
  <c r="O68" i="18"/>
  <c r="Z68" i="18" s="1"/>
  <c r="O54" i="18"/>
  <c r="Z54" i="18" s="1"/>
  <c r="O56" i="18"/>
  <c r="Z56" i="18" s="1"/>
  <c r="O70" i="18"/>
  <c r="Z70" i="18" s="1"/>
  <c r="O75" i="18"/>
  <c r="Z75" i="18" s="1"/>
  <c r="O61" i="18"/>
  <c r="Z61" i="18" s="1"/>
  <c r="O65" i="18"/>
  <c r="Z65" i="18" s="1"/>
  <c r="O51" i="18"/>
  <c r="Z51" i="18" s="1"/>
  <c r="O57" i="18"/>
  <c r="Z57" i="18" s="1"/>
  <c r="O71" i="18"/>
  <c r="Z71" i="18" s="1"/>
  <c r="EA53" i="18"/>
  <c r="EO53" i="18" s="1"/>
  <c r="EA67" i="18"/>
  <c r="EO67" i="18" s="1"/>
  <c r="EA60" i="18"/>
  <c r="EO60" i="18" s="1"/>
  <c r="EA74" i="18"/>
  <c r="EO74" i="18" s="1"/>
  <c r="EA57" i="18"/>
  <c r="EO57" i="18" s="1"/>
  <c r="EA71" i="18"/>
  <c r="EO71" i="18" s="1"/>
  <c r="BV3" i="31"/>
  <c r="BV7" i="31"/>
  <c r="BV11" i="31"/>
  <c r="BV14" i="31"/>
  <c r="BV18" i="31"/>
  <c r="BV22" i="31"/>
  <c r="BV26" i="31"/>
  <c r="BV30" i="31"/>
  <c r="BS11" i="31"/>
  <c r="BS28" i="31"/>
  <c r="BS6" i="31"/>
  <c r="BS13" i="31"/>
  <c r="BS21" i="31"/>
  <c r="BS29" i="31"/>
  <c r="BS5" i="31"/>
  <c r="BS26" i="31"/>
  <c r="BO4" i="31"/>
  <c r="BO19" i="31"/>
  <c r="BO27" i="31"/>
  <c r="BO3" i="31"/>
  <c r="BO11" i="31"/>
  <c r="BO18" i="31"/>
  <c r="BO26" i="31"/>
  <c r="BK19" i="31"/>
  <c r="BK13" i="31"/>
  <c r="BK3" i="31"/>
  <c r="BK11" i="31"/>
  <c r="BK18" i="31"/>
  <c r="BK26" i="31"/>
  <c r="BK15" i="31"/>
  <c r="BH2" i="31"/>
  <c r="BH6" i="31"/>
  <c r="BH10" i="31"/>
  <c r="BH46" i="31" s="1"/>
  <c r="BH13" i="31"/>
  <c r="BH17" i="31"/>
  <c r="BH21" i="31"/>
  <c r="BH25" i="31"/>
  <c r="BH29" i="31"/>
  <c r="AX33" i="5"/>
  <c r="AX49" i="5"/>
  <c r="AX32" i="5"/>
  <c r="AX31" i="5"/>
  <c r="AT69" i="5"/>
  <c r="AT55" i="5"/>
  <c r="AX40" i="5"/>
  <c r="AX34" i="5"/>
  <c r="AT53" i="5"/>
  <c r="AT67" i="5"/>
  <c r="AX44" i="5"/>
  <c r="AT64" i="5"/>
  <c r="AT50" i="5"/>
  <c r="K70" i="5"/>
  <c r="O70" i="5" s="1"/>
  <c r="K56" i="5"/>
  <c r="O56" i="5" s="1"/>
  <c r="O46" i="5"/>
  <c r="K71" i="5"/>
  <c r="O71" i="5" s="1"/>
  <c r="K57" i="5"/>
  <c r="O57" i="5" s="1"/>
  <c r="K47" i="5"/>
  <c r="O47" i="5" s="1"/>
  <c r="BD47" i="5"/>
  <c r="BE47" i="5" s="1"/>
  <c r="BE45" i="5" s="1"/>
  <c r="AA75" i="5"/>
  <c r="AA61" i="5"/>
  <c r="Z50" i="5"/>
  <c r="Z64" i="5"/>
  <c r="Z54" i="5"/>
  <c r="Z68" i="5"/>
  <c r="AA56" i="5"/>
  <c r="AA70" i="5"/>
  <c r="X75" i="5"/>
  <c r="AC75" i="5" s="1"/>
  <c r="X61" i="5"/>
  <c r="AC61" i="5" s="1"/>
  <c r="Y50" i="5"/>
  <c r="Y64" i="5"/>
  <c r="W64" i="5"/>
  <c r="W50" i="5"/>
  <c r="AB50" i="5" s="1"/>
  <c r="W72" i="5"/>
  <c r="AB72" i="5" s="1"/>
  <c r="W58" i="5"/>
  <c r="AB58" i="5" s="1"/>
  <c r="Y69" i="5"/>
  <c r="Y55" i="5"/>
  <c r="Z66" i="5"/>
  <c r="Z52" i="5"/>
  <c r="AA72" i="5"/>
  <c r="AA58" i="5"/>
  <c r="K75" i="5"/>
  <c r="O75" i="5" s="1"/>
  <c r="K61" i="5"/>
  <c r="O61" i="5" s="1"/>
  <c r="K52" i="5"/>
  <c r="O52" i="5" s="1"/>
  <c r="K66" i="5"/>
  <c r="O66" i="5" s="1"/>
  <c r="K68" i="5"/>
  <c r="O68" i="5" s="1"/>
  <c r="K54" i="5"/>
  <c r="O54" i="5" s="1"/>
  <c r="W76" i="5"/>
  <c r="AB76" i="5" s="1"/>
  <c r="W62" i="5"/>
  <c r="AB62" i="5" s="1"/>
  <c r="W55" i="5"/>
  <c r="AB55" i="5" s="1"/>
  <c r="W69" i="5"/>
  <c r="AB69" i="5" s="1"/>
  <c r="AA51" i="5"/>
  <c r="AA65" i="5"/>
  <c r="AK67" i="5"/>
  <c r="AM67" i="5" s="1"/>
  <c r="AK53" i="5"/>
  <c r="AM53" i="5" s="1"/>
  <c r="AK64" i="5"/>
  <c r="AM64" i="5" s="1"/>
  <c r="AK50" i="5"/>
  <c r="AM50" i="5" s="1"/>
  <c r="BD72" i="5"/>
  <c r="BE72" i="5" s="1"/>
  <c r="BD58" i="5"/>
  <c r="BE58" i="5" s="1"/>
  <c r="BE31" i="5"/>
  <c r="BE32" i="5"/>
  <c r="BD55" i="5"/>
  <c r="BE55" i="5" s="1"/>
  <c r="BD69" i="5"/>
  <c r="BE69" i="5" s="1"/>
  <c r="AM31" i="5"/>
  <c r="AK69" i="5"/>
  <c r="AM69" i="5" s="1"/>
  <c r="AK55" i="5"/>
  <c r="AM55" i="5" s="1"/>
  <c r="AK73" i="5"/>
  <c r="AM73" i="5" s="1"/>
  <c r="AK59" i="5"/>
  <c r="AM59" i="5" s="1"/>
  <c r="AK52" i="5"/>
  <c r="AM52" i="5" s="1"/>
  <c r="AK66" i="5"/>
  <c r="AM66" i="5" s="1"/>
  <c r="BD75" i="5"/>
  <c r="BE75" i="5" s="1"/>
  <c r="BD61" i="5"/>
  <c r="BE61" i="5" s="1"/>
  <c r="BD76" i="5"/>
  <c r="BE76" i="5" s="1"/>
  <c r="BD62" i="5"/>
  <c r="BE62" i="5" s="1"/>
  <c r="BN53" i="18"/>
  <c r="CB53" i="18" s="1"/>
  <c r="BN67" i="18"/>
  <c r="CB67" i="18" s="1"/>
  <c r="BN56" i="18"/>
  <c r="CB56" i="18" s="1"/>
  <c r="BN70" i="18"/>
  <c r="CB70" i="18" s="1"/>
  <c r="BN65" i="18"/>
  <c r="CB65" i="18" s="1"/>
  <c r="BN51" i="18"/>
  <c r="CB51" i="18" s="1"/>
  <c r="BN59" i="18"/>
  <c r="CB59" i="18" s="1"/>
  <c r="BN73" i="18"/>
  <c r="CB73" i="18" s="1"/>
  <c r="DT70" i="18"/>
  <c r="EH70" i="18" s="1"/>
  <c r="DT56" i="18"/>
  <c r="EH56" i="18" s="1"/>
  <c r="DT69" i="18"/>
  <c r="EH69" i="18" s="1"/>
  <c r="DT55" i="18"/>
  <c r="EH55" i="18" s="1"/>
  <c r="EY55" i="18"/>
  <c r="EY69" i="18"/>
  <c r="DT51" i="18"/>
  <c r="EH51" i="18" s="1"/>
  <c r="DT65" i="18"/>
  <c r="EH65" i="18" s="1"/>
  <c r="EY74" i="18"/>
  <c r="EY60" i="18"/>
  <c r="EY66" i="18"/>
  <c r="EY52" i="18"/>
  <c r="AB45" i="18"/>
  <c r="Q62" i="18"/>
  <c r="AB62" i="18" s="1"/>
  <c r="Q76" i="18"/>
  <c r="AB76" i="18" s="1"/>
  <c r="Q71" i="18"/>
  <c r="AB71" i="18" s="1"/>
  <c r="Q57" i="18"/>
  <c r="AB57" i="18" s="1"/>
  <c r="Q54" i="18"/>
  <c r="AB54" i="18" s="1"/>
  <c r="Q68" i="18"/>
  <c r="AB68" i="18" s="1"/>
  <c r="Q58" i="18"/>
  <c r="AB58" i="18" s="1"/>
  <c r="Q72" i="18"/>
  <c r="AB72" i="18" s="1"/>
  <c r="Q55" i="18"/>
  <c r="AB55" i="18" s="1"/>
  <c r="Q69" i="18"/>
  <c r="AB69" i="18" s="1"/>
  <c r="DX74" i="18"/>
  <c r="EL74" i="18" s="1"/>
  <c r="DX60" i="18"/>
  <c r="EL60" i="18" s="1"/>
  <c r="EL31" i="18"/>
  <c r="DX71" i="18"/>
  <c r="EL71" i="18" s="1"/>
  <c r="DX57" i="18"/>
  <c r="EL57" i="18" s="1"/>
  <c r="DX70" i="18"/>
  <c r="EL70" i="18" s="1"/>
  <c r="DX56" i="18"/>
  <c r="EL56" i="18" s="1"/>
  <c r="P68" i="18"/>
  <c r="AA68" i="18" s="1"/>
  <c r="P54" i="18"/>
  <c r="AA54" i="18" s="1"/>
  <c r="P72" i="18"/>
  <c r="AA72" i="18" s="1"/>
  <c r="P58" i="18"/>
  <c r="AA58" i="18" s="1"/>
  <c r="P55" i="18"/>
  <c r="AA55" i="18" s="1"/>
  <c r="P69" i="18"/>
  <c r="AA69" i="18" s="1"/>
  <c r="AA45" i="18"/>
  <c r="P52" i="18"/>
  <c r="AA52" i="18" s="1"/>
  <c r="P66" i="18"/>
  <c r="AA66" i="18" s="1"/>
  <c r="P64" i="18"/>
  <c r="AA64" i="18" s="1"/>
  <c r="P50" i="18"/>
  <c r="AA50" i="18" s="1"/>
  <c r="EB67" i="18"/>
  <c r="EP67" i="18" s="1"/>
  <c r="EB53" i="18"/>
  <c r="EP53" i="18" s="1"/>
  <c r="EB74" i="18"/>
  <c r="EP74" i="18" s="1"/>
  <c r="EB60" i="18"/>
  <c r="EP60" i="18" s="1"/>
  <c r="EB51" i="18"/>
  <c r="EP51" i="18" s="1"/>
  <c r="EB65" i="18"/>
  <c r="EP65" i="18" s="1"/>
  <c r="EB57" i="18"/>
  <c r="EP57" i="18" s="1"/>
  <c r="EB71" i="18"/>
  <c r="EP71" i="18" s="1"/>
  <c r="EB75" i="18"/>
  <c r="EP75" i="18" s="1"/>
  <c r="EB61" i="18"/>
  <c r="EP61" i="18" s="1"/>
  <c r="BU4" i="31"/>
  <c r="BU8" i="31"/>
  <c r="BU15" i="31"/>
  <c r="BU19" i="31"/>
  <c r="BU23" i="31"/>
  <c r="BU49" i="31" s="1"/>
  <c r="BU27" i="31"/>
  <c r="BR3" i="31"/>
  <c r="BR7" i="31"/>
  <c r="BR11" i="31"/>
  <c r="BR14" i="31"/>
  <c r="BR18" i="31"/>
  <c r="BR22" i="31"/>
  <c r="BR26" i="31"/>
  <c r="BR30" i="31"/>
  <c r="BN3" i="31"/>
  <c r="BN7" i="31"/>
  <c r="BN11" i="31"/>
  <c r="BN14" i="31"/>
  <c r="BN18" i="31"/>
  <c r="BN22" i="31"/>
  <c r="BN26" i="31"/>
  <c r="BN30" i="31"/>
  <c r="BJ4" i="31"/>
  <c r="BJ8" i="31"/>
  <c r="BJ15" i="31"/>
  <c r="BJ19" i="31"/>
  <c r="BJ23" i="31"/>
  <c r="BJ27" i="31"/>
  <c r="BG9" i="31"/>
  <c r="BG16" i="31"/>
  <c r="BG24" i="31"/>
  <c r="BG2" i="31"/>
  <c r="BG10" i="31"/>
  <c r="BG46" i="31" s="1"/>
  <c r="BG17" i="31"/>
  <c r="BG25" i="31"/>
  <c r="BC16" i="31"/>
  <c r="BC12" i="31"/>
  <c r="BC2" i="31"/>
  <c r="BC10" i="31"/>
  <c r="BC46" i="31" s="1"/>
  <c r="BC17" i="31"/>
  <c r="BC25" i="31"/>
  <c r="BC20" i="31"/>
  <c r="N5" i="18"/>
  <c r="N9" i="18"/>
  <c r="N12" i="18"/>
  <c r="N16" i="18"/>
  <c r="N20" i="18"/>
  <c r="N24" i="18"/>
  <c r="N28" i="18"/>
  <c r="BB4" i="31"/>
  <c r="BB8" i="31"/>
  <c r="BB15" i="31"/>
  <c r="BB19" i="31"/>
  <c r="BB23" i="31"/>
  <c r="BB27" i="31"/>
  <c r="BP4" i="18"/>
  <c r="BP8" i="18"/>
  <c r="BP15" i="18"/>
  <c r="BP19" i="18"/>
  <c r="BP23" i="18"/>
  <c r="BP27" i="18"/>
  <c r="BZ21" i="31"/>
  <c r="DV21" i="18" s="1"/>
  <c r="BZ25" i="31"/>
  <c r="DV25" i="18" s="1"/>
  <c r="BZ15" i="31"/>
  <c r="DV15" i="18" s="1"/>
  <c r="BZ2" i="31"/>
  <c r="DV2" i="18" s="1"/>
  <c r="BZ20" i="31"/>
  <c r="DV20" i="18" s="1"/>
  <c r="BZ28" i="31"/>
  <c r="DV28" i="18" s="1"/>
  <c r="BZ3" i="31"/>
  <c r="DV3" i="18" s="1"/>
  <c r="BZ7" i="31"/>
  <c r="DV7" i="18" s="1"/>
  <c r="BZ11" i="31"/>
  <c r="DV11" i="18" s="1"/>
  <c r="AD68" i="31"/>
  <c r="AD54" i="31"/>
  <c r="AD69" i="31"/>
  <c r="AD55" i="31"/>
  <c r="AD49" i="31"/>
  <c r="AD32" i="31"/>
  <c r="AD75" i="31"/>
  <c r="AD61" i="31"/>
  <c r="AD41" i="31"/>
  <c r="AD46" i="31"/>
  <c r="AD64" i="31"/>
  <c r="AD50" i="31"/>
  <c r="AV74" i="5"/>
  <c r="AZ74" i="5" s="1"/>
  <c r="AV60" i="5"/>
  <c r="AZ60" i="5" s="1"/>
  <c r="AZ49" i="5"/>
  <c r="AV69" i="5"/>
  <c r="AZ69" i="5" s="1"/>
  <c r="AV55" i="5"/>
  <c r="AZ55" i="5" s="1"/>
  <c r="BO53" i="18"/>
  <c r="CC53" i="18" s="1"/>
  <c r="BO67" i="18"/>
  <c r="CC67" i="18" s="1"/>
  <c r="BO70" i="18"/>
  <c r="CC70" i="18" s="1"/>
  <c r="BO56" i="18"/>
  <c r="CC56" i="18" s="1"/>
  <c r="BO51" i="18"/>
  <c r="CC51" i="18" s="1"/>
  <c r="BO65" i="18"/>
  <c r="CC65" i="18" s="1"/>
  <c r="BO73" i="18"/>
  <c r="CC73" i="18" s="1"/>
  <c r="BO59" i="18"/>
  <c r="CC59" i="18" s="1"/>
  <c r="EZ53" i="18"/>
  <c r="FB53" i="18" s="1"/>
  <c r="EZ67" i="18"/>
  <c r="FB67" i="18" s="1"/>
  <c r="EZ74" i="18"/>
  <c r="FB74" i="18" s="1"/>
  <c r="EZ60" i="18"/>
  <c r="FB60" i="18" s="1"/>
  <c r="EZ70" i="18"/>
  <c r="FB70" i="18" s="1"/>
  <c r="EZ56" i="18"/>
  <c r="FB56" i="18" s="1"/>
  <c r="EZ51" i="18"/>
  <c r="FB51" i="18" s="1"/>
  <c r="EZ65" i="18"/>
  <c r="FB65" i="18" s="1"/>
  <c r="EZ57" i="18"/>
  <c r="FB57" i="18" s="1"/>
  <c r="EZ71" i="18"/>
  <c r="FB71" i="18" s="1"/>
  <c r="W61" i="18"/>
  <c r="AH61" i="18" s="1"/>
  <c r="W75" i="18"/>
  <c r="AH75" i="18" s="1"/>
  <c r="W56" i="18"/>
  <c r="AH56" i="18" s="1"/>
  <c r="W70" i="18"/>
  <c r="AH70" i="18" s="1"/>
  <c r="W69" i="18"/>
  <c r="AH69" i="18" s="1"/>
  <c r="W55" i="18"/>
  <c r="AH55" i="18" s="1"/>
  <c r="AH49" i="18"/>
  <c r="ED61" i="18"/>
  <c r="ER61" i="18" s="1"/>
  <c r="ED75" i="18"/>
  <c r="ER75" i="18" s="1"/>
  <c r="ED62" i="18"/>
  <c r="ER62" i="18" s="1"/>
  <c r="ED76" i="18"/>
  <c r="ER76" i="18" s="1"/>
  <c r="ED54" i="18"/>
  <c r="ER54" i="18" s="1"/>
  <c r="ED68" i="18"/>
  <c r="ER68" i="18" s="1"/>
  <c r="ED56" i="18"/>
  <c r="ER56" i="18" s="1"/>
  <c r="ED70" i="18"/>
  <c r="ER70" i="18" s="1"/>
  <c r="ED66" i="18"/>
  <c r="ER66" i="18" s="1"/>
  <c r="ED52" i="18"/>
  <c r="ER52" i="18" s="1"/>
  <c r="BX73" i="18"/>
  <c r="CL73" i="18" s="1"/>
  <c r="BX59" i="18"/>
  <c r="CL59" i="18" s="1"/>
  <c r="CL45" i="18"/>
  <c r="DZ56" i="18"/>
  <c r="EN56" i="18" s="1"/>
  <c r="DZ70" i="18"/>
  <c r="EN70" i="18" s="1"/>
  <c r="EN45" i="18"/>
  <c r="DZ51" i="18"/>
  <c r="EN51" i="18" s="1"/>
  <c r="DZ65" i="18"/>
  <c r="EN65" i="18" s="1"/>
  <c r="DZ59" i="18"/>
  <c r="EN59" i="18" s="1"/>
  <c r="DZ73" i="18"/>
  <c r="EN73" i="18" s="1"/>
  <c r="DZ76" i="18"/>
  <c r="EN76" i="18" s="1"/>
  <c r="DZ62" i="18"/>
  <c r="EN62" i="18" s="1"/>
  <c r="AC45" i="18"/>
  <c r="R66" i="18"/>
  <c r="AC66" i="18" s="1"/>
  <c r="R52" i="18"/>
  <c r="AC52" i="18" s="1"/>
  <c r="R50" i="18"/>
  <c r="AC50" i="18" s="1"/>
  <c r="R64" i="18"/>
  <c r="AC64" i="18" s="1"/>
  <c r="AC31" i="18"/>
  <c r="AC32" i="18"/>
  <c r="R61" i="18"/>
  <c r="AC61" i="18" s="1"/>
  <c r="R75" i="18"/>
  <c r="AC75" i="18" s="1"/>
  <c r="DY53" i="18"/>
  <c r="DY67" i="18"/>
  <c r="DY51" i="18"/>
  <c r="DY65" i="18"/>
  <c r="DY71" i="18"/>
  <c r="DY57" i="18"/>
  <c r="BS73" i="18"/>
  <c r="CG73" i="18" s="1"/>
  <c r="BS59" i="18"/>
  <c r="CG59" i="18" s="1"/>
  <c r="BX2" i="31"/>
  <c r="BX6" i="31"/>
  <c r="BX10" i="31"/>
  <c r="BX46" i="31" s="1"/>
  <c r="BX13" i="31"/>
  <c r="BX17" i="31"/>
  <c r="BA17" i="31" s="1"/>
  <c r="BX21" i="31"/>
  <c r="BX25" i="31"/>
  <c r="BX29" i="31"/>
  <c r="CW38" i="30"/>
  <c r="BZ38" i="30" s="1"/>
  <c r="CW47" i="30"/>
  <c r="CW46" i="30"/>
  <c r="CW33" i="30"/>
  <c r="BZ33" i="30" s="1"/>
  <c r="CW52" i="30"/>
  <c r="BZ52" i="30" s="1"/>
  <c r="CW66" i="30"/>
  <c r="CW65" i="30"/>
  <c r="CW51" i="30"/>
  <c r="CW50" i="30"/>
  <c r="CW64" i="30"/>
  <c r="CW71" i="30"/>
  <c r="CW57" i="30"/>
  <c r="BQ5" i="31"/>
  <c r="BQ9" i="31"/>
  <c r="BQ12" i="31"/>
  <c r="BQ16" i="31"/>
  <c r="BQ20" i="31"/>
  <c r="BQ24" i="31"/>
  <c r="BQ28" i="31"/>
  <c r="BM5" i="31"/>
  <c r="BM9" i="31"/>
  <c r="BM12" i="31"/>
  <c r="BM16" i="31"/>
  <c r="BM20" i="31"/>
  <c r="BM24" i="31"/>
  <c r="BM28" i="31"/>
  <c r="BI5" i="31"/>
  <c r="BI9" i="31"/>
  <c r="BI12" i="31"/>
  <c r="BI16" i="31"/>
  <c r="BI20" i="31"/>
  <c r="BI24" i="31"/>
  <c r="BI28" i="31"/>
  <c r="BF2" i="31"/>
  <c r="BF6" i="31"/>
  <c r="BF10" i="31"/>
  <c r="BF13" i="31"/>
  <c r="BF17" i="31"/>
  <c r="BF21" i="31"/>
  <c r="BF25" i="31"/>
  <c r="BF29" i="31"/>
  <c r="AS59" i="37"/>
  <c r="AS73" i="37"/>
  <c r="AS60" i="37"/>
  <c r="AS74" i="37"/>
  <c r="AS56" i="37"/>
  <c r="AS70" i="37"/>
  <c r="AS55" i="37"/>
  <c r="AS69" i="37"/>
  <c r="AS62" i="37"/>
  <c r="AS76" i="37"/>
  <c r="AV45" i="37"/>
  <c r="AV74" i="37"/>
  <c r="AV60" i="37"/>
  <c r="AV75" i="37"/>
  <c r="AV61" i="37"/>
  <c r="AV70" i="37"/>
  <c r="AV56" i="37"/>
  <c r="AV69" i="37"/>
  <c r="AV55" i="37"/>
  <c r="AY47" i="31"/>
  <c r="AY51" i="31"/>
  <c r="AY65" i="31"/>
  <c r="AY56" i="31"/>
  <c r="AY70" i="31"/>
  <c r="AY60" i="31"/>
  <c r="AY74" i="31"/>
  <c r="AY39" i="31"/>
  <c r="AY36" i="31"/>
  <c r="AC38" i="31"/>
  <c r="AB2" i="31"/>
  <c r="AW2" i="5" s="1"/>
  <c r="AC52" i="31"/>
  <c r="AC66" i="31"/>
  <c r="AB17" i="31"/>
  <c r="AW17" i="5" s="1"/>
  <c r="L18" i="5"/>
  <c r="AC32" i="31"/>
  <c r="AB3" i="31"/>
  <c r="AW3" i="5" s="1"/>
  <c r="L27" i="5"/>
  <c r="AC40" i="31"/>
  <c r="AB4" i="31"/>
  <c r="AW4" i="5" s="1"/>
  <c r="AC42" i="31"/>
  <c r="AB19" i="31"/>
  <c r="AW19" i="5" s="1"/>
  <c r="L5" i="5"/>
  <c r="L20" i="5"/>
  <c r="AC36" i="31"/>
  <c r="AB26" i="31"/>
  <c r="AW26" i="5" s="1"/>
  <c r="AC58" i="31"/>
  <c r="AC72" i="31"/>
  <c r="AB16" i="31"/>
  <c r="AW16" i="5" s="1"/>
  <c r="L21" i="5"/>
  <c r="N35" i="5"/>
  <c r="J52" i="5"/>
  <c r="J66" i="5"/>
  <c r="J61" i="5"/>
  <c r="J75" i="5"/>
  <c r="J54" i="5"/>
  <c r="J68" i="5"/>
  <c r="J71" i="5"/>
  <c r="J57" i="5"/>
  <c r="J64" i="5"/>
  <c r="J50" i="5"/>
  <c r="N46" i="5"/>
  <c r="N45" i="5"/>
  <c r="J65" i="5"/>
  <c r="J51" i="5"/>
  <c r="AJ67" i="5"/>
  <c r="AJ53" i="5"/>
  <c r="AJ64" i="5"/>
  <c r="AJ50" i="5"/>
  <c r="AU67" i="5"/>
  <c r="AU53" i="5"/>
  <c r="AU50" i="5"/>
  <c r="AU64" i="5"/>
  <c r="AJ72" i="5"/>
  <c r="AJ58" i="5"/>
  <c r="AU58" i="5"/>
  <c r="AU72" i="5"/>
  <c r="X53" i="18"/>
  <c r="AI53" i="18" s="1"/>
  <c r="X67" i="18"/>
  <c r="AI67" i="18" s="1"/>
  <c r="X60" i="18"/>
  <c r="AI60" i="18" s="1"/>
  <c r="X74" i="18"/>
  <c r="AI74" i="18" s="1"/>
  <c r="X56" i="18"/>
  <c r="AI56" i="18" s="1"/>
  <c r="X70" i="18"/>
  <c r="AI70" i="18" s="1"/>
  <c r="X51" i="18"/>
  <c r="AI51" i="18" s="1"/>
  <c r="X65" i="18"/>
  <c r="AI65" i="18" s="1"/>
  <c r="X57" i="18"/>
  <c r="AI57" i="18" s="1"/>
  <c r="X71" i="18"/>
  <c r="AI71" i="18" s="1"/>
  <c r="ET31" i="18"/>
  <c r="EF52" i="18"/>
  <c r="ET52" i="18" s="1"/>
  <c r="EF66" i="18"/>
  <c r="ET66" i="18" s="1"/>
  <c r="EF64" i="18"/>
  <c r="ET64" i="18" s="1"/>
  <c r="EF50" i="18"/>
  <c r="ET50" i="18" s="1"/>
  <c r="BZ59" i="18"/>
  <c r="CN59" i="18" s="1"/>
  <c r="BZ73" i="18"/>
  <c r="CN73" i="18" s="1"/>
  <c r="CN45" i="18"/>
  <c r="AE31" i="18"/>
  <c r="AE32" i="18"/>
  <c r="T61" i="18"/>
  <c r="AE61" i="18" s="1"/>
  <c r="T75" i="18"/>
  <c r="AE75" i="18" s="1"/>
  <c r="T76" i="18"/>
  <c r="AE76" i="18" s="1"/>
  <c r="T62" i="18"/>
  <c r="AE62" i="18" s="1"/>
  <c r="EK45" i="18"/>
  <c r="DW59" i="18"/>
  <c r="EK59" i="18" s="1"/>
  <c r="DW73" i="18"/>
  <c r="EK73" i="18" s="1"/>
  <c r="DW70" i="18"/>
  <c r="EK70" i="18" s="1"/>
  <c r="DW56" i="18"/>
  <c r="EK56" i="18" s="1"/>
  <c r="BQ75" i="18"/>
  <c r="CE75" i="18" s="1"/>
  <c r="BQ61" i="18"/>
  <c r="CE61" i="18" s="1"/>
  <c r="BQ58" i="18"/>
  <c r="CE58" i="18" s="1"/>
  <c r="BQ72" i="18"/>
  <c r="CE72" i="18" s="1"/>
  <c r="BQ70" i="18"/>
  <c r="CE70" i="18" s="1"/>
  <c r="BQ56" i="18"/>
  <c r="CE56" i="18" s="1"/>
  <c r="BW9" i="31"/>
  <c r="BW16" i="31"/>
  <c r="BW24" i="31"/>
  <c r="BW2" i="31"/>
  <c r="BW10" i="31"/>
  <c r="BW17" i="31"/>
  <c r="BW25" i="31"/>
  <c r="BT5" i="31"/>
  <c r="BT9" i="31"/>
  <c r="BT12" i="31"/>
  <c r="BT16" i="31"/>
  <c r="BT20" i="31"/>
  <c r="BT24" i="31"/>
  <c r="BT28" i="31"/>
  <c r="BP2" i="31"/>
  <c r="BP6" i="31"/>
  <c r="BP10" i="31"/>
  <c r="BP46" i="31" s="1"/>
  <c r="BP13" i="31"/>
  <c r="BP17" i="31"/>
  <c r="BP21" i="31"/>
  <c r="BP25" i="31"/>
  <c r="BP29" i="31"/>
  <c r="BL3" i="31"/>
  <c r="BL7" i="31"/>
  <c r="BL11" i="31"/>
  <c r="BL14" i="31"/>
  <c r="BL18" i="31"/>
  <c r="BL22" i="31"/>
  <c r="BL26" i="31"/>
  <c r="BL30" i="31"/>
  <c r="BY4" i="31"/>
  <c r="BY8" i="31"/>
  <c r="BY15" i="31"/>
  <c r="BY19" i="31"/>
  <c r="BY23" i="31"/>
  <c r="BY49" i="31" s="1"/>
  <c r="BY27" i="31"/>
  <c r="CX32" i="30"/>
  <c r="CX39" i="30"/>
  <c r="CX75" i="30"/>
  <c r="CX61" i="30"/>
  <c r="CX36" i="30"/>
  <c r="CX40" i="30"/>
  <c r="CX42" i="30"/>
  <c r="CX76" i="30"/>
  <c r="CX62" i="30"/>
  <c r="BE5" i="31"/>
  <c r="BE9" i="31"/>
  <c r="BE12" i="31"/>
  <c r="BE16" i="31"/>
  <c r="BE20" i="31"/>
  <c r="BE24" i="31"/>
  <c r="BE28" i="31"/>
  <c r="BD2" i="31"/>
  <c r="BD6" i="31"/>
  <c r="BD10" i="31"/>
  <c r="BD46" i="31" s="1"/>
  <c r="BD13" i="31"/>
  <c r="BD17" i="31"/>
  <c r="BD21" i="31"/>
  <c r="BD25" i="31"/>
  <c r="BD29" i="31"/>
  <c r="AZ69" i="30"/>
  <c r="AB69" i="30" s="1"/>
  <c r="AZ55" i="30"/>
  <c r="AB55" i="30" s="1"/>
  <c r="AZ54" i="30"/>
  <c r="AB54" i="30" s="1"/>
  <c r="AZ68" i="30"/>
  <c r="AB68" i="30" s="1"/>
  <c r="AZ73" i="30"/>
  <c r="AB73" i="30" s="1"/>
  <c r="AZ59" i="30"/>
  <c r="AB59" i="30" s="1"/>
  <c r="AZ35" i="30"/>
  <c r="AZ72" i="30"/>
  <c r="AB72" i="30" s="1"/>
  <c r="AZ58" i="30"/>
  <c r="AB58" i="30" s="1"/>
  <c r="AZ38" i="31"/>
  <c r="AZ73" i="31"/>
  <c r="AZ59" i="31"/>
  <c r="AZ37" i="31"/>
  <c r="AZ66" i="31"/>
  <c r="AZ52" i="31"/>
  <c r="AZ67" i="31"/>
  <c r="AZ53" i="31"/>
  <c r="AZ70" i="31"/>
  <c r="AZ56" i="31"/>
  <c r="AZ41" i="31"/>
  <c r="AZ49" i="31"/>
  <c r="U71" i="18"/>
  <c r="AF71" i="18" s="1"/>
  <c r="U57" i="18"/>
  <c r="AF57" i="18" s="1"/>
  <c r="U50" i="18"/>
  <c r="AF50" i="18" s="1"/>
  <c r="U64" i="18"/>
  <c r="U59" i="18"/>
  <c r="AF59" i="18" s="1"/>
  <c r="U73" i="18"/>
  <c r="AF73" i="18" s="1"/>
  <c r="EC70" i="18"/>
  <c r="EQ70" i="18" s="1"/>
  <c r="EC56" i="18"/>
  <c r="EQ56" i="18" s="1"/>
  <c r="EQ45" i="18"/>
  <c r="EC65" i="18"/>
  <c r="EQ65" i="18" s="1"/>
  <c r="EC51" i="18"/>
  <c r="EQ51" i="18" s="1"/>
  <c r="EC75" i="18"/>
  <c r="EQ75" i="18" s="1"/>
  <c r="EC61" i="18"/>
  <c r="EQ61" i="18" s="1"/>
  <c r="BW54" i="18"/>
  <c r="CK54" i="18" s="1"/>
  <c r="BW68" i="18"/>
  <c r="CK68" i="18" s="1"/>
  <c r="O72" i="18"/>
  <c r="Z72" i="18" s="1"/>
  <c r="O58" i="18"/>
  <c r="Z58" i="18" s="1"/>
  <c r="EA59" i="18"/>
  <c r="EO59" i="18" s="1"/>
  <c r="EA73" i="18"/>
  <c r="EO73" i="18" s="1"/>
  <c r="EA58" i="18"/>
  <c r="EO58" i="18" s="1"/>
  <c r="EA72" i="18"/>
  <c r="EO72" i="18" s="1"/>
  <c r="EA52" i="18"/>
  <c r="EO52" i="18" s="1"/>
  <c r="EA66" i="18"/>
  <c r="EO66" i="18" s="1"/>
  <c r="BU54" i="18"/>
  <c r="CI54" i="18" s="1"/>
  <c r="BU68" i="18"/>
  <c r="CI68" i="18" s="1"/>
  <c r="BV4" i="31"/>
  <c r="BV8" i="31"/>
  <c r="BV15" i="31"/>
  <c r="BV19" i="31"/>
  <c r="BV23" i="31"/>
  <c r="BV49" i="31" s="1"/>
  <c r="BV27" i="31"/>
  <c r="BS12" i="31"/>
  <c r="BS14" i="31"/>
  <c r="BS30" i="31"/>
  <c r="BS8" i="31"/>
  <c r="BS15" i="31"/>
  <c r="BS23" i="31"/>
  <c r="BS7" i="31"/>
  <c r="BO6" i="31"/>
  <c r="BO13" i="31"/>
  <c r="BO21" i="31"/>
  <c r="BO29" i="31"/>
  <c r="BO5" i="31"/>
  <c r="BO12" i="31"/>
  <c r="BO20" i="31"/>
  <c r="BO28" i="31"/>
  <c r="BK2" i="31"/>
  <c r="BK29" i="31"/>
  <c r="BK25" i="31"/>
  <c r="BK5" i="31"/>
  <c r="BK12" i="31"/>
  <c r="BK20" i="31"/>
  <c r="BK28" i="31"/>
  <c r="BK17" i="31"/>
  <c r="BH3" i="31"/>
  <c r="BH7" i="31"/>
  <c r="BH11" i="31"/>
  <c r="BH14" i="31"/>
  <c r="BH18" i="31"/>
  <c r="BH22" i="31"/>
  <c r="BH26" i="31"/>
  <c r="BH30" i="31"/>
  <c r="AT72" i="5"/>
  <c r="AT58" i="5"/>
  <c r="AX47" i="5"/>
  <c r="AX36" i="5"/>
  <c r="AT73" i="5"/>
  <c r="AT59" i="5"/>
  <c r="AT66" i="5"/>
  <c r="AT52" i="5"/>
  <c r="AT61" i="5"/>
  <c r="AT75" i="5"/>
  <c r="AT76" i="5"/>
  <c r="AT62" i="5"/>
  <c r="K60" i="5"/>
  <c r="O60" i="5" s="1"/>
  <c r="K74" i="5"/>
  <c r="O74" i="5" s="1"/>
  <c r="Z71" i="5"/>
  <c r="Z57" i="5"/>
  <c r="AA74" i="5"/>
  <c r="AA60" i="5"/>
  <c r="AC46" i="5"/>
  <c r="AC45" i="5"/>
  <c r="X65" i="5"/>
  <c r="AC65" i="5" s="1"/>
  <c r="X51" i="5"/>
  <c r="AC51" i="5" s="1"/>
  <c r="X52" i="5"/>
  <c r="AC52" i="5" s="1"/>
  <c r="X66" i="5"/>
  <c r="AC66" i="5" s="1"/>
  <c r="W67" i="5"/>
  <c r="AB67" i="5" s="1"/>
  <c r="W53" i="5"/>
  <c r="AB53" i="5" s="1"/>
  <c r="Y68" i="5"/>
  <c r="Y54" i="5"/>
  <c r="Z75" i="5"/>
  <c r="Z61" i="5"/>
  <c r="Z70" i="5"/>
  <c r="Z56" i="5"/>
  <c r="K65" i="5"/>
  <c r="O65" i="5" s="1"/>
  <c r="K51" i="5"/>
  <c r="O51" i="5" s="1"/>
  <c r="AC49" i="5"/>
  <c r="AA59" i="5"/>
  <c r="AA73" i="5"/>
  <c r="AA76" i="5"/>
  <c r="AA62" i="5"/>
  <c r="W59" i="5"/>
  <c r="AB59" i="5" s="1"/>
  <c r="W73" i="5"/>
  <c r="AB73" i="5" s="1"/>
  <c r="AB49" i="5"/>
  <c r="AB31" i="5"/>
  <c r="AB33" i="5"/>
  <c r="Y53" i="5"/>
  <c r="Y67" i="5"/>
  <c r="AC32" i="5"/>
  <c r="AC31" i="5"/>
  <c r="Z73" i="5"/>
  <c r="Z59" i="5"/>
  <c r="Z62" i="5"/>
  <c r="Z76" i="5"/>
  <c r="AK75" i="5"/>
  <c r="AM75" i="5" s="1"/>
  <c r="AK61" i="5"/>
  <c r="AM61" i="5" s="1"/>
  <c r="AK76" i="5"/>
  <c r="AM76" i="5" s="1"/>
  <c r="AK62" i="5"/>
  <c r="AM62" i="5" s="1"/>
  <c r="AK72" i="5"/>
  <c r="AM72" i="5" s="1"/>
  <c r="AK58" i="5"/>
  <c r="AM58" i="5" s="1"/>
  <c r="AM45" i="5"/>
  <c r="BD59" i="5"/>
  <c r="BE59" i="5" s="1"/>
  <c r="BD73" i="5"/>
  <c r="BE73" i="5" s="1"/>
  <c r="BD66" i="5"/>
  <c r="BE66" i="5" s="1"/>
  <c r="BD52" i="5"/>
  <c r="BE52" i="5" s="1"/>
  <c r="AK56" i="5"/>
  <c r="AM56" i="5" s="1"/>
  <c r="AK70" i="5"/>
  <c r="AM70" i="5" s="1"/>
  <c r="AK71" i="5"/>
  <c r="AM71" i="5" s="1"/>
  <c r="AK57" i="5"/>
  <c r="AM57" i="5" s="1"/>
  <c r="BN62" i="18"/>
  <c r="CB62" i="18" s="1"/>
  <c r="BN76" i="18"/>
  <c r="CB76" i="18" s="1"/>
  <c r="BN54" i="18"/>
  <c r="CB54" i="18" s="1"/>
  <c r="BN68" i="18"/>
  <c r="CB68" i="18" s="1"/>
  <c r="BN69" i="18"/>
  <c r="CB69" i="18" s="1"/>
  <c r="BN55" i="18"/>
  <c r="CB55" i="18" s="1"/>
  <c r="BN50" i="18"/>
  <c r="CB50" i="18" s="1"/>
  <c r="BN64" i="18"/>
  <c r="CB64" i="18" s="1"/>
  <c r="DT60" i="18"/>
  <c r="EH60" i="18" s="1"/>
  <c r="DT74" i="18"/>
  <c r="EH74" i="18" s="1"/>
  <c r="EH31" i="18"/>
  <c r="DT61" i="18"/>
  <c r="EH61" i="18" s="1"/>
  <c r="DT75" i="18"/>
  <c r="EH75" i="18" s="1"/>
  <c r="EH45" i="18"/>
  <c r="DT64" i="18"/>
  <c r="EH64" i="18" s="1"/>
  <c r="DT50" i="18"/>
  <c r="EH50" i="18" s="1"/>
  <c r="EY70" i="18"/>
  <c r="EY56" i="18"/>
  <c r="EY51" i="18"/>
  <c r="EY65" i="18"/>
  <c r="EY61" i="18"/>
  <c r="EY75" i="18"/>
  <c r="Q52" i="18"/>
  <c r="AB52" i="18" s="1"/>
  <c r="Q66" i="18"/>
  <c r="AB66" i="18" s="1"/>
  <c r="AB31" i="18"/>
  <c r="Q75" i="18"/>
  <c r="AB75" i="18" s="1"/>
  <c r="Q61" i="18"/>
  <c r="AB61" i="18" s="1"/>
  <c r="DX54" i="18"/>
  <c r="EL54" i="18" s="1"/>
  <c r="DX68" i="18"/>
  <c r="EL68" i="18" s="1"/>
  <c r="DX66" i="18"/>
  <c r="EL66" i="18" s="1"/>
  <c r="DX52" i="18"/>
  <c r="EL52" i="18" s="1"/>
  <c r="DX73" i="18"/>
  <c r="EL73" i="18" s="1"/>
  <c r="DX59" i="18"/>
  <c r="EL59" i="18" s="1"/>
  <c r="DX75" i="18"/>
  <c r="EL75" i="18" s="1"/>
  <c r="DX61" i="18"/>
  <c r="EL61" i="18" s="1"/>
  <c r="DX62" i="18"/>
  <c r="EL62" i="18" s="1"/>
  <c r="DX76" i="18"/>
  <c r="EL76" i="18" s="1"/>
  <c r="DX55" i="18"/>
  <c r="EL55" i="18" s="1"/>
  <c r="DX69" i="18"/>
  <c r="EL69" i="18" s="1"/>
  <c r="AA31" i="18"/>
  <c r="P61" i="18"/>
  <c r="AA61" i="18" s="1"/>
  <c r="P75" i="18"/>
  <c r="AA75" i="18" s="1"/>
  <c r="P76" i="18"/>
  <c r="AA76" i="18" s="1"/>
  <c r="P62" i="18"/>
  <c r="AA62" i="18" s="1"/>
  <c r="EB59" i="18"/>
  <c r="EP59" i="18" s="1"/>
  <c r="EB73" i="18"/>
  <c r="EP73" i="18" s="1"/>
  <c r="EB70" i="18"/>
  <c r="EP70" i="18" s="1"/>
  <c r="EB56" i="18"/>
  <c r="EP56" i="18" s="1"/>
  <c r="BV67" i="18"/>
  <c r="CJ67" i="18" s="1"/>
  <c r="BV53" i="18"/>
  <c r="CJ53" i="18" s="1"/>
  <c r="CJ45" i="18"/>
  <c r="BU5" i="31"/>
  <c r="BU9" i="31"/>
  <c r="BU12" i="31"/>
  <c r="BU16" i="31"/>
  <c r="BU20" i="31"/>
  <c r="BU24" i="31"/>
  <c r="BU28" i="31"/>
  <c r="BR4" i="31"/>
  <c r="BR8" i="31"/>
  <c r="BR15" i="31"/>
  <c r="BR19" i="31"/>
  <c r="BR23" i="31"/>
  <c r="BR49" i="31" s="1"/>
  <c r="BR27" i="31"/>
  <c r="BN4" i="31"/>
  <c r="BN8" i="31"/>
  <c r="BN15" i="31"/>
  <c r="BN19" i="31"/>
  <c r="BN23" i="31"/>
  <c r="BN49" i="31" s="1"/>
  <c r="BN27" i="31"/>
  <c r="BJ5" i="31"/>
  <c r="BJ9" i="31"/>
  <c r="BJ12" i="31"/>
  <c r="BJ16" i="31"/>
  <c r="BJ20" i="31"/>
  <c r="BJ24" i="31"/>
  <c r="BJ28" i="31"/>
  <c r="BG3" i="31"/>
  <c r="BG11" i="31"/>
  <c r="BG18" i="31"/>
  <c r="BG26" i="31"/>
  <c r="BG4" i="31"/>
  <c r="BG19" i="31"/>
  <c r="BG27" i="31"/>
  <c r="BC26" i="31"/>
  <c r="BC18" i="31"/>
  <c r="BC4" i="31"/>
  <c r="BC19" i="31"/>
  <c r="BC27" i="31"/>
  <c r="BC9" i="31"/>
  <c r="BC28" i="31"/>
  <c r="N38" i="18"/>
  <c r="Y38" i="18" s="1"/>
  <c r="N2" i="18"/>
  <c r="N47" i="18"/>
  <c r="Y47" i="18" s="1"/>
  <c r="N6" i="18"/>
  <c r="N10" i="18"/>
  <c r="N33" i="18"/>
  <c r="Y33" i="18" s="1"/>
  <c r="N13" i="18"/>
  <c r="N17" i="18"/>
  <c r="N21" i="18"/>
  <c r="N25" i="18"/>
  <c r="N29" i="18"/>
  <c r="BB5" i="31"/>
  <c r="BB9" i="31"/>
  <c r="BB12" i="31"/>
  <c r="BB16" i="31"/>
  <c r="BB20" i="31"/>
  <c r="BB24" i="31"/>
  <c r="BB28" i="31"/>
  <c r="BP5" i="18"/>
  <c r="BP9" i="18"/>
  <c r="BP12" i="18"/>
  <c r="BP16" i="18"/>
  <c r="BP20" i="18"/>
  <c r="BP24" i="18"/>
  <c r="BP28" i="18"/>
  <c r="BZ29" i="31"/>
  <c r="DV29" i="18" s="1"/>
  <c r="BZ19" i="31"/>
  <c r="DV19" i="18" s="1"/>
  <c r="BZ14" i="31"/>
  <c r="DV14" i="18" s="1"/>
  <c r="BZ22" i="31"/>
  <c r="DV22" i="18" s="1"/>
  <c r="BZ30" i="31"/>
  <c r="DV30" i="18" s="1"/>
  <c r="BZ4" i="31"/>
  <c r="DV4" i="18" s="1"/>
  <c r="DV40" i="18"/>
  <c r="EJ40" i="18" s="1"/>
  <c r="BZ8" i="31"/>
  <c r="DV8" i="18" s="1"/>
  <c r="AD74" i="31"/>
  <c r="AD60" i="31"/>
  <c r="AD43" i="31"/>
  <c r="AD76" i="31"/>
  <c r="AD62" i="31"/>
  <c r="AD73" i="31"/>
  <c r="AD59" i="31"/>
  <c r="AD37" i="31"/>
  <c r="AD33" i="31"/>
  <c r="AD71" i="31"/>
  <c r="AD57" i="31"/>
  <c r="AV67" i="5"/>
  <c r="AZ67" i="5" s="1"/>
  <c r="AV53" i="5"/>
  <c r="AZ53" i="5" s="1"/>
  <c r="AZ31" i="5"/>
  <c r="AV50" i="5"/>
  <c r="AZ50" i="5" s="1"/>
  <c r="AV64" i="5"/>
  <c r="AZ64" i="5" s="1"/>
  <c r="AV58" i="5"/>
  <c r="AZ58" i="5" s="1"/>
  <c r="AV72" i="5"/>
  <c r="AZ72" i="5" s="1"/>
  <c r="BO62" i="18"/>
  <c r="CC62" i="18" s="1"/>
  <c r="BO76" i="18"/>
  <c r="CC76" i="18" s="1"/>
  <c r="BO68" i="18"/>
  <c r="CC68" i="18" s="1"/>
  <c r="BO54" i="18"/>
  <c r="CC54" i="18" s="1"/>
  <c r="BO69" i="18"/>
  <c r="CC69" i="18" s="1"/>
  <c r="BO55" i="18"/>
  <c r="CC55" i="18" s="1"/>
  <c r="CC45" i="18"/>
  <c r="BO64" i="18"/>
  <c r="CC64" i="18" s="1"/>
  <c r="BO50" i="18"/>
  <c r="CC50" i="18" s="1"/>
  <c r="EZ59" i="18"/>
  <c r="FB59" i="18" s="1"/>
  <c r="EZ73" i="18"/>
  <c r="FB73" i="18" s="1"/>
  <c r="W73" i="18"/>
  <c r="AH73" i="18" s="1"/>
  <c r="W59" i="18"/>
  <c r="AH59" i="18" s="1"/>
  <c r="AH45" i="18"/>
  <c r="AH46" i="18"/>
  <c r="W52" i="18"/>
  <c r="AH52" i="18" s="1"/>
  <c r="W66" i="18"/>
  <c r="AH66" i="18" s="1"/>
  <c r="W64" i="18"/>
  <c r="W50" i="18"/>
  <c r="AH50" i="18" s="1"/>
  <c r="ER31" i="18"/>
  <c r="ED55" i="18"/>
  <c r="ER55" i="18" s="1"/>
  <c r="ED69" i="18"/>
  <c r="ER69" i="18" s="1"/>
  <c r="ED51" i="18"/>
  <c r="ER51" i="18" s="1"/>
  <c r="ED65" i="18"/>
  <c r="ER65" i="18" s="1"/>
  <c r="DZ66" i="18"/>
  <c r="EN66" i="18" s="1"/>
  <c r="DZ52" i="18"/>
  <c r="EN52" i="18" s="1"/>
  <c r="DZ71" i="18"/>
  <c r="EN71" i="18" s="1"/>
  <c r="DZ57" i="18"/>
  <c r="EN57" i="18" s="1"/>
  <c r="DZ54" i="18"/>
  <c r="EN54" i="18" s="1"/>
  <c r="DZ68" i="18"/>
  <c r="EN68" i="18" s="1"/>
  <c r="DZ61" i="18"/>
  <c r="EN61" i="18" s="1"/>
  <c r="DZ75" i="18"/>
  <c r="EN75" i="18" s="1"/>
  <c r="BT59" i="18"/>
  <c r="CH59" i="18" s="1"/>
  <c r="BT73" i="18"/>
  <c r="CH73" i="18" s="1"/>
  <c r="R62" i="18"/>
  <c r="AC62" i="18" s="1"/>
  <c r="R76" i="18"/>
  <c r="AC76" i="18" s="1"/>
  <c r="R53" i="18"/>
  <c r="AC53" i="18" s="1"/>
  <c r="R67" i="18"/>
  <c r="AC67" i="18" s="1"/>
  <c r="R74" i="18"/>
  <c r="AC74" i="18" s="1"/>
  <c r="R60" i="18"/>
  <c r="AC60" i="18" s="1"/>
  <c r="R70" i="18"/>
  <c r="AC70" i="18" s="1"/>
  <c r="R56" i="18"/>
  <c r="AC56" i="18" s="1"/>
  <c r="DY60" i="18"/>
  <c r="DY74" i="18"/>
  <c r="EM45" i="18"/>
  <c r="DY72" i="18"/>
  <c r="DY58" i="18"/>
  <c r="DY55" i="18"/>
  <c r="DY69" i="18"/>
  <c r="CG45" i="18"/>
  <c r="BS68" i="18"/>
  <c r="CG68" i="18" s="1"/>
  <c r="BS54" i="18"/>
  <c r="CG54" i="18" s="1"/>
  <c r="BX3" i="31"/>
  <c r="BX7" i="31"/>
  <c r="BX11" i="31"/>
  <c r="BX14" i="31"/>
  <c r="BX18" i="31"/>
  <c r="BX22" i="31"/>
  <c r="BX26" i="31"/>
  <c r="BX30" i="31"/>
  <c r="CW32" i="30"/>
  <c r="BZ32" i="30" s="1"/>
  <c r="BP32" i="18" s="1"/>
  <c r="CD32" i="18" s="1"/>
  <c r="CW59" i="30"/>
  <c r="CW73" i="30"/>
  <c r="CW39" i="30"/>
  <c r="CW34" i="30"/>
  <c r="BZ34" i="30" s="1"/>
  <c r="CW61" i="30"/>
  <c r="CW75" i="30"/>
  <c r="BZ75" i="30" s="1"/>
  <c r="CW37" i="30"/>
  <c r="CW36" i="30"/>
  <c r="BZ36" i="30" s="1"/>
  <c r="CW35" i="30"/>
  <c r="BZ35" i="30" s="1"/>
  <c r="BQ2" i="31"/>
  <c r="BQ6" i="31"/>
  <c r="BQ10" i="31"/>
  <c r="BQ46" i="31" s="1"/>
  <c r="BQ13" i="31"/>
  <c r="BQ17" i="31"/>
  <c r="BQ21" i="31"/>
  <c r="BQ25" i="31"/>
  <c r="BQ29" i="31"/>
  <c r="BM2" i="31"/>
  <c r="BM6" i="31"/>
  <c r="BM10" i="31"/>
  <c r="BM46" i="31" s="1"/>
  <c r="BM13" i="31"/>
  <c r="BM17" i="31"/>
  <c r="BM21" i="31"/>
  <c r="BM25" i="31"/>
  <c r="BM29" i="31"/>
  <c r="BI2" i="31"/>
  <c r="BI6" i="31"/>
  <c r="BI10" i="31"/>
  <c r="BI46" i="31" s="1"/>
  <c r="BI13" i="31"/>
  <c r="BI17" i="31"/>
  <c r="BI21" i="31"/>
  <c r="BI25" i="31"/>
  <c r="BI29" i="31"/>
  <c r="BF3" i="31"/>
  <c r="BF7" i="31"/>
  <c r="BF11" i="31"/>
  <c r="BF14" i="31"/>
  <c r="BF18" i="31"/>
  <c r="BF22" i="31"/>
  <c r="BF26" i="31"/>
  <c r="BF30" i="31"/>
  <c r="BY68" i="18"/>
  <c r="CM68" i="18" s="1"/>
  <c r="BY54" i="18"/>
  <c r="CM54" i="18" s="1"/>
  <c r="CM45" i="18"/>
  <c r="AS45" i="37"/>
  <c r="AS61" i="37"/>
  <c r="AS75" i="37"/>
  <c r="AV73" i="37"/>
  <c r="AV59" i="37"/>
  <c r="AV65" i="37"/>
  <c r="AV51" i="37"/>
  <c r="AV64" i="37"/>
  <c r="AV50" i="37"/>
  <c r="AV76" i="37"/>
  <c r="AV62" i="37"/>
  <c r="AV71" i="37"/>
  <c r="AV57" i="37"/>
  <c r="AY46" i="31"/>
  <c r="AY50" i="31"/>
  <c r="AY64" i="31"/>
  <c r="AY55" i="31"/>
  <c r="AY69" i="31"/>
  <c r="AY40" i="31"/>
  <c r="AY42" i="31"/>
  <c r="AY54" i="31"/>
  <c r="AY68" i="31"/>
  <c r="AY34" i="31"/>
  <c r="AY35" i="31"/>
  <c r="AB2" i="30"/>
  <c r="L2" i="5" s="1"/>
  <c r="AB6" i="31"/>
  <c r="AW6" i="5" s="1"/>
  <c r="AC47" i="31"/>
  <c r="AC51" i="31"/>
  <c r="AC65" i="31"/>
  <c r="AB21" i="31"/>
  <c r="AW21" i="5" s="1"/>
  <c r="L7" i="5"/>
  <c r="L22" i="5"/>
  <c r="AC61" i="31"/>
  <c r="AC75" i="31"/>
  <c r="AB18" i="31"/>
  <c r="AW18" i="5" s="1"/>
  <c r="L15" i="5"/>
  <c r="AC41" i="31"/>
  <c r="AB8" i="31"/>
  <c r="AW8" i="5" s="1"/>
  <c r="AC49" i="31"/>
  <c r="AB23" i="31"/>
  <c r="AW23" i="5" s="1"/>
  <c r="L9" i="5"/>
  <c r="L24" i="5"/>
  <c r="AC53" i="31"/>
  <c r="AC67" i="31"/>
  <c r="AB5" i="31"/>
  <c r="AW5" i="5" s="1"/>
  <c r="AC56" i="31"/>
  <c r="AB56" i="31" s="1"/>
  <c r="AC70" i="31"/>
  <c r="AB20" i="31"/>
  <c r="AW20" i="5" s="1"/>
  <c r="L25" i="5"/>
  <c r="N40" i="5"/>
  <c r="N33" i="5"/>
  <c r="N49" i="5"/>
  <c r="AN31" i="5"/>
  <c r="AJ55" i="5"/>
  <c r="AJ69" i="5"/>
  <c r="AY31" i="5"/>
  <c r="AU69" i="5"/>
  <c r="AU55" i="5"/>
  <c r="AU73" i="5"/>
  <c r="AU59" i="5"/>
  <c r="AU66" i="5"/>
  <c r="AU52" i="5"/>
  <c r="AJ75" i="5"/>
  <c r="AJ61" i="5"/>
  <c r="AJ76" i="5"/>
  <c r="AJ62" i="5"/>
  <c r="AU75" i="5"/>
  <c r="AU61" i="5"/>
  <c r="AU62" i="5"/>
  <c r="AU76" i="5"/>
  <c r="X59" i="18"/>
  <c r="AI59" i="18" s="1"/>
  <c r="X73" i="18"/>
  <c r="AI73" i="18" s="1"/>
  <c r="AI49" i="18"/>
  <c r="EF53" i="18"/>
  <c r="ET53" i="18" s="1"/>
  <c r="EF67" i="18"/>
  <c r="ET67" i="18" s="1"/>
  <c r="EF60" i="18"/>
  <c r="ET60" i="18" s="1"/>
  <c r="EF74" i="18"/>
  <c r="ET74" i="18" s="1"/>
  <c r="EF76" i="18"/>
  <c r="ET76" i="18" s="1"/>
  <c r="EF62" i="18"/>
  <c r="ET62" i="18" s="1"/>
  <c r="EF72" i="18"/>
  <c r="ET72" i="18" s="1"/>
  <c r="EF58" i="18"/>
  <c r="ET58" i="18" s="1"/>
  <c r="EF55" i="18"/>
  <c r="ET55" i="18" s="1"/>
  <c r="EF69" i="18"/>
  <c r="ET69" i="18" s="1"/>
  <c r="BZ54" i="18"/>
  <c r="CN54" i="18" s="1"/>
  <c r="BZ68" i="18"/>
  <c r="CN68" i="18" s="1"/>
  <c r="BZ74" i="18"/>
  <c r="CN74" i="18" s="1"/>
  <c r="BZ60" i="18"/>
  <c r="CN60" i="18" s="1"/>
  <c r="T53" i="18"/>
  <c r="AE53" i="18" s="1"/>
  <c r="T67" i="18"/>
  <c r="AE67" i="18" s="1"/>
  <c r="T60" i="18"/>
  <c r="AE60" i="18" s="1"/>
  <c r="T74" i="18"/>
  <c r="AE74" i="18" s="1"/>
  <c r="T56" i="18"/>
  <c r="AE56" i="18" s="1"/>
  <c r="T70" i="18"/>
  <c r="AE70" i="18" s="1"/>
  <c r="T51" i="18"/>
  <c r="AE51" i="18" s="1"/>
  <c r="T65" i="18"/>
  <c r="AE65" i="18" s="1"/>
  <c r="T57" i="18"/>
  <c r="AE57" i="18" s="1"/>
  <c r="T71" i="18"/>
  <c r="AE71" i="18" s="1"/>
  <c r="DW68" i="18"/>
  <c r="EK68" i="18" s="1"/>
  <c r="DW54" i="18"/>
  <c r="EK54" i="18" s="1"/>
  <c r="DW52" i="18"/>
  <c r="EK52" i="18" s="1"/>
  <c r="DW66" i="18"/>
  <c r="EK66" i="18" s="1"/>
  <c r="DW50" i="18"/>
  <c r="EK50" i="18" s="1"/>
  <c r="DW64" i="18"/>
  <c r="EK64" i="18" s="1"/>
  <c r="BQ69" i="18"/>
  <c r="CE69" i="18" s="1"/>
  <c r="BQ55" i="18"/>
  <c r="CE55" i="18" s="1"/>
  <c r="CE45" i="18"/>
  <c r="BQ52" i="18"/>
  <c r="CE52" i="18" s="1"/>
  <c r="BQ66" i="18"/>
  <c r="CE66" i="18" s="1"/>
  <c r="BQ50" i="18"/>
  <c r="CE50" i="18" s="1"/>
  <c r="BQ64" i="18"/>
  <c r="CE64" i="18" s="1"/>
  <c r="BW3" i="31"/>
  <c r="BW11" i="31"/>
  <c r="BW18" i="31"/>
  <c r="BW26" i="31"/>
  <c r="BW4" i="31"/>
  <c r="BW19" i="31"/>
  <c r="BW27" i="31"/>
  <c r="BT2" i="31"/>
  <c r="BT6" i="31"/>
  <c r="BT10" i="31"/>
  <c r="BT13" i="31"/>
  <c r="BT17" i="31"/>
  <c r="BT21" i="31"/>
  <c r="BT25" i="31"/>
  <c r="BT29" i="31"/>
  <c r="BP3" i="31"/>
  <c r="BP7" i="31"/>
  <c r="BP11" i="31"/>
  <c r="BP14" i="31"/>
  <c r="BP18" i="31"/>
  <c r="BP22" i="31"/>
  <c r="BP26" i="31"/>
  <c r="BP30" i="31"/>
  <c r="BL4" i="31"/>
  <c r="BL8" i="31"/>
  <c r="BL15" i="31"/>
  <c r="BL19" i="31"/>
  <c r="BL23" i="31"/>
  <c r="BL27" i="31"/>
  <c r="BY5" i="31"/>
  <c r="BY9" i="31"/>
  <c r="BA9" i="31" s="1"/>
  <c r="BY12" i="31"/>
  <c r="BY16" i="31"/>
  <c r="BA16" i="31" s="1"/>
  <c r="BY20" i="31"/>
  <c r="BY24" i="31"/>
  <c r="BA24" i="31" s="1"/>
  <c r="BY28" i="31"/>
  <c r="CX67" i="30"/>
  <c r="CX53" i="30"/>
  <c r="CX74" i="30"/>
  <c r="CX60" i="30"/>
  <c r="CX56" i="30"/>
  <c r="CX70" i="30"/>
  <c r="CX43" i="30"/>
  <c r="CX47" i="30"/>
  <c r="CX65" i="30"/>
  <c r="CX51" i="30"/>
  <c r="CX57" i="30"/>
  <c r="CX71" i="30"/>
  <c r="BE2" i="31"/>
  <c r="BE6" i="31"/>
  <c r="BE10" i="31"/>
  <c r="BE46" i="31" s="1"/>
  <c r="BE13" i="31"/>
  <c r="BE17" i="31"/>
  <c r="BE21" i="31"/>
  <c r="BE25" i="31"/>
  <c r="BE29" i="31"/>
  <c r="BD3" i="31"/>
  <c r="BD7" i="31"/>
  <c r="BD11" i="31"/>
  <c r="BD14" i="31"/>
  <c r="BD18" i="31"/>
  <c r="BD22" i="31"/>
  <c r="BD26" i="31"/>
  <c r="BD30" i="31"/>
  <c r="AZ71" i="30"/>
  <c r="AB71" i="30" s="1"/>
  <c r="AZ57" i="30"/>
  <c r="AB57" i="30" s="1"/>
  <c r="AZ75" i="30"/>
  <c r="AB75" i="30" s="1"/>
  <c r="AZ61" i="30"/>
  <c r="AB61" i="30" s="1"/>
  <c r="AZ32" i="30"/>
  <c r="AZ36" i="30"/>
  <c r="AZ39" i="30"/>
  <c r="AZ49" i="30"/>
  <c r="AZ43" i="30"/>
  <c r="AZ47" i="31"/>
  <c r="AZ39" i="31"/>
  <c r="AZ36" i="31"/>
  <c r="AZ65" i="31"/>
  <c r="AZ51" i="31"/>
  <c r="AZ68" i="31"/>
  <c r="AZ54" i="31"/>
  <c r="AZ69" i="31"/>
  <c r="AZ55" i="31"/>
  <c r="AZ76" i="31"/>
  <c r="AZ62" i="31"/>
  <c r="AF49" i="18"/>
  <c r="U62" i="18"/>
  <c r="AF62" i="18" s="1"/>
  <c r="U76" i="18"/>
  <c r="AF76" i="18" s="1"/>
  <c r="U54" i="18"/>
  <c r="AF54" i="18" s="1"/>
  <c r="U68" i="18"/>
  <c r="AF68" i="18" s="1"/>
  <c r="U58" i="18"/>
  <c r="AF58" i="18" s="1"/>
  <c r="U72" i="18"/>
  <c r="AF72" i="18" s="1"/>
  <c r="U55" i="18"/>
  <c r="AF55" i="18" s="1"/>
  <c r="U69" i="18"/>
  <c r="AF69" i="18" s="1"/>
  <c r="EQ31" i="18"/>
  <c r="EC67" i="18"/>
  <c r="EQ67" i="18" s="1"/>
  <c r="EC53" i="18"/>
  <c r="EQ53" i="18" s="1"/>
  <c r="EC62" i="18"/>
  <c r="EQ62" i="18" s="1"/>
  <c r="EC76" i="18"/>
  <c r="EQ76" i="18" s="1"/>
  <c r="EC64" i="18"/>
  <c r="EQ64" i="18" s="1"/>
  <c r="EC50" i="18"/>
  <c r="EQ50" i="18" s="1"/>
  <c r="BW74" i="18"/>
  <c r="CK74" i="18" s="1"/>
  <c r="BW60" i="18"/>
  <c r="CK60" i="18" s="1"/>
  <c r="CK45" i="18"/>
  <c r="O69" i="18"/>
  <c r="Z69" i="18" s="1"/>
  <c r="O55" i="18"/>
  <c r="Z55" i="18" s="1"/>
  <c r="Z31" i="18"/>
  <c r="Z45" i="18"/>
  <c r="O52" i="18"/>
  <c r="Z52" i="18" s="1"/>
  <c r="O66" i="18"/>
  <c r="Z66" i="18" s="1"/>
  <c r="O64" i="18"/>
  <c r="Z64" i="18" s="1"/>
  <c r="O50" i="18"/>
  <c r="Z50" i="18" s="1"/>
  <c r="EA76" i="18"/>
  <c r="EO76" i="18" s="1"/>
  <c r="EA62" i="18"/>
  <c r="EO62" i="18" s="1"/>
  <c r="EA61" i="18"/>
  <c r="EO61" i="18" s="1"/>
  <c r="EA75" i="18"/>
  <c r="EO75" i="18" s="1"/>
  <c r="EA54" i="18"/>
  <c r="EO54" i="18" s="1"/>
  <c r="EA68" i="18"/>
  <c r="EO68" i="18" s="1"/>
  <c r="EA56" i="18"/>
  <c r="EO56" i="18" s="1"/>
  <c r="EA70" i="18"/>
  <c r="EO70" i="18" s="1"/>
  <c r="EA65" i="18"/>
  <c r="EO65" i="18" s="1"/>
  <c r="EA51" i="18"/>
  <c r="EO51" i="18" s="1"/>
  <c r="CI45" i="18"/>
  <c r="BU67" i="18"/>
  <c r="CI67" i="18" s="1"/>
  <c r="BU53" i="18"/>
  <c r="CI53" i="18" s="1"/>
  <c r="BV5" i="31"/>
  <c r="BV9" i="31"/>
  <c r="BV12" i="31"/>
  <c r="BV16" i="31"/>
  <c r="BV20" i="31"/>
  <c r="BV24" i="31"/>
  <c r="BV28" i="31"/>
  <c r="BS22" i="31"/>
  <c r="BS16" i="31"/>
  <c r="BS2" i="31"/>
  <c r="BS10" i="31"/>
  <c r="BS46" i="31" s="1"/>
  <c r="BS17" i="31"/>
  <c r="BS25" i="31"/>
  <c r="BS18" i="31"/>
  <c r="BO8" i="31"/>
  <c r="BO15" i="31"/>
  <c r="BO23" i="31"/>
  <c r="BO49" i="31" s="1"/>
  <c r="BO7" i="31"/>
  <c r="BO14" i="31"/>
  <c r="BO22" i="31"/>
  <c r="BO30" i="31"/>
  <c r="BK6" i="31"/>
  <c r="BK4" i="31"/>
  <c r="BK27" i="31"/>
  <c r="BK7" i="31"/>
  <c r="BK14" i="31"/>
  <c r="BK22" i="31"/>
  <c r="BK30" i="31"/>
  <c r="BK21" i="31"/>
  <c r="BH4" i="31"/>
  <c r="BH8" i="31"/>
  <c r="BH15" i="31"/>
  <c r="BH19" i="31"/>
  <c r="BH23" i="31"/>
  <c r="BH27" i="31"/>
  <c r="AX41" i="5"/>
  <c r="AT68" i="5"/>
  <c r="AT54" i="5"/>
  <c r="AX42" i="5"/>
  <c r="AX43" i="5"/>
  <c r="AT70" i="5"/>
  <c r="AT56" i="5"/>
  <c r="AT57" i="5"/>
  <c r="AT71" i="5"/>
  <c r="AX35" i="5"/>
  <c r="K76" i="5"/>
  <c r="O76" i="5" s="1"/>
  <c r="K62" i="5"/>
  <c r="O62" i="5" s="1"/>
  <c r="K69" i="5"/>
  <c r="O69" i="5" s="1"/>
  <c r="K55" i="5"/>
  <c r="O55" i="5" s="1"/>
  <c r="Y74" i="5"/>
  <c r="Y60" i="5"/>
  <c r="Z51" i="5"/>
  <c r="Z65" i="5"/>
  <c r="AA67" i="5"/>
  <c r="AA53" i="5"/>
  <c r="AA55" i="5"/>
  <c r="AA69" i="5"/>
  <c r="X56" i="5"/>
  <c r="AC56" i="5" s="1"/>
  <c r="X70" i="5"/>
  <c r="AC70" i="5" s="1"/>
  <c r="W75" i="5"/>
  <c r="AB75" i="5" s="1"/>
  <c r="W61" i="5"/>
  <c r="AB61" i="5" s="1"/>
  <c r="W52" i="5"/>
  <c r="AB52" i="5" s="1"/>
  <c r="W66" i="5"/>
  <c r="AB66" i="5" s="1"/>
  <c r="W68" i="5"/>
  <c r="AB68" i="5" s="1"/>
  <c r="W54" i="5"/>
  <c r="AB54" i="5" s="1"/>
  <c r="Y70" i="5"/>
  <c r="Y56" i="5"/>
  <c r="Z74" i="5"/>
  <c r="Z60" i="5"/>
  <c r="X67" i="5"/>
  <c r="AC67" i="5" s="1"/>
  <c r="X53" i="5"/>
  <c r="AC53" i="5" s="1"/>
  <c r="Y61" i="5"/>
  <c r="Y75" i="5"/>
  <c r="K64" i="5"/>
  <c r="K50" i="5"/>
  <c r="O50" i="5" s="1"/>
  <c r="K72" i="5"/>
  <c r="O72" i="5" s="1"/>
  <c r="K58" i="5"/>
  <c r="O58" i="5" s="1"/>
  <c r="X72" i="5"/>
  <c r="AC72" i="5" s="1"/>
  <c r="X58" i="5"/>
  <c r="AC58" i="5" s="1"/>
  <c r="Y58" i="5"/>
  <c r="Y72" i="5"/>
  <c r="X68" i="5"/>
  <c r="AC68" i="5" s="1"/>
  <c r="X54" i="5"/>
  <c r="AC54" i="5" s="1"/>
  <c r="W70" i="5"/>
  <c r="AB70" i="5" s="1"/>
  <c r="W56" i="5"/>
  <c r="AB56" i="5" s="1"/>
  <c r="W46" i="5"/>
  <c r="AB46" i="5" s="1"/>
  <c r="W71" i="5"/>
  <c r="AB71" i="5" s="1"/>
  <c r="W57" i="5"/>
  <c r="AB57" i="5" s="1"/>
  <c r="AB47" i="5"/>
  <c r="Y66" i="5"/>
  <c r="Y52" i="5"/>
  <c r="AA64" i="5"/>
  <c r="AA50" i="5"/>
  <c r="Y57" i="5"/>
  <c r="Y71" i="5"/>
  <c r="BD51" i="5"/>
  <c r="BE51" i="5" s="1"/>
  <c r="BD65" i="5"/>
  <c r="BE65" i="5" s="1"/>
  <c r="BD68" i="5"/>
  <c r="BE68" i="5" s="1"/>
  <c r="BD54" i="5"/>
  <c r="BE54" i="5" s="1"/>
  <c r="AK68" i="5"/>
  <c r="AM68" i="5" s="1"/>
  <c r="AK54" i="5"/>
  <c r="AM54" i="5" s="1"/>
  <c r="BD70" i="5"/>
  <c r="BE70" i="5" s="1"/>
  <c r="BD56" i="5"/>
  <c r="BE56" i="5" s="1"/>
  <c r="BD71" i="5"/>
  <c r="BE71" i="5" s="1"/>
  <c r="BD57" i="5"/>
  <c r="BE57" i="5" s="1"/>
  <c r="BD74" i="5"/>
  <c r="BE74" i="5" s="1"/>
  <c r="BD60" i="5"/>
  <c r="BE60" i="5" s="1"/>
  <c r="O31" i="5"/>
  <c r="O38" i="5"/>
  <c r="BN60" i="18"/>
  <c r="CB60" i="18" s="1"/>
  <c r="BN74" i="18"/>
  <c r="CB74" i="18" s="1"/>
  <c r="BN71" i="18"/>
  <c r="CB71" i="18" s="1"/>
  <c r="BN57" i="18"/>
  <c r="CB57" i="18" s="1"/>
  <c r="EY72" i="18"/>
  <c r="EY58" i="18"/>
  <c r="DT57" i="18"/>
  <c r="EH57" i="18" s="1"/>
  <c r="DT71" i="18"/>
  <c r="EH71" i="18" s="1"/>
  <c r="DT54" i="18"/>
  <c r="EH54" i="18" s="1"/>
  <c r="DT68" i="18"/>
  <c r="EH68" i="18" s="1"/>
  <c r="DT76" i="18"/>
  <c r="EH76" i="18" s="1"/>
  <c r="DT62" i="18"/>
  <c r="EH62" i="18" s="1"/>
  <c r="DT59" i="18"/>
  <c r="EH59" i="18" s="1"/>
  <c r="DT73" i="18"/>
  <c r="EH73" i="18" s="1"/>
  <c r="EY64" i="18"/>
  <c r="EY50" i="18"/>
  <c r="EY59" i="18"/>
  <c r="EY73" i="18"/>
  <c r="Q50" i="18"/>
  <c r="AB50" i="18" s="1"/>
  <c r="Q64" i="18"/>
  <c r="AB64" i="18" s="1"/>
  <c r="Q67" i="18"/>
  <c r="AB67" i="18" s="1"/>
  <c r="Q53" i="18"/>
  <c r="AB53" i="18" s="1"/>
  <c r="Q74" i="18"/>
  <c r="AB74" i="18" s="1"/>
  <c r="Q60" i="18"/>
  <c r="AB60" i="18" s="1"/>
  <c r="Q56" i="18"/>
  <c r="AB56" i="18" s="1"/>
  <c r="Q70" i="18"/>
  <c r="AB70" i="18" s="1"/>
  <c r="DX64" i="18"/>
  <c r="EL64" i="18" s="1"/>
  <c r="DX50" i="18"/>
  <c r="EL50" i="18" s="1"/>
  <c r="P53" i="18"/>
  <c r="AA53" i="18" s="1"/>
  <c r="P67" i="18"/>
  <c r="AA67" i="18" s="1"/>
  <c r="P60" i="18"/>
  <c r="AA60" i="18" s="1"/>
  <c r="P74" i="18"/>
  <c r="AA74" i="18" s="1"/>
  <c r="P56" i="18"/>
  <c r="AA56" i="18" s="1"/>
  <c r="P70" i="18"/>
  <c r="AA70" i="18" s="1"/>
  <c r="P51" i="18"/>
  <c r="AA51" i="18" s="1"/>
  <c r="P65" i="18"/>
  <c r="AA65" i="18" s="1"/>
  <c r="P57" i="18"/>
  <c r="AA57" i="18" s="1"/>
  <c r="P71" i="18"/>
  <c r="AA71" i="18" s="1"/>
  <c r="EB68" i="18"/>
  <c r="EP68" i="18" s="1"/>
  <c r="EB54" i="18"/>
  <c r="EP54" i="18" s="1"/>
  <c r="EB66" i="18"/>
  <c r="EP66" i="18" s="1"/>
  <c r="EB52" i="18"/>
  <c r="EP52" i="18" s="1"/>
  <c r="EB50" i="18"/>
  <c r="EP50" i="18" s="1"/>
  <c r="EB64" i="18"/>
  <c r="EP64" i="18" s="1"/>
  <c r="BV59" i="18"/>
  <c r="CJ59" i="18" s="1"/>
  <c r="BV73" i="18"/>
  <c r="CJ73" i="18" s="1"/>
  <c r="BU2" i="31"/>
  <c r="BU6" i="31"/>
  <c r="BU10" i="31"/>
  <c r="BU13" i="31"/>
  <c r="BU17" i="31"/>
  <c r="BU21" i="31"/>
  <c r="BU25" i="31"/>
  <c r="BU29" i="31"/>
  <c r="BR5" i="31"/>
  <c r="BR9" i="31"/>
  <c r="BR12" i="31"/>
  <c r="BR16" i="31"/>
  <c r="BR20" i="31"/>
  <c r="BR24" i="31"/>
  <c r="BR28" i="31"/>
  <c r="BN5" i="31"/>
  <c r="BN9" i="31"/>
  <c r="BN12" i="31"/>
  <c r="BN16" i="31"/>
  <c r="BN20" i="31"/>
  <c r="BN24" i="31"/>
  <c r="BN28" i="31"/>
  <c r="BJ2" i="31"/>
  <c r="BJ6" i="31"/>
  <c r="BJ10" i="31"/>
  <c r="BJ13" i="31"/>
  <c r="BJ17" i="31"/>
  <c r="BJ21" i="31"/>
  <c r="BJ25" i="31"/>
  <c r="BJ29" i="31"/>
  <c r="BG5" i="31"/>
  <c r="BG12" i="31"/>
  <c r="BG20" i="31"/>
  <c r="BG28" i="31"/>
  <c r="BG6" i="31"/>
  <c r="BG13" i="31"/>
  <c r="BG21" i="31"/>
  <c r="BG29" i="31"/>
  <c r="BC5" i="31"/>
  <c r="BC22" i="31"/>
  <c r="BC6" i="31"/>
  <c r="BC13" i="31"/>
  <c r="BC21" i="31"/>
  <c r="BC29" i="31"/>
  <c r="BC11" i="31"/>
  <c r="BC30" i="31"/>
  <c r="N3" i="18"/>
  <c r="N7" i="18"/>
  <c r="N11" i="18"/>
  <c r="N34" i="18"/>
  <c r="Y34" i="18" s="1"/>
  <c r="N14" i="18"/>
  <c r="N18" i="18"/>
  <c r="N37" i="18"/>
  <c r="Y37" i="18" s="1"/>
  <c r="N22" i="18"/>
  <c r="N26" i="18"/>
  <c r="N36" i="18"/>
  <c r="Y36" i="18" s="1"/>
  <c r="N35" i="18"/>
  <c r="Y35" i="18" s="1"/>
  <c r="N30" i="18"/>
  <c r="C2" i="18"/>
  <c r="BB2" i="31"/>
  <c r="BB6" i="31"/>
  <c r="BB10" i="31"/>
  <c r="BB13" i="31"/>
  <c r="BB17" i="31"/>
  <c r="BB21" i="31"/>
  <c r="BB25" i="31"/>
  <c r="BB29" i="31"/>
  <c r="BA29" i="31" s="1"/>
  <c r="BP2" i="18"/>
  <c r="BP6" i="18"/>
  <c r="BP10" i="18"/>
  <c r="BP13" i="18"/>
  <c r="BP17" i="18"/>
  <c r="BP21" i="18"/>
  <c r="BP25" i="18"/>
  <c r="BP29" i="18"/>
  <c r="BZ23" i="31"/>
  <c r="DV23" i="18" s="1"/>
  <c r="BZ16" i="31"/>
  <c r="DV16" i="18" s="1"/>
  <c r="BZ24" i="31"/>
  <c r="DV24" i="18" s="1"/>
  <c r="BZ5" i="31"/>
  <c r="DV5" i="18" s="1"/>
  <c r="BZ9" i="31"/>
  <c r="DV9" i="18" s="1"/>
  <c r="BZ12" i="31"/>
  <c r="DV12" i="18" s="1"/>
  <c r="AD72" i="31"/>
  <c r="AD58" i="31"/>
  <c r="AD39" i="31"/>
  <c r="AD36" i="31"/>
  <c r="AD38" i="31"/>
  <c r="AD66" i="31"/>
  <c r="AD52" i="31"/>
  <c r="AV73" i="5"/>
  <c r="AZ73" i="5" s="1"/>
  <c r="AV59" i="5"/>
  <c r="AZ59" i="5" s="1"/>
  <c r="AV66" i="5"/>
  <c r="AZ66" i="5" s="1"/>
  <c r="AV52" i="5"/>
  <c r="AZ52" i="5" s="1"/>
  <c r="AV75" i="5"/>
  <c r="AZ75" i="5" s="1"/>
  <c r="AV61" i="5"/>
  <c r="AZ61" i="5" s="1"/>
  <c r="AV62" i="5"/>
  <c r="AZ62" i="5" s="1"/>
  <c r="AV76" i="5"/>
  <c r="AZ76" i="5" s="1"/>
  <c r="AV54" i="5"/>
  <c r="AZ54" i="5" s="1"/>
  <c r="AV68" i="5"/>
  <c r="AZ68" i="5" s="1"/>
  <c r="BO74" i="18"/>
  <c r="CC74" i="18" s="1"/>
  <c r="BO60" i="18"/>
  <c r="CC60" i="18" s="1"/>
  <c r="BO71" i="18"/>
  <c r="CC71" i="18" s="1"/>
  <c r="BO57" i="18"/>
  <c r="CC57" i="18" s="1"/>
  <c r="EZ68" i="18"/>
  <c r="FB68" i="18" s="1"/>
  <c r="EZ54" i="18"/>
  <c r="FB54" i="18" s="1"/>
  <c r="EZ72" i="18"/>
  <c r="FB72" i="18" s="1"/>
  <c r="EZ58" i="18"/>
  <c r="FB58" i="18" s="1"/>
  <c r="EZ55" i="18"/>
  <c r="FB55" i="18" s="1"/>
  <c r="EZ69" i="18"/>
  <c r="FB69" i="18" s="1"/>
  <c r="EZ66" i="18"/>
  <c r="FB66" i="18" s="1"/>
  <c r="EZ52" i="18"/>
  <c r="FB52" i="18" s="1"/>
  <c r="EZ64" i="18"/>
  <c r="EZ50" i="18"/>
  <c r="FB50" i="18" s="1"/>
  <c r="AH31" i="18"/>
  <c r="AH32" i="18"/>
  <c r="W53" i="18"/>
  <c r="AH53" i="18" s="1"/>
  <c r="W67" i="18"/>
  <c r="AH67" i="18" s="1"/>
  <c r="W54" i="18"/>
  <c r="AH54" i="18" s="1"/>
  <c r="W68" i="18"/>
  <c r="AH68" i="18" s="1"/>
  <c r="W76" i="18"/>
  <c r="AH76" i="18" s="1"/>
  <c r="W62" i="18"/>
  <c r="AH62" i="18" s="1"/>
  <c r="ED53" i="18"/>
  <c r="ER53" i="18" s="1"/>
  <c r="ED67" i="18"/>
  <c r="ER67" i="18" s="1"/>
  <c r="ED60" i="18"/>
  <c r="ER60" i="18" s="1"/>
  <c r="ED74" i="18"/>
  <c r="ER74" i="18" s="1"/>
  <c r="ED64" i="18"/>
  <c r="ER64" i="18" s="1"/>
  <c r="ED50" i="18"/>
  <c r="ER50" i="18" s="1"/>
  <c r="DZ64" i="18"/>
  <c r="EN64" i="18" s="1"/>
  <c r="DZ50" i="18"/>
  <c r="EN50" i="18" s="1"/>
  <c r="DZ58" i="18"/>
  <c r="EN58" i="18" s="1"/>
  <c r="DZ72" i="18"/>
  <c r="EN72" i="18" s="1"/>
  <c r="EN31" i="18"/>
  <c r="BT68" i="18"/>
  <c r="CH68" i="18" s="1"/>
  <c r="BT54" i="18"/>
  <c r="CH54" i="18" s="1"/>
  <c r="R51" i="18"/>
  <c r="AC51" i="18" s="1"/>
  <c r="R65" i="18"/>
  <c r="AC65" i="18" s="1"/>
  <c r="R57" i="18"/>
  <c r="AC57" i="18" s="1"/>
  <c r="R71" i="18"/>
  <c r="AC71" i="18" s="1"/>
  <c r="R59" i="18"/>
  <c r="AC59" i="18" s="1"/>
  <c r="R73" i="18"/>
  <c r="AC73" i="18" s="1"/>
  <c r="EM31" i="18"/>
  <c r="DY61" i="18"/>
  <c r="DY75" i="18"/>
  <c r="DY66" i="18"/>
  <c r="DY52" i="18"/>
  <c r="DY64" i="18"/>
  <c r="DY50" i="18"/>
  <c r="BX4" i="31"/>
  <c r="BX8" i="31"/>
  <c r="BX15" i="31"/>
  <c r="BX19" i="31"/>
  <c r="BX23" i="31"/>
  <c r="BX27" i="31"/>
  <c r="CW40" i="30"/>
  <c r="CW41" i="30"/>
  <c r="BZ41" i="30" s="1"/>
  <c r="CW42" i="30"/>
  <c r="CW49" i="30"/>
  <c r="CW76" i="30"/>
  <c r="CW62" i="30"/>
  <c r="BZ62" i="30" s="1"/>
  <c r="BQ3" i="31"/>
  <c r="BQ7" i="31"/>
  <c r="BQ11" i="31"/>
  <c r="BQ14" i="31"/>
  <c r="BQ18" i="31"/>
  <c r="BQ22" i="31"/>
  <c r="BQ26" i="31"/>
  <c r="BQ30" i="31"/>
  <c r="BM3" i="31"/>
  <c r="BM7" i="31"/>
  <c r="BM11" i="31"/>
  <c r="BM14" i="31"/>
  <c r="BM18" i="31"/>
  <c r="BM22" i="31"/>
  <c r="BM26" i="31"/>
  <c r="BM30" i="31"/>
  <c r="BI3" i="31"/>
  <c r="BI7" i="31"/>
  <c r="BI11" i="31"/>
  <c r="BI14" i="31"/>
  <c r="BI18" i="31"/>
  <c r="BI22" i="31"/>
  <c r="BI26" i="31"/>
  <c r="BI30" i="31"/>
  <c r="BF4" i="31"/>
  <c r="BF8" i="31"/>
  <c r="BF15" i="31"/>
  <c r="BF19" i="31"/>
  <c r="BF23" i="31"/>
  <c r="BF27" i="31"/>
  <c r="BY52" i="18"/>
  <c r="CM52" i="18" s="1"/>
  <c r="BY66" i="18"/>
  <c r="CM66" i="18" s="1"/>
  <c r="BX75" i="18"/>
  <c r="CL75" i="18" s="1"/>
  <c r="BX61" i="18"/>
  <c r="CL61" i="18" s="1"/>
  <c r="BZ62" i="18"/>
  <c r="CN62" i="18" s="1"/>
  <c r="BZ76" i="18"/>
  <c r="CN76" i="18" s="1"/>
  <c r="BU55" i="18"/>
  <c r="CI55" i="18" s="1"/>
  <c r="BU69" i="18"/>
  <c r="CI69" i="18" s="1"/>
  <c r="BT66" i="18"/>
  <c r="CH66" i="18" s="1"/>
  <c r="BT52" i="18"/>
  <c r="CH52" i="18" s="1"/>
  <c r="BS61" i="18"/>
  <c r="CG61" i="18" s="1"/>
  <c r="BS75" i="18"/>
  <c r="CG75" i="18" s="1"/>
  <c r="BY55" i="18"/>
  <c r="CM55" i="18" s="1"/>
  <c r="BY69" i="18"/>
  <c r="CM69" i="18" s="1"/>
  <c r="BX71" i="18"/>
  <c r="CL71" i="18" s="1"/>
  <c r="BX57" i="18"/>
  <c r="CL57" i="18" s="1"/>
  <c r="BU66" i="18"/>
  <c r="CI66" i="18" s="1"/>
  <c r="BU52" i="18"/>
  <c r="CI52" i="18" s="1"/>
  <c r="BZ52" i="18"/>
  <c r="CN52" i="18" s="1"/>
  <c r="BZ66" i="18"/>
  <c r="CN66" i="18" s="1"/>
  <c r="BR56" i="18"/>
  <c r="CF56" i="18" s="1"/>
  <c r="BR70" i="18"/>
  <c r="CF70" i="18" s="1"/>
  <c r="BX55" i="18"/>
  <c r="CL55" i="18" s="1"/>
  <c r="BX69" i="18"/>
  <c r="CL69" i="18" s="1"/>
  <c r="BV62" i="18"/>
  <c r="CJ62" i="18" s="1"/>
  <c r="BV76" i="18"/>
  <c r="CJ76" i="18" s="1"/>
  <c r="BS57" i="18"/>
  <c r="CG57" i="18" s="1"/>
  <c r="BS71" i="18"/>
  <c r="CG71" i="18" s="1"/>
  <c r="BZ61" i="18"/>
  <c r="CN61" i="18" s="1"/>
  <c r="BZ75" i="18"/>
  <c r="CN75" i="18" s="1"/>
  <c r="BV55" i="18"/>
  <c r="CJ55" i="18" s="1"/>
  <c r="BV69" i="18"/>
  <c r="CJ69" i="18" s="1"/>
  <c r="BU61" i="18"/>
  <c r="CI61" i="18" s="1"/>
  <c r="BU75" i="18"/>
  <c r="CI75" i="18" s="1"/>
  <c r="BV75" i="18"/>
  <c r="CJ75" i="18" s="1"/>
  <c r="BV61" i="18"/>
  <c r="CJ61" i="18" s="1"/>
  <c r="BS56" i="18"/>
  <c r="CG56" i="18" s="1"/>
  <c r="BS70" i="18"/>
  <c r="CG70" i="18" s="1"/>
  <c r="BZ69" i="18"/>
  <c r="CN69" i="18" s="1"/>
  <c r="BZ55" i="18"/>
  <c r="CN55" i="18" s="1"/>
  <c r="BR62" i="18"/>
  <c r="CF62" i="18" s="1"/>
  <c r="BR76" i="18"/>
  <c r="CF76" i="18" s="1"/>
  <c r="BW57" i="18"/>
  <c r="CK57" i="18" s="1"/>
  <c r="BW71" i="18"/>
  <c r="CK71" i="18" s="1"/>
  <c r="BW69" i="18"/>
  <c r="CK69" i="18" s="1"/>
  <c r="BW55" i="18"/>
  <c r="CK55" i="18" s="1"/>
  <c r="BV64" i="18"/>
  <c r="CJ64" i="18" s="1"/>
  <c r="BV50" i="18"/>
  <c r="CJ50" i="18" s="1"/>
  <c r="BT64" i="18"/>
  <c r="CH64" i="18" s="1"/>
  <c r="BT50" i="18"/>
  <c r="CH50" i="18" s="1"/>
  <c r="BU72" i="18"/>
  <c r="CI72" i="18" s="1"/>
  <c r="BU58" i="18"/>
  <c r="CI58" i="18" s="1"/>
  <c r="BV51" i="18"/>
  <c r="CJ51" i="18" s="1"/>
  <c r="BV65" i="18"/>
  <c r="CJ65" i="18" s="1"/>
  <c r="BV66" i="18"/>
  <c r="CJ66" i="18" s="1"/>
  <c r="BV52" i="18"/>
  <c r="CJ52" i="18" s="1"/>
  <c r="BR50" i="18"/>
  <c r="CF50" i="18" s="1"/>
  <c r="BR64" i="18"/>
  <c r="CF64" i="18" s="1"/>
  <c r="BV56" i="18"/>
  <c r="CJ56" i="18" s="1"/>
  <c r="BV70" i="18"/>
  <c r="CJ70" i="18" s="1"/>
  <c r="BU51" i="18"/>
  <c r="CI51" i="18" s="1"/>
  <c r="BU65" i="18"/>
  <c r="CI65" i="18" s="1"/>
  <c r="BR72" i="18"/>
  <c r="CF72" i="18" s="1"/>
  <c r="BR58" i="18"/>
  <c r="CF58" i="18" s="1"/>
  <c r="BW75" i="18"/>
  <c r="CK75" i="18" s="1"/>
  <c r="BW61" i="18"/>
  <c r="CK61" i="18" s="1"/>
  <c r="BX70" i="18"/>
  <c r="CL70" i="18" s="1"/>
  <c r="BX56" i="18"/>
  <c r="CL56" i="18" s="1"/>
  <c r="BS50" i="18"/>
  <c r="CG50" i="18" s="1"/>
  <c r="BS64" i="18"/>
  <c r="CG64" i="18" s="1"/>
  <c r="BY76" i="18"/>
  <c r="CM76" i="18" s="1"/>
  <c r="BY62" i="18"/>
  <c r="CM62" i="18" s="1"/>
  <c r="BZ71" i="18"/>
  <c r="CN71" i="18" s="1"/>
  <c r="BZ57" i="18"/>
  <c r="CN57" i="18" s="1"/>
  <c r="BT76" i="18"/>
  <c r="CH76" i="18" s="1"/>
  <c r="BT62" i="18"/>
  <c r="CH62" i="18" s="1"/>
  <c r="BY70" i="18"/>
  <c r="CM70" i="18" s="1"/>
  <c r="BY56" i="18"/>
  <c r="CM56" i="18" s="1"/>
  <c r="BX50" i="18"/>
  <c r="CL50" i="18" s="1"/>
  <c r="BX64" i="18"/>
  <c r="CL64" i="18" s="1"/>
  <c r="BT75" i="18"/>
  <c r="CH75" i="18" s="1"/>
  <c r="BT61" i="18"/>
  <c r="CH61" i="18" s="1"/>
  <c r="BS58" i="18"/>
  <c r="CG58" i="18" s="1"/>
  <c r="BS72" i="18"/>
  <c r="CG72" i="18" s="1"/>
  <c r="BY61" i="18"/>
  <c r="CM61" i="18" s="1"/>
  <c r="BY75" i="18"/>
  <c r="CM75" i="18" s="1"/>
  <c r="BZ56" i="18"/>
  <c r="CN56" i="18" s="1"/>
  <c r="BZ70" i="18"/>
  <c r="CN70" i="18" s="1"/>
  <c r="BW64" i="18"/>
  <c r="CK64" i="18" s="1"/>
  <c r="BW50" i="18"/>
  <c r="CK50" i="18" s="1"/>
  <c r="BX76" i="18"/>
  <c r="CL76" i="18" s="1"/>
  <c r="BX62" i="18"/>
  <c r="CL62" i="18" s="1"/>
  <c r="BT72" i="18"/>
  <c r="CH72" i="18" s="1"/>
  <c r="BT58" i="18"/>
  <c r="CH58" i="18" s="1"/>
  <c r="BW67" i="18"/>
  <c r="CK67" i="18" s="1"/>
  <c r="BW53" i="18"/>
  <c r="CK53" i="18" s="1"/>
  <c r="BT67" i="18"/>
  <c r="CH67" i="18" s="1"/>
  <c r="BT53" i="18"/>
  <c r="CH53" i="18" s="1"/>
  <c r="BV74" i="18"/>
  <c r="CJ74" i="18" s="1"/>
  <c r="BV60" i="18"/>
  <c r="CJ60" i="18" s="1"/>
  <c r="BX74" i="18"/>
  <c r="CL74" i="18" s="1"/>
  <c r="BX60" i="18"/>
  <c r="CL60" i="18" s="1"/>
  <c r="BR53" i="18"/>
  <c r="CF53" i="18" s="1"/>
  <c r="BR67" i="18"/>
  <c r="CF67" i="18" s="1"/>
  <c r="BR75" i="18"/>
  <c r="CF75" i="18" s="1"/>
  <c r="BR61" i="18"/>
  <c r="CF61" i="18" s="1"/>
  <c r="BS76" i="18"/>
  <c r="CG76" i="18" s="1"/>
  <c r="BS62" i="18"/>
  <c r="CG62" i="18" s="1"/>
  <c r="BU70" i="18"/>
  <c r="CI70" i="18" s="1"/>
  <c r="BU56" i="18"/>
  <c r="CI56" i="18" s="1"/>
  <c r="BT57" i="18"/>
  <c r="CH57" i="18" s="1"/>
  <c r="BT71" i="18"/>
  <c r="CH71" i="18" s="1"/>
  <c r="BV71" i="18"/>
  <c r="CJ71" i="18" s="1"/>
  <c r="BV57" i="18"/>
  <c r="CJ57" i="18" s="1"/>
  <c r="BU62" i="18"/>
  <c r="CI62" i="18" s="1"/>
  <c r="BU76" i="18"/>
  <c r="CI76" i="18" s="1"/>
  <c r="BX66" i="18"/>
  <c r="CL66" i="18" s="1"/>
  <c r="BX52" i="18"/>
  <c r="CL52" i="18" s="1"/>
  <c r="BR65" i="18"/>
  <c r="CF65" i="18" s="1"/>
  <c r="BR51" i="18"/>
  <c r="CF51" i="18" s="1"/>
  <c r="BU50" i="18"/>
  <c r="CI50" i="18" s="1"/>
  <c r="BU64" i="18"/>
  <c r="CI64" i="18" s="1"/>
  <c r="BX72" i="18"/>
  <c r="CL72" i="18" s="1"/>
  <c r="BX58" i="18"/>
  <c r="CL58" i="18" s="1"/>
  <c r="BS51" i="18"/>
  <c r="CG51" i="18" s="1"/>
  <c r="BS65" i="18"/>
  <c r="CG65" i="18" s="1"/>
  <c r="BZ64" i="18"/>
  <c r="CN64" i="18" s="1"/>
  <c r="BZ50" i="18"/>
  <c r="CN50" i="18" s="1"/>
  <c r="BV58" i="18"/>
  <c r="CJ58" i="18" s="1"/>
  <c r="BV72" i="18"/>
  <c r="CJ72" i="18" s="1"/>
  <c r="BX51" i="18"/>
  <c r="CL51" i="18" s="1"/>
  <c r="BX65" i="18"/>
  <c r="CL65" i="18" s="1"/>
  <c r="BW62" i="18"/>
  <c r="CK62" i="18" s="1"/>
  <c r="BW76" i="18"/>
  <c r="CK76" i="18" s="1"/>
  <c r="BZ72" i="18"/>
  <c r="CN72" i="18" s="1"/>
  <c r="BZ58" i="18"/>
  <c r="CN58" i="18" s="1"/>
  <c r="BW65" i="18"/>
  <c r="CK65" i="18" s="1"/>
  <c r="BW51" i="18"/>
  <c r="CK51" i="18" s="1"/>
  <c r="BT70" i="18"/>
  <c r="CH70" i="18" s="1"/>
  <c r="BT56" i="18"/>
  <c r="CH56" i="18" s="1"/>
  <c r="BR74" i="18"/>
  <c r="CF74" i="18" s="1"/>
  <c r="BR60" i="18"/>
  <c r="CF60" i="18" s="1"/>
  <c r="BX53" i="18"/>
  <c r="CL53" i="18" s="1"/>
  <c r="BX67" i="18"/>
  <c r="CL67" i="18" s="1"/>
  <c r="BY67" i="18"/>
  <c r="CM67" i="18" s="1"/>
  <c r="BY53" i="18"/>
  <c r="CM53" i="18" s="1"/>
  <c r="BS53" i="18"/>
  <c r="CG53" i="18" s="1"/>
  <c r="BS67" i="18"/>
  <c r="CG67" i="18" s="1"/>
  <c r="BT60" i="18"/>
  <c r="CH60" i="18" s="1"/>
  <c r="BT74" i="18"/>
  <c r="CH74" i="18" s="1"/>
  <c r="BW56" i="18"/>
  <c r="CK56" i="18" s="1"/>
  <c r="BW70" i="18"/>
  <c r="CK70" i="18" s="1"/>
  <c r="BY57" i="18"/>
  <c r="CM57" i="18" s="1"/>
  <c r="BY71" i="18"/>
  <c r="CM71" i="18" s="1"/>
  <c r="BW72" i="18"/>
  <c r="CK72" i="18" s="1"/>
  <c r="BW58" i="18"/>
  <c r="CK58" i="18" s="1"/>
  <c r="BY64" i="18"/>
  <c r="CM64" i="18" s="1"/>
  <c r="BY50" i="18"/>
  <c r="CM50" i="18" s="1"/>
  <c r="BT65" i="18"/>
  <c r="CH65" i="18" s="1"/>
  <c r="BT51" i="18"/>
  <c r="CH51" i="18" s="1"/>
  <c r="BY65" i="18"/>
  <c r="CM65" i="18" s="1"/>
  <c r="BY51" i="18"/>
  <c r="CM51" i="18" s="1"/>
  <c r="BY58" i="18"/>
  <c r="CM58" i="18" s="1"/>
  <c r="BY72" i="18"/>
  <c r="CM72" i="18" s="1"/>
  <c r="BU71" i="18"/>
  <c r="CI71" i="18" s="1"/>
  <c r="BU57" i="18"/>
  <c r="CI57" i="18" s="1"/>
  <c r="BS52" i="18"/>
  <c r="CG52" i="18" s="1"/>
  <c r="BS66" i="18"/>
  <c r="CG66" i="18" s="1"/>
  <c r="BZ65" i="18"/>
  <c r="CN65" i="18" s="1"/>
  <c r="BZ51" i="18"/>
  <c r="CN51" i="18" s="1"/>
  <c r="BR55" i="18"/>
  <c r="CF55" i="18" s="1"/>
  <c r="BR69" i="18"/>
  <c r="CF69" i="18" s="1"/>
  <c r="BR66" i="18"/>
  <c r="CF66" i="18" s="1"/>
  <c r="BR52" i="18"/>
  <c r="CF52" i="18" s="1"/>
  <c r="BR57" i="18"/>
  <c r="CF57" i="18" s="1"/>
  <c r="BR71" i="18"/>
  <c r="CF71" i="18" s="1"/>
  <c r="BW52" i="18"/>
  <c r="CK52" i="18" s="1"/>
  <c r="BW66" i="18"/>
  <c r="CK66" i="18" s="1"/>
  <c r="BS55" i="18"/>
  <c r="CG55" i="18" s="1"/>
  <c r="BS69" i="18"/>
  <c r="CG69" i="18" s="1"/>
  <c r="BT69" i="18"/>
  <c r="CH69" i="18" s="1"/>
  <c r="BT55" i="18"/>
  <c r="CH55" i="18" s="1"/>
  <c r="BS74" i="18"/>
  <c r="CG74" i="18" s="1"/>
  <c r="BS60" i="18"/>
  <c r="CG60" i="18" s="1"/>
  <c r="BZ53" i="18"/>
  <c r="CN53" i="18" s="1"/>
  <c r="BZ67" i="18"/>
  <c r="CN67" i="18" s="1"/>
  <c r="BU74" i="18"/>
  <c r="CI74" i="18" s="1"/>
  <c r="BU60" i="18"/>
  <c r="CI60" i="18" s="1"/>
  <c r="BY60" i="18"/>
  <c r="CM60" i="18" s="1"/>
  <c r="BY74" i="18"/>
  <c r="CM74" i="18" s="1"/>
  <c r="J31" i="18"/>
  <c r="L31" i="18"/>
  <c r="M31" i="18"/>
  <c r="CP45" i="18"/>
  <c r="H31" i="18"/>
  <c r="EW45" i="18"/>
  <c r="H45" i="18"/>
  <c r="J45" i="18"/>
  <c r="F45" i="18"/>
  <c r="AK31" i="18"/>
  <c r="AK45" i="18"/>
  <c r="I31" i="18"/>
  <c r="CP31" i="18"/>
  <c r="AK62" i="18"/>
  <c r="AK76" i="18"/>
  <c r="L58" i="18"/>
  <c r="L72" i="18"/>
  <c r="CQ32" i="18"/>
  <c r="CQ31" i="18" s="1"/>
  <c r="AK67" i="18"/>
  <c r="AK53" i="18"/>
  <c r="AK68" i="18"/>
  <c r="AK54" i="18"/>
  <c r="EW31" i="18"/>
  <c r="L54" i="18"/>
  <c r="L68" i="18"/>
  <c r="L52" i="18"/>
  <c r="L66" i="18"/>
  <c r="L69" i="18"/>
  <c r="L55" i="18"/>
  <c r="L62" i="18"/>
  <c r="L76" i="18"/>
  <c r="H74" i="18"/>
  <c r="H60" i="18"/>
  <c r="H72" i="18"/>
  <c r="H58" i="18"/>
  <c r="H62" i="18"/>
  <c r="H76" i="18"/>
  <c r="G67" i="18"/>
  <c r="G53" i="18"/>
  <c r="G45" i="18"/>
  <c r="G68" i="18"/>
  <c r="G54" i="18"/>
  <c r="G73" i="18"/>
  <c r="G59" i="18"/>
  <c r="G72" i="18"/>
  <c r="G58" i="18"/>
  <c r="G66" i="18"/>
  <c r="G52" i="18"/>
  <c r="M45" i="18"/>
  <c r="M64" i="18"/>
  <c r="M50" i="18"/>
  <c r="M72" i="18"/>
  <c r="M58" i="18"/>
  <c r="I68" i="18"/>
  <c r="I54" i="18"/>
  <c r="I67" i="18"/>
  <c r="I53" i="18"/>
  <c r="I45" i="18"/>
  <c r="I73" i="18"/>
  <c r="I59" i="18"/>
  <c r="I65" i="18"/>
  <c r="I51" i="18"/>
  <c r="I70" i="18"/>
  <c r="I56" i="18"/>
  <c r="I64" i="18"/>
  <c r="I50" i="18"/>
  <c r="I75" i="18"/>
  <c r="I61" i="18"/>
  <c r="I76" i="18"/>
  <c r="I62" i="18"/>
  <c r="I71" i="18"/>
  <c r="I57" i="18"/>
  <c r="CP68" i="18"/>
  <c r="CP54" i="18"/>
  <c r="CP65" i="18"/>
  <c r="CP51" i="18"/>
  <c r="CP66" i="18"/>
  <c r="CP52" i="18"/>
  <c r="CP69" i="18"/>
  <c r="CP55" i="18"/>
  <c r="CP72" i="18"/>
  <c r="CP58" i="18"/>
  <c r="J68" i="18"/>
  <c r="J54" i="18"/>
  <c r="J75" i="18"/>
  <c r="J61" i="18"/>
  <c r="J66" i="18"/>
  <c r="J52" i="18"/>
  <c r="D45" i="18"/>
  <c r="D66" i="18"/>
  <c r="D52" i="18"/>
  <c r="EV31" i="18"/>
  <c r="EV68" i="18"/>
  <c r="EV54" i="18"/>
  <c r="EV45" i="18"/>
  <c r="EV65" i="18"/>
  <c r="EV51" i="18"/>
  <c r="EV66" i="18"/>
  <c r="EV52" i="18"/>
  <c r="F68" i="18"/>
  <c r="F54" i="18"/>
  <c r="F51" i="18"/>
  <c r="F65" i="18"/>
  <c r="F70" i="18"/>
  <c r="F56" i="18"/>
  <c r="F64" i="18"/>
  <c r="F50" i="18"/>
  <c r="F71" i="18"/>
  <c r="F57" i="18"/>
  <c r="E73" i="18"/>
  <c r="E59" i="18"/>
  <c r="E69" i="18"/>
  <c r="E55" i="18"/>
  <c r="AL66" i="18"/>
  <c r="AL52" i="18"/>
  <c r="AL64" i="18"/>
  <c r="AL50" i="18"/>
  <c r="AL69" i="18"/>
  <c r="AL55" i="18"/>
  <c r="AL72" i="18"/>
  <c r="AL58" i="18"/>
  <c r="EW65" i="18"/>
  <c r="EW51" i="18"/>
  <c r="L60" i="18"/>
  <c r="L74" i="18"/>
  <c r="L70" i="18"/>
  <c r="L56" i="18"/>
  <c r="CR32" i="18"/>
  <c r="CR31" i="18" s="1"/>
  <c r="AK60" i="18"/>
  <c r="AK74" i="18"/>
  <c r="AK75" i="18"/>
  <c r="AK61" i="18"/>
  <c r="AK69" i="18"/>
  <c r="AK55" i="18"/>
  <c r="AK71" i="18"/>
  <c r="AK57" i="18"/>
  <c r="EW67" i="18"/>
  <c r="EW53" i="18"/>
  <c r="EW66" i="18"/>
  <c r="EW52" i="18"/>
  <c r="EW69" i="18"/>
  <c r="EW55" i="18"/>
  <c r="EW74" i="18"/>
  <c r="EW60" i="18"/>
  <c r="EW72" i="18"/>
  <c r="EW58" i="18"/>
  <c r="EW76" i="18"/>
  <c r="EW62" i="18"/>
  <c r="EW71" i="18"/>
  <c r="EW57" i="18"/>
  <c r="L73" i="18"/>
  <c r="L59" i="18"/>
  <c r="L45" i="18"/>
  <c r="L75" i="18"/>
  <c r="L61" i="18"/>
  <c r="L65" i="18"/>
  <c r="L51" i="18"/>
  <c r="L50" i="18"/>
  <c r="L64" i="18"/>
  <c r="L71" i="18"/>
  <c r="L57" i="18"/>
  <c r="H56" i="18"/>
  <c r="H70" i="18"/>
  <c r="H64" i="18"/>
  <c r="H50" i="18"/>
  <c r="G74" i="18"/>
  <c r="G60" i="18"/>
  <c r="G69" i="18"/>
  <c r="G55" i="18"/>
  <c r="G76" i="18"/>
  <c r="G62" i="18"/>
  <c r="M68" i="18"/>
  <c r="M54" i="18"/>
  <c r="M70" i="18"/>
  <c r="M56" i="18"/>
  <c r="M74" i="18"/>
  <c r="M60" i="18"/>
  <c r="M65" i="18"/>
  <c r="M51" i="18"/>
  <c r="M76" i="18"/>
  <c r="M62" i="18"/>
  <c r="M71" i="18"/>
  <c r="M57" i="18"/>
  <c r="I66" i="18"/>
  <c r="I52" i="18"/>
  <c r="CP73" i="18"/>
  <c r="CP59" i="18"/>
  <c r="CP64" i="18"/>
  <c r="CP50" i="18"/>
  <c r="CP74" i="18"/>
  <c r="CP60" i="18"/>
  <c r="J67" i="18"/>
  <c r="J53" i="18"/>
  <c r="J55" i="18"/>
  <c r="J69" i="18"/>
  <c r="D69" i="18"/>
  <c r="D55" i="18"/>
  <c r="D65" i="18"/>
  <c r="D51" i="18"/>
  <c r="D71" i="18"/>
  <c r="D57" i="18"/>
  <c r="EV69" i="18"/>
  <c r="EV55" i="18"/>
  <c r="EV74" i="18"/>
  <c r="EV60" i="18"/>
  <c r="EV72" i="18"/>
  <c r="EV58" i="18"/>
  <c r="EV76" i="18"/>
  <c r="EV62" i="18"/>
  <c r="EV71" i="18"/>
  <c r="F59" i="18"/>
  <c r="F73" i="18"/>
  <c r="F53" i="18"/>
  <c r="F67" i="18"/>
  <c r="F61" i="18"/>
  <c r="F75" i="18"/>
  <c r="F66" i="18"/>
  <c r="F52" i="18"/>
  <c r="F76" i="18"/>
  <c r="F62" i="18"/>
  <c r="E74" i="18"/>
  <c r="E60" i="18"/>
  <c r="E72" i="18"/>
  <c r="E58" i="18"/>
  <c r="AL67" i="18"/>
  <c r="AL53" i="18"/>
  <c r="AL74" i="18"/>
  <c r="AL60" i="18"/>
  <c r="AL73" i="18"/>
  <c r="AL59" i="18"/>
  <c r="EW68" i="18"/>
  <c r="EW54" i="18"/>
  <c r="EW64" i="18"/>
  <c r="EW50" i="18"/>
  <c r="H73" i="18"/>
  <c r="H59" i="18"/>
  <c r="G71" i="18"/>
  <c r="G57" i="18"/>
  <c r="M75" i="18"/>
  <c r="M61" i="18"/>
  <c r="I69" i="18"/>
  <c r="I55" i="18"/>
  <c r="CP53" i="18"/>
  <c r="CP67" i="18"/>
  <c r="CP70" i="18"/>
  <c r="CP56" i="18"/>
  <c r="J74" i="18"/>
  <c r="J60" i="18"/>
  <c r="J72" i="18"/>
  <c r="J58" i="18"/>
  <c r="D74" i="18"/>
  <c r="D60" i="18"/>
  <c r="D58" i="18"/>
  <c r="D72" i="18"/>
  <c r="D75" i="18"/>
  <c r="D61" i="18"/>
  <c r="D62" i="18"/>
  <c r="D76" i="18"/>
  <c r="EV73" i="18"/>
  <c r="EV59" i="18"/>
  <c r="EV70" i="18"/>
  <c r="EV56" i="18"/>
  <c r="EV64" i="18"/>
  <c r="EV50" i="18"/>
  <c r="EV75" i="18"/>
  <c r="EV61" i="18"/>
  <c r="CQ64" i="18"/>
  <c r="CQ63" i="18" s="1"/>
  <c r="CQ50" i="18"/>
  <c r="CQ48" i="18" s="1"/>
  <c r="F69" i="18"/>
  <c r="F55" i="18"/>
  <c r="E65" i="18"/>
  <c r="E51" i="18"/>
  <c r="E70" i="18"/>
  <c r="E56" i="18"/>
  <c r="E64" i="18"/>
  <c r="E50" i="18"/>
  <c r="E71" i="18"/>
  <c r="E57" i="18"/>
  <c r="AL76" i="18"/>
  <c r="AL62" i="18"/>
  <c r="AL68" i="18"/>
  <c r="AL54" i="18"/>
  <c r="AL70" i="18"/>
  <c r="AL56" i="18"/>
  <c r="AK65" i="18"/>
  <c r="AK51" i="18"/>
  <c r="AK64" i="18"/>
  <c r="AK50" i="18"/>
  <c r="H54" i="18"/>
  <c r="H68" i="18"/>
  <c r="H66" i="18"/>
  <c r="H52" i="18"/>
  <c r="AK73" i="18"/>
  <c r="AK59" i="18"/>
  <c r="AK56" i="18"/>
  <c r="AK70" i="18"/>
  <c r="AK58" i="18"/>
  <c r="AK72" i="18"/>
  <c r="AK66" i="18"/>
  <c r="AK52" i="18"/>
  <c r="EW73" i="18"/>
  <c r="EW59" i="18"/>
  <c r="EW75" i="18"/>
  <c r="EW61" i="18"/>
  <c r="EW70" i="18"/>
  <c r="EW56" i="18"/>
  <c r="L67" i="18"/>
  <c r="L53" i="18"/>
  <c r="H67" i="18"/>
  <c r="H53" i="18"/>
  <c r="H69" i="18"/>
  <c r="H55" i="18"/>
  <c r="H75" i="18"/>
  <c r="H61" i="18"/>
  <c r="H65" i="18"/>
  <c r="H51" i="18"/>
  <c r="H71" i="18"/>
  <c r="H57" i="18"/>
  <c r="G75" i="18"/>
  <c r="G61" i="18"/>
  <c r="G65" i="18"/>
  <c r="G51" i="18"/>
  <c r="G70" i="18"/>
  <c r="G56" i="18"/>
  <c r="G64" i="18"/>
  <c r="G50" i="18"/>
  <c r="M67" i="18"/>
  <c r="M53" i="18"/>
  <c r="M73" i="18"/>
  <c r="M59" i="18"/>
  <c r="M66" i="18"/>
  <c r="M52" i="18"/>
  <c r="M69" i="18"/>
  <c r="M55" i="18"/>
  <c r="I74" i="18"/>
  <c r="I60" i="18"/>
  <c r="I72" i="18"/>
  <c r="I58" i="18"/>
  <c r="CP75" i="18"/>
  <c r="CP61" i="18"/>
  <c r="CP76" i="18"/>
  <c r="CP62" i="18"/>
  <c r="CP71" i="18"/>
  <c r="CP57" i="18"/>
  <c r="J59" i="18"/>
  <c r="J73" i="18"/>
  <c r="J51" i="18"/>
  <c r="J65" i="18"/>
  <c r="J70" i="18"/>
  <c r="J56" i="18"/>
  <c r="J64" i="18"/>
  <c r="J50" i="18"/>
  <c r="J76" i="18"/>
  <c r="J62" i="18"/>
  <c r="J57" i="18"/>
  <c r="J71" i="18"/>
  <c r="D67" i="18"/>
  <c r="D53" i="18"/>
  <c r="D73" i="18"/>
  <c r="D59" i="18"/>
  <c r="D68" i="18"/>
  <c r="D54" i="18"/>
  <c r="D56" i="18"/>
  <c r="D70" i="18"/>
  <c r="D50" i="18"/>
  <c r="D64" i="18"/>
  <c r="EV67" i="18"/>
  <c r="EV53" i="18"/>
  <c r="F74" i="18"/>
  <c r="F60" i="18"/>
  <c r="F72" i="18"/>
  <c r="F58" i="18"/>
  <c r="E68" i="18"/>
  <c r="E54" i="18"/>
  <c r="E67" i="18"/>
  <c r="E53" i="18"/>
  <c r="E45" i="18"/>
  <c r="E66" i="18"/>
  <c r="E52" i="18"/>
  <c r="E75" i="18"/>
  <c r="E61" i="18"/>
  <c r="E76" i="18"/>
  <c r="E62" i="18"/>
  <c r="AL45" i="18"/>
  <c r="AL65" i="18"/>
  <c r="AL51" i="18"/>
  <c r="AL75" i="18"/>
  <c r="AL61" i="18"/>
  <c r="AL71" i="18"/>
  <c r="AL57" i="18"/>
  <c r="D38" i="5"/>
  <c r="AD38" i="5" s="1"/>
  <c r="X2" i="30"/>
  <c r="X38" i="30" s="1"/>
  <c r="X32" i="30"/>
  <c r="X3" i="31"/>
  <c r="X40" i="30"/>
  <c r="X4" i="31"/>
  <c r="X5" i="31"/>
  <c r="X47" i="30"/>
  <c r="X6" i="31"/>
  <c r="X7" i="31"/>
  <c r="X8" i="31"/>
  <c r="X9" i="31"/>
  <c r="X46" i="30"/>
  <c r="X10" i="31"/>
  <c r="X46" i="31" s="1"/>
  <c r="X39" i="30"/>
  <c r="X11" i="31"/>
  <c r="X12" i="31"/>
  <c r="X33" i="30"/>
  <c r="X13" i="31"/>
  <c r="X34" i="30"/>
  <c r="X14" i="31"/>
  <c r="X44" i="30"/>
  <c r="X15" i="31"/>
  <c r="X16" i="31"/>
  <c r="X17" i="31"/>
  <c r="X18" i="31"/>
  <c r="X19" i="31"/>
  <c r="X20" i="31"/>
  <c r="X21" i="31"/>
  <c r="X37" i="30"/>
  <c r="X22" i="31"/>
  <c r="X49" i="30"/>
  <c r="X23" i="31"/>
  <c r="X49" i="31" s="1"/>
  <c r="X24" i="31"/>
  <c r="X25" i="31"/>
  <c r="X36" i="30"/>
  <c r="X26" i="31"/>
  <c r="X27" i="31"/>
  <c r="X43" i="30"/>
  <c r="X28" i="31"/>
  <c r="X29" i="31"/>
  <c r="X35" i="30"/>
  <c r="X30" i="31"/>
  <c r="U2" i="30"/>
  <c r="U38" i="30" s="1"/>
  <c r="U32" i="30"/>
  <c r="U3" i="31"/>
  <c r="U40" i="30"/>
  <c r="U4" i="31"/>
  <c r="U5" i="31"/>
  <c r="U47" i="30"/>
  <c r="U6" i="31"/>
  <c r="U7" i="31"/>
  <c r="U41" i="30"/>
  <c r="U8" i="31"/>
  <c r="U9" i="31"/>
  <c r="U46" i="30"/>
  <c r="U10" i="31"/>
  <c r="U46" i="31" s="1"/>
  <c r="U39" i="30"/>
  <c r="U11" i="31"/>
  <c r="U12" i="31"/>
  <c r="U33" i="30"/>
  <c r="U13" i="31"/>
  <c r="U34" i="30"/>
  <c r="U14" i="31"/>
  <c r="U44" i="30"/>
  <c r="U15" i="31"/>
  <c r="U16" i="31"/>
  <c r="U17" i="31"/>
  <c r="U18" i="31"/>
  <c r="U19" i="31"/>
  <c r="U20" i="31"/>
  <c r="U21" i="31"/>
  <c r="U22" i="31"/>
  <c r="U49" i="30"/>
  <c r="U23" i="31"/>
  <c r="U49" i="31" s="1"/>
  <c r="U24" i="31"/>
  <c r="U25" i="31"/>
  <c r="U36" i="30"/>
  <c r="U26" i="31"/>
  <c r="U27" i="31"/>
  <c r="U43" i="30"/>
  <c r="U28" i="31"/>
  <c r="U29" i="31"/>
  <c r="U35" i="30"/>
  <c r="U30" i="31"/>
  <c r="Q2" i="30"/>
  <c r="Q38" i="30" s="1"/>
  <c r="Q3" i="31"/>
  <c r="Q40" i="30"/>
  <c r="Q4" i="31"/>
  <c r="Q5" i="31"/>
  <c r="Q47" i="30"/>
  <c r="Q6" i="31"/>
  <c r="Q7" i="31"/>
  <c r="Q41" i="30"/>
  <c r="Q8" i="31"/>
  <c r="Q9" i="31"/>
  <c r="Q46" i="30"/>
  <c r="Q10" i="31"/>
  <c r="Q46" i="31" s="1"/>
  <c r="Q39" i="30"/>
  <c r="Q11" i="31"/>
  <c r="Q12" i="31"/>
  <c r="Q33" i="30"/>
  <c r="Q13" i="31"/>
  <c r="Q34" i="30"/>
  <c r="Q14" i="31"/>
  <c r="Q44" i="30"/>
  <c r="Q15" i="31"/>
  <c r="Q16" i="31"/>
  <c r="Q17" i="31"/>
  <c r="Q18" i="31"/>
  <c r="Q42" i="30"/>
  <c r="Q19" i="31"/>
  <c r="Q20" i="31"/>
  <c r="Q21" i="31"/>
  <c r="Q37" i="30"/>
  <c r="Q22" i="31"/>
  <c r="Q49" i="30"/>
  <c r="Q23" i="31"/>
  <c r="Q49" i="31" s="1"/>
  <c r="Q24" i="31"/>
  <c r="Q25" i="31"/>
  <c r="Q36" i="30"/>
  <c r="Q26" i="31"/>
  <c r="Q27" i="31"/>
  <c r="Q43" i="30"/>
  <c r="Q28" i="31"/>
  <c r="Q29" i="31"/>
  <c r="Q30" i="31"/>
  <c r="M2" i="30"/>
  <c r="M38" i="30" s="1"/>
  <c r="M32" i="30"/>
  <c r="M3" i="31"/>
  <c r="M40" i="30"/>
  <c r="M4" i="31"/>
  <c r="M5" i="31"/>
  <c r="M47" i="30"/>
  <c r="M6" i="31"/>
  <c r="M7" i="31"/>
  <c r="M41" i="30"/>
  <c r="M8" i="31"/>
  <c r="M9" i="31"/>
  <c r="M46" i="30"/>
  <c r="M10" i="31"/>
  <c r="M46" i="31" s="1"/>
  <c r="M39" i="30"/>
  <c r="M11" i="31"/>
  <c r="M12" i="31"/>
  <c r="M33" i="30"/>
  <c r="M13" i="31"/>
  <c r="M34" i="30"/>
  <c r="M14" i="31"/>
  <c r="M44" i="30"/>
  <c r="M15" i="31"/>
  <c r="M16" i="31"/>
  <c r="M17" i="31"/>
  <c r="M18" i="31"/>
  <c r="M19" i="31"/>
  <c r="M20" i="31"/>
  <c r="M21" i="31"/>
  <c r="M37" i="30"/>
  <c r="M22" i="31"/>
  <c r="M49" i="30"/>
  <c r="M23" i="31"/>
  <c r="M49" i="31" s="1"/>
  <c r="M24" i="31"/>
  <c r="M25" i="31"/>
  <c r="M36" i="30"/>
  <c r="M26" i="31"/>
  <c r="M27" i="31"/>
  <c r="M43" i="30"/>
  <c r="M28" i="31"/>
  <c r="M29" i="31"/>
  <c r="M35" i="30"/>
  <c r="M30" i="31"/>
  <c r="J2" i="30"/>
  <c r="J38" i="30" s="1"/>
  <c r="J41" i="30"/>
  <c r="J8" i="31"/>
  <c r="J9" i="31"/>
  <c r="J46" i="30"/>
  <c r="J10" i="31"/>
  <c r="J46" i="31" s="1"/>
  <c r="J39" i="30"/>
  <c r="J11" i="31"/>
  <c r="J12" i="31"/>
  <c r="J6" i="31"/>
  <c r="J7" i="31"/>
  <c r="J32" i="30"/>
  <c r="J3" i="31"/>
  <c r="J40" i="30"/>
  <c r="J4" i="31"/>
  <c r="J5" i="31"/>
  <c r="J33" i="30"/>
  <c r="J13" i="31"/>
  <c r="J34" i="30"/>
  <c r="J14" i="31"/>
  <c r="J15" i="31"/>
  <c r="J16" i="31"/>
  <c r="J17" i="31"/>
  <c r="J18" i="31"/>
  <c r="J42" i="30"/>
  <c r="J19" i="31"/>
  <c r="J20" i="31"/>
  <c r="J21" i="31"/>
  <c r="J22" i="31"/>
  <c r="J49" i="30"/>
  <c r="J23" i="31"/>
  <c r="J49" i="31" s="1"/>
  <c r="J24" i="31"/>
  <c r="J25" i="31"/>
  <c r="J36" i="30"/>
  <c r="J26" i="31"/>
  <c r="J27" i="31"/>
  <c r="J28" i="31"/>
  <c r="J29" i="31"/>
  <c r="J30" i="31"/>
  <c r="F2" i="30"/>
  <c r="F38" i="30" s="1"/>
  <c r="F3" i="31"/>
  <c r="F4" i="31"/>
  <c r="F47" i="30"/>
  <c r="F6" i="31"/>
  <c r="F41" i="30"/>
  <c r="F8" i="31"/>
  <c r="F9" i="31"/>
  <c r="F46" i="30"/>
  <c r="F10" i="31"/>
  <c r="F46" i="31" s="1"/>
  <c r="F39" i="30"/>
  <c r="F11" i="31"/>
  <c r="F12" i="31"/>
  <c r="F5" i="31"/>
  <c r="F7" i="31"/>
  <c r="F33" i="30"/>
  <c r="F13" i="31"/>
  <c r="F14" i="31"/>
  <c r="F15" i="31"/>
  <c r="F16" i="31"/>
  <c r="F17" i="31"/>
  <c r="F18" i="31"/>
  <c r="F42" i="30"/>
  <c r="F19" i="31"/>
  <c r="F20" i="31"/>
  <c r="F21" i="31"/>
  <c r="F37" i="30"/>
  <c r="F22" i="31"/>
  <c r="F49" i="30"/>
  <c r="F23" i="31"/>
  <c r="F49" i="31" s="1"/>
  <c r="F24" i="31"/>
  <c r="F25" i="31"/>
  <c r="F36" i="30"/>
  <c r="F26" i="31"/>
  <c r="F27" i="31"/>
  <c r="F43" i="30"/>
  <c r="F28" i="31"/>
  <c r="F29" i="31"/>
  <c r="F35" i="30"/>
  <c r="F30" i="31"/>
  <c r="AO41" i="5"/>
  <c r="AO68" i="5"/>
  <c r="AO54" i="5"/>
  <c r="AO39" i="5"/>
  <c r="AO34" i="5"/>
  <c r="AO44" i="5"/>
  <c r="AO72" i="5"/>
  <c r="AO58" i="5"/>
  <c r="AO42" i="5"/>
  <c r="AO70" i="5"/>
  <c r="AO56" i="5"/>
  <c r="AO64" i="5"/>
  <c r="AO50" i="5"/>
  <c r="AO76" i="5"/>
  <c r="AO62" i="5"/>
  <c r="AO73" i="5"/>
  <c r="AO59" i="5"/>
  <c r="AO37" i="5"/>
  <c r="AO49" i="5"/>
  <c r="AO69" i="5"/>
  <c r="AO55" i="5"/>
  <c r="AO43" i="5"/>
  <c r="AO71" i="5"/>
  <c r="AO57" i="5"/>
  <c r="AO35" i="5"/>
  <c r="AO74" i="5"/>
  <c r="AO60" i="5"/>
  <c r="AO33" i="5"/>
  <c r="AO66" i="5"/>
  <c r="AO52" i="5"/>
  <c r="AO47" i="5"/>
  <c r="AO32" i="5"/>
  <c r="AO40" i="5"/>
  <c r="AO67" i="5"/>
  <c r="AO53" i="5"/>
  <c r="AO46" i="5"/>
  <c r="AO38" i="5"/>
  <c r="AO75" i="5"/>
  <c r="AO61" i="5"/>
  <c r="AO51" i="5"/>
  <c r="AO65" i="5"/>
  <c r="AO36" i="5"/>
  <c r="AH47" i="5"/>
  <c r="AH59" i="5"/>
  <c r="AH73" i="5"/>
  <c r="AH37" i="5"/>
  <c r="AH49" i="5"/>
  <c r="AH55" i="5"/>
  <c r="AH69" i="5"/>
  <c r="AH43" i="5"/>
  <c r="AH57" i="5"/>
  <c r="AH71" i="5"/>
  <c r="AH35" i="5"/>
  <c r="AH41" i="5"/>
  <c r="AH32" i="5"/>
  <c r="AH39" i="5"/>
  <c r="AH34" i="5"/>
  <c r="AH44" i="5"/>
  <c r="AH72" i="5"/>
  <c r="AH58" i="5"/>
  <c r="AH40" i="5"/>
  <c r="AH53" i="5"/>
  <c r="AH67" i="5"/>
  <c r="AH46" i="5"/>
  <c r="AH38" i="5"/>
  <c r="AH74" i="5"/>
  <c r="AH60" i="5"/>
  <c r="AH33" i="5"/>
  <c r="AH66" i="5"/>
  <c r="AH52" i="5"/>
  <c r="AH61" i="5"/>
  <c r="AH75" i="5"/>
  <c r="AH51" i="5"/>
  <c r="AH65" i="5"/>
  <c r="AH36" i="5"/>
  <c r="AH68" i="5"/>
  <c r="AH54" i="5"/>
  <c r="AH42" i="5"/>
  <c r="AH70" i="5"/>
  <c r="AH56" i="5"/>
  <c r="AH64" i="5"/>
  <c r="AH50" i="5"/>
  <c r="AH76" i="5"/>
  <c r="AH62" i="5"/>
  <c r="T33" i="5"/>
  <c r="U35" i="5"/>
  <c r="R35" i="5"/>
  <c r="R33" i="5"/>
  <c r="S35" i="5"/>
  <c r="E33" i="5"/>
  <c r="V35" i="5"/>
  <c r="U33" i="5"/>
  <c r="T35" i="5"/>
  <c r="E35" i="5"/>
  <c r="AE35" i="5" s="1"/>
  <c r="V33" i="5"/>
  <c r="S33" i="5"/>
  <c r="BC53" i="5"/>
  <c r="BC67" i="5"/>
  <c r="BC54" i="5"/>
  <c r="BC68" i="5"/>
  <c r="BC61" i="5"/>
  <c r="BC75" i="5"/>
  <c r="BC65" i="5"/>
  <c r="BC51" i="5"/>
  <c r="BC49" i="5"/>
  <c r="BC50" i="5"/>
  <c r="BC64" i="5"/>
  <c r="BC57" i="5"/>
  <c r="BC71" i="5"/>
  <c r="BC47" i="5"/>
  <c r="BC74" i="5"/>
  <c r="BC60" i="5"/>
  <c r="BC66" i="5"/>
  <c r="BC52" i="5"/>
  <c r="BC70" i="5"/>
  <c r="BC56" i="5"/>
  <c r="BC69" i="5"/>
  <c r="BC55" i="5"/>
  <c r="BC73" i="5"/>
  <c r="BC59" i="5"/>
  <c r="BC58" i="5"/>
  <c r="BC72" i="5"/>
  <c r="BC46" i="5"/>
  <c r="BC62" i="5"/>
  <c r="BC76" i="5"/>
  <c r="S2" i="30"/>
  <c r="S38" i="30" s="1"/>
  <c r="S32" i="30"/>
  <c r="S3" i="31"/>
  <c r="S40" i="30"/>
  <c r="S4" i="31"/>
  <c r="S5" i="31"/>
  <c r="S47" i="30"/>
  <c r="S6" i="31"/>
  <c r="S7" i="31"/>
  <c r="S41" i="30"/>
  <c r="S8" i="31"/>
  <c r="S9" i="31"/>
  <c r="S46" i="30"/>
  <c r="S10" i="31"/>
  <c r="S46" i="31" s="1"/>
  <c r="S39" i="30"/>
  <c r="S11" i="31"/>
  <c r="S12" i="31"/>
  <c r="S33" i="30"/>
  <c r="S13" i="31"/>
  <c r="S34" i="30"/>
  <c r="S14" i="31"/>
  <c r="S15" i="31"/>
  <c r="S16" i="31"/>
  <c r="S17" i="31"/>
  <c r="S18" i="31"/>
  <c r="S42" i="30"/>
  <c r="S19" i="31"/>
  <c r="S20" i="31"/>
  <c r="S21" i="31"/>
  <c r="S37" i="30"/>
  <c r="S22" i="31"/>
  <c r="S23" i="31"/>
  <c r="S49" i="31" s="1"/>
  <c r="S24" i="31"/>
  <c r="S25" i="31"/>
  <c r="S36" i="30"/>
  <c r="S26" i="31"/>
  <c r="S27" i="31"/>
  <c r="S43" i="30"/>
  <c r="S28" i="31"/>
  <c r="S29" i="31"/>
  <c r="S35" i="30"/>
  <c r="S30" i="31"/>
  <c r="K2" i="30"/>
  <c r="K38" i="30" s="1"/>
  <c r="K3" i="31"/>
  <c r="K40" i="30"/>
  <c r="K4" i="31"/>
  <c r="K5" i="31"/>
  <c r="K47" i="30"/>
  <c r="K6" i="31"/>
  <c r="K7" i="31"/>
  <c r="K41" i="30"/>
  <c r="K8" i="31"/>
  <c r="K9" i="31"/>
  <c r="K46" i="30"/>
  <c r="K10" i="31"/>
  <c r="K46" i="31" s="1"/>
  <c r="K39" i="30"/>
  <c r="K11" i="31"/>
  <c r="K12" i="31"/>
  <c r="K33" i="30"/>
  <c r="K13" i="31"/>
  <c r="K34" i="30"/>
  <c r="K14" i="31"/>
  <c r="K44" i="30"/>
  <c r="K15" i="31"/>
  <c r="K16" i="31"/>
  <c r="K17" i="31"/>
  <c r="K18" i="31"/>
  <c r="K42" i="30"/>
  <c r="K19" i="31"/>
  <c r="K20" i="31"/>
  <c r="K21" i="31"/>
  <c r="K37" i="30"/>
  <c r="K22" i="31"/>
  <c r="K49" i="30"/>
  <c r="K23" i="31"/>
  <c r="K49" i="31" s="1"/>
  <c r="K24" i="31"/>
  <c r="K25" i="31"/>
  <c r="K36" i="30"/>
  <c r="K26" i="31"/>
  <c r="K27" i="31"/>
  <c r="K43" i="30"/>
  <c r="K28" i="31"/>
  <c r="K29" i="31"/>
  <c r="K35" i="30"/>
  <c r="K30" i="31"/>
  <c r="D38" i="30"/>
  <c r="D2" i="31"/>
  <c r="D33" i="30"/>
  <c r="D13" i="31"/>
  <c r="D34" i="30"/>
  <c r="D14" i="31"/>
  <c r="D44" i="30"/>
  <c r="D15" i="31"/>
  <c r="D16" i="31"/>
  <c r="D17" i="31"/>
  <c r="D18" i="31"/>
  <c r="D42" i="30"/>
  <c r="D19" i="31"/>
  <c r="D20" i="31"/>
  <c r="D21" i="31"/>
  <c r="D37" i="30"/>
  <c r="D22" i="31"/>
  <c r="D49" i="30"/>
  <c r="D23" i="31"/>
  <c r="D32" i="30"/>
  <c r="D3" i="31"/>
  <c r="D40" i="30"/>
  <c r="D4" i="31"/>
  <c r="D5" i="31"/>
  <c r="D47" i="30"/>
  <c r="D6" i="31"/>
  <c r="D7" i="31"/>
  <c r="D41" i="30"/>
  <c r="D8" i="31"/>
  <c r="D9" i="31"/>
  <c r="D46" i="30"/>
  <c r="D10" i="31"/>
  <c r="D11" i="31"/>
  <c r="D12" i="31"/>
  <c r="D24" i="31"/>
  <c r="D25" i="31"/>
  <c r="D26" i="31"/>
  <c r="D27" i="31"/>
  <c r="D43" i="30"/>
  <c r="D28" i="31"/>
  <c r="D29" i="31"/>
  <c r="D35" i="30"/>
  <c r="D30" i="31"/>
  <c r="V2" i="30"/>
  <c r="V38" i="30" s="1"/>
  <c r="V4" i="31"/>
  <c r="V5" i="31"/>
  <c r="V7" i="31"/>
  <c r="V41" i="30"/>
  <c r="V8" i="31"/>
  <c r="V9" i="31"/>
  <c r="V46" i="30"/>
  <c r="V10" i="31"/>
  <c r="V46" i="31" s="1"/>
  <c r="V39" i="30"/>
  <c r="V11" i="31"/>
  <c r="V12" i="31"/>
  <c r="V32" i="30"/>
  <c r="V3" i="31"/>
  <c r="V47" i="30"/>
  <c r="V6" i="31"/>
  <c r="V13" i="31"/>
  <c r="V34" i="30"/>
  <c r="V14" i="31"/>
  <c r="V15" i="31"/>
  <c r="V16" i="31"/>
  <c r="V17" i="31"/>
  <c r="V18" i="31"/>
  <c r="V42" i="30"/>
  <c r="V19" i="31"/>
  <c r="V20" i="31"/>
  <c r="V21" i="31"/>
  <c r="V22" i="31"/>
  <c r="V23" i="31"/>
  <c r="V49" i="31" s="1"/>
  <c r="V24" i="31"/>
  <c r="V25" i="31"/>
  <c r="V36" i="30"/>
  <c r="V26" i="31"/>
  <c r="V27" i="31"/>
  <c r="V43" i="30"/>
  <c r="V28" i="31"/>
  <c r="V29" i="31"/>
  <c r="V30" i="31"/>
  <c r="AA2" i="30"/>
  <c r="AA38" i="30" s="1"/>
  <c r="AA32" i="30"/>
  <c r="AA3" i="31"/>
  <c r="AA40" i="30"/>
  <c r="AA4" i="31"/>
  <c r="AA5" i="31"/>
  <c r="AA47" i="30"/>
  <c r="AA6" i="31"/>
  <c r="AA7" i="31"/>
  <c r="AA41" i="30"/>
  <c r="AA8" i="31"/>
  <c r="AA9" i="31"/>
  <c r="AA46" i="30"/>
  <c r="AA10" i="31"/>
  <c r="AA46" i="31" s="1"/>
  <c r="AA39" i="30"/>
  <c r="AA11" i="31"/>
  <c r="AA12" i="31"/>
  <c r="AA33" i="30"/>
  <c r="AA13" i="31"/>
  <c r="AA34" i="30"/>
  <c r="AA14" i="31"/>
  <c r="AA15" i="31"/>
  <c r="AA16" i="31"/>
  <c r="AA17" i="31"/>
  <c r="AA18" i="31"/>
  <c r="AA42" i="30"/>
  <c r="AA19" i="31"/>
  <c r="AA20" i="31"/>
  <c r="AA21" i="31"/>
  <c r="AA37" i="30"/>
  <c r="AA22" i="31"/>
  <c r="AA23" i="31"/>
  <c r="AA49" i="31" s="1"/>
  <c r="AA24" i="31"/>
  <c r="AA25" i="31"/>
  <c r="AA36" i="30"/>
  <c r="AA26" i="31"/>
  <c r="AA27" i="31"/>
  <c r="AA43" i="30"/>
  <c r="AA28" i="31"/>
  <c r="AA29" i="31"/>
  <c r="AA35" i="30"/>
  <c r="AA30" i="31"/>
  <c r="W2" i="30"/>
  <c r="W38" i="30" s="1"/>
  <c r="W32" i="30"/>
  <c r="W3" i="31"/>
  <c r="W40" i="30"/>
  <c r="W4" i="31"/>
  <c r="W5" i="31"/>
  <c r="W47" i="30"/>
  <c r="W6" i="31"/>
  <c r="W7" i="31"/>
  <c r="W41" i="30"/>
  <c r="W8" i="31"/>
  <c r="W9" i="31"/>
  <c r="W46" i="30"/>
  <c r="W10" i="31"/>
  <c r="W46" i="31" s="1"/>
  <c r="W39" i="30"/>
  <c r="W11" i="31"/>
  <c r="W12" i="31"/>
  <c r="W33" i="30"/>
  <c r="W13" i="31"/>
  <c r="W34" i="30"/>
  <c r="W14" i="31"/>
  <c r="W44" i="30"/>
  <c r="W15" i="31"/>
  <c r="W16" i="31"/>
  <c r="W17" i="31"/>
  <c r="W18" i="31"/>
  <c r="W42" i="30"/>
  <c r="W19" i="31"/>
  <c r="W20" i="31"/>
  <c r="W21" i="31"/>
  <c r="W37" i="30"/>
  <c r="W22" i="31"/>
  <c r="W49" i="30"/>
  <c r="W23" i="31"/>
  <c r="W49" i="31" s="1"/>
  <c r="W24" i="31"/>
  <c r="W25" i="31"/>
  <c r="W36" i="30"/>
  <c r="W26" i="31"/>
  <c r="W27" i="31"/>
  <c r="W43" i="30"/>
  <c r="W28" i="31"/>
  <c r="W29" i="31"/>
  <c r="W35" i="30"/>
  <c r="W30" i="31"/>
  <c r="T2" i="30"/>
  <c r="T38" i="30" s="1"/>
  <c r="T33" i="30"/>
  <c r="T13" i="31"/>
  <c r="T34" i="30"/>
  <c r="T14" i="31"/>
  <c r="T44" i="30"/>
  <c r="T15" i="31"/>
  <c r="T16" i="31"/>
  <c r="T17" i="31"/>
  <c r="T18" i="31"/>
  <c r="T42" i="30"/>
  <c r="T19" i="31"/>
  <c r="T20" i="31"/>
  <c r="T21" i="31"/>
  <c r="T37" i="30"/>
  <c r="T22" i="31"/>
  <c r="T49" i="30"/>
  <c r="T23" i="31"/>
  <c r="T49" i="31" s="1"/>
  <c r="T32" i="30"/>
  <c r="T3" i="31"/>
  <c r="T40" i="30"/>
  <c r="T4" i="31"/>
  <c r="T5" i="31"/>
  <c r="T47" i="30"/>
  <c r="T6" i="31"/>
  <c r="T7" i="31"/>
  <c r="T41" i="30"/>
  <c r="T8" i="31"/>
  <c r="T9" i="31"/>
  <c r="T46" i="30"/>
  <c r="T10" i="31"/>
  <c r="T46" i="31" s="1"/>
  <c r="T39" i="30"/>
  <c r="T11" i="31"/>
  <c r="T12" i="31"/>
  <c r="T24" i="31"/>
  <c r="T25" i="31"/>
  <c r="T36" i="30"/>
  <c r="T26" i="31"/>
  <c r="T27" i="31"/>
  <c r="T43" i="30"/>
  <c r="T28" i="31"/>
  <c r="T29" i="31"/>
  <c r="T35" i="30"/>
  <c r="T30" i="31"/>
  <c r="P2" i="30"/>
  <c r="P38" i="30" s="1"/>
  <c r="P33" i="30"/>
  <c r="P13" i="31"/>
  <c r="P34" i="30"/>
  <c r="P14" i="31"/>
  <c r="P44" i="30"/>
  <c r="P15" i="31"/>
  <c r="P16" i="31"/>
  <c r="P17" i="31"/>
  <c r="P18" i="31"/>
  <c r="P42" i="30"/>
  <c r="P19" i="31"/>
  <c r="P20" i="31"/>
  <c r="P21" i="31"/>
  <c r="P37" i="30"/>
  <c r="P22" i="31"/>
  <c r="P49" i="30"/>
  <c r="P23" i="31"/>
  <c r="P49" i="31" s="1"/>
  <c r="P32" i="30"/>
  <c r="P3" i="31"/>
  <c r="P40" i="30"/>
  <c r="P4" i="31"/>
  <c r="P5" i="31"/>
  <c r="P47" i="30"/>
  <c r="P6" i="31"/>
  <c r="P7" i="31"/>
  <c r="P41" i="30"/>
  <c r="P8" i="31"/>
  <c r="P9" i="31"/>
  <c r="P46" i="30"/>
  <c r="P10" i="31"/>
  <c r="P46" i="31" s="1"/>
  <c r="P39" i="30"/>
  <c r="P11" i="31"/>
  <c r="P12" i="31"/>
  <c r="P24" i="31"/>
  <c r="P25" i="31"/>
  <c r="P36" i="30"/>
  <c r="P26" i="31"/>
  <c r="P27" i="31"/>
  <c r="P43" i="30"/>
  <c r="P28" i="31"/>
  <c r="P29" i="31"/>
  <c r="P35" i="30"/>
  <c r="P30" i="31"/>
  <c r="L2" i="30"/>
  <c r="L38" i="30" s="1"/>
  <c r="L32" i="30"/>
  <c r="L3" i="31"/>
  <c r="L40" i="30"/>
  <c r="L4" i="31"/>
  <c r="L5" i="31"/>
  <c r="L47" i="30"/>
  <c r="L6" i="31"/>
  <c r="L7" i="31"/>
  <c r="L41" i="30"/>
  <c r="L8" i="31"/>
  <c r="L9" i="31"/>
  <c r="L46" i="30"/>
  <c r="L10" i="31"/>
  <c r="L46" i="31" s="1"/>
  <c r="L39" i="30"/>
  <c r="L11" i="31"/>
  <c r="L12" i="31"/>
  <c r="L33" i="30"/>
  <c r="L13" i="31"/>
  <c r="L34" i="30"/>
  <c r="L14" i="31"/>
  <c r="L44" i="30"/>
  <c r="L15" i="31"/>
  <c r="L16" i="31"/>
  <c r="L17" i="31"/>
  <c r="L18" i="31"/>
  <c r="L42" i="30"/>
  <c r="L19" i="31"/>
  <c r="L20" i="31"/>
  <c r="L21" i="31"/>
  <c r="L37" i="30"/>
  <c r="L22" i="31"/>
  <c r="L49" i="30"/>
  <c r="L23" i="31"/>
  <c r="L49" i="31" s="1"/>
  <c r="L24" i="31"/>
  <c r="L25" i="31"/>
  <c r="L36" i="30"/>
  <c r="L26" i="31"/>
  <c r="L27" i="31"/>
  <c r="L43" i="30"/>
  <c r="L28" i="31"/>
  <c r="L29" i="31"/>
  <c r="L35" i="30"/>
  <c r="L30" i="31"/>
  <c r="I2" i="30"/>
  <c r="I38" i="30" s="1"/>
  <c r="I32" i="30"/>
  <c r="I3" i="31"/>
  <c r="I40" i="30"/>
  <c r="I4" i="31"/>
  <c r="I5" i="31"/>
  <c r="I47" i="30"/>
  <c r="I6" i="31"/>
  <c r="I7" i="31"/>
  <c r="I41" i="30"/>
  <c r="I8" i="31"/>
  <c r="I9" i="31"/>
  <c r="I46" i="30"/>
  <c r="I10" i="31"/>
  <c r="I46" i="31" s="1"/>
  <c r="I39" i="30"/>
  <c r="I11" i="31"/>
  <c r="I12" i="31"/>
  <c r="I33" i="30"/>
  <c r="I13" i="31"/>
  <c r="I34" i="30"/>
  <c r="I14" i="31"/>
  <c r="I44" i="30"/>
  <c r="I15" i="31"/>
  <c r="I16" i="31"/>
  <c r="I17" i="31"/>
  <c r="I18" i="31"/>
  <c r="I42" i="30"/>
  <c r="I19" i="31"/>
  <c r="I20" i="31"/>
  <c r="I21" i="31"/>
  <c r="I37" i="30"/>
  <c r="I22" i="31"/>
  <c r="I49" i="30"/>
  <c r="I23" i="31"/>
  <c r="I49" i="31" s="1"/>
  <c r="I24" i="31"/>
  <c r="I25" i="31"/>
  <c r="I36" i="30"/>
  <c r="I26" i="31"/>
  <c r="I27" i="31"/>
  <c r="I43" i="30"/>
  <c r="I28" i="31"/>
  <c r="I29" i="31"/>
  <c r="I35" i="30"/>
  <c r="I30" i="31"/>
  <c r="E2" i="30"/>
  <c r="E38" i="30" s="1"/>
  <c r="E32" i="30"/>
  <c r="E3" i="31"/>
  <c r="E40" i="30"/>
  <c r="E4" i="31"/>
  <c r="E5" i="31"/>
  <c r="E47" i="30"/>
  <c r="E6" i="31"/>
  <c r="E7" i="31"/>
  <c r="E41" i="30"/>
  <c r="E8" i="31"/>
  <c r="E9" i="31"/>
  <c r="E46" i="30"/>
  <c r="E10" i="31"/>
  <c r="E46" i="31" s="1"/>
  <c r="E39" i="30"/>
  <c r="E11" i="31"/>
  <c r="E12" i="31"/>
  <c r="E33" i="30"/>
  <c r="E13" i="31"/>
  <c r="E34" i="30"/>
  <c r="E14" i="31"/>
  <c r="E44" i="30"/>
  <c r="E15" i="31"/>
  <c r="E16" i="31"/>
  <c r="E17" i="31"/>
  <c r="E18" i="31"/>
  <c r="E42" i="30"/>
  <c r="E19" i="31"/>
  <c r="E20" i="31"/>
  <c r="E21" i="31"/>
  <c r="E37" i="30"/>
  <c r="E22" i="31"/>
  <c r="E49" i="30"/>
  <c r="E23" i="31"/>
  <c r="E49" i="31" s="1"/>
  <c r="E24" i="31"/>
  <c r="E25" i="31"/>
  <c r="E36" i="30"/>
  <c r="E26" i="31"/>
  <c r="E27" i="31"/>
  <c r="E43" i="30"/>
  <c r="E28" i="31"/>
  <c r="E29" i="31"/>
  <c r="E35" i="30"/>
  <c r="E30" i="31"/>
  <c r="AQ74" i="5"/>
  <c r="AQ60" i="5"/>
  <c r="AQ33" i="5"/>
  <c r="AQ66" i="5"/>
  <c r="AQ52" i="5"/>
  <c r="AQ61" i="5"/>
  <c r="AQ75" i="5"/>
  <c r="AQ65" i="5"/>
  <c r="AQ51" i="5"/>
  <c r="AQ36" i="5"/>
  <c r="AQ32" i="5"/>
  <c r="AQ46" i="5"/>
  <c r="AQ41" i="5"/>
  <c r="AQ39" i="5"/>
  <c r="AQ34" i="5"/>
  <c r="AQ44" i="5"/>
  <c r="AQ58" i="5"/>
  <c r="AQ72" i="5"/>
  <c r="AQ42" i="5"/>
  <c r="AQ70" i="5"/>
  <c r="AQ56" i="5"/>
  <c r="AQ50" i="5"/>
  <c r="AQ64" i="5"/>
  <c r="AQ76" i="5"/>
  <c r="AQ62" i="5"/>
  <c r="AQ67" i="5"/>
  <c r="AQ53" i="5"/>
  <c r="AQ38" i="5"/>
  <c r="AQ68" i="5"/>
  <c r="AQ54" i="5"/>
  <c r="AQ47" i="5"/>
  <c r="AQ73" i="5"/>
  <c r="AQ59" i="5"/>
  <c r="AQ37" i="5"/>
  <c r="AQ49" i="5"/>
  <c r="AQ69" i="5"/>
  <c r="AQ55" i="5"/>
  <c r="AQ43" i="5"/>
  <c r="AQ71" i="5"/>
  <c r="AQ57" i="5"/>
  <c r="AQ35" i="5"/>
  <c r="AQ40" i="5"/>
  <c r="BA10" i="31"/>
  <c r="BA19" i="31"/>
  <c r="Z2" i="30"/>
  <c r="Z38" i="30" s="1"/>
  <c r="Z7" i="31"/>
  <c r="Z41" i="30"/>
  <c r="Z8" i="31"/>
  <c r="Z9" i="31"/>
  <c r="Z46" i="30"/>
  <c r="Z10" i="31"/>
  <c r="Z46" i="31" s="1"/>
  <c r="Z39" i="30"/>
  <c r="Z11" i="31"/>
  <c r="Z12" i="31"/>
  <c r="Z32" i="30"/>
  <c r="Z3" i="31"/>
  <c r="Z4" i="31"/>
  <c r="Z5" i="31"/>
  <c r="Z47" i="30"/>
  <c r="Z6" i="31"/>
  <c r="Z33" i="30"/>
  <c r="Z13" i="31"/>
  <c r="Z34" i="30"/>
  <c r="Z14" i="31"/>
  <c r="Z44" i="30"/>
  <c r="Z15" i="31"/>
  <c r="Z16" i="31"/>
  <c r="Z17" i="31"/>
  <c r="Z18" i="31"/>
  <c r="Z19" i="31"/>
  <c r="Z20" i="31"/>
  <c r="Z21" i="31"/>
  <c r="Z37" i="30"/>
  <c r="Z22" i="31"/>
  <c r="Z49" i="30"/>
  <c r="Z23" i="31"/>
  <c r="Z49" i="31" s="1"/>
  <c r="Z24" i="31"/>
  <c r="Z25" i="31"/>
  <c r="Z36" i="30"/>
  <c r="Z26" i="31"/>
  <c r="Z27" i="31"/>
  <c r="Z43" i="30"/>
  <c r="Z28" i="31"/>
  <c r="Z29" i="31"/>
  <c r="Z35" i="30"/>
  <c r="Z30" i="31"/>
  <c r="H2" i="30"/>
  <c r="H38" i="30" s="1"/>
  <c r="H32" i="30"/>
  <c r="H3" i="31"/>
  <c r="H40" i="30"/>
  <c r="H4" i="31"/>
  <c r="H5" i="31"/>
  <c r="H6" i="31"/>
  <c r="H7" i="31"/>
  <c r="H41" i="30"/>
  <c r="H8" i="31"/>
  <c r="H9" i="31"/>
  <c r="H46" i="30"/>
  <c r="H10" i="31"/>
  <c r="H46" i="31" s="1"/>
  <c r="H39" i="30"/>
  <c r="H11" i="31"/>
  <c r="H12" i="31"/>
  <c r="H33" i="30"/>
  <c r="H13" i="31"/>
  <c r="H34" i="30"/>
  <c r="H14" i="31"/>
  <c r="H44" i="30"/>
  <c r="H15" i="31"/>
  <c r="H16" i="31"/>
  <c r="H17" i="31"/>
  <c r="H18" i="31"/>
  <c r="H42" i="30"/>
  <c r="H19" i="31"/>
  <c r="H20" i="31"/>
  <c r="H21" i="31"/>
  <c r="H37" i="30"/>
  <c r="H22" i="31"/>
  <c r="H49" i="30"/>
  <c r="H23" i="31"/>
  <c r="H49" i="31" s="1"/>
  <c r="H24" i="31"/>
  <c r="H25" i="31"/>
  <c r="H36" i="30"/>
  <c r="H26" i="31"/>
  <c r="H27" i="31"/>
  <c r="H43" i="30"/>
  <c r="H28" i="31"/>
  <c r="H29" i="31"/>
  <c r="H35" i="30"/>
  <c r="H30" i="31"/>
  <c r="AU38" i="37"/>
  <c r="AX38" i="37"/>
  <c r="AU40" i="37"/>
  <c r="AX40" i="37"/>
  <c r="AX47" i="37"/>
  <c r="AU47" i="37"/>
  <c r="AX41" i="37"/>
  <c r="AU41" i="37"/>
  <c r="AU46" i="37"/>
  <c r="AX46" i="37"/>
  <c r="AU39" i="37"/>
  <c r="AU33" i="37"/>
  <c r="AX33" i="37"/>
  <c r="AU34" i="37"/>
  <c r="AX34" i="37"/>
  <c r="AU44" i="37"/>
  <c r="AU42" i="37"/>
  <c r="AX42" i="37"/>
  <c r="AU37" i="37"/>
  <c r="AX37" i="37"/>
  <c r="AU49" i="37"/>
  <c r="AX49" i="37"/>
  <c r="AU36" i="37"/>
  <c r="AX36" i="37"/>
  <c r="AU43" i="37"/>
  <c r="AX43" i="37"/>
  <c r="AX35" i="37"/>
  <c r="AU35" i="37"/>
  <c r="AU32" i="37"/>
  <c r="AX32" i="37"/>
  <c r="R2" i="30"/>
  <c r="R38" i="30" s="1"/>
  <c r="R32" i="30"/>
  <c r="R3" i="31"/>
  <c r="R47" i="30"/>
  <c r="R6" i="31"/>
  <c r="R7" i="31"/>
  <c r="R41" i="30"/>
  <c r="R8" i="31"/>
  <c r="R9" i="31"/>
  <c r="R46" i="30"/>
  <c r="R10" i="31"/>
  <c r="R46" i="31" s="1"/>
  <c r="R39" i="30"/>
  <c r="R11" i="31"/>
  <c r="R12" i="31"/>
  <c r="R5" i="31"/>
  <c r="R40" i="30"/>
  <c r="R4" i="31"/>
  <c r="R33" i="30"/>
  <c r="R13" i="31"/>
  <c r="R34" i="30"/>
  <c r="R14" i="31"/>
  <c r="R44" i="30"/>
  <c r="R15" i="31"/>
  <c r="R16" i="31"/>
  <c r="R17" i="31"/>
  <c r="R18" i="31"/>
  <c r="R42" i="30"/>
  <c r="R19" i="31"/>
  <c r="R20" i="31"/>
  <c r="R21" i="31"/>
  <c r="R37" i="30"/>
  <c r="R22" i="31"/>
  <c r="R49" i="30"/>
  <c r="R23" i="31"/>
  <c r="R49" i="31" s="1"/>
  <c r="R24" i="31"/>
  <c r="R25" i="31"/>
  <c r="R36" i="30"/>
  <c r="R26" i="31"/>
  <c r="R27" i="31"/>
  <c r="R43" i="30"/>
  <c r="R28" i="31"/>
  <c r="R29" i="31"/>
  <c r="R35" i="30"/>
  <c r="R30" i="31"/>
  <c r="G2" i="30"/>
  <c r="G38" i="30" s="1"/>
  <c r="G32" i="30"/>
  <c r="G3" i="31"/>
  <c r="G40" i="30"/>
  <c r="G4" i="31"/>
  <c r="G5" i="31"/>
  <c r="G6" i="31"/>
  <c r="G7" i="31"/>
  <c r="G41" i="30"/>
  <c r="G8" i="31"/>
  <c r="G9" i="31"/>
  <c r="G46" i="30"/>
  <c r="G10" i="31"/>
  <c r="G46" i="31" s="1"/>
  <c r="G39" i="30"/>
  <c r="G11" i="31"/>
  <c r="G12" i="31"/>
  <c r="G33" i="30"/>
  <c r="G13" i="31"/>
  <c r="G34" i="30"/>
  <c r="G14" i="31"/>
  <c r="G44" i="30"/>
  <c r="G15" i="31"/>
  <c r="G16" i="31"/>
  <c r="G17" i="31"/>
  <c r="G18" i="31"/>
  <c r="G42" i="30"/>
  <c r="G19" i="31"/>
  <c r="G20" i="31"/>
  <c r="G21" i="31"/>
  <c r="G22" i="31"/>
  <c r="G49" i="30"/>
  <c r="G23" i="31"/>
  <c r="G49" i="31" s="1"/>
  <c r="G24" i="31"/>
  <c r="G25" i="31"/>
  <c r="G36" i="30"/>
  <c r="G26" i="31"/>
  <c r="G27" i="31"/>
  <c r="G43" i="30"/>
  <c r="G28" i="31"/>
  <c r="G29" i="31"/>
  <c r="G30" i="31"/>
  <c r="O2" i="30"/>
  <c r="O38" i="30" s="1"/>
  <c r="O32" i="30"/>
  <c r="O3" i="31"/>
  <c r="O40" i="30"/>
  <c r="O4" i="31"/>
  <c r="O5" i="31"/>
  <c r="O47" i="30"/>
  <c r="O6" i="31"/>
  <c r="O7" i="31"/>
  <c r="O41" i="30"/>
  <c r="O8" i="31"/>
  <c r="O9" i="31"/>
  <c r="O46" i="30"/>
  <c r="O10" i="31"/>
  <c r="O46" i="31" s="1"/>
  <c r="O39" i="30"/>
  <c r="O11" i="31"/>
  <c r="O12" i="31"/>
  <c r="O33" i="30"/>
  <c r="O13" i="31"/>
  <c r="O34" i="30"/>
  <c r="O14" i="31"/>
  <c r="O15" i="31"/>
  <c r="O16" i="31"/>
  <c r="O17" i="31"/>
  <c r="O18" i="31"/>
  <c r="O42" i="30"/>
  <c r="O19" i="31"/>
  <c r="O20" i="31"/>
  <c r="O21" i="31"/>
  <c r="O37" i="30"/>
  <c r="O22" i="31"/>
  <c r="O23" i="31"/>
  <c r="O49" i="31" s="1"/>
  <c r="O24" i="31"/>
  <c r="O25" i="31"/>
  <c r="O36" i="30"/>
  <c r="O26" i="31"/>
  <c r="O27" i="31"/>
  <c r="O43" i="30"/>
  <c r="O28" i="31"/>
  <c r="O29" i="31"/>
  <c r="O35" i="30"/>
  <c r="O30" i="31"/>
  <c r="AG32" i="5"/>
  <c r="AI3" i="5"/>
  <c r="AG40" i="5"/>
  <c r="AI4" i="5"/>
  <c r="AG53" i="5"/>
  <c r="AG67" i="5"/>
  <c r="AI5" i="5"/>
  <c r="AG46" i="5"/>
  <c r="AI10" i="5"/>
  <c r="AG47" i="5"/>
  <c r="AI6" i="5"/>
  <c r="AG33" i="5"/>
  <c r="AI13" i="5"/>
  <c r="AG52" i="5"/>
  <c r="AG66" i="5"/>
  <c r="AI17" i="5"/>
  <c r="AG61" i="5"/>
  <c r="AG75" i="5"/>
  <c r="AI18" i="5"/>
  <c r="AG51" i="5"/>
  <c r="AG65" i="5"/>
  <c r="AI21" i="5"/>
  <c r="AG36" i="5"/>
  <c r="AI26" i="5"/>
  <c r="AG38" i="5"/>
  <c r="AI2" i="5"/>
  <c r="AG60" i="5"/>
  <c r="AG74" i="5"/>
  <c r="AI12" i="5"/>
  <c r="AG41" i="5"/>
  <c r="AI8" i="5"/>
  <c r="AG54" i="5"/>
  <c r="AG68" i="5"/>
  <c r="AI9" i="5"/>
  <c r="AG39" i="5"/>
  <c r="AI11" i="5"/>
  <c r="AG34" i="5"/>
  <c r="AI14" i="5"/>
  <c r="AG44" i="5"/>
  <c r="AI15" i="5"/>
  <c r="AG58" i="5"/>
  <c r="AG72" i="5"/>
  <c r="AI16" i="5"/>
  <c r="AG42" i="5"/>
  <c r="AI19" i="5"/>
  <c r="AG56" i="5"/>
  <c r="AG70" i="5"/>
  <c r="AI20" i="5"/>
  <c r="AG50" i="5"/>
  <c r="AG64" i="5"/>
  <c r="AI25" i="5"/>
  <c r="AG62" i="5"/>
  <c r="AG76" i="5"/>
  <c r="AI27" i="5"/>
  <c r="AG59" i="5"/>
  <c r="AG73" i="5"/>
  <c r="AI7" i="5"/>
  <c r="AG37" i="5"/>
  <c r="AI22" i="5"/>
  <c r="AG49" i="5"/>
  <c r="AI23" i="5"/>
  <c r="AG55" i="5"/>
  <c r="AG69" i="5"/>
  <c r="AI24" i="5"/>
  <c r="AG43" i="5"/>
  <c r="AI28" i="5"/>
  <c r="AG57" i="5"/>
  <c r="AG71" i="5"/>
  <c r="AI29" i="5"/>
  <c r="AG35" i="5"/>
  <c r="AI30" i="5"/>
  <c r="D32" i="5"/>
  <c r="D67" i="5"/>
  <c r="D53" i="5"/>
  <c r="AD53" i="5" s="1"/>
  <c r="D59" i="5"/>
  <c r="AD59" i="5" s="1"/>
  <c r="D73" i="5"/>
  <c r="AD73" i="5" s="1"/>
  <c r="D68" i="5"/>
  <c r="AD68" i="5" s="1"/>
  <c r="D54" i="5"/>
  <c r="D39" i="5"/>
  <c r="AD39" i="5" s="1"/>
  <c r="D33" i="5"/>
  <c r="D44" i="5"/>
  <c r="AD44" i="5" s="1"/>
  <c r="D66" i="5"/>
  <c r="AD66" i="5" s="1"/>
  <c r="D52" i="5"/>
  <c r="D42" i="5"/>
  <c r="AD42" i="5" s="1"/>
  <c r="D51" i="5"/>
  <c r="AD51" i="5" s="1"/>
  <c r="D65" i="5"/>
  <c r="D49" i="5"/>
  <c r="AD49" i="5" s="1"/>
  <c r="D64" i="5"/>
  <c r="AD64" i="5" s="1"/>
  <c r="D50" i="5"/>
  <c r="AD50" i="5" s="1"/>
  <c r="D76" i="5"/>
  <c r="AD76" i="5" s="1"/>
  <c r="D62" i="5"/>
  <c r="D71" i="5"/>
  <c r="AD71" i="5" s="1"/>
  <c r="D57" i="5"/>
  <c r="AD57" i="5" s="1"/>
  <c r="D40" i="5"/>
  <c r="AD40" i="5" s="1"/>
  <c r="D47" i="5"/>
  <c r="AD47" i="5" s="1"/>
  <c r="D41" i="5"/>
  <c r="AD41" i="5" s="1"/>
  <c r="D46" i="5"/>
  <c r="D74" i="5"/>
  <c r="AD74" i="5" s="1"/>
  <c r="D60" i="5"/>
  <c r="D34" i="5"/>
  <c r="D72" i="5"/>
  <c r="D58" i="5"/>
  <c r="AD58" i="5" s="1"/>
  <c r="D75" i="5"/>
  <c r="D61" i="5"/>
  <c r="AD61" i="5" s="1"/>
  <c r="D70" i="5"/>
  <c r="AD70" i="5" s="1"/>
  <c r="D56" i="5"/>
  <c r="D37" i="5"/>
  <c r="D55" i="5"/>
  <c r="AD55" i="5" s="1"/>
  <c r="D69" i="5"/>
  <c r="D36" i="5"/>
  <c r="D43" i="5"/>
  <c r="AD43" i="5" s="1"/>
  <c r="D35" i="5"/>
  <c r="AD35" i="5" s="1"/>
  <c r="AP49" i="5"/>
  <c r="AY49" i="5" s="1"/>
  <c r="AP64" i="5"/>
  <c r="AY64" i="5" s="1"/>
  <c r="AP50" i="5"/>
  <c r="AY50" i="5" s="1"/>
  <c r="Y2" i="30"/>
  <c r="Y38" i="30" s="1"/>
  <c r="Y32" i="30"/>
  <c r="Y3" i="31"/>
  <c r="Y40" i="30"/>
  <c r="Y4" i="31"/>
  <c r="Y5" i="31"/>
  <c r="Y47" i="30"/>
  <c r="Y6" i="31"/>
  <c r="Y7" i="31"/>
  <c r="Y8" i="31"/>
  <c r="Y9" i="31"/>
  <c r="Y46" i="30"/>
  <c r="Y10" i="31"/>
  <c r="Y46" i="31" s="1"/>
  <c r="Y11" i="31"/>
  <c r="Y12" i="31"/>
  <c r="Y13" i="31"/>
  <c r="Y34" i="30"/>
  <c r="Y14" i="31"/>
  <c r="Y44" i="30"/>
  <c r="Y15" i="31"/>
  <c r="Y16" i="31"/>
  <c r="Y17" i="31"/>
  <c r="Y18" i="31"/>
  <c r="Y42" i="30"/>
  <c r="Y19" i="31"/>
  <c r="Y20" i="31"/>
  <c r="Y21" i="31"/>
  <c r="Y22" i="31"/>
  <c r="Y49" i="30"/>
  <c r="Y23" i="31"/>
  <c r="Y49" i="31" s="1"/>
  <c r="Y24" i="31"/>
  <c r="Y25" i="31"/>
  <c r="Y36" i="30"/>
  <c r="Y26" i="31"/>
  <c r="Y27" i="31"/>
  <c r="Y28" i="31"/>
  <c r="Y29" i="31"/>
  <c r="Y35" i="30"/>
  <c r="Y30" i="31"/>
  <c r="N2" i="30"/>
  <c r="N38" i="30" s="1"/>
  <c r="N5" i="31"/>
  <c r="N7" i="31"/>
  <c r="N41" i="30"/>
  <c r="N8" i="31"/>
  <c r="N9" i="31"/>
  <c r="N10" i="31"/>
  <c r="N46" i="31" s="1"/>
  <c r="N39" i="30"/>
  <c r="N11" i="31"/>
  <c r="N12" i="31"/>
  <c r="N32" i="30"/>
  <c r="N3" i="31"/>
  <c r="N40" i="30"/>
  <c r="N4" i="31"/>
  <c r="N47" i="30"/>
  <c r="N6" i="31"/>
  <c r="N33" i="30"/>
  <c r="N13" i="31"/>
  <c r="N34" i="30"/>
  <c r="N14" i="31"/>
  <c r="N44" i="30"/>
  <c r="N15" i="31"/>
  <c r="N16" i="31"/>
  <c r="N17" i="31"/>
  <c r="N18" i="31"/>
  <c r="N42" i="30"/>
  <c r="N19" i="31"/>
  <c r="N20" i="31"/>
  <c r="N21" i="31"/>
  <c r="N37" i="30"/>
  <c r="N22" i="31"/>
  <c r="N49" i="30"/>
  <c r="N23" i="31"/>
  <c r="N49" i="31" s="1"/>
  <c r="N24" i="31"/>
  <c r="N25" i="31"/>
  <c r="N36" i="30"/>
  <c r="N26" i="31"/>
  <c r="N27" i="31"/>
  <c r="N43" i="30"/>
  <c r="N28" i="31"/>
  <c r="N29" i="31"/>
  <c r="N35" i="30"/>
  <c r="N30" i="31"/>
  <c r="DA33" i="18"/>
  <c r="CW47" i="18"/>
  <c r="CW38" i="18"/>
  <c r="CW40" i="18"/>
  <c r="CW33" i="18"/>
  <c r="CW43" i="18"/>
  <c r="CW35" i="18"/>
  <c r="CV41" i="18"/>
  <c r="CV40" i="18"/>
  <c r="CV37" i="18"/>
  <c r="BX47" i="30"/>
  <c r="BX39" i="30"/>
  <c r="BX44" i="30"/>
  <c r="BX37" i="30"/>
  <c r="BQ38" i="30"/>
  <c r="BQ33" i="30"/>
  <c r="BQ42" i="30"/>
  <c r="BQ36" i="30"/>
  <c r="BM32" i="30"/>
  <c r="BM40" i="30"/>
  <c r="BM41" i="30"/>
  <c r="BM46" i="30"/>
  <c r="BM36" i="30"/>
  <c r="BM35" i="30"/>
  <c r="BI34" i="30"/>
  <c r="BI49" i="30"/>
  <c r="BF47" i="30"/>
  <c r="BF39" i="30"/>
  <c r="BF44" i="30"/>
  <c r="BF37" i="30"/>
  <c r="DC32" i="18"/>
  <c r="DC39" i="18"/>
  <c r="DC47" i="18"/>
  <c r="DC40" i="18"/>
  <c r="DC34" i="18"/>
  <c r="DC49" i="18"/>
  <c r="CT39" i="18"/>
  <c r="AN39" i="18"/>
  <c r="CT41" i="18"/>
  <c r="AN41" i="18"/>
  <c r="CT43" i="18"/>
  <c r="AN43" i="18"/>
  <c r="AN35" i="18"/>
  <c r="CT35" i="18"/>
  <c r="BW32" i="30"/>
  <c r="BW40" i="30"/>
  <c r="BW41" i="30"/>
  <c r="BW46" i="30"/>
  <c r="BW46" i="31"/>
  <c r="BW36" i="30"/>
  <c r="BW35" i="30"/>
  <c r="BT34" i="30"/>
  <c r="BT49" i="30"/>
  <c r="BT36" i="30"/>
  <c r="BP47" i="30"/>
  <c r="BP39" i="30"/>
  <c r="BP44" i="30"/>
  <c r="BP37" i="30"/>
  <c r="BL38" i="30"/>
  <c r="BL33" i="30"/>
  <c r="BY32" i="30"/>
  <c r="BY40" i="30"/>
  <c r="BY41" i="30"/>
  <c r="BY46" i="31"/>
  <c r="BY35" i="30"/>
  <c r="BE49" i="31"/>
  <c r="BD47" i="30"/>
  <c r="BD39" i="30"/>
  <c r="BD37" i="30"/>
  <c r="BD43" i="30"/>
  <c r="DD4" i="18"/>
  <c r="DD7" i="18"/>
  <c r="DD23" i="18"/>
  <c r="DD22" i="18"/>
  <c r="DD14" i="18"/>
  <c r="DD16" i="18"/>
  <c r="DD29" i="18"/>
  <c r="CZ32" i="18"/>
  <c r="CZ41" i="18"/>
  <c r="CZ43" i="18"/>
  <c r="CZ35" i="18"/>
  <c r="CX47" i="18"/>
  <c r="BV38" i="30"/>
  <c r="BV33" i="30"/>
  <c r="BV42" i="30"/>
  <c r="BS32" i="30"/>
  <c r="BS41" i="30"/>
  <c r="BS46" i="30"/>
  <c r="BS36" i="30"/>
  <c r="BO34" i="30"/>
  <c r="BO49" i="30"/>
  <c r="BK47" i="30"/>
  <c r="BK39" i="30"/>
  <c r="BK44" i="30"/>
  <c r="BK37" i="30"/>
  <c r="BK43" i="30"/>
  <c r="BH38" i="30"/>
  <c r="BH42" i="30"/>
  <c r="EX2" i="18"/>
  <c r="EX38" i="18" s="1"/>
  <c r="EX10" i="18"/>
  <c r="EX46" i="18" s="1"/>
  <c r="EX22" i="18"/>
  <c r="EX37" i="18" s="1"/>
  <c r="EX23" i="18"/>
  <c r="EX49" i="18" s="1"/>
  <c r="EX26" i="18"/>
  <c r="EX36" i="18" s="1"/>
  <c r="EX27" i="18"/>
  <c r="CU39" i="18"/>
  <c r="CU37" i="18"/>
  <c r="CU44" i="18"/>
  <c r="CU42" i="18"/>
  <c r="CU36" i="18"/>
  <c r="CU43" i="18"/>
  <c r="CY38" i="18"/>
  <c r="CY40" i="18"/>
  <c r="CY34" i="18"/>
  <c r="CY33" i="18"/>
  <c r="CY37" i="18"/>
  <c r="BU47" i="30"/>
  <c r="BU44" i="30"/>
  <c r="BU43" i="30"/>
  <c r="BR38" i="30"/>
  <c r="BR33" i="30"/>
  <c r="BR42" i="30"/>
  <c r="BN32" i="30"/>
  <c r="BN40" i="30"/>
  <c r="BN41" i="30"/>
  <c r="BN46" i="30"/>
  <c r="BN36" i="30"/>
  <c r="BJ34" i="30"/>
  <c r="BJ49" i="30"/>
  <c r="BJ49" i="31"/>
  <c r="BG37" i="30"/>
  <c r="BG43" i="30"/>
  <c r="BC33" i="30"/>
  <c r="BC42" i="30"/>
  <c r="DA49" i="18"/>
  <c r="DA38" i="18"/>
  <c r="DA40" i="18"/>
  <c r="DA39" i="18"/>
  <c r="DA44" i="18"/>
  <c r="CW37" i="18"/>
  <c r="CV47" i="18"/>
  <c r="CV39" i="18"/>
  <c r="CV49" i="18"/>
  <c r="BX34" i="30"/>
  <c r="BX49" i="30"/>
  <c r="BX49" i="31"/>
  <c r="BQ47" i="30"/>
  <c r="BQ39" i="30"/>
  <c r="BQ44" i="30"/>
  <c r="BQ37" i="30"/>
  <c r="BQ43" i="30"/>
  <c r="BM38" i="30"/>
  <c r="BM33" i="30"/>
  <c r="BM42" i="30"/>
  <c r="BI32" i="30"/>
  <c r="BI40" i="30"/>
  <c r="BI41" i="30"/>
  <c r="BI46" i="30"/>
  <c r="BI36" i="30"/>
  <c r="BI35" i="30"/>
  <c r="BF34" i="30"/>
  <c r="BF49" i="30"/>
  <c r="BF49" i="31"/>
  <c r="BF43" i="30"/>
  <c r="BB47" i="30"/>
  <c r="DC38" i="18"/>
  <c r="DC46" i="18"/>
  <c r="DC33" i="18"/>
  <c r="DC44" i="18"/>
  <c r="DC31" i="18" s="1"/>
  <c r="DC43" i="18"/>
  <c r="DC35" i="18"/>
  <c r="AN47" i="18"/>
  <c r="AN44" i="18"/>
  <c r="CT42" i="18"/>
  <c r="AN36" i="18"/>
  <c r="CT36" i="18"/>
  <c r="CT37" i="18"/>
  <c r="AN37" i="18"/>
  <c r="BW38" i="30"/>
  <c r="BW42" i="30"/>
  <c r="BT32" i="30"/>
  <c r="BT40" i="30"/>
  <c r="BT41" i="30"/>
  <c r="BT46" i="30"/>
  <c r="BT46" i="31"/>
  <c r="BT35" i="30"/>
  <c r="BP34" i="30"/>
  <c r="BL47" i="30"/>
  <c r="BL39" i="30"/>
  <c r="BL44" i="30"/>
  <c r="BL37" i="30"/>
  <c r="BL36" i="30"/>
  <c r="BY38" i="30"/>
  <c r="BY42" i="30"/>
  <c r="BE32" i="30"/>
  <c r="BE40" i="30"/>
  <c r="BE41" i="30"/>
  <c r="BE46" i="30"/>
  <c r="BE36" i="30"/>
  <c r="BE35" i="30"/>
  <c r="BD49" i="30"/>
  <c r="BD49" i="31"/>
  <c r="DD2" i="18"/>
  <c r="DD10" i="18"/>
  <c r="DD11" i="18"/>
  <c r="DD15" i="18"/>
  <c r="DD18" i="18"/>
  <c r="DD17" i="18"/>
  <c r="DD13" i="18"/>
  <c r="DD19" i="18"/>
  <c r="DD28" i="18"/>
  <c r="DD30" i="18"/>
  <c r="CZ38" i="18"/>
  <c r="CZ40" i="18"/>
  <c r="CZ47" i="18"/>
  <c r="CZ37" i="18"/>
  <c r="CZ44" i="18"/>
  <c r="CZ42" i="18"/>
  <c r="CZ36" i="18"/>
  <c r="CX38" i="18"/>
  <c r="CX40" i="18"/>
  <c r="CX44" i="18"/>
  <c r="CX42" i="18"/>
  <c r="CX49" i="18"/>
  <c r="BV47" i="30"/>
  <c r="BV39" i="30"/>
  <c r="BV44" i="30"/>
  <c r="BV37" i="30"/>
  <c r="BV43" i="30"/>
  <c r="BS38" i="30"/>
  <c r="BS33" i="30"/>
  <c r="BS42" i="30"/>
  <c r="BO32" i="30"/>
  <c r="BO40" i="30"/>
  <c r="BO41" i="30"/>
  <c r="BO46" i="30"/>
  <c r="BO46" i="31"/>
  <c r="BO36" i="30"/>
  <c r="BO35" i="30"/>
  <c r="BK34" i="30"/>
  <c r="BH47" i="30"/>
  <c r="BH39" i="30"/>
  <c r="BH33" i="30"/>
  <c r="BH37" i="30"/>
  <c r="BH43" i="30"/>
  <c r="EX6" i="18"/>
  <c r="EX47" i="18" s="1"/>
  <c r="EX8" i="18"/>
  <c r="EX41" i="18" s="1"/>
  <c r="EX21" i="18"/>
  <c r="EX20" i="18"/>
  <c r="EX16" i="18"/>
  <c r="EX29" i="18"/>
  <c r="CU46" i="18"/>
  <c r="CU49" i="18"/>
  <c r="CU34" i="18"/>
  <c r="CU33" i="18"/>
  <c r="CY41" i="18"/>
  <c r="CY49" i="18"/>
  <c r="BU39" i="30"/>
  <c r="BU34" i="30"/>
  <c r="BR47" i="30"/>
  <c r="BR39" i="30"/>
  <c r="BR44" i="30"/>
  <c r="BR37" i="30"/>
  <c r="BR43" i="30"/>
  <c r="BN38" i="30"/>
  <c r="BN33" i="30"/>
  <c r="BJ32" i="30"/>
  <c r="BJ40" i="30"/>
  <c r="BJ41" i="30"/>
  <c r="BJ46" i="31"/>
  <c r="BJ36" i="30"/>
  <c r="BJ35" i="30"/>
  <c r="BG44" i="30"/>
  <c r="BG49" i="30"/>
  <c r="BC39" i="30"/>
  <c r="BC44" i="30"/>
  <c r="BC37" i="30"/>
  <c r="DA32" i="18"/>
  <c r="DA47" i="18"/>
  <c r="DA41" i="18"/>
  <c r="DA36" i="18"/>
  <c r="DA43" i="18"/>
  <c r="DA35" i="18"/>
  <c r="CW41" i="18"/>
  <c r="CW39" i="18"/>
  <c r="CW49" i="18"/>
  <c r="CV44" i="18"/>
  <c r="CV42" i="18"/>
  <c r="CV36" i="18"/>
  <c r="CV34" i="18"/>
  <c r="CV33" i="18"/>
  <c r="CV43" i="18"/>
  <c r="CV35" i="18"/>
  <c r="BX32" i="30"/>
  <c r="BX40" i="30"/>
  <c r="BX41" i="30"/>
  <c r="BX46" i="30"/>
  <c r="BX36" i="30"/>
  <c r="BX35" i="30"/>
  <c r="BQ34" i="30"/>
  <c r="BQ49" i="30"/>
  <c r="BM47" i="30"/>
  <c r="BM39" i="30"/>
  <c r="BM44" i="30"/>
  <c r="BM37" i="30"/>
  <c r="BM43" i="30"/>
  <c r="BI38" i="30"/>
  <c r="BI33" i="30"/>
  <c r="BI42" i="30"/>
  <c r="BF32" i="30"/>
  <c r="BF40" i="30"/>
  <c r="BF41" i="30"/>
  <c r="BF46" i="30"/>
  <c r="BF46" i="31"/>
  <c r="BF36" i="30"/>
  <c r="DC37" i="18"/>
  <c r="AN32" i="18"/>
  <c r="AN34" i="18"/>
  <c r="CT34" i="18"/>
  <c r="CT33" i="18"/>
  <c r="AN49" i="18"/>
  <c r="CT49" i="18"/>
  <c r="BW47" i="30"/>
  <c r="BW39" i="30"/>
  <c r="BW44" i="30"/>
  <c r="BW37" i="30"/>
  <c r="BT38" i="30"/>
  <c r="BT33" i="30"/>
  <c r="BT42" i="30"/>
  <c r="BP32" i="30"/>
  <c r="BP40" i="30"/>
  <c r="BP46" i="30"/>
  <c r="BP36" i="30"/>
  <c r="BP43" i="30"/>
  <c r="BP35" i="30"/>
  <c r="BL34" i="30"/>
  <c r="BL49" i="30"/>
  <c r="BL49" i="31"/>
  <c r="BY47" i="30"/>
  <c r="BY39" i="30"/>
  <c r="BY44" i="30"/>
  <c r="BY37" i="30"/>
  <c r="BY43" i="30"/>
  <c r="BE38" i="30"/>
  <c r="BE33" i="30"/>
  <c r="BE42" i="30"/>
  <c r="BD32" i="30"/>
  <c r="BD40" i="30"/>
  <c r="BD46" i="30"/>
  <c r="DD6" i="18"/>
  <c r="DD8" i="18"/>
  <c r="DD26" i="18"/>
  <c r="DD24" i="18"/>
  <c r="CZ39" i="18"/>
  <c r="CZ49" i="18"/>
  <c r="CZ34" i="18"/>
  <c r="CZ33" i="18"/>
  <c r="CX46" i="18"/>
  <c r="CX33" i="18"/>
  <c r="CX43" i="18"/>
  <c r="CX35" i="18"/>
  <c r="BV34" i="30"/>
  <c r="BV49" i="30"/>
  <c r="BS47" i="30"/>
  <c r="BS44" i="30"/>
  <c r="BS43" i="30"/>
  <c r="BO38" i="30"/>
  <c r="BO33" i="30"/>
  <c r="BO42" i="30"/>
  <c r="BK40" i="30"/>
  <c r="BK41" i="30"/>
  <c r="BK46" i="30"/>
  <c r="BK46" i="31"/>
  <c r="BK36" i="30"/>
  <c r="BK35" i="30"/>
  <c r="BH44" i="30"/>
  <c r="BH49" i="30"/>
  <c r="BH49" i="31"/>
  <c r="EX11" i="18"/>
  <c r="EX39" i="18" s="1"/>
  <c r="EX5" i="18"/>
  <c r="EX7" i="18"/>
  <c r="EX14" i="18"/>
  <c r="EX34" i="18" s="1"/>
  <c r="EX24" i="18"/>
  <c r="EX13" i="18"/>
  <c r="EX33" i="18" s="1"/>
  <c r="EX19" i="18"/>
  <c r="EX42" i="18" s="1"/>
  <c r="EX15" i="18"/>
  <c r="EX44" i="18" s="1"/>
  <c r="EX18" i="18"/>
  <c r="CU40" i="18"/>
  <c r="CU41" i="18"/>
  <c r="CY39" i="18"/>
  <c r="CY47" i="18"/>
  <c r="AS6" i="18"/>
  <c r="AS47" i="18" s="1"/>
  <c r="CY43" i="18"/>
  <c r="CY35" i="18"/>
  <c r="BU41" i="30"/>
  <c r="BU46" i="30"/>
  <c r="BU46" i="31"/>
  <c r="BU36" i="30"/>
  <c r="BU35" i="30"/>
  <c r="BR34" i="30"/>
  <c r="BR49" i="30"/>
  <c r="BN47" i="30"/>
  <c r="BN39" i="30"/>
  <c r="BN44" i="30"/>
  <c r="BN37" i="30"/>
  <c r="BN43" i="30"/>
  <c r="BJ38" i="30"/>
  <c r="BJ33" i="30"/>
  <c r="BJ42" i="30"/>
  <c r="BG32" i="30"/>
  <c r="BG40" i="30"/>
  <c r="BG41" i="30"/>
  <c r="BG34" i="30"/>
  <c r="BG36" i="30"/>
  <c r="BG35" i="30"/>
  <c r="BC49" i="30"/>
  <c r="DA42" i="18"/>
  <c r="DA46" i="18"/>
  <c r="DA37" i="18"/>
  <c r="DA34" i="18"/>
  <c r="CW46" i="18"/>
  <c r="CW44" i="18"/>
  <c r="CW42" i="18"/>
  <c r="CW36" i="18"/>
  <c r="CW34" i="18"/>
  <c r="CV46" i="18"/>
  <c r="CV38" i="18"/>
  <c r="BX38" i="30"/>
  <c r="BX33" i="30"/>
  <c r="BX42" i="30"/>
  <c r="BX43" i="30"/>
  <c r="BQ32" i="30"/>
  <c r="BQ40" i="30"/>
  <c r="BQ41" i="30"/>
  <c r="BQ46" i="30"/>
  <c r="BQ35" i="30"/>
  <c r="BM34" i="30"/>
  <c r="BM49" i="30"/>
  <c r="BI47" i="30"/>
  <c r="BI39" i="30"/>
  <c r="BI44" i="30"/>
  <c r="BI37" i="30"/>
  <c r="BI43" i="30"/>
  <c r="BF38" i="30"/>
  <c r="BF33" i="30"/>
  <c r="BF42" i="30"/>
  <c r="BF35" i="30"/>
  <c r="DC41" i="18"/>
  <c r="CT46" i="18"/>
  <c r="AN46" i="18"/>
  <c r="AN38" i="18"/>
  <c r="CT40" i="18"/>
  <c r="BW49" i="30"/>
  <c r="BW49" i="31"/>
  <c r="BT37" i="30"/>
  <c r="BP38" i="30"/>
  <c r="BP42" i="30"/>
  <c r="BL32" i="30"/>
  <c r="BL40" i="30"/>
  <c r="BL41" i="30"/>
  <c r="BL46" i="30"/>
  <c r="BL46" i="31"/>
  <c r="BL43" i="30"/>
  <c r="BL35" i="30"/>
  <c r="BY49" i="30"/>
  <c r="BE47" i="30"/>
  <c r="BE39" i="30"/>
  <c r="BE44" i="30"/>
  <c r="BE37" i="30"/>
  <c r="BD38" i="30"/>
  <c r="BD33" i="30"/>
  <c r="BD42" i="30"/>
  <c r="DD9" i="18"/>
  <c r="DD5" i="18"/>
  <c r="DD21" i="18"/>
  <c r="DD20" i="18"/>
  <c r="DD25" i="18"/>
  <c r="DD12" i="18"/>
  <c r="DD27" i="18"/>
  <c r="CZ46" i="18"/>
  <c r="CX39" i="18"/>
  <c r="BV32" i="30"/>
  <c r="BV40" i="30"/>
  <c r="BV41" i="30"/>
  <c r="BV46" i="30"/>
  <c r="BV46" i="31"/>
  <c r="BV36" i="30"/>
  <c r="BV35" i="30"/>
  <c r="BS34" i="30"/>
  <c r="BS49" i="30"/>
  <c r="BS49" i="31"/>
  <c r="BO47" i="30"/>
  <c r="BO39" i="30"/>
  <c r="BO44" i="30"/>
  <c r="BO37" i="30"/>
  <c r="BO43" i="30"/>
  <c r="BK38" i="30"/>
  <c r="BK33" i="30"/>
  <c r="BK42" i="30"/>
  <c r="BH32" i="30"/>
  <c r="BH40" i="30"/>
  <c r="BH41" i="30"/>
  <c r="BH46" i="30"/>
  <c r="BH34" i="30"/>
  <c r="BH36" i="30"/>
  <c r="BH35" i="30"/>
  <c r="EX9" i="18"/>
  <c r="EX4" i="18"/>
  <c r="EX40" i="18" s="1"/>
  <c r="EX17" i="18"/>
  <c r="DE23" i="18"/>
  <c r="EX25" i="18"/>
  <c r="EX12" i="18"/>
  <c r="DE25" i="18"/>
  <c r="EX28" i="18"/>
  <c r="EX43" i="18" s="1"/>
  <c r="EX30" i="18"/>
  <c r="EX35" i="18" s="1"/>
  <c r="CU47" i="18"/>
  <c r="CY44" i="18"/>
  <c r="CY42" i="18"/>
  <c r="CY36" i="18"/>
  <c r="BU38" i="30"/>
  <c r="BU42" i="30"/>
  <c r="BR32" i="30"/>
  <c r="BR40" i="30"/>
  <c r="BR41" i="30"/>
  <c r="BR46" i="31"/>
  <c r="BN49" i="30"/>
  <c r="BJ47" i="30"/>
  <c r="BJ37" i="30"/>
  <c r="BJ43" i="30"/>
  <c r="BG38" i="30"/>
  <c r="BG42" i="30"/>
  <c r="BC32" i="30"/>
  <c r="BC46" i="30"/>
  <c r="BC36" i="30"/>
  <c r="BC35" i="30"/>
  <c r="AY9" i="18"/>
  <c r="AY10" i="18"/>
  <c r="AY13" i="18"/>
  <c r="AY23" i="18"/>
  <c r="AY16" i="18"/>
  <c r="AY14" i="18"/>
  <c r="AY24" i="18"/>
  <c r="AY30" i="18"/>
  <c r="AY4" i="18"/>
  <c r="AY6" i="18"/>
  <c r="AY21" i="18"/>
  <c r="AY17" i="18"/>
  <c r="AY5" i="18"/>
  <c r="AY8" i="18"/>
  <c r="AY11" i="18"/>
  <c r="AY12" i="18"/>
  <c r="AY19" i="18"/>
  <c r="AY18" i="18"/>
  <c r="AY22" i="18"/>
  <c r="AY26" i="18"/>
  <c r="AY28" i="18"/>
  <c r="AY27" i="18"/>
  <c r="AY2" i="18"/>
  <c r="AY7" i="18"/>
  <c r="AY20" i="18"/>
  <c r="AY15" i="18"/>
  <c r="AY25" i="18"/>
  <c r="AY29" i="18"/>
  <c r="CV32" i="18"/>
  <c r="CW32" i="18"/>
  <c r="CU32" i="18"/>
  <c r="CY32" i="18"/>
  <c r="F57" i="16" l="1"/>
  <c r="E48" i="37"/>
  <c r="F71" i="16"/>
  <c r="F62" i="16"/>
  <c r="F74" i="16"/>
  <c r="E48" i="16"/>
  <c r="BA65" i="29"/>
  <c r="BA64" i="29"/>
  <c r="BB63" i="29"/>
  <c r="BA63" i="29"/>
  <c r="BA62" i="29"/>
  <c r="BF57" i="43"/>
  <c r="BF71" i="43"/>
  <c r="BF51" i="43"/>
  <c r="BF65" i="43"/>
  <c r="BX55" i="42"/>
  <c r="BX69" i="42"/>
  <c r="BX56" i="42"/>
  <c r="BX70" i="42"/>
  <c r="BX58" i="42"/>
  <c r="BX72" i="42"/>
  <c r="BX60" i="42"/>
  <c r="BX74" i="42"/>
  <c r="AP34" i="38"/>
  <c r="BD14" i="38"/>
  <c r="CV42" i="38"/>
  <c r="DJ19" i="38"/>
  <c r="AP72" i="38"/>
  <c r="AP58" i="38"/>
  <c r="BD16" i="38"/>
  <c r="AP70" i="38"/>
  <c r="AP56" i="38"/>
  <c r="BD20" i="38"/>
  <c r="AQ51" i="38"/>
  <c r="BE21" i="38"/>
  <c r="AQ65" i="38"/>
  <c r="AQ69" i="38"/>
  <c r="AQ55" i="38"/>
  <c r="BE24" i="38"/>
  <c r="AQ57" i="38"/>
  <c r="BE29" i="38"/>
  <c r="AQ71" i="38"/>
  <c r="AQ42" i="38"/>
  <c r="BE19" i="38"/>
  <c r="AU42" i="38"/>
  <c r="BI19" i="38"/>
  <c r="AH64" i="38"/>
  <c r="AH63" i="38"/>
  <c r="E75" i="43"/>
  <c r="E61" i="43"/>
  <c r="I62" i="43"/>
  <c r="I76" i="43"/>
  <c r="I73" i="43"/>
  <c r="I59" i="43"/>
  <c r="L69" i="42"/>
  <c r="L55" i="42"/>
  <c r="L70" i="42"/>
  <c r="L56" i="42"/>
  <c r="L58" i="42"/>
  <c r="L72" i="42"/>
  <c r="L74" i="42"/>
  <c r="L60" i="42"/>
  <c r="AI68" i="32"/>
  <c r="N75" i="32"/>
  <c r="AN69" i="32"/>
  <c r="AL69" i="32"/>
  <c r="AL65" i="32"/>
  <c r="AN65" i="32"/>
  <c r="N58" i="32"/>
  <c r="D43" i="42"/>
  <c r="C43" i="42" s="1"/>
  <c r="C28" i="42"/>
  <c r="F28" i="32" s="1"/>
  <c r="C70" i="41"/>
  <c r="D60" i="43"/>
  <c r="D74" i="43"/>
  <c r="C12" i="43"/>
  <c r="AR12" i="32" s="1"/>
  <c r="G60" i="32"/>
  <c r="G74" i="32"/>
  <c r="C41" i="41"/>
  <c r="C67" i="29"/>
  <c r="C16" i="30"/>
  <c r="C20" i="30"/>
  <c r="AB65" i="43"/>
  <c r="AW65" i="32" s="1"/>
  <c r="BA65" i="32" s="1"/>
  <c r="AB52" i="43"/>
  <c r="AW52" i="32" s="1"/>
  <c r="BA52" i="32" s="1"/>
  <c r="H70" i="42"/>
  <c r="H56" i="42"/>
  <c r="H74" i="42"/>
  <c r="H60" i="42"/>
  <c r="H64" i="42"/>
  <c r="H50" i="42"/>
  <c r="H65" i="43"/>
  <c r="H51" i="43"/>
  <c r="K57" i="43"/>
  <c r="K71" i="43"/>
  <c r="K50" i="43"/>
  <c r="K64" i="43"/>
  <c r="K65" i="43"/>
  <c r="K51" i="43"/>
  <c r="K52" i="43"/>
  <c r="K66" i="43"/>
  <c r="O31" i="41"/>
  <c r="O45" i="29"/>
  <c r="S68" i="42"/>
  <c r="S54" i="42"/>
  <c r="S67" i="42"/>
  <c r="S53" i="42"/>
  <c r="S45" i="29"/>
  <c r="Z61" i="43"/>
  <c r="Z75" i="43"/>
  <c r="AJ66" i="37"/>
  <c r="K31" i="16"/>
  <c r="BH71" i="42"/>
  <c r="BH57" i="42"/>
  <c r="BH64" i="42"/>
  <c r="BH50" i="42"/>
  <c r="BH65" i="42"/>
  <c r="BH51" i="42"/>
  <c r="BH52" i="42"/>
  <c r="BH66" i="42"/>
  <c r="BH54" i="43"/>
  <c r="BH68" i="43"/>
  <c r="BH53" i="43"/>
  <c r="BH67" i="43"/>
  <c r="BO61" i="43"/>
  <c r="BO75" i="43"/>
  <c r="BV48" i="41"/>
  <c r="BV59" i="42"/>
  <c r="BV73" i="42"/>
  <c r="AT76" i="38"/>
  <c r="AT62" i="38"/>
  <c r="BH27" i="38"/>
  <c r="CZ70" i="38"/>
  <c r="CZ56" i="38"/>
  <c r="DN20" i="38"/>
  <c r="BH21" i="38"/>
  <c r="AT65" i="38"/>
  <c r="AT51" i="38"/>
  <c r="AT54" i="38"/>
  <c r="BH9" i="38"/>
  <c r="AT68" i="38"/>
  <c r="F64" i="16"/>
  <c r="F65" i="16"/>
  <c r="J55" i="16"/>
  <c r="M55" i="16"/>
  <c r="J53" i="16"/>
  <c r="M53" i="16"/>
  <c r="M31" i="16"/>
  <c r="AB66" i="42"/>
  <c r="L66" i="32" s="1"/>
  <c r="P66" i="32" s="1"/>
  <c r="AB52" i="42"/>
  <c r="L52" i="32" s="1"/>
  <c r="P52" i="32" s="1"/>
  <c r="AB54" i="42"/>
  <c r="L54" i="32" s="1"/>
  <c r="P54" i="32" s="1"/>
  <c r="AB62" i="42"/>
  <c r="L62" i="32" s="1"/>
  <c r="P62" i="32" s="1"/>
  <c r="AB49" i="42"/>
  <c r="L49" i="32" s="1"/>
  <c r="AC48" i="42"/>
  <c r="AL48" i="42"/>
  <c r="AM48" i="42"/>
  <c r="AF48" i="42"/>
  <c r="AV48" i="42"/>
  <c r="C34" i="41"/>
  <c r="CX48" i="43"/>
  <c r="R54" i="42"/>
  <c r="R68" i="42"/>
  <c r="R53" i="42"/>
  <c r="R67" i="42"/>
  <c r="BZ49" i="42"/>
  <c r="BP49" i="38" s="1"/>
  <c r="CA48" i="42"/>
  <c r="BZ48" i="42"/>
  <c r="BZ59" i="42"/>
  <c r="BP59" i="38" s="1"/>
  <c r="CD59" i="38" s="1"/>
  <c r="AB35" i="41"/>
  <c r="AB36" i="41"/>
  <c r="AB37" i="41"/>
  <c r="AB75" i="41"/>
  <c r="BA64" i="41"/>
  <c r="N64" i="38" s="1"/>
  <c r="BB63" i="41"/>
  <c r="BA63" i="41"/>
  <c r="BA8" i="30"/>
  <c r="AB58" i="29"/>
  <c r="AB75" i="29"/>
  <c r="AB37" i="29"/>
  <c r="AB55" i="29"/>
  <c r="BA28" i="30"/>
  <c r="AB32" i="29"/>
  <c r="AC31" i="29"/>
  <c r="AB53" i="29"/>
  <c r="CD63" i="42"/>
  <c r="BF31" i="43"/>
  <c r="BI62" i="42"/>
  <c r="BI76" i="42"/>
  <c r="BI59" i="42"/>
  <c r="BI73" i="42"/>
  <c r="CH63" i="30"/>
  <c r="BM71" i="43"/>
  <c r="BM57" i="43"/>
  <c r="BM64" i="43"/>
  <c r="BM50" i="43"/>
  <c r="BM51" i="43"/>
  <c r="BM65" i="43"/>
  <c r="BM52" i="43"/>
  <c r="BM66" i="43"/>
  <c r="BQ57" i="43"/>
  <c r="BQ71" i="43"/>
  <c r="BQ64" i="43"/>
  <c r="BQ50" i="43"/>
  <c r="BQ65" i="43"/>
  <c r="BQ51" i="43"/>
  <c r="BQ52" i="43"/>
  <c r="BQ66" i="43"/>
  <c r="AR63" i="29"/>
  <c r="CP63" i="30"/>
  <c r="BX62" i="43"/>
  <c r="BX76" i="43"/>
  <c r="BX59" i="43"/>
  <c r="BX73" i="43"/>
  <c r="BX31" i="43"/>
  <c r="EM64" i="38"/>
  <c r="EM63" i="38"/>
  <c r="BD18" i="38"/>
  <c r="AP75" i="38"/>
  <c r="AP61" i="38"/>
  <c r="DJ11" i="38"/>
  <c r="CV39" i="38"/>
  <c r="AP36" i="38"/>
  <c r="BD26" i="38"/>
  <c r="AP40" i="38"/>
  <c r="BD4" i="38"/>
  <c r="AP64" i="38"/>
  <c r="AP50" i="38"/>
  <c r="BD25" i="38"/>
  <c r="AQ37" i="38"/>
  <c r="BE22" i="38"/>
  <c r="BE23" i="38"/>
  <c r="AQ49" i="38"/>
  <c r="CW68" i="38"/>
  <c r="CW54" i="38"/>
  <c r="DK9" i="38"/>
  <c r="BE6" i="38"/>
  <c r="AQ47" i="38"/>
  <c r="CW32" i="38"/>
  <c r="DK3" i="38"/>
  <c r="AU37" i="38"/>
  <c r="BI22" i="38"/>
  <c r="DO12" i="38"/>
  <c r="DA74" i="38"/>
  <c r="DA60" i="38"/>
  <c r="L48" i="38"/>
  <c r="DA75" i="38"/>
  <c r="DA61" i="38"/>
  <c r="DO18" i="38"/>
  <c r="DA54" i="38"/>
  <c r="DO9" i="38"/>
  <c r="DA68" i="38"/>
  <c r="AU67" i="38"/>
  <c r="AU53" i="38"/>
  <c r="BI5" i="38"/>
  <c r="DA32" i="38"/>
  <c r="DO3" i="38"/>
  <c r="E71" i="43"/>
  <c r="E57" i="43"/>
  <c r="E50" i="43"/>
  <c r="E64" i="43"/>
  <c r="E65" i="43"/>
  <c r="E51" i="43"/>
  <c r="E66" i="43"/>
  <c r="E52" i="43"/>
  <c r="L76" i="43"/>
  <c r="L62" i="43"/>
  <c r="L59" i="43"/>
  <c r="L73" i="43"/>
  <c r="L31" i="43"/>
  <c r="P48" i="29"/>
  <c r="T71" i="43"/>
  <c r="T57" i="43"/>
  <c r="T50" i="43"/>
  <c r="T64" i="43"/>
  <c r="T51" i="43"/>
  <c r="T65" i="43"/>
  <c r="T66" i="43"/>
  <c r="T52" i="43"/>
  <c r="T31" i="29"/>
  <c r="W75" i="42"/>
  <c r="W61" i="42"/>
  <c r="AJ76" i="37"/>
  <c r="W53" i="42"/>
  <c r="W67" i="42"/>
  <c r="BC76" i="43"/>
  <c r="BC62" i="43"/>
  <c r="BC59" i="43"/>
  <c r="BC73" i="43"/>
  <c r="BC31" i="43"/>
  <c r="BA74" i="29"/>
  <c r="AO55" i="38"/>
  <c r="BC24" i="38"/>
  <c r="AO69" i="38"/>
  <c r="BC19" i="38"/>
  <c r="AO42" i="38"/>
  <c r="AO43" i="38"/>
  <c r="BC28" i="38"/>
  <c r="CU64" i="38"/>
  <c r="CU50" i="38"/>
  <c r="DI25" i="38"/>
  <c r="AO58" i="38"/>
  <c r="BC16" i="38"/>
  <c r="AO72" i="38"/>
  <c r="DI4" i="38"/>
  <c r="CU40" i="38"/>
  <c r="AM48" i="32"/>
  <c r="AC48" i="32"/>
  <c r="M57" i="43"/>
  <c r="M71" i="43"/>
  <c r="M50" i="43"/>
  <c r="M64" i="43"/>
  <c r="M65" i="43"/>
  <c r="M51" i="43"/>
  <c r="M66" i="43"/>
  <c r="M52" i="43"/>
  <c r="BH55" i="43"/>
  <c r="BH69" i="43"/>
  <c r="BH56" i="43"/>
  <c r="BH70" i="43"/>
  <c r="BH58" i="43"/>
  <c r="BH72" i="43"/>
  <c r="BH74" i="43"/>
  <c r="BH60" i="43"/>
  <c r="BO57" i="43"/>
  <c r="BO71" i="43"/>
  <c r="BO50" i="43"/>
  <c r="BO64" i="43"/>
  <c r="BO51" i="43"/>
  <c r="BO65" i="43"/>
  <c r="BO66" i="43"/>
  <c r="BO52" i="43"/>
  <c r="BO48" i="43" s="1"/>
  <c r="AP63" i="29"/>
  <c r="AT44" i="38"/>
  <c r="BH15" i="38"/>
  <c r="AT33" i="38"/>
  <c r="BH13" i="38"/>
  <c r="J45" i="38"/>
  <c r="M58" i="16"/>
  <c r="J58" i="16"/>
  <c r="J66" i="37"/>
  <c r="M66" i="37"/>
  <c r="M70" i="37"/>
  <c r="J70" i="37"/>
  <c r="F58" i="37"/>
  <c r="C48" i="37"/>
  <c r="AA31" i="41"/>
  <c r="R69" i="42"/>
  <c r="R55" i="42"/>
  <c r="R70" i="42"/>
  <c r="R56" i="42"/>
  <c r="R72" i="42"/>
  <c r="R58" i="42"/>
  <c r="R74" i="42"/>
  <c r="R60" i="42"/>
  <c r="BZ75" i="42"/>
  <c r="BP75" i="38" s="1"/>
  <c r="CD75" i="38" s="1"/>
  <c r="BZ45" i="42"/>
  <c r="BZ46" i="42"/>
  <c r="BP46" i="38" s="1"/>
  <c r="CA45" i="42"/>
  <c r="BB57" i="43"/>
  <c r="BA29" i="43"/>
  <c r="CS29" i="38" s="1"/>
  <c r="BB71" i="43"/>
  <c r="BB71" i="42"/>
  <c r="BA29" i="42"/>
  <c r="AM29" i="38" s="1"/>
  <c r="BB57" i="42"/>
  <c r="AB50" i="41"/>
  <c r="AB65" i="41"/>
  <c r="AB66" i="41"/>
  <c r="BA13" i="43"/>
  <c r="CS13" i="38" s="1"/>
  <c r="BB33" i="43"/>
  <c r="BA33" i="43" s="1"/>
  <c r="BA9" i="43"/>
  <c r="CS9" i="38" s="1"/>
  <c r="BB54" i="43"/>
  <c r="BB68" i="43"/>
  <c r="BA9" i="42"/>
  <c r="AM9" i="38" s="1"/>
  <c r="BB68" i="42"/>
  <c r="BB54" i="42"/>
  <c r="BA5" i="42"/>
  <c r="AM5" i="38" s="1"/>
  <c r="BB53" i="42"/>
  <c r="BB67" i="42"/>
  <c r="BA55" i="41"/>
  <c r="N55" i="38" s="1"/>
  <c r="Y55" i="38" s="1"/>
  <c r="BA68" i="29"/>
  <c r="BA58" i="29"/>
  <c r="AB54" i="29"/>
  <c r="BZ32" i="43"/>
  <c r="DV32" i="38" s="1"/>
  <c r="CA31" i="43"/>
  <c r="BZ31" i="43"/>
  <c r="CA63" i="30"/>
  <c r="BF63" i="41"/>
  <c r="AG63" i="41"/>
  <c r="BF75" i="43"/>
  <c r="BF61" i="43"/>
  <c r="BF45" i="43"/>
  <c r="BQ55" i="43"/>
  <c r="BQ69" i="43"/>
  <c r="BQ70" i="43"/>
  <c r="BQ56" i="43"/>
  <c r="BQ72" i="43"/>
  <c r="BQ58" i="43"/>
  <c r="BQ60" i="43"/>
  <c r="BQ74" i="43"/>
  <c r="BQ63" i="29"/>
  <c r="BX61" i="42"/>
  <c r="BX75" i="42"/>
  <c r="G48" i="38"/>
  <c r="CG48" i="38"/>
  <c r="AP66" i="38"/>
  <c r="AP52" i="38"/>
  <c r="BD17" i="38"/>
  <c r="AC48" i="38"/>
  <c r="AP69" i="38"/>
  <c r="AP55" i="38"/>
  <c r="BD24" i="38"/>
  <c r="AP41" i="38"/>
  <c r="BD8" i="38"/>
  <c r="BD3" i="38"/>
  <c r="AP32" i="38"/>
  <c r="CW50" i="38"/>
  <c r="DK25" i="38"/>
  <c r="CW64" i="38"/>
  <c r="CW38" i="38"/>
  <c r="DK2" i="38"/>
  <c r="AQ76" i="38"/>
  <c r="BE27" i="38"/>
  <c r="AQ62" i="38"/>
  <c r="CW72" i="38"/>
  <c r="CW58" i="38"/>
  <c r="DK16" i="38"/>
  <c r="L45" i="38"/>
  <c r="AU44" i="38"/>
  <c r="BI15" i="38"/>
  <c r="AU34" i="38"/>
  <c r="BI14" i="38"/>
  <c r="DA39" i="38"/>
  <c r="DO11" i="38"/>
  <c r="AL45" i="38"/>
  <c r="E69" i="43"/>
  <c r="E55" i="43"/>
  <c r="E70" i="43"/>
  <c r="E56" i="43"/>
  <c r="E58" i="43"/>
  <c r="E72" i="43"/>
  <c r="E74" i="43"/>
  <c r="E60" i="43"/>
  <c r="L61" i="42"/>
  <c r="L75" i="42"/>
  <c r="P69" i="43"/>
  <c r="P55" i="43"/>
  <c r="P72" i="43"/>
  <c r="P58" i="43"/>
  <c r="P66" i="43"/>
  <c r="P52" i="43"/>
  <c r="T69" i="43"/>
  <c r="T55" i="43"/>
  <c r="T58" i="43"/>
  <c r="T72" i="43"/>
  <c r="W63" i="41"/>
  <c r="D48" i="16"/>
  <c r="BH76" i="43"/>
  <c r="BH62" i="43"/>
  <c r="BH73" i="43"/>
  <c r="BH59" i="43"/>
  <c r="BH31" i="43"/>
  <c r="AI48" i="29"/>
  <c r="AP45" i="29"/>
  <c r="BV56" i="43"/>
  <c r="BV70" i="43"/>
  <c r="BV60" i="43"/>
  <c r="BV74" i="43"/>
  <c r="AW31" i="29"/>
  <c r="CZ35" i="38"/>
  <c r="DN30" i="38"/>
  <c r="M50" i="16"/>
  <c r="J50" i="16"/>
  <c r="J65" i="16"/>
  <c r="M65" i="16"/>
  <c r="F31" i="37"/>
  <c r="J75" i="37"/>
  <c r="M75" i="37"/>
  <c r="F66" i="37"/>
  <c r="C63" i="37"/>
  <c r="AT63" i="42"/>
  <c r="AP63" i="42"/>
  <c r="AI63" i="42"/>
  <c r="AY63" i="42"/>
  <c r="AE63" i="42"/>
  <c r="AV63" i="42"/>
  <c r="AM63" i="42"/>
  <c r="AC48" i="30"/>
  <c r="AS48" i="30"/>
  <c r="AR48" i="30"/>
  <c r="AO48" i="30"/>
  <c r="AF48" i="30"/>
  <c r="AX48" i="30"/>
  <c r="R48" i="41"/>
  <c r="R31" i="41"/>
  <c r="BZ57" i="42"/>
  <c r="BP57" i="38" s="1"/>
  <c r="CD57" i="38" s="1"/>
  <c r="CA63" i="42"/>
  <c r="BZ64" i="42"/>
  <c r="BP64" i="38" s="1"/>
  <c r="BZ63" i="42"/>
  <c r="AB69" i="41"/>
  <c r="BA20" i="43"/>
  <c r="CS20" i="38" s="1"/>
  <c r="BB70" i="43"/>
  <c r="BB56" i="43"/>
  <c r="C56" i="38"/>
  <c r="C70" i="38"/>
  <c r="AB72" i="41"/>
  <c r="AB74" i="41"/>
  <c r="AB47" i="29"/>
  <c r="BA13" i="30"/>
  <c r="AB51" i="29"/>
  <c r="BA27" i="30"/>
  <c r="BA7" i="30"/>
  <c r="AB39" i="29"/>
  <c r="BF73" i="42"/>
  <c r="BF59" i="42"/>
  <c r="BF69" i="43"/>
  <c r="BF55" i="43"/>
  <c r="BF72" i="43"/>
  <c r="BF58" i="43"/>
  <c r="BI71" i="43"/>
  <c r="BI57" i="43"/>
  <c r="BI64" i="43"/>
  <c r="BI50" i="43"/>
  <c r="BI65" i="43"/>
  <c r="BI51" i="43"/>
  <c r="BI66" i="43"/>
  <c r="BI52" i="43"/>
  <c r="BM62" i="43"/>
  <c r="BM76" i="43"/>
  <c r="BM59" i="43"/>
  <c r="BM73" i="43"/>
  <c r="BM31" i="43"/>
  <c r="CP63" i="42"/>
  <c r="AR48" i="41"/>
  <c r="BX71" i="42"/>
  <c r="BX57" i="42"/>
  <c r="BX64" i="42"/>
  <c r="BX50" i="42"/>
  <c r="BX65" i="42"/>
  <c r="BX51" i="42"/>
  <c r="BX52" i="42"/>
  <c r="BX66" i="42"/>
  <c r="BX54" i="43"/>
  <c r="BX68" i="43"/>
  <c r="BX67" i="43"/>
  <c r="BX53" i="43"/>
  <c r="BA25" i="30"/>
  <c r="AB59" i="29"/>
  <c r="CV62" i="38"/>
  <c r="DJ27" i="38"/>
  <c r="CV76" i="38"/>
  <c r="AP46" i="38"/>
  <c r="BD10" i="38"/>
  <c r="AQ43" i="38"/>
  <c r="BE28" i="38"/>
  <c r="CW70" i="38"/>
  <c r="CW56" i="38"/>
  <c r="DK20" i="38"/>
  <c r="CL48" i="38"/>
  <c r="AU40" i="38"/>
  <c r="BI4" i="38"/>
  <c r="CL63" i="38"/>
  <c r="CL64" i="38"/>
  <c r="CC48" i="38"/>
  <c r="E62" i="42"/>
  <c r="E76" i="42"/>
  <c r="E59" i="42"/>
  <c r="E73" i="42"/>
  <c r="E63" i="29"/>
  <c r="I69" i="43"/>
  <c r="I55" i="43"/>
  <c r="I56" i="43"/>
  <c r="I70" i="43"/>
  <c r="I58" i="43"/>
  <c r="I72" i="43"/>
  <c r="I74" i="43"/>
  <c r="I60" i="43"/>
  <c r="L71" i="42"/>
  <c r="L57" i="42"/>
  <c r="L64" i="42"/>
  <c r="L50" i="42"/>
  <c r="L65" i="42"/>
  <c r="L51" i="42"/>
  <c r="L66" i="42"/>
  <c r="L52" i="42"/>
  <c r="L68" i="43"/>
  <c r="L54" i="43"/>
  <c r="L53" i="43"/>
  <c r="L67" i="43"/>
  <c r="L31" i="29"/>
  <c r="AE50" i="16"/>
  <c r="AE48" i="16" s="1"/>
  <c r="BG72" i="43"/>
  <c r="BG58" i="43"/>
  <c r="BJ61" i="42"/>
  <c r="BJ75" i="42"/>
  <c r="AX73" i="32"/>
  <c r="BB73" i="32"/>
  <c r="AX54" i="32"/>
  <c r="BB54" i="32"/>
  <c r="Q62" i="43"/>
  <c r="Q76" i="43"/>
  <c r="BD68" i="42"/>
  <c r="BD54" i="42"/>
  <c r="AT63" i="41"/>
  <c r="DL27" i="38"/>
  <c r="CX62" i="38"/>
  <c r="CX76" i="38"/>
  <c r="CX44" i="38"/>
  <c r="DL15" i="38"/>
  <c r="EG69" i="38"/>
  <c r="EU69" i="38"/>
  <c r="BN65" i="42"/>
  <c r="BN51" i="42"/>
  <c r="FC76" i="38"/>
  <c r="FA76" i="38"/>
  <c r="BK55" i="42"/>
  <c r="BK69" i="42"/>
  <c r="BK72" i="42"/>
  <c r="BK58" i="42"/>
  <c r="N70" i="42"/>
  <c r="N56" i="42"/>
  <c r="BE70" i="42"/>
  <c r="BE56" i="42"/>
  <c r="BE60" i="42"/>
  <c r="BE74" i="42"/>
  <c r="BP54" i="42"/>
  <c r="BP68" i="42"/>
  <c r="BW64" i="42"/>
  <c r="BW50" i="42"/>
  <c r="BW66" i="42"/>
  <c r="BW52" i="42"/>
  <c r="CT52" i="38"/>
  <c r="CT66" i="38"/>
  <c r="DH17" i="38"/>
  <c r="BK12" i="38"/>
  <c r="AW74" i="38"/>
  <c r="AW60" i="38"/>
  <c r="Z64" i="16"/>
  <c r="Z63" i="16"/>
  <c r="BJ51" i="42"/>
  <c r="BJ65" i="42"/>
  <c r="BJ67" i="43"/>
  <c r="BJ53" i="43"/>
  <c r="BU64" i="42"/>
  <c r="BU50" i="42"/>
  <c r="BU67" i="43"/>
  <c r="BU53" i="43"/>
  <c r="AX57" i="32"/>
  <c r="BB57" i="32"/>
  <c r="Q63" i="29"/>
  <c r="BD69" i="42"/>
  <c r="BD55" i="42"/>
  <c r="BD72" i="42"/>
  <c r="BD58" i="42"/>
  <c r="BF21" i="38"/>
  <c r="AR51" i="38"/>
  <c r="AR65" i="38"/>
  <c r="CX34" i="38"/>
  <c r="DL14" i="38"/>
  <c r="EG53" i="38"/>
  <c r="EU53" i="38"/>
  <c r="EG59" i="38"/>
  <c r="EU59" i="38"/>
  <c r="G63" i="41"/>
  <c r="G54" i="42"/>
  <c r="G68" i="42"/>
  <c r="CB70" i="38"/>
  <c r="CO70" i="38"/>
  <c r="CB71" i="38"/>
  <c r="BK76" i="42"/>
  <c r="BK62" i="42"/>
  <c r="BK59" i="42"/>
  <c r="BK73" i="42"/>
  <c r="BE76" i="43"/>
  <c r="BE62" i="43"/>
  <c r="BY56" i="43"/>
  <c r="BY70" i="43"/>
  <c r="BP63" i="29"/>
  <c r="BT71" i="43"/>
  <c r="BT57" i="43"/>
  <c r="BW69" i="42"/>
  <c r="BW55" i="42"/>
  <c r="BW72" i="42"/>
  <c r="BW58" i="42"/>
  <c r="DC43" i="38"/>
  <c r="DQ28" i="38"/>
  <c r="DC55" i="38"/>
  <c r="DQ24" i="38"/>
  <c r="DC69" i="38"/>
  <c r="DM25" i="38"/>
  <c r="CY64" i="38"/>
  <c r="CY50" i="38"/>
  <c r="AS33" i="38"/>
  <c r="BG13" i="38"/>
  <c r="U50" i="43"/>
  <c r="U64" i="43"/>
  <c r="U65" i="43"/>
  <c r="U51" i="43"/>
  <c r="Q54" i="42"/>
  <c r="Q68" i="42"/>
  <c r="AE48" i="41"/>
  <c r="AT48" i="41"/>
  <c r="AT31" i="41"/>
  <c r="AT48" i="29"/>
  <c r="AR69" i="38"/>
  <c r="BF24" i="38"/>
  <c r="AR55" i="38"/>
  <c r="G70" i="42"/>
  <c r="G56" i="42"/>
  <c r="G60" i="42"/>
  <c r="G74" i="42"/>
  <c r="CB69" i="38"/>
  <c r="FA67" i="38"/>
  <c r="FC67" i="38"/>
  <c r="CB73" i="38"/>
  <c r="CB62" i="38"/>
  <c r="N61" i="42"/>
  <c r="N75" i="42"/>
  <c r="V50" i="43"/>
  <c r="V64" i="43"/>
  <c r="BL65" i="42"/>
  <c r="BL51" i="42"/>
  <c r="BL53" i="43"/>
  <c r="BL67" i="43"/>
  <c r="BP31" i="42"/>
  <c r="BT55" i="43"/>
  <c r="BT69" i="43"/>
  <c r="BT72" i="43"/>
  <c r="BT58" i="43"/>
  <c r="BW31" i="43"/>
  <c r="CT43" i="38"/>
  <c r="DH28" i="38"/>
  <c r="DC46" i="38"/>
  <c r="DQ10" i="38"/>
  <c r="BK2" i="38"/>
  <c r="AW38" i="38"/>
  <c r="AT65" i="16"/>
  <c r="AT51" i="16"/>
  <c r="AW67" i="16"/>
  <c r="AW53" i="16"/>
  <c r="AN61" i="32"/>
  <c r="AL61" i="32"/>
  <c r="G64" i="32"/>
  <c r="G50" i="32"/>
  <c r="H73" i="43"/>
  <c r="H59" i="43"/>
  <c r="K61" i="43"/>
  <c r="K75" i="43"/>
  <c r="BG71" i="43"/>
  <c r="BG57" i="43"/>
  <c r="BG51" i="43"/>
  <c r="BG65" i="43"/>
  <c r="U56" i="43"/>
  <c r="U70" i="43"/>
  <c r="U74" i="43"/>
  <c r="U60" i="43"/>
  <c r="BJ73" i="43"/>
  <c r="BJ59" i="43"/>
  <c r="AK31" i="29"/>
  <c r="AX63" i="32"/>
  <c r="AX64" i="32"/>
  <c r="BD63" i="41"/>
  <c r="N62" i="32"/>
  <c r="Q62" i="32"/>
  <c r="AL60" i="32"/>
  <c r="AN60" i="32"/>
  <c r="AN52" i="32"/>
  <c r="AL52" i="32"/>
  <c r="D49" i="42"/>
  <c r="C49" i="42" s="1"/>
  <c r="C23" i="42"/>
  <c r="F23" i="32" s="1"/>
  <c r="AC48" i="43"/>
  <c r="AB48" i="43"/>
  <c r="AB49" i="43"/>
  <c r="AW49" i="32" s="1"/>
  <c r="O67" i="42"/>
  <c r="O53" i="42"/>
  <c r="S69" i="42"/>
  <c r="S55" i="42"/>
  <c r="Z57" i="43"/>
  <c r="Z71" i="43"/>
  <c r="Z51" i="43"/>
  <c r="Z65" i="43"/>
  <c r="BC75" i="42"/>
  <c r="BC61" i="42"/>
  <c r="BR71" i="42"/>
  <c r="BR57" i="42"/>
  <c r="BR68" i="43"/>
  <c r="BR54" i="43"/>
  <c r="DI12" i="38"/>
  <c r="CU74" i="38"/>
  <c r="CU60" i="38"/>
  <c r="AO54" i="38"/>
  <c r="BC9" i="38"/>
  <c r="AO68" i="38"/>
  <c r="AD64" i="32"/>
  <c r="AD63" i="32"/>
  <c r="AR33" i="38"/>
  <c r="BF13" i="38"/>
  <c r="Y70" i="42"/>
  <c r="Y56" i="42"/>
  <c r="BK63" i="41"/>
  <c r="BK63" i="29"/>
  <c r="N54" i="42"/>
  <c r="N68" i="42"/>
  <c r="N48" i="29"/>
  <c r="D35" i="42"/>
  <c r="C35" i="42" s="1"/>
  <c r="C30" i="42"/>
  <c r="F30" i="32" s="1"/>
  <c r="C26" i="42"/>
  <c r="F26" i="32" s="1"/>
  <c r="D36" i="42"/>
  <c r="C36" i="42" s="1"/>
  <c r="D45" i="41"/>
  <c r="C45" i="41" s="1"/>
  <c r="C46" i="41"/>
  <c r="K31" i="42"/>
  <c r="O55" i="42"/>
  <c r="O69" i="42"/>
  <c r="O72" i="42"/>
  <c r="O58" i="42"/>
  <c r="O31" i="29"/>
  <c r="S76" i="43"/>
  <c r="S62" i="43"/>
  <c r="CE48" i="43"/>
  <c r="CF48" i="43"/>
  <c r="AV48" i="43"/>
  <c r="AE31" i="16"/>
  <c r="BC57" i="43"/>
  <c r="BC71" i="43"/>
  <c r="BR70" i="42"/>
  <c r="BR56" i="42"/>
  <c r="BR60" i="42"/>
  <c r="BR74" i="42"/>
  <c r="Z31" i="41"/>
  <c r="AU63" i="43"/>
  <c r="AR63" i="43"/>
  <c r="CE63" i="43"/>
  <c r="CD63" i="43"/>
  <c r="AM63" i="43"/>
  <c r="AD45" i="29"/>
  <c r="AD63" i="29"/>
  <c r="BR62" i="43"/>
  <c r="BR76" i="43"/>
  <c r="BR73" i="43"/>
  <c r="BR59" i="43"/>
  <c r="CU73" i="38"/>
  <c r="CU59" i="38"/>
  <c r="DI7" i="38"/>
  <c r="M61" i="42"/>
  <c r="M75" i="42"/>
  <c r="BN63" i="29"/>
  <c r="BN64" i="42"/>
  <c r="BN50" i="42"/>
  <c r="CB66" i="38"/>
  <c r="FA59" i="38"/>
  <c r="FC59" i="38"/>
  <c r="J67" i="42"/>
  <c r="J53" i="42"/>
  <c r="BE67" i="42"/>
  <c r="BE53" i="42"/>
  <c r="BT59" i="43"/>
  <c r="BT73" i="43"/>
  <c r="CS63" i="30"/>
  <c r="BW75" i="42"/>
  <c r="BW61" i="42"/>
  <c r="AN73" i="38"/>
  <c r="AN59" i="38"/>
  <c r="BB7" i="38"/>
  <c r="AW37" i="38"/>
  <c r="BK22" i="38"/>
  <c r="DC71" i="38"/>
  <c r="DC57" i="38"/>
  <c r="DQ29" i="38"/>
  <c r="AU60" i="16"/>
  <c r="AU74" i="16"/>
  <c r="AX54" i="16"/>
  <c r="AX68" i="16"/>
  <c r="BG64" i="16"/>
  <c r="BG63" i="16"/>
  <c r="AJ31" i="16"/>
  <c r="BH48" i="37"/>
  <c r="BI64" i="16"/>
  <c r="BI63" i="16"/>
  <c r="EL63" i="38"/>
  <c r="EL64" i="38"/>
  <c r="AO67" i="38"/>
  <c r="BC5" i="38"/>
  <c r="AO53" i="38"/>
  <c r="CU34" i="38"/>
  <c r="DI14" i="38"/>
  <c r="CU46" i="38"/>
  <c r="DI10" i="38"/>
  <c r="AM63" i="32"/>
  <c r="AM64" i="32"/>
  <c r="T63" i="32"/>
  <c r="M31" i="42"/>
  <c r="BO76" i="43"/>
  <c r="BO62" i="43"/>
  <c r="BO59" i="43"/>
  <c r="BO73" i="43"/>
  <c r="BV61" i="43"/>
  <c r="BV75" i="43"/>
  <c r="AT71" i="38"/>
  <c r="BH29" i="38"/>
  <c r="AT57" i="38"/>
  <c r="BH18" i="38"/>
  <c r="AT75" i="38"/>
  <c r="AT61" i="38"/>
  <c r="AT37" i="38"/>
  <c r="BH22" i="38"/>
  <c r="AT32" i="38"/>
  <c r="BH3" i="38"/>
  <c r="AF48" i="38"/>
  <c r="BH28" i="38"/>
  <c r="AT43" i="38"/>
  <c r="AT74" i="38"/>
  <c r="BH12" i="38"/>
  <c r="AT60" i="38"/>
  <c r="CZ66" i="38"/>
  <c r="CZ52" i="38"/>
  <c r="DN17" i="38"/>
  <c r="M60" i="16"/>
  <c r="J60" i="16"/>
  <c r="J56" i="16"/>
  <c r="M56" i="16"/>
  <c r="M68" i="16"/>
  <c r="J68" i="16"/>
  <c r="M58" i="37"/>
  <c r="J58" i="37"/>
  <c r="M62" i="37"/>
  <c r="J62" i="37"/>
  <c r="F60" i="37"/>
  <c r="AB61" i="42"/>
  <c r="L61" i="32" s="1"/>
  <c r="P61" i="32" s="1"/>
  <c r="AB75" i="42"/>
  <c r="L75" i="32" s="1"/>
  <c r="P75" i="32" s="1"/>
  <c r="AA76" i="42"/>
  <c r="AA62" i="42"/>
  <c r="AA73" i="42"/>
  <c r="AA59" i="42"/>
  <c r="AK63" i="30"/>
  <c r="BZ55" i="42"/>
  <c r="BP55" i="38" s="1"/>
  <c r="CD55" i="38" s="1"/>
  <c r="BA59" i="41"/>
  <c r="N59" i="38" s="1"/>
  <c r="Y59" i="38" s="1"/>
  <c r="BA27" i="43"/>
  <c r="CS27" i="38" s="1"/>
  <c r="BB62" i="43"/>
  <c r="BA62" i="43" s="1"/>
  <c r="BB76" i="43"/>
  <c r="BB62" i="42"/>
  <c r="BA27" i="42"/>
  <c r="AM27" i="38" s="1"/>
  <c r="BB76" i="42"/>
  <c r="AB49" i="41"/>
  <c r="AC48" i="41"/>
  <c r="BB42" i="42"/>
  <c r="BA19" i="42"/>
  <c r="AM19" i="38" s="1"/>
  <c r="BB44" i="42"/>
  <c r="BA44" i="42" s="1"/>
  <c r="BA15" i="42"/>
  <c r="AM15" i="38" s="1"/>
  <c r="C73" i="38"/>
  <c r="C59" i="38"/>
  <c r="BB32" i="42"/>
  <c r="BA3" i="42"/>
  <c r="AM3" i="38" s="1"/>
  <c r="AD75" i="5"/>
  <c r="AD60" i="5"/>
  <c r="AD62" i="5"/>
  <c r="BZ76" i="30"/>
  <c r="BZ61" i="30"/>
  <c r="BZ59" i="30"/>
  <c r="BZ68" i="31"/>
  <c r="BZ73" i="31"/>
  <c r="CE48" i="31"/>
  <c r="CU48" i="31"/>
  <c r="CS48" i="31"/>
  <c r="CI63" i="31"/>
  <c r="BZ75" i="31"/>
  <c r="AH45" i="29"/>
  <c r="BG27" i="38"/>
  <c r="AS62" i="38"/>
  <c r="AS76" i="38"/>
  <c r="AS49" i="38"/>
  <c r="BG23" i="38"/>
  <c r="AS46" i="38"/>
  <c r="BG10" i="38"/>
  <c r="CY39" i="38"/>
  <c r="DM11" i="38"/>
  <c r="U62" i="42"/>
  <c r="U76" i="42"/>
  <c r="U59" i="42"/>
  <c r="U73" i="42"/>
  <c r="U63" i="29"/>
  <c r="BJ75" i="43"/>
  <c r="BJ61" i="43"/>
  <c r="AV31" i="41"/>
  <c r="BU75" i="42"/>
  <c r="BU61" i="42"/>
  <c r="BU45" i="43"/>
  <c r="BU48" i="41"/>
  <c r="AX68" i="32"/>
  <c r="AX56" i="32"/>
  <c r="BB56" i="32"/>
  <c r="Q48" i="41"/>
  <c r="Q31" i="41"/>
  <c r="Q48" i="29"/>
  <c r="BD71" i="42"/>
  <c r="BD57" i="42"/>
  <c r="BD64" i="42"/>
  <c r="BD50" i="42"/>
  <c r="BD51" i="42"/>
  <c r="BD65" i="42"/>
  <c r="BD52" i="42"/>
  <c r="BD66" i="42"/>
  <c r="BD68" i="43"/>
  <c r="BD54" i="43"/>
  <c r="BD67" i="43"/>
  <c r="BD53" i="43"/>
  <c r="BS54" i="42"/>
  <c r="BS68" i="42"/>
  <c r="BS67" i="42"/>
  <c r="BS53" i="42"/>
  <c r="CR63" i="30"/>
  <c r="BF26" i="38"/>
  <c r="AR36" i="38"/>
  <c r="CX64" i="38"/>
  <c r="CX50" i="38"/>
  <c r="DL25" i="38"/>
  <c r="AR66" i="38"/>
  <c r="AR52" i="38"/>
  <c r="BF17" i="38"/>
  <c r="AR76" i="38"/>
  <c r="AR62" i="38"/>
  <c r="BF27" i="38"/>
  <c r="AR57" i="38"/>
  <c r="BF29" i="38"/>
  <c r="AR71" i="38"/>
  <c r="EG55" i="38"/>
  <c r="EU55" i="38"/>
  <c r="EG65" i="38"/>
  <c r="G75" i="42"/>
  <c r="G61" i="42"/>
  <c r="G45" i="43"/>
  <c r="Y31" i="42"/>
  <c r="BN66" i="42"/>
  <c r="BN52" i="42"/>
  <c r="BN51" i="43"/>
  <c r="BN65" i="43"/>
  <c r="AK48" i="38"/>
  <c r="EX73" i="38"/>
  <c r="EX59" i="38"/>
  <c r="AK31" i="38"/>
  <c r="J55" i="42"/>
  <c r="J69" i="42"/>
  <c r="J56" i="42"/>
  <c r="J70" i="42"/>
  <c r="J58" i="42"/>
  <c r="J72" i="42"/>
  <c r="J60" i="42"/>
  <c r="J74" i="42"/>
  <c r="X59" i="42"/>
  <c r="X73" i="42"/>
  <c r="X69" i="42"/>
  <c r="X55" i="42"/>
  <c r="X61" i="42"/>
  <c r="X75" i="42"/>
  <c r="BK69" i="43"/>
  <c r="BK55" i="43"/>
  <c r="BK56" i="43"/>
  <c r="BK70" i="43"/>
  <c r="BK58" i="43"/>
  <c r="BK72" i="43"/>
  <c r="BK60" i="43"/>
  <c r="BK74" i="43"/>
  <c r="N55" i="43"/>
  <c r="N69" i="43"/>
  <c r="N56" i="43"/>
  <c r="N70" i="43"/>
  <c r="N72" i="43"/>
  <c r="N58" i="43"/>
  <c r="N60" i="43"/>
  <c r="N74" i="43"/>
  <c r="V62" i="42"/>
  <c r="V76" i="42"/>
  <c r="V73" i="42"/>
  <c r="V59" i="42"/>
  <c r="BE55" i="43"/>
  <c r="BE69" i="43"/>
  <c r="BE56" i="43"/>
  <c r="BE70" i="43"/>
  <c r="BE58" i="43"/>
  <c r="BE72" i="43"/>
  <c r="BE74" i="43"/>
  <c r="BE60" i="43"/>
  <c r="AF48" i="29"/>
  <c r="BY57" i="42"/>
  <c r="BY71" i="42"/>
  <c r="BY64" i="42"/>
  <c r="BY50" i="42"/>
  <c r="BY65" i="42"/>
  <c r="BY51" i="42"/>
  <c r="BY52" i="42"/>
  <c r="BY66" i="42"/>
  <c r="BY68" i="43"/>
  <c r="BY54" i="43"/>
  <c r="BY67" i="43"/>
  <c r="BY53" i="43"/>
  <c r="AZ48" i="29"/>
  <c r="CK63" i="42"/>
  <c r="BL31" i="42"/>
  <c r="BP71" i="42"/>
  <c r="BP57" i="42"/>
  <c r="BP64" i="42"/>
  <c r="BP50" i="42"/>
  <c r="BP65" i="42"/>
  <c r="BP51" i="42"/>
  <c r="BP52" i="42"/>
  <c r="BP66" i="42"/>
  <c r="BP68" i="43"/>
  <c r="BP54" i="43"/>
  <c r="BP53" i="43"/>
  <c r="BP67" i="43"/>
  <c r="AQ48" i="29"/>
  <c r="CS63" i="42"/>
  <c r="BT61" i="42"/>
  <c r="BT75" i="42"/>
  <c r="BT45" i="43"/>
  <c r="BW57" i="43"/>
  <c r="BW71" i="43"/>
  <c r="BW64" i="43"/>
  <c r="BW50" i="43"/>
  <c r="BW65" i="43"/>
  <c r="BW51" i="43"/>
  <c r="BW66" i="43"/>
  <c r="BW52" i="43"/>
  <c r="AN37" i="38"/>
  <c r="BB22" i="38"/>
  <c r="CT60" i="38"/>
  <c r="DH12" i="38"/>
  <c r="CT74" i="38"/>
  <c r="I45" i="38"/>
  <c r="CT47" i="38"/>
  <c r="DH6" i="38"/>
  <c r="AN66" i="38"/>
  <c r="AN52" i="38"/>
  <c r="BB17" i="38"/>
  <c r="BK25" i="38"/>
  <c r="AW50" i="38"/>
  <c r="AW64" i="38"/>
  <c r="AW33" i="38"/>
  <c r="BK13" i="38"/>
  <c r="DC73" i="38"/>
  <c r="DC59" i="38"/>
  <c r="DQ7" i="38"/>
  <c r="AW36" i="38"/>
  <c r="BK26" i="38"/>
  <c r="AU69" i="16"/>
  <c r="AU55" i="16"/>
  <c r="AT69" i="16"/>
  <c r="AT55" i="16"/>
  <c r="BJ64" i="16"/>
  <c r="BJ63" i="16"/>
  <c r="AW58" i="16"/>
  <c r="AW72" i="16"/>
  <c r="AI42" i="16"/>
  <c r="BJ64" i="37"/>
  <c r="BJ63" i="37"/>
  <c r="Y63" i="37"/>
  <c r="Y64" i="37"/>
  <c r="AB64" i="37"/>
  <c r="AB63" i="37"/>
  <c r="E63" i="37"/>
  <c r="BG31" i="42"/>
  <c r="AS68" i="38"/>
  <c r="AS54" i="38"/>
  <c r="BG9" i="38"/>
  <c r="CY42" i="38"/>
  <c r="DM19" i="38"/>
  <c r="BG18" i="38"/>
  <c r="AS61" i="38"/>
  <c r="AS48" i="38" s="1"/>
  <c r="AS75" i="38"/>
  <c r="AS63" i="38" s="1"/>
  <c r="AA63" i="38"/>
  <c r="AA64" i="38"/>
  <c r="CY32" i="38"/>
  <c r="DM3" i="38"/>
  <c r="CY66" i="38"/>
  <c r="DM17" i="38"/>
  <c r="CY52" i="38"/>
  <c r="F71" i="42"/>
  <c r="F57" i="42"/>
  <c r="F64" i="42"/>
  <c r="F50" i="42"/>
  <c r="F51" i="42"/>
  <c r="F65" i="42"/>
  <c r="F52" i="42"/>
  <c r="F66" i="42"/>
  <c r="F54" i="43"/>
  <c r="F68" i="43"/>
  <c r="F67" i="43"/>
  <c r="F53" i="43"/>
  <c r="F63" i="29"/>
  <c r="U45" i="42"/>
  <c r="BJ71" i="43"/>
  <c r="BJ57" i="43"/>
  <c r="BJ50" i="43"/>
  <c r="BJ64" i="43"/>
  <c r="BJ51" i="43"/>
  <c r="BJ65" i="43"/>
  <c r="BJ66" i="43"/>
  <c r="BJ52" i="43"/>
  <c r="BU71" i="43"/>
  <c r="BU57" i="43"/>
  <c r="BU64" i="43"/>
  <c r="BU50" i="43"/>
  <c r="BU51" i="43"/>
  <c r="BU65" i="43"/>
  <c r="BU52" i="43"/>
  <c r="BU66" i="43"/>
  <c r="AV31" i="29"/>
  <c r="AV48" i="29"/>
  <c r="AX71" i="32"/>
  <c r="BB71" i="32"/>
  <c r="AX58" i="32"/>
  <c r="AX55" i="32"/>
  <c r="AJ55" i="16"/>
  <c r="BD69" i="43"/>
  <c r="BD55" i="43"/>
  <c r="BD70" i="43"/>
  <c r="BD56" i="43"/>
  <c r="BD72" i="43"/>
  <c r="BD58" i="43"/>
  <c r="BD74" i="43"/>
  <c r="BD60" i="43"/>
  <c r="BS55" i="42"/>
  <c r="BS69" i="42"/>
  <c r="BS70" i="42"/>
  <c r="BS56" i="42"/>
  <c r="BS72" i="42"/>
  <c r="BS58" i="42"/>
  <c r="BS74" i="42"/>
  <c r="BS60" i="42"/>
  <c r="DL28" i="38"/>
  <c r="CX43" i="38"/>
  <c r="DL9" i="38"/>
  <c r="CX68" i="38"/>
  <c r="CX54" i="38"/>
  <c r="AR58" i="38"/>
  <c r="BF16" i="38"/>
  <c r="AR72" i="38"/>
  <c r="EG67" i="38"/>
  <c r="EG75" i="38"/>
  <c r="EU75" i="38"/>
  <c r="G57" i="42"/>
  <c r="G71" i="42"/>
  <c r="G64" i="42"/>
  <c r="G50" i="42"/>
  <c r="G65" i="42"/>
  <c r="G51" i="42"/>
  <c r="G66" i="42"/>
  <c r="G52" i="42"/>
  <c r="G54" i="43"/>
  <c r="G68" i="43"/>
  <c r="G53" i="43"/>
  <c r="G67" i="43"/>
  <c r="G31" i="29"/>
  <c r="Y61" i="42"/>
  <c r="Y75" i="42"/>
  <c r="Y45" i="43"/>
  <c r="Y63" i="29"/>
  <c r="BN48" i="41"/>
  <c r="BN54" i="43"/>
  <c r="BN68" i="43"/>
  <c r="BN31" i="43"/>
  <c r="FA74" i="38"/>
  <c r="FC74" i="38"/>
  <c r="FC71" i="38"/>
  <c r="FA71" i="38"/>
  <c r="FA70" i="38"/>
  <c r="FC70" i="38"/>
  <c r="CB57" i="38"/>
  <c r="CO57" i="38"/>
  <c r="J76" i="42"/>
  <c r="J62" i="42"/>
  <c r="J73" i="42"/>
  <c r="J59" i="42"/>
  <c r="X58" i="42"/>
  <c r="X72" i="42"/>
  <c r="AJ64" i="16"/>
  <c r="BK76" i="43"/>
  <c r="BK62" i="43"/>
  <c r="BK59" i="43"/>
  <c r="BK73" i="43"/>
  <c r="BK31" i="43"/>
  <c r="AL48" i="29"/>
  <c r="N62" i="42"/>
  <c r="N76" i="42"/>
  <c r="N59" i="42"/>
  <c r="N73" i="42"/>
  <c r="V75" i="42"/>
  <c r="V61" i="42"/>
  <c r="V45" i="43"/>
  <c r="AF31" i="41"/>
  <c r="BP63" i="41"/>
  <c r="BW55" i="43"/>
  <c r="BW69" i="43"/>
  <c r="BW56" i="43"/>
  <c r="BW70" i="43"/>
  <c r="BW58" i="43"/>
  <c r="BW72" i="43"/>
  <c r="BW74" i="43"/>
  <c r="BW60" i="43"/>
  <c r="AN57" i="38"/>
  <c r="BB29" i="38"/>
  <c r="AN71" i="38"/>
  <c r="CT41" i="38"/>
  <c r="DH8" i="38"/>
  <c r="DC42" i="38"/>
  <c r="DQ19" i="38"/>
  <c r="AW66" i="38"/>
  <c r="AW52" i="38"/>
  <c r="BK17" i="38"/>
  <c r="DC39" i="38"/>
  <c r="DQ11" i="38"/>
  <c r="AU71" i="16"/>
  <c r="AU57" i="16"/>
  <c r="AI34" i="16"/>
  <c r="CY36" i="38"/>
  <c r="DM26" i="38"/>
  <c r="BG12" i="38"/>
  <c r="AS74" i="38"/>
  <c r="AS60" i="38"/>
  <c r="DM21" i="38"/>
  <c r="CY65" i="38"/>
  <c r="CY51" i="38"/>
  <c r="AS44" i="38"/>
  <c r="BG15" i="38"/>
  <c r="DM14" i="38"/>
  <c r="CY34" i="38"/>
  <c r="CY38" i="38"/>
  <c r="DM2" i="38"/>
  <c r="F55" i="42"/>
  <c r="F69" i="42"/>
  <c r="F70" i="42"/>
  <c r="F56" i="42"/>
  <c r="F58" i="42"/>
  <c r="F72" i="42"/>
  <c r="F74" i="42"/>
  <c r="F60" i="42"/>
  <c r="F31" i="29"/>
  <c r="BU69" i="42"/>
  <c r="BU55" i="42"/>
  <c r="BU70" i="42"/>
  <c r="BU56" i="42"/>
  <c r="BU58" i="42"/>
  <c r="BU72" i="42"/>
  <c r="BU74" i="42"/>
  <c r="BU60" i="42"/>
  <c r="BU63" i="41"/>
  <c r="AX62" i="32"/>
  <c r="BB62" i="32"/>
  <c r="Q57" i="42"/>
  <c r="Q71" i="42"/>
  <c r="Q64" i="42"/>
  <c r="Q50" i="42"/>
  <c r="Q65" i="42"/>
  <c r="Q51" i="42"/>
  <c r="Q66" i="42"/>
  <c r="Q52" i="42"/>
  <c r="Q68" i="43"/>
  <c r="Q54" i="43"/>
  <c r="Q53" i="43"/>
  <c r="Q67" i="43"/>
  <c r="BD31" i="42"/>
  <c r="BS31" i="42"/>
  <c r="DL24" i="38"/>
  <c r="CX55" i="38"/>
  <c r="CX69" i="38"/>
  <c r="CX46" i="38"/>
  <c r="DL10" i="38"/>
  <c r="CX70" i="38"/>
  <c r="CX56" i="38"/>
  <c r="DL20" i="38"/>
  <c r="DL19" i="38"/>
  <c r="CX42" i="38"/>
  <c r="G55" i="43"/>
  <c r="G69" i="43"/>
  <c r="G56" i="43"/>
  <c r="G70" i="43"/>
  <c r="G58" i="43"/>
  <c r="G72" i="43"/>
  <c r="G60" i="43"/>
  <c r="G74" i="43"/>
  <c r="Y63" i="41"/>
  <c r="Y54" i="42"/>
  <c r="Y68" i="42"/>
  <c r="Y53" i="42"/>
  <c r="Y67" i="42"/>
  <c r="Y45" i="29"/>
  <c r="BN45" i="42"/>
  <c r="AO63" i="29"/>
  <c r="BN76" i="42"/>
  <c r="BN62" i="42"/>
  <c r="CM63" i="30"/>
  <c r="EV48" i="38"/>
  <c r="FC66" i="38"/>
  <c r="FA66" i="38"/>
  <c r="CB61" i="38"/>
  <c r="CB76" i="38"/>
  <c r="CB72" i="38"/>
  <c r="J61" i="43"/>
  <c r="J75" i="43"/>
  <c r="J45" i="41"/>
  <c r="X31" i="43"/>
  <c r="BK75" i="42"/>
  <c r="BK61" i="42"/>
  <c r="BK45" i="43"/>
  <c r="AL31" i="29"/>
  <c r="N61" i="43"/>
  <c r="N75" i="43"/>
  <c r="N45" i="41"/>
  <c r="V63" i="41"/>
  <c r="BE45" i="42"/>
  <c r="CX63" i="42"/>
  <c r="BY76" i="43"/>
  <c r="BY62" i="43"/>
  <c r="BY59" i="43"/>
  <c r="BY73" i="43"/>
  <c r="BY31" i="43"/>
  <c r="AZ45" i="29"/>
  <c r="BL71" i="43"/>
  <c r="BL57" i="43"/>
  <c r="BL64" i="43"/>
  <c r="BL50" i="43"/>
  <c r="BL51" i="43"/>
  <c r="BL65" i="43"/>
  <c r="BL52" i="43"/>
  <c r="BL66" i="43"/>
  <c r="BP62" i="42"/>
  <c r="BP76" i="42"/>
  <c r="BP59" i="42"/>
  <c r="BP73" i="42"/>
  <c r="AX48" i="41"/>
  <c r="AX31" i="41"/>
  <c r="AX63" i="29"/>
  <c r="CT70" i="38"/>
  <c r="DH20" i="38"/>
  <c r="CT56" i="38"/>
  <c r="BB3" i="38"/>
  <c r="AN32" i="38"/>
  <c r="AN61" i="38"/>
  <c r="BB18" i="38"/>
  <c r="AN75" i="38"/>
  <c r="AE48" i="38"/>
  <c r="AW56" i="38"/>
  <c r="BK20" i="38"/>
  <c r="AW70" i="38"/>
  <c r="DC49" i="38"/>
  <c r="DQ23" i="38"/>
  <c r="BK10" i="38"/>
  <c r="AW46" i="38"/>
  <c r="DQ5" i="38"/>
  <c r="DC67" i="38"/>
  <c r="DC53" i="38"/>
  <c r="AU65" i="16"/>
  <c r="AU51" i="16"/>
  <c r="L64" i="16"/>
  <c r="L63" i="16"/>
  <c r="AT75" i="16"/>
  <c r="AT61" i="16"/>
  <c r="O48" i="16"/>
  <c r="AT45" i="16"/>
  <c r="AX50" i="16"/>
  <c r="AX64" i="16"/>
  <c r="AI38" i="16"/>
  <c r="AT73" i="16"/>
  <c r="AT59" i="16"/>
  <c r="X64" i="16"/>
  <c r="X63" i="16"/>
  <c r="AD63" i="37"/>
  <c r="AA64" i="37"/>
  <c r="AA63" i="37"/>
  <c r="Q63" i="37"/>
  <c r="BF48" i="16"/>
  <c r="D45" i="32"/>
  <c r="N66" i="32"/>
  <c r="Q66" i="32"/>
  <c r="AN75" i="32"/>
  <c r="AL75" i="32"/>
  <c r="D64" i="43"/>
  <c r="D50" i="43"/>
  <c r="C25" i="43"/>
  <c r="AR25" i="32" s="1"/>
  <c r="D64" i="42"/>
  <c r="D50" i="42"/>
  <c r="C21" i="42"/>
  <c r="F21" i="32" s="1"/>
  <c r="D65" i="42"/>
  <c r="D51" i="42"/>
  <c r="G68" i="32"/>
  <c r="G54" i="32"/>
  <c r="D53" i="43"/>
  <c r="D67" i="43"/>
  <c r="C5" i="43"/>
  <c r="AR5" i="32" s="1"/>
  <c r="C5" i="42"/>
  <c r="F5" i="32" s="1"/>
  <c r="D53" i="42"/>
  <c r="D67" i="42"/>
  <c r="C15" i="30"/>
  <c r="D48" i="29"/>
  <c r="C49" i="29"/>
  <c r="C62" i="29"/>
  <c r="AB55" i="43"/>
  <c r="AW55" i="32" s="1"/>
  <c r="BA55" i="32" s="1"/>
  <c r="BZ60" i="43"/>
  <c r="DV60" i="38" s="1"/>
  <c r="EJ60" i="38" s="1"/>
  <c r="BZ74" i="43"/>
  <c r="DV74" i="38" s="1"/>
  <c r="EJ74" i="38" s="1"/>
  <c r="BZ72" i="43"/>
  <c r="DV72" i="38" s="1"/>
  <c r="EJ72" i="38" s="1"/>
  <c r="K31" i="41"/>
  <c r="K45" i="42"/>
  <c r="O62" i="43"/>
  <c r="O76" i="43"/>
  <c r="O73" i="43"/>
  <c r="O59" i="43"/>
  <c r="O31" i="43"/>
  <c r="AH63" i="41"/>
  <c r="BG63" i="41"/>
  <c r="BG48" i="41"/>
  <c r="AH63" i="29"/>
  <c r="CY35" i="38"/>
  <c r="DM30" i="38"/>
  <c r="BG16" i="38"/>
  <c r="AS72" i="38"/>
  <c r="AS58" i="38"/>
  <c r="AS67" i="38"/>
  <c r="AS53" i="38"/>
  <c r="BG5" i="38"/>
  <c r="AS37" i="38"/>
  <c r="BG22" i="38"/>
  <c r="AS40" i="38"/>
  <c r="BG4" i="38"/>
  <c r="F76" i="43"/>
  <c r="F62" i="43"/>
  <c r="F59" i="43"/>
  <c r="F73" i="43"/>
  <c r="F31" i="43"/>
  <c r="F48" i="29"/>
  <c r="U48" i="29"/>
  <c r="BJ31" i="42"/>
  <c r="AK63" i="29"/>
  <c r="BU76" i="43"/>
  <c r="BU62" i="43"/>
  <c r="BU73" i="43"/>
  <c r="BU59" i="43"/>
  <c r="BU31" i="43"/>
  <c r="Q69" i="42"/>
  <c r="Q55" i="42"/>
  <c r="Q56" i="42"/>
  <c r="Q70" i="42"/>
  <c r="Q58" i="42"/>
  <c r="Q72" i="42"/>
  <c r="Q74" i="42"/>
  <c r="Q60" i="42"/>
  <c r="Q31" i="29"/>
  <c r="CC63" i="30"/>
  <c r="BS75" i="42"/>
  <c r="BS61" i="42"/>
  <c r="AI58" i="32"/>
  <c r="N76" i="32"/>
  <c r="AN70" i="32"/>
  <c r="AL70" i="32"/>
  <c r="AN74" i="32"/>
  <c r="AL74" i="32"/>
  <c r="AL66" i="32"/>
  <c r="AN66" i="32"/>
  <c r="D62" i="43"/>
  <c r="C27" i="43"/>
  <c r="AR27" i="32" s="1"/>
  <c r="D76" i="43"/>
  <c r="D76" i="42"/>
  <c r="C27" i="42"/>
  <c r="F27" i="32" s="1"/>
  <c r="D62" i="42"/>
  <c r="C49" i="41"/>
  <c r="D48" i="41"/>
  <c r="D42" i="42"/>
  <c r="C19" i="42"/>
  <c r="F19" i="32" s="1"/>
  <c r="D44" i="42"/>
  <c r="C44" i="42" s="1"/>
  <c r="C15" i="42"/>
  <c r="F15" i="32" s="1"/>
  <c r="C7" i="42"/>
  <c r="F7" i="32" s="1"/>
  <c r="D73" i="42"/>
  <c r="D59" i="42"/>
  <c r="D32" i="42"/>
  <c r="C3" i="42"/>
  <c r="F3" i="32" s="1"/>
  <c r="C47" i="29"/>
  <c r="C17" i="30"/>
  <c r="C21" i="30"/>
  <c r="C8" i="30"/>
  <c r="AB68" i="43"/>
  <c r="AW68" i="32" s="1"/>
  <c r="BA68" i="32" s="1"/>
  <c r="AB31" i="43"/>
  <c r="AB32" i="43"/>
  <c r="AW32" i="32" s="1"/>
  <c r="AC31" i="43"/>
  <c r="K69" i="42"/>
  <c r="K55" i="42"/>
  <c r="K56" i="42"/>
  <c r="K70" i="42"/>
  <c r="K58" i="42"/>
  <c r="K72" i="42"/>
  <c r="K74" i="42"/>
  <c r="K60" i="42"/>
  <c r="K31" i="29"/>
  <c r="O71" i="42"/>
  <c r="O57" i="42"/>
  <c r="O64" i="42"/>
  <c r="O50" i="42"/>
  <c r="O65" i="42"/>
  <c r="O51" i="42"/>
  <c r="O66" i="42"/>
  <c r="O52" i="42"/>
  <c r="O54" i="43"/>
  <c r="O68" i="43"/>
  <c r="O67" i="43"/>
  <c r="O53" i="43"/>
  <c r="S69" i="43"/>
  <c r="S55" i="43"/>
  <c r="S70" i="43"/>
  <c r="S56" i="43"/>
  <c r="S72" i="43"/>
  <c r="S58" i="43"/>
  <c r="S74" i="43"/>
  <c r="S60" i="43"/>
  <c r="S48" i="29"/>
  <c r="Z63" i="41"/>
  <c r="BC75" i="43"/>
  <c r="BC61" i="43"/>
  <c r="AD45" i="41"/>
  <c r="BR71" i="43"/>
  <c r="BR57" i="43"/>
  <c r="BR50" i="43"/>
  <c r="BR64" i="43"/>
  <c r="BR65" i="43"/>
  <c r="BR51" i="43"/>
  <c r="BR66" i="43"/>
  <c r="BR52" i="43"/>
  <c r="CU57" i="38"/>
  <c r="DI29" i="38"/>
  <c r="CU71" i="38"/>
  <c r="BC6" i="38"/>
  <c r="AO47" i="38"/>
  <c r="DI23" i="38"/>
  <c r="CU49" i="38"/>
  <c r="AI56" i="32"/>
  <c r="AC63" i="32"/>
  <c r="AC64" i="32"/>
  <c r="CI64" i="38"/>
  <c r="CI63" i="38"/>
  <c r="EG76" i="38"/>
  <c r="EU76" i="38"/>
  <c r="CP45" i="38"/>
  <c r="CP31" i="38"/>
  <c r="G48" i="41"/>
  <c r="G31" i="42"/>
  <c r="Y69" i="43"/>
  <c r="Y55" i="43"/>
  <c r="Y70" i="43"/>
  <c r="Y56" i="43"/>
  <c r="Y58" i="43"/>
  <c r="Y72" i="43"/>
  <c r="Y74" i="43"/>
  <c r="Y60" i="43"/>
  <c r="AJ70" i="37"/>
  <c r="AL63" i="41"/>
  <c r="BK54" i="42"/>
  <c r="BK68" i="42"/>
  <c r="BK53" i="42"/>
  <c r="BK67" i="42"/>
  <c r="N71" i="42"/>
  <c r="N57" i="42"/>
  <c r="N64" i="42"/>
  <c r="N50" i="42"/>
  <c r="N65" i="42"/>
  <c r="N51" i="42"/>
  <c r="N66" i="42"/>
  <c r="N52" i="42"/>
  <c r="N54" i="43"/>
  <c r="N68" i="43"/>
  <c r="N53" i="43"/>
  <c r="N67" i="43"/>
  <c r="N45" i="29"/>
  <c r="V55" i="42"/>
  <c r="V69" i="42"/>
  <c r="V56" i="42"/>
  <c r="V70" i="42"/>
  <c r="V72" i="42"/>
  <c r="V58" i="42"/>
  <c r="V60" i="42"/>
  <c r="V74" i="42"/>
  <c r="V48" i="29"/>
  <c r="BG48" i="37"/>
  <c r="AI32" i="32"/>
  <c r="AG31" i="32"/>
  <c r="AY64" i="32"/>
  <c r="AP63" i="32"/>
  <c r="N71" i="32"/>
  <c r="N64" i="32"/>
  <c r="N63" i="32"/>
  <c r="C30" i="43"/>
  <c r="AR30" i="32" s="1"/>
  <c r="D35" i="43"/>
  <c r="C35" i="43" s="1"/>
  <c r="D36" i="43"/>
  <c r="C36" i="43" s="1"/>
  <c r="C26" i="43"/>
  <c r="AR26" i="32" s="1"/>
  <c r="C22" i="43"/>
  <c r="AR22" i="32" s="1"/>
  <c r="D37" i="43"/>
  <c r="C37" i="43" s="1"/>
  <c r="D75" i="43"/>
  <c r="C18" i="43"/>
  <c r="AR18" i="32" s="1"/>
  <c r="D61" i="43"/>
  <c r="C18" i="42"/>
  <c r="F18" i="32" s="1"/>
  <c r="D75" i="42"/>
  <c r="D61" i="42"/>
  <c r="D34" i="42"/>
  <c r="C34" i="42" s="1"/>
  <c r="C14" i="42"/>
  <c r="F14" i="32" s="1"/>
  <c r="D46" i="42"/>
  <c r="C10" i="42"/>
  <c r="F10" i="32" s="1"/>
  <c r="C18" i="30"/>
  <c r="C22" i="30"/>
  <c r="BZ61" i="43"/>
  <c r="DV61" i="38" s="1"/>
  <c r="EJ61" i="38" s="1"/>
  <c r="H54" i="43"/>
  <c r="H68" i="43"/>
  <c r="H31" i="43"/>
  <c r="K76" i="42"/>
  <c r="K62" i="42"/>
  <c r="K73" i="42"/>
  <c r="K59" i="42"/>
  <c r="O55" i="43"/>
  <c r="O69" i="43"/>
  <c r="O70" i="43"/>
  <c r="O56" i="43"/>
  <c r="O58" i="43"/>
  <c r="O72" i="43"/>
  <c r="O74" i="43"/>
  <c r="O60" i="43"/>
  <c r="O48" i="29"/>
  <c r="S48" i="41"/>
  <c r="S31" i="41"/>
  <c r="C28" i="30"/>
  <c r="AI48" i="43"/>
  <c r="CI48" i="43"/>
  <c r="AM48" i="43"/>
  <c r="CH48" i="43"/>
  <c r="CN48" i="43"/>
  <c r="AS48" i="43"/>
  <c r="CV48" i="43"/>
  <c r="AR48" i="43"/>
  <c r="CQ48" i="43"/>
  <c r="AU48" i="43"/>
  <c r="CP48" i="43"/>
  <c r="AJ71" i="16"/>
  <c r="BC63" i="29"/>
  <c r="CQ63" i="42"/>
  <c r="BR69" i="43"/>
  <c r="BR55" i="43"/>
  <c r="BR70" i="43"/>
  <c r="BR56" i="43"/>
  <c r="BR58" i="43"/>
  <c r="BR72" i="43"/>
  <c r="BR60" i="43"/>
  <c r="BR74" i="43"/>
  <c r="S75" i="42"/>
  <c r="S61" i="42"/>
  <c r="S45" i="43"/>
  <c r="Z31" i="42"/>
  <c r="AP63" i="43"/>
  <c r="CK63" i="43"/>
  <c r="CM63" i="43"/>
  <c r="CU63" i="43"/>
  <c r="AY63" i="43"/>
  <c r="CT63" i="43"/>
  <c r="CV63" i="43"/>
  <c r="AH63" i="43"/>
  <c r="CC63" i="43"/>
  <c r="AJ52" i="37"/>
  <c r="K42" i="16"/>
  <c r="BC63" i="41"/>
  <c r="AB52" i="29"/>
  <c r="BR31" i="42"/>
  <c r="DI17" i="38"/>
  <c r="CU66" i="38"/>
  <c r="CU52" i="38"/>
  <c r="O48" i="32"/>
  <c r="V63" i="32"/>
  <c r="M61" i="43"/>
  <c r="M75" i="43"/>
  <c r="M45" i="41"/>
  <c r="CM63" i="42"/>
  <c r="BN64" i="43"/>
  <c r="BN50" i="43"/>
  <c r="BN48" i="43" s="1"/>
  <c r="EX62" i="38"/>
  <c r="EX76" i="38"/>
  <c r="CB64" i="38"/>
  <c r="CB63" i="38"/>
  <c r="CO64" i="38"/>
  <c r="CB52" i="38"/>
  <c r="EX50" i="38"/>
  <c r="EX64" i="38"/>
  <c r="FC73" i="38"/>
  <c r="FA73" i="38"/>
  <c r="J57" i="42"/>
  <c r="J71" i="42"/>
  <c r="J64" i="42"/>
  <c r="J50" i="42"/>
  <c r="J51" i="42"/>
  <c r="J65" i="42"/>
  <c r="J66" i="42"/>
  <c r="J52" i="42"/>
  <c r="J54" i="43"/>
  <c r="J68" i="43"/>
  <c r="J53" i="43"/>
  <c r="J67" i="43"/>
  <c r="J48" i="29"/>
  <c r="X50" i="42"/>
  <c r="X64" i="42"/>
  <c r="X52" i="42"/>
  <c r="X48" i="42" s="1"/>
  <c r="X66" i="42"/>
  <c r="X68" i="42"/>
  <c r="X54" i="42"/>
  <c r="X45" i="29"/>
  <c r="BE57" i="42"/>
  <c r="BE71" i="42"/>
  <c r="BE64" i="42"/>
  <c r="BE50" i="42"/>
  <c r="BE48" i="42" s="1"/>
  <c r="BE65" i="42"/>
  <c r="BE51" i="42"/>
  <c r="BE52" i="42"/>
  <c r="BE66" i="42"/>
  <c r="BE54" i="43"/>
  <c r="BE68" i="43"/>
  <c r="BE53" i="43"/>
  <c r="BE67" i="43"/>
  <c r="BY45" i="42"/>
  <c r="BY63" i="41"/>
  <c r="BL69" i="42"/>
  <c r="BL55" i="42"/>
  <c r="BL70" i="42"/>
  <c r="BL56" i="42"/>
  <c r="BL72" i="42"/>
  <c r="BL58" i="42"/>
  <c r="BL74" i="42"/>
  <c r="BL60" i="42"/>
  <c r="AM63" i="29"/>
  <c r="AU48" i="41"/>
  <c r="AU31" i="41"/>
  <c r="BW75" i="43"/>
  <c r="BW61" i="43"/>
  <c r="AX45" i="41"/>
  <c r="I48" i="38"/>
  <c r="EK48" i="38"/>
  <c r="BB19" i="38"/>
  <c r="AN42" i="38"/>
  <c r="AW65" i="38"/>
  <c r="AW51" i="38"/>
  <c r="BK21" i="38"/>
  <c r="DQ9" i="38"/>
  <c r="DC68" i="38"/>
  <c r="DC54" i="38"/>
  <c r="M31" i="38"/>
  <c r="DC41" i="38"/>
  <c r="DQ8" i="38"/>
  <c r="DQ4" i="38"/>
  <c r="DC40" i="38"/>
  <c r="AW44" i="38"/>
  <c r="AW31" i="38" s="1"/>
  <c r="BK15" i="38"/>
  <c r="AA64" i="16"/>
  <c r="AA63" i="16"/>
  <c r="BJ48" i="16"/>
  <c r="AT52" i="16"/>
  <c r="AT48" i="16" s="1"/>
  <c r="AT66" i="16"/>
  <c r="AU52" i="16"/>
  <c r="AU48" i="16" s="1"/>
  <c r="AU66" i="16"/>
  <c r="AU63" i="16" s="1"/>
  <c r="AD63" i="16"/>
  <c r="AT74" i="16"/>
  <c r="AT60" i="16"/>
  <c r="L48" i="16"/>
  <c r="AU68" i="16"/>
  <c r="AU54" i="16"/>
  <c r="E63" i="16"/>
  <c r="AT70" i="16"/>
  <c r="AT56" i="16"/>
  <c r="BE64" i="16"/>
  <c r="BE63" i="16"/>
  <c r="AI36" i="16"/>
  <c r="AI39" i="16"/>
  <c r="K45" i="16"/>
  <c r="AS45" i="29"/>
  <c r="CF64" i="38"/>
  <c r="CF63" i="38"/>
  <c r="AO35" i="38"/>
  <c r="BC30" i="38"/>
  <c r="DI5" i="38"/>
  <c r="CU67" i="38"/>
  <c r="CU53" i="38"/>
  <c r="AB48" i="38"/>
  <c r="CU38" i="38"/>
  <c r="DI2" i="38"/>
  <c r="AO70" i="38"/>
  <c r="AO56" i="38"/>
  <c r="BC20" i="38"/>
  <c r="AF64" i="32"/>
  <c r="AF63" i="32"/>
  <c r="AD48" i="32"/>
  <c r="M62" i="42"/>
  <c r="M76" i="42"/>
  <c r="M59" i="42"/>
  <c r="M73" i="42"/>
  <c r="BH63" i="41"/>
  <c r="AP48" i="41"/>
  <c r="AP31" i="41"/>
  <c r="BO63" i="29"/>
  <c r="CN63" i="30"/>
  <c r="AW63" i="41"/>
  <c r="CZ57" i="38"/>
  <c r="DN29" i="38"/>
  <c r="CZ71" i="38"/>
  <c r="EQ48" i="38"/>
  <c r="DN6" i="38"/>
  <c r="CZ47" i="38"/>
  <c r="CZ32" i="38"/>
  <c r="DN3" i="38"/>
  <c r="BH4" i="38"/>
  <c r="AT40" i="38"/>
  <c r="AT34" i="38"/>
  <c r="BH14" i="38"/>
  <c r="F58" i="16"/>
  <c r="F76" i="16"/>
  <c r="M57" i="16"/>
  <c r="J57" i="16"/>
  <c r="M40" i="16"/>
  <c r="J54" i="16"/>
  <c r="M54" i="16"/>
  <c r="M72" i="37"/>
  <c r="J72" i="37"/>
  <c r="M76" i="37"/>
  <c r="J76" i="37"/>
  <c r="F74" i="37"/>
  <c r="AB55" i="42"/>
  <c r="L55" i="32" s="1"/>
  <c r="P55" i="32" s="1"/>
  <c r="AB69" i="42"/>
  <c r="L69" i="32" s="1"/>
  <c r="P69" i="32" s="1"/>
  <c r="AB70" i="42"/>
  <c r="L70" i="32" s="1"/>
  <c r="P70" i="32" s="1"/>
  <c r="AA76" i="43"/>
  <c r="AA62" i="43"/>
  <c r="AA59" i="43"/>
  <c r="AA73" i="43"/>
  <c r="AA31" i="43"/>
  <c r="AA48" i="29"/>
  <c r="AR63" i="30"/>
  <c r="AD63" i="30"/>
  <c r="AY63" i="30"/>
  <c r="AO63" i="30"/>
  <c r="AN63" i="30"/>
  <c r="AC63" i="30"/>
  <c r="AU63" i="30"/>
  <c r="BZ69" i="42"/>
  <c r="BP69" i="38" s="1"/>
  <c r="CD69" i="38" s="1"/>
  <c r="BZ60" i="42"/>
  <c r="BP60" i="38" s="1"/>
  <c r="CD60" i="38" s="1"/>
  <c r="BA73" i="41"/>
  <c r="N73" i="38" s="1"/>
  <c r="Y73" i="38" s="1"/>
  <c r="AB76" i="41"/>
  <c r="BA23" i="43"/>
  <c r="CS23" i="38" s="1"/>
  <c r="BB49" i="43"/>
  <c r="BA19" i="43"/>
  <c r="CS19" i="38" s="1"/>
  <c r="BB42" i="43"/>
  <c r="BA42" i="43" s="1"/>
  <c r="BB44" i="43"/>
  <c r="BA44" i="43" s="1"/>
  <c r="BA15" i="43"/>
  <c r="CS15" i="38" s="1"/>
  <c r="BB39" i="43"/>
  <c r="BA39" i="43" s="1"/>
  <c r="BA11" i="43"/>
  <c r="CS11" i="38" s="1"/>
  <c r="BA7" i="43"/>
  <c r="CS7" i="38" s="1"/>
  <c r="BB59" i="43"/>
  <c r="BA59" i="43" s="1"/>
  <c r="BB73" i="43"/>
  <c r="BA73" i="43" s="1"/>
  <c r="BB73" i="42"/>
  <c r="BB59" i="42"/>
  <c r="BA7" i="42"/>
  <c r="AM7" i="38" s="1"/>
  <c r="AB32" i="41"/>
  <c r="AC31" i="41"/>
  <c r="BA52" i="41"/>
  <c r="N52" i="38" s="1"/>
  <c r="Y52" i="38" s="1"/>
  <c r="BA59" i="29"/>
  <c r="BA50" i="29"/>
  <c r="CA48" i="30"/>
  <c r="AR45" i="29"/>
  <c r="BX69" i="43"/>
  <c r="BX55" i="43"/>
  <c r="BX56" i="43"/>
  <c r="BX70" i="43"/>
  <c r="BX58" i="43"/>
  <c r="BX72" i="43"/>
  <c r="BX74" i="43"/>
  <c r="BX60" i="43"/>
  <c r="BX63" i="29"/>
  <c r="CV35" i="38"/>
  <c r="DJ30" i="38"/>
  <c r="DJ14" i="38"/>
  <c r="CV34" i="38"/>
  <c r="DJ22" i="38"/>
  <c r="CV37" i="38"/>
  <c r="BD13" i="38"/>
  <c r="AP33" i="38"/>
  <c r="DJ7" i="38"/>
  <c r="CV73" i="38"/>
  <c r="CV59" i="38"/>
  <c r="DK24" i="38"/>
  <c r="CW69" i="38"/>
  <c r="CW55" i="38"/>
  <c r="DK29" i="38"/>
  <c r="CW71" i="38"/>
  <c r="CW57" i="38"/>
  <c r="CW67" i="38"/>
  <c r="CW53" i="38"/>
  <c r="DK5" i="38"/>
  <c r="CW75" i="38"/>
  <c r="DK18" i="38"/>
  <c r="CW61" i="38"/>
  <c r="CW60" i="38"/>
  <c r="DK12" i="38"/>
  <c r="CW74" i="38"/>
  <c r="CW42" i="38"/>
  <c r="DK19" i="38"/>
  <c r="DA66" i="38"/>
  <c r="DA52" i="38"/>
  <c r="DO17" i="38"/>
  <c r="BI2" i="38"/>
  <c r="AU38" i="38"/>
  <c r="AU64" i="38"/>
  <c r="AU50" i="38"/>
  <c r="BI25" i="38"/>
  <c r="DO19" i="38"/>
  <c r="DA42" i="38"/>
  <c r="DO6" i="38"/>
  <c r="DA47" i="38"/>
  <c r="E45" i="42"/>
  <c r="I48" i="41"/>
  <c r="I31" i="41"/>
  <c r="L69" i="43"/>
  <c r="L55" i="43"/>
  <c r="L70" i="43"/>
  <c r="L56" i="43"/>
  <c r="L72" i="43"/>
  <c r="L58" i="43"/>
  <c r="L60" i="43"/>
  <c r="L74" i="43"/>
  <c r="P70" i="42"/>
  <c r="P56" i="42"/>
  <c r="P60" i="42"/>
  <c r="P74" i="42"/>
  <c r="P67" i="42"/>
  <c r="P53" i="42"/>
  <c r="W31" i="42"/>
  <c r="AJ62" i="37"/>
  <c r="AI51" i="32"/>
  <c r="N55" i="32"/>
  <c r="AL67" i="32"/>
  <c r="AN67" i="32"/>
  <c r="Q41" i="32"/>
  <c r="Q33" i="32"/>
  <c r="AN62" i="32"/>
  <c r="AL62" i="32"/>
  <c r="N72" i="32"/>
  <c r="D43" i="43"/>
  <c r="C43" i="43" s="1"/>
  <c r="C28" i="43"/>
  <c r="AR28" i="32" s="1"/>
  <c r="D55" i="43"/>
  <c r="D69" i="43"/>
  <c r="C24" i="43"/>
  <c r="AR24" i="32" s="1"/>
  <c r="C24" i="42"/>
  <c r="F24" i="32" s="1"/>
  <c r="D69" i="42"/>
  <c r="D55" i="42"/>
  <c r="G56" i="32"/>
  <c r="G70" i="32"/>
  <c r="C58" i="41"/>
  <c r="C74" i="41"/>
  <c r="C8" i="43"/>
  <c r="AR8" i="32" s="1"/>
  <c r="D41" i="43"/>
  <c r="C41" i="43" s="1"/>
  <c r="C4" i="43"/>
  <c r="AR4" i="32" s="1"/>
  <c r="D40" i="43"/>
  <c r="C40" i="43" s="1"/>
  <c r="C5" i="30"/>
  <c r="C11" i="30"/>
  <c r="D39" i="30"/>
  <c r="D45" i="29"/>
  <c r="C46" i="29"/>
  <c r="BZ51" i="43"/>
  <c r="DV51" i="38" s="1"/>
  <c r="EJ51" i="38" s="1"/>
  <c r="AB66" i="43"/>
  <c r="AW66" i="32" s="1"/>
  <c r="BA66" i="32" s="1"/>
  <c r="BZ50" i="43"/>
  <c r="DV50" i="38" s="1"/>
  <c r="EJ50" i="38" s="1"/>
  <c r="H70" i="43"/>
  <c r="H56" i="43"/>
  <c r="H74" i="43"/>
  <c r="H60" i="43"/>
  <c r="H50" i="43"/>
  <c r="H64" i="43"/>
  <c r="O75" i="42"/>
  <c r="O61" i="42"/>
  <c r="O45" i="43"/>
  <c r="S71" i="42"/>
  <c r="S57" i="42"/>
  <c r="S50" i="42"/>
  <c r="S64" i="42"/>
  <c r="S51" i="42"/>
  <c r="S65" i="42"/>
  <c r="S66" i="42"/>
  <c r="S52" i="42"/>
  <c r="S54" i="43"/>
  <c r="S68" i="43"/>
  <c r="S53" i="43"/>
  <c r="S67" i="43"/>
  <c r="Z45" i="42"/>
  <c r="Z31" i="29"/>
  <c r="K34" i="16"/>
  <c r="BH71" i="43"/>
  <c r="BH57" i="43"/>
  <c r="BH50" i="43"/>
  <c r="BH48" i="43" s="1"/>
  <c r="BH64" i="43"/>
  <c r="BH65" i="43"/>
  <c r="BH51" i="43"/>
  <c r="BH66" i="43"/>
  <c r="BH52" i="43"/>
  <c r="BO45" i="42"/>
  <c r="AW48" i="41"/>
  <c r="BV59" i="43"/>
  <c r="BV73" i="43"/>
  <c r="AT41" i="38"/>
  <c r="BH8" i="38"/>
  <c r="F54" i="16"/>
  <c r="M61" i="16"/>
  <c r="J61" i="16"/>
  <c r="J76" i="16"/>
  <c r="M76" i="16"/>
  <c r="F67" i="16"/>
  <c r="J69" i="16"/>
  <c r="M69" i="16"/>
  <c r="J67" i="16"/>
  <c r="M67" i="16"/>
  <c r="F75" i="37"/>
  <c r="F67" i="37"/>
  <c r="AH48" i="42"/>
  <c r="AK48" i="42"/>
  <c r="AT48" i="42"/>
  <c r="AQ48" i="42"/>
  <c r="AJ48" i="42"/>
  <c r="AZ48" i="42"/>
  <c r="C37" i="41"/>
  <c r="R71" i="42"/>
  <c r="R57" i="42"/>
  <c r="R64" i="42"/>
  <c r="R50" i="42"/>
  <c r="R65" i="42"/>
  <c r="R51" i="42"/>
  <c r="R66" i="42"/>
  <c r="R52" i="42"/>
  <c r="R54" i="43"/>
  <c r="R68" i="43"/>
  <c r="R53" i="43"/>
  <c r="R67" i="43"/>
  <c r="BZ62" i="42"/>
  <c r="BP62" i="38" s="1"/>
  <c r="CD62" i="38" s="1"/>
  <c r="BZ73" i="42"/>
  <c r="BP73" i="38" s="1"/>
  <c r="CD73" i="38" s="1"/>
  <c r="BA47" i="41"/>
  <c r="N47" i="38" s="1"/>
  <c r="Y47" i="38" s="1"/>
  <c r="BB35" i="42"/>
  <c r="BA35" i="42" s="1"/>
  <c r="BA30" i="42"/>
  <c r="AM30" i="38" s="1"/>
  <c r="BA26" i="42"/>
  <c r="AM26" i="38" s="1"/>
  <c r="BB36" i="42"/>
  <c r="BA36" i="42" s="1"/>
  <c r="C75" i="38"/>
  <c r="C61" i="38"/>
  <c r="AB34" i="41"/>
  <c r="AC45" i="41"/>
  <c r="AB46" i="41"/>
  <c r="BB47" i="42"/>
  <c r="BA47" i="42" s="1"/>
  <c r="BA6" i="42"/>
  <c r="AM6" i="38" s="1"/>
  <c r="BA2" i="42"/>
  <c r="AM2" i="38" s="1"/>
  <c r="BB38" i="42"/>
  <c r="BA38" i="42" s="1"/>
  <c r="BA54" i="41"/>
  <c r="N54" i="38" s="1"/>
  <c r="Y54" i="38" s="1"/>
  <c r="BA58" i="41"/>
  <c r="N58" i="38" s="1"/>
  <c r="Y58" i="38" s="1"/>
  <c r="BA4" i="30"/>
  <c r="AB60" i="29"/>
  <c r="AB34" i="29"/>
  <c r="AB72" i="29"/>
  <c r="AB61" i="29"/>
  <c r="AB70" i="29"/>
  <c r="BA24" i="30"/>
  <c r="BA26" i="30"/>
  <c r="BA5" i="30"/>
  <c r="BF76" i="42"/>
  <c r="BF62" i="42"/>
  <c r="BF31" i="42"/>
  <c r="BF70" i="42"/>
  <c r="BF56" i="42"/>
  <c r="BF74" i="42"/>
  <c r="BF60" i="42"/>
  <c r="BI76" i="43"/>
  <c r="BI62" i="43"/>
  <c r="BI73" i="43"/>
  <c r="BI59" i="43"/>
  <c r="BI31" i="43"/>
  <c r="AN63" i="41"/>
  <c r="AN45" i="29"/>
  <c r="AR63" i="41"/>
  <c r="AR31" i="41"/>
  <c r="AR48" i="29"/>
  <c r="AY48" i="41"/>
  <c r="AY31" i="41"/>
  <c r="AP71" i="38"/>
  <c r="AP57" i="38"/>
  <c r="BD29" i="38"/>
  <c r="CV75" i="38"/>
  <c r="CV61" i="38"/>
  <c r="DJ18" i="38"/>
  <c r="CV44" i="38"/>
  <c r="DJ15" i="38"/>
  <c r="BD9" i="38"/>
  <c r="AP54" i="38"/>
  <c r="AP68" i="38"/>
  <c r="CV64" i="38"/>
  <c r="CV50" i="38"/>
  <c r="DJ25" i="38"/>
  <c r="DJ5" i="38"/>
  <c r="CV67" i="38"/>
  <c r="CV53" i="38"/>
  <c r="H48" i="38"/>
  <c r="BE4" i="38"/>
  <c r="AQ40" i="38"/>
  <c r="CW35" i="38"/>
  <c r="CW31" i="38" s="1"/>
  <c r="DK30" i="38"/>
  <c r="BE15" i="38"/>
  <c r="AQ44" i="38"/>
  <c r="AU56" i="38"/>
  <c r="BI20" i="38"/>
  <c r="AU70" i="38"/>
  <c r="DO23" i="38"/>
  <c r="DA49" i="38"/>
  <c r="AU61" i="38"/>
  <c r="BI18" i="38"/>
  <c r="AU75" i="38"/>
  <c r="BI9" i="38"/>
  <c r="AU68" i="38"/>
  <c r="AU54" i="38"/>
  <c r="DA53" i="38"/>
  <c r="DO5" i="38"/>
  <c r="DA67" i="38"/>
  <c r="C51" i="29"/>
  <c r="I75" i="42"/>
  <c r="I61" i="42"/>
  <c r="I45" i="43"/>
  <c r="L31" i="42"/>
  <c r="P31" i="43"/>
  <c r="T31" i="42"/>
  <c r="W61" i="43"/>
  <c r="W75" i="43"/>
  <c r="W45" i="41"/>
  <c r="AJ55" i="37"/>
  <c r="AJ61" i="16"/>
  <c r="P64" i="42"/>
  <c r="P50" i="42"/>
  <c r="P68" i="42"/>
  <c r="P54" i="42"/>
  <c r="W57" i="42"/>
  <c r="W71" i="42"/>
  <c r="W65" i="42"/>
  <c r="W51" i="42"/>
  <c r="W67" i="43"/>
  <c r="W53" i="43"/>
  <c r="AD48" i="41"/>
  <c r="AD31" i="41"/>
  <c r="AO41" i="38"/>
  <c r="BC8" i="38"/>
  <c r="F31" i="38"/>
  <c r="CU72" i="38"/>
  <c r="CU58" i="38"/>
  <c r="DI16" i="38"/>
  <c r="CF48" i="38"/>
  <c r="CU39" i="38"/>
  <c r="DI11" i="38"/>
  <c r="R63" i="32"/>
  <c r="AB48" i="32"/>
  <c r="AE48" i="32"/>
  <c r="S63" i="32"/>
  <c r="AP63" i="41"/>
  <c r="BO63" i="41"/>
  <c r="BO48" i="41"/>
  <c r="BV45" i="42"/>
  <c r="BV53" i="42"/>
  <c r="BV67" i="42"/>
  <c r="CZ44" i="38"/>
  <c r="DN15" i="38"/>
  <c r="BH5" i="38"/>
  <c r="AT67" i="38"/>
  <c r="AT53" i="38"/>
  <c r="BH7" i="38"/>
  <c r="AT73" i="38"/>
  <c r="AT59" i="38"/>
  <c r="DN23" i="38"/>
  <c r="CZ49" i="38"/>
  <c r="DN10" i="38"/>
  <c r="CZ46" i="38"/>
  <c r="CZ45" i="38" s="1"/>
  <c r="F49" i="16"/>
  <c r="C48" i="16"/>
  <c r="J72" i="16"/>
  <c r="M72" i="16"/>
  <c r="J66" i="16"/>
  <c r="M66" i="16"/>
  <c r="F66" i="16"/>
  <c r="C63" i="16"/>
  <c r="M68" i="37"/>
  <c r="J68" i="37"/>
  <c r="J56" i="37"/>
  <c r="M56" i="37"/>
  <c r="F72" i="37"/>
  <c r="AB58" i="42"/>
  <c r="L58" i="32" s="1"/>
  <c r="P58" i="32" s="1"/>
  <c r="AB60" i="42"/>
  <c r="L60" i="32" s="1"/>
  <c r="P60" i="32" s="1"/>
  <c r="AA63" i="41"/>
  <c r="AA68" i="42"/>
  <c r="AA54" i="42"/>
  <c r="AA67" i="42"/>
  <c r="AA53" i="42"/>
  <c r="R55" i="43"/>
  <c r="R69" i="43"/>
  <c r="R56" i="43"/>
  <c r="R70" i="43"/>
  <c r="R58" i="43"/>
  <c r="R72" i="43"/>
  <c r="R74" i="43"/>
  <c r="R60" i="43"/>
  <c r="BA67" i="41"/>
  <c r="N67" i="38" s="1"/>
  <c r="Y67" i="38" s="1"/>
  <c r="AB57" i="41"/>
  <c r="BB64" i="43"/>
  <c r="BA25" i="43"/>
  <c r="CS25" i="38" s="1"/>
  <c r="BB50" i="43"/>
  <c r="BA25" i="42"/>
  <c r="AM25" i="38" s="1"/>
  <c r="BB50" i="42"/>
  <c r="BB64" i="42"/>
  <c r="BB51" i="42"/>
  <c r="BB65" i="42"/>
  <c r="BA21" i="42"/>
  <c r="AM21" i="38" s="1"/>
  <c r="AB52" i="41"/>
  <c r="BA13" i="42"/>
  <c r="AM13" i="38" s="1"/>
  <c r="BB33" i="42"/>
  <c r="BA33" i="42" s="1"/>
  <c r="AB54" i="41"/>
  <c r="BB53" i="43"/>
  <c r="BB67" i="43"/>
  <c r="BA5" i="43"/>
  <c r="CS5" i="38" s="1"/>
  <c r="C67" i="38"/>
  <c r="C53" i="38"/>
  <c r="BA69" i="41"/>
  <c r="N69" i="38" s="1"/>
  <c r="Y69" i="38" s="1"/>
  <c r="BA54" i="29"/>
  <c r="BA70" i="29"/>
  <c r="AB68" i="29"/>
  <c r="BF48" i="41"/>
  <c r="BF64" i="42"/>
  <c r="BF50" i="42"/>
  <c r="BF48" i="42" s="1"/>
  <c r="BF66" i="42"/>
  <c r="BF52" i="42"/>
  <c r="BF54" i="42"/>
  <c r="BF68" i="42"/>
  <c r="AG45" i="41"/>
  <c r="BI61" i="42"/>
  <c r="BI75" i="42"/>
  <c r="BI45" i="43"/>
  <c r="AJ31" i="29"/>
  <c r="BQ48" i="29"/>
  <c r="BX61" i="43"/>
  <c r="BX75" i="43"/>
  <c r="AY45" i="41"/>
  <c r="CW63" i="42"/>
  <c r="CV49" i="38"/>
  <c r="DJ23" i="38"/>
  <c r="CV51" i="38"/>
  <c r="DJ21" i="38"/>
  <c r="CV65" i="38"/>
  <c r="G63" i="38"/>
  <c r="CV74" i="38"/>
  <c r="CV60" i="38"/>
  <c r="DJ12" i="38"/>
  <c r="CV69" i="38"/>
  <c r="CV55" i="38"/>
  <c r="DJ24" i="38"/>
  <c r="CV38" i="38"/>
  <c r="DJ2" i="38"/>
  <c r="G31" i="38"/>
  <c r="AQ36" i="38"/>
  <c r="BE26" i="38"/>
  <c r="DK14" i="38"/>
  <c r="CW34" i="38"/>
  <c r="DA36" i="38"/>
  <c r="DO26" i="38"/>
  <c r="DA46" i="38"/>
  <c r="DO10" i="38"/>
  <c r="AH48" i="38"/>
  <c r="AU55" i="38"/>
  <c r="BI24" i="38"/>
  <c r="AU69" i="38"/>
  <c r="E48" i="29"/>
  <c r="I63" i="41"/>
  <c r="I54" i="42"/>
  <c r="I68" i="42"/>
  <c r="I67" i="42"/>
  <c r="I53" i="42"/>
  <c r="I45" i="29"/>
  <c r="L75" i="43"/>
  <c r="L61" i="43"/>
  <c r="P31" i="29"/>
  <c r="T45" i="29"/>
  <c r="W64" i="42"/>
  <c r="W50" i="42"/>
  <c r="W66" i="42"/>
  <c r="W52" i="42"/>
  <c r="W48" i="42" s="1"/>
  <c r="W54" i="42"/>
  <c r="W68" i="42"/>
  <c r="W63" i="29"/>
  <c r="K48" i="37"/>
  <c r="M55" i="42"/>
  <c r="M69" i="42"/>
  <c r="M70" i="42"/>
  <c r="M56" i="42"/>
  <c r="M72" i="42"/>
  <c r="M58" i="42"/>
  <c r="M74" i="42"/>
  <c r="M60" i="42"/>
  <c r="M31" i="29"/>
  <c r="AI48" i="41"/>
  <c r="AI31" i="41"/>
  <c r="BV31" i="43"/>
  <c r="AW63" i="29"/>
  <c r="AT69" i="38"/>
  <c r="BH24" i="38"/>
  <c r="AT55" i="38"/>
  <c r="CZ50" i="38"/>
  <c r="DN25" i="38"/>
  <c r="CZ64" i="38"/>
  <c r="DN19" i="38"/>
  <c r="CZ42" i="38"/>
  <c r="AT35" i="38"/>
  <c r="BH30" i="38"/>
  <c r="F32" i="16"/>
  <c r="F31" i="16" s="1"/>
  <c r="C31" i="16"/>
  <c r="J73" i="16"/>
  <c r="M73" i="16"/>
  <c r="F71" i="37"/>
  <c r="J71" i="37"/>
  <c r="M71" i="37"/>
  <c r="J73" i="37"/>
  <c r="M73" i="37"/>
  <c r="AH63" i="42"/>
  <c r="AS63" i="42"/>
  <c r="AJ63" i="42"/>
  <c r="AO63" i="42"/>
  <c r="AF63" i="42"/>
  <c r="AR63" i="42"/>
  <c r="AZ63" i="43"/>
  <c r="AE48" i="30"/>
  <c r="AP48" i="30"/>
  <c r="AK48" i="30"/>
  <c r="AD48" i="30"/>
  <c r="AV48" i="30"/>
  <c r="AQ48" i="30"/>
  <c r="R31" i="42"/>
  <c r="BZ71" i="42"/>
  <c r="BP71" i="38" s="1"/>
  <c r="CD71" i="38" s="1"/>
  <c r="BZ65" i="42"/>
  <c r="BP65" i="38" s="1"/>
  <c r="CO63" i="38" s="1"/>
  <c r="BZ52" i="42"/>
  <c r="BP52" i="38" s="1"/>
  <c r="CD52" i="38" s="1"/>
  <c r="BZ53" i="42"/>
  <c r="BP53" i="38" s="1"/>
  <c r="CD53" i="38" s="1"/>
  <c r="AB43" i="41"/>
  <c r="AB55" i="41"/>
  <c r="AB56" i="41"/>
  <c r="BB72" i="43"/>
  <c r="BB58" i="43"/>
  <c r="BA16" i="43"/>
  <c r="CS16" i="38" s="1"/>
  <c r="BA16" i="42"/>
  <c r="AM16" i="38" s="1"/>
  <c r="BB72" i="42"/>
  <c r="BB58" i="42"/>
  <c r="BA12" i="42"/>
  <c r="AM12" i="38" s="1"/>
  <c r="BB60" i="42"/>
  <c r="BB74" i="42"/>
  <c r="BB41" i="42"/>
  <c r="BA41" i="42" s="1"/>
  <c r="BA8" i="42"/>
  <c r="AM8" i="38" s="1"/>
  <c r="AB40" i="41"/>
  <c r="BA49" i="41"/>
  <c r="N49" i="38" s="1"/>
  <c r="BB48" i="41"/>
  <c r="BA60" i="41"/>
  <c r="N60" i="38" s="1"/>
  <c r="Y60" i="38" s="1"/>
  <c r="BA10" i="30"/>
  <c r="AB44" i="29"/>
  <c r="BA21" i="30"/>
  <c r="BA23" i="30"/>
  <c r="BE48" i="41"/>
  <c r="AG48" i="41"/>
  <c r="BF73" i="43"/>
  <c r="BF59" i="43"/>
  <c r="CD63" i="30"/>
  <c r="CE63" i="30"/>
  <c r="AJ63" i="29"/>
  <c r="AN48" i="41"/>
  <c r="AN31" i="41"/>
  <c r="BM48" i="41"/>
  <c r="CL63" i="30"/>
  <c r="BQ31" i="42"/>
  <c r="BX71" i="43"/>
  <c r="BX57" i="43"/>
  <c r="BX50" i="43"/>
  <c r="BX48" i="43" s="1"/>
  <c r="BX64" i="43"/>
  <c r="BX65" i="43"/>
  <c r="BX51" i="43"/>
  <c r="BX52" i="43"/>
  <c r="BX66" i="43"/>
  <c r="AP43" i="38"/>
  <c r="BD28" i="38"/>
  <c r="AP47" i="38"/>
  <c r="BD6" i="38"/>
  <c r="H63" i="38"/>
  <c r="DK8" i="38"/>
  <c r="CW41" i="38"/>
  <c r="BE11" i="38"/>
  <c r="AQ39" i="38"/>
  <c r="AU43" i="38"/>
  <c r="BI28" i="38"/>
  <c r="AU33" i="38"/>
  <c r="BI13" i="38"/>
  <c r="BI7" i="38"/>
  <c r="AU59" i="38"/>
  <c r="AU73" i="38"/>
  <c r="DA41" i="38"/>
  <c r="DO8" i="38"/>
  <c r="EW63" i="38"/>
  <c r="AL31" i="38"/>
  <c r="E76" i="43"/>
  <c r="E62" i="43"/>
  <c r="E59" i="43"/>
  <c r="E73" i="43"/>
  <c r="E31" i="43"/>
  <c r="CB63" i="43"/>
  <c r="L71" i="43"/>
  <c r="L57" i="43"/>
  <c r="L64" i="43"/>
  <c r="L50" i="43"/>
  <c r="L65" i="43"/>
  <c r="L51" i="43"/>
  <c r="L66" i="43"/>
  <c r="L52" i="43"/>
  <c r="L45" i="29"/>
  <c r="P45" i="42"/>
  <c r="T48" i="41"/>
  <c r="W55" i="42"/>
  <c r="W69" i="42"/>
  <c r="W70" i="42"/>
  <c r="W56" i="42"/>
  <c r="W72" i="42"/>
  <c r="W58" i="42"/>
  <c r="W74" i="42"/>
  <c r="W60" i="42"/>
  <c r="W31" i="29"/>
  <c r="BG55" i="43"/>
  <c r="BG69" i="43"/>
  <c r="BG60" i="43"/>
  <c r="BG74" i="43"/>
  <c r="CY59" i="38"/>
  <c r="DM7" i="38"/>
  <c r="CY73" i="38"/>
  <c r="AX75" i="32"/>
  <c r="BB75" i="32"/>
  <c r="BD53" i="42"/>
  <c r="BD48" i="42" s="1"/>
  <c r="BD67" i="42"/>
  <c r="CX66" i="38"/>
  <c r="CX52" i="38"/>
  <c r="DL17" i="38"/>
  <c r="BY67" i="42"/>
  <c r="BY53" i="42"/>
  <c r="BW71" i="42"/>
  <c r="BW57" i="42"/>
  <c r="BW68" i="43"/>
  <c r="BW54" i="43"/>
  <c r="AN35" i="38"/>
  <c r="BB30" i="38"/>
  <c r="CT65" i="38"/>
  <c r="CT51" i="38"/>
  <c r="DH21" i="38"/>
  <c r="BB14" i="38"/>
  <c r="AN34" i="38"/>
  <c r="CT33" i="38"/>
  <c r="DH13" i="38"/>
  <c r="BK27" i="38"/>
  <c r="AW76" i="38"/>
  <c r="AW62" i="38"/>
  <c r="AU72" i="16"/>
  <c r="AU58" i="16"/>
  <c r="BE64" i="37"/>
  <c r="BE63" i="37"/>
  <c r="AH31" i="41"/>
  <c r="F68" i="42"/>
  <c r="F54" i="42"/>
  <c r="U61" i="43"/>
  <c r="U75" i="43"/>
  <c r="BJ57" i="42"/>
  <c r="BJ71" i="42"/>
  <c r="BJ66" i="42"/>
  <c r="BJ52" i="42"/>
  <c r="BU57" i="42"/>
  <c r="BU71" i="42"/>
  <c r="BU52" i="42"/>
  <c r="BU66" i="42"/>
  <c r="AX67" i="32"/>
  <c r="BB67" i="32"/>
  <c r="CX41" i="38"/>
  <c r="DL8" i="38"/>
  <c r="J31" i="42"/>
  <c r="J63" i="29"/>
  <c r="X71" i="43"/>
  <c r="X57" i="43"/>
  <c r="CM48" i="38"/>
  <c r="BE31" i="43"/>
  <c r="BY55" i="43"/>
  <c r="BY69" i="43"/>
  <c r="BY60" i="43"/>
  <c r="BY74" i="43"/>
  <c r="BL63" i="41"/>
  <c r="BT65" i="43"/>
  <c r="BT51" i="43"/>
  <c r="N63" i="16"/>
  <c r="AW57" i="16"/>
  <c r="AW71" i="16"/>
  <c r="AS51" i="38"/>
  <c r="BG21" i="38"/>
  <c r="AS65" i="38"/>
  <c r="AR42" i="38"/>
  <c r="BF19" i="38"/>
  <c r="G72" i="42"/>
  <c r="G58" i="42"/>
  <c r="CB58" i="38"/>
  <c r="BL71" i="42"/>
  <c r="BL57" i="42"/>
  <c r="BL66" i="42"/>
  <c r="BL52" i="42"/>
  <c r="BT60" i="43"/>
  <c r="BT74" i="43"/>
  <c r="BW62" i="43"/>
  <c r="BW76" i="43"/>
  <c r="AN40" i="38"/>
  <c r="BB4" i="38"/>
  <c r="AU73" i="16"/>
  <c r="AU59" i="16"/>
  <c r="N65" i="32"/>
  <c r="D71" i="43"/>
  <c r="C29" i="43"/>
  <c r="AR29" i="32" s="1"/>
  <c r="D57" i="43"/>
  <c r="C13" i="43"/>
  <c r="AR13" i="32" s="1"/>
  <c r="D33" i="43"/>
  <c r="C33" i="43" s="1"/>
  <c r="G67" i="32"/>
  <c r="G53" i="32"/>
  <c r="H71" i="43"/>
  <c r="H57" i="43"/>
  <c r="O76" i="42"/>
  <c r="O62" i="42"/>
  <c r="O73" i="42"/>
  <c r="O59" i="42"/>
  <c r="CY72" i="38"/>
  <c r="CY58" i="38"/>
  <c r="DM16" i="38"/>
  <c r="AS41" i="38"/>
  <c r="BG8" i="38"/>
  <c r="U58" i="43"/>
  <c r="U72" i="43"/>
  <c r="AL56" i="32"/>
  <c r="AN56" i="32"/>
  <c r="H48" i="29"/>
  <c r="S72" i="42"/>
  <c r="S58" i="42"/>
  <c r="AB42" i="29"/>
  <c r="BR65" i="42"/>
  <c r="BR51" i="42"/>
  <c r="BR53" i="43"/>
  <c r="BR67" i="43"/>
  <c r="CX37" i="38"/>
  <c r="DL22" i="38"/>
  <c r="EG62" i="38"/>
  <c r="EU62" i="38"/>
  <c r="Y69" i="42"/>
  <c r="Y55" i="42"/>
  <c r="N63" i="37"/>
  <c r="D48" i="32"/>
  <c r="N57" i="32"/>
  <c r="D37" i="42"/>
  <c r="C37" i="42" s="1"/>
  <c r="C22" i="42"/>
  <c r="F22" i="32" s="1"/>
  <c r="D47" i="42"/>
  <c r="C47" i="42" s="1"/>
  <c r="C6" i="42"/>
  <c r="F6" i="32" s="1"/>
  <c r="H54" i="42"/>
  <c r="H68" i="42"/>
  <c r="S31" i="43"/>
  <c r="AW48" i="43"/>
  <c r="D48" i="37"/>
  <c r="BC65" i="43"/>
  <c r="BC51" i="43"/>
  <c r="AS48" i="29"/>
  <c r="CB51" i="38"/>
  <c r="EX69" i="38"/>
  <c r="EX55" i="38"/>
  <c r="BE68" i="42"/>
  <c r="BE54" i="42"/>
  <c r="BT31" i="43"/>
  <c r="AN49" i="38"/>
  <c r="BB23" i="38"/>
  <c r="CN64" i="38"/>
  <c r="CN63" i="38"/>
  <c r="BK9" i="38"/>
  <c r="AW68" i="38"/>
  <c r="AW54" i="38"/>
  <c r="AX76" i="16"/>
  <c r="AX62" i="16"/>
  <c r="AB48" i="37"/>
  <c r="AI48" i="37"/>
  <c r="BA65" i="41"/>
  <c r="N65" i="38" s="1"/>
  <c r="Y65" i="38" s="1"/>
  <c r="BA27" i="31"/>
  <c r="AB42" i="31"/>
  <c r="BZ50" i="30"/>
  <c r="BA15" i="31"/>
  <c r="BA25" i="31"/>
  <c r="BA7" i="31"/>
  <c r="BZ59" i="31"/>
  <c r="CY62" i="38"/>
  <c r="DM27" i="38"/>
  <c r="CY76" i="38"/>
  <c r="CY70" i="38"/>
  <c r="CY56" i="38"/>
  <c r="DM20" i="38"/>
  <c r="E48" i="38"/>
  <c r="E45" i="38"/>
  <c r="F61" i="42"/>
  <c r="F75" i="42"/>
  <c r="U62" i="43"/>
  <c r="U76" i="43"/>
  <c r="U73" i="43"/>
  <c r="U59" i="43"/>
  <c r="U31" i="43"/>
  <c r="BJ45" i="42"/>
  <c r="CT63" i="42"/>
  <c r="BU75" i="43"/>
  <c r="BU61" i="43"/>
  <c r="AV45" i="29"/>
  <c r="AX51" i="32"/>
  <c r="AX70" i="32"/>
  <c r="BB70" i="32"/>
  <c r="Q31" i="42"/>
  <c r="CC63" i="42"/>
  <c r="BD57" i="43"/>
  <c r="BD71" i="43"/>
  <c r="BD64" i="43"/>
  <c r="BD50" i="43"/>
  <c r="BD65" i="43"/>
  <c r="BD51" i="43"/>
  <c r="BD66" i="43"/>
  <c r="BD52" i="43"/>
  <c r="BS71" i="42"/>
  <c r="BS57" i="42"/>
  <c r="BS64" i="42"/>
  <c r="BS50" i="42"/>
  <c r="BS48" i="42" s="1"/>
  <c r="BS65" i="42"/>
  <c r="BS51" i="42"/>
  <c r="BS66" i="42"/>
  <c r="BS52" i="42"/>
  <c r="BS68" i="43"/>
  <c r="BS54" i="43"/>
  <c r="BS67" i="43"/>
  <c r="BS53" i="43"/>
  <c r="AR49" i="38"/>
  <c r="BF23" i="38"/>
  <c r="EO48" i="38"/>
  <c r="AR44" i="38"/>
  <c r="BF15" i="38"/>
  <c r="EG54" i="38"/>
  <c r="EG51" i="38"/>
  <c r="EU51" i="38"/>
  <c r="G75" i="43"/>
  <c r="G61" i="43"/>
  <c r="Y76" i="42"/>
  <c r="Y62" i="42"/>
  <c r="Y59" i="42"/>
  <c r="Y73" i="42"/>
  <c r="BN66" i="43"/>
  <c r="BN52" i="43"/>
  <c r="EX31" i="38"/>
  <c r="CB54" i="38"/>
  <c r="J69" i="43"/>
  <c r="J55" i="43"/>
  <c r="J56" i="43"/>
  <c r="J70" i="43"/>
  <c r="J72" i="43"/>
  <c r="J58" i="43"/>
  <c r="J74" i="43"/>
  <c r="J60" i="43"/>
  <c r="X48" i="41"/>
  <c r="X73" i="43"/>
  <c r="X59" i="43"/>
  <c r="X70" i="42"/>
  <c r="X56" i="42"/>
  <c r="X69" i="43"/>
  <c r="X55" i="43"/>
  <c r="X75" i="43"/>
  <c r="X61" i="43"/>
  <c r="AL45" i="29"/>
  <c r="V62" i="43"/>
  <c r="V76" i="43"/>
  <c r="V73" i="43"/>
  <c r="V59" i="43"/>
  <c r="V31" i="43"/>
  <c r="BY57" i="43"/>
  <c r="BY71" i="43"/>
  <c r="BY50" i="43"/>
  <c r="BY48" i="43" s="1"/>
  <c r="BY64" i="43"/>
  <c r="BY65" i="43"/>
  <c r="BY51" i="43"/>
  <c r="BY66" i="43"/>
  <c r="BY52" i="43"/>
  <c r="BL76" i="42"/>
  <c r="BL62" i="42"/>
  <c r="BL73" i="42"/>
  <c r="BL59" i="42"/>
  <c r="BL63" i="29"/>
  <c r="BP71" i="43"/>
  <c r="BP57" i="43"/>
  <c r="BP50" i="43"/>
  <c r="BP48" i="43" s="1"/>
  <c r="BP64" i="43"/>
  <c r="BP51" i="43"/>
  <c r="BP65" i="43"/>
  <c r="BP52" i="43"/>
  <c r="BP66" i="43"/>
  <c r="BT75" i="43"/>
  <c r="BT61" i="43"/>
  <c r="BT63" i="41"/>
  <c r="AX63" i="41"/>
  <c r="BW63" i="41"/>
  <c r="BW48" i="41"/>
  <c r="CV48" i="30"/>
  <c r="DH30" i="38"/>
  <c r="CT35" i="38"/>
  <c r="AN65" i="38"/>
  <c r="AN51" i="38"/>
  <c r="BB21" i="38"/>
  <c r="BB27" i="38"/>
  <c r="AN76" i="38"/>
  <c r="AN62" i="38"/>
  <c r="CE48" i="38"/>
  <c r="CT46" i="38"/>
  <c r="CT45" i="38" s="1"/>
  <c r="DH10" i="38"/>
  <c r="AN67" i="38"/>
  <c r="AN53" i="38"/>
  <c r="BB5" i="38"/>
  <c r="CT34" i="38"/>
  <c r="DH14" i="38"/>
  <c r="CT38" i="38"/>
  <c r="DH2" i="38"/>
  <c r="BB13" i="38"/>
  <c r="AN33" i="38"/>
  <c r="DC64" i="38"/>
  <c r="DC50" i="38"/>
  <c r="DQ25" i="38"/>
  <c r="DQ12" i="38"/>
  <c r="DC60" i="38"/>
  <c r="DC74" i="38"/>
  <c r="BK18" i="38"/>
  <c r="AW75" i="38"/>
  <c r="AW61" i="38"/>
  <c r="DC33" i="38"/>
  <c r="DQ13" i="38"/>
  <c r="AW32" i="38"/>
  <c r="BK3" i="38"/>
  <c r="AX55" i="16"/>
  <c r="AX69" i="16"/>
  <c r="AB64" i="16"/>
  <c r="AB63" i="16"/>
  <c r="AT58" i="16"/>
  <c r="AT72" i="16"/>
  <c r="AX58" i="16"/>
  <c r="AX72" i="16"/>
  <c r="AI50" i="37"/>
  <c r="AJ48" i="37"/>
  <c r="CF63" i="42"/>
  <c r="BG62" i="42"/>
  <c r="BG76" i="42"/>
  <c r="BG73" i="42"/>
  <c r="BG59" i="42"/>
  <c r="CJ64" i="38"/>
  <c r="CJ63" i="38"/>
  <c r="CY54" i="38"/>
  <c r="DM9" i="38"/>
  <c r="CY68" i="38"/>
  <c r="EP48" i="38"/>
  <c r="CY75" i="38"/>
  <c r="CY63" i="38" s="1"/>
  <c r="CY61" i="38"/>
  <c r="CY48" i="38" s="1"/>
  <c r="DM18" i="38"/>
  <c r="E63" i="38"/>
  <c r="F71" i="43"/>
  <c r="F57" i="43"/>
  <c r="F50" i="43"/>
  <c r="F48" i="43" s="1"/>
  <c r="F64" i="43"/>
  <c r="F51" i="43"/>
  <c r="F65" i="43"/>
  <c r="F66" i="43"/>
  <c r="F52" i="43"/>
  <c r="AK63" i="41"/>
  <c r="CI63" i="30"/>
  <c r="AX72" i="32"/>
  <c r="BB72" i="32"/>
  <c r="AO31" i="32"/>
  <c r="AO45" i="32"/>
  <c r="AX69" i="32"/>
  <c r="Q75" i="42"/>
  <c r="Q61" i="42"/>
  <c r="AE63" i="29"/>
  <c r="AE45" i="29"/>
  <c r="BS69" i="43"/>
  <c r="BS55" i="43"/>
  <c r="BS70" i="43"/>
  <c r="BS56" i="43"/>
  <c r="BS58" i="43"/>
  <c r="BS72" i="43"/>
  <c r="BS74" i="43"/>
  <c r="BS60" i="43"/>
  <c r="AR73" i="38"/>
  <c r="AR59" i="38"/>
  <c r="BF7" i="38"/>
  <c r="AR38" i="38"/>
  <c r="BF2" i="38"/>
  <c r="CX75" i="38"/>
  <c r="CX63" i="38" s="1"/>
  <c r="CX61" i="38"/>
  <c r="CX48" i="38" s="1"/>
  <c r="DL18" i="38"/>
  <c r="AR34" i="38"/>
  <c r="BF14" i="38"/>
  <c r="EG66" i="38"/>
  <c r="EG57" i="38"/>
  <c r="EU57" i="38"/>
  <c r="G71" i="43"/>
  <c r="G57" i="43"/>
  <c r="G64" i="43"/>
  <c r="G50" i="43"/>
  <c r="G65" i="43"/>
  <c r="G51" i="43"/>
  <c r="G52" i="43"/>
  <c r="G66" i="43"/>
  <c r="Y61" i="43"/>
  <c r="Y75" i="43"/>
  <c r="AE63" i="37"/>
  <c r="AJ52" i="16"/>
  <c r="BN70" i="42"/>
  <c r="BN56" i="42"/>
  <c r="BN74" i="42"/>
  <c r="BN60" i="42"/>
  <c r="BN31" i="42"/>
  <c r="BN73" i="42"/>
  <c r="BN59" i="42"/>
  <c r="EX66" i="38"/>
  <c r="EX52" i="38"/>
  <c r="CB74" i="38"/>
  <c r="FC60" i="38"/>
  <c r="FA60" i="38"/>
  <c r="FC57" i="38"/>
  <c r="FA57" i="38"/>
  <c r="FA56" i="38"/>
  <c r="FC56" i="38"/>
  <c r="J76" i="43"/>
  <c r="J62" i="43"/>
  <c r="J59" i="43"/>
  <c r="J73" i="43"/>
  <c r="J31" i="43"/>
  <c r="J31" i="29"/>
  <c r="X67" i="42"/>
  <c r="X53" i="42"/>
  <c r="X74" i="42"/>
  <c r="X60" i="42"/>
  <c r="X58" i="43"/>
  <c r="X72" i="43"/>
  <c r="AL48" i="41"/>
  <c r="AL31" i="41"/>
  <c r="N76" i="43"/>
  <c r="N62" i="43"/>
  <c r="N73" i="43"/>
  <c r="N59" i="43"/>
  <c r="N31" i="43"/>
  <c r="V75" i="43"/>
  <c r="V61" i="43"/>
  <c r="V63" i="29"/>
  <c r="AJ67" i="37"/>
  <c r="AV31" i="38"/>
  <c r="AF48" i="41"/>
  <c r="BE31" i="42"/>
  <c r="BL75" i="42"/>
  <c r="BL61" i="42"/>
  <c r="BP55" i="42"/>
  <c r="BP69" i="42"/>
  <c r="BP56" i="42"/>
  <c r="BP70" i="42"/>
  <c r="BP58" i="42"/>
  <c r="BP72" i="42"/>
  <c r="BP74" i="42"/>
  <c r="BP60" i="42"/>
  <c r="BP48" i="41"/>
  <c r="AQ31" i="29"/>
  <c r="AU63" i="41"/>
  <c r="BT68" i="42"/>
  <c r="BT54" i="42"/>
  <c r="BT53" i="42"/>
  <c r="BT67" i="42"/>
  <c r="AX45" i="29"/>
  <c r="BB25" i="38"/>
  <c r="AN64" i="38"/>
  <c r="AN50" i="38"/>
  <c r="CT58" i="38"/>
  <c r="DH16" i="38"/>
  <c r="CT72" i="38"/>
  <c r="BB26" i="38"/>
  <c r="AN36" i="38"/>
  <c r="CT71" i="38"/>
  <c r="CT57" i="38"/>
  <c r="DH29" i="38"/>
  <c r="DQ30" i="38"/>
  <c r="DC35" i="38"/>
  <c r="BK16" i="38"/>
  <c r="AW58" i="38"/>
  <c r="AW72" i="38"/>
  <c r="DQ17" i="38"/>
  <c r="DC52" i="38"/>
  <c r="DC66" i="38"/>
  <c r="AW47" i="38"/>
  <c r="BK6" i="38"/>
  <c r="AT71" i="16"/>
  <c r="AT57" i="16"/>
  <c r="AX57" i="16"/>
  <c r="AX71" i="16"/>
  <c r="P63" i="16"/>
  <c r="AS31" i="16"/>
  <c r="AX31" i="16"/>
  <c r="O63" i="16"/>
  <c r="BH48" i="16"/>
  <c r="O63" i="37"/>
  <c r="R63" i="37"/>
  <c r="BG75" i="42"/>
  <c r="BG61" i="42"/>
  <c r="AH31" i="29"/>
  <c r="CY44" i="38"/>
  <c r="DM15" i="38"/>
  <c r="CY47" i="38"/>
  <c r="DM6" i="38"/>
  <c r="AS69" i="38"/>
  <c r="BG24" i="38"/>
  <c r="AS55" i="38"/>
  <c r="F69" i="43"/>
  <c r="F55" i="43"/>
  <c r="F56" i="43"/>
  <c r="F70" i="43"/>
  <c r="F58" i="43"/>
  <c r="F72" i="43"/>
  <c r="F74" i="43"/>
  <c r="F60" i="43"/>
  <c r="U63" i="41"/>
  <c r="U68" i="42"/>
  <c r="U54" i="42"/>
  <c r="U67" i="42"/>
  <c r="U53" i="42"/>
  <c r="U45" i="29"/>
  <c r="CI63" i="42"/>
  <c r="BJ69" i="42"/>
  <c r="BJ55" i="42"/>
  <c r="BJ56" i="42"/>
  <c r="BJ70" i="42"/>
  <c r="BJ58" i="42"/>
  <c r="BJ72" i="42"/>
  <c r="BJ74" i="42"/>
  <c r="BJ60" i="42"/>
  <c r="BU69" i="43"/>
  <c r="BU55" i="43"/>
  <c r="BU70" i="43"/>
  <c r="BU56" i="43"/>
  <c r="BU58" i="43"/>
  <c r="BU72" i="43"/>
  <c r="BU60" i="43"/>
  <c r="BU74" i="43"/>
  <c r="AX76" i="32"/>
  <c r="BB76" i="32"/>
  <c r="BB34" i="32"/>
  <c r="AX60" i="32"/>
  <c r="BB60" i="32"/>
  <c r="Q71" i="43"/>
  <c r="Q57" i="43"/>
  <c r="Q64" i="43"/>
  <c r="Q50" i="43"/>
  <c r="Q51" i="43"/>
  <c r="Q65" i="43"/>
  <c r="Q66" i="43"/>
  <c r="Q52" i="43"/>
  <c r="BD62" i="42"/>
  <c r="BD76" i="42"/>
  <c r="BD73" i="42"/>
  <c r="BD59" i="42"/>
  <c r="CR63" i="42"/>
  <c r="BS76" i="42"/>
  <c r="BS62" i="42"/>
  <c r="BS73" i="42"/>
  <c r="BS59" i="42"/>
  <c r="D45" i="38"/>
  <c r="AR70" i="38"/>
  <c r="AR56" i="38"/>
  <c r="BF20" i="38"/>
  <c r="BF4" i="38"/>
  <c r="AR40" i="38"/>
  <c r="D31" i="38"/>
  <c r="EG58" i="38"/>
  <c r="EG48" i="38"/>
  <c r="EG56" i="38"/>
  <c r="EU56" i="38"/>
  <c r="Y71" i="42"/>
  <c r="Y57" i="42"/>
  <c r="Y50" i="42"/>
  <c r="Y64" i="42"/>
  <c r="Y65" i="42"/>
  <c r="Y51" i="42"/>
  <c r="Y66" i="42"/>
  <c r="Y52" i="42"/>
  <c r="Y48" i="42" s="1"/>
  <c r="Y68" i="43"/>
  <c r="Y54" i="43"/>
  <c r="Y67" i="43"/>
  <c r="Y53" i="43"/>
  <c r="K63" i="16"/>
  <c r="K64" i="16"/>
  <c r="BN61" i="42"/>
  <c r="BN75" i="42"/>
  <c r="AO45" i="29"/>
  <c r="AO48" i="29"/>
  <c r="BN62" i="43"/>
  <c r="BN76" i="43"/>
  <c r="EX71" i="38"/>
  <c r="EX57" i="38"/>
  <c r="EX58" i="38"/>
  <c r="EX72" i="38"/>
  <c r="FC52" i="38"/>
  <c r="FA52" i="38"/>
  <c r="CB75" i="38"/>
  <c r="CO75" i="38"/>
  <c r="FA61" i="38"/>
  <c r="FC61" i="38"/>
  <c r="FC54" i="38"/>
  <c r="FA54" i="38"/>
  <c r="X62" i="42"/>
  <c r="X76" i="42"/>
  <c r="X31" i="42"/>
  <c r="BK75" i="43"/>
  <c r="BK61" i="43"/>
  <c r="N31" i="29"/>
  <c r="V68" i="42"/>
  <c r="V54" i="42"/>
  <c r="V67" i="42"/>
  <c r="V53" i="42"/>
  <c r="AZ48" i="41"/>
  <c r="BA42" i="42"/>
  <c r="BP62" i="43"/>
  <c r="BP76" i="43"/>
  <c r="BP73" i="43"/>
  <c r="BP59" i="43"/>
  <c r="BP31" i="43"/>
  <c r="AU63" i="29"/>
  <c r="BW31" i="42"/>
  <c r="AN55" i="38"/>
  <c r="BB24" i="38"/>
  <c r="AN69" i="38"/>
  <c r="BB28" i="38"/>
  <c r="AN43" i="38"/>
  <c r="I31" i="38"/>
  <c r="CT40" i="38"/>
  <c r="DH4" i="38"/>
  <c r="DC56" i="38"/>
  <c r="DQ20" i="38"/>
  <c r="DC70" i="38"/>
  <c r="M45" i="38"/>
  <c r="AX65" i="16"/>
  <c r="AX51" i="16"/>
  <c r="AW51" i="16"/>
  <c r="AW65" i="16"/>
  <c r="AT67" i="16"/>
  <c r="AT53" i="16"/>
  <c r="AX67" i="16"/>
  <c r="AX53" i="16"/>
  <c r="AU61" i="16"/>
  <c r="AU75" i="16"/>
  <c r="AX75" i="16"/>
  <c r="AX63" i="16" s="1"/>
  <c r="AX61" i="16"/>
  <c r="AX48" i="16" s="1"/>
  <c r="Z48" i="16"/>
  <c r="AU45" i="16"/>
  <c r="AT50" i="16"/>
  <c r="AT64" i="16"/>
  <c r="AX73" i="16"/>
  <c r="AX59" i="16"/>
  <c r="AW73" i="16"/>
  <c r="AW59" i="16"/>
  <c r="X48" i="37"/>
  <c r="BH64" i="37"/>
  <c r="BH63" i="37"/>
  <c r="P63" i="37"/>
  <c r="AG45" i="32"/>
  <c r="AL50" i="32"/>
  <c r="AN50" i="32"/>
  <c r="AB32" i="42"/>
  <c r="L32" i="32" s="1"/>
  <c r="AC31" i="42"/>
  <c r="AB31" i="42" s="1"/>
  <c r="G57" i="32"/>
  <c r="G71" i="32"/>
  <c r="C21" i="43"/>
  <c r="AR21" i="32" s="1"/>
  <c r="D51" i="43"/>
  <c r="D65" i="43"/>
  <c r="G65" i="32"/>
  <c r="G51" i="32"/>
  <c r="G52" i="32"/>
  <c r="G66" i="32"/>
  <c r="D33" i="42"/>
  <c r="C33" i="42" s="1"/>
  <c r="C13" i="42"/>
  <c r="F13" i="32" s="1"/>
  <c r="C53" i="41"/>
  <c r="C4" i="30"/>
  <c r="AB69" i="43"/>
  <c r="AW69" i="32" s="1"/>
  <c r="BA69" i="32" s="1"/>
  <c r="AB58" i="43"/>
  <c r="AW58" i="32" s="1"/>
  <c r="BA58" i="32" s="1"/>
  <c r="O48" i="41"/>
  <c r="BG68" i="42"/>
  <c r="BG54" i="42"/>
  <c r="BG67" i="42"/>
  <c r="BG53" i="42"/>
  <c r="AS35" i="38"/>
  <c r="BG30" i="38"/>
  <c r="AS43" i="38"/>
  <c r="BG28" i="38"/>
  <c r="CY67" i="38"/>
  <c r="CY53" i="38"/>
  <c r="DM5" i="38"/>
  <c r="CY41" i="38"/>
  <c r="DM8" i="38"/>
  <c r="F48" i="41"/>
  <c r="F31" i="41"/>
  <c r="AK48" i="41"/>
  <c r="AK31" i="41"/>
  <c r="AV48" i="41"/>
  <c r="Q69" i="43"/>
  <c r="Q55" i="43"/>
  <c r="Q70" i="43"/>
  <c r="Q56" i="43"/>
  <c r="Q58" i="43"/>
  <c r="Q72" i="43"/>
  <c r="Q74" i="43"/>
  <c r="Q60" i="43"/>
  <c r="BD75" i="42"/>
  <c r="BD61" i="42"/>
  <c r="BS61" i="43"/>
  <c r="BS75" i="43"/>
  <c r="BI64" i="37"/>
  <c r="BI63" i="37"/>
  <c r="AI55" i="32"/>
  <c r="AY48" i="32"/>
  <c r="AN71" i="32"/>
  <c r="AL71" i="32"/>
  <c r="AN45" i="32"/>
  <c r="N53" i="32"/>
  <c r="Q53" i="32"/>
  <c r="N54" i="32"/>
  <c r="Q54" i="32"/>
  <c r="C76" i="41"/>
  <c r="D49" i="43"/>
  <c r="C23" i="43"/>
  <c r="AR23" i="32" s="1"/>
  <c r="C19" i="43"/>
  <c r="AR19" i="32" s="1"/>
  <c r="D42" i="43"/>
  <c r="C42" i="43" s="1"/>
  <c r="C15" i="43"/>
  <c r="AR15" i="32" s="1"/>
  <c r="D44" i="43"/>
  <c r="C44" i="43" s="1"/>
  <c r="D39" i="43"/>
  <c r="C39" i="43" s="1"/>
  <c r="C11" i="43"/>
  <c r="AR11" i="32" s="1"/>
  <c r="C7" i="43"/>
  <c r="AR7" i="32" s="1"/>
  <c r="D73" i="43"/>
  <c r="D59" i="43"/>
  <c r="G73" i="32"/>
  <c r="G59" i="32"/>
  <c r="C32" i="41"/>
  <c r="D31" i="41"/>
  <c r="BZ54" i="43"/>
  <c r="DV54" i="38" s="1"/>
  <c r="EJ54" i="38" s="1"/>
  <c r="H61" i="42"/>
  <c r="H75" i="42"/>
  <c r="H48" i="41"/>
  <c r="H52" i="42"/>
  <c r="H48" i="42" s="1"/>
  <c r="H66" i="42"/>
  <c r="K69" i="43"/>
  <c r="K55" i="43"/>
  <c r="K56" i="43"/>
  <c r="K70" i="43"/>
  <c r="K72" i="43"/>
  <c r="K58" i="43"/>
  <c r="K60" i="43"/>
  <c r="K74" i="43"/>
  <c r="O57" i="43"/>
  <c r="O71" i="43"/>
  <c r="O64" i="43"/>
  <c r="O50" i="43"/>
  <c r="O48" i="43" s="1"/>
  <c r="O65" i="43"/>
  <c r="O51" i="43"/>
  <c r="O52" i="43"/>
  <c r="O66" i="43"/>
  <c r="Z68" i="42"/>
  <c r="Z54" i="42"/>
  <c r="Z53" i="42"/>
  <c r="Z67" i="42"/>
  <c r="AD48" i="29"/>
  <c r="CB63" i="30"/>
  <c r="AO71" i="38"/>
  <c r="AO57" i="38"/>
  <c r="BC29" i="38"/>
  <c r="CU47" i="38"/>
  <c r="DI6" i="38"/>
  <c r="AO37" i="38"/>
  <c r="BC22" i="38"/>
  <c r="DI9" i="38"/>
  <c r="CU68" i="38"/>
  <c r="CU54" i="38"/>
  <c r="AI70" i="32"/>
  <c r="E63" i="32"/>
  <c r="AE64" i="32"/>
  <c r="AE63" i="32"/>
  <c r="AT31" i="29"/>
  <c r="BS63" i="29"/>
  <c r="AR37" i="38"/>
  <c r="BF22" i="38"/>
  <c r="CX35" i="38"/>
  <c r="DL30" i="38"/>
  <c r="AR74" i="38"/>
  <c r="AR60" i="38"/>
  <c r="BF12" i="38"/>
  <c r="EG74" i="38"/>
  <c r="EU74" i="38"/>
  <c r="EG50" i="38"/>
  <c r="EU50" i="38"/>
  <c r="G76" i="42"/>
  <c r="G62" i="42"/>
  <c r="G73" i="42"/>
  <c r="G59" i="42"/>
  <c r="BK71" i="42"/>
  <c r="BK57" i="42"/>
  <c r="BK50" i="42"/>
  <c r="BK48" i="42" s="1"/>
  <c r="BK64" i="42"/>
  <c r="BK65" i="42"/>
  <c r="BK51" i="42"/>
  <c r="BK66" i="42"/>
  <c r="BK52" i="42"/>
  <c r="BK54" i="43"/>
  <c r="BK68" i="43"/>
  <c r="BK67" i="43"/>
  <c r="BK53" i="43"/>
  <c r="N71" i="43"/>
  <c r="N57" i="43"/>
  <c r="N64" i="43"/>
  <c r="N63" i="43" s="1"/>
  <c r="N50" i="43"/>
  <c r="N48" i="43" s="1"/>
  <c r="N51" i="43"/>
  <c r="N65" i="43"/>
  <c r="N52" i="43"/>
  <c r="N66" i="43"/>
  <c r="V55" i="43"/>
  <c r="V69" i="43"/>
  <c r="V70" i="43"/>
  <c r="V56" i="43"/>
  <c r="V72" i="43"/>
  <c r="V58" i="43"/>
  <c r="V60" i="43"/>
  <c r="V74" i="43"/>
  <c r="BI48" i="16"/>
  <c r="BF48" i="37"/>
  <c r="AI49" i="32"/>
  <c r="AG48" i="32"/>
  <c r="AY50" i="32"/>
  <c r="AL54" i="32"/>
  <c r="AN54" i="32"/>
  <c r="AN48" i="32"/>
  <c r="N60" i="32"/>
  <c r="Q60" i="32"/>
  <c r="AN59" i="32"/>
  <c r="AL59" i="32"/>
  <c r="AN58" i="32"/>
  <c r="AL58" i="32"/>
  <c r="D34" i="43"/>
  <c r="C34" i="43" s="1"/>
  <c r="C14" i="43"/>
  <c r="AR14" i="32" s="1"/>
  <c r="C10" i="43"/>
  <c r="AR10" i="32" s="1"/>
  <c r="D46" i="43"/>
  <c r="C6" i="43"/>
  <c r="AR6" i="32" s="1"/>
  <c r="D47" i="43"/>
  <c r="C47" i="43" s="1"/>
  <c r="C2" i="43"/>
  <c r="AR2" i="32" s="1"/>
  <c r="D38" i="43"/>
  <c r="C38" i="43" s="1"/>
  <c r="C7" i="30"/>
  <c r="AB53" i="43"/>
  <c r="AW53" i="32" s="1"/>
  <c r="BA53" i="32" s="1"/>
  <c r="H55" i="42"/>
  <c r="H69" i="42"/>
  <c r="H58" i="42"/>
  <c r="H72" i="42"/>
  <c r="H31" i="42"/>
  <c r="K76" i="43"/>
  <c r="K62" i="43"/>
  <c r="K59" i="43"/>
  <c r="K73" i="43"/>
  <c r="K31" i="43"/>
  <c r="K48" i="29"/>
  <c r="Z69" i="42"/>
  <c r="Z55" i="42"/>
  <c r="Z70" i="42"/>
  <c r="Z56" i="42"/>
  <c r="Z58" i="42"/>
  <c r="Z72" i="42"/>
  <c r="Z74" i="42"/>
  <c r="Z60" i="42"/>
  <c r="AJ48" i="43"/>
  <c r="AH48" i="43"/>
  <c r="CC48" i="43"/>
  <c r="AK48" i="43"/>
  <c r="AY48" i="43"/>
  <c r="CM48" i="43"/>
  <c r="AQ48" i="43"/>
  <c r="CL48" i="43"/>
  <c r="AP48" i="43"/>
  <c r="CK48" i="43"/>
  <c r="AD63" i="41"/>
  <c r="BC54" i="42"/>
  <c r="BC68" i="42"/>
  <c r="BC67" i="42"/>
  <c r="BC53" i="42"/>
  <c r="BA48" i="29"/>
  <c r="AE50" i="37"/>
  <c r="AE48" i="37" s="1"/>
  <c r="S61" i="43"/>
  <c r="S75" i="43"/>
  <c r="Z76" i="42"/>
  <c r="Z62" i="42"/>
  <c r="Z59" i="42"/>
  <c r="Z73" i="42"/>
  <c r="AG63" i="43"/>
  <c r="CJ63" i="43"/>
  <c r="AF63" i="43"/>
  <c r="CF63" i="43"/>
  <c r="AT63" i="43"/>
  <c r="CO63" i="43"/>
  <c r="CG63" i="43"/>
  <c r="AX63" i="43"/>
  <c r="CS63" i="43"/>
  <c r="AJ57" i="16"/>
  <c r="BC55" i="42"/>
  <c r="BC69" i="42"/>
  <c r="BC70" i="42"/>
  <c r="BC56" i="42"/>
  <c r="BC72" i="42"/>
  <c r="BC58" i="42"/>
  <c r="BC74" i="42"/>
  <c r="BC60" i="42"/>
  <c r="AB66" i="29"/>
  <c r="AB35" i="29"/>
  <c r="AS48" i="41"/>
  <c r="AS31" i="41"/>
  <c r="CU44" i="38"/>
  <c r="DI15" i="38"/>
  <c r="BC27" i="38"/>
  <c r="AO76" i="38"/>
  <c r="AO62" i="38"/>
  <c r="BC17" i="38"/>
  <c r="AO66" i="38"/>
  <c r="AO52" i="38"/>
  <c r="BC26" i="38"/>
  <c r="AO36" i="38"/>
  <c r="BC7" i="38"/>
  <c r="AO59" i="38"/>
  <c r="AO73" i="38"/>
  <c r="AB64" i="38"/>
  <c r="AB63" i="38"/>
  <c r="AH63" i="32"/>
  <c r="O63" i="32"/>
  <c r="O65" i="32"/>
  <c r="BN69" i="42"/>
  <c r="BN55" i="42"/>
  <c r="BN72" i="42"/>
  <c r="BN58" i="42"/>
  <c r="AO48" i="41"/>
  <c r="EX61" i="38"/>
  <c r="EX75" i="38"/>
  <c r="CO41" i="38"/>
  <c r="FA72" i="38"/>
  <c r="FC72" i="38"/>
  <c r="EV63" i="38"/>
  <c r="FC64" i="38"/>
  <c r="FC63" i="38"/>
  <c r="FA63" i="38"/>
  <c r="FA64" i="38"/>
  <c r="FC69" i="38"/>
  <c r="FA69" i="38"/>
  <c r="J71" i="43"/>
  <c r="J57" i="43"/>
  <c r="J64" i="43"/>
  <c r="J63" i="43" s="1"/>
  <c r="J50" i="43"/>
  <c r="J65" i="43"/>
  <c r="J51" i="43"/>
  <c r="J52" i="43"/>
  <c r="J48" i="43" s="1"/>
  <c r="J66" i="43"/>
  <c r="X64" i="43"/>
  <c r="X50" i="43"/>
  <c r="X48" i="43" s="1"/>
  <c r="X66" i="43"/>
  <c r="X52" i="43"/>
  <c r="X54" i="43"/>
  <c r="X68" i="43"/>
  <c r="BE57" i="43"/>
  <c r="BE48" i="43" s="1"/>
  <c r="BE71" i="43"/>
  <c r="BE64" i="43"/>
  <c r="BE50" i="43"/>
  <c r="BE65" i="43"/>
  <c r="BE51" i="43"/>
  <c r="BE66" i="43"/>
  <c r="BE52" i="43"/>
  <c r="AZ31" i="41"/>
  <c r="AB38" i="41"/>
  <c r="BL69" i="43"/>
  <c r="BL55" i="43"/>
  <c r="BL70" i="43"/>
  <c r="BL56" i="43"/>
  <c r="BL58" i="43"/>
  <c r="BL72" i="43"/>
  <c r="BL60" i="43"/>
  <c r="BL74" i="43"/>
  <c r="AM48" i="29"/>
  <c r="BP61" i="42"/>
  <c r="BP75" i="42"/>
  <c r="BT31" i="42"/>
  <c r="BT48" i="41"/>
  <c r="BW63" i="29"/>
  <c r="DH23" i="38"/>
  <c r="CT49" i="38"/>
  <c r="CT68" i="38"/>
  <c r="CT54" i="38"/>
  <c r="DH9" i="38"/>
  <c r="CT39" i="38"/>
  <c r="DH11" i="38"/>
  <c r="DH7" i="38"/>
  <c r="CT73" i="38"/>
  <c r="CT59" i="38"/>
  <c r="AN44" i="38"/>
  <c r="BB15" i="38"/>
  <c r="DC51" i="38"/>
  <c r="DQ21" i="38"/>
  <c r="DC65" i="38"/>
  <c r="CN48" i="38"/>
  <c r="DC37" i="38"/>
  <c r="DQ22" i="38"/>
  <c r="DC34" i="38"/>
  <c r="DQ14" i="38"/>
  <c r="DC44" i="38"/>
  <c r="DC31" i="38" s="1"/>
  <c r="DQ15" i="38"/>
  <c r="AT62" i="16"/>
  <c r="AT76" i="16"/>
  <c r="AX52" i="16"/>
  <c r="AX66" i="16"/>
  <c r="AW60" i="16"/>
  <c r="AW74" i="16"/>
  <c r="AX74" i="16"/>
  <c r="AX60" i="16"/>
  <c r="AT68" i="16"/>
  <c r="AT54" i="16"/>
  <c r="AW70" i="16"/>
  <c r="AW56" i="16"/>
  <c r="BJ48" i="37"/>
  <c r="Y48" i="37"/>
  <c r="AA48" i="37"/>
  <c r="L48" i="37"/>
  <c r="AJ67" i="16"/>
  <c r="AO46" i="38"/>
  <c r="AO45" i="38" s="1"/>
  <c r="BC10" i="38"/>
  <c r="BC63" i="32"/>
  <c r="M62" i="43"/>
  <c r="M76" i="43"/>
  <c r="M73" i="43"/>
  <c r="M59" i="43"/>
  <c r="M31" i="43"/>
  <c r="BH61" i="42"/>
  <c r="BH75" i="42"/>
  <c r="BO31" i="42"/>
  <c r="BV64" i="42"/>
  <c r="BV50" i="42"/>
  <c r="BV48" i="42" s="1"/>
  <c r="BV66" i="42"/>
  <c r="BV52" i="42"/>
  <c r="BV68" i="42"/>
  <c r="BV54" i="42"/>
  <c r="BV63" i="29"/>
  <c r="AT47" i="38"/>
  <c r="BH6" i="38"/>
  <c r="CZ37" i="38"/>
  <c r="DN22" i="38"/>
  <c r="CK48" i="38"/>
  <c r="DN11" i="38"/>
  <c r="CZ39" i="38"/>
  <c r="DN28" i="38"/>
  <c r="CZ43" i="38"/>
  <c r="CZ60" i="38"/>
  <c r="DN12" i="38"/>
  <c r="CZ74" i="38"/>
  <c r="BH17" i="38"/>
  <c r="AT66" i="38"/>
  <c r="AT52" i="38"/>
  <c r="F72" i="16"/>
  <c r="J71" i="16"/>
  <c r="M71" i="16"/>
  <c r="M34" i="16"/>
  <c r="J65" i="37"/>
  <c r="M65" i="37"/>
  <c r="J53" i="37"/>
  <c r="M53" i="37"/>
  <c r="M55" i="37"/>
  <c r="J55" i="37"/>
  <c r="F56" i="37"/>
  <c r="C42" i="42"/>
  <c r="C73" i="29"/>
  <c r="AV63" i="30"/>
  <c r="AT63" i="30"/>
  <c r="AF63" i="30"/>
  <c r="AH63" i="30"/>
  <c r="AS63" i="30"/>
  <c r="R61" i="42"/>
  <c r="R75" i="42"/>
  <c r="BZ56" i="42"/>
  <c r="BP56" i="38" s="1"/>
  <c r="CD56" i="38" s="1"/>
  <c r="BZ58" i="42"/>
  <c r="BP58" i="38" s="1"/>
  <c r="CD58" i="38" s="1"/>
  <c r="BZ74" i="42"/>
  <c r="BP74" i="38" s="1"/>
  <c r="CD74" i="38" s="1"/>
  <c r="AB62" i="41"/>
  <c r="BA23" i="42"/>
  <c r="AM23" i="38" s="1"/>
  <c r="BB49" i="42"/>
  <c r="AB44" i="41"/>
  <c r="BA11" i="42"/>
  <c r="AM11" i="38" s="1"/>
  <c r="BB39" i="42"/>
  <c r="BA39" i="42" s="1"/>
  <c r="AB59" i="41"/>
  <c r="BB32" i="43"/>
  <c r="BA3" i="43"/>
  <c r="CS3" i="38" s="1"/>
  <c r="BA73" i="29"/>
  <c r="BA66" i="29"/>
  <c r="N66" i="18" s="1"/>
  <c r="Y66" i="18" s="1"/>
  <c r="BB48" i="29"/>
  <c r="BA49" i="29"/>
  <c r="BA57" i="29"/>
  <c r="BA60" i="29"/>
  <c r="BF67" i="42"/>
  <c r="BF53" i="42"/>
  <c r="AG45" i="29"/>
  <c r="BE63" i="41"/>
  <c r="AG63" i="29"/>
  <c r="BI69" i="42"/>
  <c r="BI55" i="42"/>
  <c r="BI70" i="42"/>
  <c r="BI56" i="42"/>
  <c r="BI72" i="42"/>
  <c r="BI58" i="42"/>
  <c r="BI74" i="42"/>
  <c r="BI60" i="42"/>
  <c r="BM75" i="42"/>
  <c r="BM61" i="42"/>
  <c r="BQ61" i="42"/>
  <c r="BQ75" i="42"/>
  <c r="AR31" i="29"/>
  <c r="AY31" i="29"/>
  <c r="AY45" i="29"/>
  <c r="BD19" i="38"/>
  <c r="AP42" i="38"/>
  <c r="DJ16" i="38"/>
  <c r="CV72" i="38"/>
  <c r="CV58" i="38"/>
  <c r="AQ67" i="38"/>
  <c r="BE5" i="38"/>
  <c r="AQ53" i="38"/>
  <c r="AQ74" i="38"/>
  <c r="AQ60" i="38"/>
  <c r="BE12" i="38"/>
  <c r="BI17" i="38"/>
  <c r="AU52" i="38"/>
  <c r="AU66" i="38"/>
  <c r="DA58" i="38"/>
  <c r="DO16" i="38"/>
  <c r="DA72" i="38"/>
  <c r="DA76" i="38"/>
  <c r="DA62" i="38"/>
  <c r="DO27" i="38"/>
  <c r="FB63" i="38"/>
  <c r="FB64" i="38"/>
  <c r="AL48" i="38"/>
  <c r="C27" i="30"/>
  <c r="I31" i="42"/>
  <c r="I48" i="29"/>
  <c r="P70" i="43"/>
  <c r="P56" i="43"/>
  <c r="P60" i="43"/>
  <c r="P74" i="43"/>
  <c r="P71" i="42"/>
  <c r="P57" i="42"/>
  <c r="P65" i="42"/>
  <c r="P51" i="42"/>
  <c r="P53" i="43"/>
  <c r="P67" i="43"/>
  <c r="T31" i="41"/>
  <c r="T75" i="42"/>
  <c r="T61" i="42"/>
  <c r="W76" i="42"/>
  <c r="W62" i="42"/>
  <c r="W73" i="42"/>
  <c r="W59" i="42"/>
  <c r="AI57" i="32"/>
  <c r="AI50" i="32"/>
  <c r="AI33" i="32"/>
  <c r="AI67" i="32"/>
  <c r="N69" i="32"/>
  <c r="Q69" i="32"/>
  <c r="AN53" i="32"/>
  <c r="AL53" i="32"/>
  <c r="AN76" i="32"/>
  <c r="AL76" i="32"/>
  <c r="N56" i="32"/>
  <c r="N59" i="32"/>
  <c r="Q59" i="32"/>
  <c r="C43" i="41"/>
  <c r="C55" i="41"/>
  <c r="D56" i="43"/>
  <c r="C20" i="43"/>
  <c r="AR20" i="32" s="1"/>
  <c r="D70" i="43"/>
  <c r="C20" i="42"/>
  <c r="F20" i="32" s="1"/>
  <c r="D56" i="42"/>
  <c r="D70" i="42"/>
  <c r="C70" i="42" s="1"/>
  <c r="G72" i="32"/>
  <c r="G58" i="32"/>
  <c r="C60" i="41"/>
  <c r="C72" i="29"/>
  <c r="C70" i="29"/>
  <c r="C43" i="29"/>
  <c r="BZ65" i="43"/>
  <c r="DV65" i="38" s="1"/>
  <c r="EJ65" i="38" s="1"/>
  <c r="BZ52" i="43"/>
  <c r="DV52" i="38" s="1"/>
  <c r="EJ52" i="38" s="1"/>
  <c r="BZ64" i="43"/>
  <c r="DV64" i="38" s="1"/>
  <c r="CA63" i="43"/>
  <c r="BZ63" i="43"/>
  <c r="AB63" i="43"/>
  <c r="AB64" i="43"/>
  <c r="AW64" i="32" s="1"/>
  <c r="BB64" i="32" s="1"/>
  <c r="AC63" i="43"/>
  <c r="H63" i="41"/>
  <c r="K63" i="41"/>
  <c r="K68" i="42"/>
  <c r="K54" i="42"/>
  <c r="K67" i="42"/>
  <c r="K53" i="42"/>
  <c r="O75" i="43"/>
  <c r="O61" i="43"/>
  <c r="O63" i="29"/>
  <c r="S57" i="43"/>
  <c r="S48" i="43" s="1"/>
  <c r="S71" i="43"/>
  <c r="S64" i="43"/>
  <c r="S50" i="43"/>
  <c r="S65" i="43"/>
  <c r="S51" i="43"/>
  <c r="S52" i="43"/>
  <c r="S66" i="43"/>
  <c r="C36" i="29"/>
  <c r="Z45" i="29"/>
  <c r="AJ74" i="37"/>
  <c r="AI45" i="29"/>
  <c r="BV69" i="42"/>
  <c r="BV55" i="42"/>
  <c r="BV58" i="42"/>
  <c r="BV72" i="42"/>
  <c r="CZ76" i="38"/>
  <c r="DN27" i="38"/>
  <c r="CZ62" i="38"/>
  <c r="EQ64" i="38"/>
  <c r="EQ63" i="38"/>
  <c r="AT70" i="38"/>
  <c r="BH20" i="38"/>
  <c r="AT56" i="38"/>
  <c r="F51" i="16"/>
  <c r="J75" i="16"/>
  <c r="M75" i="16"/>
  <c r="M62" i="16"/>
  <c r="J62" i="16"/>
  <c r="F62" i="37"/>
  <c r="F51" i="37"/>
  <c r="M64" i="37"/>
  <c r="J63" i="37"/>
  <c r="M63" i="37"/>
  <c r="J64" i="37"/>
  <c r="AB53" i="42"/>
  <c r="L53" i="32" s="1"/>
  <c r="P53" i="32" s="1"/>
  <c r="AB67" i="42"/>
  <c r="L67" i="32" s="1"/>
  <c r="P67" i="32" s="1"/>
  <c r="AB76" i="42"/>
  <c r="L76" i="32" s="1"/>
  <c r="P76" i="32" s="1"/>
  <c r="AW48" i="42"/>
  <c r="AP48" i="42"/>
  <c r="AS48" i="42"/>
  <c r="AE48" i="42"/>
  <c r="AU48" i="42"/>
  <c r="AN48" i="42"/>
  <c r="AA61" i="42"/>
  <c r="AA75" i="42"/>
  <c r="R71" i="43"/>
  <c r="R57" i="43"/>
  <c r="R64" i="43"/>
  <c r="R50" i="43"/>
  <c r="R51" i="43"/>
  <c r="R65" i="43"/>
  <c r="R52" i="43"/>
  <c r="R66" i="43"/>
  <c r="R31" i="29"/>
  <c r="BZ76" i="42"/>
  <c r="BP76" i="38" s="1"/>
  <c r="CD76" i="38" s="1"/>
  <c r="BA30" i="43"/>
  <c r="CS30" i="38" s="1"/>
  <c r="BB35" i="43"/>
  <c r="BA35" i="43" s="1"/>
  <c r="BB36" i="43"/>
  <c r="BA36" i="43" s="1"/>
  <c r="BA26" i="43"/>
  <c r="CS26" i="38" s="1"/>
  <c r="BB37" i="43"/>
  <c r="BA37" i="43" s="1"/>
  <c r="BA22" i="43"/>
  <c r="CS22" i="38" s="1"/>
  <c r="BB75" i="43"/>
  <c r="BA18" i="43"/>
  <c r="CS18" i="38" s="1"/>
  <c r="BB61" i="43"/>
  <c r="BA18" i="42"/>
  <c r="AM18" i="38" s="1"/>
  <c r="BB75" i="42"/>
  <c r="BB61" i="42"/>
  <c r="BA14" i="42"/>
  <c r="AM14" i="38" s="1"/>
  <c r="BB34" i="42"/>
  <c r="BA34" i="42" s="1"/>
  <c r="BB46" i="42"/>
  <c r="BA10" i="42"/>
  <c r="AM10" i="38" s="1"/>
  <c r="AB47" i="41"/>
  <c r="BA56" i="41"/>
  <c r="N56" i="38" s="1"/>
  <c r="Y56" i="38" s="1"/>
  <c r="BA72" i="41"/>
  <c r="N72" i="38" s="1"/>
  <c r="Y72" i="38" s="1"/>
  <c r="AB41" i="29"/>
  <c r="AB74" i="29"/>
  <c r="BA16" i="30"/>
  <c r="BA18" i="30"/>
  <c r="BA20" i="30"/>
  <c r="BA22" i="30"/>
  <c r="AB43" i="29"/>
  <c r="BB32" i="30"/>
  <c r="BA3" i="30"/>
  <c r="AM3" i="18" s="1"/>
  <c r="AM32" i="18" s="1"/>
  <c r="BF76" i="43"/>
  <c r="BF62" i="43"/>
  <c r="AG31" i="41"/>
  <c r="BF56" i="43"/>
  <c r="BF70" i="43"/>
  <c r="BF74" i="43"/>
  <c r="BF60" i="43"/>
  <c r="AJ48" i="41"/>
  <c r="BI31" i="42"/>
  <c r="AJ31" i="41"/>
  <c r="BM68" i="42"/>
  <c r="BM54" i="42"/>
  <c r="BM67" i="42"/>
  <c r="BM53" i="42"/>
  <c r="AN63" i="29"/>
  <c r="BQ68" i="42"/>
  <c r="BQ54" i="42"/>
  <c r="BQ67" i="42"/>
  <c r="BQ53" i="42"/>
  <c r="BQ63" i="41"/>
  <c r="BX31" i="42"/>
  <c r="EM48" i="38"/>
  <c r="AP39" i="38"/>
  <c r="BD11" i="38"/>
  <c r="DJ26" i="38"/>
  <c r="CV36" i="38"/>
  <c r="DJ9" i="38"/>
  <c r="CV54" i="38"/>
  <c r="CV68" i="38"/>
  <c r="CW37" i="38"/>
  <c r="DK22" i="38"/>
  <c r="BE10" i="38"/>
  <c r="AQ46" i="38"/>
  <c r="AQ45" i="38" s="1"/>
  <c r="CH63" i="38"/>
  <c r="CH64" i="38"/>
  <c r="CW49" i="38"/>
  <c r="CW48" i="38" s="1"/>
  <c r="DK23" i="38"/>
  <c r="CW47" i="38"/>
  <c r="DK6" i="38"/>
  <c r="AQ32" i="38"/>
  <c r="AQ31" i="38" s="1"/>
  <c r="BE3" i="38"/>
  <c r="H31" i="38"/>
  <c r="DA37" i="38"/>
  <c r="DO22" i="38"/>
  <c r="DO29" i="38"/>
  <c r="DA57" i="38"/>
  <c r="DA71" i="38"/>
  <c r="DA56" i="38"/>
  <c r="DO20" i="38"/>
  <c r="DA70" i="38"/>
  <c r="BI3" i="38"/>
  <c r="AU32" i="38"/>
  <c r="AU31" i="38" s="1"/>
  <c r="FB48" i="38"/>
  <c r="AQ63" i="32"/>
  <c r="E63" i="41"/>
  <c r="E54" i="42"/>
  <c r="E48" i="42" s="1"/>
  <c r="E68" i="42"/>
  <c r="E67" i="42"/>
  <c r="E53" i="42"/>
  <c r="E45" i="29"/>
  <c r="C45" i="29" s="1"/>
  <c r="I75" i="43"/>
  <c r="I61" i="43"/>
  <c r="I63" i="29"/>
  <c r="L48" i="41"/>
  <c r="L31" i="41"/>
  <c r="P61" i="42"/>
  <c r="P75" i="42"/>
  <c r="P62" i="42"/>
  <c r="P76" i="42"/>
  <c r="P31" i="42"/>
  <c r="T63" i="41"/>
  <c r="T68" i="42"/>
  <c r="T54" i="42"/>
  <c r="T53" i="42"/>
  <c r="T67" i="42"/>
  <c r="AE64" i="16"/>
  <c r="AE63" i="16" s="1"/>
  <c r="P50" i="43"/>
  <c r="P48" i="43" s="1"/>
  <c r="P64" i="43"/>
  <c r="P68" i="43"/>
  <c r="P54" i="43"/>
  <c r="T70" i="42"/>
  <c r="T56" i="42"/>
  <c r="T74" i="42"/>
  <c r="T60" i="42"/>
  <c r="W57" i="43"/>
  <c r="W71" i="43"/>
  <c r="W51" i="43"/>
  <c r="W65" i="43"/>
  <c r="AJ75" i="16"/>
  <c r="BC31" i="42"/>
  <c r="BC48" i="29"/>
  <c r="BR75" i="42"/>
  <c r="BR61" i="42"/>
  <c r="BR45" i="43"/>
  <c r="BR63" i="41"/>
  <c r="AS31" i="29"/>
  <c r="CU42" i="38"/>
  <c r="DI19" i="38"/>
  <c r="DI28" i="38"/>
  <c r="CU43" i="38"/>
  <c r="CU32" i="38"/>
  <c r="DI3" i="38"/>
  <c r="CU33" i="38"/>
  <c r="DI13" i="38"/>
  <c r="DI21" i="38"/>
  <c r="CU65" i="38"/>
  <c r="CU51" i="38"/>
  <c r="AO40" i="38"/>
  <c r="BC4" i="38"/>
  <c r="AB64" i="32"/>
  <c r="AB63" i="32"/>
  <c r="M63" i="41"/>
  <c r="M68" i="42"/>
  <c r="M54" i="42"/>
  <c r="M67" i="42"/>
  <c r="M53" i="42"/>
  <c r="M45" i="29"/>
  <c r="M48" i="29"/>
  <c r="BO68" i="42"/>
  <c r="BO54" i="42"/>
  <c r="BO67" i="42"/>
  <c r="BO53" i="42"/>
  <c r="CU63" i="42"/>
  <c r="BV63" i="41"/>
  <c r="BV57" i="42"/>
  <c r="BV71" i="42"/>
  <c r="BV65" i="42"/>
  <c r="BV51" i="42"/>
  <c r="BV53" i="43"/>
  <c r="BV67" i="43"/>
  <c r="AT36" i="38"/>
  <c r="BH26" i="38"/>
  <c r="CZ53" i="38"/>
  <c r="DN5" i="38"/>
  <c r="CZ67" i="38"/>
  <c r="DN7" i="38"/>
  <c r="CZ59" i="38"/>
  <c r="CZ73" i="38"/>
  <c r="F59" i="16"/>
  <c r="F61" i="16"/>
  <c r="J52" i="16"/>
  <c r="M52" i="16"/>
  <c r="F55" i="16"/>
  <c r="M54" i="37"/>
  <c r="J54" i="37"/>
  <c r="F59" i="37"/>
  <c r="M74" i="37"/>
  <c r="J74" i="37"/>
  <c r="F69" i="37"/>
  <c r="C31" i="37"/>
  <c r="AA71" i="42"/>
  <c r="AA57" i="42"/>
  <c r="C25" i="42"/>
  <c r="F25" i="32" s="1"/>
  <c r="AA64" i="42"/>
  <c r="AA50" i="42"/>
  <c r="AA51" i="42"/>
  <c r="AA65" i="42"/>
  <c r="AA52" i="42"/>
  <c r="AA48" i="42" s="1"/>
  <c r="AA66" i="42"/>
  <c r="AA54" i="43"/>
  <c r="AA68" i="43"/>
  <c r="AA53" i="43"/>
  <c r="AA67" i="43"/>
  <c r="AA63" i="29"/>
  <c r="R48" i="29"/>
  <c r="C71" i="38"/>
  <c r="C57" i="38"/>
  <c r="AB64" i="41"/>
  <c r="AC63" i="41"/>
  <c r="AB63" i="41" s="1"/>
  <c r="BA21" i="43"/>
  <c r="CS21" i="38" s="1"/>
  <c r="BB51" i="43"/>
  <c r="BA51" i="43" s="1"/>
  <c r="BB65" i="43"/>
  <c r="BA65" i="43" s="1"/>
  <c r="C65" i="38"/>
  <c r="C51" i="38"/>
  <c r="C66" i="38"/>
  <c r="C63" i="38" s="1"/>
  <c r="C52" i="38"/>
  <c r="AB68" i="41"/>
  <c r="AB53" i="41"/>
  <c r="BA57" i="41"/>
  <c r="N57" i="38" s="1"/>
  <c r="Y57" i="38" s="1"/>
  <c r="BA67" i="29"/>
  <c r="BA61" i="29"/>
  <c r="BA56" i="29"/>
  <c r="BA55" i="29"/>
  <c r="N55" i="18" s="1"/>
  <c r="Y55" i="18" s="1"/>
  <c r="BA9" i="30"/>
  <c r="BF64" i="43"/>
  <c r="BF50" i="43"/>
  <c r="BF52" i="43"/>
  <c r="BF48" i="43" s="1"/>
  <c r="BF66" i="43"/>
  <c r="BF54" i="43"/>
  <c r="BF68" i="43"/>
  <c r="BE63" i="29"/>
  <c r="BI75" i="43"/>
  <c r="BI61" i="43"/>
  <c r="BI63" i="41"/>
  <c r="BM69" i="42"/>
  <c r="BM55" i="42"/>
  <c r="BM70" i="42"/>
  <c r="BM56" i="42"/>
  <c r="BM58" i="42"/>
  <c r="BM72" i="42"/>
  <c r="BM60" i="42"/>
  <c r="BM74" i="42"/>
  <c r="BM63" i="29"/>
  <c r="BX45" i="42"/>
  <c r="BY45" i="29"/>
  <c r="AP65" i="38"/>
  <c r="AP51" i="38"/>
  <c r="BD21" i="38"/>
  <c r="DJ17" i="38"/>
  <c r="CV66" i="38"/>
  <c r="CV52" i="38"/>
  <c r="CV41" i="38"/>
  <c r="DJ8" i="38"/>
  <c r="DJ3" i="38"/>
  <c r="CV32" i="38"/>
  <c r="CV31" i="38" s="1"/>
  <c r="CW33" i="38"/>
  <c r="DK13" i="38"/>
  <c r="DK7" i="38"/>
  <c r="CW73" i="38"/>
  <c r="CW59" i="38"/>
  <c r="BE25" i="38"/>
  <c r="AQ50" i="38"/>
  <c r="AQ64" i="38"/>
  <c r="BE2" i="38"/>
  <c r="AQ38" i="38"/>
  <c r="AU46" i="38"/>
  <c r="BI10" i="38"/>
  <c r="DA34" i="38"/>
  <c r="DO14" i="38"/>
  <c r="DA69" i="38"/>
  <c r="DA55" i="38"/>
  <c r="DO24" i="38"/>
  <c r="CC64" i="38"/>
  <c r="CC63" i="38"/>
  <c r="AZ48" i="32"/>
  <c r="C59" i="29"/>
  <c r="I57" i="42"/>
  <c r="I71" i="42"/>
  <c r="I64" i="42"/>
  <c r="I50" i="42"/>
  <c r="I65" i="42"/>
  <c r="I51" i="42"/>
  <c r="I66" i="42"/>
  <c r="I63" i="42" s="1"/>
  <c r="I52" i="42"/>
  <c r="I48" i="42" s="1"/>
  <c r="I54" i="43"/>
  <c r="I68" i="43"/>
  <c r="I53" i="43"/>
  <c r="I67" i="43"/>
  <c r="L45" i="42"/>
  <c r="T63" i="29"/>
  <c r="W50" i="43"/>
  <c r="W48" i="43" s="1"/>
  <c r="W64" i="43"/>
  <c r="W66" i="43"/>
  <c r="W52" i="43"/>
  <c r="W68" i="43"/>
  <c r="W54" i="43"/>
  <c r="M55" i="43"/>
  <c r="M69" i="43"/>
  <c r="M70" i="43"/>
  <c r="M56" i="43"/>
  <c r="M58" i="43"/>
  <c r="M72" i="43"/>
  <c r="M74" i="43"/>
  <c r="M60" i="43"/>
  <c r="BH31" i="42"/>
  <c r="BO69" i="42"/>
  <c r="BO55" i="42"/>
  <c r="BO56" i="42"/>
  <c r="BO70" i="42"/>
  <c r="BO58" i="42"/>
  <c r="BO72" i="42"/>
  <c r="BO60" i="42"/>
  <c r="BO74" i="42"/>
  <c r="BV62" i="42"/>
  <c r="BV76" i="42"/>
  <c r="BV31" i="42"/>
  <c r="AW48" i="29"/>
  <c r="DN24" i="38"/>
  <c r="CZ69" i="38"/>
  <c r="CZ55" i="38"/>
  <c r="AT50" i="38"/>
  <c r="BH25" i="38"/>
  <c r="AT64" i="38"/>
  <c r="CZ72" i="38"/>
  <c r="CZ58" i="38"/>
  <c r="DN16" i="38"/>
  <c r="AT38" i="38"/>
  <c r="BH2" i="38"/>
  <c r="F56" i="16"/>
  <c r="M59" i="16"/>
  <c r="J59" i="16"/>
  <c r="F50" i="37"/>
  <c r="F54" i="37"/>
  <c r="M57" i="37"/>
  <c r="J57" i="37"/>
  <c r="J59" i="37"/>
  <c r="M59" i="37"/>
  <c r="AX63" i="42"/>
  <c r="AU63" i="42"/>
  <c r="AC63" i="42"/>
  <c r="AB64" i="42"/>
  <c r="L64" i="32" s="1"/>
  <c r="AZ63" i="42"/>
  <c r="AK63" i="42"/>
  <c r="AW63" i="42"/>
  <c r="AA69" i="42"/>
  <c r="AA55" i="42"/>
  <c r="AA56" i="42"/>
  <c r="AA70" i="42"/>
  <c r="AA58" i="42"/>
  <c r="AA72" i="42"/>
  <c r="AA60" i="42"/>
  <c r="AA74" i="42"/>
  <c r="AA31" i="29"/>
  <c r="AU48" i="30"/>
  <c r="AI48" i="30"/>
  <c r="AL48" i="30"/>
  <c r="AT48" i="30"/>
  <c r="AG48" i="30"/>
  <c r="AJ48" i="30"/>
  <c r="R62" i="42"/>
  <c r="R76" i="42"/>
  <c r="R59" i="42"/>
  <c r="R48" i="42" s="1"/>
  <c r="R73" i="42"/>
  <c r="R45" i="29"/>
  <c r="BZ66" i="42"/>
  <c r="BP66" i="38" s="1"/>
  <c r="CD66" i="38" s="1"/>
  <c r="BZ54" i="42"/>
  <c r="BP54" i="38" s="1"/>
  <c r="CD54" i="38" s="1"/>
  <c r="BZ67" i="42"/>
  <c r="BP67" i="38" s="1"/>
  <c r="CD67" i="38" s="1"/>
  <c r="BB43" i="42"/>
  <c r="BA43" i="42" s="1"/>
  <c r="BA28" i="42"/>
  <c r="AM28" i="38" s="1"/>
  <c r="C69" i="38"/>
  <c r="C55" i="38"/>
  <c r="AB70" i="41"/>
  <c r="AB58" i="41"/>
  <c r="BA12" i="43"/>
  <c r="CS12" i="38" s="1"/>
  <c r="BB74" i="43"/>
  <c r="BB60" i="43"/>
  <c r="C74" i="38"/>
  <c r="C60" i="38"/>
  <c r="AB41" i="41"/>
  <c r="BB40" i="42"/>
  <c r="BA40" i="42" s="1"/>
  <c r="BA4" i="42"/>
  <c r="AM4" i="38" s="1"/>
  <c r="BA62" i="41"/>
  <c r="N62" i="38" s="1"/>
  <c r="Y62" i="38" s="1"/>
  <c r="BA61" i="41"/>
  <c r="N61" i="38" s="1"/>
  <c r="Y61" i="38" s="1"/>
  <c r="BA74" i="41"/>
  <c r="N74" i="38" s="1"/>
  <c r="Y74" i="38" s="1"/>
  <c r="BA6" i="30"/>
  <c r="AB33" i="29"/>
  <c r="BA19" i="30"/>
  <c r="AB50" i="29"/>
  <c r="AB76" i="29"/>
  <c r="AB71" i="29"/>
  <c r="AB73" i="29"/>
  <c r="BA11" i="30"/>
  <c r="CA45" i="30"/>
  <c r="AJ63" i="41"/>
  <c r="BI68" i="42"/>
  <c r="BI54" i="42"/>
  <c r="BI53" i="42"/>
  <c r="BI67" i="42"/>
  <c r="AJ48" i="29"/>
  <c r="BM31" i="42"/>
  <c r="BM63" i="41"/>
  <c r="BQ62" i="42"/>
  <c r="BQ76" i="42"/>
  <c r="BQ73" i="42"/>
  <c r="BQ59" i="42"/>
  <c r="AY63" i="41"/>
  <c r="BA17" i="30"/>
  <c r="AY63" i="29"/>
  <c r="BA29" i="30"/>
  <c r="CV46" i="38"/>
  <c r="DJ10" i="38"/>
  <c r="CW43" i="38"/>
  <c r="DK28" i="38"/>
  <c r="CW66" i="38"/>
  <c r="CW52" i="38"/>
  <c r="DK17" i="38"/>
  <c r="AQ70" i="38"/>
  <c r="AQ56" i="38"/>
  <c r="BE20" i="38"/>
  <c r="CW39" i="38"/>
  <c r="DK11" i="38"/>
  <c r="DA35" i="38"/>
  <c r="DO30" i="38"/>
  <c r="ER63" i="38"/>
  <c r="ER64" i="38"/>
  <c r="DO13" i="38"/>
  <c r="DA33" i="38"/>
  <c r="BI21" i="38"/>
  <c r="AU51" i="38"/>
  <c r="AU65" i="38"/>
  <c r="DA40" i="38"/>
  <c r="DO4" i="38"/>
  <c r="E48" i="41"/>
  <c r="E31" i="41"/>
  <c r="AD48" i="43"/>
  <c r="L63" i="41"/>
  <c r="P59" i="42"/>
  <c r="P73" i="42"/>
  <c r="T76" i="42"/>
  <c r="T62" i="42"/>
  <c r="T59" i="42"/>
  <c r="T73" i="42"/>
  <c r="W55" i="43"/>
  <c r="W69" i="43"/>
  <c r="W56" i="43"/>
  <c r="W70" i="43"/>
  <c r="W72" i="43"/>
  <c r="W58" i="43"/>
  <c r="W74" i="43"/>
  <c r="W60" i="43"/>
  <c r="CJ48" i="31"/>
  <c r="BG70" i="43"/>
  <c r="BG56" i="43"/>
  <c r="CY71" i="38"/>
  <c r="CY57" i="38"/>
  <c r="DM29" i="38"/>
  <c r="DM10" i="38"/>
  <c r="CY46" i="38"/>
  <c r="CY45" i="38" s="1"/>
  <c r="Q48" i="43"/>
  <c r="Q59" i="43"/>
  <c r="Q73" i="43"/>
  <c r="AE63" i="41"/>
  <c r="AR47" i="38"/>
  <c r="BF6" i="38"/>
  <c r="DL5" i="38"/>
  <c r="CX53" i="38"/>
  <c r="CX67" i="38"/>
  <c r="EX51" i="38"/>
  <c r="EX65" i="38"/>
  <c r="EX70" i="38"/>
  <c r="EX56" i="38"/>
  <c r="BK70" i="42"/>
  <c r="BK56" i="42"/>
  <c r="BK74" i="42"/>
  <c r="BK60" i="42"/>
  <c r="CJ63" i="30"/>
  <c r="N69" i="42"/>
  <c r="N55" i="42"/>
  <c r="N72" i="42"/>
  <c r="N58" i="42"/>
  <c r="N74" i="42"/>
  <c r="N60" i="42"/>
  <c r="BE69" i="42"/>
  <c r="BE55" i="42"/>
  <c r="BE72" i="42"/>
  <c r="BE58" i="42"/>
  <c r="BY68" i="42"/>
  <c r="BY54" i="42"/>
  <c r="BP53" i="42"/>
  <c r="BP48" i="42" s="1"/>
  <c r="BP67" i="42"/>
  <c r="BW51" i="42"/>
  <c r="BW48" i="42" s="1"/>
  <c r="BW65" i="42"/>
  <c r="BW67" i="43"/>
  <c r="BW53" i="43"/>
  <c r="EK63" i="38"/>
  <c r="EK64" i="38"/>
  <c r="AN74" i="38"/>
  <c r="AN60" i="38"/>
  <c r="BB12" i="38"/>
  <c r="AN46" i="38"/>
  <c r="BB10" i="38"/>
  <c r="DC75" i="38"/>
  <c r="DC61" i="38"/>
  <c r="DQ18" i="38"/>
  <c r="AW59" i="38"/>
  <c r="BK7" i="38"/>
  <c r="AW73" i="38"/>
  <c r="AI48" i="38"/>
  <c r="AW55" i="16"/>
  <c r="AW69" i="16"/>
  <c r="AI64" i="16"/>
  <c r="AI63" i="16"/>
  <c r="AS42" i="38"/>
  <c r="BG19" i="38"/>
  <c r="F63" i="41"/>
  <c r="F67" i="42"/>
  <c r="F53" i="42"/>
  <c r="BJ50" i="42"/>
  <c r="BJ48" i="42" s="1"/>
  <c r="BJ64" i="42"/>
  <c r="BJ68" i="43"/>
  <c r="BJ54" i="43"/>
  <c r="BJ48" i="43" s="1"/>
  <c r="BU65" i="42"/>
  <c r="BU51" i="42"/>
  <c r="BU68" i="43"/>
  <c r="BU54" i="43"/>
  <c r="BU48" i="43" s="1"/>
  <c r="BD70" i="42"/>
  <c r="BD56" i="42"/>
  <c r="BD74" i="42"/>
  <c r="BD60" i="42"/>
  <c r="CX38" i="38"/>
  <c r="DL2" i="38"/>
  <c r="BF9" i="38"/>
  <c r="AR54" i="38"/>
  <c r="AR68" i="38"/>
  <c r="EG61" i="38"/>
  <c r="EU61" i="38"/>
  <c r="G53" i="42"/>
  <c r="G67" i="42"/>
  <c r="BN68" i="42"/>
  <c r="BN54" i="42"/>
  <c r="CB53" i="38"/>
  <c r="CO53" i="38"/>
  <c r="EH48" i="38"/>
  <c r="X51" i="43"/>
  <c r="X65" i="43"/>
  <c r="CJ63" i="42"/>
  <c r="N48" i="42"/>
  <c r="BE59" i="43"/>
  <c r="BE73" i="43"/>
  <c r="BY58" i="43"/>
  <c r="BY72" i="43"/>
  <c r="BY48" i="41"/>
  <c r="BT50" i="43"/>
  <c r="BT48" i="43" s="1"/>
  <c r="BT64" i="43"/>
  <c r="BT66" i="43"/>
  <c r="BT52" i="43"/>
  <c r="BW56" i="42"/>
  <c r="BW70" i="42"/>
  <c r="BW60" i="42"/>
  <c r="BW74" i="42"/>
  <c r="DH26" i="38"/>
  <c r="CT36" i="38"/>
  <c r="AW42" i="38"/>
  <c r="BK19" i="38"/>
  <c r="Q63" i="16"/>
  <c r="AT31" i="16"/>
  <c r="AH48" i="29"/>
  <c r="AS38" i="38"/>
  <c r="BG2" i="38"/>
  <c r="U57" i="43"/>
  <c r="U71" i="43"/>
  <c r="U52" i="43"/>
  <c r="U48" i="43" s="1"/>
  <c r="U66" i="43"/>
  <c r="Q67" i="42"/>
  <c r="Q53" i="42"/>
  <c r="AR46" i="38"/>
  <c r="AR45" i="38" s="1"/>
  <c r="BF10" i="38"/>
  <c r="CX39" i="38"/>
  <c r="DL11" i="38"/>
  <c r="CX32" i="38"/>
  <c r="CX31" i="38" s="1"/>
  <c r="DL3" i="38"/>
  <c r="G55" i="42"/>
  <c r="G69" i="42"/>
  <c r="G48" i="29"/>
  <c r="AJ51" i="37"/>
  <c r="D63" i="16"/>
  <c r="BN53" i="43"/>
  <c r="BN67" i="43"/>
  <c r="FA65" i="38"/>
  <c r="FC65" i="38"/>
  <c r="J75" i="42"/>
  <c r="J61" i="42"/>
  <c r="J48" i="42" s="1"/>
  <c r="V57" i="43"/>
  <c r="V71" i="43"/>
  <c r="V65" i="43"/>
  <c r="V51" i="43"/>
  <c r="V48" i="43" s="1"/>
  <c r="V52" i="43"/>
  <c r="V66" i="43"/>
  <c r="BE61" i="43"/>
  <c r="BE75" i="43"/>
  <c r="AF63" i="29"/>
  <c r="BY76" i="42"/>
  <c r="BY62" i="42"/>
  <c r="BY73" i="42"/>
  <c r="BY59" i="42"/>
  <c r="BL64" i="42"/>
  <c r="BL50" i="42"/>
  <c r="BL48" i="42" s="1"/>
  <c r="BL54" i="43"/>
  <c r="BL48" i="43" s="1"/>
  <c r="BL68" i="43"/>
  <c r="BT56" i="43"/>
  <c r="BT70" i="43"/>
  <c r="BW48" i="43"/>
  <c r="BW59" i="43"/>
  <c r="BW73" i="43"/>
  <c r="M48" i="38"/>
  <c r="AW50" i="16"/>
  <c r="AW64" i="16"/>
  <c r="D63" i="32"/>
  <c r="N52" i="32"/>
  <c r="Q52" i="32"/>
  <c r="C29" i="42"/>
  <c r="F29" i="32" s="1"/>
  <c r="D71" i="42"/>
  <c r="D57" i="42"/>
  <c r="C9" i="43"/>
  <c r="AR9" i="32" s="1"/>
  <c r="D68" i="43"/>
  <c r="C68" i="43" s="1"/>
  <c r="D54" i="43"/>
  <c r="C9" i="42"/>
  <c r="F9" i="32" s="1"/>
  <c r="D54" i="42"/>
  <c r="D68" i="42"/>
  <c r="C68" i="42" s="1"/>
  <c r="C32" i="29"/>
  <c r="D31" i="29"/>
  <c r="H62" i="43"/>
  <c r="H76" i="43"/>
  <c r="BG50" i="43"/>
  <c r="BG64" i="43"/>
  <c r="BG52" i="43"/>
  <c r="BG66" i="43"/>
  <c r="F76" i="42"/>
  <c r="F62" i="42"/>
  <c r="F73" i="42"/>
  <c r="F59" i="42"/>
  <c r="F48" i="42" s="1"/>
  <c r="U55" i="43"/>
  <c r="U69" i="43"/>
  <c r="BJ62" i="43"/>
  <c r="BJ76" i="43"/>
  <c r="BJ31" i="43"/>
  <c r="BU62" i="42"/>
  <c r="BU76" i="42"/>
  <c r="BU73" i="42"/>
  <c r="BU59" i="42"/>
  <c r="AX66" i="32"/>
  <c r="BB66" i="32"/>
  <c r="BF64" i="37"/>
  <c r="BF63" i="37"/>
  <c r="G76" i="32"/>
  <c r="G62" i="32"/>
  <c r="D39" i="42"/>
  <c r="C39" i="42" s="1"/>
  <c r="C11" i="42"/>
  <c r="F11" i="32" s="1"/>
  <c r="AC45" i="43"/>
  <c r="AB46" i="43"/>
  <c r="AB45" i="43"/>
  <c r="AW47" i="32" s="1"/>
  <c r="O54" i="42"/>
  <c r="O68" i="42"/>
  <c r="S56" i="42"/>
  <c r="S70" i="42"/>
  <c r="S74" i="42"/>
  <c r="S60" i="42"/>
  <c r="Z50" i="43"/>
  <c r="Z64" i="43"/>
  <c r="Z66" i="43"/>
  <c r="Z52" i="43"/>
  <c r="Z48" i="43" s="1"/>
  <c r="BR50" i="42"/>
  <c r="BR48" i="42" s="1"/>
  <c r="BR64" i="42"/>
  <c r="BR52" i="42"/>
  <c r="BR66" i="42"/>
  <c r="AO61" i="38"/>
  <c r="BC18" i="38"/>
  <c r="AO75" i="38"/>
  <c r="DI22" i="38"/>
  <c r="CU37" i="38"/>
  <c r="AR35" i="38"/>
  <c r="BF30" i="38"/>
  <c r="G48" i="42"/>
  <c r="Y58" i="42"/>
  <c r="Y72" i="42"/>
  <c r="Y74" i="42"/>
  <c r="Y60" i="42"/>
  <c r="Y31" i="29"/>
  <c r="AL63" i="29"/>
  <c r="N67" i="42"/>
  <c r="N53" i="42"/>
  <c r="N50" i="32"/>
  <c r="G61" i="32"/>
  <c r="G48" i="32" s="1"/>
  <c r="G75" i="32"/>
  <c r="D38" i="42"/>
  <c r="C38" i="42" s="1"/>
  <c r="C2" i="42"/>
  <c r="F2" i="32" s="1"/>
  <c r="H53" i="43"/>
  <c r="H48" i="43" s="1"/>
  <c r="H67" i="43"/>
  <c r="K48" i="41"/>
  <c r="O70" i="42"/>
  <c r="O56" i="42"/>
  <c r="O60" i="42"/>
  <c r="O74" i="42"/>
  <c r="S59" i="43"/>
  <c r="S73" i="43"/>
  <c r="AT48" i="43"/>
  <c r="CW48" i="43"/>
  <c r="AE48" i="43"/>
  <c r="BC64" i="43"/>
  <c r="BC50" i="43"/>
  <c r="BC48" i="43" s="1"/>
  <c r="BC52" i="43"/>
  <c r="BC66" i="43"/>
  <c r="BR55" i="42"/>
  <c r="BR69" i="42"/>
  <c r="BR72" i="42"/>
  <c r="BR58" i="42"/>
  <c r="Z48" i="41"/>
  <c r="CQ63" i="43"/>
  <c r="CP63" i="43"/>
  <c r="AI63" i="43"/>
  <c r="AL63" i="43"/>
  <c r="CI63" i="43"/>
  <c r="CH63" i="43"/>
  <c r="BA48" i="41"/>
  <c r="BR31" i="43"/>
  <c r="CU36" i="38"/>
  <c r="DI26" i="38"/>
  <c r="BN57" i="43"/>
  <c r="BN71" i="43"/>
  <c r="CB48" i="38"/>
  <c r="CB50" i="38"/>
  <c r="J68" i="42"/>
  <c r="J54" i="42"/>
  <c r="BY61" i="43"/>
  <c r="BY75" i="43"/>
  <c r="CK63" i="30"/>
  <c r="BT76" i="43"/>
  <c r="BT62" i="43"/>
  <c r="AX31" i="29"/>
  <c r="AN68" i="38"/>
  <c r="AN54" i="38"/>
  <c r="BB9" i="38"/>
  <c r="BB11" i="38"/>
  <c r="AN39" i="38"/>
  <c r="AW41" i="38"/>
  <c r="BK8" i="38"/>
  <c r="AW66" i="16"/>
  <c r="AW52" i="16"/>
  <c r="Z48" i="37"/>
  <c r="AD56" i="5"/>
  <c r="AD54" i="5"/>
  <c r="BA8" i="31"/>
  <c r="AD69" i="5"/>
  <c r="AD72" i="5"/>
  <c r="AD67" i="5"/>
  <c r="D36" i="30"/>
  <c r="BZ42" i="30"/>
  <c r="BZ37" i="30"/>
  <c r="BZ57" i="30"/>
  <c r="BP57" i="18" s="1"/>
  <c r="CD57" i="18" s="1"/>
  <c r="BZ43" i="30"/>
  <c r="BZ74" i="30"/>
  <c r="BZ51" i="31"/>
  <c r="DV51" i="18" s="1"/>
  <c r="EJ51" i="18" s="1"/>
  <c r="CX48" i="31"/>
  <c r="BZ69" i="31"/>
  <c r="CA48" i="31"/>
  <c r="BZ58" i="31"/>
  <c r="DV58" i="18" s="1"/>
  <c r="EJ58" i="18" s="1"/>
  <c r="BG69" i="42"/>
  <c r="BG55" i="42"/>
  <c r="BG56" i="42"/>
  <c r="BG70" i="42"/>
  <c r="BG72" i="42"/>
  <c r="BG58" i="42"/>
  <c r="BG60" i="42"/>
  <c r="BG74" i="42"/>
  <c r="AS70" i="38"/>
  <c r="AS56" i="38"/>
  <c r="BG20" i="38"/>
  <c r="AS71" i="38"/>
  <c r="AS57" i="38"/>
  <c r="BG29" i="38"/>
  <c r="DM23" i="38"/>
  <c r="CY49" i="38"/>
  <c r="EP63" i="38"/>
  <c r="EP64" i="38"/>
  <c r="AS73" i="38"/>
  <c r="AS59" i="38"/>
  <c r="BG7" i="38"/>
  <c r="AS39" i="38"/>
  <c r="BG11" i="38"/>
  <c r="F61" i="43"/>
  <c r="F75" i="43"/>
  <c r="F45" i="41"/>
  <c r="U48" i="41"/>
  <c r="U31" i="41"/>
  <c r="BU45" i="42"/>
  <c r="AX59" i="32"/>
  <c r="BB59" i="32"/>
  <c r="AX65" i="32"/>
  <c r="BB65" i="32"/>
  <c r="AO48" i="32"/>
  <c r="BB33" i="32"/>
  <c r="AX61" i="32"/>
  <c r="BB61" i="32"/>
  <c r="Q76" i="42"/>
  <c r="Q62" i="42"/>
  <c r="Q73" i="42"/>
  <c r="Q59" i="42"/>
  <c r="Q48" i="42" s="1"/>
  <c r="BS57" i="43"/>
  <c r="BS71" i="43"/>
  <c r="BS64" i="43"/>
  <c r="BS50" i="43"/>
  <c r="BS48" i="43" s="1"/>
  <c r="BS51" i="43"/>
  <c r="BS65" i="43"/>
  <c r="BS66" i="43"/>
  <c r="BS52" i="43"/>
  <c r="BS48" i="41"/>
  <c r="AT63" i="29"/>
  <c r="CX36" i="38"/>
  <c r="DL26" i="38"/>
  <c r="AR50" i="38"/>
  <c r="BF25" i="38"/>
  <c r="AR64" i="38"/>
  <c r="CX49" i="38"/>
  <c r="DL23" i="38"/>
  <c r="D63" i="38"/>
  <c r="DL6" i="38"/>
  <c r="CX47" i="38"/>
  <c r="Z63" i="38"/>
  <c r="Z64" i="38"/>
  <c r="CX71" i="38"/>
  <c r="CX57" i="38"/>
  <c r="DL29" i="38"/>
  <c r="BF5" i="38"/>
  <c r="AR53" i="38"/>
  <c r="AR67" i="38"/>
  <c r="EG68" i="38"/>
  <c r="EU68" i="38"/>
  <c r="G45" i="42"/>
  <c r="G63" i="29"/>
  <c r="Y76" i="43"/>
  <c r="Y62" i="43"/>
  <c r="Y59" i="43"/>
  <c r="Y73" i="43"/>
  <c r="Y31" i="43"/>
  <c r="AJ60" i="16"/>
  <c r="EH64" i="38"/>
  <c r="EH63" i="38"/>
  <c r="FC62" i="38"/>
  <c r="FA62" i="38"/>
  <c r="AK63" i="38"/>
  <c r="CB68" i="38"/>
  <c r="CO68" i="38"/>
  <c r="X56" i="43"/>
  <c r="X70" i="43"/>
  <c r="V48" i="41"/>
  <c r="V31" i="41"/>
  <c r="BL76" i="43"/>
  <c r="BL62" i="43"/>
  <c r="BL73" i="43"/>
  <c r="BL59" i="43"/>
  <c r="BL31" i="43"/>
  <c r="AQ63" i="29"/>
  <c r="CO63" i="42"/>
  <c r="BT45" i="42"/>
  <c r="BW68" i="42"/>
  <c r="BW54" i="42"/>
  <c r="BW67" i="42"/>
  <c r="BW53" i="42"/>
  <c r="CT37" i="38"/>
  <c r="DH22" i="38"/>
  <c r="CT76" i="38"/>
  <c r="CT62" i="38"/>
  <c r="DH27" i="38"/>
  <c r="AN47" i="38"/>
  <c r="BB6" i="38"/>
  <c r="DH5" i="38"/>
  <c r="CT67" i="38"/>
  <c r="CT53" i="38"/>
  <c r="AN38" i="38"/>
  <c r="BB2" i="38"/>
  <c r="DC62" i="38"/>
  <c r="DQ27" i="38"/>
  <c r="DC76" i="38"/>
  <c r="DC32" i="38"/>
  <c r="DQ3" i="38"/>
  <c r="DC36" i="38"/>
  <c r="DQ26" i="38"/>
  <c r="BG48" i="16"/>
  <c r="AS48" i="16"/>
  <c r="AI37" i="16"/>
  <c r="BH64" i="16"/>
  <c r="BH63" i="16"/>
  <c r="AI43" i="16"/>
  <c r="Y64" i="16"/>
  <c r="Y63" i="16"/>
  <c r="AI50" i="16"/>
  <c r="AJ48" i="16"/>
  <c r="BE48" i="37"/>
  <c r="AI63" i="37"/>
  <c r="AI64" i="37"/>
  <c r="BG76" i="43"/>
  <c r="BG62" i="43"/>
  <c r="BG73" i="43"/>
  <c r="BG59" i="43"/>
  <c r="BG31" i="43"/>
  <c r="AS32" i="38"/>
  <c r="AS31" i="38" s="1"/>
  <c r="BG3" i="38"/>
  <c r="AS66" i="38"/>
  <c r="BG17" i="38"/>
  <c r="AS52" i="38"/>
  <c r="U61" i="42"/>
  <c r="U75" i="42"/>
  <c r="U45" i="43"/>
  <c r="BJ68" i="42"/>
  <c r="BJ54" i="42"/>
  <c r="BJ53" i="42"/>
  <c r="BJ67" i="42"/>
  <c r="AV63" i="41"/>
  <c r="BU54" i="42"/>
  <c r="BU68" i="42"/>
  <c r="BU67" i="42"/>
  <c r="BU53" i="42"/>
  <c r="AV63" i="29"/>
  <c r="AX53" i="32"/>
  <c r="BB53" i="32"/>
  <c r="BB42" i="32"/>
  <c r="Q75" i="43"/>
  <c r="Q61" i="43"/>
  <c r="Q45" i="41"/>
  <c r="AE48" i="29"/>
  <c r="AT45" i="29"/>
  <c r="BF28" i="38"/>
  <c r="AR43" i="38"/>
  <c r="EO63" i="38"/>
  <c r="EO64" i="38"/>
  <c r="CX65" i="38"/>
  <c r="CX51" i="38"/>
  <c r="DL21" i="38"/>
  <c r="CX59" i="38"/>
  <c r="DL7" i="38"/>
  <c r="CX73" i="38"/>
  <c r="BF18" i="38"/>
  <c r="AR75" i="38"/>
  <c r="AR63" i="38" s="1"/>
  <c r="AR61" i="38"/>
  <c r="AR48" i="38" s="1"/>
  <c r="AR41" i="38"/>
  <c r="BF8" i="38"/>
  <c r="CX58" i="38"/>
  <c r="DL16" i="38"/>
  <c r="CX72" i="38"/>
  <c r="EG52" i="38"/>
  <c r="EG71" i="38"/>
  <c r="EU71" i="38"/>
  <c r="EG73" i="38"/>
  <c r="EU73" i="38"/>
  <c r="Y45" i="42"/>
  <c r="AJ65" i="37"/>
  <c r="BN56" i="43"/>
  <c r="BN70" i="43"/>
  <c r="BN74" i="43"/>
  <c r="BN60" i="43"/>
  <c r="AO31" i="41"/>
  <c r="BN59" i="43"/>
  <c r="BN73" i="43"/>
  <c r="EX53" i="38"/>
  <c r="EX48" i="38" s="1"/>
  <c r="EX67" i="38"/>
  <c r="EX74" i="38"/>
  <c r="EX60" i="38"/>
  <c r="CB60" i="38"/>
  <c r="CO60" i="38"/>
  <c r="CB56" i="38"/>
  <c r="CO56" i="38"/>
  <c r="FA48" i="38"/>
  <c r="CB67" i="38"/>
  <c r="CO67" i="38"/>
  <c r="J48" i="41"/>
  <c r="J31" i="41"/>
  <c r="X57" i="42"/>
  <c r="X71" i="42"/>
  <c r="X65" i="42"/>
  <c r="X51" i="42"/>
  <c r="X53" i="43"/>
  <c r="X67" i="43"/>
  <c r="X63" i="29"/>
  <c r="X60" i="43"/>
  <c r="X74" i="43"/>
  <c r="X45" i="41"/>
  <c r="BK31" i="42"/>
  <c r="N48" i="41"/>
  <c r="N31" i="41"/>
  <c r="N63" i="29"/>
  <c r="V45" i="42"/>
  <c r="CM64" i="38"/>
  <c r="CM63" i="38"/>
  <c r="BE62" i="42"/>
  <c r="BE76" i="42"/>
  <c r="BE73" i="42"/>
  <c r="BE59" i="42"/>
  <c r="AF45" i="29"/>
  <c r="BY69" i="42"/>
  <c r="BY55" i="42"/>
  <c r="BY56" i="42"/>
  <c r="BY48" i="42" s="1"/>
  <c r="BY70" i="42"/>
  <c r="BY72" i="42"/>
  <c r="BY58" i="42"/>
  <c r="BY74" i="42"/>
  <c r="BY60" i="42"/>
  <c r="BY63" i="29"/>
  <c r="BL75" i="43"/>
  <c r="BL61" i="43"/>
  <c r="AM45" i="41"/>
  <c r="BP55" i="43"/>
  <c r="BP69" i="43"/>
  <c r="BP70" i="43"/>
  <c r="BP56" i="43"/>
  <c r="BP58" i="43"/>
  <c r="BP72" i="43"/>
  <c r="BP74" i="43"/>
  <c r="BP60" i="43"/>
  <c r="AQ45" i="29"/>
  <c r="BT71" i="42"/>
  <c r="BT57" i="42"/>
  <c r="BT64" i="42"/>
  <c r="BT50" i="42"/>
  <c r="BT48" i="42" s="1"/>
  <c r="BT65" i="42"/>
  <c r="BT51" i="42"/>
  <c r="BT66" i="42"/>
  <c r="BT52" i="42"/>
  <c r="BT68" i="43"/>
  <c r="BT54" i="43"/>
  <c r="BT53" i="43"/>
  <c r="BT67" i="43"/>
  <c r="CV63" i="30"/>
  <c r="CT50" i="38"/>
  <c r="DH25" i="38"/>
  <c r="CT64" i="38"/>
  <c r="AN72" i="38"/>
  <c r="AN58" i="38"/>
  <c r="BB16" i="38"/>
  <c r="AE64" i="38"/>
  <c r="AE63" i="38"/>
  <c r="AN41" i="38"/>
  <c r="BB8" i="38"/>
  <c r="BK30" i="38"/>
  <c r="AW35" i="38"/>
  <c r="AW43" i="38"/>
  <c r="BK28" i="38"/>
  <c r="DC72" i="38"/>
  <c r="DC58" i="38"/>
  <c r="DQ16" i="38"/>
  <c r="AW55" i="38"/>
  <c r="BK24" i="38"/>
  <c r="AW69" i="38"/>
  <c r="M63" i="38"/>
  <c r="AW39" i="38"/>
  <c r="BK11" i="38"/>
  <c r="DC47" i="38"/>
  <c r="DQ6" i="38"/>
  <c r="ET48" i="38"/>
  <c r="X48" i="16"/>
  <c r="AU31" i="16"/>
  <c r="Y48" i="16"/>
  <c r="AV63" i="16"/>
  <c r="AI48" i="16"/>
  <c r="BE48" i="16"/>
  <c r="Z63" i="37"/>
  <c r="Z64" i="37"/>
  <c r="BG61" i="43"/>
  <c r="BG75" i="43"/>
  <c r="AH45" i="41"/>
  <c r="AS64" i="38"/>
  <c r="BG25" i="38"/>
  <c r="AS50" i="38"/>
  <c r="BG26" i="38"/>
  <c r="AS36" i="38"/>
  <c r="CY74" i="38"/>
  <c r="DM12" i="38"/>
  <c r="CY60" i="38"/>
  <c r="CY33" i="38"/>
  <c r="DM13" i="38"/>
  <c r="BG6" i="38"/>
  <c r="AS47" i="38"/>
  <c r="BG14" i="38"/>
  <c r="AS34" i="38"/>
  <c r="CY69" i="38"/>
  <c r="CY55" i="38"/>
  <c r="DM24" i="38"/>
  <c r="U57" i="42"/>
  <c r="U71" i="42"/>
  <c r="U64" i="42"/>
  <c r="U50" i="42"/>
  <c r="U65" i="42"/>
  <c r="U51" i="42"/>
  <c r="U52" i="42"/>
  <c r="U48" i="42" s="1"/>
  <c r="U66" i="42"/>
  <c r="U54" i="43"/>
  <c r="U68" i="43"/>
  <c r="U53" i="43"/>
  <c r="U67" i="43"/>
  <c r="BJ69" i="43"/>
  <c r="BJ55" i="43"/>
  <c r="BJ70" i="43"/>
  <c r="BJ56" i="43"/>
  <c r="BJ72" i="43"/>
  <c r="BJ58" i="43"/>
  <c r="BJ60" i="43"/>
  <c r="BJ74" i="43"/>
  <c r="BU63" i="29"/>
  <c r="AX48" i="32"/>
  <c r="AX74" i="32"/>
  <c r="BB74" i="32"/>
  <c r="AJ69" i="16"/>
  <c r="BD62" i="43"/>
  <c r="BD76" i="43"/>
  <c r="BD59" i="43"/>
  <c r="BD48" i="43" s="1"/>
  <c r="BD73" i="43"/>
  <c r="BD31" i="43"/>
  <c r="BD48" i="41"/>
  <c r="AE31" i="29"/>
  <c r="BS62" i="43"/>
  <c r="BS76" i="43"/>
  <c r="BS59" i="43"/>
  <c r="BS73" i="43"/>
  <c r="BS31" i="43"/>
  <c r="AR39" i="38"/>
  <c r="BF11" i="38"/>
  <c r="CX40" i="38"/>
  <c r="DL4" i="38"/>
  <c r="BF3" i="38"/>
  <c r="AR32" i="38"/>
  <c r="AR31" i="38" s="1"/>
  <c r="CP48" i="38"/>
  <c r="EG72" i="38"/>
  <c r="EU72" i="38"/>
  <c r="EG70" i="38"/>
  <c r="EU70" i="38"/>
  <c r="Y71" i="43"/>
  <c r="Y57" i="43"/>
  <c r="Y64" i="43"/>
  <c r="Y50" i="43"/>
  <c r="Y48" i="43" s="1"/>
  <c r="Y65" i="43"/>
  <c r="Y51" i="43"/>
  <c r="Y52" i="43"/>
  <c r="Y66" i="43"/>
  <c r="Y48" i="29"/>
  <c r="AE31" i="37"/>
  <c r="AJ73" i="16"/>
  <c r="AJ58" i="16"/>
  <c r="K50" i="16"/>
  <c r="K48" i="16"/>
  <c r="BN75" i="43"/>
  <c r="BN61" i="43"/>
  <c r="BN45" i="43"/>
  <c r="BN67" i="42"/>
  <c r="BN53" i="42"/>
  <c r="BN48" i="42" s="1"/>
  <c r="FA51" i="38"/>
  <c r="FC51" i="38"/>
  <c r="EX45" i="38"/>
  <c r="CB55" i="38"/>
  <c r="CO55" i="38"/>
  <c r="FA53" i="38"/>
  <c r="FC53" i="38"/>
  <c r="CB59" i="38"/>
  <c r="CO59" i="38"/>
  <c r="FC75" i="38"/>
  <c r="FA75" i="38"/>
  <c r="FC68" i="38"/>
  <c r="FA68" i="38"/>
  <c r="X76" i="43"/>
  <c r="X62" i="43"/>
  <c r="X31" i="41"/>
  <c r="AJ56" i="37"/>
  <c r="BK45" i="42"/>
  <c r="V71" i="42"/>
  <c r="V57" i="42"/>
  <c r="V64" i="42"/>
  <c r="V50" i="42"/>
  <c r="V65" i="42"/>
  <c r="V51" i="42"/>
  <c r="V52" i="42"/>
  <c r="V48" i="42" s="1"/>
  <c r="V66" i="42"/>
  <c r="V63" i="42" s="1"/>
  <c r="V68" i="43"/>
  <c r="V54" i="43"/>
  <c r="V53" i="43"/>
  <c r="V67" i="43"/>
  <c r="AV63" i="38"/>
  <c r="BE75" i="42"/>
  <c r="BE61" i="42"/>
  <c r="BE45" i="43"/>
  <c r="AM63" i="41"/>
  <c r="BL68" i="42"/>
  <c r="BL54" i="42"/>
  <c r="BL53" i="42"/>
  <c r="BL67" i="42"/>
  <c r="AQ48" i="41"/>
  <c r="AQ31" i="41"/>
  <c r="BT69" i="42"/>
  <c r="BT55" i="42"/>
  <c r="BT70" i="42"/>
  <c r="BT56" i="42"/>
  <c r="BT58" i="42"/>
  <c r="BT72" i="42"/>
  <c r="BT74" i="42"/>
  <c r="BT60" i="42"/>
  <c r="AU48" i="29"/>
  <c r="CV63" i="42"/>
  <c r="BW76" i="42"/>
  <c r="BW62" i="42"/>
  <c r="BW73" i="42"/>
  <c r="BW59" i="42"/>
  <c r="CT55" i="38"/>
  <c r="DH24" i="38"/>
  <c r="CT69" i="38"/>
  <c r="AN70" i="38"/>
  <c r="AN56" i="38"/>
  <c r="BB20" i="38"/>
  <c r="CT32" i="38"/>
  <c r="CT31" i="38" s="1"/>
  <c r="DH3" i="38"/>
  <c r="CT75" i="38"/>
  <c r="CT61" i="38"/>
  <c r="DH18" i="38"/>
  <c r="AW49" i="38"/>
  <c r="BK23" i="38"/>
  <c r="DQ2" i="38"/>
  <c r="DC38" i="38"/>
  <c r="AW67" i="38"/>
  <c r="AW53" i="38"/>
  <c r="BK5" i="38"/>
  <c r="AU53" i="16"/>
  <c r="AU67" i="16"/>
  <c r="AW75" i="16"/>
  <c r="AW63" i="16" s="1"/>
  <c r="AW61" i="16"/>
  <c r="AW48" i="16" s="1"/>
  <c r="AS45" i="16"/>
  <c r="AU64" i="16"/>
  <c r="AU50" i="16"/>
  <c r="AI33" i="16"/>
  <c r="AI41" i="16"/>
  <c r="AI61" i="32"/>
  <c r="AI45" i="32"/>
  <c r="AL63" i="32"/>
  <c r="AN64" i="32"/>
  <c r="AL64" i="32"/>
  <c r="AN63" i="32"/>
  <c r="AY63" i="32"/>
  <c r="N51" i="32"/>
  <c r="AC45" i="42"/>
  <c r="AB45" i="42" s="1"/>
  <c r="AB46" i="42"/>
  <c r="L46" i="32" s="1"/>
  <c r="C64" i="41"/>
  <c r="D63" i="41"/>
  <c r="C63" i="41" s="1"/>
  <c r="C17" i="43"/>
  <c r="AR17" i="32" s="1"/>
  <c r="D66" i="43"/>
  <c r="D52" i="43"/>
  <c r="C52" i="43" s="1"/>
  <c r="C17" i="42"/>
  <c r="F17" i="32" s="1"/>
  <c r="D52" i="42"/>
  <c r="C52" i="42" s="1"/>
  <c r="D66" i="42"/>
  <c r="C54" i="41"/>
  <c r="C68" i="29"/>
  <c r="C23" i="30"/>
  <c r="BZ58" i="43"/>
  <c r="DV58" i="38" s="1"/>
  <c r="EJ58" i="38" s="1"/>
  <c r="H59" i="42"/>
  <c r="H73" i="42"/>
  <c r="H62" i="42"/>
  <c r="H76" i="42"/>
  <c r="H71" i="42"/>
  <c r="H57" i="42"/>
  <c r="K61" i="42"/>
  <c r="K75" i="42"/>
  <c r="K45" i="43"/>
  <c r="O48" i="42"/>
  <c r="BG71" i="42"/>
  <c r="BG57" i="42"/>
  <c r="BG64" i="42"/>
  <c r="BG50" i="42"/>
  <c r="BG48" i="42" s="1"/>
  <c r="BG51" i="42"/>
  <c r="BG65" i="42"/>
  <c r="BG66" i="42"/>
  <c r="BG52" i="42"/>
  <c r="BG68" i="43"/>
  <c r="BG54" i="43"/>
  <c r="BG53" i="43"/>
  <c r="BG48" i="43" s="1"/>
  <c r="BG67" i="43"/>
  <c r="CY43" i="38"/>
  <c r="DM28" i="38"/>
  <c r="AA48" i="38"/>
  <c r="CY37" i="38"/>
  <c r="DM22" i="38"/>
  <c r="CJ48" i="38"/>
  <c r="CY40" i="38"/>
  <c r="DM4" i="38"/>
  <c r="F31" i="42"/>
  <c r="F45" i="29"/>
  <c r="U55" i="42"/>
  <c r="U69" i="42"/>
  <c r="U70" i="42"/>
  <c r="U56" i="42"/>
  <c r="U72" i="42"/>
  <c r="U58" i="42"/>
  <c r="U74" i="42"/>
  <c r="U60" i="42"/>
  <c r="U31" i="29"/>
  <c r="BJ76" i="42"/>
  <c r="BJ62" i="42"/>
  <c r="BJ59" i="42"/>
  <c r="BJ73" i="42"/>
  <c r="BJ48" i="41"/>
  <c r="AK48" i="29"/>
  <c r="BU48" i="42"/>
  <c r="BU31" i="42"/>
  <c r="CT63" i="30"/>
  <c r="AX50" i="32"/>
  <c r="BB50" i="32"/>
  <c r="AX52" i="32"/>
  <c r="BB52" i="32"/>
  <c r="AO63" i="32"/>
  <c r="BD61" i="43"/>
  <c r="BD75" i="43"/>
  <c r="AE45" i="41"/>
  <c r="AI74" i="32"/>
  <c r="AN57" i="32"/>
  <c r="AL57" i="32"/>
  <c r="N67" i="32"/>
  <c r="N68" i="32"/>
  <c r="C59" i="41"/>
  <c r="C3" i="43"/>
  <c r="AR3" i="32" s="1"/>
  <c r="D32" i="43"/>
  <c r="C64" i="29"/>
  <c r="D63" i="29"/>
  <c r="C63" i="29" s="1"/>
  <c r="BZ49" i="43"/>
  <c r="DV49" i="38" s="1"/>
  <c r="CA48" i="43"/>
  <c r="BZ48" i="43"/>
  <c r="H75" i="43"/>
  <c r="H61" i="43"/>
  <c r="H45" i="43"/>
  <c r="H52" i="43"/>
  <c r="H66" i="43"/>
  <c r="Z71" i="42"/>
  <c r="Z57" i="42"/>
  <c r="Z64" i="42"/>
  <c r="Z50" i="42"/>
  <c r="Z51" i="42"/>
  <c r="Z65" i="42"/>
  <c r="Z52" i="42"/>
  <c r="Z66" i="42"/>
  <c r="Z68" i="43"/>
  <c r="Z54" i="43"/>
  <c r="Z53" i="43"/>
  <c r="Z67" i="43"/>
  <c r="Z48" i="29"/>
  <c r="AB56" i="29"/>
  <c r="AS63" i="41"/>
  <c r="BR54" i="42"/>
  <c r="BR68" i="42"/>
  <c r="BR67" i="42"/>
  <c r="BR53" i="42"/>
  <c r="CQ63" i="30"/>
  <c r="CU75" i="38"/>
  <c r="CU61" i="38"/>
  <c r="DI18" i="38"/>
  <c r="AO74" i="38"/>
  <c r="AO60" i="38"/>
  <c r="BC12" i="38"/>
  <c r="AO49" i="38"/>
  <c r="AO48" i="38" s="1"/>
  <c r="BC23" i="38"/>
  <c r="CI48" i="38"/>
  <c r="DL13" i="38"/>
  <c r="CX33" i="38"/>
  <c r="CX74" i="38"/>
  <c r="CX60" i="38"/>
  <c r="DL12" i="38"/>
  <c r="EG60" i="38"/>
  <c r="EU60" i="38"/>
  <c r="EG64" i="38"/>
  <c r="EG63" i="38"/>
  <c r="EU64" i="38"/>
  <c r="G62" i="43"/>
  <c r="G76" i="43"/>
  <c r="G31" i="41"/>
  <c r="G73" i="43"/>
  <c r="G59" i="43"/>
  <c r="G48" i="43" s="1"/>
  <c r="G31" i="43"/>
  <c r="K63" i="37"/>
  <c r="BK71" i="43"/>
  <c r="BK57" i="43"/>
  <c r="BK64" i="43"/>
  <c r="BK50" i="43"/>
  <c r="BK48" i="43" s="1"/>
  <c r="BK51" i="43"/>
  <c r="BK65" i="43"/>
  <c r="BK66" i="43"/>
  <c r="BK52" i="43"/>
  <c r="N63" i="41"/>
  <c r="V45" i="29"/>
  <c r="X64" i="37"/>
  <c r="X63" i="37"/>
  <c r="BF64" i="16"/>
  <c r="BF63" i="16"/>
  <c r="D31" i="32"/>
  <c r="AN68" i="32"/>
  <c r="AL68" i="32"/>
  <c r="AL48" i="32"/>
  <c r="N74" i="32"/>
  <c r="AN73" i="32"/>
  <c r="AL73" i="32"/>
  <c r="AL72" i="32"/>
  <c r="AN72" i="32"/>
  <c r="BZ67" i="43"/>
  <c r="DV67" i="38" s="1"/>
  <c r="EJ67" i="38" s="1"/>
  <c r="H69" i="43"/>
  <c r="H55" i="43"/>
  <c r="H72" i="43"/>
  <c r="H58" i="43"/>
  <c r="H31" i="29"/>
  <c r="H31" i="41"/>
  <c r="H67" i="42"/>
  <c r="H53" i="42"/>
  <c r="S76" i="42"/>
  <c r="S62" i="42"/>
  <c r="S59" i="42"/>
  <c r="S73" i="42"/>
  <c r="Z55" i="43"/>
  <c r="Z69" i="43"/>
  <c r="Z56" i="43"/>
  <c r="Z70" i="43"/>
  <c r="Z58" i="43"/>
  <c r="Z72" i="43"/>
  <c r="Z74" i="43"/>
  <c r="Z60" i="43"/>
  <c r="CT48" i="43"/>
  <c r="AX48" i="43"/>
  <c r="CS48" i="43"/>
  <c r="CU48" i="43"/>
  <c r="CO48" i="43"/>
  <c r="AL48" i="43"/>
  <c r="CG48" i="43"/>
  <c r="AG48" i="43"/>
  <c r="CJ48" i="43"/>
  <c r="AF48" i="43"/>
  <c r="D63" i="37"/>
  <c r="BC57" i="42"/>
  <c r="BC71" i="42"/>
  <c r="BC64" i="42"/>
  <c r="BC50" i="42"/>
  <c r="BC48" i="42" s="1"/>
  <c r="BC65" i="42"/>
  <c r="BC51" i="42"/>
  <c r="BC66" i="42"/>
  <c r="BC52" i="42"/>
  <c r="BC54" i="43"/>
  <c r="BC68" i="43"/>
  <c r="BC53" i="43"/>
  <c r="BC67" i="43"/>
  <c r="BA53" i="29"/>
  <c r="AJ74" i="16"/>
  <c r="S31" i="42"/>
  <c r="S63" i="29"/>
  <c r="Z76" i="43"/>
  <c r="Z62" i="43"/>
  <c r="Z59" i="43"/>
  <c r="Z73" i="43"/>
  <c r="Z31" i="43"/>
  <c r="Z63" i="29"/>
  <c r="CW63" i="43"/>
  <c r="AW63" i="43"/>
  <c r="AE63" i="43"/>
  <c r="AV63" i="43"/>
  <c r="AQ63" i="43"/>
  <c r="AK63" i="43"/>
  <c r="CN63" i="43"/>
  <c r="AJ63" i="43"/>
  <c r="AS63" i="43"/>
  <c r="CL63" i="43"/>
  <c r="AO63" i="43"/>
  <c r="CR63" i="43"/>
  <c r="AN63" i="43"/>
  <c r="AJ53" i="16"/>
  <c r="BC69" i="43"/>
  <c r="BC55" i="43"/>
  <c r="BC56" i="43"/>
  <c r="BC70" i="43"/>
  <c r="BC58" i="43"/>
  <c r="BC72" i="43"/>
  <c r="BC60" i="43"/>
  <c r="BC74" i="43"/>
  <c r="BR76" i="42"/>
  <c r="BR62" i="42"/>
  <c r="BR73" i="42"/>
  <c r="BR59" i="42"/>
  <c r="AS63" i="29"/>
  <c r="EL48" i="38"/>
  <c r="BC15" i="38"/>
  <c r="AO44" i="38"/>
  <c r="CU76" i="38"/>
  <c r="DI27" i="38"/>
  <c r="CU62" i="38"/>
  <c r="BE63" i="32"/>
  <c r="BN69" i="43"/>
  <c r="BN55" i="43"/>
  <c r="BN72" i="43"/>
  <c r="BN58" i="43"/>
  <c r="AO31" i="29"/>
  <c r="AO63" i="41"/>
  <c r="BN57" i="42"/>
  <c r="BN71" i="42"/>
  <c r="EX54" i="38"/>
  <c r="EX68" i="38"/>
  <c r="FA58" i="38"/>
  <c r="FC58" i="38"/>
  <c r="FC50" i="38"/>
  <c r="FA50" i="38"/>
  <c r="FC55" i="38"/>
  <c r="FA55" i="38"/>
  <c r="J63" i="41"/>
  <c r="X63" i="41"/>
  <c r="X31" i="29"/>
  <c r="X48" i="29"/>
  <c r="X45" i="42"/>
  <c r="AV48" i="38"/>
  <c r="BY31" i="42"/>
  <c r="BY75" i="42"/>
  <c r="BY61" i="42"/>
  <c r="AZ31" i="29"/>
  <c r="AM31" i="29"/>
  <c r="BP75" i="43"/>
  <c r="BP61" i="43"/>
  <c r="BT62" i="42"/>
  <c r="BT76" i="42"/>
  <c r="BT59" i="42"/>
  <c r="BT73" i="42"/>
  <c r="BT63" i="29"/>
  <c r="CT42" i="38"/>
  <c r="DH19" i="38"/>
  <c r="CE64" i="38"/>
  <c r="CE63" i="38"/>
  <c r="CT44" i="38"/>
  <c r="DH15" i="38"/>
  <c r="ET63" i="38"/>
  <c r="ET64" i="38"/>
  <c r="AW34" i="38"/>
  <c r="BK14" i="38"/>
  <c r="AI64" i="38"/>
  <c r="AI63" i="38"/>
  <c r="BK29" i="38"/>
  <c r="AW71" i="38"/>
  <c r="AW57" i="38"/>
  <c r="AW40" i="38"/>
  <c r="BK4" i="38"/>
  <c r="AW62" i="16"/>
  <c r="AW76" i="16"/>
  <c r="AU76" i="16"/>
  <c r="AU62" i="16"/>
  <c r="AS63" i="16"/>
  <c r="AW54" i="16"/>
  <c r="AW68" i="16"/>
  <c r="AI31" i="16"/>
  <c r="AU70" i="16"/>
  <c r="AU56" i="16"/>
  <c r="AX70" i="16"/>
  <c r="AX56" i="16"/>
  <c r="L64" i="37"/>
  <c r="L63" i="37"/>
  <c r="BG64" i="37"/>
  <c r="BG63" i="37"/>
  <c r="DI30" i="38"/>
  <c r="CU35" i="38"/>
  <c r="AO34" i="38"/>
  <c r="BC14" i="38"/>
  <c r="BC2" i="38"/>
  <c r="AO38" i="38"/>
  <c r="CU70" i="38"/>
  <c r="CU56" i="38"/>
  <c r="DI20" i="38"/>
  <c r="F45" i="38"/>
  <c r="T48" i="32"/>
  <c r="AF48" i="32"/>
  <c r="M48" i="41"/>
  <c r="M31" i="41"/>
  <c r="BH75" i="43"/>
  <c r="BH61" i="43"/>
  <c r="CN63" i="42"/>
  <c r="BO76" i="42"/>
  <c r="BO62" i="42"/>
  <c r="BO73" i="42"/>
  <c r="BO59" i="42"/>
  <c r="BV75" i="42"/>
  <c r="BV61" i="42"/>
  <c r="BV50" i="43"/>
  <c r="BV48" i="43" s="1"/>
  <c r="BV64" i="43"/>
  <c r="BV66" i="43"/>
  <c r="BV52" i="43"/>
  <c r="BV68" i="43"/>
  <c r="BV54" i="43"/>
  <c r="CZ75" i="38"/>
  <c r="CZ61" i="38"/>
  <c r="DN18" i="38"/>
  <c r="AT39" i="38"/>
  <c r="BH11" i="38"/>
  <c r="CZ40" i="38"/>
  <c r="DN4" i="38"/>
  <c r="DN14" i="38"/>
  <c r="CZ34" i="38"/>
  <c r="AF63" i="38"/>
  <c r="AF64" i="38"/>
  <c r="J74" i="16"/>
  <c r="M74" i="16"/>
  <c r="J70" i="16"/>
  <c r="M70" i="16"/>
  <c r="F60" i="16"/>
  <c r="J51" i="37"/>
  <c r="M51" i="37"/>
  <c r="M67" i="37"/>
  <c r="J67" i="37"/>
  <c r="M69" i="37"/>
  <c r="J69" i="37"/>
  <c r="F70" i="37"/>
  <c r="AB56" i="42"/>
  <c r="L56" i="32" s="1"/>
  <c r="P56" i="32" s="1"/>
  <c r="AA48" i="41"/>
  <c r="AA31" i="42"/>
  <c r="AW63" i="30"/>
  <c r="AM63" i="30"/>
  <c r="AG63" i="30"/>
  <c r="AX63" i="30"/>
  <c r="AL63" i="30"/>
  <c r="R61" i="43"/>
  <c r="R75" i="43"/>
  <c r="BZ72" i="42"/>
  <c r="BP72" i="38" s="1"/>
  <c r="CD72" i="38" s="1"/>
  <c r="BB31" i="41"/>
  <c r="BA32" i="41"/>
  <c r="N32" i="38" s="1"/>
  <c r="BA31" i="41"/>
  <c r="C76" i="38"/>
  <c r="C62" i="38"/>
  <c r="AB73" i="41"/>
  <c r="C31" i="38"/>
  <c r="BB45" i="41"/>
  <c r="BA46" i="41"/>
  <c r="N46" i="38" s="1"/>
  <c r="BA45" i="41"/>
  <c r="BA51" i="41"/>
  <c r="N51" i="38" s="1"/>
  <c r="Y51" i="38" s="1"/>
  <c r="BA66" i="41"/>
  <c r="N66" i="38" s="1"/>
  <c r="Y66" i="38" s="1"/>
  <c r="BA32" i="29"/>
  <c r="BA31" i="29"/>
  <c r="BB31" i="29"/>
  <c r="BA52" i="29"/>
  <c r="BA76" i="29"/>
  <c r="BA71" i="29"/>
  <c r="BF71" i="42"/>
  <c r="BF57" i="42"/>
  <c r="BF51" i="42"/>
  <c r="BF65" i="42"/>
  <c r="BF53" i="43"/>
  <c r="BF67" i="43"/>
  <c r="AG48" i="29"/>
  <c r="BI69" i="43"/>
  <c r="BI55" i="43"/>
  <c r="BI70" i="43"/>
  <c r="BI56" i="43"/>
  <c r="BI72" i="43"/>
  <c r="BI58" i="43"/>
  <c r="BI74" i="43"/>
  <c r="BI60" i="43"/>
  <c r="BI63" i="29"/>
  <c r="BM61" i="43"/>
  <c r="BM75" i="43"/>
  <c r="BQ75" i="43"/>
  <c r="BQ61" i="43"/>
  <c r="BX63" i="41"/>
  <c r="BD30" i="38"/>
  <c r="AP35" i="38"/>
  <c r="AP37" i="38"/>
  <c r="BD22" i="38"/>
  <c r="DJ13" i="38"/>
  <c r="CV33" i="38"/>
  <c r="CV56" i="38"/>
  <c r="DJ20" i="38"/>
  <c r="CV70" i="38"/>
  <c r="AP73" i="38"/>
  <c r="BD7" i="38"/>
  <c r="AP59" i="38"/>
  <c r="AC63" i="38"/>
  <c r="AC64" i="38"/>
  <c r="DK21" i="38"/>
  <c r="CW51" i="38"/>
  <c r="CW65" i="38"/>
  <c r="BE18" i="38"/>
  <c r="AQ75" i="38"/>
  <c r="AQ61" i="38"/>
  <c r="EN63" i="38"/>
  <c r="EN64" i="38"/>
  <c r="AU72" i="38"/>
  <c r="AU58" i="38"/>
  <c r="BI16" i="38"/>
  <c r="DA38" i="38"/>
  <c r="DO2" i="38"/>
  <c r="DA50" i="38"/>
  <c r="DO25" i="38"/>
  <c r="DA64" i="38"/>
  <c r="AU76" i="38"/>
  <c r="BI27" i="38"/>
  <c r="AU62" i="38"/>
  <c r="AU47" i="38"/>
  <c r="BI6" i="38"/>
  <c r="E61" i="42"/>
  <c r="E75" i="42"/>
  <c r="I62" i="42"/>
  <c r="I76" i="42"/>
  <c r="I73" i="42"/>
  <c r="I59" i="42"/>
  <c r="P71" i="43"/>
  <c r="P57" i="43"/>
  <c r="P65" i="43"/>
  <c r="P51" i="43"/>
  <c r="T75" i="43"/>
  <c r="T61" i="43"/>
  <c r="W76" i="43"/>
  <c r="W62" i="43"/>
  <c r="W73" i="43"/>
  <c r="W59" i="43"/>
  <c r="W31" i="43"/>
  <c r="AI64" i="32"/>
  <c r="AG63" i="32"/>
  <c r="AI54" i="32"/>
  <c r="AI53" i="32"/>
  <c r="N61" i="32"/>
  <c r="Q61" i="32"/>
  <c r="AN55" i="32"/>
  <c r="AL55" i="32"/>
  <c r="AL51" i="32"/>
  <c r="AN51" i="32"/>
  <c r="N70" i="32"/>
  <c r="Q70" i="32"/>
  <c r="N73" i="32"/>
  <c r="G69" i="32"/>
  <c r="G55" i="32"/>
  <c r="C56" i="41"/>
  <c r="D72" i="43"/>
  <c r="C16" i="43"/>
  <c r="AR16" i="32" s="1"/>
  <c r="D58" i="43"/>
  <c r="C16" i="42"/>
  <c r="F16" i="32" s="1"/>
  <c r="D72" i="42"/>
  <c r="D58" i="42"/>
  <c r="C58" i="42" s="1"/>
  <c r="C12" i="42"/>
  <c r="F12" i="32" s="1"/>
  <c r="D60" i="42"/>
  <c r="D74" i="42"/>
  <c r="D41" i="42"/>
  <c r="C41" i="42" s="1"/>
  <c r="C8" i="42"/>
  <c r="F8" i="32" s="1"/>
  <c r="D40" i="42"/>
  <c r="C40" i="42" s="1"/>
  <c r="C4" i="42"/>
  <c r="F4" i="32" s="1"/>
  <c r="C53" i="29"/>
  <c r="C39" i="29"/>
  <c r="C58" i="29"/>
  <c r="C56" i="29"/>
  <c r="C69" i="29"/>
  <c r="AB51" i="43"/>
  <c r="AW51" i="32" s="1"/>
  <c r="BA51" i="32" s="1"/>
  <c r="BZ66" i="43"/>
  <c r="DV66" i="38" s="1"/>
  <c r="EJ66" i="38" s="1"/>
  <c r="AB50" i="43"/>
  <c r="AW50" i="32" s="1"/>
  <c r="BA50" i="32" s="1"/>
  <c r="AW46" i="32"/>
  <c r="AW44" i="32"/>
  <c r="H65" i="42"/>
  <c r="H51" i="42"/>
  <c r="K71" i="42"/>
  <c r="K57" i="42"/>
  <c r="K64" i="42"/>
  <c r="K50" i="42"/>
  <c r="K51" i="42"/>
  <c r="K65" i="42"/>
  <c r="K52" i="42"/>
  <c r="K48" i="42" s="1"/>
  <c r="K66" i="42"/>
  <c r="K63" i="42" s="1"/>
  <c r="K68" i="43"/>
  <c r="K54" i="43"/>
  <c r="K53" i="43"/>
  <c r="K48" i="43" s="1"/>
  <c r="K67" i="43"/>
  <c r="K63" i="29"/>
  <c r="S63" i="41"/>
  <c r="Z75" i="42"/>
  <c r="Z61" i="42"/>
  <c r="AJ64" i="37"/>
  <c r="CG63" i="42"/>
  <c r="AI63" i="41"/>
  <c r="BH68" i="42"/>
  <c r="BH54" i="42"/>
  <c r="BH53" i="42"/>
  <c r="BH48" i="42" s="1"/>
  <c r="BH67" i="42"/>
  <c r="CG63" i="30"/>
  <c r="BO61" i="42"/>
  <c r="BO75" i="42"/>
  <c r="AP31" i="29"/>
  <c r="BV55" i="43"/>
  <c r="BV69" i="43"/>
  <c r="BV58" i="43"/>
  <c r="BV72" i="43"/>
  <c r="CU63" i="30"/>
  <c r="CZ41" i="38"/>
  <c r="DN8" i="38"/>
  <c r="DN21" i="38"/>
  <c r="CZ51" i="38"/>
  <c r="CZ65" i="38"/>
  <c r="CZ54" i="38"/>
  <c r="DN9" i="38"/>
  <c r="CZ68" i="38"/>
  <c r="CK63" i="38"/>
  <c r="CK64" i="38"/>
  <c r="F50" i="16"/>
  <c r="F68" i="16"/>
  <c r="F46" i="16"/>
  <c r="F45" i="16" s="1"/>
  <c r="C45" i="16"/>
  <c r="F53" i="16"/>
  <c r="F76" i="37"/>
  <c r="F61" i="37"/>
  <c r="F46" i="37"/>
  <c r="F45" i="37" s="1"/>
  <c r="C45" i="37"/>
  <c r="F65" i="37"/>
  <c r="F53" i="37"/>
  <c r="M50" i="37"/>
  <c r="J50" i="37"/>
  <c r="AB68" i="42"/>
  <c r="L68" i="32" s="1"/>
  <c r="P68" i="32" s="1"/>
  <c r="AG48" i="42"/>
  <c r="AX48" i="42"/>
  <c r="AD48" i="42"/>
  <c r="AI48" i="42"/>
  <c r="AY48" i="42"/>
  <c r="AR48" i="42"/>
  <c r="AA75" i="43"/>
  <c r="AA61" i="43"/>
  <c r="AZ48" i="43"/>
  <c r="R63" i="41"/>
  <c r="BZ32" i="42"/>
  <c r="BP32" i="38" s="1"/>
  <c r="BZ31" i="42"/>
  <c r="CA31" i="42"/>
  <c r="BA22" i="42"/>
  <c r="AM22" i="38" s="1"/>
  <c r="BB37" i="42"/>
  <c r="BA37" i="42" s="1"/>
  <c r="AB61" i="41"/>
  <c r="BA14" i="43"/>
  <c r="CS14" i="38" s="1"/>
  <c r="BB34" i="43"/>
  <c r="BA34" i="43" s="1"/>
  <c r="BA10" i="43"/>
  <c r="CS10" i="38" s="1"/>
  <c r="BB46" i="43"/>
  <c r="BB47" i="43"/>
  <c r="BA47" i="43" s="1"/>
  <c r="BA6" i="43"/>
  <c r="CS6" i="38" s="1"/>
  <c r="BA2" i="43"/>
  <c r="CS2" i="38" s="1"/>
  <c r="BB38" i="43"/>
  <c r="BA38" i="43" s="1"/>
  <c r="BA68" i="41"/>
  <c r="N68" i="38" s="1"/>
  <c r="Y68" i="38" s="1"/>
  <c r="BA50" i="41"/>
  <c r="N50" i="38" s="1"/>
  <c r="Y50" i="38" s="1"/>
  <c r="BA70" i="41"/>
  <c r="N70" i="38" s="1"/>
  <c r="Y70" i="38" s="1"/>
  <c r="AB40" i="29"/>
  <c r="BA12" i="30"/>
  <c r="BA14" i="30"/>
  <c r="AB69" i="29"/>
  <c r="BA30" i="30"/>
  <c r="AB67" i="29"/>
  <c r="CE63" i="42"/>
  <c r="BM57" i="42"/>
  <c r="BM71" i="42"/>
  <c r="BM64" i="42"/>
  <c r="BM50" i="42"/>
  <c r="BM48" i="42" s="1"/>
  <c r="BM65" i="42"/>
  <c r="BM51" i="42"/>
  <c r="BM52" i="42"/>
  <c r="BM66" i="42"/>
  <c r="BM54" i="43"/>
  <c r="BM68" i="43"/>
  <c r="BM53" i="43"/>
  <c r="BM48" i="43" s="1"/>
  <c r="BM67" i="43"/>
  <c r="AN48" i="29"/>
  <c r="BQ71" i="42"/>
  <c r="BQ57" i="42"/>
  <c r="BQ50" i="42"/>
  <c r="BQ48" i="42" s="1"/>
  <c r="BQ64" i="42"/>
  <c r="BQ51" i="42"/>
  <c r="BQ65" i="42"/>
  <c r="BQ52" i="42"/>
  <c r="BQ66" i="42"/>
  <c r="BQ54" i="43"/>
  <c r="BQ68" i="43"/>
  <c r="BQ67" i="43"/>
  <c r="BQ53" i="43"/>
  <c r="BQ48" i="43" s="1"/>
  <c r="BX76" i="42"/>
  <c r="BX62" i="42"/>
  <c r="BX59" i="42"/>
  <c r="BX73" i="42"/>
  <c r="BY45" i="41"/>
  <c r="CV57" i="38"/>
  <c r="DJ29" i="38"/>
  <c r="CV71" i="38"/>
  <c r="AP44" i="38"/>
  <c r="BD15" i="38"/>
  <c r="CV40" i="38"/>
  <c r="DJ4" i="38"/>
  <c r="AP67" i="38"/>
  <c r="AP53" i="38"/>
  <c r="BD5" i="38"/>
  <c r="DK10" i="38"/>
  <c r="CW46" i="38"/>
  <c r="CW45" i="38" s="1"/>
  <c r="AQ54" i="38"/>
  <c r="BE9" i="38"/>
  <c r="AQ68" i="38"/>
  <c r="CW40" i="38"/>
  <c r="DK4" i="38"/>
  <c r="AQ35" i="38"/>
  <c r="BE30" i="38"/>
  <c r="DK15" i="38"/>
  <c r="CW44" i="38"/>
  <c r="AU57" i="38"/>
  <c r="BI29" i="38"/>
  <c r="AU71" i="38"/>
  <c r="ER48" i="38"/>
  <c r="AU60" i="38"/>
  <c r="BI12" i="38"/>
  <c r="AU74" i="38"/>
  <c r="BI23" i="38"/>
  <c r="AU49" i="38"/>
  <c r="E57" i="42"/>
  <c r="E71" i="42"/>
  <c r="E64" i="42"/>
  <c r="E50" i="42"/>
  <c r="E65" i="42"/>
  <c r="E51" i="42"/>
  <c r="E66" i="42"/>
  <c r="E52" i="42"/>
  <c r="E54" i="43"/>
  <c r="E68" i="43"/>
  <c r="E67" i="43"/>
  <c r="E53" i="43"/>
  <c r="E48" i="43" s="1"/>
  <c r="C55" i="29"/>
  <c r="L76" i="42"/>
  <c r="L62" i="42"/>
  <c r="L59" i="42"/>
  <c r="L73" i="42"/>
  <c r="L63" i="29"/>
  <c r="P75" i="43"/>
  <c r="P61" i="43"/>
  <c r="P62" i="43"/>
  <c r="P76" i="43"/>
  <c r="P31" i="41"/>
  <c r="T71" i="42"/>
  <c r="T57" i="42"/>
  <c r="T64" i="42"/>
  <c r="T50" i="42"/>
  <c r="T65" i="42"/>
  <c r="T51" i="42"/>
  <c r="T66" i="42"/>
  <c r="T52" i="42"/>
  <c r="T48" i="42" s="1"/>
  <c r="T68" i="43"/>
  <c r="T54" i="43"/>
  <c r="T48" i="43" s="1"/>
  <c r="T67" i="43"/>
  <c r="T53" i="43"/>
  <c r="P63" i="41"/>
  <c r="T56" i="43"/>
  <c r="T70" i="43"/>
  <c r="T60" i="43"/>
  <c r="T74" i="43"/>
  <c r="W31" i="41"/>
  <c r="CB63" i="42"/>
  <c r="BC76" i="42"/>
  <c r="BC62" i="42"/>
  <c r="BC73" i="42"/>
  <c r="BC59" i="42"/>
  <c r="BR61" i="43"/>
  <c r="BR48" i="43" s="1"/>
  <c r="BR75" i="43"/>
  <c r="BR63" i="29"/>
  <c r="CU69" i="38"/>
  <c r="CU55" i="38"/>
  <c r="DI24" i="38"/>
  <c r="CU41" i="38"/>
  <c r="DI8" i="38"/>
  <c r="AO64" i="38"/>
  <c r="AO50" i="38"/>
  <c r="BC25" i="38"/>
  <c r="BC3" i="38"/>
  <c r="AO32" i="38"/>
  <c r="AO33" i="38"/>
  <c r="BC13" i="38"/>
  <c r="BC21" i="38"/>
  <c r="AO65" i="38"/>
  <c r="AO51" i="38"/>
  <c r="AO39" i="38"/>
  <c r="BC11" i="38"/>
  <c r="M57" i="42"/>
  <c r="M71" i="42"/>
  <c r="M64" i="42"/>
  <c r="M50" i="42"/>
  <c r="M65" i="42"/>
  <c r="M51" i="42"/>
  <c r="M66" i="42"/>
  <c r="M63" i="42" s="1"/>
  <c r="M52" i="42"/>
  <c r="M48" i="42" s="1"/>
  <c r="M68" i="43"/>
  <c r="M54" i="43"/>
  <c r="M53" i="43"/>
  <c r="M67" i="43"/>
  <c r="BH69" i="42"/>
  <c r="BH55" i="42"/>
  <c r="BH70" i="42"/>
  <c r="BH56" i="42"/>
  <c r="BH58" i="42"/>
  <c r="BH72" i="42"/>
  <c r="BH74" i="42"/>
  <c r="BH60" i="42"/>
  <c r="BO71" i="42"/>
  <c r="BO57" i="42"/>
  <c r="BO64" i="42"/>
  <c r="BO63" i="42" s="1"/>
  <c r="BO50" i="42"/>
  <c r="BO48" i="42" s="1"/>
  <c r="BO51" i="42"/>
  <c r="BO65" i="42"/>
  <c r="BO52" i="42"/>
  <c r="BO66" i="42"/>
  <c r="BO68" i="43"/>
  <c r="BO54" i="43"/>
  <c r="BO67" i="43"/>
  <c r="BO53" i="43"/>
  <c r="AP48" i="29"/>
  <c r="BV71" i="43"/>
  <c r="BV57" i="43"/>
  <c r="BV65" i="43"/>
  <c r="BV51" i="43"/>
  <c r="CZ36" i="38"/>
  <c r="DN26" i="38"/>
  <c r="BH23" i="38"/>
  <c r="AT49" i="38"/>
  <c r="DN13" i="38"/>
  <c r="CZ33" i="38"/>
  <c r="AT46" i="38"/>
  <c r="AT45" i="38" s="1"/>
  <c r="BH10" i="38"/>
  <c r="F73" i="16"/>
  <c r="F75" i="16"/>
  <c r="J48" i="16"/>
  <c r="F52" i="16"/>
  <c r="F69" i="16"/>
  <c r="J52" i="37"/>
  <c r="M52" i="37"/>
  <c r="F73" i="37"/>
  <c r="J60" i="37"/>
  <c r="M60" i="37"/>
  <c r="F55" i="37"/>
  <c r="AB72" i="42"/>
  <c r="L72" i="32" s="1"/>
  <c r="P72" i="32" s="1"/>
  <c r="AB74" i="42"/>
  <c r="L74" i="32" s="1"/>
  <c r="P74" i="32" s="1"/>
  <c r="AA71" i="43"/>
  <c r="AA57" i="43"/>
  <c r="AA64" i="43"/>
  <c r="AA50" i="43"/>
  <c r="AA48" i="43" s="1"/>
  <c r="AA51" i="43"/>
  <c r="AA65" i="43"/>
  <c r="AA66" i="43"/>
  <c r="AA52" i="43"/>
  <c r="R63" i="29"/>
  <c r="BZ61" i="42"/>
  <c r="BP61" i="38" s="1"/>
  <c r="CD61" i="38" s="1"/>
  <c r="BA53" i="41"/>
  <c r="N53" i="38" s="1"/>
  <c r="Y53" i="38" s="1"/>
  <c r="AB71" i="41"/>
  <c r="C64" i="38"/>
  <c r="C50" i="38"/>
  <c r="AB51" i="41"/>
  <c r="BB66" i="43"/>
  <c r="BA17" i="43"/>
  <c r="CS17" i="38" s="1"/>
  <c r="BB52" i="43"/>
  <c r="BA52" i="43" s="1"/>
  <c r="BB52" i="42"/>
  <c r="BB66" i="42"/>
  <c r="BA66" i="42" s="1"/>
  <c r="BA17" i="42"/>
  <c r="AM17" i="38" s="1"/>
  <c r="AB33" i="41"/>
  <c r="C68" i="38"/>
  <c r="C54" i="38"/>
  <c r="C48" i="38" s="1"/>
  <c r="AB67" i="41"/>
  <c r="BA71" i="41"/>
  <c r="N71" i="38" s="1"/>
  <c r="Y71" i="38" s="1"/>
  <c r="BA72" i="29"/>
  <c r="BA75" i="29"/>
  <c r="BA69" i="29"/>
  <c r="N69" i="18" s="1"/>
  <c r="Y69" i="18" s="1"/>
  <c r="BA45" i="29"/>
  <c r="BB45" i="29"/>
  <c r="BA46" i="29"/>
  <c r="BZ46" i="43"/>
  <c r="DV46" i="38" s="1"/>
  <c r="CA45" i="43"/>
  <c r="BZ45" i="43"/>
  <c r="BF61" i="42"/>
  <c r="BF75" i="42"/>
  <c r="CH63" i="42"/>
  <c r="BM55" i="43"/>
  <c r="BM69" i="43"/>
  <c r="BM56" i="43"/>
  <c r="BM70" i="43"/>
  <c r="BM58" i="43"/>
  <c r="BM72" i="43"/>
  <c r="BM74" i="43"/>
  <c r="BM60" i="43"/>
  <c r="BQ55" i="42"/>
  <c r="BQ69" i="42"/>
  <c r="BQ70" i="42"/>
  <c r="BQ56" i="42"/>
  <c r="BQ72" i="42"/>
  <c r="BQ58" i="42"/>
  <c r="BQ74" i="42"/>
  <c r="BQ60" i="42"/>
  <c r="BD23" i="38"/>
  <c r="AP49" i="38"/>
  <c r="AP48" i="38" s="1"/>
  <c r="BD12" i="38"/>
  <c r="AP74" i="38"/>
  <c r="AP60" i="38"/>
  <c r="BD2" i="38"/>
  <c r="AP38" i="38"/>
  <c r="CG64" i="38"/>
  <c r="CG63" i="38"/>
  <c r="CW36" i="38"/>
  <c r="DK26" i="38"/>
  <c r="AQ33" i="38"/>
  <c r="BE13" i="38"/>
  <c r="BE7" i="38"/>
  <c r="AQ73" i="38"/>
  <c r="AQ59" i="38"/>
  <c r="BE14" i="38"/>
  <c r="AQ34" i="38"/>
  <c r="EN48" i="38"/>
  <c r="DK27" i="38"/>
  <c r="CW76" i="38"/>
  <c r="CW62" i="38"/>
  <c r="BE16" i="38"/>
  <c r="AQ72" i="38"/>
  <c r="AQ58" i="38"/>
  <c r="AU36" i="38"/>
  <c r="BI26" i="38"/>
  <c r="DA44" i="38"/>
  <c r="DO15" i="38"/>
  <c r="BI11" i="38"/>
  <c r="AU39" i="38"/>
  <c r="E55" i="42"/>
  <c r="E69" i="42"/>
  <c r="E70" i="42"/>
  <c r="E56" i="42"/>
  <c r="E58" i="42"/>
  <c r="E72" i="42"/>
  <c r="E74" i="42"/>
  <c r="E60" i="42"/>
  <c r="E31" i="29"/>
  <c r="I71" i="43"/>
  <c r="I57" i="43"/>
  <c r="I64" i="43"/>
  <c r="I63" i="43" s="1"/>
  <c r="I50" i="43"/>
  <c r="I48" i="43" s="1"/>
  <c r="I51" i="43"/>
  <c r="I65" i="43"/>
  <c r="I52" i="43"/>
  <c r="I66" i="43"/>
  <c r="P55" i="42"/>
  <c r="P69" i="42"/>
  <c r="P58" i="42"/>
  <c r="P48" i="42" s="1"/>
  <c r="P72" i="42"/>
  <c r="P45" i="29"/>
  <c r="P52" i="42"/>
  <c r="P66" i="42"/>
  <c r="P63" i="42" s="1"/>
  <c r="T69" i="42"/>
  <c r="T55" i="42"/>
  <c r="T58" i="42"/>
  <c r="T72" i="42"/>
  <c r="M63" i="29"/>
  <c r="BH62" i="42"/>
  <c r="BH76" i="42"/>
  <c r="BH59" i="42"/>
  <c r="BH73" i="42"/>
  <c r="AI63" i="29"/>
  <c r="BO69" i="43"/>
  <c r="BO55" i="43"/>
  <c r="BO70" i="43"/>
  <c r="BO56" i="43"/>
  <c r="BO58" i="43"/>
  <c r="BO72" i="43"/>
  <c r="BO60" i="43"/>
  <c r="BO74" i="43"/>
  <c r="BV56" i="42"/>
  <c r="BV70" i="42"/>
  <c r="BV74" i="42"/>
  <c r="BV60" i="42"/>
  <c r="BV62" i="43"/>
  <c r="BV76" i="43"/>
  <c r="AW31" i="41"/>
  <c r="BH19" i="38"/>
  <c r="AT42" i="38"/>
  <c r="AT72" i="38"/>
  <c r="AT63" i="38" s="1"/>
  <c r="BH16" i="38"/>
  <c r="AT58" i="38"/>
  <c r="DN2" i="38"/>
  <c r="CZ38" i="38"/>
  <c r="F70" i="16"/>
  <c r="M64" i="16"/>
  <c r="J63" i="16"/>
  <c r="J64" i="16"/>
  <c r="M63" i="16"/>
  <c r="J51" i="16"/>
  <c r="M51" i="16"/>
  <c r="F57" i="37"/>
  <c r="F64" i="37"/>
  <c r="M61" i="37"/>
  <c r="J61" i="37"/>
  <c r="F52" i="37"/>
  <c r="F68" i="37"/>
  <c r="J48" i="37"/>
  <c r="AB59" i="42"/>
  <c r="L59" i="32" s="1"/>
  <c r="P59" i="32" s="1"/>
  <c r="AB73" i="42"/>
  <c r="L73" i="32" s="1"/>
  <c r="P73" i="32" s="1"/>
  <c r="AB57" i="42"/>
  <c r="L57" i="32" s="1"/>
  <c r="P57" i="32" s="1"/>
  <c r="AB71" i="42"/>
  <c r="L71" i="32" s="1"/>
  <c r="P71" i="32" s="1"/>
  <c r="AD63" i="42"/>
  <c r="AL63" i="42"/>
  <c r="AB50" i="42"/>
  <c r="L50" i="32" s="1"/>
  <c r="P50" i="32" s="1"/>
  <c r="AN63" i="42"/>
  <c r="AQ63" i="42"/>
  <c r="AG63" i="42"/>
  <c r="AB51" i="42"/>
  <c r="L51" i="32" s="1"/>
  <c r="P51" i="32" s="1"/>
  <c r="AB65" i="42"/>
  <c r="L65" i="32" s="1"/>
  <c r="P65" i="32" s="1"/>
  <c r="AA55" i="43"/>
  <c r="AA69" i="43"/>
  <c r="AA70" i="43"/>
  <c r="AA56" i="43"/>
  <c r="AA58" i="43"/>
  <c r="AA72" i="43"/>
  <c r="AA60" i="43"/>
  <c r="AA74" i="43"/>
  <c r="C40" i="41"/>
  <c r="CX63" i="43"/>
  <c r="AW48" i="30"/>
  <c r="AY48" i="30"/>
  <c r="AN48" i="30"/>
  <c r="AM48" i="30"/>
  <c r="AH48" i="30"/>
  <c r="R76" i="43"/>
  <c r="R62" i="43"/>
  <c r="R48" i="43"/>
  <c r="R73" i="43"/>
  <c r="R59" i="43"/>
  <c r="R31" i="43"/>
  <c r="BZ50" i="42"/>
  <c r="BP50" i="38" s="1"/>
  <c r="CD50" i="38" s="1"/>
  <c r="BZ51" i="42"/>
  <c r="BP51" i="38" s="1"/>
  <c r="CD51" i="38" s="1"/>
  <c r="BZ68" i="42"/>
  <c r="BP68" i="38" s="1"/>
  <c r="CD68" i="38" s="1"/>
  <c r="BB43" i="43"/>
  <c r="BA43" i="43" s="1"/>
  <c r="BA28" i="43"/>
  <c r="CS28" i="38" s="1"/>
  <c r="BB69" i="43"/>
  <c r="BB55" i="43"/>
  <c r="BA55" i="43" s="1"/>
  <c r="BA24" i="43"/>
  <c r="CS24" i="38" s="1"/>
  <c r="BB69" i="42"/>
  <c r="BA69" i="42" s="1"/>
  <c r="BA24" i="42"/>
  <c r="AM24" i="38" s="1"/>
  <c r="BB55" i="42"/>
  <c r="BA55" i="42" s="1"/>
  <c r="BA20" i="42"/>
  <c r="AM20" i="38" s="1"/>
  <c r="BB56" i="42"/>
  <c r="BA56" i="42" s="1"/>
  <c r="BB70" i="42"/>
  <c r="BA70" i="42" s="1"/>
  <c r="C58" i="38"/>
  <c r="C72" i="38"/>
  <c r="AB60" i="41"/>
  <c r="BA8" i="43"/>
  <c r="CS8" i="38" s="1"/>
  <c r="BB41" i="43"/>
  <c r="BA41" i="43" s="1"/>
  <c r="BB40" i="43"/>
  <c r="BA40" i="43" s="1"/>
  <c r="BA4" i="43"/>
  <c r="CS4" i="38" s="1"/>
  <c r="BA76" i="41"/>
  <c r="N76" i="38" s="1"/>
  <c r="Y76" i="38" s="1"/>
  <c r="BA75" i="41"/>
  <c r="N75" i="38" s="1"/>
  <c r="Y75" i="38" s="1"/>
  <c r="AC45" i="29"/>
  <c r="AB46" i="29"/>
  <c r="BA15" i="30"/>
  <c r="AB65" i="29"/>
  <c r="AB49" i="29"/>
  <c r="AC48" i="29"/>
  <c r="AB48" i="29" s="1"/>
  <c r="AC63" i="29"/>
  <c r="AB63" i="29" s="1"/>
  <c r="AB64" i="29"/>
  <c r="AB62" i="29"/>
  <c r="AB57" i="29"/>
  <c r="BF55" i="42"/>
  <c r="BF69" i="42"/>
  <c r="BF58" i="42"/>
  <c r="BF72" i="42"/>
  <c r="BI71" i="42"/>
  <c r="BI57" i="42"/>
  <c r="BI50" i="42"/>
  <c r="BI48" i="42" s="1"/>
  <c r="BI64" i="42"/>
  <c r="BI51" i="42"/>
  <c r="BI65" i="42"/>
  <c r="BI66" i="42"/>
  <c r="BI52" i="42"/>
  <c r="BI54" i="43"/>
  <c r="BI68" i="43"/>
  <c r="BI53" i="43"/>
  <c r="BI48" i="43" s="1"/>
  <c r="BI67" i="43"/>
  <c r="BI48" i="41"/>
  <c r="BM62" i="42"/>
  <c r="BM76" i="42"/>
  <c r="BM73" i="42"/>
  <c r="BM59" i="42"/>
  <c r="BQ76" i="43"/>
  <c r="BQ62" i="43"/>
  <c r="BQ59" i="43"/>
  <c r="BQ73" i="43"/>
  <c r="BQ31" i="43"/>
  <c r="BX54" i="42"/>
  <c r="BX68" i="42"/>
  <c r="BX67" i="42"/>
  <c r="BX53" i="42"/>
  <c r="BX48" i="42" s="1"/>
  <c r="AY48" i="29"/>
  <c r="BD27" i="38"/>
  <c r="AP62" i="38"/>
  <c r="AP76" i="38"/>
  <c r="CV43" i="38"/>
  <c r="DJ28" i="38"/>
  <c r="DJ6" i="38"/>
  <c r="CV47" i="38"/>
  <c r="CH48" i="38"/>
  <c r="AQ66" i="38"/>
  <c r="AQ52" i="38"/>
  <c r="BE17" i="38"/>
  <c r="AQ41" i="38"/>
  <c r="BE8" i="38"/>
  <c r="DO28" i="38"/>
  <c r="DA43" i="38"/>
  <c r="AU35" i="38"/>
  <c r="BI30" i="38"/>
  <c r="DO7" i="38"/>
  <c r="DA59" i="38"/>
  <c r="DA73" i="38"/>
  <c r="DO21" i="38"/>
  <c r="DA51" i="38"/>
  <c r="DA65" i="38"/>
  <c r="AU41" i="38"/>
  <c r="BI8" i="38"/>
  <c r="AL63" i="38"/>
  <c r="AZ64" i="32"/>
  <c r="AZ63" i="32"/>
  <c r="E31" i="42"/>
  <c r="CB48" i="43"/>
  <c r="AD63" i="43"/>
  <c r="I55" i="42"/>
  <c r="I69" i="42"/>
  <c r="I70" i="42"/>
  <c r="I56" i="42"/>
  <c r="I58" i="42"/>
  <c r="I72" i="42"/>
  <c r="I74" i="42"/>
  <c r="I60" i="42"/>
  <c r="I31" i="29"/>
  <c r="L68" i="42"/>
  <c r="L54" i="42"/>
  <c r="L48" i="42" s="1"/>
  <c r="L53" i="42"/>
  <c r="L67" i="42"/>
  <c r="L48" i="29"/>
  <c r="P48" i="41"/>
  <c r="P59" i="43"/>
  <c r="P73" i="43"/>
  <c r="P63" i="29"/>
  <c r="T62" i="43"/>
  <c r="T76" i="43"/>
  <c r="T59" i="43"/>
  <c r="T73" i="43"/>
  <c r="T31" i="43"/>
  <c r="BA18" i="31"/>
  <c r="BA6" i="31"/>
  <c r="BA20" i="31"/>
  <c r="BA21" i="31"/>
  <c r="BA23" i="31"/>
  <c r="BA13" i="31"/>
  <c r="BA22" i="31"/>
  <c r="BA28" i="31"/>
  <c r="BA12" i="31"/>
  <c r="BA26" i="31"/>
  <c r="BA4" i="31"/>
  <c r="BA5" i="31"/>
  <c r="BZ49" i="30"/>
  <c r="BP49" i="18" s="1"/>
  <c r="CD49" i="18" s="1"/>
  <c r="BZ48" i="30"/>
  <c r="BZ70" i="30"/>
  <c r="BP70" i="18" s="1"/>
  <c r="CD70" i="18" s="1"/>
  <c r="BZ53" i="30"/>
  <c r="BP53" i="18" s="1"/>
  <c r="CD53" i="18" s="1"/>
  <c r="BZ71" i="30"/>
  <c r="BP71" i="18" s="1"/>
  <c r="CD71" i="18" s="1"/>
  <c r="BZ65" i="30"/>
  <c r="BZ46" i="30"/>
  <c r="BP46" i="18" s="1"/>
  <c r="CD46" i="18" s="1"/>
  <c r="BZ45" i="30"/>
  <c r="BZ55" i="30"/>
  <c r="BZ72" i="30"/>
  <c r="BZ68" i="30"/>
  <c r="BP68" i="18" s="1"/>
  <c r="CD68" i="18" s="1"/>
  <c r="AB47" i="30"/>
  <c r="L47" i="5" s="1"/>
  <c r="P47" i="5" s="1"/>
  <c r="AB31" i="30"/>
  <c r="AB32" i="30"/>
  <c r="AB35" i="30"/>
  <c r="L35" i="5" s="1"/>
  <c r="AB40" i="30"/>
  <c r="AB39" i="30"/>
  <c r="AB42" i="30"/>
  <c r="BZ51" i="30"/>
  <c r="BP51" i="18" s="1"/>
  <c r="CD51" i="18" s="1"/>
  <c r="AB49" i="30"/>
  <c r="AB48" i="30"/>
  <c r="BZ39" i="30"/>
  <c r="BZ63" i="30"/>
  <c r="BZ64" i="30"/>
  <c r="BP64" i="18" s="1"/>
  <c r="CD64" i="18" s="1"/>
  <c r="BZ66" i="30"/>
  <c r="BZ47" i="30"/>
  <c r="BZ69" i="30"/>
  <c r="BP69" i="18" s="1"/>
  <c r="CD69" i="18" s="1"/>
  <c r="BZ58" i="30"/>
  <c r="BP58" i="18" s="1"/>
  <c r="CD58" i="18" s="1"/>
  <c r="BZ54" i="30"/>
  <c r="BZ40" i="30"/>
  <c r="BZ73" i="30"/>
  <c r="BP73" i="18" s="1"/>
  <c r="CD73" i="18" s="1"/>
  <c r="BZ56" i="30"/>
  <c r="BP56" i="18" s="1"/>
  <c r="CD56" i="18" s="1"/>
  <c r="BZ60" i="30"/>
  <c r="BP60" i="18" s="1"/>
  <c r="CD60" i="18" s="1"/>
  <c r="BZ67" i="30"/>
  <c r="AB64" i="30"/>
  <c r="L64" i="5" s="1"/>
  <c r="P64" i="5" s="1"/>
  <c r="AB63" i="30"/>
  <c r="AB41" i="30"/>
  <c r="L41" i="5" s="1"/>
  <c r="P41" i="5" s="1"/>
  <c r="AB34" i="30"/>
  <c r="AB43" i="30"/>
  <c r="L43" i="5" s="1"/>
  <c r="AB36" i="30"/>
  <c r="L36" i="5" s="1"/>
  <c r="AB45" i="30"/>
  <c r="AB46" i="30"/>
  <c r="AB37" i="30"/>
  <c r="BZ31" i="30"/>
  <c r="CM63" i="31"/>
  <c r="CN63" i="31"/>
  <c r="CO63" i="31"/>
  <c r="AB41" i="31"/>
  <c r="AW41" i="5" s="1"/>
  <c r="BA41" i="5" s="1"/>
  <c r="BZ48" i="31"/>
  <c r="CL48" i="31"/>
  <c r="CI48" i="31"/>
  <c r="CG48" i="31"/>
  <c r="BZ50" i="31"/>
  <c r="CU63" i="31"/>
  <c r="CQ63" i="31"/>
  <c r="CR63" i="31"/>
  <c r="BZ52" i="31"/>
  <c r="BZ55" i="31"/>
  <c r="CR48" i="31"/>
  <c r="CT63" i="31"/>
  <c r="CH63" i="31"/>
  <c r="BZ66" i="31"/>
  <c r="BZ60" i="31"/>
  <c r="DV60" i="18" s="1"/>
  <c r="EJ60" i="18" s="1"/>
  <c r="BZ71" i="31"/>
  <c r="BZ54" i="31"/>
  <c r="DV54" i="18" s="1"/>
  <c r="EJ54" i="18" s="1"/>
  <c r="CH48" i="31"/>
  <c r="CC48" i="31"/>
  <c r="CW63" i="31"/>
  <c r="CL63" i="31"/>
  <c r="CS63" i="31"/>
  <c r="BZ57" i="31"/>
  <c r="DV57" i="18" s="1"/>
  <c r="EJ57" i="18" s="1"/>
  <c r="CW48" i="31"/>
  <c r="CP48" i="31"/>
  <c r="CM48" i="31"/>
  <c r="CK48" i="31"/>
  <c r="CF63" i="31"/>
  <c r="CV63" i="31"/>
  <c r="BZ53" i="31"/>
  <c r="CF48" i="31"/>
  <c r="CP63" i="31"/>
  <c r="CB63" i="31"/>
  <c r="AB70" i="31"/>
  <c r="AB53" i="31"/>
  <c r="AW53" i="5" s="1"/>
  <c r="BA53" i="5" s="1"/>
  <c r="BZ64" i="31"/>
  <c r="DV64" i="18" s="1"/>
  <c r="EJ64" i="18" s="1"/>
  <c r="BZ63" i="31"/>
  <c r="CA63" i="31"/>
  <c r="CD48" i="31"/>
  <c r="CT48" i="31"/>
  <c r="CQ48" i="31"/>
  <c r="CO48" i="31"/>
  <c r="CE63" i="31"/>
  <c r="CJ63" i="31"/>
  <c r="BZ62" i="31"/>
  <c r="DV62" i="18" s="1"/>
  <c r="EJ62" i="18" s="1"/>
  <c r="CB48" i="31"/>
  <c r="CX63" i="31"/>
  <c r="BZ67" i="31"/>
  <c r="DV67" i="18" s="1"/>
  <c r="EJ67" i="18" s="1"/>
  <c r="BZ65" i="31"/>
  <c r="BZ74" i="31"/>
  <c r="CN48" i="31"/>
  <c r="CV48" i="31"/>
  <c r="CD63" i="31"/>
  <c r="BZ72" i="31"/>
  <c r="CK63" i="31"/>
  <c r="CC63" i="31"/>
  <c r="CG63" i="31"/>
  <c r="BZ76" i="31"/>
  <c r="AB67" i="31"/>
  <c r="AW67" i="5" s="1"/>
  <c r="BA67" i="5" s="1"/>
  <c r="AB51" i="31"/>
  <c r="AW51" i="5" s="1"/>
  <c r="BA51" i="5" s="1"/>
  <c r="AB72" i="31"/>
  <c r="AB32" i="31"/>
  <c r="AB31" i="31"/>
  <c r="AB66" i="31"/>
  <c r="AB39" i="31"/>
  <c r="AB35" i="31"/>
  <c r="AB68" i="31"/>
  <c r="AW68" i="5" s="1"/>
  <c r="AB34" i="31"/>
  <c r="AW34" i="5" s="1"/>
  <c r="AB45" i="31"/>
  <c r="AB46" i="31"/>
  <c r="AB59" i="31"/>
  <c r="AW59" i="5" s="1"/>
  <c r="BA59" i="5" s="1"/>
  <c r="DV74" i="18"/>
  <c r="EJ74" i="18" s="1"/>
  <c r="AB49" i="31"/>
  <c r="AB48" i="31"/>
  <c r="AB47" i="31"/>
  <c r="AB58" i="31"/>
  <c r="AW58" i="5" s="1"/>
  <c r="BA58" i="5" s="1"/>
  <c r="AB40" i="31"/>
  <c r="AB52" i="31"/>
  <c r="AB74" i="31"/>
  <c r="AW74" i="5" s="1"/>
  <c r="BA74" i="5" s="1"/>
  <c r="AB33" i="31"/>
  <c r="AW33" i="5" s="1"/>
  <c r="AB69" i="31"/>
  <c r="AB54" i="31"/>
  <c r="AB76" i="31"/>
  <c r="AW76" i="5" s="1"/>
  <c r="BA76" i="5" s="1"/>
  <c r="AB64" i="31"/>
  <c r="AB63" i="31"/>
  <c r="AB75" i="31"/>
  <c r="AB43" i="31"/>
  <c r="AW43" i="5" s="1"/>
  <c r="AB60" i="31"/>
  <c r="AW60" i="5" s="1"/>
  <c r="BA60" i="5" s="1"/>
  <c r="AB71" i="31"/>
  <c r="AW71" i="5" s="1"/>
  <c r="BA71" i="5" s="1"/>
  <c r="AB55" i="31"/>
  <c r="AB62" i="31"/>
  <c r="AB44" i="31"/>
  <c r="AB61" i="31"/>
  <c r="AW61" i="5" s="1"/>
  <c r="BA61" i="5" s="1"/>
  <c r="AB65" i="31"/>
  <c r="AB36" i="31"/>
  <c r="AB38" i="31"/>
  <c r="AW38" i="5" s="1"/>
  <c r="AB57" i="31"/>
  <c r="AW57" i="5" s="1"/>
  <c r="BA57" i="5" s="1"/>
  <c r="AB37" i="31"/>
  <c r="AB50" i="31"/>
  <c r="AB73" i="31"/>
  <c r="AW73" i="5" s="1"/>
  <c r="BA73" i="5" s="1"/>
  <c r="AP48" i="31"/>
  <c r="AL48" i="31"/>
  <c r="AR48" i="31"/>
  <c r="AU48" i="31"/>
  <c r="AE48" i="31"/>
  <c r="AM63" i="31"/>
  <c r="AT63" i="31"/>
  <c r="AO63" i="31"/>
  <c r="AP63" i="31"/>
  <c r="AR63" i="31"/>
  <c r="AH48" i="31"/>
  <c r="AG48" i="31"/>
  <c r="AS48" i="31"/>
  <c r="AN48" i="31"/>
  <c r="AQ48" i="31"/>
  <c r="AU63" i="31"/>
  <c r="AI63" i="31"/>
  <c r="AL63" i="31"/>
  <c r="AK63" i="31"/>
  <c r="AH63" i="31"/>
  <c r="AN63" i="31"/>
  <c r="AX48" i="31"/>
  <c r="AO48" i="31"/>
  <c r="AK48" i="31"/>
  <c r="AJ48" i="31"/>
  <c r="AM48" i="31"/>
  <c r="AQ63" i="31"/>
  <c r="AW63" i="31"/>
  <c r="AG63" i="31"/>
  <c r="AJ63" i="31"/>
  <c r="AW48" i="31"/>
  <c r="AT48" i="31"/>
  <c r="AV48" i="31"/>
  <c r="AF48" i="31"/>
  <c r="AI48" i="31"/>
  <c r="AE63" i="31"/>
  <c r="AX63" i="31"/>
  <c r="AS63" i="31"/>
  <c r="AV63" i="31"/>
  <c r="AF63" i="31"/>
  <c r="D31" i="30"/>
  <c r="AC31" i="30"/>
  <c r="AC45" i="30"/>
  <c r="FA50" i="18"/>
  <c r="FC50" i="18"/>
  <c r="AX68" i="5"/>
  <c r="AN62" i="5"/>
  <c r="AL62" i="5"/>
  <c r="AL55" i="5"/>
  <c r="AN55" i="5"/>
  <c r="BA3" i="31"/>
  <c r="CS3" i="18" s="1"/>
  <c r="CS32" i="18" s="1"/>
  <c r="FC51" i="18"/>
  <c r="FA51" i="18"/>
  <c r="AL72" i="5"/>
  <c r="AN72" i="5"/>
  <c r="AN67" i="5"/>
  <c r="AL67" i="5"/>
  <c r="N71" i="5"/>
  <c r="N61" i="5"/>
  <c r="AD45" i="31"/>
  <c r="FC60" i="18"/>
  <c r="FA60" i="18"/>
  <c r="FA69" i="18"/>
  <c r="FC69" i="18"/>
  <c r="AN74" i="5"/>
  <c r="AL74" i="5"/>
  <c r="AN70" i="5"/>
  <c r="AL70" i="5"/>
  <c r="AL68" i="5"/>
  <c r="AN68" i="5"/>
  <c r="N69" i="5"/>
  <c r="N53" i="5"/>
  <c r="FA71" i="18"/>
  <c r="FC71" i="18"/>
  <c r="FA54" i="18"/>
  <c r="FC54" i="18"/>
  <c r="AL51" i="5"/>
  <c r="AN51" i="5"/>
  <c r="AL59" i="5"/>
  <c r="AN59" i="5"/>
  <c r="N76" i="5"/>
  <c r="FC48" i="18"/>
  <c r="CZ31" i="18"/>
  <c r="AA31" i="30"/>
  <c r="FB63" i="18"/>
  <c r="FB64" i="18"/>
  <c r="FC64" i="18"/>
  <c r="FA64" i="18"/>
  <c r="FC63" i="18"/>
  <c r="FA63" i="18"/>
  <c r="AL76" i="5"/>
  <c r="AN76" i="5"/>
  <c r="FA75" i="18"/>
  <c r="FC75" i="18"/>
  <c r="FC56" i="18"/>
  <c r="FA56" i="18"/>
  <c r="AN50" i="5"/>
  <c r="AL50" i="5"/>
  <c r="N51" i="5"/>
  <c r="N50" i="5"/>
  <c r="N68" i="5"/>
  <c r="N66" i="5"/>
  <c r="FA74" i="18"/>
  <c r="FC74" i="18"/>
  <c r="FA55" i="18"/>
  <c r="FC55" i="18"/>
  <c r="AN57" i="5"/>
  <c r="AL57" i="5"/>
  <c r="N55" i="5"/>
  <c r="N67" i="5"/>
  <c r="FA57" i="18"/>
  <c r="FC57" i="18"/>
  <c r="FC68" i="18"/>
  <c r="FA68" i="18"/>
  <c r="AX65" i="5"/>
  <c r="AN52" i="5"/>
  <c r="AL52" i="5"/>
  <c r="N62" i="5"/>
  <c r="FC45" i="18"/>
  <c r="FA73" i="18"/>
  <c r="FC73" i="18"/>
  <c r="FA58" i="18"/>
  <c r="FC58" i="18"/>
  <c r="AN61" i="5"/>
  <c r="AL61" i="5"/>
  <c r="FC61" i="18"/>
  <c r="FA61" i="18"/>
  <c r="FA70" i="18"/>
  <c r="FC70" i="18"/>
  <c r="AL64" i="5"/>
  <c r="AN64" i="5"/>
  <c r="N65" i="5"/>
  <c r="Q65" i="5"/>
  <c r="N54" i="5"/>
  <c r="N52" i="5"/>
  <c r="FC52" i="18"/>
  <c r="FA52" i="18"/>
  <c r="AN71" i="5"/>
  <c r="AL71" i="5"/>
  <c r="N56" i="5"/>
  <c r="FC67" i="18"/>
  <c r="FA67" i="18"/>
  <c r="FA62" i="18"/>
  <c r="FC62" i="18"/>
  <c r="AN66" i="5"/>
  <c r="AL66" i="5"/>
  <c r="N58" i="5"/>
  <c r="N74" i="5"/>
  <c r="N59" i="5"/>
  <c r="FA48" i="18"/>
  <c r="FC59" i="18"/>
  <c r="FA59" i="18"/>
  <c r="FC72" i="18"/>
  <c r="FA72" i="18"/>
  <c r="AL75" i="5"/>
  <c r="AN75" i="5"/>
  <c r="AN69" i="5"/>
  <c r="AL69" i="5"/>
  <c r="EU40" i="18"/>
  <c r="FC65" i="18"/>
  <c r="FA65" i="18"/>
  <c r="AL58" i="5"/>
  <c r="AN58" i="5"/>
  <c r="AN53" i="5"/>
  <c r="AL53" i="5"/>
  <c r="N57" i="5"/>
  <c r="N75" i="5"/>
  <c r="FA66" i="18"/>
  <c r="FC66" i="18"/>
  <c r="AN60" i="5"/>
  <c r="AL60" i="5"/>
  <c r="AL56" i="5"/>
  <c r="AN56" i="5"/>
  <c r="AN54" i="5"/>
  <c r="AL54" i="5"/>
  <c r="N70" i="5"/>
  <c r="FA53" i="18"/>
  <c r="FC53" i="18"/>
  <c r="FC76" i="18"/>
  <c r="FA76" i="18"/>
  <c r="AN65" i="5"/>
  <c r="AL65" i="5"/>
  <c r="AL73" i="5"/>
  <c r="AN73" i="5"/>
  <c r="N72" i="5"/>
  <c r="N60" i="5"/>
  <c r="N73" i="5"/>
  <c r="FB48" i="18"/>
  <c r="EM66" i="18"/>
  <c r="EM69" i="18"/>
  <c r="EM65" i="18"/>
  <c r="EM76" i="18"/>
  <c r="EM59" i="18"/>
  <c r="EM50" i="18"/>
  <c r="EM75" i="18"/>
  <c r="EM55" i="18"/>
  <c r="EM74" i="18"/>
  <c r="EM51" i="18"/>
  <c r="EM70" i="18"/>
  <c r="EM68" i="18"/>
  <c r="EM64" i="18"/>
  <c r="EM61" i="18"/>
  <c r="EM58" i="18"/>
  <c r="EM60" i="18"/>
  <c r="EM57" i="18"/>
  <c r="EM67" i="18"/>
  <c r="EM56" i="18"/>
  <c r="EM54" i="18"/>
  <c r="EM52" i="18"/>
  <c r="EM72" i="18"/>
  <c r="EM71" i="18"/>
  <c r="EM53" i="18"/>
  <c r="EM62" i="18"/>
  <c r="EM73" i="18"/>
  <c r="CO57" i="18"/>
  <c r="CW45" i="18"/>
  <c r="DC45" i="18"/>
  <c r="CY31" i="18"/>
  <c r="CX45" i="18"/>
  <c r="L67" i="5"/>
  <c r="P67" i="5" s="1"/>
  <c r="N73" i="18"/>
  <c r="Y73" i="18" s="1"/>
  <c r="BP35" i="18"/>
  <c r="CD35" i="18" s="1"/>
  <c r="EK63" i="18"/>
  <c r="EK48" i="18"/>
  <c r="EN63" i="18"/>
  <c r="CZ45" i="18"/>
  <c r="EX45" i="18"/>
  <c r="AN45" i="18"/>
  <c r="BP52" i="18"/>
  <c r="CD52" i="18" s="1"/>
  <c r="EQ48" i="18"/>
  <c r="EG48" i="18"/>
  <c r="DV55" i="18"/>
  <c r="EJ55" i="18" s="1"/>
  <c r="DV53" i="18"/>
  <c r="EJ53" i="18" s="1"/>
  <c r="BP54" i="18"/>
  <c r="CD54" i="18" s="1"/>
  <c r="CW45" i="30"/>
  <c r="BP50" i="18"/>
  <c r="CD50" i="18" s="1"/>
  <c r="AN48" i="5"/>
  <c r="AX31" i="37"/>
  <c r="EM48" i="18"/>
  <c r="ER48" i="18"/>
  <c r="DV68" i="18"/>
  <c r="EJ68" i="18" s="1"/>
  <c r="BE48" i="5"/>
  <c r="AB45" i="5"/>
  <c r="EO48" i="18"/>
  <c r="EQ63" i="18"/>
  <c r="CE63" i="18"/>
  <c r="AW75" i="5"/>
  <c r="BA75" i="5" s="1"/>
  <c r="AY45" i="31"/>
  <c r="BP55" i="18"/>
  <c r="CD55" i="18" s="1"/>
  <c r="Z48" i="18"/>
  <c r="L44" i="5"/>
  <c r="P44" i="5" s="1"/>
  <c r="AY48" i="5"/>
  <c r="L53" i="5"/>
  <c r="P53" i="5" s="1"/>
  <c r="AW42" i="5"/>
  <c r="BA42" i="5" s="1"/>
  <c r="AW40" i="5"/>
  <c r="BA40" i="5" s="1"/>
  <c r="D48" i="18"/>
  <c r="CW48" i="30"/>
  <c r="DV69" i="18"/>
  <c r="EJ69" i="18" s="1"/>
  <c r="DV72" i="18"/>
  <c r="EJ72" i="18" s="1"/>
  <c r="BP66" i="18"/>
  <c r="CD66" i="18" s="1"/>
  <c r="BP33" i="18"/>
  <c r="CD33" i="18" s="1"/>
  <c r="BP38" i="18"/>
  <c r="CD38" i="18" s="1"/>
  <c r="EL48" i="18"/>
  <c r="CE48" i="18"/>
  <c r="AW70" i="5"/>
  <c r="BA70" i="5" s="1"/>
  <c r="L68" i="5"/>
  <c r="P68" i="5" s="1"/>
  <c r="AW65" i="5"/>
  <c r="BA65" i="5" s="1"/>
  <c r="AS48" i="37"/>
  <c r="AM48" i="5"/>
  <c r="AV48" i="37"/>
  <c r="EN48" i="18"/>
  <c r="BP65" i="18"/>
  <c r="CD65" i="18" s="1"/>
  <c r="N61" i="18"/>
  <c r="Y61" i="18" s="1"/>
  <c r="EP48" i="18"/>
  <c r="DV41" i="18"/>
  <c r="EJ41" i="18" s="1"/>
  <c r="DV42" i="18"/>
  <c r="EJ42" i="18" s="1"/>
  <c r="BP43" i="18"/>
  <c r="CD43" i="18" s="1"/>
  <c r="N52" i="18"/>
  <c r="Y52" i="18" s="1"/>
  <c r="ET48" i="18"/>
  <c r="DV56" i="18"/>
  <c r="EJ56" i="18" s="1"/>
  <c r="N60" i="18"/>
  <c r="Y60" i="18" s="1"/>
  <c r="AZ45" i="30"/>
  <c r="AU31" i="37"/>
  <c r="AX62" i="37"/>
  <c r="AX76" i="37"/>
  <c r="AU65" i="37"/>
  <c r="AU51" i="37"/>
  <c r="AU75" i="37"/>
  <c r="AU61" i="37"/>
  <c r="AX52" i="37"/>
  <c r="AX66" i="37"/>
  <c r="AX45" i="37"/>
  <c r="AU68" i="37"/>
  <c r="AU54" i="37"/>
  <c r="AX59" i="37"/>
  <c r="AX73" i="37"/>
  <c r="I48" i="18"/>
  <c r="EH48" i="18"/>
  <c r="AX56" i="5"/>
  <c r="AZ31" i="30"/>
  <c r="AW56" i="5"/>
  <c r="BA56" i="5" s="1"/>
  <c r="L59" i="5"/>
  <c r="P59" i="5" s="1"/>
  <c r="CC48" i="18"/>
  <c r="BP74" i="18"/>
  <c r="CD74" i="18" s="1"/>
  <c r="BP67" i="18"/>
  <c r="CD67" i="18" s="1"/>
  <c r="N50" i="18"/>
  <c r="Y50" i="18" s="1"/>
  <c r="N51" i="18"/>
  <c r="Y51" i="18" s="1"/>
  <c r="CB63" i="18"/>
  <c r="AX61" i="5"/>
  <c r="AX73" i="5"/>
  <c r="CX31" i="30"/>
  <c r="AL63" i="5"/>
  <c r="AN63" i="5"/>
  <c r="L51" i="5"/>
  <c r="P51" i="5" s="1"/>
  <c r="L62" i="5"/>
  <c r="P62" i="5" s="1"/>
  <c r="L32" i="5"/>
  <c r="P32" i="5" s="1"/>
  <c r="AW52" i="5"/>
  <c r="BA52" i="5" s="1"/>
  <c r="AD63" i="31"/>
  <c r="AD48" i="31"/>
  <c r="L58" i="5"/>
  <c r="P58" i="5" s="1"/>
  <c r="DV39" i="18"/>
  <c r="EJ39" i="18" s="1"/>
  <c r="DV32" i="18"/>
  <c r="EJ32" i="18" s="1"/>
  <c r="BP62" i="18"/>
  <c r="CD62" i="18" s="1"/>
  <c r="N70" i="18"/>
  <c r="Y70" i="18" s="1"/>
  <c r="N72" i="18"/>
  <c r="Y72" i="18" s="1"/>
  <c r="N53" i="18"/>
  <c r="Y53" i="18" s="1"/>
  <c r="AM63" i="5"/>
  <c r="AB64" i="5"/>
  <c r="AB63" i="5"/>
  <c r="AX69" i="5"/>
  <c r="AZ48" i="30"/>
  <c r="L40" i="5"/>
  <c r="CX63" i="30"/>
  <c r="AL48" i="5"/>
  <c r="N44" i="5"/>
  <c r="L52" i="5"/>
  <c r="P52" i="5" s="1"/>
  <c r="L34" i="5"/>
  <c r="L76" i="5"/>
  <c r="P76" i="5" s="1"/>
  <c r="DV33" i="18"/>
  <c r="EJ33" i="18" s="1"/>
  <c r="DV52" i="18"/>
  <c r="EJ52" i="18" s="1"/>
  <c r="AX60" i="5"/>
  <c r="EG63" i="18"/>
  <c r="AE48" i="18"/>
  <c r="AW69" i="5"/>
  <c r="BA69" i="5" s="1"/>
  <c r="L74" i="5"/>
  <c r="P74" i="5" s="1"/>
  <c r="AW62" i="5"/>
  <c r="BA62" i="5" s="1"/>
  <c r="AC63" i="31"/>
  <c r="AW64" i="5"/>
  <c r="AY31" i="31"/>
  <c r="CV31" i="18"/>
  <c r="AU71" i="37"/>
  <c r="AU57" i="37"/>
  <c r="AU64" i="37"/>
  <c r="AU50" i="37"/>
  <c r="AX55" i="37"/>
  <c r="AX69" i="37"/>
  <c r="AX56" i="37"/>
  <c r="AX70" i="37"/>
  <c r="AU66" i="37"/>
  <c r="AU52" i="37"/>
  <c r="AX58" i="37"/>
  <c r="AX72" i="37"/>
  <c r="AX60" i="37"/>
  <c r="AX74" i="37"/>
  <c r="AU45" i="37"/>
  <c r="AX54" i="37"/>
  <c r="AX68" i="37"/>
  <c r="AX53" i="37"/>
  <c r="AX67" i="37"/>
  <c r="F48" i="18"/>
  <c r="EM63" i="18"/>
  <c r="ER63" i="18"/>
  <c r="L46" i="5"/>
  <c r="P46" i="5" s="1"/>
  <c r="N59" i="18"/>
  <c r="Y59" i="18" s="1"/>
  <c r="AX70" i="5"/>
  <c r="AF48" i="18"/>
  <c r="AI48" i="18"/>
  <c r="N48" i="5"/>
  <c r="L50" i="5"/>
  <c r="P50" i="5" s="1"/>
  <c r="L55" i="5"/>
  <c r="P55" i="5" s="1"/>
  <c r="AC48" i="31"/>
  <c r="AW49" i="5"/>
  <c r="L73" i="5"/>
  <c r="P73" i="5" s="1"/>
  <c r="AY63" i="31"/>
  <c r="CC63" i="18"/>
  <c r="L37" i="5"/>
  <c r="N57" i="18"/>
  <c r="Y57" i="18" s="1"/>
  <c r="N64" i="18"/>
  <c r="Y64" i="18" s="1"/>
  <c r="EH63" i="18"/>
  <c r="CB48" i="18"/>
  <c r="AX62" i="5"/>
  <c r="AX52" i="5"/>
  <c r="AX58" i="5"/>
  <c r="ET63" i="18"/>
  <c r="L75" i="5"/>
  <c r="P75" i="5" s="1"/>
  <c r="AC63" i="18"/>
  <c r="DV59" i="18"/>
  <c r="EJ59" i="18" s="1"/>
  <c r="DV70" i="18"/>
  <c r="EJ70" i="18" s="1"/>
  <c r="DV65" i="18"/>
  <c r="EJ65" i="18" s="1"/>
  <c r="N56" i="18"/>
  <c r="Y56" i="18" s="1"/>
  <c r="N54" i="18"/>
  <c r="Y54" i="18" s="1"/>
  <c r="N67" i="18"/>
  <c r="Y67" i="18" s="1"/>
  <c r="AX50" i="5"/>
  <c r="AX67" i="5"/>
  <c r="L72" i="5"/>
  <c r="P72" i="5" s="1"/>
  <c r="AW37" i="5"/>
  <c r="L57" i="5"/>
  <c r="P57" i="5" s="1"/>
  <c r="L70" i="5"/>
  <c r="P70" i="5" s="1"/>
  <c r="DV61" i="18"/>
  <c r="EJ61" i="18" s="1"/>
  <c r="DV76" i="18"/>
  <c r="EJ76" i="18" s="1"/>
  <c r="BP39" i="18"/>
  <c r="CD39" i="18" s="1"/>
  <c r="BP59" i="18"/>
  <c r="CD59" i="18" s="1"/>
  <c r="N49" i="18"/>
  <c r="Y49" i="18" s="1"/>
  <c r="DV35" i="18"/>
  <c r="EJ35" i="18" s="1"/>
  <c r="AA48" i="18"/>
  <c r="AC64" i="5"/>
  <c r="AC63" i="5"/>
  <c r="AX74" i="5"/>
  <c r="EO63" i="18"/>
  <c r="CX48" i="30"/>
  <c r="AI64" i="18"/>
  <c r="AI63" i="18"/>
  <c r="AC45" i="31"/>
  <c r="AU69" i="37"/>
  <c r="AU55" i="37"/>
  <c r="AU72" i="37"/>
  <c r="AU58" i="37"/>
  <c r="AU73" i="37"/>
  <c r="AU59" i="37"/>
  <c r="CK48" i="18"/>
  <c r="L61" i="5"/>
  <c r="P61" i="5" s="1"/>
  <c r="DV49" i="18"/>
  <c r="EJ49" i="18" s="1"/>
  <c r="BP47" i="18"/>
  <c r="CD47" i="18" s="1"/>
  <c r="N75" i="18"/>
  <c r="Y75" i="18" s="1"/>
  <c r="EP63" i="18"/>
  <c r="AB63" i="18"/>
  <c r="AX71" i="5"/>
  <c r="AX54" i="5"/>
  <c r="Z63" i="18"/>
  <c r="L69" i="5"/>
  <c r="P69" i="5" s="1"/>
  <c r="L54" i="5"/>
  <c r="P54" i="5" s="1"/>
  <c r="L38" i="5"/>
  <c r="BA30" i="31"/>
  <c r="AH64" i="18"/>
  <c r="AH63" i="18"/>
  <c r="DV37" i="18"/>
  <c r="EJ37" i="18" s="1"/>
  <c r="DV34" i="18"/>
  <c r="EJ34" i="18" s="1"/>
  <c r="BP72" i="18"/>
  <c r="CD72" i="18" s="1"/>
  <c r="N71" i="18"/>
  <c r="Y71" i="18" s="1"/>
  <c r="DV43" i="18"/>
  <c r="EJ43" i="18" s="1"/>
  <c r="EL63" i="18"/>
  <c r="AB48" i="18"/>
  <c r="AB48" i="5"/>
  <c r="AC48" i="5"/>
  <c r="AX76" i="5"/>
  <c r="AX66" i="5"/>
  <c r="AX72" i="5"/>
  <c r="AF63" i="18"/>
  <c r="AF64" i="18"/>
  <c r="N63" i="5"/>
  <c r="N64" i="5"/>
  <c r="AW72" i="5"/>
  <c r="BA72" i="5" s="1"/>
  <c r="L56" i="5"/>
  <c r="P56" i="5" s="1"/>
  <c r="AW66" i="5"/>
  <c r="BA66" i="5" s="1"/>
  <c r="CW63" i="30"/>
  <c r="AH48" i="18"/>
  <c r="AD31" i="31"/>
  <c r="DV50" i="18"/>
  <c r="EJ50" i="18" s="1"/>
  <c r="BP41" i="18"/>
  <c r="CD41" i="18" s="1"/>
  <c r="BP40" i="18"/>
  <c r="CD40" i="18" s="1"/>
  <c r="N74" i="18"/>
  <c r="Y74" i="18" s="1"/>
  <c r="N68" i="18"/>
  <c r="Y68" i="18" s="1"/>
  <c r="AA63" i="18"/>
  <c r="O45" i="5"/>
  <c r="AX63" i="5"/>
  <c r="AX64" i="5"/>
  <c r="AX53" i="5"/>
  <c r="AX48" i="5"/>
  <c r="AZ31" i="31"/>
  <c r="CX45" i="30"/>
  <c r="AW35" i="5"/>
  <c r="L49" i="5"/>
  <c r="P49" i="5" s="1"/>
  <c r="AV63" i="37"/>
  <c r="AC48" i="18"/>
  <c r="L66" i="5"/>
  <c r="P66" i="5" s="1"/>
  <c r="L71" i="5"/>
  <c r="P71" i="5" s="1"/>
  <c r="DV47" i="18"/>
  <c r="EJ47" i="18" s="1"/>
  <c r="DV75" i="18"/>
  <c r="EJ75" i="18" s="1"/>
  <c r="DV66" i="18"/>
  <c r="EJ66" i="18" s="1"/>
  <c r="BP61" i="18"/>
  <c r="CD61" i="18" s="1"/>
  <c r="BP34" i="18"/>
  <c r="CD34" i="18" s="1"/>
  <c r="N62" i="18"/>
  <c r="Y62" i="18" s="1"/>
  <c r="BE63" i="5"/>
  <c r="AX51" i="5"/>
  <c r="AZ63" i="31"/>
  <c r="AZ63" i="30"/>
  <c r="L33" i="5"/>
  <c r="AW55" i="5"/>
  <c r="BA55" i="5" s="1"/>
  <c r="L42" i="5"/>
  <c r="L39" i="5"/>
  <c r="AY48" i="31"/>
  <c r="AS63" i="37"/>
  <c r="AX57" i="37"/>
  <c r="AX71" i="37"/>
  <c r="AU76" i="37"/>
  <c r="AU62" i="37"/>
  <c r="AX50" i="37"/>
  <c r="AX64" i="37"/>
  <c r="AX51" i="37"/>
  <c r="AX65" i="37"/>
  <c r="AU70" i="37"/>
  <c r="AU56" i="37"/>
  <c r="AX61" i="37"/>
  <c r="AX48" i="37" s="1"/>
  <c r="AX75" i="37"/>
  <c r="AX63" i="37" s="1"/>
  <c r="AU74" i="37"/>
  <c r="AU60" i="37"/>
  <c r="AU67" i="37"/>
  <c r="AU53" i="37"/>
  <c r="N32" i="18"/>
  <c r="O64" i="5"/>
  <c r="O63" i="5"/>
  <c r="AX57" i="5"/>
  <c r="CW31" i="30"/>
  <c r="DV71" i="18"/>
  <c r="EJ71" i="18" s="1"/>
  <c r="N65" i="18"/>
  <c r="Y65" i="18" s="1"/>
  <c r="N46" i="18"/>
  <c r="Y46" i="18" s="1"/>
  <c r="AX75" i="5"/>
  <c r="AX59" i="5"/>
  <c r="AZ48" i="31"/>
  <c r="AY63" i="5"/>
  <c r="AW36" i="5"/>
  <c r="AC31" i="31"/>
  <c r="AW32" i="5"/>
  <c r="AZ48" i="5"/>
  <c r="DV73" i="18"/>
  <c r="EJ73" i="18" s="1"/>
  <c r="DV38" i="18"/>
  <c r="EJ38" i="18" s="1"/>
  <c r="DV44" i="18"/>
  <c r="EJ44" i="18" s="1"/>
  <c r="BP76" i="18"/>
  <c r="CD76" i="18" s="1"/>
  <c r="BP42" i="18"/>
  <c r="CD42" i="18" s="1"/>
  <c r="BP44" i="18"/>
  <c r="CD44" i="18" s="1"/>
  <c r="N58" i="18"/>
  <c r="Y58" i="18" s="1"/>
  <c r="AX55" i="5"/>
  <c r="AE64" i="18"/>
  <c r="AE63" i="18"/>
  <c r="AW39" i="5"/>
  <c r="AZ63" i="5"/>
  <c r="AZ65" i="5"/>
  <c r="DV46" i="18"/>
  <c r="EJ46" i="18" s="1"/>
  <c r="DV36" i="18"/>
  <c r="EJ36" i="18" s="1"/>
  <c r="BP36" i="18"/>
  <c r="CD36" i="18" s="1"/>
  <c r="BP37" i="18"/>
  <c r="CD37" i="18" s="1"/>
  <c r="BP75" i="18"/>
  <c r="CD75" i="18" s="1"/>
  <c r="N76" i="18"/>
  <c r="Y76" i="18" s="1"/>
  <c r="O48" i="5"/>
  <c r="AZ45" i="31"/>
  <c r="AW54" i="5"/>
  <c r="BA54" i="5" s="1"/>
  <c r="L60" i="5"/>
  <c r="P60" i="5" s="1"/>
  <c r="AW50" i="5"/>
  <c r="BA50" i="5" s="1"/>
  <c r="CG48" i="18"/>
  <c r="CH48" i="18"/>
  <c r="CI63" i="18"/>
  <c r="CL48" i="18"/>
  <c r="CM48" i="18"/>
  <c r="CI48" i="18"/>
  <c r="CJ48" i="18"/>
  <c r="CN48" i="18"/>
  <c r="CF48" i="18"/>
  <c r="CM63" i="18"/>
  <c r="CK63" i="18"/>
  <c r="CG63" i="18"/>
  <c r="CJ63" i="18"/>
  <c r="CF63" i="18"/>
  <c r="CN63" i="18"/>
  <c r="CL63" i="18"/>
  <c r="CH63" i="18"/>
  <c r="R45" i="30"/>
  <c r="AA45" i="30"/>
  <c r="BB40" i="30"/>
  <c r="Y45" i="30"/>
  <c r="G45" i="30"/>
  <c r="I45" i="30"/>
  <c r="W45" i="30"/>
  <c r="S45" i="30"/>
  <c r="M45" i="30"/>
  <c r="U45" i="30"/>
  <c r="O45" i="30"/>
  <c r="E45" i="30"/>
  <c r="K45" i="30"/>
  <c r="F45" i="30"/>
  <c r="Q45" i="30"/>
  <c r="BB41" i="30"/>
  <c r="L48" i="18"/>
  <c r="CW31" i="18"/>
  <c r="CV45" i="18"/>
  <c r="M63" i="18"/>
  <c r="AK48" i="18"/>
  <c r="CU31" i="18"/>
  <c r="CT45" i="18"/>
  <c r="DA45" i="18"/>
  <c r="EV48" i="18"/>
  <c r="AK63" i="18"/>
  <c r="M48" i="18"/>
  <c r="CT31" i="18"/>
  <c r="H48" i="18"/>
  <c r="EV63" i="18"/>
  <c r="CP48" i="18"/>
  <c r="DA31" i="18"/>
  <c r="E48" i="18"/>
  <c r="J48" i="18"/>
  <c r="G48" i="18"/>
  <c r="CX32" i="18"/>
  <c r="CX31" i="18" s="1"/>
  <c r="AD37" i="5"/>
  <c r="AD36" i="5"/>
  <c r="AD46" i="5"/>
  <c r="AD45" i="5"/>
  <c r="AD48" i="5"/>
  <c r="AD52" i="5"/>
  <c r="AD33" i="5"/>
  <c r="AD34" i="5"/>
  <c r="AE34" i="5"/>
  <c r="AE33" i="5"/>
  <c r="AD32" i="5"/>
  <c r="AD31" i="5"/>
  <c r="AD63" i="5"/>
  <c r="AD65" i="5"/>
  <c r="BF45" i="30"/>
  <c r="D45" i="30"/>
  <c r="K31" i="30"/>
  <c r="N62" i="30"/>
  <c r="N76" i="30"/>
  <c r="N68" i="30"/>
  <c r="N54" i="30"/>
  <c r="Y71" i="30"/>
  <c r="Y57" i="30"/>
  <c r="Y64" i="30"/>
  <c r="Y50" i="30"/>
  <c r="Y69" i="30"/>
  <c r="Y55" i="30"/>
  <c r="Y74" i="30"/>
  <c r="Y60" i="30"/>
  <c r="Y53" i="30"/>
  <c r="Y67" i="30"/>
  <c r="O71" i="30"/>
  <c r="O57" i="30"/>
  <c r="O64" i="30"/>
  <c r="O50" i="30"/>
  <c r="O69" i="30"/>
  <c r="O55" i="30"/>
  <c r="O74" i="30"/>
  <c r="O60" i="30"/>
  <c r="O67" i="30"/>
  <c r="O53" i="30"/>
  <c r="G75" i="30"/>
  <c r="G61" i="30"/>
  <c r="G66" i="30"/>
  <c r="G52" i="30"/>
  <c r="G72" i="30"/>
  <c r="G58" i="30"/>
  <c r="G59" i="30"/>
  <c r="G73" i="30"/>
  <c r="R65" i="30"/>
  <c r="R51" i="30"/>
  <c r="R70" i="30"/>
  <c r="R56" i="30"/>
  <c r="R31" i="30"/>
  <c r="R73" i="30"/>
  <c r="R59" i="30"/>
  <c r="H71" i="30"/>
  <c r="H57" i="30"/>
  <c r="H64" i="30"/>
  <c r="H50" i="30"/>
  <c r="H69" i="30"/>
  <c r="H55" i="30"/>
  <c r="H60" i="30"/>
  <c r="H74" i="30"/>
  <c r="H45" i="30"/>
  <c r="H67" i="30"/>
  <c r="H53" i="30"/>
  <c r="Z75" i="30"/>
  <c r="Z61" i="30"/>
  <c r="Z66" i="30"/>
  <c r="Z52" i="30"/>
  <c r="Z72" i="30"/>
  <c r="Z58" i="30"/>
  <c r="Z67" i="30"/>
  <c r="Z53" i="30"/>
  <c r="Z74" i="30"/>
  <c r="Z60" i="30"/>
  <c r="Z45" i="30"/>
  <c r="E57" i="30"/>
  <c r="E71" i="30"/>
  <c r="E64" i="30"/>
  <c r="E50" i="30"/>
  <c r="E69" i="30"/>
  <c r="E55" i="30"/>
  <c r="E60" i="30"/>
  <c r="E74" i="30"/>
  <c r="E67" i="30"/>
  <c r="E53" i="30"/>
  <c r="I61" i="30"/>
  <c r="I75" i="30"/>
  <c r="I66" i="30"/>
  <c r="I52" i="30"/>
  <c r="I72" i="30"/>
  <c r="I58" i="30"/>
  <c r="I73" i="30"/>
  <c r="I59" i="30"/>
  <c r="L51" i="30"/>
  <c r="L65" i="30"/>
  <c r="L56" i="30"/>
  <c r="L70" i="30"/>
  <c r="L68" i="30"/>
  <c r="L54" i="30"/>
  <c r="L31" i="30"/>
  <c r="P76" i="30"/>
  <c r="P62" i="30"/>
  <c r="P75" i="30"/>
  <c r="P61" i="30"/>
  <c r="P52" i="30"/>
  <c r="P66" i="30"/>
  <c r="P72" i="30"/>
  <c r="P58" i="30"/>
  <c r="T71" i="30"/>
  <c r="T57" i="30"/>
  <c r="T64" i="30"/>
  <c r="T50" i="30"/>
  <c r="T69" i="30"/>
  <c r="T55" i="30"/>
  <c r="T74" i="30"/>
  <c r="T60" i="30"/>
  <c r="T45" i="30"/>
  <c r="T67" i="30"/>
  <c r="T53" i="30"/>
  <c r="T51" i="30"/>
  <c r="T65" i="30"/>
  <c r="T56" i="30"/>
  <c r="T70" i="30"/>
  <c r="W75" i="30"/>
  <c r="W61" i="30"/>
  <c r="W66" i="30"/>
  <c r="W52" i="30"/>
  <c r="W72" i="30"/>
  <c r="W58" i="30"/>
  <c r="W59" i="30"/>
  <c r="W73" i="30"/>
  <c r="AA65" i="30"/>
  <c r="AA51" i="30"/>
  <c r="AA70" i="30"/>
  <c r="AA56" i="30"/>
  <c r="AA68" i="30"/>
  <c r="AA54" i="30"/>
  <c r="V62" i="30"/>
  <c r="V76" i="30"/>
  <c r="V73" i="30"/>
  <c r="V59" i="30"/>
  <c r="V53" i="30"/>
  <c r="V67" i="30"/>
  <c r="D64" i="30"/>
  <c r="D50" i="30"/>
  <c r="D65" i="30"/>
  <c r="D51" i="30"/>
  <c r="D70" i="30"/>
  <c r="D56" i="30"/>
  <c r="D61" i="30"/>
  <c r="D75" i="30"/>
  <c r="D66" i="30"/>
  <c r="D52" i="30"/>
  <c r="D72" i="30"/>
  <c r="D58" i="30"/>
  <c r="K71" i="30"/>
  <c r="K57" i="30"/>
  <c r="K50" i="30"/>
  <c r="K64" i="30"/>
  <c r="K55" i="30"/>
  <c r="K69" i="30"/>
  <c r="K74" i="30"/>
  <c r="K60" i="30"/>
  <c r="K67" i="30"/>
  <c r="K53" i="30"/>
  <c r="S75" i="30"/>
  <c r="S61" i="30"/>
  <c r="S66" i="30"/>
  <c r="S52" i="30"/>
  <c r="S72" i="30"/>
  <c r="S58" i="30"/>
  <c r="S73" i="30"/>
  <c r="S59" i="30"/>
  <c r="F65" i="30"/>
  <c r="F51" i="30"/>
  <c r="F70" i="30"/>
  <c r="F56" i="30"/>
  <c r="F31" i="30"/>
  <c r="F74" i="30"/>
  <c r="F60" i="30"/>
  <c r="J62" i="30"/>
  <c r="J76" i="30"/>
  <c r="J74" i="30"/>
  <c r="J60" i="30"/>
  <c r="J45" i="30"/>
  <c r="M57" i="30"/>
  <c r="M71" i="30"/>
  <c r="M64" i="30"/>
  <c r="M50" i="30"/>
  <c r="M69" i="30"/>
  <c r="M55" i="30"/>
  <c r="M60" i="30"/>
  <c r="M74" i="30"/>
  <c r="M67" i="30"/>
  <c r="M53" i="30"/>
  <c r="Q61" i="30"/>
  <c r="Q75" i="30"/>
  <c r="Q66" i="30"/>
  <c r="Q52" i="30"/>
  <c r="Q72" i="30"/>
  <c r="Q58" i="30"/>
  <c r="Q73" i="30"/>
  <c r="Q59" i="30"/>
  <c r="U65" i="30"/>
  <c r="U51" i="30"/>
  <c r="U70" i="30"/>
  <c r="U56" i="30"/>
  <c r="U68" i="30"/>
  <c r="U54" i="30"/>
  <c r="U31" i="30"/>
  <c r="X76" i="30"/>
  <c r="X62" i="30"/>
  <c r="N71" i="30"/>
  <c r="N57" i="30"/>
  <c r="N50" i="30"/>
  <c r="N64" i="30"/>
  <c r="N69" i="30"/>
  <c r="N55" i="30"/>
  <c r="Y61" i="30"/>
  <c r="Y75" i="30"/>
  <c r="Y66" i="30"/>
  <c r="Y52" i="30"/>
  <c r="Y72" i="30"/>
  <c r="Y58" i="30"/>
  <c r="Y73" i="30"/>
  <c r="Y59" i="30"/>
  <c r="O75" i="30"/>
  <c r="O61" i="30"/>
  <c r="O66" i="30"/>
  <c r="O52" i="30"/>
  <c r="O72" i="30"/>
  <c r="O58" i="30"/>
  <c r="O59" i="30"/>
  <c r="O73" i="30"/>
  <c r="G65" i="30"/>
  <c r="G51" i="30"/>
  <c r="G70" i="30"/>
  <c r="G56" i="30"/>
  <c r="G54" i="30"/>
  <c r="G68" i="30"/>
  <c r="G31" i="30"/>
  <c r="R62" i="30"/>
  <c r="R76" i="30"/>
  <c r="R67" i="30"/>
  <c r="R53" i="30"/>
  <c r="R54" i="30"/>
  <c r="R68" i="30"/>
  <c r="H75" i="30"/>
  <c r="H61" i="30"/>
  <c r="H66" i="30"/>
  <c r="H52" i="30"/>
  <c r="H72" i="30"/>
  <c r="H58" i="30"/>
  <c r="H73" i="30"/>
  <c r="H59" i="30"/>
  <c r="Z65" i="30"/>
  <c r="Z51" i="30"/>
  <c r="Z70" i="30"/>
  <c r="Z56" i="30"/>
  <c r="Z31" i="30"/>
  <c r="Z73" i="30"/>
  <c r="Z59" i="30"/>
  <c r="E75" i="30"/>
  <c r="E61" i="30"/>
  <c r="E52" i="30"/>
  <c r="E66" i="30"/>
  <c r="E72" i="30"/>
  <c r="E58" i="30"/>
  <c r="E73" i="30"/>
  <c r="E59" i="30"/>
  <c r="I65" i="30"/>
  <c r="I51" i="30"/>
  <c r="I56" i="30"/>
  <c r="I70" i="30"/>
  <c r="I68" i="30"/>
  <c r="I54" i="30"/>
  <c r="I31" i="30"/>
  <c r="L76" i="30"/>
  <c r="L62" i="30"/>
  <c r="P71" i="30"/>
  <c r="P57" i="30"/>
  <c r="P64" i="30"/>
  <c r="P50" i="30"/>
  <c r="P55" i="30"/>
  <c r="P69" i="30"/>
  <c r="P60" i="30"/>
  <c r="P74" i="30"/>
  <c r="P45" i="30"/>
  <c r="P67" i="30"/>
  <c r="P53" i="30"/>
  <c r="P65" i="30"/>
  <c r="P51" i="30"/>
  <c r="P70" i="30"/>
  <c r="P56" i="30"/>
  <c r="T59" i="30"/>
  <c r="T73" i="30"/>
  <c r="W51" i="30"/>
  <c r="W65" i="30"/>
  <c r="W70" i="30"/>
  <c r="W56" i="30"/>
  <c r="W54" i="30"/>
  <c r="W68" i="30"/>
  <c r="W31" i="30"/>
  <c r="AA76" i="30"/>
  <c r="AA62" i="30"/>
  <c r="V71" i="30"/>
  <c r="V57" i="30"/>
  <c r="V50" i="30"/>
  <c r="V64" i="30"/>
  <c r="V69" i="30"/>
  <c r="V55" i="30"/>
  <c r="V68" i="30"/>
  <c r="V54" i="30"/>
  <c r="D76" i="30"/>
  <c r="D62" i="30"/>
  <c r="K75" i="30"/>
  <c r="K61" i="30"/>
  <c r="K66" i="30"/>
  <c r="K52" i="30"/>
  <c r="K58" i="30"/>
  <c r="K72" i="30"/>
  <c r="K73" i="30"/>
  <c r="K59" i="30"/>
  <c r="S65" i="30"/>
  <c r="S51" i="30"/>
  <c r="S70" i="30"/>
  <c r="S56" i="30"/>
  <c r="S68" i="30"/>
  <c r="S54" i="30"/>
  <c r="S31" i="30"/>
  <c r="F62" i="30"/>
  <c r="F76" i="30"/>
  <c r="J57" i="30"/>
  <c r="J71" i="30"/>
  <c r="J64" i="30"/>
  <c r="J50" i="30"/>
  <c r="J69" i="30"/>
  <c r="J55" i="30"/>
  <c r="J67" i="30"/>
  <c r="J53" i="30"/>
  <c r="J73" i="30"/>
  <c r="J59" i="30"/>
  <c r="M75" i="30"/>
  <c r="M61" i="30"/>
  <c r="M52" i="30"/>
  <c r="M66" i="30"/>
  <c r="M72" i="30"/>
  <c r="M58" i="30"/>
  <c r="M73" i="30"/>
  <c r="M59" i="30"/>
  <c r="Q65" i="30"/>
  <c r="Q51" i="30"/>
  <c r="Q56" i="30"/>
  <c r="Q70" i="30"/>
  <c r="Q68" i="30"/>
  <c r="Q54" i="30"/>
  <c r="Q31" i="30"/>
  <c r="U76" i="30"/>
  <c r="U62" i="30"/>
  <c r="X71" i="30"/>
  <c r="X57" i="30"/>
  <c r="X64" i="30"/>
  <c r="X50" i="30"/>
  <c r="X55" i="30"/>
  <c r="X69" i="30"/>
  <c r="X60" i="30"/>
  <c r="X74" i="30"/>
  <c r="X45" i="30"/>
  <c r="X67" i="30"/>
  <c r="X53" i="30"/>
  <c r="N75" i="30"/>
  <c r="N61" i="30"/>
  <c r="N66" i="30"/>
  <c r="N52" i="30"/>
  <c r="N58" i="30"/>
  <c r="N72" i="30"/>
  <c r="N74" i="30"/>
  <c r="N60" i="30"/>
  <c r="N45" i="30"/>
  <c r="Y65" i="30"/>
  <c r="Y51" i="30"/>
  <c r="Y56" i="30"/>
  <c r="Y70" i="30"/>
  <c r="Y68" i="30"/>
  <c r="Y54" i="30"/>
  <c r="Y31" i="30"/>
  <c r="O65" i="30"/>
  <c r="O51" i="30"/>
  <c r="O70" i="30"/>
  <c r="O56" i="30"/>
  <c r="O54" i="30"/>
  <c r="O68" i="30"/>
  <c r="O31" i="30"/>
  <c r="G62" i="30"/>
  <c r="G76" i="30"/>
  <c r="R57" i="30"/>
  <c r="R71" i="30"/>
  <c r="R50" i="30"/>
  <c r="R64" i="30"/>
  <c r="R69" i="30"/>
  <c r="R55" i="30"/>
  <c r="H65" i="30"/>
  <c r="H51" i="30"/>
  <c r="H70" i="30"/>
  <c r="H56" i="30"/>
  <c r="H68" i="30"/>
  <c r="H54" i="30"/>
  <c r="H31" i="30"/>
  <c r="Z62" i="30"/>
  <c r="Z76" i="30"/>
  <c r="Z54" i="30"/>
  <c r="Z68" i="30"/>
  <c r="E65" i="30"/>
  <c r="E51" i="30"/>
  <c r="E70" i="30"/>
  <c r="E56" i="30"/>
  <c r="E68" i="30"/>
  <c r="E54" i="30"/>
  <c r="E31" i="30"/>
  <c r="I76" i="30"/>
  <c r="I62" i="30"/>
  <c r="L71" i="30"/>
  <c r="L57" i="30"/>
  <c r="L64" i="30"/>
  <c r="L50" i="30"/>
  <c r="L69" i="30"/>
  <c r="L55" i="30"/>
  <c r="L74" i="30"/>
  <c r="L60" i="30"/>
  <c r="L45" i="30"/>
  <c r="L67" i="30"/>
  <c r="L53" i="30"/>
  <c r="P73" i="30"/>
  <c r="P59" i="30"/>
  <c r="T68" i="30"/>
  <c r="T54" i="30"/>
  <c r="T31" i="30"/>
  <c r="W62" i="30"/>
  <c r="W76" i="30"/>
  <c r="AA71" i="30"/>
  <c r="AA57" i="30"/>
  <c r="AA50" i="30"/>
  <c r="AA64" i="30"/>
  <c r="AA55" i="30"/>
  <c r="AA69" i="30"/>
  <c r="AA74" i="30"/>
  <c r="AA60" i="30"/>
  <c r="AA67" i="30"/>
  <c r="AA53" i="30"/>
  <c r="V61" i="30"/>
  <c r="V75" i="30"/>
  <c r="V66" i="30"/>
  <c r="V52" i="30"/>
  <c r="V58" i="30"/>
  <c r="V72" i="30"/>
  <c r="D57" i="30"/>
  <c r="D71" i="30"/>
  <c r="D55" i="30"/>
  <c r="D69" i="30"/>
  <c r="K51" i="30"/>
  <c r="K65" i="30"/>
  <c r="K70" i="30"/>
  <c r="K56" i="30"/>
  <c r="K68" i="30"/>
  <c r="K54" i="30"/>
  <c r="S76" i="30"/>
  <c r="S62" i="30"/>
  <c r="F71" i="30"/>
  <c r="F57" i="30"/>
  <c r="F64" i="30"/>
  <c r="F50" i="30"/>
  <c r="F69" i="30"/>
  <c r="F55" i="30"/>
  <c r="F73" i="30"/>
  <c r="F59" i="30"/>
  <c r="F53" i="30"/>
  <c r="F67" i="30"/>
  <c r="F68" i="30"/>
  <c r="F54" i="30"/>
  <c r="J75" i="30"/>
  <c r="J61" i="30"/>
  <c r="J66" i="30"/>
  <c r="J52" i="30"/>
  <c r="J72" i="30"/>
  <c r="J58" i="30"/>
  <c r="J54" i="30"/>
  <c r="J68" i="30"/>
  <c r="M65" i="30"/>
  <c r="M51" i="30"/>
  <c r="M70" i="30"/>
  <c r="M56" i="30"/>
  <c r="M68" i="30"/>
  <c r="M54" i="30"/>
  <c r="M31" i="30"/>
  <c r="Q76" i="30"/>
  <c r="Q62" i="30"/>
  <c r="U57" i="30"/>
  <c r="U71" i="30"/>
  <c r="U64" i="30"/>
  <c r="U50" i="30"/>
  <c r="U69" i="30"/>
  <c r="U55" i="30"/>
  <c r="U74" i="30"/>
  <c r="U60" i="30"/>
  <c r="U67" i="30"/>
  <c r="U53" i="30"/>
  <c r="X75" i="30"/>
  <c r="X61" i="30"/>
  <c r="X66" i="30"/>
  <c r="X52" i="30"/>
  <c r="X72" i="30"/>
  <c r="X58" i="30"/>
  <c r="X73" i="30"/>
  <c r="X59" i="30"/>
  <c r="N65" i="30"/>
  <c r="N51" i="30"/>
  <c r="N70" i="30"/>
  <c r="N56" i="30"/>
  <c r="N31" i="30"/>
  <c r="N73" i="30"/>
  <c r="N59" i="30"/>
  <c r="N53" i="30"/>
  <c r="N67" i="30"/>
  <c r="Y76" i="30"/>
  <c r="Y62" i="30"/>
  <c r="O76" i="30"/>
  <c r="O62" i="30"/>
  <c r="G71" i="30"/>
  <c r="G57" i="30"/>
  <c r="G64" i="30"/>
  <c r="G50" i="30"/>
  <c r="G69" i="30"/>
  <c r="G55" i="30"/>
  <c r="G74" i="30"/>
  <c r="G60" i="30"/>
  <c r="G67" i="30"/>
  <c r="G53" i="30"/>
  <c r="R75" i="30"/>
  <c r="R61" i="30"/>
  <c r="R66" i="30"/>
  <c r="R52" i="30"/>
  <c r="R72" i="30"/>
  <c r="R58" i="30"/>
  <c r="R74" i="30"/>
  <c r="R60" i="30"/>
  <c r="H76" i="30"/>
  <c r="H62" i="30"/>
  <c r="Z71" i="30"/>
  <c r="Z57" i="30"/>
  <c r="Z64" i="30"/>
  <c r="Z50" i="30"/>
  <c r="Z69" i="30"/>
  <c r="Z55" i="30"/>
  <c r="E76" i="30"/>
  <c r="E62" i="30"/>
  <c r="I71" i="30"/>
  <c r="I57" i="30"/>
  <c r="I64" i="30"/>
  <c r="I50" i="30"/>
  <c r="I69" i="30"/>
  <c r="I55" i="30"/>
  <c r="I74" i="30"/>
  <c r="I60" i="30"/>
  <c r="I67" i="30"/>
  <c r="I53" i="30"/>
  <c r="L75" i="30"/>
  <c r="L61" i="30"/>
  <c r="L66" i="30"/>
  <c r="L52" i="30"/>
  <c r="L72" i="30"/>
  <c r="L58" i="30"/>
  <c r="L59" i="30"/>
  <c r="L73" i="30"/>
  <c r="P68" i="30"/>
  <c r="P54" i="30"/>
  <c r="P31" i="30"/>
  <c r="T76" i="30"/>
  <c r="T62" i="30"/>
  <c r="T75" i="30"/>
  <c r="T61" i="30"/>
  <c r="T66" i="30"/>
  <c r="T52" i="30"/>
  <c r="T72" i="30"/>
  <c r="T58" i="30"/>
  <c r="W71" i="30"/>
  <c r="W57" i="30"/>
  <c r="W64" i="30"/>
  <c r="W50" i="30"/>
  <c r="W69" i="30"/>
  <c r="W55" i="30"/>
  <c r="W74" i="30"/>
  <c r="W60" i="30"/>
  <c r="W67" i="30"/>
  <c r="W53" i="30"/>
  <c r="AA75" i="30"/>
  <c r="AA61" i="30"/>
  <c r="AA66" i="30"/>
  <c r="AA52" i="30"/>
  <c r="AA58" i="30"/>
  <c r="AA72" i="30"/>
  <c r="AA73" i="30"/>
  <c r="AA59" i="30"/>
  <c r="V65" i="30"/>
  <c r="V51" i="30"/>
  <c r="V70" i="30"/>
  <c r="V56" i="30"/>
  <c r="V31" i="30"/>
  <c r="V74" i="30"/>
  <c r="V60" i="30"/>
  <c r="V45" i="30"/>
  <c r="D74" i="30"/>
  <c r="D60" i="30"/>
  <c r="D54" i="30"/>
  <c r="D68" i="30"/>
  <c r="D73" i="30"/>
  <c r="D59" i="30"/>
  <c r="D53" i="30"/>
  <c r="D67" i="30"/>
  <c r="K76" i="30"/>
  <c r="K62" i="30"/>
  <c r="S71" i="30"/>
  <c r="S57" i="30"/>
  <c r="S64" i="30"/>
  <c r="S50" i="30"/>
  <c r="S55" i="30"/>
  <c r="S69" i="30"/>
  <c r="S74" i="30"/>
  <c r="S60" i="30"/>
  <c r="S67" i="30"/>
  <c r="S53" i="30"/>
  <c r="F61" i="30"/>
  <c r="F75" i="30"/>
  <c r="F66" i="30"/>
  <c r="F52" i="30"/>
  <c r="F58" i="30"/>
  <c r="F72" i="30"/>
  <c r="J65" i="30"/>
  <c r="J51" i="30"/>
  <c r="J70" i="30"/>
  <c r="J56" i="30"/>
  <c r="J31" i="30"/>
  <c r="M76" i="30"/>
  <c r="M62" i="30"/>
  <c r="Q71" i="30"/>
  <c r="Q57" i="30"/>
  <c r="Q64" i="30"/>
  <c r="Q50" i="30"/>
  <c r="Q69" i="30"/>
  <c r="Q55" i="30"/>
  <c r="Q74" i="30"/>
  <c r="Q60" i="30"/>
  <c r="Q67" i="30"/>
  <c r="Q53" i="30"/>
  <c r="U61" i="30"/>
  <c r="U75" i="30"/>
  <c r="U52" i="30"/>
  <c r="U66" i="30"/>
  <c r="U72" i="30"/>
  <c r="U58" i="30"/>
  <c r="U73" i="30"/>
  <c r="U59" i="30"/>
  <c r="X65" i="30"/>
  <c r="X51" i="30"/>
  <c r="X70" i="30"/>
  <c r="X56" i="30"/>
  <c r="X68" i="30"/>
  <c r="X54" i="30"/>
  <c r="X31" i="30"/>
  <c r="AL48" i="18"/>
  <c r="CU66" i="18"/>
  <c r="CU52" i="18"/>
  <c r="EX64" i="18"/>
  <c r="EX50" i="18"/>
  <c r="EX66" i="18"/>
  <c r="EX52" i="18"/>
  <c r="CU71" i="18"/>
  <c r="CU57" i="18"/>
  <c r="CV76" i="18"/>
  <c r="CV62" i="18"/>
  <c r="CY73" i="18"/>
  <c r="CY59" i="18"/>
  <c r="EX75" i="18"/>
  <c r="EX61" i="18"/>
  <c r="EX73" i="18"/>
  <c r="EX59" i="18"/>
  <c r="CZ69" i="18"/>
  <c r="CZ55" i="18"/>
  <c r="CU64" i="18"/>
  <c r="CU50" i="18"/>
  <c r="EX74" i="18"/>
  <c r="EX60" i="18"/>
  <c r="CX76" i="18"/>
  <c r="CX62" i="18"/>
  <c r="CZ73" i="18"/>
  <c r="CZ59" i="18"/>
  <c r="AN71" i="18"/>
  <c r="AN57" i="18"/>
  <c r="AN67" i="18"/>
  <c r="AN53" i="18"/>
  <c r="DC70" i="18"/>
  <c r="DC56" i="18"/>
  <c r="CV70" i="18"/>
  <c r="CV56" i="18"/>
  <c r="CW71" i="18"/>
  <c r="CW57" i="18"/>
  <c r="DA68" i="18"/>
  <c r="DA54" i="18"/>
  <c r="CY64" i="18"/>
  <c r="CY50" i="18"/>
  <c r="EX67" i="18"/>
  <c r="EX53" i="18"/>
  <c r="CX68" i="18"/>
  <c r="CX54" i="18"/>
  <c r="CT75" i="18"/>
  <c r="CT61" i="18"/>
  <c r="AN69" i="18"/>
  <c r="AN55" i="18"/>
  <c r="CT54" i="18"/>
  <c r="CT68" i="18"/>
  <c r="AN31" i="18"/>
  <c r="DC69" i="18"/>
  <c r="DC55" i="18"/>
  <c r="CW75" i="18"/>
  <c r="CW61" i="18"/>
  <c r="CW73" i="18"/>
  <c r="CW59" i="18"/>
  <c r="DA51" i="18"/>
  <c r="DA65" i="18"/>
  <c r="CY54" i="18"/>
  <c r="CY68" i="18"/>
  <c r="CU69" i="18"/>
  <c r="CU55" i="18"/>
  <c r="CU75" i="18"/>
  <c r="CU61" i="18"/>
  <c r="EX65" i="18"/>
  <c r="EX51" i="18"/>
  <c r="CX71" i="18"/>
  <c r="CX57" i="18"/>
  <c r="CZ76" i="18"/>
  <c r="CZ62" i="18"/>
  <c r="CZ74" i="18"/>
  <c r="CZ60" i="18"/>
  <c r="CT73" i="18"/>
  <c r="CT59" i="18"/>
  <c r="CV75" i="18"/>
  <c r="CV61" i="18"/>
  <c r="CW70" i="18"/>
  <c r="CW56" i="18"/>
  <c r="CY69" i="18"/>
  <c r="CY55" i="18"/>
  <c r="CU68" i="18"/>
  <c r="CU54" i="18"/>
  <c r="CX64" i="18"/>
  <c r="CX50" i="18"/>
  <c r="CZ50" i="18"/>
  <c r="CZ64" i="18"/>
  <c r="CZ68" i="18"/>
  <c r="CZ54" i="18"/>
  <c r="DC73" i="18"/>
  <c r="DC59" i="18"/>
  <c r="CV66" i="18"/>
  <c r="CV52" i="18"/>
  <c r="CV74" i="18"/>
  <c r="CV60" i="18"/>
  <c r="DA76" i="18"/>
  <c r="DA62" i="18"/>
  <c r="EW48" i="18"/>
  <c r="J63" i="18"/>
  <c r="CY74" i="18"/>
  <c r="CY60" i="18"/>
  <c r="CX65" i="18"/>
  <c r="CX51" i="18"/>
  <c r="CX73" i="18"/>
  <c r="CX59" i="18"/>
  <c r="CZ70" i="18"/>
  <c r="CZ56" i="18"/>
  <c r="CT71" i="18"/>
  <c r="CT57" i="18"/>
  <c r="CT67" i="18"/>
  <c r="CT53" i="18"/>
  <c r="DC71" i="18"/>
  <c r="DC57" i="18"/>
  <c r="CV72" i="18"/>
  <c r="CV58" i="18"/>
  <c r="CV53" i="18"/>
  <c r="CV67" i="18"/>
  <c r="CW74" i="18"/>
  <c r="CW60" i="18"/>
  <c r="CW67" i="18"/>
  <c r="CW53" i="18"/>
  <c r="DA72" i="18"/>
  <c r="DA58" i="18"/>
  <c r="DA67" i="18"/>
  <c r="DA53" i="18"/>
  <c r="CY66" i="18"/>
  <c r="CY52" i="18"/>
  <c r="CX72" i="18"/>
  <c r="CX58" i="18"/>
  <c r="AN75" i="18"/>
  <c r="AN61" i="18"/>
  <c r="CT55" i="18"/>
  <c r="CT69" i="18"/>
  <c r="AN68" i="18"/>
  <c r="AN54" i="18"/>
  <c r="DC76" i="18"/>
  <c r="DC62" i="18"/>
  <c r="DC54" i="18"/>
  <c r="DC68" i="18"/>
  <c r="CW64" i="18"/>
  <c r="CW50" i="18"/>
  <c r="CY75" i="18"/>
  <c r="CY63" i="18" s="1"/>
  <c r="CY61" i="18"/>
  <c r="CY48" i="18" s="1"/>
  <c r="CU45" i="18"/>
  <c r="EX71" i="18"/>
  <c r="EX57" i="18"/>
  <c r="EX72" i="18"/>
  <c r="EX58" i="18"/>
  <c r="EX70" i="18"/>
  <c r="EX56" i="18"/>
  <c r="CT74" i="18"/>
  <c r="CT60" i="18"/>
  <c r="DC65" i="18"/>
  <c r="DC51" i="18"/>
  <c r="CW76" i="18"/>
  <c r="CW62" i="18"/>
  <c r="CY45" i="18"/>
  <c r="CU74" i="18"/>
  <c r="CU60" i="18"/>
  <c r="CU73" i="18"/>
  <c r="CU59" i="18"/>
  <c r="EX76" i="18"/>
  <c r="EX62" i="18"/>
  <c r="CX66" i="18"/>
  <c r="CX52" i="18"/>
  <c r="CZ71" i="18"/>
  <c r="CZ57" i="18"/>
  <c r="CZ66" i="18"/>
  <c r="CZ52" i="18"/>
  <c r="AN62" i="18"/>
  <c r="AN76" i="18"/>
  <c r="AN64" i="18"/>
  <c r="AN50" i="18"/>
  <c r="CT66" i="18"/>
  <c r="CT52" i="18"/>
  <c r="CT65" i="18"/>
  <c r="CT51" i="18"/>
  <c r="CV65" i="18"/>
  <c r="CV51" i="18"/>
  <c r="CW72" i="18"/>
  <c r="CW58" i="18"/>
  <c r="DA66" i="18"/>
  <c r="DA52" i="18"/>
  <c r="H63" i="18"/>
  <c r="F63" i="18"/>
  <c r="D63" i="18"/>
  <c r="G63" i="18"/>
  <c r="CY76" i="18"/>
  <c r="CY62" i="18"/>
  <c r="CU65" i="18"/>
  <c r="CU51" i="18"/>
  <c r="EX68" i="18"/>
  <c r="EX54" i="18"/>
  <c r="CX70" i="18"/>
  <c r="CX56" i="18"/>
  <c r="CT70" i="18"/>
  <c r="CT56" i="18"/>
  <c r="DC74" i="18"/>
  <c r="DC60" i="18"/>
  <c r="CV73" i="18"/>
  <c r="CV59" i="18"/>
  <c r="CY65" i="18"/>
  <c r="CY51" i="18"/>
  <c r="CU56" i="18"/>
  <c r="CU70" i="18"/>
  <c r="CX69" i="18"/>
  <c r="CX55" i="18"/>
  <c r="CZ72" i="18"/>
  <c r="CZ58" i="18"/>
  <c r="AN58" i="18"/>
  <c r="AN72" i="18"/>
  <c r="CW66" i="18"/>
  <c r="CW52" i="18"/>
  <c r="DA64" i="18"/>
  <c r="DA50" i="18"/>
  <c r="DA74" i="18"/>
  <c r="DA60" i="18"/>
  <c r="CY70" i="18"/>
  <c r="CY56" i="18"/>
  <c r="CU76" i="18"/>
  <c r="CU62" i="18"/>
  <c r="CU67" i="18"/>
  <c r="CU53" i="18"/>
  <c r="CX67" i="18"/>
  <c r="CX53" i="18"/>
  <c r="AN60" i="18"/>
  <c r="AN74" i="18"/>
  <c r="DC75" i="18"/>
  <c r="DC61" i="18"/>
  <c r="DC66" i="18"/>
  <c r="DC52" i="18"/>
  <c r="CV71" i="18"/>
  <c r="CV57" i="18"/>
  <c r="CW65" i="18"/>
  <c r="CW51" i="18"/>
  <c r="DA69" i="18"/>
  <c r="DA55" i="18"/>
  <c r="CY53" i="18"/>
  <c r="CY67" i="18"/>
  <c r="CZ65" i="18"/>
  <c r="CZ51" i="18"/>
  <c r="CT76" i="18"/>
  <c r="CT62" i="18"/>
  <c r="CT64" i="18"/>
  <c r="CT50" i="18"/>
  <c r="AN52" i="18"/>
  <c r="AN66" i="18"/>
  <c r="AN65" i="18"/>
  <c r="AN51" i="18"/>
  <c r="DC72" i="18"/>
  <c r="DC58" i="18"/>
  <c r="CW69" i="18"/>
  <c r="CW55" i="18"/>
  <c r="E63" i="18"/>
  <c r="I63" i="18"/>
  <c r="CP63" i="18"/>
  <c r="CZ67" i="18"/>
  <c r="CZ53" i="18"/>
  <c r="AN56" i="18"/>
  <c r="AN70" i="18"/>
  <c r="DC64" i="18"/>
  <c r="DC50" i="18"/>
  <c r="EX69" i="18"/>
  <c r="EX55" i="18"/>
  <c r="CZ75" i="18"/>
  <c r="CZ61" i="18"/>
  <c r="CT72" i="18"/>
  <c r="CT58" i="18"/>
  <c r="CV55" i="18"/>
  <c r="CV69" i="18"/>
  <c r="CW68" i="18"/>
  <c r="CW54" i="18"/>
  <c r="DA70" i="18"/>
  <c r="DA56" i="18"/>
  <c r="DA71" i="18"/>
  <c r="DA57" i="18"/>
  <c r="CY71" i="18"/>
  <c r="CY57" i="18"/>
  <c r="CU72" i="18"/>
  <c r="CU58" i="18"/>
  <c r="CX75" i="18"/>
  <c r="CX63" i="18" s="1"/>
  <c r="CX61" i="18"/>
  <c r="CX48" i="18" s="1"/>
  <c r="CX74" i="18"/>
  <c r="CX60" i="18"/>
  <c r="AN73" i="18"/>
  <c r="AN59" i="18"/>
  <c r="DA75" i="18"/>
  <c r="DA61" i="18"/>
  <c r="DA73" i="18"/>
  <c r="DA59" i="18"/>
  <c r="CY72" i="18"/>
  <c r="CY58" i="18"/>
  <c r="DC67" i="18"/>
  <c r="DC53" i="18"/>
  <c r="CV64" i="18"/>
  <c r="CV50" i="18"/>
  <c r="CV54" i="18"/>
  <c r="CV68" i="18"/>
  <c r="EW63" i="18"/>
  <c r="AL63" i="18"/>
  <c r="L63" i="18"/>
  <c r="BC63" i="5"/>
  <c r="BC48" i="5"/>
  <c r="AO31" i="5"/>
  <c r="C2" i="30"/>
  <c r="D35" i="31"/>
  <c r="C30" i="31"/>
  <c r="C29" i="31"/>
  <c r="C12" i="31"/>
  <c r="C7" i="31"/>
  <c r="C6" i="31"/>
  <c r="C3" i="31"/>
  <c r="C20" i="31"/>
  <c r="C19" i="31"/>
  <c r="C17" i="31"/>
  <c r="C9" i="31"/>
  <c r="C8" i="31"/>
  <c r="C22" i="31"/>
  <c r="C14" i="31"/>
  <c r="C13" i="31"/>
  <c r="C26" i="31"/>
  <c r="C23" i="31"/>
  <c r="C21" i="31"/>
  <c r="C18" i="31"/>
  <c r="C16" i="31"/>
  <c r="C15" i="31"/>
  <c r="C28" i="31"/>
  <c r="C27" i="31"/>
  <c r="C25" i="31"/>
  <c r="C24" i="31"/>
  <c r="C11" i="31"/>
  <c r="C10" i="31"/>
  <c r="C5" i="31"/>
  <c r="C4" i="31"/>
  <c r="BV45" i="30"/>
  <c r="BU45" i="30"/>
  <c r="BL45" i="30"/>
  <c r="BX45" i="30"/>
  <c r="BG45" i="30"/>
  <c r="D31" i="5"/>
  <c r="BQ45" i="30"/>
  <c r="BD45" i="30"/>
  <c r="N69" i="31"/>
  <c r="N55" i="31"/>
  <c r="Y55" i="31"/>
  <c r="Y69" i="31"/>
  <c r="AP63" i="5"/>
  <c r="AP48" i="5"/>
  <c r="D45" i="5"/>
  <c r="D63" i="5"/>
  <c r="D48" i="5"/>
  <c r="AI35" i="5"/>
  <c r="AI71" i="5"/>
  <c r="AI57" i="5"/>
  <c r="AI43" i="5"/>
  <c r="AI69" i="5"/>
  <c r="AI55" i="5"/>
  <c r="AI49" i="5"/>
  <c r="AG48" i="5"/>
  <c r="AI37" i="5"/>
  <c r="AI73" i="5"/>
  <c r="AI59" i="5"/>
  <c r="AI76" i="5"/>
  <c r="AI62" i="5"/>
  <c r="AG63" i="5"/>
  <c r="AI64" i="5"/>
  <c r="AI50" i="5"/>
  <c r="AI70" i="5"/>
  <c r="AI56" i="5"/>
  <c r="AI42" i="5"/>
  <c r="AI72" i="5"/>
  <c r="AI58" i="5"/>
  <c r="AI44" i="5"/>
  <c r="AI34" i="5"/>
  <c r="AI39" i="5"/>
  <c r="AI68" i="5"/>
  <c r="AI54" i="5"/>
  <c r="AI41" i="5"/>
  <c r="AI74" i="5"/>
  <c r="AI60" i="5"/>
  <c r="AI38" i="5"/>
  <c r="AI36" i="5"/>
  <c r="AI65" i="5"/>
  <c r="AI51" i="5"/>
  <c r="AI75" i="5"/>
  <c r="AI61" i="5"/>
  <c r="AI66" i="5"/>
  <c r="AI52" i="5"/>
  <c r="AI33" i="5"/>
  <c r="AG45" i="5"/>
  <c r="AI47" i="5"/>
  <c r="AI46" i="5"/>
  <c r="AI67" i="5"/>
  <c r="AI53" i="5"/>
  <c r="AI40" i="5"/>
  <c r="AI32" i="5"/>
  <c r="AG31" i="5"/>
  <c r="O69" i="31"/>
  <c r="O55" i="31"/>
  <c r="G55" i="31"/>
  <c r="G69" i="31"/>
  <c r="R69" i="31"/>
  <c r="R55" i="31"/>
  <c r="H55" i="31"/>
  <c r="H69" i="31"/>
  <c r="Z55" i="31"/>
  <c r="Z69" i="31"/>
  <c r="AQ48" i="5"/>
  <c r="AQ63" i="5"/>
  <c r="AQ45" i="5"/>
  <c r="AQ31" i="5"/>
  <c r="E69" i="31"/>
  <c r="E55" i="31"/>
  <c r="I69" i="31"/>
  <c r="I55" i="31"/>
  <c r="L69" i="31"/>
  <c r="L55" i="31"/>
  <c r="P69" i="31"/>
  <c r="P55" i="31"/>
  <c r="T55" i="31"/>
  <c r="T69" i="31"/>
  <c r="W69" i="31"/>
  <c r="W55" i="31"/>
  <c r="AA69" i="31"/>
  <c r="AA55" i="31"/>
  <c r="V55" i="31"/>
  <c r="V69" i="31"/>
  <c r="G30" i="5"/>
  <c r="G35" i="5" s="1"/>
  <c r="C35" i="30"/>
  <c r="G29" i="5"/>
  <c r="C43" i="30"/>
  <c r="G28" i="5"/>
  <c r="G43" i="5" s="1"/>
  <c r="G27" i="5"/>
  <c r="D36" i="31"/>
  <c r="C36" i="30"/>
  <c r="G26" i="5"/>
  <c r="G36" i="5" s="1"/>
  <c r="D55" i="31"/>
  <c r="D69" i="31"/>
  <c r="G24" i="5"/>
  <c r="G12" i="5"/>
  <c r="C39" i="30"/>
  <c r="G11" i="5"/>
  <c r="G39" i="5" s="1"/>
  <c r="D46" i="31"/>
  <c r="C46" i="31" s="1"/>
  <c r="C46" i="30"/>
  <c r="G10" i="5"/>
  <c r="G46" i="5" s="1"/>
  <c r="G9" i="5"/>
  <c r="G8" i="5"/>
  <c r="G41" i="5" s="1"/>
  <c r="C41" i="30"/>
  <c r="G7" i="5"/>
  <c r="C47" i="30"/>
  <c r="G6" i="5"/>
  <c r="G47" i="5" s="1"/>
  <c r="G5" i="5"/>
  <c r="C40" i="30"/>
  <c r="G4" i="5"/>
  <c r="G40" i="5" s="1"/>
  <c r="C32" i="30"/>
  <c r="G3" i="5"/>
  <c r="G32" i="5" s="1"/>
  <c r="D49" i="31"/>
  <c r="C49" i="31" s="1"/>
  <c r="C49" i="30"/>
  <c r="G23" i="5"/>
  <c r="G49" i="5" s="1"/>
  <c r="C37" i="30"/>
  <c r="G22" i="5"/>
  <c r="G37" i="5" s="1"/>
  <c r="G21" i="5"/>
  <c r="G20" i="5"/>
  <c r="G19" i="5"/>
  <c r="G42" i="5" s="1"/>
  <c r="C42" i="30"/>
  <c r="G18" i="5"/>
  <c r="G17" i="5"/>
  <c r="G16" i="5"/>
  <c r="C44" i="30"/>
  <c r="G15" i="5"/>
  <c r="G44" i="5" s="1"/>
  <c r="D34" i="31"/>
  <c r="G14" i="5"/>
  <c r="G34" i="5" s="1"/>
  <c r="C34" i="30"/>
  <c r="D33" i="31"/>
  <c r="C33" i="30"/>
  <c r="G13" i="5"/>
  <c r="G33" i="5" s="1"/>
  <c r="C38" i="30"/>
  <c r="G2" i="5"/>
  <c r="G38" i="5" s="1"/>
  <c r="K69" i="31"/>
  <c r="K55" i="31"/>
  <c r="S69" i="31"/>
  <c r="S55" i="31"/>
  <c r="BC45" i="5"/>
  <c r="AH63" i="5"/>
  <c r="AH31" i="5"/>
  <c r="AH45" i="5"/>
  <c r="AH48" i="5"/>
  <c r="AO45" i="5"/>
  <c r="AO63" i="5"/>
  <c r="AO48" i="5"/>
  <c r="F55" i="31"/>
  <c r="F69" i="31"/>
  <c r="J69" i="31"/>
  <c r="J55" i="31"/>
  <c r="M55" i="31"/>
  <c r="M69" i="31"/>
  <c r="Q55" i="31"/>
  <c r="Q69" i="31"/>
  <c r="U69" i="31"/>
  <c r="U55" i="31"/>
  <c r="X69" i="31"/>
  <c r="X55" i="31"/>
  <c r="BH45" i="30"/>
  <c r="BK45" i="30"/>
  <c r="BB38" i="30"/>
  <c r="BR45" i="30"/>
  <c r="BP45" i="30"/>
  <c r="BN72" i="30"/>
  <c r="BN58" i="30"/>
  <c r="BN59" i="30"/>
  <c r="BN73" i="30"/>
  <c r="BU65" i="30"/>
  <c r="BU51" i="30"/>
  <c r="BU53" i="30"/>
  <c r="BU67" i="30"/>
  <c r="DM27" i="18"/>
  <c r="DM19" i="18"/>
  <c r="DI21" i="18"/>
  <c r="BO69" i="31"/>
  <c r="BO55" i="31"/>
  <c r="BO60" i="30"/>
  <c r="BO74" i="30"/>
  <c r="DL27" i="18"/>
  <c r="DN20" i="18"/>
  <c r="BD51" i="30"/>
  <c r="BD65" i="30"/>
  <c r="BD53" i="30"/>
  <c r="BD67" i="30"/>
  <c r="BE74" i="30"/>
  <c r="BE60" i="30"/>
  <c r="BL31" i="30"/>
  <c r="BP65" i="30"/>
  <c r="BP51" i="30"/>
  <c r="BP53" i="30"/>
  <c r="BP67" i="30"/>
  <c r="BW57" i="30"/>
  <c r="BW71" i="30"/>
  <c r="DH2" i="18"/>
  <c r="DH10" i="18"/>
  <c r="DQ29" i="18"/>
  <c r="DQ12" i="18"/>
  <c r="DQ8" i="18"/>
  <c r="BB36" i="30"/>
  <c r="BA36" i="30" s="1"/>
  <c r="C46" i="18"/>
  <c r="BF61" i="30"/>
  <c r="BF75" i="30"/>
  <c r="BM72" i="30"/>
  <c r="BM58" i="30"/>
  <c r="BM59" i="30"/>
  <c r="BM73" i="30"/>
  <c r="BX51" i="30"/>
  <c r="BX65" i="30"/>
  <c r="BX67" i="30"/>
  <c r="BX53" i="30"/>
  <c r="DJ16" i="18"/>
  <c r="DJ2" i="18"/>
  <c r="DJ5" i="18"/>
  <c r="DK19" i="18"/>
  <c r="DK5" i="18"/>
  <c r="DO10" i="18"/>
  <c r="DO19" i="18"/>
  <c r="BG31" i="30"/>
  <c r="BN62" i="30"/>
  <c r="BN76" i="30"/>
  <c r="BN69" i="30"/>
  <c r="BN55" i="30"/>
  <c r="BN52" i="30"/>
  <c r="BN66" i="30"/>
  <c r="BR71" i="30"/>
  <c r="BR57" i="30"/>
  <c r="DM11" i="18"/>
  <c r="DI20" i="18"/>
  <c r="BH68" i="30"/>
  <c r="BH54" i="30"/>
  <c r="BS76" i="30"/>
  <c r="BS62" i="30"/>
  <c r="BS55" i="30"/>
  <c r="BS69" i="30"/>
  <c r="BS52" i="30"/>
  <c r="BS66" i="30"/>
  <c r="BV57" i="30"/>
  <c r="BV71" i="30"/>
  <c r="DL16" i="18"/>
  <c r="DL24" i="18"/>
  <c r="DN16" i="18"/>
  <c r="DN18" i="18"/>
  <c r="BD31" i="30"/>
  <c r="BE75" i="30"/>
  <c r="BE61" i="30"/>
  <c r="BY62" i="30"/>
  <c r="BY76" i="30"/>
  <c r="BY69" i="30"/>
  <c r="BY55" i="30"/>
  <c r="BY66" i="30"/>
  <c r="BY52" i="30"/>
  <c r="BL54" i="30"/>
  <c r="BL68" i="30"/>
  <c r="BW69" i="31"/>
  <c r="BW55" i="31"/>
  <c r="BW60" i="30"/>
  <c r="BW74" i="30"/>
  <c r="BB23" i="18"/>
  <c r="BB18" i="18"/>
  <c r="DH16" i="18"/>
  <c r="BB14" i="18"/>
  <c r="BB9" i="18"/>
  <c r="DQ27" i="18"/>
  <c r="DQ26" i="18"/>
  <c r="C49" i="18"/>
  <c r="BB68" i="30"/>
  <c r="BB54" i="30"/>
  <c r="BB73" i="30"/>
  <c r="BB59" i="30"/>
  <c r="BF57" i="30"/>
  <c r="BF71" i="30"/>
  <c r="BF31" i="30"/>
  <c r="BM69" i="31"/>
  <c r="BM55" i="31"/>
  <c r="BM74" i="30"/>
  <c r="BM60" i="30"/>
  <c r="BQ54" i="30"/>
  <c r="BQ68" i="30"/>
  <c r="DJ30" i="18"/>
  <c r="DJ24" i="18"/>
  <c r="DK18" i="18"/>
  <c r="DK17" i="18"/>
  <c r="DK7" i="18"/>
  <c r="DO28" i="18"/>
  <c r="DO26" i="18"/>
  <c r="DO8" i="18"/>
  <c r="BG57" i="30"/>
  <c r="BG71" i="30"/>
  <c r="BG73" i="30"/>
  <c r="BG59" i="30"/>
  <c r="BJ45" i="30"/>
  <c r="BN65" i="30"/>
  <c r="BN51" i="30"/>
  <c r="BN67" i="30"/>
  <c r="BN53" i="30"/>
  <c r="BR56" i="30"/>
  <c r="BR70" i="30"/>
  <c r="DM18" i="18"/>
  <c r="DM20" i="18"/>
  <c r="DM9" i="18"/>
  <c r="DI27" i="18"/>
  <c r="DI16" i="18"/>
  <c r="DI23" i="18"/>
  <c r="DI18" i="18"/>
  <c r="DI5" i="18"/>
  <c r="BH56" i="30"/>
  <c r="BH70" i="30"/>
  <c r="BK71" i="30"/>
  <c r="BK57" i="30"/>
  <c r="BV69" i="31"/>
  <c r="BV55" i="31"/>
  <c r="BV74" i="30"/>
  <c r="BV60" i="30"/>
  <c r="DL14" i="18"/>
  <c r="DL26" i="18"/>
  <c r="DL4" i="18"/>
  <c r="DN26" i="18"/>
  <c r="DN15" i="18"/>
  <c r="DN22" i="18"/>
  <c r="DN4" i="18"/>
  <c r="BL69" i="31"/>
  <c r="BL55" i="31"/>
  <c r="BL74" i="30"/>
  <c r="BL60" i="30"/>
  <c r="BP58" i="30"/>
  <c r="BP72" i="30"/>
  <c r="BP59" i="30"/>
  <c r="BP73" i="30"/>
  <c r="DH19" i="18"/>
  <c r="DH15" i="18"/>
  <c r="DH7" i="18"/>
  <c r="BB6" i="18"/>
  <c r="DQ30" i="18"/>
  <c r="DQ19" i="18"/>
  <c r="DQ2" i="18"/>
  <c r="BB43" i="30"/>
  <c r="BA43" i="30" s="1"/>
  <c r="C37" i="18"/>
  <c r="BI31" i="30"/>
  <c r="BQ62" i="30"/>
  <c r="BQ76" i="30"/>
  <c r="BQ69" i="30"/>
  <c r="BQ55" i="30"/>
  <c r="BQ66" i="30"/>
  <c r="BQ52" i="30"/>
  <c r="BX76" i="30"/>
  <c r="BX62" i="30"/>
  <c r="DK21" i="18"/>
  <c r="DO2" i="18"/>
  <c r="BC75" i="30"/>
  <c r="BC61" i="30"/>
  <c r="BG70" i="30"/>
  <c r="BG56" i="30"/>
  <c r="BJ58" i="30"/>
  <c r="BJ72" i="30"/>
  <c r="BJ73" i="30"/>
  <c r="BJ59" i="30"/>
  <c r="BN45" i="30"/>
  <c r="BR51" i="30"/>
  <c r="BR65" i="30"/>
  <c r="BR67" i="30"/>
  <c r="BR53" i="30"/>
  <c r="BU70" i="30"/>
  <c r="BU56" i="30"/>
  <c r="DM4" i="18"/>
  <c r="DM10" i="18"/>
  <c r="DI28" i="18"/>
  <c r="DI19" i="18"/>
  <c r="DI22" i="18"/>
  <c r="DI9" i="18"/>
  <c r="BH71" i="30"/>
  <c r="BH57" i="30"/>
  <c r="BH61" i="30"/>
  <c r="BH75" i="30"/>
  <c r="BK76" i="30"/>
  <c r="BK62" i="30"/>
  <c r="BK55" i="30"/>
  <c r="BK69" i="30"/>
  <c r="BK52" i="30"/>
  <c r="BK66" i="30"/>
  <c r="BO72" i="30"/>
  <c r="BO58" i="30"/>
  <c r="BO59" i="30"/>
  <c r="BO73" i="30"/>
  <c r="BS31" i="30"/>
  <c r="DL6" i="18"/>
  <c r="DN30" i="18"/>
  <c r="DN9" i="18"/>
  <c r="BD69" i="30"/>
  <c r="BD55" i="30"/>
  <c r="BD52" i="30"/>
  <c r="BD66" i="30"/>
  <c r="BP70" i="30"/>
  <c r="BP56" i="30"/>
  <c r="BT68" i="30"/>
  <c r="BT54" i="30"/>
  <c r="BW31" i="30"/>
  <c r="DH30" i="18"/>
  <c r="BB27" i="18"/>
  <c r="BB25" i="18"/>
  <c r="DH8" i="18"/>
  <c r="DH11" i="18"/>
  <c r="DQ4" i="18"/>
  <c r="DQ5" i="18"/>
  <c r="BB67" i="30"/>
  <c r="BB53" i="30"/>
  <c r="C38" i="18"/>
  <c r="BF69" i="30"/>
  <c r="BF55" i="30"/>
  <c r="BF66" i="30"/>
  <c r="BF52" i="30"/>
  <c r="BI57" i="30"/>
  <c r="BI71" i="30"/>
  <c r="BQ65" i="30"/>
  <c r="BQ51" i="30"/>
  <c r="BQ67" i="30"/>
  <c r="BQ53" i="30"/>
  <c r="DJ17" i="18"/>
  <c r="DJ12" i="18"/>
  <c r="DK30" i="18"/>
  <c r="DK16" i="18"/>
  <c r="DK4" i="18"/>
  <c r="DK6" i="18"/>
  <c r="DO17" i="18"/>
  <c r="BC40" i="30"/>
  <c r="BA40" i="30" s="1"/>
  <c r="BG65" i="30"/>
  <c r="BG51" i="30"/>
  <c r="BJ69" i="31"/>
  <c r="BJ55" i="31"/>
  <c r="BJ74" i="30"/>
  <c r="BJ60" i="30"/>
  <c r="BN54" i="30"/>
  <c r="BN68" i="30"/>
  <c r="BU75" i="30"/>
  <c r="BU61" i="30"/>
  <c r="DM26" i="18"/>
  <c r="DM15" i="18"/>
  <c r="DM12" i="18"/>
  <c r="DI29" i="18"/>
  <c r="DI25" i="18"/>
  <c r="DI6" i="18"/>
  <c r="BH76" i="30"/>
  <c r="BH62" i="30"/>
  <c r="BO62" i="30"/>
  <c r="BO76" i="30"/>
  <c r="BO69" i="30"/>
  <c r="BO55" i="30"/>
  <c r="BO66" i="30"/>
  <c r="BO52" i="30"/>
  <c r="BS72" i="30"/>
  <c r="BS58" i="30"/>
  <c r="BS73" i="30"/>
  <c r="BS59" i="30"/>
  <c r="DL21" i="18"/>
  <c r="DL7" i="18"/>
  <c r="DN10" i="18"/>
  <c r="BD75" i="30"/>
  <c r="BD61" i="30"/>
  <c r="BE76" i="30"/>
  <c r="BE62" i="30"/>
  <c r="BE55" i="30"/>
  <c r="BE69" i="30"/>
  <c r="BE66" i="30"/>
  <c r="BE52" i="30"/>
  <c r="BY58" i="30"/>
  <c r="BY72" i="30"/>
  <c r="BY73" i="30"/>
  <c r="BY59" i="30"/>
  <c r="BP57" i="30"/>
  <c r="BP71" i="30"/>
  <c r="BP75" i="30"/>
  <c r="BP61" i="30"/>
  <c r="BT69" i="31"/>
  <c r="BT55" i="31"/>
  <c r="BT74" i="30"/>
  <c r="BT60" i="30"/>
  <c r="DH20" i="18"/>
  <c r="DH4" i="18"/>
  <c r="BB2" i="18"/>
  <c r="DH5" i="18"/>
  <c r="BB35" i="30"/>
  <c r="BA35" i="30" s="1"/>
  <c r="C36" i="18"/>
  <c r="BB46" i="31"/>
  <c r="BA46" i="31" s="1"/>
  <c r="C41" i="18"/>
  <c r="BI69" i="31"/>
  <c r="BI55" i="31"/>
  <c r="BI60" i="30"/>
  <c r="BI74" i="30"/>
  <c r="BM68" i="30"/>
  <c r="BM54" i="30"/>
  <c r="BX61" i="30"/>
  <c r="BX75" i="30"/>
  <c r="DJ20" i="18"/>
  <c r="DK29" i="18"/>
  <c r="DK14" i="18"/>
  <c r="DK10" i="18"/>
  <c r="DO22" i="18"/>
  <c r="DO16" i="18"/>
  <c r="BC71" i="30"/>
  <c r="BC57" i="30"/>
  <c r="BC73" i="30"/>
  <c r="BC59" i="30"/>
  <c r="BJ65" i="30"/>
  <c r="BJ51" i="30"/>
  <c r="BJ67" i="30"/>
  <c r="BJ53" i="30"/>
  <c r="BN70" i="30"/>
  <c r="BN56" i="30"/>
  <c r="BU31" i="30"/>
  <c r="DM25" i="18"/>
  <c r="DM17" i="18"/>
  <c r="DI8" i="18"/>
  <c r="BH52" i="30"/>
  <c r="BH66" i="30"/>
  <c r="BK31" i="30"/>
  <c r="BO65" i="30"/>
  <c r="BO51" i="30"/>
  <c r="BO67" i="30"/>
  <c r="BO53" i="30"/>
  <c r="BS70" i="30"/>
  <c r="BS56" i="30"/>
  <c r="DL28" i="18"/>
  <c r="DL13" i="18"/>
  <c r="DL9" i="18"/>
  <c r="DN14" i="18"/>
  <c r="BD76" i="30"/>
  <c r="BD62" i="30"/>
  <c r="BY70" i="30"/>
  <c r="BY56" i="30"/>
  <c r="BT57" i="30"/>
  <c r="BT71" i="30"/>
  <c r="BW62" i="30"/>
  <c r="BW76" i="30"/>
  <c r="BW55" i="30"/>
  <c r="BW69" i="30"/>
  <c r="BW66" i="30"/>
  <c r="BW52" i="30"/>
  <c r="BB24" i="18"/>
  <c r="BB13" i="18"/>
  <c r="BB49" i="31"/>
  <c r="BA49" i="31" s="1"/>
  <c r="BB58" i="30"/>
  <c r="BB72" i="30"/>
  <c r="C34" i="18"/>
  <c r="BM76" i="30"/>
  <c r="BM62" i="30"/>
  <c r="BM69" i="30"/>
  <c r="BM55" i="30"/>
  <c r="BM66" i="30"/>
  <c r="BM52" i="30"/>
  <c r="BQ57" i="30"/>
  <c r="BQ71" i="30"/>
  <c r="BX31" i="30"/>
  <c r="DJ14" i="18"/>
  <c r="DK23" i="18"/>
  <c r="DK25" i="18"/>
  <c r="DK11" i="18"/>
  <c r="DO3" i="18"/>
  <c r="BC55" i="31"/>
  <c r="BC69" i="31"/>
  <c r="BG68" i="30"/>
  <c r="BG54" i="30"/>
  <c r="BN61" i="30"/>
  <c r="BN75" i="30"/>
  <c r="BU72" i="30"/>
  <c r="BU58" i="30"/>
  <c r="DI13" i="18"/>
  <c r="DI10" i="18"/>
  <c r="BH60" i="30"/>
  <c r="BH74" i="30"/>
  <c r="BO31" i="30"/>
  <c r="BV62" i="30"/>
  <c r="BV76" i="30"/>
  <c r="BV69" i="30"/>
  <c r="BV55" i="30"/>
  <c r="BV66" i="30"/>
  <c r="BV52" i="30"/>
  <c r="DL19" i="18"/>
  <c r="DN19" i="18"/>
  <c r="BE31" i="30"/>
  <c r="BL55" i="30"/>
  <c r="BL69" i="30"/>
  <c r="BL66" i="30"/>
  <c r="BL52" i="30"/>
  <c r="BP54" i="30"/>
  <c r="BP68" i="30"/>
  <c r="BT31" i="30"/>
  <c r="BB22" i="18"/>
  <c r="DH26" i="18"/>
  <c r="BB19" i="18"/>
  <c r="BB15" i="18"/>
  <c r="BB12" i="18"/>
  <c r="DQ28" i="18"/>
  <c r="DQ21" i="18"/>
  <c r="DQ15" i="18"/>
  <c r="DQ17" i="18"/>
  <c r="BB69" i="31"/>
  <c r="BB55" i="31"/>
  <c r="BB66" i="30"/>
  <c r="BB52" i="30"/>
  <c r="BB44" i="30"/>
  <c r="BA44" i="30" s="1"/>
  <c r="BB39" i="30"/>
  <c r="BA39" i="30" s="1"/>
  <c r="BF58" i="30"/>
  <c r="BF72" i="30"/>
  <c r="BF59" i="30"/>
  <c r="BF73" i="30"/>
  <c r="BI45" i="30"/>
  <c r="BM65" i="30"/>
  <c r="BM51" i="30"/>
  <c r="BM53" i="30"/>
  <c r="BM67" i="30"/>
  <c r="BQ70" i="30"/>
  <c r="BQ56" i="30"/>
  <c r="DO11" i="18"/>
  <c r="DO7" i="18"/>
  <c r="BC67" i="30"/>
  <c r="BC53" i="30"/>
  <c r="BG60" i="30"/>
  <c r="BG74" i="30"/>
  <c r="BJ68" i="30"/>
  <c r="BJ54" i="30"/>
  <c r="BR75" i="30"/>
  <c r="BR61" i="30"/>
  <c r="DM22" i="18"/>
  <c r="DM24" i="18"/>
  <c r="DM13" i="18"/>
  <c r="DI11" i="18"/>
  <c r="BH67" i="30"/>
  <c r="BH53" i="30"/>
  <c r="BK70" i="30"/>
  <c r="BK56" i="30"/>
  <c r="BO68" i="30"/>
  <c r="BO54" i="30"/>
  <c r="DL25" i="18"/>
  <c r="DL17" i="18"/>
  <c r="DN17" i="18"/>
  <c r="DN8" i="18"/>
  <c r="BD70" i="30"/>
  <c r="BD56" i="30"/>
  <c r="BE50" i="30"/>
  <c r="BE64" i="30"/>
  <c r="BE72" i="30"/>
  <c r="BE58" i="30"/>
  <c r="BE59" i="30"/>
  <c r="BE73" i="30"/>
  <c r="BT76" i="30"/>
  <c r="BT62" i="30"/>
  <c r="BW45" i="30"/>
  <c r="DH28" i="18"/>
  <c r="BB17" i="18"/>
  <c r="BB21" i="18"/>
  <c r="C42" i="18"/>
  <c r="BF56" i="30"/>
  <c r="BF70" i="30"/>
  <c r="BM31" i="30"/>
  <c r="BQ61" i="30"/>
  <c r="BQ75" i="30"/>
  <c r="BX55" i="31"/>
  <c r="BX69" i="31"/>
  <c r="BX74" i="30"/>
  <c r="BX60" i="30"/>
  <c r="DJ25" i="18"/>
  <c r="DJ9" i="18"/>
  <c r="DJ8" i="18"/>
  <c r="DK24" i="18"/>
  <c r="DO27" i="18"/>
  <c r="DO13" i="18"/>
  <c r="BC41" i="30"/>
  <c r="BG61" i="30"/>
  <c r="BG75" i="30"/>
  <c r="BJ62" i="30"/>
  <c r="BJ76" i="30"/>
  <c r="BJ69" i="30"/>
  <c r="BJ55" i="30"/>
  <c r="BJ66" i="30"/>
  <c r="BJ52" i="30"/>
  <c r="BN57" i="30"/>
  <c r="BN71" i="30"/>
  <c r="BH72" i="30"/>
  <c r="BH58" i="30"/>
  <c r="BH31" i="30"/>
  <c r="BK65" i="30"/>
  <c r="BK51" i="30"/>
  <c r="BK53" i="30"/>
  <c r="BK67" i="30"/>
  <c r="BO70" i="30"/>
  <c r="BO56" i="30"/>
  <c r="BS68" i="30"/>
  <c r="BS54" i="30"/>
  <c r="DL20" i="18"/>
  <c r="DL11" i="18"/>
  <c r="BE69" i="31"/>
  <c r="BE55" i="31"/>
  <c r="BE70" i="30"/>
  <c r="BE56" i="30"/>
  <c r="BY54" i="30"/>
  <c r="BY68" i="30"/>
  <c r="BT69" i="30"/>
  <c r="BT55" i="30"/>
  <c r="BT66" i="30"/>
  <c r="BT52" i="30"/>
  <c r="BW72" i="30"/>
  <c r="BW58" i="30"/>
  <c r="BW73" i="30"/>
  <c r="BW59" i="30"/>
  <c r="DH29" i="18"/>
  <c r="DQ20" i="18"/>
  <c r="BB46" i="30"/>
  <c r="BI62" i="30"/>
  <c r="BI76" i="30"/>
  <c r="BI69" i="30"/>
  <c r="BI55" i="30"/>
  <c r="BI52" i="30"/>
  <c r="BI66" i="30"/>
  <c r="BM71" i="30"/>
  <c r="BM57" i="30"/>
  <c r="BQ31" i="30"/>
  <c r="DJ27" i="18"/>
  <c r="DJ10" i="18"/>
  <c r="DK26" i="18"/>
  <c r="DK15" i="18"/>
  <c r="DK12" i="18"/>
  <c r="DO9" i="18"/>
  <c r="BC54" i="30"/>
  <c r="BC68" i="30"/>
  <c r="BJ75" i="30"/>
  <c r="BJ61" i="30"/>
  <c r="BR72" i="30"/>
  <c r="BR58" i="30"/>
  <c r="BR73" i="30"/>
  <c r="BR59" i="30"/>
  <c r="DM30" i="18"/>
  <c r="DI2" i="18"/>
  <c r="BO75" i="30"/>
  <c r="BO61" i="30"/>
  <c r="BV58" i="30"/>
  <c r="BV72" i="30"/>
  <c r="BV73" i="30"/>
  <c r="BV59" i="30"/>
  <c r="DL10" i="18"/>
  <c r="DN13" i="18"/>
  <c r="DN23" i="18"/>
  <c r="DN11" i="18"/>
  <c r="BT51" i="30"/>
  <c r="BT65" i="30"/>
  <c r="BT67" i="30"/>
  <c r="BT53" i="30"/>
  <c r="BW70" i="30"/>
  <c r="BW56" i="30"/>
  <c r="DH13" i="18"/>
  <c r="BB49" i="30"/>
  <c r="BA49" i="30" s="1"/>
  <c r="BI65" i="30"/>
  <c r="BI51" i="30"/>
  <c r="BI67" i="30"/>
  <c r="BI53" i="30"/>
  <c r="BM70" i="30"/>
  <c r="BM56" i="30"/>
  <c r="DJ19" i="18"/>
  <c r="DO30" i="18"/>
  <c r="DO25" i="18"/>
  <c r="DO20" i="18"/>
  <c r="DO21" i="18"/>
  <c r="DO6" i="18"/>
  <c r="DO29" i="18"/>
  <c r="BC62" i="30"/>
  <c r="BC76" i="30"/>
  <c r="BC69" i="30"/>
  <c r="BC55" i="30"/>
  <c r="BC66" i="30"/>
  <c r="BC52" i="30"/>
  <c r="BC74" i="30"/>
  <c r="BC60" i="30"/>
  <c r="BC47" i="30"/>
  <c r="BG66" i="30"/>
  <c r="BG52" i="30"/>
  <c r="BR55" i="31"/>
  <c r="BR69" i="31"/>
  <c r="BR60" i="30"/>
  <c r="BR74" i="30"/>
  <c r="BU74" i="30"/>
  <c r="BU60" i="30"/>
  <c r="BU59" i="30"/>
  <c r="BU73" i="30"/>
  <c r="BH69" i="31"/>
  <c r="BH55" i="31"/>
  <c r="BK72" i="30"/>
  <c r="BK58" i="30"/>
  <c r="BK73" i="30"/>
  <c r="BK59" i="30"/>
  <c r="BO45" i="30"/>
  <c r="BS65" i="30"/>
  <c r="BS51" i="30"/>
  <c r="BS53" i="30"/>
  <c r="BS67" i="30"/>
  <c r="BV56" i="30"/>
  <c r="BV70" i="30"/>
  <c r="DL18" i="18"/>
  <c r="DL2" i="18"/>
  <c r="DL5" i="18"/>
  <c r="DN27" i="18"/>
  <c r="DN12" i="18"/>
  <c r="DN6" i="18"/>
  <c r="DN2" i="18"/>
  <c r="BD72" i="30"/>
  <c r="BD58" i="30"/>
  <c r="BD73" i="30"/>
  <c r="BD59" i="30"/>
  <c r="BE45" i="30"/>
  <c r="BY65" i="30"/>
  <c r="BY51" i="30"/>
  <c r="BY67" i="30"/>
  <c r="BY53" i="30"/>
  <c r="BL70" i="30"/>
  <c r="BL56" i="30"/>
  <c r="BT45" i="30"/>
  <c r="BW65" i="30"/>
  <c r="BW51" i="30"/>
  <c r="BW53" i="30"/>
  <c r="BW67" i="30"/>
  <c r="DH22" i="18"/>
  <c r="BB26" i="18"/>
  <c r="DH12" i="18"/>
  <c r="BB7" i="18"/>
  <c r="DH6" i="18"/>
  <c r="DQ13" i="18"/>
  <c r="DQ10" i="18"/>
  <c r="C43" i="18"/>
  <c r="BB55" i="30"/>
  <c r="BB69" i="30"/>
  <c r="BB37" i="30"/>
  <c r="BA37" i="30" s="1"/>
  <c r="C44" i="18"/>
  <c r="C47" i="18"/>
  <c r="BF68" i="30"/>
  <c r="BF54" i="30"/>
  <c r="BM75" i="30"/>
  <c r="BM61" i="30"/>
  <c r="BX58" i="30"/>
  <c r="BX72" i="30"/>
  <c r="BX73" i="30"/>
  <c r="BX59" i="30"/>
  <c r="DJ23" i="18"/>
  <c r="DJ6" i="18"/>
  <c r="DK22" i="18"/>
  <c r="DO24" i="18"/>
  <c r="DO18" i="18"/>
  <c r="BC38" i="30"/>
  <c r="BG69" i="31"/>
  <c r="BG55" i="31"/>
  <c r="BJ71" i="30"/>
  <c r="BJ57" i="30"/>
  <c r="BN31" i="30"/>
  <c r="BU69" i="31"/>
  <c r="BU55" i="31"/>
  <c r="DM14" i="18"/>
  <c r="DM2" i="18"/>
  <c r="DI30" i="18"/>
  <c r="DI15" i="18"/>
  <c r="DI12" i="18"/>
  <c r="DI7" i="18"/>
  <c r="BO71" i="30"/>
  <c r="BO57" i="30"/>
  <c r="BS45" i="30"/>
  <c r="BV65" i="30"/>
  <c r="BV51" i="30"/>
  <c r="BV67" i="30"/>
  <c r="BV53" i="30"/>
  <c r="DL22" i="18"/>
  <c r="DL8" i="18"/>
  <c r="DN28" i="18"/>
  <c r="DN25" i="18"/>
  <c r="DN21" i="18"/>
  <c r="DN3" i="18"/>
  <c r="BE71" i="30"/>
  <c r="BE57" i="30"/>
  <c r="BE54" i="30"/>
  <c r="BE68" i="30"/>
  <c r="BY31" i="30"/>
  <c r="BL65" i="30"/>
  <c r="BL51" i="30"/>
  <c r="BL53" i="30"/>
  <c r="BL67" i="30"/>
  <c r="BP69" i="31"/>
  <c r="BP55" i="31"/>
  <c r="BP74" i="30"/>
  <c r="BP60" i="30"/>
  <c r="BB30" i="18"/>
  <c r="DH25" i="18"/>
  <c r="DH17" i="18"/>
  <c r="DQ16" i="18"/>
  <c r="DQ7" i="18"/>
  <c r="DQ3" i="18"/>
  <c r="BB75" i="30"/>
  <c r="BB61" i="30"/>
  <c r="BB33" i="30"/>
  <c r="BI58" i="30"/>
  <c r="BI72" i="30"/>
  <c r="BI73" i="30"/>
  <c r="BI59" i="30"/>
  <c r="BM45" i="30"/>
  <c r="BX69" i="30"/>
  <c r="BX55" i="30"/>
  <c r="BX66" i="30"/>
  <c r="BX52" i="30"/>
  <c r="DJ22" i="18"/>
  <c r="DK28" i="18"/>
  <c r="DK13" i="18"/>
  <c r="BG67" i="30"/>
  <c r="BG53" i="30"/>
  <c r="BJ70" i="30"/>
  <c r="BJ56" i="30"/>
  <c r="BR31" i="30"/>
  <c r="DI17" i="18"/>
  <c r="BK61" i="30"/>
  <c r="BK75" i="30"/>
  <c r="BS57" i="30"/>
  <c r="BS71" i="30"/>
  <c r="BV31" i="30"/>
  <c r="DN5" i="18"/>
  <c r="DN7" i="18"/>
  <c r="BD57" i="30"/>
  <c r="BD71" i="30"/>
  <c r="BY57" i="30"/>
  <c r="BY71" i="30"/>
  <c r="BT70" i="30"/>
  <c r="BT56" i="30"/>
  <c r="BW68" i="30"/>
  <c r="BW54" i="30"/>
  <c r="BB29" i="18"/>
  <c r="BB20" i="18"/>
  <c r="BB4" i="18"/>
  <c r="BB10" i="18"/>
  <c r="BB5" i="18"/>
  <c r="DQ25" i="18"/>
  <c r="C35" i="18"/>
  <c r="C40" i="18"/>
  <c r="BA32" i="30"/>
  <c r="BF65" i="30"/>
  <c r="BF51" i="30"/>
  <c r="BF53" i="30"/>
  <c r="BF67" i="30"/>
  <c r="BI70" i="30"/>
  <c r="BI56" i="30"/>
  <c r="BX71" i="30"/>
  <c r="BX57" i="30"/>
  <c r="DJ7" i="18"/>
  <c r="DO14" i="18"/>
  <c r="DO5" i="18"/>
  <c r="BC72" i="30"/>
  <c r="BC58" i="30"/>
  <c r="BG72" i="30"/>
  <c r="BG58" i="30"/>
  <c r="BN69" i="31"/>
  <c r="BN55" i="31"/>
  <c r="BN60" i="30"/>
  <c r="BN74" i="30"/>
  <c r="BR54" i="30"/>
  <c r="BR68" i="30"/>
  <c r="DM28" i="18"/>
  <c r="DM21" i="18"/>
  <c r="DM7" i="18"/>
  <c r="DM6" i="18"/>
  <c r="DI4" i="18"/>
  <c r="BH73" i="30"/>
  <c r="BH59" i="30"/>
  <c r="BS69" i="31"/>
  <c r="BS55" i="31"/>
  <c r="BS74" i="30"/>
  <c r="BS60" i="30"/>
  <c r="BV68" i="30"/>
  <c r="BV54" i="30"/>
  <c r="DL30" i="18"/>
  <c r="DN24" i="18"/>
  <c r="BE65" i="30"/>
  <c r="BE51" i="30"/>
  <c r="BE67" i="30"/>
  <c r="BE53" i="30"/>
  <c r="BY69" i="31"/>
  <c r="BY55" i="31"/>
  <c r="BY60" i="30"/>
  <c r="BY74" i="30"/>
  <c r="BL58" i="30"/>
  <c r="BL72" i="30"/>
  <c r="BL73" i="30"/>
  <c r="BL59" i="30"/>
  <c r="BP31" i="30"/>
  <c r="BT75" i="30"/>
  <c r="BT61" i="30"/>
  <c r="DH23" i="18"/>
  <c r="DH18" i="18"/>
  <c r="BB16" i="18"/>
  <c r="DH24" i="18"/>
  <c r="DH14" i="18"/>
  <c r="DH9" i="18"/>
  <c r="DQ22" i="18"/>
  <c r="DQ24" i="18"/>
  <c r="DQ9" i="18"/>
  <c r="BB71" i="30"/>
  <c r="BB57" i="30"/>
  <c r="BB34" i="30"/>
  <c r="BA34" i="30" s="1"/>
  <c r="BI61" i="30"/>
  <c r="BI75" i="30"/>
  <c r="BQ58" i="30"/>
  <c r="BQ72" i="30"/>
  <c r="BQ73" i="30"/>
  <c r="BQ59" i="30"/>
  <c r="DJ28" i="18"/>
  <c r="DJ13" i="18"/>
  <c r="DJ26" i="18"/>
  <c r="DJ15" i="18"/>
  <c r="DK9" i="18"/>
  <c r="DK8" i="18"/>
  <c r="DO12" i="18"/>
  <c r="BC70" i="30"/>
  <c r="BC56" i="30"/>
  <c r="BJ31" i="30"/>
  <c r="BR62" i="30"/>
  <c r="BR76" i="30"/>
  <c r="BR69" i="30"/>
  <c r="BR55" i="30"/>
  <c r="BR52" i="30"/>
  <c r="BR66" i="30"/>
  <c r="BU71" i="30"/>
  <c r="BU57" i="30"/>
  <c r="BU68" i="30"/>
  <c r="BU54" i="30"/>
  <c r="DM29" i="18"/>
  <c r="DM23" i="18"/>
  <c r="DM8" i="18"/>
  <c r="DI24" i="18"/>
  <c r="DI14" i="18"/>
  <c r="BH69" i="30"/>
  <c r="BH55" i="30"/>
  <c r="BK68" i="30"/>
  <c r="BK54" i="30"/>
  <c r="BS75" i="30"/>
  <c r="BS61" i="30"/>
  <c r="DL29" i="18"/>
  <c r="DL23" i="18"/>
  <c r="DL15" i="18"/>
  <c r="DL12" i="18"/>
  <c r="BD68" i="30"/>
  <c r="BD54" i="30"/>
  <c r="BY75" i="30"/>
  <c r="BY61" i="30"/>
  <c r="BL76" i="30"/>
  <c r="BL62" i="30"/>
  <c r="BW75" i="30"/>
  <c r="BW61" i="30"/>
  <c r="DQ18" i="18"/>
  <c r="BB62" i="30"/>
  <c r="BB76" i="30"/>
  <c r="BB70" i="30"/>
  <c r="BB56" i="30"/>
  <c r="BB60" i="30"/>
  <c r="BB74" i="30"/>
  <c r="C39" i="18"/>
  <c r="BF62" i="30"/>
  <c r="BF76" i="30"/>
  <c r="BQ69" i="31"/>
  <c r="BQ55" i="31"/>
  <c r="BQ60" i="30"/>
  <c r="BQ74" i="30"/>
  <c r="BX68" i="30"/>
  <c r="BX54" i="30"/>
  <c r="DJ29" i="18"/>
  <c r="DJ18" i="18"/>
  <c r="DJ11" i="18"/>
  <c r="DK27" i="18"/>
  <c r="DK20" i="18"/>
  <c r="DO15" i="18"/>
  <c r="DO4" i="18"/>
  <c r="DO23" i="18"/>
  <c r="BC65" i="30"/>
  <c r="BC51" i="30"/>
  <c r="BG62" i="30"/>
  <c r="BG76" i="30"/>
  <c r="BG69" i="30"/>
  <c r="BG55" i="30"/>
  <c r="BU76" i="30"/>
  <c r="BU62" i="30"/>
  <c r="BU69" i="30"/>
  <c r="BU55" i="30"/>
  <c r="BU52" i="30"/>
  <c r="BU66" i="30"/>
  <c r="DM16" i="18"/>
  <c r="DM5" i="18"/>
  <c r="DI26" i="18"/>
  <c r="BH51" i="30"/>
  <c r="BH65" i="30"/>
  <c r="BK55" i="31"/>
  <c r="BK69" i="31"/>
  <c r="BK74" i="30"/>
  <c r="BK60" i="30"/>
  <c r="BV61" i="30"/>
  <c r="BV75" i="30"/>
  <c r="DN29" i="18"/>
  <c r="BD69" i="31"/>
  <c r="BD55" i="31"/>
  <c r="BD74" i="30"/>
  <c r="BD60" i="30"/>
  <c r="BY45" i="30"/>
  <c r="BL71" i="30"/>
  <c r="BL57" i="30"/>
  <c r="BL61" i="30"/>
  <c r="BL75" i="30"/>
  <c r="BP76" i="30"/>
  <c r="BP62" i="30"/>
  <c r="BP55" i="30"/>
  <c r="BP69" i="30"/>
  <c r="BP52" i="30"/>
  <c r="BP66" i="30"/>
  <c r="BT72" i="30"/>
  <c r="BT58" i="30"/>
  <c r="BT59" i="30"/>
  <c r="BT73" i="30"/>
  <c r="BB28" i="18"/>
  <c r="DH27" i="18"/>
  <c r="DH21" i="18"/>
  <c r="BB8" i="18"/>
  <c r="BB11" i="18"/>
  <c r="DQ23" i="18"/>
  <c r="DQ14" i="18"/>
  <c r="DQ6" i="18"/>
  <c r="DQ11" i="18"/>
  <c r="BB51" i="30"/>
  <c r="BB65" i="30"/>
  <c r="BB42" i="30"/>
  <c r="BA42" i="30" s="1"/>
  <c r="C33" i="18"/>
  <c r="BF69" i="31"/>
  <c r="BF55" i="31"/>
  <c r="BF74" i="30"/>
  <c r="BF60" i="30"/>
  <c r="BI68" i="30"/>
  <c r="BI54" i="30"/>
  <c r="BX56" i="30"/>
  <c r="BX70" i="30"/>
  <c r="DJ21" i="18"/>
  <c r="DJ4" i="18"/>
  <c r="DK2" i="18"/>
  <c r="DD3" i="18"/>
  <c r="DK3" i="18"/>
  <c r="DI3" i="18"/>
  <c r="DL3" i="18"/>
  <c r="DF3" i="18"/>
  <c r="DE3" i="18"/>
  <c r="DH3" i="18"/>
  <c r="DJ3" i="18"/>
  <c r="DM3" i="18"/>
  <c r="F48" i="37" l="1"/>
  <c r="CZ48" i="18"/>
  <c r="CW48" i="18"/>
  <c r="BA20" i="38"/>
  <c r="BL20" i="38" s="1"/>
  <c r="AM70" i="38"/>
  <c r="AM56" i="38"/>
  <c r="DG24" i="38"/>
  <c r="DR24" i="38" s="1"/>
  <c r="CS55" i="38"/>
  <c r="CS69" i="38"/>
  <c r="BA66" i="43"/>
  <c r="CS38" i="38"/>
  <c r="DG2" i="38"/>
  <c r="DR2" i="38" s="1"/>
  <c r="DR38" i="38" s="1"/>
  <c r="CS46" i="38"/>
  <c r="DG10" i="38"/>
  <c r="DR10" i="38" s="1"/>
  <c r="DR46" i="38" s="1"/>
  <c r="CD32" i="38"/>
  <c r="CD31" i="38"/>
  <c r="CO31" i="38"/>
  <c r="CO32" i="38"/>
  <c r="F40" i="32"/>
  <c r="H40" i="32" s="1"/>
  <c r="H4" i="32"/>
  <c r="C74" i="42"/>
  <c r="C72" i="42"/>
  <c r="C72" i="43"/>
  <c r="Q73" i="32"/>
  <c r="AI63" i="32"/>
  <c r="Y45" i="38"/>
  <c r="Y46" i="38"/>
  <c r="Y32" i="38"/>
  <c r="Y31" i="38"/>
  <c r="BV63" i="43"/>
  <c r="BC63" i="42"/>
  <c r="Q74" i="32"/>
  <c r="EJ49" i="38"/>
  <c r="EJ48" i="38"/>
  <c r="EU48" i="38"/>
  <c r="EU49" i="38"/>
  <c r="AR32" i="32"/>
  <c r="AS3" i="32"/>
  <c r="D3" i="45" s="1"/>
  <c r="C66" i="42"/>
  <c r="D63" i="42"/>
  <c r="C66" i="43"/>
  <c r="P46" i="32"/>
  <c r="P45" i="32"/>
  <c r="Q45" i="32"/>
  <c r="Q46" i="32"/>
  <c r="F38" i="32"/>
  <c r="H38" i="32" s="1"/>
  <c r="H2" i="32"/>
  <c r="Q50" i="32"/>
  <c r="D48" i="42"/>
  <c r="C54" i="42"/>
  <c r="AR54" i="32"/>
  <c r="AS54" i="32" s="1"/>
  <c r="AR68" i="32"/>
  <c r="AS68" i="32" s="1"/>
  <c r="AS9" i="32"/>
  <c r="D9" i="45" s="1"/>
  <c r="AM40" i="38"/>
  <c r="BA4" i="38"/>
  <c r="BL4" i="38" s="1"/>
  <c r="BL40" i="38" s="1"/>
  <c r="AM43" i="38"/>
  <c r="BA28" i="38"/>
  <c r="BL28" i="38" s="1"/>
  <c r="BL43" i="38" s="1"/>
  <c r="P64" i="32"/>
  <c r="P63" i="32"/>
  <c r="AU45" i="38"/>
  <c r="CV63" i="38"/>
  <c r="CS51" i="38"/>
  <c r="DG21" i="38"/>
  <c r="DR21" i="38" s="1"/>
  <c r="CS65" i="38"/>
  <c r="AM46" i="38"/>
  <c r="BA10" i="38"/>
  <c r="BA61" i="42"/>
  <c r="CS61" i="38"/>
  <c r="DG18" i="38"/>
  <c r="DR18" i="38" s="1"/>
  <c r="CS75" i="38"/>
  <c r="CS36" i="38"/>
  <c r="DG26" i="38"/>
  <c r="DR26" i="38" s="1"/>
  <c r="DR36" i="38" s="1"/>
  <c r="C56" i="42"/>
  <c r="C56" i="43"/>
  <c r="BA23" i="38"/>
  <c r="BL23" i="38" s="1"/>
  <c r="BL49" i="38" s="1"/>
  <c r="AM49" i="38"/>
  <c r="AR38" i="32"/>
  <c r="AS38" i="32" s="1"/>
  <c r="AS2" i="32"/>
  <c r="D2" i="45" s="1"/>
  <c r="AR46" i="32"/>
  <c r="AS10" i="32"/>
  <c r="D10" i="45" s="1"/>
  <c r="O63" i="43"/>
  <c r="AR39" i="32"/>
  <c r="AS39" i="32" s="1"/>
  <c r="AS11" i="32"/>
  <c r="D11" i="45" s="1"/>
  <c r="F33" i="32"/>
  <c r="H33" i="32" s="1"/>
  <c r="H13" i="32"/>
  <c r="AR65" i="32"/>
  <c r="AS65" i="32" s="1"/>
  <c r="AR51" i="32"/>
  <c r="AS51" i="32" s="1"/>
  <c r="AS21" i="32"/>
  <c r="D21" i="45" s="1"/>
  <c r="P32" i="32"/>
  <c r="P31" i="32"/>
  <c r="Q31" i="32"/>
  <c r="Q32" i="32"/>
  <c r="EU58" i="38"/>
  <c r="CO74" i="38"/>
  <c r="G63" i="43"/>
  <c r="BP63" i="43"/>
  <c r="EU54" i="38"/>
  <c r="BS63" i="42"/>
  <c r="BD63" i="43"/>
  <c r="BB51" i="32"/>
  <c r="CO51" i="38"/>
  <c r="C71" i="43"/>
  <c r="CO58" i="38"/>
  <c r="L63" i="43"/>
  <c r="BA58" i="42"/>
  <c r="BA58" i="43"/>
  <c r="DA45" i="38"/>
  <c r="BA21" i="38"/>
  <c r="BL21" i="38" s="1"/>
  <c r="AM65" i="38"/>
  <c r="AM51" i="38"/>
  <c r="BA50" i="42"/>
  <c r="BA64" i="43"/>
  <c r="BB63" i="43"/>
  <c r="BA30" i="38"/>
  <c r="BL30" i="38" s="1"/>
  <c r="BL35" i="38" s="1"/>
  <c r="AM35" i="38"/>
  <c r="H63" i="43"/>
  <c r="F69" i="32"/>
  <c r="H69" i="32" s="1"/>
  <c r="F55" i="32"/>
  <c r="H55" i="32" s="1"/>
  <c r="H24" i="32"/>
  <c r="AR43" i="32"/>
  <c r="AS43" i="32" s="1"/>
  <c r="AS28" i="32"/>
  <c r="D28" i="45" s="1"/>
  <c r="BA59" i="42"/>
  <c r="CS59" i="38"/>
  <c r="DG7" i="38"/>
  <c r="DR7" i="38" s="1"/>
  <c r="CS73" i="38"/>
  <c r="CS49" i="38"/>
  <c r="DG23" i="38"/>
  <c r="DR23" i="38" s="1"/>
  <c r="DR49" i="38" s="1"/>
  <c r="C48" i="29"/>
  <c r="BE63" i="42"/>
  <c r="CO52" i="38"/>
  <c r="BN63" i="43"/>
  <c r="CU63" i="38"/>
  <c r="C61" i="43"/>
  <c r="AR37" i="32"/>
  <c r="AS37" i="32" s="1"/>
  <c r="AS22" i="32"/>
  <c r="D22" i="45" s="1"/>
  <c r="AR35" i="32"/>
  <c r="AS35" i="32" s="1"/>
  <c r="AS30" i="32"/>
  <c r="D30" i="45" s="1"/>
  <c r="N63" i="42"/>
  <c r="CU48" i="38"/>
  <c r="C59" i="42"/>
  <c r="C76" i="43"/>
  <c r="AR67" i="32"/>
  <c r="AS67" i="32" s="1"/>
  <c r="AR53" i="32"/>
  <c r="AS53" i="32" s="1"/>
  <c r="AS5" i="32"/>
  <c r="D5" i="45" s="1"/>
  <c r="C50" i="42"/>
  <c r="D63" i="43"/>
  <c r="C64" i="43"/>
  <c r="AW45" i="38"/>
  <c r="BL63" i="43"/>
  <c r="CO72" i="38"/>
  <c r="CO61" i="38"/>
  <c r="CX45" i="38"/>
  <c r="AW48" i="38"/>
  <c r="G63" i="42"/>
  <c r="BB55" i="32"/>
  <c r="BJ63" i="43"/>
  <c r="AN63" i="38"/>
  <c r="EU65" i="38"/>
  <c r="BD63" i="42"/>
  <c r="BB68" i="32"/>
  <c r="BA27" i="38"/>
  <c r="BL27" i="38" s="1"/>
  <c r="AM62" i="38"/>
  <c r="AM76" i="38"/>
  <c r="DG27" i="38"/>
  <c r="DR27" i="38" s="1"/>
  <c r="CS62" i="38"/>
  <c r="CS76" i="38"/>
  <c r="F35" i="32"/>
  <c r="H35" i="32" s="1"/>
  <c r="H30" i="32"/>
  <c r="L63" i="42"/>
  <c r="AP45" i="38"/>
  <c r="BA70" i="43"/>
  <c r="CD64" i="38"/>
  <c r="CD63" i="38"/>
  <c r="CW63" i="38"/>
  <c r="BA67" i="42"/>
  <c r="BA68" i="42"/>
  <c r="CS54" i="38"/>
  <c r="DG9" i="38"/>
  <c r="DR9" i="38" s="1"/>
  <c r="CS68" i="38"/>
  <c r="BA71" i="42"/>
  <c r="M48" i="43"/>
  <c r="S48" i="42"/>
  <c r="K63" i="43"/>
  <c r="AR60" i="32"/>
  <c r="AS60" i="32" s="1"/>
  <c r="AR74" i="32"/>
  <c r="AS74" i="32" s="1"/>
  <c r="AS12" i="32"/>
  <c r="D12" i="45" s="1"/>
  <c r="F43" i="32"/>
  <c r="H43" i="32" s="1"/>
  <c r="H28" i="32"/>
  <c r="Q75" i="32"/>
  <c r="AQ63" i="38"/>
  <c r="BA52" i="42"/>
  <c r="AA63" i="43"/>
  <c r="AT48" i="38"/>
  <c r="AO31" i="38"/>
  <c r="E63" i="42"/>
  <c r="BM63" i="42"/>
  <c r="DG6" i="38"/>
  <c r="DR6" i="38" s="1"/>
  <c r="DR47" i="38" s="1"/>
  <c r="CS47" i="38"/>
  <c r="AM37" i="38"/>
  <c r="BA22" i="38"/>
  <c r="BL22" i="38" s="1"/>
  <c r="BL37" i="38" s="1"/>
  <c r="C60" i="42"/>
  <c r="F58" i="32"/>
  <c r="H58" i="32" s="1"/>
  <c r="F72" i="32"/>
  <c r="H72" i="32" s="1"/>
  <c r="H16" i="32"/>
  <c r="EU63" i="38"/>
  <c r="Z63" i="42"/>
  <c r="Q67" i="32"/>
  <c r="AR66" i="32"/>
  <c r="AR52" i="32"/>
  <c r="AS52" i="32" s="1"/>
  <c r="AS17" i="32"/>
  <c r="D17" i="45" s="1"/>
  <c r="Y63" i="43"/>
  <c r="BR63" i="42"/>
  <c r="Z63" i="43"/>
  <c r="F39" i="32"/>
  <c r="H39" i="32" s="1"/>
  <c r="H11" i="32"/>
  <c r="BG63" i="43"/>
  <c r="C31" i="29"/>
  <c r="F68" i="32"/>
  <c r="H68" i="32" s="1"/>
  <c r="F54" i="32"/>
  <c r="H54" i="32" s="1"/>
  <c r="H9" i="32"/>
  <c r="C57" i="42"/>
  <c r="BT63" i="43"/>
  <c r="BL10" i="38"/>
  <c r="BL46" i="38" s="1"/>
  <c r="DA31" i="38"/>
  <c r="BA60" i="43"/>
  <c r="AB63" i="42"/>
  <c r="BF63" i="43"/>
  <c r="F50" i="32"/>
  <c r="H50" i="32" s="1"/>
  <c r="F64" i="32"/>
  <c r="H64" i="32" s="1"/>
  <c r="H25" i="32"/>
  <c r="CU31" i="38"/>
  <c r="P63" i="43"/>
  <c r="BA46" i="42"/>
  <c r="BB45" i="42"/>
  <c r="BA45" i="42" s="1"/>
  <c r="BA75" i="42"/>
  <c r="BA75" i="43"/>
  <c r="S63" i="43"/>
  <c r="F56" i="32"/>
  <c r="H56" i="32" s="1"/>
  <c r="F70" i="32"/>
  <c r="H70" i="32" s="1"/>
  <c r="H20" i="32"/>
  <c r="Q56" i="32"/>
  <c r="AU63" i="38"/>
  <c r="DG3" i="38"/>
  <c r="DR3" i="38" s="1"/>
  <c r="DR32" i="38" s="1"/>
  <c r="CS32" i="38"/>
  <c r="AM39" i="38"/>
  <c r="BA11" i="38"/>
  <c r="BL11" i="38" s="1"/>
  <c r="BL39" i="38" s="1"/>
  <c r="CT48" i="38"/>
  <c r="BE63" i="43"/>
  <c r="X63" i="43"/>
  <c r="AO63" i="38"/>
  <c r="AR34" i="32"/>
  <c r="AS34" i="32" s="1"/>
  <c r="AS14" i="32"/>
  <c r="D14" i="45" s="1"/>
  <c r="Z48" i="42"/>
  <c r="C31" i="41"/>
  <c r="C59" i="43"/>
  <c r="AR42" i="32"/>
  <c r="AS42" i="32" s="1"/>
  <c r="AS19" i="32"/>
  <c r="D19" i="45" s="1"/>
  <c r="DC63" i="38"/>
  <c r="EU66" i="38"/>
  <c r="BB69" i="32"/>
  <c r="BY63" i="43"/>
  <c r="F37" i="32"/>
  <c r="H37" i="32" s="1"/>
  <c r="H22" i="32"/>
  <c r="AR33" i="32"/>
  <c r="AS33" i="32" s="1"/>
  <c r="AS13" i="32"/>
  <c r="D13" i="45" s="1"/>
  <c r="Q65" i="32"/>
  <c r="Y49" i="38"/>
  <c r="Y48" i="38"/>
  <c r="BA74" i="42"/>
  <c r="BA72" i="42"/>
  <c r="BA72" i="43"/>
  <c r="CZ63" i="38"/>
  <c r="W63" i="42"/>
  <c r="BF63" i="42"/>
  <c r="CS67" i="38"/>
  <c r="CS53" i="38"/>
  <c r="DG5" i="38"/>
  <c r="DR5" i="38" s="1"/>
  <c r="BA65" i="42"/>
  <c r="AM50" i="38"/>
  <c r="AM64" i="38"/>
  <c r="BA25" i="38"/>
  <c r="CZ48" i="38"/>
  <c r="AR41" i="32"/>
  <c r="AS41" i="32" s="1"/>
  <c r="AS8" i="32"/>
  <c r="D8" i="45" s="1"/>
  <c r="AR69" i="32"/>
  <c r="AS69" i="32" s="1"/>
  <c r="AR55" i="32"/>
  <c r="AS55" i="32" s="1"/>
  <c r="AS24" i="32"/>
  <c r="D24" i="45" s="1"/>
  <c r="DA48" i="38"/>
  <c r="AB31" i="41"/>
  <c r="BA73" i="42"/>
  <c r="CS39" i="38"/>
  <c r="DG11" i="38"/>
  <c r="DR11" i="38" s="1"/>
  <c r="DR39" i="38" s="1"/>
  <c r="AT63" i="16"/>
  <c r="F46" i="32"/>
  <c r="H10" i="32"/>
  <c r="C61" i="42"/>
  <c r="AR61" i="32"/>
  <c r="AS61" i="32" s="1"/>
  <c r="AR75" i="32"/>
  <c r="AS75" i="32" s="1"/>
  <c r="AS18" i="32"/>
  <c r="D18" i="45" s="1"/>
  <c r="AR36" i="32"/>
  <c r="AS36" i="32" s="1"/>
  <c r="AS26" i="32"/>
  <c r="D26" i="45" s="1"/>
  <c r="Q63" i="32"/>
  <c r="Q71" i="32"/>
  <c r="O63" i="42"/>
  <c r="C73" i="42"/>
  <c r="F42" i="32"/>
  <c r="H42" i="32" s="1"/>
  <c r="H19" i="32"/>
  <c r="C62" i="42"/>
  <c r="AR76" i="32"/>
  <c r="AS76" i="32" s="1"/>
  <c r="AR62" i="32"/>
  <c r="AS62" i="32" s="1"/>
  <c r="AS27" i="32"/>
  <c r="D27" i="45" s="1"/>
  <c r="Q76" i="32"/>
  <c r="C67" i="42"/>
  <c r="C67" i="43"/>
  <c r="C51" i="42"/>
  <c r="C64" i="42"/>
  <c r="Q63" i="42"/>
  <c r="AW63" i="38"/>
  <c r="EU67" i="38"/>
  <c r="BU63" i="43"/>
  <c r="AS45" i="38"/>
  <c r="AM32" i="38"/>
  <c r="BA3" i="38"/>
  <c r="BL3" i="38" s="1"/>
  <c r="BL32" i="38" s="1"/>
  <c r="BA15" i="38"/>
  <c r="BL15" i="38" s="1"/>
  <c r="BL44" i="38" s="1"/>
  <c r="AM44" i="38"/>
  <c r="AB48" i="41"/>
  <c r="BA62" i="42"/>
  <c r="CU45" i="38"/>
  <c r="F49" i="32"/>
  <c r="H23" i="32"/>
  <c r="CO73" i="38"/>
  <c r="CO69" i="38"/>
  <c r="CS70" i="38"/>
  <c r="DG20" i="38"/>
  <c r="DR20" i="38" s="1"/>
  <c r="CS56" i="38"/>
  <c r="BH63" i="43"/>
  <c r="AP63" i="38"/>
  <c r="BA53" i="42"/>
  <c r="BA9" i="38"/>
  <c r="BL9" i="38" s="1"/>
  <c r="AM54" i="38"/>
  <c r="AM68" i="38"/>
  <c r="BA71" i="43"/>
  <c r="CO46" i="38"/>
  <c r="CD46" i="38"/>
  <c r="CD45" i="38"/>
  <c r="CO45" i="38"/>
  <c r="T63" i="43"/>
  <c r="AB31" i="29"/>
  <c r="C74" i="43"/>
  <c r="BI63" i="42"/>
  <c r="DG8" i="38"/>
  <c r="DR8" i="38" s="1"/>
  <c r="DR41" i="38" s="1"/>
  <c r="CS41" i="38"/>
  <c r="BA24" i="38"/>
  <c r="BL24" i="38" s="1"/>
  <c r="AM55" i="38"/>
  <c r="AM69" i="38"/>
  <c r="BA69" i="43"/>
  <c r="F63" i="37"/>
  <c r="T63" i="42"/>
  <c r="DG14" i="38"/>
  <c r="DR14" i="38" s="1"/>
  <c r="DR34" i="38" s="1"/>
  <c r="CS34" i="38"/>
  <c r="BA44" i="32"/>
  <c r="BB44" i="32"/>
  <c r="F41" i="32"/>
  <c r="H41" i="32" s="1"/>
  <c r="H8" i="32"/>
  <c r="F74" i="32"/>
  <c r="H74" i="32" s="1"/>
  <c r="F60" i="32"/>
  <c r="H60" i="32" s="1"/>
  <c r="H12" i="32"/>
  <c r="C58" i="43"/>
  <c r="BK63" i="43"/>
  <c r="F66" i="32"/>
  <c r="H66" i="32" s="1"/>
  <c r="F52" i="32"/>
  <c r="H52" i="32" s="1"/>
  <c r="H17" i="32"/>
  <c r="Q51" i="32"/>
  <c r="U63" i="42"/>
  <c r="BT63" i="42"/>
  <c r="EU52" i="38"/>
  <c r="BS63" i="43"/>
  <c r="CO50" i="38"/>
  <c r="BC63" i="43"/>
  <c r="BA47" i="32"/>
  <c r="BB47" i="32"/>
  <c r="C54" i="43"/>
  <c r="C71" i="42"/>
  <c r="J63" i="42"/>
  <c r="AN45" i="38"/>
  <c r="CV45" i="38"/>
  <c r="BA74" i="43"/>
  <c r="W63" i="43"/>
  <c r="BA18" i="38"/>
  <c r="BL18" i="38" s="1"/>
  <c r="AM75" i="38"/>
  <c r="AM61" i="38"/>
  <c r="DG22" i="38"/>
  <c r="DR22" i="38" s="1"/>
  <c r="DR37" i="38" s="1"/>
  <c r="CS37" i="38"/>
  <c r="BA64" i="32"/>
  <c r="BA63" i="32"/>
  <c r="EJ63" i="38"/>
  <c r="EJ64" i="38"/>
  <c r="C70" i="43"/>
  <c r="AU48" i="38"/>
  <c r="BA32" i="43"/>
  <c r="BB31" i="43"/>
  <c r="BA31" i="43" s="1"/>
  <c r="AR47" i="32"/>
  <c r="AS47" i="32" s="1"/>
  <c r="AS6" i="32"/>
  <c r="D6" i="45" s="1"/>
  <c r="BK63" i="42"/>
  <c r="C73" i="43"/>
  <c r="AR49" i="32"/>
  <c r="AS23" i="32"/>
  <c r="D23" i="45" s="1"/>
  <c r="G63" i="32"/>
  <c r="C65" i="43"/>
  <c r="Y63" i="42"/>
  <c r="DC48" i="38"/>
  <c r="CT63" i="38"/>
  <c r="CO54" i="38"/>
  <c r="AN48" i="38"/>
  <c r="C57" i="43"/>
  <c r="BX63" i="43"/>
  <c r="BA60" i="42"/>
  <c r="AM72" i="38"/>
  <c r="AM58" i="38"/>
  <c r="BA16" i="38"/>
  <c r="BL16" i="38" s="1"/>
  <c r="BA67" i="43"/>
  <c r="AM33" i="38"/>
  <c r="BA13" i="38"/>
  <c r="BL13" i="38" s="1"/>
  <c r="BL33" i="38" s="1"/>
  <c r="BA51" i="42"/>
  <c r="BA50" i="43"/>
  <c r="F48" i="16"/>
  <c r="AM38" i="38"/>
  <c r="BA2" i="38"/>
  <c r="BL2" i="38" s="1"/>
  <c r="BL38" i="38" s="1"/>
  <c r="AB45" i="41"/>
  <c r="R63" i="42"/>
  <c r="S63" i="42"/>
  <c r="C55" i="42"/>
  <c r="C69" i="43"/>
  <c r="Q72" i="32"/>
  <c r="Q55" i="32"/>
  <c r="DA63" i="38"/>
  <c r="DG19" i="38"/>
  <c r="DR19" i="38" s="1"/>
  <c r="DR42" i="38" s="1"/>
  <c r="CS42" i="38"/>
  <c r="X63" i="42"/>
  <c r="EX63" i="38"/>
  <c r="D45" i="42"/>
  <c r="C45" i="42" s="1"/>
  <c r="C46" i="42"/>
  <c r="C75" i="42"/>
  <c r="C75" i="43"/>
  <c r="Q64" i="32"/>
  <c r="F32" i="32"/>
  <c r="H3" i="32"/>
  <c r="F73" i="32"/>
  <c r="H73" i="32" s="1"/>
  <c r="F59" i="32"/>
  <c r="H59" i="32" s="1"/>
  <c r="H7" i="32"/>
  <c r="F62" i="32"/>
  <c r="H62" i="32" s="1"/>
  <c r="F76" i="32"/>
  <c r="H76" i="32" s="1"/>
  <c r="H27" i="32"/>
  <c r="C62" i="43"/>
  <c r="C53" i="42"/>
  <c r="C53" i="43"/>
  <c r="C65" i="42"/>
  <c r="AR50" i="32"/>
  <c r="AS50" i="32" s="1"/>
  <c r="AR64" i="32"/>
  <c r="AS64" i="32" s="1"/>
  <c r="AS25" i="32"/>
  <c r="D25" i="45" s="1"/>
  <c r="CO76" i="38"/>
  <c r="BB58" i="32"/>
  <c r="F63" i="42"/>
  <c r="CY31" i="38"/>
  <c r="BW63" i="43"/>
  <c r="BA32" i="42"/>
  <c r="BB31" i="42"/>
  <c r="BA31" i="42" s="1"/>
  <c r="BA76" i="43"/>
  <c r="BA48" i="32"/>
  <c r="BA49" i="32"/>
  <c r="BB48" i="32"/>
  <c r="BB49" i="32"/>
  <c r="DC45" i="38"/>
  <c r="CO71" i="38"/>
  <c r="BU63" i="42"/>
  <c r="AM67" i="38"/>
  <c r="BA5" i="38"/>
  <c r="BL5" i="38" s="1"/>
  <c r="AM53" i="38"/>
  <c r="BA68" i="43"/>
  <c r="CS33" i="38"/>
  <c r="DG13" i="38"/>
  <c r="DR13" i="38" s="1"/>
  <c r="DR33" i="38" s="1"/>
  <c r="BA57" i="42"/>
  <c r="DG29" i="38"/>
  <c r="DR29" i="38" s="1"/>
  <c r="CS71" i="38"/>
  <c r="CS57" i="38"/>
  <c r="BQ63" i="43"/>
  <c r="BM63" i="43"/>
  <c r="AB48" i="42"/>
  <c r="F63" i="16"/>
  <c r="BH63" i="42"/>
  <c r="C60" i="43"/>
  <c r="Q58" i="32"/>
  <c r="CS40" i="38"/>
  <c r="DG4" i="38"/>
  <c r="DR4" i="38" s="1"/>
  <c r="DR40" i="38" s="1"/>
  <c r="DG28" i="38"/>
  <c r="DR28" i="38" s="1"/>
  <c r="DR43" i="38" s="1"/>
  <c r="CS43" i="38"/>
  <c r="EJ46" i="38"/>
  <c r="EJ45" i="38"/>
  <c r="EU46" i="38"/>
  <c r="EU45" i="38"/>
  <c r="AM52" i="38"/>
  <c r="AM66" i="38"/>
  <c r="BA17" i="38"/>
  <c r="BL17" i="38" s="1"/>
  <c r="DG17" i="38"/>
  <c r="DR17" i="38" s="1"/>
  <c r="CS66" i="38"/>
  <c r="CS63" i="38" s="1"/>
  <c r="CS52" i="38"/>
  <c r="BQ63" i="42"/>
  <c r="BB45" i="43"/>
  <c r="BA45" i="43" s="1"/>
  <c r="BA46" i="43"/>
  <c r="BA45" i="32"/>
  <c r="BA46" i="32"/>
  <c r="BB45" i="32"/>
  <c r="BB46" i="32"/>
  <c r="AR72" i="32"/>
  <c r="AS72" i="32" s="1"/>
  <c r="AR58" i="32"/>
  <c r="AS58" i="32" s="1"/>
  <c r="AS16" i="32"/>
  <c r="D16" i="45" s="1"/>
  <c r="D31" i="43"/>
  <c r="C31" i="43" s="1"/>
  <c r="C32" i="43"/>
  <c r="Q68" i="32"/>
  <c r="BG63" i="42"/>
  <c r="F57" i="32"/>
  <c r="H57" i="32" s="1"/>
  <c r="F71" i="32"/>
  <c r="H71" i="32" s="1"/>
  <c r="H29" i="32"/>
  <c r="BL63" i="42"/>
  <c r="BJ63" i="42"/>
  <c r="CS74" i="38"/>
  <c r="DG12" i="38"/>
  <c r="DR12" i="38" s="1"/>
  <c r="CS60" i="38"/>
  <c r="AA63" i="42"/>
  <c r="CV48" i="38"/>
  <c r="AM34" i="38"/>
  <c r="BA14" i="38"/>
  <c r="BL14" i="38" s="1"/>
  <c r="BL34" i="38" s="1"/>
  <c r="BA61" i="43"/>
  <c r="CS35" i="38"/>
  <c r="DG30" i="38"/>
  <c r="DR30" i="38" s="1"/>
  <c r="DR35" i="38" s="1"/>
  <c r="R63" i="43"/>
  <c r="AR56" i="32"/>
  <c r="AS56" i="32" s="1"/>
  <c r="AR70" i="32"/>
  <c r="AS70" i="32" s="1"/>
  <c r="AS20" i="32"/>
  <c r="D20" i="45" s="1"/>
  <c r="BA49" i="42"/>
  <c r="BB48" i="42"/>
  <c r="BA48" i="42" s="1"/>
  <c r="BV63" i="42"/>
  <c r="C46" i="43"/>
  <c r="D45" i="43"/>
  <c r="C45" i="43" s="1"/>
  <c r="AI48" i="32"/>
  <c r="H63" i="42"/>
  <c r="AR73" i="32"/>
  <c r="AS73" i="32" s="1"/>
  <c r="AR59" i="32"/>
  <c r="AS59" i="32" s="1"/>
  <c r="AS7" i="32"/>
  <c r="D7" i="45" s="1"/>
  <c r="AR44" i="32"/>
  <c r="AS44" i="32" s="1"/>
  <c r="AS15" i="32"/>
  <c r="D15" i="45" s="1"/>
  <c r="C49" i="43"/>
  <c r="D48" i="43"/>
  <c r="C48" i="43" s="1"/>
  <c r="C51" i="43"/>
  <c r="Q63" i="43"/>
  <c r="BL25" i="38"/>
  <c r="F63" i="43"/>
  <c r="F47" i="32"/>
  <c r="H47" i="32" s="1"/>
  <c r="H6" i="32"/>
  <c r="Q57" i="32"/>
  <c r="AR71" i="32"/>
  <c r="AS71" i="32" s="1"/>
  <c r="AR57" i="32"/>
  <c r="AS57" i="32" s="1"/>
  <c r="AS29" i="32"/>
  <c r="D29" i="45" s="1"/>
  <c r="L48" i="43"/>
  <c r="AM41" i="38"/>
  <c r="BA8" i="38"/>
  <c r="BL8" i="38" s="1"/>
  <c r="BL41" i="38" s="1"/>
  <c r="BA12" i="38"/>
  <c r="BL12" i="38" s="1"/>
  <c r="AM74" i="38"/>
  <c r="AM60" i="38"/>
  <c r="DG16" i="38"/>
  <c r="DR16" i="38" s="1"/>
  <c r="CS58" i="38"/>
  <c r="CS72" i="38"/>
  <c r="CO65" i="38"/>
  <c r="CD65" i="38"/>
  <c r="BA53" i="43"/>
  <c r="BB63" i="42"/>
  <c r="BA64" i="42"/>
  <c r="CS50" i="38"/>
  <c r="CS64" i="38"/>
  <c r="DG25" i="38"/>
  <c r="DR25" i="38" s="1"/>
  <c r="AM47" i="38"/>
  <c r="BA6" i="38"/>
  <c r="BL6" i="38" s="1"/>
  <c r="BL47" i="38" s="1"/>
  <c r="BL45" i="38" s="1"/>
  <c r="AM36" i="38"/>
  <c r="BA26" i="38"/>
  <c r="BL26" i="38" s="1"/>
  <c r="BL36" i="38" s="1"/>
  <c r="AR40" i="32"/>
  <c r="AS40" i="32" s="1"/>
  <c r="AS4" i="32"/>
  <c r="D4" i="45" s="1"/>
  <c r="C69" i="42"/>
  <c r="C55" i="43"/>
  <c r="BA7" i="38"/>
  <c r="BL7" i="38" s="1"/>
  <c r="AM59" i="38"/>
  <c r="AM73" i="38"/>
  <c r="DG15" i="38"/>
  <c r="DR15" i="38" s="1"/>
  <c r="DR44" i="38" s="1"/>
  <c r="CS44" i="38"/>
  <c r="BA49" i="43"/>
  <c r="BB48" i="43"/>
  <c r="BA48" i="43" s="1"/>
  <c r="CZ31" i="38"/>
  <c r="F34" i="32"/>
  <c r="H34" i="32" s="1"/>
  <c r="H14" i="32"/>
  <c r="F61" i="32"/>
  <c r="H61" i="32" s="1"/>
  <c r="F75" i="32"/>
  <c r="H18" i="32"/>
  <c r="AI31" i="32"/>
  <c r="BR63" i="43"/>
  <c r="BA32" i="32"/>
  <c r="BA31" i="32"/>
  <c r="BB32" i="32"/>
  <c r="BB31" i="32"/>
  <c r="C32" i="42"/>
  <c r="D31" i="42"/>
  <c r="C31" i="42" s="1"/>
  <c r="F44" i="32"/>
  <c r="H44" i="32" s="1"/>
  <c r="H15" i="32"/>
  <c r="C48" i="41"/>
  <c r="C76" i="42"/>
  <c r="H5" i="32"/>
  <c r="F53" i="32"/>
  <c r="H53" i="32" s="1"/>
  <c r="F67" i="32"/>
  <c r="H67" i="32" s="1"/>
  <c r="F65" i="32"/>
  <c r="H65" i="32" s="1"/>
  <c r="F51" i="32"/>
  <c r="H51" i="32" s="1"/>
  <c r="H21" i="32"/>
  <c r="C50" i="43"/>
  <c r="AN31" i="38"/>
  <c r="BP63" i="42"/>
  <c r="BY63" i="42"/>
  <c r="BA19" i="38"/>
  <c r="BL19" i="38" s="1"/>
  <c r="BL42" i="38" s="1"/>
  <c r="AM42" i="38"/>
  <c r="BA76" i="42"/>
  <c r="AT31" i="38"/>
  <c r="CO66" i="38"/>
  <c r="BN63" i="42"/>
  <c r="AB45" i="29"/>
  <c r="F36" i="32"/>
  <c r="H36" i="32" s="1"/>
  <c r="H26" i="32"/>
  <c r="BB63" i="32"/>
  <c r="V63" i="43"/>
  <c r="CO62" i="38"/>
  <c r="U63" i="43"/>
  <c r="BW63" i="42"/>
  <c r="BX63" i="42"/>
  <c r="BI63" i="43"/>
  <c r="BA56" i="43"/>
  <c r="AP31" i="38"/>
  <c r="EJ32" i="38"/>
  <c r="EJ31" i="38"/>
  <c r="EU32" i="38"/>
  <c r="EU31" i="38"/>
  <c r="BA54" i="42"/>
  <c r="BA54" i="43"/>
  <c r="BA29" i="38"/>
  <c r="BL29" i="38" s="1"/>
  <c r="AM57" i="38"/>
  <c r="AM71" i="38"/>
  <c r="BA57" i="43"/>
  <c r="BO63" i="43"/>
  <c r="M63" i="43"/>
  <c r="E63" i="43"/>
  <c r="AQ48" i="38"/>
  <c r="Y64" i="38"/>
  <c r="Y63" i="38"/>
  <c r="CD49" i="38"/>
  <c r="CD48" i="38"/>
  <c r="CO49" i="38"/>
  <c r="CO48" i="38"/>
  <c r="P49" i="32"/>
  <c r="P48" i="32"/>
  <c r="Q49" i="32"/>
  <c r="Q48" i="32"/>
  <c r="Y31" i="18"/>
  <c r="Y32" i="18"/>
  <c r="Q36" i="5"/>
  <c r="P36" i="5"/>
  <c r="Q37" i="5"/>
  <c r="P37" i="5"/>
  <c r="Q40" i="5"/>
  <c r="P40" i="5"/>
  <c r="BA33" i="30"/>
  <c r="BB31" i="30"/>
  <c r="Q43" i="5"/>
  <c r="P43" i="5"/>
  <c r="Q42" i="5"/>
  <c r="P42" i="5"/>
  <c r="Q35" i="5"/>
  <c r="P35" i="5"/>
  <c r="Q39" i="5"/>
  <c r="P39" i="5"/>
  <c r="Q33" i="5"/>
  <c r="P33" i="5"/>
  <c r="Q38" i="5"/>
  <c r="P38" i="5"/>
  <c r="Q34" i="5"/>
  <c r="P34" i="5"/>
  <c r="BB38" i="5"/>
  <c r="BA38" i="5"/>
  <c r="BB33" i="5"/>
  <c r="BA33" i="5"/>
  <c r="BB34" i="5"/>
  <c r="BA34" i="5"/>
  <c r="BB36" i="5"/>
  <c r="BA36" i="5"/>
  <c r="BB37" i="5"/>
  <c r="BA37" i="5"/>
  <c r="BB49" i="5"/>
  <c r="BA49" i="5"/>
  <c r="BB68" i="5"/>
  <c r="BA68" i="5"/>
  <c r="BB39" i="5"/>
  <c r="BA39" i="5"/>
  <c r="BB43" i="5"/>
  <c r="BA43" i="5"/>
  <c r="BB35" i="5"/>
  <c r="BA35" i="5"/>
  <c r="BB64" i="5"/>
  <c r="BA64" i="5"/>
  <c r="BB32" i="5"/>
  <c r="BA32" i="5"/>
  <c r="EU74" i="18"/>
  <c r="BB57" i="5"/>
  <c r="BB61" i="5"/>
  <c r="EU54" i="18"/>
  <c r="C31" i="30"/>
  <c r="Q63" i="5"/>
  <c r="CO45" i="18"/>
  <c r="CZ63" i="18"/>
  <c r="EU35" i="18"/>
  <c r="Q45" i="5"/>
  <c r="Q46" i="5"/>
  <c r="EU31" i="18"/>
  <c r="EU32" i="18"/>
  <c r="EU42" i="18"/>
  <c r="BB41" i="5"/>
  <c r="EU69" i="18"/>
  <c r="Q57" i="5"/>
  <c r="CO63" i="18"/>
  <c r="EU55" i="18"/>
  <c r="BB62" i="5"/>
  <c r="EU53" i="18"/>
  <c r="EU66" i="18"/>
  <c r="Q67" i="5"/>
  <c r="BB73" i="5"/>
  <c r="BB60" i="5"/>
  <c r="BB53" i="5"/>
  <c r="EU62" i="18"/>
  <c r="EU36" i="18"/>
  <c r="EU44" i="18"/>
  <c r="Q48" i="5"/>
  <c r="Q49" i="5"/>
  <c r="EU34" i="18"/>
  <c r="CO48" i="18"/>
  <c r="EU39" i="18"/>
  <c r="EU41" i="18"/>
  <c r="BB40" i="5"/>
  <c r="Q73" i="5"/>
  <c r="Q72" i="5"/>
  <c r="EU61" i="18"/>
  <c r="BB54" i="5"/>
  <c r="Q59" i="5"/>
  <c r="Q58" i="5"/>
  <c r="EU65" i="18"/>
  <c r="Q52" i="5"/>
  <c r="Q64" i="5"/>
  <c r="EU60" i="18"/>
  <c r="Q62" i="5"/>
  <c r="BB65" i="5"/>
  <c r="Q66" i="5"/>
  <c r="Q50" i="5"/>
  <c r="EU76" i="18"/>
  <c r="Q76" i="5"/>
  <c r="EU67" i="18"/>
  <c r="EU52" i="18"/>
  <c r="Q53" i="5"/>
  <c r="BB50" i="5"/>
  <c r="Q61" i="5"/>
  <c r="BB58" i="5"/>
  <c r="EU64" i="18"/>
  <c r="BB70" i="5"/>
  <c r="EU38" i="18"/>
  <c r="EU37" i="18"/>
  <c r="Q31" i="5"/>
  <c r="Q32" i="5"/>
  <c r="BB42" i="5"/>
  <c r="Q70" i="5"/>
  <c r="BB55" i="5"/>
  <c r="Q75" i="5"/>
  <c r="BB66" i="5"/>
  <c r="BB56" i="5"/>
  <c r="EU72" i="18"/>
  <c r="EU68" i="18"/>
  <c r="Q55" i="5"/>
  <c r="BB71" i="5"/>
  <c r="EU56" i="18"/>
  <c r="BB59" i="5"/>
  <c r="EU63" i="18"/>
  <c r="EU71" i="18"/>
  <c r="CW63" i="18"/>
  <c r="EU45" i="18"/>
  <c r="EU46" i="18"/>
  <c r="EU47" i="18"/>
  <c r="EU43" i="18"/>
  <c r="EU48" i="18"/>
  <c r="EU49" i="18"/>
  <c r="EU33" i="18"/>
  <c r="Q41" i="5"/>
  <c r="Q60" i="5"/>
  <c r="EU58" i="18"/>
  <c r="BB67" i="5"/>
  <c r="EU51" i="18"/>
  <c r="BB76" i="5"/>
  <c r="EU50" i="18"/>
  <c r="EU59" i="18"/>
  <c r="Q47" i="5"/>
  <c r="Q74" i="5"/>
  <c r="Q56" i="5"/>
  <c r="Q54" i="5"/>
  <c r="BB52" i="5"/>
  <c r="EU75" i="18"/>
  <c r="EU73" i="18"/>
  <c r="BB74" i="5"/>
  <c r="EU70" i="18"/>
  <c r="Q68" i="5"/>
  <c r="Q51" i="5"/>
  <c r="BB72" i="5"/>
  <c r="EU57" i="18"/>
  <c r="BB51" i="5"/>
  <c r="Q69" i="5"/>
  <c r="BB69" i="5"/>
  <c r="Q71" i="5"/>
  <c r="BB75" i="5"/>
  <c r="Q44" i="5"/>
  <c r="CO44" i="18"/>
  <c r="CO54" i="18"/>
  <c r="CD31" i="18"/>
  <c r="CO32" i="18"/>
  <c r="CO31" i="18"/>
  <c r="CO36" i="18"/>
  <c r="CO42" i="18"/>
  <c r="CO40" i="18"/>
  <c r="CO47" i="18"/>
  <c r="CO39" i="18"/>
  <c r="CO33" i="18"/>
  <c r="CO35" i="18"/>
  <c r="CO72" i="18"/>
  <c r="CO67" i="18"/>
  <c r="CO76" i="18"/>
  <c r="CO60" i="18"/>
  <c r="CO56" i="18"/>
  <c r="CO74" i="18"/>
  <c r="CO70" i="18"/>
  <c r="CO68" i="18"/>
  <c r="CO71" i="18"/>
  <c r="CO61" i="18"/>
  <c r="CO65" i="18"/>
  <c r="CO69" i="18"/>
  <c r="CO41" i="18"/>
  <c r="CO43" i="18"/>
  <c r="AN63" i="18"/>
  <c r="CO46" i="18"/>
  <c r="CO34" i="18"/>
  <c r="CO49" i="18"/>
  <c r="CO75" i="18"/>
  <c r="CO51" i="18"/>
  <c r="CO55" i="18"/>
  <c r="CO66" i="18"/>
  <c r="CO59" i="18"/>
  <c r="CO50" i="18"/>
  <c r="CO52" i="18"/>
  <c r="CO73" i="18"/>
  <c r="CO64" i="18"/>
  <c r="CO58" i="18"/>
  <c r="CO53" i="18"/>
  <c r="CO62" i="18"/>
  <c r="CO37" i="18"/>
  <c r="CO38" i="18"/>
  <c r="G31" i="5"/>
  <c r="BA41" i="30"/>
  <c r="AW47" i="5"/>
  <c r="BB63" i="5"/>
  <c r="EJ45" i="18"/>
  <c r="AN45" i="5"/>
  <c r="CU48" i="18"/>
  <c r="AU48" i="37"/>
  <c r="CD45" i="18"/>
  <c r="Y48" i="18"/>
  <c r="P45" i="5"/>
  <c r="P31" i="5"/>
  <c r="P63" i="5"/>
  <c r="AW46" i="5"/>
  <c r="AW44" i="5"/>
  <c r="BA44" i="5" s="1"/>
  <c r="BA48" i="5"/>
  <c r="BB48" i="5"/>
  <c r="CD63" i="18"/>
  <c r="AU63" i="37"/>
  <c r="EJ48" i="18"/>
  <c r="EJ31" i="18"/>
  <c r="Y45" i="18"/>
  <c r="P48" i="5"/>
  <c r="CD48" i="18"/>
  <c r="Y63" i="18"/>
  <c r="BA63" i="5"/>
  <c r="EJ63" i="18"/>
  <c r="C61" i="30"/>
  <c r="CT48" i="18"/>
  <c r="AN48" i="18"/>
  <c r="Y48" i="30"/>
  <c r="I63" i="30"/>
  <c r="G48" i="30"/>
  <c r="X63" i="30"/>
  <c r="P63" i="30"/>
  <c r="E48" i="30"/>
  <c r="I48" i="30"/>
  <c r="R48" i="30"/>
  <c r="O48" i="30"/>
  <c r="W48" i="30"/>
  <c r="P48" i="30"/>
  <c r="M48" i="30"/>
  <c r="K48" i="30"/>
  <c r="V48" i="30"/>
  <c r="H63" i="30"/>
  <c r="Q63" i="30"/>
  <c r="H48" i="30"/>
  <c r="Q48" i="30"/>
  <c r="Z48" i="30"/>
  <c r="J48" i="30"/>
  <c r="X48" i="30"/>
  <c r="C69" i="31"/>
  <c r="F48" i="30"/>
  <c r="T48" i="30"/>
  <c r="R63" i="30"/>
  <c r="Y63" i="30"/>
  <c r="S48" i="30"/>
  <c r="U48" i="30"/>
  <c r="D48" i="30"/>
  <c r="L48" i="30"/>
  <c r="M63" i="30"/>
  <c r="E63" i="30"/>
  <c r="N48" i="30"/>
  <c r="J63" i="30"/>
  <c r="T63" i="30"/>
  <c r="O63" i="30"/>
  <c r="AA48" i="30"/>
  <c r="G63" i="30"/>
  <c r="F63" i="30"/>
  <c r="AA63" i="30"/>
  <c r="N63" i="30"/>
  <c r="U63" i="30"/>
  <c r="Z63" i="30"/>
  <c r="V63" i="30"/>
  <c r="K63" i="30"/>
  <c r="S63" i="30"/>
  <c r="D63" i="30"/>
  <c r="W63" i="30"/>
  <c r="L63" i="30"/>
  <c r="C67" i="18"/>
  <c r="C53" i="18"/>
  <c r="C66" i="18"/>
  <c r="C52" i="18"/>
  <c r="C45" i="18"/>
  <c r="C65" i="30"/>
  <c r="DC63" i="18"/>
  <c r="DA48" i="18"/>
  <c r="C59" i="18"/>
  <c r="C73" i="18"/>
  <c r="C65" i="18"/>
  <c r="C51" i="18"/>
  <c r="C75" i="18"/>
  <c r="C61" i="18"/>
  <c r="C58" i="30"/>
  <c r="DA63" i="18"/>
  <c r="CT63" i="18"/>
  <c r="CV48" i="18"/>
  <c r="EX63" i="18"/>
  <c r="C54" i="18"/>
  <c r="C68" i="18"/>
  <c r="C74" i="18"/>
  <c r="C60" i="18"/>
  <c r="C70" i="18"/>
  <c r="C56" i="18"/>
  <c r="C71" i="18"/>
  <c r="C57" i="18"/>
  <c r="CV63" i="18"/>
  <c r="C55" i="18"/>
  <c r="C69" i="18"/>
  <c r="C62" i="18"/>
  <c r="C76" i="18"/>
  <c r="C58" i="18"/>
  <c r="C72" i="18"/>
  <c r="DC48" i="18"/>
  <c r="EX48" i="18"/>
  <c r="CU63" i="18"/>
  <c r="AI45" i="5"/>
  <c r="C55" i="31"/>
  <c r="BA60" i="30"/>
  <c r="C57" i="30"/>
  <c r="C66" i="30"/>
  <c r="C56" i="30"/>
  <c r="C53" i="30"/>
  <c r="C73" i="30"/>
  <c r="C68" i="30"/>
  <c r="C62" i="30"/>
  <c r="BA62" i="30"/>
  <c r="C74" i="30"/>
  <c r="BA76" i="30"/>
  <c r="BA57" i="30"/>
  <c r="C59" i="30"/>
  <c r="BA65" i="30"/>
  <c r="BA51" i="30"/>
  <c r="BA74" i="30"/>
  <c r="BA70" i="30"/>
  <c r="BA61" i="30"/>
  <c r="BC31" i="30"/>
  <c r="BA55" i="30"/>
  <c r="C54" i="30"/>
  <c r="C55" i="30"/>
  <c r="BA75" i="30"/>
  <c r="BA73" i="30"/>
  <c r="C52" i="30"/>
  <c r="C75" i="30"/>
  <c r="C70" i="30"/>
  <c r="C76" i="30"/>
  <c r="BA71" i="30"/>
  <c r="BA52" i="30"/>
  <c r="BA54" i="30"/>
  <c r="BA38" i="30"/>
  <c r="C69" i="30"/>
  <c r="C71" i="30"/>
  <c r="BA56" i="30"/>
  <c r="BA69" i="30"/>
  <c r="BB45" i="30"/>
  <c r="BA46" i="30"/>
  <c r="BA66" i="30"/>
  <c r="BA72" i="30"/>
  <c r="BA53" i="30"/>
  <c r="BA68" i="30"/>
  <c r="C72" i="30"/>
  <c r="C51" i="30"/>
  <c r="C67" i="30"/>
  <c r="C60" i="30"/>
  <c r="BC45" i="30"/>
  <c r="BA47" i="30"/>
  <c r="BA58" i="30"/>
  <c r="BA67" i="30"/>
  <c r="BA59" i="30"/>
  <c r="BA55" i="31"/>
  <c r="BA69" i="31"/>
  <c r="AI31" i="5"/>
  <c r="G45" i="5"/>
  <c r="AI63" i="5"/>
  <c r="AI48" i="5"/>
  <c r="C45" i="30"/>
  <c r="F2" i="5"/>
  <c r="F13" i="5"/>
  <c r="H13" i="5" s="1"/>
  <c r="F14" i="5"/>
  <c r="F15" i="5"/>
  <c r="F16" i="5"/>
  <c r="G72" i="5"/>
  <c r="G58" i="5"/>
  <c r="G52" i="5"/>
  <c r="G66" i="5"/>
  <c r="F17" i="5"/>
  <c r="G61" i="5"/>
  <c r="G75" i="5"/>
  <c r="F18" i="5"/>
  <c r="F19" i="5"/>
  <c r="G56" i="5"/>
  <c r="G70" i="5"/>
  <c r="F20" i="5"/>
  <c r="G65" i="5"/>
  <c r="G51" i="5"/>
  <c r="F21" i="5"/>
  <c r="F22" i="5"/>
  <c r="F23" i="5"/>
  <c r="AR23" i="5"/>
  <c r="AS23" i="5" s="1"/>
  <c r="D23" i="20" s="1"/>
  <c r="F3" i="5"/>
  <c r="F4" i="5"/>
  <c r="G53" i="5"/>
  <c r="G67" i="5"/>
  <c r="F5" i="5"/>
  <c r="F6" i="5"/>
  <c r="F7" i="5"/>
  <c r="G73" i="5"/>
  <c r="G59" i="5"/>
  <c r="F8" i="5"/>
  <c r="G68" i="5"/>
  <c r="G54" i="5"/>
  <c r="F9" i="5"/>
  <c r="F10" i="5"/>
  <c r="AR10" i="5"/>
  <c r="AS10" i="5" s="1"/>
  <c r="D10" i="20" s="1"/>
  <c r="F11" i="5"/>
  <c r="F12" i="5"/>
  <c r="G60" i="5"/>
  <c r="G74" i="5"/>
  <c r="G55" i="5"/>
  <c r="G69" i="5"/>
  <c r="F24" i="5"/>
  <c r="AR24" i="5"/>
  <c r="F26" i="5"/>
  <c r="G76" i="5"/>
  <c r="G62" i="5"/>
  <c r="F27" i="5"/>
  <c r="F28" i="5"/>
  <c r="G71" i="5"/>
  <c r="G57" i="5"/>
  <c r="F29" i="5"/>
  <c r="F30" i="5"/>
  <c r="H30" i="5" s="1"/>
  <c r="BE48" i="30"/>
  <c r="AM14" i="18"/>
  <c r="AM34" i="18" s="1"/>
  <c r="AM21" i="18"/>
  <c r="AM12" i="18"/>
  <c r="AM20" i="18"/>
  <c r="AM18" i="18"/>
  <c r="AM2" i="18"/>
  <c r="AM38" i="18" s="1"/>
  <c r="AM22" i="18"/>
  <c r="AM37" i="18" s="1"/>
  <c r="AM16" i="18"/>
  <c r="BA31" i="30"/>
  <c r="AM5" i="18"/>
  <c r="AM19" i="18"/>
  <c r="AM42" i="18" s="1"/>
  <c r="AM29" i="18"/>
  <c r="AM13" i="18"/>
  <c r="AM33" i="18" s="1"/>
  <c r="AM24" i="18"/>
  <c r="AM17" i="18"/>
  <c r="CS23" i="18"/>
  <c r="CS49" i="18" s="1"/>
  <c r="AM30" i="18"/>
  <c r="AM35" i="18" s="1"/>
  <c r="AM27" i="18"/>
  <c r="AM10" i="18"/>
  <c r="AM46" i="18" s="1"/>
  <c r="BE63" i="30"/>
  <c r="AM6" i="18"/>
  <c r="AM47" i="18" s="1"/>
  <c r="AM23" i="18"/>
  <c r="AM49" i="18" s="1"/>
  <c r="AM8" i="18"/>
  <c r="AM41" i="18" s="1"/>
  <c r="AM11" i="18"/>
  <c r="AM39" i="18" s="1"/>
  <c r="AM15" i="18"/>
  <c r="AM44" i="18" s="1"/>
  <c r="CS24" i="18"/>
  <c r="CS10" i="18"/>
  <c r="CS46" i="18" s="1"/>
  <c r="AM4" i="18"/>
  <c r="AM40" i="18" s="1"/>
  <c r="AM28" i="18"/>
  <c r="AM43" i="18" s="1"/>
  <c r="AM7" i="18"/>
  <c r="AM9" i="18"/>
  <c r="AM26" i="18"/>
  <c r="AM36" i="18" s="1"/>
  <c r="EX3" i="18"/>
  <c r="EX32" i="18" s="1"/>
  <c r="EX31" i="18" s="1"/>
  <c r="BC3" i="1"/>
  <c r="BB3" i="1"/>
  <c r="AV32" i="18" s="1"/>
  <c r="BV32" i="31"/>
  <c r="BI32" i="31"/>
  <c r="X32" i="31"/>
  <c r="K32" i="31"/>
  <c r="D32" i="31"/>
  <c r="BY32" i="31"/>
  <c r="BX32" i="31"/>
  <c r="BW32" i="31"/>
  <c r="BU32" i="31"/>
  <c r="BT32" i="31"/>
  <c r="BS32" i="31"/>
  <c r="BR32" i="31"/>
  <c r="BQ32" i="31"/>
  <c r="BP32" i="31"/>
  <c r="BO32" i="31"/>
  <c r="BN32" i="31"/>
  <c r="BM32" i="31"/>
  <c r="BL32" i="31"/>
  <c r="BK32" i="31"/>
  <c r="BJ32" i="31"/>
  <c r="BH32" i="31"/>
  <c r="BG32" i="31"/>
  <c r="BF32" i="31"/>
  <c r="BE32" i="31"/>
  <c r="BD32" i="31"/>
  <c r="BC32" i="31"/>
  <c r="AA32" i="31"/>
  <c r="Y32" i="31"/>
  <c r="W32" i="31"/>
  <c r="U32" i="31"/>
  <c r="T32" i="31"/>
  <c r="S32" i="31"/>
  <c r="R32" i="31"/>
  <c r="Q32" i="31"/>
  <c r="P32" i="31"/>
  <c r="O32" i="31"/>
  <c r="N32" i="31"/>
  <c r="M32" i="31"/>
  <c r="L32" i="31"/>
  <c r="J32" i="31"/>
  <c r="I32" i="31"/>
  <c r="H32" i="31"/>
  <c r="G32" i="31"/>
  <c r="F32" i="31"/>
  <c r="E32" i="31"/>
  <c r="BL74" i="38" l="1"/>
  <c r="BL60" i="38"/>
  <c r="F29" i="45"/>
  <c r="D57" i="45"/>
  <c r="F57" i="45" s="1"/>
  <c r="D71" i="45"/>
  <c r="F71" i="45" s="1"/>
  <c r="D44" i="45"/>
  <c r="F44" i="45" s="1"/>
  <c r="F15" i="45"/>
  <c r="F20" i="45"/>
  <c r="D56" i="45"/>
  <c r="F56" i="45" s="1"/>
  <c r="D70" i="45"/>
  <c r="F70" i="45" s="1"/>
  <c r="DR60" i="38"/>
  <c r="DR74" i="38"/>
  <c r="BL66" i="38"/>
  <c r="BL52" i="38"/>
  <c r="DR57" i="38"/>
  <c r="DR71" i="38"/>
  <c r="D49" i="45"/>
  <c r="F23" i="45"/>
  <c r="F6" i="45"/>
  <c r="D47" i="45"/>
  <c r="F47" i="45" s="1"/>
  <c r="F8" i="45"/>
  <c r="D41" i="45"/>
  <c r="F41" i="45" s="1"/>
  <c r="D42" i="45"/>
  <c r="F42" i="45" s="1"/>
  <c r="F19" i="45"/>
  <c r="BL76" i="38"/>
  <c r="BL62" i="38"/>
  <c r="F30" i="45"/>
  <c r="D35" i="45"/>
  <c r="F35" i="45" s="1"/>
  <c r="D43" i="45"/>
  <c r="F43" i="45" s="1"/>
  <c r="F28" i="45"/>
  <c r="BA63" i="43"/>
  <c r="DR75" i="38"/>
  <c r="DR61" i="38"/>
  <c r="AM45" i="38"/>
  <c r="D68" i="45"/>
  <c r="F68" i="45" s="1"/>
  <c r="F9" i="45"/>
  <c r="D54" i="45"/>
  <c r="F54" i="45" s="1"/>
  <c r="C48" i="42"/>
  <c r="AR31" i="32"/>
  <c r="AS32" i="32"/>
  <c r="AS31" i="32" s="1"/>
  <c r="CS45" i="38"/>
  <c r="F4" i="45"/>
  <c r="D40" i="45"/>
  <c r="F40" i="45" s="1"/>
  <c r="DR72" i="38"/>
  <c r="DR58" i="38"/>
  <c r="AM63" i="38"/>
  <c r="F31" i="32"/>
  <c r="H32" i="32"/>
  <c r="H31" i="32" s="1"/>
  <c r="AR48" i="32"/>
  <c r="AS49" i="32"/>
  <c r="AS48" i="32" s="1"/>
  <c r="BL68" i="38"/>
  <c r="BL54" i="38"/>
  <c r="BL31" i="38"/>
  <c r="F27" i="45"/>
  <c r="D76" i="45"/>
  <c r="F76" i="45" s="1"/>
  <c r="D62" i="45"/>
  <c r="F62" i="45" s="1"/>
  <c r="D75" i="45"/>
  <c r="F75" i="45" s="1"/>
  <c r="F18" i="45"/>
  <c r="D61" i="45"/>
  <c r="F61" i="45" s="1"/>
  <c r="D69" i="45"/>
  <c r="F69" i="45" s="1"/>
  <c r="F24" i="45"/>
  <c r="D55" i="45"/>
  <c r="F55" i="45" s="1"/>
  <c r="F14" i="45"/>
  <c r="D34" i="45"/>
  <c r="F34" i="45" s="1"/>
  <c r="CS31" i="38"/>
  <c r="AR63" i="32"/>
  <c r="AS66" i="32"/>
  <c r="AS63" i="32" s="1"/>
  <c r="DR62" i="38"/>
  <c r="DR76" i="38"/>
  <c r="D53" i="45"/>
  <c r="F53" i="45" s="1"/>
  <c r="F5" i="45"/>
  <c r="D67" i="45"/>
  <c r="F67" i="45" s="1"/>
  <c r="DR73" i="38"/>
  <c r="DR59" i="38"/>
  <c r="BL51" i="38"/>
  <c r="BL65" i="38"/>
  <c r="D65" i="45"/>
  <c r="F65" i="45" s="1"/>
  <c r="F21" i="45"/>
  <c r="D51" i="45"/>
  <c r="F51" i="45" s="1"/>
  <c r="D46" i="45"/>
  <c r="F10" i="45"/>
  <c r="AM48" i="38"/>
  <c r="C63" i="42"/>
  <c r="BL70" i="38"/>
  <c r="BL56" i="38"/>
  <c r="BL73" i="38"/>
  <c r="BL59" i="38"/>
  <c r="D73" i="45"/>
  <c r="F73" i="45" s="1"/>
  <c r="F7" i="45"/>
  <c r="D59" i="45"/>
  <c r="F59" i="45" s="1"/>
  <c r="BL67" i="38"/>
  <c r="BL53" i="38"/>
  <c r="BL61" i="38"/>
  <c r="BL75" i="38"/>
  <c r="DR56" i="38"/>
  <c r="DR70" i="38"/>
  <c r="AM31" i="38"/>
  <c r="F45" i="32"/>
  <c r="H46" i="32"/>
  <c r="H45" i="32" s="1"/>
  <c r="DR31" i="38"/>
  <c r="F22" i="45"/>
  <c r="D37" i="45"/>
  <c r="F37" i="45" s="1"/>
  <c r="F11" i="45"/>
  <c r="D39" i="45"/>
  <c r="F39" i="45" s="1"/>
  <c r="AR45" i="32"/>
  <c r="AS46" i="32"/>
  <c r="AS45" i="32" s="1"/>
  <c r="BL48" i="38"/>
  <c r="DR65" i="38"/>
  <c r="DR51" i="38"/>
  <c r="DR55" i="38"/>
  <c r="DR69" i="38"/>
  <c r="BL71" i="38"/>
  <c r="BL57" i="38"/>
  <c r="F63" i="32"/>
  <c r="H75" i="32"/>
  <c r="H63" i="32" s="1"/>
  <c r="DR64" i="38"/>
  <c r="DR50" i="38"/>
  <c r="BA63" i="42"/>
  <c r="BL50" i="38"/>
  <c r="BL64" i="38"/>
  <c r="D58" i="45"/>
  <c r="F58" i="45" s="1"/>
  <c r="D72" i="45"/>
  <c r="F72" i="45" s="1"/>
  <c r="F16" i="45"/>
  <c r="DR66" i="38"/>
  <c r="DR52" i="38"/>
  <c r="F25" i="45"/>
  <c r="D50" i="45"/>
  <c r="F50" i="45" s="1"/>
  <c r="D64" i="45"/>
  <c r="BL58" i="38"/>
  <c r="BL72" i="38"/>
  <c r="BL55" i="38"/>
  <c r="BL69" i="38"/>
  <c r="F48" i="32"/>
  <c r="H49" i="32"/>
  <c r="H48" i="32" s="1"/>
  <c r="D36" i="45"/>
  <c r="F36" i="45" s="1"/>
  <c r="F26" i="45"/>
  <c r="DR67" i="38"/>
  <c r="DR53" i="38"/>
  <c r="D33" i="45"/>
  <c r="F33" i="45" s="1"/>
  <c r="F13" i="45"/>
  <c r="D66" i="45"/>
  <c r="F66" i="45" s="1"/>
  <c r="F17" i="45"/>
  <c r="D52" i="45"/>
  <c r="F52" i="45" s="1"/>
  <c r="D74" i="45"/>
  <c r="F74" i="45" s="1"/>
  <c r="F12" i="45"/>
  <c r="D60" i="45"/>
  <c r="F60" i="45" s="1"/>
  <c r="DR54" i="38"/>
  <c r="DR68" i="38"/>
  <c r="C63" i="43"/>
  <c r="CS48" i="38"/>
  <c r="F2" i="45"/>
  <c r="D38" i="45"/>
  <c r="F38" i="45" s="1"/>
  <c r="F3" i="45"/>
  <c r="D32" i="45"/>
  <c r="DR45" i="38"/>
  <c r="BB46" i="5"/>
  <c r="BA46" i="5"/>
  <c r="BB47" i="5"/>
  <c r="BA47" i="5"/>
  <c r="F23" i="20"/>
  <c r="D49" i="20"/>
  <c r="F10" i="20"/>
  <c r="D46" i="20"/>
  <c r="BB44" i="5"/>
  <c r="BB31" i="5"/>
  <c r="BA31" i="5"/>
  <c r="BA45" i="5"/>
  <c r="BB45" i="5"/>
  <c r="C48" i="18"/>
  <c r="AM59" i="18"/>
  <c r="AM73" i="18"/>
  <c r="AM74" i="18"/>
  <c r="AM60" i="18"/>
  <c r="C63" i="18"/>
  <c r="AM55" i="18"/>
  <c r="AM69" i="18"/>
  <c r="CS69" i="18"/>
  <c r="CS55" i="18"/>
  <c r="AM45" i="18"/>
  <c r="AM57" i="18"/>
  <c r="AM71" i="18"/>
  <c r="AM67" i="18"/>
  <c r="AM53" i="18"/>
  <c r="AM72" i="18"/>
  <c r="AM58" i="18"/>
  <c r="AM61" i="18"/>
  <c r="AM75" i="18"/>
  <c r="AM51" i="18"/>
  <c r="AM65" i="18"/>
  <c r="AM68" i="18"/>
  <c r="AM54" i="18"/>
  <c r="AM76" i="18"/>
  <c r="AM62" i="18"/>
  <c r="AM70" i="18"/>
  <c r="AM56" i="18"/>
  <c r="AM66" i="18"/>
  <c r="AM52" i="18"/>
  <c r="BA45" i="30"/>
  <c r="AR55" i="5"/>
  <c r="AS24" i="5"/>
  <c r="D24" i="20" s="1"/>
  <c r="AR69" i="5"/>
  <c r="G63" i="5"/>
  <c r="G48" i="5"/>
  <c r="F35" i="5"/>
  <c r="AF35" i="5" s="1"/>
  <c r="F57" i="5"/>
  <c r="AF57" i="5" s="1"/>
  <c r="F71" i="5"/>
  <c r="AF71" i="5" s="1"/>
  <c r="F43" i="5"/>
  <c r="AF43" i="5" s="1"/>
  <c r="F76" i="5"/>
  <c r="AF76" i="5" s="1"/>
  <c r="F62" i="5"/>
  <c r="AF62" i="5" s="1"/>
  <c r="F36" i="5"/>
  <c r="F69" i="5"/>
  <c r="AF69" i="5" s="1"/>
  <c r="F55" i="5"/>
  <c r="AF55" i="5" s="1"/>
  <c r="F74" i="5"/>
  <c r="AF74" i="5" s="1"/>
  <c r="F60" i="5"/>
  <c r="AF60" i="5" s="1"/>
  <c r="F39" i="5"/>
  <c r="AF39" i="5" s="1"/>
  <c r="AR46" i="5"/>
  <c r="AS46" i="5" s="1"/>
  <c r="F46" i="5"/>
  <c r="AF46" i="5" s="1"/>
  <c r="F68" i="5"/>
  <c r="AF68" i="5" s="1"/>
  <c r="F54" i="5"/>
  <c r="AF54" i="5" s="1"/>
  <c r="F41" i="5"/>
  <c r="AF41" i="5" s="1"/>
  <c r="F73" i="5"/>
  <c r="AF73" i="5" s="1"/>
  <c r="F59" i="5"/>
  <c r="AF59" i="5" s="1"/>
  <c r="F47" i="5"/>
  <c r="F67" i="5"/>
  <c r="AF67" i="5" s="1"/>
  <c r="F53" i="5"/>
  <c r="AF53" i="5" s="1"/>
  <c r="F40" i="5"/>
  <c r="AF40" i="5" s="1"/>
  <c r="F32" i="5"/>
  <c r="AR49" i="5"/>
  <c r="F49" i="5"/>
  <c r="AF49" i="5" s="1"/>
  <c r="F37" i="5"/>
  <c r="F65" i="5"/>
  <c r="AF65" i="5" s="1"/>
  <c r="F51" i="5"/>
  <c r="AF51" i="5" s="1"/>
  <c r="F70" i="5"/>
  <c r="AF70" i="5" s="1"/>
  <c r="F56" i="5"/>
  <c r="AF56" i="5" s="1"/>
  <c r="F42" i="5"/>
  <c r="AF42" i="5" s="1"/>
  <c r="F75" i="5"/>
  <c r="AF75" i="5" s="1"/>
  <c r="F61" i="5"/>
  <c r="AF61" i="5" s="1"/>
  <c r="F52" i="5"/>
  <c r="F66" i="5"/>
  <c r="AF66" i="5" s="1"/>
  <c r="F72" i="5"/>
  <c r="AF72" i="5" s="1"/>
  <c r="F58" i="5"/>
  <c r="AF58" i="5" s="1"/>
  <c r="F44" i="5"/>
  <c r="AF44" i="5" s="1"/>
  <c r="F34" i="5"/>
  <c r="F33" i="5"/>
  <c r="F38" i="5"/>
  <c r="AF38" i="5" s="1"/>
  <c r="V32" i="31"/>
  <c r="BA9" i="18"/>
  <c r="DG24" i="18"/>
  <c r="DR24" i="18" s="1"/>
  <c r="BA15" i="18"/>
  <c r="BA23" i="18"/>
  <c r="BA26" i="18"/>
  <c r="BA28" i="18"/>
  <c r="DG10" i="18"/>
  <c r="DR10" i="18" s="1"/>
  <c r="DR46" i="18" s="1"/>
  <c r="BA10" i="18"/>
  <c r="DG23" i="18"/>
  <c r="DR23" i="18" s="1"/>
  <c r="DR49" i="18" s="1"/>
  <c r="BA17" i="18"/>
  <c r="BA24" i="18"/>
  <c r="BA19" i="18"/>
  <c r="BA5" i="18"/>
  <c r="BA16" i="18"/>
  <c r="BA20" i="18"/>
  <c r="BA12" i="18"/>
  <c r="BA11" i="18"/>
  <c r="BA6" i="18"/>
  <c r="BA30" i="18"/>
  <c r="BA29" i="18"/>
  <c r="BA22" i="18"/>
  <c r="BA2" i="18"/>
  <c r="BA14" i="18"/>
  <c r="BA7" i="18"/>
  <c r="BA4" i="18"/>
  <c r="BA8" i="18"/>
  <c r="BA27" i="18"/>
  <c r="BA13" i="18"/>
  <c r="BA18" i="18"/>
  <c r="BA21" i="18"/>
  <c r="AT32" i="18"/>
  <c r="AU32" i="18"/>
  <c r="AW32" i="18"/>
  <c r="AR32" i="18"/>
  <c r="AO32" i="18"/>
  <c r="AS32" i="18"/>
  <c r="AQ32" i="18"/>
  <c r="AP32" i="18"/>
  <c r="AT32" i="37"/>
  <c r="AW32" i="37"/>
  <c r="BK3" i="18"/>
  <c r="BI3" i="18"/>
  <c r="BJ3" i="18"/>
  <c r="BH3" i="18"/>
  <c r="G25" i="5"/>
  <c r="F32" i="45" l="1"/>
  <c r="F31" i="45" s="1"/>
  <c r="D31" i="45"/>
  <c r="D63" i="45"/>
  <c r="F64" i="45"/>
  <c r="F63" i="45" s="1"/>
  <c r="DR63" i="38"/>
  <c r="D45" i="45"/>
  <c r="F46" i="45"/>
  <c r="F45" i="45" s="1"/>
  <c r="F49" i="45"/>
  <c r="F48" i="45" s="1"/>
  <c r="D48" i="45"/>
  <c r="DR48" i="38"/>
  <c r="BL63" i="38"/>
  <c r="F46" i="20"/>
  <c r="F49" i="20"/>
  <c r="D55" i="20"/>
  <c r="F55" i="20" s="1"/>
  <c r="D69" i="20"/>
  <c r="F69" i="20" s="1"/>
  <c r="F24" i="20"/>
  <c r="AF32" i="5"/>
  <c r="F31" i="5"/>
  <c r="AF45" i="5"/>
  <c r="AF47" i="5"/>
  <c r="AF34" i="5"/>
  <c r="AF52" i="5"/>
  <c r="AF37" i="5"/>
  <c r="AF36" i="5"/>
  <c r="AM48" i="18"/>
  <c r="AM63" i="18"/>
  <c r="C32" i="18"/>
  <c r="C31" i="18" s="1"/>
  <c r="DR69" i="18"/>
  <c r="DR55" i="18"/>
  <c r="C50" i="18"/>
  <c r="C64" i="18"/>
  <c r="AS49" i="5"/>
  <c r="F48" i="5"/>
  <c r="AS69" i="5"/>
  <c r="AS55" i="5"/>
  <c r="H33" i="5"/>
  <c r="F63" i="5"/>
  <c r="F45" i="5"/>
  <c r="H35" i="5"/>
  <c r="G64" i="5"/>
  <c r="G50" i="5"/>
  <c r="F25" i="5"/>
  <c r="AA50" i="31"/>
  <c r="AA64" i="31"/>
  <c r="R50" i="31"/>
  <c r="R64" i="31"/>
  <c r="I64" i="31"/>
  <c r="I50" i="31"/>
  <c r="W64" i="31"/>
  <c r="W50" i="31"/>
  <c r="O64" i="31"/>
  <c r="O50" i="31"/>
  <c r="F64" i="31"/>
  <c r="F50" i="31"/>
  <c r="D64" i="31"/>
  <c r="D50" i="31"/>
  <c r="Z64" i="31"/>
  <c r="Z50" i="31"/>
  <c r="Q64" i="31"/>
  <c r="Q50" i="31"/>
  <c r="H64" i="31"/>
  <c r="H50" i="31"/>
  <c r="Y64" i="31"/>
  <c r="Y50" i="31"/>
  <c r="P64" i="31"/>
  <c r="P50" i="31"/>
  <c r="G64" i="31"/>
  <c r="G50" i="31"/>
  <c r="Z32" i="31"/>
  <c r="C32" i="31" s="1"/>
  <c r="V64" i="31"/>
  <c r="V50" i="31"/>
  <c r="N64" i="31"/>
  <c r="N50" i="31"/>
  <c r="E50" i="31"/>
  <c r="E64" i="31"/>
  <c r="CS25" i="18"/>
  <c r="S64" i="31"/>
  <c r="S50" i="31"/>
  <c r="J50" i="31"/>
  <c r="J64" i="31"/>
  <c r="X64" i="31"/>
  <c r="X50" i="31"/>
  <c r="U50" i="31"/>
  <c r="U64" i="31"/>
  <c r="M64" i="31"/>
  <c r="M50" i="31"/>
  <c r="K64" i="31"/>
  <c r="K50" i="31"/>
  <c r="T64" i="31"/>
  <c r="T50" i="31"/>
  <c r="L64" i="31"/>
  <c r="L50" i="31"/>
  <c r="AR25" i="5"/>
  <c r="BX50" i="30"/>
  <c r="BX48" i="30" s="1"/>
  <c r="BX64" i="30"/>
  <c r="BX63" i="30" s="1"/>
  <c r="BO64" i="30"/>
  <c r="BO63" i="30" s="1"/>
  <c r="BO50" i="30"/>
  <c r="BO48" i="30" s="1"/>
  <c r="BF50" i="30"/>
  <c r="BF48" i="30" s="1"/>
  <c r="BF64" i="30"/>
  <c r="BF63" i="30" s="1"/>
  <c r="BV50" i="30"/>
  <c r="BV48" i="30" s="1"/>
  <c r="BV64" i="30"/>
  <c r="BV63" i="30" s="1"/>
  <c r="BR50" i="30"/>
  <c r="BR48" i="30" s="1"/>
  <c r="BR64" i="30"/>
  <c r="BR63" i="30" s="1"/>
  <c r="BJ64" i="30"/>
  <c r="BJ63" i="30" s="1"/>
  <c r="BJ50" i="30"/>
  <c r="BJ48" i="30" s="1"/>
  <c r="BQ50" i="30"/>
  <c r="BQ48" i="30" s="1"/>
  <c r="BQ64" i="30"/>
  <c r="BQ63" i="30" s="1"/>
  <c r="BH64" i="30"/>
  <c r="BH63" i="30" s="1"/>
  <c r="BH50" i="30"/>
  <c r="BH48" i="30" s="1"/>
  <c r="BI64" i="30"/>
  <c r="BI63" i="30" s="1"/>
  <c r="BI50" i="30"/>
  <c r="BI48" i="30" s="1"/>
  <c r="BY64" i="30"/>
  <c r="BY63" i="30" s="1"/>
  <c r="BY50" i="30"/>
  <c r="BY48" i="30" s="1"/>
  <c r="BP64" i="30"/>
  <c r="BP63" i="30" s="1"/>
  <c r="BP50" i="30"/>
  <c r="BP48" i="30" s="1"/>
  <c r="BG64" i="30"/>
  <c r="BG63" i="30" s="1"/>
  <c r="BG50" i="30"/>
  <c r="BG48" i="30" s="1"/>
  <c r="BS64" i="31"/>
  <c r="BS50" i="31"/>
  <c r="BK64" i="31"/>
  <c r="BK50" i="31"/>
  <c r="BB64" i="31"/>
  <c r="BB50" i="31"/>
  <c r="BW64" i="31"/>
  <c r="BW50" i="31"/>
  <c r="BN64" i="31"/>
  <c r="BN50" i="31"/>
  <c r="BE50" i="31"/>
  <c r="BE64" i="31"/>
  <c r="BU50" i="31"/>
  <c r="BU64" i="31"/>
  <c r="BM50" i="31"/>
  <c r="BM64" i="31"/>
  <c r="BD64" i="31"/>
  <c r="BD50" i="31"/>
  <c r="BT64" i="31"/>
  <c r="BT50" i="31"/>
  <c r="BL50" i="31"/>
  <c r="BL64" i="31"/>
  <c r="BC64" i="31"/>
  <c r="BC50" i="31"/>
  <c r="BB32" i="31"/>
  <c r="BA32" i="31" s="1"/>
  <c r="BS64" i="30"/>
  <c r="BS63" i="30" s="1"/>
  <c r="BS50" i="30"/>
  <c r="BS48" i="30" s="1"/>
  <c r="BK64" i="30"/>
  <c r="BK63" i="30" s="1"/>
  <c r="BK50" i="30"/>
  <c r="BK48" i="30" s="1"/>
  <c r="BB50" i="30"/>
  <c r="BB64" i="30"/>
  <c r="BW64" i="30"/>
  <c r="BW63" i="30" s="1"/>
  <c r="BW50" i="30"/>
  <c r="BW48" i="30" s="1"/>
  <c r="BN64" i="30"/>
  <c r="BN63" i="30" s="1"/>
  <c r="BN50" i="30"/>
  <c r="BN48" i="30" s="1"/>
  <c r="BU64" i="30"/>
  <c r="BU63" i="30" s="1"/>
  <c r="BU50" i="30"/>
  <c r="BU48" i="30" s="1"/>
  <c r="BM64" i="30"/>
  <c r="BM63" i="30" s="1"/>
  <c r="BM50" i="30"/>
  <c r="BM48" i="30" s="1"/>
  <c r="BD64" i="30"/>
  <c r="BD63" i="30" s="1"/>
  <c r="BD50" i="30"/>
  <c r="BD48" i="30" s="1"/>
  <c r="BT64" i="30"/>
  <c r="BT63" i="30" s="1"/>
  <c r="BT50" i="30"/>
  <c r="BT48" i="30" s="1"/>
  <c r="BL64" i="30"/>
  <c r="BL63" i="30" s="1"/>
  <c r="BL50" i="30"/>
  <c r="BL48" i="30" s="1"/>
  <c r="BC64" i="30"/>
  <c r="BC63" i="30" s="1"/>
  <c r="BC50" i="30"/>
  <c r="BC48" i="30" s="1"/>
  <c r="BX64" i="31"/>
  <c r="BX50" i="31"/>
  <c r="BO64" i="31"/>
  <c r="BO50" i="31"/>
  <c r="BF50" i="31"/>
  <c r="BF64" i="31"/>
  <c r="BV64" i="31"/>
  <c r="BV50" i="31"/>
  <c r="BR64" i="31"/>
  <c r="BR50" i="31"/>
  <c r="BJ64" i="31"/>
  <c r="BJ50" i="31"/>
  <c r="BQ64" i="31"/>
  <c r="BQ50" i="31"/>
  <c r="BH64" i="31"/>
  <c r="BH50" i="31"/>
  <c r="BI64" i="31"/>
  <c r="BI50" i="31"/>
  <c r="BY64" i="31"/>
  <c r="BY50" i="31"/>
  <c r="BP64" i="31"/>
  <c r="BP50" i="31"/>
  <c r="BG64" i="31"/>
  <c r="BG50" i="31"/>
  <c r="AM25" i="18"/>
  <c r="AF31" i="5" l="1"/>
  <c r="AF33" i="5"/>
  <c r="CS64" i="18"/>
  <c r="CS50" i="18"/>
  <c r="AM64" i="18"/>
  <c r="AM50" i="18"/>
  <c r="BB63" i="30"/>
  <c r="BA63" i="30" s="1"/>
  <c r="BA64" i="30"/>
  <c r="BB48" i="30"/>
  <c r="BA48" i="30" s="1"/>
  <c r="BA50" i="30"/>
  <c r="C48" i="30"/>
  <c r="C50" i="30"/>
  <c r="C63" i="30"/>
  <c r="C64" i="30"/>
  <c r="C50" i="31"/>
  <c r="BA50" i="31"/>
  <c r="C64" i="31"/>
  <c r="BA64" i="31"/>
  <c r="AS25" i="5"/>
  <c r="D25" i="20" s="1"/>
  <c r="AR64" i="5"/>
  <c r="AS64" i="5" s="1"/>
  <c r="AR50" i="5"/>
  <c r="AS50" i="5" s="1"/>
  <c r="F64" i="5"/>
  <c r="F50" i="5"/>
  <c r="BA25" i="18"/>
  <c r="DG25" i="18"/>
  <c r="DR25" i="18" s="1"/>
  <c r="D64" i="20" l="1"/>
  <c r="F25" i="20"/>
  <c r="D50" i="20"/>
  <c r="AF50" i="5"/>
  <c r="AF48" i="5"/>
  <c r="AF64" i="5"/>
  <c r="AF63" i="5"/>
  <c r="DR64" i="18"/>
  <c r="DR50" i="18"/>
  <c r="E101" i="2"/>
  <c r="Y3" i="26" s="1"/>
  <c r="Y32" i="26" s="1"/>
  <c r="E98" i="2"/>
  <c r="X3" i="26" s="1"/>
  <c r="X32" i="26" s="1"/>
  <c r="E95" i="2"/>
  <c r="W3" i="26" s="1"/>
  <c r="W32" i="26" s="1"/>
  <c r="E92" i="2"/>
  <c r="Z3" i="26" s="1"/>
  <c r="Z32" i="26" s="1"/>
  <c r="E89" i="2"/>
  <c r="V3" i="26" s="1"/>
  <c r="V32" i="26" s="1"/>
  <c r="E86" i="2"/>
  <c r="U3" i="26" s="1"/>
  <c r="U32" i="26" s="1"/>
  <c r="E83" i="2"/>
  <c r="T3" i="26" s="1"/>
  <c r="T32" i="26" s="1"/>
  <c r="E80" i="2"/>
  <c r="S3" i="26" s="1"/>
  <c r="S32" i="26" s="1"/>
  <c r="E77" i="2"/>
  <c r="R3" i="26" s="1"/>
  <c r="R32" i="26" s="1"/>
  <c r="E74" i="2"/>
  <c r="Q3" i="26" s="1"/>
  <c r="Q32" i="26" s="1"/>
  <c r="E71" i="2"/>
  <c r="P3" i="26" s="1"/>
  <c r="P32" i="26" s="1"/>
  <c r="E68" i="2"/>
  <c r="O3" i="26" s="1"/>
  <c r="O32" i="26" s="1"/>
  <c r="E65" i="2"/>
  <c r="N3" i="26" s="1"/>
  <c r="N32" i="26" s="1"/>
  <c r="E62" i="2"/>
  <c r="M3" i="26" s="1"/>
  <c r="M32" i="26" s="1"/>
  <c r="E59" i="2"/>
  <c r="L3" i="26" s="1"/>
  <c r="L32" i="26" s="1"/>
  <c r="E56" i="2"/>
  <c r="K3" i="26" s="1"/>
  <c r="K32" i="26" s="1"/>
  <c r="E53" i="2"/>
  <c r="AA3" i="26" s="1"/>
  <c r="AA32" i="26" s="1"/>
  <c r="E50" i="2"/>
  <c r="J3" i="26" s="1"/>
  <c r="J32" i="26" s="1"/>
  <c r="E47" i="2"/>
  <c r="I3" i="26" s="1"/>
  <c r="I32" i="26" s="1"/>
  <c r="E44" i="2"/>
  <c r="H3" i="26" s="1"/>
  <c r="H32" i="26" s="1"/>
  <c r="E41" i="2"/>
  <c r="G3" i="26" s="1"/>
  <c r="G32" i="26" s="1"/>
  <c r="E38" i="2"/>
  <c r="F3" i="26" s="1"/>
  <c r="F32" i="26" s="1"/>
  <c r="E35" i="2"/>
  <c r="E3" i="26" s="1"/>
  <c r="E32" i="26" s="1"/>
  <c r="N76" i="2"/>
  <c r="AR3" i="26" s="1"/>
  <c r="AR32" i="26" s="1"/>
  <c r="E32" i="2"/>
  <c r="Q69" i="2"/>
  <c r="Q41" i="2"/>
  <c r="Q38" i="2"/>
  <c r="Q35" i="2"/>
  <c r="N97" i="2"/>
  <c r="AX3" i="26" s="1"/>
  <c r="AX32" i="26" s="1"/>
  <c r="N94" i="2"/>
  <c r="AW3" i="26" s="1"/>
  <c r="AW32" i="26" s="1"/>
  <c r="N91" i="2"/>
  <c r="AV3" i="26" s="1"/>
  <c r="AV32" i="26" s="1"/>
  <c r="N88" i="2"/>
  <c r="AY3" i="26" s="1"/>
  <c r="AY32" i="26" s="1"/>
  <c r="N85" i="2"/>
  <c r="AU3" i="26" s="1"/>
  <c r="AU32" i="26" s="1"/>
  <c r="N82" i="2"/>
  <c r="AT3" i="26" s="1"/>
  <c r="AT32" i="26" s="1"/>
  <c r="N79" i="2"/>
  <c r="AS3" i="26" s="1"/>
  <c r="AS32" i="26" s="1"/>
  <c r="N73" i="2"/>
  <c r="AQ3" i="26" s="1"/>
  <c r="AQ32" i="26" s="1"/>
  <c r="N70" i="2"/>
  <c r="AP3" i="26" s="1"/>
  <c r="AP32" i="26" s="1"/>
  <c r="N67" i="2"/>
  <c r="AO3" i="26" s="1"/>
  <c r="AO32" i="26" s="1"/>
  <c r="N64" i="2"/>
  <c r="AN3" i="26" s="1"/>
  <c r="AN32" i="26" s="1"/>
  <c r="N61" i="2"/>
  <c r="AM3" i="26" s="1"/>
  <c r="AM32" i="26" s="1"/>
  <c r="N58" i="2"/>
  <c r="AL3" i="26" s="1"/>
  <c r="AL32" i="26" s="1"/>
  <c r="N55" i="2"/>
  <c r="AK3" i="26" s="1"/>
  <c r="AK32" i="26" s="1"/>
  <c r="N52" i="2"/>
  <c r="AJ3" i="26" s="1"/>
  <c r="AJ32" i="26" s="1"/>
  <c r="N49" i="2"/>
  <c r="AZ3" i="26" s="1"/>
  <c r="AZ32" i="26" s="1"/>
  <c r="N46" i="2"/>
  <c r="AI3" i="26" s="1"/>
  <c r="AI32" i="26" s="1"/>
  <c r="N43" i="2"/>
  <c r="AH3" i="26" s="1"/>
  <c r="AH32" i="26" s="1"/>
  <c r="N40" i="2"/>
  <c r="AG3" i="26" s="1"/>
  <c r="AG32" i="26" s="1"/>
  <c r="N37" i="2"/>
  <c r="AF3" i="26" s="1"/>
  <c r="AF32" i="26" s="1"/>
  <c r="N34" i="2"/>
  <c r="AE3" i="26" s="1"/>
  <c r="AE32" i="26" s="1"/>
  <c r="D3" i="26" l="1"/>
  <c r="D32" i="26" s="1"/>
  <c r="D7" i="26"/>
  <c r="D11" i="26"/>
  <c r="D39" i="26" s="1"/>
  <c r="D15" i="26"/>
  <c r="D44" i="26" s="1"/>
  <c r="D19" i="26"/>
  <c r="D42" i="26" s="1"/>
  <c r="D23" i="26"/>
  <c r="D49" i="26" s="1"/>
  <c r="D27" i="26"/>
  <c r="D12" i="26"/>
  <c r="D16" i="26"/>
  <c r="D24" i="26"/>
  <c r="D5" i="26"/>
  <c r="D13" i="26"/>
  <c r="D33" i="26" s="1"/>
  <c r="D25" i="26"/>
  <c r="D6" i="26"/>
  <c r="D47" i="26" s="1"/>
  <c r="D14" i="26"/>
  <c r="D34" i="26" s="1"/>
  <c r="D22" i="26"/>
  <c r="D37" i="26" s="1"/>
  <c r="D30" i="26"/>
  <c r="D35" i="26" s="1"/>
  <c r="D4" i="26"/>
  <c r="D40" i="26" s="1"/>
  <c r="D8" i="26"/>
  <c r="D41" i="26" s="1"/>
  <c r="D20" i="26"/>
  <c r="D28" i="26"/>
  <c r="D43" i="26" s="1"/>
  <c r="D9" i="26"/>
  <c r="D17" i="26"/>
  <c r="D21" i="26"/>
  <c r="D29" i="26"/>
  <c r="D10" i="26"/>
  <c r="D46" i="26" s="1"/>
  <c r="D45" i="26" s="1"/>
  <c r="D18" i="26"/>
  <c r="D26" i="26"/>
  <c r="D36" i="26" s="1"/>
  <c r="F50" i="20"/>
  <c r="F64" i="20"/>
  <c r="AL3" i="27"/>
  <c r="AL32" i="27" s="1"/>
  <c r="AU3" i="27"/>
  <c r="AU32" i="27" s="1"/>
  <c r="AJ3" i="27"/>
  <c r="AJ32" i="27" s="1"/>
  <c r="AS3" i="27"/>
  <c r="AS32" i="27" s="1"/>
  <c r="H3" i="27"/>
  <c r="H32" i="27" s="1"/>
  <c r="O3" i="27"/>
  <c r="O32" i="27" s="1"/>
  <c r="Z3" i="27"/>
  <c r="Z32" i="27" s="1"/>
  <c r="AE3" i="27"/>
  <c r="AE32" i="27" s="1"/>
  <c r="AP3" i="27"/>
  <c r="AP32" i="27" s="1"/>
  <c r="AG3" i="27"/>
  <c r="AG32" i="27" s="1"/>
  <c r="AN3" i="27"/>
  <c r="AN32" i="27" s="1"/>
  <c r="AV3" i="27"/>
  <c r="AV32" i="27" s="1"/>
  <c r="AR3" i="27"/>
  <c r="AR32" i="27" s="1"/>
  <c r="K3" i="27"/>
  <c r="K32" i="27" s="1"/>
  <c r="S3" i="27"/>
  <c r="S32" i="27" s="1"/>
  <c r="AH3" i="27"/>
  <c r="AH32" i="27" s="1"/>
  <c r="AK3" i="27"/>
  <c r="AK32" i="27" s="1"/>
  <c r="AO3" i="27"/>
  <c r="AO32" i="27" s="1"/>
  <c r="AT3" i="27"/>
  <c r="AT32" i="27" s="1"/>
  <c r="AW3" i="27"/>
  <c r="AW32" i="27" s="1"/>
  <c r="E3" i="27"/>
  <c r="E32" i="27" s="1"/>
  <c r="I3" i="27"/>
  <c r="I32" i="27" s="1"/>
  <c r="L3" i="27"/>
  <c r="L32" i="27" s="1"/>
  <c r="P3" i="27"/>
  <c r="P32" i="27" s="1"/>
  <c r="T3" i="27"/>
  <c r="T32" i="27" s="1"/>
  <c r="W3" i="27"/>
  <c r="W32" i="27" s="1"/>
  <c r="AI3" i="27"/>
  <c r="AI32" i="27" s="1"/>
  <c r="AX3" i="27"/>
  <c r="AX32" i="27" s="1"/>
  <c r="F3" i="27"/>
  <c r="F32" i="27" s="1"/>
  <c r="J3" i="27"/>
  <c r="J32" i="27" s="1"/>
  <c r="M3" i="27"/>
  <c r="M32" i="27" s="1"/>
  <c r="Q3" i="27"/>
  <c r="Q32" i="27" s="1"/>
  <c r="U3" i="27"/>
  <c r="U32" i="27" s="1"/>
  <c r="X3" i="27"/>
  <c r="X32" i="27" s="1"/>
  <c r="AF3" i="27"/>
  <c r="AF32" i="27" s="1"/>
  <c r="AZ3" i="27"/>
  <c r="AZ32" i="27" s="1"/>
  <c r="AM3" i="27"/>
  <c r="AM32" i="27" s="1"/>
  <c r="AQ3" i="27"/>
  <c r="AQ32" i="27" s="1"/>
  <c r="AY3" i="27"/>
  <c r="AY32" i="27" s="1"/>
  <c r="D3" i="27"/>
  <c r="D32" i="27" s="1"/>
  <c r="C3" i="26"/>
  <c r="C32" i="26" s="1"/>
  <c r="G3" i="27"/>
  <c r="G32" i="27" s="1"/>
  <c r="AA3" i="27"/>
  <c r="AA32" i="27" s="1"/>
  <c r="N3" i="27"/>
  <c r="N32" i="27" s="1"/>
  <c r="R3" i="27"/>
  <c r="R32" i="27" s="1"/>
  <c r="V3" i="27"/>
  <c r="V32" i="27" s="1"/>
  <c r="Y3" i="27"/>
  <c r="Y32" i="27" s="1"/>
  <c r="AE30" i="26"/>
  <c r="AE35" i="26" s="1"/>
  <c r="AE29" i="26"/>
  <c r="AE28" i="26"/>
  <c r="AE43" i="26" s="1"/>
  <c r="AE27" i="26"/>
  <c r="AE26" i="26"/>
  <c r="AE36" i="26" s="1"/>
  <c r="AE25" i="26"/>
  <c r="AE24" i="26"/>
  <c r="AE23" i="26"/>
  <c r="AE49" i="26" s="1"/>
  <c r="AE22" i="26"/>
  <c r="AE37" i="26" s="1"/>
  <c r="AE21" i="26"/>
  <c r="AE20" i="26"/>
  <c r="AE19" i="26"/>
  <c r="AE42" i="26" s="1"/>
  <c r="AE18" i="26"/>
  <c r="AE17" i="26"/>
  <c r="AE16" i="26"/>
  <c r="AE15" i="26"/>
  <c r="AE44" i="26" s="1"/>
  <c r="AE14" i="26"/>
  <c r="AE34" i="26" s="1"/>
  <c r="AE13" i="26"/>
  <c r="AE33" i="26" s="1"/>
  <c r="AE12" i="26"/>
  <c r="AE11" i="26"/>
  <c r="AE39" i="26" s="1"/>
  <c r="AE10" i="26"/>
  <c r="AE46" i="26" s="1"/>
  <c r="AE9" i="26"/>
  <c r="AE8" i="26"/>
  <c r="AE41" i="26" s="1"/>
  <c r="AE7" i="26"/>
  <c r="AE6" i="26"/>
  <c r="AE47" i="26" s="1"/>
  <c r="AE5" i="26"/>
  <c r="AE4" i="26"/>
  <c r="AE40" i="26" s="1"/>
  <c r="AE2" i="26"/>
  <c r="AE38" i="26" s="1"/>
  <c r="AF30" i="26"/>
  <c r="AF35" i="26" s="1"/>
  <c r="AF29" i="26"/>
  <c r="AF28" i="26"/>
  <c r="AF43" i="26" s="1"/>
  <c r="AF27" i="26"/>
  <c r="AF26" i="26"/>
  <c r="AF36" i="26" s="1"/>
  <c r="AF25" i="26"/>
  <c r="AF24" i="26"/>
  <c r="AF24" i="28" s="1"/>
  <c r="AF23" i="26"/>
  <c r="AF49" i="26" s="1"/>
  <c r="AF22" i="26"/>
  <c r="AF37" i="26" s="1"/>
  <c r="AF21" i="26"/>
  <c r="AF20" i="26"/>
  <c r="AF19" i="26"/>
  <c r="AF42" i="26" s="1"/>
  <c r="AF18" i="26"/>
  <c r="AF17" i="26"/>
  <c r="AF16" i="26"/>
  <c r="AF15" i="26"/>
  <c r="AF44" i="26" s="1"/>
  <c r="AF14" i="26"/>
  <c r="AF34" i="26" s="1"/>
  <c r="AF13" i="26"/>
  <c r="AF33" i="26" s="1"/>
  <c r="AF12" i="26"/>
  <c r="AF11" i="26"/>
  <c r="AF39" i="26" s="1"/>
  <c r="AF10" i="26"/>
  <c r="AF46" i="26" s="1"/>
  <c r="AF9" i="26"/>
  <c r="AF8" i="26"/>
  <c r="AF41" i="26" s="1"/>
  <c r="AF7" i="26"/>
  <c r="AF6" i="26"/>
  <c r="AF47" i="26" s="1"/>
  <c r="AF5" i="26"/>
  <c r="AF4" i="26"/>
  <c r="AF40" i="26" s="1"/>
  <c r="AF2" i="26"/>
  <c r="AF38" i="26" s="1"/>
  <c r="AG30" i="26"/>
  <c r="AG35" i="26" s="1"/>
  <c r="AG29" i="26"/>
  <c r="AG28" i="26"/>
  <c r="AG43" i="26" s="1"/>
  <c r="AG27" i="26"/>
  <c r="AG26" i="26"/>
  <c r="AG36" i="26" s="1"/>
  <c r="AG25" i="26"/>
  <c r="AG24" i="26"/>
  <c r="AG24" i="28" s="1"/>
  <c r="AG23" i="26"/>
  <c r="AG49" i="26" s="1"/>
  <c r="AG22" i="26"/>
  <c r="AG37" i="26" s="1"/>
  <c r="AG21" i="26"/>
  <c r="AG20" i="26"/>
  <c r="AG19" i="26"/>
  <c r="AG42" i="26" s="1"/>
  <c r="AG18" i="26"/>
  <c r="AG17" i="26"/>
  <c r="AG16" i="26"/>
  <c r="AG15" i="26"/>
  <c r="AG44" i="26" s="1"/>
  <c r="AG14" i="26"/>
  <c r="AG34" i="26" s="1"/>
  <c r="AG13" i="26"/>
  <c r="AG33" i="26" s="1"/>
  <c r="AG12" i="26"/>
  <c r="AG11" i="26"/>
  <c r="AG39" i="26" s="1"/>
  <c r="AG10" i="26"/>
  <c r="AG46" i="26" s="1"/>
  <c r="AG9" i="26"/>
  <c r="AG8" i="26"/>
  <c r="AG41" i="26" s="1"/>
  <c r="AG7" i="26"/>
  <c r="AG6" i="26"/>
  <c r="AG47" i="26" s="1"/>
  <c r="AG5" i="26"/>
  <c r="AG4" i="26"/>
  <c r="AG40" i="26" s="1"/>
  <c r="AG2" i="26"/>
  <c r="AG38" i="26" s="1"/>
  <c r="AH30" i="26"/>
  <c r="AH35" i="26" s="1"/>
  <c r="AH29" i="26"/>
  <c r="AH28" i="26"/>
  <c r="AH43" i="26" s="1"/>
  <c r="AH27" i="26"/>
  <c r="AH26" i="26"/>
  <c r="AH36" i="26" s="1"/>
  <c r="AH25" i="26"/>
  <c r="AH24" i="26"/>
  <c r="AH23" i="26"/>
  <c r="AH49" i="26" s="1"/>
  <c r="AH22" i="26"/>
  <c r="AH37" i="26" s="1"/>
  <c r="AH21" i="26"/>
  <c r="AH20" i="26"/>
  <c r="AH19" i="26"/>
  <c r="AH42" i="26" s="1"/>
  <c r="AH18" i="26"/>
  <c r="AH17" i="26"/>
  <c r="AH16" i="26"/>
  <c r="AH15" i="26"/>
  <c r="AH44" i="26" s="1"/>
  <c r="AH14" i="26"/>
  <c r="AH34" i="26" s="1"/>
  <c r="AH13" i="26"/>
  <c r="AH33" i="26" s="1"/>
  <c r="AH12" i="26"/>
  <c r="AH11" i="26"/>
  <c r="AH39" i="26" s="1"/>
  <c r="AH10" i="26"/>
  <c r="AH46" i="26" s="1"/>
  <c r="AH9" i="26"/>
  <c r="AH8" i="26"/>
  <c r="AH41" i="26" s="1"/>
  <c r="AH7" i="26"/>
  <c r="AH6" i="26"/>
  <c r="AH47" i="26" s="1"/>
  <c r="AH5" i="26"/>
  <c r="AH4" i="26"/>
  <c r="AH40" i="26" s="1"/>
  <c r="AH2" i="26"/>
  <c r="AH38" i="26" s="1"/>
  <c r="AI30" i="26"/>
  <c r="AI35" i="26" s="1"/>
  <c r="AI29" i="26"/>
  <c r="AI28" i="26"/>
  <c r="AI43" i="26" s="1"/>
  <c r="AI27" i="26"/>
  <c r="AI26" i="26"/>
  <c r="AI36" i="26" s="1"/>
  <c r="AI25" i="26"/>
  <c r="AI24" i="26"/>
  <c r="AI23" i="26"/>
  <c r="AI49" i="26" s="1"/>
  <c r="AI22" i="26"/>
  <c r="AI37" i="26" s="1"/>
  <c r="AI21" i="26"/>
  <c r="AI20" i="26"/>
  <c r="AI19" i="26"/>
  <c r="AI42" i="26" s="1"/>
  <c r="AI18" i="26"/>
  <c r="AI17" i="26"/>
  <c r="AI16" i="26"/>
  <c r="AI15" i="26"/>
  <c r="AI44" i="26" s="1"/>
  <c r="AI14" i="26"/>
  <c r="AI34" i="26" s="1"/>
  <c r="AI13" i="26"/>
  <c r="AI33" i="26" s="1"/>
  <c r="AI12" i="26"/>
  <c r="AI11" i="26"/>
  <c r="AI39" i="26" s="1"/>
  <c r="AI10" i="26"/>
  <c r="AI46" i="26" s="1"/>
  <c r="AI9" i="26"/>
  <c r="AI8" i="26"/>
  <c r="AI41" i="26" s="1"/>
  <c r="AI7" i="26"/>
  <c r="AI6" i="26"/>
  <c r="AI47" i="26" s="1"/>
  <c r="AI5" i="26"/>
  <c r="AI4" i="26"/>
  <c r="AI40" i="26" s="1"/>
  <c r="AI2" i="26"/>
  <c r="AI38" i="26" s="1"/>
  <c r="AZ30" i="26"/>
  <c r="AZ35" i="26" s="1"/>
  <c r="AZ29" i="26"/>
  <c r="AZ28" i="26"/>
  <c r="AZ43" i="26" s="1"/>
  <c r="AZ27" i="26"/>
  <c r="AZ26" i="26"/>
  <c r="AZ36" i="26" s="1"/>
  <c r="AZ25" i="26"/>
  <c r="AZ24" i="26"/>
  <c r="AZ24" i="28" s="1"/>
  <c r="AZ23" i="26"/>
  <c r="AZ49" i="26" s="1"/>
  <c r="AZ22" i="26"/>
  <c r="AZ37" i="26" s="1"/>
  <c r="AZ21" i="26"/>
  <c r="AZ20" i="26"/>
  <c r="AZ19" i="26"/>
  <c r="AZ42" i="26" s="1"/>
  <c r="AZ18" i="26"/>
  <c r="AZ17" i="26"/>
  <c r="AZ16" i="26"/>
  <c r="AZ15" i="26"/>
  <c r="AZ44" i="26" s="1"/>
  <c r="AZ14" i="26"/>
  <c r="AZ34" i="26" s="1"/>
  <c r="AZ13" i="26"/>
  <c r="AZ33" i="26" s="1"/>
  <c r="AZ12" i="26"/>
  <c r="AZ11" i="26"/>
  <c r="AZ39" i="26" s="1"/>
  <c r="AZ10" i="26"/>
  <c r="AZ46" i="26" s="1"/>
  <c r="AZ9" i="26"/>
  <c r="AZ8" i="26"/>
  <c r="AZ41" i="26" s="1"/>
  <c r="AZ7" i="26"/>
  <c r="AZ6" i="26"/>
  <c r="AZ47" i="26" s="1"/>
  <c r="AZ5" i="26"/>
  <c r="AZ4" i="26"/>
  <c r="AZ40" i="26" s="1"/>
  <c r="AZ2" i="26"/>
  <c r="AZ38" i="26" s="1"/>
  <c r="AJ30" i="26"/>
  <c r="AJ35" i="26" s="1"/>
  <c r="AJ29" i="26"/>
  <c r="AJ28" i="26"/>
  <c r="AJ43" i="26" s="1"/>
  <c r="AJ27" i="26"/>
  <c r="AJ26" i="26"/>
  <c r="AJ36" i="26" s="1"/>
  <c r="AJ25" i="26"/>
  <c r="AJ24" i="26"/>
  <c r="AJ24" i="28" s="1"/>
  <c r="AJ23" i="26"/>
  <c r="AJ49" i="26" s="1"/>
  <c r="AJ22" i="26"/>
  <c r="AJ37" i="26" s="1"/>
  <c r="AJ21" i="26"/>
  <c r="AJ20" i="26"/>
  <c r="AJ19" i="26"/>
  <c r="AJ42" i="26" s="1"/>
  <c r="AJ18" i="26"/>
  <c r="AJ17" i="26"/>
  <c r="AJ16" i="26"/>
  <c r="AJ15" i="26"/>
  <c r="AJ44" i="26" s="1"/>
  <c r="AJ14" i="26"/>
  <c r="AJ34" i="26" s="1"/>
  <c r="AJ13" i="26"/>
  <c r="AJ33" i="26" s="1"/>
  <c r="AJ12" i="26"/>
  <c r="AJ11" i="26"/>
  <c r="AJ39" i="26" s="1"/>
  <c r="AJ10" i="26"/>
  <c r="AJ46" i="26" s="1"/>
  <c r="AJ9" i="26"/>
  <c r="AJ8" i="26"/>
  <c r="AJ41" i="26" s="1"/>
  <c r="AJ7" i="26"/>
  <c r="AJ6" i="26"/>
  <c r="AJ47" i="26" s="1"/>
  <c r="AJ5" i="26"/>
  <c r="AJ4" i="26"/>
  <c r="AJ40" i="26" s="1"/>
  <c r="AJ2" i="26"/>
  <c r="AJ38" i="26" s="1"/>
  <c r="AK30" i="26"/>
  <c r="AK35" i="26" s="1"/>
  <c r="AK29" i="26"/>
  <c r="AK28" i="26"/>
  <c r="AK43" i="26" s="1"/>
  <c r="AK27" i="26"/>
  <c r="AK26" i="26"/>
  <c r="AK36" i="26" s="1"/>
  <c r="AK25" i="26"/>
  <c r="AK24" i="26"/>
  <c r="AK24" i="28" s="1"/>
  <c r="AK23" i="26"/>
  <c r="AK49" i="26" s="1"/>
  <c r="AK22" i="26"/>
  <c r="AK37" i="26" s="1"/>
  <c r="AK21" i="26"/>
  <c r="AK20" i="26"/>
  <c r="AK19" i="26"/>
  <c r="AK42" i="26" s="1"/>
  <c r="AK18" i="26"/>
  <c r="AK17" i="26"/>
  <c r="AK16" i="26"/>
  <c r="AK15" i="26"/>
  <c r="AK44" i="26" s="1"/>
  <c r="AK14" i="26"/>
  <c r="AK34" i="26" s="1"/>
  <c r="AK13" i="26"/>
  <c r="AK33" i="26" s="1"/>
  <c r="AK12" i="26"/>
  <c r="AK11" i="26"/>
  <c r="AK39" i="26" s="1"/>
  <c r="AK10" i="26"/>
  <c r="AK46" i="26" s="1"/>
  <c r="AK9" i="26"/>
  <c r="AK8" i="26"/>
  <c r="AK41" i="26" s="1"/>
  <c r="AK7" i="26"/>
  <c r="AK6" i="26"/>
  <c r="AK47" i="26" s="1"/>
  <c r="AK5" i="26"/>
  <c r="AK4" i="26"/>
  <c r="AK40" i="26" s="1"/>
  <c r="AK2" i="26"/>
  <c r="AK38" i="26" s="1"/>
  <c r="AL30" i="26"/>
  <c r="AL35" i="26" s="1"/>
  <c r="AL29" i="26"/>
  <c r="AL28" i="26"/>
  <c r="AL43" i="26" s="1"/>
  <c r="AL27" i="26"/>
  <c r="AL26" i="26"/>
  <c r="AL36" i="26" s="1"/>
  <c r="AL25" i="26"/>
  <c r="AL24" i="26"/>
  <c r="AL23" i="26"/>
  <c r="AL49" i="26" s="1"/>
  <c r="AL22" i="26"/>
  <c r="AL37" i="26" s="1"/>
  <c r="AL21" i="26"/>
  <c r="AL20" i="26"/>
  <c r="AL19" i="26"/>
  <c r="AL42" i="26" s="1"/>
  <c r="AL18" i="26"/>
  <c r="AL17" i="26"/>
  <c r="AL16" i="26"/>
  <c r="AL15" i="26"/>
  <c r="AL44" i="26" s="1"/>
  <c r="AL14" i="26"/>
  <c r="AL34" i="26" s="1"/>
  <c r="AL13" i="26"/>
  <c r="AL33" i="26" s="1"/>
  <c r="AL12" i="26"/>
  <c r="AL11" i="26"/>
  <c r="AL39" i="26" s="1"/>
  <c r="AL10" i="26"/>
  <c r="AL46" i="26" s="1"/>
  <c r="AL9" i="26"/>
  <c r="AL8" i="26"/>
  <c r="AL41" i="26" s="1"/>
  <c r="AL7" i="26"/>
  <c r="AL6" i="26"/>
  <c r="AL47" i="26" s="1"/>
  <c r="AL5" i="26"/>
  <c r="AL4" i="26"/>
  <c r="AL40" i="26" s="1"/>
  <c r="AL2" i="26"/>
  <c r="AL38" i="26" s="1"/>
  <c r="AM30" i="26"/>
  <c r="AM35" i="26" s="1"/>
  <c r="AM29" i="26"/>
  <c r="AM28" i="26"/>
  <c r="AM43" i="26" s="1"/>
  <c r="AM27" i="26"/>
  <c r="AM26" i="26"/>
  <c r="AM36" i="26" s="1"/>
  <c r="AM25" i="26"/>
  <c r="AM24" i="26"/>
  <c r="AM23" i="26"/>
  <c r="AM49" i="26" s="1"/>
  <c r="AM22" i="26"/>
  <c r="AM37" i="26" s="1"/>
  <c r="AM21" i="26"/>
  <c r="AM20" i="26"/>
  <c r="AM19" i="26"/>
  <c r="AM42" i="26" s="1"/>
  <c r="AM18" i="26"/>
  <c r="AM17" i="26"/>
  <c r="AM16" i="26"/>
  <c r="AM15" i="26"/>
  <c r="AM44" i="26" s="1"/>
  <c r="AM14" i="26"/>
  <c r="AM34" i="26" s="1"/>
  <c r="AM13" i="26"/>
  <c r="AM33" i="26" s="1"/>
  <c r="AM12" i="26"/>
  <c r="AM11" i="26"/>
  <c r="AM39" i="26" s="1"/>
  <c r="AM10" i="26"/>
  <c r="AM46" i="26" s="1"/>
  <c r="AM9" i="26"/>
  <c r="AM8" i="26"/>
  <c r="AM41" i="26" s="1"/>
  <c r="AM7" i="26"/>
  <c r="AM6" i="26"/>
  <c r="AM47" i="26" s="1"/>
  <c r="AM5" i="26"/>
  <c r="AM4" i="26"/>
  <c r="AM40" i="26" s="1"/>
  <c r="AM2" i="26"/>
  <c r="AM38" i="26" s="1"/>
  <c r="AN30" i="26"/>
  <c r="AN35" i="26" s="1"/>
  <c r="AN29" i="26"/>
  <c r="AN28" i="26"/>
  <c r="AN43" i="26" s="1"/>
  <c r="AN27" i="26"/>
  <c r="AN26" i="26"/>
  <c r="AN36" i="26" s="1"/>
  <c r="AN25" i="26"/>
  <c r="AN24" i="26"/>
  <c r="AN24" i="28" s="1"/>
  <c r="AN23" i="26"/>
  <c r="AN49" i="26" s="1"/>
  <c r="AN22" i="26"/>
  <c r="AN37" i="26" s="1"/>
  <c r="AN21" i="26"/>
  <c r="AN20" i="26"/>
  <c r="AN19" i="26"/>
  <c r="AN42" i="26" s="1"/>
  <c r="AN18" i="26"/>
  <c r="AN17" i="26"/>
  <c r="AN16" i="26"/>
  <c r="AN15" i="26"/>
  <c r="AN44" i="26" s="1"/>
  <c r="AN14" i="26"/>
  <c r="AN34" i="26" s="1"/>
  <c r="AN13" i="26"/>
  <c r="AN33" i="26" s="1"/>
  <c r="AN12" i="26"/>
  <c r="AN11" i="26"/>
  <c r="AN39" i="26" s="1"/>
  <c r="AN10" i="26"/>
  <c r="AN46" i="26" s="1"/>
  <c r="AN9" i="26"/>
  <c r="AN8" i="26"/>
  <c r="AN41" i="26" s="1"/>
  <c r="AN7" i="26"/>
  <c r="AN6" i="26"/>
  <c r="AN47" i="26" s="1"/>
  <c r="AN5" i="26"/>
  <c r="AN4" i="26"/>
  <c r="AN40" i="26" s="1"/>
  <c r="AN2" i="26"/>
  <c r="AN38" i="26" s="1"/>
  <c r="AO30" i="26"/>
  <c r="AO35" i="26" s="1"/>
  <c r="AO29" i="26"/>
  <c r="AO28" i="26"/>
  <c r="AO43" i="26" s="1"/>
  <c r="AO27" i="26"/>
  <c r="AO26" i="26"/>
  <c r="AO36" i="26" s="1"/>
  <c r="AO25" i="26"/>
  <c r="AO24" i="26"/>
  <c r="AO24" i="28" s="1"/>
  <c r="AO23" i="26"/>
  <c r="AO49" i="26" s="1"/>
  <c r="AO22" i="26"/>
  <c r="AO37" i="26" s="1"/>
  <c r="AO21" i="26"/>
  <c r="AO20" i="26"/>
  <c r="AO19" i="26"/>
  <c r="AO42" i="26" s="1"/>
  <c r="AO18" i="26"/>
  <c r="AO17" i="26"/>
  <c r="AO16" i="26"/>
  <c r="AO15" i="26"/>
  <c r="AO44" i="26" s="1"/>
  <c r="AO14" i="26"/>
  <c r="AO34" i="26" s="1"/>
  <c r="AO13" i="26"/>
  <c r="AO33" i="26" s="1"/>
  <c r="AO12" i="26"/>
  <c r="AO11" i="26"/>
  <c r="AO39" i="26" s="1"/>
  <c r="AO10" i="26"/>
  <c r="AO46" i="26" s="1"/>
  <c r="AO9" i="26"/>
  <c r="AO8" i="26"/>
  <c r="AO41" i="26" s="1"/>
  <c r="AO7" i="26"/>
  <c r="AO6" i="26"/>
  <c r="AO47" i="26" s="1"/>
  <c r="AO5" i="26"/>
  <c r="AO4" i="26"/>
  <c r="AO40" i="26" s="1"/>
  <c r="AO2" i="26"/>
  <c r="AO38" i="26" s="1"/>
  <c r="AP30" i="26"/>
  <c r="AP35" i="26" s="1"/>
  <c r="AP29" i="26"/>
  <c r="AP28" i="26"/>
  <c r="AP43" i="26" s="1"/>
  <c r="AP27" i="26"/>
  <c r="AP26" i="26"/>
  <c r="AP36" i="26" s="1"/>
  <c r="AP25" i="26"/>
  <c r="AP24" i="26"/>
  <c r="AP23" i="26"/>
  <c r="AP49" i="26" s="1"/>
  <c r="AP22" i="26"/>
  <c r="AP37" i="26" s="1"/>
  <c r="AP21" i="26"/>
  <c r="AP20" i="26"/>
  <c r="AP19" i="26"/>
  <c r="AP42" i="26" s="1"/>
  <c r="AP18" i="26"/>
  <c r="AP17" i="26"/>
  <c r="AP16" i="26"/>
  <c r="AP15" i="26"/>
  <c r="AP44" i="26" s="1"/>
  <c r="AP14" i="26"/>
  <c r="AP34" i="26" s="1"/>
  <c r="AP13" i="26"/>
  <c r="AP33" i="26" s="1"/>
  <c r="AP12" i="26"/>
  <c r="AP11" i="26"/>
  <c r="AP39" i="26" s="1"/>
  <c r="AP10" i="26"/>
  <c r="AP46" i="26" s="1"/>
  <c r="AP9" i="26"/>
  <c r="AP8" i="26"/>
  <c r="AP41" i="26" s="1"/>
  <c r="AP7" i="26"/>
  <c r="AP6" i="26"/>
  <c r="AP47" i="26" s="1"/>
  <c r="AP5" i="26"/>
  <c r="AP4" i="26"/>
  <c r="AP40" i="26" s="1"/>
  <c r="AP2" i="26"/>
  <c r="AP38" i="26" s="1"/>
  <c r="AQ30" i="26"/>
  <c r="AQ35" i="26" s="1"/>
  <c r="AQ29" i="26"/>
  <c r="AQ28" i="26"/>
  <c r="AQ43" i="26" s="1"/>
  <c r="AQ27" i="26"/>
  <c r="AQ26" i="26"/>
  <c r="AQ36" i="26" s="1"/>
  <c r="AQ25" i="26"/>
  <c r="AQ24" i="26"/>
  <c r="AQ23" i="26"/>
  <c r="AQ49" i="26" s="1"/>
  <c r="AQ22" i="26"/>
  <c r="AQ37" i="26" s="1"/>
  <c r="AQ21" i="26"/>
  <c r="AQ20" i="26"/>
  <c r="AQ19" i="26"/>
  <c r="AQ42" i="26" s="1"/>
  <c r="AQ18" i="26"/>
  <c r="AQ17" i="26"/>
  <c r="AQ16" i="26"/>
  <c r="AQ15" i="26"/>
  <c r="AQ44" i="26" s="1"/>
  <c r="AQ14" i="26"/>
  <c r="AQ34" i="26" s="1"/>
  <c r="AQ13" i="26"/>
  <c r="AQ33" i="26" s="1"/>
  <c r="AQ12" i="26"/>
  <c r="AQ11" i="26"/>
  <c r="AQ39" i="26" s="1"/>
  <c r="AQ10" i="26"/>
  <c r="AQ46" i="26" s="1"/>
  <c r="AQ9" i="26"/>
  <c r="AQ8" i="26"/>
  <c r="AQ41" i="26" s="1"/>
  <c r="AQ7" i="26"/>
  <c r="AQ6" i="26"/>
  <c r="AQ47" i="26" s="1"/>
  <c r="AQ5" i="26"/>
  <c r="AQ4" i="26"/>
  <c r="AQ40" i="26" s="1"/>
  <c r="AQ2" i="26"/>
  <c r="AQ38" i="26" s="1"/>
  <c r="AS30" i="26"/>
  <c r="AS35" i="26" s="1"/>
  <c r="AS29" i="26"/>
  <c r="AS28" i="26"/>
  <c r="AS43" i="26" s="1"/>
  <c r="AS27" i="26"/>
  <c r="AS26" i="26"/>
  <c r="AS36" i="26" s="1"/>
  <c r="AS25" i="26"/>
  <c r="AS24" i="26"/>
  <c r="AS24" i="28" s="1"/>
  <c r="AS23" i="26"/>
  <c r="AS49" i="26" s="1"/>
  <c r="AS22" i="26"/>
  <c r="AS37" i="26" s="1"/>
  <c r="AS21" i="26"/>
  <c r="AS20" i="26"/>
  <c r="AS19" i="26"/>
  <c r="AS42" i="26" s="1"/>
  <c r="AS18" i="26"/>
  <c r="AS17" i="26"/>
  <c r="AS16" i="26"/>
  <c r="AS15" i="26"/>
  <c r="AS44" i="26" s="1"/>
  <c r="AS14" i="26"/>
  <c r="AS34" i="26" s="1"/>
  <c r="AS13" i="26"/>
  <c r="AS33" i="26" s="1"/>
  <c r="AS12" i="26"/>
  <c r="AS11" i="26"/>
  <c r="AS39" i="26" s="1"/>
  <c r="AS10" i="26"/>
  <c r="AS46" i="26" s="1"/>
  <c r="AS9" i="26"/>
  <c r="AS8" i="26"/>
  <c r="AS41" i="26" s="1"/>
  <c r="AS7" i="26"/>
  <c r="AS6" i="26"/>
  <c r="AS47" i="26" s="1"/>
  <c r="AS5" i="26"/>
  <c r="AS4" i="26"/>
  <c r="AS40" i="26" s="1"/>
  <c r="AS2" i="26"/>
  <c r="AS38" i="26" s="1"/>
  <c r="AT30" i="26"/>
  <c r="AT35" i="26" s="1"/>
  <c r="AT29" i="26"/>
  <c r="AT28" i="26"/>
  <c r="AT43" i="26" s="1"/>
  <c r="AT27" i="26"/>
  <c r="AT26" i="26"/>
  <c r="AT36" i="26" s="1"/>
  <c r="AT25" i="26"/>
  <c r="AT24" i="26"/>
  <c r="AT23" i="26"/>
  <c r="AT49" i="26" s="1"/>
  <c r="AT22" i="26"/>
  <c r="AT37" i="26" s="1"/>
  <c r="AT21" i="26"/>
  <c r="AT20" i="26"/>
  <c r="AT19" i="26"/>
  <c r="AT42" i="26" s="1"/>
  <c r="AT18" i="26"/>
  <c r="AT17" i="26"/>
  <c r="AT16" i="26"/>
  <c r="AT15" i="26"/>
  <c r="AT44" i="26" s="1"/>
  <c r="AT14" i="26"/>
  <c r="AT34" i="26" s="1"/>
  <c r="AT13" i="26"/>
  <c r="AT33" i="26" s="1"/>
  <c r="AT12" i="26"/>
  <c r="AT11" i="26"/>
  <c r="AT39" i="26" s="1"/>
  <c r="AT10" i="26"/>
  <c r="AT46" i="26" s="1"/>
  <c r="AT9" i="26"/>
  <c r="AT8" i="26"/>
  <c r="AT41" i="26" s="1"/>
  <c r="AT7" i="26"/>
  <c r="AT6" i="26"/>
  <c r="AT47" i="26" s="1"/>
  <c r="AT5" i="26"/>
  <c r="AT4" i="26"/>
  <c r="AT40" i="26" s="1"/>
  <c r="AT2" i="26"/>
  <c r="AT38" i="26" s="1"/>
  <c r="AU30" i="26"/>
  <c r="AU35" i="26" s="1"/>
  <c r="AU29" i="26"/>
  <c r="AU28" i="26"/>
  <c r="AU43" i="26" s="1"/>
  <c r="AU27" i="26"/>
  <c r="AU26" i="26"/>
  <c r="AU36" i="26" s="1"/>
  <c r="AU25" i="26"/>
  <c r="AU24" i="26"/>
  <c r="AU23" i="26"/>
  <c r="AU49" i="26" s="1"/>
  <c r="AU22" i="26"/>
  <c r="AU37" i="26" s="1"/>
  <c r="AU21" i="26"/>
  <c r="AU20" i="26"/>
  <c r="AU19" i="26"/>
  <c r="AU42" i="26" s="1"/>
  <c r="AU18" i="26"/>
  <c r="AU17" i="26"/>
  <c r="AU16" i="26"/>
  <c r="AU15" i="26"/>
  <c r="AU44" i="26" s="1"/>
  <c r="AU14" i="26"/>
  <c r="AU34" i="26" s="1"/>
  <c r="AU13" i="26"/>
  <c r="AU33" i="26" s="1"/>
  <c r="AU12" i="26"/>
  <c r="AU11" i="26"/>
  <c r="AU39" i="26" s="1"/>
  <c r="AU10" i="26"/>
  <c r="AU46" i="26" s="1"/>
  <c r="AU9" i="26"/>
  <c r="AU8" i="26"/>
  <c r="AU41" i="26" s="1"/>
  <c r="AU7" i="26"/>
  <c r="AU6" i="26"/>
  <c r="AU47" i="26" s="1"/>
  <c r="AU5" i="26"/>
  <c r="AU4" i="26"/>
  <c r="AU40" i="26" s="1"/>
  <c r="AU2" i="26"/>
  <c r="AU38" i="26" s="1"/>
  <c r="AY30" i="26"/>
  <c r="AY35" i="26" s="1"/>
  <c r="AY29" i="26"/>
  <c r="AY28" i="26"/>
  <c r="AY43" i="26" s="1"/>
  <c r="AY27" i="26"/>
  <c r="AY26" i="26"/>
  <c r="AY36" i="26" s="1"/>
  <c r="AY25" i="26"/>
  <c r="AY24" i="26"/>
  <c r="AY23" i="26"/>
  <c r="AY49" i="26" s="1"/>
  <c r="AY22" i="26"/>
  <c r="AY37" i="26" s="1"/>
  <c r="AY21" i="26"/>
  <c r="AY20" i="26"/>
  <c r="AY19" i="26"/>
  <c r="AY42" i="26" s="1"/>
  <c r="AY18" i="26"/>
  <c r="AY17" i="26"/>
  <c r="AY16" i="26"/>
  <c r="AY15" i="26"/>
  <c r="AY44" i="26" s="1"/>
  <c r="AY14" i="26"/>
  <c r="AY34" i="26" s="1"/>
  <c r="AY13" i="26"/>
  <c r="AY33" i="26" s="1"/>
  <c r="AY12" i="26"/>
  <c r="AY11" i="26"/>
  <c r="AY39" i="26" s="1"/>
  <c r="AY10" i="26"/>
  <c r="AY46" i="26" s="1"/>
  <c r="AY9" i="26"/>
  <c r="AY8" i="26"/>
  <c r="AY41" i="26" s="1"/>
  <c r="AY7" i="26"/>
  <c r="AY6" i="26"/>
  <c r="AY47" i="26" s="1"/>
  <c r="AY5" i="26"/>
  <c r="AY4" i="26"/>
  <c r="AY40" i="26" s="1"/>
  <c r="AY2" i="26"/>
  <c r="AY38" i="26" s="1"/>
  <c r="AV30" i="26"/>
  <c r="AV35" i="26" s="1"/>
  <c r="AV29" i="26"/>
  <c r="AV28" i="26"/>
  <c r="AV43" i="26" s="1"/>
  <c r="AV27" i="26"/>
  <c r="AV26" i="26"/>
  <c r="AV36" i="26" s="1"/>
  <c r="AV25" i="26"/>
  <c r="AV24" i="26"/>
  <c r="AV24" i="28" s="1"/>
  <c r="AV23" i="26"/>
  <c r="AV49" i="26" s="1"/>
  <c r="AV22" i="26"/>
  <c r="AV37" i="26" s="1"/>
  <c r="AV21" i="26"/>
  <c r="AV20" i="26"/>
  <c r="AV19" i="26"/>
  <c r="AV42" i="26" s="1"/>
  <c r="AV18" i="26"/>
  <c r="AV17" i="26"/>
  <c r="AV16" i="26"/>
  <c r="AV15" i="26"/>
  <c r="AV44" i="26" s="1"/>
  <c r="AV14" i="26"/>
  <c r="AV34" i="26" s="1"/>
  <c r="AV13" i="26"/>
  <c r="AV33" i="26" s="1"/>
  <c r="AV12" i="26"/>
  <c r="AV11" i="26"/>
  <c r="AV39" i="26" s="1"/>
  <c r="AV10" i="26"/>
  <c r="AV46" i="26" s="1"/>
  <c r="AV9" i="26"/>
  <c r="AV8" i="26"/>
  <c r="AV41" i="26" s="1"/>
  <c r="AV7" i="26"/>
  <c r="AV6" i="26"/>
  <c r="AV47" i="26" s="1"/>
  <c r="AV5" i="26"/>
  <c r="AV4" i="26"/>
  <c r="AV40" i="26" s="1"/>
  <c r="AV2" i="26"/>
  <c r="AV38" i="26" s="1"/>
  <c r="AW30" i="26"/>
  <c r="AW35" i="26" s="1"/>
  <c r="AW29" i="26"/>
  <c r="AW28" i="26"/>
  <c r="AW43" i="26" s="1"/>
  <c r="AW27" i="26"/>
  <c r="AW26" i="26"/>
  <c r="AW36" i="26" s="1"/>
  <c r="AW25" i="26"/>
  <c r="AW24" i="26"/>
  <c r="AW24" i="28" s="1"/>
  <c r="AW23" i="26"/>
  <c r="AW49" i="26" s="1"/>
  <c r="AW22" i="26"/>
  <c r="AW37" i="26" s="1"/>
  <c r="AW21" i="26"/>
  <c r="AW20" i="26"/>
  <c r="AW19" i="26"/>
  <c r="AW42" i="26" s="1"/>
  <c r="AW18" i="26"/>
  <c r="AW17" i="26"/>
  <c r="AW16" i="26"/>
  <c r="AW15" i="26"/>
  <c r="AW44" i="26" s="1"/>
  <c r="AW14" i="26"/>
  <c r="AW34" i="26" s="1"/>
  <c r="AW13" i="26"/>
  <c r="AW33" i="26" s="1"/>
  <c r="AW12" i="26"/>
  <c r="AW11" i="26"/>
  <c r="AW39" i="26" s="1"/>
  <c r="AW10" i="26"/>
  <c r="AW46" i="26" s="1"/>
  <c r="AW9" i="26"/>
  <c r="AW8" i="26"/>
  <c r="AW41" i="26" s="1"/>
  <c r="AW7" i="26"/>
  <c r="AW6" i="26"/>
  <c r="AW47" i="26" s="1"/>
  <c r="AW5" i="26"/>
  <c r="AW4" i="26"/>
  <c r="AW40" i="26" s="1"/>
  <c r="AW2" i="26"/>
  <c r="AW38" i="26" s="1"/>
  <c r="AX30" i="26"/>
  <c r="AX35" i="26" s="1"/>
  <c r="AX29" i="26"/>
  <c r="AX28" i="26"/>
  <c r="AX43" i="26" s="1"/>
  <c r="AX27" i="26"/>
  <c r="AX26" i="26"/>
  <c r="AX36" i="26" s="1"/>
  <c r="AX25" i="26"/>
  <c r="AX24" i="26"/>
  <c r="AX23" i="26"/>
  <c r="AX49" i="26" s="1"/>
  <c r="AX22" i="26"/>
  <c r="AX37" i="26" s="1"/>
  <c r="AX21" i="26"/>
  <c r="AX20" i="26"/>
  <c r="AX19" i="26"/>
  <c r="AX42" i="26" s="1"/>
  <c r="AX18" i="26"/>
  <c r="AX17" i="26"/>
  <c r="AX16" i="26"/>
  <c r="AX15" i="26"/>
  <c r="AX44" i="26" s="1"/>
  <c r="AX14" i="26"/>
  <c r="AX34" i="26" s="1"/>
  <c r="AX13" i="26"/>
  <c r="AX33" i="26" s="1"/>
  <c r="AX12" i="26"/>
  <c r="AX11" i="26"/>
  <c r="AX39" i="26" s="1"/>
  <c r="AX10" i="26"/>
  <c r="AX46" i="26" s="1"/>
  <c r="AX9" i="26"/>
  <c r="AX8" i="26"/>
  <c r="AX41" i="26" s="1"/>
  <c r="AX7" i="26"/>
  <c r="AX6" i="26"/>
  <c r="AX47" i="26" s="1"/>
  <c r="AX5" i="26"/>
  <c r="AX4" i="26"/>
  <c r="AX40" i="26" s="1"/>
  <c r="AX2" i="26"/>
  <c r="AX38" i="26" s="1"/>
  <c r="D20" i="27"/>
  <c r="D19" i="27"/>
  <c r="D42" i="27" s="1"/>
  <c r="D18" i="27"/>
  <c r="D17" i="27"/>
  <c r="D16" i="27"/>
  <c r="D14" i="27"/>
  <c r="D34" i="27" s="1"/>
  <c r="D12" i="27"/>
  <c r="D11" i="27"/>
  <c r="D39" i="27" s="1"/>
  <c r="D9" i="27"/>
  <c r="D8" i="27"/>
  <c r="D41" i="27" s="1"/>
  <c r="D7" i="27"/>
  <c r="D6" i="27"/>
  <c r="D47" i="27" s="1"/>
  <c r="D5" i="27"/>
  <c r="D4" i="27"/>
  <c r="D40" i="27" s="1"/>
  <c r="D2" i="26"/>
  <c r="AR30" i="26"/>
  <c r="AR35" i="26" s="1"/>
  <c r="AR29" i="26"/>
  <c r="AR28" i="26"/>
  <c r="AR43" i="26" s="1"/>
  <c r="AR27" i="26"/>
  <c r="AR26" i="26"/>
  <c r="AR36" i="26" s="1"/>
  <c r="AR25" i="26"/>
  <c r="AR24" i="26"/>
  <c r="AR23" i="26"/>
  <c r="AR49" i="26" s="1"/>
  <c r="AR22" i="26"/>
  <c r="AR37" i="26" s="1"/>
  <c r="AR21" i="26"/>
  <c r="AR20" i="26"/>
  <c r="AR19" i="26"/>
  <c r="AR42" i="26" s="1"/>
  <c r="AR18" i="26"/>
  <c r="AR17" i="26"/>
  <c r="AR16" i="26"/>
  <c r="AR15" i="26"/>
  <c r="AR44" i="26" s="1"/>
  <c r="AR14" i="26"/>
  <c r="AR34" i="26" s="1"/>
  <c r="AR13" i="26"/>
  <c r="AR33" i="26" s="1"/>
  <c r="AR12" i="26"/>
  <c r="AR11" i="26"/>
  <c r="AR39" i="26" s="1"/>
  <c r="AR10" i="26"/>
  <c r="AR46" i="26" s="1"/>
  <c r="AR9" i="26"/>
  <c r="AR8" i="26"/>
  <c r="AR41" i="26" s="1"/>
  <c r="AR7" i="26"/>
  <c r="AR6" i="26"/>
  <c r="AR47" i="26" s="1"/>
  <c r="AR5" i="26"/>
  <c r="AR4" i="26"/>
  <c r="AR40" i="26" s="1"/>
  <c r="AR2" i="26"/>
  <c r="AR38" i="26" s="1"/>
  <c r="E30" i="26"/>
  <c r="E35" i="26" s="1"/>
  <c r="E29" i="26"/>
  <c r="E28" i="26"/>
  <c r="E43" i="26" s="1"/>
  <c r="E27" i="26"/>
  <c r="E26" i="26"/>
  <c r="E36" i="26" s="1"/>
  <c r="E25" i="26"/>
  <c r="E24" i="26"/>
  <c r="E23" i="26"/>
  <c r="E49" i="26" s="1"/>
  <c r="E22" i="26"/>
  <c r="E37" i="26" s="1"/>
  <c r="E21" i="26"/>
  <c r="E20" i="26"/>
  <c r="E19" i="26"/>
  <c r="E42" i="26" s="1"/>
  <c r="E18" i="26"/>
  <c r="E17" i="26"/>
  <c r="E16" i="26"/>
  <c r="E15" i="26"/>
  <c r="E44" i="26" s="1"/>
  <c r="E14" i="26"/>
  <c r="E34" i="26" s="1"/>
  <c r="E13" i="26"/>
  <c r="E33" i="26" s="1"/>
  <c r="E12" i="26"/>
  <c r="E11" i="26"/>
  <c r="E39" i="26" s="1"/>
  <c r="E10" i="26"/>
  <c r="E46" i="26" s="1"/>
  <c r="E9" i="26"/>
  <c r="E8" i="26"/>
  <c r="E41" i="26" s="1"/>
  <c r="E7" i="26"/>
  <c r="E6" i="26"/>
  <c r="E47" i="26" s="1"/>
  <c r="E5" i="26"/>
  <c r="E4" i="26"/>
  <c r="E40" i="26" s="1"/>
  <c r="E2" i="26"/>
  <c r="E38" i="26" s="1"/>
  <c r="F30" i="26"/>
  <c r="F35" i="26" s="1"/>
  <c r="F29" i="26"/>
  <c r="F28" i="26"/>
  <c r="F43" i="26" s="1"/>
  <c r="F27" i="26"/>
  <c r="F26" i="26"/>
  <c r="F36" i="26" s="1"/>
  <c r="F25" i="26"/>
  <c r="F24" i="26"/>
  <c r="F23" i="26"/>
  <c r="F49" i="26" s="1"/>
  <c r="F22" i="26"/>
  <c r="F37" i="26" s="1"/>
  <c r="F21" i="26"/>
  <c r="F20" i="26"/>
  <c r="F19" i="26"/>
  <c r="F42" i="26" s="1"/>
  <c r="F18" i="26"/>
  <c r="F17" i="26"/>
  <c r="F16" i="26"/>
  <c r="F15" i="26"/>
  <c r="F44" i="26" s="1"/>
  <c r="F14" i="26"/>
  <c r="F34" i="26" s="1"/>
  <c r="F13" i="26"/>
  <c r="F33" i="26" s="1"/>
  <c r="F12" i="26"/>
  <c r="F11" i="26"/>
  <c r="F39" i="26" s="1"/>
  <c r="F10" i="26"/>
  <c r="F46" i="26" s="1"/>
  <c r="F9" i="26"/>
  <c r="F8" i="26"/>
  <c r="F41" i="26" s="1"/>
  <c r="F7" i="26"/>
  <c r="F6" i="26"/>
  <c r="F47" i="26" s="1"/>
  <c r="F5" i="26"/>
  <c r="F4" i="26"/>
  <c r="F40" i="26" s="1"/>
  <c r="F2" i="26"/>
  <c r="F38" i="26" s="1"/>
  <c r="G30" i="26"/>
  <c r="G35" i="26" s="1"/>
  <c r="G29" i="26"/>
  <c r="G28" i="26"/>
  <c r="G43" i="26" s="1"/>
  <c r="G27" i="26"/>
  <c r="G26" i="26"/>
  <c r="G36" i="26" s="1"/>
  <c r="G25" i="26"/>
  <c r="G24" i="26"/>
  <c r="G23" i="26"/>
  <c r="G49" i="26" s="1"/>
  <c r="G22" i="26"/>
  <c r="G37" i="26" s="1"/>
  <c r="G21" i="26"/>
  <c r="G20" i="26"/>
  <c r="G19" i="26"/>
  <c r="G42" i="26" s="1"/>
  <c r="G18" i="26"/>
  <c r="G17" i="26"/>
  <c r="G16" i="26"/>
  <c r="G15" i="26"/>
  <c r="G44" i="26" s="1"/>
  <c r="G14" i="26"/>
  <c r="G34" i="26" s="1"/>
  <c r="G13" i="26"/>
  <c r="G33" i="26" s="1"/>
  <c r="G12" i="26"/>
  <c r="G11" i="26"/>
  <c r="G39" i="26" s="1"/>
  <c r="G10" i="26"/>
  <c r="G46" i="26" s="1"/>
  <c r="G9" i="26"/>
  <c r="G8" i="26"/>
  <c r="G41" i="26" s="1"/>
  <c r="G7" i="26"/>
  <c r="G6" i="26"/>
  <c r="G47" i="26" s="1"/>
  <c r="G5" i="26"/>
  <c r="G4" i="26"/>
  <c r="G40" i="26" s="1"/>
  <c r="G2" i="26"/>
  <c r="G38" i="26" s="1"/>
  <c r="H30" i="26"/>
  <c r="H35" i="26" s="1"/>
  <c r="H29" i="26"/>
  <c r="H28" i="26"/>
  <c r="H43" i="26" s="1"/>
  <c r="H27" i="26"/>
  <c r="H26" i="26"/>
  <c r="H36" i="26" s="1"/>
  <c r="H25" i="26"/>
  <c r="H24" i="26"/>
  <c r="H23" i="26"/>
  <c r="H49" i="26" s="1"/>
  <c r="H22" i="26"/>
  <c r="H37" i="26" s="1"/>
  <c r="H21" i="26"/>
  <c r="H20" i="26"/>
  <c r="H19" i="26"/>
  <c r="H42" i="26" s="1"/>
  <c r="H18" i="26"/>
  <c r="H17" i="26"/>
  <c r="H16" i="26"/>
  <c r="H15" i="26"/>
  <c r="H44" i="26" s="1"/>
  <c r="H14" i="26"/>
  <c r="H34" i="26" s="1"/>
  <c r="H13" i="26"/>
  <c r="H33" i="26" s="1"/>
  <c r="H12" i="26"/>
  <c r="H11" i="26"/>
  <c r="H39" i="26" s="1"/>
  <c r="H10" i="26"/>
  <c r="H46" i="26" s="1"/>
  <c r="H9" i="26"/>
  <c r="H8" i="26"/>
  <c r="H41" i="26" s="1"/>
  <c r="H7" i="26"/>
  <c r="H6" i="26"/>
  <c r="H47" i="26" s="1"/>
  <c r="H5" i="26"/>
  <c r="H4" i="26"/>
  <c r="H40" i="26" s="1"/>
  <c r="H2" i="26"/>
  <c r="H38" i="26" s="1"/>
  <c r="I30" i="26"/>
  <c r="I35" i="26" s="1"/>
  <c r="I29" i="26"/>
  <c r="I28" i="26"/>
  <c r="I43" i="26" s="1"/>
  <c r="I27" i="26"/>
  <c r="I26" i="26"/>
  <c r="I36" i="26" s="1"/>
  <c r="I25" i="26"/>
  <c r="I24" i="26"/>
  <c r="I23" i="26"/>
  <c r="I49" i="26" s="1"/>
  <c r="I22" i="26"/>
  <c r="I37" i="26" s="1"/>
  <c r="I21" i="26"/>
  <c r="I20" i="26"/>
  <c r="I19" i="26"/>
  <c r="I42" i="26" s="1"/>
  <c r="I18" i="26"/>
  <c r="I17" i="26"/>
  <c r="I16" i="26"/>
  <c r="I15" i="26"/>
  <c r="I44" i="26" s="1"/>
  <c r="I14" i="26"/>
  <c r="I34" i="26" s="1"/>
  <c r="I13" i="26"/>
  <c r="I33" i="26" s="1"/>
  <c r="I12" i="26"/>
  <c r="I11" i="26"/>
  <c r="I39" i="26" s="1"/>
  <c r="I10" i="26"/>
  <c r="I46" i="26" s="1"/>
  <c r="I9" i="26"/>
  <c r="I8" i="26"/>
  <c r="I41" i="26" s="1"/>
  <c r="I7" i="26"/>
  <c r="I6" i="26"/>
  <c r="I47" i="26" s="1"/>
  <c r="I5" i="26"/>
  <c r="I4" i="26"/>
  <c r="I40" i="26" s="1"/>
  <c r="I2" i="26"/>
  <c r="I38" i="26" s="1"/>
  <c r="J30" i="26"/>
  <c r="J35" i="26" s="1"/>
  <c r="J29" i="26"/>
  <c r="J28" i="26"/>
  <c r="J43" i="26" s="1"/>
  <c r="J27" i="26"/>
  <c r="J26" i="26"/>
  <c r="J36" i="26" s="1"/>
  <c r="J25" i="26"/>
  <c r="J24" i="26"/>
  <c r="J23" i="26"/>
  <c r="J49" i="26" s="1"/>
  <c r="J22" i="26"/>
  <c r="J37" i="26" s="1"/>
  <c r="J21" i="26"/>
  <c r="J20" i="26"/>
  <c r="J19" i="26"/>
  <c r="J42" i="26" s="1"/>
  <c r="J18" i="26"/>
  <c r="J17" i="26"/>
  <c r="J16" i="26"/>
  <c r="J15" i="26"/>
  <c r="J44" i="26" s="1"/>
  <c r="J14" i="26"/>
  <c r="J34" i="26" s="1"/>
  <c r="J13" i="26"/>
  <c r="J33" i="26" s="1"/>
  <c r="J12" i="26"/>
  <c r="J11" i="26"/>
  <c r="J39" i="26" s="1"/>
  <c r="J10" i="26"/>
  <c r="J46" i="26" s="1"/>
  <c r="J9" i="26"/>
  <c r="J8" i="26"/>
  <c r="J41" i="26" s="1"/>
  <c r="J7" i="26"/>
  <c r="J6" i="26"/>
  <c r="J47" i="26" s="1"/>
  <c r="J5" i="26"/>
  <c r="J4" i="26"/>
  <c r="J40" i="26" s="1"/>
  <c r="J2" i="26"/>
  <c r="J38" i="26" s="1"/>
  <c r="AA30" i="26"/>
  <c r="AA35" i="26" s="1"/>
  <c r="AA29" i="26"/>
  <c r="AA28" i="26"/>
  <c r="AA43" i="26" s="1"/>
  <c r="AA27" i="26"/>
  <c r="AA26" i="26"/>
  <c r="AA36" i="26" s="1"/>
  <c r="AA25" i="26"/>
  <c r="AA24" i="26"/>
  <c r="AA23" i="26"/>
  <c r="AA49" i="26" s="1"/>
  <c r="AA22" i="26"/>
  <c r="AA37" i="26" s="1"/>
  <c r="AA21" i="26"/>
  <c r="AA20" i="26"/>
  <c r="AA19" i="26"/>
  <c r="AA42" i="26" s="1"/>
  <c r="AA18" i="26"/>
  <c r="AA17" i="26"/>
  <c r="AA16" i="26"/>
  <c r="AA15" i="26"/>
  <c r="AA44" i="26" s="1"/>
  <c r="AA14" i="26"/>
  <c r="AA34" i="26" s="1"/>
  <c r="AA13" i="26"/>
  <c r="AA33" i="26" s="1"/>
  <c r="AA12" i="26"/>
  <c r="AA11" i="26"/>
  <c r="AA39" i="26" s="1"/>
  <c r="AA10" i="26"/>
  <c r="AA46" i="26" s="1"/>
  <c r="AA9" i="26"/>
  <c r="AA8" i="26"/>
  <c r="AA41" i="26" s="1"/>
  <c r="AA7" i="26"/>
  <c r="AA6" i="26"/>
  <c r="AA47" i="26" s="1"/>
  <c r="AA5" i="26"/>
  <c r="AA4" i="26"/>
  <c r="AA40" i="26" s="1"/>
  <c r="AA2" i="26"/>
  <c r="AA38" i="26" s="1"/>
  <c r="K30" i="26"/>
  <c r="K35" i="26" s="1"/>
  <c r="K29" i="26"/>
  <c r="K28" i="26"/>
  <c r="K43" i="26" s="1"/>
  <c r="K27" i="26"/>
  <c r="K26" i="26"/>
  <c r="K36" i="26" s="1"/>
  <c r="K25" i="26"/>
  <c r="K24" i="26"/>
  <c r="K23" i="26"/>
  <c r="K49" i="26" s="1"/>
  <c r="K22" i="26"/>
  <c r="K37" i="26" s="1"/>
  <c r="K21" i="26"/>
  <c r="K20" i="26"/>
  <c r="K19" i="26"/>
  <c r="K42" i="26" s="1"/>
  <c r="K18" i="26"/>
  <c r="K17" i="26"/>
  <c r="K16" i="26"/>
  <c r="K15" i="26"/>
  <c r="K44" i="26" s="1"/>
  <c r="K14" i="26"/>
  <c r="K34" i="26" s="1"/>
  <c r="K13" i="26"/>
  <c r="K33" i="26" s="1"/>
  <c r="K12" i="26"/>
  <c r="K11" i="26"/>
  <c r="K39" i="26" s="1"/>
  <c r="K10" i="26"/>
  <c r="K46" i="26" s="1"/>
  <c r="K9" i="26"/>
  <c r="K8" i="26"/>
  <c r="K41" i="26" s="1"/>
  <c r="K7" i="26"/>
  <c r="K6" i="26"/>
  <c r="K47" i="26" s="1"/>
  <c r="K5" i="26"/>
  <c r="K4" i="26"/>
  <c r="K40" i="26" s="1"/>
  <c r="K2" i="26"/>
  <c r="K38" i="26" s="1"/>
  <c r="L30" i="26"/>
  <c r="L35" i="26" s="1"/>
  <c r="L29" i="26"/>
  <c r="L28" i="26"/>
  <c r="L43" i="26" s="1"/>
  <c r="L27" i="26"/>
  <c r="L26" i="26"/>
  <c r="L36" i="26" s="1"/>
  <c r="L25" i="26"/>
  <c r="L24" i="26"/>
  <c r="L23" i="26"/>
  <c r="L49" i="26" s="1"/>
  <c r="L22" i="26"/>
  <c r="L37" i="26" s="1"/>
  <c r="L21" i="26"/>
  <c r="L20" i="26"/>
  <c r="L19" i="26"/>
  <c r="L42" i="26" s="1"/>
  <c r="L18" i="26"/>
  <c r="L17" i="26"/>
  <c r="L16" i="26"/>
  <c r="L15" i="26"/>
  <c r="L44" i="26" s="1"/>
  <c r="L14" i="26"/>
  <c r="L34" i="26" s="1"/>
  <c r="L13" i="26"/>
  <c r="L33" i="26" s="1"/>
  <c r="L12" i="26"/>
  <c r="L11" i="26"/>
  <c r="L39" i="26" s="1"/>
  <c r="L10" i="26"/>
  <c r="L46" i="26" s="1"/>
  <c r="L9" i="26"/>
  <c r="L8" i="26"/>
  <c r="L41" i="26" s="1"/>
  <c r="L7" i="26"/>
  <c r="L6" i="26"/>
  <c r="L47" i="26" s="1"/>
  <c r="L5" i="26"/>
  <c r="L4" i="26"/>
  <c r="L40" i="26" s="1"/>
  <c r="L2" i="26"/>
  <c r="L38" i="26" s="1"/>
  <c r="M30" i="26"/>
  <c r="M35" i="26" s="1"/>
  <c r="M29" i="26"/>
  <c r="M28" i="26"/>
  <c r="M43" i="26" s="1"/>
  <c r="M27" i="26"/>
  <c r="M26" i="26"/>
  <c r="M36" i="26" s="1"/>
  <c r="M25" i="26"/>
  <c r="M24" i="26"/>
  <c r="M23" i="26"/>
  <c r="M49" i="26" s="1"/>
  <c r="M22" i="26"/>
  <c r="M37" i="26" s="1"/>
  <c r="M21" i="26"/>
  <c r="M20" i="26"/>
  <c r="M19" i="26"/>
  <c r="M42" i="26" s="1"/>
  <c r="M18" i="26"/>
  <c r="M17" i="26"/>
  <c r="M16" i="26"/>
  <c r="M15" i="26"/>
  <c r="M44" i="26" s="1"/>
  <c r="M14" i="26"/>
  <c r="M34" i="26" s="1"/>
  <c r="M13" i="26"/>
  <c r="M33" i="26" s="1"/>
  <c r="M12" i="26"/>
  <c r="M11" i="26"/>
  <c r="M39" i="26" s="1"/>
  <c r="M10" i="26"/>
  <c r="M46" i="26" s="1"/>
  <c r="M9" i="26"/>
  <c r="M8" i="26"/>
  <c r="M41" i="26" s="1"/>
  <c r="M7" i="26"/>
  <c r="M6" i="26"/>
  <c r="M47" i="26" s="1"/>
  <c r="M5" i="26"/>
  <c r="M4" i="26"/>
  <c r="M40" i="26" s="1"/>
  <c r="M2" i="26"/>
  <c r="M38" i="26" s="1"/>
  <c r="N30" i="26"/>
  <c r="N35" i="26" s="1"/>
  <c r="N29" i="26"/>
  <c r="N28" i="26"/>
  <c r="N43" i="26" s="1"/>
  <c r="N27" i="26"/>
  <c r="N26" i="26"/>
  <c r="N36" i="26" s="1"/>
  <c r="N25" i="26"/>
  <c r="N24" i="26"/>
  <c r="N23" i="26"/>
  <c r="N49" i="26" s="1"/>
  <c r="N22" i="26"/>
  <c r="N37" i="26" s="1"/>
  <c r="N21" i="26"/>
  <c r="N20" i="26"/>
  <c r="N19" i="26"/>
  <c r="N42" i="26" s="1"/>
  <c r="N18" i="26"/>
  <c r="N17" i="26"/>
  <c r="N16" i="26"/>
  <c r="N15" i="26"/>
  <c r="N44" i="26" s="1"/>
  <c r="N14" i="26"/>
  <c r="N34" i="26" s="1"/>
  <c r="N13" i="26"/>
  <c r="N33" i="26" s="1"/>
  <c r="N12" i="26"/>
  <c r="N11" i="26"/>
  <c r="N39" i="26" s="1"/>
  <c r="N10" i="26"/>
  <c r="N46" i="26" s="1"/>
  <c r="N9" i="26"/>
  <c r="N8" i="26"/>
  <c r="N41" i="26" s="1"/>
  <c r="N7" i="26"/>
  <c r="N6" i="26"/>
  <c r="N47" i="26" s="1"/>
  <c r="N5" i="26"/>
  <c r="N4" i="26"/>
  <c r="N40" i="26" s="1"/>
  <c r="N2" i="26"/>
  <c r="N38" i="26" s="1"/>
  <c r="O30" i="26"/>
  <c r="O35" i="26" s="1"/>
  <c r="O29" i="26"/>
  <c r="O28" i="26"/>
  <c r="O43" i="26" s="1"/>
  <c r="O27" i="26"/>
  <c r="O26" i="26"/>
  <c r="O36" i="26" s="1"/>
  <c r="O25" i="26"/>
  <c r="O24" i="26"/>
  <c r="O23" i="26"/>
  <c r="O49" i="26" s="1"/>
  <c r="O22" i="26"/>
  <c r="O37" i="26" s="1"/>
  <c r="O21" i="26"/>
  <c r="O20" i="26"/>
  <c r="O19" i="26"/>
  <c r="O42" i="26" s="1"/>
  <c r="O18" i="26"/>
  <c r="O17" i="26"/>
  <c r="O16" i="26"/>
  <c r="O15" i="26"/>
  <c r="O44" i="26" s="1"/>
  <c r="O14" i="26"/>
  <c r="O34" i="26" s="1"/>
  <c r="O13" i="26"/>
  <c r="O33" i="26" s="1"/>
  <c r="O12" i="26"/>
  <c r="O11" i="26"/>
  <c r="O39" i="26" s="1"/>
  <c r="O10" i="26"/>
  <c r="O46" i="26" s="1"/>
  <c r="O9" i="26"/>
  <c r="O8" i="26"/>
  <c r="O41" i="26" s="1"/>
  <c r="O7" i="26"/>
  <c r="O6" i="26"/>
  <c r="O47" i="26" s="1"/>
  <c r="O5" i="26"/>
  <c r="O4" i="26"/>
  <c r="O40" i="26" s="1"/>
  <c r="O2" i="26"/>
  <c r="O38" i="26" s="1"/>
  <c r="P30" i="26"/>
  <c r="P35" i="26" s="1"/>
  <c r="P29" i="26"/>
  <c r="P28" i="26"/>
  <c r="P43" i="26" s="1"/>
  <c r="P27" i="26"/>
  <c r="P26" i="26"/>
  <c r="P36" i="26" s="1"/>
  <c r="P25" i="26"/>
  <c r="P24" i="26"/>
  <c r="P23" i="26"/>
  <c r="P49" i="26" s="1"/>
  <c r="P22" i="26"/>
  <c r="P37" i="26" s="1"/>
  <c r="P21" i="26"/>
  <c r="P20" i="26"/>
  <c r="P19" i="26"/>
  <c r="P42" i="26" s="1"/>
  <c r="P18" i="26"/>
  <c r="P17" i="26"/>
  <c r="P16" i="26"/>
  <c r="P15" i="26"/>
  <c r="P44" i="26" s="1"/>
  <c r="P14" i="26"/>
  <c r="P34" i="26" s="1"/>
  <c r="P13" i="26"/>
  <c r="P33" i="26" s="1"/>
  <c r="P12" i="26"/>
  <c r="P11" i="26"/>
  <c r="P39" i="26" s="1"/>
  <c r="P10" i="26"/>
  <c r="P46" i="26" s="1"/>
  <c r="P9" i="26"/>
  <c r="P8" i="26"/>
  <c r="P41" i="26" s="1"/>
  <c r="P7" i="26"/>
  <c r="P6" i="26"/>
  <c r="P47" i="26" s="1"/>
  <c r="P5" i="26"/>
  <c r="P4" i="26"/>
  <c r="P40" i="26" s="1"/>
  <c r="P2" i="26"/>
  <c r="P38" i="26" s="1"/>
  <c r="Q30" i="26"/>
  <c r="Q35" i="26" s="1"/>
  <c r="Q29" i="26"/>
  <c r="Q28" i="26"/>
  <c r="Q43" i="26" s="1"/>
  <c r="Q27" i="26"/>
  <c r="Q26" i="26"/>
  <c r="Q36" i="26" s="1"/>
  <c r="Q25" i="26"/>
  <c r="Q24" i="26"/>
  <c r="Q23" i="26"/>
  <c r="Q49" i="26" s="1"/>
  <c r="Q22" i="26"/>
  <c r="Q37" i="26" s="1"/>
  <c r="Q21" i="26"/>
  <c r="Q20" i="26"/>
  <c r="Q19" i="26"/>
  <c r="Q42" i="26" s="1"/>
  <c r="Q18" i="26"/>
  <c r="Q17" i="26"/>
  <c r="Q16" i="26"/>
  <c r="Q15" i="26"/>
  <c r="Q44" i="26" s="1"/>
  <c r="Q14" i="26"/>
  <c r="Q34" i="26" s="1"/>
  <c r="Q13" i="26"/>
  <c r="Q33" i="26" s="1"/>
  <c r="Q12" i="26"/>
  <c r="Q11" i="26"/>
  <c r="Q39" i="26" s="1"/>
  <c r="Q10" i="26"/>
  <c r="Q46" i="26" s="1"/>
  <c r="Q9" i="26"/>
  <c r="Q8" i="26"/>
  <c r="Q41" i="26" s="1"/>
  <c r="Q7" i="26"/>
  <c r="Q6" i="26"/>
  <c r="Q47" i="26" s="1"/>
  <c r="Q5" i="26"/>
  <c r="Q4" i="26"/>
  <c r="Q40" i="26" s="1"/>
  <c r="Q2" i="26"/>
  <c r="Q38" i="26" s="1"/>
  <c r="R30" i="26"/>
  <c r="R35" i="26" s="1"/>
  <c r="R29" i="26"/>
  <c r="R28" i="26"/>
  <c r="R43" i="26" s="1"/>
  <c r="R27" i="26"/>
  <c r="R26" i="26"/>
  <c r="R36" i="26" s="1"/>
  <c r="R25" i="26"/>
  <c r="R24" i="26"/>
  <c r="R23" i="26"/>
  <c r="R49" i="26" s="1"/>
  <c r="R22" i="26"/>
  <c r="R37" i="26" s="1"/>
  <c r="R21" i="26"/>
  <c r="R20" i="26"/>
  <c r="R19" i="26"/>
  <c r="R42" i="26" s="1"/>
  <c r="R18" i="26"/>
  <c r="R17" i="26"/>
  <c r="R16" i="26"/>
  <c r="R15" i="26"/>
  <c r="R44" i="26" s="1"/>
  <c r="R14" i="26"/>
  <c r="R34" i="26" s="1"/>
  <c r="R13" i="26"/>
  <c r="R33" i="26" s="1"/>
  <c r="R12" i="26"/>
  <c r="R11" i="26"/>
  <c r="R39" i="26" s="1"/>
  <c r="R10" i="26"/>
  <c r="R46" i="26" s="1"/>
  <c r="R9" i="26"/>
  <c r="R8" i="26"/>
  <c r="R41" i="26" s="1"/>
  <c r="R7" i="26"/>
  <c r="R6" i="26"/>
  <c r="R47" i="26" s="1"/>
  <c r="R5" i="26"/>
  <c r="R4" i="26"/>
  <c r="R40" i="26" s="1"/>
  <c r="R2" i="26"/>
  <c r="R38" i="26" s="1"/>
  <c r="S30" i="26"/>
  <c r="S35" i="26" s="1"/>
  <c r="S29" i="26"/>
  <c r="S28" i="26"/>
  <c r="S43" i="26" s="1"/>
  <c r="S27" i="26"/>
  <c r="S26" i="26"/>
  <c r="S36" i="26" s="1"/>
  <c r="S25" i="26"/>
  <c r="S24" i="26"/>
  <c r="S23" i="26"/>
  <c r="S49" i="26" s="1"/>
  <c r="S22" i="26"/>
  <c r="S37" i="26" s="1"/>
  <c r="S21" i="26"/>
  <c r="S20" i="26"/>
  <c r="S19" i="26"/>
  <c r="S42" i="26" s="1"/>
  <c r="S18" i="26"/>
  <c r="S17" i="26"/>
  <c r="S16" i="26"/>
  <c r="S15" i="26"/>
  <c r="S44" i="26" s="1"/>
  <c r="S14" i="26"/>
  <c r="S34" i="26" s="1"/>
  <c r="S13" i="26"/>
  <c r="S33" i="26" s="1"/>
  <c r="S12" i="26"/>
  <c r="S11" i="26"/>
  <c r="S39" i="26" s="1"/>
  <c r="S10" i="26"/>
  <c r="S46" i="26" s="1"/>
  <c r="S9" i="26"/>
  <c r="S8" i="26"/>
  <c r="S41" i="26" s="1"/>
  <c r="S7" i="26"/>
  <c r="S6" i="26"/>
  <c r="S47" i="26" s="1"/>
  <c r="S5" i="26"/>
  <c r="S4" i="26"/>
  <c r="S40" i="26" s="1"/>
  <c r="S2" i="26"/>
  <c r="S38" i="26" s="1"/>
  <c r="T30" i="26"/>
  <c r="T35" i="26" s="1"/>
  <c r="T29" i="26"/>
  <c r="T28" i="26"/>
  <c r="T43" i="26" s="1"/>
  <c r="T27" i="26"/>
  <c r="T26" i="26"/>
  <c r="T36" i="26" s="1"/>
  <c r="T25" i="26"/>
  <c r="T24" i="26"/>
  <c r="T23" i="26"/>
  <c r="T49" i="26" s="1"/>
  <c r="T22" i="26"/>
  <c r="T37" i="26" s="1"/>
  <c r="T21" i="26"/>
  <c r="T20" i="26"/>
  <c r="T19" i="26"/>
  <c r="T42" i="26" s="1"/>
  <c r="T18" i="26"/>
  <c r="T17" i="26"/>
  <c r="T16" i="26"/>
  <c r="T15" i="26"/>
  <c r="T44" i="26" s="1"/>
  <c r="T14" i="26"/>
  <c r="T34" i="26" s="1"/>
  <c r="T13" i="26"/>
  <c r="T33" i="26" s="1"/>
  <c r="T12" i="26"/>
  <c r="T11" i="26"/>
  <c r="T39" i="26" s="1"/>
  <c r="T10" i="26"/>
  <c r="T46" i="26" s="1"/>
  <c r="T9" i="26"/>
  <c r="T8" i="26"/>
  <c r="T41" i="26" s="1"/>
  <c r="T7" i="26"/>
  <c r="T6" i="26"/>
  <c r="T47" i="26" s="1"/>
  <c r="T5" i="26"/>
  <c r="T4" i="26"/>
  <c r="T40" i="26" s="1"/>
  <c r="T2" i="26"/>
  <c r="T38" i="26" s="1"/>
  <c r="U30" i="26"/>
  <c r="U35" i="26" s="1"/>
  <c r="U29" i="26"/>
  <c r="U28" i="26"/>
  <c r="U43" i="26" s="1"/>
  <c r="U27" i="26"/>
  <c r="U26" i="26"/>
  <c r="U36" i="26" s="1"/>
  <c r="U25" i="26"/>
  <c r="U24" i="26"/>
  <c r="U23" i="26"/>
  <c r="U49" i="26" s="1"/>
  <c r="U22" i="26"/>
  <c r="U37" i="26" s="1"/>
  <c r="U21" i="26"/>
  <c r="U20" i="26"/>
  <c r="U19" i="26"/>
  <c r="U42" i="26" s="1"/>
  <c r="U18" i="26"/>
  <c r="U17" i="26"/>
  <c r="U16" i="26"/>
  <c r="U15" i="26"/>
  <c r="U44" i="26" s="1"/>
  <c r="U14" i="26"/>
  <c r="U34" i="26" s="1"/>
  <c r="U13" i="26"/>
  <c r="U33" i="26" s="1"/>
  <c r="U12" i="26"/>
  <c r="U11" i="26"/>
  <c r="U39" i="26" s="1"/>
  <c r="U10" i="26"/>
  <c r="U46" i="26" s="1"/>
  <c r="U9" i="26"/>
  <c r="U8" i="26"/>
  <c r="U41" i="26" s="1"/>
  <c r="U7" i="26"/>
  <c r="U6" i="26"/>
  <c r="U47" i="26" s="1"/>
  <c r="U5" i="26"/>
  <c r="U4" i="26"/>
  <c r="U40" i="26" s="1"/>
  <c r="U2" i="26"/>
  <c r="U38" i="26" s="1"/>
  <c r="V30" i="26"/>
  <c r="V35" i="26" s="1"/>
  <c r="V29" i="26"/>
  <c r="V28" i="26"/>
  <c r="V43" i="26" s="1"/>
  <c r="V27" i="26"/>
  <c r="V26" i="26"/>
  <c r="V36" i="26" s="1"/>
  <c r="V25" i="26"/>
  <c r="V24" i="26"/>
  <c r="V23" i="26"/>
  <c r="V49" i="26" s="1"/>
  <c r="V22" i="26"/>
  <c r="V37" i="26" s="1"/>
  <c r="V21" i="26"/>
  <c r="V20" i="26"/>
  <c r="V19" i="26"/>
  <c r="V42" i="26" s="1"/>
  <c r="V18" i="26"/>
  <c r="V17" i="26"/>
  <c r="V16" i="26"/>
  <c r="V15" i="26"/>
  <c r="V44" i="26" s="1"/>
  <c r="V14" i="26"/>
  <c r="V34" i="26" s="1"/>
  <c r="V13" i="26"/>
  <c r="V33" i="26" s="1"/>
  <c r="V12" i="26"/>
  <c r="V11" i="26"/>
  <c r="V39" i="26" s="1"/>
  <c r="V10" i="26"/>
  <c r="V46" i="26" s="1"/>
  <c r="V9" i="26"/>
  <c r="V8" i="26"/>
  <c r="V41" i="26" s="1"/>
  <c r="V7" i="26"/>
  <c r="V6" i="26"/>
  <c r="V47" i="26" s="1"/>
  <c r="V5" i="26"/>
  <c r="V4" i="26"/>
  <c r="V40" i="26" s="1"/>
  <c r="V2" i="26"/>
  <c r="V38" i="26" s="1"/>
  <c r="Z30" i="26"/>
  <c r="Z35" i="26" s="1"/>
  <c r="Z29" i="26"/>
  <c r="Z28" i="26"/>
  <c r="Z43" i="26" s="1"/>
  <c r="Z27" i="26"/>
  <c r="Z26" i="26"/>
  <c r="Z36" i="26" s="1"/>
  <c r="Z25" i="26"/>
  <c r="Z24" i="26"/>
  <c r="Z23" i="26"/>
  <c r="Z49" i="26" s="1"/>
  <c r="Z22" i="26"/>
  <c r="Z37" i="26" s="1"/>
  <c r="Z21" i="26"/>
  <c r="Z20" i="26"/>
  <c r="Z19" i="26"/>
  <c r="Z42" i="26" s="1"/>
  <c r="Z18" i="26"/>
  <c r="Z17" i="26"/>
  <c r="Z16" i="26"/>
  <c r="Z15" i="26"/>
  <c r="Z44" i="26" s="1"/>
  <c r="Z14" i="26"/>
  <c r="Z34" i="26" s="1"/>
  <c r="Z13" i="26"/>
  <c r="Z33" i="26" s="1"/>
  <c r="Z12" i="26"/>
  <c r="Z11" i="26"/>
  <c r="Z39" i="26" s="1"/>
  <c r="Z10" i="26"/>
  <c r="Z46" i="26" s="1"/>
  <c r="Z9" i="26"/>
  <c r="Z8" i="26"/>
  <c r="Z41" i="26" s="1"/>
  <c r="Z7" i="26"/>
  <c r="Z6" i="26"/>
  <c r="Z47" i="26" s="1"/>
  <c r="Z5" i="26"/>
  <c r="Z4" i="26"/>
  <c r="Z40" i="26" s="1"/>
  <c r="Z2" i="26"/>
  <c r="Z38" i="26" s="1"/>
  <c r="W30" i="26"/>
  <c r="W35" i="26" s="1"/>
  <c r="W29" i="26"/>
  <c r="W28" i="26"/>
  <c r="W43" i="26" s="1"/>
  <c r="W27" i="26"/>
  <c r="W26" i="26"/>
  <c r="W36" i="26" s="1"/>
  <c r="W25" i="26"/>
  <c r="W24" i="26"/>
  <c r="W23" i="26"/>
  <c r="W49" i="26" s="1"/>
  <c r="W22" i="26"/>
  <c r="W37" i="26" s="1"/>
  <c r="W21" i="26"/>
  <c r="W20" i="26"/>
  <c r="W19" i="26"/>
  <c r="W42" i="26" s="1"/>
  <c r="W18" i="26"/>
  <c r="W17" i="26"/>
  <c r="W16" i="26"/>
  <c r="W15" i="26"/>
  <c r="W44" i="26" s="1"/>
  <c r="W14" i="26"/>
  <c r="W34" i="26" s="1"/>
  <c r="W13" i="26"/>
  <c r="W33" i="26" s="1"/>
  <c r="W12" i="26"/>
  <c r="W11" i="26"/>
  <c r="W39" i="26" s="1"/>
  <c r="W10" i="26"/>
  <c r="W46" i="26" s="1"/>
  <c r="W9" i="26"/>
  <c r="W8" i="26"/>
  <c r="W41" i="26" s="1"/>
  <c r="W7" i="26"/>
  <c r="W6" i="26"/>
  <c r="W47" i="26" s="1"/>
  <c r="W5" i="26"/>
  <c r="W4" i="26"/>
  <c r="W40" i="26" s="1"/>
  <c r="W2" i="26"/>
  <c r="W38" i="26" s="1"/>
  <c r="X30" i="26"/>
  <c r="X35" i="26" s="1"/>
  <c r="X29" i="26"/>
  <c r="X28" i="26"/>
  <c r="X43" i="26" s="1"/>
  <c r="X27" i="26"/>
  <c r="X26" i="26"/>
  <c r="X36" i="26" s="1"/>
  <c r="X25" i="26"/>
  <c r="X24" i="26"/>
  <c r="X23" i="26"/>
  <c r="X49" i="26" s="1"/>
  <c r="X22" i="26"/>
  <c r="X37" i="26" s="1"/>
  <c r="X21" i="26"/>
  <c r="X20" i="26"/>
  <c r="X19" i="26"/>
  <c r="X42" i="26" s="1"/>
  <c r="X18" i="26"/>
  <c r="X17" i="26"/>
  <c r="X16" i="26"/>
  <c r="X15" i="26"/>
  <c r="X44" i="26" s="1"/>
  <c r="X14" i="26"/>
  <c r="X34" i="26" s="1"/>
  <c r="X13" i="26"/>
  <c r="X33" i="26" s="1"/>
  <c r="X12" i="26"/>
  <c r="X11" i="26"/>
  <c r="X39" i="26" s="1"/>
  <c r="X10" i="26"/>
  <c r="X46" i="26" s="1"/>
  <c r="X9" i="26"/>
  <c r="X8" i="26"/>
  <c r="X41" i="26" s="1"/>
  <c r="X7" i="26"/>
  <c r="X6" i="26"/>
  <c r="X47" i="26" s="1"/>
  <c r="X5" i="26"/>
  <c r="X4" i="26"/>
  <c r="X40" i="26" s="1"/>
  <c r="X2" i="26"/>
  <c r="X38" i="26" s="1"/>
  <c r="Y30" i="26"/>
  <c r="Y35" i="26" s="1"/>
  <c r="Y29" i="26"/>
  <c r="Y28" i="26"/>
  <c r="Y43" i="26" s="1"/>
  <c r="Y27" i="26"/>
  <c r="Y26" i="26"/>
  <c r="Y36" i="26" s="1"/>
  <c r="Y25" i="26"/>
  <c r="Y24" i="26"/>
  <c r="Y23" i="26"/>
  <c r="Y49" i="26" s="1"/>
  <c r="Y22" i="26"/>
  <c r="Y37" i="26" s="1"/>
  <c r="Y21" i="26"/>
  <c r="Y20" i="26"/>
  <c r="Y19" i="26"/>
  <c r="Y42" i="26" s="1"/>
  <c r="Y18" i="26"/>
  <c r="Y17" i="26"/>
  <c r="Y16" i="26"/>
  <c r="Y15" i="26"/>
  <c r="Y44" i="26" s="1"/>
  <c r="Y14" i="26"/>
  <c r="Y34" i="26" s="1"/>
  <c r="Y13" i="26"/>
  <c r="Y33" i="26" s="1"/>
  <c r="Y12" i="26"/>
  <c r="Y11" i="26"/>
  <c r="Y39" i="26" s="1"/>
  <c r="Y10" i="26"/>
  <c r="Y46" i="26" s="1"/>
  <c r="Y9" i="26"/>
  <c r="Y8" i="26"/>
  <c r="Y41" i="26" s="1"/>
  <c r="Y7" i="26"/>
  <c r="Y6" i="26"/>
  <c r="Y47" i="26" s="1"/>
  <c r="Y5" i="26"/>
  <c r="Y4" i="26"/>
  <c r="Y40" i="26" s="1"/>
  <c r="Y2" i="26"/>
  <c r="Y38" i="26" s="1"/>
  <c r="AE24" i="28"/>
  <c r="AH24" i="28"/>
  <c r="AI24" i="28"/>
  <c r="AL24" i="28"/>
  <c r="AM24" i="28"/>
  <c r="AP24" i="28"/>
  <c r="AQ24" i="28"/>
  <c r="AR24" i="28"/>
  <c r="AT24" i="28"/>
  <c r="AU24" i="28"/>
  <c r="AX24" i="28"/>
  <c r="AY24" i="28"/>
  <c r="AE25" i="28"/>
  <c r="AF25" i="28"/>
  <c r="AG25" i="28"/>
  <c r="AH25" i="28"/>
  <c r="AI25" i="28"/>
  <c r="AJ25" i="28"/>
  <c r="AK25" i="28"/>
  <c r="AL25" i="28"/>
  <c r="AM25" i="28"/>
  <c r="AN25" i="28"/>
  <c r="AO25" i="28"/>
  <c r="AP25" i="28"/>
  <c r="AQ25" i="28"/>
  <c r="AR25" i="28"/>
  <c r="AS25" i="28"/>
  <c r="AT25" i="28"/>
  <c r="AU25" i="28"/>
  <c r="AV25" i="28"/>
  <c r="AW25" i="28"/>
  <c r="AX25" i="28"/>
  <c r="AY25" i="28"/>
  <c r="AZ25" i="28"/>
  <c r="N31" i="2"/>
  <c r="AD3" i="26" s="1"/>
  <c r="AD32" i="26" s="1"/>
  <c r="N28" i="2"/>
  <c r="D51" i="26" l="1"/>
  <c r="D65" i="26"/>
  <c r="D70" i="26"/>
  <c r="D56" i="26"/>
  <c r="D74" i="26"/>
  <c r="D60" i="26"/>
  <c r="D13" i="27"/>
  <c r="D33" i="27" s="1"/>
  <c r="D21" i="27"/>
  <c r="D51" i="27" s="1"/>
  <c r="AX31" i="26"/>
  <c r="AW31" i="26"/>
  <c r="AV31" i="26"/>
  <c r="AY31" i="26"/>
  <c r="AU31" i="26"/>
  <c r="AT31" i="26"/>
  <c r="AS31" i="26"/>
  <c r="AQ31" i="26"/>
  <c r="AP31" i="26"/>
  <c r="AO31" i="26"/>
  <c r="AN31" i="26"/>
  <c r="AM31" i="26"/>
  <c r="AL31" i="26"/>
  <c r="AK31" i="26"/>
  <c r="AJ31" i="26"/>
  <c r="AZ31" i="26"/>
  <c r="AI31" i="26"/>
  <c r="AH31" i="26"/>
  <c r="AG31" i="26"/>
  <c r="AF31" i="26"/>
  <c r="AE31" i="26"/>
  <c r="D75" i="26"/>
  <c r="D61" i="26"/>
  <c r="D66" i="26"/>
  <c r="D52" i="26"/>
  <c r="D67" i="26"/>
  <c r="D53" i="26"/>
  <c r="D76" i="26"/>
  <c r="D62" i="26"/>
  <c r="K31" i="26"/>
  <c r="AA31" i="26"/>
  <c r="J31" i="26"/>
  <c r="I31" i="26"/>
  <c r="H31" i="26"/>
  <c r="G31" i="26"/>
  <c r="F31" i="26"/>
  <c r="E31" i="26"/>
  <c r="AR31" i="26"/>
  <c r="D22" i="27"/>
  <c r="D37" i="27" s="1"/>
  <c r="D68" i="26"/>
  <c r="D54" i="26"/>
  <c r="D69" i="26"/>
  <c r="D55" i="26"/>
  <c r="D73" i="26"/>
  <c r="D59" i="26"/>
  <c r="D15" i="27"/>
  <c r="D44" i="27" s="1"/>
  <c r="D71" i="26"/>
  <c r="D57" i="26"/>
  <c r="D64" i="26"/>
  <c r="D50" i="26"/>
  <c r="D72" i="26"/>
  <c r="D58" i="26"/>
  <c r="AK64" i="28"/>
  <c r="AK50" i="28"/>
  <c r="AQ55" i="28"/>
  <c r="AQ69" i="28"/>
  <c r="X45" i="26"/>
  <c r="V45" i="26"/>
  <c r="AV50" i="28"/>
  <c r="AV64" i="28"/>
  <c r="AF50" i="28"/>
  <c r="AF64" i="28"/>
  <c r="AT55" i="28"/>
  <c r="AT69" i="28"/>
  <c r="AH55" i="28"/>
  <c r="AH69" i="28"/>
  <c r="U62" i="26"/>
  <c r="U76" i="26"/>
  <c r="T7" i="27"/>
  <c r="T73" i="26"/>
  <c r="T59" i="26"/>
  <c r="T76" i="26"/>
  <c r="T62" i="26"/>
  <c r="S7" i="27"/>
  <c r="S73" i="26"/>
  <c r="S59" i="26"/>
  <c r="S76" i="26"/>
  <c r="S62" i="26"/>
  <c r="R7" i="27"/>
  <c r="R73" i="26"/>
  <c r="R59" i="26"/>
  <c r="R76" i="26"/>
  <c r="R62" i="26"/>
  <c r="Q7" i="27"/>
  <c r="Q73" i="26"/>
  <c r="Q59" i="26"/>
  <c r="Q76" i="26"/>
  <c r="Q62" i="26"/>
  <c r="P7" i="27"/>
  <c r="P73" i="26"/>
  <c r="P59" i="26"/>
  <c r="P76" i="26"/>
  <c r="P62" i="26"/>
  <c r="O7" i="27"/>
  <c r="O73" i="26"/>
  <c r="O59" i="26"/>
  <c r="O76" i="26"/>
  <c r="O62" i="26"/>
  <c r="N7" i="27"/>
  <c r="N73" i="26"/>
  <c r="N59" i="26"/>
  <c r="N76" i="26"/>
  <c r="N62" i="26"/>
  <c r="M7" i="27"/>
  <c r="M73" i="26"/>
  <c r="M59" i="26"/>
  <c r="M76" i="26"/>
  <c r="M62" i="26"/>
  <c r="L7" i="27"/>
  <c r="L73" i="26"/>
  <c r="L59" i="26"/>
  <c r="AS64" i="28"/>
  <c r="AS50" i="28"/>
  <c r="AU55" i="28"/>
  <c r="AU69" i="28"/>
  <c r="AI55" i="28"/>
  <c r="AI69" i="28"/>
  <c r="Z45" i="26"/>
  <c r="U45" i="26"/>
  <c r="AZ50" i="28"/>
  <c r="AZ64" i="28"/>
  <c r="AN50" i="28"/>
  <c r="AN64" i="28"/>
  <c r="AX55" i="28"/>
  <c r="AX69" i="28"/>
  <c r="AP55" i="28"/>
  <c r="AP69" i="28"/>
  <c r="AL55" i="28"/>
  <c r="AL69" i="28"/>
  <c r="Y7" i="27"/>
  <c r="Y73" i="26"/>
  <c r="Y59" i="26"/>
  <c r="Y76" i="26"/>
  <c r="Y62" i="26"/>
  <c r="X7" i="27"/>
  <c r="X73" i="26"/>
  <c r="X59" i="26"/>
  <c r="X76" i="26"/>
  <c r="X62" i="26"/>
  <c r="W7" i="27"/>
  <c r="W73" i="26"/>
  <c r="W59" i="26"/>
  <c r="W76" i="26"/>
  <c r="W62" i="26"/>
  <c r="Z7" i="27"/>
  <c r="Z73" i="26"/>
  <c r="Z59" i="26"/>
  <c r="Z76" i="26"/>
  <c r="Z62" i="26"/>
  <c r="V7" i="27"/>
  <c r="V73" i="26"/>
  <c r="V59" i="26"/>
  <c r="V76" i="26"/>
  <c r="V62" i="26"/>
  <c r="U7" i="27"/>
  <c r="U73" i="26"/>
  <c r="U59" i="26"/>
  <c r="AY50" i="28"/>
  <c r="AY64" i="28"/>
  <c r="AU50" i="28"/>
  <c r="AU64" i="28"/>
  <c r="AQ50" i="28"/>
  <c r="AQ64" i="28"/>
  <c r="AM50" i="28"/>
  <c r="AM64" i="28"/>
  <c r="AI50" i="28"/>
  <c r="AI64" i="28"/>
  <c r="AE50" i="28"/>
  <c r="AE64" i="28"/>
  <c r="AW69" i="28"/>
  <c r="AW55" i="28"/>
  <c r="AS69" i="28"/>
  <c r="AS55" i="28"/>
  <c r="AO69" i="28"/>
  <c r="AO55" i="28"/>
  <c r="AK69" i="28"/>
  <c r="AK55" i="28"/>
  <c r="AG69" i="28"/>
  <c r="AG55" i="28"/>
  <c r="Y12" i="27"/>
  <c r="Y60" i="26"/>
  <c r="Y74" i="26"/>
  <c r="Y16" i="27"/>
  <c r="Y72" i="26"/>
  <c r="Y58" i="26"/>
  <c r="Y20" i="27"/>
  <c r="Y70" i="26"/>
  <c r="Y56" i="26"/>
  <c r="Y69" i="26"/>
  <c r="Y55" i="26"/>
  <c r="X12" i="27"/>
  <c r="X74" i="26"/>
  <c r="X60" i="26"/>
  <c r="X16" i="27"/>
  <c r="X72" i="26"/>
  <c r="X58" i="26"/>
  <c r="X20" i="27"/>
  <c r="X70" i="26"/>
  <c r="X56" i="26"/>
  <c r="X69" i="26"/>
  <c r="X55" i="26"/>
  <c r="W12" i="27"/>
  <c r="W74" i="26"/>
  <c r="W60" i="26"/>
  <c r="W16" i="27"/>
  <c r="W72" i="26"/>
  <c r="W58" i="26"/>
  <c r="W20" i="27"/>
  <c r="W70" i="26"/>
  <c r="W56" i="26"/>
  <c r="W69" i="26"/>
  <c r="W55" i="26"/>
  <c r="Z12" i="27"/>
  <c r="Z74" i="26"/>
  <c r="Z60" i="26"/>
  <c r="Z16" i="27"/>
  <c r="Z72" i="26"/>
  <c r="Z58" i="26"/>
  <c r="Z20" i="27"/>
  <c r="Z70" i="26"/>
  <c r="Z56" i="26"/>
  <c r="Z69" i="26"/>
  <c r="Z55" i="26"/>
  <c r="V12" i="27"/>
  <c r="V74" i="26"/>
  <c r="V60" i="26"/>
  <c r="V16" i="27"/>
  <c r="V72" i="26"/>
  <c r="V58" i="26"/>
  <c r="V20" i="27"/>
  <c r="V70" i="26"/>
  <c r="V56" i="26"/>
  <c r="V69" i="26"/>
  <c r="V55" i="26"/>
  <c r="U12" i="27"/>
  <c r="U74" i="26"/>
  <c r="U60" i="26"/>
  <c r="U16" i="27"/>
  <c r="U72" i="26"/>
  <c r="U58" i="26"/>
  <c r="U20" i="27"/>
  <c r="U70" i="26"/>
  <c r="U56" i="26"/>
  <c r="U69" i="26"/>
  <c r="U55" i="26"/>
  <c r="T12" i="27"/>
  <c r="T74" i="26"/>
  <c r="T60" i="26"/>
  <c r="T16" i="27"/>
  <c r="T72" i="26"/>
  <c r="T58" i="26"/>
  <c r="T20" i="27"/>
  <c r="T70" i="26"/>
  <c r="T56" i="26"/>
  <c r="T69" i="26"/>
  <c r="T55" i="26"/>
  <c r="S12" i="27"/>
  <c r="S74" i="26"/>
  <c r="S60" i="26"/>
  <c r="S16" i="27"/>
  <c r="S72" i="26"/>
  <c r="S58" i="26"/>
  <c r="S20" i="27"/>
  <c r="S70" i="26"/>
  <c r="S56" i="26"/>
  <c r="S69" i="26"/>
  <c r="S55" i="26"/>
  <c r="R12" i="27"/>
  <c r="R74" i="26"/>
  <c r="R60" i="26"/>
  <c r="R16" i="27"/>
  <c r="R72" i="26"/>
  <c r="R58" i="26"/>
  <c r="R20" i="27"/>
  <c r="R70" i="26"/>
  <c r="R56" i="26"/>
  <c r="R69" i="26"/>
  <c r="R55" i="26"/>
  <c r="AW64" i="28"/>
  <c r="AW50" i="28"/>
  <c r="AG50" i="28"/>
  <c r="AG64" i="28"/>
  <c r="AM55" i="28"/>
  <c r="AM69" i="28"/>
  <c r="Y45" i="26"/>
  <c r="W18" i="27"/>
  <c r="W75" i="26"/>
  <c r="W61" i="26"/>
  <c r="Z18" i="27"/>
  <c r="Z75" i="26"/>
  <c r="Z61" i="26"/>
  <c r="V18" i="27"/>
  <c r="V75" i="26"/>
  <c r="V61" i="26"/>
  <c r="U18" i="27"/>
  <c r="U75" i="26"/>
  <c r="U61" i="26"/>
  <c r="T45" i="26"/>
  <c r="AR50" i="28"/>
  <c r="AR64" i="28"/>
  <c r="AJ50" i="28"/>
  <c r="AJ64" i="28"/>
  <c r="AX64" i="28"/>
  <c r="AX50" i="28"/>
  <c r="AT64" i="28"/>
  <c r="AT50" i="28"/>
  <c r="AP64" i="28"/>
  <c r="AP50" i="28"/>
  <c r="AL64" i="28"/>
  <c r="AL50" i="28"/>
  <c r="AH64" i="28"/>
  <c r="AH50" i="28"/>
  <c r="AZ55" i="28"/>
  <c r="AZ69" i="28"/>
  <c r="AV69" i="28"/>
  <c r="AV55" i="28"/>
  <c r="AR69" i="28"/>
  <c r="AR55" i="28"/>
  <c r="AN55" i="28"/>
  <c r="AN69" i="28"/>
  <c r="AJ69" i="28"/>
  <c r="AJ55" i="28"/>
  <c r="AF69" i="28"/>
  <c r="AF55" i="28"/>
  <c r="Y5" i="27"/>
  <c r="Y67" i="26"/>
  <c r="Y53" i="26"/>
  <c r="Y9" i="27"/>
  <c r="Y68" i="26"/>
  <c r="Y54" i="26"/>
  <c r="Y31" i="26"/>
  <c r="Y17" i="27"/>
  <c r="Y66" i="26"/>
  <c r="Y52" i="26"/>
  <c r="Y21" i="27"/>
  <c r="Y65" i="26"/>
  <c r="Y51" i="26"/>
  <c r="Y64" i="26"/>
  <c r="Y50" i="26"/>
  <c r="Y71" i="26"/>
  <c r="Y57" i="26"/>
  <c r="X5" i="27"/>
  <c r="X67" i="26"/>
  <c r="X53" i="26"/>
  <c r="X9" i="27"/>
  <c r="X68" i="26"/>
  <c r="X54" i="26"/>
  <c r="X31" i="26"/>
  <c r="X17" i="27"/>
  <c r="X66" i="26"/>
  <c r="X52" i="26"/>
  <c r="X21" i="27"/>
  <c r="X65" i="26"/>
  <c r="X51" i="26"/>
  <c r="X64" i="26"/>
  <c r="X50" i="26"/>
  <c r="X48" i="26" s="1"/>
  <c r="X71" i="26"/>
  <c r="X57" i="26"/>
  <c r="W5" i="27"/>
  <c r="W67" i="26"/>
  <c r="W53" i="26"/>
  <c r="W9" i="27"/>
  <c r="W68" i="26"/>
  <c r="W54" i="26"/>
  <c r="W31" i="26"/>
  <c r="W17" i="27"/>
  <c r="W66" i="26"/>
  <c r="W52" i="26"/>
  <c r="W21" i="27"/>
  <c r="W65" i="26"/>
  <c r="W51" i="26"/>
  <c r="W64" i="26"/>
  <c r="W50" i="26"/>
  <c r="W71" i="26"/>
  <c r="W57" i="26"/>
  <c r="Z5" i="27"/>
  <c r="Z67" i="26"/>
  <c r="Z53" i="26"/>
  <c r="Z9" i="27"/>
  <c r="Z68" i="26"/>
  <c r="Z54" i="26"/>
  <c r="Z31" i="26"/>
  <c r="Z17" i="27"/>
  <c r="Z66" i="26"/>
  <c r="Z52" i="26"/>
  <c r="Z21" i="27"/>
  <c r="Z65" i="26"/>
  <c r="Z51" i="26"/>
  <c r="Z64" i="26"/>
  <c r="Z50" i="26"/>
  <c r="Z71" i="26"/>
  <c r="Z57" i="26"/>
  <c r="V5" i="27"/>
  <c r="V67" i="26"/>
  <c r="V53" i="26"/>
  <c r="V9" i="27"/>
  <c r="V68" i="26"/>
  <c r="V54" i="26"/>
  <c r="V31" i="26"/>
  <c r="V17" i="27"/>
  <c r="V66" i="26"/>
  <c r="V52" i="26"/>
  <c r="V21" i="27"/>
  <c r="V65" i="26"/>
  <c r="V51" i="26"/>
  <c r="V64" i="26"/>
  <c r="V50" i="26"/>
  <c r="V71" i="26"/>
  <c r="V57" i="26"/>
  <c r="U5" i="27"/>
  <c r="U67" i="26"/>
  <c r="U53" i="26"/>
  <c r="U9" i="27"/>
  <c r="U68" i="26"/>
  <c r="U54" i="26"/>
  <c r="U31" i="26"/>
  <c r="U17" i="27"/>
  <c r="U66" i="26"/>
  <c r="U52" i="26"/>
  <c r="U21" i="27"/>
  <c r="U65" i="26"/>
  <c r="U51" i="26"/>
  <c r="U64" i="26"/>
  <c r="U50" i="26"/>
  <c r="U48" i="26" s="1"/>
  <c r="U71" i="26"/>
  <c r="U57" i="26"/>
  <c r="T5" i="27"/>
  <c r="T67" i="26"/>
  <c r="T53" i="26"/>
  <c r="T9" i="27"/>
  <c r="T68" i="26"/>
  <c r="T54" i="26"/>
  <c r="T31" i="26"/>
  <c r="T17" i="27"/>
  <c r="T66" i="26"/>
  <c r="T52" i="26"/>
  <c r="T21" i="27"/>
  <c r="T65" i="26"/>
  <c r="T51" i="26"/>
  <c r="T50" i="26"/>
  <c r="T48" i="26" s="1"/>
  <c r="T64" i="26"/>
  <c r="T71" i="26"/>
  <c r="T57" i="26"/>
  <c r="S5" i="27"/>
  <c r="S67" i="26"/>
  <c r="S53" i="26"/>
  <c r="S9" i="27"/>
  <c r="S68" i="26"/>
  <c r="S54" i="26"/>
  <c r="S31" i="26"/>
  <c r="S17" i="27"/>
  <c r="S66" i="26"/>
  <c r="S52" i="26"/>
  <c r="S21" i="27"/>
  <c r="S65" i="26"/>
  <c r="S51" i="26"/>
  <c r="S64" i="26"/>
  <c r="S50" i="26"/>
  <c r="S71" i="26"/>
  <c r="S57" i="26"/>
  <c r="R5" i="27"/>
  <c r="R67" i="26"/>
  <c r="R53" i="26"/>
  <c r="R9" i="27"/>
  <c r="R68" i="26"/>
  <c r="R54" i="26"/>
  <c r="R31" i="26"/>
  <c r="R17" i="27"/>
  <c r="R66" i="26"/>
  <c r="R52" i="26"/>
  <c r="R21" i="27"/>
  <c r="R65" i="26"/>
  <c r="R51" i="26"/>
  <c r="R64" i="26"/>
  <c r="R50" i="26"/>
  <c r="R71" i="26"/>
  <c r="R57" i="26"/>
  <c r="Q5" i="27"/>
  <c r="Q67" i="26"/>
  <c r="Q53" i="26"/>
  <c r="Q9" i="27"/>
  <c r="Q68" i="26"/>
  <c r="Q54" i="26"/>
  <c r="Q31" i="26"/>
  <c r="Q17" i="27"/>
  <c r="Q66" i="26"/>
  <c r="Q52" i="26"/>
  <c r="Q21" i="27"/>
  <c r="Q65" i="26"/>
  <c r="Q51" i="26"/>
  <c r="Q64" i="26"/>
  <c r="Q50" i="26"/>
  <c r="Q71" i="26"/>
  <c r="Q57" i="26"/>
  <c r="P5" i="27"/>
  <c r="P67" i="26"/>
  <c r="P53" i="26"/>
  <c r="P9" i="27"/>
  <c r="P68" i="26"/>
  <c r="P54" i="26"/>
  <c r="P31" i="26"/>
  <c r="P17" i="27"/>
  <c r="P66" i="26"/>
  <c r="P52" i="26"/>
  <c r="P21" i="27"/>
  <c r="P65" i="26"/>
  <c r="P51" i="26"/>
  <c r="P64" i="26"/>
  <c r="P50" i="26"/>
  <c r="P71" i="26"/>
  <c r="P57" i="26"/>
  <c r="O5" i="27"/>
  <c r="O67" i="26"/>
  <c r="O53" i="26"/>
  <c r="O9" i="27"/>
  <c r="O68" i="26"/>
  <c r="O54" i="26"/>
  <c r="O31" i="26"/>
  <c r="O17" i="27"/>
  <c r="O66" i="26"/>
  <c r="O52" i="26"/>
  <c r="O21" i="27"/>
  <c r="O65" i="26"/>
  <c r="O51" i="26"/>
  <c r="O64" i="26"/>
  <c r="O50" i="26"/>
  <c r="O71" i="26"/>
  <c r="O57" i="26"/>
  <c r="N5" i="27"/>
  <c r="N67" i="26"/>
  <c r="N53" i="26"/>
  <c r="N9" i="27"/>
  <c r="C9" i="27" s="1"/>
  <c r="N68" i="26"/>
  <c r="N54" i="26"/>
  <c r="N31" i="26"/>
  <c r="N17" i="27"/>
  <c r="N66" i="26"/>
  <c r="N52" i="26"/>
  <c r="N21" i="27"/>
  <c r="N65" i="26"/>
  <c r="N51" i="26"/>
  <c r="N64" i="26"/>
  <c r="N50" i="26"/>
  <c r="N71" i="26"/>
  <c r="N57" i="26"/>
  <c r="M5" i="27"/>
  <c r="M67" i="26"/>
  <c r="M53" i="26"/>
  <c r="M9" i="27"/>
  <c r="M68" i="26"/>
  <c r="M54" i="26"/>
  <c r="M31" i="26"/>
  <c r="M17" i="27"/>
  <c r="M66" i="26"/>
  <c r="M52" i="26"/>
  <c r="M21" i="27"/>
  <c r="M65" i="26"/>
  <c r="M51" i="26"/>
  <c r="M64" i="26"/>
  <c r="M50" i="26"/>
  <c r="M71" i="26"/>
  <c r="M57" i="26"/>
  <c r="L5" i="27"/>
  <c r="L67" i="26"/>
  <c r="L53" i="26"/>
  <c r="L9" i="27"/>
  <c r="L68" i="26"/>
  <c r="L54" i="26"/>
  <c r="L31" i="26"/>
  <c r="L17" i="27"/>
  <c r="L66" i="26"/>
  <c r="L52" i="26"/>
  <c r="L48" i="26" s="1"/>
  <c r="L21" i="27"/>
  <c r="L65" i="26"/>
  <c r="L51" i="26"/>
  <c r="L64" i="26"/>
  <c r="L50" i="26"/>
  <c r="L71" i="26"/>
  <c r="L57" i="26"/>
  <c r="K5" i="27"/>
  <c r="K67" i="26"/>
  <c r="K53" i="26"/>
  <c r="K9" i="27"/>
  <c r="K68" i="26"/>
  <c r="K54" i="26"/>
  <c r="K17" i="27"/>
  <c r="K66" i="26"/>
  <c r="K52" i="26"/>
  <c r="K21" i="27"/>
  <c r="K65" i="26"/>
  <c r="K51" i="26"/>
  <c r="K64" i="26"/>
  <c r="K50" i="26"/>
  <c r="K71" i="26"/>
  <c r="K57" i="26"/>
  <c r="AA5" i="27"/>
  <c r="AA67" i="26"/>
  <c r="AA53" i="26"/>
  <c r="AA9" i="27"/>
  <c r="AA68" i="26"/>
  <c r="AA54" i="26"/>
  <c r="AA17" i="27"/>
  <c r="AA66" i="26"/>
  <c r="AA52" i="26"/>
  <c r="AA48" i="26" s="1"/>
  <c r="AA21" i="27"/>
  <c r="AA65" i="26"/>
  <c r="AA51" i="26"/>
  <c r="AA64" i="26"/>
  <c r="AA50" i="26"/>
  <c r="AA71" i="26"/>
  <c r="AA57" i="26"/>
  <c r="J5" i="27"/>
  <c r="C5" i="27" s="1"/>
  <c r="J67" i="26"/>
  <c r="J53" i="26"/>
  <c r="J9" i="27"/>
  <c r="J68" i="26"/>
  <c r="J54" i="26"/>
  <c r="J17" i="27"/>
  <c r="J66" i="26"/>
  <c r="J52" i="26"/>
  <c r="J21" i="27"/>
  <c r="J65" i="26"/>
  <c r="J51" i="26"/>
  <c r="J64" i="26"/>
  <c r="J50" i="26"/>
  <c r="AO50" i="28"/>
  <c r="AO64" i="28"/>
  <c r="AY55" i="28"/>
  <c r="AY69" i="28"/>
  <c r="AE55" i="28"/>
  <c r="AE69" i="28"/>
  <c r="Y18" i="27"/>
  <c r="Y75" i="26"/>
  <c r="Y61" i="26"/>
  <c r="X18" i="27"/>
  <c r="X75" i="26"/>
  <c r="X61" i="26"/>
  <c r="W45" i="26"/>
  <c r="T18" i="27"/>
  <c r="T75" i="26"/>
  <c r="T61" i="26"/>
  <c r="S45" i="26"/>
  <c r="S18" i="27"/>
  <c r="S75" i="26"/>
  <c r="S61" i="26"/>
  <c r="R45" i="26"/>
  <c r="R18" i="27"/>
  <c r="R75" i="26"/>
  <c r="R61" i="26"/>
  <c r="Q45" i="26"/>
  <c r="Q18" i="27"/>
  <c r="Q75" i="26"/>
  <c r="Q61" i="26"/>
  <c r="P45" i="26"/>
  <c r="P18" i="27"/>
  <c r="P75" i="26"/>
  <c r="P61" i="26"/>
  <c r="O45" i="26"/>
  <c r="O18" i="27"/>
  <c r="O75" i="26"/>
  <c r="O61" i="26"/>
  <c r="Q12" i="27"/>
  <c r="Q74" i="26"/>
  <c r="Q60" i="26"/>
  <c r="Q16" i="27"/>
  <c r="Q72" i="26"/>
  <c r="Q58" i="26"/>
  <c r="Q20" i="27"/>
  <c r="Q70" i="26"/>
  <c r="Q56" i="26"/>
  <c r="Q69" i="26"/>
  <c r="Q55" i="26"/>
  <c r="P12" i="27"/>
  <c r="P74" i="26"/>
  <c r="P60" i="26"/>
  <c r="P16" i="27"/>
  <c r="P72" i="26"/>
  <c r="P58" i="26"/>
  <c r="P20" i="27"/>
  <c r="P70" i="26"/>
  <c r="P56" i="26"/>
  <c r="P69" i="26"/>
  <c r="P55" i="26"/>
  <c r="O12" i="27"/>
  <c r="O74" i="26"/>
  <c r="O60" i="26"/>
  <c r="O16" i="27"/>
  <c r="O72" i="26"/>
  <c r="O58" i="26"/>
  <c r="O20" i="27"/>
  <c r="O70" i="26"/>
  <c r="O56" i="26"/>
  <c r="O69" i="26"/>
  <c r="O55" i="26"/>
  <c r="N12" i="27"/>
  <c r="N74" i="26"/>
  <c r="N60" i="26"/>
  <c r="N16" i="27"/>
  <c r="N72" i="26"/>
  <c r="N58" i="26"/>
  <c r="N20" i="27"/>
  <c r="N70" i="26"/>
  <c r="N56" i="26"/>
  <c r="N69" i="26"/>
  <c r="N55" i="26"/>
  <c r="M12" i="27"/>
  <c r="M74" i="26"/>
  <c r="M60" i="26"/>
  <c r="M16" i="27"/>
  <c r="M72" i="26"/>
  <c r="M58" i="26"/>
  <c r="M20" i="27"/>
  <c r="M70" i="26"/>
  <c r="M56" i="26"/>
  <c r="M69" i="26"/>
  <c r="M55" i="26"/>
  <c r="L12" i="27"/>
  <c r="L74" i="26"/>
  <c r="L60" i="26"/>
  <c r="L16" i="27"/>
  <c r="L72" i="26"/>
  <c r="L58" i="26"/>
  <c r="L20" i="27"/>
  <c r="L70" i="26"/>
  <c r="L56" i="26"/>
  <c r="L69" i="26"/>
  <c r="L55" i="26"/>
  <c r="K12" i="27"/>
  <c r="K74" i="26"/>
  <c r="K60" i="26"/>
  <c r="K16" i="27"/>
  <c r="K72" i="26"/>
  <c r="K58" i="26"/>
  <c r="K20" i="27"/>
  <c r="K70" i="26"/>
  <c r="K56" i="26"/>
  <c r="K69" i="26"/>
  <c r="K55" i="26"/>
  <c r="AA12" i="27"/>
  <c r="AA74" i="26"/>
  <c r="AA60" i="26"/>
  <c r="AA16" i="27"/>
  <c r="AA72" i="26"/>
  <c r="AA58" i="26"/>
  <c r="AA20" i="27"/>
  <c r="AA70" i="26"/>
  <c r="AA56" i="26"/>
  <c r="AA69" i="26"/>
  <c r="AA55" i="26"/>
  <c r="J12" i="27"/>
  <c r="J74" i="26"/>
  <c r="J60" i="26"/>
  <c r="J16" i="27"/>
  <c r="J72" i="26"/>
  <c r="J58" i="26"/>
  <c r="J20" i="27"/>
  <c r="J70" i="26"/>
  <c r="J56" i="26"/>
  <c r="J69" i="26"/>
  <c r="J55" i="26"/>
  <c r="I12" i="27"/>
  <c r="I74" i="26"/>
  <c r="I60" i="26"/>
  <c r="I16" i="27"/>
  <c r="I72" i="26"/>
  <c r="I58" i="26"/>
  <c r="I20" i="27"/>
  <c r="I70" i="26"/>
  <c r="I56" i="26"/>
  <c r="I69" i="26"/>
  <c r="I55" i="26"/>
  <c r="H12" i="27"/>
  <c r="H74" i="26"/>
  <c r="H60" i="26"/>
  <c r="H16" i="27"/>
  <c r="H72" i="26"/>
  <c r="H58" i="26"/>
  <c r="H20" i="27"/>
  <c r="H70" i="26"/>
  <c r="H56" i="26"/>
  <c r="H69" i="26"/>
  <c r="H55" i="26"/>
  <c r="G12" i="27"/>
  <c r="G74" i="26"/>
  <c r="G60" i="26"/>
  <c r="G16" i="27"/>
  <c r="G72" i="26"/>
  <c r="G58" i="26"/>
  <c r="G20" i="27"/>
  <c r="G70" i="26"/>
  <c r="G56" i="26"/>
  <c r="G69" i="26"/>
  <c r="G55" i="26"/>
  <c r="F12" i="27"/>
  <c r="F74" i="26"/>
  <c r="F60" i="26"/>
  <c r="F16" i="27"/>
  <c r="F72" i="26"/>
  <c r="F58" i="26"/>
  <c r="F20" i="27"/>
  <c r="C20" i="27" s="1"/>
  <c r="F70" i="26"/>
  <c r="F56" i="26"/>
  <c r="F69" i="26"/>
  <c r="F55" i="26"/>
  <c r="E12" i="27"/>
  <c r="E74" i="26"/>
  <c r="E60" i="26"/>
  <c r="E16" i="27"/>
  <c r="E72" i="26"/>
  <c r="E58" i="26"/>
  <c r="E20" i="27"/>
  <c r="E70" i="26"/>
  <c r="E56" i="26"/>
  <c r="E69" i="26"/>
  <c r="E55" i="26"/>
  <c r="AR74" i="26"/>
  <c r="AR60" i="26"/>
  <c r="AR72" i="26"/>
  <c r="AR58" i="26"/>
  <c r="AR70" i="26"/>
  <c r="AR56" i="26"/>
  <c r="AR69" i="26"/>
  <c r="AR55" i="26"/>
  <c r="D66" i="27"/>
  <c r="D52" i="27"/>
  <c r="AX67" i="26"/>
  <c r="AX53" i="26"/>
  <c r="AX68" i="26"/>
  <c r="AX54" i="26"/>
  <c r="AX66" i="26"/>
  <c r="AX52" i="26"/>
  <c r="AX65" i="26"/>
  <c r="AX51" i="26"/>
  <c r="AX64" i="26"/>
  <c r="AX50" i="26"/>
  <c r="AX71" i="26"/>
  <c r="AX57" i="26"/>
  <c r="AW67" i="26"/>
  <c r="AW53" i="26"/>
  <c r="AW68" i="26"/>
  <c r="AW54" i="26"/>
  <c r="AW66" i="26"/>
  <c r="AW52" i="26"/>
  <c r="AW65" i="26"/>
  <c r="AW51" i="26"/>
  <c r="AW64" i="26"/>
  <c r="AW50" i="26"/>
  <c r="AW71" i="26"/>
  <c r="AW57" i="26"/>
  <c r="AV67" i="26"/>
  <c r="AV53" i="26"/>
  <c r="AV68" i="26"/>
  <c r="AV54" i="26"/>
  <c r="AV66" i="26"/>
  <c r="AV52" i="26"/>
  <c r="AV65" i="26"/>
  <c r="AV51" i="26"/>
  <c r="AV64" i="26"/>
  <c r="AV50" i="26"/>
  <c r="AV71" i="26"/>
  <c r="AV57" i="26"/>
  <c r="AY67" i="26"/>
  <c r="AY53" i="26"/>
  <c r="AY68" i="26"/>
  <c r="AY54" i="26"/>
  <c r="AY66" i="26"/>
  <c r="AY52" i="26"/>
  <c r="AY65" i="26"/>
  <c r="AY51" i="26"/>
  <c r="AY64" i="26"/>
  <c r="AY50" i="26"/>
  <c r="AY71" i="26"/>
  <c r="AY57" i="26"/>
  <c r="AU67" i="26"/>
  <c r="AU53" i="26"/>
  <c r="AU68" i="26"/>
  <c r="AU54" i="26"/>
  <c r="AU66" i="26"/>
  <c r="AU52" i="26"/>
  <c r="AU65" i="26"/>
  <c r="AU51" i="26"/>
  <c r="AU64" i="26"/>
  <c r="AU50" i="26"/>
  <c r="AU57" i="26"/>
  <c r="AU71" i="26"/>
  <c r="AT67" i="26"/>
  <c r="AT53" i="26"/>
  <c r="AT68" i="26"/>
  <c r="AT54" i="26"/>
  <c r="AT66" i="26"/>
  <c r="AT52" i="26"/>
  <c r="AT65" i="26"/>
  <c r="AT51" i="26"/>
  <c r="AT64" i="26"/>
  <c r="AT50" i="26"/>
  <c r="AT71" i="26"/>
  <c r="AT57" i="26"/>
  <c r="AS67" i="26"/>
  <c r="AS53" i="26"/>
  <c r="AS68" i="26"/>
  <c r="AS54" i="26"/>
  <c r="AS66" i="26"/>
  <c r="AS52" i="26"/>
  <c r="AS65" i="26"/>
  <c r="AS51" i="26"/>
  <c r="AS64" i="26"/>
  <c r="AS50" i="26"/>
  <c r="AS71" i="26"/>
  <c r="AS57" i="26"/>
  <c r="AQ67" i="26"/>
  <c r="AQ53" i="26"/>
  <c r="AQ68" i="26"/>
  <c r="AQ54" i="26"/>
  <c r="AQ66" i="26"/>
  <c r="AQ52" i="26"/>
  <c r="AQ65" i="26"/>
  <c r="AQ51" i="26"/>
  <c r="AQ64" i="26"/>
  <c r="AQ50" i="26"/>
  <c r="AQ71" i="26"/>
  <c r="AQ57" i="26"/>
  <c r="AP67" i="26"/>
  <c r="AP53" i="26"/>
  <c r="AP68" i="26"/>
  <c r="AP54" i="26"/>
  <c r="AP66" i="26"/>
  <c r="AP52" i="26"/>
  <c r="AP65" i="26"/>
  <c r="AP51" i="26"/>
  <c r="AP64" i="26"/>
  <c r="AP50" i="26"/>
  <c r="AP71" i="26"/>
  <c r="AP57" i="26"/>
  <c r="AO67" i="26"/>
  <c r="AO53" i="26"/>
  <c r="AO68" i="26"/>
  <c r="AO54" i="26"/>
  <c r="AO66" i="26"/>
  <c r="AO52" i="26"/>
  <c r="AO65" i="26"/>
  <c r="AO51" i="26"/>
  <c r="AO64" i="26"/>
  <c r="AO50" i="26"/>
  <c r="AO71" i="26"/>
  <c r="AO57" i="26"/>
  <c r="AN67" i="26"/>
  <c r="AN53" i="26"/>
  <c r="AN68" i="26"/>
  <c r="AN54" i="26"/>
  <c r="AN66" i="26"/>
  <c r="AN52" i="26"/>
  <c r="AN65" i="26"/>
  <c r="AN51" i="26"/>
  <c r="AN64" i="26"/>
  <c r="AN50" i="26"/>
  <c r="AN71" i="26"/>
  <c r="AN57" i="26"/>
  <c r="AM67" i="26"/>
  <c r="AM53" i="26"/>
  <c r="AM68" i="26"/>
  <c r="AM54" i="26"/>
  <c r="AM66" i="26"/>
  <c r="AM52" i="26"/>
  <c r="AM65" i="26"/>
  <c r="AM51" i="26"/>
  <c r="AM64" i="26"/>
  <c r="AM50" i="26"/>
  <c r="AM71" i="26"/>
  <c r="AM57" i="26"/>
  <c r="AL67" i="26"/>
  <c r="AL53" i="26"/>
  <c r="AL68" i="26"/>
  <c r="AL54" i="26"/>
  <c r="AL66" i="26"/>
  <c r="AL52" i="26"/>
  <c r="AL65" i="26"/>
  <c r="AL51" i="26"/>
  <c r="AL64" i="26"/>
  <c r="AL50" i="26"/>
  <c r="AL71" i="26"/>
  <c r="AL57" i="26"/>
  <c r="AK67" i="26"/>
  <c r="AK53" i="26"/>
  <c r="AK68" i="26"/>
  <c r="AK54" i="26"/>
  <c r="AK66" i="26"/>
  <c r="AK52" i="26"/>
  <c r="AK65" i="26"/>
  <c r="AK51" i="26"/>
  <c r="AK64" i="26"/>
  <c r="AK50" i="26"/>
  <c r="AK71" i="26"/>
  <c r="AK57" i="26"/>
  <c r="AJ67" i="26"/>
  <c r="AJ53" i="26"/>
  <c r="AJ68" i="26"/>
  <c r="AJ54" i="26"/>
  <c r="AJ66" i="26"/>
  <c r="AJ52" i="26"/>
  <c r="AJ65" i="26"/>
  <c r="AJ51" i="26"/>
  <c r="AJ50" i="26"/>
  <c r="AJ64" i="26"/>
  <c r="AJ71" i="26"/>
  <c r="AJ57" i="26"/>
  <c r="AZ67" i="26"/>
  <c r="AZ53" i="26"/>
  <c r="AZ68" i="26"/>
  <c r="AZ54" i="26"/>
  <c r="AZ66" i="26"/>
  <c r="AZ52" i="26"/>
  <c r="AZ65" i="26"/>
  <c r="AZ51" i="26"/>
  <c r="AZ50" i="26"/>
  <c r="AZ64" i="26"/>
  <c r="AZ71" i="26"/>
  <c r="AZ57" i="26"/>
  <c r="AI67" i="26"/>
  <c r="AI53" i="26"/>
  <c r="AI68" i="26"/>
  <c r="AI54" i="26"/>
  <c r="AI66" i="26"/>
  <c r="AI52" i="26"/>
  <c r="AI65" i="26"/>
  <c r="AI51" i="26"/>
  <c r="AI64" i="26"/>
  <c r="AI50" i="26"/>
  <c r="AI71" i="26"/>
  <c r="AI57" i="26"/>
  <c r="AH67" i="26"/>
  <c r="AH53" i="26"/>
  <c r="AH68" i="26"/>
  <c r="AH54" i="26"/>
  <c r="AH66" i="26"/>
  <c r="AH52" i="26"/>
  <c r="AH65" i="26"/>
  <c r="AH51" i="26"/>
  <c r="AH64" i="26"/>
  <c r="AH50" i="26"/>
  <c r="AH71" i="26"/>
  <c r="AH57" i="26"/>
  <c r="AG67" i="26"/>
  <c r="AG53" i="26"/>
  <c r="AG68" i="26"/>
  <c r="AG54" i="26"/>
  <c r="AG66" i="26"/>
  <c r="AG52" i="26"/>
  <c r="AG65" i="26"/>
  <c r="AG51" i="26"/>
  <c r="AG64" i="26"/>
  <c r="AG50" i="26"/>
  <c r="AG71" i="26"/>
  <c r="AG57" i="26"/>
  <c r="AF67" i="26"/>
  <c r="AF53" i="26"/>
  <c r="AF68" i="26"/>
  <c r="AF54" i="26"/>
  <c r="AF66" i="26"/>
  <c r="AF52" i="26"/>
  <c r="AF65" i="26"/>
  <c r="AF51" i="26"/>
  <c r="AF64" i="26"/>
  <c r="AF50" i="26"/>
  <c r="AF71" i="26"/>
  <c r="AF57" i="26"/>
  <c r="AE67" i="26"/>
  <c r="AE53" i="26"/>
  <c r="AE68" i="26"/>
  <c r="AE54" i="26"/>
  <c r="AE66" i="26"/>
  <c r="AE52" i="26"/>
  <c r="AE65" i="26"/>
  <c r="AE51" i="26"/>
  <c r="AE64" i="26"/>
  <c r="AE50" i="26"/>
  <c r="AE71" i="26"/>
  <c r="AE57" i="26"/>
  <c r="J71" i="26"/>
  <c r="J57" i="26"/>
  <c r="I5" i="27"/>
  <c r="I67" i="26"/>
  <c r="I53" i="26"/>
  <c r="I9" i="27"/>
  <c r="I68" i="26"/>
  <c r="I54" i="26"/>
  <c r="I17" i="27"/>
  <c r="I66" i="26"/>
  <c r="I52" i="26"/>
  <c r="I21" i="27"/>
  <c r="I65" i="26"/>
  <c r="I51" i="26"/>
  <c r="I64" i="26"/>
  <c r="I50" i="26"/>
  <c r="I71" i="26"/>
  <c r="I57" i="26"/>
  <c r="H5" i="27"/>
  <c r="H67" i="26"/>
  <c r="H53" i="26"/>
  <c r="H9" i="27"/>
  <c r="H54" i="26"/>
  <c r="H68" i="26"/>
  <c r="H17" i="27"/>
  <c r="H66" i="26"/>
  <c r="H52" i="26"/>
  <c r="H21" i="27"/>
  <c r="H65" i="26"/>
  <c r="H51" i="26"/>
  <c r="H64" i="26"/>
  <c r="H50" i="26"/>
  <c r="H71" i="26"/>
  <c r="H57" i="26"/>
  <c r="G5" i="27"/>
  <c r="G67" i="26"/>
  <c r="G53" i="26"/>
  <c r="G48" i="26" s="1"/>
  <c r="G9" i="27"/>
  <c r="G68" i="26"/>
  <c r="G54" i="26"/>
  <c r="G17" i="27"/>
  <c r="G66" i="26"/>
  <c r="G52" i="26"/>
  <c r="G21" i="27"/>
  <c r="G65" i="26"/>
  <c r="G51" i="26"/>
  <c r="G64" i="26"/>
  <c r="G50" i="26"/>
  <c r="G71" i="26"/>
  <c r="G57" i="26"/>
  <c r="F5" i="27"/>
  <c r="F67" i="26"/>
  <c r="F53" i="26"/>
  <c r="F9" i="27"/>
  <c r="F68" i="26"/>
  <c r="F54" i="26"/>
  <c r="F17" i="27"/>
  <c r="F66" i="26"/>
  <c r="F52" i="26"/>
  <c r="F21" i="27"/>
  <c r="F65" i="26"/>
  <c r="F51" i="26"/>
  <c r="F64" i="26"/>
  <c r="F50" i="26"/>
  <c r="F71" i="26"/>
  <c r="F57" i="26"/>
  <c r="E5" i="27"/>
  <c r="E67" i="26"/>
  <c r="E53" i="26"/>
  <c r="E9" i="27"/>
  <c r="E68" i="26"/>
  <c r="E54" i="26"/>
  <c r="E17" i="27"/>
  <c r="C17" i="27" s="1"/>
  <c r="E66" i="26"/>
  <c r="E52" i="26"/>
  <c r="E21" i="27"/>
  <c r="E65" i="26"/>
  <c r="E51" i="26"/>
  <c r="E64" i="26"/>
  <c r="E50" i="26"/>
  <c r="E48" i="26" s="1"/>
  <c r="E71" i="26"/>
  <c r="E57" i="26"/>
  <c r="AR67" i="26"/>
  <c r="AR53" i="26"/>
  <c r="AR68" i="26"/>
  <c r="AR54" i="26"/>
  <c r="AR52" i="26"/>
  <c r="AR66" i="26"/>
  <c r="AR65" i="26"/>
  <c r="AR51" i="26"/>
  <c r="AR64" i="26"/>
  <c r="AR50" i="26"/>
  <c r="AR71" i="26"/>
  <c r="AR57" i="26"/>
  <c r="D53" i="27"/>
  <c r="D67" i="27"/>
  <c r="D68" i="27"/>
  <c r="D54" i="27"/>
  <c r="D75" i="27"/>
  <c r="D61" i="27"/>
  <c r="AX45" i="26"/>
  <c r="AX75" i="26"/>
  <c r="AX61" i="26"/>
  <c r="AW45" i="26"/>
  <c r="AW75" i="26"/>
  <c r="AW61" i="26"/>
  <c r="AV45" i="26"/>
  <c r="AV75" i="26"/>
  <c r="AV61" i="26"/>
  <c r="AY45" i="26"/>
  <c r="AY75" i="26"/>
  <c r="AY61" i="26"/>
  <c r="AU45" i="26"/>
  <c r="AU75" i="26"/>
  <c r="AU61" i="26"/>
  <c r="AT45" i="26"/>
  <c r="AT75" i="26"/>
  <c r="AT61" i="26"/>
  <c r="AS45" i="26"/>
  <c r="AS75" i="26"/>
  <c r="AS61" i="26"/>
  <c r="AQ45" i="26"/>
  <c r="AQ75" i="26"/>
  <c r="AQ61" i="26"/>
  <c r="AP45" i="26"/>
  <c r="AP75" i="26"/>
  <c r="AP61" i="26"/>
  <c r="AO45" i="26"/>
  <c r="AO75" i="26"/>
  <c r="AO61" i="26"/>
  <c r="AN45" i="26"/>
  <c r="AN75" i="26"/>
  <c r="AN61" i="26"/>
  <c r="AM45" i="26"/>
  <c r="AM61" i="26"/>
  <c r="AM75" i="26"/>
  <c r="AL45" i="26"/>
  <c r="AL75" i="26"/>
  <c r="AL61" i="26"/>
  <c r="AK45" i="26"/>
  <c r="AK75" i="26"/>
  <c r="AK61" i="26"/>
  <c r="AJ45" i="26"/>
  <c r="AJ75" i="26"/>
  <c r="AJ61" i="26"/>
  <c r="AZ45" i="26"/>
  <c r="AZ75" i="26"/>
  <c r="AZ61" i="26"/>
  <c r="AI45" i="26"/>
  <c r="AI75" i="26"/>
  <c r="AI61" i="26"/>
  <c r="AH45" i="26"/>
  <c r="AH75" i="26"/>
  <c r="AH61" i="26"/>
  <c r="AG45" i="26"/>
  <c r="AG75" i="26"/>
  <c r="AG61" i="26"/>
  <c r="AF45" i="26"/>
  <c r="AF75" i="26"/>
  <c r="AF61" i="26"/>
  <c r="AE45" i="26"/>
  <c r="AE75" i="26"/>
  <c r="AE61" i="26"/>
  <c r="N45" i="26"/>
  <c r="N18" i="27"/>
  <c r="N75" i="26"/>
  <c r="N61" i="26"/>
  <c r="M45" i="26"/>
  <c r="M18" i="27"/>
  <c r="M75" i="26"/>
  <c r="M61" i="26"/>
  <c r="L45" i="26"/>
  <c r="L18" i="27"/>
  <c r="L75" i="26"/>
  <c r="L61" i="26"/>
  <c r="K45" i="26"/>
  <c r="K18" i="27"/>
  <c r="K75" i="26"/>
  <c r="K61" i="26"/>
  <c r="AA45" i="26"/>
  <c r="AA18" i="27"/>
  <c r="AA75" i="26"/>
  <c r="AA61" i="26"/>
  <c r="J45" i="26"/>
  <c r="J18" i="27"/>
  <c r="J75" i="26"/>
  <c r="J61" i="26"/>
  <c r="I45" i="26"/>
  <c r="I18" i="27"/>
  <c r="I75" i="26"/>
  <c r="I61" i="26"/>
  <c r="H45" i="26"/>
  <c r="H18" i="27"/>
  <c r="H75" i="26"/>
  <c r="H61" i="26"/>
  <c r="G45" i="26"/>
  <c r="G18" i="27"/>
  <c r="G61" i="26"/>
  <c r="G75" i="26"/>
  <c r="F45" i="26"/>
  <c r="F18" i="27"/>
  <c r="F75" i="26"/>
  <c r="F61" i="26"/>
  <c r="E45" i="26"/>
  <c r="C45" i="26" s="1"/>
  <c r="E18" i="27"/>
  <c r="C18" i="27" s="1"/>
  <c r="E75" i="26"/>
  <c r="E61" i="26"/>
  <c r="AR45" i="26"/>
  <c r="AR75" i="26"/>
  <c r="AR61" i="26"/>
  <c r="AX73" i="26"/>
  <c r="AX59" i="26"/>
  <c r="AX76" i="26"/>
  <c r="AX62" i="26"/>
  <c r="AW73" i="26"/>
  <c r="AW59" i="26"/>
  <c r="AW76" i="26"/>
  <c r="AW62" i="26"/>
  <c r="AV73" i="26"/>
  <c r="AV59" i="26"/>
  <c r="AV76" i="26"/>
  <c r="AV62" i="26"/>
  <c r="AY73" i="26"/>
  <c r="AY59" i="26"/>
  <c r="AY76" i="26"/>
  <c r="AY62" i="26"/>
  <c r="AU73" i="26"/>
  <c r="AU59" i="26"/>
  <c r="AU76" i="26"/>
  <c r="AU62" i="26"/>
  <c r="AT73" i="26"/>
  <c r="AT59" i="26"/>
  <c r="AT76" i="26"/>
  <c r="AT62" i="26"/>
  <c r="AS73" i="26"/>
  <c r="AS59" i="26"/>
  <c r="AS76" i="26"/>
  <c r="AS62" i="26"/>
  <c r="AQ73" i="26"/>
  <c r="AQ59" i="26"/>
  <c r="AQ76" i="26"/>
  <c r="AQ62" i="26"/>
  <c r="AP73" i="26"/>
  <c r="AP59" i="26"/>
  <c r="AP76" i="26"/>
  <c r="AP62" i="26"/>
  <c r="AO73" i="26"/>
  <c r="AO59" i="26"/>
  <c r="AO76" i="26"/>
  <c r="AO62" i="26"/>
  <c r="AN73" i="26"/>
  <c r="AN59" i="26"/>
  <c r="AN76" i="26"/>
  <c r="AN62" i="26"/>
  <c r="AM73" i="26"/>
  <c r="AM59" i="26"/>
  <c r="AM76" i="26"/>
  <c r="AM62" i="26"/>
  <c r="AL73" i="26"/>
  <c r="AL59" i="26"/>
  <c r="AL76" i="26"/>
  <c r="AL62" i="26"/>
  <c r="AK73" i="26"/>
  <c r="AK59" i="26"/>
  <c r="AK76" i="26"/>
  <c r="AK62" i="26"/>
  <c r="AJ73" i="26"/>
  <c r="AJ59" i="26"/>
  <c r="AJ76" i="26"/>
  <c r="AJ62" i="26"/>
  <c r="AZ73" i="26"/>
  <c r="AZ59" i="26"/>
  <c r="AZ76" i="26"/>
  <c r="AZ62" i="26"/>
  <c r="AI73" i="26"/>
  <c r="AI59" i="26"/>
  <c r="AI76" i="26"/>
  <c r="AI62" i="26"/>
  <c r="AH73" i="26"/>
  <c r="AH59" i="26"/>
  <c r="AH76" i="26"/>
  <c r="AH62" i="26"/>
  <c r="AG73" i="26"/>
  <c r="AG59" i="26"/>
  <c r="AG76" i="26"/>
  <c r="AG62" i="26"/>
  <c r="AF73" i="26"/>
  <c r="AF59" i="26"/>
  <c r="AF76" i="26"/>
  <c r="AF62" i="26"/>
  <c r="AE73" i="26"/>
  <c r="AE59" i="26"/>
  <c r="AE76" i="26"/>
  <c r="AE62" i="26"/>
  <c r="L76" i="26"/>
  <c r="L62" i="26"/>
  <c r="K7" i="27"/>
  <c r="K73" i="26"/>
  <c r="K59" i="26"/>
  <c r="K76" i="26"/>
  <c r="K62" i="26"/>
  <c r="AA7" i="27"/>
  <c r="AA73" i="26"/>
  <c r="AA59" i="26"/>
  <c r="AA76" i="26"/>
  <c r="AA62" i="26"/>
  <c r="J7" i="27"/>
  <c r="J73" i="26"/>
  <c r="J59" i="26"/>
  <c r="J76" i="26"/>
  <c r="J62" i="26"/>
  <c r="I7" i="27"/>
  <c r="I73" i="26"/>
  <c r="I59" i="26"/>
  <c r="I48" i="26"/>
  <c r="I76" i="26"/>
  <c r="I62" i="26"/>
  <c r="H7" i="27"/>
  <c r="H73" i="26"/>
  <c r="H59" i="26"/>
  <c r="H76" i="26"/>
  <c r="H62" i="26"/>
  <c r="G7" i="27"/>
  <c r="C7" i="27" s="1"/>
  <c r="G73" i="26"/>
  <c r="G59" i="26"/>
  <c r="G76" i="26"/>
  <c r="G62" i="26"/>
  <c r="F7" i="27"/>
  <c r="F73" i="26"/>
  <c r="F59" i="26"/>
  <c r="F48" i="26" s="1"/>
  <c r="F76" i="26"/>
  <c r="F62" i="26"/>
  <c r="E7" i="27"/>
  <c r="E73" i="26"/>
  <c r="E59" i="26"/>
  <c r="E62" i="26"/>
  <c r="E76" i="26"/>
  <c r="AR73" i="26"/>
  <c r="AR59" i="26"/>
  <c r="AR76" i="26"/>
  <c r="AR62" i="26"/>
  <c r="D2" i="27"/>
  <c r="D38" i="27" s="1"/>
  <c r="D38" i="26"/>
  <c r="D31" i="26" s="1"/>
  <c r="D59" i="27"/>
  <c r="D73" i="27"/>
  <c r="D74" i="27"/>
  <c r="D60" i="27"/>
  <c r="D72" i="27"/>
  <c r="D58" i="27"/>
  <c r="D70" i="27"/>
  <c r="D56" i="27"/>
  <c r="AX74" i="26"/>
  <c r="AX60" i="26"/>
  <c r="AX72" i="26"/>
  <c r="AX58" i="26"/>
  <c r="AX70" i="26"/>
  <c r="AX56" i="26"/>
  <c r="AX69" i="26"/>
  <c r="AX55" i="26"/>
  <c r="AW74" i="26"/>
  <c r="AW60" i="26"/>
  <c r="AW72" i="26"/>
  <c r="AW58" i="26"/>
  <c r="AW70" i="26"/>
  <c r="AW56" i="26"/>
  <c r="AW69" i="26"/>
  <c r="AW55" i="26"/>
  <c r="AV74" i="26"/>
  <c r="AV60" i="26"/>
  <c r="AV72" i="26"/>
  <c r="AV58" i="26"/>
  <c r="AV70" i="26"/>
  <c r="AV56" i="26"/>
  <c r="AV69" i="26"/>
  <c r="AV55" i="26"/>
  <c r="AY74" i="26"/>
  <c r="AY60" i="26"/>
  <c r="AY72" i="26"/>
  <c r="AY58" i="26"/>
  <c r="AY70" i="26"/>
  <c r="AY56" i="26"/>
  <c r="AY69" i="26"/>
  <c r="AY55" i="26"/>
  <c r="AU74" i="26"/>
  <c r="AU60" i="26"/>
  <c r="AU72" i="26"/>
  <c r="AU58" i="26"/>
  <c r="AU70" i="26"/>
  <c r="AU56" i="26"/>
  <c r="AU69" i="26"/>
  <c r="AU55" i="26"/>
  <c r="AT74" i="26"/>
  <c r="AT60" i="26"/>
  <c r="AT72" i="26"/>
  <c r="AT58" i="26"/>
  <c r="AT70" i="26"/>
  <c r="AT56" i="26"/>
  <c r="AT69" i="26"/>
  <c r="AT55" i="26"/>
  <c r="AS74" i="26"/>
  <c r="AS60" i="26"/>
  <c r="AS72" i="26"/>
  <c r="AS58" i="26"/>
  <c r="AS70" i="26"/>
  <c r="AS56" i="26"/>
  <c r="AS69" i="26"/>
  <c r="AS55" i="26"/>
  <c r="AQ74" i="26"/>
  <c r="AQ60" i="26"/>
  <c r="AQ72" i="26"/>
  <c r="AQ58" i="26"/>
  <c r="AQ70" i="26"/>
  <c r="AQ56" i="26"/>
  <c r="AQ69" i="26"/>
  <c r="AQ55" i="26"/>
  <c r="AP74" i="26"/>
  <c r="AP60" i="26"/>
  <c r="AP72" i="26"/>
  <c r="AP58" i="26"/>
  <c r="AP70" i="26"/>
  <c r="AP56" i="26"/>
  <c r="AP69" i="26"/>
  <c r="AP55" i="26"/>
  <c r="AO60" i="26"/>
  <c r="AO74" i="26"/>
  <c r="AO72" i="26"/>
  <c r="AO58" i="26"/>
  <c r="AO70" i="26"/>
  <c r="AO56" i="26"/>
  <c r="AO69" i="26"/>
  <c r="AO55" i="26"/>
  <c r="AN74" i="26"/>
  <c r="AN60" i="26"/>
  <c r="AN72" i="26"/>
  <c r="AN58" i="26"/>
  <c r="AN70" i="26"/>
  <c r="AN56" i="26"/>
  <c r="AN69" i="26"/>
  <c r="AN55" i="26"/>
  <c r="AM74" i="26"/>
  <c r="AM60" i="26"/>
  <c r="AM72" i="26"/>
  <c r="AM58" i="26"/>
  <c r="AM70" i="26"/>
  <c r="AM56" i="26"/>
  <c r="AM69" i="26"/>
  <c r="AM55" i="26"/>
  <c r="AL74" i="26"/>
  <c r="AL60" i="26"/>
  <c r="AL72" i="26"/>
  <c r="AL58" i="26"/>
  <c r="AL70" i="26"/>
  <c r="AL56" i="26"/>
  <c r="AL69" i="26"/>
  <c r="AL55" i="26"/>
  <c r="AK74" i="26"/>
  <c r="AK60" i="26"/>
  <c r="AK72" i="26"/>
  <c r="AK58" i="26"/>
  <c r="AK70" i="26"/>
  <c r="AK56" i="26"/>
  <c r="AK69" i="26"/>
  <c r="AK55" i="26"/>
  <c r="AJ74" i="26"/>
  <c r="AJ60" i="26"/>
  <c r="AJ72" i="26"/>
  <c r="AJ58" i="26"/>
  <c r="AJ70" i="26"/>
  <c r="AJ56" i="26"/>
  <c r="AJ69" i="26"/>
  <c r="AJ55" i="26"/>
  <c r="AZ74" i="26"/>
  <c r="AZ60" i="26"/>
  <c r="AZ72" i="26"/>
  <c r="AZ58" i="26"/>
  <c r="AZ70" i="26"/>
  <c r="AZ56" i="26"/>
  <c r="AZ69" i="26"/>
  <c r="AZ55" i="26"/>
  <c r="AI74" i="26"/>
  <c r="AI60" i="26"/>
  <c r="AI72" i="26"/>
  <c r="AI58" i="26"/>
  <c r="AI70" i="26"/>
  <c r="AI56" i="26"/>
  <c r="AI69" i="26"/>
  <c r="AI55" i="26"/>
  <c r="AH74" i="26"/>
  <c r="AH60" i="26"/>
  <c r="AH72" i="26"/>
  <c r="AH58" i="26"/>
  <c r="AH70" i="26"/>
  <c r="AH56" i="26"/>
  <c r="AH69" i="26"/>
  <c r="AH55" i="26"/>
  <c r="AG74" i="26"/>
  <c r="AG60" i="26"/>
  <c r="AG72" i="26"/>
  <c r="AG58" i="26"/>
  <c r="AG70" i="26"/>
  <c r="AG56" i="26"/>
  <c r="AG69" i="26"/>
  <c r="AG55" i="26"/>
  <c r="AF74" i="26"/>
  <c r="AF60" i="26"/>
  <c r="AF72" i="26"/>
  <c r="AF58" i="26"/>
  <c r="AF70" i="26"/>
  <c r="AF56" i="26"/>
  <c r="AF69" i="26"/>
  <c r="AF55" i="26"/>
  <c r="AE74" i="26"/>
  <c r="AE60" i="26"/>
  <c r="AE72" i="26"/>
  <c r="AE58" i="26"/>
  <c r="AE70" i="26"/>
  <c r="AE56" i="26"/>
  <c r="AE69" i="26"/>
  <c r="AE55" i="26"/>
  <c r="Y19" i="27"/>
  <c r="Y42" i="27" s="1"/>
  <c r="W14" i="27"/>
  <c r="W34" i="27" s="1"/>
  <c r="Z14" i="27"/>
  <c r="Z34" i="27" s="1"/>
  <c r="V19" i="27"/>
  <c r="V42" i="27" s="1"/>
  <c r="T14" i="27"/>
  <c r="T34" i="27" s="1"/>
  <c r="T19" i="27"/>
  <c r="T42" i="27" s="1"/>
  <c r="Y2" i="27"/>
  <c r="Y38" i="27" s="1"/>
  <c r="Y13" i="27"/>
  <c r="Y33" i="27" s="1"/>
  <c r="X2" i="27"/>
  <c r="X38" i="27" s="1"/>
  <c r="X13" i="27"/>
  <c r="X33" i="27" s="1"/>
  <c r="W2" i="27"/>
  <c r="W38" i="27" s="1"/>
  <c r="W13" i="27"/>
  <c r="W33" i="27" s="1"/>
  <c r="Z2" i="27"/>
  <c r="Z38" i="27" s="1"/>
  <c r="Z13" i="27"/>
  <c r="Z33" i="27" s="1"/>
  <c r="V2" i="27"/>
  <c r="V38" i="27" s="1"/>
  <c r="V13" i="27"/>
  <c r="V33" i="27" s="1"/>
  <c r="U2" i="27"/>
  <c r="U38" i="27" s="1"/>
  <c r="U13" i="27"/>
  <c r="U33" i="27" s="1"/>
  <c r="T2" i="27"/>
  <c r="T38" i="27" s="1"/>
  <c r="T13" i="27"/>
  <c r="T33" i="27" s="1"/>
  <c r="S2" i="27"/>
  <c r="S38" i="27" s="1"/>
  <c r="S13" i="27"/>
  <c r="S33" i="27" s="1"/>
  <c r="R2" i="27"/>
  <c r="R38" i="27" s="1"/>
  <c r="R13" i="27"/>
  <c r="R33" i="27" s="1"/>
  <c r="Q2" i="27"/>
  <c r="Q38" i="27" s="1"/>
  <c r="Q13" i="27"/>
  <c r="Q33" i="27" s="1"/>
  <c r="P2" i="27"/>
  <c r="P38" i="27" s="1"/>
  <c r="P13" i="27"/>
  <c r="P33" i="27" s="1"/>
  <c r="O2" i="27"/>
  <c r="O38" i="27" s="1"/>
  <c r="O13" i="27"/>
  <c r="O33" i="27" s="1"/>
  <c r="N2" i="27"/>
  <c r="N38" i="27" s="1"/>
  <c r="N13" i="27"/>
  <c r="N33" i="27" s="1"/>
  <c r="M2" i="27"/>
  <c r="M38" i="27" s="1"/>
  <c r="M13" i="27"/>
  <c r="M33" i="27" s="1"/>
  <c r="L2" i="27"/>
  <c r="L38" i="27" s="1"/>
  <c r="L13" i="27"/>
  <c r="L33" i="27" s="1"/>
  <c r="K2" i="27"/>
  <c r="K38" i="27" s="1"/>
  <c r="K13" i="27"/>
  <c r="K33" i="27" s="1"/>
  <c r="AA2" i="27"/>
  <c r="AA38" i="27" s="1"/>
  <c r="AA13" i="27"/>
  <c r="AA33" i="27" s="1"/>
  <c r="J2" i="27"/>
  <c r="J38" i="27" s="1"/>
  <c r="J13" i="27"/>
  <c r="J33" i="27" s="1"/>
  <c r="I2" i="27"/>
  <c r="I38" i="27" s="1"/>
  <c r="I13" i="27"/>
  <c r="I33" i="27" s="1"/>
  <c r="H2" i="27"/>
  <c r="H38" i="27" s="1"/>
  <c r="H13" i="27"/>
  <c r="H33" i="27" s="1"/>
  <c r="G2" i="27"/>
  <c r="G38" i="27" s="1"/>
  <c r="G13" i="27"/>
  <c r="G33" i="27" s="1"/>
  <c r="F2" i="27"/>
  <c r="F38" i="27" s="1"/>
  <c r="F13" i="27"/>
  <c r="F33" i="27" s="1"/>
  <c r="E2" i="27"/>
  <c r="E38" i="27" s="1"/>
  <c r="E13" i="27"/>
  <c r="E33" i="27" s="1"/>
  <c r="C16" i="27"/>
  <c r="Y4" i="27"/>
  <c r="Y40" i="27" s="1"/>
  <c r="Y8" i="27"/>
  <c r="Y41" i="27" s="1"/>
  <c r="Y22" i="27"/>
  <c r="Y37" i="27" s="1"/>
  <c r="X4" i="27"/>
  <c r="X40" i="27" s="1"/>
  <c r="X8" i="27"/>
  <c r="X41" i="27" s="1"/>
  <c r="W8" i="27"/>
  <c r="W41" i="27" s="1"/>
  <c r="W22" i="27"/>
  <c r="W37" i="27" s="1"/>
  <c r="Z4" i="27"/>
  <c r="Z40" i="27" s="1"/>
  <c r="Z8" i="27"/>
  <c r="Z41" i="27" s="1"/>
  <c r="Z22" i="27"/>
  <c r="Z37" i="27" s="1"/>
  <c r="V8" i="27"/>
  <c r="V41" i="27" s="1"/>
  <c r="V22" i="27"/>
  <c r="V37" i="27" s="1"/>
  <c r="S4" i="27"/>
  <c r="S40" i="27" s="1"/>
  <c r="S8" i="27"/>
  <c r="S41" i="27" s="1"/>
  <c r="R4" i="27"/>
  <c r="R40" i="27" s="1"/>
  <c r="R8" i="27"/>
  <c r="R41" i="27" s="1"/>
  <c r="R22" i="27"/>
  <c r="R37" i="27" s="1"/>
  <c r="Q4" i="27"/>
  <c r="Q40" i="27" s="1"/>
  <c r="Q8" i="27"/>
  <c r="Q41" i="27" s="1"/>
  <c r="Q22" i="27"/>
  <c r="Q37" i="27" s="1"/>
  <c r="P4" i="27"/>
  <c r="P40" i="27" s="1"/>
  <c r="P8" i="27"/>
  <c r="P41" i="27" s="1"/>
  <c r="P22" i="27"/>
  <c r="P37" i="27" s="1"/>
  <c r="O4" i="27"/>
  <c r="O40" i="27" s="1"/>
  <c r="O8" i="27"/>
  <c r="O41" i="27" s="1"/>
  <c r="O22" i="27"/>
  <c r="O37" i="27" s="1"/>
  <c r="N4" i="27"/>
  <c r="N40" i="27" s="1"/>
  <c r="N8" i="27"/>
  <c r="N41" i="27" s="1"/>
  <c r="N22" i="27"/>
  <c r="N37" i="27" s="1"/>
  <c r="M4" i="27"/>
  <c r="M40" i="27" s="1"/>
  <c r="M8" i="27"/>
  <c r="M41" i="27" s="1"/>
  <c r="M22" i="27"/>
  <c r="M37" i="27" s="1"/>
  <c r="L4" i="27"/>
  <c r="L40" i="27" s="1"/>
  <c r="L8" i="27"/>
  <c r="L41" i="27" s="1"/>
  <c r="L22" i="27"/>
  <c r="L37" i="27" s="1"/>
  <c r="K4" i="27"/>
  <c r="K40" i="27" s="1"/>
  <c r="K8" i="27"/>
  <c r="K41" i="27" s="1"/>
  <c r="K22" i="27"/>
  <c r="K37" i="27" s="1"/>
  <c r="AA4" i="27"/>
  <c r="AA40" i="27" s="1"/>
  <c r="AA8" i="27"/>
  <c r="AA41" i="27" s="1"/>
  <c r="AA22" i="27"/>
  <c r="AA37" i="27" s="1"/>
  <c r="J4" i="27"/>
  <c r="J40" i="27" s="1"/>
  <c r="J8" i="27"/>
  <c r="J41" i="27" s="1"/>
  <c r="J22" i="27"/>
  <c r="J37" i="27" s="1"/>
  <c r="I4" i="27"/>
  <c r="I40" i="27" s="1"/>
  <c r="I8" i="27"/>
  <c r="I41" i="27" s="1"/>
  <c r="I22" i="27"/>
  <c r="I37" i="27" s="1"/>
  <c r="H4" i="27"/>
  <c r="H40" i="27" s="1"/>
  <c r="H8" i="27"/>
  <c r="H41" i="27" s="1"/>
  <c r="H22" i="27"/>
  <c r="H37" i="27" s="1"/>
  <c r="G4" i="27"/>
  <c r="G40" i="27" s="1"/>
  <c r="G8" i="27"/>
  <c r="G41" i="27" s="1"/>
  <c r="G22" i="27"/>
  <c r="G37" i="27" s="1"/>
  <c r="F4" i="27"/>
  <c r="F40" i="27" s="1"/>
  <c r="F8" i="27"/>
  <c r="F41" i="27" s="1"/>
  <c r="F22" i="27"/>
  <c r="F37" i="27" s="1"/>
  <c r="E4" i="27"/>
  <c r="E40" i="27" s="1"/>
  <c r="E8" i="27"/>
  <c r="E41" i="27" s="1"/>
  <c r="E22" i="27"/>
  <c r="E37" i="27" s="1"/>
  <c r="G3" i="4"/>
  <c r="G32" i="4" s="1"/>
  <c r="X22" i="27"/>
  <c r="X37" i="27" s="1"/>
  <c r="W4" i="27"/>
  <c r="W40" i="27" s="1"/>
  <c r="V4" i="27"/>
  <c r="V40" i="27" s="1"/>
  <c r="U4" i="27"/>
  <c r="U40" i="27" s="1"/>
  <c r="U8" i="27"/>
  <c r="U41" i="27" s="1"/>
  <c r="U22" i="27"/>
  <c r="U37" i="27" s="1"/>
  <c r="T4" i="27"/>
  <c r="T40" i="27" s="1"/>
  <c r="T8" i="27"/>
  <c r="T41" i="27" s="1"/>
  <c r="T22" i="27"/>
  <c r="T37" i="27" s="1"/>
  <c r="S22" i="27"/>
  <c r="S37" i="27" s="1"/>
  <c r="R14" i="27"/>
  <c r="R34" i="27" s="1"/>
  <c r="R19" i="27"/>
  <c r="R42" i="27" s="1"/>
  <c r="Q14" i="27"/>
  <c r="Q34" i="27" s="1"/>
  <c r="Q19" i="27"/>
  <c r="Q42" i="27" s="1"/>
  <c r="P14" i="27"/>
  <c r="P34" i="27" s="1"/>
  <c r="P19" i="27"/>
  <c r="P42" i="27" s="1"/>
  <c r="O14" i="27"/>
  <c r="O34" i="27" s="1"/>
  <c r="O19" i="27"/>
  <c r="O42" i="27" s="1"/>
  <c r="N14" i="27"/>
  <c r="N34" i="27" s="1"/>
  <c r="N19" i="27"/>
  <c r="N42" i="27" s="1"/>
  <c r="M14" i="27"/>
  <c r="M34" i="27" s="1"/>
  <c r="M19" i="27"/>
  <c r="M42" i="27" s="1"/>
  <c r="L14" i="27"/>
  <c r="L34" i="27" s="1"/>
  <c r="L19" i="27"/>
  <c r="L42" i="27" s="1"/>
  <c r="K14" i="27"/>
  <c r="K34" i="27" s="1"/>
  <c r="K19" i="27"/>
  <c r="K42" i="27" s="1"/>
  <c r="AA14" i="27"/>
  <c r="AA34" i="27" s="1"/>
  <c r="AA19" i="27"/>
  <c r="AA42" i="27" s="1"/>
  <c r="J14" i="27"/>
  <c r="J34" i="27" s="1"/>
  <c r="J19" i="27"/>
  <c r="J42" i="27" s="1"/>
  <c r="I14" i="27"/>
  <c r="I34" i="27" s="1"/>
  <c r="I19" i="27"/>
  <c r="I42" i="27" s="1"/>
  <c r="H14" i="27"/>
  <c r="H34" i="27" s="1"/>
  <c r="H19" i="27"/>
  <c r="H42" i="27" s="1"/>
  <c r="G14" i="27"/>
  <c r="G34" i="27" s="1"/>
  <c r="G19" i="27"/>
  <c r="G42" i="27" s="1"/>
  <c r="F14" i="27"/>
  <c r="F34" i="27" s="1"/>
  <c r="F19" i="27"/>
  <c r="F42" i="27" s="1"/>
  <c r="E14" i="27"/>
  <c r="E34" i="27" s="1"/>
  <c r="E19" i="27"/>
  <c r="E42" i="27" s="1"/>
  <c r="C21" i="27"/>
  <c r="C3" i="27"/>
  <c r="C32" i="27" s="1"/>
  <c r="AD3" i="27"/>
  <c r="AD32" i="27" s="1"/>
  <c r="Y14" i="27"/>
  <c r="Y34" i="27" s="1"/>
  <c r="X14" i="27"/>
  <c r="X34" i="27" s="1"/>
  <c r="X19" i="27"/>
  <c r="X42" i="27" s="1"/>
  <c r="W19" i="27"/>
  <c r="W42" i="27" s="1"/>
  <c r="Z19" i="27"/>
  <c r="Z42" i="27" s="1"/>
  <c r="V14" i="27"/>
  <c r="V34" i="27" s="1"/>
  <c r="U14" i="27"/>
  <c r="U34" i="27" s="1"/>
  <c r="U19" i="27"/>
  <c r="U42" i="27" s="1"/>
  <c r="S14" i="27"/>
  <c r="S34" i="27" s="1"/>
  <c r="S19" i="27"/>
  <c r="S42" i="27" s="1"/>
  <c r="Y6" i="27"/>
  <c r="Y47" i="27" s="1"/>
  <c r="Y11" i="27"/>
  <c r="Y39" i="27" s="1"/>
  <c r="Y15" i="27"/>
  <c r="Y44" i="27" s="1"/>
  <c r="Y24" i="27"/>
  <c r="Y24" i="28"/>
  <c r="X6" i="27"/>
  <c r="X47" i="27" s="1"/>
  <c r="X11" i="27"/>
  <c r="X39" i="27" s="1"/>
  <c r="X15" i="27"/>
  <c r="X44" i="27" s="1"/>
  <c r="X24" i="27"/>
  <c r="X24" i="28"/>
  <c r="W6" i="27"/>
  <c r="W47" i="27" s="1"/>
  <c r="W11" i="27"/>
  <c r="W39" i="27" s="1"/>
  <c r="W15" i="27"/>
  <c r="W44" i="27" s="1"/>
  <c r="W24" i="27"/>
  <c r="W24" i="28"/>
  <c r="Z6" i="27"/>
  <c r="Z47" i="27" s="1"/>
  <c r="Z11" i="27"/>
  <c r="Z39" i="27" s="1"/>
  <c r="Z15" i="27"/>
  <c r="Z44" i="27" s="1"/>
  <c r="Z24" i="27"/>
  <c r="Z24" i="28"/>
  <c r="V6" i="27"/>
  <c r="V47" i="27" s="1"/>
  <c r="V11" i="27"/>
  <c r="V39" i="27" s="1"/>
  <c r="V15" i="27"/>
  <c r="V44" i="27" s="1"/>
  <c r="V24" i="27"/>
  <c r="V24" i="28"/>
  <c r="U6" i="27"/>
  <c r="U47" i="27" s="1"/>
  <c r="U11" i="27"/>
  <c r="U39" i="27" s="1"/>
  <c r="U15" i="27"/>
  <c r="U44" i="27" s="1"/>
  <c r="U24" i="27"/>
  <c r="U24" i="28"/>
  <c r="T6" i="27"/>
  <c r="T47" i="27" s="1"/>
  <c r="T11" i="27"/>
  <c r="T39" i="27" s="1"/>
  <c r="T15" i="27"/>
  <c r="T44" i="27" s="1"/>
  <c r="T24" i="28"/>
  <c r="T24" i="27"/>
  <c r="S6" i="27"/>
  <c r="S47" i="27" s="1"/>
  <c r="S11" i="27"/>
  <c r="S39" i="27" s="1"/>
  <c r="S15" i="27"/>
  <c r="S44" i="27" s="1"/>
  <c r="S24" i="27"/>
  <c r="S24" i="28"/>
  <c r="R6" i="27"/>
  <c r="R47" i="27" s="1"/>
  <c r="R11" i="27"/>
  <c r="R39" i="27" s="1"/>
  <c r="R15" i="27"/>
  <c r="R44" i="27" s="1"/>
  <c r="R24" i="27"/>
  <c r="R24" i="28"/>
  <c r="Q6" i="27"/>
  <c r="Q47" i="27" s="1"/>
  <c r="Q11" i="27"/>
  <c r="Q39" i="27" s="1"/>
  <c r="Q15" i="27"/>
  <c r="Q44" i="27" s="1"/>
  <c r="Q24" i="27"/>
  <c r="Q24" i="28"/>
  <c r="P6" i="27"/>
  <c r="P47" i="27" s="1"/>
  <c r="P11" i="27"/>
  <c r="P39" i="27" s="1"/>
  <c r="P15" i="27"/>
  <c r="P44" i="27" s="1"/>
  <c r="P24" i="27"/>
  <c r="P24" i="28"/>
  <c r="O6" i="27"/>
  <c r="O47" i="27" s="1"/>
  <c r="O11" i="27"/>
  <c r="O39" i="27" s="1"/>
  <c r="O15" i="27"/>
  <c r="O44" i="27" s="1"/>
  <c r="O24" i="27"/>
  <c r="O24" i="28"/>
  <c r="N6" i="27"/>
  <c r="N47" i="27" s="1"/>
  <c r="N11" i="27"/>
  <c r="N39" i="27" s="1"/>
  <c r="N15" i="27"/>
  <c r="N44" i="27" s="1"/>
  <c r="N24" i="27"/>
  <c r="N24" i="28"/>
  <c r="M6" i="27"/>
  <c r="M47" i="27" s="1"/>
  <c r="M11" i="27"/>
  <c r="M39" i="27" s="1"/>
  <c r="M15" i="27"/>
  <c r="M44" i="27" s="1"/>
  <c r="M24" i="27"/>
  <c r="M24" i="28"/>
  <c r="L6" i="27"/>
  <c r="L47" i="27" s="1"/>
  <c r="L11" i="27"/>
  <c r="L39" i="27" s="1"/>
  <c r="L15" i="27"/>
  <c r="L44" i="27" s="1"/>
  <c r="L24" i="28"/>
  <c r="L24" i="27"/>
  <c r="K6" i="27"/>
  <c r="K47" i="27" s="1"/>
  <c r="K11" i="27"/>
  <c r="K39" i="27" s="1"/>
  <c r="K15" i="27"/>
  <c r="K44" i="27" s="1"/>
  <c r="K24" i="27"/>
  <c r="K24" i="28"/>
  <c r="AA6" i="27"/>
  <c r="AA47" i="27" s="1"/>
  <c r="AA11" i="27"/>
  <c r="AA39" i="27" s="1"/>
  <c r="AA15" i="27"/>
  <c r="AA44" i="27" s="1"/>
  <c r="AA24" i="27"/>
  <c r="AA24" i="28"/>
  <c r="J6" i="27"/>
  <c r="J47" i="27" s="1"/>
  <c r="J11" i="27"/>
  <c r="J39" i="27" s="1"/>
  <c r="J15" i="27"/>
  <c r="J44" i="27" s="1"/>
  <c r="J24" i="27"/>
  <c r="J24" i="28"/>
  <c r="I6" i="27"/>
  <c r="I47" i="27" s="1"/>
  <c r="I11" i="27"/>
  <c r="I39" i="27" s="1"/>
  <c r="I15" i="27"/>
  <c r="I44" i="27" s="1"/>
  <c r="I24" i="27"/>
  <c r="I24" i="28"/>
  <c r="H6" i="27"/>
  <c r="H47" i="27" s="1"/>
  <c r="H11" i="27"/>
  <c r="H39" i="27" s="1"/>
  <c r="H15" i="27"/>
  <c r="H44" i="27" s="1"/>
  <c r="H24" i="27"/>
  <c r="H24" i="28"/>
  <c r="G6" i="27"/>
  <c r="G47" i="27" s="1"/>
  <c r="G11" i="27"/>
  <c r="G39" i="27" s="1"/>
  <c r="G15" i="27"/>
  <c r="G44" i="27" s="1"/>
  <c r="G24" i="27"/>
  <c r="G24" i="28"/>
  <c r="F6" i="27"/>
  <c r="F47" i="27" s="1"/>
  <c r="F11" i="27"/>
  <c r="F39" i="27" s="1"/>
  <c r="F15" i="27"/>
  <c r="F44" i="27" s="1"/>
  <c r="F24" i="27"/>
  <c r="F24" i="28"/>
  <c r="E6" i="27"/>
  <c r="E47" i="27" s="1"/>
  <c r="E11" i="27"/>
  <c r="E39" i="27" s="1"/>
  <c r="E15" i="27"/>
  <c r="E44" i="27" s="1"/>
  <c r="E24" i="27"/>
  <c r="E24" i="28"/>
  <c r="C12" i="27"/>
  <c r="D24" i="28"/>
  <c r="D24" i="27"/>
  <c r="AC3" i="26"/>
  <c r="AC30" i="26"/>
  <c r="AC35" i="26" s="1"/>
  <c r="AC29" i="26"/>
  <c r="AC28" i="26"/>
  <c r="AC43" i="26" s="1"/>
  <c r="AC27" i="26"/>
  <c r="AC26" i="26"/>
  <c r="AC36" i="26" s="1"/>
  <c r="AC25" i="26"/>
  <c r="AC24" i="26"/>
  <c r="AC23" i="26"/>
  <c r="AC49" i="26" s="1"/>
  <c r="AC22" i="26"/>
  <c r="AC37" i="26" s="1"/>
  <c r="AC21" i="26"/>
  <c r="AC20" i="26"/>
  <c r="AC19" i="26"/>
  <c r="AC42" i="26" s="1"/>
  <c r="AC18" i="26"/>
  <c r="AC17" i="26"/>
  <c r="AC16" i="26"/>
  <c r="AC15" i="26"/>
  <c r="AC44" i="26" s="1"/>
  <c r="AC14" i="26"/>
  <c r="AC34" i="26" s="1"/>
  <c r="AC13" i="26"/>
  <c r="AC33" i="26" s="1"/>
  <c r="AC12" i="26"/>
  <c r="AC11" i="26"/>
  <c r="AC39" i="26" s="1"/>
  <c r="AC10" i="26"/>
  <c r="AC46" i="26" s="1"/>
  <c r="AC9" i="26"/>
  <c r="AC8" i="26"/>
  <c r="AC41" i="26" s="1"/>
  <c r="AC7" i="26"/>
  <c r="AC6" i="26"/>
  <c r="AC47" i="26" s="1"/>
  <c r="AC5" i="26"/>
  <c r="AC4" i="26"/>
  <c r="AC40" i="26" s="1"/>
  <c r="AC2" i="26"/>
  <c r="AC38" i="26" s="1"/>
  <c r="AD30" i="26"/>
  <c r="AD35" i="26" s="1"/>
  <c r="AD29" i="26"/>
  <c r="AD28" i="26"/>
  <c r="AD43" i="26" s="1"/>
  <c r="AD27" i="26"/>
  <c r="AD26" i="26"/>
  <c r="AD36" i="26" s="1"/>
  <c r="AD25" i="26"/>
  <c r="AD24" i="26"/>
  <c r="AD23" i="26"/>
  <c r="AD49" i="26" s="1"/>
  <c r="AD22" i="26"/>
  <c r="AD37" i="26" s="1"/>
  <c r="AD21" i="26"/>
  <c r="AD20" i="26"/>
  <c r="AD19" i="26"/>
  <c r="AD42" i="26" s="1"/>
  <c r="AD18" i="26"/>
  <c r="AD17" i="26"/>
  <c r="AD16" i="26"/>
  <c r="AD15" i="26"/>
  <c r="AD44" i="26" s="1"/>
  <c r="AD14" i="26"/>
  <c r="AD34" i="26" s="1"/>
  <c r="AD13" i="26"/>
  <c r="AD33" i="26" s="1"/>
  <c r="AD12" i="26"/>
  <c r="AD11" i="26"/>
  <c r="AD39" i="26" s="1"/>
  <c r="AD10" i="26"/>
  <c r="AD46" i="26" s="1"/>
  <c r="AD9" i="26"/>
  <c r="AD8" i="26"/>
  <c r="AD41" i="26" s="1"/>
  <c r="AD7" i="26"/>
  <c r="AD6" i="26"/>
  <c r="AD47" i="26" s="1"/>
  <c r="AD5" i="26"/>
  <c r="AD4" i="26"/>
  <c r="AD40" i="26" s="1"/>
  <c r="AD2" i="26"/>
  <c r="AD38" i="26" s="1"/>
  <c r="Y10" i="27"/>
  <c r="Y46" i="27" s="1"/>
  <c r="Y45" i="27" s="1"/>
  <c r="Y23" i="27"/>
  <c r="Y49" i="27" s="1"/>
  <c r="Y25" i="27"/>
  <c r="Y25" i="28"/>
  <c r="Y26" i="27"/>
  <c r="Y36" i="27" s="1"/>
  <c r="Y27" i="27"/>
  <c r="Y28" i="27"/>
  <c r="Y43" i="27" s="1"/>
  <c r="Y29" i="27"/>
  <c r="Y30" i="27"/>
  <c r="Y35" i="27" s="1"/>
  <c r="X10" i="27"/>
  <c r="X46" i="27" s="1"/>
  <c r="X45" i="27" s="1"/>
  <c r="X23" i="27"/>
  <c r="X49" i="27" s="1"/>
  <c r="X25" i="27"/>
  <c r="X25" i="28"/>
  <c r="X26" i="27"/>
  <c r="X36" i="27" s="1"/>
  <c r="X27" i="27"/>
  <c r="X28" i="27"/>
  <c r="X43" i="27" s="1"/>
  <c r="X29" i="27"/>
  <c r="X30" i="27"/>
  <c r="X35" i="27" s="1"/>
  <c r="W10" i="27"/>
  <c r="W46" i="27" s="1"/>
  <c r="W45" i="27" s="1"/>
  <c r="W23" i="27"/>
  <c r="W49" i="27" s="1"/>
  <c r="W25" i="27"/>
  <c r="W25" i="28"/>
  <c r="W26" i="27"/>
  <c r="W36" i="27" s="1"/>
  <c r="W27" i="27"/>
  <c r="W28" i="27"/>
  <c r="W43" i="27" s="1"/>
  <c r="W29" i="27"/>
  <c r="W30" i="27"/>
  <c r="W35" i="27" s="1"/>
  <c r="Z10" i="27"/>
  <c r="Z46" i="27" s="1"/>
  <c r="Z23" i="27"/>
  <c r="Z49" i="27" s="1"/>
  <c r="Z25" i="27"/>
  <c r="Z25" i="28"/>
  <c r="Z26" i="27"/>
  <c r="Z36" i="27" s="1"/>
  <c r="Z27" i="27"/>
  <c r="Z28" i="27"/>
  <c r="Z43" i="27" s="1"/>
  <c r="Z29" i="27"/>
  <c r="Z30" i="27"/>
  <c r="Z35" i="27" s="1"/>
  <c r="V10" i="27"/>
  <c r="V46" i="27" s="1"/>
  <c r="V45" i="27" s="1"/>
  <c r="V23" i="27"/>
  <c r="V49" i="27" s="1"/>
  <c r="V25" i="27"/>
  <c r="V25" i="28"/>
  <c r="V26" i="27"/>
  <c r="V36" i="27" s="1"/>
  <c r="V27" i="27"/>
  <c r="V28" i="27"/>
  <c r="V43" i="27" s="1"/>
  <c r="V29" i="27"/>
  <c r="V30" i="27"/>
  <c r="V35" i="27" s="1"/>
  <c r="U10" i="27"/>
  <c r="U46" i="27" s="1"/>
  <c r="U45" i="27" s="1"/>
  <c r="U23" i="27"/>
  <c r="U49" i="27" s="1"/>
  <c r="U25" i="27"/>
  <c r="U25" i="28"/>
  <c r="U26" i="27"/>
  <c r="U36" i="27" s="1"/>
  <c r="U27" i="27"/>
  <c r="U28" i="27"/>
  <c r="U43" i="27" s="1"/>
  <c r="U29" i="27"/>
  <c r="U30" i="27"/>
  <c r="U35" i="27" s="1"/>
  <c r="T10" i="27"/>
  <c r="T46" i="27" s="1"/>
  <c r="T45" i="27" s="1"/>
  <c r="T23" i="27"/>
  <c r="T49" i="27" s="1"/>
  <c r="T25" i="27"/>
  <c r="T25" i="28"/>
  <c r="T26" i="27"/>
  <c r="T36" i="27" s="1"/>
  <c r="T27" i="27"/>
  <c r="T28" i="27"/>
  <c r="T43" i="27" s="1"/>
  <c r="T29" i="27"/>
  <c r="T30" i="27"/>
  <c r="T35" i="27" s="1"/>
  <c r="S10" i="27"/>
  <c r="S46" i="27" s="1"/>
  <c r="S23" i="27"/>
  <c r="S49" i="27" s="1"/>
  <c r="S25" i="27"/>
  <c r="S25" i="28"/>
  <c r="S26" i="27"/>
  <c r="S36" i="27" s="1"/>
  <c r="S27" i="27"/>
  <c r="S28" i="27"/>
  <c r="S43" i="27" s="1"/>
  <c r="S29" i="27"/>
  <c r="S30" i="27"/>
  <c r="S35" i="27" s="1"/>
  <c r="R10" i="27"/>
  <c r="R46" i="27" s="1"/>
  <c r="R45" i="27" s="1"/>
  <c r="R23" i="27"/>
  <c r="R49" i="27" s="1"/>
  <c r="R25" i="27"/>
  <c r="R25" i="28"/>
  <c r="R26" i="27"/>
  <c r="R36" i="27" s="1"/>
  <c r="R27" i="27"/>
  <c r="R28" i="27"/>
  <c r="R43" i="27" s="1"/>
  <c r="R29" i="27"/>
  <c r="R30" i="27"/>
  <c r="R35" i="27" s="1"/>
  <c r="Q10" i="27"/>
  <c r="Q46" i="27" s="1"/>
  <c r="Q45" i="27" s="1"/>
  <c r="Q23" i="27"/>
  <c r="Q49" i="27" s="1"/>
  <c r="Q25" i="27"/>
  <c r="Q25" i="28"/>
  <c r="Q26" i="27"/>
  <c r="Q36" i="27" s="1"/>
  <c r="Q27" i="27"/>
  <c r="Q28" i="27"/>
  <c r="Q43" i="27" s="1"/>
  <c r="Q29" i="27"/>
  <c r="Q30" i="27"/>
  <c r="Q35" i="27" s="1"/>
  <c r="P10" i="27"/>
  <c r="P46" i="27" s="1"/>
  <c r="P45" i="27" s="1"/>
  <c r="P23" i="27"/>
  <c r="P49" i="27" s="1"/>
  <c r="P25" i="27"/>
  <c r="P25" i="28"/>
  <c r="P26" i="27"/>
  <c r="P36" i="27" s="1"/>
  <c r="P27" i="27"/>
  <c r="P28" i="27"/>
  <c r="P43" i="27" s="1"/>
  <c r="P29" i="27"/>
  <c r="P30" i="27"/>
  <c r="P35" i="27" s="1"/>
  <c r="O10" i="27"/>
  <c r="O46" i="27" s="1"/>
  <c r="O23" i="27"/>
  <c r="O49" i="27" s="1"/>
  <c r="O25" i="27"/>
  <c r="O25" i="28"/>
  <c r="O26" i="27"/>
  <c r="O36" i="27" s="1"/>
  <c r="O27" i="27"/>
  <c r="O28" i="27"/>
  <c r="O43" i="27" s="1"/>
  <c r="O29" i="27"/>
  <c r="O30" i="27"/>
  <c r="O35" i="27" s="1"/>
  <c r="N10" i="27"/>
  <c r="N46" i="27" s="1"/>
  <c r="N45" i="27" s="1"/>
  <c r="N23" i="27"/>
  <c r="N49" i="27" s="1"/>
  <c r="N25" i="27"/>
  <c r="N25" i="28"/>
  <c r="N26" i="27"/>
  <c r="N36" i="27" s="1"/>
  <c r="N27" i="27"/>
  <c r="N28" i="27"/>
  <c r="N43" i="27" s="1"/>
  <c r="N29" i="27"/>
  <c r="N30" i="27"/>
  <c r="N35" i="27" s="1"/>
  <c r="M10" i="27"/>
  <c r="M46" i="27" s="1"/>
  <c r="M45" i="27" s="1"/>
  <c r="M23" i="27"/>
  <c r="M49" i="27" s="1"/>
  <c r="M25" i="27"/>
  <c r="M25" i="28"/>
  <c r="M26" i="27"/>
  <c r="M36" i="27" s="1"/>
  <c r="M27" i="27"/>
  <c r="M28" i="27"/>
  <c r="M43" i="27" s="1"/>
  <c r="M29" i="27"/>
  <c r="M30" i="27"/>
  <c r="M35" i="27" s="1"/>
  <c r="L10" i="27"/>
  <c r="L46" i="27" s="1"/>
  <c r="L45" i="27" s="1"/>
  <c r="L23" i="27"/>
  <c r="L49" i="27" s="1"/>
  <c r="L25" i="27"/>
  <c r="L25" i="28"/>
  <c r="L26" i="27"/>
  <c r="L36" i="27" s="1"/>
  <c r="L27" i="27"/>
  <c r="L28" i="27"/>
  <c r="L43" i="27" s="1"/>
  <c r="L29" i="27"/>
  <c r="L30" i="27"/>
  <c r="L35" i="27" s="1"/>
  <c r="K10" i="27"/>
  <c r="K46" i="27" s="1"/>
  <c r="K23" i="27"/>
  <c r="K49" i="27" s="1"/>
  <c r="K25" i="27"/>
  <c r="K25" i="28"/>
  <c r="K26" i="27"/>
  <c r="K36" i="27" s="1"/>
  <c r="K27" i="27"/>
  <c r="K28" i="27"/>
  <c r="K43" i="27" s="1"/>
  <c r="K29" i="27"/>
  <c r="K30" i="27"/>
  <c r="K35" i="27" s="1"/>
  <c r="AA10" i="27"/>
  <c r="AA46" i="27" s="1"/>
  <c r="AA45" i="27" s="1"/>
  <c r="AA23" i="27"/>
  <c r="AA49" i="27" s="1"/>
  <c r="AA25" i="27"/>
  <c r="AA25" i="28"/>
  <c r="AA26" i="27"/>
  <c r="AA36" i="27" s="1"/>
  <c r="AA27" i="27"/>
  <c r="AA28" i="27"/>
  <c r="AA43" i="27" s="1"/>
  <c r="AA29" i="27"/>
  <c r="AA30" i="27"/>
  <c r="AA35" i="27" s="1"/>
  <c r="J10" i="27"/>
  <c r="J46" i="27" s="1"/>
  <c r="J45" i="27" s="1"/>
  <c r="J23" i="27"/>
  <c r="J49" i="27" s="1"/>
  <c r="J25" i="27"/>
  <c r="J25" i="28"/>
  <c r="J26" i="27"/>
  <c r="J36" i="27" s="1"/>
  <c r="J27" i="27"/>
  <c r="J28" i="27"/>
  <c r="J43" i="27" s="1"/>
  <c r="J29" i="27"/>
  <c r="J30" i="27"/>
  <c r="J35" i="27" s="1"/>
  <c r="I10" i="27"/>
  <c r="I46" i="27" s="1"/>
  <c r="I45" i="27" s="1"/>
  <c r="I23" i="27"/>
  <c r="I49" i="27" s="1"/>
  <c r="I25" i="27"/>
  <c r="I25" i="28"/>
  <c r="I26" i="27"/>
  <c r="I36" i="27" s="1"/>
  <c r="I27" i="27"/>
  <c r="I28" i="27"/>
  <c r="I43" i="27" s="1"/>
  <c r="I29" i="27"/>
  <c r="I30" i="27"/>
  <c r="I35" i="27" s="1"/>
  <c r="H10" i="27"/>
  <c r="H46" i="27" s="1"/>
  <c r="H23" i="27"/>
  <c r="H49" i="27" s="1"/>
  <c r="H25" i="27"/>
  <c r="H25" i="28"/>
  <c r="H26" i="27"/>
  <c r="H36" i="27" s="1"/>
  <c r="H27" i="27"/>
  <c r="H28" i="27"/>
  <c r="H43" i="27" s="1"/>
  <c r="H29" i="27"/>
  <c r="H30" i="27"/>
  <c r="H35" i="27" s="1"/>
  <c r="G10" i="27"/>
  <c r="G46" i="27" s="1"/>
  <c r="G45" i="27" s="1"/>
  <c r="G23" i="27"/>
  <c r="G49" i="27" s="1"/>
  <c r="G25" i="27"/>
  <c r="G25" i="28"/>
  <c r="G26" i="27"/>
  <c r="G36" i="27" s="1"/>
  <c r="G27" i="27"/>
  <c r="G28" i="27"/>
  <c r="G43" i="27" s="1"/>
  <c r="G29" i="27"/>
  <c r="G30" i="27"/>
  <c r="G35" i="27" s="1"/>
  <c r="F10" i="27"/>
  <c r="F46" i="27" s="1"/>
  <c r="F45" i="27" s="1"/>
  <c r="F23" i="27"/>
  <c r="F49" i="27" s="1"/>
  <c r="F25" i="27"/>
  <c r="F25" i="28"/>
  <c r="F26" i="27"/>
  <c r="F36" i="27" s="1"/>
  <c r="F27" i="27"/>
  <c r="F28" i="27"/>
  <c r="F43" i="27" s="1"/>
  <c r="F29" i="27"/>
  <c r="F30" i="27"/>
  <c r="F35" i="27" s="1"/>
  <c r="E10" i="27"/>
  <c r="E46" i="27" s="1"/>
  <c r="E45" i="27" s="1"/>
  <c r="E23" i="27"/>
  <c r="E49" i="27" s="1"/>
  <c r="E25" i="27"/>
  <c r="E25" i="28"/>
  <c r="E26" i="27"/>
  <c r="E36" i="27" s="1"/>
  <c r="E27" i="27"/>
  <c r="E28" i="27"/>
  <c r="E43" i="27" s="1"/>
  <c r="E29" i="27"/>
  <c r="E30" i="27"/>
  <c r="E35" i="27" s="1"/>
  <c r="AR2" i="27"/>
  <c r="AR38" i="27" s="1"/>
  <c r="AR4" i="27"/>
  <c r="AR40" i="27" s="1"/>
  <c r="AR5" i="27"/>
  <c r="AR6" i="27"/>
  <c r="AR47" i="27" s="1"/>
  <c r="AR7" i="27"/>
  <c r="AR8" i="27"/>
  <c r="AR41" i="27" s="1"/>
  <c r="AR9" i="27"/>
  <c r="AR10" i="27"/>
  <c r="AR46" i="27" s="1"/>
  <c r="AR45" i="27" s="1"/>
  <c r="AR11" i="27"/>
  <c r="AR39" i="27" s="1"/>
  <c r="AR12" i="27"/>
  <c r="AR13" i="27"/>
  <c r="AR33" i="27" s="1"/>
  <c r="AR14" i="27"/>
  <c r="AR34" i="27" s="1"/>
  <c r="AR15" i="27"/>
  <c r="AR44" i="27" s="1"/>
  <c r="AR16" i="27"/>
  <c r="AR17" i="27"/>
  <c r="AR18" i="27"/>
  <c r="AR19" i="27"/>
  <c r="AR42" i="27" s="1"/>
  <c r="AR20" i="27"/>
  <c r="AR21" i="27"/>
  <c r="AR22" i="27"/>
  <c r="AR37" i="27" s="1"/>
  <c r="AR23" i="27"/>
  <c r="AR49" i="27" s="1"/>
  <c r="AR24" i="27"/>
  <c r="AR25" i="27"/>
  <c r="AR26" i="27"/>
  <c r="AR36" i="27" s="1"/>
  <c r="AR27" i="27"/>
  <c r="AR28" i="27"/>
  <c r="AR43" i="27" s="1"/>
  <c r="AR29" i="27"/>
  <c r="AR30" i="27"/>
  <c r="AR35" i="27" s="1"/>
  <c r="C2" i="26"/>
  <c r="C38" i="26" s="1"/>
  <c r="C4" i="26"/>
  <c r="C40" i="26" s="1"/>
  <c r="C5" i="26"/>
  <c r="C6" i="26"/>
  <c r="C47" i="26" s="1"/>
  <c r="C7" i="26"/>
  <c r="C8" i="26"/>
  <c r="C41" i="26" s="1"/>
  <c r="C9" i="26"/>
  <c r="C10" i="26"/>
  <c r="C46" i="26" s="1"/>
  <c r="D10" i="27"/>
  <c r="D46" i="27" s="1"/>
  <c r="D45" i="27" s="1"/>
  <c r="C11" i="26"/>
  <c r="C39" i="26" s="1"/>
  <c r="C12" i="26"/>
  <c r="C13" i="26"/>
  <c r="C33" i="26" s="1"/>
  <c r="C14" i="26"/>
  <c r="C34" i="26" s="1"/>
  <c r="C15" i="26"/>
  <c r="C44" i="26" s="1"/>
  <c r="C16" i="26"/>
  <c r="C17" i="26"/>
  <c r="C18" i="26"/>
  <c r="C19" i="26"/>
  <c r="C42" i="26" s="1"/>
  <c r="C20" i="26"/>
  <c r="C21" i="26"/>
  <c r="C22" i="26"/>
  <c r="C37" i="26" s="1"/>
  <c r="C23" i="26"/>
  <c r="C49" i="26" s="1"/>
  <c r="D23" i="27"/>
  <c r="D49" i="27" s="1"/>
  <c r="C24" i="26"/>
  <c r="C25" i="26"/>
  <c r="D25" i="27"/>
  <c r="D25" i="28"/>
  <c r="C26" i="26"/>
  <c r="C36" i="26" s="1"/>
  <c r="D26" i="27"/>
  <c r="D36" i="27" s="1"/>
  <c r="C27" i="26"/>
  <c r="D27" i="27"/>
  <c r="C28" i="26"/>
  <c r="C43" i="26" s="1"/>
  <c r="D28" i="27"/>
  <c r="D43" i="27" s="1"/>
  <c r="C29" i="26"/>
  <c r="D29" i="27"/>
  <c r="C30" i="26"/>
  <c r="C35" i="26" s="1"/>
  <c r="D30" i="27"/>
  <c r="D35" i="27" s="1"/>
  <c r="D31" i="27" s="1"/>
  <c r="AX2" i="27"/>
  <c r="AX38" i="27" s="1"/>
  <c r="AX4" i="27"/>
  <c r="AX40" i="27" s="1"/>
  <c r="AX5" i="27"/>
  <c r="AX6" i="27"/>
  <c r="AX47" i="27" s="1"/>
  <c r="AX7" i="27"/>
  <c r="AX8" i="27"/>
  <c r="AX41" i="27" s="1"/>
  <c r="AX9" i="27"/>
  <c r="AX10" i="27"/>
  <c r="AX46" i="27" s="1"/>
  <c r="AX45" i="27" s="1"/>
  <c r="AX11" i="27"/>
  <c r="AX39" i="27" s="1"/>
  <c r="AX12" i="27"/>
  <c r="AX13" i="27"/>
  <c r="AX33" i="27" s="1"/>
  <c r="AX31" i="27" s="1"/>
  <c r="AX14" i="27"/>
  <c r="AX34" i="27" s="1"/>
  <c r="AX15" i="27"/>
  <c r="AX44" i="27" s="1"/>
  <c r="AX16" i="27"/>
  <c r="AX17" i="27"/>
  <c r="AX18" i="27"/>
  <c r="AX19" i="27"/>
  <c r="AX42" i="27" s="1"/>
  <c r="AX20" i="27"/>
  <c r="AX21" i="27"/>
  <c r="AX22" i="27"/>
  <c r="AX37" i="27" s="1"/>
  <c r="AX23" i="27"/>
  <c r="AX49" i="27" s="1"/>
  <c r="AX24" i="27"/>
  <c r="AX25" i="27"/>
  <c r="AX26" i="27"/>
  <c r="AX36" i="27" s="1"/>
  <c r="AX27" i="27"/>
  <c r="AX28" i="27"/>
  <c r="AX43" i="27" s="1"/>
  <c r="AX29" i="27"/>
  <c r="AX30" i="27"/>
  <c r="AX35" i="27" s="1"/>
  <c r="AW2" i="27"/>
  <c r="AW38" i="27" s="1"/>
  <c r="AW4" i="27"/>
  <c r="AW40" i="27" s="1"/>
  <c r="AW5" i="27"/>
  <c r="AW6" i="27"/>
  <c r="AW47" i="27" s="1"/>
  <c r="AW7" i="27"/>
  <c r="AW8" i="27"/>
  <c r="AW41" i="27" s="1"/>
  <c r="AW9" i="27"/>
  <c r="AW10" i="27"/>
  <c r="AW46" i="27" s="1"/>
  <c r="AW45" i="27" s="1"/>
  <c r="AW11" i="27"/>
  <c r="AW39" i="27" s="1"/>
  <c r="AW12" i="27"/>
  <c r="AW13" i="27"/>
  <c r="AW33" i="27" s="1"/>
  <c r="AW31" i="27" s="1"/>
  <c r="AW14" i="27"/>
  <c r="AW34" i="27" s="1"/>
  <c r="AW15" i="27"/>
  <c r="AW44" i="27" s="1"/>
  <c r="AW16" i="27"/>
  <c r="AW17" i="27"/>
  <c r="AW18" i="27"/>
  <c r="AW19" i="27"/>
  <c r="AW42" i="27" s="1"/>
  <c r="AW20" i="27"/>
  <c r="AW21" i="27"/>
  <c r="AW22" i="27"/>
  <c r="AW37" i="27" s="1"/>
  <c r="AW23" i="27"/>
  <c r="AW49" i="27" s="1"/>
  <c r="AW24" i="27"/>
  <c r="AW25" i="27"/>
  <c r="AW26" i="27"/>
  <c r="AW36" i="27" s="1"/>
  <c r="AW27" i="27"/>
  <c r="AW28" i="27"/>
  <c r="AW43" i="27" s="1"/>
  <c r="AW29" i="27"/>
  <c r="AW30" i="27"/>
  <c r="AW35" i="27" s="1"/>
  <c r="AV2" i="27"/>
  <c r="AV38" i="27" s="1"/>
  <c r="AV4" i="27"/>
  <c r="AV40" i="27" s="1"/>
  <c r="AV5" i="27"/>
  <c r="AV6" i="27"/>
  <c r="AV47" i="27" s="1"/>
  <c r="AV7" i="27"/>
  <c r="AV8" i="27"/>
  <c r="AV41" i="27" s="1"/>
  <c r="AV9" i="27"/>
  <c r="AV10" i="27"/>
  <c r="AV46" i="27" s="1"/>
  <c r="AV45" i="27" s="1"/>
  <c r="AV11" i="27"/>
  <c r="AV39" i="27" s="1"/>
  <c r="AV12" i="27"/>
  <c r="AV13" i="27"/>
  <c r="AV33" i="27" s="1"/>
  <c r="AV31" i="27" s="1"/>
  <c r="AV14" i="27"/>
  <c r="AV34" i="27" s="1"/>
  <c r="AV15" i="27"/>
  <c r="AV44" i="27" s="1"/>
  <c r="AV16" i="27"/>
  <c r="AV17" i="27"/>
  <c r="AV18" i="27"/>
  <c r="AV19" i="27"/>
  <c r="AV42" i="27" s="1"/>
  <c r="AV20" i="27"/>
  <c r="AV21" i="27"/>
  <c r="AV22" i="27"/>
  <c r="AV37" i="27" s="1"/>
  <c r="AV23" i="27"/>
  <c r="AV49" i="27" s="1"/>
  <c r="AV24" i="27"/>
  <c r="AV25" i="27"/>
  <c r="AV26" i="27"/>
  <c r="AV36" i="27" s="1"/>
  <c r="AV27" i="27"/>
  <c r="AV28" i="27"/>
  <c r="AV43" i="27" s="1"/>
  <c r="AV29" i="27"/>
  <c r="AV30" i="27"/>
  <c r="AV35" i="27" s="1"/>
  <c r="AY2" i="27"/>
  <c r="AY38" i="27" s="1"/>
  <c r="AY4" i="27"/>
  <c r="AY40" i="27" s="1"/>
  <c r="AY5" i="27"/>
  <c r="AY6" i="27"/>
  <c r="AY47" i="27" s="1"/>
  <c r="AY7" i="27"/>
  <c r="AY8" i="27"/>
  <c r="AY41" i="27" s="1"/>
  <c r="AY9" i="27"/>
  <c r="AY10" i="27"/>
  <c r="AY46" i="27" s="1"/>
  <c r="AY45" i="27" s="1"/>
  <c r="AY11" i="27"/>
  <c r="AY39" i="27" s="1"/>
  <c r="AY12" i="27"/>
  <c r="AY13" i="27"/>
  <c r="AY33" i="27" s="1"/>
  <c r="AY31" i="27" s="1"/>
  <c r="AY14" i="27"/>
  <c r="AY34" i="27" s="1"/>
  <c r="AY15" i="27"/>
  <c r="AY44" i="27" s="1"/>
  <c r="AY16" i="27"/>
  <c r="AY17" i="27"/>
  <c r="AY18" i="27"/>
  <c r="AY19" i="27"/>
  <c r="AY42" i="27" s="1"/>
  <c r="AY20" i="27"/>
  <c r="AY21" i="27"/>
  <c r="AY22" i="27"/>
  <c r="AY37" i="27" s="1"/>
  <c r="AY23" i="27"/>
  <c r="AY49" i="27" s="1"/>
  <c r="AY24" i="27"/>
  <c r="AY25" i="27"/>
  <c r="AY26" i="27"/>
  <c r="AY36" i="27" s="1"/>
  <c r="AY27" i="27"/>
  <c r="AY28" i="27"/>
  <c r="AY43" i="27" s="1"/>
  <c r="AY29" i="27"/>
  <c r="AY30" i="27"/>
  <c r="AY35" i="27" s="1"/>
  <c r="AU2" i="27"/>
  <c r="AU38" i="27" s="1"/>
  <c r="AU4" i="27"/>
  <c r="AU40" i="27" s="1"/>
  <c r="AU5" i="27"/>
  <c r="AU6" i="27"/>
  <c r="AU47" i="27" s="1"/>
  <c r="AU7" i="27"/>
  <c r="AU8" i="27"/>
  <c r="AU41" i="27" s="1"/>
  <c r="AU9" i="27"/>
  <c r="AU10" i="27"/>
  <c r="AU46" i="27" s="1"/>
  <c r="AU45" i="27" s="1"/>
  <c r="AU11" i="27"/>
  <c r="AU39" i="27" s="1"/>
  <c r="AU12" i="27"/>
  <c r="AU13" i="27"/>
  <c r="AU33" i="27" s="1"/>
  <c r="AU31" i="27" s="1"/>
  <c r="AU14" i="27"/>
  <c r="AU34" i="27" s="1"/>
  <c r="AU15" i="27"/>
  <c r="AU44" i="27" s="1"/>
  <c r="AU16" i="27"/>
  <c r="AU17" i="27"/>
  <c r="AU18" i="27"/>
  <c r="AU19" i="27"/>
  <c r="AU42" i="27" s="1"/>
  <c r="AU20" i="27"/>
  <c r="AU21" i="27"/>
  <c r="AU22" i="27"/>
  <c r="AU37" i="27" s="1"/>
  <c r="AU23" i="27"/>
  <c r="AU49" i="27" s="1"/>
  <c r="AU24" i="27"/>
  <c r="AU25" i="27"/>
  <c r="AU26" i="27"/>
  <c r="AU36" i="27" s="1"/>
  <c r="AU27" i="27"/>
  <c r="AU28" i="27"/>
  <c r="AU43" i="27" s="1"/>
  <c r="AU29" i="27"/>
  <c r="AU30" i="27"/>
  <c r="AU35" i="27" s="1"/>
  <c r="AT2" i="27"/>
  <c r="AT38" i="27" s="1"/>
  <c r="AT4" i="27"/>
  <c r="AT40" i="27" s="1"/>
  <c r="AT5" i="27"/>
  <c r="AT6" i="27"/>
  <c r="AT47" i="27" s="1"/>
  <c r="AT7" i="27"/>
  <c r="AT8" i="27"/>
  <c r="AT41" i="27" s="1"/>
  <c r="AT9" i="27"/>
  <c r="AT10" i="27"/>
  <c r="AT46" i="27" s="1"/>
  <c r="AT45" i="27" s="1"/>
  <c r="AT11" i="27"/>
  <c r="AT39" i="27" s="1"/>
  <c r="AT12" i="27"/>
  <c r="AT13" i="27"/>
  <c r="AT33" i="27" s="1"/>
  <c r="AT31" i="27" s="1"/>
  <c r="AT14" i="27"/>
  <c r="AT34" i="27" s="1"/>
  <c r="AT15" i="27"/>
  <c r="AT44" i="27" s="1"/>
  <c r="AT16" i="27"/>
  <c r="AT17" i="27"/>
  <c r="AT18" i="27"/>
  <c r="AT19" i="27"/>
  <c r="AT42" i="27" s="1"/>
  <c r="AT20" i="27"/>
  <c r="AT21" i="27"/>
  <c r="AT22" i="27"/>
  <c r="AT37" i="27" s="1"/>
  <c r="AT23" i="27"/>
  <c r="AT49" i="27" s="1"/>
  <c r="AT24" i="27"/>
  <c r="AT25" i="27"/>
  <c r="AT26" i="27"/>
  <c r="AT36" i="27" s="1"/>
  <c r="AT27" i="27"/>
  <c r="AT28" i="27"/>
  <c r="AT43" i="27" s="1"/>
  <c r="AT29" i="27"/>
  <c r="AT30" i="27"/>
  <c r="AT35" i="27" s="1"/>
  <c r="AS2" i="27"/>
  <c r="AS38" i="27" s="1"/>
  <c r="AS4" i="27"/>
  <c r="AS40" i="27" s="1"/>
  <c r="AS5" i="27"/>
  <c r="AS6" i="27"/>
  <c r="AS47" i="27" s="1"/>
  <c r="AS7" i="27"/>
  <c r="AS8" i="27"/>
  <c r="AS41" i="27" s="1"/>
  <c r="AS9" i="27"/>
  <c r="AS10" i="27"/>
  <c r="AS46" i="27" s="1"/>
  <c r="AS45" i="27" s="1"/>
  <c r="AS11" i="27"/>
  <c r="AS39" i="27" s="1"/>
  <c r="AS12" i="27"/>
  <c r="AS13" i="27"/>
  <c r="AS33" i="27" s="1"/>
  <c r="AS31" i="27" s="1"/>
  <c r="AS14" i="27"/>
  <c r="AS34" i="27" s="1"/>
  <c r="AS15" i="27"/>
  <c r="AS44" i="27" s="1"/>
  <c r="AS16" i="27"/>
  <c r="AS17" i="27"/>
  <c r="AS18" i="27"/>
  <c r="AS19" i="27"/>
  <c r="AS42" i="27" s="1"/>
  <c r="AS20" i="27"/>
  <c r="AS21" i="27"/>
  <c r="AS22" i="27"/>
  <c r="AS37" i="27" s="1"/>
  <c r="AS23" i="27"/>
  <c r="AS49" i="27" s="1"/>
  <c r="AS24" i="27"/>
  <c r="AS25" i="27"/>
  <c r="AS26" i="27"/>
  <c r="AS36" i="27" s="1"/>
  <c r="AS27" i="27"/>
  <c r="AS28" i="27"/>
  <c r="AS43" i="27" s="1"/>
  <c r="AS29" i="27"/>
  <c r="AS30" i="27"/>
  <c r="AS35" i="27" s="1"/>
  <c r="AQ2" i="27"/>
  <c r="AQ38" i="27" s="1"/>
  <c r="AQ4" i="27"/>
  <c r="AQ40" i="27" s="1"/>
  <c r="AQ5" i="27"/>
  <c r="AQ6" i="27"/>
  <c r="AQ47" i="27" s="1"/>
  <c r="AQ7" i="27"/>
  <c r="AQ8" i="27"/>
  <c r="AQ41" i="27" s="1"/>
  <c r="AQ9" i="27"/>
  <c r="AQ10" i="27"/>
  <c r="AQ46" i="27" s="1"/>
  <c r="AQ45" i="27" s="1"/>
  <c r="AQ11" i="27"/>
  <c r="AQ39" i="27" s="1"/>
  <c r="AQ12" i="27"/>
  <c r="AQ13" i="27"/>
  <c r="AQ33" i="27" s="1"/>
  <c r="AQ31" i="27" s="1"/>
  <c r="AQ14" i="27"/>
  <c r="AQ34" i="27" s="1"/>
  <c r="AQ15" i="27"/>
  <c r="AQ44" i="27" s="1"/>
  <c r="AQ16" i="27"/>
  <c r="AQ17" i="27"/>
  <c r="AQ18" i="27"/>
  <c r="AQ19" i="27"/>
  <c r="AQ42" i="27" s="1"/>
  <c r="AQ20" i="27"/>
  <c r="AQ21" i="27"/>
  <c r="AQ22" i="27"/>
  <c r="AQ37" i="27" s="1"/>
  <c r="AQ23" i="27"/>
  <c r="AQ49" i="27" s="1"/>
  <c r="AQ24" i="27"/>
  <c r="AQ25" i="27"/>
  <c r="AQ26" i="27"/>
  <c r="AQ36" i="27" s="1"/>
  <c r="AQ27" i="27"/>
  <c r="AQ28" i="27"/>
  <c r="AQ43" i="27" s="1"/>
  <c r="AQ29" i="27"/>
  <c r="AQ30" i="27"/>
  <c r="AQ35" i="27" s="1"/>
  <c r="AP2" i="27"/>
  <c r="AP38" i="27" s="1"/>
  <c r="AP4" i="27"/>
  <c r="AP40" i="27" s="1"/>
  <c r="AP5" i="27"/>
  <c r="AP6" i="27"/>
  <c r="AP47" i="27" s="1"/>
  <c r="AP7" i="27"/>
  <c r="AP8" i="27"/>
  <c r="AP41" i="27" s="1"/>
  <c r="AP9" i="27"/>
  <c r="AP10" i="27"/>
  <c r="AP46" i="27" s="1"/>
  <c r="AP45" i="27" s="1"/>
  <c r="AP11" i="27"/>
  <c r="AP39" i="27" s="1"/>
  <c r="AP12" i="27"/>
  <c r="AP13" i="27"/>
  <c r="AP33" i="27" s="1"/>
  <c r="AP31" i="27" s="1"/>
  <c r="AP14" i="27"/>
  <c r="AP34" i="27" s="1"/>
  <c r="AP15" i="27"/>
  <c r="AP44" i="27" s="1"/>
  <c r="AP16" i="27"/>
  <c r="AP17" i="27"/>
  <c r="AP18" i="27"/>
  <c r="AP19" i="27"/>
  <c r="AP42" i="27" s="1"/>
  <c r="AP20" i="27"/>
  <c r="AP21" i="27"/>
  <c r="AP22" i="27"/>
  <c r="AP37" i="27" s="1"/>
  <c r="AP23" i="27"/>
  <c r="AP49" i="27" s="1"/>
  <c r="AP24" i="27"/>
  <c r="AP25" i="27"/>
  <c r="AP26" i="27"/>
  <c r="AP36" i="27" s="1"/>
  <c r="AP27" i="27"/>
  <c r="AP28" i="27"/>
  <c r="AP43" i="27" s="1"/>
  <c r="AP29" i="27"/>
  <c r="AP30" i="27"/>
  <c r="AP35" i="27" s="1"/>
  <c r="AO2" i="27"/>
  <c r="AO38" i="27" s="1"/>
  <c r="AO4" i="27"/>
  <c r="AO40" i="27" s="1"/>
  <c r="AO5" i="27"/>
  <c r="AO6" i="27"/>
  <c r="AO47" i="27" s="1"/>
  <c r="AO7" i="27"/>
  <c r="AO8" i="27"/>
  <c r="AO41" i="27" s="1"/>
  <c r="AO9" i="27"/>
  <c r="AO10" i="27"/>
  <c r="AO46" i="27" s="1"/>
  <c r="AO45" i="27" s="1"/>
  <c r="AO11" i="27"/>
  <c r="AO39" i="27" s="1"/>
  <c r="AO12" i="27"/>
  <c r="AO13" i="27"/>
  <c r="AO33" i="27" s="1"/>
  <c r="AO31" i="27" s="1"/>
  <c r="AO14" i="27"/>
  <c r="AO34" i="27" s="1"/>
  <c r="AO15" i="27"/>
  <c r="AO44" i="27" s="1"/>
  <c r="AO16" i="27"/>
  <c r="AO17" i="27"/>
  <c r="AO18" i="27"/>
  <c r="AO19" i="27"/>
  <c r="AO42" i="27" s="1"/>
  <c r="AO20" i="27"/>
  <c r="AO21" i="27"/>
  <c r="AO22" i="27"/>
  <c r="AO37" i="27" s="1"/>
  <c r="AO23" i="27"/>
  <c r="AO49" i="27" s="1"/>
  <c r="AO24" i="27"/>
  <c r="AO25" i="27"/>
  <c r="AO26" i="27"/>
  <c r="AO36" i="27" s="1"/>
  <c r="AO27" i="27"/>
  <c r="AO28" i="27"/>
  <c r="AO43" i="27" s="1"/>
  <c r="AO29" i="27"/>
  <c r="AO30" i="27"/>
  <c r="AO35" i="27" s="1"/>
  <c r="AN2" i="27"/>
  <c r="AN38" i="27" s="1"/>
  <c r="AN4" i="27"/>
  <c r="AN40" i="27" s="1"/>
  <c r="AN5" i="27"/>
  <c r="AN6" i="27"/>
  <c r="AN47" i="27" s="1"/>
  <c r="AN7" i="27"/>
  <c r="AN8" i="27"/>
  <c r="AN41" i="27" s="1"/>
  <c r="AN9" i="27"/>
  <c r="AN10" i="27"/>
  <c r="AN46" i="27" s="1"/>
  <c r="AN45" i="27" s="1"/>
  <c r="AN11" i="27"/>
  <c r="AN39" i="27" s="1"/>
  <c r="AN12" i="27"/>
  <c r="AN13" i="27"/>
  <c r="AN33" i="27" s="1"/>
  <c r="AN31" i="27" s="1"/>
  <c r="AN14" i="27"/>
  <c r="AN34" i="27" s="1"/>
  <c r="AN15" i="27"/>
  <c r="AN44" i="27" s="1"/>
  <c r="AN16" i="27"/>
  <c r="AN17" i="27"/>
  <c r="AN18" i="27"/>
  <c r="AN19" i="27"/>
  <c r="AN42" i="27" s="1"/>
  <c r="AN20" i="27"/>
  <c r="AN21" i="27"/>
  <c r="AN22" i="27"/>
  <c r="AN37" i="27" s="1"/>
  <c r="AN23" i="27"/>
  <c r="AN49" i="27" s="1"/>
  <c r="AN24" i="27"/>
  <c r="AN25" i="27"/>
  <c r="AN26" i="27"/>
  <c r="AN36" i="27" s="1"/>
  <c r="AN27" i="27"/>
  <c r="AN28" i="27"/>
  <c r="AN43" i="27" s="1"/>
  <c r="AN29" i="27"/>
  <c r="AN30" i="27"/>
  <c r="AN35" i="27" s="1"/>
  <c r="AM2" i="27"/>
  <c r="AM38" i="27" s="1"/>
  <c r="AM4" i="27"/>
  <c r="AM40" i="27" s="1"/>
  <c r="AM5" i="27"/>
  <c r="AM6" i="27"/>
  <c r="AM47" i="27" s="1"/>
  <c r="AM7" i="27"/>
  <c r="AM8" i="27"/>
  <c r="AM41" i="27" s="1"/>
  <c r="AM9" i="27"/>
  <c r="AM10" i="27"/>
  <c r="AM46" i="27" s="1"/>
  <c r="AM45" i="27" s="1"/>
  <c r="AM11" i="27"/>
  <c r="AM39" i="27" s="1"/>
  <c r="AM12" i="27"/>
  <c r="AM13" i="27"/>
  <c r="AM33" i="27" s="1"/>
  <c r="AM31" i="27" s="1"/>
  <c r="AM14" i="27"/>
  <c r="AM34" i="27" s="1"/>
  <c r="AM15" i="27"/>
  <c r="AM44" i="27" s="1"/>
  <c r="AM16" i="27"/>
  <c r="AM17" i="27"/>
  <c r="AM18" i="27"/>
  <c r="AM19" i="27"/>
  <c r="AM42" i="27" s="1"/>
  <c r="AM20" i="27"/>
  <c r="AM21" i="27"/>
  <c r="AM22" i="27"/>
  <c r="AM37" i="27" s="1"/>
  <c r="AM23" i="27"/>
  <c r="AM49" i="27" s="1"/>
  <c r="AM24" i="27"/>
  <c r="AM25" i="27"/>
  <c r="AM26" i="27"/>
  <c r="AM36" i="27" s="1"/>
  <c r="AM27" i="27"/>
  <c r="AM28" i="27"/>
  <c r="AM43" i="27" s="1"/>
  <c r="AM29" i="27"/>
  <c r="AM30" i="27"/>
  <c r="AM35" i="27" s="1"/>
  <c r="AL2" i="27"/>
  <c r="AL38" i="27" s="1"/>
  <c r="AL4" i="27"/>
  <c r="AL40" i="27" s="1"/>
  <c r="AL5" i="27"/>
  <c r="AL6" i="27"/>
  <c r="AL47" i="27" s="1"/>
  <c r="AL7" i="27"/>
  <c r="AL8" i="27"/>
  <c r="AL41" i="27" s="1"/>
  <c r="AL9" i="27"/>
  <c r="AL10" i="27"/>
  <c r="AL46" i="27" s="1"/>
  <c r="AL45" i="27" s="1"/>
  <c r="AL11" i="27"/>
  <c r="AL39" i="27" s="1"/>
  <c r="AL12" i="27"/>
  <c r="AL13" i="27"/>
  <c r="AL33" i="27" s="1"/>
  <c r="AL31" i="27" s="1"/>
  <c r="AL14" i="27"/>
  <c r="AL34" i="27" s="1"/>
  <c r="AL15" i="27"/>
  <c r="AL44" i="27" s="1"/>
  <c r="AL16" i="27"/>
  <c r="AL17" i="27"/>
  <c r="AL18" i="27"/>
  <c r="AL19" i="27"/>
  <c r="AL42" i="27" s="1"/>
  <c r="AL20" i="27"/>
  <c r="AL21" i="27"/>
  <c r="AL22" i="27"/>
  <c r="AL37" i="27" s="1"/>
  <c r="AL23" i="27"/>
  <c r="AL49" i="27" s="1"/>
  <c r="AL24" i="27"/>
  <c r="AL25" i="27"/>
  <c r="AL26" i="27"/>
  <c r="AL36" i="27" s="1"/>
  <c r="AL27" i="27"/>
  <c r="AL28" i="27"/>
  <c r="AL43" i="27" s="1"/>
  <c r="AL29" i="27"/>
  <c r="AL30" i="27"/>
  <c r="AL35" i="27" s="1"/>
  <c r="AK2" i="27"/>
  <c r="AK38" i="27" s="1"/>
  <c r="AK4" i="27"/>
  <c r="AK40" i="27" s="1"/>
  <c r="AK5" i="27"/>
  <c r="AK6" i="27"/>
  <c r="AK47" i="27" s="1"/>
  <c r="AK7" i="27"/>
  <c r="AK8" i="27"/>
  <c r="AK41" i="27" s="1"/>
  <c r="AK9" i="27"/>
  <c r="AK10" i="27"/>
  <c r="AK46" i="27" s="1"/>
  <c r="AK45" i="27" s="1"/>
  <c r="AK11" i="27"/>
  <c r="AK39" i="27" s="1"/>
  <c r="AK12" i="27"/>
  <c r="AK13" i="27"/>
  <c r="AK33" i="27" s="1"/>
  <c r="AK31" i="27" s="1"/>
  <c r="AK14" i="27"/>
  <c r="AK34" i="27" s="1"/>
  <c r="AK15" i="27"/>
  <c r="AK44" i="27" s="1"/>
  <c r="AK16" i="27"/>
  <c r="AK17" i="27"/>
  <c r="AK18" i="27"/>
  <c r="AK19" i="27"/>
  <c r="AK42" i="27" s="1"/>
  <c r="AK20" i="27"/>
  <c r="AK21" i="27"/>
  <c r="AK22" i="27"/>
  <c r="AK37" i="27" s="1"/>
  <c r="AK23" i="27"/>
  <c r="AK49" i="27" s="1"/>
  <c r="AK24" i="27"/>
  <c r="AK25" i="27"/>
  <c r="AK26" i="27"/>
  <c r="AK36" i="27" s="1"/>
  <c r="AK27" i="27"/>
  <c r="AK28" i="27"/>
  <c r="AK43" i="27" s="1"/>
  <c r="AK29" i="27"/>
  <c r="AK30" i="27"/>
  <c r="AK35" i="27" s="1"/>
  <c r="AJ2" i="27"/>
  <c r="AJ38" i="27" s="1"/>
  <c r="AJ4" i="27"/>
  <c r="AJ40" i="27" s="1"/>
  <c r="AJ5" i="27"/>
  <c r="AJ6" i="27"/>
  <c r="AJ47" i="27" s="1"/>
  <c r="AJ7" i="27"/>
  <c r="AJ8" i="27"/>
  <c r="AJ41" i="27" s="1"/>
  <c r="AJ9" i="27"/>
  <c r="AJ10" i="27"/>
  <c r="AJ46" i="27" s="1"/>
  <c r="AJ45" i="27" s="1"/>
  <c r="AJ11" i="27"/>
  <c r="AJ39" i="27" s="1"/>
  <c r="AJ12" i="27"/>
  <c r="AJ13" i="27"/>
  <c r="AJ33" i="27" s="1"/>
  <c r="AJ31" i="27" s="1"/>
  <c r="AJ14" i="27"/>
  <c r="AJ34" i="27" s="1"/>
  <c r="AJ15" i="27"/>
  <c r="AJ44" i="27" s="1"/>
  <c r="AJ16" i="27"/>
  <c r="AJ17" i="27"/>
  <c r="AJ18" i="27"/>
  <c r="AJ19" i="27"/>
  <c r="AJ42" i="27" s="1"/>
  <c r="AJ20" i="27"/>
  <c r="AJ21" i="27"/>
  <c r="AJ22" i="27"/>
  <c r="AJ37" i="27" s="1"/>
  <c r="AJ23" i="27"/>
  <c r="AJ49" i="27" s="1"/>
  <c r="AJ24" i="27"/>
  <c r="AJ25" i="27"/>
  <c r="AJ26" i="27"/>
  <c r="AJ36" i="27" s="1"/>
  <c r="AJ27" i="27"/>
  <c r="AJ28" i="27"/>
  <c r="AJ43" i="27" s="1"/>
  <c r="AJ29" i="27"/>
  <c r="AJ30" i="27"/>
  <c r="AJ35" i="27" s="1"/>
  <c r="AZ2" i="27"/>
  <c r="AZ38" i="27" s="1"/>
  <c r="AZ4" i="27"/>
  <c r="AZ40" i="27" s="1"/>
  <c r="AZ5" i="27"/>
  <c r="AZ6" i="27"/>
  <c r="AZ47" i="27" s="1"/>
  <c r="AZ7" i="27"/>
  <c r="AZ8" i="27"/>
  <c r="AZ41" i="27" s="1"/>
  <c r="AZ9" i="27"/>
  <c r="AZ10" i="27"/>
  <c r="AZ46" i="27" s="1"/>
  <c r="AZ45" i="27" s="1"/>
  <c r="AZ11" i="27"/>
  <c r="AZ39" i="27" s="1"/>
  <c r="AZ12" i="27"/>
  <c r="AZ13" i="27"/>
  <c r="AZ33" i="27" s="1"/>
  <c r="AZ31" i="27" s="1"/>
  <c r="AZ14" i="27"/>
  <c r="AZ34" i="27" s="1"/>
  <c r="AZ15" i="27"/>
  <c r="AZ44" i="27" s="1"/>
  <c r="AZ16" i="27"/>
  <c r="AZ17" i="27"/>
  <c r="AZ18" i="27"/>
  <c r="AZ19" i="27"/>
  <c r="AZ42" i="27" s="1"/>
  <c r="AZ20" i="27"/>
  <c r="AZ21" i="27"/>
  <c r="AZ22" i="27"/>
  <c r="AZ37" i="27" s="1"/>
  <c r="AZ23" i="27"/>
  <c r="AZ49" i="27" s="1"/>
  <c r="AZ24" i="27"/>
  <c r="AZ25" i="27"/>
  <c r="AZ26" i="27"/>
  <c r="AZ36" i="27" s="1"/>
  <c r="AZ27" i="27"/>
  <c r="AZ28" i="27"/>
  <c r="AZ43" i="27" s="1"/>
  <c r="AZ29" i="27"/>
  <c r="AZ30" i="27"/>
  <c r="AZ35" i="27" s="1"/>
  <c r="AI2" i="27"/>
  <c r="AI38" i="27" s="1"/>
  <c r="AI4" i="27"/>
  <c r="AI40" i="27" s="1"/>
  <c r="AI5" i="27"/>
  <c r="AI6" i="27"/>
  <c r="AI47" i="27" s="1"/>
  <c r="AI7" i="27"/>
  <c r="AI8" i="27"/>
  <c r="AI41" i="27" s="1"/>
  <c r="AI9" i="27"/>
  <c r="AI10" i="27"/>
  <c r="AI46" i="27" s="1"/>
  <c r="AI45" i="27" s="1"/>
  <c r="AI11" i="27"/>
  <c r="AI39" i="27" s="1"/>
  <c r="AI12" i="27"/>
  <c r="AI13" i="27"/>
  <c r="AI33" i="27" s="1"/>
  <c r="AI31" i="27" s="1"/>
  <c r="AI14" i="27"/>
  <c r="AI34" i="27" s="1"/>
  <c r="AI15" i="27"/>
  <c r="AI44" i="27" s="1"/>
  <c r="AI16" i="27"/>
  <c r="AI17" i="27"/>
  <c r="AI18" i="27"/>
  <c r="AI19" i="27"/>
  <c r="AI42" i="27" s="1"/>
  <c r="AI20" i="27"/>
  <c r="AI21" i="27"/>
  <c r="AI22" i="27"/>
  <c r="AI37" i="27" s="1"/>
  <c r="AI23" i="27"/>
  <c r="AI49" i="27" s="1"/>
  <c r="AI24" i="27"/>
  <c r="AI25" i="27"/>
  <c r="AI26" i="27"/>
  <c r="AI36" i="27" s="1"/>
  <c r="AI27" i="27"/>
  <c r="AI28" i="27"/>
  <c r="AI43" i="27" s="1"/>
  <c r="AI29" i="27"/>
  <c r="AI30" i="27"/>
  <c r="AI35" i="27" s="1"/>
  <c r="AH2" i="27"/>
  <c r="AH38" i="27" s="1"/>
  <c r="AH4" i="27"/>
  <c r="AH40" i="27" s="1"/>
  <c r="AH5" i="27"/>
  <c r="AH6" i="27"/>
  <c r="AH47" i="27" s="1"/>
  <c r="AH7" i="27"/>
  <c r="AH8" i="27"/>
  <c r="AH41" i="27" s="1"/>
  <c r="AH9" i="27"/>
  <c r="AH10" i="27"/>
  <c r="AH46" i="27" s="1"/>
  <c r="AH45" i="27" s="1"/>
  <c r="AH11" i="27"/>
  <c r="AH39" i="27" s="1"/>
  <c r="AH12" i="27"/>
  <c r="AH13" i="27"/>
  <c r="AH33" i="27" s="1"/>
  <c r="AH31" i="27" s="1"/>
  <c r="AH14" i="27"/>
  <c r="AH34" i="27" s="1"/>
  <c r="AH15" i="27"/>
  <c r="AH44" i="27" s="1"/>
  <c r="AH16" i="27"/>
  <c r="AH17" i="27"/>
  <c r="AH18" i="27"/>
  <c r="AH19" i="27"/>
  <c r="AH42" i="27" s="1"/>
  <c r="AH20" i="27"/>
  <c r="AH21" i="27"/>
  <c r="AH22" i="27"/>
  <c r="AH37" i="27" s="1"/>
  <c r="AH23" i="27"/>
  <c r="AH49" i="27" s="1"/>
  <c r="AH24" i="27"/>
  <c r="AH25" i="27"/>
  <c r="AH26" i="27"/>
  <c r="AH36" i="27" s="1"/>
  <c r="AH27" i="27"/>
  <c r="AH28" i="27"/>
  <c r="AH43" i="27" s="1"/>
  <c r="AH29" i="27"/>
  <c r="AH30" i="27"/>
  <c r="AH35" i="27" s="1"/>
  <c r="AG2" i="27"/>
  <c r="AG38" i="27" s="1"/>
  <c r="AG4" i="27"/>
  <c r="AG40" i="27" s="1"/>
  <c r="AG5" i="27"/>
  <c r="AG6" i="27"/>
  <c r="AG47" i="27" s="1"/>
  <c r="AG7" i="27"/>
  <c r="AG8" i="27"/>
  <c r="AG41" i="27" s="1"/>
  <c r="AG9" i="27"/>
  <c r="AG10" i="27"/>
  <c r="AG46" i="27" s="1"/>
  <c r="AG45" i="27" s="1"/>
  <c r="AG11" i="27"/>
  <c r="AG39" i="27" s="1"/>
  <c r="AG12" i="27"/>
  <c r="AG13" i="27"/>
  <c r="AG33" i="27" s="1"/>
  <c r="AG31" i="27" s="1"/>
  <c r="AG14" i="27"/>
  <c r="AG34" i="27" s="1"/>
  <c r="AG15" i="27"/>
  <c r="AG44" i="27" s="1"/>
  <c r="AG16" i="27"/>
  <c r="AG17" i="27"/>
  <c r="AG18" i="27"/>
  <c r="AG19" i="27"/>
  <c r="AG42" i="27" s="1"/>
  <c r="AG20" i="27"/>
  <c r="AG21" i="27"/>
  <c r="AG22" i="27"/>
  <c r="AG37" i="27" s="1"/>
  <c r="AG23" i="27"/>
  <c r="AG49" i="27" s="1"/>
  <c r="AG24" i="27"/>
  <c r="AG25" i="27"/>
  <c r="AG26" i="27"/>
  <c r="AG36" i="27" s="1"/>
  <c r="AG27" i="27"/>
  <c r="AG28" i="27"/>
  <c r="AG43" i="27" s="1"/>
  <c r="AG29" i="27"/>
  <c r="AG30" i="27"/>
  <c r="AG35" i="27" s="1"/>
  <c r="AF2" i="27"/>
  <c r="AF38" i="27" s="1"/>
  <c r="AF4" i="27"/>
  <c r="AF40" i="27" s="1"/>
  <c r="AF5" i="27"/>
  <c r="AF6" i="27"/>
  <c r="AF47" i="27" s="1"/>
  <c r="AF7" i="27"/>
  <c r="AF8" i="27"/>
  <c r="AF41" i="27" s="1"/>
  <c r="AF9" i="27"/>
  <c r="AF10" i="27"/>
  <c r="AF46" i="27" s="1"/>
  <c r="AF45" i="27" s="1"/>
  <c r="AF11" i="27"/>
  <c r="AF39" i="27" s="1"/>
  <c r="AF12" i="27"/>
  <c r="AF13" i="27"/>
  <c r="AF33" i="27" s="1"/>
  <c r="AF31" i="27" s="1"/>
  <c r="AF14" i="27"/>
  <c r="AF34" i="27" s="1"/>
  <c r="AF15" i="27"/>
  <c r="AF44" i="27" s="1"/>
  <c r="AF16" i="27"/>
  <c r="AF17" i="27"/>
  <c r="AF18" i="27"/>
  <c r="AF19" i="27"/>
  <c r="AF42" i="27" s="1"/>
  <c r="AF20" i="27"/>
  <c r="AF21" i="27"/>
  <c r="AF22" i="27"/>
  <c r="AF37" i="27" s="1"/>
  <c r="AF23" i="27"/>
  <c r="AF49" i="27" s="1"/>
  <c r="AF24" i="27"/>
  <c r="AF25" i="27"/>
  <c r="AF26" i="27"/>
  <c r="AF36" i="27" s="1"/>
  <c r="AF27" i="27"/>
  <c r="AF28" i="27"/>
  <c r="AF43" i="27" s="1"/>
  <c r="AF29" i="27"/>
  <c r="AF30" i="27"/>
  <c r="AF35" i="27" s="1"/>
  <c r="AE2" i="27"/>
  <c r="AE38" i="27" s="1"/>
  <c r="AE4" i="27"/>
  <c r="AE40" i="27" s="1"/>
  <c r="AE5" i="27"/>
  <c r="AE6" i="27"/>
  <c r="AE47" i="27" s="1"/>
  <c r="AE7" i="27"/>
  <c r="AE8" i="27"/>
  <c r="AE41" i="27" s="1"/>
  <c r="AE9" i="27"/>
  <c r="AE10" i="27"/>
  <c r="AE46" i="27" s="1"/>
  <c r="AE45" i="27" s="1"/>
  <c r="AE11" i="27"/>
  <c r="AE39" i="27" s="1"/>
  <c r="AE12" i="27"/>
  <c r="AE13" i="27"/>
  <c r="AE33" i="27" s="1"/>
  <c r="AE31" i="27" s="1"/>
  <c r="AE14" i="27"/>
  <c r="AE34" i="27" s="1"/>
  <c r="AE15" i="27"/>
  <c r="AE44" i="27" s="1"/>
  <c r="AE16" i="27"/>
  <c r="AE17" i="27"/>
  <c r="AE18" i="27"/>
  <c r="AE19" i="27"/>
  <c r="AE42" i="27" s="1"/>
  <c r="AE20" i="27"/>
  <c r="AE21" i="27"/>
  <c r="AE22" i="27"/>
  <c r="AE37" i="27" s="1"/>
  <c r="AE23" i="27"/>
  <c r="AE49" i="27" s="1"/>
  <c r="AE24" i="27"/>
  <c r="AE25" i="27"/>
  <c r="AE26" i="27"/>
  <c r="AE36" i="27" s="1"/>
  <c r="AE27" i="27"/>
  <c r="AE28" i="27"/>
  <c r="AE43" i="27" s="1"/>
  <c r="AE29" i="27"/>
  <c r="AE30" i="27"/>
  <c r="AE35" i="27" s="1"/>
  <c r="J31" i="27" l="1"/>
  <c r="Q31" i="27"/>
  <c r="X31" i="27"/>
  <c r="K48" i="26"/>
  <c r="C48" i="26" s="1"/>
  <c r="D65" i="27"/>
  <c r="N48" i="26"/>
  <c r="R48" i="26"/>
  <c r="U63" i="26"/>
  <c r="V48" i="26"/>
  <c r="Y48" i="26"/>
  <c r="H31" i="27"/>
  <c r="M31" i="27"/>
  <c r="S31" i="27"/>
  <c r="Z31" i="27"/>
  <c r="AD31" i="26"/>
  <c r="E31" i="27"/>
  <c r="G31" i="27"/>
  <c r="I31" i="27"/>
  <c r="AA31" i="27"/>
  <c r="L31" i="27"/>
  <c r="N31" i="27"/>
  <c r="P31" i="27"/>
  <c r="R31" i="27"/>
  <c r="T31" i="27"/>
  <c r="V31" i="27"/>
  <c r="W31" i="27"/>
  <c r="Y31" i="27"/>
  <c r="AE48" i="26"/>
  <c r="AF48" i="26"/>
  <c r="AG48" i="26"/>
  <c r="AH48" i="26"/>
  <c r="AI48" i="26"/>
  <c r="AZ48" i="26"/>
  <c r="AJ48" i="26"/>
  <c r="AK48" i="26"/>
  <c r="AL48" i="26"/>
  <c r="AM48" i="26"/>
  <c r="AN48" i="26"/>
  <c r="AO48" i="26"/>
  <c r="AP48" i="26"/>
  <c r="AQ48" i="26"/>
  <c r="AS48" i="26"/>
  <c r="AT48" i="26"/>
  <c r="AU48" i="26"/>
  <c r="AY48" i="26"/>
  <c r="AV48" i="26"/>
  <c r="AW48" i="26"/>
  <c r="AX48" i="26"/>
  <c r="C31" i="26"/>
  <c r="AR48" i="26"/>
  <c r="J48" i="26"/>
  <c r="O48" i="26"/>
  <c r="S48" i="26"/>
  <c r="Z48" i="26"/>
  <c r="F31" i="27"/>
  <c r="K31" i="27"/>
  <c r="U31" i="27"/>
  <c r="M48" i="26"/>
  <c r="Q48" i="26"/>
  <c r="AR31" i="27"/>
  <c r="H45" i="27"/>
  <c r="K45" i="27"/>
  <c r="O45" i="27"/>
  <c r="S45" i="27"/>
  <c r="C45" i="27" s="1"/>
  <c r="Z45" i="27"/>
  <c r="O31" i="27"/>
  <c r="H48" i="26"/>
  <c r="P48" i="26"/>
  <c r="W48" i="26"/>
  <c r="D63" i="26"/>
  <c r="D48" i="26"/>
  <c r="C31" i="27"/>
  <c r="AE50" i="27"/>
  <c r="AE64" i="27"/>
  <c r="AF57" i="27"/>
  <c r="AF71" i="27"/>
  <c r="AF66" i="27"/>
  <c r="AF52" i="27"/>
  <c r="AG64" i="27"/>
  <c r="AG50" i="27"/>
  <c r="AG53" i="27"/>
  <c r="AG67" i="27"/>
  <c r="AI50" i="27"/>
  <c r="AI64" i="27"/>
  <c r="AI67" i="27"/>
  <c r="AI53" i="27"/>
  <c r="AZ66" i="27"/>
  <c r="AZ52" i="27"/>
  <c r="AJ57" i="27"/>
  <c r="AJ71" i="27"/>
  <c r="AK64" i="27"/>
  <c r="AK50" i="27"/>
  <c r="AK53" i="27"/>
  <c r="AK67" i="27"/>
  <c r="AM50" i="27"/>
  <c r="AM64" i="27"/>
  <c r="AM54" i="27"/>
  <c r="AM68" i="27"/>
  <c r="AN51" i="27"/>
  <c r="AN65" i="27"/>
  <c r="AN53" i="27"/>
  <c r="AN67" i="27"/>
  <c r="AO66" i="27"/>
  <c r="AO52" i="27"/>
  <c r="AP50" i="27"/>
  <c r="AP64" i="27"/>
  <c r="AQ50" i="27"/>
  <c r="AQ64" i="27"/>
  <c r="AQ52" i="27"/>
  <c r="AQ66" i="27"/>
  <c r="AQ67" i="27"/>
  <c r="AQ53" i="27"/>
  <c r="AS57" i="27"/>
  <c r="AS71" i="27"/>
  <c r="AS64" i="27"/>
  <c r="AS50" i="27"/>
  <c r="AS51" i="27"/>
  <c r="AS65" i="27"/>
  <c r="AS66" i="27"/>
  <c r="AS52" i="27"/>
  <c r="AS68" i="27"/>
  <c r="AS54" i="27"/>
  <c r="AS53" i="27"/>
  <c r="AS67" i="27"/>
  <c r="AT71" i="27"/>
  <c r="AT57" i="27"/>
  <c r="AT50" i="27"/>
  <c r="AT64" i="27"/>
  <c r="AT65" i="27"/>
  <c r="AT51" i="27"/>
  <c r="AT52" i="27"/>
  <c r="AT66" i="27"/>
  <c r="AT54" i="27"/>
  <c r="AT68" i="27"/>
  <c r="AT67" i="27"/>
  <c r="AT53" i="27"/>
  <c r="AU71" i="27"/>
  <c r="AU57" i="27"/>
  <c r="AU50" i="27"/>
  <c r="AU64" i="27"/>
  <c r="AU65" i="27"/>
  <c r="AU51" i="27"/>
  <c r="AU52" i="27"/>
  <c r="AU66" i="27"/>
  <c r="AU54" i="27"/>
  <c r="AU68" i="27"/>
  <c r="AU67" i="27"/>
  <c r="AU53" i="27"/>
  <c r="AY71" i="27"/>
  <c r="AY57" i="27"/>
  <c r="AY50" i="27"/>
  <c r="AY64" i="27"/>
  <c r="AY65" i="27"/>
  <c r="AY51" i="27"/>
  <c r="AY52" i="27"/>
  <c r="AY66" i="27"/>
  <c r="AY54" i="27"/>
  <c r="AY68" i="27"/>
  <c r="AY67" i="27"/>
  <c r="AY53" i="27"/>
  <c r="AV57" i="27"/>
  <c r="AV71" i="27"/>
  <c r="AV64" i="27"/>
  <c r="AV50" i="27"/>
  <c r="AV51" i="27"/>
  <c r="AV65" i="27"/>
  <c r="AV66" i="27"/>
  <c r="AV52" i="27"/>
  <c r="AV68" i="27"/>
  <c r="AV54" i="27"/>
  <c r="AV53" i="27"/>
  <c r="AV67" i="27"/>
  <c r="AW57" i="27"/>
  <c r="AW71" i="27"/>
  <c r="AW64" i="27"/>
  <c r="AW50" i="27"/>
  <c r="AW51" i="27"/>
  <c r="AW65" i="27"/>
  <c r="AW66" i="27"/>
  <c r="AW52" i="27"/>
  <c r="AW68" i="27"/>
  <c r="AW54" i="27"/>
  <c r="AW53" i="27"/>
  <c r="AW67" i="27"/>
  <c r="AX71" i="27"/>
  <c r="AX57" i="27"/>
  <c r="AX50" i="27"/>
  <c r="AX64" i="27"/>
  <c r="AX65" i="27"/>
  <c r="AX51" i="27"/>
  <c r="AX52" i="27"/>
  <c r="AX66" i="27"/>
  <c r="AX54" i="27"/>
  <c r="AX68" i="27"/>
  <c r="AX67" i="27"/>
  <c r="AX53" i="27"/>
  <c r="C69" i="26"/>
  <c r="C55" i="26"/>
  <c r="C65" i="26"/>
  <c r="C51" i="26"/>
  <c r="C66" i="26"/>
  <c r="C52" i="26"/>
  <c r="AR61" i="27"/>
  <c r="AR75" i="27"/>
  <c r="F76" i="27"/>
  <c r="F62" i="27"/>
  <c r="G50" i="27"/>
  <c r="G64" i="27"/>
  <c r="H57" i="27"/>
  <c r="H71" i="27"/>
  <c r="H50" i="28"/>
  <c r="H64" i="28"/>
  <c r="J62" i="27"/>
  <c r="J76" i="27"/>
  <c r="AA50" i="27"/>
  <c r="AA64" i="27"/>
  <c r="K71" i="27"/>
  <c r="K57" i="27"/>
  <c r="K50" i="28"/>
  <c r="K64" i="28"/>
  <c r="M76" i="27"/>
  <c r="M62" i="27"/>
  <c r="N50" i="27"/>
  <c r="N64" i="27"/>
  <c r="O71" i="27"/>
  <c r="O57" i="27"/>
  <c r="O50" i="28"/>
  <c r="O64" i="28"/>
  <c r="Q76" i="27"/>
  <c r="Q62" i="27"/>
  <c r="R50" i="27"/>
  <c r="R64" i="27"/>
  <c r="S71" i="27"/>
  <c r="S57" i="27"/>
  <c r="S50" i="28"/>
  <c r="S64" i="28"/>
  <c r="U76" i="27"/>
  <c r="U62" i="27"/>
  <c r="V50" i="27"/>
  <c r="V64" i="27"/>
  <c r="Z71" i="27"/>
  <c r="Z57" i="27"/>
  <c r="Z50" i="28"/>
  <c r="Z64" i="28"/>
  <c r="X76" i="27"/>
  <c r="X62" i="27"/>
  <c r="Y64" i="27"/>
  <c r="Y50" i="27"/>
  <c r="AD74" i="26"/>
  <c r="AD60" i="26"/>
  <c r="AD72" i="26"/>
  <c r="AD58" i="26"/>
  <c r="AD70" i="26"/>
  <c r="AD56" i="26"/>
  <c r="AD24" i="28"/>
  <c r="AB24" i="28" s="1"/>
  <c r="AD69" i="26"/>
  <c r="AD55" i="26"/>
  <c r="AC74" i="26"/>
  <c r="AC60" i="26"/>
  <c r="AC72" i="26"/>
  <c r="AC58" i="26"/>
  <c r="AC70" i="26"/>
  <c r="AC56" i="26"/>
  <c r="AC24" i="28"/>
  <c r="AC69" i="26"/>
  <c r="AC55" i="26"/>
  <c r="D55" i="27"/>
  <c r="D69" i="27"/>
  <c r="C74" i="27"/>
  <c r="C60" i="27"/>
  <c r="G69" i="27"/>
  <c r="G55" i="27"/>
  <c r="H69" i="28"/>
  <c r="H55" i="28"/>
  <c r="AA69" i="27"/>
  <c r="AA55" i="27"/>
  <c r="K55" i="28"/>
  <c r="K69" i="28"/>
  <c r="N69" i="27"/>
  <c r="N55" i="27"/>
  <c r="O55" i="28"/>
  <c r="O69" i="28"/>
  <c r="R69" i="27"/>
  <c r="R55" i="27"/>
  <c r="S55" i="28"/>
  <c r="S69" i="28"/>
  <c r="V69" i="27"/>
  <c r="V55" i="27"/>
  <c r="Z55" i="28"/>
  <c r="Z69" i="28"/>
  <c r="Y55" i="27"/>
  <c r="Y69" i="27"/>
  <c r="C65" i="27"/>
  <c r="C51" i="27"/>
  <c r="C58" i="27"/>
  <c r="C72" i="27"/>
  <c r="AR63" i="26"/>
  <c r="E63" i="26"/>
  <c r="E53" i="27"/>
  <c r="E67" i="27"/>
  <c r="F63" i="26"/>
  <c r="F67" i="27"/>
  <c r="F53" i="27"/>
  <c r="G63" i="26"/>
  <c r="G67" i="27"/>
  <c r="G53" i="27"/>
  <c r="H63" i="26"/>
  <c r="H53" i="27"/>
  <c r="H67" i="27"/>
  <c r="I63" i="26"/>
  <c r="I53" i="27"/>
  <c r="I67" i="27"/>
  <c r="AZ63" i="26"/>
  <c r="AJ63" i="26"/>
  <c r="E74" i="27"/>
  <c r="E60" i="27"/>
  <c r="F58" i="27"/>
  <c r="F72" i="27"/>
  <c r="G56" i="27"/>
  <c r="G70" i="27"/>
  <c r="I74" i="27"/>
  <c r="I60" i="27"/>
  <c r="J58" i="27"/>
  <c r="J72" i="27"/>
  <c r="AA56" i="27"/>
  <c r="AA70" i="27"/>
  <c r="L74" i="27"/>
  <c r="L60" i="27"/>
  <c r="M72" i="27"/>
  <c r="M58" i="27"/>
  <c r="N56" i="27"/>
  <c r="N70" i="27"/>
  <c r="P74" i="27"/>
  <c r="P60" i="27"/>
  <c r="Q72" i="27"/>
  <c r="Q58" i="27"/>
  <c r="J65" i="27"/>
  <c r="J51" i="27"/>
  <c r="AA65" i="27"/>
  <c r="AA51" i="27"/>
  <c r="K65" i="27"/>
  <c r="K51" i="27"/>
  <c r="L51" i="27"/>
  <c r="L65" i="27"/>
  <c r="M66" i="27"/>
  <c r="M52" i="27"/>
  <c r="M68" i="27"/>
  <c r="M54" i="27"/>
  <c r="N67" i="27"/>
  <c r="N53" i="27"/>
  <c r="O63" i="26"/>
  <c r="P51" i="27"/>
  <c r="P65" i="27"/>
  <c r="Q66" i="27"/>
  <c r="Q52" i="27"/>
  <c r="Q68" i="27"/>
  <c r="Q54" i="27"/>
  <c r="R67" i="27"/>
  <c r="R53" i="27"/>
  <c r="S63" i="26"/>
  <c r="T63" i="26"/>
  <c r="T51" i="27"/>
  <c r="T65" i="27"/>
  <c r="U66" i="27"/>
  <c r="U52" i="27"/>
  <c r="U68" i="27"/>
  <c r="U54" i="27"/>
  <c r="V67" i="27"/>
  <c r="V53" i="27"/>
  <c r="Z63" i="26"/>
  <c r="W65" i="27"/>
  <c r="W51" i="27"/>
  <c r="X66" i="27"/>
  <c r="X52" i="27"/>
  <c r="X68" i="27"/>
  <c r="X54" i="27"/>
  <c r="Y53" i="27"/>
  <c r="Y67" i="27"/>
  <c r="Z75" i="27"/>
  <c r="Z61" i="27"/>
  <c r="S74" i="27"/>
  <c r="S60" i="27"/>
  <c r="T72" i="27"/>
  <c r="T58" i="27"/>
  <c r="U70" i="27"/>
  <c r="U56" i="27"/>
  <c r="Z74" i="27"/>
  <c r="Z60" i="27"/>
  <c r="W58" i="27"/>
  <c r="W72" i="27"/>
  <c r="X70" i="27"/>
  <c r="X56" i="27"/>
  <c r="V73" i="27"/>
  <c r="V59" i="27"/>
  <c r="W73" i="27"/>
  <c r="W59" i="27"/>
  <c r="L73" i="27"/>
  <c r="L59" i="27"/>
  <c r="N73" i="27"/>
  <c r="N59" i="27"/>
  <c r="P59" i="27"/>
  <c r="P73" i="27"/>
  <c r="R73" i="27"/>
  <c r="R59" i="27"/>
  <c r="T59" i="27"/>
  <c r="T73" i="27"/>
  <c r="AE52" i="27"/>
  <c r="AE66" i="27"/>
  <c r="AE54" i="27"/>
  <c r="AE68" i="27"/>
  <c r="AF51" i="27"/>
  <c r="AF65" i="27"/>
  <c r="AF68" i="27"/>
  <c r="AF54" i="27"/>
  <c r="AG51" i="27"/>
  <c r="AG65" i="27"/>
  <c r="AH71" i="27"/>
  <c r="AH57" i="27"/>
  <c r="AH52" i="27"/>
  <c r="AH66" i="27"/>
  <c r="AI71" i="27"/>
  <c r="AI57" i="27"/>
  <c r="AZ51" i="27"/>
  <c r="AZ65" i="27"/>
  <c r="AZ68" i="27"/>
  <c r="AZ54" i="27"/>
  <c r="AJ51" i="27"/>
  <c r="AJ65" i="27"/>
  <c r="AJ68" i="27"/>
  <c r="AJ54" i="27"/>
  <c r="AK51" i="27"/>
  <c r="AK65" i="27"/>
  <c r="AK68" i="27"/>
  <c r="AK54" i="27"/>
  <c r="AL65" i="27"/>
  <c r="AL51" i="27"/>
  <c r="AL67" i="27"/>
  <c r="AL53" i="27"/>
  <c r="AM52" i="27"/>
  <c r="AM66" i="27"/>
  <c r="AN57" i="27"/>
  <c r="AN71" i="27"/>
  <c r="AN66" i="27"/>
  <c r="AN52" i="27"/>
  <c r="AO57" i="27"/>
  <c r="AO71" i="27"/>
  <c r="AP71" i="27"/>
  <c r="AP57" i="27"/>
  <c r="AP52" i="27"/>
  <c r="AP66" i="27"/>
  <c r="AQ71" i="27"/>
  <c r="AQ57" i="27"/>
  <c r="AQ54" i="27"/>
  <c r="AQ68" i="27"/>
  <c r="AE56" i="27"/>
  <c r="AE70" i="27"/>
  <c r="AF55" i="27"/>
  <c r="AF69" i="27"/>
  <c r="AF70" i="27"/>
  <c r="AF56" i="27"/>
  <c r="AF72" i="27"/>
  <c r="AF58" i="27"/>
  <c r="AF74" i="27"/>
  <c r="AF60" i="27"/>
  <c r="AG55" i="27"/>
  <c r="AG69" i="27"/>
  <c r="AG70" i="27"/>
  <c r="AG56" i="27"/>
  <c r="AG72" i="27"/>
  <c r="AG58" i="27"/>
  <c r="AG74" i="27"/>
  <c r="AG60" i="27"/>
  <c r="AH69" i="27"/>
  <c r="AH55" i="27"/>
  <c r="AH56" i="27"/>
  <c r="AH70" i="27"/>
  <c r="AH58" i="27"/>
  <c r="AH72" i="27"/>
  <c r="AH60" i="27"/>
  <c r="AH74" i="27"/>
  <c r="AI69" i="27"/>
  <c r="AI55" i="27"/>
  <c r="AI56" i="27"/>
  <c r="AI70" i="27"/>
  <c r="AI58" i="27"/>
  <c r="AI72" i="27"/>
  <c r="AI74" i="27"/>
  <c r="AI60" i="27"/>
  <c r="AZ55" i="27"/>
  <c r="AZ69" i="27"/>
  <c r="AZ70" i="27"/>
  <c r="AZ56" i="27"/>
  <c r="AZ72" i="27"/>
  <c r="AZ58" i="27"/>
  <c r="AZ74" i="27"/>
  <c r="AZ60" i="27"/>
  <c r="AJ55" i="27"/>
  <c r="AJ69" i="27"/>
  <c r="AJ70" i="27"/>
  <c r="AJ56" i="27"/>
  <c r="AJ72" i="27"/>
  <c r="AJ58" i="27"/>
  <c r="AJ74" i="27"/>
  <c r="AJ60" i="27"/>
  <c r="AK55" i="27"/>
  <c r="AK69" i="27"/>
  <c r="AK70" i="27"/>
  <c r="AK56" i="27"/>
  <c r="AK72" i="27"/>
  <c r="AK58" i="27"/>
  <c r="AK74" i="27"/>
  <c r="AK60" i="27"/>
  <c r="AL69" i="27"/>
  <c r="AL55" i="27"/>
  <c r="AL56" i="27"/>
  <c r="AL70" i="27"/>
  <c r="AL58" i="27"/>
  <c r="AL72" i="27"/>
  <c r="AL74" i="27"/>
  <c r="AL60" i="27"/>
  <c r="AM69" i="27"/>
  <c r="AM55" i="27"/>
  <c r="AM56" i="27"/>
  <c r="AM70" i="27"/>
  <c r="AM58" i="27"/>
  <c r="AM72" i="27"/>
  <c r="AM74" i="27"/>
  <c r="AM60" i="27"/>
  <c r="AN55" i="27"/>
  <c r="AN69" i="27"/>
  <c r="AN70" i="27"/>
  <c r="AN56" i="27"/>
  <c r="AN72" i="27"/>
  <c r="AN58" i="27"/>
  <c r="AN74" i="27"/>
  <c r="AN60" i="27"/>
  <c r="AO55" i="27"/>
  <c r="AO69" i="27"/>
  <c r="AO70" i="27"/>
  <c r="AO56" i="27"/>
  <c r="AO72" i="27"/>
  <c r="AO58" i="27"/>
  <c r="AO74" i="27"/>
  <c r="AO60" i="27"/>
  <c r="AP69" i="27"/>
  <c r="AP55" i="27"/>
  <c r="AP56" i="27"/>
  <c r="AP70" i="27"/>
  <c r="AP58" i="27"/>
  <c r="AP72" i="27"/>
  <c r="AP74" i="27"/>
  <c r="AP60" i="27"/>
  <c r="AQ69" i="27"/>
  <c r="AQ55" i="27"/>
  <c r="AQ56" i="27"/>
  <c r="AQ70" i="27"/>
  <c r="AQ58" i="27"/>
  <c r="AQ72" i="27"/>
  <c r="AQ74" i="27"/>
  <c r="AQ60" i="27"/>
  <c r="AS55" i="27"/>
  <c r="AS69" i="27"/>
  <c r="AS70" i="27"/>
  <c r="AS56" i="27"/>
  <c r="AS72" i="27"/>
  <c r="AS58" i="27"/>
  <c r="AS74" i="27"/>
  <c r="AS60" i="27"/>
  <c r="AT69" i="27"/>
  <c r="AT55" i="27"/>
  <c r="AT56" i="27"/>
  <c r="AT70" i="27"/>
  <c r="AT58" i="27"/>
  <c r="AT72" i="27"/>
  <c r="AT60" i="27"/>
  <c r="AT74" i="27"/>
  <c r="AU69" i="27"/>
  <c r="AU55" i="27"/>
  <c r="AU56" i="27"/>
  <c r="AU70" i="27"/>
  <c r="AU58" i="27"/>
  <c r="AU72" i="27"/>
  <c r="AU74" i="27"/>
  <c r="AU60" i="27"/>
  <c r="AY69" i="27"/>
  <c r="AY55" i="27"/>
  <c r="AY56" i="27"/>
  <c r="AY70" i="27"/>
  <c r="AY58" i="27"/>
  <c r="AY72" i="27"/>
  <c r="AY74" i="27"/>
  <c r="AY60" i="27"/>
  <c r="AV55" i="27"/>
  <c r="AV69" i="27"/>
  <c r="AV70" i="27"/>
  <c r="AV56" i="27"/>
  <c r="AV72" i="27"/>
  <c r="AV58" i="27"/>
  <c r="AV74" i="27"/>
  <c r="AV60" i="27"/>
  <c r="AW55" i="27"/>
  <c r="AW69" i="27"/>
  <c r="AW70" i="27"/>
  <c r="AW56" i="27"/>
  <c r="AW72" i="27"/>
  <c r="AW58" i="27"/>
  <c r="AW74" i="27"/>
  <c r="AW60" i="27"/>
  <c r="AX69" i="27"/>
  <c r="AX55" i="27"/>
  <c r="AX56" i="27"/>
  <c r="AX70" i="27"/>
  <c r="AX58" i="27"/>
  <c r="AX72" i="27"/>
  <c r="AX60" i="27"/>
  <c r="AX74" i="27"/>
  <c r="D57" i="27"/>
  <c r="D71" i="27"/>
  <c r="D76" i="27"/>
  <c r="D62" i="27"/>
  <c r="D50" i="28"/>
  <c r="D64" i="28"/>
  <c r="C70" i="26"/>
  <c r="C56" i="26"/>
  <c r="C72" i="26"/>
  <c r="C58" i="26"/>
  <c r="C74" i="26"/>
  <c r="C60" i="26"/>
  <c r="C68" i="26"/>
  <c r="C54" i="26"/>
  <c r="C67" i="26"/>
  <c r="C53" i="26"/>
  <c r="AR57" i="27"/>
  <c r="AR71" i="27"/>
  <c r="AR64" i="27"/>
  <c r="AR50" i="27"/>
  <c r="AR51" i="27"/>
  <c r="AR65" i="27"/>
  <c r="AR66" i="27"/>
  <c r="AR52" i="27"/>
  <c r="AR68" i="27"/>
  <c r="AR54" i="27"/>
  <c r="AR53" i="27"/>
  <c r="AR67" i="27"/>
  <c r="E57" i="27"/>
  <c r="E71" i="27"/>
  <c r="E64" i="28"/>
  <c r="E50" i="28"/>
  <c r="G76" i="27"/>
  <c r="G62" i="27"/>
  <c r="H64" i="27"/>
  <c r="H50" i="27"/>
  <c r="I57" i="27"/>
  <c r="I71" i="27"/>
  <c r="I64" i="28"/>
  <c r="I50" i="28"/>
  <c r="AA76" i="27"/>
  <c r="AA62" i="27"/>
  <c r="K50" i="27"/>
  <c r="K64" i="27"/>
  <c r="L57" i="27"/>
  <c r="L71" i="27"/>
  <c r="L50" i="28"/>
  <c r="L64" i="28"/>
  <c r="N62" i="27"/>
  <c r="N76" i="27"/>
  <c r="O50" i="27"/>
  <c r="O64" i="27"/>
  <c r="P57" i="27"/>
  <c r="P71" i="27"/>
  <c r="P50" i="28"/>
  <c r="P64" i="28"/>
  <c r="R76" i="27"/>
  <c r="R62" i="27"/>
  <c r="S50" i="27"/>
  <c r="S64" i="27"/>
  <c r="T57" i="27"/>
  <c r="T71" i="27"/>
  <c r="T50" i="28"/>
  <c r="T64" i="28"/>
  <c r="V76" i="27"/>
  <c r="V62" i="27"/>
  <c r="Z50" i="27"/>
  <c r="Z64" i="27"/>
  <c r="W71" i="27"/>
  <c r="W57" i="27"/>
  <c r="W50" i="28"/>
  <c r="W64" i="28"/>
  <c r="Y76" i="27"/>
  <c r="Y62" i="27"/>
  <c r="AD67" i="26"/>
  <c r="AD53" i="26"/>
  <c r="AD68" i="26"/>
  <c r="AD54" i="26"/>
  <c r="AD66" i="26"/>
  <c r="AD52" i="26"/>
  <c r="AD65" i="26"/>
  <c r="AD51" i="26"/>
  <c r="AD25" i="28"/>
  <c r="AD64" i="26"/>
  <c r="AD50" i="26"/>
  <c r="AD48" i="26" s="1"/>
  <c r="AD71" i="26"/>
  <c r="AD57" i="26"/>
  <c r="AC67" i="26"/>
  <c r="AC53" i="26"/>
  <c r="AC68" i="26"/>
  <c r="AC54" i="26"/>
  <c r="AC66" i="26"/>
  <c r="AC52" i="26"/>
  <c r="AC65" i="26"/>
  <c r="AC51" i="26"/>
  <c r="AC25" i="28"/>
  <c r="AC64" i="26"/>
  <c r="AC50" i="26"/>
  <c r="AC71" i="26"/>
  <c r="AC57" i="26"/>
  <c r="D69" i="28"/>
  <c r="D55" i="28"/>
  <c r="E55" i="28"/>
  <c r="E69" i="28"/>
  <c r="H55" i="27"/>
  <c r="H69" i="27"/>
  <c r="I55" i="28"/>
  <c r="I69" i="28"/>
  <c r="K69" i="27"/>
  <c r="K55" i="27"/>
  <c r="L55" i="27"/>
  <c r="L69" i="27"/>
  <c r="O69" i="27"/>
  <c r="O55" i="27"/>
  <c r="P69" i="28"/>
  <c r="P55" i="28"/>
  <c r="S69" i="27"/>
  <c r="S55" i="27"/>
  <c r="T55" i="27"/>
  <c r="T69" i="27"/>
  <c r="Z69" i="27"/>
  <c r="Z55" i="27"/>
  <c r="W55" i="28"/>
  <c r="W69" i="28"/>
  <c r="C75" i="27"/>
  <c r="C61" i="27"/>
  <c r="C73" i="27"/>
  <c r="C59" i="27"/>
  <c r="F73" i="27"/>
  <c r="F59" i="27"/>
  <c r="H73" i="27"/>
  <c r="H59" i="27"/>
  <c r="J73" i="27"/>
  <c r="J59" i="27"/>
  <c r="K73" i="27"/>
  <c r="K59" i="27"/>
  <c r="E68" i="27"/>
  <c r="E54" i="27"/>
  <c r="F54" i="27"/>
  <c r="F68" i="27"/>
  <c r="G54" i="27"/>
  <c r="G68" i="27"/>
  <c r="H68" i="27"/>
  <c r="H54" i="27"/>
  <c r="I68" i="27"/>
  <c r="I54" i="27"/>
  <c r="AE63" i="26"/>
  <c r="AF63" i="26"/>
  <c r="AG63" i="26"/>
  <c r="AH63" i="26"/>
  <c r="AI63" i="26"/>
  <c r="AK63" i="26"/>
  <c r="AL63" i="26"/>
  <c r="AM63" i="26"/>
  <c r="AN63" i="26"/>
  <c r="AO63" i="26"/>
  <c r="AP63" i="26"/>
  <c r="AQ63" i="26"/>
  <c r="AS63" i="26"/>
  <c r="AT63" i="26"/>
  <c r="AU63" i="26"/>
  <c r="AY63" i="26"/>
  <c r="AV63" i="26"/>
  <c r="AW63" i="26"/>
  <c r="AX63" i="26"/>
  <c r="E72" i="27"/>
  <c r="E58" i="27"/>
  <c r="F56" i="27"/>
  <c r="F70" i="27"/>
  <c r="H74" i="27"/>
  <c r="H60" i="27"/>
  <c r="I72" i="27"/>
  <c r="I58" i="27"/>
  <c r="J56" i="27"/>
  <c r="J70" i="27"/>
  <c r="K74" i="27"/>
  <c r="K60" i="27"/>
  <c r="L72" i="27"/>
  <c r="L58" i="27"/>
  <c r="M70" i="27"/>
  <c r="M56" i="27"/>
  <c r="O74" i="27"/>
  <c r="O60" i="27"/>
  <c r="P72" i="27"/>
  <c r="P58" i="27"/>
  <c r="Q70" i="27"/>
  <c r="Q56" i="27"/>
  <c r="Y75" i="27"/>
  <c r="Y61" i="27"/>
  <c r="J63" i="26"/>
  <c r="J67" i="27"/>
  <c r="J53" i="27"/>
  <c r="AA63" i="26"/>
  <c r="AA67" i="27"/>
  <c r="AA53" i="27"/>
  <c r="K63" i="26"/>
  <c r="K67" i="27"/>
  <c r="K53" i="27"/>
  <c r="L63" i="26"/>
  <c r="M51" i="27"/>
  <c r="M65" i="27"/>
  <c r="N52" i="27"/>
  <c r="N66" i="27"/>
  <c r="N54" i="27"/>
  <c r="N68" i="27"/>
  <c r="O67" i="27"/>
  <c r="O53" i="27"/>
  <c r="P63" i="26"/>
  <c r="Q51" i="27"/>
  <c r="Q65" i="27"/>
  <c r="R52" i="27"/>
  <c r="R66" i="27"/>
  <c r="R54" i="27"/>
  <c r="R68" i="27"/>
  <c r="S67" i="27"/>
  <c r="S53" i="27"/>
  <c r="U51" i="27"/>
  <c r="U65" i="27"/>
  <c r="V52" i="27"/>
  <c r="V66" i="27"/>
  <c r="V54" i="27"/>
  <c r="V68" i="27"/>
  <c r="Z67" i="27"/>
  <c r="Z53" i="27"/>
  <c r="W63" i="26"/>
  <c r="X51" i="27"/>
  <c r="X65" i="27"/>
  <c r="Y66" i="27"/>
  <c r="Y52" i="27"/>
  <c r="Y68" i="27"/>
  <c r="Y54" i="27"/>
  <c r="V75" i="27"/>
  <c r="V61" i="27"/>
  <c r="R60" i="27"/>
  <c r="R74" i="27"/>
  <c r="S58" i="27"/>
  <c r="S72" i="27"/>
  <c r="T70" i="27"/>
  <c r="T56" i="27"/>
  <c r="V74" i="27"/>
  <c r="V60" i="27"/>
  <c r="Z58" i="27"/>
  <c r="Z72" i="27"/>
  <c r="W56" i="27"/>
  <c r="W70" i="27"/>
  <c r="Y74" i="27"/>
  <c r="Y60" i="27"/>
  <c r="X73" i="27"/>
  <c r="X59" i="27"/>
  <c r="AE71" i="27"/>
  <c r="AE57" i="27"/>
  <c r="AF64" i="27"/>
  <c r="AF50" i="27"/>
  <c r="AF53" i="27"/>
  <c r="AF67" i="27"/>
  <c r="AG66" i="27"/>
  <c r="AG52" i="27"/>
  <c r="AG68" i="27"/>
  <c r="AG54" i="27"/>
  <c r="AH65" i="27"/>
  <c r="AH51" i="27"/>
  <c r="AH67" i="27"/>
  <c r="AH53" i="27"/>
  <c r="AI52" i="27"/>
  <c r="AI66" i="27"/>
  <c r="AZ57" i="27"/>
  <c r="AZ71" i="27"/>
  <c r="AJ64" i="27"/>
  <c r="AJ50" i="27"/>
  <c r="AK57" i="27"/>
  <c r="AK71" i="27"/>
  <c r="AL50" i="27"/>
  <c r="AL64" i="27"/>
  <c r="AL54" i="27"/>
  <c r="AL68" i="27"/>
  <c r="AM65" i="27"/>
  <c r="AM51" i="27"/>
  <c r="AM67" i="27"/>
  <c r="AM53" i="27"/>
  <c r="AO64" i="27"/>
  <c r="AO50" i="27"/>
  <c r="AO68" i="27"/>
  <c r="AO54" i="27"/>
  <c r="AP65" i="27"/>
  <c r="AP51" i="27"/>
  <c r="AP54" i="27"/>
  <c r="AP68" i="27"/>
  <c r="AQ65" i="27"/>
  <c r="AQ51" i="27"/>
  <c r="AE58" i="27"/>
  <c r="AE72" i="27"/>
  <c r="AE73" i="27"/>
  <c r="AE59" i="27"/>
  <c r="AG76" i="27"/>
  <c r="AG62" i="27"/>
  <c r="AH76" i="27"/>
  <c r="AH62" i="27"/>
  <c r="AI76" i="27"/>
  <c r="AI62" i="27"/>
  <c r="AI73" i="27"/>
  <c r="AI59" i="27"/>
  <c r="AZ76" i="27"/>
  <c r="AZ62" i="27"/>
  <c r="AZ59" i="27"/>
  <c r="AZ73" i="27"/>
  <c r="AJ76" i="27"/>
  <c r="AJ62" i="27"/>
  <c r="AJ59" i="27"/>
  <c r="AJ73" i="27"/>
  <c r="AK76" i="27"/>
  <c r="AK62" i="27"/>
  <c r="AK73" i="27"/>
  <c r="AK59" i="27"/>
  <c r="AL76" i="27"/>
  <c r="AL62" i="27"/>
  <c r="AL73" i="27"/>
  <c r="AL59" i="27"/>
  <c r="AM76" i="27"/>
  <c r="AM62" i="27"/>
  <c r="AM73" i="27"/>
  <c r="AM59" i="27"/>
  <c r="AN76" i="27"/>
  <c r="AN62" i="27"/>
  <c r="AN73" i="27"/>
  <c r="AN59" i="27"/>
  <c r="AO76" i="27"/>
  <c r="AO62" i="27"/>
  <c r="AO73" i="27"/>
  <c r="AO59" i="27"/>
  <c r="AP62" i="27"/>
  <c r="AP76" i="27"/>
  <c r="AP73" i="27"/>
  <c r="AP59" i="27"/>
  <c r="AQ76" i="27"/>
  <c r="AQ62" i="27"/>
  <c r="AQ73" i="27"/>
  <c r="AQ59" i="27"/>
  <c r="AS76" i="27"/>
  <c r="AS62" i="27"/>
  <c r="AS73" i="27"/>
  <c r="AS59" i="27"/>
  <c r="AT62" i="27"/>
  <c r="AT76" i="27"/>
  <c r="AT73" i="27"/>
  <c r="AT59" i="27"/>
  <c r="AU76" i="27"/>
  <c r="AU62" i="27"/>
  <c r="AU73" i="27"/>
  <c r="AU59" i="27"/>
  <c r="AY76" i="27"/>
  <c r="AY62" i="27"/>
  <c r="AY73" i="27"/>
  <c r="AY59" i="27"/>
  <c r="AV76" i="27"/>
  <c r="AV62" i="27"/>
  <c r="AV59" i="27"/>
  <c r="AV73" i="27"/>
  <c r="AW76" i="27"/>
  <c r="AW62" i="27"/>
  <c r="AW73" i="27"/>
  <c r="AW59" i="27"/>
  <c r="AX76" i="27"/>
  <c r="AX62" i="27"/>
  <c r="AX73" i="27"/>
  <c r="AX59" i="27"/>
  <c r="C71" i="26"/>
  <c r="C57" i="26"/>
  <c r="C76" i="26"/>
  <c r="C62" i="26"/>
  <c r="D64" i="27"/>
  <c r="D63" i="27" s="1"/>
  <c r="D50" i="27"/>
  <c r="AR55" i="27"/>
  <c r="AR69" i="27"/>
  <c r="AR70" i="27"/>
  <c r="AR56" i="27"/>
  <c r="AR72" i="27"/>
  <c r="AR58" i="27"/>
  <c r="AR74" i="27"/>
  <c r="AR60" i="27"/>
  <c r="E64" i="27"/>
  <c r="E50" i="27"/>
  <c r="F71" i="27"/>
  <c r="F57" i="27"/>
  <c r="F50" i="28"/>
  <c r="F64" i="28"/>
  <c r="H76" i="27"/>
  <c r="H62" i="27"/>
  <c r="I64" i="27"/>
  <c r="I50" i="27"/>
  <c r="J71" i="27"/>
  <c r="J57" i="27"/>
  <c r="J50" i="28"/>
  <c r="J64" i="28"/>
  <c r="K76" i="27"/>
  <c r="K62" i="27"/>
  <c r="L64" i="27"/>
  <c r="L50" i="27"/>
  <c r="M57" i="27"/>
  <c r="M71" i="27"/>
  <c r="M64" i="28"/>
  <c r="M50" i="28"/>
  <c r="O76" i="27"/>
  <c r="O62" i="27"/>
  <c r="P64" i="27"/>
  <c r="P50" i="27"/>
  <c r="Q57" i="27"/>
  <c r="Q71" i="27"/>
  <c r="Q64" i="28"/>
  <c r="Q50" i="28"/>
  <c r="S76" i="27"/>
  <c r="S62" i="27"/>
  <c r="T64" i="27"/>
  <c r="T50" i="27"/>
  <c r="U57" i="27"/>
  <c r="U71" i="27"/>
  <c r="U64" i="28"/>
  <c r="U50" i="28"/>
  <c r="Z62" i="27"/>
  <c r="Z76" i="27"/>
  <c r="W50" i="27"/>
  <c r="W64" i="27"/>
  <c r="X57" i="27"/>
  <c r="X71" i="27"/>
  <c r="X50" i="28"/>
  <c r="X64" i="28"/>
  <c r="AD45" i="26"/>
  <c r="AD75" i="26"/>
  <c r="AD61" i="26"/>
  <c r="AC45" i="26"/>
  <c r="AC75" i="26"/>
  <c r="AC61" i="26"/>
  <c r="C56" i="27"/>
  <c r="C70" i="27"/>
  <c r="E55" i="27"/>
  <c r="E69" i="27"/>
  <c r="F55" i="28"/>
  <c r="F69" i="28"/>
  <c r="I55" i="27"/>
  <c r="I69" i="27"/>
  <c r="J55" i="28"/>
  <c r="J69" i="28"/>
  <c r="L69" i="28"/>
  <c r="L55" i="28"/>
  <c r="M55" i="28"/>
  <c r="M69" i="28"/>
  <c r="P55" i="27"/>
  <c r="P69" i="27"/>
  <c r="Q55" i="28"/>
  <c r="Q69" i="28"/>
  <c r="T69" i="28"/>
  <c r="T55" i="28"/>
  <c r="U55" i="28"/>
  <c r="U69" i="28"/>
  <c r="W69" i="27"/>
  <c r="W55" i="27"/>
  <c r="X69" i="28"/>
  <c r="X55" i="28"/>
  <c r="C54" i="27"/>
  <c r="C68" i="27"/>
  <c r="C2" i="27"/>
  <c r="C38" i="27" s="1"/>
  <c r="E66" i="27"/>
  <c r="E52" i="27"/>
  <c r="F52" i="27"/>
  <c r="F66" i="27"/>
  <c r="G52" i="27"/>
  <c r="G66" i="27"/>
  <c r="H66" i="27"/>
  <c r="H52" i="27"/>
  <c r="I66" i="27"/>
  <c r="I52" i="27"/>
  <c r="E70" i="27"/>
  <c r="E56" i="27"/>
  <c r="G74" i="27"/>
  <c r="G60" i="27"/>
  <c r="H72" i="27"/>
  <c r="H58" i="27"/>
  <c r="I70" i="27"/>
  <c r="I56" i="27"/>
  <c r="AA74" i="27"/>
  <c r="AA60" i="27"/>
  <c r="K58" i="27"/>
  <c r="K72" i="27"/>
  <c r="L70" i="27"/>
  <c r="L56" i="27"/>
  <c r="N60" i="27"/>
  <c r="N74" i="27"/>
  <c r="O58" i="27"/>
  <c r="O72" i="27"/>
  <c r="P70" i="27"/>
  <c r="P56" i="27"/>
  <c r="O75" i="27"/>
  <c r="O61" i="27"/>
  <c r="P61" i="27"/>
  <c r="P75" i="27"/>
  <c r="Q75" i="27"/>
  <c r="Q61" i="27"/>
  <c r="R75" i="27"/>
  <c r="R61" i="27"/>
  <c r="S75" i="27"/>
  <c r="S61" i="27"/>
  <c r="T75" i="27"/>
  <c r="T61" i="27"/>
  <c r="X75" i="27"/>
  <c r="X61" i="27"/>
  <c r="J54" i="27"/>
  <c r="J68" i="27"/>
  <c r="AA54" i="27"/>
  <c r="AA68" i="27"/>
  <c r="K54" i="27"/>
  <c r="K68" i="27"/>
  <c r="L53" i="27"/>
  <c r="L67" i="27"/>
  <c r="M63" i="26"/>
  <c r="N65" i="27"/>
  <c r="N51" i="27"/>
  <c r="O52" i="27"/>
  <c r="O66" i="27"/>
  <c r="O54" i="27"/>
  <c r="O68" i="27"/>
  <c r="P53" i="27"/>
  <c r="P67" i="27"/>
  <c r="Q63" i="26"/>
  <c r="R65" i="27"/>
  <c r="R51" i="27"/>
  <c r="S52" i="27"/>
  <c r="S66" i="27"/>
  <c r="S54" i="27"/>
  <c r="S68" i="27"/>
  <c r="T53" i="27"/>
  <c r="T67" i="27"/>
  <c r="V65" i="27"/>
  <c r="V51" i="27"/>
  <c r="Z52" i="27"/>
  <c r="Z66" i="27"/>
  <c r="Z54" i="27"/>
  <c r="Z68" i="27"/>
  <c r="W67" i="27"/>
  <c r="W53" i="27"/>
  <c r="X63" i="26"/>
  <c r="Y51" i="27"/>
  <c r="Y65" i="27"/>
  <c r="U75" i="27"/>
  <c r="U61" i="27"/>
  <c r="R58" i="27"/>
  <c r="R72" i="27"/>
  <c r="S56" i="27"/>
  <c r="S70" i="27"/>
  <c r="U74" i="27"/>
  <c r="U60" i="27"/>
  <c r="V58" i="27"/>
  <c r="V72" i="27"/>
  <c r="Z56" i="27"/>
  <c r="Z70" i="27"/>
  <c r="X74" i="27"/>
  <c r="X60" i="27"/>
  <c r="Y72" i="27"/>
  <c r="Y58" i="27"/>
  <c r="U73" i="27"/>
  <c r="U59" i="27"/>
  <c r="Z73" i="27"/>
  <c r="Z59" i="27"/>
  <c r="M73" i="27"/>
  <c r="M59" i="27"/>
  <c r="O73" i="27"/>
  <c r="O59" i="27"/>
  <c r="Q73" i="27"/>
  <c r="Q59" i="27"/>
  <c r="S73" i="27"/>
  <c r="S59" i="27"/>
  <c r="AE65" i="27"/>
  <c r="AE51" i="27"/>
  <c r="AE67" i="27"/>
  <c r="AE53" i="27"/>
  <c r="AG57" i="27"/>
  <c r="AG48" i="27" s="1"/>
  <c r="AG71" i="27"/>
  <c r="AH50" i="27"/>
  <c r="AH64" i="27"/>
  <c r="AH54" i="27"/>
  <c r="AH68" i="27"/>
  <c r="AI65" i="27"/>
  <c r="AI51" i="27"/>
  <c r="AI54" i="27"/>
  <c r="AI68" i="27"/>
  <c r="AZ64" i="27"/>
  <c r="AZ50" i="27"/>
  <c r="AZ53" i="27"/>
  <c r="AZ67" i="27"/>
  <c r="AJ66" i="27"/>
  <c r="AJ52" i="27"/>
  <c r="AJ53" i="27"/>
  <c r="AJ67" i="27"/>
  <c r="AK66" i="27"/>
  <c r="AK52" i="27"/>
  <c r="AL71" i="27"/>
  <c r="AL57" i="27"/>
  <c r="AL52" i="27"/>
  <c r="AL66" i="27"/>
  <c r="AM71" i="27"/>
  <c r="AM57" i="27"/>
  <c r="AN64" i="27"/>
  <c r="AN50" i="27"/>
  <c r="AN68" i="27"/>
  <c r="AN54" i="27"/>
  <c r="AO51" i="27"/>
  <c r="AO65" i="27"/>
  <c r="AO53" i="27"/>
  <c r="AO67" i="27"/>
  <c r="AP67" i="27"/>
  <c r="AP53" i="27"/>
  <c r="AE69" i="27"/>
  <c r="AE55" i="27"/>
  <c r="AE74" i="27"/>
  <c r="AE60" i="27"/>
  <c r="AE76" i="27"/>
  <c r="AE62" i="27"/>
  <c r="AF76" i="27"/>
  <c r="AF62" i="27"/>
  <c r="AF59" i="27"/>
  <c r="AF73" i="27"/>
  <c r="AG73" i="27"/>
  <c r="AG59" i="27"/>
  <c r="AH73" i="27"/>
  <c r="AH59" i="27"/>
  <c r="AE75" i="27"/>
  <c r="AE61" i="27"/>
  <c r="AF61" i="27"/>
  <c r="AF75" i="27"/>
  <c r="AG75" i="27"/>
  <c r="AG61" i="27"/>
  <c r="AH75" i="27"/>
  <c r="AH61" i="27"/>
  <c r="AI75" i="27"/>
  <c r="AI61" i="27"/>
  <c r="AZ75" i="27"/>
  <c r="AZ61" i="27"/>
  <c r="AJ75" i="27"/>
  <c r="AJ61" i="27"/>
  <c r="AK75" i="27"/>
  <c r="AK61" i="27"/>
  <c r="AL75" i="27"/>
  <c r="AL61" i="27"/>
  <c r="AM75" i="27"/>
  <c r="AM61" i="27"/>
  <c r="AN75" i="27"/>
  <c r="AN61" i="27"/>
  <c r="AO75" i="27"/>
  <c r="AO61" i="27"/>
  <c r="AP75" i="27"/>
  <c r="AP61" i="27"/>
  <c r="AQ75" i="27"/>
  <c r="AQ61" i="27"/>
  <c r="AS75" i="27"/>
  <c r="AS61" i="27"/>
  <c r="AT75" i="27"/>
  <c r="AT61" i="27"/>
  <c r="AU75" i="27"/>
  <c r="AU61" i="27"/>
  <c r="AY75" i="27"/>
  <c r="AY61" i="27"/>
  <c r="AV61" i="27"/>
  <c r="AV75" i="27"/>
  <c r="AW75" i="27"/>
  <c r="AW61" i="27"/>
  <c r="AX75" i="27"/>
  <c r="AX61" i="27"/>
  <c r="C64" i="26"/>
  <c r="C50" i="26"/>
  <c r="C75" i="26"/>
  <c r="C61" i="26"/>
  <c r="C73" i="26"/>
  <c r="C59" i="26"/>
  <c r="AR76" i="27"/>
  <c r="AR62" i="27"/>
  <c r="AR48" i="27"/>
  <c r="AR73" i="27"/>
  <c r="AR59" i="27"/>
  <c r="E76" i="27"/>
  <c r="E62" i="27"/>
  <c r="F50" i="27"/>
  <c r="F64" i="27"/>
  <c r="G71" i="27"/>
  <c r="G57" i="27"/>
  <c r="G50" i="28"/>
  <c r="G64" i="28"/>
  <c r="I76" i="27"/>
  <c r="I62" i="27"/>
  <c r="J50" i="27"/>
  <c r="J64" i="27"/>
  <c r="AA71" i="27"/>
  <c r="AA57" i="27"/>
  <c r="AA50" i="28"/>
  <c r="AA64" i="28"/>
  <c r="L76" i="27"/>
  <c r="L62" i="27"/>
  <c r="M64" i="27"/>
  <c r="M50" i="27"/>
  <c r="N71" i="27"/>
  <c r="N57" i="27"/>
  <c r="N50" i="28"/>
  <c r="N64" i="28"/>
  <c r="P76" i="27"/>
  <c r="P62" i="27"/>
  <c r="Q64" i="27"/>
  <c r="Q50" i="27"/>
  <c r="R71" i="27"/>
  <c r="R57" i="27"/>
  <c r="R50" i="28"/>
  <c r="R64" i="28"/>
  <c r="T76" i="27"/>
  <c r="T62" i="27"/>
  <c r="U64" i="27"/>
  <c r="U50" i="27"/>
  <c r="V71" i="27"/>
  <c r="V57" i="27"/>
  <c r="V50" i="28"/>
  <c r="V64" i="28"/>
  <c r="W76" i="27"/>
  <c r="W62" i="27"/>
  <c r="X64" i="27"/>
  <c r="X50" i="27"/>
  <c r="Y57" i="27"/>
  <c r="Y71" i="27"/>
  <c r="Y64" i="28"/>
  <c r="Y50" i="28"/>
  <c r="AD73" i="26"/>
  <c r="AD59" i="26"/>
  <c r="AD76" i="26"/>
  <c r="AD62" i="26"/>
  <c r="AC73" i="26"/>
  <c r="AC59" i="26"/>
  <c r="AC76" i="26"/>
  <c r="AC62" i="26"/>
  <c r="AB3" i="26"/>
  <c r="AB32" i="26" s="1"/>
  <c r="AC32" i="26"/>
  <c r="AC31" i="26" s="1"/>
  <c r="AB31" i="26" s="1"/>
  <c r="C52" i="27"/>
  <c r="C66" i="27"/>
  <c r="F69" i="27"/>
  <c r="F55" i="27"/>
  <c r="G55" i="28"/>
  <c r="G69" i="28"/>
  <c r="J69" i="27"/>
  <c r="J55" i="27"/>
  <c r="AA55" i="28"/>
  <c r="AA69" i="28"/>
  <c r="M55" i="27"/>
  <c r="M69" i="27"/>
  <c r="N55" i="28"/>
  <c r="N69" i="28"/>
  <c r="Q55" i="27"/>
  <c r="Q69" i="27"/>
  <c r="R55" i="28"/>
  <c r="R69" i="28"/>
  <c r="U55" i="27"/>
  <c r="U69" i="27"/>
  <c r="V55" i="28"/>
  <c r="V69" i="28"/>
  <c r="X55" i="27"/>
  <c r="X69" i="27"/>
  <c r="Y55" i="28"/>
  <c r="Y69" i="28"/>
  <c r="C67" i="27"/>
  <c r="C53" i="27"/>
  <c r="E59" i="27"/>
  <c r="E73" i="27"/>
  <c r="G73" i="27"/>
  <c r="G59" i="27"/>
  <c r="I73" i="27"/>
  <c r="I59" i="27"/>
  <c r="AA73" i="27"/>
  <c r="AA59" i="27"/>
  <c r="E75" i="27"/>
  <c r="E61" i="27"/>
  <c r="F75" i="27"/>
  <c r="F61" i="27"/>
  <c r="G75" i="27"/>
  <c r="G61" i="27"/>
  <c r="H75" i="27"/>
  <c r="H61" i="27"/>
  <c r="I75" i="27"/>
  <c r="I61" i="27"/>
  <c r="J75" i="27"/>
  <c r="J61" i="27"/>
  <c r="AA75" i="27"/>
  <c r="AA61" i="27"/>
  <c r="K75" i="27"/>
  <c r="K61" i="27"/>
  <c r="L61" i="27"/>
  <c r="L75" i="27"/>
  <c r="M75" i="27"/>
  <c r="M61" i="27"/>
  <c r="N75" i="27"/>
  <c r="N61" i="27"/>
  <c r="E51" i="27"/>
  <c r="E48" i="27" s="1"/>
  <c r="E65" i="27"/>
  <c r="F65" i="27"/>
  <c r="F51" i="27"/>
  <c r="G65" i="27"/>
  <c r="G51" i="27"/>
  <c r="H51" i="27"/>
  <c r="H65" i="27"/>
  <c r="I51" i="27"/>
  <c r="I48" i="27" s="1"/>
  <c r="I65" i="27"/>
  <c r="F74" i="27"/>
  <c r="F60" i="27"/>
  <c r="G58" i="27"/>
  <c r="G72" i="27"/>
  <c r="H70" i="27"/>
  <c r="H56" i="27"/>
  <c r="J74" i="27"/>
  <c r="J60" i="27"/>
  <c r="AA58" i="27"/>
  <c r="AA72" i="27"/>
  <c r="K56" i="27"/>
  <c r="K70" i="27"/>
  <c r="M74" i="27"/>
  <c r="M60" i="27"/>
  <c r="N58" i="27"/>
  <c r="N72" i="27"/>
  <c r="O56" i="27"/>
  <c r="O70" i="27"/>
  <c r="Q74" i="27"/>
  <c r="Q60" i="27"/>
  <c r="J52" i="27"/>
  <c r="J66" i="27"/>
  <c r="AA52" i="27"/>
  <c r="AA48" i="27" s="1"/>
  <c r="AA66" i="27"/>
  <c r="K52" i="27"/>
  <c r="K66" i="27"/>
  <c r="L66" i="27"/>
  <c r="L52" i="27"/>
  <c r="L68" i="27"/>
  <c r="L54" i="27"/>
  <c r="M53" i="27"/>
  <c r="M67" i="27"/>
  <c r="N63" i="26"/>
  <c r="O65" i="27"/>
  <c r="O51" i="27"/>
  <c r="O48" i="27" s="1"/>
  <c r="P66" i="27"/>
  <c r="P52" i="27"/>
  <c r="P68" i="27"/>
  <c r="P54" i="27"/>
  <c r="Q53" i="27"/>
  <c r="Q67" i="27"/>
  <c r="R63" i="26"/>
  <c r="S65" i="27"/>
  <c r="S51" i="27"/>
  <c r="T66" i="27"/>
  <c r="T52" i="27"/>
  <c r="T68" i="27"/>
  <c r="T54" i="27"/>
  <c r="U53" i="27"/>
  <c r="U67" i="27"/>
  <c r="V63" i="26"/>
  <c r="Z65" i="27"/>
  <c r="Z51" i="27"/>
  <c r="W52" i="27"/>
  <c r="W66" i="27"/>
  <c r="W54" i="27"/>
  <c r="W68" i="27"/>
  <c r="X53" i="27"/>
  <c r="X67" i="27"/>
  <c r="Y63" i="26"/>
  <c r="W75" i="27"/>
  <c r="W61" i="27"/>
  <c r="R56" i="27"/>
  <c r="R70" i="27"/>
  <c r="T74" i="27"/>
  <c r="T60" i="27"/>
  <c r="U72" i="27"/>
  <c r="U58" i="27"/>
  <c r="V56" i="27"/>
  <c r="V70" i="27"/>
  <c r="W74" i="27"/>
  <c r="W60" i="27"/>
  <c r="X72" i="27"/>
  <c r="X58" i="27"/>
  <c r="Y70" i="27"/>
  <c r="Y56" i="27"/>
  <c r="Y73" i="27"/>
  <c r="Y59" i="27"/>
  <c r="C6" i="27"/>
  <c r="C47" i="27" s="1"/>
  <c r="C11" i="27"/>
  <c r="C13" i="27"/>
  <c r="C33" i="27" s="1"/>
  <c r="C19" i="27"/>
  <c r="C24" i="27"/>
  <c r="C15" i="27"/>
  <c r="C44" i="27" s="1"/>
  <c r="C14" i="27"/>
  <c r="C34" i="27" s="1"/>
  <c r="F9" i="4"/>
  <c r="C8" i="27"/>
  <c r="C41" i="27" s="1"/>
  <c r="C4" i="27"/>
  <c r="C40" i="27" s="1"/>
  <c r="F16" i="4"/>
  <c r="F7" i="4"/>
  <c r="C24" i="28"/>
  <c r="F20" i="4"/>
  <c r="F5" i="4"/>
  <c r="F2" i="4"/>
  <c r="F38" i="4" s="1"/>
  <c r="F21" i="4"/>
  <c r="C22" i="27"/>
  <c r="C37" i="27" s="1"/>
  <c r="F17" i="4"/>
  <c r="F12" i="4"/>
  <c r="F18" i="4"/>
  <c r="C30" i="27"/>
  <c r="C35" i="27" s="1"/>
  <c r="G30" i="4"/>
  <c r="G35" i="4" s="1"/>
  <c r="C29" i="27"/>
  <c r="G29" i="4"/>
  <c r="C28" i="27"/>
  <c r="C43" i="27" s="1"/>
  <c r="G28" i="4"/>
  <c r="G43" i="4" s="1"/>
  <c r="C27" i="27"/>
  <c r="G27" i="4"/>
  <c r="C26" i="27"/>
  <c r="C36" i="27" s="1"/>
  <c r="G26" i="4"/>
  <c r="G36" i="4" s="1"/>
  <c r="C25" i="28"/>
  <c r="C25" i="27"/>
  <c r="G25" i="4"/>
  <c r="G24" i="4"/>
  <c r="C23" i="27"/>
  <c r="C49" i="27" s="1"/>
  <c r="G23" i="4"/>
  <c r="G49" i="4" s="1"/>
  <c r="G22" i="4"/>
  <c r="G37" i="4" s="1"/>
  <c r="G21" i="4"/>
  <c r="G20" i="4"/>
  <c r="G19" i="4"/>
  <c r="G42" i="4" s="1"/>
  <c r="G18" i="4"/>
  <c r="G17" i="4"/>
  <c r="G16" i="4"/>
  <c r="G15" i="4"/>
  <c r="G44" i="4" s="1"/>
  <c r="G14" i="4"/>
  <c r="G34" i="4" s="1"/>
  <c r="G13" i="4"/>
  <c r="G33" i="4" s="1"/>
  <c r="G12" i="4"/>
  <c r="G11" i="4"/>
  <c r="G39" i="4" s="1"/>
  <c r="C10" i="27"/>
  <c r="C46" i="27" s="1"/>
  <c r="G10" i="4"/>
  <c r="G46" i="4" s="1"/>
  <c r="G9" i="4"/>
  <c r="G8" i="4"/>
  <c r="G41" i="4" s="1"/>
  <c r="G7" i="4"/>
  <c r="G6" i="4"/>
  <c r="G47" i="4" s="1"/>
  <c r="G5" i="4"/>
  <c r="G4" i="4"/>
  <c r="G40" i="4" s="1"/>
  <c r="G2" i="4"/>
  <c r="G38" i="4" s="1"/>
  <c r="AD2" i="27"/>
  <c r="AD38" i="27" s="1"/>
  <c r="AD4" i="27"/>
  <c r="AD40" i="27" s="1"/>
  <c r="AD5" i="27"/>
  <c r="AD6" i="27"/>
  <c r="AD47" i="27" s="1"/>
  <c r="AD7" i="27"/>
  <c r="AD8" i="27"/>
  <c r="AD41" i="27" s="1"/>
  <c r="AD9" i="27"/>
  <c r="AD10" i="27"/>
  <c r="AD46" i="27" s="1"/>
  <c r="AD45" i="27" s="1"/>
  <c r="AD11" i="27"/>
  <c r="AD39" i="27" s="1"/>
  <c r="AD12" i="27"/>
  <c r="AD13" i="27"/>
  <c r="AD33" i="27" s="1"/>
  <c r="AD14" i="27"/>
  <c r="AD34" i="27" s="1"/>
  <c r="AD15" i="27"/>
  <c r="AD44" i="27" s="1"/>
  <c r="AD16" i="27"/>
  <c r="AD17" i="27"/>
  <c r="AD18" i="27"/>
  <c r="AD19" i="27"/>
  <c r="AD42" i="27" s="1"/>
  <c r="AD20" i="27"/>
  <c r="AD21" i="27"/>
  <c r="AD22" i="27"/>
  <c r="AD37" i="27" s="1"/>
  <c r="AD23" i="27"/>
  <c r="AD49" i="27" s="1"/>
  <c r="AD24" i="27"/>
  <c r="AD25" i="27"/>
  <c r="AD26" i="27"/>
  <c r="AD36" i="27" s="1"/>
  <c r="AD27" i="27"/>
  <c r="AD28" i="27"/>
  <c r="AD43" i="27" s="1"/>
  <c r="AD29" i="27"/>
  <c r="AD30" i="27"/>
  <c r="AD35" i="27" s="1"/>
  <c r="AB2" i="26"/>
  <c r="AB38" i="26" s="1"/>
  <c r="AC2" i="27"/>
  <c r="AC38" i="27" s="1"/>
  <c r="AB4" i="26"/>
  <c r="AB40" i="26" s="1"/>
  <c r="AC4" i="27"/>
  <c r="AC40" i="27" s="1"/>
  <c r="AC5" i="27"/>
  <c r="AB5" i="26"/>
  <c r="AB6" i="26"/>
  <c r="AB47" i="26" s="1"/>
  <c r="AC6" i="27"/>
  <c r="AC47" i="27" s="1"/>
  <c r="AC7" i="27"/>
  <c r="AB7" i="26"/>
  <c r="AC8" i="27"/>
  <c r="AC41" i="27" s="1"/>
  <c r="AB8" i="26"/>
  <c r="AB41" i="26" s="1"/>
  <c r="AB9" i="26"/>
  <c r="AC9" i="27"/>
  <c r="AC10" i="27"/>
  <c r="AC46" i="27" s="1"/>
  <c r="AB10" i="26"/>
  <c r="AB46" i="26" s="1"/>
  <c r="AC11" i="27"/>
  <c r="AC39" i="27" s="1"/>
  <c r="AB11" i="26"/>
  <c r="AB39" i="26" s="1"/>
  <c r="AB12" i="26"/>
  <c r="AC12" i="27"/>
  <c r="AB13" i="26"/>
  <c r="AB33" i="26" s="1"/>
  <c r="AC13" i="27"/>
  <c r="AC33" i="27" s="1"/>
  <c r="AB14" i="26"/>
  <c r="AB34" i="26" s="1"/>
  <c r="AC14" i="27"/>
  <c r="AC34" i="27" s="1"/>
  <c r="AC15" i="27"/>
  <c r="AC44" i="27" s="1"/>
  <c r="AB15" i="26"/>
  <c r="AB44" i="26" s="1"/>
  <c r="AB16" i="26"/>
  <c r="AC16" i="27"/>
  <c r="AB17" i="26"/>
  <c r="AC17" i="27"/>
  <c r="AB18" i="26"/>
  <c r="AC18" i="27"/>
  <c r="AB19" i="26"/>
  <c r="AB42" i="26" s="1"/>
  <c r="AC19" i="27"/>
  <c r="AC42" i="27" s="1"/>
  <c r="AB20" i="26"/>
  <c r="AC20" i="27"/>
  <c r="AB21" i="26"/>
  <c r="AC21" i="27"/>
  <c r="AC22" i="27"/>
  <c r="AC37" i="27" s="1"/>
  <c r="AB22" i="26"/>
  <c r="AB37" i="26" s="1"/>
  <c r="AB23" i="26"/>
  <c r="AB49" i="26" s="1"/>
  <c r="AC23" i="27"/>
  <c r="AC49" i="27" s="1"/>
  <c r="AC24" i="27"/>
  <c r="AB24" i="26"/>
  <c r="AB25" i="26"/>
  <c r="AC25" i="27"/>
  <c r="AB26" i="26"/>
  <c r="AB36" i="26" s="1"/>
  <c r="AC26" i="27"/>
  <c r="AC36" i="27" s="1"/>
  <c r="AB27" i="26"/>
  <c r="AC27" i="27"/>
  <c r="AC28" i="27"/>
  <c r="AC43" i="27" s="1"/>
  <c r="AB28" i="26"/>
  <c r="AB43" i="26" s="1"/>
  <c r="AC29" i="27"/>
  <c r="AB29" i="26"/>
  <c r="AC30" i="27"/>
  <c r="AC35" i="27" s="1"/>
  <c r="AB30" i="26"/>
  <c r="AB35" i="26" s="1"/>
  <c r="AC3" i="27"/>
  <c r="AC32" i="27" s="1"/>
  <c r="W48" i="27" l="1"/>
  <c r="AS48" i="27"/>
  <c r="AE48" i="27"/>
  <c r="AP48" i="27"/>
  <c r="AN48" i="27"/>
  <c r="AK48" i="27"/>
  <c r="AJ48" i="27"/>
  <c r="AZ48" i="27"/>
  <c r="AI48" i="27"/>
  <c r="AB45" i="26"/>
  <c r="AX48" i="27"/>
  <c r="AW48" i="27"/>
  <c r="AU48" i="27"/>
  <c r="AT48" i="27"/>
  <c r="AF48" i="27"/>
  <c r="T48" i="27"/>
  <c r="AC45" i="27"/>
  <c r="AB45" i="27" s="1"/>
  <c r="AD31" i="27"/>
  <c r="Z48" i="27"/>
  <c r="P48" i="27"/>
  <c r="K48" i="27"/>
  <c r="H48" i="27"/>
  <c r="X48" i="27"/>
  <c r="U48" i="27"/>
  <c r="Q48" i="27"/>
  <c r="M48" i="27"/>
  <c r="AV48" i="27"/>
  <c r="AO48" i="27"/>
  <c r="AL48" i="27"/>
  <c r="AH48" i="27"/>
  <c r="Y48" i="27"/>
  <c r="V48" i="27"/>
  <c r="R48" i="27"/>
  <c r="C3" i="17"/>
  <c r="C32" i="17" s="1"/>
  <c r="F6" i="4"/>
  <c r="F47" i="4" s="1"/>
  <c r="S48" i="27"/>
  <c r="L48" i="27"/>
  <c r="G48" i="27"/>
  <c r="AC48" i="26"/>
  <c r="AB48" i="26" s="1"/>
  <c r="J48" i="27"/>
  <c r="C48" i="27" s="1"/>
  <c r="F48" i="27"/>
  <c r="AY48" i="27"/>
  <c r="AQ48" i="27"/>
  <c r="AM48" i="27"/>
  <c r="N48" i="27"/>
  <c r="D48" i="27"/>
  <c r="AB70" i="26"/>
  <c r="AB56" i="26"/>
  <c r="AB75" i="26"/>
  <c r="AB61" i="26"/>
  <c r="AB72" i="26"/>
  <c r="AB58" i="26"/>
  <c r="C50" i="27"/>
  <c r="C64" i="27"/>
  <c r="AC76" i="27"/>
  <c r="AC62" i="27"/>
  <c r="AC64" i="27"/>
  <c r="AC50" i="27"/>
  <c r="AC51" i="27"/>
  <c r="AC65" i="27"/>
  <c r="AC66" i="27"/>
  <c r="AC52" i="27"/>
  <c r="AC68" i="27"/>
  <c r="AC54" i="27"/>
  <c r="AB73" i="26"/>
  <c r="AB59" i="26"/>
  <c r="AB67" i="26"/>
  <c r="AB53" i="26"/>
  <c r="AD69" i="27"/>
  <c r="AD55" i="27"/>
  <c r="AD56" i="27"/>
  <c r="AD70" i="27"/>
  <c r="AD58" i="27"/>
  <c r="AD72" i="27"/>
  <c r="AD60" i="27"/>
  <c r="AD74" i="27"/>
  <c r="T25" i="4"/>
  <c r="C50" i="28"/>
  <c r="C64" i="28"/>
  <c r="C76" i="27"/>
  <c r="C62" i="27"/>
  <c r="C71" i="27"/>
  <c r="C57" i="27"/>
  <c r="T24" i="4"/>
  <c r="C55" i="28"/>
  <c r="C69" i="28"/>
  <c r="F11" i="4"/>
  <c r="F39" i="4" s="1"/>
  <c r="C39" i="27"/>
  <c r="M63" i="27"/>
  <c r="J63" i="27"/>
  <c r="P63" i="27"/>
  <c r="S63" i="27"/>
  <c r="H63" i="27"/>
  <c r="AC69" i="28"/>
  <c r="AC55" i="28"/>
  <c r="AA63" i="27"/>
  <c r="AW63" i="27"/>
  <c r="AV63" i="27"/>
  <c r="AS63" i="27"/>
  <c r="AK63" i="27"/>
  <c r="AG63" i="27"/>
  <c r="AD50" i="27"/>
  <c r="AD64" i="27"/>
  <c r="AD52" i="27"/>
  <c r="AD66" i="27"/>
  <c r="AD54" i="27"/>
  <c r="AD68" i="27"/>
  <c r="AC31" i="27"/>
  <c r="AB31" i="27" s="1"/>
  <c r="AC57" i="27"/>
  <c r="AC71" i="27"/>
  <c r="AB76" i="26"/>
  <c r="AB62" i="26"/>
  <c r="AB64" i="26"/>
  <c r="AB50" i="26"/>
  <c r="AB65" i="26"/>
  <c r="AB51" i="26"/>
  <c r="AB66" i="26"/>
  <c r="AB52" i="26"/>
  <c r="AB68" i="26"/>
  <c r="AB54" i="26"/>
  <c r="AC73" i="27"/>
  <c r="AC59" i="27"/>
  <c r="AC53" i="27"/>
  <c r="AC67" i="27"/>
  <c r="AD62" i="27"/>
  <c r="AD76" i="27"/>
  <c r="AD73" i="27"/>
  <c r="AD59" i="27"/>
  <c r="C69" i="27"/>
  <c r="C55" i="27"/>
  <c r="AB55" i="28"/>
  <c r="AB69" i="28"/>
  <c r="X63" i="27"/>
  <c r="F63" i="27"/>
  <c r="W63" i="27"/>
  <c r="L63" i="27"/>
  <c r="AC63" i="26"/>
  <c r="O63" i="27"/>
  <c r="AR63" i="27"/>
  <c r="C63" i="26"/>
  <c r="AD55" i="28"/>
  <c r="AD69" i="28"/>
  <c r="Y63" i="27"/>
  <c r="V63" i="27"/>
  <c r="G63" i="27"/>
  <c r="AP63" i="27"/>
  <c r="AE63" i="27"/>
  <c r="AB74" i="26"/>
  <c r="AB60" i="26"/>
  <c r="AD71" i="27"/>
  <c r="AD57" i="27"/>
  <c r="AB71" i="26"/>
  <c r="AB57" i="26"/>
  <c r="AB69" i="26"/>
  <c r="AB55" i="26"/>
  <c r="AC70" i="27"/>
  <c r="AC56" i="27"/>
  <c r="AC75" i="27"/>
  <c r="AC61" i="27"/>
  <c r="AC72" i="27"/>
  <c r="AC58" i="27"/>
  <c r="AC74" i="27"/>
  <c r="AC60" i="27"/>
  <c r="AD75" i="27"/>
  <c r="AD61" i="27"/>
  <c r="F13" i="4"/>
  <c r="F33" i="4" s="1"/>
  <c r="F19" i="4"/>
  <c r="F42" i="4" s="1"/>
  <c r="C42" i="27"/>
  <c r="U63" i="27"/>
  <c r="AH63" i="27"/>
  <c r="I63" i="27"/>
  <c r="AL63" i="27"/>
  <c r="AC64" i="28"/>
  <c r="AC50" i="28"/>
  <c r="AB25" i="28"/>
  <c r="AD63" i="26"/>
  <c r="K63" i="27"/>
  <c r="R63" i="27"/>
  <c r="AC55" i="27"/>
  <c r="AC69" i="27"/>
  <c r="AD65" i="27"/>
  <c r="AD51" i="27"/>
  <c r="AD67" i="27"/>
  <c r="AD53" i="27"/>
  <c r="Q63" i="27"/>
  <c r="AN63" i="27"/>
  <c r="AZ63" i="27"/>
  <c r="T63" i="27"/>
  <c r="E63" i="27"/>
  <c r="AO63" i="27"/>
  <c r="AJ63" i="27"/>
  <c r="AF63" i="27"/>
  <c r="AD64" i="28"/>
  <c r="AD50" i="28"/>
  <c r="Z63" i="27"/>
  <c r="N63" i="27"/>
  <c r="AX63" i="27"/>
  <c r="AY63" i="27"/>
  <c r="AU63" i="27"/>
  <c r="AT63" i="27"/>
  <c r="AQ63" i="27"/>
  <c r="AM63" i="27"/>
  <c r="AI63" i="27"/>
  <c r="AH24" i="17"/>
  <c r="AH55" i="17" s="1"/>
  <c r="AR55" i="17" s="1"/>
  <c r="G31" i="4"/>
  <c r="G45" i="4"/>
  <c r="F74" i="4"/>
  <c r="F60" i="4"/>
  <c r="F66" i="4"/>
  <c r="F52" i="4"/>
  <c r="F67" i="4"/>
  <c r="F53" i="4"/>
  <c r="F4" i="4"/>
  <c r="F40" i="4" s="1"/>
  <c r="F14" i="4"/>
  <c r="F34" i="4" s="1"/>
  <c r="F15" i="4"/>
  <c r="F44" i="4" s="1"/>
  <c r="F72" i="4"/>
  <c r="F58" i="4"/>
  <c r="F8" i="4"/>
  <c r="F41" i="4" s="1"/>
  <c r="F68" i="4"/>
  <c r="F54" i="4"/>
  <c r="F24" i="4"/>
  <c r="AB3" i="27"/>
  <c r="AB32" i="27" s="1"/>
  <c r="F22" i="4"/>
  <c r="F37" i="4" s="1"/>
  <c r="F65" i="4"/>
  <c r="F51" i="4"/>
  <c r="F75" i="4"/>
  <c r="F61" i="4"/>
  <c r="F70" i="4"/>
  <c r="F56" i="4"/>
  <c r="F73" i="4"/>
  <c r="F59" i="4"/>
  <c r="C30" i="17"/>
  <c r="C35" i="17" s="1"/>
  <c r="AB30" i="27"/>
  <c r="AB35" i="27" s="1"/>
  <c r="C29" i="17"/>
  <c r="AB29" i="27"/>
  <c r="C28" i="17"/>
  <c r="C43" i="17" s="1"/>
  <c r="AB28" i="27"/>
  <c r="AB43" i="27" s="1"/>
  <c r="AB27" i="27"/>
  <c r="C27" i="17"/>
  <c r="AB26" i="27"/>
  <c r="AB36" i="27" s="1"/>
  <c r="C26" i="17"/>
  <c r="C36" i="17" s="1"/>
  <c r="AB25" i="27"/>
  <c r="C25" i="17"/>
  <c r="C24" i="17"/>
  <c r="AB24" i="27"/>
  <c r="AB23" i="27"/>
  <c r="AB49" i="27" s="1"/>
  <c r="C23" i="17"/>
  <c r="C49" i="17" s="1"/>
  <c r="C22" i="17"/>
  <c r="C37" i="17" s="1"/>
  <c r="AB22" i="27"/>
  <c r="AB37" i="27" s="1"/>
  <c r="AB21" i="27"/>
  <c r="C21" i="17"/>
  <c r="AB20" i="27"/>
  <c r="C20" i="17"/>
  <c r="AB19" i="27"/>
  <c r="AB42" i="27" s="1"/>
  <c r="C19" i="17"/>
  <c r="C42" i="17" s="1"/>
  <c r="AB18" i="27"/>
  <c r="C18" i="17"/>
  <c r="AB17" i="27"/>
  <c r="C17" i="17"/>
  <c r="AB16" i="27"/>
  <c r="C16" i="17"/>
  <c r="C15" i="17"/>
  <c r="C44" i="17" s="1"/>
  <c r="AB15" i="27"/>
  <c r="AB44" i="27" s="1"/>
  <c r="AB14" i="27"/>
  <c r="AB34" i="27" s="1"/>
  <c r="C14" i="17"/>
  <c r="C34" i="17" s="1"/>
  <c r="AB13" i="27"/>
  <c r="AB33" i="27" s="1"/>
  <c r="C13" i="17"/>
  <c r="C33" i="17" s="1"/>
  <c r="AB12" i="27"/>
  <c r="C12" i="17"/>
  <c r="C11" i="17"/>
  <c r="C39" i="17" s="1"/>
  <c r="AB11" i="27"/>
  <c r="AB39" i="27" s="1"/>
  <c r="C10" i="17"/>
  <c r="C46" i="17" s="1"/>
  <c r="AB10" i="27"/>
  <c r="AB46" i="27" s="1"/>
  <c r="AB9" i="27"/>
  <c r="C9" i="17"/>
  <c r="C8" i="17"/>
  <c r="C41" i="17" s="1"/>
  <c r="AB8" i="27"/>
  <c r="AB41" i="27" s="1"/>
  <c r="C7" i="17"/>
  <c r="AB7" i="27"/>
  <c r="AB6" i="27"/>
  <c r="AB47" i="27" s="1"/>
  <c r="C6" i="17"/>
  <c r="C47" i="17" s="1"/>
  <c r="C5" i="17"/>
  <c r="AB5" i="27"/>
  <c r="AB4" i="27"/>
  <c r="AB40" i="27" s="1"/>
  <c r="C4" i="17"/>
  <c r="C40" i="17" s="1"/>
  <c r="AB2" i="27"/>
  <c r="AB38" i="27" s="1"/>
  <c r="C2" i="17"/>
  <c r="C38" i="17" s="1"/>
  <c r="G67" i="4"/>
  <c r="G53" i="4"/>
  <c r="G73" i="4"/>
  <c r="G59" i="4"/>
  <c r="G68" i="4"/>
  <c r="G54" i="4"/>
  <c r="F10" i="4"/>
  <c r="F46" i="4" s="1"/>
  <c r="F45" i="4" s="1"/>
  <c r="G74" i="4"/>
  <c r="G60" i="4"/>
  <c r="G72" i="4"/>
  <c r="G58" i="4"/>
  <c r="G66" i="4"/>
  <c r="G52" i="4"/>
  <c r="G75" i="4"/>
  <c r="G61" i="4"/>
  <c r="G70" i="4"/>
  <c r="G56" i="4"/>
  <c r="G65" i="4"/>
  <c r="G51" i="4"/>
  <c r="F23" i="4"/>
  <c r="F49" i="4" s="1"/>
  <c r="G69" i="4"/>
  <c r="G55" i="4"/>
  <c r="G64" i="4"/>
  <c r="G50" i="4"/>
  <c r="F25" i="4"/>
  <c r="F26" i="4"/>
  <c r="F36" i="4" s="1"/>
  <c r="G76" i="4"/>
  <c r="G62" i="4"/>
  <c r="F27" i="4"/>
  <c r="F28" i="4"/>
  <c r="F43" i="4" s="1"/>
  <c r="G71" i="4"/>
  <c r="G57" i="4"/>
  <c r="F29" i="4"/>
  <c r="F30" i="4"/>
  <c r="F35" i="4" s="1"/>
  <c r="R32" i="4"/>
  <c r="R31" i="4" s="1"/>
  <c r="C63" i="27" l="1"/>
  <c r="AB63" i="26"/>
  <c r="AC48" i="27"/>
  <c r="AB48" i="27" s="1"/>
  <c r="AD48" i="27"/>
  <c r="AB64" i="27"/>
  <c r="AB50" i="27"/>
  <c r="AC63" i="27"/>
  <c r="AB55" i="27"/>
  <c r="AB69" i="27"/>
  <c r="AB51" i="27"/>
  <c r="AB65" i="27"/>
  <c r="AB74" i="27"/>
  <c r="AB60" i="27"/>
  <c r="AB72" i="27"/>
  <c r="AB58" i="27"/>
  <c r="AB61" i="27"/>
  <c r="AB75" i="27"/>
  <c r="AB70" i="27"/>
  <c r="AB56" i="27"/>
  <c r="AB68" i="27"/>
  <c r="AB54" i="27"/>
  <c r="AB66" i="27"/>
  <c r="AB52" i="27"/>
  <c r="AB76" i="27"/>
  <c r="AB62" i="27"/>
  <c r="AD63" i="27"/>
  <c r="AR24" i="17"/>
  <c r="AB53" i="27"/>
  <c r="AB67" i="27"/>
  <c r="AB73" i="27"/>
  <c r="AB59" i="27"/>
  <c r="AB57" i="27"/>
  <c r="AB71" i="27"/>
  <c r="AB50" i="28"/>
  <c r="AB64" i="28"/>
  <c r="AH25" i="17"/>
  <c r="M2" i="17"/>
  <c r="AH69" i="17"/>
  <c r="AR69" i="17" s="1"/>
  <c r="F48" i="4"/>
  <c r="G63" i="4"/>
  <c r="G48" i="4"/>
  <c r="C45" i="17"/>
  <c r="C31" i="17"/>
  <c r="F69" i="4"/>
  <c r="F55" i="4"/>
  <c r="T69" i="4"/>
  <c r="T55" i="4"/>
  <c r="F63" i="4"/>
  <c r="F71" i="4"/>
  <c r="F57" i="4"/>
  <c r="F76" i="4"/>
  <c r="F62" i="4"/>
  <c r="T64" i="4"/>
  <c r="T50" i="4"/>
  <c r="F64" i="4"/>
  <c r="F50" i="4"/>
  <c r="C53" i="17"/>
  <c r="C67" i="17"/>
  <c r="C73" i="17"/>
  <c r="C59" i="17"/>
  <c r="C68" i="17"/>
  <c r="C54" i="17"/>
  <c r="C74" i="17"/>
  <c r="C60" i="17"/>
  <c r="C72" i="17"/>
  <c r="C58" i="17"/>
  <c r="C66" i="17"/>
  <c r="C52" i="17"/>
  <c r="C61" i="17"/>
  <c r="C75" i="17"/>
  <c r="C70" i="17"/>
  <c r="C56" i="17"/>
  <c r="C65" i="17"/>
  <c r="C51" i="17"/>
  <c r="C69" i="17"/>
  <c r="C55" i="17"/>
  <c r="C64" i="17"/>
  <c r="C50" i="17"/>
  <c r="C76" i="17"/>
  <c r="C62" i="17"/>
  <c r="C57" i="17"/>
  <c r="C71" i="17"/>
  <c r="AX25" i="1"/>
  <c r="AX23" i="1"/>
  <c r="AX10" i="1"/>
  <c r="AB63" i="27" l="1"/>
  <c r="AH50" i="17"/>
  <c r="AR50" i="17" s="1"/>
  <c r="AH64" i="17"/>
  <c r="AR64" i="17" s="1"/>
  <c r="AR25" i="17"/>
  <c r="C48" i="17"/>
  <c r="C63" i="17"/>
  <c r="AY7" i="1"/>
  <c r="AX7" i="1"/>
  <c r="AY9" i="1"/>
  <c r="AX9" i="1"/>
  <c r="AY4" i="1"/>
  <c r="AX4" i="1"/>
  <c r="AY8" i="1"/>
  <c r="AX8" i="1"/>
  <c r="AX2" i="1"/>
  <c r="AY5" i="1"/>
  <c r="AX5" i="1"/>
  <c r="AY6" i="1"/>
  <c r="AX6" i="1"/>
  <c r="AY14" i="1"/>
  <c r="AX14" i="1"/>
  <c r="AY16" i="1"/>
  <c r="AX16" i="1"/>
  <c r="AY26" i="1"/>
  <c r="AX26" i="1"/>
  <c r="AY30" i="1"/>
  <c r="AX30" i="1"/>
  <c r="AY13" i="1"/>
  <c r="AX13" i="1"/>
  <c r="AY18" i="1"/>
  <c r="AX18" i="1"/>
  <c r="AY19" i="1"/>
  <c r="AX19" i="1"/>
  <c r="AY21" i="1"/>
  <c r="AX21" i="1"/>
  <c r="AY27" i="1"/>
  <c r="AX27" i="1"/>
  <c r="AY28" i="1"/>
  <c r="AX28" i="1"/>
  <c r="AY11" i="1"/>
  <c r="AX11" i="1"/>
  <c r="AY12" i="1"/>
  <c r="AX12" i="1"/>
  <c r="AY15" i="1"/>
  <c r="AX15" i="1"/>
  <c r="AY17" i="1"/>
  <c r="AX17" i="1"/>
  <c r="AY20" i="1"/>
  <c r="AX20" i="1"/>
  <c r="AY22" i="1"/>
  <c r="AX22" i="1"/>
  <c r="AY24" i="1"/>
  <c r="AX24" i="1"/>
  <c r="AY29" i="1"/>
  <c r="AX29" i="1"/>
  <c r="AY10" i="1"/>
  <c r="AY10" i="36" s="1"/>
  <c r="AY23" i="1"/>
  <c r="AY25" i="1"/>
  <c r="AV28" i="36" l="1"/>
  <c r="AR28" i="36"/>
  <c r="AN28" i="36"/>
  <c r="AJ28" i="36"/>
  <c r="AF28" i="36"/>
  <c r="AB28" i="36"/>
  <c r="X28" i="36"/>
  <c r="T28" i="36"/>
  <c r="P28" i="36"/>
  <c r="L28" i="36"/>
  <c r="H28" i="36"/>
  <c r="D28" i="36"/>
  <c r="AU28" i="36"/>
  <c r="AQ28" i="36"/>
  <c r="AM28" i="36"/>
  <c r="AI28" i="36"/>
  <c r="AE28" i="36"/>
  <c r="AA28" i="36"/>
  <c r="W28" i="36"/>
  <c r="S28" i="36"/>
  <c r="O28" i="36"/>
  <c r="K28" i="36"/>
  <c r="G28" i="36"/>
  <c r="C28" i="36"/>
  <c r="AX28" i="36"/>
  <c r="AT28" i="36"/>
  <c r="AL28" i="36"/>
  <c r="AH28" i="36"/>
  <c r="AD28" i="36"/>
  <c r="Z28" i="36"/>
  <c r="V28" i="36"/>
  <c r="R28" i="36"/>
  <c r="N28" i="36"/>
  <c r="J28" i="36"/>
  <c r="F28" i="36"/>
  <c r="AW28" i="36"/>
  <c r="AS28" i="36"/>
  <c r="AO28" i="36"/>
  <c r="AK28" i="36"/>
  <c r="AG28" i="36"/>
  <c r="AC28" i="36"/>
  <c r="Y28" i="36"/>
  <c r="U28" i="36"/>
  <c r="Q28" i="36"/>
  <c r="M28" i="36"/>
  <c r="I28" i="36"/>
  <c r="E28" i="36"/>
  <c r="BU19" i="36"/>
  <c r="BQ19" i="36"/>
  <c r="BM19" i="36"/>
  <c r="BI19" i="36"/>
  <c r="BE19" i="36"/>
  <c r="BA19" i="36"/>
  <c r="BT19" i="36"/>
  <c r="BP19" i="36"/>
  <c r="BL19" i="36"/>
  <c r="BH19" i="36"/>
  <c r="BD19" i="36"/>
  <c r="AZ19" i="36"/>
  <c r="BS19" i="36"/>
  <c r="BO19" i="36"/>
  <c r="BK19" i="36"/>
  <c r="BG19" i="36"/>
  <c r="BC19" i="36"/>
  <c r="AY19" i="36"/>
  <c r="BN19" i="36"/>
  <c r="BJ19" i="36"/>
  <c r="BV19" i="36"/>
  <c r="BF19" i="36"/>
  <c r="BR19" i="36"/>
  <c r="BB19" i="36"/>
  <c r="BU13" i="36"/>
  <c r="BQ13" i="36"/>
  <c r="BM13" i="36"/>
  <c r="BI13" i="36"/>
  <c r="BE13" i="36"/>
  <c r="BA13" i="36"/>
  <c r="BT13" i="36"/>
  <c r="BP13" i="36"/>
  <c r="BL13" i="36"/>
  <c r="BH13" i="36"/>
  <c r="BD13" i="36"/>
  <c r="AZ13" i="36"/>
  <c r="BS13" i="36"/>
  <c r="BO13" i="36"/>
  <c r="BK13" i="36"/>
  <c r="BG13" i="36"/>
  <c r="BC13" i="36"/>
  <c r="AY13" i="36"/>
  <c r="BN13" i="36"/>
  <c r="BJ13" i="36"/>
  <c r="BV13" i="36"/>
  <c r="BF13" i="36"/>
  <c r="BR13" i="36"/>
  <c r="BB13" i="36"/>
  <c r="BT5" i="36"/>
  <c r="BP5" i="36"/>
  <c r="BL5" i="36"/>
  <c r="BH5" i="36"/>
  <c r="BD5" i="36"/>
  <c r="AZ5" i="36"/>
  <c r="BU5" i="36"/>
  <c r="BI5" i="36"/>
  <c r="BS5" i="36"/>
  <c r="BO5" i="36"/>
  <c r="BK5" i="36"/>
  <c r="BG5" i="36"/>
  <c r="BC5" i="36"/>
  <c r="AY5" i="36"/>
  <c r="BQ5" i="36"/>
  <c r="BE5" i="36"/>
  <c r="BA5" i="36"/>
  <c r="BV5" i="36"/>
  <c r="BR5" i="36"/>
  <c r="BN5" i="36"/>
  <c r="BJ5" i="36"/>
  <c r="BF5" i="36"/>
  <c r="BB5" i="36"/>
  <c r="BM5" i="36"/>
  <c r="AV4" i="36"/>
  <c r="AR4" i="36"/>
  <c r="AN4" i="36"/>
  <c r="AJ4" i="36"/>
  <c r="AF4" i="36"/>
  <c r="AB4" i="36"/>
  <c r="X4" i="36"/>
  <c r="T4" i="36"/>
  <c r="P4" i="36"/>
  <c r="L4" i="36"/>
  <c r="H4" i="36"/>
  <c r="D4" i="36"/>
  <c r="AK4" i="36"/>
  <c r="Y4" i="36"/>
  <c r="M4" i="36"/>
  <c r="AU4" i="36"/>
  <c r="AQ4" i="36"/>
  <c r="AM4" i="36"/>
  <c r="AI4" i="36"/>
  <c r="AE4" i="36"/>
  <c r="AA4" i="36"/>
  <c r="W4" i="36"/>
  <c r="S4" i="36"/>
  <c r="O4" i="36"/>
  <c r="K4" i="36"/>
  <c r="G4" i="36"/>
  <c r="C4" i="36"/>
  <c r="AW4" i="36"/>
  <c r="AO4" i="36"/>
  <c r="AC4" i="36"/>
  <c r="Q4" i="36"/>
  <c r="E4" i="36"/>
  <c r="AX4" i="36"/>
  <c r="AT4" i="36"/>
  <c r="AL4" i="36"/>
  <c r="AH4" i="36"/>
  <c r="AD4" i="36"/>
  <c r="Z4" i="36"/>
  <c r="V4" i="36"/>
  <c r="R4" i="36"/>
  <c r="N4" i="36"/>
  <c r="J4" i="36"/>
  <c r="F4" i="36"/>
  <c r="AS4" i="36"/>
  <c r="AG4" i="36"/>
  <c r="U4" i="36"/>
  <c r="I4" i="36"/>
  <c r="AV30" i="36"/>
  <c r="AR30" i="36"/>
  <c r="AN30" i="36"/>
  <c r="AJ30" i="36"/>
  <c r="AF30" i="36"/>
  <c r="AB30" i="36"/>
  <c r="X30" i="36"/>
  <c r="T30" i="36"/>
  <c r="P30" i="36"/>
  <c r="L30" i="36"/>
  <c r="H30" i="36"/>
  <c r="D30" i="36"/>
  <c r="AU30" i="36"/>
  <c r="AQ30" i="36"/>
  <c r="AM30" i="36"/>
  <c r="AI30" i="36"/>
  <c r="AE30" i="36"/>
  <c r="AA30" i="36"/>
  <c r="W30" i="36"/>
  <c r="S30" i="36"/>
  <c r="O30" i="36"/>
  <c r="K30" i="36"/>
  <c r="G30" i="36"/>
  <c r="C30" i="36"/>
  <c r="AX30" i="36"/>
  <c r="AT30" i="36"/>
  <c r="AL30" i="36"/>
  <c r="AH30" i="36"/>
  <c r="AD30" i="36"/>
  <c r="Z30" i="36"/>
  <c r="V30" i="36"/>
  <c r="R30" i="36"/>
  <c r="N30" i="36"/>
  <c r="J30" i="36"/>
  <c r="F30" i="36"/>
  <c r="AC30" i="36"/>
  <c r="M30" i="36"/>
  <c r="AO30" i="36"/>
  <c r="Y30" i="36"/>
  <c r="I30" i="36"/>
  <c r="AW30" i="36"/>
  <c r="AK30" i="36"/>
  <c r="U30" i="36"/>
  <c r="E30" i="36"/>
  <c r="AS30" i="36"/>
  <c r="AG30" i="36"/>
  <c r="Q30" i="36"/>
  <c r="BU16" i="36"/>
  <c r="BQ16" i="36"/>
  <c r="BM16" i="36"/>
  <c r="BI16" i="36"/>
  <c r="BE16" i="36"/>
  <c r="BA16" i="36"/>
  <c r="BT16" i="36"/>
  <c r="BP16" i="36"/>
  <c r="BL16" i="36"/>
  <c r="BH16" i="36"/>
  <c r="BD16" i="36"/>
  <c r="AZ16" i="36"/>
  <c r="BS16" i="36"/>
  <c r="BO16" i="36"/>
  <c r="BK16" i="36"/>
  <c r="BG16" i="36"/>
  <c r="BC16" i="36"/>
  <c r="AY16" i="36"/>
  <c r="BN16" i="36"/>
  <c r="BJ16" i="36"/>
  <c r="BV16" i="36"/>
  <c r="BF16" i="36"/>
  <c r="BR16" i="36"/>
  <c r="BB16" i="36"/>
  <c r="BU14" i="36"/>
  <c r="BQ14" i="36"/>
  <c r="BM14" i="36"/>
  <c r="BI14" i="36"/>
  <c r="BE14" i="36"/>
  <c r="BA14" i="36"/>
  <c r="BT14" i="36"/>
  <c r="BP14" i="36"/>
  <c r="BL14" i="36"/>
  <c r="BH14" i="36"/>
  <c r="BD14" i="36"/>
  <c r="AZ14" i="36"/>
  <c r="BS14" i="36"/>
  <c r="BO14" i="36"/>
  <c r="BK14" i="36"/>
  <c r="BG14" i="36"/>
  <c r="BC14" i="36"/>
  <c r="AY14" i="36"/>
  <c r="BN14" i="36"/>
  <c r="BJ14" i="36"/>
  <c r="BV14" i="36"/>
  <c r="BF14" i="36"/>
  <c r="BR14" i="36"/>
  <c r="BB14" i="36"/>
  <c r="BT9" i="36"/>
  <c r="BP9" i="36"/>
  <c r="BL9" i="36"/>
  <c r="BH9" i="36"/>
  <c r="BD9" i="36"/>
  <c r="AZ9" i="36"/>
  <c r="BS9" i="36"/>
  <c r="BO9" i="36"/>
  <c r="BK9" i="36"/>
  <c r="BG9" i="36"/>
  <c r="BC9" i="36"/>
  <c r="AY9" i="36"/>
  <c r="BR9" i="36"/>
  <c r="BJ9" i="36"/>
  <c r="BB9" i="36"/>
  <c r="BU9" i="36"/>
  <c r="BQ9" i="36"/>
  <c r="BI9" i="36"/>
  <c r="BA9" i="36"/>
  <c r="BM9" i="36"/>
  <c r="BV9" i="36"/>
  <c r="BN9" i="36"/>
  <c r="BF9" i="36"/>
  <c r="BE9" i="36"/>
  <c r="AW15" i="36"/>
  <c r="AS15" i="36"/>
  <c r="AO15" i="36"/>
  <c r="AK15" i="36"/>
  <c r="AG15" i="36"/>
  <c r="AC15" i="36"/>
  <c r="Y15" i="36"/>
  <c r="U15" i="36"/>
  <c r="Q15" i="36"/>
  <c r="M15" i="36"/>
  <c r="I15" i="36"/>
  <c r="E15" i="36"/>
  <c r="AV15" i="36"/>
  <c r="AR15" i="36"/>
  <c r="AN15" i="36"/>
  <c r="AJ15" i="36"/>
  <c r="AF15" i="36"/>
  <c r="AB15" i="36"/>
  <c r="X15" i="36"/>
  <c r="T15" i="36"/>
  <c r="P15" i="36"/>
  <c r="L15" i="36"/>
  <c r="H15" i="36"/>
  <c r="D15" i="36"/>
  <c r="AU15" i="36"/>
  <c r="AQ15" i="36"/>
  <c r="AM15" i="36"/>
  <c r="AI15" i="36"/>
  <c r="AE15" i="36"/>
  <c r="AA15" i="36"/>
  <c r="W15" i="36"/>
  <c r="S15" i="36"/>
  <c r="O15" i="36"/>
  <c r="K15" i="36"/>
  <c r="G15" i="36"/>
  <c r="C15" i="36"/>
  <c r="Z15" i="36"/>
  <c r="J15" i="36"/>
  <c r="AL15" i="36"/>
  <c r="V15" i="36"/>
  <c r="F15" i="36"/>
  <c r="AX15" i="36"/>
  <c r="AH15" i="36"/>
  <c r="R15" i="36"/>
  <c r="AT15" i="36"/>
  <c r="AD15" i="36"/>
  <c r="N15" i="36"/>
  <c r="AV12" i="36"/>
  <c r="AR12" i="36"/>
  <c r="AN12" i="36"/>
  <c r="AJ12" i="36"/>
  <c r="AF12" i="36"/>
  <c r="AB12" i="36"/>
  <c r="X12" i="36"/>
  <c r="T12" i="36"/>
  <c r="P12" i="36"/>
  <c r="L12" i="36"/>
  <c r="H12" i="36"/>
  <c r="D12" i="36"/>
  <c r="AU12" i="36"/>
  <c r="AQ12" i="36"/>
  <c r="AM12" i="36"/>
  <c r="AI12" i="36"/>
  <c r="AE12" i="36"/>
  <c r="AA12" i="36"/>
  <c r="W12" i="36"/>
  <c r="S12" i="36"/>
  <c r="O12" i="36"/>
  <c r="K12" i="36"/>
  <c r="G12" i="36"/>
  <c r="C12" i="36"/>
  <c r="AX12" i="36"/>
  <c r="AT12" i="36"/>
  <c r="AL12" i="36"/>
  <c r="AH12" i="36"/>
  <c r="AD12" i="36"/>
  <c r="Z12" i="36"/>
  <c r="V12" i="36"/>
  <c r="R12" i="36"/>
  <c r="N12" i="36"/>
  <c r="J12" i="36"/>
  <c r="F12" i="36"/>
  <c r="AW12" i="36"/>
  <c r="AS12" i="36"/>
  <c r="AO12" i="36"/>
  <c r="AK12" i="36"/>
  <c r="AG12" i="36"/>
  <c r="AC12" i="36"/>
  <c r="Y12" i="36"/>
  <c r="U12" i="36"/>
  <c r="Q12" i="36"/>
  <c r="M12" i="36"/>
  <c r="I12" i="36"/>
  <c r="E12" i="36"/>
  <c r="AV11" i="36"/>
  <c r="AR11" i="36"/>
  <c r="AN11" i="36"/>
  <c r="AJ11" i="36"/>
  <c r="AF11" i="36"/>
  <c r="AB11" i="36"/>
  <c r="X11" i="36"/>
  <c r="T11" i="36"/>
  <c r="P11" i="36"/>
  <c r="L11" i="36"/>
  <c r="H11" i="36"/>
  <c r="D11" i="36"/>
  <c r="AU11" i="36"/>
  <c r="AQ11" i="36"/>
  <c r="AM11" i="36"/>
  <c r="AI11" i="36"/>
  <c r="AE11" i="36"/>
  <c r="AA11" i="36"/>
  <c r="W11" i="36"/>
  <c r="S11" i="36"/>
  <c r="O11" i="36"/>
  <c r="K11" i="36"/>
  <c r="G11" i="36"/>
  <c r="C11" i="36"/>
  <c r="AX11" i="36"/>
  <c r="AT11" i="36"/>
  <c r="AL11" i="36"/>
  <c r="AH11" i="36"/>
  <c r="AD11" i="36"/>
  <c r="Z11" i="36"/>
  <c r="V11" i="36"/>
  <c r="R11" i="36"/>
  <c r="N11" i="36"/>
  <c r="J11" i="36"/>
  <c r="F11" i="36"/>
  <c r="AW11" i="36"/>
  <c r="AS11" i="36"/>
  <c r="AO11" i="36"/>
  <c r="AK11" i="36"/>
  <c r="AG11" i="36"/>
  <c r="AC11" i="36"/>
  <c r="Y11" i="36"/>
  <c r="U11" i="36"/>
  <c r="Q11" i="36"/>
  <c r="M11" i="36"/>
  <c r="I11" i="36"/>
  <c r="E11" i="36"/>
  <c r="BT28" i="36"/>
  <c r="BP28" i="36"/>
  <c r="BL28" i="36"/>
  <c r="BH28" i="36"/>
  <c r="BD28" i="36"/>
  <c r="AZ28" i="36"/>
  <c r="BS28" i="36"/>
  <c r="BO28" i="36"/>
  <c r="BK28" i="36"/>
  <c r="BG28" i="36"/>
  <c r="BC28" i="36"/>
  <c r="AY28" i="36"/>
  <c r="BV28" i="36"/>
  <c r="BR28" i="36"/>
  <c r="BN28" i="36"/>
  <c r="BJ28" i="36"/>
  <c r="BF28" i="36"/>
  <c r="BB28" i="36"/>
  <c r="BU28" i="36"/>
  <c r="BQ28" i="36"/>
  <c r="BM28" i="36"/>
  <c r="BI28" i="36"/>
  <c r="BE28" i="36"/>
  <c r="BA28" i="36"/>
  <c r="AW19" i="36"/>
  <c r="AS19" i="36"/>
  <c r="AO19" i="36"/>
  <c r="AK19" i="36"/>
  <c r="AG19" i="36"/>
  <c r="AC19" i="36"/>
  <c r="Y19" i="36"/>
  <c r="U19" i="36"/>
  <c r="Q19" i="36"/>
  <c r="M19" i="36"/>
  <c r="I19" i="36"/>
  <c r="E19" i="36"/>
  <c r="AV19" i="36"/>
  <c r="AR19" i="36"/>
  <c r="AN19" i="36"/>
  <c r="AJ19" i="36"/>
  <c r="AF19" i="36"/>
  <c r="AB19" i="36"/>
  <c r="X19" i="36"/>
  <c r="T19" i="36"/>
  <c r="P19" i="36"/>
  <c r="L19" i="36"/>
  <c r="H19" i="36"/>
  <c r="D19" i="36"/>
  <c r="AU19" i="36"/>
  <c r="AQ19" i="36"/>
  <c r="AM19" i="36"/>
  <c r="AI19" i="36"/>
  <c r="AE19" i="36"/>
  <c r="AA19" i="36"/>
  <c r="W19" i="36"/>
  <c r="S19" i="36"/>
  <c r="O19" i="36"/>
  <c r="K19" i="36"/>
  <c r="G19" i="36"/>
  <c r="C19" i="36"/>
  <c r="AX19" i="36"/>
  <c r="AH19" i="36"/>
  <c r="R19" i="36"/>
  <c r="S19" i="28" s="1"/>
  <c r="S42" i="28" s="1"/>
  <c r="AT19" i="36"/>
  <c r="AD19" i="36"/>
  <c r="N19" i="36"/>
  <c r="Z19" i="36"/>
  <c r="J19" i="36"/>
  <c r="AL19" i="36"/>
  <c r="V19" i="36"/>
  <c r="F19" i="36"/>
  <c r="AW13" i="36"/>
  <c r="AS13" i="36"/>
  <c r="AO13" i="36"/>
  <c r="AK13" i="36"/>
  <c r="AG13" i="36"/>
  <c r="AC13" i="36"/>
  <c r="Y13" i="36"/>
  <c r="U13" i="36"/>
  <c r="Q13" i="36"/>
  <c r="M13" i="36"/>
  <c r="I13" i="36"/>
  <c r="E13" i="36"/>
  <c r="AV13" i="36"/>
  <c r="AR13" i="36"/>
  <c r="AN13" i="36"/>
  <c r="AJ13" i="36"/>
  <c r="AF13" i="36"/>
  <c r="AB13" i="36"/>
  <c r="X13" i="36"/>
  <c r="T13" i="36"/>
  <c r="P13" i="36"/>
  <c r="L13" i="36"/>
  <c r="H13" i="36"/>
  <c r="D13" i="36"/>
  <c r="AU13" i="36"/>
  <c r="AQ13" i="36"/>
  <c r="AM13" i="36"/>
  <c r="AI13" i="36"/>
  <c r="AE13" i="36"/>
  <c r="AA13" i="36"/>
  <c r="W13" i="36"/>
  <c r="S13" i="36"/>
  <c r="O13" i="36"/>
  <c r="K13" i="36"/>
  <c r="G13" i="36"/>
  <c r="C13" i="36"/>
  <c r="AX13" i="36"/>
  <c r="AH13" i="36"/>
  <c r="R13" i="36"/>
  <c r="S13" i="28" s="1"/>
  <c r="S33" i="28" s="1"/>
  <c r="AT13" i="36"/>
  <c r="AD13" i="36"/>
  <c r="N13" i="36"/>
  <c r="Z13" i="36"/>
  <c r="J13" i="36"/>
  <c r="AL13" i="36"/>
  <c r="V13" i="36"/>
  <c r="F13" i="36"/>
  <c r="AV5" i="36"/>
  <c r="AR5" i="36"/>
  <c r="AN5" i="36"/>
  <c r="AJ5" i="36"/>
  <c r="AF5" i="36"/>
  <c r="AB5" i="36"/>
  <c r="X5" i="36"/>
  <c r="T5" i="36"/>
  <c r="P5" i="36"/>
  <c r="L5" i="36"/>
  <c r="H5" i="36"/>
  <c r="D5" i="36"/>
  <c r="AS5" i="36"/>
  <c r="AG5" i="36"/>
  <c r="Y5" i="36"/>
  <c r="Q5" i="36"/>
  <c r="E5" i="36"/>
  <c r="AU5" i="36"/>
  <c r="AQ5" i="36"/>
  <c r="AM5" i="36"/>
  <c r="AI5" i="36"/>
  <c r="AE5" i="36"/>
  <c r="AA5" i="36"/>
  <c r="W5" i="36"/>
  <c r="S5" i="36"/>
  <c r="O5" i="36"/>
  <c r="K5" i="36"/>
  <c r="G5" i="36"/>
  <c r="C5" i="36"/>
  <c r="AO5" i="36"/>
  <c r="AC5" i="36"/>
  <c r="I5" i="36"/>
  <c r="AX5" i="36"/>
  <c r="AT5" i="36"/>
  <c r="AL5" i="36"/>
  <c r="AH5" i="36"/>
  <c r="AD5" i="36"/>
  <c r="Z5" i="36"/>
  <c r="V5" i="36"/>
  <c r="R5" i="36"/>
  <c r="S5" i="28" s="1"/>
  <c r="N5" i="36"/>
  <c r="J5" i="36"/>
  <c r="F5" i="36"/>
  <c r="AW5" i="36"/>
  <c r="AK5" i="36"/>
  <c r="U5" i="36"/>
  <c r="M5" i="36"/>
  <c r="BT4" i="36"/>
  <c r="BP4" i="36"/>
  <c r="BL4" i="36"/>
  <c r="BH4" i="36"/>
  <c r="BD4" i="36"/>
  <c r="AZ4" i="36"/>
  <c r="BM4" i="36"/>
  <c r="BA4" i="36"/>
  <c r="BS4" i="36"/>
  <c r="BO4" i="36"/>
  <c r="BK4" i="36"/>
  <c r="BG4" i="36"/>
  <c r="BC4" i="36"/>
  <c r="AY4" i="36"/>
  <c r="BU4" i="36"/>
  <c r="BE4" i="36"/>
  <c r="BV4" i="36"/>
  <c r="BR4" i="36"/>
  <c r="BN4" i="36"/>
  <c r="BJ4" i="36"/>
  <c r="BF4" i="36"/>
  <c r="BB4" i="36"/>
  <c r="BQ4" i="36"/>
  <c r="BI4" i="36"/>
  <c r="BT30" i="36"/>
  <c r="BP30" i="36"/>
  <c r="BL30" i="36"/>
  <c r="BH30" i="36"/>
  <c r="BD30" i="36"/>
  <c r="AZ30" i="36"/>
  <c r="BS30" i="36"/>
  <c r="BO30" i="36"/>
  <c r="BK30" i="36"/>
  <c r="BG30" i="36"/>
  <c r="BC30" i="36"/>
  <c r="AY30" i="36"/>
  <c r="BV30" i="36"/>
  <c r="BR30" i="36"/>
  <c r="BN30" i="36"/>
  <c r="BJ30" i="36"/>
  <c r="BF30" i="36"/>
  <c r="BB30" i="36"/>
  <c r="BU30" i="36"/>
  <c r="BE30" i="36"/>
  <c r="BQ30" i="36"/>
  <c r="BA30" i="36"/>
  <c r="BM30" i="36"/>
  <c r="BI30" i="36"/>
  <c r="AW16" i="36"/>
  <c r="AS16" i="36"/>
  <c r="AO16" i="36"/>
  <c r="AK16" i="36"/>
  <c r="AG16" i="36"/>
  <c r="AC16" i="36"/>
  <c r="Y16" i="36"/>
  <c r="U16" i="36"/>
  <c r="Q16" i="36"/>
  <c r="M16" i="36"/>
  <c r="I16" i="36"/>
  <c r="E16" i="36"/>
  <c r="AV16" i="36"/>
  <c r="AR16" i="36"/>
  <c r="AN16" i="36"/>
  <c r="AJ16" i="36"/>
  <c r="AF16" i="36"/>
  <c r="AB16" i="36"/>
  <c r="X16" i="36"/>
  <c r="T16" i="36"/>
  <c r="P16" i="36"/>
  <c r="L16" i="36"/>
  <c r="H16" i="36"/>
  <c r="D16" i="36"/>
  <c r="AU16" i="36"/>
  <c r="AQ16" i="36"/>
  <c r="AM16" i="36"/>
  <c r="AI16" i="36"/>
  <c r="AE16" i="36"/>
  <c r="AA16" i="36"/>
  <c r="W16" i="36"/>
  <c r="S16" i="36"/>
  <c r="O16" i="36"/>
  <c r="K16" i="36"/>
  <c r="G16" i="36"/>
  <c r="C16" i="36"/>
  <c r="AX16" i="36"/>
  <c r="AH16" i="36"/>
  <c r="R16" i="36"/>
  <c r="AT16" i="36"/>
  <c r="AD16" i="36"/>
  <c r="N16" i="36"/>
  <c r="Z16" i="36"/>
  <c r="J16" i="36"/>
  <c r="AL16" i="36"/>
  <c r="V16" i="36"/>
  <c r="F16" i="36"/>
  <c r="AW14" i="36"/>
  <c r="AS14" i="36"/>
  <c r="AO14" i="36"/>
  <c r="AK14" i="36"/>
  <c r="AG14" i="36"/>
  <c r="AC14" i="36"/>
  <c r="Y14" i="36"/>
  <c r="U14" i="36"/>
  <c r="Q14" i="36"/>
  <c r="M14" i="36"/>
  <c r="I14" i="36"/>
  <c r="E14" i="36"/>
  <c r="AV14" i="36"/>
  <c r="AR14" i="36"/>
  <c r="AN14" i="36"/>
  <c r="AJ14" i="36"/>
  <c r="AF14" i="36"/>
  <c r="AB14" i="36"/>
  <c r="X14" i="36"/>
  <c r="T14" i="36"/>
  <c r="P14" i="36"/>
  <c r="L14" i="36"/>
  <c r="H14" i="36"/>
  <c r="D14" i="36"/>
  <c r="AU14" i="36"/>
  <c r="AQ14" i="36"/>
  <c r="AM14" i="36"/>
  <c r="AI14" i="36"/>
  <c r="AE14" i="36"/>
  <c r="AA14" i="36"/>
  <c r="W14" i="36"/>
  <c r="S14" i="36"/>
  <c r="O14" i="36"/>
  <c r="K14" i="36"/>
  <c r="G14" i="36"/>
  <c r="C14" i="36"/>
  <c r="AX14" i="36"/>
  <c r="AH14" i="36"/>
  <c r="R14" i="36"/>
  <c r="AT14" i="36"/>
  <c r="AD14" i="36"/>
  <c r="N14" i="36"/>
  <c r="Z14" i="36"/>
  <c r="J14" i="36"/>
  <c r="AL14" i="36"/>
  <c r="V14" i="36"/>
  <c r="F14" i="36"/>
  <c r="AV9" i="36"/>
  <c r="AR9" i="36"/>
  <c r="AN9" i="36"/>
  <c r="AJ9" i="36"/>
  <c r="AF9" i="36"/>
  <c r="AB9" i="36"/>
  <c r="X9" i="36"/>
  <c r="T9" i="36"/>
  <c r="P9" i="36"/>
  <c r="L9" i="36"/>
  <c r="H9" i="36"/>
  <c r="D9" i="36"/>
  <c r="AU9" i="36"/>
  <c r="AQ9" i="36"/>
  <c r="AM9" i="36"/>
  <c r="AI9" i="36"/>
  <c r="AE9" i="36"/>
  <c r="AA9" i="36"/>
  <c r="W9" i="36"/>
  <c r="S9" i="36"/>
  <c r="O9" i="36"/>
  <c r="K9" i="36"/>
  <c r="G9" i="36"/>
  <c r="C9" i="36"/>
  <c r="AT9" i="36"/>
  <c r="AL9" i="36"/>
  <c r="AD9" i="36"/>
  <c r="V9" i="36"/>
  <c r="N9" i="36"/>
  <c r="F9" i="36"/>
  <c r="AW9" i="36"/>
  <c r="Y9" i="36"/>
  <c r="AS9" i="36"/>
  <c r="AK9" i="36"/>
  <c r="AC9" i="36"/>
  <c r="U9" i="36"/>
  <c r="M9" i="36"/>
  <c r="E9" i="36"/>
  <c r="AO9" i="36"/>
  <c r="I9" i="36"/>
  <c r="AX9" i="36"/>
  <c r="AH9" i="36"/>
  <c r="Z9" i="36"/>
  <c r="R9" i="36"/>
  <c r="S9" i="28" s="1"/>
  <c r="J9" i="36"/>
  <c r="AG9" i="36"/>
  <c r="Q9" i="36"/>
  <c r="R9" i="28" s="1"/>
  <c r="BU15" i="36"/>
  <c r="BQ15" i="36"/>
  <c r="BM15" i="36"/>
  <c r="BI15" i="36"/>
  <c r="BE15" i="36"/>
  <c r="BA15" i="36"/>
  <c r="BT15" i="36"/>
  <c r="BP15" i="36"/>
  <c r="BL15" i="36"/>
  <c r="BH15" i="36"/>
  <c r="BD15" i="36"/>
  <c r="AZ15" i="36"/>
  <c r="BS15" i="36"/>
  <c r="BO15" i="36"/>
  <c r="BK15" i="36"/>
  <c r="BG15" i="36"/>
  <c r="BC15" i="36"/>
  <c r="AY15" i="36"/>
  <c r="BV15" i="36"/>
  <c r="BF15" i="36"/>
  <c r="BR15" i="36"/>
  <c r="BB15" i="36"/>
  <c r="BN15" i="36"/>
  <c r="BJ15" i="36"/>
  <c r="BT12" i="36"/>
  <c r="BP12" i="36"/>
  <c r="BL12" i="36"/>
  <c r="BH12" i="36"/>
  <c r="BD12" i="36"/>
  <c r="AZ12" i="36"/>
  <c r="BS12" i="36"/>
  <c r="BO12" i="36"/>
  <c r="BK12" i="36"/>
  <c r="BG12" i="36"/>
  <c r="BC12" i="36"/>
  <c r="AY12" i="36"/>
  <c r="BV12" i="36"/>
  <c r="BR12" i="36"/>
  <c r="BN12" i="36"/>
  <c r="BJ12" i="36"/>
  <c r="BF12" i="36"/>
  <c r="BB12" i="36"/>
  <c r="BU12" i="36"/>
  <c r="BQ12" i="36"/>
  <c r="BM12" i="36"/>
  <c r="BI12" i="36"/>
  <c r="BE12" i="36"/>
  <c r="BA12" i="36"/>
  <c r="BT11" i="36"/>
  <c r="BP11" i="36"/>
  <c r="BL11" i="36"/>
  <c r="BH11" i="36"/>
  <c r="BD11" i="36"/>
  <c r="AZ11" i="36"/>
  <c r="BS11" i="36"/>
  <c r="BO11" i="36"/>
  <c r="BK11" i="36"/>
  <c r="BG11" i="36"/>
  <c r="BC11" i="36"/>
  <c r="AY11" i="36"/>
  <c r="BV11" i="36"/>
  <c r="BR11" i="36"/>
  <c r="BN11" i="36"/>
  <c r="BJ11" i="36"/>
  <c r="BF11" i="36"/>
  <c r="BB11" i="36"/>
  <c r="BU11" i="36"/>
  <c r="BQ11" i="36"/>
  <c r="BM11" i="36"/>
  <c r="BI11" i="36"/>
  <c r="BE11" i="36"/>
  <c r="BA11" i="36"/>
  <c r="AV27" i="36"/>
  <c r="AR27" i="36"/>
  <c r="AN27" i="36"/>
  <c r="AJ27" i="36"/>
  <c r="AF27" i="36"/>
  <c r="AB27" i="36"/>
  <c r="X27" i="36"/>
  <c r="T27" i="36"/>
  <c r="P27" i="36"/>
  <c r="L27" i="36"/>
  <c r="H27" i="36"/>
  <c r="D27" i="36"/>
  <c r="AU27" i="36"/>
  <c r="AQ27" i="36"/>
  <c r="AM27" i="36"/>
  <c r="AI27" i="36"/>
  <c r="AE27" i="36"/>
  <c r="AA27" i="36"/>
  <c r="W27" i="36"/>
  <c r="S27" i="36"/>
  <c r="O27" i="36"/>
  <c r="K27" i="36"/>
  <c r="G27" i="36"/>
  <c r="C27" i="36"/>
  <c r="AX27" i="36"/>
  <c r="AT27" i="36"/>
  <c r="AL27" i="36"/>
  <c r="AH27" i="36"/>
  <c r="AD27" i="36"/>
  <c r="Z27" i="36"/>
  <c r="V27" i="36"/>
  <c r="R27" i="36"/>
  <c r="N27" i="36"/>
  <c r="J27" i="36"/>
  <c r="F27" i="36"/>
  <c r="AW27" i="36"/>
  <c r="AS27" i="36"/>
  <c r="AO27" i="36"/>
  <c r="AK27" i="36"/>
  <c r="AG27" i="36"/>
  <c r="AC27" i="36"/>
  <c r="Y27" i="36"/>
  <c r="U27" i="36"/>
  <c r="Q27" i="36"/>
  <c r="M27" i="36"/>
  <c r="I27" i="36"/>
  <c r="E27" i="36"/>
  <c r="BU21" i="36"/>
  <c r="BQ21" i="36"/>
  <c r="BM21" i="36"/>
  <c r="BI21" i="36"/>
  <c r="BE21" i="36"/>
  <c r="BA21" i="36"/>
  <c r="BT21" i="36"/>
  <c r="BP21" i="36"/>
  <c r="BL21" i="36"/>
  <c r="BH21" i="36"/>
  <c r="BD21" i="36"/>
  <c r="AZ21" i="36"/>
  <c r="BS21" i="36"/>
  <c r="BO21" i="36"/>
  <c r="BK21" i="36"/>
  <c r="BG21" i="36"/>
  <c r="BC21" i="36"/>
  <c r="AY21" i="36"/>
  <c r="BN21" i="36"/>
  <c r="BJ21" i="36"/>
  <c r="BV21" i="36"/>
  <c r="BF21" i="36"/>
  <c r="BR21" i="36"/>
  <c r="BB21" i="36"/>
  <c r="BU18" i="36"/>
  <c r="BQ18" i="36"/>
  <c r="BM18" i="36"/>
  <c r="BI18" i="36"/>
  <c r="BE18" i="36"/>
  <c r="BA18" i="36"/>
  <c r="BT18" i="36"/>
  <c r="BP18" i="36"/>
  <c r="BL18" i="36"/>
  <c r="BH18" i="36"/>
  <c r="BD18" i="36"/>
  <c r="AZ18" i="36"/>
  <c r="BS18" i="36"/>
  <c r="BO18" i="36"/>
  <c r="BK18" i="36"/>
  <c r="BG18" i="36"/>
  <c r="BC18" i="36"/>
  <c r="AY18" i="36"/>
  <c r="BN18" i="36"/>
  <c r="BJ18" i="36"/>
  <c r="BV18" i="36"/>
  <c r="BF18" i="36"/>
  <c r="BR18" i="36"/>
  <c r="BB18" i="36"/>
  <c r="AU2" i="36"/>
  <c r="AQ2" i="36"/>
  <c r="AM2" i="36"/>
  <c r="AI2" i="36"/>
  <c r="AE2" i="36"/>
  <c r="AA2" i="36"/>
  <c r="W2" i="36"/>
  <c r="S2" i="36"/>
  <c r="O2" i="36"/>
  <c r="K2" i="36"/>
  <c r="G2" i="36"/>
  <c r="C2" i="36"/>
  <c r="AW2" i="36"/>
  <c r="AK2" i="36"/>
  <c r="Y2" i="36"/>
  <c r="M2" i="36"/>
  <c r="AV2" i="36"/>
  <c r="AJ2" i="36"/>
  <c r="T2" i="36"/>
  <c r="L2" i="36"/>
  <c r="AX2" i="36"/>
  <c r="AT2" i="36"/>
  <c r="AL2" i="36"/>
  <c r="AH2" i="36"/>
  <c r="AD2" i="36"/>
  <c r="Z2" i="36"/>
  <c r="V2" i="36"/>
  <c r="R2" i="36"/>
  <c r="N2" i="36"/>
  <c r="J2" i="36"/>
  <c r="F2" i="36"/>
  <c r="AS2" i="36"/>
  <c r="AG2" i="36"/>
  <c r="U2" i="36"/>
  <c r="I2" i="36"/>
  <c r="AR2" i="36"/>
  <c r="AF2" i="36"/>
  <c r="X2" i="36"/>
  <c r="H2" i="36"/>
  <c r="AO2" i="36"/>
  <c r="AC2" i="36"/>
  <c r="Q2" i="36"/>
  <c r="E2" i="36"/>
  <c r="AN2" i="36"/>
  <c r="AB2" i="36"/>
  <c r="P2" i="36"/>
  <c r="D2" i="36"/>
  <c r="AV10" i="36"/>
  <c r="AR10" i="36"/>
  <c r="AN10" i="36"/>
  <c r="AJ10" i="36"/>
  <c r="AF10" i="36"/>
  <c r="AB10" i="36"/>
  <c r="X10" i="36"/>
  <c r="T10" i="36"/>
  <c r="P10" i="36"/>
  <c r="L10" i="36"/>
  <c r="H10" i="36"/>
  <c r="D10" i="36"/>
  <c r="AU10" i="36"/>
  <c r="AQ10" i="36"/>
  <c r="AM10" i="36"/>
  <c r="AI10" i="36"/>
  <c r="AE10" i="36"/>
  <c r="AA10" i="36"/>
  <c r="W10" i="36"/>
  <c r="S10" i="36"/>
  <c r="O10" i="36"/>
  <c r="K10" i="36"/>
  <c r="G10" i="36"/>
  <c r="C10" i="36"/>
  <c r="AX10" i="36"/>
  <c r="AT10" i="36"/>
  <c r="AL10" i="36"/>
  <c r="AH10" i="36"/>
  <c r="AD10" i="36"/>
  <c r="Z10" i="36"/>
  <c r="V10" i="36"/>
  <c r="R10" i="36"/>
  <c r="N10" i="36"/>
  <c r="J10" i="36"/>
  <c r="F10" i="36"/>
  <c r="AW10" i="36"/>
  <c r="AS10" i="36"/>
  <c r="AO10" i="36"/>
  <c r="AK10" i="36"/>
  <c r="AG10" i="36"/>
  <c r="AC10" i="36"/>
  <c r="Y10" i="36"/>
  <c r="U10" i="36"/>
  <c r="Q10" i="36"/>
  <c r="M10" i="36"/>
  <c r="I10" i="36"/>
  <c r="E10" i="36"/>
  <c r="AV8" i="36"/>
  <c r="AR8" i="36"/>
  <c r="AN8" i="36"/>
  <c r="AJ8" i="36"/>
  <c r="AF8" i="36"/>
  <c r="AB8" i="36"/>
  <c r="X8" i="36"/>
  <c r="T8" i="36"/>
  <c r="P8" i="36"/>
  <c r="L8" i="36"/>
  <c r="H8" i="36"/>
  <c r="D8" i="36"/>
  <c r="AU8" i="36"/>
  <c r="AQ8" i="36"/>
  <c r="AM8" i="36"/>
  <c r="AI8" i="36"/>
  <c r="AE8" i="36"/>
  <c r="AA8" i="36"/>
  <c r="W8" i="36"/>
  <c r="S8" i="36"/>
  <c r="O8" i="36"/>
  <c r="K8" i="36"/>
  <c r="G8" i="36"/>
  <c r="C8" i="36"/>
  <c r="AT8" i="36"/>
  <c r="AL8" i="36"/>
  <c r="AD8" i="36"/>
  <c r="V8" i="36"/>
  <c r="N8" i="36"/>
  <c r="F8" i="36"/>
  <c r="AG8" i="36"/>
  <c r="Y8" i="36"/>
  <c r="AS8" i="36"/>
  <c r="AK8" i="36"/>
  <c r="AC8" i="36"/>
  <c r="U8" i="36"/>
  <c r="M8" i="36"/>
  <c r="E8" i="36"/>
  <c r="AO8" i="36"/>
  <c r="Q8" i="36"/>
  <c r="AX8" i="36"/>
  <c r="AH8" i="36"/>
  <c r="Z8" i="36"/>
  <c r="R8" i="36"/>
  <c r="J8" i="36"/>
  <c r="AW8" i="36"/>
  <c r="I8" i="36"/>
  <c r="AV26" i="36"/>
  <c r="AR26" i="36"/>
  <c r="AN26" i="36"/>
  <c r="AJ26" i="36"/>
  <c r="AF26" i="36"/>
  <c r="AB26" i="36"/>
  <c r="X26" i="36"/>
  <c r="T26" i="36"/>
  <c r="P26" i="36"/>
  <c r="L26" i="36"/>
  <c r="H26" i="36"/>
  <c r="D26" i="36"/>
  <c r="AU26" i="36"/>
  <c r="AQ26" i="36"/>
  <c r="AM26" i="36"/>
  <c r="AI26" i="36"/>
  <c r="AE26" i="36"/>
  <c r="AA26" i="36"/>
  <c r="W26" i="36"/>
  <c r="S26" i="36"/>
  <c r="O26" i="36"/>
  <c r="K26" i="36"/>
  <c r="G26" i="36"/>
  <c r="C26" i="36"/>
  <c r="AX26" i="36"/>
  <c r="AT26" i="36"/>
  <c r="AL26" i="36"/>
  <c r="AH26" i="36"/>
  <c r="AD26" i="36"/>
  <c r="Z26" i="36"/>
  <c r="V26" i="36"/>
  <c r="R26" i="36"/>
  <c r="N26" i="36"/>
  <c r="J26" i="36"/>
  <c r="F26" i="36"/>
  <c r="AW26" i="36"/>
  <c r="AS26" i="36"/>
  <c r="AO26" i="36"/>
  <c r="AK26" i="36"/>
  <c r="AG26" i="36"/>
  <c r="AC26" i="36"/>
  <c r="Y26" i="36"/>
  <c r="U26" i="36"/>
  <c r="Q26" i="36"/>
  <c r="M26" i="36"/>
  <c r="I26" i="36"/>
  <c r="E26" i="36"/>
  <c r="BU23" i="36"/>
  <c r="BQ23" i="36"/>
  <c r="BM23" i="36"/>
  <c r="BI23" i="36"/>
  <c r="BE23" i="36"/>
  <c r="BA23" i="36"/>
  <c r="BT23" i="36"/>
  <c r="BP23" i="36"/>
  <c r="BL23" i="36"/>
  <c r="BH23" i="36"/>
  <c r="BD23" i="36"/>
  <c r="AZ23" i="36"/>
  <c r="BS23" i="36"/>
  <c r="BO23" i="36"/>
  <c r="BK23" i="36"/>
  <c r="BG23" i="36"/>
  <c r="BC23" i="36"/>
  <c r="AY23" i="36"/>
  <c r="BN23" i="36"/>
  <c r="BJ23" i="36"/>
  <c r="BV23" i="36"/>
  <c r="BF23" i="36"/>
  <c r="BR23" i="36"/>
  <c r="BB23" i="36"/>
  <c r="BT7" i="36"/>
  <c r="BP7" i="36"/>
  <c r="BL7" i="36"/>
  <c r="BH7" i="36"/>
  <c r="BD7" i="36"/>
  <c r="AZ7" i="36"/>
  <c r="BS7" i="36"/>
  <c r="BO7" i="36"/>
  <c r="BK7" i="36"/>
  <c r="BG7" i="36"/>
  <c r="BC7" i="36"/>
  <c r="AY7" i="36"/>
  <c r="BR7" i="36"/>
  <c r="BJ7" i="36"/>
  <c r="BB7" i="36"/>
  <c r="BM7" i="36"/>
  <c r="BQ7" i="36"/>
  <c r="BI7" i="36"/>
  <c r="BA7" i="36"/>
  <c r="BU7" i="36"/>
  <c r="BV7" i="36"/>
  <c r="BN7" i="36"/>
  <c r="BF7" i="36"/>
  <c r="BE7" i="36"/>
  <c r="BT29" i="36"/>
  <c r="BP29" i="36"/>
  <c r="BL29" i="36"/>
  <c r="BH29" i="36"/>
  <c r="BD29" i="36"/>
  <c r="AZ29" i="36"/>
  <c r="BS29" i="36"/>
  <c r="BO29" i="36"/>
  <c r="BK29" i="36"/>
  <c r="BG29" i="36"/>
  <c r="BC29" i="36"/>
  <c r="AY29" i="36"/>
  <c r="BV29" i="36"/>
  <c r="BR29" i="36"/>
  <c r="BN29" i="36"/>
  <c r="BJ29" i="36"/>
  <c r="BF29" i="36"/>
  <c r="BB29" i="36"/>
  <c r="BU29" i="36"/>
  <c r="BQ29" i="36"/>
  <c r="BM29" i="36"/>
  <c r="BI29" i="36"/>
  <c r="BE29" i="36"/>
  <c r="BA29" i="36"/>
  <c r="AW22" i="36"/>
  <c r="AS22" i="36"/>
  <c r="AO22" i="36"/>
  <c r="AK22" i="36"/>
  <c r="AG22" i="36"/>
  <c r="AC22" i="36"/>
  <c r="Y22" i="36"/>
  <c r="U22" i="36"/>
  <c r="Q22" i="36"/>
  <c r="M22" i="36"/>
  <c r="I22" i="36"/>
  <c r="E22" i="36"/>
  <c r="AV22" i="36"/>
  <c r="AR22" i="36"/>
  <c r="AN22" i="36"/>
  <c r="AJ22" i="36"/>
  <c r="AF22" i="36"/>
  <c r="AB22" i="36"/>
  <c r="X22" i="36"/>
  <c r="T22" i="36"/>
  <c r="P22" i="36"/>
  <c r="L22" i="36"/>
  <c r="H22" i="36"/>
  <c r="D22" i="36"/>
  <c r="AU22" i="36"/>
  <c r="AQ22" i="36"/>
  <c r="AM22" i="36"/>
  <c r="AI22" i="36"/>
  <c r="AE22" i="36"/>
  <c r="AA22" i="36"/>
  <c r="W22" i="36"/>
  <c r="S22" i="36"/>
  <c r="O22" i="36"/>
  <c r="K22" i="36"/>
  <c r="G22" i="36"/>
  <c r="C22" i="36"/>
  <c r="Z22" i="36"/>
  <c r="J22" i="36"/>
  <c r="AL22" i="36"/>
  <c r="V22" i="36"/>
  <c r="F22" i="36"/>
  <c r="AX22" i="36"/>
  <c r="AH22" i="36"/>
  <c r="R22" i="36"/>
  <c r="AT22" i="36"/>
  <c r="AD22" i="36"/>
  <c r="N22" i="36"/>
  <c r="AW20" i="36"/>
  <c r="AS20" i="36"/>
  <c r="AO20" i="36"/>
  <c r="AK20" i="36"/>
  <c r="AG20" i="36"/>
  <c r="AC20" i="36"/>
  <c r="Y20" i="36"/>
  <c r="U20" i="36"/>
  <c r="Q20" i="36"/>
  <c r="M20" i="36"/>
  <c r="I20" i="36"/>
  <c r="E20" i="36"/>
  <c r="AV20" i="36"/>
  <c r="AR20" i="36"/>
  <c r="AN20" i="36"/>
  <c r="AJ20" i="36"/>
  <c r="AF20" i="36"/>
  <c r="AB20" i="36"/>
  <c r="X20" i="36"/>
  <c r="T20" i="36"/>
  <c r="P20" i="36"/>
  <c r="L20" i="36"/>
  <c r="H20" i="36"/>
  <c r="D20" i="36"/>
  <c r="AU20" i="36"/>
  <c r="AQ20" i="36"/>
  <c r="AM20" i="36"/>
  <c r="AI20" i="36"/>
  <c r="AE20" i="36"/>
  <c r="AA20" i="36"/>
  <c r="W20" i="36"/>
  <c r="S20" i="36"/>
  <c r="O20" i="36"/>
  <c r="K20" i="36"/>
  <c r="G20" i="36"/>
  <c r="C20" i="36"/>
  <c r="Z20" i="36"/>
  <c r="J20" i="36"/>
  <c r="AL20" i="36"/>
  <c r="V20" i="36"/>
  <c r="F20" i="36"/>
  <c r="AX20" i="36"/>
  <c r="AH20" i="36"/>
  <c r="R20" i="36"/>
  <c r="AT20" i="36"/>
  <c r="AD20" i="36"/>
  <c r="N20" i="36"/>
  <c r="AW17" i="36"/>
  <c r="AS17" i="36"/>
  <c r="AO17" i="36"/>
  <c r="AK17" i="36"/>
  <c r="AG17" i="36"/>
  <c r="AC17" i="36"/>
  <c r="Y17" i="36"/>
  <c r="U17" i="36"/>
  <c r="Q17" i="36"/>
  <c r="M17" i="36"/>
  <c r="I17" i="36"/>
  <c r="E17" i="36"/>
  <c r="AV17" i="36"/>
  <c r="AR17" i="36"/>
  <c r="AN17" i="36"/>
  <c r="AJ17" i="36"/>
  <c r="AF17" i="36"/>
  <c r="AB17" i="36"/>
  <c r="X17" i="36"/>
  <c r="T17" i="36"/>
  <c r="P17" i="36"/>
  <c r="L17" i="36"/>
  <c r="H17" i="36"/>
  <c r="D17" i="36"/>
  <c r="AU17" i="36"/>
  <c r="AQ17" i="36"/>
  <c r="AM17" i="36"/>
  <c r="AI17" i="36"/>
  <c r="AE17" i="36"/>
  <c r="AA17" i="36"/>
  <c r="W17" i="36"/>
  <c r="S17" i="36"/>
  <c r="O17" i="36"/>
  <c r="K17" i="36"/>
  <c r="G17" i="36"/>
  <c r="C17" i="36"/>
  <c r="Z17" i="36"/>
  <c r="J17" i="36"/>
  <c r="AL17" i="36"/>
  <c r="V17" i="36"/>
  <c r="F17" i="36"/>
  <c r="AX17" i="36"/>
  <c r="AH17" i="36"/>
  <c r="R17" i="36"/>
  <c r="AT17" i="36"/>
  <c r="AD17" i="36"/>
  <c r="N17" i="36"/>
  <c r="AV6" i="36"/>
  <c r="AR6" i="36"/>
  <c r="AN6" i="36"/>
  <c r="AJ6" i="36"/>
  <c r="AF6" i="36"/>
  <c r="AB6" i="36"/>
  <c r="X6" i="36"/>
  <c r="T6" i="36"/>
  <c r="P6" i="36"/>
  <c r="L6" i="36"/>
  <c r="H6" i="36"/>
  <c r="D6" i="36"/>
  <c r="AX6" i="36"/>
  <c r="AS6" i="36"/>
  <c r="AM6" i="36"/>
  <c r="AH6" i="36"/>
  <c r="AC6" i="36"/>
  <c r="W6" i="36"/>
  <c r="R6" i="36"/>
  <c r="M6" i="36"/>
  <c r="G6" i="36"/>
  <c r="AT6" i="36"/>
  <c r="AD6" i="36"/>
  <c r="N6" i="36"/>
  <c r="AW6" i="36"/>
  <c r="AQ6" i="36"/>
  <c r="AL6" i="36"/>
  <c r="AG6" i="36"/>
  <c r="AA6" i="36"/>
  <c r="V6" i="36"/>
  <c r="Q6" i="36"/>
  <c r="K6" i="36"/>
  <c r="F6" i="36"/>
  <c r="AO6" i="36"/>
  <c r="Y6" i="36"/>
  <c r="I6" i="36"/>
  <c r="AU6" i="36"/>
  <c r="AK6" i="36"/>
  <c r="AE6" i="36"/>
  <c r="Z6" i="36"/>
  <c r="U6" i="36"/>
  <c r="O6" i="36"/>
  <c r="J6" i="36"/>
  <c r="E6" i="36"/>
  <c r="AI6" i="36"/>
  <c r="S6" i="36"/>
  <c r="C6" i="36"/>
  <c r="BT27" i="36"/>
  <c r="BP27" i="36"/>
  <c r="BL27" i="36"/>
  <c r="BH27" i="36"/>
  <c r="BD27" i="36"/>
  <c r="AZ27" i="36"/>
  <c r="BS27" i="36"/>
  <c r="BO27" i="36"/>
  <c r="BK27" i="36"/>
  <c r="BG27" i="36"/>
  <c r="BC27" i="36"/>
  <c r="AY27" i="36"/>
  <c r="BV27" i="36"/>
  <c r="BR27" i="36"/>
  <c r="BN27" i="36"/>
  <c r="BJ27" i="36"/>
  <c r="BF27" i="36"/>
  <c r="BB27" i="36"/>
  <c r="BU27" i="36"/>
  <c r="BQ27" i="36"/>
  <c r="BM27" i="36"/>
  <c r="BI27" i="36"/>
  <c r="BE27" i="36"/>
  <c r="BA27" i="36"/>
  <c r="AW21" i="36"/>
  <c r="AS21" i="36"/>
  <c r="AO21" i="36"/>
  <c r="AK21" i="36"/>
  <c r="AG21" i="36"/>
  <c r="AC21" i="36"/>
  <c r="Y21" i="36"/>
  <c r="U21" i="36"/>
  <c r="Q21" i="36"/>
  <c r="M21" i="36"/>
  <c r="I21" i="36"/>
  <c r="E21" i="36"/>
  <c r="AV21" i="36"/>
  <c r="AR21" i="36"/>
  <c r="AN21" i="36"/>
  <c r="AJ21" i="36"/>
  <c r="AF21" i="36"/>
  <c r="AB21" i="36"/>
  <c r="X21" i="36"/>
  <c r="T21" i="36"/>
  <c r="P21" i="36"/>
  <c r="L21" i="36"/>
  <c r="H21" i="36"/>
  <c r="D21" i="36"/>
  <c r="AU21" i="36"/>
  <c r="AQ21" i="36"/>
  <c r="AM21" i="36"/>
  <c r="AI21" i="36"/>
  <c r="AE21" i="36"/>
  <c r="AA21" i="36"/>
  <c r="W21" i="36"/>
  <c r="S21" i="36"/>
  <c r="O21" i="36"/>
  <c r="K21" i="36"/>
  <c r="G21" i="36"/>
  <c r="C21" i="36"/>
  <c r="AX21" i="36"/>
  <c r="AH21" i="36"/>
  <c r="R21" i="36"/>
  <c r="AT21" i="36"/>
  <c r="AD21" i="36"/>
  <c r="N21" i="36"/>
  <c r="Z21" i="36"/>
  <c r="J21" i="36"/>
  <c r="AL21" i="36"/>
  <c r="V21" i="36"/>
  <c r="F21" i="36"/>
  <c r="AW18" i="36"/>
  <c r="AS18" i="36"/>
  <c r="AO18" i="36"/>
  <c r="AK18" i="36"/>
  <c r="AG18" i="36"/>
  <c r="AC18" i="36"/>
  <c r="Y18" i="36"/>
  <c r="U18" i="36"/>
  <c r="Q18" i="36"/>
  <c r="M18" i="36"/>
  <c r="I18" i="36"/>
  <c r="E18" i="36"/>
  <c r="AV18" i="36"/>
  <c r="AR18" i="36"/>
  <c r="AN18" i="36"/>
  <c r="AJ18" i="36"/>
  <c r="AF18" i="36"/>
  <c r="AB18" i="36"/>
  <c r="X18" i="36"/>
  <c r="T18" i="36"/>
  <c r="P18" i="36"/>
  <c r="L18" i="36"/>
  <c r="H18" i="36"/>
  <c r="D18" i="36"/>
  <c r="AU18" i="36"/>
  <c r="AQ18" i="36"/>
  <c r="AM18" i="36"/>
  <c r="AI18" i="36"/>
  <c r="AE18" i="36"/>
  <c r="AA18" i="36"/>
  <c r="W18" i="36"/>
  <c r="S18" i="36"/>
  <c r="O18" i="36"/>
  <c r="K18" i="36"/>
  <c r="G18" i="36"/>
  <c r="C18" i="36"/>
  <c r="AX18" i="36"/>
  <c r="AH18" i="36"/>
  <c r="R18" i="36"/>
  <c r="AT18" i="36"/>
  <c r="AD18" i="36"/>
  <c r="N18" i="36"/>
  <c r="Z18" i="36"/>
  <c r="J18" i="36"/>
  <c r="AL18" i="36"/>
  <c r="V18" i="36"/>
  <c r="F18" i="36"/>
  <c r="BS2" i="36"/>
  <c r="BO2" i="36"/>
  <c r="BK2" i="36"/>
  <c r="BG2" i="36"/>
  <c r="BC2" i="36"/>
  <c r="AY2" i="36"/>
  <c r="BU2" i="36"/>
  <c r="BI2" i="36"/>
  <c r="BP2" i="36"/>
  <c r="BH2" i="36"/>
  <c r="BV2" i="36"/>
  <c r="BR2" i="36"/>
  <c r="BN2" i="36"/>
  <c r="BJ2" i="36"/>
  <c r="BF2" i="36"/>
  <c r="BB2" i="36"/>
  <c r="BQ2" i="36"/>
  <c r="BE2" i="36"/>
  <c r="BT2" i="36"/>
  <c r="BD2" i="36"/>
  <c r="BM2" i="36"/>
  <c r="BA2" i="36"/>
  <c r="BL2" i="36"/>
  <c r="AZ2" i="36"/>
  <c r="BT10" i="36"/>
  <c r="BP10" i="36"/>
  <c r="BL10" i="36"/>
  <c r="BH10" i="36"/>
  <c r="BD10" i="36"/>
  <c r="AZ10" i="36"/>
  <c r="BS10" i="36"/>
  <c r="BO10" i="36"/>
  <c r="BK10" i="36"/>
  <c r="BG10" i="36"/>
  <c r="BC10" i="36"/>
  <c r="BV10" i="36"/>
  <c r="BR10" i="36"/>
  <c r="BN10" i="36"/>
  <c r="BJ10" i="36"/>
  <c r="BF10" i="36"/>
  <c r="BB10" i="36"/>
  <c r="BU10" i="36"/>
  <c r="BQ10" i="36"/>
  <c r="BM10" i="36"/>
  <c r="BI10" i="36"/>
  <c r="BE10" i="36"/>
  <c r="BA10" i="36"/>
  <c r="BT8" i="36"/>
  <c r="BP8" i="36"/>
  <c r="BL8" i="36"/>
  <c r="BH8" i="36"/>
  <c r="BD8" i="36"/>
  <c r="AZ8" i="36"/>
  <c r="BS8" i="36"/>
  <c r="BO8" i="36"/>
  <c r="BK8" i="36"/>
  <c r="BG8" i="36"/>
  <c r="BC8" i="36"/>
  <c r="AY8" i="36"/>
  <c r="BR8" i="36"/>
  <c r="BJ8" i="36"/>
  <c r="BB8" i="36"/>
  <c r="BE8" i="36"/>
  <c r="BQ8" i="36"/>
  <c r="BI8" i="36"/>
  <c r="BA8" i="36"/>
  <c r="BM8" i="36"/>
  <c r="BV8" i="36"/>
  <c r="BN8" i="36"/>
  <c r="BF8" i="36"/>
  <c r="BU8" i="36"/>
  <c r="BT26" i="36"/>
  <c r="BP26" i="36"/>
  <c r="BL26" i="36"/>
  <c r="BH26" i="36"/>
  <c r="BD26" i="36"/>
  <c r="AZ26" i="36"/>
  <c r="BS26" i="36"/>
  <c r="BO26" i="36"/>
  <c r="BK26" i="36"/>
  <c r="BG26" i="36"/>
  <c r="BC26" i="36"/>
  <c r="AY26" i="36"/>
  <c r="BV26" i="36"/>
  <c r="BR26" i="36"/>
  <c r="BN26" i="36"/>
  <c r="BJ26" i="36"/>
  <c r="BF26" i="36"/>
  <c r="BB26" i="36"/>
  <c r="BU26" i="36"/>
  <c r="BQ26" i="36"/>
  <c r="BM26" i="36"/>
  <c r="BI26" i="36"/>
  <c r="BE26" i="36"/>
  <c r="BA26" i="36"/>
  <c r="AW23" i="36"/>
  <c r="AS23" i="36"/>
  <c r="AO23" i="36"/>
  <c r="AK23" i="36"/>
  <c r="AG23" i="36"/>
  <c r="AC23" i="36"/>
  <c r="Y23" i="36"/>
  <c r="U23" i="36"/>
  <c r="Q23" i="36"/>
  <c r="M23" i="36"/>
  <c r="I23" i="36"/>
  <c r="E23" i="36"/>
  <c r="AV23" i="36"/>
  <c r="AR23" i="36"/>
  <c r="AN23" i="36"/>
  <c r="AJ23" i="36"/>
  <c r="AF23" i="36"/>
  <c r="AB23" i="36"/>
  <c r="X23" i="36"/>
  <c r="T23" i="36"/>
  <c r="P23" i="36"/>
  <c r="L23" i="36"/>
  <c r="H23" i="36"/>
  <c r="D23" i="36"/>
  <c r="AU23" i="36"/>
  <c r="AQ23" i="36"/>
  <c r="AM23" i="36"/>
  <c r="AI23" i="36"/>
  <c r="AE23" i="36"/>
  <c r="AA23" i="36"/>
  <c r="W23" i="36"/>
  <c r="S23" i="36"/>
  <c r="O23" i="36"/>
  <c r="K23" i="36"/>
  <c r="G23" i="36"/>
  <c r="C23" i="36"/>
  <c r="AX23" i="36"/>
  <c r="AH23" i="36"/>
  <c r="R23" i="36"/>
  <c r="AT23" i="36"/>
  <c r="AD23" i="36"/>
  <c r="N23" i="36"/>
  <c r="AP23" i="36"/>
  <c r="Z23" i="36"/>
  <c r="J23" i="36"/>
  <c r="AL23" i="36"/>
  <c r="V23" i="36"/>
  <c r="F23" i="36"/>
  <c r="AV7" i="36"/>
  <c r="AR7" i="36"/>
  <c r="AN7" i="36"/>
  <c r="AJ7" i="36"/>
  <c r="AF7" i="36"/>
  <c r="AB7" i="36"/>
  <c r="X7" i="36"/>
  <c r="T7" i="36"/>
  <c r="P7" i="36"/>
  <c r="L7" i="36"/>
  <c r="H7" i="36"/>
  <c r="D7" i="36"/>
  <c r="AU7" i="36"/>
  <c r="AQ7" i="36"/>
  <c r="AM7" i="36"/>
  <c r="AI7" i="36"/>
  <c r="AE7" i="36"/>
  <c r="AA7" i="36"/>
  <c r="W7" i="36"/>
  <c r="S7" i="36"/>
  <c r="O7" i="36"/>
  <c r="K7" i="36"/>
  <c r="G7" i="36"/>
  <c r="C7" i="36"/>
  <c r="AT7" i="36"/>
  <c r="AL7" i="36"/>
  <c r="AD7" i="36"/>
  <c r="V7" i="36"/>
  <c r="N7" i="36"/>
  <c r="F7" i="36"/>
  <c r="AG7" i="36"/>
  <c r="Q7" i="36"/>
  <c r="AS7" i="36"/>
  <c r="AK7" i="36"/>
  <c r="AC7" i="36"/>
  <c r="U7" i="36"/>
  <c r="M7" i="36"/>
  <c r="E7" i="36"/>
  <c r="AW7" i="36"/>
  <c r="I7" i="36"/>
  <c r="AX7" i="36"/>
  <c r="AH7" i="36"/>
  <c r="Z7" i="36"/>
  <c r="R7" i="36"/>
  <c r="J7" i="36"/>
  <c r="AO7" i="36"/>
  <c r="Y7" i="36"/>
  <c r="Z7" i="28" s="1"/>
  <c r="AV29" i="36"/>
  <c r="AR29" i="36"/>
  <c r="AN29" i="36"/>
  <c r="AJ29" i="36"/>
  <c r="AF29" i="36"/>
  <c r="AB29" i="36"/>
  <c r="X29" i="36"/>
  <c r="T29" i="36"/>
  <c r="P29" i="36"/>
  <c r="L29" i="36"/>
  <c r="H29" i="36"/>
  <c r="D29" i="36"/>
  <c r="AU29" i="36"/>
  <c r="AQ29" i="36"/>
  <c r="AM29" i="36"/>
  <c r="AI29" i="36"/>
  <c r="AE29" i="36"/>
  <c r="AA29" i="36"/>
  <c r="W29" i="36"/>
  <c r="S29" i="36"/>
  <c r="O29" i="36"/>
  <c r="K29" i="36"/>
  <c r="G29" i="36"/>
  <c r="C29" i="36"/>
  <c r="AX29" i="36"/>
  <c r="AT29" i="36"/>
  <c r="AL29" i="36"/>
  <c r="AH29" i="36"/>
  <c r="AD29" i="36"/>
  <c r="Z29" i="36"/>
  <c r="V29" i="36"/>
  <c r="R29" i="36"/>
  <c r="N29" i="36"/>
  <c r="J29" i="36"/>
  <c r="F29" i="36"/>
  <c r="AW29" i="36"/>
  <c r="AS29" i="36"/>
  <c r="AO29" i="36"/>
  <c r="AK29" i="36"/>
  <c r="AG29" i="36"/>
  <c r="AC29" i="36"/>
  <c r="Y29" i="36"/>
  <c r="U29" i="36"/>
  <c r="Q29" i="36"/>
  <c r="M29" i="36"/>
  <c r="I29" i="36"/>
  <c r="E29" i="36"/>
  <c r="BU22" i="36"/>
  <c r="BQ22" i="36"/>
  <c r="BM22" i="36"/>
  <c r="BI22" i="36"/>
  <c r="BE22" i="36"/>
  <c r="BA22" i="36"/>
  <c r="BT22" i="36"/>
  <c r="BP22" i="36"/>
  <c r="BL22" i="36"/>
  <c r="BH22" i="36"/>
  <c r="BD22" i="36"/>
  <c r="AZ22" i="36"/>
  <c r="BS22" i="36"/>
  <c r="BO22" i="36"/>
  <c r="BK22" i="36"/>
  <c r="BG22" i="36"/>
  <c r="BC22" i="36"/>
  <c r="AY22" i="36"/>
  <c r="BV22" i="36"/>
  <c r="BF22" i="36"/>
  <c r="BR22" i="36"/>
  <c r="BB22" i="36"/>
  <c r="BN22" i="36"/>
  <c r="BJ22" i="36"/>
  <c r="BU20" i="36"/>
  <c r="BQ20" i="36"/>
  <c r="BM20" i="36"/>
  <c r="BI20" i="36"/>
  <c r="BE20" i="36"/>
  <c r="BA20" i="36"/>
  <c r="BT20" i="36"/>
  <c r="BP20" i="36"/>
  <c r="BL20" i="36"/>
  <c r="BH20" i="36"/>
  <c r="BD20" i="36"/>
  <c r="AZ20" i="36"/>
  <c r="BS20" i="36"/>
  <c r="BO20" i="36"/>
  <c r="BK20" i="36"/>
  <c r="BG20" i="36"/>
  <c r="BC20" i="36"/>
  <c r="AY20" i="36"/>
  <c r="BV20" i="36"/>
  <c r="BF20" i="36"/>
  <c r="BR20" i="36"/>
  <c r="BB20" i="36"/>
  <c r="BN20" i="36"/>
  <c r="BJ20" i="36"/>
  <c r="BU17" i="36"/>
  <c r="BQ17" i="36"/>
  <c r="BM17" i="36"/>
  <c r="BI17" i="36"/>
  <c r="BE17" i="36"/>
  <c r="BA17" i="36"/>
  <c r="BT17" i="36"/>
  <c r="BP17" i="36"/>
  <c r="BL17" i="36"/>
  <c r="BH17" i="36"/>
  <c r="BD17" i="36"/>
  <c r="AZ17" i="36"/>
  <c r="BS17" i="36"/>
  <c r="BO17" i="36"/>
  <c r="BK17" i="36"/>
  <c r="BG17" i="36"/>
  <c r="BC17" i="36"/>
  <c r="AY17" i="36"/>
  <c r="BV17" i="36"/>
  <c r="BF17" i="36"/>
  <c r="BR17" i="36"/>
  <c r="BB17" i="36"/>
  <c r="BN17" i="36"/>
  <c r="BJ17" i="36"/>
  <c r="BT6" i="36"/>
  <c r="BP6" i="36"/>
  <c r="BL6" i="36"/>
  <c r="BH6" i="36"/>
  <c r="BD6" i="36"/>
  <c r="AZ6" i="36"/>
  <c r="BS6" i="36"/>
  <c r="BN6" i="36"/>
  <c r="BI6" i="36"/>
  <c r="BC6" i="36"/>
  <c r="BJ6" i="36"/>
  <c r="BR6" i="36"/>
  <c r="BM6" i="36"/>
  <c r="BG6" i="36"/>
  <c r="BB6" i="36"/>
  <c r="BU6" i="36"/>
  <c r="BE6" i="36"/>
  <c r="BV6" i="36"/>
  <c r="BQ6" i="36"/>
  <c r="BK6" i="36"/>
  <c r="BF6" i="36"/>
  <c r="BA6" i="36"/>
  <c r="BO6" i="36"/>
  <c r="AY6" i="36"/>
  <c r="BC30" i="1"/>
  <c r="BB30" i="1"/>
  <c r="AV35" i="18" s="1"/>
  <c r="BC29" i="1"/>
  <c r="BB29" i="1"/>
  <c r="BC28" i="1"/>
  <c r="BB28" i="1"/>
  <c r="AV43" i="18" s="1"/>
  <c r="BC27" i="1"/>
  <c r="BB27" i="1"/>
  <c r="BC26" i="1"/>
  <c r="BB26" i="1"/>
  <c r="AV36" i="18" s="1"/>
  <c r="BC25" i="1"/>
  <c r="BB25" i="1"/>
  <c r="BC24" i="1"/>
  <c r="BB24" i="1"/>
  <c r="BC23" i="1"/>
  <c r="BB23" i="1"/>
  <c r="AV49" i="18" s="1"/>
  <c r="BC22" i="1"/>
  <c r="BC21" i="1"/>
  <c r="BB21" i="1"/>
  <c r="BC20" i="1"/>
  <c r="BB20" i="1"/>
  <c r="BC19" i="1"/>
  <c r="BB19" i="1"/>
  <c r="AV42" i="18" s="1"/>
  <c r="BC18" i="1"/>
  <c r="BB18" i="1"/>
  <c r="BC17" i="1"/>
  <c r="BB17" i="1"/>
  <c r="BC16" i="1"/>
  <c r="BB16" i="1"/>
  <c r="BC15" i="1"/>
  <c r="BB15" i="1"/>
  <c r="AV44" i="18" s="1"/>
  <c r="BC14" i="1"/>
  <c r="BB14" i="1"/>
  <c r="AV34" i="18" s="1"/>
  <c r="BC13" i="1"/>
  <c r="BB13" i="1"/>
  <c r="AV33" i="18" s="1"/>
  <c r="BC12" i="1"/>
  <c r="BB12" i="1"/>
  <c r="BC11" i="1"/>
  <c r="BB11" i="1"/>
  <c r="AV39" i="18" s="1"/>
  <c r="BC10" i="1"/>
  <c r="BB10" i="1"/>
  <c r="AV46" i="18" s="1"/>
  <c r="BC9" i="1"/>
  <c r="BB9" i="1"/>
  <c r="BC8" i="1"/>
  <c r="BB8" i="1"/>
  <c r="AV41" i="18" s="1"/>
  <c r="BC7" i="1"/>
  <c r="BB7" i="1"/>
  <c r="BC6" i="1"/>
  <c r="BB6" i="1"/>
  <c r="AV47" i="18" s="1"/>
  <c r="BC5" i="1"/>
  <c r="BB5" i="1"/>
  <c r="BC4" i="1"/>
  <c r="BB4" i="1"/>
  <c r="BC2" i="1"/>
  <c r="BB2" i="1"/>
  <c r="AV38" i="18" s="1"/>
  <c r="S29" i="28" l="1"/>
  <c r="S18" i="28"/>
  <c r="R54" i="28"/>
  <c r="R68" i="28"/>
  <c r="S53" i="28"/>
  <c r="S67" i="28"/>
  <c r="S57" i="28"/>
  <c r="S71" i="28"/>
  <c r="Z59" i="28"/>
  <c r="Z73" i="28"/>
  <c r="S61" i="28"/>
  <c r="S75" i="28"/>
  <c r="S54" i="28"/>
  <c r="S68" i="28"/>
  <c r="S16" i="28"/>
  <c r="S14" i="28"/>
  <c r="S34" i="28" s="1"/>
  <c r="AV40" i="18"/>
  <c r="AV59" i="18"/>
  <c r="AV73" i="18"/>
  <c r="AV68" i="18"/>
  <c r="AV54" i="18"/>
  <c r="AV74" i="18"/>
  <c r="AV60" i="18"/>
  <c r="AV66" i="18"/>
  <c r="AV52" i="18"/>
  <c r="AV70" i="18"/>
  <c r="AV56" i="18"/>
  <c r="AV53" i="18"/>
  <c r="AV67" i="18"/>
  <c r="AV64" i="18"/>
  <c r="AV50" i="18"/>
  <c r="AV57" i="18"/>
  <c r="AV71" i="18"/>
  <c r="AV45" i="18"/>
  <c r="AV31" i="18"/>
  <c r="AV72" i="18"/>
  <c r="AV58" i="18"/>
  <c r="AV61" i="18"/>
  <c r="AV75" i="18"/>
  <c r="AV65" i="18"/>
  <c r="AV51" i="18"/>
  <c r="AV55" i="18"/>
  <c r="AV69" i="18"/>
  <c r="AV76" i="18"/>
  <c r="AV62" i="18"/>
  <c r="S7" i="28"/>
  <c r="S21" i="28"/>
  <c r="K9" i="28"/>
  <c r="N9" i="28"/>
  <c r="AO38" i="18"/>
  <c r="AS38" i="18"/>
  <c r="AT38" i="18"/>
  <c r="AW38" i="18"/>
  <c r="AU38" i="18"/>
  <c r="AP38" i="18"/>
  <c r="AR38" i="18"/>
  <c r="AQ38" i="18"/>
  <c r="AT40" i="18"/>
  <c r="AO40" i="18"/>
  <c r="AP40" i="18"/>
  <c r="AS40" i="18"/>
  <c r="AW40" i="18"/>
  <c r="AR40" i="18"/>
  <c r="AU40" i="18"/>
  <c r="AQ40" i="18"/>
  <c r="AQ47" i="18"/>
  <c r="AW47" i="18"/>
  <c r="AU47" i="18"/>
  <c r="AR47" i="18"/>
  <c r="AP47" i="18"/>
  <c r="AT47" i="18"/>
  <c r="AO47" i="18"/>
  <c r="AT41" i="18"/>
  <c r="AP41" i="18"/>
  <c r="AS41" i="18"/>
  <c r="AW41" i="18"/>
  <c r="AO41" i="18"/>
  <c r="AQ41" i="18"/>
  <c r="AR41" i="18"/>
  <c r="AU41" i="18"/>
  <c r="AT46" i="18"/>
  <c r="AO46" i="18"/>
  <c r="AP46" i="18"/>
  <c r="AS46" i="18"/>
  <c r="AS45" i="18" s="1"/>
  <c r="AW46" i="18"/>
  <c r="AR46" i="18"/>
  <c r="AU46" i="18"/>
  <c r="AQ46" i="18"/>
  <c r="AU39" i="18"/>
  <c r="AR39" i="18"/>
  <c r="AQ39" i="18"/>
  <c r="AO39" i="18"/>
  <c r="AP39" i="18"/>
  <c r="AT39" i="18"/>
  <c r="AS39" i="18"/>
  <c r="AW39" i="18"/>
  <c r="AP33" i="18"/>
  <c r="AU33" i="18"/>
  <c r="AT33" i="18"/>
  <c r="AQ33" i="18"/>
  <c r="AO33" i="18"/>
  <c r="AR33" i="18"/>
  <c r="AW33" i="18"/>
  <c r="AS33" i="18"/>
  <c r="AQ34" i="18"/>
  <c r="AU34" i="18"/>
  <c r="AR34" i="18"/>
  <c r="AT34" i="18"/>
  <c r="AP34" i="18"/>
  <c r="AO34" i="18"/>
  <c r="AS34" i="18"/>
  <c r="AW34" i="18"/>
  <c r="AW44" i="18"/>
  <c r="AW31" i="18" s="1"/>
  <c r="AS44" i="18"/>
  <c r="AR44" i="18"/>
  <c r="AU44" i="18"/>
  <c r="AQ44" i="18"/>
  <c r="AO44" i="18"/>
  <c r="AT44" i="18"/>
  <c r="AP44" i="18"/>
  <c r="AQ42" i="18"/>
  <c r="AS42" i="18"/>
  <c r="AR42" i="18"/>
  <c r="AT42" i="18"/>
  <c r="AP42" i="18"/>
  <c r="AU42" i="18"/>
  <c r="AO42" i="18"/>
  <c r="AW42" i="18"/>
  <c r="AP37" i="18"/>
  <c r="AS37" i="18"/>
  <c r="AW37" i="18"/>
  <c r="AT37" i="18"/>
  <c r="AO37" i="18"/>
  <c r="AU37" i="18"/>
  <c r="AR37" i="18"/>
  <c r="AQ37" i="18"/>
  <c r="AT49" i="18"/>
  <c r="AS49" i="18"/>
  <c r="AQ49" i="18"/>
  <c r="AO49" i="18"/>
  <c r="AW49" i="18"/>
  <c r="AR49" i="18"/>
  <c r="AU49" i="18"/>
  <c r="AP49" i="18"/>
  <c r="AT36" i="18"/>
  <c r="AO36" i="18"/>
  <c r="AR36" i="18"/>
  <c r="AU36" i="18"/>
  <c r="AW36" i="18"/>
  <c r="AP36" i="18"/>
  <c r="AQ36" i="18"/>
  <c r="AS36" i="18"/>
  <c r="AT43" i="18"/>
  <c r="AO43" i="18"/>
  <c r="AP43" i="18"/>
  <c r="AQ43" i="18"/>
  <c r="AS43" i="18"/>
  <c r="AW43" i="18"/>
  <c r="AR43" i="18"/>
  <c r="AU43" i="18"/>
  <c r="AU35" i="18"/>
  <c r="AR35" i="18"/>
  <c r="AR31" i="18" s="1"/>
  <c r="AW35" i="18"/>
  <c r="AT35" i="18"/>
  <c r="AP35" i="18"/>
  <c r="AO35" i="18"/>
  <c r="AQ35" i="18"/>
  <c r="AQ31" i="18" s="1"/>
  <c r="AS35" i="18"/>
  <c r="AS31" i="18" s="1"/>
  <c r="L7" i="28"/>
  <c r="M7" i="28"/>
  <c r="G23" i="28"/>
  <c r="G49" i="28" s="1"/>
  <c r="AA23" i="28"/>
  <c r="AA49" i="28" s="1"/>
  <c r="D23" i="28"/>
  <c r="D49" i="28" s="1"/>
  <c r="T23" i="28"/>
  <c r="T49" i="28" s="1"/>
  <c r="E23" i="28"/>
  <c r="E49" i="28" s="1"/>
  <c r="U23" i="28"/>
  <c r="U49" i="28" s="1"/>
  <c r="H23" i="28"/>
  <c r="H49" i="28" s="1"/>
  <c r="X23" i="28"/>
  <c r="X49" i="28" s="1"/>
  <c r="I23" i="28"/>
  <c r="I49" i="28" s="1"/>
  <c r="Y23" i="28"/>
  <c r="Y49" i="28" s="1"/>
  <c r="J23" i="28"/>
  <c r="J49" i="28" s="1"/>
  <c r="Z23" i="28"/>
  <c r="Z49" i="28" s="1"/>
  <c r="G18" i="28"/>
  <c r="AA18" i="28"/>
  <c r="H18" i="28"/>
  <c r="X18" i="28"/>
  <c r="I18" i="28"/>
  <c r="Y18" i="28"/>
  <c r="J18" i="28"/>
  <c r="Z18" i="28"/>
  <c r="J9" i="28"/>
  <c r="D9" i="28"/>
  <c r="T9" i="28"/>
  <c r="E9" i="28"/>
  <c r="U9" i="28"/>
  <c r="AW40" i="37"/>
  <c r="AT40" i="37"/>
  <c r="AW44" i="37"/>
  <c r="AT44" i="37"/>
  <c r="W14" i="28"/>
  <c r="W34" i="28" s="1"/>
  <c r="L14" i="28"/>
  <c r="L34" i="28" s="1"/>
  <c r="M14" i="28"/>
  <c r="M34" i="28" s="1"/>
  <c r="N14" i="28"/>
  <c r="N34" i="28" s="1"/>
  <c r="AT41" i="37"/>
  <c r="AW41" i="37"/>
  <c r="AT46" i="37"/>
  <c r="AW46" i="37"/>
  <c r="K16" i="28"/>
  <c r="D16" i="28"/>
  <c r="T16" i="28"/>
  <c r="E16" i="28"/>
  <c r="U16" i="28"/>
  <c r="F16" i="28"/>
  <c r="V16" i="28"/>
  <c r="AT47" i="37"/>
  <c r="AW47" i="37"/>
  <c r="AT37" i="37"/>
  <c r="AW37" i="37"/>
  <c r="AT35" i="37"/>
  <c r="AW35" i="37"/>
  <c r="AW31" i="37" s="1"/>
  <c r="AT38" i="37"/>
  <c r="AW38" i="37"/>
  <c r="AW33" i="37"/>
  <c r="AT33" i="37"/>
  <c r="N29" i="28"/>
  <c r="O29" i="28"/>
  <c r="P29" i="28"/>
  <c r="Q29" i="28"/>
  <c r="P21" i="28"/>
  <c r="Q21" i="28"/>
  <c r="R21" i="28"/>
  <c r="J5" i="28"/>
  <c r="H5" i="28"/>
  <c r="X5" i="28"/>
  <c r="R5" i="28"/>
  <c r="E5" i="28"/>
  <c r="U5" i="28"/>
  <c r="AT39" i="37"/>
  <c r="AW39" i="37"/>
  <c r="AT36" i="37"/>
  <c r="AW36" i="37"/>
  <c r="AT43" i="37"/>
  <c r="AW43" i="37"/>
  <c r="AW34" i="37"/>
  <c r="AT34" i="37"/>
  <c r="AW42" i="37"/>
  <c r="AT42" i="37"/>
  <c r="AT49" i="37"/>
  <c r="AW49" i="37"/>
  <c r="R29" i="28"/>
  <c r="D29" i="28"/>
  <c r="T29" i="28"/>
  <c r="E29" i="28"/>
  <c r="U29" i="28"/>
  <c r="AA7" i="28"/>
  <c r="H7" i="28"/>
  <c r="X7" i="28"/>
  <c r="I7" i="28"/>
  <c r="Y7" i="28"/>
  <c r="BD47" i="31"/>
  <c r="BD45" i="31" s="1"/>
  <c r="F47" i="31"/>
  <c r="F45" i="31" s="1"/>
  <c r="BH47" i="31"/>
  <c r="BH45" i="31" s="1"/>
  <c r="J47" i="31"/>
  <c r="J45" i="31" s="1"/>
  <c r="BL47" i="31"/>
  <c r="BL45" i="31" s="1"/>
  <c r="N47" i="31"/>
  <c r="N45" i="31" s="1"/>
  <c r="BP47" i="31"/>
  <c r="BP45" i="31" s="1"/>
  <c r="R47" i="31"/>
  <c r="R45" i="31" s="1"/>
  <c r="BT47" i="31"/>
  <c r="BT45" i="31" s="1"/>
  <c r="BX47" i="31"/>
  <c r="BX45" i="31" s="1"/>
  <c r="Z47" i="31"/>
  <c r="Z45" i="31" s="1"/>
  <c r="BE47" i="31"/>
  <c r="BE45" i="31" s="1"/>
  <c r="G47" i="31"/>
  <c r="G45" i="31" s="1"/>
  <c r="BI47" i="31"/>
  <c r="BI45" i="31" s="1"/>
  <c r="K47" i="31"/>
  <c r="K45" i="31" s="1"/>
  <c r="BM47" i="31"/>
  <c r="BM45" i="31" s="1"/>
  <c r="O47" i="31"/>
  <c r="O45" i="31" s="1"/>
  <c r="BQ47" i="31"/>
  <c r="BQ45" i="31" s="1"/>
  <c r="S47" i="31"/>
  <c r="S45" i="31" s="1"/>
  <c r="BU47" i="31"/>
  <c r="BU45" i="31" s="1"/>
  <c r="W47" i="31"/>
  <c r="W45" i="31" s="1"/>
  <c r="BY47" i="31"/>
  <c r="BY45" i="31" s="1"/>
  <c r="AA47" i="31"/>
  <c r="AA45" i="31" s="1"/>
  <c r="D47" i="31"/>
  <c r="BF47" i="31"/>
  <c r="BF45" i="31" s="1"/>
  <c r="H47" i="31"/>
  <c r="H45" i="31" s="1"/>
  <c r="BJ47" i="31"/>
  <c r="BJ45" i="31" s="1"/>
  <c r="L47" i="31"/>
  <c r="L45" i="31" s="1"/>
  <c r="BN47" i="31"/>
  <c r="BN45" i="31" s="1"/>
  <c r="P47" i="31"/>
  <c r="P45" i="31" s="1"/>
  <c r="BR47" i="31"/>
  <c r="BR45" i="31" s="1"/>
  <c r="T47" i="31"/>
  <c r="T45" i="31" s="1"/>
  <c r="BV47" i="31"/>
  <c r="BV45" i="31" s="1"/>
  <c r="X47" i="31"/>
  <c r="X45" i="31" s="1"/>
  <c r="BC47" i="31"/>
  <c r="BC45" i="31" s="1"/>
  <c r="E47" i="31"/>
  <c r="E45" i="31" s="1"/>
  <c r="BG47" i="31"/>
  <c r="BG45" i="31" s="1"/>
  <c r="I47" i="31"/>
  <c r="I45" i="31" s="1"/>
  <c r="BK47" i="31"/>
  <c r="BK45" i="31" s="1"/>
  <c r="M47" i="31"/>
  <c r="M45" i="31" s="1"/>
  <c r="BO47" i="31"/>
  <c r="BO45" i="31" s="1"/>
  <c r="Q47" i="31"/>
  <c r="Q45" i="31" s="1"/>
  <c r="BS47" i="31"/>
  <c r="BS45" i="31" s="1"/>
  <c r="U47" i="31"/>
  <c r="U45" i="31" s="1"/>
  <c r="BW47" i="31"/>
  <c r="BW45" i="31" s="1"/>
  <c r="Y47" i="31"/>
  <c r="Y45" i="31" s="1"/>
  <c r="BD37" i="31"/>
  <c r="F37" i="31"/>
  <c r="BH37" i="31"/>
  <c r="J37" i="31"/>
  <c r="BL37" i="31"/>
  <c r="N37" i="31"/>
  <c r="BP37" i="31"/>
  <c r="R37" i="31"/>
  <c r="BT37" i="31"/>
  <c r="BX37" i="31"/>
  <c r="Z37" i="31"/>
  <c r="BE37" i="31"/>
  <c r="G37" i="31"/>
  <c r="BI37" i="31"/>
  <c r="K37" i="31"/>
  <c r="BM37" i="31"/>
  <c r="O37" i="31"/>
  <c r="BQ37" i="31"/>
  <c r="S37" i="31"/>
  <c r="BU37" i="31"/>
  <c r="W37" i="31"/>
  <c r="BY37" i="31"/>
  <c r="AA37" i="31"/>
  <c r="D37" i="31"/>
  <c r="BF37" i="31"/>
  <c r="H37" i="31"/>
  <c r="BJ37" i="31"/>
  <c r="L37" i="31"/>
  <c r="BN37" i="31"/>
  <c r="P37" i="31"/>
  <c r="BR37" i="31"/>
  <c r="T37" i="31"/>
  <c r="BV37" i="31"/>
  <c r="X37" i="31"/>
  <c r="BC37" i="31"/>
  <c r="E37" i="31"/>
  <c r="BG37" i="31"/>
  <c r="I37" i="31"/>
  <c r="BK37" i="31"/>
  <c r="M37" i="31"/>
  <c r="BO37" i="31"/>
  <c r="Q37" i="31"/>
  <c r="BS37" i="31"/>
  <c r="U37" i="31"/>
  <c r="BW37" i="31"/>
  <c r="Y37" i="31"/>
  <c r="BF36" i="31"/>
  <c r="H36" i="31"/>
  <c r="BJ36" i="31"/>
  <c r="L36" i="31"/>
  <c r="BN36" i="31"/>
  <c r="P36" i="31"/>
  <c r="BR36" i="31"/>
  <c r="T36" i="31"/>
  <c r="BV36" i="31"/>
  <c r="X36" i="31"/>
  <c r="BC36" i="31"/>
  <c r="E36" i="31"/>
  <c r="BG36" i="31"/>
  <c r="I36" i="31"/>
  <c r="BK36" i="31"/>
  <c r="M36" i="31"/>
  <c r="BO36" i="31"/>
  <c r="Q36" i="31"/>
  <c r="BS36" i="31"/>
  <c r="U36" i="31"/>
  <c r="BW36" i="31"/>
  <c r="Y36" i="31"/>
  <c r="BD36" i="31"/>
  <c r="F36" i="31"/>
  <c r="BH36" i="31"/>
  <c r="J36" i="31"/>
  <c r="BL36" i="31"/>
  <c r="N36" i="31"/>
  <c r="BP36" i="31"/>
  <c r="R36" i="31"/>
  <c r="BT36" i="31"/>
  <c r="BX36" i="31"/>
  <c r="Z36" i="31"/>
  <c r="BE36" i="31"/>
  <c r="G36" i="31"/>
  <c r="BI36" i="31"/>
  <c r="K36" i="31"/>
  <c r="BM36" i="31"/>
  <c r="O36" i="31"/>
  <c r="BQ36" i="31"/>
  <c r="S36" i="31"/>
  <c r="BU36" i="31"/>
  <c r="W36" i="31"/>
  <c r="BY36" i="31"/>
  <c r="AA36" i="31"/>
  <c r="BD41" i="31"/>
  <c r="F41" i="31"/>
  <c r="BH41" i="31"/>
  <c r="J41" i="31"/>
  <c r="BL41" i="31"/>
  <c r="N41" i="31"/>
  <c r="BP41" i="31"/>
  <c r="R41" i="31"/>
  <c r="BT41" i="31"/>
  <c r="BX41" i="31"/>
  <c r="Z41" i="31"/>
  <c r="BE41" i="31"/>
  <c r="G41" i="31"/>
  <c r="BI41" i="31"/>
  <c r="K41" i="31"/>
  <c r="BM41" i="31"/>
  <c r="O41" i="31"/>
  <c r="BQ41" i="31"/>
  <c r="S41" i="31"/>
  <c r="BU41" i="31"/>
  <c r="W41" i="31"/>
  <c r="BY41" i="31"/>
  <c r="AA41" i="31"/>
  <c r="D41" i="31"/>
  <c r="BF41" i="31"/>
  <c r="H41" i="31"/>
  <c r="L41" i="31"/>
  <c r="BJ41" i="31"/>
  <c r="P41" i="31"/>
  <c r="BN41" i="31"/>
  <c r="BR41" i="31"/>
  <c r="T41" i="31"/>
  <c r="BV41" i="31"/>
  <c r="X41" i="31"/>
  <c r="BC41" i="31"/>
  <c r="E41" i="31"/>
  <c r="BG41" i="31"/>
  <c r="I41" i="31"/>
  <c r="BK41" i="31"/>
  <c r="M41" i="31"/>
  <c r="BO41" i="31"/>
  <c r="Q41" i="31"/>
  <c r="BS41" i="31"/>
  <c r="U41" i="31"/>
  <c r="BW41" i="31"/>
  <c r="Y41" i="31"/>
  <c r="F2" i="31"/>
  <c r="F38" i="31" s="1"/>
  <c r="BD38" i="31"/>
  <c r="BH38" i="31"/>
  <c r="J2" i="31"/>
  <c r="J38" i="31" s="1"/>
  <c r="BL38" i="31"/>
  <c r="N2" i="31"/>
  <c r="N38" i="31" s="1"/>
  <c r="BP38" i="31"/>
  <c r="R2" i="31"/>
  <c r="R38" i="31" s="1"/>
  <c r="V2" i="31"/>
  <c r="BT38" i="31"/>
  <c r="BX38" i="31"/>
  <c r="Z2" i="31"/>
  <c r="Z38" i="31" s="1"/>
  <c r="BE38" i="31"/>
  <c r="G2" i="31"/>
  <c r="G38" i="31" s="1"/>
  <c r="BI38" i="31"/>
  <c r="K2" i="31"/>
  <c r="K38" i="31" s="1"/>
  <c r="BM38" i="31"/>
  <c r="O2" i="31"/>
  <c r="O38" i="31" s="1"/>
  <c r="BQ38" i="31"/>
  <c r="S2" i="31"/>
  <c r="S38" i="31" s="1"/>
  <c r="BU38" i="31"/>
  <c r="W2" i="31"/>
  <c r="W38" i="31" s="1"/>
  <c r="BY38" i="31"/>
  <c r="AA2" i="31"/>
  <c r="AA38" i="31" s="1"/>
  <c r="H2" i="31"/>
  <c r="H38" i="31" s="1"/>
  <c r="BF38" i="31"/>
  <c r="BJ38" i="31"/>
  <c r="L2" i="31"/>
  <c r="L38" i="31" s="1"/>
  <c r="P2" i="31"/>
  <c r="P38" i="31" s="1"/>
  <c r="BN38" i="31"/>
  <c r="T2" i="31"/>
  <c r="T38" i="31" s="1"/>
  <c r="BR38" i="31"/>
  <c r="X2" i="31"/>
  <c r="X38" i="31" s="1"/>
  <c r="BV38" i="31"/>
  <c r="BC38" i="31"/>
  <c r="E2" i="31"/>
  <c r="BG38" i="31"/>
  <c r="I2" i="31"/>
  <c r="I38" i="31" s="1"/>
  <c r="BK38" i="31"/>
  <c r="M2" i="31"/>
  <c r="M38" i="31" s="1"/>
  <c r="BO38" i="31"/>
  <c r="Q2" i="31"/>
  <c r="Q38" i="31" s="1"/>
  <c r="BS38" i="31"/>
  <c r="U2" i="31"/>
  <c r="U38" i="31" s="1"/>
  <c r="BW38" i="31"/>
  <c r="Y2" i="31"/>
  <c r="Y38" i="31" s="1"/>
  <c r="BF34" i="31"/>
  <c r="H34" i="31"/>
  <c r="BJ34" i="31"/>
  <c r="L34" i="31"/>
  <c r="BN34" i="31"/>
  <c r="P34" i="31"/>
  <c r="BR34" i="31"/>
  <c r="T34" i="31"/>
  <c r="BV34" i="31"/>
  <c r="X34" i="31"/>
  <c r="E34" i="31"/>
  <c r="BC34" i="31"/>
  <c r="BG34" i="31"/>
  <c r="I34" i="31"/>
  <c r="M34" i="31"/>
  <c r="BK34" i="31"/>
  <c r="Q34" i="31"/>
  <c r="BO34" i="31"/>
  <c r="U34" i="31"/>
  <c r="BS34" i="31"/>
  <c r="BW34" i="31"/>
  <c r="Y34" i="31"/>
  <c r="F34" i="31"/>
  <c r="BD34" i="31"/>
  <c r="BH34" i="31"/>
  <c r="J34" i="31"/>
  <c r="BL34" i="31"/>
  <c r="N34" i="31"/>
  <c r="R34" i="31"/>
  <c r="BP34" i="31"/>
  <c r="BT34" i="31"/>
  <c r="BX34" i="31"/>
  <c r="Z34" i="31"/>
  <c r="G34" i="31"/>
  <c r="BE34" i="31"/>
  <c r="BI34" i="31"/>
  <c r="K34" i="31"/>
  <c r="BM34" i="31"/>
  <c r="O34" i="31"/>
  <c r="BQ34" i="31"/>
  <c r="S34" i="31"/>
  <c r="W34" i="31"/>
  <c r="BU34" i="31"/>
  <c r="BY34" i="31"/>
  <c r="AA34" i="31"/>
  <c r="BF33" i="31"/>
  <c r="H33" i="31"/>
  <c r="BJ33" i="31"/>
  <c r="L33" i="31"/>
  <c r="BN33" i="31"/>
  <c r="P33" i="31"/>
  <c r="BR33" i="31"/>
  <c r="T33" i="31"/>
  <c r="BV33" i="31"/>
  <c r="X33" i="31"/>
  <c r="BC33" i="31"/>
  <c r="E33" i="31"/>
  <c r="BG33" i="31"/>
  <c r="I33" i="31"/>
  <c r="BK33" i="31"/>
  <c r="M33" i="31"/>
  <c r="BO33" i="31"/>
  <c r="Q33" i="31"/>
  <c r="BS33" i="31"/>
  <c r="U33" i="31"/>
  <c r="BW33" i="31"/>
  <c r="Y33" i="31"/>
  <c r="BD33" i="31"/>
  <c r="F33" i="31"/>
  <c r="BH33" i="31"/>
  <c r="J33" i="31"/>
  <c r="BL33" i="31"/>
  <c r="N33" i="31"/>
  <c r="BP33" i="31"/>
  <c r="R33" i="31"/>
  <c r="BT33" i="31"/>
  <c r="BX33" i="31"/>
  <c r="Z33" i="31"/>
  <c r="BE33" i="31"/>
  <c r="G33" i="31"/>
  <c r="BI33" i="31"/>
  <c r="K33" i="31"/>
  <c r="BM33" i="31"/>
  <c r="O33" i="31"/>
  <c r="BQ33" i="31"/>
  <c r="S33" i="31"/>
  <c r="BU33" i="31"/>
  <c r="W33" i="31"/>
  <c r="BY33" i="31"/>
  <c r="AA33" i="31"/>
  <c r="D42" i="31"/>
  <c r="BF42" i="31"/>
  <c r="H42" i="31"/>
  <c r="BJ42" i="31"/>
  <c r="L42" i="31"/>
  <c r="BN42" i="31"/>
  <c r="P42" i="31"/>
  <c r="BR42" i="31"/>
  <c r="T42" i="31"/>
  <c r="BV42" i="31"/>
  <c r="X42" i="31"/>
  <c r="BC42" i="31"/>
  <c r="E42" i="31"/>
  <c r="BG42" i="31"/>
  <c r="I42" i="31"/>
  <c r="BK42" i="31"/>
  <c r="M42" i="31"/>
  <c r="BO42" i="31"/>
  <c r="Q42" i="31"/>
  <c r="BS42" i="31"/>
  <c r="U42" i="31"/>
  <c r="BW42" i="31"/>
  <c r="Y42" i="31"/>
  <c r="BD42" i="31"/>
  <c r="F42" i="31"/>
  <c r="BH42" i="31"/>
  <c r="J42" i="31"/>
  <c r="BL42" i="31"/>
  <c r="N42" i="31"/>
  <c r="BP42" i="31"/>
  <c r="R42" i="31"/>
  <c r="BT42" i="31"/>
  <c r="BX42" i="31"/>
  <c r="Z42" i="31"/>
  <c r="BE42" i="31"/>
  <c r="G42" i="31"/>
  <c r="BI42" i="31"/>
  <c r="K42" i="31"/>
  <c r="BM42" i="31"/>
  <c r="O42" i="31"/>
  <c r="BQ42" i="31"/>
  <c r="S42" i="31"/>
  <c r="BU42" i="31"/>
  <c r="W42" i="31"/>
  <c r="BY42" i="31"/>
  <c r="AA42" i="31"/>
  <c r="D39" i="31"/>
  <c r="H39" i="31"/>
  <c r="BF39" i="31"/>
  <c r="L39" i="31"/>
  <c r="BJ39" i="31"/>
  <c r="BN39" i="31"/>
  <c r="P39" i="31"/>
  <c r="BR39" i="31"/>
  <c r="T39" i="31"/>
  <c r="X39" i="31"/>
  <c r="BV39" i="31"/>
  <c r="BC39" i="31"/>
  <c r="E39" i="31"/>
  <c r="BG39" i="31"/>
  <c r="I39" i="31"/>
  <c r="BK39" i="31"/>
  <c r="M39" i="31"/>
  <c r="BO39" i="31"/>
  <c r="Q39" i="31"/>
  <c r="BS39" i="31"/>
  <c r="U39" i="31"/>
  <c r="BW39" i="31"/>
  <c r="Y39" i="31"/>
  <c r="BD39" i="31"/>
  <c r="F39" i="31"/>
  <c r="BH39" i="31"/>
  <c r="J39" i="31"/>
  <c r="BL39" i="31"/>
  <c r="N39" i="31"/>
  <c r="BP39" i="31"/>
  <c r="R39" i="31"/>
  <c r="BT39" i="31"/>
  <c r="BX39" i="31"/>
  <c r="Z39" i="31"/>
  <c r="BE39" i="31"/>
  <c r="G39" i="31"/>
  <c r="BI39" i="31"/>
  <c r="K39" i="31"/>
  <c r="BM39" i="31"/>
  <c r="O39" i="31"/>
  <c r="BQ39" i="31"/>
  <c r="S39" i="31"/>
  <c r="BU39" i="31"/>
  <c r="W39" i="31"/>
  <c r="BY39" i="31"/>
  <c r="AA39" i="31"/>
  <c r="D44" i="31"/>
  <c r="BF44" i="31"/>
  <c r="H44" i="31"/>
  <c r="BJ44" i="31"/>
  <c r="L44" i="31"/>
  <c r="BN44" i="31"/>
  <c r="P44" i="31"/>
  <c r="BR44" i="31"/>
  <c r="T44" i="31"/>
  <c r="BV44" i="31"/>
  <c r="X44" i="31"/>
  <c r="BC44" i="31"/>
  <c r="E44" i="31"/>
  <c r="BG44" i="31"/>
  <c r="I44" i="31"/>
  <c r="BK44" i="31"/>
  <c r="M44" i="31"/>
  <c r="BO44" i="31"/>
  <c r="Q44" i="31"/>
  <c r="BS44" i="31"/>
  <c r="U44" i="31"/>
  <c r="BW44" i="31"/>
  <c r="Y44" i="31"/>
  <c r="BD44" i="31"/>
  <c r="F44" i="31"/>
  <c r="BH44" i="31"/>
  <c r="J44" i="31"/>
  <c r="BL44" i="31"/>
  <c r="N44" i="31"/>
  <c r="BP44" i="31"/>
  <c r="R44" i="31"/>
  <c r="BT44" i="31"/>
  <c r="BX44" i="31"/>
  <c r="Z44" i="31"/>
  <c r="BE44" i="31"/>
  <c r="G44" i="31"/>
  <c r="BI44" i="31"/>
  <c r="K44" i="31"/>
  <c r="BM44" i="31"/>
  <c r="O44" i="31"/>
  <c r="BQ44" i="31"/>
  <c r="S44" i="31"/>
  <c r="BU44" i="31"/>
  <c r="W44" i="31"/>
  <c r="BY44" i="31"/>
  <c r="AA44" i="31"/>
  <c r="BF35" i="31"/>
  <c r="H35" i="31"/>
  <c r="BJ35" i="31"/>
  <c r="L35" i="31"/>
  <c r="BN35" i="31"/>
  <c r="P35" i="31"/>
  <c r="BR35" i="31"/>
  <c r="T35" i="31"/>
  <c r="BV35" i="31"/>
  <c r="X35" i="31"/>
  <c r="BC35" i="31"/>
  <c r="E35" i="31"/>
  <c r="BG35" i="31"/>
  <c r="I35" i="31"/>
  <c r="BK35" i="31"/>
  <c r="M35" i="31"/>
  <c r="BO35" i="31"/>
  <c r="Q35" i="31"/>
  <c r="BS35" i="31"/>
  <c r="U35" i="31"/>
  <c r="BW35" i="31"/>
  <c r="Y35" i="31"/>
  <c r="BD35" i="31"/>
  <c r="F35" i="31"/>
  <c r="BH35" i="31"/>
  <c r="J35" i="31"/>
  <c r="BL35" i="31"/>
  <c r="N35" i="31"/>
  <c r="BP35" i="31"/>
  <c r="R35" i="31"/>
  <c r="BT35" i="31"/>
  <c r="BX35" i="31"/>
  <c r="Z35" i="31"/>
  <c r="BE35" i="31"/>
  <c r="G35" i="31"/>
  <c r="BI35" i="31"/>
  <c r="K35" i="31"/>
  <c r="BM35" i="31"/>
  <c r="O35" i="31"/>
  <c r="BQ35" i="31"/>
  <c r="S35" i="31"/>
  <c r="BU35" i="31"/>
  <c r="W35" i="31"/>
  <c r="BY35" i="31"/>
  <c r="AA35" i="31"/>
  <c r="BD40" i="31"/>
  <c r="F40" i="31"/>
  <c r="BH40" i="31"/>
  <c r="J40" i="31"/>
  <c r="BL40" i="31"/>
  <c r="N40" i="31"/>
  <c r="BP40" i="31"/>
  <c r="R40" i="31"/>
  <c r="BT40" i="31"/>
  <c r="BX40" i="31"/>
  <c r="Z40" i="31"/>
  <c r="BE40" i="31"/>
  <c r="G40" i="31"/>
  <c r="BI40" i="31"/>
  <c r="K40" i="31"/>
  <c r="BM40" i="31"/>
  <c r="O40" i="31"/>
  <c r="BQ40" i="31"/>
  <c r="S40" i="31"/>
  <c r="BU40" i="31"/>
  <c r="W40" i="31"/>
  <c r="BY40" i="31"/>
  <c r="AA40" i="31"/>
  <c r="D40" i="31"/>
  <c r="BF40" i="31"/>
  <c r="H40" i="31"/>
  <c r="BJ40" i="31"/>
  <c r="L40" i="31"/>
  <c r="BN40" i="31"/>
  <c r="P40" i="31"/>
  <c r="BR40" i="31"/>
  <c r="T40" i="31"/>
  <c r="BV40" i="31"/>
  <c r="X40" i="31"/>
  <c r="BC40" i="31"/>
  <c r="E40" i="31"/>
  <c r="BG40" i="31"/>
  <c r="I40" i="31"/>
  <c r="BK40" i="31"/>
  <c r="M40" i="31"/>
  <c r="BO40" i="31"/>
  <c r="Q40" i="31"/>
  <c r="BS40" i="31"/>
  <c r="U40" i="31"/>
  <c r="BW40" i="31"/>
  <c r="Y40" i="31"/>
  <c r="D43" i="31"/>
  <c r="BF43" i="31"/>
  <c r="H43" i="31"/>
  <c r="BJ43" i="31"/>
  <c r="L43" i="31"/>
  <c r="BN43" i="31"/>
  <c r="P43" i="31"/>
  <c r="BR43" i="31"/>
  <c r="T43" i="31"/>
  <c r="BV43" i="31"/>
  <c r="X43" i="31"/>
  <c r="BC43" i="31"/>
  <c r="E43" i="31"/>
  <c r="BG43" i="31"/>
  <c r="I43" i="31"/>
  <c r="BK43" i="31"/>
  <c r="M43" i="31"/>
  <c r="BO43" i="31"/>
  <c r="Q43" i="31"/>
  <c r="BS43" i="31"/>
  <c r="U43" i="31"/>
  <c r="BW43" i="31"/>
  <c r="Y43" i="31"/>
  <c r="BD43" i="31"/>
  <c r="F43" i="31"/>
  <c r="BH43" i="31"/>
  <c r="J43" i="31"/>
  <c r="BL43" i="31"/>
  <c r="N43" i="31"/>
  <c r="BP43" i="31"/>
  <c r="R43" i="31"/>
  <c r="BT43" i="31"/>
  <c r="BX43" i="31"/>
  <c r="Z43" i="31"/>
  <c r="BE43" i="31"/>
  <c r="G43" i="31"/>
  <c r="BI43" i="31"/>
  <c r="K43" i="31"/>
  <c r="BM43" i="31"/>
  <c r="O43" i="31"/>
  <c r="BQ43" i="31"/>
  <c r="S43" i="31"/>
  <c r="BU43" i="31"/>
  <c r="W43" i="31"/>
  <c r="BY43" i="31"/>
  <c r="AA43" i="31"/>
  <c r="Z9" i="28"/>
  <c r="O14" i="28"/>
  <c r="O34" i="28" s="1"/>
  <c r="V9" i="28"/>
  <c r="W9" i="28"/>
  <c r="O19" i="28"/>
  <c r="O42" i="28" s="1"/>
  <c r="O9" i="28"/>
  <c r="O13" i="28"/>
  <c r="O33" i="28" s="1"/>
  <c r="F23" i="28"/>
  <c r="F49" i="28" s="1"/>
  <c r="V23" i="28"/>
  <c r="V49" i="28" s="1"/>
  <c r="O18" i="28"/>
  <c r="K23" i="28"/>
  <c r="K49" i="28" s="1"/>
  <c r="V7" i="28"/>
  <c r="W7" i="28"/>
  <c r="W5" i="28"/>
  <c r="W13" i="28"/>
  <c r="W33" i="28" s="1"/>
  <c r="L13" i="28"/>
  <c r="L33" i="28" s="1"/>
  <c r="M13" i="28"/>
  <c r="M33" i="28" s="1"/>
  <c r="N13" i="28"/>
  <c r="N33" i="28" s="1"/>
  <c r="W19" i="28"/>
  <c r="W42" i="28" s="1"/>
  <c r="L19" i="28"/>
  <c r="L42" i="28" s="1"/>
  <c r="M19" i="28"/>
  <c r="M42" i="28" s="1"/>
  <c r="N19" i="28"/>
  <c r="N42" i="28" s="1"/>
  <c r="D10" i="28"/>
  <c r="D46" i="28" s="1"/>
  <c r="P9" i="28"/>
  <c r="Q9" i="28"/>
  <c r="F9" i="28"/>
  <c r="G9" i="28"/>
  <c r="G14" i="28"/>
  <c r="G34" i="28" s="1"/>
  <c r="AA14" i="28"/>
  <c r="AA34" i="28" s="1"/>
  <c r="H14" i="28"/>
  <c r="H34" i="28" s="1"/>
  <c r="X14" i="28"/>
  <c r="X34" i="28" s="1"/>
  <c r="I14" i="28"/>
  <c r="I34" i="28" s="1"/>
  <c r="Y14" i="28"/>
  <c r="Y34" i="28" s="1"/>
  <c r="J14" i="28"/>
  <c r="J34" i="28" s="1"/>
  <c r="Z14" i="28"/>
  <c r="Z34" i="28" s="1"/>
  <c r="P16" i="28"/>
  <c r="Q16" i="28"/>
  <c r="R16" i="28"/>
  <c r="O5" i="28"/>
  <c r="D5" i="28"/>
  <c r="T5" i="28"/>
  <c r="F5" i="28"/>
  <c r="Q5" i="28"/>
  <c r="G13" i="28"/>
  <c r="G33" i="28" s="1"/>
  <c r="AA13" i="28"/>
  <c r="AA33" i="28" s="1"/>
  <c r="H13" i="28"/>
  <c r="H33" i="28" s="1"/>
  <c r="X13" i="28"/>
  <c r="X33" i="28" s="1"/>
  <c r="I13" i="28"/>
  <c r="I33" i="28" s="1"/>
  <c r="Y13" i="28"/>
  <c r="Y33" i="28" s="1"/>
  <c r="J13" i="28"/>
  <c r="J33" i="28" s="1"/>
  <c r="Z13" i="28"/>
  <c r="Z33" i="28" s="1"/>
  <c r="G19" i="28"/>
  <c r="G42" i="28" s="1"/>
  <c r="AA19" i="28"/>
  <c r="AA42" i="28" s="1"/>
  <c r="H19" i="28"/>
  <c r="H42" i="28" s="1"/>
  <c r="X19" i="28"/>
  <c r="X42" i="28" s="1"/>
  <c r="I19" i="28"/>
  <c r="I42" i="28" s="1"/>
  <c r="Y19" i="28"/>
  <c r="Y42" i="28" s="1"/>
  <c r="J19" i="28"/>
  <c r="J42" i="28" s="1"/>
  <c r="Z19" i="28"/>
  <c r="Z42" i="28" s="1"/>
  <c r="W18" i="28"/>
  <c r="L18" i="28"/>
  <c r="M18" i="28"/>
  <c r="N18" i="28"/>
  <c r="K21" i="28"/>
  <c r="D21" i="28"/>
  <c r="T21" i="28"/>
  <c r="E21" i="28"/>
  <c r="U21" i="28"/>
  <c r="F21" i="28"/>
  <c r="V21" i="28"/>
  <c r="AA9" i="28"/>
  <c r="H9" i="28"/>
  <c r="X9" i="28"/>
  <c r="I9" i="28"/>
  <c r="Y9" i="28"/>
  <c r="P14" i="28"/>
  <c r="P34" i="28" s="1"/>
  <c r="Q14" i="28"/>
  <c r="Q34" i="28" s="1"/>
  <c r="R14" i="28"/>
  <c r="R34" i="28" s="1"/>
  <c r="L9" i="28"/>
  <c r="M9" i="28"/>
  <c r="K14" i="28"/>
  <c r="K34" i="28" s="1"/>
  <c r="D14" i="28"/>
  <c r="D34" i="28" s="1"/>
  <c r="T14" i="28"/>
  <c r="T34" i="28" s="1"/>
  <c r="E14" i="28"/>
  <c r="E34" i="28" s="1"/>
  <c r="U14" i="28"/>
  <c r="U34" i="28" s="1"/>
  <c r="F14" i="28"/>
  <c r="F34" i="28" s="1"/>
  <c r="V14" i="28"/>
  <c r="V34" i="28" s="1"/>
  <c r="G16" i="28"/>
  <c r="AA16" i="28"/>
  <c r="H16" i="28"/>
  <c r="X16" i="28"/>
  <c r="I16" i="28"/>
  <c r="Y16" i="28"/>
  <c r="J16" i="28"/>
  <c r="Z16" i="28"/>
  <c r="N5" i="28"/>
  <c r="G5" i="28"/>
  <c r="L5" i="28"/>
  <c r="Z5" i="28"/>
  <c r="I5" i="28"/>
  <c r="Y5" i="28"/>
  <c r="W16" i="28"/>
  <c r="O16" i="28"/>
  <c r="L16" i="28"/>
  <c r="M16" i="28"/>
  <c r="N16" i="28"/>
  <c r="V5" i="28"/>
  <c r="K5" i="28"/>
  <c r="AA5" i="28"/>
  <c r="P5" i="28"/>
  <c r="M5" i="28"/>
  <c r="N11" i="28"/>
  <c r="N39" i="28" s="1"/>
  <c r="O11" i="28"/>
  <c r="O39" i="28" s="1"/>
  <c r="P11" i="28"/>
  <c r="P39" i="28" s="1"/>
  <c r="Q11" i="28"/>
  <c r="Q39" i="28" s="1"/>
  <c r="R11" i="28"/>
  <c r="R39" i="28" s="1"/>
  <c r="S11" i="28"/>
  <c r="S39" i="28" s="1"/>
  <c r="D11" i="28"/>
  <c r="D39" i="28" s="1"/>
  <c r="T11" i="28"/>
  <c r="T39" i="28" s="1"/>
  <c r="E11" i="28"/>
  <c r="E39" i="28" s="1"/>
  <c r="U11" i="28"/>
  <c r="U39" i="28" s="1"/>
  <c r="P19" i="28"/>
  <c r="P42" i="28" s="1"/>
  <c r="Q19" i="28"/>
  <c r="Q42" i="28" s="1"/>
  <c r="R19" i="28"/>
  <c r="R42" i="28" s="1"/>
  <c r="F11" i="28"/>
  <c r="F39" i="28" s="1"/>
  <c r="V11" i="28"/>
  <c r="V39" i="28" s="1"/>
  <c r="G11" i="28"/>
  <c r="G39" i="28" s="1"/>
  <c r="W11" i="28"/>
  <c r="W39" i="28" s="1"/>
  <c r="H11" i="28"/>
  <c r="H39" i="28" s="1"/>
  <c r="X11" i="28"/>
  <c r="X39" i="28" s="1"/>
  <c r="I11" i="28"/>
  <c r="I39" i="28" s="1"/>
  <c r="Y11" i="28"/>
  <c r="Y39" i="28" s="1"/>
  <c r="K13" i="28"/>
  <c r="K33" i="28" s="1"/>
  <c r="D13" i="28"/>
  <c r="D33" i="28" s="1"/>
  <c r="T13" i="28"/>
  <c r="T33" i="28" s="1"/>
  <c r="E13" i="28"/>
  <c r="E33" i="28" s="1"/>
  <c r="U13" i="28"/>
  <c r="U33" i="28" s="1"/>
  <c r="F13" i="28"/>
  <c r="F33" i="28" s="1"/>
  <c r="V13" i="28"/>
  <c r="V33" i="28" s="1"/>
  <c r="K19" i="28"/>
  <c r="K42" i="28" s="1"/>
  <c r="D19" i="28"/>
  <c r="D42" i="28" s="1"/>
  <c r="T19" i="28"/>
  <c r="T42" i="28" s="1"/>
  <c r="E19" i="28"/>
  <c r="E42" i="28" s="1"/>
  <c r="U19" i="28"/>
  <c r="U42" i="28" s="1"/>
  <c r="F19" i="28"/>
  <c r="F42" i="28" s="1"/>
  <c r="V19" i="28"/>
  <c r="V42" i="28" s="1"/>
  <c r="J11" i="28"/>
  <c r="J39" i="28" s="1"/>
  <c r="Z11" i="28"/>
  <c r="Z39" i="28" s="1"/>
  <c r="K11" i="28"/>
  <c r="K39" i="28" s="1"/>
  <c r="AA11" i="28"/>
  <c r="AA39" i="28" s="1"/>
  <c r="L11" i="28"/>
  <c r="L39" i="28" s="1"/>
  <c r="M11" i="28"/>
  <c r="M39" i="28" s="1"/>
  <c r="N12" i="28"/>
  <c r="O12" i="28"/>
  <c r="P12" i="28"/>
  <c r="Q12" i="28"/>
  <c r="O15" i="28"/>
  <c r="O44" i="28" s="1"/>
  <c r="H15" i="28"/>
  <c r="H44" i="28" s="1"/>
  <c r="X15" i="28"/>
  <c r="X44" i="28" s="1"/>
  <c r="I15" i="28"/>
  <c r="I44" i="28" s="1"/>
  <c r="Y15" i="28"/>
  <c r="Y44" i="28" s="1"/>
  <c r="J15" i="28"/>
  <c r="J44" i="28" s="1"/>
  <c r="Z15" i="28"/>
  <c r="Z44" i="28" s="1"/>
  <c r="R12" i="28"/>
  <c r="S12" i="28"/>
  <c r="D12" i="28"/>
  <c r="T12" i="28"/>
  <c r="E12" i="28"/>
  <c r="U12" i="28"/>
  <c r="K15" i="28"/>
  <c r="K44" i="28" s="1"/>
  <c r="L15" i="28"/>
  <c r="L44" i="28" s="1"/>
  <c r="M15" i="28"/>
  <c r="M44" i="28" s="1"/>
  <c r="N15" i="28"/>
  <c r="N44" i="28" s="1"/>
  <c r="F12" i="28"/>
  <c r="V12" i="28"/>
  <c r="G12" i="28"/>
  <c r="W12" i="28"/>
  <c r="H12" i="28"/>
  <c r="X12" i="28"/>
  <c r="I12" i="28"/>
  <c r="Y12" i="28"/>
  <c r="G15" i="28"/>
  <c r="G44" i="28" s="1"/>
  <c r="AA15" i="28"/>
  <c r="AA44" i="28" s="1"/>
  <c r="P15" i="28"/>
  <c r="P44" i="28" s="1"/>
  <c r="Q15" i="28"/>
  <c r="Q44" i="28" s="1"/>
  <c r="R15" i="28"/>
  <c r="R44" i="28" s="1"/>
  <c r="J12" i="28"/>
  <c r="Z12" i="28"/>
  <c r="K12" i="28"/>
  <c r="AA12" i="28"/>
  <c r="L12" i="28"/>
  <c r="M12" i="28"/>
  <c r="S15" i="28"/>
  <c r="S44" i="28" s="1"/>
  <c r="W15" i="28"/>
  <c r="W44" i="28" s="1"/>
  <c r="D15" i="28"/>
  <c r="D44" i="28" s="1"/>
  <c r="T15" i="28"/>
  <c r="T44" i="28" s="1"/>
  <c r="E15" i="28"/>
  <c r="E44" i="28" s="1"/>
  <c r="U15" i="28"/>
  <c r="U44" i="28" s="1"/>
  <c r="F15" i="28"/>
  <c r="F44" i="28" s="1"/>
  <c r="V15" i="28"/>
  <c r="V44" i="28" s="1"/>
  <c r="R30" i="28"/>
  <c r="R35" i="28" s="1"/>
  <c r="V30" i="28"/>
  <c r="V35" i="28" s="1"/>
  <c r="Z30" i="28"/>
  <c r="Z35" i="28" s="1"/>
  <c r="G30" i="28"/>
  <c r="G35" i="28" s="1"/>
  <c r="W30" i="28"/>
  <c r="W35" i="28" s="1"/>
  <c r="H30" i="28"/>
  <c r="H35" i="28" s="1"/>
  <c r="X30" i="28"/>
  <c r="X35" i="28" s="1"/>
  <c r="I30" i="28"/>
  <c r="I35" i="28" s="1"/>
  <c r="Y30" i="28"/>
  <c r="Y35" i="28" s="1"/>
  <c r="K30" i="28"/>
  <c r="K35" i="28" s="1"/>
  <c r="AA30" i="28"/>
  <c r="AA35" i="28" s="1"/>
  <c r="L30" i="28"/>
  <c r="L35" i="28" s="1"/>
  <c r="M30" i="28"/>
  <c r="M35" i="28" s="1"/>
  <c r="P30" i="28"/>
  <c r="P35" i="28" s="1"/>
  <c r="Q30" i="28"/>
  <c r="Q35" i="28" s="1"/>
  <c r="F30" i="28"/>
  <c r="F35" i="28" s="1"/>
  <c r="J30" i="28"/>
  <c r="J35" i="28" s="1"/>
  <c r="S30" i="28"/>
  <c r="S35" i="28" s="1"/>
  <c r="D30" i="28"/>
  <c r="D35" i="28" s="1"/>
  <c r="T30" i="28"/>
  <c r="T35" i="28" s="1"/>
  <c r="E30" i="28"/>
  <c r="E35" i="28" s="1"/>
  <c r="U30" i="28"/>
  <c r="U35" i="28" s="1"/>
  <c r="J4" i="28"/>
  <c r="J40" i="28" s="1"/>
  <c r="G4" i="28"/>
  <c r="G40" i="28" s="1"/>
  <c r="W4" i="28"/>
  <c r="W40" i="28" s="1"/>
  <c r="R4" i="28"/>
  <c r="R40" i="28" s="1"/>
  <c r="D4" i="28"/>
  <c r="D40" i="28" s="1"/>
  <c r="T4" i="28"/>
  <c r="T40" i="28" s="1"/>
  <c r="N4" i="28"/>
  <c r="N40" i="28" s="1"/>
  <c r="I4" i="28"/>
  <c r="I40" i="28" s="1"/>
  <c r="Y4" i="28"/>
  <c r="Y40" i="28" s="1"/>
  <c r="V4" i="28"/>
  <c r="V40" i="28" s="1"/>
  <c r="K4" i="28"/>
  <c r="K40" i="28" s="1"/>
  <c r="AA4" i="28"/>
  <c r="AA40" i="28" s="1"/>
  <c r="H4" i="28"/>
  <c r="H40" i="28" s="1"/>
  <c r="X4" i="28"/>
  <c r="X40" i="28" s="1"/>
  <c r="Z4" i="28"/>
  <c r="Z40" i="28" s="1"/>
  <c r="M4" i="28"/>
  <c r="M40" i="28" s="1"/>
  <c r="O4" i="28"/>
  <c r="O40" i="28" s="1"/>
  <c r="L4" i="28"/>
  <c r="L40" i="28" s="1"/>
  <c r="Q4" i="28"/>
  <c r="Q40" i="28" s="1"/>
  <c r="S4" i="28"/>
  <c r="S40" i="28" s="1"/>
  <c r="F4" i="28"/>
  <c r="F40" i="28" s="1"/>
  <c r="P4" i="28"/>
  <c r="P40" i="28" s="1"/>
  <c r="E4" i="28"/>
  <c r="E40" i="28" s="1"/>
  <c r="U4" i="28"/>
  <c r="U40" i="28" s="1"/>
  <c r="N28" i="28"/>
  <c r="N43" i="28" s="1"/>
  <c r="O28" i="28"/>
  <c r="O43" i="28" s="1"/>
  <c r="P28" i="28"/>
  <c r="P43" i="28" s="1"/>
  <c r="Q28" i="28"/>
  <c r="Q43" i="28" s="1"/>
  <c r="R28" i="28"/>
  <c r="R43" i="28" s="1"/>
  <c r="S28" i="28"/>
  <c r="S43" i="28" s="1"/>
  <c r="D28" i="28"/>
  <c r="D43" i="28" s="1"/>
  <c r="T28" i="28"/>
  <c r="T43" i="28" s="1"/>
  <c r="E28" i="28"/>
  <c r="E43" i="28" s="1"/>
  <c r="U28" i="28"/>
  <c r="U43" i="28" s="1"/>
  <c r="F28" i="28"/>
  <c r="F43" i="28" s="1"/>
  <c r="V28" i="28"/>
  <c r="V43" i="28" s="1"/>
  <c r="G28" i="28"/>
  <c r="G43" i="28" s="1"/>
  <c r="W28" i="28"/>
  <c r="W43" i="28" s="1"/>
  <c r="H28" i="28"/>
  <c r="H43" i="28" s="1"/>
  <c r="X28" i="28"/>
  <c r="X43" i="28" s="1"/>
  <c r="I28" i="28"/>
  <c r="I43" i="28" s="1"/>
  <c r="Y28" i="28"/>
  <c r="Y43" i="28" s="1"/>
  <c r="J28" i="28"/>
  <c r="J43" i="28" s="1"/>
  <c r="Z28" i="28"/>
  <c r="Z43" i="28" s="1"/>
  <c r="K28" i="28"/>
  <c r="K43" i="28" s="1"/>
  <c r="AA28" i="28"/>
  <c r="AA43" i="28" s="1"/>
  <c r="L28" i="28"/>
  <c r="L43" i="28" s="1"/>
  <c r="M28" i="28"/>
  <c r="M43" i="28" s="1"/>
  <c r="N30" i="28"/>
  <c r="N35" i="28" s="1"/>
  <c r="O30" i="28"/>
  <c r="O35" i="28" s="1"/>
  <c r="P13" i="28"/>
  <c r="P33" i="28" s="1"/>
  <c r="Q13" i="28"/>
  <c r="Q33" i="28" s="1"/>
  <c r="R13" i="28"/>
  <c r="R33" i="28" s="1"/>
  <c r="J29" i="28"/>
  <c r="Z29" i="28"/>
  <c r="K29" i="28"/>
  <c r="AA29" i="28"/>
  <c r="L29" i="28"/>
  <c r="M29" i="28"/>
  <c r="J7" i="28"/>
  <c r="R7" i="28"/>
  <c r="D7" i="28"/>
  <c r="T7" i="28"/>
  <c r="E7" i="28"/>
  <c r="U7" i="28"/>
  <c r="F7" i="28"/>
  <c r="G7" i="28"/>
  <c r="W23" i="28"/>
  <c r="W49" i="28" s="1"/>
  <c r="S23" i="28"/>
  <c r="S49" i="28" s="1"/>
  <c r="F29" i="28"/>
  <c r="V29" i="28"/>
  <c r="G29" i="28"/>
  <c r="W29" i="28"/>
  <c r="H29" i="28"/>
  <c r="X29" i="28"/>
  <c r="I29" i="28"/>
  <c r="Y29" i="28"/>
  <c r="K7" i="28"/>
  <c r="N7" i="28"/>
  <c r="O7" i="28"/>
  <c r="P7" i="28"/>
  <c r="Q7" i="28"/>
  <c r="P23" i="28"/>
  <c r="P49" i="28" s="1"/>
  <c r="Q23" i="28"/>
  <c r="Q49" i="28" s="1"/>
  <c r="R23" i="28"/>
  <c r="R49" i="28" s="1"/>
  <c r="O23" i="28"/>
  <c r="O49" i="28" s="1"/>
  <c r="L23" i="28"/>
  <c r="L49" i="28" s="1"/>
  <c r="M23" i="28"/>
  <c r="M49" i="28" s="1"/>
  <c r="N23" i="28"/>
  <c r="N49" i="28" s="1"/>
  <c r="K18" i="28"/>
  <c r="D18" i="28"/>
  <c r="T18" i="28"/>
  <c r="E18" i="28"/>
  <c r="U18" i="28"/>
  <c r="F18" i="28"/>
  <c r="V18" i="28"/>
  <c r="W21" i="28"/>
  <c r="O21" i="28"/>
  <c r="L21" i="28"/>
  <c r="M21" i="28"/>
  <c r="N21" i="28"/>
  <c r="F6" i="28"/>
  <c r="F47" i="28" s="1"/>
  <c r="AA6" i="28"/>
  <c r="AA47" i="28" s="1"/>
  <c r="J6" i="28"/>
  <c r="J47" i="28" s="1"/>
  <c r="L6" i="28"/>
  <c r="L47" i="28" s="1"/>
  <c r="O6" i="28"/>
  <c r="O47" i="28" s="1"/>
  <c r="N6" i="28"/>
  <c r="N47" i="28" s="1"/>
  <c r="E6" i="28"/>
  <c r="E47" i="28" s="1"/>
  <c r="U6" i="28"/>
  <c r="U47" i="28" s="1"/>
  <c r="D6" i="28"/>
  <c r="D47" i="28" s="1"/>
  <c r="K6" i="28"/>
  <c r="K47" i="28" s="1"/>
  <c r="Z6" i="28"/>
  <c r="Z47" i="28" s="1"/>
  <c r="R6" i="28"/>
  <c r="R47" i="28" s="1"/>
  <c r="S6" i="28"/>
  <c r="S47" i="28" s="1"/>
  <c r="I6" i="28"/>
  <c r="I47" i="28" s="1"/>
  <c r="Y6" i="28"/>
  <c r="Y47" i="28" s="1"/>
  <c r="O17" i="28"/>
  <c r="H17" i="28"/>
  <c r="X17" i="28"/>
  <c r="I17" i="28"/>
  <c r="Y17" i="28"/>
  <c r="J17" i="28"/>
  <c r="Z17" i="28"/>
  <c r="O20" i="28"/>
  <c r="H20" i="28"/>
  <c r="X20" i="28"/>
  <c r="I20" i="28"/>
  <c r="Y20" i="28"/>
  <c r="J20" i="28"/>
  <c r="Z20" i="28"/>
  <c r="G22" i="28"/>
  <c r="G37" i="28" s="1"/>
  <c r="AA22" i="28"/>
  <c r="AA37" i="28" s="1"/>
  <c r="P22" i="28"/>
  <c r="P37" i="28" s="1"/>
  <c r="Q22" i="28"/>
  <c r="Q37" i="28" s="1"/>
  <c r="R22" i="28"/>
  <c r="R37" i="28" s="1"/>
  <c r="T6" i="28"/>
  <c r="T47" i="28" s="1"/>
  <c r="P6" i="28"/>
  <c r="P47" i="28" s="1"/>
  <c r="W6" i="28"/>
  <c r="W47" i="28" s="1"/>
  <c r="X6" i="28"/>
  <c r="X47" i="28" s="1"/>
  <c r="M6" i="28"/>
  <c r="M47" i="28" s="1"/>
  <c r="P18" i="28"/>
  <c r="Q18" i="28"/>
  <c r="R18" i="28"/>
  <c r="G21" i="28"/>
  <c r="AA21" i="28"/>
  <c r="H21" i="28"/>
  <c r="X21" i="28"/>
  <c r="I21" i="28"/>
  <c r="Y21" i="28"/>
  <c r="J21" i="28"/>
  <c r="Z21" i="28"/>
  <c r="V6" i="28"/>
  <c r="V47" i="28" s="1"/>
  <c r="G6" i="28"/>
  <c r="G47" i="28" s="1"/>
  <c r="H6" i="28"/>
  <c r="H47" i="28" s="1"/>
  <c r="Q6" i="28"/>
  <c r="Q47" i="28" s="1"/>
  <c r="K17" i="28"/>
  <c r="L17" i="28"/>
  <c r="M17" i="28"/>
  <c r="N17" i="28"/>
  <c r="K20" i="28"/>
  <c r="L20" i="28"/>
  <c r="M20" i="28"/>
  <c r="N20" i="28"/>
  <c r="S22" i="28"/>
  <c r="S37" i="28" s="1"/>
  <c r="W22" i="28"/>
  <c r="W37" i="28" s="1"/>
  <c r="D22" i="28"/>
  <c r="D37" i="28" s="1"/>
  <c r="T22" i="28"/>
  <c r="T37" i="28" s="1"/>
  <c r="E22" i="28"/>
  <c r="E37" i="28" s="1"/>
  <c r="U22" i="28"/>
  <c r="U37" i="28" s="1"/>
  <c r="F22" i="28"/>
  <c r="F37" i="28" s="1"/>
  <c r="V22" i="28"/>
  <c r="V37" i="28" s="1"/>
  <c r="G17" i="28"/>
  <c r="AA17" i="28"/>
  <c r="P17" i="28"/>
  <c r="Q17" i="28"/>
  <c r="R17" i="28"/>
  <c r="G20" i="28"/>
  <c r="AA20" i="28"/>
  <c r="P20" i="28"/>
  <c r="Q20" i="28"/>
  <c r="R20" i="28"/>
  <c r="O22" i="28"/>
  <c r="O37" i="28" s="1"/>
  <c r="H22" i="28"/>
  <c r="H37" i="28" s="1"/>
  <c r="X22" i="28"/>
  <c r="X37" i="28" s="1"/>
  <c r="I22" i="28"/>
  <c r="I37" i="28" s="1"/>
  <c r="Y22" i="28"/>
  <c r="Y37" i="28" s="1"/>
  <c r="J22" i="28"/>
  <c r="J37" i="28" s="1"/>
  <c r="Z22" i="28"/>
  <c r="Z37" i="28" s="1"/>
  <c r="R26" i="28"/>
  <c r="R36" i="28" s="1"/>
  <c r="S26" i="28"/>
  <c r="S36" i="28" s="1"/>
  <c r="D26" i="28"/>
  <c r="D36" i="28" s="1"/>
  <c r="T26" i="28"/>
  <c r="T36" i="28" s="1"/>
  <c r="E26" i="28"/>
  <c r="E36" i="28" s="1"/>
  <c r="U26" i="28"/>
  <c r="U36" i="28" s="1"/>
  <c r="F8" i="28"/>
  <c r="F41" i="28" s="1"/>
  <c r="G8" i="28"/>
  <c r="G41" i="28" s="1"/>
  <c r="L8" i="28"/>
  <c r="L41" i="28" s="1"/>
  <c r="M8" i="28"/>
  <c r="M41" i="28" s="1"/>
  <c r="J10" i="28"/>
  <c r="J46" i="28" s="1"/>
  <c r="Z10" i="28"/>
  <c r="Z46" i="28" s="1"/>
  <c r="Z45" i="28" s="1"/>
  <c r="K10" i="28"/>
  <c r="K46" i="28" s="1"/>
  <c r="K45" i="28" s="1"/>
  <c r="AA10" i="28"/>
  <c r="AA46" i="28" s="1"/>
  <c r="AA45" i="28" s="1"/>
  <c r="L10" i="28"/>
  <c r="L46" i="28" s="1"/>
  <c r="M10" i="28"/>
  <c r="M46" i="28" s="1"/>
  <c r="M45" i="28" s="1"/>
  <c r="F26" i="28"/>
  <c r="F36" i="28" s="1"/>
  <c r="V26" i="28"/>
  <c r="V36" i="28" s="1"/>
  <c r="G26" i="28"/>
  <c r="G36" i="28" s="1"/>
  <c r="W26" i="28"/>
  <c r="W36" i="28" s="1"/>
  <c r="H26" i="28"/>
  <c r="H36" i="28" s="1"/>
  <c r="X26" i="28"/>
  <c r="X36" i="28" s="1"/>
  <c r="I26" i="28"/>
  <c r="I36" i="28" s="1"/>
  <c r="Y26" i="28"/>
  <c r="Y36" i="28" s="1"/>
  <c r="K8" i="28"/>
  <c r="K41" i="28" s="1"/>
  <c r="N8" i="28"/>
  <c r="N41" i="28" s="1"/>
  <c r="O8" i="28"/>
  <c r="O41" i="28" s="1"/>
  <c r="P8" i="28"/>
  <c r="P41" i="28" s="1"/>
  <c r="Q8" i="28"/>
  <c r="Q41" i="28" s="1"/>
  <c r="N10" i="28"/>
  <c r="N46" i="28" s="1"/>
  <c r="N45" i="28" s="1"/>
  <c r="O10" i="28"/>
  <c r="O46" i="28" s="1"/>
  <c r="O45" i="28" s="1"/>
  <c r="P10" i="28"/>
  <c r="P46" i="28" s="1"/>
  <c r="Q10" i="28"/>
  <c r="Q46" i="28" s="1"/>
  <c r="Q45" i="28" s="1"/>
  <c r="S17" i="28"/>
  <c r="W17" i="28"/>
  <c r="D17" i="28"/>
  <c r="T17" i="28"/>
  <c r="E17" i="28"/>
  <c r="U17" i="28"/>
  <c r="F17" i="28"/>
  <c r="V17" i="28"/>
  <c r="S20" i="28"/>
  <c r="W20" i="28"/>
  <c r="O2" i="28"/>
  <c r="O38" i="28" s="1"/>
  <c r="P2" i="28"/>
  <c r="P38" i="28" s="1"/>
  <c r="S2" i="28"/>
  <c r="S38" i="28" s="1"/>
  <c r="M2" i="28"/>
  <c r="M38" i="28" s="1"/>
  <c r="N2" i="28"/>
  <c r="N38" i="28" s="1"/>
  <c r="D2" i="28"/>
  <c r="D38" i="28" s="1"/>
  <c r="T2" i="28"/>
  <c r="T38" i="28" s="1"/>
  <c r="D20" i="28"/>
  <c r="T20" i="28"/>
  <c r="E20" i="28"/>
  <c r="U20" i="28"/>
  <c r="F20" i="28"/>
  <c r="V20" i="28"/>
  <c r="K22" i="28"/>
  <c r="K37" i="28" s="1"/>
  <c r="L22" i="28"/>
  <c r="L37" i="28" s="1"/>
  <c r="M22" i="28"/>
  <c r="M37" i="28" s="1"/>
  <c r="N22" i="28"/>
  <c r="N37" i="28" s="1"/>
  <c r="J26" i="28"/>
  <c r="J36" i="28" s="1"/>
  <c r="Z26" i="28"/>
  <c r="Z36" i="28" s="1"/>
  <c r="K26" i="28"/>
  <c r="K36" i="28" s="1"/>
  <c r="AA26" i="28"/>
  <c r="AA36" i="28" s="1"/>
  <c r="L26" i="28"/>
  <c r="L36" i="28" s="1"/>
  <c r="M26" i="28"/>
  <c r="M36" i="28" s="1"/>
  <c r="S8" i="28"/>
  <c r="S41" i="28" s="1"/>
  <c r="R8" i="28"/>
  <c r="R41" i="28" s="1"/>
  <c r="V8" i="28"/>
  <c r="V41" i="28" s="1"/>
  <c r="Z8" i="28"/>
  <c r="Z41" i="28" s="1"/>
  <c r="W8" i="28"/>
  <c r="W41" i="28" s="1"/>
  <c r="D8" i="28"/>
  <c r="D41" i="28" s="1"/>
  <c r="T8" i="28"/>
  <c r="T41" i="28" s="1"/>
  <c r="E8" i="28"/>
  <c r="E41" i="28" s="1"/>
  <c r="U8" i="28"/>
  <c r="U41" i="28" s="1"/>
  <c r="N26" i="28"/>
  <c r="N36" i="28" s="1"/>
  <c r="O26" i="28"/>
  <c r="O36" i="28" s="1"/>
  <c r="P26" i="28"/>
  <c r="P36" i="28" s="1"/>
  <c r="Q26" i="28"/>
  <c r="Q36" i="28" s="1"/>
  <c r="J8" i="28"/>
  <c r="J41" i="28" s="1"/>
  <c r="AA8" i="28"/>
  <c r="AA41" i="28" s="1"/>
  <c r="H8" i="28"/>
  <c r="H41" i="28" s="1"/>
  <c r="X8" i="28"/>
  <c r="X41" i="28" s="1"/>
  <c r="I8" i="28"/>
  <c r="I41" i="28" s="1"/>
  <c r="Y8" i="28"/>
  <c r="Y41" i="28" s="1"/>
  <c r="N27" i="28"/>
  <c r="O27" i="28"/>
  <c r="P27" i="28"/>
  <c r="Q27" i="28"/>
  <c r="R27" i="28"/>
  <c r="S27" i="28"/>
  <c r="D27" i="28"/>
  <c r="T27" i="28"/>
  <c r="E27" i="28"/>
  <c r="U27" i="28"/>
  <c r="R10" i="28"/>
  <c r="R46" i="28" s="1"/>
  <c r="S10" i="28"/>
  <c r="S46" i="28" s="1"/>
  <c r="S45" i="28" s="1"/>
  <c r="T10" i="28"/>
  <c r="T46" i="28" s="1"/>
  <c r="E10" i="28"/>
  <c r="E46" i="28" s="1"/>
  <c r="U10" i="28"/>
  <c r="U46" i="28" s="1"/>
  <c r="F10" i="28"/>
  <c r="F46" i="28" s="1"/>
  <c r="F45" i="28" s="1"/>
  <c r="V10" i="28"/>
  <c r="V46" i="28" s="1"/>
  <c r="G10" i="28"/>
  <c r="G46" i="28" s="1"/>
  <c r="W10" i="28"/>
  <c r="W46" i="28" s="1"/>
  <c r="W45" i="28" s="1"/>
  <c r="H10" i="28"/>
  <c r="H46" i="28" s="1"/>
  <c r="H45" i="28" s="1"/>
  <c r="X10" i="28"/>
  <c r="X46" i="28" s="1"/>
  <c r="X45" i="28" s="1"/>
  <c r="I10" i="28"/>
  <c r="I46" i="28" s="1"/>
  <c r="I45" i="28" s="1"/>
  <c r="Y10" i="28"/>
  <c r="Y46" i="28" s="1"/>
  <c r="Y45" i="28" s="1"/>
  <c r="E2" i="28"/>
  <c r="E38" i="28" s="1"/>
  <c r="F2" i="28"/>
  <c r="F38" i="28" s="1"/>
  <c r="I2" i="28"/>
  <c r="I38" i="28" s="1"/>
  <c r="J2" i="28"/>
  <c r="J38" i="28" s="1"/>
  <c r="G2" i="28"/>
  <c r="G38" i="28" s="1"/>
  <c r="W2" i="28"/>
  <c r="W38" i="28" s="1"/>
  <c r="U2" i="28"/>
  <c r="U38" i="28" s="1"/>
  <c r="Z2" i="28"/>
  <c r="Z38" i="28" s="1"/>
  <c r="H2" i="28"/>
  <c r="H38" i="28" s="1"/>
  <c r="X2" i="28"/>
  <c r="X38" i="28" s="1"/>
  <c r="Q2" i="28"/>
  <c r="Q38" i="28" s="1"/>
  <c r="R2" i="28"/>
  <c r="R38" i="28" s="1"/>
  <c r="Y2" i="28"/>
  <c r="Y38" i="28" s="1"/>
  <c r="V2" i="28"/>
  <c r="V38" i="28" s="1"/>
  <c r="K2" i="28"/>
  <c r="K38" i="28" s="1"/>
  <c r="AA2" i="28"/>
  <c r="AA38" i="28" s="1"/>
  <c r="L2" i="28"/>
  <c r="L38" i="28" s="1"/>
  <c r="F27" i="28"/>
  <c r="V27" i="28"/>
  <c r="G27" i="28"/>
  <c r="W27" i="28"/>
  <c r="H27" i="28"/>
  <c r="X27" i="28"/>
  <c r="I27" i="28"/>
  <c r="Y27" i="28"/>
  <c r="J27" i="28"/>
  <c r="Z27" i="28"/>
  <c r="K27" i="28"/>
  <c r="AA27" i="28"/>
  <c r="L27" i="28"/>
  <c r="M27" i="28"/>
  <c r="AC3" i="28"/>
  <c r="AC32" i="28" s="1"/>
  <c r="AN13" i="28"/>
  <c r="AN33" i="28" s="1"/>
  <c r="AF26" i="28"/>
  <c r="AF36" i="28" s="1"/>
  <c r="AT26" i="28"/>
  <c r="AT36" i="28" s="1"/>
  <c r="AE22" i="28"/>
  <c r="AE37" i="28" s="1"/>
  <c r="AR7" i="28"/>
  <c r="AH9" i="28"/>
  <c r="AX9" i="28"/>
  <c r="AQ9" i="28"/>
  <c r="AJ9" i="28"/>
  <c r="AZ9" i="28"/>
  <c r="AO9" i="28"/>
  <c r="AP5" i="28"/>
  <c r="AI5" i="28"/>
  <c r="AY5" i="28"/>
  <c r="AR5" i="28"/>
  <c r="AG5" i="28"/>
  <c r="AW5" i="28"/>
  <c r="AU13" i="28"/>
  <c r="AU33" i="28" s="1"/>
  <c r="AL13" i="28"/>
  <c r="AL33" i="28" s="1"/>
  <c r="AK26" i="28"/>
  <c r="AK36" i="28" s="1"/>
  <c r="AM22" i="28"/>
  <c r="AM37" i="28" s="1"/>
  <c r="AV22" i="28"/>
  <c r="AV37" i="28" s="1"/>
  <c r="AP7" i="28"/>
  <c r="AG7" i="28"/>
  <c r="AI13" i="28"/>
  <c r="AI33" i="28" s="1"/>
  <c r="AY13" i="28"/>
  <c r="AY33" i="28" s="1"/>
  <c r="AR13" i="28"/>
  <c r="AR33" i="28" s="1"/>
  <c r="AG13" i="28"/>
  <c r="AG33" i="28" s="1"/>
  <c r="AW13" i="28"/>
  <c r="AW33" i="28" s="1"/>
  <c r="AP13" i="28"/>
  <c r="AP33" i="28" s="1"/>
  <c r="AQ26" i="28"/>
  <c r="AQ36" i="28" s="1"/>
  <c r="AJ26" i="28"/>
  <c r="AJ36" i="28" s="1"/>
  <c r="AZ26" i="28"/>
  <c r="AZ36" i="28" s="1"/>
  <c r="AO26" i="28"/>
  <c r="AO36" i="28" s="1"/>
  <c r="AH26" i="28"/>
  <c r="AH36" i="28" s="1"/>
  <c r="AX26" i="28"/>
  <c r="AX36" i="28" s="1"/>
  <c r="AS22" i="28"/>
  <c r="AS37" i="28" s="1"/>
  <c r="AO22" i="28"/>
  <c r="AO37" i="28" s="1"/>
  <c r="AK22" i="28"/>
  <c r="AK37" i="28" s="1"/>
  <c r="AL22" i="28"/>
  <c r="AL37" i="28" s="1"/>
  <c r="AJ22" i="28"/>
  <c r="AJ37" i="28" s="1"/>
  <c r="AZ22" i="28"/>
  <c r="AZ37" i="28" s="1"/>
  <c r="AD7" i="28"/>
  <c r="AT7" i="28"/>
  <c r="AM7" i="28"/>
  <c r="AF7" i="28"/>
  <c r="AV7" i="28"/>
  <c r="AK7" i="28"/>
  <c r="AL9" i="28"/>
  <c r="AE9" i="28"/>
  <c r="AU9" i="28"/>
  <c r="AN9" i="28"/>
  <c r="AC9" i="28"/>
  <c r="AS9" i="28"/>
  <c r="AD5" i="28"/>
  <c r="AT5" i="28"/>
  <c r="AM5" i="28"/>
  <c r="AF5" i="28"/>
  <c r="AV5" i="28"/>
  <c r="AK5" i="28"/>
  <c r="AC13" i="28"/>
  <c r="AC33" i="28" s="1"/>
  <c r="AM26" i="28"/>
  <c r="AM36" i="28" s="1"/>
  <c r="AD26" i="28"/>
  <c r="AD36" i="28" s="1"/>
  <c r="AG22" i="28"/>
  <c r="AG37" i="28" s="1"/>
  <c r="AY7" i="28"/>
  <c r="AM13" i="28"/>
  <c r="AM33" i="28" s="1"/>
  <c r="AF13" i="28"/>
  <c r="AF33" i="28" s="1"/>
  <c r="AV13" i="28"/>
  <c r="AV33" i="28" s="1"/>
  <c r="AK13" i="28"/>
  <c r="AK33" i="28" s="1"/>
  <c r="AD13" i="28"/>
  <c r="AD33" i="28" s="1"/>
  <c r="AT13" i="28"/>
  <c r="AT33" i="28" s="1"/>
  <c r="AE26" i="28"/>
  <c r="AE36" i="28" s="1"/>
  <c r="AU26" i="28"/>
  <c r="AU36" i="28" s="1"/>
  <c r="AN26" i="28"/>
  <c r="AN36" i="28" s="1"/>
  <c r="AC26" i="28"/>
  <c r="AC36" i="28" s="1"/>
  <c r="AS26" i="28"/>
  <c r="AS36" i="28" s="1"/>
  <c r="AL26" i="28"/>
  <c r="AL36" i="28" s="1"/>
  <c r="AC22" i="28"/>
  <c r="AC37" i="28" s="1"/>
  <c r="AX22" i="28"/>
  <c r="AX37" i="28" s="1"/>
  <c r="AT22" i="28"/>
  <c r="AT37" i="28" s="1"/>
  <c r="AP22" i="28"/>
  <c r="AP37" i="28" s="1"/>
  <c r="AQ22" i="28"/>
  <c r="AQ37" i="28" s="1"/>
  <c r="AN22" i="28"/>
  <c r="AN37" i="28" s="1"/>
  <c r="AH7" i="28"/>
  <c r="AX7" i="28"/>
  <c r="AQ7" i="28"/>
  <c r="AJ7" i="28"/>
  <c r="AZ7" i="28"/>
  <c r="AO7" i="28"/>
  <c r="AP9" i="28"/>
  <c r="AI9" i="28"/>
  <c r="AY9" i="28"/>
  <c r="AR9" i="28"/>
  <c r="AG9" i="28"/>
  <c r="AW9" i="28"/>
  <c r="AH5" i="28"/>
  <c r="AX5" i="28"/>
  <c r="AQ5" i="28"/>
  <c r="AJ5" i="28"/>
  <c r="AZ5" i="28"/>
  <c r="AO5" i="28"/>
  <c r="AW8" i="28"/>
  <c r="AW41" i="28" s="1"/>
  <c r="AS8" i="28"/>
  <c r="AS41" i="28" s="1"/>
  <c r="AO8" i="28"/>
  <c r="AO41" i="28" s="1"/>
  <c r="AK8" i="28"/>
  <c r="AK41" i="28" s="1"/>
  <c r="AG8" i="28"/>
  <c r="AG41" i="28" s="1"/>
  <c r="AC8" i="28"/>
  <c r="AC41" i="28" s="1"/>
  <c r="AZ8" i="28"/>
  <c r="AZ41" i="28" s="1"/>
  <c r="AV8" i="28"/>
  <c r="AV41" i="28" s="1"/>
  <c r="AR8" i="28"/>
  <c r="AR41" i="28" s="1"/>
  <c r="AN8" i="28"/>
  <c r="AN41" i="28" s="1"/>
  <c r="AJ8" i="28"/>
  <c r="AJ41" i="28" s="1"/>
  <c r="AF8" i="28"/>
  <c r="AF41" i="28" s="1"/>
  <c r="AY8" i="28"/>
  <c r="AY41" i="28" s="1"/>
  <c r="AU8" i="28"/>
  <c r="AU41" i="28" s="1"/>
  <c r="AQ8" i="28"/>
  <c r="AQ41" i="28" s="1"/>
  <c r="AM8" i="28"/>
  <c r="AM41" i="28" s="1"/>
  <c r="AI8" i="28"/>
  <c r="AI41" i="28" s="1"/>
  <c r="AE8" i="28"/>
  <c r="AE41" i="28" s="1"/>
  <c r="AX8" i="28"/>
  <c r="AX41" i="28" s="1"/>
  <c r="AT8" i="28"/>
  <c r="AT41" i="28" s="1"/>
  <c r="AP8" i="28"/>
  <c r="AP41" i="28" s="1"/>
  <c r="AL8" i="28"/>
  <c r="AL41" i="28" s="1"/>
  <c r="AH8" i="28"/>
  <c r="AH41" i="28" s="1"/>
  <c r="AD8" i="28"/>
  <c r="AD41" i="28" s="1"/>
  <c r="AE13" i="28"/>
  <c r="AE33" i="28" s="1"/>
  <c r="AS13" i="28"/>
  <c r="AS33" i="28" s="1"/>
  <c r="AV26" i="28"/>
  <c r="AV36" i="28" s="1"/>
  <c r="AI22" i="28"/>
  <c r="AI37" i="28" s="1"/>
  <c r="AF22" i="28"/>
  <c r="AF37" i="28" s="1"/>
  <c r="AI7" i="28"/>
  <c r="AW7" i="28"/>
  <c r="AQ13" i="28"/>
  <c r="AQ33" i="28" s="1"/>
  <c r="AJ13" i="28"/>
  <c r="AJ33" i="28" s="1"/>
  <c r="AZ13" i="28"/>
  <c r="AZ33" i="28" s="1"/>
  <c r="AO13" i="28"/>
  <c r="AO33" i="28" s="1"/>
  <c r="AH13" i="28"/>
  <c r="AH33" i="28" s="1"/>
  <c r="AX13" i="28"/>
  <c r="AX33" i="28" s="1"/>
  <c r="AI26" i="28"/>
  <c r="AI36" i="28" s="1"/>
  <c r="AY26" i="28"/>
  <c r="AY36" i="28" s="1"/>
  <c r="AR26" i="28"/>
  <c r="AR36" i="28" s="1"/>
  <c r="AG26" i="28"/>
  <c r="AG36" i="28" s="1"/>
  <c r="AW26" i="28"/>
  <c r="AW36" i="28" s="1"/>
  <c r="AP26" i="28"/>
  <c r="AP36" i="28" s="1"/>
  <c r="AH22" i="28"/>
  <c r="AH37" i="28" s="1"/>
  <c r="AD22" i="28"/>
  <c r="AD37" i="28" s="1"/>
  <c r="AY22" i="28"/>
  <c r="AY37" i="28" s="1"/>
  <c r="AU22" i="28"/>
  <c r="AU37" i="28" s="1"/>
  <c r="AW22" i="28"/>
  <c r="AW37" i="28" s="1"/>
  <c r="AR22" i="28"/>
  <c r="AR37" i="28" s="1"/>
  <c r="AL7" i="28"/>
  <c r="AE7" i="28"/>
  <c r="AU7" i="28"/>
  <c r="AN7" i="28"/>
  <c r="AC7" i="28"/>
  <c r="AS7" i="28"/>
  <c r="AD9" i="28"/>
  <c r="AT9" i="28"/>
  <c r="AM9" i="28"/>
  <c r="AF9" i="28"/>
  <c r="AV9" i="28"/>
  <c r="AK9" i="28"/>
  <c r="AL5" i="28"/>
  <c r="AE5" i="28"/>
  <c r="AU5" i="28"/>
  <c r="AN5" i="28"/>
  <c r="AC5" i="28"/>
  <c r="AS5" i="28"/>
  <c r="H3" i="28"/>
  <c r="H32" i="28" s="1"/>
  <c r="H31" i="28" s="1"/>
  <c r="AG3" i="28"/>
  <c r="AG32" i="28" s="1"/>
  <c r="L3" i="28"/>
  <c r="L32" i="28" s="1"/>
  <c r="AK3" i="28"/>
  <c r="AK32" i="28" s="1"/>
  <c r="P3" i="28"/>
  <c r="P32" i="28" s="1"/>
  <c r="P31" i="28" s="1"/>
  <c r="AO3" i="28"/>
  <c r="AO32" i="28" s="1"/>
  <c r="AS3" i="28"/>
  <c r="AS32" i="28" s="1"/>
  <c r="T3" i="28"/>
  <c r="T32" i="28" s="1"/>
  <c r="X3" i="28"/>
  <c r="X32" i="28" s="1"/>
  <c r="X31" i="28" s="1"/>
  <c r="AW3" i="28"/>
  <c r="AW32" i="28" s="1"/>
  <c r="AD3" i="28"/>
  <c r="AD32" i="28" s="1"/>
  <c r="E3" i="28"/>
  <c r="E32" i="28" s="1"/>
  <c r="AH3" i="28"/>
  <c r="AH32" i="28" s="1"/>
  <c r="I3" i="28"/>
  <c r="I32" i="28" s="1"/>
  <c r="M3" i="28"/>
  <c r="M32" i="28" s="1"/>
  <c r="M31" i="28" s="1"/>
  <c r="AL3" i="28"/>
  <c r="AL32" i="28" s="1"/>
  <c r="Q3" i="28"/>
  <c r="Q32" i="28" s="1"/>
  <c r="Q31" i="28" s="1"/>
  <c r="AP3" i="28"/>
  <c r="AP32" i="28" s="1"/>
  <c r="AT3" i="28"/>
  <c r="AT32" i="28" s="1"/>
  <c r="U3" i="28"/>
  <c r="U32" i="28" s="1"/>
  <c r="AX3" i="28"/>
  <c r="AX32" i="28" s="1"/>
  <c r="Y3" i="28"/>
  <c r="Y32" i="28" s="1"/>
  <c r="AE3" i="28"/>
  <c r="AE32" i="28" s="1"/>
  <c r="F3" i="28"/>
  <c r="F32" i="28" s="1"/>
  <c r="AI3" i="28"/>
  <c r="AI32" i="28" s="1"/>
  <c r="J3" i="28"/>
  <c r="J32" i="28" s="1"/>
  <c r="AM3" i="28"/>
  <c r="AM32" i="28" s="1"/>
  <c r="N3" i="28"/>
  <c r="N32" i="28" s="1"/>
  <c r="AQ3" i="28"/>
  <c r="AQ32" i="28" s="1"/>
  <c r="R3" i="28"/>
  <c r="R32" i="28" s="1"/>
  <c r="AU3" i="28"/>
  <c r="AU32" i="28" s="1"/>
  <c r="V3" i="28"/>
  <c r="V32" i="28" s="1"/>
  <c r="AY3" i="28"/>
  <c r="AY32" i="28" s="1"/>
  <c r="Z3" i="28"/>
  <c r="Z32" i="28" s="1"/>
  <c r="G3" i="28"/>
  <c r="G32" i="28" s="1"/>
  <c r="AF3" i="28"/>
  <c r="AF32" i="28" s="1"/>
  <c r="K3" i="28"/>
  <c r="K32" i="28" s="1"/>
  <c r="K31" i="28" s="1"/>
  <c r="AJ3" i="28"/>
  <c r="AJ32" i="28" s="1"/>
  <c r="O3" i="28"/>
  <c r="O32" i="28" s="1"/>
  <c r="AN3" i="28"/>
  <c r="AN32" i="28" s="1"/>
  <c r="S3" i="28"/>
  <c r="S32" i="28" s="1"/>
  <c r="S31" i="28" s="1"/>
  <c r="AR3" i="28"/>
  <c r="AR32" i="28" s="1"/>
  <c r="AV3" i="28"/>
  <c r="AV32" i="28" s="1"/>
  <c r="W3" i="28"/>
  <c r="W32" i="28" s="1"/>
  <c r="AA3" i="28"/>
  <c r="AA32" i="28" s="1"/>
  <c r="AA31" i="28" s="1"/>
  <c r="AZ3" i="28"/>
  <c r="AZ32" i="28" s="1"/>
  <c r="D3" i="28"/>
  <c r="D32" i="28" s="1"/>
  <c r="AS23" i="28"/>
  <c r="AS49" i="28" s="1"/>
  <c r="AU23" i="28"/>
  <c r="AU49" i="28" s="1"/>
  <c r="AI23" i="28"/>
  <c r="AI49" i="28" s="1"/>
  <c r="AC23" i="28"/>
  <c r="AC49" i="28" s="1"/>
  <c r="AN23" i="28"/>
  <c r="AN49" i="28" s="1"/>
  <c r="AY23" i="28"/>
  <c r="AY49" i="28" s="1"/>
  <c r="AJ23" i="28"/>
  <c r="AJ49" i="28" s="1"/>
  <c r="AE23" i="28"/>
  <c r="AE49" i="28" s="1"/>
  <c r="AO23" i="28"/>
  <c r="AO49" i="28" s="1"/>
  <c r="AZ23" i="28"/>
  <c r="AZ49" i="28" s="1"/>
  <c r="AF23" i="28"/>
  <c r="AF49" i="28" s="1"/>
  <c r="AQ23" i="28"/>
  <c r="AQ49" i="28" s="1"/>
  <c r="AK23" i="28"/>
  <c r="AK49" i="28" s="1"/>
  <c r="AV23" i="28"/>
  <c r="AV49" i="28" s="1"/>
  <c r="AG23" i="28"/>
  <c r="AG49" i="28" s="1"/>
  <c r="AM23" i="28"/>
  <c r="AM49" i="28" s="1"/>
  <c r="AR23" i="28"/>
  <c r="AR49" i="28" s="1"/>
  <c r="AW23" i="28"/>
  <c r="AW49" i="28" s="1"/>
  <c r="AD23" i="28"/>
  <c r="AD49" i="28" s="1"/>
  <c r="AH23" i="28"/>
  <c r="AH49" i="28" s="1"/>
  <c r="AL23" i="28"/>
  <c r="AL49" i="28" s="1"/>
  <c r="AP23" i="28"/>
  <c r="AP49" i="28" s="1"/>
  <c r="AT23" i="28"/>
  <c r="AT49" i="28" s="1"/>
  <c r="AX23" i="28"/>
  <c r="AX49" i="28" s="1"/>
  <c r="AE20" i="28"/>
  <c r="AI20" i="28"/>
  <c r="AM20" i="28"/>
  <c r="AQ20" i="28"/>
  <c r="AU20" i="28"/>
  <c r="AY20" i="28"/>
  <c r="AF20" i="28"/>
  <c r="AJ20" i="28"/>
  <c r="AN20" i="28"/>
  <c r="AR20" i="28"/>
  <c r="AV20" i="28"/>
  <c r="AZ20" i="28"/>
  <c r="AC20" i="28"/>
  <c r="AG20" i="28"/>
  <c r="AK20" i="28"/>
  <c r="AO20" i="28"/>
  <c r="AS20" i="28"/>
  <c r="AW20" i="28"/>
  <c r="AD20" i="28"/>
  <c r="AH20" i="28"/>
  <c r="AL20" i="28"/>
  <c r="AP20" i="28"/>
  <c r="AT20" i="28"/>
  <c r="AX20" i="28"/>
  <c r="AE18" i="28"/>
  <c r="AI18" i="28"/>
  <c r="AM18" i="28"/>
  <c r="AQ18" i="28"/>
  <c r="AU18" i="28"/>
  <c r="AY18" i="28"/>
  <c r="AF18" i="28"/>
  <c r="AJ18" i="28"/>
  <c r="AN18" i="28"/>
  <c r="AR18" i="28"/>
  <c r="AV18" i="28"/>
  <c r="AZ18" i="28"/>
  <c r="AC18" i="28"/>
  <c r="AG18" i="28"/>
  <c r="AK18" i="28"/>
  <c r="AO18" i="28"/>
  <c r="AS18" i="28"/>
  <c r="AW18" i="28"/>
  <c r="AD18" i="28"/>
  <c r="AH18" i="28"/>
  <c r="AL18" i="28"/>
  <c r="AP18" i="28"/>
  <c r="AT18" i="28"/>
  <c r="AX18" i="28"/>
  <c r="AC29" i="28"/>
  <c r="AG29" i="28"/>
  <c r="AK29" i="28"/>
  <c r="AO29" i="28"/>
  <c r="AS29" i="28"/>
  <c r="AW29" i="28"/>
  <c r="AD29" i="28"/>
  <c r="AH29" i="28"/>
  <c r="AL29" i="28"/>
  <c r="AP29" i="28"/>
  <c r="AT29" i="28"/>
  <c r="AX29" i="28"/>
  <c r="AE29" i="28"/>
  <c r="AI29" i="28"/>
  <c r="AM29" i="28"/>
  <c r="AQ29" i="28"/>
  <c r="AU29" i="28"/>
  <c r="AY29" i="28"/>
  <c r="AF29" i="28"/>
  <c r="AJ29" i="28"/>
  <c r="AN29" i="28"/>
  <c r="AR29" i="28"/>
  <c r="AV29" i="28"/>
  <c r="AZ29" i="28"/>
  <c r="AO2" i="28"/>
  <c r="AO38" i="28" s="1"/>
  <c r="AF2" i="28"/>
  <c r="AF38" i="28" s="1"/>
  <c r="AJ2" i="28"/>
  <c r="AJ38" i="28" s="1"/>
  <c r="AN2" i="28"/>
  <c r="AN38" i="28" s="1"/>
  <c r="AR2" i="28"/>
  <c r="AR38" i="28" s="1"/>
  <c r="AV2" i="28"/>
  <c r="AV38" i="28" s="1"/>
  <c r="AZ2" i="28"/>
  <c r="AZ38" i="28" s="1"/>
  <c r="AK2" i="28"/>
  <c r="AK38" i="28" s="1"/>
  <c r="AC2" i="28"/>
  <c r="AC38" i="28" s="1"/>
  <c r="AS2" i="28"/>
  <c r="AS38" i="28" s="1"/>
  <c r="AD2" i="28"/>
  <c r="AD38" i="28" s="1"/>
  <c r="AH2" i="28"/>
  <c r="AH38" i="28" s="1"/>
  <c r="AL2" i="28"/>
  <c r="AL38" i="28" s="1"/>
  <c r="AP2" i="28"/>
  <c r="AP38" i="28" s="1"/>
  <c r="AT2" i="28"/>
  <c r="AT38" i="28" s="1"/>
  <c r="AX2" i="28"/>
  <c r="AX38" i="28" s="1"/>
  <c r="AG2" i="28"/>
  <c r="AG38" i="28" s="1"/>
  <c r="AW2" i="28"/>
  <c r="AW38" i="28" s="1"/>
  <c r="AE2" i="28"/>
  <c r="AE38" i="28" s="1"/>
  <c r="AI2" i="28"/>
  <c r="AI38" i="28" s="1"/>
  <c r="AM2" i="28"/>
  <c r="AM38" i="28" s="1"/>
  <c r="AQ2" i="28"/>
  <c r="AQ38" i="28" s="1"/>
  <c r="AU2" i="28"/>
  <c r="AU38" i="28" s="1"/>
  <c r="AY2" i="28"/>
  <c r="AY38" i="28" s="1"/>
  <c r="AD6" i="28"/>
  <c r="AD47" i="28" s="1"/>
  <c r="AH6" i="28"/>
  <c r="AH47" i="28" s="1"/>
  <c r="AL6" i="28"/>
  <c r="AL47" i="28" s="1"/>
  <c r="AP6" i="28"/>
  <c r="AP47" i="28" s="1"/>
  <c r="AT6" i="28"/>
  <c r="AT47" i="28" s="1"/>
  <c r="AX6" i="28"/>
  <c r="AX47" i="28" s="1"/>
  <c r="AE6" i="28"/>
  <c r="AE47" i="28" s="1"/>
  <c r="AI6" i="28"/>
  <c r="AI47" i="28" s="1"/>
  <c r="AM6" i="28"/>
  <c r="AM47" i="28" s="1"/>
  <c r="AQ6" i="28"/>
  <c r="AQ47" i="28" s="1"/>
  <c r="AU6" i="28"/>
  <c r="AU47" i="28" s="1"/>
  <c r="AY6" i="28"/>
  <c r="AY47" i="28" s="1"/>
  <c r="AF6" i="28"/>
  <c r="AF47" i="28" s="1"/>
  <c r="AJ6" i="28"/>
  <c r="AJ47" i="28" s="1"/>
  <c r="AN6" i="28"/>
  <c r="AN47" i="28" s="1"/>
  <c r="AR6" i="28"/>
  <c r="AR47" i="28" s="1"/>
  <c r="AV6" i="28"/>
  <c r="AV47" i="28" s="1"/>
  <c r="AZ6" i="28"/>
  <c r="AZ47" i="28" s="1"/>
  <c r="AC6" i="28"/>
  <c r="AC47" i="28" s="1"/>
  <c r="AG6" i="28"/>
  <c r="AG47" i="28" s="1"/>
  <c r="AK6" i="28"/>
  <c r="AK47" i="28" s="1"/>
  <c r="AO6" i="28"/>
  <c r="AO47" i="28" s="1"/>
  <c r="AS6" i="28"/>
  <c r="AS47" i="28" s="1"/>
  <c r="AW6" i="28"/>
  <c r="AW47" i="28" s="1"/>
  <c r="AE16" i="28"/>
  <c r="AI16" i="28"/>
  <c r="AM16" i="28"/>
  <c r="AQ16" i="28"/>
  <c r="AU16" i="28"/>
  <c r="AY16" i="28"/>
  <c r="AF16" i="28"/>
  <c r="AJ16" i="28"/>
  <c r="AN16" i="28"/>
  <c r="AR16" i="28"/>
  <c r="AV16" i="28"/>
  <c r="AZ16" i="28"/>
  <c r="AC16" i="28"/>
  <c r="AG16" i="28"/>
  <c r="AK16" i="28"/>
  <c r="AO16" i="28"/>
  <c r="AS16" i="28"/>
  <c r="AW16" i="28"/>
  <c r="AD16" i="28"/>
  <c r="AH16" i="28"/>
  <c r="AL16" i="28"/>
  <c r="AP16" i="28"/>
  <c r="AT16" i="28"/>
  <c r="AX16" i="28"/>
  <c r="AD4" i="28"/>
  <c r="AD40" i="28" s="1"/>
  <c r="AH4" i="28"/>
  <c r="AH40" i="28" s="1"/>
  <c r="AL4" i="28"/>
  <c r="AL40" i="28" s="1"/>
  <c r="AP4" i="28"/>
  <c r="AP40" i="28" s="1"/>
  <c r="AT4" i="28"/>
  <c r="AT40" i="28" s="1"/>
  <c r="AX4" i="28"/>
  <c r="AX40" i="28" s="1"/>
  <c r="AE4" i="28"/>
  <c r="AE40" i="28" s="1"/>
  <c r="AI4" i="28"/>
  <c r="AI40" i="28" s="1"/>
  <c r="AM4" i="28"/>
  <c r="AM40" i="28" s="1"/>
  <c r="AQ4" i="28"/>
  <c r="AQ40" i="28" s="1"/>
  <c r="AU4" i="28"/>
  <c r="AU40" i="28" s="1"/>
  <c r="AY4" i="28"/>
  <c r="AY40" i="28" s="1"/>
  <c r="AF4" i="28"/>
  <c r="AF40" i="28" s="1"/>
  <c r="AJ4" i="28"/>
  <c r="AJ40" i="28" s="1"/>
  <c r="AN4" i="28"/>
  <c r="AN40" i="28" s="1"/>
  <c r="AR4" i="28"/>
  <c r="AR40" i="28" s="1"/>
  <c r="AV4" i="28"/>
  <c r="AV40" i="28" s="1"/>
  <c r="AZ4" i="28"/>
  <c r="AZ40" i="28" s="1"/>
  <c r="AC4" i="28"/>
  <c r="AC40" i="28" s="1"/>
  <c r="AG4" i="28"/>
  <c r="AG40" i="28" s="1"/>
  <c r="AK4" i="28"/>
  <c r="AK40" i="28" s="1"/>
  <c r="AO4" i="28"/>
  <c r="AO40" i="28" s="1"/>
  <c r="AS4" i="28"/>
  <c r="AS40" i="28" s="1"/>
  <c r="AW4" i="28"/>
  <c r="AW40" i="28" s="1"/>
  <c r="AC12" i="28"/>
  <c r="AG12" i="28"/>
  <c r="AK12" i="28"/>
  <c r="AO12" i="28"/>
  <c r="AS12" i="28"/>
  <c r="AW12" i="28"/>
  <c r="AD12" i="28"/>
  <c r="AH12" i="28"/>
  <c r="AL12" i="28"/>
  <c r="AP12" i="28"/>
  <c r="AT12" i="28"/>
  <c r="AX12" i="28"/>
  <c r="AE12" i="28"/>
  <c r="AI12" i="28"/>
  <c r="AM12" i="28"/>
  <c r="AQ12" i="28"/>
  <c r="AU12" i="28"/>
  <c r="AY12" i="28"/>
  <c r="AF12" i="28"/>
  <c r="AJ12" i="28"/>
  <c r="AN12" i="28"/>
  <c r="AR12" i="28"/>
  <c r="AV12" i="28"/>
  <c r="AZ12" i="28"/>
  <c r="AE17" i="28"/>
  <c r="AI17" i="28"/>
  <c r="AM17" i="28"/>
  <c r="AQ17" i="28"/>
  <c r="AU17" i="28"/>
  <c r="AY17" i="28"/>
  <c r="AF17" i="28"/>
  <c r="AJ17" i="28"/>
  <c r="AN17" i="28"/>
  <c r="AR17" i="28"/>
  <c r="AV17" i="28"/>
  <c r="AZ17" i="28"/>
  <c r="AC17" i="28"/>
  <c r="AG17" i="28"/>
  <c r="AK17" i="28"/>
  <c r="AO17" i="28"/>
  <c r="AS17" i="28"/>
  <c r="AW17" i="28"/>
  <c r="AD17" i="28"/>
  <c r="AH17" i="28"/>
  <c r="AL17" i="28"/>
  <c r="AP17" i="28"/>
  <c r="AT17" i="28"/>
  <c r="AX17" i="28"/>
  <c r="AG30" i="28"/>
  <c r="AG35" i="28" s="1"/>
  <c r="AW30" i="28"/>
  <c r="AW35" i="28" s="1"/>
  <c r="AK30" i="28"/>
  <c r="AK35" i="28" s="1"/>
  <c r="AO30" i="28"/>
  <c r="AO35" i="28" s="1"/>
  <c r="AC30" i="28"/>
  <c r="AC35" i="28" s="1"/>
  <c r="AS30" i="28"/>
  <c r="AS35" i="28" s="1"/>
  <c r="AD30" i="28"/>
  <c r="AD35" i="28" s="1"/>
  <c r="AH30" i="28"/>
  <c r="AH35" i="28" s="1"/>
  <c r="AL30" i="28"/>
  <c r="AL35" i="28" s="1"/>
  <c r="AP30" i="28"/>
  <c r="AP35" i="28" s="1"/>
  <c r="AT30" i="28"/>
  <c r="AT35" i="28" s="1"/>
  <c r="AX30" i="28"/>
  <c r="AX35" i="28" s="1"/>
  <c r="AE30" i="28"/>
  <c r="AE35" i="28" s="1"/>
  <c r="AI30" i="28"/>
  <c r="AI35" i="28" s="1"/>
  <c r="AM30" i="28"/>
  <c r="AM35" i="28" s="1"/>
  <c r="AQ30" i="28"/>
  <c r="AQ35" i="28" s="1"/>
  <c r="AU30" i="28"/>
  <c r="AU35" i="28" s="1"/>
  <c r="AY30" i="28"/>
  <c r="AY35" i="28" s="1"/>
  <c r="AF30" i="28"/>
  <c r="AF35" i="28" s="1"/>
  <c r="AJ30" i="28"/>
  <c r="AJ35" i="28" s="1"/>
  <c r="AN30" i="28"/>
  <c r="AN35" i="28" s="1"/>
  <c r="AR30" i="28"/>
  <c r="AR35" i="28" s="1"/>
  <c r="AV30" i="28"/>
  <c r="AV35" i="28" s="1"/>
  <c r="AZ30" i="28"/>
  <c r="AZ35" i="28" s="1"/>
  <c r="AE15" i="28"/>
  <c r="AE44" i="28" s="1"/>
  <c r="AI15" i="28"/>
  <c r="AI44" i="28" s="1"/>
  <c r="AM15" i="28"/>
  <c r="AM44" i="28" s="1"/>
  <c r="AQ15" i="28"/>
  <c r="AQ44" i="28" s="1"/>
  <c r="AU15" i="28"/>
  <c r="AU44" i="28" s="1"/>
  <c r="AY15" i="28"/>
  <c r="AY44" i="28" s="1"/>
  <c r="AF15" i="28"/>
  <c r="AF44" i="28" s="1"/>
  <c r="AJ15" i="28"/>
  <c r="AJ44" i="28" s="1"/>
  <c r="AN15" i="28"/>
  <c r="AN44" i="28" s="1"/>
  <c r="AR15" i="28"/>
  <c r="AR44" i="28" s="1"/>
  <c r="AV15" i="28"/>
  <c r="AV44" i="28" s="1"/>
  <c r="AZ15" i="28"/>
  <c r="AZ44" i="28" s="1"/>
  <c r="AC15" i="28"/>
  <c r="AC44" i="28" s="1"/>
  <c r="AG15" i="28"/>
  <c r="AG44" i="28" s="1"/>
  <c r="AK15" i="28"/>
  <c r="AK44" i="28" s="1"/>
  <c r="AO15" i="28"/>
  <c r="AO44" i="28" s="1"/>
  <c r="AS15" i="28"/>
  <c r="AS44" i="28" s="1"/>
  <c r="AW15" i="28"/>
  <c r="AW44" i="28" s="1"/>
  <c r="AD15" i="28"/>
  <c r="AD44" i="28" s="1"/>
  <c r="AH15" i="28"/>
  <c r="AH44" i="28" s="1"/>
  <c r="AL15" i="28"/>
  <c r="AL44" i="28" s="1"/>
  <c r="AP15" i="28"/>
  <c r="AP44" i="28" s="1"/>
  <c r="AT15" i="28"/>
  <c r="AT44" i="28" s="1"/>
  <c r="AX15" i="28"/>
  <c r="AX44" i="28" s="1"/>
  <c r="AH21" i="28"/>
  <c r="AM21" i="28"/>
  <c r="AR21" i="28"/>
  <c r="AX21" i="28"/>
  <c r="AD21" i="28"/>
  <c r="AI21" i="28"/>
  <c r="AN21" i="28"/>
  <c r="AT21" i="28"/>
  <c r="AY21" i="28"/>
  <c r="AE21" i="28"/>
  <c r="AJ21" i="28"/>
  <c r="AP21" i="28"/>
  <c r="AU21" i="28"/>
  <c r="AZ21" i="28"/>
  <c r="AF21" i="28"/>
  <c r="AL21" i="28"/>
  <c r="AQ21" i="28"/>
  <c r="AV21" i="28"/>
  <c r="AC21" i="28"/>
  <c r="AG21" i="28"/>
  <c r="AK21" i="28"/>
  <c r="AO21" i="28"/>
  <c r="AS21" i="28"/>
  <c r="AW21" i="28"/>
  <c r="AC28" i="28"/>
  <c r="AC43" i="28" s="1"/>
  <c r="AG28" i="28"/>
  <c r="AG43" i="28" s="1"/>
  <c r="AK28" i="28"/>
  <c r="AK43" i="28" s="1"/>
  <c r="AO28" i="28"/>
  <c r="AO43" i="28" s="1"/>
  <c r="AS28" i="28"/>
  <c r="AS43" i="28" s="1"/>
  <c r="AW28" i="28"/>
  <c r="AW43" i="28" s="1"/>
  <c r="AD28" i="28"/>
  <c r="AD43" i="28" s="1"/>
  <c r="AH28" i="28"/>
  <c r="AH43" i="28" s="1"/>
  <c r="AL28" i="28"/>
  <c r="AL43" i="28" s="1"/>
  <c r="AP28" i="28"/>
  <c r="AP43" i="28" s="1"/>
  <c r="AT28" i="28"/>
  <c r="AT43" i="28" s="1"/>
  <c r="AX28" i="28"/>
  <c r="AX43" i="28" s="1"/>
  <c r="AE28" i="28"/>
  <c r="AE43" i="28" s="1"/>
  <c r="AI28" i="28"/>
  <c r="AI43" i="28" s="1"/>
  <c r="AM28" i="28"/>
  <c r="AM43" i="28" s="1"/>
  <c r="AQ28" i="28"/>
  <c r="AQ43" i="28" s="1"/>
  <c r="AU28" i="28"/>
  <c r="AU43" i="28" s="1"/>
  <c r="AY28" i="28"/>
  <c r="AY43" i="28" s="1"/>
  <c r="AF28" i="28"/>
  <c r="AF43" i="28" s="1"/>
  <c r="AJ28" i="28"/>
  <c r="AJ43" i="28" s="1"/>
  <c r="AN28" i="28"/>
  <c r="AN43" i="28" s="1"/>
  <c r="AR28" i="28"/>
  <c r="AR43" i="28" s="1"/>
  <c r="AV28" i="28"/>
  <c r="AV43" i="28" s="1"/>
  <c r="AZ28" i="28"/>
  <c r="AZ43" i="28" s="1"/>
  <c r="AE14" i="28"/>
  <c r="AE34" i="28" s="1"/>
  <c r="AI14" i="28"/>
  <c r="AI34" i="28" s="1"/>
  <c r="AM14" i="28"/>
  <c r="AM34" i="28" s="1"/>
  <c r="AQ14" i="28"/>
  <c r="AQ34" i="28" s="1"/>
  <c r="AU14" i="28"/>
  <c r="AU34" i="28" s="1"/>
  <c r="AY14" i="28"/>
  <c r="AY34" i="28" s="1"/>
  <c r="AF14" i="28"/>
  <c r="AF34" i="28" s="1"/>
  <c r="AJ14" i="28"/>
  <c r="AJ34" i="28" s="1"/>
  <c r="AN14" i="28"/>
  <c r="AN34" i="28" s="1"/>
  <c r="AR14" i="28"/>
  <c r="AR34" i="28" s="1"/>
  <c r="AV14" i="28"/>
  <c r="AV34" i="28" s="1"/>
  <c r="AZ14" i="28"/>
  <c r="AZ34" i="28" s="1"/>
  <c r="AC14" i="28"/>
  <c r="AC34" i="28" s="1"/>
  <c r="AG14" i="28"/>
  <c r="AG34" i="28" s="1"/>
  <c r="AK14" i="28"/>
  <c r="AK34" i="28" s="1"/>
  <c r="AO14" i="28"/>
  <c r="AO34" i="28" s="1"/>
  <c r="AS14" i="28"/>
  <c r="AS34" i="28" s="1"/>
  <c r="AW14" i="28"/>
  <c r="AW34" i="28" s="1"/>
  <c r="AD14" i="28"/>
  <c r="AD34" i="28" s="1"/>
  <c r="AH14" i="28"/>
  <c r="AH34" i="28" s="1"/>
  <c r="AL14" i="28"/>
  <c r="AL34" i="28" s="1"/>
  <c r="AP14" i="28"/>
  <c r="AP34" i="28" s="1"/>
  <c r="AT14" i="28"/>
  <c r="AT34" i="28" s="1"/>
  <c r="AX14" i="28"/>
  <c r="AX34" i="28" s="1"/>
  <c r="AE19" i="28"/>
  <c r="AE42" i="28" s="1"/>
  <c r="AI19" i="28"/>
  <c r="AI42" i="28" s="1"/>
  <c r="AM19" i="28"/>
  <c r="AM42" i="28" s="1"/>
  <c r="AQ19" i="28"/>
  <c r="AQ42" i="28" s="1"/>
  <c r="AU19" i="28"/>
  <c r="AU42" i="28" s="1"/>
  <c r="AY19" i="28"/>
  <c r="AY42" i="28" s="1"/>
  <c r="AF19" i="28"/>
  <c r="AF42" i="28" s="1"/>
  <c r="AJ19" i="28"/>
  <c r="AJ42" i="28" s="1"/>
  <c r="AN19" i="28"/>
  <c r="AN42" i="28" s="1"/>
  <c r="AR19" i="28"/>
  <c r="AR42" i="28" s="1"/>
  <c r="AV19" i="28"/>
  <c r="AV42" i="28" s="1"/>
  <c r="AZ19" i="28"/>
  <c r="AZ42" i="28" s="1"/>
  <c r="AC19" i="28"/>
  <c r="AC42" i="28" s="1"/>
  <c r="AG19" i="28"/>
  <c r="AG42" i="28" s="1"/>
  <c r="AK19" i="28"/>
  <c r="AK42" i="28" s="1"/>
  <c r="AO19" i="28"/>
  <c r="AO42" i="28" s="1"/>
  <c r="AS19" i="28"/>
  <c r="AS42" i="28" s="1"/>
  <c r="AW19" i="28"/>
  <c r="AW42" i="28" s="1"/>
  <c r="AD19" i="28"/>
  <c r="AD42" i="28" s="1"/>
  <c r="AH19" i="28"/>
  <c r="AH42" i="28" s="1"/>
  <c r="AL19" i="28"/>
  <c r="AL42" i="28" s="1"/>
  <c r="AP19" i="28"/>
  <c r="AP42" i="28" s="1"/>
  <c r="AT19" i="28"/>
  <c r="AT42" i="28" s="1"/>
  <c r="AX19" i="28"/>
  <c r="AX42" i="28" s="1"/>
  <c r="AC27" i="28"/>
  <c r="AS27" i="28"/>
  <c r="AG27" i="28"/>
  <c r="AW27" i="28"/>
  <c r="AK27" i="28"/>
  <c r="AO27" i="28"/>
  <c r="AD27" i="28"/>
  <c r="AH27" i="28"/>
  <c r="AL27" i="28"/>
  <c r="AP27" i="28"/>
  <c r="AT27" i="28"/>
  <c r="AX27" i="28"/>
  <c r="AE27" i="28"/>
  <c r="AI27" i="28"/>
  <c r="AM27" i="28"/>
  <c r="AQ27" i="28"/>
  <c r="AU27" i="28"/>
  <c r="AY27" i="28"/>
  <c r="AF27" i="28"/>
  <c r="AJ27" i="28"/>
  <c r="AN27" i="28"/>
  <c r="AR27" i="28"/>
  <c r="AV27" i="28"/>
  <c r="AZ27" i="28"/>
  <c r="AF10" i="28"/>
  <c r="AF46" i="28" s="1"/>
  <c r="AF45" i="28" s="1"/>
  <c r="AJ10" i="28"/>
  <c r="AJ46" i="28" s="1"/>
  <c r="AJ45" i="28" s="1"/>
  <c r="AN10" i="28"/>
  <c r="AN46" i="28" s="1"/>
  <c r="AN45" i="28" s="1"/>
  <c r="AR10" i="28"/>
  <c r="AR46" i="28" s="1"/>
  <c r="AR45" i="28" s="1"/>
  <c r="AV10" i="28"/>
  <c r="AV46" i="28" s="1"/>
  <c r="AV45" i="28" s="1"/>
  <c r="AZ10" i="28"/>
  <c r="AZ46" i="28" s="1"/>
  <c r="AZ45" i="28" s="1"/>
  <c r="AC10" i="28"/>
  <c r="AC46" i="28" s="1"/>
  <c r="AG10" i="28"/>
  <c r="AG46" i="28" s="1"/>
  <c r="AG45" i="28" s="1"/>
  <c r="AK10" i="28"/>
  <c r="AK46" i="28" s="1"/>
  <c r="AK45" i="28" s="1"/>
  <c r="AO10" i="28"/>
  <c r="AO46" i="28" s="1"/>
  <c r="AO45" i="28" s="1"/>
  <c r="AS10" i="28"/>
  <c r="AS46" i="28" s="1"/>
  <c r="AW10" i="28"/>
  <c r="AW46" i="28" s="1"/>
  <c r="AW45" i="28" s="1"/>
  <c r="AD10" i="28"/>
  <c r="AD46" i="28" s="1"/>
  <c r="AD45" i="28" s="1"/>
  <c r="AH10" i="28"/>
  <c r="AH46" i="28" s="1"/>
  <c r="AH45" i="28" s="1"/>
  <c r="AL10" i="28"/>
  <c r="AL46" i="28" s="1"/>
  <c r="AL45" i="28" s="1"/>
  <c r="AP10" i="28"/>
  <c r="AP46" i="28" s="1"/>
  <c r="AP45" i="28" s="1"/>
  <c r="AT10" i="28"/>
  <c r="AT46" i="28" s="1"/>
  <c r="AT45" i="28" s="1"/>
  <c r="AX10" i="28"/>
  <c r="AX46" i="28" s="1"/>
  <c r="AX45" i="28" s="1"/>
  <c r="AE10" i="28"/>
  <c r="AE46" i="28" s="1"/>
  <c r="AE45" i="28" s="1"/>
  <c r="AI10" i="28"/>
  <c r="AI46" i="28" s="1"/>
  <c r="AI45" i="28" s="1"/>
  <c r="AM10" i="28"/>
  <c r="AM46" i="28" s="1"/>
  <c r="AM45" i="28" s="1"/>
  <c r="AQ10" i="28"/>
  <c r="AQ46" i="28" s="1"/>
  <c r="AQ45" i="28" s="1"/>
  <c r="AU10" i="28"/>
  <c r="AU46" i="28" s="1"/>
  <c r="AU45" i="28" s="1"/>
  <c r="AY10" i="28"/>
  <c r="AY46" i="28" s="1"/>
  <c r="AY45" i="28" s="1"/>
  <c r="AC11" i="28"/>
  <c r="AC39" i="28" s="1"/>
  <c r="AG11" i="28"/>
  <c r="AG39" i="28" s="1"/>
  <c r="AK11" i="28"/>
  <c r="AK39" i="28" s="1"/>
  <c r="AO11" i="28"/>
  <c r="AO39" i="28" s="1"/>
  <c r="AS11" i="28"/>
  <c r="AS39" i="28" s="1"/>
  <c r="AW11" i="28"/>
  <c r="AW39" i="28" s="1"/>
  <c r="AD11" i="28"/>
  <c r="AD39" i="28" s="1"/>
  <c r="AH11" i="28"/>
  <c r="AH39" i="28" s="1"/>
  <c r="AL11" i="28"/>
  <c r="AL39" i="28" s="1"/>
  <c r="AP11" i="28"/>
  <c r="AP39" i="28" s="1"/>
  <c r="AT11" i="28"/>
  <c r="AT39" i="28" s="1"/>
  <c r="AX11" i="28"/>
  <c r="AX39" i="28" s="1"/>
  <c r="AE11" i="28"/>
  <c r="AE39" i="28" s="1"/>
  <c r="AI11" i="28"/>
  <c r="AI39" i="28" s="1"/>
  <c r="AM11" i="28"/>
  <c r="AM39" i="28" s="1"/>
  <c r="AQ11" i="28"/>
  <c r="AQ39" i="28" s="1"/>
  <c r="AU11" i="28"/>
  <c r="AU39" i="28" s="1"/>
  <c r="AY11" i="28"/>
  <c r="AY39" i="28" s="1"/>
  <c r="AF11" i="28"/>
  <c r="AF39" i="28" s="1"/>
  <c r="AJ11" i="28"/>
  <c r="AJ39" i="28" s="1"/>
  <c r="AN11" i="28"/>
  <c r="AN39" i="28" s="1"/>
  <c r="AR11" i="28"/>
  <c r="AR39" i="28" s="1"/>
  <c r="AV11" i="28"/>
  <c r="AV39" i="28" s="1"/>
  <c r="AZ11" i="28"/>
  <c r="AZ39" i="28" s="1"/>
  <c r="U31" i="28" l="1"/>
  <c r="E45" i="28"/>
  <c r="W31" i="28"/>
  <c r="V45" i="28"/>
  <c r="T45" i="28"/>
  <c r="AI62" i="28"/>
  <c r="AI76" i="28"/>
  <c r="AV65" i="28"/>
  <c r="AV51" i="28"/>
  <c r="AM51" i="28"/>
  <c r="AM65" i="28"/>
  <c r="AG52" i="28"/>
  <c r="AG66" i="28"/>
  <c r="AI66" i="28"/>
  <c r="AI52" i="28"/>
  <c r="AP60" i="28"/>
  <c r="AP74" i="28"/>
  <c r="AG60" i="28"/>
  <c r="AG74" i="28"/>
  <c r="AP72" i="28"/>
  <c r="AP58" i="28"/>
  <c r="AR57" i="28"/>
  <c r="AR71" i="28"/>
  <c r="AW57" i="28"/>
  <c r="AW71" i="28"/>
  <c r="AP75" i="28"/>
  <c r="AP61" i="28"/>
  <c r="AR61" i="28"/>
  <c r="AR75" i="28"/>
  <c r="AP56" i="28"/>
  <c r="AP70" i="28"/>
  <c r="AR70" i="28"/>
  <c r="AR56" i="28"/>
  <c r="AI70" i="28"/>
  <c r="AI56" i="28"/>
  <c r="AY31" i="28"/>
  <c r="AI31" i="28"/>
  <c r="AV54" i="28"/>
  <c r="AV68" i="28"/>
  <c r="AU59" i="28"/>
  <c r="AU73" i="28"/>
  <c r="AE62" i="28"/>
  <c r="AE76" i="28"/>
  <c r="AK62" i="28"/>
  <c r="AK76" i="28"/>
  <c r="AK65" i="28"/>
  <c r="AK51" i="28"/>
  <c r="AU51" i="28"/>
  <c r="AU65" i="28"/>
  <c r="AH51" i="28"/>
  <c r="AH65" i="28"/>
  <c r="AZ62" i="28"/>
  <c r="AZ76" i="28"/>
  <c r="AJ62" i="28"/>
  <c r="AJ76" i="28"/>
  <c r="AQ62" i="28"/>
  <c r="AQ76" i="28"/>
  <c r="AX76" i="28"/>
  <c r="AX62" i="28"/>
  <c r="AH76" i="28"/>
  <c r="AH62" i="28"/>
  <c r="AW62" i="28"/>
  <c r="AW76" i="28"/>
  <c r="AW65" i="28"/>
  <c r="AW51" i="28"/>
  <c r="AG65" i="28"/>
  <c r="AG51" i="28"/>
  <c r="AL51" i="28"/>
  <c r="AL65" i="28"/>
  <c r="AP51" i="28"/>
  <c r="AP65" i="28"/>
  <c r="AT51" i="28"/>
  <c r="AT65" i="28"/>
  <c r="AX51" i="28"/>
  <c r="AX65" i="28"/>
  <c r="AX52" i="28"/>
  <c r="AX66" i="28"/>
  <c r="AH52" i="28"/>
  <c r="AH66" i="28"/>
  <c r="AO52" i="28"/>
  <c r="AO66" i="28"/>
  <c r="AZ66" i="28"/>
  <c r="AZ52" i="28"/>
  <c r="AJ66" i="28"/>
  <c r="AJ52" i="28"/>
  <c r="AQ52" i="28"/>
  <c r="AQ66" i="28"/>
  <c r="AZ74" i="28"/>
  <c r="AZ60" i="28"/>
  <c r="AJ74" i="28"/>
  <c r="AJ60" i="28"/>
  <c r="AQ74" i="28"/>
  <c r="AQ60" i="28"/>
  <c r="AX60" i="28"/>
  <c r="AX74" i="28"/>
  <c r="AH60" i="28"/>
  <c r="AH74" i="28"/>
  <c r="AO60" i="28"/>
  <c r="AO74" i="28"/>
  <c r="AX72" i="28"/>
  <c r="AX58" i="28"/>
  <c r="AH72" i="28"/>
  <c r="AH58" i="28"/>
  <c r="AO72" i="28"/>
  <c r="AO58" i="28"/>
  <c r="AZ58" i="28"/>
  <c r="AZ72" i="28"/>
  <c r="AJ58" i="28"/>
  <c r="AJ72" i="28"/>
  <c r="AQ58" i="28"/>
  <c r="AQ72" i="28"/>
  <c r="AZ57" i="28"/>
  <c r="AZ71" i="28"/>
  <c r="AJ57" i="28"/>
  <c r="AJ71" i="28"/>
  <c r="AQ71" i="28"/>
  <c r="AQ57" i="28"/>
  <c r="AX71" i="28"/>
  <c r="AX57" i="28"/>
  <c r="AH57" i="28"/>
  <c r="AH71" i="28"/>
  <c r="AO57" i="28"/>
  <c r="AO71" i="28"/>
  <c r="AX61" i="28"/>
  <c r="AX75" i="28"/>
  <c r="AH75" i="28"/>
  <c r="AH61" i="28"/>
  <c r="AO61" i="28"/>
  <c r="AO75" i="28"/>
  <c r="AZ61" i="28"/>
  <c r="AZ75" i="28"/>
  <c r="AJ61" i="28"/>
  <c r="AJ75" i="28"/>
  <c r="AQ75" i="28"/>
  <c r="AQ61" i="28"/>
  <c r="AX56" i="28"/>
  <c r="AX70" i="28"/>
  <c r="AH56" i="28"/>
  <c r="AH70" i="28"/>
  <c r="AO56" i="28"/>
  <c r="AO70" i="28"/>
  <c r="AZ70" i="28"/>
  <c r="AZ56" i="28"/>
  <c r="AJ70" i="28"/>
  <c r="AJ56" i="28"/>
  <c r="AQ70" i="28"/>
  <c r="AQ56" i="28"/>
  <c r="D31" i="28"/>
  <c r="AV31" i="28"/>
  <c r="O31" i="28"/>
  <c r="G31" i="28"/>
  <c r="AU31" i="28"/>
  <c r="AM31" i="28"/>
  <c r="AE31" i="28"/>
  <c r="AT31" i="28"/>
  <c r="AD31" i="28"/>
  <c r="AS31" i="28"/>
  <c r="L31" i="28"/>
  <c r="AC53" i="28"/>
  <c r="AC67" i="28"/>
  <c r="AL53" i="28"/>
  <c r="AL67" i="28"/>
  <c r="AM54" i="28"/>
  <c r="AM68" i="28"/>
  <c r="AC73" i="28"/>
  <c r="AC59" i="28"/>
  <c r="AL59" i="28"/>
  <c r="AL73" i="28"/>
  <c r="AI59" i="28"/>
  <c r="AI73" i="28"/>
  <c r="AJ53" i="28"/>
  <c r="AJ67" i="28"/>
  <c r="AW68" i="28"/>
  <c r="AW54" i="28"/>
  <c r="AI54" i="28"/>
  <c r="AI68" i="28"/>
  <c r="AJ73" i="28"/>
  <c r="AJ59" i="28"/>
  <c r="AV53" i="28"/>
  <c r="AV67" i="28"/>
  <c r="AD53" i="28"/>
  <c r="AD67" i="28"/>
  <c r="AU54" i="28"/>
  <c r="AU68" i="28"/>
  <c r="AV73" i="28"/>
  <c r="AV59" i="28"/>
  <c r="AD59" i="28"/>
  <c r="AD73" i="28"/>
  <c r="AP59" i="28"/>
  <c r="AP73" i="28"/>
  <c r="AR53" i="28"/>
  <c r="AR67" i="28"/>
  <c r="AO54" i="28"/>
  <c r="AO68" i="28"/>
  <c r="AX68" i="28"/>
  <c r="AX54" i="28"/>
  <c r="M76" i="28"/>
  <c r="M62" i="28"/>
  <c r="Z62" i="28"/>
  <c r="Z76" i="28"/>
  <c r="X62" i="28"/>
  <c r="X76" i="28"/>
  <c r="V62" i="28"/>
  <c r="V76" i="28"/>
  <c r="G45" i="28"/>
  <c r="U76" i="28"/>
  <c r="U62" i="28"/>
  <c r="S62" i="28"/>
  <c r="S76" i="28"/>
  <c r="O62" i="28"/>
  <c r="O76" i="28"/>
  <c r="F56" i="28"/>
  <c r="F70" i="28"/>
  <c r="D56" i="28"/>
  <c r="D70" i="28"/>
  <c r="W70" i="28"/>
  <c r="W56" i="28"/>
  <c r="U52" i="28"/>
  <c r="U66" i="28"/>
  <c r="W66" i="28"/>
  <c r="W52" i="28"/>
  <c r="L45" i="28"/>
  <c r="J45" i="28"/>
  <c r="P56" i="28"/>
  <c r="P70" i="28"/>
  <c r="Q52" i="28"/>
  <c r="Q66" i="28"/>
  <c r="N56" i="28"/>
  <c r="N70" i="28"/>
  <c r="N52" i="28"/>
  <c r="N66" i="28"/>
  <c r="Z51" i="28"/>
  <c r="Z65" i="28"/>
  <c r="X65" i="28"/>
  <c r="X51" i="28"/>
  <c r="R75" i="28"/>
  <c r="R61" i="28"/>
  <c r="I56" i="28"/>
  <c r="I70" i="28"/>
  <c r="Z52" i="28"/>
  <c r="Z66" i="28"/>
  <c r="X52" i="28"/>
  <c r="X66" i="28"/>
  <c r="L65" i="28"/>
  <c r="L51" i="28"/>
  <c r="F75" i="28"/>
  <c r="F61" i="28"/>
  <c r="D61" i="28"/>
  <c r="D75" i="28"/>
  <c r="N59" i="28"/>
  <c r="N73" i="28"/>
  <c r="X57" i="28"/>
  <c r="X71" i="28"/>
  <c r="V71" i="28"/>
  <c r="V57" i="28"/>
  <c r="G59" i="28"/>
  <c r="G73" i="28"/>
  <c r="T73" i="28"/>
  <c r="T59" i="28"/>
  <c r="M57" i="28"/>
  <c r="M71" i="28"/>
  <c r="Z71" i="28"/>
  <c r="Z57" i="28"/>
  <c r="J31" i="28"/>
  <c r="R31" i="28"/>
  <c r="K74" i="28"/>
  <c r="K60" i="28"/>
  <c r="Y60" i="28"/>
  <c r="Y74" i="28"/>
  <c r="W74" i="28"/>
  <c r="W60" i="28"/>
  <c r="U60" i="28"/>
  <c r="U74" i="28"/>
  <c r="S74" i="28"/>
  <c r="S60" i="28"/>
  <c r="N60" i="28"/>
  <c r="N74" i="28"/>
  <c r="AA53" i="28"/>
  <c r="AA67" i="28"/>
  <c r="M72" i="28"/>
  <c r="M58" i="28"/>
  <c r="Y53" i="28"/>
  <c r="Y67" i="28"/>
  <c r="G53" i="28"/>
  <c r="G67" i="28"/>
  <c r="Y72" i="28"/>
  <c r="Y58" i="28"/>
  <c r="AA58" i="28"/>
  <c r="AA72" i="28"/>
  <c r="X54" i="28"/>
  <c r="X68" i="28"/>
  <c r="F51" i="28"/>
  <c r="F65" i="28"/>
  <c r="D65" i="28"/>
  <c r="D51" i="28"/>
  <c r="L61" i="28"/>
  <c r="L75" i="28"/>
  <c r="T53" i="28"/>
  <c r="T67" i="28"/>
  <c r="Q72" i="28"/>
  <c r="Q58" i="28"/>
  <c r="Q68" i="28"/>
  <c r="Q54" i="28"/>
  <c r="W59" i="28"/>
  <c r="W73" i="28"/>
  <c r="Z54" i="28"/>
  <c r="Z68" i="28"/>
  <c r="I59" i="28"/>
  <c r="I73" i="28"/>
  <c r="U57" i="28"/>
  <c r="U71" i="28"/>
  <c r="R71" i="28"/>
  <c r="R57" i="28"/>
  <c r="X53" i="28"/>
  <c r="X67" i="28"/>
  <c r="Q51" i="28"/>
  <c r="Q65" i="28"/>
  <c r="O57" i="28"/>
  <c r="O71" i="28"/>
  <c r="V58" i="28"/>
  <c r="V72" i="28"/>
  <c r="T58" i="28"/>
  <c r="T72" i="28"/>
  <c r="E68" i="28"/>
  <c r="E54" i="28"/>
  <c r="Z75" i="28"/>
  <c r="Z61" i="28"/>
  <c r="X61" i="28"/>
  <c r="X75" i="28"/>
  <c r="M59" i="28"/>
  <c r="M73" i="28"/>
  <c r="S59" i="28"/>
  <c r="S73" i="28"/>
  <c r="AP76" i="28"/>
  <c r="AP62" i="28"/>
  <c r="AZ51" i="28"/>
  <c r="AZ48" i="28" s="1"/>
  <c r="AZ65" i="28"/>
  <c r="AW52" i="28"/>
  <c r="AW66" i="28"/>
  <c r="AR74" i="28"/>
  <c r="AR60" i="28"/>
  <c r="AR58" i="28"/>
  <c r="AR72" i="28"/>
  <c r="AI58" i="28"/>
  <c r="AI72" i="28"/>
  <c r="AY71" i="28"/>
  <c r="AY57" i="28"/>
  <c r="AG57" i="28"/>
  <c r="AG71" i="28"/>
  <c r="AW61" i="28"/>
  <c r="AW75" i="28"/>
  <c r="AG61" i="28"/>
  <c r="AG75" i="28"/>
  <c r="AY75" i="28"/>
  <c r="AY61" i="28"/>
  <c r="AI75" i="28"/>
  <c r="AI61" i="28"/>
  <c r="AW56" i="28"/>
  <c r="AW70" i="28"/>
  <c r="AY70" i="28"/>
  <c r="AY56" i="28"/>
  <c r="AQ31" i="28"/>
  <c r="AX31" i="28"/>
  <c r="AH31" i="28"/>
  <c r="AU67" i="28"/>
  <c r="AU53" i="28"/>
  <c r="AD68" i="28"/>
  <c r="AD54" i="28"/>
  <c r="AD48" i="28" s="1"/>
  <c r="AU62" i="28"/>
  <c r="AU76" i="28"/>
  <c r="AC76" i="28"/>
  <c r="AC62" i="28"/>
  <c r="AQ51" i="28"/>
  <c r="AQ65" i="28"/>
  <c r="AD51" i="28"/>
  <c r="AD65" i="28"/>
  <c r="AV62" i="28"/>
  <c r="AV76" i="28"/>
  <c r="AF62" i="28"/>
  <c r="AF76" i="28"/>
  <c r="AM62" i="28"/>
  <c r="AM76" i="28"/>
  <c r="AT76" i="28"/>
  <c r="AT62" i="28"/>
  <c r="AD76" i="28"/>
  <c r="AD62" i="28"/>
  <c r="AG76" i="28"/>
  <c r="AG62" i="28"/>
  <c r="AS65" i="28"/>
  <c r="AS51" i="28"/>
  <c r="AC65" i="28"/>
  <c r="AC51" i="28"/>
  <c r="AC48" i="28" s="1"/>
  <c r="AF51" i="28"/>
  <c r="AF65" i="28"/>
  <c r="AJ65" i="28"/>
  <c r="AJ51" i="28"/>
  <c r="AN51" i="28"/>
  <c r="AN65" i="28"/>
  <c r="AR65" i="28"/>
  <c r="AR51" i="28"/>
  <c r="AT52" i="28"/>
  <c r="AT66" i="28"/>
  <c r="AD52" i="28"/>
  <c r="AD66" i="28"/>
  <c r="AK52" i="28"/>
  <c r="AK66" i="28"/>
  <c r="AV66" i="28"/>
  <c r="AV52" i="28"/>
  <c r="AV48" i="28" s="1"/>
  <c r="AF66" i="28"/>
  <c r="AF52" i="28"/>
  <c r="AM66" i="28"/>
  <c r="AM52" i="28"/>
  <c r="AV74" i="28"/>
  <c r="AV60" i="28"/>
  <c r="AF74" i="28"/>
  <c r="AF60" i="28"/>
  <c r="AM74" i="28"/>
  <c r="AM60" i="28"/>
  <c r="AT60" i="28"/>
  <c r="AT74" i="28"/>
  <c r="AD60" i="28"/>
  <c r="AD74" i="28"/>
  <c r="AK60" i="28"/>
  <c r="AK74" i="28"/>
  <c r="AT72" i="28"/>
  <c r="AT58" i="28"/>
  <c r="AD72" i="28"/>
  <c r="AD58" i="28"/>
  <c r="AK72" i="28"/>
  <c r="AK58" i="28"/>
  <c r="AV58" i="28"/>
  <c r="AV72" i="28"/>
  <c r="AF58" i="28"/>
  <c r="AF72" i="28"/>
  <c r="AM58" i="28"/>
  <c r="AM72" i="28"/>
  <c r="AS45" i="28"/>
  <c r="AC45" i="28"/>
  <c r="AV57" i="28"/>
  <c r="AV71" i="28"/>
  <c r="AF57" i="28"/>
  <c r="AF71" i="28"/>
  <c r="AM71" i="28"/>
  <c r="AM57" i="28"/>
  <c r="AT57" i="28"/>
  <c r="AT71" i="28"/>
  <c r="AD71" i="28"/>
  <c r="AD57" i="28"/>
  <c r="AK57" i="28"/>
  <c r="AK71" i="28"/>
  <c r="AT75" i="28"/>
  <c r="AT61" i="28"/>
  <c r="AD75" i="28"/>
  <c r="AD61" i="28"/>
  <c r="AK61" i="28"/>
  <c r="AK75" i="28"/>
  <c r="AV61" i="28"/>
  <c r="AV75" i="28"/>
  <c r="AF61" i="28"/>
  <c r="AF75" i="28"/>
  <c r="AM75" i="28"/>
  <c r="AM61" i="28"/>
  <c r="AT56" i="28"/>
  <c r="AT70" i="28"/>
  <c r="AD56" i="28"/>
  <c r="AD70" i="28"/>
  <c r="AK56" i="28"/>
  <c r="AK70" i="28"/>
  <c r="AV70" i="28"/>
  <c r="AV56" i="28"/>
  <c r="AF70" i="28"/>
  <c r="AF56" i="28"/>
  <c r="AM56" i="28"/>
  <c r="AM70" i="28"/>
  <c r="AZ31" i="28"/>
  <c r="AR31" i="28"/>
  <c r="AJ31" i="28"/>
  <c r="Y31" i="28"/>
  <c r="AP31" i="28"/>
  <c r="I31" i="28"/>
  <c r="AW31" i="28"/>
  <c r="AO31" i="28"/>
  <c r="AG31" i="28"/>
  <c r="AN53" i="28"/>
  <c r="AN67" i="28"/>
  <c r="AK68" i="28"/>
  <c r="AK54" i="28"/>
  <c r="AT68" i="28"/>
  <c r="AT54" i="28"/>
  <c r="AN59" i="28"/>
  <c r="AN73" i="28"/>
  <c r="AQ67" i="28"/>
  <c r="AQ53" i="28"/>
  <c r="AG68" i="28"/>
  <c r="AG54" i="28"/>
  <c r="AP68" i="28"/>
  <c r="AP54" i="28"/>
  <c r="AQ59" i="28"/>
  <c r="AQ73" i="28"/>
  <c r="AF53" i="28"/>
  <c r="AF67" i="28"/>
  <c r="AS68" i="28"/>
  <c r="AS54" i="28"/>
  <c r="AE54" i="28"/>
  <c r="AE68" i="28"/>
  <c r="AF59" i="28"/>
  <c r="AF73" i="28"/>
  <c r="AY67" i="28"/>
  <c r="AY53" i="28"/>
  <c r="AZ54" i="28"/>
  <c r="AZ68" i="28"/>
  <c r="AH68" i="28"/>
  <c r="AH54" i="28"/>
  <c r="L62" i="28"/>
  <c r="L76" i="28"/>
  <c r="J62" i="28"/>
  <c r="J76" i="28"/>
  <c r="H62" i="28"/>
  <c r="H76" i="28"/>
  <c r="F62" i="28"/>
  <c r="F76" i="28"/>
  <c r="E76" i="28"/>
  <c r="E62" i="28"/>
  <c r="R62" i="28"/>
  <c r="R76" i="28"/>
  <c r="N62" i="28"/>
  <c r="N76" i="28"/>
  <c r="U56" i="28"/>
  <c r="U70" i="28"/>
  <c r="S70" i="28"/>
  <c r="S56" i="28"/>
  <c r="E52" i="28"/>
  <c r="E66" i="28"/>
  <c r="S66" i="28"/>
  <c r="S52" i="28"/>
  <c r="AA70" i="28"/>
  <c r="AA56" i="28"/>
  <c r="P52" i="28"/>
  <c r="P66" i="28"/>
  <c r="M56" i="28"/>
  <c r="M70" i="28"/>
  <c r="M52" i="28"/>
  <c r="M66" i="28"/>
  <c r="J51" i="28"/>
  <c r="J65" i="28"/>
  <c r="H65" i="28"/>
  <c r="H51" i="28"/>
  <c r="Q61" i="28"/>
  <c r="Q75" i="28"/>
  <c r="Z56" i="28"/>
  <c r="Z70" i="28"/>
  <c r="X56" i="28"/>
  <c r="X70" i="28"/>
  <c r="J52" i="28"/>
  <c r="J66" i="28"/>
  <c r="H52" i="28"/>
  <c r="H66" i="28"/>
  <c r="O51" i="28"/>
  <c r="O65" i="28"/>
  <c r="U61" i="28"/>
  <c r="U75" i="28"/>
  <c r="K61" i="28"/>
  <c r="K75" i="28"/>
  <c r="Q59" i="28"/>
  <c r="Q73" i="28"/>
  <c r="K59" i="28"/>
  <c r="K73" i="28"/>
  <c r="H57" i="28"/>
  <c r="H71" i="28"/>
  <c r="F71" i="28"/>
  <c r="F57" i="28"/>
  <c r="F59" i="28"/>
  <c r="F73" i="28"/>
  <c r="D73" i="28"/>
  <c r="D59" i="28"/>
  <c r="L57" i="28"/>
  <c r="L71" i="28"/>
  <c r="J71" i="28"/>
  <c r="J57" i="28"/>
  <c r="F31" i="28"/>
  <c r="M60" i="28"/>
  <c r="M74" i="28"/>
  <c r="Z60" i="28"/>
  <c r="Z74" i="28"/>
  <c r="I60" i="28"/>
  <c r="I74" i="28"/>
  <c r="G74" i="28"/>
  <c r="G60" i="28"/>
  <c r="E60" i="28"/>
  <c r="E74" i="28"/>
  <c r="R60" i="28"/>
  <c r="R74" i="28"/>
  <c r="Q60" i="28"/>
  <c r="Q74" i="28"/>
  <c r="K53" i="28"/>
  <c r="K67" i="28"/>
  <c r="L58" i="28"/>
  <c r="L72" i="28"/>
  <c r="I53" i="28"/>
  <c r="I67" i="28"/>
  <c r="N67" i="28"/>
  <c r="N53" i="28"/>
  <c r="I72" i="28"/>
  <c r="I58" i="28"/>
  <c r="G58" i="28"/>
  <c r="G72" i="28"/>
  <c r="M68" i="28"/>
  <c r="M54" i="28"/>
  <c r="H54" i="28"/>
  <c r="H68" i="28"/>
  <c r="U51" i="28"/>
  <c r="U65" i="28"/>
  <c r="K51" i="28"/>
  <c r="K65" i="28"/>
  <c r="W61" i="28"/>
  <c r="W75" i="28"/>
  <c r="D53" i="28"/>
  <c r="D67" i="28"/>
  <c r="P58" i="28"/>
  <c r="P72" i="28"/>
  <c r="P54" i="28"/>
  <c r="P68" i="28"/>
  <c r="V59" i="28"/>
  <c r="V73" i="28"/>
  <c r="W54" i="28"/>
  <c r="W68" i="28"/>
  <c r="X73" i="28"/>
  <c r="X59" i="28"/>
  <c r="E57" i="28"/>
  <c r="E71" i="28"/>
  <c r="U53" i="28"/>
  <c r="U67" i="28"/>
  <c r="H53" i="28"/>
  <c r="H67" i="28"/>
  <c r="P65" i="28"/>
  <c r="P51" i="28"/>
  <c r="N71" i="28"/>
  <c r="N57" i="28"/>
  <c r="F58" i="28"/>
  <c r="F72" i="28"/>
  <c r="D58" i="28"/>
  <c r="D72" i="28"/>
  <c r="T54" i="28"/>
  <c r="T68" i="28"/>
  <c r="J75" i="28"/>
  <c r="J61" i="28"/>
  <c r="H61" i="28"/>
  <c r="H75" i="28"/>
  <c r="L73" i="28"/>
  <c r="L59" i="28"/>
  <c r="N54" i="28"/>
  <c r="N68" i="28"/>
  <c r="AY62" i="28"/>
  <c r="AY76" i="28"/>
  <c r="AS76" i="28"/>
  <c r="AS62" i="28"/>
  <c r="AO65" i="28"/>
  <c r="AO51" i="28"/>
  <c r="AI51" i="28"/>
  <c r="AI65" i="28"/>
  <c r="AP52" i="28"/>
  <c r="AP66" i="28"/>
  <c r="AY66" i="28"/>
  <c r="AY52" i="28"/>
  <c r="AI60" i="28"/>
  <c r="AI74" i="28"/>
  <c r="AW60" i="28"/>
  <c r="AW74" i="28"/>
  <c r="AW72" i="28"/>
  <c r="AW58" i="28"/>
  <c r="AP71" i="28"/>
  <c r="AP57" i="28"/>
  <c r="AO53" i="28"/>
  <c r="AO67" i="28"/>
  <c r="AX53" i="28"/>
  <c r="AX48" i="28" s="1"/>
  <c r="AX67" i="28"/>
  <c r="AR54" i="28"/>
  <c r="AR68" i="28"/>
  <c r="AO73" i="28"/>
  <c r="AO59" i="28"/>
  <c r="AX59" i="28"/>
  <c r="AX73" i="28"/>
  <c r="AY59" i="28"/>
  <c r="AY73" i="28"/>
  <c r="AM67" i="28"/>
  <c r="AM53" i="28"/>
  <c r="AC68" i="28"/>
  <c r="AC54" i="28"/>
  <c r="AL68" i="28"/>
  <c r="AL54" i="28"/>
  <c r="AM59" i="28"/>
  <c r="AM73" i="28"/>
  <c r="AW53" i="28"/>
  <c r="AW67" i="28"/>
  <c r="AI67" i="28"/>
  <c r="AI53" i="28"/>
  <c r="AJ54" i="28"/>
  <c r="AJ68" i="28"/>
  <c r="AR73" i="28"/>
  <c r="AR59" i="28"/>
  <c r="AA62" i="28"/>
  <c r="AA76" i="28"/>
  <c r="Y76" i="28"/>
  <c r="Y62" i="28"/>
  <c r="W62" i="28"/>
  <c r="W76" i="28"/>
  <c r="T62" i="28"/>
  <c r="T76" i="28"/>
  <c r="Q76" i="28"/>
  <c r="Q62" i="28"/>
  <c r="E56" i="28"/>
  <c r="E70" i="28"/>
  <c r="V52" i="28"/>
  <c r="V66" i="28"/>
  <c r="T52" i="28"/>
  <c r="T66" i="28"/>
  <c r="R56" i="28"/>
  <c r="R70" i="28"/>
  <c r="G70" i="28"/>
  <c r="G56" i="28"/>
  <c r="AA66" i="28"/>
  <c r="AA52" i="28"/>
  <c r="L56" i="28"/>
  <c r="L70" i="28"/>
  <c r="L52" i="28"/>
  <c r="L66" i="28"/>
  <c r="Y51" i="28"/>
  <c r="Y65" i="28"/>
  <c r="AA51" i="28"/>
  <c r="AA65" i="28"/>
  <c r="P61" i="28"/>
  <c r="P75" i="28"/>
  <c r="J56" i="28"/>
  <c r="J70" i="28"/>
  <c r="H56" i="28"/>
  <c r="H70" i="28"/>
  <c r="Y52" i="28"/>
  <c r="Y66" i="28"/>
  <c r="O66" i="28"/>
  <c r="O52" i="28"/>
  <c r="N51" i="28"/>
  <c r="N65" i="28"/>
  <c r="W51" i="28"/>
  <c r="W65" i="28"/>
  <c r="E61" i="28"/>
  <c r="E75" i="28"/>
  <c r="P73" i="28"/>
  <c r="P59" i="28"/>
  <c r="Y57" i="28"/>
  <c r="Y71" i="28"/>
  <c r="W57" i="28"/>
  <c r="W71" i="28"/>
  <c r="U59" i="28"/>
  <c r="U73" i="28"/>
  <c r="R59" i="28"/>
  <c r="R73" i="28"/>
  <c r="AA57" i="28"/>
  <c r="AA71" i="28"/>
  <c r="N31" i="28"/>
  <c r="Z31" i="28"/>
  <c r="L60" i="28"/>
  <c r="L74" i="28"/>
  <c r="J60" i="28"/>
  <c r="J74" i="28"/>
  <c r="X60" i="28"/>
  <c r="X74" i="28"/>
  <c r="V60" i="28"/>
  <c r="V74" i="28"/>
  <c r="T60" i="28"/>
  <c r="T74" i="28"/>
  <c r="P60" i="28"/>
  <c r="P74" i="28"/>
  <c r="M53" i="28"/>
  <c r="M67" i="28"/>
  <c r="V67" i="28"/>
  <c r="V53" i="28"/>
  <c r="O58" i="28"/>
  <c r="O72" i="28"/>
  <c r="Z67" i="28"/>
  <c r="Z53" i="28"/>
  <c r="Z58" i="28"/>
  <c r="Z72" i="28"/>
  <c r="X58" i="28"/>
  <c r="X72" i="28"/>
  <c r="L54" i="28"/>
  <c r="L68" i="28"/>
  <c r="Y68" i="28"/>
  <c r="Y54" i="28"/>
  <c r="AA54" i="28"/>
  <c r="AA68" i="28"/>
  <c r="E51" i="28"/>
  <c r="E65" i="28"/>
  <c r="N75" i="28"/>
  <c r="N61" i="28"/>
  <c r="Q53" i="28"/>
  <c r="Q67" i="28"/>
  <c r="O53" i="28"/>
  <c r="O67" i="28"/>
  <c r="G54" i="28"/>
  <c r="G68" i="28"/>
  <c r="D45" i="28"/>
  <c r="V54" i="28"/>
  <c r="V68" i="28"/>
  <c r="H73" i="28"/>
  <c r="H59" i="28"/>
  <c r="T57" i="28"/>
  <c r="T71" i="28"/>
  <c r="E53" i="28"/>
  <c r="E67" i="28"/>
  <c r="J67" i="28"/>
  <c r="J53" i="28"/>
  <c r="Q57" i="28"/>
  <c r="Q71" i="28"/>
  <c r="U72" i="28"/>
  <c r="U58" i="28"/>
  <c r="K58" i="28"/>
  <c r="K72" i="28"/>
  <c r="D54" i="28"/>
  <c r="D68" i="28"/>
  <c r="Y61" i="28"/>
  <c r="Y75" i="28"/>
  <c r="AA61" i="28"/>
  <c r="AA75" i="28"/>
  <c r="K54" i="28"/>
  <c r="K68" i="28"/>
  <c r="AR62" i="28"/>
  <c r="AR76" i="28"/>
  <c r="AO76" i="28"/>
  <c r="AO62" i="28"/>
  <c r="AE51" i="28"/>
  <c r="AE65" i="28"/>
  <c r="AR66" i="28"/>
  <c r="AR52" i="28"/>
  <c r="AY60" i="28"/>
  <c r="AY74" i="28"/>
  <c r="AG72" i="28"/>
  <c r="AG58" i="28"/>
  <c r="AY58" i="28"/>
  <c r="AY72" i="28"/>
  <c r="AI71" i="28"/>
  <c r="AI57" i="28"/>
  <c r="AG56" i="28"/>
  <c r="AG70" i="28"/>
  <c r="AN62" i="28"/>
  <c r="AN76" i="28"/>
  <c r="AL76" i="28"/>
  <c r="AL62" i="28"/>
  <c r="AY51" i="28"/>
  <c r="AY65" i="28"/>
  <c r="AL52" i="28"/>
  <c r="AL66" i="28"/>
  <c r="AS52" i="28"/>
  <c r="AS66" i="28"/>
  <c r="AC52" i="28"/>
  <c r="AC66" i="28"/>
  <c r="AN66" i="28"/>
  <c r="AN52" i="28"/>
  <c r="AU66" i="28"/>
  <c r="AU52" i="28"/>
  <c r="AE66" i="28"/>
  <c r="AE52" i="28"/>
  <c r="AN74" i="28"/>
  <c r="AN60" i="28"/>
  <c r="AU74" i="28"/>
  <c r="AU60" i="28"/>
  <c r="AE74" i="28"/>
  <c r="AE60" i="28"/>
  <c r="AL60" i="28"/>
  <c r="AL74" i="28"/>
  <c r="AS60" i="28"/>
  <c r="AS74" i="28"/>
  <c r="AC60" i="28"/>
  <c r="AC74" i="28"/>
  <c r="AL72" i="28"/>
  <c r="AL58" i="28"/>
  <c r="AL48" i="28" s="1"/>
  <c r="AS58" i="28"/>
  <c r="AS72" i="28"/>
  <c r="AC58" i="28"/>
  <c r="AC72" i="28"/>
  <c r="AN58" i="28"/>
  <c r="AN72" i="28"/>
  <c r="AU58" i="28"/>
  <c r="AU72" i="28"/>
  <c r="AE58" i="28"/>
  <c r="AE72" i="28"/>
  <c r="AN57" i="28"/>
  <c r="AN71" i="28"/>
  <c r="AU71" i="28"/>
  <c r="AU57" i="28"/>
  <c r="AE71" i="28"/>
  <c r="AE57" i="28"/>
  <c r="AL71" i="28"/>
  <c r="AL57" i="28"/>
  <c r="AS57" i="28"/>
  <c r="AS71" i="28"/>
  <c r="AC57" i="28"/>
  <c r="AC71" i="28"/>
  <c r="AL61" i="28"/>
  <c r="AL75" i="28"/>
  <c r="AS61" i="28"/>
  <c r="AS75" i="28"/>
  <c r="AC61" i="28"/>
  <c r="AC75" i="28"/>
  <c r="AN61" i="28"/>
  <c r="AN75" i="28"/>
  <c r="AU75" i="28"/>
  <c r="AU61" i="28"/>
  <c r="AE75" i="28"/>
  <c r="AE61" i="28"/>
  <c r="AL56" i="28"/>
  <c r="AL70" i="28"/>
  <c r="AS56" i="28"/>
  <c r="AS70" i="28"/>
  <c r="AC56" i="28"/>
  <c r="AC70" i="28"/>
  <c r="AN70" i="28"/>
  <c r="AN56" i="28"/>
  <c r="AU56" i="28"/>
  <c r="AU70" i="28"/>
  <c r="AE70" i="28"/>
  <c r="AE56" i="28"/>
  <c r="AN31" i="28"/>
  <c r="AF31" i="28"/>
  <c r="AL31" i="28"/>
  <c r="E31" i="28"/>
  <c r="T31" i="28"/>
  <c r="AK31" i="28"/>
  <c r="AS53" i="28"/>
  <c r="AS67" i="28"/>
  <c r="AE67" i="28"/>
  <c r="AE53" i="28"/>
  <c r="AF54" i="28"/>
  <c r="AF68" i="28"/>
  <c r="AS73" i="28"/>
  <c r="AS59" i="28"/>
  <c r="AE59" i="28"/>
  <c r="AE73" i="28"/>
  <c r="AW73" i="28"/>
  <c r="AW59" i="28"/>
  <c r="AZ53" i="28"/>
  <c r="AZ67" i="28"/>
  <c r="AH67" i="28"/>
  <c r="AH53" i="28"/>
  <c r="AH48" i="28" s="1"/>
  <c r="AY54" i="28"/>
  <c r="AY68" i="28"/>
  <c r="AZ59" i="28"/>
  <c r="AZ73" i="28"/>
  <c r="AH59" i="28"/>
  <c r="AH73" i="28"/>
  <c r="AK53" i="28"/>
  <c r="AK67" i="28"/>
  <c r="AT67" i="28"/>
  <c r="AT53" i="28"/>
  <c r="AN54" i="28"/>
  <c r="AN68" i="28"/>
  <c r="AK73" i="28"/>
  <c r="AK59" i="28"/>
  <c r="AT59" i="28"/>
  <c r="AT73" i="28"/>
  <c r="AG73" i="28"/>
  <c r="AG59" i="28"/>
  <c r="AG53" i="28"/>
  <c r="AG67" i="28"/>
  <c r="AP67" i="28"/>
  <c r="AP53" i="28"/>
  <c r="AQ54" i="28"/>
  <c r="AQ68" i="28"/>
  <c r="AC31" i="28"/>
  <c r="K62" i="28"/>
  <c r="K76" i="28"/>
  <c r="I76" i="28"/>
  <c r="I62" i="28"/>
  <c r="G62" i="28"/>
  <c r="G76" i="28"/>
  <c r="U45" i="28"/>
  <c r="R45" i="28"/>
  <c r="D62" i="28"/>
  <c r="D76" i="28"/>
  <c r="P62" i="28"/>
  <c r="P76" i="28"/>
  <c r="V56" i="28"/>
  <c r="V70" i="28"/>
  <c r="T56" i="28"/>
  <c r="T70" i="28"/>
  <c r="F52" i="28"/>
  <c r="F66" i="28"/>
  <c r="D52" i="28"/>
  <c r="D66" i="28"/>
  <c r="P45" i="28"/>
  <c r="Q56" i="28"/>
  <c r="Q70" i="28"/>
  <c r="R52" i="28"/>
  <c r="R66" i="28"/>
  <c r="G66" i="28"/>
  <c r="G52" i="28"/>
  <c r="G48" i="28" s="1"/>
  <c r="K70" i="28"/>
  <c r="K56" i="28"/>
  <c r="K66" i="28"/>
  <c r="K52" i="28"/>
  <c r="I51" i="28"/>
  <c r="I65" i="28"/>
  <c r="G51" i="28"/>
  <c r="G65" i="28"/>
  <c r="Y56" i="28"/>
  <c r="Y70" i="28"/>
  <c r="O70" i="28"/>
  <c r="O56" i="28"/>
  <c r="I52" i="28"/>
  <c r="I66" i="28"/>
  <c r="M51" i="28"/>
  <c r="M65" i="28"/>
  <c r="V75" i="28"/>
  <c r="V61" i="28"/>
  <c r="T61" i="28"/>
  <c r="T75" i="28"/>
  <c r="O59" i="28"/>
  <c r="O73" i="28"/>
  <c r="I57" i="28"/>
  <c r="I71" i="28"/>
  <c r="G57" i="28"/>
  <c r="G71" i="28"/>
  <c r="E59" i="28"/>
  <c r="E73" i="28"/>
  <c r="J59" i="28"/>
  <c r="J73" i="28"/>
  <c r="K57" i="28"/>
  <c r="K71" i="28"/>
  <c r="V31" i="28"/>
  <c r="AA74" i="28"/>
  <c r="AA60" i="28"/>
  <c r="H60" i="28"/>
  <c r="H74" i="28"/>
  <c r="F60" i="28"/>
  <c r="F74" i="28"/>
  <c r="D60" i="28"/>
  <c r="D74" i="28"/>
  <c r="O74" i="28"/>
  <c r="O60" i="28"/>
  <c r="P53" i="28"/>
  <c r="P67" i="28"/>
  <c r="N58" i="28"/>
  <c r="N72" i="28"/>
  <c r="W58" i="28"/>
  <c r="W72" i="28"/>
  <c r="L53" i="28"/>
  <c r="L67" i="28"/>
  <c r="J58" i="28"/>
  <c r="J72" i="28"/>
  <c r="H58" i="28"/>
  <c r="H72" i="28"/>
  <c r="I68" i="28"/>
  <c r="I54" i="28"/>
  <c r="V51" i="28"/>
  <c r="V65" i="28"/>
  <c r="T65" i="28"/>
  <c r="T51" i="28"/>
  <c r="M61" i="28"/>
  <c r="M75" i="28"/>
  <c r="F67" i="28"/>
  <c r="F53" i="28"/>
  <c r="R58" i="28"/>
  <c r="R72" i="28"/>
  <c r="F54" i="28"/>
  <c r="F68" i="28"/>
  <c r="W53" i="28"/>
  <c r="W67" i="28"/>
  <c r="O61" i="28"/>
  <c r="O75" i="28"/>
  <c r="O54" i="28"/>
  <c r="O68" i="28"/>
  <c r="Y59" i="28"/>
  <c r="Y73" i="28"/>
  <c r="AA59" i="28"/>
  <c r="AA73" i="28"/>
  <c r="D57" i="28"/>
  <c r="D71" i="28"/>
  <c r="R67" i="28"/>
  <c r="R53" i="28"/>
  <c r="R51" i="28"/>
  <c r="R48" i="28" s="1"/>
  <c r="R65" i="28"/>
  <c r="P57" i="28"/>
  <c r="P71" i="28"/>
  <c r="E72" i="28"/>
  <c r="E58" i="28"/>
  <c r="U68" i="28"/>
  <c r="U54" i="28"/>
  <c r="J54" i="28"/>
  <c r="J68" i="28"/>
  <c r="I61" i="28"/>
  <c r="I75" i="28"/>
  <c r="G61" i="28"/>
  <c r="G75" i="28"/>
  <c r="S51" i="28"/>
  <c r="S65" i="28"/>
  <c r="S58" i="28"/>
  <c r="S72" i="28"/>
  <c r="AU45" i="18"/>
  <c r="AO45" i="18"/>
  <c r="AW45" i="18"/>
  <c r="AT45" i="18"/>
  <c r="AT31" i="18"/>
  <c r="AV63" i="18"/>
  <c r="AP45" i="18"/>
  <c r="AQ45" i="18"/>
  <c r="AR45" i="18"/>
  <c r="AW70" i="37"/>
  <c r="AW56" i="37"/>
  <c r="AT52" i="37"/>
  <c r="AT66" i="37"/>
  <c r="AT71" i="37"/>
  <c r="AT57" i="37"/>
  <c r="AW64" i="37"/>
  <c r="AW50" i="37"/>
  <c r="AT73" i="37"/>
  <c r="AT59" i="37"/>
  <c r="AT56" i="37"/>
  <c r="AT70" i="37"/>
  <c r="AW66" i="37"/>
  <c r="AW52" i="37"/>
  <c r="AW57" i="37"/>
  <c r="AW71" i="37"/>
  <c r="AT50" i="37"/>
  <c r="AT64" i="37"/>
  <c r="AW59" i="37"/>
  <c r="AW73" i="37"/>
  <c r="AW45" i="37"/>
  <c r="AT65" i="37"/>
  <c r="AT51" i="37"/>
  <c r="AW61" i="37"/>
  <c r="AW48" i="37" s="1"/>
  <c r="AW75" i="37"/>
  <c r="AW63" i="37" s="1"/>
  <c r="AW72" i="37"/>
  <c r="AW58" i="37"/>
  <c r="AW53" i="37"/>
  <c r="AW67" i="37"/>
  <c r="AT69" i="37"/>
  <c r="AT55" i="37"/>
  <c r="AT60" i="37"/>
  <c r="AT74" i="37"/>
  <c r="AT31" i="37"/>
  <c r="AW68" i="37"/>
  <c r="AW54" i="37"/>
  <c r="AT45" i="37"/>
  <c r="AW76" i="37"/>
  <c r="AW62" i="37"/>
  <c r="AW51" i="37"/>
  <c r="AW65" i="37"/>
  <c r="AT75" i="37"/>
  <c r="AT61" i="37"/>
  <c r="AT58" i="37"/>
  <c r="AT72" i="37"/>
  <c r="AT67" i="37"/>
  <c r="AT53" i="37"/>
  <c r="AW55" i="37"/>
  <c r="AW69" i="37"/>
  <c r="AW74" i="37"/>
  <c r="AW60" i="37"/>
  <c r="AT54" i="37"/>
  <c r="AT68" i="37"/>
  <c r="AT62" i="37"/>
  <c r="AT76" i="37"/>
  <c r="AV48" i="18"/>
  <c r="AW71" i="18"/>
  <c r="AW57" i="18"/>
  <c r="AP57" i="18"/>
  <c r="AP71" i="18"/>
  <c r="AR76" i="18"/>
  <c r="AR62" i="18"/>
  <c r="AU76" i="18"/>
  <c r="AU62" i="18"/>
  <c r="AR64" i="18"/>
  <c r="AR50" i="18"/>
  <c r="AW64" i="18"/>
  <c r="AW50" i="18"/>
  <c r="AT69" i="18"/>
  <c r="AT55" i="18"/>
  <c r="AQ69" i="18"/>
  <c r="AQ55" i="18"/>
  <c r="AU65" i="18"/>
  <c r="AU51" i="18"/>
  <c r="AR65" i="18"/>
  <c r="AR51" i="18"/>
  <c r="AQ70" i="18"/>
  <c r="AQ56" i="18"/>
  <c r="AP70" i="18"/>
  <c r="AP56" i="18"/>
  <c r="AW75" i="18"/>
  <c r="AW61" i="18"/>
  <c r="AO75" i="18"/>
  <c r="AO61" i="18"/>
  <c r="AT66" i="18"/>
  <c r="AT52" i="18"/>
  <c r="AS66" i="18"/>
  <c r="AS52" i="18"/>
  <c r="AT72" i="18"/>
  <c r="AT58" i="18"/>
  <c r="AP72" i="18"/>
  <c r="AP58" i="18"/>
  <c r="AO31" i="18"/>
  <c r="AP31" i="18"/>
  <c r="AT74" i="18"/>
  <c r="AT60" i="18"/>
  <c r="AU74" i="18"/>
  <c r="AU60" i="18"/>
  <c r="AT68" i="18"/>
  <c r="AT54" i="18"/>
  <c r="AO68" i="18"/>
  <c r="AO54" i="18"/>
  <c r="AT73" i="18"/>
  <c r="AT59" i="18"/>
  <c r="AO73" i="18"/>
  <c r="AO59" i="18"/>
  <c r="AS67" i="18"/>
  <c r="AS53" i="18"/>
  <c r="AT67" i="18"/>
  <c r="AT53" i="18"/>
  <c r="AR71" i="18"/>
  <c r="AR57" i="18"/>
  <c r="AO71" i="18"/>
  <c r="AO57" i="18"/>
  <c r="AT76" i="18"/>
  <c r="AT62" i="18"/>
  <c r="AO76" i="18"/>
  <c r="AO62" i="18"/>
  <c r="AQ64" i="18"/>
  <c r="AQ50" i="18"/>
  <c r="AT64" i="18"/>
  <c r="AT50" i="18"/>
  <c r="AP55" i="18"/>
  <c r="AP69" i="18"/>
  <c r="AO69" i="18"/>
  <c r="AO55" i="18"/>
  <c r="AO65" i="18"/>
  <c r="AO51" i="18"/>
  <c r="AS65" i="18"/>
  <c r="AS51" i="18"/>
  <c r="AU70" i="18"/>
  <c r="AU56" i="18"/>
  <c r="AR70" i="18"/>
  <c r="AR56" i="18"/>
  <c r="AT75" i="18"/>
  <c r="AT61" i="18"/>
  <c r="AR75" i="18"/>
  <c r="AR63" i="18" s="1"/>
  <c r="AR61" i="18"/>
  <c r="AR48" i="18" s="1"/>
  <c r="AU66" i="18"/>
  <c r="AU52" i="18"/>
  <c r="AW66" i="18"/>
  <c r="AW52" i="18"/>
  <c r="AS58" i="18"/>
  <c r="AS72" i="18"/>
  <c r="AR72" i="18"/>
  <c r="AR58" i="18"/>
  <c r="AP74" i="18"/>
  <c r="AP60" i="18"/>
  <c r="AW60" i="18"/>
  <c r="AW74" i="18"/>
  <c r="AU68" i="18"/>
  <c r="AU54" i="18"/>
  <c r="AQ68" i="18"/>
  <c r="AQ54" i="18"/>
  <c r="AU73" i="18"/>
  <c r="AU59" i="18"/>
  <c r="AQ73" i="18"/>
  <c r="AQ59" i="18"/>
  <c r="AP53" i="18"/>
  <c r="AP67" i="18"/>
  <c r="AQ67" i="18"/>
  <c r="AQ53" i="18"/>
  <c r="AS71" i="18"/>
  <c r="AS57" i="18"/>
  <c r="AU71" i="18"/>
  <c r="AU57" i="18"/>
  <c r="AS62" i="18"/>
  <c r="AS76" i="18"/>
  <c r="AW62" i="18"/>
  <c r="AW76" i="18"/>
  <c r="AP64" i="18"/>
  <c r="AP50" i="18"/>
  <c r="AO64" i="18"/>
  <c r="AO50" i="18"/>
  <c r="AW69" i="18"/>
  <c r="AW55" i="18"/>
  <c r="AU69" i="18"/>
  <c r="AU55" i="18"/>
  <c r="AP51" i="18"/>
  <c r="AP65" i="18"/>
  <c r="AQ65" i="18"/>
  <c r="AQ51" i="18"/>
  <c r="AO70" i="18"/>
  <c r="AO56" i="18"/>
  <c r="AT70" i="18"/>
  <c r="AT56" i="18"/>
  <c r="AU75" i="18"/>
  <c r="AU61" i="18"/>
  <c r="AS75" i="18"/>
  <c r="AS63" i="18" s="1"/>
  <c r="AS61" i="18"/>
  <c r="AS48" i="18" s="1"/>
  <c r="AO66" i="18"/>
  <c r="AO52" i="18"/>
  <c r="AR66" i="18"/>
  <c r="AR52" i="18"/>
  <c r="AO72" i="18"/>
  <c r="AO58" i="18"/>
  <c r="AU72" i="18"/>
  <c r="AU58" i="18"/>
  <c r="AO74" i="18"/>
  <c r="AO60" i="18"/>
  <c r="AQ74" i="18"/>
  <c r="AQ60" i="18"/>
  <c r="AW54" i="18"/>
  <c r="AW68" i="18"/>
  <c r="AP68" i="18"/>
  <c r="AP54" i="18"/>
  <c r="AW73" i="18"/>
  <c r="AW59" i="18"/>
  <c r="AR73" i="18"/>
  <c r="AR59" i="18"/>
  <c r="AW67" i="18"/>
  <c r="AW53" i="18"/>
  <c r="AU67" i="18"/>
  <c r="AU53" i="18"/>
  <c r="AT71" i="18"/>
  <c r="AT57" i="18"/>
  <c r="AQ71" i="18"/>
  <c r="AQ57" i="18"/>
  <c r="AP76" i="18"/>
  <c r="AP62" i="18"/>
  <c r="AQ76" i="18"/>
  <c r="AQ62" i="18"/>
  <c r="AU64" i="18"/>
  <c r="AU50" i="18"/>
  <c r="AS50" i="18"/>
  <c r="AS64" i="18"/>
  <c r="AS69" i="18"/>
  <c r="AS55" i="18"/>
  <c r="AR69" i="18"/>
  <c r="AR55" i="18"/>
  <c r="AW65" i="18"/>
  <c r="AW51" i="18"/>
  <c r="AT65" i="18"/>
  <c r="AT51" i="18"/>
  <c r="AW56" i="18"/>
  <c r="AW70" i="18"/>
  <c r="AS56" i="18"/>
  <c r="AS70" i="18"/>
  <c r="AP61" i="18"/>
  <c r="AP75" i="18"/>
  <c r="AQ75" i="18"/>
  <c r="AQ61" i="18"/>
  <c r="AP66" i="18"/>
  <c r="AP52" i="18"/>
  <c r="AQ66" i="18"/>
  <c r="AQ52" i="18"/>
  <c r="AW58" i="18"/>
  <c r="AW72" i="18"/>
  <c r="AQ72" i="18"/>
  <c r="AQ58" i="18"/>
  <c r="AU31" i="18"/>
  <c r="AR74" i="18"/>
  <c r="AR60" i="18"/>
  <c r="AS60" i="18"/>
  <c r="AS74" i="18"/>
  <c r="AS68" i="18"/>
  <c r="AS54" i="18"/>
  <c r="AR68" i="18"/>
  <c r="AR54" i="18"/>
  <c r="AS73" i="18"/>
  <c r="AS59" i="18"/>
  <c r="AP59" i="18"/>
  <c r="AP73" i="18"/>
  <c r="AR67" i="18"/>
  <c r="AR53" i="18"/>
  <c r="AO67" i="18"/>
  <c r="AO53" i="18"/>
  <c r="C36" i="31"/>
  <c r="C33" i="31"/>
  <c r="C35" i="31"/>
  <c r="C34" i="31"/>
  <c r="C40" i="31"/>
  <c r="C39" i="31"/>
  <c r="C43" i="31"/>
  <c r="C44" i="31"/>
  <c r="C42" i="31"/>
  <c r="C37" i="31"/>
  <c r="C41" i="31"/>
  <c r="E38" i="31"/>
  <c r="E31" i="31" s="1"/>
  <c r="C2" i="31"/>
  <c r="BA2" i="31"/>
  <c r="CS2" i="18" s="1"/>
  <c r="CS38" i="18" s="1"/>
  <c r="D45" i="31"/>
  <c r="C45" i="31" s="1"/>
  <c r="C47" i="31"/>
  <c r="V38" i="31"/>
  <c r="V43" i="31"/>
  <c r="V34" i="31"/>
  <c r="V41" i="31"/>
  <c r="V36" i="31"/>
  <c r="V37" i="31"/>
  <c r="V39" i="31"/>
  <c r="V42" i="31"/>
  <c r="V33" i="31"/>
  <c r="D38" i="31"/>
  <c r="D31" i="31" s="1"/>
  <c r="V35" i="31"/>
  <c r="V44" i="31"/>
  <c r="V47" i="31"/>
  <c r="V45" i="31" s="1"/>
  <c r="V40" i="31"/>
  <c r="AB11" i="28"/>
  <c r="AB39" i="28" s="1"/>
  <c r="AB10" i="28"/>
  <c r="AB46" i="28" s="1"/>
  <c r="AB27" i="28"/>
  <c r="AB19" i="28"/>
  <c r="AB42" i="28" s="1"/>
  <c r="AB14" i="28"/>
  <c r="AB34" i="28" s="1"/>
  <c r="AB28" i="28"/>
  <c r="AB43" i="28" s="1"/>
  <c r="AB21" i="28"/>
  <c r="AB15" i="28"/>
  <c r="AB44" i="28" s="1"/>
  <c r="AB30" i="28"/>
  <c r="AB35" i="28" s="1"/>
  <c r="AB17" i="28"/>
  <c r="AB12" i="28"/>
  <c r="AB4" i="28"/>
  <c r="AB40" i="28" s="1"/>
  <c r="AB16" i="28"/>
  <c r="AB6" i="28"/>
  <c r="AB47" i="28" s="1"/>
  <c r="AB29" i="28"/>
  <c r="AB18" i="28"/>
  <c r="AB20" i="28"/>
  <c r="AB23" i="28"/>
  <c r="AB49" i="28" s="1"/>
  <c r="AB5" i="28"/>
  <c r="AB7" i="28"/>
  <c r="AB8" i="28"/>
  <c r="AB41" i="28" s="1"/>
  <c r="AB22" i="28"/>
  <c r="AB37" i="28" s="1"/>
  <c r="AB26" i="28"/>
  <c r="AB36" i="28" s="1"/>
  <c r="AB13" i="28"/>
  <c r="AB33" i="28" s="1"/>
  <c r="AB9" i="28"/>
  <c r="AB3" i="28"/>
  <c r="AB32" i="28" s="1"/>
  <c r="AA60" i="31"/>
  <c r="AA74" i="31"/>
  <c r="S74" i="31"/>
  <c r="S60" i="31"/>
  <c r="K60" i="31"/>
  <c r="K74" i="31"/>
  <c r="Z60" i="31"/>
  <c r="Z74" i="31"/>
  <c r="R60" i="31"/>
  <c r="R74" i="31"/>
  <c r="J60" i="31"/>
  <c r="J74" i="31"/>
  <c r="Y74" i="31"/>
  <c r="Y60" i="31"/>
  <c r="Q60" i="31"/>
  <c r="Q74" i="31"/>
  <c r="I74" i="31"/>
  <c r="I60" i="31"/>
  <c r="X74" i="31"/>
  <c r="X60" i="31"/>
  <c r="P74" i="31"/>
  <c r="P60" i="31"/>
  <c r="H74" i="31"/>
  <c r="H60" i="31"/>
  <c r="Y67" i="31"/>
  <c r="Y53" i="31"/>
  <c r="Q67" i="31"/>
  <c r="Q53" i="31"/>
  <c r="I67" i="31"/>
  <c r="I53" i="31"/>
  <c r="X67" i="31"/>
  <c r="X53" i="31"/>
  <c r="P67" i="31"/>
  <c r="P53" i="31"/>
  <c r="H67" i="31"/>
  <c r="H53" i="31"/>
  <c r="AA67" i="31"/>
  <c r="AA53" i="31"/>
  <c r="S53" i="31"/>
  <c r="S67" i="31"/>
  <c r="K67" i="31"/>
  <c r="K53" i="31"/>
  <c r="Z67" i="31"/>
  <c r="Z53" i="31"/>
  <c r="R67" i="31"/>
  <c r="R53" i="31"/>
  <c r="J67" i="31"/>
  <c r="J53" i="31"/>
  <c r="AA72" i="31"/>
  <c r="AA58" i="31"/>
  <c r="S72" i="31"/>
  <c r="S58" i="31"/>
  <c r="K58" i="31"/>
  <c r="K72" i="31"/>
  <c r="Y72" i="31"/>
  <c r="Y58" i="31"/>
  <c r="Q58" i="31"/>
  <c r="Q72" i="31"/>
  <c r="I72" i="31"/>
  <c r="I58" i="31"/>
  <c r="X72" i="31"/>
  <c r="X58" i="31"/>
  <c r="P72" i="31"/>
  <c r="P58" i="31"/>
  <c r="H72" i="31"/>
  <c r="H58" i="31"/>
  <c r="Y68" i="31"/>
  <c r="Y54" i="31"/>
  <c r="Q68" i="31"/>
  <c r="Q54" i="31"/>
  <c r="I68" i="31"/>
  <c r="I54" i="31"/>
  <c r="X68" i="31"/>
  <c r="X54" i="31"/>
  <c r="H68" i="31"/>
  <c r="H54" i="31"/>
  <c r="AA54" i="31"/>
  <c r="AA68" i="31"/>
  <c r="S68" i="31"/>
  <c r="S54" i="31"/>
  <c r="K54" i="31"/>
  <c r="K68" i="31"/>
  <c r="Z68" i="31"/>
  <c r="Z54" i="31"/>
  <c r="R68" i="31"/>
  <c r="R54" i="31"/>
  <c r="J54" i="31"/>
  <c r="J68" i="31"/>
  <c r="AA62" i="31"/>
  <c r="AA76" i="31"/>
  <c r="S76" i="31"/>
  <c r="S62" i="31"/>
  <c r="K62" i="31"/>
  <c r="K76" i="31"/>
  <c r="Z62" i="31"/>
  <c r="Z76" i="31"/>
  <c r="R62" i="31"/>
  <c r="R76" i="31"/>
  <c r="J62" i="31"/>
  <c r="J76" i="31"/>
  <c r="Y76" i="31"/>
  <c r="Y62" i="31"/>
  <c r="X76" i="31"/>
  <c r="X62" i="31"/>
  <c r="P76" i="31"/>
  <c r="P62" i="31"/>
  <c r="H76" i="31"/>
  <c r="H62" i="31"/>
  <c r="M76" i="31"/>
  <c r="M62" i="31"/>
  <c r="E62" i="31"/>
  <c r="E76" i="31"/>
  <c r="Y31" i="31"/>
  <c r="Q31" i="31"/>
  <c r="I31" i="31"/>
  <c r="AA31" i="31"/>
  <c r="S31" i="31"/>
  <c r="K31" i="31"/>
  <c r="Z31" i="31"/>
  <c r="R31" i="31"/>
  <c r="J31" i="31"/>
  <c r="AA56" i="31"/>
  <c r="AA70" i="31"/>
  <c r="S70" i="31"/>
  <c r="S56" i="31"/>
  <c r="K56" i="31"/>
  <c r="K70" i="31"/>
  <c r="Z56" i="31"/>
  <c r="Z70" i="31"/>
  <c r="R70" i="31"/>
  <c r="R56" i="31"/>
  <c r="J70" i="31"/>
  <c r="J56" i="31"/>
  <c r="Y70" i="31"/>
  <c r="Y56" i="31"/>
  <c r="Q70" i="31"/>
  <c r="Q56" i="31"/>
  <c r="I70" i="31"/>
  <c r="I56" i="31"/>
  <c r="X70" i="31"/>
  <c r="X56" i="31"/>
  <c r="P70" i="31"/>
  <c r="P56" i="31"/>
  <c r="H70" i="31"/>
  <c r="H56" i="31"/>
  <c r="AA52" i="31"/>
  <c r="AA66" i="31"/>
  <c r="S66" i="31"/>
  <c r="S52" i="31"/>
  <c r="K52" i="31"/>
  <c r="K66" i="31"/>
  <c r="Z66" i="31"/>
  <c r="Z52" i="31"/>
  <c r="R66" i="31"/>
  <c r="R52" i="31"/>
  <c r="J66" i="31"/>
  <c r="J52" i="31"/>
  <c r="Y66" i="31"/>
  <c r="Y52" i="31"/>
  <c r="Q66" i="31"/>
  <c r="Q52" i="31"/>
  <c r="I66" i="31"/>
  <c r="I52" i="31"/>
  <c r="X66" i="31"/>
  <c r="X52" i="31"/>
  <c r="P66" i="31"/>
  <c r="P52" i="31"/>
  <c r="H66" i="31"/>
  <c r="H52" i="31"/>
  <c r="AA65" i="31"/>
  <c r="AA51" i="31"/>
  <c r="S51" i="31"/>
  <c r="S65" i="31"/>
  <c r="K65" i="31"/>
  <c r="K51" i="31"/>
  <c r="Z65" i="31"/>
  <c r="Z51" i="31"/>
  <c r="R51" i="31"/>
  <c r="R65" i="31"/>
  <c r="J65" i="31"/>
  <c r="J51" i="31"/>
  <c r="Y65" i="31"/>
  <c r="Y51" i="31"/>
  <c r="Q65" i="31"/>
  <c r="Q51" i="31"/>
  <c r="I65" i="31"/>
  <c r="I51" i="31"/>
  <c r="X65" i="31"/>
  <c r="X51" i="31"/>
  <c r="P65" i="31"/>
  <c r="P51" i="31"/>
  <c r="H65" i="31"/>
  <c r="H51" i="31"/>
  <c r="AA75" i="31"/>
  <c r="AA61" i="31"/>
  <c r="S61" i="31"/>
  <c r="S75" i="31"/>
  <c r="K75" i="31"/>
  <c r="K61" i="31"/>
  <c r="Z61" i="31"/>
  <c r="Z75" i="31"/>
  <c r="R61" i="31"/>
  <c r="R75" i="31"/>
  <c r="J61" i="31"/>
  <c r="J75" i="31"/>
  <c r="Y61" i="31"/>
  <c r="Y75" i="31"/>
  <c r="Q75" i="31"/>
  <c r="Q61" i="31"/>
  <c r="I61" i="31"/>
  <c r="I75" i="31"/>
  <c r="X75" i="31"/>
  <c r="X61" i="31"/>
  <c r="P75" i="31"/>
  <c r="P61" i="31"/>
  <c r="H75" i="31"/>
  <c r="H61" i="31"/>
  <c r="Y59" i="31"/>
  <c r="Y73" i="31"/>
  <c r="I59" i="31"/>
  <c r="I73" i="31"/>
  <c r="X73" i="31"/>
  <c r="X59" i="31"/>
  <c r="P73" i="31"/>
  <c r="P59" i="31"/>
  <c r="H73" i="31"/>
  <c r="H59" i="31"/>
  <c r="AA73" i="31"/>
  <c r="AA59" i="31"/>
  <c r="S59" i="31"/>
  <c r="S73" i="31"/>
  <c r="K73" i="31"/>
  <c r="K59" i="31"/>
  <c r="Z59" i="31"/>
  <c r="Z73" i="31"/>
  <c r="R59" i="31"/>
  <c r="R73" i="31"/>
  <c r="J73" i="31"/>
  <c r="J59" i="31"/>
  <c r="AA71" i="31"/>
  <c r="AA57" i="31"/>
  <c r="S57" i="31"/>
  <c r="S71" i="31"/>
  <c r="K71" i="31"/>
  <c r="K57" i="31"/>
  <c r="Z71" i="31"/>
  <c r="Z57" i="31"/>
  <c r="R71" i="31"/>
  <c r="R57" i="31"/>
  <c r="J71" i="31"/>
  <c r="J57" i="31"/>
  <c r="Y71" i="31"/>
  <c r="Y57" i="31"/>
  <c r="Q71" i="31"/>
  <c r="Q57" i="31"/>
  <c r="I57" i="31"/>
  <c r="I71" i="31"/>
  <c r="X71" i="31"/>
  <c r="X57" i="31"/>
  <c r="P71" i="31"/>
  <c r="P57" i="31"/>
  <c r="H71" i="31"/>
  <c r="H57" i="31"/>
  <c r="Z72" i="31"/>
  <c r="Z58" i="31"/>
  <c r="R72" i="31"/>
  <c r="R58" i="31"/>
  <c r="J58" i="31"/>
  <c r="J72" i="31"/>
  <c r="P68" i="31"/>
  <c r="P54" i="31"/>
  <c r="X31" i="31"/>
  <c r="P31" i="31"/>
  <c r="H31" i="31"/>
  <c r="Q73" i="31"/>
  <c r="Q59" i="31"/>
  <c r="W74" i="31"/>
  <c r="W60" i="31"/>
  <c r="O74" i="31"/>
  <c r="O60" i="31"/>
  <c r="G74" i="31"/>
  <c r="G60" i="31"/>
  <c r="V60" i="31"/>
  <c r="V74" i="31"/>
  <c r="N74" i="31"/>
  <c r="N60" i="31"/>
  <c r="F60" i="31"/>
  <c r="F74" i="31"/>
  <c r="U60" i="31"/>
  <c r="U74" i="31"/>
  <c r="M74" i="31"/>
  <c r="M60" i="31"/>
  <c r="E60" i="31"/>
  <c r="E74" i="31"/>
  <c r="T74" i="31"/>
  <c r="T60" i="31"/>
  <c r="L74" i="31"/>
  <c r="L60" i="31"/>
  <c r="D74" i="31"/>
  <c r="D60" i="31"/>
  <c r="U67" i="31"/>
  <c r="U53" i="31"/>
  <c r="M53" i="31"/>
  <c r="M67" i="31"/>
  <c r="E67" i="31"/>
  <c r="E53" i="31"/>
  <c r="T67" i="31"/>
  <c r="T53" i="31"/>
  <c r="L67" i="31"/>
  <c r="L53" i="31"/>
  <c r="D67" i="31"/>
  <c r="D53" i="31"/>
  <c r="W53" i="31"/>
  <c r="W67" i="31"/>
  <c r="O67" i="31"/>
  <c r="O53" i="31"/>
  <c r="G67" i="31"/>
  <c r="G53" i="31"/>
  <c r="V67" i="31"/>
  <c r="V53" i="31"/>
  <c r="N67" i="31"/>
  <c r="N53" i="31"/>
  <c r="F67" i="31"/>
  <c r="F53" i="31"/>
  <c r="W72" i="31"/>
  <c r="W58" i="31"/>
  <c r="O72" i="31"/>
  <c r="O58" i="31"/>
  <c r="G72" i="31"/>
  <c r="G58" i="31"/>
  <c r="U58" i="31"/>
  <c r="U72" i="31"/>
  <c r="M72" i="31"/>
  <c r="M58" i="31"/>
  <c r="E72" i="31"/>
  <c r="E58" i="31"/>
  <c r="T72" i="31"/>
  <c r="T58" i="31"/>
  <c r="L72" i="31"/>
  <c r="L58" i="31"/>
  <c r="D72" i="31"/>
  <c r="D58" i="31"/>
  <c r="U68" i="31"/>
  <c r="U54" i="31"/>
  <c r="M68" i="31"/>
  <c r="M54" i="31"/>
  <c r="E68" i="31"/>
  <c r="E54" i="31"/>
  <c r="T68" i="31"/>
  <c r="T54" i="31"/>
  <c r="D68" i="31"/>
  <c r="D54" i="31"/>
  <c r="W68" i="31"/>
  <c r="W54" i="31"/>
  <c r="O68" i="31"/>
  <c r="O54" i="31"/>
  <c r="G68" i="31"/>
  <c r="G54" i="31"/>
  <c r="V68" i="31"/>
  <c r="V54" i="31"/>
  <c r="N68" i="31"/>
  <c r="N54" i="31"/>
  <c r="F68" i="31"/>
  <c r="F54" i="31"/>
  <c r="W76" i="31"/>
  <c r="W62" i="31"/>
  <c r="O76" i="31"/>
  <c r="O62" i="31"/>
  <c r="G76" i="31"/>
  <c r="G62" i="31"/>
  <c r="V62" i="31"/>
  <c r="V76" i="31"/>
  <c r="N76" i="31"/>
  <c r="N62" i="31"/>
  <c r="F62" i="31"/>
  <c r="F76" i="31"/>
  <c r="U62" i="31"/>
  <c r="U76" i="31"/>
  <c r="T76" i="31"/>
  <c r="T62" i="31"/>
  <c r="L76" i="31"/>
  <c r="L62" i="31"/>
  <c r="D76" i="31"/>
  <c r="D62" i="31"/>
  <c r="I76" i="31"/>
  <c r="I62" i="31"/>
  <c r="Q62" i="31"/>
  <c r="Q76" i="31"/>
  <c r="U31" i="31"/>
  <c r="M31" i="31"/>
  <c r="L31" i="31"/>
  <c r="W31" i="31"/>
  <c r="O31" i="31"/>
  <c r="G31" i="31"/>
  <c r="N31" i="31"/>
  <c r="W70" i="31"/>
  <c r="W56" i="31"/>
  <c r="O56" i="31"/>
  <c r="O70" i="31"/>
  <c r="G70" i="31"/>
  <c r="G56" i="31"/>
  <c r="V56" i="31"/>
  <c r="V70" i="31"/>
  <c r="N70" i="31"/>
  <c r="N56" i="31"/>
  <c r="F70" i="31"/>
  <c r="F56" i="31"/>
  <c r="U70" i="31"/>
  <c r="U56" i="31"/>
  <c r="M70" i="31"/>
  <c r="M56" i="31"/>
  <c r="E56" i="31"/>
  <c r="E70" i="31"/>
  <c r="T70" i="31"/>
  <c r="T56" i="31"/>
  <c r="L70" i="31"/>
  <c r="L56" i="31"/>
  <c r="D70" i="31"/>
  <c r="D56" i="31"/>
  <c r="W66" i="31"/>
  <c r="W52" i="31"/>
  <c r="O52" i="31"/>
  <c r="O66" i="31"/>
  <c r="G66" i="31"/>
  <c r="G52" i="31"/>
  <c r="V66" i="31"/>
  <c r="V52" i="31"/>
  <c r="N66" i="31"/>
  <c r="N52" i="31"/>
  <c r="F66" i="31"/>
  <c r="F52" i="31"/>
  <c r="U66" i="31"/>
  <c r="U52" i="31"/>
  <c r="M66" i="31"/>
  <c r="M52" i="31"/>
  <c r="E66" i="31"/>
  <c r="E52" i="31"/>
  <c r="T66" i="31"/>
  <c r="T52" i="31"/>
  <c r="L66" i="31"/>
  <c r="L52" i="31"/>
  <c r="D66" i="31"/>
  <c r="D52" i="31"/>
  <c r="W65" i="31"/>
  <c r="W51" i="31"/>
  <c r="O65" i="31"/>
  <c r="O51" i="31"/>
  <c r="G51" i="31"/>
  <c r="G65" i="31"/>
  <c r="V65" i="31"/>
  <c r="V51" i="31"/>
  <c r="N65" i="31"/>
  <c r="N51" i="31"/>
  <c r="F65" i="31"/>
  <c r="F51" i="31"/>
  <c r="U65" i="31"/>
  <c r="U51" i="31"/>
  <c r="M65" i="31"/>
  <c r="M51" i="31"/>
  <c r="E65" i="31"/>
  <c r="E51" i="31"/>
  <c r="T65" i="31"/>
  <c r="T51" i="31"/>
  <c r="L65" i="31"/>
  <c r="L51" i="31"/>
  <c r="D65" i="31"/>
  <c r="D51" i="31"/>
  <c r="W75" i="31"/>
  <c r="W61" i="31"/>
  <c r="O75" i="31"/>
  <c r="O61" i="31"/>
  <c r="G75" i="31"/>
  <c r="G61" i="31"/>
  <c r="V75" i="31"/>
  <c r="V61" i="31"/>
  <c r="N61" i="31"/>
  <c r="N75" i="31"/>
  <c r="F75" i="31"/>
  <c r="F61" i="31"/>
  <c r="U75" i="31"/>
  <c r="U61" i="31"/>
  <c r="M61" i="31"/>
  <c r="M75" i="31"/>
  <c r="E75" i="31"/>
  <c r="E61" i="31"/>
  <c r="T75" i="31"/>
  <c r="T61" i="31"/>
  <c r="L75" i="31"/>
  <c r="L61" i="31"/>
  <c r="D75" i="31"/>
  <c r="D61" i="31"/>
  <c r="U73" i="31"/>
  <c r="U59" i="31"/>
  <c r="E73" i="31"/>
  <c r="E59" i="31"/>
  <c r="T73" i="31"/>
  <c r="T59" i="31"/>
  <c r="L73" i="31"/>
  <c r="L59" i="31"/>
  <c r="D73" i="31"/>
  <c r="D59" i="31"/>
  <c r="W73" i="31"/>
  <c r="W59" i="31"/>
  <c r="O73" i="31"/>
  <c r="O59" i="31"/>
  <c r="G59" i="31"/>
  <c r="G73" i="31"/>
  <c r="V73" i="31"/>
  <c r="V59" i="31"/>
  <c r="N59" i="31"/>
  <c r="N73" i="31"/>
  <c r="F73" i="31"/>
  <c r="F59" i="31"/>
  <c r="W57" i="31"/>
  <c r="W71" i="31"/>
  <c r="O71" i="31"/>
  <c r="O57" i="31"/>
  <c r="G71" i="31"/>
  <c r="G57" i="31"/>
  <c r="V71" i="31"/>
  <c r="V57" i="31"/>
  <c r="N71" i="31"/>
  <c r="N57" i="31"/>
  <c r="F71" i="31"/>
  <c r="F57" i="31"/>
  <c r="U71" i="31"/>
  <c r="U57" i="31"/>
  <c r="M71" i="31"/>
  <c r="M57" i="31"/>
  <c r="E71" i="31"/>
  <c r="E57" i="31"/>
  <c r="T71" i="31"/>
  <c r="T57" i="31"/>
  <c r="L71" i="31"/>
  <c r="L57" i="31"/>
  <c r="D71" i="31"/>
  <c r="D57" i="31"/>
  <c r="BB43" i="31"/>
  <c r="BA43" i="31" s="1"/>
  <c r="BB35" i="31"/>
  <c r="BA35" i="31" s="1"/>
  <c r="BB44" i="31"/>
  <c r="BA44" i="31" s="1"/>
  <c r="BB39" i="31"/>
  <c r="BA39" i="31" s="1"/>
  <c r="BB42" i="31"/>
  <c r="BA42" i="31" s="1"/>
  <c r="BB33" i="31"/>
  <c r="BA33" i="31" s="1"/>
  <c r="V72" i="31"/>
  <c r="V58" i="31"/>
  <c r="N72" i="31"/>
  <c r="N58" i="31"/>
  <c r="F58" i="31"/>
  <c r="F72" i="31"/>
  <c r="CS16" i="18"/>
  <c r="BB34" i="31"/>
  <c r="BA34" i="31" s="1"/>
  <c r="L68" i="31"/>
  <c r="L54" i="31"/>
  <c r="T31" i="31"/>
  <c r="F31" i="31"/>
  <c r="BB36" i="31"/>
  <c r="BA36" i="31" s="1"/>
  <c r="BB37" i="31"/>
  <c r="BA37" i="31" s="1"/>
  <c r="BB47" i="31"/>
  <c r="M59" i="31"/>
  <c r="M73" i="31"/>
  <c r="AR20" i="5"/>
  <c r="AR17" i="5"/>
  <c r="AR18" i="5"/>
  <c r="BU31" i="31"/>
  <c r="BM31" i="31"/>
  <c r="BE31" i="31"/>
  <c r="BT31" i="31"/>
  <c r="BL31" i="31"/>
  <c r="BD31" i="31"/>
  <c r="BS31" i="31"/>
  <c r="BK31" i="31"/>
  <c r="BC31" i="31"/>
  <c r="BR31" i="31"/>
  <c r="BJ31" i="31"/>
  <c r="BY31" i="31"/>
  <c r="BQ31" i="31"/>
  <c r="BI31" i="31"/>
  <c r="BX31" i="31"/>
  <c r="BP31" i="31"/>
  <c r="BH31" i="31"/>
  <c r="BW31" i="31"/>
  <c r="BO31" i="31"/>
  <c r="BG31" i="31"/>
  <c r="BV31" i="31"/>
  <c r="BN31" i="31"/>
  <c r="BF31" i="31"/>
  <c r="BB40" i="31"/>
  <c r="BA40" i="31" s="1"/>
  <c r="BY74" i="31"/>
  <c r="BY60" i="31"/>
  <c r="BU74" i="31"/>
  <c r="BU60" i="31"/>
  <c r="BQ74" i="31"/>
  <c r="BQ60" i="31"/>
  <c r="BM74" i="31"/>
  <c r="BM60" i="31"/>
  <c r="BI74" i="31"/>
  <c r="BI60" i="31"/>
  <c r="BE74" i="31"/>
  <c r="BE60" i="31"/>
  <c r="BX74" i="31"/>
  <c r="BX60" i="31"/>
  <c r="BT74" i="31"/>
  <c r="BT60" i="31"/>
  <c r="BP74" i="31"/>
  <c r="BP60" i="31"/>
  <c r="BL74" i="31"/>
  <c r="BL60" i="31"/>
  <c r="BH74" i="31"/>
  <c r="BH60" i="31"/>
  <c r="BD74" i="31"/>
  <c r="BD60" i="31"/>
  <c r="BW74" i="31"/>
  <c r="BW60" i="31"/>
  <c r="BS60" i="31"/>
  <c r="BS74" i="31"/>
  <c r="BO74" i="31"/>
  <c r="BO60" i="31"/>
  <c r="BK60" i="31"/>
  <c r="BK74" i="31"/>
  <c r="BG74" i="31"/>
  <c r="BG60" i="31"/>
  <c r="BC60" i="31"/>
  <c r="BC74" i="31"/>
  <c r="BV74" i="31"/>
  <c r="BV60" i="31"/>
  <c r="BR74" i="31"/>
  <c r="BR60" i="31"/>
  <c r="BN74" i="31"/>
  <c r="BN60" i="31"/>
  <c r="BJ74" i="31"/>
  <c r="BJ60" i="31"/>
  <c r="BF74" i="31"/>
  <c r="BF60" i="31"/>
  <c r="BB74" i="31"/>
  <c r="BB60" i="31"/>
  <c r="BW67" i="31"/>
  <c r="BW53" i="31"/>
  <c r="BS67" i="31"/>
  <c r="BS53" i="31"/>
  <c r="BO67" i="31"/>
  <c r="BO53" i="31"/>
  <c r="BK67" i="31"/>
  <c r="BK53" i="31"/>
  <c r="BG53" i="31"/>
  <c r="BG67" i="31"/>
  <c r="BC67" i="31"/>
  <c r="BC53" i="31"/>
  <c r="BV67" i="31"/>
  <c r="BV53" i="31"/>
  <c r="BR67" i="31"/>
  <c r="BR53" i="31"/>
  <c r="BN67" i="31"/>
  <c r="BN53" i="31"/>
  <c r="BJ67" i="31"/>
  <c r="BJ53" i="31"/>
  <c r="BF67" i="31"/>
  <c r="BF53" i="31"/>
  <c r="BB67" i="31"/>
  <c r="BB53" i="31"/>
  <c r="BY67" i="31"/>
  <c r="BY53" i="31"/>
  <c r="BU67" i="31"/>
  <c r="BU53" i="31"/>
  <c r="BQ67" i="31"/>
  <c r="BQ53" i="31"/>
  <c r="BM67" i="31"/>
  <c r="BM53" i="31"/>
  <c r="BI67" i="31"/>
  <c r="BI53" i="31"/>
  <c r="BE67" i="31"/>
  <c r="BE53" i="31"/>
  <c r="BX53" i="31"/>
  <c r="BX67" i="31"/>
  <c r="BT67" i="31"/>
  <c r="BT53" i="31"/>
  <c r="BP67" i="31"/>
  <c r="BP53" i="31"/>
  <c r="BL67" i="31"/>
  <c r="BL53" i="31"/>
  <c r="BH67" i="31"/>
  <c r="BH53" i="31"/>
  <c r="BD67" i="31"/>
  <c r="BD53" i="31"/>
  <c r="BY72" i="31"/>
  <c r="BY58" i="31"/>
  <c r="BU72" i="31"/>
  <c r="BU58" i="31"/>
  <c r="BQ72" i="31"/>
  <c r="BQ58" i="31"/>
  <c r="BM72" i="31"/>
  <c r="BM58" i="31"/>
  <c r="BI72" i="31"/>
  <c r="BI58" i="31"/>
  <c r="BE72" i="31"/>
  <c r="BE58" i="31"/>
  <c r="BX72" i="31"/>
  <c r="BX58" i="31"/>
  <c r="BT72" i="31"/>
  <c r="BT58" i="31"/>
  <c r="BP72" i="31"/>
  <c r="BP58" i="31"/>
  <c r="BL72" i="31"/>
  <c r="BL58" i="31"/>
  <c r="BH72" i="31"/>
  <c r="BH58" i="31"/>
  <c r="BD72" i="31"/>
  <c r="BD58" i="31"/>
  <c r="BW58" i="31"/>
  <c r="BW72" i="31"/>
  <c r="BS72" i="31"/>
  <c r="BS58" i="31"/>
  <c r="BO58" i="31"/>
  <c r="BO72" i="31"/>
  <c r="BK72" i="31"/>
  <c r="BK58" i="31"/>
  <c r="BG58" i="31"/>
  <c r="BG72" i="31"/>
  <c r="BC72" i="31"/>
  <c r="BC58" i="31"/>
  <c r="BV72" i="31"/>
  <c r="BV58" i="31"/>
  <c r="BR72" i="31"/>
  <c r="BR58" i="31"/>
  <c r="BN72" i="31"/>
  <c r="BN58" i="31"/>
  <c r="BJ72" i="31"/>
  <c r="BJ58" i="31"/>
  <c r="BF72" i="31"/>
  <c r="BF58" i="31"/>
  <c r="BB72" i="31"/>
  <c r="BB58" i="31"/>
  <c r="BW68" i="31"/>
  <c r="BW54" i="31"/>
  <c r="BS68" i="31"/>
  <c r="BS54" i="31"/>
  <c r="BO68" i="31"/>
  <c r="BO54" i="31"/>
  <c r="BK68" i="31"/>
  <c r="BK54" i="31"/>
  <c r="BG68" i="31"/>
  <c r="BG54" i="31"/>
  <c r="BC68" i="31"/>
  <c r="BC54" i="31"/>
  <c r="BV68" i="31"/>
  <c r="BV54" i="31"/>
  <c r="BR68" i="31"/>
  <c r="BR54" i="31"/>
  <c r="BN68" i="31"/>
  <c r="BN54" i="31"/>
  <c r="BJ68" i="31"/>
  <c r="BJ54" i="31"/>
  <c r="BF68" i="31"/>
  <c r="BF54" i="31"/>
  <c r="BB68" i="31"/>
  <c r="BB54" i="31"/>
  <c r="BY68" i="31"/>
  <c r="BY54" i="31"/>
  <c r="BU54" i="31"/>
  <c r="BU68" i="31"/>
  <c r="BQ68" i="31"/>
  <c r="BQ54" i="31"/>
  <c r="BM68" i="31"/>
  <c r="BM54" i="31"/>
  <c r="BI68" i="31"/>
  <c r="BI54" i="31"/>
  <c r="BE68" i="31"/>
  <c r="BE54" i="31"/>
  <c r="BX68" i="31"/>
  <c r="BX54" i="31"/>
  <c r="BT68" i="31"/>
  <c r="BT54" i="31"/>
  <c r="BP68" i="31"/>
  <c r="BP54" i="31"/>
  <c r="BL68" i="31"/>
  <c r="BL54" i="31"/>
  <c r="BH68" i="31"/>
  <c r="BH54" i="31"/>
  <c r="BD68" i="31"/>
  <c r="BD54" i="31"/>
  <c r="BY76" i="31"/>
  <c r="BY62" i="31"/>
  <c r="BU76" i="31"/>
  <c r="BU62" i="31"/>
  <c r="BQ76" i="31"/>
  <c r="BQ62" i="31"/>
  <c r="BM76" i="31"/>
  <c r="BM62" i="31"/>
  <c r="BI76" i="31"/>
  <c r="BI62" i="31"/>
  <c r="BE76" i="31"/>
  <c r="BE62" i="31"/>
  <c r="BX76" i="31"/>
  <c r="BX62" i="31"/>
  <c r="BT62" i="31"/>
  <c r="BT76" i="31"/>
  <c r="BP76" i="31"/>
  <c r="BP62" i="31"/>
  <c r="BL76" i="31"/>
  <c r="BL62" i="31"/>
  <c r="BH76" i="31"/>
  <c r="BH62" i="31"/>
  <c r="BD62" i="31"/>
  <c r="BD76" i="31"/>
  <c r="BW62" i="31"/>
  <c r="BW76" i="31"/>
  <c r="BS76" i="31"/>
  <c r="BS62" i="31"/>
  <c r="BV76" i="31"/>
  <c r="BV62" i="31"/>
  <c r="BR76" i="31"/>
  <c r="BR62" i="31"/>
  <c r="BN76" i="31"/>
  <c r="BN62" i="31"/>
  <c r="BJ76" i="31"/>
  <c r="BJ62" i="31"/>
  <c r="BF76" i="31"/>
  <c r="BF62" i="31"/>
  <c r="BB76" i="31"/>
  <c r="BB62" i="31"/>
  <c r="BK76" i="31"/>
  <c r="BK62" i="31"/>
  <c r="BG62" i="31"/>
  <c r="BG76" i="31"/>
  <c r="BC76" i="31"/>
  <c r="BC62" i="31"/>
  <c r="BO62" i="31"/>
  <c r="BO76" i="31"/>
  <c r="BB38" i="31"/>
  <c r="BA38" i="31" s="1"/>
  <c r="BB41" i="31"/>
  <c r="BA41" i="31" s="1"/>
  <c r="BY70" i="31"/>
  <c r="BY56" i="31"/>
  <c r="BU70" i="31"/>
  <c r="BU56" i="31"/>
  <c r="BQ70" i="31"/>
  <c r="BQ56" i="31"/>
  <c r="BM70" i="31"/>
  <c r="BM56" i="31"/>
  <c r="BI70" i="31"/>
  <c r="BI56" i="31"/>
  <c r="BE70" i="31"/>
  <c r="BE56" i="31"/>
  <c r="BX70" i="31"/>
  <c r="BX56" i="31"/>
  <c r="BT70" i="31"/>
  <c r="BT56" i="31"/>
  <c r="BP70" i="31"/>
  <c r="BP56" i="31"/>
  <c r="BL70" i="31"/>
  <c r="BL56" i="31"/>
  <c r="BH70" i="31"/>
  <c r="BH56" i="31"/>
  <c r="BD70" i="31"/>
  <c r="BD56" i="31"/>
  <c r="BW70" i="31"/>
  <c r="BW56" i="31"/>
  <c r="BS56" i="31"/>
  <c r="BS70" i="31"/>
  <c r="BO70" i="31"/>
  <c r="BO56" i="31"/>
  <c r="BK56" i="31"/>
  <c r="BK70" i="31"/>
  <c r="BG70" i="31"/>
  <c r="BG56" i="31"/>
  <c r="BC56" i="31"/>
  <c r="BC70" i="31"/>
  <c r="BV70" i="31"/>
  <c r="BV56" i="31"/>
  <c r="BR70" i="31"/>
  <c r="BR56" i="31"/>
  <c r="BN70" i="31"/>
  <c r="BN56" i="31"/>
  <c r="BJ70" i="31"/>
  <c r="BJ56" i="31"/>
  <c r="BF70" i="31"/>
  <c r="BF56" i="31"/>
  <c r="BB70" i="31"/>
  <c r="BB56" i="31"/>
  <c r="BY52" i="31"/>
  <c r="BY66" i="31"/>
  <c r="BU66" i="31"/>
  <c r="BU52" i="31"/>
  <c r="BQ66" i="31"/>
  <c r="BQ52" i="31"/>
  <c r="BM66" i="31"/>
  <c r="BM52" i="31"/>
  <c r="BI66" i="31"/>
  <c r="BI52" i="31"/>
  <c r="BE66" i="31"/>
  <c r="BE52" i="31"/>
  <c r="BX66" i="31"/>
  <c r="BX52" i="31"/>
  <c r="BT66" i="31"/>
  <c r="BT52" i="31"/>
  <c r="BP66" i="31"/>
  <c r="BP52" i="31"/>
  <c r="BL52" i="31"/>
  <c r="BL66" i="31"/>
  <c r="BH66" i="31"/>
  <c r="BH52" i="31"/>
  <c r="BD66" i="31"/>
  <c r="BD52" i="31"/>
  <c r="BW66" i="31"/>
  <c r="BW52" i="31"/>
  <c r="BS66" i="31"/>
  <c r="BS52" i="31"/>
  <c r="BO66" i="31"/>
  <c r="BO52" i="31"/>
  <c r="BK66" i="31"/>
  <c r="BK52" i="31"/>
  <c r="BG66" i="31"/>
  <c r="BG52" i="31"/>
  <c r="BC66" i="31"/>
  <c r="BC52" i="31"/>
  <c r="BV66" i="31"/>
  <c r="BV52" i="31"/>
  <c r="BR66" i="31"/>
  <c r="BR52" i="31"/>
  <c r="BN66" i="31"/>
  <c r="BN52" i="31"/>
  <c r="BJ66" i="31"/>
  <c r="BJ52" i="31"/>
  <c r="BF66" i="31"/>
  <c r="BF52" i="31"/>
  <c r="BB66" i="31"/>
  <c r="BB52" i="31"/>
  <c r="BY65" i="31"/>
  <c r="BY51" i="31"/>
  <c r="BU65" i="31"/>
  <c r="BU51" i="31"/>
  <c r="BQ65" i="31"/>
  <c r="BQ51" i="31"/>
  <c r="BM65" i="31"/>
  <c r="BM51" i="31"/>
  <c r="BI65" i="31"/>
  <c r="BI51" i="31"/>
  <c r="BE65" i="31"/>
  <c r="BE51" i="31"/>
  <c r="BX65" i="31"/>
  <c r="BX51" i="31"/>
  <c r="BT65" i="31"/>
  <c r="BT51" i="31"/>
  <c r="BP65" i="31"/>
  <c r="BP51" i="31"/>
  <c r="BL65" i="31"/>
  <c r="BL51" i="31"/>
  <c r="BH65" i="31"/>
  <c r="BH51" i="31"/>
  <c r="BD65" i="31"/>
  <c r="BD51" i="31"/>
  <c r="BW51" i="31"/>
  <c r="BW65" i="31"/>
  <c r="BS51" i="31"/>
  <c r="BS65" i="31"/>
  <c r="BO65" i="31"/>
  <c r="BO51" i="31"/>
  <c r="BK65" i="31"/>
  <c r="BK51" i="31"/>
  <c r="BG51" i="31"/>
  <c r="BG65" i="31"/>
  <c r="BC65" i="31"/>
  <c r="BC51" i="31"/>
  <c r="BV65" i="31"/>
  <c r="BV51" i="31"/>
  <c r="BR65" i="31"/>
  <c r="BR51" i="31"/>
  <c r="BN51" i="31"/>
  <c r="BN65" i="31"/>
  <c r="BJ65" i="31"/>
  <c r="BJ51" i="31"/>
  <c r="BF51" i="31"/>
  <c r="BF65" i="31"/>
  <c r="BB65" i="31"/>
  <c r="BB51" i="31"/>
  <c r="BY61" i="31"/>
  <c r="BY75" i="31"/>
  <c r="BU75" i="31"/>
  <c r="BU61" i="31"/>
  <c r="BQ61" i="31"/>
  <c r="BQ75" i="31"/>
  <c r="BM75" i="31"/>
  <c r="BM61" i="31"/>
  <c r="BI61" i="31"/>
  <c r="BI75" i="31"/>
  <c r="BE75" i="31"/>
  <c r="BE61" i="31"/>
  <c r="BX75" i="31"/>
  <c r="BX61" i="31"/>
  <c r="BT75" i="31"/>
  <c r="BT61" i="31"/>
  <c r="BP75" i="31"/>
  <c r="BP61" i="31"/>
  <c r="BL75" i="31"/>
  <c r="BL61" i="31"/>
  <c r="BH75" i="31"/>
  <c r="BH61" i="31"/>
  <c r="BD75" i="31"/>
  <c r="BD61" i="31"/>
  <c r="BW75" i="31"/>
  <c r="BW61" i="31"/>
  <c r="BS75" i="31"/>
  <c r="BS61" i="31"/>
  <c r="BO75" i="31"/>
  <c r="BO61" i="31"/>
  <c r="BK75" i="31"/>
  <c r="BK61" i="31"/>
  <c r="BG75" i="31"/>
  <c r="BG61" i="31"/>
  <c r="BC75" i="31"/>
  <c r="BC61" i="31"/>
  <c r="BV75" i="31"/>
  <c r="BV61" i="31"/>
  <c r="BR75" i="31"/>
  <c r="BR61" i="31"/>
  <c r="BN75" i="31"/>
  <c r="BN61" i="31"/>
  <c r="BJ75" i="31"/>
  <c r="BJ61" i="31"/>
  <c r="BF75" i="31"/>
  <c r="BF61" i="31"/>
  <c r="BB75" i="31"/>
  <c r="BB61" i="31"/>
  <c r="BW73" i="31"/>
  <c r="BW59" i="31"/>
  <c r="BS73" i="31"/>
  <c r="BS59" i="31"/>
  <c r="BO73" i="31"/>
  <c r="BO59" i="31"/>
  <c r="BK73" i="31"/>
  <c r="BK59" i="31"/>
  <c r="BG73" i="31"/>
  <c r="BG59" i="31"/>
  <c r="BC73" i="31"/>
  <c r="BC59" i="31"/>
  <c r="BV73" i="31"/>
  <c r="BV59" i="31"/>
  <c r="BR73" i="31"/>
  <c r="BR59" i="31"/>
  <c r="BN73" i="31"/>
  <c r="BN59" i="31"/>
  <c r="BJ73" i="31"/>
  <c r="BJ59" i="31"/>
  <c r="BF73" i="31"/>
  <c r="BF59" i="31"/>
  <c r="BB73" i="31"/>
  <c r="BB59" i="31"/>
  <c r="BY73" i="31"/>
  <c r="BY59" i="31"/>
  <c r="BU59" i="31"/>
  <c r="BU73" i="31"/>
  <c r="BQ73" i="31"/>
  <c r="BQ59" i="31"/>
  <c r="BM59" i="31"/>
  <c r="BM73" i="31"/>
  <c r="BI73" i="31"/>
  <c r="BI59" i="31"/>
  <c r="BE59" i="31"/>
  <c r="BE73" i="31"/>
  <c r="BX73" i="31"/>
  <c r="BX59" i="31"/>
  <c r="BT73" i="31"/>
  <c r="BT59" i="31"/>
  <c r="BP73" i="31"/>
  <c r="BP59" i="31"/>
  <c r="BL73" i="31"/>
  <c r="BL59" i="31"/>
  <c r="BH73" i="31"/>
  <c r="BH59" i="31"/>
  <c r="BD73" i="31"/>
  <c r="BD59" i="31"/>
  <c r="BY57" i="31"/>
  <c r="BY71" i="31"/>
  <c r="BU71" i="31"/>
  <c r="BU57" i="31"/>
  <c r="BQ57" i="31"/>
  <c r="BQ71" i="31"/>
  <c r="BM71" i="31"/>
  <c r="BM57" i="31"/>
  <c r="BI57" i="31"/>
  <c r="BI71" i="31"/>
  <c r="BE71" i="31"/>
  <c r="BE57" i="31"/>
  <c r="BX71" i="31"/>
  <c r="BX57" i="31"/>
  <c r="BT71" i="31"/>
  <c r="BT57" i="31"/>
  <c r="BP71" i="31"/>
  <c r="BP57" i="31"/>
  <c r="BL71" i="31"/>
  <c r="BL57" i="31"/>
  <c r="BH71" i="31"/>
  <c r="BH57" i="31"/>
  <c r="BD71" i="31"/>
  <c r="BD57" i="31"/>
  <c r="BW71" i="31"/>
  <c r="BW57" i="31"/>
  <c r="BS71" i="31"/>
  <c r="BS57" i="31"/>
  <c r="BO71" i="31"/>
  <c r="BO57" i="31"/>
  <c r="BK71" i="31"/>
  <c r="BK57" i="31"/>
  <c r="BG71" i="31"/>
  <c r="BG57" i="31"/>
  <c r="BC71" i="31"/>
  <c r="BC57" i="31"/>
  <c r="BV71" i="31"/>
  <c r="BV57" i="31"/>
  <c r="BR71" i="31"/>
  <c r="BR57" i="31"/>
  <c r="BN57" i="31"/>
  <c r="BN71" i="31"/>
  <c r="BJ71" i="31"/>
  <c r="BJ57" i="31"/>
  <c r="BF71" i="31"/>
  <c r="BF57" i="31"/>
  <c r="BB71" i="31"/>
  <c r="BB57" i="31"/>
  <c r="CS27" i="18"/>
  <c r="CS18" i="18"/>
  <c r="C5" i="28"/>
  <c r="C16" i="28"/>
  <c r="C28" i="28"/>
  <c r="C4" i="28"/>
  <c r="C14" i="28"/>
  <c r="BG30" i="18"/>
  <c r="BE30" i="18"/>
  <c r="BJ30" i="18"/>
  <c r="BC30" i="18"/>
  <c r="BD30" i="18"/>
  <c r="BH30" i="18"/>
  <c r="BK30" i="18"/>
  <c r="BF30" i="18"/>
  <c r="BI30" i="18"/>
  <c r="BH29" i="18"/>
  <c r="BJ29" i="18"/>
  <c r="BK29" i="18"/>
  <c r="BF29" i="18"/>
  <c r="BG29" i="18"/>
  <c r="BE29" i="18"/>
  <c r="BD29" i="18"/>
  <c r="BC29" i="18"/>
  <c r="BI29" i="18"/>
  <c r="BI28" i="18"/>
  <c r="BF28" i="18"/>
  <c r="BK28" i="18"/>
  <c r="BG28" i="18"/>
  <c r="BJ28" i="18"/>
  <c r="BE28" i="18"/>
  <c r="BD28" i="18"/>
  <c r="BC28" i="18"/>
  <c r="BH28" i="18"/>
  <c r="BJ27" i="18"/>
  <c r="BG27" i="18"/>
  <c r="BD27" i="18"/>
  <c r="BF27" i="18"/>
  <c r="BH27" i="18"/>
  <c r="BK27" i="18"/>
  <c r="BE27" i="18"/>
  <c r="BI27" i="18"/>
  <c r="BC27" i="18"/>
  <c r="BG26" i="18"/>
  <c r="BJ26" i="18"/>
  <c r="BE26" i="18"/>
  <c r="BD26" i="18"/>
  <c r="BK26" i="18"/>
  <c r="BI26" i="18"/>
  <c r="BF26" i="18"/>
  <c r="BC26" i="18"/>
  <c r="BH26" i="18"/>
  <c r="BI25" i="18"/>
  <c r="BF25" i="18"/>
  <c r="BE25" i="18"/>
  <c r="BJ25" i="18"/>
  <c r="BD25" i="18"/>
  <c r="BG25" i="18"/>
  <c r="BK25" i="18"/>
  <c r="BH25" i="18"/>
  <c r="BC25" i="18"/>
  <c r="BD24" i="18"/>
  <c r="BK24" i="18"/>
  <c r="BG24" i="18"/>
  <c r="BH24" i="18"/>
  <c r="BJ24" i="18"/>
  <c r="BC24" i="18"/>
  <c r="BI24" i="18"/>
  <c r="BF24" i="18"/>
  <c r="BE24" i="18"/>
  <c r="BJ23" i="18"/>
  <c r="BD23" i="18"/>
  <c r="BI23" i="18"/>
  <c r="BF23" i="18"/>
  <c r="BK23" i="18"/>
  <c r="BC23" i="18"/>
  <c r="BE23" i="18"/>
  <c r="BG23" i="18"/>
  <c r="BH23" i="18"/>
  <c r="BE22" i="18"/>
  <c r="BF22" i="18"/>
  <c r="BI22" i="18"/>
  <c r="BC22" i="18"/>
  <c r="BH22" i="18"/>
  <c r="BK22" i="18"/>
  <c r="BG22" i="18"/>
  <c r="BD22" i="18"/>
  <c r="BJ22" i="18"/>
  <c r="BJ21" i="18"/>
  <c r="BK21" i="18"/>
  <c r="BI21" i="18"/>
  <c r="BC21" i="18"/>
  <c r="BD21" i="18"/>
  <c r="BH21" i="18"/>
  <c r="BF21" i="18"/>
  <c r="BG21" i="18"/>
  <c r="BE21" i="18"/>
  <c r="BI20" i="18"/>
  <c r="BC20" i="18"/>
  <c r="BK20" i="18"/>
  <c r="BE20" i="18"/>
  <c r="BF20" i="18"/>
  <c r="BH20" i="18"/>
  <c r="BG20" i="18"/>
  <c r="BD20" i="18"/>
  <c r="BJ20" i="18"/>
  <c r="BK19" i="18"/>
  <c r="BJ19" i="18"/>
  <c r="BC19" i="18"/>
  <c r="BI19" i="18"/>
  <c r="BD19" i="18"/>
  <c r="BH19" i="18"/>
  <c r="BF19" i="18"/>
  <c r="BG19" i="18"/>
  <c r="BE19" i="18"/>
  <c r="BJ18" i="18"/>
  <c r="BK18" i="18"/>
  <c r="BH18" i="18"/>
  <c r="BI18" i="18"/>
  <c r="BD18" i="18"/>
  <c r="BC18" i="18"/>
  <c r="BF18" i="18"/>
  <c r="BG18" i="18"/>
  <c r="BE18" i="18"/>
  <c r="BC17" i="18"/>
  <c r="BJ17" i="18"/>
  <c r="BD17" i="18"/>
  <c r="BH17" i="18"/>
  <c r="BI17" i="18"/>
  <c r="BF17" i="18"/>
  <c r="BE17" i="18"/>
  <c r="BG17" i="18"/>
  <c r="BK17" i="18"/>
  <c r="BH16" i="18"/>
  <c r="BG16" i="18"/>
  <c r="BC16" i="18"/>
  <c r="BK16" i="18"/>
  <c r="BD16" i="18"/>
  <c r="BJ16" i="18"/>
  <c r="BF16" i="18"/>
  <c r="BI16" i="18"/>
  <c r="BE16" i="18"/>
  <c r="BD15" i="18"/>
  <c r="BH15" i="18"/>
  <c r="BC15" i="18"/>
  <c r="BJ15" i="18"/>
  <c r="BE15" i="18"/>
  <c r="BI15" i="18"/>
  <c r="BF15" i="18"/>
  <c r="BG15" i="18"/>
  <c r="BK15" i="18"/>
  <c r="BK14" i="18"/>
  <c r="BG14" i="18"/>
  <c r="BC14" i="18"/>
  <c r="BD14" i="18"/>
  <c r="BH14" i="18"/>
  <c r="BJ14" i="18"/>
  <c r="BF14" i="18"/>
  <c r="BI14" i="18"/>
  <c r="BE14" i="18"/>
  <c r="BG13" i="18"/>
  <c r="BK13" i="18"/>
  <c r="BF13" i="18"/>
  <c r="BC13" i="18"/>
  <c r="BE13" i="18"/>
  <c r="BH13" i="18"/>
  <c r="BI13" i="18"/>
  <c r="BJ13" i="18"/>
  <c r="BD13" i="18"/>
  <c r="BD12" i="18"/>
  <c r="BJ12" i="18"/>
  <c r="BC12" i="18"/>
  <c r="BF12" i="18"/>
  <c r="BH12" i="18"/>
  <c r="BK12" i="18"/>
  <c r="BE12" i="18"/>
  <c r="BG12" i="18"/>
  <c r="BI12" i="18"/>
  <c r="BK11" i="18"/>
  <c r="BJ11" i="18"/>
  <c r="BG11" i="18"/>
  <c r="BH11" i="18"/>
  <c r="BD11" i="18"/>
  <c r="BC11" i="18"/>
  <c r="BE11" i="18"/>
  <c r="BF11" i="18"/>
  <c r="BI11" i="18"/>
  <c r="BE10" i="18"/>
  <c r="BI10" i="18"/>
  <c r="BF10" i="18"/>
  <c r="BK10" i="18"/>
  <c r="BG10" i="18"/>
  <c r="BD10" i="18"/>
  <c r="BC10" i="18"/>
  <c r="BJ10" i="18"/>
  <c r="BH10" i="18"/>
  <c r="BK9" i="18"/>
  <c r="BG9" i="18"/>
  <c r="BH9" i="18"/>
  <c r="BI9" i="18"/>
  <c r="BD9" i="18"/>
  <c r="BF9" i="18"/>
  <c r="BJ9" i="18"/>
  <c r="BC9" i="18"/>
  <c r="BE9" i="18"/>
  <c r="BI8" i="18"/>
  <c r="BF8" i="18"/>
  <c r="BE8" i="18"/>
  <c r="BC8" i="18"/>
  <c r="BJ8" i="18"/>
  <c r="BK8" i="18"/>
  <c r="BG8" i="18"/>
  <c r="BD8" i="18"/>
  <c r="BH8" i="18"/>
  <c r="BK7" i="18"/>
  <c r="BG7" i="18"/>
  <c r="BJ7" i="18"/>
  <c r="BH7" i="18"/>
  <c r="BI7" i="18"/>
  <c r="BF7" i="18"/>
  <c r="BD7" i="18"/>
  <c r="BC7" i="18"/>
  <c r="BE7" i="18"/>
  <c r="BC6" i="18"/>
  <c r="BH6" i="18"/>
  <c r="BD6" i="18"/>
  <c r="BJ6" i="18"/>
  <c r="BF6" i="18"/>
  <c r="BI6" i="18"/>
  <c r="BG6" i="18"/>
  <c r="BK6" i="18"/>
  <c r="BE6" i="18"/>
  <c r="BJ5" i="18"/>
  <c r="BD5" i="18"/>
  <c r="BK5" i="18"/>
  <c r="BF5" i="18"/>
  <c r="BG5" i="18"/>
  <c r="BE5" i="18"/>
  <c r="BI5" i="18"/>
  <c r="BC5" i="18"/>
  <c r="BH5" i="18"/>
  <c r="BE4" i="18"/>
  <c r="BI4" i="18"/>
  <c r="BF4" i="18"/>
  <c r="BK4" i="18"/>
  <c r="BG4" i="18"/>
  <c r="BD4" i="18"/>
  <c r="BJ4" i="18"/>
  <c r="BC4" i="18"/>
  <c r="BH4" i="18"/>
  <c r="BE2" i="18"/>
  <c r="BJ2" i="18"/>
  <c r="BF2" i="18"/>
  <c r="BD2" i="18"/>
  <c r="BI2" i="18"/>
  <c r="BK2" i="18"/>
  <c r="BH2" i="18"/>
  <c r="BG2" i="18"/>
  <c r="BC2" i="18"/>
  <c r="CS20" i="18"/>
  <c r="C19" i="28"/>
  <c r="C11" i="28"/>
  <c r="C9" i="28"/>
  <c r="AR28" i="5"/>
  <c r="AR43" i="5" s="1"/>
  <c r="AR30" i="5"/>
  <c r="AR35" i="5" s="1"/>
  <c r="AR11" i="5"/>
  <c r="AR39" i="5" s="1"/>
  <c r="AR27" i="5"/>
  <c r="AR26" i="5"/>
  <c r="AR36" i="5" s="1"/>
  <c r="C13" i="28"/>
  <c r="C30" i="28"/>
  <c r="C12" i="28"/>
  <c r="C15" i="28"/>
  <c r="AR12" i="5"/>
  <c r="AR5" i="5"/>
  <c r="CS15" i="18"/>
  <c r="CS44" i="18" s="1"/>
  <c r="CS12" i="18"/>
  <c r="CS19" i="18"/>
  <c r="CS42" i="18" s="1"/>
  <c r="CS5" i="18"/>
  <c r="AR9" i="5"/>
  <c r="CS14" i="18"/>
  <c r="CS34" i="18" s="1"/>
  <c r="CS9" i="18"/>
  <c r="AR2" i="5"/>
  <c r="AR38" i="5" s="1"/>
  <c r="AR8" i="5"/>
  <c r="AR41" i="5" s="1"/>
  <c r="AR22" i="5"/>
  <c r="AR37" i="5" s="1"/>
  <c r="CS8" i="18"/>
  <c r="CS41" i="18" s="1"/>
  <c r="CS26" i="18"/>
  <c r="CS36" i="18" s="1"/>
  <c r="CS22" i="18"/>
  <c r="CS37" i="18" s="1"/>
  <c r="CS17" i="18"/>
  <c r="AR21" i="5"/>
  <c r="CS6" i="18"/>
  <c r="CS47" i="18" s="1"/>
  <c r="CS45" i="18" s="1"/>
  <c r="CS21" i="18"/>
  <c r="AR7" i="5"/>
  <c r="AR29" i="5"/>
  <c r="CS7" i="18"/>
  <c r="CS29" i="18"/>
  <c r="C23" i="28"/>
  <c r="C10" i="28"/>
  <c r="C21" i="28"/>
  <c r="C29" i="28"/>
  <c r="C20" i="28"/>
  <c r="C22" i="28"/>
  <c r="C2" i="28"/>
  <c r="C38" i="28" s="1"/>
  <c r="C7" i="28"/>
  <c r="C27" i="28"/>
  <c r="C8" i="28"/>
  <c r="C17" i="28"/>
  <c r="C26" i="28"/>
  <c r="C6" i="28"/>
  <c r="C18" i="28"/>
  <c r="AR3" i="5"/>
  <c r="AR32" i="5" s="1"/>
  <c r="AB2" i="28"/>
  <c r="AB38" i="28" s="1"/>
  <c r="C3" i="28"/>
  <c r="C32" i="28" s="1"/>
  <c r="K9" i="2"/>
  <c r="AF3" i="17"/>
  <c r="AF32" i="17" s="1"/>
  <c r="AU48" i="28" l="1"/>
  <c r="S48" i="28"/>
  <c r="AG48" i="28"/>
  <c r="AN48" i="28"/>
  <c r="AK48" i="28"/>
  <c r="AE48" i="28"/>
  <c r="O48" i="28"/>
  <c r="J48" i="28"/>
  <c r="D48" i="28"/>
  <c r="AM48" i="28"/>
  <c r="R63" i="28"/>
  <c r="W48" i="28"/>
  <c r="V48" i="28"/>
  <c r="F48" i="28"/>
  <c r="AT48" i="28"/>
  <c r="N48" i="28"/>
  <c r="Y48" i="28"/>
  <c r="AA48" i="28"/>
  <c r="L48" i="28"/>
  <c r="AJ48" i="28"/>
  <c r="AR48" i="28"/>
  <c r="AO48" i="28"/>
  <c r="AI48" i="28"/>
  <c r="AP48" i="28"/>
  <c r="H48" i="28"/>
  <c r="N63" i="28"/>
  <c r="AB45" i="28"/>
  <c r="T48" i="28"/>
  <c r="AS48" i="28"/>
  <c r="AY48" i="28"/>
  <c r="K48" i="28"/>
  <c r="Z48" i="28"/>
  <c r="P48" i="28"/>
  <c r="X48" i="28"/>
  <c r="AF48" i="28"/>
  <c r="AB48" i="28" s="1"/>
  <c r="AQ48" i="28"/>
  <c r="AW48" i="28"/>
  <c r="T26" i="4"/>
  <c r="C36" i="28"/>
  <c r="T7" i="4"/>
  <c r="C59" i="28"/>
  <c r="C73" i="28"/>
  <c r="T9" i="4"/>
  <c r="C54" i="28"/>
  <c r="C68" i="28"/>
  <c r="T17" i="4"/>
  <c r="C66" i="28"/>
  <c r="C52" i="28"/>
  <c r="T30" i="4"/>
  <c r="C35" i="28"/>
  <c r="T4" i="4"/>
  <c r="C40" i="28"/>
  <c r="AB54" i="28"/>
  <c r="AB68" i="28"/>
  <c r="AB70" i="28"/>
  <c r="AB56" i="28"/>
  <c r="AB58" i="28"/>
  <c r="AB72" i="28"/>
  <c r="I63" i="28"/>
  <c r="AE63" i="28"/>
  <c r="C45" i="28"/>
  <c r="W63" i="28"/>
  <c r="Y63" i="28"/>
  <c r="AI63" i="28"/>
  <c r="P63" i="28"/>
  <c r="U63" i="28"/>
  <c r="AR63" i="28"/>
  <c r="AJ63" i="28"/>
  <c r="AC63" i="28"/>
  <c r="Q63" i="28"/>
  <c r="D63" i="28"/>
  <c r="L63" i="28"/>
  <c r="AB31" i="28"/>
  <c r="C31" i="28"/>
  <c r="AG63" i="28"/>
  <c r="AK63" i="28"/>
  <c r="T29" i="4"/>
  <c r="C57" i="28"/>
  <c r="C71" i="28"/>
  <c r="T14" i="4"/>
  <c r="C34" i="28"/>
  <c r="T21" i="4"/>
  <c r="C51" i="28"/>
  <c r="C65" i="28"/>
  <c r="T11" i="4"/>
  <c r="C39" i="28"/>
  <c r="T18" i="4"/>
  <c r="C61" i="28"/>
  <c r="C75" i="28"/>
  <c r="T8" i="4"/>
  <c r="C41" i="28"/>
  <c r="T22" i="4"/>
  <c r="C37" i="28"/>
  <c r="T10" i="4"/>
  <c r="C46" i="28"/>
  <c r="T13" i="4"/>
  <c r="C33" i="28"/>
  <c r="T19" i="4"/>
  <c r="C42" i="28"/>
  <c r="T28" i="4"/>
  <c r="C43" i="28"/>
  <c r="AB73" i="28"/>
  <c r="AB59" i="28"/>
  <c r="AB61" i="28"/>
  <c r="AB75" i="28"/>
  <c r="S63" i="28"/>
  <c r="F63" i="28"/>
  <c r="T63" i="28"/>
  <c r="I48" i="28"/>
  <c r="E63" i="28"/>
  <c r="E48" i="28"/>
  <c r="AN63" i="28"/>
  <c r="AF63" i="28"/>
  <c r="AQ63" i="28"/>
  <c r="AZ63" i="28"/>
  <c r="AT63" i="28"/>
  <c r="AL63" i="28"/>
  <c r="AU63" i="28"/>
  <c r="AV63" i="28"/>
  <c r="T12" i="4"/>
  <c r="C74" i="28"/>
  <c r="C60" i="28"/>
  <c r="T6" i="4"/>
  <c r="C47" i="28"/>
  <c r="T27" i="4"/>
  <c r="C62" i="28"/>
  <c r="C76" i="28"/>
  <c r="T20" i="4"/>
  <c r="C70" i="28"/>
  <c r="C56" i="28"/>
  <c r="T23" i="4"/>
  <c r="C49" i="28"/>
  <c r="T15" i="4"/>
  <c r="C44" i="28"/>
  <c r="T16" i="4"/>
  <c r="C58" i="28"/>
  <c r="C72" i="28"/>
  <c r="AB53" i="28"/>
  <c r="AB67" i="28"/>
  <c r="AB57" i="28"/>
  <c r="AB71" i="28"/>
  <c r="AB74" i="28"/>
  <c r="AB60" i="28"/>
  <c r="AB65" i="28"/>
  <c r="AB51" i="28"/>
  <c r="AB62" i="28"/>
  <c r="AB76" i="28"/>
  <c r="M63" i="28"/>
  <c r="G63" i="28"/>
  <c r="AY63" i="28"/>
  <c r="J63" i="28"/>
  <c r="Z63" i="28"/>
  <c r="V63" i="28"/>
  <c r="AA63" i="28"/>
  <c r="K63" i="28"/>
  <c r="O63" i="28"/>
  <c r="AS63" i="28"/>
  <c r="X63" i="28"/>
  <c r="Q48" i="28"/>
  <c r="U48" i="28"/>
  <c r="AW63" i="28"/>
  <c r="AM63" i="28"/>
  <c r="T5" i="4"/>
  <c r="C53" i="28"/>
  <c r="C67" i="28"/>
  <c r="AB66" i="28"/>
  <c r="AB52" i="28"/>
  <c r="AO63" i="28"/>
  <c r="H63" i="28"/>
  <c r="M48" i="28"/>
  <c r="AD63" i="28"/>
  <c r="AX63" i="28"/>
  <c r="AP63" i="28"/>
  <c r="AH63" i="28"/>
  <c r="T3" i="4"/>
  <c r="AQ48" i="18"/>
  <c r="AT48" i="18"/>
  <c r="AU63" i="18"/>
  <c r="AQ63" i="18"/>
  <c r="AW63" i="18"/>
  <c r="AT63" i="18"/>
  <c r="AT48" i="37"/>
  <c r="AT63" i="37"/>
  <c r="AP48" i="18"/>
  <c r="AO48" i="18"/>
  <c r="CS66" i="18"/>
  <c r="CS52" i="18"/>
  <c r="CS53" i="18"/>
  <c r="CS67" i="18"/>
  <c r="CS76" i="18"/>
  <c r="CS62" i="18"/>
  <c r="CS72" i="18"/>
  <c r="CS58" i="18"/>
  <c r="AO63" i="18"/>
  <c r="CS73" i="18"/>
  <c r="CS59" i="18"/>
  <c r="AU48" i="18"/>
  <c r="CS68" i="18"/>
  <c r="CS54" i="18"/>
  <c r="CS74" i="18"/>
  <c r="CS60" i="18"/>
  <c r="CS70" i="18"/>
  <c r="CS56" i="18"/>
  <c r="CS71" i="18"/>
  <c r="CS57" i="18"/>
  <c r="CS65" i="18"/>
  <c r="CS51" i="18"/>
  <c r="CS75" i="18"/>
  <c r="CS61" i="18"/>
  <c r="AP63" i="18"/>
  <c r="AW48" i="18"/>
  <c r="BA57" i="31"/>
  <c r="BA59" i="31"/>
  <c r="BA61" i="31"/>
  <c r="BA51" i="31"/>
  <c r="C31" i="31"/>
  <c r="C61" i="31"/>
  <c r="C53" i="31"/>
  <c r="C76" i="31"/>
  <c r="C68" i="31"/>
  <c r="C74" i="31"/>
  <c r="C38" i="31"/>
  <c r="C51" i="31"/>
  <c r="C52" i="31"/>
  <c r="C56" i="31"/>
  <c r="C62" i="31"/>
  <c r="C54" i="31"/>
  <c r="C60" i="31"/>
  <c r="BA76" i="31"/>
  <c r="BA68" i="31"/>
  <c r="BA72" i="31"/>
  <c r="BA67" i="31"/>
  <c r="BA74" i="31"/>
  <c r="C75" i="31"/>
  <c r="C65" i="31"/>
  <c r="C66" i="31"/>
  <c r="C70" i="31"/>
  <c r="C67" i="31"/>
  <c r="BA56" i="31"/>
  <c r="BA52" i="31"/>
  <c r="C57" i="31"/>
  <c r="C59" i="31"/>
  <c r="C58" i="31"/>
  <c r="BA71" i="31"/>
  <c r="BA73" i="31"/>
  <c r="BA75" i="31"/>
  <c r="BA65" i="31"/>
  <c r="BA66" i="31"/>
  <c r="BA70" i="31"/>
  <c r="BB45" i="31"/>
  <c r="BA45" i="31" s="1"/>
  <c r="BA47" i="31"/>
  <c r="C71" i="31"/>
  <c r="C73" i="31"/>
  <c r="C72" i="31"/>
  <c r="BA62" i="31"/>
  <c r="BA54" i="31"/>
  <c r="BA58" i="31"/>
  <c r="BA53" i="31"/>
  <c r="BA60" i="31"/>
  <c r="AP32" i="17"/>
  <c r="AF31" i="17"/>
  <c r="AG3" i="17"/>
  <c r="AG32" i="17" s="1"/>
  <c r="AG29" i="17"/>
  <c r="AG25" i="17"/>
  <c r="AG23" i="17"/>
  <c r="AG21" i="17"/>
  <c r="AG19" i="17"/>
  <c r="AG18" i="17"/>
  <c r="AG14" i="17"/>
  <c r="AG9" i="17"/>
  <c r="AG5" i="17"/>
  <c r="AG30" i="17"/>
  <c r="AG28" i="17"/>
  <c r="AG27" i="17"/>
  <c r="AG22" i="17"/>
  <c r="AG10" i="17"/>
  <c r="AG8" i="17"/>
  <c r="AG4" i="17"/>
  <c r="AG16" i="17"/>
  <c r="AG13" i="17"/>
  <c r="AG7" i="17"/>
  <c r="AG2" i="17"/>
  <c r="AG26" i="17"/>
  <c r="AG24" i="17"/>
  <c r="AG20" i="17"/>
  <c r="AG17" i="17"/>
  <c r="AG15" i="17"/>
  <c r="AG12" i="17"/>
  <c r="AG11" i="17"/>
  <c r="AG6" i="17"/>
  <c r="T75" i="4"/>
  <c r="T61" i="4"/>
  <c r="T66" i="4"/>
  <c r="T52" i="4"/>
  <c r="T76" i="4"/>
  <c r="T62" i="4"/>
  <c r="T56" i="4"/>
  <c r="T71" i="4"/>
  <c r="T57" i="4"/>
  <c r="T65" i="4"/>
  <c r="T51" i="4"/>
  <c r="T68" i="4"/>
  <c r="T54" i="4"/>
  <c r="T72" i="4"/>
  <c r="T58" i="4"/>
  <c r="T67" i="4"/>
  <c r="T53" i="4"/>
  <c r="AS5" i="5"/>
  <c r="D5" i="20" s="1"/>
  <c r="AR67" i="5"/>
  <c r="AS67" i="5" s="1"/>
  <c r="AR53" i="5"/>
  <c r="AS53" i="5" s="1"/>
  <c r="AS17" i="5"/>
  <c r="D17" i="20" s="1"/>
  <c r="AR66" i="5"/>
  <c r="AR52" i="5"/>
  <c r="AS9" i="5"/>
  <c r="D9" i="20" s="1"/>
  <c r="AR68" i="5"/>
  <c r="AS68" i="5" s="1"/>
  <c r="AR54" i="5"/>
  <c r="AS54" i="5" s="1"/>
  <c r="AS29" i="5"/>
  <c r="D29" i="20" s="1"/>
  <c r="AR71" i="5"/>
  <c r="AS71" i="5" s="1"/>
  <c r="AR57" i="5"/>
  <c r="AS57" i="5" s="1"/>
  <c r="AS7" i="5"/>
  <c r="D7" i="20" s="1"/>
  <c r="AR73" i="5"/>
  <c r="AS73" i="5" s="1"/>
  <c r="AR59" i="5"/>
  <c r="AS59" i="5" s="1"/>
  <c r="AS20" i="5"/>
  <c r="D20" i="20" s="1"/>
  <c r="AR70" i="5"/>
  <c r="AS70" i="5" s="1"/>
  <c r="AR56" i="5"/>
  <c r="AS56" i="5" s="1"/>
  <c r="AS21" i="5"/>
  <c r="D21" i="20" s="1"/>
  <c r="AR65" i="5"/>
  <c r="AS65" i="5" s="1"/>
  <c r="AR51" i="5"/>
  <c r="AS51" i="5" s="1"/>
  <c r="AS12" i="5"/>
  <c r="D12" i="20" s="1"/>
  <c r="AR60" i="5"/>
  <c r="AS60" i="5" s="1"/>
  <c r="AR74" i="5"/>
  <c r="AS74" i="5" s="1"/>
  <c r="AS27" i="5"/>
  <c r="D27" i="20" s="1"/>
  <c r="AR76" i="5"/>
  <c r="AS76" i="5" s="1"/>
  <c r="AR62" i="5"/>
  <c r="AS62" i="5" s="1"/>
  <c r="AS18" i="5"/>
  <c r="D18" i="20" s="1"/>
  <c r="AR75" i="5"/>
  <c r="AS75" i="5" s="1"/>
  <c r="AR61" i="5"/>
  <c r="AS61" i="5" s="1"/>
  <c r="AS39" i="5"/>
  <c r="AS11" i="5"/>
  <c r="D11" i="20" s="1"/>
  <c r="AS43" i="5"/>
  <c r="AS28" i="5"/>
  <c r="D28" i="20" s="1"/>
  <c r="AS32" i="5"/>
  <c r="AS3" i="5"/>
  <c r="D3" i="20" s="1"/>
  <c r="AS38" i="5"/>
  <c r="AS2" i="5"/>
  <c r="D2" i="20" s="1"/>
  <c r="AS35" i="5"/>
  <c r="AS30" i="5"/>
  <c r="D30" i="20" s="1"/>
  <c r="AS37" i="5"/>
  <c r="AS22" i="5"/>
  <c r="D22" i="20" s="1"/>
  <c r="AS36" i="5"/>
  <c r="AS26" i="5"/>
  <c r="D26" i="20" s="1"/>
  <c r="AS41" i="5"/>
  <c r="AS8" i="5"/>
  <c r="D8" i="20" s="1"/>
  <c r="V31" i="31"/>
  <c r="T2" i="4"/>
  <c r="CS30" i="18"/>
  <c r="CS35" i="18" s="1"/>
  <c r="AR13" i="5"/>
  <c r="AR33" i="5" s="1"/>
  <c r="AR15" i="5"/>
  <c r="AR44" i="5" s="1"/>
  <c r="AR4" i="5"/>
  <c r="AR40" i="5" s="1"/>
  <c r="CS4" i="18"/>
  <c r="CS40" i="18" s="1"/>
  <c r="AR19" i="5"/>
  <c r="AR42" i="5" s="1"/>
  <c r="AR6" i="5"/>
  <c r="D63" i="31"/>
  <c r="T63" i="31"/>
  <c r="M63" i="31"/>
  <c r="F63" i="31"/>
  <c r="V63" i="31"/>
  <c r="O63" i="31"/>
  <c r="H63" i="31"/>
  <c r="X63" i="31"/>
  <c r="Q63" i="31"/>
  <c r="J63" i="31"/>
  <c r="Z63" i="31"/>
  <c r="S48" i="31"/>
  <c r="L48" i="31"/>
  <c r="E48" i="31"/>
  <c r="U48" i="31"/>
  <c r="N48" i="31"/>
  <c r="G63" i="31"/>
  <c r="W48" i="31"/>
  <c r="P48" i="31"/>
  <c r="I48" i="31"/>
  <c r="Y48" i="31"/>
  <c r="R63" i="31"/>
  <c r="K48" i="31"/>
  <c r="AA48" i="31"/>
  <c r="L63" i="31"/>
  <c r="E63" i="31"/>
  <c r="U63" i="31"/>
  <c r="N63" i="31"/>
  <c r="G48" i="31"/>
  <c r="W63" i="31"/>
  <c r="P63" i="31"/>
  <c r="I63" i="31"/>
  <c r="Y63" i="31"/>
  <c r="R48" i="31"/>
  <c r="K63" i="31"/>
  <c r="AA63" i="31"/>
  <c r="D48" i="31"/>
  <c r="T48" i="31"/>
  <c r="M48" i="31"/>
  <c r="F48" i="31"/>
  <c r="V48" i="31"/>
  <c r="O48" i="31"/>
  <c r="H48" i="31"/>
  <c r="X48" i="31"/>
  <c r="Q48" i="31"/>
  <c r="J48" i="31"/>
  <c r="Z48" i="31"/>
  <c r="S63" i="31"/>
  <c r="AR14" i="5"/>
  <c r="AR34" i="5" s="1"/>
  <c r="AR16" i="5"/>
  <c r="CS11" i="18"/>
  <c r="CS39" i="18" s="1"/>
  <c r="CS13" i="18"/>
  <c r="CS33" i="18" s="1"/>
  <c r="CS31" i="18" s="1"/>
  <c r="CS28" i="18"/>
  <c r="CS43" i="18" s="1"/>
  <c r="BB31" i="31"/>
  <c r="BA31" i="31" s="1"/>
  <c r="BB48" i="31"/>
  <c r="BF63" i="31"/>
  <c r="BJ48" i="31"/>
  <c r="BN63" i="31"/>
  <c r="BR48" i="31"/>
  <c r="BV48" i="31"/>
  <c r="BC48" i="31"/>
  <c r="BG63" i="31"/>
  <c r="BK48" i="31"/>
  <c r="BO48" i="31"/>
  <c r="BS63" i="31"/>
  <c r="BW63" i="31"/>
  <c r="BD48" i="31"/>
  <c r="BH48" i="31"/>
  <c r="BL48" i="31"/>
  <c r="BP48" i="31"/>
  <c r="BT48" i="31"/>
  <c r="BX48" i="31"/>
  <c r="BE48" i="31"/>
  <c r="BI48" i="31"/>
  <c r="BM48" i="31"/>
  <c r="BQ48" i="31"/>
  <c r="BU48" i="31"/>
  <c r="BY48" i="31"/>
  <c r="BB63" i="31"/>
  <c r="BF48" i="31"/>
  <c r="BJ63" i="31"/>
  <c r="BN48" i="31"/>
  <c r="BR63" i="31"/>
  <c r="BV63" i="31"/>
  <c r="BC63" i="31"/>
  <c r="BG48" i="31"/>
  <c r="BK63" i="31"/>
  <c r="BO63" i="31"/>
  <c r="BS48" i="31"/>
  <c r="BW48" i="31"/>
  <c r="BD63" i="31"/>
  <c r="BH63" i="31"/>
  <c r="BL63" i="31"/>
  <c r="BP63" i="31"/>
  <c r="BT63" i="31"/>
  <c r="BX63" i="31"/>
  <c r="BE63" i="31"/>
  <c r="BI63" i="31"/>
  <c r="BM63" i="31"/>
  <c r="BQ63" i="31"/>
  <c r="BU63" i="31"/>
  <c r="BY63" i="31"/>
  <c r="T32" i="4"/>
  <c r="DG7" i="18"/>
  <c r="DR7" i="18" s="1"/>
  <c r="DG18" i="18"/>
  <c r="DR18" i="18" s="1"/>
  <c r="DG6" i="18"/>
  <c r="DR6" i="18" s="1"/>
  <c r="DR47" i="18" s="1"/>
  <c r="DR45" i="18" s="1"/>
  <c r="DG20" i="18"/>
  <c r="DR20" i="18" s="1"/>
  <c r="DG8" i="18"/>
  <c r="DR8" i="18" s="1"/>
  <c r="DR41" i="18" s="1"/>
  <c r="DG29" i="18"/>
  <c r="DR29" i="18" s="1"/>
  <c r="DG5" i="18"/>
  <c r="DR5" i="18" s="1"/>
  <c r="DG15" i="18"/>
  <c r="DR15" i="18" s="1"/>
  <c r="DR44" i="18" s="1"/>
  <c r="DG16" i="18"/>
  <c r="DR16" i="18" s="1"/>
  <c r="DG21" i="18"/>
  <c r="DR21" i="18" s="1"/>
  <c r="DG22" i="18"/>
  <c r="DR22" i="18" s="1"/>
  <c r="DR37" i="18" s="1"/>
  <c r="DG26" i="18"/>
  <c r="DR26" i="18" s="1"/>
  <c r="DR36" i="18" s="1"/>
  <c r="DG9" i="18"/>
  <c r="DR9" i="18" s="1"/>
  <c r="DG14" i="18"/>
  <c r="DR14" i="18" s="1"/>
  <c r="DR34" i="18" s="1"/>
  <c r="DG2" i="18"/>
  <c r="DR2" i="18" s="1"/>
  <c r="DR38" i="18" s="1"/>
  <c r="DG12" i="18"/>
  <c r="DR12" i="18" s="1"/>
  <c r="DG17" i="18"/>
  <c r="DR17" i="18" s="1"/>
  <c r="DG27" i="18"/>
  <c r="DR27" i="18" s="1"/>
  <c r="DG19" i="18"/>
  <c r="DR19" i="18" s="1"/>
  <c r="DR42" i="18" s="1"/>
  <c r="AH6" i="17"/>
  <c r="AH47" i="17" s="1"/>
  <c r="AR47" i="17" s="1"/>
  <c r="AH4" i="17"/>
  <c r="AH40" i="17" s="1"/>
  <c r="AR40" i="17" s="1"/>
  <c r="AH12" i="17"/>
  <c r="AH28" i="17"/>
  <c r="AH43" i="17" s="1"/>
  <c r="AR43" i="17" s="1"/>
  <c r="AH27" i="17"/>
  <c r="AH7" i="17"/>
  <c r="AH8" i="17"/>
  <c r="AH41" i="17" s="1"/>
  <c r="AR41" i="17" s="1"/>
  <c r="AH16" i="17"/>
  <c r="AH5" i="17"/>
  <c r="AH13" i="17"/>
  <c r="AH33" i="17" s="1"/>
  <c r="AR33" i="17" s="1"/>
  <c r="AH22" i="17"/>
  <c r="AH37" i="17" s="1"/>
  <c r="AR37" i="17" s="1"/>
  <c r="AH29" i="17"/>
  <c r="AH23" i="17"/>
  <c r="AH49" i="17" s="1"/>
  <c r="AH18" i="17"/>
  <c r="AH2" i="17"/>
  <c r="AH38" i="17" s="1"/>
  <c r="AR38" i="17" s="1"/>
  <c r="AH15" i="17"/>
  <c r="AH44" i="17" s="1"/>
  <c r="AR44" i="17" s="1"/>
  <c r="AH14" i="17"/>
  <c r="AH34" i="17" s="1"/>
  <c r="AR34" i="17" s="1"/>
  <c r="AH10" i="17"/>
  <c r="AH46" i="17" s="1"/>
  <c r="AH9" i="17"/>
  <c r="AH20" i="17"/>
  <c r="AH30" i="17"/>
  <c r="AH35" i="17" s="1"/>
  <c r="AR35" i="17" s="1"/>
  <c r="AH21" i="17"/>
  <c r="AH19" i="17"/>
  <c r="AH42" i="17" s="1"/>
  <c r="AR42" i="17" s="1"/>
  <c r="AH17" i="17"/>
  <c r="AH11" i="17"/>
  <c r="AH39" i="17" s="1"/>
  <c r="AR39" i="17" s="1"/>
  <c r="AH26" i="17"/>
  <c r="AH36" i="17" s="1"/>
  <c r="AR36" i="17" s="1"/>
  <c r="AP3" i="17"/>
  <c r="AQ3" i="17"/>
  <c r="DG3" i="18"/>
  <c r="DR3" i="18" s="1"/>
  <c r="DR32" i="18" s="1"/>
  <c r="AH3" i="17"/>
  <c r="AH32" i="17" s="1"/>
  <c r="H9" i="2"/>
  <c r="T70" i="4" l="1"/>
  <c r="C48" i="28"/>
  <c r="T60" i="4"/>
  <c r="T59" i="4"/>
  <c r="T74" i="4"/>
  <c r="T73" i="4"/>
  <c r="T63" i="4" s="1"/>
  <c r="C63" i="28"/>
  <c r="AB63" i="28"/>
  <c r="F5" i="20"/>
  <c r="D53" i="20"/>
  <c r="F53" i="20" s="1"/>
  <c r="D67" i="20"/>
  <c r="F67" i="20" s="1"/>
  <c r="F26" i="20"/>
  <c r="D36" i="20"/>
  <c r="F36" i="20" s="1"/>
  <c r="F30" i="20"/>
  <c r="D35" i="20"/>
  <c r="F35" i="20" s="1"/>
  <c r="D32" i="20"/>
  <c r="F32" i="20" s="1"/>
  <c r="F3" i="20"/>
  <c r="D39" i="20"/>
  <c r="F39" i="20" s="1"/>
  <c r="F11" i="20"/>
  <c r="F18" i="20"/>
  <c r="D75" i="20"/>
  <c r="F75" i="20" s="1"/>
  <c r="D61" i="20"/>
  <c r="F61" i="20" s="1"/>
  <c r="D70" i="20"/>
  <c r="F70" i="20" s="1"/>
  <c r="F20" i="20"/>
  <c r="D56" i="20"/>
  <c r="F56" i="20" s="1"/>
  <c r="F17" i="20"/>
  <c r="D66" i="20"/>
  <c r="F66" i="20" s="1"/>
  <c r="D52" i="20"/>
  <c r="F52" i="20" s="1"/>
  <c r="F7" i="20"/>
  <c r="D59" i="20"/>
  <c r="F59" i="20" s="1"/>
  <c r="D73" i="20"/>
  <c r="F73" i="20" s="1"/>
  <c r="D65" i="20"/>
  <c r="F21" i="20"/>
  <c r="D51" i="20"/>
  <c r="F9" i="20"/>
  <c r="D68" i="20"/>
  <c r="F68" i="20" s="1"/>
  <c r="D54" i="20"/>
  <c r="F54" i="20" s="1"/>
  <c r="D76" i="20"/>
  <c r="F76" i="20" s="1"/>
  <c r="F27" i="20"/>
  <c r="D62" i="20"/>
  <c r="F62" i="20" s="1"/>
  <c r="F8" i="20"/>
  <c r="D41" i="20"/>
  <c r="F41" i="20" s="1"/>
  <c r="F22" i="20"/>
  <c r="D37" i="20"/>
  <c r="F37" i="20" s="1"/>
  <c r="F2" i="20"/>
  <c r="D38" i="20"/>
  <c r="F38" i="20" s="1"/>
  <c r="D43" i="20"/>
  <c r="F43" i="20" s="1"/>
  <c r="F28" i="20"/>
  <c r="D60" i="20"/>
  <c r="F60" i="20" s="1"/>
  <c r="F12" i="20"/>
  <c r="D74" i="20"/>
  <c r="F74" i="20" s="1"/>
  <c r="D57" i="20"/>
  <c r="F57" i="20" s="1"/>
  <c r="F29" i="20"/>
  <c r="D71" i="20"/>
  <c r="F71" i="20" s="1"/>
  <c r="DR66" i="18"/>
  <c r="DR52" i="18"/>
  <c r="DR67" i="18"/>
  <c r="DR53" i="18"/>
  <c r="DR73" i="18"/>
  <c r="DR59" i="18"/>
  <c r="DR62" i="18"/>
  <c r="DR76" i="18"/>
  <c r="DR68" i="18"/>
  <c r="DR54" i="18"/>
  <c r="DR65" i="18"/>
  <c r="DR51" i="18"/>
  <c r="DR71" i="18"/>
  <c r="DR57" i="18"/>
  <c r="DR70" i="18"/>
  <c r="DR56" i="18"/>
  <c r="DR75" i="18"/>
  <c r="DR61" i="18"/>
  <c r="CS48" i="18"/>
  <c r="DR74" i="18"/>
  <c r="DR60" i="18"/>
  <c r="DR72" i="18"/>
  <c r="DR58" i="18"/>
  <c r="CS63" i="18"/>
  <c r="C48" i="31"/>
  <c r="C63" i="31"/>
  <c r="BA63" i="31"/>
  <c r="BA48" i="31"/>
  <c r="AR31" i="5"/>
  <c r="P3" i="15"/>
  <c r="P32" i="15" s="1"/>
  <c r="P28" i="15"/>
  <c r="P43" i="15" s="1"/>
  <c r="P27" i="15"/>
  <c r="P22" i="15"/>
  <c r="P37" i="15" s="1"/>
  <c r="P11" i="15"/>
  <c r="P39" i="15" s="1"/>
  <c r="P6" i="15"/>
  <c r="P47" i="15" s="1"/>
  <c r="P16" i="15"/>
  <c r="P13" i="15"/>
  <c r="P33" i="15" s="1"/>
  <c r="P9" i="15"/>
  <c r="P30" i="15"/>
  <c r="P35" i="15" s="1"/>
  <c r="P26" i="15"/>
  <c r="P36" i="15" s="1"/>
  <c r="P24" i="15"/>
  <c r="P20" i="15"/>
  <c r="P17" i="15"/>
  <c r="P15" i="15"/>
  <c r="P44" i="15" s="1"/>
  <c r="P12" i="15"/>
  <c r="P10" i="15"/>
  <c r="P46" i="15" s="1"/>
  <c r="P8" i="15"/>
  <c r="P41" i="15" s="1"/>
  <c r="P29" i="15"/>
  <c r="P25" i="15"/>
  <c r="P23" i="15"/>
  <c r="P49" i="15" s="1"/>
  <c r="P21" i="15"/>
  <c r="P19" i="15"/>
  <c r="P42" i="15" s="1"/>
  <c r="P18" i="15"/>
  <c r="P14" i="15"/>
  <c r="P34" i="15" s="1"/>
  <c r="P4" i="15"/>
  <c r="P40" i="15" s="1"/>
  <c r="P2" i="15"/>
  <c r="P38" i="15" s="1"/>
  <c r="P7" i="15"/>
  <c r="P5" i="15"/>
  <c r="AH31" i="17"/>
  <c r="AR32" i="17"/>
  <c r="AH66" i="17"/>
  <c r="AH52" i="17"/>
  <c r="AR52" i="17" s="1"/>
  <c r="AH51" i="17"/>
  <c r="AR51" i="17" s="1"/>
  <c r="AH65" i="17"/>
  <c r="AR65" i="17" s="1"/>
  <c r="AH70" i="17"/>
  <c r="AR70" i="17" s="1"/>
  <c r="AH56" i="17"/>
  <c r="AR56" i="17" s="1"/>
  <c r="AH68" i="17"/>
  <c r="AR68" i="17" s="1"/>
  <c r="AH54" i="17"/>
  <c r="AR54" i="17" s="1"/>
  <c r="AR46" i="17"/>
  <c r="AH45" i="17"/>
  <c r="AH75" i="17"/>
  <c r="AR75" i="17" s="1"/>
  <c r="AH61" i="17"/>
  <c r="AR61" i="17" s="1"/>
  <c r="AR49" i="17"/>
  <c r="AH71" i="17"/>
  <c r="AR71" i="17" s="1"/>
  <c r="AH57" i="17"/>
  <c r="AR57" i="17" s="1"/>
  <c r="AH67" i="17"/>
  <c r="AR67" i="17" s="1"/>
  <c r="AH53" i="17"/>
  <c r="AR53" i="17" s="1"/>
  <c r="AH72" i="17"/>
  <c r="AR72" i="17" s="1"/>
  <c r="AH58" i="17"/>
  <c r="AR58" i="17" s="1"/>
  <c r="AH59" i="17"/>
  <c r="AR59" i="17" s="1"/>
  <c r="AH73" i="17"/>
  <c r="AR73" i="17" s="1"/>
  <c r="AH76" i="17"/>
  <c r="AR76" i="17" s="1"/>
  <c r="AH62" i="17"/>
  <c r="AR62" i="17" s="1"/>
  <c r="AH74" i="17"/>
  <c r="AR74" i="17" s="1"/>
  <c r="AH60" i="17"/>
  <c r="AR60" i="17" s="1"/>
  <c r="T46" i="4"/>
  <c r="T47" i="4"/>
  <c r="T43" i="4"/>
  <c r="T42" i="4"/>
  <c r="T39" i="4"/>
  <c r="T33" i="4"/>
  <c r="T37" i="4"/>
  <c r="T36" i="4"/>
  <c r="T34" i="4"/>
  <c r="T49" i="4"/>
  <c r="T48" i="4" s="1"/>
  <c r="T38" i="4"/>
  <c r="T41" i="4"/>
  <c r="T40" i="4"/>
  <c r="T35" i="4"/>
  <c r="T44" i="4"/>
  <c r="AG47" i="17"/>
  <c r="AQ47" i="17" s="1"/>
  <c r="AQ6" i="17"/>
  <c r="AG39" i="17"/>
  <c r="AQ39" i="17" s="1"/>
  <c r="AQ11" i="17"/>
  <c r="AG74" i="17"/>
  <c r="AQ74" i="17" s="1"/>
  <c r="AG60" i="17"/>
  <c r="AQ60" i="17" s="1"/>
  <c r="AQ12" i="17"/>
  <c r="AG44" i="17"/>
  <c r="AQ44" i="17" s="1"/>
  <c r="AQ15" i="17"/>
  <c r="AG66" i="17"/>
  <c r="AQ66" i="17" s="1"/>
  <c r="AG52" i="17"/>
  <c r="AQ52" i="17" s="1"/>
  <c r="AQ17" i="17"/>
  <c r="AG70" i="17"/>
  <c r="AQ70" i="17" s="1"/>
  <c r="AG56" i="17"/>
  <c r="AQ56" i="17" s="1"/>
  <c r="AQ20" i="17"/>
  <c r="AG69" i="17"/>
  <c r="AQ69" i="17" s="1"/>
  <c r="AG55" i="17"/>
  <c r="AQ55" i="17" s="1"/>
  <c r="AQ24" i="17"/>
  <c r="AG36" i="17"/>
  <c r="AQ36" i="17" s="1"/>
  <c r="AQ26" i="17"/>
  <c r="AG38" i="17"/>
  <c r="AQ38" i="17" s="1"/>
  <c r="AQ2" i="17"/>
  <c r="AG73" i="17"/>
  <c r="AQ73" i="17" s="1"/>
  <c r="AG59" i="17"/>
  <c r="AQ59" i="17" s="1"/>
  <c r="AQ7" i="17"/>
  <c r="AG33" i="17"/>
  <c r="AQ33" i="17" s="1"/>
  <c r="AQ13" i="17"/>
  <c r="AQ16" i="17"/>
  <c r="AG58" i="17"/>
  <c r="AQ58" i="17" s="1"/>
  <c r="AG72" i="17"/>
  <c r="AQ72" i="17" s="1"/>
  <c r="AG40" i="17"/>
  <c r="AQ40" i="17" s="1"/>
  <c r="AQ4" i="17"/>
  <c r="AG41" i="17"/>
  <c r="AQ41" i="17" s="1"/>
  <c r="AQ8" i="17"/>
  <c r="AG46" i="17"/>
  <c r="AQ10" i="17"/>
  <c r="AG37" i="17"/>
  <c r="AQ37" i="17" s="1"/>
  <c r="AQ22" i="17"/>
  <c r="AG62" i="17"/>
  <c r="AQ62" i="17" s="1"/>
  <c r="AG76" i="17"/>
  <c r="AQ76" i="17" s="1"/>
  <c r="AQ27" i="17"/>
  <c r="AG43" i="17"/>
  <c r="AQ43" i="17" s="1"/>
  <c r="AQ28" i="17"/>
  <c r="AG35" i="17"/>
  <c r="AQ35" i="17" s="1"/>
  <c r="AQ30" i="17"/>
  <c r="AG67" i="17"/>
  <c r="AQ67" i="17" s="1"/>
  <c r="AG53" i="17"/>
  <c r="AQ53" i="17" s="1"/>
  <c r="AQ5" i="17"/>
  <c r="AG54" i="17"/>
  <c r="AQ54" i="17" s="1"/>
  <c r="AG68" i="17"/>
  <c r="AQ68" i="17" s="1"/>
  <c r="AQ9" i="17"/>
  <c r="AG34" i="17"/>
  <c r="AQ34" i="17" s="1"/>
  <c r="AQ14" i="17"/>
  <c r="AQ18" i="17"/>
  <c r="AG75" i="17"/>
  <c r="AQ75" i="17" s="1"/>
  <c r="AG61" i="17"/>
  <c r="AQ61" i="17" s="1"/>
  <c r="AG42" i="17"/>
  <c r="AQ42" i="17" s="1"/>
  <c r="AQ19" i="17"/>
  <c r="AG65" i="17"/>
  <c r="AQ65" i="17" s="1"/>
  <c r="AG51" i="17"/>
  <c r="AQ51" i="17" s="1"/>
  <c r="AQ21" i="17"/>
  <c r="AG49" i="17"/>
  <c r="AQ23" i="17"/>
  <c r="AQ25" i="17"/>
  <c r="AG50" i="17"/>
  <c r="AQ50" i="17" s="1"/>
  <c r="AG64" i="17"/>
  <c r="AG71" i="17"/>
  <c r="AQ71" i="17" s="1"/>
  <c r="AG57" i="17"/>
  <c r="AQ57" i="17" s="1"/>
  <c r="AQ29" i="17"/>
  <c r="AQ32" i="17"/>
  <c r="AR47" i="5"/>
  <c r="AR45" i="5" s="1"/>
  <c r="AS16" i="5"/>
  <c r="D16" i="20" s="1"/>
  <c r="AR58" i="5"/>
  <c r="AS58" i="5" s="1"/>
  <c r="AR72" i="5"/>
  <c r="AR63" i="5" s="1"/>
  <c r="AS40" i="5"/>
  <c r="AS4" i="5"/>
  <c r="D4" i="20" s="1"/>
  <c r="AS33" i="5"/>
  <c r="AS13" i="5"/>
  <c r="D13" i="20" s="1"/>
  <c r="AS42" i="5"/>
  <c r="AS19" i="5"/>
  <c r="D19" i="20" s="1"/>
  <c r="AS34" i="5"/>
  <c r="AS14" i="5"/>
  <c r="D14" i="20" s="1"/>
  <c r="AS44" i="5"/>
  <c r="AS15" i="5"/>
  <c r="D15" i="20" s="1"/>
  <c r="AS52" i="5"/>
  <c r="AS66" i="5"/>
  <c r="AS6" i="5"/>
  <c r="D6" i="20" s="1"/>
  <c r="DG30" i="18"/>
  <c r="DR30" i="18" s="1"/>
  <c r="DR35" i="18" s="1"/>
  <c r="DG28" i="18"/>
  <c r="DR28" i="18" s="1"/>
  <c r="DR43" i="18" s="1"/>
  <c r="DG4" i="18"/>
  <c r="DR4" i="18" s="1"/>
  <c r="DR40" i="18" s="1"/>
  <c r="DG11" i="18"/>
  <c r="DR11" i="18" s="1"/>
  <c r="DR39" i="18" s="1"/>
  <c r="DG13" i="18"/>
  <c r="DR13" i="18" s="1"/>
  <c r="DR33" i="18" s="1"/>
  <c r="AR19" i="17"/>
  <c r="AR21" i="17"/>
  <c r="AR9" i="17"/>
  <c r="AR2" i="17"/>
  <c r="AR18" i="17"/>
  <c r="AR4" i="17"/>
  <c r="AR26" i="17"/>
  <c r="AR17" i="17"/>
  <c r="AR10" i="17"/>
  <c r="AR14" i="17"/>
  <c r="AR23" i="17"/>
  <c r="AR22" i="17"/>
  <c r="AR16" i="17"/>
  <c r="AR28" i="17"/>
  <c r="AR12" i="17"/>
  <c r="AR11" i="17"/>
  <c r="AR30" i="17"/>
  <c r="AR20" i="17"/>
  <c r="AR15" i="17"/>
  <c r="AR13" i="17"/>
  <c r="AR5" i="17"/>
  <c r="AR7" i="17"/>
  <c r="AR27" i="17"/>
  <c r="AR29" i="17"/>
  <c r="AR8" i="17"/>
  <c r="AR6" i="17"/>
  <c r="AD30" i="1"/>
  <c r="AC30" i="1"/>
  <c r="AB30" i="1"/>
  <c r="AA30" i="1"/>
  <c r="Z30" i="1"/>
  <c r="AD29" i="1"/>
  <c r="AC29" i="1"/>
  <c r="AB29" i="1"/>
  <c r="AA29" i="1"/>
  <c r="Z29" i="1"/>
  <c r="AD28" i="1"/>
  <c r="AC28" i="1"/>
  <c r="AB28" i="1"/>
  <c r="AA28" i="1"/>
  <c r="Z28" i="1"/>
  <c r="AD27" i="1"/>
  <c r="AC27" i="1"/>
  <c r="AB27" i="1"/>
  <c r="AA27" i="1"/>
  <c r="Z27" i="1"/>
  <c r="AD26" i="1"/>
  <c r="AC26" i="1"/>
  <c r="AB26" i="1"/>
  <c r="AA26" i="1"/>
  <c r="Z26" i="1"/>
  <c r="AD25" i="1"/>
  <c r="AC25" i="1"/>
  <c r="AB25" i="1"/>
  <c r="AA25" i="1"/>
  <c r="Z25" i="1"/>
  <c r="AD24" i="1"/>
  <c r="AC24" i="1"/>
  <c r="AB24" i="1"/>
  <c r="AA24" i="1"/>
  <c r="Z24" i="1"/>
  <c r="AD23" i="1"/>
  <c r="AC23" i="1"/>
  <c r="AB23" i="1"/>
  <c r="AA23" i="1"/>
  <c r="Z23" i="1"/>
  <c r="AD22" i="1"/>
  <c r="AC22" i="1"/>
  <c r="AB22" i="1"/>
  <c r="AA22" i="1"/>
  <c r="Z22" i="1"/>
  <c r="AD21" i="1"/>
  <c r="AC21" i="1"/>
  <c r="AB21" i="1"/>
  <c r="AA21" i="1"/>
  <c r="Z21" i="1"/>
  <c r="AD20" i="1"/>
  <c r="AC20" i="1"/>
  <c r="AB20" i="1"/>
  <c r="AA20" i="1"/>
  <c r="Z20" i="1"/>
  <c r="AD19" i="1"/>
  <c r="AC19" i="1"/>
  <c r="AB19" i="1"/>
  <c r="AA19" i="1"/>
  <c r="Z19" i="1"/>
  <c r="AD18" i="1"/>
  <c r="AC18" i="1"/>
  <c r="AB18" i="1"/>
  <c r="AA18" i="1"/>
  <c r="Z18" i="1"/>
  <c r="AD17" i="1"/>
  <c r="AC17" i="1"/>
  <c r="AB17" i="1"/>
  <c r="AA17" i="1"/>
  <c r="Z17" i="1"/>
  <c r="AD16" i="1"/>
  <c r="AC16" i="1"/>
  <c r="AB16" i="1"/>
  <c r="AA16" i="1"/>
  <c r="Z16" i="1"/>
  <c r="AD15" i="1"/>
  <c r="AC15" i="1"/>
  <c r="AB15" i="1"/>
  <c r="AA15" i="1"/>
  <c r="Z15" i="1"/>
  <c r="AD14" i="1"/>
  <c r="AC14" i="1"/>
  <c r="AB14" i="1"/>
  <c r="AA14" i="1"/>
  <c r="Z14" i="1"/>
  <c r="AD13" i="1"/>
  <c r="AC13" i="1"/>
  <c r="AB13" i="1"/>
  <c r="AA13" i="1"/>
  <c r="Z13" i="1"/>
  <c r="AD12" i="1"/>
  <c r="AC12" i="1"/>
  <c r="AB12" i="1"/>
  <c r="AA12" i="1"/>
  <c r="Z12" i="1"/>
  <c r="AD11" i="1"/>
  <c r="AC11" i="1"/>
  <c r="AB11" i="1"/>
  <c r="AA11" i="1"/>
  <c r="Z11" i="1"/>
  <c r="AD10" i="1"/>
  <c r="AC10" i="1"/>
  <c r="AB10" i="1"/>
  <c r="AA10" i="1"/>
  <c r="Z10" i="1"/>
  <c r="AD9" i="1"/>
  <c r="AC9" i="1"/>
  <c r="AB9" i="1"/>
  <c r="AA9" i="1"/>
  <c r="Z9" i="1"/>
  <c r="AD8" i="1"/>
  <c r="AC8" i="1"/>
  <c r="AB8" i="1"/>
  <c r="AA8" i="1"/>
  <c r="Z8" i="1"/>
  <c r="AD7" i="1"/>
  <c r="AC7" i="1"/>
  <c r="AB7" i="1"/>
  <c r="AA7" i="1"/>
  <c r="Z7" i="1"/>
  <c r="AD6" i="1"/>
  <c r="AC6" i="1"/>
  <c r="AB6" i="1"/>
  <c r="AA6" i="1"/>
  <c r="Z6" i="1"/>
  <c r="AD5" i="1"/>
  <c r="AC5" i="1"/>
  <c r="AB5" i="1"/>
  <c r="AA5" i="1"/>
  <c r="Z5" i="1"/>
  <c r="AD4" i="1"/>
  <c r="AC4" i="1"/>
  <c r="AB4" i="1"/>
  <c r="AA4" i="1"/>
  <c r="Z4" i="1"/>
  <c r="AD3" i="1"/>
  <c r="AC3" i="1"/>
  <c r="AB3" i="1"/>
  <c r="AA3" i="1"/>
  <c r="Z3" i="1"/>
  <c r="AD2" i="1"/>
  <c r="AC2" i="1"/>
  <c r="AB2" i="1"/>
  <c r="AA2" i="1"/>
  <c r="L2" i="17" s="1"/>
  <c r="Z2" i="1"/>
  <c r="V43" i="5"/>
  <c r="U49" i="5"/>
  <c r="T49" i="5"/>
  <c r="S49" i="5"/>
  <c r="V49" i="5"/>
  <c r="V46" i="5"/>
  <c r="V47" i="5"/>
  <c r="E38" i="5"/>
  <c r="AE38" i="5" s="1"/>
  <c r="D44" i="20" l="1"/>
  <c r="F44" i="20" s="1"/>
  <c r="F15" i="20"/>
  <c r="F19" i="20"/>
  <c r="D42" i="20"/>
  <c r="F42" i="20" s="1"/>
  <c r="D40" i="20"/>
  <c r="F40" i="20" s="1"/>
  <c r="F4" i="20"/>
  <c r="D72" i="20"/>
  <c r="F72" i="20" s="1"/>
  <c r="F16" i="20"/>
  <c r="D58" i="20"/>
  <c r="F58" i="20" s="1"/>
  <c r="D47" i="20"/>
  <c r="F6" i="20"/>
  <c r="F51" i="20"/>
  <c r="D48" i="20"/>
  <c r="F65" i="20"/>
  <c r="D63" i="20"/>
  <c r="F14" i="20"/>
  <c r="D34" i="20"/>
  <c r="F34" i="20" s="1"/>
  <c r="F13" i="20"/>
  <c r="D33" i="20"/>
  <c r="V45" i="5"/>
  <c r="T45" i="4"/>
  <c r="DR31" i="18"/>
  <c r="DR48" i="18"/>
  <c r="DR63" i="18"/>
  <c r="AS72" i="5"/>
  <c r="AS63" i="5" s="1"/>
  <c r="T31" i="4"/>
  <c r="AG31" i="17"/>
  <c r="AR48" i="5"/>
  <c r="H38" i="5"/>
  <c r="P31" i="15"/>
  <c r="AH48" i="17"/>
  <c r="AG63" i="17"/>
  <c r="AQ64" i="17"/>
  <c r="AG48" i="17"/>
  <c r="AQ49" i="17"/>
  <c r="AG45" i="17"/>
  <c r="AQ46" i="17"/>
  <c r="AR66" i="17"/>
  <c r="AH63" i="17"/>
  <c r="P67" i="15"/>
  <c r="P53" i="15"/>
  <c r="P59" i="15"/>
  <c r="P73" i="15"/>
  <c r="P75" i="15"/>
  <c r="P61" i="15"/>
  <c r="P51" i="15"/>
  <c r="P65" i="15"/>
  <c r="P64" i="15"/>
  <c r="P50" i="15"/>
  <c r="P71" i="15"/>
  <c r="P57" i="15"/>
  <c r="P45" i="15"/>
  <c r="P74" i="15"/>
  <c r="P60" i="15"/>
  <c r="P66" i="15"/>
  <c r="P52" i="15"/>
  <c r="P70" i="15"/>
  <c r="P56" i="15"/>
  <c r="P55" i="15"/>
  <c r="P69" i="15"/>
  <c r="P68" i="15"/>
  <c r="P54" i="15"/>
  <c r="P72" i="15"/>
  <c r="P58" i="15"/>
  <c r="P76" i="15"/>
  <c r="P62" i="15"/>
  <c r="V32" i="5"/>
  <c r="V40" i="5"/>
  <c r="V53" i="5"/>
  <c r="V67" i="5"/>
  <c r="V73" i="5"/>
  <c r="V59" i="5"/>
  <c r="V41" i="5"/>
  <c r="V54" i="5"/>
  <c r="V68" i="5"/>
  <c r="V39" i="5"/>
  <c r="V60" i="5"/>
  <c r="V74" i="5"/>
  <c r="V34" i="5"/>
  <c r="V44" i="5"/>
  <c r="V58" i="5"/>
  <c r="V72" i="5"/>
  <c r="V52" i="5"/>
  <c r="V66" i="5"/>
  <c r="V61" i="5"/>
  <c r="V75" i="5"/>
  <c r="V42" i="5"/>
  <c r="V56" i="5"/>
  <c r="V70" i="5"/>
  <c r="V65" i="5"/>
  <c r="V51" i="5"/>
  <c r="V37" i="5"/>
  <c r="V69" i="5"/>
  <c r="V55" i="5"/>
  <c r="V50" i="5"/>
  <c r="V64" i="5"/>
  <c r="V36" i="5"/>
  <c r="V62" i="5"/>
  <c r="V76" i="5"/>
  <c r="V57" i="5"/>
  <c r="V71" i="5"/>
  <c r="S32" i="5"/>
  <c r="S40" i="5"/>
  <c r="S53" i="5"/>
  <c r="S67" i="5"/>
  <c r="S47" i="5"/>
  <c r="S59" i="5"/>
  <c r="S73" i="5"/>
  <c r="S41" i="5"/>
  <c r="S68" i="5"/>
  <c r="S54" i="5"/>
  <c r="S46" i="5"/>
  <c r="S45" i="5" s="1"/>
  <c r="S39" i="5"/>
  <c r="S60" i="5"/>
  <c r="S74" i="5"/>
  <c r="S34" i="5"/>
  <c r="S44" i="5"/>
  <c r="S72" i="5"/>
  <c r="S58" i="5"/>
  <c r="S52" i="5"/>
  <c r="S66" i="5"/>
  <c r="S61" i="5"/>
  <c r="S75" i="5"/>
  <c r="S42" i="5"/>
  <c r="S56" i="5"/>
  <c r="S70" i="5"/>
  <c r="S51" i="5"/>
  <c r="S65" i="5"/>
  <c r="S37" i="5"/>
  <c r="S55" i="5"/>
  <c r="S69" i="5"/>
  <c r="S64" i="5"/>
  <c r="S50" i="5"/>
  <c r="S36" i="5"/>
  <c r="S76" i="5"/>
  <c r="S62" i="5"/>
  <c r="S43" i="5"/>
  <c r="S57" i="5"/>
  <c r="S71" i="5"/>
  <c r="T32" i="5"/>
  <c r="T40" i="5"/>
  <c r="T67" i="5"/>
  <c r="T53" i="5"/>
  <c r="T47" i="5"/>
  <c r="T59" i="5"/>
  <c r="T73" i="5"/>
  <c r="T41" i="5"/>
  <c r="T54" i="5"/>
  <c r="T68" i="5"/>
  <c r="T46" i="5"/>
  <c r="T39" i="5"/>
  <c r="T60" i="5"/>
  <c r="T74" i="5"/>
  <c r="T34" i="5"/>
  <c r="T44" i="5"/>
  <c r="T58" i="5"/>
  <c r="T72" i="5"/>
  <c r="T52" i="5"/>
  <c r="T66" i="5"/>
  <c r="T75" i="5"/>
  <c r="T61" i="5"/>
  <c r="T42" i="5"/>
  <c r="T56" i="5"/>
  <c r="T70" i="5"/>
  <c r="T51" i="5"/>
  <c r="T65" i="5"/>
  <c r="T37" i="5"/>
  <c r="T55" i="5"/>
  <c r="T69" i="5"/>
  <c r="T50" i="5"/>
  <c r="T64" i="5"/>
  <c r="T36" i="5"/>
  <c r="T62" i="5"/>
  <c r="T76" i="5"/>
  <c r="T43" i="5"/>
  <c r="T71" i="5"/>
  <c r="T57" i="5"/>
  <c r="U32" i="5"/>
  <c r="U40" i="5"/>
  <c r="U53" i="5"/>
  <c r="U67" i="5"/>
  <c r="U47" i="5"/>
  <c r="U59" i="5"/>
  <c r="U73" i="5"/>
  <c r="U41" i="5"/>
  <c r="U54" i="5"/>
  <c r="U68" i="5"/>
  <c r="U46" i="5"/>
  <c r="U45" i="5" s="1"/>
  <c r="U39" i="5"/>
  <c r="U74" i="5"/>
  <c r="U60" i="5"/>
  <c r="U34" i="5"/>
  <c r="U44" i="5"/>
  <c r="U58" i="5"/>
  <c r="U72" i="5"/>
  <c r="U66" i="5"/>
  <c r="U52" i="5"/>
  <c r="U61" i="5"/>
  <c r="U75" i="5"/>
  <c r="U42" i="5"/>
  <c r="U70" i="5"/>
  <c r="U56" i="5"/>
  <c r="U51" i="5"/>
  <c r="U65" i="5"/>
  <c r="U37" i="5"/>
  <c r="U55" i="5"/>
  <c r="U69" i="5"/>
  <c r="U50" i="5"/>
  <c r="U64" i="5"/>
  <c r="U36" i="5"/>
  <c r="U62" i="5"/>
  <c r="U76" i="5"/>
  <c r="U43" i="5"/>
  <c r="U57" i="5"/>
  <c r="U71" i="5"/>
  <c r="AS48" i="5"/>
  <c r="AS31" i="5"/>
  <c r="H2" i="5"/>
  <c r="AS47" i="5"/>
  <c r="AS45" i="5" s="1"/>
  <c r="E40" i="5"/>
  <c r="E41" i="5"/>
  <c r="E34" i="5"/>
  <c r="H34" i="5" s="1"/>
  <c r="R49" i="5"/>
  <c r="E49" i="5"/>
  <c r="AE49" i="5" s="1"/>
  <c r="V38" i="5"/>
  <c r="E9" i="2"/>
  <c r="S4" i="4" l="1"/>
  <c r="S8" i="4"/>
  <c r="S12" i="4"/>
  <c r="S16" i="4"/>
  <c r="S20" i="4"/>
  <c r="S24" i="4"/>
  <c r="S28" i="4"/>
  <c r="S5" i="4"/>
  <c r="S25" i="4"/>
  <c r="S29" i="4"/>
  <c r="S3" i="4"/>
  <c r="S7" i="4"/>
  <c r="S11" i="4"/>
  <c r="S15" i="4"/>
  <c r="S19" i="4"/>
  <c r="S23" i="4"/>
  <c r="S49" i="4" s="1"/>
  <c r="S27" i="4"/>
  <c r="S21" i="4"/>
  <c r="S6" i="4"/>
  <c r="S10" i="4"/>
  <c r="S14" i="4"/>
  <c r="S18" i="4"/>
  <c r="S22" i="4"/>
  <c r="S37" i="4" s="1"/>
  <c r="S26" i="4"/>
  <c r="S36" i="4" s="1"/>
  <c r="S30" i="4"/>
  <c r="S9" i="4"/>
  <c r="S13" i="4"/>
  <c r="S17" i="4"/>
  <c r="F48" i="20"/>
  <c r="F63" i="20"/>
  <c r="D31" i="20"/>
  <c r="F33" i="20"/>
  <c r="F31" i="20" s="1"/>
  <c r="T45" i="5"/>
  <c r="F47" i="20"/>
  <c r="F45" i="20" s="1"/>
  <c r="D45" i="20"/>
  <c r="H41" i="5"/>
  <c r="AE41" i="5"/>
  <c r="H40" i="5"/>
  <c r="AE40" i="5"/>
  <c r="E32" i="5"/>
  <c r="U48" i="5"/>
  <c r="U63" i="5"/>
  <c r="T48" i="5"/>
  <c r="S63" i="5"/>
  <c r="V48" i="5"/>
  <c r="T63" i="5"/>
  <c r="V63" i="5"/>
  <c r="V31" i="5"/>
  <c r="S48" i="5"/>
  <c r="P48" i="15"/>
  <c r="P63" i="15"/>
  <c r="S35" i="4"/>
  <c r="S44" i="4"/>
  <c r="S34" i="4"/>
  <c r="S40" i="4"/>
  <c r="S43" i="4"/>
  <c r="S42" i="4"/>
  <c r="S39" i="4"/>
  <c r="S47" i="4"/>
  <c r="S33" i="4"/>
  <c r="S46" i="4"/>
  <c r="S41" i="4"/>
  <c r="S2" i="4"/>
  <c r="S38" i="4" s="1"/>
  <c r="U38" i="5"/>
  <c r="U31" i="5" s="1"/>
  <c r="R43" i="5"/>
  <c r="R56" i="5"/>
  <c r="R70" i="5"/>
  <c r="R47" i="5"/>
  <c r="R45" i="5" s="1"/>
  <c r="R32" i="5"/>
  <c r="R42" i="5"/>
  <c r="R58" i="5"/>
  <c r="R72" i="5"/>
  <c r="R41" i="5"/>
  <c r="R36" i="5"/>
  <c r="R37" i="5"/>
  <c r="R44" i="5"/>
  <c r="R73" i="5"/>
  <c r="R59" i="5"/>
  <c r="T38" i="5"/>
  <c r="T31" i="5" s="1"/>
  <c r="S38" i="5"/>
  <c r="S31" i="5" s="1"/>
  <c r="E62" i="5"/>
  <c r="E76" i="5"/>
  <c r="E67" i="5"/>
  <c r="E53" i="5"/>
  <c r="E50" i="5"/>
  <c r="E64" i="5"/>
  <c r="AE64" i="5" s="1"/>
  <c r="E51" i="5"/>
  <c r="E65" i="5"/>
  <c r="E75" i="5"/>
  <c r="E61" i="5"/>
  <c r="E39" i="5"/>
  <c r="E55" i="5"/>
  <c r="E69" i="5"/>
  <c r="E66" i="5"/>
  <c r="E52" i="5"/>
  <c r="E74" i="5"/>
  <c r="E60" i="5"/>
  <c r="E54" i="5"/>
  <c r="E68" i="5"/>
  <c r="E71" i="5"/>
  <c r="E57" i="5"/>
  <c r="R62" i="5"/>
  <c r="R76" i="5"/>
  <c r="R53" i="5"/>
  <c r="R67" i="5"/>
  <c r="R50" i="5"/>
  <c r="R64" i="5"/>
  <c r="R65" i="5"/>
  <c r="R51" i="5"/>
  <c r="R61" i="5"/>
  <c r="R75" i="5"/>
  <c r="R34" i="5"/>
  <c r="R40" i="5"/>
  <c r="R69" i="5"/>
  <c r="R55" i="5"/>
  <c r="R52" i="5"/>
  <c r="R66" i="5"/>
  <c r="R60" i="5"/>
  <c r="R74" i="5"/>
  <c r="R54" i="5"/>
  <c r="R68" i="5"/>
  <c r="R57" i="5"/>
  <c r="R71" i="5"/>
  <c r="R38" i="5"/>
  <c r="E43" i="5"/>
  <c r="E70" i="5"/>
  <c r="E56" i="5"/>
  <c r="E47" i="5"/>
  <c r="H49" i="5"/>
  <c r="E42" i="5"/>
  <c r="E58" i="5"/>
  <c r="E72" i="5"/>
  <c r="E36" i="5"/>
  <c r="H36" i="5" s="1"/>
  <c r="E37" i="5"/>
  <c r="E44" i="5"/>
  <c r="E46" i="5"/>
  <c r="E59" i="5"/>
  <c r="E73" i="5"/>
  <c r="H3" i="5"/>
  <c r="H8" i="5"/>
  <c r="H7" i="5"/>
  <c r="H5" i="5"/>
  <c r="H4" i="5"/>
  <c r="H9" i="5"/>
  <c r="H6" i="5"/>
  <c r="H27" i="5"/>
  <c r="H25" i="5"/>
  <c r="H21" i="5"/>
  <c r="H18" i="5"/>
  <c r="H14" i="5"/>
  <c r="H11" i="5"/>
  <c r="H24" i="5"/>
  <c r="H17" i="5"/>
  <c r="H12" i="5"/>
  <c r="H29" i="5"/>
  <c r="H28" i="5"/>
  <c r="H20" i="5"/>
  <c r="H23" i="5"/>
  <c r="H19" i="5"/>
  <c r="H16" i="5"/>
  <c r="H26" i="5"/>
  <c r="H22" i="5"/>
  <c r="H15" i="5"/>
  <c r="H10" i="5"/>
  <c r="AZ3" i="18"/>
  <c r="AZ14" i="18"/>
  <c r="BL14" i="18" s="1"/>
  <c r="BL34" i="18" s="1"/>
  <c r="AZ22" i="18"/>
  <c r="BL22" i="18" s="1"/>
  <c r="BL37" i="18" s="1"/>
  <c r="AZ17" i="18"/>
  <c r="BL17" i="18" s="1"/>
  <c r="AZ10" i="18"/>
  <c r="BL10" i="18" s="1"/>
  <c r="BL46" i="18" s="1"/>
  <c r="AZ23" i="18"/>
  <c r="BL23" i="18" s="1"/>
  <c r="BL49" i="18" s="1"/>
  <c r="AZ16" i="18"/>
  <c r="BL16" i="18" s="1"/>
  <c r="AZ28" i="18"/>
  <c r="BL28" i="18" s="1"/>
  <c r="BL43" i="18" s="1"/>
  <c r="AZ12" i="18"/>
  <c r="BL12" i="18" s="1"/>
  <c r="AZ19" i="18"/>
  <c r="BL19" i="18" s="1"/>
  <c r="BL42" i="18" s="1"/>
  <c r="AZ8" i="18"/>
  <c r="BL8" i="18" s="1"/>
  <c r="BL41" i="18" s="1"/>
  <c r="AZ4" i="18"/>
  <c r="BL4" i="18" s="1"/>
  <c r="BL40" i="18" s="1"/>
  <c r="AZ9" i="18"/>
  <c r="BL9" i="18" s="1"/>
  <c r="AZ7" i="18"/>
  <c r="BL7" i="18" s="1"/>
  <c r="AZ15" i="18"/>
  <c r="BL15" i="18" s="1"/>
  <c r="BL44" i="18" s="1"/>
  <c r="AZ11" i="18"/>
  <c r="BL11" i="18" s="1"/>
  <c r="BL39" i="18" s="1"/>
  <c r="AZ6" i="18"/>
  <c r="BL6" i="18" s="1"/>
  <c r="BL47" i="18" s="1"/>
  <c r="AZ5" i="18"/>
  <c r="BL5" i="18" s="1"/>
  <c r="AZ30" i="18"/>
  <c r="BL30" i="18" s="1"/>
  <c r="BL35" i="18" s="1"/>
  <c r="AZ26" i="18"/>
  <c r="BL26" i="18" s="1"/>
  <c r="BL36" i="18" s="1"/>
  <c r="AZ29" i="18"/>
  <c r="BL29" i="18" s="1"/>
  <c r="AZ25" i="18"/>
  <c r="BL25" i="18" s="1"/>
  <c r="AZ27" i="18"/>
  <c r="BL27" i="18" s="1"/>
  <c r="AZ24" i="18"/>
  <c r="BL24" i="18" s="1"/>
  <c r="AZ20" i="18"/>
  <c r="BL20" i="18" s="1"/>
  <c r="AZ2" i="18"/>
  <c r="BL2" i="18" s="1"/>
  <c r="BL38" i="18" s="1"/>
  <c r="AZ21" i="18"/>
  <c r="BL21" i="18" s="1"/>
  <c r="AZ18" i="18"/>
  <c r="BL18" i="18" s="1"/>
  <c r="AZ13" i="18"/>
  <c r="BL13" i="18" s="1"/>
  <c r="BL33" i="18" s="1"/>
  <c r="S32" i="4"/>
  <c r="B32" i="2"/>
  <c r="B27" i="2" s="1"/>
  <c r="H15" i="2"/>
  <c r="H12" i="2"/>
  <c r="K12" i="2"/>
  <c r="J2" i="17" s="1"/>
  <c r="K15" i="2"/>
  <c r="Q17" i="2"/>
  <c r="Q14" i="2"/>
  <c r="Q20" i="2"/>
  <c r="E3" i="17" s="1"/>
  <c r="Q26" i="2"/>
  <c r="Q23" i="2"/>
  <c r="Q29" i="2"/>
  <c r="E15" i="2"/>
  <c r="E12" i="2"/>
  <c r="K8" i="2"/>
  <c r="E8" i="2"/>
  <c r="H8" i="2"/>
  <c r="R23" i="4" l="1"/>
  <c r="R25" i="4"/>
  <c r="K2" i="17"/>
  <c r="Q6" i="4"/>
  <c r="U6" i="4" s="1"/>
  <c r="D6" i="19" s="1"/>
  <c r="Q10" i="4"/>
  <c r="U10" i="4" s="1"/>
  <c r="D10" i="19" s="1"/>
  <c r="Q14" i="4"/>
  <c r="U14" i="4" s="1"/>
  <c r="D14" i="19" s="1"/>
  <c r="Q18" i="4"/>
  <c r="U18" i="4" s="1"/>
  <c r="D18" i="19" s="1"/>
  <c r="Q22" i="4"/>
  <c r="U22" i="4" s="1"/>
  <c r="D22" i="19" s="1"/>
  <c r="Q26" i="4"/>
  <c r="U26" i="4" s="1"/>
  <c r="D26" i="19" s="1"/>
  <c r="Q30" i="4"/>
  <c r="U30" i="4" s="1"/>
  <c r="D30" i="19" s="1"/>
  <c r="Q5" i="4"/>
  <c r="U5" i="4" s="1"/>
  <c r="D5" i="19" s="1"/>
  <c r="Q9" i="4"/>
  <c r="U9" i="4" s="1"/>
  <c r="D9" i="19" s="1"/>
  <c r="Q13" i="4"/>
  <c r="U13" i="4" s="1"/>
  <c r="D13" i="19" s="1"/>
  <c r="Q17" i="4"/>
  <c r="U17" i="4" s="1"/>
  <c r="D17" i="19" s="1"/>
  <c r="Q21" i="4"/>
  <c r="U21" i="4" s="1"/>
  <c r="D21" i="19" s="1"/>
  <c r="Q25" i="4"/>
  <c r="U25" i="4" s="1"/>
  <c r="D25" i="19" s="1"/>
  <c r="Q29" i="4"/>
  <c r="U29" i="4" s="1"/>
  <c r="D29" i="19" s="1"/>
  <c r="Q11" i="4"/>
  <c r="U11" i="4" s="1"/>
  <c r="D11" i="19" s="1"/>
  <c r="Q15" i="4"/>
  <c r="U15" i="4" s="1"/>
  <c r="D15" i="19" s="1"/>
  <c r="Q19" i="4"/>
  <c r="U19" i="4" s="1"/>
  <c r="D19" i="19" s="1"/>
  <c r="Q4" i="4"/>
  <c r="U4" i="4" s="1"/>
  <c r="D4" i="19" s="1"/>
  <c r="Q8" i="4"/>
  <c r="U8" i="4" s="1"/>
  <c r="D8" i="19" s="1"/>
  <c r="Q12" i="4"/>
  <c r="U12" i="4" s="1"/>
  <c r="D12" i="19" s="1"/>
  <c r="Q16" i="4"/>
  <c r="U16" i="4" s="1"/>
  <c r="D16" i="19" s="1"/>
  <c r="Q20" i="4"/>
  <c r="U20" i="4" s="1"/>
  <c r="D20" i="19" s="1"/>
  <c r="Q24" i="4"/>
  <c r="U24" i="4" s="1"/>
  <c r="D24" i="19" s="1"/>
  <c r="Q28" i="4"/>
  <c r="U28" i="4" s="1"/>
  <c r="D28" i="19" s="1"/>
  <c r="Q3" i="4"/>
  <c r="U3" i="4" s="1"/>
  <c r="D3" i="19" s="1"/>
  <c r="Q7" i="4"/>
  <c r="U7" i="4" s="1"/>
  <c r="D7" i="19" s="1"/>
  <c r="Q23" i="4"/>
  <c r="U23" i="4" s="1"/>
  <c r="D23" i="19" s="1"/>
  <c r="Q27" i="4"/>
  <c r="U27" i="4" s="1"/>
  <c r="D27" i="19" s="1"/>
  <c r="AE46" i="5"/>
  <c r="H37" i="5"/>
  <c r="AE37" i="5"/>
  <c r="AE36" i="5"/>
  <c r="H72" i="5"/>
  <c r="AE72" i="5"/>
  <c r="H70" i="5"/>
  <c r="AE70" i="5"/>
  <c r="H54" i="5"/>
  <c r="AE54" i="5"/>
  <c r="H66" i="5"/>
  <c r="AE66" i="5"/>
  <c r="H51" i="5"/>
  <c r="AE51" i="5"/>
  <c r="H67" i="5"/>
  <c r="AE67" i="5"/>
  <c r="H58" i="5"/>
  <c r="AE58" i="5"/>
  <c r="H47" i="5"/>
  <c r="AE47" i="5"/>
  <c r="H43" i="5"/>
  <c r="AE43" i="5"/>
  <c r="H57" i="5"/>
  <c r="AE57" i="5"/>
  <c r="H60" i="5"/>
  <c r="AE60" i="5"/>
  <c r="H69" i="5"/>
  <c r="AE69" i="5"/>
  <c r="H61" i="5"/>
  <c r="AE61" i="5"/>
  <c r="H76" i="5"/>
  <c r="AE76" i="5"/>
  <c r="H73" i="5"/>
  <c r="AE73" i="5"/>
  <c r="H44" i="5"/>
  <c r="AE44" i="5"/>
  <c r="H42" i="5"/>
  <c r="AE42" i="5"/>
  <c r="H71" i="5"/>
  <c r="AE71" i="5"/>
  <c r="H74" i="5"/>
  <c r="AE74" i="5"/>
  <c r="H55" i="5"/>
  <c r="AE55" i="5"/>
  <c r="H75" i="5"/>
  <c r="AE75" i="5"/>
  <c r="H50" i="5"/>
  <c r="AE50" i="5"/>
  <c r="H62" i="5"/>
  <c r="AE62" i="5"/>
  <c r="H59" i="5"/>
  <c r="AE59" i="5"/>
  <c r="H56" i="5"/>
  <c r="AE56" i="5"/>
  <c r="H68" i="5"/>
  <c r="AE68" i="5"/>
  <c r="H52" i="5"/>
  <c r="H39" i="5"/>
  <c r="AE39" i="5"/>
  <c r="H65" i="5"/>
  <c r="H53" i="5"/>
  <c r="AE53" i="5"/>
  <c r="H32" i="5"/>
  <c r="E31" i="5"/>
  <c r="BL76" i="18"/>
  <c r="BL62" i="18"/>
  <c r="BL64" i="18"/>
  <c r="BL50" i="18"/>
  <c r="BL45" i="18"/>
  <c r="BL66" i="18"/>
  <c r="BL52" i="18"/>
  <c r="BL61" i="18"/>
  <c r="BL75" i="18"/>
  <c r="BL57" i="18"/>
  <c r="BL71" i="18"/>
  <c r="BL59" i="18"/>
  <c r="BL73" i="18"/>
  <c r="BL55" i="18"/>
  <c r="BL69" i="18"/>
  <c r="BL51" i="18"/>
  <c r="BL65" i="18"/>
  <c r="BL74" i="18"/>
  <c r="BL60" i="18"/>
  <c r="BL70" i="18"/>
  <c r="BL56" i="18"/>
  <c r="BL53" i="18"/>
  <c r="BL67" i="18"/>
  <c r="BL68" i="18"/>
  <c r="BL54" i="18"/>
  <c r="BL72" i="18"/>
  <c r="BL58" i="18"/>
  <c r="R31" i="5"/>
  <c r="R63" i="5"/>
  <c r="E63" i="5"/>
  <c r="E48" i="5"/>
  <c r="R48" i="5"/>
  <c r="S45" i="4"/>
  <c r="S31" i="4"/>
  <c r="E32" i="17"/>
  <c r="O3" i="17"/>
  <c r="O32" i="17" s="1"/>
  <c r="L30" i="15"/>
  <c r="D29" i="15"/>
  <c r="L26" i="15"/>
  <c r="D25" i="15"/>
  <c r="L24" i="15"/>
  <c r="D23" i="15"/>
  <c r="D49" i="15" s="1"/>
  <c r="D21" i="15"/>
  <c r="L20" i="15"/>
  <c r="D19" i="15"/>
  <c r="D42" i="15" s="1"/>
  <c r="D18" i="15"/>
  <c r="L17" i="15"/>
  <c r="L15" i="15"/>
  <c r="D14" i="15"/>
  <c r="D34" i="15" s="1"/>
  <c r="L12" i="15"/>
  <c r="L10" i="15"/>
  <c r="L8" i="15"/>
  <c r="D7" i="15"/>
  <c r="L29" i="15"/>
  <c r="D28" i="15"/>
  <c r="D43" i="15" s="1"/>
  <c r="D27" i="15"/>
  <c r="L25" i="15"/>
  <c r="L23" i="15"/>
  <c r="D22" i="15"/>
  <c r="D37" i="15" s="1"/>
  <c r="L21" i="15"/>
  <c r="L19" i="15"/>
  <c r="L18" i="15"/>
  <c r="L14" i="15"/>
  <c r="D11" i="15"/>
  <c r="D39" i="15" s="1"/>
  <c r="L7" i="15"/>
  <c r="D6" i="15"/>
  <c r="D47" i="15" s="1"/>
  <c r="L28" i="15"/>
  <c r="L27" i="15"/>
  <c r="L22" i="15"/>
  <c r="D16" i="15"/>
  <c r="D13" i="15"/>
  <c r="D33" i="15" s="1"/>
  <c r="L11" i="15"/>
  <c r="D9" i="15"/>
  <c r="L6" i="15"/>
  <c r="D30" i="15"/>
  <c r="D35" i="15" s="1"/>
  <c r="D26" i="15"/>
  <c r="D36" i="15" s="1"/>
  <c r="D24" i="15"/>
  <c r="D20" i="15"/>
  <c r="D17" i="15"/>
  <c r="L16" i="15"/>
  <c r="D15" i="15"/>
  <c r="D44" i="15" s="1"/>
  <c r="L13" i="15"/>
  <c r="D12" i="15"/>
  <c r="D10" i="15"/>
  <c r="D46" i="15" s="1"/>
  <c r="L9" i="15"/>
  <c r="D5" i="15"/>
  <c r="D8" i="15"/>
  <c r="D41" i="15" s="1"/>
  <c r="L5" i="15"/>
  <c r="D4" i="15"/>
  <c r="D40" i="15" s="1"/>
  <c r="D3" i="15"/>
  <c r="D32" i="15" s="1"/>
  <c r="L4" i="15"/>
  <c r="D2" i="15"/>
  <c r="D38" i="15" s="1"/>
  <c r="L2" i="15"/>
  <c r="N30" i="4"/>
  <c r="N27" i="4"/>
  <c r="N25" i="4"/>
  <c r="R49" i="4"/>
  <c r="D23" i="4"/>
  <c r="D49" i="4" s="1"/>
  <c r="N22" i="4"/>
  <c r="D21" i="4"/>
  <c r="N18" i="4"/>
  <c r="D16" i="4"/>
  <c r="N15" i="4"/>
  <c r="D13" i="4"/>
  <c r="D33" i="4" s="1"/>
  <c r="N12" i="4"/>
  <c r="D10" i="4"/>
  <c r="D46" i="4" s="1"/>
  <c r="D8" i="4"/>
  <c r="D41" i="4" s="1"/>
  <c r="N5" i="4"/>
  <c r="D2" i="4"/>
  <c r="D38" i="4" s="1"/>
  <c r="D30" i="4"/>
  <c r="D35" i="4" s="1"/>
  <c r="N29" i="4"/>
  <c r="D27" i="4"/>
  <c r="D25" i="4"/>
  <c r="D22" i="4"/>
  <c r="D37" i="4" s="1"/>
  <c r="N20" i="4"/>
  <c r="D18" i="4"/>
  <c r="N17" i="4"/>
  <c r="D15" i="4"/>
  <c r="D44" i="4" s="1"/>
  <c r="N14" i="4"/>
  <c r="D12" i="4"/>
  <c r="N7" i="4"/>
  <c r="D5" i="4"/>
  <c r="N4" i="4"/>
  <c r="D29" i="4"/>
  <c r="N28" i="4"/>
  <c r="N26" i="4"/>
  <c r="N24" i="4"/>
  <c r="D20" i="4"/>
  <c r="N19" i="4"/>
  <c r="D17" i="4"/>
  <c r="D14" i="4"/>
  <c r="D34" i="4" s="1"/>
  <c r="N11" i="4"/>
  <c r="N9" i="4"/>
  <c r="D7" i="4"/>
  <c r="N6" i="4"/>
  <c r="D4" i="4"/>
  <c r="D40" i="4" s="1"/>
  <c r="N2" i="4"/>
  <c r="D28" i="4"/>
  <c r="D43" i="4" s="1"/>
  <c r="D26" i="4"/>
  <c r="D36" i="4" s="1"/>
  <c r="D24" i="4"/>
  <c r="N23" i="4"/>
  <c r="N21" i="4"/>
  <c r="D19" i="4"/>
  <c r="D42" i="4" s="1"/>
  <c r="N16" i="4"/>
  <c r="N13" i="4"/>
  <c r="D11" i="4"/>
  <c r="D39" i="4" s="1"/>
  <c r="N10" i="4"/>
  <c r="D9" i="4"/>
  <c r="N8" i="4"/>
  <c r="D6" i="4"/>
  <c r="D47" i="4" s="1"/>
  <c r="D3" i="4"/>
  <c r="D32" i="4" s="1"/>
  <c r="AZ30" i="17"/>
  <c r="AZ28" i="17"/>
  <c r="K28" i="17"/>
  <c r="AZ27" i="17"/>
  <c r="K27" i="17"/>
  <c r="AZ22" i="17"/>
  <c r="K22" i="17"/>
  <c r="AZ10" i="17"/>
  <c r="K10" i="17"/>
  <c r="AZ8" i="17"/>
  <c r="K8" i="17"/>
  <c r="AZ4" i="17"/>
  <c r="K4" i="17"/>
  <c r="K30" i="17"/>
  <c r="AF25" i="17"/>
  <c r="AF23" i="17"/>
  <c r="AZ16" i="17"/>
  <c r="K16" i="17"/>
  <c r="AZ13" i="17"/>
  <c r="K13" i="17"/>
  <c r="AZ7" i="17"/>
  <c r="K7" i="17"/>
  <c r="AZ2" i="17"/>
  <c r="AZ26" i="17"/>
  <c r="K26" i="17"/>
  <c r="AZ24" i="17"/>
  <c r="K24" i="17"/>
  <c r="AZ20" i="17"/>
  <c r="K20" i="17"/>
  <c r="AZ17" i="17"/>
  <c r="K17" i="17"/>
  <c r="AZ15" i="17"/>
  <c r="K15" i="17"/>
  <c r="AZ12" i="17"/>
  <c r="K12" i="17"/>
  <c r="AZ11" i="17"/>
  <c r="K11" i="17"/>
  <c r="AZ6" i="17"/>
  <c r="K6" i="17"/>
  <c r="AZ29" i="17"/>
  <c r="K29" i="17"/>
  <c r="AZ25" i="17"/>
  <c r="K25" i="17"/>
  <c r="AZ23" i="17"/>
  <c r="K23" i="17"/>
  <c r="AZ21" i="17"/>
  <c r="K21" i="17"/>
  <c r="AZ19" i="17"/>
  <c r="K19" i="17"/>
  <c r="AZ18" i="17"/>
  <c r="K18" i="17"/>
  <c r="AZ14" i="17"/>
  <c r="K14" i="17"/>
  <c r="AZ9" i="17"/>
  <c r="K9" i="17"/>
  <c r="AZ5" i="17"/>
  <c r="K5" i="17"/>
  <c r="K3" i="17"/>
  <c r="K32" i="17" s="1"/>
  <c r="C28" i="4"/>
  <c r="C26" i="4"/>
  <c r="C24" i="4"/>
  <c r="C19" i="4"/>
  <c r="C11" i="4"/>
  <c r="C9" i="4"/>
  <c r="C6" i="4"/>
  <c r="C23" i="4"/>
  <c r="C21" i="4"/>
  <c r="C16" i="4"/>
  <c r="C13" i="4"/>
  <c r="C10" i="4"/>
  <c r="C8" i="4"/>
  <c r="C30" i="4"/>
  <c r="C27" i="4"/>
  <c r="C25" i="4"/>
  <c r="C22" i="4"/>
  <c r="C18" i="4"/>
  <c r="C15" i="4"/>
  <c r="C12" i="4"/>
  <c r="C5" i="4"/>
  <c r="C29" i="4"/>
  <c r="C20" i="4"/>
  <c r="C17" i="4"/>
  <c r="C14" i="4"/>
  <c r="C7" i="4"/>
  <c r="C4" i="4"/>
  <c r="C2" i="4"/>
  <c r="C3" i="4"/>
  <c r="C32" i="4" s="1"/>
  <c r="Q2" i="4"/>
  <c r="H16" i="17"/>
  <c r="R16" i="17" s="1"/>
  <c r="H13" i="17"/>
  <c r="R13" i="17" s="1"/>
  <c r="H7" i="17"/>
  <c r="R7" i="17" s="1"/>
  <c r="H2" i="17"/>
  <c r="R2" i="17" s="1"/>
  <c r="H30" i="17"/>
  <c r="R30" i="17" s="1"/>
  <c r="H26" i="17"/>
  <c r="R26" i="17" s="1"/>
  <c r="H24" i="17"/>
  <c r="R24" i="17" s="1"/>
  <c r="H20" i="17"/>
  <c r="R20" i="17" s="1"/>
  <c r="H17" i="17"/>
  <c r="R17" i="17" s="1"/>
  <c r="H15" i="17"/>
  <c r="R15" i="17" s="1"/>
  <c r="H12" i="17"/>
  <c r="R12" i="17" s="1"/>
  <c r="H11" i="17"/>
  <c r="R11" i="17" s="1"/>
  <c r="H6" i="17"/>
  <c r="R6" i="17" s="1"/>
  <c r="H29" i="17"/>
  <c r="R29" i="17" s="1"/>
  <c r="H25" i="17"/>
  <c r="R25" i="17" s="1"/>
  <c r="H23" i="17"/>
  <c r="R23" i="17" s="1"/>
  <c r="H21" i="17"/>
  <c r="R21" i="17" s="1"/>
  <c r="H19" i="17"/>
  <c r="R19" i="17" s="1"/>
  <c r="H18" i="17"/>
  <c r="R18" i="17" s="1"/>
  <c r="H14" i="17"/>
  <c r="R14" i="17" s="1"/>
  <c r="H9" i="17"/>
  <c r="R9" i="17" s="1"/>
  <c r="H5" i="17"/>
  <c r="R5" i="17" s="1"/>
  <c r="H28" i="17"/>
  <c r="R28" i="17" s="1"/>
  <c r="H27" i="17"/>
  <c r="R27" i="17" s="1"/>
  <c r="H22" i="17"/>
  <c r="R22" i="17" s="1"/>
  <c r="H10" i="17"/>
  <c r="R10" i="17" s="1"/>
  <c r="H8" i="17"/>
  <c r="R8" i="17" s="1"/>
  <c r="H4" i="17"/>
  <c r="R4" i="17" s="1"/>
  <c r="D16" i="17"/>
  <c r="N16" i="17" s="1"/>
  <c r="D13" i="17"/>
  <c r="N13" i="17" s="1"/>
  <c r="D7" i="17"/>
  <c r="N7" i="17" s="1"/>
  <c r="D2" i="17"/>
  <c r="N2" i="17" s="1"/>
  <c r="D30" i="17"/>
  <c r="N30" i="17" s="1"/>
  <c r="D26" i="17"/>
  <c r="N26" i="17" s="1"/>
  <c r="D24" i="17"/>
  <c r="N24" i="17" s="1"/>
  <c r="D20" i="17"/>
  <c r="N20" i="17" s="1"/>
  <c r="D17" i="17"/>
  <c r="N17" i="17" s="1"/>
  <c r="D15" i="17"/>
  <c r="N15" i="17" s="1"/>
  <c r="D12" i="17"/>
  <c r="N12" i="17" s="1"/>
  <c r="D11" i="17"/>
  <c r="N11" i="17" s="1"/>
  <c r="D6" i="17"/>
  <c r="N6" i="17" s="1"/>
  <c r="D29" i="17"/>
  <c r="N29" i="17" s="1"/>
  <c r="D25" i="17"/>
  <c r="N25" i="17" s="1"/>
  <c r="D23" i="17"/>
  <c r="N23" i="17" s="1"/>
  <c r="D21" i="17"/>
  <c r="N21" i="17" s="1"/>
  <c r="D19" i="17"/>
  <c r="N19" i="17" s="1"/>
  <c r="D18" i="17"/>
  <c r="N18" i="17" s="1"/>
  <c r="D14" i="17"/>
  <c r="N14" i="17" s="1"/>
  <c r="D9" i="17"/>
  <c r="N9" i="17" s="1"/>
  <c r="D5" i="17"/>
  <c r="N5" i="17" s="1"/>
  <c r="D28" i="17"/>
  <c r="N28" i="17" s="1"/>
  <c r="D27" i="17"/>
  <c r="N27" i="17" s="1"/>
  <c r="D22" i="17"/>
  <c r="N22" i="17" s="1"/>
  <c r="D10" i="17"/>
  <c r="N10" i="17" s="1"/>
  <c r="D8" i="17"/>
  <c r="N8" i="17" s="1"/>
  <c r="D4" i="17"/>
  <c r="N4" i="17" s="1"/>
  <c r="I30" i="17"/>
  <c r="I26" i="17"/>
  <c r="I24" i="17"/>
  <c r="I20" i="17"/>
  <c r="I17" i="17"/>
  <c r="I15" i="17"/>
  <c r="I12" i="17"/>
  <c r="I11" i="17"/>
  <c r="I6" i="17"/>
  <c r="I29" i="17"/>
  <c r="I25" i="17"/>
  <c r="I23" i="17"/>
  <c r="I21" i="17"/>
  <c r="I19" i="17"/>
  <c r="I18" i="17"/>
  <c r="I14" i="17"/>
  <c r="I9" i="17"/>
  <c r="I5" i="17"/>
  <c r="I28" i="17"/>
  <c r="I27" i="17"/>
  <c r="I22" i="17"/>
  <c r="I10" i="17"/>
  <c r="I8" i="17"/>
  <c r="I4" i="17"/>
  <c r="I16" i="17"/>
  <c r="I13" i="17"/>
  <c r="I7" i="17"/>
  <c r="I2" i="17"/>
  <c r="E30" i="17"/>
  <c r="O30" i="17" s="1"/>
  <c r="E26" i="17"/>
  <c r="O26" i="17" s="1"/>
  <c r="E24" i="17"/>
  <c r="O24" i="17" s="1"/>
  <c r="E20" i="17"/>
  <c r="O20" i="17" s="1"/>
  <c r="E17" i="17"/>
  <c r="O17" i="17" s="1"/>
  <c r="E15" i="17"/>
  <c r="O15" i="17" s="1"/>
  <c r="E12" i="17"/>
  <c r="O12" i="17" s="1"/>
  <c r="E11" i="17"/>
  <c r="O11" i="17" s="1"/>
  <c r="E6" i="17"/>
  <c r="O6" i="17" s="1"/>
  <c r="E29" i="17"/>
  <c r="O29" i="17" s="1"/>
  <c r="E25" i="17"/>
  <c r="O25" i="17" s="1"/>
  <c r="E23" i="17"/>
  <c r="O23" i="17" s="1"/>
  <c r="E21" i="17"/>
  <c r="O21" i="17" s="1"/>
  <c r="E19" i="17"/>
  <c r="O19" i="17" s="1"/>
  <c r="E18" i="17"/>
  <c r="O18" i="17" s="1"/>
  <c r="E14" i="17"/>
  <c r="O14" i="17" s="1"/>
  <c r="E9" i="17"/>
  <c r="O9" i="17" s="1"/>
  <c r="E5" i="17"/>
  <c r="O5" i="17" s="1"/>
  <c r="E28" i="17"/>
  <c r="O28" i="17" s="1"/>
  <c r="E27" i="17"/>
  <c r="O27" i="17" s="1"/>
  <c r="E22" i="17"/>
  <c r="O22" i="17" s="1"/>
  <c r="E10" i="17"/>
  <c r="O10" i="17" s="1"/>
  <c r="E8" i="17"/>
  <c r="O8" i="17" s="1"/>
  <c r="E4" i="17"/>
  <c r="O4" i="17" s="1"/>
  <c r="E16" i="17"/>
  <c r="O16" i="17" s="1"/>
  <c r="E13" i="17"/>
  <c r="O13" i="17" s="1"/>
  <c r="E7" i="17"/>
  <c r="O7" i="17" s="1"/>
  <c r="E2" i="17"/>
  <c r="O2" i="17" s="1"/>
  <c r="F29" i="17"/>
  <c r="P29" i="17" s="1"/>
  <c r="F25" i="17"/>
  <c r="P25" i="17" s="1"/>
  <c r="F23" i="17"/>
  <c r="P23" i="17" s="1"/>
  <c r="P49" i="17" s="1"/>
  <c r="F21" i="17"/>
  <c r="P21" i="17" s="1"/>
  <c r="F19" i="17"/>
  <c r="P19" i="17" s="1"/>
  <c r="P42" i="17" s="1"/>
  <c r="Z42" i="17" s="1"/>
  <c r="F18" i="17"/>
  <c r="P18" i="17" s="1"/>
  <c r="F14" i="17"/>
  <c r="P14" i="17" s="1"/>
  <c r="P34" i="17" s="1"/>
  <c r="Z34" i="17" s="1"/>
  <c r="F9" i="17"/>
  <c r="P9" i="17" s="1"/>
  <c r="F5" i="17"/>
  <c r="P5" i="17" s="1"/>
  <c r="F28" i="17"/>
  <c r="P28" i="17" s="1"/>
  <c r="P43" i="17" s="1"/>
  <c r="Z43" i="17" s="1"/>
  <c r="F27" i="17"/>
  <c r="P27" i="17" s="1"/>
  <c r="F22" i="17"/>
  <c r="F10" i="17"/>
  <c r="P10" i="17" s="1"/>
  <c r="P46" i="17" s="1"/>
  <c r="F8" i="17"/>
  <c r="P8" i="17" s="1"/>
  <c r="P41" i="17" s="1"/>
  <c r="Z41" i="17" s="1"/>
  <c r="F4" i="17"/>
  <c r="P4" i="17" s="1"/>
  <c r="P40" i="17" s="1"/>
  <c r="Z40" i="17" s="1"/>
  <c r="F16" i="17"/>
  <c r="P16" i="17" s="1"/>
  <c r="F13" i="17"/>
  <c r="P13" i="17" s="1"/>
  <c r="P33" i="17" s="1"/>
  <c r="Z33" i="17" s="1"/>
  <c r="F7" i="17"/>
  <c r="P7" i="17" s="1"/>
  <c r="F2" i="17"/>
  <c r="P2" i="17" s="1"/>
  <c r="P38" i="17" s="1"/>
  <c r="Z38" i="17" s="1"/>
  <c r="F30" i="17"/>
  <c r="P30" i="17" s="1"/>
  <c r="P35" i="17" s="1"/>
  <c r="Z35" i="17" s="1"/>
  <c r="F26" i="17"/>
  <c r="P26" i="17" s="1"/>
  <c r="P36" i="17" s="1"/>
  <c r="Z36" i="17" s="1"/>
  <c r="F24" i="17"/>
  <c r="P24" i="17" s="1"/>
  <c r="F20" i="17"/>
  <c r="P20" i="17" s="1"/>
  <c r="F17" i="17"/>
  <c r="P17" i="17" s="1"/>
  <c r="F15" i="17"/>
  <c r="P15" i="17" s="1"/>
  <c r="P44" i="17" s="1"/>
  <c r="Z44" i="17" s="1"/>
  <c r="F12" i="17"/>
  <c r="P12" i="17" s="1"/>
  <c r="F11" i="17"/>
  <c r="P11" i="17" s="1"/>
  <c r="P39" i="17" s="1"/>
  <c r="Z39" i="17" s="1"/>
  <c r="F6" i="17"/>
  <c r="P6" i="17" s="1"/>
  <c r="P47" i="17" s="1"/>
  <c r="Z47" i="17" s="1"/>
  <c r="G28" i="17"/>
  <c r="Q28" i="17" s="1"/>
  <c r="Q43" i="17" s="1"/>
  <c r="AA43" i="17" s="1"/>
  <c r="G27" i="17"/>
  <c r="Q27" i="17" s="1"/>
  <c r="G22" i="17"/>
  <c r="G10" i="17"/>
  <c r="Q10" i="17" s="1"/>
  <c r="Q46" i="17" s="1"/>
  <c r="G8" i="17"/>
  <c r="Q8" i="17" s="1"/>
  <c r="Q41" i="17" s="1"/>
  <c r="AA41" i="17" s="1"/>
  <c r="G4" i="17"/>
  <c r="Q4" i="17" s="1"/>
  <c r="Q40" i="17" s="1"/>
  <c r="AA40" i="17" s="1"/>
  <c r="G16" i="17"/>
  <c r="Q16" i="17" s="1"/>
  <c r="G13" i="17"/>
  <c r="Q13" i="17" s="1"/>
  <c r="Q33" i="17" s="1"/>
  <c r="AA33" i="17" s="1"/>
  <c r="G7" i="17"/>
  <c r="Q7" i="17" s="1"/>
  <c r="G2" i="17"/>
  <c r="Q2" i="17" s="1"/>
  <c r="Q38" i="17" s="1"/>
  <c r="AA38" i="17" s="1"/>
  <c r="G30" i="17"/>
  <c r="Q30" i="17" s="1"/>
  <c r="Q35" i="17" s="1"/>
  <c r="AA35" i="17" s="1"/>
  <c r="G26" i="17"/>
  <c r="Q26" i="17" s="1"/>
  <c r="Q36" i="17" s="1"/>
  <c r="AA36" i="17" s="1"/>
  <c r="G24" i="17"/>
  <c r="Q24" i="17" s="1"/>
  <c r="G20" i="17"/>
  <c r="Q20" i="17" s="1"/>
  <c r="G17" i="17"/>
  <c r="Q17" i="17" s="1"/>
  <c r="G15" i="17"/>
  <c r="Q15" i="17" s="1"/>
  <c r="Q44" i="17" s="1"/>
  <c r="AA44" i="17" s="1"/>
  <c r="G12" i="17"/>
  <c r="Q12" i="17" s="1"/>
  <c r="G11" i="17"/>
  <c r="Q11" i="17" s="1"/>
  <c r="Q39" i="17" s="1"/>
  <c r="AA39" i="17" s="1"/>
  <c r="G6" i="17"/>
  <c r="Q6" i="17" s="1"/>
  <c r="Q47" i="17" s="1"/>
  <c r="AA47" i="17" s="1"/>
  <c r="G29" i="17"/>
  <c r="Q29" i="17" s="1"/>
  <c r="G25" i="17"/>
  <c r="Q25" i="17" s="1"/>
  <c r="G23" i="17"/>
  <c r="Q23" i="17" s="1"/>
  <c r="Q49" i="17" s="1"/>
  <c r="G21" i="17"/>
  <c r="Q21" i="17" s="1"/>
  <c r="G19" i="17"/>
  <c r="Q19" i="17" s="1"/>
  <c r="Q42" i="17" s="1"/>
  <c r="AA42" i="17" s="1"/>
  <c r="G18" i="17"/>
  <c r="Q18" i="17" s="1"/>
  <c r="G14" i="17"/>
  <c r="Q14" i="17" s="1"/>
  <c r="Q34" i="17" s="1"/>
  <c r="AA34" i="17" s="1"/>
  <c r="G9" i="17"/>
  <c r="Q9" i="17" s="1"/>
  <c r="G5" i="17"/>
  <c r="Q5" i="17" s="1"/>
  <c r="AE16" i="17"/>
  <c r="AE13" i="17"/>
  <c r="AE7" i="17"/>
  <c r="AE2" i="17"/>
  <c r="AE26" i="17"/>
  <c r="AE24" i="17"/>
  <c r="AE20" i="17"/>
  <c r="AE17" i="17"/>
  <c r="AE15" i="17"/>
  <c r="AE12" i="17"/>
  <c r="AE11" i="17"/>
  <c r="AE6" i="17"/>
  <c r="AE29" i="17"/>
  <c r="AE25" i="17"/>
  <c r="AE23" i="17"/>
  <c r="AE21" i="17"/>
  <c r="AE19" i="17"/>
  <c r="AE18" i="17"/>
  <c r="AE14" i="17"/>
  <c r="AE9" i="17"/>
  <c r="AE5" i="17"/>
  <c r="AE30" i="17"/>
  <c r="AE28" i="17"/>
  <c r="AE27" i="17"/>
  <c r="AE22" i="17"/>
  <c r="AE10" i="17"/>
  <c r="AE8" i="17"/>
  <c r="AE4" i="17"/>
  <c r="J30" i="17"/>
  <c r="T30" i="17" s="1"/>
  <c r="J29" i="17"/>
  <c r="T29" i="17" s="1"/>
  <c r="J25" i="17"/>
  <c r="T25" i="17" s="1"/>
  <c r="J23" i="17"/>
  <c r="T23" i="17" s="1"/>
  <c r="J21" i="17"/>
  <c r="T21" i="17" s="1"/>
  <c r="J19" i="17"/>
  <c r="J18" i="17"/>
  <c r="J14" i="17"/>
  <c r="J9" i="17"/>
  <c r="J5" i="17"/>
  <c r="J3" i="17"/>
  <c r="J32" i="17" s="1"/>
  <c r="T32" i="17" s="1"/>
  <c r="J28" i="17"/>
  <c r="T28" i="17" s="1"/>
  <c r="J27" i="17"/>
  <c r="T27" i="17" s="1"/>
  <c r="J22" i="17"/>
  <c r="T22" i="17" s="1"/>
  <c r="J10" i="17"/>
  <c r="J8" i="17"/>
  <c r="J4" i="17"/>
  <c r="J16" i="17"/>
  <c r="J13" i="17"/>
  <c r="J7" i="17"/>
  <c r="J26" i="17"/>
  <c r="T26" i="17" s="1"/>
  <c r="J24" i="17"/>
  <c r="T24" i="17" s="1"/>
  <c r="J20" i="17"/>
  <c r="J17" i="17"/>
  <c r="J15" i="17"/>
  <c r="J12" i="17"/>
  <c r="J11" i="17"/>
  <c r="J6" i="17"/>
  <c r="C30" i="15"/>
  <c r="C26" i="15"/>
  <c r="C24" i="15"/>
  <c r="C20" i="15"/>
  <c r="C17" i="15"/>
  <c r="C15" i="15"/>
  <c r="C12" i="15"/>
  <c r="C10" i="15"/>
  <c r="C8" i="15"/>
  <c r="C29" i="15"/>
  <c r="C25" i="15"/>
  <c r="C23" i="15"/>
  <c r="C21" i="15"/>
  <c r="C19" i="15"/>
  <c r="C18" i="15"/>
  <c r="C14" i="15"/>
  <c r="C7" i="15"/>
  <c r="C28" i="15"/>
  <c r="C27" i="15"/>
  <c r="C22" i="15"/>
  <c r="C11" i="15"/>
  <c r="C6" i="15"/>
  <c r="C16" i="15"/>
  <c r="C13" i="15"/>
  <c r="C5" i="15"/>
  <c r="C9" i="15"/>
  <c r="C4" i="15"/>
  <c r="C3" i="15"/>
  <c r="C2" i="15"/>
  <c r="S72" i="4"/>
  <c r="S58" i="4"/>
  <c r="S65" i="4"/>
  <c r="S51" i="4"/>
  <c r="S68" i="4"/>
  <c r="S54" i="4"/>
  <c r="S69" i="4"/>
  <c r="S55" i="4"/>
  <c r="S73" i="4"/>
  <c r="S59" i="4"/>
  <c r="S66" i="4"/>
  <c r="S52" i="4"/>
  <c r="S70" i="4"/>
  <c r="S56" i="4"/>
  <c r="S71" i="4"/>
  <c r="S57" i="4"/>
  <c r="S67" i="4"/>
  <c r="S53" i="4"/>
  <c r="S74" i="4"/>
  <c r="S60" i="4"/>
  <c r="S75" i="4"/>
  <c r="S61" i="4"/>
  <c r="S64" i="4"/>
  <c r="S50" i="4"/>
  <c r="S76" i="4"/>
  <c r="S62" i="4"/>
  <c r="H64" i="5"/>
  <c r="E45" i="5"/>
  <c r="H46" i="5"/>
  <c r="H45" i="5" s="1"/>
  <c r="O30" i="15"/>
  <c r="O29" i="15"/>
  <c r="O28" i="15"/>
  <c r="O27" i="15"/>
  <c r="O26" i="15"/>
  <c r="O24" i="15"/>
  <c r="O22" i="15"/>
  <c r="O25" i="15"/>
  <c r="O23" i="15"/>
  <c r="O20" i="15"/>
  <c r="O17" i="15"/>
  <c r="O15" i="15"/>
  <c r="O21" i="15"/>
  <c r="O19" i="15"/>
  <c r="O18" i="15"/>
  <c r="O16" i="15"/>
  <c r="O14" i="15"/>
  <c r="O13" i="15"/>
  <c r="O11" i="15"/>
  <c r="O10" i="15"/>
  <c r="O12" i="15"/>
  <c r="O8" i="15"/>
  <c r="O6" i="15"/>
  <c r="O4" i="15"/>
  <c r="O2" i="15"/>
  <c r="O9" i="15"/>
  <c r="O7" i="15"/>
  <c r="O5" i="15"/>
  <c r="Q32" i="4"/>
  <c r="N3" i="4"/>
  <c r="N32" i="4" s="1"/>
  <c r="AZ3" i="17"/>
  <c r="AZ32" i="17" s="1"/>
  <c r="AE3" i="17"/>
  <c r="AE32" i="17" s="1"/>
  <c r="L3" i="15"/>
  <c r="H3" i="17"/>
  <c r="H32" i="17" s="1"/>
  <c r="D3" i="17"/>
  <c r="D32" i="17" s="1"/>
  <c r="F3" i="17"/>
  <c r="G3" i="17"/>
  <c r="I3" i="17"/>
  <c r="I32" i="17" s="1"/>
  <c r="O3" i="15"/>
  <c r="D31" i="4" l="1"/>
  <c r="H31" i="5"/>
  <c r="H63" i="5"/>
  <c r="H48" i="5"/>
  <c r="AE32" i="5"/>
  <c r="AE31" i="5"/>
  <c r="AE63" i="5"/>
  <c r="AE65" i="5"/>
  <c r="AE48" i="5"/>
  <c r="AE52" i="5"/>
  <c r="AE45" i="5"/>
  <c r="BL48" i="18"/>
  <c r="BL63" i="18"/>
  <c r="S48" i="4"/>
  <c r="S63" i="4"/>
  <c r="D45" i="15"/>
  <c r="Q54" i="17"/>
  <c r="AA54" i="17" s="1"/>
  <c r="Q68" i="17"/>
  <c r="AA68" i="17" s="1"/>
  <c r="AA46" i="17"/>
  <c r="Q45" i="17"/>
  <c r="P60" i="17"/>
  <c r="Z60" i="17" s="1"/>
  <c r="P74" i="17"/>
  <c r="Z74" i="17" s="1"/>
  <c r="P66" i="17"/>
  <c r="P52" i="17"/>
  <c r="Z52" i="17" s="1"/>
  <c r="P56" i="17"/>
  <c r="Z56" i="17" s="1"/>
  <c r="P70" i="17"/>
  <c r="Z70" i="17" s="1"/>
  <c r="P73" i="17"/>
  <c r="Z73" i="17" s="1"/>
  <c r="P59" i="17"/>
  <c r="Z59" i="17" s="1"/>
  <c r="P53" i="17"/>
  <c r="Z53" i="17" s="1"/>
  <c r="P67" i="17"/>
  <c r="Z67" i="17" s="1"/>
  <c r="P64" i="17"/>
  <c r="Z64" i="17" s="1"/>
  <c r="P50" i="17"/>
  <c r="Z50" i="17" s="1"/>
  <c r="O46" i="17"/>
  <c r="Y10" i="17"/>
  <c r="O54" i="17"/>
  <c r="Y54" i="17" s="1"/>
  <c r="O68" i="17"/>
  <c r="Y68" i="17" s="1"/>
  <c r="Y9" i="17"/>
  <c r="O42" i="17"/>
  <c r="Y42" i="17" s="1"/>
  <c r="Y19" i="17"/>
  <c r="O47" i="17"/>
  <c r="Y47" i="17" s="1"/>
  <c r="Y6" i="17"/>
  <c r="N46" i="17"/>
  <c r="X10" i="17"/>
  <c r="N54" i="17"/>
  <c r="X54" i="17" s="1"/>
  <c r="N68" i="17"/>
  <c r="X68" i="17" s="1"/>
  <c r="X9" i="17"/>
  <c r="N42" i="17"/>
  <c r="X42" i="17" s="1"/>
  <c r="X19" i="17"/>
  <c r="N47" i="17"/>
  <c r="X47" i="17" s="1"/>
  <c r="X6" i="17"/>
  <c r="R46" i="17"/>
  <c r="AB10" i="17"/>
  <c r="R54" i="17"/>
  <c r="AB54" i="17" s="1"/>
  <c r="R68" i="17"/>
  <c r="AB68" i="17" s="1"/>
  <c r="AB9" i="17"/>
  <c r="R42" i="17"/>
  <c r="AB42" i="17" s="1"/>
  <c r="AB19" i="17"/>
  <c r="R47" i="17"/>
  <c r="AB47" i="17" s="1"/>
  <c r="AB6" i="17"/>
  <c r="Q40" i="4"/>
  <c r="U40" i="4" s="1"/>
  <c r="Q34" i="4"/>
  <c r="U34" i="4" s="1"/>
  <c r="D75" i="19"/>
  <c r="F75" i="19" s="1"/>
  <c r="F18" i="19"/>
  <c r="D61" i="19"/>
  <c r="F61" i="19" s="1"/>
  <c r="D76" i="19"/>
  <c r="F76" i="19" s="1"/>
  <c r="D62" i="19"/>
  <c r="F62" i="19" s="1"/>
  <c r="F27" i="19"/>
  <c r="Q41" i="4"/>
  <c r="U41" i="4" s="1"/>
  <c r="Q47" i="4"/>
  <c r="U47" i="4" s="1"/>
  <c r="Q36" i="4"/>
  <c r="U36" i="4" s="1"/>
  <c r="C37" i="4"/>
  <c r="C47" i="4"/>
  <c r="C36" i="4"/>
  <c r="Y32" i="17"/>
  <c r="Q65" i="17"/>
  <c r="AA65" i="17" s="1"/>
  <c r="Q51" i="17"/>
  <c r="AA51" i="17" s="1"/>
  <c r="Q62" i="17"/>
  <c r="AA62" i="17" s="1"/>
  <c r="Q76" i="17"/>
  <c r="AA76" i="17" s="1"/>
  <c r="P55" i="17"/>
  <c r="Z55" i="17" s="1"/>
  <c r="P69" i="17"/>
  <c r="Z69" i="17" s="1"/>
  <c r="P58" i="17"/>
  <c r="Z58" i="17" s="1"/>
  <c r="P72" i="17"/>
  <c r="Z72" i="17" s="1"/>
  <c r="P75" i="17"/>
  <c r="Z75" i="17" s="1"/>
  <c r="P61" i="17"/>
  <c r="Z61" i="17" s="1"/>
  <c r="Z49" i="17"/>
  <c r="P57" i="17"/>
  <c r="Z57" i="17" s="1"/>
  <c r="P71" i="17"/>
  <c r="Z71" i="17" s="1"/>
  <c r="O33" i="17"/>
  <c r="Y33" i="17" s="1"/>
  <c r="Y13" i="17"/>
  <c r="O40" i="17"/>
  <c r="Y40" i="17" s="1"/>
  <c r="Y4" i="17"/>
  <c r="O76" i="17"/>
  <c r="Y76" i="17" s="1"/>
  <c r="Y27" i="17"/>
  <c r="O62" i="17"/>
  <c r="Y62" i="17" s="1"/>
  <c r="O51" i="17"/>
  <c r="Y51" i="17" s="1"/>
  <c r="O65" i="17"/>
  <c r="Y65" i="17" s="1"/>
  <c r="Y21" i="17"/>
  <c r="O39" i="17"/>
  <c r="Y39" i="17" s="1"/>
  <c r="Y11" i="17"/>
  <c r="O44" i="17"/>
  <c r="Y44" i="17" s="1"/>
  <c r="Y15" i="17"/>
  <c r="O36" i="17"/>
  <c r="Y36" i="17" s="1"/>
  <c r="Y26" i="17"/>
  <c r="N40" i="17"/>
  <c r="X40" i="17" s="1"/>
  <c r="X4" i="17"/>
  <c r="X27" i="17"/>
  <c r="N76" i="17"/>
  <c r="X76" i="17" s="1"/>
  <c r="N62" i="17"/>
  <c r="X62" i="17" s="1"/>
  <c r="N65" i="17"/>
  <c r="X65" i="17" s="1"/>
  <c r="N51" i="17"/>
  <c r="X51" i="17" s="1"/>
  <c r="X21" i="17"/>
  <c r="N39" i="17"/>
  <c r="X39" i="17" s="1"/>
  <c r="X11" i="17"/>
  <c r="N44" i="17"/>
  <c r="X44" i="17" s="1"/>
  <c r="X15" i="17"/>
  <c r="N36" i="17"/>
  <c r="X36" i="17" s="1"/>
  <c r="X26" i="17"/>
  <c r="N33" i="17"/>
  <c r="X33" i="17" s="1"/>
  <c r="X13" i="17"/>
  <c r="R40" i="17"/>
  <c r="AB40" i="17" s="1"/>
  <c r="AB4" i="17"/>
  <c r="R76" i="17"/>
  <c r="AB76" i="17" s="1"/>
  <c r="AB27" i="17"/>
  <c r="R62" i="17"/>
  <c r="AB62" i="17" s="1"/>
  <c r="AB21" i="17"/>
  <c r="R51" i="17"/>
  <c r="AB51" i="17" s="1"/>
  <c r="R65" i="17"/>
  <c r="AB65" i="17" s="1"/>
  <c r="R39" i="17"/>
  <c r="AB39" i="17" s="1"/>
  <c r="AB11" i="17"/>
  <c r="R44" i="17"/>
  <c r="AB44" i="17" s="1"/>
  <c r="AB15" i="17"/>
  <c r="R36" i="17"/>
  <c r="AB36" i="17" s="1"/>
  <c r="AB26" i="17"/>
  <c r="R33" i="17"/>
  <c r="AB33" i="17" s="1"/>
  <c r="AB13" i="17"/>
  <c r="D73" i="19"/>
  <c r="F73" i="19" s="1"/>
  <c r="D59" i="19"/>
  <c r="F59" i="19" s="1"/>
  <c r="F7" i="19"/>
  <c r="D52" i="19"/>
  <c r="F52" i="19" s="1"/>
  <c r="D66" i="19"/>
  <c r="F66" i="19" s="1"/>
  <c r="F17" i="19"/>
  <c r="Q35" i="4"/>
  <c r="U35" i="4" s="1"/>
  <c r="Q46" i="4"/>
  <c r="D65" i="19"/>
  <c r="F65" i="19" s="1"/>
  <c r="D51" i="19"/>
  <c r="F51" i="19" s="1"/>
  <c r="F21" i="19"/>
  <c r="D54" i="19"/>
  <c r="F54" i="19" s="1"/>
  <c r="F9" i="19"/>
  <c r="D68" i="19"/>
  <c r="F68" i="19" s="1"/>
  <c r="Q42" i="4"/>
  <c r="U42" i="4" s="1"/>
  <c r="Q43" i="4"/>
  <c r="U43" i="4" s="1"/>
  <c r="C38" i="4"/>
  <c r="C44" i="4"/>
  <c r="C41" i="4"/>
  <c r="C42" i="4"/>
  <c r="C43" i="4"/>
  <c r="D31" i="15"/>
  <c r="Q53" i="17"/>
  <c r="AA53" i="17" s="1"/>
  <c r="Q67" i="17"/>
  <c r="AA67" i="17" s="1"/>
  <c r="Q64" i="17"/>
  <c r="AA64" i="17" s="1"/>
  <c r="Q50" i="17"/>
  <c r="AA50" i="17" s="1"/>
  <c r="Q60" i="17"/>
  <c r="AA60" i="17" s="1"/>
  <c r="Q74" i="17"/>
  <c r="AA74" i="17" s="1"/>
  <c r="Q66" i="17"/>
  <c r="Q52" i="17"/>
  <c r="AA52" i="17" s="1"/>
  <c r="Q56" i="17"/>
  <c r="AA56" i="17" s="1"/>
  <c r="Q70" i="17"/>
  <c r="AA70" i="17" s="1"/>
  <c r="Q73" i="17"/>
  <c r="AA73" i="17" s="1"/>
  <c r="Q59" i="17"/>
  <c r="AA59" i="17" s="1"/>
  <c r="Z46" i="17"/>
  <c r="P45" i="17"/>
  <c r="P54" i="17"/>
  <c r="Z54" i="17" s="1"/>
  <c r="P68" i="17"/>
  <c r="Z68" i="17" s="1"/>
  <c r="O38" i="17"/>
  <c r="Y38" i="17" s="1"/>
  <c r="Y2" i="17"/>
  <c r="O59" i="17"/>
  <c r="Y59" i="17" s="1"/>
  <c r="O73" i="17"/>
  <c r="Y73" i="17" s="1"/>
  <c r="Y7" i="17"/>
  <c r="O37" i="17"/>
  <c r="Y37" i="17" s="1"/>
  <c r="Y22" i="17"/>
  <c r="O43" i="17"/>
  <c r="Y43" i="17" s="1"/>
  <c r="Y28" i="17"/>
  <c r="O53" i="17"/>
  <c r="Y53" i="17" s="1"/>
  <c r="Y5" i="17"/>
  <c r="O67" i="17"/>
  <c r="Y67" i="17" s="1"/>
  <c r="O34" i="17"/>
  <c r="Y34" i="17" s="1"/>
  <c r="Y14" i="17"/>
  <c r="O64" i="17"/>
  <c r="Y64" i="17" s="1"/>
  <c r="Y25" i="17"/>
  <c r="O50" i="17"/>
  <c r="Y50" i="17" s="1"/>
  <c r="O60" i="17"/>
  <c r="Y60" i="17" s="1"/>
  <c r="Y12" i="17"/>
  <c r="O74" i="17"/>
  <c r="Y74" i="17" s="1"/>
  <c r="O52" i="17"/>
  <c r="Y52" i="17" s="1"/>
  <c r="Y17" i="17"/>
  <c r="O66" i="17"/>
  <c r="Y66" i="17" s="1"/>
  <c r="O56" i="17"/>
  <c r="Y56" i="17" s="1"/>
  <c r="O70" i="17"/>
  <c r="Y70" i="17" s="1"/>
  <c r="Y20" i="17"/>
  <c r="O35" i="17"/>
  <c r="Y35" i="17" s="1"/>
  <c r="Y30" i="17"/>
  <c r="N37" i="17"/>
  <c r="X37" i="17" s="1"/>
  <c r="X22" i="17"/>
  <c r="N43" i="17"/>
  <c r="X43" i="17" s="1"/>
  <c r="X28" i="17"/>
  <c r="N53" i="17"/>
  <c r="X53" i="17" s="1"/>
  <c r="N67" i="17"/>
  <c r="X67" i="17" s="1"/>
  <c r="X5" i="17"/>
  <c r="N34" i="17"/>
  <c r="X34" i="17" s="1"/>
  <c r="X14" i="17"/>
  <c r="N50" i="17"/>
  <c r="X50" i="17" s="1"/>
  <c r="X25" i="17"/>
  <c r="N64" i="17"/>
  <c r="X64" i="17" s="1"/>
  <c r="N60" i="17"/>
  <c r="X60" i="17" s="1"/>
  <c r="X12" i="17"/>
  <c r="N74" i="17"/>
  <c r="X74" i="17" s="1"/>
  <c r="N66" i="17"/>
  <c r="X66" i="17" s="1"/>
  <c r="N52" i="17"/>
  <c r="X52" i="17" s="1"/>
  <c r="X17" i="17"/>
  <c r="N70" i="17"/>
  <c r="X70" i="17" s="1"/>
  <c r="X20" i="17"/>
  <c r="N56" i="17"/>
  <c r="X56" i="17" s="1"/>
  <c r="N35" i="17"/>
  <c r="X35" i="17" s="1"/>
  <c r="X30" i="17"/>
  <c r="N38" i="17"/>
  <c r="X38" i="17" s="1"/>
  <c r="X2" i="17"/>
  <c r="N59" i="17"/>
  <c r="X59" i="17" s="1"/>
  <c r="X7" i="17"/>
  <c r="N73" i="17"/>
  <c r="X73" i="17" s="1"/>
  <c r="R37" i="17"/>
  <c r="AB37" i="17" s="1"/>
  <c r="AB22" i="17"/>
  <c r="R43" i="17"/>
  <c r="AB43" i="17" s="1"/>
  <c r="AB28" i="17"/>
  <c r="R67" i="17"/>
  <c r="AB67" i="17" s="1"/>
  <c r="AB5" i="17"/>
  <c r="R53" i="17"/>
  <c r="AB53" i="17" s="1"/>
  <c r="R34" i="17"/>
  <c r="AB34" i="17" s="1"/>
  <c r="AB14" i="17"/>
  <c r="AB25" i="17"/>
  <c r="R50" i="17"/>
  <c r="AB50" i="17" s="1"/>
  <c r="R64" i="17"/>
  <c r="R60" i="17"/>
  <c r="AB60" i="17" s="1"/>
  <c r="R74" i="17"/>
  <c r="AB74" i="17" s="1"/>
  <c r="AB12" i="17"/>
  <c r="R52" i="17"/>
  <c r="AB52" i="17" s="1"/>
  <c r="R66" i="17"/>
  <c r="AB66" i="17" s="1"/>
  <c r="AB17" i="17"/>
  <c r="R70" i="17"/>
  <c r="AB70" i="17" s="1"/>
  <c r="AB20" i="17"/>
  <c r="R56" i="17"/>
  <c r="AB56" i="17" s="1"/>
  <c r="R35" i="17"/>
  <c r="AB35" i="17" s="1"/>
  <c r="AB30" i="17"/>
  <c r="R38" i="17"/>
  <c r="AB38" i="17" s="1"/>
  <c r="AB2" i="17"/>
  <c r="R59" i="17"/>
  <c r="AB59" i="17" s="1"/>
  <c r="R73" i="17"/>
  <c r="AB73" i="17" s="1"/>
  <c r="AB7" i="17"/>
  <c r="F20" i="19"/>
  <c r="D56" i="19"/>
  <c r="F56" i="19" s="1"/>
  <c r="D70" i="19"/>
  <c r="F70" i="19" s="1"/>
  <c r="D71" i="19"/>
  <c r="F71" i="19" s="1"/>
  <c r="F29" i="19"/>
  <c r="D57" i="19"/>
  <c r="F57" i="19" s="1"/>
  <c r="D60" i="19"/>
  <c r="F60" i="19" s="1"/>
  <c r="F12" i="19"/>
  <c r="D74" i="19"/>
  <c r="F74" i="19" s="1"/>
  <c r="Q37" i="4"/>
  <c r="U37" i="4" s="1"/>
  <c r="Q38" i="4"/>
  <c r="U38" i="4" s="1"/>
  <c r="U2" i="4"/>
  <c r="D2" i="19" s="1"/>
  <c r="Q33" i="4"/>
  <c r="U33" i="4" s="1"/>
  <c r="Q49" i="4"/>
  <c r="U49" i="4" s="1"/>
  <c r="Q39" i="4"/>
  <c r="U39" i="4" s="1"/>
  <c r="C40" i="4"/>
  <c r="C34" i="4"/>
  <c r="C46" i="4"/>
  <c r="C39" i="4"/>
  <c r="D45" i="4"/>
  <c r="Q75" i="17"/>
  <c r="AA75" i="17" s="1"/>
  <c r="Q61" i="17"/>
  <c r="AA61" i="17" s="1"/>
  <c r="AA49" i="17"/>
  <c r="Q57" i="17"/>
  <c r="AA57" i="17" s="1"/>
  <c r="Q71" i="17"/>
  <c r="AA71" i="17" s="1"/>
  <c r="Q55" i="17"/>
  <c r="AA55" i="17" s="1"/>
  <c r="Q69" i="17"/>
  <c r="AA69" i="17" s="1"/>
  <c r="Q58" i="17"/>
  <c r="AA58" i="17" s="1"/>
  <c r="Q72" i="17"/>
  <c r="AA72" i="17" s="1"/>
  <c r="P62" i="17"/>
  <c r="Z62" i="17" s="1"/>
  <c r="P76" i="17"/>
  <c r="Z76" i="17" s="1"/>
  <c r="P65" i="17"/>
  <c r="Z65" i="17" s="1"/>
  <c r="P51" i="17"/>
  <c r="Z51" i="17" s="1"/>
  <c r="O72" i="17"/>
  <c r="Y72" i="17" s="1"/>
  <c r="Y16" i="17"/>
  <c r="O58" i="17"/>
  <c r="Y58" i="17" s="1"/>
  <c r="O41" i="17"/>
  <c r="Y41" i="17" s="1"/>
  <c r="Y8" i="17"/>
  <c r="O61" i="17"/>
  <c r="Y18" i="17"/>
  <c r="O75" i="17"/>
  <c r="O49" i="17"/>
  <c r="Y49" i="17" s="1"/>
  <c r="Y23" i="17"/>
  <c r="O71" i="17"/>
  <c r="Y71" i="17" s="1"/>
  <c r="O57" i="17"/>
  <c r="Y57" i="17" s="1"/>
  <c r="Y29" i="17"/>
  <c r="O69" i="17"/>
  <c r="Y69" i="17" s="1"/>
  <c r="O55" i="17"/>
  <c r="Y55" i="17" s="1"/>
  <c r="Y24" i="17"/>
  <c r="N41" i="17"/>
  <c r="X41" i="17" s="1"/>
  <c r="X8" i="17"/>
  <c r="N75" i="17"/>
  <c r="X18" i="17"/>
  <c r="N61" i="17"/>
  <c r="N49" i="17"/>
  <c r="X49" i="17" s="1"/>
  <c r="X23" i="17"/>
  <c r="N71" i="17"/>
  <c r="X71" i="17" s="1"/>
  <c r="X29" i="17"/>
  <c r="N57" i="17"/>
  <c r="X57" i="17" s="1"/>
  <c r="N69" i="17"/>
  <c r="X69" i="17" s="1"/>
  <c r="X24" i="17"/>
  <c r="N55" i="17"/>
  <c r="X55" i="17" s="1"/>
  <c r="N72" i="17"/>
  <c r="X72" i="17" s="1"/>
  <c r="N58" i="17"/>
  <c r="X58" i="17" s="1"/>
  <c r="X16" i="17"/>
  <c r="R41" i="17"/>
  <c r="AB41" i="17" s="1"/>
  <c r="AB8" i="17"/>
  <c r="R61" i="17"/>
  <c r="AB61" i="17" s="1"/>
  <c r="R75" i="17"/>
  <c r="AB75" i="17" s="1"/>
  <c r="AB18" i="17"/>
  <c r="R49" i="17"/>
  <c r="AB23" i="17"/>
  <c r="R57" i="17"/>
  <c r="AB57" i="17" s="1"/>
  <c r="R71" i="17"/>
  <c r="AB71" i="17" s="1"/>
  <c r="AB29" i="17"/>
  <c r="R69" i="17"/>
  <c r="AB69" i="17" s="1"/>
  <c r="AB24" i="17"/>
  <c r="R55" i="17"/>
  <c r="AB55" i="17" s="1"/>
  <c r="R58" i="17"/>
  <c r="AB58" i="17" s="1"/>
  <c r="AB16" i="17"/>
  <c r="R72" i="17"/>
  <c r="AB72" i="17" s="1"/>
  <c r="D67" i="19"/>
  <c r="F67" i="19" s="1"/>
  <c r="F5" i="19"/>
  <c r="D53" i="19"/>
  <c r="F53" i="19" s="1"/>
  <c r="Q44" i="4"/>
  <c r="U44" i="4" s="1"/>
  <c r="D50" i="19"/>
  <c r="F50" i="19" s="1"/>
  <c r="D64" i="19"/>
  <c r="F25" i="19"/>
  <c r="D72" i="19"/>
  <c r="F72" i="19" s="1"/>
  <c r="F16" i="19"/>
  <c r="D58" i="19"/>
  <c r="F58" i="19" s="1"/>
  <c r="D55" i="19"/>
  <c r="F55" i="19" s="1"/>
  <c r="F24" i="19"/>
  <c r="D69" i="19"/>
  <c r="F69" i="19" s="1"/>
  <c r="C35" i="4"/>
  <c r="C33" i="4"/>
  <c r="C49" i="4"/>
  <c r="O32" i="15"/>
  <c r="Q3" i="15"/>
  <c r="Q3" i="17"/>
  <c r="Q32" i="17" s="1"/>
  <c r="G32" i="17"/>
  <c r="P3" i="17"/>
  <c r="P32" i="17" s="1"/>
  <c r="F32" i="17"/>
  <c r="L32" i="15"/>
  <c r="AO32" i="17"/>
  <c r="U32" i="4"/>
  <c r="O67" i="15"/>
  <c r="Q67" i="15" s="1"/>
  <c r="O53" i="15"/>
  <c r="Q53" i="15" s="1"/>
  <c r="Q5" i="15"/>
  <c r="O73" i="15"/>
  <c r="Q73" i="15" s="1"/>
  <c r="O59" i="15"/>
  <c r="Q59" i="15" s="1"/>
  <c r="Q7" i="15"/>
  <c r="O54" i="15"/>
  <c r="Q54" i="15" s="1"/>
  <c r="Q9" i="15"/>
  <c r="O68" i="15"/>
  <c r="Q68" i="15" s="1"/>
  <c r="Q2" i="15"/>
  <c r="O38" i="15"/>
  <c r="Q38" i="15" s="1"/>
  <c r="O40" i="15"/>
  <c r="Q40" i="15" s="1"/>
  <c r="Q4" i="15"/>
  <c r="Q6" i="15"/>
  <c r="O47" i="15"/>
  <c r="Q47" i="15" s="1"/>
  <c r="Q8" i="15"/>
  <c r="O41" i="15"/>
  <c r="Q41" i="15" s="1"/>
  <c r="Q12" i="15"/>
  <c r="O74" i="15"/>
  <c r="Q74" i="15" s="1"/>
  <c r="O60" i="15"/>
  <c r="Q60" i="15" s="1"/>
  <c r="Q10" i="15"/>
  <c r="O46" i="15"/>
  <c r="O39" i="15"/>
  <c r="Q39" i="15" s="1"/>
  <c r="Q11" i="15"/>
  <c r="O33" i="15"/>
  <c r="Q33" i="15" s="1"/>
  <c r="Q13" i="15"/>
  <c r="O34" i="15"/>
  <c r="Q34" i="15" s="1"/>
  <c r="Q14" i="15"/>
  <c r="O58" i="15"/>
  <c r="Q58" i="15" s="1"/>
  <c r="Q16" i="15"/>
  <c r="O72" i="15"/>
  <c r="Q72" i="15" s="1"/>
  <c r="O75" i="15"/>
  <c r="Q75" i="15" s="1"/>
  <c r="O61" i="15"/>
  <c r="Q61" i="15" s="1"/>
  <c r="Q18" i="15"/>
  <c r="Q19" i="15"/>
  <c r="O42" i="15"/>
  <c r="Q42" i="15" s="1"/>
  <c r="O65" i="15"/>
  <c r="Q65" i="15" s="1"/>
  <c r="O51" i="15"/>
  <c r="Q51" i="15" s="1"/>
  <c r="Q21" i="15"/>
  <c r="O44" i="15"/>
  <c r="Q44" i="15" s="1"/>
  <c r="Q15" i="15"/>
  <c r="O66" i="15"/>
  <c r="O52" i="15"/>
  <c r="Q52" i="15" s="1"/>
  <c r="Q17" i="15"/>
  <c r="Q20" i="15"/>
  <c r="O70" i="15"/>
  <c r="Q70" i="15" s="1"/>
  <c r="O56" i="15"/>
  <c r="Q56" i="15" s="1"/>
  <c r="O49" i="15"/>
  <c r="Q23" i="15"/>
  <c r="O50" i="15"/>
  <c r="Q50" i="15" s="1"/>
  <c r="O64" i="15"/>
  <c r="Q64" i="15" s="1"/>
  <c r="Q25" i="15"/>
  <c r="Q22" i="15"/>
  <c r="O37" i="15"/>
  <c r="Q37" i="15" s="1"/>
  <c r="Q24" i="15"/>
  <c r="O69" i="15"/>
  <c r="Q69" i="15" s="1"/>
  <c r="O55" i="15"/>
  <c r="Q55" i="15" s="1"/>
  <c r="O36" i="15"/>
  <c r="Q36" i="15" s="1"/>
  <c r="Q26" i="15"/>
  <c r="O62" i="15"/>
  <c r="Q62" i="15" s="1"/>
  <c r="Q27" i="15"/>
  <c r="O76" i="15"/>
  <c r="Q76" i="15" s="1"/>
  <c r="Q28" i="15"/>
  <c r="O43" i="15"/>
  <c r="Q43" i="15" s="1"/>
  <c r="O71" i="15"/>
  <c r="Q71" i="15" s="1"/>
  <c r="O57" i="15"/>
  <c r="Q57" i="15" s="1"/>
  <c r="Q29" i="15"/>
  <c r="O35" i="15"/>
  <c r="Q35" i="15" s="1"/>
  <c r="Q30" i="15"/>
  <c r="C38" i="15"/>
  <c r="C32" i="15"/>
  <c r="C40" i="15"/>
  <c r="C68" i="15"/>
  <c r="C54" i="15"/>
  <c r="C67" i="15"/>
  <c r="C53" i="15"/>
  <c r="C33" i="15"/>
  <c r="C72" i="15"/>
  <c r="C58" i="15"/>
  <c r="C47" i="15"/>
  <c r="C39" i="15"/>
  <c r="C37" i="15"/>
  <c r="C76" i="15"/>
  <c r="C62" i="15"/>
  <c r="C43" i="15"/>
  <c r="C73" i="15"/>
  <c r="C59" i="15"/>
  <c r="C34" i="15"/>
  <c r="C75" i="15"/>
  <c r="C61" i="15"/>
  <c r="C42" i="15"/>
  <c r="C65" i="15"/>
  <c r="C51" i="15"/>
  <c r="C49" i="15"/>
  <c r="C64" i="15"/>
  <c r="C50" i="15"/>
  <c r="C71" i="15"/>
  <c r="C57" i="15"/>
  <c r="C41" i="15"/>
  <c r="C46" i="15"/>
  <c r="C74" i="15"/>
  <c r="C60" i="15"/>
  <c r="C44" i="15"/>
  <c r="C66" i="15"/>
  <c r="C52" i="15"/>
  <c r="C70" i="15"/>
  <c r="C56" i="15"/>
  <c r="C69" i="15"/>
  <c r="C55" i="15"/>
  <c r="C36" i="15"/>
  <c r="C35" i="15"/>
  <c r="J47" i="17"/>
  <c r="T47" i="17" s="1"/>
  <c r="T6" i="17"/>
  <c r="J39" i="17"/>
  <c r="T39" i="17" s="1"/>
  <c r="T11" i="17"/>
  <c r="T12" i="17"/>
  <c r="J74" i="17"/>
  <c r="T74" i="17" s="1"/>
  <c r="J60" i="17"/>
  <c r="T60" i="17" s="1"/>
  <c r="J44" i="17"/>
  <c r="T44" i="17" s="1"/>
  <c r="T15" i="17"/>
  <c r="J66" i="17"/>
  <c r="J52" i="17"/>
  <c r="T52" i="17" s="1"/>
  <c r="T17" i="17"/>
  <c r="T20" i="17"/>
  <c r="J70" i="17"/>
  <c r="T70" i="17" s="1"/>
  <c r="J56" i="17"/>
  <c r="T56" i="17" s="1"/>
  <c r="J69" i="17"/>
  <c r="T69" i="17" s="1"/>
  <c r="J55" i="17"/>
  <c r="T55" i="17" s="1"/>
  <c r="J36" i="17"/>
  <c r="T36" i="17" s="1"/>
  <c r="J38" i="17"/>
  <c r="T38" i="17" s="1"/>
  <c r="T2" i="17"/>
  <c r="T7" i="17"/>
  <c r="J73" i="17"/>
  <c r="T73" i="17" s="1"/>
  <c r="J59" i="17"/>
  <c r="T59" i="17" s="1"/>
  <c r="J33" i="17"/>
  <c r="T33" i="17" s="1"/>
  <c r="T13" i="17"/>
  <c r="T16" i="17"/>
  <c r="J72" i="17"/>
  <c r="T72" i="17" s="1"/>
  <c r="J58" i="17"/>
  <c r="T58" i="17" s="1"/>
  <c r="J40" i="17"/>
  <c r="T40" i="17" s="1"/>
  <c r="T4" i="17"/>
  <c r="J41" i="17"/>
  <c r="T41" i="17" s="1"/>
  <c r="T8" i="17"/>
  <c r="J46" i="17"/>
  <c r="T10" i="17"/>
  <c r="J37" i="17"/>
  <c r="T37" i="17" s="1"/>
  <c r="J76" i="17"/>
  <c r="T76" i="17" s="1"/>
  <c r="J62" i="17"/>
  <c r="T62" i="17" s="1"/>
  <c r="J43" i="17"/>
  <c r="T43" i="17" s="1"/>
  <c r="J67" i="17"/>
  <c r="T67" i="17" s="1"/>
  <c r="J53" i="17"/>
  <c r="T53" i="17" s="1"/>
  <c r="T5" i="17"/>
  <c r="T9" i="17"/>
  <c r="J68" i="17"/>
  <c r="T68" i="17" s="1"/>
  <c r="J54" i="17"/>
  <c r="T54" i="17" s="1"/>
  <c r="J34" i="17"/>
  <c r="T34" i="17" s="1"/>
  <c r="T14" i="17"/>
  <c r="J75" i="17"/>
  <c r="T75" i="17" s="1"/>
  <c r="J61" i="17"/>
  <c r="T61" i="17" s="1"/>
  <c r="T18" i="17"/>
  <c r="J42" i="17"/>
  <c r="T42" i="17" s="1"/>
  <c r="T19" i="17"/>
  <c r="J65" i="17"/>
  <c r="T65" i="17" s="1"/>
  <c r="J51" i="17"/>
  <c r="T51" i="17" s="1"/>
  <c r="J49" i="17"/>
  <c r="J64" i="17"/>
  <c r="T64" i="17" s="1"/>
  <c r="J50" i="17"/>
  <c r="T50" i="17" s="1"/>
  <c r="J71" i="17"/>
  <c r="T71" i="17" s="1"/>
  <c r="J57" i="17"/>
  <c r="T57" i="17" s="1"/>
  <c r="J35" i="17"/>
  <c r="T35" i="17" s="1"/>
  <c r="AE40" i="17"/>
  <c r="AO40" i="17" s="1"/>
  <c r="AO4" i="17"/>
  <c r="AE41" i="17"/>
  <c r="AO41" i="17" s="1"/>
  <c r="AO8" i="17"/>
  <c r="AE46" i="17"/>
  <c r="AO10" i="17"/>
  <c r="AE37" i="17"/>
  <c r="AO37" i="17" s="1"/>
  <c r="AO22" i="17"/>
  <c r="AE62" i="17"/>
  <c r="AO62" i="17" s="1"/>
  <c r="AE76" i="17"/>
  <c r="AO76" i="17" s="1"/>
  <c r="AO27" i="17"/>
  <c r="AE43" i="17"/>
  <c r="AO43" i="17" s="1"/>
  <c r="AO28" i="17"/>
  <c r="AE35" i="17"/>
  <c r="AO35" i="17" s="1"/>
  <c r="AO30" i="17"/>
  <c r="AE67" i="17"/>
  <c r="AO67" i="17" s="1"/>
  <c r="AE53" i="17"/>
  <c r="AO53" i="17" s="1"/>
  <c r="AO5" i="17"/>
  <c r="AO9" i="17"/>
  <c r="AE54" i="17"/>
  <c r="AO54" i="17" s="1"/>
  <c r="AE68" i="17"/>
  <c r="AO68" i="17" s="1"/>
  <c r="AE34" i="17"/>
  <c r="AO34" i="17" s="1"/>
  <c r="AO14" i="17"/>
  <c r="AE75" i="17"/>
  <c r="AO75" i="17" s="1"/>
  <c r="AE61" i="17"/>
  <c r="AO61" i="17" s="1"/>
  <c r="AO18" i="17"/>
  <c r="AE42" i="17"/>
  <c r="AO42" i="17" s="1"/>
  <c r="AO19" i="17"/>
  <c r="AE65" i="17"/>
  <c r="AO65" i="17" s="1"/>
  <c r="AE51" i="17"/>
  <c r="AO51" i="17" s="1"/>
  <c r="AO21" i="17"/>
  <c r="AE49" i="17"/>
  <c r="AO23" i="17"/>
  <c r="AE50" i="17"/>
  <c r="AO50" i="17" s="1"/>
  <c r="AE64" i="17"/>
  <c r="AO64" i="17" s="1"/>
  <c r="AO25" i="17"/>
  <c r="AE71" i="17"/>
  <c r="AO71" i="17" s="1"/>
  <c r="AE57" i="17"/>
  <c r="AO57" i="17" s="1"/>
  <c r="AO29" i="17"/>
  <c r="AE47" i="17"/>
  <c r="AO47" i="17" s="1"/>
  <c r="AO6" i="17"/>
  <c r="AE39" i="17"/>
  <c r="AO39" i="17" s="1"/>
  <c r="AO11" i="17"/>
  <c r="AO12" i="17"/>
  <c r="AE74" i="17"/>
  <c r="AO74" i="17" s="1"/>
  <c r="AE60" i="17"/>
  <c r="AO60" i="17" s="1"/>
  <c r="AE44" i="17"/>
  <c r="AO44" i="17" s="1"/>
  <c r="AO15" i="17"/>
  <c r="AO17" i="17"/>
  <c r="AE66" i="17"/>
  <c r="AE52" i="17"/>
  <c r="AO52" i="17" s="1"/>
  <c r="AE70" i="17"/>
  <c r="AO70" i="17" s="1"/>
  <c r="AE56" i="17"/>
  <c r="AO56" i="17" s="1"/>
  <c r="AO20" i="17"/>
  <c r="AO24" i="17"/>
  <c r="AE69" i="17"/>
  <c r="AO69" i="17" s="1"/>
  <c r="AE55" i="17"/>
  <c r="AO55" i="17" s="1"/>
  <c r="AE36" i="17"/>
  <c r="AO36" i="17" s="1"/>
  <c r="AO26" i="17"/>
  <c r="AE38" i="17"/>
  <c r="AO38" i="17" s="1"/>
  <c r="AO2" i="17"/>
  <c r="AO7" i="17"/>
  <c r="AE73" i="17"/>
  <c r="AO73" i="17" s="1"/>
  <c r="AE59" i="17"/>
  <c r="AO59" i="17" s="1"/>
  <c r="AE33" i="17"/>
  <c r="AO33" i="17" s="1"/>
  <c r="AO13" i="17"/>
  <c r="AE58" i="17"/>
  <c r="AO58" i="17" s="1"/>
  <c r="AE72" i="17"/>
  <c r="AO72" i="17" s="1"/>
  <c r="AO16" i="17"/>
  <c r="G67" i="17"/>
  <c r="G53" i="17"/>
  <c r="AL5" i="17"/>
  <c r="G68" i="17"/>
  <c r="G54" i="17"/>
  <c r="AL9" i="17"/>
  <c r="G34" i="17"/>
  <c r="AL14" i="17"/>
  <c r="G75" i="17"/>
  <c r="G61" i="17"/>
  <c r="AL18" i="17"/>
  <c r="G42" i="17"/>
  <c r="AL19" i="17"/>
  <c r="G65" i="17"/>
  <c r="G51" i="17"/>
  <c r="AL21" i="17"/>
  <c r="G49" i="17"/>
  <c r="AL23" i="17"/>
  <c r="G64" i="17"/>
  <c r="G50" i="17"/>
  <c r="AL25" i="17"/>
  <c r="G71" i="17"/>
  <c r="G57" i="17"/>
  <c r="AL29" i="17"/>
  <c r="G47" i="17"/>
  <c r="AL6" i="17"/>
  <c r="G39" i="17"/>
  <c r="AL11" i="17"/>
  <c r="G74" i="17"/>
  <c r="G60" i="17"/>
  <c r="AL12" i="17"/>
  <c r="G44" i="17"/>
  <c r="AL15" i="17"/>
  <c r="G66" i="17"/>
  <c r="G52" i="17"/>
  <c r="AL17" i="17"/>
  <c r="G70" i="17"/>
  <c r="G56" i="17"/>
  <c r="AL20" i="17"/>
  <c r="G69" i="17"/>
  <c r="G55" i="17"/>
  <c r="AL24" i="17"/>
  <c r="G36" i="17"/>
  <c r="AL26" i="17"/>
  <c r="G35" i="17"/>
  <c r="AL30" i="17"/>
  <c r="G38" i="17"/>
  <c r="AL2" i="17"/>
  <c r="G73" i="17"/>
  <c r="G59" i="17"/>
  <c r="AL7" i="17"/>
  <c r="G33" i="17"/>
  <c r="AL13" i="17"/>
  <c r="G72" i="17"/>
  <c r="G58" i="17"/>
  <c r="AL16" i="17"/>
  <c r="G40" i="17"/>
  <c r="AL4" i="17"/>
  <c r="G41" i="17"/>
  <c r="AL8" i="17"/>
  <c r="G46" i="17"/>
  <c r="G45" i="17" s="1"/>
  <c r="AL10" i="17"/>
  <c r="Q22" i="17"/>
  <c r="Q37" i="17" s="1"/>
  <c r="AA37" i="17" s="1"/>
  <c r="G37" i="17"/>
  <c r="AL22" i="17"/>
  <c r="G76" i="17"/>
  <c r="G62" i="17"/>
  <c r="AL27" i="17"/>
  <c r="G43" i="17"/>
  <c r="AL28" i="17"/>
  <c r="F47" i="17"/>
  <c r="AK6" i="17"/>
  <c r="F39" i="17"/>
  <c r="AK11" i="17"/>
  <c r="F74" i="17"/>
  <c r="F60" i="17"/>
  <c r="AK12" i="17"/>
  <c r="F44" i="17"/>
  <c r="AK15" i="17"/>
  <c r="F66" i="17"/>
  <c r="F52" i="17"/>
  <c r="AK17" i="17"/>
  <c r="F70" i="17"/>
  <c r="F56" i="17"/>
  <c r="AK20" i="17"/>
  <c r="F69" i="17"/>
  <c r="F55" i="17"/>
  <c r="AK24" i="17"/>
  <c r="F36" i="17"/>
  <c r="AK26" i="17"/>
  <c r="F35" i="17"/>
  <c r="AK30" i="17"/>
  <c r="F38" i="17"/>
  <c r="AK2" i="17"/>
  <c r="F73" i="17"/>
  <c r="F59" i="17"/>
  <c r="AK7" i="17"/>
  <c r="F33" i="17"/>
  <c r="AK13" i="17"/>
  <c r="F72" i="17"/>
  <c r="F58" i="17"/>
  <c r="AK16" i="17"/>
  <c r="F40" i="17"/>
  <c r="AK4" i="17"/>
  <c r="F41" i="17"/>
  <c r="AK8" i="17"/>
  <c r="F46" i="17"/>
  <c r="F45" i="17" s="1"/>
  <c r="AK10" i="17"/>
  <c r="P22" i="17"/>
  <c r="P37" i="17" s="1"/>
  <c r="Z37" i="17" s="1"/>
  <c r="F37" i="17"/>
  <c r="AK22" i="17"/>
  <c r="F76" i="17"/>
  <c r="F62" i="17"/>
  <c r="AK27" i="17"/>
  <c r="F43" i="17"/>
  <c r="AK28" i="17"/>
  <c r="F67" i="17"/>
  <c r="F53" i="17"/>
  <c r="AK5" i="17"/>
  <c r="F68" i="17"/>
  <c r="F54" i="17"/>
  <c r="AK9" i="17"/>
  <c r="F34" i="17"/>
  <c r="AK14" i="17"/>
  <c r="F75" i="17"/>
  <c r="F61" i="17"/>
  <c r="AK18" i="17"/>
  <c r="F42" i="17"/>
  <c r="AK19" i="17"/>
  <c r="F65" i="17"/>
  <c r="F51" i="17"/>
  <c r="AK21" i="17"/>
  <c r="F49" i="17"/>
  <c r="AK23" i="17"/>
  <c r="F64" i="17"/>
  <c r="F50" i="17"/>
  <c r="AK25" i="17"/>
  <c r="F71" i="17"/>
  <c r="F57" i="17"/>
  <c r="AK29" i="17"/>
  <c r="E38" i="17"/>
  <c r="AJ2" i="17"/>
  <c r="AJ7" i="17"/>
  <c r="E73" i="17"/>
  <c r="E59" i="17"/>
  <c r="E33" i="17"/>
  <c r="AJ13" i="17"/>
  <c r="AJ16" i="17"/>
  <c r="E72" i="17"/>
  <c r="E58" i="17"/>
  <c r="AJ4" i="17"/>
  <c r="E40" i="17"/>
  <c r="E41" i="17"/>
  <c r="AJ8" i="17"/>
  <c r="E46" i="17"/>
  <c r="AJ10" i="17"/>
  <c r="E37" i="17"/>
  <c r="AJ22" i="17"/>
  <c r="E76" i="17"/>
  <c r="E62" i="17"/>
  <c r="AJ27" i="17"/>
  <c r="AJ28" i="17"/>
  <c r="E43" i="17"/>
  <c r="E67" i="17"/>
  <c r="E53" i="17"/>
  <c r="AJ5" i="17"/>
  <c r="E68" i="17"/>
  <c r="E54" i="17"/>
  <c r="AJ9" i="17"/>
  <c r="E34" i="17"/>
  <c r="AJ14" i="17"/>
  <c r="E75" i="17"/>
  <c r="E61" i="17"/>
  <c r="AJ18" i="17"/>
  <c r="E42" i="17"/>
  <c r="AJ19" i="17"/>
  <c r="E65" i="17"/>
  <c r="E51" i="17"/>
  <c r="AJ21" i="17"/>
  <c r="E49" i="17"/>
  <c r="AJ23" i="17"/>
  <c r="E64" i="17"/>
  <c r="E50" i="17"/>
  <c r="AJ25" i="17"/>
  <c r="E71" i="17"/>
  <c r="E57" i="17"/>
  <c r="AJ29" i="17"/>
  <c r="AJ6" i="17"/>
  <c r="E47" i="17"/>
  <c r="E39" i="17"/>
  <c r="AJ11" i="17"/>
  <c r="E74" i="17"/>
  <c r="E60" i="17"/>
  <c r="AJ12" i="17"/>
  <c r="E44" i="17"/>
  <c r="AJ15" i="17"/>
  <c r="E66" i="17"/>
  <c r="E52" i="17"/>
  <c r="AJ17" i="17"/>
  <c r="E70" i="17"/>
  <c r="E56" i="17"/>
  <c r="AJ20" i="17"/>
  <c r="AJ24" i="17"/>
  <c r="E69" i="17"/>
  <c r="E55" i="17"/>
  <c r="E36" i="17"/>
  <c r="AJ26" i="17"/>
  <c r="E35" i="17"/>
  <c r="AJ30" i="17"/>
  <c r="I38" i="17"/>
  <c r="S2" i="17"/>
  <c r="AN2" i="17"/>
  <c r="AN7" i="17"/>
  <c r="I73" i="17"/>
  <c r="I59" i="17"/>
  <c r="S7" i="17"/>
  <c r="I33" i="17"/>
  <c r="S13" i="17"/>
  <c r="AN13" i="17"/>
  <c r="I72" i="17"/>
  <c r="I58" i="17"/>
  <c r="AN16" i="17"/>
  <c r="S16" i="17"/>
  <c r="I40" i="17"/>
  <c r="S4" i="17"/>
  <c r="AN4" i="17"/>
  <c r="I41" i="17"/>
  <c r="AN8" i="17"/>
  <c r="S8" i="17"/>
  <c r="I46" i="17"/>
  <c r="S10" i="17"/>
  <c r="AN10" i="17"/>
  <c r="I37" i="17"/>
  <c r="S22" i="17"/>
  <c r="AN22" i="17"/>
  <c r="I76" i="17"/>
  <c r="I62" i="17"/>
  <c r="S27" i="17"/>
  <c r="AN27" i="17"/>
  <c r="I43" i="17"/>
  <c r="AN28" i="17"/>
  <c r="S28" i="17"/>
  <c r="I67" i="17"/>
  <c r="I53" i="17"/>
  <c r="AN5" i="17"/>
  <c r="S5" i="17"/>
  <c r="AN9" i="17"/>
  <c r="I68" i="17"/>
  <c r="I54" i="17"/>
  <c r="S9" i="17"/>
  <c r="I34" i="17"/>
  <c r="AN14" i="17"/>
  <c r="S14" i="17"/>
  <c r="I75" i="17"/>
  <c r="I61" i="17"/>
  <c r="S18" i="17"/>
  <c r="AN18" i="17"/>
  <c r="I42" i="17"/>
  <c r="AN19" i="17"/>
  <c r="S19" i="17"/>
  <c r="I65" i="17"/>
  <c r="I51" i="17"/>
  <c r="AN21" i="17"/>
  <c r="S21" i="17"/>
  <c r="S23" i="17"/>
  <c r="I49" i="17"/>
  <c r="AN23" i="17"/>
  <c r="I64" i="17"/>
  <c r="I50" i="17"/>
  <c r="S25" i="17"/>
  <c r="AN25" i="17"/>
  <c r="S29" i="17"/>
  <c r="I71" i="17"/>
  <c r="I57" i="17"/>
  <c r="AN29" i="17"/>
  <c r="AN6" i="17"/>
  <c r="I47" i="17"/>
  <c r="S6" i="17"/>
  <c r="I39" i="17"/>
  <c r="S11" i="17"/>
  <c r="AN11" i="17"/>
  <c r="AN12" i="17"/>
  <c r="I74" i="17"/>
  <c r="I60" i="17"/>
  <c r="S12" i="17"/>
  <c r="I44" i="17"/>
  <c r="AN15" i="17"/>
  <c r="S15" i="17"/>
  <c r="I66" i="17"/>
  <c r="I52" i="17"/>
  <c r="AN17" i="17"/>
  <c r="S17" i="17"/>
  <c r="I70" i="17"/>
  <c r="I56" i="17"/>
  <c r="S20" i="17"/>
  <c r="AN20" i="17"/>
  <c r="AN24" i="17"/>
  <c r="I69" i="17"/>
  <c r="I55" i="17"/>
  <c r="S24" i="17"/>
  <c r="I36" i="17"/>
  <c r="S26" i="17"/>
  <c r="AN26" i="17"/>
  <c r="I35" i="17"/>
  <c r="S30" i="17"/>
  <c r="AN30" i="17"/>
  <c r="D40" i="17"/>
  <c r="AI4" i="17"/>
  <c r="D41" i="17"/>
  <c r="AI8" i="17"/>
  <c r="D46" i="17"/>
  <c r="AI10" i="17"/>
  <c r="D37" i="17"/>
  <c r="AI22" i="17"/>
  <c r="D76" i="17"/>
  <c r="D62" i="17"/>
  <c r="AI27" i="17"/>
  <c r="D43" i="17"/>
  <c r="AI28" i="17"/>
  <c r="D67" i="17"/>
  <c r="D53" i="17"/>
  <c r="AI5" i="17"/>
  <c r="D68" i="17"/>
  <c r="D54" i="17"/>
  <c r="AI9" i="17"/>
  <c r="D34" i="17"/>
  <c r="AI14" i="17"/>
  <c r="D75" i="17"/>
  <c r="D61" i="17"/>
  <c r="AI18" i="17"/>
  <c r="D42" i="17"/>
  <c r="AI19" i="17"/>
  <c r="D65" i="17"/>
  <c r="D51" i="17"/>
  <c r="AI21" i="17"/>
  <c r="D49" i="17"/>
  <c r="AI23" i="17"/>
  <c r="D64" i="17"/>
  <c r="D50" i="17"/>
  <c r="AI25" i="17"/>
  <c r="D71" i="17"/>
  <c r="D57" i="17"/>
  <c r="AI29" i="17"/>
  <c r="D47" i="17"/>
  <c r="AI6" i="17"/>
  <c r="AI11" i="17"/>
  <c r="D39" i="17"/>
  <c r="D74" i="17"/>
  <c r="D60" i="17"/>
  <c r="AI12" i="17"/>
  <c r="D44" i="17"/>
  <c r="AI15" i="17"/>
  <c r="D66" i="17"/>
  <c r="D52" i="17"/>
  <c r="AI17" i="17"/>
  <c r="D70" i="17"/>
  <c r="D56" i="17"/>
  <c r="AI20" i="17"/>
  <c r="D69" i="17"/>
  <c r="D55" i="17"/>
  <c r="AI24" i="17"/>
  <c r="AI26" i="17"/>
  <c r="D36" i="17"/>
  <c r="D35" i="17"/>
  <c r="AI30" i="17"/>
  <c r="D38" i="17"/>
  <c r="AI2" i="17"/>
  <c r="D73" i="17"/>
  <c r="D59" i="17"/>
  <c r="AI7" i="17"/>
  <c r="D33" i="17"/>
  <c r="AI13" i="17"/>
  <c r="AI16" i="17"/>
  <c r="D72" i="17"/>
  <c r="D58" i="17"/>
  <c r="H40" i="17"/>
  <c r="AM4" i="17"/>
  <c r="H41" i="17"/>
  <c r="AM8" i="17"/>
  <c r="H46" i="17"/>
  <c r="AM10" i="17"/>
  <c r="H37" i="17"/>
  <c r="AM22" i="17"/>
  <c r="H76" i="17"/>
  <c r="H62" i="17"/>
  <c r="AM27" i="17"/>
  <c r="AM28" i="17"/>
  <c r="H43" i="17"/>
  <c r="H67" i="17"/>
  <c r="H53" i="17"/>
  <c r="AM5" i="17"/>
  <c r="H68" i="17"/>
  <c r="H54" i="17"/>
  <c r="AM9" i="17"/>
  <c r="H34" i="17"/>
  <c r="AM14" i="17"/>
  <c r="H75" i="17"/>
  <c r="H61" i="17"/>
  <c r="AM18" i="17"/>
  <c r="H42" i="17"/>
  <c r="AM19" i="17"/>
  <c r="H65" i="17"/>
  <c r="H51" i="17"/>
  <c r="AM21" i="17"/>
  <c r="H49" i="17"/>
  <c r="AM23" i="17"/>
  <c r="AM25" i="17"/>
  <c r="H64" i="17"/>
  <c r="H50" i="17"/>
  <c r="H71" i="17"/>
  <c r="H57" i="17"/>
  <c r="AM29" i="17"/>
  <c r="H47" i="17"/>
  <c r="AM6" i="17"/>
  <c r="AM11" i="17"/>
  <c r="H39" i="17"/>
  <c r="H74" i="17"/>
  <c r="H60" i="17"/>
  <c r="AM12" i="17"/>
  <c r="H44" i="17"/>
  <c r="AM15" i="17"/>
  <c r="H66" i="17"/>
  <c r="H52" i="17"/>
  <c r="AM17" i="17"/>
  <c r="H70" i="17"/>
  <c r="H56" i="17"/>
  <c r="AM20" i="17"/>
  <c r="H69" i="17"/>
  <c r="H55" i="17"/>
  <c r="AM24" i="17"/>
  <c r="H36" i="17"/>
  <c r="AM26" i="17"/>
  <c r="H35" i="17"/>
  <c r="AM30" i="17"/>
  <c r="H38" i="17"/>
  <c r="AM2" i="17"/>
  <c r="H73" i="17"/>
  <c r="H59" i="17"/>
  <c r="AM7" i="17"/>
  <c r="H33" i="17"/>
  <c r="AM13" i="17"/>
  <c r="H72" i="17"/>
  <c r="H58" i="17"/>
  <c r="AM16" i="17"/>
  <c r="Q59" i="4"/>
  <c r="U59" i="4" s="1"/>
  <c r="Q73" i="4"/>
  <c r="U73" i="4" s="1"/>
  <c r="Q52" i="4"/>
  <c r="U52" i="4" s="1"/>
  <c r="Q66" i="4"/>
  <c r="Q56" i="4"/>
  <c r="U56" i="4" s="1"/>
  <c r="Q70" i="4"/>
  <c r="U70" i="4" s="1"/>
  <c r="Q57" i="4"/>
  <c r="U57" i="4" s="1"/>
  <c r="Q71" i="4"/>
  <c r="U71" i="4" s="1"/>
  <c r="Q53" i="4"/>
  <c r="U53" i="4" s="1"/>
  <c r="Q67" i="4"/>
  <c r="U67" i="4" s="1"/>
  <c r="Q60" i="4"/>
  <c r="U60" i="4" s="1"/>
  <c r="Q74" i="4"/>
  <c r="U74" i="4" s="1"/>
  <c r="Q61" i="4"/>
  <c r="U61" i="4" s="1"/>
  <c r="Q75" i="4"/>
  <c r="U75" i="4" s="1"/>
  <c r="Q50" i="4"/>
  <c r="Q64" i="4"/>
  <c r="Q62" i="4"/>
  <c r="U62" i="4" s="1"/>
  <c r="Q76" i="4"/>
  <c r="U76" i="4" s="1"/>
  <c r="Q58" i="4"/>
  <c r="U58" i="4" s="1"/>
  <c r="Q72" i="4"/>
  <c r="U72" i="4" s="1"/>
  <c r="Q51" i="4"/>
  <c r="U51" i="4" s="1"/>
  <c r="Q65" i="4"/>
  <c r="U65" i="4" s="1"/>
  <c r="Q54" i="4"/>
  <c r="Q68" i="4"/>
  <c r="U68" i="4" s="1"/>
  <c r="Q55" i="4"/>
  <c r="U55" i="4" s="1"/>
  <c r="Q69" i="4"/>
  <c r="U69" i="4" s="1"/>
  <c r="C73" i="4"/>
  <c r="C59" i="4"/>
  <c r="C66" i="4"/>
  <c r="C52" i="4"/>
  <c r="C70" i="4"/>
  <c r="C56" i="4"/>
  <c r="C71" i="4"/>
  <c r="C57" i="4"/>
  <c r="C67" i="4"/>
  <c r="C53" i="4"/>
  <c r="C74" i="4"/>
  <c r="C60" i="4"/>
  <c r="C75" i="4"/>
  <c r="C61" i="4"/>
  <c r="C64" i="4"/>
  <c r="C50" i="4"/>
  <c r="C76" i="4"/>
  <c r="C62" i="4"/>
  <c r="C72" i="4"/>
  <c r="C58" i="4"/>
  <c r="C65" i="4"/>
  <c r="C51" i="4"/>
  <c r="C68" i="4"/>
  <c r="C54" i="4"/>
  <c r="C69" i="4"/>
  <c r="C55" i="4"/>
  <c r="U32" i="17"/>
  <c r="K67" i="17"/>
  <c r="U67" i="17" s="1"/>
  <c r="K53" i="17"/>
  <c r="U53" i="17" s="1"/>
  <c r="U5" i="17"/>
  <c r="AZ53" i="17"/>
  <c r="AZ67" i="17"/>
  <c r="K68" i="17"/>
  <c r="U68" i="17" s="1"/>
  <c r="K54" i="17"/>
  <c r="U54" i="17" s="1"/>
  <c r="U9" i="17"/>
  <c r="AZ54" i="17"/>
  <c r="AZ68" i="17"/>
  <c r="K34" i="17"/>
  <c r="U34" i="17" s="1"/>
  <c r="U14" i="17"/>
  <c r="AZ34" i="17"/>
  <c r="K75" i="17"/>
  <c r="U75" i="17" s="1"/>
  <c r="K61" i="17"/>
  <c r="U61" i="17" s="1"/>
  <c r="U18" i="17"/>
  <c r="AZ61" i="17"/>
  <c r="AZ75" i="17"/>
  <c r="K42" i="17"/>
  <c r="U42" i="17" s="1"/>
  <c r="U19" i="17"/>
  <c r="AZ42" i="17"/>
  <c r="K65" i="17"/>
  <c r="U65" i="17" s="1"/>
  <c r="K51" i="17"/>
  <c r="U51" i="17" s="1"/>
  <c r="U21" i="17"/>
  <c r="AZ51" i="17"/>
  <c r="AZ65" i="17"/>
  <c r="K49" i="17"/>
  <c r="U23" i="17"/>
  <c r="AZ49" i="17"/>
  <c r="K64" i="17"/>
  <c r="U64" i="17" s="1"/>
  <c r="K50" i="17"/>
  <c r="U50" i="17" s="1"/>
  <c r="U25" i="17"/>
  <c r="AZ64" i="17"/>
  <c r="AZ50" i="17"/>
  <c r="K71" i="17"/>
  <c r="U71" i="17" s="1"/>
  <c r="K57" i="17"/>
  <c r="U57" i="17" s="1"/>
  <c r="U29" i="17"/>
  <c r="AZ57" i="17"/>
  <c r="AZ71" i="17"/>
  <c r="K47" i="17"/>
  <c r="U47" i="17" s="1"/>
  <c r="U6" i="17"/>
  <c r="AZ47" i="17"/>
  <c r="K39" i="17"/>
  <c r="U39" i="17" s="1"/>
  <c r="U11" i="17"/>
  <c r="AZ39" i="17"/>
  <c r="K74" i="17"/>
  <c r="U74" i="17" s="1"/>
  <c r="K60" i="17"/>
  <c r="U60" i="17" s="1"/>
  <c r="U12" i="17"/>
  <c r="AZ60" i="17"/>
  <c r="AZ74" i="17"/>
  <c r="K44" i="17"/>
  <c r="U44" i="17" s="1"/>
  <c r="U15" i="17"/>
  <c r="AZ44" i="17"/>
  <c r="K66" i="17"/>
  <c r="K52" i="17"/>
  <c r="U52" i="17" s="1"/>
  <c r="U17" i="17"/>
  <c r="AZ52" i="17"/>
  <c r="AZ66" i="17"/>
  <c r="U20" i="17"/>
  <c r="K70" i="17"/>
  <c r="U70" i="17" s="1"/>
  <c r="K56" i="17"/>
  <c r="U56" i="17" s="1"/>
  <c r="AZ56" i="17"/>
  <c r="AZ70" i="17"/>
  <c r="U24" i="17"/>
  <c r="K69" i="17"/>
  <c r="U69" i="17" s="1"/>
  <c r="K55" i="17"/>
  <c r="U55" i="17" s="1"/>
  <c r="AZ55" i="17"/>
  <c r="AZ69" i="17"/>
  <c r="K36" i="17"/>
  <c r="U36" i="17" s="1"/>
  <c r="U26" i="17"/>
  <c r="AZ36" i="17"/>
  <c r="K38" i="17"/>
  <c r="U38" i="17" s="1"/>
  <c r="U2" i="17"/>
  <c r="AZ38" i="17"/>
  <c r="U7" i="17"/>
  <c r="K73" i="17"/>
  <c r="U73" i="17" s="1"/>
  <c r="K59" i="17"/>
  <c r="U59" i="17" s="1"/>
  <c r="AZ59" i="17"/>
  <c r="AZ73" i="17"/>
  <c r="K33" i="17"/>
  <c r="U33" i="17" s="1"/>
  <c r="U13" i="17"/>
  <c r="AZ33" i="17"/>
  <c r="K72" i="17"/>
  <c r="U72" i="17" s="1"/>
  <c r="K58" i="17"/>
  <c r="U58" i="17" s="1"/>
  <c r="U16" i="17"/>
  <c r="AZ58" i="17"/>
  <c r="AZ72" i="17"/>
  <c r="AF49" i="17"/>
  <c r="AP23" i="17"/>
  <c r="AP25" i="17"/>
  <c r="AF64" i="17"/>
  <c r="AF50" i="17"/>
  <c r="AP50" i="17" s="1"/>
  <c r="K35" i="17"/>
  <c r="U35" i="17" s="1"/>
  <c r="U30" i="17"/>
  <c r="K40" i="17"/>
  <c r="U40" i="17" s="1"/>
  <c r="U4" i="17"/>
  <c r="AZ40" i="17"/>
  <c r="K41" i="17"/>
  <c r="U41" i="17" s="1"/>
  <c r="U8" i="17"/>
  <c r="AZ41" i="17"/>
  <c r="K46" i="17"/>
  <c r="U10" i="17"/>
  <c r="AZ46" i="17"/>
  <c r="K37" i="17"/>
  <c r="U37" i="17" s="1"/>
  <c r="U22" i="17"/>
  <c r="AZ37" i="17"/>
  <c r="K76" i="17"/>
  <c r="U76" i="17" s="1"/>
  <c r="K62" i="17"/>
  <c r="U62" i="17" s="1"/>
  <c r="U27" i="17"/>
  <c r="AZ62" i="17"/>
  <c r="AZ76" i="17"/>
  <c r="K43" i="17"/>
  <c r="U43" i="17" s="1"/>
  <c r="U28" i="17"/>
  <c r="AZ43" i="17"/>
  <c r="AZ35" i="17"/>
  <c r="N41" i="4"/>
  <c r="D68" i="4"/>
  <c r="D54" i="4"/>
  <c r="N46" i="4"/>
  <c r="N33" i="4"/>
  <c r="N72" i="4"/>
  <c r="N58" i="4"/>
  <c r="N65" i="4"/>
  <c r="N51" i="4"/>
  <c r="N49" i="4"/>
  <c r="D69" i="4"/>
  <c r="D55" i="4"/>
  <c r="N38" i="4"/>
  <c r="N47" i="4"/>
  <c r="D73" i="4"/>
  <c r="D59" i="4"/>
  <c r="N54" i="4"/>
  <c r="N68" i="4"/>
  <c r="N39" i="4"/>
  <c r="D66" i="4"/>
  <c r="D52" i="4"/>
  <c r="N42" i="4"/>
  <c r="D70" i="4"/>
  <c r="D56" i="4"/>
  <c r="N69" i="4"/>
  <c r="N55" i="4"/>
  <c r="N36" i="4"/>
  <c r="N43" i="4"/>
  <c r="D71" i="4"/>
  <c r="D57" i="4"/>
  <c r="N40" i="4"/>
  <c r="D67" i="4"/>
  <c r="D53" i="4"/>
  <c r="N73" i="4"/>
  <c r="N59" i="4"/>
  <c r="D74" i="4"/>
  <c r="D60" i="4"/>
  <c r="N34" i="4"/>
  <c r="N66" i="4"/>
  <c r="N52" i="4"/>
  <c r="D75" i="4"/>
  <c r="D61" i="4"/>
  <c r="N70" i="4"/>
  <c r="N56" i="4"/>
  <c r="D64" i="4"/>
  <c r="D50" i="4"/>
  <c r="R50" i="4"/>
  <c r="R48" i="4" s="1"/>
  <c r="R64" i="4"/>
  <c r="R63" i="4" s="1"/>
  <c r="D76" i="4"/>
  <c r="D62" i="4"/>
  <c r="N71" i="4"/>
  <c r="N57" i="4"/>
  <c r="N67" i="4"/>
  <c r="N53" i="4"/>
  <c r="N74" i="4"/>
  <c r="N60" i="4"/>
  <c r="N44" i="4"/>
  <c r="D72" i="4"/>
  <c r="D58" i="4"/>
  <c r="N75" i="4"/>
  <c r="N61" i="4"/>
  <c r="D65" i="4"/>
  <c r="D51" i="4"/>
  <c r="N37" i="4"/>
  <c r="N64" i="4"/>
  <c r="N50" i="4"/>
  <c r="N76" i="4"/>
  <c r="N62" i="4"/>
  <c r="N35" i="4"/>
  <c r="L38" i="15"/>
  <c r="L40" i="15"/>
  <c r="L67" i="15"/>
  <c r="L53" i="15"/>
  <c r="D67" i="15"/>
  <c r="D53" i="15"/>
  <c r="L68" i="15"/>
  <c r="L54" i="15"/>
  <c r="D74" i="15"/>
  <c r="D60" i="15"/>
  <c r="L33" i="15"/>
  <c r="L72" i="15"/>
  <c r="L58" i="15"/>
  <c r="D66" i="15"/>
  <c r="D52" i="15"/>
  <c r="D70" i="15"/>
  <c r="D56" i="15"/>
  <c r="D69" i="15"/>
  <c r="D55" i="15"/>
  <c r="L47" i="15"/>
  <c r="D68" i="15"/>
  <c r="D54" i="15"/>
  <c r="L39" i="15"/>
  <c r="D72" i="15"/>
  <c r="D58" i="15"/>
  <c r="L37" i="15"/>
  <c r="L76" i="15"/>
  <c r="L62" i="15"/>
  <c r="L43" i="15"/>
  <c r="L59" i="15"/>
  <c r="L73" i="15"/>
  <c r="L34" i="15"/>
  <c r="L75" i="15"/>
  <c r="L61" i="15"/>
  <c r="L42" i="15"/>
  <c r="L51" i="15"/>
  <c r="L65" i="15"/>
  <c r="L49" i="15"/>
  <c r="L64" i="15"/>
  <c r="L50" i="15"/>
  <c r="D76" i="15"/>
  <c r="D62" i="15"/>
  <c r="L71" i="15"/>
  <c r="L57" i="15"/>
  <c r="D73" i="15"/>
  <c r="D59" i="15"/>
  <c r="L41" i="15"/>
  <c r="L46" i="15"/>
  <c r="L74" i="15"/>
  <c r="L60" i="15"/>
  <c r="L44" i="15"/>
  <c r="L66" i="15"/>
  <c r="L52" i="15"/>
  <c r="D75" i="15"/>
  <c r="D61" i="15"/>
  <c r="L70" i="15"/>
  <c r="L56" i="15"/>
  <c r="D65" i="15"/>
  <c r="D51" i="15"/>
  <c r="L55" i="15"/>
  <c r="L69" i="15"/>
  <c r="D64" i="15"/>
  <c r="D50" i="15"/>
  <c r="L36" i="15"/>
  <c r="D71" i="15"/>
  <c r="D57" i="15"/>
  <c r="L35" i="15"/>
  <c r="AO3" i="17"/>
  <c r="N3" i="17"/>
  <c r="N32" i="17" s="1"/>
  <c r="R3" i="17"/>
  <c r="R32" i="17" s="1"/>
  <c r="S3" i="17"/>
  <c r="S32" i="17" s="1"/>
  <c r="AJ3" i="17"/>
  <c r="AJ32" i="17" s="1"/>
  <c r="AN3" i="17"/>
  <c r="AN32" i="17" s="1"/>
  <c r="AL3" i="17"/>
  <c r="AL32" i="17" s="1"/>
  <c r="AK3" i="17"/>
  <c r="AK32" i="17" s="1"/>
  <c r="AI3" i="17"/>
  <c r="AI32" i="17" s="1"/>
  <c r="AM3" i="17"/>
  <c r="AM32" i="17" s="1"/>
  <c r="E4" i="2"/>
  <c r="H4" i="2"/>
  <c r="K4" i="2"/>
  <c r="Q31" i="4" l="1"/>
  <c r="F2" i="19"/>
  <c r="C45" i="4"/>
  <c r="Q45" i="4"/>
  <c r="U46" i="4"/>
  <c r="U45" i="4" s="1"/>
  <c r="C31" i="4"/>
  <c r="Q48" i="17"/>
  <c r="C48" i="4"/>
  <c r="H31" i="17"/>
  <c r="D48" i="4"/>
  <c r="D48" i="15"/>
  <c r="E31" i="17"/>
  <c r="D63" i="17"/>
  <c r="I63" i="17"/>
  <c r="I31" i="17"/>
  <c r="F48" i="17"/>
  <c r="J31" i="17"/>
  <c r="AZ31" i="17"/>
  <c r="D31" i="17"/>
  <c r="E63" i="17"/>
  <c r="O63" i="17"/>
  <c r="Y75" i="17"/>
  <c r="O31" i="17"/>
  <c r="Y46" i="17"/>
  <c r="O45" i="17"/>
  <c r="M5" i="4"/>
  <c r="L9" i="4"/>
  <c r="L18" i="4"/>
  <c r="M21" i="4"/>
  <c r="L23" i="4"/>
  <c r="L49" i="4" s="1"/>
  <c r="M29" i="4"/>
  <c r="J16" i="4"/>
  <c r="J4" i="4"/>
  <c r="J40" i="4" s="1"/>
  <c r="J8" i="4"/>
  <c r="J41" i="4" s="1"/>
  <c r="J10" i="4"/>
  <c r="J46" i="4" s="1"/>
  <c r="J22" i="4"/>
  <c r="J37" i="4" s="1"/>
  <c r="J27" i="4"/>
  <c r="J28" i="4"/>
  <c r="J43" i="4" s="1"/>
  <c r="M3" i="4"/>
  <c r="M32" i="4" s="1"/>
  <c r="M7" i="4"/>
  <c r="J5" i="4"/>
  <c r="K8" i="4"/>
  <c r="K41" i="4" s="1"/>
  <c r="L4" i="4"/>
  <c r="L40" i="4" s="1"/>
  <c r="L8" i="4"/>
  <c r="L41" i="4" s="1"/>
  <c r="L10" i="4"/>
  <c r="L46" i="4" s="1"/>
  <c r="L22" i="4"/>
  <c r="L37" i="4" s="1"/>
  <c r="L27" i="4"/>
  <c r="L28" i="4"/>
  <c r="L43" i="4" s="1"/>
  <c r="I6" i="4"/>
  <c r="I47" i="4" s="1"/>
  <c r="I11" i="4"/>
  <c r="I39" i="4" s="1"/>
  <c r="I12" i="4"/>
  <c r="I17" i="4"/>
  <c r="E20" i="4"/>
  <c r="I24" i="4"/>
  <c r="I27" i="4"/>
  <c r="I14" i="4"/>
  <c r="I34" i="4" s="1"/>
  <c r="E29" i="4"/>
  <c r="I8" i="4"/>
  <c r="I41" i="4" s="1"/>
  <c r="E30" i="4"/>
  <c r="E19" i="4"/>
  <c r="K2" i="4"/>
  <c r="K38" i="4" s="1"/>
  <c r="J3" i="4"/>
  <c r="J32" i="4" s="1"/>
  <c r="K6" i="4"/>
  <c r="K47" i="4" s="1"/>
  <c r="J7" i="4"/>
  <c r="K15" i="4"/>
  <c r="K44" i="4" s="1"/>
  <c r="K24" i="4"/>
  <c r="L29" i="4"/>
  <c r="K12" i="4"/>
  <c r="L14" i="4"/>
  <c r="L34" i="4" s="1"/>
  <c r="M19" i="4"/>
  <c r="M42" i="4" s="1"/>
  <c r="M25" i="4"/>
  <c r="M2" i="4"/>
  <c r="M38" i="4" s="1"/>
  <c r="M6" i="4"/>
  <c r="M47" i="4" s="1"/>
  <c r="M11" i="4"/>
  <c r="M39" i="4" s="1"/>
  <c r="M12" i="4"/>
  <c r="M15" i="4"/>
  <c r="M44" i="4" s="1"/>
  <c r="M17" i="4"/>
  <c r="M20" i="4"/>
  <c r="M24" i="4"/>
  <c r="M26" i="4"/>
  <c r="M36" i="4" s="1"/>
  <c r="M30" i="4"/>
  <c r="M35" i="4" s="1"/>
  <c r="K10" i="4"/>
  <c r="K46" i="4" s="1"/>
  <c r="J18" i="4"/>
  <c r="J21" i="4"/>
  <c r="K22" i="4"/>
  <c r="K37" i="4" s="1"/>
  <c r="K27" i="4"/>
  <c r="K28" i="4"/>
  <c r="K43" i="4" s="1"/>
  <c r="L3" i="4"/>
  <c r="L32" i="4" s="1"/>
  <c r="L7" i="4"/>
  <c r="J2" i="4"/>
  <c r="J38" i="4" s="1"/>
  <c r="K5" i="4"/>
  <c r="K9" i="4"/>
  <c r="K14" i="4"/>
  <c r="K34" i="4" s="1"/>
  <c r="K18" i="4"/>
  <c r="K19" i="4"/>
  <c r="K42" i="4" s="1"/>
  <c r="K21" i="4"/>
  <c r="K23" i="4"/>
  <c r="K49" i="4" s="1"/>
  <c r="K25" i="4"/>
  <c r="K29" i="4"/>
  <c r="I15" i="4"/>
  <c r="I44" i="4" s="1"/>
  <c r="E22" i="4"/>
  <c r="E28" i="4"/>
  <c r="E7" i="4"/>
  <c r="I9" i="4"/>
  <c r="E16" i="4"/>
  <c r="E23" i="4"/>
  <c r="I25" i="4"/>
  <c r="E2" i="4"/>
  <c r="E4" i="4"/>
  <c r="E10" i="4"/>
  <c r="I26" i="4"/>
  <c r="I36" i="4" s="1"/>
  <c r="I30" i="4"/>
  <c r="I35" i="4" s="1"/>
  <c r="I19" i="4"/>
  <c r="I42" i="4" s="1"/>
  <c r="K11" i="4"/>
  <c r="K39" i="4" s="1"/>
  <c r="M14" i="4"/>
  <c r="M34" i="4" s="1"/>
  <c r="L19" i="4"/>
  <c r="L42" i="4" s="1"/>
  <c r="L25" i="4"/>
  <c r="K30" i="4"/>
  <c r="K35" i="4" s="1"/>
  <c r="L2" i="4"/>
  <c r="L38" i="4" s="1"/>
  <c r="L6" i="4"/>
  <c r="L47" i="4" s="1"/>
  <c r="L11" i="4"/>
  <c r="L39" i="4" s="1"/>
  <c r="L12" i="4"/>
  <c r="L15" i="4"/>
  <c r="L44" i="4" s="1"/>
  <c r="L17" i="4"/>
  <c r="L20" i="4"/>
  <c r="L24" i="4"/>
  <c r="L26" i="4"/>
  <c r="L36" i="4" s="1"/>
  <c r="L30" i="4"/>
  <c r="L35" i="4" s="1"/>
  <c r="L13" i="4"/>
  <c r="L33" i="4" s="1"/>
  <c r="L16" i="4"/>
  <c r="J29" i="4"/>
  <c r="J23" i="4"/>
  <c r="J49" i="4" s="1"/>
  <c r="J6" i="4"/>
  <c r="J47" i="4" s="1"/>
  <c r="J11" i="4"/>
  <c r="J39" i="4" s="1"/>
  <c r="J12" i="4"/>
  <c r="J15" i="4"/>
  <c r="J44" i="4" s="1"/>
  <c r="J17" i="4"/>
  <c r="J20" i="4"/>
  <c r="J24" i="4"/>
  <c r="J26" i="4"/>
  <c r="J36" i="4" s="1"/>
  <c r="J30" i="4"/>
  <c r="J35" i="4" s="1"/>
  <c r="E15" i="4"/>
  <c r="I22" i="4"/>
  <c r="I37" i="4" s="1"/>
  <c r="I28" i="4"/>
  <c r="I43" i="4" s="1"/>
  <c r="I7" i="4"/>
  <c r="E9" i="4"/>
  <c r="I16" i="4"/>
  <c r="I23" i="4"/>
  <c r="I49" i="4" s="1"/>
  <c r="E25" i="4"/>
  <c r="I2" i="4"/>
  <c r="I38" i="4" s="1"/>
  <c r="I4" i="4"/>
  <c r="I40" i="4" s="1"/>
  <c r="I10" i="4"/>
  <c r="I46" i="4" s="1"/>
  <c r="E26" i="4"/>
  <c r="E5" i="4"/>
  <c r="I13" i="4"/>
  <c r="I33" i="4" s="1"/>
  <c r="E18" i="4"/>
  <c r="I21" i="4"/>
  <c r="K17" i="4"/>
  <c r="K20" i="4"/>
  <c r="K26" i="4"/>
  <c r="K36" i="4" s="1"/>
  <c r="L5" i="4"/>
  <c r="M9" i="4"/>
  <c r="J13" i="4"/>
  <c r="J33" i="4" s="1"/>
  <c r="M18" i="4"/>
  <c r="L21" i="4"/>
  <c r="M23" i="4"/>
  <c r="M49" i="4" s="1"/>
  <c r="K3" i="4"/>
  <c r="K32" i="4" s="1"/>
  <c r="K7" i="4"/>
  <c r="K13" i="4"/>
  <c r="K33" i="4" s="1"/>
  <c r="K16" i="4"/>
  <c r="K4" i="4"/>
  <c r="K40" i="4" s="1"/>
  <c r="J9" i="4"/>
  <c r="J14" i="4"/>
  <c r="J34" i="4" s="1"/>
  <c r="J19" i="4"/>
  <c r="J42" i="4" s="1"/>
  <c r="J25" i="4"/>
  <c r="M13" i="4"/>
  <c r="M33" i="4" s="1"/>
  <c r="M16" i="4"/>
  <c r="M4" i="4"/>
  <c r="M40" i="4" s="1"/>
  <c r="M8" i="4"/>
  <c r="M41" i="4" s="1"/>
  <c r="M10" i="4"/>
  <c r="M46" i="4" s="1"/>
  <c r="M22" i="4"/>
  <c r="M37" i="4" s="1"/>
  <c r="M27" i="4"/>
  <c r="M28" i="4"/>
  <c r="M43" i="4" s="1"/>
  <c r="E6" i="4"/>
  <c r="E11" i="4"/>
  <c r="E12" i="4"/>
  <c r="E17" i="4"/>
  <c r="I20" i="4"/>
  <c r="E24" i="4"/>
  <c r="E27" i="4"/>
  <c r="E14" i="4"/>
  <c r="I29" i="4"/>
  <c r="E8" i="4"/>
  <c r="I5" i="4"/>
  <c r="E13" i="4"/>
  <c r="I18" i="4"/>
  <c r="E21" i="4"/>
  <c r="I3" i="4"/>
  <c r="I32" i="4" s="1"/>
  <c r="E3" i="4"/>
  <c r="E32" i="4" s="1"/>
  <c r="U50" i="4"/>
  <c r="D63" i="15"/>
  <c r="N45" i="4"/>
  <c r="K31" i="17"/>
  <c r="H63" i="17"/>
  <c r="H45" i="17"/>
  <c r="D45" i="17"/>
  <c r="D48" i="17"/>
  <c r="I45" i="17"/>
  <c r="G63" i="17"/>
  <c r="U31" i="4"/>
  <c r="G31" i="17"/>
  <c r="D63" i="19"/>
  <c r="F64" i="19"/>
  <c r="F63" i="19" s="1"/>
  <c r="X75" i="17"/>
  <c r="N63" i="17"/>
  <c r="D49" i="19"/>
  <c r="F23" i="19"/>
  <c r="D38" i="19"/>
  <c r="F38" i="19" s="1"/>
  <c r="Q63" i="17"/>
  <c r="AA66" i="17"/>
  <c r="D42" i="19"/>
  <c r="F42" i="19" s="1"/>
  <c r="F19" i="19"/>
  <c r="D46" i="19"/>
  <c r="F10" i="19"/>
  <c r="D47" i="19"/>
  <c r="F47" i="19" s="1"/>
  <c r="F6" i="19"/>
  <c r="D40" i="19"/>
  <c r="F40" i="19" s="1"/>
  <c r="F4" i="19"/>
  <c r="X46" i="17"/>
  <c r="N45" i="17"/>
  <c r="L5" i="17"/>
  <c r="L9" i="17"/>
  <c r="L3" i="17"/>
  <c r="L32" i="17" s="1"/>
  <c r="L30" i="17"/>
  <c r="L7" i="17"/>
  <c r="L4" i="17"/>
  <c r="L19" i="17"/>
  <c r="L14" i="17"/>
  <c r="L16" i="17"/>
  <c r="L25" i="17"/>
  <c r="L29" i="17"/>
  <c r="L10" i="17"/>
  <c r="L26" i="17"/>
  <c r="L13" i="17"/>
  <c r="L21" i="17"/>
  <c r="L12" i="17"/>
  <c r="L15" i="17"/>
  <c r="L24" i="17"/>
  <c r="L23" i="17"/>
  <c r="L11" i="17"/>
  <c r="L17" i="17"/>
  <c r="L20" i="17"/>
  <c r="L22" i="17"/>
  <c r="L27" i="17"/>
  <c r="L8" i="17"/>
  <c r="L18" i="17"/>
  <c r="L6" i="17"/>
  <c r="L28" i="17"/>
  <c r="G48" i="17"/>
  <c r="AB49" i="17"/>
  <c r="R48" i="17"/>
  <c r="O48" i="17"/>
  <c r="Y61" i="17"/>
  <c r="R63" i="17"/>
  <c r="AB64" i="17"/>
  <c r="P48" i="17"/>
  <c r="AB46" i="17"/>
  <c r="R45" i="17"/>
  <c r="Z66" i="17"/>
  <c r="P63" i="17"/>
  <c r="D63" i="4"/>
  <c r="H48" i="17"/>
  <c r="E45" i="17"/>
  <c r="U64" i="4"/>
  <c r="I48" i="17"/>
  <c r="E48" i="17"/>
  <c r="F63" i="17"/>
  <c r="O45" i="15"/>
  <c r="Q46" i="15"/>
  <c r="Q45" i="15" s="1"/>
  <c r="N31" i="4"/>
  <c r="AE31" i="17"/>
  <c r="F31" i="17"/>
  <c r="D44" i="19"/>
  <c r="F44" i="19" s="1"/>
  <c r="F15" i="19"/>
  <c r="X61" i="17"/>
  <c r="N48" i="17"/>
  <c r="D39" i="19"/>
  <c r="F39" i="19" s="1"/>
  <c r="F11" i="19"/>
  <c r="D33" i="19"/>
  <c r="F33" i="19" s="1"/>
  <c r="F13" i="19"/>
  <c r="D37" i="19"/>
  <c r="F37" i="19" s="1"/>
  <c r="F22" i="19"/>
  <c r="D43" i="19"/>
  <c r="F43" i="19" s="1"/>
  <c r="F28" i="19"/>
  <c r="D35" i="19"/>
  <c r="F35" i="19" s="1"/>
  <c r="F30" i="19"/>
  <c r="D36" i="19"/>
  <c r="F36" i="19" s="1"/>
  <c r="F26" i="19"/>
  <c r="D41" i="19"/>
  <c r="F41" i="19" s="1"/>
  <c r="F8" i="19"/>
  <c r="D34" i="19"/>
  <c r="F34" i="19" s="1"/>
  <c r="F14" i="19"/>
  <c r="BA16" i="17"/>
  <c r="BB16" i="17" s="1"/>
  <c r="BA13" i="17"/>
  <c r="BA7" i="17"/>
  <c r="BB7" i="17" s="1"/>
  <c r="BA2" i="17"/>
  <c r="BA26" i="17"/>
  <c r="BA24" i="17"/>
  <c r="BB24" i="17" s="1"/>
  <c r="BA20" i="17"/>
  <c r="BB20" i="17" s="1"/>
  <c r="BA17" i="17"/>
  <c r="BB17" i="17" s="1"/>
  <c r="BA15" i="17"/>
  <c r="BA12" i="17"/>
  <c r="BB12" i="17" s="1"/>
  <c r="BA11" i="17"/>
  <c r="BA6" i="17"/>
  <c r="BA29" i="17"/>
  <c r="BB29" i="17" s="1"/>
  <c r="BA25" i="17"/>
  <c r="BB25" i="17" s="1"/>
  <c r="BA23" i="17"/>
  <c r="BA21" i="17"/>
  <c r="BB21" i="17" s="1"/>
  <c r="BA19" i="17"/>
  <c r="BA18" i="17"/>
  <c r="BB18" i="17" s="1"/>
  <c r="BA14" i="17"/>
  <c r="BA9" i="17"/>
  <c r="BB9" i="17" s="1"/>
  <c r="BA5" i="17"/>
  <c r="BB5" i="17" s="1"/>
  <c r="BA30" i="17"/>
  <c r="BA28" i="17"/>
  <c r="BA27" i="17"/>
  <c r="BB27" i="17" s="1"/>
  <c r="BA22" i="17"/>
  <c r="BA10" i="17"/>
  <c r="BA8" i="17"/>
  <c r="BA4" i="17"/>
  <c r="U30" i="15"/>
  <c r="U35" i="15" s="1"/>
  <c r="H30" i="15"/>
  <c r="H35" i="15" s="1"/>
  <c r="M29" i="15"/>
  <c r="N29" i="15" s="1"/>
  <c r="I29" i="15"/>
  <c r="J28" i="15"/>
  <c r="J43" i="15" s="1"/>
  <c r="E28" i="15"/>
  <c r="J27" i="15"/>
  <c r="E27" i="15"/>
  <c r="F27" i="15" s="1"/>
  <c r="U26" i="15"/>
  <c r="U36" i="15" s="1"/>
  <c r="H26" i="15"/>
  <c r="H36" i="15" s="1"/>
  <c r="M25" i="15"/>
  <c r="N25" i="15" s="1"/>
  <c r="I25" i="15"/>
  <c r="U24" i="15"/>
  <c r="H24" i="15"/>
  <c r="M23" i="15"/>
  <c r="I23" i="15"/>
  <c r="I49" i="15" s="1"/>
  <c r="J22" i="15"/>
  <c r="J37" i="15" s="1"/>
  <c r="E22" i="15"/>
  <c r="M21" i="15"/>
  <c r="N21" i="15" s="1"/>
  <c r="I21" i="15"/>
  <c r="U20" i="15"/>
  <c r="H20" i="15"/>
  <c r="M19" i="15"/>
  <c r="I19" i="15"/>
  <c r="I42" i="15" s="1"/>
  <c r="M18" i="15"/>
  <c r="N18" i="15" s="1"/>
  <c r="I18" i="15"/>
  <c r="U17" i="15"/>
  <c r="H17" i="15"/>
  <c r="R16" i="15"/>
  <c r="K16" i="15"/>
  <c r="G16" i="15"/>
  <c r="U15" i="15"/>
  <c r="U44" i="15" s="1"/>
  <c r="H15" i="15"/>
  <c r="H44" i="15" s="1"/>
  <c r="M14" i="15"/>
  <c r="I14" i="15"/>
  <c r="I34" i="15" s="1"/>
  <c r="R13" i="15"/>
  <c r="K13" i="15"/>
  <c r="K33" i="15" s="1"/>
  <c r="G13" i="15"/>
  <c r="G33" i="15" s="1"/>
  <c r="U12" i="15"/>
  <c r="H12" i="15"/>
  <c r="J11" i="15"/>
  <c r="J39" i="15" s="1"/>
  <c r="E11" i="15"/>
  <c r="U10" i="15"/>
  <c r="U46" i="15" s="1"/>
  <c r="H10" i="15"/>
  <c r="H46" i="15" s="1"/>
  <c r="R9" i="15"/>
  <c r="K9" i="15"/>
  <c r="G9" i="15"/>
  <c r="U8" i="15"/>
  <c r="U41" i="15" s="1"/>
  <c r="H8" i="15"/>
  <c r="H41" i="15" s="1"/>
  <c r="M7" i="15"/>
  <c r="N7" i="15" s="1"/>
  <c r="I7" i="15"/>
  <c r="J6" i="15"/>
  <c r="J47" i="15" s="1"/>
  <c r="E6" i="15"/>
  <c r="R30" i="15"/>
  <c r="K30" i="15"/>
  <c r="K35" i="15" s="1"/>
  <c r="G30" i="15"/>
  <c r="G35" i="15" s="1"/>
  <c r="U29" i="15"/>
  <c r="H29" i="15"/>
  <c r="M28" i="15"/>
  <c r="I28" i="15"/>
  <c r="I43" i="15" s="1"/>
  <c r="M27" i="15"/>
  <c r="N27" i="15" s="1"/>
  <c r="I27" i="15"/>
  <c r="R26" i="15"/>
  <c r="K26" i="15"/>
  <c r="K36" i="15" s="1"/>
  <c r="G26" i="15"/>
  <c r="G36" i="15" s="1"/>
  <c r="U25" i="15"/>
  <c r="H25" i="15"/>
  <c r="R24" i="15"/>
  <c r="K24" i="15"/>
  <c r="G24" i="15"/>
  <c r="U23" i="15"/>
  <c r="U49" i="15" s="1"/>
  <c r="H23" i="15"/>
  <c r="H49" i="15" s="1"/>
  <c r="M22" i="15"/>
  <c r="I22" i="15"/>
  <c r="I37" i="15" s="1"/>
  <c r="U21" i="15"/>
  <c r="H21" i="15"/>
  <c r="R20" i="15"/>
  <c r="K20" i="15"/>
  <c r="G20" i="15"/>
  <c r="U19" i="15"/>
  <c r="U42" i="15" s="1"/>
  <c r="H19" i="15"/>
  <c r="H42" i="15" s="1"/>
  <c r="U18" i="15"/>
  <c r="H18" i="15"/>
  <c r="R17" i="15"/>
  <c r="K17" i="15"/>
  <c r="G17" i="15"/>
  <c r="J16" i="15"/>
  <c r="E16" i="15"/>
  <c r="F16" i="15" s="1"/>
  <c r="R15" i="15"/>
  <c r="K15" i="15"/>
  <c r="K44" i="15" s="1"/>
  <c r="G15" i="15"/>
  <c r="G44" i="15" s="1"/>
  <c r="U14" i="15"/>
  <c r="U34" i="15" s="1"/>
  <c r="H14" i="15"/>
  <c r="H34" i="15" s="1"/>
  <c r="J13" i="15"/>
  <c r="J33" i="15" s="1"/>
  <c r="E13" i="15"/>
  <c r="R12" i="15"/>
  <c r="K12" i="15"/>
  <c r="G12" i="15"/>
  <c r="M11" i="15"/>
  <c r="I11" i="15"/>
  <c r="I39" i="15" s="1"/>
  <c r="R10" i="15"/>
  <c r="K10" i="15"/>
  <c r="K46" i="15" s="1"/>
  <c r="G10" i="15"/>
  <c r="G46" i="15" s="1"/>
  <c r="J9" i="15"/>
  <c r="E9" i="15"/>
  <c r="F9" i="15" s="1"/>
  <c r="R8" i="15"/>
  <c r="K8" i="15"/>
  <c r="K41" i="15" s="1"/>
  <c r="G8" i="15"/>
  <c r="G41" i="15" s="1"/>
  <c r="U7" i="15"/>
  <c r="H7" i="15"/>
  <c r="M6" i="15"/>
  <c r="I6" i="15"/>
  <c r="I47" i="15" s="1"/>
  <c r="J30" i="15"/>
  <c r="J35" i="15" s="1"/>
  <c r="E30" i="15"/>
  <c r="R29" i="15"/>
  <c r="K29" i="15"/>
  <c r="G29" i="15"/>
  <c r="U28" i="15"/>
  <c r="U43" i="15" s="1"/>
  <c r="H28" i="15"/>
  <c r="H43" i="15" s="1"/>
  <c r="U27" i="15"/>
  <c r="H27" i="15"/>
  <c r="J26" i="15"/>
  <c r="J36" i="15" s="1"/>
  <c r="E26" i="15"/>
  <c r="R25" i="15"/>
  <c r="K25" i="15"/>
  <c r="G25" i="15"/>
  <c r="J24" i="15"/>
  <c r="E24" i="15"/>
  <c r="F24" i="15" s="1"/>
  <c r="R23" i="15"/>
  <c r="K23" i="15"/>
  <c r="K49" i="15" s="1"/>
  <c r="G23" i="15"/>
  <c r="G49" i="15" s="1"/>
  <c r="U22" i="15"/>
  <c r="U37" i="15" s="1"/>
  <c r="H22" i="15"/>
  <c r="H37" i="15" s="1"/>
  <c r="R21" i="15"/>
  <c r="K21" i="15"/>
  <c r="G21" i="15"/>
  <c r="J20" i="15"/>
  <c r="E20" i="15"/>
  <c r="F20" i="15" s="1"/>
  <c r="R19" i="15"/>
  <c r="K19" i="15"/>
  <c r="K42" i="15" s="1"/>
  <c r="G19" i="15"/>
  <c r="G42" i="15" s="1"/>
  <c r="R18" i="15"/>
  <c r="K18" i="15"/>
  <c r="G18" i="15"/>
  <c r="J17" i="15"/>
  <c r="E17" i="15"/>
  <c r="F17" i="15" s="1"/>
  <c r="M16" i="15"/>
  <c r="N16" i="15" s="1"/>
  <c r="I16" i="15"/>
  <c r="J15" i="15"/>
  <c r="J44" i="15" s="1"/>
  <c r="E15" i="15"/>
  <c r="R14" i="15"/>
  <c r="K14" i="15"/>
  <c r="K34" i="15" s="1"/>
  <c r="G14" i="15"/>
  <c r="G34" i="15" s="1"/>
  <c r="M13" i="15"/>
  <c r="I13" i="15"/>
  <c r="I33" i="15" s="1"/>
  <c r="J12" i="15"/>
  <c r="E12" i="15"/>
  <c r="F12" i="15" s="1"/>
  <c r="U11" i="15"/>
  <c r="U39" i="15" s="1"/>
  <c r="H11" i="15"/>
  <c r="H39" i="15" s="1"/>
  <c r="J10" i="15"/>
  <c r="J46" i="15" s="1"/>
  <c r="E10" i="15"/>
  <c r="M9" i="15"/>
  <c r="N9" i="15" s="1"/>
  <c r="I9" i="15"/>
  <c r="J8" i="15"/>
  <c r="J41" i="15" s="1"/>
  <c r="E8" i="15"/>
  <c r="R7" i="15"/>
  <c r="K7" i="15"/>
  <c r="G7" i="15"/>
  <c r="U6" i="15"/>
  <c r="U47" i="15" s="1"/>
  <c r="H6" i="15"/>
  <c r="H47" i="15" s="1"/>
  <c r="M30" i="15"/>
  <c r="I30" i="15"/>
  <c r="I35" i="15" s="1"/>
  <c r="J29" i="15"/>
  <c r="E29" i="15"/>
  <c r="F29" i="15" s="1"/>
  <c r="R28" i="15"/>
  <c r="K28" i="15"/>
  <c r="K43" i="15" s="1"/>
  <c r="G28" i="15"/>
  <c r="G43" i="15" s="1"/>
  <c r="R27" i="15"/>
  <c r="K27" i="15"/>
  <c r="G27" i="15"/>
  <c r="M26" i="15"/>
  <c r="I26" i="15"/>
  <c r="I36" i="15" s="1"/>
  <c r="J25" i="15"/>
  <c r="E25" i="15"/>
  <c r="F25" i="15" s="1"/>
  <c r="M24" i="15"/>
  <c r="N24" i="15" s="1"/>
  <c r="I24" i="15"/>
  <c r="J23" i="15"/>
  <c r="J49" i="15" s="1"/>
  <c r="E23" i="15"/>
  <c r="R22" i="15"/>
  <c r="K22" i="15"/>
  <c r="K37" i="15" s="1"/>
  <c r="G22" i="15"/>
  <c r="G37" i="15" s="1"/>
  <c r="J21" i="15"/>
  <c r="E21" i="15"/>
  <c r="F21" i="15" s="1"/>
  <c r="M20" i="15"/>
  <c r="N20" i="15" s="1"/>
  <c r="I20" i="15"/>
  <c r="J19" i="15"/>
  <c r="J42" i="15" s="1"/>
  <c r="E19" i="15"/>
  <c r="J18" i="15"/>
  <c r="E18" i="15"/>
  <c r="F18" i="15" s="1"/>
  <c r="M17" i="15"/>
  <c r="N17" i="15" s="1"/>
  <c r="I17" i="15"/>
  <c r="U16" i="15"/>
  <c r="H16" i="15"/>
  <c r="M15" i="15"/>
  <c r="I15" i="15"/>
  <c r="I44" i="15" s="1"/>
  <c r="J14" i="15"/>
  <c r="J34" i="15" s="1"/>
  <c r="E14" i="15"/>
  <c r="U13" i="15"/>
  <c r="U33" i="15" s="1"/>
  <c r="H13" i="15"/>
  <c r="H33" i="15" s="1"/>
  <c r="M12" i="15"/>
  <c r="N12" i="15" s="1"/>
  <c r="I12" i="15"/>
  <c r="R11" i="15"/>
  <c r="K11" i="15"/>
  <c r="K39" i="15" s="1"/>
  <c r="G11" i="15"/>
  <c r="G39" i="15" s="1"/>
  <c r="M10" i="15"/>
  <c r="I10" i="15"/>
  <c r="I46" i="15" s="1"/>
  <c r="I8" i="15"/>
  <c r="I41" i="15" s="1"/>
  <c r="J7" i="15"/>
  <c r="G6" i="15"/>
  <c r="G47" i="15" s="1"/>
  <c r="M5" i="15"/>
  <c r="N5" i="15" s="1"/>
  <c r="I5" i="15"/>
  <c r="J4" i="15"/>
  <c r="J40" i="15" s="1"/>
  <c r="E4" i="15"/>
  <c r="R2" i="15"/>
  <c r="K2" i="15"/>
  <c r="K38" i="15" s="1"/>
  <c r="G2" i="15"/>
  <c r="G38" i="15" s="1"/>
  <c r="J3" i="15"/>
  <c r="J32" i="15" s="1"/>
  <c r="E3" i="15"/>
  <c r="F3" i="15" s="1"/>
  <c r="H9" i="15"/>
  <c r="E7" i="15"/>
  <c r="F7" i="15" s="1"/>
  <c r="U5" i="15"/>
  <c r="H5" i="15"/>
  <c r="M4" i="15"/>
  <c r="I4" i="15"/>
  <c r="I40" i="15" s="1"/>
  <c r="J2" i="15"/>
  <c r="J38" i="15" s="1"/>
  <c r="E2" i="15"/>
  <c r="I3" i="15"/>
  <c r="I32" i="15" s="1"/>
  <c r="R6" i="15"/>
  <c r="R5" i="15"/>
  <c r="K5" i="15"/>
  <c r="G5" i="15"/>
  <c r="U4" i="15"/>
  <c r="U40" i="15" s="1"/>
  <c r="H4" i="15"/>
  <c r="H40" i="15" s="1"/>
  <c r="M2" i="15"/>
  <c r="I2" i="15"/>
  <c r="I38" i="15" s="1"/>
  <c r="U3" i="15"/>
  <c r="U32" i="15" s="1"/>
  <c r="H3" i="15"/>
  <c r="H32" i="15" s="1"/>
  <c r="U9" i="15"/>
  <c r="M8" i="15"/>
  <c r="K6" i="15"/>
  <c r="K47" i="15" s="1"/>
  <c r="J5" i="15"/>
  <c r="E5" i="15"/>
  <c r="F5" i="15" s="1"/>
  <c r="R4" i="15"/>
  <c r="K4" i="15"/>
  <c r="K40" i="15" s="1"/>
  <c r="G4" i="15"/>
  <c r="G40" i="15" s="1"/>
  <c r="U2" i="15"/>
  <c r="U38" i="15" s="1"/>
  <c r="H2" i="15"/>
  <c r="H38" i="15" s="1"/>
  <c r="K3" i="15"/>
  <c r="K32" i="15" s="1"/>
  <c r="G3" i="15"/>
  <c r="G32" i="15" s="1"/>
  <c r="V29" i="4"/>
  <c r="O29" i="4"/>
  <c r="P29" i="4" s="1"/>
  <c r="V20" i="4"/>
  <c r="O20" i="4"/>
  <c r="P20" i="4" s="1"/>
  <c r="V17" i="4"/>
  <c r="O17" i="4"/>
  <c r="P17" i="4" s="1"/>
  <c r="V14" i="4"/>
  <c r="V34" i="4" s="1"/>
  <c r="O14" i="4"/>
  <c r="V7" i="4"/>
  <c r="O7" i="4"/>
  <c r="P7" i="4" s="1"/>
  <c r="V4" i="4"/>
  <c r="V40" i="4" s="1"/>
  <c r="O4" i="4"/>
  <c r="V28" i="4"/>
  <c r="V43" i="4" s="1"/>
  <c r="O28" i="4"/>
  <c r="V26" i="4"/>
  <c r="V36" i="4" s="1"/>
  <c r="O26" i="4"/>
  <c r="V24" i="4"/>
  <c r="O24" i="4"/>
  <c r="P24" i="4" s="1"/>
  <c r="V19" i="4"/>
  <c r="V42" i="4" s="1"/>
  <c r="O19" i="4"/>
  <c r="V11" i="4"/>
  <c r="V39" i="4" s="1"/>
  <c r="O11" i="4"/>
  <c r="V9" i="4"/>
  <c r="O9" i="4"/>
  <c r="P9" i="4" s="1"/>
  <c r="V6" i="4"/>
  <c r="V47" i="4" s="1"/>
  <c r="O6" i="4"/>
  <c r="V23" i="4"/>
  <c r="V49" i="4" s="1"/>
  <c r="O23" i="4"/>
  <c r="V21" i="4"/>
  <c r="O21" i="4"/>
  <c r="P21" i="4" s="1"/>
  <c r="V16" i="4"/>
  <c r="O16" i="4"/>
  <c r="P16" i="4" s="1"/>
  <c r="V13" i="4"/>
  <c r="V33" i="4" s="1"/>
  <c r="O13" i="4"/>
  <c r="V10" i="4"/>
  <c r="V46" i="4" s="1"/>
  <c r="O10" i="4"/>
  <c r="V8" i="4"/>
  <c r="V41" i="4" s="1"/>
  <c r="O8" i="4"/>
  <c r="V2" i="4"/>
  <c r="V38" i="4" s="1"/>
  <c r="O2" i="4"/>
  <c r="V30" i="4"/>
  <c r="V35" i="4" s="1"/>
  <c r="O30" i="4"/>
  <c r="V27" i="4"/>
  <c r="O27" i="4"/>
  <c r="P27" i="4" s="1"/>
  <c r="V25" i="4"/>
  <c r="O25" i="4"/>
  <c r="P25" i="4" s="1"/>
  <c r="V22" i="4"/>
  <c r="V37" i="4" s="1"/>
  <c r="O22" i="4"/>
  <c r="V18" i="4"/>
  <c r="O18" i="4"/>
  <c r="P18" i="4" s="1"/>
  <c r="V15" i="4"/>
  <c r="V44" i="4" s="1"/>
  <c r="O15" i="4"/>
  <c r="V12" i="4"/>
  <c r="O12" i="4"/>
  <c r="P12" i="4" s="1"/>
  <c r="V5" i="4"/>
  <c r="O5" i="4"/>
  <c r="P5" i="4" s="1"/>
  <c r="V3" i="4"/>
  <c r="V32" i="4" s="1"/>
  <c r="AW32" i="17"/>
  <c r="AS32" i="17"/>
  <c r="AU32" i="17"/>
  <c r="AV32" i="17"/>
  <c r="AX32" i="17"/>
  <c r="AT32" i="17"/>
  <c r="AC32" i="17"/>
  <c r="AB32" i="17"/>
  <c r="R31" i="17"/>
  <c r="N31" i="17"/>
  <c r="X32" i="17"/>
  <c r="L63" i="15"/>
  <c r="L45" i="15"/>
  <c r="L48" i="15"/>
  <c r="N63" i="4"/>
  <c r="N48" i="4"/>
  <c r="AZ45" i="17"/>
  <c r="U46" i="17"/>
  <c r="K45" i="17"/>
  <c r="AP64" i="17"/>
  <c r="AF63" i="17"/>
  <c r="AP49" i="17"/>
  <c r="AF48" i="17"/>
  <c r="U66" i="17"/>
  <c r="K63" i="17"/>
  <c r="AZ63" i="17"/>
  <c r="AZ48" i="17"/>
  <c r="U49" i="17"/>
  <c r="K48" i="17"/>
  <c r="C63" i="4"/>
  <c r="Q48" i="4"/>
  <c r="U54" i="4"/>
  <c r="U66" i="4"/>
  <c r="Q63" i="4"/>
  <c r="AM72" i="17"/>
  <c r="AW72" i="17" s="1"/>
  <c r="AM58" i="17"/>
  <c r="AW58" i="17" s="1"/>
  <c r="AW16" i="17"/>
  <c r="AM33" i="17"/>
  <c r="AW33" i="17" s="1"/>
  <c r="AW13" i="17"/>
  <c r="AM59" i="17"/>
  <c r="AW59" i="17" s="1"/>
  <c r="AM73" i="17"/>
  <c r="AW73" i="17" s="1"/>
  <c r="AW7" i="17"/>
  <c r="AM38" i="17"/>
  <c r="AW38" i="17" s="1"/>
  <c r="AW2" i="17"/>
  <c r="AM35" i="17"/>
  <c r="AW35" i="17" s="1"/>
  <c r="AW30" i="17"/>
  <c r="AM36" i="17"/>
  <c r="AW36" i="17" s="1"/>
  <c r="AW26" i="17"/>
  <c r="AM55" i="17"/>
  <c r="AW55" i="17" s="1"/>
  <c r="AM69" i="17"/>
  <c r="AW69" i="17" s="1"/>
  <c r="AW24" i="17"/>
  <c r="AM70" i="17"/>
  <c r="AW70" i="17" s="1"/>
  <c r="AM56" i="17"/>
  <c r="AW56" i="17" s="1"/>
  <c r="AW20" i="17"/>
  <c r="AM66" i="17"/>
  <c r="AW66" i="17" s="1"/>
  <c r="AM52" i="17"/>
  <c r="AW52" i="17" s="1"/>
  <c r="AW17" i="17"/>
  <c r="AM44" i="17"/>
  <c r="AW44" i="17" s="1"/>
  <c r="AW15" i="17"/>
  <c r="AM74" i="17"/>
  <c r="AW74" i="17" s="1"/>
  <c r="AM60" i="17"/>
  <c r="AW60" i="17" s="1"/>
  <c r="AW12" i="17"/>
  <c r="AM39" i="17"/>
  <c r="AW39" i="17" s="1"/>
  <c r="AW11" i="17"/>
  <c r="AM47" i="17"/>
  <c r="AW47" i="17" s="1"/>
  <c r="AW6" i="17"/>
  <c r="AM57" i="17"/>
  <c r="AW57" i="17" s="1"/>
  <c r="AM71" i="17"/>
  <c r="AW71" i="17" s="1"/>
  <c r="AW29" i="17"/>
  <c r="AM64" i="17"/>
  <c r="AM50" i="17"/>
  <c r="AW50" i="17" s="1"/>
  <c r="AW25" i="17"/>
  <c r="AM49" i="17"/>
  <c r="AW23" i="17"/>
  <c r="AM51" i="17"/>
  <c r="AW51" i="17" s="1"/>
  <c r="AM65" i="17"/>
  <c r="AW65" i="17" s="1"/>
  <c r="AW21" i="17"/>
  <c r="AM42" i="17"/>
  <c r="AW42" i="17" s="1"/>
  <c r="AW19" i="17"/>
  <c r="AW18" i="17"/>
  <c r="AM61" i="17"/>
  <c r="AW61" i="17" s="1"/>
  <c r="AM75" i="17"/>
  <c r="AW75" i="17" s="1"/>
  <c r="AM34" i="17"/>
  <c r="AW34" i="17" s="1"/>
  <c r="AW14" i="17"/>
  <c r="AM68" i="17"/>
  <c r="AW68" i="17" s="1"/>
  <c r="AM54" i="17"/>
  <c r="AW54" i="17" s="1"/>
  <c r="AW9" i="17"/>
  <c r="AM53" i="17"/>
  <c r="AW53" i="17" s="1"/>
  <c r="AM67" i="17"/>
  <c r="AW67" i="17" s="1"/>
  <c r="AW5" i="17"/>
  <c r="AM43" i="17"/>
  <c r="AW43" i="17" s="1"/>
  <c r="AW28" i="17"/>
  <c r="AM76" i="17"/>
  <c r="AW76" i="17" s="1"/>
  <c r="AM62" i="17"/>
  <c r="AW62" i="17" s="1"/>
  <c r="AW27" i="17"/>
  <c r="AM37" i="17"/>
  <c r="AW37" i="17" s="1"/>
  <c r="AW22" i="17"/>
  <c r="AM46" i="17"/>
  <c r="AW10" i="17"/>
  <c r="AM41" i="17"/>
  <c r="AW41" i="17" s="1"/>
  <c r="AW8" i="17"/>
  <c r="AM40" i="17"/>
  <c r="AW40" i="17" s="1"/>
  <c r="AW4" i="17"/>
  <c r="AI72" i="17"/>
  <c r="AS72" i="17" s="1"/>
  <c r="AI58" i="17"/>
  <c r="AS58" i="17" s="1"/>
  <c r="AS16" i="17"/>
  <c r="AI33" i="17"/>
  <c r="AS33" i="17" s="1"/>
  <c r="AS13" i="17"/>
  <c r="AI59" i="17"/>
  <c r="AS59" i="17" s="1"/>
  <c r="AI73" i="17"/>
  <c r="AS73" i="17" s="1"/>
  <c r="AS7" i="17"/>
  <c r="AI38" i="17"/>
  <c r="AS38" i="17" s="1"/>
  <c r="AS2" i="17"/>
  <c r="AI35" i="17"/>
  <c r="AS35" i="17" s="1"/>
  <c r="AS30" i="17"/>
  <c r="AI36" i="17"/>
  <c r="AS36" i="17" s="1"/>
  <c r="AS26" i="17"/>
  <c r="AI55" i="17"/>
  <c r="AS55" i="17" s="1"/>
  <c r="AI69" i="17"/>
  <c r="AS69" i="17" s="1"/>
  <c r="AS24" i="17"/>
  <c r="AI70" i="17"/>
  <c r="AS70" i="17" s="1"/>
  <c r="AI56" i="17"/>
  <c r="AS56" i="17" s="1"/>
  <c r="AS20" i="17"/>
  <c r="AI66" i="17"/>
  <c r="AS66" i="17" s="1"/>
  <c r="AI52" i="17"/>
  <c r="AS52" i="17" s="1"/>
  <c r="AS17" i="17"/>
  <c r="AI44" i="17"/>
  <c r="AS44" i="17" s="1"/>
  <c r="AS15" i="17"/>
  <c r="AI74" i="17"/>
  <c r="AS74" i="17" s="1"/>
  <c r="AI60" i="17"/>
  <c r="AS60" i="17" s="1"/>
  <c r="AS12" i="17"/>
  <c r="AI39" i="17"/>
  <c r="AS39" i="17" s="1"/>
  <c r="AS11" i="17"/>
  <c r="AI47" i="17"/>
  <c r="AS47" i="17" s="1"/>
  <c r="AS6" i="17"/>
  <c r="AI57" i="17"/>
  <c r="AS57" i="17" s="1"/>
  <c r="AI71" i="17"/>
  <c r="AS71" i="17" s="1"/>
  <c r="AS29" i="17"/>
  <c r="AI64" i="17"/>
  <c r="AS64" i="17" s="1"/>
  <c r="AI50" i="17"/>
  <c r="AS50" i="17" s="1"/>
  <c r="AS25" i="17"/>
  <c r="AI49" i="17"/>
  <c r="AS49" i="17" s="1"/>
  <c r="AS23" i="17"/>
  <c r="AI51" i="17"/>
  <c r="AS51" i="17" s="1"/>
  <c r="AI65" i="17"/>
  <c r="AS65" i="17" s="1"/>
  <c r="AS21" i="17"/>
  <c r="AI42" i="17"/>
  <c r="AS42" i="17" s="1"/>
  <c r="AS19" i="17"/>
  <c r="AI61" i="17"/>
  <c r="AI75" i="17"/>
  <c r="AS18" i="17"/>
  <c r="AI34" i="17"/>
  <c r="AS34" i="17" s="1"/>
  <c r="AS14" i="17"/>
  <c r="AI68" i="17"/>
  <c r="AS68" i="17" s="1"/>
  <c r="AI54" i="17"/>
  <c r="AS54" i="17" s="1"/>
  <c r="AS9" i="17"/>
  <c r="AI53" i="17"/>
  <c r="AS53" i="17" s="1"/>
  <c r="AI67" i="17"/>
  <c r="AS67" i="17" s="1"/>
  <c r="AS5" i="17"/>
  <c r="AI43" i="17"/>
  <c r="AS43" i="17" s="1"/>
  <c r="AS28" i="17"/>
  <c r="AI76" i="17"/>
  <c r="AS76" i="17" s="1"/>
  <c r="AI62" i="17"/>
  <c r="AS62" i="17" s="1"/>
  <c r="AS27" i="17"/>
  <c r="AI37" i="17"/>
  <c r="AS37" i="17" s="1"/>
  <c r="AS22" i="17"/>
  <c r="AI46" i="17"/>
  <c r="AS10" i="17"/>
  <c r="AI41" i="17"/>
  <c r="AS41" i="17" s="1"/>
  <c r="AS8" i="17"/>
  <c r="AI40" i="17"/>
  <c r="AS40" i="17" s="1"/>
  <c r="AS4" i="17"/>
  <c r="AN35" i="17"/>
  <c r="AX35" i="17" s="1"/>
  <c r="AX30" i="17"/>
  <c r="S35" i="17"/>
  <c r="AC35" i="17" s="1"/>
  <c r="AC30" i="17"/>
  <c r="AN36" i="17"/>
  <c r="AX36" i="17" s="1"/>
  <c r="AX26" i="17"/>
  <c r="S36" i="17"/>
  <c r="AC36" i="17" s="1"/>
  <c r="AC26" i="17"/>
  <c r="S55" i="17"/>
  <c r="AC55" i="17" s="1"/>
  <c r="S69" i="17"/>
  <c r="AC69" i="17" s="1"/>
  <c r="AC24" i="17"/>
  <c r="AN55" i="17"/>
  <c r="AX55" i="17" s="1"/>
  <c r="AN69" i="17"/>
  <c r="AX69" i="17" s="1"/>
  <c r="AX24" i="17"/>
  <c r="AN70" i="17"/>
  <c r="AX70" i="17" s="1"/>
  <c r="AN56" i="17"/>
  <c r="AX56" i="17" s="1"/>
  <c r="AX20" i="17"/>
  <c r="S56" i="17"/>
  <c r="AC56" i="17" s="1"/>
  <c r="S70" i="17"/>
  <c r="AC70" i="17" s="1"/>
  <c r="AC20" i="17"/>
  <c r="S52" i="17"/>
  <c r="AC52" i="17" s="1"/>
  <c r="S66" i="17"/>
  <c r="AC17" i="17"/>
  <c r="AN66" i="17"/>
  <c r="AN52" i="17"/>
  <c r="AX52" i="17" s="1"/>
  <c r="AX17" i="17"/>
  <c r="S44" i="17"/>
  <c r="AC44" i="17" s="1"/>
  <c r="AC15" i="17"/>
  <c r="AN44" i="17"/>
  <c r="AX44" i="17" s="1"/>
  <c r="AX15" i="17"/>
  <c r="S60" i="17"/>
  <c r="AC60" i="17" s="1"/>
  <c r="S74" i="17"/>
  <c r="AC74" i="17" s="1"/>
  <c r="AC12" i="17"/>
  <c r="AN74" i="17"/>
  <c r="AX74" i="17" s="1"/>
  <c r="AN60" i="17"/>
  <c r="AX60" i="17" s="1"/>
  <c r="AX12" i="17"/>
  <c r="AN39" i="17"/>
  <c r="AX39" i="17" s="1"/>
  <c r="AX11" i="17"/>
  <c r="S39" i="17"/>
  <c r="AC39" i="17" s="1"/>
  <c r="AC11" i="17"/>
  <c r="S47" i="17"/>
  <c r="AC47" i="17" s="1"/>
  <c r="AC6" i="17"/>
  <c r="AN47" i="17"/>
  <c r="AX47" i="17" s="1"/>
  <c r="AX6" i="17"/>
  <c r="AN57" i="17"/>
  <c r="AX57" i="17" s="1"/>
  <c r="AN71" i="17"/>
  <c r="AX71" i="17" s="1"/>
  <c r="AX29" i="17"/>
  <c r="S57" i="17"/>
  <c r="AC57" i="17" s="1"/>
  <c r="S71" i="17"/>
  <c r="AC71" i="17" s="1"/>
  <c r="AC29" i="17"/>
  <c r="AN64" i="17"/>
  <c r="AX64" i="17" s="1"/>
  <c r="AN50" i="17"/>
  <c r="AX50" i="17" s="1"/>
  <c r="AX25" i="17"/>
  <c r="S50" i="17"/>
  <c r="AC50" i="17" s="1"/>
  <c r="S64" i="17"/>
  <c r="AC64" i="17" s="1"/>
  <c r="AC25" i="17"/>
  <c r="AN49" i="17"/>
  <c r="AX23" i="17"/>
  <c r="S49" i="17"/>
  <c r="AC23" i="17"/>
  <c r="S51" i="17"/>
  <c r="AC51" i="17" s="1"/>
  <c r="S65" i="17"/>
  <c r="AC65" i="17" s="1"/>
  <c r="AC21" i="17"/>
  <c r="AN51" i="17"/>
  <c r="AX51" i="17" s="1"/>
  <c r="AN65" i="17"/>
  <c r="AX65" i="17" s="1"/>
  <c r="AX21" i="17"/>
  <c r="S42" i="17"/>
  <c r="AC42" i="17" s="1"/>
  <c r="AC19" i="17"/>
  <c r="AN42" i="17"/>
  <c r="AX42" i="17" s="1"/>
  <c r="AX19" i="17"/>
  <c r="AN61" i="17"/>
  <c r="AX61" i="17" s="1"/>
  <c r="AN75" i="17"/>
  <c r="AX75" i="17" s="1"/>
  <c r="AX18" i="17"/>
  <c r="S61" i="17"/>
  <c r="AC61" i="17" s="1"/>
  <c r="S75" i="17"/>
  <c r="AC75" i="17" s="1"/>
  <c r="AC18" i="17"/>
  <c r="AC14" i="17"/>
  <c r="S34" i="17"/>
  <c r="AC34" i="17" s="1"/>
  <c r="AN34" i="17"/>
  <c r="AX34" i="17" s="1"/>
  <c r="AX14" i="17"/>
  <c r="S54" i="17"/>
  <c r="AC54" i="17" s="1"/>
  <c r="S68" i="17"/>
  <c r="AC68" i="17" s="1"/>
  <c r="AC9" i="17"/>
  <c r="AN68" i="17"/>
  <c r="AX68" i="17" s="1"/>
  <c r="AN54" i="17"/>
  <c r="AX54" i="17" s="1"/>
  <c r="AX9" i="17"/>
  <c r="S53" i="17"/>
  <c r="AC53" i="17" s="1"/>
  <c r="S67" i="17"/>
  <c r="AC67" i="17" s="1"/>
  <c r="AC5" i="17"/>
  <c r="AN53" i="17"/>
  <c r="AX53" i="17" s="1"/>
  <c r="AN67" i="17"/>
  <c r="AX67" i="17" s="1"/>
  <c r="AX5" i="17"/>
  <c r="S43" i="17"/>
  <c r="AC43" i="17" s="1"/>
  <c r="AC28" i="17"/>
  <c r="AN43" i="17"/>
  <c r="AX43" i="17" s="1"/>
  <c r="AX28" i="17"/>
  <c r="AN76" i="17"/>
  <c r="AX76" i="17" s="1"/>
  <c r="AN62" i="17"/>
  <c r="AX62" i="17" s="1"/>
  <c r="AX27" i="17"/>
  <c r="S62" i="17"/>
  <c r="AC62" i="17" s="1"/>
  <c r="S76" i="17"/>
  <c r="AC76" i="17" s="1"/>
  <c r="AC27" i="17"/>
  <c r="AN37" i="17"/>
  <c r="AX37" i="17" s="1"/>
  <c r="AX22" i="17"/>
  <c r="S37" i="17"/>
  <c r="AC37" i="17" s="1"/>
  <c r="AC22" i="17"/>
  <c r="AN46" i="17"/>
  <c r="AX10" i="17"/>
  <c r="AC10" i="17"/>
  <c r="S46" i="17"/>
  <c r="S41" i="17"/>
  <c r="AC41" i="17" s="1"/>
  <c r="AC8" i="17"/>
  <c r="AN41" i="17"/>
  <c r="AX41" i="17" s="1"/>
  <c r="AX8" i="17"/>
  <c r="AN40" i="17"/>
  <c r="AX40" i="17" s="1"/>
  <c r="AX4" i="17"/>
  <c r="S40" i="17"/>
  <c r="AC40" i="17" s="1"/>
  <c r="AC4" i="17"/>
  <c r="S58" i="17"/>
  <c r="AC58" i="17" s="1"/>
  <c r="S72" i="17"/>
  <c r="AC72" i="17" s="1"/>
  <c r="AC16" i="17"/>
  <c r="AN72" i="17"/>
  <c r="AX72" i="17" s="1"/>
  <c r="AN58" i="17"/>
  <c r="AX58" i="17" s="1"/>
  <c r="AX16" i="17"/>
  <c r="AN33" i="17"/>
  <c r="AX33" i="17" s="1"/>
  <c r="AX13" i="17"/>
  <c r="S33" i="17"/>
  <c r="AC33" i="17" s="1"/>
  <c r="AC13" i="17"/>
  <c r="S59" i="17"/>
  <c r="AC59" i="17" s="1"/>
  <c r="S73" i="17"/>
  <c r="AC73" i="17" s="1"/>
  <c r="AC7" i="17"/>
  <c r="AN59" i="17"/>
  <c r="AX59" i="17" s="1"/>
  <c r="AN73" i="17"/>
  <c r="AX73" i="17" s="1"/>
  <c r="AX7" i="17"/>
  <c r="AN38" i="17"/>
  <c r="AX38" i="17" s="1"/>
  <c r="AX2" i="17"/>
  <c r="S38" i="17"/>
  <c r="AC38" i="17" s="1"/>
  <c r="AC2" i="17"/>
  <c r="AJ35" i="17"/>
  <c r="AT35" i="17" s="1"/>
  <c r="AT30" i="17"/>
  <c r="AJ36" i="17"/>
  <c r="AT36" i="17" s="1"/>
  <c r="AT26" i="17"/>
  <c r="AJ55" i="17"/>
  <c r="AT55" i="17" s="1"/>
  <c r="AJ69" i="17"/>
  <c r="AT69" i="17" s="1"/>
  <c r="AT24" i="17"/>
  <c r="AJ70" i="17"/>
  <c r="AT70" i="17" s="1"/>
  <c r="AJ56" i="17"/>
  <c r="AT56" i="17" s="1"/>
  <c r="AT20" i="17"/>
  <c r="AJ66" i="17"/>
  <c r="AT66" i="17" s="1"/>
  <c r="AJ52" i="17"/>
  <c r="AT52" i="17" s="1"/>
  <c r="AT17" i="17"/>
  <c r="AJ44" i="17"/>
  <c r="AT44" i="17" s="1"/>
  <c r="AT15" i="17"/>
  <c r="AJ74" i="17"/>
  <c r="AT74" i="17" s="1"/>
  <c r="AJ60" i="17"/>
  <c r="AT60" i="17" s="1"/>
  <c r="AT12" i="17"/>
  <c r="AJ39" i="17"/>
  <c r="AT39" i="17" s="1"/>
  <c r="AT11" i="17"/>
  <c r="AJ47" i="17"/>
  <c r="AT47" i="17" s="1"/>
  <c r="AT6" i="17"/>
  <c r="AJ57" i="17"/>
  <c r="AT57" i="17" s="1"/>
  <c r="AJ71" i="17"/>
  <c r="AT71" i="17" s="1"/>
  <c r="AT29" i="17"/>
  <c r="AJ64" i="17"/>
  <c r="AT64" i="17" s="1"/>
  <c r="AJ50" i="17"/>
  <c r="AT50" i="17" s="1"/>
  <c r="AT25" i="17"/>
  <c r="AJ49" i="17"/>
  <c r="AT49" i="17" s="1"/>
  <c r="AT23" i="17"/>
  <c r="AJ51" i="17"/>
  <c r="AT51" i="17" s="1"/>
  <c r="AJ65" i="17"/>
  <c r="AT65" i="17" s="1"/>
  <c r="AT21" i="17"/>
  <c r="AJ42" i="17"/>
  <c r="AT42" i="17" s="1"/>
  <c r="AT19" i="17"/>
  <c r="AJ61" i="17"/>
  <c r="AJ75" i="17"/>
  <c r="AT18" i="17"/>
  <c r="AJ34" i="17"/>
  <c r="AT34" i="17" s="1"/>
  <c r="AT14" i="17"/>
  <c r="AJ68" i="17"/>
  <c r="AT68" i="17" s="1"/>
  <c r="AJ54" i="17"/>
  <c r="AT54" i="17" s="1"/>
  <c r="AT9" i="17"/>
  <c r="AJ53" i="17"/>
  <c r="AT53" i="17" s="1"/>
  <c r="AJ67" i="17"/>
  <c r="AT67" i="17" s="1"/>
  <c r="AT5" i="17"/>
  <c r="AJ43" i="17"/>
  <c r="AT43" i="17" s="1"/>
  <c r="AT28" i="17"/>
  <c r="AJ76" i="17"/>
  <c r="AT76" i="17" s="1"/>
  <c r="AJ62" i="17"/>
  <c r="AT62" i="17" s="1"/>
  <c r="AT27" i="17"/>
  <c r="AJ37" i="17"/>
  <c r="AT37" i="17" s="1"/>
  <c r="AT22" i="17"/>
  <c r="AJ46" i="17"/>
  <c r="AT10" i="17"/>
  <c r="AJ41" i="17"/>
  <c r="AT41" i="17" s="1"/>
  <c r="AT8" i="17"/>
  <c r="AJ40" i="17"/>
  <c r="AT40" i="17" s="1"/>
  <c r="AT4" i="17"/>
  <c r="AJ72" i="17"/>
  <c r="AT72" i="17" s="1"/>
  <c r="AJ58" i="17"/>
  <c r="AT58" i="17" s="1"/>
  <c r="AT16" i="17"/>
  <c r="AJ33" i="17"/>
  <c r="AT33" i="17" s="1"/>
  <c r="AT13" i="17"/>
  <c r="AJ59" i="17"/>
  <c r="AT59" i="17" s="1"/>
  <c r="AJ73" i="17"/>
  <c r="AT73" i="17" s="1"/>
  <c r="AT7" i="17"/>
  <c r="AJ38" i="17"/>
  <c r="AT38" i="17" s="1"/>
  <c r="AT2" i="17"/>
  <c r="AK71" i="17"/>
  <c r="AU71" i="17" s="1"/>
  <c r="AK57" i="17"/>
  <c r="AU57" i="17" s="1"/>
  <c r="AU29" i="17"/>
  <c r="AK50" i="17"/>
  <c r="AU50" i="17" s="1"/>
  <c r="AK64" i="17"/>
  <c r="AU64" i="17" s="1"/>
  <c r="AU25" i="17"/>
  <c r="AK49" i="17"/>
  <c r="AU23" i="17"/>
  <c r="AK65" i="17"/>
  <c r="AU65" i="17" s="1"/>
  <c r="AK51" i="17"/>
  <c r="AU51" i="17" s="1"/>
  <c r="AU21" i="17"/>
  <c r="AK42" i="17"/>
  <c r="AU42" i="17" s="1"/>
  <c r="AU19" i="17"/>
  <c r="AK75" i="17"/>
  <c r="AU75" i="17" s="1"/>
  <c r="AK61" i="17"/>
  <c r="AU61" i="17" s="1"/>
  <c r="AU18" i="17"/>
  <c r="AK34" i="17"/>
  <c r="AU34" i="17" s="1"/>
  <c r="AU14" i="17"/>
  <c r="AK54" i="17"/>
  <c r="AU54" i="17" s="1"/>
  <c r="AK68" i="17"/>
  <c r="AU68" i="17" s="1"/>
  <c r="AU9" i="17"/>
  <c r="AK67" i="17"/>
  <c r="AU67" i="17" s="1"/>
  <c r="AK53" i="17"/>
  <c r="AU53" i="17" s="1"/>
  <c r="AU5" i="17"/>
  <c r="AK43" i="17"/>
  <c r="AU43" i="17" s="1"/>
  <c r="AU28" i="17"/>
  <c r="AK62" i="17"/>
  <c r="AU62" i="17" s="1"/>
  <c r="AK76" i="17"/>
  <c r="AU76" i="17" s="1"/>
  <c r="AU27" i="17"/>
  <c r="AK37" i="17"/>
  <c r="AU37" i="17" s="1"/>
  <c r="AU22" i="17"/>
  <c r="AU10" i="17"/>
  <c r="AK46" i="17"/>
  <c r="AK41" i="17"/>
  <c r="AU41" i="17" s="1"/>
  <c r="AU8" i="17"/>
  <c r="AK40" i="17"/>
  <c r="AU40" i="17" s="1"/>
  <c r="AU4" i="17"/>
  <c r="AK58" i="17"/>
  <c r="AU58" i="17" s="1"/>
  <c r="AK72" i="17"/>
  <c r="AU72" i="17" s="1"/>
  <c r="AU16" i="17"/>
  <c r="AK33" i="17"/>
  <c r="AU33" i="17" s="1"/>
  <c r="AU13" i="17"/>
  <c r="AK73" i="17"/>
  <c r="AU73" i="17" s="1"/>
  <c r="AK59" i="17"/>
  <c r="AU59" i="17" s="1"/>
  <c r="AU7" i="17"/>
  <c r="AK38" i="17"/>
  <c r="AU38" i="17" s="1"/>
  <c r="AU2" i="17"/>
  <c r="AK35" i="17"/>
  <c r="AU35" i="17" s="1"/>
  <c r="AU30" i="17"/>
  <c r="AK36" i="17"/>
  <c r="AU36" i="17" s="1"/>
  <c r="AU26" i="17"/>
  <c r="AK69" i="17"/>
  <c r="AU69" i="17" s="1"/>
  <c r="AK55" i="17"/>
  <c r="AU55" i="17" s="1"/>
  <c r="AU24" i="17"/>
  <c r="AK56" i="17"/>
  <c r="AU56" i="17" s="1"/>
  <c r="AK70" i="17"/>
  <c r="AU70" i="17" s="1"/>
  <c r="AU20" i="17"/>
  <c r="AK52" i="17"/>
  <c r="AU52" i="17" s="1"/>
  <c r="AK66" i="17"/>
  <c r="AU17" i="17"/>
  <c r="AK44" i="17"/>
  <c r="AU44" i="17" s="1"/>
  <c r="AU15" i="17"/>
  <c r="AK60" i="17"/>
  <c r="AU60" i="17" s="1"/>
  <c r="AK74" i="17"/>
  <c r="AU74" i="17" s="1"/>
  <c r="AU12" i="17"/>
  <c r="AK39" i="17"/>
  <c r="AU39" i="17" s="1"/>
  <c r="AU11" i="17"/>
  <c r="AK47" i="17"/>
  <c r="AU47" i="17" s="1"/>
  <c r="AU6" i="17"/>
  <c r="AL43" i="17"/>
  <c r="AV43" i="17" s="1"/>
  <c r="AV28" i="17"/>
  <c r="AL62" i="17"/>
  <c r="AV62" i="17" s="1"/>
  <c r="AL76" i="17"/>
  <c r="AV76" i="17" s="1"/>
  <c r="AV27" i="17"/>
  <c r="AL37" i="17"/>
  <c r="AV37" i="17" s="1"/>
  <c r="AV22" i="17"/>
  <c r="AL46" i="17"/>
  <c r="AV10" i="17"/>
  <c r="AL41" i="17"/>
  <c r="AV41" i="17" s="1"/>
  <c r="AV8" i="17"/>
  <c r="AL40" i="17"/>
  <c r="AV40" i="17" s="1"/>
  <c r="AV4" i="17"/>
  <c r="AL58" i="17"/>
  <c r="AV58" i="17" s="1"/>
  <c r="AL72" i="17"/>
  <c r="AV72" i="17" s="1"/>
  <c r="AV16" i="17"/>
  <c r="AL33" i="17"/>
  <c r="AV33" i="17" s="1"/>
  <c r="AV13" i="17"/>
  <c r="AL73" i="17"/>
  <c r="AV73" i="17" s="1"/>
  <c r="AL59" i="17"/>
  <c r="AV59" i="17" s="1"/>
  <c r="AV7" i="17"/>
  <c r="AL38" i="17"/>
  <c r="AV38" i="17" s="1"/>
  <c r="AV2" i="17"/>
  <c r="AL35" i="17"/>
  <c r="AV35" i="17" s="1"/>
  <c r="AV30" i="17"/>
  <c r="AL36" i="17"/>
  <c r="AV36" i="17" s="1"/>
  <c r="AV26" i="17"/>
  <c r="AL69" i="17"/>
  <c r="AV69" i="17" s="1"/>
  <c r="AL55" i="17"/>
  <c r="AV55" i="17" s="1"/>
  <c r="AV24" i="17"/>
  <c r="AL56" i="17"/>
  <c r="AV56" i="17" s="1"/>
  <c r="AL70" i="17"/>
  <c r="AV70" i="17" s="1"/>
  <c r="AV20" i="17"/>
  <c r="AV17" i="17"/>
  <c r="AL52" i="17"/>
  <c r="AV52" i="17" s="1"/>
  <c r="AL66" i="17"/>
  <c r="AL44" i="17"/>
  <c r="AV44" i="17" s="1"/>
  <c r="AV15" i="17"/>
  <c r="AL60" i="17"/>
  <c r="AV60" i="17" s="1"/>
  <c r="AL74" i="17"/>
  <c r="AV74" i="17" s="1"/>
  <c r="AV12" i="17"/>
  <c r="AL39" i="17"/>
  <c r="AV39" i="17" s="1"/>
  <c r="AV11" i="17"/>
  <c r="AL47" i="17"/>
  <c r="AV47" i="17" s="1"/>
  <c r="AV6" i="17"/>
  <c r="AL71" i="17"/>
  <c r="AV71" i="17" s="1"/>
  <c r="AL57" i="17"/>
  <c r="AV57" i="17" s="1"/>
  <c r="AV29" i="17"/>
  <c r="AL50" i="17"/>
  <c r="AV50" i="17" s="1"/>
  <c r="AL64" i="17"/>
  <c r="AV64" i="17" s="1"/>
  <c r="AV25" i="17"/>
  <c r="AL49" i="17"/>
  <c r="AV23" i="17"/>
  <c r="AL65" i="17"/>
  <c r="AV65" i="17" s="1"/>
  <c r="AL51" i="17"/>
  <c r="AV51" i="17" s="1"/>
  <c r="AV21" i="17"/>
  <c r="AL42" i="17"/>
  <c r="AV42" i="17" s="1"/>
  <c r="AV19" i="17"/>
  <c r="AL75" i="17"/>
  <c r="AV75" i="17" s="1"/>
  <c r="AL61" i="17"/>
  <c r="AV61" i="17" s="1"/>
  <c r="AV18" i="17"/>
  <c r="AL34" i="17"/>
  <c r="AV34" i="17" s="1"/>
  <c r="AV14" i="17"/>
  <c r="AL54" i="17"/>
  <c r="AV54" i="17" s="1"/>
  <c r="AL68" i="17"/>
  <c r="AV68" i="17" s="1"/>
  <c r="AV9" i="17"/>
  <c r="AL67" i="17"/>
  <c r="AV67" i="17" s="1"/>
  <c r="AL53" i="17"/>
  <c r="AV53" i="17" s="1"/>
  <c r="AV5" i="17"/>
  <c r="AE63" i="17"/>
  <c r="AO66" i="17"/>
  <c r="AO49" i="17"/>
  <c r="AE48" i="17"/>
  <c r="AO46" i="17"/>
  <c r="AE45" i="17"/>
  <c r="J48" i="17"/>
  <c r="T49" i="17"/>
  <c r="J45" i="17"/>
  <c r="T46" i="17"/>
  <c r="J63" i="17"/>
  <c r="T66" i="17"/>
  <c r="C63" i="15"/>
  <c r="C45" i="15"/>
  <c r="C48" i="15"/>
  <c r="C31" i="15"/>
  <c r="Q49" i="15"/>
  <c r="Q48" i="15" s="1"/>
  <c r="O48" i="15"/>
  <c r="Q66" i="15"/>
  <c r="Q63" i="15" s="1"/>
  <c r="O63" i="15"/>
  <c r="L31" i="15"/>
  <c r="P31" i="17"/>
  <c r="Z32" i="17"/>
  <c r="AA32" i="17"/>
  <c r="Q31" i="17"/>
  <c r="Q32" i="15"/>
  <c r="Q31" i="15" s="1"/>
  <c r="O31" i="15"/>
  <c r="AV3" i="17"/>
  <c r="AW3" i="17"/>
  <c r="AS3" i="17"/>
  <c r="AT3" i="17"/>
  <c r="AX3" i="17"/>
  <c r="AU3" i="17"/>
  <c r="M3" i="15"/>
  <c r="R3" i="15"/>
  <c r="R32" i="15" s="1"/>
  <c r="BA3" i="17"/>
  <c r="BA32" i="17" s="1"/>
  <c r="AR3" i="17"/>
  <c r="O3" i="4"/>
  <c r="O32" i="4" s="1"/>
  <c r="E5" i="2"/>
  <c r="K5" i="2"/>
  <c r="H5" i="2"/>
  <c r="I45" i="4" l="1"/>
  <c r="V45" i="4"/>
  <c r="U48" i="4"/>
  <c r="M45" i="4"/>
  <c r="I45" i="15"/>
  <c r="AY3" i="17"/>
  <c r="I31" i="4"/>
  <c r="K31" i="15"/>
  <c r="AY32" i="17"/>
  <c r="G45" i="15"/>
  <c r="H45" i="15"/>
  <c r="AY41" i="17"/>
  <c r="AY37" i="17"/>
  <c r="AY28" i="17"/>
  <c r="AY53" i="17"/>
  <c r="AY14" i="17"/>
  <c r="AY65" i="17"/>
  <c r="AY25" i="17"/>
  <c r="AY71" i="17"/>
  <c r="AY11" i="17"/>
  <c r="AY74" i="17"/>
  <c r="AY52" i="17"/>
  <c r="AY70" i="17"/>
  <c r="AY26" i="17"/>
  <c r="AY2" i="17"/>
  <c r="AY59" i="17"/>
  <c r="AY58" i="17"/>
  <c r="AY4" i="17"/>
  <c r="AY10" i="17"/>
  <c r="AY27" i="17"/>
  <c r="AY43" i="17"/>
  <c r="AY9" i="17"/>
  <c r="AY34" i="17"/>
  <c r="AY19" i="17"/>
  <c r="AY51" i="17"/>
  <c r="AY50" i="17"/>
  <c r="AY57" i="17"/>
  <c r="AY39" i="17"/>
  <c r="AY15" i="17"/>
  <c r="AY24" i="17"/>
  <c r="AY36" i="17"/>
  <c r="AY38" i="17"/>
  <c r="AY13" i="17"/>
  <c r="AY72" i="17"/>
  <c r="AN31" i="17"/>
  <c r="AY40" i="17"/>
  <c r="AY62" i="17"/>
  <c r="AY5" i="17"/>
  <c r="AY54" i="17"/>
  <c r="AY18" i="17"/>
  <c r="AY42" i="17"/>
  <c r="AY23" i="17"/>
  <c r="AY6" i="17"/>
  <c r="AY12" i="17"/>
  <c r="AY44" i="17"/>
  <c r="AY20" i="17"/>
  <c r="AY69" i="17"/>
  <c r="AY30" i="17"/>
  <c r="AY7" i="17"/>
  <c r="AY33" i="17"/>
  <c r="AM31" i="17"/>
  <c r="AY8" i="17"/>
  <c r="AY22" i="17"/>
  <c r="AY76" i="17"/>
  <c r="AY67" i="17"/>
  <c r="AY68" i="17"/>
  <c r="AY21" i="17"/>
  <c r="AY29" i="17"/>
  <c r="AY47" i="17"/>
  <c r="AY60" i="17"/>
  <c r="AY17" i="17"/>
  <c r="AY56" i="17"/>
  <c r="AY55" i="17"/>
  <c r="AY35" i="17"/>
  <c r="AY73" i="17"/>
  <c r="AY16" i="17"/>
  <c r="AJ31" i="17"/>
  <c r="H31" i="15"/>
  <c r="S27" i="15"/>
  <c r="V27" i="15"/>
  <c r="E46" i="15"/>
  <c r="F10" i="15"/>
  <c r="S14" i="15"/>
  <c r="S34" i="15" s="1"/>
  <c r="V14" i="15"/>
  <c r="V34" i="15" s="1"/>
  <c r="V25" i="15"/>
  <c r="S25" i="15"/>
  <c r="M39" i="15"/>
  <c r="N39" i="15" s="1"/>
  <c r="N11" i="15"/>
  <c r="S15" i="15"/>
  <c r="S44" i="15" s="1"/>
  <c r="V15" i="15"/>
  <c r="V44" i="15" s="1"/>
  <c r="V26" i="15"/>
  <c r="V36" i="15" s="1"/>
  <c r="S26" i="15"/>
  <c r="S36" i="15" s="1"/>
  <c r="E47" i="15"/>
  <c r="F47" i="15" s="1"/>
  <c r="F6" i="15"/>
  <c r="V16" i="15"/>
  <c r="S16" i="15"/>
  <c r="M42" i="15"/>
  <c r="N42" i="15" s="1"/>
  <c r="N19" i="15"/>
  <c r="E37" i="15"/>
  <c r="F37" i="15" s="1"/>
  <c r="F22" i="15"/>
  <c r="AK31" i="17"/>
  <c r="O39" i="4"/>
  <c r="P39" i="4" s="1"/>
  <c r="P11" i="4"/>
  <c r="M41" i="15"/>
  <c r="N41" i="15" s="1"/>
  <c r="N8" i="15"/>
  <c r="E38" i="15"/>
  <c r="F38" i="15" s="1"/>
  <c r="F2" i="15"/>
  <c r="J31" i="15"/>
  <c r="M46" i="15"/>
  <c r="N10" i="15"/>
  <c r="U31" i="15"/>
  <c r="E34" i="15"/>
  <c r="F34" i="15" s="1"/>
  <c r="F14" i="15"/>
  <c r="M44" i="15"/>
  <c r="N44" i="15" s="1"/>
  <c r="N15" i="15"/>
  <c r="S22" i="15"/>
  <c r="S37" i="15" s="1"/>
  <c r="V22" i="15"/>
  <c r="V37" i="15" s="1"/>
  <c r="M36" i="15"/>
  <c r="N36" i="15" s="1"/>
  <c r="N26" i="15"/>
  <c r="S28" i="15"/>
  <c r="S43" i="15" s="1"/>
  <c r="V28" i="15"/>
  <c r="V43" i="15" s="1"/>
  <c r="V7" i="15"/>
  <c r="S7" i="15"/>
  <c r="V18" i="15"/>
  <c r="S18" i="15"/>
  <c r="V23" i="15"/>
  <c r="V49" i="15" s="1"/>
  <c r="S23" i="15"/>
  <c r="S49" i="15" s="1"/>
  <c r="V29" i="15"/>
  <c r="S29" i="15"/>
  <c r="V8" i="15"/>
  <c r="V41" i="15" s="1"/>
  <c r="S8" i="15"/>
  <c r="S41" i="15" s="1"/>
  <c r="K45" i="15"/>
  <c r="V12" i="15"/>
  <c r="S12" i="15"/>
  <c r="S17" i="15"/>
  <c r="V17" i="15"/>
  <c r="S20" i="15"/>
  <c r="V20" i="15"/>
  <c r="S30" i="15"/>
  <c r="S35" i="15" s="1"/>
  <c r="V30" i="15"/>
  <c r="V35" i="15" s="1"/>
  <c r="J45" i="15"/>
  <c r="S9" i="15"/>
  <c r="V9" i="15"/>
  <c r="E39" i="15"/>
  <c r="F39" i="15" s="1"/>
  <c r="F11" i="15"/>
  <c r="BA40" i="17"/>
  <c r="BB40" i="17" s="1"/>
  <c r="BB4" i="17"/>
  <c r="BA42" i="17"/>
  <c r="BB42" i="17" s="1"/>
  <c r="BB19" i="17"/>
  <c r="BA47" i="17"/>
  <c r="BB47" i="17" s="1"/>
  <c r="BB6" i="17"/>
  <c r="BA33" i="17"/>
  <c r="BB33" i="17" s="1"/>
  <c r="BB13" i="17"/>
  <c r="U63" i="4"/>
  <c r="L47" i="17"/>
  <c r="V47" i="17" s="1"/>
  <c r="V6" i="17"/>
  <c r="L41" i="17"/>
  <c r="V41" i="17" s="1"/>
  <c r="V8" i="17"/>
  <c r="L49" i="17"/>
  <c r="V23" i="17"/>
  <c r="L60" i="17"/>
  <c r="V60" i="17" s="1"/>
  <c r="V12" i="17"/>
  <c r="L74" i="17"/>
  <c r="V74" i="17" s="1"/>
  <c r="L51" i="17"/>
  <c r="V51" i="17" s="1"/>
  <c r="L65" i="17"/>
  <c r="V65" i="17" s="1"/>
  <c r="V21" i="17"/>
  <c r="L46" i="17"/>
  <c r="V10" i="17"/>
  <c r="L42" i="17"/>
  <c r="V42" i="17" s="1"/>
  <c r="V19" i="17"/>
  <c r="L35" i="17"/>
  <c r="V35" i="17" s="1"/>
  <c r="V30" i="17"/>
  <c r="L54" i="17"/>
  <c r="V54" i="17" s="1"/>
  <c r="V9" i="17"/>
  <c r="L68" i="17"/>
  <c r="V68" i="17" s="1"/>
  <c r="L53" i="17"/>
  <c r="V53" i="17" s="1"/>
  <c r="V5" i="17"/>
  <c r="L67" i="17"/>
  <c r="V67" i="17" s="1"/>
  <c r="I61" i="4"/>
  <c r="I75" i="4"/>
  <c r="I71" i="4"/>
  <c r="I57" i="4"/>
  <c r="I70" i="4"/>
  <c r="I56" i="4"/>
  <c r="E47" i="4"/>
  <c r="H47" i="4" s="1"/>
  <c r="H6" i="4"/>
  <c r="M58" i="4"/>
  <c r="M72" i="4"/>
  <c r="K59" i="4"/>
  <c r="K73" i="4"/>
  <c r="M61" i="4"/>
  <c r="M75" i="4"/>
  <c r="E61" i="4"/>
  <c r="H61" i="4" s="1"/>
  <c r="E75" i="4"/>
  <c r="H75" i="4" s="1"/>
  <c r="H18" i="4"/>
  <c r="E36" i="4"/>
  <c r="H36" i="4" s="1"/>
  <c r="H26" i="4"/>
  <c r="E68" i="4"/>
  <c r="H68" i="4" s="1"/>
  <c r="E54" i="4"/>
  <c r="H54" i="4" s="1"/>
  <c r="H9" i="4"/>
  <c r="J70" i="4"/>
  <c r="J56" i="4"/>
  <c r="J66" i="4"/>
  <c r="J52" i="4"/>
  <c r="J74" i="4"/>
  <c r="J60" i="4"/>
  <c r="J71" i="4"/>
  <c r="J57" i="4"/>
  <c r="L69" i="4"/>
  <c r="L55" i="4"/>
  <c r="E46" i="4"/>
  <c r="H10" i="4"/>
  <c r="E49" i="4"/>
  <c r="H23" i="4"/>
  <c r="E43" i="4"/>
  <c r="H43" i="4" s="1"/>
  <c r="H28" i="4"/>
  <c r="K64" i="4"/>
  <c r="K50" i="4"/>
  <c r="K67" i="4"/>
  <c r="K53" i="4"/>
  <c r="J75" i="4"/>
  <c r="J61" i="4"/>
  <c r="M69" i="4"/>
  <c r="M55" i="4"/>
  <c r="J59" i="4"/>
  <c r="J73" i="4"/>
  <c r="E35" i="4"/>
  <c r="H35" i="4" s="1"/>
  <c r="H30" i="4"/>
  <c r="I76" i="4"/>
  <c r="I62" i="4"/>
  <c r="I60" i="4"/>
  <c r="I74" i="4"/>
  <c r="L76" i="4"/>
  <c r="L62" i="4"/>
  <c r="J62" i="4"/>
  <c r="J76" i="4"/>
  <c r="L68" i="4"/>
  <c r="L54" i="4"/>
  <c r="BA37" i="17"/>
  <c r="BB37" i="17" s="1"/>
  <c r="BB22" i="17"/>
  <c r="BA43" i="17"/>
  <c r="BB43" i="17" s="1"/>
  <c r="BB28" i="17"/>
  <c r="BA39" i="17"/>
  <c r="BB39" i="17" s="1"/>
  <c r="BB11" i="17"/>
  <c r="BA44" i="17"/>
  <c r="BB44" i="17" s="1"/>
  <c r="BB15" i="17"/>
  <c r="BA36" i="17"/>
  <c r="BB36" i="17" s="1"/>
  <c r="BB26" i="17"/>
  <c r="BA38" i="17"/>
  <c r="BB38" i="17" s="1"/>
  <c r="BB2" i="17"/>
  <c r="L34" i="17"/>
  <c r="V34" i="17" s="1"/>
  <c r="V14" i="17"/>
  <c r="L40" i="17"/>
  <c r="V40" i="17" s="1"/>
  <c r="V4" i="17"/>
  <c r="V32" i="17"/>
  <c r="E33" i="4"/>
  <c r="H33" i="4" s="1"/>
  <c r="H13" i="4"/>
  <c r="E52" i="4"/>
  <c r="H52" i="4" s="1"/>
  <c r="E66" i="4"/>
  <c r="H66" i="4" s="1"/>
  <c r="H17" i="4"/>
  <c r="L53" i="4"/>
  <c r="L67" i="4"/>
  <c r="K52" i="4"/>
  <c r="K66" i="4"/>
  <c r="E64" i="4"/>
  <c r="E50" i="4"/>
  <c r="H50" i="4" s="1"/>
  <c r="H25" i="4"/>
  <c r="I73" i="4"/>
  <c r="I59" i="4"/>
  <c r="L56" i="4"/>
  <c r="L70" i="4"/>
  <c r="L52" i="4"/>
  <c r="L66" i="4"/>
  <c r="L60" i="4"/>
  <c r="L74" i="4"/>
  <c r="L64" i="4"/>
  <c r="L50" i="4"/>
  <c r="E40" i="4"/>
  <c r="H40" i="4" s="1"/>
  <c r="H4" i="4"/>
  <c r="E58" i="4"/>
  <c r="H58" i="4" s="1"/>
  <c r="E72" i="4"/>
  <c r="H72" i="4" s="1"/>
  <c r="H16" i="4"/>
  <c r="K51" i="4"/>
  <c r="K65" i="4"/>
  <c r="K76" i="4"/>
  <c r="K62" i="4"/>
  <c r="M70" i="4"/>
  <c r="M56" i="4"/>
  <c r="M66" i="4"/>
  <c r="M52" i="4"/>
  <c r="M74" i="4"/>
  <c r="M60" i="4"/>
  <c r="K60" i="4"/>
  <c r="K74" i="4"/>
  <c r="K55" i="4"/>
  <c r="K69" i="4"/>
  <c r="E42" i="4"/>
  <c r="H42" i="4" s="1"/>
  <c r="H19" i="4"/>
  <c r="I69" i="4"/>
  <c r="I55" i="4"/>
  <c r="L45" i="4"/>
  <c r="J67" i="4"/>
  <c r="J53" i="4"/>
  <c r="M31" i="4"/>
  <c r="J45" i="4"/>
  <c r="P32" i="4"/>
  <c r="M32" i="15"/>
  <c r="N3" i="15"/>
  <c r="S31" i="17"/>
  <c r="O35" i="4"/>
  <c r="P35" i="4" s="1"/>
  <c r="P30" i="4"/>
  <c r="O41" i="4"/>
  <c r="P41" i="4" s="1"/>
  <c r="P8" i="4"/>
  <c r="V4" i="15"/>
  <c r="V40" i="15" s="1"/>
  <c r="S4" i="15"/>
  <c r="S40" i="15" s="1"/>
  <c r="M38" i="15"/>
  <c r="N38" i="15" s="1"/>
  <c r="N2" i="15"/>
  <c r="V5" i="15"/>
  <c r="S5" i="15"/>
  <c r="V6" i="15"/>
  <c r="V47" i="15" s="1"/>
  <c r="S6" i="15"/>
  <c r="S47" i="15" s="1"/>
  <c r="E32" i="15"/>
  <c r="S2" i="15"/>
  <c r="S38" i="15" s="1"/>
  <c r="V2" i="15"/>
  <c r="V38" i="15" s="1"/>
  <c r="E40" i="15"/>
  <c r="F40" i="15" s="1"/>
  <c r="F4" i="15"/>
  <c r="V11" i="15"/>
  <c r="V39" i="15" s="1"/>
  <c r="S11" i="15"/>
  <c r="S39" i="15" s="1"/>
  <c r="BB32" i="17"/>
  <c r="AI31" i="17"/>
  <c r="V31" i="4"/>
  <c r="O44" i="4"/>
  <c r="P44" i="4" s="1"/>
  <c r="P15" i="4"/>
  <c r="O38" i="4"/>
  <c r="P38" i="4" s="1"/>
  <c r="P2" i="4"/>
  <c r="O33" i="4"/>
  <c r="P33" i="4" s="1"/>
  <c r="P13" i="4"/>
  <c r="O49" i="4"/>
  <c r="P23" i="4"/>
  <c r="O42" i="4"/>
  <c r="P42" i="4" s="1"/>
  <c r="P19" i="4"/>
  <c r="O43" i="4"/>
  <c r="P43" i="4" s="1"/>
  <c r="P28" i="4"/>
  <c r="E49" i="15"/>
  <c r="F23" i="15"/>
  <c r="M35" i="15"/>
  <c r="N35" i="15" s="1"/>
  <c r="N30" i="15"/>
  <c r="E44" i="15"/>
  <c r="F44" i="15" s="1"/>
  <c r="F15" i="15"/>
  <c r="S19" i="15"/>
  <c r="S42" i="15" s="1"/>
  <c r="V19" i="15"/>
  <c r="V42" i="15" s="1"/>
  <c r="E36" i="15"/>
  <c r="F36" i="15" s="1"/>
  <c r="F26" i="15"/>
  <c r="V10" i="15"/>
  <c r="V46" i="15" s="1"/>
  <c r="S10" i="15"/>
  <c r="S46" i="15" s="1"/>
  <c r="S45" i="15" s="1"/>
  <c r="V24" i="15"/>
  <c r="S24" i="15"/>
  <c r="S13" i="15"/>
  <c r="S33" i="15" s="1"/>
  <c r="V13" i="15"/>
  <c r="V33" i="15" s="1"/>
  <c r="M34" i="15"/>
  <c r="N34" i="15" s="1"/>
  <c r="N14" i="15"/>
  <c r="AL31" i="17"/>
  <c r="O37" i="4"/>
  <c r="P37" i="4" s="1"/>
  <c r="P22" i="4"/>
  <c r="O46" i="4"/>
  <c r="P46" i="4" s="1"/>
  <c r="P10" i="4"/>
  <c r="O47" i="4"/>
  <c r="P47" i="4" s="1"/>
  <c r="P6" i="4"/>
  <c r="O36" i="4"/>
  <c r="P36" i="4" s="1"/>
  <c r="P26" i="4"/>
  <c r="O40" i="4"/>
  <c r="P40" i="4" s="1"/>
  <c r="P4" i="4"/>
  <c r="O34" i="4"/>
  <c r="P34" i="4" s="1"/>
  <c r="P14" i="4"/>
  <c r="G31" i="15"/>
  <c r="I31" i="15"/>
  <c r="M40" i="15"/>
  <c r="N40" i="15" s="1"/>
  <c r="N4" i="15"/>
  <c r="E42" i="15"/>
  <c r="F42" i="15" s="1"/>
  <c r="F19" i="15"/>
  <c r="E41" i="15"/>
  <c r="F41" i="15" s="1"/>
  <c r="F8" i="15"/>
  <c r="M33" i="15"/>
  <c r="N33" i="15" s="1"/>
  <c r="N13" i="15"/>
  <c r="V21" i="15"/>
  <c r="S21" i="15"/>
  <c r="E35" i="15"/>
  <c r="F35" i="15" s="1"/>
  <c r="F30" i="15"/>
  <c r="M47" i="15"/>
  <c r="N47" i="15" s="1"/>
  <c r="N6" i="15"/>
  <c r="E33" i="15"/>
  <c r="F33" i="15" s="1"/>
  <c r="F13" i="15"/>
  <c r="M37" i="15"/>
  <c r="N37" i="15" s="1"/>
  <c r="N22" i="15"/>
  <c r="M43" i="15"/>
  <c r="N43" i="15" s="1"/>
  <c r="N28" i="15"/>
  <c r="U45" i="15"/>
  <c r="M49" i="15"/>
  <c r="N49" i="15" s="1"/>
  <c r="N23" i="15"/>
  <c r="BA41" i="17"/>
  <c r="BB41" i="17" s="1"/>
  <c r="BB8" i="17"/>
  <c r="BA34" i="17"/>
  <c r="BB34" i="17" s="1"/>
  <c r="BB14" i="17"/>
  <c r="L62" i="17"/>
  <c r="V62" i="17" s="1"/>
  <c r="V27" i="17"/>
  <c r="L76" i="17"/>
  <c r="V76" i="17" s="1"/>
  <c r="L39" i="17"/>
  <c r="V39" i="17" s="1"/>
  <c r="V11" i="17"/>
  <c r="L44" i="17"/>
  <c r="V44" i="17" s="1"/>
  <c r="V15" i="17"/>
  <c r="L50" i="17"/>
  <c r="V50" i="17" s="1"/>
  <c r="V25" i="17"/>
  <c r="L64" i="17"/>
  <c r="L38" i="17"/>
  <c r="V38" i="17" s="1"/>
  <c r="V2" i="17"/>
  <c r="L59" i="17"/>
  <c r="V59" i="17" s="1"/>
  <c r="L73" i="17"/>
  <c r="V73" i="17" s="1"/>
  <c r="V7" i="17"/>
  <c r="D45" i="19"/>
  <c r="F46" i="19"/>
  <c r="F45" i="19" s="1"/>
  <c r="I67" i="4"/>
  <c r="I53" i="4"/>
  <c r="E41" i="4"/>
  <c r="H41" i="4" s="1"/>
  <c r="H8" i="4"/>
  <c r="E76" i="4"/>
  <c r="H76" i="4" s="1"/>
  <c r="E62" i="4"/>
  <c r="H62" i="4" s="1"/>
  <c r="H27" i="4"/>
  <c r="E74" i="4"/>
  <c r="H74" i="4" s="1"/>
  <c r="E60" i="4"/>
  <c r="H60" i="4" s="1"/>
  <c r="H12" i="4"/>
  <c r="M62" i="4"/>
  <c r="M76" i="4"/>
  <c r="J54" i="4"/>
  <c r="J68" i="4"/>
  <c r="K31" i="4"/>
  <c r="M54" i="4"/>
  <c r="M68" i="4"/>
  <c r="E67" i="4"/>
  <c r="H67" i="4" s="1"/>
  <c r="E53" i="4"/>
  <c r="H53" i="4" s="1"/>
  <c r="H5" i="4"/>
  <c r="E44" i="4"/>
  <c r="H44" i="4" s="1"/>
  <c r="H15" i="4"/>
  <c r="L72" i="4"/>
  <c r="L58" i="4"/>
  <c r="E38" i="4"/>
  <c r="H38" i="4" s="1"/>
  <c r="H2" i="4"/>
  <c r="I54" i="4"/>
  <c r="I68" i="4"/>
  <c r="E37" i="4"/>
  <c r="H37" i="4" s="1"/>
  <c r="H22" i="4"/>
  <c r="K68" i="4"/>
  <c r="K54" i="4"/>
  <c r="L31" i="4"/>
  <c r="M50" i="4"/>
  <c r="M64" i="4"/>
  <c r="L57" i="4"/>
  <c r="L71" i="4"/>
  <c r="K45" i="4"/>
  <c r="E71" i="4"/>
  <c r="H71" i="4" s="1"/>
  <c r="E57" i="4"/>
  <c r="H57" i="4" s="1"/>
  <c r="H29" i="4"/>
  <c r="E70" i="4"/>
  <c r="H70" i="4" s="1"/>
  <c r="E56" i="4"/>
  <c r="H56" i="4" s="1"/>
  <c r="H20" i="4"/>
  <c r="M73" i="4"/>
  <c r="M59" i="4"/>
  <c r="J58" i="4"/>
  <c r="J72" i="4"/>
  <c r="M65" i="4"/>
  <c r="M51" i="4"/>
  <c r="E43" i="15"/>
  <c r="F43" i="15" s="1"/>
  <c r="F28" i="15"/>
  <c r="BA46" i="17"/>
  <c r="BB10" i="17"/>
  <c r="BA35" i="17"/>
  <c r="BB35" i="17" s="1"/>
  <c r="BB30" i="17"/>
  <c r="BA49" i="17"/>
  <c r="BB49" i="17" s="1"/>
  <c r="BB23" i="17"/>
  <c r="L43" i="17"/>
  <c r="V43" i="17" s="1"/>
  <c r="V28" i="17"/>
  <c r="L61" i="17"/>
  <c r="V61" i="17" s="1"/>
  <c r="L75" i="17"/>
  <c r="V75" i="17" s="1"/>
  <c r="V18" i="17"/>
  <c r="L37" i="17"/>
  <c r="V37" i="17" s="1"/>
  <c r="V22" i="17"/>
  <c r="L56" i="17"/>
  <c r="V56" i="17" s="1"/>
  <c r="V20" i="17"/>
  <c r="L70" i="17"/>
  <c r="V70" i="17" s="1"/>
  <c r="L66" i="17"/>
  <c r="V66" i="17" s="1"/>
  <c r="V17" i="17"/>
  <c r="L52" i="17"/>
  <c r="V52" i="17" s="1"/>
  <c r="L55" i="17"/>
  <c r="V55" i="17" s="1"/>
  <c r="L69" i="17"/>
  <c r="V69" i="17" s="1"/>
  <c r="V24" i="17"/>
  <c r="L33" i="17"/>
  <c r="V33" i="17" s="1"/>
  <c r="V13" i="17"/>
  <c r="L36" i="17"/>
  <c r="V36" i="17" s="1"/>
  <c r="V26" i="17"/>
  <c r="L71" i="17"/>
  <c r="V71" i="17" s="1"/>
  <c r="L57" i="17"/>
  <c r="V57" i="17" s="1"/>
  <c r="V29" i="17"/>
  <c r="L72" i="17"/>
  <c r="V72" i="17" s="1"/>
  <c r="L58" i="17"/>
  <c r="V58" i="17" s="1"/>
  <c r="V16" i="17"/>
  <c r="D48" i="19"/>
  <c r="F49" i="19"/>
  <c r="F48" i="19" s="1"/>
  <c r="E65" i="4"/>
  <c r="H65" i="4" s="1"/>
  <c r="E51" i="4"/>
  <c r="H51" i="4" s="1"/>
  <c r="H21" i="4"/>
  <c r="E34" i="4"/>
  <c r="H34" i="4" s="1"/>
  <c r="H14" i="4"/>
  <c r="E55" i="4"/>
  <c r="H55" i="4" s="1"/>
  <c r="E69" i="4"/>
  <c r="H69" i="4" s="1"/>
  <c r="H24" i="4"/>
  <c r="E39" i="4"/>
  <c r="H39" i="4" s="1"/>
  <c r="H11" i="4"/>
  <c r="J50" i="4"/>
  <c r="J64" i="4"/>
  <c r="K72" i="4"/>
  <c r="K58" i="4"/>
  <c r="L65" i="4"/>
  <c r="L51" i="4"/>
  <c r="K56" i="4"/>
  <c r="K70" i="4"/>
  <c r="I65" i="4"/>
  <c r="I51" i="4"/>
  <c r="I58" i="4"/>
  <c r="I72" i="4"/>
  <c r="J55" i="4"/>
  <c r="J69" i="4"/>
  <c r="I50" i="4"/>
  <c r="I64" i="4"/>
  <c r="E59" i="4"/>
  <c r="H59" i="4" s="1"/>
  <c r="E73" i="4"/>
  <c r="H73" i="4" s="1"/>
  <c r="H7" i="4"/>
  <c r="K71" i="4"/>
  <c r="K57" i="4"/>
  <c r="K75" i="4"/>
  <c r="K61" i="4"/>
  <c r="L73" i="4"/>
  <c r="L59" i="4"/>
  <c r="J51" i="4"/>
  <c r="J65" i="4"/>
  <c r="J31" i="4"/>
  <c r="I66" i="4"/>
  <c r="I52" i="4"/>
  <c r="M57" i="4"/>
  <c r="M71" i="4"/>
  <c r="L61" i="4"/>
  <c r="L75" i="4"/>
  <c r="M53" i="4"/>
  <c r="M67" i="4"/>
  <c r="AV49" i="17"/>
  <c r="AL48" i="17"/>
  <c r="AV66" i="17"/>
  <c r="AL63" i="17"/>
  <c r="AL45" i="17"/>
  <c r="AV46" i="17"/>
  <c r="AK63" i="17"/>
  <c r="AU66" i="17"/>
  <c r="AK45" i="17"/>
  <c r="AU46" i="17"/>
  <c r="AU49" i="17"/>
  <c r="AK48" i="17"/>
  <c r="AJ45" i="17"/>
  <c r="AT46" i="17"/>
  <c r="AT75" i="17"/>
  <c r="AJ63" i="17"/>
  <c r="AJ48" i="17"/>
  <c r="AT61" i="17"/>
  <c r="AC46" i="17"/>
  <c r="S45" i="17"/>
  <c r="AX46" i="17"/>
  <c r="AN45" i="17"/>
  <c r="S48" i="17"/>
  <c r="AC49" i="17"/>
  <c r="AN48" i="17"/>
  <c r="AX49" i="17"/>
  <c r="AX66" i="17"/>
  <c r="AN63" i="17"/>
  <c r="S63" i="17"/>
  <c r="AC66" i="17"/>
  <c r="AI45" i="17"/>
  <c r="AS46" i="17"/>
  <c r="AS75" i="17"/>
  <c r="AI63" i="17"/>
  <c r="AI48" i="17"/>
  <c r="AS61" i="17"/>
  <c r="AW46" i="17"/>
  <c r="AM45" i="17"/>
  <c r="AW49" i="17"/>
  <c r="AM48" i="17"/>
  <c r="AM63" i="17"/>
  <c r="AW64" i="17"/>
  <c r="AY64" i="17" s="1"/>
  <c r="O67" i="4"/>
  <c r="P67" i="4" s="1"/>
  <c r="O53" i="4"/>
  <c r="P53" i="4" s="1"/>
  <c r="V53" i="4"/>
  <c r="V67" i="4"/>
  <c r="O74" i="4"/>
  <c r="P74" i="4" s="1"/>
  <c r="O60" i="4"/>
  <c r="P60" i="4" s="1"/>
  <c r="V74" i="4"/>
  <c r="V60" i="4"/>
  <c r="O75" i="4"/>
  <c r="P75" i="4" s="1"/>
  <c r="O61" i="4"/>
  <c r="P61" i="4" s="1"/>
  <c r="V61" i="4"/>
  <c r="V75" i="4"/>
  <c r="O50" i="4"/>
  <c r="P50" i="4" s="1"/>
  <c r="O64" i="4"/>
  <c r="V64" i="4"/>
  <c r="V50" i="4"/>
  <c r="O76" i="4"/>
  <c r="P76" i="4" s="1"/>
  <c r="O62" i="4"/>
  <c r="P62" i="4" s="1"/>
  <c r="V76" i="4"/>
  <c r="V62" i="4"/>
  <c r="O72" i="4"/>
  <c r="P72" i="4" s="1"/>
  <c r="O58" i="4"/>
  <c r="P58" i="4" s="1"/>
  <c r="V72" i="4"/>
  <c r="V58" i="4"/>
  <c r="O65" i="4"/>
  <c r="P65" i="4" s="1"/>
  <c r="O51" i="4"/>
  <c r="P51" i="4" s="1"/>
  <c r="V65" i="4"/>
  <c r="V51" i="4"/>
  <c r="O68" i="4"/>
  <c r="P68" i="4" s="1"/>
  <c r="O54" i="4"/>
  <c r="P54" i="4" s="1"/>
  <c r="V68" i="4"/>
  <c r="V54" i="4"/>
  <c r="O69" i="4"/>
  <c r="P69" i="4" s="1"/>
  <c r="O55" i="4"/>
  <c r="P55" i="4" s="1"/>
  <c r="V69" i="4"/>
  <c r="V55" i="4"/>
  <c r="O59" i="4"/>
  <c r="P59" i="4" s="1"/>
  <c r="O73" i="4"/>
  <c r="P73" i="4" s="1"/>
  <c r="V73" i="4"/>
  <c r="V59" i="4"/>
  <c r="O66" i="4"/>
  <c r="P66" i="4" s="1"/>
  <c r="O52" i="4"/>
  <c r="P52" i="4" s="1"/>
  <c r="V66" i="4"/>
  <c r="V52" i="4"/>
  <c r="O70" i="4"/>
  <c r="P70" i="4" s="1"/>
  <c r="O56" i="4"/>
  <c r="P56" i="4" s="1"/>
  <c r="V70" i="4"/>
  <c r="V56" i="4"/>
  <c r="O71" i="4"/>
  <c r="P71" i="4" s="1"/>
  <c r="O57" i="4"/>
  <c r="P57" i="4" s="1"/>
  <c r="V57" i="4"/>
  <c r="V71" i="4"/>
  <c r="T4" i="15"/>
  <c r="T40" i="15" s="1"/>
  <c r="R40" i="15"/>
  <c r="W4" i="15"/>
  <c r="W40" i="15" s="1"/>
  <c r="E67" i="15"/>
  <c r="F67" i="15" s="1"/>
  <c r="E53" i="15"/>
  <c r="F53" i="15" s="1"/>
  <c r="J67" i="15"/>
  <c r="J53" i="15"/>
  <c r="U68" i="15"/>
  <c r="U54" i="15"/>
  <c r="G67" i="15"/>
  <c r="G53" i="15"/>
  <c r="K67" i="15"/>
  <c r="K53" i="15"/>
  <c r="T5" i="15"/>
  <c r="R67" i="15"/>
  <c r="R53" i="15"/>
  <c r="W5" i="15"/>
  <c r="T6" i="15"/>
  <c r="T47" i="15" s="1"/>
  <c r="R47" i="15"/>
  <c r="W6" i="15"/>
  <c r="W47" i="15" s="1"/>
  <c r="H67" i="15"/>
  <c r="H53" i="15"/>
  <c r="U67" i="15"/>
  <c r="U53" i="15"/>
  <c r="E73" i="15"/>
  <c r="F73" i="15" s="1"/>
  <c r="E59" i="15"/>
  <c r="F59" i="15" s="1"/>
  <c r="H68" i="15"/>
  <c r="H54" i="15"/>
  <c r="T2" i="15"/>
  <c r="T38" i="15" s="1"/>
  <c r="R38" i="15"/>
  <c r="W2" i="15"/>
  <c r="W38" i="15" s="1"/>
  <c r="I67" i="15"/>
  <c r="I53" i="15"/>
  <c r="M67" i="15"/>
  <c r="N67" i="15" s="1"/>
  <c r="M53" i="15"/>
  <c r="N53" i="15" s="1"/>
  <c r="J73" i="15"/>
  <c r="J59" i="15"/>
  <c r="T11" i="15"/>
  <c r="T39" i="15" s="1"/>
  <c r="R39" i="15"/>
  <c r="W11" i="15"/>
  <c r="W39" i="15" s="1"/>
  <c r="I74" i="15"/>
  <c r="I60" i="15"/>
  <c r="M74" i="15"/>
  <c r="N74" i="15" s="1"/>
  <c r="M60" i="15"/>
  <c r="N60" i="15" s="1"/>
  <c r="H72" i="15"/>
  <c r="H58" i="15"/>
  <c r="U72" i="15"/>
  <c r="U58" i="15"/>
  <c r="I66" i="15"/>
  <c r="I52" i="15"/>
  <c r="M66" i="15"/>
  <c r="N66" i="15" s="1"/>
  <c r="M52" i="15"/>
  <c r="N52" i="15" s="1"/>
  <c r="E75" i="15"/>
  <c r="F75" i="15" s="1"/>
  <c r="E61" i="15"/>
  <c r="F61" i="15" s="1"/>
  <c r="J75" i="15"/>
  <c r="J61" i="15"/>
  <c r="I70" i="15"/>
  <c r="I56" i="15"/>
  <c r="M70" i="15"/>
  <c r="N70" i="15" s="1"/>
  <c r="M56" i="15"/>
  <c r="N56" i="15" s="1"/>
  <c r="E65" i="15"/>
  <c r="F65" i="15" s="1"/>
  <c r="E51" i="15"/>
  <c r="F51" i="15" s="1"/>
  <c r="J65" i="15"/>
  <c r="J51" i="15"/>
  <c r="R37" i="15"/>
  <c r="T22" i="15"/>
  <c r="T37" i="15" s="1"/>
  <c r="W22" i="15"/>
  <c r="W37" i="15" s="1"/>
  <c r="I69" i="15"/>
  <c r="I55" i="15"/>
  <c r="M69" i="15"/>
  <c r="N69" i="15" s="1"/>
  <c r="M55" i="15"/>
  <c r="N55" i="15" s="1"/>
  <c r="E64" i="15"/>
  <c r="E50" i="15"/>
  <c r="F50" i="15" s="1"/>
  <c r="J64" i="15"/>
  <c r="J50" i="15"/>
  <c r="G76" i="15"/>
  <c r="G62" i="15"/>
  <c r="K76" i="15"/>
  <c r="K62" i="15"/>
  <c r="T27" i="15"/>
  <c r="R76" i="15"/>
  <c r="R62" i="15"/>
  <c r="W27" i="15"/>
  <c r="T28" i="15"/>
  <c r="T43" i="15" s="1"/>
  <c r="R43" i="15"/>
  <c r="W28" i="15"/>
  <c r="W43" i="15" s="1"/>
  <c r="E71" i="15"/>
  <c r="F71" i="15" s="1"/>
  <c r="E57" i="15"/>
  <c r="F57" i="15" s="1"/>
  <c r="J71" i="15"/>
  <c r="J57" i="15"/>
  <c r="G73" i="15"/>
  <c r="G59" i="15"/>
  <c r="K73" i="15"/>
  <c r="K59" i="15"/>
  <c r="R73" i="15"/>
  <c r="R59" i="15"/>
  <c r="W7" i="15"/>
  <c r="T7" i="15"/>
  <c r="I68" i="15"/>
  <c r="I54" i="15"/>
  <c r="M68" i="15"/>
  <c r="N68" i="15" s="1"/>
  <c r="M54" i="15"/>
  <c r="N54" i="15" s="1"/>
  <c r="E74" i="15"/>
  <c r="F74" i="15" s="1"/>
  <c r="E60" i="15"/>
  <c r="F60" i="15" s="1"/>
  <c r="J74" i="15"/>
  <c r="J60" i="15"/>
  <c r="W14" i="15"/>
  <c r="W34" i="15" s="1"/>
  <c r="R34" i="15"/>
  <c r="T14" i="15"/>
  <c r="T34" i="15" s="1"/>
  <c r="I72" i="15"/>
  <c r="I58" i="15"/>
  <c r="M72" i="15"/>
  <c r="N72" i="15" s="1"/>
  <c r="M58" i="15"/>
  <c r="N58" i="15" s="1"/>
  <c r="E66" i="15"/>
  <c r="F66" i="15" s="1"/>
  <c r="E52" i="15"/>
  <c r="F52" i="15" s="1"/>
  <c r="J66" i="15"/>
  <c r="J52" i="15"/>
  <c r="G75" i="15"/>
  <c r="G61" i="15"/>
  <c r="K75" i="15"/>
  <c r="K61" i="15"/>
  <c r="W18" i="15"/>
  <c r="R75" i="15"/>
  <c r="R61" i="15"/>
  <c r="T18" i="15"/>
  <c r="W19" i="15"/>
  <c r="W42" i="15" s="1"/>
  <c r="R42" i="15"/>
  <c r="T19" i="15"/>
  <c r="T42" i="15" s="1"/>
  <c r="E70" i="15"/>
  <c r="F70" i="15" s="1"/>
  <c r="E56" i="15"/>
  <c r="F56" i="15" s="1"/>
  <c r="J70" i="15"/>
  <c r="J56" i="15"/>
  <c r="G65" i="15"/>
  <c r="G51" i="15"/>
  <c r="K65" i="15"/>
  <c r="K51" i="15"/>
  <c r="W21" i="15"/>
  <c r="R65" i="15"/>
  <c r="R51" i="15"/>
  <c r="T21" i="15"/>
  <c r="W23" i="15"/>
  <c r="W49" i="15" s="1"/>
  <c r="R49" i="15"/>
  <c r="T23" i="15"/>
  <c r="T49" i="15" s="1"/>
  <c r="E69" i="15"/>
  <c r="F69" i="15" s="1"/>
  <c r="E55" i="15"/>
  <c r="F55" i="15" s="1"/>
  <c r="J69" i="15"/>
  <c r="J55" i="15"/>
  <c r="G64" i="15"/>
  <c r="G50" i="15"/>
  <c r="K64" i="15"/>
  <c r="K50" i="15"/>
  <c r="T25" i="15"/>
  <c r="R64" i="15"/>
  <c r="R50" i="15"/>
  <c r="W25" i="15"/>
  <c r="H76" i="15"/>
  <c r="H62" i="15"/>
  <c r="U76" i="15"/>
  <c r="U62" i="15"/>
  <c r="G71" i="15"/>
  <c r="G57" i="15"/>
  <c r="K71" i="15"/>
  <c r="K57" i="15"/>
  <c r="R71" i="15"/>
  <c r="R57" i="15"/>
  <c r="W29" i="15"/>
  <c r="T29" i="15"/>
  <c r="H73" i="15"/>
  <c r="H59" i="15"/>
  <c r="U59" i="15"/>
  <c r="U73" i="15"/>
  <c r="W8" i="15"/>
  <c r="W41" i="15" s="1"/>
  <c r="R41" i="15"/>
  <c r="T8" i="15"/>
  <c r="T41" i="15" s="1"/>
  <c r="E68" i="15"/>
  <c r="F68" i="15" s="1"/>
  <c r="E54" i="15"/>
  <c r="F54" i="15" s="1"/>
  <c r="J68" i="15"/>
  <c r="J54" i="15"/>
  <c r="W10" i="15"/>
  <c r="W46" i="15" s="1"/>
  <c r="R46" i="15"/>
  <c r="T10" i="15"/>
  <c r="T46" i="15" s="1"/>
  <c r="G74" i="15"/>
  <c r="G60" i="15"/>
  <c r="K74" i="15"/>
  <c r="K60" i="15"/>
  <c r="T12" i="15"/>
  <c r="R60" i="15"/>
  <c r="R74" i="15"/>
  <c r="W12" i="15"/>
  <c r="W15" i="15"/>
  <c r="W44" i="15" s="1"/>
  <c r="R44" i="15"/>
  <c r="T15" i="15"/>
  <c r="T44" i="15" s="1"/>
  <c r="E72" i="15"/>
  <c r="F72" i="15" s="1"/>
  <c r="E58" i="15"/>
  <c r="F58" i="15" s="1"/>
  <c r="J72" i="15"/>
  <c r="J58" i="15"/>
  <c r="G66" i="15"/>
  <c r="G52" i="15"/>
  <c r="K66" i="15"/>
  <c r="K52" i="15"/>
  <c r="R52" i="15"/>
  <c r="R66" i="15"/>
  <c r="T17" i="15"/>
  <c r="W17" i="15"/>
  <c r="H75" i="15"/>
  <c r="H61" i="15"/>
  <c r="U75" i="15"/>
  <c r="U61" i="15"/>
  <c r="G70" i="15"/>
  <c r="G56" i="15"/>
  <c r="K70" i="15"/>
  <c r="K56" i="15"/>
  <c r="R56" i="15"/>
  <c r="R70" i="15"/>
  <c r="T20" i="15"/>
  <c r="W20" i="15"/>
  <c r="H65" i="15"/>
  <c r="H51" i="15"/>
  <c r="U51" i="15"/>
  <c r="U65" i="15"/>
  <c r="G69" i="15"/>
  <c r="G55" i="15"/>
  <c r="K69" i="15"/>
  <c r="K55" i="15"/>
  <c r="R69" i="15"/>
  <c r="R55" i="15"/>
  <c r="T24" i="15"/>
  <c r="W24" i="15"/>
  <c r="H64" i="15"/>
  <c r="H50" i="15"/>
  <c r="U64" i="15"/>
  <c r="U50" i="15"/>
  <c r="T26" i="15"/>
  <c r="T36" i="15" s="1"/>
  <c r="R36" i="15"/>
  <c r="W26" i="15"/>
  <c r="W36" i="15" s="1"/>
  <c r="I76" i="15"/>
  <c r="I62" i="15"/>
  <c r="M76" i="15"/>
  <c r="N76" i="15" s="1"/>
  <c r="M62" i="15"/>
  <c r="N62" i="15" s="1"/>
  <c r="H71" i="15"/>
  <c r="H57" i="15"/>
  <c r="U71" i="15"/>
  <c r="U57" i="15"/>
  <c r="T30" i="15"/>
  <c r="T35" i="15" s="1"/>
  <c r="R35" i="15"/>
  <c r="W30" i="15"/>
  <c r="W35" i="15" s="1"/>
  <c r="I73" i="15"/>
  <c r="I59" i="15"/>
  <c r="M73" i="15"/>
  <c r="N73" i="15" s="1"/>
  <c r="M59" i="15"/>
  <c r="N59" i="15" s="1"/>
  <c r="G68" i="15"/>
  <c r="G54" i="15"/>
  <c r="K68" i="15"/>
  <c r="K54" i="15"/>
  <c r="R68" i="15"/>
  <c r="R54" i="15"/>
  <c r="T9" i="15"/>
  <c r="W9" i="15"/>
  <c r="H74" i="15"/>
  <c r="H60" i="15"/>
  <c r="U74" i="15"/>
  <c r="U60" i="15"/>
  <c r="T13" i="15"/>
  <c r="T33" i="15" s="1"/>
  <c r="R33" i="15"/>
  <c r="W13" i="15"/>
  <c r="W33" i="15" s="1"/>
  <c r="G72" i="15"/>
  <c r="G58" i="15"/>
  <c r="K72" i="15"/>
  <c r="K58" i="15"/>
  <c r="W16" i="15"/>
  <c r="R72" i="15"/>
  <c r="R58" i="15"/>
  <c r="T16" i="15"/>
  <c r="H66" i="15"/>
  <c r="H52" i="15"/>
  <c r="U66" i="15"/>
  <c r="U52" i="15"/>
  <c r="I75" i="15"/>
  <c r="I61" i="15"/>
  <c r="M75" i="15"/>
  <c r="N75" i="15" s="1"/>
  <c r="M61" i="15"/>
  <c r="N61" i="15" s="1"/>
  <c r="H70" i="15"/>
  <c r="H56" i="15"/>
  <c r="U70" i="15"/>
  <c r="U56" i="15"/>
  <c r="I65" i="15"/>
  <c r="I51" i="15"/>
  <c r="M65" i="15"/>
  <c r="N65" i="15" s="1"/>
  <c r="M51" i="15"/>
  <c r="N51" i="15" s="1"/>
  <c r="H69" i="15"/>
  <c r="H55" i="15"/>
  <c r="U55" i="15"/>
  <c r="U69" i="15"/>
  <c r="I64" i="15"/>
  <c r="I50" i="15"/>
  <c r="M64" i="15"/>
  <c r="M50" i="15"/>
  <c r="E76" i="15"/>
  <c r="F76" i="15" s="1"/>
  <c r="E62" i="15"/>
  <c r="F62" i="15" s="1"/>
  <c r="J76" i="15"/>
  <c r="J62" i="15"/>
  <c r="I71" i="15"/>
  <c r="I57" i="15"/>
  <c r="M71" i="15"/>
  <c r="N71" i="15" s="1"/>
  <c r="M57" i="15"/>
  <c r="N57" i="15" s="1"/>
  <c r="BA62" i="17"/>
  <c r="BB62" i="17" s="1"/>
  <c r="BA76" i="17"/>
  <c r="BB76" i="17" s="1"/>
  <c r="BA67" i="17"/>
  <c r="BB67" i="17" s="1"/>
  <c r="BA53" i="17"/>
  <c r="BB53" i="17" s="1"/>
  <c r="BA54" i="17"/>
  <c r="BB54" i="17" s="1"/>
  <c r="BA68" i="17"/>
  <c r="BB68" i="17" s="1"/>
  <c r="BA75" i="17"/>
  <c r="BB75" i="17" s="1"/>
  <c r="BA61" i="17"/>
  <c r="BB61" i="17" s="1"/>
  <c r="BA65" i="17"/>
  <c r="BB65" i="17" s="1"/>
  <c r="BA51" i="17"/>
  <c r="BB51" i="17" s="1"/>
  <c r="BA50" i="17"/>
  <c r="BA64" i="17"/>
  <c r="BA71" i="17"/>
  <c r="BB71" i="17" s="1"/>
  <c r="BA57" i="17"/>
  <c r="BB57" i="17" s="1"/>
  <c r="BA60" i="17"/>
  <c r="BB60" i="17" s="1"/>
  <c r="BA74" i="17"/>
  <c r="BB74" i="17" s="1"/>
  <c r="BA52" i="17"/>
  <c r="BB52" i="17" s="1"/>
  <c r="BA66" i="17"/>
  <c r="BB66" i="17" s="1"/>
  <c r="BA56" i="17"/>
  <c r="BB56" i="17" s="1"/>
  <c r="BA70" i="17"/>
  <c r="BB70" i="17" s="1"/>
  <c r="BA69" i="17"/>
  <c r="BB69" i="17" s="1"/>
  <c r="BA55" i="17"/>
  <c r="BB55" i="17" s="1"/>
  <c r="BA73" i="17"/>
  <c r="BB73" i="17" s="1"/>
  <c r="BA59" i="17"/>
  <c r="BB59" i="17" s="1"/>
  <c r="BA58" i="17"/>
  <c r="BB58" i="17" s="1"/>
  <c r="BA72" i="17"/>
  <c r="BB72" i="17" s="1"/>
  <c r="BB3" i="17"/>
  <c r="T3" i="15"/>
  <c r="T32" i="15" s="1"/>
  <c r="S3" i="15"/>
  <c r="S32" i="15" s="1"/>
  <c r="V3" i="15"/>
  <c r="V32" i="15" s="1"/>
  <c r="P3" i="4"/>
  <c r="W3" i="15"/>
  <c r="W32" i="15" s="1"/>
  <c r="W31" i="15" l="1"/>
  <c r="T45" i="15"/>
  <c r="V45" i="15"/>
  <c r="V31" i="15"/>
  <c r="P45" i="4"/>
  <c r="O45" i="4"/>
  <c r="AY31" i="17"/>
  <c r="E31" i="4"/>
  <c r="W45" i="15"/>
  <c r="U48" i="15"/>
  <c r="U63" i="15"/>
  <c r="R45" i="15"/>
  <c r="V48" i="4"/>
  <c r="R31" i="15"/>
  <c r="AY75" i="17"/>
  <c r="J48" i="4"/>
  <c r="AY66" i="17"/>
  <c r="I48" i="4"/>
  <c r="M48" i="4"/>
  <c r="H48" i="15"/>
  <c r="K48" i="15"/>
  <c r="G48" i="15"/>
  <c r="J48" i="15"/>
  <c r="AY61" i="17"/>
  <c r="AY46" i="17"/>
  <c r="AY45" i="17" s="1"/>
  <c r="AY49" i="17"/>
  <c r="M48" i="15"/>
  <c r="N50" i="15"/>
  <c r="N48" i="15" s="1"/>
  <c r="T31" i="15"/>
  <c r="R63" i="15"/>
  <c r="V63" i="4"/>
  <c r="L63" i="17"/>
  <c r="V64" i="17"/>
  <c r="S51" i="15"/>
  <c r="S65" i="15"/>
  <c r="S31" i="15"/>
  <c r="BB31" i="17"/>
  <c r="P31" i="4"/>
  <c r="K48" i="4"/>
  <c r="L45" i="17"/>
  <c r="V46" i="17"/>
  <c r="V49" i="17"/>
  <c r="L48" i="17"/>
  <c r="V56" i="15"/>
  <c r="V70" i="15"/>
  <c r="V73" i="15"/>
  <c r="V59" i="15"/>
  <c r="E45" i="15"/>
  <c r="F46" i="15"/>
  <c r="F45" i="15" s="1"/>
  <c r="S76" i="15"/>
  <c r="S62" i="15"/>
  <c r="M63" i="15"/>
  <c r="N64" i="15"/>
  <c r="N63" i="15" s="1"/>
  <c r="G63" i="15"/>
  <c r="J63" i="15"/>
  <c r="O63" i="4"/>
  <c r="P64" i="4"/>
  <c r="P63" i="4" s="1"/>
  <c r="J63" i="4"/>
  <c r="V65" i="15"/>
  <c r="V51" i="15"/>
  <c r="S55" i="15"/>
  <c r="S69" i="15"/>
  <c r="BA31" i="17"/>
  <c r="E31" i="15"/>
  <c r="F32" i="15"/>
  <c r="F31" i="15" s="1"/>
  <c r="O31" i="4"/>
  <c r="K63" i="4"/>
  <c r="E48" i="4"/>
  <c r="H49" i="4"/>
  <c r="H48" i="4" s="1"/>
  <c r="S70" i="15"/>
  <c r="S56" i="15"/>
  <c r="S57" i="15"/>
  <c r="S71" i="15"/>
  <c r="S61" i="15"/>
  <c r="S75" i="15"/>
  <c r="S72" i="15"/>
  <c r="S58" i="15"/>
  <c r="BA63" i="17"/>
  <c r="BB64" i="17"/>
  <c r="BB63" i="17" s="1"/>
  <c r="I48" i="15"/>
  <c r="H63" i="15"/>
  <c r="I63" i="4"/>
  <c r="BA45" i="17"/>
  <c r="BB46" i="17"/>
  <c r="BB45" i="17" s="1"/>
  <c r="M63" i="4"/>
  <c r="V69" i="15"/>
  <c r="V55" i="15"/>
  <c r="E48" i="15"/>
  <c r="F49" i="15"/>
  <c r="F48" i="15" s="1"/>
  <c r="O48" i="4"/>
  <c r="P49" i="4"/>
  <c r="P48" i="4" s="1"/>
  <c r="S67" i="15"/>
  <c r="S53" i="15"/>
  <c r="L48" i="4"/>
  <c r="L63" i="4"/>
  <c r="E63" i="4"/>
  <c r="H64" i="4"/>
  <c r="H63" i="4" s="1"/>
  <c r="L31" i="17"/>
  <c r="V54" i="15"/>
  <c r="V68" i="15"/>
  <c r="V66" i="15"/>
  <c r="V52" i="15"/>
  <c r="S60" i="15"/>
  <c r="S74" i="15"/>
  <c r="V71" i="15"/>
  <c r="V57" i="15"/>
  <c r="V75" i="15"/>
  <c r="V63" i="15" s="1"/>
  <c r="V61" i="15"/>
  <c r="V48" i="15" s="1"/>
  <c r="V58" i="15"/>
  <c r="V72" i="15"/>
  <c r="S50" i="15"/>
  <c r="S64" i="15"/>
  <c r="BA48" i="17"/>
  <c r="BB50" i="17"/>
  <c r="BB48" i="17" s="1"/>
  <c r="I63" i="15"/>
  <c r="K63" i="15"/>
  <c r="R48" i="15"/>
  <c r="E63" i="15"/>
  <c r="F64" i="15"/>
  <c r="F63" i="15" s="1"/>
  <c r="V53" i="15"/>
  <c r="V67" i="15"/>
  <c r="M31" i="15"/>
  <c r="N32" i="15"/>
  <c r="N31" i="15" s="1"/>
  <c r="E45" i="4"/>
  <c r="H46" i="4"/>
  <c r="H45" i="4" s="1"/>
  <c r="S68" i="15"/>
  <c r="S54" i="15"/>
  <c r="S52" i="15"/>
  <c r="S66" i="15"/>
  <c r="V74" i="15"/>
  <c r="V60" i="15"/>
  <c r="S59" i="15"/>
  <c r="S73" i="15"/>
  <c r="M45" i="15"/>
  <c r="N46" i="15"/>
  <c r="N45" i="15" s="1"/>
  <c r="V64" i="15"/>
  <c r="V50" i="15"/>
  <c r="V62" i="15"/>
  <c r="V76" i="15"/>
  <c r="D32" i="19"/>
  <c r="D31" i="19" s="1"/>
  <c r="T58" i="15"/>
  <c r="T72" i="15"/>
  <c r="W58" i="15"/>
  <c r="W72" i="15"/>
  <c r="W54" i="15"/>
  <c r="W68" i="15"/>
  <c r="T54" i="15"/>
  <c r="T68" i="15"/>
  <c r="W69" i="15"/>
  <c r="W55" i="15"/>
  <c r="T69" i="15"/>
  <c r="T55" i="15"/>
  <c r="W70" i="15"/>
  <c r="W56" i="15"/>
  <c r="T70" i="15"/>
  <c r="T56" i="15"/>
  <c r="W66" i="15"/>
  <c r="W52" i="15"/>
  <c r="T66" i="15"/>
  <c r="T52" i="15"/>
  <c r="W74" i="15"/>
  <c r="W60" i="15"/>
  <c r="T74" i="15"/>
  <c r="T60" i="15"/>
  <c r="T71" i="15"/>
  <c r="T57" i="15"/>
  <c r="W71" i="15"/>
  <c r="W57" i="15"/>
  <c r="W50" i="15"/>
  <c r="W64" i="15"/>
  <c r="T50" i="15"/>
  <c r="T64" i="15"/>
  <c r="T65" i="15"/>
  <c r="T51" i="15"/>
  <c r="W65" i="15"/>
  <c r="W51" i="15"/>
  <c r="T75" i="15"/>
  <c r="T61" i="15"/>
  <c r="W75" i="15"/>
  <c r="W63" i="15" s="1"/>
  <c r="W61" i="15"/>
  <c r="W48" i="15" s="1"/>
  <c r="T73" i="15"/>
  <c r="T59" i="15"/>
  <c r="W73" i="15"/>
  <c r="W59" i="15"/>
  <c r="W62" i="15"/>
  <c r="W76" i="15"/>
  <c r="T62" i="15"/>
  <c r="T76" i="15"/>
  <c r="W67" i="15"/>
  <c r="W53" i="15"/>
  <c r="T67" i="15"/>
  <c r="T53" i="15"/>
  <c r="F3" i="19"/>
  <c r="AA2" i="17"/>
  <c r="AY3" i="18"/>
  <c r="BB3" i="18"/>
  <c r="AX3" i="18"/>
  <c r="BE3" i="18"/>
  <c r="BC3" i="18"/>
  <c r="BG3" i="18"/>
  <c r="BD3" i="18"/>
  <c r="BF3" i="18"/>
  <c r="AA3" i="17"/>
  <c r="Y3" i="17"/>
  <c r="AB3" i="17"/>
  <c r="Z3" i="17"/>
  <c r="X3" i="17"/>
  <c r="AC3" i="17"/>
  <c r="V3" i="17"/>
  <c r="T3" i="17"/>
  <c r="U3" i="17"/>
  <c r="AY63" i="17" l="1"/>
  <c r="AY48" i="17"/>
  <c r="F32" i="19"/>
  <c r="F31" i="19" s="1"/>
  <c r="T48" i="15"/>
  <c r="S48" i="15"/>
  <c r="S63" i="15"/>
  <c r="T63" i="15"/>
  <c r="Z26" i="17"/>
  <c r="Z10" i="17"/>
  <c r="Z4" i="17"/>
  <c r="Z25" i="17"/>
  <c r="Z16" i="17"/>
  <c r="AA7" i="17"/>
  <c r="AA27" i="17"/>
  <c r="Z20" i="17"/>
  <c r="Z15" i="17"/>
  <c r="AA11" i="17"/>
  <c r="AA21" i="17"/>
  <c r="Z18" i="17"/>
  <c r="AA5" i="17"/>
  <c r="AA22" i="17"/>
  <c r="AA30" i="17"/>
  <c r="AA8" i="17"/>
  <c r="AA25" i="17"/>
  <c r="AA16" i="17"/>
  <c r="Z7" i="17"/>
  <c r="Z27" i="17"/>
  <c r="AA20" i="17"/>
  <c r="AA15" i="17"/>
  <c r="Z11" i="17"/>
  <c r="Z21" i="17"/>
  <c r="AA18" i="17"/>
  <c r="Z5" i="17"/>
  <c r="Z22" i="17"/>
  <c r="Z30" i="17"/>
  <c r="Z8" i="17"/>
  <c r="AA29" i="17"/>
  <c r="Z23" i="17"/>
  <c r="AA14" i="17"/>
  <c r="Z9" i="17"/>
  <c r="AA28" i="17"/>
  <c r="AA24" i="17"/>
  <c r="Z17" i="17"/>
  <c r="Z12" i="17"/>
  <c r="Z6" i="17"/>
  <c r="Z19" i="17"/>
  <c r="Z13" i="17"/>
  <c r="Z2" i="17"/>
  <c r="AA26" i="17"/>
  <c r="AA10" i="17"/>
  <c r="AA4" i="17"/>
  <c r="Z29" i="17"/>
  <c r="AA23" i="17"/>
  <c r="Z14" i="17"/>
  <c r="AA9" i="17"/>
  <c r="Z28" i="17"/>
  <c r="Z24" i="17"/>
  <c r="AA17" i="17"/>
  <c r="AA12" i="17"/>
  <c r="AA6" i="17"/>
  <c r="AA19" i="17"/>
  <c r="AA13" i="17"/>
  <c r="AM31" i="18"/>
  <c r="M3" i="17"/>
  <c r="M32" i="17" s="1"/>
  <c r="F3" i="4"/>
  <c r="F32" i="4" s="1"/>
  <c r="F31" i="4" s="1"/>
  <c r="H32" i="4" l="1"/>
  <c r="H31" i="4" s="1"/>
  <c r="W32" i="17"/>
  <c r="AD32" i="17" s="1"/>
  <c r="BA3" i="18"/>
  <c r="BL3" i="18" s="1"/>
  <c r="BL32" i="18" s="1"/>
  <c r="BL31" i="18" s="1"/>
  <c r="M19" i="17"/>
  <c r="M42" i="17" s="1"/>
  <c r="W42" i="17" s="1"/>
  <c r="AD42" i="17" s="1"/>
  <c r="M14" i="17"/>
  <c r="M34" i="17" s="1"/>
  <c r="W34" i="17" s="1"/>
  <c r="AD34" i="17" s="1"/>
  <c r="M22" i="17"/>
  <c r="M37" i="17" s="1"/>
  <c r="W37" i="17" s="1"/>
  <c r="AD37" i="17" s="1"/>
  <c r="M4" i="17"/>
  <c r="M40" i="17" s="1"/>
  <c r="W40" i="17" s="1"/>
  <c r="AD40" i="17" s="1"/>
  <c r="M7" i="17"/>
  <c r="M12" i="17"/>
  <c r="M15" i="17"/>
  <c r="M44" i="17" s="1"/>
  <c r="W44" i="17" s="1"/>
  <c r="AD44" i="17" s="1"/>
  <c r="M24" i="17"/>
  <c r="M27" i="17"/>
  <c r="M28" i="17"/>
  <c r="M43" i="17" s="1"/>
  <c r="W43" i="17" s="1"/>
  <c r="AD43" i="17" s="1"/>
  <c r="M6" i="17"/>
  <c r="M47" i="17" s="1"/>
  <c r="W47" i="17" s="1"/>
  <c r="AD47" i="17" s="1"/>
  <c r="M5" i="17"/>
  <c r="M8" i="17"/>
  <c r="M41" i="17" s="1"/>
  <c r="W41" i="17" s="1"/>
  <c r="AD41" i="17" s="1"/>
  <c r="M16" i="17"/>
  <c r="M20" i="17"/>
  <c r="M23" i="17"/>
  <c r="M49" i="17" s="1"/>
  <c r="M9" i="17"/>
  <c r="M10" i="17"/>
  <c r="M46" i="17" s="1"/>
  <c r="M13" i="17"/>
  <c r="M33" i="17" s="1"/>
  <c r="W33" i="17" s="1"/>
  <c r="AD33" i="17" s="1"/>
  <c r="M29" i="17"/>
  <c r="M38" i="17"/>
  <c r="W38" i="17" s="1"/>
  <c r="AD38" i="17" s="1"/>
  <c r="M17" i="17"/>
  <c r="M21" i="17"/>
  <c r="M25" i="17"/>
  <c r="M18" i="17"/>
  <c r="M11" i="17"/>
  <c r="M39" i="17" s="1"/>
  <c r="W39" i="17" s="1"/>
  <c r="AD39" i="17" s="1"/>
  <c r="M26" i="17"/>
  <c r="M36" i="17" s="1"/>
  <c r="W36" i="17" s="1"/>
  <c r="AD36" i="17" s="1"/>
  <c r="M30" i="17"/>
  <c r="M35" i="17" s="1"/>
  <c r="W35" i="17" s="1"/>
  <c r="AD35" i="17" s="1"/>
  <c r="W3" i="17"/>
  <c r="AD3" i="17" s="1"/>
  <c r="H3" i="4"/>
  <c r="AD31" i="17" l="1"/>
  <c r="M31" i="17"/>
  <c r="M75" i="17"/>
  <c r="W75" i="17" s="1"/>
  <c r="AD75" i="17" s="1"/>
  <c r="M61" i="17"/>
  <c r="W61" i="17" s="1"/>
  <c r="AD61" i="17" s="1"/>
  <c r="M64" i="17"/>
  <c r="W64" i="17" s="1"/>
  <c r="AD64" i="17" s="1"/>
  <c r="M50" i="17"/>
  <c r="W50" i="17" s="1"/>
  <c r="AD50" i="17" s="1"/>
  <c r="M65" i="17"/>
  <c r="W65" i="17" s="1"/>
  <c r="AD65" i="17" s="1"/>
  <c r="M51" i="17"/>
  <c r="W51" i="17" s="1"/>
  <c r="AD51" i="17" s="1"/>
  <c r="M52" i="17"/>
  <c r="W52" i="17" s="1"/>
  <c r="AD52" i="17" s="1"/>
  <c r="M66" i="17"/>
  <c r="M71" i="17"/>
  <c r="W71" i="17" s="1"/>
  <c r="AD71" i="17" s="1"/>
  <c r="M57" i="17"/>
  <c r="W57" i="17" s="1"/>
  <c r="AD57" i="17" s="1"/>
  <c r="M45" i="17"/>
  <c r="W46" i="17"/>
  <c r="AD46" i="17" s="1"/>
  <c r="AD45" i="17" s="1"/>
  <c r="M68" i="17"/>
  <c r="W68" i="17" s="1"/>
  <c r="AD68" i="17" s="1"/>
  <c r="M54" i="17"/>
  <c r="W54" i="17" s="1"/>
  <c r="AD54" i="17" s="1"/>
  <c r="W49" i="17"/>
  <c r="AD49" i="17" s="1"/>
  <c r="M56" i="17"/>
  <c r="W56" i="17" s="1"/>
  <c r="AD56" i="17" s="1"/>
  <c r="M70" i="17"/>
  <c r="W70" i="17" s="1"/>
  <c r="AD70" i="17" s="1"/>
  <c r="M72" i="17"/>
  <c r="W72" i="17" s="1"/>
  <c r="AD72" i="17" s="1"/>
  <c r="M58" i="17"/>
  <c r="W58" i="17" s="1"/>
  <c r="AD58" i="17" s="1"/>
  <c r="M67" i="17"/>
  <c r="W67" i="17" s="1"/>
  <c r="AD67" i="17" s="1"/>
  <c r="M53" i="17"/>
  <c r="W53" i="17" s="1"/>
  <c r="AD53" i="17" s="1"/>
  <c r="M76" i="17"/>
  <c r="W76" i="17" s="1"/>
  <c r="AD76" i="17" s="1"/>
  <c r="M62" i="17"/>
  <c r="W62" i="17" s="1"/>
  <c r="AD62" i="17" s="1"/>
  <c r="M69" i="17"/>
  <c r="W69" i="17" s="1"/>
  <c r="AD69" i="17" s="1"/>
  <c r="M55" i="17"/>
  <c r="W55" i="17" s="1"/>
  <c r="AD55" i="17" s="1"/>
  <c r="M60" i="17"/>
  <c r="W60" i="17" s="1"/>
  <c r="AD60" i="17" s="1"/>
  <c r="M74" i="17"/>
  <c r="W74" i="17" s="1"/>
  <c r="AD74" i="17" s="1"/>
  <c r="M73" i="17"/>
  <c r="W73" i="17" s="1"/>
  <c r="AD73" i="17" s="1"/>
  <c r="M59" i="17"/>
  <c r="W59" i="17" s="1"/>
  <c r="AD59" i="17" s="1"/>
  <c r="W26" i="17"/>
  <c r="AD26" i="17" s="1"/>
  <c r="W18" i="17"/>
  <c r="AD18" i="17" s="1"/>
  <c r="W25" i="17"/>
  <c r="AD25" i="17" s="1"/>
  <c r="W21" i="17"/>
  <c r="AD21" i="17" s="1"/>
  <c r="W29" i="17"/>
  <c r="AD29" i="17" s="1"/>
  <c r="W28" i="17"/>
  <c r="AD28" i="17" s="1"/>
  <c r="W22" i="17"/>
  <c r="AD22" i="17" s="1"/>
  <c r="W17" i="17"/>
  <c r="AD17" i="17" s="1"/>
  <c r="W10" i="17"/>
  <c r="AD10" i="17" s="1"/>
  <c r="W20" i="17"/>
  <c r="AD20" i="17" s="1"/>
  <c r="W8" i="17"/>
  <c r="AD8" i="17" s="1"/>
  <c r="W6" i="17"/>
  <c r="AD6" i="17" s="1"/>
  <c r="W27" i="17"/>
  <c r="AD27" i="17" s="1"/>
  <c r="W24" i="17"/>
  <c r="AD24" i="17" s="1"/>
  <c r="W15" i="17"/>
  <c r="AD15" i="17" s="1"/>
  <c r="W12" i="17"/>
  <c r="AD12" i="17" s="1"/>
  <c r="W4" i="17"/>
  <c r="AD4" i="17" s="1"/>
  <c r="W30" i="17"/>
  <c r="AD30" i="17" s="1"/>
  <c r="W11" i="17"/>
  <c r="AD11" i="17" s="1"/>
  <c r="W2" i="17"/>
  <c r="AD2" i="17" s="1"/>
  <c r="W13" i="17"/>
  <c r="AD13" i="17" s="1"/>
  <c r="W9" i="17"/>
  <c r="AD9" i="17" s="1"/>
  <c r="W23" i="17"/>
  <c r="AD23" i="17" s="1"/>
  <c r="W5" i="17"/>
  <c r="AD5" i="17" s="1"/>
  <c r="W14" i="17"/>
  <c r="AD14" i="17" s="1"/>
  <c r="W16" i="17"/>
  <c r="AD16" i="17" s="1"/>
  <c r="W7" i="17"/>
  <c r="AD7" i="17" s="1"/>
  <c r="W19" i="17"/>
  <c r="AD19" i="17" s="1"/>
  <c r="M48" i="17" l="1"/>
  <c r="AD48" i="17"/>
  <c r="M63" i="17"/>
  <c r="W66" i="17"/>
  <c r="AD66" i="17" s="1"/>
  <c r="AD63"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Manning, Karessa L.</author>
  </authors>
  <commentList>
    <comment ref="A1" authorId="0" shapeId="0" xr:uid="{00000000-0006-0000-0C00-000001000000}">
      <text>
        <r>
          <rPr>
            <b/>
            <sz val="9"/>
            <color indexed="81"/>
            <rFont val="Tahoma"/>
            <family val="2"/>
          </rPr>
          <t>Manning, Karessa L.:</t>
        </r>
        <r>
          <rPr>
            <sz val="9"/>
            <color indexed="81"/>
            <rFont val="Tahoma"/>
            <family val="2"/>
          </rPr>
          <t xml:space="preserve">
Slab Size = 1
Cover Layer = 0</t>
        </r>
      </text>
    </comment>
  </commentList>
</comments>
</file>

<file path=xl/sharedStrings.xml><?xml version="1.0" encoding="utf-8"?>
<sst xmlns="http://schemas.openxmlformats.org/spreadsheetml/2006/main" count="6108" uniqueCount="1482">
  <si>
    <t>SFS</t>
  </si>
  <si>
    <t>SFF</t>
  </si>
  <si>
    <t>SFX</t>
  </si>
  <si>
    <t>SFI</t>
  </si>
  <si>
    <t>SFW</t>
  </si>
  <si>
    <t>SFOSA</t>
  </si>
  <si>
    <t>SFXSUB</t>
  </si>
  <si>
    <t>SFXGP</t>
  </si>
  <si>
    <t>SFXIMM</t>
  </si>
  <si>
    <t>SFXSV1</t>
  </si>
  <si>
    <t>SFXSV5</t>
  </si>
  <si>
    <t>SFXSV15</t>
  </si>
  <si>
    <t>Ac-225</t>
  </si>
  <si>
    <t>Am-241</t>
  </si>
  <si>
    <t>At-217</t>
  </si>
  <si>
    <t>At-218</t>
  </si>
  <si>
    <t>Ba-137m</t>
  </si>
  <si>
    <t>Bi-210</t>
  </si>
  <si>
    <t>Bi-213</t>
  </si>
  <si>
    <t>Bi-214</t>
  </si>
  <si>
    <t>Cs-137</t>
  </si>
  <si>
    <t>Fr-221</t>
  </si>
  <si>
    <t>Hg-206</t>
  </si>
  <si>
    <t>Np-237</t>
  </si>
  <si>
    <t>Pa-233</t>
  </si>
  <si>
    <t>Pb-209</t>
  </si>
  <si>
    <t>Pb-210</t>
  </si>
  <si>
    <t>Pb-214</t>
  </si>
  <si>
    <t>Po-210</t>
  </si>
  <si>
    <t>Po-213</t>
  </si>
  <si>
    <t>Po-214</t>
  </si>
  <si>
    <t>Po-218</t>
  </si>
  <si>
    <t>Ra-225</t>
  </si>
  <si>
    <t>Ra-226</t>
  </si>
  <si>
    <t>Rn-218</t>
  </si>
  <si>
    <t>Rn-222</t>
  </si>
  <si>
    <t>Th-229</t>
  </si>
  <si>
    <t>Tl-206</t>
  </si>
  <si>
    <t>Tl-209</t>
  </si>
  <si>
    <t>Tl-210</t>
  </si>
  <si>
    <t>U-233</t>
  </si>
  <si>
    <t>ACFGP</t>
  </si>
  <si>
    <t>ACFSV</t>
  </si>
  <si>
    <t>ACFSV1</t>
  </si>
  <si>
    <t>ACFSV5</t>
  </si>
  <si>
    <t>ACFSV15</t>
  </si>
  <si>
    <t>GSFGP</t>
  </si>
  <si>
    <t>GSFSV</t>
  </si>
  <si>
    <t>GSFSV1</t>
  </si>
  <si>
    <t>GSFSV5</t>
  </si>
  <si>
    <t>GSFSV15</t>
  </si>
  <si>
    <t>Radionuclide</t>
  </si>
  <si>
    <t>General</t>
  </si>
  <si>
    <t>Resident</t>
  </si>
  <si>
    <t>Recreator</t>
  </si>
  <si>
    <t>years</t>
  </si>
  <si>
    <t>m3/day</t>
  </si>
  <si>
    <t>mg/day</t>
  </si>
  <si>
    <t>L/day</t>
  </si>
  <si>
    <t>g/day</t>
  </si>
  <si>
    <t>days/year</t>
  </si>
  <si>
    <t>hours/event</t>
  </si>
  <si>
    <t>hours/day</t>
  </si>
  <si>
    <t>events/day</t>
  </si>
  <si>
    <r>
      <t xml:space="preserve">ED </t>
    </r>
    <r>
      <rPr>
        <vertAlign val="subscript"/>
        <sz val="11"/>
        <color theme="1"/>
        <rFont val="Calibri"/>
        <family val="2"/>
        <scheme val="minor"/>
      </rPr>
      <t>res-c</t>
    </r>
  </si>
  <si>
    <r>
      <t xml:space="preserve">ED </t>
    </r>
    <r>
      <rPr>
        <vertAlign val="subscript"/>
        <sz val="11"/>
        <color theme="1"/>
        <rFont val="Calibri"/>
        <family val="2"/>
        <scheme val="minor"/>
      </rPr>
      <t>rec-c</t>
    </r>
  </si>
  <si>
    <r>
      <t xml:space="preserve">ED </t>
    </r>
    <r>
      <rPr>
        <vertAlign val="subscript"/>
        <sz val="11"/>
        <color theme="1"/>
        <rFont val="Calibri"/>
        <family val="2"/>
        <scheme val="minor"/>
      </rPr>
      <t>far-c</t>
    </r>
  </si>
  <si>
    <r>
      <t xml:space="preserve">ED </t>
    </r>
    <r>
      <rPr>
        <vertAlign val="subscript"/>
        <sz val="11"/>
        <color theme="1"/>
        <rFont val="Calibri"/>
        <family val="2"/>
        <scheme val="minor"/>
      </rPr>
      <t>res-a</t>
    </r>
  </si>
  <si>
    <r>
      <t xml:space="preserve">ED </t>
    </r>
    <r>
      <rPr>
        <vertAlign val="subscript"/>
        <sz val="11"/>
        <color theme="1"/>
        <rFont val="Calibri"/>
        <family val="2"/>
        <scheme val="minor"/>
      </rPr>
      <t>rec-a</t>
    </r>
  </si>
  <si>
    <r>
      <t xml:space="preserve">ED </t>
    </r>
    <r>
      <rPr>
        <vertAlign val="subscript"/>
        <sz val="11"/>
        <color theme="1"/>
        <rFont val="Calibri"/>
        <family val="2"/>
        <scheme val="minor"/>
      </rPr>
      <t>far-a</t>
    </r>
  </si>
  <si>
    <r>
      <t xml:space="preserve">ED </t>
    </r>
    <r>
      <rPr>
        <vertAlign val="subscript"/>
        <sz val="11"/>
        <color theme="1"/>
        <rFont val="Calibri"/>
        <family val="2"/>
        <scheme val="minor"/>
      </rPr>
      <t>res</t>
    </r>
  </si>
  <si>
    <r>
      <t xml:space="preserve">ED </t>
    </r>
    <r>
      <rPr>
        <vertAlign val="subscript"/>
        <sz val="11"/>
        <color theme="1"/>
        <rFont val="Calibri"/>
        <family val="2"/>
        <scheme val="minor"/>
      </rPr>
      <t>rec</t>
    </r>
  </si>
  <si>
    <r>
      <t xml:space="preserve">ED </t>
    </r>
    <r>
      <rPr>
        <vertAlign val="subscript"/>
        <sz val="11"/>
        <color theme="1"/>
        <rFont val="Calibri"/>
        <family val="2"/>
        <scheme val="minor"/>
      </rPr>
      <t>far</t>
    </r>
  </si>
  <si>
    <r>
      <t xml:space="preserve">IRA </t>
    </r>
    <r>
      <rPr>
        <vertAlign val="subscript"/>
        <sz val="11"/>
        <color theme="1"/>
        <rFont val="Calibri"/>
        <family val="2"/>
        <scheme val="minor"/>
      </rPr>
      <t>res-c</t>
    </r>
  </si>
  <si>
    <r>
      <t xml:space="preserve">IRA </t>
    </r>
    <r>
      <rPr>
        <vertAlign val="subscript"/>
        <sz val="11"/>
        <color theme="1"/>
        <rFont val="Calibri"/>
        <family val="2"/>
        <scheme val="minor"/>
      </rPr>
      <t>res-a</t>
    </r>
  </si>
  <si>
    <r>
      <t xml:space="preserve">IRS </t>
    </r>
    <r>
      <rPr>
        <vertAlign val="subscript"/>
        <sz val="11"/>
        <color theme="1"/>
        <rFont val="Calibri"/>
        <family val="2"/>
        <scheme val="minor"/>
      </rPr>
      <t>res-c</t>
    </r>
  </si>
  <si>
    <r>
      <t xml:space="preserve">IRS </t>
    </r>
    <r>
      <rPr>
        <vertAlign val="subscript"/>
        <sz val="11"/>
        <color theme="1"/>
        <rFont val="Calibri"/>
        <family val="2"/>
        <scheme val="minor"/>
      </rPr>
      <t>res-a</t>
    </r>
  </si>
  <si>
    <r>
      <t xml:space="preserve">IRW </t>
    </r>
    <r>
      <rPr>
        <vertAlign val="subscript"/>
        <sz val="11"/>
        <color theme="1"/>
        <rFont val="Calibri"/>
        <family val="2"/>
        <scheme val="minor"/>
      </rPr>
      <t>res-c</t>
    </r>
  </si>
  <si>
    <r>
      <t xml:space="preserve">IRW </t>
    </r>
    <r>
      <rPr>
        <vertAlign val="subscript"/>
        <sz val="11"/>
        <color theme="1"/>
        <rFont val="Calibri"/>
        <family val="2"/>
        <scheme val="minor"/>
      </rPr>
      <t>res-a</t>
    </r>
  </si>
  <si>
    <r>
      <t xml:space="preserve">IRF </t>
    </r>
    <r>
      <rPr>
        <vertAlign val="subscript"/>
        <sz val="11"/>
        <color theme="1"/>
        <rFont val="Calibri"/>
        <family val="2"/>
        <scheme val="minor"/>
      </rPr>
      <t>res</t>
    </r>
  </si>
  <si>
    <r>
      <t xml:space="preserve">EF </t>
    </r>
    <r>
      <rPr>
        <vertAlign val="subscript"/>
        <sz val="11"/>
        <color theme="1"/>
        <rFont val="Calibri"/>
        <family val="2"/>
        <scheme val="minor"/>
      </rPr>
      <t>res-c</t>
    </r>
  </si>
  <si>
    <r>
      <t xml:space="preserve">EF </t>
    </r>
    <r>
      <rPr>
        <vertAlign val="subscript"/>
        <sz val="11"/>
        <color theme="1"/>
        <rFont val="Calibri"/>
        <family val="2"/>
        <scheme val="minor"/>
      </rPr>
      <t>res-a</t>
    </r>
  </si>
  <si>
    <r>
      <t xml:space="preserve">EF </t>
    </r>
    <r>
      <rPr>
        <vertAlign val="subscript"/>
        <sz val="11"/>
        <color theme="1"/>
        <rFont val="Calibri"/>
        <family val="2"/>
        <scheme val="minor"/>
      </rPr>
      <t>res</t>
    </r>
  </si>
  <si>
    <r>
      <t xml:space="preserve">ET </t>
    </r>
    <r>
      <rPr>
        <vertAlign val="subscript"/>
        <sz val="11"/>
        <color theme="1"/>
        <rFont val="Calibri"/>
        <family val="2"/>
        <scheme val="minor"/>
      </rPr>
      <t>event-res-c</t>
    </r>
  </si>
  <si>
    <r>
      <t xml:space="preserve">ET </t>
    </r>
    <r>
      <rPr>
        <vertAlign val="subscript"/>
        <sz val="11"/>
        <color theme="1"/>
        <rFont val="Calibri"/>
        <family val="2"/>
        <scheme val="minor"/>
      </rPr>
      <t>event-res-a</t>
    </r>
  </si>
  <si>
    <r>
      <t xml:space="preserve">ET </t>
    </r>
    <r>
      <rPr>
        <vertAlign val="subscript"/>
        <sz val="11"/>
        <color theme="1"/>
        <rFont val="Calibri"/>
        <family val="2"/>
        <scheme val="minor"/>
      </rPr>
      <t>res-c</t>
    </r>
  </si>
  <si>
    <r>
      <t xml:space="preserve">ET </t>
    </r>
    <r>
      <rPr>
        <vertAlign val="subscript"/>
        <sz val="11"/>
        <color theme="1"/>
        <rFont val="Calibri"/>
        <family val="2"/>
        <scheme val="minor"/>
      </rPr>
      <t>res-a</t>
    </r>
  </si>
  <si>
    <r>
      <t xml:space="preserve">ET </t>
    </r>
    <r>
      <rPr>
        <vertAlign val="subscript"/>
        <sz val="11"/>
        <color theme="1"/>
        <rFont val="Calibri"/>
        <family val="2"/>
        <scheme val="minor"/>
      </rPr>
      <t>res</t>
    </r>
  </si>
  <si>
    <r>
      <t xml:space="preserve">EV </t>
    </r>
    <r>
      <rPr>
        <vertAlign val="subscript"/>
        <sz val="11"/>
        <color theme="1"/>
        <rFont val="Calibri"/>
        <family val="2"/>
        <scheme val="minor"/>
      </rPr>
      <t>res-c</t>
    </r>
  </si>
  <si>
    <r>
      <t xml:space="preserve">EV </t>
    </r>
    <r>
      <rPr>
        <vertAlign val="subscript"/>
        <sz val="11"/>
        <color theme="1"/>
        <rFont val="Calibri"/>
        <family val="2"/>
        <scheme val="minor"/>
      </rPr>
      <t>res-a</t>
    </r>
  </si>
  <si>
    <r>
      <t xml:space="preserve">t </t>
    </r>
    <r>
      <rPr>
        <vertAlign val="subscript"/>
        <sz val="11"/>
        <color theme="1"/>
        <rFont val="Calibri"/>
        <family val="2"/>
        <scheme val="minor"/>
      </rPr>
      <t>res</t>
    </r>
  </si>
  <si>
    <r>
      <t xml:space="preserve">t </t>
    </r>
    <r>
      <rPr>
        <vertAlign val="subscript"/>
        <sz val="11"/>
        <color theme="1"/>
        <rFont val="Calibri"/>
        <family val="2"/>
        <scheme val="minor"/>
      </rPr>
      <t>rec</t>
    </r>
  </si>
  <si>
    <r>
      <t xml:space="preserve">t </t>
    </r>
    <r>
      <rPr>
        <vertAlign val="subscript"/>
        <sz val="11"/>
        <color theme="1"/>
        <rFont val="Calibri"/>
        <family val="2"/>
        <scheme val="minor"/>
      </rPr>
      <t>far</t>
    </r>
  </si>
  <si>
    <r>
      <t xml:space="preserve">GSF </t>
    </r>
    <r>
      <rPr>
        <vertAlign val="subscript"/>
        <sz val="11"/>
        <color theme="1"/>
        <rFont val="Calibri"/>
        <family val="2"/>
        <scheme val="minor"/>
      </rPr>
      <t>a</t>
    </r>
  </si>
  <si>
    <r>
      <t xml:space="preserve">GSF </t>
    </r>
    <r>
      <rPr>
        <vertAlign val="subscript"/>
        <sz val="11"/>
        <color theme="1"/>
        <rFont val="Calibri"/>
        <family val="2"/>
        <scheme val="minor"/>
      </rPr>
      <t>i</t>
    </r>
  </si>
  <si>
    <r>
      <t xml:space="preserve">GSF </t>
    </r>
    <r>
      <rPr>
        <vertAlign val="subscript"/>
        <sz val="11"/>
        <color theme="1"/>
        <rFont val="Calibri"/>
        <family val="2"/>
        <scheme val="minor"/>
      </rPr>
      <t>o</t>
    </r>
  </si>
  <si>
    <r>
      <t xml:space="preserve">ET </t>
    </r>
    <r>
      <rPr>
        <vertAlign val="subscript"/>
        <sz val="11"/>
        <rFont val="Calibri"/>
        <family val="2"/>
        <scheme val="minor"/>
      </rPr>
      <t>res-o</t>
    </r>
  </si>
  <si>
    <r>
      <t xml:space="preserve">ET </t>
    </r>
    <r>
      <rPr>
        <vertAlign val="subscript"/>
        <sz val="11"/>
        <rFont val="Calibri"/>
        <family val="2"/>
        <scheme val="minor"/>
      </rPr>
      <t>res-i</t>
    </r>
  </si>
  <si>
    <r>
      <t xml:space="preserve">CF </t>
    </r>
    <r>
      <rPr>
        <vertAlign val="subscript"/>
        <sz val="11"/>
        <color theme="1"/>
        <rFont val="Calibri"/>
        <family val="2"/>
        <scheme val="minor"/>
      </rPr>
      <t>res-fish</t>
    </r>
  </si>
  <si>
    <t>m^3/day</t>
  </si>
  <si>
    <t>L/hour</t>
  </si>
  <si>
    <t>kg/day</t>
  </si>
  <si>
    <t>unitless</t>
  </si>
  <si>
    <t>K</t>
  </si>
  <si>
    <r>
      <t xml:space="preserve">EV </t>
    </r>
    <r>
      <rPr>
        <vertAlign val="subscript"/>
        <sz val="11"/>
        <color theme="1"/>
        <rFont val="Calibri"/>
        <family val="2"/>
        <scheme val="minor"/>
      </rPr>
      <t>rec-c</t>
    </r>
  </si>
  <si>
    <r>
      <t xml:space="preserve">EV </t>
    </r>
    <r>
      <rPr>
        <vertAlign val="subscript"/>
        <sz val="11"/>
        <color theme="1"/>
        <rFont val="Calibri"/>
        <family val="2"/>
        <scheme val="minor"/>
      </rPr>
      <t>rec-a</t>
    </r>
  </si>
  <si>
    <r>
      <t xml:space="preserve">EF </t>
    </r>
    <r>
      <rPr>
        <vertAlign val="subscript"/>
        <sz val="11"/>
        <color theme="1"/>
        <rFont val="Calibri"/>
        <family val="2"/>
        <scheme val="minor"/>
      </rPr>
      <t>rec-c</t>
    </r>
  </si>
  <si>
    <r>
      <t xml:space="preserve">EF </t>
    </r>
    <r>
      <rPr>
        <vertAlign val="subscript"/>
        <sz val="11"/>
        <color theme="1"/>
        <rFont val="Calibri"/>
        <family val="2"/>
        <scheme val="minor"/>
      </rPr>
      <t>rec-a</t>
    </r>
  </si>
  <si>
    <r>
      <t xml:space="preserve">EF </t>
    </r>
    <r>
      <rPr>
        <vertAlign val="subscript"/>
        <sz val="11"/>
        <color theme="1"/>
        <rFont val="Calibri"/>
        <family val="2"/>
        <scheme val="minor"/>
      </rPr>
      <t>rec</t>
    </r>
  </si>
  <si>
    <r>
      <t xml:space="preserve">ET </t>
    </r>
    <r>
      <rPr>
        <vertAlign val="subscript"/>
        <sz val="11"/>
        <color theme="1"/>
        <rFont val="Calibri"/>
        <family val="2"/>
        <scheme val="minor"/>
      </rPr>
      <t>rec</t>
    </r>
  </si>
  <si>
    <r>
      <t xml:space="preserve">ET </t>
    </r>
    <r>
      <rPr>
        <vertAlign val="subscript"/>
        <sz val="11"/>
        <color theme="1"/>
        <rFont val="Calibri"/>
        <family val="2"/>
        <scheme val="minor"/>
      </rPr>
      <t>rec-c</t>
    </r>
  </si>
  <si>
    <r>
      <t xml:space="preserve">ET </t>
    </r>
    <r>
      <rPr>
        <vertAlign val="subscript"/>
        <sz val="11"/>
        <color theme="1"/>
        <rFont val="Calibri"/>
        <family val="2"/>
        <scheme val="minor"/>
      </rPr>
      <t>rec-a</t>
    </r>
  </si>
  <si>
    <r>
      <t xml:space="preserve">Q </t>
    </r>
    <r>
      <rPr>
        <vertAlign val="subscript"/>
        <sz val="11"/>
        <rFont val="Calibri"/>
        <family val="2"/>
        <scheme val="minor"/>
      </rPr>
      <t>w-game</t>
    </r>
  </si>
  <si>
    <r>
      <t xml:space="preserve">f </t>
    </r>
    <r>
      <rPr>
        <vertAlign val="subscript"/>
        <sz val="11"/>
        <rFont val="Calibri"/>
        <family val="2"/>
        <scheme val="minor"/>
      </rPr>
      <t>s-game</t>
    </r>
  </si>
  <si>
    <r>
      <t xml:space="preserve">f </t>
    </r>
    <r>
      <rPr>
        <vertAlign val="subscript"/>
        <sz val="11"/>
        <rFont val="Calibri"/>
        <family val="2"/>
        <scheme val="minor"/>
      </rPr>
      <t>p-game</t>
    </r>
  </si>
  <si>
    <r>
      <t xml:space="preserve">Q </t>
    </r>
    <r>
      <rPr>
        <vertAlign val="subscript"/>
        <sz val="11"/>
        <rFont val="Calibri"/>
        <family val="2"/>
        <scheme val="minor"/>
      </rPr>
      <t>s-game</t>
    </r>
  </si>
  <si>
    <r>
      <t xml:space="preserve">Q </t>
    </r>
    <r>
      <rPr>
        <vertAlign val="subscript"/>
        <sz val="11"/>
        <rFont val="Calibri"/>
        <family val="2"/>
        <scheme val="minor"/>
      </rPr>
      <t>p-game</t>
    </r>
  </si>
  <si>
    <r>
      <t xml:space="preserve">Q </t>
    </r>
    <r>
      <rPr>
        <vertAlign val="subscript"/>
        <sz val="11"/>
        <rFont val="Calibri"/>
        <family val="2"/>
        <scheme val="minor"/>
      </rPr>
      <t>w-fowl</t>
    </r>
  </si>
  <si>
    <r>
      <t xml:space="preserve">f </t>
    </r>
    <r>
      <rPr>
        <vertAlign val="subscript"/>
        <sz val="11"/>
        <rFont val="Calibri"/>
        <family val="2"/>
        <scheme val="minor"/>
      </rPr>
      <t>s-fowl</t>
    </r>
  </si>
  <si>
    <r>
      <t xml:space="preserve">f </t>
    </r>
    <r>
      <rPr>
        <vertAlign val="subscript"/>
        <sz val="11"/>
        <rFont val="Calibri"/>
        <family val="2"/>
        <scheme val="minor"/>
      </rPr>
      <t>p-fowl</t>
    </r>
  </si>
  <si>
    <r>
      <t xml:space="preserve">Q </t>
    </r>
    <r>
      <rPr>
        <vertAlign val="subscript"/>
        <sz val="11"/>
        <rFont val="Calibri"/>
        <family val="2"/>
        <scheme val="minor"/>
      </rPr>
      <t>s-fowl</t>
    </r>
  </si>
  <si>
    <r>
      <t xml:space="preserve">Q </t>
    </r>
    <r>
      <rPr>
        <vertAlign val="subscript"/>
        <sz val="11"/>
        <rFont val="Calibri"/>
        <family val="2"/>
        <scheme val="minor"/>
      </rPr>
      <t>p-fowl</t>
    </r>
  </si>
  <si>
    <r>
      <t xml:space="preserve">IRA </t>
    </r>
    <r>
      <rPr>
        <vertAlign val="subscript"/>
        <sz val="11"/>
        <color theme="1"/>
        <rFont val="Calibri"/>
        <family val="2"/>
        <scheme val="minor"/>
      </rPr>
      <t>rec-c</t>
    </r>
  </si>
  <si>
    <r>
      <t xml:space="preserve">IRA </t>
    </r>
    <r>
      <rPr>
        <vertAlign val="subscript"/>
        <sz val="11"/>
        <color theme="1"/>
        <rFont val="Calibri"/>
        <family val="2"/>
        <scheme val="minor"/>
      </rPr>
      <t>rec-a</t>
    </r>
  </si>
  <si>
    <r>
      <t xml:space="preserve">IRW </t>
    </r>
    <r>
      <rPr>
        <vertAlign val="subscript"/>
        <sz val="11"/>
        <color theme="1"/>
        <rFont val="Calibri"/>
        <family val="2"/>
        <scheme val="minor"/>
      </rPr>
      <t>rec-c</t>
    </r>
  </si>
  <si>
    <r>
      <t xml:space="preserve">IRW </t>
    </r>
    <r>
      <rPr>
        <vertAlign val="subscript"/>
        <sz val="11"/>
        <color theme="1"/>
        <rFont val="Calibri"/>
        <family val="2"/>
        <scheme val="minor"/>
      </rPr>
      <t>rec-a</t>
    </r>
  </si>
  <si>
    <r>
      <t xml:space="preserve">IRS </t>
    </r>
    <r>
      <rPr>
        <vertAlign val="subscript"/>
        <sz val="11"/>
        <color theme="1"/>
        <rFont val="Calibri"/>
        <family val="2"/>
        <scheme val="minor"/>
      </rPr>
      <t>rec-c</t>
    </r>
  </si>
  <si>
    <r>
      <t xml:space="preserve">IRS </t>
    </r>
    <r>
      <rPr>
        <vertAlign val="subscript"/>
        <sz val="11"/>
        <color theme="1"/>
        <rFont val="Calibri"/>
        <family val="2"/>
        <scheme val="minor"/>
      </rPr>
      <t>rec-a</t>
    </r>
  </si>
  <si>
    <t>hour/event</t>
  </si>
  <si>
    <t>event/day</t>
  </si>
  <si>
    <t>Ir</t>
  </si>
  <si>
    <t>L/m^2-day</t>
  </si>
  <si>
    <t>F</t>
  </si>
  <si>
    <t>day</t>
  </si>
  <si>
    <t>P</t>
  </si>
  <si>
    <t>kg/m^2</t>
  </si>
  <si>
    <t>lambda HL</t>
  </si>
  <si>
    <t>1/day</t>
  </si>
  <si>
    <t>T</t>
  </si>
  <si>
    <t>days</t>
  </si>
  <si>
    <t>kg/L</t>
  </si>
  <si>
    <r>
      <t xml:space="preserve">IRS </t>
    </r>
    <r>
      <rPr>
        <vertAlign val="subscript"/>
        <sz val="11"/>
        <color theme="1"/>
        <rFont val="Calibri"/>
        <family val="2"/>
        <scheme val="minor"/>
      </rPr>
      <t>far-c</t>
    </r>
  </si>
  <si>
    <r>
      <t xml:space="preserve">IRS </t>
    </r>
    <r>
      <rPr>
        <vertAlign val="subscript"/>
        <sz val="11"/>
        <color theme="1"/>
        <rFont val="Calibri"/>
        <family val="2"/>
        <scheme val="minor"/>
      </rPr>
      <t>far-a</t>
    </r>
  </si>
  <si>
    <r>
      <t xml:space="preserve">IRA </t>
    </r>
    <r>
      <rPr>
        <vertAlign val="subscript"/>
        <sz val="11"/>
        <color theme="1"/>
        <rFont val="Calibri"/>
        <family val="2"/>
        <scheme val="minor"/>
      </rPr>
      <t>far-c</t>
    </r>
  </si>
  <si>
    <r>
      <t xml:space="preserve">IRA </t>
    </r>
    <r>
      <rPr>
        <vertAlign val="subscript"/>
        <sz val="11"/>
        <color theme="1"/>
        <rFont val="Calibri"/>
        <family val="2"/>
        <scheme val="minor"/>
      </rPr>
      <t>far-a</t>
    </r>
  </si>
  <si>
    <r>
      <t xml:space="preserve">IRW </t>
    </r>
    <r>
      <rPr>
        <vertAlign val="subscript"/>
        <sz val="11"/>
        <color theme="1"/>
        <rFont val="Calibri"/>
        <family val="2"/>
        <scheme val="minor"/>
      </rPr>
      <t>far-c</t>
    </r>
  </si>
  <si>
    <r>
      <t xml:space="preserve">IRW </t>
    </r>
    <r>
      <rPr>
        <vertAlign val="subscript"/>
        <sz val="11"/>
        <color theme="1"/>
        <rFont val="Calibri"/>
        <family val="2"/>
        <scheme val="minor"/>
      </rPr>
      <t>far-a</t>
    </r>
  </si>
  <si>
    <r>
      <t xml:space="preserve">IRD </t>
    </r>
    <r>
      <rPr>
        <vertAlign val="subscript"/>
        <sz val="11"/>
        <rFont val="Calibri"/>
        <family val="2"/>
        <scheme val="minor"/>
      </rPr>
      <t>far-c</t>
    </r>
  </si>
  <si>
    <r>
      <t xml:space="preserve">IRD </t>
    </r>
    <r>
      <rPr>
        <vertAlign val="subscript"/>
        <sz val="11"/>
        <rFont val="Calibri"/>
        <family val="2"/>
        <scheme val="minor"/>
      </rPr>
      <t>far-a</t>
    </r>
  </si>
  <si>
    <r>
      <t xml:space="preserve">IRB </t>
    </r>
    <r>
      <rPr>
        <vertAlign val="subscript"/>
        <sz val="11"/>
        <rFont val="Calibri"/>
        <family val="2"/>
        <scheme val="minor"/>
      </rPr>
      <t>far-c</t>
    </r>
  </si>
  <si>
    <r>
      <t xml:space="preserve">IRB </t>
    </r>
    <r>
      <rPr>
        <vertAlign val="subscript"/>
        <sz val="11"/>
        <rFont val="Calibri"/>
        <family val="2"/>
        <scheme val="minor"/>
      </rPr>
      <t>far-a</t>
    </r>
  </si>
  <si>
    <r>
      <t xml:space="preserve">IRE </t>
    </r>
    <r>
      <rPr>
        <vertAlign val="subscript"/>
        <sz val="11"/>
        <rFont val="Calibri"/>
        <family val="2"/>
        <scheme val="minor"/>
      </rPr>
      <t>far-c</t>
    </r>
  </si>
  <si>
    <r>
      <t xml:space="preserve">IRE </t>
    </r>
    <r>
      <rPr>
        <vertAlign val="subscript"/>
        <sz val="11"/>
        <rFont val="Calibri"/>
        <family val="2"/>
        <scheme val="minor"/>
      </rPr>
      <t>far-a</t>
    </r>
  </si>
  <si>
    <r>
      <t xml:space="preserve">IRFI </t>
    </r>
    <r>
      <rPr>
        <vertAlign val="subscript"/>
        <sz val="11"/>
        <rFont val="Calibri"/>
        <family val="2"/>
        <scheme val="minor"/>
      </rPr>
      <t>far-c</t>
    </r>
  </si>
  <si>
    <r>
      <t xml:space="preserve">IRFI </t>
    </r>
    <r>
      <rPr>
        <vertAlign val="subscript"/>
        <sz val="11"/>
        <rFont val="Calibri"/>
        <family val="2"/>
        <scheme val="minor"/>
      </rPr>
      <t>far-a</t>
    </r>
  </si>
  <si>
    <r>
      <t xml:space="preserve">IRP </t>
    </r>
    <r>
      <rPr>
        <vertAlign val="subscript"/>
        <sz val="11"/>
        <rFont val="Calibri"/>
        <family val="2"/>
        <scheme val="minor"/>
      </rPr>
      <t>far-c</t>
    </r>
  </si>
  <si>
    <r>
      <t xml:space="preserve">IRP </t>
    </r>
    <r>
      <rPr>
        <vertAlign val="subscript"/>
        <sz val="11"/>
        <rFont val="Calibri"/>
        <family val="2"/>
        <scheme val="minor"/>
      </rPr>
      <t>far-a</t>
    </r>
  </si>
  <si>
    <r>
      <t xml:space="preserve">IRSW </t>
    </r>
    <r>
      <rPr>
        <vertAlign val="subscript"/>
        <sz val="11"/>
        <rFont val="Calibri"/>
        <family val="2"/>
        <scheme val="minor"/>
      </rPr>
      <t>far-c</t>
    </r>
  </si>
  <si>
    <r>
      <t xml:space="preserve">IRSW </t>
    </r>
    <r>
      <rPr>
        <vertAlign val="subscript"/>
        <sz val="11"/>
        <rFont val="Calibri"/>
        <family val="2"/>
        <scheme val="minor"/>
      </rPr>
      <t>far-a</t>
    </r>
  </si>
  <si>
    <r>
      <t xml:space="preserve">ET </t>
    </r>
    <r>
      <rPr>
        <vertAlign val="subscript"/>
        <sz val="11"/>
        <color theme="1"/>
        <rFont val="Calibri"/>
        <family val="2"/>
        <scheme val="minor"/>
      </rPr>
      <t>event-rec-c</t>
    </r>
  </si>
  <si>
    <r>
      <t xml:space="preserve">ET </t>
    </r>
    <r>
      <rPr>
        <vertAlign val="subscript"/>
        <sz val="11"/>
        <color theme="1"/>
        <rFont val="Calibri"/>
        <family val="2"/>
        <scheme val="minor"/>
      </rPr>
      <t>event-rec-a</t>
    </r>
  </si>
  <si>
    <r>
      <t xml:space="preserve">EF </t>
    </r>
    <r>
      <rPr>
        <vertAlign val="subscript"/>
        <sz val="11"/>
        <color theme="1"/>
        <rFont val="Calibri"/>
        <family val="2"/>
        <scheme val="minor"/>
      </rPr>
      <t>far-c</t>
    </r>
  </si>
  <si>
    <r>
      <t xml:space="preserve">EF </t>
    </r>
    <r>
      <rPr>
        <vertAlign val="subscript"/>
        <sz val="11"/>
        <color theme="1"/>
        <rFont val="Calibri"/>
        <family val="2"/>
        <scheme val="minor"/>
      </rPr>
      <t>far-a</t>
    </r>
  </si>
  <si>
    <r>
      <t xml:space="preserve">ET </t>
    </r>
    <r>
      <rPr>
        <vertAlign val="subscript"/>
        <sz val="11"/>
        <color theme="1"/>
        <rFont val="Calibri"/>
        <family val="2"/>
        <scheme val="minor"/>
      </rPr>
      <t>far-c</t>
    </r>
  </si>
  <si>
    <r>
      <t xml:space="preserve">ET </t>
    </r>
    <r>
      <rPr>
        <vertAlign val="subscript"/>
        <sz val="11"/>
        <color theme="1"/>
        <rFont val="Calibri"/>
        <family val="2"/>
        <scheme val="minor"/>
      </rPr>
      <t>far-a</t>
    </r>
  </si>
  <si>
    <r>
      <t xml:space="preserve">ET </t>
    </r>
    <r>
      <rPr>
        <vertAlign val="subscript"/>
        <sz val="11"/>
        <color theme="1"/>
        <rFont val="Calibri"/>
        <family val="2"/>
        <scheme val="minor"/>
      </rPr>
      <t>far</t>
    </r>
  </si>
  <si>
    <r>
      <t xml:space="preserve">ET </t>
    </r>
    <r>
      <rPr>
        <vertAlign val="subscript"/>
        <sz val="11"/>
        <color theme="1"/>
        <rFont val="Calibri"/>
        <family val="2"/>
        <scheme val="minor"/>
      </rPr>
      <t>event-far-c</t>
    </r>
  </si>
  <si>
    <r>
      <t xml:space="preserve">ET </t>
    </r>
    <r>
      <rPr>
        <vertAlign val="subscript"/>
        <sz val="11"/>
        <color theme="1"/>
        <rFont val="Calibri"/>
        <family val="2"/>
        <scheme val="minor"/>
      </rPr>
      <t>event-far-a</t>
    </r>
  </si>
  <si>
    <r>
      <t xml:space="preserve">ET </t>
    </r>
    <r>
      <rPr>
        <vertAlign val="subscript"/>
        <sz val="11"/>
        <rFont val="Calibri"/>
        <family val="2"/>
        <scheme val="minor"/>
      </rPr>
      <t>far-o</t>
    </r>
  </si>
  <si>
    <r>
      <t xml:space="preserve">ET </t>
    </r>
    <r>
      <rPr>
        <vertAlign val="subscript"/>
        <sz val="11"/>
        <rFont val="Calibri"/>
        <family val="2"/>
        <scheme val="minor"/>
      </rPr>
      <t>far-i</t>
    </r>
  </si>
  <si>
    <r>
      <t xml:space="preserve">EV </t>
    </r>
    <r>
      <rPr>
        <vertAlign val="subscript"/>
        <sz val="11"/>
        <color theme="1"/>
        <rFont val="Calibri"/>
        <family val="2"/>
        <scheme val="minor"/>
      </rPr>
      <t>far-c</t>
    </r>
  </si>
  <si>
    <r>
      <t xml:space="preserve">EV </t>
    </r>
    <r>
      <rPr>
        <vertAlign val="subscript"/>
        <sz val="11"/>
        <color theme="1"/>
        <rFont val="Calibri"/>
        <family val="2"/>
        <scheme val="minor"/>
      </rPr>
      <t>far-a</t>
    </r>
  </si>
  <si>
    <r>
      <t xml:space="preserve">DF </t>
    </r>
    <r>
      <rPr>
        <vertAlign val="subscript"/>
        <sz val="11"/>
        <rFont val="Calibri"/>
        <family val="2"/>
        <scheme val="minor"/>
      </rPr>
      <t>i</t>
    </r>
  </si>
  <si>
    <r>
      <t xml:space="preserve">CF </t>
    </r>
    <r>
      <rPr>
        <vertAlign val="subscript"/>
        <sz val="11"/>
        <rFont val="Calibri"/>
        <family val="2"/>
        <scheme val="minor"/>
      </rPr>
      <t>far-dairy</t>
    </r>
  </si>
  <si>
    <r>
      <t xml:space="preserve">CF </t>
    </r>
    <r>
      <rPr>
        <vertAlign val="subscript"/>
        <sz val="11"/>
        <rFont val="Calibri"/>
        <family val="2"/>
        <scheme val="minor"/>
      </rPr>
      <t>far-beef</t>
    </r>
  </si>
  <si>
    <r>
      <t xml:space="preserve">CF </t>
    </r>
    <r>
      <rPr>
        <vertAlign val="subscript"/>
        <sz val="11"/>
        <rFont val="Calibri"/>
        <family val="2"/>
        <scheme val="minor"/>
      </rPr>
      <t>far-fish</t>
    </r>
  </si>
  <si>
    <r>
      <t xml:space="preserve">CF </t>
    </r>
    <r>
      <rPr>
        <vertAlign val="subscript"/>
        <sz val="11"/>
        <rFont val="Calibri"/>
        <family val="2"/>
        <scheme val="minor"/>
      </rPr>
      <t>far-poultry</t>
    </r>
  </si>
  <si>
    <r>
      <t xml:space="preserve">CF </t>
    </r>
    <r>
      <rPr>
        <vertAlign val="subscript"/>
        <sz val="11"/>
        <rFont val="Calibri"/>
        <family val="2"/>
        <scheme val="minor"/>
      </rPr>
      <t>far-swine</t>
    </r>
  </si>
  <si>
    <r>
      <t xml:space="preserve">Q </t>
    </r>
    <r>
      <rPr>
        <vertAlign val="subscript"/>
        <sz val="11"/>
        <rFont val="Calibri"/>
        <family val="2"/>
        <scheme val="minor"/>
      </rPr>
      <t>w dairy</t>
    </r>
  </si>
  <si>
    <r>
      <t xml:space="preserve">Q </t>
    </r>
    <r>
      <rPr>
        <vertAlign val="subscript"/>
        <sz val="11"/>
        <rFont val="Calibri"/>
        <family val="2"/>
        <scheme val="minor"/>
      </rPr>
      <t>p-dairy</t>
    </r>
  </si>
  <si>
    <r>
      <t xml:space="preserve">Q </t>
    </r>
    <r>
      <rPr>
        <vertAlign val="subscript"/>
        <sz val="11"/>
        <rFont val="Calibri"/>
        <family val="2"/>
        <scheme val="minor"/>
      </rPr>
      <t>s-dairy</t>
    </r>
  </si>
  <si>
    <r>
      <t xml:space="preserve">f </t>
    </r>
    <r>
      <rPr>
        <vertAlign val="subscript"/>
        <sz val="11"/>
        <rFont val="Calibri"/>
        <family val="2"/>
        <scheme val="minor"/>
      </rPr>
      <t>p-dairy</t>
    </r>
  </si>
  <si>
    <r>
      <t xml:space="preserve">f </t>
    </r>
    <r>
      <rPr>
        <vertAlign val="subscript"/>
        <sz val="11"/>
        <rFont val="Calibri"/>
        <family val="2"/>
        <scheme val="minor"/>
      </rPr>
      <t>s-dairy</t>
    </r>
  </si>
  <si>
    <r>
      <t xml:space="preserve">Q </t>
    </r>
    <r>
      <rPr>
        <vertAlign val="subscript"/>
        <sz val="11"/>
        <rFont val="Calibri"/>
        <family val="2"/>
        <scheme val="minor"/>
      </rPr>
      <t>p-beef</t>
    </r>
  </si>
  <si>
    <r>
      <t xml:space="preserve">Q </t>
    </r>
    <r>
      <rPr>
        <vertAlign val="subscript"/>
        <sz val="11"/>
        <rFont val="Calibri"/>
        <family val="2"/>
        <scheme val="minor"/>
      </rPr>
      <t>s-beef</t>
    </r>
  </si>
  <si>
    <r>
      <t xml:space="preserve">f </t>
    </r>
    <r>
      <rPr>
        <vertAlign val="subscript"/>
        <sz val="11"/>
        <rFont val="Calibri"/>
        <family val="2"/>
        <scheme val="minor"/>
      </rPr>
      <t>p-beef</t>
    </r>
  </si>
  <si>
    <r>
      <t xml:space="preserve">f </t>
    </r>
    <r>
      <rPr>
        <vertAlign val="subscript"/>
        <sz val="11"/>
        <rFont val="Calibri"/>
        <family val="2"/>
        <scheme val="minor"/>
      </rPr>
      <t>s-beef</t>
    </r>
  </si>
  <si>
    <r>
      <t xml:space="preserve">Q </t>
    </r>
    <r>
      <rPr>
        <vertAlign val="subscript"/>
        <sz val="11"/>
        <rFont val="Calibri"/>
        <family val="2"/>
        <scheme val="minor"/>
      </rPr>
      <t>w-egg</t>
    </r>
  </si>
  <si>
    <r>
      <t xml:space="preserve">Q </t>
    </r>
    <r>
      <rPr>
        <vertAlign val="subscript"/>
        <sz val="11"/>
        <rFont val="Calibri"/>
        <family val="2"/>
        <scheme val="minor"/>
      </rPr>
      <t>p-egg</t>
    </r>
  </si>
  <si>
    <r>
      <t xml:space="preserve">Q </t>
    </r>
    <r>
      <rPr>
        <vertAlign val="subscript"/>
        <sz val="11"/>
        <rFont val="Calibri"/>
        <family val="2"/>
        <scheme val="minor"/>
      </rPr>
      <t>s-egg</t>
    </r>
  </si>
  <si>
    <r>
      <t xml:space="preserve">f </t>
    </r>
    <r>
      <rPr>
        <vertAlign val="subscript"/>
        <sz val="11"/>
        <rFont val="Calibri"/>
        <family val="2"/>
        <scheme val="minor"/>
      </rPr>
      <t>p-egg</t>
    </r>
  </si>
  <si>
    <r>
      <t xml:space="preserve">f </t>
    </r>
    <r>
      <rPr>
        <vertAlign val="subscript"/>
        <sz val="11"/>
        <rFont val="Calibri"/>
        <family val="2"/>
        <scheme val="minor"/>
      </rPr>
      <t>s-egg</t>
    </r>
  </si>
  <si>
    <r>
      <t xml:space="preserve">Q </t>
    </r>
    <r>
      <rPr>
        <vertAlign val="subscript"/>
        <sz val="11"/>
        <rFont val="Calibri"/>
        <family val="2"/>
        <scheme val="minor"/>
      </rPr>
      <t>w-poultry</t>
    </r>
  </si>
  <si>
    <r>
      <t xml:space="preserve">Q </t>
    </r>
    <r>
      <rPr>
        <vertAlign val="subscript"/>
        <sz val="11"/>
        <rFont val="Calibri"/>
        <family val="2"/>
        <scheme val="minor"/>
      </rPr>
      <t>w-beef</t>
    </r>
  </si>
  <si>
    <r>
      <t xml:space="preserve">f </t>
    </r>
    <r>
      <rPr>
        <vertAlign val="subscript"/>
        <sz val="11"/>
        <rFont val="Calibri"/>
        <family val="2"/>
        <scheme val="minor"/>
      </rPr>
      <t>s-swine</t>
    </r>
  </si>
  <si>
    <r>
      <t xml:space="preserve">f </t>
    </r>
    <r>
      <rPr>
        <vertAlign val="subscript"/>
        <sz val="11"/>
        <rFont val="Calibri"/>
        <family val="2"/>
        <scheme val="minor"/>
      </rPr>
      <t>p-swine</t>
    </r>
  </si>
  <si>
    <r>
      <t xml:space="preserve">Q </t>
    </r>
    <r>
      <rPr>
        <vertAlign val="subscript"/>
        <sz val="11"/>
        <rFont val="Calibri"/>
        <family val="2"/>
        <scheme val="minor"/>
      </rPr>
      <t>s-swine</t>
    </r>
  </si>
  <si>
    <r>
      <t xml:space="preserve">Q </t>
    </r>
    <r>
      <rPr>
        <vertAlign val="subscript"/>
        <sz val="11"/>
        <rFont val="Calibri"/>
        <family val="2"/>
        <scheme val="minor"/>
      </rPr>
      <t>p-swine</t>
    </r>
  </si>
  <si>
    <r>
      <t xml:space="preserve">Q </t>
    </r>
    <r>
      <rPr>
        <vertAlign val="subscript"/>
        <sz val="11"/>
        <rFont val="Calibri"/>
        <family val="2"/>
        <scheme val="minor"/>
      </rPr>
      <t>w-swine</t>
    </r>
  </si>
  <si>
    <r>
      <t xml:space="preserve">f </t>
    </r>
    <r>
      <rPr>
        <vertAlign val="subscript"/>
        <sz val="11"/>
        <rFont val="Calibri"/>
        <family val="2"/>
        <scheme val="minor"/>
      </rPr>
      <t>s-poultry</t>
    </r>
  </si>
  <si>
    <r>
      <t xml:space="preserve">f </t>
    </r>
    <r>
      <rPr>
        <vertAlign val="subscript"/>
        <sz val="11"/>
        <rFont val="Calibri"/>
        <family val="2"/>
        <scheme val="minor"/>
      </rPr>
      <t>p-poultry</t>
    </r>
  </si>
  <si>
    <r>
      <t xml:space="preserve">Q </t>
    </r>
    <r>
      <rPr>
        <vertAlign val="subscript"/>
        <sz val="11"/>
        <rFont val="Calibri"/>
        <family val="2"/>
        <scheme val="minor"/>
      </rPr>
      <t>s-poultry</t>
    </r>
  </si>
  <si>
    <r>
      <t xml:space="preserve">Q </t>
    </r>
    <r>
      <rPr>
        <vertAlign val="subscript"/>
        <sz val="11"/>
        <rFont val="Calibri"/>
        <family val="2"/>
        <scheme val="minor"/>
      </rPr>
      <t>p-poultry</t>
    </r>
  </si>
  <si>
    <t xml:space="preserve">ρb </t>
  </si>
  <si>
    <t>m/yr</t>
  </si>
  <si>
    <t>m/m</t>
  </si>
  <si>
    <t>m</t>
  </si>
  <si>
    <r>
      <t xml:space="preserve">ED </t>
    </r>
    <r>
      <rPr>
        <vertAlign val="subscript"/>
        <sz val="11"/>
        <color theme="1"/>
        <rFont val="Calibri"/>
        <family val="2"/>
        <scheme val="minor"/>
      </rPr>
      <t>s2gw</t>
    </r>
  </si>
  <si>
    <r>
      <t xml:space="preserve">K </t>
    </r>
    <r>
      <rPr>
        <vertAlign val="subscript"/>
        <sz val="11"/>
        <color theme="1"/>
        <rFont val="Calibri"/>
        <family val="2"/>
        <scheme val="minor"/>
      </rPr>
      <t>s2gw</t>
    </r>
  </si>
  <si>
    <t>KD</t>
  </si>
  <si>
    <r>
      <t xml:space="preserve">t </t>
    </r>
    <r>
      <rPr>
        <vertAlign val="subscript"/>
        <sz val="11"/>
        <rFont val="Calibri"/>
        <family val="2"/>
        <scheme val="minor"/>
      </rPr>
      <t>b</t>
    </r>
  </si>
  <si>
    <r>
      <t xml:space="preserve">t </t>
    </r>
    <r>
      <rPr>
        <vertAlign val="subscript"/>
        <sz val="11"/>
        <rFont val="Calibri"/>
        <family val="2"/>
        <scheme val="minor"/>
      </rPr>
      <t>v</t>
    </r>
  </si>
  <si>
    <r>
      <t xml:space="preserve">I </t>
    </r>
    <r>
      <rPr>
        <vertAlign val="subscript"/>
        <sz val="11"/>
        <rFont val="Calibri"/>
        <family val="2"/>
        <scheme val="minor"/>
      </rPr>
      <t>f</t>
    </r>
  </si>
  <si>
    <r>
      <t xml:space="preserve">Y </t>
    </r>
    <r>
      <rPr>
        <vertAlign val="subscript"/>
        <sz val="11"/>
        <rFont val="Calibri"/>
        <family val="2"/>
        <scheme val="minor"/>
      </rPr>
      <t>v</t>
    </r>
  </si>
  <si>
    <r>
      <t xml:space="preserve">t </t>
    </r>
    <r>
      <rPr>
        <vertAlign val="subscript"/>
        <sz val="11"/>
        <rFont val="Calibri"/>
        <family val="2"/>
        <scheme val="minor"/>
      </rPr>
      <t>w</t>
    </r>
  </si>
  <si>
    <r>
      <t>θ</t>
    </r>
    <r>
      <rPr>
        <vertAlign val="subscript"/>
        <sz val="11"/>
        <color theme="1"/>
        <rFont val="Calibri"/>
        <family val="2"/>
        <scheme val="minor"/>
      </rPr>
      <t>w</t>
    </r>
  </si>
  <si>
    <r>
      <t>d</t>
    </r>
    <r>
      <rPr>
        <vertAlign val="subscript"/>
        <sz val="11"/>
        <color theme="1"/>
        <rFont val="Calibri"/>
        <family val="2"/>
        <scheme val="minor"/>
      </rPr>
      <t xml:space="preserve"> a</t>
    </r>
  </si>
  <si>
    <r>
      <t>d</t>
    </r>
    <r>
      <rPr>
        <vertAlign val="subscript"/>
        <sz val="11"/>
        <color theme="1"/>
        <rFont val="Calibri"/>
        <family val="2"/>
        <scheme val="minor"/>
      </rPr>
      <t xml:space="preserve"> s</t>
    </r>
  </si>
  <si>
    <t>m³ air / kg soil</t>
  </si>
  <si>
    <t>Um</t>
  </si>
  <si>
    <t>m/s</t>
  </si>
  <si>
    <t>Ut</t>
  </si>
  <si>
    <t>F(x)</t>
  </si>
  <si>
    <t>V</t>
  </si>
  <si>
    <t>As</t>
  </si>
  <si>
    <t>acres</t>
  </si>
  <si>
    <t>g</t>
  </si>
  <si>
    <r>
      <t xml:space="preserve">i </t>
    </r>
    <r>
      <rPr>
        <vertAlign val="subscript"/>
        <sz val="11"/>
        <color theme="1"/>
        <rFont val="Calibri"/>
        <family val="2"/>
        <scheme val="minor"/>
      </rPr>
      <t>s2gw</t>
    </r>
  </si>
  <si>
    <r>
      <t xml:space="preserve">L </t>
    </r>
    <r>
      <rPr>
        <vertAlign val="subscript"/>
        <sz val="11"/>
        <color theme="1"/>
        <rFont val="Calibri"/>
        <family val="2"/>
        <scheme val="minor"/>
      </rPr>
      <t>s2gw</t>
    </r>
  </si>
  <si>
    <r>
      <t>PEF</t>
    </r>
    <r>
      <rPr>
        <sz val="12"/>
        <color theme="1"/>
        <rFont val="Calibri"/>
        <family val="2"/>
        <scheme val="minor"/>
      </rPr>
      <t xml:space="preserve"> </t>
    </r>
    <r>
      <rPr>
        <vertAlign val="subscript"/>
        <sz val="12"/>
        <color theme="1"/>
        <rFont val="Calibri"/>
        <family val="2"/>
        <scheme val="minor"/>
      </rPr>
      <t>wind</t>
    </r>
  </si>
  <si>
    <r>
      <t xml:space="preserve">Q/C </t>
    </r>
    <r>
      <rPr>
        <vertAlign val="subscript"/>
        <sz val="11"/>
        <color theme="1"/>
        <rFont val="Calibri"/>
        <family val="2"/>
        <scheme val="minor"/>
      </rPr>
      <t>wind</t>
    </r>
  </si>
  <si>
    <r>
      <t xml:space="preserve">A </t>
    </r>
    <r>
      <rPr>
        <vertAlign val="subscript"/>
        <sz val="11"/>
        <color theme="1"/>
        <rFont val="Calibri"/>
        <family val="2"/>
        <scheme val="minor"/>
      </rPr>
      <t>wind</t>
    </r>
  </si>
  <si>
    <r>
      <t xml:space="preserve">B </t>
    </r>
    <r>
      <rPr>
        <vertAlign val="subscript"/>
        <sz val="11"/>
        <color theme="1"/>
        <rFont val="Calibri"/>
        <family val="2"/>
        <scheme val="minor"/>
      </rPr>
      <t>wind</t>
    </r>
  </si>
  <si>
    <r>
      <t xml:space="preserve">C </t>
    </r>
    <r>
      <rPr>
        <vertAlign val="subscript"/>
        <sz val="11"/>
        <color theme="1"/>
        <rFont val="Calibri"/>
        <family val="2"/>
        <scheme val="minor"/>
      </rPr>
      <t>wind</t>
    </r>
  </si>
  <si>
    <r>
      <t xml:space="preserve">IFA </t>
    </r>
    <r>
      <rPr>
        <vertAlign val="subscript"/>
        <sz val="11"/>
        <color theme="1"/>
        <rFont val="Calibri"/>
        <family val="2"/>
        <scheme val="minor"/>
      </rPr>
      <t>res-adj</t>
    </r>
  </si>
  <si>
    <r>
      <t xml:space="preserve">IFW </t>
    </r>
    <r>
      <rPr>
        <vertAlign val="subscript"/>
        <sz val="11"/>
        <color theme="1"/>
        <rFont val="Calibri"/>
        <family val="2"/>
        <scheme val="minor"/>
      </rPr>
      <t>res-adj</t>
    </r>
  </si>
  <si>
    <r>
      <t xml:space="preserve">IFS </t>
    </r>
    <r>
      <rPr>
        <vertAlign val="subscript"/>
        <sz val="11"/>
        <color theme="1"/>
        <rFont val="Calibri"/>
        <family val="2"/>
        <scheme val="minor"/>
      </rPr>
      <t>res-adj</t>
    </r>
  </si>
  <si>
    <r>
      <t xml:space="preserve">IFA </t>
    </r>
    <r>
      <rPr>
        <vertAlign val="subscript"/>
        <sz val="11"/>
        <color theme="1"/>
        <rFont val="Calibri"/>
        <family val="2"/>
        <scheme val="minor"/>
      </rPr>
      <t>rec-adj</t>
    </r>
  </si>
  <si>
    <r>
      <t xml:space="preserve">IFS </t>
    </r>
    <r>
      <rPr>
        <vertAlign val="subscript"/>
        <sz val="11"/>
        <color theme="1"/>
        <rFont val="Calibri"/>
        <family val="2"/>
        <scheme val="minor"/>
      </rPr>
      <t>rec-adj</t>
    </r>
  </si>
  <si>
    <r>
      <t xml:space="preserve">IFW </t>
    </r>
    <r>
      <rPr>
        <vertAlign val="subscript"/>
        <sz val="11"/>
        <color theme="1"/>
        <rFont val="Calibri"/>
        <family val="2"/>
        <scheme val="minor"/>
      </rPr>
      <t>rec-adj</t>
    </r>
  </si>
  <si>
    <r>
      <t xml:space="preserve">IFA </t>
    </r>
    <r>
      <rPr>
        <vertAlign val="subscript"/>
        <sz val="11"/>
        <color theme="1"/>
        <rFont val="Calibri"/>
        <family val="2"/>
        <scheme val="minor"/>
      </rPr>
      <t>far-adj</t>
    </r>
  </si>
  <si>
    <r>
      <t xml:space="preserve">IFS </t>
    </r>
    <r>
      <rPr>
        <vertAlign val="subscript"/>
        <sz val="11"/>
        <color theme="1"/>
        <rFont val="Calibri"/>
        <family val="2"/>
        <scheme val="minor"/>
      </rPr>
      <t>far-adj</t>
    </r>
  </si>
  <si>
    <r>
      <t xml:space="preserve">IFW </t>
    </r>
    <r>
      <rPr>
        <vertAlign val="subscript"/>
        <sz val="11"/>
        <color theme="1"/>
        <rFont val="Calibri"/>
        <family val="2"/>
        <scheme val="minor"/>
      </rPr>
      <t>far-adj</t>
    </r>
  </si>
  <si>
    <r>
      <t xml:space="preserve">IFD </t>
    </r>
    <r>
      <rPr>
        <vertAlign val="subscript"/>
        <sz val="11"/>
        <color theme="1"/>
        <rFont val="Calibri"/>
        <family val="2"/>
        <scheme val="minor"/>
      </rPr>
      <t>far-adj</t>
    </r>
  </si>
  <si>
    <r>
      <t xml:space="preserve">IFB </t>
    </r>
    <r>
      <rPr>
        <vertAlign val="subscript"/>
        <sz val="11"/>
        <color theme="1"/>
        <rFont val="Calibri"/>
        <family val="2"/>
        <scheme val="minor"/>
      </rPr>
      <t>far-adj</t>
    </r>
  </si>
  <si>
    <r>
      <t xml:space="preserve">IFE </t>
    </r>
    <r>
      <rPr>
        <vertAlign val="subscript"/>
        <sz val="11"/>
        <color theme="1"/>
        <rFont val="Calibri"/>
        <family val="2"/>
        <scheme val="minor"/>
      </rPr>
      <t>far-adj</t>
    </r>
  </si>
  <si>
    <r>
      <t xml:space="preserve">IFFI </t>
    </r>
    <r>
      <rPr>
        <vertAlign val="subscript"/>
        <sz val="11"/>
        <color theme="1"/>
        <rFont val="Calibri"/>
        <family val="2"/>
        <scheme val="minor"/>
      </rPr>
      <t>far-adj</t>
    </r>
  </si>
  <si>
    <r>
      <t xml:space="preserve">IFP </t>
    </r>
    <r>
      <rPr>
        <vertAlign val="subscript"/>
        <sz val="11"/>
        <color theme="1"/>
        <rFont val="Calibri"/>
        <family val="2"/>
        <scheme val="minor"/>
      </rPr>
      <t>far-adj</t>
    </r>
  </si>
  <si>
    <r>
      <t xml:space="preserve">IFSW </t>
    </r>
    <r>
      <rPr>
        <vertAlign val="subscript"/>
        <sz val="11"/>
        <color theme="1"/>
        <rFont val="Calibri"/>
        <family val="2"/>
        <scheme val="minor"/>
      </rPr>
      <t>far-adj</t>
    </r>
  </si>
  <si>
    <t>m^3</t>
  </si>
  <si>
    <t>mg</t>
  </si>
  <si>
    <t>L</t>
  </si>
  <si>
    <r>
      <t xml:space="preserve">l </t>
    </r>
    <r>
      <rPr>
        <vertAlign val="subscript"/>
        <sz val="11"/>
        <color theme="1"/>
        <rFont val="Calibri"/>
        <family val="2"/>
        <scheme val="minor"/>
      </rPr>
      <t>s2gw</t>
    </r>
  </si>
  <si>
    <t>s_K</t>
  </si>
  <si>
    <r>
      <t xml:space="preserve">s_GSF </t>
    </r>
    <r>
      <rPr>
        <vertAlign val="subscript"/>
        <sz val="11"/>
        <color theme="1"/>
        <rFont val="Calibri"/>
        <family val="2"/>
        <scheme val="minor"/>
      </rPr>
      <t>a</t>
    </r>
  </si>
  <si>
    <r>
      <t xml:space="preserve">s_GSF </t>
    </r>
    <r>
      <rPr>
        <vertAlign val="subscript"/>
        <sz val="11"/>
        <color theme="1"/>
        <rFont val="Calibri"/>
        <family val="2"/>
        <scheme val="minor"/>
      </rPr>
      <t>i</t>
    </r>
  </si>
  <si>
    <r>
      <t xml:space="preserve">s_GSF </t>
    </r>
    <r>
      <rPr>
        <vertAlign val="subscript"/>
        <sz val="11"/>
        <color theme="1"/>
        <rFont val="Calibri"/>
        <family val="2"/>
        <scheme val="minor"/>
      </rPr>
      <t>o</t>
    </r>
  </si>
  <si>
    <t>s_lambda HL</t>
  </si>
  <si>
    <t>s_Ir</t>
  </si>
  <si>
    <t>s_F</t>
  </si>
  <si>
    <r>
      <t xml:space="preserve">s_t </t>
    </r>
    <r>
      <rPr>
        <vertAlign val="subscript"/>
        <sz val="11"/>
        <rFont val="Calibri"/>
        <family val="2"/>
        <scheme val="minor"/>
      </rPr>
      <t>b</t>
    </r>
  </si>
  <si>
    <t>s_P</t>
  </si>
  <si>
    <r>
      <t xml:space="preserve">s_I </t>
    </r>
    <r>
      <rPr>
        <vertAlign val="subscript"/>
        <sz val="11"/>
        <rFont val="Calibri"/>
        <family val="2"/>
        <scheme val="minor"/>
      </rPr>
      <t>f</t>
    </r>
  </si>
  <si>
    <r>
      <t xml:space="preserve">s_t </t>
    </r>
    <r>
      <rPr>
        <vertAlign val="subscript"/>
        <sz val="11"/>
        <rFont val="Calibri"/>
        <family val="2"/>
        <scheme val="minor"/>
      </rPr>
      <t>v</t>
    </r>
  </si>
  <si>
    <r>
      <t xml:space="preserve">s_Y </t>
    </r>
    <r>
      <rPr>
        <vertAlign val="subscript"/>
        <sz val="11"/>
        <rFont val="Calibri"/>
        <family val="2"/>
        <scheme val="minor"/>
      </rPr>
      <t>v</t>
    </r>
  </si>
  <si>
    <t>s_T</t>
  </si>
  <si>
    <r>
      <t xml:space="preserve">s_t </t>
    </r>
    <r>
      <rPr>
        <vertAlign val="subscript"/>
        <sz val="11"/>
        <rFont val="Calibri"/>
        <family val="2"/>
        <scheme val="minor"/>
      </rPr>
      <t>w</t>
    </r>
  </si>
  <si>
    <t xml:space="preserve">s_ρb </t>
  </si>
  <si>
    <r>
      <t>s_θ</t>
    </r>
    <r>
      <rPr>
        <vertAlign val="subscript"/>
        <sz val="11"/>
        <color theme="1"/>
        <rFont val="Calibri"/>
        <family val="2"/>
        <scheme val="minor"/>
      </rPr>
      <t>w</t>
    </r>
  </si>
  <si>
    <r>
      <t xml:space="preserve">s_ED </t>
    </r>
    <r>
      <rPr>
        <vertAlign val="subscript"/>
        <sz val="11"/>
        <color theme="1"/>
        <rFont val="Calibri"/>
        <family val="2"/>
        <scheme val="minor"/>
      </rPr>
      <t>s2gw</t>
    </r>
  </si>
  <si>
    <r>
      <t xml:space="preserve">s_K </t>
    </r>
    <r>
      <rPr>
        <vertAlign val="subscript"/>
        <sz val="11"/>
        <color theme="1"/>
        <rFont val="Calibri"/>
        <family val="2"/>
        <scheme val="minor"/>
      </rPr>
      <t>s2gw</t>
    </r>
  </si>
  <si>
    <r>
      <t xml:space="preserve">s_i </t>
    </r>
    <r>
      <rPr>
        <vertAlign val="subscript"/>
        <sz val="11"/>
        <color theme="1"/>
        <rFont val="Calibri"/>
        <family val="2"/>
        <scheme val="minor"/>
      </rPr>
      <t>s2gw</t>
    </r>
  </si>
  <si>
    <r>
      <t>s_d</t>
    </r>
    <r>
      <rPr>
        <vertAlign val="subscript"/>
        <sz val="11"/>
        <color theme="1"/>
        <rFont val="Calibri"/>
        <family val="2"/>
        <scheme val="minor"/>
      </rPr>
      <t xml:space="preserve"> a</t>
    </r>
  </si>
  <si>
    <r>
      <t>s_d</t>
    </r>
    <r>
      <rPr>
        <vertAlign val="subscript"/>
        <sz val="11"/>
        <color theme="1"/>
        <rFont val="Calibri"/>
        <family val="2"/>
        <scheme val="minor"/>
      </rPr>
      <t xml:space="preserve"> s</t>
    </r>
  </si>
  <si>
    <r>
      <t>s_PEF</t>
    </r>
    <r>
      <rPr>
        <sz val="12"/>
        <color theme="1"/>
        <rFont val="Calibri"/>
        <family val="2"/>
        <scheme val="minor"/>
      </rPr>
      <t xml:space="preserve"> </t>
    </r>
    <r>
      <rPr>
        <vertAlign val="subscript"/>
        <sz val="12"/>
        <color theme="1"/>
        <rFont val="Calibri"/>
        <family val="2"/>
        <scheme val="minor"/>
      </rPr>
      <t>wind</t>
    </r>
  </si>
  <si>
    <t>s_Um</t>
  </si>
  <si>
    <t>s_Ut</t>
  </si>
  <si>
    <t>s_F(x)</t>
  </si>
  <si>
    <t>s_V</t>
  </si>
  <si>
    <r>
      <t xml:space="preserve">s_Q/C </t>
    </r>
    <r>
      <rPr>
        <vertAlign val="subscript"/>
        <sz val="11"/>
        <color theme="1"/>
        <rFont val="Calibri"/>
        <family val="2"/>
        <scheme val="minor"/>
      </rPr>
      <t>wind</t>
    </r>
  </si>
  <si>
    <t>s_As</t>
  </si>
  <si>
    <r>
      <t xml:space="preserve">s_A </t>
    </r>
    <r>
      <rPr>
        <vertAlign val="subscript"/>
        <sz val="11"/>
        <color theme="1"/>
        <rFont val="Calibri"/>
        <family val="2"/>
        <scheme val="minor"/>
      </rPr>
      <t>wind</t>
    </r>
  </si>
  <si>
    <r>
      <t xml:space="preserve">s_B </t>
    </r>
    <r>
      <rPr>
        <vertAlign val="subscript"/>
        <sz val="11"/>
        <color theme="1"/>
        <rFont val="Calibri"/>
        <family val="2"/>
        <scheme val="minor"/>
      </rPr>
      <t>wind</t>
    </r>
  </si>
  <si>
    <r>
      <t xml:space="preserve">s_C </t>
    </r>
    <r>
      <rPr>
        <vertAlign val="subscript"/>
        <sz val="11"/>
        <color theme="1"/>
        <rFont val="Calibri"/>
        <family val="2"/>
        <scheme val="minor"/>
      </rPr>
      <t>wind</t>
    </r>
  </si>
  <si>
    <r>
      <t xml:space="preserve">s_ED </t>
    </r>
    <r>
      <rPr>
        <vertAlign val="subscript"/>
        <sz val="11"/>
        <color theme="1"/>
        <rFont val="Calibri"/>
        <family val="2"/>
        <scheme val="minor"/>
      </rPr>
      <t>res-c</t>
    </r>
  </si>
  <si>
    <r>
      <t xml:space="preserve">s_ED </t>
    </r>
    <r>
      <rPr>
        <vertAlign val="subscript"/>
        <sz val="11"/>
        <color theme="1"/>
        <rFont val="Calibri"/>
        <family val="2"/>
        <scheme val="minor"/>
      </rPr>
      <t>res-a</t>
    </r>
  </si>
  <si>
    <r>
      <t xml:space="preserve">s_ED </t>
    </r>
    <r>
      <rPr>
        <vertAlign val="subscript"/>
        <sz val="11"/>
        <color theme="1"/>
        <rFont val="Calibri"/>
        <family val="2"/>
        <scheme val="minor"/>
      </rPr>
      <t>res</t>
    </r>
  </si>
  <si>
    <r>
      <t xml:space="preserve">s_IRD </t>
    </r>
    <r>
      <rPr>
        <vertAlign val="subscript"/>
        <sz val="11"/>
        <rFont val="Calibri"/>
        <family val="2"/>
        <scheme val="minor"/>
      </rPr>
      <t>far-c</t>
    </r>
  </si>
  <si>
    <r>
      <t xml:space="preserve">s_IRD </t>
    </r>
    <r>
      <rPr>
        <vertAlign val="subscript"/>
        <sz val="11"/>
        <rFont val="Calibri"/>
        <family val="2"/>
        <scheme val="minor"/>
      </rPr>
      <t>far-a</t>
    </r>
  </si>
  <si>
    <r>
      <t xml:space="preserve">s_IFD </t>
    </r>
    <r>
      <rPr>
        <vertAlign val="subscript"/>
        <sz val="11"/>
        <color theme="1"/>
        <rFont val="Calibri"/>
        <family val="2"/>
        <scheme val="minor"/>
      </rPr>
      <t>far-adj</t>
    </r>
  </si>
  <si>
    <r>
      <t xml:space="preserve">s_IRB </t>
    </r>
    <r>
      <rPr>
        <vertAlign val="subscript"/>
        <sz val="11"/>
        <rFont val="Calibri"/>
        <family val="2"/>
        <scheme val="minor"/>
      </rPr>
      <t>far-c</t>
    </r>
  </si>
  <si>
    <r>
      <t xml:space="preserve">s_IRB </t>
    </r>
    <r>
      <rPr>
        <vertAlign val="subscript"/>
        <sz val="11"/>
        <rFont val="Calibri"/>
        <family val="2"/>
        <scheme val="minor"/>
      </rPr>
      <t>far-a</t>
    </r>
  </si>
  <si>
    <r>
      <t xml:space="preserve">s_IFB </t>
    </r>
    <r>
      <rPr>
        <vertAlign val="subscript"/>
        <sz val="11"/>
        <color theme="1"/>
        <rFont val="Calibri"/>
        <family val="2"/>
        <scheme val="minor"/>
      </rPr>
      <t>far-adj</t>
    </r>
  </si>
  <si>
    <r>
      <t xml:space="preserve">s_IRE </t>
    </r>
    <r>
      <rPr>
        <vertAlign val="subscript"/>
        <sz val="11"/>
        <rFont val="Calibri"/>
        <family val="2"/>
        <scheme val="minor"/>
      </rPr>
      <t>far-c</t>
    </r>
  </si>
  <si>
    <r>
      <t xml:space="preserve">s_IRE </t>
    </r>
    <r>
      <rPr>
        <vertAlign val="subscript"/>
        <sz val="11"/>
        <rFont val="Calibri"/>
        <family val="2"/>
        <scheme val="minor"/>
      </rPr>
      <t>far-a</t>
    </r>
  </si>
  <si>
    <r>
      <t xml:space="preserve">s_IFE </t>
    </r>
    <r>
      <rPr>
        <vertAlign val="subscript"/>
        <sz val="11"/>
        <color theme="1"/>
        <rFont val="Calibri"/>
        <family val="2"/>
        <scheme val="minor"/>
      </rPr>
      <t>far-adj</t>
    </r>
  </si>
  <si>
    <r>
      <t xml:space="preserve">s_IRFI </t>
    </r>
    <r>
      <rPr>
        <vertAlign val="subscript"/>
        <sz val="11"/>
        <rFont val="Calibri"/>
        <family val="2"/>
        <scheme val="minor"/>
      </rPr>
      <t>far-c</t>
    </r>
  </si>
  <si>
    <r>
      <t xml:space="preserve">s_IRFI </t>
    </r>
    <r>
      <rPr>
        <vertAlign val="subscript"/>
        <sz val="11"/>
        <rFont val="Calibri"/>
        <family val="2"/>
        <scheme val="minor"/>
      </rPr>
      <t>far-a</t>
    </r>
  </si>
  <si>
    <r>
      <t xml:space="preserve">s_IFFI </t>
    </r>
    <r>
      <rPr>
        <vertAlign val="subscript"/>
        <sz val="11"/>
        <color theme="1"/>
        <rFont val="Calibri"/>
        <family val="2"/>
        <scheme val="minor"/>
      </rPr>
      <t>far-adj</t>
    </r>
  </si>
  <si>
    <r>
      <t xml:space="preserve">s_IRP </t>
    </r>
    <r>
      <rPr>
        <vertAlign val="subscript"/>
        <sz val="11"/>
        <rFont val="Calibri"/>
        <family val="2"/>
        <scheme val="minor"/>
      </rPr>
      <t>far-c</t>
    </r>
  </si>
  <si>
    <r>
      <t xml:space="preserve">s_IRP </t>
    </r>
    <r>
      <rPr>
        <vertAlign val="subscript"/>
        <sz val="11"/>
        <rFont val="Calibri"/>
        <family val="2"/>
        <scheme val="minor"/>
      </rPr>
      <t>far-a</t>
    </r>
  </si>
  <si>
    <r>
      <t xml:space="preserve">s_IFP </t>
    </r>
    <r>
      <rPr>
        <vertAlign val="subscript"/>
        <sz val="11"/>
        <color theme="1"/>
        <rFont val="Calibri"/>
        <family val="2"/>
        <scheme val="minor"/>
      </rPr>
      <t>far-adj</t>
    </r>
  </si>
  <si>
    <r>
      <t xml:space="preserve">s_IRSW </t>
    </r>
    <r>
      <rPr>
        <vertAlign val="subscript"/>
        <sz val="11"/>
        <rFont val="Calibri"/>
        <family val="2"/>
        <scheme val="minor"/>
      </rPr>
      <t>far-c</t>
    </r>
  </si>
  <si>
    <r>
      <t xml:space="preserve">s_IRSW </t>
    </r>
    <r>
      <rPr>
        <vertAlign val="subscript"/>
        <sz val="11"/>
        <rFont val="Calibri"/>
        <family val="2"/>
        <scheme val="minor"/>
      </rPr>
      <t>far-a</t>
    </r>
  </si>
  <si>
    <r>
      <t xml:space="preserve">s_IFSW </t>
    </r>
    <r>
      <rPr>
        <vertAlign val="subscript"/>
        <sz val="11"/>
        <color theme="1"/>
        <rFont val="Calibri"/>
        <family val="2"/>
        <scheme val="minor"/>
      </rPr>
      <t>far-adj</t>
    </r>
  </si>
  <si>
    <r>
      <t xml:space="preserve">s_CF </t>
    </r>
    <r>
      <rPr>
        <vertAlign val="subscript"/>
        <sz val="11"/>
        <rFont val="Calibri"/>
        <family val="2"/>
        <scheme val="minor"/>
      </rPr>
      <t>far-dairy</t>
    </r>
  </si>
  <si>
    <r>
      <t xml:space="preserve">s_CF </t>
    </r>
    <r>
      <rPr>
        <vertAlign val="subscript"/>
        <sz val="11"/>
        <rFont val="Calibri"/>
        <family val="2"/>
        <scheme val="minor"/>
      </rPr>
      <t>far-beef</t>
    </r>
  </si>
  <si>
    <r>
      <t xml:space="preserve">s_CF </t>
    </r>
    <r>
      <rPr>
        <vertAlign val="subscript"/>
        <sz val="11"/>
        <rFont val="Calibri"/>
        <family val="2"/>
        <scheme val="minor"/>
      </rPr>
      <t>far-egg</t>
    </r>
  </si>
  <si>
    <r>
      <t xml:space="preserve">s_CF </t>
    </r>
    <r>
      <rPr>
        <vertAlign val="subscript"/>
        <sz val="11"/>
        <rFont val="Calibri"/>
        <family val="2"/>
        <scheme val="minor"/>
      </rPr>
      <t>far-fish</t>
    </r>
  </si>
  <si>
    <r>
      <t xml:space="preserve">s_CF </t>
    </r>
    <r>
      <rPr>
        <vertAlign val="subscript"/>
        <sz val="11"/>
        <rFont val="Calibri"/>
        <family val="2"/>
        <scheme val="minor"/>
      </rPr>
      <t>far-poultry</t>
    </r>
  </si>
  <si>
    <r>
      <t xml:space="preserve">s_CF </t>
    </r>
    <r>
      <rPr>
        <vertAlign val="subscript"/>
        <sz val="11"/>
        <rFont val="Calibri"/>
        <family val="2"/>
        <scheme val="minor"/>
      </rPr>
      <t>far-swine</t>
    </r>
  </si>
  <si>
    <r>
      <t xml:space="preserve">s_Q </t>
    </r>
    <r>
      <rPr>
        <vertAlign val="subscript"/>
        <sz val="11"/>
        <rFont val="Calibri"/>
        <family val="2"/>
        <scheme val="minor"/>
      </rPr>
      <t>w dairy</t>
    </r>
  </si>
  <si>
    <r>
      <t xml:space="preserve">s_Q </t>
    </r>
    <r>
      <rPr>
        <vertAlign val="subscript"/>
        <sz val="11"/>
        <rFont val="Calibri"/>
        <family val="2"/>
        <scheme val="minor"/>
      </rPr>
      <t>p-dairy</t>
    </r>
  </si>
  <si>
    <r>
      <t xml:space="preserve">s_Q </t>
    </r>
    <r>
      <rPr>
        <vertAlign val="subscript"/>
        <sz val="11"/>
        <rFont val="Calibri"/>
        <family val="2"/>
        <scheme val="minor"/>
      </rPr>
      <t>s-dairy</t>
    </r>
  </si>
  <si>
    <r>
      <t xml:space="preserve">s_f </t>
    </r>
    <r>
      <rPr>
        <vertAlign val="subscript"/>
        <sz val="11"/>
        <rFont val="Calibri"/>
        <family val="2"/>
        <scheme val="minor"/>
      </rPr>
      <t>p-dairy</t>
    </r>
  </si>
  <si>
    <r>
      <t xml:space="preserve">s_f </t>
    </r>
    <r>
      <rPr>
        <vertAlign val="subscript"/>
        <sz val="11"/>
        <rFont val="Calibri"/>
        <family val="2"/>
        <scheme val="minor"/>
      </rPr>
      <t>s-dairy</t>
    </r>
  </si>
  <si>
    <r>
      <t xml:space="preserve">s_Q </t>
    </r>
    <r>
      <rPr>
        <vertAlign val="subscript"/>
        <sz val="11"/>
        <rFont val="Calibri"/>
        <family val="2"/>
        <scheme val="minor"/>
      </rPr>
      <t>w-beef</t>
    </r>
  </si>
  <si>
    <r>
      <t xml:space="preserve">s_Q </t>
    </r>
    <r>
      <rPr>
        <vertAlign val="subscript"/>
        <sz val="11"/>
        <rFont val="Calibri"/>
        <family val="2"/>
        <scheme val="minor"/>
      </rPr>
      <t>p-beef</t>
    </r>
  </si>
  <si>
    <r>
      <t xml:space="preserve">s_Q </t>
    </r>
    <r>
      <rPr>
        <vertAlign val="subscript"/>
        <sz val="11"/>
        <rFont val="Calibri"/>
        <family val="2"/>
        <scheme val="minor"/>
      </rPr>
      <t>s-beef</t>
    </r>
  </si>
  <si>
    <r>
      <t xml:space="preserve">s_f </t>
    </r>
    <r>
      <rPr>
        <vertAlign val="subscript"/>
        <sz val="11"/>
        <rFont val="Calibri"/>
        <family val="2"/>
        <scheme val="minor"/>
      </rPr>
      <t>p-beef</t>
    </r>
  </si>
  <si>
    <r>
      <t xml:space="preserve">s_f </t>
    </r>
    <r>
      <rPr>
        <vertAlign val="subscript"/>
        <sz val="11"/>
        <rFont val="Calibri"/>
        <family val="2"/>
        <scheme val="minor"/>
      </rPr>
      <t>s-beef</t>
    </r>
  </si>
  <si>
    <r>
      <t xml:space="preserve">s_Q </t>
    </r>
    <r>
      <rPr>
        <vertAlign val="subscript"/>
        <sz val="11"/>
        <rFont val="Calibri"/>
        <family val="2"/>
        <scheme val="minor"/>
      </rPr>
      <t>w-egg</t>
    </r>
  </si>
  <si>
    <r>
      <t xml:space="preserve">s_Q </t>
    </r>
    <r>
      <rPr>
        <vertAlign val="subscript"/>
        <sz val="11"/>
        <rFont val="Calibri"/>
        <family val="2"/>
        <scheme val="minor"/>
      </rPr>
      <t>p-egg</t>
    </r>
  </si>
  <si>
    <r>
      <t xml:space="preserve">s_Q </t>
    </r>
    <r>
      <rPr>
        <vertAlign val="subscript"/>
        <sz val="11"/>
        <rFont val="Calibri"/>
        <family val="2"/>
        <scheme val="minor"/>
      </rPr>
      <t>s-egg</t>
    </r>
  </si>
  <si>
    <r>
      <t xml:space="preserve">s_f </t>
    </r>
    <r>
      <rPr>
        <vertAlign val="subscript"/>
        <sz val="11"/>
        <rFont val="Calibri"/>
        <family val="2"/>
        <scheme val="minor"/>
      </rPr>
      <t>p-egg</t>
    </r>
  </si>
  <si>
    <r>
      <t xml:space="preserve">s_f </t>
    </r>
    <r>
      <rPr>
        <vertAlign val="subscript"/>
        <sz val="11"/>
        <rFont val="Calibri"/>
        <family val="2"/>
        <scheme val="minor"/>
      </rPr>
      <t>s-egg</t>
    </r>
  </si>
  <si>
    <r>
      <t xml:space="preserve">s_Q </t>
    </r>
    <r>
      <rPr>
        <vertAlign val="subscript"/>
        <sz val="11"/>
        <rFont val="Calibri"/>
        <family val="2"/>
        <scheme val="minor"/>
      </rPr>
      <t>w-poultry</t>
    </r>
  </si>
  <si>
    <r>
      <t xml:space="preserve">s_Q </t>
    </r>
    <r>
      <rPr>
        <vertAlign val="subscript"/>
        <sz val="11"/>
        <rFont val="Calibri"/>
        <family val="2"/>
        <scheme val="minor"/>
      </rPr>
      <t>p-poultry</t>
    </r>
  </si>
  <si>
    <r>
      <t xml:space="preserve">s_Q </t>
    </r>
    <r>
      <rPr>
        <vertAlign val="subscript"/>
        <sz val="11"/>
        <rFont val="Calibri"/>
        <family val="2"/>
        <scheme val="minor"/>
      </rPr>
      <t>s-poultry</t>
    </r>
  </si>
  <si>
    <r>
      <t xml:space="preserve">s_f </t>
    </r>
    <r>
      <rPr>
        <vertAlign val="subscript"/>
        <sz val="11"/>
        <rFont val="Calibri"/>
        <family val="2"/>
        <scheme val="minor"/>
      </rPr>
      <t>p-poultry</t>
    </r>
  </si>
  <si>
    <r>
      <t xml:space="preserve">s_f </t>
    </r>
    <r>
      <rPr>
        <vertAlign val="subscript"/>
        <sz val="11"/>
        <rFont val="Calibri"/>
        <family val="2"/>
        <scheme val="minor"/>
      </rPr>
      <t>s-poultry</t>
    </r>
  </si>
  <si>
    <r>
      <t xml:space="preserve">s_Q </t>
    </r>
    <r>
      <rPr>
        <vertAlign val="subscript"/>
        <sz val="11"/>
        <rFont val="Calibri"/>
        <family val="2"/>
        <scheme val="minor"/>
      </rPr>
      <t>w-swine</t>
    </r>
  </si>
  <si>
    <r>
      <t xml:space="preserve">s_Q </t>
    </r>
    <r>
      <rPr>
        <vertAlign val="subscript"/>
        <sz val="11"/>
        <rFont val="Calibri"/>
        <family val="2"/>
        <scheme val="minor"/>
      </rPr>
      <t>p-swine</t>
    </r>
  </si>
  <si>
    <r>
      <t xml:space="preserve">s_Q </t>
    </r>
    <r>
      <rPr>
        <vertAlign val="subscript"/>
        <sz val="11"/>
        <rFont val="Calibri"/>
        <family val="2"/>
        <scheme val="minor"/>
      </rPr>
      <t>s-swine</t>
    </r>
  </si>
  <si>
    <r>
      <t xml:space="preserve">s_f </t>
    </r>
    <r>
      <rPr>
        <vertAlign val="subscript"/>
        <sz val="11"/>
        <rFont val="Calibri"/>
        <family val="2"/>
        <scheme val="minor"/>
      </rPr>
      <t>p-swine</t>
    </r>
  </si>
  <si>
    <r>
      <t xml:space="preserve">s_f </t>
    </r>
    <r>
      <rPr>
        <vertAlign val="subscript"/>
        <sz val="11"/>
        <rFont val="Calibri"/>
        <family val="2"/>
        <scheme val="minor"/>
      </rPr>
      <t>s-swine</t>
    </r>
  </si>
  <si>
    <t>TR</t>
  </si>
  <si>
    <t>YHALFLIFE</t>
  </si>
  <si>
    <t>WEIGHT</t>
  </si>
  <si>
    <t>MILKBTF</t>
  </si>
  <si>
    <t>BEEFBTF</t>
  </si>
  <si>
    <t>FISHBTF</t>
  </si>
  <si>
    <t>POULTRYBTF</t>
  </si>
  <si>
    <t>EGGBTF</t>
  </si>
  <si>
    <t>SWINEBTF</t>
  </si>
  <si>
    <t>BVWET</t>
  </si>
  <si>
    <t>BVDRY</t>
  </si>
  <si>
    <t>GIABSFCT</t>
  </si>
  <si>
    <t>LAMBDA</t>
  </si>
  <si>
    <t>s_TR</t>
  </si>
  <si>
    <t>Test Rad</t>
  </si>
  <si>
    <t>Y</t>
  </si>
  <si>
    <r>
      <t xml:space="preserve">MLF </t>
    </r>
    <r>
      <rPr>
        <vertAlign val="subscript"/>
        <sz val="11"/>
        <rFont val="Calibri"/>
        <family val="2"/>
        <scheme val="minor"/>
      </rPr>
      <t>pasture</t>
    </r>
  </si>
  <si>
    <r>
      <t xml:space="preserve">s_MLF </t>
    </r>
    <r>
      <rPr>
        <vertAlign val="subscript"/>
        <sz val="11"/>
        <rFont val="Calibri"/>
        <family val="2"/>
        <scheme val="minor"/>
      </rPr>
      <t>pasture</t>
    </r>
  </si>
  <si>
    <t>MCL</t>
  </si>
  <si>
    <t>MASS</t>
  </si>
  <si>
    <t>hours</t>
  </si>
  <si>
    <r>
      <t xml:space="preserve">DFA </t>
    </r>
    <r>
      <rPr>
        <vertAlign val="subscript"/>
        <sz val="11"/>
        <color theme="1"/>
        <rFont val="Calibri"/>
        <family val="2"/>
        <scheme val="minor"/>
      </rPr>
      <t>res-adj</t>
    </r>
  </si>
  <si>
    <t>lambda i</t>
  </si>
  <si>
    <t>lambda E</t>
  </si>
  <si>
    <t>lambda B</t>
  </si>
  <si>
    <t>DHALFLIFE</t>
  </si>
  <si>
    <t>Volatile</t>
  </si>
  <si>
    <t>GSFiGP</t>
  </si>
  <si>
    <t>GSFiSV</t>
  </si>
  <si>
    <t>GSFiSV1</t>
  </si>
  <si>
    <t>GSFiSV5</t>
  </si>
  <si>
    <t>GSFiSV15</t>
  </si>
  <si>
    <r>
      <t xml:space="preserve">DFA </t>
    </r>
    <r>
      <rPr>
        <vertAlign val="subscript"/>
        <sz val="11"/>
        <color theme="1"/>
        <rFont val="Calibri"/>
        <family val="2"/>
        <scheme val="minor"/>
      </rPr>
      <t>rec-adj</t>
    </r>
  </si>
  <si>
    <r>
      <t xml:space="preserve">CF </t>
    </r>
    <r>
      <rPr>
        <vertAlign val="subscript"/>
        <sz val="11"/>
        <rFont val="Calibri"/>
        <family val="2"/>
        <scheme val="minor"/>
      </rPr>
      <t>fowl</t>
    </r>
  </si>
  <si>
    <r>
      <t xml:space="preserve">CF </t>
    </r>
    <r>
      <rPr>
        <vertAlign val="subscript"/>
        <sz val="11"/>
        <rFont val="Calibri"/>
        <family val="2"/>
        <scheme val="minor"/>
      </rPr>
      <t>game</t>
    </r>
  </si>
  <si>
    <r>
      <t>IRGL</t>
    </r>
    <r>
      <rPr>
        <vertAlign val="subscript"/>
        <sz val="11"/>
        <color theme="1"/>
        <rFont val="Calibri"/>
        <family val="2"/>
        <scheme val="minor"/>
      </rPr>
      <t xml:space="preserve"> rec</t>
    </r>
  </si>
  <si>
    <r>
      <t xml:space="preserve">IRGF </t>
    </r>
    <r>
      <rPr>
        <vertAlign val="subscript"/>
        <sz val="11"/>
        <color theme="1"/>
        <rFont val="Calibri"/>
        <family val="2"/>
        <scheme val="minor"/>
      </rPr>
      <t>rec</t>
    </r>
  </si>
  <si>
    <t>Rupp</t>
  </si>
  <si>
    <r>
      <t xml:space="preserve">R </t>
    </r>
    <r>
      <rPr>
        <vertAlign val="subscript"/>
        <sz val="11"/>
        <rFont val="Calibri"/>
        <family val="2"/>
        <scheme val="minor"/>
      </rPr>
      <t>es-past</t>
    </r>
  </si>
  <si>
    <r>
      <t xml:space="preserve">s_R </t>
    </r>
    <r>
      <rPr>
        <vertAlign val="subscript"/>
        <sz val="11"/>
        <rFont val="Calibri"/>
        <family val="2"/>
        <scheme val="minor"/>
      </rPr>
      <t>es-past</t>
    </r>
  </si>
  <si>
    <t>Ruvp</t>
  </si>
  <si>
    <r>
      <t xml:space="preserve">EF </t>
    </r>
    <r>
      <rPr>
        <vertAlign val="subscript"/>
        <sz val="11"/>
        <color theme="1"/>
        <rFont val="Calibri"/>
        <family val="2"/>
        <scheme val="minor"/>
      </rPr>
      <t>far</t>
    </r>
  </si>
  <si>
    <r>
      <t xml:space="preserve">D </t>
    </r>
    <r>
      <rPr>
        <vertAlign val="subscript"/>
        <sz val="11"/>
        <rFont val="Calibri"/>
        <family val="2"/>
        <scheme val="minor"/>
      </rPr>
      <t>milk</t>
    </r>
  </si>
  <si>
    <r>
      <t xml:space="preserve">DFA </t>
    </r>
    <r>
      <rPr>
        <vertAlign val="subscript"/>
        <sz val="11"/>
        <color theme="1"/>
        <rFont val="Calibri"/>
        <family val="2"/>
        <scheme val="minor"/>
      </rPr>
      <t>far-adj</t>
    </r>
  </si>
  <si>
    <t>*These are for running contruction worker and recreator with defaults only.</t>
  </si>
  <si>
    <t>DAF</t>
  </si>
  <si>
    <t>dm</t>
  </si>
  <si>
    <t>s_dm</t>
  </si>
  <si>
    <t>Farmer General</t>
  </si>
  <si>
    <r>
      <t>IRAP</t>
    </r>
    <r>
      <rPr>
        <vertAlign val="subscript"/>
        <sz val="11"/>
        <color theme="1"/>
        <rFont val="Calibri"/>
        <family val="2"/>
        <scheme val="minor"/>
      </rPr>
      <t xml:space="preserve"> far-c</t>
    </r>
  </si>
  <si>
    <r>
      <t xml:space="preserve">IRAP </t>
    </r>
    <r>
      <rPr>
        <vertAlign val="subscript"/>
        <sz val="11"/>
        <color theme="1"/>
        <rFont val="Calibri"/>
        <family val="2"/>
        <scheme val="minor"/>
      </rPr>
      <t>far-a</t>
    </r>
  </si>
  <si>
    <r>
      <t xml:space="preserve">IFAP </t>
    </r>
    <r>
      <rPr>
        <vertAlign val="subscript"/>
        <sz val="11"/>
        <color theme="1"/>
        <rFont val="Calibri"/>
        <family val="2"/>
        <scheme val="minor"/>
      </rPr>
      <t>far-adj</t>
    </r>
  </si>
  <si>
    <r>
      <t>IRAS</t>
    </r>
    <r>
      <rPr>
        <vertAlign val="subscript"/>
        <sz val="11"/>
        <color theme="1"/>
        <rFont val="Calibri"/>
        <family val="2"/>
        <scheme val="minor"/>
      </rPr>
      <t xml:space="preserve"> far-c</t>
    </r>
  </si>
  <si>
    <r>
      <t xml:space="preserve">IRAS </t>
    </r>
    <r>
      <rPr>
        <vertAlign val="subscript"/>
        <sz val="11"/>
        <color theme="1"/>
        <rFont val="Calibri"/>
        <family val="2"/>
        <scheme val="minor"/>
      </rPr>
      <t>far-a</t>
    </r>
  </si>
  <si>
    <r>
      <t xml:space="preserve">IFAS </t>
    </r>
    <r>
      <rPr>
        <vertAlign val="subscript"/>
        <sz val="11"/>
        <color theme="1"/>
        <rFont val="Calibri"/>
        <family val="2"/>
        <scheme val="minor"/>
      </rPr>
      <t>far-adj</t>
    </r>
  </si>
  <si>
    <r>
      <t>IRBT</t>
    </r>
    <r>
      <rPr>
        <vertAlign val="subscript"/>
        <sz val="11"/>
        <color theme="1"/>
        <rFont val="Calibri"/>
        <family val="2"/>
        <scheme val="minor"/>
      </rPr>
      <t xml:space="preserve"> far-c</t>
    </r>
  </si>
  <si>
    <r>
      <t xml:space="preserve">IRBT </t>
    </r>
    <r>
      <rPr>
        <vertAlign val="subscript"/>
        <sz val="11"/>
        <color theme="1"/>
        <rFont val="Calibri"/>
        <family val="2"/>
        <scheme val="minor"/>
      </rPr>
      <t>far-a</t>
    </r>
  </si>
  <si>
    <r>
      <t xml:space="preserve">IFBT </t>
    </r>
    <r>
      <rPr>
        <vertAlign val="subscript"/>
        <sz val="11"/>
        <color theme="1"/>
        <rFont val="Calibri"/>
        <family val="2"/>
        <scheme val="minor"/>
      </rPr>
      <t>far-adj</t>
    </r>
  </si>
  <si>
    <r>
      <t>IRBE</t>
    </r>
    <r>
      <rPr>
        <vertAlign val="subscript"/>
        <sz val="11"/>
        <color theme="1"/>
        <rFont val="Calibri"/>
        <family val="2"/>
        <scheme val="minor"/>
      </rPr>
      <t xml:space="preserve"> far-c</t>
    </r>
  </si>
  <si>
    <r>
      <t xml:space="preserve">IRBE </t>
    </r>
    <r>
      <rPr>
        <vertAlign val="subscript"/>
        <sz val="11"/>
        <color theme="1"/>
        <rFont val="Calibri"/>
        <family val="2"/>
        <scheme val="minor"/>
      </rPr>
      <t>far-a</t>
    </r>
  </si>
  <si>
    <r>
      <t xml:space="preserve">IFBE </t>
    </r>
    <r>
      <rPr>
        <vertAlign val="subscript"/>
        <sz val="11"/>
        <color theme="1"/>
        <rFont val="Calibri"/>
        <family val="2"/>
        <scheme val="minor"/>
      </rPr>
      <t>far-adj</t>
    </r>
  </si>
  <si>
    <r>
      <t>IRBR</t>
    </r>
    <r>
      <rPr>
        <vertAlign val="subscript"/>
        <sz val="11"/>
        <color theme="1"/>
        <rFont val="Calibri"/>
        <family val="2"/>
        <scheme val="minor"/>
      </rPr>
      <t xml:space="preserve"> far-c</t>
    </r>
  </si>
  <si>
    <r>
      <t xml:space="preserve">IRBR </t>
    </r>
    <r>
      <rPr>
        <vertAlign val="subscript"/>
        <sz val="11"/>
        <color theme="1"/>
        <rFont val="Calibri"/>
        <family val="2"/>
        <scheme val="minor"/>
      </rPr>
      <t>far-a</t>
    </r>
  </si>
  <si>
    <r>
      <t xml:space="preserve">IFBR </t>
    </r>
    <r>
      <rPr>
        <vertAlign val="subscript"/>
        <sz val="11"/>
        <color theme="1"/>
        <rFont val="Calibri"/>
        <family val="2"/>
        <scheme val="minor"/>
      </rPr>
      <t>far-adj</t>
    </r>
  </si>
  <si>
    <r>
      <t>IRCB</t>
    </r>
    <r>
      <rPr>
        <vertAlign val="subscript"/>
        <sz val="11"/>
        <color theme="1"/>
        <rFont val="Calibri"/>
        <family val="2"/>
        <scheme val="minor"/>
      </rPr>
      <t xml:space="preserve"> far-c</t>
    </r>
  </si>
  <si>
    <r>
      <t xml:space="preserve">IRCB </t>
    </r>
    <r>
      <rPr>
        <vertAlign val="subscript"/>
        <sz val="11"/>
        <color theme="1"/>
        <rFont val="Calibri"/>
        <family val="2"/>
        <scheme val="minor"/>
      </rPr>
      <t>far-a</t>
    </r>
  </si>
  <si>
    <r>
      <t xml:space="preserve">IFCB </t>
    </r>
    <r>
      <rPr>
        <vertAlign val="subscript"/>
        <sz val="11"/>
        <color theme="1"/>
        <rFont val="Calibri"/>
        <family val="2"/>
        <scheme val="minor"/>
      </rPr>
      <t>far-adj</t>
    </r>
  </si>
  <si>
    <r>
      <t>IRCR</t>
    </r>
    <r>
      <rPr>
        <vertAlign val="subscript"/>
        <sz val="11"/>
        <color theme="1"/>
        <rFont val="Calibri"/>
        <family val="2"/>
        <scheme val="minor"/>
      </rPr>
      <t xml:space="preserve"> far-c</t>
    </r>
  </si>
  <si>
    <r>
      <t xml:space="preserve">IRCR </t>
    </r>
    <r>
      <rPr>
        <vertAlign val="subscript"/>
        <sz val="11"/>
        <color theme="1"/>
        <rFont val="Calibri"/>
        <family val="2"/>
        <scheme val="minor"/>
      </rPr>
      <t>far-a</t>
    </r>
  </si>
  <si>
    <r>
      <t xml:space="preserve">IFCR </t>
    </r>
    <r>
      <rPr>
        <vertAlign val="subscript"/>
        <sz val="11"/>
        <color theme="1"/>
        <rFont val="Calibri"/>
        <family val="2"/>
        <scheme val="minor"/>
      </rPr>
      <t>far-adj</t>
    </r>
  </si>
  <si>
    <r>
      <t>IRCG</t>
    </r>
    <r>
      <rPr>
        <vertAlign val="subscript"/>
        <sz val="11"/>
        <color theme="1"/>
        <rFont val="Calibri"/>
        <family val="2"/>
        <scheme val="minor"/>
      </rPr>
      <t xml:space="preserve"> far-c</t>
    </r>
  </si>
  <si>
    <r>
      <t xml:space="preserve">IRCG </t>
    </r>
    <r>
      <rPr>
        <vertAlign val="subscript"/>
        <sz val="11"/>
        <color theme="1"/>
        <rFont val="Calibri"/>
        <family val="2"/>
        <scheme val="minor"/>
      </rPr>
      <t>far-a</t>
    </r>
  </si>
  <si>
    <r>
      <t xml:space="preserve">IFCG </t>
    </r>
    <r>
      <rPr>
        <vertAlign val="subscript"/>
        <sz val="11"/>
        <color theme="1"/>
        <rFont val="Calibri"/>
        <family val="2"/>
        <scheme val="minor"/>
      </rPr>
      <t>far-adj</t>
    </r>
  </si>
  <si>
    <r>
      <t>IRCI</t>
    </r>
    <r>
      <rPr>
        <vertAlign val="subscript"/>
        <sz val="11"/>
        <color theme="1"/>
        <rFont val="Calibri"/>
        <family val="2"/>
        <scheme val="minor"/>
      </rPr>
      <t xml:space="preserve"> far-c</t>
    </r>
  </si>
  <si>
    <r>
      <t xml:space="preserve">IRCI </t>
    </r>
    <r>
      <rPr>
        <vertAlign val="subscript"/>
        <sz val="11"/>
        <color theme="1"/>
        <rFont val="Calibri"/>
        <family val="2"/>
        <scheme val="minor"/>
      </rPr>
      <t>far-a</t>
    </r>
  </si>
  <si>
    <r>
      <t xml:space="preserve">IFCI </t>
    </r>
    <r>
      <rPr>
        <vertAlign val="subscript"/>
        <sz val="11"/>
        <color theme="1"/>
        <rFont val="Calibri"/>
        <family val="2"/>
        <scheme val="minor"/>
      </rPr>
      <t>far-adj</t>
    </r>
  </si>
  <si>
    <r>
      <t>IRCO</t>
    </r>
    <r>
      <rPr>
        <vertAlign val="subscript"/>
        <sz val="11"/>
        <color theme="1"/>
        <rFont val="Calibri"/>
        <family val="2"/>
        <scheme val="minor"/>
      </rPr>
      <t xml:space="preserve"> far-c</t>
    </r>
  </si>
  <si>
    <r>
      <t xml:space="preserve">IRCO </t>
    </r>
    <r>
      <rPr>
        <vertAlign val="subscript"/>
        <sz val="11"/>
        <color theme="1"/>
        <rFont val="Calibri"/>
        <family val="2"/>
        <scheme val="minor"/>
      </rPr>
      <t>far-a</t>
    </r>
  </si>
  <si>
    <r>
      <t xml:space="preserve">IFCO </t>
    </r>
    <r>
      <rPr>
        <vertAlign val="subscript"/>
        <sz val="11"/>
        <color theme="1"/>
        <rFont val="Calibri"/>
        <family val="2"/>
        <scheme val="minor"/>
      </rPr>
      <t>far-adj</t>
    </r>
  </si>
  <si>
    <r>
      <t>IRCU</t>
    </r>
    <r>
      <rPr>
        <vertAlign val="subscript"/>
        <sz val="11"/>
        <color theme="1"/>
        <rFont val="Calibri"/>
        <family val="2"/>
        <scheme val="minor"/>
      </rPr>
      <t xml:space="preserve"> far-c</t>
    </r>
  </si>
  <si>
    <r>
      <t xml:space="preserve">IRCU </t>
    </r>
    <r>
      <rPr>
        <vertAlign val="subscript"/>
        <sz val="11"/>
        <color theme="1"/>
        <rFont val="Calibri"/>
        <family val="2"/>
        <scheme val="minor"/>
      </rPr>
      <t>far-a</t>
    </r>
  </si>
  <si>
    <r>
      <t xml:space="preserve">IFCU </t>
    </r>
    <r>
      <rPr>
        <vertAlign val="subscript"/>
        <sz val="11"/>
        <color theme="1"/>
        <rFont val="Calibri"/>
        <family val="2"/>
        <scheme val="minor"/>
      </rPr>
      <t>far-adj</t>
    </r>
  </si>
  <si>
    <r>
      <t>IRLE</t>
    </r>
    <r>
      <rPr>
        <vertAlign val="subscript"/>
        <sz val="11"/>
        <color theme="1"/>
        <rFont val="Calibri"/>
        <family val="2"/>
        <scheme val="minor"/>
      </rPr>
      <t xml:space="preserve"> far-c</t>
    </r>
  </si>
  <si>
    <r>
      <t xml:space="preserve">IRLE </t>
    </r>
    <r>
      <rPr>
        <vertAlign val="subscript"/>
        <sz val="11"/>
        <color theme="1"/>
        <rFont val="Calibri"/>
        <family val="2"/>
        <scheme val="minor"/>
      </rPr>
      <t>far-a</t>
    </r>
  </si>
  <si>
    <r>
      <t xml:space="preserve">IFLE </t>
    </r>
    <r>
      <rPr>
        <vertAlign val="subscript"/>
        <sz val="11"/>
        <color theme="1"/>
        <rFont val="Calibri"/>
        <family val="2"/>
        <scheme val="minor"/>
      </rPr>
      <t>far-adj</t>
    </r>
  </si>
  <si>
    <r>
      <t>IRLI</t>
    </r>
    <r>
      <rPr>
        <vertAlign val="subscript"/>
        <sz val="11"/>
        <color theme="1"/>
        <rFont val="Calibri"/>
        <family val="2"/>
        <scheme val="minor"/>
      </rPr>
      <t xml:space="preserve"> far-c</t>
    </r>
  </si>
  <si>
    <r>
      <t xml:space="preserve">IRLI </t>
    </r>
    <r>
      <rPr>
        <vertAlign val="subscript"/>
        <sz val="11"/>
        <color theme="1"/>
        <rFont val="Calibri"/>
        <family val="2"/>
        <scheme val="minor"/>
      </rPr>
      <t>far-a</t>
    </r>
  </si>
  <si>
    <r>
      <t xml:space="preserve">IFLI </t>
    </r>
    <r>
      <rPr>
        <vertAlign val="subscript"/>
        <sz val="11"/>
        <color theme="1"/>
        <rFont val="Calibri"/>
        <family val="2"/>
        <scheme val="minor"/>
      </rPr>
      <t>far-adj</t>
    </r>
  </si>
  <si>
    <r>
      <t>IROK</t>
    </r>
    <r>
      <rPr>
        <vertAlign val="subscript"/>
        <sz val="11"/>
        <color theme="1"/>
        <rFont val="Calibri"/>
        <family val="2"/>
        <scheme val="minor"/>
      </rPr>
      <t xml:space="preserve"> far-c</t>
    </r>
  </si>
  <si>
    <r>
      <t xml:space="preserve">IROK </t>
    </r>
    <r>
      <rPr>
        <vertAlign val="subscript"/>
        <sz val="11"/>
        <color theme="1"/>
        <rFont val="Calibri"/>
        <family val="2"/>
        <scheme val="minor"/>
      </rPr>
      <t>far-a</t>
    </r>
  </si>
  <si>
    <r>
      <t xml:space="preserve">IFOK </t>
    </r>
    <r>
      <rPr>
        <vertAlign val="subscript"/>
        <sz val="11"/>
        <color theme="1"/>
        <rFont val="Calibri"/>
        <family val="2"/>
        <scheme val="minor"/>
      </rPr>
      <t>far-adj</t>
    </r>
  </si>
  <si>
    <r>
      <t>IRON</t>
    </r>
    <r>
      <rPr>
        <vertAlign val="subscript"/>
        <sz val="11"/>
        <color theme="1"/>
        <rFont val="Calibri"/>
        <family val="2"/>
        <scheme val="minor"/>
      </rPr>
      <t xml:space="preserve"> far-c</t>
    </r>
  </si>
  <si>
    <r>
      <t xml:space="preserve">IRON </t>
    </r>
    <r>
      <rPr>
        <vertAlign val="subscript"/>
        <sz val="11"/>
        <color theme="1"/>
        <rFont val="Calibri"/>
        <family val="2"/>
        <scheme val="minor"/>
      </rPr>
      <t>far-a</t>
    </r>
  </si>
  <si>
    <r>
      <t xml:space="preserve">IFON </t>
    </r>
    <r>
      <rPr>
        <vertAlign val="subscript"/>
        <sz val="11"/>
        <color theme="1"/>
        <rFont val="Calibri"/>
        <family val="2"/>
        <scheme val="minor"/>
      </rPr>
      <t>far-adj</t>
    </r>
  </si>
  <si>
    <r>
      <t>IRPC</t>
    </r>
    <r>
      <rPr>
        <vertAlign val="subscript"/>
        <sz val="11"/>
        <color theme="1"/>
        <rFont val="Calibri"/>
        <family val="2"/>
        <scheme val="minor"/>
      </rPr>
      <t xml:space="preserve"> far-c</t>
    </r>
  </si>
  <si>
    <r>
      <t xml:space="preserve">IRPC </t>
    </r>
    <r>
      <rPr>
        <vertAlign val="subscript"/>
        <sz val="11"/>
        <color theme="1"/>
        <rFont val="Calibri"/>
        <family val="2"/>
        <scheme val="minor"/>
      </rPr>
      <t>far-a</t>
    </r>
  </si>
  <si>
    <r>
      <t xml:space="preserve">IFPC </t>
    </r>
    <r>
      <rPr>
        <vertAlign val="subscript"/>
        <sz val="11"/>
        <color theme="1"/>
        <rFont val="Calibri"/>
        <family val="2"/>
        <scheme val="minor"/>
      </rPr>
      <t>far-adj</t>
    </r>
  </si>
  <si>
    <r>
      <t>IRPE</t>
    </r>
    <r>
      <rPr>
        <vertAlign val="subscript"/>
        <sz val="11"/>
        <color theme="1"/>
        <rFont val="Calibri"/>
        <family val="2"/>
        <scheme val="minor"/>
      </rPr>
      <t xml:space="preserve"> far-c</t>
    </r>
  </si>
  <si>
    <r>
      <t xml:space="preserve">IRPE </t>
    </r>
    <r>
      <rPr>
        <vertAlign val="subscript"/>
        <sz val="11"/>
        <color theme="1"/>
        <rFont val="Calibri"/>
        <family val="2"/>
        <scheme val="minor"/>
      </rPr>
      <t>far-a</t>
    </r>
  </si>
  <si>
    <r>
      <t xml:space="preserve">IFPE </t>
    </r>
    <r>
      <rPr>
        <vertAlign val="subscript"/>
        <sz val="11"/>
        <color theme="1"/>
        <rFont val="Calibri"/>
        <family val="2"/>
        <scheme val="minor"/>
      </rPr>
      <t>far-adj</t>
    </r>
  </si>
  <si>
    <r>
      <t>IRPT</t>
    </r>
    <r>
      <rPr>
        <vertAlign val="subscript"/>
        <sz val="11"/>
        <color theme="1"/>
        <rFont val="Calibri"/>
        <family val="2"/>
        <scheme val="minor"/>
      </rPr>
      <t xml:space="preserve"> far-c</t>
    </r>
  </si>
  <si>
    <r>
      <t xml:space="preserve">IRPT </t>
    </r>
    <r>
      <rPr>
        <vertAlign val="subscript"/>
        <sz val="11"/>
        <color theme="1"/>
        <rFont val="Calibri"/>
        <family val="2"/>
        <scheme val="minor"/>
      </rPr>
      <t>far-a</t>
    </r>
  </si>
  <si>
    <r>
      <t xml:space="preserve">IFPT </t>
    </r>
    <r>
      <rPr>
        <vertAlign val="subscript"/>
        <sz val="11"/>
        <color theme="1"/>
        <rFont val="Calibri"/>
        <family val="2"/>
        <scheme val="minor"/>
      </rPr>
      <t>far-adj</t>
    </r>
  </si>
  <si>
    <r>
      <t>IRPU</t>
    </r>
    <r>
      <rPr>
        <vertAlign val="subscript"/>
        <sz val="11"/>
        <color theme="1"/>
        <rFont val="Calibri"/>
        <family val="2"/>
        <scheme val="minor"/>
      </rPr>
      <t xml:space="preserve"> far-c</t>
    </r>
  </si>
  <si>
    <r>
      <t xml:space="preserve">IRPU </t>
    </r>
    <r>
      <rPr>
        <vertAlign val="subscript"/>
        <sz val="11"/>
        <color theme="1"/>
        <rFont val="Calibri"/>
        <family val="2"/>
        <scheme val="minor"/>
      </rPr>
      <t>far-a</t>
    </r>
  </si>
  <si>
    <r>
      <t xml:space="preserve">IFPU </t>
    </r>
    <r>
      <rPr>
        <vertAlign val="subscript"/>
        <sz val="11"/>
        <color theme="1"/>
        <rFont val="Calibri"/>
        <family val="2"/>
        <scheme val="minor"/>
      </rPr>
      <t>far-adj</t>
    </r>
  </si>
  <si>
    <r>
      <t>IRRI</t>
    </r>
    <r>
      <rPr>
        <vertAlign val="subscript"/>
        <sz val="11"/>
        <color theme="1"/>
        <rFont val="Calibri"/>
        <family val="2"/>
        <scheme val="minor"/>
      </rPr>
      <t xml:space="preserve"> far-c</t>
    </r>
  </si>
  <si>
    <r>
      <t xml:space="preserve">IRRI </t>
    </r>
    <r>
      <rPr>
        <vertAlign val="subscript"/>
        <sz val="11"/>
        <color theme="1"/>
        <rFont val="Calibri"/>
        <family val="2"/>
        <scheme val="minor"/>
      </rPr>
      <t>far-a</t>
    </r>
  </si>
  <si>
    <r>
      <t xml:space="preserve">IFRI </t>
    </r>
    <r>
      <rPr>
        <vertAlign val="subscript"/>
        <sz val="11"/>
        <color theme="1"/>
        <rFont val="Calibri"/>
        <family val="2"/>
        <scheme val="minor"/>
      </rPr>
      <t>far-adj</t>
    </r>
  </si>
  <si>
    <r>
      <t>IRSN</t>
    </r>
    <r>
      <rPr>
        <vertAlign val="subscript"/>
        <sz val="11"/>
        <color theme="1"/>
        <rFont val="Calibri"/>
        <family val="2"/>
        <scheme val="minor"/>
      </rPr>
      <t xml:space="preserve"> far-c</t>
    </r>
  </si>
  <si>
    <r>
      <t xml:space="preserve">IRSN </t>
    </r>
    <r>
      <rPr>
        <vertAlign val="subscript"/>
        <sz val="11"/>
        <color theme="1"/>
        <rFont val="Calibri"/>
        <family val="2"/>
        <scheme val="minor"/>
      </rPr>
      <t>far-a</t>
    </r>
  </si>
  <si>
    <r>
      <t xml:space="preserve">IFSN </t>
    </r>
    <r>
      <rPr>
        <vertAlign val="subscript"/>
        <sz val="11"/>
        <color theme="1"/>
        <rFont val="Calibri"/>
        <family val="2"/>
        <scheme val="minor"/>
      </rPr>
      <t>far-adj</t>
    </r>
  </si>
  <si>
    <r>
      <t>IRST</t>
    </r>
    <r>
      <rPr>
        <vertAlign val="subscript"/>
        <sz val="11"/>
        <color theme="1"/>
        <rFont val="Calibri"/>
        <family val="2"/>
        <scheme val="minor"/>
      </rPr>
      <t xml:space="preserve"> far-c</t>
    </r>
  </si>
  <si>
    <r>
      <t xml:space="preserve">IRST </t>
    </r>
    <r>
      <rPr>
        <vertAlign val="subscript"/>
        <sz val="11"/>
        <color theme="1"/>
        <rFont val="Calibri"/>
        <family val="2"/>
        <scheme val="minor"/>
      </rPr>
      <t>far-a</t>
    </r>
  </si>
  <si>
    <r>
      <t xml:space="preserve">IFST </t>
    </r>
    <r>
      <rPr>
        <vertAlign val="subscript"/>
        <sz val="11"/>
        <color theme="1"/>
        <rFont val="Calibri"/>
        <family val="2"/>
        <scheme val="minor"/>
      </rPr>
      <t>far-adj</t>
    </r>
  </si>
  <si>
    <r>
      <t>IRTO</t>
    </r>
    <r>
      <rPr>
        <vertAlign val="subscript"/>
        <sz val="11"/>
        <color theme="1"/>
        <rFont val="Calibri"/>
        <family val="2"/>
        <scheme val="minor"/>
      </rPr>
      <t xml:space="preserve"> far-c</t>
    </r>
  </si>
  <si>
    <r>
      <t xml:space="preserve">IRTO </t>
    </r>
    <r>
      <rPr>
        <vertAlign val="subscript"/>
        <sz val="11"/>
        <color theme="1"/>
        <rFont val="Calibri"/>
        <family val="2"/>
        <scheme val="minor"/>
      </rPr>
      <t>far-a</t>
    </r>
  </si>
  <si>
    <r>
      <t xml:space="preserve">IFTO </t>
    </r>
    <r>
      <rPr>
        <vertAlign val="subscript"/>
        <sz val="11"/>
        <color theme="1"/>
        <rFont val="Calibri"/>
        <family val="2"/>
        <scheme val="minor"/>
      </rPr>
      <t>far-adj</t>
    </r>
  </si>
  <si>
    <r>
      <t xml:space="preserve">CF </t>
    </r>
    <r>
      <rPr>
        <vertAlign val="subscript"/>
        <sz val="11"/>
        <rFont val="Calibri"/>
        <family val="2"/>
        <scheme val="minor"/>
      </rPr>
      <t>far-goat</t>
    </r>
  </si>
  <si>
    <r>
      <t xml:space="preserve">CF </t>
    </r>
    <r>
      <rPr>
        <vertAlign val="subscript"/>
        <sz val="11"/>
        <rFont val="Calibri"/>
        <family val="2"/>
        <scheme val="minor"/>
      </rPr>
      <t>far-goat-milk</t>
    </r>
  </si>
  <si>
    <r>
      <t xml:space="preserve">CF </t>
    </r>
    <r>
      <rPr>
        <vertAlign val="subscript"/>
        <sz val="11"/>
        <rFont val="Calibri"/>
        <family val="2"/>
        <scheme val="minor"/>
      </rPr>
      <t>far-sheep-milk</t>
    </r>
  </si>
  <si>
    <r>
      <t>IRGO</t>
    </r>
    <r>
      <rPr>
        <vertAlign val="subscript"/>
        <sz val="11"/>
        <color theme="1"/>
        <rFont val="Calibri"/>
        <family val="2"/>
        <scheme val="minor"/>
      </rPr>
      <t xml:space="preserve"> far-c</t>
    </r>
  </si>
  <si>
    <r>
      <t xml:space="preserve">IRGO </t>
    </r>
    <r>
      <rPr>
        <vertAlign val="subscript"/>
        <sz val="11"/>
        <color theme="1"/>
        <rFont val="Calibri"/>
        <family val="2"/>
        <scheme val="minor"/>
      </rPr>
      <t>far-a</t>
    </r>
  </si>
  <si>
    <r>
      <t xml:space="preserve">IFGO </t>
    </r>
    <r>
      <rPr>
        <vertAlign val="subscript"/>
        <sz val="11"/>
        <color theme="1"/>
        <rFont val="Calibri"/>
        <family val="2"/>
        <scheme val="minor"/>
      </rPr>
      <t>far-adj</t>
    </r>
  </si>
  <si>
    <r>
      <t>IRSM</t>
    </r>
    <r>
      <rPr>
        <vertAlign val="subscript"/>
        <sz val="11"/>
        <color theme="1"/>
        <rFont val="Calibri"/>
        <family val="2"/>
        <scheme val="minor"/>
      </rPr>
      <t xml:space="preserve"> far-c</t>
    </r>
  </si>
  <si>
    <r>
      <t xml:space="preserve">IRSM </t>
    </r>
    <r>
      <rPr>
        <vertAlign val="subscript"/>
        <sz val="11"/>
        <color theme="1"/>
        <rFont val="Calibri"/>
        <family val="2"/>
        <scheme val="minor"/>
      </rPr>
      <t>far-a</t>
    </r>
  </si>
  <si>
    <r>
      <t xml:space="preserve">IFSM </t>
    </r>
    <r>
      <rPr>
        <vertAlign val="subscript"/>
        <sz val="11"/>
        <color theme="1"/>
        <rFont val="Calibri"/>
        <family val="2"/>
        <scheme val="minor"/>
      </rPr>
      <t>far-adj</t>
    </r>
  </si>
  <si>
    <r>
      <t>IRGM</t>
    </r>
    <r>
      <rPr>
        <vertAlign val="subscript"/>
        <sz val="11"/>
        <color theme="1"/>
        <rFont val="Calibri"/>
        <family val="2"/>
        <scheme val="minor"/>
      </rPr>
      <t xml:space="preserve"> far-c</t>
    </r>
  </si>
  <si>
    <r>
      <t xml:space="preserve">IRGM </t>
    </r>
    <r>
      <rPr>
        <vertAlign val="subscript"/>
        <sz val="11"/>
        <color theme="1"/>
        <rFont val="Calibri"/>
        <family val="2"/>
        <scheme val="minor"/>
      </rPr>
      <t>far-a</t>
    </r>
  </si>
  <si>
    <r>
      <t xml:space="preserve">IFGM </t>
    </r>
    <r>
      <rPr>
        <vertAlign val="subscript"/>
        <sz val="11"/>
        <color theme="1"/>
        <rFont val="Calibri"/>
        <family val="2"/>
        <scheme val="minor"/>
      </rPr>
      <t>far-adj</t>
    </r>
  </si>
  <si>
    <r>
      <t xml:space="preserve">MLF </t>
    </r>
    <r>
      <rPr>
        <vertAlign val="subscript"/>
        <sz val="11"/>
        <rFont val="Calibri"/>
        <family val="2"/>
        <scheme val="minor"/>
      </rPr>
      <t>apple</t>
    </r>
  </si>
  <si>
    <r>
      <t xml:space="preserve">MLF </t>
    </r>
    <r>
      <rPr>
        <vertAlign val="subscript"/>
        <sz val="11"/>
        <rFont val="Calibri"/>
        <family val="2"/>
        <scheme val="minor"/>
      </rPr>
      <t>asparagus</t>
    </r>
  </si>
  <si>
    <r>
      <t xml:space="preserve">MLF </t>
    </r>
    <r>
      <rPr>
        <vertAlign val="subscript"/>
        <sz val="11"/>
        <rFont val="Calibri"/>
        <family val="2"/>
        <scheme val="minor"/>
      </rPr>
      <t>beet</t>
    </r>
  </si>
  <si>
    <r>
      <t xml:space="preserve">MLF </t>
    </r>
    <r>
      <rPr>
        <vertAlign val="subscript"/>
        <sz val="11"/>
        <rFont val="Calibri"/>
        <family val="2"/>
        <scheme val="minor"/>
      </rPr>
      <t>berries</t>
    </r>
  </si>
  <si>
    <r>
      <t xml:space="preserve">MLF </t>
    </r>
    <r>
      <rPr>
        <vertAlign val="subscript"/>
        <sz val="11"/>
        <rFont val="Calibri"/>
        <family val="2"/>
        <scheme val="minor"/>
      </rPr>
      <t>broccoli</t>
    </r>
  </si>
  <si>
    <r>
      <t xml:space="preserve">MLF </t>
    </r>
    <r>
      <rPr>
        <vertAlign val="subscript"/>
        <sz val="11"/>
        <rFont val="Calibri"/>
        <family val="2"/>
        <scheme val="minor"/>
      </rPr>
      <t>cabbage</t>
    </r>
  </si>
  <si>
    <r>
      <t xml:space="preserve">MLF </t>
    </r>
    <r>
      <rPr>
        <vertAlign val="subscript"/>
        <sz val="11"/>
        <rFont val="Calibri"/>
        <family val="2"/>
        <scheme val="minor"/>
      </rPr>
      <t>carrot</t>
    </r>
  </si>
  <si>
    <r>
      <t xml:space="preserve">MLF </t>
    </r>
    <r>
      <rPr>
        <vertAlign val="subscript"/>
        <sz val="11"/>
        <rFont val="Calibri"/>
        <family val="2"/>
        <scheme val="minor"/>
      </rPr>
      <t>citrus</t>
    </r>
  </si>
  <si>
    <r>
      <t xml:space="preserve">MLF </t>
    </r>
    <r>
      <rPr>
        <vertAlign val="subscript"/>
        <sz val="11"/>
        <rFont val="Calibri"/>
        <family val="2"/>
        <scheme val="minor"/>
      </rPr>
      <t>corn</t>
    </r>
  </si>
  <si>
    <r>
      <t xml:space="preserve">MLF </t>
    </r>
    <r>
      <rPr>
        <vertAlign val="subscript"/>
        <sz val="11"/>
        <rFont val="Calibri"/>
        <family val="2"/>
        <scheme val="minor"/>
      </rPr>
      <t>cucumber</t>
    </r>
  </si>
  <si>
    <r>
      <t xml:space="preserve">MLF </t>
    </r>
    <r>
      <rPr>
        <vertAlign val="subscript"/>
        <sz val="11"/>
        <rFont val="Calibri"/>
        <family val="2"/>
        <scheme val="minor"/>
      </rPr>
      <t>lettuce</t>
    </r>
  </si>
  <si>
    <r>
      <t xml:space="preserve">MLF </t>
    </r>
    <r>
      <rPr>
        <vertAlign val="subscript"/>
        <sz val="11"/>
        <rFont val="Calibri"/>
        <family val="2"/>
        <scheme val="minor"/>
      </rPr>
      <t>lima bean</t>
    </r>
  </si>
  <si>
    <r>
      <t xml:space="preserve">MLF </t>
    </r>
    <r>
      <rPr>
        <vertAlign val="subscript"/>
        <sz val="11"/>
        <rFont val="Calibri"/>
        <family val="2"/>
        <scheme val="minor"/>
      </rPr>
      <t>okra</t>
    </r>
  </si>
  <si>
    <r>
      <t xml:space="preserve">MLF </t>
    </r>
    <r>
      <rPr>
        <vertAlign val="subscript"/>
        <sz val="11"/>
        <rFont val="Calibri"/>
        <family val="2"/>
        <scheme val="minor"/>
      </rPr>
      <t>onion</t>
    </r>
  </si>
  <si>
    <r>
      <t xml:space="preserve">MLF </t>
    </r>
    <r>
      <rPr>
        <vertAlign val="subscript"/>
        <sz val="11"/>
        <rFont val="Calibri"/>
        <family val="2"/>
        <scheme val="minor"/>
      </rPr>
      <t>peach</t>
    </r>
  </si>
  <si>
    <r>
      <t xml:space="preserve">MLF </t>
    </r>
    <r>
      <rPr>
        <vertAlign val="subscript"/>
        <sz val="11"/>
        <rFont val="Calibri"/>
        <family val="2"/>
        <scheme val="minor"/>
      </rPr>
      <t>pear</t>
    </r>
  </si>
  <si>
    <r>
      <t xml:space="preserve">MLF </t>
    </r>
    <r>
      <rPr>
        <vertAlign val="subscript"/>
        <sz val="11"/>
        <rFont val="Calibri"/>
        <family val="2"/>
        <scheme val="minor"/>
      </rPr>
      <t>peas</t>
    </r>
  </si>
  <si>
    <r>
      <t xml:space="preserve">MLF </t>
    </r>
    <r>
      <rPr>
        <vertAlign val="subscript"/>
        <sz val="11"/>
        <rFont val="Calibri"/>
        <family val="2"/>
        <scheme val="minor"/>
      </rPr>
      <t>potato</t>
    </r>
  </si>
  <si>
    <r>
      <t xml:space="preserve">MLF </t>
    </r>
    <r>
      <rPr>
        <vertAlign val="subscript"/>
        <sz val="11"/>
        <rFont val="Calibri"/>
        <family val="2"/>
        <scheme val="minor"/>
      </rPr>
      <t>pumpkin</t>
    </r>
  </si>
  <si>
    <r>
      <t xml:space="preserve">MLF </t>
    </r>
    <r>
      <rPr>
        <vertAlign val="subscript"/>
        <sz val="11"/>
        <rFont val="Calibri"/>
        <family val="2"/>
        <scheme val="minor"/>
      </rPr>
      <t>snap bean</t>
    </r>
  </si>
  <si>
    <r>
      <t xml:space="preserve">MLF </t>
    </r>
    <r>
      <rPr>
        <vertAlign val="subscript"/>
        <sz val="11"/>
        <rFont val="Calibri"/>
        <family val="2"/>
        <scheme val="minor"/>
      </rPr>
      <t>strawberry</t>
    </r>
  </si>
  <si>
    <r>
      <t xml:space="preserve">MLF </t>
    </r>
    <r>
      <rPr>
        <vertAlign val="subscript"/>
        <sz val="11"/>
        <rFont val="Calibri"/>
        <family val="2"/>
        <scheme val="minor"/>
      </rPr>
      <t>tomato</t>
    </r>
  </si>
  <si>
    <r>
      <t xml:space="preserve">MLF </t>
    </r>
    <r>
      <rPr>
        <vertAlign val="subscript"/>
        <sz val="11"/>
        <rFont val="Calibri"/>
        <family val="2"/>
        <scheme val="minor"/>
      </rPr>
      <t>cereal</t>
    </r>
  </si>
  <si>
    <r>
      <t xml:space="preserve">MLF </t>
    </r>
    <r>
      <rPr>
        <vertAlign val="subscript"/>
        <sz val="11"/>
        <rFont val="Calibri"/>
        <family val="2"/>
        <scheme val="minor"/>
      </rPr>
      <t>rice</t>
    </r>
  </si>
  <si>
    <t>IRAP res-c</t>
  </si>
  <si>
    <t>IRAP res-a</t>
  </si>
  <si>
    <t>IFAP res-adj</t>
  </si>
  <si>
    <t>IRAS res-c</t>
  </si>
  <si>
    <t>IRAS res-a</t>
  </si>
  <si>
    <t>IFAS res-adj</t>
  </si>
  <si>
    <t>IRBT res-c</t>
  </si>
  <si>
    <t>IRBT res-a</t>
  </si>
  <si>
    <t>IFBT res-adj</t>
  </si>
  <si>
    <t>IRBE res-c</t>
  </si>
  <si>
    <t>IRBE res-a</t>
  </si>
  <si>
    <t>IFBE res-adj</t>
  </si>
  <si>
    <t>IRBR res-c</t>
  </si>
  <si>
    <t>IRBR res-a</t>
  </si>
  <si>
    <t>IFBR res-adj</t>
  </si>
  <si>
    <t>IRCB res-c</t>
  </si>
  <si>
    <t>IRCB res-a</t>
  </si>
  <si>
    <t>IFCB res-adj</t>
  </si>
  <si>
    <t>IRCR res-c</t>
  </si>
  <si>
    <t>IRCR res-a</t>
  </si>
  <si>
    <t>IFCR res-adj</t>
  </si>
  <si>
    <t>IRCG res-c</t>
  </si>
  <si>
    <t>IRCG res-a</t>
  </si>
  <si>
    <t>IFCG res-adj</t>
  </si>
  <si>
    <t>IRCI res-c</t>
  </si>
  <si>
    <t>IRCI res-a</t>
  </si>
  <si>
    <t>IFCI res-adj</t>
  </si>
  <si>
    <t>IRCO res-c</t>
  </si>
  <si>
    <t>IRCO res-a</t>
  </si>
  <si>
    <t>IFCO res-adj</t>
  </si>
  <si>
    <t>IRCU res-c</t>
  </si>
  <si>
    <t>IRCU res-a</t>
  </si>
  <si>
    <t>IFCU res-adj</t>
  </si>
  <si>
    <t>IRLE res-c</t>
  </si>
  <si>
    <t>IRLE res-a</t>
  </si>
  <si>
    <t>IFLE res-adj</t>
  </si>
  <si>
    <t>IRLI res-c</t>
  </si>
  <si>
    <t>IRLI res-a</t>
  </si>
  <si>
    <t>IFLI res-adj</t>
  </si>
  <si>
    <t>IROK res-c</t>
  </si>
  <si>
    <t>IROK res-a</t>
  </si>
  <si>
    <t>IFOK res-adj</t>
  </si>
  <si>
    <t>IRON res-c</t>
  </si>
  <si>
    <t>IRON res-a</t>
  </si>
  <si>
    <t>IFON res-adj</t>
  </si>
  <si>
    <t>IRPC res-c</t>
  </si>
  <si>
    <t>IRPC res-a</t>
  </si>
  <si>
    <t>IFPC res-adj</t>
  </si>
  <si>
    <t>IRPE res-c</t>
  </si>
  <si>
    <t>IRPE res-a</t>
  </si>
  <si>
    <t>IFPE res-adj</t>
  </si>
  <si>
    <t>IRPT res-c</t>
  </si>
  <si>
    <t>IRPT res-a</t>
  </si>
  <si>
    <t>IFPT res-adj</t>
  </si>
  <si>
    <t>IRPU res-c</t>
  </si>
  <si>
    <t>IRPU res-a</t>
  </si>
  <si>
    <t>IFPU res-adj</t>
  </si>
  <si>
    <t>IRRI res-c</t>
  </si>
  <si>
    <t>IRRI res-a</t>
  </si>
  <si>
    <t>IFRI res-adj</t>
  </si>
  <si>
    <t>IRSN res-c</t>
  </si>
  <si>
    <t>IRSN res-a</t>
  </si>
  <si>
    <t>IFSN res-adj</t>
  </si>
  <si>
    <t>IRST res-c</t>
  </si>
  <si>
    <t>IRST res-a</t>
  </si>
  <si>
    <t>IFST res-adj</t>
  </si>
  <si>
    <t>IRTO res-c</t>
  </si>
  <si>
    <t>IRTO res-a</t>
  </si>
  <si>
    <t>IFTO res-adj</t>
  </si>
  <si>
    <r>
      <t>IRPR</t>
    </r>
    <r>
      <rPr>
        <vertAlign val="subscript"/>
        <sz val="11"/>
        <color theme="1"/>
        <rFont val="Calibri"/>
        <family val="2"/>
        <scheme val="minor"/>
      </rPr>
      <t xml:space="preserve"> far-c</t>
    </r>
  </si>
  <si>
    <r>
      <t xml:space="preserve">IRPR </t>
    </r>
    <r>
      <rPr>
        <vertAlign val="subscript"/>
        <sz val="11"/>
        <color theme="1"/>
        <rFont val="Calibri"/>
        <family val="2"/>
        <scheme val="minor"/>
      </rPr>
      <t>far-a</t>
    </r>
  </si>
  <si>
    <r>
      <t xml:space="preserve">IFPR </t>
    </r>
    <r>
      <rPr>
        <vertAlign val="subscript"/>
        <sz val="11"/>
        <color theme="1"/>
        <rFont val="Calibri"/>
        <family val="2"/>
        <scheme val="minor"/>
      </rPr>
      <t>far-adj</t>
    </r>
  </si>
  <si>
    <t>IRPR res-c</t>
  </si>
  <si>
    <t>IRPR res-a</t>
  </si>
  <si>
    <t>IFPR res-adj</t>
  </si>
  <si>
    <t xml:space="preserve"> Farmer Produce</t>
  </si>
  <si>
    <t>Farmer Animal Products</t>
  </si>
  <si>
    <t>far_prod_ing_tot</t>
  </si>
  <si>
    <t>res_prod_ing_tot</t>
  </si>
  <si>
    <t>res_apple</t>
  </si>
  <si>
    <t>res_beet</t>
  </si>
  <si>
    <t>res_berry</t>
  </si>
  <si>
    <t>res_broc</t>
  </si>
  <si>
    <t>res_aspar</t>
  </si>
  <si>
    <t>res_cabb</t>
  </si>
  <si>
    <t>res_carr</t>
  </si>
  <si>
    <t>res_citrus</t>
  </si>
  <si>
    <t>res_corn</t>
  </si>
  <si>
    <t>res_cucum</t>
  </si>
  <si>
    <t>res_lett</t>
  </si>
  <si>
    <t>res_lima</t>
  </si>
  <si>
    <t>res_okra</t>
  </si>
  <si>
    <t>res_onion</t>
  </si>
  <si>
    <t>res_peach</t>
  </si>
  <si>
    <t>res_pear</t>
  </si>
  <si>
    <t>res_pea</t>
  </si>
  <si>
    <t>res_potat</t>
  </si>
  <si>
    <t>res_pump</t>
  </si>
  <si>
    <t>res_snap</t>
  </si>
  <si>
    <t>res_straw</t>
  </si>
  <si>
    <t>res_tom</t>
  </si>
  <si>
    <t>res_rice</t>
  </si>
  <si>
    <t>far_apple</t>
  </si>
  <si>
    <t>far_aspar</t>
  </si>
  <si>
    <t>far_beet</t>
  </si>
  <si>
    <t>far_berry</t>
  </si>
  <si>
    <t>far_broc</t>
  </si>
  <si>
    <t>far_cabb</t>
  </si>
  <si>
    <t>far_carr</t>
  </si>
  <si>
    <t>far_citrus</t>
  </si>
  <si>
    <t>far_corn</t>
  </si>
  <si>
    <t>far_cucum</t>
  </si>
  <si>
    <t>far_lett</t>
  </si>
  <si>
    <t>far_lima</t>
  </si>
  <si>
    <t>far_okra</t>
  </si>
  <si>
    <t>far_onion</t>
  </si>
  <si>
    <t>far_peach</t>
  </si>
  <si>
    <t>far_pear</t>
  </si>
  <si>
    <t>far_pea</t>
  </si>
  <si>
    <t>far_potat</t>
  </si>
  <si>
    <t>far_pump</t>
  </si>
  <si>
    <t>far_snap</t>
  </si>
  <si>
    <t>far_straw</t>
  </si>
  <si>
    <t>far_tom</t>
  </si>
  <si>
    <t>far_rice</t>
  </si>
  <si>
    <t>far_grain</t>
  </si>
  <si>
    <r>
      <t xml:space="preserve">CF </t>
    </r>
    <r>
      <rPr>
        <vertAlign val="subscript"/>
        <sz val="11"/>
        <rFont val="Calibri"/>
        <family val="2"/>
        <scheme val="minor"/>
      </rPr>
      <t>apple</t>
    </r>
  </si>
  <si>
    <r>
      <t xml:space="preserve">CF </t>
    </r>
    <r>
      <rPr>
        <vertAlign val="subscript"/>
        <sz val="11"/>
        <rFont val="Calibri"/>
        <family val="2"/>
        <scheme val="minor"/>
      </rPr>
      <t>asparagus</t>
    </r>
  </si>
  <si>
    <r>
      <t xml:space="preserve">CF </t>
    </r>
    <r>
      <rPr>
        <vertAlign val="subscript"/>
        <sz val="11"/>
        <rFont val="Calibri"/>
        <family val="2"/>
        <scheme val="minor"/>
      </rPr>
      <t>beet</t>
    </r>
  </si>
  <si>
    <r>
      <t xml:space="preserve">CF </t>
    </r>
    <r>
      <rPr>
        <vertAlign val="subscript"/>
        <sz val="11"/>
        <rFont val="Calibri"/>
        <family val="2"/>
        <scheme val="minor"/>
      </rPr>
      <t>berries</t>
    </r>
  </si>
  <si>
    <r>
      <t xml:space="preserve">CF </t>
    </r>
    <r>
      <rPr>
        <vertAlign val="subscript"/>
        <sz val="11"/>
        <rFont val="Calibri"/>
        <family val="2"/>
        <scheme val="minor"/>
      </rPr>
      <t>broccoli</t>
    </r>
  </si>
  <si>
    <r>
      <t xml:space="preserve">CF </t>
    </r>
    <r>
      <rPr>
        <vertAlign val="subscript"/>
        <sz val="11"/>
        <rFont val="Calibri"/>
        <family val="2"/>
        <scheme val="minor"/>
      </rPr>
      <t>cabbage</t>
    </r>
  </si>
  <si>
    <r>
      <t xml:space="preserve">CF </t>
    </r>
    <r>
      <rPr>
        <vertAlign val="subscript"/>
        <sz val="11"/>
        <rFont val="Calibri"/>
        <family val="2"/>
        <scheme val="minor"/>
      </rPr>
      <t>carrot</t>
    </r>
  </si>
  <si>
    <r>
      <t xml:space="preserve">CF </t>
    </r>
    <r>
      <rPr>
        <vertAlign val="subscript"/>
        <sz val="11"/>
        <rFont val="Calibri"/>
        <family val="2"/>
        <scheme val="minor"/>
      </rPr>
      <t>citrus</t>
    </r>
  </si>
  <si>
    <r>
      <t xml:space="preserve">CF </t>
    </r>
    <r>
      <rPr>
        <vertAlign val="subscript"/>
        <sz val="11"/>
        <rFont val="Calibri"/>
        <family val="2"/>
        <scheme val="minor"/>
      </rPr>
      <t>corn</t>
    </r>
  </si>
  <si>
    <r>
      <t xml:space="preserve">CF </t>
    </r>
    <r>
      <rPr>
        <vertAlign val="subscript"/>
        <sz val="11"/>
        <rFont val="Calibri"/>
        <family val="2"/>
        <scheme val="minor"/>
      </rPr>
      <t>cucumber</t>
    </r>
  </si>
  <si>
    <r>
      <t xml:space="preserve">CF </t>
    </r>
    <r>
      <rPr>
        <vertAlign val="subscript"/>
        <sz val="11"/>
        <rFont val="Calibri"/>
        <family val="2"/>
        <scheme val="minor"/>
      </rPr>
      <t>lettuce</t>
    </r>
  </si>
  <si>
    <r>
      <t xml:space="preserve">CF </t>
    </r>
    <r>
      <rPr>
        <vertAlign val="subscript"/>
        <sz val="11"/>
        <rFont val="Calibri"/>
        <family val="2"/>
        <scheme val="minor"/>
      </rPr>
      <t>lima bean</t>
    </r>
  </si>
  <si>
    <r>
      <t xml:space="preserve">CF </t>
    </r>
    <r>
      <rPr>
        <vertAlign val="subscript"/>
        <sz val="11"/>
        <rFont val="Calibri"/>
        <family val="2"/>
        <scheme val="minor"/>
      </rPr>
      <t>okra</t>
    </r>
  </si>
  <si>
    <r>
      <t xml:space="preserve">CF </t>
    </r>
    <r>
      <rPr>
        <vertAlign val="subscript"/>
        <sz val="11"/>
        <rFont val="Calibri"/>
        <family val="2"/>
        <scheme val="minor"/>
      </rPr>
      <t>onion</t>
    </r>
  </si>
  <si>
    <r>
      <t xml:space="preserve">CF </t>
    </r>
    <r>
      <rPr>
        <vertAlign val="subscript"/>
        <sz val="11"/>
        <rFont val="Calibri"/>
        <family val="2"/>
        <scheme val="minor"/>
      </rPr>
      <t>peach</t>
    </r>
  </si>
  <si>
    <r>
      <t xml:space="preserve">CF </t>
    </r>
    <r>
      <rPr>
        <vertAlign val="subscript"/>
        <sz val="11"/>
        <rFont val="Calibri"/>
        <family val="2"/>
        <scheme val="minor"/>
      </rPr>
      <t>pear</t>
    </r>
  </si>
  <si>
    <r>
      <t xml:space="preserve">CF </t>
    </r>
    <r>
      <rPr>
        <vertAlign val="subscript"/>
        <sz val="11"/>
        <rFont val="Calibri"/>
        <family val="2"/>
        <scheme val="minor"/>
      </rPr>
      <t>peas</t>
    </r>
  </si>
  <si>
    <r>
      <t xml:space="preserve">CF </t>
    </r>
    <r>
      <rPr>
        <vertAlign val="subscript"/>
        <sz val="11"/>
        <rFont val="Calibri"/>
        <family val="2"/>
        <scheme val="minor"/>
      </rPr>
      <t>potato</t>
    </r>
  </si>
  <si>
    <r>
      <t xml:space="preserve">CF </t>
    </r>
    <r>
      <rPr>
        <vertAlign val="subscript"/>
        <sz val="11"/>
        <rFont val="Calibri"/>
        <family val="2"/>
        <scheme val="minor"/>
      </rPr>
      <t>pumpkin</t>
    </r>
  </si>
  <si>
    <r>
      <t xml:space="preserve">CF </t>
    </r>
    <r>
      <rPr>
        <vertAlign val="subscript"/>
        <sz val="11"/>
        <rFont val="Calibri"/>
        <family val="2"/>
        <scheme val="minor"/>
      </rPr>
      <t>snap bean</t>
    </r>
  </si>
  <si>
    <r>
      <t xml:space="preserve">CF </t>
    </r>
    <r>
      <rPr>
        <vertAlign val="subscript"/>
        <sz val="11"/>
        <rFont val="Calibri"/>
        <family val="2"/>
        <scheme val="minor"/>
      </rPr>
      <t>strawberry</t>
    </r>
  </si>
  <si>
    <r>
      <t xml:space="preserve">CF </t>
    </r>
    <r>
      <rPr>
        <vertAlign val="subscript"/>
        <sz val="11"/>
        <rFont val="Calibri"/>
        <family val="2"/>
        <scheme val="minor"/>
      </rPr>
      <t>tomato</t>
    </r>
  </si>
  <si>
    <r>
      <t xml:space="preserve">CF </t>
    </r>
    <r>
      <rPr>
        <vertAlign val="subscript"/>
        <sz val="11"/>
        <rFont val="Calibri"/>
        <family val="2"/>
        <scheme val="minor"/>
      </rPr>
      <t>cereal</t>
    </r>
  </si>
  <si>
    <r>
      <t xml:space="preserve">CF </t>
    </r>
    <r>
      <rPr>
        <vertAlign val="subscript"/>
        <sz val="11"/>
        <rFont val="Calibri"/>
        <family val="2"/>
        <scheme val="minor"/>
      </rPr>
      <t>rice</t>
    </r>
  </si>
  <si>
    <t>res_cereal</t>
  </si>
  <si>
    <t>res_soil_prod_ing_tot</t>
  </si>
  <si>
    <t>far_soil_prod_ing_tot</t>
  </si>
  <si>
    <t>bvwet_apple</t>
  </si>
  <si>
    <t>bvwet_aspar</t>
  </si>
  <si>
    <t>bvwet_beet</t>
  </si>
  <si>
    <t>bvwet_berry</t>
  </si>
  <si>
    <t>bvwet_broc</t>
  </si>
  <si>
    <t>bvwet_cabb</t>
  </si>
  <si>
    <t>bvwet_carr</t>
  </si>
  <si>
    <t>bvwet_citrus</t>
  </si>
  <si>
    <t>bvwet_corn</t>
  </si>
  <si>
    <t>bvwet_cucum</t>
  </si>
  <si>
    <t>bvwet_lett</t>
  </si>
  <si>
    <t>bvwet_lima</t>
  </si>
  <si>
    <t>bvwet_okra</t>
  </si>
  <si>
    <t>bvwet_onion</t>
  </si>
  <si>
    <t>bvwet_peach</t>
  </si>
  <si>
    <t>bvwet_pear</t>
  </si>
  <si>
    <t>bvwet_pea</t>
  </si>
  <si>
    <t>bvwet_potat</t>
  </si>
  <si>
    <t>bvwet_pump</t>
  </si>
  <si>
    <t>bvwet_snap</t>
  </si>
  <si>
    <t>bvwet_straw</t>
  </si>
  <si>
    <t>bvwet_tom</t>
  </si>
  <si>
    <t>bvwet_rice</t>
  </si>
  <si>
    <t>IRRrup_apple</t>
  </si>
  <si>
    <t>IRRrup_aspar</t>
  </si>
  <si>
    <t>IRRrup_beet</t>
  </si>
  <si>
    <t>IRRrup_berry</t>
  </si>
  <si>
    <t>IRRrup_broc</t>
  </si>
  <si>
    <t>IRRrup_cabb</t>
  </si>
  <si>
    <t>IRRrup_carr</t>
  </si>
  <si>
    <t>IRRrup_citrus</t>
  </si>
  <si>
    <t>IRRrup_corn</t>
  </si>
  <si>
    <t>IRRrup_cucum</t>
  </si>
  <si>
    <t>IRRrup_lett</t>
  </si>
  <si>
    <t>IRRrup_lima</t>
  </si>
  <si>
    <t>IRRrup_okra</t>
  </si>
  <si>
    <t>IRRrup_onion</t>
  </si>
  <si>
    <t>IRRrup_peach</t>
  </si>
  <si>
    <t>IRRrup_pear</t>
  </si>
  <si>
    <t>IRRrup_pea</t>
  </si>
  <si>
    <t>IRRrup_potat</t>
  </si>
  <si>
    <t>IRRrup_pump</t>
  </si>
  <si>
    <t>IRRrup_snap</t>
  </si>
  <si>
    <t>IRRrup_straw</t>
  </si>
  <si>
    <t>IRRrup_tom</t>
  </si>
  <si>
    <t>IRRrup_rice</t>
  </si>
  <si>
    <t>IRRres_apple</t>
  </si>
  <si>
    <t>IRRres_aspar</t>
  </si>
  <si>
    <t>IRRres_beet</t>
  </si>
  <si>
    <t>IRRres_berry</t>
  </si>
  <si>
    <t>IRRres_broc</t>
  </si>
  <si>
    <t>IRRres_cabb</t>
  </si>
  <si>
    <t>IRRres_carr</t>
  </si>
  <si>
    <t>IRRres_citrus</t>
  </si>
  <si>
    <t>IRRres_corn</t>
  </si>
  <si>
    <t>IRRres_cucum</t>
  </si>
  <si>
    <t>IRRres_lett</t>
  </si>
  <si>
    <t>IRRres_lima</t>
  </si>
  <si>
    <t>IRRres_okra</t>
  </si>
  <si>
    <t>IRRres_onion</t>
  </si>
  <si>
    <t>IRRres_peach</t>
  </si>
  <si>
    <t>IRRres_pear</t>
  </si>
  <si>
    <t>IRRres_pea</t>
  </si>
  <si>
    <t>IRRres_potat</t>
  </si>
  <si>
    <t>IRRres_pump</t>
  </si>
  <si>
    <t>IRRres_snap</t>
  </si>
  <si>
    <t>IRRres_straw</t>
  </si>
  <si>
    <t>IRRres_tom</t>
  </si>
  <si>
    <t>IRRres_rice</t>
  </si>
  <si>
    <t>IRRdep_apple</t>
  </si>
  <si>
    <t>IRRdep_aspar</t>
  </si>
  <si>
    <t>IRRdep_beet</t>
  </si>
  <si>
    <t>IRRdep_berry</t>
  </si>
  <si>
    <t>IRRdep_broc</t>
  </si>
  <si>
    <t>IRRdep_cabb</t>
  </si>
  <si>
    <t>IRRdep_carr</t>
  </si>
  <si>
    <t>IRRdep_citrus</t>
  </si>
  <si>
    <t>IRRdep_corn</t>
  </si>
  <si>
    <t>IRRdep_cucum</t>
  </si>
  <si>
    <t>IRRdep_lett</t>
  </si>
  <si>
    <t>IRRdep_lima</t>
  </si>
  <si>
    <t>IRRdep_okra</t>
  </si>
  <si>
    <t>IRRdep_onion</t>
  </si>
  <si>
    <t>IRRdep_peach</t>
  </si>
  <si>
    <t>IRRdep_pear</t>
  </si>
  <si>
    <t>IRRdep_pea</t>
  </si>
  <si>
    <t>IRRdep_potat</t>
  </si>
  <si>
    <t>IRRdep_pump</t>
  </si>
  <si>
    <t>IRRdep_snap</t>
  </si>
  <si>
    <t>IRRdep_straw</t>
  </si>
  <si>
    <t>IRRdep_tom</t>
  </si>
  <si>
    <t>IRRdep_rice</t>
  </si>
  <si>
    <t>bvwet_cereal</t>
  </si>
  <si>
    <t>IRRrup_cereal</t>
  </si>
  <si>
    <t>IRRres_cereal</t>
  </si>
  <si>
    <t>IRRdep_cereal</t>
  </si>
  <si>
    <t>wat_res_prod_ing_tot</t>
  </si>
  <si>
    <t>wat_far_prod_ing_tot</t>
  </si>
  <si>
    <r>
      <t xml:space="preserve">Q </t>
    </r>
    <r>
      <rPr>
        <vertAlign val="subscript"/>
        <sz val="11"/>
        <rFont val="Calibri"/>
        <family val="2"/>
        <scheme val="minor"/>
      </rPr>
      <t>w-goat</t>
    </r>
  </si>
  <si>
    <r>
      <t xml:space="preserve">Q </t>
    </r>
    <r>
      <rPr>
        <vertAlign val="subscript"/>
        <sz val="11"/>
        <rFont val="Calibri"/>
        <family val="2"/>
        <scheme val="minor"/>
      </rPr>
      <t>p-goat</t>
    </r>
  </si>
  <si>
    <r>
      <t xml:space="preserve">Q </t>
    </r>
    <r>
      <rPr>
        <vertAlign val="subscript"/>
        <sz val="11"/>
        <rFont val="Calibri"/>
        <family val="2"/>
        <scheme val="minor"/>
      </rPr>
      <t>s-goat</t>
    </r>
  </si>
  <si>
    <r>
      <t xml:space="preserve">f </t>
    </r>
    <r>
      <rPr>
        <vertAlign val="subscript"/>
        <sz val="11"/>
        <rFont val="Calibri"/>
        <family val="2"/>
        <scheme val="minor"/>
      </rPr>
      <t>p-goat</t>
    </r>
  </si>
  <si>
    <r>
      <t xml:space="preserve">f </t>
    </r>
    <r>
      <rPr>
        <vertAlign val="subscript"/>
        <sz val="11"/>
        <rFont val="Calibri"/>
        <family val="2"/>
        <scheme val="minor"/>
      </rPr>
      <t>s-goat</t>
    </r>
  </si>
  <si>
    <r>
      <t xml:space="preserve">Q </t>
    </r>
    <r>
      <rPr>
        <vertAlign val="subscript"/>
        <sz val="11"/>
        <rFont val="Calibri"/>
        <family val="2"/>
        <scheme val="minor"/>
      </rPr>
      <t>w-goat-milk</t>
    </r>
  </si>
  <si>
    <r>
      <t xml:space="preserve">Q </t>
    </r>
    <r>
      <rPr>
        <vertAlign val="subscript"/>
        <sz val="11"/>
        <rFont val="Calibri"/>
        <family val="2"/>
        <scheme val="minor"/>
      </rPr>
      <t>p-goat-milk</t>
    </r>
  </si>
  <si>
    <r>
      <t xml:space="preserve">Q </t>
    </r>
    <r>
      <rPr>
        <vertAlign val="subscript"/>
        <sz val="11"/>
        <rFont val="Calibri"/>
        <family val="2"/>
        <scheme val="minor"/>
      </rPr>
      <t>s-goat-milk</t>
    </r>
  </si>
  <si>
    <r>
      <t xml:space="preserve">f </t>
    </r>
    <r>
      <rPr>
        <vertAlign val="subscript"/>
        <sz val="11"/>
        <rFont val="Calibri"/>
        <family val="2"/>
        <scheme val="minor"/>
      </rPr>
      <t>p-goat-milk</t>
    </r>
  </si>
  <si>
    <r>
      <t xml:space="preserve">f </t>
    </r>
    <r>
      <rPr>
        <vertAlign val="subscript"/>
        <sz val="11"/>
        <rFont val="Calibri"/>
        <family val="2"/>
        <scheme val="minor"/>
      </rPr>
      <t>s-goat-milk</t>
    </r>
  </si>
  <si>
    <r>
      <t xml:space="preserve">Q </t>
    </r>
    <r>
      <rPr>
        <vertAlign val="subscript"/>
        <sz val="11"/>
        <rFont val="Calibri"/>
        <family val="2"/>
        <scheme val="minor"/>
      </rPr>
      <t>w-sheep-milk</t>
    </r>
  </si>
  <si>
    <r>
      <t xml:space="preserve">Q </t>
    </r>
    <r>
      <rPr>
        <vertAlign val="subscript"/>
        <sz val="11"/>
        <rFont val="Calibri"/>
        <family val="2"/>
        <scheme val="minor"/>
      </rPr>
      <t>p-sheep-milk</t>
    </r>
  </si>
  <si>
    <r>
      <t xml:space="preserve">Q </t>
    </r>
    <r>
      <rPr>
        <vertAlign val="subscript"/>
        <sz val="11"/>
        <rFont val="Calibri"/>
        <family val="2"/>
        <scheme val="minor"/>
      </rPr>
      <t>s-sheep-milk</t>
    </r>
  </si>
  <si>
    <r>
      <t xml:space="preserve">f </t>
    </r>
    <r>
      <rPr>
        <vertAlign val="subscript"/>
        <sz val="11"/>
        <rFont val="Calibri"/>
        <family val="2"/>
        <scheme val="minor"/>
      </rPr>
      <t>p-sheep-milk</t>
    </r>
  </si>
  <si>
    <r>
      <t xml:space="preserve">f </t>
    </r>
    <r>
      <rPr>
        <vertAlign val="subscript"/>
        <sz val="11"/>
        <rFont val="Calibri"/>
        <family val="2"/>
        <scheme val="minor"/>
      </rPr>
      <t>s-sheep-milk</t>
    </r>
  </si>
  <si>
    <r>
      <t xml:space="preserve">CF </t>
    </r>
    <r>
      <rPr>
        <vertAlign val="subscript"/>
        <sz val="11"/>
        <rFont val="Calibri"/>
        <family val="2"/>
        <scheme val="minor"/>
      </rPr>
      <t>far-egg</t>
    </r>
  </si>
  <si>
    <r>
      <t xml:space="preserve">s_CF </t>
    </r>
    <r>
      <rPr>
        <vertAlign val="subscript"/>
        <sz val="11"/>
        <rFont val="Calibri"/>
        <family val="2"/>
        <scheme val="minor"/>
      </rPr>
      <t>apple</t>
    </r>
  </si>
  <si>
    <r>
      <t xml:space="preserve">s_CF </t>
    </r>
    <r>
      <rPr>
        <vertAlign val="subscript"/>
        <sz val="11"/>
        <rFont val="Calibri"/>
        <family val="2"/>
        <scheme val="minor"/>
      </rPr>
      <t>asparagus</t>
    </r>
  </si>
  <si>
    <r>
      <t xml:space="preserve">s_CF </t>
    </r>
    <r>
      <rPr>
        <vertAlign val="subscript"/>
        <sz val="11"/>
        <rFont val="Calibri"/>
        <family val="2"/>
        <scheme val="minor"/>
      </rPr>
      <t>beet</t>
    </r>
  </si>
  <si>
    <r>
      <t xml:space="preserve">s_CF </t>
    </r>
    <r>
      <rPr>
        <vertAlign val="subscript"/>
        <sz val="11"/>
        <rFont val="Calibri"/>
        <family val="2"/>
        <scheme val="minor"/>
      </rPr>
      <t>berries</t>
    </r>
  </si>
  <si>
    <r>
      <t xml:space="preserve">s_CF </t>
    </r>
    <r>
      <rPr>
        <vertAlign val="subscript"/>
        <sz val="11"/>
        <rFont val="Calibri"/>
        <family val="2"/>
        <scheme val="minor"/>
      </rPr>
      <t>broccoli</t>
    </r>
  </si>
  <si>
    <r>
      <t xml:space="preserve">s_CF </t>
    </r>
    <r>
      <rPr>
        <vertAlign val="subscript"/>
        <sz val="11"/>
        <rFont val="Calibri"/>
        <family val="2"/>
        <scheme val="minor"/>
      </rPr>
      <t>cabbage</t>
    </r>
  </si>
  <si>
    <r>
      <t xml:space="preserve">s_CF </t>
    </r>
    <r>
      <rPr>
        <vertAlign val="subscript"/>
        <sz val="11"/>
        <rFont val="Calibri"/>
        <family val="2"/>
        <scheme val="minor"/>
      </rPr>
      <t>carrot</t>
    </r>
  </si>
  <si>
    <r>
      <t xml:space="preserve">s_CF </t>
    </r>
    <r>
      <rPr>
        <vertAlign val="subscript"/>
        <sz val="11"/>
        <rFont val="Calibri"/>
        <family val="2"/>
        <scheme val="minor"/>
      </rPr>
      <t>citrus</t>
    </r>
  </si>
  <si>
    <r>
      <t xml:space="preserve">s_CF </t>
    </r>
    <r>
      <rPr>
        <vertAlign val="subscript"/>
        <sz val="11"/>
        <rFont val="Calibri"/>
        <family val="2"/>
        <scheme val="minor"/>
      </rPr>
      <t>corn</t>
    </r>
  </si>
  <si>
    <r>
      <t xml:space="preserve">s_CF </t>
    </r>
    <r>
      <rPr>
        <vertAlign val="subscript"/>
        <sz val="11"/>
        <rFont val="Calibri"/>
        <family val="2"/>
        <scheme val="minor"/>
      </rPr>
      <t>cucumber</t>
    </r>
  </si>
  <si>
    <r>
      <t xml:space="preserve">s_CF </t>
    </r>
    <r>
      <rPr>
        <vertAlign val="subscript"/>
        <sz val="11"/>
        <rFont val="Calibri"/>
        <family val="2"/>
        <scheme val="minor"/>
      </rPr>
      <t>lettuce</t>
    </r>
  </si>
  <si>
    <r>
      <t xml:space="preserve">s_CF </t>
    </r>
    <r>
      <rPr>
        <vertAlign val="subscript"/>
        <sz val="11"/>
        <rFont val="Calibri"/>
        <family val="2"/>
        <scheme val="minor"/>
      </rPr>
      <t>lima bean</t>
    </r>
  </si>
  <si>
    <r>
      <t xml:space="preserve">s_CF </t>
    </r>
    <r>
      <rPr>
        <vertAlign val="subscript"/>
        <sz val="11"/>
        <rFont val="Calibri"/>
        <family val="2"/>
        <scheme val="minor"/>
      </rPr>
      <t>okra</t>
    </r>
  </si>
  <si>
    <r>
      <t xml:space="preserve">s_CF </t>
    </r>
    <r>
      <rPr>
        <vertAlign val="subscript"/>
        <sz val="11"/>
        <rFont val="Calibri"/>
        <family val="2"/>
        <scheme val="minor"/>
      </rPr>
      <t>onion</t>
    </r>
  </si>
  <si>
    <r>
      <t xml:space="preserve">s_CF </t>
    </r>
    <r>
      <rPr>
        <vertAlign val="subscript"/>
        <sz val="11"/>
        <rFont val="Calibri"/>
        <family val="2"/>
        <scheme val="minor"/>
      </rPr>
      <t>peach</t>
    </r>
  </si>
  <si>
    <r>
      <t xml:space="preserve">s_CF </t>
    </r>
    <r>
      <rPr>
        <vertAlign val="subscript"/>
        <sz val="11"/>
        <rFont val="Calibri"/>
        <family val="2"/>
        <scheme val="minor"/>
      </rPr>
      <t>pear</t>
    </r>
  </si>
  <si>
    <r>
      <t xml:space="preserve">s_CF </t>
    </r>
    <r>
      <rPr>
        <vertAlign val="subscript"/>
        <sz val="11"/>
        <rFont val="Calibri"/>
        <family val="2"/>
        <scheme val="minor"/>
      </rPr>
      <t>peas</t>
    </r>
  </si>
  <si>
    <r>
      <t xml:space="preserve">s_CF </t>
    </r>
    <r>
      <rPr>
        <vertAlign val="subscript"/>
        <sz val="11"/>
        <rFont val="Calibri"/>
        <family val="2"/>
        <scheme val="minor"/>
      </rPr>
      <t>potato</t>
    </r>
  </si>
  <si>
    <r>
      <t xml:space="preserve">s_CF </t>
    </r>
    <r>
      <rPr>
        <vertAlign val="subscript"/>
        <sz val="11"/>
        <rFont val="Calibri"/>
        <family val="2"/>
        <scheme val="minor"/>
      </rPr>
      <t>pumpkin</t>
    </r>
  </si>
  <si>
    <r>
      <t xml:space="preserve">s_CF </t>
    </r>
    <r>
      <rPr>
        <vertAlign val="subscript"/>
        <sz val="11"/>
        <rFont val="Calibri"/>
        <family val="2"/>
        <scheme val="minor"/>
      </rPr>
      <t>snap bean</t>
    </r>
  </si>
  <si>
    <r>
      <t xml:space="preserve">s_CF </t>
    </r>
    <r>
      <rPr>
        <vertAlign val="subscript"/>
        <sz val="11"/>
        <rFont val="Calibri"/>
        <family val="2"/>
        <scheme val="minor"/>
      </rPr>
      <t>strawberry</t>
    </r>
  </si>
  <si>
    <r>
      <t xml:space="preserve">s_CF </t>
    </r>
    <r>
      <rPr>
        <vertAlign val="subscript"/>
        <sz val="11"/>
        <rFont val="Calibri"/>
        <family val="2"/>
        <scheme val="minor"/>
      </rPr>
      <t>tomato</t>
    </r>
  </si>
  <si>
    <r>
      <t xml:space="preserve">s_CF </t>
    </r>
    <r>
      <rPr>
        <vertAlign val="subscript"/>
        <sz val="11"/>
        <rFont val="Calibri"/>
        <family val="2"/>
        <scheme val="minor"/>
      </rPr>
      <t>cereal</t>
    </r>
  </si>
  <si>
    <r>
      <t xml:space="preserve">s_CF </t>
    </r>
    <r>
      <rPr>
        <vertAlign val="subscript"/>
        <sz val="11"/>
        <rFont val="Calibri"/>
        <family val="2"/>
        <scheme val="minor"/>
      </rPr>
      <t>rice</t>
    </r>
  </si>
  <si>
    <r>
      <t>s_IRAP</t>
    </r>
    <r>
      <rPr>
        <vertAlign val="subscript"/>
        <sz val="11"/>
        <color theme="1"/>
        <rFont val="Calibri"/>
        <family val="2"/>
        <scheme val="minor"/>
      </rPr>
      <t xml:space="preserve"> far-c</t>
    </r>
  </si>
  <si>
    <r>
      <t xml:space="preserve">s_IRAP </t>
    </r>
    <r>
      <rPr>
        <vertAlign val="subscript"/>
        <sz val="11"/>
        <color theme="1"/>
        <rFont val="Calibri"/>
        <family val="2"/>
        <scheme val="minor"/>
      </rPr>
      <t>far-a</t>
    </r>
  </si>
  <si>
    <r>
      <t xml:space="preserve">s_IFAP </t>
    </r>
    <r>
      <rPr>
        <vertAlign val="subscript"/>
        <sz val="11"/>
        <color theme="1"/>
        <rFont val="Calibri"/>
        <family val="2"/>
        <scheme val="minor"/>
      </rPr>
      <t>far-adj</t>
    </r>
  </si>
  <si>
    <r>
      <t>s_IRAS</t>
    </r>
    <r>
      <rPr>
        <vertAlign val="subscript"/>
        <sz val="11"/>
        <color theme="1"/>
        <rFont val="Calibri"/>
        <family val="2"/>
        <scheme val="minor"/>
      </rPr>
      <t xml:space="preserve"> far-c</t>
    </r>
  </si>
  <si>
    <r>
      <t xml:space="preserve">s_IRAS </t>
    </r>
    <r>
      <rPr>
        <vertAlign val="subscript"/>
        <sz val="11"/>
        <color theme="1"/>
        <rFont val="Calibri"/>
        <family val="2"/>
        <scheme val="minor"/>
      </rPr>
      <t>far-a</t>
    </r>
  </si>
  <si>
    <r>
      <t xml:space="preserve">s_IFAS </t>
    </r>
    <r>
      <rPr>
        <vertAlign val="subscript"/>
        <sz val="11"/>
        <color theme="1"/>
        <rFont val="Calibri"/>
        <family val="2"/>
        <scheme val="minor"/>
      </rPr>
      <t>far-adj</t>
    </r>
  </si>
  <si>
    <r>
      <t>s_IRBT</t>
    </r>
    <r>
      <rPr>
        <vertAlign val="subscript"/>
        <sz val="11"/>
        <color theme="1"/>
        <rFont val="Calibri"/>
        <family val="2"/>
        <scheme val="minor"/>
      </rPr>
      <t xml:space="preserve"> far-c</t>
    </r>
  </si>
  <si>
    <r>
      <t xml:space="preserve">s_IRBT </t>
    </r>
    <r>
      <rPr>
        <vertAlign val="subscript"/>
        <sz val="11"/>
        <color theme="1"/>
        <rFont val="Calibri"/>
        <family val="2"/>
        <scheme val="minor"/>
      </rPr>
      <t>far-a</t>
    </r>
  </si>
  <si>
    <r>
      <t xml:space="preserve">s_IFBT </t>
    </r>
    <r>
      <rPr>
        <vertAlign val="subscript"/>
        <sz val="11"/>
        <color theme="1"/>
        <rFont val="Calibri"/>
        <family val="2"/>
        <scheme val="minor"/>
      </rPr>
      <t>far-adj</t>
    </r>
  </si>
  <si>
    <r>
      <t>s_IRBE</t>
    </r>
    <r>
      <rPr>
        <vertAlign val="subscript"/>
        <sz val="11"/>
        <color theme="1"/>
        <rFont val="Calibri"/>
        <family val="2"/>
        <scheme val="minor"/>
      </rPr>
      <t xml:space="preserve"> far-c</t>
    </r>
  </si>
  <si>
    <r>
      <t xml:space="preserve">s_IRBE </t>
    </r>
    <r>
      <rPr>
        <vertAlign val="subscript"/>
        <sz val="11"/>
        <color theme="1"/>
        <rFont val="Calibri"/>
        <family val="2"/>
        <scheme val="minor"/>
      </rPr>
      <t>far-a</t>
    </r>
  </si>
  <si>
    <r>
      <t xml:space="preserve">s_IFBE </t>
    </r>
    <r>
      <rPr>
        <vertAlign val="subscript"/>
        <sz val="11"/>
        <color theme="1"/>
        <rFont val="Calibri"/>
        <family val="2"/>
        <scheme val="minor"/>
      </rPr>
      <t>far-adj</t>
    </r>
  </si>
  <si>
    <r>
      <t>s_IRBR</t>
    </r>
    <r>
      <rPr>
        <vertAlign val="subscript"/>
        <sz val="11"/>
        <color theme="1"/>
        <rFont val="Calibri"/>
        <family val="2"/>
        <scheme val="minor"/>
      </rPr>
      <t xml:space="preserve"> far-c</t>
    </r>
  </si>
  <si>
    <r>
      <t xml:space="preserve">s_IRBR </t>
    </r>
    <r>
      <rPr>
        <vertAlign val="subscript"/>
        <sz val="11"/>
        <color theme="1"/>
        <rFont val="Calibri"/>
        <family val="2"/>
        <scheme val="minor"/>
      </rPr>
      <t>far-a</t>
    </r>
  </si>
  <si>
    <r>
      <t xml:space="preserve">s_IFBR </t>
    </r>
    <r>
      <rPr>
        <vertAlign val="subscript"/>
        <sz val="11"/>
        <color theme="1"/>
        <rFont val="Calibri"/>
        <family val="2"/>
        <scheme val="minor"/>
      </rPr>
      <t>far-adj</t>
    </r>
  </si>
  <si>
    <r>
      <t>s_IRCB</t>
    </r>
    <r>
      <rPr>
        <vertAlign val="subscript"/>
        <sz val="11"/>
        <color theme="1"/>
        <rFont val="Calibri"/>
        <family val="2"/>
        <scheme val="minor"/>
      </rPr>
      <t xml:space="preserve"> far-c</t>
    </r>
  </si>
  <si>
    <r>
      <t xml:space="preserve">s_IRCB </t>
    </r>
    <r>
      <rPr>
        <vertAlign val="subscript"/>
        <sz val="11"/>
        <color theme="1"/>
        <rFont val="Calibri"/>
        <family val="2"/>
        <scheme val="minor"/>
      </rPr>
      <t>far-a</t>
    </r>
  </si>
  <si>
    <r>
      <t xml:space="preserve">s_IFCB </t>
    </r>
    <r>
      <rPr>
        <vertAlign val="subscript"/>
        <sz val="11"/>
        <color theme="1"/>
        <rFont val="Calibri"/>
        <family val="2"/>
        <scheme val="minor"/>
      </rPr>
      <t>far-adj</t>
    </r>
  </si>
  <si>
    <r>
      <t>s_IRCR</t>
    </r>
    <r>
      <rPr>
        <vertAlign val="subscript"/>
        <sz val="11"/>
        <color theme="1"/>
        <rFont val="Calibri"/>
        <family val="2"/>
        <scheme val="minor"/>
      </rPr>
      <t xml:space="preserve"> far-c</t>
    </r>
  </si>
  <si>
    <r>
      <t xml:space="preserve">s_IRCR </t>
    </r>
    <r>
      <rPr>
        <vertAlign val="subscript"/>
        <sz val="11"/>
        <color theme="1"/>
        <rFont val="Calibri"/>
        <family val="2"/>
        <scheme val="minor"/>
      </rPr>
      <t>far-a</t>
    </r>
  </si>
  <si>
    <r>
      <t xml:space="preserve">s_IFCR </t>
    </r>
    <r>
      <rPr>
        <vertAlign val="subscript"/>
        <sz val="11"/>
        <color theme="1"/>
        <rFont val="Calibri"/>
        <family val="2"/>
        <scheme val="minor"/>
      </rPr>
      <t>far-adj</t>
    </r>
  </si>
  <si>
    <r>
      <t>s_IRCG</t>
    </r>
    <r>
      <rPr>
        <vertAlign val="subscript"/>
        <sz val="11"/>
        <color theme="1"/>
        <rFont val="Calibri"/>
        <family val="2"/>
        <scheme val="minor"/>
      </rPr>
      <t xml:space="preserve"> far-c</t>
    </r>
  </si>
  <si>
    <r>
      <t xml:space="preserve">s_IRCG </t>
    </r>
    <r>
      <rPr>
        <vertAlign val="subscript"/>
        <sz val="11"/>
        <color theme="1"/>
        <rFont val="Calibri"/>
        <family val="2"/>
        <scheme val="minor"/>
      </rPr>
      <t>far-a</t>
    </r>
  </si>
  <si>
    <r>
      <t xml:space="preserve">s_IFCG </t>
    </r>
    <r>
      <rPr>
        <vertAlign val="subscript"/>
        <sz val="11"/>
        <color theme="1"/>
        <rFont val="Calibri"/>
        <family val="2"/>
        <scheme val="minor"/>
      </rPr>
      <t>far-adj</t>
    </r>
  </si>
  <si>
    <r>
      <t>s_IRCI</t>
    </r>
    <r>
      <rPr>
        <vertAlign val="subscript"/>
        <sz val="11"/>
        <color theme="1"/>
        <rFont val="Calibri"/>
        <family val="2"/>
        <scheme val="minor"/>
      </rPr>
      <t xml:space="preserve"> far-c</t>
    </r>
  </si>
  <si>
    <r>
      <t xml:space="preserve">s_IRCI </t>
    </r>
    <r>
      <rPr>
        <vertAlign val="subscript"/>
        <sz val="11"/>
        <color theme="1"/>
        <rFont val="Calibri"/>
        <family val="2"/>
        <scheme val="minor"/>
      </rPr>
      <t>far-a</t>
    </r>
  </si>
  <si>
    <r>
      <t xml:space="preserve">s_IFCI </t>
    </r>
    <r>
      <rPr>
        <vertAlign val="subscript"/>
        <sz val="11"/>
        <color theme="1"/>
        <rFont val="Calibri"/>
        <family val="2"/>
        <scheme val="minor"/>
      </rPr>
      <t>far-adj</t>
    </r>
  </si>
  <si>
    <r>
      <t>s_IRCO</t>
    </r>
    <r>
      <rPr>
        <vertAlign val="subscript"/>
        <sz val="11"/>
        <color theme="1"/>
        <rFont val="Calibri"/>
        <family val="2"/>
        <scheme val="minor"/>
      </rPr>
      <t xml:space="preserve"> far-c</t>
    </r>
  </si>
  <si>
    <r>
      <t xml:space="preserve">s_IRCO </t>
    </r>
    <r>
      <rPr>
        <vertAlign val="subscript"/>
        <sz val="11"/>
        <color theme="1"/>
        <rFont val="Calibri"/>
        <family val="2"/>
        <scheme val="minor"/>
      </rPr>
      <t>far-a</t>
    </r>
  </si>
  <si>
    <r>
      <t xml:space="preserve">s_IFCO </t>
    </r>
    <r>
      <rPr>
        <vertAlign val="subscript"/>
        <sz val="11"/>
        <color theme="1"/>
        <rFont val="Calibri"/>
        <family val="2"/>
        <scheme val="minor"/>
      </rPr>
      <t>far-adj</t>
    </r>
  </si>
  <si>
    <r>
      <t>s_IRCU</t>
    </r>
    <r>
      <rPr>
        <vertAlign val="subscript"/>
        <sz val="11"/>
        <color theme="1"/>
        <rFont val="Calibri"/>
        <family val="2"/>
        <scheme val="minor"/>
      </rPr>
      <t xml:space="preserve"> far-c</t>
    </r>
  </si>
  <si>
    <r>
      <t xml:space="preserve">s_IRCU </t>
    </r>
    <r>
      <rPr>
        <vertAlign val="subscript"/>
        <sz val="11"/>
        <color theme="1"/>
        <rFont val="Calibri"/>
        <family val="2"/>
        <scheme val="minor"/>
      </rPr>
      <t>far-a</t>
    </r>
  </si>
  <si>
    <r>
      <t xml:space="preserve">s_IFCU </t>
    </r>
    <r>
      <rPr>
        <vertAlign val="subscript"/>
        <sz val="11"/>
        <color theme="1"/>
        <rFont val="Calibri"/>
        <family val="2"/>
        <scheme val="minor"/>
      </rPr>
      <t>far-adj</t>
    </r>
  </si>
  <si>
    <r>
      <t>s_IRLE</t>
    </r>
    <r>
      <rPr>
        <vertAlign val="subscript"/>
        <sz val="11"/>
        <color theme="1"/>
        <rFont val="Calibri"/>
        <family val="2"/>
        <scheme val="minor"/>
      </rPr>
      <t xml:space="preserve"> far-c</t>
    </r>
  </si>
  <si>
    <r>
      <t xml:space="preserve">s_IRLE </t>
    </r>
    <r>
      <rPr>
        <vertAlign val="subscript"/>
        <sz val="11"/>
        <color theme="1"/>
        <rFont val="Calibri"/>
        <family val="2"/>
        <scheme val="minor"/>
      </rPr>
      <t>far-a</t>
    </r>
  </si>
  <si>
    <r>
      <t xml:space="preserve">s_IFLE </t>
    </r>
    <r>
      <rPr>
        <vertAlign val="subscript"/>
        <sz val="11"/>
        <color theme="1"/>
        <rFont val="Calibri"/>
        <family val="2"/>
        <scheme val="minor"/>
      </rPr>
      <t>far-adj</t>
    </r>
  </si>
  <si>
    <r>
      <t>s_IRLI</t>
    </r>
    <r>
      <rPr>
        <vertAlign val="subscript"/>
        <sz val="11"/>
        <color theme="1"/>
        <rFont val="Calibri"/>
        <family val="2"/>
        <scheme val="minor"/>
      </rPr>
      <t xml:space="preserve"> far-c</t>
    </r>
  </si>
  <si>
    <r>
      <t xml:space="preserve">s_IRLI </t>
    </r>
    <r>
      <rPr>
        <vertAlign val="subscript"/>
        <sz val="11"/>
        <color theme="1"/>
        <rFont val="Calibri"/>
        <family val="2"/>
        <scheme val="minor"/>
      </rPr>
      <t>far-a</t>
    </r>
  </si>
  <si>
    <r>
      <t xml:space="preserve">s_IFLI </t>
    </r>
    <r>
      <rPr>
        <vertAlign val="subscript"/>
        <sz val="11"/>
        <color theme="1"/>
        <rFont val="Calibri"/>
        <family val="2"/>
        <scheme val="minor"/>
      </rPr>
      <t>far-adj</t>
    </r>
  </si>
  <si>
    <r>
      <t>s_IROK</t>
    </r>
    <r>
      <rPr>
        <vertAlign val="subscript"/>
        <sz val="11"/>
        <color theme="1"/>
        <rFont val="Calibri"/>
        <family val="2"/>
        <scheme val="minor"/>
      </rPr>
      <t xml:space="preserve"> far-c</t>
    </r>
  </si>
  <si>
    <r>
      <t xml:space="preserve">s_IROK </t>
    </r>
    <r>
      <rPr>
        <vertAlign val="subscript"/>
        <sz val="11"/>
        <color theme="1"/>
        <rFont val="Calibri"/>
        <family val="2"/>
        <scheme val="minor"/>
      </rPr>
      <t>far-a</t>
    </r>
  </si>
  <si>
    <r>
      <t xml:space="preserve">s_IFOK </t>
    </r>
    <r>
      <rPr>
        <vertAlign val="subscript"/>
        <sz val="11"/>
        <color theme="1"/>
        <rFont val="Calibri"/>
        <family val="2"/>
        <scheme val="minor"/>
      </rPr>
      <t>far-adj</t>
    </r>
  </si>
  <si>
    <r>
      <t>s_IRON</t>
    </r>
    <r>
      <rPr>
        <vertAlign val="subscript"/>
        <sz val="11"/>
        <color theme="1"/>
        <rFont val="Calibri"/>
        <family val="2"/>
        <scheme val="minor"/>
      </rPr>
      <t xml:space="preserve"> far-c</t>
    </r>
  </si>
  <si>
    <r>
      <t xml:space="preserve">s_IRON </t>
    </r>
    <r>
      <rPr>
        <vertAlign val="subscript"/>
        <sz val="11"/>
        <color theme="1"/>
        <rFont val="Calibri"/>
        <family val="2"/>
        <scheme val="minor"/>
      </rPr>
      <t>far-a</t>
    </r>
  </si>
  <si>
    <r>
      <t xml:space="preserve">s_IFON </t>
    </r>
    <r>
      <rPr>
        <vertAlign val="subscript"/>
        <sz val="11"/>
        <color theme="1"/>
        <rFont val="Calibri"/>
        <family val="2"/>
        <scheme val="minor"/>
      </rPr>
      <t>far-adj</t>
    </r>
  </si>
  <si>
    <r>
      <t>s_IRPC</t>
    </r>
    <r>
      <rPr>
        <vertAlign val="subscript"/>
        <sz val="11"/>
        <color theme="1"/>
        <rFont val="Calibri"/>
        <family val="2"/>
        <scheme val="minor"/>
      </rPr>
      <t xml:space="preserve"> far-c</t>
    </r>
  </si>
  <si>
    <r>
      <t xml:space="preserve">s_IRPC </t>
    </r>
    <r>
      <rPr>
        <vertAlign val="subscript"/>
        <sz val="11"/>
        <color theme="1"/>
        <rFont val="Calibri"/>
        <family val="2"/>
        <scheme val="minor"/>
      </rPr>
      <t>far-a</t>
    </r>
  </si>
  <si>
    <r>
      <t xml:space="preserve">s_IFPC </t>
    </r>
    <r>
      <rPr>
        <vertAlign val="subscript"/>
        <sz val="11"/>
        <color theme="1"/>
        <rFont val="Calibri"/>
        <family val="2"/>
        <scheme val="minor"/>
      </rPr>
      <t>far-adj</t>
    </r>
  </si>
  <si>
    <r>
      <t>s_IRPR</t>
    </r>
    <r>
      <rPr>
        <vertAlign val="subscript"/>
        <sz val="11"/>
        <color theme="1"/>
        <rFont val="Calibri"/>
        <family val="2"/>
        <scheme val="minor"/>
      </rPr>
      <t xml:space="preserve"> far-c</t>
    </r>
  </si>
  <si>
    <r>
      <t xml:space="preserve">s_IRPR </t>
    </r>
    <r>
      <rPr>
        <vertAlign val="subscript"/>
        <sz val="11"/>
        <color theme="1"/>
        <rFont val="Calibri"/>
        <family val="2"/>
        <scheme val="minor"/>
      </rPr>
      <t>far-a</t>
    </r>
  </si>
  <si>
    <r>
      <t xml:space="preserve">s_IFPR </t>
    </r>
    <r>
      <rPr>
        <vertAlign val="subscript"/>
        <sz val="11"/>
        <color theme="1"/>
        <rFont val="Calibri"/>
        <family val="2"/>
        <scheme val="minor"/>
      </rPr>
      <t>far-adj</t>
    </r>
  </si>
  <si>
    <r>
      <t>s_IRPE</t>
    </r>
    <r>
      <rPr>
        <vertAlign val="subscript"/>
        <sz val="11"/>
        <color theme="1"/>
        <rFont val="Calibri"/>
        <family val="2"/>
        <scheme val="minor"/>
      </rPr>
      <t xml:space="preserve"> far-c</t>
    </r>
  </si>
  <si>
    <r>
      <t xml:space="preserve">s_IRPE </t>
    </r>
    <r>
      <rPr>
        <vertAlign val="subscript"/>
        <sz val="11"/>
        <color theme="1"/>
        <rFont val="Calibri"/>
        <family val="2"/>
        <scheme val="minor"/>
      </rPr>
      <t>far-a</t>
    </r>
  </si>
  <si>
    <r>
      <t xml:space="preserve">s_IFPE </t>
    </r>
    <r>
      <rPr>
        <vertAlign val="subscript"/>
        <sz val="11"/>
        <color theme="1"/>
        <rFont val="Calibri"/>
        <family val="2"/>
        <scheme val="minor"/>
      </rPr>
      <t>far-adj</t>
    </r>
  </si>
  <si>
    <r>
      <t>s_IRPT</t>
    </r>
    <r>
      <rPr>
        <vertAlign val="subscript"/>
        <sz val="11"/>
        <color theme="1"/>
        <rFont val="Calibri"/>
        <family val="2"/>
        <scheme val="minor"/>
      </rPr>
      <t xml:space="preserve"> far-c</t>
    </r>
  </si>
  <si>
    <r>
      <t xml:space="preserve">s_IRPT </t>
    </r>
    <r>
      <rPr>
        <vertAlign val="subscript"/>
        <sz val="11"/>
        <color theme="1"/>
        <rFont val="Calibri"/>
        <family val="2"/>
        <scheme val="minor"/>
      </rPr>
      <t>far-a</t>
    </r>
  </si>
  <si>
    <r>
      <t xml:space="preserve">s_IFPT </t>
    </r>
    <r>
      <rPr>
        <vertAlign val="subscript"/>
        <sz val="11"/>
        <color theme="1"/>
        <rFont val="Calibri"/>
        <family val="2"/>
        <scheme val="minor"/>
      </rPr>
      <t>far-adj</t>
    </r>
  </si>
  <si>
    <r>
      <t>s_IRPU</t>
    </r>
    <r>
      <rPr>
        <vertAlign val="subscript"/>
        <sz val="11"/>
        <color theme="1"/>
        <rFont val="Calibri"/>
        <family val="2"/>
        <scheme val="minor"/>
      </rPr>
      <t xml:space="preserve"> far-c</t>
    </r>
  </si>
  <si>
    <r>
      <t xml:space="preserve">s_IRPU </t>
    </r>
    <r>
      <rPr>
        <vertAlign val="subscript"/>
        <sz val="11"/>
        <color theme="1"/>
        <rFont val="Calibri"/>
        <family val="2"/>
        <scheme val="minor"/>
      </rPr>
      <t>far-a</t>
    </r>
  </si>
  <si>
    <r>
      <t xml:space="preserve">s_IFPU </t>
    </r>
    <r>
      <rPr>
        <vertAlign val="subscript"/>
        <sz val="11"/>
        <color theme="1"/>
        <rFont val="Calibri"/>
        <family val="2"/>
        <scheme val="minor"/>
      </rPr>
      <t>far-adj</t>
    </r>
  </si>
  <si>
    <r>
      <t>s_IRRI</t>
    </r>
    <r>
      <rPr>
        <vertAlign val="subscript"/>
        <sz val="11"/>
        <color theme="1"/>
        <rFont val="Calibri"/>
        <family val="2"/>
        <scheme val="minor"/>
      </rPr>
      <t xml:space="preserve"> far-c</t>
    </r>
  </si>
  <si>
    <r>
      <t xml:space="preserve">s_IRRI </t>
    </r>
    <r>
      <rPr>
        <vertAlign val="subscript"/>
        <sz val="11"/>
        <color theme="1"/>
        <rFont val="Calibri"/>
        <family val="2"/>
        <scheme val="minor"/>
      </rPr>
      <t>far-a</t>
    </r>
  </si>
  <si>
    <r>
      <t xml:space="preserve">s_IFRI </t>
    </r>
    <r>
      <rPr>
        <vertAlign val="subscript"/>
        <sz val="11"/>
        <color theme="1"/>
        <rFont val="Calibri"/>
        <family val="2"/>
        <scheme val="minor"/>
      </rPr>
      <t>far-adj</t>
    </r>
  </si>
  <si>
    <r>
      <t>s_IRSN</t>
    </r>
    <r>
      <rPr>
        <vertAlign val="subscript"/>
        <sz val="11"/>
        <color theme="1"/>
        <rFont val="Calibri"/>
        <family val="2"/>
        <scheme val="minor"/>
      </rPr>
      <t xml:space="preserve"> far-c</t>
    </r>
  </si>
  <si>
    <r>
      <t xml:space="preserve">s_IRSN </t>
    </r>
    <r>
      <rPr>
        <vertAlign val="subscript"/>
        <sz val="11"/>
        <color theme="1"/>
        <rFont val="Calibri"/>
        <family val="2"/>
        <scheme val="minor"/>
      </rPr>
      <t>far-a</t>
    </r>
  </si>
  <si>
    <r>
      <t xml:space="preserve">s_IFSN </t>
    </r>
    <r>
      <rPr>
        <vertAlign val="subscript"/>
        <sz val="11"/>
        <color theme="1"/>
        <rFont val="Calibri"/>
        <family val="2"/>
        <scheme val="minor"/>
      </rPr>
      <t>far-adj</t>
    </r>
  </si>
  <si>
    <r>
      <t>s_IRST</t>
    </r>
    <r>
      <rPr>
        <vertAlign val="subscript"/>
        <sz val="11"/>
        <color theme="1"/>
        <rFont val="Calibri"/>
        <family val="2"/>
        <scheme val="minor"/>
      </rPr>
      <t xml:space="preserve"> far-c</t>
    </r>
  </si>
  <si>
    <r>
      <t xml:space="preserve">s_IRST </t>
    </r>
    <r>
      <rPr>
        <vertAlign val="subscript"/>
        <sz val="11"/>
        <color theme="1"/>
        <rFont val="Calibri"/>
        <family val="2"/>
        <scheme val="minor"/>
      </rPr>
      <t>far-a</t>
    </r>
  </si>
  <si>
    <r>
      <t xml:space="preserve">s_IFST </t>
    </r>
    <r>
      <rPr>
        <vertAlign val="subscript"/>
        <sz val="11"/>
        <color theme="1"/>
        <rFont val="Calibri"/>
        <family val="2"/>
        <scheme val="minor"/>
      </rPr>
      <t>far-adj</t>
    </r>
  </si>
  <si>
    <r>
      <t>s_IRTO</t>
    </r>
    <r>
      <rPr>
        <vertAlign val="subscript"/>
        <sz val="11"/>
        <color theme="1"/>
        <rFont val="Calibri"/>
        <family val="2"/>
        <scheme val="minor"/>
      </rPr>
      <t xml:space="preserve"> far-c</t>
    </r>
  </si>
  <si>
    <r>
      <t xml:space="preserve">s_IRTO </t>
    </r>
    <r>
      <rPr>
        <vertAlign val="subscript"/>
        <sz val="11"/>
        <color theme="1"/>
        <rFont val="Calibri"/>
        <family val="2"/>
        <scheme val="minor"/>
      </rPr>
      <t>far-a</t>
    </r>
  </si>
  <si>
    <r>
      <t xml:space="preserve">s_IFTO </t>
    </r>
    <r>
      <rPr>
        <vertAlign val="subscript"/>
        <sz val="11"/>
        <color theme="1"/>
        <rFont val="Calibri"/>
        <family val="2"/>
        <scheme val="minor"/>
      </rPr>
      <t>far-adj</t>
    </r>
  </si>
  <si>
    <r>
      <t xml:space="preserve">s_MLF </t>
    </r>
    <r>
      <rPr>
        <vertAlign val="subscript"/>
        <sz val="11"/>
        <rFont val="Calibri"/>
        <family val="2"/>
        <scheme val="minor"/>
      </rPr>
      <t>apple</t>
    </r>
  </si>
  <si>
    <r>
      <t xml:space="preserve">s_MLF </t>
    </r>
    <r>
      <rPr>
        <vertAlign val="subscript"/>
        <sz val="11"/>
        <rFont val="Calibri"/>
        <family val="2"/>
        <scheme val="minor"/>
      </rPr>
      <t>asparagus</t>
    </r>
  </si>
  <si>
    <r>
      <t xml:space="preserve">s_MLF </t>
    </r>
    <r>
      <rPr>
        <vertAlign val="subscript"/>
        <sz val="11"/>
        <rFont val="Calibri"/>
        <family val="2"/>
        <scheme val="minor"/>
      </rPr>
      <t>beet</t>
    </r>
  </si>
  <si>
    <r>
      <t xml:space="preserve">s_MLF </t>
    </r>
    <r>
      <rPr>
        <vertAlign val="subscript"/>
        <sz val="11"/>
        <rFont val="Calibri"/>
        <family val="2"/>
        <scheme val="minor"/>
      </rPr>
      <t>berries</t>
    </r>
  </si>
  <si>
    <r>
      <t xml:space="preserve">s_MLF </t>
    </r>
    <r>
      <rPr>
        <vertAlign val="subscript"/>
        <sz val="11"/>
        <rFont val="Calibri"/>
        <family val="2"/>
        <scheme val="minor"/>
      </rPr>
      <t>broccoli</t>
    </r>
  </si>
  <si>
    <r>
      <t xml:space="preserve">s_MLF </t>
    </r>
    <r>
      <rPr>
        <vertAlign val="subscript"/>
        <sz val="11"/>
        <rFont val="Calibri"/>
        <family val="2"/>
        <scheme val="minor"/>
      </rPr>
      <t>cabbage</t>
    </r>
  </si>
  <si>
    <r>
      <t xml:space="preserve">s_MLF </t>
    </r>
    <r>
      <rPr>
        <vertAlign val="subscript"/>
        <sz val="11"/>
        <rFont val="Calibri"/>
        <family val="2"/>
        <scheme val="minor"/>
      </rPr>
      <t>carrot</t>
    </r>
  </si>
  <si>
    <r>
      <t xml:space="preserve">s_MLF </t>
    </r>
    <r>
      <rPr>
        <vertAlign val="subscript"/>
        <sz val="11"/>
        <rFont val="Calibri"/>
        <family val="2"/>
        <scheme val="minor"/>
      </rPr>
      <t>citrus</t>
    </r>
  </si>
  <si>
    <r>
      <t xml:space="preserve">s_MLF </t>
    </r>
    <r>
      <rPr>
        <vertAlign val="subscript"/>
        <sz val="11"/>
        <rFont val="Calibri"/>
        <family val="2"/>
        <scheme val="minor"/>
      </rPr>
      <t>corn</t>
    </r>
  </si>
  <si>
    <r>
      <t xml:space="preserve">s_MLF </t>
    </r>
    <r>
      <rPr>
        <vertAlign val="subscript"/>
        <sz val="11"/>
        <rFont val="Calibri"/>
        <family val="2"/>
        <scheme val="minor"/>
      </rPr>
      <t>cucumber</t>
    </r>
  </si>
  <si>
    <r>
      <t xml:space="preserve">s_MLF </t>
    </r>
    <r>
      <rPr>
        <vertAlign val="subscript"/>
        <sz val="11"/>
        <rFont val="Calibri"/>
        <family val="2"/>
        <scheme val="minor"/>
      </rPr>
      <t>lettuce</t>
    </r>
  </si>
  <si>
    <r>
      <t xml:space="preserve">s_MLF </t>
    </r>
    <r>
      <rPr>
        <vertAlign val="subscript"/>
        <sz val="11"/>
        <rFont val="Calibri"/>
        <family val="2"/>
        <scheme val="minor"/>
      </rPr>
      <t>lima bean</t>
    </r>
  </si>
  <si>
    <r>
      <t xml:space="preserve">s_MLF </t>
    </r>
    <r>
      <rPr>
        <vertAlign val="subscript"/>
        <sz val="11"/>
        <rFont val="Calibri"/>
        <family val="2"/>
        <scheme val="minor"/>
      </rPr>
      <t>okra</t>
    </r>
  </si>
  <si>
    <r>
      <t xml:space="preserve">s_MLF </t>
    </r>
    <r>
      <rPr>
        <vertAlign val="subscript"/>
        <sz val="11"/>
        <rFont val="Calibri"/>
        <family val="2"/>
        <scheme val="minor"/>
      </rPr>
      <t>onion</t>
    </r>
  </si>
  <si>
    <r>
      <t xml:space="preserve">s_MLF </t>
    </r>
    <r>
      <rPr>
        <vertAlign val="subscript"/>
        <sz val="11"/>
        <rFont val="Calibri"/>
        <family val="2"/>
        <scheme val="minor"/>
      </rPr>
      <t>peach</t>
    </r>
  </si>
  <si>
    <r>
      <t xml:space="preserve">s_MLF </t>
    </r>
    <r>
      <rPr>
        <vertAlign val="subscript"/>
        <sz val="11"/>
        <rFont val="Calibri"/>
        <family val="2"/>
        <scheme val="minor"/>
      </rPr>
      <t>pear</t>
    </r>
  </si>
  <si>
    <r>
      <t xml:space="preserve">s_MLF </t>
    </r>
    <r>
      <rPr>
        <vertAlign val="subscript"/>
        <sz val="11"/>
        <rFont val="Calibri"/>
        <family val="2"/>
        <scheme val="minor"/>
      </rPr>
      <t>peas</t>
    </r>
  </si>
  <si>
    <r>
      <t xml:space="preserve">s_MLF </t>
    </r>
    <r>
      <rPr>
        <vertAlign val="subscript"/>
        <sz val="11"/>
        <rFont val="Calibri"/>
        <family val="2"/>
        <scheme val="minor"/>
      </rPr>
      <t>potato</t>
    </r>
  </si>
  <si>
    <r>
      <t xml:space="preserve">s_MLF </t>
    </r>
    <r>
      <rPr>
        <vertAlign val="subscript"/>
        <sz val="11"/>
        <rFont val="Calibri"/>
        <family val="2"/>
        <scheme val="minor"/>
      </rPr>
      <t>pumpkin</t>
    </r>
  </si>
  <si>
    <r>
      <t xml:space="preserve">s_MLF </t>
    </r>
    <r>
      <rPr>
        <vertAlign val="subscript"/>
        <sz val="11"/>
        <rFont val="Calibri"/>
        <family val="2"/>
        <scheme val="minor"/>
      </rPr>
      <t>snap bean</t>
    </r>
  </si>
  <si>
    <r>
      <t xml:space="preserve">s_MLF </t>
    </r>
    <r>
      <rPr>
        <vertAlign val="subscript"/>
        <sz val="11"/>
        <rFont val="Calibri"/>
        <family val="2"/>
        <scheme val="minor"/>
      </rPr>
      <t>strawberry</t>
    </r>
  </si>
  <si>
    <r>
      <t xml:space="preserve">s_MLF </t>
    </r>
    <r>
      <rPr>
        <vertAlign val="subscript"/>
        <sz val="11"/>
        <rFont val="Calibri"/>
        <family val="2"/>
        <scheme val="minor"/>
      </rPr>
      <t>tomato</t>
    </r>
  </si>
  <si>
    <r>
      <t xml:space="preserve">s_MLF </t>
    </r>
    <r>
      <rPr>
        <vertAlign val="subscript"/>
        <sz val="11"/>
        <rFont val="Calibri"/>
        <family val="2"/>
        <scheme val="minor"/>
      </rPr>
      <t>cereal</t>
    </r>
  </si>
  <si>
    <r>
      <t xml:space="preserve">s_MLF </t>
    </r>
    <r>
      <rPr>
        <vertAlign val="subscript"/>
        <sz val="11"/>
        <rFont val="Calibri"/>
        <family val="2"/>
        <scheme val="minor"/>
      </rPr>
      <t>rice</t>
    </r>
  </si>
  <si>
    <r>
      <t xml:space="preserve">s_CF </t>
    </r>
    <r>
      <rPr>
        <vertAlign val="subscript"/>
        <sz val="11"/>
        <rFont val="Calibri"/>
        <family val="2"/>
        <scheme val="minor"/>
      </rPr>
      <t>far-goat</t>
    </r>
  </si>
  <si>
    <r>
      <t xml:space="preserve">s_CF </t>
    </r>
    <r>
      <rPr>
        <vertAlign val="subscript"/>
        <sz val="11"/>
        <rFont val="Calibri"/>
        <family val="2"/>
        <scheme val="minor"/>
      </rPr>
      <t>far-sheep-milk</t>
    </r>
  </si>
  <si>
    <r>
      <t xml:space="preserve">s_CF </t>
    </r>
    <r>
      <rPr>
        <vertAlign val="subscript"/>
        <sz val="11"/>
        <rFont val="Calibri"/>
        <family val="2"/>
        <scheme val="minor"/>
      </rPr>
      <t>far-goat-milk</t>
    </r>
  </si>
  <si>
    <r>
      <t>s_IRGO</t>
    </r>
    <r>
      <rPr>
        <vertAlign val="subscript"/>
        <sz val="11"/>
        <color theme="1"/>
        <rFont val="Calibri"/>
        <family val="2"/>
        <scheme val="minor"/>
      </rPr>
      <t xml:space="preserve"> far-c</t>
    </r>
  </si>
  <si>
    <r>
      <t xml:space="preserve">s_IRGO </t>
    </r>
    <r>
      <rPr>
        <vertAlign val="subscript"/>
        <sz val="11"/>
        <color theme="1"/>
        <rFont val="Calibri"/>
        <family val="2"/>
        <scheme val="minor"/>
      </rPr>
      <t>far-a</t>
    </r>
  </si>
  <si>
    <r>
      <t xml:space="preserve">s_IFGO </t>
    </r>
    <r>
      <rPr>
        <vertAlign val="subscript"/>
        <sz val="11"/>
        <color theme="1"/>
        <rFont val="Calibri"/>
        <family val="2"/>
        <scheme val="minor"/>
      </rPr>
      <t>far-adj</t>
    </r>
  </si>
  <si>
    <r>
      <t>s_IRSM</t>
    </r>
    <r>
      <rPr>
        <vertAlign val="subscript"/>
        <sz val="11"/>
        <color theme="1"/>
        <rFont val="Calibri"/>
        <family val="2"/>
        <scheme val="minor"/>
      </rPr>
      <t xml:space="preserve"> far-c</t>
    </r>
  </si>
  <si>
    <r>
      <t xml:space="preserve">s_IRSM </t>
    </r>
    <r>
      <rPr>
        <vertAlign val="subscript"/>
        <sz val="11"/>
        <color theme="1"/>
        <rFont val="Calibri"/>
        <family val="2"/>
        <scheme val="minor"/>
      </rPr>
      <t>far-a</t>
    </r>
  </si>
  <si>
    <r>
      <t xml:space="preserve">s_IFSM </t>
    </r>
    <r>
      <rPr>
        <vertAlign val="subscript"/>
        <sz val="11"/>
        <color theme="1"/>
        <rFont val="Calibri"/>
        <family val="2"/>
        <scheme val="minor"/>
      </rPr>
      <t>far-adj</t>
    </r>
  </si>
  <si>
    <r>
      <t>s_IRGM</t>
    </r>
    <r>
      <rPr>
        <vertAlign val="subscript"/>
        <sz val="11"/>
        <color theme="1"/>
        <rFont val="Calibri"/>
        <family val="2"/>
        <scheme val="minor"/>
      </rPr>
      <t xml:space="preserve"> far-c</t>
    </r>
  </si>
  <si>
    <r>
      <t xml:space="preserve">s_IRGM </t>
    </r>
    <r>
      <rPr>
        <vertAlign val="subscript"/>
        <sz val="11"/>
        <color theme="1"/>
        <rFont val="Calibri"/>
        <family val="2"/>
        <scheme val="minor"/>
      </rPr>
      <t>far-a</t>
    </r>
  </si>
  <si>
    <r>
      <t xml:space="preserve">s_IFGM </t>
    </r>
    <r>
      <rPr>
        <vertAlign val="subscript"/>
        <sz val="11"/>
        <color theme="1"/>
        <rFont val="Calibri"/>
        <family val="2"/>
        <scheme val="minor"/>
      </rPr>
      <t>far-adj</t>
    </r>
  </si>
  <si>
    <r>
      <t xml:space="preserve">s_D </t>
    </r>
    <r>
      <rPr>
        <vertAlign val="subscript"/>
        <sz val="11"/>
        <rFont val="Calibri"/>
        <family val="2"/>
        <scheme val="minor"/>
      </rPr>
      <t>milk</t>
    </r>
  </si>
  <si>
    <r>
      <t xml:space="preserve">s_Q </t>
    </r>
    <r>
      <rPr>
        <vertAlign val="subscript"/>
        <sz val="11"/>
        <rFont val="Calibri"/>
        <family val="2"/>
        <scheme val="minor"/>
      </rPr>
      <t>w-goat</t>
    </r>
  </si>
  <si>
    <r>
      <t xml:space="preserve">s_Q </t>
    </r>
    <r>
      <rPr>
        <vertAlign val="subscript"/>
        <sz val="11"/>
        <rFont val="Calibri"/>
        <family val="2"/>
        <scheme val="minor"/>
      </rPr>
      <t>p-goat</t>
    </r>
  </si>
  <si>
    <r>
      <t xml:space="preserve">s_Q </t>
    </r>
    <r>
      <rPr>
        <vertAlign val="subscript"/>
        <sz val="11"/>
        <rFont val="Calibri"/>
        <family val="2"/>
        <scheme val="minor"/>
      </rPr>
      <t>s-goat</t>
    </r>
  </si>
  <si>
    <r>
      <t xml:space="preserve">s_f </t>
    </r>
    <r>
      <rPr>
        <vertAlign val="subscript"/>
        <sz val="11"/>
        <rFont val="Calibri"/>
        <family val="2"/>
        <scheme val="minor"/>
      </rPr>
      <t>p-goat</t>
    </r>
  </si>
  <si>
    <r>
      <t xml:space="preserve">s_f </t>
    </r>
    <r>
      <rPr>
        <vertAlign val="subscript"/>
        <sz val="11"/>
        <rFont val="Calibri"/>
        <family val="2"/>
        <scheme val="minor"/>
      </rPr>
      <t>s-goat</t>
    </r>
  </si>
  <si>
    <r>
      <t xml:space="preserve">s_Q </t>
    </r>
    <r>
      <rPr>
        <vertAlign val="subscript"/>
        <sz val="11"/>
        <rFont val="Calibri"/>
        <family val="2"/>
        <scheme val="minor"/>
      </rPr>
      <t>w-goat-milk</t>
    </r>
  </si>
  <si>
    <r>
      <t xml:space="preserve">s_Q </t>
    </r>
    <r>
      <rPr>
        <vertAlign val="subscript"/>
        <sz val="11"/>
        <rFont val="Calibri"/>
        <family val="2"/>
        <scheme val="minor"/>
      </rPr>
      <t>p-goat-milk</t>
    </r>
  </si>
  <si>
    <r>
      <t xml:space="preserve">s_Q </t>
    </r>
    <r>
      <rPr>
        <vertAlign val="subscript"/>
        <sz val="11"/>
        <rFont val="Calibri"/>
        <family val="2"/>
        <scheme val="minor"/>
      </rPr>
      <t>s-goat-milk</t>
    </r>
  </si>
  <si>
    <r>
      <t xml:space="preserve">s_f </t>
    </r>
    <r>
      <rPr>
        <vertAlign val="subscript"/>
        <sz val="11"/>
        <rFont val="Calibri"/>
        <family val="2"/>
        <scheme val="minor"/>
      </rPr>
      <t>p-goat-milk</t>
    </r>
  </si>
  <si>
    <r>
      <t xml:space="preserve">s_f </t>
    </r>
    <r>
      <rPr>
        <vertAlign val="subscript"/>
        <sz val="11"/>
        <rFont val="Calibri"/>
        <family val="2"/>
        <scheme val="minor"/>
      </rPr>
      <t>s-goat-milk</t>
    </r>
  </si>
  <si>
    <r>
      <t xml:space="preserve">s_Q </t>
    </r>
    <r>
      <rPr>
        <vertAlign val="subscript"/>
        <sz val="11"/>
        <rFont val="Calibri"/>
        <family val="2"/>
        <scheme val="minor"/>
      </rPr>
      <t>w-sheep-milk</t>
    </r>
  </si>
  <si>
    <r>
      <t xml:space="preserve">s_Q </t>
    </r>
    <r>
      <rPr>
        <vertAlign val="subscript"/>
        <sz val="11"/>
        <rFont val="Calibri"/>
        <family val="2"/>
        <scheme val="minor"/>
      </rPr>
      <t>p-sheep-milk</t>
    </r>
  </si>
  <si>
    <r>
      <t xml:space="preserve">s_Q </t>
    </r>
    <r>
      <rPr>
        <vertAlign val="subscript"/>
        <sz val="11"/>
        <rFont val="Calibri"/>
        <family val="2"/>
        <scheme val="minor"/>
      </rPr>
      <t>s-sheep-milk</t>
    </r>
  </si>
  <si>
    <r>
      <t xml:space="preserve">s_f </t>
    </r>
    <r>
      <rPr>
        <vertAlign val="subscript"/>
        <sz val="11"/>
        <rFont val="Calibri"/>
        <family val="2"/>
        <scheme val="minor"/>
      </rPr>
      <t>p-sheep-milk</t>
    </r>
  </si>
  <si>
    <r>
      <t xml:space="preserve">s_f </t>
    </r>
    <r>
      <rPr>
        <vertAlign val="subscript"/>
        <sz val="11"/>
        <rFont val="Calibri"/>
        <family val="2"/>
        <scheme val="minor"/>
      </rPr>
      <t>s-sheep-milk</t>
    </r>
  </si>
  <si>
    <r>
      <t xml:space="preserve">s_L </t>
    </r>
    <r>
      <rPr>
        <vertAlign val="subscript"/>
        <sz val="11"/>
        <color theme="1"/>
        <rFont val="Calibri"/>
        <family val="2"/>
        <scheme val="minor"/>
      </rPr>
      <t>s2gw</t>
    </r>
  </si>
  <si>
    <r>
      <t>s_l</t>
    </r>
    <r>
      <rPr>
        <vertAlign val="subscript"/>
        <sz val="11"/>
        <color theme="1"/>
        <rFont val="Calibri"/>
        <family val="2"/>
        <scheme val="minor"/>
      </rPr>
      <t>s2gw</t>
    </r>
  </si>
  <si>
    <r>
      <t xml:space="preserve">s_t </t>
    </r>
    <r>
      <rPr>
        <vertAlign val="subscript"/>
        <sz val="11"/>
        <color theme="1"/>
        <rFont val="Calibri"/>
        <family val="2"/>
        <scheme val="minor"/>
      </rPr>
      <t>res</t>
    </r>
  </si>
  <si>
    <r>
      <t xml:space="preserve">s_IRA </t>
    </r>
    <r>
      <rPr>
        <vertAlign val="subscript"/>
        <sz val="11"/>
        <color theme="1"/>
        <rFont val="Calibri"/>
        <family val="2"/>
        <scheme val="minor"/>
      </rPr>
      <t>res-c</t>
    </r>
  </si>
  <si>
    <r>
      <t xml:space="preserve">s_IRA </t>
    </r>
    <r>
      <rPr>
        <vertAlign val="subscript"/>
        <sz val="11"/>
        <color theme="1"/>
        <rFont val="Calibri"/>
        <family val="2"/>
        <scheme val="minor"/>
      </rPr>
      <t>res-a</t>
    </r>
  </si>
  <si>
    <r>
      <t xml:space="preserve">s_IFA </t>
    </r>
    <r>
      <rPr>
        <vertAlign val="subscript"/>
        <sz val="11"/>
        <color theme="1"/>
        <rFont val="Calibri"/>
        <family val="2"/>
        <scheme val="minor"/>
      </rPr>
      <t>res-adj</t>
    </r>
  </si>
  <si>
    <r>
      <t xml:space="preserve">s_DFA </t>
    </r>
    <r>
      <rPr>
        <vertAlign val="subscript"/>
        <sz val="11"/>
        <color theme="1"/>
        <rFont val="Calibri"/>
        <family val="2"/>
        <scheme val="minor"/>
      </rPr>
      <t>res-adj</t>
    </r>
  </si>
  <si>
    <r>
      <t xml:space="preserve">s_IRS </t>
    </r>
    <r>
      <rPr>
        <vertAlign val="subscript"/>
        <sz val="11"/>
        <color theme="1"/>
        <rFont val="Calibri"/>
        <family val="2"/>
        <scheme val="minor"/>
      </rPr>
      <t>res-c</t>
    </r>
  </si>
  <si>
    <r>
      <t xml:space="preserve">s_IRS </t>
    </r>
    <r>
      <rPr>
        <vertAlign val="subscript"/>
        <sz val="11"/>
        <color theme="1"/>
        <rFont val="Calibri"/>
        <family val="2"/>
        <scheme val="minor"/>
      </rPr>
      <t>res-a</t>
    </r>
  </si>
  <si>
    <r>
      <t xml:space="preserve">s_IFS </t>
    </r>
    <r>
      <rPr>
        <vertAlign val="subscript"/>
        <sz val="11"/>
        <color theme="1"/>
        <rFont val="Calibri"/>
        <family val="2"/>
        <scheme val="minor"/>
      </rPr>
      <t>res-adj</t>
    </r>
  </si>
  <si>
    <r>
      <t xml:space="preserve">s_IRW </t>
    </r>
    <r>
      <rPr>
        <vertAlign val="subscript"/>
        <sz val="11"/>
        <color theme="1"/>
        <rFont val="Calibri"/>
        <family val="2"/>
        <scheme val="minor"/>
      </rPr>
      <t>res-c</t>
    </r>
  </si>
  <si>
    <r>
      <t xml:space="preserve">s_IRW </t>
    </r>
    <r>
      <rPr>
        <vertAlign val="subscript"/>
        <sz val="11"/>
        <color theme="1"/>
        <rFont val="Calibri"/>
        <family val="2"/>
        <scheme val="minor"/>
      </rPr>
      <t>res-a</t>
    </r>
  </si>
  <si>
    <r>
      <t xml:space="preserve">s_IFW </t>
    </r>
    <r>
      <rPr>
        <vertAlign val="subscript"/>
        <sz val="11"/>
        <color theme="1"/>
        <rFont val="Calibri"/>
        <family val="2"/>
        <scheme val="minor"/>
      </rPr>
      <t>res-adj</t>
    </r>
  </si>
  <si>
    <r>
      <t xml:space="preserve">s_IRF </t>
    </r>
    <r>
      <rPr>
        <vertAlign val="subscript"/>
        <sz val="11"/>
        <color theme="1"/>
        <rFont val="Calibri"/>
        <family val="2"/>
        <scheme val="minor"/>
      </rPr>
      <t>res</t>
    </r>
  </si>
  <si>
    <r>
      <t xml:space="preserve">s_EF </t>
    </r>
    <r>
      <rPr>
        <vertAlign val="subscript"/>
        <sz val="11"/>
        <color theme="1"/>
        <rFont val="Calibri"/>
        <family val="2"/>
        <scheme val="minor"/>
      </rPr>
      <t>res-c</t>
    </r>
  </si>
  <si>
    <r>
      <t xml:space="preserve">s_EF </t>
    </r>
    <r>
      <rPr>
        <vertAlign val="subscript"/>
        <sz val="11"/>
        <color theme="1"/>
        <rFont val="Calibri"/>
        <family val="2"/>
        <scheme val="minor"/>
      </rPr>
      <t>res-a</t>
    </r>
  </si>
  <si>
    <r>
      <t xml:space="preserve">s_EF </t>
    </r>
    <r>
      <rPr>
        <vertAlign val="subscript"/>
        <sz val="11"/>
        <color theme="1"/>
        <rFont val="Calibri"/>
        <family val="2"/>
        <scheme val="minor"/>
      </rPr>
      <t>res</t>
    </r>
  </si>
  <si>
    <r>
      <t xml:space="preserve">s_ET </t>
    </r>
    <r>
      <rPr>
        <vertAlign val="subscript"/>
        <sz val="11"/>
        <color theme="1"/>
        <rFont val="Calibri"/>
        <family val="2"/>
        <scheme val="minor"/>
      </rPr>
      <t>event-res-c</t>
    </r>
  </si>
  <si>
    <r>
      <t xml:space="preserve">s_ET </t>
    </r>
    <r>
      <rPr>
        <vertAlign val="subscript"/>
        <sz val="11"/>
        <color theme="1"/>
        <rFont val="Calibri"/>
        <family val="2"/>
        <scheme val="minor"/>
      </rPr>
      <t>event-res-a</t>
    </r>
  </si>
  <si>
    <r>
      <t xml:space="preserve">s_ET </t>
    </r>
    <r>
      <rPr>
        <vertAlign val="subscript"/>
        <sz val="11"/>
        <color theme="1"/>
        <rFont val="Calibri"/>
        <family val="2"/>
        <scheme val="minor"/>
      </rPr>
      <t>res-c</t>
    </r>
  </si>
  <si>
    <r>
      <t xml:space="preserve">s_ET </t>
    </r>
    <r>
      <rPr>
        <vertAlign val="subscript"/>
        <sz val="11"/>
        <color theme="1"/>
        <rFont val="Calibri"/>
        <family val="2"/>
        <scheme val="minor"/>
      </rPr>
      <t>res-a</t>
    </r>
  </si>
  <si>
    <r>
      <t xml:space="preserve">s_ET </t>
    </r>
    <r>
      <rPr>
        <vertAlign val="subscript"/>
        <sz val="11"/>
        <color theme="1"/>
        <rFont val="Calibri"/>
        <family val="2"/>
        <scheme val="minor"/>
      </rPr>
      <t>res</t>
    </r>
  </si>
  <si>
    <r>
      <t xml:space="preserve">s_EV </t>
    </r>
    <r>
      <rPr>
        <vertAlign val="subscript"/>
        <sz val="11"/>
        <color theme="1"/>
        <rFont val="Calibri"/>
        <family val="2"/>
        <scheme val="minor"/>
      </rPr>
      <t>res-c</t>
    </r>
  </si>
  <si>
    <r>
      <t xml:space="preserve">s_EV </t>
    </r>
    <r>
      <rPr>
        <vertAlign val="subscript"/>
        <sz val="11"/>
        <color theme="1"/>
        <rFont val="Calibri"/>
        <family val="2"/>
        <scheme val="minor"/>
      </rPr>
      <t>res-a</t>
    </r>
  </si>
  <si>
    <r>
      <t xml:space="preserve">s_ET </t>
    </r>
    <r>
      <rPr>
        <vertAlign val="subscript"/>
        <sz val="11"/>
        <rFont val="Calibri"/>
        <family val="2"/>
        <scheme val="minor"/>
      </rPr>
      <t>res-o</t>
    </r>
  </si>
  <si>
    <r>
      <t xml:space="preserve">s_ET </t>
    </r>
    <r>
      <rPr>
        <vertAlign val="subscript"/>
        <sz val="11"/>
        <rFont val="Calibri"/>
        <family val="2"/>
        <scheme val="minor"/>
      </rPr>
      <t>res-i</t>
    </r>
  </si>
  <si>
    <r>
      <t xml:space="preserve">s_CF </t>
    </r>
    <r>
      <rPr>
        <vertAlign val="subscript"/>
        <sz val="11"/>
        <color theme="1"/>
        <rFont val="Calibri"/>
        <family val="2"/>
        <scheme val="minor"/>
      </rPr>
      <t>res-fish</t>
    </r>
  </si>
  <si>
    <t>s_IRAP res-c</t>
  </si>
  <si>
    <t>s_IRAP res-a</t>
  </si>
  <si>
    <t>s_IFAP res-adj</t>
  </si>
  <si>
    <t>s_IRAS res-c</t>
  </si>
  <si>
    <t>s_IRAS res-a</t>
  </si>
  <si>
    <t>s_IFAS res-adj</t>
  </si>
  <si>
    <t>s_IRBT res-c</t>
  </si>
  <si>
    <t>s_IRBT res-a</t>
  </si>
  <si>
    <t>s_IFBT res-adj</t>
  </si>
  <si>
    <t>s_IRBE res-c</t>
  </si>
  <si>
    <t>s_IRBE res-a</t>
  </si>
  <si>
    <t>s_IFBE res-adj</t>
  </si>
  <si>
    <t>s_IRBR res-c</t>
  </si>
  <si>
    <t>s_IRBR res-a</t>
  </si>
  <si>
    <t>s_IFBR res-adj</t>
  </si>
  <si>
    <t>s_IRCB res-c</t>
  </si>
  <si>
    <t>s_IRCB res-a</t>
  </si>
  <si>
    <t>s_IFCB res-adj</t>
  </si>
  <si>
    <t>s_IRCR res-c</t>
  </si>
  <si>
    <t>s_IRCR res-a</t>
  </si>
  <si>
    <t>s_IFCR res-adj</t>
  </si>
  <si>
    <t>s_IRCG res-c</t>
  </si>
  <si>
    <t>s_IRCG res-a</t>
  </si>
  <si>
    <t>s_IFCG res-adj</t>
  </si>
  <si>
    <t>s_IRCI res-c</t>
  </si>
  <si>
    <t>s_IRCI res-a</t>
  </si>
  <si>
    <t>s_IFCI res-adj</t>
  </si>
  <si>
    <t>s_IRCO res-c</t>
  </si>
  <si>
    <t>s_IRCO res-a</t>
  </si>
  <si>
    <t>s_IFCO res-adj</t>
  </si>
  <si>
    <t>s_IRCU res-c</t>
  </si>
  <si>
    <t>s_IRCU res-a</t>
  </si>
  <si>
    <t>s_IFCU res-adj</t>
  </si>
  <si>
    <t>s_IRLE res-c</t>
  </si>
  <si>
    <t>s_IRLE res-a</t>
  </si>
  <si>
    <t>s_IFLE res-adj</t>
  </si>
  <si>
    <t>s_IRLI res-c</t>
  </si>
  <si>
    <t>s_IRLI res-a</t>
  </si>
  <si>
    <t>s_IFLI res-adj</t>
  </si>
  <si>
    <t>s_IROK res-c</t>
  </si>
  <si>
    <t>s_IROK res-a</t>
  </si>
  <si>
    <t>s_IFOK res-adj</t>
  </si>
  <si>
    <t>s_IRON res-c</t>
  </si>
  <si>
    <t>s_IRON res-a</t>
  </si>
  <si>
    <t>s_IFON res-adj</t>
  </si>
  <si>
    <t>s_IRPC res-c</t>
  </si>
  <si>
    <t>s_IRPC res-a</t>
  </si>
  <si>
    <t>s_IFPC res-adj</t>
  </si>
  <si>
    <t>s_IRPR res-c</t>
  </si>
  <si>
    <t>s_IRPR res-a</t>
  </si>
  <si>
    <t>s_IFPR res-adj</t>
  </si>
  <si>
    <t>s_IRPE res-c</t>
  </si>
  <si>
    <t>s_IRPE res-a</t>
  </si>
  <si>
    <t>s_IFPE res-adj</t>
  </si>
  <si>
    <t>s_IRPT res-c</t>
  </si>
  <si>
    <t>s_IRPT res-a</t>
  </si>
  <si>
    <t>s_IFPT res-adj</t>
  </si>
  <si>
    <t>s_IRPU res-c</t>
  </si>
  <si>
    <t>s_IRPU res-a</t>
  </si>
  <si>
    <t>s_IFPU res-adj</t>
  </si>
  <si>
    <t>s_IRRI res-c</t>
  </si>
  <si>
    <t>s_IRRI res-a</t>
  </si>
  <si>
    <t>s_IFRI res-adj</t>
  </si>
  <si>
    <t>s_IRSN res-c</t>
  </si>
  <si>
    <t>s_IRSN res-a</t>
  </si>
  <si>
    <t>s_IFSN res-adj</t>
  </si>
  <si>
    <t>s_IRST res-c</t>
  </si>
  <si>
    <t>s_IRST res-a</t>
  </si>
  <si>
    <t>s_IFST res-adj</t>
  </si>
  <si>
    <t>s_IRTO res-c</t>
  </si>
  <si>
    <t>s_IRTO res-a</t>
  </si>
  <si>
    <t>s_IFTO res-adj</t>
  </si>
  <si>
    <r>
      <t xml:space="preserve">s_ED </t>
    </r>
    <r>
      <rPr>
        <vertAlign val="subscript"/>
        <sz val="11"/>
        <color theme="1"/>
        <rFont val="Calibri"/>
        <family val="2"/>
        <scheme val="minor"/>
      </rPr>
      <t>rec-c</t>
    </r>
  </si>
  <si>
    <r>
      <t xml:space="preserve">s_ED </t>
    </r>
    <r>
      <rPr>
        <vertAlign val="subscript"/>
        <sz val="11"/>
        <color theme="1"/>
        <rFont val="Calibri"/>
        <family val="2"/>
        <scheme val="minor"/>
      </rPr>
      <t>rec-a</t>
    </r>
  </si>
  <si>
    <r>
      <t xml:space="preserve">s_ED </t>
    </r>
    <r>
      <rPr>
        <vertAlign val="subscript"/>
        <sz val="11"/>
        <color theme="1"/>
        <rFont val="Calibri"/>
        <family val="2"/>
        <scheme val="minor"/>
      </rPr>
      <t>rec</t>
    </r>
  </si>
  <si>
    <r>
      <t xml:space="preserve">s_t </t>
    </r>
    <r>
      <rPr>
        <vertAlign val="subscript"/>
        <sz val="11"/>
        <color theme="1"/>
        <rFont val="Calibri"/>
        <family val="2"/>
        <scheme val="minor"/>
      </rPr>
      <t>rec</t>
    </r>
  </si>
  <si>
    <r>
      <t xml:space="preserve">s_IRA </t>
    </r>
    <r>
      <rPr>
        <vertAlign val="subscript"/>
        <sz val="11"/>
        <color theme="1"/>
        <rFont val="Calibri"/>
        <family val="2"/>
        <scheme val="minor"/>
      </rPr>
      <t>rec-c</t>
    </r>
  </si>
  <si>
    <r>
      <t xml:space="preserve">s_IRA </t>
    </r>
    <r>
      <rPr>
        <vertAlign val="subscript"/>
        <sz val="11"/>
        <color theme="1"/>
        <rFont val="Calibri"/>
        <family val="2"/>
        <scheme val="minor"/>
      </rPr>
      <t>rec-a</t>
    </r>
  </si>
  <si>
    <r>
      <t xml:space="preserve">s_IFA </t>
    </r>
    <r>
      <rPr>
        <vertAlign val="subscript"/>
        <sz val="11"/>
        <color theme="1"/>
        <rFont val="Calibri"/>
        <family val="2"/>
        <scheme val="minor"/>
      </rPr>
      <t>rec-adj</t>
    </r>
  </si>
  <si>
    <r>
      <t xml:space="preserve">s_DFA </t>
    </r>
    <r>
      <rPr>
        <vertAlign val="subscript"/>
        <sz val="11"/>
        <color theme="1"/>
        <rFont val="Calibri"/>
        <family val="2"/>
        <scheme val="minor"/>
      </rPr>
      <t>rec-adj</t>
    </r>
  </si>
  <si>
    <r>
      <t xml:space="preserve">s_IRS </t>
    </r>
    <r>
      <rPr>
        <vertAlign val="subscript"/>
        <sz val="11"/>
        <color theme="1"/>
        <rFont val="Calibri"/>
        <family val="2"/>
        <scheme val="minor"/>
      </rPr>
      <t>rec-c</t>
    </r>
  </si>
  <si>
    <r>
      <t xml:space="preserve">s_IRS </t>
    </r>
    <r>
      <rPr>
        <vertAlign val="subscript"/>
        <sz val="11"/>
        <color theme="1"/>
        <rFont val="Calibri"/>
        <family val="2"/>
        <scheme val="minor"/>
      </rPr>
      <t>rec-a</t>
    </r>
  </si>
  <si>
    <r>
      <t xml:space="preserve">s_IFS </t>
    </r>
    <r>
      <rPr>
        <vertAlign val="subscript"/>
        <sz val="11"/>
        <color theme="1"/>
        <rFont val="Calibri"/>
        <family val="2"/>
        <scheme val="minor"/>
      </rPr>
      <t>rec-adj</t>
    </r>
  </si>
  <si>
    <r>
      <t xml:space="preserve">s_IRW </t>
    </r>
    <r>
      <rPr>
        <vertAlign val="subscript"/>
        <sz val="11"/>
        <color theme="1"/>
        <rFont val="Calibri"/>
        <family val="2"/>
        <scheme val="minor"/>
      </rPr>
      <t>rec-c</t>
    </r>
  </si>
  <si>
    <r>
      <t xml:space="preserve">s_IRW </t>
    </r>
    <r>
      <rPr>
        <vertAlign val="subscript"/>
        <sz val="11"/>
        <color theme="1"/>
        <rFont val="Calibri"/>
        <family val="2"/>
        <scheme val="minor"/>
      </rPr>
      <t>rec-a</t>
    </r>
  </si>
  <si>
    <r>
      <t xml:space="preserve">s_IFW </t>
    </r>
    <r>
      <rPr>
        <vertAlign val="subscript"/>
        <sz val="11"/>
        <color theme="1"/>
        <rFont val="Calibri"/>
        <family val="2"/>
        <scheme val="minor"/>
      </rPr>
      <t>rec-adj</t>
    </r>
  </si>
  <si>
    <r>
      <t>s_IRGL</t>
    </r>
    <r>
      <rPr>
        <vertAlign val="subscript"/>
        <sz val="11"/>
        <color theme="1"/>
        <rFont val="Calibri"/>
        <family val="2"/>
        <scheme val="minor"/>
      </rPr>
      <t xml:space="preserve"> rec</t>
    </r>
  </si>
  <si>
    <r>
      <t xml:space="preserve">s_IRGF </t>
    </r>
    <r>
      <rPr>
        <vertAlign val="subscript"/>
        <sz val="11"/>
        <color theme="1"/>
        <rFont val="Calibri"/>
        <family val="2"/>
        <scheme val="minor"/>
      </rPr>
      <t>rec</t>
    </r>
  </si>
  <si>
    <r>
      <t xml:space="preserve">s_EF </t>
    </r>
    <r>
      <rPr>
        <vertAlign val="subscript"/>
        <sz val="11"/>
        <color theme="1"/>
        <rFont val="Calibri"/>
        <family val="2"/>
        <scheme val="minor"/>
      </rPr>
      <t>rec-c</t>
    </r>
  </si>
  <si>
    <r>
      <t xml:space="preserve">s_EF </t>
    </r>
    <r>
      <rPr>
        <vertAlign val="subscript"/>
        <sz val="11"/>
        <color theme="1"/>
        <rFont val="Calibri"/>
        <family val="2"/>
        <scheme val="minor"/>
      </rPr>
      <t>rec-a</t>
    </r>
  </si>
  <si>
    <r>
      <t xml:space="preserve">s_EF </t>
    </r>
    <r>
      <rPr>
        <vertAlign val="subscript"/>
        <sz val="11"/>
        <color theme="1"/>
        <rFont val="Calibri"/>
        <family val="2"/>
        <scheme val="minor"/>
      </rPr>
      <t>rec</t>
    </r>
  </si>
  <si>
    <r>
      <t xml:space="preserve">s_ET </t>
    </r>
    <r>
      <rPr>
        <vertAlign val="subscript"/>
        <sz val="11"/>
        <color theme="1"/>
        <rFont val="Calibri"/>
        <family val="2"/>
        <scheme val="minor"/>
      </rPr>
      <t>rec</t>
    </r>
  </si>
  <si>
    <r>
      <t xml:space="preserve">s_ET </t>
    </r>
    <r>
      <rPr>
        <vertAlign val="subscript"/>
        <sz val="11"/>
        <color theme="1"/>
        <rFont val="Calibri"/>
        <family val="2"/>
        <scheme val="minor"/>
      </rPr>
      <t>rec-c</t>
    </r>
  </si>
  <si>
    <r>
      <t xml:space="preserve">s_ET </t>
    </r>
    <r>
      <rPr>
        <vertAlign val="subscript"/>
        <sz val="11"/>
        <color theme="1"/>
        <rFont val="Calibri"/>
        <family val="2"/>
        <scheme val="minor"/>
      </rPr>
      <t>rec-a</t>
    </r>
  </si>
  <si>
    <r>
      <t xml:space="preserve">s_ET </t>
    </r>
    <r>
      <rPr>
        <vertAlign val="subscript"/>
        <sz val="11"/>
        <color theme="1"/>
        <rFont val="Calibri"/>
        <family val="2"/>
        <scheme val="minor"/>
      </rPr>
      <t>event-rec-c</t>
    </r>
  </si>
  <si>
    <r>
      <t xml:space="preserve">s_ET </t>
    </r>
    <r>
      <rPr>
        <vertAlign val="subscript"/>
        <sz val="11"/>
        <color theme="1"/>
        <rFont val="Calibri"/>
        <family val="2"/>
        <scheme val="minor"/>
      </rPr>
      <t>event-rec-a</t>
    </r>
  </si>
  <si>
    <r>
      <t xml:space="preserve">s_EV </t>
    </r>
    <r>
      <rPr>
        <vertAlign val="subscript"/>
        <sz val="11"/>
        <color theme="1"/>
        <rFont val="Calibri"/>
        <family val="2"/>
        <scheme val="minor"/>
      </rPr>
      <t>rec-c</t>
    </r>
  </si>
  <si>
    <r>
      <t xml:space="preserve">s_EV </t>
    </r>
    <r>
      <rPr>
        <vertAlign val="subscript"/>
        <sz val="11"/>
        <color theme="1"/>
        <rFont val="Calibri"/>
        <family val="2"/>
        <scheme val="minor"/>
      </rPr>
      <t>rec-a</t>
    </r>
  </si>
  <si>
    <r>
      <t xml:space="preserve">s_Q </t>
    </r>
    <r>
      <rPr>
        <vertAlign val="subscript"/>
        <sz val="11"/>
        <rFont val="Calibri"/>
        <family val="2"/>
        <scheme val="minor"/>
      </rPr>
      <t>p-fowl</t>
    </r>
  </si>
  <si>
    <r>
      <t xml:space="preserve">s_Q </t>
    </r>
    <r>
      <rPr>
        <vertAlign val="subscript"/>
        <sz val="11"/>
        <rFont val="Calibri"/>
        <family val="2"/>
        <scheme val="minor"/>
      </rPr>
      <t>s-fowl</t>
    </r>
  </si>
  <si>
    <r>
      <t xml:space="preserve">s_f </t>
    </r>
    <r>
      <rPr>
        <vertAlign val="subscript"/>
        <sz val="11"/>
        <rFont val="Calibri"/>
        <family val="2"/>
        <scheme val="minor"/>
      </rPr>
      <t>p-fowl</t>
    </r>
  </si>
  <si>
    <r>
      <t xml:space="preserve">s_f </t>
    </r>
    <r>
      <rPr>
        <vertAlign val="subscript"/>
        <sz val="11"/>
        <rFont val="Calibri"/>
        <family val="2"/>
        <scheme val="minor"/>
      </rPr>
      <t>s-fowl</t>
    </r>
  </si>
  <si>
    <r>
      <t xml:space="preserve">s_Q </t>
    </r>
    <r>
      <rPr>
        <vertAlign val="subscript"/>
        <sz val="11"/>
        <rFont val="Calibri"/>
        <family val="2"/>
        <scheme val="minor"/>
      </rPr>
      <t>w-fowl</t>
    </r>
  </si>
  <si>
    <r>
      <t xml:space="preserve">s_Q </t>
    </r>
    <r>
      <rPr>
        <vertAlign val="subscript"/>
        <sz val="11"/>
        <rFont val="Calibri"/>
        <family val="2"/>
        <scheme val="minor"/>
      </rPr>
      <t>p-game</t>
    </r>
  </si>
  <si>
    <r>
      <t xml:space="preserve">s_Q </t>
    </r>
    <r>
      <rPr>
        <vertAlign val="subscript"/>
        <sz val="11"/>
        <rFont val="Calibri"/>
        <family val="2"/>
        <scheme val="minor"/>
      </rPr>
      <t>s-game</t>
    </r>
  </si>
  <si>
    <r>
      <t xml:space="preserve">s_f </t>
    </r>
    <r>
      <rPr>
        <vertAlign val="subscript"/>
        <sz val="11"/>
        <rFont val="Calibri"/>
        <family val="2"/>
        <scheme val="minor"/>
      </rPr>
      <t>p-game</t>
    </r>
  </si>
  <si>
    <r>
      <t xml:space="preserve">s_f </t>
    </r>
    <r>
      <rPr>
        <vertAlign val="subscript"/>
        <sz val="11"/>
        <rFont val="Calibri"/>
        <family val="2"/>
        <scheme val="minor"/>
      </rPr>
      <t>s-game</t>
    </r>
  </si>
  <si>
    <r>
      <t xml:space="preserve">s_Q </t>
    </r>
    <r>
      <rPr>
        <vertAlign val="subscript"/>
        <sz val="11"/>
        <rFont val="Calibri"/>
        <family val="2"/>
        <scheme val="minor"/>
      </rPr>
      <t>w-game</t>
    </r>
  </si>
  <si>
    <r>
      <t xml:space="preserve">s_CF </t>
    </r>
    <r>
      <rPr>
        <vertAlign val="subscript"/>
        <sz val="11"/>
        <rFont val="Calibri"/>
        <family val="2"/>
        <scheme val="minor"/>
      </rPr>
      <t>fowl</t>
    </r>
  </si>
  <si>
    <r>
      <t xml:space="preserve">s_CF </t>
    </r>
    <r>
      <rPr>
        <vertAlign val="subscript"/>
        <sz val="11"/>
        <rFont val="Calibri"/>
        <family val="2"/>
        <scheme val="minor"/>
      </rPr>
      <t>game</t>
    </r>
  </si>
  <si>
    <r>
      <t xml:space="preserve">s_ED </t>
    </r>
    <r>
      <rPr>
        <vertAlign val="subscript"/>
        <sz val="11"/>
        <color theme="1"/>
        <rFont val="Calibri"/>
        <family val="2"/>
        <scheme val="minor"/>
      </rPr>
      <t>far-c</t>
    </r>
  </si>
  <si>
    <r>
      <t xml:space="preserve">s_ED </t>
    </r>
    <r>
      <rPr>
        <vertAlign val="subscript"/>
        <sz val="11"/>
        <color theme="1"/>
        <rFont val="Calibri"/>
        <family val="2"/>
        <scheme val="minor"/>
      </rPr>
      <t>far-a</t>
    </r>
  </si>
  <si>
    <r>
      <t xml:space="preserve">s_ED </t>
    </r>
    <r>
      <rPr>
        <vertAlign val="subscript"/>
        <sz val="11"/>
        <color theme="1"/>
        <rFont val="Calibri"/>
        <family val="2"/>
        <scheme val="minor"/>
      </rPr>
      <t>far</t>
    </r>
  </si>
  <si>
    <r>
      <t xml:space="preserve">s_t </t>
    </r>
    <r>
      <rPr>
        <vertAlign val="subscript"/>
        <sz val="11"/>
        <color theme="1"/>
        <rFont val="Calibri"/>
        <family val="2"/>
        <scheme val="minor"/>
      </rPr>
      <t>far</t>
    </r>
  </si>
  <si>
    <r>
      <t xml:space="preserve">s_IRA </t>
    </r>
    <r>
      <rPr>
        <vertAlign val="subscript"/>
        <sz val="11"/>
        <color theme="1"/>
        <rFont val="Calibri"/>
        <family val="2"/>
        <scheme val="minor"/>
      </rPr>
      <t>far-c</t>
    </r>
  </si>
  <si>
    <r>
      <t xml:space="preserve">s_IRA </t>
    </r>
    <r>
      <rPr>
        <vertAlign val="subscript"/>
        <sz val="11"/>
        <color theme="1"/>
        <rFont val="Calibri"/>
        <family val="2"/>
        <scheme val="minor"/>
      </rPr>
      <t>far-a</t>
    </r>
  </si>
  <si>
    <r>
      <t xml:space="preserve">s_IFA </t>
    </r>
    <r>
      <rPr>
        <vertAlign val="subscript"/>
        <sz val="11"/>
        <color theme="1"/>
        <rFont val="Calibri"/>
        <family val="2"/>
        <scheme val="minor"/>
      </rPr>
      <t>far-adj</t>
    </r>
  </si>
  <si>
    <r>
      <t xml:space="preserve">s_DFA </t>
    </r>
    <r>
      <rPr>
        <vertAlign val="subscript"/>
        <sz val="11"/>
        <color theme="1"/>
        <rFont val="Calibri"/>
        <family val="2"/>
        <scheme val="minor"/>
      </rPr>
      <t>far-adj</t>
    </r>
  </si>
  <si>
    <r>
      <t xml:space="preserve">s_IRS </t>
    </r>
    <r>
      <rPr>
        <vertAlign val="subscript"/>
        <sz val="11"/>
        <color theme="1"/>
        <rFont val="Calibri"/>
        <family val="2"/>
        <scheme val="minor"/>
      </rPr>
      <t>far-c</t>
    </r>
  </si>
  <si>
    <r>
      <t xml:space="preserve">s_IRS </t>
    </r>
    <r>
      <rPr>
        <vertAlign val="subscript"/>
        <sz val="11"/>
        <color theme="1"/>
        <rFont val="Calibri"/>
        <family val="2"/>
        <scheme val="minor"/>
      </rPr>
      <t>far-a</t>
    </r>
  </si>
  <si>
    <r>
      <t xml:space="preserve">s_IFS </t>
    </r>
    <r>
      <rPr>
        <vertAlign val="subscript"/>
        <sz val="11"/>
        <color theme="1"/>
        <rFont val="Calibri"/>
        <family val="2"/>
        <scheme val="minor"/>
      </rPr>
      <t>far-adj</t>
    </r>
  </si>
  <si>
    <r>
      <t xml:space="preserve">s_IRW </t>
    </r>
    <r>
      <rPr>
        <vertAlign val="subscript"/>
        <sz val="11"/>
        <color theme="1"/>
        <rFont val="Calibri"/>
        <family val="2"/>
        <scheme val="minor"/>
      </rPr>
      <t>far-c</t>
    </r>
  </si>
  <si>
    <r>
      <t xml:space="preserve">s_IRW </t>
    </r>
    <r>
      <rPr>
        <vertAlign val="subscript"/>
        <sz val="11"/>
        <color theme="1"/>
        <rFont val="Calibri"/>
        <family val="2"/>
        <scheme val="minor"/>
      </rPr>
      <t>far-a</t>
    </r>
  </si>
  <si>
    <r>
      <t xml:space="preserve">s_IFW </t>
    </r>
    <r>
      <rPr>
        <vertAlign val="subscript"/>
        <sz val="11"/>
        <color theme="1"/>
        <rFont val="Calibri"/>
        <family val="2"/>
        <scheme val="minor"/>
      </rPr>
      <t>far-adj</t>
    </r>
  </si>
  <si>
    <r>
      <t xml:space="preserve">s_EF </t>
    </r>
    <r>
      <rPr>
        <vertAlign val="subscript"/>
        <sz val="11"/>
        <color theme="1"/>
        <rFont val="Calibri"/>
        <family val="2"/>
        <scheme val="minor"/>
      </rPr>
      <t>far-c</t>
    </r>
  </si>
  <si>
    <r>
      <t xml:space="preserve">s_EF </t>
    </r>
    <r>
      <rPr>
        <vertAlign val="subscript"/>
        <sz val="11"/>
        <color theme="1"/>
        <rFont val="Calibri"/>
        <family val="2"/>
        <scheme val="minor"/>
      </rPr>
      <t>far-a</t>
    </r>
  </si>
  <si>
    <r>
      <t xml:space="preserve">s_EF </t>
    </r>
    <r>
      <rPr>
        <vertAlign val="subscript"/>
        <sz val="11"/>
        <color theme="1"/>
        <rFont val="Calibri"/>
        <family val="2"/>
        <scheme val="minor"/>
      </rPr>
      <t>far</t>
    </r>
  </si>
  <si>
    <r>
      <t xml:space="preserve">s_ET </t>
    </r>
    <r>
      <rPr>
        <vertAlign val="subscript"/>
        <sz val="11"/>
        <color theme="1"/>
        <rFont val="Calibri"/>
        <family val="2"/>
        <scheme val="minor"/>
      </rPr>
      <t>far-c</t>
    </r>
  </si>
  <si>
    <r>
      <t xml:space="preserve">s_ET </t>
    </r>
    <r>
      <rPr>
        <vertAlign val="subscript"/>
        <sz val="11"/>
        <color theme="1"/>
        <rFont val="Calibri"/>
        <family val="2"/>
        <scheme val="minor"/>
      </rPr>
      <t>far-a</t>
    </r>
  </si>
  <si>
    <r>
      <t xml:space="preserve">s_ET </t>
    </r>
    <r>
      <rPr>
        <vertAlign val="subscript"/>
        <sz val="11"/>
        <color theme="1"/>
        <rFont val="Calibri"/>
        <family val="2"/>
        <scheme val="minor"/>
      </rPr>
      <t>far</t>
    </r>
  </si>
  <si>
    <r>
      <t xml:space="preserve">s_ET </t>
    </r>
    <r>
      <rPr>
        <vertAlign val="subscript"/>
        <sz val="11"/>
        <color theme="1"/>
        <rFont val="Calibri"/>
        <family val="2"/>
        <scheme val="minor"/>
      </rPr>
      <t>event-far-c</t>
    </r>
  </si>
  <si>
    <r>
      <t xml:space="preserve">s_ET </t>
    </r>
    <r>
      <rPr>
        <vertAlign val="subscript"/>
        <sz val="11"/>
        <color theme="1"/>
        <rFont val="Calibri"/>
        <family val="2"/>
        <scheme val="minor"/>
      </rPr>
      <t>event-far-a</t>
    </r>
  </si>
  <si>
    <r>
      <t xml:space="preserve">s_ET </t>
    </r>
    <r>
      <rPr>
        <vertAlign val="subscript"/>
        <sz val="11"/>
        <rFont val="Calibri"/>
        <family val="2"/>
        <scheme val="minor"/>
      </rPr>
      <t>far-o</t>
    </r>
  </si>
  <si>
    <r>
      <t xml:space="preserve">s_ET </t>
    </r>
    <r>
      <rPr>
        <vertAlign val="subscript"/>
        <sz val="11"/>
        <rFont val="Calibri"/>
        <family val="2"/>
        <scheme val="minor"/>
      </rPr>
      <t>far-i</t>
    </r>
  </si>
  <si>
    <r>
      <t xml:space="preserve">s_EV </t>
    </r>
    <r>
      <rPr>
        <vertAlign val="subscript"/>
        <sz val="11"/>
        <color theme="1"/>
        <rFont val="Calibri"/>
        <family val="2"/>
        <scheme val="minor"/>
      </rPr>
      <t>far-c</t>
    </r>
  </si>
  <si>
    <r>
      <t xml:space="preserve">s_EV </t>
    </r>
    <r>
      <rPr>
        <vertAlign val="subscript"/>
        <sz val="11"/>
        <color theme="1"/>
        <rFont val="Calibri"/>
        <family val="2"/>
        <scheme val="minor"/>
      </rPr>
      <t>far-a</t>
    </r>
  </si>
  <si>
    <r>
      <t xml:space="preserve">s_DF </t>
    </r>
    <r>
      <rPr>
        <vertAlign val="subscript"/>
        <sz val="11"/>
        <rFont val="Calibri"/>
        <family val="2"/>
        <scheme val="minor"/>
      </rPr>
      <t>i</t>
    </r>
  </si>
  <si>
    <t>s_C</t>
  </si>
  <si>
    <t>MUTTBTF</t>
  </si>
  <si>
    <t>GOATBTF</t>
  </si>
  <si>
    <t>GOATMILKBTF</t>
  </si>
  <si>
    <t>MUTTMILKBTF</t>
  </si>
  <si>
    <t>SE</t>
  </si>
  <si>
    <t>~Ba-137m</t>
  </si>
  <si>
    <t>~Po-218</t>
  </si>
  <si>
    <t>~Pb-214</t>
  </si>
  <si>
    <t>~Np-237</t>
  </si>
  <si>
    <t>~Pa-233</t>
  </si>
  <si>
    <t>~U-233</t>
  </si>
  <si>
    <t>~Th-229</t>
  </si>
  <si>
    <t>~Ra-225</t>
  </si>
  <si>
    <t>~Ac-225</t>
  </si>
  <si>
    <t>~Fr-221</t>
  </si>
  <si>
    <t>~At-217</t>
  </si>
  <si>
    <t>~Bi-213</t>
  </si>
  <si>
    <t>~Po-213</t>
  </si>
  <si>
    <t>~Tl-209</t>
  </si>
  <si>
    <t>~Pb-209</t>
  </si>
  <si>
    <t>~Rn-222</t>
  </si>
  <si>
    <t>~At-218</t>
  </si>
  <si>
    <t>~Bi-214</t>
  </si>
  <si>
    <t>~Rn-218</t>
  </si>
  <si>
    <t>~Po-214</t>
  </si>
  <si>
    <t>~Tl-210</t>
  </si>
  <si>
    <t>~Pb-210</t>
  </si>
  <si>
    <t>~Bi-210</t>
  </si>
  <si>
    <t>~Hg-206</t>
  </si>
  <si>
    <t>~Po-210</t>
  </si>
  <si>
    <t>~Tl-206</t>
  </si>
  <si>
    <t>~Cs-137</t>
  </si>
  <si>
    <t>~Am-241</t>
  </si>
  <si>
    <t>~Ra-226</t>
  </si>
  <si>
    <r>
      <t xml:space="preserve">Q </t>
    </r>
    <r>
      <rPr>
        <vertAlign val="subscript"/>
        <sz val="11"/>
        <rFont val="Calibri"/>
        <family val="2"/>
        <scheme val="minor"/>
      </rPr>
      <t>w-sheep</t>
    </r>
  </si>
  <si>
    <r>
      <t xml:space="preserve">Q </t>
    </r>
    <r>
      <rPr>
        <vertAlign val="subscript"/>
        <sz val="11"/>
        <rFont val="Calibri"/>
        <family val="2"/>
        <scheme val="minor"/>
      </rPr>
      <t>p-sheep</t>
    </r>
  </si>
  <si>
    <r>
      <t xml:space="preserve">Q </t>
    </r>
    <r>
      <rPr>
        <vertAlign val="subscript"/>
        <sz val="11"/>
        <rFont val="Calibri"/>
        <family val="2"/>
        <scheme val="minor"/>
      </rPr>
      <t>s-sheep</t>
    </r>
  </si>
  <si>
    <r>
      <t xml:space="preserve">f </t>
    </r>
    <r>
      <rPr>
        <vertAlign val="subscript"/>
        <sz val="11"/>
        <rFont val="Calibri"/>
        <family val="2"/>
        <scheme val="minor"/>
      </rPr>
      <t>p-sheep</t>
    </r>
  </si>
  <si>
    <r>
      <t xml:space="preserve">f </t>
    </r>
    <r>
      <rPr>
        <vertAlign val="subscript"/>
        <sz val="11"/>
        <rFont val="Calibri"/>
        <family val="2"/>
        <scheme val="minor"/>
      </rPr>
      <t>s-sheep</t>
    </r>
  </si>
  <si>
    <r>
      <t>IRSH</t>
    </r>
    <r>
      <rPr>
        <vertAlign val="subscript"/>
        <sz val="11"/>
        <color theme="1"/>
        <rFont val="Calibri"/>
        <family val="2"/>
        <scheme val="minor"/>
      </rPr>
      <t xml:space="preserve"> far-c</t>
    </r>
  </si>
  <si>
    <r>
      <t xml:space="preserve">IRSH </t>
    </r>
    <r>
      <rPr>
        <vertAlign val="subscript"/>
        <sz val="11"/>
        <color theme="1"/>
        <rFont val="Calibri"/>
        <family val="2"/>
        <scheme val="minor"/>
      </rPr>
      <t>far-a</t>
    </r>
  </si>
  <si>
    <r>
      <t xml:space="preserve">IFSH </t>
    </r>
    <r>
      <rPr>
        <vertAlign val="subscript"/>
        <sz val="11"/>
        <color theme="1"/>
        <rFont val="Calibri"/>
        <family val="2"/>
        <scheme val="minor"/>
      </rPr>
      <t>far-adj</t>
    </r>
  </si>
  <si>
    <r>
      <t xml:space="preserve">CF </t>
    </r>
    <r>
      <rPr>
        <vertAlign val="subscript"/>
        <sz val="11"/>
        <rFont val="Calibri"/>
        <family val="2"/>
        <scheme val="minor"/>
      </rPr>
      <t>far-sheep</t>
    </r>
  </si>
  <si>
    <r>
      <t xml:space="preserve">s_CF </t>
    </r>
    <r>
      <rPr>
        <vertAlign val="subscript"/>
        <sz val="11"/>
        <rFont val="Calibri"/>
        <family val="2"/>
        <scheme val="minor"/>
      </rPr>
      <t>far-sheep</t>
    </r>
  </si>
  <si>
    <r>
      <t>s_IRSH</t>
    </r>
    <r>
      <rPr>
        <vertAlign val="subscript"/>
        <sz val="11"/>
        <color theme="1"/>
        <rFont val="Calibri"/>
        <family val="2"/>
        <scheme val="minor"/>
      </rPr>
      <t xml:space="preserve"> far-c</t>
    </r>
  </si>
  <si>
    <r>
      <t xml:space="preserve">s_IRSH </t>
    </r>
    <r>
      <rPr>
        <vertAlign val="subscript"/>
        <sz val="11"/>
        <color theme="1"/>
        <rFont val="Calibri"/>
        <family val="2"/>
        <scheme val="minor"/>
      </rPr>
      <t>far-a</t>
    </r>
  </si>
  <si>
    <r>
      <t xml:space="preserve">s_IFSH </t>
    </r>
    <r>
      <rPr>
        <vertAlign val="subscript"/>
        <sz val="11"/>
        <color theme="1"/>
        <rFont val="Calibri"/>
        <family val="2"/>
        <scheme val="minor"/>
      </rPr>
      <t>far-adj</t>
    </r>
  </si>
  <si>
    <r>
      <t xml:space="preserve">s_Q </t>
    </r>
    <r>
      <rPr>
        <vertAlign val="subscript"/>
        <sz val="11"/>
        <rFont val="Calibri"/>
        <family val="2"/>
        <scheme val="minor"/>
      </rPr>
      <t>w-sheep</t>
    </r>
  </si>
  <si>
    <r>
      <t xml:space="preserve">s_Q </t>
    </r>
    <r>
      <rPr>
        <vertAlign val="subscript"/>
        <sz val="11"/>
        <rFont val="Calibri"/>
        <family val="2"/>
        <scheme val="minor"/>
      </rPr>
      <t>p-sheep</t>
    </r>
  </si>
  <si>
    <r>
      <t xml:space="preserve">s_Q </t>
    </r>
    <r>
      <rPr>
        <vertAlign val="subscript"/>
        <sz val="11"/>
        <rFont val="Calibri"/>
        <family val="2"/>
        <scheme val="minor"/>
      </rPr>
      <t>s-sheep</t>
    </r>
  </si>
  <si>
    <r>
      <t xml:space="preserve">s_f </t>
    </r>
    <r>
      <rPr>
        <vertAlign val="subscript"/>
        <sz val="11"/>
        <rFont val="Calibri"/>
        <family val="2"/>
        <scheme val="minor"/>
      </rPr>
      <t>p-sheep</t>
    </r>
  </si>
  <si>
    <r>
      <t xml:space="preserve">s_f </t>
    </r>
    <r>
      <rPr>
        <vertAlign val="subscript"/>
        <sz val="11"/>
        <rFont val="Calibri"/>
        <family val="2"/>
        <scheme val="minor"/>
      </rPr>
      <t>s-sheep</t>
    </r>
  </si>
  <si>
    <t>s_x</t>
  </si>
  <si>
    <t>risk_fsh_ing</t>
  </si>
  <si>
    <t>cdi_res_prod_ing_tot</t>
  </si>
  <si>
    <t>cdi_res_apple</t>
  </si>
  <si>
    <t>cdi_res_aspar</t>
  </si>
  <si>
    <t>cdi_res_beet</t>
  </si>
  <si>
    <t>cdi_res_berry</t>
  </si>
  <si>
    <t>cdi_res_broc</t>
  </si>
  <si>
    <t>cdi_res_cabb</t>
  </si>
  <si>
    <t>cdi_res_carr</t>
  </si>
  <si>
    <t>cdi_res_citrus</t>
  </si>
  <si>
    <t>cdi_res_corn</t>
  </si>
  <si>
    <t>cdi_res_cucum</t>
  </si>
  <si>
    <t>cdi_res_lett</t>
  </si>
  <si>
    <t>cdi_res_lima</t>
  </si>
  <si>
    <t>cdi_res_okra</t>
  </si>
  <si>
    <t>cdi_res_onion</t>
  </si>
  <si>
    <t>cdi_res_peach</t>
  </si>
  <si>
    <t>cdi_res_pear</t>
  </si>
  <si>
    <t>cdi_res_pea</t>
  </si>
  <si>
    <t>cdi_res_potat</t>
  </si>
  <si>
    <t>cdi_res_pump</t>
  </si>
  <si>
    <t>cdi_res_snap</t>
  </si>
  <si>
    <t>cdi_res_straw</t>
  </si>
  <si>
    <t>cdi_res_tom</t>
  </si>
  <si>
    <t>cdi_res_rice</t>
  </si>
  <si>
    <t>cdi_res_cereal</t>
  </si>
  <si>
    <t>cdi_far_prod_ing_tot</t>
  </si>
  <si>
    <t>INSTRUCTIONS</t>
  </si>
  <si>
    <t>Tab Descriptions</t>
  </si>
  <si>
    <r>
      <t>The</t>
    </r>
    <r>
      <rPr>
        <i/>
        <sz val="11"/>
        <rFont val="Arial"/>
        <family val="2"/>
      </rPr>
      <t xml:space="preserve"> 'RadSpec' </t>
    </r>
    <r>
      <rPr>
        <sz val="11"/>
        <rFont val="Arial"/>
        <family val="2"/>
      </rPr>
      <t>tab contains most isotope specific parameters like slope factors.</t>
    </r>
  </si>
  <si>
    <r>
      <t>The '</t>
    </r>
    <r>
      <rPr>
        <i/>
        <sz val="11"/>
        <rFont val="Arial"/>
        <family val="2"/>
      </rPr>
      <t>def_acf</t>
    </r>
    <r>
      <rPr>
        <sz val="11"/>
        <rFont val="Arial"/>
        <family val="2"/>
      </rPr>
      <t>' tab contains ACFs for slab size 1, cover layer 0, which is used to test recreator output using default input values.</t>
    </r>
  </si>
  <si>
    <t>The 'd' tab contains all the non isotope specific default exposure parameters that are used to calculate PRGs in the defaults tabs.</t>
  </si>
  <si>
    <t xml:space="preserve">The 'ss' tab contains all the non isotope specific site-specific exposure parameters that are used to calculate PRGs in the site specific tabs. </t>
  </si>
  <si>
    <t>Relevant Cell Descriptions on Green Tabs</t>
  </si>
  <si>
    <t>These cells, in column A, represent the primary QA isotopes.</t>
  </si>
  <si>
    <t>These cells, in column A, represent the progeny for the primary QA isotopes.</t>
  </si>
  <si>
    <t>These cells represent 'Chronic Daily Intakes'.</t>
  </si>
  <si>
    <r>
      <t xml:space="preserve">In column B, under the </t>
    </r>
    <r>
      <rPr>
        <b/>
        <sz val="10"/>
        <rFont val="Arial"/>
        <family val="2"/>
      </rPr>
      <t xml:space="preserve">'TEST' </t>
    </r>
    <r>
      <rPr>
        <sz val="10"/>
        <rFont val="Arial"/>
        <family val="2"/>
      </rPr>
      <t>filter, a value of '</t>
    </r>
    <r>
      <rPr>
        <b/>
        <sz val="10"/>
        <rFont val="Arial"/>
        <family val="2"/>
      </rPr>
      <t>Y</t>
    </r>
    <r>
      <rPr>
        <sz val="10"/>
        <rFont val="Arial"/>
        <family val="2"/>
      </rPr>
      <t>' means it is a primary test isotope and '</t>
    </r>
    <r>
      <rPr>
        <b/>
        <sz val="10"/>
        <rFont val="Arial"/>
        <family val="2"/>
      </rPr>
      <t>SE</t>
    </r>
    <r>
      <rPr>
        <sz val="10"/>
        <rFont val="Arial"/>
        <family val="2"/>
      </rPr>
      <t>' means it is a progeny for a primary test isotope.</t>
    </r>
  </si>
  <si>
    <t>These cells are intermediate calculation steps for determining total that are not presented in the online tool output.</t>
  </si>
  <si>
    <t>Other Important Notes</t>
  </si>
  <si>
    <t>Since this tool is used to calculate 'risk', the one hit rule is applied when the risk of exposure by route for a single isotope, summation of all routes for a single isotope, summation of single route for all isotopes, or summation of all routes for all isotopes exceed 0.01.</t>
  </si>
  <si>
    <r>
      <t xml:space="preserve">These tabs present PRGs in units of pCi for the output option that assumes secular equilibrium. Tabs that do not begin with 's_ ' or 'up_ 'should be used to test the default output. Tabs that begin with 's_' should be used to test the site-specific output and use inputs from the 'ss' tab . </t>
    </r>
    <r>
      <rPr>
        <b/>
        <sz val="11"/>
        <color indexed="9"/>
        <rFont val="Arial"/>
        <family val="2"/>
      </rPr>
      <t xml:space="preserve">Tabs that begin with 'up_' should be used to test the site-specific user provided output and use inputs from the 'ss'. </t>
    </r>
  </si>
  <si>
    <r>
      <t>The '</t>
    </r>
    <r>
      <rPr>
        <i/>
        <sz val="11"/>
        <rFont val="Arial"/>
        <family val="2"/>
      </rPr>
      <t>dir</t>
    </r>
    <r>
      <rPr>
        <sz val="11"/>
        <rFont val="Arial"/>
        <family val="2"/>
      </rPr>
      <t>' tabs contain the direct ingestion PRGs for resident and farmer scenarios.</t>
    </r>
  </si>
  <si>
    <t>The 'b2s' tabs contain the PRGs back calculated to soil for resident and farmer scenarios.</t>
  </si>
  <si>
    <t>The 'b2w' tabs contain the PRGs back calculated to water for resident and farmer scenarios.</t>
  </si>
  <si>
    <t>The point of this QA sheet is to replicate the 'Default', 'Site-Specific with Defaults', and 'Site-Specific User Provided' output results for the PRG (Preliminary Remediation Goals for Radionuclide Contaminants at Superfund Sites) calculator. Below are instructions for understanding the ins and outs of this spreadsheet. Due to the higher than normal processing time for calculating secular equilibrium, this QA sheet only calculates secular equilibrium PRGs for 4 isotopes including Am-241, Ca-137, Rn-222, &amp; Ra-226).</t>
  </si>
  <si>
    <t>prg_soil_ing</t>
  </si>
  <si>
    <t>prg_soil_inh</t>
  </si>
  <si>
    <t>prg_soil_ext</t>
  </si>
  <si>
    <t>prg_soil_tot</t>
  </si>
  <si>
    <t>prg_wat_ing</t>
  </si>
  <si>
    <t>prg_food_produce</t>
  </si>
  <si>
    <t>prg_soil_produce</t>
  </si>
  <si>
    <t>prg_soil_poultry</t>
  </si>
  <si>
    <t>prg_soil_egg</t>
  </si>
  <si>
    <t>prg_soil_beef</t>
  </si>
  <si>
    <t>prg_soil_dairy</t>
  </si>
  <si>
    <t>prg_soil_swine</t>
  </si>
  <si>
    <t>prg_soil_fish</t>
  </si>
  <si>
    <t>soil_ing</t>
  </si>
  <si>
    <t>soil_inh</t>
  </si>
  <si>
    <t>soil_ext</t>
  </si>
  <si>
    <t>soil_produce</t>
  </si>
  <si>
    <t>soil_poultry</t>
  </si>
  <si>
    <t>soil_egg</t>
  </si>
  <si>
    <t>soil_beef</t>
  </si>
  <si>
    <t>soil_dairy</t>
  </si>
  <si>
    <t>soil_swine</t>
  </si>
  <si>
    <t>soil_fish</t>
  </si>
  <si>
    <t>water_ing</t>
  </si>
  <si>
    <t>water_inh</t>
  </si>
  <si>
    <t>water_imm</t>
  </si>
  <si>
    <t>water_produce</t>
  </si>
  <si>
    <t>water_poultry</t>
  </si>
  <si>
    <t>water_egg</t>
  </si>
  <si>
    <t>water_beef</t>
  </si>
  <si>
    <t>water_dairy</t>
  </si>
  <si>
    <t>water_swine</t>
  </si>
  <si>
    <t>water_fish</t>
  </si>
  <si>
    <t>prg_wat_tot</t>
  </si>
  <si>
    <t>prg_food_ingv</t>
  </si>
  <si>
    <t>prg_tap_ing</t>
  </si>
  <si>
    <t>prg_tap_inh</t>
  </si>
  <si>
    <t>prg_tap_imm</t>
  </si>
  <si>
    <t>prg_tap_tot</t>
  </si>
  <si>
    <t>prg_fsh_ing</t>
  </si>
  <si>
    <t>prg_air_inh</t>
  </si>
  <si>
    <t>prg_air_sub</t>
  </si>
  <si>
    <t>prg_air_tot</t>
  </si>
  <si>
    <t>prg_tap_produce</t>
  </si>
  <si>
    <t>prg_wat_imm</t>
  </si>
  <si>
    <t>prg_game_ing</t>
  </si>
  <si>
    <t>prg_fowl_ing</t>
  </si>
  <si>
    <t>prg_wat_game_ing</t>
  </si>
  <si>
    <t>prg_wat_fowl_ing</t>
  </si>
  <si>
    <t>prg_soil_fowl_ing</t>
  </si>
  <si>
    <t>prg_soil_game_ing</t>
  </si>
  <si>
    <t>prg_soil_sv</t>
  </si>
  <si>
    <t>prg_soil_1cm</t>
  </si>
  <si>
    <t>prg_soil_5cm</t>
  </si>
  <si>
    <t>prg_soil_15cm</t>
  </si>
  <si>
    <t>prg_soil_gp</t>
  </si>
  <si>
    <t>cdi_soil_ing</t>
  </si>
  <si>
    <t>cdi_soil_inh</t>
  </si>
  <si>
    <t>cdi_soil_ext</t>
  </si>
  <si>
    <t>cdi_soil_produce</t>
  </si>
  <si>
    <t>risk_soil_ing</t>
  </si>
  <si>
    <t>risk_soil_inh</t>
  </si>
  <si>
    <t>risk_soil_ext</t>
  </si>
  <si>
    <t>risk_soil_produce</t>
  </si>
  <si>
    <t>risk_soil_tot</t>
  </si>
  <si>
    <t>risk_soil_sv</t>
  </si>
  <si>
    <t>risk_soil_1cm</t>
  </si>
  <si>
    <t>risk_soil_5cm</t>
  </si>
  <si>
    <t>risk_soil_15cm</t>
  </si>
  <si>
    <t>risk_soil_gp</t>
  </si>
  <si>
    <t>cdi_soil_sv</t>
  </si>
  <si>
    <t>cdi_soil_1cm</t>
  </si>
  <si>
    <t>cdi_soil_5cm</t>
  </si>
  <si>
    <t>cdi_soil_15cm</t>
  </si>
  <si>
    <t>cdi_soil_gp</t>
  </si>
  <si>
    <t>cdi_air_inh</t>
  </si>
  <si>
    <t>cdi_air_sub</t>
  </si>
  <si>
    <t>risk_air_inh</t>
  </si>
  <si>
    <t>risk_air_sub</t>
  </si>
  <si>
    <t>risk_air_tot</t>
  </si>
  <si>
    <t>risk_tap_ing</t>
  </si>
  <si>
    <t>risk_tap_inh</t>
  </si>
  <si>
    <t>risk_tap_imm</t>
  </si>
  <si>
    <t>risk_tap_produce</t>
  </si>
  <si>
    <t>risk_tap_tot</t>
  </si>
  <si>
    <t>cdi_tap_ing</t>
  </si>
  <si>
    <t>cdi_tap_inh</t>
  </si>
  <si>
    <t>cdi_tap_imm</t>
  </si>
  <si>
    <t>cdi_tap_produce</t>
  </si>
  <si>
    <t>cdi_fsh_ing</t>
  </si>
  <si>
    <t>FC</t>
  </si>
  <si>
    <t>These cells represent fractional contribution applied to CDIs used to determine risk. These values are not presented in the tool risk output.</t>
  </si>
  <si>
    <t>These cells represent fractional contribution applied to PRGs. If individuals progeny are included in the output these values will be presented in the tool output.</t>
  </si>
  <si>
    <t>These cells represent 'Risk' for individual progeny.</t>
  </si>
  <si>
    <t>These cells represent 'Total Risk' by route and media.</t>
  </si>
  <si>
    <t>These cells represent secular equilibrium PRGs by route and media.</t>
  </si>
  <si>
    <t>prg_produce</t>
  </si>
  <si>
    <t>prg_poultry</t>
  </si>
  <si>
    <t>prg_egg</t>
  </si>
  <si>
    <t>prg_beef</t>
  </si>
  <si>
    <t>prg_dairy</t>
  </si>
  <si>
    <t>prg_swine</t>
  </si>
  <si>
    <t>prg_fish</t>
  </si>
  <si>
    <t>prg_goat</t>
  </si>
  <si>
    <t>prg_sheep</t>
  </si>
  <si>
    <t>prg_g-dairy</t>
  </si>
  <si>
    <t>prg_sh-dairy</t>
  </si>
  <si>
    <t>prg_soil_goat</t>
  </si>
  <si>
    <t>prg_soil_sheep</t>
  </si>
  <si>
    <t>prg_soil_g-dairy</t>
  </si>
  <si>
    <t>prg_soil_sh-dairy</t>
  </si>
  <si>
    <t>soil_goat</t>
  </si>
  <si>
    <t>soil_sheep</t>
  </si>
  <si>
    <t>soil_g-dairy</t>
  </si>
  <si>
    <t>soil_sh-dairy</t>
  </si>
  <si>
    <t>prg_water_ing</t>
  </si>
  <si>
    <t>prg_water_inh</t>
  </si>
  <si>
    <t>prg_water_imm</t>
  </si>
  <si>
    <t>prg_water_produce</t>
  </si>
  <si>
    <t>prg_water_poultry</t>
  </si>
  <si>
    <t>prg_water_egg</t>
  </si>
  <si>
    <t>prg_water_beef</t>
  </si>
  <si>
    <t>prg_water_dairy</t>
  </si>
  <si>
    <t>prg_water_swine</t>
  </si>
  <si>
    <t>prg_water_fish</t>
  </si>
  <si>
    <t>prg_water_goat</t>
  </si>
  <si>
    <t>prg_water_sheep</t>
  </si>
  <si>
    <t>prg_water_g-dairy</t>
  </si>
  <si>
    <t>prg_water_sh-dairy</t>
  </si>
  <si>
    <t>water_goat</t>
  </si>
  <si>
    <t>water_sheep</t>
  </si>
  <si>
    <t>water_g-dairy</t>
  </si>
  <si>
    <t>water_sh-dairy</t>
  </si>
  <si>
    <t>prg_water_tot</t>
  </si>
  <si>
    <t>cdi_produce</t>
  </si>
  <si>
    <t>cdi_poultry</t>
  </si>
  <si>
    <t>cdi_egg</t>
  </si>
  <si>
    <t>cdi_beef</t>
  </si>
  <si>
    <t>cdi_dairy</t>
  </si>
  <si>
    <t>cdi_swine</t>
  </si>
  <si>
    <t>cdi_fish</t>
  </si>
  <si>
    <t>cdi_goat</t>
  </si>
  <si>
    <t>cdi_sheep</t>
  </si>
  <si>
    <t>cdi_g-dairy</t>
  </si>
  <si>
    <t>cdi_sh-dairy</t>
  </si>
  <si>
    <t>risk_produce</t>
  </si>
  <si>
    <t>risk_poultry</t>
  </si>
  <si>
    <t>risk_egg</t>
  </si>
  <si>
    <t>risk_beef</t>
  </si>
  <si>
    <t>risk_dairy</t>
  </si>
  <si>
    <t>risk_swine</t>
  </si>
  <si>
    <t>risk_fish</t>
  </si>
  <si>
    <t>risk_goat</t>
  </si>
  <si>
    <t>risk_sheep</t>
  </si>
  <si>
    <t>risk_g-dairy</t>
  </si>
  <si>
    <t>risk_sh-dairy</t>
  </si>
  <si>
    <t>cdi_soil_poultry</t>
  </si>
  <si>
    <t>cdi_soil_egg</t>
  </si>
  <si>
    <t>cdi_soil_beef</t>
  </si>
  <si>
    <t>cdi_soil_dairy</t>
  </si>
  <si>
    <t>cdi_soil_swine</t>
  </si>
  <si>
    <t>cdi_soil_fish</t>
  </si>
  <si>
    <t>cdi_soil_goat</t>
  </si>
  <si>
    <t>cdi_soil_sheep</t>
  </si>
  <si>
    <t>cdi_soil_g-dairy</t>
  </si>
  <si>
    <t>cdi_soil_sh-dairy</t>
  </si>
  <si>
    <t>risk_soil_poultry</t>
  </si>
  <si>
    <t>risk_soil_egg</t>
  </si>
  <si>
    <t>risk_soil_beef</t>
  </si>
  <si>
    <t>risk_soil_dairy</t>
  </si>
  <si>
    <t>risk_soil_swine</t>
  </si>
  <si>
    <t>risk_soil_fish</t>
  </si>
  <si>
    <t>risk_soil_goat</t>
  </si>
  <si>
    <t>risk_soil_sheep</t>
  </si>
  <si>
    <t>risk_soil_g-dairy</t>
  </si>
  <si>
    <t>risk_soil_sh-dairy</t>
  </si>
  <si>
    <t>cdi_water_ing</t>
  </si>
  <si>
    <t>cdi_water_inh</t>
  </si>
  <si>
    <t>cdi_water_imm</t>
  </si>
  <si>
    <t>cdi_water_produce</t>
  </si>
  <si>
    <t>cdi_water_fish</t>
  </si>
  <si>
    <t>cdi_water_beef</t>
  </si>
  <si>
    <t>cdi_water_dairy</t>
  </si>
  <si>
    <t>cdi_water_swine</t>
  </si>
  <si>
    <t>cdi_water_poultry</t>
  </si>
  <si>
    <t>cdi_water_egg</t>
  </si>
  <si>
    <t>cdi_water_goat</t>
  </si>
  <si>
    <t>cdi_water_g-dairy</t>
  </si>
  <si>
    <t>cdi_water_sheep</t>
  </si>
  <si>
    <t>cdi_water_sh-dairy</t>
  </si>
  <si>
    <t>risk_water_ing</t>
  </si>
  <si>
    <t>risk_water_inh</t>
  </si>
  <si>
    <t>risk_water_imm</t>
  </si>
  <si>
    <t>risk_water_produce</t>
  </si>
  <si>
    <t>risk_water_fish</t>
  </si>
  <si>
    <t>risk_water_beef</t>
  </si>
  <si>
    <t>risk_water_dairy</t>
  </si>
  <si>
    <t>risk_water_swine</t>
  </si>
  <si>
    <t>risk_water_poultry</t>
  </si>
  <si>
    <t>risk_water_egg</t>
  </si>
  <si>
    <t>risk_water_goat</t>
  </si>
  <si>
    <t>risk_water_g-dairy</t>
  </si>
  <si>
    <t>risk_water_sheep</t>
  </si>
  <si>
    <t>risk_water_sh-dairy</t>
  </si>
  <si>
    <t>risk_water_tot</t>
  </si>
  <si>
    <t>cdi_wat_ing</t>
  </si>
  <si>
    <t>cdi_wat_imm</t>
  </si>
  <si>
    <t>risk_wat_ing</t>
  </si>
  <si>
    <t>risk_wat_imm</t>
  </si>
  <si>
    <t>risk_wat_tot</t>
  </si>
  <si>
    <t>cdi_game_ing</t>
  </si>
  <si>
    <t>cdi_soil_game_ing</t>
  </si>
  <si>
    <t>cdi_wat_game_ing</t>
  </si>
  <si>
    <t>cdi_fowl_ing</t>
  </si>
  <si>
    <t>cdi_soil_fowl_ing</t>
  </si>
  <si>
    <t>cdi_wat_fowl_ing</t>
  </si>
  <si>
    <t>risk_game_ing</t>
  </si>
  <si>
    <t>risk_soil_game_ing</t>
  </si>
  <si>
    <t>risk_wat_game_ing</t>
  </si>
  <si>
    <t>risk_fowl_ing</t>
  </si>
  <si>
    <t>risk_soil_fowl_ing</t>
  </si>
  <si>
    <t>risk_wat_fowl_ing</t>
  </si>
  <si>
    <t>mcl_water_conc</t>
  </si>
  <si>
    <t>risk_water_conc</t>
  </si>
  <si>
    <t>mcl_water_sl</t>
  </si>
  <si>
    <t>risk_water_sl</t>
  </si>
  <si>
    <t>s_DAF</t>
  </si>
  <si>
    <t>For the 'Site-Specific with Defaults' and 'Site-Specific User Provided' tabs, the ACF is based on 20,000 and the GSFs are based on 20.</t>
  </si>
  <si>
    <t>cdi_far_apple</t>
  </si>
  <si>
    <t>cdi_far_aspar</t>
  </si>
  <si>
    <t>cdi_far_beet</t>
  </si>
  <si>
    <t>cdi_far_berry</t>
  </si>
  <si>
    <t>cdi_far_broc</t>
  </si>
  <si>
    <t>cdi_far_cabb</t>
  </si>
  <si>
    <t>cdi_far_carr</t>
  </si>
  <si>
    <t>cdi_far_citrus</t>
  </si>
  <si>
    <t>cdi_far_corn</t>
  </si>
  <si>
    <t>cdi_far_cucum</t>
  </si>
  <si>
    <t>cdi_far_lett</t>
  </si>
  <si>
    <t>cdi_far_lima</t>
  </si>
  <si>
    <t>cdi_far_okra</t>
  </si>
  <si>
    <t>cdi_far_onion</t>
  </si>
  <si>
    <t>cdi_far_peach</t>
  </si>
  <si>
    <t>cdi_far_pear</t>
  </si>
  <si>
    <t>cdi_far_pea</t>
  </si>
  <si>
    <t>cdi_far_potat</t>
  </si>
  <si>
    <t>cdi_far_pump</t>
  </si>
  <si>
    <t>cdi_far_snap</t>
  </si>
  <si>
    <t>cdi_far_straw</t>
  </si>
  <si>
    <t>cdi_far_tom</t>
  </si>
  <si>
    <t>cdi_far_rice</t>
  </si>
  <si>
    <t>cdi_far_grain</t>
  </si>
  <si>
    <t>prg_far_prod_ing_tot</t>
  </si>
  <si>
    <t>prg_far_apple</t>
  </si>
  <si>
    <t>prg_far_aspar</t>
  </si>
  <si>
    <t>prg_far_beet</t>
  </si>
  <si>
    <t>prg_far_berry</t>
  </si>
  <si>
    <t>prg_far_broc</t>
  </si>
  <si>
    <t>prg_far_cabb</t>
  </si>
  <si>
    <t>prg_far_carr</t>
  </si>
  <si>
    <t>prg_far_citrus</t>
  </si>
  <si>
    <t>prg_far_corn</t>
  </si>
  <si>
    <t>prg_far_cucum</t>
  </si>
  <si>
    <t>prg_far_lett</t>
  </si>
  <si>
    <t>prg_far_lima</t>
  </si>
  <si>
    <t>prg_far_okra</t>
  </si>
  <si>
    <t>prg_far_onion</t>
  </si>
  <si>
    <t>prg_far_peach</t>
  </si>
  <si>
    <t>prg_far_pear</t>
  </si>
  <si>
    <t>prg_far_pea</t>
  </si>
  <si>
    <t>prg_far_potat</t>
  </si>
  <si>
    <t>prg_far_pump</t>
  </si>
  <si>
    <t>prg_far_snap</t>
  </si>
  <si>
    <t>prg_far_straw</t>
  </si>
  <si>
    <t>prg_far_tom</t>
  </si>
  <si>
    <t>prg_far_rice</t>
  </si>
  <si>
    <t>prg_far_grain</t>
  </si>
  <si>
    <t>prg_res_prod_ing_tot</t>
  </si>
  <si>
    <t>prg_res_apple</t>
  </si>
  <si>
    <t>prg_res_aspar</t>
  </si>
  <si>
    <t>prg_res_beet</t>
  </si>
  <si>
    <t>prg_res_berry</t>
  </si>
  <si>
    <t>prg_res_broc</t>
  </si>
  <si>
    <t>prg_res_cabb</t>
  </si>
  <si>
    <t>prg_res_carr</t>
  </si>
  <si>
    <t>prg_res_citrus</t>
  </si>
  <si>
    <t>prg_res_corn</t>
  </si>
  <si>
    <t>prg_res_cucum</t>
  </si>
  <si>
    <t>prg_res_lett</t>
  </si>
  <si>
    <t>prg_res_lima</t>
  </si>
  <si>
    <t>prg_res_okra</t>
  </si>
  <si>
    <t>prg_res_onion</t>
  </si>
  <si>
    <t>prg_res_peach</t>
  </si>
  <si>
    <t>prg_res_pear</t>
  </si>
  <si>
    <t>prg_res_pea</t>
  </si>
  <si>
    <t>prg_res_potat</t>
  </si>
  <si>
    <t>prg_res_pump</t>
  </si>
  <si>
    <t>prg_res_snap</t>
  </si>
  <si>
    <t>prg_res_straw</t>
  </si>
  <si>
    <t>prg_res_tom</t>
  </si>
  <si>
    <t>prg_res_rice</t>
  </si>
  <si>
    <t>prg_res_cereal</t>
  </si>
  <si>
    <t>prg_far_soil_prod_ing_tot</t>
  </si>
  <si>
    <t>res_water_prod_ing_tot</t>
  </si>
  <si>
    <t>prg_res_soil_prod_ing_tot</t>
  </si>
  <si>
    <t>prg_far_water_prod_ing_tot</t>
  </si>
  <si>
    <t>IAEA</t>
  </si>
  <si>
    <t>EA</t>
  </si>
  <si>
    <t>NCRP</t>
  </si>
  <si>
    <t>Other</t>
  </si>
  <si>
    <t>In the 'd' and 'ss' tabs, these cells are calculated based on specific inputs and cannot be altered unless the respective inputs are altered.</t>
  </si>
  <si>
    <t>Any tab that contains Bv are tabs that contain soil to plant transfer coefficients. 'd_ss' contains default transfer coefficents and 'up' contains altered trasfer coefficients.</t>
  </si>
  <si>
    <t>Disclaimer: This archived file was intended for internal review but has been posted due to interest in historical reviews. This file is no longer used to quality assure the EPA PRG calculator as the calculator has undergone significant updates. Quality assurance spreadsheets have been updated accordingly and are provided on the internal verification page of the EPA PRG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</si>
</sst>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00000000000"/>
  </numFmts>
  <fonts count="36" x14ac:knownFonts="1">
    <font>
      <sz val="11"/>
      <color theme="1"/>
      <name val="Calibri"/>
      <family val="2"/>
      <scheme val="minor"/>
    </font>
    <font>
      <b/>
      <sz val="10"/>
      <name val="Arial"/>
      <family val="2"/>
    </font>
    <font>
      <sz val="11"/>
      <color theme="1"/>
      <name val="Calibri"/>
      <family val="2"/>
      <scheme val="minor"/>
    </font>
    <font>
      <b/>
      <sz val="14"/>
      <color theme="1"/>
      <name val="Calibri"/>
      <family val="2"/>
      <scheme val="minor"/>
    </font>
    <font>
      <vertAlign val="subscript"/>
      <sz val="12"/>
      <color theme="1"/>
      <name val="Calibri"/>
      <family val="2"/>
      <scheme val="minor"/>
    </font>
    <font>
      <sz val="11"/>
      <color rgb="FF005C00"/>
      <name val="Calibri"/>
      <family val="2"/>
      <scheme val="minor"/>
    </font>
    <font>
      <sz val="10"/>
      <name val="Arial"/>
      <family val="2"/>
    </font>
    <font>
      <vertAlign val="subscript"/>
      <sz val="11"/>
      <color theme="1"/>
      <name val="Calibri"/>
      <family val="2"/>
      <scheme val="minor"/>
    </font>
    <font>
      <sz val="11"/>
      <name val="Calibri"/>
      <family val="2"/>
      <scheme val="minor"/>
    </font>
    <font>
      <vertAlign val="subscript"/>
      <sz val="11"/>
      <name val="Calibri"/>
      <family val="2"/>
      <scheme val="minor"/>
    </font>
    <font>
      <sz val="10"/>
      <name val="Arial"/>
      <family val="2"/>
      <charset val="1"/>
    </font>
    <font>
      <sz val="12"/>
      <color theme="1"/>
      <name val="Calibri"/>
      <family val="2"/>
      <scheme val="minor"/>
    </font>
    <font>
      <sz val="11"/>
      <color rgb="FF7030A0"/>
      <name val="Calibri"/>
      <family val="2"/>
      <scheme val="minor"/>
    </font>
    <font>
      <b/>
      <sz val="11"/>
      <color theme="1"/>
      <name val="Calibri"/>
      <family val="2"/>
      <scheme val="minor"/>
    </font>
    <font>
      <b/>
      <sz val="10"/>
      <name val="Arial"/>
      <family val="2"/>
    </font>
    <font>
      <sz val="9"/>
      <color indexed="81"/>
      <name val="Tahoma"/>
      <family val="2"/>
    </font>
    <font>
      <b/>
      <sz val="9"/>
      <color indexed="81"/>
      <name val="Tahoma"/>
      <family val="2"/>
    </font>
    <font>
      <i/>
      <sz val="9"/>
      <color theme="1"/>
      <name val="Calibri"/>
      <family val="2"/>
      <scheme val="minor"/>
    </font>
    <font>
      <b/>
      <sz val="10"/>
      <color rgb="FFFF0000"/>
      <name val="Arial"/>
      <family val="2"/>
    </font>
    <font>
      <i/>
      <sz val="11"/>
      <color theme="1"/>
      <name val="Calibri"/>
      <family val="2"/>
      <scheme val="minor"/>
    </font>
    <font>
      <sz val="11"/>
      <color rgb="FF151515"/>
      <name val="Calibri"/>
      <family val="2"/>
      <scheme val="minor"/>
    </font>
    <font>
      <b/>
      <i/>
      <sz val="11"/>
      <color theme="1"/>
      <name val="Calibri"/>
      <family val="2"/>
      <scheme val="minor"/>
    </font>
    <font>
      <i/>
      <sz val="11"/>
      <name val="Calibri"/>
      <family val="2"/>
      <scheme val="minor"/>
    </font>
    <font>
      <b/>
      <sz val="22"/>
      <color rgb="FFFF0000"/>
      <name val="Arial"/>
      <family val="2"/>
    </font>
    <font>
      <b/>
      <sz val="11"/>
      <name val="Arial"/>
      <family val="2"/>
    </font>
    <font>
      <sz val="12"/>
      <name val="Arial"/>
      <family val="2"/>
    </font>
    <font>
      <b/>
      <sz val="12"/>
      <name val="Arial"/>
      <family val="2"/>
    </font>
    <font>
      <b/>
      <sz val="11"/>
      <color theme="0"/>
      <name val="Arial"/>
      <family val="2"/>
    </font>
    <font>
      <b/>
      <sz val="11"/>
      <color indexed="9"/>
      <name val="Arial"/>
      <family val="2"/>
    </font>
    <font>
      <sz val="11"/>
      <name val="Arial"/>
      <family val="2"/>
    </font>
    <font>
      <i/>
      <sz val="11"/>
      <name val="Arial"/>
      <family val="2"/>
    </font>
    <font>
      <b/>
      <i/>
      <sz val="11"/>
      <color theme="0"/>
      <name val="Calibri"/>
      <family val="2"/>
      <scheme val="minor"/>
    </font>
    <font>
      <sz val="10"/>
      <color theme="0"/>
      <name val="Arial"/>
      <family val="2"/>
    </font>
    <font>
      <sz val="11"/>
      <color theme="9" tint="-0.499984740745262"/>
      <name val="Calibri"/>
      <family val="2"/>
      <scheme val="minor"/>
    </font>
    <font>
      <sz val="10"/>
      <color rgb="FF008000"/>
      <name val="Arial"/>
      <family val="2"/>
    </font>
    <font>
      <b/>
      <sz val="12"/>
      <color rgb="FFFF0000"/>
      <name val="Arial"/>
      <family val="2"/>
    </font>
  </fonts>
  <fills count="16">
    <fill>
      <patternFill patternType="none"/>
    </fill>
    <fill>
      <patternFill patternType="gray125"/>
    </fill>
    <fill>
      <patternFill patternType="solid">
        <fgColor theme="8" tint="0.79998168889431442"/>
        <bgColor indexed="64"/>
      </patternFill>
    </fill>
    <fill>
      <patternFill patternType="solid">
        <fgColor rgb="FFB3FFB3"/>
        <bgColor indexed="64"/>
      </patternFill>
    </fill>
    <fill>
      <patternFill patternType="solid">
        <fgColor theme="7" tint="0.79998168889431442"/>
        <bgColor indexed="64"/>
      </patternFill>
    </fill>
    <fill>
      <patternFill patternType="solid">
        <fgColor rgb="FFFFCCFF"/>
        <bgColor indexed="64"/>
      </patternFill>
    </fill>
    <fill>
      <patternFill patternType="solid">
        <fgColor rgb="FFCCCCFF"/>
        <bgColor indexed="64"/>
      </patternFill>
    </fill>
    <fill>
      <patternFill patternType="solid">
        <fgColor rgb="FFCCFFCC"/>
        <bgColor indexed="64"/>
      </patternFill>
    </fill>
    <fill>
      <patternFill patternType="solid">
        <fgColor rgb="FFE9D9FF"/>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5" tint="0.39997558519241921"/>
        <bgColor indexed="64"/>
      </patternFill>
    </fill>
  </fills>
  <borders count="7">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10" fillId="0" borderId="0"/>
    <xf numFmtId="0" fontId="6" fillId="0" borderId="0"/>
    <xf numFmtId="0" fontId="6" fillId="0" borderId="0"/>
    <xf numFmtId="0" fontId="6" fillId="0" borderId="0"/>
  </cellStyleXfs>
  <cellXfs count="205">
    <xf numFmtId="0" fontId="0" fillId="0" borderId="0" xfId="0"/>
    <xf numFmtId="0" fontId="8" fillId="0" borderId="0" xfId="0" applyFont="1" applyFill="1"/>
    <xf numFmtId="11" fontId="0" fillId="0" borderId="0" xfId="0" applyNumberFormat="1" applyAlignment="1">
      <alignment horizontal="left"/>
    </xf>
    <xf numFmtId="0" fontId="0" fillId="0" borderId="0" xfId="0" applyAlignment="1">
      <alignment horizontal="left"/>
    </xf>
    <xf numFmtId="0" fontId="0" fillId="0" borderId="0" xfId="0" applyAlignment="1" applyProtection="1">
      <alignment horizontal="left"/>
      <protection locked="0"/>
    </xf>
    <xf numFmtId="11" fontId="0" fillId="0" borderId="0" xfId="0" applyNumberFormat="1" applyAlignment="1" applyProtection="1">
      <alignment horizontal="left"/>
      <protection locked="0"/>
    </xf>
    <xf numFmtId="11" fontId="14" fillId="0" borderId="0" xfId="0" applyNumberFormat="1" applyFont="1" applyAlignment="1" applyProtection="1">
      <alignment horizontal="left"/>
      <protection locked="0"/>
    </xf>
    <xf numFmtId="11" fontId="13" fillId="0" borderId="0" xfId="0" applyNumberFormat="1" applyFont="1" applyFill="1" applyBorder="1" applyAlignment="1">
      <alignment horizontal="left" vertical="center"/>
    </xf>
    <xf numFmtId="11" fontId="13" fillId="0" borderId="0" xfId="0" applyNumberFormat="1" applyFont="1" applyAlignment="1">
      <alignment horizontal="left" vertical="center"/>
    </xf>
    <xf numFmtId="0" fontId="13" fillId="0" borderId="0" xfId="0" applyFont="1" applyAlignment="1">
      <alignment horizontal="left"/>
    </xf>
    <xf numFmtId="0" fontId="13" fillId="0" borderId="0" xfId="0" applyNumberFormat="1" applyFont="1" applyFill="1" applyBorder="1"/>
    <xf numFmtId="11" fontId="14" fillId="0" borderId="0" xfId="0" applyNumberFormat="1" applyFont="1" applyProtection="1">
      <protection locked="0"/>
    </xf>
    <xf numFmtId="11" fontId="0" fillId="0" borderId="0" xfId="0" applyNumberFormat="1" applyProtection="1">
      <protection locked="0"/>
    </xf>
    <xf numFmtId="11" fontId="1" fillId="0" borderId="0" xfId="0" applyNumberFormat="1" applyFont="1" applyProtection="1">
      <protection locked="0"/>
    </xf>
    <xf numFmtId="0" fontId="0" fillId="0" borderId="0" xfId="0" applyAlignment="1">
      <alignment horizontal="left" vertical="top"/>
    </xf>
    <xf numFmtId="11" fontId="0" fillId="0" borderId="0" xfId="0" applyNumberFormat="1" applyAlignment="1" applyProtection="1">
      <alignment horizontal="left"/>
    </xf>
    <xf numFmtId="11" fontId="19" fillId="4" borderId="0" xfId="0" applyNumberFormat="1" applyFont="1" applyFill="1" applyAlignment="1">
      <alignment horizontal="left"/>
    </xf>
    <xf numFmtId="0" fontId="0" fillId="0" borderId="0" xfId="0" applyFill="1" applyAlignment="1">
      <alignment horizontal="left"/>
    </xf>
    <xf numFmtId="11" fontId="0" fillId="0" borderId="0" xfId="0" applyNumberFormat="1" applyFill="1" applyAlignment="1" applyProtection="1">
      <alignment horizontal="left"/>
      <protection locked="0"/>
    </xf>
    <xf numFmtId="11" fontId="0" fillId="4" borderId="0" xfId="0" applyNumberFormat="1" applyFill="1" applyAlignment="1">
      <alignment horizontal="left"/>
    </xf>
    <xf numFmtId="0" fontId="23" fillId="0" borderId="0" xfId="3" applyFont="1" applyAlignment="1" applyProtection="1">
      <alignment horizontal="center" vertical="center"/>
    </xf>
    <xf numFmtId="0" fontId="23" fillId="0" borderId="0" xfId="3" applyFont="1" applyAlignment="1" applyProtection="1">
      <alignment vertical="center"/>
      <protection locked="0"/>
    </xf>
    <xf numFmtId="0" fontId="6" fillId="0" borderId="0" xfId="3" applyProtection="1">
      <protection locked="0"/>
    </xf>
    <xf numFmtId="0" fontId="24" fillId="0" borderId="0" xfId="3" applyFont="1" applyAlignment="1" applyProtection="1">
      <alignment wrapText="1"/>
      <protection locked="0"/>
    </xf>
    <xf numFmtId="0" fontId="24" fillId="0" borderId="0" xfId="3" applyFont="1" applyAlignment="1" applyProtection="1">
      <alignment wrapText="1"/>
    </xf>
    <xf numFmtId="0" fontId="25" fillId="0" borderId="0" xfId="3" applyFont="1" applyAlignment="1" applyProtection="1">
      <alignment wrapText="1"/>
    </xf>
    <xf numFmtId="0" fontId="26" fillId="0" borderId="0" xfId="3" applyFont="1" applyAlignment="1" applyProtection="1">
      <alignment horizontal="center"/>
    </xf>
    <xf numFmtId="0" fontId="27" fillId="10" borderId="1" xfId="3" applyFont="1" applyFill="1" applyBorder="1" applyAlignment="1" applyProtection="1">
      <alignment wrapText="1"/>
    </xf>
    <xf numFmtId="0" fontId="27" fillId="0" borderId="0" xfId="3" applyFont="1" applyFill="1" applyAlignment="1" applyProtection="1">
      <protection locked="0"/>
    </xf>
    <xf numFmtId="0" fontId="24" fillId="0" borderId="2" xfId="3" applyFont="1" applyFill="1" applyBorder="1" applyProtection="1"/>
    <xf numFmtId="0" fontId="29" fillId="0" borderId="2" xfId="3" applyFont="1" applyBorder="1" applyProtection="1"/>
    <xf numFmtId="0" fontId="29" fillId="0" borderId="3" xfId="3" applyFont="1" applyBorder="1" applyProtection="1"/>
    <xf numFmtId="0" fontId="6" fillId="9" borderId="1" xfId="4" applyFont="1" applyFill="1" applyBorder="1" applyProtection="1"/>
    <xf numFmtId="0" fontId="6" fillId="6" borderId="2" xfId="4" applyFont="1" applyFill="1" applyBorder="1" applyProtection="1"/>
    <xf numFmtId="0" fontId="6" fillId="4" borderId="2" xfId="4" applyFont="1" applyFill="1" applyBorder="1" applyProtection="1"/>
    <xf numFmtId="0" fontId="6" fillId="0" borderId="3" xfId="3" applyFont="1" applyBorder="1" applyAlignment="1" applyProtection="1">
      <alignment wrapText="1"/>
    </xf>
    <xf numFmtId="0" fontId="6" fillId="0" borderId="0" xfId="3" applyProtection="1"/>
    <xf numFmtId="0" fontId="0" fillId="0" borderId="0" xfId="0" applyFill="1" applyAlignment="1">
      <alignment horizontal="left" vertical="top"/>
    </xf>
    <xf numFmtId="11" fontId="17" fillId="11" borderId="0" xfId="0" applyNumberFormat="1" applyFont="1" applyFill="1" applyAlignment="1" applyProtection="1">
      <alignment horizontal="left" vertical="top"/>
    </xf>
    <xf numFmtId="11" fontId="1" fillId="0" borderId="0" xfId="0" applyNumberFormat="1" applyFont="1" applyAlignment="1" applyProtection="1">
      <alignment horizontal="left"/>
    </xf>
    <xf numFmtId="11" fontId="0" fillId="4" borderId="0" xfId="0" applyNumberFormat="1" applyFill="1" applyAlignment="1" applyProtection="1">
      <alignment horizontal="left"/>
    </xf>
    <xf numFmtId="11" fontId="19" fillId="12" borderId="0" xfId="0" applyNumberFormat="1" applyFont="1" applyFill="1" applyAlignment="1" applyProtection="1">
      <alignment horizontal="left"/>
    </xf>
    <xf numFmtId="0" fontId="0" fillId="0" borderId="0" xfId="0" applyAlignment="1" applyProtection="1">
      <alignment horizontal="left"/>
    </xf>
    <xf numFmtId="11" fontId="19" fillId="4" borderId="0" xfId="0" applyNumberFormat="1" applyFont="1" applyFill="1" applyAlignment="1" applyProtection="1">
      <alignment horizontal="left"/>
    </xf>
    <xf numFmtId="0" fontId="0" fillId="6" borderId="0" xfId="0" applyFill="1" applyAlignment="1" applyProtection="1">
      <alignment horizontal="left"/>
    </xf>
    <xf numFmtId="11" fontId="0" fillId="0" borderId="0" xfId="0" applyNumberFormat="1" applyFill="1" applyAlignment="1" applyProtection="1">
      <alignment horizontal="left"/>
    </xf>
    <xf numFmtId="0" fontId="0" fillId="9" borderId="0" xfId="0" applyFill="1" applyAlignment="1" applyProtection="1">
      <alignment horizontal="left"/>
    </xf>
    <xf numFmtId="11" fontId="31" fillId="13" borderId="0" xfId="0" applyNumberFormat="1" applyFont="1" applyFill="1" applyAlignment="1" applyProtection="1">
      <alignment horizontal="left"/>
    </xf>
    <xf numFmtId="11" fontId="19" fillId="0" borderId="0" xfId="0" applyNumberFormat="1" applyFont="1" applyAlignment="1" applyProtection="1">
      <alignment horizontal="left"/>
    </xf>
    <xf numFmtId="11" fontId="0" fillId="12" borderId="0" xfId="0" applyNumberFormat="1" applyFill="1" applyAlignment="1" applyProtection="1">
      <alignment horizontal="left"/>
    </xf>
    <xf numFmtId="11" fontId="20" fillId="0" borderId="0" xfId="0" applyNumberFormat="1" applyFont="1" applyAlignment="1" applyProtection="1">
      <alignment horizontal="left"/>
    </xf>
    <xf numFmtId="11" fontId="0" fillId="0" borderId="0" xfId="0" applyNumberFormat="1" applyFont="1" applyAlignment="1" applyProtection="1">
      <alignment horizontal="left"/>
    </xf>
    <xf numFmtId="11" fontId="0" fillId="0" borderId="0" xfId="0" applyNumberFormat="1" applyFont="1" applyFill="1" applyAlignment="1" applyProtection="1">
      <alignment horizontal="left"/>
    </xf>
    <xf numFmtId="0" fontId="6" fillId="0" borderId="3" xfId="3" applyFont="1" applyBorder="1" applyProtection="1"/>
    <xf numFmtId="0" fontId="32" fillId="13" borderId="2" xfId="4" applyFont="1" applyFill="1" applyBorder="1" applyProtection="1"/>
    <xf numFmtId="0" fontId="6" fillId="14" borderId="2" xfId="4" applyFont="1" applyFill="1" applyBorder="1" applyProtection="1"/>
    <xf numFmtId="0" fontId="6" fillId="15" borderId="2" xfId="4" applyFont="1" applyFill="1" applyBorder="1" applyProtection="1"/>
    <xf numFmtId="11" fontId="13" fillId="15" borderId="0" xfId="0" applyNumberFormat="1" applyFont="1" applyFill="1" applyAlignment="1" applyProtection="1">
      <alignment horizontal="left"/>
    </xf>
    <xf numFmtId="11" fontId="19" fillId="15" borderId="0" xfId="0" applyNumberFormat="1" applyFont="1" applyFill="1" applyAlignment="1" applyProtection="1">
      <alignment horizontal="left"/>
    </xf>
    <xf numFmtId="11" fontId="21" fillId="15" borderId="0" xfId="0" applyNumberFormat="1" applyFont="1" applyFill="1" applyAlignment="1" applyProtection="1">
      <alignment horizontal="left"/>
    </xf>
    <xf numFmtId="11" fontId="0" fillId="14" borderId="0" xfId="0" applyNumberFormat="1" applyFill="1" applyAlignment="1" applyProtection="1">
      <alignment horizontal="left"/>
    </xf>
    <xf numFmtId="11" fontId="19" fillId="15" borderId="0" xfId="0" applyNumberFormat="1" applyFont="1" applyFill="1" applyAlignment="1">
      <alignment horizontal="left"/>
    </xf>
    <xf numFmtId="11" fontId="21" fillId="15" borderId="0" xfId="0" applyNumberFormat="1" applyFont="1" applyFill="1" applyAlignment="1">
      <alignment horizontal="left"/>
    </xf>
    <xf numFmtId="11" fontId="0" fillId="14" borderId="0" xfId="0" applyNumberFormat="1" applyFill="1" applyAlignment="1">
      <alignment horizontal="left"/>
    </xf>
    <xf numFmtId="0" fontId="0" fillId="0" borderId="0" xfId="0" applyFill="1" applyAlignment="1" applyProtection="1">
      <alignment horizontal="left" vertical="top"/>
    </xf>
    <xf numFmtId="11" fontId="0" fillId="0" borderId="0" xfId="0" applyNumberFormat="1" applyFill="1" applyAlignment="1" applyProtection="1">
      <alignment horizontal="left" vertical="top"/>
    </xf>
    <xf numFmtId="0" fontId="6" fillId="11" borderId="4" xfId="3" applyFont="1" applyFill="1" applyBorder="1" applyAlignment="1" applyProtection="1">
      <alignment wrapText="1"/>
    </xf>
    <xf numFmtId="0" fontId="6" fillId="2" borderId="2" xfId="3" applyFont="1" applyFill="1" applyBorder="1" applyAlignment="1" applyProtection="1">
      <alignment wrapText="1"/>
    </xf>
    <xf numFmtId="0" fontId="6" fillId="12" borderId="2" xfId="4" applyFont="1" applyFill="1" applyBorder="1" applyProtection="1"/>
    <xf numFmtId="11" fontId="19" fillId="12" borderId="0" xfId="0" applyNumberFormat="1" applyFont="1" applyFill="1" applyAlignment="1">
      <alignment horizontal="left"/>
    </xf>
    <xf numFmtId="11" fontId="21" fillId="2" borderId="0" xfId="0" applyNumberFormat="1" applyFont="1" applyFill="1" applyAlignment="1" applyProtection="1">
      <alignment horizontal="left"/>
    </xf>
    <xf numFmtId="11" fontId="0" fillId="2" borderId="0" xfId="0" applyNumberFormat="1" applyFill="1" applyAlignment="1" applyProtection="1">
      <alignment horizontal="left"/>
    </xf>
    <xf numFmtId="11" fontId="8" fillId="2" borderId="0" xfId="0" applyNumberFormat="1" applyFont="1" applyFill="1" applyAlignment="1" applyProtection="1">
      <alignment horizontal="left"/>
    </xf>
    <xf numFmtId="11" fontId="19" fillId="2" borderId="0" xfId="0" applyNumberFormat="1" applyFont="1" applyFill="1" applyAlignment="1" applyProtection="1">
      <alignment horizontal="left"/>
    </xf>
    <xf numFmtId="0" fontId="18" fillId="0" borderId="5" xfId="3" applyFont="1" applyFill="1" applyBorder="1" applyProtection="1"/>
    <xf numFmtId="0" fontId="0" fillId="0" borderId="0" xfId="0" applyAlignment="1" applyProtection="1">
      <alignment horizontal="left" vertical="center"/>
      <protection locked="0"/>
    </xf>
    <xf numFmtId="11" fontId="0" fillId="0" borderId="0" xfId="0" applyNumberFormat="1" applyAlignment="1" applyProtection="1">
      <alignment horizontal="left" vertical="center"/>
    </xf>
    <xf numFmtId="0" fontId="0" fillId="0" borderId="0" xfId="0" applyAlignment="1">
      <alignment horizontal="left" vertical="center"/>
    </xf>
    <xf numFmtId="0" fontId="1" fillId="0" borderId="0" xfId="0" applyFont="1" applyAlignment="1" applyProtection="1">
      <alignment horizontal="left"/>
    </xf>
    <xf numFmtId="0" fontId="14" fillId="0" borderId="0" xfId="0" applyFont="1" applyAlignment="1" applyProtection="1">
      <alignment horizontal="left"/>
    </xf>
    <xf numFmtId="0" fontId="8" fillId="0" borderId="0" xfId="0" applyFont="1" applyAlignment="1" applyProtection="1">
      <alignment horizontal="left" vertical="top"/>
    </xf>
    <xf numFmtId="0" fontId="19" fillId="4" borderId="0" xfId="0" applyFont="1" applyFill="1" applyAlignment="1" applyProtection="1">
      <alignment horizontal="left"/>
    </xf>
    <xf numFmtId="0" fontId="0" fillId="15" borderId="0" xfId="0" applyFill="1" applyAlignment="1" applyProtection="1">
      <alignment horizontal="left"/>
    </xf>
    <xf numFmtId="0" fontId="19" fillId="0" borderId="0" xfId="0" applyFont="1" applyAlignment="1" applyProtection="1">
      <alignment horizontal="left"/>
    </xf>
    <xf numFmtId="0" fontId="20" fillId="0" borderId="0" xfId="0" applyFont="1" applyAlignment="1" applyProtection="1">
      <alignment horizontal="left"/>
    </xf>
    <xf numFmtId="0" fontId="0" fillId="0" borderId="0" xfId="0" applyFont="1" applyAlignment="1" applyProtection="1">
      <alignment horizontal="left"/>
    </xf>
    <xf numFmtId="0" fontId="0" fillId="0" borderId="0" xfId="0" applyNumberFormat="1" applyAlignment="1" applyProtection="1">
      <alignment horizontal="left"/>
    </xf>
    <xf numFmtId="0" fontId="1" fillId="0" borderId="0" xfId="0" applyFont="1" applyAlignment="1" applyProtection="1">
      <alignment horizontal="left" vertical="center"/>
    </xf>
    <xf numFmtId="0" fontId="14" fillId="0" borderId="0" xfId="0" applyFont="1" applyAlignment="1" applyProtection="1">
      <alignment horizontal="left" vertical="center"/>
    </xf>
    <xf numFmtId="0" fontId="8" fillId="0" borderId="0" xfId="0" applyFont="1" applyAlignment="1" applyProtection="1">
      <alignment horizontal="left" vertical="center"/>
    </xf>
    <xf numFmtId="0" fontId="0" fillId="0" borderId="0" xfId="0" applyAlignment="1" applyProtection="1">
      <alignment horizontal="left" vertical="center"/>
    </xf>
    <xf numFmtId="0" fontId="19" fillId="4" borderId="0" xfId="0" applyFont="1" applyFill="1" applyAlignment="1" applyProtection="1">
      <alignment horizontal="left" vertical="center"/>
    </xf>
    <xf numFmtId="0" fontId="0" fillId="6" borderId="0" xfId="0" applyFill="1" applyAlignment="1" applyProtection="1">
      <alignment horizontal="left" vertical="center"/>
    </xf>
    <xf numFmtId="11" fontId="0" fillId="4" borderId="0" xfId="0" applyNumberFormat="1" applyFill="1" applyAlignment="1" applyProtection="1">
      <alignment horizontal="left" vertical="center"/>
    </xf>
    <xf numFmtId="0" fontId="0" fillId="9" borderId="0" xfId="0" applyFill="1" applyAlignment="1" applyProtection="1">
      <alignment horizontal="left" vertical="center"/>
    </xf>
    <xf numFmtId="0" fontId="0" fillId="15" borderId="0" xfId="0" applyFill="1" applyAlignment="1" applyProtection="1">
      <alignment horizontal="left" vertical="center"/>
    </xf>
    <xf numFmtId="11" fontId="19" fillId="15" borderId="0" xfId="0" applyNumberFormat="1" applyFont="1" applyFill="1" applyAlignment="1" applyProtection="1">
      <alignment horizontal="left" vertical="center"/>
    </xf>
    <xf numFmtId="11" fontId="31" fillId="13" borderId="0" xfId="0" applyNumberFormat="1" applyFont="1" applyFill="1" applyAlignment="1" applyProtection="1">
      <alignment horizontal="left" vertical="center"/>
    </xf>
    <xf numFmtId="11" fontId="22" fillId="15" borderId="0" xfId="0" applyNumberFormat="1" applyFont="1" applyFill="1" applyAlignment="1" applyProtection="1">
      <alignment horizontal="left" vertical="center"/>
    </xf>
    <xf numFmtId="0" fontId="19" fillId="0" borderId="0" xfId="0" applyFont="1" applyAlignment="1" applyProtection="1">
      <alignment horizontal="left" vertical="center"/>
    </xf>
    <xf numFmtId="11" fontId="0" fillId="14" borderId="0" xfId="0" applyNumberFormat="1" applyFill="1" applyAlignment="1" applyProtection="1">
      <alignment horizontal="left" vertical="center"/>
    </xf>
    <xf numFmtId="11" fontId="0" fillId="12" borderId="0" xfId="0" applyNumberFormat="1" applyFill="1" applyAlignment="1" applyProtection="1">
      <alignment horizontal="left" vertical="center"/>
    </xf>
    <xf numFmtId="0" fontId="20" fillId="0" borderId="0" xfId="0" applyFont="1" applyAlignment="1" applyProtection="1">
      <alignment horizontal="left" vertical="center"/>
    </xf>
    <xf numFmtId="0" fontId="0" fillId="0" borderId="0" xfId="0" applyFont="1" applyAlignment="1" applyProtection="1">
      <alignment horizontal="left" vertical="center"/>
    </xf>
    <xf numFmtId="0" fontId="0" fillId="0" borderId="0" xfId="0" applyNumberFormat="1" applyAlignment="1" applyProtection="1">
      <alignment horizontal="left" vertical="center"/>
    </xf>
    <xf numFmtId="11" fontId="5" fillId="3" borderId="0" xfId="0" applyNumberFormat="1" applyFont="1" applyFill="1" applyAlignment="1" applyProtection="1">
      <alignment horizontal="left"/>
    </xf>
    <xf numFmtId="11" fontId="13" fillId="0" borderId="0" xfId="0" applyNumberFormat="1" applyFont="1" applyAlignment="1" applyProtection="1">
      <alignment horizontal="left"/>
      <protection locked="0"/>
    </xf>
    <xf numFmtId="0" fontId="13" fillId="0" borderId="0" xfId="0" applyFont="1" applyAlignment="1" applyProtection="1">
      <alignment horizontal="left"/>
      <protection locked="0"/>
    </xf>
    <xf numFmtId="11" fontId="13" fillId="0" borderId="0" xfId="0" applyNumberFormat="1" applyFont="1" applyFill="1" applyAlignment="1" applyProtection="1">
      <alignment horizontal="left" vertical="center"/>
      <protection locked="0"/>
    </xf>
    <xf numFmtId="11" fontId="13" fillId="0" borderId="0" xfId="0" applyNumberFormat="1" applyFont="1" applyAlignment="1" applyProtection="1">
      <alignment horizontal="left" vertical="center"/>
      <protection locked="0"/>
    </xf>
    <xf numFmtId="11" fontId="13" fillId="0" borderId="0" xfId="0" applyNumberFormat="1" applyFont="1" applyFill="1" applyBorder="1" applyAlignment="1" applyProtection="1">
      <alignment horizontal="left" vertical="center"/>
      <protection locked="0"/>
    </xf>
    <xf numFmtId="11" fontId="0" fillId="0" borderId="0" xfId="0" applyNumberFormat="1" applyAlignment="1" applyProtection="1">
      <alignment horizontal="right"/>
      <protection locked="0"/>
    </xf>
    <xf numFmtId="0" fontId="0" fillId="0" borderId="0" xfId="0" applyProtection="1"/>
    <xf numFmtId="0" fontId="8" fillId="0" borderId="0" xfId="0" applyFont="1" applyFill="1" applyProtection="1"/>
    <xf numFmtId="0" fontId="34" fillId="3" borderId="1" xfId="3" applyFont="1" applyFill="1" applyBorder="1" applyProtection="1"/>
    <xf numFmtId="11" fontId="8" fillId="0" borderId="0" xfId="0" applyNumberFormat="1" applyFont="1" applyFill="1" applyAlignment="1" applyProtection="1">
      <alignment horizontal="left" vertical="center"/>
    </xf>
    <xf numFmtId="11" fontId="8" fillId="0" borderId="0" xfId="0" applyNumberFormat="1" applyFont="1" applyFill="1" applyProtection="1"/>
    <xf numFmtId="11" fontId="8" fillId="0" borderId="0" xfId="0" applyNumberFormat="1" applyFont="1" applyFill="1" applyAlignment="1" applyProtection="1">
      <alignment horizontal="left"/>
    </xf>
    <xf numFmtId="0" fontId="19" fillId="4" borderId="0" xfId="0" applyFont="1" applyFill="1" applyAlignment="1" applyProtection="1">
      <alignment horizontal="left" vertical="top"/>
    </xf>
    <xf numFmtId="0" fontId="19" fillId="12" borderId="0" xfId="0" applyFont="1" applyFill="1" applyAlignment="1" applyProtection="1">
      <alignment horizontal="left" vertical="top"/>
    </xf>
    <xf numFmtId="11" fontId="17" fillId="11" borderId="0" xfId="0" applyNumberFormat="1" applyFont="1" applyFill="1" applyAlignment="1" applyProtection="1">
      <alignment horizontal="left"/>
    </xf>
    <xf numFmtId="0" fontId="19" fillId="15" borderId="0" xfId="0" applyNumberFormat="1" applyFont="1" applyFill="1" applyAlignment="1" applyProtection="1">
      <alignment horizontal="left"/>
    </xf>
    <xf numFmtId="0" fontId="0" fillId="0" borderId="0" xfId="0" applyProtection="1">
      <protection locked="0"/>
    </xf>
    <xf numFmtId="11" fontId="0" fillId="0" borderId="0" xfId="0" applyNumberFormat="1" applyAlignment="1" applyProtection="1">
      <alignment horizontal="center"/>
    </xf>
    <xf numFmtId="11" fontId="0" fillId="14" borderId="0" xfId="0" applyNumberFormat="1" applyFill="1" applyAlignment="1" applyProtection="1">
      <alignment horizontal="center"/>
    </xf>
    <xf numFmtId="11" fontId="22" fillId="15" borderId="0" xfId="0" applyNumberFormat="1" applyFont="1" applyFill="1" applyAlignment="1" applyProtection="1">
      <alignment horizontal="left"/>
    </xf>
    <xf numFmtId="0" fontId="0" fillId="0" borderId="0" xfId="0"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8" fillId="0" borderId="0" xfId="2" applyFont="1" applyBorder="1" applyAlignment="1" applyProtection="1">
      <alignment horizontal="center" vertical="center"/>
      <protection locked="0"/>
    </xf>
    <xf numFmtId="0" fontId="8" fillId="0" borderId="0" xfId="0" applyNumberFormat="1" applyFont="1" applyFill="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0" fontId="0" fillId="0" borderId="0" xfId="0" applyFont="1" applyBorder="1" applyAlignment="1" applyProtection="1">
      <alignment horizontal="left" vertical="center"/>
      <protection locked="0"/>
    </xf>
    <xf numFmtId="0" fontId="0" fillId="0" borderId="0" xfId="0"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10" fillId="0" borderId="0" xfId="1" applyBorder="1" applyAlignment="1" applyProtection="1">
      <alignment vertical="center"/>
      <protection locked="0"/>
    </xf>
    <xf numFmtId="0" fontId="0" fillId="0" borderId="0" xfId="0" applyBorder="1" applyAlignment="1" applyProtection="1">
      <alignment vertical="center"/>
      <protection locked="0"/>
    </xf>
    <xf numFmtId="0" fontId="0" fillId="0" borderId="0" xfId="0" applyNumberFormat="1" applyFont="1" applyFill="1" applyBorder="1" applyAlignment="1" applyProtection="1">
      <alignment vertical="center"/>
      <protection locked="0"/>
    </xf>
    <xf numFmtId="0" fontId="8" fillId="0" borderId="0" xfId="1" applyFont="1" applyBorder="1" applyAlignment="1" applyProtection="1">
      <alignment vertical="center"/>
      <protection locked="0"/>
    </xf>
    <xf numFmtId="0" fontId="2" fillId="0" borderId="0" xfId="0" applyFont="1" applyBorder="1" applyAlignment="1" applyProtection="1">
      <alignment vertical="center"/>
      <protection locked="0"/>
    </xf>
    <xf numFmtId="0" fontId="0" fillId="0" borderId="0" xfId="0" applyFont="1" applyFill="1" applyBorder="1" applyAlignment="1" applyProtection="1">
      <alignment vertical="center"/>
      <protection locked="0"/>
    </xf>
    <xf numFmtId="0" fontId="8" fillId="0" borderId="0" xfId="1"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0" fontId="5"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164" fontId="5" fillId="0" borderId="0" xfId="0" applyNumberFormat="1" applyFont="1" applyFill="1" applyBorder="1" applyAlignment="1" applyProtection="1">
      <alignment horizontal="center" vertical="center"/>
      <protection locked="0"/>
    </xf>
    <xf numFmtId="0" fontId="5" fillId="0" borderId="0"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8" fillId="0" borderId="0" xfId="2" applyFont="1" applyFill="1" applyBorder="1" applyAlignment="1" applyProtection="1">
      <alignment horizontal="center" vertical="center"/>
      <protection locked="0"/>
    </xf>
    <xf numFmtId="0" fontId="0" fillId="0" borderId="0" xfId="0" applyFont="1" applyBorder="1" applyAlignment="1" applyProtection="1">
      <alignment vertical="center"/>
      <protection locked="0"/>
    </xf>
    <xf numFmtId="11" fontId="5" fillId="0" borderId="0" xfId="0" applyNumberFormat="1" applyFont="1" applyFill="1" applyBorder="1" applyAlignment="1" applyProtection="1">
      <alignment horizontal="center" vertical="center"/>
      <protection locked="0"/>
    </xf>
    <xf numFmtId="0" fontId="8" fillId="0" borderId="0" xfId="2" applyFont="1" applyBorder="1" applyAlignment="1" applyProtection="1">
      <alignment vertical="center"/>
      <protection locked="0"/>
    </xf>
    <xf numFmtId="0" fontId="0" fillId="0" borderId="0" xfId="0" applyNumberFormat="1" applyFont="1" applyFill="1" applyBorder="1" applyAlignment="1" applyProtection="1">
      <alignment horizontal="center" vertical="center"/>
      <protection locked="0"/>
    </xf>
    <xf numFmtId="11" fontId="5" fillId="3" borderId="0" xfId="0" applyNumberFormat="1" applyFont="1" applyFill="1" applyBorder="1" applyAlignment="1" applyProtection="1">
      <alignment horizontal="center" vertical="center"/>
    </xf>
    <xf numFmtId="0" fontId="33" fillId="3" borderId="0"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11" fontId="0" fillId="0" borderId="0" xfId="0" applyNumberFormat="1" applyFont="1" applyBorder="1" applyAlignment="1" applyProtection="1">
      <alignment horizontal="center" vertical="center"/>
      <protection locked="0"/>
    </xf>
    <xf numFmtId="0" fontId="8"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horizontal="center" vertical="center"/>
      <protection locked="0"/>
    </xf>
    <xf numFmtId="1" fontId="8" fillId="0" borderId="0"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33" fillId="3" borderId="0" xfId="0" applyNumberFormat="1" applyFont="1" applyFill="1" applyBorder="1" applyAlignment="1" applyProtection="1">
      <alignment horizontal="center" vertical="center"/>
    </xf>
    <xf numFmtId="11" fontId="0" fillId="0" borderId="0" xfId="0" applyNumberFormat="1" applyFont="1" applyBorder="1" applyAlignment="1" applyProtection="1">
      <alignment vertical="center"/>
      <protection locked="0"/>
    </xf>
    <xf numFmtId="11" fontId="8" fillId="0" borderId="0" xfId="0" applyNumberFormat="1" applyFont="1" applyFill="1" applyBorder="1" applyAlignment="1" applyProtection="1">
      <alignment horizontal="center" vertical="center"/>
      <protection locked="0"/>
    </xf>
    <xf numFmtId="11" fontId="14" fillId="0" borderId="0" xfId="0" applyNumberFormat="1" applyFont="1" applyAlignment="1" applyProtection="1">
      <alignment horizontal="left"/>
    </xf>
    <xf numFmtId="11" fontId="14" fillId="0" borderId="0" xfId="0" applyNumberFormat="1" applyFont="1" applyProtection="1"/>
    <xf numFmtId="11" fontId="1" fillId="0" borderId="0" xfId="0" applyNumberFormat="1" applyFont="1" applyProtection="1"/>
    <xf numFmtId="11" fontId="13" fillId="0" borderId="0" xfId="0" applyNumberFormat="1" applyFont="1" applyFill="1" applyBorder="1" applyAlignment="1" applyProtection="1">
      <alignment horizontal="left" vertical="center"/>
    </xf>
    <xf numFmtId="11" fontId="13" fillId="0" borderId="0" xfId="0" applyNumberFormat="1" applyFont="1" applyFill="1" applyAlignment="1" applyProtection="1">
      <alignment horizontal="left" vertical="center"/>
    </xf>
    <xf numFmtId="11" fontId="13" fillId="0" borderId="0" xfId="0" applyNumberFormat="1" applyFont="1" applyAlignment="1" applyProtection="1">
      <alignment horizontal="left" vertical="center"/>
    </xf>
    <xf numFmtId="0" fontId="13" fillId="0" borderId="0" xfId="0" applyFont="1" applyAlignment="1" applyProtection="1">
      <alignment horizontal="left"/>
    </xf>
    <xf numFmtId="0" fontId="13" fillId="0" borderId="0" xfId="0" applyNumberFormat="1" applyFont="1" applyFill="1" applyBorder="1" applyProtection="1"/>
    <xf numFmtId="11" fontId="13" fillId="0" borderId="0" xfId="0" applyNumberFormat="1" applyFont="1" applyAlignment="1" applyProtection="1">
      <alignment horizontal="left"/>
    </xf>
    <xf numFmtId="11" fontId="0" fillId="0" borderId="0" xfId="0" applyNumberFormat="1" applyProtection="1"/>
    <xf numFmtId="11" fontId="0" fillId="0" borderId="0" xfId="0" applyNumberFormat="1" applyAlignment="1" applyProtection="1">
      <alignment horizontal="right"/>
    </xf>
    <xf numFmtId="11" fontId="18" fillId="0" borderId="0" xfId="0" applyNumberFormat="1" applyFont="1" applyProtection="1"/>
    <xf numFmtId="11" fontId="8" fillId="14" borderId="0" xfId="0" applyNumberFormat="1" applyFont="1" applyFill="1" applyAlignment="1" applyProtection="1">
      <alignment horizontal="left"/>
    </xf>
    <xf numFmtId="0" fontId="1" fillId="0" borderId="0" xfId="0" applyFont="1" applyFill="1" applyAlignment="1" applyProtection="1">
      <alignment horizontal="left"/>
    </xf>
    <xf numFmtId="0" fontId="14" fillId="0" borderId="0" xfId="0" applyFont="1" applyFill="1" applyAlignment="1" applyProtection="1">
      <alignment horizontal="left"/>
    </xf>
    <xf numFmtId="11" fontId="0" fillId="11" borderId="0" xfId="0" applyNumberFormat="1" applyFill="1" applyAlignment="1" applyProtection="1">
      <alignment horizontal="left"/>
    </xf>
    <xf numFmtId="0" fontId="19" fillId="0" borderId="0" xfId="0" applyFont="1" applyFill="1" applyAlignment="1" applyProtection="1">
      <alignment horizontal="left"/>
    </xf>
    <xf numFmtId="0" fontId="0" fillId="0" borderId="0" xfId="0" applyFill="1" applyAlignment="1" applyProtection="1">
      <alignment horizontal="left"/>
    </xf>
    <xf numFmtId="0" fontId="20" fillId="0" borderId="0" xfId="0" applyFont="1" applyFill="1" applyAlignment="1" applyProtection="1">
      <alignment horizontal="left"/>
    </xf>
    <xf numFmtId="0" fontId="13" fillId="15" borderId="0" xfId="0" applyFont="1" applyFill="1" applyAlignment="1" applyProtection="1">
      <alignment horizontal="left"/>
    </xf>
    <xf numFmtId="0" fontId="0" fillId="0" borderId="0" xfId="0" applyFont="1" applyFill="1" applyAlignment="1" applyProtection="1">
      <alignment horizontal="left"/>
    </xf>
    <xf numFmtId="0" fontId="0" fillId="0" borderId="0" xfId="0" applyNumberFormat="1" applyFill="1" applyAlignment="1" applyProtection="1">
      <alignment horizontal="left"/>
    </xf>
    <xf numFmtId="11" fontId="0" fillId="5" borderId="0" xfId="0" applyNumberFormat="1" applyFill="1" applyAlignment="1" applyProtection="1"/>
    <xf numFmtId="11" fontId="0" fillId="4" borderId="0" xfId="0" applyNumberFormat="1" applyFill="1" applyProtection="1"/>
    <xf numFmtId="11" fontId="0" fillId="7" borderId="0" xfId="0" applyNumberFormat="1" applyFill="1" applyProtection="1"/>
    <xf numFmtId="0" fontId="13" fillId="4" borderId="0" xfId="0" applyFont="1" applyFill="1" applyAlignment="1" applyProtection="1">
      <alignment horizontal="center" vertical="center"/>
    </xf>
    <xf numFmtId="0" fontId="13" fillId="7" borderId="0" xfId="0" applyFont="1" applyFill="1" applyAlignment="1" applyProtection="1">
      <alignment horizontal="center" vertical="center"/>
    </xf>
    <xf numFmtId="0" fontId="13" fillId="5" borderId="0" xfId="0" applyFont="1" applyFill="1" applyAlignment="1" applyProtection="1">
      <alignment horizontal="center" vertical="center"/>
    </xf>
    <xf numFmtId="0" fontId="13" fillId="8" borderId="0" xfId="0" applyFont="1" applyFill="1" applyAlignment="1" applyProtection="1">
      <alignment horizontal="center" vertical="center"/>
    </xf>
    <xf numFmtId="0" fontId="19" fillId="0" borderId="0" xfId="0" applyFont="1" applyFill="1" applyAlignment="1" applyProtection="1">
      <alignment horizontal="left" vertical="center"/>
    </xf>
    <xf numFmtId="0" fontId="0" fillId="0" borderId="0" xfId="0" applyFill="1" applyAlignment="1" applyProtection="1">
      <alignment horizontal="left" vertical="center"/>
    </xf>
    <xf numFmtId="0" fontId="20" fillId="0" borderId="0" xfId="0" applyFont="1" applyFill="1" applyAlignment="1" applyProtection="1">
      <alignment horizontal="left" vertical="center"/>
    </xf>
    <xf numFmtId="0" fontId="0" fillId="0" borderId="0" xfId="0" applyFont="1" applyFill="1" applyAlignment="1" applyProtection="1">
      <alignment horizontal="left" vertical="center"/>
    </xf>
    <xf numFmtId="0" fontId="0" fillId="0" borderId="0" xfId="0" applyNumberFormat="1" applyFill="1" applyAlignment="1" applyProtection="1">
      <alignment horizontal="left" vertical="center"/>
    </xf>
    <xf numFmtId="0" fontId="0" fillId="0" borderId="0" xfId="0" applyNumberFormat="1" applyFont="1" applyBorder="1" applyAlignment="1" applyProtection="1">
      <alignment vertical="center"/>
      <protection locked="0"/>
    </xf>
    <xf numFmtId="165" fontId="0" fillId="0" borderId="0" xfId="0" applyNumberFormat="1" applyFont="1" applyBorder="1" applyAlignment="1" applyProtection="1">
      <alignment vertical="center"/>
      <protection locked="0"/>
    </xf>
    <xf numFmtId="0" fontId="3" fillId="0" borderId="0" xfId="0" applyFont="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35" fillId="0" borderId="6" xfId="3" applyFont="1" applyBorder="1" applyAlignment="1">
      <alignment horizontal="left" vertical="center" wrapText="1"/>
    </xf>
  </cellXfs>
  <cellStyles count="5">
    <cellStyle name="Excel Built-in Normal" xfId="1" xr:uid="{00000000-0005-0000-0000-000000000000}"/>
    <cellStyle name="Excel Built-in Normal 2" xfId="2" xr:uid="{00000000-0005-0000-0000-000001000000}"/>
    <cellStyle name="Normal" xfId="0" builtinId="0"/>
    <cellStyle name="Normal 2" xfId="3" xr:uid="{66F8C8A4-BE9A-4D4F-9666-749D1383DFCF}"/>
    <cellStyle name="Normal 2 2" xfId="4" xr:uid="{2CD6799B-21A8-43AC-B203-D9C414B0BCC5}"/>
  </cellStyles>
  <dxfs count="0"/>
  <tableStyles count="0" defaultTableStyle="TableStyleMedium2" defaultPivotStyle="PivotStyleLight16"/>
  <colors>
    <mruColors>
      <color rgb="FFB3FFB3"/>
      <color rgb="FF008000"/>
      <color rgb="FFCCFFCC"/>
      <color rgb="FFFFCCFF"/>
      <color rgb="FFE9D9FF"/>
      <color rgb="FFCCECFF"/>
      <color rgb="FFFF9966"/>
      <color rgb="FF9966FF"/>
      <color rgb="FFFFDDFF"/>
      <color rgb="FFF8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rnl-my.sharepoint.com/personal/k21_ornl_gov/Documents/EPA%20Tools/RAD_Master%20QA%20Sheets/2019_Internal_Verification_Spreadsheets/RADPRG_non_worker_deca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dSpec"/>
      <sheetName val="def_acf"/>
      <sheetName val="d"/>
      <sheetName val="Bv"/>
      <sheetName val="Irr"/>
      <sheetName val="dir"/>
      <sheetName val="b2s"/>
      <sheetName val="b2w"/>
      <sheetName val="res"/>
      <sheetName val="far"/>
      <sheetName val="rec"/>
      <sheetName val="sgw"/>
      <sheetName val="s_RadSpec"/>
      <sheetName val="s_Irr"/>
      <sheetName val="s_dir"/>
      <sheetName val="s_b2s"/>
      <sheetName val="s_b2w"/>
      <sheetName val="s_res"/>
      <sheetName val="s_far"/>
      <sheetName val="ss_rec"/>
      <sheetName val="ss_sgw"/>
      <sheetName val="ss"/>
      <sheetName val="up_RadSpec"/>
      <sheetName val="up_Bv"/>
      <sheetName val="up_Irr"/>
      <sheetName val="up_dir"/>
      <sheetName val="up_b2s"/>
      <sheetName val="up_b2w"/>
      <sheetName val="up_res"/>
      <sheetName val="up_far"/>
      <sheetName val="up_rec"/>
      <sheetName val="up_sgw"/>
    </sheetNames>
    <sheetDataSet>
      <sheetData sheetId="0"/>
      <sheetData sheetId="1"/>
      <sheetData sheetId="2"/>
      <sheetData sheetId="3">
        <row r="2">
          <cell r="B2">
            <v>9.9999999999999995E-7</v>
          </cell>
          <cell r="E2">
            <v>6</v>
          </cell>
          <cell r="H2">
            <v>6</v>
          </cell>
          <cell r="K2">
            <v>6</v>
          </cell>
          <cell r="N2">
            <v>1</v>
          </cell>
          <cell r="Q2">
            <v>1</v>
          </cell>
        </row>
        <row r="3">
          <cell r="B3">
            <v>0.5</v>
          </cell>
          <cell r="E3">
            <v>20</v>
          </cell>
          <cell r="H3">
            <v>20</v>
          </cell>
          <cell r="K3">
            <v>34</v>
          </cell>
          <cell r="N3">
            <v>1</v>
          </cell>
          <cell r="Q3">
            <v>1</v>
          </cell>
        </row>
        <row r="4">
          <cell r="B4">
            <v>1</v>
          </cell>
          <cell r="E4">
            <v>26</v>
          </cell>
          <cell r="H4">
            <v>26</v>
          </cell>
          <cell r="K4">
            <v>40</v>
          </cell>
          <cell r="N4">
            <v>1</v>
          </cell>
          <cell r="Q4">
            <v>1</v>
          </cell>
        </row>
        <row r="5">
          <cell r="E5">
            <v>26</v>
          </cell>
          <cell r="H5">
            <v>26</v>
          </cell>
          <cell r="K5">
            <v>40</v>
          </cell>
          <cell r="N5">
            <v>1</v>
          </cell>
          <cell r="Q5">
            <v>1</v>
          </cell>
        </row>
        <row r="6">
          <cell r="B6">
            <v>1</v>
          </cell>
          <cell r="E6">
            <v>10</v>
          </cell>
          <cell r="H6">
            <v>10</v>
          </cell>
          <cell r="K6">
            <v>10</v>
          </cell>
          <cell r="N6">
            <v>1</v>
          </cell>
          <cell r="Q6">
            <v>1</v>
          </cell>
        </row>
        <row r="7">
          <cell r="B7">
            <v>2.6999999999999999E-5</v>
          </cell>
          <cell r="E7">
            <v>20</v>
          </cell>
          <cell r="H7">
            <v>20</v>
          </cell>
          <cell r="K7">
            <v>20</v>
          </cell>
          <cell r="N7">
            <v>1</v>
          </cell>
          <cell r="Q7">
            <v>1</v>
          </cell>
        </row>
        <row r="8">
          <cell r="B8">
            <v>3.62</v>
          </cell>
          <cell r="E8">
            <v>161000</v>
          </cell>
          <cell r="H8">
            <v>1437.5</v>
          </cell>
          <cell r="K8">
            <v>259000</v>
          </cell>
          <cell r="N8">
            <v>1</v>
          </cell>
        </row>
        <row r="9">
          <cell r="B9">
            <v>0.25</v>
          </cell>
          <cell r="E9">
            <v>6104</v>
          </cell>
          <cell r="H9">
            <v>1950</v>
          </cell>
          <cell r="K9">
            <v>9583</v>
          </cell>
          <cell r="N9">
            <v>1</v>
          </cell>
        </row>
        <row r="10">
          <cell r="B10">
            <v>10950</v>
          </cell>
          <cell r="E10">
            <v>200</v>
          </cell>
          <cell r="H10">
            <v>200</v>
          </cell>
          <cell r="K10">
            <v>200</v>
          </cell>
          <cell r="N10">
            <v>1</v>
          </cell>
        </row>
        <row r="11">
          <cell r="B11">
            <v>240</v>
          </cell>
          <cell r="E11">
            <v>100</v>
          </cell>
          <cell r="H11">
            <v>100</v>
          </cell>
          <cell r="K11">
            <v>100</v>
          </cell>
          <cell r="N11">
            <v>1</v>
          </cell>
        </row>
        <row r="12">
          <cell r="B12">
            <v>0.42</v>
          </cell>
          <cell r="E12">
            <v>1120000</v>
          </cell>
          <cell r="H12">
            <v>240000</v>
          </cell>
          <cell r="K12">
            <v>1610000</v>
          </cell>
          <cell r="N12">
            <v>1</v>
          </cell>
          <cell r="Q12">
            <v>62.8</v>
          </cell>
        </row>
        <row r="13">
          <cell r="B13">
            <v>60</v>
          </cell>
          <cell r="E13">
            <v>0.78</v>
          </cell>
          <cell r="H13">
            <v>0.12</v>
          </cell>
          <cell r="K13">
            <v>0.78</v>
          </cell>
          <cell r="N13">
            <v>1</v>
          </cell>
          <cell r="Q13">
            <v>165.3</v>
          </cell>
        </row>
        <row r="14">
          <cell r="B14">
            <v>2</v>
          </cell>
          <cell r="E14">
            <v>2.5</v>
          </cell>
          <cell r="H14">
            <v>7.0999999999999994E-2</v>
          </cell>
          <cell r="K14">
            <v>2.5</v>
          </cell>
          <cell r="N14">
            <v>1</v>
          </cell>
          <cell r="Q14">
            <v>2098950</v>
          </cell>
        </row>
        <row r="15">
          <cell r="B15">
            <v>1</v>
          </cell>
          <cell r="E15">
            <v>19138</v>
          </cell>
          <cell r="H15">
            <v>160.5</v>
          </cell>
          <cell r="K15">
            <v>31388</v>
          </cell>
          <cell r="N15">
            <v>1</v>
          </cell>
          <cell r="Q15">
            <v>994.7</v>
          </cell>
        </row>
        <row r="16">
          <cell r="B16">
            <v>14</v>
          </cell>
          <cell r="E16">
            <v>54000</v>
          </cell>
          <cell r="H16">
            <v>1</v>
          </cell>
          <cell r="K16">
            <v>350</v>
          </cell>
          <cell r="N16">
            <v>1</v>
          </cell>
          <cell r="Q16">
            <v>676.4</v>
          </cell>
        </row>
        <row r="17">
          <cell r="B17">
            <v>1.5</v>
          </cell>
          <cell r="E17">
            <v>350</v>
          </cell>
          <cell r="H17">
            <v>1</v>
          </cell>
          <cell r="K17">
            <v>350</v>
          </cell>
          <cell r="N17">
            <v>1</v>
          </cell>
          <cell r="Q17">
            <v>10138030</v>
          </cell>
        </row>
        <row r="18">
          <cell r="B18">
            <v>0.3</v>
          </cell>
          <cell r="E18">
            <v>350</v>
          </cell>
          <cell r="H18">
            <v>75</v>
          </cell>
          <cell r="K18">
            <v>350</v>
          </cell>
          <cell r="N18">
            <v>1</v>
          </cell>
          <cell r="Q18">
            <v>31.7</v>
          </cell>
        </row>
        <row r="19">
          <cell r="E19">
            <v>350</v>
          </cell>
          <cell r="H19">
            <v>75</v>
          </cell>
          <cell r="K19">
            <v>24</v>
          </cell>
          <cell r="N19">
            <v>1</v>
          </cell>
          <cell r="Q19">
            <v>59.6</v>
          </cell>
        </row>
        <row r="20">
          <cell r="E20">
            <v>0.54</v>
          </cell>
          <cell r="H20">
            <v>75</v>
          </cell>
          <cell r="K20">
            <v>24</v>
          </cell>
          <cell r="N20">
            <v>1</v>
          </cell>
          <cell r="Q20">
            <v>775810</v>
          </cell>
        </row>
        <row r="21">
          <cell r="E21">
            <v>0.71</v>
          </cell>
          <cell r="H21">
            <v>1</v>
          </cell>
          <cell r="K21">
            <v>24</v>
          </cell>
          <cell r="N21">
            <v>1</v>
          </cell>
          <cell r="Q21">
            <v>46.9</v>
          </cell>
        </row>
        <row r="22">
          <cell r="E22">
            <v>24</v>
          </cell>
          <cell r="H22">
            <v>1</v>
          </cell>
          <cell r="K22">
            <v>0.54</v>
          </cell>
          <cell r="N22">
            <v>1</v>
          </cell>
          <cell r="Q22">
            <v>107.4</v>
          </cell>
        </row>
        <row r="23">
          <cell r="E23">
            <v>24</v>
          </cell>
          <cell r="H23">
            <v>1</v>
          </cell>
          <cell r="K23">
            <v>0.71</v>
          </cell>
          <cell r="N23">
            <v>1</v>
          </cell>
          <cell r="Q23">
            <v>1376550</v>
          </cell>
        </row>
        <row r="24">
          <cell r="E24">
            <v>24</v>
          </cell>
          <cell r="H24">
            <v>1</v>
          </cell>
          <cell r="K24">
            <v>12.167999999999999</v>
          </cell>
          <cell r="N24">
            <v>1</v>
          </cell>
          <cell r="Q24">
            <v>57.4</v>
          </cell>
        </row>
        <row r="25">
          <cell r="E25">
            <v>1</v>
          </cell>
          <cell r="H25">
            <v>1</v>
          </cell>
          <cell r="K25">
            <v>10.007999999999999</v>
          </cell>
          <cell r="N25">
            <v>1</v>
          </cell>
          <cell r="Q25">
            <v>831.8</v>
          </cell>
        </row>
        <row r="26">
          <cell r="E26">
            <v>1</v>
          </cell>
          <cell r="H26">
            <v>1</v>
          </cell>
          <cell r="K26">
            <v>1</v>
          </cell>
          <cell r="N26">
            <v>82.9</v>
          </cell>
          <cell r="Q26">
            <v>10018960</v>
          </cell>
        </row>
        <row r="27">
          <cell r="B27">
            <v>1359344473.5814338</v>
          </cell>
          <cell r="E27">
            <v>1.752</v>
          </cell>
          <cell r="H27">
            <v>1</v>
          </cell>
          <cell r="K27">
            <v>1</v>
          </cell>
          <cell r="N27">
            <v>84.7</v>
          </cell>
          <cell r="Q27">
            <v>33.700000000000003</v>
          </cell>
        </row>
        <row r="28">
          <cell r="B28">
            <v>4.6900000000000004</v>
          </cell>
          <cell r="E28">
            <v>16.416</v>
          </cell>
          <cell r="H28">
            <v>1</v>
          </cell>
          <cell r="N28">
            <v>1182020</v>
          </cell>
          <cell r="Q28">
            <v>92.5</v>
          </cell>
        </row>
        <row r="29">
          <cell r="B29">
            <v>11.32</v>
          </cell>
          <cell r="E29">
            <v>1</v>
          </cell>
          <cell r="H29">
            <v>1</v>
          </cell>
          <cell r="N29">
            <v>12</v>
          </cell>
          <cell r="Q29">
            <v>1171520</v>
          </cell>
        </row>
        <row r="30">
          <cell r="B30">
            <v>0.19400000000000001</v>
          </cell>
          <cell r="E30">
            <v>72.2</v>
          </cell>
          <cell r="H30">
            <v>1</v>
          </cell>
          <cell r="K30">
            <v>1.6000000000000001E-4</v>
          </cell>
          <cell r="N30">
            <v>39.299999999999997</v>
          </cell>
          <cell r="Q30">
            <v>0</v>
          </cell>
        </row>
        <row r="31">
          <cell r="B31">
            <v>0.5</v>
          </cell>
          <cell r="E31">
            <v>73.7</v>
          </cell>
          <cell r="H31">
            <v>1</v>
          </cell>
          <cell r="K31">
            <v>7.8999999999999996E-5</v>
          </cell>
          <cell r="N31">
            <v>492869.99999999994</v>
          </cell>
          <cell r="Q31">
            <v>0</v>
          </cell>
        </row>
        <row r="32">
          <cell r="B32">
            <v>93.773582452087695</v>
          </cell>
          <cell r="E32">
            <v>667520</v>
          </cell>
          <cell r="H32">
            <v>1</v>
          </cell>
          <cell r="K32">
            <v>1.3799999999999999E-4</v>
          </cell>
          <cell r="N32">
            <v>3.9</v>
          </cell>
        </row>
        <row r="33">
          <cell r="B33">
            <v>0.5</v>
          </cell>
          <cell r="E33">
            <v>12</v>
          </cell>
          <cell r="H33">
            <v>1</v>
          </cell>
          <cell r="K33">
            <v>1.66E-4</v>
          </cell>
          <cell r="N33">
            <v>33.9</v>
          </cell>
          <cell r="Q33">
            <v>0</v>
          </cell>
        </row>
        <row r="34">
          <cell r="B34">
            <v>16.2302</v>
          </cell>
          <cell r="E34">
            <v>39.299999999999997</v>
          </cell>
          <cell r="H34">
            <v>1</v>
          </cell>
          <cell r="K34">
            <v>1.01E-3</v>
          </cell>
          <cell r="N34">
            <v>411600</v>
          </cell>
          <cell r="Q34">
            <v>0</v>
          </cell>
        </row>
        <row r="35">
          <cell r="B35">
            <v>18.776199999999999</v>
          </cell>
          <cell r="E35">
            <v>300300</v>
          </cell>
          <cell r="H35">
            <v>1</v>
          </cell>
          <cell r="K35">
            <v>1.05E-4</v>
          </cell>
          <cell r="N35">
            <v>23.9</v>
          </cell>
        </row>
        <row r="36">
          <cell r="B36">
            <v>216.108</v>
          </cell>
          <cell r="E36">
            <v>3.9</v>
          </cell>
          <cell r="H36">
            <v>1</v>
          </cell>
          <cell r="K36">
            <v>9.7E-5</v>
          </cell>
          <cell r="N36">
            <v>35.4</v>
          </cell>
          <cell r="Q36">
            <v>0</v>
          </cell>
        </row>
        <row r="37">
          <cell r="E37">
            <v>33.9</v>
          </cell>
          <cell r="H37">
            <v>1</v>
          </cell>
          <cell r="K37">
            <v>1.5699999999999999E-4</v>
          </cell>
          <cell r="N37">
            <v>471450</v>
          </cell>
          <cell r="Q37">
            <v>0</v>
          </cell>
        </row>
        <row r="38">
          <cell r="E38">
            <v>245490</v>
          </cell>
          <cell r="H38">
            <v>1</v>
          </cell>
          <cell r="K38">
            <v>1.45E-4</v>
          </cell>
          <cell r="N38">
            <v>14.4</v>
          </cell>
        </row>
        <row r="39">
          <cell r="E39">
            <v>23.9</v>
          </cell>
          <cell r="H39">
            <v>1</v>
          </cell>
          <cell r="K39">
            <v>4.0000000000000003E-5</v>
          </cell>
          <cell r="N39">
            <v>35.299999999999997</v>
          </cell>
          <cell r="Q39">
            <v>0</v>
          </cell>
        </row>
        <row r="40">
          <cell r="E40">
            <v>35.4</v>
          </cell>
          <cell r="K40">
            <v>1.35E-2</v>
          </cell>
          <cell r="N40">
            <v>450309.99999999994</v>
          </cell>
          <cell r="Q40">
            <v>0</v>
          </cell>
        </row>
        <row r="41">
          <cell r="E41">
            <v>297990</v>
          </cell>
          <cell r="K41">
            <v>3.8300000000000001E-3</v>
          </cell>
          <cell r="N41">
            <v>11.5</v>
          </cell>
        </row>
        <row r="42">
          <cell r="E42">
            <v>13.1</v>
          </cell>
          <cell r="K42">
            <v>8.0000000000000007E-5</v>
          </cell>
          <cell r="N42">
            <v>85.7</v>
          </cell>
          <cell r="Q42">
            <v>92</v>
          </cell>
        </row>
        <row r="43">
          <cell r="E43">
            <v>32</v>
          </cell>
          <cell r="K43">
            <v>9.7E-5</v>
          </cell>
          <cell r="N43">
            <v>1043980</v>
          </cell>
          <cell r="Q43">
            <v>1.03</v>
          </cell>
        </row>
        <row r="44">
          <cell r="E44">
            <v>251510</v>
          </cell>
          <cell r="K44">
            <v>1.4999999999999999E-4</v>
          </cell>
          <cell r="N44">
            <v>13.3</v>
          </cell>
          <cell r="Q44">
            <v>20.3</v>
          </cell>
        </row>
        <row r="45">
          <cell r="E45">
            <v>12.3</v>
          </cell>
          <cell r="K45">
            <v>1.6000000000000001E-4</v>
          </cell>
          <cell r="N45">
            <v>24.4</v>
          </cell>
          <cell r="Q45">
            <v>0.4</v>
          </cell>
        </row>
        <row r="46">
          <cell r="E46">
            <v>92.1</v>
          </cell>
          <cell r="K46">
            <v>1.7799999999999999E-4</v>
          </cell>
          <cell r="N46">
            <v>318290</v>
          </cell>
          <cell r="Q46">
            <v>1</v>
          </cell>
        </row>
        <row r="47">
          <cell r="E47">
            <v>670530</v>
          </cell>
          <cell r="K47">
            <v>2.1000000000000001E-4</v>
          </cell>
          <cell r="N47">
            <v>46</v>
          </cell>
          <cell r="Q47">
            <v>1</v>
          </cell>
        </row>
        <row r="48">
          <cell r="E48">
            <v>14.9</v>
          </cell>
          <cell r="K48">
            <v>5.8E-5</v>
          </cell>
          <cell r="N48">
            <v>91.9</v>
          </cell>
          <cell r="Q48">
            <v>53</v>
          </cell>
        </row>
        <row r="49">
          <cell r="E49">
            <v>27.3</v>
          </cell>
          <cell r="K49">
            <v>5.0000000000000001E-3</v>
          </cell>
          <cell r="N49">
            <v>1190210</v>
          </cell>
          <cell r="Q49">
            <v>11.77</v>
          </cell>
        </row>
        <row r="50">
          <cell r="E50">
            <v>222390</v>
          </cell>
          <cell r="K50">
            <v>8.0000000000000007E-5</v>
          </cell>
          <cell r="N50">
            <v>194.4</v>
          </cell>
          <cell r="Q50">
            <v>0.5</v>
          </cell>
        </row>
        <row r="51">
          <cell r="E51">
            <v>46</v>
          </cell>
          <cell r="K51">
            <v>1.5900000000000001E-3</v>
          </cell>
          <cell r="N51">
            <v>309.39999999999998</v>
          </cell>
          <cell r="Q51">
            <v>1</v>
          </cell>
        </row>
        <row r="52">
          <cell r="E52">
            <v>91.9</v>
          </cell>
          <cell r="K52">
            <v>0.25</v>
          </cell>
          <cell r="N52">
            <v>4090099.9999999995</v>
          </cell>
          <cell r="Q52">
            <v>1</v>
          </cell>
        </row>
        <row r="53">
          <cell r="E53">
            <v>739900</v>
          </cell>
          <cell r="K53">
            <v>0.25</v>
          </cell>
          <cell r="N53">
            <v>32.700000000000003</v>
          </cell>
        </row>
        <row r="54">
          <cell r="E54">
            <v>194.1</v>
          </cell>
          <cell r="N54">
            <v>82</v>
          </cell>
        </row>
        <row r="55">
          <cell r="E55">
            <v>309.39999999999998</v>
          </cell>
          <cell r="N55">
            <v>1044470</v>
          </cell>
        </row>
        <row r="56">
          <cell r="E56">
            <v>2573410</v>
          </cell>
          <cell r="N56">
            <v>16.899999999999999</v>
          </cell>
        </row>
        <row r="57">
          <cell r="E57">
            <v>23.8</v>
          </cell>
          <cell r="N57">
            <v>54.9</v>
          </cell>
        </row>
        <row r="58">
          <cell r="E58">
            <v>59.8</v>
          </cell>
          <cell r="N58">
            <v>688800</v>
          </cell>
          <cell r="Q58">
            <v>0.4</v>
          </cell>
        </row>
        <row r="59">
          <cell r="E59">
            <v>468580</v>
          </cell>
          <cell r="N59">
            <v>4.2</v>
          </cell>
          <cell r="Q59">
            <v>0.2</v>
          </cell>
        </row>
        <row r="60">
          <cell r="E60">
            <v>25.4</v>
          </cell>
          <cell r="N60">
            <v>37.5</v>
          </cell>
          <cell r="Q60">
            <v>2.1999999999999999E-2</v>
          </cell>
        </row>
        <row r="61">
          <cell r="E61">
            <v>82.4</v>
          </cell>
          <cell r="N61">
            <v>455070</v>
          </cell>
          <cell r="Q61">
            <v>1</v>
          </cell>
        </row>
        <row r="62">
          <cell r="E62">
            <v>630140</v>
          </cell>
          <cell r="N62">
            <v>6.5</v>
          </cell>
          <cell r="Q62">
            <v>1</v>
          </cell>
        </row>
        <row r="63">
          <cell r="E63">
            <v>4.2</v>
          </cell>
          <cell r="N63">
            <v>33.799999999999997</v>
          </cell>
          <cell r="Q63">
            <v>11.4</v>
          </cell>
        </row>
        <row r="64">
          <cell r="E64">
            <v>37.5</v>
          </cell>
          <cell r="N64">
            <v>415869.99999999994</v>
          </cell>
          <cell r="Q64">
            <v>4.7</v>
          </cell>
        </row>
        <row r="65">
          <cell r="E65">
            <v>271320</v>
          </cell>
          <cell r="N65">
            <v>5.3</v>
          </cell>
          <cell r="Q65">
            <v>0.37</v>
          </cell>
        </row>
        <row r="66">
          <cell r="E66">
            <v>6.5</v>
          </cell>
          <cell r="N66">
            <v>30.2</v>
          </cell>
          <cell r="Q66">
            <v>1</v>
          </cell>
        </row>
        <row r="67">
          <cell r="E67">
            <v>33.799999999999997</v>
          </cell>
          <cell r="N67">
            <v>370510</v>
          </cell>
          <cell r="Q67">
            <v>1</v>
          </cell>
        </row>
        <row r="68">
          <cell r="E68">
            <v>250249.99999999997</v>
          </cell>
          <cell r="N68">
            <v>7.2</v>
          </cell>
          <cell r="Q68">
            <v>0.25</v>
          </cell>
        </row>
        <row r="69">
          <cell r="E69">
            <v>5.3</v>
          </cell>
          <cell r="N69">
            <v>27.2</v>
          </cell>
          <cell r="Q69">
            <v>0.25</v>
          </cell>
        </row>
        <row r="70">
          <cell r="E70">
            <v>30.2</v>
          </cell>
          <cell r="N70">
            <v>338800</v>
          </cell>
        </row>
        <row r="71">
          <cell r="E71">
            <v>222530</v>
          </cell>
          <cell r="N71">
            <v>99.3</v>
          </cell>
        </row>
        <row r="72">
          <cell r="E72">
            <v>5.8</v>
          </cell>
          <cell r="N72">
            <v>103.1</v>
          </cell>
        </row>
        <row r="73">
          <cell r="E73">
            <v>21.8</v>
          </cell>
          <cell r="N73">
            <v>1435420</v>
          </cell>
        </row>
        <row r="74">
          <cell r="E74">
            <v>164780</v>
          </cell>
          <cell r="N74">
            <v>76.900000000000006</v>
          </cell>
        </row>
        <row r="75">
          <cell r="E75">
            <v>111.4</v>
          </cell>
          <cell r="N75">
            <v>59.9</v>
          </cell>
        </row>
        <row r="76">
          <cell r="E76">
            <v>115.7</v>
          </cell>
          <cell r="N76">
            <v>874300</v>
          </cell>
        </row>
        <row r="77">
          <cell r="E77">
            <v>1043840</v>
          </cell>
          <cell r="N77">
            <v>28.7</v>
          </cell>
        </row>
        <row r="78">
          <cell r="E78">
            <v>66.7</v>
          </cell>
          <cell r="N78">
            <v>31.7</v>
          </cell>
        </row>
        <row r="79">
          <cell r="E79">
            <v>51.9</v>
          </cell>
          <cell r="N79">
            <v>437500</v>
          </cell>
        </row>
        <row r="80">
          <cell r="E80">
            <v>503370</v>
          </cell>
          <cell r="N80">
            <v>57.3</v>
          </cell>
        </row>
        <row r="81">
          <cell r="E81">
            <v>32.1</v>
          </cell>
          <cell r="N81">
            <v>141.80000000000001</v>
          </cell>
        </row>
        <row r="82">
          <cell r="E82">
            <v>35.4</v>
          </cell>
          <cell r="N82">
            <v>1807750.0000000002</v>
          </cell>
        </row>
        <row r="83">
          <cell r="E83">
            <v>315210</v>
          </cell>
          <cell r="N83">
            <v>45.2</v>
          </cell>
        </row>
        <row r="84">
          <cell r="E84">
            <v>51.7</v>
          </cell>
          <cell r="N84">
            <v>64.8</v>
          </cell>
        </row>
        <row r="85">
          <cell r="E85">
            <v>127.8</v>
          </cell>
          <cell r="N85">
            <v>866040</v>
          </cell>
        </row>
        <row r="86">
          <cell r="E86">
            <v>1003170</v>
          </cell>
          <cell r="N86">
            <v>34.799999999999997</v>
          </cell>
        </row>
        <row r="87">
          <cell r="E87">
            <v>45.2</v>
          </cell>
          <cell r="N87">
            <v>88.5</v>
          </cell>
        </row>
        <row r="88">
          <cell r="E88">
            <v>64.8</v>
          </cell>
          <cell r="N88">
            <v>1126230</v>
          </cell>
        </row>
        <row r="89">
          <cell r="E89">
            <v>548520</v>
          </cell>
          <cell r="N89">
            <v>27.5</v>
          </cell>
        </row>
        <row r="90">
          <cell r="E90">
            <v>28.8</v>
          </cell>
          <cell r="N90">
            <v>54.2</v>
          </cell>
        </row>
        <row r="91">
          <cell r="E91">
            <v>73.2</v>
          </cell>
          <cell r="N91">
            <v>702730</v>
          </cell>
        </row>
        <row r="92">
          <cell r="E92">
            <v>572880</v>
          </cell>
          <cell r="N92">
            <v>25.3</v>
          </cell>
        </row>
        <row r="93">
          <cell r="E93">
            <v>27.3</v>
          </cell>
          <cell r="N93">
            <v>40.5</v>
          </cell>
        </row>
        <row r="94">
          <cell r="E94">
            <v>53.9</v>
          </cell>
          <cell r="N94">
            <v>535080</v>
          </cell>
        </row>
        <row r="95">
          <cell r="E95">
            <v>434630</v>
          </cell>
          <cell r="N95">
            <v>34.9</v>
          </cell>
        </row>
        <row r="96">
          <cell r="E96">
            <v>25.3</v>
          </cell>
          <cell r="N96">
            <v>94.2</v>
          </cell>
        </row>
        <row r="97">
          <cell r="E97">
            <v>40.5</v>
          </cell>
          <cell r="N97">
            <v>1194270</v>
          </cell>
        </row>
        <row r="98">
          <cell r="E98">
            <v>336630</v>
          </cell>
        </row>
        <row r="99">
          <cell r="E99">
            <v>29.7</v>
          </cell>
        </row>
        <row r="100">
          <cell r="E100">
            <v>80.3</v>
          </cell>
        </row>
        <row r="101">
          <cell r="E101">
            <v>624470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1E-3</v>
          </cell>
          <cell r="E2">
            <v>5</v>
          </cell>
          <cell r="H2">
            <v>5</v>
          </cell>
          <cell r="K2">
            <v>5</v>
          </cell>
          <cell r="N2">
            <v>0.5</v>
          </cell>
          <cell r="Q2">
            <v>0.5</v>
          </cell>
        </row>
        <row r="3">
          <cell r="B3">
            <v>0.5</v>
          </cell>
          <cell r="E3">
            <v>15</v>
          </cell>
          <cell r="H3">
            <v>15</v>
          </cell>
          <cell r="K3">
            <v>15</v>
          </cell>
          <cell r="N3">
            <v>0.5</v>
          </cell>
          <cell r="Q3">
            <v>0.5</v>
          </cell>
        </row>
        <row r="4">
          <cell r="B4">
            <v>2</v>
          </cell>
          <cell r="E4">
            <v>20</v>
          </cell>
          <cell r="H4">
            <v>20</v>
          </cell>
          <cell r="K4">
            <v>20</v>
          </cell>
          <cell r="N4">
            <v>0.5</v>
          </cell>
          <cell r="Q4">
            <v>0.5</v>
          </cell>
        </row>
        <row r="5">
          <cell r="E5">
            <v>20</v>
          </cell>
          <cell r="H5">
            <v>20</v>
          </cell>
          <cell r="K5">
            <v>20</v>
          </cell>
          <cell r="N5">
            <v>0.5</v>
          </cell>
          <cell r="Q5">
            <v>0.5</v>
          </cell>
        </row>
        <row r="6">
          <cell r="B6">
            <v>2</v>
          </cell>
          <cell r="E6">
            <v>5</v>
          </cell>
          <cell r="H6">
            <v>5</v>
          </cell>
          <cell r="K6">
            <v>5</v>
          </cell>
          <cell r="N6">
            <v>0.5</v>
          </cell>
          <cell r="Q6">
            <v>0.5</v>
          </cell>
        </row>
        <row r="7">
          <cell r="B7">
            <v>5.5000000000000002E-5</v>
          </cell>
          <cell r="E7">
            <v>10</v>
          </cell>
          <cell r="H7">
            <v>10</v>
          </cell>
          <cell r="K7">
            <v>10</v>
          </cell>
          <cell r="N7">
            <v>0.5</v>
          </cell>
          <cell r="Q7">
            <v>0.5</v>
          </cell>
        </row>
        <row r="8">
          <cell r="B8">
            <v>5</v>
          </cell>
          <cell r="E8">
            <v>182.29166666666666</v>
          </cell>
          <cell r="H8">
            <v>182.29166666666666</v>
          </cell>
          <cell r="K8">
            <v>182.29166666666666</v>
          </cell>
          <cell r="N8">
            <v>0.5</v>
          </cell>
          <cell r="Q8">
            <v>0.5</v>
          </cell>
        </row>
        <row r="9">
          <cell r="B9">
            <v>0.5</v>
          </cell>
          <cell r="E9">
            <v>400</v>
          </cell>
          <cell r="H9">
            <v>400</v>
          </cell>
          <cell r="K9">
            <v>400</v>
          </cell>
          <cell r="N9">
            <v>0.5</v>
          </cell>
          <cell r="Q9">
            <v>0.5</v>
          </cell>
        </row>
        <row r="10">
          <cell r="B10">
            <v>5000</v>
          </cell>
          <cell r="E10">
            <v>55</v>
          </cell>
          <cell r="H10">
            <v>55</v>
          </cell>
          <cell r="K10">
            <v>55</v>
          </cell>
          <cell r="N10">
            <v>0.5</v>
          </cell>
          <cell r="Q10">
            <v>0.5</v>
          </cell>
        </row>
        <row r="11">
          <cell r="B11">
            <v>55</v>
          </cell>
          <cell r="E11">
            <v>55</v>
          </cell>
          <cell r="H11">
            <v>55</v>
          </cell>
          <cell r="K11">
            <v>55</v>
          </cell>
          <cell r="N11">
            <v>0.5</v>
          </cell>
          <cell r="Q11">
            <v>0.5</v>
          </cell>
        </row>
        <row r="12">
          <cell r="B12">
            <v>0.5</v>
          </cell>
          <cell r="E12">
            <v>5500</v>
          </cell>
          <cell r="H12">
            <v>5500</v>
          </cell>
          <cell r="K12">
            <v>5500</v>
          </cell>
          <cell r="N12">
            <v>0.5</v>
          </cell>
          <cell r="Q12">
            <v>55</v>
          </cell>
        </row>
        <row r="13">
          <cell r="B13">
            <v>55</v>
          </cell>
          <cell r="E13">
            <v>5</v>
          </cell>
          <cell r="H13">
            <v>2</v>
          </cell>
          <cell r="K13">
            <v>5</v>
          </cell>
          <cell r="N13">
            <v>0.5</v>
          </cell>
          <cell r="Q13">
            <v>55</v>
          </cell>
        </row>
        <row r="14">
          <cell r="B14">
            <v>5</v>
          </cell>
          <cell r="E14">
            <v>5</v>
          </cell>
          <cell r="H14">
            <v>2</v>
          </cell>
          <cell r="K14">
            <v>5</v>
          </cell>
          <cell r="N14">
            <v>0.5</v>
          </cell>
          <cell r="Q14">
            <v>5500</v>
          </cell>
        </row>
        <row r="15">
          <cell r="B15">
            <v>5</v>
          </cell>
          <cell r="E15">
            <v>500</v>
          </cell>
          <cell r="H15">
            <v>800</v>
          </cell>
          <cell r="K15">
            <v>500</v>
          </cell>
          <cell r="N15">
            <v>0.5</v>
          </cell>
          <cell r="Q15">
            <v>55</v>
          </cell>
        </row>
        <row r="16">
          <cell r="B16">
            <v>5</v>
          </cell>
          <cell r="E16">
            <v>55000</v>
          </cell>
          <cell r="H16">
            <v>2</v>
          </cell>
          <cell r="K16">
            <v>5</v>
          </cell>
          <cell r="N16">
            <v>0.5</v>
          </cell>
          <cell r="Q16">
            <v>55</v>
          </cell>
        </row>
        <row r="17">
          <cell r="B17">
            <v>2</v>
          </cell>
          <cell r="E17">
            <v>5</v>
          </cell>
          <cell r="H17">
            <v>2</v>
          </cell>
          <cell r="K17">
            <v>5</v>
          </cell>
          <cell r="N17">
            <v>0.5</v>
          </cell>
          <cell r="Q17">
            <v>5500</v>
          </cell>
        </row>
        <row r="18">
          <cell r="B18">
            <v>0.5</v>
          </cell>
          <cell r="E18">
            <v>5</v>
          </cell>
          <cell r="H18">
            <v>5</v>
          </cell>
          <cell r="K18">
            <v>5</v>
          </cell>
          <cell r="N18">
            <v>0.5</v>
          </cell>
          <cell r="Q18">
            <v>55</v>
          </cell>
        </row>
        <row r="19">
          <cell r="B19">
            <v>70</v>
          </cell>
          <cell r="E19">
            <v>5</v>
          </cell>
          <cell r="H19">
            <v>5</v>
          </cell>
          <cell r="K19">
            <v>5</v>
          </cell>
          <cell r="N19">
            <v>0.5</v>
          </cell>
          <cell r="Q19">
            <v>55</v>
          </cell>
        </row>
        <row r="20">
          <cell r="B20">
            <v>5</v>
          </cell>
          <cell r="E20">
            <v>2</v>
          </cell>
          <cell r="H20">
            <v>5</v>
          </cell>
          <cell r="K20">
            <v>5</v>
          </cell>
          <cell r="N20">
            <v>0.5</v>
          </cell>
          <cell r="Q20">
            <v>5500</v>
          </cell>
        </row>
        <row r="21">
          <cell r="B21">
            <v>2</v>
          </cell>
          <cell r="E21">
            <v>2</v>
          </cell>
          <cell r="H21">
            <v>5</v>
          </cell>
          <cell r="K21">
            <v>5</v>
          </cell>
          <cell r="N21">
            <v>0.5</v>
          </cell>
          <cell r="Q21">
            <v>55</v>
          </cell>
        </row>
        <row r="22">
          <cell r="B22">
            <v>0.5</v>
          </cell>
          <cell r="E22">
            <v>5</v>
          </cell>
          <cell r="H22">
            <v>5</v>
          </cell>
          <cell r="K22">
            <v>2</v>
          </cell>
          <cell r="N22">
            <v>0.5</v>
          </cell>
          <cell r="Q22">
            <v>55</v>
          </cell>
        </row>
        <row r="23">
          <cell r="B23">
            <v>2</v>
          </cell>
          <cell r="E23">
            <v>5</v>
          </cell>
          <cell r="H23">
            <v>5</v>
          </cell>
          <cell r="K23">
            <v>2</v>
          </cell>
          <cell r="N23">
            <v>0.5</v>
          </cell>
          <cell r="Q23">
            <v>5500</v>
          </cell>
        </row>
        <row r="24">
          <cell r="B24">
            <v>2</v>
          </cell>
          <cell r="E24">
            <v>5</v>
          </cell>
          <cell r="H24">
            <v>2</v>
          </cell>
          <cell r="K24">
            <v>10</v>
          </cell>
          <cell r="N24">
            <v>0.5</v>
          </cell>
          <cell r="Q24">
            <v>55</v>
          </cell>
        </row>
        <row r="25">
          <cell r="B25">
            <v>2</v>
          </cell>
          <cell r="E25">
            <v>2</v>
          </cell>
          <cell r="H25">
            <v>2</v>
          </cell>
          <cell r="K25">
            <v>5</v>
          </cell>
          <cell r="N25">
            <v>0.5</v>
          </cell>
          <cell r="Q25">
            <v>55</v>
          </cell>
        </row>
        <row r="26">
          <cell r="B26">
            <v>0.3092012558837392</v>
          </cell>
          <cell r="E26">
            <v>2</v>
          </cell>
          <cell r="H26">
            <v>2</v>
          </cell>
          <cell r="K26">
            <v>2</v>
          </cell>
          <cell r="N26">
            <v>55</v>
          </cell>
          <cell r="Q26">
            <v>5500</v>
          </cell>
        </row>
        <row r="27">
          <cell r="B27">
            <v>309803863.88015682</v>
          </cell>
          <cell r="E27">
            <v>5</v>
          </cell>
          <cell r="H27">
            <v>2</v>
          </cell>
          <cell r="K27">
            <v>2</v>
          </cell>
          <cell r="N27">
            <v>55</v>
          </cell>
          <cell r="Q27">
            <v>55</v>
          </cell>
        </row>
        <row r="28">
          <cell r="B28">
            <v>5</v>
          </cell>
          <cell r="E28">
            <v>10</v>
          </cell>
          <cell r="H28">
            <v>2</v>
          </cell>
          <cell r="N28">
            <v>5500</v>
          </cell>
          <cell r="Q28">
            <v>55</v>
          </cell>
        </row>
        <row r="29">
          <cell r="B29">
            <v>11.32</v>
          </cell>
          <cell r="E29">
            <v>0.5</v>
          </cell>
          <cell r="H29">
            <v>2</v>
          </cell>
          <cell r="N29">
            <v>55</v>
          </cell>
          <cell r="Q29">
            <v>5500</v>
          </cell>
        </row>
        <row r="30">
          <cell r="B30">
            <v>0.28539705780000002</v>
          </cell>
          <cell r="E30">
            <v>55</v>
          </cell>
          <cell r="H30">
            <v>2</v>
          </cell>
          <cell r="K30">
            <v>1.35E-2</v>
          </cell>
          <cell r="N30">
            <v>55</v>
          </cell>
          <cell r="Q30">
            <v>55</v>
          </cell>
        </row>
        <row r="31">
          <cell r="B31">
            <v>0.25</v>
          </cell>
          <cell r="E31">
            <v>55</v>
          </cell>
          <cell r="H31">
            <v>2</v>
          </cell>
          <cell r="K31">
            <v>1.35E-2</v>
          </cell>
          <cell r="N31">
            <v>5500</v>
          </cell>
          <cell r="Q31">
            <v>55</v>
          </cell>
        </row>
        <row r="32">
          <cell r="B32">
            <v>57.143694778447667</v>
          </cell>
          <cell r="E32">
            <v>5500</v>
          </cell>
          <cell r="H32">
            <v>2</v>
          </cell>
          <cell r="K32">
            <v>1.35E-2</v>
          </cell>
          <cell r="N32">
            <v>55</v>
          </cell>
          <cell r="Q32">
            <v>5500</v>
          </cell>
        </row>
        <row r="33">
          <cell r="B33">
            <v>5</v>
          </cell>
          <cell r="E33">
            <v>55</v>
          </cell>
          <cell r="H33">
            <v>2</v>
          </cell>
          <cell r="K33">
            <v>1.35E-2</v>
          </cell>
          <cell r="N33">
            <v>55</v>
          </cell>
          <cell r="Q33">
            <v>55</v>
          </cell>
        </row>
        <row r="34">
          <cell r="B34">
            <v>15.0235</v>
          </cell>
          <cell r="E34">
            <v>55</v>
          </cell>
          <cell r="H34">
            <v>2</v>
          </cell>
          <cell r="K34">
            <v>1.35E-2</v>
          </cell>
          <cell r="N34">
            <v>5500</v>
          </cell>
          <cell r="Q34">
            <v>55</v>
          </cell>
        </row>
        <row r="35">
          <cell r="B35">
            <v>18.252600000000001</v>
          </cell>
          <cell r="E35">
            <v>5500</v>
          </cell>
          <cell r="H35">
            <v>2</v>
          </cell>
          <cell r="K35">
            <v>1.35E-2</v>
          </cell>
          <cell r="N35">
            <v>55</v>
          </cell>
          <cell r="Q35">
            <v>5500</v>
          </cell>
        </row>
        <row r="36">
          <cell r="B36">
            <v>207.33869999999999</v>
          </cell>
          <cell r="E36">
            <v>55</v>
          </cell>
          <cell r="H36">
            <v>2</v>
          </cell>
          <cell r="K36">
            <v>1.35E-2</v>
          </cell>
          <cell r="N36">
            <v>55</v>
          </cell>
          <cell r="Q36">
            <v>55</v>
          </cell>
        </row>
        <row r="37">
          <cell r="E37">
            <v>55</v>
          </cell>
          <cell r="H37">
            <v>2</v>
          </cell>
          <cell r="K37">
            <v>1.35E-2</v>
          </cell>
          <cell r="N37">
            <v>5500</v>
          </cell>
          <cell r="Q37">
            <v>55</v>
          </cell>
        </row>
        <row r="38">
          <cell r="B38">
            <v>5</v>
          </cell>
          <cell r="E38">
            <v>5500</v>
          </cell>
          <cell r="H38">
            <v>0.5</v>
          </cell>
          <cell r="K38">
            <v>1.35E-2</v>
          </cell>
          <cell r="N38">
            <v>55</v>
          </cell>
          <cell r="Q38">
            <v>5500</v>
          </cell>
        </row>
        <row r="39">
          <cell r="E39">
            <v>55</v>
          </cell>
          <cell r="H39">
            <v>0.5</v>
          </cell>
          <cell r="K39">
            <v>1.35E-2</v>
          </cell>
          <cell r="N39">
            <v>55</v>
          </cell>
          <cell r="Q39">
            <v>55</v>
          </cell>
        </row>
        <row r="40">
          <cell r="E40">
            <v>55</v>
          </cell>
          <cell r="K40">
            <v>1.35E-2</v>
          </cell>
          <cell r="N40">
            <v>5500</v>
          </cell>
          <cell r="Q40">
            <v>55</v>
          </cell>
        </row>
        <row r="41">
          <cell r="E41">
            <v>5500</v>
          </cell>
          <cell r="K41">
            <v>1.35E-2</v>
          </cell>
          <cell r="N41">
            <v>55</v>
          </cell>
          <cell r="Q41">
            <v>5500</v>
          </cell>
        </row>
        <row r="42">
          <cell r="E42">
            <v>55</v>
          </cell>
          <cell r="K42">
            <v>1.35E-2</v>
          </cell>
          <cell r="N42">
            <v>55</v>
          </cell>
          <cell r="Q42">
            <v>5</v>
          </cell>
        </row>
        <row r="43">
          <cell r="E43">
            <v>55</v>
          </cell>
          <cell r="K43">
            <v>1.35E-2</v>
          </cell>
          <cell r="N43">
            <v>5500</v>
          </cell>
          <cell r="Q43">
            <v>1.03</v>
          </cell>
        </row>
        <row r="44">
          <cell r="E44">
            <v>5500</v>
          </cell>
          <cell r="K44">
            <v>1.35E-2</v>
          </cell>
          <cell r="N44">
            <v>55</v>
          </cell>
          <cell r="Q44">
            <v>5</v>
          </cell>
        </row>
        <row r="45">
          <cell r="E45">
            <v>55</v>
          </cell>
          <cell r="K45">
            <v>1.35E-2</v>
          </cell>
          <cell r="N45">
            <v>55</v>
          </cell>
          <cell r="Q45">
            <v>5</v>
          </cell>
        </row>
        <row r="46">
          <cell r="E46">
            <v>55</v>
          </cell>
          <cell r="K46">
            <v>1.35E-2</v>
          </cell>
          <cell r="N46">
            <v>5500</v>
          </cell>
          <cell r="Q46">
            <v>5</v>
          </cell>
        </row>
        <row r="47">
          <cell r="E47">
            <v>5500</v>
          </cell>
          <cell r="K47">
            <v>1.35E-2</v>
          </cell>
          <cell r="N47">
            <v>55</v>
          </cell>
          <cell r="Q47">
            <v>5</v>
          </cell>
        </row>
        <row r="48">
          <cell r="E48">
            <v>55</v>
          </cell>
          <cell r="K48">
            <v>1.35E-2</v>
          </cell>
          <cell r="N48">
            <v>55</v>
          </cell>
          <cell r="Q48">
            <v>5</v>
          </cell>
        </row>
        <row r="49">
          <cell r="E49">
            <v>55</v>
          </cell>
          <cell r="K49">
            <v>1.35E-2</v>
          </cell>
          <cell r="N49">
            <v>5500</v>
          </cell>
          <cell r="Q49">
            <v>5</v>
          </cell>
        </row>
        <row r="50">
          <cell r="E50">
            <v>5500</v>
          </cell>
          <cell r="K50">
            <v>1.35E-2</v>
          </cell>
          <cell r="N50">
            <v>55</v>
          </cell>
          <cell r="Q50">
            <v>5</v>
          </cell>
        </row>
        <row r="51">
          <cell r="E51">
            <v>55</v>
          </cell>
          <cell r="K51">
            <v>1.35E-2</v>
          </cell>
          <cell r="N51">
            <v>55</v>
          </cell>
          <cell r="Q51">
            <v>5</v>
          </cell>
        </row>
        <row r="52">
          <cell r="E52">
            <v>55</v>
          </cell>
          <cell r="K52">
            <v>1.35E-2</v>
          </cell>
          <cell r="N52">
            <v>5500</v>
          </cell>
          <cell r="Q52">
            <v>5</v>
          </cell>
        </row>
        <row r="53">
          <cell r="E53">
            <v>5500</v>
          </cell>
          <cell r="K53">
            <v>1.35E-2</v>
          </cell>
          <cell r="N53">
            <v>55</v>
          </cell>
          <cell r="Q53">
            <v>5</v>
          </cell>
        </row>
        <row r="54">
          <cell r="E54">
            <v>55</v>
          </cell>
          <cell r="N54">
            <v>55</v>
          </cell>
          <cell r="Q54">
            <v>5</v>
          </cell>
        </row>
        <row r="55">
          <cell r="E55">
            <v>55</v>
          </cell>
          <cell r="N55">
            <v>5500</v>
          </cell>
        </row>
        <row r="56">
          <cell r="E56">
            <v>5500</v>
          </cell>
          <cell r="N56">
            <v>55</v>
          </cell>
          <cell r="Q56">
            <v>5</v>
          </cell>
        </row>
        <row r="57">
          <cell r="E57">
            <v>55</v>
          </cell>
          <cell r="N57">
            <v>55</v>
          </cell>
          <cell r="Q57">
            <v>5</v>
          </cell>
        </row>
        <row r="58">
          <cell r="E58">
            <v>55</v>
          </cell>
          <cell r="N58">
            <v>5500</v>
          </cell>
          <cell r="Q58">
            <v>5</v>
          </cell>
        </row>
        <row r="59">
          <cell r="E59">
            <v>5500</v>
          </cell>
          <cell r="N59">
            <v>55</v>
          </cell>
          <cell r="Q59">
            <v>5</v>
          </cell>
        </row>
        <row r="60">
          <cell r="E60">
            <v>55</v>
          </cell>
          <cell r="N60">
            <v>55</v>
          </cell>
          <cell r="Q60">
            <v>5</v>
          </cell>
        </row>
        <row r="61">
          <cell r="E61">
            <v>55</v>
          </cell>
          <cell r="N61">
            <v>5500</v>
          </cell>
          <cell r="Q61">
            <v>5</v>
          </cell>
        </row>
        <row r="62">
          <cell r="E62">
            <v>5500</v>
          </cell>
          <cell r="N62">
            <v>55</v>
          </cell>
          <cell r="Q62">
            <v>5</v>
          </cell>
        </row>
        <row r="63">
          <cell r="E63">
            <v>55</v>
          </cell>
          <cell r="N63">
            <v>55</v>
          </cell>
          <cell r="Q63">
            <v>5</v>
          </cell>
        </row>
        <row r="64">
          <cell r="E64">
            <v>55</v>
          </cell>
          <cell r="N64">
            <v>5500</v>
          </cell>
          <cell r="Q64">
            <v>5</v>
          </cell>
        </row>
        <row r="65">
          <cell r="E65">
            <v>5500</v>
          </cell>
          <cell r="N65">
            <v>55</v>
          </cell>
          <cell r="Q65">
            <v>5</v>
          </cell>
        </row>
        <row r="66">
          <cell r="E66">
            <v>55</v>
          </cell>
          <cell r="N66">
            <v>55</v>
          </cell>
          <cell r="Q66">
            <v>5</v>
          </cell>
        </row>
        <row r="67">
          <cell r="E67">
            <v>55</v>
          </cell>
          <cell r="N67">
            <v>5500</v>
          </cell>
          <cell r="Q67">
            <v>5</v>
          </cell>
        </row>
        <row r="68">
          <cell r="E68">
            <v>5500</v>
          </cell>
          <cell r="N68">
            <v>55</v>
          </cell>
          <cell r="Q68">
            <v>0.5</v>
          </cell>
        </row>
        <row r="69">
          <cell r="E69">
            <v>55</v>
          </cell>
          <cell r="N69">
            <v>55</v>
          </cell>
          <cell r="Q69">
            <v>0.5</v>
          </cell>
        </row>
        <row r="70">
          <cell r="E70">
            <v>55</v>
          </cell>
          <cell r="N70">
            <v>5500</v>
          </cell>
          <cell r="Q70">
            <v>5</v>
          </cell>
        </row>
        <row r="71">
          <cell r="E71">
            <v>5500</v>
          </cell>
          <cell r="N71">
            <v>55</v>
          </cell>
          <cell r="Q71">
            <v>5</v>
          </cell>
        </row>
        <row r="72">
          <cell r="E72">
            <v>55</v>
          </cell>
          <cell r="N72">
            <v>55</v>
          </cell>
          <cell r="Q72">
            <v>5</v>
          </cell>
        </row>
        <row r="73">
          <cell r="E73">
            <v>55</v>
          </cell>
          <cell r="N73">
            <v>5500</v>
          </cell>
          <cell r="Q73">
            <v>5</v>
          </cell>
        </row>
        <row r="74">
          <cell r="E74">
            <v>5500</v>
          </cell>
          <cell r="N74">
            <v>55</v>
          </cell>
          <cell r="Q74">
            <v>5</v>
          </cell>
        </row>
        <row r="75">
          <cell r="E75">
            <v>55</v>
          </cell>
          <cell r="N75">
            <v>55</v>
          </cell>
          <cell r="Q75">
            <v>5</v>
          </cell>
        </row>
        <row r="76">
          <cell r="E76">
            <v>55</v>
          </cell>
          <cell r="N76">
            <v>5500</v>
          </cell>
          <cell r="Q76">
            <v>5</v>
          </cell>
        </row>
        <row r="77">
          <cell r="E77">
            <v>5500</v>
          </cell>
          <cell r="N77">
            <v>55</v>
          </cell>
          <cell r="Q77">
            <v>5</v>
          </cell>
        </row>
        <row r="78">
          <cell r="E78">
            <v>55</v>
          </cell>
          <cell r="N78">
            <v>55</v>
          </cell>
          <cell r="Q78">
            <v>5</v>
          </cell>
        </row>
        <row r="79">
          <cell r="E79">
            <v>55</v>
          </cell>
          <cell r="N79">
            <v>5500</v>
          </cell>
          <cell r="Q79">
            <v>5</v>
          </cell>
        </row>
        <row r="80">
          <cell r="E80">
            <v>5500</v>
          </cell>
          <cell r="N80">
            <v>55</v>
          </cell>
          <cell r="Q80">
            <v>5</v>
          </cell>
        </row>
        <row r="81">
          <cell r="E81">
            <v>55</v>
          </cell>
          <cell r="N81">
            <v>55</v>
          </cell>
          <cell r="Q81">
            <v>5</v>
          </cell>
        </row>
        <row r="82">
          <cell r="E82">
            <v>55</v>
          </cell>
          <cell r="N82">
            <v>5500</v>
          </cell>
          <cell r="Q82">
            <v>5</v>
          </cell>
        </row>
        <row r="83">
          <cell r="E83">
            <v>5500</v>
          </cell>
          <cell r="N83">
            <v>55</v>
          </cell>
          <cell r="Q83">
            <v>5</v>
          </cell>
        </row>
        <row r="84">
          <cell r="E84">
            <v>55</v>
          </cell>
          <cell r="N84">
            <v>55</v>
          </cell>
          <cell r="Q84">
            <v>5</v>
          </cell>
        </row>
        <row r="85">
          <cell r="E85">
            <v>55</v>
          </cell>
          <cell r="N85">
            <v>5500</v>
          </cell>
          <cell r="Q85">
            <v>5</v>
          </cell>
        </row>
        <row r="86">
          <cell r="E86">
            <v>5500</v>
          </cell>
          <cell r="N86">
            <v>55</v>
          </cell>
          <cell r="Q86">
            <v>5</v>
          </cell>
        </row>
        <row r="87">
          <cell r="E87">
            <v>55</v>
          </cell>
          <cell r="N87">
            <v>55</v>
          </cell>
          <cell r="Q87">
            <v>5</v>
          </cell>
        </row>
        <row r="88">
          <cell r="E88">
            <v>55</v>
          </cell>
          <cell r="N88">
            <v>5500</v>
          </cell>
          <cell r="Q88">
            <v>5</v>
          </cell>
        </row>
        <row r="89">
          <cell r="E89">
            <v>5500</v>
          </cell>
          <cell r="N89">
            <v>55</v>
          </cell>
          <cell r="Q89">
            <v>5</v>
          </cell>
        </row>
        <row r="90">
          <cell r="E90">
            <v>55</v>
          </cell>
          <cell r="N90">
            <v>55</v>
          </cell>
        </row>
        <row r="91">
          <cell r="E91">
            <v>55</v>
          </cell>
          <cell r="N91">
            <v>5500</v>
          </cell>
        </row>
        <row r="92">
          <cell r="E92">
            <v>5500</v>
          </cell>
          <cell r="N92">
            <v>55</v>
          </cell>
        </row>
        <row r="93">
          <cell r="E93">
            <v>55</v>
          </cell>
          <cell r="N93">
            <v>55</v>
          </cell>
        </row>
        <row r="94">
          <cell r="E94">
            <v>55</v>
          </cell>
          <cell r="N94">
            <v>5500</v>
          </cell>
        </row>
        <row r="95">
          <cell r="E95">
            <v>5500</v>
          </cell>
          <cell r="N95">
            <v>55</v>
          </cell>
        </row>
        <row r="96">
          <cell r="E96">
            <v>55</v>
          </cell>
          <cell r="N96">
            <v>55</v>
          </cell>
        </row>
        <row r="97">
          <cell r="E97">
            <v>55</v>
          </cell>
          <cell r="N97">
            <v>5500</v>
          </cell>
        </row>
        <row r="98">
          <cell r="E98">
            <v>5500</v>
          </cell>
        </row>
        <row r="99">
          <cell r="E99">
            <v>55</v>
          </cell>
        </row>
        <row r="100">
          <cell r="E100">
            <v>55</v>
          </cell>
        </row>
        <row r="101">
          <cell r="E101">
            <v>5500</v>
          </cell>
        </row>
      </sheetData>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8E036-FF7A-4FF4-8B94-47CD0C2C3D3F}">
  <sheetPr codeName="Sheet1"/>
  <dimension ref="B1:N35"/>
  <sheetViews>
    <sheetView tabSelected="1" workbookViewId="0">
      <pane xSplit="1" ySplit="2" topLeftCell="B3" activePane="bottomRight" state="frozen"/>
      <selection pane="topRight" activeCell="B1" sqref="B1"/>
      <selection pane="bottomLeft" activeCell="A3" sqref="A3"/>
      <selection pane="bottomRight" activeCell="B3" sqref="B3"/>
    </sheetView>
  </sheetViews>
  <sheetFormatPr defaultRowHeight="12.75" x14ac:dyDescent="0.2"/>
  <cols>
    <col min="1" max="1" width="9.140625" style="22"/>
    <col min="2" max="2" width="159.140625" style="36" bestFit="1" customWidth="1"/>
    <col min="3" max="257" width="9.140625" style="22"/>
    <col min="258" max="258" width="118.85546875" style="22" bestFit="1" customWidth="1"/>
    <col min="259" max="513" width="9.140625" style="22"/>
    <col min="514" max="514" width="118.85546875" style="22" bestFit="1" customWidth="1"/>
    <col min="515" max="769" width="9.140625" style="22"/>
    <col min="770" max="770" width="118.85546875" style="22" bestFit="1" customWidth="1"/>
    <col min="771" max="1025" width="9.140625" style="22"/>
    <col min="1026" max="1026" width="118.85546875" style="22" bestFit="1" customWidth="1"/>
    <col min="1027" max="1281" width="9.140625" style="22"/>
    <col min="1282" max="1282" width="118.85546875" style="22" bestFit="1" customWidth="1"/>
    <col min="1283" max="1537" width="9.140625" style="22"/>
    <col min="1538" max="1538" width="118.85546875" style="22" bestFit="1" customWidth="1"/>
    <col min="1539" max="1793" width="9.140625" style="22"/>
    <col min="1794" max="1794" width="118.85546875" style="22" bestFit="1" customWidth="1"/>
    <col min="1795" max="2049" width="9.140625" style="22"/>
    <col min="2050" max="2050" width="118.85546875" style="22" bestFit="1" customWidth="1"/>
    <col min="2051" max="2305" width="9.140625" style="22"/>
    <col min="2306" max="2306" width="118.85546875" style="22" bestFit="1" customWidth="1"/>
    <col min="2307" max="2561" width="9.140625" style="22"/>
    <col min="2562" max="2562" width="118.85546875" style="22" bestFit="1" customWidth="1"/>
    <col min="2563" max="2817" width="9.140625" style="22"/>
    <col min="2818" max="2818" width="118.85546875" style="22" bestFit="1" customWidth="1"/>
    <col min="2819" max="3073" width="9.140625" style="22"/>
    <col min="3074" max="3074" width="118.85546875" style="22" bestFit="1" customWidth="1"/>
    <col min="3075" max="3329" width="9.140625" style="22"/>
    <col min="3330" max="3330" width="118.85546875" style="22" bestFit="1" customWidth="1"/>
    <col min="3331" max="3585" width="9.140625" style="22"/>
    <col min="3586" max="3586" width="118.85546875" style="22" bestFit="1" customWidth="1"/>
    <col min="3587" max="3841" width="9.140625" style="22"/>
    <col min="3842" max="3842" width="118.85546875" style="22" bestFit="1" customWidth="1"/>
    <col min="3843" max="4097" width="9.140625" style="22"/>
    <col min="4098" max="4098" width="118.85546875" style="22" bestFit="1" customWidth="1"/>
    <col min="4099" max="4353" width="9.140625" style="22"/>
    <col min="4354" max="4354" width="118.85546875" style="22" bestFit="1" customWidth="1"/>
    <col min="4355" max="4609" width="9.140625" style="22"/>
    <col min="4610" max="4610" width="118.85546875" style="22" bestFit="1" customWidth="1"/>
    <col min="4611" max="4865" width="9.140625" style="22"/>
    <col min="4866" max="4866" width="118.85546875" style="22" bestFit="1" customWidth="1"/>
    <col min="4867" max="5121" width="9.140625" style="22"/>
    <col min="5122" max="5122" width="118.85546875" style="22" bestFit="1" customWidth="1"/>
    <col min="5123" max="5377" width="9.140625" style="22"/>
    <col min="5378" max="5378" width="118.85546875" style="22" bestFit="1" customWidth="1"/>
    <col min="5379" max="5633" width="9.140625" style="22"/>
    <col min="5634" max="5634" width="118.85546875" style="22" bestFit="1" customWidth="1"/>
    <col min="5635" max="5889" width="9.140625" style="22"/>
    <col min="5890" max="5890" width="118.85546875" style="22" bestFit="1" customWidth="1"/>
    <col min="5891" max="6145" width="9.140625" style="22"/>
    <col min="6146" max="6146" width="118.85546875" style="22" bestFit="1" customWidth="1"/>
    <col min="6147" max="6401" width="9.140625" style="22"/>
    <col min="6402" max="6402" width="118.85546875" style="22" bestFit="1" customWidth="1"/>
    <col min="6403" max="6657" width="9.140625" style="22"/>
    <col min="6658" max="6658" width="118.85546875" style="22" bestFit="1" customWidth="1"/>
    <col min="6659" max="6913" width="9.140625" style="22"/>
    <col min="6914" max="6914" width="118.85546875" style="22" bestFit="1" customWidth="1"/>
    <col min="6915" max="7169" width="9.140625" style="22"/>
    <col min="7170" max="7170" width="118.85546875" style="22" bestFit="1" customWidth="1"/>
    <col min="7171" max="7425" width="9.140625" style="22"/>
    <col min="7426" max="7426" width="118.85546875" style="22" bestFit="1" customWidth="1"/>
    <col min="7427" max="7681" width="9.140625" style="22"/>
    <col min="7682" max="7682" width="118.85546875" style="22" bestFit="1" customWidth="1"/>
    <col min="7683" max="7937" width="9.140625" style="22"/>
    <col min="7938" max="7938" width="118.85546875" style="22" bestFit="1" customWidth="1"/>
    <col min="7939" max="8193" width="9.140625" style="22"/>
    <col min="8194" max="8194" width="118.85546875" style="22" bestFit="1" customWidth="1"/>
    <col min="8195" max="8449" width="9.140625" style="22"/>
    <col min="8450" max="8450" width="118.85546875" style="22" bestFit="1" customWidth="1"/>
    <col min="8451" max="8705" width="9.140625" style="22"/>
    <col min="8706" max="8706" width="118.85546875" style="22" bestFit="1" customWidth="1"/>
    <col min="8707" max="8961" width="9.140625" style="22"/>
    <col min="8962" max="8962" width="118.85546875" style="22" bestFit="1" customWidth="1"/>
    <col min="8963" max="9217" width="9.140625" style="22"/>
    <col min="9218" max="9218" width="118.85546875" style="22" bestFit="1" customWidth="1"/>
    <col min="9219" max="9473" width="9.140625" style="22"/>
    <col min="9474" max="9474" width="118.85546875" style="22" bestFit="1" customWidth="1"/>
    <col min="9475" max="9729" width="9.140625" style="22"/>
    <col min="9730" max="9730" width="118.85546875" style="22" bestFit="1" customWidth="1"/>
    <col min="9731" max="9985" width="9.140625" style="22"/>
    <col min="9986" max="9986" width="118.85546875" style="22" bestFit="1" customWidth="1"/>
    <col min="9987" max="10241" width="9.140625" style="22"/>
    <col min="10242" max="10242" width="118.85546875" style="22" bestFit="1" customWidth="1"/>
    <col min="10243" max="10497" width="9.140625" style="22"/>
    <col min="10498" max="10498" width="118.85546875" style="22" bestFit="1" customWidth="1"/>
    <col min="10499" max="10753" width="9.140625" style="22"/>
    <col min="10754" max="10754" width="118.85546875" style="22" bestFit="1" customWidth="1"/>
    <col min="10755" max="11009" width="9.140625" style="22"/>
    <col min="11010" max="11010" width="118.85546875" style="22" bestFit="1" customWidth="1"/>
    <col min="11011" max="11265" width="9.140625" style="22"/>
    <col min="11266" max="11266" width="118.85546875" style="22" bestFit="1" customWidth="1"/>
    <col min="11267" max="11521" width="9.140625" style="22"/>
    <col min="11522" max="11522" width="118.85546875" style="22" bestFit="1" customWidth="1"/>
    <col min="11523" max="11777" width="9.140625" style="22"/>
    <col min="11778" max="11778" width="118.85546875" style="22" bestFit="1" customWidth="1"/>
    <col min="11779" max="12033" width="9.140625" style="22"/>
    <col min="12034" max="12034" width="118.85546875" style="22" bestFit="1" customWidth="1"/>
    <col min="12035" max="12289" width="9.140625" style="22"/>
    <col min="12290" max="12290" width="118.85546875" style="22" bestFit="1" customWidth="1"/>
    <col min="12291" max="12545" width="9.140625" style="22"/>
    <col min="12546" max="12546" width="118.85546875" style="22" bestFit="1" customWidth="1"/>
    <col min="12547" max="12801" width="9.140625" style="22"/>
    <col min="12802" max="12802" width="118.85546875" style="22" bestFit="1" customWidth="1"/>
    <col min="12803" max="13057" width="9.140625" style="22"/>
    <col min="13058" max="13058" width="118.85546875" style="22" bestFit="1" customWidth="1"/>
    <col min="13059" max="13313" width="9.140625" style="22"/>
    <col min="13314" max="13314" width="118.85546875" style="22" bestFit="1" customWidth="1"/>
    <col min="13315" max="13569" width="9.140625" style="22"/>
    <col min="13570" max="13570" width="118.85546875" style="22" bestFit="1" customWidth="1"/>
    <col min="13571" max="13825" width="9.140625" style="22"/>
    <col min="13826" max="13826" width="118.85546875" style="22" bestFit="1" customWidth="1"/>
    <col min="13827" max="14081" width="9.140625" style="22"/>
    <col min="14082" max="14082" width="118.85546875" style="22" bestFit="1" customWidth="1"/>
    <col min="14083" max="14337" width="9.140625" style="22"/>
    <col min="14338" max="14338" width="118.85546875" style="22" bestFit="1" customWidth="1"/>
    <col min="14339" max="14593" width="9.140625" style="22"/>
    <col min="14594" max="14594" width="118.85546875" style="22" bestFit="1" customWidth="1"/>
    <col min="14595" max="14849" width="9.140625" style="22"/>
    <col min="14850" max="14850" width="118.85546875" style="22" bestFit="1" customWidth="1"/>
    <col min="14851" max="15105" width="9.140625" style="22"/>
    <col min="15106" max="15106" width="118.85546875" style="22" bestFit="1" customWidth="1"/>
    <col min="15107" max="15361" width="9.140625" style="22"/>
    <col min="15362" max="15362" width="118.85546875" style="22" bestFit="1" customWidth="1"/>
    <col min="15363" max="15617" width="9.140625" style="22"/>
    <col min="15618" max="15618" width="118.85546875" style="22" bestFit="1" customWidth="1"/>
    <col min="15619" max="15873" width="9.140625" style="22"/>
    <col min="15874" max="15874" width="118.85546875" style="22" bestFit="1" customWidth="1"/>
    <col min="15875" max="16129" width="9.140625" style="22"/>
    <col min="16130" max="16130" width="118.85546875" style="22" bestFit="1" customWidth="1"/>
    <col min="16131" max="16384" width="9.140625" style="22"/>
  </cols>
  <sheetData>
    <row r="1" spans="2:14" ht="28.5" thickBot="1" x14ac:dyDescent="0.25">
      <c r="B1" s="20" t="s">
        <v>1150</v>
      </c>
      <c r="C1" s="21"/>
      <c r="D1" s="21"/>
      <c r="E1" s="21"/>
      <c r="F1" s="21"/>
      <c r="G1" s="21"/>
      <c r="H1" s="21"/>
      <c r="I1" s="21"/>
      <c r="J1" s="21"/>
      <c r="K1" s="21"/>
      <c r="L1" s="21"/>
      <c r="M1" s="21"/>
      <c r="N1" s="21"/>
    </row>
    <row r="2" spans="2:14" ht="48" thickBot="1" x14ac:dyDescent="0.3">
      <c r="B2" s="204" t="s">
        <v>1481</v>
      </c>
      <c r="C2" s="23"/>
      <c r="D2" s="23"/>
      <c r="E2" s="23"/>
      <c r="F2" s="23"/>
      <c r="G2" s="23"/>
      <c r="H2" s="23"/>
      <c r="I2" s="23"/>
      <c r="J2" s="23"/>
      <c r="K2" s="23"/>
      <c r="L2" s="23"/>
      <c r="M2" s="23"/>
      <c r="N2" s="23"/>
    </row>
    <row r="3" spans="2:14" ht="15" x14ac:dyDescent="0.25">
      <c r="B3" s="24"/>
      <c r="C3" s="23"/>
      <c r="D3" s="23"/>
      <c r="E3" s="23"/>
      <c r="F3" s="23"/>
      <c r="G3" s="23"/>
      <c r="H3" s="23"/>
      <c r="I3" s="23"/>
      <c r="J3" s="23"/>
      <c r="K3" s="23"/>
      <c r="L3" s="23"/>
      <c r="M3" s="23"/>
      <c r="N3" s="23"/>
    </row>
    <row r="4" spans="2:14" ht="60.75" x14ac:dyDescent="0.25">
      <c r="B4" s="25" t="s">
        <v>1168</v>
      </c>
      <c r="C4" s="23"/>
      <c r="D4" s="23"/>
      <c r="E4" s="23"/>
      <c r="F4" s="23"/>
      <c r="G4" s="23"/>
      <c r="H4" s="23"/>
      <c r="I4" s="23"/>
      <c r="J4" s="23"/>
      <c r="K4" s="23"/>
      <c r="L4" s="23"/>
      <c r="M4" s="23"/>
      <c r="N4" s="23"/>
    </row>
    <row r="6" spans="2:14" ht="16.5" thickBot="1" x14ac:dyDescent="0.3">
      <c r="B6" s="26" t="s">
        <v>1151</v>
      </c>
    </row>
    <row r="7" spans="2:14" ht="45" x14ac:dyDescent="0.25">
      <c r="B7" s="27" t="s">
        <v>1164</v>
      </c>
      <c r="C7" s="28"/>
      <c r="D7" s="28"/>
      <c r="E7" s="28"/>
      <c r="F7" s="28"/>
      <c r="G7" s="28"/>
      <c r="H7" s="28"/>
      <c r="I7" s="28"/>
      <c r="J7" s="28"/>
      <c r="K7" s="28"/>
      <c r="L7" s="28"/>
      <c r="M7" s="28"/>
      <c r="N7" s="28"/>
    </row>
    <row r="8" spans="2:14" ht="15" x14ac:dyDescent="0.25">
      <c r="B8" s="29"/>
    </row>
    <row r="9" spans="2:14" ht="14.25" x14ac:dyDescent="0.2">
      <c r="B9" s="30" t="s">
        <v>1152</v>
      </c>
    </row>
    <row r="10" spans="2:14" ht="14.25" x14ac:dyDescent="0.2">
      <c r="B10" s="30" t="s">
        <v>1153</v>
      </c>
    </row>
    <row r="11" spans="2:14" ht="14.25" x14ac:dyDescent="0.2">
      <c r="B11" s="30" t="s">
        <v>1165</v>
      </c>
    </row>
    <row r="12" spans="2:14" ht="14.25" x14ac:dyDescent="0.2">
      <c r="B12" s="30" t="s">
        <v>1166</v>
      </c>
    </row>
    <row r="13" spans="2:14" ht="14.25" x14ac:dyDescent="0.2">
      <c r="B13" s="30" t="s">
        <v>1167</v>
      </c>
    </row>
    <row r="14" spans="2:14" ht="14.25" x14ac:dyDescent="0.2">
      <c r="B14" s="30" t="s">
        <v>1480</v>
      </c>
    </row>
    <row r="15" spans="2:14" ht="14.25" x14ac:dyDescent="0.2">
      <c r="B15" s="30"/>
    </row>
    <row r="16" spans="2:14" ht="14.25" x14ac:dyDescent="0.2">
      <c r="B16" s="30" t="s">
        <v>1154</v>
      </c>
    </row>
    <row r="17" spans="2:2" ht="15" thickBot="1" x14ac:dyDescent="0.25">
      <c r="B17" s="31" t="s">
        <v>1155</v>
      </c>
    </row>
    <row r="20" spans="2:2" ht="16.5" thickBot="1" x14ac:dyDescent="0.3">
      <c r="B20" s="26" t="s">
        <v>1156</v>
      </c>
    </row>
    <row r="21" spans="2:2" x14ac:dyDescent="0.2">
      <c r="B21" s="32" t="s">
        <v>1157</v>
      </c>
    </row>
    <row r="22" spans="2:2" x14ac:dyDescent="0.2">
      <c r="B22" s="33" t="s">
        <v>1158</v>
      </c>
    </row>
    <row r="23" spans="2:2" x14ac:dyDescent="0.2">
      <c r="B23" s="34" t="s">
        <v>1159</v>
      </c>
    </row>
    <row r="24" spans="2:2" x14ac:dyDescent="0.2">
      <c r="B24" s="68" t="s">
        <v>1262</v>
      </c>
    </row>
    <row r="25" spans="2:2" x14ac:dyDescent="0.2">
      <c r="B25" s="54" t="s">
        <v>1263</v>
      </c>
    </row>
    <row r="26" spans="2:2" x14ac:dyDescent="0.2">
      <c r="B26" s="56" t="s">
        <v>1264</v>
      </c>
    </row>
    <row r="27" spans="2:2" x14ac:dyDescent="0.2">
      <c r="B27" s="55" t="s">
        <v>1261</v>
      </c>
    </row>
    <row r="28" spans="2:2" x14ac:dyDescent="0.2">
      <c r="B28" s="67" t="s">
        <v>1260</v>
      </c>
    </row>
    <row r="29" spans="2:2" x14ac:dyDescent="0.2">
      <c r="B29" s="66" t="s">
        <v>1161</v>
      </c>
    </row>
    <row r="30" spans="2:2" ht="13.5" thickBot="1" x14ac:dyDescent="0.25">
      <c r="B30" s="53" t="s">
        <v>1160</v>
      </c>
    </row>
    <row r="32" spans="2:2" ht="16.5" thickBot="1" x14ac:dyDescent="0.3">
      <c r="B32" s="26" t="s">
        <v>1162</v>
      </c>
    </row>
    <row r="33" spans="2:2" x14ac:dyDescent="0.2">
      <c r="B33" s="114" t="s">
        <v>1479</v>
      </c>
    </row>
    <row r="34" spans="2:2" x14ac:dyDescent="0.2">
      <c r="B34" s="74" t="s">
        <v>1396</v>
      </c>
    </row>
    <row r="35" spans="2:2" ht="26.25" thickBot="1" x14ac:dyDescent="0.25">
      <c r="B35" s="35" t="s">
        <v>1163</v>
      </c>
    </row>
  </sheetData>
  <sheetProtection algorithmName="SHA-512" hashValue="JGuN7hiWTgrEs2lmXjM4+jObMPX6OJXnXRiOEILPLV6B7LcQbrTNvz69ipbb4kVApFtpU7DEpwL4ZPwBUNkvmw==" saltValue="9P3VmUdRNWedIygw95mJjw==" spinCount="100000" sheet="1" objects="1" scenarios="1" formatColumns="0" formatRows="0"/>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9" tint="-0.499984740745262"/>
  </sheetPr>
  <dimension ref="A1:BB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15.5703125" defaultRowHeight="15" x14ac:dyDescent="0.25"/>
  <cols>
    <col min="1" max="1" width="14.5703125" style="4" bestFit="1" customWidth="1"/>
    <col min="2" max="2" width="11.7109375" style="4" bestFit="1" customWidth="1"/>
    <col min="3" max="3" width="13.42578125" style="3" bestFit="1" customWidth="1"/>
    <col min="4" max="4" width="12.5703125" style="3" bestFit="1" customWidth="1"/>
    <col min="5" max="5" width="9.5703125" style="3" bestFit="1" customWidth="1"/>
    <col min="6" max="6" width="10.28515625" style="3" bestFit="1" customWidth="1"/>
    <col min="7" max="7" width="10.7109375" style="3" bestFit="1" customWidth="1"/>
    <col min="8" max="8" width="11.42578125" style="3" bestFit="1" customWidth="1"/>
    <col min="9" max="9" width="9.5703125" style="3" bestFit="1" customWidth="1"/>
    <col min="10" max="10" width="12.85546875" style="3" bestFit="1" customWidth="1"/>
    <col min="11" max="11" width="13" style="3" bestFit="1" customWidth="1"/>
    <col min="12" max="12" width="12.85546875" style="3" bestFit="1" customWidth="1"/>
    <col min="13" max="13" width="17.140625" style="3" bestFit="1" customWidth="1"/>
    <col min="14" max="14" width="16.28515625" style="3" bestFit="1" customWidth="1"/>
    <col min="15" max="15" width="13.140625" style="3" bestFit="1" customWidth="1"/>
    <col min="16" max="16" width="14" style="3" bestFit="1" customWidth="1"/>
    <col min="17" max="17" width="14.28515625" style="3" bestFit="1" customWidth="1"/>
    <col min="18" max="18" width="15.140625" style="3" bestFit="1" customWidth="1"/>
    <col min="19" max="19" width="13.28515625" style="3" bestFit="1" customWidth="1"/>
    <col min="20" max="21" width="8.7109375" style="3" bestFit="1" customWidth="1"/>
    <col min="22" max="22" width="8.85546875" style="3" bestFit="1" customWidth="1"/>
    <col min="23" max="23" width="12" style="3" bestFit="1" customWidth="1"/>
    <col min="24" max="24" width="11.42578125" style="3" bestFit="1" customWidth="1"/>
    <col min="25" max="25" width="9.140625" style="3" bestFit="1" customWidth="1"/>
    <col min="26" max="26" width="9.7109375" style="3" bestFit="1" customWidth="1"/>
    <col min="27" max="27" width="10" style="3" bestFit="1" customWidth="1"/>
    <col min="28" max="28" width="10.5703125" style="3" bestFit="1" customWidth="1"/>
    <col min="29" max="29" width="9.140625" style="3" bestFit="1" customWidth="1"/>
    <col min="30" max="30" width="12.85546875" style="3" bestFit="1" customWidth="1"/>
    <col min="31" max="31" width="14.7109375" style="3" bestFit="1" customWidth="1"/>
    <col min="32" max="32" width="15" style="3" bestFit="1" customWidth="1"/>
    <col min="33" max="33" width="16" style="3" bestFit="1" customWidth="1"/>
    <col min="34" max="34" width="19.140625" style="3" bestFit="1" customWidth="1"/>
    <col min="35" max="35" width="18.140625" style="3" bestFit="1" customWidth="1"/>
    <col min="36" max="36" width="15.140625" style="3" bestFit="1" customWidth="1"/>
    <col min="37" max="37" width="16" style="3" bestFit="1" customWidth="1"/>
    <col min="38" max="38" width="16.28515625" style="3" bestFit="1" customWidth="1"/>
    <col min="39" max="39" width="17" style="3" bestFit="1" customWidth="1"/>
    <col min="40" max="40" width="15.28515625" style="3" bestFit="1" customWidth="1"/>
    <col min="41" max="42" width="10.42578125" style="3" bestFit="1" customWidth="1"/>
    <col min="43" max="43" width="11.28515625" style="3" bestFit="1" customWidth="1"/>
    <col min="44" max="44" width="13.85546875" style="3" bestFit="1" customWidth="1"/>
    <col min="45" max="45" width="13.140625" style="3" bestFit="1" customWidth="1"/>
    <col min="46" max="46" width="10.85546875" style="3" bestFit="1" customWidth="1"/>
    <col min="47" max="47" width="11.42578125" style="3" bestFit="1" customWidth="1"/>
    <col min="48" max="48" width="11.85546875" style="3" bestFit="1" customWidth="1"/>
    <col min="49" max="49" width="12.28515625" style="3" bestFit="1" customWidth="1"/>
    <col min="50" max="50" width="10.85546875" style="3" bestFit="1" customWidth="1"/>
    <col min="51" max="51" width="14.7109375" style="3" bestFit="1" customWidth="1"/>
    <col min="52" max="52" width="12.28515625" style="3" bestFit="1" customWidth="1"/>
    <col min="53" max="53" width="12.5703125" style="3" bestFit="1" customWidth="1"/>
    <col min="54" max="54" width="12.140625" style="3" bestFit="1" customWidth="1"/>
    <col min="55" max="16384" width="15.5703125" style="3"/>
  </cols>
  <sheetData>
    <row r="1" spans="1:54" s="37" customFormat="1" x14ac:dyDescent="0.2">
      <c r="A1" s="179" t="s">
        <v>51</v>
      </c>
      <c r="B1" s="180" t="s">
        <v>350</v>
      </c>
      <c r="C1" s="64" t="s">
        <v>1265</v>
      </c>
      <c r="D1" s="64" t="s">
        <v>1266</v>
      </c>
      <c r="E1" s="64" t="s">
        <v>1267</v>
      </c>
      <c r="F1" s="64" t="s">
        <v>1268</v>
      </c>
      <c r="G1" s="64" t="s">
        <v>1269</v>
      </c>
      <c r="H1" s="64" t="s">
        <v>1270</v>
      </c>
      <c r="I1" s="64" t="s">
        <v>1271</v>
      </c>
      <c r="J1" s="64" t="s">
        <v>1169</v>
      </c>
      <c r="K1" s="64" t="s">
        <v>1170</v>
      </c>
      <c r="L1" s="64" t="s">
        <v>1171</v>
      </c>
      <c r="M1" s="64" t="s">
        <v>1175</v>
      </c>
      <c r="N1" s="64" t="s">
        <v>1176</v>
      </c>
      <c r="O1" s="64" t="s">
        <v>1177</v>
      </c>
      <c r="P1" s="64" t="s">
        <v>1178</v>
      </c>
      <c r="Q1" s="64" t="s">
        <v>1179</v>
      </c>
      <c r="R1" s="64" t="s">
        <v>1180</v>
      </c>
      <c r="S1" s="64" t="s">
        <v>1181</v>
      </c>
      <c r="T1" s="38" t="s">
        <v>1182</v>
      </c>
      <c r="U1" s="38" t="s">
        <v>1183</v>
      </c>
      <c r="V1" s="38" t="s">
        <v>1184</v>
      </c>
      <c r="W1" s="38" t="s">
        <v>1185</v>
      </c>
      <c r="X1" s="38" t="s">
        <v>1186</v>
      </c>
      <c r="Y1" s="38" t="s">
        <v>1187</v>
      </c>
      <c r="Z1" s="38" t="s">
        <v>1188</v>
      </c>
      <c r="AA1" s="38" t="s">
        <v>1189</v>
      </c>
      <c r="AB1" s="38" t="s">
        <v>1190</v>
      </c>
      <c r="AC1" s="38" t="s">
        <v>1191</v>
      </c>
      <c r="AD1" s="64" t="s">
        <v>1172</v>
      </c>
      <c r="AE1" s="64" t="s">
        <v>1284</v>
      </c>
      <c r="AF1" s="64" t="s">
        <v>1285</v>
      </c>
      <c r="AG1" s="64" t="s">
        <v>1286</v>
      </c>
      <c r="AH1" s="64" t="s">
        <v>1287</v>
      </c>
      <c r="AI1" s="64" t="s">
        <v>1288</v>
      </c>
      <c r="AJ1" s="64" t="s">
        <v>1289</v>
      </c>
      <c r="AK1" s="64" t="s">
        <v>1290</v>
      </c>
      <c r="AL1" s="64" t="s">
        <v>1291</v>
      </c>
      <c r="AM1" s="64" t="s">
        <v>1292</v>
      </c>
      <c r="AN1" s="64" t="s">
        <v>1293</v>
      </c>
      <c r="AO1" s="38" t="s">
        <v>1192</v>
      </c>
      <c r="AP1" s="38" t="s">
        <v>1193</v>
      </c>
      <c r="AQ1" s="38" t="s">
        <v>1194</v>
      </c>
      <c r="AR1" s="38" t="s">
        <v>1195</v>
      </c>
      <c r="AS1" s="38" t="s">
        <v>1196</v>
      </c>
      <c r="AT1" s="38" t="s">
        <v>1197</v>
      </c>
      <c r="AU1" s="38" t="s">
        <v>1198</v>
      </c>
      <c r="AV1" s="38" t="s">
        <v>1199</v>
      </c>
      <c r="AW1" s="38" t="s">
        <v>1200</v>
      </c>
      <c r="AX1" s="38" t="s">
        <v>1201</v>
      </c>
      <c r="AY1" s="64" t="s">
        <v>1302</v>
      </c>
      <c r="AZ1" s="64" t="s">
        <v>1209</v>
      </c>
      <c r="BA1" s="64" t="s">
        <v>1210</v>
      </c>
      <c r="BB1" s="64" t="s">
        <v>1211</v>
      </c>
    </row>
    <row r="2" spans="1:54" customFormat="1" x14ac:dyDescent="0.25">
      <c r="A2" s="44" t="s">
        <v>12</v>
      </c>
      <c r="B2" s="42" t="s">
        <v>1074</v>
      </c>
      <c r="C2" s="15">
        <f>dir!AB2</f>
        <v>1.8760447962917482E-4</v>
      </c>
      <c r="D2" s="15">
        <f>IFERROR(TR/(RadSpec!E2*IFP_far_adj*CF_far_poultry),".")</f>
        <v>2.6749164728575997E-3</v>
      </c>
      <c r="E2" s="15">
        <f>IFERROR(TR/(RadSpec!E2*IFE_far_adj*CF_far_egg),".")</f>
        <v>4.7462088278214104E-3</v>
      </c>
      <c r="F2" s="15">
        <f>IFERROR(TR/(RadSpec!E2*IFB_far_adj*CF_far_beef),".")</f>
        <v>1.7542848904033581E-3</v>
      </c>
      <c r="G2" s="15">
        <f>IFERROR(TR/(RadSpec!E2*IFD_far_adj*CF_far_dairy),".")</f>
        <v>3.6320234510177308E-4</v>
      </c>
      <c r="H2" s="15">
        <f>IFERROR(TR/(RadSpec!E2*IFSW_far_adj*CF_far_swine),".")</f>
        <v>3.1430588216267144E-3</v>
      </c>
      <c r="I2" s="15">
        <f>IFERROR(TR/(RadSpec!E2*IFFI_far_adj*CF_far_fish),".")</f>
        <v>3.6751881140478944E-4</v>
      </c>
      <c r="J2" s="15">
        <f>IFERROR((TR/(RadSpec!D2*IFS_far_adj*(1/1000)))*1,".")</f>
        <v>1.2717404021751848</v>
      </c>
      <c r="K2" s="15">
        <f>IFERROR(IF(A2="H-3",(TR/(RadSpec!G2*IFA_far_adj*(1/17)*1000))*1,(TR/(RadSpec!G2*IFA_far_adj*(1/PEF_wind)*1000))*1),".")</f>
        <v>183.74297230542561</v>
      </c>
      <c r="L2" s="15">
        <f>IFERROR((TR/(RadSpec!F2*EF_far*(1/365)*ED_far*RadSpec!Q2*((ET_far_o*(1/24)*RadSpec!V2)+(ET_far_i*(1/24)*RadSpec!AA2))))*1,".")</f>
        <v>0.9387575126779838</v>
      </c>
      <c r="M2" s="15">
        <f>b2s!AB2</f>
        <v>0.10365318120949632</v>
      </c>
      <c r="N2" s="15" t="str">
        <f>IFERROR((D2/(RadSpec!AJ2*((Q_p_poultry*f_p_poultry*f_s_poultry*(RadSpec!BB2+R_es_past))+(Q_s_poultry*f_p_poultry))))*1,".")</f>
        <v>.</v>
      </c>
      <c r="O2" s="15" t="str">
        <f>IFERROR((E2/(RadSpec!AK2*((Q_p_poultry*f_p_poultry*f_s_poultry*(RadSpec!BB2+R_es_past))+(Q_s_poultry*f_p_poultry))))*1,".")</f>
        <v>.</v>
      </c>
      <c r="P2" s="15">
        <f>IFERROR((F2/(RadSpec!AH2*((Q_p_beef*f_p_beef*f_s_beef*(RadSpec!BB2+R_es_past))+(Q_s_beef*f_p_beef))))*1,".")</f>
        <v>18.987822171266998</v>
      </c>
      <c r="Q2" s="15">
        <f>IFERROR(((G2*D_milk)/(RadSpec!AG2*((Q_p_dairy*f_p_dairy*f_s_dairy*(RadSpec!BB2+R_es_past))+(Q_s_dairy*f_p_dairy))))*1,".")</f>
        <v>24.923278844425468</v>
      </c>
      <c r="R2" s="15" t="str">
        <f>IFERROR((H2/(RadSpec!AL2*((Q_p_swine*f_p_swine*f_s_swine*(RadSpec!BB2+R_es_past))+(Q_s_swine*f_p_swine))))*1,".")</f>
        <v>.</v>
      </c>
      <c r="S2" s="15">
        <f>IFERROR(((I2*RadSpec!AS2)/RadSpec!AI2)*1,".")</f>
        <v>4.1652131959209471E-2</v>
      </c>
      <c r="T2" s="120">
        <f t="shared" ref="T2:T3" si="0">IFERROR(1/J2,".")</f>
        <v>0.78632400000000002</v>
      </c>
      <c r="U2" s="120">
        <f t="shared" ref="U2:U3" si="1">IFERROR(1/K2,".")</f>
        <v>5.4423850199710293E-3</v>
      </c>
      <c r="V2" s="120">
        <f t="shared" ref="V2:V3" si="2">IFERROR(1/L2,".")</f>
        <v>1.0652378132743889</v>
      </c>
      <c r="W2" s="120">
        <f t="shared" ref="W2:W3" si="3">IFERROR(1/M2,".")</f>
        <v>9.6475572513193999</v>
      </c>
      <c r="X2" s="120" t="str">
        <f t="shared" ref="X2:X3" si="4">IFERROR(1/N2,".")</f>
        <v>.</v>
      </c>
      <c r="Y2" s="120" t="str">
        <f t="shared" ref="Y2:Y3" si="5">IFERROR(1/O2,".")</f>
        <v>.</v>
      </c>
      <c r="Z2" s="120">
        <f t="shared" ref="Z2:Z3" si="6">IFERROR(1/P2,".")</f>
        <v>5.266533417999001E-2</v>
      </c>
      <c r="AA2" s="120">
        <f t="shared" ref="AA2:AA3" si="7">IFERROR(1/Q2,".")</f>
        <v>4.0123131721236896E-2</v>
      </c>
      <c r="AB2" s="120" t="str">
        <f t="shared" ref="AB2:AB3" si="8">IFERROR(1/R2,".")</f>
        <v>.</v>
      </c>
      <c r="AC2" s="120">
        <f t="shared" ref="AC2:AC3" si="9">IFERROR(1/S2,".")</f>
        <v>24.008374912941175</v>
      </c>
      <c r="AD2" s="15">
        <f t="shared" ref="AD2:AD3" si="10">IFERROR(1/(SUMIF(T2:AC2,"&lt;&gt;0")),".")</f>
        <v>2.8085371237852125E-2</v>
      </c>
      <c r="AE2" s="15">
        <f>IFERROR(TR/(RadSpec!H2*IFW_far_adj),".")</f>
        <v>0.16850536462778118</v>
      </c>
      <c r="AF2" s="15" t="str">
        <f>IFERROR(IF(RadSpec!C2=1,TR/(RadSpec!G2*IFA_far_adj*K),"."),".")</f>
        <v>.</v>
      </c>
      <c r="AG2" s="15">
        <f>IFERROR((TR/(RadSpec!L2*(1/8760)*DFA_far_adj)),".")</f>
        <v>8013133.2220672667</v>
      </c>
      <c r="AH2" s="15">
        <f>b2w!AB2</f>
        <v>5.0610026775341196E-2</v>
      </c>
      <c r="AI2" s="15" t="str">
        <f>IFERROR(D2/(RadSpec!AJ2*Q_w_poultry*(1/1000)),".")</f>
        <v>.</v>
      </c>
      <c r="AJ2" s="15" t="str">
        <f>IFERROR(E2/(RadSpec!AK2*Q_w_poultry*(1/1000)),".")</f>
        <v>.</v>
      </c>
      <c r="AK2" s="15">
        <f>IFERROR(F2/(RadSpec!AH2*Q_w_beef*(1/1000)),".")</f>
        <v>1654.985745663545</v>
      </c>
      <c r="AL2" s="15">
        <f>IFERROR((G2*D_milk)/(RadSpec!AG2*Q_w_dairy*(1/1000)),".")</f>
        <v>2033.1435622544905</v>
      </c>
      <c r="AM2" s="15" t="str">
        <f>IFERROR(H2/(RadSpec!AL2*Q_w_swine*(1/1000)),".")</f>
        <v>.</v>
      </c>
      <c r="AN2" s="15">
        <f>IFERROR(I2/(RadSpec!AI2*(1/1000)),".")</f>
        <v>2.4501254093652631E-2</v>
      </c>
      <c r="AO2" s="120">
        <f t="shared" ref="AO2:AO3" si="11">IFERROR(1/AE2,".")</f>
        <v>5.9345291600000003</v>
      </c>
      <c r="AP2" s="120" t="str">
        <f t="shared" ref="AP2:AP3" si="12">IFERROR(1/AF2,".")</f>
        <v>.</v>
      </c>
      <c r="AQ2" s="120">
        <f t="shared" ref="AQ2:AQ3" si="13">IFERROR(1/AG2,".")</f>
        <v>1.2479512973104112E-7</v>
      </c>
      <c r="AR2" s="120">
        <f t="shared" ref="AR2:AR3" si="14">IFERROR(1/AH2,".")</f>
        <v>19.758930467257361</v>
      </c>
      <c r="AS2" s="120" t="str">
        <f t="shared" ref="AS2:AS3" si="15">IFERROR(1/AI2,".")</f>
        <v>.</v>
      </c>
      <c r="AT2" s="120" t="str">
        <f t="shared" ref="AT2:AT3" si="16">IFERROR(1/AJ2,".")</f>
        <v>.</v>
      </c>
      <c r="AU2" s="120">
        <f t="shared" ref="AU2:AU3" si="17">IFERROR(1/AK2,".")</f>
        <v>6.0423481146000026E-4</v>
      </c>
      <c r="AV2" s="120">
        <f t="shared" ref="AV2:AV3" si="18">IFERROR(1/AL2,".")</f>
        <v>4.9184918299184481E-4</v>
      </c>
      <c r="AW2" s="120" t="str">
        <f t="shared" ref="AW2:AW3" si="19">IFERROR(1/AM2,".")</f>
        <v>.</v>
      </c>
      <c r="AX2" s="120">
        <f t="shared" ref="AX2:AX3" si="20">IFERROR(1/AN2,".")</f>
        <v>40.814237351999992</v>
      </c>
      <c r="AY2" s="15">
        <f>IFERROR(1/(SUMIF(AO2:AX2,"&lt;&gt;0")),".")</f>
        <v>1.5035605850982747E-2</v>
      </c>
      <c r="AZ2" s="15">
        <f>IFERROR((TR/(RadSpec!G2*IFA_far_adj)),".")</f>
        <v>1.3517027940778114E-4</v>
      </c>
      <c r="BA2" s="15">
        <f>IFERROR((TR/(RadSpec!J2*EF_far*(1/365)*ED_far*ET_far*(1/24)*GSF_a)),".")</f>
        <v>506.3147134942771</v>
      </c>
      <c r="BB2" s="15">
        <f t="shared" ref="BB2:BB3" si="21">IFERROR(IF(AND(ISNUMBER(AZ2),ISNUMBER(BA2)),1/((1/AZ2)+(1/BA2)),IF(AND(ISNUMBER(AZ2),NOT(ISNUMBER(BA2))),1/((1/AZ2)),IF(AND(NOT(ISNUMBER(AZ2)),ISNUMBER(BA2)),1/((1/BA2)),IF(AND(NOT(ISNUMBER(AZ2)),NOT(ISNUMBER(BA2))),".")))),".")</f>
        <v>1.351702433215307E-4</v>
      </c>
    </row>
    <row r="3" spans="1:54" x14ac:dyDescent="0.25">
      <c r="A3" s="46" t="s">
        <v>13</v>
      </c>
      <c r="B3" s="42" t="s">
        <v>351</v>
      </c>
      <c r="C3" s="15">
        <f>dir!AB3</f>
        <v>3.8144511924602289E-4</v>
      </c>
      <c r="D3" s="15">
        <f>IFERROR(TR/(RadSpec!E3*IFP_far_adj*CF_far_poultry),".")</f>
        <v>5.4387498367797181E-3</v>
      </c>
      <c r="E3" s="15">
        <f>IFERROR(TR/(RadSpec!E3*IFE_far_adj*CF_far_egg),".")</f>
        <v>9.6501863701410392E-3</v>
      </c>
      <c r="F3" s="15">
        <f>IFERROR(TR/(RadSpec!E3*IFB_far_adj*CF_far_beef),".")</f>
        <v>3.5668839599890994E-3</v>
      </c>
      <c r="G3" s="15">
        <f>IFERROR(TR/(RadSpec!E3*IFD_far_adj*CF_far_dairy),".")</f>
        <v>7.3847789835097344E-4</v>
      </c>
      <c r="H3" s="15">
        <f>IFERROR(TR/(RadSpec!E3*IFSW_far_adj*CF_far_swine),".")</f>
        <v>6.3905960528365885E-3</v>
      </c>
      <c r="I3" s="15">
        <f>IFERROR(TR/(RadSpec!E3*IFFI_far_adj*CF_far_fish),".")</f>
        <v>7.4725431460142774E-4</v>
      </c>
      <c r="J3" s="15">
        <f>IFERROR((TR/(RadSpec!D3*IFS_far_adj*(1/1000)))*1,".")</f>
        <v>3.3708781744402492</v>
      </c>
      <c r="K3" s="15">
        <f>IFERROR(IF(A3="H-3",(TR/(RadSpec!G3*IFA_far_adj*(1/17)*1000))*1,(TR/(RadSpec!G3*IFA_far_adj*(1/PEF_wind)*1000))*1),".")</f>
        <v>139.0682104115574</v>
      </c>
      <c r="L3" s="15">
        <f>IFERROR((TR/(RadSpec!F3*EF_far*(1/365)*ED_far*RadSpec!Q3*((ET_far_o*(1/24)*RadSpec!V3)+(ET_far_i*(1/24)*RadSpec!AA3))))*1,".")</f>
        <v>1.3982337636089801</v>
      </c>
      <c r="M3" s="15">
        <f>b2s!AB3</f>
        <v>0.3738720321450309</v>
      </c>
      <c r="N3" s="15">
        <f>IFERROR((D3/(RadSpec!AJ3*((Q_p_poultry*f_p_poultry*f_s_poultry*(RadSpec!BB3+R_es_past))+(Q_s_poultry*f_p_poultry))))*1,".")</f>
        <v>12.588814424482619</v>
      </c>
      <c r="O3" s="15">
        <f>IFERROR((E3/(RadSpec!AK3*((Q_p_poultry*f_p_poultry*f_s_poultry*(RadSpec!BB3+R_es_past))+(Q_s_poultry*f_p_poultry))))*1,".")</f>
        <v>44.673650754750639</v>
      </c>
      <c r="P3" s="15">
        <f>IFERROR((F3/(RadSpec!AH3*((Q_p_beef*f_p_beef*f_s_beef*(RadSpec!BB3+R_es_past))+(Q_s_beef*f_p_beef))))*1,".")</f>
        <v>2.0720845899539428</v>
      </c>
      <c r="Q3" s="15">
        <f>IFERROR(((G3*D_milk)/(RadSpec!AG3*((Q_p_dairy*f_p_dairy*f_s_dairy*(RadSpec!BB3+R_es_past))+(Q_s_dairy*f_p_dairy))))*1,".")</f>
        <v>330.75056554884554</v>
      </c>
      <c r="R3" s="15">
        <f>IFERROR((H3/(RadSpec!AL3*((Q_p_swine*f_p_swine*f_s_swine*(RadSpec!BB3+R_es_past))+(Q_s_swine*f_p_swine))))*1,".")</f>
        <v>24.329352705322091</v>
      </c>
      <c r="S3" s="15">
        <f>IFERROR(((I3*RadSpec!AS3)/RadSpec!AI3)*1,".")</f>
        <v>1.2454238576690462E-5</v>
      </c>
      <c r="T3" s="120">
        <f t="shared" si="0"/>
        <v>0.29665859999999999</v>
      </c>
      <c r="U3" s="120">
        <f t="shared" si="1"/>
        <v>7.1907159590290813E-3</v>
      </c>
      <c r="V3" s="120">
        <f t="shared" si="2"/>
        <v>0.71518799361481644</v>
      </c>
      <c r="W3" s="120">
        <f t="shared" si="3"/>
        <v>2.6747119709989007</v>
      </c>
      <c r="X3" s="120">
        <f t="shared" si="4"/>
        <v>7.9435597847499331E-2</v>
      </c>
      <c r="Y3" s="120">
        <f t="shared" si="5"/>
        <v>2.2384559647694768E-2</v>
      </c>
      <c r="Z3" s="120">
        <f t="shared" si="6"/>
        <v>0.48260578011548622</v>
      </c>
      <c r="AA3" s="120">
        <f t="shared" si="7"/>
        <v>3.0234264251086189E-3</v>
      </c>
      <c r="AB3" s="120">
        <f t="shared" si="8"/>
        <v>4.1102614282921231E-2</v>
      </c>
      <c r="AC3" s="120">
        <f t="shared" si="9"/>
        <v>80293.949232000014</v>
      </c>
      <c r="AD3" s="15">
        <f t="shared" si="10"/>
        <v>1.2453568189021455E-5</v>
      </c>
      <c r="AE3" s="15">
        <f>IFERROR(TR/(RadSpec!H3*IFW_far_adj),".")</f>
        <v>0.30752229044570067</v>
      </c>
      <c r="AF3" s="15" t="str">
        <f>IFERROR(IF(RadSpec!C3=1,TR/(RadSpec!G3*IFA_far_adj*K),"."),".")</f>
        <v>.</v>
      </c>
      <c r="AG3" s="15">
        <f>IFERROR((TR/(RadSpec!L3*(1/8760)*DFA_far_adj)),".")</f>
        <v>6928169.1663360354</v>
      </c>
      <c r="AH3" s="15">
        <f>b2w!AB3</f>
        <v>0.10368481684193676</v>
      </c>
      <c r="AI3" s="15">
        <f>IFERROR(D3/(RadSpec!AJ3*Q_w_poultry*(1/1000)),".")</f>
        <v>2266.1457653248822</v>
      </c>
      <c r="AJ3" s="15">
        <f>IFERROR(E3/(RadSpec!AK3*Q_w_poultry*(1/1000)),".")</f>
        <v>8041.821975117532</v>
      </c>
      <c r="AK3" s="15">
        <f>IFERROR(F3/(RadSpec!AH3*Q_w_beef*(1/1000)),".")</f>
        <v>134.59939471656978</v>
      </c>
      <c r="AL3" s="15">
        <f>IFERROR((G3*D_milk)/(RadSpec!AG3*Q_w_dairy*(1/1000)),".")</f>
        <v>19685.099257285267</v>
      </c>
      <c r="AM3" s="15">
        <f>IFERROR(H3/(RadSpec!AL3*Q_w_swine*(1/1000)),".")</f>
        <v>3297.5211830942144</v>
      </c>
      <c r="AN3" s="15">
        <f>IFERROR(I3/(RadSpec!AI3*(1/1000)),".")</f>
        <v>3.1135596441726155E-3</v>
      </c>
      <c r="AO3" s="120">
        <f t="shared" si="11"/>
        <v>3.2517967999999997</v>
      </c>
      <c r="AP3" s="120" t="str">
        <f t="shared" si="12"/>
        <v>.</v>
      </c>
      <c r="AQ3" s="120">
        <f t="shared" si="13"/>
        <v>1.4433827696630138E-7</v>
      </c>
      <c r="AR3" s="120">
        <f t="shared" si="14"/>
        <v>9.6446136518180765</v>
      </c>
      <c r="AS3" s="120">
        <f t="shared" si="15"/>
        <v>4.4127788040000009E-4</v>
      </c>
      <c r="AT3" s="120">
        <f t="shared" si="16"/>
        <v>1.2434993004000004E-4</v>
      </c>
      <c r="AU3" s="120">
        <f t="shared" si="17"/>
        <v>7.4294539147500014E-3</v>
      </c>
      <c r="AV3" s="120">
        <f t="shared" si="18"/>
        <v>5.0799845453149526E-5</v>
      </c>
      <c r="AW3" s="120">
        <f t="shared" si="19"/>
        <v>3.0325809736320006E-4</v>
      </c>
      <c r="AX3" s="120">
        <f t="shared" si="20"/>
        <v>321.17579692800001</v>
      </c>
      <c r="AY3" s="15">
        <f>IFERROR(1/(SUMIF(AO3:AX3,"&lt;&gt;0")),".")</f>
        <v>2.9932900315604752E-3</v>
      </c>
      <c r="AZ3" s="15">
        <f>IFERROR((TR/(RadSpec!G3*IFA_far_adj)),".")</f>
        <v>1.0230534872824221E-4</v>
      </c>
      <c r="BA3" s="15">
        <f>IFERROR((TR/(RadSpec!J3*EF_far*(1/365)*ED_far*ET_far*(1/24)*GSF_a)),".")</f>
        <v>449.26516831182334</v>
      </c>
      <c r="BB3" s="15">
        <f t="shared" si="21"/>
        <v>1.0230532543157305E-4</v>
      </c>
    </row>
    <row r="4" spans="1:54" customFormat="1" x14ac:dyDescent="0.25">
      <c r="A4" s="44" t="s">
        <v>14</v>
      </c>
      <c r="B4" s="42" t="s">
        <v>1074</v>
      </c>
      <c r="C4" s="15" t="str">
        <f>dir!AB4</f>
        <v>.</v>
      </c>
      <c r="D4" s="15" t="str">
        <f>IFERROR(TR/(RadSpec!E4*IFP_far_adj*CF_far_poultry),".")</f>
        <v>.</v>
      </c>
      <c r="E4" s="15" t="str">
        <f>IFERROR(TR/(RadSpec!E4*IFE_far_adj*CF_far_egg),".")</f>
        <v>.</v>
      </c>
      <c r="F4" s="15" t="str">
        <f>IFERROR(TR/(RadSpec!E4*IFB_far_adj*CF_far_beef),".")</f>
        <v>.</v>
      </c>
      <c r="G4" s="15" t="str">
        <f>IFERROR(TR/(RadSpec!E4*IFD_far_adj*CF_far_dairy),".")</f>
        <v>.</v>
      </c>
      <c r="H4" s="15" t="str">
        <f>IFERROR(TR/(RadSpec!E4*IFSW_far_adj*CF_far_swine),".")</f>
        <v>.</v>
      </c>
      <c r="I4" s="15" t="str">
        <f>IFERROR(TR/(RadSpec!E4*IFFI_far_adj*CF_far_fish),".")</f>
        <v>.</v>
      </c>
      <c r="J4" s="15" t="str">
        <f>IFERROR((TR/(RadSpec!D4*IFS_far_adj*(1/1000)))*1,".")</f>
        <v>.</v>
      </c>
      <c r="K4" s="15" t="str">
        <f>IFERROR(IF(A4="H-3",(TR/(RadSpec!G4*IFA_far_adj*(1/17)*1000))*1,(TR/(RadSpec!G4*IFA_far_adj*(1/PEF_wind)*1000))*1),".")</f>
        <v>.</v>
      </c>
      <c r="L4" s="15">
        <f>IFERROR((TR/(RadSpec!F4*EF_far*(1/365)*ED_far*RadSpec!Q4*((ET_far_o*(1/24)*RadSpec!V4)+(ET_far_i*(1/24)*RadSpec!AA4))))*1,".")</f>
        <v>41.319376804903776</v>
      </c>
      <c r="M4" s="15" t="str">
        <f>b2s!AB4</f>
        <v>.</v>
      </c>
      <c r="N4" s="15" t="str">
        <f>IFERROR((D4/(RadSpec!AJ4*((Q_p_poultry*f_p_poultry*f_s_poultry*(RadSpec!BB4+R_es_past))+(Q_s_poultry*f_p_poultry))))*1,".")</f>
        <v>.</v>
      </c>
      <c r="O4" s="15" t="str">
        <f>IFERROR((E4/(RadSpec!AK4*((Q_p_poultry*f_p_poultry*f_s_poultry*(RadSpec!BB4+R_es_past))+(Q_s_poultry*f_p_poultry))))*1,".")</f>
        <v>.</v>
      </c>
      <c r="P4" s="15" t="str">
        <f>IFERROR((F4/(RadSpec!AH4*((Q_p_beef*f_p_beef*f_s_beef*(RadSpec!BB4+R_es_past))+(Q_s_beef*f_p_beef))))*1,".")</f>
        <v>.</v>
      </c>
      <c r="Q4" s="15" t="str">
        <f>IFERROR(((G4*D_milk)/(RadSpec!AG4*((Q_p_dairy*f_p_dairy*f_s_dairy*(RadSpec!BB4+R_es_past))+(Q_s_dairy*f_p_dairy))))*1,".")</f>
        <v>.</v>
      </c>
      <c r="R4" s="15" t="str">
        <f>IFERROR((H4/(RadSpec!AL4*((Q_p_swine*f_p_swine*f_s_swine*(RadSpec!BB4+R_es_past))+(Q_s_swine*f_p_swine))))*1,".")</f>
        <v>.</v>
      </c>
      <c r="S4" s="15" t="str">
        <f>IFERROR(((I4*RadSpec!AS4)/RadSpec!AI4)*1,".")</f>
        <v>.</v>
      </c>
      <c r="T4" s="120" t="str">
        <f t="shared" ref="T4:T6" si="22">IFERROR(1/J4,".")</f>
        <v>.</v>
      </c>
      <c r="U4" s="120" t="str">
        <f t="shared" ref="U4:U6" si="23">IFERROR(1/K4,".")</f>
        <v>.</v>
      </c>
      <c r="V4" s="120">
        <f t="shared" ref="V4:V6" si="24">IFERROR(1/L4,".")</f>
        <v>2.4201720290256658E-2</v>
      </c>
      <c r="W4" s="120" t="str">
        <f t="shared" ref="W4:W6" si="25">IFERROR(1/M4,".")</f>
        <v>.</v>
      </c>
      <c r="X4" s="120" t="str">
        <f t="shared" ref="X4:X6" si="26">IFERROR(1/N4,".")</f>
        <v>.</v>
      </c>
      <c r="Y4" s="120" t="str">
        <f t="shared" ref="Y4:Y6" si="27">IFERROR(1/O4,".")</f>
        <v>.</v>
      </c>
      <c r="Z4" s="120" t="str">
        <f t="shared" ref="Z4:Z6" si="28">IFERROR(1/P4,".")</f>
        <v>.</v>
      </c>
      <c r="AA4" s="120" t="str">
        <f t="shared" ref="AA4:AA6" si="29">IFERROR(1/Q4,".")</f>
        <v>.</v>
      </c>
      <c r="AB4" s="120" t="str">
        <f t="shared" ref="AB4:AB6" si="30">IFERROR(1/R4,".")</f>
        <v>.</v>
      </c>
      <c r="AC4" s="120" t="str">
        <f t="shared" ref="AC4:AC6" si="31">IFERROR(1/S4,".")</f>
        <v>.</v>
      </c>
      <c r="AD4" s="15">
        <f t="shared" ref="AD4:AD6" si="32">IFERROR(1/(SUMIF(T4:AC4,"&lt;&gt;0")),".")</f>
        <v>41.319376804903776</v>
      </c>
      <c r="AE4" s="15" t="str">
        <f>IFERROR(TR/(RadSpec!H4*IFW_far_adj),".")</f>
        <v>.</v>
      </c>
      <c r="AF4" s="15" t="str">
        <f>IFERROR(IF(RadSpec!C4=1,TR/(RadSpec!G4*IFA_far_adj*K),"."),".")</f>
        <v>.</v>
      </c>
      <c r="AG4" s="15">
        <f>IFERROR((TR/(RadSpec!L4*(1/8760)*DFA_far_adj)),".")</f>
        <v>427804981.30927438</v>
      </c>
      <c r="AH4" s="15" t="str">
        <f>b2w!AB4</f>
        <v>.</v>
      </c>
      <c r="AI4" s="15" t="str">
        <f>IFERROR(D4/(RadSpec!AJ4*Q_w_poultry*(1/1000)),".")</f>
        <v>.</v>
      </c>
      <c r="AJ4" s="15" t="str">
        <f>IFERROR(E4/(RadSpec!AK4*Q_w_poultry*(1/1000)),".")</f>
        <v>.</v>
      </c>
      <c r="AK4" s="15" t="str">
        <f>IFERROR(F4/(RadSpec!AH4*Q_w_beef*(1/1000)),".")</f>
        <v>.</v>
      </c>
      <c r="AL4" s="15" t="str">
        <f>IFERROR((G4*D_milk)/(RadSpec!AG4*Q_w_dairy*(1/1000)),".")</f>
        <v>.</v>
      </c>
      <c r="AM4" s="15" t="str">
        <f>IFERROR(H4/(RadSpec!AL4*Q_w_swine*(1/1000)),".")</f>
        <v>.</v>
      </c>
      <c r="AN4" s="15" t="str">
        <f>IFERROR(I4/(RadSpec!AI4*(1/1000)),".")</f>
        <v>.</v>
      </c>
      <c r="AO4" s="120" t="str">
        <f t="shared" ref="AO4:AO6" si="33">IFERROR(1/AE4,".")</f>
        <v>.</v>
      </c>
      <c r="AP4" s="120" t="str">
        <f t="shared" ref="AP4:AP6" si="34">IFERROR(1/AF4,".")</f>
        <v>.</v>
      </c>
      <c r="AQ4" s="120">
        <f t="shared" ref="AQ4:AQ6" si="35">IFERROR(1/AG4,".")</f>
        <v>2.3375136889232874E-9</v>
      </c>
      <c r="AR4" s="120" t="str">
        <f t="shared" ref="AR4:AR6" si="36">IFERROR(1/AH4,".")</f>
        <v>.</v>
      </c>
      <c r="AS4" s="120" t="str">
        <f t="shared" ref="AS4:AS6" si="37">IFERROR(1/AI4,".")</f>
        <v>.</v>
      </c>
      <c r="AT4" s="120" t="str">
        <f t="shared" ref="AT4:AT6" si="38">IFERROR(1/AJ4,".")</f>
        <v>.</v>
      </c>
      <c r="AU4" s="120" t="str">
        <f t="shared" ref="AU4:AU6" si="39">IFERROR(1/AK4,".")</f>
        <v>.</v>
      </c>
      <c r="AV4" s="120" t="str">
        <f t="shared" ref="AV4:AV6" si="40">IFERROR(1/AL4,".")</f>
        <v>.</v>
      </c>
      <c r="AW4" s="120" t="str">
        <f t="shared" ref="AW4:AW6" si="41">IFERROR(1/AM4,".")</f>
        <v>.</v>
      </c>
      <c r="AX4" s="120" t="str">
        <f t="shared" ref="AX4:AX6" si="42">IFERROR(1/AN4,".")</f>
        <v>.</v>
      </c>
      <c r="AY4" s="15">
        <f t="shared" ref="AY4:AY5" si="43">IFERROR(1/(SUMIF(AO4:AX4,"&lt;&gt;0")),".")</f>
        <v>427804981.30927438</v>
      </c>
      <c r="AZ4" s="15" t="str">
        <f>IFERROR((TR/(RadSpec!G4*IFA_far_adj)),".")</f>
        <v>.</v>
      </c>
      <c r="BA4" s="15">
        <f>IFERROR((TR/(RadSpec!J4*EF_far*(1/365)*ED_far*ET_far*(1/24)*GSF_a)),".")</f>
        <v>26708.706776432547</v>
      </c>
      <c r="BB4" s="15">
        <f t="shared" ref="BB4:BB5" si="44">IFERROR(IF(AND(AZ4&lt;&gt;".",BA4&lt;&gt;"."),1/((1/AZ4)+(1/BA4)),IF(AND(AZ4&lt;&gt;".",BA4="."),1/((1/AZ4)),IF(AND(AZ4=".",BA4&lt;&gt;"."),1/((1/BA4)),IF(AND(AZ4=".",BA4="."),".")))),".")</f>
        <v>26708.706776432547</v>
      </c>
    </row>
    <row r="5" spans="1:54" customFormat="1" x14ac:dyDescent="0.25">
      <c r="A5" s="44" t="s">
        <v>15</v>
      </c>
      <c r="B5" s="42" t="s">
        <v>1074</v>
      </c>
      <c r="C5" s="15" t="str">
        <f>dir!AB5</f>
        <v>.</v>
      </c>
      <c r="D5" s="15" t="str">
        <f>IFERROR(TR/(RadSpec!E5*IFP_far_adj*CF_far_poultry),".")</f>
        <v>.</v>
      </c>
      <c r="E5" s="15" t="str">
        <f>IFERROR(TR/(RadSpec!E5*IFE_far_adj*CF_far_egg),".")</f>
        <v>.</v>
      </c>
      <c r="F5" s="15" t="str">
        <f>IFERROR(TR/(RadSpec!E5*IFB_far_adj*CF_far_beef),".")</f>
        <v>.</v>
      </c>
      <c r="G5" s="15" t="str">
        <f>IFERROR(TR/(RadSpec!E5*IFD_far_adj*CF_far_dairy),".")</f>
        <v>.</v>
      </c>
      <c r="H5" s="15" t="str">
        <f>IFERROR(TR/(RadSpec!E5*IFSW_far_adj*CF_far_swine),".")</f>
        <v>.</v>
      </c>
      <c r="I5" s="15" t="str">
        <f>IFERROR(TR/(RadSpec!E5*IFFI_far_adj*CF_far_fish),".")</f>
        <v>.</v>
      </c>
      <c r="J5" s="15" t="str">
        <f>IFERROR((TR/(RadSpec!D5*IFS_far_adj*(1/1000)))*1,".")</f>
        <v>.</v>
      </c>
      <c r="K5" s="15" t="str">
        <f>IFERROR(IF(A5="H-3",(TR/(RadSpec!G5*IFA_far_adj*(1/17)*1000))*1,(TR/(RadSpec!G5*IFA_far_adj*(1/PEF_wind)*1000))*1),".")</f>
        <v>.</v>
      </c>
      <c r="L5" s="15">
        <f>IFERROR((TR/(RadSpec!F5*EF_far*(1/365)*ED_far*RadSpec!Q5*((ET_far_o*(1/24)*RadSpec!V5)+(ET_far_i*(1/24)*RadSpec!AA5))))*1,".")</f>
        <v>1566.8151393632543</v>
      </c>
      <c r="M5" s="15" t="str">
        <f>b2s!AB5</f>
        <v>.</v>
      </c>
      <c r="N5" s="15" t="str">
        <f>IFERROR((D5/(RadSpec!AJ5*((Q_p_poultry*f_p_poultry*f_s_poultry*(RadSpec!BB5+R_es_past))+(Q_s_poultry*f_p_poultry))))*1,".")</f>
        <v>.</v>
      </c>
      <c r="O5" s="15" t="str">
        <f>IFERROR((E5/(RadSpec!AK5*((Q_p_poultry*f_p_poultry*f_s_poultry*(RadSpec!BB5+R_es_past))+(Q_s_poultry*f_p_poultry))))*1,".")</f>
        <v>.</v>
      </c>
      <c r="P5" s="15" t="str">
        <f>IFERROR((F5/(RadSpec!AH5*((Q_p_beef*f_p_beef*f_s_beef*(RadSpec!BB5+R_es_past))+(Q_s_beef*f_p_beef))))*1,".")</f>
        <v>.</v>
      </c>
      <c r="Q5" s="15" t="str">
        <f>IFERROR(((G5*D_milk)/(RadSpec!AG5*((Q_p_dairy*f_p_dairy*f_s_dairy*(RadSpec!BB5+R_es_past))+(Q_s_dairy*f_p_dairy))))*1,".")</f>
        <v>.</v>
      </c>
      <c r="R5" s="15" t="str">
        <f>IFERROR((H5/(RadSpec!AL5*((Q_p_swine*f_p_swine*f_s_swine*(RadSpec!BB5+R_es_past))+(Q_s_swine*f_p_swine))))*1,".")</f>
        <v>.</v>
      </c>
      <c r="S5" s="15" t="str">
        <f>IFERROR(((I5*RadSpec!AS5)/RadSpec!AI5)*1,".")</f>
        <v>.</v>
      </c>
      <c r="T5" s="120" t="str">
        <f t="shared" si="22"/>
        <v>.</v>
      </c>
      <c r="U5" s="120" t="str">
        <f t="shared" si="23"/>
        <v>.</v>
      </c>
      <c r="V5" s="120">
        <f t="shared" si="24"/>
        <v>6.3823738670689312E-4</v>
      </c>
      <c r="W5" s="120" t="str">
        <f t="shared" si="25"/>
        <v>.</v>
      </c>
      <c r="X5" s="120" t="str">
        <f t="shared" si="26"/>
        <v>.</v>
      </c>
      <c r="Y5" s="120" t="str">
        <f t="shared" si="27"/>
        <v>.</v>
      </c>
      <c r="Z5" s="120" t="str">
        <f t="shared" si="28"/>
        <v>.</v>
      </c>
      <c r="AA5" s="120" t="str">
        <f t="shared" si="29"/>
        <v>.</v>
      </c>
      <c r="AB5" s="120" t="str">
        <f t="shared" si="30"/>
        <v>.</v>
      </c>
      <c r="AC5" s="120" t="str">
        <f t="shared" si="31"/>
        <v>.</v>
      </c>
      <c r="AD5" s="15">
        <f t="shared" si="32"/>
        <v>1566.8151393632543</v>
      </c>
      <c r="AE5" s="15" t="str">
        <f>IFERROR(TR/(RadSpec!H5*IFW_far_adj),".")</f>
        <v>.</v>
      </c>
      <c r="AF5" s="15" t="str">
        <f>IFERROR(IF(RadSpec!C5=1,TR/(RadSpec!G5*IFA_far_adj*K),"."),".")</f>
        <v>.</v>
      </c>
      <c r="AG5" s="15">
        <f>IFERROR((TR/(RadSpec!L5*(1/8760)*DFA_far_adj)),".")</f>
        <v>17833328378.040363</v>
      </c>
      <c r="AH5" s="15" t="str">
        <f>b2w!AB5</f>
        <v>.</v>
      </c>
      <c r="AI5" s="15" t="str">
        <f>IFERROR(D5/(RadSpec!AJ5*Q_w_poultry*(1/1000)),".")</f>
        <v>.</v>
      </c>
      <c r="AJ5" s="15" t="str">
        <f>IFERROR(E5/(RadSpec!AK5*Q_w_poultry*(1/1000)),".")</f>
        <v>.</v>
      </c>
      <c r="AK5" s="15" t="str">
        <f>IFERROR(F5/(RadSpec!AH5*Q_w_beef*(1/1000)),".")</f>
        <v>.</v>
      </c>
      <c r="AL5" s="15" t="str">
        <f>IFERROR((G5*D_milk)/(RadSpec!AG5*Q_w_dairy*(1/1000)),".")</f>
        <v>.</v>
      </c>
      <c r="AM5" s="15" t="str">
        <f>IFERROR(H5/(RadSpec!AL5*Q_w_swine*(1/1000)),".")</f>
        <v>.</v>
      </c>
      <c r="AN5" s="15" t="str">
        <f>IFERROR(I5/(RadSpec!AI5*(1/1000)),".")</f>
        <v>.</v>
      </c>
      <c r="AO5" s="120" t="str">
        <f t="shared" si="33"/>
        <v>.</v>
      </c>
      <c r="AP5" s="120" t="str">
        <f t="shared" si="34"/>
        <v>.</v>
      </c>
      <c r="AQ5" s="120">
        <f t="shared" si="35"/>
        <v>5.6074781936465757E-11</v>
      </c>
      <c r="AR5" s="120" t="str">
        <f t="shared" si="36"/>
        <v>.</v>
      </c>
      <c r="AS5" s="120" t="str">
        <f t="shared" si="37"/>
        <v>.</v>
      </c>
      <c r="AT5" s="120" t="str">
        <f t="shared" si="38"/>
        <v>.</v>
      </c>
      <c r="AU5" s="120" t="str">
        <f t="shared" si="39"/>
        <v>.</v>
      </c>
      <c r="AV5" s="120" t="str">
        <f t="shared" si="40"/>
        <v>.</v>
      </c>
      <c r="AW5" s="120" t="str">
        <f t="shared" si="41"/>
        <v>.</v>
      </c>
      <c r="AX5" s="120" t="str">
        <f t="shared" si="42"/>
        <v>.</v>
      </c>
      <c r="AY5" s="15">
        <f t="shared" si="43"/>
        <v>17833328378.040363</v>
      </c>
      <c r="AZ5" s="15" t="str">
        <f>IFERROR((TR/(RadSpec!G5*IFA_far_adj)),".")</f>
        <v>.</v>
      </c>
      <c r="BA5" s="15">
        <f>IFERROR((TR/(RadSpec!J5*EF_far*(1/365)*ED_far*ET_far*(1/24)*GSF_a)),".")</f>
        <v>845775.71458703105</v>
      </c>
      <c r="BB5" s="15">
        <f t="shared" si="44"/>
        <v>845775.71458703105</v>
      </c>
    </row>
    <row r="6" spans="1:54" customFormat="1" x14ac:dyDescent="0.25">
      <c r="A6" s="44" t="s">
        <v>16</v>
      </c>
      <c r="B6" s="42" t="s">
        <v>1074</v>
      </c>
      <c r="C6" s="15" t="str">
        <f>dir!AB6</f>
        <v>.</v>
      </c>
      <c r="D6" s="15" t="str">
        <f>IFERROR(TR/(RadSpec!E6*IFP_far_adj*CF_far_poultry),".")</f>
        <v>.</v>
      </c>
      <c r="E6" s="15" t="str">
        <f>IFERROR(TR/(RadSpec!E6*IFE_far_adj*CF_far_egg),".")</f>
        <v>.</v>
      </c>
      <c r="F6" s="15" t="str">
        <f>IFERROR(TR/(RadSpec!E6*IFB_far_adj*CF_far_beef),".")</f>
        <v>.</v>
      </c>
      <c r="G6" s="15" t="str">
        <f>IFERROR(TR/(RadSpec!E6*IFD_far_adj*CF_far_dairy),".")</f>
        <v>.</v>
      </c>
      <c r="H6" s="15" t="str">
        <f>IFERROR(TR/(RadSpec!E6*IFSW_far_adj*CF_far_swine),".")</f>
        <v>.</v>
      </c>
      <c r="I6" s="15" t="str">
        <f>IFERROR(TR/(RadSpec!E6*IFFI_far_adj*CF_far_fish),".")</f>
        <v>.</v>
      </c>
      <c r="J6" s="15" t="str">
        <f>IFERROR((TR/(RadSpec!D6*IFS_far_adj*(1/1000)))*1,".")</f>
        <v>.</v>
      </c>
      <c r="K6" s="15" t="str">
        <f>IFERROR(IF(A6="H-3",(TR/(RadSpec!G6*IFA_far_adj*(1/17)*1000))*1,(TR/(RadSpec!G6*IFA_far_adj*(1/PEF_wind)*1000))*1),".")</f>
        <v>.</v>
      </c>
      <c r="L6" s="15">
        <f>IFERROR((TR/(RadSpec!F6*EF_far*(1/365)*ED_far*RadSpec!Q6*((ET_far_o*(1/24)*RadSpec!V6)+(ET_far_i*(1/24)*RadSpec!AA6))))*1,".")</f>
        <v>1.440788704240558E-2</v>
      </c>
      <c r="M6" s="15" t="str">
        <f>b2s!AB6</f>
        <v>.</v>
      </c>
      <c r="N6" s="15" t="str">
        <f>IFERROR((D6/(RadSpec!AJ6*((Q_p_poultry*f_p_poultry*f_s_poultry*(RadSpec!BB6+R_es_past))+(Q_s_poultry*f_p_poultry))))*1,".")</f>
        <v>.</v>
      </c>
      <c r="O6" s="15" t="str">
        <f>IFERROR((E6/(RadSpec!AK6*((Q_p_poultry*f_p_poultry*f_s_poultry*(RadSpec!BB6+R_es_past))+(Q_s_poultry*f_p_poultry))))*1,".")</f>
        <v>.</v>
      </c>
      <c r="P6" s="15" t="str">
        <f>IFERROR((F6/(RadSpec!AH6*((Q_p_beef*f_p_beef*f_s_beef*(RadSpec!BB6+R_es_past))+(Q_s_beef*f_p_beef))))*1,".")</f>
        <v>.</v>
      </c>
      <c r="Q6" s="15" t="str">
        <f>IFERROR(((G6*D_milk)/(RadSpec!AG6*((Q_p_dairy*f_p_dairy*f_s_dairy*(RadSpec!BB6+R_es_past))+(Q_s_dairy*f_p_dairy))))*1,".")</f>
        <v>.</v>
      </c>
      <c r="R6" s="15" t="str">
        <f>IFERROR((H6/(RadSpec!AL6*((Q_p_swine*f_p_swine*f_s_swine*(RadSpec!BB6+R_es_past))+(Q_s_swine*f_p_swine))))*1,".")</f>
        <v>.</v>
      </c>
      <c r="S6" s="15" t="str">
        <f>IFERROR(((I6*RadSpec!AS6)/RadSpec!AI6)*1,".")</f>
        <v>.</v>
      </c>
      <c r="T6" s="120" t="str">
        <f t="shared" si="22"/>
        <v>.</v>
      </c>
      <c r="U6" s="120" t="str">
        <f t="shared" si="23"/>
        <v>.</v>
      </c>
      <c r="V6" s="120">
        <f t="shared" si="24"/>
        <v>69.406429760087661</v>
      </c>
      <c r="W6" s="120" t="str">
        <f t="shared" si="25"/>
        <v>.</v>
      </c>
      <c r="X6" s="120" t="str">
        <f t="shared" si="26"/>
        <v>.</v>
      </c>
      <c r="Y6" s="120" t="str">
        <f t="shared" si="27"/>
        <v>.</v>
      </c>
      <c r="Z6" s="120" t="str">
        <f t="shared" si="28"/>
        <v>.</v>
      </c>
      <c r="AA6" s="120" t="str">
        <f t="shared" si="29"/>
        <v>.</v>
      </c>
      <c r="AB6" s="120" t="str">
        <f t="shared" si="30"/>
        <v>.</v>
      </c>
      <c r="AC6" s="120" t="str">
        <f t="shared" si="31"/>
        <v>.</v>
      </c>
      <c r="AD6" s="15">
        <f t="shared" si="32"/>
        <v>1.440788704240558E-2</v>
      </c>
      <c r="AE6" s="15" t="str">
        <f>IFERROR(TR/(RadSpec!H6*IFW_far_adj),".")</f>
        <v>.</v>
      </c>
      <c r="AF6" s="15" t="str">
        <f>IFERROR(IF(RadSpec!C6=1,TR/(RadSpec!G6*IFA_far_adj*K),"."),".")</f>
        <v>.</v>
      </c>
      <c r="AG6" s="15">
        <f>IFERROR((TR/(RadSpec!L6*(1/8760)*DFA_far_adj)),".")</f>
        <v>167282.7170504214</v>
      </c>
      <c r="AH6" s="15" t="str">
        <f>b2w!AB6</f>
        <v>.</v>
      </c>
      <c r="AI6" s="15" t="str">
        <f>IFERROR(D6/(RadSpec!AJ6*Q_w_poultry*(1/1000)),".")</f>
        <v>.</v>
      </c>
      <c r="AJ6" s="15" t="str">
        <f>IFERROR(E6/(RadSpec!AK6*Q_w_poultry*(1/1000)),".")</f>
        <v>.</v>
      </c>
      <c r="AK6" s="15" t="str">
        <f>IFERROR(F6/(RadSpec!AH6*Q_w_beef*(1/1000)),".")</f>
        <v>.</v>
      </c>
      <c r="AL6" s="15" t="str">
        <f>IFERROR((G6*D_milk)/(RadSpec!AG6*Q_w_dairy*(1/1000)),".")</f>
        <v>.</v>
      </c>
      <c r="AM6" s="15" t="str">
        <f>IFERROR(H6/(RadSpec!AL6*Q_w_swine*(1/1000)),".")</f>
        <v>.</v>
      </c>
      <c r="AN6" s="15" t="str">
        <f>IFERROR(I6/(RadSpec!AI6*(1/1000)),".")</f>
        <v>.</v>
      </c>
      <c r="AO6" s="120" t="str">
        <f t="shared" si="33"/>
        <v>.</v>
      </c>
      <c r="AP6" s="120" t="str">
        <f t="shared" si="34"/>
        <v>.</v>
      </c>
      <c r="AQ6" s="120">
        <f t="shared" si="35"/>
        <v>5.9779038601972596E-6</v>
      </c>
      <c r="AR6" s="120" t="str">
        <f t="shared" si="36"/>
        <v>.</v>
      </c>
      <c r="AS6" s="120" t="str">
        <f t="shared" si="37"/>
        <v>.</v>
      </c>
      <c r="AT6" s="120" t="str">
        <f t="shared" si="38"/>
        <v>.</v>
      </c>
      <c r="AU6" s="120" t="str">
        <f t="shared" si="39"/>
        <v>.</v>
      </c>
      <c r="AV6" s="120" t="str">
        <f t="shared" si="40"/>
        <v>.</v>
      </c>
      <c r="AW6" s="120" t="str">
        <f t="shared" si="41"/>
        <v>.</v>
      </c>
      <c r="AX6" s="120" t="str">
        <f t="shared" si="42"/>
        <v>.</v>
      </c>
      <c r="AY6" s="15">
        <f>IFERROR(1/(SUMIF(AO6:AX6,"&lt;&gt;0")),".")</f>
        <v>167282.7170504214</v>
      </c>
      <c r="AZ6" s="15" t="str">
        <f>IFERROR((TR/(RadSpec!G6*IFA_far_adj)),".")</f>
        <v>.</v>
      </c>
      <c r="BA6" s="15">
        <f>IFERROR((TR/(RadSpec!J6*EF_far*(1/365)*ED_far*ET_far*(1/24)*GSF_a)),".")</f>
        <v>10.337258733841491</v>
      </c>
      <c r="BB6" s="15">
        <f>IFERROR(IF(AND(AZ6&lt;&gt;".",BA6&lt;&gt;"."),1/((1/AZ6)+(1/BA6)),IF(AND(AZ6&lt;&gt;".",BA6="."),1/((1/AZ6)),IF(AND(AZ6=".",BA6&lt;&gt;"."),1/((1/BA6)),IF(AND(AZ6=".",BA6="."),".")))),".")</f>
        <v>10.337258733841491</v>
      </c>
    </row>
    <row r="7" spans="1:54" customFormat="1" x14ac:dyDescent="0.25">
      <c r="A7" s="44" t="s">
        <v>17</v>
      </c>
      <c r="B7" s="42" t="s">
        <v>1074</v>
      </c>
      <c r="C7" s="15">
        <f>dir!AB7</f>
        <v>3.9119797740856345E-3</v>
      </c>
      <c r="D7" s="15">
        <f>IFERROR(TR/(RadSpec!E7*IFP_far_adj*CF_far_poultry),".")</f>
        <v>5.5778087814701088E-2</v>
      </c>
      <c r="E7" s="15">
        <f>IFERROR(TR/(RadSpec!E7*IFE_far_adj*CF_far_egg),".")</f>
        <v>9.8969240898321473E-2</v>
      </c>
      <c r="F7" s="15">
        <f>IFERROR(TR/(RadSpec!E7*IFB_far_adj*CF_far_beef),".")</f>
        <v>3.6580826976024577E-2</v>
      </c>
      <c r="G7" s="15">
        <f>IFERROR(TR/(RadSpec!E7*IFD_far_adj*CF_far_dairy),".")</f>
        <v>7.5735943552472009E-3</v>
      </c>
      <c r="H7" s="15">
        <f>IFERROR(TR/(RadSpec!E7*IFSW_far_adj*CF_far_swine),".")</f>
        <v>6.5539919746420705E-2</v>
      </c>
      <c r="I7" s="15">
        <f>IFERROR(TR/(RadSpec!E7*IFFI_far_adj*CF_far_fish),".")</f>
        <v>7.6636024878157802E-3</v>
      </c>
      <c r="J7" s="15">
        <f>IFERROR((TR/(RadSpec!D7*IFS_far_adj*(1/1000)))*1,".")</f>
        <v>25.865906484919016</v>
      </c>
      <c r="K7" s="15">
        <f>IFERROR(IF(A7="H-3",(TR/(RadSpec!G7*IFA_far_adj*(1/17)*1000))*1,(TR/(RadSpec!G7*IFA_far_adj*(1/PEF_wind)*1000))*1),".")</f>
        <v>11532.485741446224</v>
      </c>
      <c r="L7" s="15">
        <f>IFERROR((TR/(RadSpec!F7*EF_far*(1/365)*ED_far*RadSpec!Q7*((ET_far_o*(1/24)*RadSpec!V7)+(ET_far_i*(1/24)*RadSpec!AA7))))*1,".")</f>
        <v>13.982337636089804</v>
      </c>
      <c r="M7" s="15">
        <f>b2s!AB7</f>
        <v>3.8805502292777211E-2</v>
      </c>
      <c r="N7" s="15" t="str">
        <f>IFERROR((D7/(RadSpec!AJ7*((Q_p_poultry*f_p_poultry*f_s_poultry*(RadSpec!BB7+R_es_past))+(Q_s_poultry*f_p_poultry))))*1,".")</f>
        <v>.</v>
      </c>
      <c r="O7" s="15" t="str">
        <f>IFERROR((E7/(RadSpec!AK7*((Q_p_poultry*f_p_poultry*f_s_poultry*(RadSpec!BB7+R_es_past))+(Q_s_poultry*f_p_poultry))))*1,".")</f>
        <v>.</v>
      </c>
      <c r="P7" s="15">
        <f>IFERROR((F7/(RadSpec!AH7*((Q_p_beef*f_p_beef*f_s_beef*(RadSpec!BB7+R_es_past))+(Q_s_beef*f_p_beef))))*1,".")</f>
        <v>1.9609127298860667</v>
      </c>
      <c r="Q7" s="15">
        <f>IFERROR(((G7*D_milk)/(RadSpec!AG7*((Q_p_dairy*f_p_dairy*f_s_dairy*(RadSpec!BB7+R_es_past))+(Q_s_dairy*f_p_dairy))))*1,".")</f>
        <v>0.49925133989789539</v>
      </c>
      <c r="R7" s="15" t="str">
        <f>IFERROR((H7/(RadSpec!AL7*((Q_p_swine*f_p_swine*f_s_swine*(RadSpec!BB7+R_es_past))+(Q_s_swine*f_p_swine))))*1,".")</f>
        <v>.</v>
      </c>
      <c r="S7" s="15">
        <f>IFERROR(((I7*RadSpec!AS7)/RadSpec!AI7)*1,".")</f>
        <v>0.24523527961010497</v>
      </c>
      <c r="T7" s="120">
        <f t="shared" ref="T7:T9" si="45">IFERROR(1/J7,".")</f>
        <v>3.8660929999999996E-2</v>
      </c>
      <c r="U7" s="120">
        <f t="shared" ref="U7:U9" si="46">IFERROR(1/K7,".")</f>
        <v>8.6711574800056555E-5</v>
      </c>
      <c r="V7" s="120">
        <f t="shared" ref="V7:V9" si="47">IFERROR(1/L7,".")</f>
        <v>7.151879936148163E-2</v>
      </c>
      <c r="W7" s="120">
        <f t="shared" ref="W7:W9" si="48">IFERROR(1/M7,".")</f>
        <v>25.769541454592328</v>
      </c>
      <c r="X7" s="120" t="str">
        <f t="shared" ref="X7:X9" si="49">IFERROR(1/N7,".")</f>
        <v>.</v>
      </c>
      <c r="Y7" s="120" t="str">
        <f t="shared" ref="Y7:Y9" si="50">IFERROR(1/O7,".")</f>
        <v>.</v>
      </c>
      <c r="Z7" s="120">
        <f t="shared" ref="Z7:Z9" si="51">IFERROR(1/P7,".")</f>
        <v>0.50996660114400005</v>
      </c>
      <c r="AA7" s="120">
        <f t="shared" ref="AA7:AA9" si="52">IFERROR(1/Q7,".")</f>
        <v>2.0029991310679618</v>
      </c>
      <c r="AB7" s="120" t="str">
        <f t="shared" ref="AB7:AB9" si="53">IFERROR(1/R7,".")</f>
        <v>.</v>
      </c>
      <c r="AC7" s="120">
        <f t="shared" ref="AC7:AC9" si="54">IFERROR(1/S7,".")</f>
        <v>4.0777167199999997</v>
      </c>
      <c r="AD7" s="15">
        <f t="shared" ref="AD7:AD9" si="55">IFERROR(1/(SUMIF(T7:AC7,"&lt;&gt;0")),".")</f>
        <v>3.0797194292126975E-2</v>
      </c>
      <c r="AE7" s="15">
        <f>IFERROR(TR/(RadSpec!H7*IFW_far_adj),".")</f>
        <v>3.5728730840164387</v>
      </c>
      <c r="AF7" s="15" t="str">
        <f>IFERROR(IF(RadSpec!C7=1,TR/(RadSpec!G7*IFA_far_adj*K),"."),".")</f>
        <v>.</v>
      </c>
      <c r="AG7" s="15">
        <f>IFERROR((TR/(RadSpec!L7*(1/8760)*DFA_far_adj)),".")</f>
        <v>116848226.23820479</v>
      </c>
      <c r="AH7" s="15">
        <f>b2w!AB7</f>
        <v>0.53989927429002305</v>
      </c>
      <c r="AI7" s="15" t="str">
        <f>IFERROR(D7/(RadSpec!AJ7*Q_w_poultry*(1/1000)),".")</f>
        <v>.</v>
      </c>
      <c r="AJ7" s="15" t="str">
        <f>IFERROR(E7/(RadSpec!AK7*Q_w_poultry*(1/1000)),".")</f>
        <v>.</v>
      </c>
      <c r="AK7" s="15">
        <f>IFERROR(F7/(RadSpec!AH7*Q_w_beef*(1/1000)),".")</f>
        <v>345.10214128325072</v>
      </c>
      <c r="AL7" s="15">
        <f>IFERROR((G7*D_milk)/(RadSpec!AG7*Q_w_dairy*(1/1000)),".")</f>
        <v>84.791328107658885</v>
      </c>
      <c r="AM7" s="15" t="str">
        <f>IFERROR(H7/(RadSpec!AL7*Q_w_swine*(1/1000)),".")</f>
        <v>.</v>
      </c>
      <c r="AN7" s="15">
        <f>IFERROR(I7/(RadSpec!AI7*(1/1000)),".")</f>
        <v>0.51090683252105207</v>
      </c>
      <c r="AO7" s="120">
        <f t="shared" ref="AO7:AO9" si="56">IFERROR(1/AE7,".")</f>
        <v>0.27988679600000005</v>
      </c>
      <c r="AP7" s="120" t="str">
        <f t="shared" ref="AP7:AP9" si="57">IFERROR(1/AF7,".")</f>
        <v>.</v>
      </c>
      <c r="AQ7" s="120">
        <f t="shared" ref="AQ7:AQ9" si="58">IFERROR(1/AG7,".")</f>
        <v>8.558110227205479E-9</v>
      </c>
      <c r="AR7" s="120">
        <f t="shared" ref="AR7:AR9" si="59">IFERROR(1/AH7,".")</f>
        <v>1.8521973405410064</v>
      </c>
      <c r="AS7" s="120" t="str">
        <f t="shared" ref="AS7:AS9" si="60">IFERROR(1/AI7,".")</f>
        <v>.</v>
      </c>
      <c r="AT7" s="120" t="str">
        <f t="shared" ref="AT7:AT9" si="61">IFERROR(1/AJ7,".")</f>
        <v>.</v>
      </c>
      <c r="AU7" s="120">
        <f t="shared" ref="AU7:AU9" si="62">IFERROR(1/AK7,".")</f>
        <v>2.8976928287999999E-3</v>
      </c>
      <c r="AV7" s="120">
        <f t="shared" ref="AV7:AV9" si="63">IFERROR(1/AL7,".")</f>
        <v>1.1793658883728155E-2</v>
      </c>
      <c r="AW7" s="120" t="str">
        <f t="shared" ref="AW7:AW9" si="64">IFERROR(1/AM7,".")</f>
        <v>.</v>
      </c>
      <c r="AX7" s="120">
        <f t="shared" ref="AX7:AX9" si="65">IFERROR(1/AN7,".")</f>
        <v>1.9573040255999996</v>
      </c>
      <c r="AY7" s="15">
        <f>IFERROR(1/(SUMIF(AO7:AX7,"&lt;&gt;0")),".")</f>
        <v>0.24365999599646618</v>
      </c>
      <c r="AZ7" s="15">
        <f>IFERROR((TR/(RadSpec!G7*IFA_far_adj)),".")</f>
        <v>8.4838581872200853E-3</v>
      </c>
      <c r="BA7" s="15">
        <f>IFERROR((TR/(RadSpec!J7*EF_far*(1/365)*ED_far*ET_far*(1/24)*GSF_a)),".")</f>
        <v>4929.0240320303792</v>
      </c>
      <c r="BB7" s="15">
        <f>IFERROR(IF(AND(AZ7&lt;&gt;".",BA7&lt;&gt;"."),1/((1/AZ7)+(1/BA7)),IF(AND(AZ7&lt;&gt;".",BA7="."),1/((1/AZ7)),IF(AND(AZ7=".",BA7&lt;&gt;"."),1/((1/BA7)),IF(AND(AZ7=".",BA7="."),".")))),".")</f>
        <v>8.483843584790601E-3</v>
      </c>
    </row>
    <row r="8" spans="1:54" customFormat="1" x14ac:dyDescent="0.25">
      <c r="A8" s="44" t="s">
        <v>18</v>
      </c>
      <c r="B8" s="42" t="s">
        <v>1074</v>
      </c>
      <c r="C8" s="15">
        <f>dir!AB8</f>
        <v>7.0980251571038308E-2</v>
      </c>
      <c r="D8" s="15">
        <f>IFERROR(TR/(RadSpec!E8*IFP_far_adj*CF_far_poultry),".")</f>
        <v>1.0120560263285969</v>
      </c>
      <c r="E8" s="15">
        <f>IFERROR(TR/(RadSpec!E8*IFE_far_adj*CF_far_egg),".")</f>
        <v>1.7957305565056265</v>
      </c>
      <c r="F8" s="15">
        <f>IFERROR(TR/(RadSpec!E8*IFB_far_adj*CF_far_beef),".")</f>
        <v>0.6637345925546726</v>
      </c>
      <c r="G8" s="15">
        <f>IFERROR(TR/(RadSpec!E8*IFD_far_adj*CF_far_dairy),".")</f>
        <v>0.13741779448695951</v>
      </c>
      <c r="H8" s="15">
        <f>IFERROR(TR/(RadSpec!E8*IFSW_far_adj*CF_far_swine),".")</f>
        <v>1.1891779252958807</v>
      </c>
      <c r="I8" s="15">
        <f>IFERROR(TR/(RadSpec!E8*IFFI_far_adj*CF_far_fish),".")</f>
        <v>0.13905093173768834</v>
      </c>
      <c r="J8" s="15">
        <f>IFERROR((TR/(RadSpec!D8*IFS_far_adj*(1/1000)))*1,".")</f>
        <v>521.33457480473407</v>
      </c>
      <c r="K8" s="15">
        <f>IFERROR(IF(A8="H-3",(TR/(RadSpec!G8*IFA_far_adj*(1/17)*1000))*1,(TR/(RadSpec!G8*IFA_far_adj*(1/PEF_wind)*1000))*1),".")</f>
        <v>70924.78730989428</v>
      </c>
      <c r="L8" s="15">
        <f>IFERROR((TR/(RadSpec!F8*EF_far*(1/365)*ED_far*RadSpec!Q8*((ET_far_o*(1/24)*RadSpec!V8)+(ET_far_i*(1/24)*RadSpec!AA8))))*1,".")</f>
        <v>7.1264817629102861E-2</v>
      </c>
      <c r="M8" s="15">
        <f>b2s!AB8</f>
        <v>0.70409983541533905</v>
      </c>
      <c r="N8" s="15" t="str">
        <f>IFERROR((D8/(RadSpec!AJ8*((Q_p_poultry*f_p_poultry*f_s_poultry*(RadSpec!BB8+R_es_past))+(Q_s_poultry*f_p_poultry))))*1,".")</f>
        <v>.</v>
      </c>
      <c r="O8" s="15" t="str">
        <f>IFERROR((E8/(RadSpec!AK8*((Q_p_poultry*f_p_poultry*f_s_poultry*(RadSpec!BB8+R_es_past))+(Q_s_poultry*f_p_poultry))))*1,".")</f>
        <v>.</v>
      </c>
      <c r="P8" s="15">
        <f>IFERROR((F8/(RadSpec!AH8*((Q_p_beef*f_p_beef*f_s_beef*(RadSpec!BB8+R_es_past))+(Q_s_beef*f_p_beef))))*1,".")</f>
        <v>35.579447470097698</v>
      </c>
      <c r="Q8" s="15">
        <f>IFERROR(((G8*D_milk)/(RadSpec!AG8*((Q_p_dairy*f_p_dairy*f_s_dairy*(RadSpec!BB8+R_es_past))+(Q_s_dairy*f_p_dairy))))*1,".")</f>
        <v>9.058581012580369</v>
      </c>
      <c r="R8" s="15" t="str">
        <f>IFERROR((H8/(RadSpec!AL8*((Q_p_swine*f_p_swine*f_s_swine*(RadSpec!BB8+R_es_past))+(Q_s_swine*f_p_swine))))*1,".")</f>
        <v>.</v>
      </c>
      <c r="S8" s="15">
        <f>IFERROR(((I8*RadSpec!AS8)/RadSpec!AI8)*1,".")</f>
        <v>4.449629815606027</v>
      </c>
      <c r="T8" s="120">
        <f t="shared" si="45"/>
        <v>1.9181540000000003E-3</v>
      </c>
      <c r="U8" s="120">
        <f t="shared" si="46"/>
        <v>1.4099443056919766E-5</v>
      </c>
      <c r="V8" s="120">
        <f t="shared" si="47"/>
        <v>14.032169494974246</v>
      </c>
      <c r="W8" s="120">
        <f t="shared" si="48"/>
        <v>1.4202531369860545</v>
      </c>
      <c r="X8" s="120" t="str">
        <f t="shared" si="49"/>
        <v>.</v>
      </c>
      <c r="Y8" s="120" t="str">
        <f t="shared" si="50"/>
        <v>.</v>
      </c>
      <c r="Z8" s="120">
        <f t="shared" si="51"/>
        <v>2.8106113813050008E-2</v>
      </c>
      <c r="AA8" s="120">
        <f t="shared" si="52"/>
        <v>0.11039256574635926</v>
      </c>
      <c r="AB8" s="120" t="str">
        <f t="shared" si="53"/>
        <v>.</v>
      </c>
      <c r="AC8" s="120">
        <f t="shared" si="54"/>
        <v>0.22473779650000003</v>
      </c>
      <c r="AD8" s="15">
        <f t="shared" si="55"/>
        <v>6.3220750691306435E-2</v>
      </c>
      <c r="AE8" s="15">
        <f>IFERROR(TR/(RadSpec!H8*IFW_far_adj),".")</f>
        <v>62.851271039997215</v>
      </c>
      <c r="AF8" s="15" t="str">
        <f>IFERROR(IF(RadSpec!C8=1,TR/(RadSpec!G8*IFA_far_adj*K),"."),".")</f>
        <v>.</v>
      </c>
      <c r="AG8" s="15">
        <f>IFERROR((TR/(RadSpec!L8*(1/8760)*DFA_far_adj)),".")</f>
        <v>790791.02605653752</v>
      </c>
      <c r="AH8" s="15">
        <f>b2w!AB8</f>
        <v>9.7961105438189762</v>
      </c>
      <c r="AI8" s="15" t="str">
        <f>IFERROR(D8/(RadSpec!AJ8*Q_w_poultry*(1/1000)),".")</f>
        <v>.</v>
      </c>
      <c r="AJ8" s="15" t="str">
        <f>IFERROR(E8/(RadSpec!AK8*Q_w_poultry*(1/1000)),".")</f>
        <v>.</v>
      </c>
      <c r="AK8" s="15">
        <f>IFERROR(F8/(RadSpec!AH8*Q_w_beef*(1/1000)),".")</f>
        <v>6261.647099572383</v>
      </c>
      <c r="AL8" s="15">
        <f>IFERROR((G8*D_milk)/(RadSpec!AG8*Q_w_dairy*(1/1000)),".")</f>
        <v>1538.481829582264</v>
      </c>
      <c r="AM8" s="15" t="str">
        <f>IFERROR(H8/(RadSpec!AL8*Q_w_swine*(1/1000)),".")</f>
        <v>.</v>
      </c>
      <c r="AN8" s="15">
        <f>IFERROR(I8/(RadSpec!AI8*(1/1000)),".")</f>
        <v>9.2700621158458905</v>
      </c>
      <c r="AO8" s="120">
        <f t="shared" si="56"/>
        <v>1.5910577200000001E-2</v>
      </c>
      <c r="AP8" s="120" t="str">
        <f t="shared" si="57"/>
        <v>.</v>
      </c>
      <c r="AQ8" s="120">
        <f t="shared" si="58"/>
        <v>1.2645565858109588E-6</v>
      </c>
      <c r="AR8" s="120">
        <f t="shared" si="59"/>
        <v>0.10208133070027135</v>
      </c>
      <c r="AS8" s="120" t="str">
        <f t="shared" si="60"/>
        <v>.</v>
      </c>
      <c r="AT8" s="120" t="str">
        <f t="shared" si="61"/>
        <v>.</v>
      </c>
      <c r="AU8" s="120">
        <f t="shared" si="62"/>
        <v>1.5970238886000004E-4</v>
      </c>
      <c r="AV8" s="120">
        <f t="shared" si="63"/>
        <v>6.4999142711456316E-4</v>
      </c>
      <c r="AW8" s="120" t="str">
        <f t="shared" si="64"/>
        <v>.</v>
      </c>
      <c r="AX8" s="120">
        <f t="shared" si="65"/>
        <v>0.10787414232</v>
      </c>
      <c r="AY8" s="15">
        <f t="shared" ref="AY8:AY9" si="66">IFERROR(1/(SUMIF(AO8:AX8,"&lt;&gt;0")),".")</f>
        <v>4.4115634232506071</v>
      </c>
      <c r="AZ8" s="15">
        <f>IFERROR((TR/(RadSpec!G8*IFA_far_adj)),".")</f>
        <v>5.2175727851403529E-2</v>
      </c>
      <c r="BA8" s="15">
        <f>IFERROR((TR/(RadSpec!J8*EF_far*(1/365)*ED_far*ET_far*(1/24)*GSF_a)),".")</f>
        <v>48.965962423459686</v>
      </c>
      <c r="BB8" s="15">
        <f t="shared" ref="BB8:BB9" si="67">IFERROR(IF(AND(AZ8&lt;&gt;".",BA8&lt;&gt;"."),1/((1/AZ8)+(1/BA8)),IF(AND(AZ8&lt;&gt;".",BA8="."),1/((1/AZ8)),IF(AND(AZ8=".",BA8&lt;&gt;"."),1/((1/BA8)),IF(AND(AZ8=".",BA8="."),".")))),".")</f>
        <v>5.2120191132150329E-2</v>
      </c>
    </row>
    <row r="9" spans="1:54" customFormat="1" x14ac:dyDescent="0.25">
      <c r="A9" s="44" t="s">
        <v>19</v>
      </c>
      <c r="B9" s="42" t="s">
        <v>1074</v>
      </c>
      <c r="C9" s="15">
        <f>dir!AB9</f>
        <v>0.19205256352554298</v>
      </c>
      <c r="D9" s="15">
        <f>IFERROR(TR/(RadSpec!E9*IFP_far_adj*CF_far_poultry),".")</f>
        <v>2.7383384812796066</v>
      </c>
      <c r="E9" s="15">
        <f>IFERROR(TR/(RadSpec!E9*IFE_far_adj*CF_far_egg),".")</f>
        <v>4.8587409757613882</v>
      </c>
      <c r="F9" s="15">
        <f>IFERROR(TR/(RadSpec!E9*IFB_far_adj*CF_far_beef),".")</f>
        <v>1.7958788138857249</v>
      </c>
      <c r="G9" s="15">
        <f>IFERROR(TR/(RadSpec!E9*IFD_far_adj*CF_far_dairy),".")</f>
        <v>0.37181383724505079</v>
      </c>
      <c r="H9" s="15">
        <f>IFERROR(TR/(RadSpec!E9*IFSW_far_adj*CF_far_swine),".")</f>
        <v>3.2175804394337635</v>
      </c>
      <c r="I9" s="15">
        <f>IFERROR(TR/(RadSpec!E9*IFFI_far_adj*CF_far_fish),".")</f>
        <v>0.37623264654269933</v>
      </c>
      <c r="J9" s="15">
        <f>IFERROR((TR/(RadSpec!D9*IFS_far_adj*(1/1000)))*1,".")</f>
        <v>1540.0892943772878</v>
      </c>
      <c r="K9" s="15">
        <f>IFERROR(IF(A9="H-3",(TR/(RadSpec!G9*IFA_far_adj*(1/17)*1000))*1,(TR/(RadSpec!G9*IFA_far_adj*(1/PEF_wind)*1000))*1),".")</f>
        <v>84926.120727057874</v>
      </c>
      <c r="L9" s="15">
        <f>IFERROR((TR/(RadSpec!F9*EF_far*(1/365)*ED_far*RadSpec!Q9*((ET_far_o*(1/24)*RadSpec!V9)+(ET_far_i*(1/24)*RadSpec!AA9))))*1,".")</f>
        <v>5.2683847690831211E-3</v>
      </c>
      <c r="M9" s="15">
        <f>b2s!AB9</f>
        <v>1.9050957889898994</v>
      </c>
      <c r="N9" s="15" t="str">
        <f>IFERROR((D9/(RadSpec!AJ9*((Q_p_poultry*f_p_poultry*f_s_poultry*(RadSpec!BB9+R_es_past))+(Q_s_poultry*f_p_poultry))))*1,".")</f>
        <v>.</v>
      </c>
      <c r="O9" s="15" t="str">
        <f>IFERROR((E9/(RadSpec!AK9*((Q_p_poultry*f_p_poultry*f_s_poultry*(RadSpec!BB9+R_es_past))+(Q_s_poultry*f_p_poultry))))*1,".")</f>
        <v>.</v>
      </c>
      <c r="P9" s="15">
        <f>IFERROR((F9/(RadSpec!AH9*((Q_p_beef*f_p_beef*f_s_beef*(RadSpec!BB9+R_es_past))+(Q_s_beef*f_p_beef))))*1,".")</f>
        <v>96.267961076693908</v>
      </c>
      <c r="Q9" s="15">
        <f>IFERROR(((G9*D_milk)/(RadSpec!AG9*((Q_p_dairy*f_p_dairy*f_s_dairy*(RadSpec!BB9+R_es_past))+(Q_s_dairy*f_p_dairy))))*1,".")</f>
        <v>24.509968151193743</v>
      </c>
      <c r="R9" s="15" t="str">
        <f>IFERROR((H9/(RadSpec!AL9*((Q_p_swine*f_p_swine*f_s_swine*(RadSpec!BB9+R_es_past))+(Q_s_swine*f_p_swine))))*1,".")</f>
        <v>.</v>
      </c>
      <c r="S9" s="15">
        <f>IFERROR(((I9*RadSpec!AS9)/RadSpec!AI9)*1,".")</f>
        <v>12.039444689366379</v>
      </c>
      <c r="T9" s="120">
        <f t="shared" si="45"/>
        <v>6.493130000000001E-4</v>
      </c>
      <c r="U9" s="120">
        <f t="shared" si="46"/>
        <v>1.1774940282670831E-5</v>
      </c>
      <c r="V9" s="120">
        <f t="shared" si="47"/>
        <v>189.81149703954409</v>
      </c>
      <c r="W9" s="120">
        <f t="shared" si="48"/>
        <v>0.52490798928814486</v>
      </c>
      <c r="X9" s="120" t="str">
        <f t="shared" si="49"/>
        <v>.</v>
      </c>
      <c r="Y9" s="120" t="str">
        <f t="shared" si="50"/>
        <v>.</v>
      </c>
      <c r="Z9" s="120">
        <f t="shared" si="51"/>
        <v>1.0387671960802503E-2</v>
      </c>
      <c r="AA9" s="120">
        <f t="shared" si="52"/>
        <v>4.0799726618628657E-2</v>
      </c>
      <c r="AB9" s="120" t="str">
        <f t="shared" si="53"/>
        <v>.</v>
      </c>
      <c r="AC9" s="120">
        <f t="shared" si="54"/>
        <v>8.3060309324999998E-2</v>
      </c>
      <c r="AD9" s="15">
        <f t="shared" si="55"/>
        <v>5.2501344161487206E-3</v>
      </c>
      <c r="AE9" s="15">
        <f>IFERROR(TR/(RadSpec!H9*IFW_far_adj),".")</f>
        <v>165.90797943120651</v>
      </c>
      <c r="AF9" s="15" t="str">
        <f>IFERROR(IF(RadSpec!C9=1,TR/(RadSpec!G9*IFA_far_adj*K),"."),".")</f>
        <v>.</v>
      </c>
      <c r="AG9" s="15">
        <f>IFERROR((TR/(RadSpec!L9*(1/8760)*DFA_far_adj)),".")</f>
        <v>63135.735144836457</v>
      </c>
      <c r="AH9" s="15">
        <f>b2w!AB9</f>
        <v>26.505515278952309</v>
      </c>
      <c r="AI9" s="15" t="str">
        <f>IFERROR(D9/(RadSpec!AJ9*Q_w_poultry*(1/1000)),".")</f>
        <v>.</v>
      </c>
      <c r="AJ9" s="15" t="str">
        <f>IFERROR(E9/(RadSpec!AK9*Q_w_poultry*(1/1000)),".")</f>
        <v>.</v>
      </c>
      <c r="AK9" s="15">
        <f>IFERROR(F9/(RadSpec!AH9*Q_w_beef*(1/1000)),".")</f>
        <v>16942.252961186085</v>
      </c>
      <c r="AL9" s="15">
        <f>IFERROR((G9*D_milk)/(RadSpec!AG9*Q_w_dairy*(1/1000)),".")</f>
        <v>4162.6983952435039</v>
      </c>
      <c r="AM9" s="15" t="str">
        <f>IFERROR(H9/(RadSpec!AL9*Q_w_swine*(1/1000)),".")</f>
        <v>.</v>
      </c>
      <c r="AN9" s="15">
        <f>IFERROR(I9/(RadSpec!AI9*(1/1000)),".")</f>
        <v>25.082176436179957</v>
      </c>
      <c r="AO9" s="120">
        <f t="shared" si="56"/>
        <v>6.0274376400000001E-3</v>
      </c>
      <c r="AP9" s="120" t="str">
        <f t="shared" si="57"/>
        <v>.</v>
      </c>
      <c r="AQ9" s="120">
        <f t="shared" si="58"/>
        <v>1.5838890569753423E-5</v>
      </c>
      <c r="AR9" s="120">
        <f t="shared" si="59"/>
        <v>3.7727996964997214E-2</v>
      </c>
      <c r="AS9" s="120" t="str">
        <f t="shared" si="60"/>
        <v>.</v>
      </c>
      <c r="AT9" s="120" t="str">
        <f t="shared" si="61"/>
        <v>.</v>
      </c>
      <c r="AU9" s="120">
        <f t="shared" si="62"/>
        <v>5.9024027223000014E-5</v>
      </c>
      <c r="AV9" s="120">
        <f t="shared" si="63"/>
        <v>2.4022879033048545E-4</v>
      </c>
      <c r="AW9" s="120" t="str">
        <f t="shared" si="64"/>
        <v>.</v>
      </c>
      <c r="AX9" s="120">
        <f t="shared" si="65"/>
        <v>3.9868948475999998E-2</v>
      </c>
      <c r="AY9" s="15">
        <f t="shared" si="66"/>
        <v>11.913345925886254</v>
      </c>
      <c r="AZ9" s="15">
        <f>IFERROR((TR/(RadSpec!G9*IFA_far_adj)),".")</f>
        <v>6.2475790631130436E-2</v>
      </c>
      <c r="BA9" s="15">
        <f>IFERROR((TR/(RadSpec!J9*EF_far*(1/365)*ED_far*ET_far*(1/24)*GSF_a)),".")</f>
        <v>3.8967676902439141</v>
      </c>
      <c r="BB9" s="15">
        <f t="shared" si="67"/>
        <v>6.1489939562905105E-2</v>
      </c>
    </row>
    <row r="10" spans="1:54" customFormat="1" x14ac:dyDescent="0.25">
      <c r="A10" s="46" t="s">
        <v>20</v>
      </c>
      <c r="B10" s="42" t="s">
        <v>351</v>
      </c>
      <c r="C10" s="15">
        <f>dir!AB10</f>
        <v>1.3633830499783597E-3</v>
      </c>
      <c r="D10" s="15">
        <f>IFERROR(TR/(RadSpec!E10*IFP_far_adj*CF_far_poultry),".")</f>
        <v>1.9439491990866118E-2</v>
      </c>
      <c r="E10" s="15">
        <f>IFERROR(TR/(RadSpec!E10*IFE_far_adj*CF_far_egg),".")</f>
        <v>3.4492250293276391E-2</v>
      </c>
      <c r="F10" s="15">
        <f>IFERROR(TR/(RadSpec!E10*IFB_far_adj*CF_far_beef),".")</f>
        <v>1.2748961480753119E-2</v>
      </c>
      <c r="G10" s="15">
        <f>IFERROR(TR/(RadSpec!E10*IFD_far_adj*CF_far_dairy),".")</f>
        <v>2.6395101119277369E-3</v>
      </c>
      <c r="H10" s="15">
        <f>IFERROR(TR/(RadSpec!E10*IFSW_far_adj*CF_far_swine),".")</f>
        <v>2.2841635396772361E-2</v>
      </c>
      <c r="I10" s="15">
        <f>IFERROR(TR/(RadSpec!E10*IFFI_far_adj*CF_far_fish),".")</f>
        <v>2.6708792828823305E-3</v>
      </c>
      <c r="J10" s="15">
        <f>IFERROR((TR/(RadSpec!D10*IFS_far_adj*(1/1000)))*1,".")</f>
        <v>14.597368094532557</v>
      </c>
      <c r="K10" s="15">
        <f>IFERROR(IF(A10="H-3",(TR/(RadSpec!G10*IFA_far_adj*(1/17)*1000))*1,(TR/(RadSpec!G10*IFA_far_adj*(1/PEF_wind)*1000))*1),".")</f>
        <v>46661.044282825183</v>
      </c>
      <c r="L10" s="15">
        <f>IFERROR((TR/(RadSpec!F10*EF_far*(1/365)*ED_far*RadSpec!Q10*((ET_far_o*(1/24)*RadSpec!V10)+(ET_far_i*(1/24)*RadSpec!AA10))))*1,".")</f>
        <v>70.059493018039817</v>
      </c>
      <c r="M10" s="15">
        <f>b2s!AB10</f>
        <v>5.4321470291758933E-2</v>
      </c>
      <c r="N10" s="15">
        <f>IFERROR((D10/(RadSpec!AJ10*((Q_p_poultry*f_p_poultry*f_s_poultry*(RadSpec!BB10+R_es_past))+(Q_s_poultry*f_p_poultry))))*1,".")</f>
        <v>9.1523031972062699E-2</v>
      </c>
      <c r="O10" s="15">
        <f>IFERROR((E10/(RadSpec!AK10*((Q_p_poultry*f_p_poultry*f_s_poultry*(RadSpec!BB10+R_es_past))+(Q_s_poultry*f_p_poultry))))*1,".")</f>
        <v>1.0961520220320888</v>
      </c>
      <c r="P10" s="15">
        <f>IFERROR((F10/(RadSpec!AH10*((Q_p_beef*f_p_beef*f_s_beef*(RadSpec!BB10+R_es_past))+(Q_s_beef*f_p_beef))))*1,".")</f>
        <v>0.15111432460127999</v>
      </c>
      <c r="Q10" s="15">
        <f>IFERROR(((G10*D_milk)/(RadSpec!AG10*((Q_p_dairy*f_p_dairy*f_s_dairy*(RadSpec!BB10+R_es_past))+(Q_s_dairy*f_p_dairy))))*1,".")</f>
        <v>9.6074897174757715E-2</v>
      </c>
      <c r="R10" s="15">
        <f>IFERROR((H10/(RadSpec!AL10*((Q_p_swine*f_p_swine*f_s_swine*(RadSpec!BB10+R_es_past))+(Q_s_swine*f_p_swine))))*1,".")</f>
        <v>6.7115481087479986E-2</v>
      </c>
      <c r="S10" s="15">
        <f>IFERROR(((I10*RadSpec!AS10)/RadSpec!AI10)*1,".")</f>
        <v>1.0683517131529321E-5</v>
      </c>
      <c r="T10" s="120">
        <f t="shared" ref="T10" si="68">IFERROR(1/J10,".")</f>
        <v>6.8505499999999997E-2</v>
      </c>
      <c r="U10" s="120">
        <f t="shared" ref="U10" si="69">IFERROR(1/K10,".")</f>
        <v>2.1431153446518043E-5</v>
      </c>
      <c r="V10" s="120">
        <f t="shared" ref="V10" si="70">IFERROR(1/L10,".")</f>
        <v>1.4273583163704985E-2</v>
      </c>
      <c r="W10" s="120">
        <f t="shared" ref="W10" si="71">IFERROR(1/M10,".")</f>
        <v>18.408927347309103</v>
      </c>
      <c r="X10" s="120">
        <f t="shared" ref="X10" si="72">IFERROR(1/N10,".")</f>
        <v>10.926211451400002</v>
      </c>
      <c r="Y10" s="120">
        <f t="shared" ref="Y10" si="73">IFERROR(1/O10,".")</f>
        <v>0.91228221989333336</v>
      </c>
      <c r="Z10" s="120">
        <f t="shared" ref="Z10" si="74">IFERROR(1/P10,".")</f>
        <v>6.6175063326294987</v>
      </c>
      <c r="AA10" s="120">
        <f t="shared" ref="AA10" si="75">IFERROR(1/Q10,".")</f>
        <v>10.408546138550909</v>
      </c>
      <c r="AB10" s="120">
        <f t="shared" ref="AB10" si="76">IFERROR(1/R10,".")</f>
        <v>14.899692050133339</v>
      </c>
      <c r="AC10" s="120">
        <f t="shared" ref="AC10" si="77">IFERROR(1/S10,".")</f>
        <v>93602.133800000025</v>
      </c>
      <c r="AD10" s="15">
        <f t="shared" ref="AD10" si="78">IFERROR(1/(SUMIF(T10:AC10,"&lt;&gt;0")),".")</f>
        <v>1.0676416111797687E-5</v>
      </c>
      <c r="AE10" s="15">
        <f>IFERROR(TR/(RadSpec!H10*IFW_far_adj),".")</f>
        <v>1.0449786568543227</v>
      </c>
      <c r="AF10" s="15" t="str">
        <f>IFERROR(IF(RadSpec!C10=1,TR/(RadSpec!G10*IFA_far_adj*K),"."),".")</f>
        <v>.</v>
      </c>
      <c r="AG10" s="15">
        <f>IFERROR((TR/(RadSpec!L10*(1/8760)*DFA_far_adj)),".")</f>
        <v>407751622.81040215</v>
      </c>
      <c r="AH10" s="15">
        <f>b2w!AB10</f>
        <v>0.30034803746137578</v>
      </c>
      <c r="AI10" s="15">
        <f>IFERROR(D10/(RadSpec!AJ10*Q_w_poultry*(1/1000)),".")</f>
        <v>17.999529621172332</v>
      </c>
      <c r="AJ10" s="15">
        <f>IFERROR(E10/(RadSpec!AK10*Q_w_poultry*(1/1000)),".")</f>
        <v>215.5765643329774</v>
      </c>
      <c r="AK10" s="15">
        <f>IFERROR(F10/(RadSpec!AH10*Q_w_beef*(1/1000)),".")</f>
        <v>10.933929228776261</v>
      </c>
      <c r="AL10" s="15">
        <f>IFERROR((G10*D_milk)/(RadSpec!AG10*Q_w_dairy*(1/1000)),".")</f>
        <v>6.4241385049280924</v>
      </c>
      <c r="AM10" s="15">
        <f>IFERROR(H10/(RadSpec!AL10*Q_w_swine*(1/1000)),".")</f>
        <v>10.018261138935245</v>
      </c>
      <c r="AN10" s="15">
        <f>IFERROR(I10/(RadSpec!AI10*(1/1000)),".")</f>
        <v>1.0683517131529323E-3</v>
      </c>
      <c r="AO10" s="120">
        <f t="shared" ref="AO10" si="79">IFERROR(1/AE10,".")</f>
        <v>0.95695734399999999</v>
      </c>
      <c r="AP10" s="120" t="str">
        <f t="shared" ref="AP10" si="80">IFERROR(1/AF10,".")</f>
        <v>.</v>
      </c>
      <c r="AQ10" s="120">
        <f t="shared" ref="AQ10" si="81">IFERROR(1/AG10,".")</f>
        <v>2.4524733785424656E-9</v>
      </c>
      <c r="AR10" s="120">
        <f t="shared" ref="AR10" si="82">IFERROR(1/AH10,".")</f>
        <v>3.3294707315295784</v>
      </c>
      <c r="AS10" s="120">
        <f t="shared" ref="AS10" si="83">IFERROR(1/AI10,".")</f>
        <v>5.5557007380000009E-2</v>
      </c>
      <c r="AT10" s="120">
        <f t="shared" ref="AT10" si="84">IFERROR(1/AJ10,".")</f>
        <v>4.6387231520000011E-3</v>
      </c>
      <c r="AU10" s="120">
        <f t="shared" ref="AU10" si="85">IFERROR(1/AK10,".")</f>
        <v>9.1458429908999994E-2</v>
      </c>
      <c r="AV10" s="120">
        <f t="shared" ref="AV10" si="86">IFERROR(1/AL10,".")</f>
        <v>0.15566289538011654</v>
      </c>
      <c r="AW10" s="120">
        <f t="shared" ref="AW10" si="87">IFERROR(1/AM10,".")</f>
        <v>9.9817721472000021E-2</v>
      </c>
      <c r="AX10" s="120">
        <f t="shared" ref="AX10" si="88">IFERROR(1/AN10,".")</f>
        <v>936.02133800000013</v>
      </c>
      <c r="AY10" s="15">
        <f>IFERROR(1/(SUMIF(AO10:AX10,"&lt;&gt;0")),".")</f>
        <v>1.0630213246232458E-3</v>
      </c>
      <c r="AZ10" s="15">
        <f>IFERROR((TR/(RadSpec!G10*IFA_far_adj)),".")</f>
        <v>3.4326136744344427E-2</v>
      </c>
      <c r="BA10" s="15">
        <f>IFERROR((TR/(RadSpec!J10*EF_far*(1/365)*ED_far*ET_far*(1/24)*GSF_a)),".")</f>
        <v>16063.653859782458</v>
      </c>
      <c r="BB10" s="15">
        <f>IFERROR(IF(AND(AZ10&lt;&gt;".",BA10&lt;&gt;"."),1/((1/AZ10)+(1/BA10)),IF(AND(AZ10&lt;&gt;".",BA10="."),1/((1/AZ10)),IF(AND(AZ10=".",BA10&lt;&gt;"."),1/((1/BA10)),IF(AND(AZ10=".",BA10="."),".")))),".")</f>
        <v>3.4326063393588971E-2</v>
      </c>
    </row>
    <row r="11" spans="1:54" customFormat="1" x14ac:dyDescent="0.25">
      <c r="A11" s="44" t="s">
        <v>21</v>
      </c>
      <c r="B11" s="42" t="s">
        <v>1074</v>
      </c>
      <c r="C11" s="15" t="str">
        <f>dir!AB11</f>
        <v>.</v>
      </c>
      <c r="D11" s="15" t="str">
        <f>IFERROR(TR/(RadSpec!E11*IFP_far_adj*CF_far_poultry),".")</f>
        <v>.</v>
      </c>
      <c r="E11" s="15" t="str">
        <f>IFERROR(TR/(RadSpec!E11*IFE_far_adj*CF_far_egg),".")</f>
        <v>.</v>
      </c>
      <c r="F11" s="15" t="str">
        <f>IFERROR(TR/(RadSpec!E11*IFB_far_adj*CF_far_beef),".")</f>
        <v>.</v>
      </c>
      <c r="G11" s="15" t="str">
        <f>IFERROR(TR/(RadSpec!E11*IFD_far_adj*CF_far_dairy),".")</f>
        <v>.</v>
      </c>
      <c r="H11" s="15" t="str">
        <f>IFERROR(TR/(RadSpec!E11*IFSW_far_adj*CF_far_swine),".")</f>
        <v>.</v>
      </c>
      <c r="I11" s="15" t="str">
        <f>IFERROR(TR/(RadSpec!E11*IFFI_far_adj*CF_far_fish),".")</f>
        <v>.</v>
      </c>
      <c r="J11" s="15" t="str">
        <f>IFERROR((TR/(RadSpec!D11*IFS_far_adj*(1/1000)))*1,".")</f>
        <v>.</v>
      </c>
      <c r="K11" s="15" t="str">
        <f>IFERROR(IF(A11="H-3",(TR/(RadSpec!G11*IFA_far_adj*(1/17)*1000))*1,(TR/(RadSpec!G11*IFA_far_adj*(1/PEF_wind)*1000))*1),".")</f>
        <v>.</v>
      </c>
      <c r="L11" s="15">
        <f>IFERROR((TR/(RadSpec!F11*EF_far*(1/365)*ED_far*RadSpec!Q11*((ET_far_o*(1/24)*RadSpec!V11)+(ET_far_i*(1/24)*RadSpec!AA11))))*1,".")</f>
        <v>0.36902160576317183</v>
      </c>
      <c r="M11" s="15" t="str">
        <f>b2s!AB11</f>
        <v>.</v>
      </c>
      <c r="N11" s="15" t="str">
        <f>IFERROR((D11/(RadSpec!AJ11*((Q_p_poultry*f_p_poultry*f_s_poultry*(RadSpec!BB11+R_es_past))+(Q_s_poultry*f_p_poultry))))*1,".")</f>
        <v>.</v>
      </c>
      <c r="O11" s="15" t="str">
        <f>IFERROR((E11/(RadSpec!AK11*((Q_p_poultry*f_p_poultry*f_s_poultry*(RadSpec!BB11+R_es_past))+(Q_s_poultry*f_p_poultry))))*1,".")</f>
        <v>.</v>
      </c>
      <c r="P11" s="15" t="str">
        <f>IFERROR((F11/(RadSpec!AH11*((Q_p_beef*f_p_beef*f_s_beef*(RadSpec!BB11+R_es_past))+(Q_s_beef*f_p_beef))))*1,".")</f>
        <v>.</v>
      </c>
      <c r="Q11" s="15" t="str">
        <f>IFERROR(((G11*D_milk)/(RadSpec!AG11*((Q_p_dairy*f_p_dairy*f_s_dairy*(RadSpec!BB11+R_es_past))+(Q_s_dairy*f_p_dairy))))*1,".")</f>
        <v>.</v>
      </c>
      <c r="R11" s="15" t="str">
        <f>IFERROR((H11/(RadSpec!AL11*((Q_p_swine*f_p_swine*f_s_swine*(RadSpec!BB11+R_es_past))+(Q_s_swine*f_p_swine))))*1,".")</f>
        <v>.</v>
      </c>
      <c r="S11" s="15" t="str">
        <f>IFERROR(((I11*RadSpec!AS11)/RadSpec!AI11)*1,".")</f>
        <v>.</v>
      </c>
      <c r="T11" s="120" t="str">
        <f t="shared" ref="T11" si="89">IFERROR(1/J11,".")</f>
        <v>.</v>
      </c>
      <c r="U11" s="120" t="str">
        <f t="shared" ref="U11" si="90">IFERROR(1/K11,".")</f>
        <v>.</v>
      </c>
      <c r="V11" s="120">
        <f t="shared" ref="V11" si="91">IFERROR(1/L11,".")</f>
        <v>2.7098684315025534</v>
      </c>
      <c r="W11" s="120" t="str">
        <f t="shared" ref="W11" si="92">IFERROR(1/M11,".")</f>
        <v>.</v>
      </c>
      <c r="X11" s="120" t="str">
        <f t="shared" ref="X11" si="93">IFERROR(1/N11,".")</f>
        <v>.</v>
      </c>
      <c r="Y11" s="120" t="str">
        <f t="shared" ref="Y11" si="94">IFERROR(1/O11,".")</f>
        <v>.</v>
      </c>
      <c r="Z11" s="120" t="str">
        <f t="shared" ref="Z11" si="95">IFERROR(1/P11,".")</f>
        <v>.</v>
      </c>
      <c r="AA11" s="120" t="str">
        <f t="shared" ref="AA11" si="96">IFERROR(1/Q11,".")</f>
        <v>.</v>
      </c>
      <c r="AB11" s="120" t="str">
        <f t="shared" ref="AB11" si="97">IFERROR(1/R11,".")</f>
        <v>.</v>
      </c>
      <c r="AC11" s="120" t="str">
        <f t="shared" ref="AC11" si="98">IFERROR(1/S11,".")</f>
        <v>.</v>
      </c>
      <c r="AD11" s="15">
        <f t="shared" ref="AD11" si="99">IFERROR(1/(SUMIF(T11:AC11,"&lt;&gt;0")),".")</f>
        <v>0.36902160576317178</v>
      </c>
      <c r="AE11" s="15" t="str">
        <f>IFERROR(TR/(RadSpec!H11*IFW_far_adj),".")</f>
        <v>.</v>
      </c>
      <c r="AF11" s="15" t="str">
        <f>IFERROR(IF(RadSpec!C11=1,TR/(RadSpec!G11*IFA_far_adj*K),"."),".")</f>
        <v>.</v>
      </c>
      <c r="AG11" s="15">
        <f>IFERROR((TR/(RadSpec!L11*(1/8760)*DFA_far_adj)),".")</f>
        <v>3607756.2939906539</v>
      </c>
      <c r="AH11" s="15" t="str">
        <f>b2w!AB11</f>
        <v>.</v>
      </c>
      <c r="AI11" s="15" t="str">
        <f>IFERROR(D11/(RadSpec!AJ11*Q_w_poultry*(1/1000)),".")</f>
        <v>.</v>
      </c>
      <c r="AJ11" s="15" t="str">
        <f>IFERROR(E11/(RadSpec!AK11*Q_w_poultry*(1/1000)),".")</f>
        <v>.</v>
      </c>
      <c r="AK11" s="15" t="str">
        <f>IFERROR(F11/(RadSpec!AH11*Q_w_beef*(1/1000)),".")</f>
        <v>.</v>
      </c>
      <c r="AL11" s="15" t="str">
        <f>IFERROR((G11*D_milk)/(RadSpec!AG11*Q_w_dairy*(1/1000)),".")</f>
        <v>.</v>
      </c>
      <c r="AM11" s="15" t="str">
        <f>IFERROR(H11/(RadSpec!AL11*Q_w_swine*(1/1000)),".")</f>
        <v>.</v>
      </c>
      <c r="AN11" s="15" t="str">
        <f>IFERROR(I11/(RadSpec!AI11*(1/1000)),".")</f>
        <v>.</v>
      </c>
      <c r="AO11" s="120" t="str">
        <f t="shared" ref="AO11" si="100">IFERROR(1/AE11,".")</f>
        <v>.</v>
      </c>
      <c r="AP11" s="120" t="str">
        <f t="shared" ref="AP11" si="101">IFERROR(1/AF11,".")</f>
        <v>.</v>
      </c>
      <c r="AQ11" s="120">
        <f t="shared" ref="AQ11" si="102">IFERROR(1/AG11,".")</f>
        <v>2.7718058497068499E-7</v>
      </c>
      <c r="AR11" s="120" t="str">
        <f t="shared" ref="AR11" si="103">IFERROR(1/AH11,".")</f>
        <v>.</v>
      </c>
      <c r="AS11" s="120" t="str">
        <f t="shared" ref="AS11" si="104">IFERROR(1/AI11,".")</f>
        <v>.</v>
      </c>
      <c r="AT11" s="120" t="str">
        <f t="shared" ref="AT11" si="105">IFERROR(1/AJ11,".")</f>
        <v>.</v>
      </c>
      <c r="AU11" s="120" t="str">
        <f t="shared" ref="AU11" si="106">IFERROR(1/AK11,".")</f>
        <v>.</v>
      </c>
      <c r="AV11" s="120" t="str">
        <f t="shared" ref="AV11" si="107">IFERROR(1/AL11,".")</f>
        <v>.</v>
      </c>
      <c r="AW11" s="120" t="str">
        <f t="shared" ref="AW11" si="108">IFERROR(1/AM11,".")</f>
        <v>.</v>
      </c>
      <c r="AX11" s="120" t="str">
        <f t="shared" ref="AX11" si="109">IFERROR(1/AN11,".")</f>
        <v>.</v>
      </c>
      <c r="AY11" s="15">
        <f>IFERROR(1/(SUMIF(AO11:AX11,"&lt;&gt;0")),".")</f>
        <v>3607756.2939906539</v>
      </c>
      <c r="AZ11" s="15" t="str">
        <f>IFERROR((TR/(RadSpec!G11*IFA_far_adj)),".")</f>
        <v>.</v>
      </c>
      <c r="BA11" s="15">
        <f>IFERROR((TR/(RadSpec!J11*EF_far*(1/365)*ED_far*ET_far*(1/24)*GSF_a)),".")</f>
        <v>226.2257230506344</v>
      </c>
      <c r="BB11" s="15">
        <f>IFERROR(IF(AND(AZ11&lt;&gt;".",BA11&lt;&gt;"."),1/((1/AZ11)+(1/BA11)),IF(AND(AZ11&lt;&gt;".",BA11="."),1/((1/AZ11)),IF(AND(AZ11=".",BA11&lt;&gt;"."),1/((1/BA11)),IF(AND(AZ11=".",BA11="."),".")))),".")</f>
        <v>226.2257230506344</v>
      </c>
    </row>
    <row r="12" spans="1:54" customFormat="1" x14ac:dyDescent="0.25">
      <c r="A12" s="44" t="s">
        <v>22</v>
      </c>
      <c r="B12" s="42" t="s">
        <v>1074</v>
      </c>
      <c r="C12" s="15" t="str">
        <f>dir!AB12</f>
        <v>.</v>
      </c>
      <c r="D12" s="15" t="str">
        <f>IFERROR(TR/(RadSpec!E12*IFP_far_adj*CF_far_poultry),".")</f>
        <v>.</v>
      </c>
      <c r="E12" s="15" t="str">
        <f>IFERROR(TR/(RadSpec!E12*IFE_far_adj*CF_far_egg),".")</f>
        <v>.</v>
      </c>
      <c r="F12" s="15" t="str">
        <f>IFERROR(TR/(RadSpec!E12*IFB_far_adj*CF_far_beef),".")</f>
        <v>.</v>
      </c>
      <c r="G12" s="15" t="str">
        <f>IFERROR(TR/(RadSpec!E12*IFD_far_adj*CF_far_dairy),".")</f>
        <v>.</v>
      </c>
      <c r="H12" s="15" t="str">
        <f>IFERROR(TR/(RadSpec!E12*IFSW_far_adj*CF_far_swine),".")</f>
        <v>.</v>
      </c>
      <c r="I12" s="15" t="str">
        <f>IFERROR(TR/(RadSpec!E12*IFFI_far_adj*CF_far_fish),".")</f>
        <v>.</v>
      </c>
      <c r="J12" s="15" t="str">
        <f>IFERROR((TR/(RadSpec!D12*IFS_far_adj*(1/1000)))*1,".")</f>
        <v>.</v>
      </c>
      <c r="K12" s="15" t="str">
        <f>IFERROR(IF(A12="H-3",(TR/(RadSpec!G12*IFA_far_adj*(1/17)*1000))*1,(TR/(RadSpec!G12*IFA_far_adj*(1/PEF_wind)*1000))*1),".")</f>
        <v>.</v>
      </c>
      <c r="L12" s="15">
        <f>IFERROR((TR/(RadSpec!F12*EF_far*(1/365)*ED_far*RadSpec!Q12*((ET_far_o*(1/24)*RadSpec!V12)+(ET_far_i*(1/24)*RadSpec!AA12))))*1,".")</f>
        <v>8.004381690225322E-2</v>
      </c>
      <c r="M12" s="15" t="str">
        <f>b2s!AB12</f>
        <v>.</v>
      </c>
      <c r="N12" s="15" t="str">
        <f>IFERROR((D12/(RadSpec!AJ12*((Q_p_poultry*f_p_poultry*f_s_poultry*(RadSpec!BB12+R_es_past))+(Q_s_poultry*f_p_poultry))))*1,".")</f>
        <v>.</v>
      </c>
      <c r="O12" s="15" t="str">
        <f>IFERROR((E12/(RadSpec!AK12*((Q_p_poultry*f_p_poultry*f_s_poultry*(RadSpec!BB12+R_es_past))+(Q_s_poultry*f_p_poultry))))*1,".")</f>
        <v>.</v>
      </c>
      <c r="P12" s="15" t="str">
        <f>IFERROR((F12/(RadSpec!AH12*((Q_p_beef*f_p_beef*f_s_beef*(RadSpec!BB12+R_es_past))+(Q_s_beef*f_p_beef))))*1,".")</f>
        <v>.</v>
      </c>
      <c r="Q12" s="15" t="str">
        <f>IFERROR(((G12*D_milk)/(RadSpec!AG12*((Q_p_dairy*f_p_dairy*f_s_dairy*(RadSpec!BB12+R_es_past))+(Q_s_dairy*f_p_dairy))))*1,".")</f>
        <v>.</v>
      </c>
      <c r="R12" s="15" t="str">
        <f>IFERROR((H12/(RadSpec!AL12*((Q_p_swine*f_p_swine*f_s_swine*(RadSpec!BB12+R_es_past))+(Q_s_swine*f_p_swine))))*1,".")</f>
        <v>.</v>
      </c>
      <c r="S12" s="15" t="str">
        <f>IFERROR(((I12*RadSpec!AS12)/RadSpec!AI12)*1,".")</f>
        <v>.</v>
      </c>
      <c r="T12" s="120" t="str">
        <f t="shared" ref="T12" si="110">IFERROR(1/J12,".")</f>
        <v>.</v>
      </c>
      <c r="U12" s="120" t="str">
        <f t="shared" ref="U12" si="111">IFERROR(1/K12,".")</f>
        <v>.</v>
      </c>
      <c r="V12" s="120">
        <f t="shared" ref="V12" si="112">IFERROR(1/L12,".")</f>
        <v>12.493157356815779</v>
      </c>
      <c r="W12" s="120" t="str">
        <f t="shared" ref="W12" si="113">IFERROR(1/M12,".")</f>
        <v>.</v>
      </c>
      <c r="X12" s="120" t="str">
        <f t="shared" ref="X12" si="114">IFERROR(1/N12,".")</f>
        <v>.</v>
      </c>
      <c r="Y12" s="120" t="str">
        <f t="shared" ref="Y12" si="115">IFERROR(1/O12,".")</f>
        <v>.</v>
      </c>
      <c r="Z12" s="120" t="str">
        <f t="shared" ref="Z12" si="116">IFERROR(1/P12,".")</f>
        <v>.</v>
      </c>
      <c r="AA12" s="120" t="str">
        <f t="shared" ref="AA12" si="117">IFERROR(1/Q12,".")</f>
        <v>.</v>
      </c>
      <c r="AB12" s="120" t="str">
        <f t="shared" ref="AB12" si="118">IFERROR(1/R12,".")</f>
        <v>.</v>
      </c>
      <c r="AC12" s="120" t="str">
        <f t="shared" ref="AC12" si="119">IFERROR(1/S12,".")</f>
        <v>.</v>
      </c>
      <c r="AD12" s="15">
        <f t="shared" ref="AD12" si="120">IFERROR(1/(SUMIF(T12:AC12,"&lt;&gt;0")),".")</f>
        <v>8.004381690225322E-2</v>
      </c>
      <c r="AE12" s="15" t="str">
        <f>IFERROR(TR/(RadSpec!H12*IFW_far_adj),".")</f>
        <v>.</v>
      </c>
      <c r="AF12" s="15" t="str">
        <f>IFERROR(IF(RadSpec!C12=1,TR/(RadSpec!G12*IFA_far_adj*K),"."),".")</f>
        <v>.</v>
      </c>
      <c r="AG12" s="15">
        <f>IFERROR((TR/(RadSpec!L12*(1/8760)*DFA_far_adj)),".")</f>
        <v>846360.1251848347</v>
      </c>
      <c r="AH12" s="15" t="str">
        <f>b2w!AB12</f>
        <v>.</v>
      </c>
      <c r="AI12" s="15" t="str">
        <f>IFERROR(D12/(RadSpec!AJ12*Q_w_poultry*(1/1000)),".")</f>
        <v>.</v>
      </c>
      <c r="AJ12" s="15" t="str">
        <f>IFERROR(E12/(RadSpec!AK12*Q_w_poultry*(1/1000)),".")</f>
        <v>.</v>
      </c>
      <c r="AK12" s="15" t="str">
        <f>IFERROR(F12/(RadSpec!AH12*Q_w_beef*(1/1000)),".")</f>
        <v>.</v>
      </c>
      <c r="AL12" s="15" t="str">
        <f>IFERROR((G12*D_milk)/(RadSpec!AG12*Q_w_dairy*(1/1000)),".")</f>
        <v>.</v>
      </c>
      <c r="AM12" s="15" t="str">
        <f>IFERROR(H12/(RadSpec!AL12*Q_w_swine*(1/1000)),".")</f>
        <v>.</v>
      </c>
      <c r="AN12" s="15" t="str">
        <f>IFERROR(I12/(RadSpec!AI12*(1/1000)),".")</f>
        <v>.</v>
      </c>
      <c r="AO12" s="120" t="str">
        <f t="shared" ref="AO12" si="121">IFERROR(1/AE12,".")</f>
        <v>.</v>
      </c>
      <c r="AP12" s="120" t="str">
        <f t="shared" ref="AP12" si="122">IFERROR(1/AF12,".")</f>
        <v>.</v>
      </c>
      <c r="AQ12" s="120">
        <f t="shared" ref="AQ12" si="123">IFERROR(1/AG12,".")</f>
        <v>1.181530143308219E-6</v>
      </c>
      <c r="AR12" s="120" t="str">
        <f t="shared" ref="AR12" si="124">IFERROR(1/AH12,".")</f>
        <v>.</v>
      </c>
      <c r="AS12" s="120" t="str">
        <f t="shared" ref="AS12" si="125">IFERROR(1/AI12,".")</f>
        <v>.</v>
      </c>
      <c r="AT12" s="120" t="str">
        <f t="shared" ref="AT12" si="126">IFERROR(1/AJ12,".")</f>
        <v>.</v>
      </c>
      <c r="AU12" s="120" t="str">
        <f t="shared" ref="AU12" si="127">IFERROR(1/AK12,".")</f>
        <v>.</v>
      </c>
      <c r="AV12" s="120" t="str">
        <f t="shared" ref="AV12" si="128">IFERROR(1/AL12,".")</f>
        <v>.</v>
      </c>
      <c r="AW12" s="120" t="str">
        <f t="shared" ref="AW12" si="129">IFERROR(1/AM12,".")</f>
        <v>.</v>
      </c>
      <c r="AX12" s="120" t="str">
        <f t="shared" ref="AX12" si="130">IFERROR(1/AN12,".")</f>
        <v>.</v>
      </c>
      <c r="AY12" s="15">
        <f>IFERROR(1/(SUMIF(AO12:AX12,"&lt;&gt;0")),".")</f>
        <v>846360.12518483482</v>
      </c>
      <c r="AZ12" s="15" t="str">
        <f>IFERROR((TR/(RadSpec!G12*IFA_far_adj)),".")</f>
        <v>.</v>
      </c>
      <c r="BA12" s="15">
        <f>IFERROR((TR/(RadSpec!J12*EF_far*(1/365)*ED_far*ET_far*(1/24)*GSF_a)),".")</f>
        <v>52.537597329641464</v>
      </c>
      <c r="BB12" s="15">
        <f>IFERROR(IF(AND(AZ12&lt;&gt;".",BA12&lt;&gt;"."),1/((1/AZ12)+(1/BA12)),IF(AND(AZ12&lt;&gt;".",BA12="."),1/((1/AZ12)),IF(AND(AZ12=".",BA12&lt;&gt;"."),1/((1/BA12)),IF(AND(AZ12=".",BA12="."),".")))),".")</f>
        <v>52.537597329641464</v>
      </c>
    </row>
    <row r="13" spans="1:54" customFormat="1" x14ac:dyDescent="0.25">
      <c r="A13" s="44" t="s">
        <v>23</v>
      </c>
      <c r="B13" s="42" t="s">
        <v>1074</v>
      </c>
      <c r="C13" s="15">
        <f>dir!AB13</f>
        <v>6.1473967878488539E-4</v>
      </c>
      <c r="D13" s="15">
        <f>IFERROR(TR/(RadSpec!E13*IFP_far_adj*CF_far_poultry),".")</f>
        <v>8.7651280851673129E-3</v>
      </c>
      <c r="E13" s="15">
        <f>IFERROR(TR/(RadSpec!E13*IFE_far_adj*CF_far_egg),".")</f>
        <v>1.5552309284021943E-2</v>
      </c>
      <c r="F13" s="15">
        <f>IFERROR(TR/(RadSpec!E13*IFB_far_adj*CF_far_beef),".")</f>
        <v>5.7484156676610044E-3</v>
      </c>
      <c r="G13" s="15">
        <f>IFERROR(TR/(RadSpec!E13*IFD_far_adj*CF_far_dairy),".")</f>
        <v>1.1901362558245602E-3</v>
      </c>
      <c r="H13" s="15">
        <f>IFERROR(TR/(RadSpec!E13*IFSW_far_adj*CF_far_swine),".")</f>
        <v>1.0299130245866109E-2</v>
      </c>
      <c r="I13" s="15">
        <f>IFERROR(TR/(RadSpec!E13*IFFI_far_adj*CF_far_fish),".")</f>
        <v>1.2042803909424794E-3</v>
      </c>
      <c r="J13" s="15">
        <f>IFERROR((TR/(RadSpec!D13*IFS_far_adj*(1/1000)))*1,".")</f>
        <v>4.9812977177188245</v>
      </c>
      <c r="K13" s="15">
        <f>IFERROR(IF(A13="H-3",(TR/(RadSpec!G13*IFA_far_adj*(1/17)*1000))*1,(TR/(RadSpec!G13*IFA_far_adj*(1/PEF_wind)*1000))*1),".")</f>
        <v>183.03170918682395</v>
      </c>
      <c r="L13" s="15">
        <f>IFERROR((TR/(RadSpec!F13*EF_far*(1/365)*ED_far*RadSpec!Q13*((ET_far_o*(1/24)*RadSpec!V13)+(ET_far_i*(1/24)*RadSpec!AA13))))*1,".")</f>
        <v>0.74803928211135051</v>
      </c>
      <c r="M13" s="15">
        <f>b2s!AB13</f>
        <v>6.0195458726931626E-2</v>
      </c>
      <c r="N13" s="15" t="str">
        <f>IFERROR((D13/(RadSpec!AJ13*((Q_p_poultry*f_p_poultry*f_s_poultry*(RadSpec!BB13+R_es_past))+(Q_s_poultry*f_p_poultry))))*1,".")</f>
        <v>.</v>
      </c>
      <c r="O13" s="15" t="str">
        <f>IFERROR((E13/(RadSpec!AK13*((Q_p_poultry*f_p_poultry*f_s_poultry*(RadSpec!BB13+R_es_past))+(Q_s_poultry*f_p_poultry))))*1,".")</f>
        <v>.</v>
      </c>
      <c r="P13" s="15">
        <f>IFERROR((F13/(RadSpec!AH13*((Q_p_beef*f_p_beef*f_s_beef*(RadSpec!BB13+R_es_past))+(Q_s_beef*f_p_beef))))*1,".")</f>
        <v>1.6510212349196771</v>
      </c>
      <c r="Q13" s="15">
        <f>IFERROR(((G13*D_milk)/(RadSpec!AG13*((Q_p_dairy*f_p_dairy*f_s_dairy*(RadSpec!BB13+R_es_past))+(Q_s_dairy*f_p_dairy))))*1,".")</f>
        <v>22.116436315238694</v>
      </c>
      <c r="R13" s="15" t="str">
        <f>IFERROR((H13/(RadSpec!AL13*((Q_p_swine*f_p_swine*f_s_swine*(RadSpec!BB13+R_es_past))+(Q_s_swine*f_p_swine))))*1,".")</f>
        <v>.</v>
      </c>
      <c r="S13" s="15">
        <f>IFERROR(((I13*RadSpec!AS13)/RadSpec!AI13)*1,".")</f>
        <v>8.0285359396165302E-6</v>
      </c>
      <c r="T13" s="120">
        <f t="shared" ref="T13:T14" si="131">IFERROR(1/J13,".")</f>
        <v>0.20075090000000001</v>
      </c>
      <c r="U13" s="120">
        <f t="shared" ref="U13:U14" si="132">IFERROR(1/K13,".")</f>
        <v>5.4635341845564091E-3</v>
      </c>
      <c r="V13" s="120">
        <f t="shared" ref="V13:V14" si="133">IFERROR(1/L13,".")</f>
        <v>1.3368281905964712</v>
      </c>
      <c r="W13" s="120">
        <f t="shared" ref="W13:W14" si="134">IFERROR(1/M13,".")</f>
        <v>16.612548872438396</v>
      </c>
      <c r="X13" s="120" t="str">
        <f t="shared" ref="X13:X14" si="135">IFERROR(1/N13,".")</f>
        <v>.</v>
      </c>
      <c r="Y13" s="120" t="str">
        <f t="shared" ref="Y13:Y14" si="136">IFERROR(1/O13,".")</f>
        <v>.</v>
      </c>
      <c r="Z13" s="120">
        <f t="shared" ref="Z13:Z14" si="137">IFERROR(1/P13,".")</f>
        <v>0.60568572883840011</v>
      </c>
      <c r="AA13" s="120">
        <f t="shared" ref="AA13:AA14" si="138">IFERROR(1/Q13,".")</f>
        <v>4.5215241087958588E-2</v>
      </c>
      <c r="AB13" s="120" t="str">
        <f t="shared" ref="AB13:AB14" si="139">IFERROR(1/R13,".")</f>
        <v>.</v>
      </c>
      <c r="AC13" s="120">
        <f t="shared" ref="AC13:AC14" si="140">IFERROR(1/S13,".")</f>
        <v>124555.71072</v>
      </c>
      <c r="AD13" s="15">
        <f t="shared" ref="AD13:AD14" si="141">IFERROR(1/(SUMIF(T13:AC13,"&lt;&gt;0")),".")</f>
        <v>8.0273239052129534E-6</v>
      </c>
      <c r="AE13" s="15">
        <f>IFERROR(TR/(RadSpec!H13*IFW_far_adj),".")</f>
        <v>0.51253715074283446</v>
      </c>
      <c r="AF13" s="15" t="str">
        <f>IFERROR(IF(RadSpec!C13=1,TR/(RadSpec!G13*IFA_far_adj*K),"."),".")</f>
        <v>.</v>
      </c>
      <c r="AG13" s="15">
        <f>IFERROR((TR/(RadSpec!L13*(1/8760)*DFA_far_adj)),".")</f>
        <v>5325735.4816052523</v>
      </c>
      <c r="AH13" s="15">
        <f>b2w!AB13</f>
        <v>0.15340794392092796</v>
      </c>
      <c r="AI13" s="15" t="str">
        <f>IFERROR(D13/(RadSpec!AJ13*Q_w_poultry*(1/1000)),".")</f>
        <v>.</v>
      </c>
      <c r="AJ13" s="15" t="str">
        <f>IFERROR(E13/(RadSpec!AK13*Q_w_poultry*(1/1000)),".")</f>
        <v>.</v>
      </c>
      <c r="AK13" s="15">
        <f>IFERROR(F13/(RadSpec!AH13*Q_w_beef*(1/1000)),".")</f>
        <v>108.46067297473593</v>
      </c>
      <c r="AL13" s="15">
        <f>IFERROR((G13*D_milk)/(RadSpec!AG13*Q_w_dairy*(1/1000)),".")</f>
        <v>1332.4351559774966</v>
      </c>
      <c r="AM13" s="15" t="str">
        <f>IFERROR(H13/(RadSpec!AL13*Q_w_swine*(1/1000)),".")</f>
        <v>.</v>
      </c>
      <c r="AN13" s="15">
        <f>IFERROR(I13/(RadSpec!AI13*(1/1000)),".")</f>
        <v>4.0142679698082648E-2</v>
      </c>
      <c r="AO13" s="120">
        <f t="shared" ref="AO13:AO14" si="142">IFERROR(1/AE13,".")</f>
        <v>1.95107808</v>
      </c>
      <c r="AP13" s="120" t="str">
        <f t="shared" ref="AP13:AP14" si="143">IFERROR(1/AF13,".")</f>
        <v>.</v>
      </c>
      <c r="AQ13" s="120">
        <f t="shared" ref="AQ13:AQ14" si="144">IFERROR(1/AG13,".")</f>
        <v>1.8776749304465751E-7</v>
      </c>
      <c r="AR13" s="120">
        <f t="shared" ref="AR13:AR14" si="145">IFERROR(1/AH13,".")</f>
        <v>6.5185672556529175</v>
      </c>
      <c r="AS13" s="120" t="str">
        <f t="shared" ref="AS13:AS14" si="146">IFERROR(1/AI13,".")</f>
        <v>.</v>
      </c>
      <c r="AT13" s="120" t="str">
        <f t="shared" ref="AT13:AT14" si="147">IFERROR(1/AJ13,".")</f>
        <v>.</v>
      </c>
      <c r="AU13" s="120">
        <f t="shared" ref="AU13:AU14" si="148">IFERROR(1/AK13,".")</f>
        <v>9.2199317280000012E-3</v>
      </c>
      <c r="AV13" s="120">
        <f t="shared" ref="AV13:AV14" si="149">IFERROR(1/AL13,".")</f>
        <v>7.5050556532815543E-4</v>
      </c>
      <c r="AW13" s="120" t="str">
        <f t="shared" ref="AW13:AW14" si="150">IFERROR(1/AM13,".")</f>
        <v>.</v>
      </c>
      <c r="AX13" s="120">
        <f t="shared" ref="AX13:AX14" si="151">IFERROR(1/AN13,".")</f>
        <v>24.911142144000003</v>
      </c>
      <c r="AY13" s="15">
        <f>IFERROR(1/(SUMIF(AO13:AX13,"&lt;&gt;0")),".")</f>
        <v>2.9948406587954376E-2</v>
      </c>
      <c r="AZ13" s="15">
        <f>IFERROR((TR/(RadSpec!G13*IFA_far_adj)),".")</f>
        <v>1.3464703961652523E-4</v>
      </c>
      <c r="BA13" s="15">
        <f>IFERROR((TR/(RadSpec!J13*EF_far*(1/365)*ED_far*ET_far*(1/24)*GSF_a)),".")</f>
        <v>339.85508166054217</v>
      </c>
      <c r="BB13" s="15">
        <f>IFERROR(IF(AND(AZ13&lt;&gt;".",BA13&lt;&gt;"."),1/((1/AZ13)+(1/BA13)),IF(AND(AZ13&lt;&gt;".",BA13="."),1/((1/AZ13)),IF(AND(AZ13=".",BA13&lt;&gt;"."),1/((1/BA13)),IF(AND(AZ13=".",BA13="."),".")))),".")</f>
        <v>1.3464698627079326E-4</v>
      </c>
    </row>
    <row r="14" spans="1:54" customFormat="1" x14ac:dyDescent="0.25">
      <c r="A14" s="44" t="s">
        <v>24</v>
      </c>
      <c r="B14" s="42" t="s">
        <v>1074</v>
      </c>
      <c r="C14" s="15">
        <f>dir!AB14</f>
        <v>5.6901523986700149E-3</v>
      </c>
      <c r="D14" s="15">
        <f>IFERROR(TR/(RadSpec!E14*IFP_far_adj*CF_far_poultry),".")</f>
        <v>8.1131764094110673E-2</v>
      </c>
      <c r="E14" s="15">
        <f>IFERROR(TR/(RadSpec!E14*IFE_far_adj*CF_far_egg),".")</f>
        <v>0.1439552594884676</v>
      </c>
      <c r="F14" s="15">
        <f>IFERROR(TR/(RadSpec!E14*IFB_far_adj*CF_far_beef),".")</f>
        <v>5.3208475601490293E-2</v>
      </c>
      <c r="G14" s="15">
        <f>IFERROR(TR/(RadSpec!E14*IFD_far_adj*CF_far_dairy),".")</f>
        <v>1.101613724399593E-2</v>
      </c>
      <c r="H14" s="15">
        <f>IFERROR(TR/(RadSpec!E14*IFSW_far_adj*CF_far_swine),".")</f>
        <v>9.5330792358430116E-2</v>
      </c>
      <c r="I14" s="15">
        <f>IFERROR(TR/(RadSpec!E14*IFFI_far_adj*CF_far_fish),".")</f>
        <v>1.1147058164095679E-2</v>
      </c>
      <c r="J14" s="15">
        <f>IFERROR((TR/(RadSpec!D14*IFS_far_adj*(1/1000)))*1,".")</f>
        <v>37.723535525196489</v>
      </c>
      <c r="K14" s="15">
        <f>IFERROR(IF(A14="H-3",(TR/(RadSpec!G14*IFA_far_adj*(1/17)*1000))*1,(TR/(RadSpec!G14*IFA_far_adj*(1/PEF_wind)*1000))*1),".")</f>
        <v>343461.43975735729</v>
      </c>
      <c r="L14" s="15">
        <f>IFERROR((TR/(RadSpec!F14*EF_far*(1/365)*ED_far*RadSpec!Q14*((ET_far_o*(1/24)*RadSpec!V14)+(ET_far_i*(1/24)*RadSpec!AA14))))*1,".")</f>
        <v>4.8165901449902376E-2</v>
      </c>
      <c r="M14" s="15">
        <f>b2s!AB14</f>
        <v>0.52638222937434087</v>
      </c>
      <c r="N14" s="15" t="str">
        <f>IFERROR((D14/(RadSpec!AJ14*((Q_p_poultry*f_p_poultry*f_s_poultry*(RadSpec!BB14+R_es_past))+(Q_s_poultry*f_p_poultry))))*1,".")</f>
        <v>.</v>
      </c>
      <c r="O14" s="15" t="str">
        <f>IFERROR((E14/(RadSpec!AK14*((Q_p_poultry*f_p_poultry*f_s_poultry*(RadSpec!BB14+R_es_past))+(Q_s_poultry*f_p_poultry))))*1,".")</f>
        <v>.</v>
      </c>
      <c r="P14" s="15">
        <f>IFERROR((F14/(RadSpec!AH14*((Q_p_beef*f_p_beef*f_s_beef*(RadSpec!BB14+R_es_past))+(Q_s_beef*f_p_beef))))*1,".")</f>
        <v>2303.6465245801619</v>
      </c>
      <c r="Q14" s="15">
        <f>IFERROR(((G14*D_milk)/(RadSpec!AG14*((Q_p_dairy*f_p_dairy*f_s_dairy*(RadSpec!BB14+R_es_past))+(Q_s_dairy*f_p_dairy))))*1,".")</f>
        <v>302.37498631088096</v>
      </c>
      <c r="R14" s="15" t="str">
        <f>IFERROR((H14/(RadSpec!AL14*((Q_p_swine*f_p_swine*f_s_swine*(RadSpec!BB14+R_es_past))+(Q_s_swine*f_p_swine))))*1,".")</f>
        <v>.</v>
      </c>
      <c r="S14" s="15">
        <f>IFERROR(((I14*RadSpec!AS14)/RadSpec!AI14)*1,".")</f>
        <v>2.2294116328191356</v>
      </c>
      <c r="T14" s="120">
        <f t="shared" si="131"/>
        <v>2.6508650000000002E-2</v>
      </c>
      <c r="U14" s="120">
        <f t="shared" si="132"/>
        <v>2.9115349912539316E-6</v>
      </c>
      <c r="V14" s="120">
        <f t="shared" si="133"/>
        <v>20.761575510843613</v>
      </c>
      <c r="W14" s="120">
        <f t="shared" si="134"/>
        <v>1.8997601822322199</v>
      </c>
      <c r="X14" s="120" t="str">
        <f t="shared" si="135"/>
        <v>.</v>
      </c>
      <c r="Y14" s="120" t="str">
        <f t="shared" si="136"/>
        <v>.</v>
      </c>
      <c r="Z14" s="120">
        <f t="shared" si="137"/>
        <v>4.3409437573425002E-4</v>
      </c>
      <c r="AA14" s="120">
        <f t="shared" si="138"/>
        <v>3.3071518653063105E-3</v>
      </c>
      <c r="AB14" s="120" t="str">
        <f t="shared" si="139"/>
        <v>.</v>
      </c>
      <c r="AC14" s="120">
        <f t="shared" si="140"/>
        <v>0.44854883920000005</v>
      </c>
      <c r="AD14" s="15">
        <f t="shared" si="141"/>
        <v>4.3214955266024299E-2</v>
      </c>
      <c r="AE14" s="15">
        <f>IFERROR(TR/(RadSpec!H14*IFW_far_adj),".")</f>
        <v>5.1871229713732632</v>
      </c>
      <c r="AF14" s="15" t="str">
        <f>IFERROR(IF(RadSpec!C14=1,TR/(RadSpec!G14*IFA_far_adj*K),"."),".")</f>
        <v>.</v>
      </c>
      <c r="AG14" s="15">
        <f>IFERROR((TR/(RadSpec!L14*(1/8760)*DFA_far_adj)),".")</f>
        <v>489301.94737248251</v>
      </c>
      <c r="AH14" s="15">
        <f>b2w!AB14</f>
        <v>1.4124456230011788</v>
      </c>
      <c r="AI14" s="15" t="str">
        <f>IFERROR(D14/(RadSpec!AJ14*Q_w_poultry*(1/1000)),".")</f>
        <v>.</v>
      </c>
      <c r="AJ14" s="15" t="str">
        <f>IFERROR(E14/(RadSpec!AK14*Q_w_poultry*(1/1000)),".")</f>
        <v>.</v>
      </c>
      <c r="AK14" s="15">
        <f>IFERROR(F14/(RadSpec!AH14*Q_w_beef*(1/1000)),".")</f>
        <v>200786.70038298221</v>
      </c>
      <c r="AL14" s="15">
        <f>IFERROR((G14*D_milk)/(RadSpec!AG14*Q_w_dairy*(1/1000)),".")</f>
        <v>24666.568176773493</v>
      </c>
      <c r="AM14" s="15" t="str">
        <f>IFERROR(H14/(RadSpec!AL14*Q_w_swine*(1/1000)),".")</f>
        <v>.</v>
      </c>
      <c r="AN14" s="15">
        <f>IFERROR(I14/(RadSpec!AI14*(1/1000)),".")</f>
        <v>1.114705816409568</v>
      </c>
      <c r="AO14" s="120">
        <f t="shared" si="142"/>
        <v>0.19278509600000004</v>
      </c>
      <c r="AP14" s="120" t="str">
        <f t="shared" si="143"/>
        <v>.</v>
      </c>
      <c r="AQ14" s="120">
        <f t="shared" si="144"/>
        <v>2.0437278154520549E-6</v>
      </c>
      <c r="AR14" s="120">
        <f t="shared" si="145"/>
        <v>0.70799185732558667</v>
      </c>
      <c r="AS14" s="120" t="str">
        <f t="shared" si="146"/>
        <v>.</v>
      </c>
      <c r="AT14" s="120" t="str">
        <f t="shared" si="147"/>
        <v>.</v>
      </c>
      <c r="AU14" s="120">
        <f t="shared" si="148"/>
        <v>4.9804095495000006E-6</v>
      </c>
      <c r="AV14" s="120">
        <f t="shared" si="149"/>
        <v>4.0540702412815536E-5</v>
      </c>
      <c r="AW14" s="120" t="str">
        <f t="shared" si="150"/>
        <v>.</v>
      </c>
      <c r="AX14" s="120">
        <f t="shared" si="151"/>
        <v>0.89709767839999988</v>
      </c>
      <c r="AY14" s="15">
        <f>IFERROR(1/(SUMIF(AO14:AX14,"&lt;&gt;0")),".")</f>
        <v>0.55619759403957314</v>
      </c>
      <c r="AZ14" s="15">
        <f>IFERROR((TR/(RadSpec!G14*IFA_far_adj)),".")</f>
        <v>0.25266696296079189</v>
      </c>
      <c r="BA14" s="15">
        <f>IFERROR((TR/(RadSpec!J14*EF_far*(1/365)*ED_far*ET_far*(1/24)*GSF_a)),".")</f>
        <v>30.545114726535733</v>
      </c>
      <c r="BB14" s="15">
        <f>IFERROR(IF(AND(AZ14&lt;&gt;".",BA14&lt;&gt;"."),1/((1/AZ14)+(1/BA14)),IF(AND(AZ14&lt;&gt;".",BA14="."),1/((1/AZ14)),IF(AND(AZ14=".",BA14&lt;&gt;"."),1/((1/BA14)),IF(AND(AZ14=".",BA14="."),".")))),".")</f>
        <v>0.25059406710045129</v>
      </c>
    </row>
    <row r="15" spans="1:54" customFormat="1" x14ac:dyDescent="0.25">
      <c r="A15" s="44" t="s">
        <v>25</v>
      </c>
      <c r="B15" s="42" t="s">
        <v>1074</v>
      </c>
      <c r="C15" s="15">
        <f>dir!AB15</f>
        <v>0.14618013593186235</v>
      </c>
      <c r="D15" s="15">
        <f>IFERROR(TR/(RadSpec!E15*IFP_far_adj*CF_far_poultry),".")</f>
        <v>2.0842767421204651</v>
      </c>
      <c r="E15" s="15">
        <f>IFERROR(TR/(RadSpec!E15*IFE_far_adj*CF_far_egg),".")</f>
        <v>3.6982136726336683</v>
      </c>
      <c r="F15" s="15">
        <f>IFERROR(TR/(RadSpec!E15*IFB_far_adj*CF_far_beef),".")</f>
        <v>1.3669268678939119</v>
      </c>
      <c r="G15" s="15">
        <f>IFERROR(TR/(RadSpec!E15*IFD_far_adj*CF_far_dairy),".")</f>
        <v>0.28300479968651959</v>
      </c>
      <c r="H15" s="15">
        <f>IFERROR(TR/(RadSpec!E15*IFSW_far_adj*CF_far_swine),".")</f>
        <v>2.4490500796963999</v>
      </c>
      <c r="I15" s="15">
        <f>IFERROR(TR/(RadSpec!E15*IFFI_far_adj*CF_far_fish),".")</f>
        <v>0.28636816090351958</v>
      </c>
      <c r="J15" s="15">
        <f>IFERROR((TR/(RadSpec!D15*IFS_far_adj*(1/1000)))*1,".")</f>
        <v>993.31203010132788</v>
      </c>
      <c r="K15" s="15">
        <f>IFERROR(IF(A15="H-3",(TR/(RadSpec!G15*IFA_far_adj*(1/17)*1000))*1,(TR/(RadSpec!G15*IFA_far_adj*(1/PEF_wind)*1000))*1),".")</f>
        <v>25240137.832702592</v>
      </c>
      <c r="L15" s="15">
        <f>IFERROR((TR/(RadSpec!F15*EF_far*(1/365)*ED_far*RadSpec!Q15*((ET_far_o*(1/24)*RadSpec!V15)+(ET_far_i*(1/24)*RadSpec!AA15))))*1,".")</f>
        <v>80.043816902253226</v>
      </c>
      <c r="M15" s="15">
        <f>b2s!AB15</f>
        <v>8.3665727075856235</v>
      </c>
      <c r="N15" s="15" t="str">
        <f>IFERROR((D15/(RadSpec!AJ15*((Q_p_poultry*f_p_poultry*f_s_poultry*(RadSpec!BB15+R_es_past))+(Q_s_poultry*f_p_poultry))))*1,".")</f>
        <v>.</v>
      </c>
      <c r="O15" s="15" t="str">
        <f>IFERROR((E15/(RadSpec!AK15*((Q_p_poultry*f_p_poultry*f_s_poultry*(RadSpec!BB15+R_es_past))+(Q_s_poultry*f_p_poultry))))*1,".")</f>
        <v>.</v>
      </c>
      <c r="P15" s="15">
        <f>IFERROR((F15/(RadSpec!AH15*((Q_p_beef*f_p_beef*f_s_beef*(RadSpec!BB15+R_es_past))+(Q_s_beef*f_p_beef))))*1,".")</f>
        <v>543.74291162919849</v>
      </c>
      <c r="Q15" s="15">
        <f>IFERROR(((G15*D_milk)/(RadSpec!AG15*((Q_p_dairy*f_p_dairy*f_s_dairy*(RadSpec!BB15+R_es_past))+(Q_s_dairy*f_p_dairy))))*1,".")</f>
        <v>267.66802804712069</v>
      </c>
      <c r="R15" s="15" t="str">
        <f>IFERROR((H15/(RadSpec!AL15*((Q_p_swine*f_p_swine*f_s_swine*(RadSpec!BB15+R_es_past))+(Q_s_swine*f_p_swine))))*1,".")</f>
        <v>.</v>
      </c>
      <c r="S15" s="15">
        <f>IFERROR(((I15*RadSpec!AS15)/RadSpec!AI15)*1,".")</f>
        <v>1.7182089654211175</v>
      </c>
      <c r="T15" s="120">
        <f t="shared" ref="T15:T21" si="152">IFERROR(1/J15,".")</f>
        <v>1.0067329999999999E-3</v>
      </c>
      <c r="U15" s="120">
        <f t="shared" ref="U15:U21" si="153">IFERROR(1/K15,".")</f>
        <v>3.9619434989944536E-8</v>
      </c>
      <c r="V15" s="120">
        <f t="shared" ref="V15:V21" si="154">IFERROR(1/L15,".")</f>
        <v>1.2493157356815778E-2</v>
      </c>
      <c r="W15" s="120">
        <f t="shared" ref="W15:W21" si="155">IFERROR(1/M15,".")</f>
        <v>0.11952325461695225</v>
      </c>
      <c r="X15" s="120" t="str">
        <f t="shared" ref="X15:X21" si="156">IFERROR(1/N15,".")</f>
        <v>.</v>
      </c>
      <c r="Y15" s="120" t="str">
        <f t="shared" ref="Y15:Y21" si="157">IFERROR(1/O15,".")</f>
        <v>.</v>
      </c>
      <c r="Z15" s="120">
        <f t="shared" ref="Z15:Z21" si="158">IFERROR(1/P15,".")</f>
        <v>1.8391044344904356E-3</v>
      </c>
      <c r="AA15" s="120">
        <f t="shared" ref="AA15:AA21" si="159">IFERROR(1/Q15,".")</f>
        <v>3.7359710358233688E-3</v>
      </c>
      <c r="AB15" s="120" t="str">
        <f t="shared" ref="AB15:AB21" si="160">IFERROR(1/R15,".")</f>
        <v>.</v>
      </c>
      <c r="AC15" s="120">
        <f t="shared" ref="AC15:AC21" si="161">IFERROR(1/S15,".")</f>
        <v>0.58200138639999999</v>
      </c>
      <c r="AD15" s="15">
        <f t="shared" ref="AD15:AD21" si="162">IFERROR(1/(SUMIF(T15:AC15,"&lt;&gt;0")),".")</f>
        <v>1.3877331260259353</v>
      </c>
      <c r="AE15" s="15">
        <f>IFERROR(TR/(RadSpec!H15*IFW_far_adj),".")</f>
        <v>132.26765180460242</v>
      </c>
      <c r="AF15" s="15" t="str">
        <f>IFERROR(IF(RadSpec!C15=1,TR/(RadSpec!G15*IFA_far_adj*K),"."),".")</f>
        <v>.</v>
      </c>
      <c r="AG15" s="15">
        <f>IFERROR((TR/(RadSpec!L15*(1/8760)*DFA_far_adj)),".")</f>
        <v>393408600.90249848</v>
      </c>
      <c r="AH15" s="15">
        <f>b2w!AB15</f>
        <v>34.260507562973139</v>
      </c>
      <c r="AI15" s="15" t="str">
        <f>IFERROR(D15/(RadSpec!AJ15*Q_w_poultry*(1/1000)),".")</f>
        <v>.</v>
      </c>
      <c r="AJ15" s="15" t="str">
        <f>IFERROR(E15/(RadSpec!AK15*Q_w_poultry*(1/1000)),".")</f>
        <v>.</v>
      </c>
      <c r="AK15" s="15">
        <f>IFERROR(F15/(RadSpec!AH15*Q_w_beef*(1/1000)),".")</f>
        <v>36844.389970186305</v>
      </c>
      <c r="AL15" s="15">
        <f>IFERROR((G15*D_milk)/(RadSpec!AG15*Q_w_dairy*(1/1000)),".")</f>
        <v>16675.91210967478</v>
      </c>
      <c r="AM15" s="15" t="str">
        <f>IFERROR(H15/(RadSpec!AL15*Q_w_swine*(1/1000)),".")</f>
        <v>.</v>
      </c>
      <c r="AN15" s="15">
        <f>IFERROR(I15/(RadSpec!AI15*(1/1000)),".")</f>
        <v>11.454726436140783</v>
      </c>
      <c r="AO15" s="120">
        <f t="shared" ref="AO15:AO21" si="163">IFERROR(1/AE15,".")</f>
        <v>7.560427560000001E-3</v>
      </c>
      <c r="AP15" s="120" t="str">
        <f t="shared" ref="AP15:AP21" si="164">IFERROR(1/AF15,".")</f>
        <v>.</v>
      </c>
      <c r="AQ15" s="120">
        <f t="shared" ref="AQ15:AQ21" si="165">IFERROR(1/AG15,".")</f>
        <v>2.5418864704684932E-9</v>
      </c>
      <c r="AR15" s="120">
        <f t="shared" ref="AR15:AR21" si="166">IFERROR(1/AH15,".")</f>
        <v>2.9188125662234634E-2</v>
      </c>
      <c r="AS15" s="120" t="str">
        <f t="shared" ref="AS15:AS21" si="167">IFERROR(1/AI15,".")</f>
        <v>.</v>
      </c>
      <c r="AT15" s="120" t="str">
        <f t="shared" ref="AT15:AT21" si="168">IFERROR(1/AJ15,".")</f>
        <v>.</v>
      </c>
      <c r="AU15" s="120">
        <f t="shared" ref="AU15:AU21" si="169">IFERROR(1/AK15,".")</f>
        <v>2.7141174024299999E-5</v>
      </c>
      <c r="AV15" s="120">
        <f t="shared" ref="AV15:AV21" si="170">IFERROR(1/AL15,".")</f>
        <v>5.9966734858229133E-5</v>
      </c>
      <c r="AW15" s="120" t="str">
        <f t="shared" ref="AW15:AW21" si="171">IFERROR(1/AM15,".")</f>
        <v>.</v>
      </c>
      <c r="AX15" s="120">
        <f t="shared" ref="AX15:AX21" si="172">IFERROR(1/AN15,".")</f>
        <v>8.7300207960000001E-2</v>
      </c>
      <c r="AY15" s="15">
        <f t="shared" ref="AY15:AY16" si="173">IFERROR(1/(SUMIF(AO15:AX15,"&lt;&gt;0")),".")</f>
        <v>8.0556891964025414</v>
      </c>
      <c r="AZ15" s="15">
        <f>IFERROR((TR/(RadSpec!G15*IFA_far_adj)),".")</f>
        <v>18.567874680214778</v>
      </c>
      <c r="BA15" s="15">
        <f>IFERROR((TR/(RadSpec!J15*EF_far*(1/365)*ED_far*ET_far*(1/24)*GSF_a)),".")</f>
        <v>15293.478674724396</v>
      </c>
      <c r="BB15" s="15">
        <f t="shared" ref="BB15:BB16" si="174">IFERROR(IF(AND(AZ15&lt;&gt;".",BA15&lt;&gt;"."),1/((1/AZ15)+(1/BA15)),IF(AND(AZ15&lt;&gt;".",BA15="."),1/((1/AZ15)),IF(AND(AZ15=".",BA15&lt;&gt;"."),1/((1/BA15)),IF(AND(AZ15=".",BA15="."),".")))),".")</f>
        <v>18.545358684784137</v>
      </c>
    </row>
    <row r="16" spans="1:54" customFormat="1" x14ac:dyDescent="0.25">
      <c r="A16" s="44" t="s">
        <v>26</v>
      </c>
      <c r="B16" s="42" t="s">
        <v>1074</v>
      </c>
      <c r="C16" s="15">
        <f>dir!AB16</f>
        <v>4.3302417625098843E-5</v>
      </c>
      <c r="D16" s="15">
        <f>IFERROR(TR/(RadSpec!E16*IFP_far_adj*CF_far_poultry),".")</f>
        <v>6.1741782738285471E-4</v>
      </c>
      <c r="E16" s="15">
        <f>IFERROR(TR/(RadSpec!E16*IFE_far_adj*CF_far_egg),".")</f>
        <v>1.0955085784971432E-3</v>
      </c>
      <c r="F16" s="15">
        <f>IFERROR(TR/(RadSpec!E16*IFB_far_adj*CF_far_beef),".")</f>
        <v>4.0491984577234745E-4</v>
      </c>
      <c r="G16" s="15">
        <f>IFERROR(TR/(RadSpec!E16*IFD_far_adj*CF_far_dairy),".")</f>
        <v>8.3833497265629385E-5</v>
      </c>
      <c r="H16" s="15">
        <f>IFERROR(TR/(RadSpec!E16*IFSW_far_adj*CF_far_swine),".")</f>
        <v>7.2547332549497128E-4</v>
      </c>
      <c r="I16" s="15">
        <f>IFERROR(TR/(RadSpec!E16*IFFI_far_adj*CF_far_fish),".")</f>
        <v>8.4829813701608613E-5</v>
      </c>
      <c r="J16" s="15">
        <f>IFERROR((TR/(RadSpec!D16*IFS_far_adj*(1/1000)))*1,".")</f>
        <v>0.36178821786018189</v>
      </c>
      <c r="K16" s="15">
        <f>IFERROR(IF(A16="H-3",(TR/(RadSpec!G16*IFA_far_adj*(1/17)*1000))*1,(TR/(RadSpec!G16*IFA_far_adj*(1/PEF_wind)*1000))*1),".")</f>
        <v>330.6516890904162</v>
      </c>
      <c r="L16" s="15">
        <f>IFERROR((TR/(RadSpec!F16*EF_far*(1/365)*ED_far*RadSpec!Q16*((ET_far_o*(1/24)*RadSpec!V16)+(ET_far_i*(1/24)*RadSpec!AA16))))*1,".")</f>
        <v>26.093023777584907</v>
      </c>
      <c r="M16" s="15">
        <f>b2s!AB16</f>
        <v>2.4783998397942325E-3</v>
      </c>
      <c r="N16" s="15" t="str">
        <f>IFERROR((D16/(RadSpec!AJ16*((Q_p_poultry*f_p_poultry*f_s_poultry*(RadSpec!BB16+R_es_past))+(Q_s_poultry*f_p_poultry))))*1,".")</f>
        <v>.</v>
      </c>
      <c r="O16" s="15" t="str">
        <f>IFERROR((E16/(RadSpec!AK16*((Q_p_poultry*f_p_poultry*f_s_poultry*(RadSpec!BB16+R_es_past))+(Q_s_poultry*f_p_poultry))))*1,".")</f>
        <v>.</v>
      </c>
      <c r="P16" s="15">
        <f>IFERROR((F16/(RadSpec!AH16*((Q_p_beef*f_p_beef*f_s_beef*(RadSpec!BB16+R_es_past))+(Q_s_beef*f_p_beef))))*1,".")</f>
        <v>0.16107101344487576</v>
      </c>
      <c r="Q16" s="15">
        <f>IFERROR(((G16*D_milk)/(RadSpec!AG16*((Q_p_dairy*f_p_dairy*f_s_dairy*(RadSpec!BB16+R_es_past))+(Q_s_dairy*f_p_dairy))))*1,".")</f>
        <v>7.9290340383769711E-2</v>
      </c>
      <c r="R16" s="15" t="str">
        <f>IFERROR((H16/(RadSpec!AL16*((Q_p_swine*f_p_swine*f_s_swine*(RadSpec!BB16+R_es_past))+(Q_s_swine*f_p_swine))))*1,".")</f>
        <v>.</v>
      </c>
      <c r="S16" s="15">
        <f>IFERROR(((I16*RadSpec!AS16)/RadSpec!AI16)*1,".")</f>
        <v>5.0897888220965168E-4</v>
      </c>
      <c r="T16" s="120">
        <f t="shared" si="152"/>
        <v>2.7640479999999998</v>
      </c>
      <c r="U16" s="120">
        <f t="shared" si="153"/>
        <v>3.0243305357092898E-3</v>
      </c>
      <c r="V16" s="120">
        <f t="shared" si="154"/>
        <v>3.832441991100493E-2</v>
      </c>
      <c r="W16" s="120">
        <f t="shared" si="155"/>
        <v>403.48614615913806</v>
      </c>
      <c r="X16" s="120" t="str">
        <f t="shared" si="156"/>
        <v>.</v>
      </c>
      <c r="Y16" s="120" t="str">
        <f t="shared" si="157"/>
        <v>.</v>
      </c>
      <c r="Z16" s="120">
        <f t="shared" si="158"/>
        <v>6.2084417215282226</v>
      </c>
      <c r="AA16" s="120">
        <f t="shared" si="159"/>
        <v>12.611876745136213</v>
      </c>
      <c r="AB16" s="120" t="str">
        <f t="shared" si="160"/>
        <v>.</v>
      </c>
      <c r="AC16" s="120">
        <f t="shared" si="161"/>
        <v>1964.7180560000004</v>
      </c>
      <c r="AD16" s="15">
        <f t="shared" si="162"/>
        <v>4.1843981980855003E-4</v>
      </c>
      <c r="AE16" s="15">
        <f>IFERROR(TR/(RadSpec!H16*IFW_far_adj),".")</f>
        <v>3.6027716035479572E-2</v>
      </c>
      <c r="AF16" s="15" t="str">
        <f>IFERROR(IF(RadSpec!C16=1,TR/(RadSpec!G16*IFA_far_adj*K),"."),".")</f>
        <v>.</v>
      </c>
      <c r="AG16" s="15">
        <f>IFERROR((TR/(RadSpec!L16*(1/8760)*DFA_far_adj)),".")</f>
        <v>100627649.84524062</v>
      </c>
      <c r="AH16" s="15">
        <f>b2w!AB16</f>
        <v>1.014886733469204E-2</v>
      </c>
      <c r="AI16" s="15" t="str">
        <f>IFERROR(D16/(RadSpec!AJ16*Q_w_poultry*(1/1000)),".")</f>
        <v>.</v>
      </c>
      <c r="AJ16" s="15" t="str">
        <f>IFERROR(E16/(RadSpec!AK16*Q_w_poultry*(1/1000)),".")</f>
        <v>.</v>
      </c>
      <c r="AK16" s="15">
        <f>IFERROR(F16/(RadSpec!AH16*Q_w_beef*(1/1000)),".")</f>
        <v>10.914281557206131</v>
      </c>
      <c r="AL16" s="15">
        <f>IFERROR((G16*D_milk)/(RadSpec!AG16*Q_w_dairy*(1/1000)),".")</f>
        <v>4.9398456626772465</v>
      </c>
      <c r="AM16" s="15" t="str">
        <f>IFERROR(H16/(RadSpec!AL16*Q_w_swine*(1/1000)),".")</f>
        <v>.</v>
      </c>
      <c r="AN16" s="15">
        <f>IFERROR(I16/(RadSpec!AI16*(1/1000)),".")</f>
        <v>3.3931925480643445E-3</v>
      </c>
      <c r="AO16" s="120">
        <f t="shared" si="163"/>
        <v>27.756408400000002</v>
      </c>
      <c r="AP16" s="120" t="str">
        <f t="shared" si="164"/>
        <v>.</v>
      </c>
      <c r="AQ16" s="120">
        <f t="shared" si="165"/>
        <v>9.9376265026356169E-9</v>
      </c>
      <c r="AR16" s="120">
        <f t="shared" si="166"/>
        <v>98.533163063594642</v>
      </c>
      <c r="AS16" s="120" t="str">
        <f t="shared" si="167"/>
        <v>.</v>
      </c>
      <c r="AT16" s="120" t="str">
        <f t="shared" si="168"/>
        <v>.</v>
      </c>
      <c r="AU16" s="120">
        <f t="shared" si="169"/>
        <v>9.1623071547000015E-2</v>
      </c>
      <c r="AV16" s="120">
        <f t="shared" si="170"/>
        <v>0.20243547436217477</v>
      </c>
      <c r="AW16" s="120" t="str">
        <f t="shared" si="171"/>
        <v>.</v>
      </c>
      <c r="AX16" s="120">
        <f t="shared" si="172"/>
        <v>294.70770840000006</v>
      </c>
      <c r="AY16" s="15">
        <f t="shared" si="173"/>
        <v>2.3736543071398038E-3</v>
      </c>
      <c r="AZ16" s="15">
        <f>IFERROR((TR/(RadSpec!G16*IFA_far_adj)),".")</f>
        <v>2.432434864867297E-4</v>
      </c>
      <c r="BA16" s="15">
        <f>IFERROR((TR/(RadSpec!J16*EF_far*(1/365)*ED_far*ET_far*(1/24)*GSF_a)),".")</f>
        <v>6625.6613843019659</v>
      </c>
      <c r="BB16" s="15">
        <f t="shared" si="174"/>
        <v>2.4324347755669417E-4</v>
      </c>
    </row>
    <row r="17" spans="1:54" customFormat="1" x14ac:dyDescent="0.25">
      <c r="A17" s="44" t="s">
        <v>27</v>
      </c>
      <c r="B17" s="42" t="s">
        <v>1074</v>
      </c>
      <c r="C17" s="15">
        <f>dir!AB17</f>
        <v>0.10511579240291168</v>
      </c>
      <c r="D17" s="15">
        <f>IFERROR(TR/(RadSpec!E17*IFP_far_adj*CF_far_poultry),".")</f>
        <v>1.4987699931889145</v>
      </c>
      <c r="E17" s="15">
        <f>IFERROR(TR/(RadSpec!E17*IFE_far_adj*CF_far_egg),".")</f>
        <v>2.6593261676495539</v>
      </c>
      <c r="F17" s="15">
        <f>IFERROR(TR/(RadSpec!E17*IFB_far_adj*CF_far_beef),".")</f>
        <v>0.98293519813440067</v>
      </c>
      <c r="G17" s="15">
        <f>IFERROR(TR/(RadSpec!E17*IFD_far_adj*CF_far_dairy),".")</f>
        <v>0.20350421473641331</v>
      </c>
      <c r="H17" s="15">
        <f>IFERROR(TR/(RadSpec!E17*IFSW_far_adj*CF_far_swine),".")</f>
        <v>1.7610726527282508</v>
      </c>
      <c r="I17" s="15">
        <f>IFERROR(TR/(RadSpec!E17*IFFI_far_adj*CF_far_fish),".")</f>
        <v>0.20592275387108044</v>
      </c>
      <c r="J17" s="15">
        <f>IFERROR((TR/(RadSpec!D17*IFS_far_adj*(1/1000)))*1,".")</f>
        <v>784.4380050800205</v>
      </c>
      <c r="K17" s="15">
        <f>IFERROR(IF(A17="H-3",(TR/(RadSpec!G17*IFA_far_adj*(1/17)*1000))*1,(TR/(RadSpec!G17*IFA_far_adj*(1/PEF_wind)*1000))*1),".")</f>
        <v>67547.416485613605</v>
      </c>
      <c r="L17" s="15">
        <f>IFERROR((TR/(RadSpec!F17*EF_far*(1/365)*ED_far*RadSpec!Q17*((ET_far_o*(1/24)*RadSpec!V17)+(ET_far_i*(1/24)*RadSpec!AA17))))*1,".")</f>
        <v>3.8940235249744805E-2</v>
      </c>
      <c r="M17" s="15">
        <f>b2s!AB17</f>
        <v>6.0162683133936348</v>
      </c>
      <c r="N17" s="15" t="str">
        <f>IFERROR((D17/(RadSpec!AJ17*((Q_p_poultry*f_p_poultry*f_s_poultry*(RadSpec!BB17+R_es_past))+(Q_s_poultry*f_p_poultry))))*1,".")</f>
        <v>.</v>
      </c>
      <c r="O17" s="15" t="str">
        <f>IFERROR((E17/(RadSpec!AK17*((Q_p_poultry*f_p_poultry*f_s_poultry*(RadSpec!BB17+R_es_past))+(Q_s_poultry*f_p_poultry))))*1,".")</f>
        <v>.</v>
      </c>
      <c r="P17" s="15">
        <f>IFERROR((F17/(RadSpec!AH17*((Q_p_beef*f_p_beef*f_s_beef*(RadSpec!BB17+R_es_past))+(Q_s_beef*f_p_beef))))*1,".")</f>
        <v>390.99681126313351</v>
      </c>
      <c r="Q17" s="15">
        <f>IFERROR(((G17*D_milk)/(RadSpec!AG17*((Q_p_dairy*f_p_dairy*f_s_dairy*(RadSpec!BB17+R_es_past))+(Q_s_dairy*f_p_dairy))))*1,".")</f>
        <v>192.47578810716612</v>
      </c>
      <c r="R17" s="15" t="str">
        <f>IFERROR((H17/(RadSpec!AL17*((Q_p_swine*f_p_swine*f_s_swine*(RadSpec!BB17+R_es_past))+(Q_s_swine*f_p_swine))))*1,".")</f>
        <v>.</v>
      </c>
      <c r="S17" s="15">
        <f>IFERROR(((I17*RadSpec!AS17)/RadSpec!AI17)*1,".")</f>
        <v>1.2355365232264826</v>
      </c>
      <c r="T17" s="120">
        <f t="shared" si="152"/>
        <v>1.2747979999999999E-3</v>
      </c>
      <c r="U17" s="120">
        <f t="shared" si="153"/>
        <v>1.4804415209765752E-5</v>
      </c>
      <c r="V17" s="120">
        <f t="shared" si="154"/>
        <v>25.680379011232439</v>
      </c>
      <c r="W17" s="120">
        <f t="shared" si="155"/>
        <v>0.16621599102782098</v>
      </c>
      <c r="X17" s="120" t="str">
        <f t="shared" si="156"/>
        <v>.</v>
      </c>
      <c r="Y17" s="120" t="str">
        <f t="shared" si="157"/>
        <v>.</v>
      </c>
      <c r="Z17" s="120">
        <f t="shared" si="158"/>
        <v>2.5575656148433875E-3</v>
      </c>
      <c r="AA17" s="120">
        <f t="shared" si="159"/>
        <v>5.1954586591598882E-3</v>
      </c>
      <c r="AB17" s="120" t="str">
        <f t="shared" si="160"/>
        <v>.</v>
      </c>
      <c r="AC17" s="120">
        <f t="shared" si="161"/>
        <v>0.80936498533333356</v>
      </c>
      <c r="AD17" s="15">
        <f t="shared" si="162"/>
        <v>3.7502340219699108E-2</v>
      </c>
      <c r="AE17" s="15">
        <f>IFERROR(TR/(RadSpec!H17*IFW_far_adj),".")</f>
        <v>92.487906900962599</v>
      </c>
      <c r="AF17" s="15" t="str">
        <f>IFERROR(IF(RadSpec!C17=1,TR/(RadSpec!G17*IFA_far_adj*K),"."),".")</f>
        <v>.</v>
      </c>
      <c r="AG17" s="15">
        <f>IFERROR((TR/(RadSpec!L17*(1/8760)*DFA_far_adj)),".")</f>
        <v>409886.44806071837</v>
      </c>
      <c r="AH17" s="15">
        <f>b2w!AB17</f>
        <v>24.636181774290602</v>
      </c>
      <c r="AI17" s="15" t="str">
        <f>IFERROR(D17/(RadSpec!AJ17*Q_w_poultry*(1/1000)),".")</f>
        <v>.</v>
      </c>
      <c r="AJ17" s="15" t="str">
        <f>IFERROR(E17/(RadSpec!AK17*Q_w_poultry*(1/1000)),".")</f>
        <v>.</v>
      </c>
      <c r="AK17" s="15">
        <f>IFERROR(F17/(RadSpec!AH17*Q_w_beef*(1/1000)),".")</f>
        <v>26494.210192301904</v>
      </c>
      <c r="AL17" s="15">
        <f>IFERROR((G17*D_milk)/(RadSpec!AG17*Q_w_dairy*(1/1000)),".")</f>
        <v>11991.381074285222</v>
      </c>
      <c r="AM17" s="15" t="str">
        <f>IFERROR(H17/(RadSpec!AL17*Q_w_swine*(1/1000)),".")</f>
        <v>.</v>
      </c>
      <c r="AN17" s="15">
        <f>IFERROR(I17/(RadSpec!AI17*(1/1000)),".")</f>
        <v>8.2369101548432173</v>
      </c>
      <c r="AO17" s="120">
        <f t="shared" si="163"/>
        <v>1.0812224360000001E-2</v>
      </c>
      <c r="AP17" s="120" t="str">
        <f t="shared" si="164"/>
        <v>.</v>
      </c>
      <c r="AQ17" s="120">
        <f t="shared" si="165"/>
        <v>2.4397000796958902E-6</v>
      </c>
      <c r="AR17" s="120">
        <f t="shared" si="166"/>
        <v>4.059070553877641E-2</v>
      </c>
      <c r="AS17" s="120" t="str">
        <f t="shared" si="167"/>
        <v>.</v>
      </c>
      <c r="AT17" s="120" t="str">
        <f t="shared" si="168"/>
        <v>.</v>
      </c>
      <c r="AU17" s="120">
        <f t="shared" si="169"/>
        <v>3.7744095511500005E-5</v>
      </c>
      <c r="AV17" s="120">
        <f t="shared" si="170"/>
        <v>8.339323000454371E-5</v>
      </c>
      <c r="AW17" s="120" t="str">
        <f t="shared" si="171"/>
        <v>.</v>
      </c>
      <c r="AX17" s="120">
        <f t="shared" si="172"/>
        <v>0.12140474780000003</v>
      </c>
      <c r="AY17" s="15">
        <f>IFERROR(1/(SUMIF(AO17:AX17,"&lt;&gt;0")),".")</f>
        <v>5.7826446792042177</v>
      </c>
      <c r="AZ17" s="15">
        <f>IFERROR((TR/(RadSpec!G17*IFA_far_adj)),".")</f>
        <v>4.9691169382289069E-2</v>
      </c>
      <c r="BA17" s="15">
        <f>IFERROR((TR/(RadSpec!J17*EF_far*(1/365)*ED_far*ET_far*(1/24)*GSF_a)),".")</f>
        <v>25.576722640432553</v>
      </c>
      <c r="BB17" s="15">
        <f>IFERROR(IF(AND(AZ17&lt;&gt;".",BA17&lt;&gt;"."),1/((1/AZ17)+(1/BA17)),IF(AND(AZ17&lt;&gt;".",BA17="."),1/((1/AZ17)),IF(AND(AZ17=".",BA17&lt;&gt;"."),1/((1/BA17)),IF(AND(AZ17=".",BA17="."),".")))),".")</f>
        <v>4.9594815193485887E-2</v>
      </c>
    </row>
    <row r="18" spans="1:54" customFormat="1" x14ac:dyDescent="0.25">
      <c r="A18" s="44" t="s">
        <v>28</v>
      </c>
      <c r="B18" s="42" t="s">
        <v>1074</v>
      </c>
      <c r="C18" s="15">
        <f>dir!AB18</f>
        <v>2.2611114621972793E-5</v>
      </c>
      <c r="D18" s="15">
        <f>IFERROR(TR/(RadSpec!E18*IFP_far_adj*CF_far_poultry),".")</f>
        <v>3.2239551577626898E-4</v>
      </c>
      <c r="E18" s="15">
        <f>IFERROR(TR/(RadSpec!E18*IFE_far_adj*CF_far_egg),".")</f>
        <v>5.7203896217092212E-4</v>
      </c>
      <c r="F18" s="15">
        <f>IFERROR(TR/(RadSpec!E18*IFB_far_adj*CF_far_beef),".")</f>
        <v>2.1143597858063465E-4</v>
      </c>
      <c r="G18" s="15">
        <f>IFERROR(TR/(RadSpec!E18*IFD_far_adj*CF_far_dairy),".")</f>
        <v>4.3775126651018307E-5</v>
      </c>
      <c r="H18" s="15">
        <f>IFERROR(TR/(RadSpec!E18*IFSW_far_adj*CF_far_swine),".")</f>
        <v>3.7881858375599483E-4</v>
      </c>
      <c r="I18" s="15">
        <f>IFERROR(TR/(RadSpec!E18*IFFI_far_adj*CF_far_fish),".")</f>
        <v>4.4295370701332581E-5</v>
      </c>
      <c r="J18" s="15">
        <f>IFERROR((TR/(RadSpec!D18*IFS_far_adj*(1/1000)))*1,".")</f>
        <v>0.1896833142227394</v>
      </c>
      <c r="K18" s="15">
        <f>IFERROR(IF(A18="H-3",(TR/(RadSpec!G18*IFA_far_adj*(1/17)*1000))*1,(TR/(RadSpec!G18*IFA_far_adj*(1/PEF_wind)*1000))*1),".")</f>
        <v>361.86115974435853</v>
      </c>
      <c r="L18" s="15">
        <f>IFERROR((TR/(RadSpec!F18*EF_far*(1/365)*ED_far*RadSpec!Q18*((ET_far_o*(1/24)*RadSpec!V18)+(ET_far_i*(1/24)*RadSpec!AA18))))*1,".")</f>
        <v>858.50104138686095</v>
      </c>
      <c r="M18" s="15">
        <f>b2s!AB18</f>
        <v>1.033969984015151E-2</v>
      </c>
      <c r="N18" s="15">
        <f>IFERROR((D18/(RadSpec!AJ18*((Q_p_poultry*f_p_poultry*f_s_poultry*(RadSpec!BB18+R_es_past))+(Q_s_poultry*f_p_poultry))))*1,".")</f>
        <v>1.8642862185569407E-3</v>
      </c>
      <c r="O18" s="15">
        <f>IFERROR((E18/(RadSpec!AK18*((Q_p_poultry*f_p_poultry*f_s_poultry*(RadSpec!BB18+R_es_past))+(Q_s_poultry*f_p_poultry))))*1,".")</f>
        <v>2.5609361728370205E-3</v>
      </c>
      <c r="P18" s="15">
        <f>IFERROR((F18/(RadSpec!AH18*((Q_p_beef*f_p_beef*f_s_beef*(RadSpec!BB18+R_es_past))+(Q_s_beef*f_p_beef))))*1,".")</f>
        <v>1.2272287253148269E-2</v>
      </c>
      <c r="Q18" s="15">
        <f>IFERROR(((G18*D_milk)/(RadSpec!AG18*((Q_p_dairy*f_p_dairy*f_s_dairy*(RadSpec!BB18+R_es_past))+(Q_s_dairy*f_p_dairy))))*1,".")</f>
        <v>3.917574235923843E-2</v>
      </c>
      <c r="R18" s="15" t="str">
        <f>IFERROR((H18/(RadSpec!AL18*((Q_p_swine*f_p_swine*f_s_swine*(RadSpec!BB18+R_es_past))+(Q_s_swine*f_p_swine))))*1,".")</f>
        <v>.</v>
      </c>
      <c r="S18" s="15">
        <f>IFERROR(((I18*RadSpec!AS18)/RadSpec!AI18)*1,".")</f>
        <v>2.583896624244401E-4</v>
      </c>
      <c r="T18" s="120">
        <f t="shared" si="152"/>
        <v>5.2719450000000005</v>
      </c>
      <c r="U18" s="120">
        <f t="shared" si="153"/>
        <v>2.7634908391562744E-3</v>
      </c>
      <c r="V18" s="120">
        <f t="shared" si="154"/>
        <v>1.1648209516258189E-3</v>
      </c>
      <c r="W18" s="120">
        <f t="shared" si="155"/>
        <v>96.714606367659002</v>
      </c>
      <c r="X18" s="120">
        <f t="shared" si="156"/>
        <v>536.39832234240009</v>
      </c>
      <c r="Y18" s="120">
        <f t="shared" si="157"/>
        <v>390.48220358112007</v>
      </c>
      <c r="Z18" s="120">
        <f t="shared" si="158"/>
        <v>81.484402978219492</v>
      </c>
      <c r="AA18" s="120">
        <f t="shared" si="159"/>
        <v>25.526000013735025</v>
      </c>
      <c r="AB18" s="120" t="str">
        <f t="shared" si="160"/>
        <v>.</v>
      </c>
      <c r="AC18" s="120">
        <f t="shared" si="161"/>
        <v>3870.1238687999994</v>
      </c>
      <c r="AD18" s="15">
        <f t="shared" si="162"/>
        <v>1.9976007706495872E-4</v>
      </c>
      <c r="AE18" s="15">
        <f>IFERROR(TR/(RadSpec!H18*IFW_far_adj),".")</f>
        <v>1.7938800275999204E-2</v>
      </c>
      <c r="AF18" s="15" t="str">
        <f>IFERROR(IF(RadSpec!C18=1,TR/(RadSpec!G18*IFA_far_adj*K),"."),".")</f>
        <v>.</v>
      </c>
      <c r="AG18" s="15">
        <f>IFERROR((TR/(RadSpec!L18*(1/8760)*DFA_far_adj)),".")</f>
        <v>10075715776.009937</v>
      </c>
      <c r="AH18" s="15">
        <f>b2w!AB18</f>
        <v>6.0777065310532851E-3</v>
      </c>
      <c r="AI18" s="15">
        <f>IFERROR(D18/(RadSpec!AJ18*Q_w_poultry*(1/1000)),".")</f>
        <v>0.33582866226694685</v>
      </c>
      <c r="AJ18" s="15">
        <f>IFERROR(E18/(RadSpec!AK18*Q_w_poultry*(1/1000)),".")</f>
        <v>0.46132174368622741</v>
      </c>
      <c r="AK18" s="15">
        <f>IFERROR(F18/(RadSpec!AH18*Q_w_beef*(1/1000)),".")</f>
        <v>0.79787161728541367</v>
      </c>
      <c r="AL18" s="15">
        <f>IFERROR((G18*D_milk)/(RadSpec!AG18*Q_w_dairy*(1/1000)),".")</f>
        <v>2.3337671040656756</v>
      </c>
      <c r="AM18" s="15" t="str">
        <f>IFERROR(H18/(RadSpec!AL18*Q_w_swine*(1/1000)),".")</f>
        <v>.</v>
      </c>
      <c r="AN18" s="15">
        <f>IFERROR(I18/(RadSpec!AI18*(1/1000)),".")</f>
        <v>1.230426963925905E-3</v>
      </c>
      <c r="AO18" s="120">
        <f t="shared" si="163"/>
        <v>55.745088000000003</v>
      </c>
      <c r="AP18" s="120" t="str">
        <f t="shared" si="164"/>
        <v>.</v>
      </c>
      <c r="AQ18" s="120">
        <f t="shared" si="165"/>
        <v>9.9248532037890403E-11</v>
      </c>
      <c r="AR18" s="120">
        <f t="shared" si="166"/>
        <v>164.53574961058493</v>
      </c>
      <c r="AS18" s="120">
        <f t="shared" si="167"/>
        <v>2.9777089104000001</v>
      </c>
      <c r="AT18" s="120">
        <f t="shared" si="168"/>
        <v>2.1676845145200003</v>
      </c>
      <c r="AU18" s="120">
        <f t="shared" si="169"/>
        <v>1.2533344692750001</v>
      </c>
      <c r="AV18" s="120">
        <f t="shared" si="170"/>
        <v>0.42849177120454374</v>
      </c>
      <c r="AW18" s="120" t="str">
        <f t="shared" si="171"/>
        <v>.</v>
      </c>
      <c r="AX18" s="120">
        <f t="shared" si="172"/>
        <v>812.72601244800012</v>
      </c>
      <c r="AY18" s="15">
        <f>IFERROR(1/(SUMIF(AO18:AX18,"&lt;&gt;0")),".")</f>
        <v>9.6169189788650265E-4</v>
      </c>
      <c r="AZ18" s="15">
        <f>IFERROR((TR/(RadSpec!G18*IFA_far_adj)),".")</f>
        <v>2.6620269311940573E-4</v>
      </c>
      <c r="BA18" s="15">
        <f>IFERROR((TR/(RadSpec!J18*EF_far*(1/365)*ED_far*ET_far*(1/24)*GSF_a)),".")</f>
        <v>623700.52695803414</v>
      </c>
      <c r="BB18" s="15">
        <f>IFERROR(IF(AND(AZ18&lt;&gt;".",BA18&lt;&gt;"."),1/((1/AZ18)+(1/BA18)),IF(AND(AZ18&lt;&gt;".",BA18="."),1/((1/AZ18)),IF(AND(AZ18=".",BA18&lt;&gt;"."),1/((1/BA18)),IF(AND(AZ18=".",BA18="."),".")))),".")</f>
        <v>2.662026930057873E-4</v>
      </c>
    </row>
    <row r="19" spans="1:54" customFormat="1" x14ac:dyDescent="0.25">
      <c r="A19" s="44" t="s">
        <v>29</v>
      </c>
      <c r="B19" s="42" t="s">
        <v>1074</v>
      </c>
      <c r="C19" s="15" t="str">
        <f>dir!AB19</f>
        <v>.</v>
      </c>
      <c r="D19" s="15" t="str">
        <f>IFERROR(TR/(RadSpec!E19*IFP_far_adj*CF_far_poultry),".")</f>
        <v>.</v>
      </c>
      <c r="E19" s="15" t="str">
        <f>IFERROR(TR/(RadSpec!E19*IFE_far_adj*CF_far_egg),".")</f>
        <v>.</v>
      </c>
      <c r="F19" s="15" t="str">
        <f>IFERROR(TR/(RadSpec!E19*IFB_far_adj*CF_far_beef),".")</f>
        <v>.</v>
      </c>
      <c r="G19" s="15" t="str">
        <f>IFERROR(TR/(RadSpec!E19*IFD_far_adj*CF_far_dairy),".")</f>
        <v>.</v>
      </c>
      <c r="H19" s="15" t="str">
        <f>IFERROR(TR/(RadSpec!E19*IFSW_far_adj*CF_far_swine),".")</f>
        <v>.</v>
      </c>
      <c r="I19" s="15" t="str">
        <f>IFERROR(TR/(RadSpec!E19*IFFI_far_adj*CF_far_fish),".")</f>
        <v>.</v>
      </c>
      <c r="J19" s="15" t="str">
        <f>IFERROR((TR/(RadSpec!D19*IFS_far_adj*(1/1000)))*1,".")</f>
        <v>.</v>
      </c>
      <c r="K19" s="15" t="str">
        <f>IFERROR(IF(A19="H-3",(TR/(RadSpec!G19*IFA_far_adj*(1/17)*1000))*1,(TR/(RadSpec!G19*IFA_far_adj*(1/PEF_wind)*1000))*1),".")</f>
        <v>.</v>
      </c>
      <c r="L19" s="15">
        <f>IFERROR((TR/(RadSpec!F19*EF_far*(1/365)*ED_far*RadSpec!Q19*((ET_far_o*(1/24)*RadSpec!V19)+(ET_far_i*(1/24)*RadSpec!AA19))))*1,".")</f>
        <v>223.90635268603265</v>
      </c>
      <c r="M19" s="15" t="str">
        <f>b2s!AB19</f>
        <v>.</v>
      </c>
      <c r="N19" s="15" t="str">
        <f>IFERROR((D19/(RadSpec!AJ19*((Q_p_poultry*f_p_poultry*f_s_poultry*(RadSpec!BB19+R_es_past))+(Q_s_poultry*f_p_poultry))))*1,".")</f>
        <v>.</v>
      </c>
      <c r="O19" s="15" t="str">
        <f>IFERROR((E19/(RadSpec!AK19*((Q_p_poultry*f_p_poultry*f_s_poultry*(RadSpec!BB19+R_es_past))+(Q_s_poultry*f_p_poultry))))*1,".")</f>
        <v>.</v>
      </c>
      <c r="P19" s="15" t="str">
        <f>IFERROR((F19/(RadSpec!AH19*((Q_p_beef*f_p_beef*f_s_beef*(RadSpec!BB19+R_es_past))+(Q_s_beef*f_p_beef))))*1,".")</f>
        <v>.</v>
      </c>
      <c r="Q19" s="15" t="str">
        <f>IFERROR(((G19*D_milk)/(RadSpec!AG19*((Q_p_dairy*f_p_dairy*f_s_dairy*(RadSpec!BB19+R_es_past))+(Q_s_dairy*f_p_dairy))))*1,".")</f>
        <v>.</v>
      </c>
      <c r="R19" s="15" t="str">
        <f>IFERROR((H19/(RadSpec!AL19*((Q_p_swine*f_p_swine*f_s_swine*(RadSpec!BB19+R_es_past))+(Q_s_swine*f_p_swine))))*1,".")</f>
        <v>.</v>
      </c>
      <c r="S19" s="15" t="str">
        <f>IFERROR(((I19*RadSpec!AS19)/RadSpec!AI19)*1,".")</f>
        <v>.</v>
      </c>
      <c r="T19" s="120" t="str">
        <f t="shared" si="152"/>
        <v>.</v>
      </c>
      <c r="U19" s="120" t="str">
        <f t="shared" si="153"/>
        <v>.</v>
      </c>
      <c r="V19" s="120">
        <f t="shared" si="154"/>
        <v>4.4661528715186846E-3</v>
      </c>
      <c r="W19" s="120" t="str">
        <f t="shared" si="155"/>
        <v>.</v>
      </c>
      <c r="X19" s="120" t="str">
        <f t="shared" si="156"/>
        <v>.</v>
      </c>
      <c r="Y19" s="120" t="str">
        <f t="shared" si="157"/>
        <v>.</v>
      </c>
      <c r="Z19" s="120" t="str">
        <f t="shared" si="158"/>
        <v>.</v>
      </c>
      <c r="AA19" s="120" t="str">
        <f t="shared" si="159"/>
        <v>.</v>
      </c>
      <c r="AB19" s="120" t="str">
        <f t="shared" si="160"/>
        <v>.</v>
      </c>
      <c r="AC19" s="120" t="str">
        <f t="shared" si="161"/>
        <v>.</v>
      </c>
      <c r="AD19" s="15">
        <f t="shared" si="162"/>
        <v>223.90635268603265</v>
      </c>
      <c r="AE19" s="15" t="str">
        <f>IFERROR(TR/(RadSpec!H19*IFW_far_adj),".")</f>
        <v>.</v>
      </c>
      <c r="AF19" s="15" t="str">
        <f>IFERROR(IF(RadSpec!C19=1,TR/(RadSpec!G19*IFA_far_adj*K),"."),".")</f>
        <v>.</v>
      </c>
      <c r="AG19" s="15">
        <f>IFERROR((TR/(RadSpec!L19*(1/8760)*DFA_far_adj)),".")</f>
        <v>2618338179.9196386</v>
      </c>
      <c r="AH19" s="15" t="str">
        <f>b2w!AB19</f>
        <v>.</v>
      </c>
      <c r="AI19" s="15" t="str">
        <f>IFERROR(D19/(RadSpec!AJ19*Q_w_poultry*(1/1000)),".")</f>
        <v>.</v>
      </c>
      <c r="AJ19" s="15" t="str">
        <f>IFERROR(E19/(RadSpec!AK19*Q_w_poultry*(1/1000)),".")</f>
        <v>.</v>
      </c>
      <c r="AK19" s="15" t="str">
        <f>IFERROR(F19/(RadSpec!AH19*Q_w_beef*(1/1000)),".")</f>
        <v>.</v>
      </c>
      <c r="AL19" s="15" t="str">
        <f>IFERROR((G19*D_milk)/(RadSpec!AG19*Q_w_dairy*(1/1000)),".")</f>
        <v>.</v>
      </c>
      <c r="AM19" s="15" t="str">
        <f>IFERROR(H19/(RadSpec!AL19*Q_w_swine*(1/1000)),".")</f>
        <v>.</v>
      </c>
      <c r="AN19" s="15" t="str">
        <f>IFERROR(I19/(RadSpec!AI19*(1/1000)),".")</f>
        <v>.</v>
      </c>
      <c r="AO19" s="120" t="str">
        <f t="shared" si="163"/>
        <v>.</v>
      </c>
      <c r="AP19" s="120" t="str">
        <f t="shared" si="164"/>
        <v>.</v>
      </c>
      <c r="AQ19" s="120">
        <f t="shared" si="165"/>
        <v>3.819216355126028E-10</v>
      </c>
      <c r="AR19" s="120" t="str">
        <f t="shared" si="166"/>
        <v>.</v>
      </c>
      <c r="AS19" s="120" t="str">
        <f t="shared" si="167"/>
        <v>.</v>
      </c>
      <c r="AT19" s="120" t="str">
        <f t="shared" si="168"/>
        <v>.</v>
      </c>
      <c r="AU19" s="120" t="str">
        <f t="shared" si="169"/>
        <v>.</v>
      </c>
      <c r="AV19" s="120" t="str">
        <f t="shared" si="170"/>
        <v>.</v>
      </c>
      <c r="AW19" s="120" t="str">
        <f t="shared" si="171"/>
        <v>.</v>
      </c>
      <c r="AX19" s="120" t="str">
        <f t="shared" si="172"/>
        <v>.</v>
      </c>
      <c r="AY19" s="15">
        <f t="shared" ref="AY19:AY20" si="175">IFERROR(1/(SUMIF(AO19:AX19,"&lt;&gt;0")),".")</f>
        <v>2618338179.9196386</v>
      </c>
      <c r="AZ19" s="15" t="str">
        <f>IFERROR((TR/(RadSpec!G19*IFA_far_adj)),".")</f>
        <v>.</v>
      </c>
      <c r="BA19" s="15">
        <f>IFERROR((TR/(RadSpec!J19*EF_far*(1/365)*ED_far*ET_far*(1/24)*GSF_a)),".")</f>
        <v>161800.57148621461</v>
      </c>
      <c r="BB19" s="15">
        <f t="shared" ref="BB19:BB20" si="176">IFERROR(IF(AND(AZ19&lt;&gt;".",BA19&lt;&gt;"."),1/((1/AZ19)+(1/BA19)),IF(AND(AZ19&lt;&gt;".",BA19="."),1/((1/AZ19)),IF(AND(AZ19=".",BA19&lt;&gt;"."),1/((1/BA19)),IF(AND(AZ19=".",BA19="."),".")))),".")</f>
        <v>161800.57148621461</v>
      </c>
    </row>
    <row r="20" spans="1:54" customFormat="1" x14ac:dyDescent="0.25">
      <c r="A20" s="44" t="s">
        <v>30</v>
      </c>
      <c r="B20" s="42" t="s">
        <v>1074</v>
      </c>
      <c r="C20" s="15" t="str">
        <f>dir!AB20</f>
        <v>.</v>
      </c>
      <c r="D20" s="15" t="str">
        <f>IFERROR(TR/(RadSpec!E20*IFP_far_adj*CF_far_poultry),".")</f>
        <v>.</v>
      </c>
      <c r="E20" s="15" t="str">
        <f>IFERROR(TR/(RadSpec!E20*IFE_far_adj*CF_far_egg),".")</f>
        <v>.</v>
      </c>
      <c r="F20" s="15" t="str">
        <f>IFERROR(TR/(RadSpec!E20*IFB_far_adj*CF_far_beef),".")</f>
        <v>.</v>
      </c>
      <c r="G20" s="15" t="str">
        <f>IFERROR(TR/(RadSpec!E20*IFD_far_adj*CF_far_dairy),".")</f>
        <v>.</v>
      </c>
      <c r="H20" s="15" t="str">
        <f>IFERROR(TR/(RadSpec!E20*IFSW_far_adj*CF_far_swine),".")</f>
        <v>.</v>
      </c>
      <c r="I20" s="15" t="str">
        <f>IFERROR(TR/(RadSpec!E20*IFFI_far_adj*CF_far_fish),".")</f>
        <v>.</v>
      </c>
      <c r="J20" s="15" t="str">
        <f>IFERROR((TR/(RadSpec!D20*IFS_far_adj*(1/1000)))*1,".")</f>
        <v>.</v>
      </c>
      <c r="K20" s="15" t="str">
        <f>IFERROR(IF(A20="H-3",(TR/(RadSpec!G20*IFA_far_adj*(1/17)*1000))*1,(TR/(RadSpec!G20*IFA_far_adj*(1/PEF_wind)*1000))*1),".")</f>
        <v>.</v>
      </c>
      <c r="L20" s="15">
        <f>IFERROR((TR/(RadSpec!F20*EF_far*(1/365)*ED_far*RadSpec!Q20*((ET_far_o*(1/24)*RadSpec!V20)+(ET_far_i*(1/24)*RadSpec!AA20))))*1,".")</f>
        <v>100.4186066591904</v>
      </c>
      <c r="M20" s="15" t="str">
        <f>b2s!AB20</f>
        <v>.</v>
      </c>
      <c r="N20" s="15" t="str">
        <f>IFERROR((D20/(RadSpec!AJ20*((Q_p_poultry*f_p_poultry*f_s_poultry*(RadSpec!BB20+R_es_past))+(Q_s_poultry*f_p_poultry))))*1,".")</f>
        <v>.</v>
      </c>
      <c r="O20" s="15" t="str">
        <f>IFERROR((E20/(RadSpec!AK20*((Q_p_poultry*f_p_poultry*f_s_poultry*(RadSpec!BB20+R_es_past))+(Q_s_poultry*f_p_poultry))))*1,".")</f>
        <v>.</v>
      </c>
      <c r="P20" s="15" t="str">
        <f>IFERROR((F20/(RadSpec!AH20*((Q_p_beef*f_p_beef*f_s_beef*(RadSpec!BB20+R_es_past))+(Q_s_beef*f_p_beef))))*1,".")</f>
        <v>.</v>
      </c>
      <c r="Q20" s="15" t="str">
        <f>IFERROR(((G20*D_milk)/(RadSpec!AG20*((Q_p_dairy*f_p_dairy*f_s_dairy*(RadSpec!BB20+R_es_past))+(Q_s_dairy*f_p_dairy))))*1,".")</f>
        <v>.</v>
      </c>
      <c r="R20" s="15" t="str">
        <f>IFERROR((H20/(RadSpec!AL20*((Q_p_swine*f_p_swine*f_s_swine*(RadSpec!BB20+R_es_past))+(Q_s_swine*f_p_swine))))*1,".")</f>
        <v>.</v>
      </c>
      <c r="S20" s="15" t="str">
        <f>IFERROR(((I20*RadSpec!AS20)/RadSpec!AI20)*1,".")</f>
        <v>.</v>
      </c>
      <c r="T20" s="120" t="str">
        <f t="shared" si="152"/>
        <v>.</v>
      </c>
      <c r="U20" s="120" t="str">
        <f t="shared" si="153"/>
        <v>.</v>
      </c>
      <c r="V20" s="120">
        <f t="shared" si="154"/>
        <v>9.9583138351430119E-3</v>
      </c>
      <c r="W20" s="120" t="str">
        <f t="shared" si="155"/>
        <v>.</v>
      </c>
      <c r="X20" s="120" t="str">
        <f t="shared" si="156"/>
        <v>.</v>
      </c>
      <c r="Y20" s="120" t="str">
        <f t="shared" si="157"/>
        <v>.</v>
      </c>
      <c r="Z20" s="120" t="str">
        <f t="shared" si="158"/>
        <v>.</v>
      </c>
      <c r="AA20" s="120" t="str">
        <f t="shared" si="159"/>
        <v>.</v>
      </c>
      <c r="AB20" s="120" t="str">
        <f t="shared" si="160"/>
        <v>.</v>
      </c>
      <c r="AC20" s="120" t="str">
        <f t="shared" si="161"/>
        <v>.</v>
      </c>
      <c r="AD20" s="15">
        <f t="shared" si="162"/>
        <v>100.4186066591904</v>
      </c>
      <c r="AE20" s="15" t="str">
        <f>IFERROR(TR/(RadSpec!H20*IFW_far_adj),".")</f>
        <v>.</v>
      </c>
      <c r="AF20" s="15" t="str">
        <f>IFERROR(IF(RadSpec!C20=1,TR/(RadSpec!G20*IFA_far_adj*K),"."),".")</f>
        <v>.</v>
      </c>
      <c r="AG20" s="15">
        <f>IFERROR((TR/(RadSpec!L20*(1/8760)*DFA_far_adj)),".")</f>
        <v>1180819179.179445</v>
      </c>
      <c r="AH20" s="15" t="str">
        <f>b2w!AB20</f>
        <v>.</v>
      </c>
      <c r="AI20" s="15" t="str">
        <f>IFERROR(D20/(RadSpec!AJ20*Q_w_poultry*(1/1000)),".")</f>
        <v>.</v>
      </c>
      <c r="AJ20" s="15" t="str">
        <f>IFERROR(E20/(RadSpec!AK20*Q_w_poultry*(1/1000)),".")</f>
        <v>.</v>
      </c>
      <c r="AK20" s="15" t="str">
        <f>IFERROR(F20/(RadSpec!AH20*Q_w_beef*(1/1000)),".")</f>
        <v>.</v>
      </c>
      <c r="AL20" s="15" t="str">
        <f>IFERROR((G20*D_milk)/(RadSpec!AG20*Q_w_dairy*(1/1000)),".")</f>
        <v>.</v>
      </c>
      <c r="AM20" s="15" t="str">
        <f>IFERROR(H20/(RadSpec!AL20*Q_w_swine*(1/1000)),".")</f>
        <v>.</v>
      </c>
      <c r="AN20" s="15" t="str">
        <f>IFERROR(I20/(RadSpec!AI20*(1/1000)),".")</f>
        <v>.</v>
      </c>
      <c r="AO20" s="120" t="str">
        <f t="shared" si="163"/>
        <v>.</v>
      </c>
      <c r="AP20" s="120" t="str">
        <f t="shared" si="164"/>
        <v>.</v>
      </c>
      <c r="AQ20" s="120">
        <f t="shared" si="165"/>
        <v>8.4686971352794521E-10</v>
      </c>
      <c r="AR20" s="120" t="str">
        <f t="shared" si="166"/>
        <v>.</v>
      </c>
      <c r="AS20" s="120" t="str">
        <f t="shared" si="167"/>
        <v>.</v>
      </c>
      <c r="AT20" s="120" t="str">
        <f t="shared" si="168"/>
        <v>.</v>
      </c>
      <c r="AU20" s="120" t="str">
        <f t="shared" si="169"/>
        <v>.</v>
      </c>
      <c r="AV20" s="120" t="str">
        <f t="shared" si="170"/>
        <v>.</v>
      </c>
      <c r="AW20" s="120" t="str">
        <f t="shared" si="171"/>
        <v>.</v>
      </c>
      <c r="AX20" s="120" t="str">
        <f t="shared" si="172"/>
        <v>.</v>
      </c>
      <c r="AY20" s="15">
        <f t="shared" si="175"/>
        <v>1180819179.179445</v>
      </c>
      <c r="AZ20" s="15" t="str">
        <f>IFERROR((TR/(RadSpec!G20*IFA_far_adj)),".")</f>
        <v>.</v>
      </c>
      <c r="BA20" s="15">
        <f>IFERROR((TR/(RadSpec!J20*EF_far*(1/365)*ED_far*ET_far*(1/24)*GSF_a)),".")</f>
        <v>72968.885180057565</v>
      </c>
      <c r="BB20" s="15">
        <f t="shared" si="176"/>
        <v>72968.885180057565</v>
      </c>
    </row>
    <row r="21" spans="1:54" customFormat="1" x14ac:dyDescent="0.25">
      <c r="A21" s="44" t="s">
        <v>31</v>
      </c>
      <c r="B21" s="42" t="s">
        <v>1074</v>
      </c>
      <c r="C21" s="15" t="str">
        <f>dir!AB21</f>
        <v>.</v>
      </c>
      <c r="D21" s="15" t="str">
        <f>IFERROR(TR/(RadSpec!E21*IFP_far_adj*CF_far_poultry),".")</f>
        <v>.</v>
      </c>
      <c r="E21" s="15" t="str">
        <f>IFERROR(TR/(RadSpec!E21*IFE_far_adj*CF_far_egg),".")</f>
        <v>.</v>
      </c>
      <c r="F21" s="15" t="str">
        <f>IFERROR(TR/(RadSpec!E21*IFB_far_adj*CF_far_beef),".")</f>
        <v>.</v>
      </c>
      <c r="G21" s="15" t="str">
        <f>IFERROR(TR/(RadSpec!E21*IFD_far_adj*CF_far_dairy),".")</f>
        <v>.</v>
      </c>
      <c r="H21" s="15" t="str">
        <f>IFERROR(TR/(RadSpec!E21*IFSW_far_adj*CF_far_swine),".")</f>
        <v>.</v>
      </c>
      <c r="I21" s="15" t="str">
        <f>IFERROR(TR/(RadSpec!E21*IFFI_far_adj*CF_far_fish),".")</f>
        <v>.</v>
      </c>
      <c r="J21" s="15" t="str">
        <f>IFERROR((TR/(RadSpec!D21*IFS_far_adj*(1/1000)))*1,".")</f>
        <v>.</v>
      </c>
      <c r="K21" s="15">
        <f>IFERROR(IF(A21="H-3",(TR/(RadSpec!G21*IFA_far_adj*(1/17)*1000))*1,(TR/(RadSpec!G21*IFA_far_adj*(1/PEF_wind)*1000))*1),".")</f>
        <v>377585.19862821413</v>
      </c>
      <c r="L21" s="15">
        <f>IFERROR((TR/(RadSpec!F21*EF_far*(1/365)*ED_far*RadSpec!Q21*((ET_far_o*(1/24)*RadSpec!V21)+(ET_far_i*(1/24)*RadSpec!AA21))))*1,".")</f>
        <v>6283303.0332826758</v>
      </c>
      <c r="M21" s="15" t="str">
        <f>b2s!AB21</f>
        <v>.</v>
      </c>
      <c r="N21" s="15" t="str">
        <f>IFERROR((D21/(RadSpec!AJ21*((Q_p_poultry*f_p_poultry*f_s_poultry*(RadSpec!BB21+R_es_past))+(Q_s_poultry*f_p_poultry))))*1,".")</f>
        <v>.</v>
      </c>
      <c r="O21" s="15" t="str">
        <f>IFERROR((E21/(RadSpec!AK21*((Q_p_poultry*f_p_poultry*f_s_poultry*(RadSpec!BB21+R_es_past))+(Q_s_poultry*f_p_poultry))))*1,".")</f>
        <v>.</v>
      </c>
      <c r="P21" s="15" t="str">
        <f>IFERROR((F21/(RadSpec!AH21*((Q_p_beef*f_p_beef*f_s_beef*(RadSpec!BB21+R_es_past))+(Q_s_beef*f_p_beef))))*1,".")</f>
        <v>.</v>
      </c>
      <c r="Q21" s="15" t="str">
        <f>IFERROR(((G21*D_milk)/(RadSpec!AG21*((Q_p_dairy*f_p_dairy*f_s_dairy*(RadSpec!BB21+R_es_past))+(Q_s_dairy*f_p_dairy))))*1,".")</f>
        <v>.</v>
      </c>
      <c r="R21" s="15" t="str">
        <f>IFERROR((H21/(RadSpec!AL21*((Q_p_swine*f_p_swine*f_s_swine*(RadSpec!BB21+R_es_past))+(Q_s_swine*f_p_swine))))*1,".")</f>
        <v>.</v>
      </c>
      <c r="S21" s="15" t="str">
        <f>IFERROR(((I21*RadSpec!AS21)/RadSpec!AI21)*1,".")</f>
        <v>.</v>
      </c>
      <c r="T21" s="120" t="str">
        <f t="shared" si="152"/>
        <v>.</v>
      </c>
      <c r="U21" s="120">
        <f t="shared" si="153"/>
        <v>2.6484088985295237E-6</v>
      </c>
      <c r="V21" s="120">
        <f t="shared" si="154"/>
        <v>1.5915196111074015E-7</v>
      </c>
      <c r="W21" s="120" t="str">
        <f t="shared" si="155"/>
        <v>.</v>
      </c>
      <c r="X21" s="120" t="str">
        <f t="shared" si="156"/>
        <v>.</v>
      </c>
      <c r="Y21" s="120" t="str">
        <f t="shared" si="157"/>
        <v>.</v>
      </c>
      <c r="Z21" s="120" t="str">
        <f t="shared" si="158"/>
        <v>.</v>
      </c>
      <c r="AA21" s="120" t="str">
        <f t="shared" si="159"/>
        <v>.</v>
      </c>
      <c r="AB21" s="120" t="str">
        <f t="shared" si="160"/>
        <v>.</v>
      </c>
      <c r="AC21" s="120" t="str">
        <f t="shared" si="161"/>
        <v>.</v>
      </c>
      <c r="AD21" s="15">
        <f t="shared" si="162"/>
        <v>356181.05893103639</v>
      </c>
      <c r="AE21" s="15" t="str">
        <f>IFERROR(TR/(RadSpec!H21*IFW_far_adj),".")</f>
        <v>.</v>
      </c>
      <c r="AF21" s="15" t="str">
        <f>IFERROR(IF(RadSpec!C21=1,TR/(RadSpec!G21*IFA_far_adj*K),"."),".")</f>
        <v>.</v>
      </c>
      <c r="AG21" s="15">
        <f>IFERROR((TR/(RadSpec!L21*(1/8760)*DFA_far_adj)),".")</f>
        <v>18080441473348.086</v>
      </c>
      <c r="AH21" s="15" t="str">
        <f>b2w!AB21</f>
        <v>.</v>
      </c>
      <c r="AI21" s="15" t="str">
        <f>IFERROR(D21/(RadSpec!AJ21*Q_w_poultry*(1/1000)),".")</f>
        <v>.</v>
      </c>
      <c r="AJ21" s="15" t="str">
        <f>IFERROR(E21/(RadSpec!AK21*Q_w_poultry*(1/1000)),".")</f>
        <v>.</v>
      </c>
      <c r="AK21" s="15" t="str">
        <f>IFERROR(F21/(RadSpec!AH21*Q_w_beef*(1/1000)),".")</f>
        <v>.</v>
      </c>
      <c r="AL21" s="15" t="str">
        <f>IFERROR((G21*D_milk)/(RadSpec!AG21*Q_w_dairy*(1/1000)),".")</f>
        <v>.</v>
      </c>
      <c r="AM21" s="15" t="str">
        <f>IFERROR(H21/(RadSpec!AL21*Q_w_swine*(1/1000)),".")</f>
        <v>.</v>
      </c>
      <c r="AN21" s="15" t="str">
        <f>IFERROR(I21/(RadSpec!AI21*(1/1000)),".")</f>
        <v>.</v>
      </c>
      <c r="AO21" s="120" t="str">
        <f t="shared" si="163"/>
        <v>.</v>
      </c>
      <c r="AP21" s="120" t="str">
        <f t="shared" si="164"/>
        <v>.</v>
      </c>
      <c r="AQ21" s="120">
        <f t="shared" si="165"/>
        <v>5.5308384005671229E-14</v>
      </c>
      <c r="AR21" s="120" t="str">
        <f t="shared" si="166"/>
        <v>.</v>
      </c>
      <c r="AS21" s="120" t="str">
        <f t="shared" si="167"/>
        <v>.</v>
      </c>
      <c r="AT21" s="120" t="str">
        <f t="shared" si="168"/>
        <v>.</v>
      </c>
      <c r="AU21" s="120" t="str">
        <f t="shared" si="169"/>
        <v>.</v>
      </c>
      <c r="AV21" s="120" t="str">
        <f t="shared" si="170"/>
        <v>.</v>
      </c>
      <c r="AW21" s="120" t="str">
        <f t="shared" si="171"/>
        <v>.</v>
      </c>
      <c r="AX21" s="120" t="str">
        <f t="shared" si="172"/>
        <v>.</v>
      </c>
      <c r="AY21" s="15">
        <f>IFERROR(1/(SUMIF(AO21:AX21,"&lt;&gt;0")),".")</f>
        <v>18080441473348.086</v>
      </c>
      <c r="AZ21" s="15">
        <f>IFERROR((TR/(RadSpec!G21*IFA_far_adj)),".")</f>
        <v>0.2777700619427238</v>
      </c>
      <c r="BA21" s="15">
        <f>IFERROR((TR/(RadSpec!J21*EF_far*(1/365)*ED_far*ET_far*(1/24)*GSF_a)),".")</f>
        <v>660605883.58276963</v>
      </c>
      <c r="BB21" s="15">
        <f>IFERROR(IF(AND(AZ21&lt;&gt;".",BA21&lt;&gt;"."),1/((1/AZ21)+(1/BA21)),IF(AND(AZ21&lt;&gt;".",BA21="."),1/((1/AZ21)),IF(AND(AZ21=".",BA21&lt;&gt;"."),1/((1/BA21)),IF(AND(AZ21=".",BA21="."),".")))),".")</f>
        <v>0.27777006182592767</v>
      </c>
    </row>
    <row r="22" spans="1:54" customFormat="1" x14ac:dyDescent="0.25">
      <c r="A22" s="44" t="s">
        <v>32</v>
      </c>
      <c r="B22" s="42" t="s">
        <v>1074</v>
      </c>
      <c r="C22" s="15">
        <f>dir!AB22</f>
        <v>3.3181129650075743E-4</v>
      </c>
      <c r="D22" s="15">
        <f>IFERROR(TR/(RadSpec!E22*IFP_far_adj*CF_far_poultry),".")</f>
        <v>4.7310570869336819E-3</v>
      </c>
      <c r="E22" s="15">
        <f>IFERROR(TR/(RadSpec!E22*IFE_far_adj*CF_far_egg),".")</f>
        <v>8.3944994689660619E-3</v>
      </c>
      <c r="F22" s="15">
        <f>IFERROR(TR/(RadSpec!E22*IFB_far_adj*CF_far_beef),".")</f>
        <v>3.1027593001350961E-3</v>
      </c>
      <c r="G22" s="15">
        <f>IFERROR(TR/(RadSpec!E22*IFD_far_adj*CF_far_dairy),".")</f>
        <v>6.4238679832458179E-4</v>
      </c>
      <c r="H22" s="15">
        <f>IFERROR(TR/(RadSpec!E22*IFSW_far_adj*CF_far_swine),".")</f>
        <v>5.5590486146361653E-3</v>
      </c>
      <c r="I22" s="15">
        <f>IFERROR(TR/(RadSpec!E22*IFFI_far_adj*CF_far_fish),".")</f>
        <v>6.5002122306292867E-4</v>
      </c>
      <c r="J22" s="15">
        <f>IFERROR((TR/(RadSpec!D22*IFS_far_adj*(1/1000)))*1,".")</f>
        <v>2.5628966883530442</v>
      </c>
      <c r="K22" s="15">
        <f>IFERROR(IF(A22="H-3",(TR/(RadSpec!G22*IFA_far_adj*(1/17)*1000))*1,(TR/(RadSpec!G22*IFA_far_adj*(1/PEF_wind)*1000))*1),".")</f>
        <v>200.63589055132752</v>
      </c>
      <c r="L22" s="15">
        <f>IFERROR((TR/(RadSpec!F22*EF_far*(1/365)*ED_far*RadSpec!Q22*((ET_far_o*(1/24)*RadSpec!V22)+(ET_far_i*(1/24)*RadSpec!AA22))))*1,".")</f>
        <v>6.3361644737156473</v>
      </c>
      <c r="M22" s="15">
        <f>b2s!AB22</f>
        <v>1.4642709250175157E-2</v>
      </c>
      <c r="N22" s="15" t="str">
        <f>IFERROR((D22/(RadSpec!AJ22*((Q_p_poultry*f_p_poultry*f_s_poultry*(RadSpec!BB22+R_es_past))+(Q_s_poultry*f_p_poultry))))*1,".")</f>
        <v>.</v>
      </c>
      <c r="O22" s="15" t="str">
        <f>IFERROR((E22/(RadSpec!AK22*((Q_p_poultry*f_p_poultry*f_s_poultry*(RadSpec!BB22+R_es_past))+(Q_s_poultry*f_p_poultry))))*1,".")</f>
        <v>.</v>
      </c>
      <c r="P22" s="15">
        <f>IFERROR((F22/(RadSpec!AH22*((Q_p_beef*f_p_beef*f_s_beef*(RadSpec!BB22+R_es_past))+(Q_s_beef*f_p_beef))))*1,".")</f>
        <v>0.49697977995983583</v>
      </c>
      <c r="Q22" s="15">
        <f>IFERROR(((G22*D_milk)/(RadSpec!AG22*((Q_p_dairy*f_p_dairy*f_s_dairy*(RadSpec!BB22+R_es_past))+(Q_s_dairy*f_p_dairy))))*1,".")</f>
        <v>0.2965437959309436</v>
      </c>
      <c r="R22" s="15" t="str">
        <f>IFERROR((H22/(RadSpec!AL22*((Q_p_swine*f_p_swine*f_s_swine*(RadSpec!BB22+R_es_past))+(Q_s_swine*f_p_swine))))*1,".")</f>
        <v>.</v>
      </c>
      <c r="S22" s="15">
        <f>IFERROR(((I22*RadSpec!AS22)/RadSpec!AI22)*1,".")</f>
        <v>1.6250530576573217E-4</v>
      </c>
      <c r="T22" s="120">
        <f t="shared" ref="T22:T23" si="177">IFERROR(1/J22,".")</f>
        <v>0.39018350000000002</v>
      </c>
      <c r="U22" s="120">
        <f t="shared" ref="U22:U23" si="178">IFERROR(1/K22,".")</f>
        <v>4.9841531206211371E-3</v>
      </c>
      <c r="V22" s="120">
        <f t="shared" ref="V22:V23" si="179">IFERROR(1/L22,".")</f>
        <v>0.15782418593272107</v>
      </c>
      <c r="W22" s="120">
        <f t="shared" ref="W22:W23" si="180">IFERROR(1/M22,".")</f>
        <v>68.293372689076506</v>
      </c>
      <c r="X22" s="120" t="str">
        <f t="shared" ref="X22:X23" si="181">IFERROR(1/N22,".")</f>
        <v>.</v>
      </c>
      <c r="Y22" s="120" t="str">
        <f t="shared" ref="Y22:Y23" si="182">IFERROR(1/O22,".")</f>
        <v>.</v>
      </c>
      <c r="Z22" s="120">
        <f t="shared" ref="Z22:Z23" si="183">IFERROR(1/P22,".")</f>
        <v>2.0121542974662199</v>
      </c>
      <c r="AA22" s="120">
        <f t="shared" ref="AA22:AA23" si="184">IFERROR(1/Q22,".")</f>
        <v>3.3721831773977522</v>
      </c>
      <c r="AB22" s="120" t="str">
        <f t="shared" ref="AB22:AB23" si="185">IFERROR(1/R22,".")</f>
        <v>.</v>
      </c>
      <c r="AC22" s="120">
        <f t="shared" ref="AC22:AC23" si="186">IFERROR(1/S22,".")</f>
        <v>6153.6452320000008</v>
      </c>
      <c r="AD22" s="15">
        <f t="shared" ref="AD22:AD23" si="187">IFERROR(1/(SUMIF(T22:AC22,"&lt;&gt;0")),".")</f>
        <v>1.6056838809845166E-4</v>
      </c>
      <c r="AE22" s="15">
        <f>IFERROR(TR/(RadSpec!H22*IFW_far_adj),".")</f>
        <v>0.27866097516115274</v>
      </c>
      <c r="AF22" s="15" t="str">
        <f>IFERROR(IF(RadSpec!C22=1,TR/(RadSpec!G22*IFA_far_adj*K),"."),".")</f>
        <v>.</v>
      </c>
      <c r="AG22" s="15">
        <f>IFERROR((TR/(RadSpec!L22*(1/8760)*DFA_far_adj)),".")</f>
        <v>21567027.983360112</v>
      </c>
      <c r="AH22" s="15">
        <f>b2w!AB22</f>
        <v>7.4527532478402769E-2</v>
      </c>
      <c r="AI22" s="15" t="str">
        <f>IFERROR(D22/(RadSpec!AJ22*Q_w_poultry*(1/1000)),".")</f>
        <v>.</v>
      </c>
      <c r="AJ22" s="15" t="str">
        <f>IFERROR(E22/(RadSpec!AK22*Q_w_poultry*(1/1000)),".")</f>
        <v>.</v>
      </c>
      <c r="AK22" s="15">
        <f>IFERROR(F22/(RadSpec!AH22*Q_w_beef*(1/1000)),".")</f>
        <v>34.436840179079866</v>
      </c>
      <c r="AL22" s="15">
        <f>IFERROR((G22*D_milk)/(RadSpec!AG22*Q_w_dairy*(1/1000)),".")</f>
        <v>18.926155671462219</v>
      </c>
      <c r="AM22" s="15" t="str">
        <f>IFERROR(H22/(RadSpec!AL22*Q_w_swine*(1/1000)),".")</f>
        <v>.</v>
      </c>
      <c r="AN22" s="15">
        <f>IFERROR(I22/(RadSpec!AI22*(1/1000)),".")</f>
        <v>0.16250530576573216</v>
      </c>
      <c r="AO22" s="120">
        <f t="shared" ref="AO22:AO23" si="188">IFERROR(1/AE22,".")</f>
        <v>3.5885900399999997</v>
      </c>
      <c r="AP22" s="120" t="str">
        <f t="shared" ref="AP22:AP23" si="189">IFERROR(1/AF22,".")</f>
        <v>.</v>
      </c>
      <c r="AQ22" s="120">
        <f t="shared" ref="AQ22:AQ23" si="190">IFERROR(1/AG22,".")</f>
        <v>4.6367074813068492E-8</v>
      </c>
      <c r="AR22" s="120">
        <f t="shared" ref="AR22:AR23" si="191">IFERROR(1/AH22,".")</f>
        <v>13.417860041049778</v>
      </c>
      <c r="AS22" s="120" t="str">
        <f t="shared" ref="AS22:AS23" si="192">IFERROR(1/AI22,".")</f>
        <v>.</v>
      </c>
      <c r="AT22" s="120" t="str">
        <f t="shared" ref="AT22:AT23" si="193">IFERROR(1/AJ22,".")</f>
        <v>.</v>
      </c>
      <c r="AU22" s="120">
        <f t="shared" ref="AU22:AU23" si="194">IFERROR(1/AK22,".")</f>
        <v>2.9038668902250004E-2</v>
      </c>
      <c r="AV22" s="120">
        <f t="shared" ref="AV22:AV23" si="195">IFERROR(1/AL22,".")</f>
        <v>5.2836931987611663E-2</v>
      </c>
      <c r="AW22" s="120" t="str">
        <f t="shared" ref="AW22:AW23" si="196">IFERROR(1/AM22,".")</f>
        <v>.</v>
      </c>
      <c r="AX22" s="120">
        <f t="shared" ref="AX22:AX23" si="197">IFERROR(1/AN22,".")</f>
        <v>6.1536452320000015</v>
      </c>
      <c r="AY22" s="15">
        <f t="shared" ref="AY22:AY23" si="198">IFERROR(1/(SUMIF(AO22:AX22,"&lt;&gt;0")),".")</f>
        <v>4.3025610939271361E-2</v>
      </c>
      <c r="AZ22" s="15">
        <f>IFERROR((TR/(RadSpec!G22*IFA_far_adj)),".")</f>
        <v>1.4759753281868042E-4</v>
      </c>
      <c r="BA22" s="15">
        <f>IFERROR((TR/(RadSpec!J22*EF_far*(1/365)*ED_far*ET_far*(1/24)*GSF_a)),".")</f>
        <v>1413.194864879596</v>
      </c>
      <c r="BB22" s="15">
        <f t="shared" ref="BB22:BB23" si="199">IFERROR(IF(AND(AZ22&lt;&gt;".",BA22&lt;&gt;"."),1/((1/AZ22)+(1/BA22)),IF(AND(AZ22&lt;&gt;".",BA22="."),1/((1/AZ22)),IF(AND(AZ22=".",BA22&lt;&gt;"."),1/((1/BA22)),IF(AND(AZ22=".",BA22="."),".")))),".")</f>
        <v>1.4759751740323418E-4</v>
      </c>
    </row>
    <row r="23" spans="1:54" customFormat="1" x14ac:dyDescent="0.25">
      <c r="A23" s="46" t="s">
        <v>33</v>
      </c>
      <c r="B23" s="42" t="s">
        <v>351</v>
      </c>
      <c r="C23" s="15">
        <f>dir!AB23</f>
        <v>9.9065962624326849E-5</v>
      </c>
      <c r="D23" s="15">
        <f>IFERROR(TR/(RadSpec!E23*IFP_far_adj*CF_far_poultry),".")</f>
        <v>1.4125098496960277E-3</v>
      </c>
      <c r="E23" s="15">
        <f>IFERROR(TR/(RadSpec!E23*IFE_far_adj*CF_far_egg),".")</f>
        <v>2.5062714241877093E-3</v>
      </c>
      <c r="F23" s="15">
        <f>IFERROR(TR/(RadSpec!E23*IFB_far_adj*CF_far_beef),".")</f>
        <v>9.2636338816983106E-4</v>
      </c>
      <c r="G23" s="15">
        <f>IFERROR(TR/(RadSpec!E23*IFD_far_adj*CF_far_dairy),".")</f>
        <v>1.9179174194582839E-4</v>
      </c>
      <c r="H23" s="15">
        <f>IFERROR(TR/(RadSpec!E23*IFSW_far_adj*CF_far_swine),".")</f>
        <v>1.6597159532906539E-3</v>
      </c>
      <c r="I23" s="15">
        <f>IFERROR(TR/(RadSpec!E23*IFFI_far_adj*CF_far_fish),".")</f>
        <v>1.9407108458353628E-4</v>
      </c>
      <c r="J23" s="15">
        <f>IFERROR((TR/(RadSpec!D23*IFS_far_adj*(1/1000)))*1,".")</f>
        <v>0.91732094583128065</v>
      </c>
      <c r="K23" s="15">
        <f>IFERROR(IF(A23="H-3",(TR/(RadSpec!G23*IFA_far_adj*(1/17)*1000))*1,(TR/(RadSpec!G23*IFA_far_adj*(1/PEF_wind)*1000))*1),".")</f>
        <v>186.39891540051062</v>
      </c>
      <c r="L23" s="15">
        <f>IFERROR((TR/(RadSpec!F23*EF_far*(1/365)*ED_far*RadSpec!Q23*((ET_far_o*(1/24)*RadSpec!V23)+(ET_far_i*(1/24)*RadSpec!AA23))))*1,".")</f>
        <v>1.5485112241837773</v>
      </c>
      <c r="M23" s="15">
        <f>b2s!AB23</f>
        <v>4.371744128649417E-3</v>
      </c>
      <c r="N23" s="15" t="str">
        <f>IFERROR((D23/(RadSpec!AJ23*((Q_p_poultry*f_p_poultry*f_s_poultry*(RadSpec!BB23+R_es_past))+(Q_s_poultry*f_p_poultry))))*1,".")</f>
        <v>.</v>
      </c>
      <c r="O23" s="15" t="str">
        <f>IFERROR((E23/(RadSpec!AK23*((Q_p_poultry*f_p_poultry*f_s_poultry*(RadSpec!BB23+R_es_past))+(Q_s_poultry*f_p_poultry))))*1,".")</f>
        <v>.</v>
      </c>
      <c r="P23" s="15">
        <f>IFERROR((F23/(RadSpec!AH23*((Q_p_beef*f_p_beef*f_s_beef*(RadSpec!BB23+R_es_past))+(Q_s_beef*f_p_beef))))*1,".")</f>
        <v>0.1483788551678647</v>
      </c>
      <c r="Q23" s="15">
        <f>IFERROR(((G23*D_milk)/(RadSpec!AG23*((Q_p_dairy*f_p_dairy*f_s_dairy*(RadSpec!BB23+R_es_past))+(Q_s_dairy*f_p_dairy))))*1,".")</f>
        <v>8.8536457058519147E-2</v>
      </c>
      <c r="R23" s="15" t="str">
        <f>IFERROR((H23/(RadSpec!AL23*((Q_p_swine*f_p_swine*f_s_swine*(RadSpec!BB23+R_es_past))+(Q_s_swine*f_p_swine))))*1,".")</f>
        <v>.</v>
      </c>
      <c r="S23" s="15">
        <f>IFERROR(((I23*RadSpec!AS23)/RadSpec!AI23)*1,".")</f>
        <v>4.851777114588407E-5</v>
      </c>
      <c r="T23" s="120">
        <f t="shared" si="177"/>
        <v>1.0901310000000002</v>
      </c>
      <c r="U23" s="120">
        <f t="shared" si="178"/>
        <v>5.3648380831579703E-3</v>
      </c>
      <c r="V23" s="120">
        <f t="shared" si="179"/>
        <v>0.64578156385472862</v>
      </c>
      <c r="W23" s="120">
        <f t="shared" si="180"/>
        <v>228.74165792244904</v>
      </c>
      <c r="X23" s="120" t="str">
        <f t="shared" si="181"/>
        <v>.</v>
      </c>
      <c r="Y23" s="120" t="str">
        <f t="shared" si="182"/>
        <v>.</v>
      </c>
      <c r="Z23" s="120">
        <f t="shared" si="183"/>
        <v>6.7395047553687828</v>
      </c>
      <c r="AA23" s="120">
        <f t="shared" si="184"/>
        <v>11.294782208633434</v>
      </c>
      <c r="AB23" s="120" t="str">
        <f t="shared" si="185"/>
        <v>.</v>
      </c>
      <c r="AC23" s="120">
        <f t="shared" si="186"/>
        <v>20611.004512</v>
      </c>
      <c r="AD23" s="15">
        <f t="shared" si="187"/>
        <v>4.7939737676546227E-5</v>
      </c>
      <c r="AE23" s="15">
        <f>IFERROR(TR/(RadSpec!H23*IFW_far_adj),".")</f>
        <v>8.2794462812304015E-2</v>
      </c>
      <c r="AF23" s="15">
        <f>IFERROR(IF(RadSpec!C23=1,TR/(RadSpec!G23*IFA_far_adj*K),"."),".")</f>
        <v>2.7424824100606324E-4</v>
      </c>
      <c r="AG23" s="15">
        <f>IFERROR((TR/(RadSpec!L23*(1/8760)*DFA_far_adj)),".")</f>
        <v>14578828.971992029</v>
      </c>
      <c r="AH23" s="15">
        <f>b2w!AB23</f>
        <v>2.224975266031768E-2</v>
      </c>
      <c r="AI23" s="15" t="str">
        <f>IFERROR(D23/(RadSpec!AJ23*Q_w_poultry*(1/1000)),".")</f>
        <v>.</v>
      </c>
      <c r="AJ23" s="15" t="str">
        <f>IFERROR(E23/(RadSpec!AK23*Q_w_poultry*(1/1000)),".")</f>
        <v>.</v>
      </c>
      <c r="AK23" s="15">
        <f>IFERROR(F23/(RadSpec!AH23*Q_w_beef*(1/1000)),".")</f>
        <v>10.281502643394351</v>
      </c>
      <c r="AL23" s="15">
        <f>IFERROR((G23*D_milk)/(RadSpec!AG23*Q_w_dairy*(1/1000)),".")</f>
        <v>5.650614822774692</v>
      </c>
      <c r="AM23" s="15" t="str">
        <f>IFERROR(H23/(RadSpec!AL23*Q_w_swine*(1/1000)),".")</f>
        <v>.</v>
      </c>
      <c r="AN23" s="15">
        <f>IFERROR(I23/(RadSpec!AI23*(1/1000)),".")</f>
        <v>4.851777114588407E-2</v>
      </c>
      <c r="AO23" s="120">
        <f t="shared" si="188"/>
        <v>12.078102400000002</v>
      </c>
      <c r="AP23" s="120">
        <f t="shared" si="189"/>
        <v>3646.3314999999998</v>
      </c>
      <c r="AQ23" s="120">
        <f t="shared" si="190"/>
        <v>6.8592614806109596E-8</v>
      </c>
      <c r="AR23" s="120">
        <f t="shared" si="191"/>
        <v>44.944319843316499</v>
      </c>
      <c r="AS23" s="120" t="str">
        <f t="shared" si="192"/>
        <v>.</v>
      </c>
      <c r="AT23" s="120" t="str">
        <f t="shared" si="193"/>
        <v>.</v>
      </c>
      <c r="AU23" s="120">
        <f t="shared" si="194"/>
        <v>9.7262047648499994E-2</v>
      </c>
      <c r="AV23" s="120">
        <f t="shared" si="195"/>
        <v>0.17697189268139807</v>
      </c>
      <c r="AW23" s="120" t="str">
        <f t="shared" si="196"/>
        <v>.</v>
      </c>
      <c r="AX23" s="120">
        <f t="shared" si="197"/>
        <v>20.611004512000001</v>
      </c>
      <c r="AY23" s="15">
        <f t="shared" si="198"/>
        <v>2.6851121983121874E-4</v>
      </c>
      <c r="AZ23" s="15">
        <f>IFERROR((TR/(RadSpec!G23*IFA_far_adj)),".")</f>
        <v>1.3712412050303162E-4</v>
      </c>
      <c r="BA23" s="15">
        <f>IFERROR((TR/(RadSpec!J23*EF_far*(1/365)*ED_far*ET_far*(1/24)*GSF_a)),".")</f>
        <v>915.10159283186954</v>
      </c>
      <c r="BB23" s="15">
        <f t="shared" si="199"/>
        <v>1.3712409995556262E-4</v>
      </c>
    </row>
    <row r="24" spans="1:54" customFormat="1" x14ac:dyDescent="0.25">
      <c r="A24" s="44" t="s">
        <v>34</v>
      </c>
      <c r="B24" s="42" t="s">
        <v>1074</v>
      </c>
      <c r="C24" s="15" t="str">
        <f>dir!AB24</f>
        <v>.</v>
      </c>
      <c r="D24" s="15" t="str">
        <f>IFERROR(TR/(RadSpec!E24*IFP_far_adj*CF_far_poultry),".")</f>
        <v>.</v>
      </c>
      <c r="E24" s="15" t="str">
        <f>IFERROR(TR/(RadSpec!E24*IFE_far_adj*CF_far_egg),".")</f>
        <v>.</v>
      </c>
      <c r="F24" s="15" t="str">
        <f>IFERROR(TR/(RadSpec!E24*IFB_far_adj*CF_far_beef),".")</f>
        <v>.</v>
      </c>
      <c r="G24" s="15" t="str">
        <f>IFERROR(TR/(RadSpec!E24*IFD_far_adj*CF_far_dairy),".")</f>
        <v>.</v>
      </c>
      <c r="H24" s="15" t="str">
        <f>IFERROR(TR/(RadSpec!E24*IFSW_far_adj*CF_far_swine),".")</f>
        <v>.</v>
      </c>
      <c r="I24" s="15" t="str">
        <f>IFERROR(TR/(RadSpec!E24*IFFI_far_adj*CF_far_fish),".")</f>
        <v>.</v>
      </c>
      <c r="J24" s="15" t="str">
        <f>IFERROR((TR/(RadSpec!D24*IFS_far_adj*(1/1000)))*1,".")</f>
        <v>.</v>
      </c>
      <c r="K24" s="15" t="str">
        <f>IFERROR(IF(A24="H-3",(TR/(RadSpec!G24*IFA_far_adj*(1/17)*1000))*1,(TR/(RadSpec!G24*IFA_far_adj*(1/PEF_wind)*1000))*1),".")</f>
        <v>.</v>
      </c>
      <c r="L24" s="15">
        <f>IFERROR((TR/(RadSpec!F24*EF_far*(1/365)*ED_far*RadSpec!Q24*((ET_far_o*(1/24)*RadSpec!V24)+(ET_far_i*(1/24)*RadSpec!AA24))))*1,".")</f>
        <v>11.426944895700977</v>
      </c>
      <c r="M24" s="15" t="str">
        <f>b2s!AB24</f>
        <v>.</v>
      </c>
      <c r="N24" s="15" t="str">
        <f>IFERROR((D24/(RadSpec!AJ24*((Q_p_poultry*f_p_poultry*f_s_poultry*(RadSpec!BB24+R_es_past))+(Q_s_poultry*f_p_poultry))))*1,".")</f>
        <v>.</v>
      </c>
      <c r="O24" s="15" t="str">
        <f>IFERROR((E24/(RadSpec!AK24*((Q_p_poultry*f_p_poultry*f_s_poultry*(RadSpec!BB24+R_es_past))+(Q_s_poultry*f_p_poultry))))*1,".")</f>
        <v>.</v>
      </c>
      <c r="P24" s="15" t="str">
        <f>IFERROR((F24/(RadSpec!AH24*((Q_p_beef*f_p_beef*f_s_beef*(RadSpec!BB24+R_es_past))+(Q_s_beef*f_p_beef))))*1,".")</f>
        <v>.</v>
      </c>
      <c r="Q24" s="15" t="str">
        <f>IFERROR(((G24*D_milk)/(RadSpec!AG24*((Q_p_dairy*f_p_dairy*f_s_dairy*(RadSpec!BB24+R_es_past))+(Q_s_dairy*f_p_dairy))))*1,".")</f>
        <v>.</v>
      </c>
      <c r="R24" s="15" t="str">
        <f>IFERROR((H24/(RadSpec!AL24*((Q_p_swine*f_p_swine*f_s_swine*(RadSpec!BB24+R_es_past))+(Q_s_swine*f_p_swine))))*1,".")</f>
        <v>.</v>
      </c>
      <c r="S24" s="15" t="str">
        <f>IFERROR(((I24*RadSpec!AS24)/RadSpec!AI24)*1,".")</f>
        <v>.</v>
      </c>
      <c r="T24" s="120" t="str">
        <f t="shared" ref="T24:T25" si="200">IFERROR(1/J24,".")</f>
        <v>.</v>
      </c>
      <c r="U24" s="120" t="str">
        <f t="shared" ref="U24:U25" si="201">IFERROR(1/K24,".")</f>
        <v>.</v>
      </c>
      <c r="V24" s="120">
        <f t="shared" ref="V24:V25" si="202">IFERROR(1/L24,".")</f>
        <v>8.7512454914893137E-2</v>
      </c>
      <c r="W24" s="120" t="str">
        <f t="shared" ref="W24:W25" si="203">IFERROR(1/M24,".")</f>
        <v>.</v>
      </c>
      <c r="X24" s="120" t="str">
        <f t="shared" ref="X24:X25" si="204">IFERROR(1/N24,".")</f>
        <v>.</v>
      </c>
      <c r="Y24" s="120" t="str">
        <f t="shared" ref="Y24:Y25" si="205">IFERROR(1/O24,".")</f>
        <v>.</v>
      </c>
      <c r="Z24" s="120" t="str">
        <f t="shared" ref="Z24:Z25" si="206">IFERROR(1/P24,".")</f>
        <v>.</v>
      </c>
      <c r="AA24" s="120" t="str">
        <f t="shared" ref="AA24:AA25" si="207">IFERROR(1/Q24,".")</f>
        <v>.</v>
      </c>
      <c r="AB24" s="120" t="str">
        <f t="shared" ref="AB24:AB25" si="208">IFERROR(1/R24,".")</f>
        <v>.</v>
      </c>
      <c r="AC24" s="120" t="str">
        <f t="shared" ref="AC24:AC25" si="209">IFERROR(1/S24,".")</f>
        <v>.</v>
      </c>
      <c r="AD24" s="15">
        <f t="shared" ref="AD24:AD25" si="210">IFERROR(1/(SUMIF(T24:AC24,"&lt;&gt;0")),".")</f>
        <v>11.426944895700977</v>
      </c>
      <c r="AE24" s="15" t="str">
        <f>IFERROR(TR/(RadSpec!H24*IFW_far_adj),".")</f>
        <v>.</v>
      </c>
      <c r="AF24" s="15" t="str">
        <f>IFERROR(IF(RadSpec!C24=1,TR/(RadSpec!G24*IFA_far_adj*K),"."),".")</f>
        <v>.</v>
      </c>
      <c r="AG24" s="15">
        <f>IFERROR((TR/(RadSpec!L24*(1/8760)*DFA_far_adj)),".")</f>
        <v>132020761.51702733</v>
      </c>
      <c r="AH24" s="15" t="str">
        <f>b2w!AB24</f>
        <v>.</v>
      </c>
      <c r="AI24" s="15" t="str">
        <f>IFERROR(D24/(RadSpec!AJ24*Q_w_poultry*(1/1000)),".")</f>
        <v>.</v>
      </c>
      <c r="AJ24" s="15" t="str">
        <f>IFERROR(E24/(RadSpec!AK24*Q_w_poultry*(1/1000)),".")</f>
        <v>.</v>
      </c>
      <c r="AK24" s="15" t="str">
        <f>IFERROR(F24/(RadSpec!AH24*Q_w_beef*(1/1000)),".")</f>
        <v>.</v>
      </c>
      <c r="AL24" s="15" t="str">
        <f>IFERROR((G24*D_milk)/(RadSpec!AG24*Q_w_dairy*(1/1000)),".")</f>
        <v>.</v>
      </c>
      <c r="AM24" s="15" t="str">
        <f>IFERROR(H24/(RadSpec!AL24*Q_w_swine*(1/1000)),".")</f>
        <v>.</v>
      </c>
      <c r="AN24" s="15" t="str">
        <f>IFERROR(I24/(RadSpec!AI24*(1/1000)),".")</f>
        <v>.</v>
      </c>
      <c r="AO24" s="120" t="str">
        <f t="shared" ref="AO24:AO25" si="211">IFERROR(1/AE24,".")</f>
        <v>.</v>
      </c>
      <c r="AP24" s="120" t="str">
        <f t="shared" ref="AP24:AP25" si="212">IFERROR(1/AF24,".")</f>
        <v>.</v>
      </c>
      <c r="AQ24" s="120">
        <f t="shared" ref="AQ24:AQ25" si="213">IFERROR(1/AG24,".")</f>
        <v>7.5745662160191771E-9</v>
      </c>
      <c r="AR24" s="120" t="str">
        <f t="shared" ref="AR24:AR25" si="214">IFERROR(1/AH24,".")</f>
        <v>.</v>
      </c>
      <c r="AS24" s="120" t="str">
        <f t="shared" ref="AS24:AS25" si="215">IFERROR(1/AI24,".")</f>
        <v>.</v>
      </c>
      <c r="AT24" s="120" t="str">
        <f t="shared" ref="AT24:AT25" si="216">IFERROR(1/AJ24,".")</f>
        <v>.</v>
      </c>
      <c r="AU24" s="120" t="str">
        <f t="shared" ref="AU24:AU25" si="217">IFERROR(1/AK24,".")</f>
        <v>.</v>
      </c>
      <c r="AV24" s="120" t="str">
        <f t="shared" ref="AV24:AV25" si="218">IFERROR(1/AL24,".")</f>
        <v>.</v>
      </c>
      <c r="AW24" s="120" t="str">
        <f t="shared" ref="AW24:AW25" si="219">IFERROR(1/AM24,".")</f>
        <v>.</v>
      </c>
      <c r="AX24" s="120" t="str">
        <f t="shared" ref="AX24:AX25" si="220">IFERROR(1/AN24,".")</f>
        <v>.</v>
      </c>
      <c r="AY24" s="15">
        <f>IFERROR(1/(SUMIF(AO24:AX24,"&lt;&gt;0")),".")</f>
        <v>132020761.51702735</v>
      </c>
      <c r="AZ24" s="15" t="str">
        <f>IFERROR((TR/(RadSpec!G24*IFA_far_adj)),".")</f>
        <v>.</v>
      </c>
      <c r="BA24" s="15">
        <f>IFERROR((TR/(RadSpec!J24*EF_far*(1/365)*ED_far*ET_far*(1/24)*GSF_a)),".")</f>
        <v>8178.9299872152451</v>
      </c>
      <c r="BB24" s="15">
        <f t="shared" ref="BB24:BB30" si="221">IFERROR(IF(AND(AZ24&lt;&gt;".",BA24&lt;&gt;"."),1/((1/AZ24)+(1/BA24)),IF(AND(AZ24&lt;&gt;".",BA24="."),1/((1/AZ24)),IF(AND(AZ24=".",BA24&lt;&gt;"."),1/((1/BA24)),IF(AND(AZ24=".",BA24="."),".")))),".")</f>
        <v>8178.9299872152442</v>
      </c>
    </row>
    <row r="25" spans="1:54" customFormat="1" x14ac:dyDescent="0.25">
      <c r="A25" s="46" t="s">
        <v>35</v>
      </c>
      <c r="B25" s="42" t="s">
        <v>351</v>
      </c>
      <c r="C25" s="15" t="str">
        <f>dir!AB25</f>
        <v>.</v>
      </c>
      <c r="D25" s="15" t="str">
        <f>IFERROR(TR/(RadSpec!E25*IFP_far_adj*CF_far_poultry),".")</f>
        <v>.</v>
      </c>
      <c r="E25" s="15" t="str">
        <f>IFERROR(TR/(RadSpec!E25*IFE_far_adj*CF_far_egg),".")</f>
        <v>.</v>
      </c>
      <c r="F25" s="15" t="str">
        <f>IFERROR(TR/(RadSpec!E25*IFB_far_adj*CF_far_beef),".")</f>
        <v>.</v>
      </c>
      <c r="G25" s="15" t="str">
        <f>IFERROR(TR/(RadSpec!E25*IFD_far_adj*CF_far_dairy),".")</f>
        <v>.</v>
      </c>
      <c r="H25" s="15" t="str">
        <f>IFERROR(TR/(RadSpec!E25*IFSW_far_adj*CF_far_swine),".")</f>
        <v>.</v>
      </c>
      <c r="I25" s="15" t="str">
        <f>IFERROR(TR/(RadSpec!E25*IFFI_far_adj*CF_far_fish),".")</f>
        <v>.</v>
      </c>
      <c r="J25" s="15" t="str">
        <f>IFERROR((TR/(RadSpec!D25*IFS_far_adj*(1/1000)))*1,".")</f>
        <v>.</v>
      </c>
      <c r="K25" s="15">
        <f>IFERROR(IF(A25="H-3",(TR/(RadSpec!G25*IFA_far_adj*(1/17)*1000))*1,(TR/(RadSpec!G25*IFA_far_adj*(1/PEF_wind)*1000))*1),".")</f>
        <v>2301944.8512860425</v>
      </c>
      <c r="L25" s="15">
        <f>IFERROR((TR/(RadSpec!F25*EF_far*(1/365)*ED_far*RadSpec!Q25*((ET_far_o*(1/24)*RadSpec!V25)+(ET_far_i*(1/24)*RadSpec!AA25))))*1,".")</f>
        <v>22.853889791401954</v>
      </c>
      <c r="M25" s="15" t="str">
        <f>b2s!AB25</f>
        <v>.</v>
      </c>
      <c r="N25" s="15" t="str">
        <f>IFERROR((D25/(RadSpec!AJ25*((Q_p_poultry*f_p_poultry*f_s_poultry*(RadSpec!BB25+R_es_past))+(Q_s_poultry*f_p_poultry))))*1,".")</f>
        <v>.</v>
      </c>
      <c r="O25" s="15" t="str">
        <f>IFERROR((E25/(RadSpec!AK25*((Q_p_poultry*f_p_poultry*f_s_poultry*(RadSpec!BB25+R_es_past))+(Q_s_poultry*f_p_poultry))))*1,".")</f>
        <v>.</v>
      </c>
      <c r="P25" s="15" t="str">
        <f>IFERROR((F25/(RadSpec!AH25*((Q_p_beef*f_p_beef*f_s_beef*(RadSpec!BB25+R_es_past))+(Q_s_beef*f_p_beef))))*1,".")</f>
        <v>.</v>
      </c>
      <c r="Q25" s="15" t="str">
        <f>IFERROR(((G25*D_milk)/(RadSpec!AG25*((Q_p_dairy*f_p_dairy*f_s_dairy*(RadSpec!BB25+R_es_past))+(Q_s_dairy*f_p_dairy))))*1,".")</f>
        <v>.</v>
      </c>
      <c r="R25" s="15" t="str">
        <f>IFERROR((H25/(RadSpec!AL25*((Q_p_swine*f_p_swine*f_s_swine*(RadSpec!BB25+R_es_past))+(Q_s_swine*f_p_swine))))*1,".")</f>
        <v>.</v>
      </c>
      <c r="S25" s="15" t="str">
        <f>IFERROR(((I25*RadSpec!AS25)/RadSpec!AI25)*1,".")</f>
        <v>.</v>
      </c>
      <c r="T25" s="120" t="str">
        <f t="shared" si="200"/>
        <v>.</v>
      </c>
      <c r="U25" s="120">
        <f t="shared" si="201"/>
        <v>4.3441527256455492E-7</v>
      </c>
      <c r="V25" s="120">
        <f t="shared" si="202"/>
        <v>4.3756227457446568E-2</v>
      </c>
      <c r="W25" s="120" t="str">
        <f t="shared" si="203"/>
        <v>.</v>
      </c>
      <c r="X25" s="120" t="str">
        <f t="shared" si="204"/>
        <v>.</v>
      </c>
      <c r="Y25" s="120" t="str">
        <f t="shared" si="205"/>
        <v>.</v>
      </c>
      <c r="Z25" s="120" t="str">
        <f t="shared" si="206"/>
        <v>.</v>
      </c>
      <c r="AA25" s="120" t="str">
        <f t="shared" si="207"/>
        <v>.</v>
      </c>
      <c r="AB25" s="120" t="str">
        <f t="shared" si="208"/>
        <v>.</v>
      </c>
      <c r="AC25" s="120" t="str">
        <f t="shared" si="209"/>
        <v>.</v>
      </c>
      <c r="AD25" s="15">
        <f t="shared" si="210"/>
        <v>22.853662898436678</v>
      </c>
      <c r="AE25" s="15" t="str">
        <f>IFERROR(TR/(RadSpec!H25*IFW_far_adj),".")</f>
        <v>.</v>
      </c>
      <c r="AF25" s="15">
        <f>IFERROR(IF(RadSpec!C25=1,TR/(RadSpec!G25*IFA_far_adj*K),"."),".")</f>
        <v>3.3868454921086499</v>
      </c>
      <c r="AG25" s="15">
        <f>IFERROR((TR/(RadSpec!L25*(1/8760)*DFA_far_adj)),".")</f>
        <v>260094058.40397739</v>
      </c>
      <c r="AH25" s="15" t="str">
        <f>b2w!AB25</f>
        <v>.</v>
      </c>
      <c r="AI25" s="15" t="str">
        <f>IFERROR(D25/(RadSpec!AJ25*Q_w_poultry*(1/1000)),".")</f>
        <v>.</v>
      </c>
      <c r="AJ25" s="15" t="str">
        <f>IFERROR(E25/(RadSpec!AK25*Q_w_poultry*(1/1000)),".")</f>
        <v>.</v>
      </c>
      <c r="AK25" s="15" t="str">
        <f>IFERROR(F25/(RadSpec!AH25*Q_w_beef*(1/1000)),".")</f>
        <v>.</v>
      </c>
      <c r="AL25" s="15" t="str">
        <f>IFERROR((G25*D_milk)/(RadSpec!AG25*Q_w_dairy*(1/1000)),".")</f>
        <v>.</v>
      </c>
      <c r="AM25" s="15" t="str">
        <f>IFERROR(H25/(RadSpec!AL25*Q_w_swine*(1/1000)),".")</f>
        <v>.</v>
      </c>
      <c r="AN25" s="15" t="str">
        <f>IFERROR(I25/(RadSpec!AI25*(1/1000)),".")</f>
        <v>.</v>
      </c>
      <c r="AO25" s="120" t="str">
        <f t="shared" si="211"/>
        <v>.</v>
      </c>
      <c r="AP25" s="120">
        <f t="shared" si="212"/>
        <v>0.29526000000000002</v>
      </c>
      <c r="AQ25" s="120">
        <f t="shared" si="213"/>
        <v>3.8447629528191783E-9</v>
      </c>
      <c r="AR25" s="120" t="str">
        <f t="shared" si="214"/>
        <v>.</v>
      </c>
      <c r="AS25" s="120" t="str">
        <f t="shared" si="215"/>
        <v>.</v>
      </c>
      <c r="AT25" s="120" t="str">
        <f t="shared" si="216"/>
        <v>.</v>
      </c>
      <c r="AU25" s="120" t="str">
        <f t="shared" si="217"/>
        <v>.</v>
      </c>
      <c r="AV25" s="120" t="str">
        <f t="shared" si="218"/>
        <v>.</v>
      </c>
      <c r="AW25" s="120" t="str">
        <f t="shared" si="219"/>
        <v>.</v>
      </c>
      <c r="AX25" s="120" t="str">
        <f t="shared" si="220"/>
        <v>.</v>
      </c>
      <c r="AY25" s="15">
        <f>IFERROR(1/(SUMIF(AO25:AX25,"&lt;&gt;0")),".")</f>
        <v>3.3868454480064418</v>
      </c>
      <c r="AZ25" s="15">
        <f>IFERROR((TR/(RadSpec!G25*IFA_far_adj)),".")</f>
        <v>1.693422746054325</v>
      </c>
      <c r="BA25" s="15">
        <f>IFERROR((TR/(RadSpec!J25*EF_far*(1/365)*ED_far*ET_far*(1/24)*GSF_a)),".")</f>
        <v>16063.653859782458</v>
      </c>
      <c r="BB25" s="15">
        <f t="shared" si="221"/>
        <v>1.6932442450517369</v>
      </c>
    </row>
    <row r="26" spans="1:54" customFormat="1" x14ac:dyDescent="0.25">
      <c r="A26" s="44" t="s">
        <v>36</v>
      </c>
      <c r="B26" s="42" t="s">
        <v>1074</v>
      </c>
      <c r="C26" s="15">
        <f>dir!AB26</f>
        <v>1.7541616311823484E-4</v>
      </c>
      <c r="D26" s="15">
        <f>IFERROR(TR/(RadSpec!E26*IFP_far_adj*CF_far_poultry),".")</f>
        <v>2.5011320905445581E-3</v>
      </c>
      <c r="E26" s="15">
        <f>IFERROR(TR/(RadSpec!E26*IFE_far_adj*CF_far_egg),".")</f>
        <v>4.4378564071604022E-3</v>
      </c>
      <c r="F26" s="15">
        <f>IFERROR(TR/(RadSpec!E26*IFB_far_adj*CF_far_beef),".")</f>
        <v>1.6403122414726942E-3</v>
      </c>
      <c r="G26" s="15">
        <f>IFERROR(TR/(RadSpec!E26*IFD_far_adj*CF_far_dairy),".")</f>
        <v>3.3960575962382352E-4</v>
      </c>
      <c r="H26" s="15">
        <f>IFERROR(TR/(RadSpec!E26*IFSW_far_adj*CF_far_swine),".")</f>
        <v>2.9388600956356797E-3</v>
      </c>
      <c r="I26" s="15">
        <f>IFERROR(TR/(RadSpec!E26*IFFI_far_adj*CF_far_fish),".")</f>
        <v>3.4364179308422346E-4</v>
      </c>
      <c r="J26" s="15">
        <f>IFERROR((TR/(RadSpec!D26*IFS_far_adj*(1/1000)))*1,".")</f>
        <v>1.6141320489146573</v>
      </c>
      <c r="K26" s="15">
        <f>IFERROR(IF(A26="H-3",(TR/(RadSpec!G26*IFA_far_adj*(1/17)*1000))*1,(TR/(RadSpec!G26*IFA_far_adj*(1/PEF_wind)*1000))*1),".")</f>
        <v>30.052875978768757</v>
      </c>
      <c r="L26" s="15">
        <f>IFERROR((TR/(RadSpec!F26*EF_far*(1/365)*ED_far*RadSpec!Q26*((ET_far_o*(1/24)*RadSpec!V26)+(ET_far_i*(1/24)*RadSpec!AA26))))*1,".")</f>
        <v>0.17259448019548351</v>
      </c>
      <c r="M26" s="15">
        <f>b2s!AB26</f>
        <v>0.12266165856675273</v>
      </c>
      <c r="N26" s="15" t="str">
        <f>IFERROR((D26/(RadSpec!AJ26*((Q_p_poultry*f_p_poultry*f_s_poultry*(RadSpec!BB26+R_es_past))+(Q_s_poultry*f_p_poultry))))*1,".")</f>
        <v>.</v>
      </c>
      <c r="O26" s="15" t="str">
        <f>IFERROR((E26/(RadSpec!AK26*((Q_p_poultry*f_p_poultry*f_s_poultry*(RadSpec!BB26+R_es_past))+(Q_s_poultry*f_p_poultry))))*1,".")</f>
        <v>.</v>
      </c>
      <c r="P26" s="15">
        <f>IFERROR((F26/(RadSpec!AH26*((Q_p_beef*f_p_beef*f_s_beef*(RadSpec!BB26+R_es_past))+(Q_s_beef*f_p_beef))))*1,".")</f>
        <v>2.054732518475169</v>
      </c>
      <c r="Q26" s="15">
        <f>IFERROR(((G26*D_milk)/(RadSpec!AG26*((Q_p_dairy*f_p_dairy*f_s_dairy*(RadSpec!BB26+R_es_past))+(Q_s_dairy*f_p_dairy))))*1,".")</f>
        <v>12.664516017832662</v>
      </c>
      <c r="R26" s="15" t="str">
        <f>IFERROR((H26/(RadSpec!AL26*((Q_p_swine*f_p_swine*f_s_swine*(RadSpec!BB26+R_es_past))+(Q_s_swine*f_p_swine))))*1,".")</f>
        <v>.</v>
      </c>
      <c r="S26" s="15">
        <f>IFERROR(((I26*RadSpec!AS26)/RadSpec!AI26)*1,".")</f>
        <v>1.1454726436140783E-3</v>
      </c>
      <c r="T26" s="120">
        <f t="shared" ref="T26" si="222">IFERROR(1/J26,".")</f>
        <v>0.61952800000000008</v>
      </c>
      <c r="U26" s="120">
        <f t="shared" ref="U26" si="223">IFERROR(1/K26,".")</f>
        <v>3.3274685614330654E-2</v>
      </c>
      <c r="V26" s="120">
        <f t="shared" ref="V26" si="224">IFERROR(1/L26,".")</f>
        <v>5.7939280495377519</v>
      </c>
      <c r="W26" s="120">
        <f t="shared" ref="W26" si="225">IFERROR(1/M26,".")</f>
        <v>8.1525067546335013</v>
      </c>
      <c r="X26" s="120" t="str">
        <f t="shared" ref="X26" si="226">IFERROR(1/N26,".")</f>
        <v>.</v>
      </c>
      <c r="Y26" s="120" t="str">
        <f t="shared" ref="Y26" si="227">IFERROR(1/O26,".")</f>
        <v>.</v>
      </c>
      <c r="Z26" s="120">
        <f t="shared" ref="Z26" si="228">IFERROR(1/P26,".")</f>
        <v>0.48668135195626672</v>
      </c>
      <c r="AA26" s="120">
        <f t="shared" ref="AA26" si="229">IFERROR(1/Q26,".")</f>
        <v>7.8960775018320412E-2</v>
      </c>
      <c r="AB26" s="120" t="str">
        <f t="shared" ref="AB26" si="230">IFERROR(1/R26,".")</f>
        <v>.</v>
      </c>
      <c r="AC26" s="120">
        <f t="shared" ref="AC26" si="231">IFERROR(1/S26,".")</f>
        <v>873.0020796</v>
      </c>
      <c r="AD26" s="15">
        <f t="shared" ref="AD26" si="232">IFERROR(1/(SUMIF(T26:AC26,"&lt;&gt;0")),".")</f>
        <v>1.1259144349187017E-3</v>
      </c>
      <c r="AE26" s="15">
        <f>IFERROR(TR/(RadSpec!H26*IFW_far_adj),".")</f>
        <v>0.14256000219337117</v>
      </c>
      <c r="AF26" s="15" t="str">
        <f>IFERROR(IF(RadSpec!C26=1,TR/(RadSpec!G26*IFA_far_adj*K),"."),".")</f>
        <v>.</v>
      </c>
      <c r="AG26" s="15">
        <f>IFERROR((TR/(RadSpec!L26*(1/8760)*DFA_far_adj)),".")</f>
        <v>1368676.775867084</v>
      </c>
      <c r="AH26" s="15">
        <f>b2w!AB26</f>
        <v>4.749596195938717E-2</v>
      </c>
      <c r="AI26" s="15" t="str">
        <f>IFERROR(D26/(RadSpec!AJ26*Q_w_poultry*(1/1000)),".")</f>
        <v>.</v>
      </c>
      <c r="AJ26" s="15" t="str">
        <f>IFERROR(E26/(RadSpec!AK26*Q_w_poultry*(1/1000)),".")</f>
        <v>.</v>
      </c>
      <c r="AK26" s="15">
        <f>IFERROR(F26/(RadSpec!AH26*Q_w_beef*(1/1000)),".")</f>
        <v>134.56211989111517</v>
      </c>
      <c r="AL26" s="15">
        <f>IFERROR((G26*D_milk)/(RadSpec!AG26*Q_w_dairy*(1/1000)),".")</f>
        <v>760.42159220117003</v>
      </c>
      <c r="AM26" s="15" t="str">
        <f>IFERROR(H26/(RadSpec!AL26*Q_w_swine*(1/1000)),".")</f>
        <v>.</v>
      </c>
      <c r="AN26" s="15">
        <f>IFERROR(I26/(RadSpec!AI26*(1/1000)),".")</f>
        <v>5.7273632180703908E-2</v>
      </c>
      <c r="AO26" s="120">
        <f t="shared" ref="AO26" si="233">IFERROR(1/AE26,".")</f>
        <v>7.0145902399999995</v>
      </c>
      <c r="AP26" s="120" t="str">
        <f t="shared" ref="AP26" si="234">IFERROR(1/AF26,".")</f>
        <v>.</v>
      </c>
      <c r="AQ26" s="120">
        <f t="shared" ref="AQ26" si="235">IFERROR(1/AG26,".")</f>
        <v>7.3063269402410958E-7</v>
      </c>
      <c r="AR26" s="120">
        <f t="shared" ref="AR26" si="236">IFERROR(1/AH26,".")</f>
        <v>21.054421444397306</v>
      </c>
      <c r="AS26" s="120" t="str">
        <f t="shared" ref="AS26" si="237">IFERROR(1/AI26,".")</f>
        <v>.</v>
      </c>
      <c r="AT26" s="120" t="str">
        <f t="shared" ref="AT26" si="238">IFERROR(1/AJ26,".")</f>
        <v>.</v>
      </c>
      <c r="AU26" s="120">
        <f t="shared" ref="AU26" si="239">IFERROR(1/AK26,".")</f>
        <v>7.4315119352250016E-3</v>
      </c>
      <c r="AV26" s="120">
        <f t="shared" ref="AV26" si="240">IFERROR(1/AL26,".")</f>
        <v>1.3150599749611651E-3</v>
      </c>
      <c r="AW26" s="120" t="str">
        <f t="shared" ref="AW26" si="241">IFERROR(1/AM26,".")</f>
        <v>.</v>
      </c>
      <c r="AX26" s="120">
        <f t="shared" ref="AX26" si="242">IFERROR(1/AN26,".")</f>
        <v>17.460041592000003</v>
      </c>
      <c r="AY26" s="15">
        <f>IFERROR(1/(SUMIF(AO26:AX26,"&lt;&gt;0")),".")</f>
        <v>2.1959778190571391E-2</v>
      </c>
      <c r="AZ26" s="15">
        <f>IFERROR((TR/(RadSpec!G26*IFA_far_adj)),".")</f>
        <v>2.210835925906929E-5</v>
      </c>
      <c r="BA26" s="15">
        <f>IFERROR((TR/(RadSpec!J26*EF_far*(1/365)*ED_far*ET_far*(1/24)*GSF_a)),".")</f>
        <v>86.881240720224184</v>
      </c>
      <c r="BB26" s="15">
        <f t="shared" si="221"/>
        <v>2.2108353633235443E-5</v>
      </c>
    </row>
    <row r="27" spans="1:54" customFormat="1" x14ac:dyDescent="0.25">
      <c r="A27" s="44" t="s">
        <v>37</v>
      </c>
      <c r="B27" s="42" t="s">
        <v>1074</v>
      </c>
      <c r="C27" s="15" t="str">
        <f>dir!AB27</f>
        <v>.</v>
      </c>
      <c r="D27" s="15" t="str">
        <f>IFERROR(TR/(RadSpec!E27*IFP_far_adj*CF_far_poultry),".")</f>
        <v>.</v>
      </c>
      <c r="E27" s="15" t="str">
        <f>IFERROR(TR/(RadSpec!E27*IFE_far_adj*CF_far_egg),".")</f>
        <v>.</v>
      </c>
      <c r="F27" s="15" t="str">
        <f>IFERROR(TR/(RadSpec!E27*IFB_far_adj*CF_far_beef),".")</f>
        <v>.</v>
      </c>
      <c r="G27" s="15" t="str">
        <f>IFERROR(TR/(RadSpec!E27*IFD_far_adj*CF_far_dairy),".")</f>
        <v>.</v>
      </c>
      <c r="H27" s="15" t="str">
        <f>IFERROR(TR/(RadSpec!E27*IFSW_far_adj*CF_far_swine),".")</f>
        <v>.</v>
      </c>
      <c r="I27" s="15" t="str">
        <f>IFERROR(TR/(RadSpec!E27*IFFI_far_adj*CF_far_fish),".")</f>
        <v>.</v>
      </c>
      <c r="J27" s="15" t="str">
        <f>IFERROR((TR/(RadSpec!D27*IFS_far_adj*(1/1000)))*1,".")</f>
        <v>.</v>
      </c>
      <c r="K27" s="15" t="str">
        <f>IFERROR(IF(A27="H-3",(TR/(RadSpec!G27*IFA_far_adj*(1/17)*1000))*1,(TR/(RadSpec!G27*IFA_far_adj*(1/PEF_wind)*1000))*1),".")</f>
        <v>.</v>
      </c>
      <c r="L27" s="15">
        <f>IFERROR((TR/(RadSpec!F27*EF_far*(1/365)*ED_far*RadSpec!Q27*((ET_far_o*(1/24)*RadSpec!V27)+(ET_far_i*(1/24)*RadSpec!AA27))))*1,".")</f>
        <v>6.3361644737156473</v>
      </c>
      <c r="M27" s="15" t="str">
        <f>b2s!AB27</f>
        <v>.</v>
      </c>
      <c r="N27" s="15" t="str">
        <f>IFERROR((D27/(RadSpec!AJ27*((Q_p_poultry*f_p_poultry*f_s_poultry*(RadSpec!BB27+R_es_past))+(Q_s_poultry*f_p_poultry))))*1,".")</f>
        <v>.</v>
      </c>
      <c r="O27" s="15" t="str">
        <f>IFERROR((E27/(RadSpec!AK27*((Q_p_poultry*f_p_poultry*f_s_poultry*(RadSpec!BB27+R_es_past))+(Q_s_poultry*f_p_poultry))))*1,".")</f>
        <v>.</v>
      </c>
      <c r="P27" s="15" t="str">
        <f>IFERROR((F27/(RadSpec!AH27*((Q_p_beef*f_p_beef*f_s_beef*(RadSpec!BB27+R_es_past))+(Q_s_beef*f_p_beef))))*1,".")</f>
        <v>.</v>
      </c>
      <c r="Q27" s="15" t="str">
        <f>IFERROR(((G27*D_milk)/(RadSpec!AG27*((Q_p_dairy*f_p_dairy*f_s_dairy*(RadSpec!BB27+R_es_past))+(Q_s_dairy*f_p_dairy))))*1,".")</f>
        <v>.</v>
      </c>
      <c r="R27" s="15" t="str">
        <f>IFERROR((H27/(RadSpec!AL27*((Q_p_swine*f_p_swine*f_s_swine*(RadSpec!BB27+R_es_past))+(Q_s_swine*f_p_swine))))*1,".")</f>
        <v>.</v>
      </c>
      <c r="S27" s="15" t="str">
        <f>IFERROR(((I27*RadSpec!AS27)/RadSpec!AI27)*1,".")</f>
        <v>.</v>
      </c>
      <c r="T27" s="120" t="str">
        <f t="shared" ref="T27:T30" si="243">IFERROR(1/J27,".")</f>
        <v>.</v>
      </c>
      <c r="U27" s="120" t="str">
        <f t="shared" ref="U27:U30" si="244">IFERROR(1/K27,".")</f>
        <v>.</v>
      </c>
      <c r="V27" s="120">
        <f t="shared" ref="V27:V30" si="245">IFERROR(1/L27,".")</f>
        <v>0.15782418593272107</v>
      </c>
      <c r="W27" s="120" t="str">
        <f t="shared" ref="W27:W30" si="246">IFERROR(1/M27,".")</f>
        <v>.</v>
      </c>
      <c r="X27" s="120" t="str">
        <f t="shared" ref="X27:X30" si="247">IFERROR(1/N27,".")</f>
        <v>.</v>
      </c>
      <c r="Y27" s="120" t="str">
        <f t="shared" ref="Y27:Y30" si="248">IFERROR(1/O27,".")</f>
        <v>.</v>
      </c>
      <c r="Z27" s="120" t="str">
        <f t="shared" ref="Z27:Z30" si="249">IFERROR(1/P27,".")</f>
        <v>.</v>
      </c>
      <c r="AA27" s="120" t="str">
        <f t="shared" ref="AA27:AA30" si="250">IFERROR(1/Q27,".")</f>
        <v>.</v>
      </c>
      <c r="AB27" s="120" t="str">
        <f t="shared" ref="AB27:AB30" si="251">IFERROR(1/R27,".")</f>
        <v>.</v>
      </c>
      <c r="AC27" s="120" t="str">
        <f t="shared" ref="AC27:AC30" si="252">IFERROR(1/S27,".")</f>
        <v>.</v>
      </c>
      <c r="AD27" s="15">
        <f t="shared" ref="AD27:AD30" si="253">IFERROR(1/(SUMIF(T27:AC27,"&lt;&gt;0")),".")</f>
        <v>6.3361644737156464</v>
      </c>
      <c r="AE27" s="15" t="str">
        <f>IFERROR(TR/(RadSpec!H27*IFW_far_adj),".")</f>
        <v>.</v>
      </c>
      <c r="AF27" s="15" t="str">
        <f>IFERROR(IF(RadSpec!C27=1,TR/(RadSpec!G27*IFA_far_adj*K),"."),".")</f>
        <v>.</v>
      </c>
      <c r="AG27" s="15">
        <f>IFERROR((TR/(RadSpec!L27*(1/8760)*DFA_far_adj)),".")</f>
        <v>62133580.618727945</v>
      </c>
      <c r="AH27" s="15" t="str">
        <f>b2w!AB27</f>
        <v>.</v>
      </c>
      <c r="AI27" s="15" t="str">
        <f>IFERROR(D27/(RadSpec!AJ27*Q_w_poultry*(1/1000)),".")</f>
        <v>.</v>
      </c>
      <c r="AJ27" s="15" t="str">
        <f>IFERROR(E27/(RadSpec!AK27*Q_w_poultry*(1/1000)),".")</f>
        <v>.</v>
      </c>
      <c r="AK27" s="15" t="str">
        <f>IFERROR(F27/(RadSpec!AH27*Q_w_beef*(1/1000)),".")</f>
        <v>.</v>
      </c>
      <c r="AL27" s="15" t="str">
        <f>IFERROR((G27*D_milk)/(RadSpec!AG27*Q_w_dairy*(1/1000)),".")</f>
        <v>.</v>
      </c>
      <c r="AM27" s="15" t="str">
        <f>IFERROR(H27/(RadSpec!AL27*Q_w_swine*(1/1000)),".")</f>
        <v>.</v>
      </c>
      <c r="AN27" s="15" t="str">
        <f>IFERROR(I27/(RadSpec!AI27*(1/1000)),".")</f>
        <v>.</v>
      </c>
      <c r="AO27" s="120" t="str">
        <f t="shared" ref="AO27:AO30" si="254">IFERROR(1/AE27,".")</f>
        <v>.</v>
      </c>
      <c r="AP27" s="120" t="str">
        <f t="shared" ref="AP27:AP30" si="255">IFERROR(1/AF27,".")</f>
        <v>.</v>
      </c>
      <c r="AQ27" s="120">
        <f t="shared" ref="AQ27:AQ30" si="256">IFERROR(1/AG27,".")</f>
        <v>1.609435654668493E-8</v>
      </c>
      <c r="AR27" s="120" t="str">
        <f t="shared" ref="AR27:AR30" si="257">IFERROR(1/AH27,".")</f>
        <v>.</v>
      </c>
      <c r="AS27" s="120" t="str">
        <f t="shared" ref="AS27:AS30" si="258">IFERROR(1/AI27,".")</f>
        <v>.</v>
      </c>
      <c r="AT27" s="120" t="str">
        <f t="shared" ref="AT27:AT30" si="259">IFERROR(1/AJ27,".")</f>
        <v>.</v>
      </c>
      <c r="AU27" s="120" t="str">
        <f t="shared" ref="AU27:AU30" si="260">IFERROR(1/AK27,".")</f>
        <v>.</v>
      </c>
      <c r="AV27" s="120" t="str">
        <f t="shared" ref="AV27:AV30" si="261">IFERROR(1/AL27,".")</f>
        <v>.</v>
      </c>
      <c r="AW27" s="120" t="str">
        <f t="shared" ref="AW27:AW30" si="262">IFERROR(1/AM27,".")</f>
        <v>.</v>
      </c>
      <c r="AX27" s="120" t="str">
        <f t="shared" ref="AX27:AX30" si="263">IFERROR(1/AN27,".")</f>
        <v>.</v>
      </c>
      <c r="AY27" s="15">
        <f>IFERROR(1/(SUMIF(AO27:AX27,"&lt;&gt;0")),".")</f>
        <v>62133580.618727945</v>
      </c>
      <c r="AZ27" s="15" t="str">
        <f>IFERROR((TR/(RadSpec!G27*IFA_far_adj)),".")</f>
        <v>.</v>
      </c>
      <c r="BA27" s="15">
        <f>IFERROR((TR/(RadSpec!J27*EF_far*(1/365)*ED_far*ET_far*(1/24)*GSF_a)),".")</f>
        <v>2773.7240826208217</v>
      </c>
      <c r="BB27" s="15">
        <f t="shared" si="221"/>
        <v>2773.7240826208217</v>
      </c>
    </row>
    <row r="28" spans="1:54" customFormat="1" x14ac:dyDescent="0.25">
      <c r="A28" s="44" t="s">
        <v>38</v>
      </c>
      <c r="B28" s="42" t="s">
        <v>1074</v>
      </c>
      <c r="C28" s="15" t="str">
        <f>dir!AB28</f>
        <v>.</v>
      </c>
      <c r="D28" s="15" t="str">
        <f>IFERROR(TR/(RadSpec!E28*IFP_far_adj*CF_far_poultry),".")</f>
        <v>.</v>
      </c>
      <c r="E28" s="15" t="str">
        <f>IFERROR(TR/(RadSpec!E28*IFE_far_adj*CF_far_egg),".")</f>
        <v>.</v>
      </c>
      <c r="F28" s="15" t="str">
        <f>IFERROR(TR/(RadSpec!E28*IFB_far_adj*CF_far_beef),".")</f>
        <v>.</v>
      </c>
      <c r="G28" s="15" t="str">
        <f>IFERROR(TR/(RadSpec!E28*IFD_far_adj*CF_far_dairy),".")</f>
        <v>.</v>
      </c>
      <c r="H28" s="15" t="str">
        <f>IFERROR(TR/(RadSpec!E28*IFSW_far_adj*CF_far_swine),".")</f>
        <v>.</v>
      </c>
      <c r="I28" s="15" t="str">
        <f>IFERROR(TR/(RadSpec!E28*IFFI_far_adj*CF_far_fish),".")</f>
        <v>.</v>
      </c>
      <c r="J28" s="15" t="str">
        <f>IFERROR((TR/(RadSpec!D28*IFS_far_adj*(1/1000)))*1,".")</f>
        <v>.</v>
      </c>
      <c r="K28" s="15" t="str">
        <f>IFERROR(IF(A28="H-3",(TR/(RadSpec!G28*IFA_far_adj*(1/17)*1000))*1,(TR/(RadSpec!G28*IFA_far_adj*(1/PEF_wind)*1000))*1),".")</f>
        <v>.</v>
      </c>
      <c r="L28" s="15">
        <f>IFERROR((TR/(RadSpec!F28*EF_far*(1/365)*ED_far*RadSpec!Q28*((ET_far_o*(1/24)*RadSpec!V28)+(ET_far_i*(1/24)*RadSpec!AA28))))*1,".")</f>
        <v>3.748658393386067E-3</v>
      </c>
      <c r="M28" s="15" t="str">
        <f>b2s!AB28</f>
        <v>.</v>
      </c>
      <c r="N28" s="15" t="str">
        <f>IFERROR((D28/(RadSpec!AJ28*((Q_p_poultry*f_p_poultry*f_s_poultry*(RadSpec!BB28+R_es_past))+(Q_s_poultry*f_p_poultry))))*1,".")</f>
        <v>.</v>
      </c>
      <c r="O28" s="15" t="str">
        <f>IFERROR((E28/(RadSpec!AK28*((Q_p_poultry*f_p_poultry*f_s_poultry*(RadSpec!BB28+R_es_past))+(Q_s_poultry*f_p_poultry))))*1,".")</f>
        <v>.</v>
      </c>
      <c r="P28" s="15" t="str">
        <f>IFERROR((F28/(RadSpec!AH28*((Q_p_beef*f_p_beef*f_s_beef*(RadSpec!BB28+R_es_past))+(Q_s_beef*f_p_beef))))*1,".")</f>
        <v>.</v>
      </c>
      <c r="Q28" s="15" t="str">
        <f>IFERROR(((G28*D_milk)/(RadSpec!AG28*((Q_p_dairy*f_p_dairy*f_s_dairy*(RadSpec!BB28+R_es_past))+(Q_s_dairy*f_p_dairy))))*1,".")</f>
        <v>.</v>
      </c>
      <c r="R28" s="15" t="str">
        <f>IFERROR((H28/(RadSpec!AL28*((Q_p_swine*f_p_swine*f_s_swine*(RadSpec!BB28+R_es_past))+(Q_s_swine*f_p_swine))))*1,".")</f>
        <v>.</v>
      </c>
      <c r="S28" s="15" t="str">
        <f>IFERROR(((I28*RadSpec!AS28)/RadSpec!AI28)*1,".")</f>
        <v>.</v>
      </c>
      <c r="T28" s="120" t="str">
        <f t="shared" si="243"/>
        <v>.</v>
      </c>
      <c r="U28" s="120" t="str">
        <f t="shared" si="244"/>
        <v>.</v>
      </c>
      <c r="V28" s="120">
        <f t="shared" si="245"/>
        <v>266.76210394746738</v>
      </c>
      <c r="W28" s="120" t="str">
        <f t="shared" si="246"/>
        <v>.</v>
      </c>
      <c r="X28" s="120" t="str">
        <f t="shared" si="247"/>
        <v>.</v>
      </c>
      <c r="Y28" s="120" t="str">
        <f t="shared" si="248"/>
        <v>.</v>
      </c>
      <c r="Z28" s="120" t="str">
        <f t="shared" si="249"/>
        <v>.</v>
      </c>
      <c r="AA28" s="120" t="str">
        <f t="shared" si="250"/>
        <v>.</v>
      </c>
      <c r="AB28" s="120" t="str">
        <f t="shared" si="251"/>
        <v>.</v>
      </c>
      <c r="AC28" s="120" t="str">
        <f t="shared" si="252"/>
        <v>.</v>
      </c>
      <c r="AD28" s="15">
        <f t="shared" si="253"/>
        <v>3.7486583933860665E-3</v>
      </c>
      <c r="AE28" s="15" t="str">
        <f>IFERROR(TR/(RadSpec!H28*IFW_far_adj),".")</f>
        <v>.</v>
      </c>
      <c r="AF28" s="15" t="str">
        <f>IFERROR(IF(RadSpec!C28=1,TR/(RadSpec!G28*IFA_far_adj*K),"."),".")</f>
        <v>.</v>
      </c>
      <c r="AG28" s="15">
        <f>IFERROR((TR/(RadSpec!L28*(1/8760)*DFA_far_adj)),".")</f>
        <v>43982.197516627639</v>
      </c>
      <c r="AH28" s="15" t="str">
        <f>b2w!AB28</f>
        <v>.</v>
      </c>
      <c r="AI28" s="15" t="str">
        <f>IFERROR(D28/(RadSpec!AJ28*Q_w_poultry*(1/1000)),".")</f>
        <v>.</v>
      </c>
      <c r="AJ28" s="15" t="str">
        <f>IFERROR(E28/(RadSpec!AK28*Q_w_poultry*(1/1000)),".")</f>
        <v>.</v>
      </c>
      <c r="AK28" s="15" t="str">
        <f>IFERROR(F28/(RadSpec!AH28*Q_w_beef*(1/1000)),".")</f>
        <v>.</v>
      </c>
      <c r="AL28" s="15" t="str">
        <f>IFERROR((G28*D_milk)/(RadSpec!AG28*Q_w_dairy*(1/1000)),".")</f>
        <v>.</v>
      </c>
      <c r="AM28" s="15" t="str">
        <f>IFERROR(H28/(RadSpec!AL28*Q_w_swine*(1/1000)),".")</f>
        <v>.</v>
      </c>
      <c r="AN28" s="15" t="str">
        <f>IFERROR(I28/(RadSpec!AI28*(1/1000)),".")</f>
        <v>.</v>
      </c>
      <c r="AO28" s="120" t="str">
        <f t="shared" si="254"/>
        <v>.</v>
      </c>
      <c r="AP28" s="120" t="str">
        <f t="shared" si="255"/>
        <v>.</v>
      </c>
      <c r="AQ28" s="120">
        <f t="shared" si="256"/>
        <v>2.2736471946904111E-5</v>
      </c>
      <c r="AR28" s="120" t="str">
        <f t="shared" si="257"/>
        <v>.</v>
      </c>
      <c r="AS28" s="120" t="str">
        <f t="shared" si="258"/>
        <v>.</v>
      </c>
      <c r="AT28" s="120" t="str">
        <f t="shared" si="259"/>
        <v>.</v>
      </c>
      <c r="AU28" s="120" t="str">
        <f t="shared" si="260"/>
        <v>.</v>
      </c>
      <c r="AV28" s="120" t="str">
        <f t="shared" si="261"/>
        <v>.</v>
      </c>
      <c r="AW28" s="120" t="str">
        <f t="shared" si="262"/>
        <v>.</v>
      </c>
      <c r="AX28" s="120" t="str">
        <f t="shared" si="263"/>
        <v>.</v>
      </c>
      <c r="AY28" s="15">
        <f t="shared" ref="AY28:AY29" si="264">IFERROR(1/(SUMIF(AO28:AX28,"&lt;&gt;0")),".")</f>
        <v>43982.197516627639</v>
      </c>
      <c r="AZ28" s="15" t="str">
        <f>IFERROR((TR/(RadSpec!G28*IFA_far_adj)),".")</f>
        <v>.</v>
      </c>
      <c r="BA28" s="15">
        <f>IFERROR((TR/(RadSpec!J28*EF_far*(1/365)*ED_far*ET_far*(1/24)*GSF_a)),".")</f>
        <v>2.7229852274509301</v>
      </c>
      <c r="BB28" s="15">
        <f t="shared" si="221"/>
        <v>2.7229852274509301</v>
      </c>
    </row>
    <row r="29" spans="1:54" customFormat="1" x14ac:dyDescent="0.25">
      <c r="A29" s="44" t="s">
        <v>39</v>
      </c>
      <c r="B29" s="42" t="s">
        <v>1074</v>
      </c>
      <c r="C29" s="15" t="str">
        <f>dir!AB29</f>
        <v>.</v>
      </c>
      <c r="D29" s="15" t="str">
        <f>IFERROR(TR/(RadSpec!E29*IFP_far_adj*CF_far_poultry),".")</f>
        <v>.</v>
      </c>
      <c r="E29" s="15" t="str">
        <f>IFERROR(TR/(RadSpec!E29*IFE_far_adj*CF_far_egg),".")</f>
        <v>.</v>
      </c>
      <c r="F29" s="15" t="str">
        <f>IFERROR(TR/(RadSpec!E29*IFB_far_adj*CF_far_beef),".")</f>
        <v>.</v>
      </c>
      <c r="G29" s="15" t="str">
        <f>IFERROR(TR/(RadSpec!E29*IFD_far_adj*CF_far_dairy),".")</f>
        <v>.</v>
      </c>
      <c r="H29" s="15" t="str">
        <f>IFERROR(TR/(RadSpec!E29*IFSW_far_adj*CF_far_swine),".")</f>
        <v>.</v>
      </c>
      <c r="I29" s="15" t="str">
        <f>IFERROR(TR/(RadSpec!E29*IFFI_far_adj*CF_far_fish),".")</f>
        <v>.</v>
      </c>
      <c r="J29" s="15" t="str">
        <f>IFERROR((TR/(RadSpec!D29*IFS_far_adj*(1/1000)))*1,".")</f>
        <v>.</v>
      </c>
      <c r="K29" s="15" t="str">
        <f>IFERROR(IF(A29="H-3",(TR/(RadSpec!G29*IFA_far_adj*(1/17)*1000))*1,(TR/(RadSpec!G29*IFA_far_adj*(1/PEF_wind)*1000))*1),".")</f>
        <v>.</v>
      </c>
      <c r="L29" s="15">
        <f>IFERROR((TR/(RadSpec!F29*EF_far*(1/365)*ED_far*RadSpec!Q29*((ET_far_o*(1/24)*RadSpec!V29)+(ET_far_i*(1/24)*RadSpec!AA29))))*1,".")</f>
        <v>2.8815774084811154E-3</v>
      </c>
      <c r="M29" s="15" t="str">
        <f>b2s!AB29</f>
        <v>.</v>
      </c>
      <c r="N29" s="15" t="str">
        <f>IFERROR((D29/(RadSpec!AJ29*((Q_p_poultry*f_p_poultry*f_s_poultry*(RadSpec!BB29+R_es_past))+(Q_s_poultry*f_p_poultry))))*1,".")</f>
        <v>.</v>
      </c>
      <c r="O29" s="15" t="str">
        <f>IFERROR((E29/(RadSpec!AK29*((Q_p_poultry*f_p_poultry*f_s_poultry*(RadSpec!BB29+R_es_past))+(Q_s_poultry*f_p_poultry))))*1,".")</f>
        <v>.</v>
      </c>
      <c r="P29" s="15" t="str">
        <f>IFERROR((F29/(RadSpec!AH29*((Q_p_beef*f_p_beef*f_s_beef*(RadSpec!BB29+R_es_past))+(Q_s_beef*f_p_beef))))*1,".")</f>
        <v>.</v>
      </c>
      <c r="Q29" s="15" t="str">
        <f>IFERROR(((G29*D_milk)/(RadSpec!AG29*((Q_p_dairy*f_p_dairy*f_s_dairy*(RadSpec!BB29+R_es_past))+(Q_s_dairy*f_p_dairy))))*1,".")</f>
        <v>.</v>
      </c>
      <c r="R29" s="15" t="str">
        <f>IFERROR((H29/(RadSpec!AL29*((Q_p_swine*f_p_swine*f_s_swine*(RadSpec!BB29+R_es_past))+(Q_s_swine*f_p_swine))))*1,".")</f>
        <v>.</v>
      </c>
      <c r="S29" s="15" t="str">
        <f>IFERROR(((I29*RadSpec!AS29)/RadSpec!AI29)*1,".")</f>
        <v>.</v>
      </c>
      <c r="T29" s="120" t="str">
        <f t="shared" si="243"/>
        <v>.</v>
      </c>
      <c r="U29" s="120" t="str">
        <f t="shared" si="244"/>
        <v>.</v>
      </c>
      <c r="V29" s="120">
        <f t="shared" si="245"/>
        <v>347.03214880043834</v>
      </c>
      <c r="W29" s="120" t="str">
        <f t="shared" si="246"/>
        <v>.</v>
      </c>
      <c r="X29" s="120" t="str">
        <f t="shared" si="247"/>
        <v>.</v>
      </c>
      <c r="Y29" s="120" t="str">
        <f t="shared" si="248"/>
        <v>.</v>
      </c>
      <c r="Z29" s="120" t="str">
        <f t="shared" si="249"/>
        <v>.</v>
      </c>
      <c r="AA29" s="120" t="str">
        <f t="shared" si="250"/>
        <v>.</v>
      </c>
      <c r="AB29" s="120" t="str">
        <f t="shared" si="251"/>
        <v>.</v>
      </c>
      <c r="AC29" s="120" t="str">
        <f t="shared" si="252"/>
        <v>.</v>
      </c>
      <c r="AD29" s="15">
        <f t="shared" si="253"/>
        <v>2.8815774084811154E-3</v>
      </c>
      <c r="AE29" s="15" t="str">
        <f>IFERROR(TR/(RadSpec!H29*IFW_far_adj),".")</f>
        <v>.</v>
      </c>
      <c r="AF29" s="15" t="str">
        <f>IFERROR(IF(RadSpec!C29=1,TR/(RadSpec!G29*IFA_far_adj*K),"."),".")</f>
        <v>.</v>
      </c>
      <c r="AG29" s="15">
        <f>IFERROR((TR/(RadSpec!L29*(1/8760)*DFA_far_adj)),".")</f>
        <v>34038.39633895531</v>
      </c>
      <c r="AH29" s="15" t="str">
        <f>b2w!AB29</f>
        <v>.</v>
      </c>
      <c r="AI29" s="15" t="str">
        <f>IFERROR(D29/(RadSpec!AJ29*Q_w_poultry*(1/1000)),".")</f>
        <v>.</v>
      </c>
      <c r="AJ29" s="15" t="str">
        <f>IFERROR(E29/(RadSpec!AK29*Q_w_poultry*(1/1000)),".")</f>
        <v>.</v>
      </c>
      <c r="AK29" s="15" t="str">
        <f>IFERROR(F29/(RadSpec!AH29*Q_w_beef*(1/1000)),".")</f>
        <v>.</v>
      </c>
      <c r="AL29" s="15" t="str">
        <f>IFERROR((G29*D_milk)/(RadSpec!AG29*Q_w_dairy*(1/1000)),".")</f>
        <v>.</v>
      </c>
      <c r="AM29" s="15" t="str">
        <f>IFERROR(H29/(RadSpec!AL29*Q_w_swine*(1/1000)),".")</f>
        <v>.</v>
      </c>
      <c r="AN29" s="15" t="str">
        <f>IFERROR(I29/(RadSpec!AI29*(1/1000)),".")</f>
        <v>.</v>
      </c>
      <c r="AO29" s="120" t="str">
        <f t="shared" si="254"/>
        <v>.</v>
      </c>
      <c r="AP29" s="120" t="str">
        <f t="shared" si="255"/>
        <v>.</v>
      </c>
      <c r="AQ29" s="120">
        <f t="shared" si="256"/>
        <v>2.9378587347123285E-5</v>
      </c>
      <c r="AR29" s="120" t="str">
        <f t="shared" si="257"/>
        <v>.</v>
      </c>
      <c r="AS29" s="120" t="str">
        <f t="shared" si="258"/>
        <v>.</v>
      </c>
      <c r="AT29" s="120" t="str">
        <f t="shared" si="259"/>
        <v>.</v>
      </c>
      <c r="AU29" s="120" t="str">
        <f t="shared" si="260"/>
        <v>.</v>
      </c>
      <c r="AV29" s="120" t="str">
        <f t="shared" si="261"/>
        <v>.</v>
      </c>
      <c r="AW29" s="120" t="str">
        <f t="shared" si="262"/>
        <v>.</v>
      </c>
      <c r="AX29" s="120" t="str">
        <f t="shared" si="263"/>
        <v>.</v>
      </c>
      <c r="AY29" s="15">
        <f t="shared" si="264"/>
        <v>34038.39633895531</v>
      </c>
      <c r="AZ29" s="15" t="str">
        <f>IFERROR((TR/(RadSpec!G29*IFA_far_adj)),".")</f>
        <v>.</v>
      </c>
      <c r="BA29" s="15">
        <f>IFERROR((TR/(RadSpec!J29*EF_far*(1/365)*ED_far*ET_far*(1/24)*GSF_a)),".")</f>
        <v>2.1064602702922279</v>
      </c>
      <c r="BB29" s="15">
        <f t="shared" si="221"/>
        <v>2.1064602702922279</v>
      </c>
    </row>
    <row r="30" spans="1:54" customFormat="1" x14ac:dyDescent="0.25">
      <c r="A30" s="44" t="s">
        <v>40</v>
      </c>
      <c r="B30" s="42" t="s">
        <v>1074</v>
      </c>
      <c r="C30" s="15">
        <f>dir!AB30</f>
        <v>5.2557896201455836E-4</v>
      </c>
      <c r="D30" s="15">
        <f>IFERROR(TR/(RadSpec!E30*IFP_far_adj*CF_far_poultry),".")</f>
        <v>7.4938499659445729E-3</v>
      </c>
      <c r="E30" s="15">
        <f>IFERROR(TR/(RadSpec!E30*IFE_far_adj*CF_far_egg),".")</f>
        <v>1.3296630838247768E-2</v>
      </c>
      <c r="F30" s="15">
        <f>IFERROR(TR/(RadSpec!E30*IFB_far_adj*CF_far_beef),".")</f>
        <v>4.9146759906720039E-3</v>
      </c>
      <c r="G30" s="15">
        <f>IFERROR(TR/(RadSpec!E30*IFD_far_adj*CF_far_dairy),".")</f>
        <v>1.0175210736820667E-3</v>
      </c>
      <c r="H30" s="15">
        <f>IFERROR(TR/(RadSpec!E30*IFSW_far_adj*CF_far_swine),".")</f>
        <v>8.805363263641253E-3</v>
      </c>
      <c r="I30" s="15">
        <f>IFERROR(TR/(RadSpec!E30*IFFI_far_adj*CF_far_fish),".")</f>
        <v>1.0296137693554023E-3</v>
      </c>
      <c r="J30" s="15">
        <f>IFERROR((TR/(RadSpec!D30*IFS_far_adj*(1/1000)))*1,".")</f>
        <v>4.1347224898306498</v>
      </c>
      <c r="K30" s="15">
        <f>IFERROR(IF(A30="H-3",(TR/(RadSpec!G30*IFA_far_adj*(1/17)*1000))*1,(TR/(RadSpec!G30*IFA_far_adj*(1/PEF_wind)*1000))*1),".")</f>
        <v>185.42428054874321</v>
      </c>
      <c r="L30" s="15">
        <f>IFERROR((TR/(RadSpec!F30*EF_far*(1/365)*ED_far*RadSpec!Q30*((ET_far_o*(1/24)*RadSpec!V30)+(ET_far_i*(1/24)*RadSpec!AA30))))*1,".")</f>
        <v>54.414023312861794</v>
      </c>
      <c r="M30" s="15">
        <f>b2s!AB30</f>
        <v>6.561514775359055E-2</v>
      </c>
      <c r="N30" s="15">
        <f>IFERROR((D30/(RadSpec!AJ30*((Q_p_poultry*f_p_poultry*f_s_poultry*(RadSpec!BB30+R_es_past))+(Q_s_poultry*f_p_poultry))))*1,".")</f>
        <v>0.13608118285059023</v>
      </c>
      <c r="O30" s="15">
        <f>IFERROR((E30/(RadSpec!AK30*((Q_p_poultry*f_p_poultry*f_s_poultry*(RadSpec!BB30+R_es_past))+(Q_s_poultry*f_p_poultry))))*1,".")</f>
        <v>0.16462783670056863</v>
      </c>
      <c r="P30" s="15">
        <f>IFERROR((F30/(RadSpec!AH30*((Q_p_beef*f_p_beef*f_s_beef*(RadSpec!BB30+R_es_past))+(Q_s_beef*f_p_beef))))*1,".")</f>
        <v>3.5735626567427925</v>
      </c>
      <c r="Q30" s="15">
        <f>IFERROR(((G30*D_milk)/(RadSpec!AG30*((Q_p_dairy*f_p_dairy*f_s_dairy*(RadSpec!BB30+R_es_past))+(Q_s_dairy*f_p_dairy))))*1,".")</f>
        <v>0.10360902246994964</v>
      </c>
      <c r="R30" s="15">
        <f>IFERROR((H30/(RadSpec!AL30*((Q_p_swine*f_p_swine*f_s_swine*(RadSpec!BB30+R_es_past))+(Q_s_swine*f_p_swine))))*1,".")</f>
        <v>0.12678024768932289</v>
      </c>
      <c r="S30" s="15">
        <f>IFERROR(((I30*RadSpec!AS30)/RadSpec!AI30)*1,".")</f>
        <v>4.2900573723141761E-4</v>
      </c>
      <c r="T30" s="120">
        <f t="shared" si="243"/>
        <v>0.24185420000000002</v>
      </c>
      <c r="U30" s="120">
        <f t="shared" si="244"/>
        <v>5.3930369692718107E-3</v>
      </c>
      <c r="V30" s="120">
        <f t="shared" si="245"/>
        <v>1.8377615532127561E-2</v>
      </c>
      <c r="W30" s="120">
        <f t="shared" si="246"/>
        <v>15.2403832687442</v>
      </c>
      <c r="X30" s="120">
        <f t="shared" si="247"/>
        <v>7.3485545837586219</v>
      </c>
      <c r="Y30" s="120">
        <f t="shared" si="248"/>
        <v>6.0743068732588528</v>
      </c>
      <c r="Z30" s="120">
        <f t="shared" si="249"/>
        <v>0.27983278762809588</v>
      </c>
      <c r="AA30" s="120">
        <f t="shared" si="250"/>
        <v>9.6516690936837684</v>
      </c>
      <c r="AB30" s="120">
        <f t="shared" si="251"/>
        <v>7.8876640346256197</v>
      </c>
      <c r="AC30" s="120">
        <f t="shared" si="252"/>
        <v>2330.9711577600006</v>
      </c>
      <c r="AD30" s="15">
        <f t="shared" si="253"/>
        <v>4.2057110984219172E-4</v>
      </c>
      <c r="AE30" s="15">
        <f>IFERROR(TR/(RadSpec!H30*IFW_far_adj),".")</f>
        <v>0.44384660476699062</v>
      </c>
      <c r="AF30" s="15" t="str">
        <f>IFERROR(IF(RadSpec!C30=1,TR/(RadSpec!G30*IFA_far_adj*K),"."),".")</f>
        <v>.</v>
      </c>
      <c r="AG30" s="15">
        <f>IFERROR((TR/(RadSpec!L30*(1/8760)*DFA_far_adj)),".")</f>
        <v>437364869.15976095</v>
      </c>
      <c r="AH30" s="15">
        <f>b2w!AB30</f>
        <v>0.13378633224629452</v>
      </c>
      <c r="AI30" s="15">
        <f>IFERROR(D30/(RadSpec!AJ30*Q_w_poultry*(1/1000)),".")</f>
        <v>24.979499886481907</v>
      </c>
      <c r="AJ30" s="15">
        <f>IFERROR(E30/(RadSpec!AK30*Q_w_poultry*(1/1000)),".")</f>
        <v>30.219615541472194</v>
      </c>
      <c r="AK30" s="15">
        <f>IFERROR(F30/(RadSpec!AH30*Q_w_beef*(1/1000)),".")</f>
        <v>237.76855300783762</v>
      </c>
      <c r="AL30" s="15">
        <f>IFERROR((G30*D_milk)/(RadSpec!AG30*Q_w_dairy*(1/1000)),".")</f>
        <v>6.3287844558727571</v>
      </c>
      <c r="AM30" s="15">
        <f>IFERROR(H30/(RadSpec!AL30*Q_w_swine*(1/1000)),".")</f>
        <v>17.554551961007284</v>
      </c>
      <c r="AN30" s="15">
        <f>IFERROR(I30/(RadSpec!AI30*(1/1000)),".")</f>
        <v>1.072514343078544</v>
      </c>
      <c r="AO30" s="120">
        <f t="shared" si="254"/>
        <v>2.25303064</v>
      </c>
      <c r="AP30" s="120" t="str">
        <f t="shared" si="255"/>
        <v>.</v>
      </c>
      <c r="AQ30" s="120">
        <f t="shared" si="256"/>
        <v>2.2864204935369862E-9</v>
      </c>
      <c r="AR30" s="120">
        <f t="shared" si="257"/>
        <v>7.4746050901451255</v>
      </c>
      <c r="AS30" s="120">
        <f t="shared" si="258"/>
        <v>4.0032827100000008E-2</v>
      </c>
      <c r="AT30" s="120">
        <f t="shared" si="259"/>
        <v>3.3091089416000009E-2</v>
      </c>
      <c r="AU30" s="120">
        <f t="shared" si="260"/>
        <v>4.20577064271E-3</v>
      </c>
      <c r="AV30" s="120">
        <f t="shared" si="261"/>
        <v>0.158008225271767</v>
      </c>
      <c r="AW30" s="120">
        <f t="shared" si="262"/>
        <v>5.6965281838080008E-2</v>
      </c>
      <c r="AX30" s="120">
        <f t="shared" si="263"/>
        <v>0.93238846310400014</v>
      </c>
      <c r="AY30" s="15">
        <f>IFERROR(1/(SUMIF(AO30:AX30,"&lt;&gt;0")),".")</f>
        <v>9.1304794351831947E-2</v>
      </c>
      <c r="AZ30" s="15">
        <f>IFERROR((TR/(RadSpec!G30*IFA_far_adj)),".")</f>
        <v>1.3640713163765627E-4</v>
      </c>
      <c r="BA30" s="15">
        <f>IFERROR((TR/(RadSpec!J30*EF_far*(1/365)*ED_far*ET_far*(1/24)*GSF_a)),".")</f>
        <v>27806.324863135262</v>
      </c>
      <c r="BB30" s="15">
        <f t="shared" si="221"/>
        <v>1.3640713096849536E-4</v>
      </c>
    </row>
    <row r="31" spans="1:54" x14ac:dyDescent="0.25">
      <c r="A31" s="82" t="s">
        <v>13</v>
      </c>
      <c r="B31" s="57" t="s">
        <v>1259</v>
      </c>
      <c r="C31" s="58">
        <f>1/SUM(1/C32,1/C33,1/C34,1/C35,1/C36,1/C37,1/C38,1/C41,1/C44)</f>
        <v>4.9037636723924221E-5</v>
      </c>
      <c r="D31" s="58">
        <f t="shared" ref="D31:M31" si="265">1/SUM(1/D32,1/D33,1/D34,1/D35,1/D36,1/D37,1/D38,1/D41,1/D44)</f>
        <v>6.991921649318277E-4</v>
      </c>
      <c r="E31" s="58">
        <f t="shared" si="265"/>
        <v>1.2406039811769728E-3</v>
      </c>
      <c r="F31" s="58">
        <f t="shared" si="265"/>
        <v>4.5854973898230421E-4</v>
      </c>
      <c r="G31" s="58">
        <f t="shared" si="265"/>
        <v>9.4936883658551754E-5</v>
      </c>
      <c r="H31" s="58">
        <f t="shared" si="265"/>
        <v>8.2155914934180165E-4</v>
      </c>
      <c r="I31" s="58">
        <f t="shared" si="265"/>
        <v>9.6065157924266325E-5</v>
      </c>
      <c r="J31" s="58">
        <f t="shared" si="265"/>
        <v>0.38990422761196142</v>
      </c>
      <c r="K31" s="58">
        <f t="shared" si="265"/>
        <v>16.190252363077683</v>
      </c>
      <c r="L31" s="58">
        <f>1/SUM(1/L32,1/L33,1/L34,1/L35,1/L36,1/L37,1/L38,1/L39,1/L40,1/L41,1/L42,1/L43,1/L44)</f>
        <v>1.9155239376833093E-2</v>
      </c>
      <c r="M31" s="58">
        <f t="shared" si="265"/>
        <v>8.0605877230875422E-3</v>
      </c>
      <c r="N31" s="58">
        <f>1/SUM(1/N32,1/N35)</f>
        <v>0.13462591839126184</v>
      </c>
      <c r="O31" s="58">
        <f>1/SUM(1/O32,1/O35)</f>
        <v>0.16402339055615583</v>
      </c>
      <c r="P31" s="58">
        <f t="shared" ref="P31" si="266">1/SUM(1/P32,1/P33,1/P34,1/P35,1/P36,1/P37,1/P38,1/P41,1/P44)</f>
        <v>0.25316449290938686</v>
      </c>
      <c r="Q31" s="58">
        <f t="shared" ref="Q31" si="267">1/SUM(1/Q32,1/Q33,1/Q34,1/Q35,1/Q36,1/Q37,1/Q38,1/Q41,1/Q44)</f>
        <v>7.513940140577656E-2</v>
      </c>
      <c r="R31" s="58">
        <f>1/SUM(1/R32,1/R35)</f>
        <v>0.12612302067657119</v>
      </c>
      <c r="S31" s="58">
        <f t="shared" ref="S31" si="268">1/SUM(1/S32,1/S33,1/S34,1/S35,1/S36,1/S37,1/S38,1/S41,1/S44)</f>
        <v>4.6678249285694952E-6</v>
      </c>
      <c r="T31" s="181"/>
      <c r="U31" s="181"/>
      <c r="V31" s="181"/>
      <c r="W31" s="181"/>
      <c r="X31" s="181"/>
      <c r="Y31" s="181"/>
      <c r="Z31" s="181"/>
      <c r="AA31" s="181"/>
      <c r="AB31" s="181"/>
      <c r="AC31" s="181"/>
      <c r="AD31" s="59">
        <f>1/SUM(1/AD32,1/AD33,1/AD34,1/AD35,1/AD36,1/AD37,1/AD38,1/AD39,1/AD40,1/AD41,1/AD42,1/AD43,1/AD44)</f>
        <v>4.6630884550197931E-6</v>
      </c>
      <c r="AE31" s="58">
        <f>1/SUM(1/AE32,1/AE33,1/AE34,1/AE35,1/AE36,1/AE37,1/AE38,1/AE41,1/AE44)</f>
        <v>4.1305470559012361E-2</v>
      </c>
      <c r="AF31" s="58" t="str">
        <f>IFERROR(1/SUM(1/AF32,1/AF33,1/AF34,1/AF35,1/AF36,1/AF37,1/AF38,1/AF39,1/AF40,1/AF41,1/AF42,1/AF43,1/AF44),".")</f>
        <v>.</v>
      </c>
      <c r="AG31" s="58">
        <f>1/SUM(1/AG32,1/AG33,1/AG34,1/AG35,1/AG36,1/AG37,1/AG38,1/AG39,1/AG40,1/AG41,1/AG42,1/AG43,1/AG44)</f>
        <v>188612.0368047565</v>
      </c>
      <c r="AH31" s="58">
        <f>1/SUM(1/AH32,1/AH33,1/AH34,1/AH35,1/AH36,1/AH37,1/AH38,1/AH41,1/AH44)</f>
        <v>1.2705149491128987E-2</v>
      </c>
      <c r="AI31" s="58">
        <f>1/SUM(1/AI32,1/AI35)</f>
        <v>24.707155364751365</v>
      </c>
      <c r="AJ31" s="58">
        <f>1/SUM(1/AJ32,1/AJ35)</f>
        <v>30.106481193337622</v>
      </c>
      <c r="AK31" s="58">
        <f t="shared" ref="AK31:AL31" si="269">1/SUM(1/AK32,1/AK33,1/AK34,1/AK35,1/AK36,1/AK37,1/AK38,1/AK41,1/AK44)</f>
        <v>17.205374546899439</v>
      </c>
      <c r="AL31" s="58">
        <f t="shared" si="269"/>
        <v>4.6684515760417398</v>
      </c>
      <c r="AM31" s="58">
        <f>1/SUM(1/AM32,1/AM35)</f>
        <v>17.461594116547488</v>
      </c>
      <c r="AN31" s="58">
        <f>1/SUM(1/AN32,1/AN33,1/AN34,1/AN35,1/AN36,1/AN37,1/AN38,1/AN41,1/AN44)</f>
        <v>2.4240103050182475E-3</v>
      </c>
      <c r="AO31" s="181"/>
      <c r="AP31" s="181"/>
      <c r="AQ31" s="181"/>
      <c r="AR31" s="181"/>
      <c r="AS31" s="181"/>
      <c r="AT31" s="181"/>
      <c r="AU31" s="181"/>
      <c r="AV31" s="181"/>
      <c r="AW31" s="181"/>
      <c r="AX31" s="181"/>
      <c r="AY31" s="59">
        <f>1/SUM(1/AY32,1/AY33,1/AY34,1/AY35,1/AY36,1/AY37,1/AY38,1/AY39,1/AY40,1/AY41,1/AY42,1/AY43,1/AY44)</f>
        <v>1.9385070642072349E-3</v>
      </c>
      <c r="AZ31" s="58">
        <f>1/SUM(1/AZ32,1/AZ33,1/AZ34,1/AZ35,1/AZ36,1/AZ37,1/AZ38,1/AZ41,1/AZ44)</f>
        <v>1.191033816499919E-5</v>
      </c>
      <c r="BA31" s="58">
        <f t="shared" ref="BA31:BB31" si="270">1/SUM(1/BA32,1/BA33,1/BA34,1/BA35,1/BA36,1/BA37,1/BA38,1/BA39,1/BA40,1/BA41,1/BA42,1/BA43,1/BA44)</f>
        <v>11.79816274684852</v>
      </c>
      <c r="BB31" s="59">
        <f t="shared" si="270"/>
        <v>1.1910326141431195E-5</v>
      </c>
    </row>
    <row r="32" spans="1:54" x14ac:dyDescent="0.25">
      <c r="A32" s="83" t="s">
        <v>1102</v>
      </c>
      <c r="B32" s="42">
        <v>1</v>
      </c>
      <c r="C32" s="60">
        <f t="shared" ref="C32:S32" si="271">IFERROR(C3/$B32,0)</f>
        <v>3.8144511924602289E-4</v>
      </c>
      <c r="D32" s="60">
        <f t="shared" si="271"/>
        <v>5.4387498367797181E-3</v>
      </c>
      <c r="E32" s="60">
        <f t="shared" si="271"/>
        <v>9.6501863701410392E-3</v>
      </c>
      <c r="F32" s="60">
        <f t="shared" si="271"/>
        <v>3.5668839599890994E-3</v>
      </c>
      <c r="G32" s="60">
        <f t="shared" si="271"/>
        <v>7.3847789835097344E-4</v>
      </c>
      <c r="H32" s="60">
        <f t="shared" si="271"/>
        <v>6.3905960528365885E-3</v>
      </c>
      <c r="I32" s="60">
        <f t="shared" si="271"/>
        <v>7.4725431460142774E-4</v>
      </c>
      <c r="J32" s="60">
        <f t="shared" si="271"/>
        <v>3.3708781744402492</v>
      </c>
      <c r="K32" s="60">
        <f t="shared" si="271"/>
        <v>139.0682104115574</v>
      </c>
      <c r="L32" s="60">
        <f t="shared" si="271"/>
        <v>1.3982337636089801</v>
      </c>
      <c r="M32" s="60">
        <f t="shared" si="271"/>
        <v>0.3738720321450309</v>
      </c>
      <c r="N32" s="60">
        <f t="shared" si="271"/>
        <v>12.588814424482619</v>
      </c>
      <c r="O32" s="60">
        <f t="shared" si="271"/>
        <v>44.673650754750639</v>
      </c>
      <c r="P32" s="60">
        <f t="shared" si="271"/>
        <v>2.0720845899539428</v>
      </c>
      <c r="Q32" s="60">
        <f t="shared" si="271"/>
        <v>330.75056554884554</v>
      </c>
      <c r="R32" s="60">
        <f t="shared" si="271"/>
        <v>24.329352705322091</v>
      </c>
      <c r="S32" s="60">
        <f t="shared" si="271"/>
        <v>1.2454238576690462E-5</v>
      </c>
      <c r="T32" s="120">
        <f t="shared" ref="T32:T44" si="272">IFERROR(1/J32,".")</f>
        <v>0.29665859999999999</v>
      </c>
      <c r="U32" s="120">
        <f t="shared" ref="U32:U44" si="273">IFERROR(1/K32,".")</f>
        <v>7.1907159590290813E-3</v>
      </c>
      <c r="V32" s="120">
        <f t="shared" ref="V32:V44" si="274">IFERROR(1/L32,".")</f>
        <v>0.71518799361481644</v>
      </c>
      <c r="W32" s="120">
        <f t="shared" ref="W32:W44" si="275">IFERROR(1/M32,".")</f>
        <v>2.6747119709989007</v>
      </c>
      <c r="X32" s="120">
        <f t="shared" ref="X32:X44" si="276">IFERROR(1/N32,".")</f>
        <v>7.9435597847499331E-2</v>
      </c>
      <c r="Y32" s="120">
        <f t="shared" ref="Y32:Y44" si="277">IFERROR(1/O32,".")</f>
        <v>2.2384559647694768E-2</v>
      </c>
      <c r="Z32" s="120">
        <f t="shared" ref="Z32:Z44" si="278">IFERROR(1/P32,".")</f>
        <v>0.48260578011548622</v>
      </c>
      <c r="AA32" s="120">
        <f t="shared" ref="AA32:AA44" si="279">IFERROR(1/Q32,".")</f>
        <v>3.0234264251086189E-3</v>
      </c>
      <c r="AB32" s="120">
        <f t="shared" ref="AB32:AB44" si="280">IFERROR(1/R32,".")</f>
        <v>4.1102614282921231E-2</v>
      </c>
      <c r="AC32" s="120">
        <f t="shared" ref="AC32:AC44" si="281">IFERROR(1/S32,".")</f>
        <v>80293.949232000014</v>
      </c>
      <c r="AD32" s="60">
        <f t="shared" ref="AD32:AD73" si="282">IFERROR(1/(SUMIF(T32:AC32,"&lt;&gt;0")),".")</f>
        <v>1.2453568189021455E-5</v>
      </c>
      <c r="AE32" s="60">
        <f t="shared" ref="AE32:AN32" si="283">IFERROR(AE3/$B32,0)</f>
        <v>0.30752229044570067</v>
      </c>
      <c r="AF32" s="60">
        <f t="shared" si="283"/>
        <v>0</v>
      </c>
      <c r="AG32" s="60">
        <f t="shared" si="283"/>
        <v>6928169.1663360354</v>
      </c>
      <c r="AH32" s="60">
        <f t="shared" si="283"/>
        <v>0.10368481684193676</v>
      </c>
      <c r="AI32" s="60">
        <f t="shared" si="283"/>
        <v>2266.1457653248822</v>
      </c>
      <c r="AJ32" s="60">
        <f t="shared" si="283"/>
        <v>8041.821975117532</v>
      </c>
      <c r="AK32" s="60">
        <f t="shared" si="283"/>
        <v>134.59939471656978</v>
      </c>
      <c r="AL32" s="60">
        <f t="shared" si="283"/>
        <v>19685.099257285267</v>
      </c>
      <c r="AM32" s="60">
        <f t="shared" si="283"/>
        <v>3297.5211830942144</v>
      </c>
      <c r="AN32" s="60">
        <f t="shared" si="283"/>
        <v>3.1135596441726155E-3</v>
      </c>
      <c r="AO32" s="120">
        <f t="shared" ref="AO32:AO44" si="284">IFERROR(1/AE32,".")</f>
        <v>3.2517967999999997</v>
      </c>
      <c r="AP32" s="120" t="str">
        <f t="shared" ref="AP32:AP44" si="285">IFERROR(1/AF32,".")</f>
        <v>.</v>
      </c>
      <c r="AQ32" s="120">
        <f t="shared" ref="AQ32:AQ44" si="286">IFERROR(1/AG32,".")</f>
        <v>1.4433827696630138E-7</v>
      </c>
      <c r="AR32" s="120">
        <f t="shared" ref="AR32:AR44" si="287">IFERROR(1/AH32,".")</f>
        <v>9.6446136518180765</v>
      </c>
      <c r="AS32" s="120">
        <f t="shared" ref="AS32:AS44" si="288">IFERROR(1/AI32,".")</f>
        <v>4.4127788040000009E-4</v>
      </c>
      <c r="AT32" s="120">
        <f t="shared" ref="AT32:AT44" si="289">IFERROR(1/AJ32,".")</f>
        <v>1.2434993004000004E-4</v>
      </c>
      <c r="AU32" s="120">
        <f t="shared" ref="AU32:AU44" si="290">IFERROR(1/AK32,".")</f>
        <v>7.4294539147500014E-3</v>
      </c>
      <c r="AV32" s="120">
        <f t="shared" ref="AV32:AV44" si="291">IFERROR(1/AL32,".")</f>
        <v>5.0799845453149526E-5</v>
      </c>
      <c r="AW32" s="120">
        <f t="shared" ref="AW32:AW44" si="292">IFERROR(1/AM32,".")</f>
        <v>3.0325809736320006E-4</v>
      </c>
      <c r="AX32" s="120">
        <f t="shared" ref="AX32:AX44" si="293">IFERROR(1/AN32,".")</f>
        <v>321.17579692800001</v>
      </c>
      <c r="AY32" s="60">
        <f t="shared" ref="AY32:AY44" si="294">IFERROR(1/(SUMIF(AO32:AX32,"&lt;&gt;0")),".")</f>
        <v>2.9932900315604752E-3</v>
      </c>
      <c r="AZ32" s="60">
        <f>IFERROR(AZ3/$B32,0)</f>
        <v>1.0230534872824221E-4</v>
      </c>
      <c r="BA32" s="60">
        <f>IFERROR(BA3/$B32,0)</f>
        <v>449.26516831182334</v>
      </c>
      <c r="BB32" s="60">
        <f t="shared" ref="BB32:BB44" si="295">IFERROR(IF(AND(AZ32&lt;&gt;0,BA32&lt;&gt;0),1/((1/AZ32)+(1/BA32)),IF(AND(AZ32&lt;&gt;0,BA32=0),1/((1/AZ32)),IF(AND(AZ32=0,BA32&lt;&gt;0),1/((1/BA32)),IF(AND(AZ32=0,BA32=0),0)))),0)</f>
        <v>1.0230532543157305E-4</v>
      </c>
    </row>
    <row r="33" spans="1:54" x14ac:dyDescent="0.25">
      <c r="A33" s="182" t="s">
        <v>1078</v>
      </c>
      <c r="B33" s="183">
        <v>1</v>
      </c>
      <c r="C33" s="60">
        <f t="shared" ref="C33:S33" si="296">IFERROR(C13/$B33,0)</f>
        <v>6.1473967878488539E-4</v>
      </c>
      <c r="D33" s="60">
        <f t="shared" si="296"/>
        <v>8.7651280851673129E-3</v>
      </c>
      <c r="E33" s="60">
        <f t="shared" si="296"/>
        <v>1.5552309284021943E-2</v>
      </c>
      <c r="F33" s="60">
        <f t="shared" si="296"/>
        <v>5.7484156676610044E-3</v>
      </c>
      <c r="G33" s="60">
        <f t="shared" si="296"/>
        <v>1.1901362558245602E-3</v>
      </c>
      <c r="H33" s="60">
        <f t="shared" si="296"/>
        <v>1.0299130245866109E-2</v>
      </c>
      <c r="I33" s="60">
        <f t="shared" si="296"/>
        <v>1.2042803909424794E-3</v>
      </c>
      <c r="J33" s="60">
        <f t="shared" si="296"/>
        <v>4.9812977177188245</v>
      </c>
      <c r="K33" s="60">
        <f t="shared" si="296"/>
        <v>183.03170918682395</v>
      </c>
      <c r="L33" s="60">
        <f t="shared" si="296"/>
        <v>0.74803928211135051</v>
      </c>
      <c r="M33" s="60">
        <f t="shared" si="296"/>
        <v>6.0195458726931626E-2</v>
      </c>
      <c r="N33" s="60">
        <f t="shared" si="296"/>
        <v>0</v>
      </c>
      <c r="O33" s="60">
        <f t="shared" si="296"/>
        <v>0</v>
      </c>
      <c r="P33" s="60">
        <f t="shared" si="296"/>
        <v>1.6510212349196771</v>
      </c>
      <c r="Q33" s="60">
        <f t="shared" si="296"/>
        <v>22.116436315238694</v>
      </c>
      <c r="R33" s="60">
        <f t="shared" si="296"/>
        <v>0</v>
      </c>
      <c r="S33" s="60">
        <f t="shared" si="296"/>
        <v>8.0285359396165302E-6</v>
      </c>
      <c r="T33" s="120">
        <f t="shared" si="272"/>
        <v>0.20075090000000001</v>
      </c>
      <c r="U33" s="120">
        <f t="shared" si="273"/>
        <v>5.4635341845564091E-3</v>
      </c>
      <c r="V33" s="120">
        <f t="shared" si="274"/>
        <v>1.3368281905964712</v>
      </c>
      <c r="W33" s="120">
        <f t="shared" si="275"/>
        <v>16.612548872438396</v>
      </c>
      <c r="X33" s="120" t="str">
        <f t="shared" si="276"/>
        <v>.</v>
      </c>
      <c r="Y33" s="120" t="str">
        <f t="shared" si="277"/>
        <v>.</v>
      </c>
      <c r="Z33" s="120">
        <f t="shared" si="278"/>
        <v>0.60568572883840011</v>
      </c>
      <c r="AA33" s="120">
        <f t="shared" si="279"/>
        <v>4.5215241087958588E-2</v>
      </c>
      <c r="AB33" s="120" t="str">
        <f t="shared" si="280"/>
        <v>.</v>
      </c>
      <c r="AC33" s="120">
        <f t="shared" si="281"/>
        <v>124555.71072</v>
      </c>
      <c r="AD33" s="60">
        <f t="shared" si="282"/>
        <v>8.0273239052129534E-6</v>
      </c>
      <c r="AE33" s="60">
        <f t="shared" ref="AE33:AN33" si="297">IFERROR(AE13/$B33,0)</f>
        <v>0.51253715074283446</v>
      </c>
      <c r="AF33" s="60">
        <f t="shared" si="297"/>
        <v>0</v>
      </c>
      <c r="AG33" s="60">
        <f t="shared" si="297"/>
        <v>5325735.4816052523</v>
      </c>
      <c r="AH33" s="60">
        <f t="shared" si="297"/>
        <v>0.15340794392092796</v>
      </c>
      <c r="AI33" s="60">
        <f t="shared" si="297"/>
        <v>0</v>
      </c>
      <c r="AJ33" s="60">
        <f t="shared" si="297"/>
        <v>0</v>
      </c>
      <c r="AK33" s="60">
        <f t="shared" si="297"/>
        <v>108.46067297473593</v>
      </c>
      <c r="AL33" s="60">
        <f t="shared" si="297"/>
        <v>1332.4351559774966</v>
      </c>
      <c r="AM33" s="60">
        <f t="shared" si="297"/>
        <v>0</v>
      </c>
      <c r="AN33" s="60">
        <f t="shared" si="297"/>
        <v>4.0142679698082648E-2</v>
      </c>
      <c r="AO33" s="120">
        <f t="shared" si="284"/>
        <v>1.95107808</v>
      </c>
      <c r="AP33" s="120" t="str">
        <f t="shared" si="285"/>
        <v>.</v>
      </c>
      <c r="AQ33" s="120">
        <f t="shared" si="286"/>
        <v>1.8776749304465751E-7</v>
      </c>
      <c r="AR33" s="120">
        <f t="shared" si="287"/>
        <v>6.5185672556529175</v>
      </c>
      <c r="AS33" s="120" t="str">
        <f t="shared" si="288"/>
        <v>.</v>
      </c>
      <c r="AT33" s="120" t="str">
        <f t="shared" si="289"/>
        <v>.</v>
      </c>
      <c r="AU33" s="120">
        <f t="shared" si="290"/>
        <v>9.2199317280000012E-3</v>
      </c>
      <c r="AV33" s="120">
        <f t="shared" si="291"/>
        <v>7.5050556532815543E-4</v>
      </c>
      <c r="AW33" s="120" t="str">
        <f t="shared" si="292"/>
        <v>.</v>
      </c>
      <c r="AX33" s="120">
        <f t="shared" si="293"/>
        <v>24.911142144000003</v>
      </c>
      <c r="AY33" s="60">
        <f t="shared" si="294"/>
        <v>2.9948406587954376E-2</v>
      </c>
      <c r="AZ33" s="60">
        <f>IFERROR(AZ13/$B33,0)</f>
        <v>1.3464703961652523E-4</v>
      </c>
      <c r="BA33" s="60">
        <f>IFERROR(BA13/$B33,0)</f>
        <v>339.85508166054217</v>
      </c>
      <c r="BB33" s="60">
        <f t="shared" si="295"/>
        <v>1.3464698627079326E-4</v>
      </c>
    </row>
    <row r="34" spans="1:54" x14ac:dyDescent="0.25">
      <c r="A34" s="182" t="s">
        <v>1079</v>
      </c>
      <c r="B34" s="183">
        <v>1</v>
      </c>
      <c r="C34" s="60">
        <f t="shared" ref="C34:S34" si="298">IFERROR(C14/$B34,0)</f>
        <v>5.6901523986700149E-3</v>
      </c>
      <c r="D34" s="60">
        <f t="shared" si="298"/>
        <v>8.1131764094110673E-2</v>
      </c>
      <c r="E34" s="60">
        <f t="shared" si="298"/>
        <v>0.1439552594884676</v>
      </c>
      <c r="F34" s="60">
        <f t="shared" si="298"/>
        <v>5.3208475601490293E-2</v>
      </c>
      <c r="G34" s="60">
        <f t="shared" si="298"/>
        <v>1.101613724399593E-2</v>
      </c>
      <c r="H34" s="60">
        <f t="shared" si="298"/>
        <v>9.5330792358430116E-2</v>
      </c>
      <c r="I34" s="60">
        <f t="shared" si="298"/>
        <v>1.1147058164095679E-2</v>
      </c>
      <c r="J34" s="60">
        <f t="shared" si="298"/>
        <v>37.723535525196489</v>
      </c>
      <c r="K34" s="60">
        <f t="shared" si="298"/>
        <v>343461.43975735729</v>
      </c>
      <c r="L34" s="60">
        <f t="shared" si="298"/>
        <v>4.8165901449902376E-2</v>
      </c>
      <c r="M34" s="60">
        <f t="shared" si="298"/>
        <v>0.52638222937434087</v>
      </c>
      <c r="N34" s="60">
        <f t="shared" si="298"/>
        <v>0</v>
      </c>
      <c r="O34" s="60">
        <f t="shared" si="298"/>
        <v>0</v>
      </c>
      <c r="P34" s="60">
        <f t="shared" si="298"/>
        <v>2303.6465245801619</v>
      </c>
      <c r="Q34" s="60">
        <f t="shared" si="298"/>
        <v>302.37498631088096</v>
      </c>
      <c r="R34" s="60">
        <f t="shared" si="298"/>
        <v>0</v>
      </c>
      <c r="S34" s="60">
        <f t="shared" si="298"/>
        <v>2.2294116328191356</v>
      </c>
      <c r="T34" s="120">
        <f t="shared" si="272"/>
        <v>2.6508650000000002E-2</v>
      </c>
      <c r="U34" s="120">
        <f t="shared" si="273"/>
        <v>2.9115349912539316E-6</v>
      </c>
      <c r="V34" s="120">
        <f t="shared" si="274"/>
        <v>20.761575510843613</v>
      </c>
      <c r="W34" s="120">
        <f t="shared" si="275"/>
        <v>1.8997601822322199</v>
      </c>
      <c r="X34" s="120" t="str">
        <f t="shared" si="276"/>
        <v>.</v>
      </c>
      <c r="Y34" s="120" t="str">
        <f t="shared" si="277"/>
        <v>.</v>
      </c>
      <c r="Z34" s="120">
        <f t="shared" si="278"/>
        <v>4.3409437573425002E-4</v>
      </c>
      <c r="AA34" s="120">
        <f t="shared" si="279"/>
        <v>3.3071518653063105E-3</v>
      </c>
      <c r="AB34" s="120" t="str">
        <f t="shared" si="280"/>
        <v>.</v>
      </c>
      <c r="AC34" s="120">
        <f t="shared" si="281"/>
        <v>0.44854883920000005</v>
      </c>
      <c r="AD34" s="60">
        <f t="shared" si="282"/>
        <v>4.3214955266024299E-2</v>
      </c>
      <c r="AE34" s="60">
        <f t="shared" ref="AE34:AN34" si="299">IFERROR(AE14/$B34,0)</f>
        <v>5.1871229713732632</v>
      </c>
      <c r="AF34" s="60">
        <f t="shared" si="299"/>
        <v>0</v>
      </c>
      <c r="AG34" s="60">
        <f t="shared" si="299"/>
        <v>489301.94737248251</v>
      </c>
      <c r="AH34" s="60">
        <f t="shared" si="299"/>
        <v>1.4124456230011788</v>
      </c>
      <c r="AI34" s="60">
        <f t="shared" si="299"/>
        <v>0</v>
      </c>
      <c r="AJ34" s="60">
        <f t="shared" si="299"/>
        <v>0</v>
      </c>
      <c r="AK34" s="60">
        <f t="shared" si="299"/>
        <v>200786.70038298221</v>
      </c>
      <c r="AL34" s="60">
        <f t="shared" si="299"/>
        <v>24666.568176773493</v>
      </c>
      <c r="AM34" s="60">
        <f t="shared" si="299"/>
        <v>0</v>
      </c>
      <c r="AN34" s="60">
        <f t="shared" si="299"/>
        <v>1.114705816409568</v>
      </c>
      <c r="AO34" s="120">
        <f t="shared" si="284"/>
        <v>0.19278509600000004</v>
      </c>
      <c r="AP34" s="120" t="str">
        <f t="shared" si="285"/>
        <v>.</v>
      </c>
      <c r="AQ34" s="120">
        <f t="shared" si="286"/>
        <v>2.0437278154520549E-6</v>
      </c>
      <c r="AR34" s="120">
        <f t="shared" si="287"/>
        <v>0.70799185732558667</v>
      </c>
      <c r="AS34" s="120" t="str">
        <f t="shared" si="288"/>
        <v>.</v>
      </c>
      <c r="AT34" s="120" t="str">
        <f t="shared" si="289"/>
        <v>.</v>
      </c>
      <c r="AU34" s="120">
        <f t="shared" si="290"/>
        <v>4.9804095495000006E-6</v>
      </c>
      <c r="AV34" s="120">
        <f t="shared" si="291"/>
        <v>4.0540702412815536E-5</v>
      </c>
      <c r="AW34" s="120" t="str">
        <f t="shared" si="292"/>
        <v>.</v>
      </c>
      <c r="AX34" s="120">
        <f t="shared" si="293"/>
        <v>0.89709767839999988</v>
      </c>
      <c r="AY34" s="60">
        <f t="shared" si="294"/>
        <v>0.55619759403957314</v>
      </c>
      <c r="AZ34" s="60">
        <f>IFERROR(AZ14/$B34,0)</f>
        <v>0.25266696296079189</v>
      </c>
      <c r="BA34" s="60">
        <f>IFERROR(BA14/$B34,0)</f>
        <v>30.545114726535733</v>
      </c>
      <c r="BB34" s="60">
        <f t="shared" si="295"/>
        <v>0.25059406710045129</v>
      </c>
    </row>
    <row r="35" spans="1:54" x14ac:dyDescent="0.25">
      <c r="A35" s="182" t="s">
        <v>1080</v>
      </c>
      <c r="B35" s="183">
        <v>1</v>
      </c>
      <c r="C35" s="60">
        <f t="shared" ref="C35:S35" si="300">IFERROR(C30/$B35,0)</f>
        <v>5.2557896201455836E-4</v>
      </c>
      <c r="D35" s="60">
        <f t="shared" si="300"/>
        <v>7.4938499659445729E-3</v>
      </c>
      <c r="E35" s="60">
        <f t="shared" si="300"/>
        <v>1.3296630838247768E-2</v>
      </c>
      <c r="F35" s="60">
        <f t="shared" si="300"/>
        <v>4.9146759906720039E-3</v>
      </c>
      <c r="G35" s="60">
        <f t="shared" si="300"/>
        <v>1.0175210736820667E-3</v>
      </c>
      <c r="H35" s="60">
        <f t="shared" si="300"/>
        <v>8.805363263641253E-3</v>
      </c>
      <c r="I35" s="60">
        <f t="shared" si="300"/>
        <v>1.0296137693554023E-3</v>
      </c>
      <c r="J35" s="60">
        <f t="shared" si="300"/>
        <v>4.1347224898306498</v>
      </c>
      <c r="K35" s="60">
        <f t="shared" si="300"/>
        <v>185.42428054874321</v>
      </c>
      <c r="L35" s="60">
        <f t="shared" si="300"/>
        <v>54.414023312861794</v>
      </c>
      <c r="M35" s="60">
        <f t="shared" si="300"/>
        <v>6.561514775359055E-2</v>
      </c>
      <c r="N35" s="60">
        <f t="shared" si="300"/>
        <v>0.13608118285059023</v>
      </c>
      <c r="O35" s="60">
        <f t="shared" si="300"/>
        <v>0.16462783670056863</v>
      </c>
      <c r="P35" s="60">
        <f t="shared" si="300"/>
        <v>3.5735626567427925</v>
      </c>
      <c r="Q35" s="60">
        <f t="shared" si="300"/>
        <v>0.10360902246994964</v>
      </c>
      <c r="R35" s="60">
        <f t="shared" si="300"/>
        <v>0.12678024768932289</v>
      </c>
      <c r="S35" s="60">
        <f t="shared" si="300"/>
        <v>4.2900573723141761E-4</v>
      </c>
      <c r="T35" s="120">
        <f t="shared" si="272"/>
        <v>0.24185420000000002</v>
      </c>
      <c r="U35" s="120">
        <f t="shared" si="273"/>
        <v>5.3930369692718107E-3</v>
      </c>
      <c r="V35" s="120">
        <f t="shared" si="274"/>
        <v>1.8377615532127561E-2</v>
      </c>
      <c r="W35" s="120">
        <f t="shared" si="275"/>
        <v>15.2403832687442</v>
      </c>
      <c r="X35" s="120">
        <f t="shared" si="276"/>
        <v>7.3485545837586219</v>
      </c>
      <c r="Y35" s="120">
        <f t="shared" si="277"/>
        <v>6.0743068732588528</v>
      </c>
      <c r="Z35" s="120">
        <f t="shared" si="278"/>
        <v>0.27983278762809588</v>
      </c>
      <c r="AA35" s="120">
        <f t="shared" si="279"/>
        <v>9.6516690936837684</v>
      </c>
      <c r="AB35" s="120">
        <f t="shared" si="280"/>
        <v>7.8876640346256197</v>
      </c>
      <c r="AC35" s="120">
        <f t="shared" si="281"/>
        <v>2330.9711577600006</v>
      </c>
      <c r="AD35" s="60">
        <f t="shared" si="282"/>
        <v>4.2057110984219172E-4</v>
      </c>
      <c r="AE35" s="60">
        <f t="shared" ref="AE35:AN35" si="301">IFERROR(AE30/$B35,0)</f>
        <v>0.44384660476699062</v>
      </c>
      <c r="AF35" s="60">
        <f t="shared" si="301"/>
        <v>0</v>
      </c>
      <c r="AG35" s="60">
        <f t="shared" si="301"/>
        <v>437364869.15976095</v>
      </c>
      <c r="AH35" s="60">
        <f t="shared" si="301"/>
        <v>0.13378633224629452</v>
      </c>
      <c r="AI35" s="60">
        <f t="shared" si="301"/>
        <v>24.979499886481907</v>
      </c>
      <c r="AJ35" s="60">
        <f t="shared" si="301"/>
        <v>30.219615541472194</v>
      </c>
      <c r="AK35" s="60">
        <f t="shared" si="301"/>
        <v>237.76855300783762</v>
      </c>
      <c r="AL35" s="60">
        <f t="shared" si="301"/>
        <v>6.3287844558727571</v>
      </c>
      <c r="AM35" s="60">
        <f t="shared" si="301"/>
        <v>17.554551961007284</v>
      </c>
      <c r="AN35" s="60">
        <f t="shared" si="301"/>
        <v>1.072514343078544</v>
      </c>
      <c r="AO35" s="120">
        <f t="shared" si="284"/>
        <v>2.25303064</v>
      </c>
      <c r="AP35" s="120" t="str">
        <f t="shared" si="285"/>
        <v>.</v>
      </c>
      <c r="AQ35" s="120">
        <f t="shared" si="286"/>
        <v>2.2864204935369862E-9</v>
      </c>
      <c r="AR35" s="120">
        <f t="shared" si="287"/>
        <v>7.4746050901451255</v>
      </c>
      <c r="AS35" s="120">
        <f t="shared" si="288"/>
        <v>4.0032827100000008E-2</v>
      </c>
      <c r="AT35" s="120">
        <f t="shared" si="289"/>
        <v>3.3091089416000009E-2</v>
      </c>
      <c r="AU35" s="120">
        <f t="shared" si="290"/>
        <v>4.20577064271E-3</v>
      </c>
      <c r="AV35" s="120">
        <f t="shared" si="291"/>
        <v>0.158008225271767</v>
      </c>
      <c r="AW35" s="120">
        <f t="shared" si="292"/>
        <v>5.6965281838080008E-2</v>
      </c>
      <c r="AX35" s="120">
        <f t="shared" si="293"/>
        <v>0.93238846310400014</v>
      </c>
      <c r="AY35" s="60">
        <f t="shared" si="294"/>
        <v>9.1304794351831947E-2</v>
      </c>
      <c r="AZ35" s="60">
        <f>IFERROR(AZ30/$B35,0)</f>
        <v>1.3640713163765627E-4</v>
      </c>
      <c r="BA35" s="60">
        <f>IFERROR(BA30/$B35,0)</f>
        <v>27806.324863135262</v>
      </c>
      <c r="BB35" s="60">
        <f t="shared" si="295"/>
        <v>1.3640713096849536E-4</v>
      </c>
    </row>
    <row r="36" spans="1:54" x14ac:dyDescent="0.25">
      <c r="A36" s="182" t="s">
        <v>1081</v>
      </c>
      <c r="B36" s="183">
        <v>1</v>
      </c>
      <c r="C36" s="60">
        <f t="shared" ref="C36:S36" si="302">IFERROR(C26/$B36,0)</f>
        <v>1.7541616311823484E-4</v>
      </c>
      <c r="D36" s="60">
        <f t="shared" si="302"/>
        <v>2.5011320905445581E-3</v>
      </c>
      <c r="E36" s="60">
        <f t="shared" si="302"/>
        <v>4.4378564071604022E-3</v>
      </c>
      <c r="F36" s="60">
        <f t="shared" si="302"/>
        <v>1.6403122414726942E-3</v>
      </c>
      <c r="G36" s="60">
        <f t="shared" si="302"/>
        <v>3.3960575962382352E-4</v>
      </c>
      <c r="H36" s="60">
        <f t="shared" si="302"/>
        <v>2.9388600956356797E-3</v>
      </c>
      <c r="I36" s="60">
        <f t="shared" si="302"/>
        <v>3.4364179308422346E-4</v>
      </c>
      <c r="J36" s="60">
        <f t="shared" si="302"/>
        <v>1.6141320489146573</v>
      </c>
      <c r="K36" s="60">
        <f t="shared" si="302"/>
        <v>30.052875978768757</v>
      </c>
      <c r="L36" s="60">
        <f t="shared" si="302"/>
        <v>0.17259448019548351</v>
      </c>
      <c r="M36" s="60">
        <f t="shared" si="302"/>
        <v>0.12266165856675273</v>
      </c>
      <c r="N36" s="60">
        <f t="shared" si="302"/>
        <v>0</v>
      </c>
      <c r="O36" s="60">
        <f t="shared" si="302"/>
        <v>0</v>
      </c>
      <c r="P36" s="60">
        <f t="shared" si="302"/>
        <v>2.054732518475169</v>
      </c>
      <c r="Q36" s="60">
        <f t="shared" si="302"/>
        <v>12.664516017832662</v>
      </c>
      <c r="R36" s="60">
        <f t="shared" si="302"/>
        <v>0</v>
      </c>
      <c r="S36" s="60">
        <f t="shared" si="302"/>
        <v>1.1454726436140783E-3</v>
      </c>
      <c r="T36" s="120">
        <f t="shared" si="272"/>
        <v>0.61952800000000008</v>
      </c>
      <c r="U36" s="120">
        <f t="shared" si="273"/>
        <v>3.3274685614330654E-2</v>
      </c>
      <c r="V36" s="120">
        <f t="shared" si="274"/>
        <v>5.7939280495377519</v>
      </c>
      <c r="W36" s="120">
        <f t="shared" si="275"/>
        <v>8.1525067546335013</v>
      </c>
      <c r="X36" s="120" t="str">
        <f t="shared" si="276"/>
        <v>.</v>
      </c>
      <c r="Y36" s="120" t="str">
        <f t="shared" si="277"/>
        <v>.</v>
      </c>
      <c r="Z36" s="120">
        <f t="shared" si="278"/>
        <v>0.48668135195626672</v>
      </c>
      <c r="AA36" s="120">
        <f t="shared" si="279"/>
        <v>7.8960775018320412E-2</v>
      </c>
      <c r="AB36" s="120" t="str">
        <f t="shared" si="280"/>
        <v>.</v>
      </c>
      <c r="AC36" s="120">
        <f t="shared" si="281"/>
        <v>873.0020796</v>
      </c>
      <c r="AD36" s="60">
        <f t="shared" si="282"/>
        <v>1.1259144349187017E-3</v>
      </c>
      <c r="AE36" s="60">
        <f t="shared" ref="AE36:AN36" si="303">IFERROR(AE26/$B36,0)</f>
        <v>0.14256000219337117</v>
      </c>
      <c r="AF36" s="60">
        <f t="shared" si="303"/>
        <v>0</v>
      </c>
      <c r="AG36" s="60">
        <f t="shared" si="303"/>
        <v>1368676.775867084</v>
      </c>
      <c r="AH36" s="60">
        <f t="shared" si="303"/>
        <v>4.749596195938717E-2</v>
      </c>
      <c r="AI36" s="60">
        <f t="shared" si="303"/>
        <v>0</v>
      </c>
      <c r="AJ36" s="60">
        <f t="shared" si="303"/>
        <v>0</v>
      </c>
      <c r="AK36" s="60">
        <f t="shared" si="303"/>
        <v>134.56211989111517</v>
      </c>
      <c r="AL36" s="60">
        <f t="shared" si="303"/>
        <v>760.42159220117003</v>
      </c>
      <c r="AM36" s="60">
        <f t="shared" si="303"/>
        <v>0</v>
      </c>
      <c r="AN36" s="60">
        <f t="shared" si="303"/>
        <v>5.7273632180703908E-2</v>
      </c>
      <c r="AO36" s="120">
        <f t="shared" si="284"/>
        <v>7.0145902399999995</v>
      </c>
      <c r="AP36" s="120" t="str">
        <f t="shared" si="285"/>
        <v>.</v>
      </c>
      <c r="AQ36" s="120">
        <f t="shared" si="286"/>
        <v>7.3063269402410958E-7</v>
      </c>
      <c r="AR36" s="120">
        <f t="shared" si="287"/>
        <v>21.054421444397306</v>
      </c>
      <c r="AS36" s="120" t="str">
        <f t="shared" si="288"/>
        <v>.</v>
      </c>
      <c r="AT36" s="120" t="str">
        <f t="shared" si="289"/>
        <v>.</v>
      </c>
      <c r="AU36" s="120">
        <f t="shared" si="290"/>
        <v>7.4315119352250016E-3</v>
      </c>
      <c r="AV36" s="120">
        <f t="shared" si="291"/>
        <v>1.3150599749611651E-3</v>
      </c>
      <c r="AW36" s="120" t="str">
        <f t="shared" si="292"/>
        <v>.</v>
      </c>
      <c r="AX36" s="120">
        <f t="shared" si="293"/>
        <v>17.460041592000003</v>
      </c>
      <c r="AY36" s="60">
        <f t="shared" si="294"/>
        <v>2.1959778190571391E-2</v>
      </c>
      <c r="AZ36" s="60">
        <f>IFERROR(AZ26/$B36,0)</f>
        <v>2.210835925906929E-5</v>
      </c>
      <c r="BA36" s="60">
        <f>IFERROR(BA26/$B36,0)</f>
        <v>86.881240720224184</v>
      </c>
      <c r="BB36" s="60">
        <f t="shared" si="295"/>
        <v>2.2108353633235443E-5</v>
      </c>
    </row>
    <row r="37" spans="1:54" x14ac:dyDescent="0.25">
      <c r="A37" s="182" t="s">
        <v>1082</v>
      </c>
      <c r="B37" s="183">
        <v>1</v>
      </c>
      <c r="C37" s="60">
        <f t="shared" ref="C37:S37" si="304">IFERROR(C22/$B37,0)</f>
        <v>3.3181129650075743E-4</v>
      </c>
      <c r="D37" s="60">
        <f t="shared" si="304"/>
        <v>4.7310570869336819E-3</v>
      </c>
      <c r="E37" s="60">
        <f t="shared" si="304"/>
        <v>8.3944994689660619E-3</v>
      </c>
      <c r="F37" s="60">
        <f t="shared" si="304"/>
        <v>3.1027593001350961E-3</v>
      </c>
      <c r="G37" s="60">
        <f t="shared" si="304"/>
        <v>6.4238679832458179E-4</v>
      </c>
      <c r="H37" s="60">
        <f t="shared" si="304"/>
        <v>5.5590486146361653E-3</v>
      </c>
      <c r="I37" s="60">
        <f t="shared" si="304"/>
        <v>6.5002122306292867E-4</v>
      </c>
      <c r="J37" s="60">
        <f t="shared" si="304"/>
        <v>2.5628966883530442</v>
      </c>
      <c r="K37" s="60">
        <f t="shared" si="304"/>
        <v>200.63589055132752</v>
      </c>
      <c r="L37" s="60">
        <f t="shared" si="304"/>
        <v>6.3361644737156473</v>
      </c>
      <c r="M37" s="60">
        <f t="shared" si="304"/>
        <v>1.4642709250175157E-2</v>
      </c>
      <c r="N37" s="60">
        <f t="shared" si="304"/>
        <v>0</v>
      </c>
      <c r="O37" s="60">
        <f t="shared" si="304"/>
        <v>0</v>
      </c>
      <c r="P37" s="60">
        <f t="shared" si="304"/>
        <v>0.49697977995983583</v>
      </c>
      <c r="Q37" s="60">
        <f t="shared" si="304"/>
        <v>0.2965437959309436</v>
      </c>
      <c r="R37" s="60">
        <f t="shared" si="304"/>
        <v>0</v>
      </c>
      <c r="S37" s="60">
        <f t="shared" si="304"/>
        <v>1.6250530576573217E-4</v>
      </c>
      <c r="T37" s="120">
        <f t="shared" si="272"/>
        <v>0.39018350000000002</v>
      </c>
      <c r="U37" s="120">
        <f t="shared" si="273"/>
        <v>4.9841531206211371E-3</v>
      </c>
      <c r="V37" s="120">
        <f t="shared" si="274"/>
        <v>0.15782418593272107</v>
      </c>
      <c r="W37" s="120">
        <f t="shared" si="275"/>
        <v>68.293372689076506</v>
      </c>
      <c r="X37" s="120" t="str">
        <f t="shared" si="276"/>
        <v>.</v>
      </c>
      <c r="Y37" s="120" t="str">
        <f t="shared" si="277"/>
        <v>.</v>
      </c>
      <c r="Z37" s="120">
        <f t="shared" si="278"/>
        <v>2.0121542974662199</v>
      </c>
      <c r="AA37" s="120">
        <f t="shared" si="279"/>
        <v>3.3721831773977522</v>
      </c>
      <c r="AB37" s="120" t="str">
        <f t="shared" si="280"/>
        <v>.</v>
      </c>
      <c r="AC37" s="120">
        <f t="shared" si="281"/>
        <v>6153.6452320000008</v>
      </c>
      <c r="AD37" s="60">
        <f t="shared" si="282"/>
        <v>1.6056838809845166E-4</v>
      </c>
      <c r="AE37" s="60">
        <f t="shared" ref="AE37:AN37" si="305">IFERROR(AE22/$B37,0)</f>
        <v>0.27866097516115274</v>
      </c>
      <c r="AF37" s="60">
        <f t="shared" si="305"/>
        <v>0</v>
      </c>
      <c r="AG37" s="60">
        <f t="shared" si="305"/>
        <v>21567027.983360112</v>
      </c>
      <c r="AH37" s="60">
        <f t="shared" si="305"/>
        <v>7.4527532478402769E-2</v>
      </c>
      <c r="AI37" s="60">
        <f t="shared" si="305"/>
        <v>0</v>
      </c>
      <c r="AJ37" s="60">
        <f t="shared" si="305"/>
        <v>0</v>
      </c>
      <c r="AK37" s="60">
        <f t="shared" si="305"/>
        <v>34.436840179079866</v>
      </c>
      <c r="AL37" s="60">
        <f t="shared" si="305"/>
        <v>18.926155671462219</v>
      </c>
      <c r="AM37" s="60">
        <f t="shared" si="305"/>
        <v>0</v>
      </c>
      <c r="AN37" s="60">
        <f t="shared" si="305"/>
        <v>0.16250530576573216</v>
      </c>
      <c r="AO37" s="120">
        <f t="shared" si="284"/>
        <v>3.5885900399999997</v>
      </c>
      <c r="AP37" s="120" t="str">
        <f t="shared" si="285"/>
        <v>.</v>
      </c>
      <c r="AQ37" s="120">
        <f t="shared" si="286"/>
        <v>4.6367074813068492E-8</v>
      </c>
      <c r="AR37" s="120">
        <f t="shared" si="287"/>
        <v>13.417860041049778</v>
      </c>
      <c r="AS37" s="120" t="str">
        <f t="shared" si="288"/>
        <v>.</v>
      </c>
      <c r="AT37" s="120" t="str">
        <f t="shared" si="289"/>
        <v>.</v>
      </c>
      <c r="AU37" s="120">
        <f t="shared" si="290"/>
        <v>2.9038668902250004E-2</v>
      </c>
      <c r="AV37" s="120">
        <f t="shared" si="291"/>
        <v>5.2836931987611663E-2</v>
      </c>
      <c r="AW37" s="120" t="str">
        <f t="shared" si="292"/>
        <v>.</v>
      </c>
      <c r="AX37" s="120">
        <f t="shared" si="293"/>
        <v>6.1536452320000015</v>
      </c>
      <c r="AY37" s="60">
        <f t="shared" si="294"/>
        <v>4.3025610939271361E-2</v>
      </c>
      <c r="AZ37" s="60">
        <f>IFERROR(AZ22/$B37,0)</f>
        <v>1.4759753281868042E-4</v>
      </c>
      <c r="BA37" s="60">
        <f>IFERROR(BA22/$B37,0)</f>
        <v>1413.194864879596</v>
      </c>
      <c r="BB37" s="60">
        <f t="shared" si="295"/>
        <v>1.4759751740323418E-4</v>
      </c>
    </row>
    <row r="38" spans="1:54" x14ac:dyDescent="0.25">
      <c r="A38" s="182" t="s">
        <v>1083</v>
      </c>
      <c r="B38" s="183">
        <v>1</v>
      </c>
      <c r="C38" s="60">
        <f t="shared" ref="C38:S38" si="306">IFERROR(C2/$B38,0)</f>
        <v>1.8760447962917482E-4</v>
      </c>
      <c r="D38" s="60">
        <f t="shared" si="306"/>
        <v>2.6749164728575997E-3</v>
      </c>
      <c r="E38" s="60">
        <f t="shared" si="306"/>
        <v>4.7462088278214104E-3</v>
      </c>
      <c r="F38" s="60">
        <f t="shared" si="306"/>
        <v>1.7542848904033581E-3</v>
      </c>
      <c r="G38" s="60">
        <f t="shared" si="306"/>
        <v>3.6320234510177308E-4</v>
      </c>
      <c r="H38" s="60">
        <f t="shared" si="306"/>
        <v>3.1430588216267144E-3</v>
      </c>
      <c r="I38" s="60">
        <f t="shared" si="306"/>
        <v>3.6751881140478944E-4</v>
      </c>
      <c r="J38" s="60">
        <f t="shared" si="306"/>
        <v>1.2717404021751848</v>
      </c>
      <c r="K38" s="60">
        <f t="shared" si="306"/>
        <v>183.74297230542561</v>
      </c>
      <c r="L38" s="60">
        <f t="shared" si="306"/>
        <v>0.9387575126779838</v>
      </c>
      <c r="M38" s="60">
        <f t="shared" si="306"/>
        <v>0.10365318120949632</v>
      </c>
      <c r="N38" s="60">
        <f t="shared" si="306"/>
        <v>0</v>
      </c>
      <c r="O38" s="60">
        <f t="shared" si="306"/>
        <v>0</v>
      </c>
      <c r="P38" s="60">
        <f t="shared" si="306"/>
        <v>18.987822171266998</v>
      </c>
      <c r="Q38" s="60">
        <f t="shared" si="306"/>
        <v>24.923278844425468</v>
      </c>
      <c r="R38" s="60">
        <f t="shared" si="306"/>
        <v>0</v>
      </c>
      <c r="S38" s="60">
        <f t="shared" si="306"/>
        <v>4.1652131959209471E-2</v>
      </c>
      <c r="T38" s="120">
        <f t="shared" si="272"/>
        <v>0.78632400000000002</v>
      </c>
      <c r="U38" s="120">
        <f t="shared" si="273"/>
        <v>5.4423850199710293E-3</v>
      </c>
      <c r="V38" s="120">
        <f t="shared" si="274"/>
        <v>1.0652378132743889</v>
      </c>
      <c r="W38" s="120">
        <f t="shared" si="275"/>
        <v>9.6475572513193999</v>
      </c>
      <c r="X38" s="120" t="str">
        <f t="shared" si="276"/>
        <v>.</v>
      </c>
      <c r="Y38" s="120" t="str">
        <f t="shared" si="277"/>
        <v>.</v>
      </c>
      <c r="Z38" s="120">
        <f t="shared" si="278"/>
        <v>5.266533417999001E-2</v>
      </c>
      <c r="AA38" s="120">
        <f t="shared" si="279"/>
        <v>4.0123131721236896E-2</v>
      </c>
      <c r="AB38" s="120" t="str">
        <f t="shared" si="280"/>
        <v>.</v>
      </c>
      <c r="AC38" s="120">
        <f t="shared" si="281"/>
        <v>24.008374912941175</v>
      </c>
      <c r="AD38" s="60">
        <f t="shared" si="282"/>
        <v>2.8085371237852125E-2</v>
      </c>
      <c r="AE38" s="60">
        <f t="shared" ref="AE38:AN38" si="307">IFERROR(AE2/$B38,0)</f>
        <v>0.16850536462778118</v>
      </c>
      <c r="AF38" s="60">
        <f t="shared" si="307"/>
        <v>0</v>
      </c>
      <c r="AG38" s="60">
        <f t="shared" si="307"/>
        <v>8013133.2220672667</v>
      </c>
      <c r="AH38" s="60">
        <f t="shared" si="307"/>
        <v>5.0610026775341196E-2</v>
      </c>
      <c r="AI38" s="60">
        <f t="shared" si="307"/>
        <v>0</v>
      </c>
      <c r="AJ38" s="60">
        <f t="shared" si="307"/>
        <v>0</v>
      </c>
      <c r="AK38" s="60">
        <f t="shared" si="307"/>
        <v>1654.985745663545</v>
      </c>
      <c r="AL38" s="60">
        <f t="shared" si="307"/>
        <v>2033.1435622544905</v>
      </c>
      <c r="AM38" s="60">
        <f t="shared" si="307"/>
        <v>0</v>
      </c>
      <c r="AN38" s="60">
        <f t="shared" si="307"/>
        <v>2.4501254093652631E-2</v>
      </c>
      <c r="AO38" s="120">
        <f t="shared" si="284"/>
        <v>5.9345291600000003</v>
      </c>
      <c r="AP38" s="120" t="str">
        <f t="shared" si="285"/>
        <v>.</v>
      </c>
      <c r="AQ38" s="120">
        <f t="shared" si="286"/>
        <v>1.2479512973104112E-7</v>
      </c>
      <c r="AR38" s="120">
        <f t="shared" si="287"/>
        <v>19.758930467257361</v>
      </c>
      <c r="AS38" s="120" t="str">
        <f t="shared" si="288"/>
        <v>.</v>
      </c>
      <c r="AT38" s="120" t="str">
        <f t="shared" si="289"/>
        <v>.</v>
      </c>
      <c r="AU38" s="120">
        <f t="shared" si="290"/>
        <v>6.0423481146000026E-4</v>
      </c>
      <c r="AV38" s="120">
        <f t="shared" si="291"/>
        <v>4.9184918299184481E-4</v>
      </c>
      <c r="AW38" s="120" t="str">
        <f t="shared" si="292"/>
        <v>.</v>
      </c>
      <c r="AX38" s="120">
        <f t="shared" si="293"/>
        <v>40.814237351999992</v>
      </c>
      <c r="AY38" s="60">
        <f t="shared" si="294"/>
        <v>1.5035605850982747E-2</v>
      </c>
      <c r="AZ38" s="60">
        <f>IFERROR(AZ2/$B38,0)</f>
        <v>1.3517027940778114E-4</v>
      </c>
      <c r="BA38" s="60">
        <f>IFERROR(BA2/$B38,0)</f>
        <v>506.3147134942771</v>
      </c>
      <c r="BB38" s="60">
        <f t="shared" si="295"/>
        <v>1.351702433215307E-4</v>
      </c>
    </row>
    <row r="39" spans="1:54" x14ac:dyDescent="0.25">
      <c r="A39" s="182" t="s">
        <v>1084</v>
      </c>
      <c r="B39" s="183">
        <v>1</v>
      </c>
      <c r="C39" s="60">
        <f t="shared" ref="C39:S39" si="308">IFERROR(C11/$B39,0)</f>
        <v>0</v>
      </c>
      <c r="D39" s="60">
        <f t="shared" si="308"/>
        <v>0</v>
      </c>
      <c r="E39" s="60">
        <f t="shared" si="308"/>
        <v>0</v>
      </c>
      <c r="F39" s="60">
        <f t="shared" si="308"/>
        <v>0</v>
      </c>
      <c r="G39" s="60">
        <f t="shared" si="308"/>
        <v>0</v>
      </c>
      <c r="H39" s="60">
        <f t="shared" si="308"/>
        <v>0</v>
      </c>
      <c r="I39" s="60">
        <f t="shared" si="308"/>
        <v>0</v>
      </c>
      <c r="J39" s="60">
        <f t="shared" si="308"/>
        <v>0</v>
      </c>
      <c r="K39" s="60">
        <f t="shared" si="308"/>
        <v>0</v>
      </c>
      <c r="L39" s="60">
        <f t="shared" si="308"/>
        <v>0.36902160576317183</v>
      </c>
      <c r="M39" s="60">
        <f t="shared" si="308"/>
        <v>0</v>
      </c>
      <c r="N39" s="60">
        <f t="shared" si="308"/>
        <v>0</v>
      </c>
      <c r="O39" s="60">
        <f t="shared" si="308"/>
        <v>0</v>
      </c>
      <c r="P39" s="60">
        <f t="shared" si="308"/>
        <v>0</v>
      </c>
      <c r="Q39" s="60">
        <f t="shared" si="308"/>
        <v>0</v>
      </c>
      <c r="R39" s="60">
        <f t="shared" si="308"/>
        <v>0</v>
      </c>
      <c r="S39" s="60">
        <f t="shared" si="308"/>
        <v>0</v>
      </c>
      <c r="T39" s="120" t="str">
        <f t="shared" si="272"/>
        <v>.</v>
      </c>
      <c r="U39" s="120" t="str">
        <f t="shared" si="273"/>
        <v>.</v>
      </c>
      <c r="V39" s="120">
        <f t="shared" si="274"/>
        <v>2.7098684315025534</v>
      </c>
      <c r="W39" s="120" t="str">
        <f t="shared" si="275"/>
        <v>.</v>
      </c>
      <c r="X39" s="120" t="str">
        <f t="shared" si="276"/>
        <v>.</v>
      </c>
      <c r="Y39" s="120" t="str">
        <f t="shared" si="277"/>
        <v>.</v>
      </c>
      <c r="Z39" s="120" t="str">
        <f t="shared" si="278"/>
        <v>.</v>
      </c>
      <c r="AA39" s="120" t="str">
        <f t="shared" si="279"/>
        <v>.</v>
      </c>
      <c r="AB39" s="120" t="str">
        <f t="shared" si="280"/>
        <v>.</v>
      </c>
      <c r="AC39" s="120" t="str">
        <f t="shared" si="281"/>
        <v>.</v>
      </c>
      <c r="AD39" s="60">
        <f t="shared" si="282"/>
        <v>0.36902160576317178</v>
      </c>
      <c r="AE39" s="60">
        <f t="shared" ref="AE39:AN39" si="309">IFERROR(AE11/$B39,0)</f>
        <v>0</v>
      </c>
      <c r="AF39" s="60">
        <f t="shared" si="309"/>
        <v>0</v>
      </c>
      <c r="AG39" s="60">
        <f t="shared" si="309"/>
        <v>3607756.2939906539</v>
      </c>
      <c r="AH39" s="60">
        <f t="shared" si="309"/>
        <v>0</v>
      </c>
      <c r="AI39" s="60">
        <f t="shared" si="309"/>
        <v>0</v>
      </c>
      <c r="AJ39" s="60">
        <f t="shared" si="309"/>
        <v>0</v>
      </c>
      <c r="AK39" s="60">
        <f t="shared" si="309"/>
        <v>0</v>
      </c>
      <c r="AL39" s="60">
        <f t="shared" si="309"/>
        <v>0</v>
      </c>
      <c r="AM39" s="60">
        <f t="shared" si="309"/>
        <v>0</v>
      </c>
      <c r="AN39" s="60">
        <f t="shared" si="309"/>
        <v>0</v>
      </c>
      <c r="AO39" s="120" t="str">
        <f t="shared" si="284"/>
        <v>.</v>
      </c>
      <c r="AP39" s="120" t="str">
        <f t="shared" si="285"/>
        <v>.</v>
      </c>
      <c r="AQ39" s="120">
        <f t="shared" si="286"/>
        <v>2.7718058497068499E-7</v>
      </c>
      <c r="AR39" s="120" t="str">
        <f t="shared" si="287"/>
        <v>.</v>
      </c>
      <c r="AS39" s="120" t="str">
        <f t="shared" si="288"/>
        <v>.</v>
      </c>
      <c r="AT39" s="120" t="str">
        <f t="shared" si="289"/>
        <v>.</v>
      </c>
      <c r="AU39" s="120" t="str">
        <f t="shared" si="290"/>
        <v>.</v>
      </c>
      <c r="AV39" s="120" t="str">
        <f t="shared" si="291"/>
        <v>.</v>
      </c>
      <c r="AW39" s="120" t="str">
        <f t="shared" si="292"/>
        <v>.</v>
      </c>
      <c r="AX39" s="120" t="str">
        <f t="shared" si="293"/>
        <v>.</v>
      </c>
      <c r="AY39" s="60">
        <f t="shared" si="294"/>
        <v>3607756.2939906539</v>
      </c>
      <c r="AZ39" s="60">
        <f>IFERROR(AZ11/$B39,0)</f>
        <v>0</v>
      </c>
      <c r="BA39" s="60">
        <f>IFERROR(BA11/$B39,0)</f>
        <v>226.2257230506344</v>
      </c>
      <c r="BB39" s="60">
        <f t="shared" si="295"/>
        <v>226.2257230506344</v>
      </c>
    </row>
    <row r="40" spans="1:54" x14ac:dyDescent="0.25">
      <c r="A40" s="182" t="s">
        <v>1085</v>
      </c>
      <c r="B40" s="183">
        <v>1</v>
      </c>
      <c r="C40" s="60">
        <f t="shared" ref="C40:S40" si="310">IFERROR(C4/$B40,0)</f>
        <v>0</v>
      </c>
      <c r="D40" s="60">
        <f t="shared" si="310"/>
        <v>0</v>
      </c>
      <c r="E40" s="60">
        <f t="shared" si="310"/>
        <v>0</v>
      </c>
      <c r="F40" s="60">
        <f t="shared" si="310"/>
        <v>0</v>
      </c>
      <c r="G40" s="60">
        <f t="shared" si="310"/>
        <v>0</v>
      </c>
      <c r="H40" s="60">
        <f t="shared" si="310"/>
        <v>0</v>
      </c>
      <c r="I40" s="60">
        <f t="shared" si="310"/>
        <v>0</v>
      </c>
      <c r="J40" s="60">
        <f t="shared" si="310"/>
        <v>0</v>
      </c>
      <c r="K40" s="60">
        <f t="shared" si="310"/>
        <v>0</v>
      </c>
      <c r="L40" s="60">
        <f t="shared" si="310"/>
        <v>41.319376804903776</v>
      </c>
      <c r="M40" s="60">
        <f t="shared" si="310"/>
        <v>0</v>
      </c>
      <c r="N40" s="60">
        <f t="shared" si="310"/>
        <v>0</v>
      </c>
      <c r="O40" s="60">
        <f t="shared" si="310"/>
        <v>0</v>
      </c>
      <c r="P40" s="60">
        <f t="shared" si="310"/>
        <v>0</v>
      </c>
      <c r="Q40" s="60">
        <f t="shared" si="310"/>
        <v>0</v>
      </c>
      <c r="R40" s="60">
        <f t="shared" si="310"/>
        <v>0</v>
      </c>
      <c r="S40" s="60">
        <f t="shared" si="310"/>
        <v>0</v>
      </c>
      <c r="T40" s="120" t="str">
        <f t="shared" si="272"/>
        <v>.</v>
      </c>
      <c r="U40" s="120" t="str">
        <f t="shared" si="273"/>
        <v>.</v>
      </c>
      <c r="V40" s="120">
        <f t="shared" si="274"/>
        <v>2.4201720290256658E-2</v>
      </c>
      <c r="W40" s="120" t="str">
        <f t="shared" si="275"/>
        <v>.</v>
      </c>
      <c r="X40" s="120" t="str">
        <f t="shared" si="276"/>
        <v>.</v>
      </c>
      <c r="Y40" s="120" t="str">
        <f t="shared" si="277"/>
        <v>.</v>
      </c>
      <c r="Z40" s="120" t="str">
        <f t="shared" si="278"/>
        <v>.</v>
      </c>
      <c r="AA40" s="120" t="str">
        <f t="shared" si="279"/>
        <v>.</v>
      </c>
      <c r="AB40" s="120" t="str">
        <f t="shared" si="280"/>
        <v>.</v>
      </c>
      <c r="AC40" s="120" t="str">
        <f t="shared" si="281"/>
        <v>.</v>
      </c>
      <c r="AD40" s="60">
        <f t="shared" si="282"/>
        <v>41.319376804903776</v>
      </c>
      <c r="AE40" s="60">
        <f t="shared" ref="AE40:AN40" si="311">IFERROR(AE4/$B40,0)</f>
        <v>0</v>
      </c>
      <c r="AF40" s="60">
        <f t="shared" si="311"/>
        <v>0</v>
      </c>
      <c r="AG40" s="60">
        <f t="shared" si="311"/>
        <v>427804981.30927438</v>
      </c>
      <c r="AH40" s="60">
        <f t="shared" si="311"/>
        <v>0</v>
      </c>
      <c r="AI40" s="60">
        <f t="shared" si="311"/>
        <v>0</v>
      </c>
      <c r="AJ40" s="60">
        <f t="shared" si="311"/>
        <v>0</v>
      </c>
      <c r="AK40" s="60">
        <f t="shared" si="311"/>
        <v>0</v>
      </c>
      <c r="AL40" s="60">
        <f t="shared" si="311"/>
        <v>0</v>
      </c>
      <c r="AM40" s="60">
        <f t="shared" si="311"/>
        <v>0</v>
      </c>
      <c r="AN40" s="60">
        <f t="shared" si="311"/>
        <v>0</v>
      </c>
      <c r="AO40" s="120" t="str">
        <f t="shared" si="284"/>
        <v>.</v>
      </c>
      <c r="AP40" s="120" t="str">
        <f t="shared" si="285"/>
        <v>.</v>
      </c>
      <c r="AQ40" s="120">
        <f t="shared" si="286"/>
        <v>2.3375136889232874E-9</v>
      </c>
      <c r="AR40" s="120" t="str">
        <f t="shared" si="287"/>
        <v>.</v>
      </c>
      <c r="AS40" s="120" t="str">
        <f t="shared" si="288"/>
        <v>.</v>
      </c>
      <c r="AT40" s="120" t="str">
        <f t="shared" si="289"/>
        <v>.</v>
      </c>
      <c r="AU40" s="120" t="str">
        <f t="shared" si="290"/>
        <v>.</v>
      </c>
      <c r="AV40" s="120" t="str">
        <f t="shared" si="291"/>
        <v>.</v>
      </c>
      <c r="AW40" s="120" t="str">
        <f t="shared" si="292"/>
        <v>.</v>
      </c>
      <c r="AX40" s="120" t="str">
        <f t="shared" si="293"/>
        <v>.</v>
      </c>
      <c r="AY40" s="60">
        <f t="shared" si="294"/>
        <v>427804981.30927438</v>
      </c>
      <c r="AZ40" s="60">
        <f>IFERROR(AZ4/$B40,0)</f>
        <v>0</v>
      </c>
      <c r="BA40" s="60">
        <f>IFERROR(BA4/$B40,0)</f>
        <v>26708.706776432547</v>
      </c>
      <c r="BB40" s="60">
        <f t="shared" si="295"/>
        <v>26708.706776432547</v>
      </c>
    </row>
    <row r="41" spans="1:54" x14ac:dyDescent="0.25">
      <c r="A41" s="182" t="s">
        <v>1086</v>
      </c>
      <c r="B41" s="184">
        <v>0.99987999999999999</v>
      </c>
      <c r="C41" s="60">
        <f t="shared" ref="C41:S41" si="312">IFERROR(C8/$B41,0)</f>
        <v>7.0988770223465128E-2</v>
      </c>
      <c r="D41" s="60">
        <f t="shared" si="312"/>
        <v>1.0121774876271121</v>
      </c>
      <c r="E41" s="60">
        <f t="shared" si="312"/>
        <v>1.7959460700340306</v>
      </c>
      <c r="F41" s="60">
        <f t="shared" si="312"/>
        <v>0.66381425026470442</v>
      </c>
      <c r="G41" s="60">
        <f t="shared" si="312"/>
        <v>0.13743428660135168</v>
      </c>
      <c r="H41" s="60">
        <f t="shared" si="312"/>
        <v>1.1893206437731336</v>
      </c>
      <c r="I41" s="60">
        <f t="shared" si="312"/>
        <v>0.13906761985207058</v>
      </c>
      <c r="J41" s="60">
        <f t="shared" si="312"/>
        <v>521.3971424618295</v>
      </c>
      <c r="K41" s="60">
        <f t="shared" si="312"/>
        <v>70933.299305810971</v>
      </c>
      <c r="L41" s="60">
        <f t="shared" si="312"/>
        <v>7.1273370433554889E-2</v>
      </c>
      <c r="M41" s="60">
        <f t="shared" si="312"/>
        <v>0.70418433753584331</v>
      </c>
      <c r="N41" s="60">
        <f t="shared" si="312"/>
        <v>0</v>
      </c>
      <c r="O41" s="60">
        <f t="shared" si="312"/>
        <v>0</v>
      </c>
      <c r="P41" s="60">
        <f t="shared" si="312"/>
        <v>35.583717516199641</v>
      </c>
      <c r="Q41" s="60">
        <f t="shared" si="312"/>
        <v>9.0596681727610999</v>
      </c>
      <c r="R41" s="60">
        <f t="shared" si="312"/>
        <v>0</v>
      </c>
      <c r="S41" s="60">
        <f t="shared" si="312"/>
        <v>4.4501638352662587</v>
      </c>
      <c r="T41" s="120">
        <f t="shared" si="272"/>
        <v>1.9179238215200002E-3</v>
      </c>
      <c r="U41" s="120">
        <f t="shared" si="273"/>
        <v>1.4097751123752937E-5</v>
      </c>
      <c r="V41" s="120">
        <f t="shared" si="274"/>
        <v>14.030485634634848</v>
      </c>
      <c r="W41" s="120">
        <f t="shared" si="275"/>
        <v>1.4200827066096162</v>
      </c>
      <c r="X41" s="120" t="str">
        <f t="shared" si="276"/>
        <v>.</v>
      </c>
      <c r="Y41" s="120" t="str">
        <f t="shared" si="277"/>
        <v>.</v>
      </c>
      <c r="Z41" s="120">
        <f t="shared" si="278"/>
        <v>2.8102741079392441E-2</v>
      </c>
      <c r="AA41" s="120">
        <f t="shared" si="279"/>
        <v>0.1103793186384697</v>
      </c>
      <c r="AB41" s="120" t="str">
        <f t="shared" si="280"/>
        <v>.</v>
      </c>
      <c r="AC41" s="120">
        <f t="shared" si="281"/>
        <v>0.22471082796442005</v>
      </c>
      <c r="AD41" s="60">
        <f t="shared" si="282"/>
        <v>6.3228338091877459E-2</v>
      </c>
      <c r="AE41" s="60">
        <f t="shared" ref="AE41:AN41" si="313">IFERROR(AE8/$B41,0)</f>
        <v>62.858814097688935</v>
      </c>
      <c r="AF41" s="60">
        <f t="shared" si="313"/>
        <v>0</v>
      </c>
      <c r="AG41" s="60">
        <f t="shared" si="313"/>
        <v>790885.93236842169</v>
      </c>
      <c r="AH41" s="60">
        <f t="shared" si="313"/>
        <v>9.7972862181651568</v>
      </c>
      <c r="AI41" s="60">
        <f t="shared" si="313"/>
        <v>0</v>
      </c>
      <c r="AJ41" s="60">
        <f t="shared" si="313"/>
        <v>0</v>
      </c>
      <c r="AK41" s="60">
        <f t="shared" si="313"/>
        <v>6262.3985874028713</v>
      </c>
      <c r="AL41" s="60">
        <f t="shared" si="313"/>
        <v>1538.666469558611</v>
      </c>
      <c r="AM41" s="60">
        <f t="shared" si="313"/>
        <v>0</v>
      </c>
      <c r="AN41" s="60">
        <f t="shared" si="313"/>
        <v>9.2711746568047069</v>
      </c>
      <c r="AO41" s="120">
        <f t="shared" si="284"/>
        <v>1.5908667930736E-2</v>
      </c>
      <c r="AP41" s="120" t="str">
        <f t="shared" si="285"/>
        <v>.</v>
      </c>
      <c r="AQ41" s="120">
        <f t="shared" si="286"/>
        <v>1.2644048390206615E-6</v>
      </c>
      <c r="AR41" s="120">
        <f t="shared" si="287"/>
        <v>0.10206908094058732</v>
      </c>
      <c r="AS41" s="120" t="str">
        <f t="shared" si="288"/>
        <v>.</v>
      </c>
      <c r="AT41" s="120" t="str">
        <f t="shared" si="289"/>
        <v>.</v>
      </c>
      <c r="AU41" s="120">
        <f t="shared" si="290"/>
        <v>1.5968322457333682E-4</v>
      </c>
      <c r="AV41" s="120">
        <f t="shared" si="291"/>
        <v>6.4991342814330944E-4</v>
      </c>
      <c r="AW41" s="120" t="str">
        <f t="shared" si="292"/>
        <v>.</v>
      </c>
      <c r="AX41" s="120">
        <f t="shared" si="293"/>
        <v>0.10786119742292161</v>
      </c>
      <c r="AY41" s="60">
        <f t="shared" si="294"/>
        <v>4.4120928743955341</v>
      </c>
      <c r="AZ41" s="60">
        <f>IFERROR(AZ8/$B41,0)</f>
        <v>5.2181989690166353E-2</v>
      </c>
      <c r="BA41" s="60">
        <f>IFERROR(BA8/$B41,0)</f>
        <v>48.971839044144986</v>
      </c>
      <c r="BB41" s="60">
        <f t="shared" si="295"/>
        <v>5.2126446305707015E-2</v>
      </c>
    </row>
    <row r="42" spans="1:54" x14ac:dyDescent="0.25">
      <c r="A42" s="182" t="s">
        <v>1087</v>
      </c>
      <c r="B42" s="183">
        <v>0.97898250799999997</v>
      </c>
      <c r="C42" s="60">
        <f t="shared" ref="C42:S42" si="314">IFERROR(C19/$B42,0)</f>
        <v>0</v>
      </c>
      <c r="D42" s="60">
        <f t="shared" si="314"/>
        <v>0</v>
      </c>
      <c r="E42" s="60">
        <f t="shared" si="314"/>
        <v>0</v>
      </c>
      <c r="F42" s="60">
        <f t="shared" si="314"/>
        <v>0</v>
      </c>
      <c r="G42" s="60">
        <f t="shared" si="314"/>
        <v>0</v>
      </c>
      <c r="H42" s="60">
        <f t="shared" si="314"/>
        <v>0</v>
      </c>
      <c r="I42" s="60">
        <f t="shared" si="314"/>
        <v>0</v>
      </c>
      <c r="J42" s="60">
        <f t="shared" si="314"/>
        <v>0</v>
      </c>
      <c r="K42" s="60">
        <f t="shared" si="314"/>
        <v>0</v>
      </c>
      <c r="L42" s="60">
        <f t="shared" si="314"/>
        <v>228.71333333979513</v>
      </c>
      <c r="M42" s="60">
        <f t="shared" si="314"/>
        <v>0</v>
      </c>
      <c r="N42" s="60">
        <f t="shared" si="314"/>
        <v>0</v>
      </c>
      <c r="O42" s="60">
        <f t="shared" si="314"/>
        <v>0</v>
      </c>
      <c r="P42" s="60">
        <f t="shared" si="314"/>
        <v>0</v>
      </c>
      <c r="Q42" s="60">
        <f t="shared" si="314"/>
        <v>0</v>
      </c>
      <c r="R42" s="60">
        <f t="shared" si="314"/>
        <v>0</v>
      </c>
      <c r="S42" s="60">
        <f t="shared" si="314"/>
        <v>0</v>
      </c>
      <c r="T42" s="120" t="str">
        <f t="shared" si="272"/>
        <v>.</v>
      </c>
      <c r="U42" s="120" t="str">
        <f t="shared" si="273"/>
        <v>.</v>
      </c>
      <c r="V42" s="120">
        <f t="shared" si="274"/>
        <v>4.3722855392707635E-3</v>
      </c>
      <c r="W42" s="120" t="str">
        <f t="shared" si="275"/>
        <v>.</v>
      </c>
      <c r="X42" s="120" t="str">
        <f t="shared" si="276"/>
        <v>.</v>
      </c>
      <c r="Y42" s="120" t="str">
        <f t="shared" si="277"/>
        <v>.</v>
      </c>
      <c r="Z42" s="120" t="str">
        <f t="shared" si="278"/>
        <v>.</v>
      </c>
      <c r="AA42" s="120" t="str">
        <f t="shared" si="279"/>
        <v>.</v>
      </c>
      <c r="AB42" s="120" t="str">
        <f t="shared" si="280"/>
        <v>.</v>
      </c>
      <c r="AC42" s="120" t="str">
        <f t="shared" si="281"/>
        <v>.</v>
      </c>
      <c r="AD42" s="60">
        <f t="shared" si="282"/>
        <v>228.71333333979513</v>
      </c>
      <c r="AE42" s="60">
        <f t="shared" ref="AE42:AN42" si="315">IFERROR(AE19/$B42,0)</f>
        <v>0</v>
      </c>
      <c r="AF42" s="60">
        <f t="shared" si="315"/>
        <v>0</v>
      </c>
      <c r="AG42" s="60">
        <f t="shared" si="315"/>
        <v>2674550524.1648698</v>
      </c>
      <c r="AH42" s="60">
        <f t="shared" si="315"/>
        <v>0</v>
      </c>
      <c r="AI42" s="60">
        <f t="shared" si="315"/>
        <v>0</v>
      </c>
      <c r="AJ42" s="60">
        <f t="shared" si="315"/>
        <v>0</v>
      </c>
      <c r="AK42" s="60">
        <f t="shared" si="315"/>
        <v>0</v>
      </c>
      <c r="AL42" s="60">
        <f t="shared" si="315"/>
        <v>0</v>
      </c>
      <c r="AM42" s="60">
        <f t="shared" si="315"/>
        <v>0</v>
      </c>
      <c r="AN42" s="60">
        <f t="shared" si="315"/>
        <v>0</v>
      </c>
      <c r="AO42" s="120" t="str">
        <f t="shared" si="284"/>
        <v>.</v>
      </c>
      <c r="AP42" s="120" t="str">
        <f t="shared" si="285"/>
        <v>.</v>
      </c>
      <c r="AQ42" s="120">
        <f t="shared" si="286"/>
        <v>3.7389460059358973E-10</v>
      </c>
      <c r="AR42" s="120" t="str">
        <f t="shared" si="287"/>
        <v>.</v>
      </c>
      <c r="AS42" s="120" t="str">
        <f t="shared" si="288"/>
        <v>.</v>
      </c>
      <c r="AT42" s="120" t="str">
        <f t="shared" si="289"/>
        <v>.</v>
      </c>
      <c r="AU42" s="120" t="str">
        <f t="shared" si="290"/>
        <v>.</v>
      </c>
      <c r="AV42" s="120" t="str">
        <f t="shared" si="291"/>
        <v>.</v>
      </c>
      <c r="AW42" s="120" t="str">
        <f t="shared" si="292"/>
        <v>.</v>
      </c>
      <c r="AX42" s="120" t="str">
        <f t="shared" si="293"/>
        <v>.</v>
      </c>
      <c r="AY42" s="60">
        <f t="shared" si="294"/>
        <v>2674550524.1648698</v>
      </c>
      <c r="AZ42" s="60">
        <f>IFERROR(AZ19/$B42,0)</f>
        <v>0</v>
      </c>
      <c r="BA42" s="60">
        <f>IFERROR(BA19/$B42,0)</f>
        <v>165274.2211061187</v>
      </c>
      <c r="BB42" s="60">
        <f t="shared" si="295"/>
        <v>165274.2211061187</v>
      </c>
    </row>
    <row r="43" spans="1:54" x14ac:dyDescent="0.25">
      <c r="A43" s="182" t="s">
        <v>1088</v>
      </c>
      <c r="B43" s="183">
        <v>2.0897492E-2</v>
      </c>
      <c r="C43" s="60">
        <f t="shared" ref="C43:S43" si="316">IFERROR(C28/$B43,0)</f>
        <v>0</v>
      </c>
      <c r="D43" s="60">
        <f t="shared" si="316"/>
        <v>0</v>
      </c>
      <c r="E43" s="60">
        <f t="shared" si="316"/>
        <v>0</v>
      </c>
      <c r="F43" s="60">
        <f t="shared" si="316"/>
        <v>0</v>
      </c>
      <c r="G43" s="60">
        <f t="shared" si="316"/>
        <v>0</v>
      </c>
      <c r="H43" s="60">
        <f t="shared" si="316"/>
        <v>0</v>
      </c>
      <c r="I43" s="60">
        <f t="shared" si="316"/>
        <v>0</v>
      </c>
      <c r="J43" s="60">
        <f t="shared" si="316"/>
        <v>0</v>
      </c>
      <c r="K43" s="60">
        <f t="shared" si="316"/>
        <v>0</v>
      </c>
      <c r="L43" s="60">
        <f t="shared" si="316"/>
        <v>0.17938317159714989</v>
      </c>
      <c r="M43" s="60">
        <f t="shared" si="316"/>
        <v>0</v>
      </c>
      <c r="N43" s="60">
        <f t="shared" si="316"/>
        <v>0</v>
      </c>
      <c r="O43" s="60">
        <f t="shared" si="316"/>
        <v>0</v>
      </c>
      <c r="P43" s="60">
        <f t="shared" si="316"/>
        <v>0</v>
      </c>
      <c r="Q43" s="60">
        <f t="shared" si="316"/>
        <v>0</v>
      </c>
      <c r="R43" s="60">
        <f t="shared" si="316"/>
        <v>0</v>
      </c>
      <c r="S43" s="60">
        <f t="shared" si="316"/>
        <v>0</v>
      </c>
      <c r="T43" s="120" t="str">
        <f t="shared" si="272"/>
        <v>.</v>
      </c>
      <c r="U43" s="120" t="str">
        <f t="shared" si="273"/>
        <v>.</v>
      </c>
      <c r="V43" s="120">
        <f t="shared" si="274"/>
        <v>5.5746589331453675</v>
      </c>
      <c r="W43" s="120" t="str">
        <f t="shared" si="275"/>
        <v>.</v>
      </c>
      <c r="X43" s="120" t="str">
        <f t="shared" si="276"/>
        <v>.</v>
      </c>
      <c r="Y43" s="120" t="str">
        <f t="shared" si="277"/>
        <v>.</v>
      </c>
      <c r="Z43" s="120" t="str">
        <f t="shared" si="278"/>
        <v>.</v>
      </c>
      <c r="AA43" s="120" t="str">
        <f t="shared" si="279"/>
        <v>.</v>
      </c>
      <c r="AB43" s="120" t="str">
        <f t="shared" si="280"/>
        <v>.</v>
      </c>
      <c r="AC43" s="120" t="str">
        <f t="shared" si="281"/>
        <v>.</v>
      </c>
      <c r="AD43" s="60">
        <f t="shared" si="282"/>
        <v>0.17938317159714989</v>
      </c>
      <c r="AE43" s="60">
        <f t="shared" ref="AE43:AN43" si="317">IFERROR(AE28/$B43,0)</f>
        <v>0</v>
      </c>
      <c r="AF43" s="60">
        <f t="shared" si="317"/>
        <v>0</v>
      </c>
      <c r="AG43" s="60">
        <f t="shared" si="317"/>
        <v>2104663.9241028368</v>
      </c>
      <c r="AH43" s="60">
        <f t="shared" si="317"/>
        <v>0</v>
      </c>
      <c r="AI43" s="60">
        <f t="shared" si="317"/>
        <v>0</v>
      </c>
      <c r="AJ43" s="60">
        <f t="shared" si="317"/>
        <v>0</v>
      </c>
      <c r="AK43" s="60">
        <f t="shared" si="317"/>
        <v>0</v>
      </c>
      <c r="AL43" s="60">
        <f t="shared" si="317"/>
        <v>0</v>
      </c>
      <c r="AM43" s="60">
        <f t="shared" si="317"/>
        <v>0</v>
      </c>
      <c r="AN43" s="60">
        <f t="shared" si="317"/>
        <v>0</v>
      </c>
      <c r="AO43" s="120" t="str">
        <f t="shared" si="284"/>
        <v>.</v>
      </c>
      <c r="AP43" s="120" t="str">
        <f t="shared" si="285"/>
        <v>.</v>
      </c>
      <c r="AQ43" s="120">
        <f t="shared" si="286"/>
        <v>4.7513524061865311E-7</v>
      </c>
      <c r="AR43" s="120" t="str">
        <f t="shared" si="287"/>
        <v>.</v>
      </c>
      <c r="AS43" s="120" t="str">
        <f t="shared" si="288"/>
        <v>.</v>
      </c>
      <c r="AT43" s="120" t="str">
        <f t="shared" si="289"/>
        <v>.</v>
      </c>
      <c r="AU43" s="120" t="str">
        <f t="shared" si="290"/>
        <v>.</v>
      </c>
      <c r="AV43" s="120" t="str">
        <f t="shared" si="291"/>
        <v>.</v>
      </c>
      <c r="AW43" s="120" t="str">
        <f t="shared" si="292"/>
        <v>.</v>
      </c>
      <c r="AX43" s="120" t="str">
        <f t="shared" si="293"/>
        <v>.</v>
      </c>
      <c r="AY43" s="60">
        <f t="shared" si="294"/>
        <v>2104663.9241028368</v>
      </c>
      <c r="AZ43" s="60">
        <f>IFERROR(AZ28/$B43,0)</f>
        <v>0</v>
      </c>
      <c r="BA43" s="60">
        <f>IFERROR(BA28/$B43,0)</f>
        <v>130.3020107604745</v>
      </c>
      <c r="BB43" s="60">
        <f t="shared" si="295"/>
        <v>130.3020107604745</v>
      </c>
    </row>
    <row r="44" spans="1:54" x14ac:dyDescent="0.25">
      <c r="A44" s="182" t="s">
        <v>1089</v>
      </c>
      <c r="B44" s="183">
        <v>0.99987999999999999</v>
      </c>
      <c r="C44" s="60">
        <f t="shared" ref="C44:S44" si="318">IFERROR(C15/$B44,0)</f>
        <v>0.14619767965342076</v>
      </c>
      <c r="D44" s="60">
        <f t="shared" si="318"/>
        <v>2.0845268853467069</v>
      </c>
      <c r="E44" s="60">
        <f t="shared" si="318"/>
        <v>3.6986575115350524</v>
      </c>
      <c r="F44" s="60">
        <f t="shared" si="318"/>
        <v>1.3670909188041684</v>
      </c>
      <c r="G44" s="60">
        <f t="shared" si="318"/>
        <v>0.28303876433824016</v>
      </c>
      <c r="H44" s="60">
        <f t="shared" si="318"/>
        <v>2.4493440009765171</v>
      </c>
      <c r="I44" s="60">
        <f t="shared" si="318"/>
        <v>0.28640252920702441</v>
      </c>
      <c r="J44" s="60">
        <f t="shared" si="318"/>
        <v>993.43124185034992</v>
      </c>
      <c r="K44" s="60">
        <f t="shared" si="318"/>
        <v>25243167.012744121</v>
      </c>
      <c r="L44" s="60">
        <f t="shared" si="318"/>
        <v>80.0534233130508</v>
      </c>
      <c r="M44" s="60">
        <f t="shared" si="318"/>
        <v>8.3675768168036395</v>
      </c>
      <c r="N44" s="60">
        <f t="shared" si="318"/>
        <v>0</v>
      </c>
      <c r="O44" s="60">
        <f t="shared" si="318"/>
        <v>0</v>
      </c>
      <c r="P44" s="60">
        <f t="shared" si="318"/>
        <v>543.80816860943162</v>
      </c>
      <c r="Q44" s="60">
        <f t="shared" si="318"/>
        <v>267.70015206536851</v>
      </c>
      <c r="R44" s="60">
        <f t="shared" si="318"/>
        <v>0</v>
      </c>
      <c r="S44" s="60">
        <f t="shared" si="318"/>
        <v>1.7184151752421466</v>
      </c>
      <c r="T44" s="120">
        <f t="shared" si="272"/>
        <v>1.0066121920399998E-3</v>
      </c>
      <c r="U44" s="120">
        <f t="shared" si="273"/>
        <v>3.9614680657745745E-8</v>
      </c>
      <c r="V44" s="120">
        <f t="shared" si="274"/>
        <v>1.2491658177932959E-2</v>
      </c>
      <c r="W44" s="120">
        <f t="shared" si="275"/>
        <v>0.11950891182639821</v>
      </c>
      <c r="X44" s="120" t="str">
        <f t="shared" si="276"/>
        <v>.</v>
      </c>
      <c r="Y44" s="120" t="str">
        <f t="shared" si="277"/>
        <v>.</v>
      </c>
      <c r="Z44" s="120">
        <f t="shared" si="278"/>
        <v>1.8388837419582968E-3</v>
      </c>
      <c r="AA44" s="120">
        <f t="shared" si="279"/>
        <v>3.7355227192990702E-3</v>
      </c>
      <c r="AB44" s="120" t="str">
        <f t="shared" si="280"/>
        <v>.</v>
      </c>
      <c r="AC44" s="120">
        <f t="shared" si="281"/>
        <v>0.58193154623363197</v>
      </c>
      <c r="AD44" s="60">
        <f t="shared" si="282"/>
        <v>1.3878996739868137</v>
      </c>
      <c r="AE44" s="60">
        <f t="shared" ref="AE44:AN44" si="319">IFERROR(AE15/$B44,0)</f>
        <v>132.28352582770174</v>
      </c>
      <c r="AF44" s="60">
        <f t="shared" si="319"/>
        <v>0</v>
      </c>
      <c r="AG44" s="60">
        <f t="shared" si="319"/>
        <v>393455815.60037053</v>
      </c>
      <c r="AH44" s="60">
        <f t="shared" si="319"/>
        <v>34.264619317291213</v>
      </c>
      <c r="AI44" s="60">
        <f t="shared" si="319"/>
        <v>0</v>
      </c>
      <c r="AJ44" s="60">
        <f t="shared" si="319"/>
        <v>0</v>
      </c>
      <c r="AK44" s="60">
        <f t="shared" si="319"/>
        <v>36848.811827605619</v>
      </c>
      <c r="AL44" s="60">
        <f t="shared" si="319"/>
        <v>16677.913459289895</v>
      </c>
      <c r="AM44" s="60">
        <f t="shared" si="319"/>
        <v>0</v>
      </c>
      <c r="AN44" s="60">
        <f t="shared" si="319"/>
        <v>11.456101168280977</v>
      </c>
      <c r="AO44" s="120">
        <f t="shared" si="284"/>
        <v>7.5595203086928015E-3</v>
      </c>
      <c r="AP44" s="120" t="str">
        <f t="shared" si="285"/>
        <v>.</v>
      </c>
      <c r="AQ44" s="120">
        <f t="shared" si="286"/>
        <v>2.5415814440920373E-9</v>
      </c>
      <c r="AR44" s="120">
        <f t="shared" si="287"/>
        <v>2.9184623087155165E-2</v>
      </c>
      <c r="AS44" s="120" t="str">
        <f t="shared" si="288"/>
        <v>.</v>
      </c>
      <c r="AT44" s="120" t="str">
        <f t="shared" si="289"/>
        <v>.</v>
      </c>
      <c r="AU44" s="120">
        <f t="shared" si="290"/>
        <v>2.7137917083417082E-5</v>
      </c>
      <c r="AV44" s="120">
        <f t="shared" si="291"/>
        <v>5.9959538850046146E-5</v>
      </c>
      <c r="AW44" s="120" t="str">
        <f t="shared" si="292"/>
        <v>.</v>
      </c>
      <c r="AX44" s="120">
        <f t="shared" si="293"/>
        <v>8.7289731935044801E-2</v>
      </c>
      <c r="AY44" s="60">
        <f t="shared" si="294"/>
        <v>8.0566559951219539</v>
      </c>
      <c r="AZ44" s="60">
        <f>IFERROR(AZ15/$B44,0)</f>
        <v>18.570103092585889</v>
      </c>
      <c r="BA44" s="60">
        <f>IFERROR(BA15/$B44,0)</f>
        <v>15295.314112417886</v>
      </c>
      <c r="BB44" s="60">
        <f t="shared" si="295"/>
        <v>18.547584394911524</v>
      </c>
    </row>
    <row r="45" spans="1:54" x14ac:dyDescent="0.25">
      <c r="A45" s="82" t="s">
        <v>20</v>
      </c>
      <c r="B45" s="57" t="s">
        <v>1259</v>
      </c>
      <c r="C45" s="58">
        <f t="shared" ref="C45" si="320">IFERROR(IF(AND(C46&lt;&gt;0,C47&lt;&gt;0),1/SUM(1/C46,1/C47),IF(AND(C46&lt;&gt;0,C47=0),1/(1/C46),IF(AND(C46=0,C47&lt;&gt;0),1/(1/C47),IF(AND(C46=0,C47=0),".")))),".")</f>
        <v>1.3633830499783597E-3</v>
      </c>
      <c r="D45" s="58">
        <f t="shared" ref="D45:L45" si="321">IFERROR(IF(AND(D46&lt;&gt;0,D47&lt;&gt;0),1/SUM(1/D46,1/D47),IF(AND(D46&lt;&gt;0,D47=0),1/(1/D46),IF(AND(D46=0,D47&lt;&gt;0),1/(1/D47),IF(AND(D46=0,D47=0),".")))),".")</f>
        <v>1.9439491990866118E-2</v>
      </c>
      <c r="E45" s="58">
        <f t="shared" si="321"/>
        <v>3.4492250293276391E-2</v>
      </c>
      <c r="F45" s="58">
        <f t="shared" si="321"/>
        <v>1.2748961480753121E-2</v>
      </c>
      <c r="G45" s="58">
        <f t="shared" si="321"/>
        <v>2.6395101119277369E-3</v>
      </c>
      <c r="H45" s="58">
        <f t="shared" si="321"/>
        <v>2.2841635396772361E-2</v>
      </c>
      <c r="I45" s="58">
        <f t="shared" si="321"/>
        <v>2.6708792828823305E-3</v>
      </c>
      <c r="J45" s="58">
        <f t="shared" si="321"/>
        <v>14.597368094532557</v>
      </c>
      <c r="K45" s="58">
        <f t="shared" si="321"/>
        <v>46661.044282825183</v>
      </c>
      <c r="L45" s="58">
        <f t="shared" si="321"/>
        <v>1.5259429557033976E-2</v>
      </c>
      <c r="M45" s="58">
        <f t="shared" ref="M45:S45" si="322">IFERROR(IF(AND(M46&lt;&gt;0,M47&lt;&gt;0),1/SUM(1/M46,1/M47),IF(AND(M46&lt;&gt;0,M47=0),1/(1/M46),IF(AND(M46=0,M47&lt;&gt;0),1/(1/M47),IF(AND(M46=0,M47=0),".")))),".")</f>
        <v>5.4321470291758933E-2</v>
      </c>
      <c r="N45" s="58">
        <f t="shared" si="322"/>
        <v>9.1523031972062699E-2</v>
      </c>
      <c r="O45" s="58">
        <f t="shared" si="322"/>
        <v>1.0961520220320888</v>
      </c>
      <c r="P45" s="58">
        <f t="shared" si="322"/>
        <v>0.15111432460127999</v>
      </c>
      <c r="Q45" s="58">
        <f t="shared" si="322"/>
        <v>9.6074897174757715E-2</v>
      </c>
      <c r="R45" s="58">
        <f t="shared" si="322"/>
        <v>6.7115481087479986E-2</v>
      </c>
      <c r="S45" s="58">
        <f t="shared" si="322"/>
        <v>1.0683517131529321E-5</v>
      </c>
      <c r="T45" s="181"/>
      <c r="U45" s="181"/>
      <c r="V45" s="181"/>
      <c r="W45" s="181"/>
      <c r="X45" s="181"/>
      <c r="Y45" s="181"/>
      <c r="Z45" s="181"/>
      <c r="AA45" s="181"/>
      <c r="AB45" s="181"/>
      <c r="AC45" s="181"/>
      <c r="AD45" s="59">
        <f t="shared" ref="AD45" si="323">IFERROR(IF(AND(AD46&lt;&gt;0,AD47&lt;&gt;0),1/SUM(1/AD46,1/AD47),IF(AND(AD46&lt;&gt;0,AD47=0),1/(1/AD46),IF(AND(AD46=0,AD47&lt;&gt;0),1/(1/AD47),IF(AND(AD46=0,AD47=0),".")))),".")</f>
        <v>1.0668953095387801E-5</v>
      </c>
      <c r="AE45" s="58">
        <f>IFERROR(IF(AND(AE46&lt;&gt;0,AE47&lt;&gt;0),1/SUM(1/AE46,1/AE47),IF(AND(AE46&lt;&gt;0,AE47=0),1/(1/AE46),IF(AND(AE46=0,AE47&lt;&gt;0),1/(1/AE47),IF(AND(AE46=0,AE47=0),".")))),".")</f>
        <v>1.0449786568543227</v>
      </c>
      <c r="AF45" s="58" t="str">
        <f>IFERROR(IF(AND(AF46&lt;&gt;0,AF47&lt;&gt;0),1/SUM(1/AF46,1/AF47),IF(AND(AF46&lt;&gt;0,AF47=0),1/(1/AF46),IF(AND(AF46=0,AF47&lt;&gt;0),1/(1/AF47),IF(AND(AF46=0,AF47=0),".")))),".")</f>
        <v>.</v>
      </c>
      <c r="AG45" s="58">
        <f>IFERROR(IF(AND(AG46&lt;&gt;0,AG47&lt;&gt;0),1/SUM(1/AG46,1/AG47),IF(AND(AG46&lt;&gt;0,AG47=0),1/(1/AG46),IF(AND(AG46=0,AG47&lt;&gt;0),1/(1/AG47),IF(AND(AG46=0,AG47=0),".")))),".")</f>
        <v>177131.16437121361</v>
      </c>
      <c r="AH45" s="58">
        <f t="shared" ref="AH45:AN45" si="324">IFERROR(IF(AND(AH46&lt;&gt;0,AH47&lt;&gt;0),1/SUM(1/AH46,1/AH47),IF(AND(AH46&lt;&gt;0,AH47=0),1/(1/AH46),IF(AND(AH46=0,AH47&lt;&gt;0),1/(1/AH47),IF(AND(AH46=0,AH47=0),".")))),".")</f>
        <v>0.30034803746137578</v>
      </c>
      <c r="AI45" s="58">
        <f t="shared" si="324"/>
        <v>17.999529621172332</v>
      </c>
      <c r="AJ45" s="58">
        <f t="shared" si="324"/>
        <v>215.57656433297743</v>
      </c>
      <c r="AK45" s="58">
        <f t="shared" si="324"/>
        <v>10.933929228776261</v>
      </c>
      <c r="AL45" s="58">
        <f t="shared" si="324"/>
        <v>6.4241385049280924</v>
      </c>
      <c r="AM45" s="58">
        <f t="shared" si="324"/>
        <v>10.018261138935245</v>
      </c>
      <c r="AN45" s="58">
        <f t="shared" si="324"/>
        <v>1.0683517131529323E-3</v>
      </c>
      <c r="AO45" s="181"/>
      <c r="AP45" s="181"/>
      <c r="AQ45" s="181"/>
      <c r="AR45" s="181"/>
      <c r="AS45" s="181"/>
      <c r="AT45" s="181"/>
      <c r="AU45" s="181"/>
      <c r="AV45" s="181"/>
      <c r="AW45" s="181"/>
      <c r="AX45" s="181"/>
      <c r="AY45" s="59">
        <f>IFERROR(IF(AND(AY46&lt;&gt;0,AY47&lt;&gt;0),1/SUM(1/AY46,1/AY47),IF(AND(AY46&lt;&gt;0,AY47=0),1/(1/AY46),IF(AND(AY46=0,AY47&lt;&gt;0),1/(1/AY47),IF(AND(AY46=0,AY47=0),".")))),".")</f>
        <v>1.0630213182464829E-3</v>
      </c>
      <c r="AZ45" s="58">
        <f t="shared" ref="AZ45:BB45" si="325">IFERROR(IF(AND(AZ46&lt;&gt;0,AZ47&lt;&gt;0),1/SUM(1/AZ46,1/AZ47),IF(AND(AZ46&lt;&gt;0,AZ47=0),1/(1/AZ46),IF(AND(AZ46=0,AZ47&lt;&gt;0),1/(1/AZ47),IF(AND(AZ46=0,AZ47=0),".")))),".")</f>
        <v>3.4326136744344427E-2</v>
      </c>
      <c r="BA45" s="58">
        <f t="shared" si="325"/>
        <v>10.943142002893939</v>
      </c>
      <c r="BB45" s="59">
        <f t="shared" si="325"/>
        <v>3.4218800184693039E-2</v>
      </c>
    </row>
    <row r="46" spans="1:54" x14ac:dyDescent="0.25">
      <c r="A46" s="83" t="s">
        <v>1101</v>
      </c>
      <c r="B46" s="42">
        <v>1</v>
      </c>
      <c r="C46" s="60">
        <f t="shared" ref="C46:S46" si="326">IFERROR(C10/$B46,0)</f>
        <v>1.3633830499783597E-3</v>
      </c>
      <c r="D46" s="60">
        <f t="shared" si="326"/>
        <v>1.9439491990866118E-2</v>
      </c>
      <c r="E46" s="60">
        <f t="shared" si="326"/>
        <v>3.4492250293276391E-2</v>
      </c>
      <c r="F46" s="60">
        <f t="shared" si="326"/>
        <v>1.2748961480753119E-2</v>
      </c>
      <c r="G46" s="60">
        <f t="shared" si="326"/>
        <v>2.6395101119277369E-3</v>
      </c>
      <c r="H46" s="60">
        <f t="shared" si="326"/>
        <v>2.2841635396772361E-2</v>
      </c>
      <c r="I46" s="60">
        <f t="shared" si="326"/>
        <v>2.6708792828823305E-3</v>
      </c>
      <c r="J46" s="60">
        <f t="shared" si="326"/>
        <v>14.597368094532557</v>
      </c>
      <c r="K46" s="60">
        <f t="shared" si="326"/>
        <v>46661.044282825183</v>
      </c>
      <c r="L46" s="60">
        <f t="shared" si="326"/>
        <v>70.059493018039817</v>
      </c>
      <c r="M46" s="60">
        <f t="shared" si="326"/>
        <v>5.4321470291758933E-2</v>
      </c>
      <c r="N46" s="60">
        <f t="shared" si="326"/>
        <v>9.1523031972062699E-2</v>
      </c>
      <c r="O46" s="60">
        <f t="shared" si="326"/>
        <v>1.0961520220320888</v>
      </c>
      <c r="P46" s="60">
        <f t="shared" si="326"/>
        <v>0.15111432460127999</v>
      </c>
      <c r="Q46" s="60">
        <f t="shared" si="326"/>
        <v>9.6074897174757715E-2</v>
      </c>
      <c r="R46" s="60">
        <f t="shared" si="326"/>
        <v>6.7115481087479986E-2</v>
      </c>
      <c r="S46" s="60">
        <f t="shared" si="326"/>
        <v>1.0683517131529321E-5</v>
      </c>
      <c r="T46" s="120">
        <f t="shared" ref="T46:T47" si="327">IFERROR(1/J46,".")</f>
        <v>6.8505499999999997E-2</v>
      </c>
      <c r="U46" s="120">
        <f t="shared" ref="U46:U47" si="328">IFERROR(1/K46,".")</f>
        <v>2.1431153446518043E-5</v>
      </c>
      <c r="V46" s="120">
        <f t="shared" ref="V46:V47" si="329">IFERROR(1/L46,".")</f>
        <v>1.4273583163704985E-2</v>
      </c>
      <c r="W46" s="120">
        <f t="shared" ref="W46:W47" si="330">IFERROR(1/M46,".")</f>
        <v>18.408927347309103</v>
      </c>
      <c r="X46" s="120">
        <f t="shared" ref="X46:X47" si="331">IFERROR(1/N46,".")</f>
        <v>10.926211451400002</v>
      </c>
      <c r="Y46" s="120">
        <f t="shared" ref="Y46:Y47" si="332">IFERROR(1/O46,".")</f>
        <v>0.91228221989333336</v>
      </c>
      <c r="Z46" s="120">
        <f t="shared" ref="Z46:Z47" si="333">IFERROR(1/P46,".")</f>
        <v>6.6175063326294987</v>
      </c>
      <c r="AA46" s="120">
        <f t="shared" ref="AA46:AA47" si="334">IFERROR(1/Q46,".")</f>
        <v>10.408546138550909</v>
      </c>
      <c r="AB46" s="120">
        <f t="shared" ref="AB46:AB47" si="335">IFERROR(1/R46,".")</f>
        <v>14.899692050133339</v>
      </c>
      <c r="AC46" s="120">
        <f t="shared" ref="AC46:AC47" si="336">IFERROR(1/S46,".")</f>
        <v>93602.133800000025</v>
      </c>
      <c r="AD46" s="60">
        <f t="shared" si="282"/>
        <v>1.0676416111797687E-5</v>
      </c>
      <c r="AE46" s="60">
        <f t="shared" ref="AE46:AN46" si="337">IFERROR(AE10/$B46,0)</f>
        <v>1.0449786568543227</v>
      </c>
      <c r="AF46" s="60">
        <f t="shared" si="337"/>
        <v>0</v>
      </c>
      <c r="AG46" s="60">
        <f t="shared" si="337"/>
        <v>407751622.81040215</v>
      </c>
      <c r="AH46" s="60">
        <f t="shared" si="337"/>
        <v>0.30034803746137578</v>
      </c>
      <c r="AI46" s="60">
        <f t="shared" si="337"/>
        <v>17.999529621172332</v>
      </c>
      <c r="AJ46" s="60">
        <f t="shared" si="337"/>
        <v>215.5765643329774</v>
      </c>
      <c r="AK46" s="60">
        <f t="shared" si="337"/>
        <v>10.933929228776261</v>
      </c>
      <c r="AL46" s="60">
        <f t="shared" si="337"/>
        <v>6.4241385049280924</v>
      </c>
      <c r="AM46" s="60">
        <f t="shared" si="337"/>
        <v>10.018261138935245</v>
      </c>
      <c r="AN46" s="60">
        <f t="shared" si="337"/>
        <v>1.0683517131529323E-3</v>
      </c>
      <c r="AO46" s="120">
        <f t="shared" ref="AO46:AO47" si="338">IFERROR(1/AE46,".")</f>
        <v>0.95695734399999999</v>
      </c>
      <c r="AP46" s="120" t="str">
        <f t="shared" ref="AP46:AP47" si="339">IFERROR(1/AF46,".")</f>
        <v>.</v>
      </c>
      <c r="AQ46" s="120">
        <f t="shared" ref="AQ46:AQ47" si="340">IFERROR(1/AG46,".")</f>
        <v>2.4524733785424656E-9</v>
      </c>
      <c r="AR46" s="120">
        <f t="shared" ref="AR46:AR47" si="341">IFERROR(1/AH46,".")</f>
        <v>3.3294707315295784</v>
      </c>
      <c r="AS46" s="120">
        <f t="shared" ref="AS46:AS47" si="342">IFERROR(1/AI46,".")</f>
        <v>5.5557007380000009E-2</v>
      </c>
      <c r="AT46" s="120">
        <f t="shared" ref="AT46:AT47" si="343">IFERROR(1/AJ46,".")</f>
        <v>4.6387231520000011E-3</v>
      </c>
      <c r="AU46" s="120">
        <f t="shared" ref="AU46:AU47" si="344">IFERROR(1/AK46,".")</f>
        <v>9.1458429908999994E-2</v>
      </c>
      <c r="AV46" s="120">
        <f t="shared" ref="AV46:AV47" si="345">IFERROR(1/AL46,".")</f>
        <v>0.15566289538011654</v>
      </c>
      <c r="AW46" s="120">
        <f t="shared" ref="AW46:AW47" si="346">IFERROR(1/AM46,".")</f>
        <v>9.9817721472000021E-2</v>
      </c>
      <c r="AX46" s="120">
        <f t="shared" ref="AX46:AX47" si="347">IFERROR(1/AN46,".")</f>
        <v>936.02133800000013</v>
      </c>
      <c r="AY46" s="60">
        <f t="shared" ref="AY46:AY47" si="348">IFERROR(1/(SUMIF(AO46:AX46,"&lt;&gt;0")),".")</f>
        <v>1.0630213246232458E-3</v>
      </c>
      <c r="AZ46" s="60">
        <f>IFERROR(AZ10/$B46,0)</f>
        <v>3.4326136744344427E-2</v>
      </c>
      <c r="BA46" s="60">
        <f>IFERROR(BA10/$B46,0)</f>
        <v>16063.653859782458</v>
      </c>
      <c r="BB46" s="60">
        <f>IFERROR(IF(AND(AZ46&lt;&gt;0,BA46&lt;&gt;0),1/((1/AZ46)+(1/BA46)),IF(AND(AZ46&lt;&gt;0,BA46=0),1/((1/AZ46)),IF(AND(AZ46=0,BA46&lt;&gt;0),1/((1/BA46)),IF(AND(AZ46=0,BA46=0),0)))),0)</f>
        <v>3.4326063393588971E-2</v>
      </c>
    </row>
    <row r="47" spans="1:54" x14ac:dyDescent="0.25">
      <c r="A47" s="83" t="s">
        <v>1075</v>
      </c>
      <c r="B47" s="85">
        <v>0.94399</v>
      </c>
      <c r="C47" s="60">
        <f t="shared" ref="C47:S47" si="349">IFERROR(C6/$B$47,0)</f>
        <v>0</v>
      </c>
      <c r="D47" s="60">
        <f t="shared" si="349"/>
        <v>0</v>
      </c>
      <c r="E47" s="60">
        <f t="shared" si="349"/>
        <v>0</v>
      </c>
      <c r="F47" s="60">
        <f t="shared" si="349"/>
        <v>0</v>
      </c>
      <c r="G47" s="60">
        <f t="shared" si="349"/>
        <v>0</v>
      </c>
      <c r="H47" s="60">
        <f t="shared" si="349"/>
        <v>0</v>
      </c>
      <c r="I47" s="60">
        <f t="shared" si="349"/>
        <v>0</v>
      </c>
      <c r="J47" s="60">
        <f t="shared" si="349"/>
        <v>0</v>
      </c>
      <c r="K47" s="60">
        <f t="shared" si="349"/>
        <v>0</v>
      </c>
      <c r="L47" s="60">
        <f t="shared" si="349"/>
        <v>1.5262753887653026E-2</v>
      </c>
      <c r="M47" s="60">
        <f t="shared" si="349"/>
        <v>0</v>
      </c>
      <c r="N47" s="60">
        <f t="shared" si="349"/>
        <v>0</v>
      </c>
      <c r="O47" s="60">
        <f t="shared" si="349"/>
        <v>0</v>
      </c>
      <c r="P47" s="60">
        <f t="shared" si="349"/>
        <v>0</v>
      </c>
      <c r="Q47" s="60">
        <f t="shared" si="349"/>
        <v>0</v>
      </c>
      <c r="R47" s="60">
        <f t="shared" si="349"/>
        <v>0</v>
      </c>
      <c r="S47" s="60">
        <f t="shared" si="349"/>
        <v>0</v>
      </c>
      <c r="T47" s="120" t="str">
        <f t="shared" si="327"/>
        <v>.</v>
      </c>
      <c r="U47" s="120" t="str">
        <f t="shared" si="328"/>
        <v>.</v>
      </c>
      <c r="V47" s="120">
        <f t="shared" si="329"/>
        <v>65.518975629225153</v>
      </c>
      <c r="W47" s="120" t="str">
        <f t="shared" si="330"/>
        <v>.</v>
      </c>
      <c r="X47" s="120" t="str">
        <f t="shared" si="331"/>
        <v>.</v>
      </c>
      <c r="Y47" s="120" t="str">
        <f t="shared" si="332"/>
        <v>.</v>
      </c>
      <c r="Z47" s="120" t="str">
        <f t="shared" si="333"/>
        <v>.</v>
      </c>
      <c r="AA47" s="120" t="str">
        <f t="shared" si="334"/>
        <v>.</v>
      </c>
      <c r="AB47" s="120" t="str">
        <f t="shared" si="335"/>
        <v>.</v>
      </c>
      <c r="AC47" s="120" t="str">
        <f t="shared" si="336"/>
        <v>.</v>
      </c>
      <c r="AD47" s="60">
        <f>IFERROR(1/(SUMIF(T47:AC47,"&lt;&gt;0")),".")</f>
        <v>1.5262753887653024E-2</v>
      </c>
      <c r="AE47" s="60">
        <f t="shared" ref="AE47:AN47" si="350">IFERROR(AE6/$B$47,0)</f>
        <v>0</v>
      </c>
      <c r="AF47" s="60">
        <f t="shared" si="350"/>
        <v>0</v>
      </c>
      <c r="AG47" s="60">
        <f t="shared" si="350"/>
        <v>177208.14526681576</v>
      </c>
      <c r="AH47" s="60">
        <f t="shared" si="350"/>
        <v>0</v>
      </c>
      <c r="AI47" s="60">
        <f t="shared" si="350"/>
        <v>0</v>
      </c>
      <c r="AJ47" s="60">
        <f t="shared" si="350"/>
        <v>0</v>
      </c>
      <c r="AK47" s="60">
        <f t="shared" si="350"/>
        <v>0</v>
      </c>
      <c r="AL47" s="60">
        <f t="shared" si="350"/>
        <v>0</v>
      </c>
      <c r="AM47" s="60">
        <f t="shared" si="350"/>
        <v>0</v>
      </c>
      <c r="AN47" s="60">
        <f t="shared" si="350"/>
        <v>0</v>
      </c>
      <c r="AO47" s="120" t="str">
        <f t="shared" si="338"/>
        <v>.</v>
      </c>
      <c r="AP47" s="120" t="str">
        <f t="shared" si="339"/>
        <v>.</v>
      </c>
      <c r="AQ47" s="120">
        <f t="shared" si="340"/>
        <v>5.6430814649876107E-6</v>
      </c>
      <c r="AR47" s="120" t="str">
        <f t="shared" si="341"/>
        <v>.</v>
      </c>
      <c r="AS47" s="120" t="str">
        <f t="shared" si="342"/>
        <v>.</v>
      </c>
      <c r="AT47" s="120" t="str">
        <f t="shared" si="343"/>
        <v>.</v>
      </c>
      <c r="AU47" s="120" t="str">
        <f t="shared" si="344"/>
        <v>.</v>
      </c>
      <c r="AV47" s="120" t="str">
        <f t="shared" si="345"/>
        <v>.</v>
      </c>
      <c r="AW47" s="120" t="str">
        <f t="shared" si="346"/>
        <v>.</v>
      </c>
      <c r="AX47" s="120" t="str">
        <f t="shared" si="347"/>
        <v>.</v>
      </c>
      <c r="AY47" s="60">
        <f t="shared" si="348"/>
        <v>177208.14526681576</v>
      </c>
      <c r="AZ47" s="60">
        <f>IFERROR(AZ6/$B$47,0)</f>
        <v>0</v>
      </c>
      <c r="BA47" s="60">
        <f>IFERROR(BA6/$B$47,0)</f>
        <v>10.950601949005277</v>
      </c>
      <c r="BB47" s="60">
        <f>IFERROR(IF(AND(AZ47&lt;&gt;0,BA47&lt;&gt;0),1/((1/AZ47)+(1/BA47)),IF(AND(AZ47&lt;&gt;0,BA47=0),1/((1/AZ47)),IF(AND(AZ47=0,BA47&lt;&gt;0),1/((1/BA47)),IF(AND(AZ47=0,BA47=0),0)))),0)</f>
        <v>10.950601949005277</v>
      </c>
    </row>
    <row r="48" spans="1:54" x14ac:dyDescent="0.25">
      <c r="A48" s="82" t="s">
        <v>33</v>
      </c>
      <c r="B48" s="57" t="s">
        <v>1259</v>
      </c>
      <c r="C48" s="58">
        <f>1/SUM(1/C49,1/C52,1/C54,1/C58,1/C59,1/C61)</f>
        <v>1.2872653017674146E-5</v>
      </c>
      <c r="D48" s="58">
        <f t="shared" ref="D48:M48" si="351">1/SUM(1/D49,1/D52,1/D54,1/D58,1/D59,1/D61)</f>
        <v>1.8354184118853981E-4</v>
      </c>
      <c r="E48" s="58">
        <f t="shared" si="351"/>
        <v>3.256654612444858E-4</v>
      </c>
      <c r="F48" s="58">
        <f t="shared" si="351"/>
        <v>1.2037186283050312E-4</v>
      </c>
      <c r="G48" s="58">
        <f t="shared" si="351"/>
        <v>2.4921461219594388E-5</v>
      </c>
      <c r="H48" s="58">
        <f t="shared" si="351"/>
        <v>2.1566385677417756E-4</v>
      </c>
      <c r="I48" s="58">
        <f t="shared" si="351"/>
        <v>2.5217639504308286E-5</v>
      </c>
      <c r="J48" s="58">
        <f t="shared" si="351"/>
        <v>0.1090904078394009</v>
      </c>
      <c r="K48" s="58">
        <f t="shared" si="351"/>
        <v>88.763062907075181</v>
      </c>
      <c r="L48" s="58">
        <f>1/SUM(1/L49,1/L50,1/L51,1/L52,1/L53,1/L54,1/L55,1/L56,1/L57,1/L58,1/L59,1/L60,1/L61,1/L62)</f>
        <v>4.6217110647019024E-3</v>
      </c>
      <c r="M48" s="58">
        <f t="shared" si="351"/>
        <v>1.3237966273512553E-3</v>
      </c>
      <c r="N48" s="58">
        <f>1/SUM(1/N61)</f>
        <v>1.8642862185569407E-3</v>
      </c>
      <c r="O48" s="58">
        <f>1/SUM(1/O61)</f>
        <v>2.5609361728370205E-3</v>
      </c>
      <c r="P48" s="58">
        <f>1/SUM(1/P49,1/P52,1/P54,1/P58,1/P59,1/P61)</f>
        <v>1.0531275379405207E-2</v>
      </c>
      <c r="Q48" s="58">
        <f t="shared" ref="Q48" si="352">1/SUM(1/Q49,1/Q52,1/Q54,1/Q58,1/Q59,1/Q61)</f>
        <v>1.9424396004312609E-2</v>
      </c>
      <c r="R48" s="58" t="str">
        <f>IFERROR(1/SUM(1/R49,1/R50,1/R51,1/R52,1/R53,1/R54,1/R55,1/R56,1/R57,1/R58,1/R59,1/R60,1/R61,1/R62),".")</f>
        <v>.</v>
      </c>
      <c r="S48" s="58">
        <f t="shared" ref="S48" si="353">1/SUM(1/S49,1/S52,1/S54,1/S58,1/S59,1/S61)</f>
        <v>3.7806016428291836E-5</v>
      </c>
      <c r="T48" s="181"/>
      <c r="U48" s="181"/>
      <c r="V48" s="181"/>
      <c r="W48" s="181"/>
      <c r="X48" s="181"/>
      <c r="Y48" s="181"/>
      <c r="Z48" s="181"/>
      <c r="AA48" s="181"/>
      <c r="AB48" s="181"/>
      <c r="AC48" s="181"/>
      <c r="AD48" s="59">
        <f>1/SUM(1/AD49,1/AD50,1/AD51,1/AD52,1/AD53,1/AD54,1/AD55,1/AD56,1/AD57,1/AD58,1/AD59,1/AD60,1/AD61,1/AD62)</f>
        <v>3.5081460079187596E-5</v>
      </c>
      <c r="AE48" s="58">
        <f>1/SUM(1/AE49,1/AE52,1/AE54,1/AE58,1/AE59,1/AE61)</f>
        <v>1.0430103780846115E-2</v>
      </c>
      <c r="AF48" s="58">
        <f>1/SUM(1/AF49,1/AF50)</f>
        <v>2.7422603568016382E-4</v>
      </c>
      <c r="AG48" s="58">
        <f>1/SUM(1/AG49,1/AG50,1/AG51,1/AG52,1/AG53,1/AG54,1/AG55,1/AG56,1/AG57,1/AG58,1/AG59,1/AG60,1/AG61,1/AG62)</f>
        <v>54418.368231165448</v>
      </c>
      <c r="AH48" s="58">
        <f>1/SUM(1/AH49,1/AH52,1/AH54,1/AH58,1/AH59,1/AH61)</f>
        <v>3.2263919851937971E-3</v>
      </c>
      <c r="AI48" s="58">
        <f>1/SUM(1/AI61)</f>
        <v>0.33582866226694685</v>
      </c>
      <c r="AJ48" s="58">
        <f>1/SUM(1/AJ61)</f>
        <v>0.46132174368622747</v>
      </c>
      <c r="AK48" s="58">
        <f>1/SUM(1/AK49,1/AK52,1/AK54,1/AK58,1/AK59,1/AK61)</f>
        <v>0.6919390284307072</v>
      </c>
      <c r="AL48" s="58">
        <f>1/SUM(1/AL49,1/AL52,1/AL54,1/AL58,1/AL59,1/AL61)</f>
        <v>1.2194878017587782</v>
      </c>
      <c r="AM48" s="58" t="str">
        <f>IFERROR(1/SUM(1/AM49,1/AM50,1/AM51,1/AM52,1/AM53,1/AM54,1/AM55,1/AM56,1/AM57,1/AM58,1/AM59,1/AM60,1/AM61,1/AM62),".")</f>
        <v>.</v>
      </c>
      <c r="AN48" s="58">
        <f>1/SUM(1/AN49,1/AN52,1/AN54,1/AN58,1/AN59,1/AN61)</f>
        <v>8.8482789944124612E-4</v>
      </c>
      <c r="AO48" s="181"/>
      <c r="AP48" s="181"/>
      <c r="AQ48" s="181"/>
      <c r="AR48" s="181"/>
      <c r="AS48" s="181"/>
      <c r="AT48" s="181"/>
      <c r="AU48" s="181"/>
      <c r="AV48" s="181"/>
      <c r="AW48" s="181"/>
      <c r="AX48" s="181"/>
      <c r="AY48" s="59">
        <f>1/SUM(1/AY49,1/AY50,1/AY51,1/AY52,1/AY53,1/AY54,1/AY55,1/AY56,1/AY57,1/AY58,1/AY59,1/AY60,1/AY61,1/AY62)</f>
        <v>1.9267745722340669E-4</v>
      </c>
      <c r="AZ48" s="58">
        <f>1/SUM(1/AZ49,1/AZ50,1/AZ51,1/AZ52,1/AZ54,1/AZ58,1/AZ59,1/AZ61)</f>
        <v>6.5280568737778157E-5</v>
      </c>
      <c r="BA48" s="58">
        <f t="shared" ref="BA48:BB48" si="354">1/SUM(1/BA49,1/BA50,1/BA51,1/BA52,1/BA53,1/BA54,1/BA55,1/BA56,1/BA57,1/BA58,1/BA59,1/BA60,1/BA61,1/BA62)</f>
        <v>3.3631876672742003</v>
      </c>
      <c r="BB48" s="59">
        <f t="shared" si="354"/>
        <v>6.5279301645257678E-5</v>
      </c>
    </row>
    <row r="49" spans="1:54" x14ac:dyDescent="0.25">
      <c r="A49" s="83" t="s">
        <v>1103</v>
      </c>
      <c r="B49" s="42">
        <v>1</v>
      </c>
      <c r="C49" s="60">
        <f t="shared" ref="C49:S49" si="355">IFERROR(C23/$B49,0)</f>
        <v>9.9065962624326849E-5</v>
      </c>
      <c r="D49" s="60">
        <f t="shared" si="355"/>
        <v>1.4125098496960277E-3</v>
      </c>
      <c r="E49" s="60">
        <f t="shared" si="355"/>
        <v>2.5062714241877093E-3</v>
      </c>
      <c r="F49" s="60">
        <f t="shared" si="355"/>
        <v>9.2636338816983106E-4</v>
      </c>
      <c r="G49" s="60">
        <f t="shared" si="355"/>
        <v>1.9179174194582839E-4</v>
      </c>
      <c r="H49" s="60">
        <f t="shared" si="355"/>
        <v>1.6597159532906539E-3</v>
      </c>
      <c r="I49" s="60">
        <f t="shared" si="355"/>
        <v>1.9407108458353628E-4</v>
      </c>
      <c r="J49" s="60">
        <f t="shared" si="355"/>
        <v>0.91732094583128065</v>
      </c>
      <c r="K49" s="60">
        <f t="shared" si="355"/>
        <v>186.39891540051062</v>
      </c>
      <c r="L49" s="60">
        <f t="shared" si="355"/>
        <v>1.5485112241837773</v>
      </c>
      <c r="M49" s="60">
        <f t="shared" si="355"/>
        <v>4.371744128649417E-3</v>
      </c>
      <c r="N49" s="60">
        <f t="shared" si="355"/>
        <v>0</v>
      </c>
      <c r="O49" s="60">
        <f t="shared" si="355"/>
        <v>0</v>
      </c>
      <c r="P49" s="60">
        <f t="shared" si="355"/>
        <v>0.1483788551678647</v>
      </c>
      <c r="Q49" s="60">
        <f t="shared" si="355"/>
        <v>8.8536457058519147E-2</v>
      </c>
      <c r="R49" s="60">
        <f t="shared" si="355"/>
        <v>0</v>
      </c>
      <c r="S49" s="60">
        <f t="shared" si="355"/>
        <v>4.851777114588407E-5</v>
      </c>
      <c r="T49" s="120">
        <f t="shared" ref="T49:T62" si="356">IFERROR(1/J49,".")</f>
        <v>1.0901310000000002</v>
      </c>
      <c r="U49" s="120">
        <f t="shared" ref="U49:U62" si="357">IFERROR(1/K49,".")</f>
        <v>5.3648380831579703E-3</v>
      </c>
      <c r="V49" s="120">
        <f t="shared" ref="V49:V62" si="358">IFERROR(1/L49,".")</f>
        <v>0.64578156385472862</v>
      </c>
      <c r="W49" s="120">
        <f t="shared" ref="W49:W62" si="359">IFERROR(1/M49,".")</f>
        <v>228.74165792244904</v>
      </c>
      <c r="X49" s="120" t="str">
        <f t="shared" ref="X49:X62" si="360">IFERROR(1/N49,".")</f>
        <v>.</v>
      </c>
      <c r="Y49" s="120" t="str">
        <f t="shared" ref="Y49:Y62" si="361">IFERROR(1/O49,".")</f>
        <v>.</v>
      </c>
      <c r="Z49" s="120">
        <f t="shared" ref="Z49:Z62" si="362">IFERROR(1/P49,".")</f>
        <v>6.7395047553687828</v>
      </c>
      <c r="AA49" s="120">
        <f t="shared" ref="AA49:AA62" si="363">IFERROR(1/Q49,".")</f>
        <v>11.294782208633434</v>
      </c>
      <c r="AB49" s="120" t="str">
        <f t="shared" ref="AB49:AB62" si="364">IFERROR(1/R49,".")</f>
        <v>.</v>
      </c>
      <c r="AC49" s="120">
        <f t="shared" ref="AC49:AC62" si="365">IFERROR(1/S49,".")</f>
        <v>20611.004512</v>
      </c>
      <c r="AD49" s="60">
        <f t="shared" si="282"/>
        <v>4.7939737676546227E-5</v>
      </c>
      <c r="AE49" s="60">
        <f t="shared" ref="AE49:AN49" si="366">IFERROR(AE23/$B49,0)</f>
        <v>8.2794462812304015E-2</v>
      </c>
      <c r="AF49" s="60">
        <f t="shared" si="366"/>
        <v>2.7424824100606324E-4</v>
      </c>
      <c r="AG49" s="60">
        <f t="shared" si="366"/>
        <v>14578828.971992029</v>
      </c>
      <c r="AH49" s="60">
        <f t="shared" si="366"/>
        <v>2.224975266031768E-2</v>
      </c>
      <c r="AI49" s="60">
        <f t="shared" si="366"/>
        <v>0</v>
      </c>
      <c r="AJ49" s="60">
        <f t="shared" si="366"/>
        <v>0</v>
      </c>
      <c r="AK49" s="60">
        <f t="shared" si="366"/>
        <v>10.281502643394351</v>
      </c>
      <c r="AL49" s="60">
        <f t="shared" si="366"/>
        <v>5.650614822774692</v>
      </c>
      <c r="AM49" s="60">
        <f t="shared" si="366"/>
        <v>0</v>
      </c>
      <c r="AN49" s="60">
        <f t="shared" si="366"/>
        <v>4.851777114588407E-2</v>
      </c>
      <c r="AO49" s="120">
        <f t="shared" ref="AO49:AO62" si="367">IFERROR(1/AE49,".")</f>
        <v>12.078102400000002</v>
      </c>
      <c r="AP49" s="120">
        <f t="shared" ref="AP49:AP62" si="368">IFERROR(1/AF49,".")</f>
        <v>3646.3314999999998</v>
      </c>
      <c r="AQ49" s="120">
        <f t="shared" ref="AQ49:AQ62" si="369">IFERROR(1/AG49,".")</f>
        <v>6.8592614806109596E-8</v>
      </c>
      <c r="AR49" s="120">
        <f t="shared" ref="AR49:AR62" si="370">IFERROR(1/AH49,".")</f>
        <v>44.944319843316499</v>
      </c>
      <c r="AS49" s="120" t="str">
        <f t="shared" ref="AS49:AS62" si="371">IFERROR(1/AI49,".")</f>
        <v>.</v>
      </c>
      <c r="AT49" s="120" t="str">
        <f t="shared" ref="AT49:AT62" si="372">IFERROR(1/AJ49,".")</f>
        <v>.</v>
      </c>
      <c r="AU49" s="120">
        <f t="shared" ref="AU49:AU62" si="373">IFERROR(1/AK49,".")</f>
        <v>9.7262047648499994E-2</v>
      </c>
      <c r="AV49" s="120">
        <f t="shared" ref="AV49:AV62" si="374">IFERROR(1/AL49,".")</f>
        <v>0.17697189268139807</v>
      </c>
      <c r="AW49" s="120" t="str">
        <f t="shared" ref="AW49:AW62" si="375">IFERROR(1/AM49,".")</f>
        <v>.</v>
      </c>
      <c r="AX49" s="120">
        <f t="shared" ref="AX49:AX62" si="376">IFERROR(1/AN49,".")</f>
        <v>20.611004512000001</v>
      </c>
      <c r="AY49" s="60">
        <f t="shared" ref="AY49:AY62" si="377">IFERROR(1/(SUMIF(AO49:AX49,"&lt;&gt;0")),".")</f>
        <v>2.6851121983121874E-4</v>
      </c>
      <c r="AZ49" s="60">
        <f>IFERROR(AZ23/$B49,0)</f>
        <v>1.3712412050303162E-4</v>
      </c>
      <c r="BA49" s="60">
        <f>IFERROR(BA23/$B49,0)</f>
        <v>915.10159283186954</v>
      </c>
      <c r="BB49" s="60">
        <f t="shared" ref="BB49:BB62" si="378">IFERROR(IF(AND(AZ49&lt;&gt;0,BA49&lt;&gt;0),1/((1/AZ49)+(1/BA49)),IF(AND(AZ49&lt;&gt;0,BA49=0),1/((1/AZ49)),IF(AND(AZ49=0,BA49&lt;&gt;0),1/((1/BA49)),IF(AND(AZ49=0,BA49=0),0)))),0)</f>
        <v>1.3712409995556262E-4</v>
      </c>
    </row>
    <row r="50" spans="1:54" x14ac:dyDescent="0.25">
      <c r="A50" s="83" t="s">
        <v>1090</v>
      </c>
      <c r="B50" s="42">
        <v>1</v>
      </c>
      <c r="C50" s="60">
        <f t="shared" ref="C50:S50" si="379">IFERROR(C25/$B50,0)</f>
        <v>0</v>
      </c>
      <c r="D50" s="60">
        <f t="shared" si="379"/>
        <v>0</v>
      </c>
      <c r="E50" s="60">
        <f t="shared" si="379"/>
        <v>0</v>
      </c>
      <c r="F50" s="60">
        <f t="shared" si="379"/>
        <v>0</v>
      </c>
      <c r="G50" s="60">
        <f t="shared" si="379"/>
        <v>0</v>
      </c>
      <c r="H50" s="60">
        <f t="shared" si="379"/>
        <v>0</v>
      </c>
      <c r="I50" s="60">
        <f t="shared" si="379"/>
        <v>0</v>
      </c>
      <c r="J50" s="60">
        <f t="shared" si="379"/>
        <v>0</v>
      </c>
      <c r="K50" s="60">
        <f t="shared" si="379"/>
        <v>2301944.8512860425</v>
      </c>
      <c r="L50" s="60">
        <f t="shared" si="379"/>
        <v>22.853889791401954</v>
      </c>
      <c r="M50" s="60">
        <f t="shared" si="379"/>
        <v>0</v>
      </c>
      <c r="N50" s="60">
        <f t="shared" si="379"/>
        <v>0</v>
      </c>
      <c r="O50" s="60">
        <f t="shared" si="379"/>
        <v>0</v>
      </c>
      <c r="P50" s="60">
        <f t="shared" si="379"/>
        <v>0</v>
      </c>
      <c r="Q50" s="60">
        <f t="shared" si="379"/>
        <v>0</v>
      </c>
      <c r="R50" s="60">
        <f t="shared" si="379"/>
        <v>0</v>
      </c>
      <c r="S50" s="60">
        <f t="shared" si="379"/>
        <v>0</v>
      </c>
      <c r="T50" s="120" t="str">
        <f t="shared" si="356"/>
        <v>.</v>
      </c>
      <c r="U50" s="120">
        <f t="shared" si="357"/>
        <v>4.3441527256455492E-7</v>
      </c>
      <c r="V50" s="120">
        <f t="shared" si="358"/>
        <v>4.3756227457446568E-2</v>
      </c>
      <c r="W50" s="120" t="str">
        <f t="shared" si="359"/>
        <v>.</v>
      </c>
      <c r="X50" s="120" t="str">
        <f t="shared" si="360"/>
        <v>.</v>
      </c>
      <c r="Y50" s="120" t="str">
        <f t="shared" si="361"/>
        <v>.</v>
      </c>
      <c r="Z50" s="120" t="str">
        <f t="shared" si="362"/>
        <v>.</v>
      </c>
      <c r="AA50" s="120" t="str">
        <f t="shared" si="363"/>
        <v>.</v>
      </c>
      <c r="AB50" s="120" t="str">
        <f t="shared" si="364"/>
        <v>.</v>
      </c>
      <c r="AC50" s="120" t="str">
        <f t="shared" si="365"/>
        <v>.</v>
      </c>
      <c r="AD50" s="60">
        <f t="shared" si="282"/>
        <v>22.853662898436678</v>
      </c>
      <c r="AE50" s="60">
        <f t="shared" ref="AE50:AN50" si="380">IFERROR(AE25/$B50,0)</f>
        <v>0</v>
      </c>
      <c r="AF50" s="60">
        <f t="shared" si="380"/>
        <v>3.3868454921086499</v>
      </c>
      <c r="AG50" s="60">
        <f t="shared" si="380"/>
        <v>260094058.40397739</v>
      </c>
      <c r="AH50" s="60">
        <f t="shared" si="380"/>
        <v>0</v>
      </c>
      <c r="AI50" s="60">
        <f t="shared" si="380"/>
        <v>0</v>
      </c>
      <c r="AJ50" s="60">
        <f t="shared" si="380"/>
        <v>0</v>
      </c>
      <c r="AK50" s="60">
        <f t="shared" si="380"/>
        <v>0</v>
      </c>
      <c r="AL50" s="60">
        <f t="shared" si="380"/>
        <v>0</v>
      </c>
      <c r="AM50" s="60">
        <f t="shared" si="380"/>
        <v>0</v>
      </c>
      <c r="AN50" s="60">
        <f t="shared" si="380"/>
        <v>0</v>
      </c>
      <c r="AO50" s="120" t="str">
        <f t="shared" si="367"/>
        <v>.</v>
      </c>
      <c r="AP50" s="120">
        <f t="shared" si="368"/>
        <v>0.29526000000000002</v>
      </c>
      <c r="AQ50" s="120">
        <f t="shared" si="369"/>
        <v>3.8447629528191783E-9</v>
      </c>
      <c r="AR50" s="120" t="str">
        <f t="shared" si="370"/>
        <v>.</v>
      </c>
      <c r="AS50" s="120" t="str">
        <f t="shared" si="371"/>
        <v>.</v>
      </c>
      <c r="AT50" s="120" t="str">
        <f t="shared" si="372"/>
        <v>.</v>
      </c>
      <c r="AU50" s="120" t="str">
        <f t="shared" si="373"/>
        <v>.</v>
      </c>
      <c r="AV50" s="120" t="str">
        <f t="shared" si="374"/>
        <v>.</v>
      </c>
      <c r="AW50" s="120" t="str">
        <f t="shared" si="375"/>
        <v>.</v>
      </c>
      <c r="AX50" s="120" t="str">
        <f t="shared" si="376"/>
        <v>.</v>
      </c>
      <c r="AY50" s="60">
        <f t="shared" si="377"/>
        <v>3.3868454480064418</v>
      </c>
      <c r="AZ50" s="60">
        <f>IFERROR(AZ25/$B50,0)</f>
        <v>1.693422746054325</v>
      </c>
      <c r="BA50" s="60">
        <f>IFERROR(BA25/$B50,0)</f>
        <v>16063.653859782458</v>
      </c>
      <c r="BB50" s="60">
        <f t="shared" si="378"/>
        <v>1.6932442450517369</v>
      </c>
    </row>
    <row r="51" spans="1:54" x14ac:dyDescent="0.25">
      <c r="A51" s="83" t="s">
        <v>1076</v>
      </c>
      <c r="B51" s="42">
        <v>1</v>
      </c>
      <c r="C51" s="60">
        <f t="shared" ref="C51:S51" si="381">IFERROR(C21/$B51,0)</f>
        <v>0</v>
      </c>
      <c r="D51" s="60">
        <f t="shared" si="381"/>
        <v>0</v>
      </c>
      <c r="E51" s="60">
        <f t="shared" si="381"/>
        <v>0</v>
      </c>
      <c r="F51" s="60">
        <f t="shared" si="381"/>
        <v>0</v>
      </c>
      <c r="G51" s="60">
        <f t="shared" si="381"/>
        <v>0</v>
      </c>
      <c r="H51" s="60">
        <f t="shared" si="381"/>
        <v>0</v>
      </c>
      <c r="I51" s="60">
        <f t="shared" si="381"/>
        <v>0</v>
      </c>
      <c r="J51" s="60">
        <f t="shared" si="381"/>
        <v>0</v>
      </c>
      <c r="K51" s="60">
        <f t="shared" si="381"/>
        <v>377585.19862821413</v>
      </c>
      <c r="L51" s="60">
        <f t="shared" si="381"/>
        <v>6283303.0332826758</v>
      </c>
      <c r="M51" s="60">
        <f t="shared" si="381"/>
        <v>0</v>
      </c>
      <c r="N51" s="60">
        <f t="shared" si="381"/>
        <v>0</v>
      </c>
      <c r="O51" s="60">
        <f t="shared" si="381"/>
        <v>0</v>
      </c>
      <c r="P51" s="60">
        <f t="shared" si="381"/>
        <v>0</v>
      </c>
      <c r="Q51" s="60">
        <f t="shared" si="381"/>
        <v>0</v>
      </c>
      <c r="R51" s="60">
        <f t="shared" si="381"/>
        <v>0</v>
      </c>
      <c r="S51" s="60">
        <f t="shared" si="381"/>
        <v>0</v>
      </c>
      <c r="T51" s="120" t="str">
        <f t="shared" si="356"/>
        <v>.</v>
      </c>
      <c r="U51" s="120">
        <f t="shared" si="357"/>
        <v>2.6484088985295237E-6</v>
      </c>
      <c r="V51" s="120">
        <f t="shared" si="358"/>
        <v>1.5915196111074015E-7</v>
      </c>
      <c r="W51" s="120" t="str">
        <f t="shared" si="359"/>
        <v>.</v>
      </c>
      <c r="X51" s="120" t="str">
        <f t="shared" si="360"/>
        <v>.</v>
      </c>
      <c r="Y51" s="120" t="str">
        <f t="shared" si="361"/>
        <v>.</v>
      </c>
      <c r="Z51" s="120" t="str">
        <f t="shared" si="362"/>
        <v>.</v>
      </c>
      <c r="AA51" s="120" t="str">
        <f t="shared" si="363"/>
        <v>.</v>
      </c>
      <c r="AB51" s="120" t="str">
        <f t="shared" si="364"/>
        <v>.</v>
      </c>
      <c r="AC51" s="120" t="str">
        <f t="shared" si="365"/>
        <v>.</v>
      </c>
      <c r="AD51" s="60">
        <f t="shared" si="282"/>
        <v>356181.05893103639</v>
      </c>
      <c r="AE51" s="60">
        <f t="shared" ref="AE51:AN51" si="382">IFERROR(AE21/$B51,0)</f>
        <v>0</v>
      </c>
      <c r="AF51" s="60">
        <f t="shared" si="382"/>
        <v>0</v>
      </c>
      <c r="AG51" s="60">
        <f t="shared" si="382"/>
        <v>18080441473348.086</v>
      </c>
      <c r="AH51" s="60">
        <f t="shared" si="382"/>
        <v>0</v>
      </c>
      <c r="AI51" s="60">
        <f t="shared" si="382"/>
        <v>0</v>
      </c>
      <c r="AJ51" s="60">
        <f t="shared" si="382"/>
        <v>0</v>
      </c>
      <c r="AK51" s="60">
        <f t="shared" si="382"/>
        <v>0</v>
      </c>
      <c r="AL51" s="60">
        <f t="shared" si="382"/>
        <v>0</v>
      </c>
      <c r="AM51" s="60">
        <f t="shared" si="382"/>
        <v>0</v>
      </c>
      <c r="AN51" s="60">
        <f t="shared" si="382"/>
        <v>0</v>
      </c>
      <c r="AO51" s="120" t="str">
        <f t="shared" si="367"/>
        <v>.</v>
      </c>
      <c r="AP51" s="120" t="str">
        <f t="shared" si="368"/>
        <v>.</v>
      </c>
      <c r="AQ51" s="120">
        <f t="shared" si="369"/>
        <v>5.5308384005671229E-14</v>
      </c>
      <c r="AR51" s="120" t="str">
        <f t="shared" si="370"/>
        <v>.</v>
      </c>
      <c r="AS51" s="120" t="str">
        <f t="shared" si="371"/>
        <v>.</v>
      </c>
      <c r="AT51" s="120" t="str">
        <f t="shared" si="372"/>
        <v>.</v>
      </c>
      <c r="AU51" s="120" t="str">
        <f t="shared" si="373"/>
        <v>.</v>
      </c>
      <c r="AV51" s="120" t="str">
        <f t="shared" si="374"/>
        <v>.</v>
      </c>
      <c r="AW51" s="120" t="str">
        <f t="shared" si="375"/>
        <v>.</v>
      </c>
      <c r="AX51" s="120" t="str">
        <f t="shared" si="376"/>
        <v>.</v>
      </c>
      <c r="AY51" s="60">
        <f t="shared" si="377"/>
        <v>18080441473348.086</v>
      </c>
      <c r="AZ51" s="60">
        <f>IFERROR(AZ21/$B51,0)</f>
        <v>0.2777700619427238</v>
      </c>
      <c r="BA51" s="60">
        <f>IFERROR(BA21/$B51,0)</f>
        <v>660605883.58276963</v>
      </c>
      <c r="BB51" s="60">
        <f t="shared" si="378"/>
        <v>0.27777006182592767</v>
      </c>
    </row>
    <row r="52" spans="1:54" x14ac:dyDescent="0.25">
      <c r="A52" s="83" t="s">
        <v>1077</v>
      </c>
      <c r="B52" s="85">
        <v>0.99980000000000002</v>
      </c>
      <c r="C52" s="60">
        <f t="shared" ref="C52:S52" si="383">IFERROR(C17/$B52,0)</f>
        <v>0.10513681976686505</v>
      </c>
      <c r="D52" s="60">
        <f t="shared" si="383"/>
        <v>1.4990698071503445</v>
      </c>
      <c r="E52" s="60">
        <f t="shared" si="383"/>
        <v>2.6598581392774094</v>
      </c>
      <c r="F52" s="60">
        <f t="shared" si="383"/>
        <v>0.98313182449930048</v>
      </c>
      <c r="G52" s="60">
        <f t="shared" si="383"/>
        <v>0.20354492372115754</v>
      </c>
      <c r="H52" s="60">
        <f t="shared" si="383"/>
        <v>1.7614249377157938</v>
      </c>
      <c r="I52" s="60">
        <f t="shared" si="383"/>
        <v>0.20596394666041251</v>
      </c>
      <c r="J52" s="60">
        <f t="shared" si="383"/>
        <v>784.59492406483344</v>
      </c>
      <c r="K52" s="60">
        <f t="shared" si="383"/>
        <v>67560.92867134788</v>
      </c>
      <c r="L52" s="60">
        <f t="shared" si="383"/>
        <v>3.8948024854715747E-2</v>
      </c>
      <c r="M52" s="60">
        <f t="shared" si="383"/>
        <v>6.0174718077551859</v>
      </c>
      <c r="N52" s="60">
        <f t="shared" si="383"/>
        <v>0</v>
      </c>
      <c r="O52" s="60">
        <f t="shared" si="383"/>
        <v>0</v>
      </c>
      <c r="P52" s="60">
        <f t="shared" si="383"/>
        <v>391.07502626838721</v>
      </c>
      <c r="Q52" s="60">
        <f t="shared" si="383"/>
        <v>192.51429096535918</v>
      </c>
      <c r="R52" s="60">
        <f t="shared" si="383"/>
        <v>0</v>
      </c>
      <c r="S52" s="60">
        <f t="shared" si="383"/>
        <v>1.2357836799624751</v>
      </c>
      <c r="T52" s="120">
        <f t="shared" si="356"/>
        <v>1.2745430404000001E-3</v>
      </c>
      <c r="U52" s="120">
        <f t="shared" si="357"/>
        <v>1.4801454326723799E-5</v>
      </c>
      <c r="V52" s="120">
        <f t="shared" si="358"/>
        <v>25.675242935430191</v>
      </c>
      <c r="W52" s="120">
        <f t="shared" si="359"/>
        <v>0.1661827478296154</v>
      </c>
      <c r="X52" s="120" t="str">
        <f t="shared" si="360"/>
        <v>.</v>
      </c>
      <c r="Y52" s="120" t="str">
        <f t="shared" si="361"/>
        <v>.</v>
      </c>
      <c r="Z52" s="120">
        <f t="shared" si="362"/>
        <v>2.5570541017204186E-3</v>
      </c>
      <c r="AA52" s="120">
        <f t="shared" si="363"/>
        <v>5.1944195674280564E-3</v>
      </c>
      <c r="AB52" s="120" t="str">
        <f t="shared" si="364"/>
        <v>.</v>
      </c>
      <c r="AC52" s="120">
        <f t="shared" si="365"/>
        <v>0.80920311233626685</v>
      </c>
      <c r="AD52" s="60">
        <f t="shared" si="282"/>
        <v>3.7509842188136737E-2</v>
      </c>
      <c r="AE52" s="60">
        <f t="shared" ref="AE52:AN52" si="384">IFERROR(AE17/$B52,0)</f>
        <v>92.506408182599117</v>
      </c>
      <c r="AF52" s="60">
        <f t="shared" si="384"/>
        <v>0</v>
      </c>
      <c r="AG52" s="60">
        <f t="shared" si="384"/>
        <v>409968.44174906815</v>
      </c>
      <c r="AH52" s="60">
        <f t="shared" si="384"/>
        <v>24.64110999628986</v>
      </c>
      <c r="AI52" s="60">
        <f t="shared" si="384"/>
        <v>0</v>
      </c>
      <c r="AJ52" s="60">
        <f t="shared" si="384"/>
        <v>0</v>
      </c>
      <c r="AK52" s="60">
        <f t="shared" si="384"/>
        <v>26499.510094320765</v>
      </c>
      <c r="AL52" s="60">
        <f t="shared" si="384"/>
        <v>11993.779830251273</v>
      </c>
      <c r="AM52" s="60">
        <f t="shared" si="384"/>
        <v>0</v>
      </c>
      <c r="AN52" s="60">
        <f t="shared" si="384"/>
        <v>8.2385578664164996</v>
      </c>
      <c r="AO52" s="120">
        <f t="shared" si="367"/>
        <v>1.0810061915128E-2</v>
      </c>
      <c r="AP52" s="120" t="str">
        <f t="shared" si="368"/>
        <v>.</v>
      </c>
      <c r="AQ52" s="120">
        <f t="shared" si="369"/>
        <v>2.4392121396799514E-6</v>
      </c>
      <c r="AR52" s="120">
        <f t="shared" si="370"/>
        <v>4.0582587397668658E-2</v>
      </c>
      <c r="AS52" s="120" t="str">
        <f t="shared" si="371"/>
        <v>.</v>
      </c>
      <c r="AT52" s="120" t="str">
        <f t="shared" si="372"/>
        <v>.</v>
      </c>
      <c r="AU52" s="120">
        <f t="shared" si="373"/>
        <v>3.7736546692397711E-5</v>
      </c>
      <c r="AV52" s="120">
        <f t="shared" si="374"/>
        <v>8.3376551358542802E-5</v>
      </c>
      <c r="AW52" s="120" t="str">
        <f t="shared" si="375"/>
        <v>.</v>
      </c>
      <c r="AX52" s="120">
        <f t="shared" si="376"/>
        <v>0.12138046685044004</v>
      </c>
      <c r="AY52" s="60">
        <f t="shared" si="377"/>
        <v>5.7838014394921151</v>
      </c>
      <c r="AZ52" s="60">
        <f>IFERROR(AZ17/$B52,0)</f>
        <v>4.9701109604209912E-2</v>
      </c>
      <c r="BA52" s="60">
        <f>IFERROR(BA17/$B52,0)</f>
        <v>25.581839008234201</v>
      </c>
      <c r="BB52" s="60">
        <f t="shared" si="378"/>
        <v>4.9604736140714034E-2</v>
      </c>
    </row>
    <row r="53" spans="1:54" x14ac:dyDescent="0.25">
      <c r="A53" s="83" t="s">
        <v>1091</v>
      </c>
      <c r="B53" s="42">
        <v>2.0000000000000001E-4</v>
      </c>
      <c r="C53" s="60">
        <f t="shared" ref="C53:S53" si="385">IFERROR(C5/$B53,0)</f>
        <v>0</v>
      </c>
      <c r="D53" s="60">
        <f t="shared" si="385"/>
        <v>0</v>
      </c>
      <c r="E53" s="60">
        <f t="shared" si="385"/>
        <v>0</v>
      </c>
      <c r="F53" s="60">
        <f t="shared" si="385"/>
        <v>0</v>
      </c>
      <c r="G53" s="60">
        <f t="shared" si="385"/>
        <v>0</v>
      </c>
      <c r="H53" s="60">
        <f t="shared" si="385"/>
        <v>0</v>
      </c>
      <c r="I53" s="60">
        <f t="shared" si="385"/>
        <v>0</v>
      </c>
      <c r="J53" s="60">
        <f t="shared" si="385"/>
        <v>0</v>
      </c>
      <c r="K53" s="60">
        <f t="shared" si="385"/>
        <v>0</v>
      </c>
      <c r="L53" s="60">
        <f t="shared" si="385"/>
        <v>7834075.6968162712</v>
      </c>
      <c r="M53" s="60">
        <f t="shared" si="385"/>
        <v>0</v>
      </c>
      <c r="N53" s="60">
        <f t="shared" si="385"/>
        <v>0</v>
      </c>
      <c r="O53" s="60">
        <f t="shared" si="385"/>
        <v>0</v>
      </c>
      <c r="P53" s="60">
        <f t="shared" si="385"/>
        <v>0</v>
      </c>
      <c r="Q53" s="60">
        <f t="shared" si="385"/>
        <v>0</v>
      </c>
      <c r="R53" s="60">
        <f t="shared" si="385"/>
        <v>0</v>
      </c>
      <c r="S53" s="60">
        <f t="shared" si="385"/>
        <v>0</v>
      </c>
      <c r="T53" s="120" t="str">
        <f t="shared" si="356"/>
        <v>.</v>
      </c>
      <c r="U53" s="120" t="str">
        <f t="shared" si="357"/>
        <v>.</v>
      </c>
      <c r="V53" s="120">
        <f t="shared" si="358"/>
        <v>1.2764747734137864E-7</v>
      </c>
      <c r="W53" s="120" t="str">
        <f t="shared" si="359"/>
        <v>.</v>
      </c>
      <c r="X53" s="120" t="str">
        <f t="shared" si="360"/>
        <v>.</v>
      </c>
      <c r="Y53" s="120" t="str">
        <f t="shared" si="361"/>
        <v>.</v>
      </c>
      <c r="Z53" s="120" t="str">
        <f t="shared" si="362"/>
        <v>.</v>
      </c>
      <c r="AA53" s="120" t="str">
        <f t="shared" si="363"/>
        <v>.</v>
      </c>
      <c r="AB53" s="120" t="str">
        <f t="shared" si="364"/>
        <v>.</v>
      </c>
      <c r="AC53" s="120" t="str">
        <f t="shared" si="365"/>
        <v>.</v>
      </c>
      <c r="AD53" s="60">
        <f t="shared" si="282"/>
        <v>7834075.6968162702</v>
      </c>
      <c r="AE53" s="60">
        <f t="shared" ref="AE53:AN53" si="386">IFERROR(AE5/$B53,0)</f>
        <v>0</v>
      </c>
      <c r="AF53" s="60">
        <f t="shared" si="386"/>
        <v>0</v>
      </c>
      <c r="AG53" s="60">
        <f t="shared" si="386"/>
        <v>89166641890201.813</v>
      </c>
      <c r="AH53" s="60">
        <f t="shared" si="386"/>
        <v>0</v>
      </c>
      <c r="AI53" s="60">
        <f t="shared" si="386"/>
        <v>0</v>
      </c>
      <c r="AJ53" s="60">
        <f t="shared" si="386"/>
        <v>0</v>
      </c>
      <c r="AK53" s="60">
        <f t="shared" si="386"/>
        <v>0</v>
      </c>
      <c r="AL53" s="60">
        <f t="shared" si="386"/>
        <v>0</v>
      </c>
      <c r="AM53" s="60">
        <f t="shared" si="386"/>
        <v>0</v>
      </c>
      <c r="AN53" s="60">
        <f t="shared" si="386"/>
        <v>0</v>
      </c>
      <c r="AO53" s="120" t="str">
        <f t="shared" si="367"/>
        <v>.</v>
      </c>
      <c r="AP53" s="120" t="str">
        <f t="shared" si="368"/>
        <v>.</v>
      </c>
      <c r="AQ53" s="120">
        <f t="shared" si="369"/>
        <v>1.1214956387293153E-14</v>
      </c>
      <c r="AR53" s="120" t="str">
        <f t="shared" si="370"/>
        <v>.</v>
      </c>
      <c r="AS53" s="120" t="str">
        <f t="shared" si="371"/>
        <v>.</v>
      </c>
      <c r="AT53" s="120" t="str">
        <f t="shared" si="372"/>
        <v>.</v>
      </c>
      <c r="AU53" s="120" t="str">
        <f t="shared" si="373"/>
        <v>.</v>
      </c>
      <c r="AV53" s="120" t="str">
        <f t="shared" si="374"/>
        <v>.</v>
      </c>
      <c r="AW53" s="120" t="str">
        <f t="shared" si="375"/>
        <v>.</v>
      </c>
      <c r="AX53" s="120" t="str">
        <f t="shared" si="376"/>
        <v>.</v>
      </c>
      <c r="AY53" s="60">
        <f t="shared" si="377"/>
        <v>89166641890201.813</v>
      </c>
      <c r="AZ53" s="60">
        <f>IFERROR(AZ5/$B53,0)</f>
        <v>0</v>
      </c>
      <c r="BA53" s="60">
        <f>IFERROR(BA5/$B53,0)</f>
        <v>4228878572.9351549</v>
      </c>
      <c r="BB53" s="60">
        <f t="shared" si="378"/>
        <v>4228878572.9351549</v>
      </c>
    </row>
    <row r="54" spans="1:54" x14ac:dyDescent="0.25">
      <c r="A54" s="83" t="s">
        <v>1092</v>
      </c>
      <c r="B54" s="42">
        <v>0.99999979999999999</v>
      </c>
      <c r="C54" s="60">
        <f t="shared" ref="C54:S54" si="387">IFERROR(C9/$B54,0)</f>
        <v>0.19205260193606336</v>
      </c>
      <c r="D54" s="60">
        <f t="shared" si="387"/>
        <v>2.7383390289474123</v>
      </c>
      <c r="E54" s="60">
        <f t="shared" si="387"/>
        <v>4.8587419475097775</v>
      </c>
      <c r="F54" s="60">
        <f t="shared" si="387"/>
        <v>1.7958791730615595</v>
      </c>
      <c r="G54" s="60">
        <f t="shared" si="387"/>
        <v>0.37181391160783311</v>
      </c>
      <c r="H54" s="60">
        <f t="shared" si="387"/>
        <v>3.2175810829499802</v>
      </c>
      <c r="I54" s="60">
        <f t="shared" si="387"/>
        <v>0.37623272178924372</v>
      </c>
      <c r="J54" s="60">
        <f t="shared" si="387"/>
        <v>1540.0896023952084</v>
      </c>
      <c r="K54" s="60">
        <f t="shared" si="387"/>
        <v>84926.137712285417</v>
      </c>
      <c r="L54" s="60">
        <f t="shared" si="387"/>
        <v>5.2683858227602857E-3</v>
      </c>
      <c r="M54" s="60">
        <f t="shared" si="387"/>
        <v>1.9050961700091333</v>
      </c>
      <c r="N54" s="60">
        <f t="shared" si="387"/>
        <v>0</v>
      </c>
      <c r="O54" s="60">
        <f t="shared" si="387"/>
        <v>0</v>
      </c>
      <c r="P54" s="60">
        <f t="shared" si="387"/>
        <v>96.267980330289973</v>
      </c>
      <c r="Q54" s="60">
        <f t="shared" si="387"/>
        <v>24.509973053188354</v>
      </c>
      <c r="R54" s="60">
        <f t="shared" si="387"/>
        <v>0</v>
      </c>
      <c r="S54" s="60">
        <f t="shared" si="387"/>
        <v>12.039447097255799</v>
      </c>
      <c r="T54" s="120">
        <f t="shared" si="356"/>
        <v>6.4931287013740005E-4</v>
      </c>
      <c r="U54" s="120">
        <f t="shared" si="357"/>
        <v>1.1774937927682775E-5</v>
      </c>
      <c r="V54" s="120">
        <f t="shared" si="358"/>
        <v>189.81145907724468</v>
      </c>
      <c r="W54" s="120">
        <f t="shared" si="359"/>
        <v>0.524907884306547</v>
      </c>
      <c r="X54" s="120" t="str">
        <f t="shared" si="360"/>
        <v>.</v>
      </c>
      <c r="Y54" s="120" t="str">
        <f t="shared" si="361"/>
        <v>.</v>
      </c>
      <c r="Z54" s="120">
        <f t="shared" si="362"/>
        <v>1.038766988326811E-2</v>
      </c>
      <c r="AA54" s="120">
        <f t="shared" si="363"/>
        <v>4.0799718458683333E-2</v>
      </c>
      <c r="AB54" s="120" t="str">
        <f t="shared" si="364"/>
        <v>.</v>
      </c>
      <c r="AC54" s="120">
        <f t="shared" si="365"/>
        <v>8.3060292712938133E-2</v>
      </c>
      <c r="AD54" s="60">
        <f t="shared" si="282"/>
        <v>5.2501354661758145E-3</v>
      </c>
      <c r="AE54" s="60">
        <f t="shared" ref="AE54:AN54" si="388">IFERROR(AE9/$B54,0)</f>
        <v>165.90801261280905</v>
      </c>
      <c r="AF54" s="60">
        <f t="shared" si="388"/>
        <v>0</v>
      </c>
      <c r="AG54" s="60">
        <f t="shared" si="388"/>
        <v>63135.747771986011</v>
      </c>
      <c r="AH54" s="60">
        <f t="shared" si="388"/>
        <v>26.505520580056427</v>
      </c>
      <c r="AI54" s="60">
        <f t="shared" si="388"/>
        <v>0</v>
      </c>
      <c r="AJ54" s="60">
        <f t="shared" si="388"/>
        <v>0</v>
      </c>
      <c r="AK54" s="60">
        <f t="shared" si="388"/>
        <v>16942.256349637355</v>
      </c>
      <c r="AL54" s="60">
        <f t="shared" si="388"/>
        <v>4162.6992277833497</v>
      </c>
      <c r="AM54" s="60">
        <f t="shared" si="388"/>
        <v>0</v>
      </c>
      <c r="AN54" s="60">
        <f t="shared" si="388"/>
        <v>25.082181452616247</v>
      </c>
      <c r="AO54" s="120">
        <f t="shared" si="367"/>
        <v>6.0274364345124717E-3</v>
      </c>
      <c r="AP54" s="120" t="str">
        <f t="shared" si="368"/>
        <v>.</v>
      </c>
      <c r="AQ54" s="120">
        <f t="shared" si="369"/>
        <v>1.5838887401975311E-5</v>
      </c>
      <c r="AR54" s="120">
        <f t="shared" si="370"/>
        <v>3.7727989419397819E-2</v>
      </c>
      <c r="AS54" s="120" t="str">
        <f t="shared" si="371"/>
        <v>.</v>
      </c>
      <c r="AT54" s="120" t="str">
        <f t="shared" si="372"/>
        <v>.</v>
      </c>
      <c r="AU54" s="120">
        <f t="shared" si="373"/>
        <v>5.9024015418194563E-5</v>
      </c>
      <c r="AV54" s="120">
        <f t="shared" si="374"/>
        <v>2.4022874228472738E-4</v>
      </c>
      <c r="AW54" s="120" t="str">
        <f t="shared" si="375"/>
        <v>.</v>
      </c>
      <c r="AX54" s="120">
        <f t="shared" si="376"/>
        <v>3.9868940502210307E-2</v>
      </c>
      <c r="AY54" s="60">
        <f t="shared" si="377"/>
        <v>11.913348308555916</v>
      </c>
      <c r="AZ54" s="60">
        <f>IFERROR(AZ9/$B54,0)</f>
        <v>6.2475803126291064E-2</v>
      </c>
      <c r="BA54" s="60">
        <f>IFERROR(BA9/$B54,0)</f>
        <v>3.8967684695976081</v>
      </c>
      <c r="BB54" s="60">
        <f t="shared" si="378"/>
        <v>6.1489951860895488E-2</v>
      </c>
    </row>
    <row r="55" spans="1:54" x14ac:dyDescent="0.25">
      <c r="A55" s="83" t="s">
        <v>1093</v>
      </c>
      <c r="B55" s="42">
        <v>1.9999999999999999E-7</v>
      </c>
      <c r="C55" s="60">
        <f t="shared" ref="C55:S55" si="389">IFERROR(C24/$B55,0)</f>
        <v>0</v>
      </c>
      <c r="D55" s="60">
        <f t="shared" si="389"/>
        <v>0</v>
      </c>
      <c r="E55" s="60">
        <f t="shared" si="389"/>
        <v>0</v>
      </c>
      <c r="F55" s="60">
        <f t="shared" si="389"/>
        <v>0</v>
      </c>
      <c r="G55" s="60">
        <f t="shared" si="389"/>
        <v>0</v>
      </c>
      <c r="H55" s="60">
        <f t="shared" si="389"/>
        <v>0</v>
      </c>
      <c r="I55" s="60">
        <f t="shared" si="389"/>
        <v>0</v>
      </c>
      <c r="J55" s="60">
        <f t="shared" si="389"/>
        <v>0</v>
      </c>
      <c r="K55" s="60">
        <f t="shared" si="389"/>
        <v>0</v>
      </c>
      <c r="L55" s="60">
        <f t="shared" si="389"/>
        <v>57134724.478504889</v>
      </c>
      <c r="M55" s="60">
        <f t="shared" si="389"/>
        <v>0</v>
      </c>
      <c r="N55" s="60">
        <f t="shared" si="389"/>
        <v>0</v>
      </c>
      <c r="O55" s="60">
        <f t="shared" si="389"/>
        <v>0</v>
      </c>
      <c r="P55" s="60">
        <f t="shared" si="389"/>
        <v>0</v>
      </c>
      <c r="Q55" s="60">
        <f t="shared" si="389"/>
        <v>0</v>
      </c>
      <c r="R55" s="60">
        <f t="shared" si="389"/>
        <v>0</v>
      </c>
      <c r="S55" s="60">
        <f t="shared" si="389"/>
        <v>0</v>
      </c>
      <c r="T55" s="120" t="str">
        <f t="shared" si="356"/>
        <v>.</v>
      </c>
      <c r="U55" s="120" t="str">
        <f t="shared" si="357"/>
        <v>.</v>
      </c>
      <c r="V55" s="120">
        <f t="shared" si="358"/>
        <v>1.7502490982978626E-8</v>
      </c>
      <c r="W55" s="120" t="str">
        <f t="shared" si="359"/>
        <v>.</v>
      </c>
      <c r="X55" s="120" t="str">
        <f t="shared" si="360"/>
        <v>.</v>
      </c>
      <c r="Y55" s="120" t="str">
        <f t="shared" si="361"/>
        <v>.</v>
      </c>
      <c r="Z55" s="120" t="str">
        <f t="shared" si="362"/>
        <v>.</v>
      </c>
      <c r="AA55" s="120" t="str">
        <f t="shared" si="363"/>
        <v>.</v>
      </c>
      <c r="AB55" s="120" t="str">
        <f t="shared" si="364"/>
        <v>.</v>
      </c>
      <c r="AC55" s="120" t="str">
        <f t="shared" si="365"/>
        <v>.</v>
      </c>
      <c r="AD55" s="60">
        <f t="shared" si="282"/>
        <v>57134724.478504889</v>
      </c>
      <c r="AE55" s="60">
        <f t="shared" ref="AE55:AN55" si="390">IFERROR(AE24/$B55,0)</f>
        <v>0</v>
      </c>
      <c r="AF55" s="60">
        <f t="shared" si="390"/>
        <v>0</v>
      </c>
      <c r="AG55" s="60">
        <f t="shared" si="390"/>
        <v>660103807585136.75</v>
      </c>
      <c r="AH55" s="60">
        <f t="shared" si="390"/>
        <v>0</v>
      </c>
      <c r="AI55" s="60">
        <f t="shared" si="390"/>
        <v>0</v>
      </c>
      <c r="AJ55" s="60">
        <f t="shared" si="390"/>
        <v>0</v>
      </c>
      <c r="AK55" s="60">
        <f t="shared" si="390"/>
        <v>0</v>
      </c>
      <c r="AL55" s="60">
        <f t="shared" si="390"/>
        <v>0</v>
      </c>
      <c r="AM55" s="60">
        <f t="shared" si="390"/>
        <v>0</v>
      </c>
      <c r="AN55" s="60">
        <f t="shared" si="390"/>
        <v>0</v>
      </c>
      <c r="AO55" s="120" t="str">
        <f t="shared" si="367"/>
        <v>.</v>
      </c>
      <c r="AP55" s="120" t="str">
        <f t="shared" si="368"/>
        <v>.</v>
      </c>
      <c r="AQ55" s="120">
        <f t="shared" si="369"/>
        <v>1.5149132432038353E-15</v>
      </c>
      <c r="AR55" s="120" t="str">
        <f t="shared" si="370"/>
        <v>.</v>
      </c>
      <c r="AS55" s="120" t="str">
        <f t="shared" si="371"/>
        <v>.</v>
      </c>
      <c r="AT55" s="120" t="str">
        <f t="shared" si="372"/>
        <v>.</v>
      </c>
      <c r="AU55" s="120" t="str">
        <f t="shared" si="373"/>
        <v>.</v>
      </c>
      <c r="AV55" s="120" t="str">
        <f t="shared" si="374"/>
        <v>.</v>
      </c>
      <c r="AW55" s="120" t="str">
        <f t="shared" si="375"/>
        <v>.</v>
      </c>
      <c r="AX55" s="120" t="str">
        <f t="shared" si="376"/>
        <v>.</v>
      </c>
      <c r="AY55" s="60">
        <f t="shared" si="377"/>
        <v>660103807585136.75</v>
      </c>
      <c r="AZ55" s="60">
        <f>IFERROR(AZ24/$B55,0)</f>
        <v>0</v>
      </c>
      <c r="BA55" s="60">
        <f>IFERROR(BA24/$B55,0)</f>
        <v>40894649936.076225</v>
      </c>
      <c r="BB55" s="60">
        <f t="shared" si="378"/>
        <v>40894649936.076225</v>
      </c>
    </row>
    <row r="56" spans="1:54" x14ac:dyDescent="0.25">
      <c r="A56" s="83" t="s">
        <v>1094</v>
      </c>
      <c r="B56" s="42">
        <v>0.99979000004200003</v>
      </c>
      <c r="C56" s="60">
        <f t="shared" ref="C56:S56" si="391">IFERROR(C20/$B56,0)</f>
        <v>0</v>
      </c>
      <c r="D56" s="60">
        <f t="shared" si="391"/>
        <v>0</v>
      </c>
      <c r="E56" s="60">
        <f t="shared" si="391"/>
        <v>0</v>
      </c>
      <c r="F56" s="60">
        <f t="shared" si="391"/>
        <v>0</v>
      </c>
      <c r="G56" s="60">
        <f t="shared" si="391"/>
        <v>0</v>
      </c>
      <c r="H56" s="60">
        <f t="shared" si="391"/>
        <v>0</v>
      </c>
      <c r="I56" s="60">
        <f t="shared" si="391"/>
        <v>0</v>
      </c>
      <c r="J56" s="60">
        <f t="shared" si="391"/>
        <v>0</v>
      </c>
      <c r="K56" s="60">
        <f t="shared" si="391"/>
        <v>0</v>
      </c>
      <c r="L56" s="60">
        <f t="shared" si="391"/>
        <v>100.4396989917602</v>
      </c>
      <c r="M56" s="60">
        <f t="shared" si="391"/>
        <v>0</v>
      </c>
      <c r="N56" s="60">
        <f t="shared" si="391"/>
        <v>0</v>
      </c>
      <c r="O56" s="60">
        <f t="shared" si="391"/>
        <v>0</v>
      </c>
      <c r="P56" s="60">
        <f t="shared" si="391"/>
        <v>0</v>
      </c>
      <c r="Q56" s="60">
        <f t="shared" si="391"/>
        <v>0</v>
      </c>
      <c r="R56" s="60">
        <f t="shared" si="391"/>
        <v>0</v>
      </c>
      <c r="S56" s="60">
        <f t="shared" si="391"/>
        <v>0</v>
      </c>
      <c r="T56" s="120" t="str">
        <f t="shared" si="356"/>
        <v>.</v>
      </c>
      <c r="U56" s="120" t="str">
        <f t="shared" si="357"/>
        <v>.</v>
      </c>
      <c r="V56" s="120">
        <f t="shared" si="358"/>
        <v>9.9562225896558821E-3</v>
      </c>
      <c r="W56" s="120" t="str">
        <f t="shared" si="359"/>
        <v>.</v>
      </c>
      <c r="X56" s="120" t="str">
        <f t="shared" si="360"/>
        <v>.</v>
      </c>
      <c r="Y56" s="120" t="str">
        <f t="shared" si="361"/>
        <v>.</v>
      </c>
      <c r="Z56" s="120" t="str">
        <f t="shared" si="362"/>
        <v>.</v>
      </c>
      <c r="AA56" s="120" t="str">
        <f t="shared" si="363"/>
        <v>.</v>
      </c>
      <c r="AB56" s="120" t="str">
        <f t="shared" si="364"/>
        <v>.</v>
      </c>
      <c r="AC56" s="120" t="str">
        <f t="shared" si="365"/>
        <v>.</v>
      </c>
      <c r="AD56" s="60">
        <f t="shared" si="282"/>
        <v>100.4396989917602</v>
      </c>
      <c r="AE56" s="60">
        <f t="shared" ref="AE56:AN56" si="392">IFERROR(AE20/$B56,0)</f>
        <v>0</v>
      </c>
      <c r="AF56" s="60">
        <f t="shared" si="392"/>
        <v>0</v>
      </c>
      <c r="AG56" s="60">
        <f t="shared" si="392"/>
        <v>1181067203.242521</v>
      </c>
      <c r="AH56" s="60">
        <f t="shared" si="392"/>
        <v>0</v>
      </c>
      <c r="AI56" s="60">
        <f t="shared" si="392"/>
        <v>0</v>
      </c>
      <c r="AJ56" s="60">
        <f t="shared" si="392"/>
        <v>0</v>
      </c>
      <c r="AK56" s="60">
        <f t="shared" si="392"/>
        <v>0</v>
      </c>
      <c r="AL56" s="60">
        <f t="shared" si="392"/>
        <v>0</v>
      </c>
      <c r="AM56" s="60">
        <f t="shared" si="392"/>
        <v>0</v>
      </c>
      <c r="AN56" s="60">
        <f t="shared" si="392"/>
        <v>0</v>
      </c>
      <c r="AO56" s="120" t="str">
        <f t="shared" si="367"/>
        <v>.</v>
      </c>
      <c r="AP56" s="120" t="str">
        <f t="shared" si="368"/>
        <v>.</v>
      </c>
      <c r="AQ56" s="120">
        <f t="shared" si="369"/>
        <v>8.4669187092367294E-10</v>
      </c>
      <c r="AR56" s="120" t="str">
        <f t="shared" si="370"/>
        <v>.</v>
      </c>
      <c r="AS56" s="120" t="str">
        <f t="shared" si="371"/>
        <v>.</v>
      </c>
      <c r="AT56" s="120" t="str">
        <f t="shared" si="372"/>
        <v>.</v>
      </c>
      <c r="AU56" s="120" t="str">
        <f t="shared" si="373"/>
        <v>.</v>
      </c>
      <c r="AV56" s="120" t="str">
        <f t="shared" si="374"/>
        <v>.</v>
      </c>
      <c r="AW56" s="120" t="str">
        <f t="shared" si="375"/>
        <v>.</v>
      </c>
      <c r="AX56" s="120" t="str">
        <f t="shared" si="376"/>
        <v>.</v>
      </c>
      <c r="AY56" s="60">
        <f t="shared" si="377"/>
        <v>1181067203.242521</v>
      </c>
      <c r="AZ56" s="60">
        <f>IFERROR(AZ20/$B56,0)</f>
        <v>0</v>
      </c>
      <c r="BA56" s="60">
        <f>IFERROR(BA20/$B56,0)</f>
        <v>72984.211861483142</v>
      </c>
      <c r="BB56" s="60">
        <f t="shared" si="378"/>
        <v>72984.211861483142</v>
      </c>
    </row>
    <row r="57" spans="1:54" x14ac:dyDescent="0.25">
      <c r="A57" s="83" t="s">
        <v>1095</v>
      </c>
      <c r="B57" s="42">
        <v>2.0999995799999999E-4</v>
      </c>
      <c r="C57" s="60">
        <f t="shared" ref="C57:S57" si="393">IFERROR(C29/$B57,0)</f>
        <v>0</v>
      </c>
      <c r="D57" s="60">
        <f t="shared" si="393"/>
        <v>0</v>
      </c>
      <c r="E57" s="60">
        <f t="shared" si="393"/>
        <v>0</v>
      </c>
      <c r="F57" s="60">
        <f t="shared" si="393"/>
        <v>0</v>
      </c>
      <c r="G57" s="60">
        <f t="shared" si="393"/>
        <v>0</v>
      </c>
      <c r="H57" s="60">
        <f t="shared" si="393"/>
        <v>0</v>
      </c>
      <c r="I57" s="60">
        <f t="shared" si="393"/>
        <v>0</v>
      </c>
      <c r="J57" s="60">
        <f t="shared" si="393"/>
        <v>0</v>
      </c>
      <c r="K57" s="60">
        <f t="shared" si="393"/>
        <v>0</v>
      </c>
      <c r="L57" s="60">
        <f t="shared" si="393"/>
        <v>13.721799927603394</v>
      </c>
      <c r="M57" s="60">
        <f t="shared" si="393"/>
        <v>0</v>
      </c>
      <c r="N57" s="60">
        <f t="shared" si="393"/>
        <v>0</v>
      </c>
      <c r="O57" s="60">
        <f t="shared" si="393"/>
        <v>0</v>
      </c>
      <c r="P57" s="60">
        <f t="shared" si="393"/>
        <v>0</v>
      </c>
      <c r="Q57" s="60">
        <f t="shared" si="393"/>
        <v>0</v>
      </c>
      <c r="R57" s="60">
        <f t="shared" si="393"/>
        <v>0</v>
      </c>
      <c r="S57" s="60">
        <f t="shared" si="393"/>
        <v>0</v>
      </c>
      <c r="T57" s="120" t="str">
        <f t="shared" si="356"/>
        <v>.</v>
      </c>
      <c r="U57" s="120" t="str">
        <f t="shared" si="357"/>
        <v>.</v>
      </c>
      <c r="V57" s="120">
        <f t="shared" si="358"/>
        <v>7.2876736672741804E-2</v>
      </c>
      <c r="W57" s="120" t="str">
        <f t="shared" si="359"/>
        <v>.</v>
      </c>
      <c r="X57" s="120" t="str">
        <f t="shared" si="360"/>
        <v>.</v>
      </c>
      <c r="Y57" s="120" t="str">
        <f t="shared" si="361"/>
        <v>.</v>
      </c>
      <c r="Z57" s="120" t="str">
        <f t="shared" si="362"/>
        <v>.</v>
      </c>
      <c r="AA57" s="120" t="str">
        <f t="shared" si="363"/>
        <v>.</v>
      </c>
      <c r="AB57" s="120" t="str">
        <f t="shared" si="364"/>
        <v>.</v>
      </c>
      <c r="AC57" s="120" t="str">
        <f t="shared" si="365"/>
        <v>.</v>
      </c>
      <c r="AD57" s="60">
        <f t="shared" si="282"/>
        <v>13.721799927603392</v>
      </c>
      <c r="AE57" s="60">
        <f t="shared" ref="AE57:AN57" si="394">IFERROR(AE29/$B57,0)</f>
        <v>0</v>
      </c>
      <c r="AF57" s="60">
        <f t="shared" si="394"/>
        <v>0</v>
      </c>
      <c r="AG57" s="60">
        <f t="shared" si="394"/>
        <v>162087634.03159973</v>
      </c>
      <c r="AH57" s="60">
        <f t="shared" si="394"/>
        <v>0</v>
      </c>
      <c r="AI57" s="60">
        <f t="shared" si="394"/>
        <v>0</v>
      </c>
      <c r="AJ57" s="60">
        <f t="shared" si="394"/>
        <v>0</v>
      </c>
      <c r="AK57" s="60">
        <f t="shared" si="394"/>
        <v>0</v>
      </c>
      <c r="AL57" s="60">
        <f t="shared" si="394"/>
        <v>0</v>
      </c>
      <c r="AM57" s="60">
        <f t="shared" si="394"/>
        <v>0</v>
      </c>
      <c r="AN57" s="60">
        <f t="shared" si="394"/>
        <v>0</v>
      </c>
      <c r="AO57" s="120" t="str">
        <f t="shared" si="367"/>
        <v>.</v>
      </c>
      <c r="AP57" s="120" t="str">
        <f t="shared" si="368"/>
        <v>.</v>
      </c>
      <c r="AQ57" s="120">
        <f t="shared" si="369"/>
        <v>6.1695021089952203E-9</v>
      </c>
      <c r="AR57" s="120" t="str">
        <f t="shared" si="370"/>
        <v>.</v>
      </c>
      <c r="AS57" s="120" t="str">
        <f t="shared" si="371"/>
        <v>.</v>
      </c>
      <c r="AT57" s="120" t="str">
        <f t="shared" si="372"/>
        <v>.</v>
      </c>
      <c r="AU57" s="120" t="str">
        <f t="shared" si="373"/>
        <v>.</v>
      </c>
      <c r="AV57" s="120" t="str">
        <f t="shared" si="374"/>
        <v>.</v>
      </c>
      <c r="AW57" s="120" t="str">
        <f t="shared" si="375"/>
        <v>.</v>
      </c>
      <c r="AX57" s="120" t="str">
        <f t="shared" si="376"/>
        <v>.</v>
      </c>
      <c r="AY57" s="60">
        <f t="shared" si="377"/>
        <v>162087634.03159973</v>
      </c>
      <c r="AZ57" s="60">
        <f>IFERROR(AZ29/$B57,0)</f>
        <v>0</v>
      </c>
      <c r="BA57" s="60">
        <f>IFERROR(BA29/$B57,0)</f>
        <v>10030.765198020792</v>
      </c>
      <c r="BB57" s="60">
        <f t="shared" si="378"/>
        <v>10030.765198020792</v>
      </c>
    </row>
    <row r="58" spans="1:54" x14ac:dyDescent="0.25">
      <c r="A58" s="83" t="s">
        <v>1096</v>
      </c>
      <c r="B58" s="42">
        <v>1</v>
      </c>
      <c r="C58" s="60">
        <f t="shared" ref="C58:S58" si="395">IFERROR(C16/$B58,0)</f>
        <v>4.3302417625098843E-5</v>
      </c>
      <c r="D58" s="60">
        <f t="shared" si="395"/>
        <v>6.1741782738285471E-4</v>
      </c>
      <c r="E58" s="60">
        <f t="shared" si="395"/>
        <v>1.0955085784971432E-3</v>
      </c>
      <c r="F58" s="60">
        <f t="shared" si="395"/>
        <v>4.0491984577234745E-4</v>
      </c>
      <c r="G58" s="60">
        <f t="shared" si="395"/>
        <v>8.3833497265629385E-5</v>
      </c>
      <c r="H58" s="60">
        <f t="shared" si="395"/>
        <v>7.2547332549497128E-4</v>
      </c>
      <c r="I58" s="60">
        <f t="shared" si="395"/>
        <v>8.4829813701608613E-5</v>
      </c>
      <c r="J58" s="60">
        <f t="shared" si="395"/>
        <v>0.36178821786018189</v>
      </c>
      <c r="K58" s="60">
        <f t="shared" si="395"/>
        <v>330.6516890904162</v>
      </c>
      <c r="L58" s="60">
        <f t="shared" si="395"/>
        <v>26.093023777584907</v>
      </c>
      <c r="M58" s="60">
        <f t="shared" si="395"/>
        <v>2.4783998397942325E-3</v>
      </c>
      <c r="N58" s="60">
        <f t="shared" si="395"/>
        <v>0</v>
      </c>
      <c r="O58" s="60">
        <f t="shared" si="395"/>
        <v>0</v>
      </c>
      <c r="P58" s="60">
        <f t="shared" si="395"/>
        <v>0.16107101344487576</v>
      </c>
      <c r="Q58" s="60">
        <f t="shared" si="395"/>
        <v>7.9290340383769711E-2</v>
      </c>
      <c r="R58" s="60">
        <f t="shared" si="395"/>
        <v>0</v>
      </c>
      <c r="S58" s="60">
        <f t="shared" si="395"/>
        <v>5.0897888220965168E-4</v>
      </c>
      <c r="T58" s="120">
        <f t="shared" si="356"/>
        <v>2.7640479999999998</v>
      </c>
      <c r="U58" s="120">
        <f t="shared" si="357"/>
        <v>3.0243305357092898E-3</v>
      </c>
      <c r="V58" s="120">
        <f t="shared" si="358"/>
        <v>3.832441991100493E-2</v>
      </c>
      <c r="W58" s="120">
        <f t="shared" si="359"/>
        <v>403.48614615913806</v>
      </c>
      <c r="X58" s="120" t="str">
        <f t="shared" si="360"/>
        <v>.</v>
      </c>
      <c r="Y58" s="120" t="str">
        <f t="shared" si="361"/>
        <v>.</v>
      </c>
      <c r="Z58" s="120">
        <f t="shared" si="362"/>
        <v>6.2084417215282226</v>
      </c>
      <c r="AA58" s="120">
        <f t="shared" si="363"/>
        <v>12.611876745136213</v>
      </c>
      <c r="AB58" s="120" t="str">
        <f t="shared" si="364"/>
        <v>.</v>
      </c>
      <c r="AC58" s="120">
        <f t="shared" si="365"/>
        <v>1964.7180560000004</v>
      </c>
      <c r="AD58" s="60">
        <f t="shared" si="282"/>
        <v>4.1843981980855003E-4</v>
      </c>
      <c r="AE58" s="60">
        <f t="shared" ref="AE58:AN58" si="396">IFERROR(AE16/$B58,0)</f>
        <v>3.6027716035479572E-2</v>
      </c>
      <c r="AF58" s="60">
        <f t="shared" si="396"/>
        <v>0</v>
      </c>
      <c r="AG58" s="60">
        <f t="shared" si="396"/>
        <v>100627649.84524062</v>
      </c>
      <c r="AH58" s="60">
        <f t="shared" si="396"/>
        <v>1.014886733469204E-2</v>
      </c>
      <c r="AI58" s="60">
        <f t="shared" si="396"/>
        <v>0</v>
      </c>
      <c r="AJ58" s="60">
        <f t="shared" si="396"/>
        <v>0</v>
      </c>
      <c r="AK58" s="60">
        <f t="shared" si="396"/>
        <v>10.914281557206131</v>
      </c>
      <c r="AL58" s="60">
        <f t="shared" si="396"/>
        <v>4.9398456626772465</v>
      </c>
      <c r="AM58" s="60">
        <f t="shared" si="396"/>
        <v>0</v>
      </c>
      <c r="AN58" s="60">
        <f t="shared" si="396"/>
        <v>3.3931925480643445E-3</v>
      </c>
      <c r="AO58" s="120">
        <f t="shared" si="367"/>
        <v>27.756408400000002</v>
      </c>
      <c r="AP58" s="120" t="str">
        <f t="shared" si="368"/>
        <v>.</v>
      </c>
      <c r="AQ58" s="120">
        <f t="shared" si="369"/>
        <v>9.9376265026356169E-9</v>
      </c>
      <c r="AR58" s="120">
        <f t="shared" si="370"/>
        <v>98.533163063594642</v>
      </c>
      <c r="AS58" s="120" t="str">
        <f t="shared" si="371"/>
        <v>.</v>
      </c>
      <c r="AT58" s="120" t="str">
        <f t="shared" si="372"/>
        <v>.</v>
      </c>
      <c r="AU58" s="120">
        <f t="shared" si="373"/>
        <v>9.1623071547000015E-2</v>
      </c>
      <c r="AV58" s="120">
        <f t="shared" si="374"/>
        <v>0.20243547436217477</v>
      </c>
      <c r="AW58" s="120" t="str">
        <f t="shared" si="375"/>
        <v>.</v>
      </c>
      <c r="AX58" s="120">
        <f t="shared" si="376"/>
        <v>294.70770840000006</v>
      </c>
      <c r="AY58" s="60">
        <f t="shared" si="377"/>
        <v>2.3736543071398038E-3</v>
      </c>
      <c r="AZ58" s="60">
        <f>IFERROR(AZ16/$B58,0)</f>
        <v>2.432434864867297E-4</v>
      </c>
      <c r="BA58" s="60">
        <f>IFERROR(BA16/$B58,0)</f>
        <v>6625.6613843019659</v>
      </c>
      <c r="BB58" s="60">
        <f t="shared" si="378"/>
        <v>2.4324347755669417E-4</v>
      </c>
    </row>
    <row r="59" spans="1:54" x14ac:dyDescent="0.25">
      <c r="A59" s="83" t="s">
        <v>1097</v>
      </c>
      <c r="B59" s="42">
        <v>1</v>
      </c>
      <c r="C59" s="60">
        <f t="shared" ref="C59:S59" si="397">IFERROR(C7/$B59,0)</f>
        <v>3.9119797740856345E-3</v>
      </c>
      <c r="D59" s="60">
        <f t="shared" si="397"/>
        <v>5.5778087814701088E-2</v>
      </c>
      <c r="E59" s="60">
        <f t="shared" si="397"/>
        <v>9.8969240898321473E-2</v>
      </c>
      <c r="F59" s="60">
        <f t="shared" si="397"/>
        <v>3.6580826976024577E-2</v>
      </c>
      <c r="G59" s="60">
        <f t="shared" si="397"/>
        <v>7.5735943552472009E-3</v>
      </c>
      <c r="H59" s="60">
        <f t="shared" si="397"/>
        <v>6.5539919746420705E-2</v>
      </c>
      <c r="I59" s="60">
        <f t="shared" si="397"/>
        <v>7.6636024878157802E-3</v>
      </c>
      <c r="J59" s="60">
        <f t="shared" si="397"/>
        <v>25.865906484919016</v>
      </c>
      <c r="K59" s="60">
        <f t="shared" si="397"/>
        <v>11532.485741446224</v>
      </c>
      <c r="L59" s="60">
        <f t="shared" si="397"/>
        <v>13.982337636089804</v>
      </c>
      <c r="M59" s="60">
        <f t="shared" si="397"/>
        <v>3.8805502292777211E-2</v>
      </c>
      <c r="N59" s="60">
        <f t="shared" si="397"/>
        <v>0</v>
      </c>
      <c r="O59" s="60">
        <f t="shared" si="397"/>
        <v>0</v>
      </c>
      <c r="P59" s="60">
        <f t="shared" si="397"/>
        <v>1.9609127298860667</v>
      </c>
      <c r="Q59" s="60">
        <f t="shared" si="397"/>
        <v>0.49925133989789539</v>
      </c>
      <c r="R59" s="60">
        <f t="shared" si="397"/>
        <v>0</v>
      </c>
      <c r="S59" s="60">
        <f t="shared" si="397"/>
        <v>0.24523527961010497</v>
      </c>
      <c r="T59" s="120">
        <f t="shared" si="356"/>
        <v>3.8660929999999996E-2</v>
      </c>
      <c r="U59" s="120">
        <f t="shared" si="357"/>
        <v>8.6711574800056555E-5</v>
      </c>
      <c r="V59" s="120">
        <f t="shared" si="358"/>
        <v>7.151879936148163E-2</v>
      </c>
      <c r="W59" s="120">
        <f t="shared" si="359"/>
        <v>25.769541454592328</v>
      </c>
      <c r="X59" s="120" t="str">
        <f t="shared" si="360"/>
        <v>.</v>
      </c>
      <c r="Y59" s="120" t="str">
        <f t="shared" si="361"/>
        <v>.</v>
      </c>
      <c r="Z59" s="120">
        <f t="shared" si="362"/>
        <v>0.50996660114400005</v>
      </c>
      <c r="AA59" s="120">
        <f t="shared" si="363"/>
        <v>2.0029991310679618</v>
      </c>
      <c r="AB59" s="120" t="str">
        <f t="shared" si="364"/>
        <v>.</v>
      </c>
      <c r="AC59" s="120">
        <f t="shared" si="365"/>
        <v>4.0777167199999997</v>
      </c>
      <c r="AD59" s="60">
        <f t="shared" si="282"/>
        <v>3.0797194292126975E-2</v>
      </c>
      <c r="AE59" s="60">
        <f t="shared" ref="AE59:AN59" si="398">IFERROR(AE7/$B59,0)</f>
        <v>3.5728730840164387</v>
      </c>
      <c r="AF59" s="60">
        <f t="shared" si="398"/>
        <v>0</v>
      </c>
      <c r="AG59" s="60">
        <f t="shared" si="398"/>
        <v>116848226.23820479</v>
      </c>
      <c r="AH59" s="60">
        <f t="shared" si="398"/>
        <v>0.53989927429002305</v>
      </c>
      <c r="AI59" s="60">
        <f t="shared" si="398"/>
        <v>0</v>
      </c>
      <c r="AJ59" s="60">
        <f t="shared" si="398"/>
        <v>0</v>
      </c>
      <c r="AK59" s="60">
        <f t="shared" si="398"/>
        <v>345.10214128325072</v>
      </c>
      <c r="AL59" s="60">
        <f t="shared" si="398"/>
        <v>84.791328107658885</v>
      </c>
      <c r="AM59" s="60">
        <f t="shared" si="398"/>
        <v>0</v>
      </c>
      <c r="AN59" s="60">
        <f t="shared" si="398"/>
        <v>0.51090683252105207</v>
      </c>
      <c r="AO59" s="120">
        <f t="shared" si="367"/>
        <v>0.27988679600000005</v>
      </c>
      <c r="AP59" s="120" t="str">
        <f t="shared" si="368"/>
        <v>.</v>
      </c>
      <c r="AQ59" s="120">
        <f t="shared" si="369"/>
        <v>8.558110227205479E-9</v>
      </c>
      <c r="AR59" s="120">
        <f t="shared" si="370"/>
        <v>1.8521973405410064</v>
      </c>
      <c r="AS59" s="120" t="str">
        <f t="shared" si="371"/>
        <v>.</v>
      </c>
      <c r="AT59" s="120" t="str">
        <f t="shared" si="372"/>
        <v>.</v>
      </c>
      <c r="AU59" s="120">
        <f t="shared" si="373"/>
        <v>2.8976928287999999E-3</v>
      </c>
      <c r="AV59" s="120">
        <f t="shared" si="374"/>
        <v>1.1793658883728155E-2</v>
      </c>
      <c r="AW59" s="120" t="str">
        <f t="shared" si="375"/>
        <v>.</v>
      </c>
      <c r="AX59" s="120">
        <f t="shared" si="376"/>
        <v>1.9573040255999996</v>
      </c>
      <c r="AY59" s="60">
        <f t="shared" si="377"/>
        <v>0.24365999599646618</v>
      </c>
      <c r="AZ59" s="60">
        <f>IFERROR(AZ7/$B59,0)</f>
        <v>8.4838581872200853E-3</v>
      </c>
      <c r="BA59" s="60">
        <f>IFERROR(BA7/$B59,0)</f>
        <v>4929.0240320303792</v>
      </c>
      <c r="BB59" s="60">
        <f t="shared" si="378"/>
        <v>8.483843584790601E-3</v>
      </c>
    </row>
    <row r="60" spans="1:54" x14ac:dyDescent="0.25">
      <c r="A60" s="83" t="s">
        <v>1098</v>
      </c>
      <c r="B60" s="86">
        <v>1.9000000000000001E-8</v>
      </c>
      <c r="C60" s="60">
        <f t="shared" ref="C60:S60" si="399">IFERROR(C12/$B60,0)</f>
        <v>0</v>
      </c>
      <c r="D60" s="60">
        <f t="shared" si="399"/>
        <v>0</v>
      </c>
      <c r="E60" s="60">
        <f t="shared" si="399"/>
        <v>0</v>
      </c>
      <c r="F60" s="60">
        <f t="shared" si="399"/>
        <v>0</v>
      </c>
      <c r="G60" s="60">
        <f t="shared" si="399"/>
        <v>0</v>
      </c>
      <c r="H60" s="60">
        <f t="shared" si="399"/>
        <v>0</v>
      </c>
      <c r="I60" s="60">
        <f t="shared" si="399"/>
        <v>0</v>
      </c>
      <c r="J60" s="60">
        <f t="shared" si="399"/>
        <v>0</v>
      </c>
      <c r="K60" s="60">
        <f t="shared" si="399"/>
        <v>0</v>
      </c>
      <c r="L60" s="60">
        <f t="shared" si="399"/>
        <v>4212832.4685396431</v>
      </c>
      <c r="M60" s="60">
        <f t="shared" si="399"/>
        <v>0</v>
      </c>
      <c r="N60" s="60">
        <f t="shared" si="399"/>
        <v>0</v>
      </c>
      <c r="O60" s="60">
        <f t="shared" si="399"/>
        <v>0</v>
      </c>
      <c r="P60" s="60">
        <f t="shared" si="399"/>
        <v>0</v>
      </c>
      <c r="Q60" s="60">
        <f t="shared" si="399"/>
        <v>0</v>
      </c>
      <c r="R60" s="60">
        <f t="shared" si="399"/>
        <v>0</v>
      </c>
      <c r="S60" s="60">
        <f t="shared" si="399"/>
        <v>0</v>
      </c>
      <c r="T60" s="120" t="str">
        <f t="shared" si="356"/>
        <v>.</v>
      </c>
      <c r="U60" s="120" t="str">
        <f t="shared" si="357"/>
        <v>.</v>
      </c>
      <c r="V60" s="120">
        <f t="shared" si="358"/>
        <v>2.373699897794998E-7</v>
      </c>
      <c r="W60" s="120" t="str">
        <f t="shared" si="359"/>
        <v>.</v>
      </c>
      <c r="X60" s="120" t="str">
        <f t="shared" si="360"/>
        <v>.</v>
      </c>
      <c r="Y60" s="120" t="str">
        <f t="shared" si="361"/>
        <v>.</v>
      </c>
      <c r="Z60" s="120" t="str">
        <f t="shared" si="362"/>
        <v>.</v>
      </c>
      <c r="AA60" s="120" t="str">
        <f t="shared" si="363"/>
        <v>.</v>
      </c>
      <c r="AB60" s="120" t="str">
        <f t="shared" si="364"/>
        <v>.</v>
      </c>
      <c r="AC60" s="120" t="str">
        <f t="shared" si="365"/>
        <v>.</v>
      </c>
      <c r="AD60" s="60">
        <f t="shared" si="282"/>
        <v>4212832.4685396431</v>
      </c>
      <c r="AE60" s="60">
        <f t="shared" ref="AE60:AN60" si="400">IFERROR(AE12/$B60,0)</f>
        <v>0</v>
      </c>
      <c r="AF60" s="60">
        <f t="shared" si="400"/>
        <v>0</v>
      </c>
      <c r="AG60" s="60">
        <f t="shared" si="400"/>
        <v>44545269746570.242</v>
      </c>
      <c r="AH60" s="60">
        <f t="shared" si="400"/>
        <v>0</v>
      </c>
      <c r="AI60" s="60">
        <f t="shared" si="400"/>
        <v>0</v>
      </c>
      <c r="AJ60" s="60">
        <f t="shared" si="400"/>
        <v>0</v>
      </c>
      <c r="AK60" s="60">
        <f t="shared" si="400"/>
        <v>0</v>
      </c>
      <c r="AL60" s="60">
        <f t="shared" si="400"/>
        <v>0</v>
      </c>
      <c r="AM60" s="60">
        <f t="shared" si="400"/>
        <v>0</v>
      </c>
      <c r="AN60" s="60">
        <f t="shared" si="400"/>
        <v>0</v>
      </c>
      <c r="AO60" s="120" t="str">
        <f t="shared" si="367"/>
        <v>.</v>
      </c>
      <c r="AP60" s="120" t="str">
        <f t="shared" si="368"/>
        <v>.</v>
      </c>
      <c r="AQ60" s="120">
        <f t="shared" si="369"/>
        <v>2.2449072722856167E-14</v>
      </c>
      <c r="AR60" s="120" t="str">
        <f t="shared" si="370"/>
        <v>.</v>
      </c>
      <c r="AS60" s="120" t="str">
        <f t="shared" si="371"/>
        <v>.</v>
      </c>
      <c r="AT60" s="120" t="str">
        <f t="shared" si="372"/>
        <v>.</v>
      </c>
      <c r="AU60" s="120" t="str">
        <f t="shared" si="373"/>
        <v>.</v>
      </c>
      <c r="AV60" s="120" t="str">
        <f t="shared" si="374"/>
        <v>.</v>
      </c>
      <c r="AW60" s="120" t="str">
        <f t="shared" si="375"/>
        <v>.</v>
      </c>
      <c r="AX60" s="120" t="str">
        <f t="shared" si="376"/>
        <v>.</v>
      </c>
      <c r="AY60" s="60">
        <f t="shared" si="377"/>
        <v>44545269746570.242</v>
      </c>
      <c r="AZ60" s="60">
        <f>IFERROR(AZ12/$B60,0)</f>
        <v>0</v>
      </c>
      <c r="BA60" s="60">
        <f>IFERROR(BA12/$B60,0)</f>
        <v>2765136701.5600767</v>
      </c>
      <c r="BB60" s="60">
        <f t="shared" si="378"/>
        <v>2765136701.5600767</v>
      </c>
    </row>
    <row r="61" spans="1:54" x14ac:dyDescent="0.25">
      <c r="A61" s="83" t="s">
        <v>1099</v>
      </c>
      <c r="B61" s="42">
        <v>1</v>
      </c>
      <c r="C61" s="60">
        <f t="shared" ref="C61:S61" si="401">IFERROR(C18/$B61,0)</f>
        <v>2.2611114621972793E-5</v>
      </c>
      <c r="D61" s="60">
        <f t="shared" si="401"/>
        <v>3.2239551577626898E-4</v>
      </c>
      <c r="E61" s="60">
        <f t="shared" si="401"/>
        <v>5.7203896217092212E-4</v>
      </c>
      <c r="F61" s="60">
        <f t="shared" si="401"/>
        <v>2.1143597858063465E-4</v>
      </c>
      <c r="G61" s="60">
        <f t="shared" si="401"/>
        <v>4.3775126651018307E-5</v>
      </c>
      <c r="H61" s="60">
        <f t="shared" si="401"/>
        <v>3.7881858375599483E-4</v>
      </c>
      <c r="I61" s="60">
        <f t="shared" si="401"/>
        <v>4.4295370701332581E-5</v>
      </c>
      <c r="J61" s="60">
        <f t="shared" si="401"/>
        <v>0.1896833142227394</v>
      </c>
      <c r="K61" s="60">
        <f t="shared" si="401"/>
        <v>361.86115974435853</v>
      </c>
      <c r="L61" s="60">
        <f t="shared" si="401"/>
        <v>858.50104138686095</v>
      </c>
      <c r="M61" s="60">
        <f t="shared" si="401"/>
        <v>1.033969984015151E-2</v>
      </c>
      <c r="N61" s="60">
        <f t="shared" si="401"/>
        <v>1.8642862185569407E-3</v>
      </c>
      <c r="O61" s="60">
        <f t="shared" si="401"/>
        <v>2.5609361728370205E-3</v>
      </c>
      <c r="P61" s="60">
        <f t="shared" si="401"/>
        <v>1.2272287253148269E-2</v>
      </c>
      <c r="Q61" s="60">
        <f t="shared" si="401"/>
        <v>3.917574235923843E-2</v>
      </c>
      <c r="R61" s="60">
        <f t="shared" si="401"/>
        <v>0</v>
      </c>
      <c r="S61" s="60">
        <f t="shared" si="401"/>
        <v>2.583896624244401E-4</v>
      </c>
      <c r="T61" s="120">
        <f t="shared" si="356"/>
        <v>5.2719450000000005</v>
      </c>
      <c r="U61" s="120">
        <f t="shared" si="357"/>
        <v>2.7634908391562744E-3</v>
      </c>
      <c r="V61" s="120">
        <f t="shared" si="358"/>
        <v>1.1648209516258189E-3</v>
      </c>
      <c r="W61" s="120">
        <f t="shared" si="359"/>
        <v>96.714606367659002</v>
      </c>
      <c r="X61" s="120">
        <f t="shared" si="360"/>
        <v>536.39832234240009</v>
      </c>
      <c r="Y61" s="120">
        <f t="shared" si="361"/>
        <v>390.48220358112007</v>
      </c>
      <c r="Z61" s="120">
        <f t="shared" si="362"/>
        <v>81.484402978219492</v>
      </c>
      <c r="AA61" s="120">
        <f t="shared" si="363"/>
        <v>25.526000013735025</v>
      </c>
      <c r="AB61" s="120" t="str">
        <f t="shared" si="364"/>
        <v>.</v>
      </c>
      <c r="AC61" s="120">
        <f t="shared" si="365"/>
        <v>3870.1238687999994</v>
      </c>
      <c r="AD61" s="60">
        <f t="shared" si="282"/>
        <v>1.9976007706495872E-4</v>
      </c>
      <c r="AE61" s="60">
        <f t="shared" ref="AE61:AN61" si="402">IFERROR(AE18/$B61,0)</f>
        <v>1.7938800275999204E-2</v>
      </c>
      <c r="AF61" s="60">
        <f t="shared" si="402"/>
        <v>0</v>
      </c>
      <c r="AG61" s="60">
        <f t="shared" si="402"/>
        <v>10075715776.009937</v>
      </c>
      <c r="AH61" s="60">
        <f t="shared" si="402"/>
        <v>6.0777065310532851E-3</v>
      </c>
      <c r="AI61" s="60">
        <f t="shared" si="402"/>
        <v>0.33582866226694685</v>
      </c>
      <c r="AJ61" s="60">
        <f t="shared" si="402"/>
        <v>0.46132174368622741</v>
      </c>
      <c r="AK61" s="60">
        <f t="shared" si="402"/>
        <v>0.79787161728541367</v>
      </c>
      <c r="AL61" s="60">
        <f t="shared" si="402"/>
        <v>2.3337671040656756</v>
      </c>
      <c r="AM61" s="60">
        <f t="shared" si="402"/>
        <v>0</v>
      </c>
      <c r="AN61" s="60">
        <f t="shared" si="402"/>
        <v>1.230426963925905E-3</v>
      </c>
      <c r="AO61" s="120">
        <f t="shared" si="367"/>
        <v>55.745088000000003</v>
      </c>
      <c r="AP61" s="120" t="str">
        <f t="shared" si="368"/>
        <v>.</v>
      </c>
      <c r="AQ61" s="120">
        <f t="shared" si="369"/>
        <v>9.9248532037890403E-11</v>
      </c>
      <c r="AR61" s="120">
        <f t="shared" si="370"/>
        <v>164.53574961058493</v>
      </c>
      <c r="AS61" s="120">
        <f t="shared" si="371"/>
        <v>2.9777089104000001</v>
      </c>
      <c r="AT61" s="120">
        <f t="shared" si="372"/>
        <v>2.1676845145200003</v>
      </c>
      <c r="AU61" s="120">
        <f t="shared" si="373"/>
        <v>1.2533344692750001</v>
      </c>
      <c r="AV61" s="120">
        <f t="shared" si="374"/>
        <v>0.42849177120454374</v>
      </c>
      <c r="AW61" s="120" t="str">
        <f t="shared" si="375"/>
        <v>.</v>
      </c>
      <c r="AX61" s="120">
        <f t="shared" si="376"/>
        <v>812.72601244800012</v>
      </c>
      <c r="AY61" s="60">
        <f t="shared" si="377"/>
        <v>9.6169189788650265E-4</v>
      </c>
      <c r="AZ61" s="60">
        <f>IFERROR(AZ18/$B61,0)</f>
        <v>2.6620269311940573E-4</v>
      </c>
      <c r="BA61" s="60">
        <f>IFERROR(BA18/$B61,0)</f>
        <v>623700.52695803414</v>
      </c>
      <c r="BB61" s="60">
        <f t="shared" si="378"/>
        <v>2.662026930057873E-4</v>
      </c>
    </row>
    <row r="62" spans="1:54" x14ac:dyDescent="0.25">
      <c r="A62" s="83" t="s">
        <v>1100</v>
      </c>
      <c r="B62" s="42">
        <v>1.339E-6</v>
      </c>
      <c r="C62" s="60">
        <f t="shared" ref="C62:S62" si="403">IFERROR(C27/$B62,0)</f>
        <v>0</v>
      </c>
      <c r="D62" s="60">
        <f t="shared" si="403"/>
        <v>0</v>
      </c>
      <c r="E62" s="60">
        <f t="shared" si="403"/>
        <v>0</v>
      </c>
      <c r="F62" s="60">
        <f t="shared" si="403"/>
        <v>0</v>
      </c>
      <c r="G62" s="60">
        <f t="shared" si="403"/>
        <v>0</v>
      </c>
      <c r="H62" s="60">
        <f t="shared" si="403"/>
        <v>0</v>
      </c>
      <c r="I62" s="60">
        <f t="shared" si="403"/>
        <v>0</v>
      </c>
      <c r="J62" s="60">
        <f t="shared" si="403"/>
        <v>0</v>
      </c>
      <c r="K62" s="60">
        <f t="shared" si="403"/>
        <v>0</v>
      </c>
      <c r="L62" s="60">
        <f t="shared" si="403"/>
        <v>4732012.3029989898</v>
      </c>
      <c r="M62" s="60">
        <f t="shared" si="403"/>
        <v>0</v>
      </c>
      <c r="N62" s="60">
        <f t="shared" si="403"/>
        <v>0</v>
      </c>
      <c r="O62" s="60">
        <f t="shared" si="403"/>
        <v>0</v>
      </c>
      <c r="P62" s="60">
        <f t="shared" si="403"/>
        <v>0</v>
      </c>
      <c r="Q62" s="60">
        <f t="shared" si="403"/>
        <v>0</v>
      </c>
      <c r="R62" s="60">
        <f t="shared" si="403"/>
        <v>0</v>
      </c>
      <c r="S62" s="60">
        <f t="shared" si="403"/>
        <v>0</v>
      </c>
      <c r="T62" s="120" t="str">
        <f t="shared" si="356"/>
        <v>.</v>
      </c>
      <c r="U62" s="120" t="str">
        <f t="shared" si="357"/>
        <v>.</v>
      </c>
      <c r="V62" s="120">
        <f t="shared" si="358"/>
        <v>2.1132658496391349E-7</v>
      </c>
      <c r="W62" s="120" t="str">
        <f t="shared" si="359"/>
        <v>.</v>
      </c>
      <c r="X62" s="120" t="str">
        <f t="shared" si="360"/>
        <v>.</v>
      </c>
      <c r="Y62" s="120" t="str">
        <f t="shared" si="361"/>
        <v>.</v>
      </c>
      <c r="Z62" s="120" t="str">
        <f t="shared" si="362"/>
        <v>.</v>
      </c>
      <c r="AA62" s="120" t="str">
        <f t="shared" si="363"/>
        <v>.</v>
      </c>
      <c r="AB62" s="120" t="str">
        <f t="shared" si="364"/>
        <v>.</v>
      </c>
      <c r="AC62" s="120" t="str">
        <f t="shared" si="365"/>
        <v>.</v>
      </c>
      <c r="AD62" s="60">
        <f t="shared" si="282"/>
        <v>4732012.3029989898</v>
      </c>
      <c r="AE62" s="60">
        <f t="shared" ref="AE62:AN62" si="404">IFERROR(AE27/$B62,0)</f>
        <v>0</v>
      </c>
      <c r="AF62" s="60">
        <f t="shared" si="404"/>
        <v>0</v>
      </c>
      <c r="AG62" s="60">
        <f t="shared" si="404"/>
        <v>46402972829520.492</v>
      </c>
      <c r="AH62" s="60">
        <f t="shared" si="404"/>
        <v>0</v>
      </c>
      <c r="AI62" s="60">
        <f t="shared" si="404"/>
        <v>0</v>
      </c>
      <c r="AJ62" s="60">
        <f t="shared" si="404"/>
        <v>0</v>
      </c>
      <c r="AK62" s="60">
        <f t="shared" si="404"/>
        <v>0</v>
      </c>
      <c r="AL62" s="60">
        <f t="shared" si="404"/>
        <v>0</v>
      </c>
      <c r="AM62" s="60">
        <f t="shared" si="404"/>
        <v>0</v>
      </c>
      <c r="AN62" s="60">
        <f t="shared" si="404"/>
        <v>0</v>
      </c>
      <c r="AO62" s="120" t="str">
        <f t="shared" si="367"/>
        <v>.</v>
      </c>
      <c r="AP62" s="120" t="str">
        <f t="shared" si="368"/>
        <v>.</v>
      </c>
      <c r="AQ62" s="120">
        <f t="shared" si="369"/>
        <v>2.1550343416011123E-14</v>
      </c>
      <c r="AR62" s="120" t="str">
        <f t="shared" si="370"/>
        <v>.</v>
      </c>
      <c r="AS62" s="120" t="str">
        <f t="shared" si="371"/>
        <v>.</v>
      </c>
      <c r="AT62" s="120" t="str">
        <f t="shared" si="372"/>
        <v>.</v>
      </c>
      <c r="AU62" s="120" t="str">
        <f t="shared" si="373"/>
        <v>.</v>
      </c>
      <c r="AV62" s="120" t="str">
        <f t="shared" si="374"/>
        <v>.</v>
      </c>
      <c r="AW62" s="120" t="str">
        <f t="shared" si="375"/>
        <v>.</v>
      </c>
      <c r="AX62" s="120" t="str">
        <f t="shared" si="376"/>
        <v>.</v>
      </c>
      <c r="AY62" s="60">
        <f t="shared" si="377"/>
        <v>46402972829520.492</v>
      </c>
      <c r="AZ62" s="60">
        <f>IFERROR(AZ27/$B62,0)</f>
        <v>0</v>
      </c>
      <c r="BA62" s="60">
        <f>IFERROR(BA27/$B62,0)</f>
        <v>2071489232.7265284</v>
      </c>
      <c r="BB62" s="60">
        <f t="shared" si="378"/>
        <v>2071489232.7265282</v>
      </c>
    </row>
    <row r="63" spans="1:54" x14ac:dyDescent="0.25">
      <c r="A63" s="82" t="s">
        <v>35</v>
      </c>
      <c r="B63" s="57" t="s">
        <v>1259</v>
      </c>
      <c r="C63" s="58">
        <f>1/SUM(1/C66,1/C68,1/C72,1/C73,1/C75)</f>
        <v>1.4795136287775256E-5</v>
      </c>
      <c r="D63" s="58">
        <f t="shared" ref="D63:K63" si="405">1/SUM(1/D66,1/D68,1/D72,1/D73,1/D75)</f>
        <v>2.1095313849951773E-4</v>
      </c>
      <c r="E63" s="58">
        <f t="shared" si="405"/>
        <v>3.7430239723838462E-4</v>
      </c>
      <c r="F63" s="58">
        <f t="shared" si="405"/>
        <v>1.383489567648163E-4</v>
      </c>
      <c r="G63" s="58">
        <f t="shared" si="405"/>
        <v>2.8643389573863088E-5</v>
      </c>
      <c r="H63" s="58">
        <f t="shared" si="405"/>
        <v>2.4787245868744122E-4</v>
      </c>
      <c r="I63" s="58">
        <f t="shared" si="405"/>
        <v>2.89838009934675E-5</v>
      </c>
      <c r="J63" s="58">
        <f t="shared" si="405"/>
        <v>0.12381481693205311</v>
      </c>
      <c r="K63" s="58">
        <f t="shared" si="405"/>
        <v>169.45966293087409</v>
      </c>
      <c r="L63" s="58">
        <f>1/SUM(1/L64,1/L65,1/L66,1/L67,1/L68,1/L69,1/L70,1/L71,1/L72,1/L73,1/L74,1/L75,1/L76)</f>
        <v>4.6355463896938023E-3</v>
      </c>
      <c r="M63" s="58">
        <f t="shared" ref="M63:S63" si="406">1/SUM(1/M66,1/M68,1/M72,1/M73,1/M75)</f>
        <v>1.8987532202191348E-3</v>
      </c>
      <c r="N63" s="58">
        <f>1/SUM(1/N75)</f>
        <v>1.8642862185569407E-3</v>
      </c>
      <c r="O63" s="58">
        <f>1/SUM(1/O75)</f>
        <v>2.5609361728370205E-3</v>
      </c>
      <c r="P63" s="58">
        <f t="shared" si="406"/>
        <v>1.1335843448623867E-2</v>
      </c>
      <c r="Q63" s="58">
        <f t="shared" si="406"/>
        <v>2.4883749326686008E-2</v>
      </c>
      <c r="R63" s="58" t="str">
        <f>IFERROR(1/SUM(1/R64,1/R65,1/R66,1/R67,1/R68,1/R69,1/R70,1/R71,1/R72,1/R73,1/R74,1/R75,1/R76,1/R77),".")</f>
        <v>.</v>
      </c>
      <c r="S63" s="58">
        <f t="shared" si="406"/>
        <v>1.7123839196886504E-4</v>
      </c>
      <c r="T63" s="181"/>
      <c r="U63" s="181"/>
      <c r="V63" s="181"/>
      <c r="W63" s="181"/>
      <c r="X63" s="181"/>
      <c r="Y63" s="181"/>
      <c r="Z63" s="181"/>
      <c r="AA63" s="181"/>
      <c r="AB63" s="181"/>
      <c r="AC63" s="181"/>
      <c r="AD63" s="59">
        <f>1/SUM(1/AD64,1/AD65,1/AD66,1/AD67,1/AD68,1/AD69,1/AD70,1/AD71,1/AD72,1/AD73,1/AD74,1/AD75,1/AD76)</f>
        <v>1.3079481141797393E-4</v>
      </c>
      <c r="AE63" s="58">
        <f>1/SUM(1/AE66,1/AE68,1/AE72,1/AE73,1/AE75)</f>
        <v>1.1933427603999569E-2</v>
      </c>
      <c r="AF63" s="58">
        <f>1/SUM(1/AF64)</f>
        <v>3.3868454921086499</v>
      </c>
      <c r="AG63" s="58">
        <f>1/SUM(1/AG64,1/AG65,1/AG66,1/AG67,1/AG68,1/AG69,1/AG70,1/AG71,1/AG72,1/AG73,1/AG74,1/AG75,1/AG76)</f>
        <v>54622.25662854909</v>
      </c>
      <c r="AH63" s="58">
        <f>1/SUM(1/AH66,1/AH68,1/AH72,1/AH73,1/AH75)</f>
        <v>3.7735931564219188E-3</v>
      </c>
      <c r="AI63" s="58">
        <f>1/SUM(1/AI75)</f>
        <v>0.33582866226694685</v>
      </c>
      <c r="AJ63" s="58">
        <f>1/SUM(1/AJ75)</f>
        <v>0.46132174368622747</v>
      </c>
      <c r="AK63" s="58">
        <f t="shared" ref="AK63:AL63" si="407">1/SUM(1/AK66,1/AK68,1/AK72,1/AK73,1/AK75)</f>
        <v>0.74186618239614299</v>
      </c>
      <c r="AL63" s="58">
        <f t="shared" si="407"/>
        <v>1.555102306056491</v>
      </c>
      <c r="AM63" s="58" t="str">
        <f>IFERROR(1/SUM(1/AM64,1/AM65,1/AM66,1/AM67,1/AM68,1/AM69,1/AM70,1/AM71,1/AM72,1/AM73,1/AM74,1/AM75,1/AM76),".")</f>
        <v>.</v>
      </c>
      <c r="AN63" s="58">
        <f>1/SUM(1/AN66,1/AN68,1/AN72,1/AN73,1/AN75)</f>
        <v>9.012644317709606E-4</v>
      </c>
      <c r="AO63" s="181"/>
      <c r="AP63" s="181"/>
      <c r="AQ63" s="181"/>
      <c r="AR63" s="181"/>
      <c r="AS63" s="181"/>
      <c r="AT63" s="181"/>
      <c r="AU63" s="181"/>
      <c r="AV63" s="181"/>
      <c r="AW63" s="181"/>
      <c r="AX63" s="181"/>
      <c r="AY63" s="59">
        <f>1/SUM(1/AY64,1/AY65,1/AY66,1/AY67,1/AY68,1/AY69,1/AY70,1/AY71,1/AY72,1/AY73,1/AY74,1/AY75,1/AY76)</f>
        <v>6.8222988407678987E-4</v>
      </c>
      <c r="AZ63" s="58">
        <f>1/SUM(1/AZ64,1/AZ65,1/AZ66,1/AZ68,1/AZ72,1/AZ73,1/AZ75)</f>
        <v>1.2459768976002755E-4</v>
      </c>
      <c r="BA63" s="58">
        <f t="shared" ref="BA63:BB63" si="408">1/SUM(1/BA64,1/BA65,1/BA66,1/BA67,1/BA68,1/BA69,1/BA70,1/BA71,1/BA72,1/BA73,1/BA74,1/BA75,1/BA76)</f>
        <v>3.3755936723533257</v>
      </c>
      <c r="BB63" s="59">
        <f t="shared" si="408"/>
        <v>1.2459309086194079E-4</v>
      </c>
    </row>
    <row r="64" spans="1:54" x14ac:dyDescent="0.25">
      <c r="A64" s="83" t="s">
        <v>1090</v>
      </c>
      <c r="B64" s="42">
        <v>1</v>
      </c>
      <c r="C64" s="60">
        <f t="shared" ref="C64:S64" si="409">IFERROR(C25/$B50,0)</f>
        <v>0</v>
      </c>
      <c r="D64" s="60">
        <f t="shared" si="409"/>
        <v>0</v>
      </c>
      <c r="E64" s="60">
        <f t="shared" si="409"/>
        <v>0</v>
      </c>
      <c r="F64" s="60">
        <f t="shared" si="409"/>
        <v>0</v>
      </c>
      <c r="G64" s="60">
        <f t="shared" si="409"/>
        <v>0</v>
      </c>
      <c r="H64" s="60">
        <f t="shared" si="409"/>
        <v>0</v>
      </c>
      <c r="I64" s="60">
        <f t="shared" si="409"/>
        <v>0</v>
      </c>
      <c r="J64" s="60">
        <f t="shared" si="409"/>
        <v>0</v>
      </c>
      <c r="K64" s="60">
        <f t="shared" si="409"/>
        <v>2301944.8512860425</v>
      </c>
      <c r="L64" s="60">
        <f t="shared" si="409"/>
        <v>22.853889791401954</v>
      </c>
      <c r="M64" s="60">
        <f t="shared" si="409"/>
        <v>0</v>
      </c>
      <c r="N64" s="60">
        <f t="shared" si="409"/>
        <v>0</v>
      </c>
      <c r="O64" s="60">
        <f t="shared" si="409"/>
        <v>0</v>
      </c>
      <c r="P64" s="60">
        <f t="shared" si="409"/>
        <v>0</v>
      </c>
      <c r="Q64" s="60">
        <f t="shared" si="409"/>
        <v>0</v>
      </c>
      <c r="R64" s="60">
        <f t="shared" si="409"/>
        <v>0</v>
      </c>
      <c r="S64" s="60">
        <f t="shared" si="409"/>
        <v>0</v>
      </c>
      <c r="T64" s="120" t="str">
        <f t="shared" ref="T64:T76" si="410">IFERROR(1/J64,".")</f>
        <v>.</v>
      </c>
      <c r="U64" s="120">
        <f t="shared" ref="U64:U76" si="411">IFERROR(1/K64,".")</f>
        <v>4.3441527256455492E-7</v>
      </c>
      <c r="V64" s="120">
        <f t="shared" ref="V64:V76" si="412">IFERROR(1/L64,".")</f>
        <v>4.3756227457446568E-2</v>
      </c>
      <c r="W64" s="120" t="str">
        <f t="shared" ref="W64:W76" si="413">IFERROR(1/M64,".")</f>
        <v>.</v>
      </c>
      <c r="X64" s="120" t="str">
        <f t="shared" ref="X64:X76" si="414">IFERROR(1/N64,".")</f>
        <v>.</v>
      </c>
      <c r="Y64" s="120" t="str">
        <f t="shared" ref="Y64:Y76" si="415">IFERROR(1/O64,".")</f>
        <v>.</v>
      </c>
      <c r="Z64" s="120" t="str">
        <f t="shared" ref="Z64:Z76" si="416">IFERROR(1/P64,".")</f>
        <v>.</v>
      </c>
      <c r="AA64" s="120" t="str">
        <f t="shared" ref="AA64:AA76" si="417">IFERROR(1/Q64,".")</f>
        <v>.</v>
      </c>
      <c r="AB64" s="120" t="str">
        <f t="shared" ref="AB64:AB76" si="418">IFERROR(1/R64,".")</f>
        <v>.</v>
      </c>
      <c r="AC64" s="120" t="str">
        <f t="shared" ref="AC64:AC76" si="419">IFERROR(1/S64,".")</f>
        <v>.</v>
      </c>
      <c r="AD64" s="60">
        <f t="shared" si="282"/>
        <v>22.853662898436678</v>
      </c>
      <c r="AE64" s="60">
        <f t="shared" ref="AE64:AN64" si="420">IFERROR(AE25/$B50,0)</f>
        <v>0</v>
      </c>
      <c r="AF64" s="60">
        <f t="shared" si="420"/>
        <v>3.3868454921086499</v>
      </c>
      <c r="AG64" s="60">
        <f t="shared" si="420"/>
        <v>260094058.40397739</v>
      </c>
      <c r="AH64" s="60">
        <f t="shared" si="420"/>
        <v>0</v>
      </c>
      <c r="AI64" s="60">
        <f t="shared" si="420"/>
        <v>0</v>
      </c>
      <c r="AJ64" s="60">
        <f t="shared" si="420"/>
        <v>0</v>
      </c>
      <c r="AK64" s="60">
        <f t="shared" si="420"/>
        <v>0</v>
      </c>
      <c r="AL64" s="60">
        <f t="shared" si="420"/>
        <v>0</v>
      </c>
      <c r="AM64" s="60">
        <f t="shared" si="420"/>
        <v>0</v>
      </c>
      <c r="AN64" s="60">
        <f t="shared" si="420"/>
        <v>0</v>
      </c>
      <c r="AO64" s="120" t="str">
        <f t="shared" ref="AO64:AO76" si="421">IFERROR(1/AE64,".")</f>
        <v>.</v>
      </c>
      <c r="AP64" s="120">
        <f t="shared" ref="AP64:AP76" si="422">IFERROR(1/AF64,".")</f>
        <v>0.29526000000000002</v>
      </c>
      <c r="AQ64" s="120">
        <f t="shared" ref="AQ64:AQ76" si="423">IFERROR(1/AG64,".")</f>
        <v>3.8447629528191783E-9</v>
      </c>
      <c r="AR64" s="120" t="str">
        <f t="shared" ref="AR64:AR76" si="424">IFERROR(1/AH64,".")</f>
        <v>.</v>
      </c>
      <c r="AS64" s="120" t="str">
        <f t="shared" ref="AS64:AS76" si="425">IFERROR(1/AI64,".")</f>
        <v>.</v>
      </c>
      <c r="AT64" s="120" t="str">
        <f t="shared" ref="AT64:AT76" si="426">IFERROR(1/AJ64,".")</f>
        <v>.</v>
      </c>
      <c r="AU64" s="120" t="str">
        <f t="shared" ref="AU64:AU76" si="427">IFERROR(1/AK64,".")</f>
        <v>.</v>
      </c>
      <c r="AV64" s="120" t="str">
        <f t="shared" ref="AV64:AV76" si="428">IFERROR(1/AL64,".")</f>
        <v>.</v>
      </c>
      <c r="AW64" s="120" t="str">
        <f t="shared" ref="AW64:AW76" si="429">IFERROR(1/AM64,".")</f>
        <v>.</v>
      </c>
      <c r="AX64" s="120" t="str">
        <f t="shared" ref="AX64:AX76" si="430">IFERROR(1/AN64,".")</f>
        <v>.</v>
      </c>
      <c r="AY64" s="60">
        <f t="shared" ref="AY64:AY76" si="431">IFERROR(1/(SUMIF(AO64:AX64,"&lt;&gt;0")),".")</f>
        <v>3.3868454480064418</v>
      </c>
      <c r="AZ64" s="60">
        <f>IFERROR(AZ25/$B50,0)</f>
        <v>1.693422746054325</v>
      </c>
      <c r="BA64" s="60">
        <f>IFERROR(BA25/$B50,0)</f>
        <v>16063.653859782458</v>
      </c>
      <c r="BB64" s="60">
        <f t="shared" ref="BB64:BB76" si="432">IFERROR(IF(AND(AZ64&lt;&gt;0,BA64&lt;&gt;0),1/((1/AZ64)+(1/BA64)),IF(AND(AZ64&lt;&gt;0,BA64=0),1/((1/AZ64)),IF(AND(AZ64=0,BA64&lt;&gt;0),1/((1/BA64)),IF(AND(AZ64=0,BA64=0),0)))),0)</f>
        <v>1.6932442450517369</v>
      </c>
    </row>
    <row r="65" spans="1:54" x14ac:dyDescent="0.25">
      <c r="A65" s="83" t="s">
        <v>1076</v>
      </c>
      <c r="B65" s="42">
        <v>1</v>
      </c>
      <c r="C65" s="60">
        <f t="shared" ref="C65:S65" si="433">IFERROR(C21/$B51,0)</f>
        <v>0</v>
      </c>
      <c r="D65" s="60">
        <f t="shared" si="433"/>
        <v>0</v>
      </c>
      <c r="E65" s="60">
        <f t="shared" si="433"/>
        <v>0</v>
      </c>
      <c r="F65" s="60">
        <f t="shared" si="433"/>
        <v>0</v>
      </c>
      <c r="G65" s="60">
        <f t="shared" si="433"/>
        <v>0</v>
      </c>
      <c r="H65" s="60">
        <f t="shared" si="433"/>
        <v>0</v>
      </c>
      <c r="I65" s="60">
        <f t="shared" si="433"/>
        <v>0</v>
      </c>
      <c r="J65" s="60">
        <f t="shared" si="433"/>
        <v>0</v>
      </c>
      <c r="K65" s="60">
        <f t="shared" si="433"/>
        <v>377585.19862821413</v>
      </c>
      <c r="L65" s="60">
        <f t="shared" si="433"/>
        <v>6283303.0332826758</v>
      </c>
      <c r="M65" s="60">
        <f t="shared" si="433"/>
        <v>0</v>
      </c>
      <c r="N65" s="60">
        <f t="shared" si="433"/>
        <v>0</v>
      </c>
      <c r="O65" s="60">
        <f t="shared" si="433"/>
        <v>0</v>
      </c>
      <c r="P65" s="60">
        <f t="shared" si="433"/>
        <v>0</v>
      </c>
      <c r="Q65" s="60">
        <f t="shared" si="433"/>
        <v>0</v>
      </c>
      <c r="R65" s="60">
        <f t="shared" si="433"/>
        <v>0</v>
      </c>
      <c r="S65" s="60">
        <f t="shared" si="433"/>
        <v>0</v>
      </c>
      <c r="T65" s="120" t="str">
        <f t="shared" si="410"/>
        <v>.</v>
      </c>
      <c r="U65" s="120">
        <f t="shared" si="411"/>
        <v>2.6484088985295237E-6</v>
      </c>
      <c r="V65" s="120">
        <f t="shared" si="412"/>
        <v>1.5915196111074015E-7</v>
      </c>
      <c r="W65" s="120" t="str">
        <f t="shared" si="413"/>
        <v>.</v>
      </c>
      <c r="X65" s="120" t="str">
        <f t="shared" si="414"/>
        <v>.</v>
      </c>
      <c r="Y65" s="120" t="str">
        <f t="shared" si="415"/>
        <v>.</v>
      </c>
      <c r="Z65" s="120" t="str">
        <f t="shared" si="416"/>
        <v>.</v>
      </c>
      <c r="AA65" s="120" t="str">
        <f t="shared" si="417"/>
        <v>.</v>
      </c>
      <c r="AB65" s="120" t="str">
        <f t="shared" si="418"/>
        <v>.</v>
      </c>
      <c r="AC65" s="120" t="str">
        <f t="shared" si="419"/>
        <v>.</v>
      </c>
      <c r="AD65" s="60">
        <f t="shared" si="282"/>
        <v>356181.05893103639</v>
      </c>
      <c r="AE65" s="60">
        <f t="shared" ref="AE65:AN65" si="434">IFERROR(AE21/$B51,0)</f>
        <v>0</v>
      </c>
      <c r="AF65" s="60">
        <f t="shared" si="434"/>
        <v>0</v>
      </c>
      <c r="AG65" s="60">
        <f t="shared" si="434"/>
        <v>18080441473348.086</v>
      </c>
      <c r="AH65" s="60">
        <f t="shared" si="434"/>
        <v>0</v>
      </c>
      <c r="AI65" s="60">
        <f t="shared" si="434"/>
        <v>0</v>
      </c>
      <c r="AJ65" s="60">
        <f t="shared" si="434"/>
        <v>0</v>
      </c>
      <c r="AK65" s="60">
        <f t="shared" si="434"/>
        <v>0</v>
      </c>
      <c r="AL65" s="60">
        <f t="shared" si="434"/>
        <v>0</v>
      </c>
      <c r="AM65" s="60">
        <f t="shared" si="434"/>
        <v>0</v>
      </c>
      <c r="AN65" s="60">
        <f t="shared" si="434"/>
        <v>0</v>
      </c>
      <c r="AO65" s="120" t="str">
        <f t="shared" si="421"/>
        <v>.</v>
      </c>
      <c r="AP65" s="120" t="str">
        <f t="shared" si="422"/>
        <v>.</v>
      </c>
      <c r="AQ65" s="120">
        <f t="shared" si="423"/>
        <v>5.5308384005671229E-14</v>
      </c>
      <c r="AR65" s="120" t="str">
        <f t="shared" si="424"/>
        <v>.</v>
      </c>
      <c r="AS65" s="120" t="str">
        <f t="shared" si="425"/>
        <v>.</v>
      </c>
      <c r="AT65" s="120" t="str">
        <f t="shared" si="426"/>
        <v>.</v>
      </c>
      <c r="AU65" s="120" t="str">
        <f t="shared" si="427"/>
        <v>.</v>
      </c>
      <c r="AV65" s="120" t="str">
        <f t="shared" si="428"/>
        <v>.</v>
      </c>
      <c r="AW65" s="120" t="str">
        <f t="shared" si="429"/>
        <v>.</v>
      </c>
      <c r="AX65" s="120" t="str">
        <f t="shared" si="430"/>
        <v>.</v>
      </c>
      <c r="AY65" s="60">
        <f t="shared" si="431"/>
        <v>18080441473348.086</v>
      </c>
      <c r="AZ65" s="60">
        <f>IFERROR(AZ21/$B51,0)</f>
        <v>0.2777700619427238</v>
      </c>
      <c r="BA65" s="60">
        <f>IFERROR(BA21/$B51,0)</f>
        <v>660605883.58276963</v>
      </c>
      <c r="BB65" s="60">
        <f t="shared" si="432"/>
        <v>0.27777006182592767</v>
      </c>
    </row>
    <row r="66" spans="1:54" x14ac:dyDescent="0.25">
      <c r="A66" s="83" t="s">
        <v>1077</v>
      </c>
      <c r="B66" s="85">
        <v>0.99980000000000002</v>
      </c>
      <c r="C66" s="60">
        <f t="shared" ref="C66:S66" si="435">IFERROR(C17/$B52,0)</f>
        <v>0.10513681976686505</v>
      </c>
      <c r="D66" s="60">
        <f t="shared" si="435"/>
        <v>1.4990698071503445</v>
      </c>
      <c r="E66" s="60">
        <f t="shared" si="435"/>
        <v>2.6598581392774094</v>
      </c>
      <c r="F66" s="60">
        <f t="shared" si="435"/>
        <v>0.98313182449930048</v>
      </c>
      <c r="G66" s="60">
        <f t="shared" si="435"/>
        <v>0.20354492372115754</v>
      </c>
      <c r="H66" s="60">
        <f t="shared" si="435"/>
        <v>1.7614249377157938</v>
      </c>
      <c r="I66" s="60">
        <f t="shared" si="435"/>
        <v>0.20596394666041251</v>
      </c>
      <c r="J66" s="60">
        <f t="shared" si="435"/>
        <v>784.59492406483344</v>
      </c>
      <c r="K66" s="60">
        <f t="shared" si="435"/>
        <v>67560.92867134788</v>
      </c>
      <c r="L66" s="60">
        <f t="shared" si="435"/>
        <v>3.8948024854715747E-2</v>
      </c>
      <c r="M66" s="60">
        <f t="shared" si="435"/>
        <v>6.0174718077551859</v>
      </c>
      <c r="N66" s="60">
        <f t="shared" si="435"/>
        <v>0</v>
      </c>
      <c r="O66" s="60">
        <f t="shared" si="435"/>
        <v>0</v>
      </c>
      <c r="P66" s="60">
        <f t="shared" si="435"/>
        <v>391.07502626838721</v>
      </c>
      <c r="Q66" s="60">
        <f t="shared" si="435"/>
        <v>192.51429096535918</v>
      </c>
      <c r="R66" s="60">
        <f t="shared" si="435"/>
        <v>0</v>
      </c>
      <c r="S66" s="60">
        <f t="shared" si="435"/>
        <v>1.2357836799624751</v>
      </c>
      <c r="T66" s="120">
        <f t="shared" si="410"/>
        <v>1.2745430404000001E-3</v>
      </c>
      <c r="U66" s="120">
        <f t="shared" si="411"/>
        <v>1.4801454326723799E-5</v>
      </c>
      <c r="V66" s="120">
        <f t="shared" si="412"/>
        <v>25.675242935430191</v>
      </c>
      <c r="W66" s="120">
        <f t="shared" si="413"/>
        <v>0.1661827478296154</v>
      </c>
      <c r="X66" s="120" t="str">
        <f t="shared" si="414"/>
        <v>.</v>
      </c>
      <c r="Y66" s="120" t="str">
        <f t="shared" si="415"/>
        <v>.</v>
      </c>
      <c r="Z66" s="120">
        <f t="shared" si="416"/>
        <v>2.5570541017204186E-3</v>
      </c>
      <c r="AA66" s="120">
        <f t="shared" si="417"/>
        <v>5.1944195674280564E-3</v>
      </c>
      <c r="AB66" s="120" t="str">
        <f t="shared" si="418"/>
        <v>.</v>
      </c>
      <c r="AC66" s="120">
        <f t="shared" si="419"/>
        <v>0.80920311233626685</v>
      </c>
      <c r="AD66" s="60">
        <f t="shared" si="282"/>
        <v>3.7509842188136737E-2</v>
      </c>
      <c r="AE66" s="60">
        <f t="shared" ref="AE66:AN66" si="436">IFERROR(AE17/$B52,0)</f>
        <v>92.506408182599117</v>
      </c>
      <c r="AF66" s="60">
        <f t="shared" si="436"/>
        <v>0</v>
      </c>
      <c r="AG66" s="60">
        <f t="shared" si="436"/>
        <v>409968.44174906815</v>
      </c>
      <c r="AH66" s="60">
        <f t="shared" si="436"/>
        <v>24.64110999628986</v>
      </c>
      <c r="AI66" s="60">
        <f t="shared" si="436"/>
        <v>0</v>
      </c>
      <c r="AJ66" s="60">
        <f t="shared" si="436"/>
        <v>0</v>
      </c>
      <c r="AK66" s="60">
        <f t="shared" si="436"/>
        <v>26499.510094320765</v>
      </c>
      <c r="AL66" s="60">
        <f t="shared" si="436"/>
        <v>11993.779830251273</v>
      </c>
      <c r="AM66" s="60">
        <f t="shared" si="436"/>
        <v>0</v>
      </c>
      <c r="AN66" s="60">
        <f t="shared" si="436"/>
        <v>8.2385578664164996</v>
      </c>
      <c r="AO66" s="120">
        <f t="shared" si="421"/>
        <v>1.0810061915128E-2</v>
      </c>
      <c r="AP66" s="120" t="str">
        <f t="shared" si="422"/>
        <v>.</v>
      </c>
      <c r="AQ66" s="120">
        <f t="shared" si="423"/>
        <v>2.4392121396799514E-6</v>
      </c>
      <c r="AR66" s="120">
        <f t="shared" si="424"/>
        <v>4.0582587397668658E-2</v>
      </c>
      <c r="AS66" s="120" t="str">
        <f t="shared" si="425"/>
        <v>.</v>
      </c>
      <c r="AT66" s="120" t="str">
        <f t="shared" si="426"/>
        <v>.</v>
      </c>
      <c r="AU66" s="120">
        <f t="shared" si="427"/>
        <v>3.7736546692397711E-5</v>
      </c>
      <c r="AV66" s="120">
        <f t="shared" si="428"/>
        <v>8.3376551358542802E-5</v>
      </c>
      <c r="AW66" s="120" t="str">
        <f t="shared" si="429"/>
        <v>.</v>
      </c>
      <c r="AX66" s="120">
        <f t="shared" si="430"/>
        <v>0.12138046685044004</v>
      </c>
      <c r="AY66" s="60">
        <f t="shared" si="431"/>
        <v>5.7838014394921151</v>
      </c>
      <c r="AZ66" s="60">
        <f>IFERROR(AZ17/$B52,0)</f>
        <v>4.9701109604209912E-2</v>
      </c>
      <c r="BA66" s="60">
        <f>IFERROR(BA17/$B52,0)</f>
        <v>25.581839008234201</v>
      </c>
      <c r="BB66" s="60">
        <f t="shared" si="432"/>
        <v>4.9604736140714034E-2</v>
      </c>
    </row>
    <row r="67" spans="1:54" x14ac:dyDescent="0.25">
      <c r="A67" s="83" t="s">
        <v>1091</v>
      </c>
      <c r="B67" s="42">
        <v>2.0000000000000001E-4</v>
      </c>
      <c r="C67" s="60">
        <f t="shared" ref="C67:S67" si="437">IFERROR(C5/$B53,0)</f>
        <v>0</v>
      </c>
      <c r="D67" s="60">
        <f t="shared" si="437"/>
        <v>0</v>
      </c>
      <c r="E67" s="60">
        <f t="shared" si="437"/>
        <v>0</v>
      </c>
      <c r="F67" s="60">
        <f t="shared" si="437"/>
        <v>0</v>
      </c>
      <c r="G67" s="60">
        <f t="shared" si="437"/>
        <v>0</v>
      </c>
      <c r="H67" s="60">
        <f t="shared" si="437"/>
        <v>0</v>
      </c>
      <c r="I67" s="60">
        <f t="shared" si="437"/>
        <v>0</v>
      </c>
      <c r="J67" s="60">
        <f t="shared" si="437"/>
        <v>0</v>
      </c>
      <c r="K67" s="60">
        <f t="shared" si="437"/>
        <v>0</v>
      </c>
      <c r="L67" s="60">
        <f t="shared" si="437"/>
        <v>7834075.6968162712</v>
      </c>
      <c r="M67" s="60">
        <f t="shared" si="437"/>
        <v>0</v>
      </c>
      <c r="N67" s="60">
        <f t="shared" si="437"/>
        <v>0</v>
      </c>
      <c r="O67" s="60">
        <f t="shared" si="437"/>
        <v>0</v>
      </c>
      <c r="P67" s="60">
        <f t="shared" si="437"/>
        <v>0</v>
      </c>
      <c r="Q67" s="60">
        <f t="shared" si="437"/>
        <v>0</v>
      </c>
      <c r="R67" s="60">
        <f t="shared" si="437"/>
        <v>0</v>
      </c>
      <c r="S67" s="60">
        <f t="shared" si="437"/>
        <v>0</v>
      </c>
      <c r="T67" s="120" t="str">
        <f t="shared" si="410"/>
        <v>.</v>
      </c>
      <c r="U67" s="120" t="str">
        <f t="shared" si="411"/>
        <v>.</v>
      </c>
      <c r="V67" s="120">
        <f t="shared" si="412"/>
        <v>1.2764747734137864E-7</v>
      </c>
      <c r="W67" s="120" t="str">
        <f t="shared" si="413"/>
        <v>.</v>
      </c>
      <c r="X67" s="120" t="str">
        <f t="shared" si="414"/>
        <v>.</v>
      </c>
      <c r="Y67" s="120" t="str">
        <f t="shared" si="415"/>
        <v>.</v>
      </c>
      <c r="Z67" s="120" t="str">
        <f t="shared" si="416"/>
        <v>.</v>
      </c>
      <c r="AA67" s="120" t="str">
        <f t="shared" si="417"/>
        <v>.</v>
      </c>
      <c r="AB67" s="120" t="str">
        <f t="shared" si="418"/>
        <v>.</v>
      </c>
      <c r="AC67" s="120" t="str">
        <f t="shared" si="419"/>
        <v>.</v>
      </c>
      <c r="AD67" s="60">
        <f t="shared" si="282"/>
        <v>7834075.6968162702</v>
      </c>
      <c r="AE67" s="60">
        <f t="shared" ref="AE67:AN67" si="438">IFERROR(AE5/$B53,0)</f>
        <v>0</v>
      </c>
      <c r="AF67" s="60">
        <f t="shared" si="438"/>
        <v>0</v>
      </c>
      <c r="AG67" s="60">
        <f t="shared" si="438"/>
        <v>89166641890201.813</v>
      </c>
      <c r="AH67" s="60">
        <f t="shared" si="438"/>
        <v>0</v>
      </c>
      <c r="AI67" s="60">
        <f t="shared" si="438"/>
        <v>0</v>
      </c>
      <c r="AJ67" s="60">
        <f t="shared" si="438"/>
        <v>0</v>
      </c>
      <c r="AK67" s="60">
        <f t="shared" si="438"/>
        <v>0</v>
      </c>
      <c r="AL67" s="60">
        <f t="shared" si="438"/>
        <v>0</v>
      </c>
      <c r="AM67" s="60">
        <f t="shared" si="438"/>
        <v>0</v>
      </c>
      <c r="AN67" s="60">
        <f t="shared" si="438"/>
        <v>0</v>
      </c>
      <c r="AO67" s="120" t="str">
        <f t="shared" si="421"/>
        <v>.</v>
      </c>
      <c r="AP67" s="120" t="str">
        <f t="shared" si="422"/>
        <v>.</v>
      </c>
      <c r="AQ67" s="120">
        <f t="shared" si="423"/>
        <v>1.1214956387293153E-14</v>
      </c>
      <c r="AR67" s="120" t="str">
        <f t="shared" si="424"/>
        <v>.</v>
      </c>
      <c r="AS67" s="120" t="str">
        <f t="shared" si="425"/>
        <v>.</v>
      </c>
      <c r="AT67" s="120" t="str">
        <f t="shared" si="426"/>
        <v>.</v>
      </c>
      <c r="AU67" s="120" t="str">
        <f t="shared" si="427"/>
        <v>.</v>
      </c>
      <c r="AV67" s="120" t="str">
        <f t="shared" si="428"/>
        <v>.</v>
      </c>
      <c r="AW67" s="120" t="str">
        <f t="shared" si="429"/>
        <v>.</v>
      </c>
      <c r="AX67" s="120" t="str">
        <f t="shared" si="430"/>
        <v>.</v>
      </c>
      <c r="AY67" s="60">
        <f t="shared" si="431"/>
        <v>89166641890201.813</v>
      </c>
      <c r="AZ67" s="60">
        <f>IFERROR(AZ5/$B53,0)</f>
        <v>0</v>
      </c>
      <c r="BA67" s="60">
        <f>IFERROR(BA5/$B53,0)</f>
        <v>4228878572.9351549</v>
      </c>
      <c r="BB67" s="60">
        <f t="shared" si="432"/>
        <v>4228878572.9351549</v>
      </c>
    </row>
    <row r="68" spans="1:54" x14ac:dyDescent="0.25">
      <c r="A68" s="83" t="s">
        <v>1092</v>
      </c>
      <c r="B68" s="42">
        <v>0.99999979999999999</v>
      </c>
      <c r="C68" s="60">
        <f t="shared" ref="C68:S68" si="439">IFERROR(C9/$B54,0)</f>
        <v>0.19205260193606336</v>
      </c>
      <c r="D68" s="60">
        <f t="shared" si="439"/>
        <v>2.7383390289474123</v>
      </c>
      <c r="E68" s="60">
        <f t="shared" si="439"/>
        <v>4.8587419475097775</v>
      </c>
      <c r="F68" s="60">
        <f t="shared" si="439"/>
        <v>1.7958791730615595</v>
      </c>
      <c r="G68" s="60">
        <f t="shared" si="439"/>
        <v>0.37181391160783311</v>
      </c>
      <c r="H68" s="60">
        <f t="shared" si="439"/>
        <v>3.2175810829499802</v>
      </c>
      <c r="I68" s="60">
        <f t="shared" si="439"/>
        <v>0.37623272178924372</v>
      </c>
      <c r="J68" s="60">
        <f t="shared" si="439"/>
        <v>1540.0896023952084</v>
      </c>
      <c r="K68" s="60">
        <f t="shared" si="439"/>
        <v>84926.137712285417</v>
      </c>
      <c r="L68" s="60">
        <f t="shared" si="439"/>
        <v>5.2683858227602857E-3</v>
      </c>
      <c r="M68" s="60">
        <f t="shared" si="439"/>
        <v>1.9050961700091333</v>
      </c>
      <c r="N68" s="60">
        <f t="shared" si="439"/>
        <v>0</v>
      </c>
      <c r="O68" s="60">
        <f t="shared" si="439"/>
        <v>0</v>
      </c>
      <c r="P68" s="60">
        <f t="shared" si="439"/>
        <v>96.267980330289973</v>
      </c>
      <c r="Q68" s="60">
        <f t="shared" si="439"/>
        <v>24.509973053188354</v>
      </c>
      <c r="R68" s="60">
        <f t="shared" si="439"/>
        <v>0</v>
      </c>
      <c r="S68" s="60">
        <f t="shared" si="439"/>
        <v>12.039447097255799</v>
      </c>
      <c r="T68" s="120">
        <f t="shared" si="410"/>
        <v>6.4931287013740005E-4</v>
      </c>
      <c r="U68" s="120">
        <f t="shared" si="411"/>
        <v>1.1774937927682775E-5</v>
      </c>
      <c r="V68" s="120">
        <f t="shared" si="412"/>
        <v>189.81145907724468</v>
      </c>
      <c r="W68" s="120">
        <f t="shared" si="413"/>
        <v>0.524907884306547</v>
      </c>
      <c r="X68" s="120" t="str">
        <f t="shared" si="414"/>
        <v>.</v>
      </c>
      <c r="Y68" s="120" t="str">
        <f t="shared" si="415"/>
        <v>.</v>
      </c>
      <c r="Z68" s="120">
        <f t="shared" si="416"/>
        <v>1.038766988326811E-2</v>
      </c>
      <c r="AA68" s="120">
        <f t="shared" si="417"/>
        <v>4.0799718458683333E-2</v>
      </c>
      <c r="AB68" s="120" t="str">
        <f t="shared" si="418"/>
        <v>.</v>
      </c>
      <c r="AC68" s="120">
        <f t="shared" si="419"/>
        <v>8.3060292712938133E-2</v>
      </c>
      <c r="AD68" s="60">
        <f t="shared" si="282"/>
        <v>5.2501354661758145E-3</v>
      </c>
      <c r="AE68" s="60">
        <f t="shared" ref="AE68:AN68" si="440">IFERROR(AE9/$B54,0)</f>
        <v>165.90801261280905</v>
      </c>
      <c r="AF68" s="60">
        <f t="shared" si="440"/>
        <v>0</v>
      </c>
      <c r="AG68" s="60">
        <f t="shared" si="440"/>
        <v>63135.747771986011</v>
      </c>
      <c r="AH68" s="60">
        <f t="shared" si="440"/>
        <v>26.505520580056427</v>
      </c>
      <c r="AI68" s="60">
        <f t="shared" si="440"/>
        <v>0</v>
      </c>
      <c r="AJ68" s="60">
        <f t="shared" si="440"/>
        <v>0</v>
      </c>
      <c r="AK68" s="60">
        <f t="shared" si="440"/>
        <v>16942.256349637355</v>
      </c>
      <c r="AL68" s="60">
        <f t="shared" si="440"/>
        <v>4162.6992277833497</v>
      </c>
      <c r="AM68" s="60">
        <f t="shared" si="440"/>
        <v>0</v>
      </c>
      <c r="AN68" s="60">
        <f t="shared" si="440"/>
        <v>25.082181452616247</v>
      </c>
      <c r="AO68" s="120">
        <f t="shared" si="421"/>
        <v>6.0274364345124717E-3</v>
      </c>
      <c r="AP68" s="120" t="str">
        <f t="shared" si="422"/>
        <v>.</v>
      </c>
      <c r="AQ68" s="120">
        <f t="shared" si="423"/>
        <v>1.5838887401975311E-5</v>
      </c>
      <c r="AR68" s="120">
        <f t="shared" si="424"/>
        <v>3.7727989419397819E-2</v>
      </c>
      <c r="AS68" s="120" t="str">
        <f t="shared" si="425"/>
        <v>.</v>
      </c>
      <c r="AT68" s="120" t="str">
        <f t="shared" si="426"/>
        <v>.</v>
      </c>
      <c r="AU68" s="120">
        <f t="shared" si="427"/>
        <v>5.9024015418194563E-5</v>
      </c>
      <c r="AV68" s="120">
        <f t="shared" si="428"/>
        <v>2.4022874228472738E-4</v>
      </c>
      <c r="AW68" s="120" t="str">
        <f t="shared" si="429"/>
        <v>.</v>
      </c>
      <c r="AX68" s="120">
        <f t="shared" si="430"/>
        <v>3.9868940502210307E-2</v>
      </c>
      <c r="AY68" s="60">
        <f t="shared" si="431"/>
        <v>11.913348308555916</v>
      </c>
      <c r="AZ68" s="60">
        <f>IFERROR(AZ9/$B54,0)</f>
        <v>6.2475803126291064E-2</v>
      </c>
      <c r="BA68" s="60">
        <f>IFERROR(BA9/$B54,0)</f>
        <v>3.8967684695976081</v>
      </c>
      <c r="BB68" s="60">
        <f t="shared" si="432"/>
        <v>6.1489951860895488E-2</v>
      </c>
    </row>
    <row r="69" spans="1:54" x14ac:dyDescent="0.25">
      <c r="A69" s="83" t="s">
        <v>1093</v>
      </c>
      <c r="B69" s="42">
        <v>1.9999999999999999E-7</v>
      </c>
      <c r="C69" s="60">
        <f t="shared" ref="C69:S69" si="441">IFERROR(C24/$B55,0)</f>
        <v>0</v>
      </c>
      <c r="D69" s="60">
        <f t="shared" si="441"/>
        <v>0</v>
      </c>
      <c r="E69" s="60">
        <f t="shared" si="441"/>
        <v>0</v>
      </c>
      <c r="F69" s="60">
        <f t="shared" si="441"/>
        <v>0</v>
      </c>
      <c r="G69" s="60">
        <f t="shared" si="441"/>
        <v>0</v>
      </c>
      <c r="H69" s="60">
        <f t="shared" si="441"/>
        <v>0</v>
      </c>
      <c r="I69" s="60">
        <f t="shared" si="441"/>
        <v>0</v>
      </c>
      <c r="J69" s="60">
        <f t="shared" si="441"/>
        <v>0</v>
      </c>
      <c r="K69" s="60">
        <f t="shared" si="441"/>
        <v>0</v>
      </c>
      <c r="L69" s="60">
        <f t="shared" si="441"/>
        <v>57134724.478504889</v>
      </c>
      <c r="M69" s="60">
        <f t="shared" si="441"/>
        <v>0</v>
      </c>
      <c r="N69" s="60">
        <f t="shared" si="441"/>
        <v>0</v>
      </c>
      <c r="O69" s="60">
        <f t="shared" si="441"/>
        <v>0</v>
      </c>
      <c r="P69" s="60">
        <f t="shared" si="441"/>
        <v>0</v>
      </c>
      <c r="Q69" s="60">
        <f t="shared" si="441"/>
        <v>0</v>
      </c>
      <c r="R69" s="60">
        <f t="shared" si="441"/>
        <v>0</v>
      </c>
      <c r="S69" s="60">
        <f t="shared" si="441"/>
        <v>0</v>
      </c>
      <c r="T69" s="120" t="str">
        <f t="shared" si="410"/>
        <v>.</v>
      </c>
      <c r="U69" s="120" t="str">
        <f t="shared" si="411"/>
        <v>.</v>
      </c>
      <c r="V69" s="120">
        <f t="shared" si="412"/>
        <v>1.7502490982978626E-8</v>
      </c>
      <c r="W69" s="120" t="str">
        <f t="shared" si="413"/>
        <v>.</v>
      </c>
      <c r="X69" s="120" t="str">
        <f t="shared" si="414"/>
        <v>.</v>
      </c>
      <c r="Y69" s="120" t="str">
        <f t="shared" si="415"/>
        <v>.</v>
      </c>
      <c r="Z69" s="120" t="str">
        <f t="shared" si="416"/>
        <v>.</v>
      </c>
      <c r="AA69" s="120" t="str">
        <f t="shared" si="417"/>
        <v>.</v>
      </c>
      <c r="AB69" s="120" t="str">
        <f t="shared" si="418"/>
        <v>.</v>
      </c>
      <c r="AC69" s="120" t="str">
        <f t="shared" si="419"/>
        <v>.</v>
      </c>
      <c r="AD69" s="60">
        <f t="shared" si="282"/>
        <v>57134724.478504889</v>
      </c>
      <c r="AE69" s="60">
        <f t="shared" ref="AE69:AN69" si="442">IFERROR(AE24/$B55,0)</f>
        <v>0</v>
      </c>
      <c r="AF69" s="60">
        <f t="shared" si="442"/>
        <v>0</v>
      </c>
      <c r="AG69" s="60">
        <f t="shared" si="442"/>
        <v>660103807585136.75</v>
      </c>
      <c r="AH69" s="60">
        <f t="shared" si="442"/>
        <v>0</v>
      </c>
      <c r="AI69" s="60">
        <f t="shared" si="442"/>
        <v>0</v>
      </c>
      <c r="AJ69" s="60">
        <f t="shared" si="442"/>
        <v>0</v>
      </c>
      <c r="AK69" s="60">
        <f t="shared" si="442"/>
        <v>0</v>
      </c>
      <c r="AL69" s="60">
        <f t="shared" si="442"/>
        <v>0</v>
      </c>
      <c r="AM69" s="60">
        <f t="shared" si="442"/>
        <v>0</v>
      </c>
      <c r="AN69" s="60">
        <f t="shared" si="442"/>
        <v>0</v>
      </c>
      <c r="AO69" s="120" t="str">
        <f t="shared" si="421"/>
        <v>.</v>
      </c>
      <c r="AP69" s="120" t="str">
        <f t="shared" si="422"/>
        <v>.</v>
      </c>
      <c r="AQ69" s="120">
        <f t="shared" si="423"/>
        <v>1.5149132432038353E-15</v>
      </c>
      <c r="AR69" s="120" t="str">
        <f t="shared" si="424"/>
        <v>.</v>
      </c>
      <c r="AS69" s="120" t="str">
        <f t="shared" si="425"/>
        <v>.</v>
      </c>
      <c r="AT69" s="120" t="str">
        <f t="shared" si="426"/>
        <v>.</v>
      </c>
      <c r="AU69" s="120" t="str">
        <f t="shared" si="427"/>
        <v>.</v>
      </c>
      <c r="AV69" s="120" t="str">
        <f t="shared" si="428"/>
        <v>.</v>
      </c>
      <c r="AW69" s="120" t="str">
        <f t="shared" si="429"/>
        <v>.</v>
      </c>
      <c r="AX69" s="120" t="str">
        <f t="shared" si="430"/>
        <v>.</v>
      </c>
      <c r="AY69" s="60">
        <f t="shared" si="431"/>
        <v>660103807585136.75</v>
      </c>
      <c r="AZ69" s="60">
        <f>IFERROR(AZ24/$B55,0)</f>
        <v>0</v>
      </c>
      <c r="BA69" s="60">
        <f>IFERROR(BA24/$B55,0)</f>
        <v>40894649936.076225</v>
      </c>
      <c r="BB69" s="60">
        <f t="shared" si="432"/>
        <v>40894649936.076225</v>
      </c>
    </row>
    <row r="70" spans="1:54" x14ac:dyDescent="0.25">
      <c r="A70" s="83" t="s">
        <v>1094</v>
      </c>
      <c r="B70" s="42">
        <v>0.99979000004200003</v>
      </c>
      <c r="C70" s="60">
        <f t="shared" ref="C70:S70" si="443">IFERROR(C20/$B56,0)</f>
        <v>0</v>
      </c>
      <c r="D70" s="60">
        <f t="shared" si="443"/>
        <v>0</v>
      </c>
      <c r="E70" s="60">
        <f t="shared" si="443"/>
        <v>0</v>
      </c>
      <c r="F70" s="60">
        <f t="shared" si="443"/>
        <v>0</v>
      </c>
      <c r="G70" s="60">
        <f t="shared" si="443"/>
        <v>0</v>
      </c>
      <c r="H70" s="60">
        <f t="shared" si="443"/>
        <v>0</v>
      </c>
      <c r="I70" s="60">
        <f t="shared" si="443"/>
        <v>0</v>
      </c>
      <c r="J70" s="60">
        <f t="shared" si="443"/>
        <v>0</v>
      </c>
      <c r="K70" s="60">
        <f t="shared" si="443"/>
        <v>0</v>
      </c>
      <c r="L70" s="60">
        <f t="shared" si="443"/>
        <v>100.4396989917602</v>
      </c>
      <c r="M70" s="60">
        <f t="shared" si="443"/>
        <v>0</v>
      </c>
      <c r="N70" s="60">
        <f t="shared" si="443"/>
        <v>0</v>
      </c>
      <c r="O70" s="60">
        <f t="shared" si="443"/>
        <v>0</v>
      </c>
      <c r="P70" s="60">
        <f t="shared" si="443"/>
        <v>0</v>
      </c>
      <c r="Q70" s="60">
        <f t="shared" si="443"/>
        <v>0</v>
      </c>
      <c r="R70" s="60">
        <f t="shared" si="443"/>
        <v>0</v>
      </c>
      <c r="S70" s="60">
        <f t="shared" si="443"/>
        <v>0</v>
      </c>
      <c r="T70" s="120" t="str">
        <f t="shared" si="410"/>
        <v>.</v>
      </c>
      <c r="U70" s="120" t="str">
        <f t="shared" si="411"/>
        <v>.</v>
      </c>
      <c r="V70" s="120">
        <f t="shared" si="412"/>
        <v>9.9562225896558821E-3</v>
      </c>
      <c r="W70" s="120" t="str">
        <f t="shared" si="413"/>
        <v>.</v>
      </c>
      <c r="X70" s="120" t="str">
        <f t="shared" si="414"/>
        <v>.</v>
      </c>
      <c r="Y70" s="120" t="str">
        <f t="shared" si="415"/>
        <v>.</v>
      </c>
      <c r="Z70" s="120" t="str">
        <f t="shared" si="416"/>
        <v>.</v>
      </c>
      <c r="AA70" s="120" t="str">
        <f t="shared" si="417"/>
        <v>.</v>
      </c>
      <c r="AB70" s="120" t="str">
        <f t="shared" si="418"/>
        <v>.</v>
      </c>
      <c r="AC70" s="120" t="str">
        <f t="shared" si="419"/>
        <v>.</v>
      </c>
      <c r="AD70" s="60">
        <f t="shared" si="282"/>
        <v>100.4396989917602</v>
      </c>
      <c r="AE70" s="60">
        <f t="shared" ref="AE70:AN70" si="444">IFERROR(AE20/$B56,0)</f>
        <v>0</v>
      </c>
      <c r="AF70" s="60">
        <f t="shared" si="444"/>
        <v>0</v>
      </c>
      <c r="AG70" s="60">
        <f t="shared" si="444"/>
        <v>1181067203.242521</v>
      </c>
      <c r="AH70" s="60">
        <f t="shared" si="444"/>
        <v>0</v>
      </c>
      <c r="AI70" s="60">
        <f t="shared" si="444"/>
        <v>0</v>
      </c>
      <c r="AJ70" s="60">
        <f t="shared" si="444"/>
        <v>0</v>
      </c>
      <c r="AK70" s="60">
        <f t="shared" si="444"/>
        <v>0</v>
      </c>
      <c r="AL70" s="60">
        <f t="shared" si="444"/>
        <v>0</v>
      </c>
      <c r="AM70" s="60">
        <f t="shared" si="444"/>
        <v>0</v>
      </c>
      <c r="AN70" s="60">
        <f t="shared" si="444"/>
        <v>0</v>
      </c>
      <c r="AO70" s="120" t="str">
        <f t="shared" si="421"/>
        <v>.</v>
      </c>
      <c r="AP70" s="120" t="str">
        <f t="shared" si="422"/>
        <v>.</v>
      </c>
      <c r="AQ70" s="120">
        <f t="shared" si="423"/>
        <v>8.4669187092367294E-10</v>
      </c>
      <c r="AR70" s="120" t="str">
        <f t="shared" si="424"/>
        <v>.</v>
      </c>
      <c r="AS70" s="120" t="str">
        <f t="shared" si="425"/>
        <v>.</v>
      </c>
      <c r="AT70" s="120" t="str">
        <f t="shared" si="426"/>
        <v>.</v>
      </c>
      <c r="AU70" s="120" t="str">
        <f t="shared" si="427"/>
        <v>.</v>
      </c>
      <c r="AV70" s="120" t="str">
        <f t="shared" si="428"/>
        <v>.</v>
      </c>
      <c r="AW70" s="120" t="str">
        <f t="shared" si="429"/>
        <v>.</v>
      </c>
      <c r="AX70" s="120" t="str">
        <f t="shared" si="430"/>
        <v>.</v>
      </c>
      <c r="AY70" s="60">
        <f t="shared" si="431"/>
        <v>1181067203.242521</v>
      </c>
      <c r="AZ70" s="60">
        <f>IFERROR(AZ20/$B56,0)</f>
        <v>0</v>
      </c>
      <c r="BA70" s="60">
        <f>IFERROR(BA20/$B56,0)</f>
        <v>72984.211861483142</v>
      </c>
      <c r="BB70" s="60">
        <f t="shared" si="432"/>
        <v>72984.211861483142</v>
      </c>
    </row>
    <row r="71" spans="1:54" x14ac:dyDescent="0.25">
      <c r="A71" s="83" t="s">
        <v>1095</v>
      </c>
      <c r="B71" s="42">
        <v>2.0999995799999999E-4</v>
      </c>
      <c r="C71" s="60">
        <f t="shared" ref="C71:S71" si="445">IFERROR(C29/$B57,0)</f>
        <v>0</v>
      </c>
      <c r="D71" s="60">
        <f t="shared" si="445"/>
        <v>0</v>
      </c>
      <c r="E71" s="60">
        <f t="shared" si="445"/>
        <v>0</v>
      </c>
      <c r="F71" s="60">
        <f t="shared" si="445"/>
        <v>0</v>
      </c>
      <c r="G71" s="60">
        <f t="shared" si="445"/>
        <v>0</v>
      </c>
      <c r="H71" s="60">
        <f t="shared" si="445"/>
        <v>0</v>
      </c>
      <c r="I71" s="60">
        <f t="shared" si="445"/>
        <v>0</v>
      </c>
      <c r="J71" s="60">
        <f t="shared" si="445"/>
        <v>0</v>
      </c>
      <c r="K71" s="60">
        <f t="shared" si="445"/>
        <v>0</v>
      </c>
      <c r="L71" s="60">
        <f t="shared" si="445"/>
        <v>13.721799927603394</v>
      </c>
      <c r="M71" s="60">
        <f t="shared" si="445"/>
        <v>0</v>
      </c>
      <c r="N71" s="60">
        <f t="shared" si="445"/>
        <v>0</v>
      </c>
      <c r="O71" s="60">
        <f t="shared" si="445"/>
        <v>0</v>
      </c>
      <c r="P71" s="60">
        <f t="shared" si="445"/>
        <v>0</v>
      </c>
      <c r="Q71" s="60">
        <f t="shared" si="445"/>
        <v>0</v>
      </c>
      <c r="R71" s="60">
        <f t="shared" si="445"/>
        <v>0</v>
      </c>
      <c r="S71" s="60">
        <f t="shared" si="445"/>
        <v>0</v>
      </c>
      <c r="T71" s="120" t="str">
        <f t="shared" si="410"/>
        <v>.</v>
      </c>
      <c r="U71" s="120" t="str">
        <f t="shared" si="411"/>
        <v>.</v>
      </c>
      <c r="V71" s="120">
        <f t="shared" si="412"/>
        <v>7.2876736672741804E-2</v>
      </c>
      <c r="W71" s="120" t="str">
        <f t="shared" si="413"/>
        <v>.</v>
      </c>
      <c r="X71" s="120" t="str">
        <f t="shared" si="414"/>
        <v>.</v>
      </c>
      <c r="Y71" s="120" t="str">
        <f t="shared" si="415"/>
        <v>.</v>
      </c>
      <c r="Z71" s="120" t="str">
        <f t="shared" si="416"/>
        <v>.</v>
      </c>
      <c r="AA71" s="120" t="str">
        <f t="shared" si="417"/>
        <v>.</v>
      </c>
      <c r="AB71" s="120" t="str">
        <f t="shared" si="418"/>
        <v>.</v>
      </c>
      <c r="AC71" s="120" t="str">
        <f t="shared" si="419"/>
        <v>.</v>
      </c>
      <c r="AD71" s="60">
        <f t="shared" si="282"/>
        <v>13.721799927603392</v>
      </c>
      <c r="AE71" s="60">
        <f t="shared" ref="AE71:AN71" si="446">IFERROR(AE29/$B57,0)</f>
        <v>0</v>
      </c>
      <c r="AF71" s="60">
        <f t="shared" si="446"/>
        <v>0</v>
      </c>
      <c r="AG71" s="60">
        <f t="shared" si="446"/>
        <v>162087634.03159973</v>
      </c>
      <c r="AH71" s="60">
        <f t="shared" si="446"/>
        <v>0</v>
      </c>
      <c r="AI71" s="60">
        <f t="shared" si="446"/>
        <v>0</v>
      </c>
      <c r="AJ71" s="60">
        <f t="shared" si="446"/>
        <v>0</v>
      </c>
      <c r="AK71" s="60">
        <f t="shared" si="446"/>
        <v>0</v>
      </c>
      <c r="AL71" s="60">
        <f t="shared" si="446"/>
        <v>0</v>
      </c>
      <c r="AM71" s="60">
        <f t="shared" si="446"/>
        <v>0</v>
      </c>
      <c r="AN71" s="60">
        <f t="shared" si="446"/>
        <v>0</v>
      </c>
      <c r="AO71" s="120" t="str">
        <f t="shared" si="421"/>
        <v>.</v>
      </c>
      <c r="AP71" s="120" t="str">
        <f t="shared" si="422"/>
        <v>.</v>
      </c>
      <c r="AQ71" s="120">
        <f t="shared" si="423"/>
        <v>6.1695021089952203E-9</v>
      </c>
      <c r="AR71" s="120" t="str">
        <f t="shared" si="424"/>
        <v>.</v>
      </c>
      <c r="AS71" s="120" t="str">
        <f t="shared" si="425"/>
        <v>.</v>
      </c>
      <c r="AT71" s="120" t="str">
        <f t="shared" si="426"/>
        <v>.</v>
      </c>
      <c r="AU71" s="120" t="str">
        <f t="shared" si="427"/>
        <v>.</v>
      </c>
      <c r="AV71" s="120" t="str">
        <f t="shared" si="428"/>
        <v>.</v>
      </c>
      <c r="AW71" s="120" t="str">
        <f t="shared" si="429"/>
        <v>.</v>
      </c>
      <c r="AX71" s="120" t="str">
        <f t="shared" si="430"/>
        <v>.</v>
      </c>
      <c r="AY71" s="60">
        <f t="shared" si="431"/>
        <v>162087634.03159973</v>
      </c>
      <c r="AZ71" s="60">
        <f>IFERROR(AZ29/$B57,0)</f>
        <v>0</v>
      </c>
      <c r="BA71" s="60">
        <f>IFERROR(BA29/$B57,0)</f>
        <v>10030.765198020792</v>
      </c>
      <c r="BB71" s="60">
        <f t="shared" si="432"/>
        <v>10030.765198020792</v>
      </c>
    </row>
    <row r="72" spans="1:54" x14ac:dyDescent="0.25">
      <c r="A72" s="83" t="s">
        <v>1096</v>
      </c>
      <c r="B72" s="42">
        <v>1</v>
      </c>
      <c r="C72" s="60">
        <f t="shared" ref="C72:S72" si="447">IFERROR(C16/$B58,0)</f>
        <v>4.3302417625098843E-5</v>
      </c>
      <c r="D72" s="60">
        <f t="shared" si="447"/>
        <v>6.1741782738285471E-4</v>
      </c>
      <c r="E72" s="60">
        <f t="shared" si="447"/>
        <v>1.0955085784971432E-3</v>
      </c>
      <c r="F72" s="60">
        <f t="shared" si="447"/>
        <v>4.0491984577234745E-4</v>
      </c>
      <c r="G72" s="60">
        <f t="shared" si="447"/>
        <v>8.3833497265629385E-5</v>
      </c>
      <c r="H72" s="60">
        <f t="shared" si="447"/>
        <v>7.2547332549497128E-4</v>
      </c>
      <c r="I72" s="60">
        <f t="shared" si="447"/>
        <v>8.4829813701608613E-5</v>
      </c>
      <c r="J72" s="60">
        <f t="shared" si="447"/>
        <v>0.36178821786018189</v>
      </c>
      <c r="K72" s="60">
        <f t="shared" si="447"/>
        <v>330.6516890904162</v>
      </c>
      <c r="L72" s="60">
        <f t="shared" si="447"/>
        <v>26.093023777584907</v>
      </c>
      <c r="M72" s="60">
        <f t="shared" si="447"/>
        <v>2.4783998397942325E-3</v>
      </c>
      <c r="N72" s="60">
        <f t="shared" si="447"/>
        <v>0</v>
      </c>
      <c r="O72" s="60">
        <f t="shared" si="447"/>
        <v>0</v>
      </c>
      <c r="P72" s="60">
        <f t="shared" si="447"/>
        <v>0.16107101344487576</v>
      </c>
      <c r="Q72" s="60">
        <f t="shared" si="447"/>
        <v>7.9290340383769711E-2</v>
      </c>
      <c r="R72" s="60">
        <f t="shared" si="447"/>
        <v>0</v>
      </c>
      <c r="S72" s="60">
        <f t="shared" si="447"/>
        <v>5.0897888220965168E-4</v>
      </c>
      <c r="T72" s="120">
        <f t="shared" si="410"/>
        <v>2.7640479999999998</v>
      </c>
      <c r="U72" s="120">
        <f t="shared" si="411"/>
        <v>3.0243305357092898E-3</v>
      </c>
      <c r="V72" s="120">
        <f t="shared" si="412"/>
        <v>3.832441991100493E-2</v>
      </c>
      <c r="W72" s="120">
        <f t="shared" si="413"/>
        <v>403.48614615913806</v>
      </c>
      <c r="X72" s="120" t="str">
        <f t="shared" si="414"/>
        <v>.</v>
      </c>
      <c r="Y72" s="120" t="str">
        <f t="shared" si="415"/>
        <v>.</v>
      </c>
      <c r="Z72" s="120">
        <f t="shared" si="416"/>
        <v>6.2084417215282226</v>
      </c>
      <c r="AA72" s="120">
        <f t="shared" si="417"/>
        <v>12.611876745136213</v>
      </c>
      <c r="AB72" s="120" t="str">
        <f t="shared" si="418"/>
        <v>.</v>
      </c>
      <c r="AC72" s="120">
        <f t="shared" si="419"/>
        <v>1964.7180560000004</v>
      </c>
      <c r="AD72" s="60">
        <f t="shared" si="282"/>
        <v>4.1843981980855003E-4</v>
      </c>
      <c r="AE72" s="60">
        <f t="shared" ref="AE72:AN72" si="448">IFERROR(AE16/$B58,0)</f>
        <v>3.6027716035479572E-2</v>
      </c>
      <c r="AF72" s="60">
        <f t="shared" si="448"/>
        <v>0</v>
      </c>
      <c r="AG72" s="60">
        <f t="shared" si="448"/>
        <v>100627649.84524062</v>
      </c>
      <c r="AH72" s="60">
        <f t="shared" si="448"/>
        <v>1.014886733469204E-2</v>
      </c>
      <c r="AI72" s="60">
        <f t="shared" si="448"/>
        <v>0</v>
      </c>
      <c r="AJ72" s="60">
        <f t="shared" si="448"/>
        <v>0</v>
      </c>
      <c r="AK72" s="60">
        <f t="shared" si="448"/>
        <v>10.914281557206131</v>
      </c>
      <c r="AL72" s="60">
        <f t="shared" si="448"/>
        <v>4.9398456626772465</v>
      </c>
      <c r="AM72" s="60">
        <f t="shared" si="448"/>
        <v>0</v>
      </c>
      <c r="AN72" s="60">
        <f t="shared" si="448"/>
        <v>3.3931925480643445E-3</v>
      </c>
      <c r="AO72" s="120">
        <f t="shared" si="421"/>
        <v>27.756408400000002</v>
      </c>
      <c r="AP72" s="120" t="str">
        <f t="shared" si="422"/>
        <v>.</v>
      </c>
      <c r="AQ72" s="120">
        <f t="shared" si="423"/>
        <v>9.9376265026356169E-9</v>
      </c>
      <c r="AR72" s="120">
        <f t="shared" si="424"/>
        <v>98.533163063594642</v>
      </c>
      <c r="AS72" s="120" t="str">
        <f t="shared" si="425"/>
        <v>.</v>
      </c>
      <c r="AT72" s="120" t="str">
        <f t="shared" si="426"/>
        <v>.</v>
      </c>
      <c r="AU72" s="120">
        <f t="shared" si="427"/>
        <v>9.1623071547000015E-2</v>
      </c>
      <c r="AV72" s="120">
        <f t="shared" si="428"/>
        <v>0.20243547436217477</v>
      </c>
      <c r="AW72" s="120" t="str">
        <f t="shared" si="429"/>
        <v>.</v>
      </c>
      <c r="AX72" s="120">
        <f t="shared" si="430"/>
        <v>294.70770840000006</v>
      </c>
      <c r="AY72" s="60">
        <f t="shared" si="431"/>
        <v>2.3736543071398038E-3</v>
      </c>
      <c r="AZ72" s="60">
        <f>IFERROR(AZ16/$B58,0)</f>
        <v>2.432434864867297E-4</v>
      </c>
      <c r="BA72" s="60">
        <f>IFERROR(BA16/$B58,0)</f>
        <v>6625.6613843019659</v>
      </c>
      <c r="BB72" s="60">
        <f t="shared" si="432"/>
        <v>2.4324347755669417E-4</v>
      </c>
    </row>
    <row r="73" spans="1:54" x14ac:dyDescent="0.25">
      <c r="A73" s="83" t="s">
        <v>1097</v>
      </c>
      <c r="B73" s="42">
        <v>1</v>
      </c>
      <c r="C73" s="60">
        <f t="shared" ref="C73:S73" si="449">IFERROR(C7/$B59,0)</f>
        <v>3.9119797740856345E-3</v>
      </c>
      <c r="D73" s="60">
        <f t="shared" si="449"/>
        <v>5.5778087814701088E-2</v>
      </c>
      <c r="E73" s="60">
        <f t="shared" si="449"/>
        <v>9.8969240898321473E-2</v>
      </c>
      <c r="F73" s="60">
        <f t="shared" si="449"/>
        <v>3.6580826976024577E-2</v>
      </c>
      <c r="G73" s="60">
        <f t="shared" si="449"/>
        <v>7.5735943552472009E-3</v>
      </c>
      <c r="H73" s="60">
        <f t="shared" si="449"/>
        <v>6.5539919746420705E-2</v>
      </c>
      <c r="I73" s="60">
        <f t="shared" si="449"/>
        <v>7.6636024878157802E-3</v>
      </c>
      <c r="J73" s="60">
        <f t="shared" si="449"/>
        <v>25.865906484919016</v>
      </c>
      <c r="K73" s="60">
        <f t="shared" si="449"/>
        <v>11532.485741446224</v>
      </c>
      <c r="L73" s="60">
        <f t="shared" si="449"/>
        <v>13.982337636089804</v>
      </c>
      <c r="M73" s="60">
        <f t="shared" si="449"/>
        <v>3.8805502292777211E-2</v>
      </c>
      <c r="N73" s="60">
        <f t="shared" si="449"/>
        <v>0</v>
      </c>
      <c r="O73" s="60">
        <f t="shared" si="449"/>
        <v>0</v>
      </c>
      <c r="P73" s="60">
        <f t="shared" si="449"/>
        <v>1.9609127298860667</v>
      </c>
      <c r="Q73" s="60">
        <f t="shared" si="449"/>
        <v>0.49925133989789539</v>
      </c>
      <c r="R73" s="60">
        <f t="shared" si="449"/>
        <v>0</v>
      </c>
      <c r="S73" s="60">
        <f t="shared" si="449"/>
        <v>0.24523527961010497</v>
      </c>
      <c r="T73" s="120">
        <f t="shared" si="410"/>
        <v>3.8660929999999996E-2</v>
      </c>
      <c r="U73" s="120">
        <f t="shared" si="411"/>
        <v>8.6711574800056555E-5</v>
      </c>
      <c r="V73" s="120">
        <f t="shared" si="412"/>
        <v>7.151879936148163E-2</v>
      </c>
      <c r="W73" s="120">
        <f t="shared" si="413"/>
        <v>25.769541454592328</v>
      </c>
      <c r="X73" s="120" t="str">
        <f t="shared" si="414"/>
        <v>.</v>
      </c>
      <c r="Y73" s="120" t="str">
        <f t="shared" si="415"/>
        <v>.</v>
      </c>
      <c r="Z73" s="120">
        <f t="shared" si="416"/>
        <v>0.50996660114400005</v>
      </c>
      <c r="AA73" s="120">
        <f t="shared" si="417"/>
        <v>2.0029991310679618</v>
      </c>
      <c r="AB73" s="120" t="str">
        <f t="shared" si="418"/>
        <v>.</v>
      </c>
      <c r="AC73" s="120">
        <f t="shared" si="419"/>
        <v>4.0777167199999997</v>
      </c>
      <c r="AD73" s="60">
        <f t="shared" si="282"/>
        <v>3.0797194292126975E-2</v>
      </c>
      <c r="AE73" s="60">
        <f t="shared" ref="AE73:AN73" si="450">IFERROR(AE7/$B59,0)</f>
        <v>3.5728730840164387</v>
      </c>
      <c r="AF73" s="60">
        <f t="shared" si="450"/>
        <v>0</v>
      </c>
      <c r="AG73" s="60">
        <f t="shared" si="450"/>
        <v>116848226.23820479</v>
      </c>
      <c r="AH73" s="60">
        <f t="shared" si="450"/>
        <v>0.53989927429002305</v>
      </c>
      <c r="AI73" s="60">
        <f t="shared" si="450"/>
        <v>0</v>
      </c>
      <c r="AJ73" s="60">
        <f t="shared" si="450"/>
        <v>0</v>
      </c>
      <c r="AK73" s="60">
        <f t="shared" si="450"/>
        <v>345.10214128325072</v>
      </c>
      <c r="AL73" s="60">
        <f t="shared" si="450"/>
        <v>84.791328107658885</v>
      </c>
      <c r="AM73" s="60">
        <f t="shared" si="450"/>
        <v>0</v>
      </c>
      <c r="AN73" s="60">
        <f t="shared" si="450"/>
        <v>0.51090683252105207</v>
      </c>
      <c r="AO73" s="120">
        <f t="shared" si="421"/>
        <v>0.27988679600000005</v>
      </c>
      <c r="AP73" s="120" t="str">
        <f t="shared" si="422"/>
        <v>.</v>
      </c>
      <c r="AQ73" s="120">
        <f t="shared" si="423"/>
        <v>8.558110227205479E-9</v>
      </c>
      <c r="AR73" s="120">
        <f t="shared" si="424"/>
        <v>1.8521973405410064</v>
      </c>
      <c r="AS73" s="120" t="str">
        <f t="shared" si="425"/>
        <v>.</v>
      </c>
      <c r="AT73" s="120" t="str">
        <f t="shared" si="426"/>
        <v>.</v>
      </c>
      <c r="AU73" s="120">
        <f t="shared" si="427"/>
        <v>2.8976928287999999E-3</v>
      </c>
      <c r="AV73" s="120">
        <f t="shared" si="428"/>
        <v>1.1793658883728155E-2</v>
      </c>
      <c r="AW73" s="120" t="str">
        <f t="shared" si="429"/>
        <v>.</v>
      </c>
      <c r="AX73" s="120">
        <f t="shared" si="430"/>
        <v>1.9573040255999996</v>
      </c>
      <c r="AY73" s="60">
        <f t="shared" si="431"/>
        <v>0.24365999599646618</v>
      </c>
      <c r="AZ73" s="60">
        <f>IFERROR(AZ7/$B59,0)</f>
        <v>8.4838581872200853E-3</v>
      </c>
      <c r="BA73" s="60">
        <f>IFERROR(BA7/$B59,0)</f>
        <v>4929.0240320303792</v>
      </c>
      <c r="BB73" s="60">
        <f t="shared" si="432"/>
        <v>8.483843584790601E-3</v>
      </c>
    </row>
    <row r="74" spans="1:54" x14ac:dyDescent="0.25">
      <c r="A74" s="83" t="s">
        <v>1098</v>
      </c>
      <c r="B74" s="86">
        <v>1.9000000000000001E-8</v>
      </c>
      <c r="C74" s="60">
        <f t="shared" ref="C74:S74" si="451">IFERROR(C12/$B60,0)</f>
        <v>0</v>
      </c>
      <c r="D74" s="60">
        <f t="shared" si="451"/>
        <v>0</v>
      </c>
      <c r="E74" s="60">
        <f t="shared" si="451"/>
        <v>0</v>
      </c>
      <c r="F74" s="60">
        <f t="shared" si="451"/>
        <v>0</v>
      </c>
      <c r="G74" s="60">
        <f t="shared" si="451"/>
        <v>0</v>
      </c>
      <c r="H74" s="60">
        <f t="shared" si="451"/>
        <v>0</v>
      </c>
      <c r="I74" s="60">
        <f t="shared" si="451"/>
        <v>0</v>
      </c>
      <c r="J74" s="60">
        <f t="shared" si="451"/>
        <v>0</v>
      </c>
      <c r="K74" s="60">
        <f t="shared" si="451"/>
        <v>0</v>
      </c>
      <c r="L74" s="60">
        <f t="shared" si="451"/>
        <v>4212832.4685396431</v>
      </c>
      <c r="M74" s="60">
        <f t="shared" si="451"/>
        <v>0</v>
      </c>
      <c r="N74" s="60">
        <f t="shared" si="451"/>
        <v>0</v>
      </c>
      <c r="O74" s="60">
        <f t="shared" si="451"/>
        <v>0</v>
      </c>
      <c r="P74" s="60">
        <f t="shared" si="451"/>
        <v>0</v>
      </c>
      <c r="Q74" s="60">
        <f t="shared" si="451"/>
        <v>0</v>
      </c>
      <c r="R74" s="60">
        <f t="shared" si="451"/>
        <v>0</v>
      </c>
      <c r="S74" s="60">
        <f t="shared" si="451"/>
        <v>0</v>
      </c>
      <c r="T74" s="120" t="str">
        <f t="shared" si="410"/>
        <v>.</v>
      </c>
      <c r="U74" s="120" t="str">
        <f t="shared" si="411"/>
        <v>.</v>
      </c>
      <c r="V74" s="120">
        <f t="shared" si="412"/>
        <v>2.373699897794998E-7</v>
      </c>
      <c r="W74" s="120" t="str">
        <f t="shared" si="413"/>
        <v>.</v>
      </c>
      <c r="X74" s="120" t="str">
        <f t="shared" si="414"/>
        <v>.</v>
      </c>
      <c r="Y74" s="120" t="str">
        <f t="shared" si="415"/>
        <v>.</v>
      </c>
      <c r="Z74" s="120" t="str">
        <f t="shared" si="416"/>
        <v>.</v>
      </c>
      <c r="AA74" s="120" t="str">
        <f t="shared" si="417"/>
        <v>.</v>
      </c>
      <c r="AB74" s="120" t="str">
        <f t="shared" si="418"/>
        <v>.</v>
      </c>
      <c r="AC74" s="120" t="str">
        <f t="shared" si="419"/>
        <v>.</v>
      </c>
      <c r="AD74" s="60">
        <f t="shared" ref="AD74:AD76" si="452">IFERROR(1/(SUMIF(T74:AC74,"&lt;&gt;0")),".")</f>
        <v>4212832.4685396431</v>
      </c>
      <c r="AE74" s="60">
        <f t="shared" ref="AE74:AN74" si="453">IFERROR(AE12/$B60,0)</f>
        <v>0</v>
      </c>
      <c r="AF74" s="60">
        <f t="shared" si="453"/>
        <v>0</v>
      </c>
      <c r="AG74" s="60">
        <f t="shared" si="453"/>
        <v>44545269746570.242</v>
      </c>
      <c r="AH74" s="60">
        <f t="shared" si="453"/>
        <v>0</v>
      </c>
      <c r="AI74" s="60">
        <f t="shared" si="453"/>
        <v>0</v>
      </c>
      <c r="AJ74" s="60">
        <f t="shared" si="453"/>
        <v>0</v>
      </c>
      <c r="AK74" s="60">
        <f t="shared" si="453"/>
        <v>0</v>
      </c>
      <c r="AL74" s="60">
        <f t="shared" si="453"/>
        <v>0</v>
      </c>
      <c r="AM74" s="60">
        <f t="shared" si="453"/>
        <v>0</v>
      </c>
      <c r="AN74" s="60">
        <f t="shared" si="453"/>
        <v>0</v>
      </c>
      <c r="AO74" s="120" t="str">
        <f t="shared" si="421"/>
        <v>.</v>
      </c>
      <c r="AP74" s="120" t="str">
        <f t="shared" si="422"/>
        <v>.</v>
      </c>
      <c r="AQ74" s="120">
        <f t="shared" si="423"/>
        <v>2.2449072722856167E-14</v>
      </c>
      <c r="AR74" s="120" t="str">
        <f t="shared" si="424"/>
        <v>.</v>
      </c>
      <c r="AS74" s="120" t="str">
        <f t="shared" si="425"/>
        <v>.</v>
      </c>
      <c r="AT74" s="120" t="str">
        <f t="shared" si="426"/>
        <v>.</v>
      </c>
      <c r="AU74" s="120" t="str">
        <f t="shared" si="427"/>
        <v>.</v>
      </c>
      <c r="AV74" s="120" t="str">
        <f t="shared" si="428"/>
        <v>.</v>
      </c>
      <c r="AW74" s="120" t="str">
        <f t="shared" si="429"/>
        <v>.</v>
      </c>
      <c r="AX74" s="120" t="str">
        <f t="shared" si="430"/>
        <v>.</v>
      </c>
      <c r="AY74" s="60">
        <f t="shared" si="431"/>
        <v>44545269746570.242</v>
      </c>
      <c r="AZ74" s="60">
        <f>IFERROR(AZ12/$B60,0)</f>
        <v>0</v>
      </c>
      <c r="BA74" s="60">
        <f>IFERROR(BA12/$B60,0)</f>
        <v>2765136701.5600767</v>
      </c>
      <c r="BB74" s="60">
        <f t="shared" si="432"/>
        <v>2765136701.5600767</v>
      </c>
    </row>
    <row r="75" spans="1:54" x14ac:dyDescent="0.25">
      <c r="A75" s="83" t="s">
        <v>1099</v>
      </c>
      <c r="B75" s="42">
        <v>1</v>
      </c>
      <c r="C75" s="60">
        <f t="shared" ref="C75:S75" si="454">IFERROR(C18/$B61,0)</f>
        <v>2.2611114621972793E-5</v>
      </c>
      <c r="D75" s="60">
        <f t="shared" si="454"/>
        <v>3.2239551577626898E-4</v>
      </c>
      <c r="E75" s="60">
        <f t="shared" si="454"/>
        <v>5.7203896217092212E-4</v>
      </c>
      <c r="F75" s="60">
        <f t="shared" si="454"/>
        <v>2.1143597858063465E-4</v>
      </c>
      <c r="G75" s="60">
        <f t="shared" si="454"/>
        <v>4.3775126651018307E-5</v>
      </c>
      <c r="H75" s="60">
        <f t="shared" si="454"/>
        <v>3.7881858375599483E-4</v>
      </c>
      <c r="I75" s="60">
        <f t="shared" si="454"/>
        <v>4.4295370701332581E-5</v>
      </c>
      <c r="J75" s="60">
        <f t="shared" si="454"/>
        <v>0.1896833142227394</v>
      </c>
      <c r="K75" s="60">
        <f t="shared" si="454"/>
        <v>361.86115974435853</v>
      </c>
      <c r="L75" s="60">
        <f t="shared" si="454"/>
        <v>858.50104138686095</v>
      </c>
      <c r="M75" s="60">
        <f t="shared" si="454"/>
        <v>1.033969984015151E-2</v>
      </c>
      <c r="N75" s="60">
        <f t="shared" si="454"/>
        <v>1.8642862185569407E-3</v>
      </c>
      <c r="O75" s="60">
        <f t="shared" si="454"/>
        <v>2.5609361728370205E-3</v>
      </c>
      <c r="P75" s="60">
        <f t="shared" si="454"/>
        <v>1.2272287253148269E-2</v>
      </c>
      <c r="Q75" s="60">
        <f t="shared" si="454"/>
        <v>3.917574235923843E-2</v>
      </c>
      <c r="R75" s="60">
        <f t="shared" si="454"/>
        <v>0</v>
      </c>
      <c r="S75" s="60">
        <f t="shared" si="454"/>
        <v>2.583896624244401E-4</v>
      </c>
      <c r="T75" s="120">
        <f t="shared" si="410"/>
        <v>5.2719450000000005</v>
      </c>
      <c r="U75" s="120">
        <f t="shared" si="411"/>
        <v>2.7634908391562744E-3</v>
      </c>
      <c r="V75" s="120">
        <f t="shared" si="412"/>
        <v>1.1648209516258189E-3</v>
      </c>
      <c r="W75" s="120">
        <f t="shared" si="413"/>
        <v>96.714606367659002</v>
      </c>
      <c r="X75" s="120">
        <f t="shared" si="414"/>
        <v>536.39832234240009</v>
      </c>
      <c r="Y75" s="120">
        <f t="shared" si="415"/>
        <v>390.48220358112007</v>
      </c>
      <c r="Z75" s="120">
        <f t="shared" si="416"/>
        <v>81.484402978219492</v>
      </c>
      <c r="AA75" s="120">
        <f t="shared" si="417"/>
        <v>25.526000013735025</v>
      </c>
      <c r="AB75" s="120" t="str">
        <f t="shared" si="418"/>
        <v>.</v>
      </c>
      <c r="AC75" s="120">
        <f t="shared" si="419"/>
        <v>3870.1238687999994</v>
      </c>
      <c r="AD75" s="60">
        <f t="shared" si="452"/>
        <v>1.9976007706495872E-4</v>
      </c>
      <c r="AE75" s="60">
        <f t="shared" ref="AE75:AN75" si="455">IFERROR(AE18/$B61,0)</f>
        <v>1.7938800275999204E-2</v>
      </c>
      <c r="AF75" s="60">
        <f t="shared" si="455"/>
        <v>0</v>
      </c>
      <c r="AG75" s="60">
        <f t="shared" si="455"/>
        <v>10075715776.009937</v>
      </c>
      <c r="AH75" s="60">
        <f t="shared" si="455"/>
        <v>6.0777065310532851E-3</v>
      </c>
      <c r="AI75" s="60">
        <f t="shared" si="455"/>
        <v>0.33582866226694685</v>
      </c>
      <c r="AJ75" s="60">
        <f t="shared" si="455"/>
        <v>0.46132174368622741</v>
      </c>
      <c r="AK75" s="60">
        <f t="shared" si="455"/>
        <v>0.79787161728541367</v>
      </c>
      <c r="AL75" s="60">
        <f t="shared" si="455"/>
        <v>2.3337671040656756</v>
      </c>
      <c r="AM75" s="60">
        <f t="shared" si="455"/>
        <v>0</v>
      </c>
      <c r="AN75" s="60">
        <f t="shared" si="455"/>
        <v>1.230426963925905E-3</v>
      </c>
      <c r="AO75" s="120">
        <f t="shared" si="421"/>
        <v>55.745088000000003</v>
      </c>
      <c r="AP75" s="120" t="str">
        <f t="shared" si="422"/>
        <v>.</v>
      </c>
      <c r="AQ75" s="120">
        <f t="shared" si="423"/>
        <v>9.9248532037890403E-11</v>
      </c>
      <c r="AR75" s="120">
        <f t="shared" si="424"/>
        <v>164.53574961058493</v>
      </c>
      <c r="AS75" s="120">
        <f t="shared" si="425"/>
        <v>2.9777089104000001</v>
      </c>
      <c r="AT75" s="120">
        <f t="shared" si="426"/>
        <v>2.1676845145200003</v>
      </c>
      <c r="AU75" s="120">
        <f t="shared" si="427"/>
        <v>1.2533344692750001</v>
      </c>
      <c r="AV75" s="120">
        <f t="shared" si="428"/>
        <v>0.42849177120454374</v>
      </c>
      <c r="AW75" s="120" t="str">
        <f t="shared" si="429"/>
        <v>.</v>
      </c>
      <c r="AX75" s="120">
        <f t="shared" si="430"/>
        <v>812.72601244800012</v>
      </c>
      <c r="AY75" s="60">
        <f t="shared" si="431"/>
        <v>9.6169189788650265E-4</v>
      </c>
      <c r="AZ75" s="60">
        <f>IFERROR(AZ18/$B61,0)</f>
        <v>2.6620269311940573E-4</v>
      </c>
      <c r="BA75" s="60">
        <f>IFERROR(BA18/$B61,0)</f>
        <v>623700.52695803414</v>
      </c>
      <c r="BB75" s="60">
        <f t="shared" si="432"/>
        <v>2.662026930057873E-4</v>
      </c>
    </row>
    <row r="76" spans="1:54" x14ac:dyDescent="0.25">
      <c r="A76" s="83" t="s">
        <v>1100</v>
      </c>
      <c r="B76" s="42">
        <v>1.339E-6</v>
      </c>
      <c r="C76" s="60">
        <f t="shared" ref="C76:S76" si="456">IFERROR(C27/$B62,0)</f>
        <v>0</v>
      </c>
      <c r="D76" s="60">
        <f t="shared" si="456"/>
        <v>0</v>
      </c>
      <c r="E76" s="60">
        <f t="shared" si="456"/>
        <v>0</v>
      </c>
      <c r="F76" s="60">
        <f t="shared" si="456"/>
        <v>0</v>
      </c>
      <c r="G76" s="60">
        <f t="shared" si="456"/>
        <v>0</v>
      </c>
      <c r="H76" s="60">
        <f t="shared" si="456"/>
        <v>0</v>
      </c>
      <c r="I76" s="60">
        <f t="shared" si="456"/>
        <v>0</v>
      </c>
      <c r="J76" s="60">
        <f t="shared" si="456"/>
        <v>0</v>
      </c>
      <c r="K76" s="60">
        <f t="shared" si="456"/>
        <v>0</v>
      </c>
      <c r="L76" s="60">
        <f t="shared" si="456"/>
        <v>4732012.3029989898</v>
      </c>
      <c r="M76" s="60">
        <f t="shared" si="456"/>
        <v>0</v>
      </c>
      <c r="N76" s="60">
        <f t="shared" si="456"/>
        <v>0</v>
      </c>
      <c r="O76" s="60">
        <f t="shared" si="456"/>
        <v>0</v>
      </c>
      <c r="P76" s="60">
        <f t="shared" si="456"/>
        <v>0</v>
      </c>
      <c r="Q76" s="60">
        <f t="shared" si="456"/>
        <v>0</v>
      </c>
      <c r="R76" s="60">
        <f t="shared" si="456"/>
        <v>0</v>
      </c>
      <c r="S76" s="60">
        <f t="shared" si="456"/>
        <v>0</v>
      </c>
      <c r="T76" s="120" t="str">
        <f t="shared" si="410"/>
        <v>.</v>
      </c>
      <c r="U76" s="120" t="str">
        <f t="shared" si="411"/>
        <v>.</v>
      </c>
      <c r="V76" s="120">
        <f t="shared" si="412"/>
        <v>2.1132658496391349E-7</v>
      </c>
      <c r="W76" s="120" t="str">
        <f t="shared" si="413"/>
        <v>.</v>
      </c>
      <c r="X76" s="120" t="str">
        <f t="shared" si="414"/>
        <v>.</v>
      </c>
      <c r="Y76" s="120" t="str">
        <f t="shared" si="415"/>
        <v>.</v>
      </c>
      <c r="Z76" s="120" t="str">
        <f t="shared" si="416"/>
        <v>.</v>
      </c>
      <c r="AA76" s="120" t="str">
        <f t="shared" si="417"/>
        <v>.</v>
      </c>
      <c r="AB76" s="120" t="str">
        <f t="shared" si="418"/>
        <v>.</v>
      </c>
      <c r="AC76" s="120" t="str">
        <f t="shared" si="419"/>
        <v>.</v>
      </c>
      <c r="AD76" s="60">
        <f t="shared" si="452"/>
        <v>4732012.3029989898</v>
      </c>
      <c r="AE76" s="60">
        <f t="shared" ref="AE76:AN76" si="457">IFERROR(AE27/$B62,0)</f>
        <v>0</v>
      </c>
      <c r="AF76" s="60">
        <f t="shared" si="457"/>
        <v>0</v>
      </c>
      <c r="AG76" s="60">
        <f t="shared" si="457"/>
        <v>46402972829520.492</v>
      </c>
      <c r="AH76" s="60">
        <f t="shared" si="457"/>
        <v>0</v>
      </c>
      <c r="AI76" s="60">
        <f t="shared" si="457"/>
        <v>0</v>
      </c>
      <c r="AJ76" s="60">
        <f t="shared" si="457"/>
        <v>0</v>
      </c>
      <c r="AK76" s="60">
        <f t="shared" si="457"/>
        <v>0</v>
      </c>
      <c r="AL76" s="60">
        <f t="shared" si="457"/>
        <v>0</v>
      </c>
      <c r="AM76" s="60">
        <f t="shared" si="457"/>
        <v>0</v>
      </c>
      <c r="AN76" s="60">
        <f t="shared" si="457"/>
        <v>0</v>
      </c>
      <c r="AO76" s="120" t="str">
        <f t="shared" si="421"/>
        <v>.</v>
      </c>
      <c r="AP76" s="120" t="str">
        <f t="shared" si="422"/>
        <v>.</v>
      </c>
      <c r="AQ76" s="120">
        <f t="shared" si="423"/>
        <v>2.1550343416011123E-14</v>
      </c>
      <c r="AR76" s="120" t="str">
        <f t="shared" si="424"/>
        <v>.</v>
      </c>
      <c r="AS76" s="120" t="str">
        <f t="shared" si="425"/>
        <v>.</v>
      </c>
      <c r="AT76" s="120" t="str">
        <f t="shared" si="426"/>
        <v>.</v>
      </c>
      <c r="AU76" s="120" t="str">
        <f t="shared" si="427"/>
        <v>.</v>
      </c>
      <c r="AV76" s="120" t="str">
        <f t="shared" si="428"/>
        <v>.</v>
      </c>
      <c r="AW76" s="120" t="str">
        <f t="shared" si="429"/>
        <v>.</v>
      </c>
      <c r="AX76" s="120" t="str">
        <f t="shared" si="430"/>
        <v>.</v>
      </c>
      <c r="AY76" s="60">
        <f t="shared" si="431"/>
        <v>46402972829520.492</v>
      </c>
      <c r="AZ76" s="60">
        <f>IFERROR(AZ27/$B62,0)</f>
        <v>0</v>
      </c>
      <c r="BA76" s="60">
        <f>IFERROR(BA27/$B62,0)</f>
        <v>2071489232.7265284</v>
      </c>
      <c r="BB76" s="60">
        <f t="shared" si="432"/>
        <v>2071489232.7265282</v>
      </c>
    </row>
  </sheetData>
  <sheetProtection algorithmName="SHA-512" hashValue="t1ur6AXC8YMyHQe3LEWfxGAZ+EZ4vpfZ8s5zd8W4aKm+hsilyhrzwaKLP+1Tv76sbDafAeO/5/xiRC6Kdq1X/g==" saltValue="OS+s/QzHvjwrGoTMqPvtEw==" spinCount="100000" sheet="1" objects="1" scenarios="1" formatColumns="0" formatRows="0" autoFilter="0"/>
  <autoFilter ref="A1:BB76" xr:uid="{00000000-0009-0000-0000-000008000000}"/>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9" tint="-0.499984740745262"/>
  </sheetPr>
  <dimension ref="A1:W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9.140625" defaultRowHeight="15" x14ac:dyDescent="0.25"/>
  <cols>
    <col min="1" max="1" width="15.42578125" style="4" bestFit="1" customWidth="1"/>
    <col min="2" max="2" width="13.28515625" style="4" bestFit="1" customWidth="1"/>
    <col min="3" max="3" width="14.42578125" style="3" bestFit="1" customWidth="1"/>
    <col min="4" max="4" width="14.5703125" style="3" bestFit="1" customWidth="1"/>
    <col min="5" max="5" width="14.28515625" style="3" bestFit="1" customWidth="1"/>
    <col min="6" max="6" width="14.140625" style="3" bestFit="1" customWidth="1"/>
    <col min="7" max="7" width="13.5703125" style="3" bestFit="1" customWidth="1"/>
    <col min="8" max="9" width="15.42578125" style="3" bestFit="1" customWidth="1"/>
    <col min="10" max="10" width="16.42578125" style="3" bestFit="1" customWidth="1"/>
    <col min="11" max="12" width="13.85546875" style="3" bestFit="1" customWidth="1"/>
    <col min="13" max="13" width="14.140625" style="3" bestFit="1" customWidth="1"/>
    <col min="14" max="14" width="13.28515625" style="3" bestFit="1" customWidth="1"/>
    <col min="15" max="15" width="14.28515625" style="3" bestFit="1" customWidth="1"/>
    <col min="16" max="16" width="15.5703125" style="3" bestFit="1" customWidth="1"/>
    <col min="17" max="17" width="14" style="3" bestFit="1" customWidth="1"/>
    <col min="18" max="18" width="15.85546875" style="3" bestFit="1" customWidth="1"/>
    <col min="19" max="19" width="20.140625" style="3" bestFit="1" customWidth="1"/>
    <col min="20" max="20" width="20.28515625" style="3" bestFit="1" customWidth="1"/>
    <col min="21" max="21" width="14.85546875" style="3" bestFit="1" customWidth="1"/>
    <col min="22" max="23" width="19.28515625" style="3" bestFit="1" customWidth="1"/>
    <col min="24" max="16384" width="9.140625" style="3"/>
  </cols>
  <sheetData>
    <row r="1" spans="1:23" x14ac:dyDescent="0.25">
      <c r="A1" s="78" t="s">
        <v>51</v>
      </c>
      <c r="B1" s="79" t="s">
        <v>350</v>
      </c>
      <c r="C1" s="15" t="s">
        <v>1169</v>
      </c>
      <c r="D1" s="15" t="s">
        <v>1170</v>
      </c>
      <c r="E1" s="15" t="s">
        <v>1171</v>
      </c>
      <c r="F1" s="15" t="s">
        <v>1172</v>
      </c>
      <c r="G1" s="42" t="s">
        <v>1220</v>
      </c>
      <c r="H1" s="42" t="s">
        <v>1221</v>
      </c>
      <c r="I1" s="42" t="s">
        <v>1222</v>
      </c>
      <c r="J1" s="42" t="s">
        <v>1223</v>
      </c>
      <c r="K1" s="42" t="s">
        <v>1224</v>
      </c>
      <c r="L1" s="42" t="s">
        <v>1209</v>
      </c>
      <c r="M1" s="42" t="s">
        <v>1210</v>
      </c>
      <c r="N1" s="42" t="s">
        <v>1211</v>
      </c>
      <c r="O1" s="15" t="s">
        <v>1173</v>
      </c>
      <c r="P1" s="15" t="s">
        <v>1213</v>
      </c>
      <c r="Q1" s="15" t="s">
        <v>1202</v>
      </c>
      <c r="R1" s="15" t="s">
        <v>1214</v>
      </c>
      <c r="S1" s="15" t="s">
        <v>1219</v>
      </c>
      <c r="T1" s="15" t="s">
        <v>1216</v>
      </c>
      <c r="U1" s="15" t="s">
        <v>1215</v>
      </c>
      <c r="V1" s="15" t="s">
        <v>1218</v>
      </c>
      <c r="W1" s="15" t="s">
        <v>1217</v>
      </c>
    </row>
    <row r="2" spans="1:23" customFormat="1" x14ac:dyDescent="0.25">
      <c r="A2" s="44" t="s">
        <v>12</v>
      </c>
      <c r="B2" s="42" t="s">
        <v>1074</v>
      </c>
      <c r="C2" s="15">
        <f>IFERROR(((TR)/(RadSpec!D2*IFS_rec_adj*(1/1000))),".")</f>
        <v>8.5312585312585316</v>
      </c>
      <c r="D2" s="15">
        <f>IFERROR(IF(A2="H-3",(TR/(RadSpec!G2*IFA_rec_adj*(1/17)*1000))*RadSpec!#REF!,(TR/(RadSpec!G2*IFA_rec_adj*(1/PEF_wind)*1000))),".")</f>
        <v>33105.690314507985</v>
      </c>
      <c r="E2" s="15">
        <f>IFERROR((TR/(RadSpec!F2*EF_rec*(1/365)*ED_rec*def_acf!D2*ET_rec*(1/24)*RadSpec!V2)),".")</f>
        <v>1171.1928967994074</v>
      </c>
      <c r="F2" s="15">
        <f t="shared" ref="F2" si="0">(IF(AND(ISNUMBER(C2),ISNUMBER(D2),ISNUMBER(E2)),1/((1/C2)+(1/D2)+(1/E2)),IF(AND(ISNUMBER(C2),ISNUMBER(D2),NOT(ISNUMBER(E2))), 1/((1/C2)+(1/D2)),IF(AND(ISNUMBER(C2),NOT(ISNUMBER(D2)),ISNUMBER(E2)),1/((1/C2)+(1/E2)),IF(AND(NOT(ISNUMBER(C2)),ISNUMBER(D2),ISNUMBER(E2)),1/((1/D2)+(1/E2)),IF(AND(ISNUMBER(C2),NOT(ISNUMBER(D2)),NOT(ISNUMBER(E2))),1/((1/C2)),IF(AND(NOT(ISNUMBER(C2)),NOT(ISNUMBER(D2)),ISNUMBER(E2)),1/((1/E2)),IF(AND(NOT(ISNUMBER(C2)),ISNUMBER(D2),NOT(ISNUMBER(E2))),1/((1/D2)),IF(AND(NOT(ISNUMBER(C2)),NOT(ISNUMBER(D2)),NOT(ISNUMBER(E2))),".")))))))))</f>
        <v>8.4673978837590838</v>
      </c>
      <c r="G2" s="15">
        <f>IFERROR((TR/(RadSpec!F2*EF_rec*(1/365)*ED_rec*def_acf!D2*ET_rec*(1/24)*RadSpec!V2)),".")</f>
        <v>1171.1928967994074</v>
      </c>
      <c r="H2" s="15">
        <f>IFERROR((TR/(RadSpec!M2*EF_rec*(1/365)*ED_rec*def_acf!E2*ET_rec*(1/24)*RadSpec!R2)),".")</f>
        <v>4028.5060175334456</v>
      </c>
      <c r="I2" s="15">
        <f>IFERROR((TR/(RadSpec!N2*EF_rec*(1/365)*ED_rec*def_acf!F2*ET_rec*(1/24)*RadSpec!S2)),".")</f>
        <v>1656.8835906962897</v>
      </c>
      <c r="J2" s="15">
        <f>IFERROR((TR/(RadSpec!O2*EF_rec*(1/365)*ED_rec*def_acf!G2*ET_rec*(1/24)*RadSpec!Y2)),".")</f>
        <v>1160.1337997803114</v>
      </c>
      <c r="K2" s="15">
        <f>IFERROR((TR/(RadSpec!K2*EF_rec*(1/365)*ED_rec*def_acf!C2*ET_rec*(1/24)*RadSpec!U2)),".")</f>
        <v>3899.1883135736875</v>
      </c>
      <c r="L2" s="15">
        <f>IFERROR((TR/(RadSpec!G2*IFA_rec_adj)),".")</f>
        <v>2.4354158168080221E-2</v>
      </c>
      <c r="M2" s="15">
        <f>IFERROR((TR/(RadSpec!J2*EF_rec*(1/365)*ED_rec*ET_rec*(1/24)*GSF_o)),".")</f>
        <v>87241.919863629271</v>
      </c>
      <c r="N2" s="15">
        <f t="shared" ref="N2" si="1">IFERROR(IF(AND(L2&lt;&gt;0,M2&lt;&gt;0),1/((1/L2)+(1/M2)),IF(AND(L2&lt;&gt;0,M2=0),1/((1/L2)),IF(AND(L2=0,M2&lt;&gt;0),1/((1/M2)),IF(AND(L2=0,M2=0),0)))),0)</f>
        <v>2.4354151369458007E-2</v>
      </c>
      <c r="O2" s="15">
        <f>IFERROR(TR/(RadSpec!H2*IFW_rec_adj),".")</f>
        <v>32.953560030758851</v>
      </c>
      <c r="P2" s="15">
        <f>IFERROR(TR/(RadSpec!L2*(1/8760)*DFA_rec_adj),".")</f>
        <v>39379413.162600324</v>
      </c>
      <c r="Q2" s="15">
        <f t="shared" ref="Q2" si="2">IFERROR(IF(AND(O2&lt;&gt;0,P2&lt;&gt;0),1/((1/O2)+(1/P2)),IF(AND(O2&lt;&gt;0,P2=0),1/((1/O2)),IF(AND(O2=0,P2&lt;&gt;0),1/((1/P2)),IF(AND(O2=0,P2=0),0)))),0)</f>
        <v>32.953532454517287</v>
      </c>
      <c r="R2" s="15">
        <f>IFERROR(TR/(RadSpec!E2*EF_rec*ED_rec*IRGL_rec*CF_game),".")</f>
        <v>1.8882852670318606</v>
      </c>
      <c r="S2" s="15">
        <f>IFERROR((R2/(RadSpec!AH2*((Q_p_game*f_p_game*f_s_game*(RadSpec!BB2+R_es_past))+(Q_s_game*f_p_game)))),".")</f>
        <v>69936.491371550394</v>
      </c>
      <c r="T2" s="15">
        <f>IFERROR(R2/(RadSpec!AH2*Q_w_game*(1/1000)),".")</f>
        <v>94414263.351593032</v>
      </c>
      <c r="U2" s="15">
        <f>IFERROR(TR/(RadSpec!E2*EF_rec*ED_rec*IRGF_rec*CF_fowl),".")</f>
        <v>1.8882852670318606</v>
      </c>
      <c r="V2" s="15" t="str">
        <f>IFERROR((R2/(RadSpec!AJ2*((Q_p_fowl*f_p_fowl*f_s_fowl*(RadSpec!BB2+R_es_past))+(Q_s_fowl*f_p_fowl)))),".")</f>
        <v>.</v>
      </c>
      <c r="W2" s="15" t="str">
        <f>IFERROR(R2/(RadSpec!AJ2*Q_w_fowl*(1/1000)),".")</f>
        <v>.</v>
      </c>
    </row>
    <row r="3" spans="1:23" x14ac:dyDescent="0.25">
      <c r="A3" s="46" t="s">
        <v>13</v>
      </c>
      <c r="B3" s="42" t="s">
        <v>351</v>
      </c>
      <c r="C3" s="15">
        <f>IFERROR(((TR)/(RadSpec!D3*IFS_rec_adj*(1/1000))),".")</f>
        <v>22.612974420203336</v>
      </c>
      <c r="D3" s="15">
        <f>IFERROR(IF(A3="H-3",(TR/(RadSpec!G3*IFA_rec_adj*(1/17)*1000))*RadSpec!#REF!,(TR/(RadSpec!G3*IFA_rec_adj*(1/PEF_wind)*1000))),".")</f>
        <v>25056.463649804085</v>
      </c>
      <c r="E3" s="15">
        <f>IFERROR((TR/(RadSpec!F3*EF_rec*(1/365)*ED_rec*def_acf!D3*ET_rec*(1/24)*RadSpec!V3)),".")</f>
        <v>1507.4078558715651</v>
      </c>
      <c r="F3" s="15">
        <f>IF(AND(C3&lt;&gt;".",D3&lt;&gt;".",E3&lt;&gt;"."),1/((1/C3)+(1/D3)+(1/E3)),IF(AND(C3&lt;&gt;".",D3&lt;&gt;".",E3="."), 1/((1/C3)+(1/D3)),IF(AND(C3&lt;&gt;".",D3=".",E3&lt;&gt;"."),1/((1/C3)+(1/E3)),IF(AND(C3=".",D3&lt;&gt;".",E3&lt;&gt;"."),1/((1/D3)+(1/E3)),IF(AND(C3&lt;&gt;".",D3=".",E3="."),1/((1/C3)),IF(AND(C3=".",D3&lt;&gt;".",E3="."),1/((1/D3)),IF(AND(C3=".",D3=".",E3&lt;&gt;"."),1/((1/E3)),IF(AND(C3=".",D3=".",E3="."),"."))))))))</f>
        <v>22.25897409955094</v>
      </c>
      <c r="G3" s="15">
        <f>IFERROR((TR/(RadSpec!F3*EF_rec*(1/365)*ED_rec*def_acf!D3*ET_rec*(1/24)*RadSpec!V3)),".")</f>
        <v>1507.4078558715651</v>
      </c>
      <c r="H3" s="15">
        <f>IFERROR((TR/(RadSpec!M3*EF_rec*(1/365)*ED_rec*def_acf!E3*ET_rec*(1/24)*RadSpec!R3)),".")</f>
        <v>3453.8858090458807</v>
      </c>
      <c r="I3" s="15">
        <f>IFERROR((TR/(RadSpec!N3*EF_rec*(1/365)*ED_rec*def_acf!F3*ET_rec*(1/24)*RadSpec!S3)),".")</f>
        <v>1833.696367950899</v>
      </c>
      <c r="J3" s="15">
        <f>IFERROR((TR/(RadSpec!O3*EF_rec*(1/365)*ED_rec*def_acf!G3*ET_rec*(1/24)*RadSpec!Y3)),".")</f>
        <v>1674.8673383687362</v>
      </c>
      <c r="K3" s="15">
        <f>IFERROR((TR/(RadSpec!K3*EF_rec*(1/365)*ED_rec*def_acf!C3*ET_rec*(1/24)*RadSpec!U3)),".")</f>
        <v>2849.1543167228629</v>
      </c>
      <c r="L3" s="15">
        <f>IFERROR((TR/(RadSpec!G3*IFA_rec_adj)),".")</f>
        <v>1.8432755005645032E-2</v>
      </c>
      <c r="M3" s="15">
        <f>IFERROR((TR/(RadSpec!J3*EF_rec*(1/365)*ED_rec*ET_rec*(1/24)*GSF_o)),".")</f>
        <v>77411.844386037235</v>
      </c>
      <c r="N3" s="15">
        <f t="shared" ref="N3" si="3">IFERROR(IF(AND(L3&lt;&gt;0,M3&lt;&gt;0),1/((1/L3)+(1/M3)),IF(AND(L3&lt;&gt;0,M3=0),1/((1/L3)),IF(AND(L3=0,M3&lt;&gt;0),1/((1/M3)),IF(AND(L3=0,M3=0),0)))),0)</f>
        <v>1.8432750616570223E-2</v>
      </c>
      <c r="O3" s="15">
        <f>IFERROR(TR/(RadSpec!H3*IFW_rec_adj),".")</f>
        <v>60.140247056134903</v>
      </c>
      <c r="P3" s="15">
        <f>IFERROR(TR/(RadSpec!L3*(1/8760)*DFA_rec_adj),".")</f>
        <v>34047510.318460628</v>
      </c>
      <c r="Q3" s="15">
        <f t="shared" ref="Q3" si="4">IFERROR(IF(AND(O3&lt;&gt;0,P3&lt;&gt;0),1/((1/O3)+(1/P3)),IF(AND(O3&lt;&gt;0,P3=0),1/((1/O3)),IF(AND(O3=0,P3&lt;&gt;0),1/((1/P3)),IF(AND(O3=0,P3=0),0)))),0)</f>
        <v>60.140140826842547</v>
      </c>
      <c r="R3" s="15">
        <f>IFERROR(TR/(RadSpec!E3*EF_rec*ED_rec*IRGL_rec*CF_game),".")</f>
        <v>3.8393390193944206</v>
      </c>
      <c r="S3" s="15">
        <f>IFERROR((R3/(RadSpec!AH3*((Q_p_game*f_p_game*f_s_game*(RadSpec!BB3+R_es_past))+(Q_s_game*f_p_game)))),".")</f>
        <v>6142.8181625257166</v>
      </c>
      <c r="T3" s="15">
        <f>IFERROR(R3/(RadSpec!AH3*Q_w_game*(1/1000)),".")</f>
        <v>7678678.0387888411</v>
      </c>
      <c r="U3" s="15">
        <f>IFERROR(TR/(RadSpec!E3*EF_rec*ED_rec*IRGF_rec*CF_fowl),".")</f>
        <v>3.8393390193944206</v>
      </c>
      <c r="V3" s="15">
        <f>IFERROR((R3/(RadSpec!AJ3*((Q_p_fowl*f_p_fowl*f_s_fowl*(RadSpec!BB3+R_es_past))+(Q_s_fowl*f_p_fowl)))),".")</f>
        <v>511.90151354380964</v>
      </c>
      <c r="W3" s="15">
        <f>IFERROR(R3/(RadSpec!AJ3*Q_w_fowl*(1/1000)),".")</f>
        <v>639889.8365657368</v>
      </c>
    </row>
    <row r="4" spans="1:23" customFormat="1" x14ac:dyDescent="0.25">
      <c r="A4" s="44" t="s">
        <v>14</v>
      </c>
      <c r="B4" s="42" t="s">
        <v>1074</v>
      </c>
      <c r="C4" s="15" t="str">
        <f>IFERROR(((TR)/(RadSpec!D4*IFS_rec_adj*(1/1000))),".")</f>
        <v>.</v>
      </c>
      <c r="D4" s="15" t="str">
        <f>IFERROR(IF(A4="H-3",(TR/(RadSpec!G4*IFA_rec_adj*(1/17)*1000))*RadSpec!#REF!,(TR/(RadSpec!G4*IFA_rec_adj*(1/PEF_wind)*1000))),".")</f>
        <v>.</v>
      </c>
      <c r="E4" s="15">
        <f>IFERROR((TR/(RadSpec!F4*EF_rec*(1/365)*ED_rec*def_acf!D4*ET_rec*(1/24)*RadSpec!V4)),".")</f>
        <v>63226.929005186066</v>
      </c>
      <c r="F4" s="15">
        <f t="shared" ref="F4:F5" si="5">IF(AND(C4&lt;&gt;".",D4&lt;&gt;".",E4&lt;&gt;"."),1/((1/C4)+(1/D4)+(1/E4)),IF(AND(C4&lt;&gt;".",D4&lt;&gt;".",E4="."), 1/((1/C4)+(1/D4)),IF(AND(C4&lt;&gt;".",D4=".",E4&lt;&gt;"."),1/((1/C4)+(1/E4)),IF(AND(C4=".",D4&lt;&gt;".",E4&lt;&gt;"."),1/((1/D4)+(1/E4)),IF(AND(C4&lt;&gt;".",D4=".",E4="."),1/((1/C4)),IF(AND(C4=".",D4&lt;&gt;".",E4="."),1/((1/D4)),IF(AND(C4=".",D4=".",E4&lt;&gt;"."),1/((1/E4)),IF(AND(C4=".",D4=".",E4="."),"."))))))))</f>
        <v>63226.929005186066</v>
      </c>
      <c r="G4" s="15">
        <f>IFERROR((TR/(RadSpec!F4*EF_rec*(1/365)*ED_rec*def_acf!D4*ET_rec*(1/24)*RadSpec!V4)),".")</f>
        <v>63226.929005186066</v>
      </c>
      <c r="H4" s="15">
        <f>IFERROR((TR/(RadSpec!M4*EF_rec*(1/365)*ED_rec*def_acf!E4*ET_rec*(1/24)*RadSpec!R4)),".")</f>
        <v>408720.34156996419</v>
      </c>
      <c r="I4" s="15">
        <f>IFERROR((TR/(RadSpec!N4*EF_rec*(1/365)*ED_rec*def_acf!F4*ET_rec*(1/24)*RadSpec!S4)),".")</f>
        <v>105671.13645591572</v>
      </c>
      <c r="J4" s="15">
        <f>IFERROR((TR/(RadSpec!O4*EF_rec*(1/365)*ED_rec*def_acf!G4*ET_rec*(1/24)*RadSpec!Y4)),".")</f>
        <v>61058.403800489687</v>
      </c>
      <c r="K4" s="15">
        <f>IFERROR((TR/(RadSpec!K4*EF_rec*(1/365)*ED_rec*def_acf!C4*ET_rec*(1/24)*RadSpec!U4)),".")</f>
        <v>503176.98850924254</v>
      </c>
      <c r="L4" s="15" t="str">
        <f>IFERROR((TR/(RadSpec!G4*IFA_rec_adj)),".")</f>
        <v>.</v>
      </c>
      <c r="M4" s="15">
        <f>IFERROR((TR/(RadSpec!J4*EF_rec*(1/365)*ED_rec*ET_rec*(1/24)*GSF_o)),".")</f>
        <v>4602115.6291699177</v>
      </c>
      <c r="N4" s="15">
        <f t="shared" ref="N4:N5" si="6">IFERROR(IF(AND(L4&lt;&gt;0,M4&lt;&gt;0),1/((1/L4)+(1/M4)),IF(AND(L4&lt;&gt;0,M4=0),1/((1/L4)),IF(AND(L4=0,M4&lt;&gt;0),1/((1/M4)),IF(AND(L4=0,M4=0),0)))),0)</f>
        <v>0</v>
      </c>
      <c r="O4" s="15" t="str">
        <f>IFERROR(TR/(RadSpec!H4*IFW_rec_adj),".")</f>
        <v>.</v>
      </c>
      <c r="P4" s="15">
        <f>IFERROR(TR/(RadSpec!L4*(1/8760)*DFA_rec_adj),".")</f>
        <v>2102387249.1727059</v>
      </c>
      <c r="Q4" s="15">
        <f t="shared" ref="Q4:Q5" si="7">IFERROR(IF(AND(O4&lt;&gt;0,P4&lt;&gt;0),1/((1/O4)+(1/P4)),IF(AND(O4&lt;&gt;0,P4=0),1/((1/O4)),IF(AND(O4=0,P4&lt;&gt;0),1/((1/P4)),IF(AND(O4=0,P4=0),0)))),0)</f>
        <v>0</v>
      </c>
      <c r="R4" s="15" t="str">
        <f>IFERROR(TR/(RadSpec!E4*EF_rec*ED_rec*IRGL_rec*CF_game),".")</f>
        <v>.</v>
      </c>
      <c r="S4" s="15" t="str">
        <f>IFERROR((R4/(RadSpec!AH4*((Q_p_game*f_p_game*f_s_game*(RadSpec!BB4+R_es_past))+(Q_s_game*f_p_game)))),".")</f>
        <v>.</v>
      </c>
      <c r="T4" s="15" t="str">
        <f>IFERROR(R4/(RadSpec!AH4*Q_w_game*(1/1000)),".")</f>
        <v>.</v>
      </c>
      <c r="U4" s="15" t="str">
        <f>IFERROR(TR/(RadSpec!E4*EF_rec*ED_rec*IRGF_rec*CF_fowl),".")</f>
        <v>.</v>
      </c>
      <c r="V4" s="15" t="str">
        <f>IFERROR((R4/(RadSpec!AJ4*((Q_p_fowl*f_p_fowl*f_s_fowl*(RadSpec!BB4+R_es_past))+(Q_s_fowl*f_p_fowl)))),".")</f>
        <v>.</v>
      </c>
      <c r="W4" s="15" t="str">
        <f>IFERROR(R4/(RadSpec!AJ4*Q_w_fowl*(1/1000)),".")</f>
        <v>.</v>
      </c>
    </row>
    <row r="5" spans="1:23" customFormat="1" x14ac:dyDescent="0.25">
      <c r="A5" s="44" t="s">
        <v>15</v>
      </c>
      <c r="B5" s="42" t="s">
        <v>1074</v>
      </c>
      <c r="C5" s="15" t="str">
        <f>IFERROR(((TR)/(RadSpec!D5*IFS_rec_adj*(1/1000))),".")</f>
        <v>.</v>
      </c>
      <c r="D5" s="15" t="str">
        <f>IFERROR(IF(A5="H-3",(TR/(RadSpec!G5*IFA_rec_adj*(1/17)*1000))*RadSpec!#REF!,(TR/(RadSpec!G5*IFA_rec_adj*(1/PEF_wind)*1000))),".")</f>
        <v>.</v>
      </c>
      <c r="E5" s="15">
        <f>IFERROR((TR/(RadSpec!F5*EF_rec*(1/365)*ED_rec*def_acf!D5*ET_rec*(1/24)*RadSpec!V5)),".")</f>
        <v>181908.68397097167</v>
      </c>
      <c r="F5" s="15">
        <f t="shared" si="5"/>
        <v>181908.68397097167</v>
      </c>
      <c r="G5" s="15">
        <f>IFERROR((TR/(RadSpec!F5*EF_rec*(1/365)*ED_rec*def_acf!D5*ET_rec*(1/24)*RadSpec!V5)),".")</f>
        <v>181908.68397097167</v>
      </c>
      <c r="H5" s="15">
        <f>IFERROR((TR/(RadSpec!M5*EF_rec*(1/365)*ED_rec*def_acf!E5*ET_rec*(1/24)*RadSpec!R5)),".")</f>
        <v>661168.96704371367</v>
      </c>
      <c r="I5" s="15">
        <f>IFERROR((TR/(RadSpec!N5*EF_rec*(1/365)*ED_rec*def_acf!F5*ET_rec*(1/24)*RadSpec!S5)),".")</f>
        <v>300813.03731741855</v>
      </c>
      <c r="J5" s="15">
        <f>IFERROR((TR/(RadSpec!O5*EF_rec*(1/365)*ED_rec*def_acf!G5*ET_rec*(1/24)*RadSpec!Y5)),".")</f>
        <v>195198.81613323445</v>
      </c>
      <c r="K5" s="15">
        <f>IFERROR((TR/(RadSpec!K5*EF_rec*(1/365)*ED_rec*def_acf!C5*ET_rec*(1/24)*RadSpec!U5)),".")</f>
        <v>249991.46627589676</v>
      </c>
      <c r="L5" s="15" t="str">
        <f>IFERROR((TR/(RadSpec!G5*IFA_rec_adj)),".")</f>
        <v>.</v>
      </c>
      <c r="M5" s="15">
        <f>IFERROR((TR/(RadSpec!J5*EF_rec*(1/365)*ED_rec*ET_rec*(1/24)*GSF_o)),".")</f>
        <v>145733661.59038073</v>
      </c>
      <c r="N5" s="15">
        <f t="shared" si="6"/>
        <v>0</v>
      </c>
      <c r="O5" s="15" t="str">
        <f>IFERROR(TR/(RadSpec!H5*IFW_rec_adj),".")</f>
        <v>.</v>
      </c>
      <c r="P5" s="15">
        <f>IFERROR(TR/(RadSpec!L5*(1/8760)*DFA_rec_adj),".")</f>
        <v>87639377357.313232</v>
      </c>
      <c r="Q5" s="15">
        <f t="shared" si="7"/>
        <v>0</v>
      </c>
      <c r="R5" s="15" t="str">
        <f>IFERROR(TR/(RadSpec!E5*EF_rec*ED_rec*IRGL_rec*CF_game),".")</f>
        <v>.</v>
      </c>
      <c r="S5" s="15" t="str">
        <f>IFERROR((R5/(RadSpec!AH5*((Q_p_game*f_p_game*f_s_game*(RadSpec!BB5+R_es_past))+(Q_s_game*f_p_game)))),".")</f>
        <v>.</v>
      </c>
      <c r="T5" s="15" t="str">
        <f>IFERROR(R5/(RadSpec!AH5*Q_w_game*(1/1000)),".")</f>
        <v>.</v>
      </c>
      <c r="U5" s="15" t="str">
        <f>IFERROR(TR/(RadSpec!E5*EF_rec*ED_rec*IRGF_rec*CF_fowl),".")</f>
        <v>.</v>
      </c>
      <c r="V5" s="15" t="str">
        <f>IFERROR((R5/(RadSpec!AJ5*((Q_p_fowl*f_p_fowl*f_s_fowl*(RadSpec!BB5+R_es_past))+(Q_s_fowl*f_p_fowl)))),".")</f>
        <v>.</v>
      </c>
      <c r="W5" s="15" t="str">
        <f>IFERROR(R5/(RadSpec!AJ5*Q_w_fowl*(1/1000)),".")</f>
        <v>.</v>
      </c>
    </row>
    <row r="6" spans="1:23" customFormat="1" x14ac:dyDescent="0.25">
      <c r="A6" s="44" t="s">
        <v>16</v>
      </c>
      <c r="B6" s="42" t="s">
        <v>1074</v>
      </c>
      <c r="C6" s="15" t="str">
        <f>IFERROR(((TR)/(RadSpec!D6*IFS_rec_adj*(1/1000))),".")</f>
        <v>.</v>
      </c>
      <c r="D6" s="15" t="str">
        <f>IFERROR(IF(A6="H-3",(TR/(RadSpec!G6*IFA_rec_adj*(1/17)*1000))*RadSpec!#REF!,(TR/(RadSpec!G6*IFA_rec_adj*(1/PEF_wind)*1000))),".")</f>
        <v>.</v>
      </c>
      <c r="E6" s="15">
        <f>IFERROR((TR/(RadSpec!F6*EF_rec*(1/365)*ED_rec*def_acf!D6*ET_rec*(1/24)*RadSpec!V6)),".")</f>
        <v>19.088452532855044</v>
      </c>
      <c r="F6" s="15">
        <f>IF(AND(C6&lt;&gt;".",D6&lt;&gt;".",E6&lt;&gt;"."),1/((1/C6)+(1/D6)+(1/E6)),IF(AND(C6&lt;&gt;".",D6&lt;&gt;".",E6="."), 1/((1/C6)+(1/D6)),IF(AND(C6&lt;&gt;".",D6=".",E6&lt;&gt;"."),1/((1/C6)+(1/E6)),IF(AND(C6=".",D6&lt;&gt;".",E6&lt;&gt;"."),1/((1/D6)+(1/E6)),IF(AND(C6&lt;&gt;".",D6=".",E6="."),1/((1/C6)),IF(AND(C6=".",D6&lt;&gt;".",E6="."),1/((1/D6)),IF(AND(C6=".",D6=".",E6&lt;&gt;"."),1/((1/E6)),IF(AND(C6=".",D6=".",E6="."),"."))))))))</f>
        <v>19.088452532855044</v>
      </c>
      <c r="G6" s="15">
        <f>IFERROR((TR/(RadSpec!F6*EF_rec*(1/365)*ED_rec*def_acf!D6*ET_rec*(1/24)*RadSpec!V6)),".")</f>
        <v>19.088452532855044</v>
      </c>
      <c r="H6" s="15">
        <f>IFERROR((TR/(RadSpec!M6*EF_rec*(1/365)*ED_rec*def_acf!E6*ET_rec*(1/24)*RadSpec!R6)),".")</f>
        <v>175.96657413689536</v>
      </c>
      <c r="I6" s="15">
        <f>IFERROR((TR/(RadSpec!N6*EF_rec*(1/365)*ED_rec*def_acf!F6*ET_rec*(1/24)*RadSpec!S6)),".")</f>
        <v>42.989175061702433</v>
      </c>
      <c r="J6" s="15">
        <f>IFERROR((TR/(RadSpec!O6*EF_rec*(1/365)*ED_rec*def_acf!G6*ET_rec*(1/24)*RadSpec!Y6)),".")</f>
        <v>21.507455245141884</v>
      </c>
      <c r="K6" s="15">
        <f>IFERROR((TR/(RadSpec!K6*EF_rec*(1/365)*ED_rec*def_acf!C6*ET_rec*(1/24)*RadSpec!U6)),".")</f>
        <v>267.93957154698728</v>
      </c>
      <c r="L6" s="15" t="str">
        <f>IFERROR((TR/(RadSpec!G6*IFA_rec_adj)),".")</f>
        <v>.</v>
      </c>
      <c r="M6" s="15">
        <f>IFERROR((TR/(RadSpec!J6*EF_rec*(1/365)*ED_rec*ET_rec*(1/24)*GSF_o)),".")</f>
        <v>1781.1891972157646</v>
      </c>
      <c r="N6" s="15">
        <f t="shared" ref="N6" si="8">IFERROR(IF(AND(L6&lt;&gt;0,M6&lt;&gt;0),1/((1/L6)+(1/M6)),IF(AND(L6&lt;&gt;0,M6=0),1/((1/L6)),IF(AND(L6=0,M6&lt;&gt;0),1/((1/M6)),IF(AND(L6=0,M6=0),0)))),0)</f>
        <v>0</v>
      </c>
      <c r="O6" s="15" t="str">
        <f>IFERROR(TR/(RadSpec!H6*IFW_rec_adj),".")</f>
        <v>.</v>
      </c>
      <c r="P6" s="15">
        <f>IFERROR(TR/(RadSpec!L6*(1/8760)*DFA_rec_adj),".")</f>
        <v>822087.32179189136</v>
      </c>
      <c r="Q6" s="15">
        <f t="shared" ref="Q6" si="9">IFERROR(IF(AND(O6&lt;&gt;0,P6&lt;&gt;0),1/((1/O6)+(1/P6)),IF(AND(O6&lt;&gt;0,P6=0),1/((1/O6)),IF(AND(O6=0,P6&lt;&gt;0),1/((1/P6)),IF(AND(O6=0,P6=0),0)))),0)</f>
        <v>0</v>
      </c>
      <c r="R6" s="15" t="str">
        <f>IFERROR(TR/(RadSpec!E6*EF_rec*ED_rec*IRGL_rec*CF_game),".")</f>
        <v>.</v>
      </c>
      <c r="S6" s="15" t="str">
        <f>IFERROR((R6/(RadSpec!AH6*((Q_p_game*f_p_game*f_s_game*(RadSpec!BB6+R_es_past))+(Q_s_game*f_p_game)))),".")</f>
        <v>.</v>
      </c>
      <c r="T6" s="15" t="str">
        <f>IFERROR(R6/(RadSpec!AH6*Q_w_game*(1/1000)),".")</f>
        <v>.</v>
      </c>
      <c r="U6" s="15" t="str">
        <f>IFERROR(TR/(RadSpec!E6*EF_rec*ED_rec*IRGF_rec*CF_fowl),".")</f>
        <v>.</v>
      </c>
      <c r="V6" s="15" t="str">
        <f>IFERROR((R6/(RadSpec!AJ6*((Q_p_fowl*f_p_fowl*f_s_fowl*(RadSpec!BB6+R_es_past))+(Q_s_fowl*f_p_fowl)))),".")</f>
        <v>.</v>
      </c>
      <c r="W6" s="15" t="str">
        <f>IFERROR(R6/(RadSpec!AJ6*Q_w_fowl*(1/1000)),".")</f>
        <v>.</v>
      </c>
    </row>
    <row r="7" spans="1:23" customFormat="1" x14ac:dyDescent="0.25">
      <c r="A7" s="44" t="s">
        <v>17</v>
      </c>
      <c r="B7" s="42" t="s">
        <v>1074</v>
      </c>
      <c r="C7" s="15">
        <f>IFERROR(((TR)/(RadSpec!D7*IFS_rec_adj*(1/1000))),".")</f>
        <v>173.51712266966504</v>
      </c>
      <c r="D7" s="15">
        <f>IFERROR(IF(A7="H-3",(TR/(RadSpec!G7*IFA_rec_adj*(1/17)*1000))*RadSpec!#REF!,(TR/(RadSpec!G7*IFA_rec_adj*(1/PEF_wind)*1000))),".")</f>
        <v>2077853.0831544846</v>
      </c>
      <c r="E7" s="15">
        <f>IFERROR((TR/(RadSpec!F7*EF_rec*(1/365)*ED_rec*def_acf!D7*ET_rec*(1/24)*RadSpec!V7)),".")</f>
        <v>21736.546135514403</v>
      </c>
      <c r="F7" s="15">
        <f>IF(AND(C7&lt;&gt;".",D7&lt;&gt;".",E7&lt;&gt;"."),1/((1/C7)+(1/D7)+(1/E7)),IF(AND(C7&lt;&gt;".",D7&lt;&gt;".",E7="."), 1/((1/C7)+(1/D7)),IF(AND(C7&lt;&gt;".",D7=".",E7&lt;&gt;"."),1/((1/C7)+(1/E7)),IF(AND(C7=".",D7&lt;&gt;".",E7&lt;&gt;"."),1/((1/D7)+(1/E7)),IF(AND(C7&lt;&gt;".",D7=".",E7="."),1/((1/C7)),IF(AND(C7=".",D7&lt;&gt;".",E7="."),1/((1/D7)),IF(AND(C7=".",D7=".",E7&lt;&gt;"."),1/((1/E7)),IF(AND(C7=".",D7=".",E7="."),"."))))))))</f>
        <v>172.12869056596418</v>
      </c>
      <c r="G7" s="15">
        <f>IFERROR((TR/(RadSpec!F7*EF_rec*(1/365)*ED_rec*def_acf!D7*ET_rec*(1/24)*RadSpec!V7)),".")</f>
        <v>21736.546135514403</v>
      </c>
      <c r="H7" s="15">
        <f>IFERROR((TR/(RadSpec!M7*EF_rec*(1/365)*ED_rec*def_acf!E7*ET_rec*(1/24)*RadSpec!R7)),".")</f>
        <v>94113.714921380903</v>
      </c>
      <c r="I7" s="15">
        <f>IFERROR((TR/(RadSpec!N7*EF_rec*(1/365)*ED_rec*def_acf!F7*ET_rec*(1/24)*RadSpec!S7)),".")</f>
        <v>30371.92681817228</v>
      </c>
      <c r="J7" s="15">
        <f>IFERROR((TR/(RadSpec!O7*EF_rec*(1/365)*ED_rec*def_acf!G7*ET_rec*(1/24)*RadSpec!Y7)),".")</f>
        <v>20168.297237121678</v>
      </c>
      <c r="K7" s="15">
        <f>IFERROR((TR/(RadSpec!K7*EF_rec*(1/365)*ED_rec*def_acf!C7*ET_rec*(1/24)*RadSpec!U7)),".")</f>
        <v>24386.862042847402</v>
      </c>
      <c r="L7" s="15">
        <f>IFERROR((TR/(RadSpec!G7*IFA_rec_adj)),".")</f>
        <v>1.5285699272973927</v>
      </c>
      <c r="M7" s="15">
        <f>IFERROR((TR/(RadSpec!J7*EF_rec*(1/365)*ED_rec*ET_rec*(1/24)*GSF_o)),".")</f>
        <v>849308.75628831144</v>
      </c>
      <c r="N7" s="15">
        <f t="shared" ref="N7" si="10">IFERROR(IF(AND(L7&lt;&gt;0,M7&lt;&gt;0),1/((1/L7)+(1/M7)),IF(AND(L7&lt;&gt;0,M7=0),1/((1/L7)),IF(AND(L7=0,M7&lt;&gt;0),1/((1/M7)),IF(AND(L7=0,M7=0),0)))),0)</f>
        <v>1.5285671762109354</v>
      </c>
      <c r="O7" s="15">
        <f>IFERROR(TR/(RadSpec!H7*IFW_rec_adj),".")</f>
        <v>698.7248620629781</v>
      </c>
      <c r="P7" s="15">
        <f>IFERROR(TR/(RadSpec!L7*(1/8760)*DFA_rec_adj),".")</f>
        <v>574234129.2516495</v>
      </c>
      <c r="Q7" s="15">
        <f t="shared" ref="Q7" si="11">IFERROR(IF(AND(O7&lt;&gt;0,P7&lt;&gt;0),1/((1/O7)+(1/P7)),IF(AND(O7&lt;&gt;0,P7=0),1/((1/O7)),IF(AND(O7=0,P7&lt;&gt;0),1/((1/P7)),IF(AND(O7=0,P7=0),0)))),0)</f>
        <v>698.72401185952629</v>
      </c>
      <c r="R7" s="15">
        <f>IFERROR(TR/(RadSpec!E7*EF_rec*ED_rec*IRGL_rec*CF_game),".")</f>
        <v>39.375039375039378</v>
      </c>
      <c r="S7" s="15">
        <f>IFERROR((R7/(RadSpec!AH7*((Q_p_game*f_p_game*f_s_game*(RadSpec!BB7+R_es_past))+(Q_s_game*f_p_game)))),".")</f>
        <v>11250.01125001125</v>
      </c>
      <c r="T7" s="15">
        <f>IFERROR(R7/(RadSpec!AH7*Q_w_game*(1/1000)),".")</f>
        <v>19687519.687519692</v>
      </c>
      <c r="U7" s="15">
        <f>IFERROR(TR/(RadSpec!E7*EF_rec*ED_rec*IRGF_rec*CF_fowl),".")</f>
        <v>39.375039375039378</v>
      </c>
      <c r="V7" s="15" t="str">
        <f>IFERROR((R7/(RadSpec!AJ7*((Q_p_fowl*f_p_fowl*f_s_fowl*(RadSpec!BB7+R_es_past))+(Q_s_fowl*f_p_fowl)))),".")</f>
        <v>.</v>
      </c>
      <c r="W7" s="15" t="str">
        <f>IFERROR(R7/(RadSpec!AJ7*Q_w_fowl*(1/1000)),".")</f>
        <v>.</v>
      </c>
    </row>
    <row r="8" spans="1:23" customFormat="1" x14ac:dyDescent="0.25">
      <c r="A8" s="44" t="s">
        <v>18</v>
      </c>
      <c r="B8" s="42" t="s">
        <v>1074</v>
      </c>
      <c r="C8" s="15">
        <f>IFERROR(((TR)/(RadSpec!D8*IFS_rec_adj*(1/1000))),".")</f>
        <v>3497.2861059817583</v>
      </c>
      <c r="D8" s="15">
        <f>IFERROR(IF(A8="H-3",(TR/(RadSpec!G8*IFA_rec_adj*(1/17)*1000))*RadSpec!#REF!,(TR/(RadSpec!G8*IFA_rec_adj*(1/PEF_wind)*1000))),".")</f>
        <v>12778796.461400082</v>
      </c>
      <c r="E8" s="15">
        <f>IFERROR((TR/(RadSpec!F8*EF_rec*(1/365)*ED_rec*def_acf!D8*ET_rec*(1/24)*RadSpec!V8)),".")</f>
        <v>93.838260146001232</v>
      </c>
      <c r="F8" s="15">
        <f t="shared" ref="F8:F9" si="12">IF(AND(C8&lt;&gt;".",D8&lt;&gt;".",E8&lt;&gt;"."),1/((1/C8)+(1/D8)+(1/E8)),IF(AND(C8&lt;&gt;".",D8&lt;&gt;".",E8="."), 1/((1/C8)+(1/D8)),IF(AND(C8&lt;&gt;".",D8=".",E8&lt;&gt;"."),1/((1/C8)+(1/E8)),IF(AND(C8=".",D8&lt;&gt;".",E8&lt;&gt;"."),1/((1/D8)+(1/E8)),IF(AND(C8&lt;&gt;".",D8=".",E8="."),1/((1/C8)),IF(AND(C8=".",D8&lt;&gt;".",E8="."),1/((1/D8)),IF(AND(C8=".",D8=".",E8&lt;&gt;"."),1/((1/E8)),IF(AND(C8=".",D8=".",E8="."),"."))))))))</f>
        <v>91.385555897542517</v>
      </c>
      <c r="G8" s="15">
        <f>IFERROR((TR/(RadSpec!F8*EF_rec*(1/365)*ED_rec*def_acf!D8*ET_rec*(1/24)*RadSpec!V8)),".")</f>
        <v>93.838260146001232</v>
      </c>
      <c r="H8" s="15">
        <f>IFERROR((TR/(RadSpec!M8*EF_rec*(1/365)*ED_rec*def_acf!E8*ET_rec*(1/24)*RadSpec!R8)),".")</f>
        <v>792.0307695129386</v>
      </c>
      <c r="I8" s="15">
        <f>IFERROR((TR/(RadSpec!N8*EF_rec*(1/365)*ED_rec*def_acf!F8*ET_rec*(1/24)*RadSpec!S8)),".")</f>
        <v>191.27543083737478</v>
      </c>
      <c r="J8" s="15">
        <f>IFERROR((TR/(RadSpec!O8*EF_rec*(1/365)*ED_rec*def_acf!G8*ET_rec*(1/24)*RadSpec!Y8)),".")</f>
        <v>105.81321963658011</v>
      </c>
      <c r="K8" s="15">
        <f>IFERROR((TR/(RadSpec!K8*EF_rec*(1/365)*ED_rec*def_acf!C8*ET_rec*(1/24)*RadSpec!U8)),".")</f>
        <v>1118.5953236863049</v>
      </c>
      <c r="L8" s="15">
        <f>IFERROR((TR/(RadSpec!G8*IFA_rec_adj)),".")</f>
        <v>9.4007050528789655</v>
      </c>
      <c r="M8" s="15">
        <f>IFERROR((TR/(RadSpec!J8*EF_rec*(1/365)*ED_rec*ET_rec*(1/24)*GSF_o)),".")</f>
        <v>8437.2119868115169</v>
      </c>
      <c r="N8" s="15">
        <f t="shared" ref="N8:N9" si="13">IFERROR(IF(AND(L8&lt;&gt;0,M8&lt;&gt;0),1/((1/L8)+(1/M8)),IF(AND(L8&lt;&gt;0,M8=0),1/((1/L8)),IF(AND(L8=0,M8&lt;&gt;0),1/((1/M8)),IF(AND(L8=0,M8=0),0)))),0)</f>
        <v>9.3902424853723065</v>
      </c>
      <c r="O8" s="15">
        <f>IFERROR(TR/(RadSpec!H8*IFW_rec_adj),".")</f>
        <v>12291.437354538522</v>
      </c>
      <c r="P8" s="15">
        <f>IFERROR(TR/(RadSpec!L8*(1/8760)*DFA_rec_adj),".")</f>
        <v>3886230.975743487</v>
      </c>
      <c r="Q8" s="15">
        <f t="shared" ref="Q8:Q9" si="14">IFERROR(IF(AND(O8&lt;&gt;0,P8&lt;&gt;0),1/((1/O8)+(1/P8)),IF(AND(O8&lt;&gt;0,P8=0),1/((1/O8)),IF(AND(O8=0,P8&lt;&gt;0),1/((1/P8)),IF(AND(O8=0,P8=0),0)))),0)</f>
        <v>12252.684356291556</v>
      </c>
      <c r="R8" s="15">
        <f>IFERROR(TR/(RadSpec!E8*EF_rec*ED_rec*IRGL_rec*CF_game),".")</f>
        <v>714.43370412442573</v>
      </c>
      <c r="S8" s="15">
        <f>IFERROR((R8/(RadSpec!AH8*((Q_p_game*f_p_game*f_s_game*(RadSpec!BB8+R_es_past))+(Q_s_game*f_p_game)))),".")</f>
        <v>204123.91546412164</v>
      </c>
      <c r="T8" s="15">
        <f>IFERROR(R8/(RadSpec!AH8*Q_w_game*(1/1000)),".")</f>
        <v>357216852.06221288</v>
      </c>
      <c r="U8" s="15">
        <f>IFERROR(TR/(RadSpec!E8*EF_rec*ED_rec*IRGF_rec*CF_fowl),".")</f>
        <v>714.43370412442573</v>
      </c>
      <c r="V8" s="15" t="str">
        <f>IFERROR((R8/(RadSpec!AJ8*((Q_p_fowl*f_p_fowl*f_s_fowl*(RadSpec!BB8+R_es_past))+(Q_s_fowl*f_p_fowl)))),".")</f>
        <v>.</v>
      </c>
      <c r="W8" s="15" t="str">
        <f>IFERROR(R8/(RadSpec!AJ8*Q_w_fowl*(1/1000)),".")</f>
        <v>.</v>
      </c>
    </row>
    <row r="9" spans="1:23" customFormat="1" x14ac:dyDescent="0.25">
      <c r="A9" s="44" t="s">
        <v>19</v>
      </c>
      <c r="B9" s="42" t="s">
        <v>1074</v>
      </c>
      <c r="C9" s="15">
        <f>IFERROR(((TR)/(RadSpec!D9*IFS_rec_adj*(1/1000))),".")</f>
        <v>10331.432349780973</v>
      </c>
      <c r="D9" s="15">
        <f>IFERROR(IF(A9="H-3",(TR/(RadSpec!G9*IFA_rec_adj*(1/17)*1000))*RadSpec!#REF!,(TR/(RadSpec!G9*IFA_rec_adj*(1/PEF_wind)*1000))),".")</f>
        <v>15301471.490996864</v>
      </c>
      <c r="E9" s="15">
        <f>IFERROR((TR/(RadSpec!F9*EF_rec*(1/365)*ED_rec*def_acf!D9*ET_rec*(1/24)*RadSpec!V9)),".")</f>
        <v>6.5306930517165691</v>
      </c>
      <c r="F9" s="15">
        <f t="shared" si="12"/>
        <v>6.5265647016475414</v>
      </c>
      <c r="G9" s="15">
        <f>IFERROR((TR/(RadSpec!F9*EF_rec*(1/365)*ED_rec*def_acf!D9*ET_rec*(1/24)*RadSpec!V9)),".")</f>
        <v>6.5306930517165691</v>
      </c>
      <c r="H9" s="15">
        <f>IFERROR((TR/(RadSpec!M9*EF_rec*(1/365)*ED_rec*def_acf!E9*ET_rec*(1/24)*RadSpec!R9)),".")</f>
        <v>78.779173159160123</v>
      </c>
      <c r="I9" s="15">
        <f>IFERROR((TR/(RadSpec!N9*EF_rec*(1/365)*ED_rec*def_acf!F9*ET_rec*(1/24)*RadSpec!S9)),".")</f>
        <v>18.170892309866712</v>
      </c>
      <c r="J9" s="15">
        <f>IFERROR((TR/(RadSpec!O9*EF_rec*(1/365)*ED_rec*def_acf!G9*ET_rec*(1/24)*RadSpec!Y9)),".")</f>
        <v>8.682887704420871</v>
      </c>
      <c r="K9" s="15">
        <f>IFERROR((TR/(RadSpec!K9*EF_rec*(1/365)*ED_rec*def_acf!C9*ET_rec*(1/24)*RadSpec!U9)),".")</f>
        <v>120.75951410941882</v>
      </c>
      <c r="L9" s="15">
        <f>IFERROR((TR/(RadSpec!G9*IFA_rec_adj)),".")</f>
        <v>11.25650766849585</v>
      </c>
      <c r="M9" s="15">
        <f>IFERROR((TR/(RadSpec!J9*EF_rec*(1/365)*ED_rec*ET_rec*(1/24)*GSF_o)),".")</f>
        <v>671.44304816510498</v>
      </c>
      <c r="N9" s="15">
        <f t="shared" si="13"/>
        <v>11.070907774943569</v>
      </c>
      <c r="O9" s="15">
        <f>IFERROR(TR/(RadSpec!H9*IFW_rec_adj),".")</f>
        <v>32445.605348203808</v>
      </c>
      <c r="P9" s="15">
        <f>IFERROR(TR/(RadSpec!L9*(1/8760)*DFA_rec_adj),".")</f>
        <v>310271.66661177832</v>
      </c>
      <c r="Q9" s="15">
        <f t="shared" si="14"/>
        <v>29373.92675905376</v>
      </c>
      <c r="R9" s="15">
        <f>IFERROR(TR/(RadSpec!E9*EF_rec*ED_rec*IRGL_rec*CF_game),".")</f>
        <v>1933.0563263617655</v>
      </c>
      <c r="S9" s="15">
        <f>IFERROR((R9/(RadSpec!AH9*((Q_p_game*f_p_game*f_s_game*(RadSpec!BB9+R_es_past))+(Q_s_game*f_p_game)))),".")</f>
        <v>552301.80753193295</v>
      </c>
      <c r="T9" s="15">
        <f>IFERROR(R9/(RadSpec!AH9*Q_w_game*(1/1000)),".")</f>
        <v>966528163.18088281</v>
      </c>
      <c r="U9" s="15">
        <f>IFERROR(TR/(RadSpec!E9*EF_rec*ED_rec*IRGF_rec*CF_fowl),".")</f>
        <v>1933.0563263617655</v>
      </c>
      <c r="V9" s="15" t="str">
        <f>IFERROR((R9/(RadSpec!AJ9*((Q_p_fowl*f_p_fowl*f_s_fowl*(RadSpec!BB9+R_es_past))+(Q_s_fowl*f_p_fowl)))),".")</f>
        <v>.</v>
      </c>
      <c r="W9" s="15" t="str">
        <f>IFERROR(R9/(RadSpec!AJ9*Q_w_fowl*(1/1000)),".")</f>
        <v>.</v>
      </c>
    </row>
    <row r="10" spans="1:23" customFormat="1" x14ac:dyDescent="0.25">
      <c r="A10" s="46" t="s">
        <v>20</v>
      </c>
      <c r="B10" s="42" t="s">
        <v>351</v>
      </c>
      <c r="C10" s="15">
        <f>IFERROR(((TR)/(RadSpec!D10*IFS_rec_adj*(1/1000))),".")</f>
        <v>97.924010967489224</v>
      </c>
      <c r="D10" s="15">
        <f>IFERROR(IF(A10="H-3",(TR/(RadSpec!G10*IFA_rec_adj*(1/17)*1000))*RadSpec!#REF!,(TR/(RadSpec!G10*IFA_rec_adj*(1/PEF_wind)*1000))),".")</f>
        <v>8407102.9351316337</v>
      </c>
      <c r="E10" s="15">
        <f>IFERROR((TR/(RadSpec!F10*EF_rec*(1/365)*ED_rec*def_acf!D10*ET_rec*(1/24)*RadSpec!V10)),".")</f>
        <v>110462.92946605638</v>
      </c>
      <c r="F10" s="15">
        <f>IF(AND(C10&lt;&gt;".",D10&lt;&gt;".",E10&lt;&gt;"."),1/((1/C10)+(1/D10)+(1/E10)),IF(AND(C10&lt;&gt;".",D10&lt;&gt;".",E10="."), 1/((1/C10)+(1/D10)),IF(AND(C10&lt;&gt;".",D10=".",E10&lt;&gt;"."),1/((1/C10)+(1/E10)),IF(AND(C10=".",D10&lt;&gt;".",E10&lt;&gt;"."),1/((1/D10)+(1/E10)),IF(AND(C10&lt;&gt;".",D10=".",E10="."),1/((1/C10)),IF(AND(C10=".",D10&lt;&gt;".",E10="."),1/((1/D10)),IF(AND(C10=".",D10=".",E10&lt;&gt;"."),1/((1/E10)),IF(AND(C10=".",D10=".",E10="."),"."))))))))</f>
        <v>97.836140874341638</v>
      </c>
      <c r="G10" s="15">
        <f>IFERROR((TR/(RadSpec!F10*EF_rec*(1/365)*ED_rec*def_acf!D10*ET_rec*(1/24)*RadSpec!V10)),".")</f>
        <v>110462.92946605638</v>
      </c>
      <c r="H10" s="15">
        <f>IFERROR((TR/(RadSpec!M10*EF_rec*(1/365)*ED_rec*def_acf!E10*ET_rec*(1/24)*RadSpec!R10)),".")</f>
        <v>474477.81208987691</v>
      </c>
      <c r="I10" s="15">
        <f>IFERROR((TR/(RadSpec!N10*EF_rec*(1/365)*ED_rec*def_acf!F10*ET_rec*(1/24)*RadSpec!S10)),".")</f>
        <v>147804.83266029027</v>
      </c>
      <c r="J10" s="15">
        <f>IFERROR((TR/(RadSpec!O10*EF_rec*(1/365)*ED_rec*def_acf!G10*ET_rec*(1/24)*RadSpec!Y10)),".")</f>
        <v>99963.904491038818</v>
      </c>
      <c r="K10" s="15">
        <f>IFERROR((TR/(RadSpec!K10*EF_rec*(1/365)*ED_rec*def_acf!C10*ET_rec*(1/24)*RadSpec!U10)),".")</f>
        <v>242928.68555617123</v>
      </c>
      <c r="L10" s="15">
        <f>IFERROR((TR/(RadSpec!G10*IFA_rec_adj)),".")</f>
        <v>6.1846743768940566</v>
      </c>
      <c r="M10" s="15">
        <f>IFERROR((TR/(RadSpec!J10*EF_rec*(1/365)*ED_rec*ET_rec*(1/24)*GSF_o)),".")</f>
        <v>2767891.1266086698</v>
      </c>
      <c r="N10" s="15">
        <f t="shared" ref="N10" si="15">IFERROR(IF(AND(L10&lt;&gt;0,M10&lt;&gt;0),1/((1/L10)+(1/M10)),IF(AND(L10&lt;&gt;0,M10=0),1/((1/L10)),IF(AND(L10=0,M10&lt;&gt;0),1/((1/M10)),IF(AND(L10=0,M10=0),0)))),0)</f>
        <v>6.1846605576685416</v>
      </c>
      <c r="O10" s="15">
        <f>IFERROR(TR/(RadSpec!H10*IFW_rec_adj),".")</f>
        <v>204.36006281210891</v>
      </c>
      <c r="P10" s="15">
        <f>IFERROR(TR/(RadSpec!L10*(1/8760)*DFA_rec_adj),".")</f>
        <v>2003837846.8677349</v>
      </c>
      <c r="Q10" s="15">
        <f t="shared" ref="Q10" si="16">IFERROR(IF(AND(O10&lt;&gt;0,P10&lt;&gt;0),1/((1/O10)+(1/P10)),IF(AND(O10&lt;&gt;0,P10=0),1/((1/O10)),IF(AND(O10=0,P10&lt;&gt;0),1/((1/P10)),IF(AND(O10=0,P10=0),0)))),0)</f>
        <v>204.36004197058668</v>
      </c>
      <c r="R10" s="15">
        <f>IFERROR(TR/(RadSpec!E10*EF_rec*ED_rec*IRGL_rec*CF_game),".")</f>
        <v>13.722786000013722</v>
      </c>
      <c r="S10" s="15">
        <f>IFERROR((R10/(RadSpec!AH10*((Q_p_game*f_p_game*f_s_game*(RadSpec!BB10+R_es_past))+(Q_s_game*f_p_game)))),".")</f>
        <v>486.04909090957699</v>
      </c>
      <c r="T10" s="15">
        <f>IFERROR(R10/(RadSpec!AH10*Q_w_game*(1/1000)),".")</f>
        <v>623763.00000062375</v>
      </c>
      <c r="U10" s="15">
        <f>IFERROR(TR/(RadSpec!E10*EF_rec*ED_rec*IRGF_rec*CF_fowl),".")</f>
        <v>13.722786000013722</v>
      </c>
      <c r="V10" s="15">
        <f>IFERROR((R10/(RadSpec!AJ10*((Q_p_fowl*f_p_fowl*f_s_fowl*(RadSpec!BB10+R_es_past))+(Q_s_fowl*f_p_fowl)))),".")</f>
        <v>3.9604000000039603</v>
      </c>
      <c r="W10" s="15">
        <f>IFERROR(R10/(RadSpec!AJ10*Q_w_fowl*(1/1000)),".")</f>
        <v>5082.5133333384156</v>
      </c>
    </row>
    <row r="11" spans="1:23" customFormat="1" x14ac:dyDescent="0.25">
      <c r="A11" s="44" t="s">
        <v>21</v>
      </c>
      <c r="B11" s="42" t="s">
        <v>1074</v>
      </c>
      <c r="C11" s="15" t="str">
        <f>IFERROR(((TR)/(RadSpec!D11*IFS_rec_adj*(1/1000))),".")</f>
        <v>.</v>
      </c>
      <c r="D11" s="15" t="str">
        <f>IFERROR(IF(A11="H-3",(TR/(RadSpec!G11*IFA_rec_adj*(1/17)*1000))*RadSpec!#REF!,(TR/(RadSpec!G11*IFA_rec_adj*(1/PEF_wind)*1000))),".")</f>
        <v>.</v>
      </c>
      <c r="E11" s="15">
        <f>IFERROR((TR/(RadSpec!F11*EF_rec*(1/365)*ED_rec*def_acf!D11*ET_rec*(1/24)*RadSpec!V11)),".")</f>
        <v>580.09677936798175</v>
      </c>
      <c r="F11" s="15">
        <f>IF(AND(C11&lt;&gt;".",D11&lt;&gt;".",E11&lt;&gt;"."),1/((1/C11)+(1/D11)+(1/E11)),IF(AND(C11&lt;&gt;".",D11&lt;&gt;".",E11="."), 1/((1/C11)+(1/D11)),IF(AND(C11&lt;&gt;".",D11=".",E11&lt;&gt;"."),1/((1/C11)+(1/E11)),IF(AND(C11=".",D11&lt;&gt;".",E11&lt;&gt;"."),1/((1/D11)+(1/E11)),IF(AND(C11&lt;&gt;".",D11=".",E11="."),1/((1/C11)),IF(AND(C11=".",D11&lt;&gt;".",E11="."),1/((1/D11)),IF(AND(C11=".",D11=".",E11&lt;&gt;"."),1/((1/E11)),IF(AND(C11=".",D11=".",E11="."),"."))))))))</f>
        <v>580.09677936798175</v>
      </c>
      <c r="G11" s="15">
        <f>IFERROR((TR/(RadSpec!F11*EF_rec*(1/365)*ED_rec*def_acf!D11*ET_rec*(1/24)*RadSpec!V11)),".")</f>
        <v>580.09677936798175</v>
      </c>
      <c r="H11" s="15">
        <f>IFERROR((TR/(RadSpec!M11*EF_rec*(1/365)*ED_rec*def_acf!E11*ET_rec*(1/24)*RadSpec!R11)),".")</f>
        <v>3328.3535364031809</v>
      </c>
      <c r="I11" s="15">
        <f>IFERROR((TR/(RadSpec!N11*EF_rec*(1/365)*ED_rec*def_acf!F11*ET_rec*(1/24)*RadSpec!S11)),".")</f>
        <v>884.81151679874029</v>
      </c>
      <c r="J11" s="15">
        <f>IFERROR((TR/(RadSpec!O11*EF_rec*(1/365)*ED_rec*def_acf!G11*ET_rec*(1/24)*RadSpec!Y11)),".")</f>
        <v>528.17922437669768</v>
      </c>
      <c r="K11" s="15">
        <f>IFERROR((TR/(RadSpec!K11*EF_rec*(1/365)*ED_rec*def_acf!C11*ET_rec*(1/24)*RadSpec!U11)),".")</f>
        <v>3964.5824067060535</v>
      </c>
      <c r="L11" s="15" t="str">
        <f>IFERROR((TR/(RadSpec!G11*IFA_rec_adj)),".")</f>
        <v>.</v>
      </c>
      <c r="M11" s="15">
        <f>IFERROR((TR/(RadSpec!J11*EF_rec*(1/365)*ED_rec*ET_rec*(1/24)*GSF_o)),".")</f>
        <v>38980.432279493936</v>
      </c>
      <c r="N11" s="15">
        <f t="shared" ref="N11" si="17">IFERROR(IF(AND(L11&lt;&gt;0,M11&lt;&gt;0),1/((1/L11)+(1/M11)),IF(AND(L11&lt;&gt;0,M11=0),1/((1/L11)),IF(AND(L11=0,M11&lt;&gt;0),1/((1/M11)),IF(AND(L11=0,M11=0),0)))),0)</f>
        <v>0</v>
      </c>
      <c r="O11" s="15" t="str">
        <f>IFERROR(TR/(RadSpec!H11*IFW_rec_adj),".")</f>
        <v>.</v>
      </c>
      <c r="P11" s="15">
        <f>IFERROR(TR/(RadSpec!L11*(1/8760)*DFA_rec_adj),".")</f>
        <v>17729809.520673044</v>
      </c>
      <c r="Q11" s="15">
        <f t="shared" ref="Q11" si="18">IFERROR(IF(AND(O11&lt;&gt;0,P11&lt;&gt;0),1/((1/O11)+(1/P11)),IF(AND(O11&lt;&gt;0,P11=0),1/((1/O11)),IF(AND(O11=0,P11&lt;&gt;0),1/((1/P11)),IF(AND(O11=0,P11=0),0)))),0)</f>
        <v>0</v>
      </c>
      <c r="R11" s="15" t="str">
        <f>IFERROR(TR/(RadSpec!E11*EF_rec*ED_rec*IRGL_rec*CF_game),".")</f>
        <v>.</v>
      </c>
      <c r="S11" s="15" t="str">
        <f>IFERROR((R11/(RadSpec!AH11*((Q_p_game*f_p_game*f_s_game*(RadSpec!BB11+R_es_past))+(Q_s_game*f_p_game)))),".")</f>
        <v>.</v>
      </c>
      <c r="T11" s="15" t="str">
        <f>IFERROR(R11/(RadSpec!AH11*Q_w_game*(1/1000)),".")</f>
        <v>.</v>
      </c>
      <c r="U11" s="15" t="str">
        <f>IFERROR(TR/(RadSpec!E11*EF_rec*ED_rec*IRGF_rec*CF_fowl),".")</f>
        <v>.</v>
      </c>
      <c r="V11" s="15" t="str">
        <f>IFERROR((R11/(RadSpec!AJ11*((Q_p_fowl*f_p_fowl*f_s_fowl*(RadSpec!BB11+R_es_past))+(Q_s_fowl*f_p_fowl)))),".")</f>
        <v>.</v>
      </c>
      <c r="W11" s="15" t="str">
        <f>IFERROR(R11/(RadSpec!AJ11*Q_w_fowl*(1/1000)),".")</f>
        <v>.</v>
      </c>
    </row>
    <row r="12" spans="1:23" customFormat="1" x14ac:dyDescent="0.25">
      <c r="A12" s="44" t="s">
        <v>22</v>
      </c>
      <c r="B12" s="42" t="s">
        <v>1074</v>
      </c>
      <c r="C12" s="15" t="str">
        <f>IFERROR(((TR)/(RadSpec!D12*IFS_rec_adj*(1/1000))),".")</f>
        <v>.</v>
      </c>
      <c r="D12" s="15" t="str">
        <f>IFERROR(IF(A12="H-3",(TR/(RadSpec!G12*IFA_rec_adj*(1/17)*1000))*RadSpec!#REF!,(TR/(RadSpec!G12*IFA_rec_adj*(1/PEF_wind)*1000))),".")</f>
        <v>.</v>
      </c>
      <c r="E12" s="15">
        <f>IFERROR((TR/(RadSpec!F12*EF_rec*(1/365)*ED_rec*def_acf!D12*ET_rec*(1/24)*RadSpec!V12)),".")</f>
        <v>117.75308739676132</v>
      </c>
      <c r="F12" s="15">
        <f>IF(AND(C12&lt;&gt;".",D12&lt;&gt;".",E12&lt;&gt;"."),1/((1/C12)+(1/D12)+(1/E12)),IF(AND(C12&lt;&gt;".",D12&lt;&gt;".",E12="."), 1/((1/C12)+(1/D12)),IF(AND(C12&lt;&gt;".",D12=".",E12&lt;&gt;"."),1/((1/C12)+(1/E12)),IF(AND(C12=".",D12&lt;&gt;".",E12&lt;&gt;"."),1/((1/D12)+(1/E12)),IF(AND(C12&lt;&gt;".",D12=".",E12="."),1/((1/C12)),IF(AND(C12=".",D12&lt;&gt;".",E12="."),1/((1/D12)),IF(AND(C12=".",D12=".",E12&lt;&gt;"."),1/((1/E12)),IF(AND(C12=".",D12=".",E12="."),"."))))))))</f>
        <v>117.75308739676132</v>
      </c>
      <c r="G12" s="15">
        <f>IFERROR((TR/(RadSpec!F12*EF_rec*(1/365)*ED_rec*def_acf!D12*ET_rec*(1/24)*RadSpec!V12)),".")</f>
        <v>117.75308739676132</v>
      </c>
      <c r="H12" s="15">
        <f>IFERROR((TR/(RadSpec!M12*EF_rec*(1/365)*ED_rec*def_acf!E12*ET_rec*(1/24)*RadSpec!R12)),".")</f>
        <v>821.11304989759446</v>
      </c>
      <c r="I12" s="15">
        <f>IFERROR((TR/(RadSpec!N12*EF_rec*(1/365)*ED_rec*def_acf!F12*ET_rec*(1/24)*RadSpec!S12)),".")</f>
        <v>204.47324968038126</v>
      </c>
      <c r="J12" s="15">
        <f>IFERROR((TR/(RadSpec!O12*EF_rec*(1/365)*ED_rec*def_acf!G12*ET_rec*(1/24)*RadSpec!Y12)),".")</f>
        <v>118.2698199915519</v>
      </c>
      <c r="K12" s="15">
        <f>IFERROR((TR/(RadSpec!K12*EF_rec*(1/365)*ED_rec*def_acf!C12*ET_rec*(1/24)*RadSpec!U12)),".")</f>
        <v>1062.0728481185749</v>
      </c>
      <c r="L12" s="15" t="str">
        <f>IFERROR((TR/(RadSpec!G12*IFA_rec_adj)),".")</f>
        <v>.</v>
      </c>
      <c r="M12" s="15">
        <f>IFERROR((TR/(RadSpec!J12*EF_rec*(1/365)*ED_rec*ET_rec*(1/24)*GSF_o)),".")</f>
        <v>9052.632155261299</v>
      </c>
      <c r="N12" s="15">
        <f t="shared" ref="N12" si="19">IFERROR(IF(AND(L12&lt;&gt;0,M12&lt;&gt;0),1/((1/L12)+(1/M12)),IF(AND(L12&lt;&gt;0,M12=0),1/((1/L12)),IF(AND(L12=0,M12&lt;&gt;0),1/((1/M12)),IF(AND(L12=0,M12=0),0)))),0)</f>
        <v>0</v>
      </c>
      <c r="O12" s="15" t="str">
        <f>IFERROR(TR/(RadSpec!H12*IFW_rec_adj),".")</f>
        <v>.</v>
      </c>
      <c r="P12" s="15">
        <f>IFERROR(TR/(RadSpec!L12*(1/8760)*DFA_rec_adj),".")</f>
        <v>4159317.4767416776</v>
      </c>
      <c r="Q12" s="15">
        <f t="shared" ref="Q12" si="20">IFERROR(IF(AND(O12&lt;&gt;0,P12&lt;&gt;0),1/((1/O12)+(1/P12)),IF(AND(O12&lt;&gt;0,P12=0),1/((1/O12)),IF(AND(O12=0,P12&lt;&gt;0),1/((1/P12)),IF(AND(O12=0,P12=0),0)))),0)</f>
        <v>0</v>
      </c>
      <c r="R12" s="15" t="str">
        <f>IFERROR(TR/(RadSpec!E12*EF_rec*ED_rec*IRGL_rec*CF_game),".")</f>
        <v>.</v>
      </c>
      <c r="S12" s="15" t="str">
        <f>IFERROR((R12/(RadSpec!AH12*((Q_p_game*f_p_game*f_s_game*(RadSpec!BB12+R_es_past))+(Q_s_game*f_p_game)))),".")</f>
        <v>.</v>
      </c>
      <c r="T12" s="15" t="str">
        <f>IFERROR(R12/(RadSpec!AH12*Q_w_game*(1/1000)),".")</f>
        <v>.</v>
      </c>
      <c r="U12" s="15" t="str">
        <f>IFERROR(TR/(RadSpec!E12*EF_rec*ED_rec*IRGF_rec*CF_fowl),".")</f>
        <v>.</v>
      </c>
      <c r="V12" s="15" t="str">
        <f>IFERROR((R12/(RadSpec!AJ12*((Q_p_fowl*f_p_fowl*f_s_fowl*(RadSpec!BB12+R_es_past))+(Q_s_fowl*f_p_fowl)))),".")</f>
        <v>.</v>
      </c>
      <c r="W12" s="15" t="str">
        <f>IFERROR(R12/(RadSpec!AJ12*Q_w_fowl*(1/1000)),".")</f>
        <v>.</v>
      </c>
    </row>
    <row r="13" spans="1:23" customFormat="1" x14ac:dyDescent="0.25">
      <c r="A13" s="44" t="s">
        <v>23</v>
      </c>
      <c r="B13" s="42" t="s">
        <v>1074</v>
      </c>
      <c r="C13" s="15">
        <f>IFERROR(((TR)/(RadSpec!D13*IFS_rec_adj*(1/1000))),".")</f>
        <v>33.416205523030442</v>
      </c>
      <c r="D13" s="15">
        <f>IFERROR(IF(A13="H-3",(TR/(RadSpec!G13*IFA_rec_adj*(1/17)*1000))*RadSpec!#REF!,(TR/(RadSpec!G13*IFA_rec_adj*(1/PEF_wind)*1000))),".")</f>
        <v>32977.539255226016</v>
      </c>
      <c r="E13" s="15">
        <f>IFERROR((TR/(RadSpec!F13*EF_rec*(1/365)*ED_rec*def_acf!D13*ET_rec*(1/24)*RadSpec!V13)),".")</f>
        <v>832.04076976761598</v>
      </c>
      <c r="F13" s="15">
        <f>IF(AND(C13&lt;&gt;".",D13&lt;&gt;".",E13&lt;&gt;"."),1/((1/C13)+(1/D13)+(1/E13)),IF(AND(C13&lt;&gt;".",D13&lt;&gt;".",E13="."), 1/((1/C13)+(1/D13)),IF(AND(C13&lt;&gt;".",D13=".",E13&lt;&gt;"."),1/((1/C13)+(1/E13)),IF(AND(C13=".",D13&lt;&gt;".",E13&lt;&gt;"."),1/((1/D13)+(1/E13)),IF(AND(C13&lt;&gt;".",D13=".",E13="."),1/((1/C13)),IF(AND(C13=".",D13&lt;&gt;".",E13="."),1/((1/D13)),IF(AND(C13=".",D13=".",E13&lt;&gt;"."),1/((1/E13)),IF(AND(C13=".",D13=".",E13="."),"."))))))))</f>
        <v>32.094704692593702</v>
      </c>
      <c r="G13" s="15">
        <f>IFERROR((TR/(RadSpec!F13*EF_rec*(1/365)*ED_rec*def_acf!D13*ET_rec*(1/24)*RadSpec!V13)),".")</f>
        <v>832.04076976761598</v>
      </c>
      <c r="H13" s="15">
        <f>IFERROR((TR/(RadSpec!M13*EF_rec*(1/365)*ED_rec*def_acf!E13*ET_rec*(1/24)*RadSpec!R13)),".")</f>
        <v>2417.6151003361829</v>
      </c>
      <c r="I13" s="15">
        <f>IFERROR((TR/(RadSpec!N13*EF_rec*(1/365)*ED_rec*def_acf!F13*ET_rec*(1/24)*RadSpec!S13)),".")</f>
        <v>1035.0982350776396</v>
      </c>
      <c r="J13" s="15">
        <f>IFERROR((TR/(RadSpec!O13*EF_rec*(1/365)*ED_rec*def_acf!G13*ET_rec*(1/24)*RadSpec!Y13)),".")</f>
        <v>822.59255696962987</v>
      </c>
      <c r="K13" s="15">
        <f>IFERROR((TR/(RadSpec!K13*EF_rec*(1/365)*ED_rec*def_acf!C13*ET_rec*(1/24)*RadSpec!U13)),".")</f>
        <v>2369.490543496172</v>
      </c>
      <c r="L13" s="15">
        <f>IFERROR((TR/(RadSpec!G13*IFA_rec_adj)),".")</f>
        <v>2.4259884007429587E-2</v>
      </c>
      <c r="M13" s="15">
        <f>IFERROR((TR/(RadSpec!J13*EF_rec*(1/365)*ED_rec*ET_rec*(1/24)*GSF_o)),".")</f>
        <v>58559.644839970337</v>
      </c>
      <c r="N13" s="15">
        <f t="shared" ref="N13" si="21">IFERROR(IF(AND(L13&lt;&gt;0,M13&lt;&gt;0),1/((1/L13)+(1/M13)),IF(AND(L13&lt;&gt;0,M13=0),1/((1/L13)),IF(AND(L13=0,M13&lt;&gt;0),1/((1/M13)),IF(AND(L13=0,M13=0),0)))),0)</f>
        <v>2.4259873957134203E-2</v>
      </c>
      <c r="O13" s="15">
        <f>IFERROR(TR/(RadSpec!H13*IFW_rec_adj),".")</f>
        <v>100.23374509355818</v>
      </c>
      <c r="P13" s="15">
        <f>IFERROR(TR/(RadSpec!L13*(1/8760)*DFA_rec_adj),".")</f>
        <v>26172575.959088787</v>
      </c>
      <c r="Q13" s="15">
        <f t="shared" ref="Q13" si="22">IFERROR(IF(AND(O13&lt;&gt;0,P13&lt;&gt;0),1/((1/O13)+(1/P13)),IF(AND(O13&lt;&gt;0,P13=0),1/((1/O13)),IF(AND(O13=0,P13&lt;&gt;0),1/((1/P13)),IF(AND(O13=0,P13=0),0)))),0)</f>
        <v>100.23336122743837</v>
      </c>
      <c r="R13" s="15">
        <f>IFERROR(TR/(RadSpec!E13*EF_rec*ED_rec*IRGL_rec*CF_game),".")</f>
        <v>6.1875061875061865</v>
      </c>
      <c r="S13" s="15">
        <f>IFERROR((R13/(RadSpec!AH13*((Q_p_game*f_p_game*f_s_game*(RadSpec!BB13+R_es_past))+(Q_s_game*f_p_game)))),".")</f>
        <v>4936.8400432230201</v>
      </c>
      <c r="T13" s="15">
        <f>IFERROR(R13/(RadSpec!AH13*Q_w_game*(1/1000)),".")</f>
        <v>6187506.1875061868</v>
      </c>
      <c r="U13" s="15">
        <f>IFERROR(TR/(RadSpec!E13*EF_rec*ED_rec*IRGF_rec*CF_fowl),".")</f>
        <v>6.1875061875061865</v>
      </c>
      <c r="V13" s="15" t="str">
        <f>IFERROR((R13/(RadSpec!AJ13*((Q_p_fowl*f_p_fowl*f_s_fowl*(RadSpec!BB13+R_es_past))+(Q_s_fowl*f_p_fowl)))),".")</f>
        <v>.</v>
      </c>
      <c r="W13" s="15" t="str">
        <f>IFERROR(R13/(RadSpec!AJ13*Q_w_fowl*(1/1000)),".")</f>
        <v>.</v>
      </c>
    </row>
    <row r="14" spans="1:23" customFormat="1" x14ac:dyDescent="0.25">
      <c r="A14" s="44" t="s">
        <v>24</v>
      </c>
      <c r="B14" s="42" t="s">
        <v>1074</v>
      </c>
      <c r="C14" s="15">
        <f>IFERROR(((TR)/(RadSpec!D14*IFS_rec_adj*(1/1000))),".")</f>
        <v>253.06205081485976</v>
      </c>
      <c r="D14" s="15">
        <f>IFERROR(IF(A14="H-3",(TR/(RadSpec!G14*IFA_rec_adj*(1/17)*1000))*RadSpec!#REF!,(TR/(RadSpec!G14*IFA_rec_adj*(1/PEF_wind)*1000))),".")</f>
        <v>61882791.580629945</v>
      </c>
      <c r="E14" s="15">
        <f>IFERROR((TR/(RadSpec!F14*EF_rec*(1/365)*ED_rec*def_acf!D14*ET_rec*(1/24)*RadSpec!V14)),".")</f>
        <v>69.071138288983377</v>
      </c>
      <c r="F14" s="15">
        <f>IF(AND(C14&lt;&gt;".",D14&lt;&gt;".",E14&lt;&gt;"."),1/((1/C14)+(1/D14)+(1/E14)),IF(AND(C14&lt;&gt;".",D14&lt;&gt;".",E14="."), 1/((1/C14)+(1/D14)),IF(AND(C14&lt;&gt;".",D14=".",E14&lt;&gt;"."),1/((1/C14)+(1/E14)),IF(AND(C14=".",D14&lt;&gt;".",E14&lt;&gt;"."),1/((1/D14)+(1/E14)),IF(AND(C14&lt;&gt;".",D14=".",E14="."),1/((1/C14)),IF(AND(C14=".",D14&lt;&gt;".",E14="."),1/((1/D14)),IF(AND(C14=".",D14=".",E14&lt;&gt;"."),1/((1/E14)),IF(AND(C14=".",D14=".",E14="."),"."))))))))</f>
        <v>54.260998780364837</v>
      </c>
      <c r="G14" s="15">
        <f>IFERROR((TR/(RadSpec!F14*EF_rec*(1/365)*ED_rec*def_acf!D14*ET_rec*(1/24)*RadSpec!V14)),".")</f>
        <v>69.071138288983377</v>
      </c>
      <c r="H14" s="15">
        <f>IFERROR((TR/(RadSpec!M14*EF_rec*(1/365)*ED_rec*def_acf!E14*ET_rec*(1/24)*RadSpec!R14)),".")</f>
        <v>382.39054789694626</v>
      </c>
      <c r="I14" s="15">
        <f>IFERROR((TR/(RadSpec!N14*EF_rec*(1/365)*ED_rec*def_acf!F14*ET_rec*(1/24)*RadSpec!S14)),".")</f>
        <v>111.59387524929282</v>
      </c>
      <c r="J14" s="15">
        <f>IFERROR((TR/(RadSpec!O14*EF_rec*(1/365)*ED_rec*def_acf!G14*ET_rec*(1/24)*RadSpec!Y14)),".")</f>
        <v>68.78417722172972</v>
      </c>
      <c r="K14" s="15">
        <f>IFERROR((TR/(RadSpec!K14*EF_rec*(1/365)*ED_rec*def_acf!C14*ET_rec*(1/24)*RadSpec!U14)),".")</f>
        <v>417.17967427788506</v>
      </c>
      <c r="L14" s="15">
        <f>IFERROR((TR/(RadSpec!G14*IFA_rec_adj)),".")</f>
        <v>45.523995413457463</v>
      </c>
      <c r="M14" s="15">
        <f>IFERROR((TR/(RadSpec!J14*EF_rec*(1/365)*ED_rec*ET_rec*(1/24)*GSF_o)),".")</f>
        <v>5263.1582298030798</v>
      </c>
      <c r="N14" s="15">
        <f t="shared" ref="N14" si="23">IFERROR(IF(AND(L14&lt;&gt;0,M14&lt;&gt;0),1/((1/L14)+(1/M14)),IF(AND(L14&lt;&gt;0,M14=0),1/((1/L14)),IF(AND(L14=0,M14&lt;&gt;0),1/((1/M14)),IF(AND(L14=0,M14=0),0)))),0)</f>
        <v>45.133609613275205</v>
      </c>
      <c r="O14" s="15">
        <f>IFERROR(TR/(RadSpec!H14*IFW_rec_adj),".")</f>
        <v>1014.4138057661308</v>
      </c>
      <c r="P14" s="15">
        <f>IFERROR(TR/(RadSpec!L14*(1/8760)*DFA_rec_adj),".")</f>
        <v>2404605.4162412821</v>
      </c>
      <c r="Q14" s="15">
        <f t="shared" ref="Q14" si="24">IFERROR(IF(AND(O14&lt;&gt;0,P14&lt;&gt;0),1/((1/O14)+(1/P14)),IF(AND(O14&lt;&gt;0,P14=0),1/((1/O14)),IF(AND(O14=0,P14&lt;&gt;0),1/((1/P14)),IF(AND(O14=0,P14=0),0)))),0)</f>
        <v>1013.9860426771854</v>
      </c>
      <c r="R14" s="15">
        <f>IFERROR(TR/(RadSpec!E14*EF_rec*ED_rec*IRGL_rec*CF_game),".")</f>
        <v>57.272784545511819</v>
      </c>
      <c r="S14" s="15">
        <f>IFERROR((R14/(RadSpec!AH14*((Q_p_game*f_p_game*f_s_game*(RadSpec!BB14+R_es_past))+(Q_s_game*f_p_game)))),".")</f>
        <v>8484856.9697054531</v>
      </c>
      <c r="T14" s="15">
        <f>IFERROR(R14/(RadSpec!AH14*Q_w_game*(1/1000)),".")</f>
        <v>11454556909.102364</v>
      </c>
      <c r="U14" s="15">
        <f>IFERROR(TR/(RadSpec!E14*EF_rec*ED_rec*IRGF_rec*CF_fowl),".")</f>
        <v>57.272784545511819</v>
      </c>
      <c r="V14" s="15" t="str">
        <f>IFERROR((R14/(RadSpec!AJ14*((Q_p_fowl*f_p_fowl*f_s_fowl*(RadSpec!BB14+R_es_past))+(Q_s_fowl*f_p_fowl)))),".")</f>
        <v>.</v>
      </c>
      <c r="W14" s="15" t="str">
        <f>IFERROR(R14/(RadSpec!AJ14*Q_w_fowl*(1/1000)),".")</f>
        <v>.</v>
      </c>
    </row>
    <row r="15" spans="1:23" customFormat="1" x14ac:dyDescent="0.25">
      <c r="A15" s="44" t="s">
        <v>25</v>
      </c>
      <c r="B15" s="42" t="s">
        <v>1074</v>
      </c>
      <c r="C15" s="15">
        <f>IFERROR(((TR)/(RadSpec!D15*IFS_rec_adj*(1/1000))),".")</f>
        <v>6663.4682019297406</v>
      </c>
      <c r="D15" s="15">
        <f>IFERROR(IF(A15="H-3",(TR/(RadSpec!G15*IFA_rec_adj*(1/17)*1000))*RadSpec!#REF!,(TR/(RadSpec!G15*IFA_rec_adj*(1/PEF_wind)*1000))),".")</f>
        <v>4547614399.0747623</v>
      </c>
      <c r="E15" s="15">
        <f>IFERROR((TR/(RadSpec!F15*EF_rec*(1/365)*ED_rec*def_acf!D15*ET_rec*(1/24)*RadSpec!V15)),".")</f>
        <v>9293.1610289518139</v>
      </c>
      <c r="F15" s="15">
        <f t="shared" ref="F15:F16" si="25">IF(AND(C15&lt;&gt;".",D15&lt;&gt;".",E15&lt;&gt;"."),1/((1/C15)+(1/D15)+(1/E15)),IF(AND(C15&lt;&gt;".",D15&lt;&gt;".",E15="."), 1/((1/C15)+(1/D15)),IF(AND(C15&lt;&gt;".",D15=".",E15&lt;&gt;"."),1/((1/C15)+(1/E15)),IF(AND(C15=".",D15&lt;&gt;".",E15&lt;&gt;"."),1/((1/D15)+(1/E15)),IF(AND(C15&lt;&gt;".",D15=".",E15="."),1/((1/C15)),IF(AND(C15=".",D15&lt;&gt;".",E15="."),1/((1/D15)),IF(AND(C15=".",D15=".",E15&lt;&gt;"."),1/((1/E15)),IF(AND(C15=".",D15=".",E15="."),"."))))))))</f>
        <v>3880.8089898565286</v>
      </c>
      <c r="G15" s="15">
        <f>IFERROR((TR/(RadSpec!F15*EF_rec*(1/365)*ED_rec*def_acf!D15*ET_rec*(1/24)*RadSpec!V15)),".")</f>
        <v>9293.1610289518139</v>
      </c>
      <c r="H15" s="15">
        <f>IFERROR((TR/(RadSpec!M15*EF_rec*(1/365)*ED_rec*def_acf!E15*ET_rec*(1/24)*RadSpec!R15)),".")</f>
        <v>30100.366661863362</v>
      </c>
      <c r="I15" s="15">
        <f>IFERROR((TR/(RadSpec!N15*EF_rec*(1/365)*ED_rec*def_acf!F15*ET_rec*(1/24)*RadSpec!S15)),".")</f>
        <v>13312.325838682844</v>
      </c>
      <c r="J15" s="15">
        <f>IFERROR((TR/(RadSpec!O15*EF_rec*(1/365)*ED_rec*def_acf!G15*ET_rec*(1/24)*RadSpec!Y15)),".")</f>
        <v>9436.7639587590147</v>
      </c>
      <c r="K15" s="15">
        <f>IFERROR((TR/(RadSpec!K15*EF_rec*(1/365)*ED_rec*def_acf!C15*ET_rec*(1/24)*RadSpec!U15)),".")</f>
        <v>8832.3431266897405</v>
      </c>
      <c r="L15" s="15">
        <f>IFERROR((TR/(RadSpec!G15*IFA_rec_adj)),".")</f>
        <v>3345.4466380352187</v>
      </c>
      <c r="M15" s="15">
        <f>IFERROR((TR/(RadSpec!J15*EF_rec*(1/365)*ED_rec*ET_rec*(1/24)*GSF_o)),".")</f>
        <v>2635184.017798665</v>
      </c>
      <c r="N15" s="15">
        <f t="shared" ref="N15:N16" si="26">IFERROR(IF(AND(L15&lt;&gt;0,M15&lt;&gt;0),1/((1/L15)+(1/M15)),IF(AND(L15&lt;&gt;0,M15=0),1/((1/L15)),IF(AND(L15=0,M15&lt;&gt;0),1/((1/M15)),IF(AND(L15=0,M15=0),0)))),0)</f>
        <v>3341.204876342279</v>
      </c>
      <c r="O15" s="15">
        <f>IFERROR(TR/(RadSpec!H15*IFW_rec_adj),".")</f>
        <v>25866.77292736985</v>
      </c>
      <c r="P15" s="15">
        <f>IFERROR(TR/(RadSpec!L15*(1/8760)*DFA_rec_adj),".")</f>
        <v>1933351088.4352016</v>
      </c>
      <c r="Q15" s="15">
        <f t="shared" ref="Q15:Q16" si="27">IFERROR(IF(AND(O15&lt;&gt;0,P15&lt;&gt;0),1/((1/O15)+(1/P15)),IF(AND(O15&lt;&gt;0,P15=0),1/((1/O15)),IF(AND(O15=0,P15&lt;&gt;0),1/((1/P15)),IF(AND(O15=0,P15=0),0)))),0)</f>
        <v>25866.426854173998</v>
      </c>
      <c r="R15" s="15">
        <f>IFERROR(TR/(RadSpec!E15*EF_rec*ED_rec*IRGL_rec*CF_game),".")</f>
        <v>1471.3390509568851</v>
      </c>
      <c r="S15" s="15">
        <f>IFERROR((R15/(RadSpec!AH15*((Q_p_game*f_p_game*f_s_game*(RadSpec!BB15+R_es_past))+(Q_s_game*f_p_game)))),".")</f>
        <v>1664692.0792411601</v>
      </c>
      <c r="T15" s="15">
        <f>IFERROR(R15/(RadSpec!AH15*Q_w_game*(1/1000)),".")</f>
        <v>2101912929.9384074</v>
      </c>
      <c r="U15" s="15">
        <f>IFERROR(TR/(RadSpec!E15*EF_rec*ED_rec*IRGF_rec*CF_fowl),".")</f>
        <v>1471.3390509568851</v>
      </c>
      <c r="V15" s="15" t="str">
        <f>IFERROR((R15/(RadSpec!AJ15*((Q_p_fowl*f_p_fowl*f_s_fowl*(RadSpec!BB15+R_es_past))+(Q_s_fowl*f_p_fowl)))),".")</f>
        <v>.</v>
      </c>
      <c r="W15" s="15" t="str">
        <f>IFERROR(R15/(RadSpec!AJ15*Q_w_fowl*(1/1000)),".")</f>
        <v>.</v>
      </c>
    </row>
    <row r="16" spans="1:23" customFormat="1" x14ac:dyDescent="0.25">
      <c r="A16" s="44" t="s">
        <v>26</v>
      </c>
      <c r="B16" s="42" t="s">
        <v>1074</v>
      </c>
      <c r="C16" s="15">
        <f>IFERROR(((TR)/(RadSpec!D16*IFS_rec_adj*(1/1000))),".")</f>
        <v>2.42699596147872</v>
      </c>
      <c r="D16" s="15">
        <f>IFERROR(IF(A16="H-3",(TR/(RadSpec!G16*IFA_rec_adj*(1/17)*1000))*RadSpec!#REF!,(TR/(RadSpec!G16*IFA_rec_adj*(1/PEF_wind)*1000))),".")</f>
        <v>59574.808677855865</v>
      </c>
      <c r="E16" s="15">
        <f>IFERROR((TR/(RadSpec!F16*EF_rec*(1/365)*ED_rec*def_acf!D16*ET_rec*(1/24)*RadSpec!V16)),".")</f>
        <v>23029.106633614458</v>
      </c>
      <c r="F16" s="15">
        <f t="shared" si="25"/>
        <v>2.4266413640879403</v>
      </c>
      <c r="G16" s="15">
        <f>IFERROR((TR/(RadSpec!F16*EF_rec*(1/365)*ED_rec*def_acf!D16*ET_rec*(1/24)*RadSpec!V16)),".")</f>
        <v>23029.106633614458</v>
      </c>
      <c r="H16" s="15">
        <f>IFERROR((TR/(RadSpec!M16*EF_rec*(1/365)*ED_rec*def_acf!E16*ET_rec*(1/24)*RadSpec!R16)),".")</f>
        <v>31329.353333381099</v>
      </c>
      <c r="I16" s="15">
        <f>IFERROR((TR/(RadSpec!N16*EF_rec*(1/365)*ED_rec*def_acf!F16*ET_rec*(1/24)*RadSpec!S16)),".")</f>
        <v>22223.154839747051</v>
      </c>
      <c r="J16" s="15">
        <f>IFERROR((TR/(RadSpec!O16*EF_rec*(1/365)*ED_rec*def_acf!G16*ET_rec*(1/24)*RadSpec!Y16)),".")</f>
        <v>20839.350816314487</v>
      </c>
      <c r="K16" s="15">
        <f>IFERROR((TR/(RadSpec!K16*EF_rec*(1/365)*ED_rec*def_acf!C16*ET_rec*(1/24)*RadSpec!U16)),".")</f>
        <v>20693.011941646226</v>
      </c>
      <c r="L16" s="15">
        <f>IFERROR((TR/(RadSpec!G16*IFA_rec_adj)),".")</f>
        <v>4.3826130782652524E-2</v>
      </c>
      <c r="M16" s="15">
        <f>IFERROR((TR/(RadSpec!J16*EF_rec*(1/365)*ED_rec*ET_rec*(1/24)*GSF_o)),".")</f>
        <v>1141652.4231412616</v>
      </c>
      <c r="N16" s="15">
        <f t="shared" si="26"/>
        <v>4.3826129100240585E-2</v>
      </c>
      <c r="O16" s="15">
        <f>IFERROR(TR/(RadSpec!H16*IFW_rec_adj),".")</f>
        <v>7.0457193203840047</v>
      </c>
      <c r="P16" s="15">
        <f>IFERROR(TR/(RadSpec!L16*(1/8760)*DFA_rec_adj),".")</f>
        <v>494520394.08561069</v>
      </c>
      <c r="Q16" s="15">
        <f t="shared" si="27"/>
        <v>7.0457192199995493</v>
      </c>
      <c r="R16" s="15">
        <f>IFERROR(TR/(RadSpec!E16*EF_rec*ED_rec*IRGL_rec*CF_game),".")</f>
        <v>0.43584949245326604</v>
      </c>
      <c r="S16" s="15">
        <f>IFERROR((R16/(RadSpec!AH16*((Q_p_game*f_p_game*f_s_game*(RadSpec!BB16+R_es_past))+(Q_s_game*f_p_game)))),".")</f>
        <v>493.12576686955123</v>
      </c>
      <c r="T16" s="15">
        <f>IFERROR(R16/(RadSpec!AH16*Q_w_game*(1/1000)),".")</f>
        <v>622642.13207609439</v>
      </c>
      <c r="U16" s="15">
        <f>IFERROR(TR/(RadSpec!E16*EF_rec*ED_rec*IRGF_rec*CF_fowl),".")</f>
        <v>0.43584949245326604</v>
      </c>
      <c r="V16" s="15" t="str">
        <f>IFERROR((R16/(RadSpec!AJ16*((Q_p_fowl*f_p_fowl*f_s_fowl*(RadSpec!BB16+R_es_past))+(Q_s_fowl*f_p_fowl)))),".")</f>
        <v>.</v>
      </c>
      <c r="W16" s="15" t="str">
        <f>IFERROR(R16/(RadSpec!AJ16*Q_w_fowl*(1/1000)),".")</f>
        <v>.</v>
      </c>
    </row>
    <row r="17" spans="1:23" customFormat="1" x14ac:dyDescent="0.25">
      <c r="A17" s="44" t="s">
        <v>27</v>
      </c>
      <c r="B17" s="42" t="s">
        <v>1074</v>
      </c>
      <c r="C17" s="15">
        <f>IFERROR(((TR)/(RadSpec!D17*IFS_rec_adj*(1/1000))),".")</f>
        <v>5262.2716174118032</v>
      </c>
      <c r="D17" s="15">
        <f>IFERROR(IF(A17="H-3",(TR/(RadSpec!G17*IFA_rec_adj*(1/17)*1000))*RadSpec!#REF!,(TR/(RadSpec!G17*IFA_rec_adj*(1/PEF_wind)*1000))),".")</f>
        <v>12170282.344190553</v>
      </c>
      <c r="E17" s="15">
        <f>IFERROR((TR/(RadSpec!F17*EF_rec*(1/365)*ED_rec*def_acf!D17*ET_rec*(1/24)*RadSpec!V17)),".")</f>
        <v>55.635850426268988</v>
      </c>
      <c r="F17" s="15">
        <f>IF(AND(C17&lt;&gt;".",D17&lt;&gt;".",E17&lt;&gt;"."),1/((1/C17)+(1/D17)+(1/E17)),IF(AND(C17&lt;&gt;".",D17&lt;&gt;".",E17="."), 1/((1/C17)+(1/D17)),IF(AND(C17&lt;&gt;".",D17=".",E17&lt;&gt;"."),1/((1/C17)+(1/E17)),IF(AND(C17=".",D17&lt;&gt;".",E17&lt;&gt;"."),1/((1/D17)+(1/E17)),IF(AND(C17&lt;&gt;".",D17=".",E17="."),1/((1/C17)),IF(AND(C17=".",D17&lt;&gt;".",E17="."),1/((1/D17)),IF(AND(C17=".",D17=".",E17&lt;&gt;"."),1/((1/E17)),IF(AND(C17=".",D17=".",E17="."),"."))))))))</f>
        <v>55.053540137625049</v>
      </c>
      <c r="G17" s="15">
        <f>IFERROR((TR/(RadSpec!F17*EF_rec*(1/365)*ED_rec*def_acf!D17*ET_rec*(1/24)*RadSpec!V17)),".")</f>
        <v>55.635850426268988</v>
      </c>
      <c r="H17" s="15">
        <f>IFERROR((TR/(RadSpec!M17*EF_rec*(1/365)*ED_rec*def_acf!E17*ET_rec*(1/24)*RadSpec!R17)),".")</f>
        <v>391.98587041616202</v>
      </c>
      <c r="I17" s="15">
        <f>IFERROR((TR/(RadSpec!N17*EF_rec*(1/365)*ED_rec*def_acf!F17*ET_rec*(1/24)*RadSpec!S17)),".")</f>
        <v>98.206660055162274</v>
      </c>
      <c r="J17" s="15">
        <f>IFERROR((TR/(RadSpec!O17*EF_rec*(1/365)*ED_rec*def_acf!G17*ET_rec*(1/24)*RadSpec!Y17)),".")</f>
        <v>57.44901727573351</v>
      </c>
      <c r="K17" s="15">
        <f>IFERROR((TR/(RadSpec!K17*EF_rec*(1/365)*ED_rec*def_acf!C17*ET_rec*(1/24)*RadSpec!U17)),".")</f>
        <v>491.16518865776146</v>
      </c>
      <c r="L17" s="15">
        <f>IFERROR((TR/(RadSpec!G17*IFA_rec_adj)),".")</f>
        <v>8.9530524313133011</v>
      </c>
      <c r="M17" s="15">
        <f>IFERROR((TR/(RadSpec!J17*EF_rec*(1/365)*ED_rec*ET_rec*(1/24)*GSF_o)),".")</f>
        <v>4407.0660549668401</v>
      </c>
      <c r="N17" s="15">
        <f t="shared" ref="N17" si="28">IFERROR(IF(AND(L17&lt;&gt;0,M17&lt;&gt;0),1/((1/L17)+(1/M17)),IF(AND(L17&lt;&gt;0,M17=0),1/((1/L17)),IF(AND(L17=0,M17&lt;&gt;0),1/((1/M17)),IF(AND(L17=0,M17=0),0)))),0)</f>
        <v>8.9349009818090277</v>
      </c>
      <c r="O17" s="15">
        <f>IFERROR(TR/(RadSpec!H17*IFW_rec_adj),".")</f>
        <v>18087.292347709747</v>
      </c>
      <c r="P17" s="15">
        <f>IFERROR(TR/(RadSpec!L17*(1/8760)*DFA_rec_adj),".")</f>
        <v>2014329.1444953152</v>
      </c>
      <c r="Q17" s="15">
        <f t="shared" ref="Q17" si="29">IFERROR(IF(AND(O17&lt;&gt;0,P17&lt;&gt;0),1/((1/O17)+(1/P17)),IF(AND(O17&lt;&gt;0,P17=0),1/((1/O17)),IF(AND(O17=0,P17&lt;&gt;0),1/((1/P17)),IF(AND(O17=0,P17=0),0)))),0)</f>
        <v>17926.326249157777</v>
      </c>
      <c r="R17" s="15">
        <f>IFERROR(TR/(RadSpec!E17*EF_rec*ED_rec*IRGL_rec*CF_game),".")</f>
        <v>1058.0163251918977</v>
      </c>
      <c r="S17" s="15">
        <f>IFERROR((R17/(RadSpec!AH17*((Q_p_game*f_p_game*f_s_game*(RadSpec!BB17+R_es_past))+(Q_s_game*f_p_game)))),".")</f>
        <v>1197053.3882787579</v>
      </c>
      <c r="T17" s="15">
        <f>IFERROR(R17/(RadSpec!AH17*Q_w_game*(1/1000)),".")</f>
        <v>1511451893.1312826</v>
      </c>
      <c r="U17" s="15">
        <f>IFERROR(TR/(RadSpec!E17*EF_rec*ED_rec*IRGF_rec*CF_fowl),".")</f>
        <v>1058.0163251918977</v>
      </c>
      <c r="V17" s="15" t="str">
        <f>IFERROR((R17/(RadSpec!AJ17*((Q_p_fowl*f_p_fowl*f_s_fowl*(RadSpec!BB17+R_es_past))+(Q_s_fowl*f_p_fowl)))),".")</f>
        <v>.</v>
      </c>
      <c r="W17" s="15" t="str">
        <f>IFERROR(R17/(RadSpec!AJ17*Q_w_fowl*(1/1000)),".")</f>
        <v>.</v>
      </c>
    </row>
    <row r="18" spans="1:23" customFormat="1" x14ac:dyDescent="0.25">
      <c r="A18" s="44" t="s">
        <v>28</v>
      </c>
      <c r="B18" s="42" t="s">
        <v>1074</v>
      </c>
      <c r="C18" s="15">
        <f>IFERROR(((TR)/(RadSpec!D18*IFS_rec_adj*(1/1000))),".")</f>
        <v>1.2724588995775437</v>
      </c>
      <c r="D18" s="15">
        <f>IFERROR(IF(A18="H-3",(TR/(RadSpec!G18*IFA_rec_adj*(1/17)*1000))*RadSpec!#REF!,(TR/(RadSpec!G18*IFA_rec_adj*(1/PEF_wind)*1000))),".")</f>
        <v>65197.941129592262</v>
      </c>
      <c r="E18" s="15">
        <f>IFERROR((TR/(RadSpec!F18*EF_rec*(1/365)*ED_rec*def_acf!D18*ET_rec*(1/24)*RadSpec!V18)),".")</f>
        <v>1059752.5660152568</v>
      </c>
      <c r="F18" s="15">
        <f>IF(AND(C18&lt;&gt;".",D18&lt;&gt;".",E18&lt;&gt;"."),1/((1/C18)+(1/D18)+(1/E18)),IF(AND(C18&lt;&gt;".",D18&lt;&gt;".",E18="."), 1/((1/C18)+(1/D18)),IF(AND(C18&lt;&gt;".",D18=".",E18&lt;&gt;"."),1/((1/C18)+(1/E18)),IF(AND(C18=".",D18&lt;&gt;".",E18&lt;&gt;"."),1/((1/D18)+(1/E18)),IF(AND(C18&lt;&gt;".",D18=".",E18="."),1/((1/C18)),IF(AND(C18=".",D18&lt;&gt;".",E18="."),1/((1/D18)),IF(AND(C18=".",D18=".",E18&lt;&gt;"."),1/((1/E18)),IF(AND(C18=".",D18=".",E18="."),"."))))))))</f>
        <v>1.2724325378669956</v>
      </c>
      <c r="G18" s="15">
        <f>IFERROR((TR/(RadSpec!F18*EF_rec*(1/365)*ED_rec*def_acf!D18*ET_rec*(1/24)*RadSpec!V18)),".")</f>
        <v>1059752.5660152568</v>
      </c>
      <c r="H18" s="15">
        <f>IFERROR((TR/(RadSpec!M18*EF_rec*(1/365)*ED_rec*def_acf!E18*ET_rec*(1/24)*RadSpec!R18)),".")</f>
        <v>11100058.674572077</v>
      </c>
      <c r="I18" s="15">
        <f>IFERROR((TR/(RadSpec!N18*EF_rec*(1/365)*ED_rec*def_acf!F18*ET_rec*(1/24)*RadSpec!S18)),".")</f>
        <v>2612213.6637535729</v>
      </c>
      <c r="J18" s="15">
        <f>IFERROR((TR/(RadSpec!O18*EF_rec*(1/365)*ED_rec*def_acf!G18*ET_rec*(1/24)*RadSpec!Y18)),".")</f>
        <v>1299248.8854555865</v>
      </c>
      <c r="K18" s="15">
        <f>IFERROR((TR/(RadSpec!K18*EF_rec*(1/365)*ED_rec*def_acf!C18*ET_rec*(1/24)*RadSpec!U18)),".")</f>
        <v>17262942.851735063</v>
      </c>
      <c r="L18" s="15">
        <f>IFERROR((TR/(RadSpec!G18*IFA_rec_adj)),".")</f>
        <v>4.7962780882035538E-2</v>
      </c>
      <c r="M18" s="15">
        <f>IFERROR((TR/(RadSpec!J18*EF_rec*(1/365)*ED_rec*ET_rec*(1/24)*GSF_o)),".")</f>
        <v>107468398.49123049</v>
      </c>
      <c r="N18" s="15">
        <f t="shared" ref="N18" si="30">IFERROR(IF(AND(L18&lt;&gt;0,M18&lt;&gt;0),1/((1/L18)+(1/M18)),IF(AND(L18&lt;&gt;0,M18=0),1/((1/L18)),IF(AND(L18=0,M18&lt;&gt;0),1/((1/M18)),IF(AND(L18=0,M18=0),0)))),0)</f>
        <v>4.7962780860629904E-2</v>
      </c>
      <c r="O18" s="15">
        <f>IFERROR(TR/(RadSpec!H18*IFW_rec_adj),".")</f>
        <v>3.5081810782745357</v>
      </c>
      <c r="P18" s="15">
        <f>IFERROR(TR/(RadSpec!L18*(1/8760)*DFA_rec_adj),".")</f>
        <v>49515684246.924728</v>
      </c>
      <c r="Q18" s="15">
        <f t="shared" ref="Q18" si="31">IFERROR(IF(AND(O18&lt;&gt;0,P18&lt;&gt;0),1/((1/O18)+(1/P18)),IF(AND(O18&lt;&gt;0,P18=0),1/((1/O18)),IF(AND(O18=0,P18&lt;&gt;0),1/((1/P18)),IF(AND(O18=0,P18=0),0)))),0)</f>
        <v>3.5081810780259817</v>
      </c>
      <c r="R18" s="15">
        <f>IFERROR(TR/(RadSpec!E18*EF_rec*ED_rec*IRGL_rec*CF_game),".")</f>
        <v>0.22758643448298618</v>
      </c>
      <c r="S18" s="15">
        <f>IFERROR((R18/(RadSpec!AH18*((Q_p_game*f_p_game*f_s_game*(RadSpec!BB18+R_es_past))+(Q_s_game*f_p_game)))),".")</f>
        <v>36.405795134903187</v>
      </c>
      <c r="T18" s="15">
        <f>IFERROR(R18/(RadSpec!AH18*Q_w_game*(1/1000)),".")</f>
        <v>45517.28689659723</v>
      </c>
      <c r="U18" s="15">
        <f>IFERROR(TR/(RadSpec!E18*EF_rec*ED_rec*IRGF_rec*CF_fowl),".")</f>
        <v>0.22758643448298618</v>
      </c>
      <c r="V18" s="15">
        <f>IFERROR((R18/(RadSpec!AJ18*((Q_p_fowl*f_p_fowl*f_s_fowl*(RadSpec!BB18+R_es_past))+(Q_s_fowl*f_p_fowl)))),".")</f>
        <v>7.5845406531048307E-2</v>
      </c>
      <c r="W18" s="15">
        <f>IFERROR(R18/(RadSpec!AJ18*Q_w_fowl*(1/1000)),".")</f>
        <v>94.82768103457758</v>
      </c>
    </row>
    <row r="19" spans="1:23" customFormat="1" x14ac:dyDescent="0.25">
      <c r="A19" s="44" t="s">
        <v>29</v>
      </c>
      <c r="B19" s="42" t="s">
        <v>1074</v>
      </c>
      <c r="C19" s="15" t="str">
        <f>IFERROR(((TR)/(RadSpec!D19*IFS_rec_adj*(1/1000))),".")</f>
        <v>.</v>
      </c>
      <c r="D19" s="15" t="str">
        <f>IFERROR(IF(A19="H-3",(TR/(RadSpec!G19*IFA_rec_adj*(1/17)*1000))*RadSpec!#REF!,(TR/(RadSpec!G19*IFA_rec_adj*(1/PEF_wind)*1000))),".")</f>
        <v>.</v>
      </c>
      <c r="E19" s="15">
        <f>IFERROR((TR/(RadSpec!F19*EF_rec*(1/365)*ED_rec*def_acf!D19*ET_rec*(1/24)*RadSpec!V19)),".")</f>
        <v>279095.30614639336</v>
      </c>
      <c r="F19" s="15">
        <f t="shared" ref="F19:F20" si="32">IF(AND(C19&lt;&gt;".",D19&lt;&gt;".",E19&lt;&gt;"."),1/((1/C19)+(1/D19)+(1/E19)),IF(AND(C19&lt;&gt;".",D19&lt;&gt;".",E19="."), 1/((1/C19)+(1/D19)),IF(AND(C19&lt;&gt;".",D19=".",E19&lt;&gt;"."),1/((1/C19)+(1/E19)),IF(AND(C19=".",D19&lt;&gt;".",E19&lt;&gt;"."),1/((1/D19)+(1/E19)),IF(AND(C19&lt;&gt;".",D19=".",E19="."),1/((1/C19)),IF(AND(C19=".",D19&lt;&gt;".",E19="."),1/((1/D19)),IF(AND(C19=".",D19=".",E19&lt;&gt;"."),1/((1/E19)),IF(AND(C19=".",D19=".",E19="."),"."))))))))</f>
        <v>279095.30614639336</v>
      </c>
      <c r="G19" s="15">
        <f>IFERROR((TR/(RadSpec!F19*EF_rec*(1/365)*ED_rec*def_acf!D19*ET_rec*(1/24)*RadSpec!V19)),".")</f>
        <v>279095.30614639336</v>
      </c>
      <c r="H19" s="15">
        <f>IFERROR((TR/(RadSpec!M19*EF_rec*(1/365)*ED_rec*def_acf!E19*ET_rec*(1/24)*RadSpec!R19)),".")</f>
        <v>2853667.0658096061</v>
      </c>
      <c r="I19" s="15">
        <f>IFERROR((TR/(RadSpec!N19*EF_rec*(1/365)*ED_rec*def_acf!F19*ET_rec*(1/24)*RadSpec!S19)),".")</f>
        <v>680766.40862877015</v>
      </c>
      <c r="J19" s="15">
        <f>IFERROR((TR/(RadSpec!O19*EF_rec*(1/365)*ED_rec*def_acf!G19*ET_rec*(1/24)*RadSpec!Y19)),".")</f>
        <v>338279.77719689783</v>
      </c>
      <c r="K19" s="15">
        <f>IFERROR((TR/(RadSpec!K19*EF_rec*(1/365)*ED_rec*def_acf!C19*ET_rec*(1/24)*RadSpec!U19)),".")</f>
        <v>4433612.240895764</v>
      </c>
      <c r="L19" s="15" t="str">
        <f>IFERROR((TR/(RadSpec!G19*IFA_rec_adj)),".")</f>
        <v>.</v>
      </c>
      <c r="M19" s="15">
        <f>IFERROR((TR/(RadSpec!J19*EF_rec*(1/365)*ED_rec*ET_rec*(1/24)*GSF_o)),".")</f>
        <v>27879483.086855445</v>
      </c>
      <c r="N19" s="15">
        <f t="shared" ref="N19:N20" si="33">IFERROR(IF(AND(L19&lt;&gt;0,M19&lt;&gt;0),1/((1/L19)+(1/M19)),IF(AND(L19&lt;&gt;0,M19=0),1/((1/L19)),IF(AND(L19=0,M19&lt;&gt;0),1/((1/M19)),IF(AND(L19=0,M19=0),0)))),0)</f>
        <v>0</v>
      </c>
      <c r="O19" s="15" t="str">
        <f>IFERROR(TR/(RadSpec!H19*IFW_rec_adj),".")</f>
        <v>.</v>
      </c>
      <c r="P19" s="15">
        <f>IFERROR(TR/(RadSpec!L19*(1/8760)*DFA_rec_adj),".")</f>
        <v>12867453732.394819</v>
      </c>
      <c r="Q19" s="15">
        <f t="shared" ref="Q19:Q20" si="34">IFERROR(IF(AND(O19&lt;&gt;0,P19&lt;&gt;0),1/((1/O19)+(1/P19)),IF(AND(O19&lt;&gt;0,P19=0),1/((1/O19)),IF(AND(O19=0,P19&lt;&gt;0),1/((1/P19)),IF(AND(O19=0,P19=0),0)))),0)</f>
        <v>0</v>
      </c>
      <c r="R19" s="15" t="str">
        <f>IFERROR(TR/(RadSpec!E19*EF_rec*ED_rec*IRGL_rec*CF_game),".")</f>
        <v>.</v>
      </c>
      <c r="S19" s="15" t="str">
        <f>IFERROR((R19/(RadSpec!AH19*((Q_p_game*f_p_game*f_s_game*(RadSpec!BB19+R_es_past))+(Q_s_game*f_p_game)))),".")</f>
        <v>.</v>
      </c>
      <c r="T19" s="15" t="str">
        <f>IFERROR(R19/(RadSpec!AH19*Q_w_game*(1/1000)),".")</f>
        <v>.</v>
      </c>
      <c r="U19" s="15" t="str">
        <f>IFERROR(TR/(RadSpec!E19*EF_rec*ED_rec*IRGF_rec*CF_fowl),".")</f>
        <v>.</v>
      </c>
      <c r="V19" s="15" t="str">
        <f>IFERROR((R19/(RadSpec!AJ19*((Q_p_fowl*f_p_fowl*f_s_fowl*(RadSpec!BB19+R_es_past))+(Q_s_fowl*f_p_fowl)))),".")</f>
        <v>.</v>
      </c>
      <c r="W19" s="15" t="str">
        <f>IFERROR(R19/(RadSpec!AJ19*Q_w_fowl*(1/1000)),".")</f>
        <v>.</v>
      </c>
    </row>
    <row r="20" spans="1:23" customFormat="1" x14ac:dyDescent="0.25">
      <c r="A20" s="44" t="s">
        <v>30</v>
      </c>
      <c r="B20" s="42" t="s">
        <v>1074</v>
      </c>
      <c r="C20" s="15" t="str">
        <f>IFERROR(((TR)/(RadSpec!D20*IFS_rec_adj*(1/1000))),".")</f>
        <v>.</v>
      </c>
      <c r="D20" s="15" t="str">
        <f>IFERROR(IF(A20="H-3",(TR/(RadSpec!G20*IFA_rec_adj*(1/17)*1000))*RadSpec!#REF!,(TR/(RadSpec!G20*IFA_rec_adj*(1/PEF_wind)*1000))),".")</f>
        <v>.</v>
      </c>
      <c r="E20" s="15">
        <f>IFERROR((TR/(RadSpec!F20*EF_rec*(1/365)*ED_rec*def_acf!D20*ET_rec*(1/24)*RadSpec!V20)),".")</f>
        <v>124273.97955399501</v>
      </c>
      <c r="F20" s="15">
        <f t="shared" si="32"/>
        <v>124273.979553995</v>
      </c>
      <c r="G20" s="15">
        <f>IFERROR((TR/(RadSpec!F20*EF_rec*(1/365)*ED_rec*def_acf!D20*ET_rec*(1/24)*RadSpec!V20)),".")</f>
        <v>124273.97955399501</v>
      </c>
      <c r="H20" s="15">
        <f>IFERROR((TR/(RadSpec!M20*EF_rec*(1/365)*ED_rec*def_acf!E20*ET_rec*(1/24)*RadSpec!R20)),".")</f>
        <v>1304297.1228854067</v>
      </c>
      <c r="I20" s="15">
        <f>IFERROR((TR/(RadSpec!N20*EF_rec*(1/365)*ED_rec*def_acf!F20*ET_rec*(1/24)*RadSpec!S20)),".")</f>
        <v>308515.41189510771</v>
      </c>
      <c r="J20" s="15">
        <f>IFERROR((TR/(RadSpec!O20*EF_rec*(1/365)*ED_rec*def_acf!G20*ET_rec*(1/24)*RadSpec!Y20)),".")</f>
        <v>152145.07823968568</v>
      </c>
      <c r="K20" s="15">
        <f>IFERROR((TR/(RadSpec!K20*EF_rec*(1/365)*ED_rec*def_acf!C20*ET_rec*(1/24)*RadSpec!U20)),".")</f>
        <v>2023117.5562528179</v>
      </c>
      <c r="L20" s="15" t="str">
        <f>IFERROR((TR/(RadSpec!G20*IFA_rec_adj)),".")</f>
        <v>.</v>
      </c>
      <c r="M20" s="15">
        <f>IFERROR((TR/(RadSpec!J20*EF_rec*(1/365)*ED_rec*ET_rec*(1/24)*GSF_o)),".")</f>
        <v>12573100.21564069</v>
      </c>
      <c r="N20" s="15">
        <f t="shared" si="33"/>
        <v>0</v>
      </c>
      <c r="O20" s="15" t="str">
        <f>IFERROR(TR/(RadSpec!H20*IFW_rec_adj),".")</f>
        <v>.</v>
      </c>
      <c r="P20" s="15">
        <f>IFERROR(TR/(RadSpec!L20*(1/8760)*DFA_rec_adj),".")</f>
        <v>5802969330.2957039</v>
      </c>
      <c r="Q20" s="15">
        <f t="shared" si="34"/>
        <v>0</v>
      </c>
      <c r="R20" s="15" t="str">
        <f>IFERROR(TR/(RadSpec!E20*EF_rec*ED_rec*IRGL_rec*CF_game),".")</f>
        <v>.</v>
      </c>
      <c r="S20" s="15" t="str">
        <f>IFERROR((R20/(RadSpec!AH20*((Q_p_game*f_p_game*f_s_game*(RadSpec!BB20+R_es_past))+(Q_s_game*f_p_game)))),".")</f>
        <v>.</v>
      </c>
      <c r="T20" s="15" t="str">
        <f>IFERROR(R20/(RadSpec!AH20*Q_w_game*(1/1000)),".")</f>
        <v>.</v>
      </c>
      <c r="U20" s="15" t="str">
        <f>IFERROR(TR/(RadSpec!E20*EF_rec*ED_rec*IRGF_rec*CF_fowl),".")</f>
        <v>.</v>
      </c>
      <c r="V20" s="15" t="str">
        <f>IFERROR((R20/(RadSpec!AJ20*((Q_p_fowl*f_p_fowl*f_s_fowl*(RadSpec!BB20+R_es_past))+(Q_s_fowl*f_p_fowl)))),".")</f>
        <v>.</v>
      </c>
      <c r="W20" s="15" t="str">
        <f>IFERROR(R20/(RadSpec!AJ20*Q_w_fowl*(1/1000)),".")</f>
        <v>.</v>
      </c>
    </row>
    <row r="21" spans="1:23" customFormat="1" x14ac:dyDescent="0.25">
      <c r="A21" s="44" t="s">
        <v>31</v>
      </c>
      <c r="B21" s="42" t="s">
        <v>1074</v>
      </c>
      <c r="C21" s="15" t="str">
        <f>IFERROR(((TR)/(RadSpec!D21*IFS_rec_adj*(1/1000))),".")</f>
        <v>.</v>
      </c>
      <c r="D21" s="15">
        <f>IFERROR(IF(A21="H-3",(TR/(RadSpec!G21*IFA_rec_adj*(1/17)*1000))*RadSpec!#REF!,(TR/(RadSpec!G21*IFA_rec_adj*(1/PEF_wind)*1000))),".")</f>
        <v>68031002.74414432</v>
      </c>
      <c r="E21" s="15">
        <f>IFERROR((TR/(RadSpec!F21*EF_rec*(1/365)*ED_rec*def_acf!D21*ET_rec*(1/24)*RadSpec!V21)),".")</f>
        <v>729497282.13614905</v>
      </c>
      <c r="F21" s="15">
        <f>IF(AND(C21&lt;&gt;".",D21&lt;&gt;".",E21&lt;&gt;"."),1/((1/C21)+(1/D21)+(1/E21)),IF(AND(C21&lt;&gt;".",D21&lt;&gt;".",E21="."), 1/((1/C21)+(1/D21)),IF(AND(C21&lt;&gt;".",D21=".",E21&lt;&gt;"."),1/((1/C21)+(1/E21)),IF(AND(C21=".",D21&lt;&gt;".",E21&lt;&gt;"."),1/((1/D21)+(1/E21)),IF(AND(C21&lt;&gt;".",D21=".",E21="."),1/((1/C21)),IF(AND(C21=".",D21&lt;&gt;".",E21="."),1/((1/D21)),IF(AND(C21=".",D21=".",E21&lt;&gt;"."),1/((1/E21)),IF(AND(C21=".",D21=".",E21="."),"."))))))))</f>
        <v>62227801.250082642</v>
      </c>
      <c r="G21" s="15">
        <f>IFERROR((TR/(RadSpec!F21*EF_rec*(1/365)*ED_rec*def_acf!D21*ET_rec*(1/24)*RadSpec!V21)),".")</f>
        <v>729497282.13614905</v>
      </c>
      <c r="H21" s="15">
        <f>IFERROR((TR/(RadSpec!M21*EF_rec*(1/365)*ED_rec*def_acf!E21*ET_rec*(1/24)*RadSpec!R21)),".")</f>
        <v>1756596841.4356649</v>
      </c>
      <c r="I21" s="15">
        <f>IFERROR((TR/(RadSpec!N21*EF_rec*(1/365)*ED_rec*def_acf!F21*ET_rec*(1/24)*RadSpec!S21)),".")</f>
        <v>927702706.88321078</v>
      </c>
      <c r="J21" s="15">
        <f>IFERROR((TR/(RadSpec!O21*EF_rec*(1/365)*ED_rec*def_acf!G21*ET_rec*(1/24)*RadSpec!Y21)),".")</f>
        <v>731995560.49962926</v>
      </c>
      <c r="K21" s="15">
        <f>IFERROR((TR/(RadSpec!K21*EF_rec*(1/365)*ED_rec*def_acf!C21*ET_rec*(1/24)*RadSpec!U21)),".")</f>
        <v>941597813.50613093</v>
      </c>
      <c r="L21" s="15">
        <f>IFERROR((TR/(RadSpec!G21*IFA_rec_adj)),".")</f>
        <v>50.04691898654989</v>
      </c>
      <c r="M21" s="15">
        <f>IFERROR((TR/(RadSpec!J21*EF_rec*(1/365)*ED_rec*ET_rec*(1/24)*GSF_o)),".")</f>
        <v>113827475325.03108</v>
      </c>
      <c r="N21" s="15">
        <f t="shared" ref="N21" si="35">IFERROR(IF(AND(L21&lt;&gt;0,M21&lt;&gt;0),1/((1/L21)+(1/M21)),IF(AND(L21&lt;&gt;0,M21=0),1/((1/L21)),IF(AND(L21=0,M21&lt;&gt;0),1/((1/M21)),IF(AND(L21=0,M21=0),0)))),0)</f>
        <v>50.04691896454559</v>
      </c>
      <c r="O21" s="15" t="str">
        <f>IFERROR(TR/(RadSpec!H21*IFW_rec_adj),".")</f>
        <v>.</v>
      </c>
      <c r="P21" s="15">
        <f>IFERROR(TR/(RadSpec!L21*(1/8760)*DFA_rec_adj),".")</f>
        <v>88853779814920.344</v>
      </c>
      <c r="Q21" s="15">
        <f t="shared" ref="Q21" si="36">IFERROR(IF(AND(O21&lt;&gt;0,P21&lt;&gt;0),1/((1/O21)+(1/P21)),IF(AND(O21&lt;&gt;0,P21=0),1/((1/O21)),IF(AND(O21=0,P21&lt;&gt;0),1/((1/P21)),IF(AND(O21=0,P21=0),0)))),0)</f>
        <v>0</v>
      </c>
      <c r="R21" s="15" t="str">
        <f>IFERROR(TR/(RadSpec!E21*EF_rec*ED_rec*IRGL_rec*CF_game),".")</f>
        <v>.</v>
      </c>
      <c r="S21" s="15" t="str">
        <f>IFERROR((R21/(RadSpec!AH21*((Q_p_game*f_p_game*f_s_game*(RadSpec!BB21+R_es_past))+(Q_s_game*f_p_game)))),".")</f>
        <v>.</v>
      </c>
      <c r="T21" s="15" t="str">
        <f>IFERROR(R21/(RadSpec!AH21*Q_w_game*(1/1000)),".")</f>
        <v>.</v>
      </c>
      <c r="U21" s="15" t="str">
        <f>IFERROR(TR/(RadSpec!E21*EF_rec*ED_rec*IRGF_rec*CF_fowl),".")</f>
        <v>.</v>
      </c>
      <c r="V21" s="15" t="str">
        <f>IFERROR((R21/(RadSpec!AJ21*((Q_p_fowl*f_p_fowl*f_s_fowl*(RadSpec!BB21+R_es_past))+(Q_s_fowl*f_p_fowl)))),".")</f>
        <v>.</v>
      </c>
      <c r="W21" s="15" t="str">
        <f>IFERROR(R21/(RadSpec!AJ21*Q_w_fowl*(1/1000)),".")</f>
        <v>.</v>
      </c>
    </row>
    <row r="22" spans="1:23" customFormat="1" x14ac:dyDescent="0.25">
      <c r="A22" s="44" t="s">
        <v>32</v>
      </c>
      <c r="B22" s="42" t="s">
        <v>1074</v>
      </c>
      <c r="C22" s="15">
        <f>IFERROR(((TR)/(RadSpec!D22*IFS_rec_adj*(1/1000))),".")</f>
        <v>17.192765284368335</v>
      </c>
      <c r="D22" s="15">
        <f>IFERROR(IF(A22="H-3",(TR/(RadSpec!G22*IFA_rec_adj*(1/17)*1000))*RadSpec!#REF!,(TR/(RadSpec!G22*IFA_rec_adj*(1/PEF_wind)*1000))),".")</f>
        <v>36149.353497595701</v>
      </c>
      <c r="E22" s="15">
        <f>IFERROR((TR/(RadSpec!F22*EF_rec*(1/365)*ED_rec*def_acf!D22*ET_rec*(1/24)*RadSpec!V22)),".")</f>
        <v>7439.7034636576955</v>
      </c>
      <c r="F22" s="15">
        <f t="shared" ref="F22:F23" si="37">IF(AND(C22&lt;&gt;".",D22&lt;&gt;".",E22&lt;&gt;"."),1/((1/C22)+(1/D22)+(1/E22)),IF(AND(C22&lt;&gt;".",D22&lt;&gt;".",E22="."), 1/((1/C22)+(1/D22)),IF(AND(C22&lt;&gt;".",D22=".",E22&lt;&gt;"."),1/((1/C22)+(1/E22)),IF(AND(C22=".",D22&lt;&gt;".",E22&lt;&gt;"."),1/((1/D22)+(1/E22)),IF(AND(C22&lt;&gt;".",D22=".",E22="."),1/((1/C22)),IF(AND(C22=".",D22&lt;&gt;".",E22="."),1/((1/D22)),IF(AND(C22=".",D22=".",E22&lt;&gt;"."),1/((1/E22)),IF(AND(C22=".",D22=".",E22="."),"."))))))))</f>
        <v>17.144989890003572</v>
      </c>
      <c r="G22" s="15">
        <f>IFERROR((TR/(RadSpec!F22*EF_rec*(1/365)*ED_rec*def_acf!D22*ET_rec*(1/24)*RadSpec!V22)),".")</f>
        <v>7439.7034636576955</v>
      </c>
      <c r="H22" s="15">
        <f>IFERROR((TR/(RadSpec!M22*EF_rec*(1/365)*ED_rec*def_acf!E22*ET_rec*(1/24)*RadSpec!R22)),".")</f>
        <v>11003.280661533448</v>
      </c>
      <c r="I22" s="15">
        <f>IFERROR((TR/(RadSpec!N22*EF_rec*(1/365)*ED_rec*def_acf!F22*ET_rec*(1/24)*RadSpec!S22)),".")</f>
        <v>7204.0810041236573</v>
      </c>
      <c r="J22" s="15">
        <f>IFERROR((TR/(RadSpec!O22*EF_rec*(1/365)*ED_rec*def_acf!G22*ET_rec*(1/24)*RadSpec!Y22)),".")</f>
        <v>6183.149918483803</v>
      </c>
      <c r="K22" s="15">
        <f>IFERROR((TR/(RadSpec!K22*EF_rec*(1/365)*ED_rec*def_acf!C22*ET_rec*(1/24)*RadSpec!U22)),".")</f>
        <v>6479.1451671959358</v>
      </c>
      <c r="L22" s="15">
        <f>IFERROR((TR/(RadSpec!G22*IFA_rec_adj)),".")</f>
        <v>2.6593225043504851E-2</v>
      </c>
      <c r="M22" s="15">
        <f>IFERROR((TR/(RadSpec!J22*EF_rec*(1/365)*ED_rec*ET_rec*(1/24)*GSF_o)),".")</f>
        <v>243504.34594848426</v>
      </c>
      <c r="N22" s="15">
        <f t="shared" ref="N22:N23" si="38">IFERROR(IF(AND(L22&lt;&gt;0,M22&lt;&gt;0),1/((1/L22)+(1/M22)),IF(AND(L22&lt;&gt;0,M22=0),1/((1/L22)),IF(AND(L22=0,M22&lt;&gt;0),1/((1/M22)),IF(AND(L22=0,M22=0),0)))),0)</f>
        <v>2.6593222139246458E-2</v>
      </c>
      <c r="O22" s="15">
        <f>IFERROR(TR/(RadSpec!H22*IFW_rec_adj),".")</f>
        <v>54.496016749895716</v>
      </c>
      <c r="P22" s="15">
        <f>IFERROR(TR/(RadSpec!L22*(1/8760)*DFA_rec_adj),".")</f>
        <v>105988117.52027689</v>
      </c>
      <c r="Q22" s="15">
        <f t="shared" ref="Q22:Q23" si="39">IFERROR(IF(AND(O22&lt;&gt;0,P22&lt;&gt;0),1/((1/O22)+(1/P22)),IF(AND(O22&lt;&gt;0,P22=0),1/((1/O22)),IF(AND(O22=0,P22&lt;&gt;0),1/((1/P22)),IF(AND(O22=0,P22=0),0)))),0)</f>
        <v>54.495988729638512</v>
      </c>
      <c r="R22" s="15">
        <f>IFERROR(TR/(RadSpec!E22*EF_rec*ED_rec*IRGL_rec*CF_game),".")</f>
        <v>3.3397623759069539</v>
      </c>
      <c r="S22" s="15">
        <f>IFERROR((R22/(RadSpec!AH22*((Q_p_game*f_p_game*f_s_game*(RadSpec!BB22+R_es_past))+(Q_s_game*f_p_game)))),".")</f>
        <v>1547.4626618587329</v>
      </c>
      <c r="T22" s="15">
        <f>IFERROR(R22/(RadSpec!AH22*Q_w_game*(1/1000)),".")</f>
        <v>1964566.1034746787</v>
      </c>
      <c r="U22" s="15">
        <f>IFERROR(TR/(RadSpec!E22*EF_rec*ED_rec*IRGF_rec*CF_fowl),".")</f>
        <v>3.3397623759069539</v>
      </c>
      <c r="V22" s="15" t="str">
        <f>IFERROR((R22/(RadSpec!AJ22*((Q_p_fowl*f_p_fowl*f_s_fowl*(RadSpec!BB22+R_es_past))+(Q_s_fowl*f_p_fowl)))),".")</f>
        <v>.</v>
      </c>
      <c r="W22" s="15" t="str">
        <f>IFERROR(R22/(RadSpec!AJ22*Q_w_fowl*(1/1000)),".")</f>
        <v>.</v>
      </c>
    </row>
    <row r="23" spans="1:23" customFormat="1" x14ac:dyDescent="0.25">
      <c r="A23" s="46" t="s">
        <v>33</v>
      </c>
      <c r="B23" s="42" t="s">
        <v>351</v>
      </c>
      <c r="C23" s="15">
        <f>IFERROR(((TR)/(RadSpec!D23*IFS_rec_adj*(1/1000))),".")</f>
        <v>6.1536946782848414</v>
      </c>
      <c r="D23" s="15">
        <f>IFERROR(IF(A23="H-3",(TR/(RadSpec!G23*IFA_rec_adj*(1/17)*1000))*RadSpec!#REF!,(TR/(RadSpec!G23*IFA_rec_adj*(1/PEF_wind)*1000))),".")</f>
        <v>33584.221974770255</v>
      </c>
      <c r="E23" s="15">
        <f>IFERROR((TR/(RadSpec!F23*EF_rec*(1/365)*ED_rec*def_acf!D23*ET_rec*(1/24)*RadSpec!V23)),".")</f>
        <v>2272.616412875137</v>
      </c>
      <c r="F23" s="15">
        <f t="shared" si="37"/>
        <v>6.135955695067878</v>
      </c>
      <c r="G23" s="15">
        <f>IFERROR((TR/(RadSpec!F23*EF_rec*(1/365)*ED_rec*def_acf!D23*ET_rec*(1/24)*RadSpec!V23)),".")</f>
        <v>2272.616412875137</v>
      </c>
      <c r="H23" s="15">
        <f>IFERROR((TR/(RadSpec!M23*EF_rec*(1/365)*ED_rec*def_acf!E23*ET_rec*(1/24)*RadSpec!R23)),".")</f>
        <v>12928.936859156907</v>
      </c>
      <c r="I23" s="15">
        <f>IFERROR((TR/(RadSpec!N23*EF_rec*(1/365)*ED_rec*def_acf!F23*ET_rec*(1/24)*RadSpec!S23)),".")</f>
        <v>3622.7751382346282</v>
      </c>
      <c r="J23" s="15">
        <f>IFERROR((TR/(RadSpec!O23*EF_rec*(1/365)*ED_rec*def_acf!G23*ET_rec*(1/24)*RadSpec!Y23)),".")</f>
        <v>2128.7009701147585</v>
      </c>
      <c r="K23" s="15">
        <f>IFERROR((TR/(RadSpec!K23*EF_rec*(1/365)*ED_rec*def_acf!C23*ET_rec*(1/24)*RadSpec!U23)),".")</f>
        <v>14539.874433530853</v>
      </c>
      <c r="L23" s="15">
        <f>IFERROR((TR/(RadSpec!G23*IFA_rec_adj)),".")</f>
        <v>2.4706189363676651E-2</v>
      </c>
      <c r="M23" s="15">
        <f>IFERROR((TR/(RadSpec!J23*EF_rec*(1/365)*ED_rec*ET_rec*(1/24)*GSF_o)),".")</f>
        <v>157679.04368795292</v>
      </c>
      <c r="N23" s="15">
        <f t="shared" si="38"/>
        <v>2.4706185492549059E-2</v>
      </c>
      <c r="O23" s="15">
        <f>IFERROR(TR/(RadSpec!H23*IFW_rec_adj),".")</f>
        <v>16.191604976651703</v>
      </c>
      <c r="P23" s="15">
        <f>IFERROR(TR/(RadSpec!L23*(1/8760)*DFA_rec_adj),".")</f>
        <v>71645598.994153649</v>
      </c>
      <c r="Q23" s="15">
        <f t="shared" si="39"/>
        <v>16.191601317417696</v>
      </c>
      <c r="R23" s="15">
        <f>IFERROR(TR/(RadSpec!E23*EF_rec*ED_rec*IRGL_rec*CF_game),".")</f>
        <v>0.99712329928157262</v>
      </c>
      <c r="S23" s="15">
        <f>IFERROR((R23/(RadSpec!AH23*((Q_p_game*f_p_game*f_s_game*(RadSpec!BB23+R_es_past))+(Q_s_game*f_p_game)))),".")</f>
        <v>462.01223357652816</v>
      </c>
      <c r="T23" s="15">
        <f>IFERROR(R23/(RadSpec!AH23*Q_w_game*(1/1000)),".")</f>
        <v>586543.11722445441</v>
      </c>
      <c r="U23" s="15">
        <f>IFERROR(TR/(RadSpec!E23*EF_rec*ED_rec*IRGF_rec*CF_fowl),".")</f>
        <v>0.99712329928157262</v>
      </c>
      <c r="V23" s="15" t="str">
        <f>IFERROR((R23/(RadSpec!AJ23*((Q_p_fowl*f_p_fowl*f_s_fowl*(RadSpec!BB23+R_es_past))+(Q_s_fowl*f_p_fowl)))),".")</f>
        <v>.</v>
      </c>
      <c r="W23" s="15" t="str">
        <f>IFERROR(R23/(RadSpec!AJ23*Q_w_fowl*(1/1000)),".")</f>
        <v>.</v>
      </c>
    </row>
    <row r="24" spans="1:23" customFormat="1" x14ac:dyDescent="0.25">
      <c r="A24" s="44" t="s">
        <v>34</v>
      </c>
      <c r="B24" s="42" t="s">
        <v>1074</v>
      </c>
      <c r="C24" s="15" t="str">
        <f>IFERROR(((TR)/(RadSpec!D24*IFS_rec_adj*(1/1000))),".")</f>
        <v>.</v>
      </c>
      <c r="D24" s="15" t="str">
        <f>IFERROR(IF(A24="H-3",(TR/(RadSpec!G24*IFA_rec_adj*(1/17)*1000))*RadSpec!#REF!,(TR/(RadSpec!G24*IFA_rec_adj*(1/PEF_wind)*1000))),".")</f>
        <v>.</v>
      </c>
      <c r="E24" s="15">
        <f>IFERROR((TR/(RadSpec!F24*EF_rec*(1/365)*ED_rec*def_acf!D24*ET_rec*(1/24)*RadSpec!V24)),".")</f>
        <v>15420.487935770341</v>
      </c>
      <c r="F24" s="15">
        <f>IF(AND(C24&lt;&gt;".",D24&lt;&gt;".",E24&lt;&gt;"."),1/((1/C24)+(1/D24)+(1/E24)),IF(AND(C24&lt;&gt;".",D24&lt;&gt;".",E24="."), 1/((1/C24)+(1/D24)),IF(AND(C24&lt;&gt;".",D24=".",E24&lt;&gt;"."),1/((1/C24)+(1/E24)),IF(AND(C24=".",D24&lt;&gt;".",E24&lt;&gt;"."),1/((1/D24)+(1/E24)),IF(AND(C24&lt;&gt;".",D24=".",E24="."),1/((1/C24)),IF(AND(C24=".",D24&lt;&gt;".",E24="."),1/((1/D24)),IF(AND(C24=".",D24=".",E24&lt;&gt;"."),1/((1/E24)),IF(AND(C24=".",D24=".",E24="."),"."))))))))</f>
        <v>15420.487935770343</v>
      </c>
      <c r="G24" s="15">
        <f>IFERROR((TR/(RadSpec!F24*EF_rec*(1/365)*ED_rec*def_acf!D24*ET_rec*(1/24)*RadSpec!V24)),".")</f>
        <v>15420.487935770341</v>
      </c>
      <c r="H24" s="15">
        <f>IFERROR((TR/(RadSpec!M24*EF_rec*(1/365)*ED_rec*def_acf!E24*ET_rec*(1/24)*RadSpec!R24)),".")</f>
        <v>138306.07465118694</v>
      </c>
      <c r="I24" s="15">
        <f>IFERROR((TR/(RadSpec!N24*EF_rec*(1/365)*ED_rec*def_acf!F24*ET_rec*(1/24)*RadSpec!S24)),".")</f>
        <v>33715.366947298389</v>
      </c>
      <c r="J24" s="15">
        <f>IFERROR((TR/(RadSpec!O24*EF_rec*(1/365)*ED_rec*def_acf!G24*ET_rec*(1/24)*RadSpec!Y24)),".")</f>
        <v>16911.510619718905</v>
      </c>
      <c r="K24" s="15">
        <f>IFERROR((TR/(RadSpec!K24*EF_rec*(1/365)*ED_rec*def_acf!C24*ET_rec*(1/24)*RadSpec!U24)),".")</f>
        <v>209936.19529595715</v>
      </c>
      <c r="L24" s="15" t="str">
        <f>IFERROR((TR/(RadSpec!G24*IFA_rec_adj)),".")</f>
        <v>.</v>
      </c>
      <c r="M24" s="15">
        <f>IFERROR((TR/(RadSpec!J24*EF_rec*(1/365)*ED_rec*ET_rec*(1/24)*GSF_o)),".")</f>
        <v>1409292.5516432421</v>
      </c>
      <c r="N24" s="15">
        <f t="shared" ref="N24" si="40">IFERROR(IF(AND(L24&lt;&gt;0,M24&lt;&gt;0),1/((1/L24)+(1/M24)),IF(AND(L24&lt;&gt;0,M24=0),1/((1/L24)),IF(AND(L24=0,M24&lt;&gt;0),1/((1/M24)),IF(AND(L24=0,M24=0),0)))),0)</f>
        <v>0</v>
      </c>
      <c r="O24" s="15" t="str">
        <f>IFERROR(TR/(RadSpec!H24*IFW_rec_adj),".")</f>
        <v>.</v>
      </c>
      <c r="P24" s="15">
        <f>IFERROR(TR/(RadSpec!L24*(1/8760)*DFA_rec_adj),".")</f>
        <v>648797414.16290915</v>
      </c>
      <c r="Q24" s="15">
        <f t="shared" ref="Q24" si="41">IFERROR(IF(AND(O24&lt;&gt;0,P24&lt;&gt;0),1/((1/O24)+(1/P24)),IF(AND(O24&lt;&gt;0,P24=0),1/((1/O24)),IF(AND(O24=0,P24&lt;&gt;0),1/((1/P24)),IF(AND(O24=0,P24=0),0)))),0)</f>
        <v>0</v>
      </c>
      <c r="R24" s="15" t="str">
        <f>IFERROR(TR/(RadSpec!E24*EF_rec*ED_rec*IRGL_rec*CF_game),".")</f>
        <v>.</v>
      </c>
      <c r="S24" s="15" t="str">
        <f>IFERROR((R24/(RadSpec!AH24*((Q_p_game*f_p_game*f_s_game*(RadSpec!BB24+R_es_past))+(Q_s_game*f_p_game)))),".")</f>
        <v>.</v>
      </c>
      <c r="T24" s="15" t="str">
        <f>IFERROR(R24/(RadSpec!AH24*Q_w_game*(1/1000)),".")</f>
        <v>.</v>
      </c>
      <c r="U24" s="15" t="str">
        <f>IFERROR(TR/(RadSpec!E24*EF_rec*ED_rec*IRGF_rec*CF_fowl),".")</f>
        <v>.</v>
      </c>
      <c r="V24" s="15" t="str">
        <f>IFERROR((R24/(RadSpec!AJ24*((Q_p_fowl*f_p_fowl*f_s_fowl*(RadSpec!BB24+R_es_past))+(Q_s_fowl*f_p_fowl)))),".")</f>
        <v>.</v>
      </c>
      <c r="W24" s="15" t="str">
        <f>IFERROR(R24/(RadSpec!AJ24*Q_w_fowl*(1/1000)),".")</f>
        <v>.</v>
      </c>
    </row>
    <row r="25" spans="1:23" customFormat="1" x14ac:dyDescent="0.25">
      <c r="A25" s="46" t="s">
        <v>35</v>
      </c>
      <c r="B25" s="42" t="s">
        <v>351</v>
      </c>
      <c r="C25" s="15" t="str">
        <f>IFERROR(((TR)/(RadSpec!D25*IFS_rec_adj*(1/1000))),".")</f>
        <v>.</v>
      </c>
      <c r="D25" s="15">
        <f>IFERROR(IF(A25="H-3",(TR/(RadSpec!G25*IFA_rec_adj*(1/17)*1000))*RadSpec!#REF!,(TR/(RadSpec!G25*IFA_rec_adj*(1/PEF_wind)*1000))),".")</f>
        <v>414750411.4664939</v>
      </c>
      <c r="E25" s="15">
        <f>IFERROR((TR/(RadSpec!F25*EF_rec*(1/365)*ED_rec*def_acf!D25*ET_rec*(1/24)*RadSpec!V25)),".")</f>
        <v>30522.284661417398</v>
      </c>
      <c r="F25" s="15">
        <f>IF(AND(C25&lt;&gt;".",D25&lt;&gt;".",E25&lt;&gt;"."),1/((1/C25)+(1/D25)+(1/E25)),IF(AND(C25&lt;&gt;".",D25&lt;&gt;".",E25="."), 1/((1/C25)+(1/D25)),IF(AND(C25&lt;&gt;".",D25=".",E25&lt;&gt;"."),1/((1/C25)+(1/E25)),IF(AND(C25=".",D25&lt;&gt;".",E25&lt;&gt;"."),1/((1/D25)+(1/E25)),IF(AND(C25&lt;&gt;".",D25=".",E25="."),1/((1/C25)),IF(AND(C25=".",D25&lt;&gt;".",E25="."),1/((1/D25)),IF(AND(C25=".",D25=".",E25&lt;&gt;"."),1/((1/E25)),IF(AND(C25=".",D25=".",E25="."),"."))))))))</f>
        <v>30520.038632766733</v>
      </c>
      <c r="G25" s="15">
        <f>IFERROR((TR/(RadSpec!F25*EF_rec*(1/365)*ED_rec*def_acf!D25*ET_rec*(1/24)*RadSpec!V25)),".")</f>
        <v>30522.284661417398</v>
      </c>
      <c r="H25" s="15">
        <f>IFERROR((TR/(RadSpec!M25*EF_rec*(1/365)*ED_rec*def_acf!E25*ET_rec*(1/24)*RadSpec!R25)),".")</f>
        <v>265310.1306088625</v>
      </c>
      <c r="I25" s="15">
        <f>IFERROR((TR/(RadSpec!N25*EF_rec*(1/365)*ED_rec*def_acf!F25*ET_rec*(1/24)*RadSpec!S25)),".")</f>
        <v>64067.3531466075</v>
      </c>
      <c r="J25" s="15">
        <f>IFERROR((TR/(RadSpec!O25*EF_rec*(1/365)*ED_rec*def_acf!G25*ET_rec*(1/24)*RadSpec!Y25)),".")</f>
        <v>33839.579690208884</v>
      </c>
      <c r="K25" s="15">
        <f>IFERROR((TR/(RadSpec!K25*EF_rec*(1/365)*ED_rec*def_acf!C25*ET_rec*(1/24)*RadSpec!U25)),".")</f>
        <v>408577.39893056965</v>
      </c>
      <c r="L25" s="15">
        <f>IFERROR((TR/(RadSpec!G25*IFA_rec_adj)),".")</f>
        <v>305.11060259344009</v>
      </c>
      <c r="M25" s="15">
        <f>IFERROR((TR/(RadSpec!J25*EF_rec*(1/365)*ED_rec*ET_rec*(1/24)*GSF_o)),".")</f>
        <v>2767891.1266086698</v>
      </c>
      <c r="N25" s="15">
        <f t="shared" ref="N25" si="42">IFERROR(IF(AND(L25&lt;&gt;0,M25&lt;&gt;0),1/((1/L25)+(1/M25)),IF(AND(L25&lt;&gt;0,M25=0),1/((1/L25)),IF(AND(L25=0,M25&lt;&gt;0),1/((1/M25)),IF(AND(L25=0,M25=0),0)))),0)</f>
        <v>305.07697330135323</v>
      </c>
      <c r="O25" s="15" t="str">
        <f>IFERROR(TR/(RadSpec!H25*IFW_rec_adj),".")</f>
        <v>.</v>
      </c>
      <c r="P25" s="15">
        <f>IFERROR(TR/(RadSpec!L25*(1/8760)*DFA_rec_adj),".")</f>
        <v>1278195570.0950336</v>
      </c>
      <c r="Q25" s="15">
        <f t="shared" ref="Q25" si="43">IFERROR(IF(AND(O25&lt;&gt;0,P25&lt;&gt;0),1/((1/O25)+(1/P25)),IF(AND(O25&lt;&gt;0,P25=0),1/((1/O25)),IF(AND(O25=0,P25&lt;&gt;0),1/((1/P25)),IF(AND(O25=0,P25=0),0)))),0)</f>
        <v>0</v>
      </c>
      <c r="R25" s="15" t="str">
        <f>IFERROR(TR/(RadSpec!E25*EF_rec*ED_rec*IRGL_rec*CF_game),".")</f>
        <v>.</v>
      </c>
      <c r="S25" s="15" t="str">
        <f>IFERROR((R25/(RadSpec!AH25*((Q_p_game*f_p_game*f_s_game*(RadSpec!BB25+R_es_past))+(Q_s_game*f_p_game)))),".")</f>
        <v>.</v>
      </c>
      <c r="T25" s="15" t="str">
        <f>IFERROR(R25/(RadSpec!AH25*Q_w_game*(1/1000)),".")</f>
        <v>.</v>
      </c>
      <c r="U25" s="15" t="str">
        <f>IFERROR(TR/(RadSpec!E25*EF_rec*ED_rec*IRGF_rec*CF_fowl),".")</f>
        <v>.</v>
      </c>
      <c r="V25" s="15" t="str">
        <f>IFERROR((R25/(RadSpec!AJ25*((Q_p_fowl*f_p_fowl*f_s_fowl*(RadSpec!BB25+R_es_past))+(Q_s_fowl*f_p_fowl)))),".")</f>
        <v>.</v>
      </c>
      <c r="W25" s="15" t="str">
        <f>IFERROR(R25/(RadSpec!AJ25*Q_w_fowl*(1/1000)),".")</f>
        <v>.</v>
      </c>
    </row>
    <row r="26" spans="1:23" customFormat="1" x14ac:dyDescent="0.25">
      <c r="A26" s="44" t="s">
        <v>36</v>
      </c>
      <c r="B26" s="42" t="s">
        <v>1074</v>
      </c>
      <c r="C26" s="15">
        <f>IFERROR(((TR)/(RadSpec!D26*IFS_rec_adj*(1/1000))),".")</f>
        <v>10.828135828135826</v>
      </c>
      <c r="D26" s="15">
        <f>IFERROR(IF(A26="H-3",(TR/(RadSpec!G26*IFA_rec_adj*(1/17)*1000))*RadSpec!#REF!,(TR/(RadSpec!G26*IFA_rec_adj*(1/PEF_wind)*1000))),".")</f>
        <v>5414.7442633051196</v>
      </c>
      <c r="E26" s="15">
        <f>IFERROR((TR/(RadSpec!F26*EF_rec*(1/365)*ED_rec*def_acf!D26*ET_rec*(1/24)*RadSpec!V26)),".")</f>
        <v>224.34271546453976</v>
      </c>
      <c r="F26" s="15">
        <f>IF(AND(C26&lt;&gt;".",D26&lt;&gt;".",E26&lt;&gt;"."),1/((1/C26)+(1/D26)+(1/E26)),IF(AND(C26&lt;&gt;".",D26&lt;&gt;".",E26="."), 1/((1/C26)+(1/D26)),IF(AND(C26&lt;&gt;".",D26=".",E26&lt;&gt;"."),1/((1/C26)+(1/E26)),IF(AND(C26=".",D26&lt;&gt;".",E26&lt;&gt;"."),1/((1/D26)+(1/E26)),IF(AND(C26&lt;&gt;".",D26=".",E26="."),1/((1/C26)),IF(AND(C26=".",D26&lt;&gt;".",E26="."),1/((1/D26)),IF(AND(C26=".",D26=".",E26&lt;&gt;"."),1/((1/E26)),IF(AND(C26=".",D26=".",E26="."),"."))))))))</f>
        <v>10.309900472168325</v>
      </c>
      <c r="G26" s="15">
        <f>IFERROR((TR/(RadSpec!F26*EF_rec*(1/365)*ED_rec*def_acf!D26*ET_rec*(1/24)*RadSpec!V26)),".")</f>
        <v>224.34271546453976</v>
      </c>
      <c r="H26" s="15">
        <f>IFERROR((TR/(RadSpec!M26*EF_rec*(1/365)*ED_rec*def_acf!E26*ET_rec*(1/24)*RadSpec!R26)),".")</f>
        <v>770.15146648771974</v>
      </c>
      <c r="I26" s="15">
        <f>IFERROR((TR/(RadSpec!N26*EF_rec*(1/365)*ED_rec*def_acf!F26*ET_rec*(1/24)*RadSpec!S26)),".")</f>
        <v>303.72390811323294</v>
      </c>
      <c r="J26" s="15">
        <f>IFERROR((TR/(RadSpec!O26*EF_rec*(1/365)*ED_rec*def_acf!G26*ET_rec*(1/24)*RadSpec!Y26)),".")</f>
        <v>219.29749330036228</v>
      </c>
      <c r="K26" s="15">
        <f>IFERROR((TR/(RadSpec!K26*EF_rec*(1/365)*ED_rec*def_acf!C26*ET_rec*(1/24)*RadSpec!U26)),".")</f>
        <v>718.93999404645012</v>
      </c>
      <c r="L26" s="15">
        <f>IFERROR((TR/(RadSpec!G26*IFA_rec_adj)),".")</f>
        <v>3.9833495986775274E-3</v>
      </c>
      <c r="M26" s="15">
        <f>IFERROR((TR/(RadSpec!J26*EF_rec*(1/365)*ED_rec*ET_rec*(1/24)*GSF_o)),".")</f>
        <v>14970.306093330935</v>
      </c>
      <c r="N26" s="15">
        <f t="shared" ref="N26" si="44">IFERROR(IF(AND(L26&lt;&gt;0,M26&lt;&gt;0),1/((1/L26)+(1/M26)),IF(AND(L26&lt;&gt;0,M26=0),1/((1/L26)),IF(AND(L26=0,M26&lt;&gt;0),1/((1/M26)),IF(AND(L26=0,M26=0),0)))),0)</f>
        <v>3.983348538774697E-3</v>
      </c>
      <c r="O26" s="15">
        <f>IFERROR(TR/(RadSpec!H26*IFW_rec_adj),".")</f>
        <v>27.879584728009558</v>
      </c>
      <c r="P26" s="15">
        <f>IFERROR(TR/(RadSpec!L26*(1/8760)*DFA_rec_adj),".")</f>
        <v>6726168.9964791108</v>
      </c>
      <c r="Q26" s="15">
        <f t="shared" ref="Q26" si="45">IFERROR(IF(AND(O26&lt;&gt;0,P26&lt;&gt;0),1/((1/O26)+(1/P26)),IF(AND(O26&lt;&gt;0,P26=0),1/((1/O26)),IF(AND(O26=0,P26&lt;&gt;0),1/((1/P26)),IF(AND(O26=0,P26=0),0)))),0)</f>
        <v>27.879469169208807</v>
      </c>
      <c r="R26" s="15">
        <f>IFERROR(TR/(RadSpec!E26*EF_rec*ED_rec*IRGL_rec*CF_game),".")</f>
        <v>1.7656068611482623</v>
      </c>
      <c r="S26" s="15">
        <f>IFERROR((R26/(RadSpec!AH26*((Q_p_game*f_p_game*f_s_game*(RadSpec!BB26+R_es_past))+(Q_s_game*f_p_game)))),".")</f>
        <v>6129.4051634384705</v>
      </c>
      <c r="T26" s="15">
        <f>IFERROR(R26/(RadSpec!AH26*Q_w_game*(1/1000)),".")</f>
        <v>7676551.5702098357</v>
      </c>
      <c r="U26" s="15">
        <f>IFERROR(TR/(RadSpec!E26*EF_rec*ED_rec*IRGF_rec*CF_fowl),".")</f>
        <v>1.7656068611482623</v>
      </c>
      <c r="V26" s="15" t="str">
        <f>IFERROR((R26/(RadSpec!AJ26*((Q_p_fowl*f_p_fowl*f_s_fowl*(RadSpec!BB26+R_es_past))+(Q_s_fowl*f_p_fowl)))),".")</f>
        <v>.</v>
      </c>
      <c r="W26" s="15" t="str">
        <f>IFERROR(R26/(RadSpec!AJ26*Q_w_fowl*(1/1000)),".")</f>
        <v>.</v>
      </c>
    </row>
    <row r="27" spans="1:23" customFormat="1" x14ac:dyDescent="0.25">
      <c r="A27" s="44" t="s">
        <v>37</v>
      </c>
      <c r="B27" s="42" t="s">
        <v>1074</v>
      </c>
      <c r="C27" s="15" t="str">
        <f>IFERROR(((TR)/(RadSpec!D27*IFS_rec_adj*(1/1000))),".")</f>
        <v>.</v>
      </c>
      <c r="D27" s="15" t="str">
        <f>IFERROR(IF(A27="H-3",(TR/(RadSpec!G27*IFA_rec_adj*(1/17)*1000))*RadSpec!#REF!,(TR/(RadSpec!G27*IFA_rec_adj*(1/PEF_wind)*1000))),".")</f>
        <v>.</v>
      </c>
      <c r="E27" s="15">
        <f>IFERROR((TR/(RadSpec!F27*EF_rec*(1/365)*ED_rec*def_acf!D27*ET_rec*(1/24)*RadSpec!V27)),".")</f>
        <v>8031.3983174784735</v>
      </c>
      <c r="F27" s="15">
        <f>IF(AND(C27&lt;&gt;".",D27&lt;&gt;".",E27&lt;&gt;"."),1/((1/C27)+(1/D27)+(1/E27)),IF(AND(C27&lt;&gt;".",D27&lt;&gt;".",E27="."), 1/((1/C27)+(1/D27)),IF(AND(C27&lt;&gt;".",D27=".",E27&lt;&gt;"."),1/((1/C27)+(1/E27)),IF(AND(C27=".",D27&lt;&gt;".",E27&lt;&gt;"."),1/((1/D27)+(1/E27)),IF(AND(C27&lt;&gt;".",D27=".",E27="."),1/((1/C27)),IF(AND(C27=".",D27&lt;&gt;".",E27="."),1/((1/D27)),IF(AND(C27=".",D27=".",E27&lt;&gt;"."),1/((1/E27)),IF(AND(C27=".",D27=".",E27="."),"."))))))))</f>
        <v>8031.3983174784735</v>
      </c>
      <c r="G27" s="15">
        <f>IFERROR((TR/(RadSpec!F27*EF_rec*(1/365)*ED_rec*def_acf!D27*ET_rec*(1/24)*RadSpec!V27)),".")</f>
        <v>8031.3983174784735</v>
      </c>
      <c r="H27" s="15">
        <f>IFERROR((TR/(RadSpec!M27*EF_rec*(1/365)*ED_rec*def_acf!E27*ET_rec*(1/24)*RadSpec!R27)),".")</f>
        <v>36338.123116694769</v>
      </c>
      <c r="I27" s="15">
        <f>IFERROR((TR/(RadSpec!N27*EF_rec*(1/365)*ED_rec*def_acf!F27*ET_rec*(1/24)*RadSpec!S27)),".")</f>
        <v>13510.034564548525</v>
      </c>
      <c r="J27" s="15">
        <f>IFERROR((TR/(RadSpec!O27*EF_rec*(1/365)*ED_rec*def_acf!G27*ET_rec*(1/24)*RadSpec!Y27)),".")</f>
        <v>9011.2827476173534</v>
      </c>
      <c r="K27" s="15">
        <f>IFERROR((TR/(RadSpec!K27*EF_rec*(1/365)*ED_rec*def_acf!C27*ET_rec*(1/24)*RadSpec!U27)),".")</f>
        <v>7750.1490254876653</v>
      </c>
      <c r="L27" s="15" t="str">
        <f>IFERROR((TR/(RadSpec!G27*IFA_rec_adj)),".")</f>
        <v>.</v>
      </c>
      <c r="M27" s="15">
        <f>IFERROR((TR/(RadSpec!J27*EF_rec*(1/365)*ED_rec*ET_rec*(1/24)*GSF_o)),".")</f>
        <v>477933.9957746648</v>
      </c>
      <c r="N27" s="15">
        <f t="shared" ref="N27" si="46">IFERROR(IF(AND(L27&lt;&gt;0,M27&lt;&gt;0),1/((1/L27)+(1/M27)),IF(AND(L27&lt;&gt;0,M27=0),1/((1/L27)),IF(AND(L27=0,M27&lt;&gt;0),1/((1/M27)),IF(AND(L27=0,M27=0),0)))),0)</f>
        <v>0</v>
      </c>
      <c r="O27" s="15" t="str">
        <f>IFERROR(TR/(RadSpec!H27*IFW_rec_adj),".")</f>
        <v>.</v>
      </c>
      <c r="P27" s="15">
        <f>IFERROR(TR/(RadSpec!L27*(1/8760)*DFA_rec_adj),".")</f>
        <v>305346719.52270252</v>
      </c>
      <c r="Q27" s="15">
        <f t="shared" ref="Q27" si="47">IFERROR(IF(AND(O27&lt;&gt;0,P27&lt;&gt;0),1/((1/O27)+(1/P27)),IF(AND(O27&lt;&gt;0,P27=0),1/((1/O27)),IF(AND(O27=0,P27&lt;&gt;0),1/((1/P27)),IF(AND(O27=0,P27=0),0)))),0)</f>
        <v>0</v>
      </c>
      <c r="R27" s="15" t="str">
        <f>IFERROR(TR/(RadSpec!E27*EF_rec*ED_rec*IRGL_rec*CF_game),".")</f>
        <v>.</v>
      </c>
      <c r="S27" s="15" t="str">
        <f>IFERROR((R27/(RadSpec!AH27*((Q_p_game*f_p_game*f_s_game*(RadSpec!BB27+R_es_past))+(Q_s_game*f_p_game)))),".")</f>
        <v>.</v>
      </c>
      <c r="T27" s="15" t="str">
        <f>IFERROR(R27/(RadSpec!AH27*Q_w_game*(1/1000)),".")</f>
        <v>.</v>
      </c>
      <c r="U27" s="15" t="str">
        <f>IFERROR(TR/(RadSpec!E27*EF_rec*ED_rec*IRGF_rec*CF_fowl),".")</f>
        <v>.</v>
      </c>
      <c r="V27" s="15" t="str">
        <f>IFERROR((R27/(RadSpec!AJ27*((Q_p_fowl*f_p_fowl*f_s_fowl*(RadSpec!BB27+R_es_past))+(Q_s_fowl*f_p_fowl)))),".")</f>
        <v>.</v>
      </c>
      <c r="W27" s="15" t="str">
        <f>IFERROR(R27/(RadSpec!AJ27*Q_w_fowl*(1/1000)),".")</f>
        <v>.</v>
      </c>
    </row>
    <row r="28" spans="1:23" customFormat="1" x14ac:dyDescent="0.25">
      <c r="A28" s="44" t="s">
        <v>38</v>
      </c>
      <c r="B28" s="42" t="s">
        <v>1074</v>
      </c>
      <c r="C28" s="15" t="str">
        <f>IFERROR(((TR)/(RadSpec!D28*IFS_rec_adj*(1/1000))),".")</f>
        <v>.</v>
      </c>
      <c r="D28" s="15" t="str">
        <f>IFERROR(IF(A28="H-3",(TR/(RadSpec!G28*IFA_rec_adj*(1/17)*1000))*RadSpec!#REF!,(TR/(RadSpec!G28*IFA_rec_adj*(1/PEF_wind)*1000))),".")</f>
        <v>.</v>
      </c>
      <c r="E28" s="15">
        <f>IFERROR((TR/(RadSpec!F28*EF_rec*(1/365)*ED_rec*def_acf!D28*ET_rec*(1/24)*RadSpec!V28)),".")</f>
        <v>4.6201985113819282</v>
      </c>
      <c r="F28" s="15">
        <f t="shared" ref="F28:F29" si="48">IF(AND(C28&lt;&gt;".",D28&lt;&gt;".",E28&lt;&gt;"."),1/((1/C28)+(1/D28)+(1/E28)),IF(AND(C28&lt;&gt;".",D28&lt;&gt;".",E28="."), 1/((1/C28)+(1/D28)),IF(AND(C28&lt;&gt;".",D28=".",E28&lt;&gt;"."),1/((1/C28)+(1/E28)),IF(AND(C28=".",D28&lt;&gt;".",E28&lt;&gt;"."),1/((1/D28)+(1/E28)),IF(AND(C28&lt;&gt;".",D28=".",E28="."),1/((1/C28)),IF(AND(C28=".",D28&lt;&gt;".",E28="."),1/((1/D28)),IF(AND(C28=".",D28=".",E28&lt;&gt;"."),1/((1/E28)),IF(AND(C28=".",D28=".",E28="."),"."))))))))</f>
        <v>4.6201985113819282</v>
      </c>
      <c r="G28" s="15">
        <f>IFERROR((TR/(RadSpec!F28*EF_rec*(1/365)*ED_rec*def_acf!D28*ET_rec*(1/24)*RadSpec!V28)),".")</f>
        <v>4.6201985113819282</v>
      </c>
      <c r="H28" s="15">
        <f>IFERROR((TR/(RadSpec!M28*EF_rec*(1/365)*ED_rec*def_acf!E28*ET_rec*(1/24)*RadSpec!R28)),".")</f>
        <v>54.245376292154624</v>
      </c>
      <c r="I28" s="15">
        <f>IFERROR((TR/(RadSpec!N28*EF_rec*(1/365)*ED_rec*def_acf!F28*ET_rec*(1/24)*RadSpec!S28)),".")</f>
        <v>12.42676758212998</v>
      </c>
      <c r="J28" s="15">
        <f>IFERROR((TR/(RadSpec!O28*EF_rec*(1/365)*ED_rec*def_acf!G28*ET_rec*(1/24)*RadSpec!Y28)),".")</f>
        <v>6.1526049877016957</v>
      </c>
      <c r="K28" s="15">
        <f>IFERROR((TR/(RadSpec!K28*EF_rec*(1/365)*ED_rec*def_acf!C28*ET_rec*(1/24)*RadSpec!U28)),".")</f>
        <v>80.768875920071551</v>
      </c>
      <c r="L28" s="15" t="str">
        <f>IFERROR((TR/(RadSpec!G28*IFA_rec_adj)),".")</f>
        <v>.</v>
      </c>
      <c r="M28" s="15">
        <f>IFERROR((TR/(RadSpec!J28*EF_rec*(1/365)*ED_rec*ET_rec*(1/24)*GSF_o)),".")</f>
        <v>469.19130073000633</v>
      </c>
      <c r="N28" s="15">
        <f t="shared" ref="N28:N29" si="49">IFERROR(IF(AND(L28&lt;&gt;0,M28&lt;&gt;0),1/((1/L28)+(1/M28)),IF(AND(L28&lt;&gt;0,M28=0),1/((1/L28)),IF(AND(L28=0,M28&lt;&gt;0),1/((1/M28)),IF(AND(L28=0,M28=0),0)))),0)</f>
        <v>0</v>
      </c>
      <c r="O28" s="15" t="str">
        <f>IFERROR(TR/(RadSpec!H28*IFW_rec_adj),".")</f>
        <v>.</v>
      </c>
      <c r="P28" s="15">
        <f>IFERROR(TR/(RadSpec!L28*(1/8760)*DFA_rec_adj),".")</f>
        <v>216144.30707786803</v>
      </c>
      <c r="Q28" s="15">
        <f t="shared" ref="Q28:Q29" si="50">IFERROR(IF(AND(O28&lt;&gt;0,P28&lt;&gt;0),1/((1/O28)+(1/P28)),IF(AND(O28&lt;&gt;0,P28=0),1/((1/O28)),IF(AND(O28=0,P28&lt;&gt;0),1/((1/P28)),IF(AND(O28=0,P28=0),0)))),0)</f>
        <v>0</v>
      </c>
      <c r="R28" s="15" t="str">
        <f>IFERROR(TR/(RadSpec!E28*EF_rec*ED_rec*IRGL_rec*CF_game),".")</f>
        <v>.</v>
      </c>
      <c r="S28" s="15" t="str">
        <f>IFERROR((R28/(RadSpec!AH28*((Q_p_game*f_p_game*f_s_game*(RadSpec!BB28+R_es_past))+(Q_s_game*f_p_game)))),".")</f>
        <v>.</v>
      </c>
      <c r="T28" s="15" t="str">
        <f>IFERROR(R28/(RadSpec!AH28*Q_w_game*(1/1000)),".")</f>
        <v>.</v>
      </c>
      <c r="U28" s="15" t="str">
        <f>IFERROR(TR/(RadSpec!E28*EF_rec*ED_rec*IRGF_rec*CF_fowl),".")</f>
        <v>.</v>
      </c>
      <c r="V28" s="15" t="str">
        <f>IFERROR((R28/(RadSpec!AJ28*((Q_p_fowl*f_p_fowl*f_s_fowl*(RadSpec!BB28+R_es_past))+(Q_s_fowl*f_p_fowl)))),".")</f>
        <v>.</v>
      </c>
      <c r="W28" s="15" t="str">
        <f>IFERROR(R28/(RadSpec!AJ28*Q_w_fowl*(1/1000)),".")</f>
        <v>.</v>
      </c>
    </row>
    <row r="29" spans="1:23" customFormat="1" x14ac:dyDescent="0.25">
      <c r="A29" s="44" t="s">
        <v>39</v>
      </c>
      <c r="B29" s="42" t="s">
        <v>1074</v>
      </c>
      <c r="C29" s="15" t="str">
        <f>IFERROR(((TR)/(RadSpec!D29*IFS_rec_adj*(1/1000))),".")</f>
        <v>.</v>
      </c>
      <c r="D29" s="15" t="str">
        <f>IFERROR(IF(A29="H-3",(TR/(RadSpec!G29*IFA_rec_adj*(1/17)*1000))*RadSpec!#REF!,(TR/(RadSpec!G29*IFA_rec_adj*(1/PEF_wind)*1000))),".")</f>
        <v>.</v>
      </c>
      <c r="E29" s="15">
        <f>IFERROR((TR/(RadSpec!F29*EF_rec*(1/365)*ED_rec*def_acf!D29*ET_rec*(1/24)*RadSpec!V29)),".")</f>
        <v>3.6243328012912084</v>
      </c>
      <c r="F29" s="15">
        <f t="shared" si="48"/>
        <v>3.6243328012912084</v>
      </c>
      <c r="G29" s="15">
        <f>IFERROR((TR/(RadSpec!F29*EF_rec*(1/365)*ED_rec*def_acf!D29*ET_rec*(1/24)*RadSpec!V29)),".")</f>
        <v>3.6243328012912084</v>
      </c>
      <c r="H29" s="15">
        <f>IFERROR((TR/(RadSpec!M29*EF_rec*(1/365)*ED_rec*def_acf!E29*ET_rec*(1/24)*RadSpec!R29)),".")</f>
        <v>40.942908904610618</v>
      </c>
      <c r="I29" s="15">
        <f>IFERROR((TR/(RadSpec!N29*EF_rec*(1/365)*ED_rec*def_acf!F29*ET_rec*(1/24)*RadSpec!S29)),".")</f>
        <v>9.6194539966135402</v>
      </c>
      <c r="J29" s="15">
        <f>IFERROR((TR/(RadSpec!O29*EF_rec*(1/365)*ED_rec*def_acf!G29*ET_rec*(1/24)*RadSpec!Y29)),".")</f>
        <v>4.6883724120701746</v>
      </c>
      <c r="K29" s="15">
        <f>IFERROR((TR/(RadSpec!K29*EF_rec*(1/365)*ED_rec*def_acf!C29*ET_rec*(1/24)*RadSpec!U29)),".")</f>
        <v>60.964894098576764</v>
      </c>
      <c r="L29" s="15" t="str">
        <f>IFERROR((TR/(RadSpec!G29*IFA_rec_adj)),".")</f>
        <v>.</v>
      </c>
      <c r="M29" s="15">
        <f>IFERROR((TR/(RadSpec!J29*EF_rec*(1/365)*ED_rec*ET_rec*(1/24)*GSF_o)),".")</f>
        <v>362.95930811189157</v>
      </c>
      <c r="N29" s="15">
        <f t="shared" si="49"/>
        <v>0</v>
      </c>
      <c r="O29" s="15" t="str">
        <f>IFERROR(TR/(RadSpec!H29*IFW_rec_adj),".")</f>
        <v>.</v>
      </c>
      <c r="P29" s="15">
        <f>IFERROR(TR/(RadSpec!L29*(1/8760)*DFA_rec_adj),".")</f>
        <v>167276.89852113268</v>
      </c>
      <c r="Q29" s="15">
        <f t="shared" si="50"/>
        <v>0</v>
      </c>
      <c r="R29" s="15" t="str">
        <f>IFERROR(TR/(RadSpec!E29*EF_rec*ED_rec*IRGL_rec*CF_game),".")</f>
        <v>.</v>
      </c>
      <c r="S29" s="15" t="str">
        <f>IFERROR((R29/(RadSpec!AH29*((Q_p_game*f_p_game*f_s_game*(RadSpec!BB29+R_es_past))+(Q_s_game*f_p_game)))),".")</f>
        <v>.</v>
      </c>
      <c r="T29" s="15" t="str">
        <f>IFERROR(R29/(RadSpec!AH29*Q_w_game*(1/1000)),".")</f>
        <v>.</v>
      </c>
      <c r="U29" s="15" t="str">
        <f>IFERROR(TR/(RadSpec!E29*EF_rec*ED_rec*IRGF_rec*CF_fowl),".")</f>
        <v>.</v>
      </c>
      <c r="V29" s="15" t="str">
        <f>IFERROR((R29/(RadSpec!AJ29*((Q_p_fowl*f_p_fowl*f_s_fowl*(RadSpec!BB29+R_es_past))+(Q_s_fowl*f_p_fowl)))),".")</f>
        <v>.</v>
      </c>
      <c r="W29" s="15" t="str">
        <f>IFERROR(R29/(RadSpec!AJ29*Q_w_fowl*(1/1000)),".")</f>
        <v>.</v>
      </c>
    </row>
    <row r="30" spans="1:23" customFormat="1" x14ac:dyDescent="0.25">
      <c r="A30" s="44" t="s">
        <v>40</v>
      </c>
      <c r="B30" s="42" t="s">
        <v>1074</v>
      </c>
      <c r="C30" s="15">
        <f>IFERROR(((TR)/(RadSpec!D30*IFS_rec_adj*(1/1000))),".")</f>
        <v>27.737096702613943</v>
      </c>
      <c r="D30" s="15">
        <f>IFERROR(IF(A30="H-3",(TR/(RadSpec!G30*IFA_rec_adj*(1/17)*1000))*RadSpec!#REF!,(TR/(RadSpec!G30*IFA_rec_adj*(1/PEF_wind)*1000))),".")</f>
        <v>33408.618199738776</v>
      </c>
      <c r="E30" s="15">
        <f>IFERROR((TR/(RadSpec!F30*EF_rec*(1/365)*ED_rec*def_acf!D30*ET_rec*(1/24)*RadSpec!V30)),".")</f>
        <v>41025.680378965822</v>
      </c>
      <c r="F30" s="15">
        <f>IF(AND(C30&lt;&gt;".",D30&lt;&gt;".",E30&lt;&gt;"."),1/((1/C30)+(1/D30)+(1/E30)),IF(AND(C30&lt;&gt;".",D30&lt;&gt;".",E30="."), 1/((1/C30)+(1/D30)),IF(AND(C30&lt;&gt;".",D30=".",E30&lt;&gt;"."),1/((1/C30)+(1/E30)),IF(AND(C30=".",D30&lt;&gt;".",E30&lt;&gt;"."),1/((1/D30)+(1/E30)),IF(AND(C30&lt;&gt;".",D30=".",E30="."),1/((1/C30)),IF(AND(C30=".",D30&lt;&gt;".",E30="."),1/((1/D30)),IF(AND(C30=".",D30=".",E30&lt;&gt;"."),1/((1/E30)),IF(AND(C30=".",D30=".",E30="."),"."))))))))</f>
        <v>27.695378355061891</v>
      </c>
      <c r="G30" s="15">
        <f>IFERROR((TR/(RadSpec!F30*EF_rec*(1/365)*ED_rec*def_acf!D30*ET_rec*(1/24)*RadSpec!V30)),".")</f>
        <v>41025.680378965822</v>
      </c>
      <c r="H30" s="15">
        <f>IFERROR((TR/(RadSpec!M30*EF_rec*(1/365)*ED_rec*def_acf!E30*ET_rec*(1/24)*RadSpec!R30)),".")</f>
        <v>141405.36751285254</v>
      </c>
      <c r="I30" s="15">
        <f>IFERROR((TR/(RadSpec!N30*EF_rec*(1/365)*ED_rec*def_acf!F30*ET_rec*(1/24)*RadSpec!S30)),".")</f>
        <v>59564.675644899995</v>
      </c>
      <c r="J30" s="15">
        <f>IFERROR((TR/(RadSpec!O30*EF_rec*(1/365)*ED_rec*def_acf!G30*ET_rec*(1/24)*RadSpec!Y30)),".")</f>
        <v>42131.626308336345</v>
      </c>
      <c r="K30" s="15">
        <f>IFERROR((TR/(RadSpec!K30*EF_rec*(1/365)*ED_rec*def_acf!C30*ET_rec*(1/24)*RadSpec!U30)),".")</f>
        <v>116283.00777471159</v>
      </c>
      <c r="L30" s="15">
        <f>IFERROR((TR/(RadSpec!G30*IFA_rec_adj)),".")</f>
        <v>2.4577006674193373E-2</v>
      </c>
      <c r="M30" s="15">
        <f>IFERROR((TR/(RadSpec!J30*EF_rec*(1/365)*ED_rec*ET_rec*(1/24)*GSF_o)),".")</f>
        <v>4791243.6687248461</v>
      </c>
      <c r="N30" s="15">
        <f t="shared" ref="N30" si="51">IFERROR(IF(AND(L30&lt;&gt;0,M30&lt;&gt;0),1/((1/L30)+(1/M30)),IF(AND(L30&lt;&gt;0,M30=0),1/((1/L30)),IF(AND(L30=0,M30&lt;&gt;0),1/((1/M30)),IF(AND(L30=0,M30=0),0)))),0)</f>
        <v>2.4577006548123961E-2</v>
      </c>
      <c r="O30" s="15">
        <f>IFERROR(TR/(RadSpec!H30*IFW_rec_adj),".")</f>
        <v>86.800356575864811</v>
      </c>
      <c r="P30" s="15">
        <f>IFERROR(TR/(RadSpec!L30*(1/8760)*DFA_rec_adj),".")</f>
        <v>2149367969.8246093</v>
      </c>
      <c r="Q30" s="15">
        <f t="shared" ref="Q30" si="52">IFERROR(IF(AND(O30&lt;&gt;0,P30&lt;&gt;0),1/((1/O30)+(1/P30)),IF(AND(O30&lt;&gt;0,P30=0),1/((1/O30)),IF(AND(O30=0,P30&lt;&gt;0),1/((1/P30)),IF(AND(O30=0,P30=0),0)))),0)</f>
        <v>86.800353070508038</v>
      </c>
      <c r="R30" s="15">
        <f>IFERROR(TR/(RadSpec!E30*EF_rec*ED_rec*IRGL_rec*CF_game),".")</f>
        <v>5.2900816259594876</v>
      </c>
      <c r="S30" s="15">
        <f>IFERROR((R30/(RadSpec!AH30*((Q_p_game*f_p_game*f_s_game*(RadSpec!BB30+R_es_past))+(Q_s_game*f_p_game)))),".")</f>
        <v>10789.934460499304</v>
      </c>
      <c r="T30" s="15">
        <f>IFERROR(R30/(RadSpec!AH30*Q_w_game*(1/1000)),".")</f>
        <v>13564311.861434583</v>
      </c>
      <c r="U30" s="15">
        <f>IFERROR(TR/(RadSpec!E30*EF_rec*ED_rec*IRGF_rec*CF_fowl),".")</f>
        <v>5.2900816259594876</v>
      </c>
      <c r="V30" s="15">
        <f>IFERROR((R30/(RadSpec!AJ30*((Q_p_fowl*f_p_fowl*f_s_fowl*(RadSpec!BB30+R_es_past))+(Q_s_fowl*f_p_fowl)))),".")</f>
        <v>5.610765919459638</v>
      </c>
      <c r="W30" s="15">
        <f>IFERROR(R30/(RadSpec!AJ30*Q_w_fowl*(1/1000)),".")</f>
        <v>7053.4421679459838</v>
      </c>
    </row>
    <row r="31" spans="1:23" x14ac:dyDescent="0.25">
      <c r="A31" s="82" t="s">
        <v>13</v>
      </c>
      <c r="B31" s="57" t="s">
        <v>1259</v>
      </c>
      <c r="C31" s="58">
        <f>1/SUM(1/C32,1/C33,1/C34,1/C35,1/C36,1/C37,1/C38,1/C41,1/C44)</f>
        <v>2.6156075268969081</v>
      </c>
      <c r="D31" s="58">
        <f>1/SUM(1/D32,1/D33,1/D34,1/D35,1/D36,1/D37,1/D38,1/D41,1/D44)</f>
        <v>2917.0611214171267</v>
      </c>
      <c r="E31" s="58">
        <f>1/SUM(1/E32,1/E33,1/E34,1/E35,1/E36,1/E37,1/E38,1/E39,1/E40,1/E41,1/E42,1/E43,1/E44)</f>
        <v>25.745087522698348</v>
      </c>
      <c r="F31" s="59">
        <f>1/SUM(1/F32,1/F33,1/F34,1/F35,1/F36,1/F37,1/F38,1/F39,1/F40,1/F41,1/F42,1/F43,1/F44)</f>
        <v>2.3724481254362431</v>
      </c>
      <c r="G31" s="58">
        <f t="shared" ref="G31:Q31" si="53">1/SUM(1/G32,1/G33,1/G34,1/G35,1/G36,1/G37,1/G38,1/G39,1/G40,1/G41,1/G42,1/G43,1/G44)</f>
        <v>25.745087522698348</v>
      </c>
      <c r="H31" s="58">
        <f t="shared" si="53"/>
        <v>143.94619048226392</v>
      </c>
      <c r="I31" s="58">
        <f t="shared" si="53"/>
        <v>44.151297489357887</v>
      </c>
      <c r="J31" s="58">
        <f t="shared" si="53"/>
        <v>27.15698343026499</v>
      </c>
      <c r="K31" s="58">
        <f t="shared" si="53"/>
        <v>153.8306683939802</v>
      </c>
      <c r="L31" s="58">
        <f>1/SUM(1/L32,1/L33,1/L34,1/L35,1/L36,1/L37,1/L38,1/L41,1/L44)</f>
        <v>2.145932232858984E-3</v>
      </c>
      <c r="M31" s="58">
        <f t="shared" si="53"/>
        <v>2032.9141963800525</v>
      </c>
      <c r="N31" s="59">
        <f t="shared" si="53"/>
        <v>2.1459299676279704E-3</v>
      </c>
      <c r="O31" s="58">
        <f>1/SUM(1/O32,1/O33,1/O34,1/O35,1/O36,1/O37,1/O38,1/O41,1/O44)</f>
        <v>8.0778573825936455</v>
      </c>
      <c r="P31" s="58">
        <f t="shared" si="53"/>
        <v>926907.2557435804</v>
      </c>
      <c r="Q31" s="59">
        <f t="shared" si="53"/>
        <v>8.0777869858944751</v>
      </c>
      <c r="R31" s="58">
        <f>1/SUM(1/R32,1/R33,1/R34,1/R35,1/R36,1/R37,1/R38,1/R41,1/R44)</f>
        <v>0.49357588442918332</v>
      </c>
      <c r="S31" s="58">
        <f>1/SUM(1/S32,1/S33,1/S34,1/S35,1/S36,1/S37,1/S38,1/S41,1/S44)</f>
        <v>776.81238952152637</v>
      </c>
      <c r="T31" s="58">
        <f>1/SUM(1/T32,1/T33,1/T34,1/T35,1/T36,1/T37,1/T38,1/T41,1/T44)</f>
        <v>981538.82460326818</v>
      </c>
      <c r="U31" s="58">
        <f>1/SUM(1/U32,1/U33,1/U34,1/U35,1/U36,1/U37,1/U38,1/U41,1/U44)</f>
        <v>0.49357588442918332</v>
      </c>
      <c r="V31" s="58">
        <f>1/SUM(1/V32,1/V35)</f>
        <v>5.5499351035500721</v>
      </c>
      <c r="W31" s="58">
        <f>1/SUM(1/W32,1/W35)</f>
        <v>6976.5404548407168</v>
      </c>
    </row>
    <row r="32" spans="1:23" x14ac:dyDescent="0.25">
      <c r="A32" s="83" t="s">
        <v>1102</v>
      </c>
      <c r="B32" s="42">
        <v>1</v>
      </c>
      <c r="C32" s="60">
        <f>IFERROR(C3/$B32,0)</f>
        <v>22.612974420203336</v>
      </c>
      <c r="D32" s="60">
        <f>IFERROR(D3/$B32,0)</f>
        <v>25056.463649804085</v>
      </c>
      <c r="E32" s="60">
        <f>IFERROR(E3/$B32,0)</f>
        <v>1507.4078558715651</v>
      </c>
      <c r="F32" s="60">
        <f t="shared" ref="F32:F44" si="54">IF(AND(C32&lt;&gt;0,D32&lt;&gt;0,E32&lt;&gt;0),1/((1/C32)+(1/D32)+(1/E32)),IF(AND(C32&lt;&gt;0,D32&lt;&gt;0,E32=0), 1/((1/C32)+(1/D32)),IF(AND(C32&lt;&gt;0,D32=0,E32&lt;&gt;0),1/((1/C32)+(1/E32)),IF(AND(C32=0,D32&lt;&gt;0,E32&lt;&gt;0),1/((1/D32)+(1/E32)),IF(AND(C32&lt;&gt;0,D32=0,E32=0),1/((1/C32)),IF(AND(C32=0,D32&lt;&gt;0,E32=0),1/((1/D32)),IF(AND(C32=0,D32=0,E32&lt;&gt;0),1/((1/E32)),IF(AND(C32=0,D32=0,E32=0),0))))))))</f>
        <v>22.25897409955094</v>
      </c>
      <c r="G32" s="60">
        <f t="shared" ref="G32:M32" si="55">IFERROR(G3/$B32,0)</f>
        <v>1507.4078558715651</v>
      </c>
      <c r="H32" s="60">
        <f t="shared" si="55"/>
        <v>3453.8858090458807</v>
      </c>
      <c r="I32" s="60">
        <f t="shared" si="55"/>
        <v>1833.696367950899</v>
      </c>
      <c r="J32" s="60">
        <f t="shared" si="55"/>
        <v>1674.8673383687362</v>
      </c>
      <c r="K32" s="60">
        <f t="shared" si="55"/>
        <v>2849.1543167228629</v>
      </c>
      <c r="L32" s="60">
        <f t="shared" si="55"/>
        <v>1.8432755005645032E-2</v>
      </c>
      <c r="M32" s="60">
        <f t="shared" si="55"/>
        <v>77411.844386037235</v>
      </c>
      <c r="N32" s="60">
        <f t="shared" ref="N32:N44" si="56">IFERROR(IF(AND(L32&lt;&gt;0,M32&lt;&gt;0),1/((1/L32)+(1/M32)),IF(AND(L32&lt;&gt;0,M32=0),1/((1/L32)),IF(AND(L32=0,M32&lt;&gt;0),1/((1/M32)),IF(AND(L32=0,M32=0),0)))),0)</f>
        <v>1.8432750616570223E-2</v>
      </c>
      <c r="O32" s="60">
        <f>IFERROR(O3/$B32,0)</f>
        <v>60.140247056134903</v>
      </c>
      <c r="P32" s="60">
        <f>IFERROR(P3/$B32,0)</f>
        <v>34047510.318460628</v>
      </c>
      <c r="Q32" s="60">
        <f t="shared" ref="Q32:Q44" si="57">IFERROR(IF(AND(O32&lt;&gt;0,P32&lt;&gt;0),1/((1/O32)+(1/P32)),IF(AND(O32&lt;&gt;0,P32=0),1/((1/O32)),IF(AND(O32=0,P32&lt;&gt;0),1/((1/P32)),IF(AND(O32=0,P32=0),0)))),0)</f>
        <v>60.140140826842547</v>
      </c>
      <c r="R32" s="60">
        <f t="shared" ref="R32:W32" si="58">IFERROR(R3/$B32,0)</f>
        <v>3.8393390193944206</v>
      </c>
      <c r="S32" s="60">
        <f t="shared" si="58"/>
        <v>6142.8181625257166</v>
      </c>
      <c r="T32" s="60">
        <f t="shared" si="58"/>
        <v>7678678.0387888411</v>
      </c>
      <c r="U32" s="60">
        <f t="shared" si="58"/>
        <v>3.8393390193944206</v>
      </c>
      <c r="V32" s="60">
        <f t="shared" si="58"/>
        <v>511.90151354380964</v>
      </c>
      <c r="W32" s="60">
        <f t="shared" si="58"/>
        <v>639889.8365657368</v>
      </c>
    </row>
    <row r="33" spans="1:23" x14ac:dyDescent="0.25">
      <c r="A33" s="83" t="s">
        <v>1078</v>
      </c>
      <c r="B33" s="42">
        <v>1</v>
      </c>
      <c r="C33" s="60">
        <f t="shared" ref="C33:E34" si="59">IFERROR(C13/$B33,0)</f>
        <v>33.416205523030442</v>
      </c>
      <c r="D33" s="60">
        <f t="shared" si="59"/>
        <v>32977.539255226016</v>
      </c>
      <c r="E33" s="60">
        <f t="shared" si="59"/>
        <v>832.04076976761598</v>
      </c>
      <c r="F33" s="60">
        <f t="shared" si="54"/>
        <v>32.094704692593702</v>
      </c>
      <c r="G33" s="60">
        <f t="shared" ref="G33:M34" si="60">IFERROR(G13/$B33,0)</f>
        <v>832.04076976761598</v>
      </c>
      <c r="H33" s="60">
        <f t="shared" si="60"/>
        <v>2417.6151003361829</v>
      </c>
      <c r="I33" s="60">
        <f t="shared" si="60"/>
        <v>1035.0982350776396</v>
      </c>
      <c r="J33" s="60">
        <f t="shared" si="60"/>
        <v>822.59255696962987</v>
      </c>
      <c r="K33" s="60">
        <f t="shared" si="60"/>
        <v>2369.490543496172</v>
      </c>
      <c r="L33" s="60">
        <f t="shared" si="60"/>
        <v>2.4259884007429587E-2</v>
      </c>
      <c r="M33" s="60">
        <f t="shared" si="60"/>
        <v>58559.644839970337</v>
      </c>
      <c r="N33" s="60">
        <f t="shared" si="56"/>
        <v>2.4259873957134203E-2</v>
      </c>
      <c r="O33" s="60">
        <f>IFERROR(O13/$B33,0)</f>
        <v>100.23374509355818</v>
      </c>
      <c r="P33" s="60">
        <f>IFERROR(P13/$B33,0)</f>
        <v>26172575.959088787</v>
      </c>
      <c r="Q33" s="60">
        <f t="shared" si="57"/>
        <v>100.23336122743837</v>
      </c>
      <c r="R33" s="60">
        <f t="shared" ref="R33:W34" si="61">IFERROR(R13/$B33,0)</f>
        <v>6.1875061875061865</v>
      </c>
      <c r="S33" s="60">
        <f t="shared" si="61"/>
        <v>4936.8400432230201</v>
      </c>
      <c r="T33" s="60">
        <f t="shared" si="61"/>
        <v>6187506.1875061868</v>
      </c>
      <c r="U33" s="60">
        <f t="shared" si="61"/>
        <v>6.1875061875061865</v>
      </c>
      <c r="V33" s="60">
        <f t="shared" si="61"/>
        <v>0</v>
      </c>
      <c r="W33" s="60">
        <f t="shared" si="61"/>
        <v>0</v>
      </c>
    </row>
    <row r="34" spans="1:23" x14ac:dyDescent="0.25">
      <c r="A34" s="83" t="s">
        <v>1079</v>
      </c>
      <c r="B34" s="42">
        <v>1</v>
      </c>
      <c r="C34" s="60">
        <f t="shared" si="59"/>
        <v>253.06205081485976</v>
      </c>
      <c r="D34" s="60">
        <f t="shared" si="59"/>
        <v>61882791.580629945</v>
      </c>
      <c r="E34" s="60">
        <f t="shared" si="59"/>
        <v>69.071138288983377</v>
      </c>
      <c r="F34" s="60">
        <f t="shared" si="54"/>
        <v>54.260998780364837</v>
      </c>
      <c r="G34" s="60">
        <f t="shared" si="60"/>
        <v>69.071138288983377</v>
      </c>
      <c r="H34" s="60">
        <f t="shared" si="60"/>
        <v>382.39054789694626</v>
      </c>
      <c r="I34" s="60">
        <f t="shared" si="60"/>
        <v>111.59387524929282</v>
      </c>
      <c r="J34" s="60">
        <f t="shared" si="60"/>
        <v>68.78417722172972</v>
      </c>
      <c r="K34" s="60">
        <f t="shared" si="60"/>
        <v>417.17967427788506</v>
      </c>
      <c r="L34" s="60">
        <f t="shared" si="60"/>
        <v>45.523995413457463</v>
      </c>
      <c r="M34" s="60">
        <f t="shared" si="60"/>
        <v>5263.1582298030798</v>
      </c>
      <c r="N34" s="60">
        <f t="shared" si="56"/>
        <v>45.133609613275205</v>
      </c>
      <c r="O34" s="60">
        <f>IFERROR(O14/$B34,0)</f>
        <v>1014.4138057661308</v>
      </c>
      <c r="P34" s="60">
        <f>IFERROR(P14/$B34,0)</f>
        <v>2404605.4162412821</v>
      </c>
      <c r="Q34" s="60">
        <f t="shared" si="57"/>
        <v>1013.9860426771854</v>
      </c>
      <c r="R34" s="60">
        <f t="shared" si="61"/>
        <v>57.272784545511819</v>
      </c>
      <c r="S34" s="60">
        <f t="shared" si="61"/>
        <v>8484856.9697054531</v>
      </c>
      <c r="T34" s="60">
        <f t="shared" si="61"/>
        <v>11454556909.102364</v>
      </c>
      <c r="U34" s="60">
        <f t="shared" si="61"/>
        <v>57.272784545511819</v>
      </c>
      <c r="V34" s="60">
        <f t="shared" si="61"/>
        <v>0</v>
      </c>
      <c r="W34" s="60">
        <f t="shared" si="61"/>
        <v>0</v>
      </c>
    </row>
    <row r="35" spans="1:23" x14ac:dyDescent="0.25">
      <c r="A35" s="83" t="s">
        <v>1080</v>
      </c>
      <c r="B35" s="42">
        <v>1</v>
      </c>
      <c r="C35" s="60">
        <f>IFERROR(C30/$B35,0)</f>
        <v>27.737096702613943</v>
      </c>
      <c r="D35" s="60">
        <f>IFERROR(D30/$B35,0)</f>
        <v>33408.618199738776</v>
      </c>
      <c r="E35" s="60">
        <f>IFERROR(E30/$B35,0)</f>
        <v>41025.680378965822</v>
      </c>
      <c r="F35" s="60">
        <f t="shared" si="54"/>
        <v>27.695378355061891</v>
      </c>
      <c r="G35" s="60">
        <f t="shared" ref="G35:M35" si="62">IFERROR(G30/$B35,0)</f>
        <v>41025.680378965822</v>
      </c>
      <c r="H35" s="60">
        <f t="shared" si="62"/>
        <v>141405.36751285254</v>
      </c>
      <c r="I35" s="60">
        <f t="shared" si="62"/>
        <v>59564.675644899995</v>
      </c>
      <c r="J35" s="60">
        <f t="shared" si="62"/>
        <v>42131.626308336345</v>
      </c>
      <c r="K35" s="60">
        <f t="shared" si="62"/>
        <v>116283.00777471159</v>
      </c>
      <c r="L35" s="60">
        <f t="shared" si="62"/>
        <v>2.4577006674193373E-2</v>
      </c>
      <c r="M35" s="60">
        <f t="shared" si="62"/>
        <v>4791243.6687248461</v>
      </c>
      <c r="N35" s="60">
        <f t="shared" si="56"/>
        <v>2.4577006548123961E-2</v>
      </c>
      <c r="O35" s="60">
        <f>IFERROR(O30/$B35,0)</f>
        <v>86.800356575864811</v>
      </c>
      <c r="P35" s="60">
        <f>IFERROR(P30/$B35,0)</f>
        <v>2149367969.8246093</v>
      </c>
      <c r="Q35" s="60">
        <f t="shared" si="57"/>
        <v>86.800353070508038</v>
      </c>
      <c r="R35" s="60">
        <f t="shared" ref="R35:W35" si="63">IFERROR(R30/$B35,0)</f>
        <v>5.2900816259594876</v>
      </c>
      <c r="S35" s="60">
        <f t="shared" si="63"/>
        <v>10789.934460499304</v>
      </c>
      <c r="T35" s="60">
        <f t="shared" si="63"/>
        <v>13564311.861434583</v>
      </c>
      <c r="U35" s="60">
        <f t="shared" si="63"/>
        <v>5.2900816259594876</v>
      </c>
      <c r="V35" s="60">
        <f t="shared" si="63"/>
        <v>5.610765919459638</v>
      </c>
      <c r="W35" s="60">
        <f t="shared" si="63"/>
        <v>7053.4421679459838</v>
      </c>
    </row>
    <row r="36" spans="1:23" x14ac:dyDescent="0.25">
      <c r="A36" s="83" t="s">
        <v>1081</v>
      </c>
      <c r="B36" s="42">
        <v>1</v>
      </c>
      <c r="C36" s="60">
        <f>IFERROR(C26/$B36,0)</f>
        <v>10.828135828135826</v>
      </c>
      <c r="D36" s="60">
        <f>IFERROR(D26/$B36,0)</f>
        <v>5414.7442633051196</v>
      </c>
      <c r="E36" s="60">
        <f>IFERROR(E26/$B36,0)</f>
        <v>224.34271546453976</v>
      </c>
      <c r="F36" s="60">
        <f t="shared" si="54"/>
        <v>10.309900472168325</v>
      </c>
      <c r="G36" s="60">
        <f t="shared" ref="G36:M36" si="64">IFERROR(G26/$B36,0)</f>
        <v>224.34271546453976</v>
      </c>
      <c r="H36" s="60">
        <f t="shared" si="64"/>
        <v>770.15146648771974</v>
      </c>
      <c r="I36" s="60">
        <f t="shared" si="64"/>
        <v>303.72390811323294</v>
      </c>
      <c r="J36" s="60">
        <f t="shared" si="64"/>
        <v>219.29749330036228</v>
      </c>
      <c r="K36" s="60">
        <f t="shared" si="64"/>
        <v>718.93999404645012</v>
      </c>
      <c r="L36" s="60">
        <f t="shared" si="64"/>
        <v>3.9833495986775274E-3</v>
      </c>
      <c r="M36" s="60">
        <f t="shared" si="64"/>
        <v>14970.306093330935</v>
      </c>
      <c r="N36" s="60">
        <f t="shared" si="56"/>
        <v>3.983348538774697E-3</v>
      </c>
      <c r="O36" s="60">
        <f>IFERROR(O26/$B36,0)</f>
        <v>27.879584728009558</v>
      </c>
      <c r="P36" s="60">
        <f>IFERROR(P26/$B36,0)</f>
        <v>6726168.9964791108</v>
      </c>
      <c r="Q36" s="60">
        <f t="shared" si="57"/>
        <v>27.879469169208807</v>
      </c>
      <c r="R36" s="60">
        <f t="shared" ref="R36:W36" si="65">IFERROR(R26/$B36,0)</f>
        <v>1.7656068611482623</v>
      </c>
      <c r="S36" s="60">
        <f t="shared" si="65"/>
        <v>6129.4051634384705</v>
      </c>
      <c r="T36" s="60">
        <f t="shared" si="65"/>
        <v>7676551.5702098357</v>
      </c>
      <c r="U36" s="60">
        <f t="shared" si="65"/>
        <v>1.7656068611482623</v>
      </c>
      <c r="V36" s="60">
        <f t="shared" si="65"/>
        <v>0</v>
      </c>
      <c r="W36" s="60">
        <f t="shared" si="65"/>
        <v>0</v>
      </c>
    </row>
    <row r="37" spans="1:23" x14ac:dyDescent="0.25">
      <c r="A37" s="83" t="s">
        <v>1082</v>
      </c>
      <c r="B37" s="42">
        <v>1</v>
      </c>
      <c r="C37" s="60">
        <f>IFERROR(C22/$B37,0)</f>
        <v>17.192765284368335</v>
      </c>
      <c r="D37" s="60">
        <f>IFERROR(D22/$B37,0)</f>
        <v>36149.353497595701</v>
      </c>
      <c r="E37" s="60">
        <f>IFERROR(E22/$B37,0)</f>
        <v>7439.7034636576955</v>
      </c>
      <c r="F37" s="60">
        <f t="shared" si="54"/>
        <v>17.144989890003572</v>
      </c>
      <c r="G37" s="60">
        <f t="shared" ref="G37:M37" si="66">IFERROR(G22/$B37,0)</f>
        <v>7439.7034636576955</v>
      </c>
      <c r="H37" s="60">
        <f t="shared" si="66"/>
        <v>11003.280661533448</v>
      </c>
      <c r="I37" s="60">
        <f t="shared" si="66"/>
        <v>7204.0810041236573</v>
      </c>
      <c r="J37" s="60">
        <f t="shared" si="66"/>
        <v>6183.149918483803</v>
      </c>
      <c r="K37" s="60">
        <f t="shared" si="66"/>
        <v>6479.1451671959358</v>
      </c>
      <c r="L37" s="60">
        <f t="shared" si="66"/>
        <v>2.6593225043504851E-2</v>
      </c>
      <c r="M37" s="60">
        <f t="shared" si="66"/>
        <v>243504.34594848426</v>
      </c>
      <c r="N37" s="60">
        <f t="shared" si="56"/>
        <v>2.6593222139246458E-2</v>
      </c>
      <c r="O37" s="60">
        <f>IFERROR(O22/$B37,0)</f>
        <v>54.496016749895716</v>
      </c>
      <c r="P37" s="60">
        <f>IFERROR(P22/$B37,0)</f>
        <v>105988117.52027689</v>
      </c>
      <c r="Q37" s="60">
        <f t="shared" si="57"/>
        <v>54.495988729638512</v>
      </c>
      <c r="R37" s="60">
        <f t="shared" ref="R37:W37" si="67">IFERROR(R22/$B37,0)</f>
        <v>3.3397623759069539</v>
      </c>
      <c r="S37" s="60">
        <f t="shared" si="67"/>
        <v>1547.4626618587329</v>
      </c>
      <c r="T37" s="60">
        <f t="shared" si="67"/>
        <v>1964566.1034746787</v>
      </c>
      <c r="U37" s="60">
        <f t="shared" si="67"/>
        <v>3.3397623759069539</v>
      </c>
      <c r="V37" s="60">
        <f t="shared" si="67"/>
        <v>0</v>
      </c>
      <c r="W37" s="60">
        <f t="shared" si="67"/>
        <v>0</v>
      </c>
    </row>
    <row r="38" spans="1:23" x14ac:dyDescent="0.25">
      <c r="A38" s="83" t="s">
        <v>1083</v>
      </c>
      <c r="B38" s="42">
        <v>1</v>
      </c>
      <c r="C38" s="60">
        <f>IFERROR(C2/$B38,0)</f>
        <v>8.5312585312585316</v>
      </c>
      <c r="D38" s="60">
        <f>IFERROR(D2/$B38,0)</f>
        <v>33105.690314507985</v>
      </c>
      <c r="E38" s="60">
        <f>IFERROR(E2/$B38,0)</f>
        <v>1171.1928967994074</v>
      </c>
      <c r="F38" s="60">
        <f t="shared" si="54"/>
        <v>8.4673978837590838</v>
      </c>
      <c r="G38" s="60">
        <f t="shared" ref="G38:M38" si="68">IFERROR(G2/$B38,0)</f>
        <v>1171.1928967994074</v>
      </c>
      <c r="H38" s="60">
        <f t="shared" si="68"/>
        <v>4028.5060175334456</v>
      </c>
      <c r="I38" s="60">
        <f t="shared" si="68"/>
        <v>1656.8835906962897</v>
      </c>
      <c r="J38" s="60">
        <f t="shared" si="68"/>
        <v>1160.1337997803114</v>
      </c>
      <c r="K38" s="60">
        <f t="shared" si="68"/>
        <v>3899.1883135736875</v>
      </c>
      <c r="L38" s="60">
        <f t="shared" si="68"/>
        <v>2.4354158168080221E-2</v>
      </c>
      <c r="M38" s="60">
        <f t="shared" si="68"/>
        <v>87241.919863629271</v>
      </c>
      <c r="N38" s="60">
        <f t="shared" si="56"/>
        <v>2.4354151369458007E-2</v>
      </c>
      <c r="O38" s="60">
        <f>IFERROR(O2/$B38,0)</f>
        <v>32.953560030758851</v>
      </c>
      <c r="P38" s="60">
        <f>IFERROR(P2/$B38,0)</f>
        <v>39379413.162600324</v>
      </c>
      <c r="Q38" s="60">
        <f t="shared" si="57"/>
        <v>32.953532454517287</v>
      </c>
      <c r="R38" s="60">
        <f t="shared" ref="R38:W38" si="69">IFERROR(R2/$B38,0)</f>
        <v>1.8882852670318606</v>
      </c>
      <c r="S38" s="60">
        <f t="shared" si="69"/>
        <v>69936.491371550394</v>
      </c>
      <c r="T38" s="60">
        <f t="shared" si="69"/>
        <v>94414263.351593032</v>
      </c>
      <c r="U38" s="60">
        <f t="shared" si="69"/>
        <v>1.8882852670318606</v>
      </c>
      <c r="V38" s="60">
        <f t="shared" si="69"/>
        <v>0</v>
      </c>
      <c r="W38" s="60">
        <f t="shared" si="69"/>
        <v>0</v>
      </c>
    </row>
    <row r="39" spans="1:23" x14ac:dyDescent="0.25">
      <c r="A39" s="83" t="s">
        <v>1084</v>
      </c>
      <c r="B39" s="42">
        <v>1</v>
      </c>
      <c r="C39" s="60">
        <f>IFERROR(C11/$B39,0)</f>
        <v>0</v>
      </c>
      <c r="D39" s="60">
        <f>IFERROR(D11/$B39,0)</f>
        <v>0</v>
      </c>
      <c r="E39" s="60">
        <f>IFERROR(E11/$B39,0)</f>
        <v>580.09677936798175</v>
      </c>
      <c r="F39" s="60">
        <f t="shared" si="54"/>
        <v>580.09677936798175</v>
      </c>
      <c r="G39" s="60">
        <f t="shared" ref="G39:M39" si="70">IFERROR(G11/$B39,0)</f>
        <v>580.09677936798175</v>
      </c>
      <c r="H39" s="60">
        <f t="shared" si="70"/>
        <v>3328.3535364031809</v>
      </c>
      <c r="I39" s="60">
        <f t="shared" si="70"/>
        <v>884.81151679874029</v>
      </c>
      <c r="J39" s="60">
        <f t="shared" si="70"/>
        <v>528.17922437669768</v>
      </c>
      <c r="K39" s="60">
        <f t="shared" si="70"/>
        <v>3964.5824067060535</v>
      </c>
      <c r="L39" s="60">
        <f t="shared" si="70"/>
        <v>0</v>
      </c>
      <c r="M39" s="60">
        <f t="shared" si="70"/>
        <v>38980.432279493936</v>
      </c>
      <c r="N39" s="60">
        <f t="shared" si="56"/>
        <v>38980.432279493936</v>
      </c>
      <c r="O39" s="60">
        <f>IFERROR(O11/$B39,0)</f>
        <v>0</v>
      </c>
      <c r="P39" s="60">
        <f>IFERROR(P11/$B39,0)</f>
        <v>17729809.520673044</v>
      </c>
      <c r="Q39" s="60">
        <f t="shared" si="57"/>
        <v>17729809.520673044</v>
      </c>
      <c r="R39" s="60">
        <f t="shared" ref="R39:W39" si="71">IFERROR(R11/$B39,0)</f>
        <v>0</v>
      </c>
      <c r="S39" s="60">
        <f t="shared" si="71"/>
        <v>0</v>
      </c>
      <c r="T39" s="60">
        <f t="shared" si="71"/>
        <v>0</v>
      </c>
      <c r="U39" s="60">
        <f t="shared" si="71"/>
        <v>0</v>
      </c>
      <c r="V39" s="60">
        <f t="shared" si="71"/>
        <v>0</v>
      </c>
      <c r="W39" s="60">
        <f t="shared" si="71"/>
        <v>0</v>
      </c>
    </row>
    <row r="40" spans="1:23" x14ac:dyDescent="0.25">
      <c r="A40" s="83" t="s">
        <v>1085</v>
      </c>
      <c r="B40" s="42">
        <v>1</v>
      </c>
      <c r="C40" s="60">
        <f>IFERROR(C4/$B40,0)</f>
        <v>0</v>
      </c>
      <c r="D40" s="60">
        <f>IFERROR(D4/$B40,0)</f>
        <v>0</v>
      </c>
      <c r="E40" s="60">
        <f>IFERROR(E4/$B40,0)</f>
        <v>63226.929005186066</v>
      </c>
      <c r="F40" s="60">
        <f t="shared" si="54"/>
        <v>63226.929005186066</v>
      </c>
      <c r="G40" s="60">
        <f t="shared" ref="G40:M40" si="72">IFERROR(G4/$B40,0)</f>
        <v>63226.929005186066</v>
      </c>
      <c r="H40" s="60">
        <f t="shared" si="72"/>
        <v>408720.34156996419</v>
      </c>
      <c r="I40" s="60">
        <f t="shared" si="72"/>
        <v>105671.13645591572</v>
      </c>
      <c r="J40" s="60">
        <f t="shared" si="72"/>
        <v>61058.403800489687</v>
      </c>
      <c r="K40" s="60">
        <f t="shared" si="72"/>
        <v>503176.98850924254</v>
      </c>
      <c r="L40" s="60">
        <f t="shared" si="72"/>
        <v>0</v>
      </c>
      <c r="M40" s="60">
        <f t="shared" si="72"/>
        <v>4602115.6291699177</v>
      </c>
      <c r="N40" s="60">
        <f t="shared" si="56"/>
        <v>4602115.6291699177</v>
      </c>
      <c r="O40" s="60">
        <f>IFERROR(O4/$B40,0)</f>
        <v>0</v>
      </c>
      <c r="P40" s="60">
        <f>IFERROR(P4/$B40,0)</f>
        <v>2102387249.1727059</v>
      </c>
      <c r="Q40" s="60">
        <f t="shared" si="57"/>
        <v>2102387249.1727059</v>
      </c>
      <c r="R40" s="60">
        <f t="shared" ref="R40:W40" si="73">IFERROR(R4/$B40,0)</f>
        <v>0</v>
      </c>
      <c r="S40" s="60">
        <f t="shared" si="73"/>
        <v>0</v>
      </c>
      <c r="T40" s="60">
        <f t="shared" si="73"/>
        <v>0</v>
      </c>
      <c r="U40" s="60">
        <f t="shared" si="73"/>
        <v>0</v>
      </c>
      <c r="V40" s="60">
        <f t="shared" si="73"/>
        <v>0</v>
      </c>
      <c r="W40" s="60">
        <f t="shared" si="73"/>
        <v>0</v>
      </c>
    </row>
    <row r="41" spans="1:23" x14ac:dyDescent="0.25">
      <c r="A41" s="83" t="s">
        <v>1086</v>
      </c>
      <c r="B41" s="84">
        <v>0.99987999999999999</v>
      </c>
      <c r="C41" s="60">
        <f>IFERROR(C8/$B41,0)</f>
        <v>3497.7058306814401</v>
      </c>
      <c r="D41" s="60">
        <f>IFERROR(D8/$B41,0)</f>
        <v>12780330.101012204</v>
      </c>
      <c r="E41" s="60">
        <f>IFERROR(E8/$B41,0)</f>
        <v>93.849522088651867</v>
      </c>
      <c r="F41" s="60">
        <f t="shared" si="54"/>
        <v>91.396523480360159</v>
      </c>
      <c r="G41" s="60">
        <f t="shared" ref="G41:M41" si="74">IFERROR(G8/$B41,0)</f>
        <v>93.849522088651867</v>
      </c>
      <c r="H41" s="60">
        <f t="shared" si="74"/>
        <v>792.12582461189209</v>
      </c>
      <c r="I41" s="60">
        <f t="shared" si="74"/>
        <v>191.29838664377203</v>
      </c>
      <c r="J41" s="60">
        <f t="shared" si="74"/>
        <v>105.82591874682973</v>
      </c>
      <c r="K41" s="60">
        <f t="shared" si="74"/>
        <v>1118.7295712348532</v>
      </c>
      <c r="L41" s="60">
        <f t="shared" si="74"/>
        <v>9.4018332728717109</v>
      </c>
      <c r="M41" s="60">
        <f t="shared" si="74"/>
        <v>8438.224573760368</v>
      </c>
      <c r="N41" s="60">
        <f t="shared" si="56"/>
        <v>9.3913694497062732</v>
      </c>
      <c r="O41" s="60">
        <f>IFERROR(O8/$B41,0)</f>
        <v>12292.912504039006</v>
      </c>
      <c r="P41" s="60">
        <f>IFERROR(P8/$B41,0)</f>
        <v>3886697.3794290186</v>
      </c>
      <c r="Q41" s="60">
        <f t="shared" si="57"/>
        <v>12254.154854874141</v>
      </c>
      <c r="R41" s="60">
        <f t="shared" ref="R41:W41" si="75">IFERROR(R8/$B41,0)</f>
        <v>714.51944645800074</v>
      </c>
      <c r="S41" s="60">
        <f t="shared" si="75"/>
        <v>204148.41327371448</v>
      </c>
      <c r="T41" s="60">
        <f t="shared" si="75"/>
        <v>357259723.22900039</v>
      </c>
      <c r="U41" s="60">
        <f t="shared" si="75"/>
        <v>714.51944645800074</v>
      </c>
      <c r="V41" s="60">
        <f t="shared" si="75"/>
        <v>0</v>
      </c>
      <c r="W41" s="60">
        <f t="shared" si="75"/>
        <v>0</v>
      </c>
    </row>
    <row r="42" spans="1:23" x14ac:dyDescent="0.25">
      <c r="A42" s="83" t="s">
        <v>1087</v>
      </c>
      <c r="B42" s="42">
        <v>0.97898250799999997</v>
      </c>
      <c r="C42" s="60">
        <f>IFERROR(C19/$B42,0)</f>
        <v>0</v>
      </c>
      <c r="D42" s="60">
        <f>IFERROR(D19/$B42,0)</f>
        <v>0</v>
      </c>
      <c r="E42" s="60">
        <f>IFERROR(E19/$B42,0)</f>
        <v>285087.12246204237</v>
      </c>
      <c r="F42" s="60">
        <f t="shared" si="54"/>
        <v>285087.12246204237</v>
      </c>
      <c r="G42" s="60">
        <f t="shared" ref="G42:M42" si="76">IFERROR(G19/$B42,0)</f>
        <v>285087.12246204237</v>
      </c>
      <c r="H42" s="60">
        <f t="shared" si="76"/>
        <v>2914931.6177665619</v>
      </c>
      <c r="I42" s="60">
        <f t="shared" si="76"/>
        <v>695381.58553980023</v>
      </c>
      <c r="J42" s="60">
        <f t="shared" si="76"/>
        <v>345542.2077846746</v>
      </c>
      <c r="K42" s="60">
        <f t="shared" si="76"/>
        <v>4528796.1783437338</v>
      </c>
      <c r="L42" s="60">
        <f t="shared" si="76"/>
        <v>0</v>
      </c>
      <c r="M42" s="60">
        <f t="shared" si="76"/>
        <v>28478019.636746611</v>
      </c>
      <c r="N42" s="60">
        <f t="shared" si="56"/>
        <v>28478019.636746611</v>
      </c>
      <c r="O42" s="60">
        <f>IFERROR(O19/$B42,0)</f>
        <v>0</v>
      </c>
      <c r="P42" s="60">
        <f>IFERROR(P19/$B42,0)</f>
        <v>13143701370.806126</v>
      </c>
      <c r="Q42" s="60">
        <f t="shared" si="57"/>
        <v>13143701370.806126</v>
      </c>
      <c r="R42" s="60">
        <f t="shared" ref="R42:W42" si="77">IFERROR(R19/$B42,0)</f>
        <v>0</v>
      </c>
      <c r="S42" s="60">
        <f t="shared" si="77"/>
        <v>0</v>
      </c>
      <c r="T42" s="60">
        <f t="shared" si="77"/>
        <v>0</v>
      </c>
      <c r="U42" s="60">
        <f t="shared" si="77"/>
        <v>0</v>
      </c>
      <c r="V42" s="60">
        <f t="shared" si="77"/>
        <v>0</v>
      </c>
      <c r="W42" s="60">
        <f t="shared" si="77"/>
        <v>0</v>
      </c>
    </row>
    <row r="43" spans="1:23" x14ac:dyDescent="0.25">
      <c r="A43" s="83" t="s">
        <v>1088</v>
      </c>
      <c r="B43" s="42">
        <v>2.0897492E-2</v>
      </c>
      <c r="C43" s="60">
        <f>IFERROR(C28/$B43,0)</f>
        <v>0</v>
      </c>
      <c r="D43" s="60">
        <f>IFERROR(D28/$B43,0)</f>
        <v>0</v>
      </c>
      <c r="E43" s="60">
        <f>IFERROR(E28/$B43,0)</f>
        <v>221.0886603704372</v>
      </c>
      <c r="F43" s="60">
        <f t="shared" si="54"/>
        <v>221.08866037043717</v>
      </c>
      <c r="G43" s="60">
        <f t="shared" ref="G43:M43" si="78">IFERROR(G28/$B43,0)</f>
        <v>221.0886603704372</v>
      </c>
      <c r="H43" s="60">
        <f t="shared" si="78"/>
        <v>2595.7840439491315</v>
      </c>
      <c r="I43" s="60">
        <f t="shared" si="78"/>
        <v>594.65353938788348</v>
      </c>
      <c r="J43" s="60">
        <f t="shared" si="78"/>
        <v>294.4183439669074</v>
      </c>
      <c r="K43" s="60">
        <f t="shared" si="78"/>
        <v>3865.0033181049453</v>
      </c>
      <c r="L43" s="60">
        <f t="shared" si="78"/>
        <v>0</v>
      </c>
      <c r="M43" s="60">
        <f t="shared" si="78"/>
        <v>22452.038777189449</v>
      </c>
      <c r="N43" s="60">
        <f t="shared" si="56"/>
        <v>22452.038777189449</v>
      </c>
      <c r="O43" s="60">
        <f>IFERROR(O28/$B43,0)</f>
        <v>0</v>
      </c>
      <c r="P43" s="60">
        <f>IFERROR(P28/$B43,0)</f>
        <v>10343074.043424351</v>
      </c>
      <c r="Q43" s="60">
        <f t="shared" si="57"/>
        <v>10343074.043424351</v>
      </c>
      <c r="R43" s="60">
        <f t="shared" ref="R43:W43" si="79">IFERROR(R28/$B43,0)</f>
        <v>0</v>
      </c>
      <c r="S43" s="60">
        <f t="shared" si="79"/>
        <v>0</v>
      </c>
      <c r="T43" s="60">
        <f t="shared" si="79"/>
        <v>0</v>
      </c>
      <c r="U43" s="60">
        <f t="shared" si="79"/>
        <v>0</v>
      </c>
      <c r="V43" s="60">
        <f t="shared" si="79"/>
        <v>0</v>
      </c>
      <c r="W43" s="60">
        <f t="shared" si="79"/>
        <v>0</v>
      </c>
    </row>
    <row r="44" spans="1:23" x14ac:dyDescent="0.25">
      <c r="A44" s="83" t="s">
        <v>1089</v>
      </c>
      <c r="B44" s="42">
        <v>0.99987999999999999</v>
      </c>
      <c r="C44" s="60">
        <f>IFERROR(C15/$B44,0)</f>
        <v>6664.2679140794298</v>
      </c>
      <c r="D44" s="60">
        <f>IFERROR(D15/$B44,0)</f>
        <v>4548160178.2961578</v>
      </c>
      <c r="E44" s="60">
        <f>IFERROR(E15/$B44,0)</f>
        <v>9294.2763421128675</v>
      </c>
      <c r="F44" s="60">
        <f t="shared" si="54"/>
        <v>3881.2747428256675</v>
      </c>
      <c r="G44" s="60">
        <f t="shared" ref="G44:M44" si="80">IFERROR(G15/$B44,0)</f>
        <v>9294.2763421128675</v>
      </c>
      <c r="H44" s="60">
        <f t="shared" si="80"/>
        <v>30103.979139360086</v>
      </c>
      <c r="I44" s="60">
        <f t="shared" si="80"/>
        <v>13313.923509503984</v>
      </c>
      <c r="J44" s="60">
        <f t="shared" si="80"/>
        <v>9437.8965063397754</v>
      </c>
      <c r="K44" s="60">
        <f t="shared" si="80"/>
        <v>8833.4031350659479</v>
      </c>
      <c r="L44" s="60">
        <f t="shared" si="80"/>
        <v>3345.8481398119961</v>
      </c>
      <c r="M44" s="60">
        <f t="shared" si="80"/>
        <v>2635500.2778320047</v>
      </c>
      <c r="N44" s="60">
        <f t="shared" si="56"/>
        <v>3341.6058690465638</v>
      </c>
      <c r="O44" s="60">
        <f>IFERROR(O15/$B44,0)</f>
        <v>25869.877312647368</v>
      </c>
      <c r="P44" s="60">
        <f>IFERROR(P15/$B44,0)</f>
        <v>1933583118.4094107</v>
      </c>
      <c r="Q44" s="60">
        <f t="shared" si="57"/>
        <v>25869.53119791775</v>
      </c>
      <c r="R44" s="60">
        <f t="shared" ref="R44:W44" si="81">IFERROR(R15/$B44,0)</f>
        <v>1471.5156328328251</v>
      </c>
      <c r="S44" s="60">
        <f t="shared" si="81"/>
        <v>1664891.8662651118</v>
      </c>
      <c r="T44" s="60">
        <f t="shared" si="81"/>
        <v>2102165189.7611787</v>
      </c>
      <c r="U44" s="60">
        <f t="shared" si="81"/>
        <v>1471.5156328328251</v>
      </c>
      <c r="V44" s="60">
        <f t="shared" si="81"/>
        <v>0</v>
      </c>
      <c r="W44" s="60">
        <f t="shared" si="81"/>
        <v>0</v>
      </c>
    </row>
    <row r="45" spans="1:23" x14ac:dyDescent="0.25">
      <c r="A45" s="82" t="s">
        <v>20</v>
      </c>
      <c r="B45" s="57" t="s">
        <v>1259</v>
      </c>
      <c r="C45" s="58">
        <f t="shared" ref="C45:F45" si="82">IFERROR(IF(AND(C46&lt;&gt;0,C47&lt;&gt;0),1/SUM(1/C46,1/C47),IF(AND(C46&lt;&gt;0,C47=0),1/(1/C46),IF(AND(C46=0,C47&lt;&gt;0),1/(1/C47),IF(AND(C46=0,C47=0),".")))),".")</f>
        <v>97.924010967489224</v>
      </c>
      <c r="D45" s="58">
        <f t="shared" si="82"/>
        <v>8407102.9351316337</v>
      </c>
      <c r="E45" s="58">
        <f t="shared" si="82"/>
        <v>20.217331639174333</v>
      </c>
      <c r="F45" s="59">
        <f t="shared" si="82"/>
        <v>16.75753986967046</v>
      </c>
      <c r="G45" s="58">
        <f t="shared" ref="G45:N45" si="83">IFERROR(IF(AND(G46&lt;&gt;0,G47&lt;&gt;0),1/SUM(1/G46,1/G47),IF(AND(G46&lt;&gt;0,G47=0),1/(1/G46),IF(AND(G46=0,G47&lt;&gt;0),1/(1/G47),IF(AND(G46=0,G47=0),".")))),".")</f>
        <v>20.217331639174333</v>
      </c>
      <c r="H45" s="58">
        <f t="shared" si="83"/>
        <v>186.33403914730457</v>
      </c>
      <c r="I45" s="58">
        <f t="shared" si="83"/>
        <v>45.525835898016986</v>
      </c>
      <c r="J45" s="58">
        <f t="shared" si="83"/>
        <v>22.778370987215361</v>
      </c>
      <c r="K45" s="58">
        <f t="shared" si="83"/>
        <v>283.50605084826083</v>
      </c>
      <c r="L45" s="58">
        <f t="shared" si="83"/>
        <v>6.1846743768940566</v>
      </c>
      <c r="M45" s="58">
        <f t="shared" si="83"/>
        <v>1885.5875451140328</v>
      </c>
      <c r="N45" s="59">
        <f t="shared" si="83"/>
        <v>6.1644551365679119</v>
      </c>
      <c r="O45" s="58">
        <f t="shared" ref="O45:Q45" si="84">IFERROR(IF(AND(O46&lt;&gt;0,O47&lt;&gt;0),1/SUM(1/O46,1/O47),IF(AND(O46&lt;&gt;0,O47=0),1/(1/O46),IF(AND(O46=0,O47&lt;&gt;0),1/(1/O47),IF(AND(O46=0,O47=0),".")))),".")</f>
        <v>204.36006281210891</v>
      </c>
      <c r="P45" s="58">
        <f t="shared" si="84"/>
        <v>870486.12726632808</v>
      </c>
      <c r="Q45" s="59">
        <f t="shared" si="84"/>
        <v>204.31209739169793</v>
      </c>
      <c r="R45" s="58">
        <f t="shared" ref="R45:W45" si="85">IFERROR(IF(AND(R46&lt;&gt;0,R47&lt;&gt;0),1/SUM(1/R46,1/R47),IF(AND(R46&lt;&gt;0,R47=0),1/(1/R46),IF(AND(R46=0,R47&lt;&gt;0),1/(1/R47),IF(AND(R46=0,R47=0),".")))),".")</f>
        <v>13.722786000013722</v>
      </c>
      <c r="S45" s="58">
        <f t="shared" si="85"/>
        <v>486.04909090957699</v>
      </c>
      <c r="T45" s="58">
        <f t="shared" si="85"/>
        <v>623763.00000062375</v>
      </c>
      <c r="U45" s="58">
        <f t="shared" si="85"/>
        <v>13.722786000013722</v>
      </c>
      <c r="V45" s="58">
        <f t="shared" si="85"/>
        <v>3.9604000000039608</v>
      </c>
      <c r="W45" s="58">
        <f t="shared" si="85"/>
        <v>5082.5133333384156</v>
      </c>
    </row>
    <row r="46" spans="1:23" x14ac:dyDescent="0.25">
      <c r="A46" s="83" t="s">
        <v>1101</v>
      </c>
      <c r="B46" s="42">
        <v>1</v>
      </c>
      <c r="C46" s="60">
        <f>IFERROR(C10/$B46,0)</f>
        <v>97.924010967489224</v>
      </c>
      <c r="D46" s="60">
        <f>IFERROR(D10/$B46,0)</f>
        <v>8407102.9351316337</v>
      </c>
      <c r="E46" s="60">
        <f>IFERROR(E10/$B46,0)</f>
        <v>110462.92946605638</v>
      </c>
      <c r="F46" s="60">
        <f>IF(AND(C46&lt;&gt;0,D46&lt;&gt;0,E46&lt;&gt;0),1/((1/C46)+(1/D46)+(1/E46)),IF(AND(C46&lt;&gt;0,D46&lt;&gt;0,E46=0), 1/((1/C46)+(1/D46)),IF(AND(C46&lt;&gt;0,D46=0,E46&lt;&gt;0),1/((1/C46)+(1/E46)),IF(AND(C46=0,D46&lt;&gt;0,E46&lt;&gt;0),1/((1/D46)+(1/E46)),IF(AND(C46&lt;&gt;0,D46=0,E46=0),1/((1/C46)),IF(AND(C46=0,D46&lt;&gt;0,E46=0),1/((1/D46)),IF(AND(C46=0,D46=0,E46&lt;&gt;0),1/((1/E46)),IF(AND(C46=0,D46=0,E46=0),0))))))))</f>
        <v>97.836140874341638</v>
      </c>
      <c r="G46" s="60">
        <f t="shared" ref="G46:M46" si="86">IFERROR(G10/$B46,0)</f>
        <v>110462.92946605638</v>
      </c>
      <c r="H46" s="60">
        <f t="shared" si="86"/>
        <v>474477.81208987691</v>
      </c>
      <c r="I46" s="60">
        <f t="shared" si="86"/>
        <v>147804.83266029027</v>
      </c>
      <c r="J46" s="60">
        <f t="shared" si="86"/>
        <v>99963.904491038818</v>
      </c>
      <c r="K46" s="60">
        <f t="shared" si="86"/>
        <v>242928.68555617123</v>
      </c>
      <c r="L46" s="60">
        <f t="shared" si="86"/>
        <v>6.1846743768940566</v>
      </c>
      <c r="M46" s="60">
        <f t="shared" si="86"/>
        <v>2767891.1266086698</v>
      </c>
      <c r="N46" s="60">
        <f t="shared" ref="N46:N47" si="87">IFERROR(IF(AND(L46&lt;&gt;0,M46&lt;&gt;0),1/((1/L46)+(1/M46)),IF(AND(L46&lt;&gt;0,M46=0),1/((1/L46)),IF(AND(L46=0,M46&lt;&gt;0),1/((1/M46)),IF(AND(L46=0,M46=0),0)))),0)</f>
        <v>6.1846605576685416</v>
      </c>
      <c r="O46" s="60">
        <f>IFERROR(O10/$B46,0)</f>
        <v>204.36006281210891</v>
      </c>
      <c r="P46" s="60">
        <f>IFERROR(P10/$B46,0)</f>
        <v>2003837846.8677349</v>
      </c>
      <c r="Q46" s="60">
        <f t="shared" ref="Q46:Q47" si="88">IFERROR(IF(AND(O46&lt;&gt;0,P46&lt;&gt;0),1/((1/O46)+(1/P46)),IF(AND(O46&lt;&gt;0,P46=0),1/((1/O46)),IF(AND(O46=0,P46&lt;&gt;0),1/((1/P46)),IF(AND(O46=0,P46=0),0)))),0)</f>
        <v>204.36004197058668</v>
      </c>
      <c r="R46" s="60">
        <f t="shared" ref="R46:W46" si="89">IFERROR(R10/$B46,0)</f>
        <v>13.722786000013722</v>
      </c>
      <c r="S46" s="60">
        <f t="shared" si="89"/>
        <v>486.04909090957699</v>
      </c>
      <c r="T46" s="60">
        <f t="shared" si="89"/>
        <v>623763.00000062375</v>
      </c>
      <c r="U46" s="60">
        <f t="shared" si="89"/>
        <v>13.722786000013722</v>
      </c>
      <c r="V46" s="60">
        <f t="shared" si="89"/>
        <v>3.9604000000039603</v>
      </c>
      <c r="W46" s="60">
        <f t="shared" si="89"/>
        <v>5082.5133333384156</v>
      </c>
    </row>
    <row r="47" spans="1:23" x14ac:dyDescent="0.25">
      <c r="A47" s="83" t="s">
        <v>1075</v>
      </c>
      <c r="B47" s="85">
        <v>0.94399</v>
      </c>
      <c r="C47" s="60">
        <f>IFERROR(C6/$B$47,0)</f>
        <v>0</v>
      </c>
      <c r="D47" s="60">
        <f>IFERROR(D6/$B$47,0)</f>
        <v>0</v>
      </c>
      <c r="E47" s="60">
        <f>IFERROR(E6/$B$47,0)</f>
        <v>20.22103256692872</v>
      </c>
      <c r="F47" s="60">
        <f>IF(AND(C47&lt;&gt;0,D47&lt;&gt;0,E47&lt;&gt;0),1/((1/C47)+(1/D47)+(1/E47)),IF(AND(C47&lt;&gt;0,D47&lt;&gt;0,E47=0), 1/((1/C47)+(1/D47)),IF(AND(C47&lt;&gt;0,D47=0,E47&lt;&gt;0),1/((1/C47)+(1/E47)),IF(AND(C47=0,D47&lt;&gt;0,E47&lt;&gt;0),1/((1/D47)+(1/E47)),IF(AND(C47&lt;&gt;0,D47=0,E47=0),1/((1/C47)),IF(AND(C47=0,D47&lt;&gt;0,E47=0),1/((1/D47)),IF(AND(C47=0,D47=0,E47&lt;&gt;0),1/((1/E47)),IF(AND(C47=0,D47=0,E47=0),0))))))))</f>
        <v>20.22103256692872</v>
      </c>
      <c r="G47" s="60">
        <f t="shared" ref="G47:M47" si="90">IFERROR(G6/$B$47,0)</f>
        <v>20.22103256692872</v>
      </c>
      <c r="H47" s="60">
        <f t="shared" si="90"/>
        <v>186.40724386581994</v>
      </c>
      <c r="I47" s="60">
        <f t="shared" si="90"/>
        <v>45.539862775773507</v>
      </c>
      <c r="J47" s="60">
        <f t="shared" si="90"/>
        <v>22.783562585559046</v>
      </c>
      <c r="K47" s="60">
        <f t="shared" si="90"/>
        <v>283.83729864403995</v>
      </c>
      <c r="L47" s="60">
        <f t="shared" si="90"/>
        <v>0</v>
      </c>
      <c r="M47" s="60">
        <f t="shared" si="90"/>
        <v>1886.8729512132168</v>
      </c>
      <c r="N47" s="60">
        <f t="shared" si="87"/>
        <v>1886.872951213217</v>
      </c>
      <c r="O47" s="60">
        <f>IFERROR(O6/$B$47,0)</f>
        <v>0</v>
      </c>
      <c r="P47" s="60">
        <f>IFERROR(P6/$B$47,0)</f>
        <v>870864.43902148469</v>
      </c>
      <c r="Q47" s="60">
        <f t="shared" si="88"/>
        <v>870864.43902148469</v>
      </c>
      <c r="R47" s="60">
        <f t="shared" ref="R47:W47" si="91">IFERROR(R6/$B$47,0)</f>
        <v>0</v>
      </c>
      <c r="S47" s="60">
        <f t="shared" si="91"/>
        <v>0</v>
      </c>
      <c r="T47" s="60">
        <f t="shared" si="91"/>
        <v>0</v>
      </c>
      <c r="U47" s="60">
        <f t="shared" si="91"/>
        <v>0</v>
      </c>
      <c r="V47" s="60">
        <f t="shared" si="91"/>
        <v>0</v>
      </c>
      <c r="W47" s="60">
        <f t="shared" si="91"/>
        <v>0</v>
      </c>
    </row>
    <row r="48" spans="1:23" x14ac:dyDescent="0.25">
      <c r="A48" s="82" t="s">
        <v>33</v>
      </c>
      <c r="B48" s="57" t="s">
        <v>1259</v>
      </c>
      <c r="C48" s="58">
        <f>1/SUM(1/C49,1/C52,1/C54,1/C58,1/C59,1/C61)</f>
        <v>0.73181481925598102</v>
      </c>
      <c r="D48" s="58">
        <f>1/SUM(1/D49,1/D52,1/D54,1/D58,1/D59,1/D61)</f>
        <v>15992.788377692157</v>
      </c>
      <c r="E48" s="58">
        <f>1/SUM(1/E49,1/E50,1/E51,1/E52,1/E53,1/E54,1/E55,1/E56,1/E57,1/E58,1/E59,1/E60,1/E61,1/E62)</f>
        <v>5.8233436891918258</v>
      </c>
      <c r="F48" s="59">
        <f>1/SUM(1/F49,1/F50,1/F51,1/F52,1/F53,1/F54,1/F55,1/F56,1/F57,1/F58,1/F59,1/F60,1/F61,1/F62)</f>
        <v>0.65008892261551587</v>
      </c>
      <c r="G48" s="58">
        <f t="shared" ref="G48:Q48" si="92">1/SUM(1/G49,1/G50,1/G51,1/G52,1/G53,1/G54,1/G55,1/G56,1/G57,1/G58,1/G59,1/G60,1/G61,1/G62)</f>
        <v>5.8233436891918258</v>
      </c>
      <c r="H48" s="58">
        <f t="shared" si="92"/>
        <v>65.045067228667804</v>
      </c>
      <c r="I48" s="58">
        <f t="shared" si="92"/>
        <v>15.241892327897313</v>
      </c>
      <c r="J48" s="58">
        <f t="shared" si="92"/>
        <v>7.5063061866296481</v>
      </c>
      <c r="K48" s="58">
        <f t="shared" si="92"/>
        <v>95.410370598785363</v>
      </c>
      <c r="L48" s="58">
        <f>1/SUM(1/L49,1/L52,1/L54,1/L58,1/L59,1/L61)</f>
        <v>1.1765074040104287E-2</v>
      </c>
      <c r="M48" s="58">
        <f t="shared" si="92"/>
        <v>579.50310574570813</v>
      </c>
      <c r="N48" s="59">
        <f t="shared" si="92"/>
        <v>1.1761616796128022E-2</v>
      </c>
      <c r="O48" s="58">
        <f>1/SUM(1/O49,1/O52,1/O54,1/O58,1/O59,1/O61)</f>
        <v>2.0397513861258432</v>
      </c>
      <c r="P48" s="58">
        <f t="shared" si="92"/>
        <v>267431.39628679934</v>
      </c>
      <c r="Q48" s="59">
        <f t="shared" si="92"/>
        <v>2.0397358286631011</v>
      </c>
      <c r="R48" s="58">
        <f>1/SUM(1/R49,1/R52,1/R54,1/R58,1/R59,1/R61)</f>
        <v>0.12956642127594076</v>
      </c>
      <c r="S48" s="58">
        <f>1/SUM(1/S49,1/S52,1/S54,1/S58,1/S59,1/S61)</f>
        <v>31.494065161980998</v>
      </c>
      <c r="T48" s="58">
        <f>1/SUM(1/T49,1/T52,1/T54,1/T58,1/T59,1/T61)</f>
        <v>39474.00382431053</v>
      </c>
      <c r="U48" s="58">
        <f>1/SUM(1/U49,1/U52,1/U54,1/U58,1/U59,1/U61)</f>
        <v>0.12956642127594076</v>
      </c>
      <c r="V48" s="58">
        <f>1/SUM(1/V61)</f>
        <v>7.5845406531048307E-2</v>
      </c>
      <c r="W48" s="58">
        <f>1/SUM(1/W61)</f>
        <v>94.82768103457758</v>
      </c>
    </row>
    <row r="49" spans="1:23" x14ac:dyDescent="0.25">
      <c r="A49" s="83" t="s">
        <v>1103</v>
      </c>
      <c r="B49" s="42">
        <v>1</v>
      </c>
      <c r="C49" s="60">
        <f>IFERROR(C23/$B49,0)</f>
        <v>6.1536946782848414</v>
      </c>
      <c r="D49" s="60">
        <f>IFERROR(D23/$B49,0)</f>
        <v>33584.221974770255</v>
      </c>
      <c r="E49" s="60">
        <f>IFERROR(E23/$B49,0)</f>
        <v>2272.616412875137</v>
      </c>
      <c r="F49" s="60">
        <f t="shared" ref="F49:F62" si="93">IF(AND(C49&lt;&gt;0,D49&lt;&gt;0,E49&lt;&gt;0),1/((1/C49)+(1/D49)+(1/E49)),IF(AND(C49&lt;&gt;0,D49&lt;&gt;0,E49=0), 1/((1/C49)+(1/D49)),IF(AND(C49&lt;&gt;0,D49=0,E49&lt;&gt;0),1/((1/C49)+(1/E49)),IF(AND(C49=0,D49&lt;&gt;0,E49&lt;&gt;0),1/((1/D49)+(1/E49)),IF(AND(C49&lt;&gt;0,D49=0,E49=0),1/((1/C49)),IF(AND(C49=0,D49&lt;&gt;0,E49=0),1/((1/D49)),IF(AND(C49=0,D49=0,E49&lt;&gt;0),1/((1/E49)),IF(AND(C49=0,D49=0,E49=0),0))))))))</f>
        <v>6.135955695067878</v>
      </c>
      <c r="G49" s="60">
        <f t="shared" ref="G49:M49" si="94">IFERROR(G23/$B49,0)</f>
        <v>2272.616412875137</v>
      </c>
      <c r="H49" s="60">
        <f t="shared" si="94"/>
        <v>12928.936859156907</v>
      </c>
      <c r="I49" s="60">
        <f t="shared" si="94"/>
        <v>3622.7751382346282</v>
      </c>
      <c r="J49" s="60">
        <f t="shared" si="94"/>
        <v>2128.7009701147585</v>
      </c>
      <c r="K49" s="60">
        <f t="shared" si="94"/>
        <v>14539.874433530853</v>
      </c>
      <c r="L49" s="60">
        <f t="shared" si="94"/>
        <v>2.4706189363676651E-2</v>
      </c>
      <c r="M49" s="60">
        <f t="shared" si="94"/>
        <v>157679.04368795292</v>
      </c>
      <c r="N49" s="60">
        <f t="shared" ref="N49:N62" si="95">IFERROR(IF(AND(L49&lt;&gt;0,M49&lt;&gt;0),1/((1/L49)+(1/M49)),IF(AND(L49&lt;&gt;0,M49=0),1/((1/L49)),IF(AND(L49=0,M49&lt;&gt;0),1/((1/M49)),IF(AND(L49=0,M49=0),0)))),0)</f>
        <v>2.4706185492549059E-2</v>
      </c>
      <c r="O49" s="60">
        <f>IFERROR(O23/$B49,0)</f>
        <v>16.191604976651703</v>
      </c>
      <c r="P49" s="60">
        <f>IFERROR(P23/$B49,0)</f>
        <v>71645598.994153649</v>
      </c>
      <c r="Q49" s="60">
        <f t="shared" ref="Q49:Q62" si="96">IFERROR(IF(AND(O49&lt;&gt;0,P49&lt;&gt;0),1/((1/O49)+(1/P49)),IF(AND(O49&lt;&gt;0,P49=0),1/((1/O49)),IF(AND(O49=0,P49&lt;&gt;0),1/((1/P49)),IF(AND(O49=0,P49=0),0)))),0)</f>
        <v>16.191601317417696</v>
      </c>
      <c r="R49" s="60">
        <f t="shared" ref="R49:W49" si="97">IFERROR(R23/$B49,0)</f>
        <v>0.99712329928157262</v>
      </c>
      <c r="S49" s="60">
        <f t="shared" si="97"/>
        <v>462.01223357652816</v>
      </c>
      <c r="T49" s="60">
        <f t="shared" si="97"/>
        <v>586543.11722445441</v>
      </c>
      <c r="U49" s="60">
        <f t="shared" si="97"/>
        <v>0.99712329928157262</v>
      </c>
      <c r="V49" s="60">
        <f t="shared" si="97"/>
        <v>0</v>
      </c>
      <c r="W49" s="60">
        <f t="shared" si="97"/>
        <v>0</v>
      </c>
    </row>
    <row r="50" spans="1:23" x14ac:dyDescent="0.25">
      <c r="A50" s="83" t="s">
        <v>1090</v>
      </c>
      <c r="B50" s="42">
        <v>1</v>
      </c>
      <c r="C50" s="60">
        <f>IFERROR(C25/$B50,0)</f>
        <v>0</v>
      </c>
      <c r="D50" s="60">
        <f>IFERROR(D25/$B50,0)</f>
        <v>414750411.4664939</v>
      </c>
      <c r="E50" s="60">
        <f>IFERROR(E25/$B50,0)</f>
        <v>30522.284661417398</v>
      </c>
      <c r="F50" s="60">
        <f t="shared" si="93"/>
        <v>30520.038632766733</v>
      </c>
      <c r="G50" s="60">
        <f t="shared" ref="G50:M50" si="98">IFERROR(G25/$B50,0)</f>
        <v>30522.284661417398</v>
      </c>
      <c r="H50" s="60">
        <f t="shared" si="98"/>
        <v>265310.1306088625</v>
      </c>
      <c r="I50" s="60">
        <f t="shared" si="98"/>
        <v>64067.3531466075</v>
      </c>
      <c r="J50" s="60">
        <f t="shared" si="98"/>
        <v>33839.579690208884</v>
      </c>
      <c r="K50" s="60">
        <f t="shared" si="98"/>
        <v>408577.39893056965</v>
      </c>
      <c r="L50" s="60">
        <f t="shared" si="98"/>
        <v>305.11060259344009</v>
      </c>
      <c r="M50" s="60">
        <f t="shared" si="98"/>
        <v>2767891.1266086698</v>
      </c>
      <c r="N50" s="60">
        <f t="shared" si="95"/>
        <v>305.07697330135323</v>
      </c>
      <c r="O50" s="60">
        <f>IFERROR(O25/$B50,0)</f>
        <v>0</v>
      </c>
      <c r="P50" s="60">
        <f>IFERROR(P25/$B50,0)</f>
        <v>1278195570.0950336</v>
      </c>
      <c r="Q50" s="60">
        <f t="shared" si="96"/>
        <v>1278195570.0950336</v>
      </c>
      <c r="R50" s="60">
        <f t="shared" ref="R50:W50" si="99">IFERROR(R25/$B50,0)</f>
        <v>0</v>
      </c>
      <c r="S50" s="60">
        <f t="shared" si="99"/>
        <v>0</v>
      </c>
      <c r="T50" s="60">
        <f t="shared" si="99"/>
        <v>0</v>
      </c>
      <c r="U50" s="60">
        <f t="shared" si="99"/>
        <v>0</v>
      </c>
      <c r="V50" s="60">
        <f t="shared" si="99"/>
        <v>0</v>
      </c>
      <c r="W50" s="60">
        <f t="shared" si="99"/>
        <v>0</v>
      </c>
    </row>
    <row r="51" spans="1:23" x14ac:dyDescent="0.25">
      <c r="A51" s="83" t="s">
        <v>1076</v>
      </c>
      <c r="B51" s="42">
        <v>1</v>
      </c>
      <c r="C51" s="60">
        <f>IFERROR(C21/$B51,0)</f>
        <v>0</v>
      </c>
      <c r="D51" s="60">
        <f>IFERROR(D21/$B51,0)</f>
        <v>68031002.74414432</v>
      </c>
      <c r="E51" s="60">
        <f>IFERROR(E21/$B51,0)</f>
        <v>729497282.13614905</v>
      </c>
      <c r="F51" s="60">
        <f t="shared" si="93"/>
        <v>62227801.250082642</v>
      </c>
      <c r="G51" s="60">
        <f t="shared" ref="G51:M51" si="100">IFERROR(G21/$B51,0)</f>
        <v>729497282.13614905</v>
      </c>
      <c r="H51" s="60">
        <f t="shared" si="100"/>
        <v>1756596841.4356649</v>
      </c>
      <c r="I51" s="60">
        <f t="shared" si="100"/>
        <v>927702706.88321078</v>
      </c>
      <c r="J51" s="60">
        <f t="shared" si="100"/>
        <v>731995560.49962926</v>
      </c>
      <c r="K51" s="60">
        <f t="shared" si="100"/>
        <v>941597813.50613093</v>
      </c>
      <c r="L51" s="60">
        <f t="shared" si="100"/>
        <v>50.04691898654989</v>
      </c>
      <c r="M51" s="60">
        <f t="shared" si="100"/>
        <v>113827475325.03108</v>
      </c>
      <c r="N51" s="60">
        <f t="shared" si="95"/>
        <v>50.04691896454559</v>
      </c>
      <c r="O51" s="60">
        <f>IFERROR(O21/$B51,0)</f>
        <v>0</v>
      </c>
      <c r="P51" s="60">
        <f>IFERROR(P21/$B51,0)</f>
        <v>88853779814920.344</v>
      </c>
      <c r="Q51" s="60">
        <f t="shared" si="96"/>
        <v>88853779814920.344</v>
      </c>
      <c r="R51" s="60">
        <f t="shared" ref="R51:W51" si="101">IFERROR(R21/$B51,0)</f>
        <v>0</v>
      </c>
      <c r="S51" s="60">
        <f t="shared" si="101"/>
        <v>0</v>
      </c>
      <c r="T51" s="60">
        <f t="shared" si="101"/>
        <v>0</v>
      </c>
      <c r="U51" s="60">
        <f t="shared" si="101"/>
        <v>0</v>
      </c>
      <c r="V51" s="60">
        <f t="shared" si="101"/>
        <v>0</v>
      </c>
      <c r="W51" s="60">
        <f t="shared" si="101"/>
        <v>0</v>
      </c>
    </row>
    <row r="52" spans="1:23" x14ac:dyDescent="0.25">
      <c r="A52" s="83" t="s">
        <v>1077</v>
      </c>
      <c r="B52" s="85">
        <v>0.99980000000000002</v>
      </c>
      <c r="C52" s="60">
        <f>IFERROR(C17/$B52,0)</f>
        <v>5263.3242822682569</v>
      </c>
      <c r="D52" s="60">
        <f>IFERROR(D17/$B52,0)</f>
        <v>12172716.887568066</v>
      </c>
      <c r="E52" s="60">
        <f>IFERROR(E17/$B52,0)</f>
        <v>55.646979822233433</v>
      </c>
      <c r="F52" s="60">
        <f t="shared" si="93"/>
        <v>55.064553048234686</v>
      </c>
      <c r="G52" s="60">
        <f t="shared" ref="G52:M52" si="102">IFERROR(G17/$B52,0)</f>
        <v>55.646979822233433</v>
      </c>
      <c r="H52" s="60">
        <f t="shared" si="102"/>
        <v>392.06428327281657</v>
      </c>
      <c r="I52" s="60">
        <f t="shared" si="102"/>
        <v>98.22630531622552</v>
      </c>
      <c r="J52" s="60">
        <f t="shared" si="102"/>
        <v>57.460509377609029</v>
      </c>
      <c r="K52" s="60">
        <f t="shared" si="102"/>
        <v>491.26344134603067</v>
      </c>
      <c r="L52" s="60">
        <f t="shared" si="102"/>
        <v>8.9548433999932993</v>
      </c>
      <c r="M52" s="60">
        <f t="shared" si="102"/>
        <v>4407.947644495739</v>
      </c>
      <c r="N52" s="60">
        <f t="shared" si="95"/>
        <v>8.9366883194729212</v>
      </c>
      <c r="O52" s="60">
        <f>IFERROR(O17/$B52,0)</f>
        <v>18090.910529815708</v>
      </c>
      <c r="P52" s="60">
        <f>IFERROR(P17/$B52,0)</f>
        <v>2014732.0909134978</v>
      </c>
      <c r="Q52" s="60">
        <f t="shared" si="96"/>
        <v>17929.912231604096</v>
      </c>
      <c r="R52" s="60">
        <f t="shared" ref="R52:W52" si="103">IFERROR(R17/$B52,0)</f>
        <v>1058.227970786055</v>
      </c>
      <c r="S52" s="60">
        <f t="shared" si="103"/>
        <v>1197292.8468481274</v>
      </c>
      <c r="T52" s="60">
        <f t="shared" si="103"/>
        <v>1511754243.9800785</v>
      </c>
      <c r="U52" s="60">
        <f t="shared" si="103"/>
        <v>1058.227970786055</v>
      </c>
      <c r="V52" s="60">
        <f t="shared" si="103"/>
        <v>0</v>
      </c>
      <c r="W52" s="60">
        <f t="shared" si="103"/>
        <v>0</v>
      </c>
    </row>
    <row r="53" spans="1:23" x14ac:dyDescent="0.25">
      <c r="A53" s="83" t="s">
        <v>1091</v>
      </c>
      <c r="B53" s="42">
        <v>2.0000000000000001E-4</v>
      </c>
      <c r="C53" s="60">
        <f>IFERROR(C5/$B53,0)</f>
        <v>0</v>
      </c>
      <c r="D53" s="60">
        <f>IFERROR(D5/$B53,0)</f>
        <v>0</v>
      </c>
      <c r="E53" s="60">
        <f>IFERROR(E5/$B53,0)</f>
        <v>909543419.85485828</v>
      </c>
      <c r="F53" s="60">
        <f t="shared" si="93"/>
        <v>909543419.85485828</v>
      </c>
      <c r="G53" s="60">
        <f t="shared" ref="G53:M53" si="104">IFERROR(G5/$B53,0)</f>
        <v>909543419.85485828</v>
      </c>
      <c r="H53" s="60">
        <f t="shared" si="104"/>
        <v>3305844835.2185683</v>
      </c>
      <c r="I53" s="60">
        <f t="shared" si="104"/>
        <v>1504065186.5870926</v>
      </c>
      <c r="J53" s="60">
        <f t="shared" si="104"/>
        <v>975994080.66617215</v>
      </c>
      <c r="K53" s="60">
        <f t="shared" si="104"/>
        <v>1249957331.3794837</v>
      </c>
      <c r="L53" s="60">
        <f t="shared" si="104"/>
        <v>0</v>
      </c>
      <c r="M53" s="60">
        <f t="shared" si="104"/>
        <v>728668307951.90356</v>
      </c>
      <c r="N53" s="60">
        <f t="shared" si="95"/>
        <v>728668307951.90356</v>
      </c>
      <c r="O53" s="60">
        <f>IFERROR(O5/$B53,0)</f>
        <v>0</v>
      </c>
      <c r="P53" s="60">
        <f>IFERROR(P5/$B53,0)</f>
        <v>438196886786566.13</v>
      </c>
      <c r="Q53" s="60">
        <f t="shared" si="96"/>
        <v>438196886786566.13</v>
      </c>
      <c r="R53" s="60">
        <f t="shared" ref="R53:W53" si="105">IFERROR(R5/$B53,0)</f>
        <v>0</v>
      </c>
      <c r="S53" s="60">
        <f t="shared" si="105"/>
        <v>0</v>
      </c>
      <c r="T53" s="60">
        <f t="shared" si="105"/>
        <v>0</v>
      </c>
      <c r="U53" s="60">
        <f t="shared" si="105"/>
        <v>0</v>
      </c>
      <c r="V53" s="60">
        <f t="shared" si="105"/>
        <v>0</v>
      </c>
      <c r="W53" s="60">
        <f t="shared" si="105"/>
        <v>0</v>
      </c>
    </row>
    <row r="54" spans="1:23" x14ac:dyDescent="0.25">
      <c r="A54" s="83" t="s">
        <v>1092</v>
      </c>
      <c r="B54" s="42">
        <v>0.99999979999999999</v>
      </c>
      <c r="C54" s="60">
        <f>IFERROR(C9/$B54,0)</f>
        <v>10331.434416067856</v>
      </c>
      <c r="D54" s="60">
        <f>IFERROR(D9/$B54,0)</f>
        <v>15301474.551291775</v>
      </c>
      <c r="E54" s="60">
        <f>IFERROR(E9/$B54,0)</f>
        <v>6.5306943578554408</v>
      </c>
      <c r="F54" s="60">
        <f t="shared" si="93"/>
        <v>6.5265660069607438</v>
      </c>
      <c r="G54" s="60">
        <f t="shared" ref="G54:M54" si="106">IFERROR(G9/$B54,0)</f>
        <v>6.5306943578554408</v>
      </c>
      <c r="H54" s="60">
        <f t="shared" si="106"/>
        <v>78.779188914997903</v>
      </c>
      <c r="I54" s="60">
        <f t="shared" si="106"/>
        <v>18.170895944045903</v>
      </c>
      <c r="J54" s="60">
        <f t="shared" si="106"/>
        <v>8.6828894409987587</v>
      </c>
      <c r="K54" s="60">
        <f t="shared" si="106"/>
        <v>120.75953826132647</v>
      </c>
      <c r="L54" s="60">
        <f t="shared" si="106"/>
        <v>11.256509919797834</v>
      </c>
      <c r="M54" s="60">
        <f t="shared" si="106"/>
        <v>671.44318245374143</v>
      </c>
      <c r="N54" s="60">
        <f t="shared" si="95"/>
        <v>11.070909989125566</v>
      </c>
      <c r="O54" s="60">
        <f>IFERROR(O9/$B54,0)</f>
        <v>32445.611837326174</v>
      </c>
      <c r="P54" s="60">
        <f>IFERROR(P9/$B54,0)</f>
        <v>310271.72866612405</v>
      </c>
      <c r="Q54" s="60">
        <f t="shared" si="96"/>
        <v>29373.932633840286</v>
      </c>
      <c r="R54" s="60">
        <f t="shared" ref="R54:W54" si="107">IFERROR(R9/$B54,0)</f>
        <v>1933.0567129731082</v>
      </c>
      <c r="S54" s="60">
        <f t="shared" si="107"/>
        <v>552301.91799231654</v>
      </c>
      <c r="T54" s="60">
        <f t="shared" si="107"/>
        <v>966528356.48655415</v>
      </c>
      <c r="U54" s="60">
        <f t="shared" si="107"/>
        <v>1933.0567129731082</v>
      </c>
      <c r="V54" s="60">
        <f t="shared" si="107"/>
        <v>0</v>
      </c>
      <c r="W54" s="60">
        <f t="shared" si="107"/>
        <v>0</v>
      </c>
    </row>
    <row r="55" spans="1:23" x14ac:dyDescent="0.25">
      <c r="A55" s="83" t="s">
        <v>1093</v>
      </c>
      <c r="B55" s="42">
        <v>1.9999999999999999E-7</v>
      </c>
      <c r="C55" s="60">
        <f>IFERROR(C24/$B55,0)</f>
        <v>0</v>
      </c>
      <c r="D55" s="60">
        <f>IFERROR(D24/$B55,0)</f>
        <v>0</v>
      </c>
      <c r="E55" s="60">
        <f>IFERROR(E24/$B55,0)</f>
        <v>77102439678.851715</v>
      </c>
      <c r="F55" s="60">
        <f t="shared" si="93"/>
        <v>77102439678.851715</v>
      </c>
      <c r="G55" s="60">
        <f t="shared" ref="G55:M55" si="108">IFERROR(G24/$B55,0)</f>
        <v>77102439678.851715</v>
      </c>
      <c r="H55" s="60">
        <f t="shared" si="108"/>
        <v>691530373255.93469</v>
      </c>
      <c r="I55" s="60">
        <f t="shared" si="108"/>
        <v>168576834736.49194</v>
      </c>
      <c r="J55" s="60">
        <f t="shared" si="108"/>
        <v>84557553098.594528</v>
      </c>
      <c r="K55" s="60">
        <f t="shared" si="108"/>
        <v>1049680976479.7858</v>
      </c>
      <c r="L55" s="60">
        <f t="shared" si="108"/>
        <v>0</v>
      </c>
      <c r="M55" s="60">
        <f t="shared" si="108"/>
        <v>7046462758216.2109</v>
      </c>
      <c r="N55" s="60">
        <f t="shared" si="95"/>
        <v>7046462758216.2119</v>
      </c>
      <c r="O55" s="60">
        <f>IFERROR(O24/$B55,0)</f>
        <v>0</v>
      </c>
      <c r="P55" s="60">
        <f>IFERROR(P24/$B55,0)</f>
        <v>3243987070814546</v>
      </c>
      <c r="Q55" s="60">
        <f t="shared" si="96"/>
        <v>3243987070814546</v>
      </c>
      <c r="R55" s="60">
        <f t="shared" ref="R55:W55" si="109">IFERROR(R24/$B55,0)</f>
        <v>0</v>
      </c>
      <c r="S55" s="60">
        <f t="shared" si="109"/>
        <v>0</v>
      </c>
      <c r="T55" s="60">
        <f t="shared" si="109"/>
        <v>0</v>
      </c>
      <c r="U55" s="60">
        <f t="shared" si="109"/>
        <v>0</v>
      </c>
      <c r="V55" s="60">
        <f t="shared" si="109"/>
        <v>0</v>
      </c>
      <c r="W55" s="60">
        <f t="shared" si="109"/>
        <v>0</v>
      </c>
    </row>
    <row r="56" spans="1:23" x14ac:dyDescent="0.25">
      <c r="A56" s="83" t="s">
        <v>1094</v>
      </c>
      <c r="B56" s="42">
        <v>0.99979000004200003</v>
      </c>
      <c r="C56" s="60">
        <f>IFERROR(C20/$B56,0)</f>
        <v>0</v>
      </c>
      <c r="D56" s="60">
        <f>IFERROR(D20/$B56,0)</f>
        <v>0</v>
      </c>
      <c r="E56" s="60">
        <f>IFERROR(E20/$B56,0)</f>
        <v>124300.08256611328</v>
      </c>
      <c r="F56" s="60">
        <f t="shared" si="93"/>
        <v>124300.0825661133</v>
      </c>
      <c r="G56" s="60">
        <f t="shared" ref="G56:M56" si="110">IFERROR(G20/$B56,0)</f>
        <v>124300.08256611328</v>
      </c>
      <c r="H56" s="60">
        <f t="shared" si="110"/>
        <v>1304571.0827579938</v>
      </c>
      <c r="I56" s="60">
        <f t="shared" si="110"/>
        <v>308580.21372703003</v>
      </c>
      <c r="J56" s="60">
        <f t="shared" si="110"/>
        <v>152177.03541073049</v>
      </c>
      <c r="K56" s="60">
        <f t="shared" si="110"/>
        <v>2023542.5000928484</v>
      </c>
      <c r="L56" s="60">
        <f t="shared" si="110"/>
        <v>0</v>
      </c>
      <c r="M56" s="60">
        <f t="shared" si="110"/>
        <v>12575741.120747866</v>
      </c>
      <c r="N56" s="60">
        <f t="shared" si="95"/>
        <v>12575741.120747864</v>
      </c>
      <c r="O56" s="60">
        <f>IFERROR(O20/$B56,0)</f>
        <v>0</v>
      </c>
      <c r="P56" s="60">
        <f>IFERROR(P20/$B56,0)</f>
        <v>5804188209.5759392</v>
      </c>
      <c r="Q56" s="60">
        <f t="shared" si="96"/>
        <v>5804188209.5759392</v>
      </c>
      <c r="R56" s="60">
        <f t="shared" ref="R56:W56" si="111">IFERROR(R20/$B56,0)</f>
        <v>0</v>
      </c>
      <c r="S56" s="60">
        <f t="shared" si="111"/>
        <v>0</v>
      </c>
      <c r="T56" s="60">
        <f t="shared" si="111"/>
        <v>0</v>
      </c>
      <c r="U56" s="60">
        <f t="shared" si="111"/>
        <v>0</v>
      </c>
      <c r="V56" s="60">
        <f t="shared" si="111"/>
        <v>0</v>
      </c>
      <c r="W56" s="60">
        <f t="shared" si="111"/>
        <v>0</v>
      </c>
    </row>
    <row r="57" spans="1:23" x14ac:dyDescent="0.25">
      <c r="A57" s="83" t="s">
        <v>1095</v>
      </c>
      <c r="B57" s="42">
        <v>2.0999995799999999E-4</v>
      </c>
      <c r="C57" s="60">
        <f>IFERROR(C29/$B57,0)</f>
        <v>0</v>
      </c>
      <c r="D57" s="60">
        <f>IFERROR(D29/$B57,0)</f>
        <v>0</v>
      </c>
      <c r="E57" s="60">
        <f>IFERROR(E29/$B57,0)</f>
        <v>17258.731076942448</v>
      </c>
      <c r="F57" s="60">
        <f t="shared" si="93"/>
        <v>17258.731076942448</v>
      </c>
      <c r="G57" s="60">
        <f t="shared" ref="G57:M57" si="112">IFERROR(G29/$B57,0)</f>
        <v>17258.731076942448</v>
      </c>
      <c r="H57" s="60">
        <f t="shared" si="112"/>
        <v>194966.27187235258</v>
      </c>
      <c r="I57" s="60">
        <f t="shared" si="112"/>
        <v>45806.932954784403</v>
      </c>
      <c r="J57" s="60">
        <f t="shared" si="112"/>
        <v>22325.587379737357</v>
      </c>
      <c r="K57" s="60">
        <f t="shared" si="112"/>
        <v>290309.07757884776</v>
      </c>
      <c r="L57" s="60">
        <f t="shared" si="112"/>
        <v>0</v>
      </c>
      <c r="M57" s="60">
        <f t="shared" si="112"/>
        <v>1728378.0033512749</v>
      </c>
      <c r="N57" s="60">
        <f t="shared" si="95"/>
        <v>1728378.0033512749</v>
      </c>
      <c r="O57" s="60">
        <f>IFERROR(O29/$B57,0)</f>
        <v>0</v>
      </c>
      <c r="P57" s="60">
        <f>IFERROR(P29/$B57,0)</f>
        <v>796556818.9358052</v>
      </c>
      <c r="Q57" s="60">
        <f t="shared" si="96"/>
        <v>796556818.9358052</v>
      </c>
      <c r="R57" s="60">
        <f t="shared" ref="R57:W57" si="113">IFERROR(R29/$B57,0)</f>
        <v>0</v>
      </c>
      <c r="S57" s="60">
        <f t="shared" si="113"/>
        <v>0</v>
      </c>
      <c r="T57" s="60">
        <f t="shared" si="113"/>
        <v>0</v>
      </c>
      <c r="U57" s="60">
        <f t="shared" si="113"/>
        <v>0</v>
      </c>
      <c r="V57" s="60">
        <f t="shared" si="113"/>
        <v>0</v>
      </c>
      <c r="W57" s="60">
        <f t="shared" si="113"/>
        <v>0</v>
      </c>
    </row>
    <row r="58" spans="1:23" x14ac:dyDescent="0.25">
      <c r="A58" s="83" t="s">
        <v>1096</v>
      </c>
      <c r="B58" s="42">
        <v>1</v>
      </c>
      <c r="C58" s="60">
        <f>IFERROR(C16/$B58,0)</f>
        <v>2.42699596147872</v>
      </c>
      <c r="D58" s="60">
        <f>IFERROR(D16/$B58,0)</f>
        <v>59574.808677855865</v>
      </c>
      <c r="E58" s="60">
        <f>IFERROR(E16/$B58,0)</f>
        <v>23029.106633614458</v>
      </c>
      <c r="F58" s="60">
        <f t="shared" si="93"/>
        <v>2.4266413640879403</v>
      </c>
      <c r="G58" s="60">
        <f t="shared" ref="G58:M58" si="114">IFERROR(G16/$B58,0)</f>
        <v>23029.106633614458</v>
      </c>
      <c r="H58" s="60">
        <f t="shared" si="114"/>
        <v>31329.353333381099</v>
      </c>
      <c r="I58" s="60">
        <f t="shared" si="114"/>
        <v>22223.154839747051</v>
      </c>
      <c r="J58" s="60">
        <f t="shared" si="114"/>
        <v>20839.350816314487</v>
      </c>
      <c r="K58" s="60">
        <f t="shared" si="114"/>
        <v>20693.011941646226</v>
      </c>
      <c r="L58" s="60">
        <f t="shared" si="114"/>
        <v>4.3826130782652524E-2</v>
      </c>
      <c r="M58" s="60">
        <f t="shared" si="114"/>
        <v>1141652.4231412616</v>
      </c>
      <c r="N58" s="60">
        <f t="shared" si="95"/>
        <v>4.3826129100240585E-2</v>
      </c>
      <c r="O58" s="60">
        <f>IFERROR(O16/$B58,0)</f>
        <v>7.0457193203840047</v>
      </c>
      <c r="P58" s="60">
        <f>IFERROR(P16/$B58,0)</f>
        <v>494520394.08561069</v>
      </c>
      <c r="Q58" s="60">
        <f t="shared" si="96"/>
        <v>7.0457192199995493</v>
      </c>
      <c r="R58" s="60">
        <f t="shared" ref="R58:W58" si="115">IFERROR(R16/$B58,0)</f>
        <v>0.43584949245326604</v>
      </c>
      <c r="S58" s="60">
        <f t="shared" si="115"/>
        <v>493.12576686955123</v>
      </c>
      <c r="T58" s="60">
        <f t="shared" si="115"/>
        <v>622642.13207609439</v>
      </c>
      <c r="U58" s="60">
        <f t="shared" si="115"/>
        <v>0.43584949245326604</v>
      </c>
      <c r="V58" s="60">
        <f t="shared" si="115"/>
        <v>0</v>
      </c>
      <c r="W58" s="60">
        <f t="shared" si="115"/>
        <v>0</v>
      </c>
    </row>
    <row r="59" spans="1:23" x14ac:dyDescent="0.25">
      <c r="A59" s="83" t="s">
        <v>1097</v>
      </c>
      <c r="B59" s="42">
        <v>1</v>
      </c>
      <c r="C59" s="60">
        <f>IFERROR(C7/$B59,0)</f>
        <v>173.51712266966504</v>
      </c>
      <c r="D59" s="60">
        <f>IFERROR(D7/$B59,0)</f>
        <v>2077853.0831544846</v>
      </c>
      <c r="E59" s="60">
        <f>IFERROR(E7/$B59,0)</f>
        <v>21736.546135514403</v>
      </c>
      <c r="F59" s="60">
        <f t="shared" si="93"/>
        <v>172.12869056596418</v>
      </c>
      <c r="G59" s="60">
        <f t="shared" ref="G59:M59" si="116">IFERROR(G7/$B59,0)</f>
        <v>21736.546135514403</v>
      </c>
      <c r="H59" s="60">
        <f t="shared" si="116"/>
        <v>94113.714921380903</v>
      </c>
      <c r="I59" s="60">
        <f t="shared" si="116"/>
        <v>30371.92681817228</v>
      </c>
      <c r="J59" s="60">
        <f t="shared" si="116"/>
        <v>20168.297237121678</v>
      </c>
      <c r="K59" s="60">
        <f t="shared" si="116"/>
        <v>24386.862042847402</v>
      </c>
      <c r="L59" s="60">
        <f t="shared" si="116"/>
        <v>1.5285699272973927</v>
      </c>
      <c r="M59" s="60">
        <f t="shared" si="116"/>
        <v>849308.75628831144</v>
      </c>
      <c r="N59" s="60">
        <f t="shared" si="95"/>
        <v>1.5285671762109354</v>
      </c>
      <c r="O59" s="60">
        <f>IFERROR(O7/$B59,0)</f>
        <v>698.7248620629781</v>
      </c>
      <c r="P59" s="60">
        <f>IFERROR(P7/$B59,0)</f>
        <v>574234129.2516495</v>
      </c>
      <c r="Q59" s="60">
        <f t="shared" si="96"/>
        <v>698.72401185952629</v>
      </c>
      <c r="R59" s="60">
        <f t="shared" ref="R59:W59" si="117">IFERROR(R7/$B59,0)</f>
        <v>39.375039375039378</v>
      </c>
      <c r="S59" s="60">
        <f t="shared" si="117"/>
        <v>11250.01125001125</v>
      </c>
      <c r="T59" s="60">
        <f t="shared" si="117"/>
        <v>19687519.687519692</v>
      </c>
      <c r="U59" s="60">
        <f t="shared" si="117"/>
        <v>39.375039375039378</v>
      </c>
      <c r="V59" s="60">
        <f t="shared" si="117"/>
        <v>0</v>
      </c>
      <c r="W59" s="60">
        <f t="shared" si="117"/>
        <v>0</v>
      </c>
    </row>
    <row r="60" spans="1:23" x14ac:dyDescent="0.25">
      <c r="A60" s="83" t="s">
        <v>1098</v>
      </c>
      <c r="B60" s="86">
        <v>1.9000000000000001E-8</v>
      </c>
      <c r="C60" s="60">
        <f>IFERROR(C12/$B60,0)</f>
        <v>0</v>
      </c>
      <c r="D60" s="60">
        <f>IFERROR(D12/$B60,0)</f>
        <v>0</v>
      </c>
      <c r="E60" s="60">
        <f>IFERROR(E12/$B60,0)</f>
        <v>6197530915.6190166</v>
      </c>
      <c r="F60" s="60">
        <f t="shared" si="93"/>
        <v>6197530915.6190166</v>
      </c>
      <c r="G60" s="60">
        <f t="shared" ref="G60:M60" si="118">IFERROR(G12/$B60,0)</f>
        <v>6197530915.6190166</v>
      </c>
      <c r="H60" s="60">
        <f t="shared" si="118"/>
        <v>43216476310.399704</v>
      </c>
      <c r="I60" s="60">
        <f t="shared" si="118"/>
        <v>10761749983.177959</v>
      </c>
      <c r="J60" s="60">
        <f t="shared" si="118"/>
        <v>6224727367.9764156</v>
      </c>
      <c r="K60" s="60">
        <f t="shared" si="118"/>
        <v>55898570953.6092</v>
      </c>
      <c r="L60" s="60">
        <f t="shared" si="118"/>
        <v>0</v>
      </c>
      <c r="M60" s="60">
        <f t="shared" si="118"/>
        <v>476454323961.12097</v>
      </c>
      <c r="N60" s="60">
        <f t="shared" si="95"/>
        <v>476454323961.12097</v>
      </c>
      <c r="O60" s="60">
        <f>IFERROR(O12/$B60,0)</f>
        <v>0</v>
      </c>
      <c r="P60" s="60">
        <f>IFERROR(P12/$B60,0)</f>
        <v>218911446144298.81</v>
      </c>
      <c r="Q60" s="60">
        <f t="shared" si="96"/>
        <v>218911446144298.81</v>
      </c>
      <c r="R60" s="60">
        <f t="shared" ref="R60:W60" si="119">IFERROR(R12/$B60,0)</f>
        <v>0</v>
      </c>
      <c r="S60" s="60">
        <f t="shared" si="119"/>
        <v>0</v>
      </c>
      <c r="T60" s="60">
        <f t="shared" si="119"/>
        <v>0</v>
      </c>
      <c r="U60" s="60">
        <f t="shared" si="119"/>
        <v>0</v>
      </c>
      <c r="V60" s="60">
        <f t="shared" si="119"/>
        <v>0</v>
      </c>
      <c r="W60" s="60">
        <f t="shared" si="119"/>
        <v>0</v>
      </c>
    </row>
    <row r="61" spans="1:23" x14ac:dyDescent="0.25">
      <c r="A61" s="83" t="s">
        <v>1099</v>
      </c>
      <c r="B61" s="42">
        <v>1</v>
      </c>
      <c r="C61" s="60">
        <f>IFERROR(C18/$B61,0)</f>
        <v>1.2724588995775437</v>
      </c>
      <c r="D61" s="60">
        <f>IFERROR(D18/$B61,0)</f>
        <v>65197.941129592262</v>
      </c>
      <c r="E61" s="60">
        <f>IFERROR(E18/$B61,0)</f>
        <v>1059752.5660152568</v>
      </c>
      <c r="F61" s="60">
        <f t="shared" si="93"/>
        <v>1.2724325378669956</v>
      </c>
      <c r="G61" s="60">
        <f t="shared" ref="G61:M61" si="120">IFERROR(G18/$B61,0)</f>
        <v>1059752.5660152568</v>
      </c>
      <c r="H61" s="60">
        <f t="shared" si="120"/>
        <v>11100058.674572077</v>
      </c>
      <c r="I61" s="60">
        <f t="shared" si="120"/>
        <v>2612213.6637535729</v>
      </c>
      <c r="J61" s="60">
        <f t="shared" si="120"/>
        <v>1299248.8854555865</v>
      </c>
      <c r="K61" s="60">
        <f t="shared" si="120"/>
        <v>17262942.851735063</v>
      </c>
      <c r="L61" s="60">
        <f t="shared" si="120"/>
        <v>4.7962780882035538E-2</v>
      </c>
      <c r="M61" s="60">
        <f t="shared" si="120"/>
        <v>107468398.49123049</v>
      </c>
      <c r="N61" s="60">
        <f t="shared" si="95"/>
        <v>4.7962780860629904E-2</v>
      </c>
      <c r="O61" s="60">
        <f>IFERROR(O18/$B61,0)</f>
        <v>3.5081810782745357</v>
      </c>
      <c r="P61" s="60">
        <f>IFERROR(P18/$B61,0)</f>
        <v>49515684246.924728</v>
      </c>
      <c r="Q61" s="60">
        <f t="shared" si="96"/>
        <v>3.5081810780259817</v>
      </c>
      <c r="R61" s="60">
        <f t="shared" ref="R61:W61" si="121">IFERROR(R18/$B61,0)</f>
        <v>0.22758643448298618</v>
      </c>
      <c r="S61" s="60">
        <f t="shared" si="121"/>
        <v>36.405795134903187</v>
      </c>
      <c r="T61" s="60">
        <f t="shared" si="121"/>
        <v>45517.28689659723</v>
      </c>
      <c r="U61" s="60">
        <f t="shared" si="121"/>
        <v>0.22758643448298618</v>
      </c>
      <c r="V61" s="60">
        <f t="shared" si="121"/>
        <v>7.5845406531048307E-2</v>
      </c>
      <c r="W61" s="60">
        <f t="shared" si="121"/>
        <v>94.82768103457758</v>
      </c>
    </row>
    <row r="62" spans="1:23" x14ac:dyDescent="0.25">
      <c r="A62" s="83" t="s">
        <v>1100</v>
      </c>
      <c r="B62" s="42">
        <v>1.339E-6</v>
      </c>
      <c r="C62" s="60">
        <f>IFERROR(C27/$B62,0)</f>
        <v>0</v>
      </c>
      <c r="D62" s="60">
        <f>IFERROR(D27/$B62,0)</f>
        <v>0</v>
      </c>
      <c r="E62" s="60">
        <f>IFERROR(E27/$B62,0)</f>
        <v>5998056995.87638</v>
      </c>
      <c r="F62" s="60">
        <f t="shared" si="93"/>
        <v>5998056995.87638</v>
      </c>
      <c r="G62" s="60">
        <f t="shared" ref="G62:M62" si="122">IFERROR(G27/$B62,0)</f>
        <v>5998056995.87638</v>
      </c>
      <c r="H62" s="60">
        <f t="shared" si="122"/>
        <v>27138254754.813122</v>
      </c>
      <c r="I62" s="60">
        <f t="shared" si="122"/>
        <v>10089644932.448488</v>
      </c>
      <c r="J62" s="60">
        <f t="shared" si="122"/>
        <v>6729860155.0540352</v>
      </c>
      <c r="K62" s="60">
        <f t="shared" si="122"/>
        <v>5788012715.0766735</v>
      </c>
      <c r="L62" s="60">
        <f t="shared" si="122"/>
        <v>0</v>
      </c>
      <c r="M62" s="60">
        <f t="shared" si="122"/>
        <v>356933529331.34039</v>
      </c>
      <c r="N62" s="60">
        <f t="shared" si="95"/>
        <v>356933529331.34039</v>
      </c>
      <c r="O62" s="60">
        <f>IFERROR(O27/$B62,0)</f>
        <v>0</v>
      </c>
      <c r="P62" s="60">
        <f>IFERROR(P27/$B62,0)</f>
        <v>228040865961689.69</v>
      </c>
      <c r="Q62" s="60">
        <f t="shared" si="96"/>
        <v>228040865961689.69</v>
      </c>
      <c r="R62" s="60">
        <f t="shared" ref="R62:W62" si="123">IFERROR(R27/$B62,0)</f>
        <v>0</v>
      </c>
      <c r="S62" s="60">
        <f t="shared" si="123"/>
        <v>0</v>
      </c>
      <c r="T62" s="60">
        <f t="shared" si="123"/>
        <v>0</v>
      </c>
      <c r="U62" s="60">
        <f t="shared" si="123"/>
        <v>0</v>
      </c>
      <c r="V62" s="60">
        <f t="shared" si="123"/>
        <v>0</v>
      </c>
      <c r="W62" s="60">
        <f t="shared" si="123"/>
        <v>0</v>
      </c>
    </row>
    <row r="63" spans="1:23" x14ac:dyDescent="0.25">
      <c r="A63" s="82" t="s">
        <v>35</v>
      </c>
      <c r="B63" s="57" t="s">
        <v>1259</v>
      </c>
      <c r="C63" s="58">
        <f>1/SUM(1/C66,1/C68,1/C72,1/C73,1/C75)</f>
        <v>0.83059106358585622</v>
      </c>
      <c r="D63" s="58">
        <f>1/SUM(1/D66,1/D68,1/D72,1/D73,1/D75)</f>
        <v>30532.210573284447</v>
      </c>
      <c r="E63" s="58">
        <f>1/SUM(1/E64,1/E65,1/E66,1/E67,1/E68,1/E69,1/E70,1/E71,1/E72,1/E73,1/E74,1/E75,1/E76)</f>
        <v>5.8383037365748134</v>
      </c>
      <c r="F63" s="59">
        <f>1/SUM(1/F64,1/F65,1/F66,1/F67,1/F68,1/F69,1/F70,1/F71,1/F72,1/F73,1/F74,1/F75,1/F76)</f>
        <v>0.7271260846241876</v>
      </c>
      <c r="G63" s="58">
        <f t="shared" ref="G63:Q63" si="124">1/SUM(1/G64,1/G65,1/G66,1/G67,1/G68,1/G69,1/G70,1/G71,1/G72,1/G73,1/G74,1/G75,1/G76)</f>
        <v>5.8383037365748134</v>
      </c>
      <c r="H63" s="58">
        <f t="shared" si="124"/>
        <v>65.373961535244348</v>
      </c>
      <c r="I63" s="58">
        <f t="shared" si="124"/>
        <v>15.306289594921482</v>
      </c>
      <c r="J63" s="58">
        <f t="shared" si="124"/>
        <v>7.5328688748758523</v>
      </c>
      <c r="K63" s="58">
        <f t="shared" si="124"/>
        <v>96.040587045594094</v>
      </c>
      <c r="L63" s="58">
        <f>1/SUM(1/L66,1/L68,1/L72,1/L73,1/L75)</f>
        <v>2.2460981132208471E-2</v>
      </c>
      <c r="M63" s="58">
        <f t="shared" si="124"/>
        <v>581.64075585164971</v>
      </c>
      <c r="N63" s="59">
        <f t="shared" si="124"/>
        <v>2.244838689277932E-2</v>
      </c>
      <c r="O63" s="58">
        <f>1/SUM(1/O66,1/O68,1/O72,1/O73,1/O75)</f>
        <v>2.3337472002139465</v>
      </c>
      <c r="P63" s="58">
        <f t="shared" si="124"/>
        <v>268433.37706224929</v>
      </c>
      <c r="Q63" s="59">
        <f t="shared" si="124"/>
        <v>2.3337269109015519</v>
      </c>
      <c r="R63" s="58">
        <f>1/SUM(1/R66,1/R68,1/R72,1/R73,1/R75)</f>
        <v>0.14891668861615956</v>
      </c>
      <c r="S63" s="58">
        <f>1/SUM(1/S66,1/S68,1/S72,1/S73,1/S75)</f>
        <v>33.797977547560102</v>
      </c>
      <c r="T63" s="58">
        <f>1/SUM(1/T66,1/T68,1/T72,1/T73,1/T75)</f>
        <v>42322.267306482237</v>
      </c>
      <c r="U63" s="58">
        <f>1/SUM(1/U66,1/U68,1/U72,1/U73,1/U75)</f>
        <v>0.14891668861615956</v>
      </c>
      <c r="V63" s="58">
        <f>1/SUM(1/V75)</f>
        <v>7.5845406531048307E-2</v>
      </c>
      <c r="W63" s="58">
        <f>1/SUM(1/W75)</f>
        <v>94.82768103457758</v>
      </c>
    </row>
    <row r="64" spans="1:23" x14ac:dyDescent="0.25">
      <c r="A64" s="83" t="s">
        <v>1090</v>
      </c>
      <c r="B64" s="42">
        <v>1</v>
      </c>
      <c r="C64" s="60">
        <f>IFERROR(C25/$B50,0)</f>
        <v>0</v>
      </c>
      <c r="D64" s="60">
        <f>IFERROR(D25/$B50,0)</f>
        <v>414750411.4664939</v>
      </c>
      <c r="E64" s="60">
        <f>IFERROR(E25/$B50,0)</f>
        <v>30522.284661417398</v>
      </c>
      <c r="F64" s="60">
        <f t="shared" ref="F64:F76" si="125">IF(AND(C64&lt;&gt;0,D64&lt;&gt;0,E64&lt;&gt;0),1/((1/C64)+(1/D64)+(1/E64)),IF(AND(C64&lt;&gt;0,D64&lt;&gt;0,E64=0), 1/((1/C64)+(1/D64)),IF(AND(C64&lt;&gt;0,D64=0,E64&lt;&gt;0),1/((1/C64)+(1/E64)),IF(AND(C64=0,D64&lt;&gt;0,E64&lt;&gt;0),1/((1/D64)+(1/E64)),IF(AND(C64&lt;&gt;0,D64=0,E64=0),1/((1/C64)),IF(AND(C64=0,D64&lt;&gt;0,E64=0),1/((1/D64)),IF(AND(C64=0,D64=0,E64&lt;&gt;0),1/((1/E64)),IF(AND(C64=0,D64=0,E64=0),0))))))))</f>
        <v>30520.038632766733</v>
      </c>
      <c r="G64" s="60">
        <f t="shared" ref="G64:M64" si="126">IFERROR(G25/$B50,0)</f>
        <v>30522.284661417398</v>
      </c>
      <c r="H64" s="60">
        <f t="shared" si="126"/>
        <v>265310.1306088625</v>
      </c>
      <c r="I64" s="60">
        <f t="shared" si="126"/>
        <v>64067.3531466075</v>
      </c>
      <c r="J64" s="60">
        <f t="shared" si="126"/>
        <v>33839.579690208884</v>
      </c>
      <c r="K64" s="60">
        <f t="shared" si="126"/>
        <v>408577.39893056965</v>
      </c>
      <c r="L64" s="60">
        <f t="shared" si="126"/>
        <v>305.11060259344009</v>
      </c>
      <c r="M64" s="60">
        <f t="shared" si="126"/>
        <v>2767891.1266086698</v>
      </c>
      <c r="N64" s="60">
        <f t="shared" ref="N64:N76" si="127">IFERROR(IF(AND(L64&lt;&gt;0,M64&lt;&gt;0),1/((1/L64)+(1/M64)),IF(AND(L64&lt;&gt;0,M64=0),1/((1/L64)),IF(AND(L64=0,M64&lt;&gt;0),1/((1/M64)),IF(AND(L64=0,M64=0),0)))),0)</f>
        <v>305.07697330135323</v>
      </c>
      <c r="O64" s="60">
        <f>IFERROR(O25/$B50,0)</f>
        <v>0</v>
      </c>
      <c r="P64" s="60">
        <f>IFERROR(P25/$B50,0)</f>
        <v>1278195570.0950336</v>
      </c>
      <c r="Q64" s="60">
        <f t="shared" ref="Q64:Q76" si="128">IFERROR(IF(AND(O64&lt;&gt;0,P64&lt;&gt;0),1/((1/O64)+(1/P64)),IF(AND(O64&lt;&gt;0,P64=0),1/((1/O64)),IF(AND(O64=0,P64&lt;&gt;0),1/((1/P64)),IF(AND(O64=0,P64=0),0)))),0)</f>
        <v>1278195570.0950336</v>
      </c>
      <c r="R64" s="60">
        <f t="shared" ref="R64:W64" si="129">IFERROR(R25/$B50,0)</f>
        <v>0</v>
      </c>
      <c r="S64" s="60">
        <f t="shared" si="129"/>
        <v>0</v>
      </c>
      <c r="T64" s="60">
        <f t="shared" si="129"/>
        <v>0</v>
      </c>
      <c r="U64" s="60">
        <f t="shared" si="129"/>
        <v>0</v>
      </c>
      <c r="V64" s="60">
        <f t="shared" si="129"/>
        <v>0</v>
      </c>
      <c r="W64" s="60">
        <f t="shared" si="129"/>
        <v>0</v>
      </c>
    </row>
    <row r="65" spans="1:23" x14ac:dyDescent="0.25">
      <c r="A65" s="83" t="s">
        <v>1076</v>
      </c>
      <c r="B65" s="42">
        <v>1</v>
      </c>
      <c r="C65" s="60">
        <f>IFERROR(C21/$B51,0)</f>
        <v>0</v>
      </c>
      <c r="D65" s="60">
        <f>IFERROR(D21/$B51,0)</f>
        <v>68031002.74414432</v>
      </c>
      <c r="E65" s="60">
        <f>IFERROR(E21/$B51,0)</f>
        <v>729497282.13614905</v>
      </c>
      <c r="F65" s="60">
        <f t="shared" si="125"/>
        <v>62227801.250082642</v>
      </c>
      <c r="G65" s="60">
        <f t="shared" ref="G65:M65" si="130">IFERROR(G21/$B51,0)</f>
        <v>729497282.13614905</v>
      </c>
      <c r="H65" s="60">
        <f t="shared" si="130"/>
        <v>1756596841.4356649</v>
      </c>
      <c r="I65" s="60">
        <f t="shared" si="130"/>
        <v>927702706.88321078</v>
      </c>
      <c r="J65" s="60">
        <f t="shared" si="130"/>
        <v>731995560.49962926</v>
      </c>
      <c r="K65" s="60">
        <f t="shared" si="130"/>
        <v>941597813.50613093</v>
      </c>
      <c r="L65" s="60">
        <f t="shared" si="130"/>
        <v>50.04691898654989</v>
      </c>
      <c r="M65" s="60">
        <f t="shared" si="130"/>
        <v>113827475325.03108</v>
      </c>
      <c r="N65" s="60">
        <f t="shared" si="127"/>
        <v>50.04691896454559</v>
      </c>
      <c r="O65" s="60">
        <f>IFERROR(O21/$B51,0)</f>
        <v>0</v>
      </c>
      <c r="P65" s="60">
        <f>IFERROR(P21/$B51,0)</f>
        <v>88853779814920.344</v>
      </c>
      <c r="Q65" s="60">
        <f t="shared" si="128"/>
        <v>88853779814920.344</v>
      </c>
      <c r="R65" s="60">
        <f t="shared" ref="R65:W65" si="131">IFERROR(R21/$B51,0)</f>
        <v>0</v>
      </c>
      <c r="S65" s="60">
        <f t="shared" si="131"/>
        <v>0</v>
      </c>
      <c r="T65" s="60">
        <f t="shared" si="131"/>
        <v>0</v>
      </c>
      <c r="U65" s="60">
        <f t="shared" si="131"/>
        <v>0</v>
      </c>
      <c r="V65" s="60">
        <f t="shared" si="131"/>
        <v>0</v>
      </c>
      <c r="W65" s="60">
        <f t="shared" si="131"/>
        <v>0</v>
      </c>
    </row>
    <row r="66" spans="1:23" x14ac:dyDescent="0.25">
      <c r="A66" s="83" t="s">
        <v>1077</v>
      </c>
      <c r="B66" s="85">
        <v>0.99980000000000002</v>
      </c>
      <c r="C66" s="60">
        <f>IFERROR(C17/$B52,0)</f>
        <v>5263.3242822682569</v>
      </c>
      <c r="D66" s="60">
        <f>IFERROR(D17/$B52,0)</f>
        <v>12172716.887568066</v>
      </c>
      <c r="E66" s="60">
        <f>IFERROR(E17/$B52,0)</f>
        <v>55.646979822233433</v>
      </c>
      <c r="F66" s="60">
        <f t="shared" si="125"/>
        <v>55.064553048234686</v>
      </c>
      <c r="G66" s="60">
        <f t="shared" ref="G66:M66" si="132">IFERROR(G17/$B52,0)</f>
        <v>55.646979822233433</v>
      </c>
      <c r="H66" s="60">
        <f t="shared" si="132"/>
        <v>392.06428327281657</v>
      </c>
      <c r="I66" s="60">
        <f t="shared" si="132"/>
        <v>98.22630531622552</v>
      </c>
      <c r="J66" s="60">
        <f t="shared" si="132"/>
        <v>57.460509377609029</v>
      </c>
      <c r="K66" s="60">
        <f t="shared" si="132"/>
        <v>491.26344134603067</v>
      </c>
      <c r="L66" s="60">
        <f t="shared" si="132"/>
        <v>8.9548433999932993</v>
      </c>
      <c r="M66" s="60">
        <f t="shared" si="132"/>
        <v>4407.947644495739</v>
      </c>
      <c r="N66" s="60">
        <f t="shared" si="127"/>
        <v>8.9366883194729212</v>
      </c>
      <c r="O66" s="60">
        <f>IFERROR(O17/$B52,0)</f>
        <v>18090.910529815708</v>
      </c>
      <c r="P66" s="60">
        <f>IFERROR(P17/$B52,0)</f>
        <v>2014732.0909134978</v>
      </c>
      <c r="Q66" s="60">
        <f t="shared" si="128"/>
        <v>17929.912231604096</v>
      </c>
      <c r="R66" s="60">
        <f t="shared" ref="R66:W66" si="133">IFERROR(R17/$B52,0)</f>
        <v>1058.227970786055</v>
      </c>
      <c r="S66" s="60">
        <f t="shared" si="133"/>
        <v>1197292.8468481274</v>
      </c>
      <c r="T66" s="60">
        <f t="shared" si="133"/>
        <v>1511754243.9800785</v>
      </c>
      <c r="U66" s="60">
        <f t="shared" si="133"/>
        <v>1058.227970786055</v>
      </c>
      <c r="V66" s="60">
        <f t="shared" si="133"/>
        <v>0</v>
      </c>
      <c r="W66" s="60">
        <f t="shared" si="133"/>
        <v>0</v>
      </c>
    </row>
    <row r="67" spans="1:23" x14ac:dyDescent="0.25">
      <c r="A67" s="83" t="s">
        <v>1091</v>
      </c>
      <c r="B67" s="42">
        <v>2.0000000000000001E-4</v>
      </c>
      <c r="C67" s="60">
        <f>IFERROR(C5/$B53,0)</f>
        <v>0</v>
      </c>
      <c r="D67" s="60">
        <f>IFERROR(D5/$B53,0)</f>
        <v>0</v>
      </c>
      <c r="E67" s="60">
        <f>IFERROR(E5/$B53,0)</f>
        <v>909543419.85485828</v>
      </c>
      <c r="F67" s="60">
        <f t="shared" si="125"/>
        <v>909543419.85485828</v>
      </c>
      <c r="G67" s="60">
        <f t="shared" ref="G67:M67" si="134">IFERROR(G5/$B53,0)</f>
        <v>909543419.85485828</v>
      </c>
      <c r="H67" s="60">
        <f t="shared" si="134"/>
        <v>3305844835.2185683</v>
      </c>
      <c r="I67" s="60">
        <f t="shared" si="134"/>
        <v>1504065186.5870926</v>
      </c>
      <c r="J67" s="60">
        <f t="shared" si="134"/>
        <v>975994080.66617215</v>
      </c>
      <c r="K67" s="60">
        <f t="shared" si="134"/>
        <v>1249957331.3794837</v>
      </c>
      <c r="L67" s="60">
        <f t="shared" si="134"/>
        <v>0</v>
      </c>
      <c r="M67" s="60">
        <f t="shared" si="134"/>
        <v>728668307951.90356</v>
      </c>
      <c r="N67" s="60">
        <f t="shared" si="127"/>
        <v>728668307951.90356</v>
      </c>
      <c r="O67" s="60">
        <f>IFERROR(O5/$B53,0)</f>
        <v>0</v>
      </c>
      <c r="P67" s="60">
        <f>IFERROR(P5/$B53,0)</f>
        <v>438196886786566.13</v>
      </c>
      <c r="Q67" s="60">
        <f t="shared" si="128"/>
        <v>438196886786566.13</v>
      </c>
      <c r="R67" s="60">
        <f t="shared" ref="R67:W67" si="135">IFERROR(R5/$B53,0)</f>
        <v>0</v>
      </c>
      <c r="S67" s="60">
        <f t="shared" si="135"/>
        <v>0</v>
      </c>
      <c r="T67" s="60">
        <f t="shared" si="135"/>
        <v>0</v>
      </c>
      <c r="U67" s="60">
        <f t="shared" si="135"/>
        <v>0</v>
      </c>
      <c r="V67" s="60">
        <f t="shared" si="135"/>
        <v>0</v>
      </c>
      <c r="W67" s="60">
        <f t="shared" si="135"/>
        <v>0</v>
      </c>
    </row>
    <row r="68" spans="1:23" x14ac:dyDescent="0.25">
      <c r="A68" s="83" t="s">
        <v>1092</v>
      </c>
      <c r="B68" s="42">
        <v>0.99999979999999999</v>
      </c>
      <c r="C68" s="60">
        <f>IFERROR(C9/$B54,0)</f>
        <v>10331.434416067856</v>
      </c>
      <c r="D68" s="60">
        <f>IFERROR(D9/$B54,0)</f>
        <v>15301474.551291775</v>
      </c>
      <c r="E68" s="60">
        <f>IFERROR(E9/$B54,0)</f>
        <v>6.5306943578554408</v>
      </c>
      <c r="F68" s="60">
        <f t="shared" si="125"/>
        <v>6.5265660069607438</v>
      </c>
      <c r="G68" s="60">
        <f t="shared" ref="G68:M68" si="136">IFERROR(G9/$B54,0)</f>
        <v>6.5306943578554408</v>
      </c>
      <c r="H68" s="60">
        <f t="shared" si="136"/>
        <v>78.779188914997903</v>
      </c>
      <c r="I68" s="60">
        <f t="shared" si="136"/>
        <v>18.170895944045903</v>
      </c>
      <c r="J68" s="60">
        <f t="shared" si="136"/>
        <v>8.6828894409987587</v>
      </c>
      <c r="K68" s="60">
        <f t="shared" si="136"/>
        <v>120.75953826132647</v>
      </c>
      <c r="L68" s="60">
        <f t="shared" si="136"/>
        <v>11.256509919797834</v>
      </c>
      <c r="M68" s="60">
        <f t="shared" si="136"/>
        <v>671.44318245374143</v>
      </c>
      <c r="N68" s="60">
        <f t="shared" si="127"/>
        <v>11.070909989125566</v>
      </c>
      <c r="O68" s="60">
        <f>IFERROR(O9/$B54,0)</f>
        <v>32445.611837326174</v>
      </c>
      <c r="P68" s="60">
        <f>IFERROR(P9/$B54,0)</f>
        <v>310271.72866612405</v>
      </c>
      <c r="Q68" s="60">
        <f t="shared" si="128"/>
        <v>29373.932633840286</v>
      </c>
      <c r="R68" s="60">
        <f t="shared" ref="R68:W68" si="137">IFERROR(R9/$B54,0)</f>
        <v>1933.0567129731082</v>
      </c>
      <c r="S68" s="60">
        <f t="shared" si="137"/>
        <v>552301.91799231654</v>
      </c>
      <c r="T68" s="60">
        <f t="shared" si="137"/>
        <v>966528356.48655415</v>
      </c>
      <c r="U68" s="60">
        <f t="shared" si="137"/>
        <v>1933.0567129731082</v>
      </c>
      <c r="V68" s="60">
        <f t="shared" si="137"/>
        <v>0</v>
      </c>
      <c r="W68" s="60">
        <f t="shared" si="137"/>
        <v>0</v>
      </c>
    </row>
    <row r="69" spans="1:23" x14ac:dyDescent="0.25">
      <c r="A69" s="83" t="s">
        <v>1093</v>
      </c>
      <c r="B69" s="42">
        <v>1.9999999999999999E-7</v>
      </c>
      <c r="C69" s="60">
        <f>IFERROR(C24/$B55,0)</f>
        <v>0</v>
      </c>
      <c r="D69" s="60">
        <f>IFERROR(D24/$B55,0)</f>
        <v>0</v>
      </c>
      <c r="E69" s="60">
        <f>IFERROR(E24/$B55,0)</f>
        <v>77102439678.851715</v>
      </c>
      <c r="F69" s="60">
        <f t="shared" si="125"/>
        <v>77102439678.851715</v>
      </c>
      <c r="G69" s="60">
        <f t="shared" ref="G69:M69" si="138">IFERROR(G24/$B55,0)</f>
        <v>77102439678.851715</v>
      </c>
      <c r="H69" s="60">
        <f t="shared" si="138"/>
        <v>691530373255.93469</v>
      </c>
      <c r="I69" s="60">
        <f t="shared" si="138"/>
        <v>168576834736.49194</v>
      </c>
      <c r="J69" s="60">
        <f t="shared" si="138"/>
        <v>84557553098.594528</v>
      </c>
      <c r="K69" s="60">
        <f t="shared" si="138"/>
        <v>1049680976479.7858</v>
      </c>
      <c r="L69" s="60">
        <f t="shared" si="138"/>
        <v>0</v>
      </c>
      <c r="M69" s="60">
        <f t="shared" si="138"/>
        <v>7046462758216.2109</v>
      </c>
      <c r="N69" s="60">
        <f t="shared" si="127"/>
        <v>7046462758216.2119</v>
      </c>
      <c r="O69" s="60">
        <f>IFERROR(O24/$B55,0)</f>
        <v>0</v>
      </c>
      <c r="P69" s="60">
        <f>IFERROR(P24/$B55,0)</f>
        <v>3243987070814546</v>
      </c>
      <c r="Q69" s="60">
        <f t="shared" si="128"/>
        <v>3243987070814546</v>
      </c>
      <c r="R69" s="60">
        <f t="shared" ref="R69:W69" si="139">IFERROR(R24/$B55,0)</f>
        <v>0</v>
      </c>
      <c r="S69" s="60">
        <f t="shared" si="139"/>
        <v>0</v>
      </c>
      <c r="T69" s="60">
        <f t="shared" si="139"/>
        <v>0</v>
      </c>
      <c r="U69" s="60">
        <f t="shared" si="139"/>
        <v>0</v>
      </c>
      <c r="V69" s="60">
        <f t="shared" si="139"/>
        <v>0</v>
      </c>
      <c r="W69" s="60">
        <f t="shared" si="139"/>
        <v>0</v>
      </c>
    </row>
    <row r="70" spans="1:23" x14ac:dyDescent="0.25">
      <c r="A70" s="83" t="s">
        <v>1094</v>
      </c>
      <c r="B70" s="42">
        <v>0.99979000004200003</v>
      </c>
      <c r="C70" s="60">
        <f>IFERROR(C20/$B56,0)</f>
        <v>0</v>
      </c>
      <c r="D70" s="60">
        <f>IFERROR(D20/$B56,0)</f>
        <v>0</v>
      </c>
      <c r="E70" s="60">
        <f>IFERROR(E20/$B56,0)</f>
        <v>124300.08256611328</v>
      </c>
      <c r="F70" s="60">
        <f t="shared" si="125"/>
        <v>124300.0825661133</v>
      </c>
      <c r="G70" s="60">
        <f t="shared" ref="G70:M70" si="140">IFERROR(G20/$B56,0)</f>
        <v>124300.08256611328</v>
      </c>
      <c r="H70" s="60">
        <f t="shared" si="140"/>
        <v>1304571.0827579938</v>
      </c>
      <c r="I70" s="60">
        <f t="shared" si="140"/>
        <v>308580.21372703003</v>
      </c>
      <c r="J70" s="60">
        <f t="shared" si="140"/>
        <v>152177.03541073049</v>
      </c>
      <c r="K70" s="60">
        <f t="shared" si="140"/>
        <v>2023542.5000928484</v>
      </c>
      <c r="L70" s="60">
        <f t="shared" si="140"/>
        <v>0</v>
      </c>
      <c r="M70" s="60">
        <f t="shared" si="140"/>
        <v>12575741.120747866</v>
      </c>
      <c r="N70" s="60">
        <f t="shared" si="127"/>
        <v>12575741.120747864</v>
      </c>
      <c r="O70" s="60">
        <f>IFERROR(O20/$B56,0)</f>
        <v>0</v>
      </c>
      <c r="P70" s="60">
        <f>IFERROR(P20/$B56,0)</f>
        <v>5804188209.5759392</v>
      </c>
      <c r="Q70" s="60">
        <f t="shared" si="128"/>
        <v>5804188209.5759392</v>
      </c>
      <c r="R70" s="60">
        <f t="shared" ref="R70:W70" si="141">IFERROR(R20/$B56,0)</f>
        <v>0</v>
      </c>
      <c r="S70" s="60">
        <f t="shared" si="141"/>
        <v>0</v>
      </c>
      <c r="T70" s="60">
        <f t="shared" si="141"/>
        <v>0</v>
      </c>
      <c r="U70" s="60">
        <f t="shared" si="141"/>
        <v>0</v>
      </c>
      <c r="V70" s="60">
        <f t="shared" si="141"/>
        <v>0</v>
      </c>
      <c r="W70" s="60">
        <f t="shared" si="141"/>
        <v>0</v>
      </c>
    </row>
    <row r="71" spans="1:23" x14ac:dyDescent="0.25">
      <c r="A71" s="83" t="s">
        <v>1095</v>
      </c>
      <c r="B71" s="42">
        <v>2.0999995799999999E-4</v>
      </c>
      <c r="C71" s="60">
        <f>IFERROR(C29/$B57,0)</f>
        <v>0</v>
      </c>
      <c r="D71" s="60">
        <f>IFERROR(D29/$B57,0)</f>
        <v>0</v>
      </c>
      <c r="E71" s="60">
        <f>IFERROR(E29/$B57,0)</f>
        <v>17258.731076942448</v>
      </c>
      <c r="F71" s="60">
        <f t="shared" si="125"/>
        <v>17258.731076942448</v>
      </c>
      <c r="G71" s="60">
        <f t="shared" ref="G71:M71" si="142">IFERROR(G29/$B57,0)</f>
        <v>17258.731076942448</v>
      </c>
      <c r="H71" s="60">
        <f t="shared" si="142"/>
        <v>194966.27187235258</v>
      </c>
      <c r="I71" s="60">
        <f t="shared" si="142"/>
        <v>45806.932954784403</v>
      </c>
      <c r="J71" s="60">
        <f t="shared" si="142"/>
        <v>22325.587379737357</v>
      </c>
      <c r="K71" s="60">
        <f t="shared" si="142"/>
        <v>290309.07757884776</v>
      </c>
      <c r="L71" s="60">
        <f t="shared" si="142"/>
        <v>0</v>
      </c>
      <c r="M71" s="60">
        <f t="shared" si="142"/>
        <v>1728378.0033512749</v>
      </c>
      <c r="N71" s="60">
        <f t="shared" si="127"/>
        <v>1728378.0033512749</v>
      </c>
      <c r="O71" s="60">
        <f>IFERROR(O29/$B57,0)</f>
        <v>0</v>
      </c>
      <c r="P71" s="60">
        <f>IFERROR(P29/$B57,0)</f>
        <v>796556818.9358052</v>
      </c>
      <c r="Q71" s="60">
        <f t="shared" si="128"/>
        <v>796556818.9358052</v>
      </c>
      <c r="R71" s="60">
        <f t="shared" ref="R71:W71" si="143">IFERROR(R29/$B57,0)</f>
        <v>0</v>
      </c>
      <c r="S71" s="60">
        <f t="shared" si="143"/>
        <v>0</v>
      </c>
      <c r="T71" s="60">
        <f t="shared" si="143"/>
        <v>0</v>
      </c>
      <c r="U71" s="60">
        <f t="shared" si="143"/>
        <v>0</v>
      </c>
      <c r="V71" s="60">
        <f t="shared" si="143"/>
        <v>0</v>
      </c>
      <c r="W71" s="60">
        <f t="shared" si="143"/>
        <v>0</v>
      </c>
    </row>
    <row r="72" spans="1:23" x14ac:dyDescent="0.25">
      <c r="A72" s="83" t="s">
        <v>1096</v>
      </c>
      <c r="B72" s="42">
        <v>1</v>
      </c>
      <c r="C72" s="60">
        <f>IFERROR(C16/$B58,0)</f>
        <v>2.42699596147872</v>
      </c>
      <c r="D72" s="60">
        <f>IFERROR(D16/$B58,0)</f>
        <v>59574.808677855865</v>
      </c>
      <c r="E72" s="60">
        <f>IFERROR(E16/$B58,0)</f>
        <v>23029.106633614458</v>
      </c>
      <c r="F72" s="60">
        <f t="shared" si="125"/>
        <v>2.4266413640879403</v>
      </c>
      <c r="G72" s="60">
        <f t="shared" ref="G72:M72" si="144">IFERROR(G16/$B58,0)</f>
        <v>23029.106633614458</v>
      </c>
      <c r="H72" s="60">
        <f t="shared" si="144"/>
        <v>31329.353333381099</v>
      </c>
      <c r="I72" s="60">
        <f t="shared" si="144"/>
        <v>22223.154839747051</v>
      </c>
      <c r="J72" s="60">
        <f t="shared" si="144"/>
        <v>20839.350816314487</v>
      </c>
      <c r="K72" s="60">
        <f t="shared" si="144"/>
        <v>20693.011941646226</v>
      </c>
      <c r="L72" s="60">
        <f t="shared" si="144"/>
        <v>4.3826130782652524E-2</v>
      </c>
      <c r="M72" s="60">
        <f t="shared" si="144"/>
        <v>1141652.4231412616</v>
      </c>
      <c r="N72" s="60">
        <f t="shared" si="127"/>
        <v>4.3826129100240585E-2</v>
      </c>
      <c r="O72" s="60">
        <f>IFERROR(O16/$B58,0)</f>
        <v>7.0457193203840047</v>
      </c>
      <c r="P72" s="60">
        <f>IFERROR(P16/$B58,0)</f>
        <v>494520394.08561069</v>
      </c>
      <c r="Q72" s="60">
        <f t="shared" si="128"/>
        <v>7.0457192199995493</v>
      </c>
      <c r="R72" s="60">
        <f t="shared" ref="R72:W72" si="145">IFERROR(R16/$B58,0)</f>
        <v>0.43584949245326604</v>
      </c>
      <c r="S72" s="60">
        <f t="shared" si="145"/>
        <v>493.12576686955123</v>
      </c>
      <c r="T72" s="60">
        <f t="shared" si="145"/>
        <v>622642.13207609439</v>
      </c>
      <c r="U72" s="60">
        <f t="shared" si="145"/>
        <v>0.43584949245326604</v>
      </c>
      <c r="V72" s="60">
        <f t="shared" si="145"/>
        <v>0</v>
      </c>
      <c r="W72" s="60">
        <f t="shared" si="145"/>
        <v>0</v>
      </c>
    </row>
    <row r="73" spans="1:23" x14ac:dyDescent="0.25">
      <c r="A73" s="83" t="s">
        <v>1097</v>
      </c>
      <c r="B73" s="42">
        <v>1</v>
      </c>
      <c r="C73" s="60">
        <f>IFERROR(C7/$B59,0)</f>
        <v>173.51712266966504</v>
      </c>
      <c r="D73" s="60">
        <f>IFERROR(D7/$B59,0)</f>
        <v>2077853.0831544846</v>
      </c>
      <c r="E73" s="60">
        <f>IFERROR(E7/$B59,0)</f>
        <v>21736.546135514403</v>
      </c>
      <c r="F73" s="60">
        <f t="shared" si="125"/>
        <v>172.12869056596418</v>
      </c>
      <c r="G73" s="60">
        <f t="shared" ref="G73:M73" si="146">IFERROR(G7/$B59,0)</f>
        <v>21736.546135514403</v>
      </c>
      <c r="H73" s="60">
        <f t="shared" si="146"/>
        <v>94113.714921380903</v>
      </c>
      <c r="I73" s="60">
        <f t="shared" si="146"/>
        <v>30371.92681817228</v>
      </c>
      <c r="J73" s="60">
        <f t="shared" si="146"/>
        <v>20168.297237121678</v>
      </c>
      <c r="K73" s="60">
        <f t="shared" si="146"/>
        <v>24386.862042847402</v>
      </c>
      <c r="L73" s="60">
        <f t="shared" si="146"/>
        <v>1.5285699272973927</v>
      </c>
      <c r="M73" s="60">
        <f t="shared" si="146"/>
        <v>849308.75628831144</v>
      </c>
      <c r="N73" s="60">
        <f t="shared" si="127"/>
        <v>1.5285671762109354</v>
      </c>
      <c r="O73" s="60">
        <f>IFERROR(O7/$B59,0)</f>
        <v>698.7248620629781</v>
      </c>
      <c r="P73" s="60">
        <f>IFERROR(P7/$B59,0)</f>
        <v>574234129.2516495</v>
      </c>
      <c r="Q73" s="60">
        <f t="shared" si="128"/>
        <v>698.72401185952629</v>
      </c>
      <c r="R73" s="60">
        <f t="shared" ref="R73:W73" si="147">IFERROR(R7/$B59,0)</f>
        <v>39.375039375039378</v>
      </c>
      <c r="S73" s="60">
        <f t="shared" si="147"/>
        <v>11250.01125001125</v>
      </c>
      <c r="T73" s="60">
        <f t="shared" si="147"/>
        <v>19687519.687519692</v>
      </c>
      <c r="U73" s="60">
        <f t="shared" si="147"/>
        <v>39.375039375039378</v>
      </c>
      <c r="V73" s="60">
        <f t="shared" si="147"/>
        <v>0</v>
      </c>
      <c r="W73" s="60">
        <f t="shared" si="147"/>
        <v>0</v>
      </c>
    </row>
    <row r="74" spans="1:23" x14ac:dyDescent="0.25">
      <c r="A74" s="83" t="s">
        <v>1098</v>
      </c>
      <c r="B74" s="86">
        <v>1.9000000000000001E-8</v>
      </c>
      <c r="C74" s="60">
        <f>IFERROR(C12/$B60,0)</f>
        <v>0</v>
      </c>
      <c r="D74" s="60">
        <f>IFERROR(D12/$B60,0)</f>
        <v>0</v>
      </c>
      <c r="E74" s="60">
        <f>IFERROR(E12/$B60,0)</f>
        <v>6197530915.6190166</v>
      </c>
      <c r="F74" s="60">
        <f t="shared" si="125"/>
        <v>6197530915.6190166</v>
      </c>
      <c r="G74" s="60">
        <f t="shared" ref="G74:M74" si="148">IFERROR(G12/$B60,0)</f>
        <v>6197530915.6190166</v>
      </c>
      <c r="H74" s="60">
        <f t="shared" si="148"/>
        <v>43216476310.399704</v>
      </c>
      <c r="I74" s="60">
        <f t="shared" si="148"/>
        <v>10761749983.177959</v>
      </c>
      <c r="J74" s="60">
        <f t="shared" si="148"/>
        <v>6224727367.9764156</v>
      </c>
      <c r="K74" s="60">
        <f t="shared" si="148"/>
        <v>55898570953.6092</v>
      </c>
      <c r="L74" s="60">
        <f t="shared" si="148"/>
        <v>0</v>
      </c>
      <c r="M74" s="60">
        <f t="shared" si="148"/>
        <v>476454323961.12097</v>
      </c>
      <c r="N74" s="60">
        <f t="shared" si="127"/>
        <v>476454323961.12097</v>
      </c>
      <c r="O74" s="60">
        <f>IFERROR(O12/$B60,0)</f>
        <v>0</v>
      </c>
      <c r="P74" s="60">
        <f>IFERROR(P12/$B60,0)</f>
        <v>218911446144298.81</v>
      </c>
      <c r="Q74" s="60">
        <f t="shared" si="128"/>
        <v>218911446144298.81</v>
      </c>
      <c r="R74" s="60">
        <f t="shared" ref="R74:W74" si="149">IFERROR(R12/$B60,0)</f>
        <v>0</v>
      </c>
      <c r="S74" s="60">
        <f t="shared" si="149"/>
        <v>0</v>
      </c>
      <c r="T74" s="60">
        <f t="shared" si="149"/>
        <v>0</v>
      </c>
      <c r="U74" s="60">
        <f t="shared" si="149"/>
        <v>0</v>
      </c>
      <c r="V74" s="60">
        <f t="shared" si="149"/>
        <v>0</v>
      </c>
      <c r="W74" s="60">
        <f t="shared" si="149"/>
        <v>0</v>
      </c>
    </row>
    <row r="75" spans="1:23" x14ac:dyDescent="0.25">
      <c r="A75" s="83" t="s">
        <v>1099</v>
      </c>
      <c r="B75" s="42">
        <v>1</v>
      </c>
      <c r="C75" s="60">
        <f>IFERROR(C18/$B61,0)</f>
        <v>1.2724588995775437</v>
      </c>
      <c r="D75" s="60">
        <f>IFERROR(D18/$B61,0)</f>
        <v>65197.941129592262</v>
      </c>
      <c r="E75" s="60">
        <f>IFERROR(E18/$B61,0)</f>
        <v>1059752.5660152568</v>
      </c>
      <c r="F75" s="60">
        <f t="shared" si="125"/>
        <v>1.2724325378669956</v>
      </c>
      <c r="G75" s="60">
        <f t="shared" ref="G75:M75" si="150">IFERROR(G18/$B61,0)</f>
        <v>1059752.5660152568</v>
      </c>
      <c r="H75" s="60">
        <f t="shared" si="150"/>
        <v>11100058.674572077</v>
      </c>
      <c r="I75" s="60">
        <f t="shared" si="150"/>
        <v>2612213.6637535729</v>
      </c>
      <c r="J75" s="60">
        <f t="shared" si="150"/>
        <v>1299248.8854555865</v>
      </c>
      <c r="K75" s="60">
        <f t="shared" si="150"/>
        <v>17262942.851735063</v>
      </c>
      <c r="L75" s="60">
        <f t="shared" si="150"/>
        <v>4.7962780882035538E-2</v>
      </c>
      <c r="M75" s="60">
        <f t="shared" si="150"/>
        <v>107468398.49123049</v>
      </c>
      <c r="N75" s="60">
        <f t="shared" si="127"/>
        <v>4.7962780860629904E-2</v>
      </c>
      <c r="O75" s="60">
        <f>IFERROR(O18/$B61,0)</f>
        <v>3.5081810782745357</v>
      </c>
      <c r="P75" s="60">
        <f>IFERROR(P18/$B61,0)</f>
        <v>49515684246.924728</v>
      </c>
      <c r="Q75" s="60">
        <f t="shared" si="128"/>
        <v>3.5081810780259817</v>
      </c>
      <c r="R75" s="60">
        <f t="shared" ref="R75:W75" si="151">IFERROR(R18/$B61,0)</f>
        <v>0.22758643448298618</v>
      </c>
      <c r="S75" s="60">
        <f t="shared" si="151"/>
        <v>36.405795134903187</v>
      </c>
      <c r="T75" s="60">
        <f t="shared" si="151"/>
        <v>45517.28689659723</v>
      </c>
      <c r="U75" s="60">
        <f t="shared" si="151"/>
        <v>0.22758643448298618</v>
      </c>
      <c r="V75" s="60">
        <f t="shared" si="151"/>
        <v>7.5845406531048307E-2</v>
      </c>
      <c r="W75" s="60">
        <f t="shared" si="151"/>
        <v>94.82768103457758</v>
      </c>
    </row>
    <row r="76" spans="1:23" x14ac:dyDescent="0.25">
      <c r="A76" s="83" t="s">
        <v>1100</v>
      </c>
      <c r="B76" s="42">
        <v>1.339E-6</v>
      </c>
      <c r="C76" s="60">
        <f>IFERROR(C27/$B62,0)</f>
        <v>0</v>
      </c>
      <c r="D76" s="60">
        <f>IFERROR(D27/$B62,0)</f>
        <v>0</v>
      </c>
      <c r="E76" s="60">
        <f>IFERROR(E27/$B62,0)</f>
        <v>5998056995.87638</v>
      </c>
      <c r="F76" s="60">
        <f t="shared" si="125"/>
        <v>5998056995.87638</v>
      </c>
      <c r="G76" s="60">
        <f t="shared" ref="G76:M76" si="152">IFERROR(G27/$B62,0)</f>
        <v>5998056995.87638</v>
      </c>
      <c r="H76" s="60">
        <f t="shared" si="152"/>
        <v>27138254754.813122</v>
      </c>
      <c r="I76" s="60">
        <f t="shared" si="152"/>
        <v>10089644932.448488</v>
      </c>
      <c r="J76" s="60">
        <f t="shared" si="152"/>
        <v>6729860155.0540352</v>
      </c>
      <c r="K76" s="60">
        <f t="shared" si="152"/>
        <v>5788012715.0766735</v>
      </c>
      <c r="L76" s="60">
        <f t="shared" si="152"/>
        <v>0</v>
      </c>
      <c r="M76" s="60">
        <f t="shared" si="152"/>
        <v>356933529331.34039</v>
      </c>
      <c r="N76" s="60">
        <f t="shared" si="127"/>
        <v>356933529331.34039</v>
      </c>
      <c r="O76" s="60">
        <f>IFERROR(O27/$B62,0)</f>
        <v>0</v>
      </c>
      <c r="P76" s="60">
        <f>IFERROR(P27/$B62,0)</f>
        <v>228040865961689.69</v>
      </c>
      <c r="Q76" s="60">
        <f t="shared" si="128"/>
        <v>228040865961689.69</v>
      </c>
      <c r="R76" s="60">
        <f t="shared" ref="R76:W76" si="153">IFERROR(R27/$B62,0)</f>
        <v>0</v>
      </c>
      <c r="S76" s="60">
        <f t="shared" si="153"/>
        <v>0</v>
      </c>
      <c r="T76" s="60">
        <f t="shared" si="153"/>
        <v>0</v>
      </c>
      <c r="U76" s="60">
        <f t="shared" si="153"/>
        <v>0</v>
      </c>
      <c r="V76" s="60">
        <f t="shared" si="153"/>
        <v>0</v>
      </c>
      <c r="W76" s="60">
        <f t="shared" si="153"/>
        <v>0</v>
      </c>
    </row>
  </sheetData>
  <sheetProtection algorithmName="SHA-512" hashValue="EamFGKXyHsJcDSgdb3rMuFe5lUGScDH/vm1fOdONVI1W9ArjmJlCkPW6ysF8EgSY5Ka0pnJNFBq52C2jxYeg1w==" saltValue="GWuZh5bAh9BxfvORGF9ZKg==" spinCount="100000" sheet="1" objects="1" scenarios="1" formatColumns="0" formatRows="0" autoFilter="0"/>
  <autoFilter ref="A1:W76" xr:uid="{C24D8B07-A305-4F8F-8A5E-8C939A267B1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9" tint="-0.499984740745262"/>
  </sheetPr>
  <dimension ref="A1:F76"/>
  <sheetViews>
    <sheetView zoomScaleNormal="10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RowHeight="15" x14ac:dyDescent="0.25"/>
  <cols>
    <col min="1" max="1" width="14.5703125" style="4" bestFit="1" customWidth="1"/>
    <col min="2" max="2" width="11.7109375" style="4" bestFit="1" customWidth="1"/>
    <col min="3" max="4" width="15.85546875" bestFit="1" customWidth="1"/>
    <col min="5" max="5" width="13.42578125" bestFit="1" customWidth="1"/>
    <col min="6" max="6" width="13.28515625" bestFit="1" customWidth="1"/>
  </cols>
  <sheetData>
    <row r="1" spans="1:6" x14ac:dyDescent="0.25">
      <c r="A1" s="78" t="s">
        <v>51</v>
      </c>
      <c r="B1" s="79" t="s">
        <v>350</v>
      </c>
      <c r="C1" s="112" t="s">
        <v>1391</v>
      </c>
      <c r="D1" s="112" t="s">
        <v>1392</v>
      </c>
      <c r="E1" s="112" t="s">
        <v>1393</v>
      </c>
      <c r="F1" s="112" t="s">
        <v>1394</v>
      </c>
    </row>
    <row r="2" spans="1:6" x14ac:dyDescent="0.25">
      <c r="A2" s="44" t="s">
        <v>12</v>
      </c>
      <c r="B2" s="42" t="s">
        <v>1074</v>
      </c>
      <c r="C2" s="123">
        <f>IF(RadSpec!AV2*DAF=0,".",RadSpec!AV2*DAF)</f>
        <v>15</v>
      </c>
      <c r="D2" s="123">
        <f>IFERROR(d_res!U2*DAF,".")</f>
        <v>6.3521024840261772E-2</v>
      </c>
      <c r="E2" s="123">
        <f>IFERROR((C2*0.001*(RadSpec!AS2+(θw/ρb))*1),".")</f>
        <v>25.503</v>
      </c>
      <c r="F2" s="123">
        <f>IFERROR((D2*0.001*(RadSpec!AS2+(θw/ρb))*1),".")</f>
        <v>0.10799844643341307</v>
      </c>
    </row>
    <row r="3" spans="1:6" x14ac:dyDescent="0.25">
      <c r="A3" s="46" t="s">
        <v>13</v>
      </c>
      <c r="B3" s="42" t="s">
        <v>351</v>
      </c>
      <c r="C3" s="123">
        <f>IF(RadSpec!AV3*DAF=0,".",RadSpec!AV3*DAF)</f>
        <v>15</v>
      </c>
      <c r="D3" s="123">
        <f>IFERROR(d_res!U3*DAF,".")</f>
        <v>0.1265677971737097</v>
      </c>
      <c r="E3" s="123">
        <f>IFERROR((C3*0.001*(RadSpec!AS3+(θw/ρb))*1),".")</f>
        <v>6.3E-2</v>
      </c>
      <c r="F3" s="123">
        <f>IFERROR((D3*0.001*(RadSpec!AS3+(θw/ρb))*1),".")</f>
        <v>5.3158474812958073E-4</v>
      </c>
    </row>
    <row r="4" spans="1:6" x14ac:dyDescent="0.25">
      <c r="A4" s="44" t="s">
        <v>14</v>
      </c>
      <c r="B4" s="42" t="s">
        <v>1074</v>
      </c>
      <c r="C4" s="123">
        <f>IF(RadSpec!AV4*DAF=0,".",RadSpec!AV4*DAF)</f>
        <v>15</v>
      </c>
      <c r="D4" s="123">
        <f>IFERROR(d_res!U4*DAF,".")</f>
        <v>671634196.57384932</v>
      </c>
      <c r="E4" s="123">
        <f>IFERROR((C4*0.001*(RadSpec!AS4+(θw/ρb))*1),".")</f>
        <v>0.153</v>
      </c>
      <c r="F4" s="123">
        <f>IFERROR((D4*0.001*(RadSpec!AS4+(θw/ρb))*1),".")</f>
        <v>6850668.805053262</v>
      </c>
    </row>
    <row r="5" spans="1:6" x14ac:dyDescent="0.25">
      <c r="A5" s="44" t="s">
        <v>15</v>
      </c>
      <c r="B5" s="42" t="s">
        <v>1074</v>
      </c>
      <c r="C5" s="123">
        <f>IF(RadSpec!AV5*DAF=0,".",RadSpec!AV5*DAF)</f>
        <v>15</v>
      </c>
      <c r="D5" s="123">
        <f>IFERROR(d_res!U5*DAF,".")</f>
        <v>27997507510.937225</v>
      </c>
      <c r="E5" s="123">
        <f>IFERROR((C5*0.001*(RadSpec!AS5+(θw/ρb))*1),".")</f>
        <v>0.153</v>
      </c>
      <c r="F5" s="123">
        <f>IFERROR((D5*0.001*(RadSpec!AS5+(θw/ρb))*1),".")</f>
        <v>285574576.61155969</v>
      </c>
    </row>
    <row r="6" spans="1:6" x14ac:dyDescent="0.25">
      <c r="A6" s="44" t="s">
        <v>16</v>
      </c>
      <c r="B6" s="42" t="s">
        <v>1074</v>
      </c>
      <c r="C6" s="123" t="str">
        <f>IF(RadSpec!AV6*DAF=0,".",RadSpec!AV6*DAF)</f>
        <v>.</v>
      </c>
      <c r="D6" s="123">
        <f>IFERROR(d_res!U6*DAF,".")</f>
        <v>262626.19225003081</v>
      </c>
      <c r="E6" s="123" t="str">
        <f>IFERROR((C6*0.001*(RadSpec!AS6+(θw/ρb))*1),".")</f>
        <v>.</v>
      </c>
      <c r="F6" s="123">
        <f>IFERROR((D6*0.001*(RadSpec!AS6+(θw/ρb))*1),".")</f>
        <v>157.5757153500185</v>
      </c>
    </row>
    <row r="7" spans="1:6" x14ac:dyDescent="0.25">
      <c r="A7" s="44" t="s">
        <v>17</v>
      </c>
      <c r="B7" s="42" t="s">
        <v>1074</v>
      </c>
      <c r="C7" s="123">
        <f>IF(RadSpec!AV7*DAF=0,".",RadSpec!AV7*DAF)</f>
        <v>15</v>
      </c>
      <c r="D7" s="123">
        <f>IFERROR(d_res!U7*DAF,".")</f>
        <v>0.76491798143484768</v>
      </c>
      <c r="E7" s="123">
        <f>IFERROR((C7*0.001*(RadSpec!AS7+(θw/ρb))*1),".")</f>
        <v>7.2029999999999994</v>
      </c>
      <c r="F7" s="123">
        <f>IFERROR((D7*0.001*(RadSpec!AS7+(θw/ρb))*1),".")</f>
        <v>0.36731361468501389</v>
      </c>
    </row>
    <row r="8" spans="1:6" x14ac:dyDescent="0.25">
      <c r="A8" s="44" t="s">
        <v>18</v>
      </c>
      <c r="B8" s="42" t="s">
        <v>1074</v>
      </c>
      <c r="C8" s="123">
        <f>IF(RadSpec!AV8*DAF=0,".",RadSpec!AV8*DAF)</f>
        <v>15</v>
      </c>
      <c r="D8" s="123">
        <f>IFERROR(d_res!U8*DAF,".")</f>
        <v>13.822041286454104</v>
      </c>
      <c r="E8" s="123">
        <f>IFERROR((C8*0.001*(RadSpec!AS8+(θw/ρb))*1),".")</f>
        <v>7.2029999999999994</v>
      </c>
      <c r="F8" s="123">
        <f>IFERROR((D8*0.001*(RadSpec!AS8+(θw/ρb))*1),".")</f>
        <v>6.6373442257552604</v>
      </c>
    </row>
    <row r="9" spans="1:6" x14ac:dyDescent="0.25">
      <c r="A9" s="44" t="s">
        <v>19</v>
      </c>
      <c r="B9" s="42" t="s">
        <v>1074</v>
      </c>
      <c r="C9" s="123">
        <f>IF(RadSpec!AV9*DAF=0,".",RadSpec!AV9*DAF)</f>
        <v>15</v>
      </c>
      <c r="D9" s="123">
        <f>IFERROR(d_res!U9*DAF,".")</f>
        <v>37.25993817595252</v>
      </c>
      <c r="E9" s="123">
        <f>IFERROR((C9*0.001*(RadSpec!AS9+(θw/ρb))*1),".")</f>
        <v>7.2029999999999994</v>
      </c>
      <c r="F9" s="123">
        <f>IFERROR((D9*0.001*(RadSpec!AS9+(θw/ρb))*1),".")</f>
        <v>17.8922223120924</v>
      </c>
    </row>
    <row r="10" spans="1:6" x14ac:dyDescent="0.25">
      <c r="A10" s="46" t="s">
        <v>20</v>
      </c>
      <c r="B10" s="42" t="s">
        <v>351</v>
      </c>
      <c r="C10" s="123">
        <f>IF(RadSpec!AV10*DAF=0,".",RadSpec!AV10*DAF)</f>
        <v>200</v>
      </c>
      <c r="D10" s="123">
        <f>IFERROR(d_res!U10*DAF,".")</f>
        <v>0.38190959098519783</v>
      </c>
      <c r="E10" s="123">
        <f>IFERROR((C10*0.001*(RadSpec!AS10+(θw/ρb))*1),".")</f>
        <v>2.04</v>
      </c>
      <c r="F10" s="123">
        <f>IFERROR((D10*0.001*(RadSpec!AS10+(θw/ρb))*1),".")</f>
        <v>3.8954778280490179E-3</v>
      </c>
    </row>
    <row r="11" spans="1:6" x14ac:dyDescent="0.25">
      <c r="A11" s="44" t="s">
        <v>21</v>
      </c>
      <c r="B11" s="42" t="s">
        <v>1074</v>
      </c>
      <c r="C11" s="123">
        <f>IF(RadSpec!AV11*DAF=0,".",RadSpec!AV11*DAF)</f>
        <v>15</v>
      </c>
      <c r="D11" s="123">
        <f>IFERROR(d_res!U11*DAF,".")</f>
        <v>5664011.8881573454</v>
      </c>
      <c r="E11" s="123">
        <f>IFERROR((C11*0.001*(RadSpec!AS11+(θw/ρb))*1),".")</f>
        <v>3.7529999999999997</v>
      </c>
      <c r="F11" s="123">
        <f>IFERROR((D11*0.001*(RadSpec!AS11+(θw/ρb))*1),".")</f>
        <v>1417135.7744169678</v>
      </c>
    </row>
    <row r="12" spans="1:6" x14ac:dyDescent="0.25">
      <c r="A12" s="44" t="s">
        <v>22</v>
      </c>
      <c r="B12" s="42" t="s">
        <v>1074</v>
      </c>
      <c r="C12" s="123" t="str">
        <f>IF(RadSpec!AV12*DAF=0,".",RadSpec!AV12*DAF)</f>
        <v>.</v>
      </c>
      <c r="D12" s="123">
        <f>IFERROR(d_res!U12*DAF,".")</f>
        <v>1328746.572681237</v>
      </c>
      <c r="E12" s="123" t="str">
        <f>IFERROR((C12*0.001*(RadSpec!AS12+(θw/ρb))*1),".")</f>
        <v>.</v>
      </c>
      <c r="F12" s="123">
        <f>IFERROR((D12*0.001*(RadSpec!AS12+(θw/ρb))*1),".")</f>
        <v>8371369.1572063295</v>
      </c>
    </row>
    <row r="13" spans="1:6" x14ac:dyDescent="0.25">
      <c r="A13" s="44" t="s">
        <v>23</v>
      </c>
      <c r="B13" s="42" t="s">
        <v>1074</v>
      </c>
      <c r="C13" s="123">
        <f>IF(RadSpec!AV13*DAF=0,".",RadSpec!AV13*DAF)</f>
        <v>15</v>
      </c>
      <c r="D13" s="123">
        <f>IFERROR(d_res!U13*DAF,".")</f>
        <v>0.1925709061972472</v>
      </c>
      <c r="E13" s="123">
        <f>IFERROR((C13*0.001*(RadSpec!AS13+(θw/ρb))*1),".")</f>
        <v>6.0000000000000001E-3</v>
      </c>
      <c r="F13" s="123">
        <f>IFERROR((D13*0.001*(RadSpec!AS13+(θw/ρb))*1),".")</f>
        <v>7.7028362478898888E-5</v>
      </c>
    </row>
    <row r="14" spans="1:6" x14ac:dyDescent="0.25">
      <c r="A14" s="44" t="s">
        <v>24</v>
      </c>
      <c r="B14" s="42" t="s">
        <v>1074</v>
      </c>
      <c r="C14" s="123">
        <f>IF(RadSpec!AV14*DAF=0,".",RadSpec!AV14*DAF)</f>
        <v>300</v>
      </c>
      <c r="D14" s="123">
        <f>IFERROR(d_res!U14*DAF,".")</f>
        <v>1.8116246862698198</v>
      </c>
      <c r="E14" s="123">
        <f>IFERROR((C14*0.001*(RadSpec!AS14+(θw/ρb))*1),".")</f>
        <v>600.05999999999995</v>
      </c>
      <c r="F14" s="123">
        <f>IFERROR((D14*0.001*(RadSpec!AS14+(θw/ρb))*1),".")</f>
        <v>3.6236116974768935</v>
      </c>
    </row>
    <row r="15" spans="1:6" x14ac:dyDescent="0.25">
      <c r="A15" s="44" t="s">
        <v>25</v>
      </c>
      <c r="B15" s="42" t="s">
        <v>1074</v>
      </c>
      <c r="C15" s="123" t="str">
        <f>IF(RadSpec!AV15*DAF=0,".",RadSpec!AV15*DAF)</f>
        <v>.</v>
      </c>
      <c r="D15" s="123">
        <f>IFERROR(d_res!U15*DAF,".")</f>
        <v>44.308210302992634</v>
      </c>
      <c r="E15" s="123" t="str">
        <f>IFERROR((C15*0.001*(RadSpec!AS15+(θw/ρb))*1),".")</f>
        <v>.</v>
      </c>
      <c r="F15" s="123">
        <f>IFERROR((D15*0.001*(RadSpec!AS15+(θw/ρb))*1),".")</f>
        <v>6.6550931875094941</v>
      </c>
    </row>
    <row r="16" spans="1:6" x14ac:dyDescent="0.25">
      <c r="A16" s="44" t="s">
        <v>26</v>
      </c>
      <c r="B16" s="42" t="s">
        <v>1074</v>
      </c>
      <c r="C16" s="123" t="str">
        <f>IF(RadSpec!AV16*DAF=0,".",RadSpec!AV16*DAF)</f>
        <v>.</v>
      </c>
      <c r="D16" s="123">
        <f>IFERROR(d_res!U16*DAF,".")</f>
        <v>1.2894734020611302E-2</v>
      </c>
      <c r="E16" s="123" t="str">
        <f>IFERROR((C16*0.001*(RadSpec!AS16+(θw/ρb))*1),".")</f>
        <v>.</v>
      </c>
      <c r="F16" s="123">
        <f>IFERROR((D16*0.001*(RadSpec!AS16+(θw/ρb))*1),".")</f>
        <v>1.9367890498958177E-3</v>
      </c>
    </row>
    <row r="17" spans="1:6" x14ac:dyDescent="0.25">
      <c r="A17" s="44" t="s">
        <v>27</v>
      </c>
      <c r="B17" s="42" t="s">
        <v>1074</v>
      </c>
      <c r="C17" s="123" t="str">
        <f>IF(RadSpec!AV17*DAF=0,".",RadSpec!AV17*DAF)</f>
        <v>.</v>
      </c>
      <c r="D17" s="123">
        <f>IFERROR(d_res!U17*DAF,".")</f>
        <v>31.676223724349434</v>
      </c>
      <c r="E17" s="123" t="str">
        <f>IFERROR((C17*0.001*(RadSpec!AS17+(θw/ρb))*1),".")</f>
        <v>.</v>
      </c>
      <c r="F17" s="123">
        <f>IFERROR((D17*0.001*(RadSpec!AS17+(θw/ρb))*1),".")</f>
        <v>4.7577688033972851</v>
      </c>
    </row>
    <row r="18" spans="1:6" x14ac:dyDescent="0.25">
      <c r="A18" s="44" t="s">
        <v>28</v>
      </c>
      <c r="B18" s="42" t="s">
        <v>1074</v>
      </c>
      <c r="C18" s="123">
        <f>IF(RadSpec!AV18*DAF=0,".",RadSpec!AV18*DAF)</f>
        <v>15</v>
      </c>
      <c r="D18" s="123">
        <f>IFERROR(d_res!U18*DAF,".")</f>
        <v>7.4101759120259059E-3</v>
      </c>
      <c r="E18" s="123">
        <f>IFERROR((C18*0.001*(RadSpec!AS18+(θw/ρb))*1),".")</f>
        <v>3.1529999999999996</v>
      </c>
      <c r="F18" s="123">
        <f>IFERROR((D18*0.001*(RadSpec!AS18+(θw/ρb))*1),".")</f>
        <v>1.5576189767078454E-3</v>
      </c>
    </row>
    <row r="19" spans="1:6" x14ac:dyDescent="0.25">
      <c r="A19" s="44" t="s">
        <v>29</v>
      </c>
      <c r="B19" s="42" t="s">
        <v>1074</v>
      </c>
      <c r="C19" s="123">
        <f>IF(RadSpec!AV19*DAF=0,".",RadSpec!AV19*DAF)</f>
        <v>15</v>
      </c>
      <c r="D19" s="123">
        <f>IFERROR(d_res!U19*DAF,".")</f>
        <v>4110670835.2178731</v>
      </c>
      <c r="E19" s="123">
        <f>IFERROR((C19*0.001*(RadSpec!AS19+(θw/ρb))*1),".")</f>
        <v>3.1529999999999996</v>
      </c>
      <c r="F19" s="123">
        <f>IFERROR((D19*0.001*(RadSpec!AS19+(θw/ρb))*1),".")</f>
        <v>864063009.56279683</v>
      </c>
    </row>
    <row r="20" spans="1:6" x14ac:dyDescent="0.25">
      <c r="A20" s="44" t="s">
        <v>30</v>
      </c>
      <c r="B20" s="42" t="s">
        <v>1074</v>
      </c>
      <c r="C20" s="123">
        <f>IF(RadSpec!AV20*DAF=0,".",RadSpec!AV20*DAF)</f>
        <v>15</v>
      </c>
      <c r="D20" s="123">
        <f>IFERROR(d_res!U20*DAF,".")</f>
        <v>1853831945.2943351</v>
      </c>
      <c r="E20" s="123">
        <f>IFERROR((C20*0.001*(RadSpec!AS20+(θw/ρb))*1),".")</f>
        <v>3.1529999999999996</v>
      </c>
      <c r="F20" s="123">
        <f>IFERROR((D20*0.001*(RadSpec!AS20+(θw/ρb))*1),".")</f>
        <v>389675474.90086925</v>
      </c>
    </row>
    <row r="21" spans="1:6" x14ac:dyDescent="0.25">
      <c r="A21" s="44" t="s">
        <v>31</v>
      </c>
      <c r="B21" s="42" t="s">
        <v>1074</v>
      </c>
      <c r="C21" s="123">
        <f>IF(RadSpec!AV21*DAF=0,".",RadSpec!AV21*DAF)</f>
        <v>15</v>
      </c>
      <c r="D21" s="123">
        <f>IFERROR(d_res!U21*DAF,".")</f>
        <v>28385463735107.258</v>
      </c>
      <c r="E21" s="123">
        <f>IFERROR((C21*0.001*(RadSpec!AS21+(θw/ρb))*1),".")</f>
        <v>3.1529999999999996</v>
      </c>
      <c r="F21" s="123">
        <f>IFERROR((D21*0.001*(RadSpec!AS21+(θw/ρb))*1),".")</f>
        <v>5966624477119.5449</v>
      </c>
    </row>
    <row r="22" spans="1:6" x14ac:dyDescent="0.25">
      <c r="A22" s="44" t="s">
        <v>32</v>
      </c>
      <c r="B22" s="42" t="s">
        <v>1074</v>
      </c>
      <c r="C22" s="123" t="str">
        <f>IF(RadSpec!AV22*DAF=0,".",RadSpec!AV22*DAF)</f>
        <v>.</v>
      </c>
      <c r="D22" s="123">
        <f>IFERROR(d_res!U22*DAF,".")</f>
        <v>9.5727613228620501E-2</v>
      </c>
      <c r="E22" s="123" t="str">
        <f>IFERROR((C22*0.001*(RadSpec!AS22+(θw/ρb))*1),".")</f>
        <v>.</v>
      </c>
      <c r="F22" s="123">
        <f>IFERROR((D22*0.001*(RadSpec!AS22+(θw/ρb))*1),".")</f>
        <v>1.148731358743446E-4</v>
      </c>
    </row>
    <row r="23" spans="1:6" x14ac:dyDescent="0.25">
      <c r="A23" s="46" t="s">
        <v>33</v>
      </c>
      <c r="B23" s="42" t="s">
        <v>351</v>
      </c>
      <c r="C23" s="123">
        <f>IF(RadSpec!AV23*DAF=0,".",RadSpec!AV23*DAF)</f>
        <v>5</v>
      </c>
      <c r="D23" s="123">
        <f>IFERROR(d_res!U23*DAF,".")</f>
        <v>4.3446819047394356E-4</v>
      </c>
      <c r="E23" s="123">
        <f>IFERROR((C23*0.001*(RadSpec!AS23+(θw/ρb))*1),".")</f>
        <v>6.0000000000000001E-3</v>
      </c>
      <c r="F23" s="123">
        <f>IFERROR((D23*0.001*(RadSpec!AS23+(θw/ρb))*1),".")</f>
        <v>5.2136182856873224E-7</v>
      </c>
    </row>
    <row r="24" spans="1:6" x14ac:dyDescent="0.25">
      <c r="A24" s="44" t="s">
        <v>34</v>
      </c>
      <c r="B24" s="42" t="s">
        <v>1074</v>
      </c>
      <c r="C24" s="123" t="str">
        <f>IF(RadSpec!AV24*DAF=0,".",RadSpec!AV24*DAF)</f>
        <v>.</v>
      </c>
      <c r="D24" s="123">
        <f>IFERROR(d_res!U24*DAF,".")</f>
        <v>207266539.58349818</v>
      </c>
      <c r="E24" s="123" t="str">
        <f>IFERROR((C24*0.001*(RadSpec!AS24+(θw/ρb))*1),".")</f>
        <v>.</v>
      </c>
      <c r="F24" s="123">
        <f>IFERROR((D24*0.001*(RadSpec!AS24+(θw/ρb))*1),".")</f>
        <v>41453.307916699632</v>
      </c>
    </row>
    <row r="25" spans="1:6" x14ac:dyDescent="0.25">
      <c r="A25" s="46" t="s">
        <v>35</v>
      </c>
      <c r="B25" s="42" t="s">
        <v>351</v>
      </c>
      <c r="C25" s="123" t="str">
        <f>IF(RadSpec!AV25*DAF=0,".",RadSpec!AV25*DAF)</f>
        <v>.</v>
      </c>
      <c r="D25" s="123">
        <f>IFERROR(d_res!U25*DAF,".")</f>
        <v>5.4484035450422228</v>
      </c>
      <c r="E25" s="123" t="str">
        <f>IFERROR((C25*0.001*(RadSpec!AS25+(θw/ρb))*1),".")</f>
        <v>.</v>
      </c>
      <c r="F25" s="123">
        <f>IFERROR((D25*0.001*(RadSpec!AS25+(θw/ρb))*1),".")</f>
        <v>1.0896807090084446E-3</v>
      </c>
    </row>
    <row r="26" spans="1:6" x14ac:dyDescent="0.25">
      <c r="A26" s="44" t="s">
        <v>36</v>
      </c>
      <c r="B26" s="42" t="s">
        <v>1074</v>
      </c>
      <c r="C26" s="123">
        <f>IF(RadSpec!AV26*DAF=0,".",RadSpec!AV26*DAF)</f>
        <v>15</v>
      </c>
      <c r="D26" s="123">
        <f>IFERROR(d_res!U26*DAF,".")</f>
        <v>5.8150678779044174E-2</v>
      </c>
      <c r="E26" s="123">
        <f>IFERROR((C26*0.001*(RadSpec!AS26+(θw/ρb))*1),".")</f>
        <v>0.30299999999999999</v>
      </c>
      <c r="F26" s="123">
        <f>IFERROR((D26*0.001*(RadSpec!AS26+(θw/ρb))*1),".")</f>
        <v>1.1746437113366922E-3</v>
      </c>
    </row>
    <row r="27" spans="1:6" x14ac:dyDescent="0.25">
      <c r="A27" s="44" t="s">
        <v>37</v>
      </c>
      <c r="B27" s="42" t="s">
        <v>1074</v>
      </c>
      <c r="C27" s="123" t="str">
        <f>IF(RadSpec!AV27*DAF=0,".",RadSpec!AV27*DAF)</f>
        <v>.</v>
      </c>
      <c r="D27" s="123">
        <f>IFERROR(d_res!U27*DAF,".")</f>
        <v>97546871.407154307</v>
      </c>
      <c r="E27" s="123" t="str">
        <f>IFERROR((C27*0.001*(RadSpec!AS27+(θw/ρb))*1),".")</f>
        <v>.</v>
      </c>
      <c r="F27" s="123">
        <f>IFERROR((D27*0.001*(RadSpec!AS27+(θw/ρb))*1),".")</f>
        <v>146339816.48501289</v>
      </c>
    </row>
    <row r="28" spans="1:6" x14ac:dyDescent="0.25">
      <c r="A28" s="44" t="s">
        <v>38</v>
      </c>
      <c r="B28" s="42" t="s">
        <v>1074</v>
      </c>
      <c r="C28" s="123" t="str">
        <f>IF(RadSpec!AV28*DAF=0,".",RadSpec!AV28*DAF)</f>
        <v>.</v>
      </c>
      <c r="D28" s="123">
        <f>IFERROR(d_res!U28*DAF,".")</f>
        <v>69050.032569109215</v>
      </c>
      <c r="E28" s="123" t="str">
        <f>IFERROR((C28*0.001*(RadSpec!AS28+(θw/ρb))*1),".")</f>
        <v>.</v>
      </c>
      <c r="F28" s="123">
        <f>IFERROR((D28*0.001*(RadSpec!AS28+(θw/ρb))*1),".")</f>
        <v>103588.85886017766</v>
      </c>
    </row>
    <row r="29" spans="1:6" x14ac:dyDescent="0.25">
      <c r="A29" s="44" t="s">
        <v>39</v>
      </c>
      <c r="B29" s="42" t="s">
        <v>1074</v>
      </c>
      <c r="C29" s="123" t="str">
        <f>IF(RadSpec!AV29*DAF=0,".",RadSpec!AV29*DAF)</f>
        <v>.</v>
      </c>
      <c r="D29" s="123">
        <f>IFERROR(d_res!U29*DAF,".")</f>
        <v>53438.720857832363</v>
      </c>
      <c r="E29" s="123" t="str">
        <f>IFERROR((C29*0.001*(RadSpec!AS29+(θw/ρb))*1),".")</f>
        <v>.</v>
      </c>
      <c r="F29" s="123">
        <f>IFERROR((D29*0.001*(RadSpec!AS29+(θw/ρb))*1),".")</f>
        <v>80168.769030920113</v>
      </c>
    </row>
    <row r="30" spans="1:6" x14ac:dyDescent="0.25">
      <c r="A30" s="44" t="s">
        <v>40</v>
      </c>
      <c r="B30" s="42" t="s">
        <v>1074</v>
      </c>
      <c r="C30" s="123">
        <f>IF(RadSpec!AV30*DAF=0,".",RadSpec!AV30*DAF)</f>
        <v>289207.91735594597</v>
      </c>
      <c r="D30" s="123">
        <f>IFERROR(d_res!U30*DAF,".")</f>
        <v>0.16793873156242634</v>
      </c>
      <c r="E30" s="123">
        <f>IFERROR((C30*0.001*(RadSpec!AS30+(θw/ρb))*1),".")</f>
        <v>173.5247504135676</v>
      </c>
      <c r="F30" s="123">
        <f>IFERROR((D30*0.001*(RadSpec!AS30+(θw/ρb))*1),".")</f>
        <v>1.0076323893745581E-4</v>
      </c>
    </row>
    <row r="31" spans="1:6" x14ac:dyDescent="0.25">
      <c r="A31" s="82" t="s">
        <v>13</v>
      </c>
      <c r="B31" s="57" t="s">
        <v>1259</v>
      </c>
      <c r="C31" s="58">
        <f>1/SUM(1/C32,1/C33,1/C34,1/C35,1/C36,1/C38,1/C39,1/C40,1/C41,1/C42)</f>
        <v>1.8682475988220888</v>
      </c>
      <c r="D31" s="58">
        <f>1/SUM(1/D32,1/D33,1/D34,1/D35,1/D36,1/D37,1/D38,1/D39,1/D40,1/D41,1/D42,1/D43,1/D44)</f>
        <v>1.5852614932706916E-2</v>
      </c>
      <c r="E31" s="125">
        <f>1/SUM(1/E32,1/E33,1/E34,1/E35,1/E36,1/E38,1/E39,1/E40,1/E41,1/E42)</f>
        <v>5.1776353222086824E-3</v>
      </c>
      <c r="F31" s="125">
        <f>1/SUM(1/F32,1/F33,1/F34,1/F35,1/F36,1/F37,1/F38,1/F39,1/F40,1/F41,1/F42,1/F43,1/F44)</f>
        <v>2.910863540849797E-5</v>
      </c>
    </row>
    <row r="32" spans="1:6" x14ac:dyDescent="0.25">
      <c r="A32" s="83" t="s">
        <v>1102</v>
      </c>
      <c r="B32" s="42">
        <v>1</v>
      </c>
      <c r="C32" s="60">
        <f>IFERROR(C3/$B32,0)</f>
        <v>15</v>
      </c>
      <c r="D32" s="60">
        <f>IFERROR(D3/$B32,0)</f>
        <v>0.1265677971737097</v>
      </c>
      <c r="E32" s="178">
        <f>IFERROR((C32*0.001*(RadSpec!$AS3+(θw/ρb))*1),".")</f>
        <v>6.3E-2</v>
      </c>
      <c r="F32" s="178">
        <f>IFERROR((D32*0.001*(RadSpec!$AS3+(θw/ρb))*1),".")</f>
        <v>5.3158474812958073E-4</v>
      </c>
    </row>
    <row r="33" spans="1:6" x14ac:dyDescent="0.25">
      <c r="A33" s="83" t="s">
        <v>1078</v>
      </c>
      <c r="B33" s="42">
        <v>1</v>
      </c>
      <c r="C33" s="60">
        <f>IFERROR(C13/$B33,0)</f>
        <v>15</v>
      </c>
      <c r="D33" s="60">
        <f>IFERROR(D13/$B33,0)</f>
        <v>0.1925709061972472</v>
      </c>
      <c r="E33" s="178">
        <f>IFERROR((C33*0.001*(RadSpec!$AS13+(θw/ρb))*1),".")</f>
        <v>6.0000000000000001E-3</v>
      </c>
      <c r="F33" s="178">
        <f>IFERROR((D33*0.001*(RadSpec!$AS13+(θw/ρb))*1),".")</f>
        <v>7.7028362478898888E-5</v>
      </c>
    </row>
    <row r="34" spans="1:6" x14ac:dyDescent="0.25">
      <c r="A34" s="83" t="s">
        <v>1079</v>
      </c>
      <c r="B34" s="42">
        <v>1</v>
      </c>
      <c r="C34" s="60">
        <f>IFERROR(C14/$B34,0)</f>
        <v>300</v>
      </c>
      <c r="D34" s="60">
        <f>IFERROR(D14/$B34,0)</f>
        <v>1.8116246862698198</v>
      </c>
      <c r="E34" s="178">
        <f>IFERROR((C34*0.001*(RadSpec!$AS14+(θw/ρb))*1),".")</f>
        <v>600.05999999999995</v>
      </c>
      <c r="F34" s="178">
        <f>IFERROR((D34*0.001*(RadSpec!$AS14+(θw/ρb))*1),".")</f>
        <v>3.6236116974768935</v>
      </c>
    </row>
    <row r="35" spans="1:6" x14ac:dyDescent="0.25">
      <c r="A35" s="83" t="s">
        <v>1080</v>
      </c>
      <c r="B35" s="42">
        <v>1</v>
      </c>
      <c r="C35" s="60">
        <f>IFERROR(C30/$B35,0)</f>
        <v>289207.91735594597</v>
      </c>
      <c r="D35" s="60">
        <f>IFERROR(D30/$B35,0)</f>
        <v>0.16793873156242634</v>
      </c>
      <c r="E35" s="178">
        <f>IFERROR((C35*0.001*(RadSpec!$AS30+(θw/ρb))*1),".")</f>
        <v>173.5247504135676</v>
      </c>
      <c r="F35" s="178">
        <f>IFERROR((D35*0.001*(RadSpec!$AS30+(θw/ρb))*1),".")</f>
        <v>1.0076323893745581E-4</v>
      </c>
    </row>
    <row r="36" spans="1:6" x14ac:dyDescent="0.25">
      <c r="A36" s="83" t="s">
        <v>1081</v>
      </c>
      <c r="B36" s="42">
        <v>1</v>
      </c>
      <c r="C36" s="60">
        <f>IFERROR(C26/$B36,0)</f>
        <v>15</v>
      </c>
      <c r="D36" s="60">
        <f>IFERROR(D26/$B36,0)</f>
        <v>5.8150678779044174E-2</v>
      </c>
      <c r="E36" s="178">
        <f>IFERROR((C36*0.001*(RadSpec!$AS26+(θw/ρb))*1),".")</f>
        <v>0.30299999999999999</v>
      </c>
      <c r="F36" s="178">
        <f>IFERROR((D36*0.001*(RadSpec!$AS26+(θw/ρb))*1),".")</f>
        <v>1.1746437113366922E-3</v>
      </c>
    </row>
    <row r="37" spans="1:6" x14ac:dyDescent="0.25">
      <c r="A37" s="83" t="s">
        <v>1082</v>
      </c>
      <c r="B37" s="42">
        <v>1</v>
      </c>
      <c r="C37" s="60">
        <f>IFERROR(C22/$B37,0)</f>
        <v>0</v>
      </c>
      <c r="D37" s="60">
        <f>IFERROR(D22/$B37,0)</f>
        <v>9.5727613228620501E-2</v>
      </c>
      <c r="E37" s="178">
        <f>IFERROR((C37*0.001*(RadSpec!$AS22+(θw/ρb))*1),".")</f>
        <v>0</v>
      </c>
      <c r="F37" s="178">
        <f>IFERROR((D37*0.001*(RadSpec!$AS22+(θw/ρb))*1),".")</f>
        <v>1.148731358743446E-4</v>
      </c>
    </row>
    <row r="38" spans="1:6" x14ac:dyDescent="0.25">
      <c r="A38" s="83" t="s">
        <v>1083</v>
      </c>
      <c r="B38" s="42">
        <v>1</v>
      </c>
      <c r="C38" s="60">
        <f>IFERROR(C2/$B38,0)</f>
        <v>15</v>
      </c>
      <c r="D38" s="60">
        <f>IFERROR(D2/$B38,0)</f>
        <v>6.3521024840261772E-2</v>
      </c>
      <c r="E38" s="178">
        <f>IFERROR((C38*0.001*(RadSpec!$AS2+(θw/ρb))*1),".")</f>
        <v>25.503</v>
      </c>
      <c r="F38" s="178">
        <f>IFERROR((D38*0.001*(RadSpec!$AS2+(θw/ρb))*1),".")</f>
        <v>0.10799844643341307</v>
      </c>
    </row>
    <row r="39" spans="1:6" x14ac:dyDescent="0.25">
      <c r="A39" s="83" t="s">
        <v>1084</v>
      </c>
      <c r="B39" s="42">
        <v>1</v>
      </c>
      <c r="C39" s="60">
        <f>IFERROR(C11/$B39,0)</f>
        <v>15</v>
      </c>
      <c r="D39" s="60">
        <f>IFERROR(D11/$B39,0)</f>
        <v>5664011.8881573454</v>
      </c>
      <c r="E39" s="178">
        <f>IFERROR((C39*0.001*(RadSpec!$AS11+(θw/ρb))*1),".")</f>
        <v>3.7529999999999997</v>
      </c>
      <c r="F39" s="178">
        <f>IFERROR((D39*0.001*(RadSpec!$AS11+(θw/ρb))*1),".")</f>
        <v>1417135.7744169678</v>
      </c>
    </row>
    <row r="40" spans="1:6" x14ac:dyDescent="0.25">
      <c r="A40" s="83" t="s">
        <v>1085</v>
      </c>
      <c r="B40" s="42">
        <v>1</v>
      </c>
      <c r="C40" s="60">
        <f>IFERROR(C4/$B40,0)</f>
        <v>15</v>
      </c>
      <c r="D40" s="60">
        <f>IFERROR(D4/$B40,0)</f>
        <v>671634196.57384932</v>
      </c>
      <c r="E40" s="178">
        <f>IFERROR((C40*0.001*(RadSpec!$AS4+(θw/ρb))*1),".")</f>
        <v>0.153</v>
      </c>
      <c r="F40" s="178">
        <f>IFERROR((D40*0.001*(RadSpec!$AS4+(θw/ρb))*1),".")</f>
        <v>6850668.805053262</v>
      </c>
    </row>
    <row r="41" spans="1:6" x14ac:dyDescent="0.25">
      <c r="A41" s="83" t="s">
        <v>1086</v>
      </c>
      <c r="B41" s="84">
        <v>0.99987999999999999</v>
      </c>
      <c r="C41" s="60">
        <f>IFERROR(C8/$B41,0)</f>
        <v>15.001800216025924</v>
      </c>
      <c r="D41" s="60">
        <f>IFERROR(D8/$B41,0)</f>
        <v>13.82370013046976</v>
      </c>
      <c r="E41" s="178">
        <f>IFERROR((C41*0.001*(RadSpec!$AS8+(θw/ρb))*1),".")</f>
        <v>7.2038644637356484</v>
      </c>
      <c r="F41" s="178">
        <f>IFERROR((D41*0.001*(RadSpec!$AS8+(θw/ρb))*1),".")</f>
        <v>6.638140802651578</v>
      </c>
    </row>
    <row r="42" spans="1:6" x14ac:dyDescent="0.25">
      <c r="A42" s="83" t="s">
        <v>1087</v>
      </c>
      <c r="B42" s="42">
        <v>0.97898250799999997</v>
      </c>
      <c r="C42" s="60">
        <f>IFERROR(C19/$B42,0)</f>
        <v>15.322030656752041</v>
      </c>
      <c r="D42" s="60">
        <f>IFERROR(D19/$B42,0)</f>
        <v>4198921637.1349845</v>
      </c>
      <c r="E42" s="178">
        <f>IFERROR((C42*0.001*(RadSpec!$AS19+(θw/ρb))*1),".")</f>
        <v>3.2206908440492792</v>
      </c>
      <c r="F42" s="178">
        <f>IFERROR((D42*0.001*(RadSpec!$AS19+(θw/ρb))*1),".")</f>
        <v>882613328.12577367</v>
      </c>
    </row>
    <row r="43" spans="1:6" x14ac:dyDescent="0.25">
      <c r="A43" s="83" t="s">
        <v>1088</v>
      </c>
      <c r="B43" s="42">
        <v>2.0897492E-2</v>
      </c>
      <c r="C43" s="60">
        <f>IFERROR(C28/$B43,0)</f>
        <v>0</v>
      </c>
      <c r="D43" s="60">
        <f>IFERROR(D28/$B43,0)</f>
        <v>3304225.8166247518</v>
      </c>
      <c r="E43" s="178">
        <f>IFERROR((C43*0.001*(RadSpec!$AS28+(θw/ρb))*1),".")</f>
        <v>0</v>
      </c>
      <c r="F43" s="178">
        <f>IFERROR((D43*0.001*(RadSpec!$AS28+(θw/ρb))*1),".")</f>
        <v>4956999.5701004528</v>
      </c>
    </row>
    <row r="44" spans="1:6" x14ac:dyDescent="0.25">
      <c r="A44" s="83" t="s">
        <v>1089</v>
      </c>
      <c r="B44" s="42">
        <v>0.99987999999999999</v>
      </c>
      <c r="C44" s="60">
        <f>IFERROR(C15/$B44,0)</f>
        <v>0</v>
      </c>
      <c r="D44" s="60">
        <f>IFERROR(D15/$B44,0)</f>
        <v>44.313527926343795</v>
      </c>
      <c r="E44" s="178">
        <f>IFERROR((C44*0.001*(RadSpec!$AS15+(θw/ρb))*1),".")</f>
        <v>0</v>
      </c>
      <c r="F44" s="178">
        <f>IFERROR((D44*0.001*(RadSpec!$AS15+(θw/ρb))*1),".")</f>
        <v>6.6558918945368379</v>
      </c>
    </row>
    <row r="45" spans="1:6" x14ac:dyDescent="0.25">
      <c r="A45" s="82" t="s">
        <v>20</v>
      </c>
      <c r="B45" s="57" t="s">
        <v>1259</v>
      </c>
      <c r="C45" s="58">
        <f t="shared" ref="C45:E45" si="0">IFERROR(IF(AND(C46&lt;&gt;0,C47&lt;&gt;0),1/SUM(1/C46,1/C47),IF(AND(C46&lt;&gt;0,C47=0),1/(1/C46),IF(AND(C46=0,C47&lt;&gt;0),1/(1/C47),IF(AND(C46=0,C47=0),".")))),".")</f>
        <v>200</v>
      </c>
      <c r="D45" s="58">
        <f t="shared" si="0"/>
        <v>0.3819090667213742</v>
      </c>
      <c r="E45" s="125">
        <f t="shared" si="0"/>
        <v>2.04</v>
      </c>
      <c r="F45" s="125">
        <f>IFERROR(IF(AND(F46&lt;&gt;0,F47&lt;&gt;0),1/SUM(1/F46,1/F47),IF(AND(F46&lt;&gt;0,F47=0),1/(1/F46),IF(AND(F46=0,F47&lt;&gt;0),1/(1/F47),IF(AND(F46=0,F47=0),".")))),".")</f>
        <v>3.8953869226986378E-3</v>
      </c>
    </row>
    <row r="46" spans="1:6" x14ac:dyDescent="0.25">
      <c r="A46" s="83" t="s">
        <v>1101</v>
      </c>
      <c r="B46" s="42">
        <v>1</v>
      </c>
      <c r="C46" s="60">
        <f>IFERROR(C10/$B46,0)</f>
        <v>200</v>
      </c>
      <c r="D46" s="60">
        <f>IFERROR(D10/$B46,0)</f>
        <v>0.38190959098519783</v>
      </c>
      <c r="E46" s="60">
        <f>IFERROR((C46*0.001*(RadSpec!$AS10+(θw/ρb))*1),".")</f>
        <v>2.04</v>
      </c>
      <c r="F46" s="60">
        <f>IFERROR((D46*0.001*(RadSpec!$AS10+(θw/ρb))*1),".")</f>
        <v>3.8954778280490179E-3</v>
      </c>
    </row>
    <row r="47" spans="1:6" x14ac:dyDescent="0.25">
      <c r="A47" s="83" t="s">
        <v>1075</v>
      </c>
      <c r="B47" s="85">
        <v>0.94399</v>
      </c>
      <c r="C47" s="60">
        <f>IFERROR(C6/$B$47,0)</f>
        <v>0</v>
      </c>
      <c r="D47" s="60">
        <f>IFERROR(D6/$B$47,0)</f>
        <v>278208.65925489762</v>
      </c>
      <c r="E47" s="60">
        <f>IFERROR((C47*0.001*(RadSpec!$AS6+(θw/ρb))*1),".")</f>
        <v>0</v>
      </c>
      <c r="F47" s="60">
        <f>IFERROR((D47*0.001*(RadSpec!$AS6+(θw/ρb))*1),".")</f>
        <v>166.92519555293856</v>
      </c>
    </row>
    <row r="48" spans="1:6" x14ac:dyDescent="0.25">
      <c r="A48" s="82" t="s">
        <v>33</v>
      </c>
      <c r="B48" s="57" t="s">
        <v>1259</v>
      </c>
      <c r="C48" s="58">
        <f>1/SUM(1/C49,1/C51,1/C53,1/C54,1/C56,1/C59,1/C61)</f>
        <v>1.8750023906182043</v>
      </c>
      <c r="D48" s="58">
        <f>1/SUM(1/D49,1/D50,1/D51,1/D52,1/D53,1/D54,1/D55,1/D56,1/D57,1/D58,1/D59,1/D60,1/D61,1/D62)</f>
        <v>3.975014098694463E-4</v>
      </c>
      <c r="E48" s="58">
        <f>1/SUM(1/E49,1/E51,1/E53,1/E54,1/E56,1/E59,1/E61)</f>
        <v>5.9560310032971617E-3</v>
      </c>
      <c r="F48" s="58">
        <f>1/SUM(1/F49,1/F50,1/F51,1/F52,1/F53,1/F54,1/F55,1/F56,1/F57,1/F58,1/F59,1/F60,1/F61,1/F62)</f>
        <v>5.2079732708762799E-7</v>
      </c>
    </row>
    <row r="49" spans="1:6" x14ac:dyDescent="0.25">
      <c r="A49" s="83" t="s">
        <v>1103</v>
      </c>
      <c r="B49" s="42">
        <v>1</v>
      </c>
      <c r="C49" s="60">
        <f>IFERROR(C23/$B49,0)</f>
        <v>5</v>
      </c>
      <c r="D49" s="60">
        <f>IFERROR(D23/$B49,0)</f>
        <v>4.3446819047394356E-4</v>
      </c>
      <c r="E49" s="60">
        <f>IFERROR((C49*0.001*(RadSpec!$AS23+(θw/ρb))*1),".")</f>
        <v>6.0000000000000001E-3</v>
      </c>
      <c r="F49" s="60">
        <f>IFERROR((D49*0.001*(RadSpec!$AS23+(θw/ρb))*1),".")</f>
        <v>5.2136182856873224E-7</v>
      </c>
    </row>
    <row r="50" spans="1:6" x14ac:dyDescent="0.25">
      <c r="A50" s="83" t="s">
        <v>1090</v>
      </c>
      <c r="B50" s="42">
        <v>1</v>
      </c>
      <c r="C50" s="60">
        <f>IFERROR(C25/$B50,0)</f>
        <v>0</v>
      </c>
      <c r="D50" s="60">
        <f>IFERROR(D25/$B50,0)</f>
        <v>5.4484035450422228</v>
      </c>
      <c r="E50" s="60">
        <f>IFERROR((C50*0.001*(RadSpec!$AS25+(θw/ρb))*1),".")</f>
        <v>0</v>
      </c>
      <c r="F50" s="60">
        <f>IFERROR((D50*0.001*(RadSpec!$AS25+(θw/ρb))*1),".")</f>
        <v>1.0896807090084446E-3</v>
      </c>
    </row>
    <row r="51" spans="1:6" x14ac:dyDescent="0.25">
      <c r="A51" s="83" t="s">
        <v>1076</v>
      </c>
      <c r="B51" s="42">
        <v>1</v>
      </c>
      <c r="C51" s="60">
        <f>IFERROR(C21/$B51,0)</f>
        <v>15</v>
      </c>
      <c r="D51" s="60">
        <f>IFERROR(D21/$B51,0)</f>
        <v>28385463735107.258</v>
      </c>
      <c r="E51" s="60">
        <f>IFERROR((C51*0.001*(RadSpec!$AS21+(θw/ρb))*1),".")</f>
        <v>3.1529999999999996</v>
      </c>
      <c r="F51" s="60">
        <f>IFERROR((D51*0.001*(RadSpec!$AS21+(θw/ρb))*1),".")</f>
        <v>5966624477119.5449</v>
      </c>
    </row>
    <row r="52" spans="1:6" x14ac:dyDescent="0.25">
      <c r="A52" s="83" t="s">
        <v>1077</v>
      </c>
      <c r="B52" s="85">
        <v>0.99980000000000002</v>
      </c>
      <c r="C52" s="60">
        <f>IFERROR(C17/$B52,0)</f>
        <v>0</v>
      </c>
      <c r="D52" s="60">
        <f>IFERROR(D17/$B52,0)</f>
        <v>31.682560236396714</v>
      </c>
      <c r="E52" s="60">
        <f>IFERROR((C52*0.001*(RadSpec!$AS17+(θw/ρb))*1),".")</f>
        <v>0</v>
      </c>
      <c r="F52" s="60">
        <f>IFERROR((D52*0.001*(RadSpec!$AS17+(θw/ρb))*1),".")</f>
        <v>4.758720547506786</v>
      </c>
    </row>
    <row r="53" spans="1:6" x14ac:dyDescent="0.25">
      <c r="A53" s="83" t="s">
        <v>1091</v>
      </c>
      <c r="B53" s="42">
        <v>2.0000000000000001E-4</v>
      </c>
      <c r="C53" s="60">
        <f>IFERROR(C5/$B53,0)</f>
        <v>75000</v>
      </c>
      <c r="D53" s="60">
        <f>IFERROR(D5/$B53,0)</f>
        <v>139987537554686.13</v>
      </c>
      <c r="E53" s="60">
        <f>IFERROR((C53*0.001*(RadSpec!$AS5+(θw/ρb))*1),".")</f>
        <v>765</v>
      </c>
      <c r="F53" s="60">
        <f>IFERROR((D53*0.001*(RadSpec!$AS5+(θw/ρb))*1),".")</f>
        <v>1427872883057.7983</v>
      </c>
    </row>
    <row r="54" spans="1:6" x14ac:dyDescent="0.25">
      <c r="A54" s="83" t="s">
        <v>1092</v>
      </c>
      <c r="B54" s="42">
        <v>0.99999979999999999</v>
      </c>
      <c r="C54" s="60">
        <f>IFERROR(C9/$B54,0)</f>
        <v>15.0000030000006</v>
      </c>
      <c r="D54" s="60">
        <f>IFERROR(D9/$B54,0)</f>
        <v>37.259945627941647</v>
      </c>
      <c r="E54" s="60">
        <f>IFERROR((C54*0.001*(RadSpec!$AS9+(θw/ρb))*1),".")</f>
        <v>7.2030014406002882</v>
      </c>
      <c r="F54" s="60">
        <f>IFERROR((D54*0.001*(RadSpec!$AS9+(θw/ρb))*1),".")</f>
        <v>17.892225890537578</v>
      </c>
    </row>
    <row r="55" spans="1:6" x14ac:dyDescent="0.25">
      <c r="A55" s="83" t="s">
        <v>1093</v>
      </c>
      <c r="B55" s="42">
        <v>1.9999999999999999E-7</v>
      </c>
      <c r="C55" s="60">
        <f>IFERROR(C24/$B55,0)</f>
        <v>0</v>
      </c>
      <c r="D55" s="60">
        <f>IFERROR(D24/$B55,0)</f>
        <v>1036332697917491</v>
      </c>
      <c r="E55" s="60">
        <f>IFERROR((C55*0.001*(RadSpec!$AS24+(θw/ρb))*1),".")</f>
        <v>0</v>
      </c>
      <c r="F55" s="60">
        <f>IFERROR((D55*0.001*(RadSpec!$AS24+(θw/ρb))*1),".")</f>
        <v>207266539583.49817</v>
      </c>
    </row>
    <row r="56" spans="1:6" x14ac:dyDescent="0.25">
      <c r="A56" s="83" t="s">
        <v>1094</v>
      </c>
      <c r="B56" s="42">
        <v>0.99979000004200003</v>
      </c>
      <c r="C56" s="60">
        <f>IFERROR(C20/$B56,0)</f>
        <v>15.003150661008679</v>
      </c>
      <c r="D56" s="60">
        <f>IFERROR(D20/$B56,0)</f>
        <v>1854221331.6961141</v>
      </c>
      <c r="E56" s="60">
        <f>IFERROR((C56*0.001*(RadSpec!$AS20+(θw/ρb))*1),".")</f>
        <v>3.1536622689440241</v>
      </c>
      <c r="F56" s="60">
        <f>IFERROR((D56*0.001*(RadSpec!$AS20+(θw/ρb))*1),".")</f>
        <v>389757323.92252314</v>
      </c>
    </row>
    <row r="57" spans="1:6" x14ac:dyDescent="0.25">
      <c r="A57" s="83" t="s">
        <v>1095</v>
      </c>
      <c r="B57" s="42">
        <v>2.0999995799999999E-4</v>
      </c>
      <c r="C57" s="60">
        <f>IFERROR(C29/$B57,0)</f>
        <v>0</v>
      </c>
      <c r="D57" s="60">
        <f>IFERROR(D29/$B57,0)</f>
        <v>254470150.21704131</v>
      </c>
      <c r="E57" s="60">
        <f>IFERROR((C57*0.001*(RadSpec!$AS29+(θw/ρb))*1),".")</f>
        <v>0</v>
      </c>
      <c r="F57" s="60">
        <f>IFERROR((D57*0.001*(RadSpec!$AS29+(θw/ρb))*1),".")</f>
        <v>381756119.35560536</v>
      </c>
    </row>
    <row r="58" spans="1:6" x14ac:dyDescent="0.25">
      <c r="A58" s="83" t="s">
        <v>1096</v>
      </c>
      <c r="B58" s="42">
        <v>1</v>
      </c>
      <c r="C58" s="60">
        <f>IFERROR(C16/$B58,0)</f>
        <v>0</v>
      </c>
      <c r="D58" s="60">
        <f>IFERROR(D16/$B58,0)</f>
        <v>1.2894734020611302E-2</v>
      </c>
      <c r="E58" s="60">
        <f>IFERROR((C58*0.001*(RadSpec!$AS16+(θw/ρb))*1),".")</f>
        <v>0</v>
      </c>
      <c r="F58" s="60">
        <f>IFERROR((D58*0.001*(RadSpec!$AS16+(θw/ρb))*1),".")</f>
        <v>1.9367890498958177E-3</v>
      </c>
    </row>
    <row r="59" spans="1:6" x14ac:dyDescent="0.25">
      <c r="A59" s="83" t="s">
        <v>1097</v>
      </c>
      <c r="B59" s="42">
        <v>1</v>
      </c>
      <c r="C59" s="60">
        <f>IFERROR(C7/$B59,0)</f>
        <v>15</v>
      </c>
      <c r="D59" s="60">
        <f>IFERROR(D7/$B59,0)</f>
        <v>0.76491798143484768</v>
      </c>
      <c r="E59" s="60">
        <f>IFERROR((C59*0.001*(RadSpec!$AS7+(θw/ρb))*1),".")</f>
        <v>7.2029999999999994</v>
      </c>
      <c r="F59" s="60">
        <f>IFERROR((D59*0.001*(RadSpec!$AS7+(θw/ρb))*1),".")</f>
        <v>0.36731361468501389</v>
      </c>
    </row>
    <row r="60" spans="1:6" x14ac:dyDescent="0.25">
      <c r="A60" s="83" t="s">
        <v>1098</v>
      </c>
      <c r="B60" s="86">
        <v>1.9000000000000001E-8</v>
      </c>
      <c r="C60" s="60">
        <f>IFERROR(C12/$B60,0)</f>
        <v>0</v>
      </c>
      <c r="D60" s="60">
        <f>IFERROR(D12/$B60,0)</f>
        <v>69934030141117.734</v>
      </c>
      <c r="E60" s="60">
        <f>IFERROR((C60*0.001*(RadSpec!$AS12+(θw/ρb))*1),".")</f>
        <v>0</v>
      </c>
      <c r="F60" s="60">
        <f>IFERROR((D60*0.001*(RadSpec!$AS12+(θw/ρb))*1),".")</f>
        <v>440598376695069.94</v>
      </c>
    </row>
    <row r="61" spans="1:6" x14ac:dyDescent="0.25">
      <c r="A61" s="83" t="s">
        <v>1099</v>
      </c>
      <c r="B61" s="42">
        <v>1</v>
      </c>
      <c r="C61" s="60">
        <f>IFERROR(C18/$B61,0)</f>
        <v>15</v>
      </c>
      <c r="D61" s="60">
        <f>IFERROR(D18/$B61,0)</f>
        <v>7.4101759120259059E-3</v>
      </c>
      <c r="E61" s="60">
        <f>IFERROR((C61*0.001*(RadSpec!$AS18+(θw/ρb))*1),".")</f>
        <v>3.1529999999999996</v>
      </c>
      <c r="F61" s="60">
        <f>IFERROR((D61*0.001*(RadSpec!$AS18+(θw/ρb))*1),".")</f>
        <v>1.5576189767078454E-3</v>
      </c>
    </row>
    <row r="62" spans="1:6" x14ac:dyDescent="0.25">
      <c r="A62" s="83" t="s">
        <v>1100</v>
      </c>
      <c r="B62" s="42">
        <v>1.339E-6</v>
      </c>
      <c r="C62" s="60">
        <f>IFERROR(C27/$B62,0)</f>
        <v>0</v>
      </c>
      <c r="D62" s="60">
        <f>IFERROR(D27/$B62,0)</f>
        <v>72850538765611.875</v>
      </c>
      <c r="E62" s="60">
        <f>IFERROR((C62*0.001*(RadSpec!$AS27+(θw/ρb))*1),".")</f>
        <v>0</v>
      </c>
      <c r="F62" s="60">
        <f>IFERROR((D62*0.001*(RadSpec!$AS27+(θw/ρb))*1),".")</f>
        <v>109290378256170.94</v>
      </c>
    </row>
    <row r="63" spans="1:6" x14ac:dyDescent="0.25">
      <c r="A63" s="82" t="s">
        <v>35</v>
      </c>
      <c r="B63" s="57" t="s">
        <v>1259</v>
      </c>
      <c r="C63" s="58">
        <f>1/SUM(1/C65,1/C67,1/C68,1/C70,1/C73,1/C75)</f>
        <v>3.0000061199872849</v>
      </c>
      <c r="D63" s="58">
        <f>1/SUM(1/D64,1/D65,1/D66,1/D67,1/D68,1/D69,1/D70,1/D71,1/D72,1/D73,1/D74,1/D75,1/D76)</f>
        <v>4.6718084570180089E-3</v>
      </c>
      <c r="E63" s="58">
        <f>1/SUM(1/E65,1/E67,1/E68,1/E70,1/E73,1/E75)</f>
        <v>0.81275873227910567</v>
      </c>
      <c r="F63" s="58">
        <f>1/SUM(1/F64,1/F65,1/F66,1/F67,1/F68,1/F69,1/F70,1/F71,1/F72,1/F73,1/F74,1/F75,1/F76)</f>
        <v>4.8099758079099515E-4</v>
      </c>
    </row>
    <row r="64" spans="1:6" x14ac:dyDescent="0.25">
      <c r="A64" s="83" t="s">
        <v>1090</v>
      </c>
      <c r="B64" s="42">
        <v>1</v>
      </c>
      <c r="C64" s="60">
        <f>IFERROR(C25/$B50,0)</f>
        <v>0</v>
      </c>
      <c r="D64" s="60">
        <f>IFERROR(D25/$B50,0)</f>
        <v>5.4484035450422228</v>
      </c>
      <c r="E64" s="60">
        <f>IFERROR((C64*0.001*(RadSpec!$AS25+(θw/ρb))*1),".")</f>
        <v>0</v>
      </c>
      <c r="F64" s="60">
        <f>IFERROR((D64*0.001*(RadSpec!$AS25+(θw/ρb))*1),".")</f>
        <v>1.0896807090084446E-3</v>
      </c>
    </row>
    <row r="65" spans="1:6" x14ac:dyDescent="0.25">
      <c r="A65" s="83" t="s">
        <v>1076</v>
      </c>
      <c r="B65" s="42">
        <v>1</v>
      </c>
      <c r="C65" s="60">
        <f>IFERROR(C21/$B51,0)</f>
        <v>15</v>
      </c>
      <c r="D65" s="60">
        <f>IFERROR(D21/$B51,0)</f>
        <v>28385463735107.258</v>
      </c>
      <c r="E65" s="60">
        <f>IFERROR((C65*0.001*(RadSpec!$AS21+(θw/ρb))*1),".")</f>
        <v>3.1529999999999996</v>
      </c>
      <c r="F65" s="60">
        <f>IFERROR((D65*0.001*(RadSpec!$AS21+(θw/ρb))*1),".")</f>
        <v>5966624477119.5449</v>
      </c>
    </row>
    <row r="66" spans="1:6" x14ac:dyDescent="0.25">
      <c r="A66" s="83" t="s">
        <v>1077</v>
      </c>
      <c r="B66" s="85">
        <v>0.99980000000000002</v>
      </c>
      <c r="C66" s="60">
        <f>IFERROR(C17/$B52,0)</f>
        <v>0</v>
      </c>
      <c r="D66" s="60">
        <f>IFERROR(D17/$B52,0)</f>
        <v>31.682560236396714</v>
      </c>
      <c r="E66" s="60">
        <f>IFERROR((C66*0.001*(RadSpec!$AS17+(θw/ρb))*1),".")</f>
        <v>0</v>
      </c>
      <c r="F66" s="60">
        <f>IFERROR((D66*0.001*(RadSpec!$AS17+(θw/ρb))*1),".")</f>
        <v>4.758720547506786</v>
      </c>
    </row>
    <row r="67" spans="1:6" x14ac:dyDescent="0.25">
      <c r="A67" s="83" t="s">
        <v>1091</v>
      </c>
      <c r="B67" s="42">
        <v>2.0000000000000001E-4</v>
      </c>
      <c r="C67" s="60">
        <f>IFERROR(C5/$B53,0)</f>
        <v>75000</v>
      </c>
      <c r="D67" s="60">
        <f>IFERROR(D5/$B53,0)</f>
        <v>139987537554686.13</v>
      </c>
      <c r="E67" s="60">
        <f>IFERROR((C67*0.001*(RadSpec!$AS5+(θw/ρb))*1),".")</f>
        <v>765</v>
      </c>
      <c r="F67" s="60">
        <f>IFERROR((D67*0.001*(RadSpec!$AS5+(θw/ρb))*1),".")</f>
        <v>1427872883057.7983</v>
      </c>
    </row>
    <row r="68" spans="1:6" x14ac:dyDescent="0.25">
      <c r="A68" s="83" t="s">
        <v>1092</v>
      </c>
      <c r="B68" s="42">
        <v>0.99999979999999999</v>
      </c>
      <c r="C68" s="60">
        <f>IFERROR(C9/$B54,0)</f>
        <v>15.0000030000006</v>
      </c>
      <c r="D68" s="60">
        <f>IFERROR(D9/$B54,0)</f>
        <v>37.259945627941647</v>
      </c>
      <c r="E68" s="60">
        <f>IFERROR((C68*0.001*(RadSpec!$AS9+(θw/ρb))*1),".")</f>
        <v>7.2030014406002882</v>
      </c>
      <c r="F68" s="60">
        <f>IFERROR((D68*0.001*(RadSpec!$AS9+(θw/ρb))*1),".")</f>
        <v>17.892225890537578</v>
      </c>
    </row>
    <row r="69" spans="1:6" x14ac:dyDescent="0.25">
      <c r="A69" s="83" t="s">
        <v>1093</v>
      </c>
      <c r="B69" s="42">
        <v>1.9999999999999999E-7</v>
      </c>
      <c r="C69" s="60">
        <f>IFERROR(C24/$B55,0)</f>
        <v>0</v>
      </c>
      <c r="D69" s="60">
        <f>IFERROR(D24/$B55,0)</f>
        <v>1036332697917491</v>
      </c>
      <c r="E69" s="60">
        <f>IFERROR((C69*0.001*(RadSpec!$AS24+(θw/ρb))*1),".")</f>
        <v>0</v>
      </c>
      <c r="F69" s="60">
        <f>IFERROR((D69*0.001*(RadSpec!$AS24+(θw/ρb))*1),".")</f>
        <v>207266539583.49817</v>
      </c>
    </row>
    <row r="70" spans="1:6" x14ac:dyDescent="0.25">
      <c r="A70" s="83" t="s">
        <v>1094</v>
      </c>
      <c r="B70" s="42">
        <v>0.99979000004200003</v>
      </c>
      <c r="C70" s="60">
        <f>IFERROR(C20/$B56,0)</f>
        <v>15.003150661008679</v>
      </c>
      <c r="D70" s="60">
        <f>IFERROR(D20/$B56,0)</f>
        <v>1854221331.6961141</v>
      </c>
      <c r="E70" s="60">
        <f>IFERROR((C70*0.001*(RadSpec!$AS20+(θw/ρb))*1),".")</f>
        <v>3.1536622689440241</v>
      </c>
      <c r="F70" s="60">
        <f>IFERROR((D70*0.001*(RadSpec!$AS20+(θw/ρb))*1),".")</f>
        <v>389757323.92252314</v>
      </c>
    </row>
    <row r="71" spans="1:6" x14ac:dyDescent="0.25">
      <c r="A71" s="83" t="s">
        <v>1095</v>
      </c>
      <c r="B71" s="42">
        <v>2.0999995799999999E-4</v>
      </c>
      <c r="C71" s="60">
        <f>IFERROR(C29/$B57,0)</f>
        <v>0</v>
      </c>
      <c r="D71" s="60">
        <f>IFERROR(D29/$B57,0)</f>
        <v>254470150.21704131</v>
      </c>
      <c r="E71" s="60">
        <f>IFERROR((C71*0.001*(RadSpec!$AS29+(θw/ρb))*1),".")</f>
        <v>0</v>
      </c>
      <c r="F71" s="60">
        <f>IFERROR((D71*0.001*(RadSpec!$AS29+(θw/ρb))*1),".")</f>
        <v>381756119.35560536</v>
      </c>
    </row>
    <row r="72" spans="1:6" x14ac:dyDescent="0.25">
      <c r="A72" s="83" t="s">
        <v>1096</v>
      </c>
      <c r="B72" s="42">
        <v>1</v>
      </c>
      <c r="C72" s="60">
        <f>IFERROR(C16/$B58,0)</f>
        <v>0</v>
      </c>
      <c r="D72" s="60">
        <f>IFERROR(D16/$B58,0)</f>
        <v>1.2894734020611302E-2</v>
      </c>
      <c r="E72" s="60">
        <f>IFERROR((C72*0.001*(RadSpec!$AS16+(θw/ρb))*1),".")</f>
        <v>0</v>
      </c>
      <c r="F72" s="60">
        <f>IFERROR((D72*0.001*(RadSpec!$AS16+(θw/ρb))*1),".")</f>
        <v>1.9367890498958177E-3</v>
      </c>
    </row>
    <row r="73" spans="1:6" x14ac:dyDescent="0.25">
      <c r="A73" s="83" t="s">
        <v>1097</v>
      </c>
      <c r="B73" s="42">
        <v>1</v>
      </c>
      <c r="C73" s="60">
        <f>IFERROR(C7/$B59,0)</f>
        <v>15</v>
      </c>
      <c r="D73" s="60">
        <f>IFERROR(D7/$B59,0)</f>
        <v>0.76491798143484768</v>
      </c>
      <c r="E73" s="60">
        <f>IFERROR((C73*0.001*(RadSpec!$AS7+(θw/ρb))*1),".")</f>
        <v>7.2029999999999994</v>
      </c>
      <c r="F73" s="60">
        <f>IFERROR((D73*0.001*(RadSpec!$AS7+(θw/ρb))*1),".")</f>
        <v>0.36731361468501389</v>
      </c>
    </row>
    <row r="74" spans="1:6" x14ac:dyDescent="0.25">
      <c r="A74" s="83" t="s">
        <v>1098</v>
      </c>
      <c r="B74" s="86">
        <v>1.9000000000000001E-8</v>
      </c>
      <c r="C74" s="60">
        <f>IFERROR(C12/$B60,0)</f>
        <v>0</v>
      </c>
      <c r="D74" s="60">
        <f>IFERROR(D12/$B60,0)</f>
        <v>69934030141117.734</v>
      </c>
      <c r="E74" s="60">
        <f>IFERROR((C74*0.001*(RadSpec!$AS12+(θw/ρb))*1),".")</f>
        <v>0</v>
      </c>
      <c r="F74" s="60">
        <f>IFERROR((D74*0.001*(RadSpec!$AS12+(θw/ρb))*1),".")</f>
        <v>440598376695069.94</v>
      </c>
    </row>
    <row r="75" spans="1:6" x14ac:dyDescent="0.25">
      <c r="A75" s="83" t="s">
        <v>1099</v>
      </c>
      <c r="B75" s="42">
        <v>1</v>
      </c>
      <c r="C75" s="60">
        <f>IFERROR(C18/$B61,0)</f>
        <v>15</v>
      </c>
      <c r="D75" s="60">
        <f>IFERROR(D18/$B61,0)</f>
        <v>7.4101759120259059E-3</v>
      </c>
      <c r="E75" s="60">
        <f>IFERROR((C75*0.001*(RadSpec!$AS18+(θw/ρb))*1),".")</f>
        <v>3.1529999999999996</v>
      </c>
      <c r="F75" s="60">
        <f>IFERROR((D75*0.001*(RadSpec!$AS18+(θw/ρb))*1),".")</f>
        <v>1.5576189767078454E-3</v>
      </c>
    </row>
    <row r="76" spans="1:6" x14ac:dyDescent="0.25">
      <c r="A76" s="83" t="s">
        <v>1100</v>
      </c>
      <c r="B76" s="42">
        <v>1.339E-6</v>
      </c>
      <c r="C76" s="60">
        <f>IFERROR(C27/$B62,0)</f>
        <v>0</v>
      </c>
      <c r="D76" s="60">
        <f>IFERROR(D27/$B62,0)</f>
        <v>72850538765611.875</v>
      </c>
      <c r="E76" s="60">
        <f>IFERROR((C76*0.001*(RadSpec!$AS27+(θw/ρb))*1),".")</f>
        <v>0</v>
      </c>
      <c r="F76" s="60">
        <f>IFERROR((D76*0.001*(RadSpec!$AS27+(θw/ρb))*1),".")</f>
        <v>109290378256170.94</v>
      </c>
    </row>
  </sheetData>
  <sheetProtection algorithmName="SHA-512" hashValue="DtC1s735tt8PRm/My8cHCXKe/+ZjOQTZwJKBvwB0lwLWiSktosx96uXmsfBPAe/LBgCV/7IiyxrGuxYVtuKGvg==" saltValue="vxs5UTnTFRhSt/F9j4OD0Q==" spinCount="100000" sheet="1" objects="1" scenarios="1" formatColumns="0" formatRows="0" autoFilter="0"/>
  <autoFilter ref="A1:F76" xr:uid="{00000000-0009-0000-0000-00000A000000}"/>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H3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4.5703125" style="4" bestFit="1" customWidth="1"/>
    <col min="2" max="2" width="10.7109375" style="4" bestFit="1" customWidth="1"/>
    <col min="3" max="3" width="9.28515625" bestFit="1" customWidth="1"/>
    <col min="4" max="4" width="9" bestFit="1" customWidth="1"/>
    <col min="5" max="6" width="10" bestFit="1" customWidth="1"/>
    <col min="7" max="7" width="11" bestFit="1" customWidth="1"/>
    <col min="8" max="8" width="67.5703125" bestFit="1" customWidth="1"/>
  </cols>
  <sheetData>
    <row r="1" spans="1:8" x14ac:dyDescent="0.25">
      <c r="A1" s="79" t="s">
        <v>51</v>
      </c>
      <c r="B1" s="79" t="s">
        <v>350</v>
      </c>
      <c r="C1" s="168" t="s">
        <v>41</v>
      </c>
      <c r="D1" s="168" t="s">
        <v>42</v>
      </c>
      <c r="E1" s="168" t="s">
        <v>43</v>
      </c>
      <c r="F1" s="168" t="s">
        <v>44</v>
      </c>
      <c r="G1" s="168" t="s">
        <v>45</v>
      </c>
      <c r="H1" s="177" t="s">
        <v>380</v>
      </c>
    </row>
    <row r="2" spans="1:8" x14ac:dyDescent="0.25">
      <c r="A2" s="44" t="s">
        <v>12</v>
      </c>
      <c r="B2" s="42" t="s">
        <v>1074</v>
      </c>
      <c r="C2" s="175">
        <v>9.5797101449275404E-2</v>
      </c>
      <c r="D2" s="175">
        <v>9.3059490084985805E-2</v>
      </c>
      <c r="E2" s="175">
        <v>9.6585365853658595E-2</v>
      </c>
      <c r="F2" s="175">
        <v>9.0705128205128202E-2</v>
      </c>
      <c r="G2" s="175">
        <v>9.6404494382022504E-2</v>
      </c>
      <c r="H2" s="112"/>
    </row>
    <row r="3" spans="1:8" x14ac:dyDescent="0.25">
      <c r="A3" s="46" t="s">
        <v>13</v>
      </c>
      <c r="B3" s="42" t="s">
        <v>351</v>
      </c>
      <c r="C3" s="175">
        <v>8.4397163120567401E-2</v>
      </c>
      <c r="D3" s="175">
        <v>0.107692307692308</v>
      </c>
      <c r="E3" s="175">
        <v>9.4560669456066906E-2</v>
      </c>
      <c r="F3" s="175">
        <v>9.5024875621890506E-2</v>
      </c>
      <c r="G3" s="175">
        <v>9.6924829157175402E-2</v>
      </c>
      <c r="H3" s="112"/>
    </row>
    <row r="4" spans="1:8" x14ac:dyDescent="0.25">
      <c r="A4" s="44" t="s">
        <v>14</v>
      </c>
      <c r="B4" s="42" t="s">
        <v>1074</v>
      </c>
      <c r="C4" s="175">
        <v>4.2011834319526598E-2</v>
      </c>
      <c r="D4" s="175">
        <v>7.5873015873015898E-2</v>
      </c>
      <c r="E4" s="175">
        <v>5.07177033492823E-2</v>
      </c>
      <c r="F4" s="175">
        <v>7.1111111111111097E-2</v>
      </c>
      <c r="G4" s="175">
        <v>8.3791606367583205E-2</v>
      </c>
      <c r="H4" s="112"/>
    </row>
    <row r="5" spans="1:8" x14ac:dyDescent="0.25">
      <c r="A5" s="44" t="s">
        <v>15</v>
      </c>
      <c r="B5" s="42" t="s">
        <v>1074</v>
      </c>
      <c r="C5" s="175">
        <v>0.9</v>
      </c>
      <c r="D5" s="175">
        <v>0.9</v>
      </c>
      <c r="E5" s="175">
        <v>0.9</v>
      </c>
      <c r="F5" s="175">
        <v>0.9</v>
      </c>
      <c r="G5" s="175">
        <v>0.9</v>
      </c>
      <c r="H5" s="112"/>
    </row>
    <row r="6" spans="1:8" x14ac:dyDescent="0.25">
      <c r="A6" s="44" t="s">
        <v>16</v>
      </c>
      <c r="B6" s="42" t="s">
        <v>1074</v>
      </c>
      <c r="C6" s="175">
        <v>3.1283422459892997E-2</v>
      </c>
      <c r="D6" s="175">
        <v>8.7632508833922304E-2</v>
      </c>
      <c r="E6" s="175">
        <v>4.6638655462184903E-2</v>
      </c>
      <c r="F6" s="175">
        <v>6.7697594501718195E-2</v>
      </c>
      <c r="G6" s="175">
        <v>8.7261146496815295E-2</v>
      </c>
      <c r="H6" s="112"/>
    </row>
    <row r="7" spans="1:8" x14ac:dyDescent="0.25">
      <c r="A7" s="44" t="s">
        <v>17</v>
      </c>
      <c r="B7" s="42" t="s">
        <v>1074</v>
      </c>
      <c r="C7" s="175">
        <v>3.81995133819951E-2</v>
      </c>
      <c r="D7" s="175">
        <v>7.4683544303797506E-2</v>
      </c>
      <c r="E7" s="175">
        <v>0.05</v>
      </c>
      <c r="F7" s="175">
        <v>7.1974522292993601E-2</v>
      </c>
      <c r="G7" s="175">
        <v>8.2940516273849602E-2</v>
      </c>
      <c r="H7" s="112"/>
    </row>
    <row r="8" spans="1:8" x14ac:dyDescent="0.25">
      <c r="A8" s="44" t="s">
        <v>18</v>
      </c>
      <c r="B8" s="42" t="s">
        <v>1074</v>
      </c>
      <c r="C8" s="175">
        <v>3.3392857142857099E-2</v>
      </c>
      <c r="D8" s="175">
        <v>8.8172043010752696E-2</v>
      </c>
      <c r="E8" s="175">
        <v>4.81904761904762E-2</v>
      </c>
      <c r="F8" s="175">
        <v>7.1428571428571397E-2</v>
      </c>
      <c r="G8" s="175">
        <v>8.5352112676056302E-2</v>
      </c>
      <c r="H8" s="112"/>
    </row>
    <row r="9" spans="1:8" x14ac:dyDescent="0.25">
      <c r="A9" s="44" t="s">
        <v>19</v>
      </c>
      <c r="B9" s="42" t="s">
        <v>1074</v>
      </c>
      <c r="C9" s="175">
        <v>2.8963414634146301E-2</v>
      </c>
      <c r="D9" s="175">
        <v>9.3659942363112397E-2</v>
      </c>
      <c r="E9" s="175">
        <v>4.2990654205607499E-2</v>
      </c>
      <c r="F9" s="175">
        <v>6.4869029275808898E-2</v>
      </c>
      <c r="G9" s="175">
        <v>8.4239130434782594E-2</v>
      </c>
      <c r="H9" s="112"/>
    </row>
    <row r="10" spans="1:8" x14ac:dyDescent="0.25">
      <c r="A10" s="46" t="s">
        <v>20</v>
      </c>
      <c r="B10" s="42" t="s">
        <v>351</v>
      </c>
      <c r="C10" s="175">
        <v>3.3412322274881501E-2</v>
      </c>
      <c r="D10" s="175">
        <v>7.3635307781649201E-2</v>
      </c>
      <c r="E10" s="175">
        <v>4.92028985507246E-2</v>
      </c>
      <c r="F10" s="175">
        <v>7.1668667466986802E-2</v>
      </c>
      <c r="G10" s="175">
        <v>8.2947368421052603E-2</v>
      </c>
      <c r="H10" s="112"/>
    </row>
    <row r="11" spans="1:8" x14ac:dyDescent="0.25">
      <c r="A11" s="44" t="s">
        <v>21</v>
      </c>
      <c r="B11" s="42" t="s">
        <v>1074</v>
      </c>
      <c r="C11" s="175">
        <v>4.4927536231884099E-2</v>
      </c>
      <c r="D11" s="175">
        <v>7.3856209150326799E-2</v>
      </c>
      <c r="E11" s="175">
        <v>5.2734375E-2</v>
      </c>
      <c r="F11" s="175">
        <v>7.1895424836601302E-2</v>
      </c>
      <c r="G11" s="175">
        <v>8.42105263157895E-2</v>
      </c>
      <c r="H11" s="112"/>
    </row>
    <row r="12" spans="1:8" x14ac:dyDescent="0.25">
      <c r="A12" s="44" t="s">
        <v>22</v>
      </c>
      <c r="B12" s="42" t="s">
        <v>1074</v>
      </c>
      <c r="C12" s="175">
        <v>3.7852760736196298E-2</v>
      </c>
      <c r="D12" s="175">
        <v>7.8920741989881901E-2</v>
      </c>
      <c r="E12" s="175">
        <v>4.9803921568627403E-2</v>
      </c>
      <c r="F12" s="175">
        <v>7.1707317073170698E-2</v>
      </c>
      <c r="G12" s="175">
        <v>8.4057971014492805E-2</v>
      </c>
      <c r="H12" s="112"/>
    </row>
    <row r="13" spans="1:8" x14ac:dyDescent="0.25">
      <c r="A13" s="44" t="s">
        <v>23</v>
      </c>
      <c r="B13" s="42" t="s">
        <v>1074</v>
      </c>
      <c r="C13" s="175">
        <v>9.0206185567010294E-2</v>
      </c>
      <c r="D13" s="175">
        <v>0.104379562043796</v>
      </c>
      <c r="E13" s="175">
        <v>0.10709219858155999</v>
      </c>
      <c r="F13" s="175">
        <v>0.105116279069767</v>
      </c>
      <c r="G13" s="175">
        <v>0.106057268722467</v>
      </c>
      <c r="H13" s="112"/>
    </row>
    <row r="14" spans="1:8" x14ac:dyDescent="0.25">
      <c r="A14" s="44" t="s">
        <v>24</v>
      </c>
      <c r="B14" s="42" t="s">
        <v>1074</v>
      </c>
      <c r="C14" s="175">
        <v>5.7281553398058301E-2</v>
      </c>
      <c r="D14" s="175">
        <v>8.0961538461538501E-2</v>
      </c>
      <c r="E14" s="175">
        <v>6.16504854368932E-2</v>
      </c>
      <c r="F14" s="175">
        <v>7.6956521739130396E-2</v>
      </c>
      <c r="G14" s="175">
        <v>8.5919999999999996E-2</v>
      </c>
      <c r="H14" s="112"/>
    </row>
    <row r="15" spans="1:8" x14ac:dyDescent="0.25">
      <c r="A15" s="44" t="s">
        <v>25</v>
      </c>
      <c r="B15" s="42" t="s">
        <v>1074</v>
      </c>
      <c r="C15" s="175">
        <v>0.9</v>
      </c>
      <c r="D15" s="175">
        <v>0.9</v>
      </c>
      <c r="E15" s="175">
        <v>0.9</v>
      </c>
      <c r="F15" s="175">
        <v>0.9</v>
      </c>
      <c r="G15" s="175">
        <v>0.9</v>
      </c>
      <c r="H15" s="112"/>
    </row>
    <row r="16" spans="1:8" x14ac:dyDescent="0.25">
      <c r="A16" s="44" t="s">
        <v>26</v>
      </c>
      <c r="B16" s="42" t="s">
        <v>1074</v>
      </c>
      <c r="C16" s="175">
        <v>0.12648026315789501</v>
      </c>
      <c r="D16" s="175">
        <v>0.131547619047619</v>
      </c>
      <c r="E16" s="175">
        <v>0.15049504950494999</v>
      </c>
      <c r="F16" s="175">
        <v>0.13783783783783801</v>
      </c>
      <c r="G16" s="175">
        <v>0.14537037037037001</v>
      </c>
      <c r="H16" s="112"/>
    </row>
    <row r="17" spans="1:8" x14ac:dyDescent="0.25">
      <c r="A17" s="44" t="s">
        <v>27</v>
      </c>
      <c r="B17" s="42" t="s">
        <v>1074</v>
      </c>
      <c r="C17" s="175">
        <v>4.1011235955056201E-2</v>
      </c>
      <c r="D17" s="175">
        <v>8.1260504201680697E-2</v>
      </c>
      <c r="E17" s="175">
        <v>5.06976744186046E-2</v>
      </c>
      <c r="F17" s="175">
        <v>7.2656250000000006E-2</v>
      </c>
      <c r="G17" s="175">
        <v>8.4027777777777798E-2</v>
      </c>
      <c r="H17" s="112"/>
    </row>
    <row r="18" spans="1:8" x14ac:dyDescent="0.25">
      <c r="A18" s="44" t="s">
        <v>28</v>
      </c>
      <c r="B18" s="42" t="s">
        <v>1074</v>
      </c>
      <c r="C18" s="175">
        <v>2.9915254237288101E-2</v>
      </c>
      <c r="D18" s="175">
        <v>9.4052863436123402E-2</v>
      </c>
      <c r="E18" s="175">
        <v>4.5225464190981397E-2</v>
      </c>
      <c r="F18" s="175">
        <v>6.7685589519650702E-2</v>
      </c>
      <c r="G18" s="175">
        <v>8.7351778656126505E-2</v>
      </c>
      <c r="H18" s="112"/>
    </row>
    <row r="19" spans="1:8" x14ac:dyDescent="0.25">
      <c r="A19" s="44" t="s">
        <v>29</v>
      </c>
      <c r="B19" s="42" t="s">
        <v>1074</v>
      </c>
      <c r="C19" s="175">
        <v>3.0131004366812202E-2</v>
      </c>
      <c r="D19" s="175">
        <v>9.3142857142857097E-2</v>
      </c>
      <c r="E19" s="175">
        <v>4.5547945205479501E-2</v>
      </c>
      <c r="F19" s="175">
        <v>6.7796610169491497E-2</v>
      </c>
      <c r="G19" s="175">
        <v>8.7487179487179503E-2</v>
      </c>
      <c r="H19" s="112"/>
    </row>
    <row r="20" spans="1:8" x14ac:dyDescent="0.25">
      <c r="A20" s="44" t="s">
        <v>30</v>
      </c>
      <c r="B20" s="42" t="s">
        <v>1074</v>
      </c>
      <c r="C20" s="175">
        <v>2.99009900990099E-2</v>
      </c>
      <c r="D20" s="175">
        <v>9.3814432989690694E-2</v>
      </c>
      <c r="E20" s="175">
        <v>4.5186335403726699E-2</v>
      </c>
      <c r="F20" s="175">
        <v>6.7774936061381102E-2</v>
      </c>
      <c r="G20" s="175">
        <v>8.7499999999999994E-2</v>
      </c>
      <c r="H20" s="112"/>
    </row>
    <row r="21" spans="1:8" x14ac:dyDescent="0.25">
      <c r="A21" s="44" t="s">
        <v>31</v>
      </c>
      <c r="B21" s="42" t="s">
        <v>1074</v>
      </c>
      <c r="C21" s="175">
        <v>0.9</v>
      </c>
      <c r="D21" s="175">
        <v>0.9</v>
      </c>
      <c r="E21" s="175">
        <v>0.9</v>
      </c>
      <c r="F21" s="175">
        <v>0.9</v>
      </c>
      <c r="G21" s="175">
        <v>0.9</v>
      </c>
      <c r="H21" s="112"/>
    </row>
    <row r="22" spans="1:8" x14ac:dyDescent="0.25">
      <c r="A22" s="44" t="s">
        <v>32</v>
      </c>
      <c r="B22" s="42" t="s">
        <v>1074</v>
      </c>
      <c r="C22" s="175">
        <v>7.8442280945758003E-2</v>
      </c>
      <c r="D22" s="175">
        <v>9.8879551820728301E-2</v>
      </c>
      <c r="E22" s="175">
        <v>9.1821561338289906E-2</v>
      </c>
      <c r="F22" s="175">
        <v>0.102702702702703</v>
      </c>
      <c r="G22" s="175">
        <v>0.119201995012469</v>
      </c>
      <c r="H22" s="112"/>
    </row>
    <row r="23" spans="1:8" x14ac:dyDescent="0.25">
      <c r="A23" s="46" t="s">
        <v>33</v>
      </c>
      <c r="B23" s="42" t="s">
        <v>351</v>
      </c>
      <c r="C23" s="175">
        <v>4.9459459459459502E-2</v>
      </c>
      <c r="D23" s="175">
        <v>7.9108635097492996E-2</v>
      </c>
      <c r="E23" s="175">
        <v>5.4863221884498499E-2</v>
      </c>
      <c r="F23" s="175">
        <v>7.1611253196930902E-2</v>
      </c>
      <c r="G23" s="175">
        <v>8.6893203883495099E-2</v>
      </c>
      <c r="H23" s="112"/>
    </row>
    <row r="24" spans="1:8" x14ac:dyDescent="0.25">
      <c r="A24" s="44" t="s">
        <v>34</v>
      </c>
      <c r="B24" s="42" t="s">
        <v>1074</v>
      </c>
      <c r="C24" s="175">
        <v>3.1434599156118098E-2</v>
      </c>
      <c r="D24" s="175">
        <v>8.6033519553072604E-2</v>
      </c>
      <c r="E24" s="175">
        <v>4.6611570247933901E-2</v>
      </c>
      <c r="F24" s="175">
        <v>6.7924528301886805E-2</v>
      </c>
      <c r="G24" s="175">
        <v>8.7499999999999994E-2</v>
      </c>
      <c r="H24" s="112"/>
    </row>
    <row r="25" spans="1:8" x14ac:dyDescent="0.25">
      <c r="A25" s="46" t="s">
        <v>35</v>
      </c>
      <c r="B25" s="42" t="s">
        <v>351</v>
      </c>
      <c r="C25" s="175">
        <v>3.1388329979879302E-2</v>
      </c>
      <c r="D25" s="175">
        <v>8.6931818181818193E-2</v>
      </c>
      <c r="E25" s="175">
        <v>4.7452229299363102E-2</v>
      </c>
      <c r="F25" s="175">
        <v>6.9633507853403095E-2</v>
      </c>
      <c r="G25" s="175">
        <v>8.61320754716981E-2</v>
      </c>
      <c r="H25" s="112"/>
    </row>
    <row r="26" spans="1:8" x14ac:dyDescent="0.25">
      <c r="A26" s="44" t="s">
        <v>36</v>
      </c>
      <c r="B26" s="42" t="s">
        <v>1074</v>
      </c>
      <c r="C26" s="175">
        <v>8.8307692307692295E-2</v>
      </c>
      <c r="D26" s="175">
        <v>8.9320388349514598E-2</v>
      </c>
      <c r="E26" s="175">
        <v>8.6249999999999993E-2</v>
      </c>
      <c r="F26" s="175">
        <v>8.6703096539162097E-2</v>
      </c>
      <c r="G26" s="175">
        <v>9.2337164750957906E-2</v>
      </c>
      <c r="H26" s="112"/>
    </row>
    <row r="27" spans="1:8" x14ac:dyDescent="0.25">
      <c r="A27" s="44" t="s">
        <v>37</v>
      </c>
      <c r="B27" s="42" t="s">
        <v>1074</v>
      </c>
      <c r="C27" s="175">
        <v>6.7632850241545903E-2</v>
      </c>
      <c r="D27" s="175">
        <v>9.1594827586206906E-2</v>
      </c>
      <c r="E27" s="175">
        <v>5.9615384615384598E-2</v>
      </c>
      <c r="F27" s="175">
        <v>7.5418060200668893E-2</v>
      </c>
      <c r="G27" s="175">
        <v>8.5049833887043194E-2</v>
      </c>
      <c r="H27" s="112"/>
    </row>
    <row r="28" spans="1:8" x14ac:dyDescent="0.25">
      <c r="A28" s="44" t="s">
        <v>38</v>
      </c>
      <c r="B28" s="42" t="s">
        <v>1074</v>
      </c>
      <c r="C28" s="175">
        <v>2.99586776859504E-2</v>
      </c>
      <c r="D28" s="175">
        <v>9.4200000000000006E-2</v>
      </c>
      <c r="E28" s="175">
        <v>4.3459119496855297E-2</v>
      </c>
      <c r="F28" s="175">
        <v>6.6041666666666707E-2</v>
      </c>
      <c r="G28" s="175">
        <v>8.38235294117647E-2</v>
      </c>
      <c r="H28" s="112"/>
    </row>
    <row r="29" spans="1:8" x14ac:dyDescent="0.25">
      <c r="A29" s="44" t="s">
        <v>39</v>
      </c>
      <c r="B29" s="42" t="s">
        <v>1074</v>
      </c>
      <c r="C29" s="175">
        <v>3.0634920634920602E-2</v>
      </c>
      <c r="D29" s="175">
        <v>9.2307692307692299E-2</v>
      </c>
      <c r="E29" s="175">
        <v>4.4158415841584198E-2</v>
      </c>
      <c r="F29" s="175">
        <v>6.5609756097561006E-2</v>
      </c>
      <c r="G29" s="175">
        <v>8.4339080459770094E-2</v>
      </c>
      <c r="H29" s="112"/>
    </row>
    <row r="30" spans="1:8" x14ac:dyDescent="0.25">
      <c r="A30" s="44" t="s">
        <v>40</v>
      </c>
      <c r="B30" s="42" t="s">
        <v>1074</v>
      </c>
      <c r="C30" s="175">
        <v>0.108125</v>
      </c>
      <c r="D30" s="175">
        <v>0.15398936170212801</v>
      </c>
      <c r="E30" s="175">
        <v>0.153198653198653</v>
      </c>
      <c r="F30" s="175">
        <v>0.14896551724137899</v>
      </c>
      <c r="G30" s="175">
        <v>0.15503875968992201</v>
      </c>
      <c r="H30" s="112"/>
    </row>
  </sheetData>
  <sheetProtection algorithmName="SHA-512" hashValue="ujm8UW5nXqbJc9ckI8xz54T2nxLCaJk/1oVWEwYLf9yI4P8z8UbHtOaPZbpGAFATTQ3pvflywZOLNfgav+rVKw==" saltValue="mTZPLpkIiuGndLOsaopQ9w==" spinCount="100000" sheet="1" objects="1" scenarios="1" formatColumns="0" formatRows="0" autoFilter="0"/>
  <autoFilter ref="A1:G30" xr:uid="{00000000-0009-0000-0000-00000C000000}"/>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BC3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4" bestFit="1" customWidth="1"/>
    <col min="2" max="2" width="11.140625" style="4" bestFit="1" customWidth="1"/>
    <col min="3" max="3" width="10.28515625" style="4" bestFit="1" customWidth="1"/>
    <col min="4" max="4" width="8.5703125" style="4" bestFit="1" customWidth="1"/>
    <col min="5" max="5" width="8.5703125" style="5" bestFit="1" customWidth="1"/>
    <col min="6" max="6" width="8.28515625" style="5" bestFit="1" customWidth="1"/>
    <col min="7" max="8" width="8.5703125" style="5" bestFit="1" customWidth="1"/>
    <col min="9" max="9" width="9.7109375" style="5" bestFit="1" customWidth="1"/>
    <col min="10" max="10" width="10.85546875" style="5" bestFit="1" customWidth="1"/>
    <col min="11" max="11" width="9.7109375" style="5" bestFit="1" customWidth="1"/>
    <col min="12" max="12" width="10.7109375" style="5" bestFit="1" customWidth="1"/>
    <col min="13" max="14" width="10.5703125" style="5" bestFit="1" customWidth="1"/>
    <col min="15" max="15" width="11.5703125" style="5" bestFit="1" customWidth="1"/>
    <col min="16" max="16" width="9.7109375" style="2" bestFit="1" customWidth="1"/>
    <col min="17" max="17" width="9.5703125" style="2" bestFit="1" customWidth="1"/>
    <col min="18" max="19" width="10.5703125" style="2" bestFit="1" customWidth="1"/>
    <col min="20" max="20" width="11.5703125" style="2" bestFit="1" customWidth="1"/>
    <col min="21" max="21" width="9.85546875" style="2" bestFit="1" customWidth="1"/>
    <col min="22" max="22" width="9.7109375" style="2" bestFit="1" customWidth="1"/>
    <col min="23" max="24" width="10.7109375" style="2" bestFit="1" customWidth="1"/>
    <col min="25" max="25" width="11.7109375" style="2" bestFit="1" customWidth="1"/>
    <col min="26" max="26" width="10.42578125" style="2" bestFit="1" customWidth="1"/>
    <col min="27" max="27" width="10.28515625" style="2" bestFit="1" customWidth="1"/>
    <col min="28" max="29" width="11.28515625" style="2" bestFit="1" customWidth="1"/>
    <col min="30" max="31" width="12.28515625" style="2" bestFit="1" customWidth="1"/>
    <col min="32" max="32" width="10.5703125" style="2" bestFit="1" customWidth="1"/>
    <col min="33" max="33" width="10.85546875" style="2" bestFit="1" customWidth="1"/>
    <col min="34" max="34" width="10.5703125" style="2" bestFit="1" customWidth="1"/>
    <col min="35" max="35" width="10.28515625" style="2" bestFit="1" customWidth="1"/>
    <col min="36" max="36" width="14.5703125" style="2" bestFit="1" customWidth="1"/>
    <col min="37" max="37" width="10.28515625" style="2" bestFit="1" customWidth="1"/>
    <col min="38" max="38" width="12.42578125" style="2" bestFit="1" customWidth="1"/>
    <col min="39" max="39" width="11.7109375" style="2" bestFit="1" customWidth="1"/>
    <col min="40" max="40" width="16.28515625" style="2" bestFit="1" customWidth="1"/>
    <col min="41" max="41" width="11.5703125" style="2" bestFit="1" customWidth="1"/>
    <col min="42" max="42" width="16.140625" style="2" bestFit="1" customWidth="1"/>
    <col min="43" max="43" width="9.7109375" style="2" bestFit="1" customWidth="1"/>
    <col min="44" max="44" width="9.28515625" style="2" bestFit="1" customWidth="1"/>
    <col min="45" max="45" width="8.5703125" style="2" bestFit="1" customWidth="1"/>
    <col min="46" max="46" width="11.85546875" style="2" bestFit="1" customWidth="1"/>
    <col min="47" max="47" width="11" style="2" bestFit="1" customWidth="1"/>
    <col min="48" max="48" width="12" style="2" bestFit="1" customWidth="1"/>
    <col min="49" max="49" width="8.42578125" style="3" bestFit="1" customWidth="1"/>
    <col min="50" max="50" width="11.42578125" style="3" bestFit="1" customWidth="1"/>
    <col min="51" max="51" width="11.28515625" style="2" bestFit="1" customWidth="1"/>
    <col min="52" max="52" width="10.85546875" style="3" bestFit="1" customWidth="1"/>
    <col min="53" max="53" width="12.42578125" style="3" bestFit="1" customWidth="1"/>
    <col min="54" max="55" width="8.5703125" style="3" bestFit="1" customWidth="1"/>
    <col min="56" max="16384" width="9.140625" style="3"/>
  </cols>
  <sheetData>
    <row r="1" spans="1:55" s="9" customFormat="1" x14ac:dyDescent="0.25">
      <c r="A1" s="78" t="s">
        <v>51</v>
      </c>
      <c r="B1" s="79" t="s">
        <v>350</v>
      </c>
      <c r="C1" s="79" t="s">
        <v>362</v>
      </c>
      <c r="D1" s="166" t="s">
        <v>0</v>
      </c>
      <c r="E1" s="166" t="s">
        <v>1</v>
      </c>
      <c r="F1" s="166" t="s">
        <v>2</v>
      </c>
      <c r="G1" s="166" t="s">
        <v>3</v>
      </c>
      <c r="H1" s="166" t="s">
        <v>4</v>
      </c>
      <c r="I1" s="166" t="s">
        <v>5</v>
      </c>
      <c r="J1" s="166" t="s">
        <v>6</v>
      </c>
      <c r="K1" s="166" t="s">
        <v>7</v>
      </c>
      <c r="L1" s="166" t="s">
        <v>8</v>
      </c>
      <c r="M1" s="166" t="s">
        <v>9</v>
      </c>
      <c r="N1" s="166" t="s">
        <v>10</v>
      </c>
      <c r="O1" s="166" t="s">
        <v>11</v>
      </c>
      <c r="P1" s="167" t="s">
        <v>41</v>
      </c>
      <c r="Q1" s="167" t="s">
        <v>42</v>
      </c>
      <c r="R1" s="167" t="s">
        <v>43</v>
      </c>
      <c r="S1" s="167" t="s">
        <v>44</v>
      </c>
      <c r="T1" s="167" t="s">
        <v>45</v>
      </c>
      <c r="U1" s="168" t="s">
        <v>46</v>
      </c>
      <c r="V1" s="168" t="s">
        <v>47</v>
      </c>
      <c r="W1" s="168" t="s">
        <v>48</v>
      </c>
      <c r="X1" s="168" t="s">
        <v>49</v>
      </c>
      <c r="Y1" s="168" t="s">
        <v>50</v>
      </c>
      <c r="Z1" s="166" t="s">
        <v>363</v>
      </c>
      <c r="AA1" s="166" t="s">
        <v>364</v>
      </c>
      <c r="AB1" s="166" t="s">
        <v>365</v>
      </c>
      <c r="AC1" s="166" t="s">
        <v>366</v>
      </c>
      <c r="AD1" s="166" t="s">
        <v>367</v>
      </c>
      <c r="AE1" s="169" t="s">
        <v>337</v>
      </c>
      <c r="AF1" s="169" t="s">
        <v>338</v>
      </c>
      <c r="AG1" s="170" t="s">
        <v>339</v>
      </c>
      <c r="AH1" s="170" t="s">
        <v>340</v>
      </c>
      <c r="AI1" s="170" t="s">
        <v>341</v>
      </c>
      <c r="AJ1" s="170" t="s">
        <v>342</v>
      </c>
      <c r="AK1" s="170" t="s">
        <v>343</v>
      </c>
      <c r="AL1" s="170" t="s">
        <v>344</v>
      </c>
      <c r="AM1" s="170" t="s">
        <v>1070</v>
      </c>
      <c r="AN1" s="170" t="s">
        <v>1073</v>
      </c>
      <c r="AO1" s="170" t="s">
        <v>1071</v>
      </c>
      <c r="AP1" s="170" t="s">
        <v>1072</v>
      </c>
      <c r="AQ1" s="171" t="s">
        <v>345</v>
      </c>
      <c r="AR1" s="170" t="s">
        <v>346</v>
      </c>
      <c r="AS1" s="171" t="s">
        <v>209</v>
      </c>
      <c r="AT1" s="171" t="s">
        <v>347</v>
      </c>
      <c r="AU1" s="171" t="s">
        <v>348</v>
      </c>
      <c r="AV1" s="172" t="s">
        <v>354</v>
      </c>
      <c r="AW1" s="172" t="s">
        <v>355</v>
      </c>
      <c r="AX1" s="173" t="s">
        <v>360</v>
      </c>
      <c r="AY1" s="173" t="s">
        <v>359</v>
      </c>
      <c r="AZ1" s="173" t="s">
        <v>358</v>
      </c>
      <c r="BA1" s="174" t="s">
        <v>361</v>
      </c>
      <c r="BB1" s="172" t="s">
        <v>373</v>
      </c>
      <c r="BC1" s="172" t="s">
        <v>376</v>
      </c>
    </row>
    <row r="2" spans="1:55" x14ac:dyDescent="0.25">
      <c r="A2" s="44" t="s">
        <v>12</v>
      </c>
      <c r="B2" s="42" t="s">
        <v>1074</v>
      </c>
      <c r="C2" s="42"/>
      <c r="D2" s="15">
        <v>4.8839999999999999E-10</v>
      </c>
      <c r="E2" s="15">
        <v>2.7158000000000001E-10</v>
      </c>
      <c r="F2" s="15">
        <v>4.1217381359999998E-8</v>
      </c>
      <c r="G2" s="15">
        <v>2.8564E-8</v>
      </c>
      <c r="H2" s="15">
        <v>1.8907E-10</v>
      </c>
      <c r="I2" s="15">
        <v>9.0279999999999997E-11</v>
      </c>
      <c r="J2" s="15">
        <v>5.1492535920000001E-11</v>
      </c>
      <c r="K2" s="15">
        <v>1.202660136E-8</v>
      </c>
      <c r="L2" s="15">
        <v>1.1407756824E-13</v>
      </c>
      <c r="M2" s="15">
        <v>1.1545537305600001E-8</v>
      </c>
      <c r="N2" s="15">
        <v>2.9891358720000003E-8</v>
      </c>
      <c r="O2" s="15">
        <v>4.0166513280000001E-8</v>
      </c>
      <c r="P2" s="175">
        <v>0.98115942028985503</v>
      </c>
      <c r="Q2" s="175">
        <v>0.94192634560906496</v>
      </c>
      <c r="R2" s="175">
        <v>0.931707317073171</v>
      </c>
      <c r="S2" s="175">
        <v>0.91452991452991494</v>
      </c>
      <c r="T2" s="175">
        <v>0.91685393258426995</v>
      </c>
      <c r="U2" s="175">
        <v>1.1999999999999999E-3</v>
      </c>
      <c r="V2" s="175">
        <v>0.02</v>
      </c>
      <c r="W2" s="175">
        <v>0.01</v>
      </c>
      <c r="X2" s="175">
        <v>1.4999999999999999E-2</v>
      </c>
      <c r="Y2" s="175">
        <v>1.7999999999999999E-2</v>
      </c>
      <c r="Z2" s="105">
        <f t="shared" ref="Z2:AD3" si="0">0.4*U2</f>
        <v>4.7999999999999996E-4</v>
      </c>
      <c r="AA2" s="105">
        <f t="shared" si="0"/>
        <v>8.0000000000000002E-3</v>
      </c>
      <c r="AB2" s="105">
        <f t="shared" si="0"/>
        <v>4.0000000000000001E-3</v>
      </c>
      <c r="AC2" s="105">
        <f t="shared" si="0"/>
        <v>6.0000000000000001E-3</v>
      </c>
      <c r="AD2" s="105">
        <f t="shared" si="0"/>
        <v>7.1999999999999998E-3</v>
      </c>
      <c r="AE2" s="15">
        <v>2.7397260273972601E-2</v>
      </c>
      <c r="AF2" s="15">
        <v>225</v>
      </c>
      <c r="AG2" s="15">
        <v>1.9999999999999999E-6</v>
      </c>
      <c r="AH2" s="15">
        <v>2.0000000000000002E-5</v>
      </c>
      <c r="AI2" s="15">
        <v>15</v>
      </c>
      <c r="AJ2" s="15"/>
      <c r="AK2" s="15"/>
      <c r="AL2" s="15"/>
      <c r="AM2" s="15"/>
      <c r="AN2" s="15"/>
      <c r="AO2" s="15"/>
      <c r="AP2" s="15"/>
      <c r="AQ2" s="15">
        <v>1E-3</v>
      </c>
      <c r="AR2" s="15">
        <v>0.1</v>
      </c>
      <c r="AS2" s="15">
        <v>1700</v>
      </c>
      <c r="AT2" s="15">
        <v>5.0000000000000001E-4</v>
      </c>
      <c r="AU2" s="15">
        <v>25.294499999999999</v>
      </c>
      <c r="AV2" s="42">
        <v>15</v>
      </c>
      <c r="AW2" s="42">
        <v>225</v>
      </c>
      <c r="AX2" s="105">
        <f t="shared" ref="AX2:AX3" si="1">AZ2+s_lambda_HL</f>
        <v>5.5000000000000002E-5</v>
      </c>
      <c r="AY2" s="105">
        <f t="shared" ref="AY2:AY3" si="2">AZ2+(0.693/s_t_w)</f>
        <v>0.1386</v>
      </c>
      <c r="AZ2" s="105">
        <v>0</v>
      </c>
      <c r="BA2" s="15">
        <v>10</v>
      </c>
      <c r="BB2" s="105">
        <f t="shared" ref="BB2" si="3">AR2</f>
        <v>0.1</v>
      </c>
      <c r="BC2" s="105">
        <f t="shared" ref="BC2" si="4">AQ2</f>
        <v>1E-3</v>
      </c>
    </row>
    <row r="3" spans="1:55" x14ac:dyDescent="0.25">
      <c r="A3" s="46" t="s">
        <v>13</v>
      </c>
      <c r="B3" s="42" t="s">
        <v>351</v>
      </c>
      <c r="C3" s="42"/>
      <c r="D3" s="15">
        <v>1.8425999999999999E-10</v>
      </c>
      <c r="E3" s="15">
        <v>1.3357000000000001E-10</v>
      </c>
      <c r="F3" s="15">
        <v>2.767285944E-8</v>
      </c>
      <c r="G3" s="15">
        <v>3.7739999999999999E-8</v>
      </c>
      <c r="H3" s="15">
        <v>1.036E-10</v>
      </c>
      <c r="I3" s="15">
        <v>9.1019999999999999E-11</v>
      </c>
      <c r="J3" s="15">
        <v>5.8031270640000001E-11</v>
      </c>
      <c r="K3" s="15">
        <v>1.86820992E-8</v>
      </c>
      <c r="L3" s="15">
        <v>1.319423256E-13</v>
      </c>
      <c r="M3" s="15">
        <v>1.3754695536000001E-8</v>
      </c>
      <c r="N3" s="15">
        <v>2.5781296896000001E-8</v>
      </c>
      <c r="O3" s="15">
        <v>2.767285944E-8</v>
      </c>
      <c r="P3" s="175">
        <v>0.98581560283687897</v>
      </c>
      <c r="Q3" s="175">
        <v>0.95726495726495697</v>
      </c>
      <c r="R3" s="175">
        <v>0.93096234309623405</v>
      </c>
      <c r="S3" s="175">
        <v>0.90049751243781095</v>
      </c>
      <c r="T3" s="175">
        <v>0.87357630979498901</v>
      </c>
      <c r="U3" s="175">
        <v>6.7000000000000002E-5</v>
      </c>
      <c r="V3" s="175">
        <v>1.4999999999999999E-4</v>
      </c>
      <c r="W3" s="175">
        <v>1.1E-4</v>
      </c>
      <c r="X3" s="175">
        <v>1.4999999999999999E-4</v>
      </c>
      <c r="Y3" s="175">
        <v>1.4999999999999999E-4</v>
      </c>
      <c r="Z3" s="105">
        <f t="shared" si="0"/>
        <v>2.6800000000000001E-5</v>
      </c>
      <c r="AA3" s="105">
        <f t="shared" si="0"/>
        <v>5.9999999999999995E-5</v>
      </c>
      <c r="AB3" s="105">
        <f t="shared" si="0"/>
        <v>4.4000000000000006E-5</v>
      </c>
      <c r="AC3" s="105">
        <f t="shared" si="0"/>
        <v>5.9999999999999995E-5</v>
      </c>
      <c r="AD3" s="105">
        <f t="shared" si="0"/>
        <v>5.9999999999999995E-5</v>
      </c>
      <c r="AE3" s="15">
        <v>432.2</v>
      </c>
      <c r="AF3" s="15">
        <v>241</v>
      </c>
      <c r="AG3" s="15">
        <v>4.2E-7</v>
      </c>
      <c r="AH3" s="15">
        <v>5.0000000000000001E-4</v>
      </c>
      <c r="AI3" s="15">
        <v>240</v>
      </c>
      <c r="AJ3" s="15">
        <v>6.0000000000000001E-3</v>
      </c>
      <c r="AK3" s="15">
        <v>3.0000000000000001E-3</v>
      </c>
      <c r="AL3" s="15">
        <v>1.7000000000000001E-4</v>
      </c>
      <c r="AM3" s="175">
        <v>1.1E-4</v>
      </c>
      <c r="AN3" s="15"/>
      <c r="AO3" s="15"/>
      <c r="AP3" s="175">
        <v>6.9E-6</v>
      </c>
      <c r="AQ3" s="15">
        <v>2.1999999999999999E-5</v>
      </c>
      <c r="AR3" s="15">
        <v>2.52873563218391E-5</v>
      </c>
      <c r="AS3" s="15">
        <v>4</v>
      </c>
      <c r="AT3" s="15">
        <v>5.0000000000000001E-4</v>
      </c>
      <c r="AU3" s="15">
        <v>1.60342434058306E-3</v>
      </c>
      <c r="AV3" s="42">
        <v>15</v>
      </c>
      <c r="AW3" s="42">
        <v>241</v>
      </c>
      <c r="AX3" s="105">
        <f t="shared" si="1"/>
        <v>5.5000000000000002E-5</v>
      </c>
      <c r="AY3" s="105">
        <f t="shared" si="2"/>
        <v>0.1386</v>
      </c>
      <c r="AZ3" s="105">
        <v>0</v>
      </c>
      <c r="BA3" s="15">
        <v>157753</v>
      </c>
      <c r="BB3" s="105">
        <f>AR3</f>
        <v>2.52873563218391E-5</v>
      </c>
      <c r="BC3" s="105">
        <f>AQ3</f>
        <v>2.1999999999999999E-5</v>
      </c>
    </row>
    <row r="4" spans="1:55" x14ac:dyDescent="0.25">
      <c r="A4" s="44" t="s">
        <v>14</v>
      </c>
      <c r="B4" s="42" t="s">
        <v>1074</v>
      </c>
      <c r="C4" s="42"/>
      <c r="D4" s="15">
        <v>0</v>
      </c>
      <c r="E4" s="15">
        <v>0</v>
      </c>
      <c r="F4" s="15">
        <v>9.364402224000001E-10</v>
      </c>
      <c r="G4" s="15">
        <v>0</v>
      </c>
      <c r="H4" s="15">
        <v>0</v>
      </c>
      <c r="I4" s="15">
        <v>0</v>
      </c>
      <c r="J4" s="15">
        <v>9.7613968320000008E-13</v>
      </c>
      <c r="K4" s="15">
        <v>2.125088784E-10</v>
      </c>
      <c r="L4" s="15">
        <v>2.1367650959999998E-15</v>
      </c>
      <c r="M4" s="15">
        <v>2.1671235072E-10</v>
      </c>
      <c r="N4" s="15">
        <v>5.9782717440000002E-10</v>
      </c>
      <c r="O4" s="15">
        <v>8.7805866240000002E-10</v>
      </c>
      <c r="P4" s="175">
        <v>0.914201183431953</v>
      </c>
      <c r="Q4" s="175">
        <v>0.85714285714285698</v>
      </c>
      <c r="R4" s="175">
        <v>0.90909090909090895</v>
      </c>
      <c r="S4" s="175">
        <v>0.91269841269841301</v>
      </c>
      <c r="T4" s="175">
        <v>0.89869753979739497</v>
      </c>
      <c r="U4" s="175">
        <v>1.4E-2</v>
      </c>
      <c r="V4" s="175">
        <v>4.4999999999999998E-2</v>
      </c>
      <c r="W4" s="175">
        <v>2.5999999999999999E-2</v>
      </c>
      <c r="X4" s="175">
        <v>3.5999999999999997E-2</v>
      </c>
      <c r="Y4" s="175">
        <v>4.2000000000000003E-2</v>
      </c>
      <c r="Z4" s="105">
        <f t="shared" ref="Z4:AD5" si="5">0.4*U4</f>
        <v>5.6000000000000008E-3</v>
      </c>
      <c r="AA4" s="105">
        <f t="shared" si="5"/>
        <v>1.7999999999999999E-2</v>
      </c>
      <c r="AB4" s="105">
        <f t="shared" si="5"/>
        <v>1.04E-2</v>
      </c>
      <c r="AC4" s="105">
        <f t="shared" si="5"/>
        <v>1.44E-2</v>
      </c>
      <c r="AD4" s="105">
        <f t="shared" si="5"/>
        <v>1.6800000000000002E-2</v>
      </c>
      <c r="AE4" s="15">
        <v>1.0242262810756E-9</v>
      </c>
      <c r="AF4" s="15">
        <v>217</v>
      </c>
      <c r="AG4" s="15">
        <v>0.01</v>
      </c>
      <c r="AH4" s="15">
        <v>0.01</v>
      </c>
      <c r="AI4" s="15"/>
      <c r="AJ4" s="15"/>
      <c r="AK4" s="15"/>
      <c r="AL4" s="15"/>
      <c r="AM4" s="15"/>
      <c r="AN4" s="15"/>
      <c r="AO4" s="15"/>
      <c r="AP4" s="15"/>
      <c r="AQ4" s="15">
        <v>0.2</v>
      </c>
      <c r="AR4" s="15">
        <v>0.9</v>
      </c>
      <c r="AS4" s="15">
        <v>10</v>
      </c>
      <c r="AT4" s="15"/>
      <c r="AU4" s="15">
        <v>676608297.21362197</v>
      </c>
      <c r="AV4" s="42">
        <v>15</v>
      </c>
      <c r="AW4" s="42">
        <v>217</v>
      </c>
      <c r="AX4" s="105">
        <f t="shared" ref="AX4:AX5" si="6">AZ4+s_lambda_HL</f>
        <v>5.5000000000000002E-5</v>
      </c>
      <c r="AY4" s="105">
        <f t="shared" ref="AY4:AY5" si="7">AZ4+(0.693/s_t_w)</f>
        <v>0.1386</v>
      </c>
      <c r="AZ4" s="105">
        <v>0</v>
      </c>
      <c r="BA4" s="15">
        <v>3.7384259259259298E-7</v>
      </c>
      <c r="BB4" s="105">
        <f t="shared" ref="BB4:BB5" si="8">AR4</f>
        <v>0.9</v>
      </c>
      <c r="BC4" s="105">
        <f t="shared" ref="BC4:BC5" si="9">AQ4</f>
        <v>0.2</v>
      </c>
    </row>
    <row r="5" spans="1:55" x14ac:dyDescent="0.25">
      <c r="A5" s="44" t="s">
        <v>15</v>
      </c>
      <c r="B5" s="42" t="s">
        <v>1074</v>
      </c>
      <c r="C5" s="42"/>
      <c r="D5" s="15">
        <v>0</v>
      </c>
      <c r="E5" s="15">
        <v>0</v>
      </c>
      <c r="F5" s="15">
        <v>2.7439333200000001E-11</v>
      </c>
      <c r="G5" s="15">
        <v>0</v>
      </c>
      <c r="H5" s="15">
        <v>0</v>
      </c>
      <c r="I5" s="15">
        <v>0</v>
      </c>
      <c r="J5" s="15">
        <v>3.0825463680000002E-14</v>
      </c>
      <c r="K5" s="15">
        <v>1.9966493520000001E-11</v>
      </c>
      <c r="L5" s="15">
        <v>5.1259009680000003E-17</v>
      </c>
      <c r="M5" s="15">
        <v>8.3882625408000002E-12</v>
      </c>
      <c r="N5" s="15">
        <v>1.8436896648E-11</v>
      </c>
      <c r="O5" s="15">
        <v>2.5571123280000002E-11</v>
      </c>
      <c r="P5" s="175">
        <v>0.9</v>
      </c>
      <c r="Q5" s="175">
        <v>0.9</v>
      </c>
      <c r="R5" s="175">
        <v>0.9</v>
      </c>
      <c r="S5" s="175">
        <v>0.9</v>
      </c>
      <c r="T5" s="175">
        <v>0.9</v>
      </c>
      <c r="U5" s="175">
        <v>0</v>
      </c>
      <c r="V5" s="175">
        <v>0</v>
      </c>
      <c r="W5" s="175">
        <v>0</v>
      </c>
      <c r="X5" s="175">
        <v>0</v>
      </c>
      <c r="Y5" s="175">
        <v>0</v>
      </c>
      <c r="Z5" s="105">
        <f t="shared" si="5"/>
        <v>0</v>
      </c>
      <c r="AA5" s="105">
        <f t="shared" si="5"/>
        <v>0</v>
      </c>
      <c r="AB5" s="105">
        <f t="shared" si="5"/>
        <v>0</v>
      </c>
      <c r="AC5" s="105">
        <f t="shared" si="5"/>
        <v>0</v>
      </c>
      <c r="AD5" s="105">
        <f t="shared" si="5"/>
        <v>0</v>
      </c>
      <c r="AE5" s="15">
        <v>4.7564687975646899E-8</v>
      </c>
      <c r="AF5" s="15">
        <v>218</v>
      </c>
      <c r="AG5" s="15">
        <v>0.01</v>
      </c>
      <c r="AH5" s="15">
        <v>0.01</v>
      </c>
      <c r="AI5" s="15"/>
      <c r="AJ5" s="15"/>
      <c r="AK5" s="15"/>
      <c r="AL5" s="15"/>
      <c r="AM5" s="15"/>
      <c r="AN5" s="15"/>
      <c r="AO5" s="15"/>
      <c r="AP5" s="15"/>
      <c r="AQ5" s="15">
        <v>0.2</v>
      </c>
      <c r="AR5" s="15">
        <v>0.9</v>
      </c>
      <c r="AS5" s="15">
        <v>10</v>
      </c>
      <c r="AT5" s="15"/>
      <c r="AU5" s="15">
        <v>14569632</v>
      </c>
      <c r="AV5" s="42">
        <v>15</v>
      </c>
      <c r="AW5" s="42">
        <v>218</v>
      </c>
      <c r="AX5" s="105">
        <f t="shared" si="6"/>
        <v>5.5000000000000002E-5</v>
      </c>
      <c r="AY5" s="105">
        <f t="shared" si="7"/>
        <v>0.1386</v>
      </c>
      <c r="AZ5" s="105">
        <v>0</v>
      </c>
      <c r="BA5" s="15">
        <v>1.7361111111111101E-5</v>
      </c>
      <c r="BB5" s="105">
        <f t="shared" si="8"/>
        <v>0.9</v>
      </c>
      <c r="BC5" s="105">
        <f t="shared" si="9"/>
        <v>0.2</v>
      </c>
    </row>
    <row r="6" spans="1:55" x14ac:dyDescent="0.25">
      <c r="A6" s="44" t="s">
        <v>16</v>
      </c>
      <c r="B6" s="42" t="s">
        <v>1074</v>
      </c>
      <c r="C6" s="42"/>
      <c r="D6" s="15">
        <v>0</v>
      </c>
      <c r="E6" s="15">
        <v>0</v>
      </c>
      <c r="F6" s="15">
        <v>2.6855517600000001E-6</v>
      </c>
      <c r="G6" s="15">
        <v>0</v>
      </c>
      <c r="H6" s="15">
        <v>0</v>
      </c>
      <c r="I6" s="15">
        <v>0</v>
      </c>
      <c r="J6" s="15">
        <v>2.5220833919999999E-9</v>
      </c>
      <c r="K6" s="15">
        <v>5.3594272079999995E-7</v>
      </c>
      <c r="L6" s="15">
        <v>5.4645140159999999E-12</v>
      </c>
      <c r="M6" s="15">
        <v>5.4738550656000004E-7</v>
      </c>
      <c r="N6" s="15">
        <v>1.5436084463999999E-6</v>
      </c>
      <c r="O6" s="15">
        <v>2.3936439600000001E-6</v>
      </c>
      <c r="P6" s="175">
        <v>0.88636363636363602</v>
      </c>
      <c r="Q6" s="175">
        <v>0.91519434628975305</v>
      </c>
      <c r="R6" s="175">
        <v>0.93487394957983205</v>
      </c>
      <c r="S6" s="175">
        <v>0.91752577319587603</v>
      </c>
      <c r="T6" s="175">
        <v>0.95541401273885396</v>
      </c>
      <c r="U6" s="175">
        <v>2.7E-2</v>
      </c>
      <c r="V6" s="175">
        <v>8.2000000000000003E-2</v>
      </c>
      <c r="W6" s="175">
        <v>4.2999999999999997E-2</v>
      </c>
      <c r="X6" s="175">
        <v>6.2E-2</v>
      </c>
      <c r="Y6" s="175">
        <v>7.1999999999999995E-2</v>
      </c>
      <c r="Z6" s="105">
        <f t="shared" ref="Z6:AD7" si="10">0.4*U6</f>
        <v>1.0800000000000001E-2</v>
      </c>
      <c r="AA6" s="105">
        <f t="shared" si="10"/>
        <v>3.2800000000000003E-2</v>
      </c>
      <c r="AB6" s="105">
        <f t="shared" si="10"/>
        <v>1.72E-2</v>
      </c>
      <c r="AC6" s="105">
        <f t="shared" si="10"/>
        <v>2.4800000000000003E-2</v>
      </c>
      <c r="AD6" s="105">
        <f t="shared" si="10"/>
        <v>2.8799999999999999E-2</v>
      </c>
      <c r="AE6" s="15">
        <v>4.8554033485540298E-6</v>
      </c>
      <c r="AF6" s="15">
        <v>137</v>
      </c>
      <c r="AG6" s="15">
        <v>1.6000000000000001E-4</v>
      </c>
      <c r="AH6" s="15">
        <v>1.3999999999999999E-4</v>
      </c>
      <c r="AI6" s="15">
        <v>1.2</v>
      </c>
      <c r="AJ6" s="15">
        <v>1.9E-2</v>
      </c>
      <c r="AK6" s="15">
        <v>0.87</v>
      </c>
      <c r="AL6" s="15"/>
      <c r="AM6" s="175">
        <v>5.0000000000000001E-3</v>
      </c>
      <c r="AN6" s="175">
        <v>4.1000000000000002E-2</v>
      </c>
      <c r="AO6" s="175">
        <v>1.2999999999999999E-5</v>
      </c>
      <c r="AP6" s="175">
        <v>1.0999999999999999E-2</v>
      </c>
      <c r="AQ6" s="15">
        <v>1E-3</v>
      </c>
      <c r="AR6" s="15">
        <v>1.1494252873563201E-3</v>
      </c>
      <c r="AS6" s="15">
        <v>0.4</v>
      </c>
      <c r="AT6" s="15"/>
      <c r="AU6" s="15">
        <v>142727.58620689699</v>
      </c>
      <c r="AV6" s="42"/>
      <c r="AW6" s="42">
        <v>137</v>
      </c>
      <c r="AX6" s="105">
        <f t="shared" ref="AX6:AX9" si="11">AZ6+s_lambda_HL</f>
        <v>5.5000000000000002E-5</v>
      </c>
      <c r="AY6" s="105">
        <f t="shared" ref="AY6:AY9" si="12">AZ6+(0.693/s_t_w)</f>
        <v>0.1386</v>
      </c>
      <c r="AZ6" s="105">
        <v>0</v>
      </c>
      <c r="BA6" s="15">
        <v>1.77222222222222E-3</v>
      </c>
      <c r="BB6" s="105">
        <f t="shared" ref="BB6:BB9" si="13">AR6</f>
        <v>1.1494252873563201E-3</v>
      </c>
      <c r="BC6" s="105">
        <f t="shared" ref="BC6:BC9" si="14">AQ6</f>
        <v>1E-3</v>
      </c>
    </row>
    <row r="7" spans="1:55" x14ac:dyDescent="0.25">
      <c r="A7" s="44" t="s">
        <v>17</v>
      </c>
      <c r="B7" s="42" t="s">
        <v>1074</v>
      </c>
      <c r="C7" s="42"/>
      <c r="D7" s="15">
        <v>2.4013E-11</v>
      </c>
      <c r="E7" s="15">
        <v>1.3023999999999999E-11</v>
      </c>
      <c r="F7" s="15">
        <v>2.7672859440000002E-9</v>
      </c>
      <c r="G7" s="15">
        <v>4.5510000000000001E-10</v>
      </c>
      <c r="H7" s="15">
        <v>8.9170000000000001E-12</v>
      </c>
      <c r="I7" s="15">
        <v>3.7369999999999999E-12</v>
      </c>
      <c r="J7" s="15">
        <v>5.2893693360000002E-12</v>
      </c>
      <c r="K7" s="15">
        <v>4.8223168560000003E-9</v>
      </c>
      <c r="L7" s="15">
        <v>7.82312904E-15</v>
      </c>
      <c r="M7" s="15">
        <v>9.5465526912000009E-10</v>
      </c>
      <c r="N7" s="15">
        <v>2.0550309120000001E-9</v>
      </c>
      <c r="O7" s="15">
        <v>2.6855517600000001E-9</v>
      </c>
      <c r="P7" s="175">
        <v>0.90997566909975702</v>
      </c>
      <c r="Q7" s="175">
        <v>0.867088607594937</v>
      </c>
      <c r="R7" s="175">
        <v>0.90839694656488501</v>
      </c>
      <c r="S7" s="175">
        <v>0.92993630573248398</v>
      </c>
      <c r="T7" s="175">
        <v>0.87429854096520798</v>
      </c>
      <c r="U7" s="175">
        <v>1.4E-2</v>
      </c>
      <c r="V7" s="175">
        <v>0.04</v>
      </c>
      <c r="W7" s="175">
        <v>2.4E-2</v>
      </c>
      <c r="X7" s="175">
        <v>3.2000000000000001E-2</v>
      </c>
      <c r="Y7" s="175">
        <v>3.6999999999999998E-2</v>
      </c>
      <c r="Z7" s="105">
        <f t="shared" si="10"/>
        <v>5.6000000000000008E-3</v>
      </c>
      <c r="AA7" s="105">
        <f t="shared" si="10"/>
        <v>1.6E-2</v>
      </c>
      <c r="AB7" s="105">
        <f t="shared" si="10"/>
        <v>9.6000000000000009E-3</v>
      </c>
      <c r="AC7" s="105">
        <f t="shared" si="10"/>
        <v>1.2800000000000001E-2</v>
      </c>
      <c r="AD7" s="105">
        <f t="shared" si="10"/>
        <v>1.4800000000000001E-2</v>
      </c>
      <c r="AE7" s="15">
        <v>1.37342465753425E-2</v>
      </c>
      <c r="AF7" s="15">
        <v>210</v>
      </c>
      <c r="AG7" s="15">
        <v>1E-3</v>
      </c>
      <c r="AH7" s="15">
        <v>2E-3</v>
      </c>
      <c r="AI7" s="15">
        <v>15</v>
      </c>
      <c r="AJ7" s="15"/>
      <c r="AK7" s="15"/>
      <c r="AL7" s="15"/>
      <c r="AM7" s="15"/>
      <c r="AN7" s="15"/>
      <c r="AO7" s="15"/>
      <c r="AP7" s="15"/>
      <c r="AQ7" s="15">
        <v>0.1</v>
      </c>
      <c r="AR7" s="15">
        <v>0.5</v>
      </c>
      <c r="AS7" s="15">
        <v>480</v>
      </c>
      <c r="AT7" s="15">
        <v>0.05</v>
      </c>
      <c r="AU7" s="15">
        <v>50.457809694793497</v>
      </c>
      <c r="AV7" s="42">
        <v>15</v>
      </c>
      <c r="AW7" s="42">
        <v>210</v>
      </c>
      <c r="AX7" s="105">
        <f t="shared" si="11"/>
        <v>5.5000000000000002E-5</v>
      </c>
      <c r="AY7" s="105">
        <f t="shared" si="12"/>
        <v>0.1386</v>
      </c>
      <c r="AZ7" s="105">
        <v>0</v>
      </c>
      <c r="BA7" s="15">
        <v>5.0129999999999999</v>
      </c>
      <c r="BB7" s="105">
        <f t="shared" si="13"/>
        <v>0.5</v>
      </c>
      <c r="BC7" s="105">
        <f t="shared" si="14"/>
        <v>0.1</v>
      </c>
    </row>
    <row r="8" spans="1:55" x14ac:dyDescent="0.25">
      <c r="A8" s="44" t="s">
        <v>18</v>
      </c>
      <c r="B8" s="42" t="s">
        <v>1074</v>
      </c>
      <c r="C8" s="42"/>
      <c r="D8" s="15">
        <v>1.1914E-12</v>
      </c>
      <c r="E8" s="15">
        <v>7.1780000000000003E-13</v>
      </c>
      <c r="F8" s="15">
        <v>5.4294850800000002E-7</v>
      </c>
      <c r="G8" s="15">
        <v>7.4000000000000003E-11</v>
      </c>
      <c r="H8" s="15">
        <v>5.0689999999999999E-13</v>
      </c>
      <c r="I8" s="15">
        <v>3.1709000000000002E-13</v>
      </c>
      <c r="J8" s="15">
        <v>5.3243982719999998E-10</v>
      </c>
      <c r="K8" s="15">
        <v>1.2026601359999999E-7</v>
      </c>
      <c r="L8" s="15">
        <v>1.1559548879999999E-12</v>
      </c>
      <c r="M8" s="15">
        <v>1.1769722496E-7</v>
      </c>
      <c r="N8" s="15">
        <v>3.2880494591999999E-7</v>
      </c>
      <c r="O8" s="15">
        <v>4.9741089120000005E-7</v>
      </c>
      <c r="P8" s="175">
        <v>0.88690476190476197</v>
      </c>
      <c r="Q8" s="175">
        <v>0.97311827956989205</v>
      </c>
      <c r="R8" s="175">
        <v>0.93904761904761902</v>
      </c>
      <c r="S8" s="175">
        <v>0.93809523809523798</v>
      </c>
      <c r="T8" s="175">
        <v>0.89295774647887305</v>
      </c>
      <c r="U8" s="175">
        <v>0.02</v>
      </c>
      <c r="V8" s="175">
        <v>6.2E-2</v>
      </c>
      <c r="W8" s="175">
        <v>3.5000000000000003E-2</v>
      </c>
      <c r="X8" s="175">
        <v>4.8000000000000001E-2</v>
      </c>
      <c r="Y8" s="175">
        <v>5.5E-2</v>
      </c>
      <c r="Z8" s="105">
        <f t="shared" ref="Z8:AD9" si="15">0.4*U8</f>
        <v>8.0000000000000002E-3</v>
      </c>
      <c r="AA8" s="105">
        <f t="shared" si="15"/>
        <v>2.4800000000000003E-2</v>
      </c>
      <c r="AB8" s="105">
        <f t="shared" si="15"/>
        <v>1.4000000000000002E-2</v>
      </c>
      <c r="AC8" s="105">
        <f t="shared" si="15"/>
        <v>1.9200000000000002E-2</v>
      </c>
      <c r="AD8" s="105">
        <f t="shared" si="15"/>
        <v>2.2000000000000002E-2</v>
      </c>
      <c r="AE8" s="15">
        <v>8.6738964992389594E-5</v>
      </c>
      <c r="AF8" s="15">
        <v>213</v>
      </c>
      <c r="AG8" s="15">
        <v>1E-3</v>
      </c>
      <c r="AH8" s="15">
        <v>2E-3</v>
      </c>
      <c r="AI8" s="15">
        <v>15</v>
      </c>
      <c r="AJ8" s="15"/>
      <c r="AK8" s="15"/>
      <c r="AL8" s="15"/>
      <c r="AM8" s="15"/>
      <c r="AN8" s="15"/>
      <c r="AO8" s="15"/>
      <c r="AP8" s="15"/>
      <c r="AQ8" s="15">
        <v>0.1</v>
      </c>
      <c r="AR8" s="15">
        <v>0.5</v>
      </c>
      <c r="AS8" s="15">
        <v>480</v>
      </c>
      <c r="AT8" s="15">
        <v>0.05</v>
      </c>
      <c r="AU8" s="15">
        <v>7989.4889230094304</v>
      </c>
      <c r="AV8" s="42">
        <v>15</v>
      </c>
      <c r="AW8" s="42">
        <v>213</v>
      </c>
      <c r="AX8" s="105">
        <f t="shared" si="11"/>
        <v>5.5000000000000002E-5</v>
      </c>
      <c r="AY8" s="105">
        <f t="shared" si="12"/>
        <v>0.1386</v>
      </c>
      <c r="AZ8" s="105">
        <v>0</v>
      </c>
      <c r="BA8" s="15">
        <v>3.16597222222222E-2</v>
      </c>
      <c r="BB8" s="105">
        <f t="shared" si="13"/>
        <v>0.5</v>
      </c>
      <c r="BC8" s="105">
        <f t="shared" si="14"/>
        <v>0.1</v>
      </c>
    </row>
    <row r="9" spans="1:55" x14ac:dyDescent="0.25">
      <c r="A9" s="44" t="s">
        <v>19</v>
      </c>
      <c r="B9" s="42" t="s">
        <v>1074</v>
      </c>
      <c r="C9" s="42"/>
      <c r="D9" s="15">
        <v>4.0330000000000001E-13</v>
      </c>
      <c r="E9" s="15">
        <v>2.6529000000000002E-13</v>
      </c>
      <c r="F9" s="15">
        <v>7.3444002480000004E-6</v>
      </c>
      <c r="G9" s="15">
        <v>6.1799999999999996E-11</v>
      </c>
      <c r="H9" s="15">
        <v>1.9202999999999999E-13</v>
      </c>
      <c r="I9" s="15">
        <v>1.4726E-13</v>
      </c>
      <c r="J9" s="15">
        <v>6.6905267759999996E-9</v>
      </c>
      <c r="K9" s="15">
        <v>1.2843943200000001E-6</v>
      </c>
      <c r="L9" s="15">
        <v>1.4478626879999999E-11</v>
      </c>
      <c r="M9" s="15">
        <v>1.3264290432000001E-6</v>
      </c>
      <c r="N9" s="15">
        <v>3.8111482368000001E-6</v>
      </c>
      <c r="O9" s="15">
        <v>6.1417401119999998E-6</v>
      </c>
      <c r="P9" s="175">
        <v>0.86585365853658502</v>
      </c>
      <c r="Q9" s="175">
        <v>0.94236311239193105</v>
      </c>
      <c r="R9" s="175">
        <v>0.934579439252336</v>
      </c>
      <c r="S9" s="175">
        <v>0.94453004622496095</v>
      </c>
      <c r="T9" s="175">
        <v>0.9375</v>
      </c>
      <c r="U9" s="175">
        <v>3.9E-2</v>
      </c>
      <c r="V9" s="175">
        <v>0.13</v>
      </c>
      <c r="W9" s="175">
        <v>6.4000000000000001E-2</v>
      </c>
      <c r="X9" s="175">
        <v>0.09</v>
      </c>
      <c r="Y9" s="175">
        <v>0.11</v>
      </c>
      <c r="Z9" s="105">
        <f t="shared" si="15"/>
        <v>1.5600000000000001E-2</v>
      </c>
      <c r="AA9" s="105">
        <f t="shared" si="15"/>
        <v>5.2000000000000005E-2</v>
      </c>
      <c r="AB9" s="105">
        <f t="shared" si="15"/>
        <v>2.5600000000000001E-2</v>
      </c>
      <c r="AC9" s="105">
        <f t="shared" si="15"/>
        <v>3.5999999999999997E-2</v>
      </c>
      <c r="AD9" s="105">
        <f t="shared" si="15"/>
        <v>4.4000000000000004E-2</v>
      </c>
      <c r="AE9" s="15">
        <v>3.7861491628614902E-5</v>
      </c>
      <c r="AF9" s="15">
        <v>214</v>
      </c>
      <c r="AG9" s="15">
        <v>1E-3</v>
      </c>
      <c r="AH9" s="15">
        <v>2E-3</v>
      </c>
      <c r="AI9" s="15">
        <v>15</v>
      </c>
      <c r="AJ9" s="15"/>
      <c r="AK9" s="15"/>
      <c r="AL9" s="15"/>
      <c r="AM9" s="15"/>
      <c r="AN9" s="15"/>
      <c r="AO9" s="15"/>
      <c r="AP9" s="15"/>
      <c r="AQ9" s="15">
        <v>0.1</v>
      </c>
      <c r="AR9" s="15">
        <v>0.5</v>
      </c>
      <c r="AS9" s="15">
        <v>480</v>
      </c>
      <c r="AT9" s="15">
        <v>0.05</v>
      </c>
      <c r="AU9" s="15">
        <v>18303.557788944701</v>
      </c>
      <c r="AV9" s="42">
        <v>15</v>
      </c>
      <c r="AW9" s="42">
        <v>214</v>
      </c>
      <c r="AX9" s="105">
        <f t="shared" si="11"/>
        <v>5.5000000000000002E-5</v>
      </c>
      <c r="AY9" s="105">
        <f t="shared" si="12"/>
        <v>0.1386</v>
      </c>
      <c r="AZ9" s="105">
        <v>0</v>
      </c>
      <c r="BA9" s="15">
        <v>1.38194444444444E-2</v>
      </c>
      <c r="BB9" s="105">
        <f t="shared" si="13"/>
        <v>0.5</v>
      </c>
      <c r="BC9" s="105">
        <f t="shared" si="14"/>
        <v>0.1</v>
      </c>
    </row>
    <row r="10" spans="1:55" x14ac:dyDescent="0.25">
      <c r="A10" s="46" t="s">
        <v>20</v>
      </c>
      <c r="B10" s="42" t="s">
        <v>351</v>
      </c>
      <c r="C10" s="42"/>
      <c r="D10" s="15">
        <v>4.2549999999999998E-11</v>
      </c>
      <c r="E10" s="15">
        <v>3.7370000000000003E-11</v>
      </c>
      <c r="F10" s="15">
        <v>5.5228955760000004E-10</v>
      </c>
      <c r="G10" s="15">
        <v>1.1248E-10</v>
      </c>
      <c r="H10" s="15">
        <v>3.0487999999999999E-11</v>
      </c>
      <c r="I10" s="15">
        <v>3.1782999999999999E-11</v>
      </c>
      <c r="J10" s="15">
        <v>1.6230073680000001E-12</v>
      </c>
      <c r="K10" s="15">
        <v>5.5345718879999995E-10</v>
      </c>
      <c r="L10" s="15">
        <v>2.2418519040000001E-15</v>
      </c>
      <c r="M10" s="15">
        <v>1.9242562176E-10</v>
      </c>
      <c r="N10" s="15">
        <v>4.2408365184000002E-10</v>
      </c>
      <c r="O10" s="15">
        <v>5.4178087679999995E-10</v>
      </c>
      <c r="P10" s="175">
        <v>0.90521327014218</v>
      </c>
      <c r="Q10" s="175">
        <v>0.85365853658536595</v>
      </c>
      <c r="R10" s="175">
        <v>0.91304347826086996</v>
      </c>
      <c r="S10" s="175">
        <v>0.92797118847538995</v>
      </c>
      <c r="T10" s="175">
        <v>0.87368421052631595</v>
      </c>
      <c r="U10" s="175">
        <v>2.7E-2</v>
      </c>
      <c r="V10" s="175">
        <v>7.4999999999999997E-2</v>
      </c>
      <c r="W10" s="175">
        <v>4.4999999999999998E-2</v>
      </c>
      <c r="X10" s="175">
        <v>6.2E-2</v>
      </c>
      <c r="Y10" s="175">
        <v>7.1999999999999995E-2</v>
      </c>
      <c r="Z10" s="105">
        <f t="shared" ref="Z10:AD10" si="16">0.4*U10</f>
        <v>1.0800000000000001E-2</v>
      </c>
      <c r="AA10" s="105">
        <f t="shared" si="16"/>
        <v>0.03</v>
      </c>
      <c r="AB10" s="105">
        <f t="shared" si="16"/>
        <v>1.7999999999999999E-2</v>
      </c>
      <c r="AC10" s="105">
        <f t="shared" si="16"/>
        <v>2.4800000000000003E-2</v>
      </c>
      <c r="AD10" s="105">
        <f t="shared" si="16"/>
        <v>2.8799999999999999E-2</v>
      </c>
      <c r="AE10" s="15">
        <v>30.167100000000001</v>
      </c>
      <c r="AF10" s="15">
        <v>137</v>
      </c>
      <c r="AG10" s="15">
        <v>4.5999999999999999E-3</v>
      </c>
      <c r="AH10" s="15">
        <v>2.1999999999999999E-2</v>
      </c>
      <c r="AI10" s="15">
        <v>2500</v>
      </c>
      <c r="AJ10" s="15">
        <v>2.7</v>
      </c>
      <c r="AK10" s="15">
        <v>0.4</v>
      </c>
      <c r="AL10" s="15">
        <v>0.2</v>
      </c>
      <c r="AM10" s="175">
        <v>0.19</v>
      </c>
      <c r="AN10" s="175">
        <v>5.8000000000000003E-2</v>
      </c>
      <c r="AO10" s="175">
        <v>0.32</v>
      </c>
      <c r="AP10" s="175">
        <v>0.11</v>
      </c>
      <c r="AQ10" s="15">
        <v>2.9000000000000001E-2</v>
      </c>
      <c r="AR10" s="15">
        <v>3.3333333333333298E-2</v>
      </c>
      <c r="AS10" s="15">
        <v>10</v>
      </c>
      <c r="AT10" s="15">
        <v>1</v>
      </c>
      <c r="AU10" s="15">
        <v>2.2972045705420802E-2</v>
      </c>
      <c r="AV10" s="42">
        <v>200</v>
      </c>
      <c r="AW10" s="42">
        <v>137</v>
      </c>
      <c r="AX10" s="105">
        <f t="shared" ref="AX10" si="17">AZ10+s_lambda_HL</f>
        <v>5.5000000000000002E-5</v>
      </c>
      <c r="AY10" s="105">
        <f t="shared" ref="AY10" si="18">AZ10+(0.693/s_t_w)</f>
        <v>0.1386</v>
      </c>
      <c r="AZ10" s="105">
        <v>0</v>
      </c>
      <c r="BA10" s="15">
        <v>11010.9915</v>
      </c>
      <c r="BB10" s="105">
        <f t="shared" ref="BB10" si="19">AR10</f>
        <v>3.3333333333333298E-2</v>
      </c>
      <c r="BC10" s="105">
        <f t="shared" ref="BC10" si="20">AQ10</f>
        <v>2.9000000000000001E-2</v>
      </c>
    </row>
    <row r="11" spans="1:55" x14ac:dyDescent="0.25">
      <c r="A11" s="44" t="s">
        <v>21</v>
      </c>
      <c r="B11" s="42" t="s">
        <v>1074</v>
      </c>
      <c r="C11" s="42"/>
      <c r="D11" s="15">
        <v>0</v>
      </c>
      <c r="E11" s="15">
        <v>0</v>
      </c>
      <c r="F11" s="15">
        <v>1.0485328176E-7</v>
      </c>
      <c r="G11" s="15">
        <v>0</v>
      </c>
      <c r="H11" s="15">
        <v>0</v>
      </c>
      <c r="I11" s="15">
        <v>0</v>
      </c>
      <c r="J11" s="15">
        <v>1.1524519944E-10</v>
      </c>
      <c r="K11" s="15">
        <v>2.5220833919999999E-8</v>
      </c>
      <c r="L11" s="15">
        <v>2.5337597040000002E-13</v>
      </c>
      <c r="M11" s="15">
        <v>2.5594475903999999E-8</v>
      </c>
      <c r="N11" s="15">
        <v>7.0618334975999998E-8</v>
      </c>
      <c r="O11" s="15">
        <v>1.010000988E-7</v>
      </c>
      <c r="P11" s="175">
        <v>0.92753623188405798</v>
      </c>
      <c r="Q11" s="175">
        <v>0.82352941176470595</v>
      </c>
      <c r="R11" s="175">
        <v>0.890625</v>
      </c>
      <c r="S11" s="175">
        <v>0.908496732026144</v>
      </c>
      <c r="T11" s="175">
        <v>0.88038277511961704</v>
      </c>
      <c r="U11" s="175">
        <v>9.7999999999999997E-3</v>
      </c>
      <c r="V11" s="175">
        <v>2.5999999999999999E-2</v>
      </c>
      <c r="W11" s="175">
        <v>1.9E-2</v>
      </c>
      <c r="X11" s="175">
        <v>2.4E-2</v>
      </c>
      <c r="Y11" s="175">
        <v>2.5999999999999999E-2</v>
      </c>
      <c r="Z11" s="105">
        <f t="shared" ref="Z11:AD11" si="21">0.4*U11</f>
        <v>3.9199999999999999E-3</v>
      </c>
      <c r="AA11" s="105">
        <f t="shared" si="21"/>
        <v>1.04E-2</v>
      </c>
      <c r="AB11" s="105">
        <f t="shared" si="21"/>
        <v>7.6E-3</v>
      </c>
      <c r="AC11" s="105">
        <f t="shared" si="21"/>
        <v>9.6000000000000009E-3</v>
      </c>
      <c r="AD11" s="105">
        <f t="shared" si="21"/>
        <v>1.04E-2</v>
      </c>
      <c r="AE11" s="15">
        <v>9.3226788432267907E-6</v>
      </c>
      <c r="AF11" s="15">
        <v>221</v>
      </c>
      <c r="AG11" s="15">
        <v>8.0000000000000002E-3</v>
      </c>
      <c r="AH11" s="15">
        <v>0.03</v>
      </c>
      <c r="AI11" s="15"/>
      <c r="AJ11" s="15"/>
      <c r="AK11" s="15"/>
      <c r="AL11" s="15"/>
      <c r="AM11" s="15"/>
      <c r="AN11" s="15"/>
      <c r="AO11" s="15"/>
      <c r="AP11" s="15"/>
      <c r="AQ11" s="15">
        <v>0.03</v>
      </c>
      <c r="AR11" s="15">
        <v>0.1</v>
      </c>
      <c r="AS11" s="15">
        <v>250</v>
      </c>
      <c r="AT11" s="15"/>
      <c r="AU11" s="15">
        <v>74334.857142857101</v>
      </c>
      <c r="AV11" s="42">
        <v>15</v>
      </c>
      <c r="AW11" s="42">
        <v>221</v>
      </c>
      <c r="AX11" s="105">
        <f t="shared" ref="AX11" si="22">AZ11+s_lambda_HL</f>
        <v>5.5000000000000002E-5</v>
      </c>
      <c r="AY11" s="105">
        <f t="shared" ref="AY11" si="23">AZ11+(0.693/s_t_w)</f>
        <v>0.1386</v>
      </c>
      <c r="AZ11" s="105">
        <v>0</v>
      </c>
      <c r="BA11" s="15">
        <v>3.4027777777777802E-3</v>
      </c>
      <c r="BB11" s="105">
        <f t="shared" ref="BB11" si="24">AR11</f>
        <v>0.1</v>
      </c>
      <c r="BC11" s="105">
        <f t="shared" ref="BC11" si="25">AQ11</f>
        <v>0.03</v>
      </c>
    </row>
    <row r="12" spans="1:55" x14ac:dyDescent="0.25">
      <c r="A12" s="44" t="s">
        <v>22</v>
      </c>
      <c r="B12" s="42" t="s">
        <v>1074</v>
      </c>
      <c r="C12" s="42"/>
      <c r="D12" s="15">
        <v>0</v>
      </c>
      <c r="E12" s="15">
        <v>0</v>
      </c>
      <c r="F12" s="15">
        <v>4.8339931680000002E-7</v>
      </c>
      <c r="G12" s="15">
        <v>0</v>
      </c>
      <c r="H12" s="15">
        <v>0</v>
      </c>
      <c r="I12" s="15">
        <v>0</v>
      </c>
      <c r="J12" s="15">
        <v>4.9624325999999998E-10</v>
      </c>
      <c r="K12" s="15">
        <v>1.1174230584E-7</v>
      </c>
      <c r="L12" s="15">
        <v>1.08005886E-12</v>
      </c>
      <c r="M12" s="15">
        <v>1.0985074329599999E-7</v>
      </c>
      <c r="N12" s="15">
        <v>3.0638642687999998E-7</v>
      </c>
      <c r="O12" s="15">
        <v>4.5187327439999998E-7</v>
      </c>
      <c r="P12" s="175">
        <v>0.90184049079754602</v>
      </c>
      <c r="Q12" s="175">
        <v>0.89376053962900504</v>
      </c>
      <c r="R12" s="175">
        <v>0.92254901960784297</v>
      </c>
      <c r="S12" s="175">
        <v>0.92845528455284598</v>
      </c>
      <c r="T12" s="175">
        <v>0.88405797101449302</v>
      </c>
      <c r="U12" s="175">
        <v>1.6E-2</v>
      </c>
      <c r="V12" s="175">
        <v>0.05</v>
      </c>
      <c r="W12" s="175">
        <v>2.7E-2</v>
      </c>
      <c r="X12" s="175">
        <v>3.6999999999999998E-2</v>
      </c>
      <c r="Y12" s="175">
        <v>4.3999999999999997E-2</v>
      </c>
      <c r="Z12" s="105">
        <f t="shared" ref="Z12:AD12" si="26">0.4*U12</f>
        <v>6.4000000000000003E-3</v>
      </c>
      <c r="AA12" s="105">
        <f t="shared" si="26"/>
        <v>2.0000000000000004E-2</v>
      </c>
      <c r="AB12" s="105">
        <f t="shared" si="26"/>
        <v>1.0800000000000001E-2</v>
      </c>
      <c r="AC12" s="105">
        <f t="shared" si="26"/>
        <v>1.4800000000000001E-2</v>
      </c>
      <c r="AD12" s="105">
        <f t="shared" si="26"/>
        <v>1.7600000000000001E-2</v>
      </c>
      <c r="AE12" s="15">
        <v>1.5506088280060901E-5</v>
      </c>
      <c r="AF12" s="15">
        <v>206</v>
      </c>
      <c r="AG12" s="15">
        <v>5.0000000000000001E-4</v>
      </c>
      <c r="AH12" s="15">
        <v>0.01</v>
      </c>
      <c r="AI12" s="15">
        <v>6100</v>
      </c>
      <c r="AJ12" s="15">
        <v>0.03</v>
      </c>
      <c r="AK12" s="15"/>
      <c r="AL12" s="15"/>
      <c r="AM12" s="15"/>
      <c r="AN12" s="15"/>
      <c r="AO12" s="15"/>
      <c r="AP12" s="15"/>
      <c r="AQ12" s="15">
        <v>0.3</v>
      </c>
      <c r="AR12" s="15">
        <v>1</v>
      </c>
      <c r="AS12" s="15">
        <v>6300</v>
      </c>
      <c r="AT12" s="15"/>
      <c r="AU12" s="15">
        <v>44692.122699386498</v>
      </c>
      <c r="AV12" s="42"/>
      <c r="AW12" s="42">
        <v>206</v>
      </c>
      <c r="AX12" s="105">
        <f t="shared" ref="AX12" si="27">AZ12+s_lambda_HL</f>
        <v>5.5000000000000002E-5</v>
      </c>
      <c r="AY12" s="105">
        <f t="shared" ref="AY12" si="28">AZ12+(0.693/s_t_w)</f>
        <v>0.1386</v>
      </c>
      <c r="AZ12" s="105">
        <v>0</v>
      </c>
      <c r="BA12" s="15">
        <v>5.6597222222222196E-3</v>
      </c>
      <c r="BB12" s="105">
        <f t="shared" ref="BB12" si="29">AR12</f>
        <v>1</v>
      </c>
      <c r="BC12" s="105">
        <f t="shared" ref="BC12" si="30">AQ12</f>
        <v>0.3</v>
      </c>
    </row>
    <row r="13" spans="1:55" x14ac:dyDescent="0.25">
      <c r="A13" s="44" t="s">
        <v>23</v>
      </c>
      <c r="B13" s="42" t="s">
        <v>1074</v>
      </c>
      <c r="C13" s="42"/>
      <c r="D13" s="15">
        <v>1.2469000000000001E-10</v>
      </c>
      <c r="E13" s="15">
        <v>8.2880000000000002E-11</v>
      </c>
      <c r="F13" s="15">
        <v>5.172606216E-8</v>
      </c>
      <c r="G13" s="15">
        <v>2.8675E-8</v>
      </c>
      <c r="H13" s="15">
        <v>6.2159999999999995E-11</v>
      </c>
      <c r="I13" s="15">
        <v>4.6989999999999997E-11</v>
      </c>
      <c r="J13" s="15">
        <v>7.6713369839999998E-11</v>
      </c>
      <c r="K13" s="15">
        <v>2.1017361600000002E-8</v>
      </c>
      <c r="L13" s="15">
        <v>1.716417864E-13</v>
      </c>
      <c r="M13" s="15">
        <v>1.7350999631999999E-8</v>
      </c>
      <c r="N13" s="15">
        <v>4.1287439231999997E-8</v>
      </c>
      <c r="O13" s="15">
        <v>5.1492535920000002E-8</v>
      </c>
      <c r="P13" s="175">
        <v>0.98969072164948502</v>
      </c>
      <c r="Q13" s="175">
        <v>0.98540145985401395</v>
      </c>
      <c r="R13" s="175">
        <v>0.95212765957446799</v>
      </c>
      <c r="S13" s="175">
        <v>0.93488372093023298</v>
      </c>
      <c r="T13" s="175">
        <v>0.93722466960352402</v>
      </c>
      <c r="U13" s="175">
        <v>2.7999999999999998E-4</v>
      </c>
      <c r="V13" s="175">
        <v>5.8999999999999999E-3</v>
      </c>
      <c r="W13" s="175">
        <v>2.8E-3</v>
      </c>
      <c r="X13" s="175">
        <v>4.7999999999999996E-3</v>
      </c>
      <c r="Y13" s="175">
        <v>5.7999999999999996E-3</v>
      </c>
      <c r="Z13" s="105">
        <f t="shared" ref="Z13:AD13" si="31">0.4*U13</f>
        <v>1.12E-4</v>
      </c>
      <c r="AA13" s="105">
        <f t="shared" si="31"/>
        <v>2.3600000000000001E-3</v>
      </c>
      <c r="AB13" s="105">
        <f t="shared" si="31"/>
        <v>1.1200000000000001E-3</v>
      </c>
      <c r="AC13" s="105">
        <f t="shared" si="31"/>
        <v>1.9199999999999998E-3</v>
      </c>
      <c r="AD13" s="105">
        <f t="shared" si="31"/>
        <v>2.32E-3</v>
      </c>
      <c r="AE13" s="15">
        <v>2144000</v>
      </c>
      <c r="AF13" s="15">
        <v>237</v>
      </c>
      <c r="AG13" s="15">
        <v>1.0000000000000001E-5</v>
      </c>
      <c r="AH13" s="15">
        <v>1E-3</v>
      </c>
      <c r="AI13" s="15">
        <v>30</v>
      </c>
      <c r="AJ13" s="15"/>
      <c r="AK13" s="15"/>
      <c r="AL13" s="15"/>
      <c r="AM13" s="175">
        <v>4.0000000000000002E-4</v>
      </c>
      <c r="AN13" s="15"/>
      <c r="AO13" s="15"/>
      <c r="AP13" s="175">
        <v>5.3000000000000001E-5</v>
      </c>
      <c r="AQ13" s="15">
        <v>2.8999999999999998E-3</v>
      </c>
      <c r="AR13" s="15">
        <v>3.3333333333333301E-3</v>
      </c>
      <c r="AS13" s="15">
        <v>0.2</v>
      </c>
      <c r="AT13" s="15">
        <v>5.0000000000000001E-4</v>
      </c>
      <c r="AU13" s="15">
        <v>3.2322761194029798E-7</v>
      </c>
      <c r="AV13" s="42">
        <v>15</v>
      </c>
      <c r="AW13" s="42">
        <v>237</v>
      </c>
      <c r="AX13" s="105">
        <f t="shared" ref="AX13:AX14" si="32">AZ13+s_lambda_HL</f>
        <v>5.5000000000000002E-5</v>
      </c>
      <c r="AY13" s="105">
        <f t="shared" ref="AY13:AY14" si="33">AZ13+(0.693/s_t_w)</f>
        <v>0.1386</v>
      </c>
      <c r="AZ13" s="105">
        <v>0</v>
      </c>
      <c r="BA13" s="15">
        <v>782560000</v>
      </c>
      <c r="BB13" s="105">
        <f t="shared" ref="BB13:BB14" si="34">AR13</f>
        <v>3.3333333333333301E-3</v>
      </c>
      <c r="BC13" s="105">
        <f t="shared" ref="BC13:BC14" si="35">AQ13</f>
        <v>2.8999999999999998E-3</v>
      </c>
    </row>
    <row r="14" spans="1:55" x14ac:dyDescent="0.25">
      <c r="A14" s="44" t="s">
        <v>24</v>
      </c>
      <c r="B14" s="42" t="s">
        <v>1074</v>
      </c>
      <c r="C14" s="42"/>
      <c r="D14" s="15">
        <v>1.6465000000000001E-11</v>
      </c>
      <c r="E14" s="15">
        <v>8.9539999999999992E-12</v>
      </c>
      <c r="F14" s="15">
        <v>8.0333026560000001E-7</v>
      </c>
      <c r="G14" s="15">
        <v>1.5281E-11</v>
      </c>
      <c r="H14" s="15">
        <v>6.1420000000000003E-12</v>
      </c>
      <c r="I14" s="15">
        <v>2.5825999999999999E-12</v>
      </c>
      <c r="J14" s="15">
        <v>8.5353840720000002E-10</v>
      </c>
      <c r="K14" s="15">
        <v>1.879886232E-7</v>
      </c>
      <c r="L14" s="15">
        <v>1.8682099199999999E-12</v>
      </c>
      <c r="M14" s="15">
        <v>1.9055741183999999E-7</v>
      </c>
      <c r="N14" s="15">
        <v>5.2309877760000005E-7</v>
      </c>
      <c r="O14" s="15">
        <v>7.601279112E-7</v>
      </c>
      <c r="P14" s="175">
        <v>0.93203883495145601</v>
      </c>
      <c r="Q14" s="175">
        <v>0.922115384615385</v>
      </c>
      <c r="R14" s="175">
        <v>0.92718446601941695</v>
      </c>
      <c r="S14" s="175">
        <v>0.93043478260869505</v>
      </c>
      <c r="T14" s="175">
        <v>0.88959999999999995</v>
      </c>
      <c r="U14" s="175">
        <v>8.2000000000000007E-3</v>
      </c>
      <c r="V14" s="175">
        <v>4.2000000000000003E-2</v>
      </c>
      <c r="W14" s="175">
        <v>2.3E-2</v>
      </c>
      <c r="X14" s="175">
        <v>3.1E-2</v>
      </c>
      <c r="Y14" s="175">
        <v>3.6999999999999998E-2</v>
      </c>
      <c r="Z14" s="105">
        <f t="shared" ref="Z14:AD14" si="36">0.4*U14</f>
        <v>3.2800000000000004E-3</v>
      </c>
      <c r="AA14" s="105">
        <f t="shared" si="36"/>
        <v>1.6800000000000002E-2</v>
      </c>
      <c r="AB14" s="105">
        <f t="shared" si="36"/>
        <v>9.1999999999999998E-3</v>
      </c>
      <c r="AC14" s="105">
        <f t="shared" si="36"/>
        <v>1.2400000000000001E-2</v>
      </c>
      <c r="AD14" s="105">
        <f t="shared" si="36"/>
        <v>1.4800000000000001E-2</v>
      </c>
      <c r="AE14" s="15">
        <v>7.3882191780821893E-2</v>
      </c>
      <c r="AF14" s="15">
        <v>233</v>
      </c>
      <c r="AG14" s="15">
        <v>5.0000000000000004E-6</v>
      </c>
      <c r="AH14" s="15">
        <v>5.0000000000000004E-6</v>
      </c>
      <c r="AI14" s="15">
        <v>10</v>
      </c>
      <c r="AJ14" s="15"/>
      <c r="AK14" s="15"/>
      <c r="AL14" s="15"/>
      <c r="AM14" s="15"/>
      <c r="AN14" s="15"/>
      <c r="AO14" s="15"/>
      <c r="AP14" s="15"/>
      <c r="AQ14" s="15">
        <v>0.01</v>
      </c>
      <c r="AR14" s="15">
        <v>0.1</v>
      </c>
      <c r="AS14" s="15">
        <v>2000</v>
      </c>
      <c r="AT14" s="15">
        <v>5.0000000000000001E-4</v>
      </c>
      <c r="AU14" s="15">
        <v>9.3797975303148302</v>
      </c>
      <c r="AV14" s="42">
        <v>300</v>
      </c>
      <c r="AW14" s="42">
        <v>233</v>
      </c>
      <c r="AX14" s="105">
        <f t="shared" si="32"/>
        <v>5.5000000000000002E-5</v>
      </c>
      <c r="AY14" s="105">
        <f t="shared" si="33"/>
        <v>0.1386</v>
      </c>
      <c r="AZ14" s="105">
        <v>0</v>
      </c>
      <c r="BA14" s="15">
        <v>26.966999999999999</v>
      </c>
      <c r="BB14" s="105">
        <f t="shared" si="34"/>
        <v>0.1</v>
      </c>
      <c r="BC14" s="105">
        <f t="shared" si="35"/>
        <v>0.01</v>
      </c>
    </row>
    <row r="15" spans="1:55" x14ac:dyDescent="0.25">
      <c r="A15" s="44" t="s">
        <v>25</v>
      </c>
      <c r="B15" s="42" t="s">
        <v>1074</v>
      </c>
      <c r="C15" s="42"/>
      <c r="D15" s="15">
        <v>6.2529999999999997E-13</v>
      </c>
      <c r="E15" s="15">
        <v>3.4854E-13</v>
      </c>
      <c r="F15" s="15">
        <v>5.3711035200000002E-10</v>
      </c>
      <c r="G15" s="15">
        <v>2.0794E-13</v>
      </c>
      <c r="H15" s="15">
        <v>2.4087000000000001E-13</v>
      </c>
      <c r="I15" s="15">
        <v>1.221E-13</v>
      </c>
      <c r="J15" s="15">
        <v>1.7047415520000001E-12</v>
      </c>
      <c r="K15" s="15">
        <v>5.6513350080000005E-10</v>
      </c>
      <c r="L15" s="15">
        <v>2.323586088E-15</v>
      </c>
      <c r="M15" s="15">
        <v>1.8425220336000001E-10</v>
      </c>
      <c r="N15" s="15">
        <v>4.1661081215999999E-10</v>
      </c>
      <c r="O15" s="15">
        <v>5.2893693360000005E-10</v>
      </c>
      <c r="P15" s="175">
        <v>0.9</v>
      </c>
      <c r="Q15" s="175">
        <v>0.9</v>
      </c>
      <c r="R15" s="175">
        <v>0.9</v>
      </c>
      <c r="S15" s="175">
        <v>0.9</v>
      </c>
      <c r="T15" s="175">
        <v>0.9</v>
      </c>
      <c r="U15" s="175">
        <v>0</v>
      </c>
      <c r="V15" s="175">
        <v>0</v>
      </c>
      <c r="W15" s="175">
        <v>0</v>
      </c>
      <c r="X15" s="175">
        <v>0</v>
      </c>
      <c r="Y15" s="175">
        <v>0</v>
      </c>
      <c r="Z15" s="105">
        <f t="shared" ref="Z15:AD17" si="37">0.4*U15</f>
        <v>0</v>
      </c>
      <c r="AA15" s="105">
        <f t="shared" si="37"/>
        <v>0</v>
      </c>
      <c r="AB15" s="105">
        <f t="shared" si="37"/>
        <v>0</v>
      </c>
      <c r="AC15" s="105">
        <f t="shared" si="37"/>
        <v>0</v>
      </c>
      <c r="AD15" s="105">
        <f t="shared" si="37"/>
        <v>0</v>
      </c>
      <c r="AE15" s="15">
        <v>3.7134703196347002E-4</v>
      </c>
      <c r="AF15" s="15">
        <v>209</v>
      </c>
      <c r="AG15" s="15">
        <v>1.9000000000000001E-4</v>
      </c>
      <c r="AH15" s="15">
        <v>6.9999999999999999E-4</v>
      </c>
      <c r="AI15" s="15">
        <v>25</v>
      </c>
      <c r="AJ15" s="15"/>
      <c r="AK15" s="15"/>
      <c r="AL15" s="15"/>
      <c r="AM15" s="175">
        <v>7.1000000000000004E-3</v>
      </c>
      <c r="AN15" s="175">
        <v>3.5000000000000003E-2</v>
      </c>
      <c r="AO15" s="15"/>
      <c r="AP15" s="175">
        <v>6.0000000000000001E-3</v>
      </c>
      <c r="AQ15" s="15">
        <v>1.0999999999999999E-2</v>
      </c>
      <c r="AR15" s="15">
        <v>1.26436781609195E-2</v>
      </c>
      <c r="AS15" s="15">
        <v>150</v>
      </c>
      <c r="AT15" s="15">
        <v>0.2</v>
      </c>
      <c r="AU15" s="15">
        <v>1866.1789117737501</v>
      </c>
      <c r="AV15" s="42"/>
      <c r="AW15" s="42">
        <v>209</v>
      </c>
      <c r="AX15" s="105">
        <f t="shared" ref="AX15:AX21" si="38">AZ15+s_lambda_HL</f>
        <v>5.5000000000000002E-5</v>
      </c>
      <c r="AY15" s="105">
        <f t="shared" ref="AY15:AY21" si="39">AZ15+(0.693/s_t_w)</f>
        <v>0.1386</v>
      </c>
      <c r="AZ15" s="105">
        <v>0</v>
      </c>
      <c r="BA15" s="15">
        <v>0.135541666666667</v>
      </c>
      <c r="BB15" s="105">
        <f t="shared" ref="BB15:BB21" si="40">AR15</f>
        <v>1.26436781609195E-2</v>
      </c>
      <c r="BC15" s="105">
        <f t="shared" ref="BC15:BC21" si="41">AQ15</f>
        <v>1.0999999999999999E-2</v>
      </c>
    </row>
    <row r="16" spans="1:55" x14ac:dyDescent="0.25">
      <c r="A16" s="44" t="s">
        <v>26</v>
      </c>
      <c r="B16" s="42" t="s">
        <v>1074</v>
      </c>
      <c r="C16" s="42"/>
      <c r="D16" s="15">
        <v>1.7167999999999999E-9</v>
      </c>
      <c r="E16" s="15">
        <v>1.1766000000000001E-9</v>
      </c>
      <c r="F16" s="15">
        <v>1.482891624E-9</v>
      </c>
      <c r="G16" s="15">
        <v>1.5872999999999999E-8</v>
      </c>
      <c r="H16" s="15">
        <v>8.8430000000000004E-10</v>
      </c>
      <c r="I16" s="15">
        <v>5.9940000000000002E-10</v>
      </c>
      <c r="J16" s="15">
        <v>3.9349171439999997E-12</v>
      </c>
      <c r="K16" s="15">
        <v>1.7164178639999999E-9</v>
      </c>
      <c r="L16" s="15">
        <v>9.0841707359999996E-15</v>
      </c>
      <c r="M16" s="15">
        <v>9.5278705920000003E-10</v>
      </c>
      <c r="N16" s="15">
        <v>1.4665447872000001E-9</v>
      </c>
      <c r="O16" s="15">
        <v>1.482891624E-9</v>
      </c>
      <c r="P16" s="175">
        <v>1</v>
      </c>
      <c r="Q16" s="175">
        <v>0.94642857142857095</v>
      </c>
      <c r="R16" s="175">
        <v>0.97425742574257401</v>
      </c>
      <c r="S16" s="175">
        <v>0.94932432432432401</v>
      </c>
      <c r="T16" s="175">
        <v>0.94444444444444398</v>
      </c>
      <c r="U16" s="175">
        <v>9.9999999999999995E-8</v>
      </c>
      <c r="V16" s="175">
        <v>4.4000000000000002E-6</v>
      </c>
      <c r="W16" s="175">
        <v>2.3999999999999999E-6</v>
      </c>
      <c r="X16" s="175">
        <v>4.0999999999999997E-6</v>
      </c>
      <c r="Y16" s="175">
        <v>4.0999999999999997E-6</v>
      </c>
      <c r="Z16" s="105">
        <f t="shared" si="37"/>
        <v>4.0000000000000001E-8</v>
      </c>
      <c r="AA16" s="105">
        <f t="shared" si="37"/>
        <v>1.7600000000000001E-6</v>
      </c>
      <c r="AB16" s="105">
        <f t="shared" si="37"/>
        <v>9.5999999999999991E-7</v>
      </c>
      <c r="AC16" s="105">
        <f t="shared" si="37"/>
        <v>1.64E-6</v>
      </c>
      <c r="AD16" s="105">
        <f t="shared" si="37"/>
        <v>1.64E-6</v>
      </c>
      <c r="AE16" s="15">
        <v>22.2</v>
      </c>
      <c r="AF16" s="15">
        <v>210</v>
      </c>
      <c r="AG16" s="15">
        <v>1.9000000000000001E-4</v>
      </c>
      <c r="AH16" s="15">
        <v>6.9999999999999999E-4</v>
      </c>
      <c r="AI16" s="15">
        <v>25</v>
      </c>
      <c r="AJ16" s="15"/>
      <c r="AK16" s="15"/>
      <c r="AL16" s="15"/>
      <c r="AM16" s="175">
        <v>7.1000000000000004E-3</v>
      </c>
      <c r="AN16" s="175">
        <v>3.5000000000000003E-2</v>
      </c>
      <c r="AO16" s="15"/>
      <c r="AP16" s="175">
        <v>6.0000000000000001E-3</v>
      </c>
      <c r="AQ16" s="15">
        <v>1.0999999999999999E-2</v>
      </c>
      <c r="AR16" s="15">
        <v>1.26436781609195E-2</v>
      </c>
      <c r="AS16" s="15">
        <v>150</v>
      </c>
      <c r="AT16" s="15">
        <v>0.2</v>
      </c>
      <c r="AU16" s="15">
        <v>3.1216216216216199E-2</v>
      </c>
      <c r="AV16" s="42"/>
      <c r="AW16" s="42">
        <v>210</v>
      </c>
      <c r="AX16" s="105">
        <f t="shared" si="38"/>
        <v>5.5000000000000002E-5</v>
      </c>
      <c r="AY16" s="105">
        <f t="shared" si="39"/>
        <v>0.1386</v>
      </c>
      <c r="AZ16" s="105">
        <v>0</v>
      </c>
      <c r="BA16" s="15">
        <v>8103</v>
      </c>
      <c r="BB16" s="105">
        <f t="shared" si="40"/>
        <v>1.26436781609195E-2</v>
      </c>
      <c r="BC16" s="105">
        <f t="shared" si="41"/>
        <v>1.0999999999999999E-2</v>
      </c>
    </row>
    <row r="17" spans="1:55" x14ac:dyDescent="0.25">
      <c r="A17" s="44" t="s">
        <v>27</v>
      </c>
      <c r="B17" s="42" t="s">
        <v>1074</v>
      </c>
      <c r="C17" s="42"/>
      <c r="D17" s="15">
        <v>7.9180000000000002E-13</v>
      </c>
      <c r="E17" s="15">
        <v>4.8470000000000005E-13</v>
      </c>
      <c r="F17" s="15">
        <v>9.9365415120000007E-7</v>
      </c>
      <c r="G17" s="15">
        <v>7.7700000000000001E-11</v>
      </c>
      <c r="H17" s="15">
        <v>3.4447E-13</v>
      </c>
      <c r="I17" s="15">
        <v>2.2052E-13</v>
      </c>
      <c r="J17" s="15">
        <v>1.0193420376000001E-9</v>
      </c>
      <c r="K17" s="15">
        <v>2.230175592E-7</v>
      </c>
      <c r="L17" s="15">
        <v>2.2301755919999998E-12</v>
      </c>
      <c r="M17" s="15">
        <v>2.2605340032000001E-7</v>
      </c>
      <c r="N17" s="15">
        <v>6.2958674304000002E-7</v>
      </c>
      <c r="O17" s="15">
        <v>9.3060206639999999E-7</v>
      </c>
      <c r="P17" s="175">
        <v>0.901685393258427</v>
      </c>
      <c r="Q17" s="175">
        <v>0.92436974789916004</v>
      </c>
      <c r="R17" s="175">
        <v>0.92558139534883699</v>
      </c>
      <c r="S17" s="175">
        <v>0.9296875</v>
      </c>
      <c r="T17" s="175">
        <v>0.87916666666666698</v>
      </c>
      <c r="U17" s="175">
        <v>1.4999999999999999E-2</v>
      </c>
      <c r="V17" s="175">
        <v>4.9000000000000002E-2</v>
      </c>
      <c r="W17" s="175">
        <v>2.8000000000000001E-2</v>
      </c>
      <c r="X17" s="175">
        <v>3.6999999999999998E-2</v>
      </c>
      <c r="Y17" s="175">
        <v>4.3999999999999997E-2</v>
      </c>
      <c r="Z17" s="105">
        <f t="shared" si="37"/>
        <v>6.0000000000000001E-3</v>
      </c>
      <c r="AA17" s="105">
        <f t="shared" si="37"/>
        <v>1.9600000000000003E-2</v>
      </c>
      <c r="AB17" s="105">
        <f t="shared" si="37"/>
        <v>1.1200000000000002E-2</v>
      </c>
      <c r="AC17" s="105">
        <f t="shared" si="37"/>
        <v>1.4800000000000001E-2</v>
      </c>
      <c r="AD17" s="105">
        <f t="shared" si="37"/>
        <v>1.7600000000000001E-2</v>
      </c>
      <c r="AE17" s="15">
        <v>5.0989345509893397E-5</v>
      </c>
      <c r="AF17" s="15">
        <v>214</v>
      </c>
      <c r="AG17" s="15">
        <v>1.9000000000000001E-4</v>
      </c>
      <c r="AH17" s="15">
        <v>6.9999999999999999E-4</v>
      </c>
      <c r="AI17" s="15">
        <v>25</v>
      </c>
      <c r="AJ17" s="15"/>
      <c r="AK17" s="15"/>
      <c r="AL17" s="15"/>
      <c r="AM17" s="175">
        <v>7.1000000000000004E-3</v>
      </c>
      <c r="AN17" s="175">
        <v>3.5000000000000003E-2</v>
      </c>
      <c r="AO17" s="15"/>
      <c r="AP17" s="175">
        <v>6.0000000000000001E-3</v>
      </c>
      <c r="AQ17" s="15">
        <v>1.0999999999999999E-2</v>
      </c>
      <c r="AR17" s="15">
        <v>1.26436781609195E-2</v>
      </c>
      <c r="AS17" s="15">
        <v>150</v>
      </c>
      <c r="AT17" s="15">
        <v>0.2</v>
      </c>
      <c r="AU17" s="15">
        <v>13591.0746268657</v>
      </c>
      <c r="AV17" s="42"/>
      <c r="AW17" s="42">
        <v>214</v>
      </c>
      <c r="AX17" s="105">
        <f t="shared" si="38"/>
        <v>5.5000000000000002E-5</v>
      </c>
      <c r="AY17" s="105">
        <f t="shared" si="39"/>
        <v>0.1386</v>
      </c>
      <c r="AZ17" s="105">
        <v>0</v>
      </c>
      <c r="BA17" s="15">
        <v>1.8611111111111099E-2</v>
      </c>
      <c r="BB17" s="105">
        <f t="shared" si="40"/>
        <v>1.26436781609195E-2</v>
      </c>
      <c r="BC17" s="105">
        <f t="shared" si="41"/>
        <v>1.0999999999999999E-2</v>
      </c>
    </row>
    <row r="18" spans="1:55" x14ac:dyDescent="0.25">
      <c r="A18" s="44" t="s">
        <v>28</v>
      </c>
      <c r="B18" s="42" t="s">
        <v>1074</v>
      </c>
      <c r="C18" s="42"/>
      <c r="D18" s="15">
        <v>3.2744999999999998E-9</v>
      </c>
      <c r="E18" s="15">
        <v>2.2533000000000001E-9</v>
      </c>
      <c r="F18" s="15">
        <v>4.5070564319999998E-11</v>
      </c>
      <c r="G18" s="15">
        <v>1.4504E-8</v>
      </c>
      <c r="H18" s="15">
        <v>1.7760000000000001E-9</v>
      </c>
      <c r="I18" s="15">
        <v>1.4356000000000001E-9</v>
      </c>
      <c r="J18" s="15">
        <v>4.1801196960000001E-14</v>
      </c>
      <c r="K18" s="15">
        <v>8.69885244E-12</v>
      </c>
      <c r="L18" s="15">
        <v>9.0724944239999998E-17</v>
      </c>
      <c r="M18" s="15">
        <v>8.9487255167999993E-12</v>
      </c>
      <c r="N18" s="15">
        <v>2.5407654911999999E-11</v>
      </c>
      <c r="O18" s="15">
        <v>3.9582697679999998E-11</v>
      </c>
      <c r="P18" s="175">
        <v>0.88135593220339004</v>
      </c>
      <c r="Q18" s="175">
        <v>0.93612334801762098</v>
      </c>
      <c r="R18" s="175">
        <v>0.93633952254641895</v>
      </c>
      <c r="S18" s="175">
        <v>0.93013100436681195</v>
      </c>
      <c r="T18" s="175">
        <v>0.94466403162055301</v>
      </c>
      <c r="U18" s="175">
        <v>0.03</v>
      </c>
      <c r="V18" s="175">
        <v>9.5000000000000001E-2</v>
      </c>
      <c r="W18" s="175">
        <v>4.8000000000000001E-2</v>
      </c>
      <c r="X18" s="175">
        <v>6.9000000000000006E-2</v>
      </c>
      <c r="Y18" s="175">
        <v>8.2000000000000003E-2</v>
      </c>
      <c r="Z18" s="105">
        <f t="shared" ref="Z18:AD21" si="42">0.4*U18</f>
        <v>1.2E-2</v>
      </c>
      <c r="AA18" s="105">
        <f t="shared" si="42"/>
        <v>3.8000000000000006E-2</v>
      </c>
      <c r="AB18" s="105">
        <f t="shared" si="42"/>
        <v>1.9200000000000002E-2</v>
      </c>
      <c r="AC18" s="105">
        <f t="shared" si="42"/>
        <v>2.7600000000000003E-2</v>
      </c>
      <c r="AD18" s="105">
        <f t="shared" si="42"/>
        <v>3.2800000000000003E-2</v>
      </c>
      <c r="AE18" s="15">
        <v>0.37911232876712297</v>
      </c>
      <c r="AF18" s="15">
        <v>210</v>
      </c>
      <c r="AG18" s="15">
        <v>2.1000000000000001E-4</v>
      </c>
      <c r="AH18" s="15">
        <v>5.0000000000000001E-3</v>
      </c>
      <c r="AI18" s="15">
        <v>36</v>
      </c>
      <c r="AJ18" s="15">
        <v>2.4</v>
      </c>
      <c r="AK18" s="15">
        <v>3.1</v>
      </c>
      <c r="AL18" s="15"/>
      <c r="AM18" s="175">
        <v>0.05</v>
      </c>
      <c r="AN18" s="15"/>
      <c r="AO18" s="15"/>
      <c r="AP18" s="175">
        <v>2.3E-3</v>
      </c>
      <c r="AQ18" s="15">
        <v>2.4000000000000001E-4</v>
      </c>
      <c r="AR18" s="15">
        <v>2.7586206896551698E-4</v>
      </c>
      <c r="AS18" s="15">
        <v>210</v>
      </c>
      <c r="AT18" s="15"/>
      <c r="AU18" s="15">
        <v>1.8279542695265101</v>
      </c>
      <c r="AV18" s="42">
        <v>15</v>
      </c>
      <c r="AW18" s="42">
        <v>210</v>
      </c>
      <c r="AX18" s="105">
        <f t="shared" si="38"/>
        <v>5.5000000000000002E-5</v>
      </c>
      <c r="AY18" s="105">
        <f t="shared" si="39"/>
        <v>0.1386</v>
      </c>
      <c r="AZ18" s="105">
        <v>0</v>
      </c>
      <c r="BA18" s="15">
        <v>138.376</v>
      </c>
      <c r="BB18" s="105">
        <f t="shared" si="40"/>
        <v>2.7586206896551698E-4</v>
      </c>
      <c r="BC18" s="105">
        <f t="shared" si="41"/>
        <v>2.4000000000000001E-4</v>
      </c>
    </row>
    <row r="19" spans="1:55" x14ac:dyDescent="0.25">
      <c r="A19" s="44" t="s">
        <v>29</v>
      </c>
      <c r="B19" s="42" t="s">
        <v>1074</v>
      </c>
      <c r="C19" s="42"/>
      <c r="D19" s="15">
        <v>0</v>
      </c>
      <c r="E19" s="15">
        <v>0</v>
      </c>
      <c r="F19" s="15">
        <v>1.728094176E-10</v>
      </c>
      <c r="G19" s="15">
        <v>0</v>
      </c>
      <c r="H19" s="15">
        <v>0</v>
      </c>
      <c r="I19" s="15">
        <v>0</v>
      </c>
      <c r="J19" s="15">
        <v>1.6113310560000001E-13</v>
      </c>
      <c r="K19" s="15">
        <v>3.3627778560000003E-11</v>
      </c>
      <c r="L19" s="15">
        <v>3.491217288E-16</v>
      </c>
      <c r="M19" s="15">
        <v>3.4561883519999999E-11</v>
      </c>
      <c r="N19" s="15">
        <v>9.7333736831999999E-11</v>
      </c>
      <c r="O19" s="15">
        <v>1.51792056E-10</v>
      </c>
      <c r="P19" s="175">
        <v>0.87991266375545796</v>
      </c>
      <c r="Q19" s="175">
        <v>0.93714285714285706</v>
      </c>
      <c r="R19" s="175">
        <v>0.93493150684931503</v>
      </c>
      <c r="S19" s="175">
        <v>0.93220338983050799</v>
      </c>
      <c r="T19" s="175">
        <v>0.94871794871794901</v>
      </c>
      <c r="U19" s="175">
        <v>2.9000000000000001E-2</v>
      </c>
      <c r="V19" s="175">
        <v>9.2999999999999999E-2</v>
      </c>
      <c r="W19" s="175">
        <v>4.7E-2</v>
      </c>
      <c r="X19" s="175">
        <v>6.8000000000000005E-2</v>
      </c>
      <c r="Y19" s="175">
        <v>0.08</v>
      </c>
      <c r="Z19" s="105">
        <f t="shared" si="42"/>
        <v>1.1600000000000001E-2</v>
      </c>
      <c r="AA19" s="105">
        <f t="shared" si="42"/>
        <v>3.7200000000000004E-2</v>
      </c>
      <c r="AB19" s="105">
        <f t="shared" si="42"/>
        <v>1.8800000000000001E-2</v>
      </c>
      <c r="AC19" s="105">
        <f t="shared" si="42"/>
        <v>2.7200000000000002E-2</v>
      </c>
      <c r="AD19" s="105">
        <f t="shared" si="42"/>
        <v>3.2000000000000001E-2</v>
      </c>
      <c r="AE19" s="15">
        <v>1.3318112633181101E-13</v>
      </c>
      <c r="AF19" s="15">
        <v>213</v>
      </c>
      <c r="AG19" s="15">
        <v>2.1000000000000001E-4</v>
      </c>
      <c r="AH19" s="15">
        <v>5.0000000000000001E-3</v>
      </c>
      <c r="AI19" s="15">
        <v>36</v>
      </c>
      <c r="AJ19" s="15">
        <v>2.4</v>
      </c>
      <c r="AK19" s="15">
        <v>3.1</v>
      </c>
      <c r="AL19" s="15"/>
      <c r="AM19" s="175">
        <v>0.05</v>
      </c>
      <c r="AN19" s="15"/>
      <c r="AO19" s="15"/>
      <c r="AP19" s="175">
        <v>2.3E-3</v>
      </c>
      <c r="AQ19" s="15">
        <v>2.4000000000000001E-4</v>
      </c>
      <c r="AR19" s="15">
        <v>2.7586206896551698E-4</v>
      </c>
      <c r="AS19" s="15">
        <v>210</v>
      </c>
      <c r="AT19" s="15"/>
      <c r="AU19" s="15">
        <v>5203440000000</v>
      </c>
      <c r="AV19" s="42">
        <v>15</v>
      </c>
      <c r="AW19" s="42">
        <v>213</v>
      </c>
      <c r="AX19" s="105">
        <f t="shared" si="38"/>
        <v>5.5000000000000002E-5</v>
      </c>
      <c r="AY19" s="105">
        <f t="shared" si="39"/>
        <v>0.1386</v>
      </c>
      <c r="AZ19" s="105">
        <v>0</v>
      </c>
      <c r="BA19" s="15">
        <v>4.8611111111111103E-11</v>
      </c>
      <c r="BB19" s="105">
        <f t="shared" si="40"/>
        <v>2.7586206896551698E-4</v>
      </c>
      <c r="BC19" s="105">
        <f t="shared" si="41"/>
        <v>2.4000000000000001E-4</v>
      </c>
    </row>
    <row r="20" spans="1:55" x14ac:dyDescent="0.25">
      <c r="A20" s="44" t="s">
        <v>30</v>
      </c>
      <c r="B20" s="42" t="s">
        <v>1074</v>
      </c>
      <c r="C20" s="42"/>
      <c r="D20" s="15">
        <v>0</v>
      </c>
      <c r="E20" s="15">
        <v>0</v>
      </c>
      <c r="F20" s="15">
        <v>3.8531829600000002E-10</v>
      </c>
      <c r="G20" s="15">
        <v>0</v>
      </c>
      <c r="H20" s="15">
        <v>0</v>
      </c>
      <c r="I20" s="15">
        <v>0</v>
      </c>
      <c r="J20" s="15">
        <v>3.5729514720000002E-13</v>
      </c>
      <c r="K20" s="15">
        <v>7.4261344320000001E-11</v>
      </c>
      <c r="L20" s="15">
        <v>7.741394856E-16</v>
      </c>
      <c r="M20" s="15">
        <v>7.6222964736000004E-11</v>
      </c>
      <c r="N20" s="15">
        <v>2.1484414079999999E-10</v>
      </c>
      <c r="O20" s="15">
        <v>3.3744541680000003E-10</v>
      </c>
      <c r="P20" s="175">
        <v>0.87920792079207899</v>
      </c>
      <c r="Q20" s="175">
        <v>0.93298969072164994</v>
      </c>
      <c r="R20" s="175">
        <v>0.93633540372670798</v>
      </c>
      <c r="S20" s="175">
        <v>0.930946291560102</v>
      </c>
      <c r="T20" s="175">
        <v>0.94444444444444398</v>
      </c>
      <c r="U20" s="175">
        <v>0.03</v>
      </c>
      <c r="V20" s="175">
        <v>9.5000000000000001E-2</v>
      </c>
      <c r="W20" s="175">
        <v>4.8000000000000001E-2</v>
      </c>
      <c r="X20" s="175">
        <v>6.9000000000000006E-2</v>
      </c>
      <c r="Y20" s="175">
        <v>8.1000000000000003E-2</v>
      </c>
      <c r="Z20" s="105">
        <f t="shared" si="42"/>
        <v>1.2E-2</v>
      </c>
      <c r="AA20" s="105">
        <f t="shared" si="42"/>
        <v>3.8000000000000006E-2</v>
      </c>
      <c r="AB20" s="105">
        <f t="shared" si="42"/>
        <v>1.9200000000000002E-2</v>
      </c>
      <c r="AC20" s="105">
        <f t="shared" si="42"/>
        <v>2.7600000000000003E-2</v>
      </c>
      <c r="AD20" s="105">
        <f t="shared" si="42"/>
        <v>3.2400000000000005E-2</v>
      </c>
      <c r="AE20" s="15">
        <v>5.20991882293252E-12</v>
      </c>
      <c r="AF20" s="15">
        <v>214</v>
      </c>
      <c r="AG20" s="15">
        <v>2.1000000000000001E-4</v>
      </c>
      <c r="AH20" s="15">
        <v>5.0000000000000001E-3</v>
      </c>
      <c r="AI20" s="15">
        <v>36</v>
      </c>
      <c r="AJ20" s="15">
        <v>2.4</v>
      </c>
      <c r="AK20" s="15">
        <v>3.1</v>
      </c>
      <c r="AL20" s="15"/>
      <c r="AM20" s="175">
        <v>0.05</v>
      </c>
      <c r="AN20" s="15"/>
      <c r="AO20" s="15"/>
      <c r="AP20" s="175">
        <v>2.3E-3</v>
      </c>
      <c r="AQ20" s="15">
        <v>2.4000000000000001E-4</v>
      </c>
      <c r="AR20" s="15">
        <v>2.7586206896551698E-4</v>
      </c>
      <c r="AS20" s="15">
        <v>210</v>
      </c>
      <c r="AT20" s="15"/>
      <c r="AU20" s="15">
        <v>133015508216.677</v>
      </c>
      <c r="AV20" s="42">
        <v>15</v>
      </c>
      <c r="AW20" s="42">
        <v>214</v>
      </c>
      <c r="AX20" s="105">
        <f t="shared" si="38"/>
        <v>5.5000000000000002E-5</v>
      </c>
      <c r="AY20" s="105">
        <f t="shared" si="39"/>
        <v>0.1386</v>
      </c>
      <c r="AZ20" s="105">
        <v>0</v>
      </c>
      <c r="BA20" s="15">
        <v>1.9016203703703698E-9</v>
      </c>
      <c r="BB20" s="105">
        <f t="shared" si="40"/>
        <v>2.7586206896551698E-4</v>
      </c>
      <c r="BC20" s="105">
        <f t="shared" si="41"/>
        <v>2.4000000000000001E-4</v>
      </c>
    </row>
    <row r="21" spans="1:55" x14ac:dyDescent="0.25">
      <c r="A21" s="44" t="s">
        <v>31</v>
      </c>
      <c r="B21" s="42" t="s">
        <v>1074</v>
      </c>
      <c r="C21" s="42"/>
      <c r="D21" s="15">
        <v>0</v>
      </c>
      <c r="E21" s="15">
        <v>0</v>
      </c>
      <c r="F21" s="15">
        <v>6.8423188320000004E-15</v>
      </c>
      <c r="G21" s="15">
        <v>1.39E-11</v>
      </c>
      <c r="H21" s="15">
        <v>0</v>
      </c>
      <c r="I21" s="15">
        <v>0</v>
      </c>
      <c r="J21" s="15">
        <v>3.9465934560000001E-17</v>
      </c>
      <c r="K21" s="15">
        <v>5.3010456479999998E-15</v>
      </c>
      <c r="L21" s="15">
        <v>5.055843096E-20</v>
      </c>
      <c r="M21" s="15">
        <v>3.1572747648000001E-15</v>
      </c>
      <c r="N21" s="15">
        <v>5.9782717440000002E-15</v>
      </c>
      <c r="O21" s="15">
        <v>6.8189662079999997E-15</v>
      </c>
      <c r="P21" s="175">
        <v>0.9</v>
      </c>
      <c r="Q21" s="175">
        <v>0.9</v>
      </c>
      <c r="R21" s="175">
        <v>0.9</v>
      </c>
      <c r="S21" s="175">
        <v>0.9</v>
      </c>
      <c r="T21" s="175">
        <v>0.9</v>
      </c>
      <c r="U21" s="175">
        <v>0</v>
      </c>
      <c r="V21" s="175">
        <v>0</v>
      </c>
      <c r="W21" s="175">
        <v>0</v>
      </c>
      <c r="X21" s="175">
        <v>0</v>
      </c>
      <c r="Y21" s="175">
        <v>0</v>
      </c>
      <c r="Z21" s="105">
        <f t="shared" si="42"/>
        <v>0</v>
      </c>
      <c r="AA21" s="105">
        <f t="shared" si="42"/>
        <v>0</v>
      </c>
      <c r="AB21" s="105">
        <f t="shared" si="42"/>
        <v>0</v>
      </c>
      <c r="AC21" s="105">
        <f t="shared" si="42"/>
        <v>0</v>
      </c>
      <c r="AD21" s="105">
        <f t="shared" si="42"/>
        <v>0</v>
      </c>
      <c r="AE21" s="15">
        <v>5.8980213089802101E-6</v>
      </c>
      <c r="AF21" s="15">
        <v>218</v>
      </c>
      <c r="AG21" s="15">
        <v>2.1000000000000001E-4</v>
      </c>
      <c r="AH21" s="15">
        <v>5.0000000000000001E-3</v>
      </c>
      <c r="AI21" s="15">
        <v>36</v>
      </c>
      <c r="AJ21" s="15">
        <v>2.4</v>
      </c>
      <c r="AK21" s="15">
        <v>3.1</v>
      </c>
      <c r="AL21" s="15"/>
      <c r="AM21" s="175">
        <v>0.05</v>
      </c>
      <c r="AN21" s="15"/>
      <c r="AO21" s="15"/>
      <c r="AP21" s="175">
        <v>2.3E-3</v>
      </c>
      <c r="AQ21" s="15">
        <v>2.4000000000000001E-4</v>
      </c>
      <c r="AR21" s="15">
        <v>2.7586206896551698E-4</v>
      </c>
      <c r="AS21" s="15">
        <v>210</v>
      </c>
      <c r="AT21" s="15"/>
      <c r="AU21" s="15">
        <v>117497.032258065</v>
      </c>
      <c r="AV21" s="42">
        <v>15</v>
      </c>
      <c r="AW21" s="42">
        <v>218</v>
      </c>
      <c r="AX21" s="105">
        <f t="shared" si="38"/>
        <v>5.5000000000000002E-5</v>
      </c>
      <c r="AY21" s="105">
        <f t="shared" si="39"/>
        <v>0.1386</v>
      </c>
      <c r="AZ21" s="105">
        <v>0</v>
      </c>
      <c r="BA21" s="15">
        <v>2.1527777777777799E-3</v>
      </c>
      <c r="BB21" s="105">
        <f t="shared" si="40"/>
        <v>2.7586206896551698E-4</v>
      </c>
      <c r="BC21" s="105">
        <f t="shared" si="41"/>
        <v>2.4000000000000001E-4</v>
      </c>
    </row>
    <row r="22" spans="1:55" x14ac:dyDescent="0.25">
      <c r="A22" s="44" t="s">
        <v>32</v>
      </c>
      <c r="B22" s="42" t="s">
        <v>1074</v>
      </c>
      <c r="C22" s="42"/>
      <c r="D22" s="15">
        <v>2.4235E-10</v>
      </c>
      <c r="E22" s="15">
        <v>1.5355E-10</v>
      </c>
      <c r="F22" s="15">
        <v>6.106711176E-9</v>
      </c>
      <c r="G22" s="15">
        <v>2.6159E-8</v>
      </c>
      <c r="H22" s="15">
        <v>1.1432999999999999E-10</v>
      </c>
      <c r="I22" s="15">
        <v>7.4369999999999998E-11</v>
      </c>
      <c r="J22" s="15">
        <v>1.844857296E-11</v>
      </c>
      <c r="K22" s="15">
        <v>8.8389681839999997E-9</v>
      </c>
      <c r="L22" s="15">
        <v>4.2385012559999998E-14</v>
      </c>
      <c r="M22" s="15">
        <v>4.4463396095999997E-9</v>
      </c>
      <c r="N22" s="15">
        <v>6.0716822400000003E-9</v>
      </c>
      <c r="O22" s="15">
        <v>6.0950348640000001E-9</v>
      </c>
      <c r="P22" s="175">
        <v>0.98748261474269805</v>
      </c>
      <c r="Q22" s="175">
        <v>0.86834733893557403</v>
      </c>
      <c r="R22" s="175">
        <v>0.98884758364312197</v>
      </c>
      <c r="S22" s="175">
        <v>0.95495495495495497</v>
      </c>
      <c r="T22" s="175">
        <v>0.95760598503740701</v>
      </c>
      <c r="U22" s="175">
        <v>4.1000000000000003E-9</v>
      </c>
      <c r="V22" s="175">
        <v>2.4E-8</v>
      </c>
      <c r="W22" s="175">
        <v>2.3000000000000001E-8</v>
      </c>
      <c r="X22" s="175">
        <v>3.1E-8</v>
      </c>
      <c r="Y22" s="175">
        <v>2.9999999999999997E-8</v>
      </c>
      <c r="Z22" s="105">
        <f t="shared" ref="Z22:AD23" si="43">0.4*U22</f>
        <v>1.6400000000000001E-9</v>
      </c>
      <c r="AA22" s="105">
        <f t="shared" si="43"/>
        <v>9.5999999999999999E-9</v>
      </c>
      <c r="AB22" s="105">
        <f t="shared" si="43"/>
        <v>9.2000000000000013E-9</v>
      </c>
      <c r="AC22" s="105">
        <f t="shared" si="43"/>
        <v>1.24E-8</v>
      </c>
      <c r="AD22" s="105">
        <f t="shared" si="43"/>
        <v>1.2E-8</v>
      </c>
      <c r="AE22" s="15">
        <v>4.0821917808219199E-2</v>
      </c>
      <c r="AF22" s="15">
        <v>225</v>
      </c>
      <c r="AG22" s="15">
        <v>3.8000000000000002E-4</v>
      </c>
      <c r="AH22" s="15">
        <v>1.6999999999999999E-3</v>
      </c>
      <c r="AI22" s="15">
        <v>4</v>
      </c>
      <c r="AJ22" s="15"/>
      <c r="AK22" s="15"/>
      <c r="AL22" s="15"/>
      <c r="AM22" s="175">
        <v>5.0000000000000001E-3</v>
      </c>
      <c r="AN22" s="15"/>
      <c r="AO22" s="15"/>
      <c r="AP22" s="15"/>
      <c r="AQ22" s="15">
        <v>1.7000000000000001E-2</v>
      </c>
      <c r="AR22" s="15">
        <v>1.9540229885057499E-2</v>
      </c>
      <c r="AS22" s="15">
        <v>1</v>
      </c>
      <c r="AT22" s="15">
        <v>0.2</v>
      </c>
      <c r="AU22" s="15">
        <v>16.976174496644301</v>
      </c>
      <c r="AV22" s="42"/>
      <c r="AW22" s="42">
        <v>225</v>
      </c>
      <c r="AX22" s="105">
        <f t="shared" ref="AX22:AX23" si="44">AZ22+s_lambda_HL</f>
        <v>5.5000000000000002E-5</v>
      </c>
      <c r="AY22" s="105">
        <f t="shared" ref="AY22:AY23" si="45">AZ22+(0.693/s_t_w)</f>
        <v>0.1386</v>
      </c>
      <c r="AZ22" s="105">
        <v>0</v>
      </c>
      <c r="BA22" s="15">
        <v>14.9</v>
      </c>
      <c r="BB22" s="105">
        <f>AR22</f>
        <v>1.9540229885057499E-2</v>
      </c>
      <c r="BC22" s="105">
        <f t="shared" ref="BC22:BC23" si="46">AQ22</f>
        <v>1.7000000000000001E-2</v>
      </c>
    </row>
    <row r="23" spans="1:55" x14ac:dyDescent="0.25">
      <c r="A23" s="46" t="s">
        <v>33</v>
      </c>
      <c r="B23" s="42" t="s">
        <v>351</v>
      </c>
      <c r="C23" s="42">
        <v>1</v>
      </c>
      <c r="D23" s="15">
        <v>6.7709999999999997E-10</v>
      </c>
      <c r="E23" s="15">
        <v>5.1429999999999997E-10</v>
      </c>
      <c r="F23" s="15">
        <v>2.4987307680000001E-8</v>
      </c>
      <c r="G23" s="15">
        <v>2.8156999999999999E-8</v>
      </c>
      <c r="H23" s="15">
        <v>3.8480000000000001E-10</v>
      </c>
      <c r="I23" s="15">
        <v>2.9451999999999998E-10</v>
      </c>
      <c r="J23" s="15">
        <v>2.849020128E-11</v>
      </c>
      <c r="K23" s="15">
        <v>6.2468269200000004E-9</v>
      </c>
      <c r="L23" s="15">
        <v>6.2701795440000005E-14</v>
      </c>
      <c r="M23" s="15">
        <v>6.3332316288000001E-9</v>
      </c>
      <c r="N23" s="15">
        <v>1.7315970695999999E-8</v>
      </c>
      <c r="O23" s="15">
        <v>2.4286728960000001E-8</v>
      </c>
      <c r="P23" s="175">
        <v>0.927927927927928</v>
      </c>
      <c r="Q23" s="175">
        <v>0.82729805013927604</v>
      </c>
      <c r="R23" s="175">
        <v>0.88145896656534894</v>
      </c>
      <c r="S23" s="175">
        <v>0.89258312020460395</v>
      </c>
      <c r="T23" s="175">
        <v>0.88349514563106801</v>
      </c>
      <c r="U23" s="175">
        <v>3.5000000000000003E-2</v>
      </c>
      <c r="V23" s="175">
        <v>0.11</v>
      </c>
      <c r="W23" s="175">
        <v>5.8000000000000003E-2</v>
      </c>
      <c r="X23" s="175">
        <v>8.1000000000000003E-2</v>
      </c>
      <c r="Y23" s="175">
        <v>0.1</v>
      </c>
      <c r="Z23" s="105">
        <f t="shared" si="43"/>
        <v>1.4000000000000002E-2</v>
      </c>
      <c r="AA23" s="105">
        <f t="shared" si="43"/>
        <v>4.4000000000000004E-2</v>
      </c>
      <c r="AB23" s="105">
        <f t="shared" si="43"/>
        <v>2.3200000000000002E-2</v>
      </c>
      <c r="AC23" s="105">
        <f t="shared" si="43"/>
        <v>3.2400000000000005E-2</v>
      </c>
      <c r="AD23" s="105">
        <f t="shared" si="43"/>
        <v>4.0000000000000008E-2</v>
      </c>
      <c r="AE23" s="15">
        <v>1600</v>
      </c>
      <c r="AF23" s="15">
        <v>226</v>
      </c>
      <c r="AG23" s="15">
        <v>3.8000000000000002E-4</v>
      </c>
      <c r="AH23" s="15">
        <v>1.6999999999999999E-3</v>
      </c>
      <c r="AI23" s="15">
        <v>4</v>
      </c>
      <c r="AJ23" s="15"/>
      <c r="AK23" s="15"/>
      <c r="AL23" s="15"/>
      <c r="AM23" s="175">
        <v>5.0000000000000001E-3</v>
      </c>
      <c r="AN23" s="15"/>
      <c r="AO23" s="15"/>
      <c r="AP23" s="15"/>
      <c r="AQ23" s="15">
        <v>1.7000000000000001E-2</v>
      </c>
      <c r="AR23" s="15">
        <v>1.9540229885057499E-2</v>
      </c>
      <c r="AS23" s="15">
        <v>1</v>
      </c>
      <c r="AT23" s="15">
        <v>0.2</v>
      </c>
      <c r="AU23" s="15">
        <v>4.3312500000000002E-4</v>
      </c>
      <c r="AV23" s="42">
        <v>5</v>
      </c>
      <c r="AW23" s="42">
        <v>226</v>
      </c>
      <c r="AX23" s="105">
        <f t="shared" si="44"/>
        <v>5.5000000000000002E-5</v>
      </c>
      <c r="AY23" s="105">
        <f t="shared" si="45"/>
        <v>0.1386</v>
      </c>
      <c r="AZ23" s="105">
        <v>0</v>
      </c>
      <c r="BA23" s="15">
        <v>584000</v>
      </c>
      <c r="BB23" s="105">
        <f t="shared" ref="BB23" si="47">AR23</f>
        <v>1.9540229885057499E-2</v>
      </c>
      <c r="BC23" s="105">
        <f t="shared" si="46"/>
        <v>1.7000000000000001E-2</v>
      </c>
    </row>
    <row r="24" spans="1:55" x14ac:dyDescent="0.25">
      <c r="A24" s="44" t="s">
        <v>34</v>
      </c>
      <c r="B24" s="42" t="s">
        <v>1074</v>
      </c>
      <c r="C24" s="42"/>
      <c r="D24" s="15">
        <v>0</v>
      </c>
      <c r="E24" s="15">
        <v>0</v>
      </c>
      <c r="F24" s="15">
        <v>3.3861304799999998E-9</v>
      </c>
      <c r="G24" s="15">
        <v>0</v>
      </c>
      <c r="H24" s="15">
        <v>0</v>
      </c>
      <c r="I24" s="15">
        <v>0</v>
      </c>
      <c r="J24" s="15">
        <v>3.187633176E-12</v>
      </c>
      <c r="K24" s="15">
        <v>6.807289896E-10</v>
      </c>
      <c r="L24" s="15">
        <v>6.9240530159999999E-15</v>
      </c>
      <c r="M24" s="15">
        <v>6.9684230016000005E-10</v>
      </c>
      <c r="N24" s="15">
        <v>1.9616204160000001E-9</v>
      </c>
      <c r="O24" s="15">
        <v>3.0358411200000002E-9</v>
      </c>
      <c r="P24" s="175">
        <v>0.886075949367089</v>
      </c>
      <c r="Q24" s="175">
        <v>0.91340782122904995</v>
      </c>
      <c r="R24" s="175">
        <v>0.93388429752066104</v>
      </c>
      <c r="S24" s="175">
        <v>0.91913746630727799</v>
      </c>
      <c r="T24" s="175">
        <v>0.95499999999999996</v>
      </c>
      <c r="U24" s="175">
        <v>2.5999999999999999E-2</v>
      </c>
      <c r="V24" s="175">
        <v>7.5999999999999998E-2</v>
      </c>
      <c r="W24" s="175">
        <v>4.1000000000000002E-2</v>
      </c>
      <c r="X24" s="175">
        <v>5.8999999999999997E-2</v>
      </c>
      <c r="Y24" s="175">
        <v>6.8000000000000005E-2</v>
      </c>
      <c r="Z24" s="105">
        <f t="shared" ref="Z24:AD25" si="48">0.4*U24</f>
        <v>1.04E-2</v>
      </c>
      <c r="AA24" s="105">
        <f t="shared" si="48"/>
        <v>3.04E-2</v>
      </c>
      <c r="AB24" s="105">
        <f t="shared" si="48"/>
        <v>1.6400000000000001E-2</v>
      </c>
      <c r="AC24" s="105">
        <f t="shared" si="48"/>
        <v>2.3599999999999999E-2</v>
      </c>
      <c r="AD24" s="105">
        <f t="shared" si="48"/>
        <v>2.7200000000000002E-2</v>
      </c>
      <c r="AE24" s="15">
        <v>1.1098427194317601E-9</v>
      </c>
      <c r="AF24" s="15">
        <v>218</v>
      </c>
      <c r="AG24" s="15">
        <v>0</v>
      </c>
      <c r="AH24" s="15">
        <v>0</v>
      </c>
      <c r="AI24" s="15">
        <v>0</v>
      </c>
      <c r="AJ24" s="15"/>
      <c r="AK24" s="15"/>
      <c r="AL24" s="15"/>
      <c r="AM24" s="15"/>
      <c r="AN24" s="15"/>
      <c r="AO24" s="15"/>
      <c r="AP24" s="15"/>
      <c r="AQ24" s="15">
        <v>0</v>
      </c>
      <c r="AR24" s="15">
        <v>0</v>
      </c>
      <c r="AS24" s="15">
        <v>0</v>
      </c>
      <c r="AT24" s="15"/>
      <c r="AU24" s="15">
        <v>624412800</v>
      </c>
      <c r="AV24" s="42"/>
      <c r="AW24" s="42">
        <v>218</v>
      </c>
      <c r="AX24" s="105">
        <f t="shared" ref="AX24:AX25" si="49">AZ24+s_lambda_HL</f>
        <v>5.5000000000000002E-5</v>
      </c>
      <c r="AY24" s="105">
        <f t="shared" ref="AY24:AY25" si="50">AZ24+(0.693/s_t_w)</f>
        <v>0.1386</v>
      </c>
      <c r="AZ24" s="105">
        <v>0</v>
      </c>
      <c r="BA24" s="15">
        <v>4.05092592592593E-7</v>
      </c>
      <c r="BB24" s="105">
        <f t="shared" ref="BB24:BB25" si="51">AR24</f>
        <v>0</v>
      </c>
      <c r="BC24" s="105">
        <f t="shared" ref="BC24:BC25" si="52">AQ24</f>
        <v>0</v>
      </c>
    </row>
    <row r="25" spans="1:55" x14ac:dyDescent="0.25">
      <c r="A25" s="46" t="s">
        <v>35</v>
      </c>
      <c r="B25" s="42" t="s">
        <v>351</v>
      </c>
      <c r="C25" s="42">
        <v>1</v>
      </c>
      <c r="D25" s="15">
        <v>0</v>
      </c>
      <c r="E25" s="15">
        <v>0</v>
      </c>
      <c r="F25" s="15">
        <v>1.6930652399999999E-9</v>
      </c>
      <c r="G25" s="45">
        <v>2.28E-12</v>
      </c>
      <c r="H25" s="15">
        <v>0</v>
      </c>
      <c r="I25" s="15">
        <v>0</v>
      </c>
      <c r="J25" s="15">
        <v>1.6230073680000001E-12</v>
      </c>
      <c r="K25" s="15">
        <v>3.5028935999999998E-10</v>
      </c>
      <c r="L25" s="15">
        <v>3.5145699120000001E-15</v>
      </c>
      <c r="M25" s="15">
        <v>3.5682809472000002E-10</v>
      </c>
      <c r="N25" s="15">
        <v>1.00696514688E-9</v>
      </c>
      <c r="O25" s="15">
        <v>1.5412731840000001E-9</v>
      </c>
      <c r="P25" s="175">
        <v>0.881287726358149</v>
      </c>
      <c r="Q25" s="175">
        <v>0.94318181818181801</v>
      </c>
      <c r="R25" s="175">
        <v>0.93949044585987296</v>
      </c>
      <c r="S25" s="175">
        <v>0.93193717277486898</v>
      </c>
      <c r="T25" s="175">
        <v>0.91981132075471705</v>
      </c>
      <c r="U25" s="175">
        <v>2.1999999999999999E-2</v>
      </c>
      <c r="V25" s="175">
        <v>6.6000000000000003E-2</v>
      </c>
      <c r="W25" s="175">
        <v>3.6999999999999998E-2</v>
      </c>
      <c r="X25" s="175">
        <v>5.1999999999999998E-2</v>
      </c>
      <c r="Y25" s="175">
        <v>5.8999999999999997E-2</v>
      </c>
      <c r="Z25" s="105">
        <f t="shared" si="48"/>
        <v>8.8000000000000005E-3</v>
      </c>
      <c r="AA25" s="105">
        <f t="shared" si="48"/>
        <v>2.6400000000000003E-2</v>
      </c>
      <c r="AB25" s="105">
        <f t="shared" si="48"/>
        <v>1.4800000000000001E-2</v>
      </c>
      <c r="AC25" s="105">
        <f t="shared" si="48"/>
        <v>2.0799999999999999E-2</v>
      </c>
      <c r="AD25" s="105">
        <f t="shared" si="48"/>
        <v>2.3599999999999999E-2</v>
      </c>
      <c r="AE25" s="15">
        <v>1.04753424657534E-2</v>
      </c>
      <c r="AF25" s="15">
        <v>222</v>
      </c>
      <c r="AG25" s="15">
        <v>0</v>
      </c>
      <c r="AH25" s="15">
        <v>0</v>
      </c>
      <c r="AI25" s="15">
        <v>0</v>
      </c>
      <c r="AJ25" s="15"/>
      <c r="AK25" s="15"/>
      <c r="AL25" s="15"/>
      <c r="AM25" s="15"/>
      <c r="AN25" s="15"/>
      <c r="AO25" s="15"/>
      <c r="AP25" s="15"/>
      <c r="AQ25" s="15">
        <v>0</v>
      </c>
      <c r="AR25" s="15">
        <v>0</v>
      </c>
      <c r="AS25" s="15">
        <v>0</v>
      </c>
      <c r="AT25" s="15"/>
      <c r="AU25" s="15">
        <v>66.155355041192607</v>
      </c>
      <c r="AV25" s="42"/>
      <c r="AW25" s="42">
        <v>222</v>
      </c>
      <c r="AX25" s="105">
        <f t="shared" si="49"/>
        <v>5.5000000000000002E-5</v>
      </c>
      <c r="AY25" s="105">
        <f t="shared" si="50"/>
        <v>0.1386</v>
      </c>
      <c r="AZ25" s="105">
        <v>0</v>
      </c>
      <c r="BA25" s="15">
        <v>3.8235000000000001</v>
      </c>
      <c r="BB25" s="105">
        <f t="shared" si="51"/>
        <v>0</v>
      </c>
      <c r="BC25" s="105">
        <f t="shared" si="52"/>
        <v>0</v>
      </c>
    </row>
    <row r="26" spans="1:55" x14ac:dyDescent="0.25">
      <c r="A26" s="44" t="s">
        <v>36</v>
      </c>
      <c r="B26" s="42" t="s">
        <v>1074</v>
      </c>
      <c r="C26" s="42"/>
      <c r="D26" s="15">
        <v>3.8480000000000001E-10</v>
      </c>
      <c r="E26" s="15">
        <v>2.9045000000000002E-10</v>
      </c>
      <c r="F26" s="15">
        <v>2.241851904E-7</v>
      </c>
      <c r="G26" s="15">
        <v>1.7464000000000001E-7</v>
      </c>
      <c r="H26" s="15">
        <v>2.2347999999999999E-10</v>
      </c>
      <c r="I26" s="15">
        <v>1.9683999999999999E-10</v>
      </c>
      <c r="J26" s="15">
        <v>3.0008121840000002E-10</v>
      </c>
      <c r="K26" s="15">
        <v>7.0758450719999997E-8</v>
      </c>
      <c r="L26" s="15">
        <v>6.6788504639999998E-13</v>
      </c>
      <c r="M26" s="15">
        <v>6.7629199103999999E-8</v>
      </c>
      <c r="N26" s="15">
        <v>1.7059091832000001E-7</v>
      </c>
      <c r="O26" s="15">
        <v>2.2184992799999999E-7</v>
      </c>
      <c r="P26" s="175">
        <v>0.97538461538461496</v>
      </c>
      <c r="Q26" s="175">
        <v>0.95145631067961201</v>
      </c>
      <c r="R26" s="175">
        <v>0.91964285714285698</v>
      </c>
      <c r="S26" s="175">
        <v>0.91074681238615696</v>
      </c>
      <c r="T26" s="175">
        <v>0.91954022988505801</v>
      </c>
      <c r="U26" s="175">
        <v>1.1000000000000001E-3</v>
      </c>
      <c r="V26" s="175">
        <v>1.2E-2</v>
      </c>
      <c r="W26" s="175">
        <v>6.7999999999999996E-3</v>
      </c>
      <c r="X26" s="175">
        <v>9.4999999999999998E-3</v>
      </c>
      <c r="Y26" s="175">
        <v>1.0999999999999999E-2</v>
      </c>
      <c r="Z26" s="105">
        <f t="shared" ref="Z26:AD26" si="53">0.4*U26</f>
        <v>4.4000000000000007E-4</v>
      </c>
      <c r="AA26" s="105">
        <f t="shared" si="53"/>
        <v>4.8000000000000004E-3</v>
      </c>
      <c r="AB26" s="105">
        <f t="shared" si="53"/>
        <v>2.7200000000000002E-3</v>
      </c>
      <c r="AC26" s="105">
        <f t="shared" si="53"/>
        <v>3.8E-3</v>
      </c>
      <c r="AD26" s="105">
        <f t="shared" si="53"/>
        <v>4.4000000000000003E-3</v>
      </c>
      <c r="AE26" s="15">
        <v>7340</v>
      </c>
      <c r="AF26" s="15">
        <v>229</v>
      </c>
      <c r="AG26" s="15">
        <v>5.0000000000000004E-6</v>
      </c>
      <c r="AH26" s="15">
        <v>2.3000000000000001E-4</v>
      </c>
      <c r="AI26" s="15">
        <v>6</v>
      </c>
      <c r="AJ26" s="15"/>
      <c r="AK26" s="15"/>
      <c r="AL26" s="15"/>
      <c r="AM26" s="175">
        <v>1E-3</v>
      </c>
      <c r="AN26" s="15"/>
      <c r="AO26" s="15"/>
      <c r="AP26" s="15"/>
      <c r="AQ26" s="15">
        <v>2.0999999999999999E-3</v>
      </c>
      <c r="AR26" s="15">
        <v>2.4137931034482799E-3</v>
      </c>
      <c r="AS26" s="15">
        <v>20</v>
      </c>
      <c r="AT26" s="15">
        <v>5.0000000000000001E-4</v>
      </c>
      <c r="AU26" s="15">
        <v>9.4414168937329696E-5</v>
      </c>
      <c r="AV26" s="42">
        <v>15</v>
      </c>
      <c r="AW26" s="42">
        <v>229</v>
      </c>
      <c r="AX26" s="105">
        <f t="shared" ref="AX26" si="54">AZ26+s_lambda_HL</f>
        <v>5.5000000000000002E-5</v>
      </c>
      <c r="AY26" s="105">
        <f t="shared" ref="AY26" si="55">AZ26+(0.693/s_t_w)</f>
        <v>0.1386</v>
      </c>
      <c r="AZ26" s="105">
        <v>0</v>
      </c>
      <c r="BA26" s="15">
        <v>2679100</v>
      </c>
      <c r="BB26" s="105">
        <f t="shared" ref="BB26" si="56">AR26</f>
        <v>2.4137931034482799E-3</v>
      </c>
      <c r="BC26" s="105">
        <f t="shared" ref="BC26" si="57">AQ26</f>
        <v>2.0999999999999999E-3</v>
      </c>
    </row>
    <row r="27" spans="1:55" x14ac:dyDescent="0.25">
      <c r="A27" s="44" t="s">
        <v>37</v>
      </c>
      <c r="B27" s="42" t="s">
        <v>1074</v>
      </c>
      <c r="C27" s="42"/>
      <c r="D27" s="15">
        <v>0</v>
      </c>
      <c r="E27" s="15">
        <v>0</v>
      </c>
      <c r="F27" s="15">
        <v>6.106711176E-9</v>
      </c>
      <c r="G27" s="15">
        <v>0</v>
      </c>
      <c r="H27" s="15">
        <v>0</v>
      </c>
      <c r="I27" s="15">
        <v>0</v>
      </c>
      <c r="J27" s="15">
        <v>9.3994311600000004E-12</v>
      </c>
      <c r="K27" s="15">
        <v>8.5704130080000005E-9</v>
      </c>
      <c r="L27" s="15">
        <v>1.4712153119999999E-14</v>
      </c>
      <c r="M27" s="15">
        <v>2.0737130111999998E-9</v>
      </c>
      <c r="N27" s="15">
        <v>4.4089754112000003E-9</v>
      </c>
      <c r="O27" s="15">
        <v>5.8615086239999998E-9</v>
      </c>
      <c r="P27" s="175">
        <v>0.94202898550724601</v>
      </c>
      <c r="Q27" s="175">
        <v>0.96767241379310298</v>
      </c>
      <c r="R27" s="175">
        <v>0.91346153846153799</v>
      </c>
      <c r="S27" s="175">
        <v>0.90301003344481601</v>
      </c>
      <c r="T27" s="175">
        <v>0.91029900332225899</v>
      </c>
      <c r="U27" s="175">
        <v>6.1999999999999998E-3</v>
      </c>
      <c r="V27" s="175">
        <v>5.6000000000000001E-2</v>
      </c>
      <c r="W27" s="175">
        <v>0.02</v>
      </c>
      <c r="X27" s="175">
        <v>3.3000000000000002E-2</v>
      </c>
      <c r="Y27" s="175">
        <v>4.4999999999999998E-2</v>
      </c>
      <c r="Z27" s="105">
        <f t="shared" ref="Z27:AD30" si="58">0.4*U27</f>
        <v>2.48E-3</v>
      </c>
      <c r="AA27" s="105">
        <f t="shared" si="58"/>
        <v>2.2400000000000003E-2</v>
      </c>
      <c r="AB27" s="105">
        <f t="shared" si="58"/>
        <v>8.0000000000000002E-3</v>
      </c>
      <c r="AC27" s="105">
        <f t="shared" si="58"/>
        <v>1.3200000000000002E-2</v>
      </c>
      <c r="AD27" s="105">
        <f t="shared" si="58"/>
        <v>1.7999999999999999E-2</v>
      </c>
      <c r="AE27" s="15">
        <v>7.9908675799086794E-6</v>
      </c>
      <c r="AF27" s="15">
        <v>206</v>
      </c>
      <c r="AG27" s="15">
        <v>3.0000000000000001E-3</v>
      </c>
      <c r="AH27" s="15">
        <v>0.02</v>
      </c>
      <c r="AI27" s="15">
        <v>900</v>
      </c>
      <c r="AJ27" s="15"/>
      <c r="AK27" s="15"/>
      <c r="AL27" s="15"/>
      <c r="AM27" s="175">
        <v>0.4</v>
      </c>
      <c r="AN27" s="15"/>
      <c r="AO27" s="15"/>
      <c r="AP27" s="15"/>
      <c r="AQ27" s="15">
        <v>0.2</v>
      </c>
      <c r="AR27" s="15">
        <v>0.6</v>
      </c>
      <c r="AS27" s="15">
        <v>1500</v>
      </c>
      <c r="AT27" s="15"/>
      <c r="AU27" s="15">
        <v>86724</v>
      </c>
      <c r="AV27" s="42"/>
      <c r="AW27" s="42">
        <v>206</v>
      </c>
      <c r="AX27" s="105">
        <f t="shared" ref="AX27:AX30" si="59">AZ27+s_lambda_HL</f>
        <v>5.5000000000000002E-5</v>
      </c>
      <c r="AY27" s="105">
        <f t="shared" ref="AY27:AY30" si="60">AZ27+(0.693/s_t_w)</f>
        <v>0.1386</v>
      </c>
      <c r="AZ27" s="105">
        <v>0</v>
      </c>
      <c r="BA27" s="15">
        <v>2.9166666666666698E-3</v>
      </c>
      <c r="BB27" s="105">
        <f t="shared" ref="BB27:BB30" si="61">AR27</f>
        <v>0.6</v>
      </c>
      <c r="BC27" s="105">
        <f t="shared" ref="BC27:BC30" si="62">AQ27</f>
        <v>0.2</v>
      </c>
    </row>
    <row r="28" spans="1:55" x14ac:dyDescent="0.25">
      <c r="A28" s="44" t="s">
        <v>38</v>
      </c>
      <c r="B28" s="42" t="s">
        <v>1074</v>
      </c>
      <c r="C28" s="42"/>
      <c r="D28" s="15">
        <v>0</v>
      </c>
      <c r="E28" s="15">
        <v>0</v>
      </c>
      <c r="F28" s="15">
        <v>1.0321859808E-5</v>
      </c>
      <c r="G28" s="15">
        <v>0</v>
      </c>
      <c r="H28" s="15">
        <v>0</v>
      </c>
      <c r="I28" s="15">
        <v>0</v>
      </c>
      <c r="J28" s="15">
        <v>9.5745758399999995E-9</v>
      </c>
      <c r="K28" s="15">
        <v>1.8565336080000001E-6</v>
      </c>
      <c r="L28" s="15">
        <v>2.078383536E-11</v>
      </c>
      <c r="M28" s="15">
        <v>1.9055741184E-6</v>
      </c>
      <c r="N28" s="15">
        <v>5.4738550656000002E-6</v>
      </c>
      <c r="O28" s="15">
        <v>8.710528752E-6</v>
      </c>
      <c r="P28" s="175">
        <v>0.86776859504132198</v>
      </c>
      <c r="Q28" s="175">
        <v>0.94199999999999995</v>
      </c>
      <c r="R28" s="175">
        <v>0.93081761006289299</v>
      </c>
      <c r="S28" s="175">
        <v>0.94166666666666698</v>
      </c>
      <c r="T28" s="175">
        <v>0.91360294117647101</v>
      </c>
      <c r="U28" s="175">
        <v>3.5999999999999997E-2</v>
      </c>
      <c r="V28" s="175">
        <v>0.13</v>
      </c>
      <c r="W28" s="175">
        <v>5.8999999999999997E-2</v>
      </c>
      <c r="X28" s="175">
        <v>8.4000000000000005E-2</v>
      </c>
      <c r="Y28" s="175">
        <v>0.1</v>
      </c>
      <c r="Z28" s="105">
        <f t="shared" si="58"/>
        <v>1.44E-2</v>
      </c>
      <c r="AA28" s="105">
        <f t="shared" si="58"/>
        <v>5.2000000000000005E-2</v>
      </c>
      <c r="AB28" s="105">
        <f t="shared" si="58"/>
        <v>2.3599999999999999E-2</v>
      </c>
      <c r="AC28" s="105">
        <f t="shared" si="58"/>
        <v>3.3600000000000005E-2</v>
      </c>
      <c r="AD28" s="105">
        <f t="shared" si="58"/>
        <v>4.0000000000000008E-2</v>
      </c>
      <c r="AE28" s="15">
        <v>4.1114916286149197E-6</v>
      </c>
      <c r="AF28" s="15">
        <v>209</v>
      </c>
      <c r="AG28" s="15">
        <v>3.0000000000000001E-3</v>
      </c>
      <c r="AH28" s="15">
        <v>0.02</v>
      </c>
      <c r="AI28" s="15">
        <v>900</v>
      </c>
      <c r="AJ28" s="15"/>
      <c r="AK28" s="15"/>
      <c r="AL28" s="15"/>
      <c r="AM28" s="175">
        <v>0.4</v>
      </c>
      <c r="AN28" s="15"/>
      <c r="AO28" s="15"/>
      <c r="AP28" s="15"/>
      <c r="AQ28" s="15">
        <v>0.2</v>
      </c>
      <c r="AR28" s="15">
        <v>0.6</v>
      </c>
      <c r="AS28" s="15">
        <v>1500</v>
      </c>
      <c r="AT28" s="15"/>
      <c r="AU28" s="15">
        <v>168551.966682092</v>
      </c>
      <c r="AV28" s="42"/>
      <c r="AW28" s="42">
        <v>209</v>
      </c>
      <c r="AX28" s="105">
        <f t="shared" si="59"/>
        <v>5.5000000000000002E-5</v>
      </c>
      <c r="AY28" s="105">
        <f t="shared" si="60"/>
        <v>0.1386</v>
      </c>
      <c r="AZ28" s="105">
        <v>0</v>
      </c>
      <c r="BA28" s="15">
        <v>1.5006944444444399E-3</v>
      </c>
      <c r="BB28" s="105">
        <f t="shared" si="61"/>
        <v>0.6</v>
      </c>
      <c r="BC28" s="105">
        <f t="shared" si="62"/>
        <v>0.2</v>
      </c>
    </row>
    <row r="29" spans="1:55" x14ac:dyDescent="0.25">
      <c r="A29" s="44" t="s">
        <v>39</v>
      </c>
      <c r="B29" s="42" t="s">
        <v>1074</v>
      </c>
      <c r="C29" s="42"/>
      <c r="D29" s="15">
        <v>0</v>
      </c>
      <c r="E29" s="15">
        <v>0</v>
      </c>
      <c r="F29" s="15">
        <v>1.34277588E-5</v>
      </c>
      <c r="G29" s="15">
        <v>0</v>
      </c>
      <c r="H29" s="15">
        <v>0</v>
      </c>
      <c r="I29" s="15">
        <v>0</v>
      </c>
      <c r="J29" s="15">
        <v>1.237689072E-8</v>
      </c>
      <c r="K29" s="15">
        <v>2.4053202719999999E-6</v>
      </c>
      <c r="L29" s="15">
        <v>2.6855517599999999E-11</v>
      </c>
      <c r="M29" s="15">
        <v>2.4847191936000002E-6</v>
      </c>
      <c r="N29" s="15">
        <v>7.1178797952000003E-6</v>
      </c>
      <c r="O29" s="15">
        <v>1.1361051576E-5</v>
      </c>
      <c r="P29" s="175">
        <v>0.87301587301587302</v>
      </c>
      <c r="Q29" s="175">
        <v>0.93846153846153801</v>
      </c>
      <c r="R29" s="175">
        <v>0.94059405940594099</v>
      </c>
      <c r="S29" s="175">
        <v>0.94308943089430897</v>
      </c>
      <c r="T29" s="175">
        <v>0.93390804597701205</v>
      </c>
      <c r="U29" s="175">
        <v>3.5999999999999997E-2</v>
      </c>
      <c r="V29" s="175">
        <v>0.12</v>
      </c>
      <c r="W29" s="175">
        <v>0.06</v>
      </c>
      <c r="X29" s="175">
        <v>8.4000000000000005E-2</v>
      </c>
      <c r="Y29" s="175">
        <v>0.1</v>
      </c>
      <c r="Z29" s="105">
        <f t="shared" si="58"/>
        <v>1.44E-2</v>
      </c>
      <c r="AA29" s="105">
        <f t="shared" si="58"/>
        <v>4.8000000000000001E-2</v>
      </c>
      <c r="AB29" s="105">
        <f t="shared" si="58"/>
        <v>2.4E-2</v>
      </c>
      <c r="AC29" s="105">
        <f t="shared" si="58"/>
        <v>3.3600000000000005E-2</v>
      </c>
      <c r="AD29" s="105">
        <f t="shared" si="58"/>
        <v>4.0000000000000008E-2</v>
      </c>
      <c r="AE29" s="15">
        <v>2.4733637747336398E-6</v>
      </c>
      <c r="AF29" s="15">
        <v>210</v>
      </c>
      <c r="AG29" s="15">
        <v>3.0000000000000001E-3</v>
      </c>
      <c r="AH29" s="15">
        <v>0.02</v>
      </c>
      <c r="AI29" s="15">
        <v>900</v>
      </c>
      <c r="AJ29" s="15"/>
      <c r="AK29" s="15"/>
      <c r="AL29" s="15"/>
      <c r="AM29" s="175">
        <v>0.4</v>
      </c>
      <c r="AN29" s="15"/>
      <c r="AO29" s="15"/>
      <c r="AP29" s="15"/>
      <c r="AQ29" s="15">
        <v>0.2</v>
      </c>
      <c r="AR29" s="15">
        <v>0.6</v>
      </c>
      <c r="AS29" s="15">
        <v>1500</v>
      </c>
      <c r="AT29" s="15"/>
      <c r="AU29" s="15">
        <v>280185.23076923098</v>
      </c>
      <c r="AV29" s="42"/>
      <c r="AW29" s="42">
        <v>210</v>
      </c>
      <c r="AX29" s="105">
        <f t="shared" si="59"/>
        <v>5.5000000000000002E-5</v>
      </c>
      <c r="AY29" s="105">
        <f t="shared" si="60"/>
        <v>0.1386</v>
      </c>
      <c r="AZ29" s="105">
        <v>0</v>
      </c>
      <c r="BA29" s="15">
        <v>9.0277777777777795E-4</v>
      </c>
      <c r="BB29" s="105">
        <f t="shared" si="61"/>
        <v>0.6</v>
      </c>
      <c r="BC29" s="105">
        <f t="shared" si="62"/>
        <v>0.2</v>
      </c>
    </row>
    <row r="30" spans="1:55" x14ac:dyDescent="0.25">
      <c r="A30" s="44" t="s">
        <v>40</v>
      </c>
      <c r="B30" s="42" t="s">
        <v>1074</v>
      </c>
      <c r="C30" s="42"/>
      <c r="D30" s="15">
        <v>1.5022E-10</v>
      </c>
      <c r="E30" s="15">
        <v>9.6940000000000003E-11</v>
      </c>
      <c r="F30" s="15">
        <v>7.1108740080000005E-10</v>
      </c>
      <c r="G30" s="15">
        <v>2.8305000000000001E-8</v>
      </c>
      <c r="H30" s="15">
        <v>7.1779999999999997E-11</v>
      </c>
      <c r="I30" s="15">
        <v>5.2169999999999999E-11</v>
      </c>
      <c r="J30" s="15">
        <v>9.3760785359999994E-13</v>
      </c>
      <c r="K30" s="15">
        <v>3.5729514719999999E-10</v>
      </c>
      <c r="L30" s="15">
        <v>2.0900598480000001E-15</v>
      </c>
      <c r="M30" s="15">
        <v>2.0737130111999999E-10</v>
      </c>
      <c r="N30" s="15">
        <v>5.0628488832E-10</v>
      </c>
      <c r="O30" s="15">
        <v>6.8773477679999995E-10</v>
      </c>
      <c r="P30" s="176">
        <v>1</v>
      </c>
      <c r="Q30" s="176">
        <v>1</v>
      </c>
      <c r="R30" s="176">
        <v>0.97979797979798</v>
      </c>
      <c r="S30" s="176">
        <v>0.97103448275862103</v>
      </c>
      <c r="T30" s="176">
        <v>0.96124031007751898</v>
      </c>
      <c r="U30" s="15">
        <v>1E-4</v>
      </c>
      <c r="V30" s="15">
        <v>1.2E-2</v>
      </c>
      <c r="W30" s="15">
        <v>2.5000000000000001E-3</v>
      </c>
      <c r="X30" s="15">
        <v>7.0000000000000001E-3</v>
      </c>
      <c r="Y30" s="15">
        <v>9.4999999999999998E-3</v>
      </c>
      <c r="Z30" s="105">
        <f t="shared" si="58"/>
        <v>4.0000000000000003E-5</v>
      </c>
      <c r="AA30" s="105">
        <f t="shared" si="58"/>
        <v>4.8000000000000004E-3</v>
      </c>
      <c r="AB30" s="105">
        <f t="shared" si="58"/>
        <v>1E-3</v>
      </c>
      <c r="AC30" s="105">
        <f t="shared" si="58"/>
        <v>2.8000000000000004E-3</v>
      </c>
      <c r="AD30" s="105">
        <f t="shared" si="58"/>
        <v>3.8E-3</v>
      </c>
      <c r="AE30" s="15">
        <v>159200</v>
      </c>
      <c r="AF30" s="15">
        <v>233</v>
      </c>
      <c r="AG30" s="15">
        <v>1.8E-3</v>
      </c>
      <c r="AH30" s="15">
        <v>3.8999999999999999E-4</v>
      </c>
      <c r="AI30" s="15">
        <v>0.96</v>
      </c>
      <c r="AJ30" s="15">
        <v>0.75</v>
      </c>
      <c r="AK30" s="15">
        <v>1.1000000000000001</v>
      </c>
      <c r="AL30" s="15">
        <v>4.3999999999999997E-2</v>
      </c>
      <c r="AM30" s="175">
        <v>2E-3</v>
      </c>
      <c r="AN30" s="15"/>
      <c r="AO30" s="15"/>
      <c r="AP30" s="175">
        <v>1.4E-3</v>
      </c>
      <c r="AQ30" s="15">
        <v>6.1999999999999998E-3</v>
      </c>
      <c r="AR30" s="15">
        <v>7.1264367816091896E-3</v>
      </c>
      <c r="AS30" s="15">
        <v>0.4</v>
      </c>
      <c r="AT30" s="15">
        <v>0.02</v>
      </c>
      <c r="AU30" s="15">
        <v>4.3530150753768799E-6</v>
      </c>
      <c r="AV30" s="42">
        <v>289207.91735594597</v>
      </c>
      <c r="AW30" s="42">
        <v>233</v>
      </c>
      <c r="AX30" s="105">
        <f t="shared" si="59"/>
        <v>5.5000000000000002E-5</v>
      </c>
      <c r="AY30" s="105">
        <f t="shared" si="60"/>
        <v>0.1386</v>
      </c>
      <c r="AZ30" s="105">
        <v>0</v>
      </c>
      <c r="BA30" s="15">
        <v>58108000</v>
      </c>
      <c r="BB30" s="105">
        <f t="shared" si="61"/>
        <v>7.1264367816091896E-3</v>
      </c>
      <c r="BC30" s="105">
        <f t="shared" si="62"/>
        <v>6.1999999999999998E-3</v>
      </c>
    </row>
  </sheetData>
  <sheetProtection algorithmName="SHA-512" hashValue="I28heBBXxX+5UQE5JDiabPixcX/hWXea83+w7lw88Jgg9PTecy9agSJk76HcVlrUyesPWVDjyi5yliAoAfAE9g==" saltValue="SstBII++lJkNBSJoW/+qJA==" spinCount="100000" sheet="1" objects="1" scenarios="1" formatColumns="0" formatRows="0" autoFilter="0"/>
  <autoFilter ref="A1:BC30" xr:uid="{00000000-0009-0000-0000-00000D000000}"/>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U121"/>
  <sheetViews>
    <sheetView zoomScale="85" zoomScaleNormal="85" workbookViewId="0">
      <pane ySplit="1" topLeftCell="A2" activePane="bottomLeft" state="frozen"/>
      <selection pane="bottomLeft" activeCell="A2" sqref="A2"/>
    </sheetView>
  </sheetViews>
  <sheetFormatPr defaultColWidth="12.42578125" defaultRowHeight="15" x14ac:dyDescent="0.25"/>
  <cols>
    <col min="1" max="1" width="13.7109375" style="151" bestFit="1" customWidth="1"/>
    <col min="2" max="3" width="12.42578125" style="151"/>
    <col min="4" max="4" width="13.140625" style="151" bestFit="1" customWidth="1"/>
    <col min="5" max="12" width="12.42578125" style="151"/>
    <col min="13" max="13" width="14.28515625" style="151" bestFit="1" customWidth="1"/>
    <col min="14" max="15" width="12.42578125" style="151"/>
    <col min="16" max="16" width="14.42578125" style="151" bestFit="1" customWidth="1"/>
    <col min="17" max="17" width="12.42578125" style="151" customWidth="1"/>
    <col min="18" max="16384" width="12.42578125" style="151"/>
  </cols>
  <sheetData>
    <row r="1" spans="1:18" s="140" customFormat="1" ht="18.75" x14ac:dyDescent="0.25">
      <c r="A1" s="203" t="s">
        <v>52</v>
      </c>
      <c r="B1" s="203"/>
      <c r="C1" s="203"/>
      <c r="D1" s="203" t="s">
        <v>53</v>
      </c>
      <c r="E1" s="203"/>
      <c r="F1" s="203"/>
      <c r="G1" s="203" t="s">
        <v>54</v>
      </c>
      <c r="H1" s="203"/>
      <c r="I1" s="203"/>
      <c r="J1" s="203" t="s">
        <v>384</v>
      </c>
      <c r="K1" s="203"/>
      <c r="L1" s="203"/>
      <c r="M1" s="203" t="s">
        <v>565</v>
      </c>
      <c r="N1" s="203"/>
      <c r="O1" s="203"/>
      <c r="P1" s="203" t="s">
        <v>566</v>
      </c>
      <c r="Q1" s="203"/>
      <c r="R1" s="203"/>
    </row>
    <row r="2" spans="1:18" ht="18" x14ac:dyDescent="0.25">
      <c r="A2" s="151" t="s">
        <v>349</v>
      </c>
      <c r="B2" s="158">
        <v>9.9999999999999995E-7</v>
      </c>
      <c r="D2" s="140" t="s">
        <v>284</v>
      </c>
      <c r="E2" s="130">
        <v>5</v>
      </c>
      <c r="F2" s="131" t="s">
        <v>55</v>
      </c>
      <c r="G2" s="140" t="s">
        <v>1004</v>
      </c>
      <c r="H2" s="130">
        <v>5</v>
      </c>
      <c r="I2" s="131" t="s">
        <v>55</v>
      </c>
      <c r="J2" s="140" t="s">
        <v>1042</v>
      </c>
      <c r="K2" s="130">
        <v>5</v>
      </c>
      <c r="L2" s="131" t="s">
        <v>55</v>
      </c>
      <c r="M2" s="159" t="s">
        <v>757</v>
      </c>
      <c r="N2" s="129">
        <v>0.5</v>
      </c>
      <c r="P2" s="159" t="s">
        <v>306</v>
      </c>
      <c r="Q2" s="129">
        <v>0.5</v>
      </c>
    </row>
    <row r="3" spans="1:18" ht="18" x14ac:dyDescent="0.25">
      <c r="A3" s="133" t="s">
        <v>253</v>
      </c>
      <c r="B3" s="160">
        <v>0.5</v>
      </c>
      <c r="D3" s="140" t="s">
        <v>285</v>
      </c>
      <c r="E3" s="130">
        <v>15</v>
      </c>
      <c r="F3" s="131" t="s">
        <v>55</v>
      </c>
      <c r="G3" s="140" t="s">
        <v>1005</v>
      </c>
      <c r="H3" s="130">
        <v>15</v>
      </c>
      <c r="I3" s="131" t="s">
        <v>55</v>
      </c>
      <c r="J3" s="140" t="s">
        <v>1043</v>
      </c>
      <c r="K3" s="130">
        <v>15</v>
      </c>
      <c r="L3" s="131" t="s">
        <v>55</v>
      </c>
      <c r="M3" s="159" t="s">
        <v>758</v>
      </c>
      <c r="N3" s="129">
        <v>0.5</v>
      </c>
      <c r="P3" s="159" t="s">
        <v>305</v>
      </c>
      <c r="Q3" s="129">
        <v>0.5</v>
      </c>
    </row>
    <row r="4" spans="1:18" ht="18" x14ac:dyDescent="0.25">
      <c r="A4" s="151" t="s">
        <v>254</v>
      </c>
      <c r="B4" s="144">
        <v>2</v>
      </c>
      <c r="D4" s="140" t="s">
        <v>286</v>
      </c>
      <c r="E4" s="157">
        <f>s_ED_res_c+s_ED_res_a</f>
        <v>20</v>
      </c>
      <c r="F4" s="131" t="s">
        <v>55</v>
      </c>
      <c r="G4" s="140" t="s">
        <v>1006</v>
      </c>
      <c r="H4" s="157">
        <f>s_ED_rec_c+s_ED_rec_a</f>
        <v>20</v>
      </c>
      <c r="I4" s="131" t="s">
        <v>55</v>
      </c>
      <c r="J4" s="140" t="s">
        <v>1044</v>
      </c>
      <c r="K4" s="157">
        <f>s_ED_far_c+s_ED_far_a</f>
        <v>20</v>
      </c>
      <c r="L4" s="131" t="s">
        <v>55</v>
      </c>
      <c r="M4" s="159" t="s">
        <v>759</v>
      </c>
      <c r="N4" s="129">
        <v>0.5</v>
      </c>
      <c r="P4" s="159" t="s">
        <v>309</v>
      </c>
      <c r="Q4" s="129">
        <v>0.5</v>
      </c>
    </row>
    <row r="5" spans="1:18" ht="18" x14ac:dyDescent="0.25">
      <c r="A5" s="151" t="s">
        <v>255</v>
      </c>
      <c r="B5" s="157">
        <v>0.4</v>
      </c>
      <c r="D5" s="140" t="s">
        <v>907</v>
      </c>
      <c r="E5" s="156">
        <f>s_ED_res</f>
        <v>20</v>
      </c>
      <c r="G5" s="140" t="s">
        <v>1007</v>
      </c>
      <c r="H5" s="156">
        <f>s_ED_rec</f>
        <v>20</v>
      </c>
      <c r="I5" s="132"/>
      <c r="J5" s="140" t="s">
        <v>1045</v>
      </c>
      <c r="K5" s="156">
        <f>s_ED_far</f>
        <v>20</v>
      </c>
      <c r="L5" s="132"/>
      <c r="M5" s="159" t="s">
        <v>760</v>
      </c>
      <c r="N5" s="129">
        <v>0.5</v>
      </c>
      <c r="P5" s="159" t="s">
        <v>307</v>
      </c>
      <c r="Q5" s="129">
        <v>0.5</v>
      </c>
    </row>
    <row r="6" spans="1:18" ht="18" x14ac:dyDescent="0.25">
      <c r="A6" s="151" t="s">
        <v>256</v>
      </c>
      <c r="B6" s="144">
        <v>2</v>
      </c>
      <c r="D6" s="140" t="s">
        <v>908</v>
      </c>
      <c r="E6" s="129">
        <v>5</v>
      </c>
      <c r="F6" s="137" t="s">
        <v>56</v>
      </c>
      <c r="G6" s="140" t="s">
        <v>1008</v>
      </c>
      <c r="H6" s="144">
        <v>5</v>
      </c>
      <c r="I6" s="159" t="s">
        <v>99</v>
      </c>
      <c r="J6" s="140" t="s">
        <v>1046</v>
      </c>
      <c r="K6" s="129">
        <v>5</v>
      </c>
      <c r="L6" s="159" t="s">
        <v>99</v>
      </c>
      <c r="M6" s="159" t="s">
        <v>761</v>
      </c>
      <c r="N6" s="129">
        <v>0.5</v>
      </c>
      <c r="P6" s="159" t="s">
        <v>308</v>
      </c>
      <c r="Q6" s="129">
        <v>0.5</v>
      </c>
    </row>
    <row r="7" spans="1:18" ht="18" x14ac:dyDescent="0.25">
      <c r="A7" s="159" t="s">
        <v>257</v>
      </c>
      <c r="B7" s="144">
        <v>5.5000000000000002E-5</v>
      </c>
      <c r="C7" s="133" t="s">
        <v>137</v>
      </c>
      <c r="D7" s="140" t="s">
        <v>909</v>
      </c>
      <c r="E7" s="129">
        <v>10</v>
      </c>
      <c r="F7" s="137" t="s">
        <v>56</v>
      </c>
      <c r="G7" s="140" t="s">
        <v>1009</v>
      </c>
      <c r="H7" s="144">
        <v>10</v>
      </c>
      <c r="I7" s="159" t="s">
        <v>99</v>
      </c>
      <c r="J7" s="140" t="s">
        <v>1047</v>
      </c>
      <c r="K7" s="129">
        <v>10</v>
      </c>
      <c r="L7" s="159" t="s">
        <v>99</v>
      </c>
      <c r="M7" s="159" t="s">
        <v>762</v>
      </c>
      <c r="N7" s="129">
        <v>0.5</v>
      </c>
      <c r="P7" s="159" t="s">
        <v>310</v>
      </c>
      <c r="Q7" s="129">
        <v>0.5</v>
      </c>
    </row>
    <row r="8" spans="1:18" ht="18" x14ac:dyDescent="0.25">
      <c r="A8" s="133" t="s">
        <v>258</v>
      </c>
      <c r="B8" s="144">
        <v>5</v>
      </c>
      <c r="C8" s="133" t="s">
        <v>131</v>
      </c>
      <c r="D8" s="140" t="s">
        <v>910</v>
      </c>
      <c r="E8" s="157">
        <f>((s_EF_res_c*s_ED_res_c*s_ET_res_c*(1/24)*s_IRA_res_c)+(s_EF_res_a*s_ED_res_a*s_ET_res_a*(1/24)*s_IRA_res_a))</f>
        <v>182.29166666666666</v>
      </c>
      <c r="F8" s="132" t="s">
        <v>249</v>
      </c>
      <c r="G8" s="140" t="s">
        <v>1010</v>
      </c>
      <c r="H8" s="157">
        <f>((s_EF_rec_c*s_ED_rec_c*s_ET_rec_c*(1/24)*s_IRA_rec_c)+(s_EF_rec_a*s_ED_rec_a*s_ET_rec_a*(1/24)*s_IRA_rec_a))</f>
        <v>182.29166666666666</v>
      </c>
      <c r="J8" s="140" t="s">
        <v>1048</v>
      </c>
      <c r="K8" s="157">
        <f>((s_EF_far_c*s_ED_far_c*s_ET_far_c*(1/24)*s_IRA_far_c)+(s_EF_far_a*s_ED_far_a*s_ET_far_a*(1/24)*s_IRA_far_a))</f>
        <v>182.29166666666666</v>
      </c>
      <c r="L8" s="132" t="s">
        <v>249</v>
      </c>
      <c r="M8" s="159" t="s">
        <v>763</v>
      </c>
      <c r="N8" s="129">
        <v>0.5</v>
      </c>
      <c r="P8" s="159" t="s">
        <v>1113</v>
      </c>
      <c r="Q8" s="129">
        <v>0.5</v>
      </c>
    </row>
    <row r="9" spans="1:18" ht="18" x14ac:dyDescent="0.25">
      <c r="A9" s="133" t="s">
        <v>259</v>
      </c>
      <c r="B9" s="144">
        <v>0.5</v>
      </c>
      <c r="C9" s="133" t="s">
        <v>102</v>
      </c>
      <c r="D9" s="140" t="s">
        <v>911</v>
      </c>
      <c r="E9" s="157">
        <f>((s_EF_res_c*s_ED_res_c*s_ET_event_res_c*s_EV_res_c)+(s_EF_res_a*s_ED_res_a*s_ET_event_res_a*s_EV_res_a))</f>
        <v>400</v>
      </c>
      <c r="F9" s="132" t="s">
        <v>356</v>
      </c>
      <c r="G9" s="140" t="s">
        <v>1011</v>
      </c>
      <c r="H9" s="157">
        <f>((s_EF_rec_c*s_ED_rec_c*s_ET_event_rec_c*s_EV_rec_c)+(s_EF_rec_a*s_ED_rec_a*s_ET_event_rec_a*s_EV_rec_a))</f>
        <v>400</v>
      </c>
      <c r="I9" s="132" t="s">
        <v>356</v>
      </c>
      <c r="J9" s="140" t="s">
        <v>1049</v>
      </c>
      <c r="K9" s="157">
        <f>((s_EF_far_c*s_ED_far_c*s_EV_far_c*s_ET_event_far_c)+(s_EF_far_a*s_ED_far_a*s_EV_far_a*s_ET_event_far_a))</f>
        <v>400</v>
      </c>
      <c r="L9" s="132" t="s">
        <v>356</v>
      </c>
      <c r="M9" s="159" t="s">
        <v>764</v>
      </c>
      <c r="N9" s="129">
        <v>0.5</v>
      </c>
      <c r="P9" s="159" t="s">
        <v>877</v>
      </c>
      <c r="Q9" s="129">
        <v>0.5</v>
      </c>
    </row>
    <row r="10" spans="1:18" ht="18" x14ac:dyDescent="0.25">
      <c r="A10" s="159" t="s">
        <v>260</v>
      </c>
      <c r="B10" s="144">
        <v>5000</v>
      </c>
      <c r="C10" s="133" t="s">
        <v>133</v>
      </c>
      <c r="D10" s="140" t="s">
        <v>912</v>
      </c>
      <c r="E10" s="129">
        <v>55</v>
      </c>
      <c r="F10" s="151" t="s">
        <v>57</v>
      </c>
      <c r="G10" s="140" t="s">
        <v>1012</v>
      </c>
      <c r="H10" s="144">
        <v>55</v>
      </c>
      <c r="I10" s="133" t="s">
        <v>57</v>
      </c>
      <c r="J10" s="140" t="s">
        <v>1050</v>
      </c>
      <c r="K10" s="129">
        <v>55</v>
      </c>
      <c r="L10" s="133" t="s">
        <v>57</v>
      </c>
      <c r="M10" s="159" t="s">
        <v>765</v>
      </c>
      <c r="N10" s="129">
        <v>0.5</v>
      </c>
      <c r="P10" s="159" t="s">
        <v>878</v>
      </c>
      <c r="Q10" s="129">
        <v>0.5</v>
      </c>
    </row>
    <row r="11" spans="1:18" ht="18" x14ac:dyDescent="0.25">
      <c r="A11" s="159" t="s">
        <v>261</v>
      </c>
      <c r="B11" s="144">
        <v>55</v>
      </c>
      <c r="C11" s="133" t="s">
        <v>135</v>
      </c>
      <c r="D11" s="140" t="s">
        <v>913</v>
      </c>
      <c r="E11" s="129">
        <v>55</v>
      </c>
      <c r="F11" s="151" t="s">
        <v>57</v>
      </c>
      <c r="G11" s="140" t="s">
        <v>1013</v>
      </c>
      <c r="H11" s="144">
        <v>55</v>
      </c>
      <c r="I11" s="133" t="s">
        <v>57</v>
      </c>
      <c r="J11" s="140" t="s">
        <v>1051</v>
      </c>
      <c r="K11" s="129">
        <v>55</v>
      </c>
      <c r="L11" s="133" t="s">
        <v>57</v>
      </c>
      <c r="M11" s="159" t="s">
        <v>766</v>
      </c>
      <c r="N11" s="129">
        <v>0.5</v>
      </c>
      <c r="P11" s="159" t="s">
        <v>879</v>
      </c>
      <c r="Q11" s="129">
        <v>0.5</v>
      </c>
    </row>
    <row r="12" spans="1:18" ht="18" x14ac:dyDescent="0.25">
      <c r="A12" s="159" t="s">
        <v>262</v>
      </c>
      <c r="B12" s="144">
        <v>0.5</v>
      </c>
      <c r="C12" s="133" t="s">
        <v>102</v>
      </c>
      <c r="D12" s="140" t="s">
        <v>914</v>
      </c>
      <c r="E12" s="157">
        <f>((s_EF_res_c*s_ED_res_c*s_IRS_res_c)+(s_EF_res_a*s_ED_res_a*s_IRS_res_a))</f>
        <v>5500</v>
      </c>
      <c r="F12" s="133" t="s">
        <v>250</v>
      </c>
      <c r="G12" s="140" t="s">
        <v>1014</v>
      </c>
      <c r="H12" s="157">
        <f>((s_EF_rec_c*s_ED_rec_c*s_IRS_rec_c)+(s_EF_rec_a*s_ED_rec_a*s_IRS_rec_a))</f>
        <v>5500</v>
      </c>
      <c r="I12" s="133" t="s">
        <v>250</v>
      </c>
      <c r="J12" s="140" t="s">
        <v>1052</v>
      </c>
      <c r="K12" s="157">
        <f>((s_EF_far_c*s_ED_far_c*s_IRS_far_c)+(s_EF_far_a*s_ED_far_a*s_IRS_far_a))</f>
        <v>5500</v>
      </c>
      <c r="L12" s="133" t="s">
        <v>250</v>
      </c>
      <c r="M12" s="159" t="s">
        <v>767</v>
      </c>
      <c r="N12" s="129">
        <v>0.5</v>
      </c>
      <c r="P12" s="133" t="s">
        <v>290</v>
      </c>
      <c r="Q12" s="129">
        <v>55</v>
      </c>
      <c r="R12" s="159" t="s">
        <v>59</v>
      </c>
    </row>
    <row r="13" spans="1:18" ht="18" x14ac:dyDescent="0.25">
      <c r="A13" s="159" t="s">
        <v>263</v>
      </c>
      <c r="B13" s="144">
        <v>55</v>
      </c>
      <c r="C13" s="133" t="s">
        <v>133</v>
      </c>
      <c r="D13" s="140" t="s">
        <v>915</v>
      </c>
      <c r="E13" s="129">
        <v>5</v>
      </c>
      <c r="F13" s="140" t="s">
        <v>58</v>
      </c>
      <c r="G13" s="140" t="s">
        <v>1015</v>
      </c>
      <c r="H13" s="129">
        <v>5</v>
      </c>
      <c r="I13" s="133" t="s">
        <v>100</v>
      </c>
      <c r="J13" s="140" t="s">
        <v>1053</v>
      </c>
      <c r="K13" s="144">
        <v>5</v>
      </c>
      <c r="L13" s="133" t="s">
        <v>58</v>
      </c>
      <c r="M13" s="159" t="s">
        <v>768</v>
      </c>
      <c r="N13" s="129">
        <v>0.5</v>
      </c>
      <c r="P13" s="133" t="s">
        <v>291</v>
      </c>
      <c r="Q13" s="129">
        <v>55</v>
      </c>
      <c r="R13" s="159" t="s">
        <v>59</v>
      </c>
    </row>
    <row r="14" spans="1:18" ht="18" x14ac:dyDescent="0.25">
      <c r="A14" s="159" t="s">
        <v>264</v>
      </c>
      <c r="B14" s="144">
        <v>5</v>
      </c>
      <c r="C14" s="133" t="s">
        <v>135</v>
      </c>
      <c r="D14" s="140" t="s">
        <v>916</v>
      </c>
      <c r="E14" s="129">
        <v>5</v>
      </c>
      <c r="F14" s="140" t="s">
        <v>58</v>
      </c>
      <c r="G14" s="140" t="s">
        <v>1016</v>
      </c>
      <c r="H14" s="129">
        <v>5</v>
      </c>
      <c r="I14" s="133" t="s">
        <v>100</v>
      </c>
      <c r="J14" s="140" t="s">
        <v>1054</v>
      </c>
      <c r="K14" s="144">
        <v>5</v>
      </c>
      <c r="L14" s="133" t="s">
        <v>58</v>
      </c>
      <c r="M14" s="159" t="s">
        <v>769</v>
      </c>
      <c r="N14" s="129">
        <v>0.5</v>
      </c>
      <c r="P14" s="140" t="s">
        <v>292</v>
      </c>
      <c r="Q14" s="156">
        <f>((s_EF_far_c*s_ED_far_c*s_IRB_far_c)+(s_EF_far_a*s_ED_far_a*s_IRB_far_a))</f>
        <v>5500</v>
      </c>
      <c r="R14" s="159" t="s">
        <v>226</v>
      </c>
    </row>
    <row r="15" spans="1:18" ht="18" x14ac:dyDescent="0.25">
      <c r="A15" s="159" t="s">
        <v>265</v>
      </c>
      <c r="B15" s="144">
        <v>5</v>
      </c>
      <c r="C15" s="133" t="s">
        <v>102</v>
      </c>
      <c r="D15" s="140" t="s">
        <v>917</v>
      </c>
      <c r="E15" s="157">
        <f>((s_EF_res_c*s_ED_res_c*s_IRW_res_c)+(s_EF_res_a*s_ED_res_a*s_IRW_res_a))</f>
        <v>500</v>
      </c>
      <c r="F15" s="133" t="s">
        <v>251</v>
      </c>
      <c r="G15" s="140" t="s">
        <v>1017</v>
      </c>
      <c r="H15" s="157">
        <f>((s_EF_rec_c*s_ED_rec_c*s_IRW_rec_c*s_ET_event_rec_c*s_EV_rec_c)+(s_EF_rec_a*s_ED_rec_a*s_IRW_rec_a*s_ET_event_rec_a*s_EV_rec_a))</f>
        <v>2000</v>
      </c>
      <c r="I15" s="133" t="s">
        <v>251</v>
      </c>
      <c r="J15" s="140" t="s">
        <v>1055</v>
      </c>
      <c r="K15" s="157">
        <f>((s_EF_far_c*s_ED_far_c*s_IRW_far_c)+(s_EF_far_a*s_ED_far_a*s_IRW_far_a))</f>
        <v>500</v>
      </c>
      <c r="L15" s="133" t="s">
        <v>251</v>
      </c>
      <c r="M15" s="159" t="s">
        <v>770</v>
      </c>
      <c r="N15" s="129">
        <v>0.5</v>
      </c>
      <c r="P15" s="133" t="s">
        <v>287</v>
      </c>
      <c r="Q15" s="129">
        <v>55</v>
      </c>
      <c r="R15" s="159" t="s">
        <v>59</v>
      </c>
    </row>
    <row r="16" spans="1:18" ht="18" x14ac:dyDescent="0.25">
      <c r="A16" s="159" t="s">
        <v>266</v>
      </c>
      <c r="B16" s="144">
        <v>5</v>
      </c>
      <c r="C16" s="133" t="s">
        <v>139</v>
      </c>
      <c r="D16" s="136" t="s">
        <v>918</v>
      </c>
      <c r="E16" s="129">
        <v>55000</v>
      </c>
      <c r="F16" s="151" t="s">
        <v>57</v>
      </c>
      <c r="G16" s="151" t="s">
        <v>1018</v>
      </c>
      <c r="H16" s="144">
        <v>2</v>
      </c>
      <c r="I16" s="133" t="s">
        <v>59</v>
      </c>
      <c r="J16" s="140" t="s">
        <v>1056</v>
      </c>
      <c r="K16" s="144">
        <v>5</v>
      </c>
      <c r="L16" s="133" t="s">
        <v>60</v>
      </c>
      <c r="M16" s="159" t="s">
        <v>771</v>
      </c>
      <c r="N16" s="129">
        <v>0.5</v>
      </c>
      <c r="P16" s="133" t="s">
        <v>288</v>
      </c>
      <c r="Q16" s="129">
        <v>55</v>
      </c>
      <c r="R16" s="159" t="s">
        <v>59</v>
      </c>
    </row>
    <row r="17" spans="1:21" ht="18" x14ac:dyDescent="0.25">
      <c r="A17" s="140" t="s">
        <v>267</v>
      </c>
      <c r="B17" s="154">
        <v>2</v>
      </c>
      <c r="C17" s="140"/>
      <c r="D17" s="136" t="s">
        <v>919</v>
      </c>
      <c r="E17" s="129">
        <v>5</v>
      </c>
      <c r="F17" s="140" t="s">
        <v>60</v>
      </c>
      <c r="G17" s="151" t="s">
        <v>1019</v>
      </c>
      <c r="H17" s="144">
        <v>2</v>
      </c>
      <c r="I17" s="133" t="s">
        <v>59</v>
      </c>
      <c r="J17" s="140" t="s">
        <v>1057</v>
      </c>
      <c r="K17" s="144">
        <v>5</v>
      </c>
      <c r="L17" s="133" t="s">
        <v>60</v>
      </c>
      <c r="M17" s="159" t="s">
        <v>772</v>
      </c>
      <c r="N17" s="129">
        <v>0.5</v>
      </c>
      <c r="P17" s="140" t="s">
        <v>289</v>
      </c>
      <c r="Q17" s="156">
        <f>((s_EF_far_c*s_ED_far_c*s_IRD_far_c)+(s_EF_far_a*s_ED_far_a*s_IRD_far_a))</f>
        <v>5500</v>
      </c>
      <c r="R17" s="159" t="s">
        <v>226</v>
      </c>
    </row>
    <row r="18" spans="1:21" ht="18" x14ac:dyDescent="0.25">
      <c r="A18" s="140" t="s">
        <v>268</v>
      </c>
      <c r="B18" s="154">
        <v>0.15</v>
      </c>
      <c r="C18" s="140"/>
      <c r="D18" s="136" t="s">
        <v>920</v>
      </c>
      <c r="E18" s="129">
        <v>5</v>
      </c>
      <c r="F18" s="140" t="s">
        <v>60</v>
      </c>
      <c r="G18" s="140" t="s">
        <v>1020</v>
      </c>
      <c r="H18" s="161">
        <v>5</v>
      </c>
      <c r="I18" s="162" t="s">
        <v>60</v>
      </c>
      <c r="J18" s="140" t="s">
        <v>1058</v>
      </c>
      <c r="K18" s="130">
        <v>5</v>
      </c>
      <c r="L18" s="151" t="s">
        <v>60</v>
      </c>
      <c r="M18" s="159" t="s">
        <v>773</v>
      </c>
      <c r="N18" s="129">
        <v>0.5</v>
      </c>
      <c r="P18" s="133" t="s">
        <v>293</v>
      </c>
      <c r="Q18" s="129">
        <v>55</v>
      </c>
      <c r="R18" s="133" t="s">
        <v>59</v>
      </c>
    </row>
    <row r="19" spans="1:21" ht="18" x14ac:dyDescent="0.25">
      <c r="A19" s="140" t="s">
        <v>269</v>
      </c>
      <c r="B19" s="154">
        <v>70</v>
      </c>
      <c r="C19" s="140" t="s">
        <v>55</v>
      </c>
      <c r="D19" s="136" t="s">
        <v>921</v>
      </c>
      <c r="E19" s="129">
        <v>5</v>
      </c>
      <c r="F19" s="140" t="s">
        <v>60</v>
      </c>
      <c r="G19" s="140" t="s">
        <v>1021</v>
      </c>
      <c r="H19" s="129">
        <v>5</v>
      </c>
      <c r="I19" s="162" t="s">
        <v>60</v>
      </c>
      <c r="J19" s="140" t="s">
        <v>1059</v>
      </c>
      <c r="K19" s="129">
        <v>5</v>
      </c>
      <c r="L19" s="133" t="s">
        <v>62</v>
      </c>
      <c r="M19" s="159" t="s">
        <v>774</v>
      </c>
      <c r="N19" s="129">
        <v>0.5</v>
      </c>
      <c r="P19" s="133" t="s">
        <v>294</v>
      </c>
      <c r="Q19" s="129">
        <v>55</v>
      </c>
      <c r="R19" s="133" t="s">
        <v>59</v>
      </c>
    </row>
    <row r="20" spans="1:21" ht="18" x14ac:dyDescent="0.25">
      <c r="A20" s="140" t="s">
        <v>270</v>
      </c>
      <c r="B20" s="154">
        <v>5</v>
      </c>
      <c r="C20" s="140" t="s">
        <v>204</v>
      </c>
      <c r="D20" s="136" t="s">
        <v>922</v>
      </c>
      <c r="E20" s="144">
        <v>2</v>
      </c>
      <c r="F20" s="131" t="s">
        <v>61</v>
      </c>
      <c r="G20" s="140" t="s">
        <v>1022</v>
      </c>
      <c r="H20" s="129">
        <v>5</v>
      </c>
      <c r="I20" s="162" t="s">
        <v>60</v>
      </c>
      <c r="J20" s="140" t="s">
        <v>1060</v>
      </c>
      <c r="K20" s="129">
        <v>5</v>
      </c>
      <c r="L20" s="133" t="s">
        <v>62</v>
      </c>
      <c r="M20" s="159" t="s">
        <v>775</v>
      </c>
      <c r="N20" s="129">
        <v>0.5</v>
      </c>
      <c r="P20" s="140" t="s">
        <v>295</v>
      </c>
      <c r="Q20" s="156">
        <f>((s_EF_far_c*s_ED_far_c*s_IRE_far_c)+(s_EF_far_a*s_ED_far_a*s_IRE_far_a))</f>
        <v>5500</v>
      </c>
      <c r="R20" s="159" t="s">
        <v>226</v>
      </c>
    </row>
    <row r="21" spans="1:21" ht="18" x14ac:dyDescent="0.25">
      <c r="A21" s="140" t="s">
        <v>271</v>
      </c>
      <c r="B21" s="154">
        <v>5</v>
      </c>
      <c r="C21" s="140" t="s">
        <v>205</v>
      </c>
      <c r="D21" s="136" t="s">
        <v>923</v>
      </c>
      <c r="E21" s="144">
        <v>2</v>
      </c>
      <c r="F21" s="131" t="s">
        <v>61</v>
      </c>
      <c r="G21" s="140" t="s">
        <v>1023</v>
      </c>
      <c r="H21" s="129">
        <v>5</v>
      </c>
      <c r="I21" s="162" t="s">
        <v>62</v>
      </c>
      <c r="J21" s="140" t="s">
        <v>1061</v>
      </c>
      <c r="K21" s="129">
        <v>5</v>
      </c>
      <c r="L21" s="133" t="s">
        <v>62</v>
      </c>
      <c r="M21" s="159" t="s">
        <v>776</v>
      </c>
      <c r="N21" s="129">
        <v>0.5</v>
      </c>
      <c r="P21" s="133" t="s">
        <v>299</v>
      </c>
      <c r="Q21" s="129">
        <v>55</v>
      </c>
      <c r="R21" s="133" t="s">
        <v>59</v>
      </c>
    </row>
    <row r="22" spans="1:21" ht="18" x14ac:dyDescent="0.25">
      <c r="A22" s="140" t="s">
        <v>906</v>
      </c>
      <c r="B22" s="154">
        <v>0.5</v>
      </c>
      <c r="C22" s="140" t="s">
        <v>204</v>
      </c>
      <c r="D22" s="136" t="s">
        <v>924</v>
      </c>
      <c r="E22" s="129">
        <v>5</v>
      </c>
      <c r="F22" s="140" t="s">
        <v>62</v>
      </c>
      <c r="G22" s="140" t="s">
        <v>1024</v>
      </c>
      <c r="H22" s="144">
        <v>5</v>
      </c>
      <c r="I22" s="162" t="s">
        <v>62</v>
      </c>
      <c r="J22" s="151" t="s">
        <v>1062</v>
      </c>
      <c r="K22" s="129">
        <v>2</v>
      </c>
      <c r="L22" s="159" t="s">
        <v>128</v>
      </c>
      <c r="M22" s="159" t="s">
        <v>777</v>
      </c>
      <c r="N22" s="129">
        <v>0.5</v>
      </c>
      <c r="P22" s="133" t="s">
        <v>300</v>
      </c>
      <c r="Q22" s="129">
        <v>55</v>
      </c>
      <c r="R22" s="133" t="s">
        <v>59</v>
      </c>
    </row>
    <row r="23" spans="1:21" ht="18" x14ac:dyDescent="0.25">
      <c r="A23" s="140" t="s">
        <v>905</v>
      </c>
      <c r="B23" s="154">
        <v>5</v>
      </c>
      <c r="C23" s="140" t="s">
        <v>206</v>
      </c>
      <c r="D23" s="136" t="s">
        <v>925</v>
      </c>
      <c r="E23" s="129">
        <v>5</v>
      </c>
      <c r="F23" s="140" t="s">
        <v>62</v>
      </c>
      <c r="G23" s="140" t="s">
        <v>1025</v>
      </c>
      <c r="H23" s="144">
        <v>5</v>
      </c>
      <c r="I23" s="162" t="s">
        <v>62</v>
      </c>
      <c r="J23" s="151" t="s">
        <v>1063</v>
      </c>
      <c r="K23" s="129">
        <v>2</v>
      </c>
      <c r="L23" s="159" t="s">
        <v>128</v>
      </c>
      <c r="M23" s="159" t="s">
        <v>778</v>
      </c>
      <c r="N23" s="129">
        <v>0.5</v>
      </c>
      <c r="P23" s="140" t="s">
        <v>301</v>
      </c>
      <c r="Q23" s="156">
        <f>((s_EF_far_c*s_ED_far_c*s_IRP_far_c)+(s_EF_far_a*s_ED_far_a*s_IRP_far_a))</f>
        <v>5500</v>
      </c>
    </row>
    <row r="24" spans="1:21" ht="18" x14ac:dyDescent="0.25">
      <c r="A24" s="140" t="s">
        <v>272</v>
      </c>
      <c r="B24" s="154">
        <v>5</v>
      </c>
      <c r="C24" s="140" t="s">
        <v>206</v>
      </c>
      <c r="D24" s="136" t="s">
        <v>926</v>
      </c>
      <c r="E24" s="129">
        <v>5</v>
      </c>
      <c r="F24" s="140" t="s">
        <v>62</v>
      </c>
      <c r="G24" s="151" t="s">
        <v>1026</v>
      </c>
      <c r="H24" s="144">
        <v>2</v>
      </c>
      <c r="I24" s="133" t="s">
        <v>61</v>
      </c>
      <c r="J24" s="133" t="s">
        <v>1064</v>
      </c>
      <c r="K24" s="129">
        <v>10</v>
      </c>
      <c r="L24" s="133" t="s">
        <v>62</v>
      </c>
      <c r="M24" s="159" t="s">
        <v>779</v>
      </c>
      <c r="N24" s="129">
        <v>0.5</v>
      </c>
      <c r="P24" s="133" t="s">
        <v>296</v>
      </c>
      <c r="Q24" s="129">
        <v>55</v>
      </c>
      <c r="R24" s="159" t="s">
        <v>59</v>
      </c>
    </row>
    <row r="25" spans="1:21" ht="18" x14ac:dyDescent="0.25">
      <c r="A25" s="140" t="s">
        <v>273</v>
      </c>
      <c r="B25" s="154">
        <v>5</v>
      </c>
      <c r="C25" s="140" t="s">
        <v>206</v>
      </c>
      <c r="D25" s="136" t="s">
        <v>927</v>
      </c>
      <c r="E25" s="144">
        <v>2</v>
      </c>
      <c r="F25" s="131" t="s">
        <v>63</v>
      </c>
      <c r="G25" s="151" t="s">
        <v>1027</v>
      </c>
      <c r="H25" s="144">
        <v>2</v>
      </c>
      <c r="I25" s="133" t="s">
        <v>61</v>
      </c>
      <c r="J25" s="133" t="s">
        <v>1065</v>
      </c>
      <c r="K25" s="129">
        <v>5</v>
      </c>
      <c r="L25" s="133" t="s">
        <v>62</v>
      </c>
      <c r="M25" s="159" t="s">
        <v>780</v>
      </c>
      <c r="N25" s="129">
        <v>0.5</v>
      </c>
      <c r="P25" s="133" t="s">
        <v>297</v>
      </c>
      <c r="Q25" s="129">
        <v>55</v>
      </c>
      <c r="R25" s="159" t="s">
        <v>59</v>
      </c>
    </row>
    <row r="26" spans="1:21" ht="18" x14ac:dyDescent="0.25">
      <c r="A26" s="140" t="s">
        <v>383</v>
      </c>
      <c r="B26" s="163">
        <f>((0.0112*((s_L_s2gw)^2))^0.5)+(s_d_a*(1-EXP((-s_L_s2gw*s_ls2gw)/(s_K_s2gw*s_i_s2gw*s_d_a))))</f>
        <v>0.62815689567914179</v>
      </c>
      <c r="D26" s="136" t="s">
        <v>928</v>
      </c>
      <c r="E26" s="144">
        <v>2</v>
      </c>
      <c r="F26" s="131" t="s">
        <v>63</v>
      </c>
      <c r="G26" s="151" t="s">
        <v>1028</v>
      </c>
      <c r="H26" s="144">
        <v>2</v>
      </c>
      <c r="I26" s="162" t="s">
        <v>63</v>
      </c>
      <c r="J26" s="151" t="s">
        <v>1066</v>
      </c>
      <c r="K26" s="129">
        <v>2</v>
      </c>
      <c r="L26" s="159" t="s">
        <v>129</v>
      </c>
      <c r="M26" s="151" t="s">
        <v>781</v>
      </c>
      <c r="N26" s="129">
        <v>55</v>
      </c>
      <c r="O26" s="159" t="s">
        <v>59</v>
      </c>
      <c r="P26" s="140" t="s">
        <v>298</v>
      </c>
      <c r="Q26" s="156">
        <f>((s_EF_far_c*s_ED_far_c*s_IRFI_far_c)+(s_EF_far_a*s_ED_far_a*s_IRFI_far_a))</f>
        <v>5500</v>
      </c>
      <c r="R26" s="159" t="s">
        <v>226</v>
      </c>
    </row>
    <row r="27" spans="1:21" ht="18.75" x14ac:dyDescent="0.25">
      <c r="A27" s="134" t="s">
        <v>274</v>
      </c>
      <c r="B27" s="155">
        <f>s_Q_C_wind*((3600)/(B37*(1-s_V)*((s_Um/s_Ut)^3)*s_F_x))</f>
        <v>309803863.81386524</v>
      </c>
      <c r="C27" s="134" t="s">
        <v>218</v>
      </c>
      <c r="D27" s="136" t="s">
        <v>929</v>
      </c>
      <c r="E27" s="129">
        <v>5</v>
      </c>
      <c r="F27" s="133" t="s">
        <v>62</v>
      </c>
      <c r="G27" s="151" t="s">
        <v>1029</v>
      </c>
      <c r="H27" s="144">
        <v>2</v>
      </c>
      <c r="I27" s="162" t="s">
        <v>63</v>
      </c>
      <c r="J27" s="151" t="s">
        <v>1067</v>
      </c>
      <c r="K27" s="129">
        <v>2</v>
      </c>
      <c r="L27" s="159" t="s">
        <v>129</v>
      </c>
      <c r="M27" s="151" t="s">
        <v>782</v>
      </c>
      <c r="N27" s="129">
        <v>55</v>
      </c>
      <c r="O27" s="159" t="s">
        <v>59</v>
      </c>
      <c r="P27" s="133" t="s">
        <v>302</v>
      </c>
      <c r="Q27" s="129">
        <v>55</v>
      </c>
      <c r="R27" s="133" t="s">
        <v>59</v>
      </c>
    </row>
    <row r="28" spans="1:21" ht="18" x14ac:dyDescent="0.25">
      <c r="A28" s="135" t="s">
        <v>275</v>
      </c>
      <c r="B28" s="126">
        <v>5</v>
      </c>
      <c r="C28" s="136" t="s">
        <v>220</v>
      </c>
      <c r="D28" s="136" t="s">
        <v>930</v>
      </c>
      <c r="E28" s="129">
        <v>10</v>
      </c>
      <c r="F28" s="133" t="s">
        <v>62</v>
      </c>
      <c r="G28" s="133" t="s">
        <v>1030</v>
      </c>
      <c r="H28" s="129">
        <v>2</v>
      </c>
      <c r="I28" s="133" t="s">
        <v>101</v>
      </c>
      <c r="J28" s="133" t="s">
        <v>1068</v>
      </c>
      <c r="K28" s="129">
        <v>0.4</v>
      </c>
      <c r="L28" s="133"/>
      <c r="M28" s="140" t="s">
        <v>783</v>
      </c>
      <c r="N28" s="156">
        <f>((s_EF_far_c*s_ED_far_c*s_IRAP_far_c)+(s_EF_far_a*s_ED_far_a*s_IRAP_far_a))</f>
        <v>5500</v>
      </c>
      <c r="O28" s="159" t="s">
        <v>226</v>
      </c>
      <c r="P28" s="133" t="s">
        <v>303</v>
      </c>
      <c r="Q28" s="129">
        <v>55</v>
      </c>
      <c r="R28" s="133" t="s">
        <v>59</v>
      </c>
      <c r="U28" s="164"/>
    </row>
    <row r="29" spans="1:21" ht="18" x14ac:dyDescent="0.25">
      <c r="A29" s="135" t="s">
        <v>276</v>
      </c>
      <c r="B29" s="126">
        <v>11.32</v>
      </c>
      <c r="C29" s="136" t="s">
        <v>220</v>
      </c>
      <c r="D29" s="136" t="s">
        <v>931</v>
      </c>
      <c r="E29" s="129">
        <v>0.5</v>
      </c>
      <c r="G29" s="133" t="s">
        <v>1031</v>
      </c>
      <c r="H29" s="129">
        <v>2</v>
      </c>
      <c r="I29" s="133" t="s">
        <v>101</v>
      </c>
      <c r="L29" s="133"/>
      <c r="M29" s="151" t="s">
        <v>784</v>
      </c>
      <c r="N29" s="129">
        <v>55</v>
      </c>
      <c r="O29" s="159" t="s">
        <v>59</v>
      </c>
      <c r="P29" s="140" t="s">
        <v>304</v>
      </c>
      <c r="Q29" s="156">
        <f>((s_EF_far_c*s_ED_far_c*s_IRSW_far_c)+(s_EF_far_a*s_ED_far_a*s_IRSW_far_a))</f>
        <v>5500</v>
      </c>
      <c r="R29" s="159" t="s">
        <v>226</v>
      </c>
      <c r="U29" s="164"/>
    </row>
    <row r="30" spans="1:21" ht="18" x14ac:dyDescent="0.25">
      <c r="A30" s="138" t="s">
        <v>277</v>
      </c>
      <c r="B30" s="156">
        <f>IFERROR(IF(s_x&lt;2,1.91207-(0.0278085*s_x)+(0.48113*(s_x^2))-(1.0987*(s_x^3))+(0.335341*(s_x^4)),0.18*((8*(s_x^3))+(12*s_x))*(EXP(-(s_x^2)))),".")</f>
        <v>0.28539705786106906</v>
      </c>
      <c r="C30" s="139" t="s">
        <v>102</v>
      </c>
      <c r="D30" s="137" t="s">
        <v>932</v>
      </c>
      <c r="E30" s="129">
        <v>55</v>
      </c>
      <c r="F30" s="159" t="s">
        <v>59</v>
      </c>
      <c r="G30" s="133" t="s">
        <v>1032</v>
      </c>
      <c r="H30" s="129">
        <v>2</v>
      </c>
      <c r="I30" s="133" t="s">
        <v>102</v>
      </c>
      <c r="L30" s="133"/>
      <c r="M30" s="151" t="s">
        <v>785</v>
      </c>
      <c r="N30" s="129">
        <v>55</v>
      </c>
      <c r="O30" s="159" t="s">
        <v>59</v>
      </c>
      <c r="P30" s="151" t="s">
        <v>1114</v>
      </c>
      <c r="Q30" s="129">
        <v>55</v>
      </c>
      <c r="R30" s="159" t="s">
        <v>59</v>
      </c>
    </row>
    <row r="31" spans="1:21" ht="18" x14ac:dyDescent="0.25">
      <c r="A31" s="138" t="s">
        <v>278</v>
      </c>
      <c r="B31" s="127">
        <v>0.25</v>
      </c>
      <c r="C31" s="139"/>
      <c r="D31" s="137" t="s">
        <v>933</v>
      </c>
      <c r="E31" s="129">
        <v>55</v>
      </c>
      <c r="F31" s="159" t="s">
        <v>59</v>
      </c>
      <c r="G31" s="133" t="s">
        <v>1033</v>
      </c>
      <c r="H31" s="129">
        <v>2</v>
      </c>
      <c r="I31" s="133" t="s">
        <v>102</v>
      </c>
      <c r="L31" s="133"/>
      <c r="M31" s="140" t="s">
        <v>786</v>
      </c>
      <c r="N31" s="156">
        <f>((s_EF_far_c*s_ED_far_c*s_IRAS_far_c)+(s_EF_far_a*s_ED_far_a*s_IRAS_far_a))</f>
        <v>5500</v>
      </c>
      <c r="O31" s="159" t="s">
        <v>226</v>
      </c>
      <c r="P31" s="151" t="s">
        <v>1115</v>
      </c>
      <c r="Q31" s="129">
        <v>55</v>
      </c>
      <c r="R31" s="159" t="s">
        <v>59</v>
      </c>
    </row>
    <row r="32" spans="1:21" ht="18" x14ac:dyDescent="0.25">
      <c r="A32" s="140" t="s">
        <v>279</v>
      </c>
      <c r="B32" s="157">
        <f>s_A_wind*EXP((((LN(s_As))-s_B_wind)^2)/s_C_wind)</f>
        <v>57.143694778447667</v>
      </c>
      <c r="C32" s="139"/>
      <c r="D32" s="137" t="s">
        <v>934</v>
      </c>
      <c r="E32" s="157">
        <f>((s_EF_res_c*s_ED_res_c*s_IRAP_res_c)+(s_EF_res_a*s_ED_res_a*s_IRAP_res_a))</f>
        <v>5500</v>
      </c>
      <c r="F32" s="159" t="s">
        <v>226</v>
      </c>
      <c r="G32" s="133" t="s">
        <v>1034</v>
      </c>
      <c r="H32" s="129">
        <v>2</v>
      </c>
      <c r="I32" s="133" t="s">
        <v>58</v>
      </c>
      <c r="L32" s="133"/>
      <c r="M32" s="151" t="s">
        <v>787</v>
      </c>
      <c r="N32" s="129">
        <v>55</v>
      </c>
      <c r="O32" s="159" t="s">
        <v>59</v>
      </c>
      <c r="P32" s="140" t="s">
        <v>1116</v>
      </c>
      <c r="Q32" s="156">
        <f>((s_EF_far_c*s_ED_far_c*s_IRSH_far_c)+(s_EF_far_a*s_ED_far_a*s_IRSH_far_a))</f>
        <v>5500</v>
      </c>
      <c r="R32" s="159" t="s">
        <v>226</v>
      </c>
    </row>
    <row r="33" spans="1:18" ht="18" x14ac:dyDescent="0.25">
      <c r="A33" s="141" t="s">
        <v>280</v>
      </c>
      <c r="B33" s="127">
        <v>5</v>
      </c>
      <c r="C33" s="139" t="s">
        <v>225</v>
      </c>
      <c r="D33" s="137" t="s">
        <v>935</v>
      </c>
      <c r="E33" s="129">
        <v>55</v>
      </c>
      <c r="F33" s="159" t="s">
        <v>59</v>
      </c>
      <c r="G33" s="133" t="s">
        <v>1035</v>
      </c>
      <c r="H33" s="129">
        <v>2</v>
      </c>
      <c r="I33" s="133" t="s">
        <v>101</v>
      </c>
      <c r="L33" s="133"/>
      <c r="M33" s="151" t="s">
        <v>788</v>
      </c>
      <c r="N33" s="129">
        <v>55</v>
      </c>
      <c r="O33" s="159" t="s">
        <v>59</v>
      </c>
      <c r="P33" s="151" t="s">
        <v>880</v>
      </c>
      <c r="Q33" s="129">
        <v>55</v>
      </c>
      <c r="R33" s="159" t="s">
        <v>59</v>
      </c>
    </row>
    <row r="34" spans="1:18" ht="18" x14ac:dyDescent="0.25">
      <c r="A34" s="140" t="s">
        <v>281</v>
      </c>
      <c r="B34" s="128">
        <v>15.0235</v>
      </c>
      <c r="C34" s="139"/>
      <c r="D34" s="137" t="s">
        <v>936</v>
      </c>
      <c r="E34" s="129">
        <v>55</v>
      </c>
      <c r="F34" s="159" t="s">
        <v>59</v>
      </c>
      <c r="G34" s="133" t="s">
        <v>1036</v>
      </c>
      <c r="H34" s="129">
        <v>2</v>
      </c>
      <c r="I34" s="133" t="s">
        <v>101</v>
      </c>
      <c r="L34" s="133"/>
      <c r="M34" s="140" t="s">
        <v>789</v>
      </c>
      <c r="N34" s="156">
        <f>((s_EF_far_c*s_ED_far_c*s_IRBT_far_c)+(s_EF_far_a*s_ED_far_a*s_IRBT_far_a))</f>
        <v>5500</v>
      </c>
      <c r="O34" s="159" t="s">
        <v>226</v>
      </c>
      <c r="P34" s="151" t="s">
        <v>881</v>
      </c>
      <c r="Q34" s="129">
        <v>55</v>
      </c>
      <c r="R34" s="159" t="s">
        <v>59</v>
      </c>
    </row>
    <row r="35" spans="1:18" ht="18" x14ac:dyDescent="0.25">
      <c r="A35" s="140" t="s">
        <v>282</v>
      </c>
      <c r="B35" s="128">
        <v>18.252600000000001</v>
      </c>
      <c r="C35" s="139"/>
      <c r="D35" s="137" t="s">
        <v>937</v>
      </c>
      <c r="E35" s="157">
        <f>((s_EF_res_c*s_ED_res_c*s_IRAS_res_c)+(s_EF_res_a*s_ED_res_a*s_IRAS_res_a))</f>
        <v>5500</v>
      </c>
      <c r="F35" s="159" t="s">
        <v>226</v>
      </c>
      <c r="G35" s="159" t="s">
        <v>1037</v>
      </c>
      <c r="H35" s="129">
        <v>2</v>
      </c>
      <c r="I35" s="133" t="s">
        <v>102</v>
      </c>
      <c r="M35" s="151" t="s">
        <v>790</v>
      </c>
      <c r="N35" s="129">
        <v>55</v>
      </c>
      <c r="O35" s="159" t="s">
        <v>59</v>
      </c>
      <c r="P35" s="140" t="s">
        <v>882</v>
      </c>
      <c r="Q35" s="156">
        <f>((s_EF_far_c*s_ED_far_c*s_IRGO_far_c)+(s_EF_far_a*s_ED_far_a*s_IRGO_far_a))</f>
        <v>5500</v>
      </c>
      <c r="R35" s="159" t="s">
        <v>226</v>
      </c>
    </row>
    <row r="36" spans="1:18" ht="18" x14ac:dyDescent="0.25">
      <c r="A36" s="140" t="s">
        <v>283</v>
      </c>
      <c r="B36" s="128">
        <v>207.33869999999999</v>
      </c>
      <c r="C36" s="139"/>
      <c r="D36" s="137" t="s">
        <v>938</v>
      </c>
      <c r="E36" s="129">
        <v>55</v>
      </c>
      <c r="F36" s="159" t="s">
        <v>59</v>
      </c>
      <c r="G36" s="133" t="s">
        <v>1038</v>
      </c>
      <c r="H36" s="129">
        <v>2</v>
      </c>
      <c r="I36" s="133" t="s">
        <v>102</v>
      </c>
      <c r="M36" s="151" t="s">
        <v>791</v>
      </c>
      <c r="N36" s="129">
        <v>55</v>
      </c>
      <c r="O36" s="159" t="s">
        <v>59</v>
      </c>
      <c r="P36" s="151" t="s">
        <v>883</v>
      </c>
      <c r="Q36" s="129">
        <v>55</v>
      </c>
      <c r="R36" s="159" t="s">
        <v>59</v>
      </c>
    </row>
    <row r="37" spans="1:18" ht="18" x14ac:dyDescent="0.25">
      <c r="A37" s="139"/>
      <c r="B37" s="127">
        <v>3.5999999999999997E-2</v>
      </c>
      <c r="C37" s="139"/>
      <c r="D37" s="137" t="s">
        <v>939</v>
      </c>
      <c r="E37" s="129">
        <v>55</v>
      </c>
      <c r="F37" s="159" t="s">
        <v>59</v>
      </c>
      <c r="G37" s="133" t="s">
        <v>1039</v>
      </c>
      <c r="H37" s="129">
        <v>2</v>
      </c>
      <c r="I37" s="133" t="s">
        <v>58</v>
      </c>
      <c r="M37" s="140" t="s">
        <v>792</v>
      </c>
      <c r="N37" s="156">
        <f>((s_EF_far_c*s_ED_far_c*s_IRBE_far_c)+(s_EF_far_a*s_ED_far_a*s_IRBE_far_a))</f>
        <v>5500</v>
      </c>
      <c r="O37" s="159" t="s">
        <v>226</v>
      </c>
      <c r="P37" s="151" t="s">
        <v>884</v>
      </c>
      <c r="Q37" s="129">
        <v>55</v>
      </c>
      <c r="R37" s="159" t="s">
        <v>59</v>
      </c>
    </row>
    <row r="38" spans="1:18" ht="18" x14ac:dyDescent="0.25">
      <c r="A38" s="140" t="s">
        <v>1069</v>
      </c>
      <c r="B38" s="129">
        <v>5</v>
      </c>
      <c r="C38" s="142"/>
      <c r="D38" s="137" t="s">
        <v>940</v>
      </c>
      <c r="E38" s="157">
        <f>((s_EF_res_c*s_ED_res_c*s_IRBT_res_c)+(s_EF_res_a*s_ED_res_a*s_IRBT_res_a))</f>
        <v>5500</v>
      </c>
      <c r="F38" s="159" t="s">
        <v>226</v>
      </c>
      <c r="G38" s="133" t="s">
        <v>1040</v>
      </c>
      <c r="H38" s="129">
        <v>1</v>
      </c>
      <c r="M38" s="151" t="s">
        <v>793</v>
      </c>
      <c r="N38" s="129">
        <v>55</v>
      </c>
      <c r="O38" s="159" t="s">
        <v>59</v>
      </c>
      <c r="P38" s="140" t="s">
        <v>885</v>
      </c>
      <c r="Q38" s="156">
        <f>((s_EF_far_c*s_ED_far_c*s_IRSM_far_c)+(s_EF_far_a*s_ED_far_a*s_IRSM_far_a))</f>
        <v>5500</v>
      </c>
      <c r="R38" s="159" t="s">
        <v>226</v>
      </c>
    </row>
    <row r="39" spans="1:18" ht="18" x14ac:dyDescent="0.25">
      <c r="A39" s="140" t="s">
        <v>1122</v>
      </c>
      <c r="B39" s="157">
        <f>0.886*(s_Ut/s_Um)</f>
        <v>2.0059040000000001</v>
      </c>
      <c r="C39" s="142"/>
      <c r="D39" s="137" t="s">
        <v>941</v>
      </c>
      <c r="E39" s="129">
        <v>55</v>
      </c>
      <c r="F39" s="159" t="s">
        <v>59</v>
      </c>
      <c r="G39" s="133" t="s">
        <v>1041</v>
      </c>
      <c r="H39" s="129">
        <v>1</v>
      </c>
      <c r="M39" s="151" t="s">
        <v>794</v>
      </c>
      <c r="N39" s="129">
        <v>55</v>
      </c>
      <c r="O39" s="159" t="s">
        <v>59</v>
      </c>
      <c r="P39" s="151" t="s">
        <v>886</v>
      </c>
      <c r="Q39" s="129">
        <v>55</v>
      </c>
      <c r="R39" s="159" t="s">
        <v>59</v>
      </c>
    </row>
    <row r="40" spans="1:18" ht="18" x14ac:dyDescent="0.25">
      <c r="A40" s="140" t="s">
        <v>1395</v>
      </c>
      <c r="B40" s="155">
        <f>1+((s_K_s2gw*s_i_s2gw*s_dm)/(s_L_s2gw*s_ls2gw))</f>
        <v>7.2815689567914177</v>
      </c>
      <c r="C40" s="142"/>
      <c r="D40" s="137" t="s">
        <v>942</v>
      </c>
      <c r="E40" s="129">
        <v>55</v>
      </c>
      <c r="F40" s="159" t="s">
        <v>59</v>
      </c>
      <c r="M40" s="140" t="s">
        <v>795</v>
      </c>
      <c r="N40" s="156">
        <f>((s_EF_far_c*s_ED_far_c*s_IRBR_far_c)+(s_EF_far_a*s_ED_far_a*s_IRBR_far_a))</f>
        <v>5500</v>
      </c>
      <c r="O40" s="159" t="s">
        <v>226</v>
      </c>
      <c r="P40" s="151" t="s">
        <v>887</v>
      </c>
      <c r="Q40" s="129">
        <v>55</v>
      </c>
      <c r="R40" s="159" t="s">
        <v>59</v>
      </c>
    </row>
    <row r="41" spans="1:18" ht="18" x14ac:dyDescent="0.25">
      <c r="D41" s="137" t="s">
        <v>943</v>
      </c>
      <c r="E41" s="157">
        <f>((s_EF_res_c*s_ED_res_c*s_IRBE_res_c)+(s_EF_res_a*s_ED_res_a*s_IRBE_res_a))</f>
        <v>5500</v>
      </c>
      <c r="F41" s="159" t="s">
        <v>226</v>
      </c>
      <c r="H41" s="144"/>
      <c r="I41" s="133"/>
      <c r="M41" s="151" t="s">
        <v>796</v>
      </c>
      <c r="N41" s="129">
        <v>55</v>
      </c>
      <c r="O41" s="159" t="s">
        <v>59</v>
      </c>
      <c r="P41" s="140" t="s">
        <v>888</v>
      </c>
      <c r="Q41" s="156">
        <f>((s_EF_far_c*s_ED_far_c*s_IRGM_far_c)+(s_EF_far_a*s_ED_far_a*s_IRGM_far_a))</f>
        <v>5500</v>
      </c>
      <c r="R41" s="159" t="s">
        <v>226</v>
      </c>
    </row>
    <row r="42" spans="1:18" ht="18" x14ac:dyDescent="0.25">
      <c r="D42" s="137" t="s">
        <v>944</v>
      </c>
      <c r="E42" s="129">
        <v>55</v>
      </c>
      <c r="F42" s="159" t="s">
        <v>59</v>
      </c>
      <c r="M42" s="151" t="s">
        <v>797</v>
      </c>
      <c r="N42" s="129">
        <v>55</v>
      </c>
      <c r="O42" s="159" t="s">
        <v>59</v>
      </c>
      <c r="P42" s="133" t="s">
        <v>311</v>
      </c>
      <c r="Q42" s="144">
        <v>5</v>
      </c>
      <c r="R42" s="133" t="s">
        <v>58</v>
      </c>
    </row>
    <row r="43" spans="1:18" ht="18" x14ac:dyDescent="0.25">
      <c r="A43" s="142"/>
      <c r="B43" s="143"/>
      <c r="C43" s="142"/>
      <c r="D43" s="137" t="s">
        <v>945</v>
      </c>
      <c r="E43" s="129">
        <v>55</v>
      </c>
      <c r="F43" s="159" t="s">
        <v>59</v>
      </c>
      <c r="M43" s="140" t="s">
        <v>798</v>
      </c>
      <c r="N43" s="156">
        <f>((s_EF_far_c*s_ED_far_c*s_IRCB_far_c)+(s_EF_far_a*s_ED_far_a*s_IRCB_far_a))</f>
        <v>5500</v>
      </c>
      <c r="O43" s="159" t="s">
        <v>226</v>
      </c>
      <c r="P43" s="133" t="s">
        <v>889</v>
      </c>
      <c r="Q43" s="128">
        <v>1.03</v>
      </c>
      <c r="R43" s="133" t="s">
        <v>140</v>
      </c>
    </row>
    <row r="44" spans="1:18" ht="18" x14ac:dyDescent="0.25">
      <c r="A44" s="142"/>
      <c r="B44" s="143"/>
      <c r="C44" s="142"/>
      <c r="D44" s="137" t="s">
        <v>946</v>
      </c>
      <c r="E44" s="157">
        <f>((s_EF_res_c*s_ED_res_c*s_IRBR_res_c)+(s_EF_res_a*s_ED_res_a*s_IRBR_res_a))</f>
        <v>5500</v>
      </c>
      <c r="F44" s="159" t="s">
        <v>226</v>
      </c>
      <c r="M44" s="151" t="s">
        <v>799</v>
      </c>
      <c r="N44" s="129">
        <v>55</v>
      </c>
      <c r="O44" s="159" t="s">
        <v>59</v>
      </c>
      <c r="P44" s="133" t="s">
        <v>312</v>
      </c>
      <c r="Q44" s="144">
        <v>5</v>
      </c>
      <c r="R44" s="133" t="s">
        <v>101</v>
      </c>
    </row>
    <row r="45" spans="1:18" ht="18" x14ac:dyDescent="0.25">
      <c r="A45" s="142"/>
      <c r="B45" s="143"/>
      <c r="C45" s="142"/>
      <c r="D45" s="137" t="s">
        <v>947</v>
      </c>
      <c r="E45" s="129">
        <v>55</v>
      </c>
      <c r="F45" s="159" t="s">
        <v>59</v>
      </c>
      <c r="M45" s="151" t="s">
        <v>800</v>
      </c>
      <c r="N45" s="129">
        <v>55</v>
      </c>
      <c r="O45" s="159" t="s">
        <v>59</v>
      </c>
      <c r="P45" s="133" t="s">
        <v>313</v>
      </c>
      <c r="Q45" s="144">
        <v>5</v>
      </c>
      <c r="R45" s="133" t="s">
        <v>101</v>
      </c>
    </row>
    <row r="46" spans="1:18" ht="18" x14ac:dyDescent="0.25">
      <c r="A46" s="142"/>
      <c r="B46" s="145"/>
      <c r="C46" s="142"/>
      <c r="D46" s="137" t="s">
        <v>948</v>
      </c>
      <c r="E46" s="129">
        <v>55</v>
      </c>
      <c r="F46" s="159" t="s">
        <v>59</v>
      </c>
      <c r="M46" s="140" t="s">
        <v>801</v>
      </c>
      <c r="N46" s="156">
        <f>((s_EF_far_c*s_ED_far_c*s_IRCR_far_c)+(s_EF_far_a*s_ED_far_a*s_IRCR_far_a))</f>
        <v>5500</v>
      </c>
      <c r="O46" s="159" t="s">
        <v>226</v>
      </c>
      <c r="P46" s="133" t="s">
        <v>314</v>
      </c>
      <c r="Q46" s="144">
        <v>5</v>
      </c>
      <c r="R46" s="133"/>
    </row>
    <row r="47" spans="1:18" ht="18" x14ac:dyDescent="0.25">
      <c r="A47" s="142"/>
      <c r="B47" s="143"/>
      <c r="C47" s="142"/>
      <c r="D47" s="137" t="s">
        <v>949</v>
      </c>
      <c r="E47" s="157">
        <f>((s_EF_res_c*s_ED_res_c*s_IRCB_res_c)+(s_EF_res_a*s_ED_res_a*s_IRCB_res_a))</f>
        <v>5500</v>
      </c>
      <c r="F47" s="159" t="s">
        <v>226</v>
      </c>
      <c r="M47" s="151" t="s">
        <v>802</v>
      </c>
      <c r="N47" s="129">
        <v>55</v>
      </c>
      <c r="O47" s="159" t="s">
        <v>59</v>
      </c>
      <c r="P47" s="133" t="s">
        <v>315</v>
      </c>
      <c r="Q47" s="144">
        <v>5</v>
      </c>
      <c r="R47" s="133"/>
    </row>
    <row r="48" spans="1:18" ht="18" x14ac:dyDescent="0.25">
      <c r="A48" s="142"/>
      <c r="B48" s="146"/>
      <c r="C48" s="142"/>
      <c r="D48" s="137" t="s">
        <v>950</v>
      </c>
      <c r="E48" s="129">
        <v>55</v>
      </c>
      <c r="F48" s="159" t="s">
        <v>59</v>
      </c>
      <c r="M48" s="151" t="s">
        <v>803</v>
      </c>
      <c r="N48" s="129">
        <v>55</v>
      </c>
      <c r="O48" s="159" t="s">
        <v>59</v>
      </c>
      <c r="P48" s="133" t="s">
        <v>316</v>
      </c>
      <c r="Q48" s="144">
        <v>5</v>
      </c>
      <c r="R48" s="133" t="s">
        <v>58</v>
      </c>
    </row>
    <row r="49" spans="1:18" ht="18" x14ac:dyDescent="0.25">
      <c r="A49" s="142"/>
      <c r="B49" s="143"/>
      <c r="C49" s="142"/>
      <c r="D49" s="137" t="s">
        <v>951</v>
      </c>
      <c r="E49" s="129">
        <v>55</v>
      </c>
      <c r="F49" s="159" t="s">
        <v>59</v>
      </c>
      <c r="M49" s="140" t="s">
        <v>804</v>
      </c>
      <c r="N49" s="156">
        <f>((s_EF_far_c*s_ED_far_c*s_IRCG_far_c)+(s_EF_far_a*s_ED_far_a*s_IRCG_far_a))</f>
        <v>5500</v>
      </c>
      <c r="O49" s="159" t="s">
        <v>226</v>
      </c>
      <c r="P49" s="133" t="s">
        <v>317</v>
      </c>
      <c r="Q49" s="144">
        <v>5</v>
      </c>
      <c r="R49" s="133" t="s">
        <v>101</v>
      </c>
    </row>
    <row r="50" spans="1:18" ht="18" x14ac:dyDescent="0.25">
      <c r="A50" s="142"/>
      <c r="B50" s="147"/>
      <c r="C50" s="142"/>
      <c r="D50" s="137" t="s">
        <v>952</v>
      </c>
      <c r="E50" s="157">
        <f>((s_EF_res_c*s_ED_res_c*s_IRCR_res_c)+(s_EF_res_a*s_ED_res_a*s_IRCR_res_a))</f>
        <v>5500</v>
      </c>
      <c r="F50" s="159" t="s">
        <v>226</v>
      </c>
      <c r="M50" s="151" t="s">
        <v>805</v>
      </c>
      <c r="N50" s="129">
        <v>55</v>
      </c>
      <c r="O50" s="159" t="s">
        <v>59</v>
      </c>
      <c r="P50" s="133" t="s">
        <v>318</v>
      </c>
      <c r="Q50" s="144">
        <v>5</v>
      </c>
      <c r="R50" s="133" t="s">
        <v>101</v>
      </c>
    </row>
    <row r="51" spans="1:18" ht="18" x14ac:dyDescent="0.25">
      <c r="A51" s="142"/>
      <c r="B51" s="148"/>
      <c r="C51" s="142"/>
      <c r="D51" s="137" t="s">
        <v>953</v>
      </c>
      <c r="E51" s="129">
        <v>55</v>
      </c>
      <c r="F51" s="159" t="s">
        <v>59</v>
      </c>
      <c r="M51" s="151" t="s">
        <v>806</v>
      </c>
      <c r="N51" s="129">
        <v>55</v>
      </c>
      <c r="O51" s="159" t="s">
        <v>59</v>
      </c>
      <c r="P51" s="133" t="s">
        <v>319</v>
      </c>
      <c r="Q51" s="144">
        <v>5</v>
      </c>
      <c r="R51" s="133"/>
    </row>
    <row r="52" spans="1:18" ht="18" x14ac:dyDescent="0.25">
      <c r="A52" s="142"/>
      <c r="B52" s="148"/>
      <c r="C52" s="142"/>
      <c r="D52" s="137" t="s">
        <v>954</v>
      </c>
      <c r="E52" s="129">
        <v>55</v>
      </c>
      <c r="F52" s="159" t="s">
        <v>59</v>
      </c>
      <c r="M52" s="140" t="s">
        <v>807</v>
      </c>
      <c r="N52" s="156">
        <f>((s_EF_far_c*s_ED_far_c*s_IRCI_far_c)+(s_EF_far_a*s_ED_far_a*s_IRCI_far_a))</f>
        <v>5500</v>
      </c>
      <c r="O52" s="159" t="s">
        <v>226</v>
      </c>
      <c r="P52" s="133" t="s">
        <v>320</v>
      </c>
      <c r="Q52" s="144">
        <v>5</v>
      </c>
      <c r="R52" s="133"/>
    </row>
    <row r="53" spans="1:18" ht="18" x14ac:dyDescent="0.25">
      <c r="A53" s="142"/>
      <c r="B53" s="148"/>
      <c r="C53" s="142"/>
      <c r="D53" s="137" t="s">
        <v>955</v>
      </c>
      <c r="E53" s="157">
        <f>((s_EF_res_c*s_ED_res_c*s_IRCG_res_c)+(s_EF_res_a*s_ED_res_a*s_IRCG_res_a))</f>
        <v>5500</v>
      </c>
      <c r="F53" s="159" t="s">
        <v>226</v>
      </c>
      <c r="M53" s="151" t="s">
        <v>808</v>
      </c>
      <c r="N53" s="129">
        <v>55</v>
      </c>
      <c r="O53" s="159" t="s">
        <v>59</v>
      </c>
      <c r="P53" s="133" t="s">
        <v>321</v>
      </c>
      <c r="Q53" s="144">
        <v>5</v>
      </c>
      <c r="R53" s="133" t="s">
        <v>58</v>
      </c>
    </row>
    <row r="54" spans="1:18" ht="18" x14ac:dyDescent="0.25">
      <c r="A54" s="142"/>
      <c r="B54" s="148"/>
      <c r="C54" s="142"/>
      <c r="D54" s="137" t="s">
        <v>956</v>
      </c>
      <c r="E54" s="129">
        <v>55</v>
      </c>
      <c r="F54" s="159" t="s">
        <v>59</v>
      </c>
      <c r="M54" s="151" t="s">
        <v>809</v>
      </c>
      <c r="N54" s="129">
        <v>55</v>
      </c>
      <c r="O54" s="159" t="s">
        <v>59</v>
      </c>
      <c r="P54" s="133" t="s">
        <v>322</v>
      </c>
      <c r="Q54" s="144">
        <v>5</v>
      </c>
      <c r="R54" s="133" t="s">
        <v>101</v>
      </c>
    </row>
    <row r="55" spans="1:18" ht="18" x14ac:dyDescent="0.25">
      <c r="A55" s="142"/>
      <c r="B55" s="147"/>
      <c r="C55" s="142"/>
      <c r="D55" s="137" t="s">
        <v>957</v>
      </c>
      <c r="E55" s="129">
        <v>55</v>
      </c>
      <c r="F55" s="159" t="s">
        <v>59</v>
      </c>
      <c r="M55" s="140" t="s">
        <v>810</v>
      </c>
      <c r="N55" s="156">
        <f>((s_EF_far_c*s_ED_far_c*s_IRCO_far_c)+(s_EF_far_a*s_ED_far_a*s_IRCO_far_a))</f>
        <v>5500</v>
      </c>
      <c r="O55" s="159" t="s">
        <v>226</v>
      </c>
      <c r="P55" s="133" t="s">
        <v>323</v>
      </c>
      <c r="Q55" s="144">
        <v>5</v>
      </c>
      <c r="R55" s="133" t="s">
        <v>101</v>
      </c>
    </row>
    <row r="56" spans="1:18" ht="18" x14ac:dyDescent="0.25">
      <c r="A56" s="142"/>
      <c r="B56" s="147"/>
      <c r="C56" s="142"/>
      <c r="D56" s="137" t="s">
        <v>958</v>
      </c>
      <c r="E56" s="157">
        <f>((s_EF_res_c*s_ED_res_c*s_IRCI_res_c)+(s_EF_res_a*s_ED_res_a*s_IRCI_res_a))</f>
        <v>5500</v>
      </c>
      <c r="F56" s="159" t="s">
        <v>226</v>
      </c>
      <c r="M56" s="151" t="s">
        <v>811</v>
      </c>
      <c r="N56" s="129">
        <v>55</v>
      </c>
      <c r="O56" s="159" t="s">
        <v>59</v>
      </c>
      <c r="P56" s="133" t="s">
        <v>324</v>
      </c>
      <c r="Q56" s="144">
        <v>5</v>
      </c>
      <c r="R56" s="133"/>
    </row>
    <row r="57" spans="1:18" ht="18" x14ac:dyDescent="0.25">
      <c r="A57" s="142"/>
      <c r="B57" s="149"/>
      <c r="C57" s="142"/>
      <c r="D57" s="137" t="s">
        <v>959</v>
      </c>
      <c r="E57" s="129">
        <v>55</v>
      </c>
      <c r="F57" s="159" t="s">
        <v>59</v>
      </c>
      <c r="M57" s="151" t="s">
        <v>812</v>
      </c>
      <c r="N57" s="129">
        <v>55</v>
      </c>
      <c r="O57" s="159" t="s">
        <v>59</v>
      </c>
      <c r="P57" s="133" t="s">
        <v>325</v>
      </c>
      <c r="Q57" s="144">
        <v>5</v>
      </c>
      <c r="R57" s="133"/>
    </row>
    <row r="58" spans="1:18" ht="18" x14ac:dyDescent="0.25">
      <c r="A58" s="142"/>
      <c r="B58" s="149"/>
      <c r="C58" s="142"/>
      <c r="D58" s="137" t="s">
        <v>960</v>
      </c>
      <c r="E58" s="129">
        <v>55</v>
      </c>
      <c r="F58" s="159" t="s">
        <v>59</v>
      </c>
      <c r="M58" s="140" t="s">
        <v>813</v>
      </c>
      <c r="N58" s="156">
        <f>((s_EF_far_c*s_ED_far_c*s_IRCU_far_c)+(s_EF_far_a*s_ED_far_a*s_IRCU_far_a))</f>
        <v>5500</v>
      </c>
      <c r="O58" s="159" t="s">
        <v>226</v>
      </c>
      <c r="P58" s="133" t="s">
        <v>326</v>
      </c>
      <c r="Q58" s="144">
        <v>5</v>
      </c>
      <c r="R58" s="133" t="s">
        <v>58</v>
      </c>
    </row>
    <row r="59" spans="1:18" ht="18" x14ac:dyDescent="0.25">
      <c r="A59" s="142"/>
      <c r="B59" s="148"/>
      <c r="C59" s="142"/>
      <c r="D59" s="137" t="s">
        <v>961</v>
      </c>
      <c r="E59" s="157">
        <f>((s_EF_res_c*s_ED_res_c*s_IRCO_res_c)+(s_EF_res_a*s_ED_res_a*s_IRCO_res_a))</f>
        <v>5500</v>
      </c>
      <c r="F59" s="159" t="s">
        <v>226</v>
      </c>
      <c r="M59" s="151" t="s">
        <v>814</v>
      </c>
      <c r="N59" s="129">
        <v>55</v>
      </c>
      <c r="O59" s="159" t="s">
        <v>59</v>
      </c>
      <c r="P59" s="133" t="s">
        <v>327</v>
      </c>
      <c r="Q59" s="144">
        <v>5</v>
      </c>
      <c r="R59" s="133" t="s">
        <v>101</v>
      </c>
    </row>
    <row r="60" spans="1:18" ht="18" x14ac:dyDescent="0.25">
      <c r="A60" s="142"/>
      <c r="B60" s="150"/>
      <c r="C60" s="142"/>
      <c r="D60" s="137" t="s">
        <v>962</v>
      </c>
      <c r="E60" s="129">
        <v>55</v>
      </c>
      <c r="F60" s="159" t="s">
        <v>59</v>
      </c>
      <c r="M60" s="151" t="s">
        <v>815</v>
      </c>
      <c r="N60" s="129">
        <v>55</v>
      </c>
      <c r="O60" s="159" t="s">
        <v>59</v>
      </c>
      <c r="P60" s="133" t="s">
        <v>328</v>
      </c>
      <c r="Q60" s="144">
        <v>5</v>
      </c>
      <c r="R60" s="133" t="s">
        <v>101</v>
      </c>
    </row>
    <row r="61" spans="1:18" ht="18" x14ac:dyDescent="0.25">
      <c r="A61" s="142"/>
      <c r="B61" s="150"/>
      <c r="C61" s="142"/>
      <c r="D61" s="137" t="s">
        <v>963</v>
      </c>
      <c r="E61" s="129">
        <v>55</v>
      </c>
      <c r="F61" s="159" t="s">
        <v>59</v>
      </c>
      <c r="M61" s="140" t="s">
        <v>816</v>
      </c>
      <c r="N61" s="156">
        <f>((s_EF_far_c*s_ED_far_c*s_IRLE_far_c)+(s_EF_far_a*s_ED_far_a*s_IRLE_far_a))</f>
        <v>5500</v>
      </c>
      <c r="O61" s="159" t="s">
        <v>226</v>
      </c>
      <c r="P61" s="133" t="s">
        <v>329</v>
      </c>
      <c r="Q61" s="144">
        <v>5</v>
      </c>
      <c r="R61" s="133"/>
    </row>
    <row r="62" spans="1:18" ht="18" x14ac:dyDescent="0.25">
      <c r="A62" s="142"/>
      <c r="B62" s="150"/>
      <c r="C62" s="142"/>
      <c r="D62" s="137" t="s">
        <v>964</v>
      </c>
      <c r="E62" s="157">
        <f>((s_EF_res_c*s_ED_res_c*s_IRCU_res_c)+(s_EF_res_a*s_ED_res_a*s_IRCU_res_a))</f>
        <v>5500</v>
      </c>
      <c r="F62" s="159" t="s">
        <v>226</v>
      </c>
      <c r="M62" s="151" t="s">
        <v>817</v>
      </c>
      <c r="N62" s="129">
        <v>55</v>
      </c>
      <c r="O62" s="159" t="s">
        <v>59</v>
      </c>
      <c r="P62" s="133" t="s">
        <v>330</v>
      </c>
      <c r="Q62" s="144">
        <v>5</v>
      </c>
      <c r="R62" s="133"/>
    </row>
    <row r="63" spans="1:18" ht="18" x14ac:dyDescent="0.25">
      <c r="A63" s="142"/>
      <c r="B63" s="148"/>
      <c r="C63" s="142"/>
      <c r="D63" s="137" t="s">
        <v>965</v>
      </c>
      <c r="E63" s="129">
        <v>55</v>
      </c>
      <c r="F63" s="159" t="s">
        <v>59</v>
      </c>
      <c r="M63" s="151" t="s">
        <v>818</v>
      </c>
      <c r="N63" s="129">
        <v>55</v>
      </c>
      <c r="O63" s="159" t="s">
        <v>59</v>
      </c>
      <c r="P63" s="133" t="s">
        <v>331</v>
      </c>
      <c r="Q63" s="144">
        <v>5</v>
      </c>
      <c r="R63" s="133" t="s">
        <v>58</v>
      </c>
    </row>
    <row r="64" spans="1:18" ht="18" x14ac:dyDescent="0.25">
      <c r="A64" s="142"/>
      <c r="B64" s="148"/>
      <c r="C64" s="142"/>
      <c r="D64" s="137" t="s">
        <v>966</v>
      </c>
      <c r="E64" s="129">
        <v>55</v>
      </c>
      <c r="F64" s="159" t="s">
        <v>59</v>
      </c>
      <c r="M64" s="140" t="s">
        <v>819</v>
      </c>
      <c r="N64" s="156">
        <f>((s_EF_far_c*s_ED_far_c*s_IRLI_far_c)+(s_EF_far_a*s_ED_far_a*s_IRLI_far_a))</f>
        <v>5500</v>
      </c>
      <c r="O64" s="159" t="s">
        <v>226</v>
      </c>
      <c r="P64" s="133" t="s">
        <v>332</v>
      </c>
      <c r="Q64" s="144">
        <v>5</v>
      </c>
      <c r="R64" s="133" t="s">
        <v>101</v>
      </c>
    </row>
    <row r="65" spans="1:18" ht="18" x14ac:dyDescent="0.25">
      <c r="A65" s="142"/>
      <c r="B65" s="148"/>
      <c r="C65" s="142"/>
      <c r="D65" s="137" t="s">
        <v>967</v>
      </c>
      <c r="E65" s="157">
        <f>((s_EF_res_c*s_ED_res_c*s_IRLE_res_c)+(s_EF_res_a*s_ED_res_a*s_IRLE_res_a))</f>
        <v>5500</v>
      </c>
      <c r="F65" s="159" t="s">
        <v>226</v>
      </c>
      <c r="M65" s="151" t="s">
        <v>820</v>
      </c>
      <c r="N65" s="129">
        <v>55</v>
      </c>
      <c r="O65" s="159" t="s">
        <v>59</v>
      </c>
      <c r="P65" s="133" t="s">
        <v>333</v>
      </c>
      <c r="Q65" s="144">
        <v>5</v>
      </c>
      <c r="R65" s="133" t="s">
        <v>101</v>
      </c>
    </row>
    <row r="66" spans="1:18" ht="18" x14ac:dyDescent="0.25">
      <c r="A66" s="142"/>
      <c r="B66" s="148"/>
      <c r="C66" s="142"/>
      <c r="D66" s="137" t="s">
        <v>968</v>
      </c>
      <c r="E66" s="129">
        <v>55</v>
      </c>
      <c r="F66" s="159" t="s">
        <v>59</v>
      </c>
      <c r="M66" s="151" t="s">
        <v>821</v>
      </c>
      <c r="N66" s="129">
        <v>55</v>
      </c>
      <c r="O66" s="159" t="s">
        <v>59</v>
      </c>
      <c r="P66" s="133" t="s">
        <v>334</v>
      </c>
      <c r="Q66" s="144">
        <v>5</v>
      </c>
      <c r="R66" s="133"/>
    </row>
    <row r="67" spans="1:18" ht="18" x14ac:dyDescent="0.25">
      <c r="A67" s="142"/>
      <c r="B67" s="148"/>
      <c r="C67" s="142"/>
      <c r="D67" s="137" t="s">
        <v>969</v>
      </c>
      <c r="E67" s="129">
        <v>55</v>
      </c>
      <c r="F67" s="159" t="s">
        <v>59</v>
      </c>
      <c r="M67" s="140" t="s">
        <v>822</v>
      </c>
      <c r="N67" s="156">
        <f>((s_EF_far_c*s_ED_far_c*s_IROK_far_c)+(s_EF_far_a*s_ED_far_a*s_IROK_far_a))</f>
        <v>5500</v>
      </c>
      <c r="O67" s="159" t="s">
        <v>226</v>
      </c>
      <c r="P67" s="133" t="s">
        <v>335</v>
      </c>
      <c r="Q67" s="144">
        <v>5</v>
      </c>
      <c r="R67" s="133"/>
    </row>
    <row r="68" spans="1:18" ht="18" x14ac:dyDescent="0.25">
      <c r="A68" s="142"/>
      <c r="B68" s="148"/>
      <c r="C68" s="142"/>
      <c r="D68" s="137" t="s">
        <v>970</v>
      </c>
      <c r="E68" s="157">
        <f>((s_EF_res_c*s_ED_res_c*s_IRLI_res_c)+(s_EF_res_a*s_ED_res_a*s_IRLI_res_a))</f>
        <v>5500</v>
      </c>
      <c r="F68" s="159" t="s">
        <v>226</v>
      </c>
      <c r="M68" s="151" t="s">
        <v>823</v>
      </c>
      <c r="N68" s="129">
        <v>55</v>
      </c>
      <c r="O68" s="159" t="s">
        <v>59</v>
      </c>
      <c r="P68" s="133" t="s">
        <v>353</v>
      </c>
      <c r="Q68" s="144">
        <v>0.5</v>
      </c>
    </row>
    <row r="69" spans="1:18" ht="18" x14ac:dyDescent="0.25">
      <c r="A69" s="142"/>
      <c r="B69" s="152"/>
      <c r="C69" s="142"/>
      <c r="D69" s="137" t="s">
        <v>971</v>
      </c>
      <c r="E69" s="129">
        <v>55</v>
      </c>
      <c r="F69" s="159" t="s">
        <v>59</v>
      </c>
      <c r="M69" s="151" t="s">
        <v>824</v>
      </c>
      <c r="N69" s="129">
        <v>55</v>
      </c>
      <c r="O69" s="159" t="s">
        <v>59</v>
      </c>
      <c r="P69" s="133" t="s">
        <v>375</v>
      </c>
      <c r="Q69" s="156">
        <f>s_MLF_pasture</f>
        <v>0.5</v>
      </c>
    </row>
    <row r="70" spans="1:18" ht="18" x14ac:dyDescent="0.25">
      <c r="A70" s="142"/>
      <c r="B70" s="152"/>
      <c r="C70" s="142"/>
      <c r="D70" s="137" t="s">
        <v>972</v>
      </c>
      <c r="E70" s="129">
        <v>55</v>
      </c>
      <c r="F70" s="159" t="s">
        <v>59</v>
      </c>
      <c r="M70" s="140" t="s">
        <v>825</v>
      </c>
      <c r="N70" s="156">
        <f>((s_EF_far_c*s_ED_far_c*s_IRON_far_c)+(s_EF_far_a*s_ED_far_a*s_IRON_far_a))</f>
        <v>5500</v>
      </c>
      <c r="O70" s="159" t="s">
        <v>226</v>
      </c>
      <c r="P70" s="133" t="s">
        <v>1117</v>
      </c>
      <c r="Q70" s="144">
        <v>5</v>
      </c>
      <c r="R70" s="133" t="s">
        <v>58</v>
      </c>
    </row>
    <row r="71" spans="1:18" ht="18" x14ac:dyDescent="0.25">
      <c r="A71" s="142"/>
      <c r="B71" s="152"/>
      <c r="C71" s="142"/>
      <c r="D71" s="137" t="s">
        <v>973</v>
      </c>
      <c r="E71" s="157">
        <f>((s_EF_res_c*s_ED_res_c*s_IROK_res_c)+(s_EF_res_a*s_ED_res_a*s_IROK_res_a))</f>
        <v>5500</v>
      </c>
      <c r="F71" s="159" t="s">
        <v>226</v>
      </c>
      <c r="M71" s="151" t="s">
        <v>826</v>
      </c>
      <c r="N71" s="129">
        <v>55</v>
      </c>
      <c r="O71" s="159" t="s">
        <v>59</v>
      </c>
      <c r="P71" s="133" t="s">
        <v>1118</v>
      </c>
      <c r="Q71" s="144">
        <v>5</v>
      </c>
      <c r="R71" s="133" t="s">
        <v>101</v>
      </c>
    </row>
    <row r="72" spans="1:18" ht="18" x14ac:dyDescent="0.25">
      <c r="A72" s="142"/>
      <c r="B72" s="152"/>
      <c r="C72" s="142"/>
      <c r="D72" s="137" t="s">
        <v>974</v>
      </c>
      <c r="E72" s="129">
        <v>55</v>
      </c>
      <c r="F72" s="159" t="s">
        <v>59</v>
      </c>
      <c r="M72" s="151" t="s">
        <v>827</v>
      </c>
      <c r="N72" s="129">
        <v>55</v>
      </c>
      <c r="O72" s="159" t="s">
        <v>59</v>
      </c>
      <c r="P72" s="133" t="s">
        <v>1119</v>
      </c>
      <c r="Q72" s="144">
        <v>5</v>
      </c>
      <c r="R72" s="133" t="s">
        <v>101</v>
      </c>
    </row>
    <row r="73" spans="1:18" ht="18" x14ac:dyDescent="0.25">
      <c r="A73" s="142"/>
      <c r="B73" s="152"/>
      <c r="C73" s="142"/>
      <c r="D73" s="137" t="s">
        <v>975</v>
      </c>
      <c r="E73" s="129">
        <v>55</v>
      </c>
      <c r="F73" s="159" t="s">
        <v>59</v>
      </c>
      <c r="M73" s="140" t="s">
        <v>828</v>
      </c>
      <c r="N73" s="156">
        <f>((s_EF_far_c*s_ED_far_c*s_IRPC_far_c)+(s_EF_far_a*s_ED_far_a*s_IRPC_far_a))</f>
        <v>5500</v>
      </c>
      <c r="O73" s="159" t="s">
        <v>226</v>
      </c>
      <c r="P73" s="133" t="s">
        <v>1120</v>
      </c>
      <c r="Q73" s="144">
        <v>5</v>
      </c>
      <c r="R73" s="133"/>
    </row>
    <row r="74" spans="1:18" ht="18" x14ac:dyDescent="0.25">
      <c r="A74" s="142"/>
      <c r="B74" s="152"/>
      <c r="C74" s="142"/>
      <c r="D74" s="137" t="s">
        <v>976</v>
      </c>
      <c r="E74" s="157">
        <f>((s_EF_res_c*s_ED_res_c*s_IRON_res_c)+(s_EF_res_a*s_ED_res_a*s_IRON_res_a))</f>
        <v>5500</v>
      </c>
      <c r="F74" s="159" t="s">
        <v>226</v>
      </c>
      <c r="M74" s="151" t="s">
        <v>829</v>
      </c>
      <c r="N74" s="129">
        <v>55</v>
      </c>
      <c r="O74" s="159" t="s">
        <v>59</v>
      </c>
      <c r="P74" s="133" t="s">
        <v>1121</v>
      </c>
      <c r="Q74" s="144">
        <v>5</v>
      </c>
      <c r="R74" s="133"/>
    </row>
    <row r="75" spans="1:18" ht="18" x14ac:dyDescent="0.25">
      <c r="A75" s="142"/>
      <c r="B75" s="152"/>
      <c r="C75" s="142"/>
      <c r="D75" s="137" t="s">
        <v>977</v>
      </c>
      <c r="E75" s="129">
        <v>55</v>
      </c>
      <c r="F75" s="159" t="s">
        <v>59</v>
      </c>
      <c r="M75" s="151" t="s">
        <v>830</v>
      </c>
      <c r="N75" s="129">
        <v>55</v>
      </c>
      <c r="O75" s="159" t="s">
        <v>59</v>
      </c>
      <c r="P75" s="133" t="s">
        <v>890</v>
      </c>
      <c r="Q75" s="144">
        <v>5</v>
      </c>
      <c r="R75" s="133" t="s">
        <v>58</v>
      </c>
    </row>
    <row r="76" spans="1:18" ht="18" x14ac:dyDescent="0.25">
      <c r="A76" s="142"/>
      <c r="B76" s="152"/>
      <c r="C76" s="142"/>
      <c r="D76" s="137" t="s">
        <v>978</v>
      </c>
      <c r="E76" s="129">
        <v>55</v>
      </c>
      <c r="F76" s="159" t="s">
        <v>59</v>
      </c>
      <c r="M76" s="140" t="s">
        <v>831</v>
      </c>
      <c r="N76" s="156">
        <f>((s_EF_far_c*s_ED_far_c*s_IRPR_far_c)+(s_EF_far_a*s_ED_far_a*s_IRPR_far_a))</f>
        <v>5500</v>
      </c>
      <c r="O76" s="159" t="s">
        <v>226</v>
      </c>
      <c r="P76" s="133" t="s">
        <v>891</v>
      </c>
      <c r="Q76" s="144">
        <v>5</v>
      </c>
      <c r="R76" s="133" t="s">
        <v>101</v>
      </c>
    </row>
    <row r="77" spans="1:18" ht="18" x14ac:dyDescent="0.25">
      <c r="A77" s="142"/>
      <c r="B77" s="152"/>
      <c r="C77" s="142"/>
      <c r="D77" s="137" t="s">
        <v>979</v>
      </c>
      <c r="E77" s="157">
        <f>((s_EF_res_c*s_ED_res_c*s_IRPC_res_c)+(s_EF_res_a*s_ED_res_a*s_IRPC_res_a))</f>
        <v>5500</v>
      </c>
      <c r="F77" s="159" t="s">
        <v>226</v>
      </c>
      <c r="M77" s="151" t="s">
        <v>832</v>
      </c>
      <c r="N77" s="129">
        <v>55</v>
      </c>
      <c r="O77" s="159" t="s">
        <v>59</v>
      </c>
      <c r="P77" s="133" t="s">
        <v>892</v>
      </c>
      <c r="Q77" s="144">
        <v>5</v>
      </c>
      <c r="R77" s="133" t="s">
        <v>101</v>
      </c>
    </row>
    <row r="78" spans="1:18" ht="18" x14ac:dyDescent="0.25">
      <c r="A78" s="142"/>
      <c r="B78" s="152"/>
      <c r="C78" s="142"/>
      <c r="D78" s="137" t="s">
        <v>980</v>
      </c>
      <c r="E78" s="129">
        <v>55</v>
      </c>
      <c r="F78" s="159" t="s">
        <v>59</v>
      </c>
      <c r="M78" s="151" t="s">
        <v>833</v>
      </c>
      <c r="N78" s="129">
        <v>55</v>
      </c>
      <c r="O78" s="159" t="s">
        <v>59</v>
      </c>
      <c r="P78" s="133" t="s">
        <v>893</v>
      </c>
      <c r="Q78" s="144">
        <v>5</v>
      </c>
      <c r="R78" s="133"/>
    </row>
    <row r="79" spans="1:18" ht="18" x14ac:dyDescent="0.25">
      <c r="A79" s="142"/>
      <c r="B79" s="152"/>
      <c r="C79" s="142"/>
      <c r="D79" s="137" t="s">
        <v>981</v>
      </c>
      <c r="E79" s="129">
        <v>55</v>
      </c>
      <c r="F79" s="159" t="s">
        <v>59</v>
      </c>
      <c r="M79" s="140" t="s">
        <v>834</v>
      </c>
      <c r="N79" s="156">
        <f>((s_EF_far_c*s_ED_far_c*s_IRPE_far_c)+(s_EF_far_a*s_ED_far_a*s_IRPE_far_a))</f>
        <v>5500</v>
      </c>
      <c r="O79" s="159" t="s">
        <v>226</v>
      </c>
      <c r="P79" s="133" t="s">
        <v>894</v>
      </c>
      <c r="Q79" s="144">
        <v>5</v>
      </c>
      <c r="R79" s="133"/>
    </row>
    <row r="80" spans="1:18" ht="18" x14ac:dyDescent="0.25">
      <c r="A80" s="141"/>
      <c r="B80" s="148"/>
      <c r="C80" s="142"/>
      <c r="D80" s="137" t="s">
        <v>982</v>
      </c>
      <c r="E80" s="157">
        <f>((s_EF_res_c*s_ED_res_c*s_IRPR_res_c)+(s_EF_res_a*s_ED_res_a*s_IRPR_res_a))</f>
        <v>5500</v>
      </c>
      <c r="F80" s="159" t="s">
        <v>226</v>
      </c>
      <c r="M80" s="151" t="s">
        <v>835</v>
      </c>
      <c r="N80" s="129">
        <v>55</v>
      </c>
      <c r="O80" s="159" t="s">
        <v>59</v>
      </c>
      <c r="P80" s="133" t="s">
        <v>895</v>
      </c>
      <c r="Q80" s="144">
        <v>5</v>
      </c>
      <c r="R80" s="133" t="s">
        <v>58</v>
      </c>
    </row>
    <row r="81" spans="1:18" ht="18" x14ac:dyDescent="0.25">
      <c r="A81" s="141"/>
      <c r="B81" s="148"/>
      <c r="C81" s="142"/>
      <c r="D81" s="137" t="s">
        <v>983</v>
      </c>
      <c r="E81" s="129">
        <v>55</v>
      </c>
      <c r="F81" s="159" t="s">
        <v>59</v>
      </c>
      <c r="M81" s="151" t="s">
        <v>836</v>
      </c>
      <c r="N81" s="129">
        <v>55</v>
      </c>
      <c r="O81" s="159" t="s">
        <v>59</v>
      </c>
      <c r="P81" s="133" t="s">
        <v>896</v>
      </c>
      <c r="Q81" s="144">
        <v>5</v>
      </c>
      <c r="R81" s="133" t="s">
        <v>101</v>
      </c>
    </row>
    <row r="82" spans="1:18" ht="18" x14ac:dyDescent="0.25">
      <c r="A82" s="141"/>
      <c r="B82" s="149"/>
      <c r="C82" s="142"/>
      <c r="D82" s="137" t="s">
        <v>984</v>
      </c>
      <c r="E82" s="129">
        <v>55</v>
      </c>
      <c r="F82" s="159" t="s">
        <v>59</v>
      </c>
      <c r="M82" s="140" t="s">
        <v>837</v>
      </c>
      <c r="N82" s="156">
        <f>((s_EF_far_c*s_ED_far_c*s_IRPT_far_c)+(s_EF_far_a*s_ED_far_a*s_IRPT_far_a))</f>
        <v>5500</v>
      </c>
      <c r="O82" s="159" t="s">
        <v>226</v>
      </c>
      <c r="P82" s="133" t="s">
        <v>897</v>
      </c>
      <c r="Q82" s="144">
        <v>5</v>
      </c>
      <c r="R82" s="133" t="s">
        <v>101</v>
      </c>
    </row>
    <row r="83" spans="1:18" ht="18" x14ac:dyDescent="0.25">
      <c r="A83" s="141"/>
      <c r="B83" s="148"/>
      <c r="C83" s="142"/>
      <c r="D83" s="137" t="s">
        <v>985</v>
      </c>
      <c r="E83" s="157">
        <f>((s_EF_res_c*s_ED_res_c*s_IRPE_res_c)+(s_EF_res_a*s_ED_res_a*s_IRPE_res_a))</f>
        <v>5500</v>
      </c>
      <c r="F83" s="159" t="s">
        <v>226</v>
      </c>
      <c r="M83" s="151" t="s">
        <v>838</v>
      </c>
      <c r="N83" s="129">
        <v>55</v>
      </c>
      <c r="O83" s="159" t="s">
        <v>59</v>
      </c>
      <c r="P83" s="133" t="s">
        <v>898</v>
      </c>
      <c r="Q83" s="144">
        <v>5</v>
      </c>
      <c r="R83" s="133"/>
    </row>
    <row r="84" spans="1:18" ht="18" x14ac:dyDescent="0.25">
      <c r="A84" s="141"/>
      <c r="B84" s="148"/>
      <c r="C84" s="142"/>
      <c r="D84" s="137" t="s">
        <v>986</v>
      </c>
      <c r="E84" s="129">
        <v>55</v>
      </c>
      <c r="F84" s="159" t="s">
        <v>59</v>
      </c>
      <c r="M84" s="151" t="s">
        <v>839</v>
      </c>
      <c r="N84" s="129">
        <v>55</v>
      </c>
      <c r="O84" s="159" t="s">
        <v>59</v>
      </c>
      <c r="P84" s="133" t="s">
        <v>899</v>
      </c>
      <c r="Q84" s="144">
        <v>5</v>
      </c>
      <c r="R84" s="133"/>
    </row>
    <row r="85" spans="1:18" ht="18" x14ac:dyDescent="0.25">
      <c r="A85" s="141"/>
      <c r="B85" s="148"/>
      <c r="C85" s="142"/>
      <c r="D85" s="137" t="s">
        <v>987</v>
      </c>
      <c r="E85" s="129">
        <v>55</v>
      </c>
      <c r="F85" s="159" t="s">
        <v>59</v>
      </c>
      <c r="M85" s="140" t="s">
        <v>840</v>
      </c>
      <c r="N85" s="156">
        <f>((s_EF_far_c*s_ED_far_c*s_IRPU_far_c)+(s_EF_far_a*s_ED_far_a*s_IRPU_far_a))</f>
        <v>5500</v>
      </c>
      <c r="O85" s="159" t="s">
        <v>226</v>
      </c>
      <c r="P85" s="133" t="s">
        <v>900</v>
      </c>
      <c r="Q85" s="144">
        <v>5</v>
      </c>
      <c r="R85" s="133" t="s">
        <v>58</v>
      </c>
    </row>
    <row r="86" spans="1:18" ht="18" x14ac:dyDescent="0.25">
      <c r="A86" s="141"/>
      <c r="B86" s="148"/>
      <c r="C86" s="142"/>
      <c r="D86" s="137" t="s">
        <v>988</v>
      </c>
      <c r="E86" s="157">
        <f>((s_EF_res_c*s_ED_res_c*s_IRPT_res_c)+(s_EF_res_a*s_ED_res_a*s_IRPT_res_a))</f>
        <v>5500</v>
      </c>
      <c r="F86" s="159" t="s">
        <v>226</v>
      </c>
      <c r="M86" s="151" t="s">
        <v>841</v>
      </c>
      <c r="N86" s="129">
        <v>55</v>
      </c>
      <c r="O86" s="159" t="s">
        <v>59</v>
      </c>
      <c r="P86" s="133" t="s">
        <v>901</v>
      </c>
      <c r="Q86" s="144">
        <v>5</v>
      </c>
      <c r="R86" s="133" t="s">
        <v>101</v>
      </c>
    </row>
    <row r="87" spans="1:18" ht="18" x14ac:dyDescent="0.25">
      <c r="A87" s="141"/>
      <c r="B87" s="148"/>
      <c r="C87" s="142"/>
      <c r="D87" s="137" t="s">
        <v>989</v>
      </c>
      <c r="E87" s="129">
        <v>55</v>
      </c>
      <c r="F87" s="159" t="s">
        <v>59</v>
      </c>
      <c r="M87" s="151" t="s">
        <v>842</v>
      </c>
      <c r="N87" s="129">
        <v>55</v>
      </c>
      <c r="O87" s="159" t="s">
        <v>59</v>
      </c>
      <c r="P87" s="133" t="s">
        <v>902</v>
      </c>
      <c r="Q87" s="144">
        <v>5</v>
      </c>
      <c r="R87" s="133" t="s">
        <v>101</v>
      </c>
    </row>
    <row r="88" spans="1:18" ht="18" x14ac:dyDescent="0.25">
      <c r="A88" s="141"/>
      <c r="B88" s="148"/>
      <c r="C88" s="142"/>
      <c r="D88" s="137" t="s">
        <v>990</v>
      </c>
      <c r="E88" s="129">
        <v>55</v>
      </c>
      <c r="F88" s="159" t="s">
        <v>59</v>
      </c>
      <c r="M88" s="140" t="s">
        <v>843</v>
      </c>
      <c r="N88" s="156">
        <f>((s_EF_far_c*s_ED_far_c*s_IRRI_far_c)+(s_EF_far_a*s_ED_far_a*s_IRRI_far_a))</f>
        <v>5500</v>
      </c>
      <c r="O88" s="159" t="s">
        <v>226</v>
      </c>
      <c r="P88" s="133" t="s">
        <v>903</v>
      </c>
      <c r="Q88" s="144">
        <v>5</v>
      </c>
      <c r="R88" s="133"/>
    </row>
    <row r="89" spans="1:18" ht="18" x14ac:dyDescent="0.25">
      <c r="A89" s="141"/>
      <c r="B89" s="148"/>
      <c r="C89" s="142"/>
      <c r="D89" s="137" t="s">
        <v>991</v>
      </c>
      <c r="E89" s="157">
        <f>((s_EF_res_c*s_ED_res_c*s_IRPU_res_c)+(s_EF_res_a*s_ED_res_a*s_IRPU_res_a))</f>
        <v>5500</v>
      </c>
      <c r="F89" s="159" t="s">
        <v>226</v>
      </c>
      <c r="M89" s="151" t="s">
        <v>844</v>
      </c>
      <c r="N89" s="129">
        <v>55</v>
      </c>
      <c r="O89" s="159" t="s">
        <v>59</v>
      </c>
      <c r="P89" s="133" t="s">
        <v>904</v>
      </c>
      <c r="Q89" s="144">
        <v>5</v>
      </c>
      <c r="R89" s="133"/>
    </row>
    <row r="90" spans="1:18" ht="18" x14ac:dyDescent="0.25">
      <c r="A90" s="141"/>
      <c r="B90" s="149"/>
      <c r="C90" s="142"/>
      <c r="D90" s="137" t="s">
        <v>992</v>
      </c>
      <c r="E90" s="129">
        <v>55</v>
      </c>
      <c r="F90" s="159" t="s">
        <v>59</v>
      </c>
      <c r="M90" s="151" t="s">
        <v>845</v>
      </c>
      <c r="N90" s="129">
        <v>55</v>
      </c>
      <c r="O90" s="159" t="s">
        <v>59</v>
      </c>
    </row>
    <row r="91" spans="1:18" ht="18" x14ac:dyDescent="0.25">
      <c r="A91" s="141"/>
      <c r="B91" s="148"/>
      <c r="C91" s="142"/>
      <c r="D91" s="137" t="s">
        <v>993</v>
      </c>
      <c r="E91" s="129">
        <v>55</v>
      </c>
      <c r="F91" s="159" t="s">
        <v>59</v>
      </c>
      <c r="J91" s="137"/>
      <c r="K91" s="153"/>
      <c r="M91" s="140" t="s">
        <v>846</v>
      </c>
      <c r="N91" s="156">
        <f>((s_EF_far_c*s_ED_far_c*s_IRSN_far_c)+(s_EF_far_a*s_ED_far_a*s_IRSN_far_a))</f>
        <v>5500</v>
      </c>
      <c r="O91" s="159" t="s">
        <v>226</v>
      </c>
    </row>
    <row r="92" spans="1:18" ht="18" x14ac:dyDescent="0.25">
      <c r="A92" s="141"/>
      <c r="B92" s="149"/>
      <c r="C92" s="142"/>
      <c r="D92" s="137" t="s">
        <v>994</v>
      </c>
      <c r="E92" s="157">
        <f>((s_EF_res_c*s_ED_res_c*s_IRRI_res_c)+(s_EF_res_a*s_ED_res_a*s_IRRI_res_a))</f>
        <v>5500</v>
      </c>
      <c r="F92" s="159" t="s">
        <v>226</v>
      </c>
      <c r="J92" s="137"/>
      <c r="K92" s="153"/>
      <c r="M92" s="151" t="s">
        <v>847</v>
      </c>
      <c r="N92" s="129">
        <v>55</v>
      </c>
      <c r="O92" s="159" t="s">
        <v>59</v>
      </c>
    </row>
    <row r="93" spans="1:18" ht="18" x14ac:dyDescent="0.25">
      <c r="A93" s="141"/>
      <c r="B93" s="149"/>
      <c r="C93" s="142"/>
      <c r="D93" s="137" t="s">
        <v>995</v>
      </c>
      <c r="E93" s="129">
        <v>55</v>
      </c>
      <c r="F93" s="159" t="s">
        <v>59</v>
      </c>
      <c r="J93" s="137"/>
      <c r="K93" s="153"/>
      <c r="M93" s="151" t="s">
        <v>848</v>
      </c>
      <c r="N93" s="129">
        <v>55</v>
      </c>
      <c r="O93" s="159" t="s">
        <v>59</v>
      </c>
    </row>
    <row r="94" spans="1:18" ht="18" x14ac:dyDescent="0.25">
      <c r="A94" s="141"/>
      <c r="B94" s="149"/>
      <c r="C94" s="142"/>
      <c r="D94" s="137" t="s">
        <v>996</v>
      </c>
      <c r="E94" s="129">
        <v>55</v>
      </c>
      <c r="F94" s="159" t="s">
        <v>59</v>
      </c>
      <c r="J94" s="137"/>
      <c r="K94" s="153"/>
      <c r="M94" s="140" t="s">
        <v>849</v>
      </c>
      <c r="N94" s="156">
        <f>((s_EF_far_c*s_ED_far_c*s_IRST_far_c)+(s_EF_far_a*s_ED_far_a*s_IRST_far_a))</f>
        <v>5500</v>
      </c>
      <c r="O94" s="159" t="s">
        <v>226</v>
      </c>
    </row>
    <row r="95" spans="1:18" ht="18" x14ac:dyDescent="0.25">
      <c r="A95" s="141"/>
      <c r="B95" s="149"/>
      <c r="C95" s="142"/>
      <c r="D95" s="137" t="s">
        <v>997</v>
      </c>
      <c r="E95" s="157">
        <f>((s_EF_res_c*s_ED_res_c*s_IRSN_res_c)+(s_EF_res_a*s_ED_res_a*s_IRSN_res_a))</f>
        <v>5500</v>
      </c>
      <c r="F95" s="159" t="s">
        <v>226</v>
      </c>
      <c r="J95" s="137"/>
      <c r="K95" s="153"/>
      <c r="M95" s="151" t="s">
        <v>850</v>
      </c>
      <c r="N95" s="129">
        <v>55</v>
      </c>
      <c r="O95" s="159" t="s">
        <v>59</v>
      </c>
    </row>
    <row r="96" spans="1:18" ht="18" x14ac:dyDescent="0.25">
      <c r="A96" s="141"/>
      <c r="B96" s="149"/>
      <c r="C96" s="142"/>
      <c r="D96" s="137" t="s">
        <v>998</v>
      </c>
      <c r="E96" s="129">
        <v>55</v>
      </c>
      <c r="F96" s="159" t="s">
        <v>59</v>
      </c>
      <c r="M96" s="151" t="s">
        <v>851</v>
      </c>
      <c r="N96" s="129">
        <v>55</v>
      </c>
      <c r="O96" s="159" t="s">
        <v>59</v>
      </c>
    </row>
    <row r="97" spans="1:15" ht="18" x14ac:dyDescent="0.25">
      <c r="A97" s="141"/>
      <c r="B97" s="154"/>
      <c r="C97" s="142"/>
      <c r="D97" s="137" t="s">
        <v>999</v>
      </c>
      <c r="E97" s="129">
        <v>55</v>
      </c>
      <c r="F97" s="159" t="s">
        <v>59</v>
      </c>
      <c r="J97" s="137"/>
      <c r="K97" s="153"/>
      <c r="M97" s="140" t="s">
        <v>852</v>
      </c>
      <c r="N97" s="156">
        <f>((s_EF_far_c*s_ED_far_c*s_IRTO_far_c)+(s_EF_far_a*s_ED_far_a*s_IRTO_far_a))</f>
        <v>5500</v>
      </c>
      <c r="O97" s="159" t="s">
        <v>226</v>
      </c>
    </row>
    <row r="98" spans="1:15" ht="18" x14ac:dyDescent="0.25">
      <c r="A98" s="142"/>
      <c r="B98" s="150"/>
      <c r="C98" s="142"/>
      <c r="D98" s="137" t="s">
        <v>1000</v>
      </c>
      <c r="E98" s="157">
        <f>((s_EF_res_c*s_ED_res_c*s_IRST_res_c)+(s_EF_res_a*s_ED_res_a*s_IRST_res_a))</f>
        <v>5500</v>
      </c>
      <c r="F98" s="159" t="s">
        <v>226</v>
      </c>
      <c r="J98" s="137"/>
      <c r="K98" s="153"/>
      <c r="M98" s="159" t="s">
        <v>853</v>
      </c>
      <c r="N98" s="165">
        <v>1.35E-2</v>
      </c>
    </row>
    <row r="99" spans="1:15" ht="18" x14ac:dyDescent="0.25">
      <c r="A99" s="142"/>
      <c r="B99" s="150"/>
      <c r="C99" s="140"/>
      <c r="D99" s="137" t="s">
        <v>1001</v>
      </c>
      <c r="E99" s="129">
        <v>55</v>
      </c>
      <c r="F99" s="159" t="s">
        <v>59</v>
      </c>
      <c r="M99" s="159" t="s">
        <v>854</v>
      </c>
      <c r="N99" s="165">
        <v>1.35E-2</v>
      </c>
    </row>
    <row r="100" spans="1:15" ht="18" x14ac:dyDescent="0.25">
      <c r="A100" s="142"/>
      <c r="B100" s="150"/>
      <c r="C100" s="140"/>
      <c r="D100" s="137" t="s">
        <v>1002</v>
      </c>
      <c r="E100" s="129">
        <v>55</v>
      </c>
      <c r="F100" s="159" t="s">
        <v>59</v>
      </c>
      <c r="M100" s="159" t="s">
        <v>855</v>
      </c>
      <c r="N100" s="165">
        <v>1.35E-2</v>
      </c>
    </row>
    <row r="101" spans="1:15" ht="18" x14ac:dyDescent="0.25">
      <c r="D101" s="137" t="s">
        <v>1003</v>
      </c>
      <c r="E101" s="157">
        <f>((s_EF_res_c*s_ED_res_c*s_IRTO_res_c)+(s_EF_res_a*s_ED_res_a*s_IRTO_res_a))</f>
        <v>5500</v>
      </c>
      <c r="F101" s="159" t="s">
        <v>226</v>
      </c>
      <c r="M101" s="159" t="s">
        <v>856</v>
      </c>
      <c r="N101" s="165">
        <v>1.35E-2</v>
      </c>
    </row>
    <row r="102" spans="1:15" ht="18" x14ac:dyDescent="0.25">
      <c r="M102" s="159" t="s">
        <v>857</v>
      </c>
      <c r="N102" s="165">
        <v>1.35E-2</v>
      </c>
    </row>
    <row r="103" spans="1:15" ht="18" x14ac:dyDescent="0.25">
      <c r="M103" s="159" t="s">
        <v>858</v>
      </c>
      <c r="N103" s="165">
        <v>1.35E-2</v>
      </c>
    </row>
    <row r="104" spans="1:15" ht="18" x14ac:dyDescent="0.25">
      <c r="M104" s="159" t="s">
        <v>859</v>
      </c>
      <c r="N104" s="165">
        <v>1.35E-2</v>
      </c>
    </row>
    <row r="105" spans="1:15" ht="18" x14ac:dyDescent="0.25">
      <c r="M105" s="159" t="s">
        <v>860</v>
      </c>
      <c r="N105" s="165">
        <v>1.35E-2</v>
      </c>
    </row>
    <row r="106" spans="1:15" ht="18" x14ac:dyDescent="0.25">
      <c r="M106" s="159" t="s">
        <v>861</v>
      </c>
      <c r="N106" s="165">
        <v>1.35E-2</v>
      </c>
    </row>
    <row r="107" spans="1:15" ht="18" x14ac:dyDescent="0.25">
      <c r="M107" s="159" t="s">
        <v>862</v>
      </c>
      <c r="N107" s="165">
        <v>1.35E-2</v>
      </c>
    </row>
    <row r="108" spans="1:15" ht="18" x14ac:dyDescent="0.25">
      <c r="M108" s="159" t="s">
        <v>863</v>
      </c>
      <c r="N108" s="165">
        <v>1.35E-2</v>
      </c>
    </row>
    <row r="109" spans="1:15" ht="18" x14ac:dyDescent="0.25">
      <c r="M109" s="159" t="s">
        <v>864</v>
      </c>
      <c r="N109" s="165">
        <v>1.35E-2</v>
      </c>
    </row>
    <row r="110" spans="1:15" ht="18" x14ac:dyDescent="0.25">
      <c r="M110" s="159" t="s">
        <v>865</v>
      </c>
      <c r="N110" s="165">
        <v>1.35E-2</v>
      </c>
    </row>
    <row r="111" spans="1:15" ht="18" x14ac:dyDescent="0.25">
      <c r="M111" s="159" t="s">
        <v>866</v>
      </c>
      <c r="N111" s="165">
        <v>1.35E-2</v>
      </c>
    </row>
    <row r="112" spans="1:15" ht="18" x14ac:dyDescent="0.25">
      <c r="M112" s="159" t="s">
        <v>867</v>
      </c>
      <c r="N112" s="165">
        <v>1.35E-2</v>
      </c>
    </row>
    <row r="113" spans="13:14" ht="18" x14ac:dyDescent="0.25">
      <c r="M113" s="159" t="s">
        <v>868</v>
      </c>
      <c r="N113" s="165">
        <v>1.35E-2</v>
      </c>
    </row>
    <row r="114" spans="13:14" ht="18" x14ac:dyDescent="0.25">
      <c r="M114" s="159" t="s">
        <v>869</v>
      </c>
      <c r="N114" s="165">
        <v>1.35E-2</v>
      </c>
    </row>
    <row r="115" spans="13:14" ht="18" x14ac:dyDescent="0.25">
      <c r="M115" s="159" t="s">
        <v>870</v>
      </c>
      <c r="N115" s="165">
        <v>1.35E-2</v>
      </c>
    </row>
    <row r="116" spans="13:14" ht="18" x14ac:dyDescent="0.25">
      <c r="M116" s="159" t="s">
        <v>871</v>
      </c>
      <c r="N116" s="165">
        <v>1.35E-2</v>
      </c>
    </row>
    <row r="117" spans="13:14" ht="18" x14ac:dyDescent="0.25">
      <c r="M117" s="159" t="s">
        <v>872</v>
      </c>
      <c r="N117" s="165">
        <v>1.35E-2</v>
      </c>
    </row>
    <row r="118" spans="13:14" ht="18" x14ac:dyDescent="0.25">
      <c r="M118" s="159" t="s">
        <v>873</v>
      </c>
      <c r="N118" s="165">
        <v>1.35E-2</v>
      </c>
    </row>
    <row r="119" spans="13:14" ht="18" x14ac:dyDescent="0.25">
      <c r="M119" s="159" t="s">
        <v>874</v>
      </c>
      <c r="N119" s="165">
        <v>1.35E-2</v>
      </c>
    </row>
    <row r="120" spans="13:14" ht="18" x14ac:dyDescent="0.25">
      <c r="M120" s="159" t="s">
        <v>875</v>
      </c>
      <c r="N120" s="165">
        <v>1.35E-2</v>
      </c>
    </row>
    <row r="121" spans="13:14" ht="18" x14ac:dyDescent="0.25">
      <c r="M121" s="159" t="s">
        <v>876</v>
      </c>
      <c r="N121" s="165">
        <v>1.35E-2</v>
      </c>
    </row>
  </sheetData>
  <sheetProtection algorithmName="SHA-512" hashValue="frMieTd7VrOyzzVuvNTCSMzC2gOigqdOpBoCm3mmnsscpKGlxLfSGThxw6FPWu3kK+cj0ag9Opt3wTASuW6Dow==" saltValue="nUXCFsI5LkUZRpck//fKyg==" spinCount="100000" sheet="1" objects="1" scenarios="1" formatColumns="0" formatRows="0" autoFilter="0"/>
  <mergeCells count="6">
    <mergeCell ref="P1:R1"/>
    <mergeCell ref="A1:C1"/>
    <mergeCell ref="D1:F1"/>
    <mergeCell ref="G1:I1"/>
    <mergeCell ref="J1:L1"/>
    <mergeCell ref="M1:O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BV30"/>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4.5703125" style="4" bestFit="1" customWidth="1"/>
    <col min="2" max="2" width="10.7109375" style="4" bestFit="1" customWidth="1"/>
    <col min="3" max="3" width="14" style="1" bestFit="1" customWidth="1"/>
    <col min="4" max="4" width="13.85546875" style="1" bestFit="1" customWidth="1"/>
    <col min="5" max="5" width="13.140625" style="1" bestFit="1" customWidth="1"/>
    <col min="6" max="6" width="13.85546875" style="1" bestFit="1" customWidth="1"/>
    <col min="7" max="7" width="13.140625" style="1" bestFit="1" customWidth="1"/>
    <col min="8" max="8" width="13.28515625" style="1" bestFit="1" customWidth="1"/>
    <col min="9" max="9" width="12.5703125" style="1" bestFit="1" customWidth="1"/>
    <col min="10" max="10" width="14" style="1" bestFit="1" customWidth="1"/>
    <col min="11" max="11" width="13.140625" style="1" bestFit="1" customWidth="1"/>
    <col min="12" max="12" width="14.85546875" style="1" bestFit="1" customWidth="1"/>
    <col min="13" max="13" width="12.28515625" style="1" bestFit="1" customWidth="1"/>
    <col min="14" max="14" width="12.85546875" style="1" bestFit="1" customWidth="1"/>
    <col min="15" max="15" width="13" style="1" bestFit="1" customWidth="1"/>
    <col min="16" max="16" width="14.140625" style="1" bestFit="1" customWidth="1"/>
    <col min="17" max="17" width="14.28515625" style="1" bestFit="1" customWidth="1"/>
    <col min="18" max="18" width="13.140625" style="1" bestFit="1" customWidth="1"/>
    <col min="19" max="19" width="12.42578125" style="1" bestFit="1" customWidth="1"/>
    <col min="20" max="20" width="13.85546875" style="1" bestFit="1" customWidth="1"/>
    <col min="21" max="21" width="14.140625" style="1" bestFit="1" customWidth="1"/>
    <col min="22" max="22" width="13.28515625" style="1" bestFit="1" customWidth="1"/>
    <col min="23" max="23" width="14" style="1" bestFit="1" customWidth="1"/>
    <col min="24" max="24" width="12.85546875" style="1" bestFit="1" customWidth="1"/>
    <col min="25" max="25" width="12.42578125" style="1" bestFit="1" customWidth="1"/>
    <col min="26" max="26" width="14.28515625" style="1" bestFit="1" customWidth="1"/>
    <col min="27" max="27" width="13.5703125" style="1" bestFit="1" customWidth="1"/>
    <col min="28" max="28" width="13.42578125" style="1" bestFit="1" customWidth="1"/>
    <col min="29" max="29" width="12.85546875" style="1" bestFit="1" customWidth="1"/>
    <col min="30" max="30" width="13.42578125" style="1" bestFit="1" customWidth="1"/>
    <col min="31" max="31" width="12.7109375" style="1" bestFit="1" customWidth="1"/>
    <col min="32" max="32" width="13" style="1" bestFit="1" customWidth="1"/>
    <col min="33" max="33" width="12.140625" style="1" bestFit="1" customWidth="1"/>
    <col min="34" max="34" width="13.5703125" style="1" bestFit="1" customWidth="1"/>
    <col min="35" max="35" width="12.7109375" style="1" bestFit="1" customWidth="1"/>
    <col min="36" max="36" width="14.42578125" style="1" bestFit="1" customWidth="1"/>
    <col min="37" max="37" width="12" style="1" bestFit="1" customWidth="1"/>
    <col min="38" max="38" width="12.5703125" style="1" bestFit="1" customWidth="1"/>
    <col min="39" max="39" width="12.7109375" style="1" bestFit="1" customWidth="1"/>
    <col min="40" max="40" width="13.85546875" style="1" bestFit="1" customWidth="1"/>
    <col min="41" max="41" width="14" style="1" bestFit="1" customWidth="1"/>
    <col min="42" max="42" width="12.7109375" style="1" bestFit="1" customWidth="1"/>
    <col min="43" max="43" width="12" style="1" bestFit="1" customWidth="1"/>
    <col min="44" max="44" width="13.42578125" style="1" bestFit="1" customWidth="1"/>
    <col min="45" max="45" width="13.85546875" style="1" bestFit="1" customWidth="1"/>
    <col min="46" max="46" width="12.85546875" style="1" bestFit="1" customWidth="1"/>
    <col min="47" max="47" width="13.5703125" style="1" bestFit="1" customWidth="1"/>
    <col min="48" max="48" width="12.42578125" style="1" bestFit="1" customWidth="1"/>
    <col min="49" max="49" width="12" style="1" bestFit="1" customWidth="1"/>
    <col min="50" max="50" width="14" style="1" bestFit="1" customWidth="1"/>
    <col min="51" max="51" width="14.140625" style="1" bestFit="1" customWidth="1"/>
    <col min="52" max="52" width="14" style="1" bestFit="1" customWidth="1"/>
    <col min="53" max="53" width="13.42578125" style="1" bestFit="1" customWidth="1"/>
    <col min="54" max="54" width="14" style="1" bestFit="1" customWidth="1"/>
    <col min="55" max="55" width="13.42578125" style="1" bestFit="1" customWidth="1"/>
    <col min="56" max="56" width="13.5703125" style="1" bestFit="1" customWidth="1"/>
    <col min="57" max="57" width="12.85546875" style="1" bestFit="1" customWidth="1"/>
    <col min="58" max="58" width="14.140625" style="1" bestFit="1" customWidth="1"/>
    <col min="59" max="59" width="13.42578125" style="1" bestFit="1" customWidth="1"/>
    <col min="60" max="60" width="15.140625" style="1" bestFit="1" customWidth="1"/>
    <col min="61" max="61" width="12.5703125" style="1" bestFit="1" customWidth="1"/>
    <col min="62" max="62" width="13.140625" style="1" bestFit="1" customWidth="1"/>
    <col min="63" max="63" width="13.28515625" style="1" bestFit="1" customWidth="1"/>
    <col min="64" max="64" width="14.42578125" style="1" bestFit="1" customWidth="1"/>
    <col min="65" max="65" width="14.5703125" style="1" bestFit="1" customWidth="1"/>
    <col min="66" max="66" width="13.42578125" style="1" bestFit="1" customWidth="1"/>
    <col min="67" max="67" width="12.7109375" style="1" bestFit="1" customWidth="1"/>
    <col min="68" max="68" width="14.140625" style="1" bestFit="1" customWidth="1"/>
    <col min="69" max="69" width="14.5703125" style="1" bestFit="1" customWidth="1"/>
    <col min="70" max="70" width="13.5703125" style="1" bestFit="1" customWidth="1"/>
    <col min="71" max="71" width="14.140625" style="1" bestFit="1" customWidth="1"/>
    <col min="72" max="72" width="13.140625" style="1" bestFit="1" customWidth="1"/>
    <col min="73" max="73" width="12.7109375" style="1" bestFit="1" customWidth="1"/>
    <col min="74" max="74" width="14.5703125" style="1" bestFit="1" customWidth="1"/>
  </cols>
  <sheetData>
    <row r="1" spans="1:74" x14ac:dyDescent="0.25">
      <c r="A1" s="78" t="s">
        <v>51</v>
      </c>
      <c r="B1" s="79" t="s">
        <v>350</v>
      </c>
      <c r="C1" s="113" t="s">
        <v>666</v>
      </c>
      <c r="D1" s="113" t="s">
        <v>667</v>
      </c>
      <c r="E1" s="113" t="s">
        <v>668</v>
      </c>
      <c r="F1" s="113" t="s">
        <v>669</v>
      </c>
      <c r="G1" s="113" t="s">
        <v>670</v>
      </c>
      <c r="H1" s="113" t="s">
        <v>671</v>
      </c>
      <c r="I1" s="113" t="s">
        <v>672</v>
      </c>
      <c r="J1" s="113" t="s">
        <v>673</v>
      </c>
      <c r="K1" s="113" t="s">
        <v>674</v>
      </c>
      <c r="L1" s="113" t="s">
        <v>675</v>
      </c>
      <c r="M1" s="113" t="s">
        <v>676</v>
      </c>
      <c r="N1" s="113" t="s">
        <v>677</v>
      </c>
      <c r="O1" s="113" t="s">
        <v>678</v>
      </c>
      <c r="P1" s="113" t="s">
        <v>679</v>
      </c>
      <c r="Q1" s="113" t="s">
        <v>680</v>
      </c>
      <c r="R1" s="113" t="s">
        <v>681</v>
      </c>
      <c r="S1" s="113" t="s">
        <v>682</v>
      </c>
      <c r="T1" s="113" t="s">
        <v>683</v>
      </c>
      <c r="U1" s="113" t="s">
        <v>684</v>
      </c>
      <c r="V1" s="113" t="s">
        <v>685</v>
      </c>
      <c r="W1" s="113" t="s">
        <v>686</v>
      </c>
      <c r="X1" s="113" t="s">
        <v>687</v>
      </c>
      <c r="Y1" s="113" t="s">
        <v>688</v>
      </c>
      <c r="Z1" s="113" t="s">
        <v>736</v>
      </c>
      <c r="AA1" s="113" t="s">
        <v>689</v>
      </c>
      <c r="AB1" s="113" t="s">
        <v>690</v>
      </c>
      <c r="AC1" s="113" t="s">
        <v>691</v>
      </c>
      <c r="AD1" s="113" t="s">
        <v>692</v>
      </c>
      <c r="AE1" s="113" t="s">
        <v>693</v>
      </c>
      <c r="AF1" s="113" t="s">
        <v>694</v>
      </c>
      <c r="AG1" s="113" t="s">
        <v>695</v>
      </c>
      <c r="AH1" s="113" t="s">
        <v>696</v>
      </c>
      <c r="AI1" s="113" t="s">
        <v>697</v>
      </c>
      <c r="AJ1" s="113" t="s">
        <v>698</v>
      </c>
      <c r="AK1" s="113" t="s">
        <v>699</v>
      </c>
      <c r="AL1" s="113" t="s">
        <v>700</v>
      </c>
      <c r="AM1" s="113" t="s">
        <v>701</v>
      </c>
      <c r="AN1" s="113" t="s">
        <v>702</v>
      </c>
      <c r="AO1" s="113" t="s">
        <v>703</v>
      </c>
      <c r="AP1" s="113" t="s">
        <v>704</v>
      </c>
      <c r="AQ1" s="113" t="s">
        <v>705</v>
      </c>
      <c r="AR1" s="113" t="s">
        <v>706</v>
      </c>
      <c r="AS1" s="113" t="s">
        <v>707</v>
      </c>
      <c r="AT1" s="113" t="s">
        <v>708</v>
      </c>
      <c r="AU1" s="113" t="s">
        <v>709</v>
      </c>
      <c r="AV1" s="113" t="s">
        <v>710</v>
      </c>
      <c r="AW1" s="113" t="s">
        <v>711</v>
      </c>
      <c r="AX1" s="113" t="s">
        <v>737</v>
      </c>
      <c r="AY1" s="113" t="s">
        <v>712</v>
      </c>
      <c r="AZ1" s="113" t="s">
        <v>713</v>
      </c>
      <c r="BA1" s="113" t="s">
        <v>714</v>
      </c>
      <c r="BB1" s="113" t="s">
        <v>715</v>
      </c>
      <c r="BC1" s="113" t="s">
        <v>716</v>
      </c>
      <c r="BD1" s="113" t="s">
        <v>717</v>
      </c>
      <c r="BE1" s="113" t="s">
        <v>718</v>
      </c>
      <c r="BF1" s="113" t="s">
        <v>719</v>
      </c>
      <c r="BG1" s="113" t="s">
        <v>720</v>
      </c>
      <c r="BH1" s="113" t="s">
        <v>721</v>
      </c>
      <c r="BI1" s="113" t="s">
        <v>722</v>
      </c>
      <c r="BJ1" s="113" t="s">
        <v>723</v>
      </c>
      <c r="BK1" s="113" t="s">
        <v>724</v>
      </c>
      <c r="BL1" s="113" t="s">
        <v>725</v>
      </c>
      <c r="BM1" s="113" t="s">
        <v>726</v>
      </c>
      <c r="BN1" s="113" t="s">
        <v>727</v>
      </c>
      <c r="BO1" s="113" t="s">
        <v>728</v>
      </c>
      <c r="BP1" s="113" t="s">
        <v>729</v>
      </c>
      <c r="BQ1" s="113" t="s">
        <v>730</v>
      </c>
      <c r="BR1" s="113" t="s">
        <v>731</v>
      </c>
      <c r="BS1" s="113" t="s">
        <v>732</v>
      </c>
      <c r="BT1" s="113" t="s">
        <v>733</v>
      </c>
      <c r="BU1" s="113" t="s">
        <v>734</v>
      </c>
      <c r="BV1" s="113" t="s">
        <v>738</v>
      </c>
    </row>
    <row r="2" spans="1:74" x14ac:dyDescent="0.25">
      <c r="A2" s="44" t="s">
        <v>12</v>
      </c>
      <c r="B2" s="42" t="s">
        <v>1074</v>
      </c>
      <c r="C2" s="116">
        <f>IFERROR(IF(d_ss_Bv!C2=0,".",((s_Ir*s_F*d_ss_Bv!C2*(1-EXP(-s_RadSpec!$AX2*s_t_b)))/(s_P*s_RadSpec!$AX2))),".")</f>
        <v>0.19870072460746407</v>
      </c>
      <c r="D2" s="116">
        <f>IFERROR(IF(d_ss_Bv!D2=0,".",((s_Ir*s_F*d_ss_Bv!D2*(1-EXP(-s_RadSpec!AX2*s_t_b)))/(s_P*s_RadSpec!AX2))),".")</f>
        <v>0.19870072460746407</v>
      </c>
      <c r="E2" s="116">
        <f>IFERROR(IF(d_ss_Bv!E2=0,".",((s_Ir*s_F*d_ss_Bv!E2*(1-EXP(-s_RadSpec!AX2*s_t_b)))/(s_P*s_RadSpec!AX2))),".")</f>
        <v>0.19870072460746407</v>
      </c>
      <c r="F2" s="116">
        <f>IFERROR(IF(d_ss_Bv!F2=0,".",((s_Ir*s_F*d_ss_Bv!F2*(1-EXP(-s_RadSpec!AX2*s_t_b)))/(s_P*s_RadSpec!AX2))),".")</f>
        <v>0.19870072460746407</v>
      </c>
      <c r="G2" s="116">
        <f>IFERROR(IF(d_ss_Bv!G2=0,".",((s_Ir*s_F*d_ss_Bv!G2*(1-EXP(-s_RadSpec!AX2*s_t_b)))/(s_P*s_RadSpec!AX2))),".")</f>
        <v>0.19870072460746407</v>
      </c>
      <c r="H2" s="116">
        <f>IFERROR(IF(d_ss_Bv!H2=0,".",((s_Ir*s_F*d_ss_Bv!H2*(1-EXP(-s_RadSpec!AX2*s_t_b)))/(s_P*s_RadSpec!AX2))),".")</f>
        <v>0.19870072460746407</v>
      </c>
      <c r="I2" s="116">
        <f>IFERROR(IF(d_ss_Bv!I2=0,".",((s_Ir*s_F*d_ss_Bv!I2*(1-EXP(-s_RadSpec!AX2*s_t_b)))/(s_P*s_RadSpec!AX2))),".")</f>
        <v>0.19870072460746407</v>
      </c>
      <c r="J2" s="116">
        <f>IFERROR(IF(d_ss_Bv!J2=0,".",((s_Ir*s_F*d_ss_Bv!J2*(1-EXP(-s_RadSpec!AX2*s_t_b)))/(s_P*s_RadSpec!AX2))),".")</f>
        <v>0.19870072460746407</v>
      </c>
      <c r="K2" s="116">
        <f>IFERROR(IF(d_ss_Bv!K2=0,".",((s_Ir*s_F*d_ss_Bv!K2*(1-EXP(-s_RadSpec!AX2*s_t_b)))/(s_P*s_RadSpec!AX2))),".")</f>
        <v>0.19870072460746407</v>
      </c>
      <c r="L2" s="116">
        <f>IFERROR(IF(d_ss_Bv!L2=0,".",((s_Ir*s_F*d_ss_Bv!L2*(1-EXP(-s_RadSpec!AX2*s_t_b)))/(s_P*s_RadSpec!AX2))),".")</f>
        <v>0.19870072460746407</v>
      </c>
      <c r="M2" s="116">
        <f>IFERROR(IF(d_ss_Bv!M2=0,".",((s_Ir*s_F*d_ss_Bv!M2*(1-EXP(-s_RadSpec!AX2*s_t_b)))/(s_P*s_RadSpec!AX2))),".")</f>
        <v>0.19870072460746407</v>
      </c>
      <c r="N2" s="116">
        <f>IFERROR(IF(d_ss_Bv!N2=0,".",((s_Ir*s_F*d_ss_Bv!N2*(1-EXP(-s_RadSpec!AX2*s_t_b)))/(s_P*s_RadSpec!AX2))),".")</f>
        <v>0.19870072460746407</v>
      </c>
      <c r="O2" s="116">
        <f>IFERROR(IF(d_ss_Bv!O2=0,".",((s_Ir*s_F*d_ss_Bv!O2*(1-EXP(-s_RadSpec!AX2*s_t_b)))/(s_P*s_RadSpec!AX2))),".")</f>
        <v>0.19870072460746407</v>
      </c>
      <c r="P2" s="116">
        <f>IFERROR(IF(d_ss_Bv!P2=0,".",((s_Ir*s_F*d_ss_Bv!P2*(1-EXP(-s_RadSpec!AX2*s_t_b)))/(s_P*s_RadSpec!AX2))),".")</f>
        <v>0.19870072460746407</v>
      </c>
      <c r="Q2" s="116">
        <f>IFERROR(IF(d_ss_Bv!Q2=0,".",((s_Ir*s_F*d_ss_Bv!Q2*(1-EXP(-s_RadSpec!AX2*s_t_b)))/(s_P*s_RadSpec!AX2))),".")</f>
        <v>0.19870072460746407</v>
      </c>
      <c r="R2" s="116">
        <f>IFERROR(IF(d_ss_Bv!R2=0,".",((s_Ir*s_F*d_ss_Bv!R2*(1-EXP(-s_RadSpec!AX2*s_t_b)))/(s_P*s_RadSpec!AX2))),".")</f>
        <v>0.19870072460746407</v>
      </c>
      <c r="S2" s="116">
        <f>IFERROR(IF(d_ss_Bv!S2=0,".",((s_Ir*s_F*d_ss_Bv!S2*(1-EXP(-s_RadSpec!AX2*s_t_b)))/(s_P*s_RadSpec!AX2))),".")</f>
        <v>0.19870072460746407</v>
      </c>
      <c r="T2" s="116">
        <f>IFERROR(IF(d_ss_Bv!T2=0,".",((s_Ir*s_F*d_ss_Bv!T2*(1-EXP(-s_RadSpec!AX2*s_t_b)))/(s_P*s_RadSpec!AX2))),".")</f>
        <v>0.19870072460746407</v>
      </c>
      <c r="U2" s="116">
        <f>IFERROR(IF(d_ss_Bv!U2=0,".",((s_Ir*s_F*d_ss_Bv!U2*(1-EXP(-s_RadSpec!AX2*s_t_b)))/(s_P*s_RadSpec!AX2))),".")</f>
        <v>0.19870072460746407</v>
      </c>
      <c r="V2" s="116">
        <f>IFERROR(IF(d_ss_Bv!V2=0,".",((s_Ir*s_F*d_ss_Bv!V2*(1-EXP(-s_RadSpec!AX2*s_t_b)))/(s_P*s_RadSpec!AX2))),".")</f>
        <v>0.19870072460746407</v>
      </c>
      <c r="W2" s="116">
        <f>IFERROR(IF(d_ss_Bv!W2=0,".",((s_Ir*s_F*d_ss_Bv!W2*(1-EXP(-s_RadSpec!AX2*s_t_b)))/(s_P*s_RadSpec!AX2))),".")</f>
        <v>0.19870072460746407</v>
      </c>
      <c r="X2" s="116">
        <f>IFERROR(IF(d_ss_Bv!X2=0,".",((s_Ir*s_F*d_ss_Bv!X2*(1-EXP(-s_RadSpec!AX2*s_t_b)))/(s_P*s_RadSpec!AX2))),".")</f>
        <v>0.19870072460746407</v>
      </c>
      <c r="Y2" s="116">
        <f>IFERROR(IF(d_ss_Bv!Y2=0,".",((s_Ir*s_F*d_ss_Bv!Y2*(1-EXP(-s_RadSpec!AX2*s_t_b)))/(s_P*s_RadSpec!AX2))),".")</f>
        <v>0.19870072460746407</v>
      </c>
      <c r="Z2" s="116">
        <f>IFERROR(IF(d_ss_Bv!Z2=0,".",((s_Ir*s_F*d_ss_Bv!Z2*(1-EXP(-s_RadSpec!AX2*s_t_b)))/(s_P*s_RadSpec!AX2))),".")</f>
        <v>0.19870072460746407</v>
      </c>
      <c r="AA2" s="116">
        <f>IFERROR(IF(d_ss_Bv!C2=0,".",((s_Ir*s_F*s_MLF_apple*(1-EXP(-s_RadSpec!AX2*s_t_b)))/(s_P*s_RadSpec!AX2))),".")</f>
        <v>2.6824597822007652</v>
      </c>
      <c r="AB2" s="116">
        <f>IFERROR(IF(d_ss_Bv!D2=0,".",((s_Ir*s_F*s_MLF_asparagus*(1-EXP(-s_RadSpec!AX2*s_t_b)))/(s_P*s_RadSpec!AX2))),".")</f>
        <v>2.6824597822007652</v>
      </c>
      <c r="AC2" s="116">
        <f>IFERROR(IF(d_ss_Bv!E2=0,".",((s_Ir*s_F*s_MLF_beet*(1-EXP(-s_RadSpec!AX2*s_t_b)))/(s_P*s_RadSpec!AX2))),".")</f>
        <v>2.6824597822007652</v>
      </c>
      <c r="AD2" s="116">
        <f>IFERROR(IF(d_ss_Bv!F2=0,".",((s_Ir*s_F*s_MLF_berries*(1-EXP(-s_RadSpec!AX2*s_t_b)))/(s_P*s_RadSpec!AX2))),".")</f>
        <v>2.6824597822007652</v>
      </c>
      <c r="AE2" s="116">
        <f>IFERROR(IF(d_ss_Bv!G2=0,".",((s_Ir*s_F*s_MLF_broccoli*(1-EXP(-s_RadSpec!AX2*s_t_b)))/(s_P*s_RadSpec!AX2))),".")</f>
        <v>2.6824597822007652</v>
      </c>
      <c r="AF2" s="116">
        <f>IFERROR(IF(d_ss_Bv!H2=0,".",((s_Ir*s_F*s_MLF_cabbage*(1-EXP(-s_RadSpec!AX2*s_t_b)))/(s_P*s_RadSpec!AX2))),".")</f>
        <v>2.6824597822007652</v>
      </c>
      <c r="AG2" s="116">
        <f>IFERROR(IF(d_ss_Bv!I2=0,".",((s_Ir*s_F*s_MLF_carrot*(1-EXP(-s_RadSpec!AX2*s_t_b)))/(s_P*s_RadSpec!AX2))),".")</f>
        <v>2.6824597822007652</v>
      </c>
      <c r="AH2" s="116">
        <f>IFERROR(IF(d_ss_Bv!J2=0,".",((s_Ir*s_F*s_MLF_citrus*(1-EXP(-s_RadSpec!AX2*s_t_b)))/(s_P*s_RadSpec!AX2))),".")</f>
        <v>2.6824597822007652</v>
      </c>
      <c r="AI2" s="116">
        <f>IFERROR(IF(d_ss_Bv!K2=0,".",((s_Ir*s_F*s_MLF_corn*(1-EXP(-s_RadSpec!AX2*s_t_b)))/(s_P*s_RadSpec!AX2))),".")</f>
        <v>2.6824597822007652</v>
      </c>
      <c r="AJ2" s="116">
        <f>IFERROR(IF(d_ss_Bv!L2=0,".",((s_Ir*s_F*s_MLF_cucumber*(1-EXP(-s_RadSpec!AX2*s_t_b)))/(s_P*s_RadSpec!AX2))),".")</f>
        <v>2.6824597822007652</v>
      </c>
      <c r="AK2" s="116">
        <f>IFERROR(IF(d_ss_Bv!M2=0,".",((s_Ir*s_F*s_MLF_lettuce*(1-EXP(-s_RadSpec!AX2*s_t_b)))/(s_P*s_RadSpec!AX2))),".")</f>
        <v>2.6824597822007652</v>
      </c>
      <c r="AL2" s="116">
        <f>IFERROR(IF(d_ss_Bv!N2=0,".",((s_Ir*s_F*s_MLF_lima_bean*(1-EXP(-s_RadSpec!AX2*s_t_b)))/(s_P*s_RadSpec!AX2))),".")</f>
        <v>2.6824597822007652</v>
      </c>
      <c r="AM2" s="116">
        <f>IFERROR(IF(d_ss_Bv!O2=0,".",((s_Ir*s_F*s_MLF_okra*(1-EXP(-s_RadSpec!AX2*s_t_b)))/(s_P*s_RadSpec!AX2))),".")</f>
        <v>2.6824597822007652</v>
      </c>
      <c r="AN2" s="116">
        <f>IFERROR(IF(d_ss_Bv!P2=0,".",((s_Ir*s_F*s_MLF_onion*(1-EXP(-s_RadSpec!AX2*s_t_b)))/(s_P*s_RadSpec!AX2))),".")</f>
        <v>2.6824597822007652</v>
      </c>
      <c r="AO2" s="116">
        <f>IFERROR(IF(d_ss_Bv!Q2=0,".",((s_Ir*s_F*s_MLF_peach*(1-EXP(-s_RadSpec!AX2*s_t_b)))/(s_P*s_RadSpec!AX2))),".")</f>
        <v>2.6824597822007652</v>
      </c>
      <c r="AP2" s="116">
        <f>IFERROR(IF(d_ss_Bv!R2=0,".",((s_Ir*s_F*s_MLF_pear*(1-EXP(-s_RadSpec!AX2*s_t_b)))/(s_P*s_RadSpec!AX2))),".")</f>
        <v>2.6824597822007652</v>
      </c>
      <c r="AQ2" s="116">
        <f>IFERROR(IF(d_ss_Bv!S2=0,".",((s_Ir*s_F*s_MLF_peas*(1-EXP(-s_RadSpec!AX2*s_t_b)))/(s_P*s_RadSpec!AX2))),".")</f>
        <v>2.6824597822007652</v>
      </c>
      <c r="AR2" s="116">
        <f>IFERROR(IF(d_ss_Bv!T2=0,".",((s_Ir*s_F*s_MLF_potato*(1-EXP(-s_RadSpec!AX2*s_t_b)))/(s_P*s_RadSpec!AX2))),".")</f>
        <v>2.6824597822007652</v>
      </c>
      <c r="AS2" s="116">
        <f>IFERROR(IF(d_ss_Bv!U2=0,".",((s_Ir*s_F*s_MLF_pumpkin*(1-EXP(-s_RadSpec!AX2*s_t_b)))/(s_P*s_RadSpec!AX2))),".")</f>
        <v>2.6824597822007652</v>
      </c>
      <c r="AT2" s="116">
        <f>IFERROR(IF(d_ss_Bv!V2=0,".",((s_Ir*s_F*s_MLF_snap_bean*(1-EXP(-s_RadSpec!AX2*s_t_b)))/(s_P*s_RadSpec!AX2))),".")</f>
        <v>2.6824597822007652</v>
      </c>
      <c r="AU2" s="116">
        <f>IFERROR(IF(d_ss_Bv!W2=0,".",((s_Ir*s_F*s_MLF_strawberry*(1-EXP(-s_RadSpec!AX2*s_t_b)))/(s_P*s_RadSpec!AX2))),".")</f>
        <v>2.6824597822007652</v>
      </c>
      <c r="AV2" s="116">
        <f>IFERROR(IF(d_ss_Bv!X2=0,".",((s_Ir*s_F*s_MLF_tomato*(1-EXP(-s_RadSpec!AX2*s_t_b)))/(s_P*s_RadSpec!AX2))),".")</f>
        <v>2.6824597822007652</v>
      </c>
      <c r="AW2" s="116">
        <f>IFERROR(IF(d_ss_Bv!Y2=0,".",((s_Ir*s_F*s_MLF_rice*(1-EXP(-s_RadSpec!AX2*s_t_b)))/(s_P*s_RadSpec!AX2))),".")</f>
        <v>2.6824597822007652</v>
      </c>
      <c r="AX2" s="116">
        <f>IFERROR(IF(d_ss_Bv!Z2=0,".",((s_Ir*s_F*s_MLF_cereal*(1-EXP(-s_RadSpec!AX2*s_t_b)))/(s_P*s_RadSpec!AX2))),".")</f>
        <v>2.6824597822007652</v>
      </c>
      <c r="AY2" s="116">
        <f>IFERROR(IF(d_ss_Bv!C2=0,".",((s_Ir*s_F*s_I_f*s_T*(1-EXP(-s_RadSpec!AY2*s_t_v)))/(s_Y_v*s_RadSpec!AY2))),".")</f>
        <v>9.0143481925428208</v>
      </c>
      <c r="AZ2" s="116">
        <f>IFERROR(IF(d_ss_Bv!D2=0,".",((s_Ir*s_F*s_I_f*s_T*(1-EXP(-s_RadSpec!AY2*s_t_v)))/(s_Y_v*s_RadSpec!AY2))),".")</f>
        <v>9.0143481925428208</v>
      </c>
      <c r="BA2" s="116">
        <f>IFERROR(IF(d_ss_Bv!E2=0,".",((s_Ir*s_F*s_I_f*s_T*(1-EXP(-s_RadSpec!AY2*s_t_v)))/(s_Y_v*s_RadSpec!AY2))),".")</f>
        <v>9.0143481925428208</v>
      </c>
      <c r="BB2" s="116">
        <f>IFERROR(IF(d_ss_Bv!F2=0,".",((s_Ir*s_F*s_I_f*s_T*(1-EXP(-s_RadSpec!AY2*s_t_v)))/(s_Y_v*s_RadSpec!AY2))),".")</f>
        <v>9.0143481925428208</v>
      </c>
      <c r="BC2" s="116">
        <f>IFERROR(IF(d_ss_Bv!G2=0,".",((s_Ir*s_F*s_I_f*s_T*(1-EXP(-s_RadSpec!AY2*s_t_v)))/(s_Y_v*s_RadSpec!AY2))),".")</f>
        <v>9.0143481925428208</v>
      </c>
      <c r="BD2" s="116">
        <f>IFERROR(IF(d_ss_Bv!H2=0,".",((s_Ir*s_F*s_I_f*s_T*(1-EXP(-s_RadSpec!AY2*s_t_v)))/(s_Y_v*s_RadSpec!AY2))),".")</f>
        <v>9.0143481925428208</v>
      </c>
      <c r="BE2" s="116">
        <f>IFERROR(IF(d_ss_Bv!I2=0,".",((s_Ir*s_F*s_I_f*s_T*(1-EXP(-s_RadSpec!AY2*s_t_v)))/(s_Y_v*s_RadSpec!AY2))),".")</f>
        <v>9.0143481925428208</v>
      </c>
      <c r="BF2" s="116">
        <f>IFERROR(IF(d_ss_Bv!J2=0,".",((s_Ir*s_F*s_I_f*s_T*(1-EXP(-s_RadSpec!AY2*s_t_v)))/(s_Y_v*s_RadSpec!AY2))),".")</f>
        <v>9.0143481925428208</v>
      </c>
      <c r="BG2" s="116">
        <f>IFERROR(IF(d_ss_Bv!K2=0,".",((s_Ir*s_F*s_I_f*s_T*(1-EXP(-s_RadSpec!AY2*s_t_v)))/(s_Y_v*s_RadSpec!AY2))),".")</f>
        <v>9.0143481925428208</v>
      </c>
      <c r="BH2" s="116">
        <f>IFERROR(IF(d_ss_Bv!L2=0,".",((s_Ir*s_F*s_I_f*s_T*(1-EXP(-s_RadSpec!AY2*s_t_v)))/(s_Y_v*s_RadSpec!AY2))),".")</f>
        <v>9.0143481925428208</v>
      </c>
      <c r="BI2" s="116">
        <f>IFERROR(IF(d_ss_Bv!M2=0,".",((s_Ir*s_F*s_I_f*s_T*(1-EXP(-s_RadSpec!AY2*s_t_v)))/(s_Y_v*s_RadSpec!AY2))),".")</f>
        <v>9.0143481925428208</v>
      </c>
      <c r="BJ2" s="116">
        <f>IFERROR(IF(d_ss_Bv!N2=0,".",((s_Ir*s_F*s_I_f*s_T*(1-EXP(-s_RadSpec!AY2*s_t_v)))/(s_Y_v*s_RadSpec!AY2))),".")</f>
        <v>9.0143481925428208</v>
      </c>
      <c r="BK2" s="116">
        <f>IFERROR(IF(d_ss_Bv!O2=0,".",((s_Ir*s_F*s_I_f*s_T*(1-EXP(-s_RadSpec!AY2*s_t_v)))/(s_Y_v*s_RadSpec!AY2))),".")</f>
        <v>9.0143481925428208</v>
      </c>
      <c r="BL2" s="116">
        <f>IFERROR(IF(d_ss_Bv!P2=0,".",((s_Ir*s_F*s_I_f*s_T*(1-EXP(-s_RadSpec!AY2*s_t_v)))/(s_Y_v*s_RadSpec!AY2))),".")</f>
        <v>9.0143481925428208</v>
      </c>
      <c r="BM2" s="116">
        <f>IFERROR(IF(d_ss_Bv!Q2=0,".",((s_Ir*s_F*s_I_f*s_T*(1-EXP(-s_RadSpec!AY2*s_t_v)))/(s_Y_v*s_RadSpec!AY2))),".")</f>
        <v>9.0143481925428208</v>
      </c>
      <c r="BN2" s="116">
        <f>IFERROR(IF(d_ss_Bv!R2=0,".",((s_Ir*s_F*s_I_f*s_T*(1-EXP(-s_RadSpec!AY2*s_t_v)))/(s_Y_v*s_RadSpec!AY2))),".")</f>
        <v>9.0143481925428208</v>
      </c>
      <c r="BO2" s="116">
        <f>IFERROR(IF(d_ss_Bv!S2=0,".",((s_Ir*s_F*s_I_f*s_T*(1-EXP(-s_RadSpec!AY2*s_t_v)))/(s_Y_v*s_RadSpec!AY2))),".")</f>
        <v>9.0143481925428208</v>
      </c>
      <c r="BP2" s="116">
        <f>IFERROR(IF(d_ss_Bv!T2=0,".",((s_Ir*s_F*s_I_f*s_T*(1-EXP(-s_RadSpec!AY2*s_t_v)))/(s_Y_v*s_RadSpec!AY2))),".")</f>
        <v>9.0143481925428208</v>
      </c>
      <c r="BQ2" s="116">
        <f>IFERROR(IF(d_ss_Bv!U2=0,".",((s_Ir*s_F*s_I_f*s_T*(1-EXP(-s_RadSpec!AY2*s_t_v)))/(s_Y_v*s_RadSpec!AY2))),".")</f>
        <v>9.0143481925428208</v>
      </c>
      <c r="BR2" s="116">
        <f>IFERROR(IF(d_ss_Bv!V2=0,".",((s_Ir*s_F*s_I_f*s_T*(1-EXP(-s_RadSpec!AY2*s_t_v)))/(s_Y_v*s_RadSpec!AY2))),".")</f>
        <v>9.0143481925428208</v>
      </c>
      <c r="BS2" s="116">
        <f>IFERROR(IF(d_ss_Bv!W2=0,".",((s_Ir*s_F*s_I_f*s_T*(1-EXP(-s_RadSpec!AY2*s_t_v)))/(s_Y_v*s_RadSpec!AY2))),".")</f>
        <v>9.0143481925428208</v>
      </c>
      <c r="BT2" s="116">
        <f>IFERROR(IF(d_ss_Bv!X2=0,".",((s_Ir*s_F*s_I_f*s_T*(1-EXP(-s_RadSpec!AY2*s_t_v)))/(s_Y_v*s_RadSpec!AY2))),".")</f>
        <v>9.0143481925428208</v>
      </c>
      <c r="BU2" s="116">
        <f>IFERROR(IF(d_ss_Bv!Y2=0,".",((s_Ir*s_F*s_I_f*s_T*(1-EXP(-s_RadSpec!AY2*s_t_v)))/(s_Y_v*s_RadSpec!AY2))),".")</f>
        <v>9.0143481925428208</v>
      </c>
      <c r="BV2" s="116">
        <f>IFERROR(IF(d_ss_Bv!Z2=0,".",((s_Ir*s_F*s_I_f*s_T*(1-EXP(-s_RadSpec!AY2*s_t_v)))/(s_Y_v*s_RadSpec!AY2))),".")</f>
        <v>9.0143481925428208</v>
      </c>
    </row>
    <row r="3" spans="1:74" x14ac:dyDescent="0.25">
      <c r="A3" s="46" t="s">
        <v>13</v>
      </c>
      <c r="B3" s="42" t="s">
        <v>351</v>
      </c>
      <c r="C3" s="116">
        <f>IFERROR(IF(d_ss_Bv!C3=0,".",((s_Ir*s_F*d_ss_Bv!C3*(1-EXP(-s_RadSpec!$AX3*s_t_b)))/(s_P*s_RadSpec!$AX3))),".")</f>
        <v>6.1597224628313864E-3</v>
      </c>
      <c r="D3" s="116">
        <f>IFERROR(IF(d_ss_Bv!D3=0,".",((s_Ir*s_F*d_ss_Bv!D3*(1-EXP(-s_RadSpec!AX3*s_t_b)))/(s_P*s_RadSpec!AX3))),".")</f>
        <v>5.364919564401531E-2</v>
      </c>
      <c r="E3" s="116">
        <f>IFERROR(IF(d_ss_Bv!E3=0,".",((s_Ir*s_F*d_ss_Bv!E3*(1-EXP(-s_RadSpec!AX3*s_t_b)))/(s_P*s_RadSpec!AX3))),".")</f>
        <v>0.13312948548700093</v>
      </c>
      <c r="F3" s="116">
        <f>IFERROR(IF(d_ss_Bv!F3=0,".",((s_Ir*s_F*d_ss_Bv!F3*(1-EXP(-s_RadSpec!AX3*s_t_b)))/(s_P*s_RadSpec!AX3))),".")</f>
        <v>0.15896057968597124</v>
      </c>
      <c r="G3" s="116">
        <f>IFERROR(IF(d_ss_Bv!G3=0,".",((s_Ir*s_F*d_ss_Bv!G3*(1-EXP(-s_RadSpec!AX3*s_t_b)))/(s_P*s_RadSpec!AX3))),".")</f>
        <v>7.1532260858687066E-2</v>
      </c>
      <c r="H3" s="116">
        <f>IFERROR(IF(d_ss_Bv!H3=0,".",((s_Ir*s_F*d_ss_Bv!H3*(1-EXP(-s_RadSpec!AX3*s_t_b)))/(s_P*s_RadSpec!AX3))),".")</f>
        <v>5.364919564401531E-2</v>
      </c>
      <c r="I3" s="116">
        <f>IFERROR(IF(d_ss_Bv!I3=0,".",((s_Ir*s_F*d_ss_Bv!I3*(1-EXP(-s_RadSpec!AX3*s_t_b)))/(s_P*s_RadSpec!AX3))),".")</f>
        <v>0.13312948548700093</v>
      </c>
      <c r="J3" s="116">
        <f>IFERROR(IF(d_ss_Bv!J3=0,".",((s_Ir*s_F*d_ss_Bv!J3*(1-EXP(-s_RadSpec!AX3*s_t_b)))/(s_P*s_RadSpec!AX3))),".")</f>
        <v>6.1597224628313864E-3</v>
      </c>
      <c r="K3" s="116">
        <f>IFERROR(IF(d_ss_Bv!K3=0,".",((s_Ir*s_F*d_ss_Bv!K3*(1-EXP(-s_RadSpec!AX3*s_t_b)))/(s_P*s_RadSpec!AX3))),".")</f>
        <v>9.9350362303732027E-3</v>
      </c>
      <c r="L3" s="116">
        <f>IFERROR(IF(d_ss_Bv!L3=0,".",((s_Ir*s_F*d_ss_Bv!L3*(1-EXP(-s_RadSpec!AX3*s_t_b)))/(s_P*s_RadSpec!AX3))),".")</f>
        <v>7.1532260858687066E-2</v>
      </c>
      <c r="M3" s="116">
        <f>IFERROR(IF(d_ss_Bv!M3=0,".",((s_Ir*s_F*d_ss_Bv!M3*(1-EXP(-s_RadSpec!AX3*s_t_b)))/(s_P*s_RadSpec!AX3))),".")</f>
        <v>5.364919564401531E-2</v>
      </c>
      <c r="N3" s="116">
        <f>IFERROR(IF(d_ss_Bv!N3=0,".",((s_Ir*s_F*d_ss_Bv!N3*(1-EXP(-s_RadSpec!AX3*s_t_b)))/(s_P*s_RadSpec!AX3))),".")</f>
        <v>7.5506275350836358E-2</v>
      </c>
      <c r="O3" s="116">
        <f>IFERROR(IF(d_ss_Bv!O3=0,".",((s_Ir*s_F*d_ss_Bv!O3*(1-EXP(-s_RadSpec!AX3*s_t_b)))/(s_P*s_RadSpec!AX3))),".")</f>
        <v>7.1532260858687066E-2</v>
      </c>
      <c r="P3" s="116">
        <f>IFERROR(IF(d_ss_Bv!P3=0,".",((s_Ir*s_F*d_ss_Bv!P3*(1-EXP(-s_RadSpec!AX3*s_t_b)))/(s_P*s_RadSpec!AX3))),".")</f>
        <v>7.1532260858687066E-2</v>
      </c>
      <c r="Q3" s="116">
        <f>IFERROR(IF(d_ss_Bv!Q3=0,".",((s_Ir*s_F*d_ss_Bv!Q3*(1-EXP(-s_RadSpec!AX3*s_t_b)))/(s_P*s_RadSpec!AX3))),".")</f>
        <v>6.1597224628313864E-3</v>
      </c>
      <c r="R3" s="116">
        <f>IFERROR(IF(d_ss_Bv!R3=0,".",((s_Ir*s_F*d_ss_Bv!R3*(1-EXP(-s_RadSpec!AX3*s_t_b)))/(s_P*s_RadSpec!AX3))),".")</f>
        <v>6.1597224628313864E-3</v>
      </c>
      <c r="S3" s="116">
        <f>IFERROR(IF(d_ss_Bv!S3=0,".",((s_Ir*s_F*d_ss_Bv!S3*(1-EXP(-s_RadSpec!AX3*s_t_b)))/(s_P*s_RadSpec!AX3))),".")</f>
        <v>7.5506275350836358E-2</v>
      </c>
      <c r="T3" s="116">
        <f>IFERROR(IF(d_ss_Bv!T3=0,".",((s_Ir*s_F*d_ss_Bv!T3*(1-EXP(-s_RadSpec!AX3*s_t_b)))/(s_P*s_RadSpec!AX3))),".")</f>
        <v>4.1727152167567463E-2</v>
      </c>
      <c r="U3" s="116">
        <f>IFERROR(IF(d_ss_Bv!U3=0,".",((s_Ir*s_F*d_ss_Bv!U3*(1-EXP(-s_RadSpec!AX3*s_t_b)))/(s_P*s_RadSpec!AX3))),".")</f>
        <v>7.1532260858687066E-2</v>
      </c>
      <c r="V3" s="116">
        <f>IFERROR(IF(d_ss_Bv!V3=0,".",((s_Ir*s_F*d_ss_Bv!V3*(1-EXP(-s_RadSpec!AX3*s_t_b)))/(s_P*s_RadSpec!AX3))),".")</f>
        <v>7.5506275350836358E-2</v>
      </c>
      <c r="W3" s="116">
        <f>IFERROR(IF(d_ss_Bv!W3=0,".",((s_Ir*s_F*d_ss_Bv!W3*(1-EXP(-s_RadSpec!AX3*s_t_b)))/(s_P*s_RadSpec!AX3))),".")</f>
        <v>2.1857079706821051E-2</v>
      </c>
      <c r="X3" s="116">
        <f>IFERROR(IF(d_ss_Bv!X3=0,".",((s_Ir*s_F*d_ss_Bv!X3*(1-EXP(-s_RadSpec!AX3*s_t_b)))/(s_P*s_RadSpec!AX3))),".")</f>
        <v>7.1532260858687066E-2</v>
      </c>
      <c r="Y3" s="116">
        <f>IFERROR(IF(d_ss_Bv!Y3=0,".",((s_Ir*s_F*d_ss_Bv!Y3*(1-EXP(-s_RadSpec!AX3*s_t_b)))/(s_P*s_RadSpec!AX3))),".")</f>
        <v>0.19870072460746407</v>
      </c>
      <c r="Z3" s="116">
        <f>IFERROR(IF(d_ss_Bv!Z3=0,".",((s_Ir*s_F*d_ss_Bv!Z3*(1-EXP(-s_RadSpec!AX3*s_t_b)))/(s_P*s_RadSpec!AX3))),".")</f>
        <v>4.3714159413642097E-3</v>
      </c>
      <c r="AA3" s="116">
        <f>IFERROR(IF(d_ss_Bv!C3=0,".",((s_Ir*s_F*s_MLF_apple*(1-EXP(-s_RadSpec!AX3*s_t_b)))/(s_P*s_RadSpec!AX3))),".")</f>
        <v>2.6824597822007652</v>
      </c>
      <c r="AB3" s="116">
        <f>IFERROR(IF(d_ss_Bv!D3=0,".",((s_Ir*s_F*s_MLF_asparagus*(1-EXP(-s_RadSpec!AX3*s_t_b)))/(s_P*s_RadSpec!AX3))),".")</f>
        <v>2.6824597822007652</v>
      </c>
      <c r="AC3" s="116">
        <f>IFERROR(IF(d_ss_Bv!E3=0,".",((s_Ir*s_F*s_MLF_beet*(1-EXP(-s_RadSpec!AX3*s_t_b)))/(s_P*s_RadSpec!AX3))),".")</f>
        <v>2.6824597822007652</v>
      </c>
      <c r="AD3" s="116">
        <f>IFERROR(IF(d_ss_Bv!F3=0,".",((s_Ir*s_F*s_MLF_berries*(1-EXP(-s_RadSpec!AX3*s_t_b)))/(s_P*s_RadSpec!AX3))),".")</f>
        <v>2.6824597822007652</v>
      </c>
      <c r="AE3" s="116">
        <f>IFERROR(IF(d_ss_Bv!G3=0,".",((s_Ir*s_F*s_MLF_broccoli*(1-EXP(-s_RadSpec!AX3*s_t_b)))/(s_P*s_RadSpec!AX3))),".")</f>
        <v>2.6824597822007652</v>
      </c>
      <c r="AF3" s="116">
        <f>IFERROR(IF(d_ss_Bv!H3=0,".",((s_Ir*s_F*s_MLF_cabbage*(1-EXP(-s_RadSpec!AX3*s_t_b)))/(s_P*s_RadSpec!AX3))),".")</f>
        <v>2.6824597822007652</v>
      </c>
      <c r="AG3" s="116">
        <f>IFERROR(IF(d_ss_Bv!I3=0,".",((s_Ir*s_F*s_MLF_carrot*(1-EXP(-s_RadSpec!AX3*s_t_b)))/(s_P*s_RadSpec!AX3))),".")</f>
        <v>2.6824597822007652</v>
      </c>
      <c r="AH3" s="116">
        <f>IFERROR(IF(d_ss_Bv!J3=0,".",((s_Ir*s_F*s_MLF_citrus*(1-EXP(-s_RadSpec!AX3*s_t_b)))/(s_P*s_RadSpec!AX3))),".")</f>
        <v>2.6824597822007652</v>
      </c>
      <c r="AI3" s="116">
        <f>IFERROR(IF(d_ss_Bv!K3=0,".",((s_Ir*s_F*s_MLF_corn*(1-EXP(-s_RadSpec!AX3*s_t_b)))/(s_P*s_RadSpec!AX3))),".")</f>
        <v>2.6824597822007652</v>
      </c>
      <c r="AJ3" s="116">
        <f>IFERROR(IF(d_ss_Bv!L3=0,".",((s_Ir*s_F*s_MLF_cucumber*(1-EXP(-s_RadSpec!AX3*s_t_b)))/(s_P*s_RadSpec!AX3))),".")</f>
        <v>2.6824597822007652</v>
      </c>
      <c r="AK3" s="116">
        <f>IFERROR(IF(d_ss_Bv!M3=0,".",((s_Ir*s_F*s_MLF_lettuce*(1-EXP(-s_RadSpec!AX3*s_t_b)))/(s_P*s_RadSpec!AX3))),".")</f>
        <v>2.6824597822007652</v>
      </c>
      <c r="AL3" s="116">
        <f>IFERROR(IF(d_ss_Bv!N3=0,".",((s_Ir*s_F*s_MLF_lima_bean*(1-EXP(-s_RadSpec!AX3*s_t_b)))/(s_P*s_RadSpec!AX3))),".")</f>
        <v>2.6824597822007652</v>
      </c>
      <c r="AM3" s="116">
        <f>IFERROR(IF(d_ss_Bv!O3=0,".",((s_Ir*s_F*s_MLF_okra*(1-EXP(-s_RadSpec!AX3*s_t_b)))/(s_P*s_RadSpec!AX3))),".")</f>
        <v>2.6824597822007652</v>
      </c>
      <c r="AN3" s="116">
        <f>IFERROR(IF(d_ss_Bv!P3=0,".",((s_Ir*s_F*s_MLF_onion*(1-EXP(-s_RadSpec!AX3*s_t_b)))/(s_P*s_RadSpec!AX3))),".")</f>
        <v>2.6824597822007652</v>
      </c>
      <c r="AO3" s="116">
        <f>IFERROR(IF(d_ss_Bv!Q3=0,".",((s_Ir*s_F*s_MLF_peach*(1-EXP(-s_RadSpec!AX3*s_t_b)))/(s_P*s_RadSpec!AX3))),".")</f>
        <v>2.6824597822007652</v>
      </c>
      <c r="AP3" s="116">
        <f>IFERROR(IF(d_ss_Bv!R3=0,".",((s_Ir*s_F*s_MLF_pear*(1-EXP(-s_RadSpec!AX3*s_t_b)))/(s_P*s_RadSpec!AX3))),".")</f>
        <v>2.6824597822007652</v>
      </c>
      <c r="AQ3" s="116">
        <f>IFERROR(IF(d_ss_Bv!S3=0,".",((s_Ir*s_F*s_MLF_peas*(1-EXP(-s_RadSpec!AX3*s_t_b)))/(s_P*s_RadSpec!AX3))),".")</f>
        <v>2.6824597822007652</v>
      </c>
      <c r="AR3" s="116">
        <f>IFERROR(IF(d_ss_Bv!T3=0,".",((s_Ir*s_F*s_MLF_potato*(1-EXP(-s_RadSpec!AX3*s_t_b)))/(s_P*s_RadSpec!AX3))),".")</f>
        <v>2.6824597822007652</v>
      </c>
      <c r="AS3" s="116">
        <f>IFERROR(IF(d_ss_Bv!U3=0,".",((s_Ir*s_F*s_MLF_pumpkin*(1-EXP(-s_RadSpec!AX3*s_t_b)))/(s_P*s_RadSpec!AX3))),".")</f>
        <v>2.6824597822007652</v>
      </c>
      <c r="AT3" s="116">
        <f>IFERROR(IF(d_ss_Bv!V3=0,".",((s_Ir*s_F*s_MLF_snap_bean*(1-EXP(-s_RadSpec!AX3*s_t_b)))/(s_P*s_RadSpec!AX3))),".")</f>
        <v>2.6824597822007652</v>
      </c>
      <c r="AU3" s="116">
        <f>IFERROR(IF(d_ss_Bv!W3=0,".",((s_Ir*s_F*s_MLF_strawberry*(1-EXP(-s_RadSpec!AX3*s_t_b)))/(s_P*s_RadSpec!AX3))),".")</f>
        <v>2.6824597822007652</v>
      </c>
      <c r="AV3" s="116">
        <f>IFERROR(IF(d_ss_Bv!X3=0,".",((s_Ir*s_F*s_MLF_tomato*(1-EXP(-s_RadSpec!AX3*s_t_b)))/(s_P*s_RadSpec!AX3))),".")</f>
        <v>2.6824597822007652</v>
      </c>
      <c r="AW3" s="116">
        <f>IFERROR(IF(d_ss_Bv!Y3=0,".",((s_Ir*s_F*s_MLF_rice*(1-EXP(-s_RadSpec!AX3*s_t_b)))/(s_P*s_RadSpec!AX3))),".")</f>
        <v>2.6824597822007652</v>
      </c>
      <c r="AX3" s="116">
        <f>IFERROR(IF(d_ss_Bv!Z3=0,".",((s_Ir*s_F*s_MLF_cereal*(1-EXP(-s_RadSpec!AX3*s_t_b)))/(s_P*s_RadSpec!AX3))),".")</f>
        <v>2.6824597822007652</v>
      </c>
      <c r="AY3" s="116">
        <f>IFERROR(IF(d_ss_Bv!C3=0,".",((s_Ir*s_F*s_I_f*s_T*(1-EXP(-s_RadSpec!AY3*s_t_v)))/(s_Y_v*s_RadSpec!AY3))),".")</f>
        <v>9.0143481925428208</v>
      </c>
      <c r="AZ3" s="116">
        <f>IFERROR(IF(d_ss_Bv!D3=0,".",((s_Ir*s_F*s_I_f*s_T*(1-EXP(-s_RadSpec!AY3*s_t_v)))/(s_Y_v*s_RadSpec!AY3))),".")</f>
        <v>9.0143481925428208</v>
      </c>
      <c r="BA3" s="116">
        <f>IFERROR(IF(d_ss_Bv!E3=0,".",((s_Ir*s_F*s_I_f*s_T*(1-EXP(-s_RadSpec!AY3*s_t_v)))/(s_Y_v*s_RadSpec!AY3))),".")</f>
        <v>9.0143481925428208</v>
      </c>
      <c r="BB3" s="116">
        <f>IFERROR(IF(d_ss_Bv!F3=0,".",((s_Ir*s_F*s_I_f*s_T*(1-EXP(-s_RadSpec!AY3*s_t_v)))/(s_Y_v*s_RadSpec!AY3))),".")</f>
        <v>9.0143481925428208</v>
      </c>
      <c r="BC3" s="116">
        <f>IFERROR(IF(d_ss_Bv!G3=0,".",((s_Ir*s_F*s_I_f*s_T*(1-EXP(-s_RadSpec!AY3*s_t_v)))/(s_Y_v*s_RadSpec!AY3))),".")</f>
        <v>9.0143481925428208</v>
      </c>
      <c r="BD3" s="116">
        <f>IFERROR(IF(d_ss_Bv!H3=0,".",((s_Ir*s_F*s_I_f*s_T*(1-EXP(-s_RadSpec!AY3*s_t_v)))/(s_Y_v*s_RadSpec!AY3))),".")</f>
        <v>9.0143481925428208</v>
      </c>
      <c r="BE3" s="116">
        <f>IFERROR(IF(d_ss_Bv!I3=0,".",((s_Ir*s_F*s_I_f*s_T*(1-EXP(-s_RadSpec!AY3*s_t_v)))/(s_Y_v*s_RadSpec!AY3))),".")</f>
        <v>9.0143481925428208</v>
      </c>
      <c r="BF3" s="116">
        <f>IFERROR(IF(d_ss_Bv!J3=0,".",((s_Ir*s_F*s_I_f*s_T*(1-EXP(-s_RadSpec!AY3*s_t_v)))/(s_Y_v*s_RadSpec!AY3))),".")</f>
        <v>9.0143481925428208</v>
      </c>
      <c r="BG3" s="116">
        <f>IFERROR(IF(d_ss_Bv!K3=0,".",((s_Ir*s_F*s_I_f*s_T*(1-EXP(-s_RadSpec!AY3*s_t_v)))/(s_Y_v*s_RadSpec!AY3))),".")</f>
        <v>9.0143481925428208</v>
      </c>
      <c r="BH3" s="116">
        <f>IFERROR(IF(d_ss_Bv!L3=0,".",((s_Ir*s_F*s_I_f*s_T*(1-EXP(-s_RadSpec!AY3*s_t_v)))/(s_Y_v*s_RadSpec!AY3))),".")</f>
        <v>9.0143481925428208</v>
      </c>
      <c r="BI3" s="116">
        <f>IFERROR(IF(d_ss_Bv!M3=0,".",((s_Ir*s_F*s_I_f*s_T*(1-EXP(-s_RadSpec!AY3*s_t_v)))/(s_Y_v*s_RadSpec!AY3))),".")</f>
        <v>9.0143481925428208</v>
      </c>
      <c r="BJ3" s="116">
        <f>IFERROR(IF(d_ss_Bv!N3=0,".",((s_Ir*s_F*s_I_f*s_T*(1-EXP(-s_RadSpec!AY3*s_t_v)))/(s_Y_v*s_RadSpec!AY3))),".")</f>
        <v>9.0143481925428208</v>
      </c>
      <c r="BK3" s="116">
        <f>IFERROR(IF(d_ss_Bv!O3=0,".",((s_Ir*s_F*s_I_f*s_T*(1-EXP(-s_RadSpec!AY3*s_t_v)))/(s_Y_v*s_RadSpec!AY3))),".")</f>
        <v>9.0143481925428208</v>
      </c>
      <c r="BL3" s="116">
        <f>IFERROR(IF(d_ss_Bv!P3=0,".",((s_Ir*s_F*s_I_f*s_T*(1-EXP(-s_RadSpec!AY3*s_t_v)))/(s_Y_v*s_RadSpec!AY3))),".")</f>
        <v>9.0143481925428208</v>
      </c>
      <c r="BM3" s="116">
        <f>IFERROR(IF(d_ss_Bv!Q3=0,".",((s_Ir*s_F*s_I_f*s_T*(1-EXP(-s_RadSpec!AY3*s_t_v)))/(s_Y_v*s_RadSpec!AY3))),".")</f>
        <v>9.0143481925428208</v>
      </c>
      <c r="BN3" s="116">
        <f>IFERROR(IF(d_ss_Bv!R3=0,".",((s_Ir*s_F*s_I_f*s_T*(1-EXP(-s_RadSpec!AY3*s_t_v)))/(s_Y_v*s_RadSpec!AY3))),".")</f>
        <v>9.0143481925428208</v>
      </c>
      <c r="BO3" s="116">
        <f>IFERROR(IF(d_ss_Bv!S3=0,".",((s_Ir*s_F*s_I_f*s_T*(1-EXP(-s_RadSpec!AY3*s_t_v)))/(s_Y_v*s_RadSpec!AY3))),".")</f>
        <v>9.0143481925428208</v>
      </c>
      <c r="BP3" s="116">
        <f>IFERROR(IF(d_ss_Bv!T3=0,".",((s_Ir*s_F*s_I_f*s_T*(1-EXP(-s_RadSpec!AY3*s_t_v)))/(s_Y_v*s_RadSpec!AY3))),".")</f>
        <v>9.0143481925428208</v>
      </c>
      <c r="BQ3" s="116">
        <f>IFERROR(IF(d_ss_Bv!U3=0,".",((s_Ir*s_F*s_I_f*s_T*(1-EXP(-s_RadSpec!AY3*s_t_v)))/(s_Y_v*s_RadSpec!AY3))),".")</f>
        <v>9.0143481925428208</v>
      </c>
      <c r="BR3" s="116">
        <f>IFERROR(IF(d_ss_Bv!V3=0,".",((s_Ir*s_F*s_I_f*s_T*(1-EXP(-s_RadSpec!AY3*s_t_v)))/(s_Y_v*s_RadSpec!AY3))),".")</f>
        <v>9.0143481925428208</v>
      </c>
      <c r="BS3" s="116">
        <f>IFERROR(IF(d_ss_Bv!W3=0,".",((s_Ir*s_F*s_I_f*s_T*(1-EXP(-s_RadSpec!AY3*s_t_v)))/(s_Y_v*s_RadSpec!AY3))),".")</f>
        <v>9.0143481925428208</v>
      </c>
      <c r="BT3" s="116">
        <f>IFERROR(IF(d_ss_Bv!X3=0,".",((s_Ir*s_F*s_I_f*s_T*(1-EXP(-s_RadSpec!AY3*s_t_v)))/(s_Y_v*s_RadSpec!AY3))),".")</f>
        <v>9.0143481925428208</v>
      </c>
      <c r="BU3" s="116">
        <f>IFERROR(IF(d_ss_Bv!Y3=0,".",((s_Ir*s_F*s_I_f*s_T*(1-EXP(-s_RadSpec!AY3*s_t_v)))/(s_Y_v*s_RadSpec!AY3))),".")</f>
        <v>9.0143481925428208</v>
      </c>
      <c r="BV3" s="116">
        <f>IFERROR(IF(d_ss_Bv!Z3=0,".",((s_Ir*s_F*s_I_f*s_T*(1-EXP(-s_RadSpec!AY3*s_t_v)))/(s_Y_v*s_RadSpec!AY3))),".")</f>
        <v>9.0143481925428208</v>
      </c>
    </row>
    <row r="4" spans="1:74" x14ac:dyDescent="0.25">
      <c r="A4" s="44" t="s">
        <v>14</v>
      </c>
      <c r="B4" s="42" t="s">
        <v>1074</v>
      </c>
      <c r="C4" s="116">
        <f>IFERROR(IF(d_ss_Bv!C4=0,".",((s_Ir*s_F*d_ss_Bv!C4*(1-EXP(-s_RadSpec!$AX4*s_t_b)))/(s_P*s_RadSpec!$AX4))),".")</f>
        <v>39.740144921492814</v>
      </c>
      <c r="D4" s="116">
        <f>IFERROR(IF(d_ss_Bv!D4=0,".",((s_Ir*s_F*d_ss_Bv!D4*(1-EXP(-s_RadSpec!AX4*s_t_b)))/(s_P*s_RadSpec!AX4))),".")</f>
        <v>39.740144921492814</v>
      </c>
      <c r="E4" s="116">
        <f>IFERROR(IF(d_ss_Bv!E4=0,".",((s_Ir*s_F*d_ss_Bv!E4*(1-EXP(-s_RadSpec!AX4*s_t_b)))/(s_P*s_RadSpec!AX4))),".")</f>
        <v>39.740144921492814</v>
      </c>
      <c r="F4" s="116">
        <f>IFERROR(IF(d_ss_Bv!F4=0,".",((s_Ir*s_F*d_ss_Bv!F4*(1-EXP(-s_RadSpec!AX4*s_t_b)))/(s_P*s_RadSpec!AX4))),".")</f>
        <v>39.740144921492814</v>
      </c>
      <c r="G4" s="116">
        <f>IFERROR(IF(d_ss_Bv!G4=0,".",((s_Ir*s_F*d_ss_Bv!G4*(1-EXP(-s_RadSpec!AX4*s_t_b)))/(s_P*s_RadSpec!AX4))),".")</f>
        <v>39.740144921492814</v>
      </c>
      <c r="H4" s="116">
        <f>IFERROR(IF(d_ss_Bv!H4=0,".",((s_Ir*s_F*d_ss_Bv!H4*(1-EXP(-s_RadSpec!AX4*s_t_b)))/(s_P*s_RadSpec!AX4))),".")</f>
        <v>39.740144921492814</v>
      </c>
      <c r="I4" s="116">
        <f>IFERROR(IF(d_ss_Bv!I4=0,".",((s_Ir*s_F*d_ss_Bv!I4*(1-EXP(-s_RadSpec!AX4*s_t_b)))/(s_P*s_RadSpec!AX4))),".")</f>
        <v>39.740144921492814</v>
      </c>
      <c r="J4" s="116">
        <f>IFERROR(IF(d_ss_Bv!J4=0,".",((s_Ir*s_F*d_ss_Bv!J4*(1-EXP(-s_RadSpec!AX4*s_t_b)))/(s_P*s_RadSpec!AX4))),".")</f>
        <v>39.740144921492814</v>
      </c>
      <c r="K4" s="116">
        <f>IFERROR(IF(d_ss_Bv!K4=0,".",((s_Ir*s_F*d_ss_Bv!K4*(1-EXP(-s_RadSpec!AX4*s_t_b)))/(s_P*s_RadSpec!AX4))),".")</f>
        <v>39.740144921492814</v>
      </c>
      <c r="L4" s="116">
        <f>IFERROR(IF(d_ss_Bv!L4=0,".",((s_Ir*s_F*d_ss_Bv!L4*(1-EXP(-s_RadSpec!AX4*s_t_b)))/(s_P*s_RadSpec!AX4))),".")</f>
        <v>39.740144921492814</v>
      </c>
      <c r="M4" s="116">
        <f>IFERROR(IF(d_ss_Bv!M4=0,".",((s_Ir*s_F*d_ss_Bv!M4*(1-EXP(-s_RadSpec!AX4*s_t_b)))/(s_P*s_RadSpec!AX4))),".")</f>
        <v>39.740144921492814</v>
      </c>
      <c r="N4" s="116">
        <f>IFERROR(IF(d_ss_Bv!N4=0,".",((s_Ir*s_F*d_ss_Bv!N4*(1-EXP(-s_RadSpec!AX4*s_t_b)))/(s_P*s_RadSpec!AX4))),".")</f>
        <v>39.740144921492814</v>
      </c>
      <c r="O4" s="116">
        <f>IFERROR(IF(d_ss_Bv!O4=0,".",((s_Ir*s_F*d_ss_Bv!O4*(1-EXP(-s_RadSpec!AX4*s_t_b)))/(s_P*s_RadSpec!AX4))),".")</f>
        <v>39.740144921492814</v>
      </c>
      <c r="P4" s="116">
        <f>IFERROR(IF(d_ss_Bv!P4=0,".",((s_Ir*s_F*d_ss_Bv!P4*(1-EXP(-s_RadSpec!AX4*s_t_b)))/(s_P*s_RadSpec!AX4))),".")</f>
        <v>39.740144921492814</v>
      </c>
      <c r="Q4" s="116">
        <f>IFERROR(IF(d_ss_Bv!Q4=0,".",((s_Ir*s_F*d_ss_Bv!Q4*(1-EXP(-s_RadSpec!AX4*s_t_b)))/(s_P*s_RadSpec!AX4))),".")</f>
        <v>39.740144921492814</v>
      </c>
      <c r="R4" s="116">
        <f>IFERROR(IF(d_ss_Bv!R4=0,".",((s_Ir*s_F*d_ss_Bv!R4*(1-EXP(-s_RadSpec!AX4*s_t_b)))/(s_P*s_RadSpec!AX4))),".")</f>
        <v>39.740144921492814</v>
      </c>
      <c r="S4" s="116">
        <f>IFERROR(IF(d_ss_Bv!S4=0,".",((s_Ir*s_F*d_ss_Bv!S4*(1-EXP(-s_RadSpec!AX4*s_t_b)))/(s_P*s_RadSpec!AX4))),".")</f>
        <v>39.740144921492814</v>
      </c>
      <c r="T4" s="116">
        <f>IFERROR(IF(d_ss_Bv!T4=0,".",((s_Ir*s_F*d_ss_Bv!T4*(1-EXP(-s_RadSpec!AX4*s_t_b)))/(s_P*s_RadSpec!AX4))),".")</f>
        <v>39.740144921492814</v>
      </c>
      <c r="U4" s="116">
        <f>IFERROR(IF(d_ss_Bv!U4=0,".",((s_Ir*s_F*d_ss_Bv!U4*(1-EXP(-s_RadSpec!AX4*s_t_b)))/(s_P*s_RadSpec!AX4))),".")</f>
        <v>39.740144921492814</v>
      </c>
      <c r="V4" s="116">
        <f>IFERROR(IF(d_ss_Bv!V4=0,".",((s_Ir*s_F*d_ss_Bv!V4*(1-EXP(-s_RadSpec!AX4*s_t_b)))/(s_P*s_RadSpec!AX4))),".")</f>
        <v>39.740144921492814</v>
      </c>
      <c r="W4" s="116">
        <f>IFERROR(IF(d_ss_Bv!W4=0,".",((s_Ir*s_F*d_ss_Bv!W4*(1-EXP(-s_RadSpec!AX4*s_t_b)))/(s_P*s_RadSpec!AX4))),".")</f>
        <v>39.740144921492814</v>
      </c>
      <c r="X4" s="116">
        <f>IFERROR(IF(d_ss_Bv!X4=0,".",((s_Ir*s_F*d_ss_Bv!X4*(1-EXP(-s_RadSpec!AX4*s_t_b)))/(s_P*s_RadSpec!AX4))),".")</f>
        <v>39.740144921492814</v>
      </c>
      <c r="Y4" s="116">
        <f>IFERROR(IF(d_ss_Bv!Y4=0,".",((s_Ir*s_F*d_ss_Bv!Y4*(1-EXP(-s_RadSpec!AX4*s_t_b)))/(s_P*s_RadSpec!AX4))),".")</f>
        <v>39.740144921492814</v>
      </c>
      <c r="Z4" s="116">
        <f>IFERROR(IF(d_ss_Bv!Z4=0,".",((s_Ir*s_F*d_ss_Bv!Z4*(1-EXP(-s_RadSpec!AX4*s_t_b)))/(s_P*s_RadSpec!AX4))),".")</f>
        <v>39.740144921492814</v>
      </c>
      <c r="AA4" s="116">
        <f>IFERROR(IF(d_ss_Bv!C4=0,".",((s_Ir*s_F*s_MLF_apple*(1-EXP(-s_RadSpec!AX4*s_t_b)))/(s_P*s_RadSpec!AX4))),".")</f>
        <v>2.6824597822007652</v>
      </c>
      <c r="AB4" s="116">
        <f>IFERROR(IF(d_ss_Bv!D4=0,".",((s_Ir*s_F*s_MLF_asparagus*(1-EXP(-s_RadSpec!AX4*s_t_b)))/(s_P*s_RadSpec!AX4))),".")</f>
        <v>2.6824597822007652</v>
      </c>
      <c r="AC4" s="116">
        <f>IFERROR(IF(d_ss_Bv!E4=0,".",((s_Ir*s_F*s_MLF_beet*(1-EXP(-s_RadSpec!AX4*s_t_b)))/(s_P*s_RadSpec!AX4))),".")</f>
        <v>2.6824597822007652</v>
      </c>
      <c r="AD4" s="116">
        <f>IFERROR(IF(d_ss_Bv!F4=0,".",((s_Ir*s_F*s_MLF_berries*(1-EXP(-s_RadSpec!AX4*s_t_b)))/(s_P*s_RadSpec!AX4))),".")</f>
        <v>2.6824597822007652</v>
      </c>
      <c r="AE4" s="116">
        <f>IFERROR(IF(d_ss_Bv!G4=0,".",((s_Ir*s_F*s_MLF_broccoli*(1-EXP(-s_RadSpec!AX4*s_t_b)))/(s_P*s_RadSpec!AX4))),".")</f>
        <v>2.6824597822007652</v>
      </c>
      <c r="AF4" s="116">
        <f>IFERROR(IF(d_ss_Bv!H4=0,".",((s_Ir*s_F*s_MLF_cabbage*(1-EXP(-s_RadSpec!AX4*s_t_b)))/(s_P*s_RadSpec!AX4))),".")</f>
        <v>2.6824597822007652</v>
      </c>
      <c r="AG4" s="116">
        <f>IFERROR(IF(d_ss_Bv!I4=0,".",((s_Ir*s_F*s_MLF_carrot*(1-EXP(-s_RadSpec!AX4*s_t_b)))/(s_P*s_RadSpec!AX4))),".")</f>
        <v>2.6824597822007652</v>
      </c>
      <c r="AH4" s="116">
        <f>IFERROR(IF(d_ss_Bv!J4=0,".",((s_Ir*s_F*s_MLF_citrus*(1-EXP(-s_RadSpec!AX4*s_t_b)))/(s_P*s_RadSpec!AX4))),".")</f>
        <v>2.6824597822007652</v>
      </c>
      <c r="AI4" s="116">
        <f>IFERROR(IF(d_ss_Bv!K4=0,".",((s_Ir*s_F*s_MLF_corn*(1-EXP(-s_RadSpec!AX4*s_t_b)))/(s_P*s_RadSpec!AX4))),".")</f>
        <v>2.6824597822007652</v>
      </c>
      <c r="AJ4" s="116">
        <f>IFERROR(IF(d_ss_Bv!L4=0,".",((s_Ir*s_F*s_MLF_cucumber*(1-EXP(-s_RadSpec!AX4*s_t_b)))/(s_P*s_RadSpec!AX4))),".")</f>
        <v>2.6824597822007652</v>
      </c>
      <c r="AK4" s="116">
        <f>IFERROR(IF(d_ss_Bv!M4=0,".",((s_Ir*s_F*s_MLF_lettuce*(1-EXP(-s_RadSpec!AX4*s_t_b)))/(s_P*s_RadSpec!AX4))),".")</f>
        <v>2.6824597822007652</v>
      </c>
      <c r="AL4" s="116">
        <f>IFERROR(IF(d_ss_Bv!N4=0,".",((s_Ir*s_F*s_MLF_lima_bean*(1-EXP(-s_RadSpec!AX4*s_t_b)))/(s_P*s_RadSpec!AX4))),".")</f>
        <v>2.6824597822007652</v>
      </c>
      <c r="AM4" s="116">
        <f>IFERROR(IF(d_ss_Bv!O4=0,".",((s_Ir*s_F*s_MLF_okra*(1-EXP(-s_RadSpec!AX4*s_t_b)))/(s_P*s_RadSpec!AX4))),".")</f>
        <v>2.6824597822007652</v>
      </c>
      <c r="AN4" s="116">
        <f>IFERROR(IF(d_ss_Bv!P4=0,".",((s_Ir*s_F*s_MLF_onion*(1-EXP(-s_RadSpec!AX4*s_t_b)))/(s_P*s_RadSpec!AX4))),".")</f>
        <v>2.6824597822007652</v>
      </c>
      <c r="AO4" s="116">
        <f>IFERROR(IF(d_ss_Bv!Q4=0,".",((s_Ir*s_F*s_MLF_peach*(1-EXP(-s_RadSpec!AX4*s_t_b)))/(s_P*s_RadSpec!AX4))),".")</f>
        <v>2.6824597822007652</v>
      </c>
      <c r="AP4" s="116">
        <f>IFERROR(IF(d_ss_Bv!R4=0,".",((s_Ir*s_F*s_MLF_pear*(1-EXP(-s_RadSpec!AX4*s_t_b)))/(s_P*s_RadSpec!AX4))),".")</f>
        <v>2.6824597822007652</v>
      </c>
      <c r="AQ4" s="116">
        <f>IFERROR(IF(d_ss_Bv!S4=0,".",((s_Ir*s_F*s_MLF_peas*(1-EXP(-s_RadSpec!AX4*s_t_b)))/(s_P*s_RadSpec!AX4))),".")</f>
        <v>2.6824597822007652</v>
      </c>
      <c r="AR4" s="116">
        <f>IFERROR(IF(d_ss_Bv!T4=0,".",((s_Ir*s_F*s_MLF_potato*(1-EXP(-s_RadSpec!AX4*s_t_b)))/(s_P*s_RadSpec!AX4))),".")</f>
        <v>2.6824597822007652</v>
      </c>
      <c r="AS4" s="116">
        <f>IFERROR(IF(d_ss_Bv!U4=0,".",((s_Ir*s_F*s_MLF_pumpkin*(1-EXP(-s_RadSpec!AX4*s_t_b)))/(s_P*s_RadSpec!AX4))),".")</f>
        <v>2.6824597822007652</v>
      </c>
      <c r="AT4" s="116">
        <f>IFERROR(IF(d_ss_Bv!V4=0,".",((s_Ir*s_F*s_MLF_snap_bean*(1-EXP(-s_RadSpec!AX4*s_t_b)))/(s_P*s_RadSpec!AX4))),".")</f>
        <v>2.6824597822007652</v>
      </c>
      <c r="AU4" s="116">
        <f>IFERROR(IF(d_ss_Bv!W4=0,".",((s_Ir*s_F*s_MLF_strawberry*(1-EXP(-s_RadSpec!AX4*s_t_b)))/(s_P*s_RadSpec!AX4))),".")</f>
        <v>2.6824597822007652</v>
      </c>
      <c r="AV4" s="116">
        <f>IFERROR(IF(d_ss_Bv!X4=0,".",((s_Ir*s_F*s_MLF_tomato*(1-EXP(-s_RadSpec!AX4*s_t_b)))/(s_P*s_RadSpec!AX4))),".")</f>
        <v>2.6824597822007652</v>
      </c>
      <c r="AW4" s="116">
        <f>IFERROR(IF(d_ss_Bv!Y4=0,".",((s_Ir*s_F*s_MLF_rice*(1-EXP(-s_RadSpec!AX4*s_t_b)))/(s_P*s_RadSpec!AX4))),".")</f>
        <v>2.6824597822007652</v>
      </c>
      <c r="AX4" s="116">
        <f>IFERROR(IF(d_ss_Bv!Z4=0,".",((s_Ir*s_F*s_MLF_cereal*(1-EXP(-s_RadSpec!AX4*s_t_b)))/(s_P*s_RadSpec!AX4))),".")</f>
        <v>2.6824597822007652</v>
      </c>
      <c r="AY4" s="116">
        <f>IFERROR(IF(d_ss_Bv!C4=0,".",((s_Ir*s_F*s_I_f*s_T*(1-EXP(-s_RadSpec!AY4*s_t_v)))/(s_Y_v*s_RadSpec!AY4))),".")</f>
        <v>9.0143481925428208</v>
      </c>
      <c r="AZ4" s="116">
        <f>IFERROR(IF(d_ss_Bv!D4=0,".",((s_Ir*s_F*s_I_f*s_T*(1-EXP(-s_RadSpec!AY4*s_t_v)))/(s_Y_v*s_RadSpec!AY4))),".")</f>
        <v>9.0143481925428208</v>
      </c>
      <c r="BA4" s="116">
        <f>IFERROR(IF(d_ss_Bv!E4=0,".",((s_Ir*s_F*s_I_f*s_T*(1-EXP(-s_RadSpec!AY4*s_t_v)))/(s_Y_v*s_RadSpec!AY4))),".")</f>
        <v>9.0143481925428208</v>
      </c>
      <c r="BB4" s="116">
        <f>IFERROR(IF(d_ss_Bv!F4=0,".",((s_Ir*s_F*s_I_f*s_T*(1-EXP(-s_RadSpec!AY4*s_t_v)))/(s_Y_v*s_RadSpec!AY4))),".")</f>
        <v>9.0143481925428208</v>
      </c>
      <c r="BC4" s="116">
        <f>IFERROR(IF(d_ss_Bv!G4=0,".",((s_Ir*s_F*s_I_f*s_T*(1-EXP(-s_RadSpec!AY4*s_t_v)))/(s_Y_v*s_RadSpec!AY4))),".")</f>
        <v>9.0143481925428208</v>
      </c>
      <c r="BD4" s="116">
        <f>IFERROR(IF(d_ss_Bv!H4=0,".",((s_Ir*s_F*s_I_f*s_T*(1-EXP(-s_RadSpec!AY4*s_t_v)))/(s_Y_v*s_RadSpec!AY4))),".")</f>
        <v>9.0143481925428208</v>
      </c>
      <c r="BE4" s="116">
        <f>IFERROR(IF(d_ss_Bv!I4=0,".",((s_Ir*s_F*s_I_f*s_T*(1-EXP(-s_RadSpec!AY4*s_t_v)))/(s_Y_v*s_RadSpec!AY4))),".")</f>
        <v>9.0143481925428208</v>
      </c>
      <c r="BF4" s="116">
        <f>IFERROR(IF(d_ss_Bv!J4=0,".",((s_Ir*s_F*s_I_f*s_T*(1-EXP(-s_RadSpec!AY4*s_t_v)))/(s_Y_v*s_RadSpec!AY4))),".")</f>
        <v>9.0143481925428208</v>
      </c>
      <c r="BG4" s="116">
        <f>IFERROR(IF(d_ss_Bv!K4=0,".",((s_Ir*s_F*s_I_f*s_T*(1-EXP(-s_RadSpec!AY4*s_t_v)))/(s_Y_v*s_RadSpec!AY4))),".")</f>
        <v>9.0143481925428208</v>
      </c>
      <c r="BH4" s="116">
        <f>IFERROR(IF(d_ss_Bv!L4=0,".",((s_Ir*s_F*s_I_f*s_T*(1-EXP(-s_RadSpec!AY4*s_t_v)))/(s_Y_v*s_RadSpec!AY4))),".")</f>
        <v>9.0143481925428208</v>
      </c>
      <c r="BI4" s="116">
        <f>IFERROR(IF(d_ss_Bv!M4=0,".",((s_Ir*s_F*s_I_f*s_T*(1-EXP(-s_RadSpec!AY4*s_t_v)))/(s_Y_v*s_RadSpec!AY4))),".")</f>
        <v>9.0143481925428208</v>
      </c>
      <c r="BJ4" s="116">
        <f>IFERROR(IF(d_ss_Bv!N4=0,".",((s_Ir*s_F*s_I_f*s_T*(1-EXP(-s_RadSpec!AY4*s_t_v)))/(s_Y_v*s_RadSpec!AY4))),".")</f>
        <v>9.0143481925428208</v>
      </c>
      <c r="BK4" s="116">
        <f>IFERROR(IF(d_ss_Bv!O4=0,".",((s_Ir*s_F*s_I_f*s_T*(1-EXP(-s_RadSpec!AY4*s_t_v)))/(s_Y_v*s_RadSpec!AY4))),".")</f>
        <v>9.0143481925428208</v>
      </c>
      <c r="BL4" s="116">
        <f>IFERROR(IF(d_ss_Bv!P4=0,".",((s_Ir*s_F*s_I_f*s_T*(1-EXP(-s_RadSpec!AY4*s_t_v)))/(s_Y_v*s_RadSpec!AY4))),".")</f>
        <v>9.0143481925428208</v>
      </c>
      <c r="BM4" s="116">
        <f>IFERROR(IF(d_ss_Bv!Q4=0,".",((s_Ir*s_F*s_I_f*s_T*(1-EXP(-s_RadSpec!AY4*s_t_v)))/(s_Y_v*s_RadSpec!AY4))),".")</f>
        <v>9.0143481925428208</v>
      </c>
      <c r="BN4" s="116">
        <f>IFERROR(IF(d_ss_Bv!R4=0,".",((s_Ir*s_F*s_I_f*s_T*(1-EXP(-s_RadSpec!AY4*s_t_v)))/(s_Y_v*s_RadSpec!AY4))),".")</f>
        <v>9.0143481925428208</v>
      </c>
      <c r="BO4" s="116">
        <f>IFERROR(IF(d_ss_Bv!S4=0,".",((s_Ir*s_F*s_I_f*s_T*(1-EXP(-s_RadSpec!AY4*s_t_v)))/(s_Y_v*s_RadSpec!AY4))),".")</f>
        <v>9.0143481925428208</v>
      </c>
      <c r="BP4" s="116">
        <f>IFERROR(IF(d_ss_Bv!T4=0,".",((s_Ir*s_F*s_I_f*s_T*(1-EXP(-s_RadSpec!AY4*s_t_v)))/(s_Y_v*s_RadSpec!AY4))),".")</f>
        <v>9.0143481925428208</v>
      </c>
      <c r="BQ4" s="116">
        <f>IFERROR(IF(d_ss_Bv!U4=0,".",((s_Ir*s_F*s_I_f*s_T*(1-EXP(-s_RadSpec!AY4*s_t_v)))/(s_Y_v*s_RadSpec!AY4))),".")</f>
        <v>9.0143481925428208</v>
      </c>
      <c r="BR4" s="116">
        <f>IFERROR(IF(d_ss_Bv!V4=0,".",((s_Ir*s_F*s_I_f*s_T*(1-EXP(-s_RadSpec!AY4*s_t_v)))/(s_Y_v*s_RadSpec!AY4))),".")</f>
        <v>9.0143481925428208</v>
      </c>
      <c r="BS4" s="116">
        <f>IFERROR(IF(d_ss_Bv!W4=0,".",((s_Ir*s_F*s_I_f*s_T*(1-EXP(-s_RadSpec!AY4*s_t_v)))/(s_Y_v*s_RadSpec!AY4))),".")</f>
        <v>9.0143481925428208</v>
      </c>
      <c r="BT4" s="116">
        <f>IFERROR(IF(d_ss_Bv!X4=0,".",((s_Ir*s_F*s_I_f*s_T*(1-EXP(-s_RadSpec!AY4*s_t_v)))/(s_Y_v*s_RadSpec!AY4))),".")</f>
        <v>9.0143481925428208</v>
      </c>
      <c r="BU4" s="116">
        <f>IFERROR(IF(d_ss_Bv!Y4=0,".",((s_Ir*s_F*s_I_f*s_T*(1-EXP(-s_RadSpec!AY4*s_t_v)))/(s_Y_v*s_RadSpec!AY4))),".")</f>
        <v>9.0143481925428208</v>
      </c>
      <c r="BV4" s="116">
        <f>IFERROR(IF(d_ss_Bv!Z4=0,".",((s_Ir*s_F*s_I_f*s_T*(1-EXP(-s_RadSpec!AY4*s_t_v)))/(s_Y_v*s_RadSpec!AY4))),".")</f>
        <v>9.0143481925428208</v>
      </c>
    </row>
    <row r="5" spans="1:74" x14ac:dyDescent="0.25">
      <c r="A5" s="44" t="s">
        <v>15</v>
      </c>
      <c r="B5" s="42" t="s">
        <v>1074</v>
      </c>
      <c r="C5" s="116">
        <f>IFERROR(IF(d_ss_Bv!C5=0,".",((s_Ir*s_F*d_ss_Bv!C5*(1-EXP(-s_RadSpec!$AX5*s_t_b)))/(s_P*s_RadSpec!$AX5))),".")</f>
        <v>39.740144921492814</v>
      </c>
      <c r="D5" s="116">
        <f>IFERROR(IF(d_ss_Bv!D5=0,".",((s_Ir*s_F*d_ss_Bv!D5*(1-EXP(-s_RadSpec!AX5*s_t_b)))/(s_P*s_RadSpec!AX5))),".")</f>
        <v>39.740144921492814</v>
      </c>
      <c r="E5" s="116">
        <f>IFERROR(IF(d_ss_Bv!E5=0,".",((s_Ir*s_F*d_ss_Bv!E5*(1-EXP(-s_RadSpec!AX5*s_t_b)))/(s_P*s_RadSpec!AX5))),".")</f>
        <v>39.740144921492814</v>
      </c>
      <c r="F5" s="116">
        <f>IFERROR(IF(d_ss_Bv!F5=0,".",((s_Ir*s_F*d_ss_Bv!F5*(1-EXP(-s_RadSpec!AX5*s_t_b)))/(s_P*s_RadSpec!AX5))),".")</f>
        <v>39.740144921492814</v>
      </c>
      <c r="G5" s="116">
        <f>IFERROR(IF(d_ss_Bv!G5=0,".",((s_Ir*s_F*d_ss_Bv!G5*(1-EXP(-s_RadSpec!AX5*s_t_b)))/(s_P*s_RadSpec!AX5))),".")</f>
        <v>39.740144921492814</v>
      </c>
      <c r="H5" s="116">
        <f>IFERROR(IF(d_ss_Bv!H5=0,".",((s_Ir*s_F*d_ss_Bv!H5*(1-EXP(-s_RadSpec!AX5*s_t_b)))/(s_P*s_RadSpec!AX5))),".")</f>
        <v>39.740144921492814</v>
      </c>
      <c r="I5" s="116">
        <f>IFERROR(IF(d_ss_Bv!I5=0,".",((s_Ir*s_F*d_ss_Bv!I5*(1-EXP(-s_RadSpec!AX5*s_t_b)))/(s_P*s_RadSpec!AX5))),".")</f>
        <v>39.740144921492814</v>
      </c>
      <c r="J5" s="116">
        <f>IFERROR(IF(d_ss_Bv!J5=0,".",((s_Ir*s_F*d_ss_Bv!J5*(1-EXP(-s_RadSpec!AX5*s_t_b)))/(s_P*s_RadSpec!AX5))),".")</f>
        <v>39.740144921492814</v>
      </c>
      <c r="K5" s="116">
        <f>IFERROR(IF(d_ss_Bv!K5=0,".",((s_Ir*s_F*d_ss_Bv!K5*(1-EXP(-s_RadSpec!AX5*s_t_b)))/(s_P*s_RadSpec!AX5))),".")</f>
        <v>39.740144921492814</v>
      </c>
      <c r="L5" s="116">
        <f>IFERROR(IF(d_ss_Bv!L5=0,".",((s_Ir*s_F*d_ss_Bv!L5*(1-EXP(-s_RadSpec!AX5*s_t_b)))/(s_P*s_RadSpec!AX5))),".")</f>
        <v>39.740144921492814</v>
      </c>
      <c r="M5" s="116">
        <f>IFERROR(IF(d_ss_Bv!M5=0,".",((s_Ir*s_F*d_ss_Bv!M5*(1-EXP(-s_RadSpec!AX5*s_t_b)))/(s_P*s_RadSpec!AX5))),".")</f>
        <v>39.740144921492814</v>
      </c>
      <c r="N5" s="116">
        <f>IFERROR(IF(d_ss_Bv!N5=0,".",((s_Ir*s_F*d_ss_Bv!N5*(1-EXP(-s_RadSpec!AX5*s_t_b)))/(s_P*s_RadSpec!AX5))),".")</f>
        <v>39.740144921492814</v>
      </c>
      <c r="O5" s="116">
        <f>IFERROR(IF(d_ss_Bv!O5=0,".",((s_Ir*s_F*d_ss_Bv!O5*(1-EXP(-s_RadSpec!AX5*s_t_b)))/(s_P*s_RadSpec!AX5))),".")</f>
        <v>39.740144921492814</v>
      </c>
      <c r="P5" s="116">
        <f>IFERROR(IF(d_ss_Bv!P5=0,".",((s_Ir*s_F*d_ss_Bv!P5*(1-EXP(-s_RadSpec!AX5*s_t_b)))/(s_P*s_RadSpec!AX5))),".")</f>
        <v>39.740144921492814</v>
      </c>
      <c r="Q5" s="116">
        <f>IFERROR(IF(d_ss_Bv!Q5=0,".",((s_Ir*s_F*d_ss_Bv!Q5*(1-EXP(-s_RadSpec!AX5*s_t_b)))/(s_P*s_RadSpec!AX5))),".")</f>
        <v>39.740144921492814</v>
      </c>
      <c r="R5" s="116">
        <f>IFERROR(IF(d_ss_Bv!R5=0,".",((s_Ir*s_F*d_ss_Bv!R5*(1-EXP(-s_RadSpec!AX5*s_t_b)))/(s_P*s_RadSpec!AX5))),".")</f>
        <v>39.740144921492814</v>
      </c>
      <c r="S5" s="116">
        <f>IFERROR(IF(d_ss_Bv!S5=0,".",((s_Ir*s_F*d_ss_Bv!S5*(1-EXP(-s_RadSpec!AX5*s_t_b)))/(s_P*s_RadSpec!AX5))),".")</f>
        <v>39.740144921492814</v>
      </c>
      <c r="T5" s="116">
        <f>IFERROR(IF(d_ss_Bv!T5=0,".",((s_Ir*s_F*d_ss_Bv!T5*(1-EXP(-s_RadSpec!AX5*s_t_b)))/(s_P*s_RadSpec!AX5))),".")</f>
        <v>39.740144921492814</v>
      </c>
      <c r="U5" s="116">
        <f>IFERROR(IF(d_ss_Bv!U5=0,".",((s_Ir*s_F*d_ss_Bv!U5*(1-EXP(-s_RadSpec!AX5*s_t_b)))/(s_P*s_RadSpec!AX5))),".")</f>
        <v>39.740144921492814</v>
      </c>
      <c r="V5" s="116">
        <f>IFERROR(IF(d_ss_Bv!V5=0,".",((s_Ir*s_F*d_ss_Bv!V5*(1-EXP(-s_RadSpec!AX5*s_t_b)))/(s_P*s_RadSpec!AX5))),".")</f>
        <v>39.740144921492814</v>
      </c>
      <c r="W5" s="116">
        <f>IFERROR(IF(d_ss_Bv!W5=0,".",((s_Ir*s_F*d_ss_Bv!W5*(1-EXP(-s_RadSpec!AX5*s_t_b)))/(s_P*s_RadSpec!AX5))),".")</f>
        <v>39.740144921492814</v>
      </c>
      <c r="X5" s="116">
        <f>IFERROR(IF(d_ss_Bv!X5=0,".",((s_Ir*s_F*d_ss_Bv!X5*(1-EXP(-s_RadSpec!AX5*s_t_b)))/(s_P*s_RadSpec!AX5))),".")</f>
        <v>39.740144921492814</v>
      </c>
      <c r="Y5" s="116">
        <f>IFERROR(IF(d_ss_Bv!Y5=0,".",((s_Ir*s_F*d_ss_Bv!Y5*(1-EXP(-s_RadSpec!AX5*s_t_b)))/(s_P*s_RadSpec!AX5))),".")</f>
        <v>39.740144921492814</v>
      </c>
      <c r="Z5" s="116">
        <f>IFERROR(IF(d_ss_Bv!Z5=0,".",((s_Ir*s_F*d_ss_Bv!Z5*(1-EXP(-s_RadSpec!AX5*s_t_b)))/(s_P*s_RadSpec!AX5))),".")</f>
        <v>39.740144921492814</v>
      </c>
      <c r="AA5" s="116">
        <f>IFERROR(IF(d_ss_Bv!C5=0,".",((s_Ir*s_F*s_MLF_apple*(1-EXP(-s_RadSpec!AX5*s_t_b)))/(s_P*s_RadSpec!AX5))),".")</f>
        <v>2.6824597822007652</v>
      </c>
      <c r="AB5" s="116">
        <f>IFERROR(IF(d_ss_Bv!D5=0,".",((s_Ir*s_F*s_MLF_asparagus*(1-EXP(-s_RadSpec!AX5*s_t_b)))/(s_P*s_RadSpec!AX5))),".")</f>
        <v>2.6824597822007652</v>
      </c>
      <c r="AC5" s="116">
        <f>IFERROR(IF(d_ss_Bv!E5=0,".",((s_Ir*s_F*s_MLF_beet*(1-EXP(-s_RadSpec!AX5*s_t_b)))/(s_P*s_RadSpec!AX5))),".")</f>
        <v>2.6824597822007652</v>
      </c>
      <c r="AD5" s="116">
        <f>IFERROR(IF(d_ss_Bv!F5=0,".",((s_Ir*s_F*s_MLF_berries*(1-EXP(-s_RadSpec!AX5*s_t_b)))/(s_P*s_RadSpec!AX5))),".")</f>
        <v>2.6824597822007652</v>
      </c>
      <c r="AE5" s="116">
        <f>IFERROR(IF(d_ss_Bv!G5=0,".",((s_Ir*s_F*s_MLF_broccoli*(1-EXP(-s_RadSpec!AX5*s_t_b)))/(s_P*s_RadSpec!AX5))),".")</f>
        <v>2.6824597822007652</v>
      </c>
      <c r="AF5" s="116">
        <f>IFERROR(IF(d_ss_Bv!H5=0,".",((s_Ir*s_F*s_MLF_cabbage*(1-EXP(-s_RadSpec!AX5*s_t_b)))/(s_P*s_RadSpec!AX5))),".")</f>
        <v>2.6824597822007652</v>
      </c>
      <c r="AG5" s="116">
        <f>IFERROR(IF(d_ss_Bv!I5=0,".",((s_Ir*s_F*s_MLF_carrot*(1-EXP(-s_RadSpec!AX5*s_t_b)))/(s_P*s_RadSpec!AX5))),".")</f>
        <v>2.6824597822007652</v>
      </c>
      <c r="AH5" s="116">
        <f>IFERROR(IF(d_ss_Bv!J5=0,".",((s_Ir*s_F*s_MLF_citrus*(1-EXP(-s_RadSpec!AX5*s_t_b)))/(s_P*s_RadSpec!AX5))),".")</f>
        <v>2.6824597822007652</v>
      </c>
      <c r="AI5" s="116">
        <f>IFERROR(IF(d_ss_Bv!K5=0,".",((s_Ir*s_F*s_MLF_corn*(1-EXP(-s_RadSpec!AX5*s_t_b)))/(s_P*s_RadSpec!AX5))),".")</f>
        <v>2.6824597822007652</v>
      </c>
      <c r="AJ5" s="116">
        <f>IFERROR(IF(d_ss_Bv!L5=0,".",((s_Ir*s_F*s_MLF_cucumber*(1-EXP(-s_RadSpec!AX5*s_t_b)))/(s_P*s_RadSpec!AX5))),".")</f>
        <v>2.6824597822007652</v>
      </c>
      <c r="AK5" s="116">
        <f>IFERROR(IF(d_ss_Bv!M5=0,".",((s_Ir*s_F*s_MLF_lettuce*(1-EXP(-s_RadSpec!AX5*s_t_b)))/(s_P*s_RadSpec!AX5))),".")</f>
        <v>2.6824597822007652</v>
      </c>
      <c r="AL5" s="116">
        <f>IFERROR(IF(d_ss_Bv!N5=0,".",((s_Ir*s_F*s_MLF_lima_bean*(1-EXP(-s_RadSpec!AX5*s_t_b)))/(s_P*s_RadSpec!AX5))),".")</f>
        <v>2.6824597822007652</v>
      </c>
      <c r="AM5" s="116">
        <f>IFERROR(IF(d_ss_Bv!O5=0,".",((s_Ir*s_F*s_MLF_okra*(1-EXP(-s_RadSpec!AX5*s_t_b)))/(s_P*s_RadSpec!AX5))),".")</f>
        <v>2.6824597822007652</v>
      </c>
      <c r="AN5" s="116">
        <f>IFERROR(IF(d_ss_Bv!P5=0,".",((s_Ir*s_F*s_MLF_onion*(1-EXP(-s_RadSpec!AX5*s_t_b)))/(s_P*s_RadSpec!AX5))),".")</f>
        <v>2.6824597822007652</v>
      </c>
      <c r="AO5" s="116">
        <f>IFERROR(IF(d_ss_Bv!Q5=0,".",((s_Ir*s_F*s_MLF_peach*(1-EXP(-s_RadSpec!AX5*s_t_b)))/(s_P*s_RadSpec!AX5))),".")</f>
        <v>2.6824597822007652</v>
      </c>
      <c r="AP5" s="116">
        <f>IFERROR(IF(d_ss_Bv!R5=0,".",((s_Ir*s_F*s_MLF_pear*(1-EXP(-s_RadSpec!AX5*s_t_b)))/(s_P*s_RadSpec!AX5))),".")</f>
        <v>2.6824597822007652</v>
      </c>
      <c r="AQ5" s="116">
        <f>IFERROR(IF(d_ss_Bv!S5=0,".",((s_Ir*s_F*s_MLF_peas*(1-EXP(-s_RadSpec!AX5*s_t_b)))/(s_P*s_RadSpec!AX5))),".")</f>
        <v>2.6824597822007652</v>
      </c>
      <c r="AR5" s="116">
        <f>IFERROR(IF(d_ss_Bv!T5=0,".",((s_Ir*s_F*s_MLF_potato*(1-EXP(-s_RadSpec!AX5*s_t_b)))/(s_P*s_RadSpec!AX5))),".")</f>
        <v>2.6824597822007652</v>
      </c>
      <c r="AS5" s="116">
        <f>IFERROR(IF(d_ss_Bv!U5=0,".",((s_Ir*s_F*s_MLF_pumpkin*(1-EXP(-s_RadSpec!AX5*s_t_b)))/(s_P*s_RadSpec!AX5))),".")</f>
        <v>2.6824597822007652</v>
      </c>
      <c r="AT5" s="116">
        <f>IFERROR(IF(d_ss_Bv!V5=0,".",((s_Ir*s_F*s_MLF_snap_bean*(1-EXP(-s_RadSpec!AX5*s_t_b)))/(s_P*s_RadSpec!AX5))),".")</f>
        <v>2.6824597822007652</v>
      </c>
      <c r="AU5" s="116">
        <f>IFERROR(IF(d_ss_Bv!W5=0,".",((s_Ir*s_F*s_MLF_strawberry*(1-EXP(-s_RadSpec!AX5*s_t_b)))/(s_P*s_RadSpec!AX5))),".")</f>
        <v>2.6824597822007652</v>
      </c>
      <c r="AV5" s="116">
        <f>IFERROR(IF(d_ss_Bv!X5=0,".",((s_Ir*s_F*s_MLF_tomato*(1-EXP(-s_RadSpec!AX5*s_t_b)))/(s_P*s_RadSpec!AX5))),".")</f>
        <v>2.6824597822007652</v>
      </c>
      <c r="AW5" s="116">
        <f>IFERROR(IF(d_ss_Bv!Y5=0,".",((s_Ir*s_F*s_MLF_rice*(1-EXP(-s_RadSpec!AX5*s_t_b)))/(s_P*s_RadSpec!AX5))),".")</f>
        <v>2.6824597822007652</v>
      </c>
      <c r="AX5" s="116">
        <f>IFERROR(IF(d_ss_Bv!Z5=0,".",((s_Ir*s_F*s_MLF_cereal*(1-EXP(-s_RadSpec!AX5*s_t_b)))/(s_P*s_RadSpec!AX5))),".")</f>
        <v>2.6824597822007652</v>
      </c>
      <c r="AY5" s="116">
        <f>IFERROR(IF(d_ss_Bv!C5=0,".",((s_Ir*s_F*s_I_f*s_T*(1-EXP(-s_RadSpec!AY5*s_t_v)))/(s_Y_v*s_RadSpec!AY5))),".")</f>
        <v>9.0143481925428208</v>
      </c>
      <c r="AZ5" s="116">
        <f>IFERROR(IF(d_ss_Bv!D5=0,".",((s_Ir*s_F*s_I_f*s_T*(1-EXP(-s_RadSpec!AY5*s_t_v)))/(s_Y_v*s_RadSpec!AY5))),".")</f>
        <v>9.0143481925428208</v>
      </c>
      <c r="BA5" s="116">
        <f>IFERROR(IF(d_ss_Bv!E5=0,".",((s_Ir*s_F*s_I_f*s_T*(1-EXP(-s_RadSpec!AY5*s_t_v)))/(s_Y_v*s_RadSpec!AY5))),".")</f>
        <v>9.0143481925428208</v>
      </c>
      <c r="BB5" s="116">
        <f>IFERROR(IF(d_ss_Bv!F5=0,".",((s_Ir*s_F*s_I_f*s_T*(1-EXP(-s_RadSpec!AY5*s_t_v)))/(s_Y_v*s_RadSpec!AY5))),".")</f>
        <v>9.0143481925428208</v>
      </c>
      <c r="BC5" s="116">
        <f>IFERROR(IF(d_ss_Bv!G5=0,".",((s_Ir*s_F*s_I_f*s_T*(1-EXP(-s_RadSpec!AY5*s_t_v)))/(s_Y_v*s_RadSpec!AY5))),".")</f>
        <v>9.0143481925428208</v>
      </c>
      <c r="BD5" s="116">
        <f>IFERROR(IF(d_ss_Bv!H5=0,".",((s_Ir*s_F*s_I_f*s_T*(1-EXP(-s_RadSpec!AY5*s_t_v)))/(s_Y_v*s_RadSpec!AY5))),".")</f>
        <v>9.0143481925428208</v>
      </c>
      <c r="BE5" s="116">
        <f>IFERROR(IF(d_ss_Bv!I5=0,".",((s_Ir*s_F*s_I_f*s_T*(1-EXP(-s_RadSpec!AY5*s_t_v)))/(s_Y_v*s_RadSpec!AY5))),".")</f>
        <v>9.0143481925428208</v>
      </c>
      <c r="BF5" s="116">
        <f>IFERROR(IF(d_ss_Bv!J5=0,".",((s_Ir*s_F*s_I_f*s_T*(1-EXP(-s_RadSpec!AY5*s_t_v)))/(s_Y_v*s_RadSpec!AY5))),".")</f>
        <v>9.0143481925428208</v>
      </c>
      <c r="BG5" s="116">
        <f>IFERROR(IF(d_ss_Bv!K5=0,".",((s_Ir*s_F*s_I_f*s_T*(1-EXP(-s_RadSpec!AY5*s_t_v)))/(s_Y_v*s_RadSpec!AY5))),".")</f>
        <v>9.0143481925428208</v>
      </c>
      <c r="BH5" s="116">
        <f>IFERROR(IF(d_ss_Bv!L5=0,".",((s_Ir*s_F*s_I_f*s_T*(1-EXP(-s_RadSpec!AY5*s_t_v)))/(s_Y_v*s_RadSpec!AY5))),".")</f>
        <v>9.0143481925428208</v>
      </c>
      <c r="BI5" s="116">
        <f>IFERROR(IF(d_ss_Bv!M5=0,".",((s_Ir*s_F*s_I_f*s_T*(1-EXP(-s_RadSpec!AY5*s_t_v)))/(s_Y_v*s_RadSpec!AY5))),".")</f>
        <v>9.0143481925428208</v>
      </c>
      <c r="BJ5" s="116">
        <f>IFERROR(IF(d_ss_Bv!N5=0,".",((s_Ir*s_F*s_I_f*s_T*(1-EXP(-s_RadSpec!AY5*s_t_v)))/(s_Y_v*s_RadSpec!AY5))),".")</f>
        <v>9.0143481925428208</v>
      </c>
      <c r="BK5" s="116">
        <f>IFERROR(IF(d_ss_Bv!O5=0,".",((s_Ir*s_F*s_I_f*s_T*(1-EXP(-s_RadSpec!AY5*s_t_v)))/(s_Y_v*s_RadSpec!AY5))),".")</f>
        <v>9.0143481925428208</v>
      </c>
      <c r="BL5" s="116">
        <f>IFERROR(IF(d_ss_Bv!P5=0,".",((s_Ir*s_F*s_I_f*s_T*(1-EXP(-s_RadSpec!AY5*s_t_v)))/(s_Y_v*s_RadSpec!AY5))),".")</f>
        <v>9.0143481925428208</v>
      </c>
      <c r="BM5" s="116">
        <f>IFERROR(IF(d_ss_Bv!Q5=0,".",((s_Ir*s_F*s_I_f*s_T*(1-EXP(-s_RadSpec!AY5*s_t_v)))/(s_Y_v*s_RadSpec!AY5))),".")</f>
        <v>9.0143481925428208</v>
      </c>
      <c r="BN5" s="116">
        <f>IFERROR(IF(d_ss_Bv!R5=0,".",((s_Ir*s_F*s_I_f*s_T*(1-EXP(-s_RadSpec!AY5*s_t_v)))/(s_Y_v*s_RadSpec!AY5))),".")</f>
        <v>9.0143481925428208</v>
      </c>
      <c r="BO5" s="116">
        <f>IFERROR(IF(d_ss_Bv!S5=0,".",((s_Ir*s_F*s_I_f*s_T*(1-EXP(-s_RadSpec!AY5*s_t_v)))/(s_Y_v*s_RadSpec!AY5))),".")</f>
        <v>9.0143481925428208</v>
      </c>
      <c r="BP5" s="116">
        <f>IFERROR(IF(d_ss_Bv!T5=0,".",((s_Ir*s_F*s_I_f*s_T*(1-EXP(-s_RadSpec!AY5*s_t_v)))/(s_Y_v*s_RadSpec!AY5))),".")</f>
        <v>9.0143481925428208</v>
      </c>
      <c r="BQ5" s="116">
        <f>IFERROR(IF(d_ss_Bv!U5=0,".",((s_Ir*s_F*s_I_f*s_T*(1-EXP(-s_RadSpec!AY5*s_t_v)))/(s_Y_v*s_RadSpec!AY5))),".")</f>
        <v>9.0143481925428208</v>
      </c>
      <c r="BR5" s="116">
        <f>IFERROR(IF(d_ss_Bv!V5=0,".",((s_Ir*s_F*s_I_f*s_T*(1-EXP(-s_RadSpec!AY5*s_t_v)))/(s_Y_v*s_RadSpec!AY5))),".")</f>
        <v>9.0143481925428208</v>
      </c>
      <c r="BS5" s="116">
        <f>IFERROR(IF(d_ss_Bv!W5=0,".",((s_Ir*s_F*s_I_f*s_T*(1-EXP(-s_RadSpec!AY5*s_t_v)))/(s_Y_v*s_RadSpec!AY5))),".")</f>
        <v>9.0143481925428208</v>
      </c>
      <c r="BT5" s="116">
        <f>IFERROR(IF(d_ss_Bv!X5=0,".",((s_Ir*s_F*s_I_f*s_T*(1-EXP(-s_RadSpec!AY5*s_t_v)))/(s_Y_v*s_RadSpec!AY5))),".")</f>
        <v>9.0143481925428208</v>
      </c>
      <c r="BU5" s="116">
        <f>IFERROR(IF(d_ss_Bv!Y5=0,".",((s_Ir*s_F*s_I_f*s_T*(1-EXP(-s_RadSpec!AY5*s_t_v)))/(s_Y_v*s_RadSpec!AY5))),".")</f>
        <v>9.0143481925428208</v>
      </c>
      <c r="BV5" s="116">
        <f>IFERROR(IF(d_ss_Bv!Z5=0,".",((s_Ir*s_F*s_I_f*s_T*(1-EXP(-s_RadSpec!AY5*s_t_v)))/(s_Y_v*s_RadSpec!AY5))),".")</f>
        <v>9.0143481925428208</v>
      </c>
    </row>
    <row r="6" spans="1:74" x14ac:dyDescent="0.25">
      <c r="A6" s="44" t="s">
        <v>16</v>
      </c>
      <c r="B6" s="42" t="s">
        <v>1074</v>
      </c>
      <c r="C6" s="116">
        <f>IFERROR(IF(d_ss_Bv!C6=0,".",((s_Ir*s_F*d_ss_Bv!C6*(1-EXP(-s_RadSpec!$AX6*s_t_b)))/(s_P*s_RadSpec!$AX6))),".")</f>
        <v>1.9870072460746409</v>
      </c>
      <c r="D6" s="116">
        <f>IFERROR(IF(d_ss_Bv!D6=0,".",((s_Ir*s_F*d_ss_Bv!D6*(1-EXP(-s_RadSpec!AX6*s_t_b)))/(s_P*s_RadSpec!AX6))),".")</f>
        <v>0.99350362303732043</v>
      </c>
      <c r="E6" s="116">
        <f>IFERROR(IF(d_ss_Bv!E6=0,".",((s_Ir*s_F*d_ss_Bv!E6*(1-EXP(-s_RadSpec!AX6*s_t_b)))/(s_P*s_RadSpec!AX6))),".")</f>
        <v>0.99350362303732043</v>
      </c>
      <c r="F6" s="116">
        <f>IFERROR(IF(d_ss_Bv!F6=0,".",((s_Ir*s_F*d_ss_Bv!F6*(1-EXP(-s_RadSpec!AX6*s_t_b)))/(s_P*s_RadSpec!AX6))),".")</f>
        <v>1.9870072460746409</v>
      </c>
      <c r="G6" s="116">
        <f>IFERROR(IF(d_ss_Bv!G6=0,".",((s_Ir*s_F*d_ss_Bv!G6*(1-EXP(-s_RadSpec!AX6*s_t_b)))/(s_P*s_RadSpec!AX6))),".")</f>
        <v>1.9870072460746409</v>
      </c>
      <c r="H6" s="116">
        <f>IFERROR(IF(d_ss_Bv!H6=0,".",((s_Ir*s_F*d_ss_Bv!H6*(1-EXP(-s_RadSpec!AX6*s_t_b)))/(s_P*s_RadSpec!AX6))),".")</f>
        <v>0.99350362303732043</v>
      </c>
      <c r="I6" s="116">
        <f>IFERROR(IF(d_ss_Bv!I6=0,".",((s_Ir*s_F*d_ss_Bv!I6*(1-EXP(-s_RadSpec!AX6*s_t_b)))/(s_P*s_RadSpec!AX6))),".")</f>
        <v>0.99350362303732043</v>
      </c>
      <c r="J6" s="116">
        <f>IFERROR(IF(d_ss_Bv!J6=0,".",((s_Ir*s_F*d_ss_Bv!J6*(1-EXP(-s_RadSpec!AX6*s_t_b)))/(s_P*s_RadSpec!AX6))),".")</f>
        <v>1.9870072460746409</v>
      </c>
      <c r="K6" s="116">
        <f>IFERROR(IF(d_ss_Bv!K6=0,".",((s_Ir*s_F*d_ss_Bv!K6*(1-EXP(-s_RadSpec!AX6*s_t_b)))/(s_P*s_RadSpec!AX6))),".")</f>
        <v>1.9870072460746409</v>
      </c>
      <c r="L6" s="116">
        <f>IFERROR(IF(d_ss_Bv!L6=0,".",((s_Ir*s_F*d_ss_Bv!L6*(1-EXP(-s_RadSpec!AX6*s_t_b)))/(s_P*s_RadSpec!AX6))),".")</f>
        <v>1.9870072460746409</v>
      </c>
      <c r="M6" s="116">
        <f>IFERROR(IF(d_ss_Bv!M6=0,".",((s_Ir*s_F*d_ss_Bv!M6*(1-EXP(-s_RadSpec!AX6*s_t_b)))/(s_P*s_RadSpec!AX6))),".")</f>
        <v>0.99350362303732043</v>
      </c>
      <c r="N6" s="116">
        <f>IFERROR(IF(d_ss_Bv!N6=0,".",((s_Ir*s_F*d_ss_Bv!N6*(1-EXP(-s_RadSpec!AX6*s_t_b)))/(s_P*s_RadSpec!AX6))),".")</f>
        <v>1.9870072460746409</v>
      </c>
      <c r="O6" s="116">
        <f>IFERROR(IF(d_ss_Bv!O6=0,".",((s_Ir*s_F*d_ss_Bv!O6*(1-EXP(-s_RadSpec!AX6*s_t_b)))/(s_P*s_RadSpec!AX6))),".")</f>
        <v>1.9870072460746409</v>
      </c>
      <c r="P6" s="116">
        <f>IFERROR(IF(d_ss_Bv!P6=0,".",((s_Ir*s_F*d_ss_Bv!P6*(1-EXP(-s_RadSpec!AX6*s_t_b)))/(s_P*s_RadSpec!AX6))),".")</f>
        <v>1.9870072460746409</v>
      </c>
      <c r="Q6" s="116">
        <f>IFERROR(IF(d_ss_Bv!Q6=0,".",((s_Ir*s_F*d_ss_Bv!Q6*(1-EXP(-s_RadSpec!AX6*s_t_b)))/(s_P*s_RadSpec!AX6))),".")</f>
        <v>1.9870072460746409</v>
      </c>
      <c r="R6" s="116">
        <f>IFERROR(IF(d_ss_Bv!R6=0,".",((s_Ir*s_F*d_ss_Bv!R6*(1-EXP(-s_RadSpec!AX6*s_t_b)))/(s_P*s_RadSpec!AX6))),".")</f>
        <v>1.9870072460746409</v>
      </c>
      <c r="S6" s="116">
        <f>IFERROR(IF(d_ss_Bv!S6=0,".",((s_Ir*s_F*d_ss_Bv!S6*(1-EXP(-s_RadSpec!AX6*s_t_b)))/(s_P*s_RadSpec!AX6))),".")</f>
        <v>1.9870072460746409</v>
      </c>
      <c r="T6" s="116">
        <f>IFERROR(IF(d_ss_Bv!T6=0,".",((s_Ir*s_F*d_ss_Bv!T6*(1-EXP(-s_RadSpec!AX6*s_t_b)))/(s_P*s_RadSpec!AX6))),".")</f>
        <v>0.99350362303732043</v>
      </c>
      <c r="U6" s="116">
        <f>IFERROR(IF(d_ss_Bv!U6=0,".",((s_Ir*s_F*d_ss_Bv!U6*(1-EXP(-s_RadSpec!AX6*s_t_b)))/(s_P*s_RadSpec!AX6))),".")</f>
        <v>1.9870072460746409</v>
      </c>
      <c r="V6" s="116">
        <f>IFERROR(IF(d_ss_Bv!V6=0,".",((s_Ir*s_F*d_ss_Bv!V6*(1-EXP(-s_RadSpec!AX6*s_t_b)))/(s_P*s_RadSpec!AX6))),".")</f>
        <v>1.9870072460746409</v>
      </c>
      <c r="W6" s="116">
        <f>IFERROR(IF(d_ss_Bv!W6=0,".",((s_Ir*s_F*d_ss_Bv!W6*(1-EXP(-s_RadSpec!AX6*s_t_b)))/(s_P*s_RadSpec!AX6))),".")</f>
        <v>1.9870072460746409</v>
      </c>
      <c r="X6" s="116">
        <f>IFERROR(IF(d_ss_Bv!X6=0,".",((s_Ir*s_F*d_ss_Bv!X6*(1-EXP(-s_RadSpec!AX6*s_t_b)))/(s_P*s_RadSpec!AX6))),".")</f>
        <v>1.9870072460746409</v>
      </c>
      <c r="Y6" s="116">
        <f>IFERROR(IF(d_ss_Bv!Y6=0,".",((s_Ir*s_F*d_ss_Bv!Y6*(1-EXP(-s_RadSpec!AX6*s_t_b)))/(s_P*s_RadSpec!AX6))),".")</f>
        <v>0.18677868113101623</v>
      </c>
      <c r="Z6" s="116">
        <f>IFERROR(IF(d_ss_Bv!Z6=0,".",((s_Ir*s_F*d_ss_Bv!Z6*(1-EXP(-s_RadSpec!AX6*s_t_b)))/(s_P*s_RadSpec!AX6))),".")</f>
        <v>0.19870072460746407</v>
      </c>
      <c r="AA6" s="116">
        <f>IFERROR(IF(d_ss_Bv!C6=0,".",((s_Ir*s_F*s_MLF_apple*(1-EXP(-s_RadSpec!AX6*s_t_b)))/(s_P*s_RadSpec!AX6))),".")</f>
        <v>2.6824597822007652</v>
      </c>
      <c r="AB6" s="116">
        <f>IFERROR(IF(d_ss_Bv!D6=0,".",((s_Ir*s_F*s_MLF_asparagus*(1-EXP(-s_RadSpec!AX6*s_t_b)))/(s_P*s_RadSpec!AX6))),".")</f>
        <v>2.6824597822007652</v>
      </c>
      <c r="AC6" s="116">
        <f>IFERROR(IF(d_ss_Bv!E6=0,".",((s_Ir*s_F*s_MLF_beet*(1-EXP(-s_RadSpec!AX6*s_t_b)))/(s_P*s_RadSpec!AX6))),".")</f>
        <v>2.6824597822007652</v>
      </c>
      <c r="AD6" s="116">
        <f>IFERROR(IF(d_ss_Bv!F6=0,".",((s_Ir*s_F*s_MLF_berries*(1-EXP(-s_RadSpec!AX6*s_t_b)))/(s_P*s_RadSpec!AX6))),".")</f>
        <v>2.6824597822007652</v>
      </c>
      <c r="AE6" s="116">
        <f>IFERROR(IF(d_ss_Bv!G6=0,".",((s_Ir*s_F*s_MLF_broccoli*(1-EXP(-s_RadSpec!AX6*s_t_b)))/(s_P*s_RadSpec!AX6))),".")</f>
        <v>2.6824597822007652</v>
      </c>
      <c r="AF6" s="116">
        <f>IFERROR(IF(d_ss_Bv!H6=0,".",((s_Ir*s_F*s_MLF_cabbage*(1-EXP(-s_RadSpec!AX6*s_t_b)))/(s_P*s_RadSpec!AX6))),".")</f>
        <v>2.6824597822007652</v>
      </c>
      <c r="AG6" s="116">
        <f>IFERROR(IF(d_ss_Bv!I6=0,".",((s_Ir*s_F*s_MLF_carrot*(1-EXP(-s_RadSpec!AX6*s_t_b)))/(s_P*s_RadSpec!AX6))),".")</f>
        <v>2.6824597822007652</v>
      </c>
      <c r="AH6" s="116">
        <f>IFERROR(IF(d_ss_Bv!J6=0,".",((s_Ir*s_F*s_MLF_citrus*(1-EXP(-s_RadSpec!AX6*s_t_b)))/(s_P*s_RadSpec!AX6))),".")</f>
        <v>2.6824597822007652</v>
      </c>
      <c r="AI6" s="116">
        <f>IFERROR(IF(d_ss_Bv!K6=0,".",((s_Ir*s_F*s_MLF_corn*(1-EXP(-s_RadSpec!AX6*s_t_b)))/(s_P*s_RadSpec!AX6))),".")</f>
        <v>2.6824597822007652</v>
      </c>
      <c r="AJ6" s="116">
        <f>IFERROR(IF(d_ss_Bv!L6=0,".",((s_Ir*s_F*s_MLF_cucumber*(1-EXP(-s_RadSpec!AX6*s_t_b)))/(s_P*s_RadSpec!AX6))),".")</f>
        <v>2.6824597822007652</v>
      </c>
      <c r="AK6" s="116">
        <f>IFERROR(IF(d_ss_Bv!M6=0,".",((s_Ir*s_F*s_MLF_lettuce*(1-EXP(-s_RadSpec!AX6*s_t_b)))/(s_P*s_RadSpec!AX6))),".")</f>
        <v>2.6824597822007652</v>
      </c>
      <c r="AL6" s="116">
        <f>IFERROR(IF(d_ss_Bv!N6=0,".",((s_Ir*s_F*s_MLF_lima_bean*(1-EXP(-s_RadSpec!AX6*s_t_b)))/(s_P*s_RadSpec!AX6))),".")</f>
        <v>2.6824597822007652</v>
      </c>
      <c r="AM6" s="116">
        <f>IFERROR(IF(d_ss_Bv!O6=0,".",((s_Ir*s_F*s_MLF_okra*(1-EXP(-s_RadSpec!AX6*s_t_b)))/(s_P*s_RadSpec!AX6))),".")</f>
        <v>2.6824597822007652</v>
      </c>
      <c r="AN6" s="116">
        <f>IFERROR(IF(d_ss_Bv!P6=0,".",((s_Ir*s_F*s_MLF_onion*(1-EXP(-s_RadSpec!AX6*s_t_b)))/(s_P*s_RadSpec!AX6))),".")</f>
        <v>2.6824597822007652</v>
      </c>
      <c r="AO6" s="116">
        <f>IFERROR(IF(d_ss_Bv!Q6=0,".",((s_Ir*s_F*s_MLF_peach*(1-EXP(-s_RadSpec!AX6*s_t_b)))/(s_P*s_RadSpec!AX6))),".")</f>
        <v>2.6824597822007652</v>
      </c>
      <c r="AP6" s="116">
        <f>IFERROR(IF(d_ss_Bv!R6=0,".",((s_Ir*s_F*s_MLF_pear*(1-EXP(-s_RadSpec!AX6*s_t_b)))/(s_P*s_RadSpec!AX6))),".")</f>
        <v>2.6824597822007652</v>
      </c>
      <c r="AQ6" s="116">
        <f>IFERROR(IF(d_ss_Bv!S6=0,".",((s_Ir*s_F*s_MLF_peas*(1-EXP(-s_RadSpec!AX6*s_t_b)))/(s_P*s_RadSpec!AX6))),".")</f>
        <v>2.6824597822007652</v>
      </c>
      <c r="AR6" s="116">
        <f>IFERROR(IF(d_ss_Bv!T6=0,".",((s_Ir*s_F*s_MLF_potato*(1-EXP(-s_RadSpec!AX6*s_t_b)))/(s_P*s_RadSpec!AX6))),".")</f>
        <v>2.6824597822007652</v>
      </c>
      <c r="AS6" s="116">
        <f>IFERROR(IF(d_ss_Bv!U6=0,".",((s_Ir*s_F*s_MLF_pumpkin*(1-EXP(-s_RadSpec!AX6*s_t_b)))/(s_P*s_RadSpec!AX6))),".")</f>
        <v>2.6824597822007652</v>
      </c>
      <c r="AT6" s="116">
        <f>IFERROR(IF(d_ss_Bv!V6=0,".",((s_Ir*s_F*s_MLF_snap_bean*(1-EXP(-s_RadSpec!AX6*s_t_b)))/(s_P*s_RadSpec!AX6))),".")</f>
        <v>2.6824597822007652</v>
      </c>
      <c r="AU6" s="116">
        <f>IFERROR(IF(d_ss_Bv!W6=0,".",((s_Ir*s_F*s_MLF_strawberry*(1-EXP(-s_RadSpec!AX6*s_t_b)))/(s_P*s_RadSpec!AX6))),".")</f>
        <v>2.6824597822007652</v>
      </c>
      <c r="AV6" s="116">
        <f>IFERROR(IF(d_ss_Bv!X6=0,".",((s_Ir*s_F*s_MLF_tomato*(1-EXP(-s_RadSpec!AX6*s_t_b)))/(s_P*s_RadSpec!AX6))),".")</f>
        <v>2.6824597822007652</v>
      </c>
      <c r="AW6" s="116">
        <f>IFERROR(IF(d_ss_Bv!Y6=0,".",((s_Ir*s_F*s_MLF_rice*(1-EXP(-s_RadSpec!AX6*s_t_b)))/(s_P*s_RadSpec!AX6))),".")</f>
        <v>2.6824597822007652</v>
      </c>
      <c r="AX6" s="116">
        <f>IFERROR(IF(d_ss_Bv!Z6=0,".",((s_Ir*s_F*s_MLF_cereal*(1-EXP(-s_RadSpec!AX6*s_t_b)))/(s_P*s_RadSpec!AX6))),".")</f>
        <v>2.6824597822007652</v>
      </c>
      <c r="AY6" s="116">
        <f>IFERROR(IF(d_ss_Bv!C6=0,".",((s_Ir*s_F*s_I_f*s_T*(1-EXP(-s_RadSpec!AY6*s_t_v)))/(s_Y_v*s_RadSpec!AY6))),".")</f>
        <v>9.0143481925428208</v>
      </c>
      <c r="AZ6" s="116">
        <f>IFERROR(IF(d_ss_Bv!D6=0,".",((s_Ir*s_F*s_I_f*s_T*(1-EXP(-s_RadSpec!AY6*s_t_v)))/(s_Y_v*s_RadSpec!AY6))),".")</f>
        <v>9.0143481925428208</v>
      </c>
      <c r="BA6" s="116">
        <f>IFERROR(IF(d_ss_Bv!E6=0,".",((s_Ir*s_F*s_I_f*s_T*(1-EXP(-s_RadSpec!AY6*s_t_v)))/(s_Y_v*s_RadSpec!AY6))),".")</f>
        <v>9.0143481925428208</v>
      </c>
      <c r="BB6" s="116">
        <f>IFERROR(IF(d_ss_Bv!F6=0,".",((s_Ir*s_F*s_I_f*s_T*(1-EXP(-s_RadSpec!AY6*s_t_v)))/(s_Y_v*s_RadSpec!AY6))),".")</f>
        <v>9.0143481925428208</v>
      </c>
      <c r="BC6" s="116">
        <f>IFERROR(IF(d_ss_Bv!G6=0,".",((s_Ir*s_F*s_I_f*s_T*(1-EXP(-s_RadSpec!AY6*s_t_v)))/(s_Y_v*s_RadSpec!AY6))),".")</f>
        <v>9.0143481925428208</v>
      </c>
      <c r="BD6" s="116">
        <f>IFERROR(IF(d_ss_Bv!H6=0,".",((s_Ir*s_F*s_I_f*s_T*(1-EXP(-s_RadSpec!AY6*s_t_v)))/(s_Y_v*s_RadSpec!AY6))),".")</f>
        <v>9.0143481925428208</v>
      </c>
      <c r="BE6" s="116">
        <f>IFERROR(IF(d_ss_Bv!I6=0,".",((s_Ir*s_F*s_I_f*s_T*(1-EXP(-s_RadSpec!AY6*s_t_v)))/(s_Y_v*s_RadSpec!AY6))),".")</f>
        <v>9.0143481925428208</v>
      </c>
      <c r="BF6" s="116">
        <f>IFERROR(IF(d_ss_Bv!J6=0,".",((s_Ir*s_F*s_I_f*s_T*(1-EXP(-s_RadSpec!AY6*s_t_v)))/(s_Y_v*s_RadSpec!AY6))),".")</f>
        <v>9.0143481925428208</v>
      </c>
      <c r="BG6" s="116">
        <f>IFERROR(IF(d_ss_Bv!K6=0,".",((s_Ir*s_F*s_I_f*s_T*(1-EXP(-s_RadSpec!AY6*s_t_v)))/(s_Y_v*s_RadSpec!AY6))),".")</f>
        <v>9.0143481925428208</v>
      </c>
      <c r="BH6" s="116">
        <f>IFERROR(IF(d_ss_Bv!L6=0,".",((s_Ir*s_F*s_I_f*s_T*(1-EXP(-s_RadSpec!AY6*s_t_v)))/(s_Y_v*s_RadSpec!AY6))),".")</f>
        <v>9.0143481925428208</v>
      </c>
      <c r="BI6" s="116">
        <f>IFERROR(IF(d_ss_Bv!M6=0,".",((s_Ir*s_F*s_I_f*s_T*(1-EXP(-s_RadSpec!AY6*s_t_v)))/(s_Y_v*s_RadSpec!AY6))),".")</f>
        <v>9.0143481925428208</v>
      </c>
      <c r="BJ6" s="116">
        <f>IFERROR(IF(d_ss_Bv!N6=0,".",((s_Ir*s_F*s_I_f*s_T*(1-EXP(-s_RadSpec!AY6*s_t_v)))/(s_Y_v*s_RadSpec!AY6))),".")</f>
        <v>9.0143481925428208</v>
      </c>
      <c r="BK6" s="116">
        <f>IFERROR(IF(d_ss_Bv!O6=0,".",((s_Ir*s_F*s_I_f*s_T*(1-EXP(-s_RadSpec!AY6*s_t_v)))/(s_Y_v*s_RadSpec!AY6))),".")</f>
        <v>9.0143481925428208</v>
      </c>
      <c r="BL6" s="116">
        <f>IFERROR(IF(d_ss_Bv!P6=0,".",((s_Ir*s_F*s_I_f*s_T*(1-EXP(-s_RadSpec!AY6*s_t_v)))/(s_Y_v*s_RadSpec!AY6))),".")</f>
        <v>9.0143481925428208</v>
      </c>
      <c r="BM6" s="116">
        <f>IFERROR(IF(d_ss_Bv!Q6=0,".",((s_Ir*s_F*s_I_f*s_T*(1-EXP(-s_RadSpec!AY6*s_t_v)))/(s_Y_v*s_RadSpec!AY6))),".")</f>
        <v>9.0143481925428208</v>
      </c>
      <c r="BN6" s="116">
        <f>IFERROR(IF(d_ss_Bv!R6=0,".",((s_Ir*s_F*s_I_f*s_T*(1-EXP(-s_RadSpec!AY6*s_t_v)))/(s_Y_v*s_RadSpec!AY6))),".")</f>
        <v>9.0143481925428208</v>
      </c>
      <c r="BO6" s="116">
        <f>IFERROR(IF(d_ss_Bv!S6=0,".",((s_Ir*s_F*s_I_f*s_T*(1-EXP(-s_RadSpec!AY6*s_t_v)))/(s_Y_v*s_RadSpec!AY6))),".")</f>
        <v>9.0143481925428208</v>
      </c>
      <c r="BP6" s="116">
        <f>IFERROR(IF(d_ss_Bv!T6=0,".",((s_Ir*s_F*s_I_f*s_T*(1-EXP(-s_RadSpec!AY6*s_t_v)))/(s_Y_v*s_RadSpec!AY6))),".")</f>
        <v>9.0143481925428208</v>
      </c>
      <c r="BQ6" s="116">
        <f>IFERROR(IF(d_ss_Bv!U6=0,".",((s_Ir*s_F*s_I_f*s_T*(1-EXP(-s_RadSpec!AY6*s_t_v)))/(s_Y_v*s_RadSpec!AY6))),".")</f>
        <v>9.0143481925428208</v>
      </c>
      <c r="BR6" s="116">
        <f>IFERROR(IF(d_ss_Bv!V6=0,".",((s_Ir*s_F*s_I_f*s_T*(1-EXP(-s_RadSpec!AY6*s_t_v)))/(s_Y_v*s_RadSpec!AY6))),".")</f>
        <v>9.0143481925428208</v>
      </c>
      <c r="BS6" s="116">
        <f>IFERROR(IF(d_ss_Bv!W6=0,".",((s_Ir*s_F*s_I_f*s_T*(1-EXP(-s_RadSpec!AY6*s_t_v)))/(s_Y_v*s_RadSpec!AY6))),".")</f>
        <v>9.0143481925428208</v>
      </c>
      <c r="BT6" s="116">
        <f>IFERROR(IF(d_ss_Bv!X6=0,".",((s_Ir*s_F*s_I_f*s_T*(1-EXP(-s_RadSpec!AY6*s_t_v)))/(s_Y_v*s_RadSpec!AY6))),".")</f>
        <v>9.0143481925428208</v>
      </c>
      <c r="BU6" s="116">
        <f>IFERROR(IF(d_ss_Bv!Y6=0,".",((s_Ir*s_F*s_I_f*s_T*(1-EXP(-s_RadSpec!AY6*s_t_v)))/(s_Y_v*s_RadSpec!AY6))),".")</f>
        <v>9.0143481925428208</v>
      </c>
      <c r="BV6" s="116">
        <f>IFERROR(IF(d_ss_Bv!Z6=0,".",((s_Ir*s_F*s_I_f*s_T*(1-EXP(-s_RadSpec!AY6*s_t_v)))/(s_Y_v*s_RadSpec!AY6))),".")</f>
        <v>9.0143481925428208</v>
      </c>
    </row>
    <row r="7" spans="1:74" x14ac:dyDescent="0.25">
      <c r="A7" s="44" t="s">
        <v>17</v>
      </c>
      <c r="B7" s="42" t="s">
        <v>1074</v>
      </c>
      <c r="C7" s="116">
        <f>IFERROR(IF(d_ss_Bv!C7=0,".",((s_Ir*s_F*d_ss_Bv!C7*(1-EXP(-s_RadSpec!$AX7*s_t_b)))/(s_P*s_RadSpec!$AX7))),".")</f>
        <v>19.870072460746407</v>
      </c>
      <c r="D7" s="116">
        <f>IFERROR(IF(d_ss_Bv!D7=0,".",((s_Ir*s_F*d_ss_Bv!D7*(1-EXP(-s_RadSpec!AX7*s_t_b)))/(s_P*s_RadSpec!AX7))),".")</f>
        <v>19.870072460746407</v>
      </c>
      <c r="E7" s="116">
        <f>IFERROR(IF(d_ss_Bv!E7=0,".",((s_Ir*s_F*d_ss_Bv!E7*(1-EXP(-s_RadSpec!AX7*s_t_b)))/(s_P*s_RadSpec!AX7))),".")</f>
        <v>19.870072460746407</v>
      </c>
      <c r="F7" s="116">
        <f>IFERROR(IF(d_ss_Bv!F7=0,".",((s_Ir*s_F*d_ss_Bv!F7*(1-EXP(-s_RadSpec!AX7*s_t_b)))/(s_P*s_RadSpec!AX7))),".")</f>
        <v>19.870072460746407</v>
      </c>
      <c r="G7" s="116">
        <f>IFERROR(IF(d_ss_Bv!G7=0,".",((s_Ir*s_F*d_ss_Bv!G7*(1-EXP(-s_RadSpec!AX7*s_t_b)))/(s_P*s_RadSpec!AX7))),".")</f>
        <v>19.870072460746407</v>
      </c>
      <c r="H7" s="116">
        <f>IFERROR(IF(d_ss_Bv!H7=0,".",((s_Ir*s_F*d_ss_Bv!H7*(1-EXP(-s_RadSpec!AX7*s_t_b)))/(s_P*s_RadSpec!AX7))),".")</f>
        <v>19.870072460746407</v>
      </c>
      <c r="I7" s="116">
        <f>IFERROR(IF(d_ss_Bv!I7=0,".",((s_Ir*s_F*d_ss_Bv!I7*(1-EXP(-s_RadSpec!AX7*s_t_b)))/(s_P*s_RadSpec!AX7))),".")</f>
        <v>19.870072460746407</v>
      </c>
      <c r="J7" s="116">
        <f>IFERROR(IF(d_ss_Bv!J7=0,".",((s_Ir*s_F*d_ss_Bv!J7*(1-EXP(-s_RadSpec!AX7*s_t_b)))/(s_P*s_RadSpec!AX7))),".")</f>
        <v>19.870072460746407</v>
      </c>
      <c r="K7" s="116">
        <f>IFERROR(IF(d_ss_Bv!K7=0,".",((s_Ir*s_F*d_ss_Bv!K7*(1-EXP(-s_RadSpec!AX7*s_t_b)))/(s_P*s_RadSpec!AX7))),".")</f>
        <v>19.870072460746407</v>
      </c>
      <c r="L7" s="116">
        <f>IFERROR(IF(d_ss_Bv!L7=0,".",((s_Ir*s_F*d_ss_Bv!L7*(1-EXP(-s_RadSpec!AX7*s_t_b)))/(s_P*s_RadSpec!AX7))),".")</f>
        <v>19.870072460746407</v>
      </c>
      <c r="M7" s="116">
        <f>IFERROR(IF(d_ss_Bv!M7=0,".",((s_Ir*s_F*d_ss_Bv!M7*(1-EXP(-s_RadSpec!AX7*s_t_b)))/(s_P*s_RadSpec!AX7))),".")</f>
        <v>19.870072460746407</v>
      </c>
      <c r="N7" s="116">
        <f>IFERROR(IF(d_ss_Bv!N7=0,".",((s_Ir*s_F*d_ss_Bv!N7*(1-EXP(-s_RadSpec!AX7*s_t_b)))/(s_P*s_RadSpec!AX7))),".")</f>
        <v>19.870072460746407</v>
      </c>
      <c r="O7" s="116">
        <f>IFERROR(IF(d_ss_Bv!O7=0,".",((s_Ir*s_F*d_ss_Bv!O7*(1-EXP(-s_RadSpec!AX7*s_t_b)))/(s_P*s_RadSpec!AX7))),".")</f>
        <v>19.870072460746407</v>
      </c>
      <c r="P7" s="116">
        <f>IFERROR(IF(d_ss_Bv!P7=0,".",((s_Ir*s_F*d_ss_Bv!P7*(1-EXP(-s_RadSpec!AX7*s_t_b)))/(s_P*s_RadSpec!AX7))),".")</f>
        <v>19.870072460746407</v>
      </c>
      <c r="Q7" s="116">
        <f>IFERROR(IF(d_ss_Bv!Q7=0,".",((s_Ir*s_F*d_ss_Bv!Q7*(1-EXP(-s_RadSpec!AX7*s_t_b)))/(s_P*s_RadSpec!AX7))),".")</f>
        <v>19.870072460746407</v>
      </c>
      <c r="R7" s="116">
        <f>IFERROR(IF(d_ss_Bv!R7=0,".",((s_Ir*s_F*d_ss_Bv!R7*(1-EXP(-s_RadSpec!AX7*s_t_b)))/(s_P*s_RadSpec!AX7))),".")</f>
        <v>19.870072460746407</v>
      </c>
      <c r="S7" s="116">
        <f>IFERROR(IF(d_ss_Bv!S7=0,".",((s_Ir*s_F*d_ss_Bv!S7*(1-EXP(-s_RadSpec!AX7*s_t_b)))/(s_P*s_RadSpec!AX7))),".")</f>
        <v>19.870072460746407</v>
      </c>
      <c r="T7" s="116">
        <f>IFERROR(IF(d_ss_Bv!T7=0,".",((s_Ir*s_F*d_ss_Bv!T7*(1-EXP(-s_RadSpec!AX7*s_t_b)))/(s_P*s_RadSpec!AX7))),".")</f>
        <v>19.870072460746407</v>
      </c>
      <c r="U7" s="116">
        <f>IFERROR(IF(d_ss_Bv!U7=0,".",((s_Ir*s_F*d_ss_Bv!U7*(1-EXP(-s_RadSpec!AX7*s_t_b)))/(s_P*s_RadSpec!AX7))),".")</f>
        <v>19.870072460746407</v>
      </c>
      <c r="V7" s="116">
        <f>IFERROR(IF(d_ss_Bv!V7=0,".",((s_Ir*s_F*d_ss_Bv!V7*(1-EXP(-s_RadSpec!AX7*s_t_b)))/(s_P*s_RadSpec!AX7))),".")</f>
        <v>19.870072460746407</v>
      </c>
      <c r="W7" s="116">
        <f>IFERROR(IF(d_ss_Bv!W7=0,".",((s_Ir*s_F*d_ss_Bv!W7*(1-EXP(-s_RadSpec!AX7*s_t_b)))/(s_P*s_RadSpec!AX7))),".")</f>
        <v>19.870072460746407</v>
      </c>
      <c r="X7" s="116">
        <f>IFERROR(IF(d_ss_Bv!X7=0,".",((s_Ir*s_F*d_ss_Bv!X7*(1-EXP(-s_RadSpec!AX7*s_t_b)))/(s_P*s_RadSpec!AX7))),".")</f>
        <v>19.870072460746407</v>
      </c>
      <c r="Y7" s="116">
        <f>IFERROR(IF(d_ss_Bv!Y7=0,".",((s_Ir*s_F*d_ss_Bv!Y7*(1-EXP(-s_RadSpec!AX7*s_t_b)))/(s_P*s_RadSpec!AX7))),".")</f>
        <v>19.870072460746407</v>
      </c>
      <c r="Z7" s="116">
        <f>IFERROR(IF(d_ss_Bv!Z7=0,".",((s_Ir*s_F*d_ss_Bv!Z7*(1-EXP(-s_RadSpec!AX7*s_t_b)))/(s_P*s_RadSpec!AX7))),".")</f>
        <v>19.870072460746407</v>
      </c>
      <c r="AA7" s="116">
        <f>IFERROR(IF(d_ss_Bv!C7=0,".",((s_Ir*s_F*s_MLF_apple*(1-EXP(-s_RadSpec!AX7*s_t_b)))/(s_P*s_RadSpec!AX7))),".")</f>
        <v>2.6824597822007652</v>
      </c>
      <c r="AB7" s="116">
        <f>IFERROR(IF(d_ss_Bv!D7=0,".",((s_Ir*s_F*s_MLF_asparagus*(1-EXP(-s_RadSpec!AX7*s_t_b)))/(s_P*s_RadSpec!AX7))),".")</f>
        <v>2.6824597822007652</v>
      </c>
      <c r="AC7" s="116">
        <f>IFERROR(IF(d_ss_Bv!E7=0,".",((s_Ir*s_F*s_MLF_beet*(1-EXP(-s_RadSpec!AX7*s_t_b)))/(s_P*s_RadSpec!AX7))),".")</f>
        <v>2.6824597822007652</v>
      </c>
      <c r="AD7" s="116">
        <f>IFERROR(IF(d_ss_Bv!F7=0,".",((s_Ir*s_F*s_MLF_berries*(1-EXP(-s_RadSpec!AX7*s_t_b)))/(s_P*s_RadSpec!AX7))),".")</f>
        <v>2.6824597822007652</v>
      </c>
      <c r="AE7" s="116">
        <f>IFERROR(IF(d_ss_Bv!G7=0,".",((s_Ir*s_F*s_MLF_broccoli*(1-EXP(-s_RadSpec!AX7*s_t_b)))/(s_P*s_RadSpec!AX7))),".")</f>
        <v>2.6824597822007652</v>
      </c>
      <c r="AF7" s="116">
        <f>IFERROR(IF(d_ss_Bv!H7=0,".",((s_Ir*s_F*s_MLF_cabbage*(1-EXP(-s_RadSpec!AX7*s_t_b)))/(s_P*s_RadSpec!AX7))),".")</f>
        <v>2.6824597822007652</v>
      </c>
      <c r="AG7" s="116">
        <f>IFERROR(IF(d_ss_Bv!I7=0,".",((s_Ir*s_F*s_MLF_carrot*(1-EXP(-s_RadSpec!AX7*s_t_b)))/(s_P*s_RadSpec!AX7))),".")</f>
        <v>2.6824597822007652</v>
      </c>
      <c r="AH7" s="116">
        <f>IFERROR(IF(d_ss_Bv!J7=0,".",((s_Ir*s_F*s_MLF_citrus*(1-EXP(-s_RadSpec!AX7*s_t_b)))/(s_P*s_RadSpec!AX7))),".")</f>
        <v>2.6824597822007652</v>
      </c>
      <c r="AI7" s="116">
        <f>IFERROR(IF(d_ss_Bv!K7=0,".",((s_Ir*s_F*s_MLF_corn*(1-EXP(-s_RadSpec!AX7*s_t_b)))/(s_P*s_RadSpec!AX7))),".")</f>
        <v>2.6824597822007652</v>
      </c>
      <c r="AJ7" s="116">
        <f>IFERROR(IF(d_ss_Bv!L7=0,".",((s_Ir*s_F*s_MLF_cucumber*(1-EXP(-s_RadSpec!AX7*s_t_b)))/(s_P*s_RadSpec!AX7))),".")</f>
        <v>2.6824597822007652</v>
      </c>
      <c r="AK7" s="116">
        <f>IFERROR(IF(d_ss_Bv!M7=0,".",((s_Ir*s_F*s_MLF_lettuce*(1-EXP(-s_RadSpec!AX7*s_t_b)))/(s_P*s_RadSpec!AX7))),".")</f>
        <v>2.6824597822007652</v>
      </c>
      <c r="AL7" s="116">
        <f>IFERROR(IF(d_ss_Bv!N7=0,".",((s_Ir*s_F*s_MLF_lima_bean*(1-EXP(-s_RadSpec!AX7*s_t_b)))/(s_P*s_RadSpec!AX7))),".")</f>
        <v>2.6824597822007652</v>
      </c>
      <c r="AM7" s="116">
        <f>IFERROR(IF(d_ss_Bv!O7=0,".",((s_Ir*s_F*s_MLF_okra*(1-EXP(-s_RadSpec!AX7*s_t_b)))/(s_P*s_RadSpec!AX7))),".")</f>
        <v>2.6824597822007652</v>
      </c>
      <c r="AN7" s="116">
        <f>IFERROR(IF(d_ss_Bv!P7=0,".",((s_Ir*s_F*s_MLF_onion*(1-EXP(-s_RadSpec!AX7*s_t_b)))/(s_P*s_RadSpec!AX7))),".")</f>
        <v>2.6824597822007652</v>
      </c>
      <c r="AO7" s="116">
        <f>IFERROR(IF(d_ss_Bv!Q7=0,".",((s_Ir*s_F*s_MLF_peach*(1-EXP(-s_RadSpec!AX7*s_t_b)))/(s_P*s_RadSpec!AX7))),".")</f>
        <v>2.6824597822007652</v>
      </c>
      <c r="AP7" s="116">
        <f>IFERROR(IF(d_ss_Bv!R7=0,".",((s_Ir*s_F*s_MLF_pear*(1-EXP(-s_RadSpec!AX7*s_t_b)))/(s_P*s_RadSpec!AX7))),".")</f>
        <v>2.6824597822007652</v>
      </c>
      <c r="AQ7" s="116">
        <f>IFERROR(IF(d_ss_Bv!S7=0,".",((s_Ir*s_F*s_MLF_peas*(1-EXP(-s_RadSpec!AX7*s_t_b)))/(s_P*s_RadSpec!AX7))),".")</f>
        <v>2.6824597822007652</v>
      </c>
      <c r="AR7" s="116">
        <f>IFERROR(IF(d_ss_Bv!T7=0,".",((s_Ir*s_F*s_MLF_potato*(1-EXP(-s_RadSpec!AX7*s_t_b)))/(s_P*s_RadSpec!AX7))),".")</f>
        <v>2.6824597822007652</v>
      </c>
      <c r="AS7" s="116">
        <f>IFERROR(IF(d_ss_Bv!U7=0,".",((s_Ir*s_F*s_MLF_pumpkin*(1-EXP(-s_RadSpec!AX7*s_t_b)))/(s_P*s_RadSpec!AX7))),".")</f>
        <v>2.6824597822007652</v>
      </c>
      <c r="AT7" s="116">
        <f>IFERROR(IF(d_ss_Bv!V7=0,".",((s_Ir*s_F*s_MLF_snap_bean*(1-EXP(-s_RadSpec!AX7*s_t_b)))/(s_P*s_RadSpec!AX7))),".")</f>
        <v>2.6824597822007652</v>
      </c>
      <c r="AU7" s="116">
        <f>IFERROR(IF(d_ss_Bv!W7=0,".",((s_Ir*s_F*s_MLF_strawberry*(1-EXP(-s_RadSpec!AX7*s_t_b)))/(s_P*s_RadSpec!AX7))),".")</f>
        <v>2.6824597822007652</v>
      </c>
      <c r="AV7" s="116">
        <f>IFERROR(IF(d_ss_Bv!X7=0,".",((s_Ir*s_F*s_MLF_tomato*(1-EXP(-s_RadSpec!AX7*s_t_b)))/(s_P*s_RadSpec!AX7))),".")</f>
        <v>2.6824597822007652</v>
      </c>
      <c r="AW7" s="116">
        <f>IFERROR(IF(d_ss_Bv!Y7=0,".",((s_Ir*s_F*s_MLF_rice*(1-EXP(-s_RadSpec!AX7*s_t_b)))/(s_P*s_RadSpec!AX7))),".")</f>
        <v>2.6824597822007652</v>
      </c>
      <c r="AX7" s="116">
        <f>IFERROR(IF(d_ss_Bv!Z7=0,".",((s_Ir*s_F*s_MLF_cereal*(1-EXP(-s_RadSpec!AX7*s_t_b)))/(s_P*s_RadSpec!AX7))),".")</f>
        <v>2.6824597822007652</v>
      </c>
      <c r="AY7" s="116">
        <f>IFERROR(IF(d_ss_Bv!C7=0,".",((s_Ir*s_F*s_I_f*s_T*(1-EXP(-s_RadSpec!AY7*s_t_v)))/(s_Y_v*s_RadSpec!AY7))),".")</f>
        <v>9.0143481925428208</v>
      </c>
      <c r="AZ7" s="116">
        <f>IFERROR(IF(d_ss_Bv!D7=0,".",((s_Ir*s_F*s_I_f*s_T*(1-EXP(-s_RadSpec!AY7*s_t_v)))/(s_Y_v*s_RadSpec!AY7))),".")</f>
        <v>9.0143481925428208</v>
      </c>
      <c r="BA7" s="116">
        <f>IFERROR(IF(d_ss_Bv!E7=0,".",((s_Ir*s_F*s_I_f*s_T*(1-EXP(-s_RadSpec!AY7*s_t_v)))/(s_Y_v*s_RadSpec!AY7))),".")</f>
        <v>9.0143481925428208</v>
      </c>
      <c r="BB7" s="116">
        <f>IFERROR(IF(d_ss_Bv!F7=0,".",((s_Ir*s_F*s_I_f*s_T*(1-EXP(-s_RadSpec!AY7*s_t_v)))/(s_Y_v*s_RadSpec!AY7))),".")</f>
        <v>9.0143481925428208</v>
      </c>
      <c r="BC7" s="116">
        <f>IFERROR(IF(d_ss_Bv!G7=0,".",((s_Ir*s_F*s_I_f*s_T*(1-EXP(-s_RadSpec!AY7*s_t_v)))/(s_Y_v*s_RadSpec!AY7))),".")</f>
        <v>9.0143481925428208</v>
      </c>
      <c r="BD7" s="116">
        <f>IFERROR(IF(d_ss_Bv!H7=0,".",((s_Ir*s_F*s_I_f*s_T*(1-EXP(-s_RadSpec!AY7*s_t_v)))/(s_Y_v*s_RadSpec!AY7))),".")</f>
        <v>9.0143481925428208</v>
      </c>
      <c r="BE7" s="116">
        <f>IFERROR(IF(d_ss_Bv!I7=0,".",((s_Ir*s_F*s_I_f*s_T*(1-EXP(-s_RadSpec!AY7*s_t_v)))/(s_Y_v*s_RadSpec!AY7))),".")</f>
        <v>9.0143481925428208</v>
      </c>
      <c r="BF7" s="116">
        <f>IFERROR(IF(d_ss_Bv!J7=0,".",((s_Ir*s_F*s_I_f*s_T*(1-EXP(-s_RadSpec!AY7*s_t_v)))/(s_Y_v*s_RadSpec!AY7))),".")</f>
        <v>9.0143481925428208</v>
      </c>
      <c r="BG7" s="116">
        <f>IFERROR(IF(d_ss_Bv!K7=0,".",((s_Ir*s_F*s_I_f*s_T*(1-EXP(-s_RadSpec!AY7*s_t_v)))/(s_Y_v*s_RadSpec!AY7))),".")</f>
        <v>9.0143481925428208</v>
      </c>
      <c r="BH7" s="116">
        <f>IFERROR(IF(d_ss_Bv!L7=0,".",((s_Ir*s_F*s_I_f*s_T*(1-EXP(-s_RadSpec!AY7*s_t_v)))/(s_Y_v*s_RadSpec!AY7))),".")</f>
        <v>9.0143481925428208</v>
      </c>
      <c r="BI7" s="116">
        <f>IFERROR(IF(d_ss_Bv!M7=0,".",((s_Ir*s_F*s_I_f*s_T*(1-EXP(-s_RadSpec!AY7*s_t_v)))/(s_Y_v*s_RadSpec!AY7))),".")</f>
        <v>9.0143481925428208</v>
      </c>
      <c r="BJ7" s="116">
        <f>IFERROR(IF(d_ss_Bv!N7=0,".",((s_Ir*s_F*s_I_f*s_T*(1-EXP(-s_RadSpec!AY7*s_t_v)))/(s_Y_v*s_RadSpec!AY7))),".")</f>
        <v>9.0143481925428208</v>
      </c>
      <c r="BK7" s="116">
        <f>IFERROR(IF(d_ss_Bv!O7=0,".",((s_Ir*s_F*s_I_f*s_T*(1-EXP(-s_RadSpec!AY7*s_t_v)))/(s_Y_v*s_RadSpec!AY7))),".")</f>
        <v>9.0143481925428208</v>
      </c>
      <c r="BL7" s="116">
        <f>IFERROR(IF(d_ss_Bv!P7=0,".",((s_Ir*s_F*s_I_f*s_T*(1-EXP(-s_RadSpec!AY7*s_t_v)))/(s_Y_v*s_RadSpec!AY7))),".")</f>
        <v>9.0143481925428208</v>
      </c>
      <c r="BM7" s="116">
        <f>IFERROR(IF(d_ss_Bv!Q7=0,".",((s_Ir*s_F*s_I_f*s_T*(1-EXP(-s_RadSpec!AY7*s_t_v)))/(s_Y_v*s_RadSpec!AY7))),".")</f>
        <v>9.0143481925428208</v>
      </c>
      <c r="BN7" s="116">
        <f>IFERROR(IF(d_ss_Bv!R7=0,".",((s_Ir*s_F*s_I_f*s_T*(1-EXP(-s_RadSpec!AY7*s_t_v)))/(s_Y_v*s_RadSpec!AY7))),".")</f>
        <v>9.0143481925428208</v>
      </c>
      <c r="BO7" s="116">
        <f>IFERROR(IF(d_ss_Bv!S7=0,".",((s_Ir*s_F*s_I_f*s_T*(1-EXP(-s_RadSpec!AY7*s_t_v)))/(s_Y_v*s_RadSpec!AY7))),".")</f>
        <v>9.0143481925428208</v>
      </c>
      <c r="BP7" s="116">
        <f>IFERROR(IF(d_ss_Bv!T7=0,".",((s_Ir*s_F*s_I_f*s_T*(1-EXP(-s_RadSpec!AY7*s_t_v)))/(s_Y_v*s_RadSpec!AY7))),".")</f>
        <v>9.0143481925428208</v>
      </c>
      <c r="BQ7" s="116">
        <f>IFERROR(IF(d_ss_Bv!U7=0,".",((s_Ir*s_F*s_I_f*s_T*(1-EXP(-s_RadSpec!AY7*s_t_v)))/(s_Y_v*s_RadSpec!AY7))),".")</f>
        <v>9.0143481925428208</v>
      </c>
      <c r="BR7" s="116">
        <f>IFERROR(IF(d_ss_Bv!V7=0,".",((s_Ir*s_F*s_I_f*s_T*(1-EXP(-s_RadSpec!AY7*s_t_v)))/(s_Y_v*s_RadSpec!AY7))),".")</f>
        <v>9.0143481925428208</v>
      </c>
      <c r="BS7" s="116">
        <f>IFERROR(IF(d_ss_Bv!W7=0,".",((s_Ir*s_F*s_I_f*s_T*(1-EXP(-s_RadSpec!AY7*s_t_v)))/(s_Y_v*s_RadSpec!AY7))),".")</f>
        <v>9.0143481925428208</v>
      </c>
      <c r="BT7" s="116">
        <f>IFERROR(IF(d_ss_Bv!X7=0,".",((s_Ir*s_F*s_I_f*s_T*(1-EXP(-s_RadSpec!AY7*s_t_v)))/(s_Y_v*s_RadSpec!AY7))),".")</f>
        <v>9.0143481925428208</v>
      </c>
      <c r="BU7" s="116">
        <f>IFERROR(IF(d_ss_Bv!Y7=0,".",((s_Ir*s_F*s_I_f*s_T*(1-EXP(-s_RadSpec!AY7*s_t_v)))/(s_Y_v*s_RadSpec!AY7))),".")</f>
        <v>9.0143481925428208</v>
      </c>
      <c r="BV7" s="116">
        <f>IFERROR(IF(d_ss_Bv!Z7=0,".",((s_Ir*s_F*s_I_f*s_T*(1-EXP(-s_RadSpec!AY7*s_t_v)))/(s_Y_v*s_RadSpec!AY7))),".")</f>
        <v>9.0143481925428208</v>
      </c>
    </row>
    <row r="8" spans="1:74" x14ac:dyDescent="0.25">
      <c r="A8" s="44" t="s">
        <v>18</v>
      </c>
      <c r="B8" s="42" t="s">
        <v>1074</v>
      </c>
      <c r="C8" s="116">
        <f>IFERROR(IF(d_ss_Bv!C8=0,".",((s_Ir*s_F*d_ss_Bv!C8*(1-EXP(-s_RadSpec!$AX8*s_t_b)))/(s_P*s_RadSpec!$AX8))),".")</f>
        <v>19.870072460746407</v>
      </c>
      <c r="D8" s="116">
        <f>IFERROR(IF(d_ss_Bv!D8=0,".",((s_Ir*s_F*d_ss_Bv!D8*(1-EXP(-s_RadSpec!AX8*s_t_b)))/(s_P*s_RadSpec!AX8))),".")</f>
        <v>19.870072460746407</v>
      </c>
      <c r="E8" s="116">
        <f>IFERROR(IF(d_ss_Bv!E8=0,".",((s_Ir*s_F*d_ss_Bv!E8*(1-EXP(-s_RadSpec!AX8*s_t_b)))/(s_P*s_RadSpec!AX8))),".")</f>
        <v>19.870072460746407</v>
      </c>
      <c r="F8" s="116">
        <f>IFERROR(IF(d_ss_Bv!F8=0,".",((s_Ir*s_F*d_ss_Bv!F8*(1-EXP(-s_RadSpec!AX8*s_t_b)))/(s_P*s_RadSpec!AX8))),".")</f>
        <v>19.870072460746407</v>
      </c>
      <c r="G8" s="116">
        <f>IFERROR(IF(d_ss_Bv!G8=0,".",((s_Ir*s_F*d_ss_Bv!G8*(1-EXP(-s_RadSpec!AX8*s_t_b)))/(s_P*s_RadSpec!AX8))),".")</f>
        <v>19.870072460746407</v>
      </c>
      <c r="H8" s="116">
        <f>IFERROR(IF(d_ss_Bv!H8=0,".",((s_Ir*s_F*d_ss_Bv!H8*(1-EXP(-s_RadSpec!AX8*s_t_b)))/(s_P*s_RadSpec!AX8))),".")</f>
        <v>19.870072460746407</v>
      </c>
      <c r="I8" s="116">
        <f>IFERROR(IF(d_ss_Bv!I8=0,".",((s_Ir*s_F*d_ss_Bv!I8*(1-EXP(-s_RadSpec!AX8*s_t_b)))/(s_P*s_RadSpec!AX8))),".")</f>
        <v>19.870072460746407</v>
      </c>
      <c r="J8" s="116">
        <f>IFERROR(IF(d_ss_Bv!J8=0,".",((s_Ir*s_F*d_ss_Bv!J8*(1-EXP(-s_RadSpec!AX8*s_t_b)))/(s_P*s_RadSpec!AX8))),".")</f>
        <v>19.870072460746407</v>
      </c>
      <c r="K8" s="116">
        <f>IFERROR(IF(d_ss_Bv!K8=0,".",((s_Ir*s_F*d_ss_Bv!K8*(1-EXP(-s_RadSpec!AX8*s_t_b)))/(s_P*s_RadSpec!AX8))),".")</f>
        <v>19.870072460746407</v>
      </c>
      <c r="L8" s="116">
        <f>IFERROR(IF(d_ss_Bv!L8=0,".",((s_Ir*s_F*d_ss_Bv!L8*(1-EXP(-s_RadSpec!AX8*s_t_b)))/(s_P*s_RadSpec!AX8))),".")</f>
        <v>19.870072460746407</v>
      </c>
      <c r="M8" s="116">
        <f>IFERROR(IF(d_ss_Bv!M8=0,".",((s_Ir*s_F*d_ss_Bv!M8*(1-EXP(-s_RadSpec!AX8*s_t_b)))/(s_P*s_RadSpec!AX8))),".")</f>
        <v>19.870072460746407</v>
      </c>
      <c r="N8" s="116">
        <f>IFERROR(IF(d_ss_Bv!N8=0,".",((s_Ir*s_F*d_ss_Bv!N8*(1-EXP(-s_RadSpec!AX8*s_t_b)))/(s_P*s_RadSpec!AX8))),".")</f>
        <v>19.870072460746407</v>
      </c>
      <c r="O8" s="116">
        <f>IFERROR(IF(d_ss_Bv!O8=0,".",((s_Ir*s_F*d_ss_Bv!O8*(1-EXP(-s_RadSpec!AX8*s_t_b)))/(s_P*s_RadSpec!AX8))),".")</f>
        <v>19.870072460746407</v>
      </c>
      <c r="P8" s="116">
        <f>IFERROR(IF(d_ss_Bv!P8=0,".",((s_Ir*s_F*d_ss_Bv!P8*(1-EXP(-s_RadSpec!AX8*s_t_b)))/(s_P*s_RadSpec!AX8))),".")</f>
        <v>19.870072460746407</v>
      </c>
      <c r="Q8" s="116">
        <f>IFERROR(IF(d_ss_Bv!Q8=0,".",((s_Ir*s_F*d_ss_Bv!Q8*(1-EXP(-s_RadSpec!AX8*s_t_b)))/(s_P*s_RadSpec!AX8))),".")</f>
        <v>19.870072460746407</v>
      </c>
      <c r="R8" s="116">
        <f>IFERROR(IF(d_ss_Bv!R8=0,".",((s_Ir*s_F*d_ss_Bv!R8*(1-EXP(-s_RadSpec!AX8*s_t_b)))/(s_P*s_RadSpec!AX8))),".")</f>
        <v>19.870072460746407</v>
      </c>
      <c r="S8" s="116">
        <f>IFERROR(IF(d_ss_Bv!S8=0,".",((s_Ir*s_F*d_ss_Bv!S8*(1-EXP(-s_RadSpec!AX8*s_t_b)))/(s_P*s_RadSpec!AX8))),".")</f>
        <v>19.870072460746407</v>
      </c>
      <c r="T8" s="116">
        <f>IFERROR(IF(d_ss_Bv!T8=0,".",((s_Ir*s_F*d_ss_Bv!T8*(1-EXP(-s_RadSpec!AX8*s_t_b)))/(s_P*s_RadSpec!AX8))),".")</f>
        <v>19.870072460746407</v>
      </c>
      <c r="U8" s="116">
        <f>IFERROR(IF(d_ss_Bv!U8=0,".",((s_Ir*s_F*d_ss_Bv!U8*(1-EXP(-s_RadSpec!AX8*s_t_b)))/(s_P*s_RadSpec!AX8))),".")</f>
        <v>19.870072460746407</v>
      </c>
      <c r="V8" s="116">
        <f>IFERROR(IF(d_ss_Bv!V8=0,".",((s_Ir*s_F*d_ss_Bv!V8*(1-EXP(-s_RadSpec!AX8*s_t_b)))/(s_P*s_RadSpec!AX8))),".")</f>
        <v>19.870072460746407</v>
      </c>
      <c r="W8" s="116">
        <f>IFERROR(IF(d_ss_Bv!W8=0,".",((s_Ir*s_F*d_ss_Bv!W8*(1-EXP(-s_RadSpec!AX8*s_t_b)))/(s_P*s_RadSpec!AX8))),".")</f>
        <v>19.870072460746407</v>
      </c>
      <c r="X8" s="116">
        <f>IFERROR(IF(d_ss_Bv!X8=0,".",((s_Ir*s_F*d_ss_Bv!X8*(1-EXP(-s_RadSpec!AX8*s_t_b)))/(s_P*s_RadSpec!AX8))),".")</f>
        <v>19.870072460746407</v>
      </c>
      <c r="Y8" s="116">
        <f>IFERROR(IF(d_ss_Bv!Y8=0,".",((s_Ir*s_F*d_ss_Bv!Y8*(1-EXP(-s_RadSpec!AX8*s_t_b)))/(s_P*s_RadSpec!AX8))),".")</f>
        <v>19.870072460746407</v>
      </c>
      <c r="Z8" s="116">
        <f>IFERROR(IF(d_ss_Bv!Z8=0,".",((s_Ir*s_F*d_ss_Bv!Z8*(1-EXP(-s_RadSpec!AX8*s_t_b)))/(s_P*s_RadSpec!AX8))),".")</f>
        <v>19.870072460746407</v>
      </c>
      <c r="AA8" s="116">
        <f>IFERROR(IF(d_ss_Bv!C8=0,".",((s_Ir*s_F*s_MLF_apple*(1-EXP(-s_RadSpec!AX8*s_t_b)))/(s_P*s_RadSpec!AX8))),".")</f>
        <v>2.6824597822007652</v>
      </c>
      <c r="AB8" s="116">
        <f>IFERROR(IF(d_ss_Bv!D8=0,".",((s_Ir*s_F*s_MLF_asparagus*(1-EXP(-s_RadSpec!AX8*s_t_b)))/(s_P*s_RadSpec!AX8))),".")</f>
        <v>2.6824597822007652</v>
      </c>
      <c r="AC8" s="116">
        <f>IFERROR(IF(d_ss_Bv!E8=0,".",((s_Ir*s_F*s_MLF_beet*(1-EXP(-s_RadSpec!AX8*s_t_b)))/(s_P*s_RadSpec!AX8))),".")</f>
        <v>2.6824597822007652</v>
      </c>
      <c r="AD8" s="116">
        <f>IFERROR(IF(d_ss_Bv!F8=0,".",((s_Ir*s_F*s_MLF_berries*(1-EXP(-s_RadSpec!AX8*s_t_b)))/(s_P*s_RadSpec!AX8))),".")</f>
        <v>2.6824597822007652</v>
      </c>
      <c r="AE8" s="116">
        <f>IFERROR(IF(d_ss_Bv!G8=0,".",((s_Ir*s_F*s_MLF_broccoli*(1-EXP(-s_RadSpec!AX8*s_t_b)))/(s_P*s_RadSpec!AX8))),".")</f>
        <v>2.6824597822007652</v>
      </c>
      <c r="AF8" s="116">
        <f>IFERROR(IF(d_ss_Bv!H8=0,".",((s_Ir*s_F*s_MLF_cabbage*(1-EXP(-s_RadSpec!AX8*s_t_b)))/(s_P*s_RadSpec!AX8))),".")</f>
        <v>2.6824597822007652</v>
      </c>
      <c r="AG8" s="116">
        <f>IFERROR(IF(d_ss_Bv!I8=0,".",((s_Ir*s_F*s_MLF_carrot*(1-EXP(-s_RadSpec!AX8*s_t_b)))/(s_P*s_RadSpec!AX8))),".")</f>
        <v>2.6824597822007652</v>
      </c>
      <c r="AH8" s="116">
        <f>IFERROR(IF(d_ss_Bv!J8=0,".",((s_Ir*s_F*s_MLF_citrus*(1-EXP(-s_RadSpec!AX8*s_t_b)))/(s_P*s_RadSpec!AX8))),".")</f>
        <v>2.6824597822007652</v>
      </c>
      <c r="AI8" s="116">
        <f>IFERROR(IF(d_ss_Bv!K8=0,".",((s_Ir*s_F*s_MLF_corn*(1-EXP(-s_RadSpec!AX8*s_t_b)))/(s_P*s_RadSpec!AX8))),".")</f>
        <v>2.6824597822007652</v>
      </c>
      <c r="AJ8" s="116">
        <f>IFERROR(IF(d_ss_Bv!L8=0,".",((s_Ir*s_F*s_MLF_cucumber*(1-EXP(-s_RadSpec!AX8*s_t_b)))/(s_P*s_RadSpec!AX8))),".")</f>
        <v>2.6824597822007652</v>
      </c>
      <c r="AK8" s="116">
        <f>IFERROR(IF(d_ss_Bv!M8=0,".",((s_Ir*s_F*s_MLF_lettuce*(1-EXP(-s_RadSpec!AX8*s_t_b)))/(s_P*s_RadSpec!AX8))),".")</f>
        <v>2.6824597822007652</v>
      </c>
      <c r="AL8" s="116">
        <f>IFERROR(IF(d_ss_Bv!N8=0,".",((s_Ir*s_F*s_MLF_lima_bean*(1-EXP(-s_RadSpec!AX8*s_t_b)))/(s_P*s_RadSpec!AX8))),".")</f>
        <v>2.6824597822007652</v>
      </c>
      <c r="AM8" s="116">
        <f>IFERROR(IF(d_ss_Bv!O8=0,".",((s_Ir*s_F*s_MLF_okra*(1-EXP(-s_RadSpec!AX8*s_t_b)))/(s_P*s_RadSpec!AX8))),".")</f>
        <v>2.6824597822007652</v>
      </c>
      <c r="AN8" s="116">
        <f>IFERROR(IF(d_ss_Bv!P8=0,".",((s_Ir*s_F*s_MLF_onion*(1-EXP(-s_RadSpec!AX8*s_t_b)))/(s_P*s_RadSpec!AX8))),".")</f>
        <v>2.6824597822007652</v>
      </c>
      <c r="AO8" s="116">
        <f>IFERROR(IF(d_ss_Bv!Q8=0,".",((s_Ir*s_F*s_MLF_peach*(1-EXP(-s_RadSpec!AX8*s_t_b)))/(s_P*s_RadSpec!AX8))),".")</f>
        <v>2.6824597822007652</v>
      </c>
      <c r="AP8" s="116">
        <f>IFERROR(IF(d_ss_Bv!R8=0,".",((s_Ir*s_F*s_MLF_pear*(1-EXP(-s_RadSpec!AX8*s_t_b)))/(s_P*s_RadSpec!AX8))),".")</f>
        <v>2.6824597822007652</v>
      </c>
      <c r="AQ8" s="116">
        <f>IFERROR(IF(d_ss_Bv!S8=0,".",((s_Ir*s_F*s_MLF_peas*(1-EXP(-s_RadSpec!AX8*s_t_b)))/(s_P*s_RadSpec!AX8))),".")</f>
        <v>2.6824597822007652</v>
      </c>
      <c r="AR8" s="116">
        <f>IFERROR(IF(d_ss_Bv!T8=0,".",((s_Ir*s_F*s_MLF_potato*(1-EXP(-s_RadSpec!AX8*s_t_b)))/(s_P*s_RadSpec!AX8))),".")</f>
        <v>2.6824597822007652</v>
      </c>
      <c r="AS8" s="116">
        <f>IFERROR(IF(d_ss_Bv!U8=0,".",((s_Ir*s_F*s_MLF_pumpkin*(1-EXP(-s_RadSpec!AX8*s_t_b)))/(s_P*s_RadSpec!AX8))),".")</f>
        <v>2.6824597822007652</v>
      </c>
      <c r="AT8" s="116">
        <f>IFERROR(IF(d_ss_Bv!V8=0,".",((s_Ir*s_F*s_MLF_snap_bean*(1-EXP(-s_RadSpec!AX8*s_t_b)))/(s_P*s_RadSpec!AX8))),".")</f>
        <v>2.6824597822007652</v>
      </c>
      <c r="AU8" s="116">
        <f>IFERROR(IF(d_ss_Bv!W8=0,".",((s_Ir*s_F*s_MLF_strawberry*(1-EXP(-s_RadSpec!AX8*s_t_b)))/(s_P*s_RadSpec!AX8))),".")</f>
        <v>2.6824597822007652</v>
      </c>
      <c r="AV8" s="116">
        <f>IFERROR(IF(d_ss_Bv!X8=0,".",((s_Ir*s_F*s_MLF_tomato*(1-EXP(-s_RadSpec!AX8*s_t_b)))/(s_P*s_RadSpec!AX8))),".")</f>
        <v>2.6824597822007652</v>
      </c>
      <c r="AW8" s="116">
        <f>IFERROR(IF(d_ss_Bv!Y8=0,".",((s_Ir*s_F*s_MLF_rice*(1-EXP(-s_RadSpec!AX8*s_t_b)))/(s_P*s_RadSpec!AX8))),".")</f>
        <v>2.6824597822007652</v>
      </c>
      <c r="AX8" s="116">
        <f>IFERROR(IF(d_ss_Bv!Z8=0,".",((s_Ir*s_F*s_MLF_cereal*(1-EXP(-s_RadSpec!AX8*s_t_b)))/(s_P*s_RadSpec!AX8))),".")</f>
        <v>2.6824597822007652</v>
      </c>
      <c r="AY8" s="116">
        <f>IFERROR(IF(d_ss_Bv!C8=0,".",((s_Ir*s_F*s_I_f*s_T*(1-EXP(-s_RadSpec!AY8*s_t_v)))/(s_Y_v*s_RadSpec!AY8))),".")</f>
        <v>9.0143481925428208</v>
      </c>
      <c r="AZ8" s="116">
        <f>IFERROR(IF(d_ss_Bv!D8=0,".",((s_Ir*s_F*s_I_f*s_T*(1-EXP(-s_RadSpec!AY8*s_t_v)))/(s_Y_v*s_RadSpec!AY8))),".")</f>
        <v>9.0143481925428208</v>
      </c>
      <c r="BA8" s="116">
        <f>IFERROR(IF(d_ss_Bv!E8=0,".",((s_Ir*s_F*s_I_f*s_T*(1-EXP(-s_RadSpec!AY8*s_t_v)))/(s_Y_v*s_RadSpec!AY8))),".")</f>
        <v>9.0143481925428208</v>
      </c>
      <c r="BB8" s="116">
        <f>IFERROR(IF(d_ss_Bv!F8=0,".",((s_Ir*s_F*s_I_f*s_T*(1-EXP(-s_RadSpec!AY8*s_t_v)))/(s_Y_v*s_RadSpec!AY8))),".")</f>
        <v>9.0143481925428208</v>
      </c>
      <c r="BC8" s="116">
        <f>IFERROR(IF(d_ss_Bv!G8=0,".",((s_Ir*s_F*s_I_f*s_T*(1-EXP(-s_RadSpec!AY8*s_t_v)))/(s_Y_v*s_RadSpec!AY8))),".")</f>
        <v>9.0143481925428208</v>
      </c>
      <c r="BD8" s="116">
        <f>IFERROR(IF(d_ss_Bv!H8=0,".",((s_Ir*s_F*s_I_f*s_T*(1-EXP(-s_RadSpec!AY8*s_t_v)))/(s_Y_v*s_RadSpec!AY8))),".")</f>
        <v>9.0143481925428208</v>
      </c>
      <c r="BE8" s="116">
        <f>IFERROR(IF(d_ss_Bv!I8=0,".",((s_Ir*s_F*s_I_f*s_T*(1-EXP(-s_RadSpec!AY8*s_t_v)))/(s_Y_v*s_RadSpec!AY8))),".")</f>
        <v>9.0143481925428208</v>
      </c>
      <c r="BF8" s="116">
        <f>IFERROR(IF(d_ss_Bv!J8=0,".",((s_Ir*s_F*s_I_f*s_T*(1-EXP(-s_RadSpec!AY8*s_t_v)))/(s_Y_v*s_RadSpec!AY8))),".")</f>
        <v>9.0143481925428208</v>
      </c>
      <c r="BG8" s="116">
        <f>IFERROR(IF(d_ss_Bv!K8=0,".",((s_Ir*s_F*s_I_f*s_T*(1-EXP(-s_RadSpec!AY8*s_t_v)))/(s_Y_v*s_RadSpec!AY8))),".")</f>
        <v>9.0143481925428208</v>
      </c>
      <c r="BH8" s="116">
        <f>IFERROR(IF(d_ss_Bv!L8=0,".",((s_Ir*s_F*s_I_f*s_T*(1-EXP(-s_RadSpec!AY8*s_t_v)))/(s_Y_v*s_RadSpec!AY8))),".")</f>
        <v>9.0143481925428208</v>
      </c>
      <c r="BI8" s="116">
        <f>IFERROR(IF(d_ss_Bv!M8=0,".",((s_Ir*s_F*s_I_f*s_T*(1-EXP(-s_RadSpec!AY8*s_t_v)))/(s_Y_v*s_RadSpec!AY8))),".")</f>
        <v>9.0143481925428208</v>
      </c>
      <c r="BJ8" s="116">
        <f>IFERROR(IF(d_ss_Bv!N8=0,".",((s_Ir*s_F*s_I_f*s_T*(1-EXP(-s_RadSpec!AY8*s_t_v)))/(s_Y_v*s_RadSpec!AY8))),".")</f>
        <v>9.0143481925428208</v>
      </c>
      <c r="BK8" s="116">
        <f>IFERROR(IF(d_ss_Bv!O8=0,".",((s_Ir*s_F*s_I_f*s_T*(1-EXP(-s_RadSpec!AY8*s_t_v)))/(s_Y_v*s_RadSpec!AY8))),".")</f>
        <v>9.0143481925428208</v>
      </c>
      <c r="BL8" s="116">
        <f>IFERROR(IF(d_ss_Bv!P8=0,".",((s_Ir*s_F*s_I_f*s_T*(1-EXP(-s_RadSpec!AY8*s_t_v)))/(s_Y_v*s_RadSpec!AY8))),".")</f>
        <v>9.0143481925428208</v>
      </c>
      <c r="BM8" s="116">
        <f>IFERROR(IF(d_ss_Bv!Q8=0,".",((s_Ir*s_F*s_I_f*s_T*(1-EXP(-s_RadSpec!AY8*s_t_v)))/(s_Y_v*s_RadSpec!AY8))),".")</f>
        <v>9.0143481925428208</v>
      </c>
      <c r="BN8" s="116">
        <f>IFERROR(IF(d_ss_Bv!R8=0,".",((s_Ir*s_F*s_I_f*s_T*(1-EXP(-s_RadSpec!AY8*s_t_v)))/(s_Y_v*s_RadSpec!AY8))),".")</f>
        <v>9.0143481925428208</v>
      </c>
      <c r="BO8" s="116">
        <f>IFERROR(IF(d_ss_Bv!S8=0,".",((s_Ir*s_F*s_I_f*s_T*(1-EXP(-s_RadSpec!AY8*s_t_v)))/(s_Y_v*s_RadSpec!AY8))),".")</f>
        <v>9.0143481925428208</v>
      </c>
      <c r="BP8" s="116">
        <f>IFERROR(IF(d_ss_Bv!T8=0,".",((s_Ir*s_F*s_I_f*s_T*(1-EXP(-s_RadSpec!AY8*s_t_v)))/(s_Y_v*s_RadSpec!AY8))),".")</f>
        <v>9.0143481925428208</v>
      </c>
      <c r="BQ8" s="116">
        <f>IFERROR(IF(d_ss_Bv!U8=0,".",((s_Ir*s_F*s_I_f*s_T*(1-EXP(-s_RadSpec!AY8*s_t_v)))/(s_Y_v*s_RadSpec!AY8))),".")</f>
        <v>9.0143481925428208</v>
      </c>
      <c r="BR8" s="116">
        <f>IFERROR(IF(d_ss_Bv!V8=0,".",((s_Ir*s_F*s_I_f*s_T*(1-EXP(-s_RadSpec!AY8*s_t_v)))/(s_Y_v*s_RadSpec!AY8))),".")</f>
        <v>9.0143481925428208</v>
      </c>
      <c r="BS8" s="116">
        <f>IFERROR(IF(d_ss_Bv!W8=0,".",((s_Ir*s_F*s_I_f*s_T*(1-EXP(-s_RadSpec!AY8*s_t_v)))/(s_Y_v*s_RadSpec!AY8))),".")</f>
        <v>9.0143481925428208</v>
      </c>
      <c r="BT8" s="116">
        <f>IFERROR(IF(d_ss_Bv!X8=0,".",((s_Ir*s_F*s_I_f*s_T*(1-EXP(-s_RadSpec!AY8*s_t_v)))/(s_Y_v*s_RadSpec!AY8))),".")</f>
        <v>9.0143481925428208</v>
      </c>
      <c r="BU8" s="116">
        <f>IFERROR(IF(d_ss_Bv!Y8=0,".",((s_Ir*s_F*s_I_f*s_T*(1-EXP(-s_RadSpec!AY8*s_t_v)))/(s_Y_v*s_RadSpec!AY8))),".")</f>
        <v>9.0143481925428208</v>
      </c>
      <c r="BV8" s="116">
        <f>IFERROR(IF(d_ss_Bv!Z8=0,".",((s_Ir*s_F*s_I_f*s_T*(1-EXP(-s_RadSpec!AY8*s_t_v)))/(s_Y_v*s_RadSpec!AY8))),".")</f>
        <v>9.0143481925428208</v>
      </c>
    </row>
    <row r="9" spans="1:74" x14ac:dyDescent="0.25">
      <c r="A9" s="44" t="s">
        <v>19</v>
      </c>
      <c r="B9" s="42" t="s">
        <v>1074</v>
      </c>
      <c r="C9" s="116">
        <f>IFERROR(IF(d_ss_Bv!C9=0,".",((s_Ir*s_F*d_ss_Bv!C9*(1-EXP(-s_RadSpec!$AX9*s_t_b)))/(s_P*s_RadSpec!$AX9))),".")</f>
        <v>19.870072460746407</v>
      </c>
      <c r="D9" s="116">
        <f>IFERROR(IF(d_ss_Bv!D9=0,".",((s_Ir*s_F*d_ss_Bv!D9*(1-EXP(-s_RadSpec!AX9*s_t_b)))/(s_P*s_RadSpec!AX9))),".")</f>
        <v>19.870072460746407</v>
      </c>
      <c r="E9" s="116">
        <f>IFERROR(IF(d_ss_Bv!E9=0,".",((s_Ir*s_F*d_ss_Bv!E9*(1-EXP(-s_RadSpec!AX9*s_t_b)))/(s_P*s_RadSpec!AX9))),".")</f>
        <v>19.870072460746407</v>
      </c>
      <c r="F9" s="116">
        <f>IFERROR(IF(d_ss_Bv!F9=0,".",((s_Ir*s_F*d_ss_Bv!F9*(1-EXP(-s_RadSpec!AX9*s_t_b)))/(s_P*s_RadSpec!AX9))),".")</f>
        <v>19.870072460746407</v>
      </c>
      <c r="G9" s="116">
        <f>IFERROR(IF(d_ss_Bv!G9=0,".",((s_Ir*s_F*d_ss_Bv!G9*(1-EXP(-s_RadSpec!AX9*s_t_b)))/(s_P*s_RadSpec!AX9))),".")</f>
        <v>19.870072460746407</v>
      </c>
      <c r="H9" s="116">
        <f>IFERROR(IF(d_ss_Bv!H9=0,".",((s_Ir*s_F*d_ss_Bv!H9*(1-EXP(-s_RadSpec!AX9*s_t_b)))/(s_P*s_RadSpec!AX9))),".")</f>
        <v>19.870072460746407</v>
      </c>
      <c r="I9" s="116">
        <f>IFERROR(IF(d_ss_Bv!I9=0,".",((s_Ir*s_F*d_ss_Bv!I9*(1-EXP(-s_RadSpec!AX9*s_t_b)))/(s_P*s_RadSpec!AX9))),".")</f>
        <v>19.870072460746407</v>
      </c>
      <c r="J9" s="116">
        <f>IFERROR(IF(d_ss_Bv!J9=0,".",((s_Ir*s_F*d_ss_Bv!J9*(1-EXP(-s_RadSpec!AX9*s_t_b)))/(s_P*s_RadSpec!AX9))),".")</f>
        <v>19.870072460746407</v>
      </c>
      <c r="K9" s="116">
        <f>IFERROR(IF(d_ss_Bv!K9=0,".",((s_Ir*s_F*d_ss_Bv!K9*(1-EXP(-s_RadSpec!AX9*s_t_b)))/(s_P*s_RadSpec!AX9))),".")</f>
        <v>19.870072460746407</v>
      </c>
      <c r="L9" s="116">
        <f>IFERROR(IF(d_ss_Bv!L9=0,".",((s_Ir*s_F*d_ss_Bv!L9*(1-EXP(-s_RadSpec!AX9*s_t_b)))/(s_P*s_RadSpec!AX9))),".")</f>
        <v>19.870072460746407</v>
      </c>
      <c r="M9" s="116">
        <f>IFERROR(IF(d_ss_Bv!M9=0,".",((s_Ir*s_F*d_ss_Bv!M9*(1-EXP(-s_RadSpec!AX9*s_t_b)))/(s_P*s_RadSpec!AX9))),".")</f>
        <v>19.870072460746407</v>
      </c>
      <c r="N9" s="116">
        <f>IFERROR(IF(d_ss_Bv!N9=0,".",((s_Ir*s_F*d_ss_Bv!N9*(1-EXP(-s_RadSpec!AX9*s_t_b)))/(s_P*s_RadSpec!AX9))),".")</f>
        <v>19.870072460746407</v>
      </c>
      <c r="O9" s="116">
        <f>IFERROR(IF(d_ss_Bv!O9=0,".",((s_Ir*s_F*d_ss_Bv!O9*(1-EXP(-s_RadSpec!AX9*s_t_b)))/(s_P*s_RadSpec!AX9))),".")</f>
        <v>19.870072460746407</v>
      </c>
      <c r="P9" s="116">
        <f>IFERROR(IF(d_ss_Bv!P9=0,".",((s_Ir*s_F*d_ss_Bv!P9*(1-EXP(-s_RadSpec!AX9*s_t_b)))/(s_P*s_RadSpec!AX9))),".")</f>
        <v>19.870072460746407</v>
      </c>
      <c r="Q9" s="116">
        <f>IFERROR(IF(d_ss_Bv!Q9=0,".",((s_Ir*s_F*d_ss_Bv!Q9*(1-EXP(-s_RadSpec!AX9*s_t_b)))/(s_P*s_RadSpec!AX9))),".")</f>
        <v>19.870072460746407</v>
      </c>
      <c r="R9" s="116">
        <f>IFERROR(IF(d_ss_Bv!R9=0,".",((s_Ir*s_F*d_ss_Bv!R9*(1-EXP(-s_RadSpec!AX9*s_t_b)))/(s_P*s_RadSpec!AX9))),".")</f>
        <v>19.870072460746407</v>
      </c>
      <c r="S9" s="116">
        <f>IFERROR(IF(d_ss_Bv!S9=0,".",((s_Ir*s_F*d_ss_Bv!S9*(1-EXP(-s_RadSpec!AX9*s_t_b)))/(s_P*s_RadSpec!AX9))),".")</f>
        <v>19.870072460746407</v>
      </c>
      <c r="T9" s="116">
        <f>IFERROR(IF(d_ss_Bv!T9=0,".",((s_Ir*s_F*d_ss_Bv!T9*(1-EXP(-s_RadSpec!AX9*s_t_b)))/(s_P*s_RadSpec!AX9))),".")</f>
        <v>19.870072460746407</v>
      </c>
      <c r="U9" s="116">
        <f>IFERROR(IF(d_ss_Bv!U9=0,".",((s_Ir*s_F*d_ss_Bv!U9*(1-EXP(-s_RadSpec!AX9*s_t_b)))/(s_P*s_RadSpec!AX9))),".")</f>
        <v>19.870072460746407</v>
      </c>
      <c r="V9" s="116">
        <f>IFERROR(IF(d_ss_Bv!V9=0,".",((s_Ir*s_F*d_ss_Bv!V9*(1-EXP(-s_RadSpec!AX9*s_t_b)))/(s_P*s_RadSpec!AX9))),".")</f>
        <v>19.870072460746407</v>
      </c>
      <c r="W9" s="116">
        <f>IFERROR(IF(d_ss_Bv!W9=0,".",((s_Ir*s_F*d_ss_Bv!W9*(1-EXP(-s_RadSpec!AX9*s_t_b)))/(s_P*s_RadSpec!AX9))),".")</f>
        <v>19.870072460746407</v>
      </c>
      <c r="X9" s="116">
        <f>IFERROR(IF(d_ss_Bv!X9=0,".",((s_Ir*s_F*d_ss_Bv!X9*(1-EXP(-s_RadSpec!AX9*s_t_b)))/(s_P*s_RadSpec!AX9))),".")</f>
        <v>19.870072460746407</v>
      </c>
      <c r="Y9" s="116">
        <f>IFERROR(IF(d_ss_Bv!Y9=0,".",((s_Ir*s_F*d_ss_Bv!Y9*(1-EXP(-s_RadSpec!AX9*s_t_b)))/(s_P*s_RadSpec!AX9))),".")</f>
        <v>19.870072460746407</v>
      </c>
      <c r="Z9" s="116">
        <f>IFERROR(IF(d_ss_Bv!Z9=0,".",((s_Ir*s_F*d_ss_Bv!Z9*(1-EXP(-s_RadSpec!AX9*s_t_b)))/(s_P*s_RadSpec!AX9))),".")</f>
        <v>19.870072460746407</v>
      </c>
      <c r="AA9" s="116">
        <f>IFERROR(IF(d_ss_Bv!C9=0,".",((s_Ir*s_F*s_MLF_apple*(1-EXP(-s_RadSpec!AX9*s_t_b)))/(s_P*s_RadSpec!AX9))),".")</f>
        <v>2.6824597822007652</v>
      </c>
      <c r="AB9" s="116">
        <f>IFERROR(IF(d_ss_Bv!D9=0,".",((s_Ir*s_F*s_MLF_asparagus*(1-EXP(-s_RadSpec!AX9*s_t_b)))/(s_P*s_RadSpec!AX9))),".")</f>
        <v>2.6824597822007652</v>
      </c>
      <c r="AC9" s="116">
        <f>IFERROR(IF(d_ss_Bv!E9=0,".",((s_Ir*s_F*s_MLF_beet*(1-EXP(-s_RadSpec!AX9*s_t_b)))/(s_P*s_RadSpec!AX9))),".")</f>
        <v>2.6824597822007652</v>
      </c>
      <c r="AD9" s="116">
        <f>IFERROR(IF(d_ss_Bv!F9=0,".",((s_Ir*s_F*s_MLF_berries*(1-EXP(-s_RadSpec!AX9*s_t_b)))/(s_P*s_RadSpec!AX9))),".")</f>
        <v>2.6824597822007652</v>
      </c>
      <c r="AE9" s="116">
        <f>IFERROR(IF(d_ss_Bv!G9=0,".",((s_Ir*s_F*s_MLF_broccoli*(1-EXP(-s_RadSpec!AX9*s_t_b)))/(s_P*s_RadSpec!AX9))),".")</f>
        <v>2.6824597822007652</v>
      </c>
      <c r="AF9" s="116">
        <f>IFERROR(IF(d_ss_Bv!H9=0,".",((s_Ir*s_F*s_MLF_cabbage*(1-EXP(-s_RadSpec!AX9*s_t_b)))/(s_P*s_RadSpec!AX9))),".")</f>
        <v>2.6824597822007652</v>
      </c>
      <c r="AG9" s="116">
        <f>IFERROR(IF(d_ss_Bv!I9=0,".",((s_Ir*s_F*s_MLF_carrot*(1-EXP(-s_RadSpec!AX9*s_t_b)))/(s_P*s_RadSpec!AX9))),".")</f>
        <v>2.6824597822007652</v>
      </c>
      <c r="AH9" s="116">
        <f>IFERROR(IF(d_ss_Bv!J9=0,".",((s_Ir*s_F*s_MLF_citrus*(1-EXP(-s_RadSpec!AX9*s_t_b)))/(s_P*s_RadSpec!AX9))),".")</f>
        <v>2.6824597822007652</v>
      </c>
      <c r="AI9" s="116">
        <f>IFERROR(IF(d_ss_Bv!K9=0,".",((s_Ir*s_F*s_MLF_corn*(1-EXP(-s_RadSpec!AX9*s_t_b)))/(s_P*s_RadSpec!AX9))),".")</f>
        <v>2.6824597822007652</v>
      </c>
      <c r="AJ9" s="116">
        <f>IFERROR(IF(d_ss_Bv!L9=0,".",((s_Ir*s_F*s_MLF_cucumber*(1-EXP(-s_RadSpec!AX9*s_t_b)))/(s_P*s_RadSpec!AX9))),".")</f>
        <v>2.6824597822007652</v>
      </c>
      <c r="AK9" s="116">
        <f>IFERROR(IF(d_ss_Bv!M9=0,".",((s_Ir*s_F*s_MLF_lettuce*(1-EXP(-s_RadSpec!AX9*s_t_b)))/(s_P*s_RadSpec!AX9))),".")</f>
        <v>2.6824597822007652</v>
      </c>
      <c r="AL9" s="116">
        <f>IFERROR(IF(d_ss_Bv!N9=0,".",((s_Ir*s_F*s_MLF_lima_bean*(1-EXP(-s_RadSpec!AX9*s_t_b)))/(s_P*s_RadSpec!AX9))),".")</f>
        <v>2.6824597822007652</v>
      </c>
      <c r="AM9" s="116">
        <f>IFERROR(IF(d_ss_Bv!O9=0,".",((s_Ir*s_F*s_MLF_okra*(1-EXP(-s_RadSpec!AX9*s_t_b)))/(s_P*s_RadSpec!AX9))),".")</f>
        <v>2.6824597822007652</v>
      </c>
      <c r="AN9" s="116">
        <f>IFERROR(IF(d_ss_Bv!P9=0,".",((s_Ir*s_F*s_MLF_onion*(1-EXP(-s_RadSpec!AX9*s_t_b)))/(s_P*s_RadSpec!AX9))),".")</f>
        <v>2.6824597822007652</v>
      </c>
      <c r="AO9" s="116">
        <f>IFERROR(IF(d_ss_Bv!Q9=0,".",((s_Ir*s_F*s_MLF_peach*(1-EXP(-s_RadSpec!AX9*s_t_b)))/(s_P*s_RadSpec!AX9))),".")</f>
        <v>2.6824597822007652</v>
      </c>
      <c r="AP9" s="116">
        <f>IFERROR(IF(d_ss_Bv!R9=0,".",((s_Ir*s_F*s_MLF_pear*(1-EXP(-s_RadSpec!AX9*s_t_b)))/(s_P*s_RadSpec!AX9))),".")</f>
        <v>2.6824597822007652</v>
      </c>
      <c r="AQ9" s="116">
        <f>IFERROR(IF(d_ss_Bv!S9=0,".",((s_Ir*s_F*s_MLF_peas*(1-EXP(-s_RadSpec!AX9*s_t_b)))/(s_P*s_RadSpec!AX9))),".")</f>
        <v>2.6824597822007652</v>
      </c>
      <c r="AR9" s="116">
        <f>IFERROR(IF(d_ss_Bv!T9=0,".",((s_Ir*s_F*s_MLF_potato*(1-EXP(-s_RadSpec!AX9*s_t_b)))/(s_P*s_RadSpec!AX9))),".")</f>
        <v>2.6824597822007652</v>
      </c>
      <c r="AS9" s="116">
        <f>IFERROR(IF(d_ss_Bv!U9=0,".",((s_Ir*s_F*s_MLF_pumpkin*(1-EXP(-s_RadSpec!AX9*s_t_b)))/(s_P*s_RadSpec!AX9))),".")</f>
        <v>2.6824597822007652</v>
      </c>
      <c r="AT9" s="116">
        <f>IFERROR(IF(d_ss_Bv!V9=0,".",((s_Ir*s_F*s_MLF_snap_bean*(1-EXP(-s_RadSpec!AX9*s_t_b)))/(s_P*s_RadSpec!AX9))),".")</f>
        <v>2.6824597822007652</v>
      </c>
      <c r="AU9" s="116">
        <f>IFERROR(IF(d_ss_Bv!W9=0,".",((s_Ir*s_F*s_MLF_strawberry*(1-EXP(-s_RadSpec!AX9*s_t_b)))/(s_P*s_RadSpec!AX9))),".")</f>
        <v>2.6824597822007652</v>
      </c>
      <c r="AV9" s="116">
        <f>IFERROR(IF(d_ss_Bv!X9=0,".",((s_Ir*s_F*s_MLF_tomato*(1-EXP(-s_RadSpec!AX9*s_t_b)))/(s_P*s_RadSpec!AX9))),".")</f>
        <v>2.6824597822007652</v>
      </c>
      <c r="AW9" s="116">
        <f>IFERROR(IF(d_ss_Bv!Y9=0,".",((s_Ir*s_F*s_MLF_rice*(1-EXP(-s_RadSpec!AX9*s_t_b)))/(s_P*s_RadSpec!AX9))),".")</f>
        <v>2.6824597822007652</v>
      </c>
      <c r="AX9" s="116">
        <f>IFERROR(IF(d_ss_Bv!Z9=0,".",((s_Ir*s_F*s_MLF_cereal*(1-EXP(-s_RadSpec!AX9*s_t_b)))/(s_P*s_RadSpec!AX9))),".")</f>
        <v>2.6824597822007652</v>
      </c>
      <c r="AY9" s="116">
        <f>IFERROR(IF(d_ss_Bv!C9=0,".",((s_Ir*s_F*s_I_f*s_T*(1-EXP(-s_RadSpec!AY9*s_t_v)))/(s_Y_v*s_RadSpec!AY9))),".")</f>
        <v>9.0143481925428208</v>
      </c>
      <c r="AZ9" s="116">
        <f>IFERROR(IF(d_ss_Bv!D9=0,".",((s_Ir*s_F*s_I_f*s_T*(1-EXP(-s_RadSpec!AY9*s_t_v)))/(s_Y_v*s_RadSpec!AY9))),".")</f>
        <v>9.0143481925428208</v>
      </c>
      <c r="BA9" s="116">
        <f>IFERROR(IF(d_ss_Bv!E9=0,".",((s_Ir*s_F*s_I_f*s_T*(1-EXP(-s_RadSpec!AY9*s_t_v)))/(s_Y_v*s_RadSpec!AY9))),".")</f>
        <v>9.0143481925428208</v>
      </c>
      <c r="BB9" s="116">
        <f>IFERROR(IF(d_ss_Bv!F9=0,".",((s_Ir*s_F*s_I_f*s_T*(1-EXP(-s_RadSpec!AY9*s_t_v)))/(s_Y_v*s_RadSpec!AY9))),".")</f>
        <v>9.0143481925428208</v>
      </c>
      <c r="BC9" s="116">
        <f>IFERROR(IF(d_ss_Bv!G9=0,".",((s_Ir*s_F*s_I_f*s_T*(1-EXP(-s_RadSpec!AY9*s_t_v)))/(s_Y_v*s_RadSpec!AY9))),".")</f>
        <v>9.0143481925428208</v>
      </c>
      <c r="BD9" s="116">
        <f>IFERROR(IF(d_ss_Bv!H9=0,".",((s_Ir*s_F*s_I_f*s_T*(1-EXP(-s_RadSpec!AY9*s_t_v)))/(s_Y_v*s_RadSpec!AY9))),".")</f>
        <v>9.0143481925428208</v>
      </c>
      <c r="BE9" s="116">
        <f>IFERROR(IF(d_ss_Bv!I9=0,".",((s_Ir*s_F*s_I_f*s_T*(1-EXP(-s_RadSpec!AY9*s_t_v)))/(s_Y_v*s_RadSpec!AY9))),".")</f>
        <v>9.0143481925428208</v>
      </c>
      <c r="BF9" s="116">
        <f>IFERROR(IF(d_ss_Bv!J9=0,".",((s_Ir*s_F*s_I_f*s_T*(1-EXP(-s_RadSpec!AY9*s_t_v)))/(s_Y_v*s_RadSpec!AY9))),".")</f>
        <v>9.0143481925428208</v>
      </c>
      <c r="BG9" s="116">
        <f>IFERROR(IF(d_ss_Bv!K9=0,".",((s_Ir*s_F*s_I_f*s_T*(1-EXP(-s_RadSpec!AY9*s_t_v)))/(s_Y_v*s_RadSpec!AY9))),".")</f>
        <v>9.0143481925428208</v>
      </c>
      <c r="BH9" s="116">
        <f>IFERROR(IF(d_ss_Bv!L9=0,".",((s_Ir*s_F*s_I_f*s_T*(1-EXP(-s_RadSpec!AY9*s_t_v)))/(s_Y_v*s_RadSpec!AY9))),".")</f>
        <v>9.0143481925428208</v>
      </c>
      <c r="BI9" s="116">
        <f>IFERROR(IF(d_ss_Bv!M9=0,".",((s_Ir*s_F*s_I_f*s_T*(1-EXP(-s_RadSpec!AY9*s_t_v)))/(s_Y_v*s_RadSpec!AY9))),".")</f>
        <v>9.0143481925428208</v>
      </c>
      <c r="BJ9" s="116">
        <f>IFERROR(IF(d_ss_Bv!N9=0,".",((s_Ir*s_F*s_I_f*s_T*(1-EXP(-s_RadSpec!AY9*s_t_v)))/(s_Y_v*s_RadSpec!AY9))),".")</f>
        <v>9.0143481925428208</v>
      </c>
      <c r="BK9" s="116">
        <f>IFERROR(IF(d_ss_Bv!O9=0,".",((s_Ir*s_F*s_I_f*s_T*(1-EXP(-s_RadSpec!AY9*s_t_v)))/(s_Y_v*s_RadSpec!AY9))),".")</f>
        <v>9.0143481925428208</v>
      </c>
      <c r="BL9" s="116">
        <f>IFERROR(IF(d_ss_Bv!P9=0,".",((s_Ir*s_F*s_I_f*s_T*(1-EXP(-s_RadSpec!AY9*s_t_v)))/(s_Y_v*s_RadSpec!AY9))),".")</f>
        <v>9.0143481925428208</v>
      </c>
      <c r="BM9" s="116">
        <f>IFERROR(IF(d_ss_Bv!Q9=0,".",((s_Ir*s_F*s_I_f*s_T*(1-EXP(-s_RadSpec!AY9*s_t_v)))/(s_Y_v*s_RadSpec!AY9))),".")</f>
        <v>9.0143481925428208</v>
      </c>
      <c r="BN9" s="116">
        <f>IFERROR(IF(d_ss_Bv!R9=0,".",((s_Ir*s_F*s_I_f*s_T*(1-EXP(-s_RadSpec!AY9*s_t_v)))/(s_Y_v*s_RadSpec!AY9))),".")</f>
        <v>9.0143481925428208</v>
      </c>
      <c r="BO9" s="116">
        <f>IFERROR(IF(d_ss_Bv!S9=0,".",((s_Ir*s_F*s_I_f*s_T*(1-EXP(-s_RadSpec!AY9*s_t_v)))/(s_Y_v*s_RadSpec!AY9))),".")</f>
        <v>9.0143481925428208</v>
      </c>
      <c r="BP9" s="116">
        <f>IFERROR(IF(d_ss_Bv!T9=0,".",((s_Ir*s_F*s_I_f*s_T*(1-EXP(-s_RadSpec!AY9*s_t_v)))/(s_Y_v*s_RadSpec!AY9))),".")</f>
        <v>9.0143481925428208</v>
      </c>
      <c r="BQ9" s="116">
        <f>IFERROR(IF(d_ss_Bv!U9=0,".",((s_Ir*s_F*s_I_f*s_T*(1-EXP(-s_RadSpec!AY9*s_t_v)))/(s_Y_v*s_RadSpec!AY9))),".")</f>
        <v>9.0143481925428208</v>
      </c>
      <c r="BR9" s="116">
        <f>IFERROR(IF(d_ss_Bv!V9=0,".",((s_Ir*s_F*s_I_f*s_T*(1-EXP(-s_RadSpec!AY9*s_t_v)))/(s_Y_v*s_RadSpec!AY9))),".")</f>
        <v>9.0143481925428208</v>
      </c>
      <c r="BS9" s="116">
        <f>IFERROR(IF(d_ss_Bv!W9=0,".",((s_Ir*s_F*s_I_f*s_T*(1-EXP(-s_RadSpec!AY9*s_t_v)))/(s_Y_v*s_RadSpec!AY9))),".")</f>
        <v>9.0143481925428208</v>
      </c>
      <c r="BT9" s="116">
        <f>IFERROR(IF(d_ss_Bv!X9=0,".",((s_Ir*s_F*s_I_f*s_T*(1-EXP(-s_RadSpec!AY9*s_t_v)))/(s_Y_v*s_RadSpec!AY9))),".")</f>
        <v>9.0143481925428208</v>
      </c>
      <c r="BU9" s="116">
        <f>IFERROR(IF(d_ss_Bv!Y9=0,".",((s_Ir*s_F*s_I_f*s_T*(1-EXP(-s_RadSpec!AY9*s_t_v)))/(s_Y_v*s_RadSpec!AY9))),".")</f>
        <v>9.0143481925428208</v>
      </c>
      <c r="BV9" s="116">
        <f>IFERROR(IF(d_ss_Bv!Z9=0,".",((s_Ir*s_F*s_I_f*s_T*(1-EXP(-s_RadSpec!AY9*s_t_v)))/(s_Y_v*s_RadSpec!AY9))),".")</f>
        <v>9.0143481925428208</v>
      </c>
    </row>
    <row r="10" spans="1:74" x14ac:dyDescent="0.25">
      <c r="A10" s="46" t="s">
        <v>20</v>
      </c>
      <c r="B10" s="42" t="s">
        <v>351</v>
      </c>
      <c r="C10" s="116">
        <f>IFERROR(IF(d_ss_Bv!C10=0,".",((s_Ir*s_F*d_ss_Bv!C10*(1-EXP(-s_RadSpec!$AX10*s_t_b)))/(s_P*s_RadSpec!$AX10))),".")</f>
        <v>1.1524642027232916</v>
      </c>
      <c r="D10" s="116">
        <f>IFERROR(IF(d_ss_Bv!D10=0,".",((s_Ir*s_F*d_ss_Bv!D10*(1-EXP(-s_RadSpec!AX10*s_t_b)))/(s_P*s_RadSpec!AX10))),".")</f>
        <v>11.922043476447843</v>
      </c>
      <c r="E10" s="116">
        <f>IFERROR(IF(d_ss_Bv!E10=0,".",((s_Ir*s_F*d_ss_Bv!E10*(1-EXP(-s_RadSpec!AX10*s_t_b)))/(s_P*s_RadSpec!AX10))),".")</f>
        <v>8.3454304335134921</v>
      </c>
      <c r="F10" s="116">
        <f>IFERROR(IF(d_ss_Bv!F10=0,".",((s_Ir*s_F*d_ss_Bv!F10*(1-EXP(-s_RadSpec!AX10*s_t_b)))/(s_P*s_RadSpec!AX10))),".")</f>
        <v>0.41727152167567449</v>
      </c>
      <c r="G10" s="116">
        <f>IFERROR(IF(d_ss_Bv!G10=0,".",((s_Ir*s_F*d_ss_Bv!G10*(1-EXP(-s_RadSpec!AX10*s_t_b)))/(s_P*s_RadSpec!AX10))),".")</f>
        <v>4.1727152167567461</v>
      </c>
      <c r="H10" s="116">
        <f>IFERROR(IF(d_ss_Bv!H10=0,".",((s_Ir*s_F*d_ss_Bv!H10*(1-EXP(-s_RadSpec!AX10*s_t_b)))/(s_P*s_RadSpec!AX10))),".")</f>
        <v>11.922043476447843</v>
      </c>
      <c r="I10" s="116">
        <f>IFERROR(IF(d_ss_Bv!I10=0,".",((s_Ir*s_F*d_ss_Bv!I10*(1-EXP(-s_RadSpec!AX10*s_t_b)))/(s_P*s_RadSpec!AX10))),".")</f>
        <v>8.3454304335134921</v>
      </c>
      <c r="J10" s="116">
        <f>IFERROR(IF(d_ss_Bv!J10=0,".",((s_Ir*s_F*d_ss_Bv!J10*(1-EXP(-s_RadSpec!AX10*s_t_b)))/(s_P*s_RadSpec!AX10))),".")</f>
        <v>1.1524642027232916</v>
      </c>
      <c r="K10" s="116">
        <f>IFERROR(IF(d_ss_Bv!K10=0,".",((s_Ir*s_F*d_ss_Bv!K10*(1-EXP(-s_RadSpec!AX10*s_t_b)))/(s_P*s_RadSpec!AX10))),".")</f>
        <v>6.5571239120463147</v>
      </c>
      <c r="L10" s="116">
        <f>IFERROR(IF(d_ss_Bv!L10=0,".",((s_Ir*s_F*d_ss_Bv!L10*(1-EXP(-s_RadSpec!AX10*s_t_b)))/(s_P*s_RadSpec!AX10))),".")</f>
        <v>4.1727152167567461</v>
      </c>
      <c r="M10" s="116">
        <f>IFERROR(IF(d_ss_Bv!M10=0,".",((s_Ir*s_F*d_ss_Bv!M10*(1-EXP(-s_RadSpec!AX10*s_t_b)))/(s_P*s_RadSpec!AX10))),".")</f>
        <v>11.922043476447843</v>
      </c>
      <c r="N10" s="116">
        <f>IFERROR(IF(d_ss_Bv!N10=0,".",((s_Ir*s_F*d_ss_Bv!N10*(1-EXP(-s_RadSpec!AX10*s_t_b)))/(s_P*s_RadSpec!AX10))),".")</f>
        <v>7.9480289842985634</v>
      </c>
      <c r="O10" s="116">
        <f>IFERROR(IF(d_ss_Bv!O10=0,".",((s_Ir*s_F*d_ss_Bv!O10*(1-EXP(-s_RadSpec!AX10*s_t_b)))/(s_P*s_RadSpec!AX10))),".")</f>
        <v>4.1727152167567461</v>
      </c>
      <c r="P10" s="116">
        <f>IFERROR(IF(d_ss_Bv!P10=0,".",((s_Ir*s_F*d_ss_Bv!P10*(1-EXP(-s_RadSpec!AX10*s_t_b)))/(s_P*s_RadSpec!AX10))),".")</f>
        <v>4.1727152167567461</v>
      </c>
      <c r="Q10" s="116">
        <f>IFERROR(IF(d_ss_Bv!Q10=0,".",((s_Ir*s_F*d_ss_Bv!Q10*(1-EXP(-s_RadSpec!AX10*s_t_b)))/(s_P*s_RadSpec!AX10))),".")</f>
        <v>1.1524642027232916</v>
      </c>
      <c r="R10" s="116">
        <f>IFERROR(IF(d_ss_Bv!R10=0,".",((s_Ir*s_F*d_ss_Bv!R10*(1-EXP(-s_RadSpec!AX10*s_t_b)))/(s_P*s_RadSpec!AX10))),".")</f>
        <v>1.1524642027232916</v>
      </c>
      <c r="S10" s="116">
        <f>IFERROR(IF(d_ss_Bv!S10=0,".",((s_Ir*s_F*d_ss_Bv!S10*(1-EXP(-s_RadSpec!AX10*s_t_b)))/(s_P*s_RadSpec!AX10))),".")</f>
        <v>7.9480289842985634</v>
      </c>
      <c r="T10" s="116">
        <f>IFERROR(IF(d_ss_Bv!T10=0,".",((s_Ir*s_F*d_ss_Bv!T10*(1-EXP(-s_RadSpec!AX10*s_t_b)))/(s_P*s_RadSpec!AX10))),".")</f>
        <v>11.127240578017989</v>
      </c>
      <c r="U10" s="116">
        <f>IFERROR(IF(d_ss_Bv!U10=0,".",((s_Ir*s_F*d_ss_Bv!U10*(1-EXP(-s_RadSpec!AX10*s_t_b)))/(s_P*s_RadSpec!AX10))),".")</f>
        <v>4.1727152167567461</v>
      </c>
      <c r="V10" s="116">
        <f>IFERROR(IF(d_ss_Bv!V10=0,".",((s_Ir*s_F*d_ss_Bv!V10*(1-EXP(-s_RadSpec!AX10*s_t_b)))/(s_P*s_RadSpec!AX10))),".")</f>
        <v>7.9480289842985634</v>
      </c>
      <c r="W10" s="116">
        <f>IFERROR(IF(d_ss_Bv!W10=0,".",((s_Ir*s_F*d_ss_Bv!W10*(1-EXP(-s_RadSpec!AX10*s_t_b)))/(s_P*s_RadSpec!AX10))),".")</f>
        <v>0.57623210136164582</v>
      </c>
      <c r="X10" s="116">
        <f>IFERROR(IF(d_ss_Bv!X10=0,".",((s_Ir*s_F*d_ss_Bv!X10*(1-EXP(-s_RadSpec!AX10*s_t_b)))/(s_P*s_RadSpec!AX10))),".")</f>
        <v>4.1727152167567461</v>
      </c>
      <c r="Y10" s="116">
        <f>IFERROR(IF(d_ss_Bv!Y10=0,".",((s_Ir*s_F*d_ss_Bv!Y10*(1-EXP(-s_RadSpec!AX10*s_t_b)))/(s_P*s_RadSpec!AX10))),".")</f>
        <v>0.14505152896344875</v>
      </c>
      <c r="Z10" s="116">
        <f>IFERROR(IF(d_ss_Bv!Z10=0,".",((s_Ir*s_F*d_ss_Bv!Z10*(1-EXP(-s_RadSpec!AX10*s_t_b)))/(s_P*s_RadSpec!AX10))),".")</f>
        <v>5.7623210136164591</v>
      </c>
      <c r="AA10" s="116">
        <f>IFERROR(IF(d_ss_Bv!C10=0,".",((s_Ir*s_F*s_MLF_apple*(1-EXP(-s_RadSpec!AX10*s_t_b)))/(s_P*s_RadSpec!AX10))),".")</f>
        <v>2.6824597822007652</v>
      </c>
      <c r="AB10" s="116">
        <f>IFERROR(IF(d_ss_Bv!D10=0,".",((s_Ir*s_F*s_MLF_asparagus*(1-EXP(-s_RadSpec!AX10*s_t_b)))/(s_P*s_RadSpec!AX10))),".")</f>
        <v>2.6824597822007652</v>
      </c>
      <c r="AC10" s="116">
        <f>IFERROR(IF(d_ss_Bv!E10=0,".",((s_Ir*s_F*s_MLF_beet*(1-EXP(-s_RadSpec!AX10*s_t_b)))/(s_P*s_RadSpec!AX10))),".")</f>
        <v>2.6824597822007652</v>
      </c>
      <c r="AD10" s="116">
        <f>IFERROR(IF(d_ss_Bv!F10=0,".",((s_Ir*s_F*s_MLF_berries*(1-EXP(-s_RadSpec!AX10*s_t_b)))/(s_P*s_RadSpec!AX10))),".")</f>
        <v>2.6824597822007652</v>
      </c>
      <c r="AE10" s="116">
        <f>IFERROR(IF(d_ss_Bv!G10=0,".",((s_Ir*s_F*s_MLF_broccoli*(1-EXP(-s_RadSpec!AX10*s_t_b)))/(s_P*s_RadSpec!AX10))),".")</f>
        <v>2.6824597822007652</v>
      </c>
      <c r="AF10" s="116">
        <f>IFERROR(IF(d_ss_Bv!H10=0,".",((s_Ir*s_F*s_MLF_cabbage*(1-EXP(-s_RadSpec!AX10*s_t_b)))/(s_P*s_RadSpec!AX10))),".")</f>
        <v>2.6824597822007652</v>
      </c>
      <c r="AG10" s="116">
        <f>IFERROR(IF(d_ss_Bv!I10=0,".",((s_Ir*s_F*s_MLF_carrot*(1-EXP(-s_RadSpec!AX10*s_t_b)))/(s_P*s_RadSpec!AX10))),".")</f>
        <v>2.6824597822007652</v>
      </c>
      <c r="AH10" s="116">
        <f>IFERROR(IF(d_ss_Bv!J10=0,".",((s_Ir*s_F*s_MLF_citrus*(1-EXP(-s_RadSpec!AX10*s_t_b)))/(s_P*s_RadSpec!AX10))),".")</f>
        <v>2.6824597822007652</v>
      </c>
      <c r="AI10" s="116">
        <f>IFERROR(IF(d_ss_Bv!K10=0,".",((s_Ir*s_F*s_MLF_corn*(1-EXP(-s_RadSpec!AX10*s_t_b)))/(s_P*s_RadSpec!AX10))),".")</f>
        <v>2.6824597822007652</v>
      </c>
      <c r="AJ10" s="116">
        <f>IFERROR(IF(d_ss_Bv!L10=0,".",((s_Ir*s_F*s_MLF_cucumber*(1-EXP(-s_RadSpec!AX10*s_t_b)))/(s_P*s_RadSpec!AX10))),".")</f>
        <v>2.6824597822007652</v>
      </c>
      <c r="AK10" s="116">
        <f>IFERROR(IF(d_ss_Bv!M10=0,".",((s_Ir*s_F*s_MLF_lettuce*(1-EXP(-s_RadSpec!AX10*s_t_b)))/(s_P*s_RadSpec!AX10))),".")</f>
        <v>2.6824597822007652</v>
      </c>
      <c r="AL10" s="116">
        <f>IFERROR(IF(d_ss_Bv!N10=0,".",((s_Ir*s_F*s_MLF_lima_bean*(1-EXP(-s_RadSpec!AX10*s_t_b)))/(s_P*s_RadSpec!AX10))),".")</f>
        <v>2.6824597822007652</v>
      </c>
      <c r="AM10" s="116">
        <f>IFERROR(IF(d_ss_Bv!O10=0,".",((s_Ir*s_F*s_MLF_okra*(1-EXP(-s_RadSpec!AX10*s_t_b)))/(s_P*s_RadSpec!AX10))),".")</f>
        <v>2.6824597822007652</v>
      </c>
      <c r="AN10" s="116">
        <f>IFERROR(IF(d_ss_Bv!P10=0,".",((s_Ir*s_F*s_MLF_onion*(1-EXP(-s_RadSpec!AX10*s_t_b)))/(s_P*s_RadSpec!AX10))),".")</f>
        <v>2.6824597822007652</v>
      </c>
      <c r="AO10" s="116">
        <f>IFERROR(IF(d_ss_Bv!Q10=0,".",((s_Ir*s_F*s_MLF_peach*(1-EXP(-s_RadSpec!AX10*s_t_b)))/(s_P*s_RadSpec!AX10))),".")</f>
        <v>2.6824597822007652</v>
      </c>
      <c r="AP10" s="116">
        <f>IFERROR(IF(d_ss_Bv!R10=0,".",((s_Ir*s_F*s_MLF_pear*(1-EXP(-s_RadSpec!AX10*s_t_b)))/(s_P*s_RadSpec!AX10))),".")</f>
        <v>2.6824597822007652</v>
      </c>
      <c r="AQ10" s="116">
        <f>IFERROR(IF(d_ss_Bv!S10=0,".",((s_Ir*s_F*s_MLF_peas*(1-EXP(-s_RadSpec!AX10*s_t_b)))/(s_P*s_RadSpec!AX10))),".")</f>
        <v>2.6824597822007652</v>
      </c>
      <c r="AR10" s="116">
        <f>IFERROR(IF(d_ss_Bv!T10=0,".",((s_Ir*s_F*s_MLF_potato*(1-EXP(-s_RadSpec!AX10*s_t_b)))/(s_P*s_RadSpec!AX10))),".")</f>
        <v>2.6824597822007652</v>
      </c>
      <c r="AS10" s="116">
        <f>IFERROR(IF(d_ss_Bv!U10=0,".",((s_Ir*s_F*s_MLF_pumpkin*(1-EXP(-s_RadSpec!AX10*s_t_b)))/(s_P*s_RadSpec!AX10))),".")</f>
        <v>2.6824597822007652</v>
      </c>
      <c r="AT10" s="116">
        <f>IFERROR(IF(d_ss_Bv!V10=0,".",((s_Ir*s_F*s_MLF_snap_bean*(1-EXP(-s_RadSpec!AX10*s_t_b)))/(s_P*s_RadSpec!AX10))),".")</f>
        <v>2.6824597822007652</v>
      </c>
      <c r="AU10" s="116">
        <f>IFERROR(IF(d_ss_Bv!W10=0,".",((s_Ir*s_F*s_MLF_strawberry*(1-EXP(-s_RadSpec!AX10*s_t_b)))/(s_P*s_RadSpec!AX10))),".")</f>
        <v>2.6824597822007652</v>
      </c>
      <c r="AV10" s="116">
        <f>IFERROR(IF(d_ss_Bv!X10=0,".",((s_Ir*s_F*s_MLF_tomato*(1-EXP(-s_RadSpec!AX10*s_t_b)))/(s_P*s_RadSpec!AX10))),".")</f>
        <v>2.6824597822007652</v>
      </c>
      <c r="AW10" s="116">
        <f>IFERROR(IF(d_ss_Bv!Y10=0,".",((s_Ir*s_F*s_MLF_rice*(1-EXP(-s_RadSpec!AX10*s_t_b)))/(s_P*s_RadSpec!AX10))),".")</f>
        <v>2.6824597822007652</v>
      </c>
      <c r="AX10" s="116">
        <f>IFERROR(IF(d_ss_Bv!Z10=0,".",((s_Ir*s_F*s_MLF_cereal*(1-EXP(-s_RadSpec!AX10*s_t_b)))/(s_P*s_RadSpec!AX10))),".")</f>
        <v>2.6824597822007652</v>
      </c>
      <c r="AY10" s="116">
        <f>IFERROR(IF(d_ss_Bv!C10=0,".",((s_Ir*s_F*s_I_f*s_T*(1-EXP(-s_RadSpec!AY10*s_t_v)))/(s_Y_v*s_RadSpec!AY10))),".")</f>
        <v>9.0143481925428208</v>
      </c>
      <c r="AZ10" s="116">
        <f>IFERROR(IF(d_ss_Bv!D10=0,".",((s_Ir*s_F*s_I_f*s_T*(1-EXP(-s_RadSpec!AY10*s_t_v)))/(s_Y_v*s_RadSpec!AY10))),".")</f>
        <v>9.0143481925428208</v>
      </c>
      <c r="BA10" s="116">
        <f>IFERROR(IF(d_ss_Bv!E10=0,".",((s_Ir*s_F*s_I_f*s_T*(1-EXP(-s_RadSpec!AY10*s_t_v)))/(s_Y_v*s_RadSpec!AY10))),".")</f>
        <v>9.0143481925428208</v>
      </c>
      <c r="BB10" s="116">
        <f>IFERROR(IF(d_ss_Bv!F10=0,".",((s_Ir*s_F*s_I_f*s_T*(1-EXP(-s_RadSpec!AY10*s_t_v)))/(s_Y_v*s_RadSpec!AY10))),".")</f>
        <v>9.0143481925428208</v>
      </c>
      <c r="BC10" s="116">
        <f>IFERROR(IF(d_ss_Bv!G10=0,".",((s_Ir*s_F*s_I_f*s_T*(1-EXP(-s_RadSpec!AY10*s_t_v)))/(s_Y_v*s_RadSpec!AY10))),".")</f>
        <v>9.0143481925428208</v>
      </c>
      <c r="BD10" s="116">
        <f>IFERROR(IF(d_ss_Bv!H10=0,".",((s_Ir*s_F*s_I_f*s_T*(1-EXP(-s_RadSpec!AY10*s_t_v)))/(s_Y_v*s_RadSpec!AY10))),".")</f>
        <v>9.0143481925428208</v>
      </c>
      <c r="BE10" s="116">
        <f>IFERROR(IF(d_ss_Bv!I10=0,".",((s_Ir*s_F*s_I_f*s_T*(1-EXP(-s_RadSpec!AY10*s_t_v)))/(s_Y_v*s_RadSpec!AY10))),".")</f>
        <v>9.0143481925428208</v>
      </c>
      <c r="BF10" s="116">
        <f>IFERROR(IF(d_ss_Bv!J10=0,".",((s_Ir*s_F*s_I_f*s_T*(1-EXP(-s_RadSpec!AY10*s_t_v)))/(s_Y_v*s_RadSpec!AY10))),".")</f>
        <v>9.0143481925428208</v>
      </c>
      <c r="BG10" s="116">
        <f>IFERROR(IF(d_ss_Bv!K10=0,".",((s_Ir*s_F*s_I_f*s_T*(1-EXP(-s_RadSpec!AY10*s_t_v)))/(s_Y_v*s_RadSpec!AY10))),".")</f>
        <v>9.0143481925428208</v>
      </c>
      <c r="BH10" s="116">
        <f>IFERROR(IF(d_ss_Bv!L10=0,".",((s_Ir*s_F*s_I_f*s_T*(1-EXP(-s_RadSpec!AY10*s_t_v)))/(s_Y_v*s_RadSpec!AY10))),".")</f>
        <v>9.0143481925428208</v>
      </c>
      <c r="BI10" s="116">
        <f>IFERROR(IF(d_ss_Bv!M10=0,".",((s_Ir*s_F*s_I_f*s_T*(1-EXP(-s_RadSpec!AY10*s_t_v)))/(s_Y_v*s_RadSpec!AY10))),".")</f>
        <v>9.0143481925428208</v>
      </c>
      <c r="BJ10" s="116">
        <f>IFERROR(IF(d_ss_Bv!N10=0,".",((s_Ir*s_F*s_I_f*s_T*(1-EXP(-s_RadSpec!AY10*s_t_v)))/(s_Y_v*s_RadSpec!AY10))),".")</f>
        <v>9.0143481925428208</v>
      </c>
      <c r="BK10" s="116">
        <f>IFERROR(IF(d_ss_Bv!O10=0,".",((s_Ir*s_F*s_I_f*s_T*(1-EXP(-s_RadSpec!AY10*s_t_v)))/(s_Y_v*s_RadSpec!AY10))),".")</f>
        <v>9.0143481925428208</v>
      </c>
      <c r="BL10" s="116">
        <f>IFERROR(IF(d_ss_Bv!P10=0,".",((s_Ir*s_F*s_I_f*s_T*(1-EXP(-s_RadSpec!AY10*s_t_v)))/(s_Y_v*s_RadSpec!AY10))),".")</f>
        <v>9.0143481925428208</v>
      </c>
      <c r="BM10" s="116">
        <f>IFERROR(IF(d_ss_Bv!Q10=0,".",((s_Ir*s_F*s_I_f*s_T*(1-EXP(-s_RadSpec!AY10*s_t_v)))/(s_Y_v*s_RadSpec!AY10))),".")</f>
        <v>9.0143481925428208</v>
      </c>
      <c r="BN10" s="116">
        <f>IFERROR(IF(d_ss_Bv!R10=0,".",((s_Ir*s_F*s_I_f*s_T*(1-EXP(-s_RadSpec!AY10*s_t_v)))/(s_Y_v*s_RadSpec!AY10))),".")</f>
        <v>9.0143481925428208</v>
      </c>
      <c r="BO10" s="116">
        <f>IFERROR(IF(d_ss_Bv!S10=0,".",((s_Ir*s_F*s_I_f*s_T*(1-EXP(-s_RadSpec!AY10*s_t_v)))/(s_Y_v*s_RadSpec!AY10))),".")</f>
        <v>9.0143481925428208</v>
      </c>
      <c r="BP10" s="116">
        <f>IFERROR(IF(d_ss_Bv!T10=0,".",((s_Ir*s_F*s_I_f*s_T*(1-EXP(-s_RadSpec!AY10*s_t_v)))/(s_Y_v*s_RadSpec!AY10))),".")</f>
        <v>9.0143481925428208</v>
      </c>
      <c r="BQ10" s="116">
        <f>IFERROR(IF(d_ss_Bv!U10=0,".",((s_Ir*s_F*s_I_f*s_T*(1-EXP(-s_RadSpec!AY10*s_t_v)))/(s_Y_v*s_RadSpec!AY10))),".")</f>
        <v>9.0143481925428208</v>
      </c>
      <c r="BR10" s="116">
        <f>IFERROR(IF(d_ss_Bv!V10=0,".",((s_Ir*s_F*s_I_f*s_T*(1-EXP(-s_RadSpec!AY10*s_t_v)))/(s_Y_v*s_RadSpec!AY10))),".")</f>
        <v>9.0143481925428208</v>
      </c>
      <c r="BS10" s="116">
        <f>IFERROR(IF(d_ss_Bv!W10=0,".",((s_Ir*s_F*s_I_f*s_T*(1-EXP(-s_RadSpec!AY10*s_t_v)))/(s_Y_v*s_RadSpec!AY10))),".")</f>
        <v>9.0143481925428208</v>
      </c>
      <c r="BT10" s="116">
        <f>IFERROR(IF(d_ss_Bv!X10=0,".",((s_Ir*s_F*s_I_f*s_T*(1-EXP(-s_RadSpec!AY10*s_t_v)))/(s_Y_v*s_RadSpec!AY10))),".")</f>
        <v>9.0143481925428208</v>
      </c>
      <c r="BU10" s="116">
        <f>IFERROR(IF(d_ss_Bv!Y10=0,".",((s_Ir*s_F*s_I_f*s_T*(1-EXP(-s_RadSpec!AY10*s_t_v)))/(s_Y_v*s_RadSpec!AY10))),".")</f>
        <v>9.0143481925428208</v>
      </c>
      <c r="BV10" s="116">
        <f>IFERROR(IF(d_ss_Bv!Z10=0,".",((s_Ir*s_F*s_I_f*s_T*(1-EXP(-s_RadSpec!AY10*s_t_v)))/(s_Y_v*s_RadSpec!AY10))),".")</f>
        <v>9.0143481925428208</v>
      </c>
    </row>
    <row r="11" spans="1:74" x14ac:dyDescent="0.25">
      <c r="A11" s="44" t="s">
        <v>21</v>
      </c>
      <c r="B11" s="42" t="s">
        <v>1074</v>
      </c>
      <c r="C11" s="116">
        <f>IFERROR(IF(d_ss_Bv!C11=0,".",((s_Ir*s_F*d_ss_Bv!C11*(1-EXP(-s_RadSpec!$AX11*s_t_b)))/(s_P*s_RadSpec!$AX11))),".")</f>
        <v>5.9610217382239217</v>
      </c>
      <c r="D11" s="116">
        <f>IFERROR(IF(d_ss_Bv!D11=0,".",((s_Ir*s_F*d_ss_Bv!D11*(1-EXP(-s_RadSpec!AX11*s_t_b)))/(s_P*s_RadSpec!AX11))),".")</f>
        <v>5.9610217382239217</v>
      </c>
      <c r="E11" s="116">
        <f>IFERROR(IF(d_ss_Bv!E11=0,".",((s_Ir*s_F*d_ss_Bv!E11*(1-EXP(-s_RadSpec!AX11*s_t_b)))/(s_P*s_RadSpec!AX11))),".")</f>
        <v>5.9610217382239217</v>
      </c>
      <c r="F11" s="116">
        <f>IFERROR(IF(d_ss_Bv!F11=0,".",((s_Ir*s_F*d_ss_Bv!F11*(1-EXP(-s_RadSpec!AX11*s_t_b)))/(s_P*s_RadSpec!AX11))),".")</f>
        <v>5.9610217382239217</v>
      </c>
      <c r="G11" s="116">
        <f>IFERROR(IF(d_ss_Bv!G11=0,".",((s_Ir*s_F*d_ss_Bv!G11*(1-EXP(-s_RadSpec!AX11*s_t_b)))/(s_P*s_RadSpec!AX11))),".")</f>
        <v>5.9610217382239217</v>
      </c>
      <c r="H11" s="116">
        <f>IFERROR(IF(d_ss_Bv!H11=0,".",((s_Ir*s_F*d_ss_Bv!H11*(1-EXP(-s_RadSpec!AX11*s_t_b)))/(s_P*s_RadSpec!AX11))),".")</f>
        <v>5.9610217382239217</v>
      </c>
      <c r="I11" s="116">
        <f>IFERROR(IF(d_ss_Bv!I11=0,".",((s_Ir*s_F*d_ss_Bv!I11*(1-EXP(-s_RadSpec!AX11*s_t_b)))/(s_P*s_RadSpec!AX11))),".")</f>
        <v>5.9610217382239217</v>
      </c>
      <c r="J11" s="116">
        <f>IFERROR(IF(d_ss_Bv!J11=0,".",((s_Ir*s_F*d_ss_Bv!J11*(1-EXP(-s_RadSpec!AX11*s_t_b)))/(s_P*s_RadSpec!AX11))),".")</f>
        <v>5.9610217382239217</v>
      </c>
      <c r="K11" s="116">
        <f>IFERROR(IF(d_ss_Bv!K11=0,".",((s_Ir*s_F*d_ss_Bv!K11*(1-EXP(-s_RadSpec!AX11*s_t_b)))/(s_P*s_RadSpec!AX11))),".")</f>
        <v>5.9610217382239217</v>
      </c>
      <c r="L11" s="116">
        <f>IFERROR(IF(d_ss_Bv!L11=0,".",((s_Ir*s_F*d_ss_Bv!L11*(1-EXP(-s_RadSpec!AX11*s_t_b)))/(s_P*s_RadSpec!AX11))),".")</f>
        <v>5.9610217382239217</v>
      </c>
      <c r="M11" s="116">
        <f>IFERROR(IF(d_ss_Bv!M11=0,".",((s_Ir*s_F*d_ss_Bv!M11*(1-EXP(-s_RadSpec!AX11*s_t_b)))/(s_P*s_RadSpec!AX11))),".")</f>
        <v>5.9610217382239217</v>
      </c>
      <c r="N11" s="116">
        <f>IFERROR(IF(d_ss_Bv!N11=0,".",((s_Ir*s_F*d_ss_Bv!N11*(1-EXP(-s_RadSpec!AX11*s_t_b)))/(s_P*s_RadSpec!AX11))),".")</f>
        <v>5.9610217382239217</v>
      </c>
      <c r="O11" s="116">
        <f>IFERROR(IF(d_ss_Bv!O11=0,".",((s_Ir*s_F*d_ss_Bv!O11*(1-EXP(-s_RadSpec!AX11*s_t_b)))/(s_P*s_RadSpec!AX11))),".")</f>
        <v>5.9610217382239217</v>
      </c>
      <c r="P11" s="116">
        <f>IFERROR(IF(d_ss_Bv!P11=0,".",((s_Ir*s_F*d_ss_Bv!P11*(1-EXP(-s_RadSpec!AX11*s_t_b)))/(s_P*s_RadSpec!AX11))),".")</f>
        <v>5.9610217382239217</v>
      </c>
      <c r="Q11" s="116">
        <f>IFERROR(IF(d_ss_Bv!Q11=0,".",((s_Ir*s_F*d_ss_Bv!Q11*(1-EXP(-s_RadSpec!AX11*s_t_b)))/(s_P*s_RadSpec!AX11))),".")</f>
        <v>5.9610217382239217</v>
      </c>
      <c r="R11" s="116">
        <f>IFERROR(IF(d_ss_Bv!R11=0,".",((s_Ir*s_F*d_ss_Bv!R11*(1-EXP(-s_RadSpec!AX11*s_t_b)))/(s_P*s_RadSpec!AX11))),".")</f>
        <v>5.9610217382239217</v>
      </c>
      <c r="S11" s="116">
        <f>IFERROR(IF(d_ss_Bv!S11=0,".",((s_Ir*s_F*d_ss_Bv!S11*(1-EXP(-s_RadSpec!AX11*s_t_b)))/(s_P*s_RadSpec!AX11))),".")</f>
        <v>5.9610217382239217</v>
      </c>
      <c r="T11" s="116">
        <f>IFERROR(IF(d_ss_Bv!T11=0,".",((s_Ir*s_F*d_ss_Bv!T11*(1-EXP(-s_RadSpec!AX11*s_t_b)))/(s_P*s_RadSpec!AX11))),".")</f>
        <v>5.9610217382239217</v>
      </c>
      <c r="U11" s="116">
        <f>IFERROR(IF(d_ss_Bv!U11=0,".",((s_Ir*s_F*d_ss_Bv!U11*(1-EXP(-s_RadSpec!AX11*s_t_b)))/(s_P*s_RadSpec!AX11))),".")</f>
        <v>5.9610217382239217</v>
      </c>
      <c r="V11" s="116">
        <f>IFERROR(IF(d_ss_Bv!V11=0,".",((s_Ir*s_F*d_ss_Bv!V11*(1-EXP(-s_RadSpec!AX11*s_t_b)))/(s_P*s_RadSpec!AX11))),".")</f>
        <v>5.9610217382239217</v>
      </c>
      <c r="W11" s="116">
        <f>IFERROR(IF(d_ss_Bv!W11=0,".",((s_Ir*s_F*d_ss_Bv!W11*(1-EXP(-s_RadSpec!AX11*s_t_b)))/(s_P*s_RadSpec!AX11))),".")</f>
        <v>5.9610217382239217</v>
      </c>
      <c r="X11" s="116">
        <f>IFERROR(IF(d_ss_Bv!X11=0,".",((s_Ir*s_F*d_ss_Bv!X11*(1-EXP(-s_RadSpec!AX11*s_t_b)))/(s_P*s_RadSpec!AX11))),".")</f>
        <v>5.9610217382239217</v>
      </c>
      <c r="Y11" s="116">
        <f>IFERROR(IF(d_ss_Bv!Y11=0,".",((s_Ir*s_F*d_ss_Bv!Y11*(1-EXP(-s_RadSpec!AX11*s_t_b)))/(s_P*s_RadSpec!AX11))),".")</f>
        <v>5.9610217382239217</v>
      </c>
      <c r="Z11" s="116">
        <f>IFERROR(IF(d_ss_Bv!Z11=0,".",((s_Ir*s_F*d_ss_Bv!Z11*(1-EXP(-s_RadSpec!AX11*s_t_b)))/(s_P*s_RadSpec!AX11))),".")</f>
        <v>5.9610217382239217</v>
      </c>
      <c r="AA11" s="116">
        <f>IFERROR(IF(d_ss_Bv!C11=0,".",((s_Ir*s_F*s_MLF_apple*(1-EXP(-s_RadSpec!AX11*s_t_b)))/(s_P*s_RadSpec!AX11))),".")</f>
        <v>2.6824597822007652</v>
      </c>
      <c r="AB11" s="116">
        <f>IFERROR(IF(d_ss_Bv!D11=0,".",((s_Ir*s_F*s_MLF_asparagus*(1-EXP(-s_RadSpec!AX11*s_t_b)))/(s_P*s_RadSpec!AX11))),".")</f>
        <v>2.6824597822007652</v>
      </c>
      <c r="AC11" s="116">
        <f>IFERROR(IF(d_ss_Bv!E11=0,".",((s_Ir*s_F*s_MLF_beet*(1-EXP(-s_RadSpec!AX11*s_t_b)))/(s_P*s_RadSpec!AX11))),".")</f>
        <v>2.6824597822007652</v>
      </c>
      <c r="AD11" s="116">
        <f>IFERROR(IF(d_ss_Bv!F11=0,".",((s_Ir*s_F*s_MLF_berries*(1-EXP(-s_RadSpec!AX11*s_t_b)))/(s_P*s_RadSpec!AX11))),".")</f>
        <v>2.6824597822007652</v>
      </c>
      <c r="AE11" s="116">
        <f>IFERROR(IF(d_ss_Bv!G11=0,".",((s_Ir*s_F*s_MLF_broccoli*(1-EXP(-s_RadSpec!AX11*s_t_b)))/(s_P*s_RadSpec!AX11))),".")</f>
        <v>2.6824597822007652</v>
      </c>
      <c r="AF11" s="116">
        <f>IFERROR(IF(d_ss_Bv!H11=0,".",((s_Ir*s_F*s_MLF_cabbage*(1-EXP(-s_RadSpec!AX11*s_t_b)))/(s_P*s_RadSpec!AX11))),".")</f>
        <v>2.6824597822007652</v>
      </c>
      <c r="AG11" s="116">
        <f>IFERROR(IF(d_ss_Bv!I11=0,".",((s_Ir*s_F*s_MLF_carrot*(1-EXP(-s_RadSpec!AX11*s_t_b)))/(s_P*s_RadSpec!AX11))),".")</f>
        <v>2.6824597822007652</v>
      </c>
      <c r="AH11" s="116">
        <f>IFERROR(IF(d_ss_Bv!J11=0,".",((s_Ir*s_F*s_MLF_citrus*(1-EXP(-s_RadSpec!AX11*s_t_b)))/(s_P*s_RadSpec!AX11))),".")</f>
        <v>2.6824597822007652</v>
      </c>
      <c r="AI11" s="116">
        <f>IFERROR(IF(d_ss_Bv!K11=0,".",((s_Ir*s_F*s_MLF_corn*(1-EXP(-s_RadSpec!AX11*s_t_b)))/(s_P*s_RadSpec!AX11))),".")</f>
        <v>2.6824597822007652</v>
      </c>
      <c r="AJ11" s="116">
        <f>IFERROR(IF(d_ss_Bv!L11=0,".",((s_Ir*s_F*s_MLF_cucumber*(1-EXP(-s_RadSpec!AX11*s_t_b)))/(s_P*s_RadSpec!AX11))),".")</f>
        <v>2.6824597822007652</v>
      </c>
      <c r="AK11" s="116">
        <f>IFERROR(IF(d_ss_Bv!M11=0,".",((s_Ir*s_F*s_MLF_lettuce*(1-EXP(-s_RadSpec!AX11*s_t_b)))/(s_P*s_RadSpec!AX11))),".")</f>
        <v>2.6824597822007652</v>
      </c>
      <c r="AL11" s="116">
        <f>IFERROR(IF(d_ss_Bv!N11=0,".",((s_Ir*s_F*s_MLF_lima_bean*(1-EXP(-s_RadSpec!AX11*s_t_b)))/(s_P*s_RadSpec!AX11))),".")</f>
        <v>2.6824597822007652</v>
      </c>
      <c r="AM11" s="116">
        <f>IFERROR(IF(d_ss_Bv!O11=0,".",((s_Ir*s_F*s_MLF_okra*(1-EXP(-s_RadSpec!AX11*s_t_b)))/(s_P*s_RadSpec!AX11))),".")</f>
        <v>2.6824597822007652</v>
      </c>
      <c r="AN11" s="116">
        <f>IFERROR(IF(d_ss_Bv!P11=0,".",((s_Ir*s_F*s_MLF_onion*(1-EXP(-s_RadSpec!AX11*s_t_b)))/(s_P*s_RadSpec!AX11))),".")</f>
        <v>2.6824597822007652</v>
      </c>
      <c r="AO11" s="116">
        <f>IFERROR(IF(d_ss_Bv!Q11=0,".",((s_Ir*s_F*s_MLF_peach*(1-EXP(-s_RadSpec!AX11*s_t_b)))/(s_P*s_RadSpec!AX11))),".")</f>
        <v>2.6824597822007652</v>
      </c>
      <c r="AP11" s="116">
        <f>IFERROR(IF(d_ss_Bv!R11=0,".",((s_Ir*s_F*s_MLF_pear*(1-EXP(-s_RadSpec!AX11*s_t_b)))/(s_P*s_RadSpec!AX11))),".")</f>
        <v>2.6824597822007652</v>
      </c>
      <c r="AQ11" s="116">
        <f>IFERROR(IF(d_ss_Bv!S11=0,".",((s_Ir*s_F*s_MLF_peas*(1-EXP(-s_RadSpec!AX11*s_t_b)))/(s_P*s_RadSpec!AX11))),".")</f>
        <v>2.6824597822007652</v>
      </c>
      <c r="AR11" s="116">
        <f>IFERROR(IF(d_ss_Bv!T11=0,".",((s_Ir*s_F*s_MLF_potato*(1-EXP(-s_RadSpec!AX11*s_t_b)))/(s_P*s_RadSpec!AX11))),".")</f>
        <v>2.6824597822007652</v>
      </c>
      <c r="AS11" s="116">
        <f>IFERROR(IF(d_ss_Bv!U11=0,".",((s_Ir*s_F*s_MLF_pumpkin*(1-EXP(-s_RadSpec!AX11*s_t_b)))/(s_P*s_RadSpec!AX11))),".")</f>
        <v>2.6824597822007652</v>
      </c>
      <c r="AT11" s="116">
        <f>IFERROR(IF(d_ss_Bv!V11=0,".",((s_Ir*s_F*s_MLF_snap_bean*(1-EXP(-s_RadSpec!AX11*s_t_b)))/(s_P*s_RadSpec!AX11))),".")</f>
        <v>2.6824597822007652</v>
      </c>
      <c r="AU11" s="116">
        <f>IFERROR(IF(d_ss_Bv!W11=0,".",((s_Ir*s_F*s_MLF_strawberry*(1-EXP(-s_RadSpec!AX11*s_t_b)))/(s_P*s_RadSpec!AX11))),".")</f>
        <v>2.6824597822007652</v>
      </c>
      <c r="AV11" s="116">
        <f>IFERROR(IF(d_ss_Bv!X11=0,".",((s_Ir*s_F*s_MLF_tomato*(1-EXP(-s_RadSpec!AX11*s_t_b)))/(s_P*s_RadSpec!AX11))),".")</f>
        <v>2.6824597822007652</v>
      </c>
      <c r="AW11" s="116">
        <f>IFERROR(IF(d_ss_Bv!Y11=0,".",((s_Ir*s_F*s_MLF_rice*(1-EXP(-s_RadSpec!AX11*s_t_b)))/(s_P*s_RadSpec!AX11))),".")</f>
        <v>2.6824597822007652</v>
      </c>
      <c r="AX11" s="116">
        <f>IFERROR(IF(d_ss_Bv!Z11=0,".",((s_Ir*s_F*s_MLF_cereal*(1-EXP(-s_RadSpec!AX11*s_t_b)))/(s_P*s_RadSpec!AX11))),".")</f>
        <v>2.6824597822007652</v>
      </c>
      <c r="AY11" s="116">
        <f>IFERROR(IF(d_ss_Bv!C11=0,".",((s_Ir*s_F*s_I_f*s_T*(1-EXP(-s_RadSpec!AY11*s_t_v)))/(s_Y_v*s_RadSpec!AY11))),".")</f>
        <v>9.0143481925428208</v>
      </c>
      <c r="AZ11" s="116">
        <f>IFERROR(IF(d_ss_Bv!D11=0,".",((s_Ir*s_F*s_I_f*s_T*(1-EXP(-s_RadSpec!AY11*s_t_v)))/(s_Y_v*s_RadSpec!AY11))),".")</f>
        <v>9.0143481925428208</v>
      </c>
      <c r="BA11" s="116">
        <f>IFERROR(IF(d_ss_Bv!E11=0,".",((s_Ir*s_F*s_I_f*s_T*(1-EXP(-s_RadSpec!AY11*s_t_v)))/(s_Y_v*s_RadSpec!AY11))),".")</f>
        <v>9.0143481925428208</v>
      </c>
      <c r="BB11" s="116">
        <f>IFERROR(IF(d_ss_Bv!F11=0,".",((s_Ir*s_F*s_I_f*s_T*(1-EXP(-s_RadSpec!AY11*s_t_v)))/(s_Y_v*s_RadSpec!AY11))),".")</f>
        <v>9.0143481925428208</v>
      </c>
      <c r="BC11" s="116">
        <f>IFERROR(IF(d_ss_Bv!G11=0,".",((s_Ir*s_F*s_I_f*s_T*(1-EXP(-s_RadSpec!AY11*s_t_v)))/(s_Y_v*s_RadSpec!AY11))),".")</f>
        <v>9.0143481925428208</v>
      </c>
      <c r="BD11" s="116">
        <f>IFERROR(IF(d_ss_Bv!H11=0,".",((s_Ir*s_F*s_I_f*s_T*(1-EXP(-s_RadSpec!AY11*s_t_v)))/(s_Y_v*s_RadSpec!AY11))),".")</f>
        <v>9.0143481925428208</v>
      </c>
      <c r="BE11" s="116">
        <f>IFERROR(IF(d_ss_Bv!I11=0,".",((s_Ir*s_F*s_I_f*s_T*(1-EXP(-s_RadSpec!AY11*s_t_v)))/(s_Y_v*s_RadSpec!AY11))),".")</f>
        <v>9.0143481925428208</v>
      </c>
      <c r="BF11" s="116">
        <f>IFERROR(IF(d_ss_Bv!J11=0,".",((s_Ir*s_F*s_I_f*s_T*(1-EXP(-s_RadSpec!AY11*s_t_v)))/(s_Y_v*s_RadSpec!AY11))),".")</f>
        <v>9.0143481925428208</v>
      </c>
      <c r="BG11" s="116">
        <f>IFERROR(IF(d_ss_Bv!K11=0,".",((s_Ir*s_F*s_I_f*s_T*(1-EXP(-s_RadSpec!AY11*s_t_v)))/(s_Y_v*s_RadSpec!AY11))),".")</f>
        <v>9.0143481925428208</v>
      </c>
      <c r="BH11" s="116">
        <f>IFERROR(IF(d_ss_Bv!L11=0,".",((s_Ir*s_F*s_I_f*s_T*(1-EXP(-s_RadSpec!AY11*s_t_v)))/(s_Y_v*s_RadSpec!AY11))),".")</f>
        <v>9.0143481925428208</v>
      </c>
      <c r="BI11" s="116">
        <f>IFERROR(IF(d_ss_Bv!M11=0,".",((s_Ir*s_F*s_I_f*s_T*(1-EXP(-s_RadSpec!AY11*s_t_v)))/(s_Y_v*s_RadSpec!AY11))),".")</f>
        <v>9.0143481925428208</v>
      </c>
      <c r="BJ11" s="116">
        <f>IFERROR(IF(d_ss_Bv!N11=0,".",((s_Ir*s_F*s_I_f*s_T*(1-EXP(-s_RadSpec!AY11*s_t_v)))/(s_Y_v*s_RadSpec!AY11))),".")</f>
        <v>9.0143481925428208</v>
      </c>
      <c r="BK11" s="116">
        <f>IFERROR(IF(d_ss_Bv!O11=0,".",((s_Ir*s_F*s_I_f*s_T*(1-EXP(-s_RadSpec!AY11*s_t_v)))/(s_Y_v*s_RadSpec!AY11))),".")</f>
        <v>9.0143481925428208</v>
      </c>
      <c r="BL11" s="116">
        <f>IFERROR(IF(d_ss_Bv!P11=0,".",((s_Ir*s_F*s_I_f*s_T*(1-EXP(-s_RadSpec!AY11*s_t_v)))/(s_Y_v*s_RadSpec!AY11))),".")</f>
        <v>9.0143481925428208</v>
      </c>
      <c r="BM11" s="116">
        <f>IFERROR(IF(d_ss_Bv!Q11=0,".",((s_Ir*s_F*s_I_f*s_T*(1-EXP(-s_RadSpec!AY11*s_t_v)))/(s_Y_v*s_RadSpec!AY11))),".")</f>
        <v>9.0143481925428208</v>
      </c>
      <c r="BN11" s="116">
        <f>IFERROR(IF(d_ss_Bv!R11=0,".",((s_Ir*s_F*s_I_f*s_T*(1-EXP(-s_RadSpec!AY11*s_t_v)))/(s_Y_v*s_RadSpec!AY11))),".")</f>
        <v>9.0143481925428208</v>
      </c>
      <c r="BO11" s="116">
        <f>IFERROR(IF(d_ss_Bv!S11=0,".",((s_Ir*s_F*s_I_f*s_T*(1-EXP(-s_RadSpec!AY11*s_t_v)))/(s_Y_v*s_RadSpec!AY11))),".")</f>
        <v>9.0143481925428208</v>
      </c>
      <c r="BP11" s="116">
        <f>IFERROR(IF(d_ss_Bv!T11=0,".",((s_Ir*s_F*s_I_f*s_T*(1-EXP(-s_RadSpec!AY11*s_t_v)))/(s_Y_v*s_RadSpec!AY11))),".")</f>
        <v>9.0143481925428208</v>
      </c>
      <c r="BQ11" s="116">
        <f>IFERROR(IF(d_ss_Bv!U11=0,".",((s_Ir*s_F*s_I_f*s_T*(1-EXP(-s_RadSpec!AY11*s_t_v)))/(s_Y_v*s_RadSpec!AY11))),".")</f>
        <v>9.0143481925428208</v>
      </c>
      <c r="BR11" s="116">
        <f>IFERROR(IF(d_ss_Bv!V11=0,".",((s_Ir*s_F*s_I_f*s_T*(1-EXP(-s_RadSpec!AY11*s_t_v)))/(s_Y_v*s_RadSpec!AY11))),".")</f>
        <v>9.0143481925428208</v>
      </c>
      <c r="BS11" s="116">
        <f>IFERROR(IF(d_ss_Bv!W11=0,".",((s_Ir*s_F*s_I_f*s_T*(1-EXP(-s_RadSpec!AY11*s_t_v)))/(s_Y_v*s_RadSpec!AY11))),".")</f>
        <v>9.0143481925428208</v>
      </c>
      <c r="BT11" s="116">
        <f>IFERROR(IF(d_ss_Bv!X11=0,".",((s_Ir*s_F*s_I_f*s_T*(1-EXP(-s_RadSpec!AY11*s_t_v)))/(s_Y_v*s_RadSpec!AY11))),".")</f>
        <v>9.0143481925428208</v>
      </c>
      <c r="BU11" s="116">
        <f>IFERROR(IF(d_ss_Bv!Y11=0,".",((s_Ir*s_F*s_I_f*s_T*(1-EXP(-s_RadSpec!AY11*s_t_v)))/(s_Y_v*s_RadSpec!AY11))),".")</f>
        <v>9.0143481925428208</v>
      </c>
      <c r="BV11" s="116">
        <f>IFERROR(IF(d_ss_Bv!Z11=0,".",((s_Ir*s_F*s_I_f*s_T*(1-EXP(-s_RadSpec!AY11*s_t_v)))/(s_Y_v*s_RadSpec!AY11))),".")</f>
        <v>9.0143481925428208</v>
      </c>
    </row>
    <row r="12" spans="1:74" x14ac:dyDescent="0.25">
      <c r="A12" s="44" t="s">
        <v>22</v>
      </c>
      <c r="B12" s="42" t="s">
        <v>1074</v>
      </c>
      <c r="C12" s="116">
        <f>IFERROR(IF(d_ss_Bv!C12=0,".",((s_Ir*s_F*d_ss_Bv!C12*(1-EXP(-s_RadSpec!$AX12*s_t_b)))/(s_P*s_RadSpec!$AX12))),".")</f>
        <v>59.61021738223922</v>
      </c>
      <c r="D12" s="116">
        <f>IFERROR(IF(d_ss_Bv!D12=0,".",((s_Ir*s_F*d_ss_Bv!D12*(1-EXP(-s_RadSpec!AX12*s_t_b)))/(s_P*s_RadSpec!AX12))),".")</f>
        <v>59.61021738223922</v>
      </c>
      <c r="E12" s="116">
        <f>IFERROR(IF(d_ss_Bv!E12=0,".",((s_Ir*s_F*d_ss_Bv!E12*(1-EXP(-s_RadSpec!AX12*s_t_b)))/(s_P*s_RadSpec!AX12))),".")</f>
        <v>59.61021738223922</v>
      </c>
      <c r="F12" s="116">
        <f>IFERROR(IF(d_ss_Bv!F12=0,".",((s_Ir*s_F*d_ss_Bv!F12*(1-EXP(-s_RadSpec!AX12*s_t_b)))/(s_P*s_RadSpec!AX12))),".")</f>
        <v>59.61021738223922</v>
      </c>
      <c r="G12" s="116">
        <f>IFERROR(IF(d_ss_Bv!G12=0,".",((s_Ir*s_F*d_ss_Bv!G12*(1-EXP(-s_RadSpec!AX12*s_t_b)))/(s_P*s_RadSpec!AX12))),".")</f>
        <v>59.61021738223922</v>
      </c>
      <c r="H12" s="116">
        <f>IFERROR(IF(d_ss_Bv!H12=0,".",((s_Ir*s_F*d_ss_Bv!H12*(1-EXP(-s_RadSpec!AX12*s_t_b)))/(s_P*s_RadSpec!AX12))),".")</f>
        <v>59.61021738223922</v>
      </c>
      <c r="I12" s="116">
        <f>IFERROR(IF(d_ss_Bv!I12=0,".",((s_Ir*s_F*d_ss_Bv!I12*(1-EXP(-s_RadSpec!AX12*s_t_b)))/(s_P*s_RadSpec!AX12))),".")</f>
        <v>59.61021738223922</v>
      </c>
      <c r="J12" s="116">
        <f>IFERROR(IF(d_ss_Bv!J12=0,".",((s_Ir*s_F*d_ss_Bv!J12*(1-EXP(-s_RadSpec!AX12*s_t_b)))/(s_P*s_RadSpec!AX12))),".")</f>
        <v>59.61021738223922</v>
      </c>
      <c r="K12" s="116">
        <f>IFERROR(IF(d_ss_Bv!K12=0,".",((s_Ir*s_F*d_ss_Bv!K12*(1-EXP(-s_RadSpec!AX12*s_t_b)))/(s_P*s_RadSpec!AX12))),".")</f>
        <v>59.61021738223922</v>
      </c>
      <c r="L12" s="116">
        <f>IFERROR(IF(d_ss_Bv!L12=0,".",((s_Ir*s_F*d_ss_Bv!L12*(1-EXP(-s_RadSpec!AX12*s_t_b)))/(s_P*s_RadSpec!AX12))),".")</f>
        <v>59.61021738223922</v>
      </c>
      <c r="M12" s="116">
        <f>IFERROR(IF(d_ss_Bv!M12=0,".",((s_Ir*s_F*d_ss_Bv!M12*(1-EXP(-s_RadSpec!AX12*s_t_b)))/(s_P*s_RadSpec!AX12))),".")</f>
        <v>59.61021738223922</v>
      </c>
      <c r="N12" s="116">
        <f>IFERROR(IF(d_ss_Bv!N12=0,".",((s_Ir*s_F*d_ss_Bv!N12*(1-EXP(-s_RadSpec!AX12*s_t_b)))/(s_P*s_RadSpec!AX12))),".")</f>
        <v>59.61021738223922</v>
      </c>
      <c r="O12" s="116">
        <f>IFERROR(IF(d_ss_Bv!O12=0,".",((s_Ir*s_F*d_ss_Bv!O12*(1-EXP(-s_RadSpec!AX12*s_t_b)))/(s_P*s_RadSpec!AX12))),".")</f>
        <v>59.61021738223922</v>
      </c>
      <c r="P12" s="116">
        <f>IFERROR(IF(d_ss_Bv!P12=0,".",((s_Ir*s_F*d_ss_Bv!P12*(1-EXP(-s_RadSpec!AX12*s_t_b)))/(s_P*s_RadSpec!AX12))),".")</f>
        <v>59.61021738223922</v>
      </c>
      <c r="Q12" s="116">
        <f>IFERROR(IF(d_ss_Bv!Q12=0,".",((s_Ir*s_F*d_ss_Bv!Q12*(1-EXP(-s_RadSpec!AX12*s_t_b)))/(s_P*s_RadSpec!AX12))),".")</f>
        <v>59.61021738223922</v>
      </c>
      <c r="R12" s="116">
        <f>IFERROR(IF(d_ss_Bv!R12=0,".",((s_Ir*s_F*d_ss_Bv!R12*(1-EXP(-s_RadSpec!AX12*s_t_b)))/(s_P*s_RadSpec!AX12))),".")</f>
        <v>59.61021738223922</v>
      </c>
      <c r="S12" s="116">
        <f>IFERROR(IF(d_ss_Bv!S12=0,".",((s_Ir*s_F*d_ss_Bv!S12*(1-EXP(-s_RadSpec!AX12*s_t_b)))/(s_P*s_RadSpec!AX12))),".")</f>
        <v>59.61021738223922</v>
      </c>
      <c r="T12" s="116">
        <f>IFERROR(IF(d_ss_Bv!T12=0,".",((s_Ir*s_F*d_ss_Bv!T12*(1-EXP(-s_RadSpec!AX12*s_t_b)))/(s_P*s_RadSpec!AX12))),".")</f>
        <v>59.61021738223922</v>
      </c>
      <c r="U12" s="116">
        <f>IFERROR(IF(d_ss_Bv!U12=0,".",((s_Ir*s_F*d_ss_Bv!U12*(1-EXP(-s_RadSpec!AX12*s_t_b)))/(s_P*s_RadSpec!AX12))),".")</f>
        <v>59.61021738223922</v>
      </c>
      <c r="V12" s="116">
        <f>IFERROR(IF(d_ss_Bv!V12=0,".",((s_Ir*s_F*d_ss_Bv!V12*(1-EXP(-s_RadSpec!AX12*s_t_b)))/(s_P*s_RadSpec!AX12))),".")</f>
        <v>59.61021738223922</v>
      </c>
      <c r="W12" s="116">
        <f>IFERROR(IF(d_ss_Bv!W12=0,".",((s_Ir*s_F*d_ss_Bv!W12*(1-EXP(-s_RadSpec!AX12*s_t_b)))/(s_P*s_RadSpec!AX12))),".")</f>
        <v>59.61021738223922</v>
      </c>
      <c r="X12" s="116">
        <f>IFERROR(IF(d_ss_Bv!X12=0,".",((s_Ir*s_F*d_ss_Bv!X12*(1-EXP(-s_RadSpec!AX12*s_t_b)))/(s_P*s_RadSpec!AX12))),".")</f>
        <v>59.61021738223922</v>
      </c>
      <c r="Y12" s="116">
        <f>IFERROR(IF(d_ss_Bv!Y12=0,".",((s_Ir*s_F*d_ss_Bv!Y12*(1-EXP(-s_RadSpec!AX12*s_t_b)))/(s_P*s_RadSpec!AX12))),".")</f>
        <v>59.61021738223922</v>
      </c>
      <c r="Z12" s="116">
        <f>IFERROR(IF(d_ss_Bv!Z12=0,".",((s_Ir*s_F*d_ss_Bv!Z12*(1-EXP(-s_RadSpec!AX12*s_t_b)))/(s_P*s_RadSpec!AX12))),".")</f>
        <v>59.61021738223922</v>
      </c>
      <c r="AA12" s="116">
        <f>IFERROR(IF(d_ss_Bv!C12=0,".",((s_Ir*s_F*s_MLF_apple*(1-EXP(-s_RadSpec!AX12*s_t_b)))/(s_P*s_RadSpec!AX12))),".")</f>
        <v>2.6824597822007652</v>
      </c>
      <c r="AB12" s="116">
        <f>IFERROR(IF(d_ss_Bv!D12=0,".",((s_Ir*s_F*s_MLF_asparagus*(1-EXP(-s_RadSpec!AX12*s_t_b)))/(s_P*s_RadSpec!AX12))),".")</f>
        <v>2.6824597822007652</v>
      </c>
      <c r="AC12" s="116">
        <f>IFERROR(IF(d_ss_Bv!E12=0,".",((s_Ir*s_F*s_MLF_beet*(1-EXP(-s_RadSpec!AX12*s_t_b)))/(s_P*s_RadSpec!AX12))),".")</f>
        <v>2.6824597822007652</v>
      </c>
      <c r="AD12" s="116">
        <f>IFERROR(IF(d_ss_Bv!F12=0,".",((s_Ir*s_F*s_MLF_berries*(1-EXP(-s_RadSpec!AX12*s_t_b)))/(s_P*s_RadSpec!AX12))),".")</f>
        <v>2.6824597822007652</v>
      </c>
      <c r="AE12" s="116">
        <f>IFERROR(IF(d_ss_Bv!G12=0,".",((s_Ir*s_F*s_MLF_broccoli*(1-EXP(-s_RadSpec!AX12*s_t_b)))/(s_P*s_RadSpec!AX12))),".")</f>
        <v>2.6824597822007652</v>
      </c>
      <c r="AF12" s="116">
        <f>IFERROR(IF(d_ss_Bv!H12=0,".",((s_Ir*s_F*s_MLF_cabbage*(1-EXP(-s_RadSpec!AX12*s_t_b)))/(s_P*s_RadSpec!AX12))),".")</f>
        <v>2.6824597822007652</v>
      </c>
      <c r="AG12" s="116">
        <f>IFERROR(IF(d_ss_Bv!I12=0,".",((s_Ir*s_F*s_MLF_carrot*(1-EXP(-s_RadSpec!AX12*s_t_b)))/(s_P*s_RadSpec!AX12))),".")</f>
        <v>2.6824597822007652</v>
      </c>
      <c r="AH12" s="116">
        <f>IFERROR(IF(d_ss_Bv!J12=0,".",((s_Ir*s_F*s_MLF_citrus*(1-EXP(-s_RadSpec!AX12*s_t_b)))/(s_P*s_RadSpec!AX12))),".")</f>
        <v>2.6824597822007652</v>
      </c>
      <c r="AI12" s="116">
        <f>IFERROR(IF(d_ss_Bv!K12=0,".",((s_Ir*s_F*s_MLF_corn*(1-EXP(-s_RadSpec!AX12*s_t_b)))/(s_P*s_RadSpec!AX12))),".")</f>
        <v>2.6824597822007652</v>
      </c>
      <c r="AJ12" s="116">
        <f>IFERROR(IF(d_ss_Bv!L12=0,".",((s_Ir*s_F*s_MLF_cucumber*(1-EXP(-s_RadSpec!AX12*s_t_b)))/(s_P*s_RadSpec!AX12))),".")</f>
        <v>2.6824597822007652</v>
      </c>
      <c r="AK12" s="116">
        <f>IFERROR(IF(d_ss_Bv!M12=0,".",((s_Ir*s_F*s_MLF_lettuce*(1-EXP(-s_RadSpec!AX12*s_t_b)))/(s_P*s_RadSpec!AX12))),".")</f>
        <v>2.6824597822007652</v>
      </c>
      <c r="AL12" s="116">
        <f>IFERROR(IF(d_ss_Bv!N12=0,".",((s_Ir*s_F*s_MLF_lima_bean*(1-EXP(-s_RadSpec!AX12*s_t_b)))/(s_P*s_RadSpec!AX12))),".")</f>
        <v>2.6824597822007652</v>
      </c>
      <c r="AM12" s="116">
        <f>IFERROR(IF(d_ss_Bv!O12=0,".",((s_Ir*s_F*s_MLF_okra*(1-EXP(-s_RadSpec!AX12*s_t_b)))/(s_P*s_RadSpec!AX12))),".")</f>
        <v>2.6824597822007652</v>
      </c>
      <c r="AN12" s="116">
        <f>IFERROR(IF(d_ss_Bv!P12=0,".",((s_Ir*s_F*s_MLF_onion*(1-EXP(-s_RadSpec!AX12*s_t_b)))/(s_P*s_RadSpec!AX12))),".")</f>
        <v>2.6824597822007652</v>
      </c>
      <c r="AO12" s="116">
        <f>IFERROR(IF(d_ss_Bv!Q12=0,".",((s_Ir*s_F*s_MLF_peach*(1-EXP(-s_RadSpec!AX12*s_t_b)))/(s_P*s_RadSpec!AX12))),".")</f>
        <v>2.6824597822007652</v>
      </c>
      <c r="AP12" s="116">
        <f>IFERROR(IF(d_ss_Bv!R12=0,".",((s_Ir*s_F*s_MLF_pear*(1-EXP(-s_RadSpec!AX12*s_t_b)))/(s_P*s_RadSpec!AX12))),".")</f>
        <v>2.6824597822007652</v>
      </c>
      <c r="AQ12" s="116">
        <f>IFERROR(IF(d_ss_Bv!S12=0,".",((s_Ir*s_F*s_MLF_peas*(1-EXP(-s_RadSpec!AX12*s_t_b)))/(s_P*s_RadSpec!AX12))),".")</f>
        <v>2.6824597822007652</v>
      </c>
      <c r="AR12" s="116">
        <f>IFERROR(IF(d_ss_Bv!T12=0,".",((s_Ir*s_F*s_MLF_potato*(1-EXP(-s_RadSpec!AX12*s_t_b)))/(s_P*s_RadSpec!AX12))),".")</f>
        <v>2.6824597822007652</v>
      </c>
      <c r="AS12" s="116">
        <f>IFERROR(IF(d_ss_Bv!U12=0,".",((s_Ir*s_F*s_MLF_pumpkin*(1-EXP(-s_RadSpec!AX12*s_t_b)))/(s_P*s_RadSpec!AX12))),".")</f>
        <v>2.6824597822007652</v>
      </c>
      <c r="AT12" s="116">
        <f>IFERROR(IF(d_ss_Bv!V12=0,".",((s_Ir*s_F*s_MLF_snap_bean*(1-EXP(-s_RadSpec!AX12*s_t_b)))/(s_P*s_RadSpec!AX12))),".")</f>
        <v>2.6824597822007652</v>
      </c>
      <c r="AU12" s="116">
        <f>IFERROR(IF(d_ss_Bv!W12=0,".",((s_Ir*s_F*s_MLF_strawberry*(1-EXP(-s_RadSpec!AX12*s_t_b)))/(s_P*s_RadSpec!AX12))),".")</f>
        <v>2.6824597822007652</v>
      </c>
      <c r="AV12" s="116">
        <f>IFERROR(IF(d_ss_Bv!X12=0,".",((s_Ir*s_F*s_MLF_tomato*(1-EXP(-s_RadSpec!AX12*s_t_b)))/(s_P*s_RadSpec!AX12))),".")</f>
        <v>2.6824597822007652</v>
      </c>
      <c r="AW12" s="116">
        <f>IFERROR(IF(d_ss_Bv!Y12=0,".",((s_Ir*s_F*s_MLF_rice*(1-EXP(-s_RadSpec!AX12*s_t_b)))/(s_P*s_RadSpec!AX12))),".")</f>
        <v>2.6824597822007652</v>
      </c>
      <c r="AX12" s="116">
        <f>IFERROR(IF(d_ss_Bv!Z12=0,".",((s_Ir*s_F*s_MLF_cereal*(1-EXP(-s_RadSpec!AX12*s_t_b)))/(s_P*s_RadSpec!AX12))),".")</f>
        <v>2.6824597822007652</v>
      </c>
      <c r="AY12" s="116">
        <f>IFERROR(IF(d_ss_Bv!C12=0,".",((s_Ir*s_F*s_I_f*s_T*(1-EXP(-s_RadSpec!AY12*s_t_v)))/(s_Y_v*s_RadSpec!AY12))),".")</f>
        <v>9.0143481925428208</v>
      </c>
      <c r="AZ12" s="116">
        <f>IFERROR(IF(d_ss_Bv!D12=0,".",((s_Ir*s_F*s_I_f*s_T*(1-EXP(-s_RadSpec!AY12*s_t_v)))/(s_Y_v*s_RadSpec!AY12))),".")</f>
        <v>9.0143481925428208</v>
      </c>
      <c r="BA12" s="116">
        <f>IFERROR(IF(d_ss_Bv!E12=0,".",((s_Ir*s_F*s_I_f*s_T*(1-EXP(-s_RadSpec!AY12*s_t_v)))/(s_Y_v*s_RadSpec!AY12))),".")</f>
        <v>9.0143481925428208</v>
      </c>
      <c r="BB12" s="116">
        <f>IFERROR(IF(d_ss_Bv!F12=0,".",((s_Ir*s_F*s_I_f*s_T*(1-EXP(-s_RadSpec!AY12*s_t_v)))/(s_Y_v*s_RadSpec!AY12))),".")</f>
        <v>9.0143481925428208</v>
      </c>
      <c r="BC12" s="116">
        <f>IFERROR(IF(d_ss_Bv!G12=0,".",((s_Ir*s_F*s_I_f*s_T*(1-EXP(-s_RadSpec!AY12*s_t_v)))/(s_Y_v*s_RadSpec!AY12))),".")</f>
        <v>9.0143481925428208</v>
      </c>
      <c r="BD12" s="116">
        <f>IFERROR(IF(d_ss_Bv!H12=0,".",((s_Ir*s_F*s_I_f*s_T*(1-EXP(-s_RadSpec!AY12*s_t_v)))/(s_Y_v*s_RadSpec!AY12))),".")</f>
        <v>9.0143481925428208</v>
      </c>
      <c r="BE12" s="116">
        <f>IFERROR(IF(d_ss_Bv!I12=0,".",((s_Ir*s_F*s_I_f*s_T*(1-EXP(-s_RadSpec!AY12*s_t_v)))/(s_Y_v*s_RadSpec!AY12))),".")</f>
        <v>9.0143481925428208</v>
      </c>
      <c r="BF12" s="116">
        <f>IFERROR(IF(d_ss_Bv!J12=0,".",((s_Ir*s_F*s_I_f*s_T*(1-EXP(-s_RadSpec!AY12*s_t_v)))/(s_Y_v*s_RadSpec!AY12))),".")</f>
        <v>9.0143481925428208</v>
      </c>
      <c r="BG12" s="116">
        <f>IFERROR(IF(d_ss_Bv!K12=0,".",((s_Ir*s_F*s_I_f*s_T*(1-EXP(-s_RadSpec!AY12*s_t_v)))/(s_Y_v*s_RadSpec!AY12))),".")</f>
        <v>9.0143481925428208</v>
      </c>
      <c r="BH12" s="116">
        <f>IFERROR(IF(d_ss_Bv!L12=0,".",((s_Ir*s_F*s_I_f*s_T*(1-EXP(-s_RadSpec!AY12*s_t_v)))/(s_Y_v*s_RadSpec!AY12))),".")</f>
        <v>9.0143481925428208</v>
      </c>
      <c r="BI12" s="116">
        <f>IFERROR(IF(d_ss_Bv!M12=0,".",((s_Ir*s_F*s_I_f*s_T*(1-EXP(-s_RadSpec!AY12*s_t_v)))/(s_Y_v*s_RadSpec!AY12))),".")</f>
        <v>9.0143481925428208</v>
      </c>
      <c r="BJ12" s="116">
        <f>IFERROR(IF(d_ss_Bv!N12=0,".",((s_Ir*s_F*s_I_f*s_T*(1-EXP(-s_RadSpec!AY12*s_t_v)))/(s_Y_v*s_RadSpec!AY12))),".")</f>
        <v>9.0143481925428208</v>
      </c>
      <c r="BK12" s="116">
        <f>IFERROR(IF(d_ss_Bv!O12=0,".",((s_Ir*s_F*s_I_f*s_T*(1-EXP(-s_RadSpec!AY12*s_t_v)))/(s_Y_v*s_RadSpec!AY12))),".")</f>
        <v>9.0143481925428208</v>
      </c>
      <c r="BL12" s="116">
        <f>IFERROR(IF(d_ss_Bv!P12=0,".",((s_Ir*s_F*s_I_f*s_T*(1-EXP(-s_RadSpec!AY12*s_t_v)))/(s_Y_v*s_RadSpec!AY12))),".")</f>
        <v>9.0143481925428208</v>
      </c>
      <c r="BM12" s="116">
        <f>IFERROR(IF(d_ss_Bv!Q12=0,".",((s_Ir*s_F*s_I_f*s_T*(1-EXP(-s_RadSpec!AY12*s_t_v)))/(s_Y_v*s_RadSpec!AY12))),".")</f>
        <v>9.0143481925428208</v>
      </c>
      <c r="BN12" s="116">
        <f>IFERROR(IF(d_ss_Bv!R12=0,".",((s_Ir*s_F*s_I_f*s_T*(1-EXP(-s_RadSpec!AY12*s_t_v)))/(s_Y_v*s_RadSpec!AY12))),".")</f>
        <v>9.0143481925428208</v>
      </c>
      <c r="BO12" s="116">
        <f>IFERROR(IF(d_ss_Bv!S12=0,".",((s_Ir*s_F*s_I_f*s_T*(1-EXP(-s_RadSpec!AY12*s_t_v)))/(s_Y_v*s_RadSpec!AY12))),".")</f>
        <v>9.0143481925428208</v>
      </c>
      <c r="BP12" s="116">
        <f>IFERROR(IF(d_ss_Bv!T12=0,".",((s_Ir*s_F*s_I_f*s_T*(1-EXP(-s_RadSpec!AY12*s_t_v)))/(s_Y_v*s_RadSpec!AY12))),".")</f>
        <v>9.0143481925428208</v>
      </c>
      <c r="BQ12" s="116">
        <f>IFERROR(IF(d_ss_Bv!U12=0,".",((s_Ir*s_F*s_I_f*s_T*(1-EXP(-s_RadSpec!AY12*s_t_v)))/(s_Y_v*s_RadSpec!AY12))),".")</f>
        <v>9.0143481925428208</v>
      </c>
      <c r="BR12" s="116">
        <f>IFERROR(IF(d_ss_Bv!V12=0,".",((s_Ir*s_F*s_I_f*s_T*(1-EXP(-s_RadSpec!AY12*s_t_v)))/(s_Y_v*s_RadSpec!AY12))),".")</f>
        <v>9.0143481925428208</v>
      </c>
      <c r="BS12" s="116">
        <f>IFERROR(IF(d_ss_Bv!W12=0,".",((s_Ir*s_F*s_I_f*s_T*(1-EXP(-s_RadSpec!AY12*s_t_v)))/(s_Y_v*s_RadSpec!AY12))),".")</f>
        <v>9.0143481925428208</v>
      </c>
      <c r="BT12" s="116">
        <f>IFERROR(IF(d_ss_Bv!X12=0,".",((s_Ir*s_F*s_I_f*s_T*(1-EXP(-s_RadSpec!AY12*s_t_v)))/(s_Y_v*s_RadSpec!AY12))),".")</f>
        <v>9.0143481925428208</v>
      </c>
      <c r="BU12" s="116">
        <f>IFERROR(IF(d_ss_Bv!Y12=0,".",((s_Ir*s_F*s_I_f*s_T*(1-EXP(-s_RadSpec!AY12*s_t_v)))/(s_Y_v*s_RadSpec!AY12))),".")</f>
        <v>9.0143481925428208</v>
      </c>
      <c r="BV12" s="116">
        <f>IFERROR(IF(d_ss_Bv!Z12=0,".",((s_Ir*s_F*s_I_f*s_T*(1-EXP(-s_RadSpec!AY12*s_t_v)))/(s_Y_v*s_RadSpec!AY12))),".")</f>
        <v>9.0143481925428208</v>
      </c>
    </row>
    <row r="13" spans="1:74" x14ac:dyDescent="0.25">
      <c r="A13" s="44" t="s">
        <v>23</v>
      </c>
      <c r="B13" s="42" t="s">
        <v>1074</v>
      </c>
      <c r="C13" s="116">
        <f>IFERROR(IF(d_ss_Bv!C13=0,".",((s_Ir*s_F*d_ss_Bv!C13*(1-EXP(-s_RadSpec!$AX13*s_t_b)))/(s_P*s_RadSpec!$AX13))),".")</f>
        <v>5.961021738223922E-2</v>
      </c>
      <c r="D13" s="116">
        <f>IFERROR(IF(d_ss_Bv!D13=0,".",((s_Ir*s_F*d_ss_Bv!D13*(1-EXP(-s_RadSpec!AX13*s_t_b)))/(s_P*s_RadSpec!AX13))),".")</f>
        <v>5.3649195644015304</v>
      </c>
      <c r="E13" s="116">
        <f>IFERROR(IF(d_ss_Bv!E13=0,".",((s_Ir*s_F*d_ss_Bv!E13*(1-EXP(-s_RadSpec!AX13*s_t_b)))/(s_P*s_RadSpec!AX13))),".")</f>
        <v>4.3714159413642095</v>
      </c>
      <c r="F13" s="116">
        <f>IFERROR(IF(d_ss_Bv!F13=0,".",((s_Ir*s_F*d_ss_Bv!F13*(1-EXP(-s_RadSpec!AX13*s_t_b)))/(s_P*s_RadSpec!AX13))),".")</f>
        <v>5.961021738223922E-2</v>
      </c>
      <c r="G13" s="116">
        <f>IFERROR(IF(d_ss_Bv!G13=0,".",((s_Ir*s_F*d_ss_Bv!G13*(1-EXP(-s_RadSpec!AX13*s_t_b)))/(s_P*s_RadSpec!AX13))),".")</f>
        <v>3.576613042934353</v>
      </c>
      <c r="H13" s="116">
        <f>IFERROR(IF(d_ss_Bv!H13=0,".",((s_Ir*s_F*d_ss_Bv!H13*(1-EXP(-s_RadSpec!AX13*s_t_b)))/(s_P*s_RadSpec!AX13))),".")</f>
        <v>5.3649195644015304</v>
      </c>
      <c r="I13" s="116">
        <f>IFERROR(IF(d_ss_Bv!I13=0,".",((s_Ir*s_F*d_ss_Bv!I13*(1-EXP(-s_RadSpec!AX13*s_t_b)))/(s_P*s_RadSpec!AX13))),".")</f>
        <v>4.3714159413642095</v>
      </c>
      <c r="J13" s="116">
        <f>IFERROR(IF(d_ss_Bv!J13=0,".",((s_Ir*s_F*d_ss_Bv!J13*(1-EXP(-s_RadSpec!AX13*s_t_b)))/(s_P*s_RadSpec!AX13))),".")</f>
        <v>5.961021738223922E-2</v>
      </c>
      <c r="K13" s="116">
        <f>IFERROR(IF(d_ss_Bv!K13=0,".",((s_Ir*s_F*d_ss_Bv!K13*(1-EXP(-s_RadSpec!AX13*s_t_b)))/(s_P*s_RadSpec!AX13))),".")</f>
        <v>0.95376347811582751</v>
      </c>
      <c r="L13" s="116">
        <f>IFERROR(IF(d_ss_Bv!L13=0,".",((s_Ir*s_F*d_ss_Bv!L13*(1-EXP(-s_RadSpec!AX13*s_t_b)))/(s_P*s_RadSpec!AX13))),".")</f>
        <v>3.576613042934353</v>
      </c>
      <c r="M13" s="116">
        <f>IFERROR(IF(d_ss_Bv!M13=0,".",((s_Ir*s_F*d_ss_Bv!M13*(1-EXP(-s_RadSpec!AX13*s_t_b)))/(s_P*s_RadSpec!AX13))),".")</f>
        <v>5.3649195644015304</v>
      </c>
      <c r="N13" s="116">
        <f>IFERROR(IF(d_ss_Bv!N13=0,".",((s_Ir*s_F*d_ss_Bv!N13*(1-EXP(-s_RadSpec!AX13*s_t_b)))/(s_P*s_RadSpec!AX13))),".")</f>
        <v>3.3779123183268895</v>
      </c>
      <c r="O13" s="116">
        <f>IFERROR(IF(d_ss_Bv!O13=0,".",((s_Ir*s_F*d_ss_Bv!O13*(1-EXP(-s_RadSpec!AX13*s_t_b)))/(s_P*s_RadSpec!AX13))),".")</f>
        <v>3.576613042934353</v>
      </c>
      <c r="P13" s="116">
        <f>IFERROR(IF(d_ss_Bv!P13=0,".",((s_Ir*s_F*d_ss_Bv!P13*(1-EXP(-s_RadSpec!AX13*s_t_b)))/(s_P*s_RadSpec!AX13))),".")</f>
        <v>3.576613042934353</v>
      </c>
      <c r="Q13" s="116">
        <f>IFERROR(IF(d_ss_Bv!Q13=0,".",((s_Ir*s_F*d_ss_Bv!Q13*(1-EXP(-s_RadSpec!AX13*s_t_b)))/(s_P*s_RadSpec!AX13))),".")</f>
        <v>5.961021738223922E-2</v>
      </c>
      <c r="R13" s="116">
        <f>IFERROR(IF(d_ss_Bv!R13=0,".",((s_Ir*s_F*d_ss_Bv!R13*(1-EXP(-s_RadSpec!AX13*s_t_b)))/(s_P*s_RadSpec!AX13))),".")</f>
        <v>5.961021738223922E-2</v>
      </c>
      <c r="S13" s="116">
        <f>IFERROR(IF(d_ss_Bv!S13=0,".",((s_Ir*s_F*d_ss_Bv!S13*(1-EXP(-s_RadSpec!AX13*s_t_b)))/(s_P*s_RadSpec!AX13))),".")</f>
        <v>3.3779123183268895</v>
      </c>
      <c r="T13" s="116">
        <f>IFERROR(IF(d_ss_Bv!T13=0,".",((s_Ir*s_F*d_ss_Bv!T13*(1-EXP(-s_RadSpec!AX13*s_t_b)))/(s_P*s_RadSpec!AX13))),".")</f>
        <v>1.1325941302625453</v>
      </c>
      <c r="U13" s="116">
        <f>IFERROR(IF(d_ss_Bv!U13=0,".",((s_Ir*s_F*d_ss_Bv!U13*(1-EXP(-s_RadSpec!AX13*s_t_b)))/(s_P*s_RadSpec!AX13))),".")</f>
        <v>3.576613042934353</v>
      </c>
      <c r="V13" s="116">
        <f>IFERROR(IF(d_ss_Bv!V13=0,".",((s_Ir*s_F*d_ss_Bv!V13*(1-EXP(-s_RadSpec!AX13*s_t_b)))/(s_P*s_RadSpec!AX13))),".")</f>
        <v>3.3779123183268895</v>
      </c>
      <c r="W13" s="116">
        <f>IFERROR(IF(d_ss_Bv!W13=0,".",((s_Ir*s_F*d_ss_Bv!W13*(1-EXP(-s_RadSpec!AX13*s_t_b)))/(s_P*s_RadSpec!AX13))),".")</f>
        <v>5.961021738223922E-2</v>
      </c>
      <c r="X13" s="116">
        <f>IFERROR(IF(d_ss_Bv!X13=0,".",((s_Ir*s_F*d_ss_Bv!X13*(1-EXP(-s_RadSpec!AX13*s_t_b)))/(s_P*s_RadSpec!AX13))),".")</f>
        <v>3.576613042934353</v>
      </c>
      <c r="Y13" s="116">
        <f>IFERROR(IF(d_ss_Bv!Y13=0,".",((s_Ir*s_F*d_ss_Bv!Y13*(1-EXP(-s_RadSpec!AX13*s_t_b)))/(s_P*s_RadSpec!AX13))),".")</f>
        <v>3.9740144921492817</v>
      </c>
      <c r="Z13" s="116">
        <f>IFERROR(IF(d_ss_Bv!Z13=0,".",((s_Ir*s_F*d_ss_Bv!Z13*(1-EXP(-s_RadSpec!AX13*s_t_b)))/(s_P*s_RadSpec!AX13))),".")</f>
        <v>0.57623210136164582</v>
      </c>
      <c r="AA13" s="116">
        <f>IFERROR(IF(d_ss_Bv!C13=0,".",((s_Ir*s_F*s_MLF_apple*(1-EXP(-s_RadSpec!AX13*s_t_b)))/(s_P*s_RadSpec!AX13))),".")</f>
        <v>2.6824597822007652</v>
      </c>
      <c r="AB13" s="116">
        <f>IFERROR(IF(d_ss_Bv!D13=0,".",((s_Ir*s_F*s_MLF_asparagus*(1-EXP(-s_RadSpec!AX13*s_t_b)))/(s_P*s_RadSpec!AX13))),".")</f>
        <v>2.6824597822007652</v>
      </c>
      <c r="AC13" s="116">
        <f>IFERROR(IF(d_ss_Bv!E13=0,".",((s_Ir*s_F*s_MLF_beet*(1-EXP(-s_RadSpec!AX13*s_t_b)))/(s_P*s_RadSpec!AX13))),".")</f>
        <v>2.6824597822007652</v>
      </c>
      <c r="AD13" s="116">
        <f>IFERROR(IF(d_ss_Bv!F13=0,".",((s_Ir*s_F*s_MLF_berries*(1-EXP(-s_RadSpec!AX13*s_t_b)))/(s_P*s_RadSpec!AX13))),".")</f>
        <v>2.6824597822007652</v>
      </c>
      <c r="AE13" s="116">
        <f>IFERROR(IF(d_ss_Bv!G13=0,".",((s_Ir*s_F*s_MLF_broccoli*(1-EXP(-s_RadSpec!AX13*s_t_b)))/(s_P*s_RadSpec!AX13))),".")</f>
        <v>2.6824597822007652</v>
      </c>
      <c r="AF13" s="116">
        <f>IFERROR(IF(d_ss_Bv!H13=0,".",((s_Ir*s_F*s_MLF_cabbage*(1-EXP(-s_RadSpec!AX13*s_t_b)))/(s_P*s_RadSpec!AX13))),".")</f>
        <v>2.6824597822007652</v>
      </c>
      <c r="AG13" s="116">
        <f>IFERROR(IF(d_ss_Bv!I13=0,".",((s_Ir*s_F*s_MLF_carrot*(1-EXP(-s_RadSpec!AX13*s_t_b)))/(s_P*s_RadSpec!AX13))),".")</f>
        <v>2.6824597822007652</v>
      </c>
      <c r="AH13" s="116">
        <f>IFERROR(IF(d_ss_Bv!J13=0,".",((s_Ir*s_F*s_MLF_citrus*(1-EXP(-s_RadSpec!AX13*s_t_b)))/(s_P*s_RadSpec!AX13))),".")</f>
        <v>2.6824597822007652</v>
      </c>
      <c r="AI13" s="116">
        <f>IFERROR(IF(d_ss_Bv!K13=0,".",((s_Ir*s_F*s_MLF_corn*(1-EXP(-s_RadSpec!AX13*s_t_b)))/(s_P*s_RadSpec!AX13))),".")</f>
        <v>2.6824597822007652</v>
      </c>
      <c r="AJ13" s="116">
        <f>IFERROR(IF(d_ss_Bv!L13=0,".",((s_Ir*s_F*s_MLF_cucumber*(1-EXP(-s_RadSpec!AX13*s_t_b)))/(s_P*s_RadSpec!AX13))),".")</f>
        <v>2.6824597822007652</v>
      </c>
      <c r="AK13" s="116">
        <f>IFERROR(IF(d_ss_Bv!M13=0,".",((s_Ir*s_F*s_MLF_lettuce*(1-EXP(-s_RadSpec!AX13*s_t_b)))/(s_P*s_RadSpec!AX13))),".")</f>
        <v>2.6824597822007652</v>
      </c>
      <c r="AL13" s="116">
        <f>IFERROR(IF(d_ss_Bv!N13=0,".",((s_Ir*s_F*s_MLF_lima_bean*(1-EXP(-s_RadSpec!AX13*s_t_b)))/(s_P*s_RadSpec!AX13))),".")</f>
        <v>2.6824597822007652</v>
      </c>
      <c r="AM13" s="116">
        <f>IFERROR(IF(d_ss_Bv!O13=0,".",((s_Ir*s_F*s_MLF_okra*(1-EXP(-s_RadSpec!AX13*s_t_b)))/(s_P*s_RadSpec!AX13))),".")</f>
        <v>2.6824597822007652</v>
      </c>
      <c r="AN13" s="116">
        <f>IFERROR(IF(d_ss_Bv!P13=0,".",((s_Ir*s_F*s_MLF_onion*(1-EXP(-s_RadSpec!AX13*s_t_b)))/(s_P*s_RadSpec!AX13))),".")</f>
        <v>2.6824597822007652</v>
      </c>
      <c r="AO13" s="116">
        <f>IFERROR(IF(d_ss_Bv!Q13=0,".",((s_Ir*s_F*s_MLF_peach*(1-EXP(-s_RadSpec!AX13*s_t_b)))/(s_P*s_RadSpec!AX13))),".")</f>
        <v>2.6824597822007652</v>
      </c>
      <c r="AP13" s="116">
        <f>IFERROR(IF(d_ss_Bv!R13=0,".",((s_Ir*s_F*s_MLF_pear*(1-EXP(-s_RadSpec!AX13*s_t_b)))/(s_P*s_RadSpec!AX13))),".")</f>
        <v>2.6824597822007652</v>
      </c>
      <c r="AQ13" s="116">
        <f>IFERROR(IF(d_ss_Bv!S13=0,".",((s_Ir*s_F*s_MLF_peas*(1-EXP(-s_RadSpec!AX13*s_t_b)))/(s_P*s_RadSpec!AX13))),".")</f>
        <v>2.6824597822007652</v>
      </c>
      <c r="AR13" s="116">
        <f>IFERROR(IF(d_ss_Bv!T13=0,".",((s_Ir*s_F*s_MLF_potato*(1-EXP(-s_RadSpec!AX13*s_t_b)))/(s_P*s_RadSpec!AX13))),".")</f>
        <v>2.6824597822007652</v>
      </c>
      <c r="AS13" s="116">
        <f>IFERROR(IF(d_ss_Bv!U13=0,".",((s_Ir*s_F*s_MLF_pumpkin*(1-EXP(-s_RadSpec!AX13*s_t_b)))/(s_P*s_RadSpec!AX13))),".")</f>
        <v>2.6824597822007652</v>
      </c>
      <c r="AT13" s="116">
        <f>IFERROR(IF(d_ss_Bv!V13=0,".",((s_Ir*s_F*s_MLF_snap_bean*(1-EXP(-s_RadSpec!AX13*s_t_b)))/(s_P*s_RadSpec!AX13))),".")</f>
        <v>2.6824597822007652</v>
      </c>
      <c r="AU13" s="116">
        <f>IFERROR(IF(d_ss_Bv!W13=0,".",((s_Ir*s_F*s_MLF_strawberry*(1-EXP(-s_RadSpec!AX13*s_t_b)))/(s_P*s_RadSpec!AX13))),".")</f>
        <v>2.6824597822007652</v>
      </c>
      <c r="AV13" s="116">
        <f>IFERROR(IF(d_ss_Bv!X13=0,".",((s_Ir*s_F*s_MLF_tomato*(1-EXP(-s_RadSpec!AX13*s_t_b)))/(s_P*s_RadSpec!AX13))),".")</f>
        <v>2.6824597822007652</v>
      </c>
      <c r="AW13" s="116">
        <f>IFERROR(IF(d_ss_Bv!Y13=0,".",((s_Ir*s_F*s_MLF_rice*(1-EXP(-s_RadSpec!AX13*s_t_b)))/(s_P*s_RadSpec!AX13))),".")</f>
        <v>2.6824597822007652</v>
      </c>
      <c r="AX13" s="116">
        <f>IFERROR(IF(d_ss_Bv!Z13=0,".",((s_Ir*s_F*s_MLF_cereal*(1-EXP(-s_RadSpec!AX13*s_t_b)))/(s_P*s_RadSpec!AX13))),".")</f>
        <v>2.6824597822007652</v>
      </c>
      <c r="AY13" s="116">
        <f>IFERROR(IF(d_ss_Bv!C13=0,".",((s_Ir*s_F*s_I_f*s_T*(1-EXP(-s_RadSpec!AY13*s_t_v)))/(s_Y_v*s_RadSpec!AY13))),".")</f>
        <v>9.0143481925428208</v>
      </c>
      <c r="AZ13" s="116">
        <f>IFERROR(IF(d_ss_Bv!D13=0,".",((s_Ir*s_F*s_I_f*s_T*(1-EXP(-s_RadSpec!AY13*s_t_v)))/(s_Y_v*s_RadSpec!AY13))),".")</f>
        <v>9.0143481925428208</v>
      </c>
      <c r="BA13" s="116">
        <f>IFERROR(IF(d_ss_Bv!E13=0,".",((s_Ir*s_F*s_I_f*s_T*(1-EXP(-s_RadSpec!AY13*s_t_v)))/(s_Y_v*s_RadSpec!AY13))),".")</f>
        <v>9.0143481925428208</v>
      </c>
      <c r="BB13" s="116">
        <f>IFERROR(IF(d_ss_Bv!F13=0,".",((s_Ir*s_F*s_I_f*s_T*(1-EXP(-s_RadSpec!AY13*s_t_v)))/(s_Y_v*s_RadSpec!AY13))),".")</f>
        <v>9.0143481925428208</v>
      </c>
      <c r="BC13" s="116">
        <f>IFERROR(IF(d_ss_Bv!G13=0,".",((s_Ir*s_F*s_I_f*s_T*(1-EXP(-s_RadSpec!AY13*s_t_v)))/(s_Y_v*s_RadSpec!AY13))),".")</f>
        <v>9.0143481925428208</v>
      </c>
      <c r="BD13" s="116">
        <f>IFERROR(IF(d_ss_Bv!H13=0,".",((s_Ir*s_F*s_I_f*s_T*(1-EXP(-s_RadSpec!AY13*s_t_v)))/(s_Y_v*s_RadSpec!AY13))),".")</f>
        <v>9.0143481925428208</v>
      </c>
      <c r="BE13" s="116">
        <f>IFERROR(IF(d_ss_Bv!I13=0,".",((s_Ir*s_F*s_I_f*s_T*(1-EXP(-s_RadSpec!AY13*s_t_v)))/(s_Y_v*s_RadSpec!AY13))),".")</f>
        <v>9.0143481925428208</v>
      </c>
      <c r="BF13" s="116">
        <f>IFERROR(IF(d_ss_Bv!J13=0,".",((s_Ir*s_F*s_I_f*s_T*(1-EXP(-s_RadSpec!AY13*s_t_v)))/(s_Y_v*s_RadSpec!AY13))),".")</f>
        <v>9.0143481925428208</v>
      </c>
      <c r="BG13" s="116">
        <f>IFERROR(IF(d_ss_Bv!K13=0,".",((s_Ir*s_F*s_I_f*s_T*(1-EXP(-s_RadSpec!AY13*s_t_v)))/(s_Y_v*s_RadSpec!AY13))),".")</f>
        <v>9.0143481925428208</v>
      </c>
      <c r="BH13" s="116">
        <f>IFERROR(IF(d_ss_Bv!L13=0,".",((s_Ir*s_F*s_I_f*s_T*(1-EXP(-s_RadSpec!AY13*s_t_v)))/(s_Y_v*s_RadSpec!AY13))),".")</f>
        <v>9.0143481925428208</v>
      </c>
      <c r="BI13" s="116">
        <f>IFERROR(IF(d_ss_Bv!M13=0,".",((s_Ir*s_F*s_I_f*s_T*(1-EXP(-s_RadSpec!AY13*s_t_v)))/(s_Y_v*s_RadSpec!AY13))),".")</f>
        <v>9.0143481925428208</v>
      </c>
      <c r="BJ13" s="116">
        <f>IFERROR(IF(d_ss_Bv!N13=0,".",((s_Ir*s_F*s_I_f*s_T*(1-EXP(-s_RadSpec!AY13*s_t_v)))/(s_Y_v*s_RadSpec!AY13))),".")</f>
        <v>9.0143481925428208</v>
      </c>
      <c r="BK13" s="116">
        <f>IFERROR(IF(d_ss_Bv!O13=0,".",((s_Ir*s_F*s_I_f*s_T*(1-EXP(-s_RadSpec!AY13*s_t_v)))/(s_Y_v*s_RadSpec!AY13))),".")</f>
        <v>9.0143481925428208</v>
      </c>
      <c r="BL13" s="116">
        <f>IFERROR(IF(d_ss_Bv!P13=0,".",((s_Ir*s_F*s_I_f*s_T*(1-EXP(-s_RadSpec!AY13*s_t_v)))/(s_Y_v*s_RadSpec!AY13))),".")</f>
        <v>9.0143481925428208</v>
      </c>
      <c r="BM13" s="116">
        <f>IFERROR(IF(d_ss_Bv!Q13=0,".",((s_Ir*s_F*s_I_f*s_T*(1-EXP(-s_RadSpec!AY13*s_t_v)))/(s_Y_v*s_RadSpec!AY13))),".")</f>
        <v>9.0143481925428208</v>
      </c>
      <c r="BN13" s="116">
        <f>IFERROR(IF(d_ss_Bv!R13=0,".",((s_Ir*s_F*s_I_f*s_T*(1-EXP(-s_RadSpec!AY13*s_t_v)))/(s_Y_v*s_RadSpec!AY13))),".")</f>
        <v>9.0143481925428208</v>
      </c>
      <c r="BO13" s="116">
        <f>IFERROR(IF(d_ss_Bv!S13=0,".",((s_Ir*s_F*s_I_f*s_T*(1-EXP(-s_RadSpec!AY13*s_t_v)))/(s_Y_v*s_RadSpec!AY13))),".")</f>
        <v>9.0143481925428208</v>
      </c>
      <c r="BP13" s="116">
        <f>IFERROR(IF(d_ss_Bv!T13=0,".",((s_Ir*s_F*s_I_f*s_T*(1-EXP(-s_RadSpec!AY13*s_t_v)))/(s_Y_v*s_RadSpec!AY13))),".")</f>
        <v>9.0143481925428208</v>
      </c>
      <c r="BQ13" s="116">
        <f>IFERROR(IF(d_ss_Bv!U13=0,".",((s_Ir*s_F*s_I_f*s_T*(1-EXP(-s_RadSpec!AY13*s_t_v)))/(s_Y_v*s_RadSpec!AY13))),".")</f>
        <v>9.0143481925428208</v>
      </c>
      <c r="BR13" s="116">
        <f>IFERROR(IF(d_ss_Bv!V13=0,".",((s_Ir*s_F*s_I_f*s_T*(1-EXP(-s_RadSpec!AY13*s_t_v)))/(s_Y_v*s_RadSpec!AY13))),".")</f>
        <v>9.0143481925428208</v>
      </c>
      <c r="BS13" s="116">
        <f>IFERROR(IF(d_ss_Bv!W13=0,".",((s_Ir*s_F*s_I_f*s_T*(1-EXP(-s_RadSpec!AY13*s_t_v)))/(s_Y_v*s_RadSpec!AY13))),".")</f>
        <v>9.0143481925428208</v>
      </c>
      <c r="BT13" s="116">
        <f>IFERROR(IF(d_ss_Bv!X13=0,".",((s_Ir*s_F*s_I_f*s_T*(1-EXP(-s_RadSpec!AY13*s_t_v)))/(s_Y_v*s_RadSpec!AY13))),".")</f>
        <v>9.0143481925428208</v>
      </c>
      <c r="BU13" s="116">
        <f>IFERROR(IF(d_ss_Bv!Y13=0,".",((s_Ir*s_F*s_I_f*s_T*(1-EXP(-s_RadSpec!AY13*s_t_v)))/(s_Y_v*s_RadSpec!AY13))),".")</f>
        <v>9.0143481925428208</v>
      </c>
      <c r="BV13" s="116">
        <f>IFERROR(IF(d_ss_Bv!Z13=0,".",((s_Ir*s_F*s_I_f*s_T*(1-EXP(-s_RadSpec!AY13*s_t_v)))/(s_Y_v*s_RadSpec!AY13))),".")</f>
        <v>9.0143481925428208</v>
      </c>
    </row>
    <row r="14" spans="1:74" x14ac:dyDescent="0.25">
      <c r="A14" s="44" t="s">
        <v>24</v>
      </c>
      <c r="B14" s="42" t="s">
        <v>1074</v>
      </c>
      <c r="C14" s="116">
        <f>IFERROR(IF(d_ss_Bv!C14=0,".",((s_Ir*s_F*d_ss_Bv!C14*(1-EXP(-s_RadSpec!$AX14*s_t_b)))/(s_P*s_RadSpec!$AX14))),".")</f>
        <v>1.9870072460746409</v>
      </c>
      <c r="D14" s="116">
        <f>IFERROR(IF(d_ss_Bv!D14=0,".",((s_Ir*s_F*d_ss_Bv!D14*(1-EXP(-s_RadSpec!AX14*s_t_b)))/(s_P*s_RadSpec!AX14))),".")</f>
        <v>1.9870072460746409</v>
      </c>
      <c r="E14" s="116">
        <f>IFERROR(IF(d_ss_Bv!E14=0,".",((s_Ir*s_F*d_ss_Bv!E14*(1-EXP(-s_RadSpec!AX14*s_t_b)))/(s_P*s_RadSpec!AX14))),".")</f>
        <v>1.9870072460746409</v>
      </c>
      <c r="F14" s="116">
        <f>IFERROR(IF(d_ss_Bv!F14=0,".",((s_Ir*s_F*d_ss_Bv!F14*(1-EXP(-s_RadSpec!AX14*s_t_b)))/(s_P*s_RadSpec!AX14))),".")</f>
        <v>1.9870072460746409</v>
      </c>
      <c r="G14" s="116">
        <f>IFERROR(IF(d_ss_Bv!G14=0,".",((s_Ir*s_F*d_ss_Bv!G14*(1-EXP(-s_RadSpec!AX14*s_t_b)))/(s_P*s_RadSpec!AX14))),".")</f>
        <v>1.9870072460746409</v>
      </c>
      <c r="H14" s="116">
        <f>IFERROR(IF(d_ss_Bv!H14=0,".",((s_Ir*s_F*d_ss_Bv!H14*(1-EXP(-s_RadSpec!AX14*s_t_b)))/(s_P*s_RadSpec!AX14))),".")</f>
        <v>1.9870072460746409</v>
      </c>
      <c r="I14" s="116">
        <f>IFERROR(IF(d_ss_Bv!I14=0,".",((s_Ir*s_F*d_ss_Bv!I14*(1-EXP(-s_RadSpec!AX14*s_t_b)))/(s_P*s_RadSpec!AX14))),".")</f>
        <v>1.9870072460746409</v>
      </c>
      <c r="J14" s="116">
        <f>IFERROR(IF(d_ss_Bv!J14=0,".",((s_Ir*s_F*d_ss_Bv!J14*(1-EXP(-s_RadSpec!AX14*s_t_b)))/(s_P*s_RadSpec!AX14))),".")</f>
        <v>1.9870072460746409</v>
      </c>
      <c r="K14" s="116">
        <f>IFERROR(IF(d_ss_Bv!K14=0,".",((s_Ir*s_F*d_ss_Bv!K14*(1-EXP(-s_RadSpec!AX14*s_t_b)))/(s_P*s_RadSpec!AX14))),".")</f>
        <v>1.9870072460746409</v>
      </c>
      <c r="L14" s="116">
        <f>IFERROR(IF(d_ss_Bv!L14=0,".",((s_Ir*s_F*d_ss_Bv!L14*(1-EXP(-s_RadSpec!AX14*s_t_b)))/(s_P*s_RadSpec!AX14))),".")</f>
        <v>1.9870072460746409</v>
      </c>
      <c r="M14" s="116">
        <f>IFERROR(IF(d_ss_Bv!M14=0,".",((s_Ir*s_F*d_ss_Bv!M14*(1-EXP(-s_RadSpec!AX14*s_t_b)))/(s_P*s_RadSpec!AX14))),".")</f>
        <v>1.9870072460746409</v>
      </c>
      <c r="N14" s="116">
        <f>IFERROR(IF(d_ss_Bv!N14=0,".",((s_Ir*s_F*d_ss_Bv!N14*(1-EXP(-s_RadSpec!AX14*s_t_b)))/(s_P*s_RadSpec!AX14))),".")</f>
        <v>1.9870072460746409</v>
      </c>
      <c r="O14" s="116">
        <f>IFERROR(IF(d_ss_Bv!O14=0,".",((s_Ir*s_F*d_ss_Bv!O14*(1-EXP(-s_RadSpec!AX14*s_t_b)))/(s_P*s_RadSpec!AX14))),".")</f>
        <v>1.9870072460746409</v>
      </c>
      <c r="P14" s="116">
        <f>IFERROR(IF(d_ss_Bv!P14=0,".",((s_Ir*s_F*d_ss_Bv!P14*(1-EXP(-s_RadSpec!AX14*s_t_b)))/(s_P*s_RadSpec!AX14))),".")</f>
        <v>1.9870072460746409</v>
      </c>
      <c r="Q14" s="116">
        <f>IFERROR(IF(d_ss_Bv!Q14=0,".",((s_Ir*s_F*d_ss_Bv!Q14*(1-EXP(-s_RadSpec!AX14*s_t_b)))/(s_P*s_RadSpec!AX14))),".")</f>
        <v>1.9870072460746409</v>
      </c>
      <c r="R14" s="116">
        <f>IFERROR(IF(d_ss_Bv!R14=0,".",((s_Ir*s_F*d_ss_Bv!R14*(1-EXP(-s_RadSpec!AX14*s_t_b)))/(s_P*s_RadSpec!AX14))),".")</f>
        <v>1.9870072460746409</v>
      </c>
      <c r="S14" s="116">
        <f>IFERROR(IF(d_ss_Bv!S14=0,".",((s_Ir*s_F*d_ss_Bv!S14*(1-EXP(-s_RadSpec!AX14*s_t_b)))/(s_P*s_RadSpec!AX14))),".")</f>
        <v>1.9870072460746409</v>
      </c>
      <c r="T14" s="116">
        <f>IFERROR(IF(d_ss_Bv!T14=0,".",((s_Ir*s_F*d_ss_Bv!T14*(1-EXP(-s_RadSpec!AX14*s_t_b)))/(s_P*s_RadSpec!AX14))),".")</f>
        <v>1.9870072460746409</v>
      </c>
      <c r="U14" s="116">
        <f>IFERROR(IF(d_ss_Bv!U14=0,".",((s_Ir*s_F*d_ss_Bv!U14*(1-EXP(-s_RadSpec!AX14*s_t_b)))/(s_P*s_RadSpec!AX14))),".")</f>
        <v>1.9870072460746409</v>
      </c>
      <c r="V14" s="116">
        <f>IFERROR(IF(d_ss_Bv!V14=0,".",((s_Ir*s_F*d_ss_Bv!V14*(1-EXP(-s_RadSpec!AX14*s_t_b)))/(s_P*s_RadSpec!AX14))),".")</f>
        <v>1.9870072460746409</v>
      </c>
      <c r="W14" s="116">
        <f>IFERROR(IF(d_ss_Bv!W14=0,".",((s_Ir*s_F*d_ss_Bv!W14*(1-EXP(-s_RadSpec!AX14*s_t_b)))/(s_P*s_RadSpec!AX14))),".")</f>
        <v>1.9870072460746409</v>
      </c>
      <c r="X14" s="116">
        <f>IFERROR(IF(d_ss_Bv!X14=0,".",((s_Ir*s_F*d_ss_Bv!X14*(1-EXP(-s_RadSpec!AX14*s_t_b)))/(s_P*s_RadSpec!AX14))),".")</f>
        <v>1.9870072460746409</v>
      </c>
      <c r="Y14" s="116">
        <f>IFERROR(IF(d_ss_Bv!Y14=0,".",((s_Ir*s_F*d_ss_Bv!Y14*(1-EXP(-s_RadSpec!AX14*s_t_b)))/(s_P*s_RadSpec!AX14))),".")</f>
        <v>1.9870072460746409</v>
      </c>
      <c r="Z14" s="116">
        <f>IFERROR(IF(d_ss_Bv!Z14=0,".",((s_Ir*s_F*d_ss_Bv!Z14*(1-EXP(-s_RadSpec!AX14*s_t_b)))/(s_P*s_RadSpec!AX14))),".")</f>
        <v>1.9870072460746409</v>
      </c>
      <c r="AA14" s="116">
        <f>IFERROR(IF(d_ss_Bv!C14=0,".",((s_Ir*s_F*s_MLF_apple*(1-EXP(-s_RadSpec!AX14*s_t_b)))/(s_P*s_RadSpec!AX14))),".")</f>
        <v>2.6824597822007652</v>
      </c>
      <c r="AB14" s="116">
        <f>IFERROR(IF(d_ss_Bv!D14=0,".",((s_Ir*s_F*s_MLF_asparagus*(1-EXP(-s_RadSpec!AX14*s_t_b)))/(s_P*s_RadSpec!AX14))),".")</f>
        <v>2.6824597822007652</v>
      </c>
      <c r="AC14" s="116">
        <f>IFERROR(IF(d_ss_Bv!E14=0,".",((s_Ir*s_F*s_MLF_beet*(1-EXP(-s_RadSpec!AX14*s_t_b)))/(s_P*s_RadSpec!AX14))),".")</f>
        <v>2.6824597822007652</v>
      </c>
      <c r="AD14" s="116">
        <f>IFERROR(IF(d_ss_Bv!F14=0,".",((s_Ir*s_F*s_MLF_berries*(1-EXP(-s_RadSpec!AX14*s_t_b)))/(s_P*s_RadSpec!AX14))),".")</f>
        <v>2.6824597822007652</v>
      </c>
      <c r="AE14" s="116">
        <f>IFERROR(IF(d_ss_Bv!G14=0,".",((s_Ir*s_F*s_MLF_broccoli*(1-EXP(-s_RadSpec!AX14*s_t_b)))/(s_P*s_RadSpec!AX14))),".")</f>
        <v>2.6824597822007652</v>
      </c>
      <c r="AF14" s="116">
        <f>IFERROR(IF(d_ss_Bv!H14=0,".",((s_Ir*s_F*s_MLF_cabbage*(1-EXP(-s_RadSpec!AX14*s_t_b)))/(s_P*s_RadSpec!AX14))),".")</f>
        <v>2.6824597822007652</v>
      </c>
      <c r="AG14" s="116">
        <f>IFERROR(IF(d_ss_Bv!I14=0,".",((s_Ir*s_F*s_MLF_carrot*(1-EXP(-s_RadSpec!AX14*s_t_b)))/(s_P*s_RadSpec!AX14))),".")</f>
        <v>2.6824597822007652</v>
      </c>
      <c r="AH14" s="116">
        <f>IFERROR(IF(d_ss_Bv!J14=0,".",((s_Ir*s_F*s_MLF_citrus*(1-EXP(-s_RadSpec!AX14*s_t_b)))/(s_P*s_RadSpec!AX14))),".")</f>
        <v>2.6824597822007652</v>
      </c>
      <c r="AI14" s="116">
        <f>IFERROR(IF(d_ss_Bv!K14=0,".",((s_Ir*s_F*s_MLF_corn*(1-EXP(-s_RadSpec!AX14*s_t_b)))/(s_P*s_RadSpec!AX14))),".")</f>
        <v>2.6824597822007652</v>
      </c>
      <c r="AJ14" s="116">
        <f>IFERROR(IF(d_ss_Bv!L14=0,".",((s_Ir*s_F*s_MLF_cucumber*(1-EXP(-s_RadSpec!AX14*s_t_b)))/(s_P*s_RadSpec!AX14))),".")</f>
        <v>2.6824597822007652</v>
      </c>
      <c r="AK14" s="116">
        <f>IFERROR(IF(d_ss_Bv!M14=0,".",((s_Ir*s_F*s_MLF_lettuce*(1-EXP(-s_RadSpec!AX14*s_t_b)))/(s_P*s_RadSpec!AX14))),".")</f>
        <v>2.6824597822007652</v>
      </c>
      <c r="AL14" s="116">
        <f>IFERROR(IF(d_ss_Bv!N14=0,".",((s_Ir*s_F*s_MLF_lima_bean*(1-EXP(-s_RadSpec!AX14*s_t_b)))/(s_P*s_RadSpec!AX14))),".")</f>
        <v>2.6824597822007652</v>
      </c>
      <c r="AM14" s="116">
        <f>IFERROR(IF(d_ss_Bv!O14=0,".",((s_Ir*s_F*s_MLF_okra*(1-EXP(-s_RadSpec!AX14*s_t_b)))/(s_P*s_RadSpec!AX14))),".")</f>
        <v>2.6824597822007652</v>
      </c>
      <c r="AN14" s="116">
        <f>IFERROR(IF(d_ss_Bv!P14=0,".",((s_Ir*s_F*s_MLF_onion*(1-EXP(-s_RadSpec!AX14*s_t_b)))/(s_P*s_RadSpec!AX14))),".")</f>
        <v>2.6824597822007652</v>
      </c>
      <c r="AO14" s="116">
        <f>IFERROR(IF(d_ss_Bv!Q14=0,".",((s_Ir*s_F*s_MLF_peach*(1-EXP(-s_RadSpec!AX14*s_t_b)))/(s_P*s_RadSpec!AX14))),".")</f>
        <v>2.6824597822007652</v>
      </c>
      <c r="AP14" s="116">
        <f>IFERROR(IF(d_ss_Bv!R14=0,".",((s_Ir*s_F*s_MLF_pear*(1-EXP(-s_RadSpec!AX14*s_t_b)))/(s_P*s_RadSpec!AX14))),".")</f>
        <v>2.6824597822007652</v>
      </c>
      <c r="AQ14" s="116">
        <f>IFERROR(IF(d_ss_Bv!S14=0,".",((s_Ir*s_F*s_MLF_peas*(1-EXP(-s_RadSpec!AX14*s_t_b)))/(s_P*s_RadSpec!AX14))),".")</f>
        <v>2.6824597822007652</v>
      </c>
      <c r="AR14" s="116">
        <f>IFERROR(IF(d_ss_Bv!T14=0,".",((s_Ir*s_F*s_MLF_potato*(1-EXP(-s_RadSpec!AX14*s_t_b)))/(s_P*s_RadSpec!AX14))),".")</f>
        <v>2.6824597822007652</v>
      </c>
      <c r="AS14" s="116">
        <f>IFERROR(IF(d_ss_Bv!U14=0,".",((s_Ir*s_F*s_MLF_pumpkin*(1-EXP(-s_RadSpec!AX14*s_t_b)))/(s_P*s_RadSpec!AX14))),".")</f>
        <v>2.6824597822007652</v>
      </c>
      <c r="AT14" s="116">
        <f>IFERROR(IF(d_ss_Bv!V14=0,".",((s_Ir*s_F*s_MLF_snap_bean*(1-EXP(-s_RadSpec!AX14*s_t_b)))/(s_P*s_RadSpec!AX14))),".")</f>
        <v>2.6824597822007652</v>
      </c>
      <c r="AU14" s="116">
        <f>IFERROR(IF(d_ss_Bv!W14=0,".",((s_Ir*s_F*s_MLF_strawberry*(1-EXP(-s_RadSpec!AX14*s_t_b)))/(s_P*s_RadSpec!AX14))),".")</f>
        <v>2.6824597822007652</v>
      </c>
      <c r="AV14" s="116">
        <f>IFERROR(IF(d_ss_Bv!X14=0,".",((s_Ir*s_F*s_MLF_tomato*(1-EXP(-s_RadSpec!AX14*s_t_b)))/(s_P*s_RadSpec!AX14))),".")</f>
        <v>2.6824597822007652</v>
      </c>
      <c r="AW14" s="116">
        <f>IFERROR(IF(d_ss_Bv!Y14=0,".",((s_Ir*s_F*s_MLF_rice*(1-EXP(-s_RadSpec!AX14*s_t_b)))/(s_P*s_RadSpec!AX14))),".")</f>
        <v>2.6824597822007652</v>
      </c>
      <c r="AX14" s="116">
        <f>IFERROR(IF(d_ss_Bv!Z14=0,".",((s_Ir*s_F*s_MLF_cereal*(1-EXP(-s_RadSpec!AX14*s_t_b)))/(s_P*s_RadSpec!AX14))),".")</f>
        <v>2.6824597822007652</v>
      </c>
      <c r="AY14" s="116">
        <f>IFERROR(IF(d_ss_Bv!C14=0,".",((s_Ir*s_F*s_I_f*s_T*(1-EXP(-s_RadSpec!AY14*s_t_v)))/(s_Y_v*s_RadSpec!AY14))),".")</f>
        <v>9.0143481925428208</v>
      </c>
      <c r="AZ14" s="116">
        <f>IFERROR(IF(d_ss_Bv!D14=0,".",((s_Ir*s_F*s_I_f*s_T*(1-EXP(-s_RadSpec!AY14*s_t_v)))/(s_Y_v*s_RadSpec!AY14))),".")</f>
        <v>9.0143481925428208</v>
      </c>
      <c r="BA14" s="116">
        <f>IFERROR(IF(d_ss_Bv!E14=0,".",((s_Ir*s_F*s_I_f*s_T*(1-EXP(-s_RadSpec!AY14*s_t_v)))/(s_Y_v*s_RadSpec!AY14))),".")</f>
        <v>9.0143481925428208</v>
      </c>
      <c r="BB14" s="116">
        <f>IFERROR(IF(d_ss_Bv!F14=0,".",((s_Ir*s_F*s_I_f*s_T*(1-EXP(-s_RadSpec!AY14*s_t_v)))/(s_Y_v*s_RadSpec!AY14))),".")</f>
        <v>9.0143481925428208</v>
      </c>
      <c r="BC14" s="116">
        <f>IFERROR(IF(d_ss_Bv!G14=0,".",((s_Ir*s_F*s_I_f*s_T*(1-EXP(-s_RadSpec!AY14*s_t_v)))/(s_Y_v*s_RadSpec!AY14))),".")</f>
        <v>9.0143481925428208</v>
      </c>
      <c r="BD14" s="116">
        <f>IFERROR(IF(d_ss_Bv!H14=0,".",((s_Ir*s_F*s_I_f*s_T*(1-EXP(-s_RadSpec!AY14*s_t_v)))/(s_Y_v*s_RadSpec!AY14))),".")</f>
        <v>9.0143481925428208</v>
      </c>
      <c r="BE14" s="116">
        <f>IFERROR(IF(d_ss_Bv!I14=0,".",((s_Ir*s_F*s_I_f*s_T*(1-EXP(-s_RadSpec!AY14*s_t_v)))/(s_Y_v*s_RadSpec!AY14))),".")</f>
        <v>9.0143481925428208</v>
      </c>
      <c r="BF14" s="116">
        <f>IFERROR(IF(d_ss_Bv!J14=0,".",((s_Ir*s_F*s_I_f*s_T*(1-EXP(-s_RadSpec!AY14*s_t_v)))/(s_Y_v*s_RadSpec!AY14))),".")</f>
        <v>9.0143481925428208</v>
      </c>
      <c r="BG14" s="116">
        <f>IFERROR(IF(d_ss_Bv!K14=0,".",((s_Ir*s_F*s_I_f*s_T*(1-EXP(-s_RadSpec!AY14*s_t_v)))/(s_Y_v*s_RadSpec!AY14))),".")</f>
        <v>9.0143481925428208</v>
      </c>
      <c r="BH14" s="116">
        <f>IFERROR(IF(d_ss_Bv!L14=0,".",((s_Ir*s_F*s_I_f*s_T*(1-EXP(-s_RadSpec!AY14*s_t_v)))/(s_Y_v*s_RadSpec!AY14))),".")</f>
        <v>9.0143481925428208</v>
      </c>
      <c r="BI14" s="116">
        <f>IFERROR(IF(d_ss_Bv!M14=0,".",((s_Ir*s_F*s_I_f*s_T*(1-EXP(-s_RadSpec!AY14*s_t_v)))/(s_Y_v*s_RadSpec!AY14))),".")</f>
        <v>9.0143481925428208</v>
      </c>
      <c r="BJ14" s="116">
        <f>IFERROR(IF(d_ss_Bv!N14=0,".",((s_Ir*s_F*s_I_f*s_T*(1-EXP(-s_RadSpec!AY14*s_t_v)))/(s_Y_v*s_RadSpec!AY14))),".")</f>
        <v>9.0143481925428208</v>
      </c>
      <c r="BK14" s="116">
        <f>IFERROR(IF(d_ss_Bv!O14=0,".",((s_Ir*s_F*s_I_f*s_T*(1-EXP(-s_RadSpec!AY14*s_t_v)))/(s_Y_v*s_RadSpec!AY14))),".")</f>
        <v>9.0143481925428208</v>
      </c>
      <c r="BL14" s="116">
        <f>IFERROR(IF(d_ss_Bv!P14=0,".",((s_Ir*s_F*s_I_f*s_T*(1-EXP(-s_RadSpec!AY14*s_t_v)))/(s_Y_v*s_RadSpec!AY14))),".")</f>
        <v>9.0143481925428208</v>
      </c>
      <c r="BM14" s="116">
        <f>IFERROR(IF(d_ss_Bv!Q14=0,".",((s_Ir*s_F*s_I_f*s_T*(1-EXP(-s_RadSpec!AY14*s_t_v)))/(s_Y_v*s_RadSpec!AY14))),".")</f>
        <v>9.0143481925428208</v>
      </c>
      <c r="BN14" s="116">
        <f>IFERROR(IF(d_ss_Bv!R14=0,".",((s_Ir*s_F*s_I_f*s_T*(1-EXP(-s_RadSpec!AY14*s_t_v)))/(s_Y_v*s_RadSpec!AY14))),".")</f>
        <v>9.0143481925428208</v>
      </c>
      <c r="BO14" s="116">
        <f>IFERROR(IF(d_ss_Bv!S14=0,".",((s_Ir*s_F*s_I_f*s_T*(1-EXP(-s_RadSpec!AY14*s_t_v)))/(s_Y_v*s_RadSpec!AY14))),".")</f>
        <v>9.0143481925428208</v>
      </c>
      <c r="BP14" s="116">
        <f>IFERROR(IF(d_ss_Bv!T14=0,".",((s_Ir*s_F*s_I_f*s_T*(1-EXP(-s_RadSpec!AY14*s_t_v)))/(s_Y_v*s_RadSpec!AY14))),".")</f>
        <v>9.0143481925428208</v>
      </c>
      <c r="BQ14" s="116">
        <f>IFERROR(IF(d_ss_Bv!U14=0,".",((s_Ir*s_F*s_I_f*s_T*(1-EXP(-s_RadSpec!AY14*s_t_v)))/(s_Y_v*s_RadSpec!AY14))),".")</f>
        <v>9.0143481925428208</v>
      </c>
      <c r="BR14" s="116">
        <f>IFERROR(IF(d_ss_Bv!V14=0,".",((s_Ir*s_F*s_I_f*s_T*(1-EXP(-s_RadSpec!AY14*s_t_v)))/(s_Y_v*s_RadSpec!AY14))),".")</f>
        <v>9.0143481925428208</v>
      </c>
      <c r="BS14" s="116">
        <f>IFERROR(IF(d_ss_Bv!W14=0,".",((s_Ir*s_F*s_I_f*s_T*(1-EXP(-s_RadSpec!AY14*s_t_v)))/(s_Y_v*s_RadSpec!AY14))),".")</f>
        <v>9.0143481925428208</v>
      </c>
      <c r="BT14" s="116">
        <f>IFERROR(IF(d_ss_Bv!X14=0,".",((s_Ir*s_F*s_I_f*s_T*(1-EXP(-s_RadSpec!AY14*s_t_v)))/(s_Y_v*s_RadSpec!AY14))),".")</f>
        <v>9.0143481925428208</v>
      </c>
      <c r="BU14" s="116">
        <f>IFERROR(IF(d_ss_Bv!Y14=0,".",((s_Ir*s_F*s_I_f*s_T*(1-EXP(-s_RadSpec!AY14*s_t_v)))/(s_Y_v*s_RadSpec!AY14))),".")</f>
        <v>9.0143481925428208</v>
      </c>
      <c r="BV14" s="116">
        <f>IFERROR(IF(d_ss_Bv!Z14=0,".",((s_Ir*s_F*s_I_f*s_T*(1-EXP(-s_RadSpec!AY14*s_t_v)))/(s_Y_v*s_RadSpec!AY14))),".")</f>
        <v>9.0143481925428208</v>
      </c>
    </row>
    <row r="15" spans="1:74" x14ac:dyDescent="0.25">
      <c r="A15" s="44" t="s">
        <v>25</v>
      </c>
      <c r="B15" s="42" t="s">
        <v>1074</v>
      </c>
      <c r="C15" s="116">
        <f>IFERROR(IF(d_ss_Bv!C15=0,".",((s_Ir*s_F*d_ss_Bv!C15*(1-EXP(-s_RadSpec!$AX15*s_t_b)))/(s_P*s_RadSpec!$AX15))),".")</f>
        <v>1.9870072460746409</v>
      </c>
      <c r="D15" s="116">
        <f>IFERROR(IF(d_ss_Bv!D15=0,".",((s_Ir*s_F*d_ss_Bv!D15*(1-EXP(-s_RadSpec!AX15*s_t_b)))/(s_P*s_RadSpec!AX15))),".")</f>
        <v>15.896057968597127</v>
      </c>
      <c r="E15" s="116">
        <f>IFERROR(IF(d_ss_Bv!E15=0,".",((s_Ir*s_F*d_ss_Bv!E15*(1-EXP(-s_RadSpec!AX15*s_t_b)))/(s_P*s_RadSpec!AX15))),".")</f>
        <v>2.9805108691119608</v>
      </c>
      <c r="F15" s="116">
        <f>IFERROR(IF(d_ss_Bv!F15=0,".",((s_Ir*s_F*d_ss_Bv!F15*(1-EXP(-s_RadSpec!AX15*s_t_b)))/(s_P*s_RadSpec!AX15))),".")</f>
        <v>1.9870072460746409</v>
      </c>
      <c r="G15" s="116">
        <f>IFERROR(IF(d_ss_Bv!G15=0,".",((s_Ir*s_F*d_ss_Bv!G15*(1-EXP(-s_RadSpec!AX15*s_t_b)))/(s_P*s_RadSpec!AX15))),".")</f>
        <v>2.9805108691119608</v>
      </c>
      <c r="H15" s="116">
        <f>IFERROR(IF(d_ss_Bv!H15=0,".",((s_Ir*s_F*d_ss_Bv!H15*(1-EXP(-s_RadSpec!AX15*s_t_b)))/(s_P*s_RadSpec!AX15))),".")</f>
        <v>15.896057968597127</v>
      </c>
      <c r="I15" s="116">
        <f>IFERROR(IF(d_ss_Bv!I15=0,".",((s_Ir*s_F*d_ss_Bv!I15*(1-EXP(-s_RadSpec!AX15*s_t_b)))/(s_P*s_RadSpec!AX15))),".")</f>
        <v>2.9805108691119608</v>
      </c>
      <c r="J15" s="116">
        <f>IFERROR(IF(d_ss_Bv!J15=0,".",((s_Ir*s_F*d_ss_Bv!J15*(1-EXP(-s_RadSpec!AX15*s_t_b)))/(s_P*s_RadSpec!AX15))),".")</f>
        <v>1.9870072460746409</v>
      </c>
      <c r="K15" s="116">
        <f>IFERROR(IF(d_ss_Bv!K15=0,".",((s_Ir*s_F*d_ss_Bv!K15*(1-EXP(-s_RadSpec!AX15*s_t_b)))/(s_P*s_RadSpec!AX15))),".")</f>
        <v>0.23844086952895688</v>
      </c>
      <c r="L15" s="116">
        <f>IFERROR(IF(d_ss_Bv!L15=0,".",((s_Ir*s_F*d_ss_Bv!L15*(1-EXP(-s_RadSpec!AX15*s_t_b)))/(s_P*s_RadSpec!AX15))),".")</f>
        <v>2.9805108691119608</v>
      </c>
      <c r="M15" s="116">
        <f>IFERROR(IF(d_ss_Bv!M15=0,".",((s_Ir*s_F*d_ss_Bv!M15*(1-EXP(-s_RadSpec!AX15*s_t_b)))/(s_P*s_RadSpec!AX15))),".")</f>
        <v>15.896057968597127</v>
      </c>
      <c r="N15" s="116">
        <f>IFERROR(IF(d_ss_Bv!N15=0,".",((s_Ir*s_F*d_ss_Bv!N15*(1-EXP(-s_RadSpec!AX15*s_t_b)))/(s_P*s_RadSpec!AX15))),".")</f>
        <v>1.0531138404195597</v>
      </c>
      <c r="O15" s="116">
        <f>IFERROR(IF(d_ss_Bv!O15=0,".",((s_Ir*s_F*d_ss_Bv!O15*(1-EXP(-s_RadSpec!AX15*s_t_b)))/(s_P*s_RadSpec!AX15))),".")</f>
        <v>2.9805108691119608</v>
      </c>
      <c r="P15" s="116">
        <f>IFERROR(IF(d_ss_Bv!P15=0,".",((s_Ir*s_F*d_ss_Bv!P15*(1-EXP(-s_RadSpec!AX15*s_t_b)))/(s_P*s_RadSpec!AX15))),".")</f>
        <v>2.9805108691119608</v>
      </c>
      <c r="Q15" s="116">
        <f>IFERROR(IF(d_ss_Bv!Q15=0,".",((s_Ir*s_F*d_ss_Bv!Q15*(1-EXP(-s_RadSpec!AX15*s_t_b)))/(s_P*s_RadSpec!AX15))),".")</f>
        <v>1.9870072460746409</v>
      </c>
      <c r="R15" s="116">
        <f>IFERROR(IF(d_ss_Bv!R15=0,".",((s_Ir*s_F*d_ss_Bv!R15*(1-EXP(-s_RadSpec!AX15*s_t_b)))/(s_P*s_RadSpec!AX15))),".")</f>
        <v>1.9870072460746409</v>
      </c>
      <c r="S15" s="116">
        <f>IFERROR(IF(d_ss_Bv!S15=0,".",((s_Ir*s_F*d_ss_Bv!S15*(1-EXP(-s_RadSpec!AX15*s_t_b)))/(s_P*s_RadSpec!AX15))),".")</f>
        <v>1.0531138404195597</v>
      </c>
      <c r="T15" s="116">
        <f>IFERROR(IF(d_ss_Bv!T15=0,".",((s_Ir*s_F*d_ss_Bv!T15*(1-EXP(-s_RadSpec!AX15*s_t_b)))/(s_P*s_RadSpec!AX15))),".")</f>
        <v>0.29805108691119608</v>
      </c>
      <c r="U15" s="116">
        <f>IFERROR(IF(d_ss_Bv!U15=0,".",((s_Ir*s_F*d_ss_Bv!U15*(1-EXP(-s_RadSpec!AX15*s_t_b)))/(s_P*s_RadSpec!AX15))),".")</f>
        <v>2.9805108691119608</v>
      </c>
      <c r="V15" s="116">
        <f>IFERROR(IF(d_ss_Bv!V15=0,".",((s_Ir*s_F*d_ss_Bv!V15*(1-EXP(-s_RadSpec!AX15*s_t_b)))/(s_P*s_RadSpec!AX15))),".")</f>
        <v>1.0531138404195597</v>
      </c>
      <c r="W15" s="116">
        <f>IFERROR(IF(d_ss_Bv!W15=0,".",((s_Ir*s_F*d_ss_Bv!W15*(1-EXP(-s_RadSpec!AX15*s_t_b)))/(s_P*s_RadSpec!AX15))),".")</f>
        <v>1.9870072460746409</v>
      </c>
      <c r="X15" s="116">
        <f>IFERROR(IF(d_ss_Bv!X15=0,".",((s_Ir*s_F*d_ss_Bv!X15*(1-EXP(-s_RadSpec!AX15*s_t_b)))/(s_P*s_RadSpec!AX15))),".")</f>
        <v>2.9805108691119608</v>
      </c>
      <c r="Y15" s="116">
        <f>IFERROR(IF(d_ss_Bv!Y15=0,".",((s_Ir*s_F*d_ss_Bv!Y15*(1-EXP(-s_RadSpec!AX15*s_t_b)))/(s_P*s_RadSpec!AX15))),".")</f>
        <v>5.7623210136164581E-2</v>
      </c>
      <c r="Z15" s="116">
        <f>IFERROR(IF(d_ss_Bv!Z15=0,".",((s_Ir*s_F*d_ss_Bv!Z15*(1-EXP(-s_RadSpec!AX15*s_t_b)))/(s_P*s_RadSpec!AX15))),".")</f>
        <v>2.1857079706821048</v>
      </c>
      <c r="AA15" s="116">
        <f>IFERROR(IF(d_ss_Bv!C15=0,".",((s_Ir*s_F*s_MLF_apple*(1-EXP(-s_RadSpec!AX15*s_t_b)))/(s_P*s_RadSpec!AX15))),".")</f>
        <v>2.6824597822007652</v>
      </c>
      <c r="AB15" s="116">
        <f>IFERROR(IF(d_ss_Bv!D15=0,".",((s_Ir*s_F*s_MLF_asparagus*(1-EXP(-s_RadSpec!AX15*s_t_b)))/(s_P*s_RadSpec!AX15))),".")</f>
        <v>2.6824597822007652</v>
      </c>
      <c r="AC15" s="116">
        <f>IFERROR(IF(d_ss_Bv!E15=0,".",((s_Ir*s_F*s_MLF_beet*(1-EXP(-s_RadSpec!AX15*s_t_b)))/(s_P*s_RadSpec!AX15))),".")</f>
        <v>2.6824597822007652</v>
      </c>
      <c r="AD15" s="116">
        <f>IFERROR(IF(d_ss_Bv!F15=0,".",((s_Ir*s_F*s_MLF_berries*(1-EXP(-s_RadSpec!AX15*s_t_b)))/(s_P*s_RadSpec!AX15))),".")</f>
        <v>2.6824597822007652</v>
      </c>
      <c r="AE15" s="116">
        <f>IFERROR(IF(d_ss_Bv!G15=0,".",((s_Ir*s_F*s_MLF_broccoli*(1-EXP(-s_RadSpec!AX15*s_t_b)))/(s_P*s_RadSpec!AX15))),".")</f>
        <v>2.6824597822007652</v>
      </c>
      <c r="AF15" s="116">
        <f>IFERROR(IF(d_ss_Bv!H15=0,".",((s_Ir*s_F*s_MLF_cabbage*(1-EXP(-s_RadSpec!AX15*s_t_b)))/(s_P*s_RadSpec!AX15))),".")</f>
        <v>2.6824597822007652</v>
      </c>
      <c r="AG15" s="116">
        <f>IFERROR(IF(d_ss_Bv!I15=0,".",((s_Ir*s_F*s_MLF_carrot*(1-EXP(-s_RadSpec!AX15*s_t_b)))/(s_P*s_RadSpec!AX15))),".")</f>
        <v>2.6824597822007652</v>
      </c>
      <c r="AH15" s="116">
        <f>IFERROR(IF(d_ss_Bv!J15=0,".",((s_Ir*s_F*s_MLF_citrus*(1-EXP(-s_RadSpec!AX15*s_t_b)))/(s_P*s_RadSpec!AX15))),".")</f>
        <v>2.6824597822007652</v>
      </c>
      <c r="AI15" s="116">
        <f>IFERROR(IF(d_ss_Bv!K15=0,".",((s_Ir*s_F*s_MLF_corn*(1-EXP(-s_RadSpec!AX15*s_t_b)))/(s_P*s_RadSpec!AX15))),".")</f>
        <v>2.6824597822007652</v>
      </c>
      <c r="AJ15" s="116">
        <f>IFERROR(IF(d_ss_Bv!L15=0,".",((s_Ir*s_F*s_MLF_cucumber*(1-EXP(-s_RadSpec!AX15*s_t_b)))/(s_P*s_RadSpec!AX15))),".")</f>
        <v>2.6824597822007652</v>
      </c>
      <c r="AK15" s="116">
        <f>IFERROR(IF(d_ss_Bv!M15=0,".",((s_Ir*s_F*s_MLF_lettuce*(1-EXP(-s_RadSpec!AX15*s_t_b)))/(s_P*s_RadSpec!AX15))),".")</f>
        <v>2.6824597822007652</v>
      </c>
      <c r="AL15" s="116">
        <f>IFERROR(IF(d_ss_Bv!N15=0,".",((s_Ir*s_F*s_MLF_lima_bean*(1-EXP(-s_RadSpec!AX15*s_t_b)))/(s_P*s_RadSpec!AX15))),".")</f>
        <v>2.6824597822007652</v>
      </c>
      <c r="AM15" s="116">
        <f>IFERROR(IF(d_ss_Bv!O15=0,".",((s_Ir*s_F*s_MLF_okra*(1-EXP(-s_RadSpec!AX15*s_t_b)))/(s_P*s_RadSpec!AX15))),".")</f>
        <v>2.6824597822007652</v>
      </c>
      <c r="AN15" s="116">
        <f>IFERROR(IF(d_ss_Bv!P15=0,".",((s_Ir*s_F*s_MLF_onion*(1-EXP(-s_RadSpec!AX15*s_t_b)))/(s_P*s_RadSpec!AX15))),".")</f>
        <v>2.6824597822007652</v>
      </c>
      <c r="AO15" s="116">
        <f>IFERROR(IF(d_ss_Bv!Q15=0,".",((s_Ir*s_F*s_MLF_peach*(1-EXP(-s_RadSpec!AX15*s_t_b)))/(s_P*s_RadSpec!AX15))),".")</f>
        <v>2.6824597822007652</v>
      </c>
      <c r="AP15" s="116">
        <f>IFERROR(IF(d_ss_Bv!R15=0,".",((s_Ir*s_F*s_MLF_pear*(1-EXP(-s_RadSpec!AX15*s_t_b)))/(s_P*s_RadSpec!AX15))),".")</f>
        <v>2.6824597822007652</v>
      </c>
      <c r="AQ15" s="116">
        <f>IFERROR(IF(d_ss_Bv!S15=0,".",((s_Ir*s_F*s_MLF_peas*(1-EXP(-s_RadSpec!AX15*s_t_b)))/(s_P*s_RadSpec!AX15))),".")</f>
        <v>2.6824597822007652</v>
      </c>
      <c r="AR15" s="116">
        <f>IFERROR(IF(d_ss_Bv!T15=0,".",((s_Ir*s_F*s_MLF_potato*(1-EXP(-s_RadSpec!AX15*s_t_b)))/(s_P*s_RadSpec!AX15))),".")</f>
        <v>2.6824597822007652</v>
      </c>
      <c r="AS15" s="116">
        <f>IFERROR(IF(d_ss_Bv!U15=0,".",((s_Ir*s_F*s_MLF_pumpkin*(1-EXP(-s_RadSpec!AX15*s_t_b)))/(s_P*s_RadSpec!AX15))),".")</f>
        <v>2.6824597822007652</v>
      </c>
      <c r="AT15" s="116">
        <f>IFERROR(IF(d_ss_Bv!V15=0,".",((s_Ir*s_F*s_MLF_snap_bean*(1-EXP(-s_RadSpec!AX15*s_t_b)))/(s_P*s_RadSpec!AX15))),".")</f>
        <v>2.6824597822007652</v>
      </c>
      <c r="AU15" s="116">
        <f>IFERROR(IF(d_ss_Bv!W15=0,".",((s_Ir*s_F*s_MLF_strawberry*(1-EXP(-s_RadSpec!AX15*s_t_b)))/(s_P*s_RadSpec!AX15))),".")</f>
        <v>2.6824597822007652</v>
      </c>
      <c r="AV15" s="116">
        <f>IFERROR(IF(d_ss_Bv!X15=0,".",((s_Ir*s_F*s_MLF_tomato*(1-EXP(-s_RadSpec!AX15*s_t_b)))/(s_P*s_RadSpec!AX15))),".")</f>
        <v>2.6824597822007652</v>
      </c>
      <c r="AW15" s="116">
        <f>IFERROR(IF(d_ss_Bv!Y15=0,".",((s_Ir*s_F*s_MLF_rice*(1-EXP(-s_RadSpec!AX15*s_t_b)))/(s_P*s_RadSpec!AX15))),".")</f>
        <v>2.6824597822007652</v>
      </c>
      <c r="AX15" s="116">
        <f>IFERROR(IF(d_ss_Bv!Z15=0,".",((s_Ir*s_F*s_MLF_cereal*(1-EXP(-s_RadSpec!AX15*s_t_b)))/(s_P*s_RadSpec!AX15))),".")</f>
        <v>2.6824597822007652</v>
      </c>
      <c r="AY15" s="116">
        <f>IFERROR(IF(d_ss_Bv!C15=0,".",((s_Ir*s_F*s_I_f*s_T*(1-EXP(-s_RadSpec!AY15*s_t_v)))/(s_Y_v*s_RadSpec!AY15))),".")</f>
        <v>9.0143481925428208</v>
      </c>
      <c r="AZ15" s="116">
        <f>IFERROR(IF(d_ss_Bv!D15=0,".",((s_Ir*s_F*s_I_f*s_T*(1-EXP(-s_RadSpec!AY15*s_t_v)))/(s_Y_v*s_RadSpec!AY15))),".")</f>
        <v>9.0143481925428208</v>
      </c>
      <c r="BA15" s="116">
        <f>IFERROR(IF(d_ss_Bv!E15=0,".",((s_Ir*s_F*s_I_f*s_T*(1-EXP(-s_RadSpec!AY15*s_t_v)))/(s_Y_v*s_RadSpec!AY15))),".")</f>
        <v>9.0143481925428208</v>
      </c>
      <c r="BB15" s="116">
        <f>IFERROR(IF(d_ss_Bv!F15=0,".",((s_Ir*s_F*s_I_f*s_T*(1-EXP(-s_RadSpec!AY15*s_t_v)))/(s_Y_v*s_RadSpec!AY15))),".")</f>
        <v>9.0143481925428208</v>
      </c>
      <c r="BC15" s="116">
        <f>IFERROR(IF(d_ss_Bv!G15=0,".",((s_Ir*s_F*s_I_f*s_T*(1-EXP(-s_RadSpec!AY15*s_t_v)))/(s_Y_v*s_RadSpec!AY15))),".")</f>
        <v>9.0143481925428208</v>
      </c>
      <c r="BD15" s="116">
        <f>IFERROR(IF(d_ss_Bv!H15=0,".",((s_Ir*s_F*s_I_f*s_T*(1-EXP(-s_RadSpec!AY15*s_t_v)))/(s_Y_v*s_RadSpec!AY15))),".")</f>
        <v>9.0143481925428208</v>
      </c>
      <c r="BE15" s="116">
        <f>IFERROR(IF(d_ss_Bv!I15=0,".",((s_Ir*s_F*s_I_f*s_T*(1-EXP(-s_RadSpec!AY15*s_t_v)))/(s_Y_v*s_RadSpec!AY15))),".")</f>
        <v>9.0143481925428208</v>
      </c>
      <c r="BF15" s="116">
        <f>IFERROR(IF(d_ss_Bv!J15=0,".",((s_Ir*s_F*s_I_f*s_T*(1-EXP(-s_RadSpec!AY15*s_t_v)))/(s_Y_v*s_RadSpec!AY15))),".")</f>
        <v>9.0143481925428208</v>
      </c>
      <c r="BG15" s="116">
        <f>IFERROR(IF(d_ss_Bv!K15=0,".",((s_Ir*s_F*s_I_f*s_T*(1-EXP(-s_RadSpec!AY15*s_t_v)))/(s_Y_v*s_RadSpec!AY15))),".")</f>
        <v>9.0143481925428208</v>
      </c>
      <c r="BH15" s="116">
        <f>IFERROR(IF(d_ss_Bv!L15=0,".",((s_Ir*s_F*s_I_f*s_T*(1-EXP(-s_RadSpec!AY15*s_t_v)))/(s_Y_v*s_RadSpec!AY15))),".")</f>
        <v>9.0143481925428208</v>
      </c>
      <c r="BI15" s="116">
        <f>IFERROR(IF(d_ss_Bv!M15=0,".",((s_Ir*s_F*s_I_f*s_T*(1-EXP(-s_RadSpec!AY15*s_t_v)))/(s_Y_v*s_RadSpec!AY15))),".")</f>
        <v>9.0143481925428208</v>
      </c>
      <c r="BJ15" s="116">
        <f>IFERROR(IF(d_ss_Bv!N15=0,".",((s_Ir*s_F*s_I_f*s_T*(1-EXP(-s_RadSpec!AY15*s_t_v)))/(s_Y_v*s_RadSpec!AY15))),".")</f>
        <v>9.0143481925428208</v>
      </c>
      <c r="BK15" s="116">
        <f>IFERROR(IF(d_ss_Bv!O15=0,".",((s_Ir*s_F*s_I_f*s_T*(1-EXP(-s_RadSpec!AY15*s_t_v)))/(s_Y_v*s_RadSpec!AY15))),".")</f>
        <v>9.0143481925428208</v>
      </c>
      <c r="BL15" s="116">
        <f>IFERROR(IF(d_ss_Bv!P15=0,".",((s_Ir*s_F*s_I_f*s_T*(1-EXP(-s_RadSpec!AY15*s_t_v)))/(s_Y_v*s_RadSpec!AY15))),".")</f>
        <v>9.0143481925428208</v>
      </c>
      <c r="BM15" s="116">
        <f>IFERROR(IF(d_ss_Bv!Q15=0,".",((s_Ir*s_F*s_I_f*s_T*(1-EXP(-s_RadSpec!AY15*s_t_v)))/(s_Y_v*s_RadSpec!AY15))),".")</f>
        <v>9.0143481925428208</v>
      </c>
      <c r="BN15" s="116">
        <f>IFERROR(IF(d_ss_Bv!R15=0,".",((s_Ir*s_F*s_I_f*s_T*(1-EXP(-s_RadSpec!AY15*s_t_v)))/(s_Y_v*s_RadSpec!AY15))),".")</f>
        <v>9.0143481925428208</v>
      </c>
      <c r="BO15" s="116">
        <f>IFERROR(IF(d_ss_Bv!S15=0,".",((s_Ir*s_F*s_I_f*s_T*(1-EXP(-s_RadSpec!AY15*s_t_v)))/(s_Y_v*s_RadSpec!AY15))),".")</f>
        <v>9.0143481925428208</v>
      </c>
      <c r="BP15" s="116">
        <f>IFERROR(IF(d_ss_Bv!T15=0,".",((s_Ir*s_F*s_I_f*s_T*(1-EXP(-s_RadSpec!AY15*s_t_v)))/(s_Y_v*s_RadSpec!AY15))),".")</f>
        <v>9.0143481925428208</v>
      </c>
      <c r="BQ15" s="116">
        <f>IFERROR(IF(d_ss_Bv!U15=0,".",((s_Ir*s_F*s_I_f*s_T*(1-EXP(-s_RadSpec!AY15*s_t_v)))/(s_Y_v*s_RadSpec!AY15))),".")</f>
        <v>9.0143481925428208</v>
      </c>
      <c r="BR15" s="116">
        <f>IFERROR(IF(d_ss_Bv!V15=0,".",((s_Ir*s_F*s_I_f*s_T*(1-EXP(-s_RadSpec!AY15*s_t_v)))/(s_Y_v*s_RadSpec!AY15))),".")</f>
        <v>9.0143481925428208</v>
      </c>
      <c r="BS15" s="116">
        <f>IFERROR(IF(d_ss_Bv!W15=0,".",((s_Ir*s_F*s_I_f*s_T*(1-EXP(-s_RadSpec!AY15*s_t_v)))/(s_Y_v*s_RadSpec!AY15))),".")</f>
        <v>9.0143481925428208</v>
      </c>
      <c r="BT15" s="116">
        <f>IFERROR(IF(d_ss_Bv!X15=0,".",((s_Ir*s_F*s_I_f*s_T*(1-EXP(-s_RadSpec!AY15*s_t_v)))/(s_Y_v*s_RadSpec!AY15))),".")</f>
        <v>9.0143481925428208</v>
      </c>
      <c r="BU15" s="116">
        <f>IFERROR(IF(d_ss_Bv!Y15=0,".",((s_Ir*s_F*s_I_f*s_T*(1-EXP(-s_RadSpec!AY15*s_t_v)))/(s_Y_v*s_RadSpec!AY15))),".")</f>
        <v>9.0143481925428208</v>
      </c>
      <c r="BV15" s="116">
        <f>IFERROR(IF(d_ss_Bv!Z15=0,".",((s_Ir*s_F*s_I_f*s_T*(1-EXP(-s_RadSpec!AY15*s_t_v)))/(s_Y_v*s_RadSpec!AY15))),".")</f>
        <v>9.0143481925428208</v>
      </c>
    </row>
    <row r="16" spans="1:74" x14ac:dyDescent="0.25">
      <c r="A16" s="44" t="s">
        <v>26</v>
      </c>
      <c r="B16" s="42" t="s">
        <v>1074</v>
      </c>
      <c r="C16" s="116">
        <f>IFERROR(IF(d_ss_Bv!C16=0,".",((s_Ir*s_F*d_ss_Bv!C16*(1-EXP(-s_RadSpec!$AX16*s_t_b)))/(s_P*s_RadSpec!$AX16))),".")</f>
        <v>1.9870072460746409</v>
      </c>
      <c r="D16" s="116">
        <f>IFERROR(IF(d_ss_Bv!D16=0,".",((s_Ir*s_F*d_ss_Bv!D16*(1-EXP(-s_RadSpec!AX16*s_t_b)))/(s_P*s_RadSpec!AX16))),".")</f>
        <v>15.896057968597127</v>
      </c>
      <c r="E16" s="116">
        <f>IFERROR(IF(d_ss_Bv!E16=0,".",((s_Ir*s_F*d_ss_Bv!E16*(1-EXP(-s_RadSpec!AX16*s_t_b)))/(s_P*s_RadSpec!AX16))),".")</f>
        <v>2.9805108691119608</v>
      </c>
      <c r="F16" s="116">
        <f>IFERROR(IF(d_ss_Bv!F16=0,".",((s_Ir*s_F*d_ss_Bv!F16*(1-EXP(-s_RadSpec!AX16*s_t_b)))/(s_P*s_RadSpec!AX16))),".")</f>
        <v>1.9870072460746409</v>
      </c>
      <c r="G16" s="116">
        <f>IFERROR(IF(d_ss_Bv!G16=0,".",((s_Ir*s_F*d_ss_Bv!G16*(1-EXP(-s_RadSpec!AX16*s_t_b)))/(s_P*s_RadSpec!AX16))),".")</f>
        <v>2.9805108691119608</v>
      </c>
      <c r="H16" s="116">
        <f>IFERROR(IF(d_ss_Bv!H16=0,".",((s_Ir*s_F*d_ss_Bv!H16*(1-EXP(-s_RadSpec!AX16*s_t_b)))/(s_P*s_RadSpec!AX16))),".")</f>
        <v>15.896057968597127</v>
      </c>
      <c r="I16" s="116">
        <f>IFERROR(IF(d_ss_Bv!I16=0,".",((s_Ir*s_F*d_ss_Bv!I16*(1-EXP(-s_RadSpec!AX16*s_t_b)))/(s_P*s_RadSpec!AX16))),".")</f>
        <v>2.9805108691119608</v>
      </c>
      <c r="J16" s="116">
        <f>IFERROR(IF(d_ss_Bv!J16=0,".",((s_Ir*s_F*d_ss_Bv!J16*(1-EXP(-s_RadSpec!AX16*s_t_b)))/(s_P*s_RadSpec!AX16))),".")</f>
        <v>1.9870072460746409</v>
      </c>
      <c r="K16" s="116">
        <f>IFERROR(IF(d_ss_Bv!K16=0,".",((s_Ir*s_F*d_ss_Bv!K16*(1-EXP(-s_RadSpec!AX16*s_t_b)))/(s_P*s_RadSpec!AX16))),".")</f>
        <v>0.23844086952895688</v>
      </c>
      <c r="L16" s="116">
        <f>IFERROR(IF(d_ss_Bv!L16=0,".",((s_Ir*s_F*d_ss_Bv!L16*(1-EXP(-s_RadSpec!AX16*s_t_b)))/(s_P*s_RadSpec!AX16))),".")</f>
        <v>2.9805108691119608</v>
      </c>
      <c r="M16" s="116">
        <f>IFERROR(IF(d_ss_Bv!M16=0,".",((s_Ir*s_F*d_ss_Bv!M16*(1-EXP(-s_RadSpec!AX16*s_t_b)))/(s_P*s_RadSpec!AX16))),".")</f>
        <v>15.896057968597127</v>
      </c>
      <c r="N16" s="116">
        <f>IFERROR(IF(d_ss_Bv!N16=0,".",((s_Ir*s_F*d_ss_Bv!N16*(1-EXP(-s_RadSpec!AX16*s_t_b)))/(s_P*s_RadSpec!AX16))),".")</f>
        <v>1.0531138404195597</v>
      </c>
      <c r="O16" s="116">
        <f>IFERROR(IF(d_ss_Bv!O16=0,".",((s_Ir*s_F*d_ss_Bv!O16*(1-EXP(-s_RadSpec!AX16*s_t_b)))/(s_P*s_RadSpec!AX16))),".")</f>
        <v>2.9805108691119608</v>
      </c>
      <c r="P16" s="116">
        <f>IFERROR(IF(d_ss_Bv!P16=0,".",((s_Ir*s_F*d_ss_Bv!P16*(1-EXP(-s_RadSpec!AX16*s_t_b)))/(s_P*s_RadSpec!AX16))),".")</f>
        <v>2.9805108691119608</v>
      </c>
      <c r="Q16" s="116">
        <f>IFERROR(IF(d_ss_Bv!Q16=0,".",((s_Ir*s_F*d_ss_Bv!Q16*(1-EXP(-s_RadSpec!AX16*s_t_b)))/(s_P*s_RadSpec!AX16))),".")</f>
        <v>1.9870072460746409</v>
      </c>
      <c r="R16" s="116">
        <f>IFERROR(IF(d_ss_Bv!R16=0,".",((s_Ir*s_F*d_ss_Bv!R16*(1-EXP(-s_RadSpec!AX16*s_t_b)))/(s_P*s_RadSpec!AX16))),".")</f>
        <v>1.9870072460746409</v>
      </c>
      <c r="S16" s="116">
        <f>IFERROR(IF(d_ss_Bv!S16=0,".",((s_Ir*s_F*d_ss_Bv!S16*(1-EXP(-s_RadSpec!AX16*s_t_b)))/(s_P*s_RadSpec!AX16))),".")</f>
        <v>1.0531138404195597</v>
      </c>
      <c r="T16" s="116">
        <f>IFERROR(IF(d_ss_Bv!T16=0,".",((s_Ir*s_F*d_ss_Bv!T16*(1-EXP(-s_RadSpec!AX16*s_t_b)))/(s_P*s_RadSpec!AX16))),".")</f>
        <v>0.29805108691119608</v>
      </c>
      <c r="U16" s="116">
        <f>IFERROR(IF(d_ss_Bv!U16=0,".",((s_Ir*s_F*d_ss_Bv!U16*(1-EXP(-s_RadSpec!AX16*s_t_b)))/(s_P*s_RadSpec!AX16))),".")</f>
        <v>2.9805108691119608</v>
      </c>
      <c r="V16" s="116">
        <f>IFERROR(IF(d_ss_Bv!V16=0,".",((s_Ir*s_F*d_ss_Bv!V16*(1-EXP(-s_RadSpec!AX16*s_t_b)))/(s_P*s_RadSpec!AX16))),".")</f>
        <v>1.0531138404195597</v>
      </c>
      <c r="W16" s="116">
        <f>IFERROR(IF(d_ss_Bv!W16=0,".",((s_Ir*s_F*d_ss_Bv!W16*(1-EXP(-s_RadSpec!AX16*s_t_b)))/(s_P*s_RadSpec!AX16))),".")</f>
        <v>1.9870072460746409</v>
      </c>
      <c r="X16" s="116">
        <f>IFERROR(IF(d_ss_Bv!X16=0,".",((s_Ir*s_F*d_ss_Bv!X16*(1-EXP(-s_RadSpec!AX16*s_t_b)))/(s_P*s_RadSpec!AX16))),".")</f>
        <v>2.9805108691119608</v>
      </c>
      <c r="Y16" s="116">
        <f>IFERROR(IF(d_ss_Bv!Y16=0,".",((s_Ir*s_F*d_ss_Bv!Y16*(1-EXP(-s_RadSpec!AX16*s_t_b)))/(s_P*s_RadSpec!AX16))),".")</f>
        <v>5.7623210136164581E-2</v>
      </c>
      <c r="Z16" s="116">
        <f>IFERROR(IF(d_ss_Bv!Z16=0,".",((s_Ir*s_F*d_ss_Bv!Z16*(1-EXP(-s_RadSpec!AX16*s_t_b)))/(s_P*s_RadSpec!AX16))),".")</f>
        <v>2.1857079706821048</v>
      </c>
      <c r="AA16" s="116">
        <f>IFERROR(IF(d_ss_Bv!C16=0,".",((s_Ir*s_F*s_MLF_apple*(1-EXP(-s_RadSpec!AX16*s_t_b)))/(s_P*s_RadSpec!AX16))),".")</f>
        <v>2.6824597822007652</v>
      </c>
      <c r="AB16" s="116">
        <f>IFERROR(IF(d_ss_Bv!D16=0,".",((s_Ir*s_F*s_MLF_asparagus*(1-EXP(-s_RadSpec!AX16*s_t_b)))/(s_P*s_RadSpec!AX16))),".")</f>
        <v>2.6824597822007652</v>
      </c>
      <c r="AC16" s="116">
        <f>IFERROR(IF(d_ss_Bv!E16=0,".",((s_Ir*s_F*s_MLF_beet*(1-EXP(-s_RadSpec!AX16*s_t_b)))/(s_P*s_RadSpec!AX16))),".")</f>
        <v>2.6824597822007652</v>
      </c>
      <c r="AD16" s="116">
        <f>IFERROR(IF(d_ss_Bv!F16=0,".",((s_Ir*s_F*s_MLF_berries*(1-EXP(-s_RadSpec!AX16*s_t_b)))/(s_P*s_RadSpec!AX16))),".")</f>
        <v>2.6824597822007652</v>
      </c>
      <c r="AE16" s="116">
        <f>IFERROR(IF(d_ss_Bv!G16=0,".",((s_Ir*s_F*s_MLF_broccoli*(1-EXP(-s_RadSpec!AX16*s_t_b)))/(s_P*s_RadSpec!AX16))),".")</f>
        <v>2.6824597822007652</v>
      </c>
      <c r="AF16" s="116">
        <f>IFERROR(IF(d_ss_Bv!H16=0,".",((s_Ir*s_F*s_MLF_cabbage*(1-EXP(-s_RadSpec!AX16*s_t_b)))/(s_P*s_RadSpec!AX16))),".")</f>
        <v>2.6824597822007652</v>
      </c>
      <c r="AG16" s="116">
        <f>IFERROR(IF(d_ss_Bv!I16=0,".",((s_Ir*s_F*s_MLF_carrot*(1-EXP(-s_RadSpec!AX16*s_t_b)))/(s_P*s_RadSpec!AX16))),".")</f>
        <v>2.6824597822007652</v>
      </c>
      <c r="AH16" s="116">
        <f>IFERROR(IF(d_ss_Bv!J16=0,".",((s_Ir*s_F*s_MLF_citrus*(1-EXP(-s_RadSpec!AX16*s_t_b)))/(s_P*s_RadSpec!AX16))),".")</f>
        <v>2.6824597822007652</v>
      </c>
      <c r="AI16" s="116">
        <f>IFERROR(IF(d_ss_Bv!K16=0,".",((s_Ir*s_F*s_MLF_corn*(1-EXP(-s_RadSpec!AX16*s_t_b)))/(s_P*s_RadSpec!AX16))),".")</f>
        <v>2.6824597822007652</v>
      </c>
      <c r="AJ16" s="116">
        <f>IFERROR(IF(d_ss_Bv!L16=0,".",((s_Ir*s_F*s_MLF_cucumber*(1-EXP(-s_RadSpec!AX16*s_t_b)))/(s_P*s_RadSpec!AX16))),".")</f>
        <v>2.6824597822007652</v>
      </c>
      <c r="AK16" s="116">
        <f>IFERROR(IF(d_ss_Bv!M16=0,".",((s_Ir*s_F*s_MLF_lettuce*(1-EXP(-s_RadSpec!AX16*s_t_b)))/(s_P*s_RadSpec!AX16))),".")</f>
        <v>2.6824597822007652</v>
      </c>
      <c r="AL16" s="116">
        <f>IFERROR(IF(d_ss_Bv!N16=0,".",((s_Ir*s_F*s_MLF_lima_bean*(1-EXP(-s_RadSpec!AX16*s_t_b)))/(s_P*s_RadSpec!AX16))),".")</f>
        <v>2.6824597822007652</v>
      </c>
      <c r="AM16" s="116">
        <f>IFERROR(IF(d_ss_Bv!O16=0,".",((s_Ir*s_F*s_MLF_okra*(1-EXP(-s_RadSpec!AX16*s_t_b)))/(s_P*s_RadSpec!AX16))),".")</f>
        <v>2.6824597822007652</v>
      </c>
      <c r="AN16" s="116">
        <f>IFERROR(IF(d_ss_Bv!P16=0,".",((s_Ir*s_F*s_MLF_onion*(1-EXP(-s_RadSpec!AX16*s_t_b)))/(s_P*s_RadSpec!AX16))),".")</f>
        <v>2.6824597822007652</v>
      </c>
      <c r="AO16" s="116">
        <f>IFERROR(IF(d_ss_Bv!Q16=0,".",((s_Ir*s_F*s_MLF_peach*(1-EXP(-s_RadSpec!AX16*s_t_b)))/(s_P*s_RadSpec!AX16))),".")</f>
        <v>2.6824597822007652</v>
      </c>
      <c r="AP16" s="116">
        <f>IFERROR(IF(d_ss_Bv!R16=0,".",((s_Ir*s_F*s_MLF_pear*(1-EXP(-s_RadSpec!AX16*s_t_b)))/(s_P*s_RadSpec!AX16))),".")</f>
        <v>2.6824597822007652</v>
      </c>
      <c r="AQ16" s="116">
        <f>IFERROR(IF(d_ss_Bv!S16=0,".",((s_Ir*s_F*s_MLF_peas*(1-EXP(-s_RadSpec!AX16*s_t_b)))/(s_P*s_RadSpec!AX16))),".")</f>
        <v>2.6824597822007652</v>
      </c>
      <c r="AR16" s="116">
        <f>IFERROR(IF(d_ss_Bv!T16=0,".",((s_Ir*s_F*s_MLF_potato*(1-EXP(-s_RadSpec!AX16*s_t_b)))/(s_P*s_RadSpec!AX16))),".")</f>
        <v>2.6824597822007652</v>
      </c>
      <c r="AS16" s="116">
        <f>IFERROR(IF(d_ss_Bv!U16=0,".",((s_Ir*s_F*s_MLF_pumpkin*(1-EXP(-s_RadSpec!AX16*s_t_b)))/(s_P*s_RadSpec!AX16))),".")</f>
        <v>2.6824597822007652</v>
      </c>
      <c r="AT16" s="116">
        <f>IFERROR(IF(d_ss_Bv!V16=0,".",((s_Ir*s_F*s_MLF_snap_bean*(1-EXP(-s_RadSpec!AX16*s_t_b)))/(s_P*s_RadSpec!AX16))),".")</f>
        <v>2.6824597822007652</v>
      </c>
      <c r="AU16" s="116">
        <f>IFERROR(IF(d_ss_Bv!W16=0,".",((s_Ir*s_F*s_MLF_strawberry*(1-EXP(-s_RadSpec!AX16*s_t_b)))/(s_P*s_RadSpec!AX16))),".")</f>
        <v>2.6824597822007652</v>
      </c>
      <c r="AV16" s="116">
        <f>IFERROR(IF(d_ss_Bv!X16=0,".",((s_Ir*s_F*s_MLF_tomato*(1-EXP(-s_RadSpec!AX16*s_t_b)))/(s_P*s_RadSpec!AX16))),".")</f>
        <v>2.6824597822007652</v>
      </c>
      <c r="AW16" s="116">
        <f>IFERROR(IF(d_ss_Bv!Y16=0,".",((s_Ir*s_F*s_MLF_rice*(1-EXP(-s_RadSpec!AX16*s_t_b)))/(s_P*s_RadSpec!AX16))),".")</f>
        <v>2.6824597822007652</v>
      </c>
      <c r="AX16" s="116">
        <f>IFERROR(IF(d_ss_Bv!Z16=0,".",((s_Ir*s_F*s_MLF_cereal*(1-EXP(-s_RadSpec!AX16*s_t_b)))/(s_P*s_RadSpec!AX16))),".")</f>
        <v>2.6824597822007652</v>
      </c>
      <c r="AY16" s="116">
        <f>IFERROR(IF(d_ss_Bv!C16=0,".",((s_Ir*s_F*s_I_f*s_T*(1-EXP(-s_RadSpec!AY16*s_t_v)))/(s_Y_v*s_RadSpec!AY16))),".")</f>
        <v>9.0143481925428208</v>
      </c>
      <c r="AZ16" s="116">
        <f>IFERROR(IF(d_ss_Bv!D16=0,".",((s_Ir*s_F*s_I_f*s_T*(1-EXP(-s_RadSpec!AY16*s_t_v)))/(s_Y_v*s_RadSpec!AY16))),".")</f>
        <v>9.0143481925428208</v>
      </c>
      <c r="BA16" s="116">
        <f>IFERROR(IF(d_ss_Bv!E16=0,".",((s_Ir*s_F*s_I_f*s_T*(1-EXP(-s_RadSpec!AY16*s_t_v)))/(s_Y_v*s_RadSpec!AY16))),".")</f>
        <v>9.0143481925428208</v>
      </c>
      <c r="BB16" s="116">
        <f>IFERROR(IF(d_ss_Bv!F16=0,".",((s_Ir*s_F*s_I_f*s_T*(1-EXP(-s_RadSpec!AY16*s_t_v)))/(s_Y_v*s_RadSpec!AY16))),".")</f>
        <v>9.0143481925428208</v>
      </c>
      <c r="BC16" s="116">
        <f>IFERROR(IF(d_ss_Bv!G16=0,".",((s_Ir*s_F*s_I_f*s_T*(1-EXP(-s_RadSpec!AY16*s_t_v)))/(s_Y_v*s_RadSpec!AY16))),".")</f>
        <v>9.0143481925428208</v>
      </c>
      <c r="BD16" s="116">
        <f>IFERROR(IF(d_ss_Bv!H16=0,".",((s_Ir*s_F*s_I_f*s_T*(1-EXP(-s_RadSpec!AY16*s_t_v)))/(s_Y_v*s_RadSpec!AY16))),".")</f>
        <v>9.0143481925428208</v>
      </c>
      <c r="BE16" s="116">
        <f>IFERROR(IF(d_ss_Bv!I16=0,".",((s_Ir*s_F*s_I_f*s_T*(1-EXP(-s_RadSpec!AY16*s_t_v)))/(s_Y_v*s_RadSpec!AY16))),".")</f>
        <v>9.0143481925428208</v>
      </c>
      <c r="BF16" s="116">
        <f>IFERROR(IF(d_ss_Bv!J16=0,".",((s_Ir*s_F*s_I_f*s_T*(1-EXP(-s_RadSpec!AY16*s_t_v)))/(s_Y_v*s_RadSpec!AY16))),".")</f>
        <v>9.0143481925428208</v>
      </c>
      <c r="BG16" s="116">
        <f>IFERROR(IF(d_ss_Bv!K16=0,".",((s_Ir*s_F*s_I_f*s_T*(1-EXP(-s_RadSpec!AY16*s_t_v)))/(s_Y_v*s_RadSpec!AY16))),".")</f>
        <v>9.0143481925428208</v>
      </c>
      <c r="BH16" s="116">
        <f>IFERROR(IF(d_ss_Bv!L16=0,".",((s_Ir*s_F*s_I_f*s_T*(1-EXP(-s_RadSpec!AY16*s_t_v)))/(s_Y_v*s_RadSpec!AY16))),".")</f>
        <v>9.0143481925428208</v>
      </c>
      <c r="BI16" s="116">
        <f>IFERROR(IF(d_ss_Bv!M16=0,".",((s_Ir*s_F*s_I_f*s_T*(1-EXP(-s_RadSpec!AY16*s_t_v)))/(s_Y_v*s_RadSpec!AY16))),".")</f>
        <v>9.0143481925428208</v>
      </c>
      <c r="BJ16" s="116">
        <f>IFERROR(IF(d_ss_Bv!N16=0,".",((s_Ir*s_F*s_I_f*s_T*(1-EXP(-s_RadSpec!AY16*s_t_v)))/(s_Y_v*s_RadSpec!AY16))),".")</f>
        <v>9.0143481925428208</v>
      </c>
      <c r="BK16" s="116">
        <f>IFERROR(IF(d_ss_Bv!O16=0,".",((s_Ir*s_F*s_I_f*s_T*(1-EXP(-s_RadSpec!AY16*s_t_v)))/(s_Y_v*s_RadSpec!AY16))),".")</f>
        <v>9.0143481925428208</v>
      </c>
      <c r="BL16" s="116">
        <f>IFERROR(IF(d_ss_Bv!P16=0,".",((s_Ir*s_F*s_I_f*s_T*(1-EXP(-s_RadSpec!AY16*s_t_v)))/(s_Y_v*s_RadSpec!AY16))),".")</f>
        <v>9.0143481925428208</v>
      </c>
      <c r="BM16" s="116">
        <f>IFERROR(IF(d_ss_Bv!Q16=0,".",((s_Ir*s_F*s_I_f*s_T*(1-EXP(-s_RadSpec!AY16*s_t_v)))/(s_Y_v*s_RadSpec!AY16))),".")</f>
        <v>9.0143481925428208</v>
      </c>
      <c r="BN16" s="116">
        <f>IFERROR(IF(d_ss_Bv!R16=0,".",((s_Ir*s_F*s_I_f*s_T*(1-EXP(-s_RadSpec!AY16*s_t_v)))/(s_Y_v*s_RadSpec!AY16))),".")</f>
        <v>9.0143481925428208</v>
      </c>
      <c r="BO16" s="116">
        <f>IFERROR(IF(d_ss_Bv!S16=0,".",((s_Ir*s_F*s_I_f*s_T*(1-EXP(-s_RadSpec!AY16*s_t_v)))/(s_Y_v*s_RadSpec!AY16))),".")</f>
        <v>9.0143481925428208</v>
      </c>
      <c r="BP16" s="116">
        <f>IFERROR(IF(d_ss_Bv!T16=0,".",((s_Ir*s_F*s_I_f*s_T*(1-EXP(-s_RadSpec!AY16*s_t_v)))/(s_Y_v*s_RadSpec!AY16))),".")</f>
        <v>9.0143481925428208</v>
      </c>
      <c r="BQ16" s="116">
        <f>IFERROR(IF(d_ss_Bv!U16=0,".",((s_Ir*s_F*s_I_f*s_T*(1-EXP(-s_RadSpec!AY16*s_t_v)))/(s_Y_v*s_RadSpec!AY16))),".")</f>
        <v>9.0143481925428208</v>
      </c>
      <c r="BR16" s="116">
        <f>IFERROR(IF(d_ss_Bv!V16=0,".",((s_Ir*s_F*s_I_f*s_T*(1-EXP(-s_RadSpec!AY16*s_t_v)))/(s_Y_v*s_RadSpec!AY16))),".")</f>
        <v>9.0143481925428208</v>
      </c>
      <c r="BS16" s="116">
        <f>IFERROR(IF(d_ss_Bv!W16=0,".",((s_Ir*s_F*s_I_f*s_T*(1-EXP(-s_RadSpec!AY16*s_t_v)))/(s_Y_v*s_RadSpec!AY16))),".")</f>
        <v>9.0143481925428208</v>
      </c>
      <c r="BT16" s="116">
        <f>IFERROR(IF(d_ss_Bv!X16=0,".",((s_Ir*s_F*s_I_f*s_T*(1-EXP(-s_RadSpec!AY16*s_t_v)))/(s_Y_v*s_RadSpec!AY16))),".")</f>
        <v>9.0143481925428208</v>
      </c>
      <c r="BU16" s="116">
        <f>IFERROR(IF(d_ss_Bv!Y16=0,".",((s_Ir*s_F*s_I_f*s_T*(1-EXP(-s_RadSpec!AY16*s_t_v)))/(s_Y_v*s_RadSpec!AY16))),".")</f>
        <v>9.0143481925428208</v>
      </c>
      <c r="BV16" s="116">
        <f>IFERROR(IF(d_ss_Bv!Z16=0,".",((s_Ir*s_F*s_I_f*s_T*(1-EXP(-s_RadSpec!AY16*s_t_v)))/(s_Y_v*s_RadSpec!AY16))),".")</f>
        <v>9.0143481925428208</v>
      </c>
    </row>
    <row r="17" spans="1:74" x14ac:dyDescent="0.25">
      <c r="A17" s="44" t="s">
        <v>27</v>
      </c>
      <c r="B17" s="42" t="s">
        <v>1074</v>
      </c>
      <c r="C17" s="116">
        <f>IFERROR(IF(d_ss_Bv!C17=0,".",((s_Ir*s_F*d_ss_Bv!C17*(1-EXP(-s_RadSpec!$AX17*s_t_b)))/(s_P*s_RadSpec!$AX17))),".")</f>
        <v>1.9870072460746409</v>
      </c>
      <c r="D17" s="116">
        <f>IFERROR(IF(d_ss_Bv!D17=0,".",((s_Ir*s_F*d_ss_Bv!D17*(1-EXP(-s_RadSpec!AX17*s_t_b)))/(s_P*s_RadSpec!AX17))),".")</f>
        <v>15.896057968597127</v>
      </c>
      <c r="E17" s="116">
        <f>IFERROR(IF(d_ss_Bv!E17=0,".",((s_Ir*s_F*d_ss_Bv!E17*(1-EXP(-s_RadSpec!AX17*s_t_b)))/(s_P*s_RadSpec!AX17))),".")</f>
        <v>2.9805108691119608</v>
      </c>
      <c r="F17" s="116">
        <f>IFERROR(IF(d_ss_Bv!F17=0,".",((s_Ir*s_F*d_ss_Bv!F17*(1-EXP(-s_RadSpec!AX17*s_t_b)))/(s_P*s_RadSpec!AX17))),".")</f>
        <v>1.9870072460746409</v>
      </c>
      <c r="G17" s="116">
        <f>IFERROR(IF(d_ss_Bv!G17=0,".",((s_Ir*s_F*d_ss_Bv!G17*(1-EXP(-s_RadSpec!AX17*s_t_b)))/(s_P*s_RadSpec!AX17))),".")</f>
        <v>2.9805108691119608</v>
      </c>
      <c r="H17" s="116">
        <f>IFERROR(IF(d_ss_Bv!H17=0,".",((s_Ir*s_F*d_ss_Bv!H17*(1-EXP(-s_RadSpec!AX17*s_t_b)))/(s_P*s_RadSpec!AX17))),".")</f>
        <v>15.896057968597127</v>
      </c>
      <c r="I17" s="116">
        <f>IFERROR(IF(d_ss_Bv!I17=0,".",((s_Ir*s_F*d_ss_Bv!I17*(1-EXP(-s_RadSpec!AX17*s_t_b)))/(s_P*s_RadSpec!AX17))),".")</f>
        <v>2.9805108691119608</v>
      </c>
      <c r="J17" s="116">
        <f>IFERROR(IF(d_ss_Bv!J17=0,".",((s_Ir*s_F*d_ss_Bv!J17*(1-EXP(-s_RadSpec!AX17*s_t_b)))/(s_P*s_RadSpec!AX17))),".")</f>
        <v>1.9870072460746409</v>
      </c>
      <c r="K17" s="116">
        <f>IFERROR(IF(d_ss_Bv!K17=0,".",((s_Ir*s_F*d_ss_Bv!K17*(1-EXP(-s_RadSpec!AX17*s_t_b)))/(s_P*s_RadSpec!AX17))),".")</f>
        <v>0.23844086952895688</v>
      </c>
      <c r="L17" s="116">
        <f>IFERROR(IF(d_ss_Bv!L17=0,".",((s_Ir*s_F*d_ss_Bv!L17*(1-EXP(-s_RadSpec!AX17*s_t_b)))/(s_P*s_RadSpec!AX17))),".")</f>
        <v>2.9805108691119608</v>
      </c>
      <c r="M17" s="116">
        <f>IFERROR(IF(d_ss_Bv!M17=0,".",((s_Ir*s_F*d_ss_Bv!M17*(1-EXP(-s_RadSpec!AX17*s_t_b)))/(s_P*s_RadSpec!AX17))),".")</f>
        <v>15.896057968597127</v>
      </c>
      <c r="N17" s="116">
        <f>IFERROR(IF(d_ss_Bv!N17=0,".",((s_Ir*s_F*d_ss_Bv!N17*(1-EXP(-s_RadSpec!AX17*s_t_b)))/(s_P*s_RadSpec!AX17))),".")</f>
        <v>1.0531138404195597</v>
      </c>
      <c r="O17" s="116">
        <f>IFERROR(IF(d_ss_Bv!O17=0,".",((s_Ir*s_F*d_ss_Bv!O17*(1-EXP(-s_RadSpec!AX17*s_t_b)))/(s_P*s_RadSpec!AX17))),".")</f>
        <v>2.9805108691119608</v>
      </c>
      <c r="P17" s="116">
        <f>IFERROR(IF(d_ss_Bv!P17=0,".",((s_Ir*s_F*d_ss_Bv!P17*(1-EXP(-s_RadSpec!AX17*s_t_b)))/(s_P*s_RadSpec!AX17))),".")</f>
        <v>2.9805108691119608</v>
      </c>
      <c r="Q17" s="116">
        <f>IFERROR(IF(d_ss_Bv!Q17=0,".",((s_Ir*s_F*d_ss_Bv!Q17*(1-EXP(-s_RadSpec!AX17*s_t_b)))/(s_P*s_RadSpec!AX17))),".")</f>
        <v>1.9870072460746409</v>
      </c>
      <c r="R17" s="116">
        <f>IFERROR(IF(d_ss_Bv!R17=0,".",((s_Ir*s_F*d_ss_Bv!R17*(1-EXP(-s_RadSpec!AX17*s_t_b)))/(s_P*s_RadSpec!AX17))),".")</f>
        <v>1.9870072460746409</v>
      </c>
      <c r="S17" s="116">
        <f>IFERROR(IF(d_ss_Bv!S17=0,".",((s_Ir*s_F*d_ss_Bv!S17*(1-EXP(-s_RadSpec!AX17*s_t_b)))/(s_P*s_RadSpec!AX17))),".")</f>
        <v>1.0531138404195597</v>
      </c>
      <c r="T17" s="116">
        <f>IFERROR(IF(d_ss_Bv!T17=0,".",((s_Ir*s_F*d_ss_Bv!T17*(1-EXP(-s_RadSpec!AX17*s_t_b)))/(s_P*s_RadSpec!AX17))),".")</f>
        <v>0.29805108691119608</v>
      </c>
      <c r="U17" s="116">
        <f>IFERROR(IF(d_ss_Bv!U17=0,".",((s_Ir*s_F*d_ss_Bv!U17*(1-EXP(-s_RadSpec!AX17*s_t_b)))/(s_P*s_RadSpec!AX17))),".")</f>
        <v>2.9805108691119608</v>
      </c>
      <c r="V17" s="116">
        <f>IFERROR(IF(d_ss_Bv!V17=0,".",((s_Ir*s_F*d_ss_Bv!V17*(1-EXP(-s_RadSpec!AX17*s_t_b)))/(s_P*s_RadSpec!AX17))),".")</f>
        <v>1.0531138404195597</v>
      </c>
      <c r="W17" s="116">
        <f>IFERROR(IF(d_ss_Bv!W17=0,".",((s_Ir*s_F*d_ss_Bv!W17*(1-EXP(-s_RadSpec!AX17*s_t_b)))/(s_P*s_RadSpec!AX17))),".")</f>
        <v>1.9870072460746409</v>
      </c>
      <c r="X17" s="116">
        <f>IFERROR(IF(d_ss_Bv!X17=0,".",((s_Ir*s_F*d_ss_Bv!X17*(1-EXP(-s_RadSpec!AX17*s_t_b)))/(s_P*s_RadSpec!AX17))),".")</f>
        <v>2.9805108691119608</v>
      </c>
      <c r="Y17" s="116">
        <f>IFERROR(IF(d_ss_Bv!Y17=0,".",((s_Ir*s_F*d_ss_Bv!Y17*(1-EXP(-s_RadSpec!AX17*s_t_b)))/(s_P*s_RadSpec!AX17))),".")</f>
        <v>5.7623210136164581E-2</v>
      </c>
      <c r="Z17" s="116">
        <f>IFERROR(IF(d_ss_Bv!Z17=0,".",((s_Ir*s_F*d_ss_Bv!Z17*(1-EXP(-s_RadSpec!AX17*s_t_b)))/(s_P*s_RadSpec!AX17))),".")</f>
        <v>2.1857079706821048</v>
      </c>
      <c r="AA17" s="116">
        <f>IFERROR(IF(d_ss_Bv!C17=0,".",((s_Ir*s_F*s_MLF_apple*(1-EXP(-s_RadSpec!AX17*s_t_b)))/(s_P*s_RadSpec!AX17))),".")</f>
        <v>2.6824597822007652</v>
      </c>
      <c r="AB17" s="116">
        <f>IFERROR(IF(d_ss_Bv!D17=0,".",((s_Ir*s_F*s_MLF_asparagus*(1-EXP(-s_RadSpec!AX17*s_t_b)))/(s_P*s_RadSpec!AX17))),".")</f>
        <v>2.6824597822007652</v>
      </c>
      <c r="AC17" s="116">
        <f>IFERROR(IF(d_ss_Bv!E17=0,".",((s_Ir*s_F*s_MLF_beet*(1-EXP(-s_RadSpec!AX17*s_t_b)))/(s_P*s_RadSpec!AX17))),".")</f>
        <v>2.6824597822007652</v>
      </c>
      <c r="AD17" s="116">
        <f>IFERROR(IF(d_ss_Bv!F17=0,".",((s_Ir*s_F*s_MLF_berries*(1-EXP(-s_RadSpec!AX17*s_t_b)))/(s_P*s_RadSpec!AX17))),".")</f>
        <v>2.6824597822007652</v>
      </c>
      <c r="AE17" s="116">
        <f>IFERROR(IF(d_ss_Bv!G17=0,".",((s_Ir*s_F*s_MLF_broccoli*(1-EXP(-s_RadSpec!AX17*s_t_b)))/(s_P*s_RadSpec!AX17))),".")</f>
        <v>2.6824597822007652</v>
      </c>
      <c r="AF17" s="116">
        <f>IFERROR(IF(d_ss_Bv!H17=0,".",((s_Ir*s_F*s_MLF_cabbage*(1-EXP(-s_RadSpec!AX17*s_t_b)))/(s_P*s_RadSpec!AX17))),".")</f>
        <v>2.6824597822007652</v>
      </c>
      <c r="AG17" s="116">
        <f>IFERROR(IF(d_ss_Bv!I17=0,".",((s_Ir*s_F*s_MLF_carrot*(1-EXP(-s_RadSpec!AX17*s_t_b)))/(s_P*s_RadSpec!AX17))),".")</f>
        <v>2.6824597822007652</v>
      </c>
      <c r="AH17" s="116">
        <f>IFERROR(IF(d_ss_Bv!J17=0,".",((s_Ir*s_F*s_MLF_citrus*(1-EXP(-s_RadSpec!AX17*s_t_b)))/(s_P*s_RadSpec!AX17))),".")</f>
        <v>2.6824597822007652</v>
      </c>
      <c r="AI17" s="116">
        <f>IFERROR(IF(d_ss_Bv!K17=0,".",((s_Ir*s_F*s_MLF_corn*(1-EXP(-s_RadSpec!AX17*s_t_b)))/(s_P*s_RadSpec!AX17))),".")</f>
        <v>2.6824597822007652</v>
      </c>
      <c r="AJ17" s="116">
        <f>IFERROR(IF(d_ss_Bv!L17=0,".",((s_Ir*s_F*s_MLF_cucumber*(1-EXP(-s_RadSpec!AX17*s_t_b)))/(s_P*s_RadSpec!AX17))),".")</f>
        <v>2.6824597822007652</v>
      </c>
      <c r="AK17" s="116">
        <f>IFERROR(IF(d_ss_Bv!M17=0,".",((s_Ir*s_F*s_MLF_lettuce*(1-EXP(-s_RadSpec!AX17*s_t_b)))/(s_P*s_RadSpec!AX17))),".")</f>
        <v>2.6824597822007652</v>
      </c>
      <c r="AL17" s="116">
        <f>IFERROR(IF(d_ss_Bv!N17=0,".",((s_Ir*s_F*s_MLF_lima_bean*(1-EXP(-s_RadSpec!AX17*s_t_b)))/(s_P*s_RadSpec!AX17))),".")</f>
        <v>2.6824597822007652</v>
      </c>
      <c r="AM17" s="116">
        <f>IFERROR(IF(d_ss_Bv!O17=0,".",((s_Ir*s_F*s_MLF_okra*(1-EXP(-s_RadSpec!AX17*s_t_b)))/(s_P*s_RadSpec!AX17))),".")</f>
        <v>2.6824597822007652</v>
      </c>
      <c r="AN17" s="116">
        <f>IFERROR(IF(d_ss_Bv!P17=0,".",((s_Ir*s_F*s_MLF_onion*(1-EXP(-s_RadSpec!AX17*s_t_b)))/(s_P*s_RadSpec!AX17))),".")</f>
        <v>2.6824597822007652</v>
      </c>
      <c r="AO17" s="116">
        <f>IFERROR(IF(d_ss_Bv!Q17=0,".",((s_Ir*s_F*s_MLF_peach*(1-EXP(-s_RadSpec!AX17*s_t_b)))/(s_P*s_RadSpec!AX17))),".")</f>
        <v>2.6824597822007652</v>
      </c>
      <c r="AP17" s="116">
        <f>IFERROR(IF(d_ss_Bv!R17=0,".",((s_Ir*s_F*s_MLF_pear*(1-EXP(-s_RadSpec!AX17*s_t_b)))/(s_P*s_RadSpec!AX17))),".")</f>
        <v>2.6824597822007652</v>
      </c>
      <c r="AQ17" s="116">
        <f>IFERROR(IF(d_ss_Bv!S17=0,".",((s_Ir*s_F*s_MLF_peas*(1-EXP(-s_RadSpec!AX17*s_t_b)))/(s_P*s_RadSpec!AX17))),".")</f>
        <v>2.6824597822007652</v>
      </c>
      <c r="AR17" s="116">
        <f>IFERROR(IF(d_ss_Bv!T17=0,".",((s_Ir*s_F*s_MLF_potato*(1-EXP(-s_RadSpec!AX17*s_t_b)))/(s_P*s_RadSpec!AX17))),".")</f>
        <v>2.6824597822007652</v>
      </c>
      <c r="AS17" s="116">
        <f>IFERROR(IF(d_ss_Bv!U17=0,".",((s_Ir*s_F*s_MLF_pumpkin*(1-EXP(-s_RadSpec!AX17*s_t_b)))/(s_P*s_RadSpec!AX17))),".")</f>
        <v>2.6824597822007652</v>
      </c>
      <c r="AT17" s="116">
        <f>IFERROR(IF(d_ss_Bv!V17=0,".",((s_Ir*s_F*s_MLF_snap_bean*(1-EXP(-s_RadSpec!AX17*s_t_b)))/(s_P*s_RadSpec!AX17))),".")</f>
        <v>2.6824597822007652</v>
      </c>
      <c r="AU17" s="116">
        <f>IFERROR(IF(d_ss_Bv!W17=0,".",((s_Ir*s_F*s_MLF_strawberry*(1-EXP(-s_RadSpec!AX17*s_t_b)))/(s_P*s_RadSpec!AX17))),".")</f>
        <v>2.6824597822007652</v>
      </c>
      <c r="AV17" s="116">
        <f>IFERROR(IF(d_ss_Bv!X17=0,".",((s_Ir*s_F*s_MLF_tomato*(1-EXP(-s_RadSpec!AX17*s_t_b)))/(s_P*s_RadSpec!AX17))),".")</f>
        <v>2.6824597822007652</v>
      </c>
      <c r="AW17" s="116">
        <f>IFERROR(IF(d_ss_Bv!Y17=0,".",((s_Ir*s_F*s_MLF_rice*(1-EXP(-s_RadSpec!AX17*s_t_b)))/(s_P*s_RadSpec!AX17))),".")</f>
        <v>2.6824597822007652</v>
      </c>
      <c r="AX17" s="116">
        <f>IFERROR(IF(d_ss_Bv!Z17=0,".",((s_Ir*s_F*s_MLF_cereal*(1-EXP(-s_RadSpec!AX17*s_t_b)))/(s_P*s_RadSpec!AX17))),".")</f>
        <v>2.6824597822007652</v>
      </c>
      <c r="AY17" s="116">
        <f>IFERROR(IF(d_ss_Bv!C17=0,".",((s_Ir*s_F*s_I_f*s_T*(1-EXP(-s_RadSpec!AY17*s_t_v)))/(s_Y_v*s_RadSpec!AY17))),".")</f>
        <v>9.0143481925428208</v>
      </c>
      <c r="AZ17" s="116">
        <f>IFERROR(IF(d_ss_Bv!D17=0,".",((s_Ir*s_F*s_I_f*s_T*(1-EXP(-s_RadSpec!AY17*s_t_v)))/(s_Y_v*s_RadSpec!AY17))),".")</f>
        <v>9.0143481925428208</v>
      </c>
      <c r="BA17" s="116">
        <f>IFERROR(IF(d_ss_Bv!E17=0,".",((s_Ir*s_F*s_I_f*s_T*(1-EXP(-s_RadSpec!AY17*s_t_v)))/(s_Y_v*s_RadSpec!AY17))),".")</f>
        <v>9.0143481925428208</v>
      </c>
      <c r="BB17" s="116">
        <f>IFERROR(IF(d_ss_Bv!F17=0,".",((s_Ir*s_F*s_I_f*s_T*(1-EXP(-s_RadSpec!AY17*s_t_v)))/(s_Y_v*s_RadSpec!AY17))),".")</f>
        <v>9.0143481925428208</v>
      </c>
      <c r="BC17" s="116">
        <f>IFERROR(IF(d_ss_Bv!G17=0,".",((s_Ir*s_F*s_I_f*s_T*(1-EXP(-s_RadSpec!AY17*s_t_v)))/(s_Y_v*s_RadSpec!AY17))),".")</f>
        <v>9.0143481925428208</v>
      </c>
      <c r="BD17" s="116">
        <f>IFERROR(IF(d_ss_Bv!H17=0,".",((s_Ir*s_F*s_I_f*s_T*(1-EXP(-s_RadSpec!AY17*s_t_v)))/(s_Y_v*s_RadSpec!AY17))),".")</f>
        <v>9.0143481925428208</v>
      </c>
      <c r="BE17" s="116">
        <f>IFERROR(IF(d_ss_Bv!I17=0,".",((s_Ir*s_F*s_I_f*s_T*(1-EXP(-s_RadSpec!AY17*s_t_v)))/(s_Y_v*s_RadSpec!AY17))),".")</f>
        <v>9.0143481925428208</v>
      </c>
      <c r="BF17" s="116">
        <f>IFERROR(IF(d_ss_Bv!J17=0,".",((s_Ir*s_F*s_I_f*s_T*(1-EXP(-s_RadSpec!AY17*s_t_v)))/(s_Y_v*s_RadSpec!AY17))),".")</f>
        <v>9.0143481925428208</v>
      </c>
      <c r="BG17" s="116">
        <f>IFERROR(IF(d_ss_Bv!K17=0,".",((s_Ir*s_F*s_I_f*s_T*(1-EXP(-s_RadSpec!AY17*s_t_v)))/(s_Y_v*s_RadSpec!AY17))),".")</f>
        <v>9.0143481925428208</v>
      </c>
      <c r="BH17" s="116">
        <f>IFERROR(IF(d_ss_Bv!L17=0,".",((s_Ir*s_F*s_I_f*s_T*(1-EXP(-s_RadSpec!AY17*s_t_v)))/(s_Y_v*s_RadSpec!AY17))),".")</f>
        <v>9.0143481925428208</v>
      </c>
      <c r="BI17" s="116">
        <f>IFERROR(IF(d_ss_Bv!M17=0,".",((s_Ir*s_F*s_I_f*s_T*(1-EXP(-s_RadSpec!AY17*s_t_v)))/(s_Y_v*s_RadSpec!AY17))),".")</f>
        <v>9.0143481925428208</v>
      </c>
      <c r="BJ17" s="116">
        <f>IFERROR(IF(d_ss_Bv!N17=0,".",((s_Ir*s_F*s_I_f*s_T*(1-EXP(-s_RadSpec!AY17*s_t_v)))/(s_Y_v*s_RadSpec!AY17))),".")</f>
        <v>9.0143481925428208</v>
      </c>
      <c r="BK17" s="116">
        <f>IFERROR(IF(d_ss_Bv!O17=0,".",((s_Ir*s_F*s_I_f*s_T*(1-EXP(-s_RadSpec!AY17*s_t_v)))/(s_Y_v*s_RadSpec!AY17))),".")</f>
        <v>9.0143481925428208</v>
      </c>
      <c r="BL17" s="116">
        <f>IFERROR(IF(d_ss_Bv!P17=0,".",((s_Ir*s_F*s_I_f*s_T*(1-EXP(-s_RadSpec!AY17*s_t_v)))/(s_Y_v*s_RadSpec!AY17))),".")</f>
        <v>9.0143481925428208</v>
      </c>
      <c r="BM17" s="116">
        <f>IFERROR(IF(d_ss_Bv!Q17=0,".",((s_Ir*s_F*s_I_f*s_T*(1-EXP(-s_RadSpec!AY17*s_t_v)))/(s_Y_v*s_RadSpec!AY17))),".")</f>
        <v>9.0143481925428208</v>
      </c>
      <c r="BN17" s="116">
        <f>IFERROR(IF(d_ss_Bv!R17=0,".",((s_Ir*s_F*s_I_f*s_T*(1-EXP(-s_RadSpec!AY17*s_t_v)))/(s_Y_v*s_RadSpec!AY17))),".")</f>
        <v>9.0143481925428208</v>
      </c>
      <c r="BO17" s="116">
        <f>IFERROR(IF(d_ss_Bv!S17=0,".",((s_Ir*s_F*s_I_f*s_T*(1-EXP(-s_RadSpec!AY17*s_t_v)))/(s_Y_v*s_RadSpec!AY17))),".")</f>
        <v>9.0143481925428208</v>
      </c>
      <c r="BP17" s="116">
        <f>IFERROR(IF(d_ss_Bv!T17=0,".",((s_Ir*s_F*s_I_f*s_T*(1-EXP(-s_RadSpec!AY17*s_t_v)))/(s_Y_v*s_RadSpec!AY17))),".")</f>
        <v>9.0143481925428208</v>
      </c>
      <c r="BQ17" s="116">
        <f>IFERROR(IF(d_ss_Bv!U17=0,".",((s_Ir*s_F*s_I_f*s_T*(1-EXP(-s_RadSpec!AY17*s_t_v)))/(s_Y_v*s_RadSpec!AY17))),".")</f>
        <v>9.0143481925428208</v>
      </c>
      <c r="BR17" s="116">
        <f>IFERROR(IF(d_ss_Bv!V17=0,".",((s_Ir*s_F*s_I_f*s_T*(1-EXP(-s_RadSpec!AY17*s_t_v)))/(s_Y_v*s_RadSpec!AY17))),".")</f>
        <v>9.0143481925428208</v>
      </c>
      <c r="BS17" s="116">
        <f>IFERROR(IF(d_ss_Bv!W17=0,".",((s_Ir*s_F*s_I_f*s_T*(1-EXP(-s_RadSpec!AY17*s_t_v)))/(s_Y_v*s_RadSpec!AY17))),".")</f>
        <v>9.0143481925428208</v>
      </c>
      <c r="BT17" s="116">
        <f>IFERROR(IF(d_ss_Bv!X17=0,".",((s_Ir*s_F*s_I_f*s_T*(1-EXP(-s_RadSpec!AY17*s_t_v)))/(s_Y_v*s_RadSpec!AY17))),".")</f>
        <v>9.0143481925428208</v>
      </c>
      <c r="BU17" s="116">
        <f>IFERROR(IF(d_ss_Bv!Y17=0,".",((s_Ir*s_F*s_I_f*s_T*(1-EXP(-s_RadSpec!AY17*s_t_v)))/(s_Y_v*s_RadSpec!AY17))),".")</f>
        <v>9.0143481925428208</v>
      </c>
      <c r="BV17" s="116">
        <f>IFERROR(IF(d_ss_Bv!Z17=0,".",((s_Ir*s_F*s_I_f*s_T*(1-EXP(-s_RadSpec!AY17*s_t_v)))/(s_Y_v*s_RadSpec!AY17))),".")</f>
        <v>9.0143481925428208</v>
      </c>
    </row>
    <row r="18" spans="1:74" x14ac:dyDescent="0.25">
      <c r="A18" s="44" t="s">
        <v>28</v>
      </c>
      <c r="B18" s="42" t="s">
        <v>1074</v>
      </c>
      <c r="C18" s="116">
        <f>IFERROR(IF(d_ss_Bv!C18=0,".",((s_Ir*s_F*d_ss_Bv!C18*(1-EXP(-s_RadSpec!$AX18*s_t_b)))/(s_P*s_RadSpec!$AX18))),".")</f>
        <v>3.9740144921492811E-2</v>
      </c>
      <c r="D18" s="116">
        <f>IFERROR(IF(d_ss_Bv!D18=0,".",((s_Ir*s_F*d_ss_Bv!D18*(1-EXP(-s_RadSpec!AX18*s_t_b)))/(s_P*s_RadSpec!AX18))),".")</f>
        <v>1.4703853620952343</v>
      </c>
      <c r="E18" s="116">
        <f>IFERROR(IF(d_ss_Bv!E18=0,".",((s_Ir*s_F*d_ss_Bv!E18*(1-EXP(-s_RadSpec!AX18*s_t_b)))/(s_P*s_RadSpec!AX18))),".")</f>
        <v>1.1524642027232916</v>
      </c>
      <c r="F18" s="116">
        <f>IFERROR(IF(d_ss_Bv!F18=0,".",((s_Ir*s_F*d_ss_Bv!F18*(1-EXP(-s_RadSpec!AX18*s_t_b)))/(s_P*s_RadSpec!AX18))),".")</f>
        <v>3.9740144921492811E-2</v>
      </c>
      <c r="G18" s="116">
        <f>IFERROR(IF(d_ss_Bv!G18=0,".",((s_Ir*s_F*d_ss_Bv!G18*(1-EXP(-s_RadSpec!AX18*s_t_b)))/(s_P*s_RadSpec!AX18))),".")</f>
        <v>3.9740144921492811E-2</v>
      </c>
      <c r="H18" s="116">
        <f>IFERROR(IF(d_ss_Bv!H18=0,".",((s_Ir*s_F*d_ss_Bv!H18*(1-EXP(-s_RadSpec!AX18*s_t_b)))/(s_P*s_RadSpec!AX18))),".")</f>
        <v>1.4703853620952343</v>
      </c>
      <c r="I18" s="116">
        <f>IFERROR(IF(d_ss_Bv!I18=0,".",((s_Ir*s_F*d_ss_Bv!I18*(1-EXP(-s_RadSpec!AX18*s_t_b)))/(s_P*s_RadSpec!AX18))),".")</f>
        <v>1.1524642027232916</v>
      </c>
      <c r="J18" s="116">
        <f>IFERROR(IF(d_ss_Bv!J18=0,".",((s_Ir*s_F*d_ss_Bv!J18*(1-EXP(-s_RadSpec!AX18*s_t_b)))/(s_P*s_RadSpec!AX18))),".")</f>
        <v>3.9740144921492811E-2</v>
      </c>
      <c r="K18" s="116">
        <f>IFERROR(IF(d_ss_Bv!K18=0,".",((s_Ir*s_F*d_ss_Bv!K18*(1-EXP(-s_RadSpec!AX18*s_t_b)))/(s_P*s_RadSpec!AX18))),".")</f>
        <v>4.768817390579138E-2</v>
      </c>
      <c r="L18" s="116">
        <f>IFERROR(IF(d_ss_Bv!L18=0,".",((s_Ir*s_F*d_ss_Bv!L18*(1-EXP(-s_RadSpec!AX18*s_t_b)))/(s_P*s_RadSpec!AX18))),".")</f>
        <v>3.9740144921492811E-2</v>
      </c>
      <c r="M18" s="116">
        <f>IFERROR(IF(d_ss_Bv!M18=0,".",((s_Ir*s_F*d_ss_Bv!M18*(1-EXP(-s_RadSpec!AX18*s_t_b)))/(s_P*s_RadSpec!AX18))),".")</f>
        <v>1.4703853620952343</v>
      </c>
      <c r="N18" s="116">
        <f>IFERROR(IF(d_ss_Bv!N18=0,".",((s_Ir*s_F*d_ss_Bv!N18*(1-EXP(-s_RadSpec!AX18*s_t_b)))/(s_P*s_RadSpec!AX18))),".")</f>
        <v>5.364919564401531E-2</v>
      </c>
      <c r="O18" s="116">
        <f>IFERROR(IF(d_ss_Bv!O18=0,".",((s_Ir*s_F*d_ss_Bv!O18*(1-EXP(-s_RadSpec!AX18*s_t_b)))/(s_P*s_RadSpec!AX18))),".")</f>
        <v>3.9740144921492811E-2</v>
      </c>
      <c r="P18" s="116">
        <f>IFERROR(IF(d_ss_Bv!P18=0,".",((s_Ir*s_F*d_ss_Bv!P18*(1-EXP(-s_RadSpec!AX18*s_t_b)))/(s_P*s_RadSpec!AX18))),".")</f>
        <v>3.9740144921492811E-2</v>
      </c>
      <c r="Q18" s="116">
        <f>IFERROR(IF(d_ss_Bv!Q18=0,".",((s_Ir*s_F*d_ss_Bv!Q18*(1-EXP(-s_RadSpec!AX18*s_t_b)))/(s_P*s_RadSpec!AX18))),".")</f>
        <v>3.9740144921492811E-2</v>
      </c>
      <c r="R18" s="116">
        <f>IFERROR(IF(d_ss_Bv!R18=0,".",((s_Ir*s_F*d_ss_Bv!R18*(1-EXP(-s_RadSpec!AX18*s_t_b)))/(s_P*s_RadSpec!AX18))),".")</f>
        <v>3.9740144921492811E-2</v>
      </c>
      <c r="S18" s="116">
        <f>IFERROR(IF(d_ss_Bv!S18=0,".",((s_Ir*s_F*d_ss_Bv!S18*(1-EXP(-s_RadSpec!AX18*s_t_b)))/(s_P*s_RadSpec!AX18))),".")</f>
        <v>5.364919564401531E-2</v>
      </c>
      <c r="T18" s="116">
        <f>IFERROR(IF(d_ss_Bv!T18=0,".",((s_Ir*s_F*d_ss_Bv!T18*(1-EXP(-s_RadSpec!AX18*s_t_b)))/(s_P*s_RadSpec!AX18))),".")</f>
        <v>0.53649195644015302</v>
      </c>
      <c r="U18" s="116">
        <f>IFERROR(IF(d_ss_Bv!U18=0,".",((s_Ir*s_F*d_ss_Bv!U18*(1-EXP(-s_RadSpec!AX18*s_t_b)))/(s_P*s_RadSpec!AX18))),".")</f>
        <v>3.9740144921492811E-2</v>
      </c>
      <c r="V18" s="116">
        <f>IFERROR(IF(d_ss_Bv!V18=0,".",((s_Ir*s_F*d_ss_Bv!V18*(1-EXP(-s_RadSpec!AX18*s_t_b)))/(s_P*s_RadSpec!AX18))),".")</f>
        <v>5.364919564401531E-2</v>
      </c>
      <c r="W18" s="116">
        <f>IFERROR(IF(d_ss_Bv!W18=0,".",((s_Ir*s_F*d_ss_Bv!W18*(1-EXP(-s_RadSpec!AX18*s_t_b)))/(s_P*s_RadSpec!AX18))),".")</f>
        <v>3.9740144921492811E-2</v>
      </c>
      <c r="X18" s="116">
        <f>IFERROR(IF(d_ss_Bv!X18=0,".",((s_Ir*s_F*d_ss_Bv!X18*(1-EXP(-s_RadSpec!AX18*s_t_b)))/(s_P*s_RadSpec!AX18))),".")</f>
        <v>3.9740144921492811E-2</v>
      </c>
      <c r="Y18" s="116">
        <f>IFERROR(IF(d_ss_Bv!Y18=0,".",((s_Ir*s_F*d_ss_Bv!Y18*(1-EXP(-s_RadSpec!AX18*s_t_b)))/(s_P*s_RadSpec!AX18))),".")</f>
        <v>2.583109419897033</v>
      </c>
      <c r="Z18" s="116">
        <f>IFERROR(IF(d_ss_Bv!Z18=0,".",((s_Ir*s_F*d_ss_Bv!Z18*(1-EXP(-s_RadSpec!AX18*s_t_b)))/(s_P*s_RadSpec!AX18))),".")</f>
        <v>4.768817390579138E-2</v>
      </c>
      <c r="AA18" s="116">
        <f>IFERROR(IF(d_ss_Bv!C18=0,".",((s_Ir*s_F*s_MLF_apple*(1-EXP(-s_RadSpec!AX18*s_t_b)))/(s_P*s_RadSpec!AX18))),".")</f>
        <v>2.6824597822007652</v>
      </c>
      <c r="AB18" s="116">
        <f>IFERROR(IF(d_ss_Bv!D18=0,".",((s_Ir*s_F*s_MLF_asparagus*(1-EXP(-s_RadSpec!AX18*s_t_b)))/(s_P*s_RadSpec!AX18))),".")</f>
        <v>2.6824597822007652</v>
      </c>
      <c r="AC18" s="116">
        <f>IFERROR(IF(d_ss_Bv!E18=0,".",((s_Ir*s_F*s_MLF_beet*(1-EXP(-s_RadSpec!AX18*s_t_b)))/(s_P*s_RadSpec!AX18))),".")</f>
        <v>2.6824597822007652</v>
      </c>
      <c r="AD18" s="116">
        <f>IFERROR(IF(d_ss_Bv!F18=0,".",((s_Ir*s_F*s_MLF_berries*(1-EXP(-s_RadSpec!AX18*s_t_b)))/(s_P*s_RadSpec!AX18))),".")</f>
        <v>2.6824597822007652</v>
      </c>
      <c r="AE18" s="116">
        <f>IFERROR(IF(d_ss_Bv!G18=0,".",((s_Ir*s_F*s_MLF_broccoli*(1-EXP(-s_RadSpec!AX18*s_t_b)))/(s_P*s_RadSpec!AX18))),".")</f>
        <v>2.6824597822007652</v>
      </c>
      <c r="AF18" s="116">
        <f>IFERROR(IF(d_ss_Bv!H18=0,".",((s_Ir*s_F*s_MLF_cabbage*(1-EXP(-s_RadSpec!AX18*s_t_b)))/(s_P*s_RadSpec!AX18))),".")</f>
        <v>2.6824597822007652</v>
      </c>
      <c r="AG18" s="116">
        <f>IFERROR(IF(d_ss_Bv!I18=0,".",((s_Ir*s_F*s_MLF_carrot*(1-EXP(-s_RadSpec!AX18*s_t_b)))/(s_P*s_RadSpec!AX18))),".")</f>
        <v>2.6824597822007652</v>
      </c>
      <c r="AH18" s="116">
        <f>IFERROR(IF(d_ss_Bv!J18=0,".",((s_Ir*s_F*s_MLF_citrus*(1-EXP(-s_RadSpec!AX18*s_t_b)))/(s_P*s_RadSpec!AX18))),".")</f>
        <v>2.6824597822007652</v>
      </c>
      <c r="AI18" s="116">
        <f>IFERROR(IF(d_ss_Bv!K18=0,".",((s_Ir*s_F*s_MLF_corn*(1-EXP(-s_RadSpec!AX18*s_t_b)))/(s_P*s_RadSpec!AX18))),".")</f>
        <v>2.6824597822007652</v>
      </c>
      <c r="AJ18" s="116">
        <f>IFERROR(IF(d_ss_Bv!L18=0,".",((s_Ir*s_F*s_MLF_cucumber*(1-EXP(-s_RadSpec!AX18*s_t_b)))/(s_P*s_RadSpec!AX18))),".")</f>
        <v>2.6824597822007652</v>
      </c>
      <c r="AK18" s="116">
        <f>IFERROR(IF(d_ss_Bv!M18=0,".",((s_Ir*s_F*s_MLF_lettuce*(1-EXP(-s_RadSpec!AX18*s_t_b)))/(s_P*s_RadSpec!AX18))),".")</f>
        <v>2.6824597822007652</v>
      </c>
      <c r="AL18" s="116">
        <f>IFERROR(IF(d_ss_Bv!N18=0,".",((s_Ir*s_F*s_MLF_lima_bean*(1-EXP(-s_RadSpec!AX18*s_t_b)))/(s_P*s_RadSpec!AX18))),".")</f>
        <v>2.6824597822007652</v>
      </c>
      <c r="AM18" s="116">
        <f>IFERROR(IF(d_ss_Bv!O18=0,".",((s_Ir*s_F*s_MLF_okra*(1-EXP(-s_RadSpec!AX18*s_t_b)))/(s_P*s_RadSpec!AX18))),".")</f>
        <v>2.6824597822007652</v>
      </c>
      <c r="AN18" s="116">
        <f>IFERROR(IF(d_ss_Bv!P18=0,".",((s_Ir*s_F*s_MLF_onion*(1-EXP(-s_RadSpec!AX18*s_t_b)))/(s_P*s_RadSpec!AX18))),".")</f>
        <v>2.6824597822007652</v>
      </c>
      <c r="AO18" s="116">
        <f>IFERROR(IF(d_ss_Bv!Q18=0,".",((s_Ir*s_F*s_MLF_peach*(1-EXP(-s_RadSpec!AX18*s_t_b)))/(s_P*s_RadSpec!AX18))),".")</f>
        <v>2.6824597822007652</v>
      </c>
      <c r="AP18" s="116">
        <f>IFERROR(IF(d_ss_Bv!R18=0,".",((s_Ir*s_F*s_MLF_pear*(1-EXP(-s_RadSpec!AX18*s_t_b)))/(s_P*s_RadSpec!AX18))),".")</f>
        <v>2.6824597822007652</v>
      </c>
      <c r="AQ18" s="116">
        <f>IFERROR(IF(d_ss_Bv!S18=0,".",((s_Ir*s_F*s_MLF_peas*(1-EXP(-s_RadSpec!AX18*s_t_b)))/(s_P*s_RadSpec!AX18))),".")</f>
        <v>2.6824597822007652</v>
      </c>
      <c r="AR18" s="116">
        <f>IFERROR(IF(d_ss_Bv!T18=0,".",((s_Ir*s_F*s_MLF_potato*(1-EXP(-s_RadSpec!AX18*s_t_b)))/(s_P*s_RadSpec!AX18))),".")</f>
        <v>2.6824597822007652</v>
      </c>
      <c r="AS18" s="116">
        <f>IFERROR(IF(d_ss_Bv!U18=0,".",((s_Ir*s_F*s_MLF_pumpkin*(1-EXP(-s_RadSpec!AX18*s_t_b)))/(s_P*s_RadSpec!AX18))),".")</f>
        <v>2.6824597822007652</v>
      </c>
      <c r="AT18" s="116">
        <f>IFERROR(IF(d_ss_Bv!V18=0,".",((s_Ir*s_F*s_MLF_snap_bean*(1-EXP(-s_RadSpec!AX18*s_t_b)))/(s_P*s_RadSpec!AX18))),".")</f>
        <v>2.6824597822007652</v>
      </c>
      <c r="AU18" s="116">
        <f>IFERROR(IF(d_ss_Bv!W18=0,".",((s_Ir*s_F*s_MLF_strawberry*(1-EXP(-s_RadSpec!AX18*s_t_b)))/(s_P*s_RadSpec!AX18))),".")</f>
        <v>2.6824597822007652</v>
      </c>
      <c r="AV18" s="116">
        <f>IFERROR(IF(d_ss_Bv!X18=0,".",((s_Ir*s_F*s_MLF_tomato*(1-EXP(-s_RadSpec!AX18*s_t_b)))/(s_P*s_RadSpec!AX18))),".")</f>
        <v>2.6824597822007652</v>
      </c>
      <c r="AW18" s="116">
        <f>IFERROR(IF(d_ss_Bv!Y18=0,".",((s_Ir*s_F*s_MLF_rice*(1-EXP(-s_RadSpec!AX18*s_t_b)))/(s_P*s_RadSpec!AX18))),".")</f>
        <v>2.6824597822007652</v>
      </c>
      <c r="AX18" s="116">
        <f>IFERROR(IF(d_ss_Bv!Z18=0,".",((s_Ir*s_F*s_MLF_cereal*(1-EXP(-s_RadSpec!AX18*s_t_b)))/(s_P*s_RadSpec!AX18))),".")</f>
        <v>2.6824597822007652</v>
      </c>
      <c r="AY18" s="116">
        <f>IFERROR(IF(d_ss_Bv!C18=0,".",((s_Ir*s_F*s_I_f*s_T*(1-EXP(-s_RadSpec!AY18*s_t_v)))/(s_Y_v*s_RadSpec!AY18))),".")</f>
        <v>9.0143481925428208</v>
      </c>
      <c r="AZ18" s="116">
        <f>IFERROR(IF(d_ss_Bv!D18=0,".",((s_Ir*s_F*s_I_f*s_T*(1-EXP(-s_RadSpec!AY18*s_t_v)))/(s_Y_v*s_RadSpec!AY18))),".")</f>
        <v>9.0143481925428208</v>
      </c>
      <c r="BA18" s="116">
        <f>IFERROR(IF(d_ss_Bv!E18=0,".",((s_Ir*s_F*s_I_f*s_T*(1-EXP(-s_RadSpec!AY18*s_t_v)))/(s_Y_v*s_RadSpec!AY18))),".")</f>
        <v>9.0143481925428208</v>
      </c>
      <c r="BB18" s="116">
        <f>IFERROR(IF(d_ss_Bv!F18=0,".",((s_Ir*s_F*s_I_f*s_T*(1-EXP(-s_RadSpec!AY18*s_t_v)))/(s_Y_v*s_RadSpec!AY18))),".")</f>
        <v>9.0143481925428208</v>
      </c>
      <c r="BC18" s="116">
        <f>IFERROR(IF(d_ss_Bv!G18=0,".",((s_Ir*s_F*s_I_f*s_T*(1-EXP(-s_RadSpec!AY18*s_t_v)))/(s_Y_v*s_RadSpec!AY18))),".")</f>
        <v>9.0143481925428208</v>
      </c>
      <c r="BD18" s="116">
        <f>IFERROR(IF(d_ss_Bv!H18=0,".",((s_Ir*s_F*s_I_f*s_T*(1-EXP(-s_RadSpec!AY18*s_t_v)))/(s_Y_v*s_RadSpec!AY18))),".")</f>
        <v>9.0143481925428208</v>
      </c>
      <c r="BE18" s="116">
        <f>IFERROR(IF(d_ss_Bv!I18=0,".",((s_Ir*s_F*s_I_f*s_T*(1-EXP(-s_RadSpec!AY18*s_t_v)))/(s_Y_v*s_RadSpec!AY18))),".")</f>
        <v>9.0143481925428208</v>
      </c>
      <c r="BF18" s="116">
        <f>IFERROR(IF(d_ss_Bv!J18=0,".",((s_Ir*s_F*s_I_f*s_T*(1-EXP(-s_RadSpec!AY18*s_t_v)))/(s_Y_v*s_RadSpec!AY18))),".")</f>
        <v>9.0143481925428208</v>
      </c>
      <c r="BG18" s="116">
        <f>IFERROR(IF(d_ss_Bv!K18=0,".",((s_Ir*s_F*s_I_f*s_T*(1-EXP(-s_RadSpec!AY18*s_t_v)))/(s_Y_v*s_RadSpec!AY18))),".")</f>
        <v>9.0143481925428208</v>
      </c>
      <c r="BH18" s="116">
        <f>IFERROR(IF(d_ss_Bv!L18=0,".",((s_Ir*s_F*s_I_f*s_T*(1-EXP(-s_RadSpec!AY18*s_t_v)))/(s_Y_v*s_RadSpec!AY18))),".")</f>
        <v>9.0143481925428208</v>
      </c>
      <c r="BI18" s="116">
        <f>IFERROR(IF(d_ss_Bv!M18=0,".",((s_Ir*s_F*s_I_f*s_T*(1-EXP(-s_RadSpec!AY18*s_t_v)))/(s_Y_v*s_RadSpec!AY18))),".")</f>
        <v>9.0143481925428208</v>
      </c>
      <c r="BJ18" s="116">
        <f>IFERROR(IF(d_ss_Bv!N18=0,".",((s_Ir*s_F*s_I_f*s_T*(1-EXP(-s_RadSpec!AY18*s_t_v)))/(s_Y_v*s_RadSpec!AY18))),".")</f>
        <v>9.0143481925428208</v>
      </c>
      <c r="BK18" s="116">
        <f>IFERROR(IF(d_ss_Bv!O18=0,".",((s_Ir*s_F*s_I_f*s_T*(1-EXP(-s_RadSpec!AY18*s_t_v)))/(s_Y_v*s_RadSpec!AY18))),".")</f>
        <v>9.0143481925428208</v>
      </c>
      <c r="BL18" s="116">
        <f>IFERROR(IF(d_ss_Bv!P18=0,".",((s_Ir*s_F*s_I_f*s_T*(1-EXP(-s_RadSpec!AY18*s_t_v)))/(s_Y_v*s_RadSpec!AY18))),".")</f>
        <v>9.0143481925428208</v>
      </c>
      <c r="BM18" s="116">
        <f>IFERROR(IF(d_ss_Bv!Q18=0,".",((s_Ir*s_F*s_I_f*s_T*(1-EXP(-s_RadSpec!AY18*s_t_v)))/(s_Y_v*s_RadSpec!AY18))),".")</f>
        <v>9.0143481925428208</v>
      </c>
      <c r="BN18" s="116">
        <f>IFERROR(IF(d_ss_Bv!R18=0,".",((s_Ir*s_F*s_I_f*s_T*(1-EXP(-s_RadSpec!AY18*s_t_v)))/(s_Y_v*s_RadSpec!AY18))),".")</f>
        <v>9.0143481925428208</v>
      </c>
      <c r="BO18" s="116">
        <f>IFERROR(IF(d_ss_Bv!S18=0,".",((s_Ir*s_F*s_I_f*s_T*(1-EXP(-s_RadSpec!AY18*s_t_v)))/(s_Y_v*s_RadSpec!AY18))),".")</f>
        <v>9.0143481925428208</v>
      </c>
      <c r="BP18" s="116">
        <f>IFERROR(IF(d_ss_Bv!T18=0,".",((s_Ir*s_F*s_I_f*s_T*(1-EXP(-s_RadSpec!AY18*s_t_v)))/(s_Y_v*s_RadSpec!AY18))),".")</f>
        <v>9.0143481925428208</v>
      </c>
      <c r="BQ18" s="116">
        <f>IFERROR(IF(d_ss_Bv!U18=0,".",((s_Ir*s_F*s_I_f*s_T*(1-EXP(-s_RadSpec!AY18*s_t_v)))/(s_Y_v*s_RadSpec!AY18))),".")</f>
        <v>9.0143481925428208</v>
      </c>
      <c r="BR18" s="116">
        <f>IFERROR(IF(d_ss_Bv!V18=0,".",((s_Ir*s_F*s_I_f*s_T*(1-EXP(-s_RadSpec!AY18*s_t_v)))/(s_Y_v*s_RadSpec!AY18))),".")</f>
        <v>9.0143481925428208</v>
      </c>
      <c r="BS18" s="116">
        <f>IFERROR(IF(d_ss_Bv!W18=0,".",((s_Ir*s_F*s_I_f*s_T*(1-EXP(-s_RadSpec!AY18*s_t_v)))/(s_Y_v*s_RadSpec!AY18))),".")</f>
        <v>9.0143481925428208</v>
      </c>
      <c r="BT18" s="116">
        <f>IFERROR(IF(d_ss_Bv!X18=0,".",((s_Ir*s_F*s_I_f*s_T*(1-EXP(-s_RadSpec!AY18*s_t_v)))/(s_Y_v*s_RadSpec!AY18))),".")</f>
        <v>9.0143481925428208</v>
      </c>
      <c r="BU18" s="116">
        <f>IFERROR(IF(d_ss_Bv!Y18=0,".",((s_Ir*s_F*s_I_f*s_T*(1-EXP(-s_RadSpec!AY18*s_t_v)))/(s_Y_v*s_RadSpec!AY18))),".")</f>
        <v>9.0143481925428208</v>
      </c>
      <c r="BV18" s="116">
        <f>IFERROR(IF(d_ss_Bv!Z18=0,".",((s_Ir*s_F*s_I_f*s_T*(1-EXP(-s_RadSpec!AY18*s_t_v)))/(s_Y_v*s_RadSpec!AY18))),".")</f>
        <v>9.0143481925428208</v>
      </c>
    </row>
    <row r="19" spans="1:74" x14ac:dyDescent="0.25">
      <c r="A19" s="44" t="s">
        <v>29</v>
      </c>
      <c r="B19" s="42" t="s">
        <v>1074</v>
      </c>
      <c r="C19" s="116">
        <f>IFERROR(IF(d_ss_Bv!C19=0,".",((s_Ir*s_F*d_ss_Bv!C19*(1-EXP(-s_RadSpec!$AX19*s_t_b)))/(s_P*s_RadSpec!$AX19))),".")</f>
        <v>3.9740144921492811E-2</v>
      </c>
      <c r="D19" s="116">
        <f>IFERROR(IF(d_ss_Bv!D19=0,".",((s_Ir*s_F*d_ss_Bv!D19*(1-EXP(-s_RadSpec!AX19*s_t_b)))/(s_P*s_RadSpec!AX19))),".")</f>
        <v>1.4703853620952343</v>
      </c>
      <c r="E19" s="116">
        <f>IFERROR(IF(d_ss_Bv!E19=0,".",((s_Ir*s_F*d_ss_Bv!E19*(1-EXP(-s_RadSpec!AX19*s_t_b)))/(s_P*s_RadSpec!AX19))),".")</f>
        <v>1.1524642027232916</v>
      </c>
      <c r="F19" s="116">
        <f>IFERROR(IF(d_ss_Bv!F19=0,".",((s_Ir*s_F*d_ss_Bv!F19*(1-EXP(-s_RadSpec!AX19*s_t_b)))/(s_P*s_RadSpec!AX19))),".")</f>
        <v>3.9740144921492811E-2</v>
      </c>
      <c r="G19" s="116">
        <f>IFERROR(IF(d_ss_Bv!G19=0,".",((s_Ir*s_F*d_ss_Bv!G19*(1-EXP(-s_RadSpec!AX19*s_t_b)))/(s_P*s_RadSpec!AX19))),".")</f>
        <v>3.9740144921492811E-2</v>
      </c>
      <c r="H19" s="116">
        <f>IFERROR(IF(d_ss_Bv!H19=0,".",((s_Ir*s_F*d_ss_Bv!H19*(1-EXP(-s_RadSpec!AX19*s_t_b)))/(s_P*s_RadSpec!AX19))),".")</f>
        <v>1.4703853620952343</v>
      </c>
      <c r="I19" s="116">
        <f>IFERROR(IF(d_ss_Bv!I19=0,".",((s_Ir*s_F*d_ss_Bv!I19*(1-EXP(-s_RadSpec!AX19*s_t_b)))/(s_P*s_RadSpec!AX19))),".")</f>
        <v>1.1524642027232916</v>
      </c>
      <c r="J19" s="116">
        <f>IFERROR(IF(d_ss_Bv!J19=0,".",((s_Ir*s_F*d_ss_Bv!J19*(1-EXP(-s_RadSpec!AX19*s_t_b)))/(s_P*s_RadSpec!AX19))),".")</f>
        <v>3.9740144921492811E-2</v>
      </c>
      <c r="K19" s="116">
        <f>IFERROR(IF(d_ss_Bv!K19=0,".",((s_Ir*s_F*d_ss_Bv!K19*(1-EXP(-s_RadSpec!AX19*s_t_b)))/(s_P*s_RadSpec!AX19))),".")</f>
        <v>4.768817390579138E-2</v>
      </c>
      <c r="L19" s="116">
        <f>IFERROR(IF(d_ss_Bv!L19=0,".",((s_Ir*s_F*d_ss_Bv!L19*(1-EXP(-s_RadSpec!AX19*s_t_b)))/(s_P*s_RadSpec!AX19))),".")</f>
        <v>3.9740144921492811E-2</v>
      </c>
      <c r="M19" s="116">
        <f>IFERROR(IF(d_ss_Bv!M19=0,".",((s_Ir*s_F*d_ss_Bv!M19*(1-EXP(-s_RadSpec!AX19*s_t_b)))/(s_P*s_RadSpec!AX19))),".")</f>
        <v>1.4703853620952343</v>
      </c>
      <c r="N19" s="116">
        <f>IFERROR(IF(d_ss_Bv!N19=0,".",((s_Ir*s_F*d_ss_Bv!N19*(1-EXP(-s_RadSpec!AX19*s_t_b)))/(s_P*s_RadSpec!AX19))),".")</f>
        <v>5.364919564401531E-2</v>
      </c>
      <c r="O19" s="116">
        <f>IFERROR(IF(d_ss_Bv!O19=0,".",((s_Ir*s_F*d_ss_Bv!O19*(1-EXP(-s_RadSpec!AX19*s_t_b)))/(s_P*s_RadSpec!AX19))),".")</f>
        <v>3.9740144921492811E-2</v>
      </c>
      <c r="P19" s="116">
        <f>IFERROR(IF(d_ss_Bv!P19=0,".",((s_Ir*s_F*d_ss_Bv!P19*(1-EXP(-s_RadSpec!AX19*s_t_b)))/(s_P*s_RadSpec!AX19))),".")</f>
        <v>3.9740144921492811E-2</v>
      </c>
      <c r="Q19" s="116">
        <f>IFERROR(IF(d_ss_Bv!Q19=0,".",((s_Ir*s_F*d_ss_Bv!Q19*(1-EXP(-s_RadSpec!AX19*s_t_b)))/(s_P*s_RadSpec!AX19))),".")</f>
        <v>3.9740144921492811E-2</v>
      </c>
      <c r="R19" s="116">
        <f>IFERROR(IF(d_ss_Bv!R19=0,".",((s_Ir*s_F*d_ss_Bv!R19*(1-EXP(-s_RadSpec!AX19*s_t_b)))/(s_P*s_RadSpec!AX19))),".")</f>
        <v>3.9740144921492811E-2</v>
      </c>
      <c r="S19" s="116">
        <f>IFERROR(IF(d_ss_Bv!S19=0,".",((s_Ir*s_F*d_ss_Bv!S19*(1-EXP(-s_RadSpec!AX19*s_t_b)))/(s_P*s_RadSpec!AX19))),".")</f>
        <v>5.364919564401531E-2</v>
      </c>
      <c r="T19" s="116">
        <f>IFERROR(IF(d_ss_Bv!T19=0,".",((s_Ir*s_F*d_ss_Bv!T19*(1-EXP(-s_RadSpec!AX19*s_t_b)))/(s_P*s_RadSpec!AX19))),".")</f>
        <v>0.53649195644015302</v>
      </c>
      <c r="U19" s="116">
        <f>IFERROR(IF(d_ss_Bv!U19=0,".",((s_Ir*s_F*d_ss_Bv!U19*(1-EXP(-s_RadSpec!AX19*s_t_b)))/(s_P*s_RadSpec!AX19))),".")</f>
        <v>3.9740144921492811E-2</v>
      </c>
      <c r="V19" s="116">
        <f>IFERROR(IF(d_ss_Bv!V19=0,".",((s_Ir*s_F*d_ss_Bv!V19*(1-EXP(-s_RadSpec!AX19*s_t_b)))/(s_P*s_RadSpec!AX19))),".")</f>
        <v>5.364919564401531E-2</v>
      </c>
      <c r="W19" s="116">
        <f>IFERROR(IF(d_ss_Bv!W19=0,".",((s_Ir*s_F*d_ss_Bv!W19*(1-EXP(-s_RadSpec!AX19*s_t_b)))/(s_P*s_RadSpec!AX19))),".")</f>
        <v>3.9740144921492811E-2</v>
      </c>
      <c r="X19" s="116">
        <f>IFERROR(IF(d_ss_Bv!X19=0,".",((s_Ir*s_F*d_ss_Bv!X19*(1-EXP(-s_RadSpec!AX19*s_t_b)))/(s_P*s_RadSpec!AX19))),".")</f>
        <v>3.9740144921492811E-2</v>
      </c>
      <c r="Y19" s="116">
        <f>IFERROR(IF(d_ss_Bv!Y19=0,".",((s_Ir*s_F*d_ss_Bv!Y19*(1-EXP(-s_RadSpec!AX19*s_t_b)))/(s_P*s_RadSpec!AX19))),".")</f>
        <v>2.583109419897033</v>
      </c>
      <c r="Z19" s="116">
        <f>IFERROR(IF(d_ss_Bv!Z19=0,".",((s_Ir*s_F*d_ss_Bv!Z19*(1-EXP(-s_RadSpec!AX19*s_t_b)))/(s_P*s_RadSpec!AX19))),".")</f>
        <v>4.768817390579138E-2</v>
      </c>
      <c r="AA19" s="116">
        <f>IFERROR(IF(d_ss_Bv!C19=0,".",((s_Ir*s_F*s_MLF_apple*(1-EXP(-s_RadSpec!AX19*s_t_b)))/(s_P*s_RadSpec!AX19))),".")</f>
        <v>2.6824597822007652</v>
      </c>
      <c r="AB19" s="116">
        <f>IFERROR(IF(d_ss_Bv!D19=0,".",((s_Ir*s_F*s_MLF_asparagus*(1-EXP(-s_RadSpec!AX19*s_t_b)))/(s_P*s_RadSpec!AX19))),".")</f>
        <v>2.6824597822007652</v>
      </c>
      <c r="AC19" s="116">
        <f>IFERROR(IF(d_ss_Bv!E19=0,".",((s_Ir*s_F*s_MLF_beet*(1-EXP(-s_RadSpec!AX19*s_t_b)))/(s_P*s_RadSpec!AX19))),".")</f>
        <v>2.6824597822007652</v>
      </c>
      <c r="AD19" s="116">
        <f>IFERROR(IF(d_ss_Bv!F19=0,".",((s_Ir*s_F*s_MLF_berries*(1-EXP(-s_RadSpec!AX19*s_t_b)))/(s_P*s_RadSpec!AX19))),".")</f>
        <v>2.6824597822007652</v>
      </c>
      <c r="AE19" s="116">
        <f>IFERROR(IF(d_ss_Bv!G19=0,".",((s_Ir*s_F*s_MLF_broccoli*(1-EXP(-s_RadSpec!AX19*s_t_b)))/(s_P*s_RadSpec!AX19))),".")</f>
        <v>2.6824597822007652</v>
      </c>
      <c r="AF19" s="116">
        <f>IFERROR(IF(d_ss_Bv!H19=0,".",((s_Ir*s_F*s_MLF_cabbage*(1-EXP(-s_RadSpec!AX19*s_t_b)))/(s_P*s_RadSpec!AX19))),".")</f>
        <v>2.6824597822007652</v>
      </c>
      <c r="AG19" s="116">
        <f>IFERROR(IF(d_ss_Bv!I19=0,".",((s_Ir*s_F*s_MLF_carrot*(1-EXP(-s_RadSpec!AX19*s_t_b)))/(s_P*s_RadSpec!AX19))),".")</f>
        <v>2.6824597822007652</v>
      </c>
      <c r="AH19" s="116">
        <f>IFERROR(IF(d_ss_Bv!J19=0,".",((s_Ir*s_F*s_MLF_citrus*(1-EXP(-s_RadSpec!AX19*s_t_b)))/(s_P*s_RadSpec!AX19))),".")</f>
        <v>2.6824597822007652</v>
      </c>
      <c r="AI19" s="116">
        <f>IFERROR(IF(d_ss_Bv!K19=0,".",((s_Ir*s_F*s_MLF_corn*(1-EXP(-s_RadSpec!AX19*s_t_b)))/(s_P*s_RadSpec!AX19))),".")</f>
        <v>2.6824597822007652</v>
      </c>
      <c r="AJ19" s="116">
        <f>IFERROR(IF(d_ss_Bv!L19=0,".",((s_Ir*s_F*s_MLF_cucumber*(1-EXP(-s_RadSpec!AX19*s_t_b)))/(s_P*s_RadSpec!AX19))),".")</f>
        <v>2.6824597822007652</v>
      </c>
      <c r="AK19" s="116">
        <f>IFERROR(IF(d_ss_Bv!M19=0,".",((s_Ir*s_F*s_MLF_lettuce*(1-EXP(-s_RadSpec!AX19*s_t_b)))/(s_P*s_RadSpec!AX19))),".")</f>
        <v>2.6824597822007652</v>
      </c>
      <c r="AL19" s="116">
        <f>IFERROR(IF(d_ss_Bv!N19=0,".",((s_Ir*s_F*s_MLF_lima_bean*(1-EXP(-s_RadSpec!AX19*s_t_b)))/(s_P*s_RadSpec!AX19))),".")</f>
        <v>2.6824597822007652</v>
      </c>
      <c r="AM19" s="116">
        <f>IFERROR(IF(d_ss_Bv!O19=0,".",((s_Ir*s_F*s_MLF_okra*(1-EXP(-s_RadSpec!AX19*s_t_b)))/(s_P*s_RadSpec!AX19))),".")</f>
        <v>2.6824597822007652</v>
      </c>
      <c r="AN19" s="116">
        <f>IFERROR(IF(d_ss_Bv!P19=0,".",((s_Ir*s_F*s_MLF_onion*(1-EXP(-s_RadSpec!AX19*s_t_b)))/(s_P*s_RadSpec!AX19))),".")</f>
        <v>2.6824597822007652</v>
      </c>
      <c r="AO19" s="116">
        <f>IFERROR(IF(d_ss_Bv!Q19=0,".",((s_Ir*s_F*s_MLF_peach*(1-EXP(-s_RadSpec!AX19*s_t_b)))/(s_P*s_RadSpec!AX19))),".")</f>
        <v>2.6824597822007652</v>
      </c>
      <c r="AP19" s="116">
        <f>IFERROR(IF(d_ss_Bv!R19=0,".",((s_Ir*s_F*s_MLF_pear*(1-EXP(-s_RadSpec!AX19*s_t_b)))/(s_P*s_RadSpec!AX19))),".")</f>
        <v>2.6824597822007652</v>
      </c>
      <c r="AQ19" s="116">
        <f>IFERROR(IF(d_ss_Bv!S19=0,".",((s_Ir*s_F*s_MLF_peas*(1-EXP(-s_RadSpec!AX19*s_t_b)))/(s_P*s_RadSpec!AX19))),".")</f>
        <v>2.6824597822007652</v>
      </c>
      <c r="AR19" s="116">
        <f>IFERROR(IF(d_ss_Bv!T19=0,".",((s_Ir*s_F*s_MLF_potato*(1-EXP(-s_RadSpec!AX19*s_t_b)))/(s_P*s_RadSpec!AX19))),".")</f>
        <v>2.6824597822007652</v>
      </c>
      <c r="AS19" s="116">
        <f>IFERROR(IF(d_ss_Bv!U19=0,".",((s_Ir*s_F*s_MLF_pumpkin*(1-EXP(-s_RadSpec!AX19*s_t_b)))/(s_P*s_RadSpec!AX19))),".")</f>
        <v>2.6824597822007652</v>
      </c>
      <c r="AT19" s="116">
        <f>IFERROR(IF(d_ss_Bv!V19=0,".",((s_Ir*s_F*s_MLF_snap_bean*(1-EXP(-s_RadSpec!AX19*s_t_b)))/(s_P*s_RadSpec!AX19))),".")</f>
        <v>2.6824597822007652</v>
      </c>
      <c r="AU19" s="116">
        <f>IFERROR(IF(d_ss_Bv!W19=0,".",((s_Ir*s_F*s_MLF_strawberry*(1-EXP(-s_RadSpec!AX19*s_t_b)))/(s_P*s_RadSpec!AX19))),".")</f>
        <v>2.6824597822007652</v>
      </c>
      <c r="AV19" s="116">
        <f>IFERROR(IF(d_ss_Bv!X19=0,".",((s_Ir*s_F*s_MLF_tomato*(1-EXP(-s_RadSpec!AX19*s_t_b)))/(s_P*s_RadSpec!AX19))),".")</f>
        <v>2.6824597822007652</v>
      </c>
      <c r="AW19" s="116">
        <f>IFERROR(IF(d_ss_Bv!Y19=0,".",((s_Ir*s_F*s_MLF_rice*(1-EXP(-s_RadSpec!AX19*s_t_b)))/(s_P*s_RadSpec!AX19))),".")</f>
        <v>2.6824597822007652</v>
      </c>
      <c r="AX19" s="116">
        <f>IFERROR(IF(d_ss_Bv!Z19=0,".",((s_Ir*s_F*s_MLF_cereal*(1-EXP(-s_RadSpec!AX19*s_t_b)))/(s_P*s_RadSpec!AX19))),".")</f>
        <v>2.6824597822007652</v>
      </c>
      <c r="AY19" s="116">
        <f>IFERROR(IF(d_ss_Bv!C19=0,".",((s_Ir*s_F*s_I_f*s_T*(1-EXP(-s_RadSpec!AY19*s_t_v)))/(s_Y_v*s_RadSpec!AY19))),".")</f>
        <v>9.0143481925428208</v>
      </c>
      <c r="AZ19" s="116">
        <f>IFERROR(IF(d_ss_Bv!D19=0,".",((s_Ir*s_F*s_I_f*s_T*(1-EXP(-s_RadSpec!AY19*s_t_v)))/(s_Y_v*s_RadSpec!AY19))),".")</f>
        <v>9.0143481925428208</v>
      </c>
      <c r="BA19" s="116">
        <f>IFERROR(IF(d_ss_Bv!E19=0,".",((s_Ir*s_F*s_I_f*s_T*(1-EXP(-s_RadSpec!AY19*s_t_v)))/(s_Y_v*s_RadSpec!AY19))),".")</f>
        <v>9.0143481925428208</v>
      </c>
      <c r="BB19" s="116">
        <f>IFERROR(IF(d_ss_Bv!F19=0,".",((s_Ir*s_F*s_I_f*s_T*(1-EXP(-s_RadSpec!AY19*s_t_v)))/(s_Y_v*s_RadSpec!AY19))),".")</f>
        <v>9.0143481925428208</v>
      </c>
      <c r="BC19" s="116">
        <f>IFERROR(IF(d_ss_Bv!G19=0,".",((s_Ir*s_F*s_I_f*s_T*(1-EXP(-s_RadSpec!AY19*s_t_v)))/(s_Y_v*s_RadSpec!AY19))),".")</f>
        <v>9.0143481925428208</v>
      </c>
      <c r="BD19" s="116">
        <f>IFERROR(IF(d_ss_Bv!H19=0,".",((s_Ir*s_F*s_I_f*s_T*(1-EXP(-s_RadSpec!AY19*s_t_v)))/(s_Y_v*s_RadSpec!AY19))),".")</f>
        <v>9.0143481925428208</v>
      </c>
      <c r="BE19" s="116">
        <f>IFERROR(IF(d_ss_Bv!I19=0,".",((s_Ir*s_F*s_I_f*s_T*(1-EXP(-s_RadSpec!AY19*s_t_v)))/(s_Y_v*s_RadSpec!AY19))),".")</f>
        <v>9.0143481925428208</v>
      </c>
      <c r="BF19" s="116">
        <f>IFERROR(IF(d_ss_Bv!J19=0,".",((s_Ir*s_F*s_I_f*s_T*(1-EXP(-s_RadSpec!AY19*s_t_v)))/(s_Y_v*s_RadSpec!AY19))),".")</f>
        <v>9.0143481925428208</v>
      </c>
      <c r="BG19" s="116">
        <f>IFERROR(IF(d_ss_Bv!K19=0,".",((s_Ir*s_F*s_I_f*s_T*(1-EXP(-s_RadSpec!AY19*s_t_v)))/(s_Y_v*s_RadSpec!AY19))),".")</f>
        <v>9.0143481925428208</v>
      </c>
      <c r="BH19" s="116">
        <f>IFERROR(IF(d_ss_Bv!L19=0,".",((s_Ir*s_F*s_I_f*s_T*(1-EXP(-s_RadSpec!AY19*s_t_v)))/(s_Y_v*s_RadSpec!AY19))),".")</f>
        <v>9.0143481925428208</v>
      </c>
      <c r="BI19" s="116">
        <f>IFERROR(IF(d_ss_Bv!M19=0,".",((s_Ir*s_F*s_I_f*s_T*(1-EXP(-s_RadSpec!AY19*s_t_v)))/(s_Y_v*s_RadSpec!AY19))),".")</f>
        <v>9.0143481925428208</v>
      </c>
      <c r="BJ19" s="116">
        <f>IFERROR(IF(d_ss_Bv!N19=0,".",((s_Ir*s_F*s_I_f*s_T*(1-EXP(-s_RadSpec!AY19*s_t_v)))/(s_Y_v*s_RadSpec!AY19))),".")</f>
        <v>9.0143481925428208</v>
      </c>
      <c r="BK19" s="116">
        <f>IFERROR(IF(d_ss_Bv!O19=0,".",((s_Ir*s_F*s_I_f*s_T*(1-EXP(-s_RadSpec!AY19*s_t_v)))/(s_Y_v*s_RadSpec!AY19))),".")</f>
        <v>9.0143481925428208</v>
      </c>
      <c r="BL19" s="116">
        <f>IFERROR(IF(d_ss_Bv!P19=0,".",((s_Ir*s_F*s_I_f*s_T*(1-EXP(-s_RadSpec!AY19*s_t_v)))/(s_Y_v*s_RadSpec!AY19))),".")</f>
        <v>9.0143481925428208</v>
      </c>
      <c r="BM19" s="116">
        <f>IFERROR(IF(d_ss_Bv!Q19=0,".",((s_Ir*s_F*s_I_f*s_T*(1-EXP(-s_RadSpec!AY19*s_t_v)))/(s_Y_v*s_RadSpec!AY19))),".")</f>
        <v>9.0143481925428208</v>
      </c>
      <c r="BN19" s="116">
        <f>IFERROR(IF(d_ss_Bv!R19=0,".",((s_Ir*s_F*s_I_f*s_T*(1-EXP(-s_RadSpec!AY19*s_t_v)))/(s_Y_v*s_RadSpec!AY19))),".")</f>
        <v>9.0143481925428208</v>
      </c>
      <c r="BO19" s="116">
        <f>IFERROR(IF(d_ss_Bv!S19=0,".",((s_Ir*s_F*s_I_f*s_T*(1-EXP(-s_RadSpec!AY19*s_t_v)))/(s_Y_v*s_RadSpec!AY19))),".")</f>
        <v>9.0143481925428208</v>
      </c>
      <c r="BP19" s="116">
        <f>IFERROR(IF(d_ss_Bv!T19=0,".",((s_Ir*s_F*s_I_f*s_T*(1-EXP(-s_RadSpec!AY19*s_t_v)))/(s_Y_v*s_RadSpec!AY19))),".")</f>
        <v>9.0143481925428208</v>
      </c>
      <c r="BQ19" s="116">
        <f>IFERROR(IF(d_ss_Bv!U19=0,".",((s_Ir*s_F*s_I_f*s_T*(1-EXP(-s_RadSpec!AY19*s_t_v)))/(s_Y_v*s_RadSpec!AY19))),".")</f>
        <v>9.0143481925428208</v>
      </c>
      <c r="BR19" s="116">
        <f>IFERROR(IF(d_ss_Bv!V19=0,".",((s_Ir*s_F*s_I_f*s_T*(1-EXP(-s_RadSpec!AY19*s_t_v)))/(s_Y_v*s_RadSpec!AY19))),".")</f>
        <v>9.0143481925428208</v>
      </c>
      <c r="BS19" s="116">
        <f>IFERROR(IF(d_ss_Bv!W19=0,".",((s_Ir*s_F*s_I_f*s_T*(1-EXP(-s_RadSpec!AY19*s_t_v)))/(s_Y_v*s_RadSpec!AY19))),".")</f>
        <v>9.0143481925428208</v>
      </c>
      <c r="BT19" s="116">
        <f>IFERROR(IF(d_ss_Bv!X19=0,".",((s_Ir*s_F*s_I_f*s_T*(1-EXP(-s_RadSpec!AY19*s_t_v)))/(s_Y_v*s_RadSpec!AY19))),".")</f>
        <v>9.0143481925428208</v>
      </c>
      <c r="BU19" s="116">
        <f>IFERROR(IF(d_ss_Bv!Y19=0,".",((s_Ir*s_F*s_I_f*s_T*(1-EXP(-s_RadSpec!AY19*s_t_v)))/(s_Y_v*s_RadSpec!AY19))),".")</f>
        <v>9.0143481925428208</v>
      </c>
      <c r="BV19" s="116">
        <f>IFERROR(IF(d_ss_Bv!Z19=0,".",((s_Ir*s_F*s_I_f*s_T*(1-EXP(-s_RadSpec!AY19*s_t_v)))/(s_Y_v*s_RadSpec!AY19))),".")</f>
        <v>9.0143481925428208</v>
      </c>
    </row>
    <row r="20" spans="1:74" x14ac:dyDescent="0.25">
      <c r="A20" s="44" t="s">
        <v>30</v>
      </c>
      <c r="B20" s="42" t="s">
        <v>1074</v>
      </c>
      <c r="C20" s="116">
        <f>IFERROR(IF(d_ss_Bv!C20=0,".",((s_Ir*s_F*d_ss_Bv!C20*(1-EXP(-s_RadSpec!$AX20*s_t_b)))/(s_P*s_RadSpec!$AX20))),".")</f>
        <v>3.9740144921492811E-2</v>
      </c>
      <c r="D20" s="116">
        <f>IFERROR(IF(d_ss_Bv!D20=0,".",((s_Ir*s_F*d_ss_Bv!D20*(1-EXP(-s_RadSpec!AX20*s_t_b)))/(s_P*s_RadSpec!AX20))),".")</f>
        <v>1.4703853620952343</v>
      </c>
      <c r="E20" s="116">
        <f>IFERROR(IF(d_ss_Bv!E20=0,".",((s_Ir*s_F*d_ss_Bv!E20*(1-EXP(-s_RadSpec!AX20*s_t_b)))/(s_P*s_RadSpec!AX20))),".")</f>
        <v>1.1524642027232916</v>
      </c>
      <c r="F20" s="116">
        <f>IFERROR(IF(d_ss_Bv!F20=0,".",((s_Ir*s_F*d_ss_Bv!F20*(1-EXP(-s_RadSpec!AX20*s_t_b)))/(s_P*s_RadSpec!AX20))),".")</f>
        <v>3.9740144921492811E-2</v>
      </c>
      <c r="G20" s="116">
        <f>IFERROR(IF(d_ss_Bv!G20=0,".",((s_Ir*s_F*d_ss_Bv!G20*(1-EXP(-s_RadSpec!AX20*s_t_b)))/(s_P*s_RadSpec!AX20))),".")</f>
        <v>3.9740144921492811E-2</v>
      </c>
      <c r="H20" s="116">
        <f>IFERROR(IF(d_ss_Bv!H20=0,".",((s_Ir*s_F*d_ss_Bv!H20*(1-EXP(-s_RadSpec!AX20*s_t_b)))/(s_P*s_RadSpec!AX20))),".")</f>
        <v>1.4703853620952343</v>
      </c>
      <c r="I20" s="116">
        <f>IFERROR(IF(d_ss_Bv!I20=0,".",((s_Ir*s_F*d_ss_Bv!I20*(1-EXP(-s_RadSpec!AX20*s_t_b)))/(s_P*s_RadSpec!AX20))),".")</f>
        <v>1.1524642027232916</v>
      </c>
      <c r="J20" s="116">
        <f>IFERROR(IF(d_ss_Bv!J20=0,".",((s_Ir*s_F*d_ss_Bv!J20*(1-EXP(-s_RadSpec!AX20*s_t_b)))/(s_P*s_RadSpec!AX20))),".")</f>
        <v>3.9740144921492811E-2</v>
      </c>
      <c r="K20" s="116">
        <f>IFERROR(IF(d_ss_Bv!K20=0,".",((s_Ir*s_F*d_ss_Bv!K20*(1-EXP(-s_RadSpec!AX20*s_t_b)))/(s_P*s_RadSpec!AX20))),".")</f>
        <v>4.768817390579138E-2</v>
      </c>
      <c r="L20" s="116">
        <f>IFERROR(IF(d_ss_Bv!L20=0,".",((s_Ir*s_F*d_ss_Bv!L20*(1-EXP(-s_RadSpec!AX20*s_t_b)))/(s_P*s_RadSpec!AX20))),".")</f>
        <v>3.9740144921492811E-2</v>
      </c>
      <c r="M20" s="116">
        <f>IFERROR(IF(d_ss_Bv!M20=0,".",((s_Ir*s_F*d_ss_Bv!M20*(1-EXP(-s_RadSpec!AX20*s_t_b)))/(s_P*s_RadSpec!AX20))),".")</f>
        <v>1.4703853620952343</v>
      </c>
      <c r="N20" s="116">
        <f>IFERROR(IF(d_ss_Bv!N20=0,".",((s_Ir*s_F*d_ss_Bv!N20*(1-EXP(-s_RadSpec!AX20*s_t_b)))/(s_P*s_RadSpec!AX20))),".")</f>
        <v>5.364919564401531E-2</v>
      </c>
      <c r="O20" s="116">
        <f>IFERROR(IF(d_ss_Bv!O20=0,".",((s_Ir*s_F*d_ss_Bv!O20*(1-EXP(-s_RadSpec!AX20*s_t_b)))/(s_P*s_RadSpec!AX20))),".")</f>
        <v>3.9740144921492811E-2</v>
      </c>
      <c r="P20" s="116">
        <f>IFERROR(IF(d_ss_Bv!P20=0,".",((s_Ir*s_F*d_ss_Bv!P20*(1-EXP(-s_RadSpec!AX20*s_t_b)))/(s_P*s_RadSpec!AX20))),".")</f>
        <v>3.9740144921492811E-2</v>
      </c>
      <c r="Q20" s="116">
        <f>IFERROR(IF(d_ss_Bv!Q20=0,".",((s_Ir*s_F*d_ss_Bv!Q20*(1-EXP(-s_RadSpec!AX20*s_t_b)))/(s_P*s_RadSpec!AX20))),".")</f>
        <v>3.9740144921492811E-2</v>
      </c>
      <c r="R20" s="116">
        <f>IFERROR(IF(d_ss_Bv!R20=0,".",((s_Ir*s_F*d_ss_Bv!R20*(1-EXP(-s_RadSpec!AX20*s_t_b)))/(s_P*s_RadSpec!AX20))),".")</f>
        <v>3.9740144921492811E-2</v>
      </c>
      <c r="S20" s="116">
        <f>IFERROR(IF(d_ss_Bv!S20=0,".",((s_Ir*s_F*d_ss_Bv!S20*(1-EXP(-s_RadSpec!AX20*s_t_b)))/(s_P*s_RadSpec!AX20))),".")</f>
        <v>5.364919564401531E-2</v>
      </c>
      <c r="T20" s="116">
        <f>IFERROR(IF(d_ss_Bv!T20=0,".",((s_Ir*s_F*d_ss_Bv!T20*(1-EXP(-s_RadSpec!AX20*s_t_b)))/(s_P*s_RadSpec!AX20))),".")</f>
        <v>0.53649195644015302</v>
      </c>
      <c r="U20" s="116">
        <f>IFERROR(IF(d_ss_Bv!U20=0,".",((s_Ir*s_F*d_ss_Bv!U20*(1-EXP(-s_RadSpec!AX20*s_t_b)))/(s_P*s_RadSpec!AX20))),".")</f>
        <v>3.9740144921492811E-2</v>
      </c>
      <c r="V20" s="116">
        <f>IFERROR(IF(d_ss_Bv!V20=0,".",((s_Ir*s_F*d_ss_Bv!V20*(1-EXP(-s_RadSpec!AX20*s_t_b)))/(s_P*s_RadSpec!AX20))),".")</f>
        <v>5.364919564401531E-2</v>
      </c>
      <c r="W20" s="116">
        <f>IFERROR(IF(d_ss_Bv!W20=0,".",((s_Ir*s_F*d_ss_Bv!W20*(1-EXP(-s_RadSpec!AX20*s_t_b)))/(s_P*s_RadSpec!AX20))),".")</f>
        <v>3.9740144921492811E-2</v>
      </c>
      <c r="X20" s="116">
        <f>IFERROR(IF(d_ss_Bv!X20=0,".",((s_Ir*s_F*d_ss_Bv!X20*(1-EXP(-s_RadSpec!AX20*s_t_b)))/(s_P*s_RadSpec!AX20))),".")</f>
        <v>3.9740144921492811E-2</v>
      </c>
      <c r="Y20" s="116">
        <f>IFERROR(IF(d_ss_Bv!Y20=0,".",((s_Ir*s_F*d_ss_Bv!Y20*(1-EXP(-s_RadSpec!AX20*s_t_b)))/(s_P*s_RadSpec!AX20))),".")</f>
        <v>2.583109419897033</v>
      </c>
      <c r="Z20" s="116">
        <f>IFERROR(IF(d_ss_Bv!Z20=0,".",((s_Ir*s_F*d_ss_Bv!Z20*(1-EXP(-s_RadSpec!AX20*s_t_b)))/(s_P*s_RadSpec!AX20))),".")</f>
        <v>4.768817390579138E-2</v>
      </c>
      <c r="AA20" s="116">
        <f>IFERROR(IF(d_ss_Bv!C20=0,".",((s_Ir*s_F*s_MLF_apple*(1-EXP(-s_RadSpec!AX20*s_t_b)))/(s_P*s_RadSpec!AX20))),".")</f>
        <v>2.6824597822007652</v>
      </c>
      <c r="AB20" s="116">
        <f>IFERROR(IF(d_ss_Bv!D20=0,".",((s_Ir*s_F*s_MLF_asparagus*(1-EXP(-s_RadSpec!AX20*s_t_b)))/(s_P*s_RadSpec!AX20))),".")</f>
        <v>2.6824597822007652</v>
      </c>
      <c r="AC20" s="116">
        <f>IFERROR(IF(d_ss_Bv!E20=0,".",((s_Ir*s_F*s_MLF_beet*(1-EXP(-s_RadSpec!AX20*s_t_b)))/(s_P*s_RadSpec!AX20))),".")</f>
        <v>2.6824597822007652</v>
      </c>
      <c r="AD20" s="116">
        <f>IFERROR(IF(d_ss_Bv!F20=0,".",((s_Ir*s_F*s_MLF_berries*(1-EXP(-s_RadSpec!AX20*s_t_b)))/(s_P*s_RadSpec!AX20))),".")</f>
        <v>2.6824597822007652</v>
      </c>
      <c r="AE20" s="116">
        <f>IFERROR(IF(d_ss_Bv!G20=0,".",((s_Ir*s_F*s_MLF_broccoli*(1-EXP(-s_RadSpec!AX20*s_t_b)))/(s_P*s_RadSpec!AX20))),".")</f>
        <v>2.6824597822007652</v>
      </c>
      <c r="AF20" s="116">
        <f>IFERROR(IF(d_ss_Bv!H20=0,".",((s_Ir*s_F*s_MLF_cabbage*(1-EXP(-s_RadSpec!AX20*s_t_b)))/(s_P*s_RadSpec!AX20))),".")</f>
        <v>2.6824597822007652</v>
      </c>
      <c r="AG20" s="116">
        <f>IFERROR(IF(d_ss_Bv!I20=0,".",((s_Ir*s_F*s_MLF_carrot*(1-EXP(-s_RadSpec!AX20*s_t_b)))/(s_P*s_RadSpec!AX20))),".")</f>
        <v>2.6824597822007652</v>
      </c>
      <c r="AH20" s="116">
        <f>IFERROR(IF(d_ss_Bv!J20=0,".",((s_Ir*s_F*s_MLF_citrus*(1-EXP(-s_RadSpec!AX20*s_t_b)))/(s_P*s_RadSpec!AX20))),".")</f>
        <v>2.6824597822007652</v>
      </c>
      <c r="AI20" s="116">
        <f>IFERROR(IF(d_ss_Bv!K20=0,".",((s_Ir*s_F*s_MLF_corn*(1-EXP(-s_RadSpec!AX20*s_t_b)))/(s_P*s_RadSpec!AX20))),".")</f>
        <v>2.6824597822007652</v>
      </c>
      <c r="AJ20" s="116">
        <f>IFERROR(IF(d_ss_Bv!L20=0,".",((s_Ir*s_F*s_MLF_cucumber*(1-EXP(-s_RadSpec!AX20*s_t_b)))/(s_P*s_RadSpec!AX20))),".")</f>
        <v>2.6824597822007652</v>
      </c>
      <c r="AK20" s="116">
        <f>IFERROR(IF(d_ss_Bv!M20=0,".",((s_Ir*s_F*s_MLF_lettuce*(1-EXP(-s_RadSpec!AX20*s_t_b)))/(s_P*s_RadSpec!AX20))),".")</f>
        <v>2.6824597822007652</v>
      </c>
      <c r="AL20" s="116">
        <f>IFERROR(IF(d_ss_Bv!N20=0,".",((s_Ir*s_F*s_MLF_lima_bean*(1-EXP(-s_RadSpec!AX20*s_t_b)))/(s_P*s_RadSpec!AX20))),".")</f>
        <v>2.6824597822007652</v>
      </c>
      <c r="AM20" s="116">
        <f>IFERROR(IF(d_ss_Bv!O20=0,".",((s_Ir*s_F*s_MLF_okra*(1-EXP(-s_RadSpec!AX20*s_t_b)))/(s_P*s_RadSpec!AX20))),".")</f>
        <v>2.6824597822007652</v>
      </c>
      <c r="AN20" s="116">
        <f>IFERROR(IF(d_ss_Bv!P20=0,".",((s_Ir*s_F*s_MLF_onion*(1-EXP(-s_RadSpec!AX20*s_t_b)))/(s_P*s_RadSpec!AX20))),".")</f>
        <v>2.6824597822007652</v>
      </c>
      <c r="AO20" s="116">
        <f>IFERROR(IF(d_ss_Bv!Q20=0,".",((s_Ir*s_F*s_MLF_peach*(1-EXP(-s_RadSpec!AX20*s_t_b)))/(s_P*s_RadSpec!AX20))),".")</f>
        <v>2.6824597822007652</v>
      </c>
      <c r="AP20" s="116">
        <f>IFERROR(IF(d_ss_Bv!R20=0,".",((s_Ir*s_F*s_MLF_pear*(1-EXP(-s_RadSpec!AX20*s_t_b)))/(s_P*s_RadSpec!AX20))),".")</f>
        <v>2.6824597822007652</v>
      </c>
      <c r="AQ20" s="116">
        <f>IFERROR(IF(d_ss_Bv!S20=0,".",((s_Ir*s_F*s_MLF_peas*(1-EXP(-s_RadSpec!AX20*s_t_b)))/(s_P*s_RadSpec!AX20))),".")</f>
        <v>2.6824597822007652</v>
      </c>
      <c r="AR20" s="116">
        <f>IFERROR(IF(d_ss_Bv!T20=0,".",((s_Ir*s_F*s_MLF_potato*(1-EXP(-s_RadSpec!AX20*s_t_b)))/(s_P*s_RadSpec!AX20))),".")</f>
        <v>2.6824597822007652</v>
      </c>
      <c r="AS20" s="116">
        <f>IFERROR(IF(d_ss_Bv!U20=0,".",((s_Ir*s_F*s_MLF_pumpkin*(1-EXP(-s_RadSpec!AX20*s_t_b)))/(s_P*s_RadSpec!AX20))),".")</f>
        <v>2.6824597822007652</v>
      </c>
      <c r="AT20" s="116">
        <f>IFERROR(IF(d_ss_Bv!V20=0,".",((s_Ir*s_F*s_MLF_snap_bean*(1-EXP(-s_RadSpec!AX20*s_t_b)))/(s_P*s_RadSpec!AX20))),".")</f>
        <v>2.6824597822007652</v>
      </c>
      <c r="AU20" s="116">
        <f>IFERROR(IF(d_ss_Bv!W20=0,".",((s_Ir*s_F*s_MLF_strawberry*(1-EXP(-s_RadSpec!AX20*s_t_b)))/(s_P*s_RadSpec!AX20))),".")</f>
        <v>2.6824597822007652</v>
      </c>
      <c r="AV20" s="116">
        <f>IFERROR(IF(d_ss_Bv!X20=0,".",((s_Ir*s_F*s_MLF_tomato*(1-EXP(-s_RadSpec!AX20*s_t_b)))/(s_P*s_RadSpec!AX20))),".")</f>
        <v>2.6824597822007652</v>
      </c>
      <c r="AW20" s="116">
        <f>IFERROR(IF(d_ss_Bv!Y20=0,".",((s_Ir*s_F*s_MLF_rice*(1-EXP(-s_RadSpec!AX20*s_t_b)))/(s_P*s_RadSpec!AX20))),".")</f>
        <v>2.6824597822007652</v>
      </c>
      <c r="AX20" s="116">
        <f>IFERROR(IF(d_ss_Bv!Z20=0,".",((s_Ir*s_F*s_MLF_cereal*(1-EXP(-s_RadSpec!AX20*s_t_b)))/(s_P*s_RadSpec!AX20))),".")</f>
        <v>2.6824597822007652</v>
      </c>
      <c r="AY20" s="116">
        <f>IFERROR(IF(d_ss_Bv!C20=0,".",((s_Ir*s_F*s_I_f*s_T*(1-EXP(-s_RadSpec!AY20*s_t_v)))/(s_Y_v*s_RadSpec!AY20))),".")</f>
        <v>9.0143481925428208</v>
      </c>
      <c r="AZ20" s="116">
        <f>IFERROR(IF(d_ss_Bv!D20=0,".",((s_Ir*s_F*s_I_f*s_T*(1-EXP(-s_RadSpec!AY20*s_t_v)))/(s_Y_v*s_RadSpec!AY20))),".")</f>
        <v>9.0143481925428208</v>
      </c>
      <c r="BA20" s="116">
        <f>IFERROR(IF(d_ss_Bv!E20=0,".",((s_Ir*s_F*s_I_f*s_T*(1-EXP(-s_RadSpec!AY20*s_t_v)))/(s_Y_v*s_RadSpec!AY20))),".")</f>
        <v>9.0143481925428208</v>
      </c>
      <c r="BB20" s="116">
        <f>IFERROR(IF(d_ss_Bv!F20=0,".",((s_Ir*s_F*s_I_f*s_T*(1-EXP(-s_RadSpec!AY20*s_t_v)))/(s_Y_v*s_RadSpec!AY20))),".")</f>
        <v>9.0143481925428208</v>
      </c>
      <c r="BC20" s="116">
        <f>IFERROR(IF(d_ss_Bv!G20=0,".",((s_Ir*s_F*s_I_f*s_T*(1-EXP(-s_RadSpec!AY20*s_t_v)))/(s_Y_v*s_RadSpec!AY20))),".")</f>
        <v>9.0143481925428208</v>
      </c>
      <c r="BD20" s="116">
        <f>IFERROR(IF(d_ss_Bv!H20=0,".",((s_Ir*s_F*s_I_f*s_T*(1-EXP(-s_RadSpec!AY20*s_t_v)))/(s_Y_v*s_RadSpec!AY20))),".")</f>
        <v>9.0143481925428208</v>
      </c>
      <c r="BE20" s="116">
        <f>IFERROR(IF(d_ss_Bv!I20=0,".",((s_Ir*s_F*s_I_f*s_T*(1-EXP(-s_RadSpec!AY20*s_t_v)))/(s_Y_v*s_RadSpec!AY20))),".")</f>
        <v>9.0143481925428208</v>
      </c>
      <c r="BF20" s="116">
        <f>IFERROR(IF(d_ss_Bv!J20=0,".",((s_Ir*s_F*s_I_f*s_T*(1-EXP(-s_RadSpec!AY20*s_t_v)))/(s_Y_v*s_RadSpec!AY20))),".")</f>
        <v>9.0143481925428208</v>
      </c>
      <c r="BG20" s="116">
        <f>IFERROR(IF(d_ss_Bv!K20=0,".",((s_Ir*s_F*s_I_f*s_T*(1-EXP(-s_RadSpec!AY20*s_t_v)))/(s_Y_v*s_RadSpec!AY20))),".")</f>
        <v>9.0143481925428208</v>
      </c>
      <c r="BH20" s="116">
        <f>IFERROR(IF(d_ss_Bv!L20=0,".",((s_Ir*s_F*s_I_f*s_T*(1-EXP(-s_RadSpec!AY20*s_t_v)))/(s_Y_v*s_RadSpec!AY20))),".")</f>
        <v>9.0143481925428208</v>
      </c>
      <c r="BI20" s="116">
        <f>IFERROR(IF(d_ss_Bv!M20=0,".",((s_Ir*s_F*s_I_f*s_T*(1-EXP(-s_RadSpec!AY20*s_t_v)))/(s_Y_v*s_RadSpec!AY20))),".")</f>
        <v>9.0143481925428208</v>
      </c>
      <c r="BJ20" s="116">
        <f>IFERROR(IF(d_ss_Bv!N20=0,".",((s_Ir*s_F*s_I_f*s_T*(1-EXP(-s_RadSpec!AY20*s_t_v)))/(s_Y_v*s_RadSpec!AY20))),".")</f>
        <v>9.0143481925428208</v>
      </c>
      <c r="BK20" s="116">
        <f>IFERROR(IF(d_ss_Bv!O20=0,".",((s_Ir*s_F*s_I_f*s_T*(1-EXP(-s_RadSpec!AY20*s_t_v)))/(s_Y_v*s_RadSpec!AY20))),".")</f>
        <v>9.0143481925428208</v>
      </c>
      <c r="BL20" s="116">
        <f>IFERROR(IF(d_ss_Bv!P20=0,".",((s_Ir*s_F*s_I_f*s_T*(1-EXP(-s_RadSpec!AY20*s_t_v)))/(s_Y_v*s_RadSpec!AY20))),".")</f>
        <v>9.0143481925428208</v>
      </c>
      <c r="BM20" s="116">
        <f>IFERROR(IF(d_ss_Bv!Q20=0,".",((s_Ir*s_F*s_I_f*s_T*(1-EXP(-s_RadSpec!AY20*s_t_v)))/(s_Y_v*s_RadSpec!AY20))),".")</f>
        <v>9.0143481925428208</v>
      </c>
      <c r="BN20" s="116">
        <f>IFERROR(IF(d_ss_Bv!R20=0,".",((s_Ir*s_F*s_I_f*s_T*(1-EXP(-s_RadSpec!AY20*s_t_v)))/(s_Y_v*s_RadSpec!AY20))),".")</f>
        <v>9.0143481925428208</v>
      </c>
      <c r="BO20" s="116">
        <f>IFERROR(IF(d_ss_Bv!S20=0,".",((s_Ir*s_F*s_I_f*s_T*(1-EXP(-s_RadSpec!AY20*s_t_v)))/(s_Y_v*s_RadSpec!AY20))),".")</f>
        <v>9.0143481925428208</v>
      </c>
      <c r="BP20" s="116">
        <f>IFERROR(IF(d_ss_Bv!T20=0,".",((s_Ir*s_F*s_I_f*s_T*(1-EXP(-s_RadSpec!AY20*s_t_v)))/(s_Y_v*s_RadSpec!AY20))),".")</f>
        <v>9.0143481925428208</v>
      </c>
      <c r="BQ20" s="116">
        <f>IFERROR(IF(d_ss_Bv!U20=0,".",((s_Ir*s_F*s_I_f*s_T*(1-EXP(-s_RadSpec!AY20*s_t_v)))/(s_Y_v*s_RadSpec!AY20))),".")</f>
        <v>9.0143481925428208</v>
      </c>
      <c r="BR20" s="116">
        <f>IFERROR(IF(d_ss_Bv!V20=0,".",((s_Ir*s_F*s_I_f*s_T*(1-EXP(-s_RadSpec!AY20*s_t_v)))/(s_Y_v*s_RadSpec!AY20))),".")</f>
        <v>9.0143481925428208</v>
      </c>
      <c r="BS20" s="116">
        <f>IFERROR(IF(d_ss_Bv!W20=0,".",((s_Ir*s_F*s_I_f*s_T*(1-EXP(-s_RadSpec!AY20*s_t_v)))/(s_Y_v*s_RadSpec!AY20))),".")</f>
        <v>9.0143481925428208</v>
      </c>
      <c r="BT20" s="116">
        <f>IFERROR(IF(d_ss_Bv!X20=0,".",((s_Ir*s_F*s_I_f*s_T*(1-EXP(-s_RadSpec!AY20*s_t_v)))/(s_Y_v*s_RadSpec!AY20))),".")</f>
        <v>9.0143481925428208</v>
      </c>
      <c r="BU20" s="116">
        <f>IFERROR(IF(d_ss_Bv!Y20=0,".",((s_Ir*s_F*s_I_f*s_T*(1-EXP(-s_RadSpec!AY20*s_t_v)))/(s_Y_v*s_RadSpec!AY20))),".")</f>
        <v>9.0143481925428208</v>
      </c>
      <c r="BV20" s="116">
        <f>IFERROR(IF(d_ss_Bv!Z20=0,".",((s_Ir*s_F*s_I_f*s_T*(1-EXP(-s_RadSpec!AY20*s_t_v)))/(s_Y_v*s_RadSpec!AY20))),".")</f>
        <v>9.0143481925428208</v>
      </c>
    </row>
    <row r="21" spans="1:74" x14ac:dyDescent="0.25">
      <c r="A21" s="44" t="s">
        <v>31</v>
      </c>
      <c r="B21" s="42" t="s">
        <v>1074</v>
      </c>
      <c r="C21" s="116">
        <f>IFERROR(IF(d_ss_Bv!C21=0,".",((s_Ir*s_F*d_ss_Bv!C21*(1-EXP(-s_RadSpec!$AX21*s_t_b)))/(s_P*s_RadSpec!$AX21))),".")</f>
        <v>3.9740144921492811E-2</v>
      </c>
      <c r="D21" s="116">
        <f>IFERROR(IF(d_ss_Bv!D21=0,".",((s_Ir*s_F*d_ss_Bv!D21*(1-EXP(-s_RadSpec!AX21*s_t_b)))/(s_P*s_RadSpec!AX21))),".")</f>
        <v>1.4703853620952343</v>
      </c>
      <c r="E21" s="116">
        <f>IFERROR(IF(d_ss_Bv!E21=0,".",((s_Ir*s_F*d_ss_Bv!E21*(1-EXP(-s_RadSpec!AX21*s_t_b)))/(s_P*s_RadSpec!AX21))),".")</f>
        <v>1.1524642027232916</v>
      </c>
      <c r="F21" s="116">
        <f>IFERROR(IF(d_ss_Bv!F21=0,".",((s_Ir*s_F*d_ss_Bv!F21*(1-EXP(-s_RadSpec!AX21*s_t_b)))/(s_P*s_RadSpec!AX21))),".")</f>
        <v>3.9740144921492811E-2</v>
      </c>
      <c r="G21" s="116">
        <f>IFERROR(IF(d_ss_Bv!G21=0,".",((s_Ir*s_F*d_ss_Bv!G21*(1-EXP(-s_RadSpec!AX21*s_t_b)))/(s_P*s_RadSpec!AX21))),".")</f>
        <v>3.9740144921492811E-2</v>
      </c>
      <c r="H21" s="116">
        <f>IFERROR(IF(d_ss_Bv!H21=0,".",((s_Ir*s_F*d_ss_Bv!H21*(1-EXP(-s_RadSpec!AX21*s_t_b)))/(s_P*s_RadSpec!AX21))),".")</f>
        <v>1.4703853620952343</v>
      </c>
      <c r="I21" s="116">
        <f>IFERROR(IF(d_ss_Bv!I21=0,".",((s_Ir*s_F*d_ss_Bv!I21*(1-EXP(-s_RadSpec!AX21*s_t_b)))/(s_P*s_RadSpec!AX21))),".")</f>
        <v>1.1524642027232916</v>
      </c>
      <c r="J21" s="116">
        <f>IFERROR(IF(d_ss_Bv!J21=0,".",((s_Ir*s_F*d_ss_Bv!J21*(1-EXP(-s_RadSpec!AX21*s_t_b)))/(s_P*s_RadSpec!AX21))),".")</f>
        <v>3.9740144921492811E-2</v>
      </c>
      <c r="K21" s="116">
        <f>IFERROR(IF(d_ss_Bv!K21=0,".",((s_Ir*s_F*d_ss_Bv!K21*(1-EXP(-s_RadSpec!AX21*s_t_b)))/(s_P*s_RadSpec!AX21))),".")</f>
        <v>4.768817390579138E-2</v>
      </c>
      <c r="L21" s="116">
        <f>IFERROR(IF(d_ss_Bv!L21=0,".",((s_Ir*s_F*d_ss_Bv!L21*(1-EXP(-s_RadSpec!AX21*s_t_b)))/(s_P*s_RadSpec!AX21))),".")</f>
        <v>3.9740144921492811E-2</v>
      </c>
      <c r="M21" s="116">
        <f>IFERROR(IF(d_ss_Bv!M21=0,".",((s_Ir*s_F*d_ss_Bv!M21*(1-EXP(-s_RadSpec!AX21*s_t_b)))/(s_P*s_RadSpec!AX21))),".")</f>
        <v>1.4703853620952343</v>
      </c>
      <c r="N21" s="116">
        <f>IFERROR(IF(d_ss_Bv!N21=0,".",((s_Ir*s_F*d_ss_Bv!N21*(1-EXP(-s_RadSpec!AX21*s_t_b)))/(s_P*s_RadSpec!AX21))),".")</f>
        <v>5.364919564401531E-2</v>
      </c>
      <c r="O21" s="116">
        <f>IFERROR(IF(d_ss_Bv!O21=0,".",((s_Ir*s_F*d_ss_Bv!O21*(1-EXP(-s_RadSpec!AX21*s_t_b)))/(s_P*s_RadSpec!AX21))),".")</f>
        <v>3.9740144921492811E-2</v>
      </c>
      <c r="P21" s="116">
        <f>IFERROR(IF(d_ss_Bv!P21=0,".",((s_Ir*s_F*d_ss_Bv!P21*(1-EXP(-s_RadSpec!AX21*s_t_b)))/(s_P*s_RadSpec!AX21))),".")</f>
        <v>3.9740144921492811E-2</v>
      </c>
      <c r="Q21" s="116">
        <f>IFERROR(IF(d_ss_Bv!Q21=0,".",((s_Ir*s_F*d_ss_Bv!Q21*(1-EXP(-s_RadSpec!AX21*s_t_b)))/(s_P*s_RadSpec!AX21))),".")</f>
        <v>3.9740144921492811E-2</v>
      </c>
      <c r="R21" s="116">
        <f>IFERROR(IF(d_ss_Bv!R21=0,".",((s_Ir*s_F*d_ss_Bv!R21*(1-EXP(-s_RadSpec!AX21*s_t_b)))/(s_P*s_RadSpec!AX21))),".")</f>
        <v>3.9740144921492811E-2</v>
      </c>
      <c r="S21" s="116">
        <f>IFERROR(IF(d_ss_Bv!S21=0,".",((s_Ir*s_F*d_ss_Bv!S21*(1-EXP(-s_RadSpec!AX21*s_t_b)))/(s_P*s_RadSpec!AX21))),".")</f>
        <v>5.364919564401531E-2</v>
      </c>
      <c r="T21" s="116">
        <f>IFERROR(IF(d_ss_Bv!T21=0,".",((s_Ir*s_F*d_ss_Bv!T21*(1-EXP(-s_RadSpec!AX21*s_t_b)))/(s_P*s_RadSpec!AX21))),".")</f>
        <v>0.53649195644015302</v>
      </c>
      <c r="U21" s="116">
        <f>IFERROR(IF(d_ss_Bv!U21=0,".",((s_Ir*s_F*d_ss_Bv!U21*(1-EXP(-s_RadSpec!AX21*s_t_b)))/(s_P*s_RadSpec!AX21))),".")</f>
        <v>3.9740144921492811E-2</v>
      </c>
      <c r="V21" s="116">
        <f>IFERROR(IF(d_ss_Bv!V21=0,".",((s_Ir*s_F*d_ss_Bv!V21*(1-EXP(-s_RadSpec!AX21*s_t_b)))/(s_P*s_RadSpec!AX21))),".")</f>
        <v>5.364919564401531E-2</v>
      </c>
      <c r="W21" s="116">
        <f>IFERROR(IF(d_ss_Bv!W21=0,".",((s_Ir*s_F*d_ss_Bv!W21*(1-EXP(-s_RadSpec!AX21*s_t_b)))/(s_P*s_RadSpec!AX21))),".")</f>
        <v>3.9740144921492811E-2</v>
      </c>
      <c r="X21" s="116">
        <f>IFERROR(IF(d_ss_Bv!X21=0,".",((s_Ir*s_F*d_ss_Bv!X21*(1-EXP(-s_RadSpec!AX21*s_t_b)))/(s_P*s_RadSpec!AX21))),".")</f>
        <v>3.9740144921492811E-2</v>
      </c>
      <c r="Y21" s="116">
        <f>IFERROR(IF(d_ss_Bv!Y21=0,".",((s_Ir*s_F*d_ss_Bv!Y21*(1-EXP(-s_RadSpec!AX21*s_t_b)))/(s_P*s_RadSpec!AX21))),".")</f>
        <v>2.583109419897033</v>
      </c>
      <c r="Z21" s="116">
        <f>IFERROR(IF(d_ss_Bv!Z21=0,".",((s_Ir*s_F*d_ss_Bv!Z21*(1-EXP(-s_RadSpec!AX21*s_t_b)))/(s_P*s_RadSpec!AX21))),".")</f>
        <v>4.768817390579138E-2</v>
      </c>
      <c r="AA21" s="116">
        <f>IFERROR(IF(d_ss_Bv!C21=0,".",((s_Ir*s_F*s_MLF_apple*(1-EXP(-s_RadSpec!AX21*s_t_b)))/(s_P*s_RadSpec!AX21))),".")</f>
        <v>2.6824597822007652</v>
      </c>
      <c r="AB21" s="116">
        <f>IFERROR(IF(d_ss_Bv!D21=0,".",((s_Ir*s_F*s_MLF_asparagus*(1-EXP(-s_RadSpec!AX21*s_t_b)))/(s_P*s_RadSpec!AX21))),".")</f>
        <v>2.6824597822007652</v>
      </c>
      <c r="AC21" s="116">
        <f>IFERROR(IF(d_ss_Bv!E21=0,".",((s_Ir*s_F*s_MLF_beet*(1-EXP(-s_RadSpec!AX21*s_t_b)))/(s_P*s_RadSpec!AX21))),".")</f>
        <v>2.6824597822007652</v>
      </c>
      <c r="AD21" s="116">
        <f>IFERROR(IF(d_ss_Bv!F21=0,".",((s_Ir*s_F*s_MLF_berries*(1-EXP(-s_RadSpec!AX21*s_t_b)))/(s_P*s_RadSpec!AX21))),".")</f>
        <v>2.6824597822007652</v>
      </c>
      <c r="AE21" s="116">
        <f>IFERROR(IF(d_ss_Bv!G21=0,".",((s_Ir*s_F*s_MLF_broccoli*(1-EXP(-s_RadSpec!AX21*s_t_b)))/(s_P*s_RadSpec!AX21))),".")</f>
        <v>2.6824597822007652</v>
      </c>
      <c r="AF21" s="116">
        <f>IFERROR(IF(d_ss_Bv!H21=0,".",((s_Ir*s_F*s_MLF_cabbage*(1-EXP(-s_RadSpec!AX21*s_t_b)))/(s_P*s_RadSpec!AX21))),".")</f>
        <v>2.6824597822007652</v>
      </c>
      <c r="AG21" s="116">
        <f>IFERROR(IF(d_ss_Bv!I21=0,".",((s_Ir*s_F*s_MLF_carrot*(1-EXP(-s_RadSpec!AX21*s_t_b)))/(s_P*s_RadSpec!AX21))),".")</f>
        <v>2.6824597822007652</v>
      </c>
      <c r="AH21" s="116">
        <f>IFERROR(IF(d_ss_Bv!J21=0,".",((s_Ir*s_F*s_MLF_citrus*(1-EXP(-s_RadSpec!AX21*s_t_b)))/(s_P*s_RadSpec!AX21))),".")</f>
        <v>2.6824597822007652</v>
      </c>
      <c r="AI21" s="116">
        <f>IFERROR(IF(d_ss_Bv!K21=0,".",((s_Ir*s_F*s_MLF_corn*(1-EXP(-s_RadSpec!AX21*s_t_b)))/(s_P*s_RadSpec!AX21))),".")</f>
        <v>2.6824597822007652</v>
      </c>
      <c r="AJ21" s="116">
        <f>IFERROR(IF(d_ss_Bv!L21=0,".",((s_Ir*s_F*s_MLF_cucumber*(1-EXP(-s_RadSpec!AX21*s_t_b)))/(s_P*s_RadSpec!AX21))),".")</f>
        <v>2.6824597822007652</v>
      </c>
      <c r="AK21" s="116">
        <f>IFERROR(IF(d_ss_Bv!M21=0,".",((s_Ir*s_F*s_MLF_lettuce*(1-EXP(-s_RadSpec!AX21*s_t_b)))/(s_P*s_RadSpec!AX21))),".")</f>
        <v>2.6824597822007652</v>
      </c>
      <c r="AL21" s="116">
        <f>IFERROR(IF(d_ss_Bv!N21=0,".",((s_Ir*s_F*s_MLF_lima_bean*(1-EXP(-s_RadSpec!AX21*s_t_b)))/(s_P*s_RadSpec!AX21))),".")</f>
        <v>2.6824597822007652</v>
      </c>
      <c r="AM21" s="116">
        <f>IFERROR(IF(d_ss_Bv!O21=0,".",((s_Ir*s_F*s_MLF_okra*(1-EXP(-s_RadSpec!AX21*s_t_b)))/(s_P*s_RadSpec!AX21))),".")</f>
        <v>2.6824597822007652</v>
      </c>
      <c r="AN21" s="116">
        <f>IFERROR(IF(d_ss_Bv!P21=0,".",((s_Ir*s_F*s_MLF_onion*(1-EXP(-s_RadSpec!AX21*s_t_b)))/(s_P*s_RadSpec!AX21))),".")</f>
        <v>2.6824597822007652</v>
      </c>
      <c r="AO21" s="116">
        <f>IFERROR(IF(d_ss_Bv!Q21=0,".",((s_Ir*s_F*s_MLF_peach*(1-EXP(-s_RadSpec!AX21*s_t_b)))/(s_P*s_RadSpec!AX21))),".")</f>
        <v>2.6824597822007652</v>
      </c>
      <c r="AP21" s="116">
        <f>IFERROR(IF(d_ss_Bv!R21=0,".",((s_Ir*s_F*s_MLF_pear*(1-EXP(-s_RadSpec!AX21*s_t_b)))/(s_P*s_RadSpec!AX21))),".")</f>
        <v>2.6824597822007652</v>
      </c>
      <c r="AQ21" s="116">
        <f>IFERROR(IF(d_ss_Bv!S21=0,".",((s_Ir*s_F*s_MLF_peas*(1-EXP(-s_RadSpec!AX21*s_t_b)))/(s_P*s_RadSpec!AX21))),".")</f>
        <v>2.6824597822007652</v>
      </c>
      <c r="AR21" s="116">
        <f>IFERROR(IF(d_ss_Bv!T21=0,".",((s_Ir*s_F*s_MLF_potato*(1-EXP(-s_RadSpec!AX21*s_t_b)))/(s_P*s_RadSpec!AX21))),".")</f>
        <v>2.6824597822007652</v>
      </c>
      <c r="AS21" s="116">
        <f>IFERROR(IF(d_ss_Bv!U21=0,".",((s_Ir*s_F*s_MLF_pumpkin*(1-EXP(-s_RadSpec!AX21*s_t_b)))/(s_P*s_RadSpec!AX21))),".")</f>
        <v>2.6824597822007652</v>
      </c>
      <c r="AT21" s="116">
        <f>IFERROR(IF(d_ss_Bv!V21=0,".",((s_Ir*s_F*s_MLF_snap_bean*(1-EXP(-s_RadSpec!AX21*s_t_b)))/(s_P*s_RadSpec!AX21))),".")</f>
        <v>2.6824597822007652</v>
      </c>
      <c r="AU21" s="116">
        <f>IFERROR(IF(d_ss_Bv!W21=0,".",((s_Ir*s_F*s_MLF_strawberry*(1-EXP(-s_RadSpec!AX21*s_t_b)))/(s_P*s_RadSpec!AX21))),".")</f>
        <v>2.6824597822007652</v>
      </c>
      <c r="AV21" s="116">
        <f>IFERROR(IF(d_ss_Bv!X21=0,".",((s_Ir*s_F*s_MLF_tomato*(1-EXP(-s_RadSpec!AX21*s_t_b)))/(s_P*s_RadSpec!AX21))),".")</f>
        <v>2.6824597822007652</v>
      </c>
      <c r="AW21" s="116">
        <f>IFERROR(IF(d_ss_Bv!Y21=0,".",((s_Ir*s_F*s_MLF_rice*(1-EXP(-s_RadSpec!AX21*s_t_b)))/(s_P*s_RadSpec!AX21))),".")</f>
        <v>2.6824597822007652</v>
      </c>
      <c r="AX21" s="116">
        <f>IFERROR(IF(d_ss_Bv!Z21=0,".",((s_Ir*s_F*s_MLF_cereal*(1-EXP(-s_RadSpec!AX21*s_t_b)))/(s_P*s_RadSpec!AX21))),".")</f>
        <v>2.6824597822007652</v>
      </c>
      <c r="AY21" s="116">
        <f>IFERROR(IF(d_ss_Bv!C21=0,".",((s_Ir*s_F*s_I_f*s_T*(1-EXP(-s_RadSpec!AY21*s_t_v)))/(s_Y_v*s_RadSpec!AY21))),".")</f>
        <v>9.0143481925428208</v>
      </c>
      <c r="AZ21" s="116">
        <f>IFERROR(IF(d_ss_Bv!D21=0,".",((s_Ir*s_F*s_I_f*s_T*(1-EXP(-s_RadSpec!AY21*s_t_v)))/(s_Y_v*s_RadSpec!AY21))),".")</f>
        <v>9.0143481925428208</v>
      </c>
      <c r="BA21" s="116">
        <f>IFERROR(IF(d_ss_Bv!E21=0,".",((s_Ir*s_F*s_I_f*s_T*(1-EXP(-s_RadSpec!AY21*s_t_v)))/(s_Y_v*s_RadSpec!AY21))),".")</f>
        <v>9.0143481925428208</v>
      </c>
      <c r="BB21" s="116">
        <f>IFERROR(IF(d_ss_Bv!F21=0,".",((s_Ir*s_F*s_I_f*s_T*(1-EXP(-s_RadSpec!AY21*s_t_v)))/(s_Y_v*s_RadSpec!AY21))),".")</f>
        <v>9.0143481925428208</v>
      </c>
      <c r="BC21" s="116">
        <f>IFERROR(IF(d_ss_Bv!G21=0,".",((s_Ir*s_F*s_I_f*s_T*(1-EXP(-s_RadSpec!AY21*s_t_v)))/(s_Y_v*s_RadSpec!AY21))),".")</f>
        <v>9.0143481925428208</v>
      </c>
      <c r="BD21" s="116">
        <f>IFERROR(IF(d_ss_Bv!H21=0,".",((s_Ir*s_F*s_I_f*s_T*(1-EXP(-s_RadSpec!AY21*s_t_v)))/(s_Y_v*s_RadSpec!AY21))),".")</f>
        <v>9.0143481925428208</v>
      </c>
      <c r="BE21" s="116">
        <f>IFERROR(IF(d_ss_Bv!I21=0,".",((s_Ir*s_F*s_I_f*s_T*(1-EXP(-s_RadSpec!AY21*s_t_v)))/(s_Y_v*s_RadSpec!AY21))),".")</f>
        <v>9.0143481925428208</v>
      </c>
      <c r="BF21" s="116">
        <f>IFERROR(IF(d_ss_Bv!J21=0,".",((s_Ir*s_F*s_I_f*s_T*(1-EXP(-s_RadSpec!AY21*s_t_v)))/(s_Y_v*s_RadSpec!AY21))),".")</f>
        <v>9.0143481925428208</v>
      </c>
      <c r="BG21" s="116">
        <f>IFERROR(IF(d_ss_Bv!K21=0,".",((s_Ir*s_F*s_I_f*s_T*(1-EXP(-s_RadSpec!AY21*s_t_v)))/(s_Y_v*s_RadSpec!AY21))),".")</f>
        <v>9.0143481925428208</v>
      </c>
      <c r="BH21" s="116">
        <f>IFERROR(IF(d_ss_Bv!L21=0,".",((s_Ir*s_F*s_I_f*s_T*(1-EXP(-s_RadSpec!AY21*s_t_v)))/(s_Y_v*s_RadSpec!AY21))),".")</f>
        <v>9.0143481925428208</v>
      </c>
      <c r="BI21" s="116">
        <f>IFERROR(IF(d_ss_Bv!M21=0,".",((s_Ir*s_F*s_I_f*s_T*(1-EXP(-s_RadSpec!AY21*s_t_v)))/(s_Y_v*s_RadSpec!AY21))),".")</f>
        <v>9.0143481925428208</v>
      </c>
      <c r="BJ21" s="116">
        <f>IFERROR(IF(d_ss_Bv!N21=0,".",((s_Ir*s_F*s_I_f*s_T*(1-EXP(-s_RadSpec!AY21*s_t_v)))/(s_Y_v*s_RadSpec!AY21))),".")</f>
        <v>9.0143481925428208</v>
      </c>
      <c r="BK21" s="116">
        <f>IFERROR(IF(d_ss_Bv!O21=0,".",((s_Ir*s_F*s_I_f*s_T*(1-EXP(-s_RadSpec!AY21*s_t_v)))/(s_Y_v*s_RadSpec!AY21))),".")</f>
        <v>9.0143481925428208</v>
      </c>
      <c r="BL21" s="116">
        <f>IFERROR(IF(d_ss_Bv!P21=0,".",((s_Ir*s_F*s_I_f*s_T*(1-EXP(-s_RadSpec!AY21*s_t_v)))/(s_Y_v*s_RadSpec!AY21))),".")</f>
        <v>9.0143481925428208</v>
      </c>
      <c r="BM21" s="116">
        <f>IFERROR(IF(d_ss_Bv!Q21=0,".",((s_Ir*s_F*s_I_f*s_T*(1-EXP(-s_RadSpec!AY21*s_t_v)))/(s_Y_v*s_RadSpec!AY21))),".")</f>
        <v>9.0143481925428208</v>
      </c>
      <c r="BN21" s="116">
        <f>IFERROR(IF(d_ss_Bv!R21=0,".",((s_Ir*s_F*s_I_f*s_T*(1-EXP(-s_RadSpec!AY21*s_t_v)))/(s_Y_v*s_RadSpec!AY21))),".")</f>
        <v>9.0143481925428208</v>
      </c>
      <c r="BO21" s="116">
        <f>IFERROR(IF(d_ss_Bv!S21=0,".",((s_Ir*s_F*s_I_f*s_T*(1-EXP(-s_RadSpec!AY21*s_t_v)))/(s_Y_v*s_RadSpec!AY21))),".")</f>
        <v>9.0143481925428208</v>
      </c>
      <c r="BP21" s="116">
        <f>IFERROR(IF(d_ss_Bv!T21=0,".",((s_Ir*s_F*s_I_f*s_T*(1-EXP(-s_RadSpec!AY21*s_t_v)))/(s_Y_v*s_RadSpec!AY21))),".")</f>
        <v>9.0143481925428208</v>
      </c>
      <c r="BQ21" s="116">
        <f>IFERROR(IF(d_ss_Bv!U21=0,".",((s_Ir*s_F*s_I_f*s_T*(1-EXP(-s_RadSpec!AY21*s_t_v)))/(s_Y_v*s_RadSpec!AY21))),".")</f>
        <v>9.0143481925428208</v>
      </c>
      <c r="BR21" s="116">
        <f>IFERROR(IF(d_ss_Bv!V21=0,".",((s_Ir*s_F*s_I_f*s_T*(1-EXP(-s_RadSpec!AY21*s_t_v)))/(s_Y_v*s_RadSpec!AY21))),".")</f>
        <v>9.0143481925428208</v>
      </c>
      <c r="BS21" s="116">
        <f>IFERROR(IF(d_ss_Bv!W21=0,".",((s_Ir*s_F*s_I_f*s_T*(1-EXP(-s_RadSpec!AY21*s_t_v)))/(s_Y_v*s_RadSpec!AY21))),".")</f>
        <v>9.0143481925428208</v>
      </c>
      <c r="BT21" s="116">
        <f>IFERROR(IF(d_ss_Bv!X21=0,".",((s_Ir*s_F*s_I_f*s_T*(1-EXP(-s_RadSpec!AY21*s_t_v)))/(s_Y_v*s_RadSpec!AY21))),".")</f>
        <v>9.0143481925428208</v>
      </c>
      <c r="BU21" s="116">
        <f>IFERROR(IF(d_ss_Bv!Y21=0,".",((s_Ir*s_F*s_I_f*s_T*(1-EXP(-s_RadSpec!AY21*s_t_v)))/(s_Y_v*s_RadSpec!AY21))),".")</f>
        <v>9.0143481925428208</v>
      </c>
      <c r="BV21" s="116">
        <f>IFERROR(IF(d_ss_Bv!Z21=0,".",((s_Ir*s_F*s_I_f*s_T*(1-EXP(-s_RadSpec!AY21*s_t_v)))/(s_Y_v*s_RadSpec!AY21))),".")</f>
        <v>9.0143481925428208</v>
      </c>
    </row>
    <row r="22" spans="1:74" x14ac:dyDescent="0.25">
      <c r="A22" s="44" t="s">
        <v>32</v>
      </c>
      <c r="B22" s="42" t="s">
        <v>1074</v>
      </c>
      <c r="C22" s="116">
        <f>IFERROR(IF(d_ss_Bv!C22=0,".",((s_Ir*s_F*d_ss_Bv!C22*(1-EXP(-s_RadSpec!$AX22*s_t_b)))/(s_P*s_RadSpec!$AX22))),".")</f>
        <v>1.9870072460746409</v>
      </c>
      <c r="D22" s="116">
        <f>IFERROR(IF(d_ss_Bv!D22=0,".",((s_Ir*s_F*d_ss_Bv!D22*(1-EXP(-s_RadSpec!AX22*s_t_b)))/(s_P*s_RadSpec!AX22))),".")</f>
        <v>18.081765939279229</v>
      </c>
      <c r="E22" s="116">
        <f>IFERROR(IF(d_ss_Bv!E22=0,".",((s_Ir*s_F*d_ss_Bv!E22*(1-EXP(-s_RadSpec!AX22*s_t_b)))/(s_P*s_RadSpec!AX22))),".")</f>
        <v>13.909050722522487</v>
      </c>
      <c r="F22" s="116">
        <f>IFERROR(IF(d_ss_Bv!F22=0,".",((s_Ir*s_F*d_ss_Bv!F22*(1-EXP(-s_RadSpec!AX22*s_t_b)))/(s_P*s_RadSpec!AX22))),".")</f>
        <v>1.9870072460746409</v>
      </c>
      <c r="G22" s="116">
        <f>IFERROR(IF(d_ss_Bv!G22=0,".",((s_Ir*s_F*d_ss_Bv!G22*(1-EXP(-s_RadSpec!AX22*s_t_b)))/(s_P*s_RadSpec!AX22))),".")</f>
        <v>3.3779123183268895</v>
      </c>
      <c r="H22" s="116">
        <f>IFERROR(IF(d_ss_Bv!H22=0,".",((s_Ir*s_F*d_ss_Bv!H22*(1-EXP(-s_RadSpec!AX22*s_t_b)))/(s_P*s_RadSpec!AX22))),".")</f>
        <v>18.081765939279229</v>
      </c>
      <c r="I22" s="116">
        <f>IFERROR(IF(d_ss_Bv!I22=0,".",((s_Ir*s_F*d_ss_Bv!I22*(1-EXP(-s_RadSpec!AX22*s_t_b)))/(s_P*s_RadSpec!AX22))),".")</f>
        <v>13.909050722522487</v>
      </c>
      <c r="J22" s="116">
        <f>IFERROR(IF(d_ss_Bv!J22=0,".",((s_Ir*s_F*d_ss_Bv!J22*(1-EXP(-s_RadSpec!AX22*s_t_b)))/(s_P*s_RadSpec!AX22))),".")</f>
        <v>1.9870072460746409</v>
      </c>
      <c r="K22" s="116">
        <f>IFERROR(IF(d_ss_Bv!K22=0,".",((s_Ir*s_F*d_ss_Bv!K22*(1-EXP(-s_RadSpec!AX22*s_t_b)))/(s_P*s_RadSpec!AX22))),".")</f>
        <v>0.47688173905791376</v>
      </c>
      <c r="L22" s="116">
        <f>IFERROR(IF(d_ss_Bv!L22=0,".",((s_Ir*s_F*d_ss_Bv!L22*(1-EXP(-s_RadSpec!AX22*s_t_b)))/(s_P*s_RadSpec!AX22))),".")</f>
        <v>3.3779123183268895</v>
      </c>
      <c r="M22" s="116">
        <f>IFERROR(IF(d_ss_Bv!M22=0,".",((s_Ir*s_F*d_ss_Bv!M22*(1-EXP(-s_RadSpec!AX22*s_t_b)))/(s_P*s_RadSpec!AX22))),".")</f>
        <v>18.081765939279229</v>
      </c>
      <c r="N22" s="116">
        <f>IFERROR(IF(d_ss_Bv!N22=0,".",((s_Ir*s_F*d_ss_Bv!N22*(1-EXP(-s_RadSpec!AX22*s_t_b)))/(s_P*s_RadSpec!AX22))),".")</f>
        <v>2.7818101445044974</v>
      </c>
      <c r="O22" s="116">
        <f>IFERROR(IF(d_ss_Bv!O22=0,".",((s_Ir*s_F*d_ss_Bv!O22*(1-EXP(-s_RadSpec!AX22*s_t_b)))/(s_P*s_RadSpec!AX22))),".")</f>
        <v>3.3779123183268895</v>
      </c>
      <c r="P22" s="116">
        <f>IFERROR(IF(d_ss_Bv!P22=0,".",((s_Ir*s_F*d_ss_Bv!P22*(1-EXP(-s_RadSpec!AX22*s_t_b)))/(s_P*s_RadSpec!AX22))),".")</f>
        <v>3.3779123183268895</v>
      </c>
      <c r="Q22" s="116">
        <f>IFERROR(IF(d_ss_Bv!Q22=0,".",((s_Ir*s_F*d_ss_Bv!Q22*(1-EXP(-s_RadSpec!AX22*s_t_b)))/(s_P*s_RadSpec!AX22))),".")</f>
        <v>1.9870072460746409</v>
      </c>
      <c r="R22" s="116">
        <f>IFERROR(IF(d_ss_Bv!R22=0,".",((s_Ir*s_F*d_ss_Bv!R22*(1-EXP(-s_RadSpec!AX22*s_t_b)))/(s_P*s_RadSpec!AX22))),".")</f>
        <v>1.9870072460746409</v>
      </c>
      <c r="S22" s="116">
        <f>IFERROR(IF(d_ss_Bv!S22=0,".",((s_Ir*s_F*d_ss_Bv!S22*(1-EXP(-s_RadSpec!AX22*s_t_b)))/(s_P*s_RadSpec!AX22))),".")</f>
        <v>2.7818101445044974</v>
      </c>
      <c r="T22" s="116">
        <f>IFERROR(IF(d_ss_Bv!T22=0,".",((s_Ir*s_F*d_ss_Bv!T22*(1-EXP(-s_RadSpec!AX22*s_t_b)))/(s_P*s_RadSpec!AX22))),".")</f>
        <v>2.1857079706821048</v>
      </c>
      <c r="U22" s="116">
        <f>IFERROR(IF(d_ss_Bv!U22=0,".",((s_Ir*s_F*d_ss_Bv!U22*(1-EXP(-s_RadSpec!AX22*s_t_b)))/(s_P*s_RadSpec!AX22))),".")</f>
        <v>3.3779123183268895</v>
      </c>
      <c r="V22" s="116">
        <f>IFERROR(IF(d_ss_Bv!V22=0,".",((s_Ir*s_F*d_ss_Bv!V22*(1-EXP(-s_RadSpec!AX22*s_t_b)))/(s_P*s_RadSpec!AX22))),".")</f>
        <v>2.7818101445044974</v>
      </c>
      <c r="W22" s="116">
        <f>IFERROR(IF(d_ss_Bv!W22=0,".",((s_Ir*s_F*d_ss_Bv!W22*(1-EXP(-s_RadSpec!AX22*s_t_b)))/(s_P*s_RadSpec!AX22))),".")</f>
        <v>1.9870072460746409</v>
      </c>
      <c r="X22" s="116">
        <f>IFERROR(IF(d_ss_Bv!X22=0,".",((s_Ir*s_F*d_ss_Bv!X22*(1-EXP(-s_RadSpec!AX22*s_t_b)))/(s_P*s_RadSpec!AX22))),".")</f>
        <v>3.3779123183268895</v>
      </c>
      <c r="Y22" s="116">
        <f>IFERROR(IF(d_ss_Bv!Y22=0,".",((s_Ir*s_F*d_ss_Bv!Y22*(1-EXP(-s_RadSpec!AX22*s_t_b)))/(s_P*s_RadSpec!AX22))),".")</f>
        <v>0.17286963040849374</v>
      </c>
      <c r="Z22" s="116">
        <f>IFERROR(IF(d_ss_Bv!Z22=0,".",((s_Ir*s_F*d_ss_Bv!Z22*(1-EXP(-s_RadSpec!AX22*s_t_b)))/(s_P*s_RadSpec!AX22))),".")</f>
        <v>3.3779123183268895</v>
      </c>
      <c r="AA22" s="116">
        <f>IFERROR(IF(d_ss_Bv!C22=0,".",((s_Ir*s_F*s_MLF_apple*(1-EXP(-s_RadSpec!AX22*s_t_b)))/(s_P*s_RadSpec!AX22))),".")</f>
        <v>2.6824597822007652</v>
      </c>
      <c r="AB22" s="116">
        <f>IFERROR(IF(d_ss_Bv!D22=0,".",((s_Ir*s_F*s_MLF_asparagus*(1-EXP(-s_RadSpec!AX22*s_t_b)))/(s_P*s_RadSpec!AX22))),".")</f>
        <v>2.6824597822007652</v>
      </c>
      <c r="AC22" s="116">
        <f>IFERROR(IF(d_ss_Bv!E22=0,".",((s_Ir*s_F*s_MLF_beet*(1-EXP(-s_RadSpec!AX22*s_t_b)))/(s_P*s_RadSpec!AX22))),".")</f>
        <v>2.6824597822007652</v>
      </c>
      <c r="AD22" s="116">
        <f>IFERROR(IF(d_ss_Bv!F22=0,".",((s_Ir*s_F*s_MLF_berries*(1-EXP(-s_RadSpec!AX22*s_t_b)))/(s_P*s_RadSpec!AX22))),".")</f>
        <v>2.6824597822007652</v>
      </c>
      <c r="AE22" s="116">
        <f>IFERROR(IF(d_ss_Bv!G22=0,".",((s_Ir*s_F*s_MLF_broccoli*(1-EXP(-s_RadSpec!AX22*s_t_b)))/(s_P*s_RadSpec!AX22))),".")</f>
        <v>2.6824597822007652</v>
      </c>
      <c r="AF22" s="116">
        <f>IFERROR(IF(d_ss_Bv!H22=0,".",((s_Ir*s_F*s_MLF_cabbage*(1-EXP(-s_RadSpec!AX22*s_t_b)))/(s_P*s_RadSpec!AX22))),".")</f>
        <v>2.6824597822007652</v>
      </c>
      <c r="AG22" s="116">
        <f>IFERROR(IF(d_ss_Bv!I22=0,".",((s_Ir*s_F*s_MLF_carrot*(1-EXP(-s_RadSpec!AX22*s_t_b)))/(s_P*s_RadSpec!AX22))),".")</f>
        <v>2.6824597822007652</v>
      </c>
      <c r="AH22" s="116">
        <f>IFERROR(IF(d_ss_Bv!J22=0,".",((s_Ir*s_F*s_MLF_citrus*(1-EXP(-s_RadSpec!AX22*s_t_b)))/(s_P*s_RadSpec!AX22))),".")</f>
        <v>2.6824597822007652</v>
      </c>
      <c r="AI22" s="116">
        <f>IFERROR(IF(d_ss_Bv!K22=0,".",((s_Ir*s_F*s_MLF_corn*(1-EXP(-s_RadSpec!AX22*s_t_b)))/(s_P*s_RadSpec!AX22))),".")</f>
        <v>2.6824597822007652</v>
      </c>
      <c r="AJ22" s="116">
        <f>IFERROR(IF(d_ss_Bv!L22=0,".",((s_Ir*s_F*s_MLF_cucumber*(1-EXP(-s_RadSpec!AX22*s_t_b)))/(s_P*s_RadSpec!AX22))),".")</f>
        <v>2.6824597822007652</v>
      </c>
      <c r="AK22" s="116">
        <f>IFERROR(IF(d_ss_Bv!M22=0,".",((s_Ir*s_F*s_MLF_lettuce*(1-EXP(-s_RadSpec!AX22*s_t_b)))/(s_P*s_RadSpec!AX22))),".")</f>
        <v>2.6824597822007652</v>
      </c>
      <c r="AL22" s="116">
        <f>IFERROR(IF(d_ss_Bv!N22=0,".",((s_Ir*s_F*s_MLF_lima_bean*(1-EXP(-s_RadSpec!AX22*s_t_b)))/(s_P*s_RadSpec!AX22))),".")</f>
        <v>2.6824597822007652</v>
      </c>
      <c r="AM22" s="116">
        <f>IFERROR(IF(d_ss_Bv!O22=0,".",((s_Ir*s_F*s_MLF_okra*(1-EXP(-s_RadSpec!AX22*s_t_b)))/(s_P*s_RadSpec!AX22))),".")</f>
        <v>2.6824597822007652</v>
      </c>
      <c r="AN22" s="116">
        <f>IFERROR(IF(d_ss_Bv!P22=0,".",((s_Ir*s_F*s_MLF_onion*(1-EXP(-s_RadSpec!AX22*s_t_b)))/(s_P*s_RadSpec!AX22))),".")</f>
        <v>2.6824597822007652</v>
      </c>
      <c r="AO22" s="116">
        <f>IFERROR(IF(d_ss_Bv!Q22=0,".",((s_Ir*s_F*s_MLF_peach*(1-EXP(-s_RadSpec!AX22*s_t_b)))/(s_P*s_RadSpec!AX22))),".")</f>
        <v>2.6824597822007652</v>
      </c>
      <c r="AP22" s="116">
        <f>IFERROR(IF(d_ss_Bv!R22=0,".",((s_Ir*s_F*s_MLF_pear*(1-EXP(-s_RadSpec!AX22*s_t_b)))/(s_P*s_RadSpec!AX22))),".")</f>
        <v>2.6824597822007652</v>
      </c>
      <c r="AQ22" s="116">
        <f>IFERROR(IF(d_ss_Bv!S22=0,".",((s_Ir*s_F*s_MLF_peas*(1-EXP(-s_RadSpec!AX22*s_t_b)))/(s_P*s_RadSpec!AX22))),".")</f>
        <v>2.6824597822007652</v>
      </c>
      <c r="AR22" s="116">
        <f>IFERROR(IF(d_ss_Bv!T22=0,".",((s_Ir*s_F*s_MLF_potato*(1-EXP(-s_RadSpec!AX22*s_t_b)))/(s_P*s_RadSpec!AX22))),".")</f>
        <v>2.6824597822007652</v>
      </c>
      <c r="AS22" s="116">
        <f>IFERROR(IF(d_ss_Bv!U22=0,".",((s_Ir*s_F*s_MLF_pumpkin*(1-EXP(-s_RadSpec!AX22*s_t_b)))/(s_P*s_RadSpec!AX22))),".")</f>
        <v>2.6824597822007652</v>
      </c>
      <c r="AT22" s="116">
        <f>IFERROR(IF(d_ss_Bv!V22=0,".",((s_Ir*s_F*s_MLF_snap_bean*(1-EXP(-s_RadSpec!AX22*s_t_b)))/(s_P*s_RadSpec!AX22))),".")</f>
        <v>2.6824597822007652</v>
      </c>
      <c r="AU22" s="116">
        <f>IFERROR(IF(d_ss_Bv!W22=0,".",((s_Ir*s_F*s_MLF_strawberry*(1-EXP(-s_RadSpec!AX22*s_t_b)))/(s_P*s_RadSpec!AX22))),".")</f>
        <v>2.6824597822007652</v>
      </c>
      <c r="AV22" s="116">
        <f>IFERROR(IF(d_ss_Bv!X22=0,".",((s_Ir*s_F*s_MLF_tomato*(1-EXP(-s_RadSpec!AX22*s_t_b)))/(s_P*s_RadSpec!AX22))),".")</f>
        <v>2.6824597822007652</v>
      </c>
      <c r="AW22" s="116">
        <f>IFERROR(IF(d_ss_Bv!Y22=0,".",((s_Ir*s_F*s_MLF_rice*(1-EXP(-s_RadSpec!AX22*s_t_b)))/(s_P*s_RadSpec!AX22))),".")</f>
        <v>2.6824597822007652</v>
      </c>
      <c r="AX22" s="116">
        <f>IFERROR(IF(d_ss_Bv!Z22=0,".",((s_Ir*s_F*s_MLF_cereal*(1-EXP(-s_RadSpec!AX22*s_t_b)))/(s_P*s_RadSpec!AX22))),".")</f>
        <v>2.6824597822007652</v>
      </c>
      <c r="AY22" s="116">
        <f>IFERROR(IF(d_ss_Bv!C22=0,".",((s_Ir*s_F*s_I_f*s_T*(1-EXP(-s_RadSpec!AY22*s_t_v)))/(s_Y_v*s_RadSpec!AY22))),".")</f>
        <v>9.0143481925428208</v>
      </c>
      <c r="AZ22" s="116">
        <f>IFERROR(IF(d_ss_Bv!D22=0,".",((s_Ir*s_F*s_I_f*s_T*(1-EXP(-s_RadSpec!AY22*s_t_v)))/(s_Y_v*s_RadSpec!AY22))),".")</f>
        <v>9.0143481925428208</v>
      </c>
      <c r="BA22" s="116">
        <f>IFERROR(IF(d_ss_Bv!E22=0,".",((s_Ir*s_F*s_I_f*s_T*(1-EXP(-s_RadSpec!AY22*s_t_v)))/(s_Y_v*s_RadSpec!AY22))),".")</f>
        <v>9.0143481925428208</v>
      </c>
      <c r="BB22" s="116">
        <f>IFERROR(IF(d_ss_Bv!F22=0,".",((s_Ir*s_F*s_I_f*s_T*(1-EXP(-s_RadSpec!AY22*s_t_v)))/(s_Y_v*s_RadSpec!AY22))),".")</f>
        <v>9.0143481925428208</v>
      </c>
      <c r="BC22" s="116">
        <f>IFERROR(IF(d_ss_Bv!G22=0,".",((s_Ir*s_F*s_I_f*s_T*(1-EXP(-s_RadSpec!AY22*s_t_v)))/(s_Y_v*s_RadSpec!AY22))),".")</f>
        <v>9.0143481925428208</v>
      </c>
      <c r="BD22" s="116">
        <f>IFERROR(IF(d_ss_Bv!H22=0,".",((s_Ir*s_F*s_I_f*s_T*(1-EXP(-s_RadSpec!AY22*s_t_v)))/(s_Y_v*s_RadSpec!AY22))),".")</f>
        <v>9.0143481925428208</v>
      </c>
      <c r="BE22" s="116">
        <f>IFERROR(IF(d_ss_Bv!I22=0,".",((s_Ir*s_F*s_I_f*s_T*(1-EXP(-s_RadSpec!AY22*s_t_v)))/(s_Y_v*s_RadSpec!AY22))),".")</f>
        <v>9.0143481925428208</v>
      </c>
      <c r="BF22" s="116">
        <f>IFERROR(IF(d_ss_Bv!J22=0,".",((s_Ir*s_F*s_I_f*s_T*(1-EXP(-s_RadSpec!AY22*s_t_v)))/(s_Y_v*s_RadSpec!AY22))),".")</f>
        <v>9.0143481925428208</v>
      </c>
      <c r="BG22" s="116">
        <f>IFERROR(IF(d_ss_Bv!K22=0,".",((s_Ir*s_F*s_I_f*s_T*(1-EXP(-s_RadSpec!AY22*s_t_v)))/(s_Y_v*s_RadSpec!AY22))),".")</f>
        <v>9.0143481925428208</v>
      </c>
      <c r="BH22" s="116">
        <f>IFERROR(IF(d_ss_Bv!L22=0,".",((s_Ir*s_F*s_I_f*s_T*(1-EXP(-s_RadSpec!AY22*s_t_v)))/(s_Y_v*s_RadSpec!AY22))),".")</f>
        <v>9.0143481925428208</v>
      </c>
      <c r="BI22" s="116">
        <f>IFERROR(IF(d_ss_Bv!M22=0,".",((s_Ir*s_F*s_I_f*s_T*(1-EXP(-s_RadSpec!AY22*s_t_v)))/(s_Y_v*s_RadSpec!AY22))),".")</f>
        <v>9.0143481925428208</v>
      </c>
      <c r="BJ22" s="116">
        <f>IFERROR(IF(d_ss_Bv!N22=0,".",((s_Ir*s_F*s_I_f*s_T*(1-EXP(-s_RadSpec!AY22*s_t_v)))/(s_Y_v*s_RadSpec!AY22))),".")</f>
        <v>9.0143481925428208</v>
      </c>
      <c r="BK22" s="116">
        <f>IFERROR(IF(d_ss_Bv!O22=0,".",((s_Ir*s_F*s_I_f*s_T*(1-EXP(-s_RadSpec!AY22*s_t_v)))/(s_Y_v*s_RadSpec!AY22))),".")</f>
        <v>9.0143481925428208</v>
      </c>
      <c r="BL22" s="116">
        <f>IFERROR(IF(d_ss_Bv!P22=0,".",((s_Ir*s_F*s_I_f*s_T*(1-EXP(-s_RadSpec!AY22*s_t_v)))/(s_Y_v*s_RadSpec!AY22))),".")</f>
        <v>9.0143481925428208</v>
      </c>
      <c r="BM22" s="116">
        <f>IFERROR(IF(d_ss_Bv!Q22=0,".",((s_Ir*s_F*s_I_f*s_T*(1-EXP(-s_RadSpec!AY22*s_t_v)))/(s_Y_v*s_RadSpec!AY22))),".")</f>
        <v>9.0143481925428208</v>
      </c>
      <c r="BN22" s="116">
        <f>IFERROR(IF(d_ss_Bv!R22=0,".",((s_Ir*s_F*s_I_f*s_T*(1-EXP(-s_RadSpec!AY22*s_t_v)))/(s_Y_v*s_RadSpec!AY22))),".")</f>
        <v>9.0143481925428208</v>
      </c>
      <c r="BO22" s="116">
        <f>IFERROR(IF(d_ss_Bv!S22=0,".",((s_Ir*s_F*s_I_f*s_T*(1-EXP(-s_RadSpec!AY22*s_t_v)))/(s_Y_v*s_RadSpec!AY22))),".")</f>
        <v>9.0143481925428208</v>
      </c>
      <c r="BP22" s="116">
        <f>IFERROR(IF(d_ss_Bv!T22=0,".",((s_Ir*s_F*s_I_f*s_T*(1-EXP(-s_RadSpec!AY22*s_t_v)))/(s_Y_v*s_RadSpec!AY22))),".")</f>
        <v>9.0143481925428208</v>
      </c>
      <c r="BQ22" s="116">
        <f>IFERROR(IF(d_ss_Bv!U22=0,".",((s_Ir*s_F*s_I_f*s_T*(1-EXP(-s_RadSpec!AY22*s_t_v)))/(s_Y_v*s_RadSpec!AY22))),".")</f>
        <v>9.0143481925428208</v>
      </c>
      <c r="BR22" s="116">
        <f>IFERROR(IF(d_ss_Bv!V22=0,".",((s_Ir*s_F*s_I_f*s_T*(1-EXP(-s_RadSpec!AY22*s_t_v)))/(s_Y_v*s_RadSpec!AY22))),".")</f>
        <v>9.0143481925428208</v>
      </c>
      <c r="BS22" s="116">
        <f>IFERROR(IF(d_ss_Bv!W22=0,".",((s_Ir*s_F*s_I_f*s_T*(1-EXP(-s_RadSpec!AY22*s_t_v)))/(s_Y_v*s_RadSpec!AY22))),".")</f>
        <v>9.0143481925428208</v>
      </c>
      <c r="BT22" s="116">
        <f>IFERROR(IF(d_ss_Bv!X22=0,".",((s_Ir*s_F*s_I_f*s_T*(1-EXP(-s_RadSpec!AY22*s_t_v)))/(s_Y_v*s_RadSpec!AY22))),".")</f>
        <v>9.0143481925428208</v>
      </c>
      <c r="BU22" s="116">
        <f>IFERROR(IF(d_ss_Bv!Y22=0,".",((s_Ir*s_F*s_I_f*s_T*(1-EXP(-s_RadSpec!AY22*s_t_v)))/(s_Y_v*s_RadSpec!AY22))),".")</f>
        <v>9.0143481925428208</v>
      </c>
      <c r="BV22" s="116">
        <f>IFERROR(IF(d_ss_Bv!Z22=0,".",((s_Ir*s_F*s_I_f*s_T*(1-EXP(-s_RadSpec!AY22*s_t_v)))/(s_Y_v*s_RadSpec!AY22))),".")</f>
        <v>9.0143481925428208</v>
      </c>
    </row>
    <row r="23" spans="1:74" x14ac:dyDescent="0.25">
      <c r="A23" s="46" t="s">
        <v>33</v>
      </c>
      <c r="B23" s="42" t="s">
        <v>351</v>
      </c>
      <c r="C23" s="116">
        <f>IFERROR(IF(d_ss_Bv!C23=0,".",((s_Ir*s_F*d_ss_Bv!C23*(1-EXP(-s_RadSpec!$AX23*s_t_b)))/(s_P*s_RadSpec!$AX23))),".")</f>
        <v>1.9870072460746409</v>
      </c>
      <c r="D23" s="116">
        <f>IFERROR(IF(d_ss_Bv!D23=0,".",((s_Ir*s_F*d_ss_Bv!D23*(1-EXP(-s_RadSpec!AX23*s_t_b)))/(s_P*s_RadSpec!AX23))),".")</f>
        <v>18.081765939279229</v>
      </c>
      <c r="E23" s="116">
        <f>IFERROR(IF(d_ss_Bv!E23=0,".",((s_Ir*s_F*d_ss_Bv!E23*(1-EXP(-s_RadSpec!AX23*s_t_b)))/(s_P*s_RadSpec!AX23))),".")</f>
        <v>13.909050722522487</v>
      </c>
      <c r="F23" s="116">
        <f>IFERROR(IF(d_ss_Bv!F23=0,".",((s_Ir*s_F*d_ss_Bv!F23*(1-EXP(-s_RadSpec!AX23*s_t_b)))/(s_P*s_RadSpec!AX23))),".")</f>
        <v>1.9870072460746409</v>
      </c>
      <c r="G23" s="116">
        <f>IFERROR(IF(d_ss_Bv!G23=0,".",((s_Ir*s_F*d_ss_Bv!G23*(1-EXP(-s_RadSpec!AX23*s_t_b)))/(s_P*s_RadSpec!AX23))),".")</f>
        <v>3.3779123183268895</v>
      </c>
      <c r="H23" s="116">
        <f>IFERROR(IF(d_ss_Bv!H23=0,".",((s_Ir*s_F*d_ss_Bv!H23*(1-EXP(-s_RadSpec!AX23*s_t_b)))/(s_P*s_RadSpec!AX23))),".")</f>
        <v>18.081765939279229</v>
      </c>
      <c r="I23" s="116">
        <f>IFERROR(IF(d_ss_Bv!I23=0,".",((s_Ir*s_F*d_ss_Bv!I23*(1-EXP(-s_RadSpec!AX23*s_t_b)))/(s_P*s_RadSpec!AX23))),".")</f>
        <v>13.909050722522487</v>
      </c>
      <c r="J23" s="116">
        <f>IFERROR(IF(d_ss_Bv!J23=0,".",((s_Ir*s_F*d_ss_Bv!J23*(1-EXP(-s_RadSpec!AX23*s_t_b)))/(s_P*s_RadSpec!AX23))),".")</f>
        <v>1.9870072460746409</v>
      </c>
      <c r="K23" s="116">
        <f>IFERROR(IF(d_ss_Bv!K23=0,".",((s_Ir*s_F*d_ss_Bv!K23*(1-EXP(-s_RadSpec!AX23*s_t_b)))/(s_P*s_RadSpec!AX23))),".")</f>
        <v>0.47688173905791376</v>
      </c>
      <c r="L23" s="116">
        <f>IFERROR(IF(d_ss_Bv!L23=0,".",((s_Ir*s_F*d_ss_Bv!L23*(1-EXP(-s_RadSpec!AX23*s_t_b)))/(s_P*s_RadSpec!AX23))),".")</f>
        <v>3.3779123183268895</v>
      </c>
      <c r="M23" s="116">
        <f>IFERROR(IF(d_ss_Bv!M23=0,".",((s_Ir*s_F*d_ss_Bv!M23*(1-EXP(-s_RadSpec!AX23*s_t_b)))/(s_P*s_RadSpec!AX23))),".")</f>
        <v>18.081765939279229</v>
      </c>
      <c r="N23" s="116">
        <f>IFERROR(IF(d_ss_Bv!N23=0,".",((s_Ir*s_F*d_ss_Bv!N23*(1-EXP(-s_RadSpec!AX23*s_t_b)))/(s_P*s_RadSpec!AX23))),".")</f>
        <v>2.7818101445044974</v>
      </c>
      <c r="O23" s="116">
        <f>IFERROR(IF(d_ss_Bv!O23=0,".",((s_Ir*s_F*d_ss_Bv!O23*(1-EXP(-s_RadSpec!AX23*s_t_b)))/(s_P*s_RadSpec!AX23))),".")</f>
        <v>3.3779123183268895</v>
      </c>
      <c r="P23" s="116">
        <f>IFERROR(IF(d_ss_Bv!P23=0,".",((s_Ir*s_F*d_ss_Bv!P23*(1-EXP(-s_RadSpec!AX23*s_t_b)))/(s_P*s_RadSpec!AX23))),".")</f>
        <v>3.3779123183268895</v>
      </c>
      <c r="Q23" s="116">
        <f>IFERROR(IF(d_ss_Bv!Q23=0,".",((s_Ir*s_F*d_ss_Bv!Q23*(1-EXP(-s_RadSpec!AX23*s_t_b)))/(s_P*s_RadSpec!AX23))),".")</f>
        <v>1.9870072460746409</v>
      </c>
      <c r="R23" s="116">
        <f>IFERROR(IF(d_ss_Bv!R23=0,".",((s_Ir*s_F*d_ss_Bv!R23*(1-EXP(-s_RadSpec!AX23*s_t_b)))/(s_P*s_RadSpec!AX23))),".")</f>
        <v>1.9870072460746409</v>
      </c>
      <c r="S23" s="116">
        <f>IFERROR(IF(d_ss_Bv!S23=0,".",((s_Ir*s_F*d_ss_Bv!S23*(1-EXP(-s_RadSpec!AX23*s_t_b)))/(s_P*s_RadSpec!AX23))),".")</f>
        <v>2.7818101445044974</v>
      </c>
      <c r="T23" s="116">
        <f>IFERROR(IF(d_ss_Bv!T23=0,".",((s_Ir*s_F*d_ss_Bv!T23*(1-EXP(-s_RadSpec!AX23*s_t_b)))/(s_P*s_RadSpec!AX23))),".")</f>
        <v>2.1857079706821048</v>
      </c>
      <c r="U23" s="116">
        <f>IFERROR(IF(d_ss_Bv!U23=0,".",((s_Ir*s_F*d_ss_Bv!U23*(1-EXP(-s_RadSpec!AX23*s_t_b)))/(s_P*s_RadSpec!AX23))),".")</f>
        <v>3.3779123183268895</v>
      </c>
      <c r="V23" s="116">
        <f>IFERROR(IF(d_ss_Bv!V23=0,".",((s_Ir*s_F*d_ss_Bv!V23*(1-EXP(-s_RadSpec!AX23*s_t_b)))/(s_P*s_RadSpec!AX23))),".")</f>
        <v>2.7818101445044974</v>
      </c>
      <c r="W23" s="116">
        <f>IFERROR(IF(d_ss_Bv!W23=0,".",((s_Ir*s_F*d_ss_Bv!W23*(1-EXP(-s_RadSpec!AX23*s_t_b)))/(s_P*s_RadSpec!AX23))),".")</f>
        <v>1.9870072460746409</v>
      </c>
      <c r="X23" s="116">
        <f>IFERROR(IF(d_ss_Bv!X23=0,".",((s_Ir*s_F*d_ss_Bv!X23*(1-EXP(-s_RadSpec!AX23*s_t_b)))/(s_P*s_RadSpec!AX23))),".")</f>
        <v>3.3779123183268895</v>
      </c>
      <c r="Y23" s="116">
        <f>IFERROR(IF(d_ss_Bv!Y23=0,".",((s_Ir*s_F*d_ss_Bv!Y23*(1-EXP(-s_RadSpec!AX23*s_t_b)))/(s_P*s_RadSpec!AX23))),".")</f>
        <v>0.17286963040849374</v>
      </c>
      <c r="Z23" s="116">
        <f>IFERROR(IF(d_ss_Bv!Z23=0,".",((s_Ir*s_F*d_ss_Bv!Z23*(1-EXP(-s_RadSpec!AX23*s_t_b)))/(s_P*s_RadSpec!AX23))),".")</f>
        <v>3.3779123183268895</v>
      </c>
      <c r="AA23" s="116">
        <f>IFERROR(IF(d_ss_Bv!C23=0,".",((s_Ir*s_F*s_MLF_apple*(1-EXP(-s_RadSpec!AX23*s_t_b)))/(s_P*s_RadSpec!AX23))),".")</f>
        <v>2.6824597822007652</v>
      </c>
      <c r="AB23" s="116">
        <f>IFERROR(IF(d_ss_Bv!D23=0,".",((s_Ir*s_F*s_MLF_asparagus*(1-EXP(-s_RadSpec!AX23*s_t_b)))/(s_P*s_RadSpec!AX23))),".")</f>
        <v>2.6824597822007652</v>
      </c>
      <c r="AC23" s="116">
        <f>IFERROR(IF(d_ss_Bv!E23=0,".",((s_Ir*s_F*s_MLF_beet*(1-EXP(-s_RadSpec!AX23*s_t_b)))/(s_P*s_RadSpec!AX23))),".")</f>
        <v>2.6824597822007652</v>
      </c>
      <c r="AD23" s="116">
        <f>IFERROR(IF(d_ss_Bv!F23=0,".",((s_Ir*s_F*s_MLF_berries*(1-EXP(-s_RadSpec!AX23*s_t_b)))/(s_P*s_RadSpec!AX23))),".")</f>
        <v>2.6824597822007652</v>
      </c>
      <c r="AE23" s="116">
        <f>IFERROR(IF(d_ss_Bv!G23=0,".",((s_Ir*s_F*s_MLF_broccoli*(1-EXP(-s_RadSpec!AX23*s_t_b)))/(s_P*s_RadSpec!AX23))),".")</f>
        <v>2.6824597822007652</v>
      </c>
      <c r="AF23" s="116">
        <f>IFERROR(IF(d_ss_Bv!H23=0,".",((s_Ir*s_F*s_MLF_cabbage*(1-EXP(-s_RadSpec!AX23*s_t_b)))/(s_P*s_RadSpec!AX23))),".")</f>
        <v>2.6824597822007652</v>
      </c>
      <c r="AG23" s="116">
        <f>IFERROR(IF(d_ss_Bv!I23=0,".",((s_Ir*s_F*s_MLF_carrot*(1-EXP(-s_RadSpec!AX23*s_t_b)))/(s_P*s_RadSpec!AX23))),".")</f>
        <v>2.6824597822007652</v>
      </c>
      <c r="AH23" s="116">
        <f>IFERROR(IF(d_ss_Bv!J23=0,".",((s_Ir*s_F*s_MLF_citrus*(1-EXP(-s_RadSpec!AX23*s_t_b)))/(s_P*s_RadSpec!AX23))),".")</f>
        <v>2.6824597822007652</v>
      </c>
      <c r="AI23" s="116">
        <f>IFERROR(IF(d_ss_Bv!K23=0,".",((s_Ir*s_F*s_MLF_corn*(1-EXP(-s_RadSpec!AX23*s_t_b)))/(s_P*s_RadSpec!AX23))),".")</f>
        <v>2.6824597822007652</v>
      </c>
      <c r="AJ23" s="116">
        <f>IFERROR(IF(d_ss_Bv!L23=0,".",((s_Ir*s_F*s_MLF_cucumber*(1-EXP(-s_RadSpec!AX23*s_t_b)))/(s_P*s_RadSpec!AX23))),".")</f>
        <v>2.6824597822007652</v>
      </c>
      <c r="AK23" s="116">
        <f>IFERROR(IF(d_ss_Bv!M23=0,".",((s_Ir*s_F*s_MLF_lettuce*(1-EXP(-s_RadSpec!AX23*s_t_b)))/(s_P*s_RadSpec!AX23))),".")</f>
        <v>2.6824597822007652</v>
      </c>
      <c r="AL23" s="116">
        <f>IFERROR(IF(d_ss_Bv!N23=0,".",((s_Ir*s_F*s_MLF_lima_bean*(1-EXP(-s_RadSpec!AX23*s_t_b)))/(s_P*s_RadSpec!AX23))),".")</f>
        <v>2.6824597822007652</v>
      </c>
      <c r="AM23" s="116">
        <f>IFERROR(IF(d_ss_Bv!O23=0,".",((s_Ir*s_F*s_MLF_okra*(1-EXP(-s_RadSpec!AX23*s_t_b)))/(s_P*s_RadSpec!AX23))),".")</f>
        <v>2.6824597822007652</v>
      </c>
      <c r="AN23" s="116">
        <f>IFERROR(IF(d_ss_Bv!P23=0,".",((s_Ir*s_F*s_MLF_onion*(1-EXP(-s_RadSpec!AX23*s_t_b)))/(s_P*s_RadSpec!AX23))),".")</f>
        <v>2.6824597822007652</v>
      </c>
      <c r="AO23" s="116">
        <f>IFERROR(IF(d_ss_Bv!Q23=0,".",((s_Ir*s_F*s_MLF_peach*(1-EXP(-s_RadSpec!AX23*s_t_b)))/(s_P*s_RadSpec!AX23))),".")</f>
        <v>2.6824597822007652</v>
      </c>
      <c r="AP23" s="116">
        <f>IFERROR(IF(d_ss_Bv!R23=0,".",((s_Ir*s_F*s_MLF_pear*(1-EXP(-s_RadSpec!AX23*s_t_b)))/(s_P*s_RadSpec!AX23))),".")</f>
        <v>2.6824597822007652</v>
      </c>
      <c r="AQ23" s="116">
        <f>IFERROR(IF(d_ss_Bv!S23=0,".",((s_Ir*s_F*s_MLF_peas*(1-EXP(-s_RadSpec!AX23*s_t_b)))/(s_P*s_RadSpec!AX23))),".")</f>
        <v>2.6824597822007652</v>
      </c>
      <c r="AR23" s="116">
        <f>IFERROR(IF(d_ss_Bv!T23=0,".",((s_Ir*s_F*s_MLF_potato*(1-EXP(-s_RadSpec!AX23*s_t_b)))/(s_P*s_RadSpec!AX23))),".")</f>
        <v>2.6824597822007652</v>
      </c>
      <c r="AS23" s="116">
        <f>IFERROR(IF(d_ss_Bv!U23=0,".",((s_Ir*s_F*s_MLF_pumpkin*(1-EXP(-s_RadSpec!AX23*s_t_b)))/(s_P*s_RadSpec!AX23))),".")</f>
        <v>2.6824597822007652</v>
      </c>
      <c r="AT23" s="116">
        <f>IFERROR(IF(d_ss_Bv!V23=0,".",((s_Ir*s_F*s_MLF_snap_bean*(1-EXP(-s_RadSpec!AX23*s_t_b)))/(s_P*s_RadSpec!AX23))),".")</f>
        <v>2.6824597822007652</v>
      </c>
      <c r="AU23" s="116">
        <f>IFERROR(IF(d_ss_Bv!W23=0,".",((s_Ir*s_F*s_MLF_strawberry*(1-EXP(-s_RadSpec!AX23*s_t_b)))/(s_P*s_RadSpec!AX23))),".")</f>
        <v>2.6824597822007652</v>
      </c>
      <c r="AV23" s="116">
        <f>IFERROR(IF(d_ss_Bv!X23=0,".",((s_Ir*s_F*s_MLF_tomato*(1-EXP(-s_RadSpec!AX23*s_t_b)))/(s_P*s_RadSpec!AX23))),".")</f>
        <v>2.6824597822007652</v>
      </c>
      <c r="AW23" s="116">
        <f>IFERROR(IF(d_ss_Bv!Y23=0,".",((s_Ir*s_F*s_MLF_rice*(1-EXP(-s_RadSpec!AX23*s_t_b)))/(s_P*s_RadSpec!AX23))),".")</f>
        <v>2.6824597822007652</v>
      </c>
      <c r="AX23" s="116">
        <f>IFERROR(IF(d_ss_Bv!Z23=0,".",((s_Ir*s_F*s_MLF_cereal*(1-EXP(-s_RadSpec!AX23*s_t_b)))/(s_P*s_RadSpec!AX23))),".")</f>
        <v>2.6824597822007652</v>
      </c>
      <c r="AY23" s="116">
        <f>IFERROR(IF(d_ss_Bv!C23=0,".",((s_Ir*s_F*s_I_f*s_T*(1-EXP(-s_RadSpec!AY23*s_t_v)))/(s_Y_v*s_RadSpec!AY23))),".")</f>
        <v>9.0143481925428208</v>
      </c>
      <c r="AZ23" s="116">
        <f>IFERROR(IF(d_ss_Bv!D23=0,".",((s_Ir*s_F*s_I_f*s_T*(1-EXP(-s_RadSpec!AY23*s_t_v)))/(s_Y_v*s_RadSpec!AY23))),".")</f>
        <v>9.0143481925428208</v>
      </c>
      <c r="BA23" s="116">
        <f>IFERROR(IF(d_ss_Bv!E23=0,".",((s_Ir*s_F*s_I_f*s_T*(1-EXP(-s_RadSpec!AY23*s_t_v)))/(s_Y_v*s_RadSpec!AY23))),".")</f>
        <v>9.0143481925428208</v>
      </c>
      <c r="BB23" s="116">
        <f>IFERROR(IF(d_ss_Bv!F23=0,".",((s_Ir*s_F*s_I_f*s_T*(1-EXP(-s_RadSpec!AY23*s_t_v)))/(s_Y_v*s_RadSpec!AY23))),".")</f>
        <v>9.0143481925428208</v>
      </c>
      <c r="BC23" s="116">
        <f>IFERROR(IF(d_ss_Bv!G23=0,".",((s_Ir*s_F*s_I_f*s_T*(1-EXP(-s_RadSpec!AY23*s_t_v)))/(s_Y_v*s_RadSpec!AY23))),".")</f>
        <v>9.0143481925428208</v>
      </c>
      <c r="BD23" s="116">
        <f>IFERROR(IF(d_ss_Bv!H23=0,".",((s_Ir*s_F*s_I_f*s_T*(1-EXP(-s_RadSpec!AY23*s_t_v)))/(s_Y_v*s_RadSpec!AY23))),".")</f>
        <v>9.0143481925428208</v>
      </c>
      <c r="BE23" s="116">
        <f>IFERROR(IF(d_ss_Bv!I23=0,".",((s_Ir*s_F*s_I_f*s_T*(1-EXP(-s_RadSpec!AY23*s_t_v)))/(s_Y_v*s_RadSpec!AY23))),".")</f>
        <v>9.0143481925428208</v>
      </c>
      <c r="BF23" s="116">
        <f>IFERROR(IF(d_ss_Bv!J23=0,".",((s_Ir*s_F*s_I_f*s_T*(1-EXP(-s_RadSpec!AY23*s_t_v)))/(s_Y_v*s_RadSpec!AY23))),".")</f>
        <v>9.0143481925428208</v>
      </c>
      <c r="BG23" s="116">
        <f>IFERROR(IF(d_ss_Bv!K23=0,".",((s_Ir*s_F*s_I_f*s_T*(1-EXP(-s_RadSpec!AY23*s_t_v)))/(s_Y_v*s_RadSpec!AY23))),".")</f>
        <v>9.0143481925428208</v>
      </c>
      <c r="BH23" s="116">
        <f>IFERROR(IF(d_ss_Bv!L23=0,".",((s_Ir*s_F*s_I_f*s_T*(1-EXP(-s_RadSpec!AY23*s_t_v)))/(s_Y_v*s_RadSpec!AY23))),".")</f>
        <v>9.0143481925428208</v>
      </c>
      <c r="BI23" s="116">
        <f>IFERROR(IF(d_ss_Bv!M23=0,".",((s_Ir*s_F*s_I_f*s_T*(1-EXP(-s_RadSpec!AY23*s_t_v)))/(s_Y_v*s_RadSpec!AY23))),".")</f>
        <v>9.0143481925428208</v>
      </c>
      <c r="BJ23" s="116">
        <f>IFERROR(IF(d_ss_Bv!N23=0,".",((s_Ir*s_F*s_I_f*s_T*(1-EXP(-s_RadSpec!AY23*s_t_v)))/(s_Y_v*s_RadSpec!AY23))),".")</f>
        <v>9.0143481925428208</v>
      </c>
      <c r="BK23" s="116">
        <f>IFERROR(IF(d_ss_Bv!O23=0,".",((s_Ir*s_F*s_I_f*s_T*(1-EXP(-s_RadSpec!AY23*s_t_v)))/(s_Y_v*s_RadSpec!AY23))),".")</f>
        <v>9.0143481925428208</v>
      </c>
      <c r="BL23" s="116">
        <f>IFERROR(IF(d_ss_Bv!P23=0,".",((s_Ir*s_F*s_I_f*s_T*(1-EXP(-s_RadSpec!AY23*s_t_v)))/(s_Y_v*s_RadSpec!AY23))),".")</f>
        <v>9.0143481925428208</v>
      </c>
      <c r="BM23" s="116">
        <f>IFERROR(IF(d_ss_Bv!Q23=0,".",((s_Ir*s_F*s_I_f*s_T*(1-EXP(-s_RadSpec!AY23*s_t_v)))/(s_Y_v*s_RadSpec!AY23))),".")</f>
        <v>9.0143481925428208</v>
      </c>
      <c r="BN23" s="116">
        <f>IFERROR(IF(d_ss_Bv!R23=0,".",((s_Ir*s_F*s_I_f*s_T*(1-EXP(-s_RadSpec!AY23*s_t_v)))/(s_Y_v*s_RadSpec!AY23))),".")</f>
        <v>9.0143481925428208</v>
      </c>
      <c r="BO23" s="116">
        <f>IFERROR(IF(d_ss_Bv!S23=0,".",((s_Ir*s_F*s_I_f*s_T*(1-EXP(-s_RadSpec!AY23*s_t_v)))/(s_Y_v*s_RadSpec!AY23))),".")</f>
        <v>9.0143481925428208</v>
      </c>
      <c r="BP23" s="116">
        <f>IFERROR(IF(d_ss_Bv!T23=0,".",((s_Ir*s_F*s_I_f*s_T*(1-EXP(-s_RadSpec!AY23*s_t_v)))/(s_Y_v*s_RadSpec!AY23))),".")</f>
        <v>9.0143481925428208</v>
      </c>
      <c r="BQ23" s="116">
        <f>IFERROR(IF(d_ss_Bv!U23=0,".",((s_Ir*s_F*s_I_f*s_T*(1-EXP(-s_RadSpec!AY23*s_t_v)))/(s_Y_v*s_RadSpec!AY23))),".")</f>
        <v>9.0143481925428208</v>
      </c>
      <c r="BR23" s="116">
        <f>IFERROR(IF(d_ss_Bv!V23=0,".",((s_Ir*s_F*s_I_f*s_T*(1-EXP(-s_RadSpec!AY23*s_t_v)))/(s_Y_v*s_RadSpec!AY23))),".")</f>
        <v>9.0143481925428208</v>
      </c>
      <c r="BS23" s="116">
        <f>IFERROR(IF(d_ss_Bv!W23=0,".",((s_Ir*s_F*s_I_f*s_T*(1-EXP(-s_RadSpec!AY23*s_t_v)))/(s_Y_v*s_RadSpec!AY23))),".")</f>
        <v>9.0143481925428208</v>
      </c>
      <c r="BT23" s="116">
        <f>IFERROR(IF(d_ss_Bv!X23=0,".",((s_Ir*s_F*s_I_f*s_T*(1-EXP(-s_RadSpec!AY23*s_t_v)))/(s_Y_v*s_RadSpec!AY23))),".")</f>
        <v>9.0143481925428208</v>
      </c>
      <c r="BU23" s="116">
        <f>IFERROR(IF(d_ss_Bv!Y23=0,".",((s_Ir*s_F*s_I_f*s_T*(1-EXP(-s_RadSpec!AY23*s_t_v)))/(s_Y_v*s_RadSpec!AY23))),".")</f>
        <v>9.0143481925428208</v>
      </c>
      <c r="BV23" s="116">
        <f>IFERROR(IF(d_ss_Bv!Z23=0,".",((s_Ir*s_F*s_I_f*s_T*(1-EXP(-s_RadSpec!AY23*s_t_v)))/(s_Y_v*s_RadSpec!AY23))),".")</f>
        <v>9.0143481925428208</v>
      </c>
    </row>
    <row r="24" spans="1:74" x14ac:dyDescent="0.25">
      <c r="A24" s="44" t="s">
        <v>34</v>
      </c>
      <c r="B24" s="42" t="s">
        <v>1074</v>
      </c>
      <c r="C24" s="116" t="str">
        <f>IFERROR(IF(d_ss_Bv!C24=0,".",((s_Ir*s_F*d_ss_Bv!C24*(1-EXP(-s_RadSpec!$AX24*s_t_b)))/(s_P*s_RadSpec!$AX24))),".")</f>
        <v>.</v>
      </c>
      <c r="D24" s="116" t="str">
        <f>IFERROR(IF(d_ss_Bv!D24=0,".",((s_Ir*s_F*d_ss_Bv!D24*(1-EXP(-s_RadSpec!AX24*s_t_b)))/(s_P*s_RadSpec!AX24))),".")</f>
        <v>.</v>
      </c>
      <c r="E24" s="116" t="str">
        <f>IFERROR(IF(d_ss_Bv!E24=0,".",((s_Ir*s_F*d_ss_Bv!E24*(1-EXP(-s_RadSpec!AX24*s_t_b)))/(s_P*s_RadSpec!AX24))),".")</f>
        <v>.</v>
      </c>
      <c r="F24" s="116" t="str">
        <f>IFERROR(IF(d_ss_Bv!F24=0,".",((s_Ir*s_F*d_ss_Bv!F24*(1-EXP(-s_RadSpec!AX24*s_t_b)))/(s_P*s_RadSpec!AX24))),".")</f>
        <v>.</v>
      </c>
      <c r="G24" s="116" t="str">
        <f>IFERROR(IF(d_ss_Bv!G24=0,".",((s_Ir*s_F*d_ss_Bv!G24*(1-EXP(-s_RadSpec!AX24*s_t_b)))/(s_P*s_RadSpec!AX24))),".")</f>
        <v>.</v>
      </c>
      <c r="H24" s="116" t="str">
        <f>IFERROR(IF(d_ss_Bv!H24=0,".",((s_Ir*s_F*d_ss_Bv!H24*(1-EXP(-s_RadSpec!AX24*s_t_b)))/(s_P*s_RadSpec!AX24))),".")</f>
        <v>.</v>
      </c>
      <c r="I24" s="116" t="str">
        <f>IFERROR(IF(d_ss_Bv!I24=0,".",((s_Ir*s_F*d_ss_Bv!I24*(1-EXP(-s_RadSpec!AX24*s_t_b)))/(s_P*s_RadSpec!AX24))),".")</f>
        <v>.</v>
      </c>
      <c r="J24" s="116" t="str">
        <f>IFERROR(IF(d_ss_Bv!J24=0,".",((s_Ir*s_F*d_ss_Bv!J24*(1-EXP(-s_RadSpec!AX24*s_t_b)))/(s_P*s_RadSpec!AX24))),".")</f>
        <v>.</v>
      </c>
      <c r="K24" s="116" t="str">
        <f>IFERROR(IF(d_ss_Bv!K24=0,".",((s_Ir*s_F*d_ss_Bv!K24*(1-EXP(-s_RadSpec!AX24*s_t_b)))/(s_P*s_RadSpec!AX24))),".")</f>
        <v>.</v>
      </c>
      <c r="L24" s="116" t="str">
        <f>IFERROR(IF(d_ss_Bv!L24=0,".",((s_Ir*s_F*d_ss_Bv!L24*(1-EXP(-s_RadSpec!AX24*s_t_b)))/(s_P*s_RadSpec!AX24))),".")</f>
        <v>.</v>
      </c>
      <c r="M24" s="116" t="str">
        <f>IFERROR(IF(d_ss_Bv!M24=0,".",((s_Ir*s_F*d_ss_Bv!M24*(1-EXP(-s_RadSpec!AX24*s_t_b)))/(s_P*s_RadSpec!AX24))),".")</f>
        <v>.</v>
      </c>
      <c r="N24" s="116" t="str">
        <f>IFERROR(IF(d_ss_Bv!N24=0,".",((s_Ir*s_F*d_ss_Bv!N24*(1-EXP(-s_RadSpec!AX24*s_t_b)))/(s_P*s_RadSpec!AX24))),".")</f>
        <v>.</v>
      </c>
      <c r="O24" s="116" t="str">
        <f>IFERROR(IF(d_ss_Bv!O24=0,".",((s_Ir*s_F*d_ss_Bv!O24*(1-EXP(-s_RadSpec!AX24*s_t_b)))/(s_P*s_RadSpec!AX24))),".")</f>
        <v>.</v>
      </c>
      <c r="P24" s="116" t="str">
        <f>IFERROR(IF(d_ss_Bv!P24=0,".",((s_Ir*s_F*d_ss_Bv!P24*(1-EXP(-s_RadSpec!AX24*s_t_b)))/(s_P*s_RadSpec!AX24))),".")</f>
        <v>.</v>
      </c>
      <c r="Q24" s="116" t="str">
        <f>IFERROR(IF(d_ss_Bv!Q24=0,".",((s_Ir*s_F*d_ss_Bv!Q24*(1-EXP(-s_RadSpec!AX24*s_t_b)))/(s_P*s_RadSpec!AX24))),".")</f>
        <v>.</v>
      </c>
      <c r="R24" s="116" t="str">
        <f>IFERROR(IF(d_ss_Bv!R24=0,".",((s_Ir*s_F*d_ss_Bv!R24*(1-EXP(-s_RadSpec!AX24*s_t_b)))/(s_P*s_RadSpec!AX24))),".")</f>
        <v>.</v>
      </c>
      <c r="S24" s="116" t="str">
        <f>IFERROR(IF(d_ss_Bv!S24=0,".",((s_Ir*s_F*d_ss_Bv!S24*(1-EXP(-s_RadSpec!AX24*s_t_b)))/(s_P*s_RadSpec!AX24))),".")</f>
        <v>.</v>
      </c>
      <c r="T24" s="116" t="str">
        <f>IFERROR(IF(d_ss_Bv!T24=0,".",((s_Ir*s_F*d_ss_Bv!T24*(1-EXP(-s_RadSpec!AX24*s_t_b)))/(s_P*s_RadSpec!AX24))),".")</f>
        <v>.</v>
      </c>
      <c r="U24" s="116" t="str">
        <f>IFERROR(IF(d_ss_Bv!U24=0,".",((s_Ir*s_F*d_ss_Bv!U24*(1-EXP(-s_RadSpec!AX24*s_t_b)))/(s_P*s_RadSpec!AX24))),".")</f>
        <v>.</v>
      </c>
      <c r="V24" s="116" t="str">
        <f>IFERROR(IF(d_ss_Bv!V24=0,".",((s_Ir*s_F*d_ss_Bv!V24*(1-EXP(-s_RadSpec!AX24*s_t_b)))/(s_P*s_RadSpec!AX24))),".")</f>
        <v>.</v>
      </c>
      <c r="W24" s="116" t="str">
        <f>IFERROR(IF(d_ss_Bv!W24=0,".",((s_Ir*s_F*d_ss_Bv!W24*(1-EXP(-s_RadSpec!AX24*s_t_b)))/(s_P*s_RadSpec!AX24))),".")</f>
        <v>.</v>
      </c>
      <c r="X24" s="116" t="str">
        <f>IFERROR(IF(d_ss_Bv!X24=0,".",((s_Ir*s_F*d_ss_Bv!X24*(1-EXP(-s_RadSpec!AX24*s_t_b)))/(s_P*s_RadSpec!AX24))),".")</f>
        <v>.</v>
      </c>
      <c r="Y24" s="116" t="str">
        <f>IFERROR(IF(d_ss_Bv!Y24=0,".",((s_Ir*s_F*d_ss_Bv!Y24*(1-EXP(-s_RadSpec!AX24*s_t_b)))/(s_P*s_RadSpec!AX24))),".")</f>
        <v>.</v>
      </c>
      <c r="Z24" s="116" t="str">
        <f>IFERROR(IF(d_ss_Bv!Z24=0,".",((s_Ir*s_F*d_ss_Bv!Z24*(1-EXP(-s_RadSpec!AX24*s_t_b)))/(s_P*s_RadSpec!AX24))),".")</f>
        <v>.</v>
      </c>
      <c r="AA24" s="116" t="str">
        <f>IFERROR(IF(d_ss_Bv!C24=0,".",((s_Ir*s_F*s_MLF_apple*(1-EXP(-s_RadSpec!AX24*s_t_b)))/(s_P*s_RadSpec!AX24))),".")</f>
        <v>.</v>
      </c>
      <c r="AB24" s="116" t="str">
        <f>IFERROR(IF(d_ss_Bv!D24=0,".",((s_Ir*s_F*s_MLF_asparagus*(1-EXP(-s_RadSpec!AX24*s_t_b)))/(s_P*s_RadSpec!AX24))),".")</f>
        <v>.</v>
      </c>
      <c r="AC24" s="116" t="str">
        <f>IFERROR(IF(d_ss_Bv!E24=0,".",((s_Ir*s_F*s_MLF_beet*(1-EXP(-s_RadSpec!AX24*s_t_b)))/(s_P*s_RadSpec!AX24))),".")</f>
        <v>.</v>
      </c>
      <c r="AD24" s="116" t="str">
        <f>IFERROR(IF(d_ss_Bv!F24=0,".",((s_Ir*s_F*s_MLF_berries*(1-EXP(-s_RadSpec!AX24*s_t_b)))/(s_P*s_RadSpec!AX24))),".")</f>
        <v>.</v>
      </c>
      <c r="AE24" s="116" t="str">
        <f>IFERROR(IF(d_ss_Bv!G24=0,".",((s_Ir*s_F*s_MLF_broccoli*(1-EXP(-s_RadSpec!AX24*s_t_b)))/(s_P*s_RadSpec!AX24))),".")</f>
        <v>.</v>
      </c>
      <c r="AF24" s="116" t="str">
        <f>IFERROR(IF(d_ss_Bv!H24=0,".",((s_Ir*s_F*s_MLF_cabbage*(1-EXP(-s_RadSpec!AX24*s_t_b)))/(s_P*s_RadSpec!AX24))),".")</f>
        <v>.</v>
      </c>
      <c r="AG24" s="116" t="str">
        <f>IFERROR(IF(d_ss_Bv!I24=0,".",((s_Ir*s_F*s_MLF_carrot*(1-EXP(-s_RadSpec!AX24*s_t_b)))/(s_P*s_RadSpec!AX24))),".")</f>
        <v>.</v>
      </c>
      <c r="AH24" s="116" t="str">
        <f>IFERROR(IF(d_ss_Bv!J24=0,".",((s_Ir*s_F*s_MLF_citrus*(1-EXP(-s_RadSpec!AX24*s_t_b)))/(s_P*s_RadSpec!AX24))),".")</f>
        <v>.</v>
      </c>
      <c r="AI24" s="116" t="str">
        <f>IFERROR(IF(d_ss_Bv!K24=0,".",((s_Ir*s_F*s_MLF_corn*(1-EXP(-s_RadSpec!AX24*s_t_b)))/(s_P*s_RadSpec!AX24))),".")</f>
        <v>.</v>
      </c>
      <c r="AJ24" s="116" t="str">
        <f>IFERROR(IF(d_ss_Bv!L24=0,".",((s_Ir*s_F*s_MLF_cucumber*(1-EXP(-s_RadSpec!AX24*s_t_b)))/(s_P*s_RadSpec!AX24))),".")</f>
        <v>.</v>
      </c>
      <c r="AK24" s="116" t="str">
        <f>IFERROR(IF(d_ss_Bv!M24=0,".",((s_Ir*s_F*s_MLF_lettuce*(1-EXP(-s_RadSpec!AX24*s_t_b)))/(s_P*s_RadSpec!AX24))),".")</f>
        <v>.</v>
      </c>
      <c r="AL24" s="116" t="str">
        <f>IFERROR(IF(d_ss_Bv!N24=0,".",((s_Ir*s_F*s_MLF_lima_bean*(1-EXP(-s_RadSpec!AX24*s_t_b)))/(s_P*s_RadSpec!AX24))),".")</f>
        <v>.</v>
      </c>
      <c r="AM24" s="116" t="str">
        <f>IFERROR(IF(d_ss_Bv!O24=0,".",((s_Ir*s_F*s_MLF_okra*(1-EXP(-s_RadSpec!AX24*s_t_b)))/(s_P*s_RadSpec!AX24))),".")</f>
        <v>.</v>
      </c>
      <c r="AN24" s="116" t="str">
        <f>IFERROR(IF(d_ss_Bv!P24=0,".",((s_Ir*s_F*s_MLF_onion*(1-EXP(-s_RadSpec!AX24*s_t_b)))/(s_P*s_RadSpec!AX24))),".")</f>
        <v>.</v>
      </c>
      <c r="AO24" s="116" t="str">
        <f>IFERROR(IF(d_ss_Bv!Q24=0,".",((s_Ir*s_F*s_MLF_peach*(1-EXP(-s_RadSpec!AX24*s_t_b)))/(s_P*s_RadSpec!AX24))),".")</f>
        <v>.</v>
      </c>
      <c r="AP24" s="116" t="str">
        <f>IFERROR(IF(d_ss_Bv!R24=0,".",((s_Ir*s_F*s_MLF_pear*(1-EXP(-s_RadSpec!AX24*s_t_b)))/(s_P*s_RadSpec!AX24))),".")</f>
        <v>.</v>
      </c>
      <c r="AQ24" s="116" t="str">
        <f>IFERROR(IF(d_ss_Bv!S24=0,".",((s_Ir*s_F*s_MLF_peas*(1-EXP(-s_RadSpec!AX24*s_t_b)))/(s_P*s_RadSpec!AX24))),".")</f>
        <v>.</v>
      </c>
      <c r="AR24" s="116" t="str">
        <f>IFERROR(IF(d_ss_Bv!T24=0,".",((s_Ir*s_F*s_MLF_potato*(1-EXP(-s_RadSpec!AX24*s_t_b)))/(s_P*s_RadSpec!AX24))),".")</f>
        <v>.</v>
      </c>
      <c r="AS24" s="116" t="str">
        <f>IFERROR(IF(d_ss_Bv!U24=0,".",((s_Ir*s_F*s_MLF_pumpkin*(1-EXP(-s_RadSpec!AX24*s_t_b)))/(s_P*s_RadSpec!AX24))),".")</f>
        <v>.</v>
      </c>
      <c r="AT24" s="116" t="str">
        <f>IFERROR(IF(d_ss_Bv!V24=0,".",((s_Ir*s_F*s_MLF_snap_bean*(1-EXP(-s_RadSpec!AX24*s_t_b)))/(s_P*s_RadSpec!AX24))),".")</f>
        <v>.</v>
      </c>
      <c r="AU24" s="116" t="str">
        <f>IFERROR(IF(d_ss_Bv!W24=0,".",((s_Ir*s_F*s_MLF_strawberry*(1-EXP(-s_RadSpec!AX24*s_t_b)))/(s_P*s_RadSpec!AX24))),".")</f>
        <v>.</v>
      </c>
      <c r="AV24" s="116" t="str">
        <f>IFERROR(IF(d_ss_Bv!X24=0,".",((s_Ir*s_F*s_MLF_tomato*(1-EXP(-s_RadSpec!AX24*s_t_b)))/(s_P*s_RadSpec!AX24))),".")</f>
        <v>.</v>
      </c>
      <c r="AW24" s="116" t="str">
        <f>IFERROR(IF(d_ss_Bv!Y24=0,".",((s_Ir*s_F*s_MLF_rice*(1-EXP(-s_RadSpec!AX24*s_t_b)))/(s_P*s_RadSpec!AX24))),".")</f>
        <v>.</v>
      </c>
      <c r="AX24" s="116" t="str">
        <f>IFERROR(IF(d_ss_Bv!Z24=0,".",((s_Ir*s_F*s_MLF_cereal*(1-EXP(-s_RadSpec!AX24*s_t_b)))/(s_P*s_RadSpec!AX24))),".")</f>
        <v>.</v>
      </c>
      <c r="AY24" s="116" t="str">
        <f>IFERROR(IF(d_ss_Bv!C24=0,".",((s_Ir*s_F*s_I_f*s_T*(1-EXP(-s_RadSpec!AY24*s_t_v)))/(s_Y_v*s_RadSpec!AY24))),".")</f>
        <v>.</v>
      </c>
      <c r="AZ24" s="116" t="str">
        <f>IFERROR(IF(d_ss_Bv!D24=0,".",((s_Ir*s_F*s_I_f*s_T*(1-EXP(-s_RadSpec!AY24*s_t_v)))/(s_Y_v*s_RadSpec!AY24))),".")</f>
        <v>.</v>
      </c>
      <c r="BA24" s="116" t="str">
        <f>IFERROR(IF(d_ss_Bv!E24=0,".",((s_Ir*s_F*s_I_f*s_T*(1-EXP(-s_RadSpec!AY24*s_t_v)))/(s_Y_v*s_RadSpec!AY24))),".")</f>
        <v>.</v>
      </c>
      <c r="BB24" s="116" t="str">
        <f>IFERROR(IF(d_ss_Bv!F24=0,".",((s_Ir*s_F*s_I_f*s_T*(1-EXP(-s_RadSpec!AY24*s_t_v)))/(s_Y_v*s_RadSpec!AY24))),".")</f>
        <v>.</v>
      </c>
      <c r="BC24" s="116" t="str">
        <f>IFERROR(IF(d_ss_Bv!G24=0,".",((s_Ir*s_F*s_I_f*s_T*(1-EXP(-s_RadSpec!AY24*s_t_v)))/(s_Y_v*s_RadSpec!AY24))),".")</f>
        <v>.</v>
      </c>
      <c r="BD24" s="116" t="str">
        <f>IFERROR(IF(d_ss_Bv!H24=0,".",((s_Ir*s_F*s_I_f*s_T*(1-EXP(-s_RadSpec!AY24*s_t_v)))/(s_Y_v*s_RadSpec!AY24))),".")</f>
        <v>.</v>
      </c>
      <c r="BE24" s="116" t="str">
        <f>IFERROR(IF(d_ss_Bv!I24=0,".",((s_Ir*s_F*s_I_f*s_T*(1-EXP(-s_RadSpec!AY24*s_t_v)))/(s_Y_v*s_RadSpec!AY24))),".")</f>
        <v>.</v>
      </c>
      <c r="BF24" s="116" t="str">
        <f>IFERROR(IF(d_ss_Bv!J24=0,".",((s_Ir*s_F*s_I_f*s_T*(1-EXP(-s_RadSpec!AY24*s_t_v)))/(s_Y_v*s_RadSpec!AY24))),".")</f>
        <v>.</v>
      </c>
      <c r="BG24" s="116" t="str">
        <f>IFERROR(IF(d_ss_Bv!K24=0,".",((s_Ir*s_F*s_I_f*s_T*(1-EXP(-s_RadSpec!AY24*s_t_v)))/(s_Y_v*s_RadSpec!AY24))),".")</f>
        <v>.</v>
      </c>
      <c r="BH24" s="116" t="str">
        <f>IFERROR(IF(d_ss_Bv!L24=0,".",((s_Ir*s_F*s_I_f*s_T*(1-EXP(-s_RadSpec!AY24*s_t_v)))/(s_Y_v*s_RadSpec!AY24))),".")</f>
        <v>.</v>
      </c>
      <c r="BI24" s="116" t="str">
        <f>IFERROR(IF(d_ss_Bv!M24=0,".",((s_Ir*s_F*s_I_f*s_T*(1-EXP(-s_RadSpec!AY24*s_t_v)))/(s_Y_v*s_RadSpec!AY24))),".")</f>
        <v>.</v>
      </c>
      <c r="BJ24" s="116" t="str">
        <f>IFERROR(IF(d_ss_Bv!N24=0,".",((s_Ir*s_F*s_I_f*s_T*(1-EXP(-s_RadSpec!AY24*s_t_v)))/(s_Y_v*s_RadSpec!AY24))),".")</f>
        <v>.</v>
      </c>
      <c r="BK24" s="116" t="str">
        <f>IFERROR(IF(d_ss_Bv!O24=0,".",((s_Ir*s_F*s_I_f*s_T*(1-EXP(-s_RadSpec!AY24*s_t_v)))/(s_Y_v*s_RadSpec!AY24))),".")</f>
        <v>.</v>
      </c>
      <c r="BL24" s="116" t="str">
        <f>IFERROR(IF(d_ss_Bv!P24=0,".",((s_Ir*s_F*s_I_f*s_T*(1-EXP(-s_RadSpec!AY24*s_t_v)))/(s_Y_v*s_RadSpec!AY24))),".")</f>
        <v>.</v>
      </c>
      <c r="BM24" s="116" t="str">
        <f>IFERROR(IF(d_ss_Bv!Q24=0,".",((s_Ir*s_F*s_I_f*s_T*(1-EXP(-s_RadSpec!AY24*s_t_v)))/(s_Y_v*s_RadSpec!AY24))),".")</f>
        <v>.</v>
      </c>
      <c r="BN24" s="116" t="str">
        <f>IFERROR(IF(d_ss_Bv!R24=0,".",((s_Ir*s_F*s_I_f*s_T*(1-EXP(-s_RadSpec!AY24*s_t_v)))/(s_Y_v*s_RadSpec!AY24))),".")</f>
        <v>.</v>
      </c>
      <c r="BO24" s="116" t="str">
        <f>IFERROR(IF(d_ss_Bv!S24=0,".",((s_Ir*s_F*s_I_f*s_T*(1-EXP(-s_RadSpec!AY24*s_t_v)))/(s_Y_v*s_RadSpec!AY24))),".")</f>
        <v>.</v>
      </c>
      <c r="BP24" s="116" t="str">
        <f>IFERROR(IF(d_ss_Bv!T24=0,".",((s_Ir*s_F*s_I_f*s_T*(1-EXP(-s_RadSpec!AY24*s_t_v)))/(s_Y_v*s_RadSpec!AY24))),".")</f>
        <v>.</v>
      </c>
      <c r="BQ24" s="116" t="str">
        <f>IFERROR(IF(d_ss_Bv!U24=0,".",((s_Ir*s_F*s_I_f*s_T*(1-EXP(-s_RadSpec!AY24*s_t_v)))/(s_Y_v*s_RadSpec!AY24))),".")</f>
        <v>.</v>
      </c>
      <c r="BR24" s="116" t="str">
        <f>IFERROR(IF(d_ss_Bv!V24=0,".",((s_Ir*s_F*s_I_f*s_T*(1-EXP(-s_RadSpec!AY24*s_t_v)))/(s_Y_v*s_RadSpec!AY24))),".")</f>
        <v>.</v>
      </c>
      <c r="BS24" s="116" t="str">
        <f>IFERROR(IF(d_ss_Bv!W24=0,".",((s_Ir*s_F*s_I_f*s_T*(1-EXP(-s_RadSpec!AY24*s_t_v)))/(s_Y_v*s_RadSpec!AY24))),".")</f>
        <v>.</v>
      </c>
      <c r="BT24" s="116" t="str">
        <f>IFERROR(IF(d_ss_Bv!X24=0,".",((s_Ir*s_F*s_I_f*s_T*(1-EXP(-s_RadSpec!AY24*s_t_v)))/(s_Y_v*s_RadSpec!AY24))),".")</f>
        <v>.</v>
      </c>
      <c r="BU24" s="116" t="str">
        <f>IFERROR(IF(d_ss_Bv!Y24=0,".",((s_Ir*s_F*s_I_f*s_T*(1-EXP(-s_RadSpec!AY24*s_t_v)))/(s_Y_v*s_RadSpec!AY24))),".")</f>
        <v>.</v>
      </c>
      <c r="BV24" s="116" t="str">
        <f>IFERROR(IF(d_ss_Bv!Z24=0,".",((s_Ir*s_F*s_I_f*s_T*(1-EXP(-s_RadSpec!AY24*s_t_v)))/(s_Y_v*s_RadSpec!AY24))),".")</f>
        <v>.</v>
      </c>
    </row>
    <row r="25" spans="1:74" x14ac:dyDescent="0.25">
      <c r="A25" s="46" t="s">
        <v>35</v>
      </c>
      <c r="B25" s="42" t="s">
        <v>351</v>
      </c>
      <c r="C25" s="116" t="str">
        <f>IFERROR(IF(d_ss_Bv!C25=0,".",((s_Ir*s_F*d_ss_Bv!C25*(1-EXP(-s_RadSpec!$AX25*s_t_b)))/(s_P*s_RadSpec!$AX25))),".")</f>
        <v>.</v>
      </c>
      <c r="D25" s="116" t="str">
        <f>IFERROR(IF(d_ss_Bv!D25=0,".",((s_Ir*s_F*d_ss_Bv!D25*(1-EXP(-s_RadSpec!AX25*s_t_b)))/(s_P*s_RadSpec!AX25))),".")</f>
        <v>.</v>
      </c>
      <c r="E25" s="116" t="str">
        <f>IFERROR(IF(d_ss_Bv!E25=0,".",((s_Ir*s_F*d_ss_Bv!E25*(1-EXP(-s_RadSpec!AX25*s_t_b)))/(s_P*s_RadSpec!AX25))),".")</f>
        <v>.</v>
      </c>
      <c r="F25" s="116" t="str">
        <f>IFERROR(IF(d_ss_Bv!F25=0,".",((s_Ir*s_F*d_ss_Bv!F25*(1-EXP(-s_RadSpec!AX25*s_t_b)))/(s_P*s_RadSpec!AX25))),".")</f>
        <v>.</v>
      </c>
      <c r="G25" s="116" t="str">
        <f>IFERROR(IF(d_ss_Bv!G25=0,".",((s_Ir*s_F*d_ss_Bv!G25*(1-EXP(-s_RadSpec!AX25*s_t_b)))/(s_P*s_RadSpec!AX25))),".")</f>
        <v>.</v>
      </c>
      <c r="H25" s="116" t="str">
        <f>IFERROR(IF(d_ss_Bv!H25=0,".",((s_Ir*s_F*d_ss_Bv!H25*(1-EXP(-s_RadSpec!AX25*s_t_b)))/(s_P*s_RadSpec!AX25))),".")</f>
        <v>.</v>
      </c>
      <c r="I25" s="116" t="str">
        <f>IFERROR(IF(d_ss_Bv!I25=0,".",((s_Ir*s_F*d_ss_Bv!I25*(1-EXP(-s_RadSpec!AX25*s_t_b)))/(s_P*s_RadSpec!AX25))),".")</f>
        <v>.</v>
      </c>
      <c r="J25" s="116" t="str">
        <f>IFERROR(IF(d_ss_Bv!J25=0,".",((s_Ir*s_F*d_ss_Bv!J25*(1-EXP(-s_RadSpec!AX25*s_t_b)))/(s_P*s_RadSpec!AX25))),".")</f>
        <v>.</v>
      </c>
      <c r="K25" s="116" t="str">
        <f>IFERROR(IF(d_ss_Bv!K25=0,".",((s_Ir*s_F*d_ss_Bv!K25*(1-EXP(-s_RadSpec!AX25*s_t_b)))/(s_P*s_RadSpec!AX25))),".")</f>
        <v>.</v>
      </c>
      <c r="L25" s="116" t="str">
        <f>IFERROR(IF(d_ss_Bv!L25=0,".",((s_Ir*s_F*d_ss_Bv!L25*(1-EXP(-s_RadSpec!AX25*s_t_b)))/(s_P*s_RadSpec!AX25))),".")</f>
        <v>.</v>
      </c>
      <c r="M25" s="116" t="str">
        <f>IFERROR(IF(d_ss_Bv!M25=0,".",((s_Ir*s_F*d_ss_Bv!M25*(1-EXP(-s_RadSpec!AX25*s_t_b)))/(s_P*s_RadSpec!AX25))),".")</f>
        <v>.</v>
      </c>
      <c r="N25" s="116" t="str">
        <f>IFERROR(IF(d_ss_Bv!N25=0,".",((s_Ir*s_F*d_ss_Bv!N25*(1-EXP(-s_RadSpec!AX25*s_t_b)))/(s_P*s_RadSpec!AX25))),".")</f>
        <v>.</v>
      </c>
      <c r="O25" s="116" t="str">
        <f>IFERROR(IF(d_ss_Bv!O25=0,".",((s_Ir*s_F*d_ss_Bv!O25*(1-EXP(-s_RadSpec!AX25*s_t_b)))/(s_P*s_RadSpec!AX25))),".")</f>
        <v>.</v>
      </c>
      <c r="P25" s="116" t="str">
        <f>IFERROR(IF(d_ss_Bv!P25=0,".",((s_Ir*s_F*d_ss_Bv!P25*(1-EXP(-s_RadSpec!AX25*s_t_b)))/(s_P*s_RadSpec!AX25))),".")</f>
        <v>.</v>
      </c>
      <c r="Q25" s="116" t="str">
        <f>IFERROR(IF(d_ss_Bv!Q25=0,".",((s_Ir*s_F*d_ss_Bv!Q25*(1-EXP(-s_RadSpec!AX25*s_t_b)))/(s_P*s_RadSpec!AX25))),".")</f>
        <v>.</v>
      </c>
      <c r="R25" s="116" t="str">
        <f>IFERROR(IF(d_ss_Bv!R25=0,".",((s_Ir*s_F*d_ss_Bv!R25*(1-EXP(-s_RadSpec!AX25*s_t_b)))/(s_P*s_RadSpec!AX25))),".")</f>
        <v>.</v>
      </c>
      <c r="S25" s="116" t="str">
        <f>IFERROR(IF(d_ss_Bv!S25=0,".",((s_Ir*s_F*d_ss_Bv!S25*(1-EXP(-s_RadSpec!AX25*s_t_b)))/(s_P*s_RadSpec!AX25))),".")</f>
        <v>.</v>
      </c>
      <c r="T25" s="116" t="str">
        <f>IFERROR(IF(d_ss_Bv!T25=0,".",((s_Ir*s_F*d_ss_Bv!T25*(1-EXP(-s_RadSpec!AX25*s_t_b)))/(s_P*s_RadSpec!AX25))),".")</f>
        <v>.</v>
      </c>
      <c r="U25" s="116" t="str">
        <f>IFERROR(IF(d_ss_Bv!U25=0,".",((s_Ir*s_F*d_ss_Bv!U25*(1-EXP(-s_RadSpec!AX25*s_t_b)))/(s_P*s_RadSpec!AX25))),".")</f>
        <v>.</v>
      </c>
      <c r="V25" s="116" t="str">
        <f>IFERROR(IF(d_ss_Bv!V25=0,".",((s_Ir*s_F*d_ss_Bv!V25*(1-EXP(-s_RadSpec!AX25*s_t_b)))/(s_P*s_RadSpec!AX25))),".")</f>
        <v>.</v>
      </c>
      <c r="W25" s="116" t="str">
        <f>IFERROR(IF(d_ss_Bv!W25=0,".",((s_Ir*s_F*d_ss_Bv!W25*(1-EXP(-s_RadSpec!AX25*s_t_b)))/(s_P*s_RadSpec!AX25))),".")</f>
        <v>.</v>
      </c>
      <c r="X25" s="116" t="str">
        <f>IFERROR(IF(d_ss_Bv!X25=0,".",((s_Ir*s_F*d_ss_Bv!X25*(1-EXP(-s_RadSpec!AX25*s_t_b)))/(s_P*s_RadSpec!AX25))),".")</f>
        <v>.</v>
      </c>
      <c r="Y25" s="116" t="str">
        <f>IFERROR(IF(d_ss_Bv!Y25=0,".",((s_Ir*s_F*d_ss_Bv!Y25*(1-EXP(-s_RadSpec!AX25*s_t_b)))/(s_P*s_RadSpec!AX25))),".")</f>
        <v>.</v>
      </c>
      <c r="Z25" s="116" t="str">
        <f>IFERROR(IF(d_ss_Bv!Z25=0,".",((s_Ir*s_F*d_ss_Bv!Z25*(1-EXP(-s_RadSpec!AX25*s_t_b)))/(s_P*s_RadSpec!AX25))),".")</f>
        <v>.</v>
      </c>
      <c r="AA25" s="116" t="str">
        <f>IFERROR(IF(d_ss_Bv!C25=0,".",((s_Ir*s_F*s_MLF_apple*(1-EXP(-s_RadSpec!AX25*s_t_b)))/(s_P*s_RadSpec!AX25))),".")</f>
        <v>.</v>
      </c>
      <c r="AB25" s="116" t="str">
        <f>IFERROR(IF(d_ss_Bv!D25=0,".",((s_Ir*s_F*s_MLF_asparagus*(1-EXP(-s_RadSpec!AX25*s_t_b)))/(s_P*s_RadSpec!AX25))),".")</f>
        <v>.</v>
      </c>
      <c r="AC25" s="116" t="str">
        <f>IFERROR(IF(d_ss_Bv!E25=0,".",((s_Ir*s_F*s_MLF_beet*(1-EXP(-s_RadSpec!AX25*s_t_b)))/(s_P*s_RadSpec!AX25))),".")</f>
        <v>.</v>
      </c>
      <c r="AD25" s="116" t="str">
        <f>IFERROR(IF(d_ss_Bv!F25=0,".",((s_Ir*s_F*s_MLF_berries*(1-EXP(-s_RadSpec!AX25*s_t_b)))/(s_P*s_RadSpec!AX25))),".")</f>
        <v>.</v>
      </c>
      <c r="AE25" s="116" t="str">
        <f>IFERROR(IF(d_ss_Bv!G25=0,".",((s_Ir*s_F*s_MLF_broccoli*(1-EXP(-s_RadSpec!AX25*s_t_b)))/(s_P*s_RadSpec!AX25))),".")</f>
        <v>.</v>
      </c>
      <c r="AF25" s="116" t="str">
        <f>IFERROR(IF(d_ss_Bv!H25=0,".",((s_Ir*s_F*s_MLF_cabbage*(1-EXP(-s_RadSpec!AX25*s_t_b)))/(s_P*s_RadSpec!AX25))),".")</f>
        <v>.</v>
      </c>
      <c r="AG25" s="116" t="str">
        <f>IFERROR(IF(d_ss_Bv!I25=0,".",((s_Ir*s_F*s_MLF_carrot*(1-EXP(-s_RadSpec!AX25*s_t_b)))/(s_P*s_RadSpec!AX25))),".")</f>
        <v>.</v>
      </c>
      <c r="AH25" s="116" t="str">
        <f>IFERROR(IF(d_ss_Bv!J25=0,".",((s_Ir*s_F*s_MLF_citrus*(1-EXP(-s_RadSpec!AX25*s_t_b)))/(s_P*s_RadSpec!AX25))),".")</f>
        <v>.</v>
      </c>
      <c r="AI25" s="116" t="str">
        <f>IFERROR(IF(d_ss_Bv!K25=0,".",((s_Ir*s_F*s_MLF_corn*(1-EXP(-s_RadSpec!AX25*s_t_b)))/(s_P*s_RadSpec!AX25))),".")</f>
        <v>.</v>
      </c>
      <c r="AJ25" s="116" t="str">
        <f>IFERROR(IF(d_ss_Bv!L25=0,".",((s_Ir*s_F*s_MLF_cucumber*(1-EXP(-s_RadSpec!AX25*s_t_b)))/(s_P*s_RadSpec!AX25))),".")</f>
        <v>.</v>
      </c>
      <c r="AK25" s="116" t="str">
        <f>IFERROR(IF(d_ss_Bv!M25=0,".",((s_Ir*s_F*s_MLF_lettuce*(1-EXP(-s_RadSpec!AX25*s_t_b)))/(s_P*s_RadSpec!AX25))),".")</f>
        <v>.</v>
      </c>
      <c r="AL25" s="116" t="str">
        <f>IFERROR(IF(d_ss_Bv!N25=0,".",((s_Ir*s_F*s_MLF_lima_bean*(1-EXP(-s_RadSpec!AX25*s_t_b)))/(s_P*s_RadSpec!AX25))),".")</f>
        <v>.</v>
      </c>
      <c r="AM25" s="116" t="str">
        <f>IFERROR(IF(d_ss_Bv!O25=0,".",((s_Ir*s_F*s_MLF_okra*(1-EXP(-s_RadSpec!AX25*s_t_b)))/(s_P*s_RadSpec!AX25))),".")</f>
        <v>.</v>
      </c>
      <c r="AN25" s="116" t="str">
        <f>IFERROR(IF(d_ss_Bv!P25=0,".",((s_Ir*s_F*s_MLF_onion*(1-EXP(-s_RadSpec!AX25*s_t_b)))/(s_P*s_RadSpec!AX25))),".")</f>
        <v>.</v>
      </c>
      <c r="AO25" s="116" t="str">
        <f>IFERROR(IF(d_ss_Bv!Q25=0,".",((s_Ir*s_F*s_MLF_peach*(1-EXP(-s_RadSpec!AX25*s_t_b)))/(s_P*s_RadSpec!AX25))),".")</f>
        <v>.</v>
      </c>
      <c r="AP25" s="116" t="str">
        <f>IFERROR(IF(d_ss_Bv!R25=0,".",((s_Ir*s_F*s_MLF_pear*(1-EXP(-s_RadSpec!AX25*s_t_b)))/(s_P*s_RadSpec!AX25))),".")</f>
        <v>.</v>
      </c>
      <c r="AQ25" s="116" t="str">
        <f>IFERROR(IF(d_ss_Bv!S25=0,".",((s_Ir*s_F*s_MLF_peas*(1-EXP(-s_RadSpec!AX25*s_t_b)))/(s_P*s_RadSpec!AX25))),".")</f>
        <v>.</v>
      </c>
      <c r="AR25" s="116" t="str">
        <f>IFERROR(IF(d_ss_Bv!T25=0,".",((s_Ir*s_F*s_MLF_potato*(1-EXP(-s_RadSpec!AX25*s_t_b)))/(s_P*s_RadSpec!AX25))),".")</f>
        <v>.</v>
      </c>
      <c r="AS25" s="116" t="str">
        <f>IFERROR(IF(d_ss_Bv!U25=0,".",((s_Ir*s_F*s_MLF_pumpkin*(1-EXP(-s_RadSpec!AX25*s_t_b)))/(s_P*s_RadSpec!AX25))),".")</f>
        <v>.</v>
      </c>
      <c r="AT25" s="116" t="str">
        <f>IFERROR(IF(d_ss_Bv!V25=0,".",((s_Ir*s_F*s_MLF_snap_bean*(1-EXP(-s_RadSpec!AX25*s_t_b)))/(s_P*s_RadSpec!AX25))),".")</f>
        <v>.</v>
      </c>
      <c r="AU25" s="116" t="str">
        <f>IFERROR(IF(d_ss_Bv!W25=0,".",((s_Ir*s_F*s_MLF_strawberry*(1-EXP(-s_RadSpec!AX25*s_t_b)))/(s_P*s_RadSpec!AX25))),".")</f>
        <v>.</v>
      </c>
      <c r="AV25" s="116" t="str">
        <f>IFERROR(IF(d_ss_Bv!X25=0,".",((s_Ir*s_F*s_MLF_tomato*(1-EXP(-s_RadSpec!AX25*s_t_b)))/(s_P*s_RadSpec!AX25))),".")</f>
        <v>.</v>
      </c>
      <c r="AW25" s="116" t="str">
        <f>IFERROR(IF(d_ss_Bv!Y25=0,".",((s_Ir*s_F*s_MLF_rice*(1-EXP(-s_RadSpec!AX25*s_t_b)))/(s_P*s_RadSpec!AX25))),".")</f>
        <v>.</v>
      </c>
      <c r="AX25" s="116" t="str">
        <f>IFERROR(IF(d_ss_Bv!Z25=0,".",((s_Ir*s_F*s_MLF_cereal*(1-EXP(-s_RadSpec!AX25*s_t_b)))/(s_P*s_RadSpec!AX25))),".")</f>
        <v>.</v>
      </c>
      <c r="AY25" s="116" t="str">
        <f>IFERROR(IF(d_ss_Bv!C25=0,".",((s_Ir*s_F*s_I_f*s_T*(1-EXP(-s_RadSpec!AY25*s_t_v)))/(s_Y_v*s_RadSpec!AY25))),".")</f>
        <v>.</v>
      </c>
      <c r="AZ25" s="116" t="str">
        <f>IFERROR(IF(d_ss_Bv!D25=0,".",((s_Ir*s_F*s_I_f*s_T*(1-EXP(-s_RadSpec!AY25*s_t_v)))/(s_Y_v*s_RadSpec!AY25))),".")</f>
        <v>.</v>
      </c>
      <c r="BA25" s="116" t="str">
        <f>IFERROR(IF(d_ss_Bv!E25=0,".",((s_Ir*s_F*s_I_f*s_T*(1-EXP(-s_RadSpec!AY25*s_t_v)))/(s_Y_v*s_RadSpec!AY25))),".")</f>
        <v>.</v>
      </c>
      <c r="BB25" s="116" t="str">
        <f>IFERROR(IF(d_ss_Bv!F25=0,".",((s_Ir*s_F*s_I_f*s_T*(1-EXP(-s_RadSpec!AY25*s_t_v)))/(s_Y_v*s_RadSpec!AY25))),".")</f>
        <v>.</v>
      </c>
      <c r="BC25" s="116" t="str">
        <f>IFERROR(IF(d_ss_Bv!G25=0,".",((s_Ir*s_F*s_I_f*s_T*(1-EXP(-s_RadSpec!AY25*s_t_v)))/(s_Y_v*s_RadSpec!AY25))),".")</f>
        <v>.</v>
      </c>
      <c r="BD25" s="116" t="str">
        <f>IFERROR(IF(d_ss_Bv!H25=0,".",((s_Ir*s_F*s_I_f*s_T*(1-EXP(-s_RadSpec!AY25*s_t_v)))/(s_Y_v*s_RadSpec!AY25))),".")</f>
        <v>.</v>
      </c>
      <c r="BE25" s="116" t="str">
        <f>IFERROR(IF(d_ss_Bv!I25=0,".",((s_Ir*s_F*s_I_f*s_T*(1-EXP(-s_RadSpec!AY25*s_t_v)))/(s_Y_v*s_RadSpec!AY25))),".")</f>
        <v>.</v>
      </c>
      <c r="BF25" s="116" t="str">
        <f>IFERROR(IF(d_ss_Bv!J25=0,".",((s_Ir*s_F*s_I_f*s_T*(1-EXP(-s_RadSpec!AY25*s_t_v)))/(s_Y_v*s_RadSpec!AY25))),".")</f>
        <v>.</v>
      </c>
      <c r="BG25" s="116" t="str">
        <f>IFERROR(IF(d_ss_Bv!K25=0,".",((s_Ir*s_F*s_I_f*s_T*(1-EXP(-s_RadSpec!AY25*s_t_v)))/(s_Y_v*s_RadSpec!AY25))),".")</f>
        <v>.</v>
      </c>
      <c r="BH25" s="116" t="str">
        <f>IFERROR(IF(d_ss_Bv!L25=0,".",((s_Ir*s_F*s_I_f*s_T*(1-EXP(-s_RadSpec!AY25*s_t_v)))/(s_Y_v*s_RadSpec!AY25))),".")</f>
        <v>.</v>
      </c>
      <c r="BI25" s="116" t="str">
        <f>IFERROR(IF(d_ss_Bv!M25=0,".",((s_Ir*s_F*s_I_f*s_T*(1-EXP(-s_RadSpec!AY25*s_t_v)))/(s_Y_v*s_RadSpec!AY25))),".")</f>
        <v>.</v>
      </c>
      <c r="BJ25" s="116" t="str">
        <f>IFERROR(IF(d_ss_Bv!N25=0,".",((s_Ir*s_F*s_I_f*s_T*(1-EXP(-s_RadSpec!AY25*s_t_v)))/(s_Y_v*s_RadSpec!AY25))),".")</f>
        <v>.</v>
      </c>
      <c r="BK25" s="116" t="str">
        <f>IFERROR(IF(d_ss_Bv!O25=0,".",((s_Ir*s_F*s_I_f*s_T*(1-EXP(-s_RadSpec!AY25*s_t_v)))/(s_Y_v*s_RadSpec!AY25))),".")</f>
        <v>.</v>
      </c>
      <c r="BL25" s="116" t="str">
        <f>IFERROR(IF(d_ss_Bv!P25=0,".",((s_Ir*s_F*s_I_f*s_T*(1-EXP(-s_RadSpec!AY25*s_t_v)))/(s_Y_v*s_RadSpec!AY25))),".")</f>
        <v>.</v>
      </c>
      <c r="BM25" s="116" t="str">
        <f>IFERROR(IF(d_ss_Bv!Q25=0,".",((s_Ir*s_F*s_I_f*s_T*(1-EXP(-s_RadSpec!AY25*s_t_v)))/(s_Y_v*s_RadSpec!AY25))),".")</f>
        <v>.</v>
      </c>
      <c r="BN25" s="116" t="str">
        <f>IFERROR(IF(d_ss_Bv!R25=0,".",((s_Ir*s_F*s_I_f*s_T*(1-EXP(-s_RadSpec!AY25*s_t_v)))/(s_Y_v*s_RadSpec!AY25))),".")</f>
        <v>.</v>
      </c>
      <c r="BO25" s="116" t="str">
        <f>IFERROR(IF(d_ss_Bv!S25=0,".",((s_Ir*s_F*s_I_f*s_T*(1-EXP(-s_RadSpec!AY25*s_t_v)))/(s_Y_v*s_RadSpec!AY25))),".")</f>
        <v>.</v>
      </c>
      <c r="BP25" s="116" t="str">
        <f>IFERROR(IF(d_ss_Bv!T25=0,".",((s_Ir*s_F*s_I_f*s_T*(1-EXP(-s_RadSpec!AY25*s_t_v)))/(s_Y_v*s_RadSpec!AY25))),".")</f>
        <v>.</v>
      </c>
      <c r="BQ25" s="116" t="str">
        <f>IFERROR(IF(d_ss_Bv!U25=0,".",((s_Ir*s_F*s_I_f*s_T*(1-EXP(-s_RadSpec!AY25*s_t_v)))/(s_Y_v*s_RadSpec!AY25))),".")</f>
        <v>.</v>
      </c>
      <c r="BR25" s="116" t="str">
        <f>IFERROR(IF(d_ss_Bv!V25=0,".",((s_Ir*s_F*s_I_f*s_T*(1-EXP(-s_RadSpec!AY25*s_t_v)))/(s_Y_v*s_RadSpec!AY25))),".")</f>
        <v>.</v>
      </c>
      <c r="BS25" s="116" t="str">
        <f>IFERROR(IF(d_ss_Bv!W25=0,".",((s_Ir*s_F*s_I_f*s_T*(1-EXP(-s_RadSpec!AY25*s_t_v)))/(s_Y_v*s_RadSpec!AY25))),".")</f>
        <v>.</v>
      </c>
      <c r="BT25" s="116" t="str">
        <f>IFERROR(IF(d_ss_Bv!X25=0,".",((s_Ir*s_F*s_I_f*s_T*(1-EXP(-s_RadSpec!AY25*s_t_v)))/(s_Y_v*s_RadSpec!AY25))),".")</f>
        <v>.</v>
      </c>
      <c r="BU25" s="116" t="str">
        <f>IFERROR(IF(d_ss_Bv!Y25=0,".",((s_Ir*s_F*s_I_f*s_T*(1-EXP(-s_RadSpec!AY25*s_t_v)))/(s_Y_v*s_RadSpec!AY25))),".")</f>
        <v>.</v>
      </c>
      <c r="BV25" s="116" t="str">
        <f>IFERROR(IF(d_ss_Bv!Z25=0,".",((s_Ir*s_F*s_I_f*s_T*(1-EXP(-s_RadSpec!AY25*s_t_v)))/(s_Y_v*s_RadSpec!AY25))),".")</f>
        <v>.</v>
      </c>
    </row>
    <row r="26" spans="1:74" x14ac:dyDescent="0.25">
      <c r="A26" s="44" t="s">
        <v>36</v>
      </c>
      <c r="B26" s="42" t="s">
        <v>1074</v>
      </c>
      <c r="C26" s="116">
        <f>IFERROR(IF(d_ss_Bv!C26=0,".",((s_Ir*s_F*d_ss_Bv!C26*(1-EXP(-s_RadSpec!$AX26*s_t_b)))/(s_P*s_RadSpec!$AX26))),".")</f>
        <v>9.9350362303732037E-2</v>
      </c>
      <c r="D26" s="116">
        <f>IFERROR(IF(d_ss_Bv!D26=0,".",((s_Ir*s_F*d_ss_Bv!D26*(1-EXP(-s_RadSpec!AX26*s_t_b)))/(s_P*s_RadSpec!AX26))),".")</f>
        <v>0.23844086952895688</v>
      </c>
      <c r="E26" s="116">
        <f>IFERROR(IF(d_ss_Bv!E26=0,".",((s_Ir*s_F*d_ss_Bv!E26*(1-EXP(-s_RadSpec!AX26*s_t_b)))/(s_P*s_RadSpec!AX26))),".")</f>
        <v>0.15896057968597124</v>
      </c>
      <c r="F26" s="116">
        <f>IFERROR(IF(d_ss_Bv!F26=0,".",((s_Ir*s_F*d_ss_Bv!F26*(1-EXP(-s_RadSpec!AX26*s_t_b)))/(s_P*s_RadSpec!AX26))),".")</f>
        <v>9.9350362303732037E-2</v>
      </c>
      <c r="G26" s="116">
        <f>IFERROR(IF(d_ss_Bv!G26=0,".",((s_Ir*s_F*d_ss_Bv!G26*(1-EXP(-s_RadSpec!AX26*s_t_b)))/(s_P*s_RadSpec!AX26))),".")</f>
        <v>0.15498656519382198</v>
      </c>
      <c r="H26" s="116">
        <f>IFERROR(IF(d_ss_Bv!H26=0,".",((s_Ir*s_F*d_ss_Bv!H26*(1-EXP(-s_RadSpec!AX26*s_t_b)))/(s_P*s_RadSpec!AX26))),".")</f>
        <v>0.23844086952895688</v>
      </c>
      <c r="I26" s="116">
        <f>IFERROR(IF(d_ss_Bv!I26=0,".",((s_Ir*s_F*d_ss_Bv!I26*(1-EXP(-s_RadSpec!AX26*s_t_b)))/(s_P*s_RadSpec!AX26))),".")</f>
        <v>0.15896057968597124</v>
      </c>
      <c r="J26" s="116">
        <f>IFERROR(IF(d_ss_Bv!J26=0,".",((s_Ir*s_F*d_ss_Bv!J26*(1-EXP(-s_RadSpec!AX26*s_t_b)))/(s_P*s_RadSpec!AX26))),".")</f>
        <v>9.9350362303732037E-2</v>
      </c>
      <c r="K26" s="116">
        <f>IFERROR(IF(d_ss_Bv!K26=0,".",((s_Ir*s_F*d_ss_Bv!K26*(1-EXP(-s_RadSpec!AX26*s_t_b)))/(s_P*s_RadSpec!AX26))),".")</f>
        <v>0.12716846374877702</v>
      </c>
      <c r="L26" s="116">
        <f>IFERROR(IF(d_ss_Bv!L26=0,".",((s_Ir*s_F*d_ss_Bv!L26*(1-EXP(-s_RadSpec!AX26*s_t_b)))/(s_P*s_RadSpec!AX26))),".")</f>
        <v>0.15498656519382198</v>
      </c>
      <c r="M26" s="116">
        <f>IFERROR(IF(d_ss_Bv!M26=0,".",((s_Ir*s_F*d_ss_Bv!M26*(1-EXP(-s_RadSpec!AX26*s_t_b)))/(s_P*s_RadSpec!AX26))),".")</f>
        <v>0.23844086952895688</v>
      </c>
      <c r="N26" s="116">
        <f>IFERROR(IF(d_ss_Bv!N26=0,".",((s_Ir*s_F*d_ss_Bv!N26*(1-EXP(-s_RadSpec!AX26*s_t_b)))/(s_P*s_RadSpec!AX26))),".")</f>
        <v>0.10531138404195596</v>
      </c>
      <c r="O26" s="116">
        <f>IFERROR(IF(d_ss_Bv!O26=0,".",((s_Ir*s_F*d_ss_Bv!O26*(1-EXP(-s_RadSpec!AX26*s_t_b)))/(s_P*s_RadSpec!AX26))),".")</f>
        <v>0.15498656519382198</v>
      </c>
      <c r="P26" s="116">
        <f>IFERROR(IF(d_ss_Bv!P26=0,".",((s_Ir*s_F*d_ss_Bv!P26*(1-EXP(-s_RadSpec!AX26*s_t_b)))/(s_P*s_RadSpec!AX26))),".")</f>
        <v>0.15498656519382198</v>
      </c>
      <c r="Q26" s="116">
        <f>IFERROR(IF(d_ss_Bv!Q26=0,".",((s_Ir*s_F*d_ss_Bv!Q26*(1-EXP(-s_RadSpec!AX26*s_t_b)))/(s_P*s_RadSpec!AX26))),".")</f>
        <v>9.9350362303732037E-2</v>
      </c>
      <c r="R26" s="116">
        <f>IFERROR(IF(d_ss_Bv!R26=0,".",((s_Ir*s_F*d_ss_Bv!R26*(1-EXP(-s_RadSpec!AX26*s_t_b)))/(s_P*s_RadSpec!AX26))),".")</f>
        <v>9.9350362303732037E-2</v>
      </c>
      <c r="S26" s="116">
        <f>IFERROR(IF(d_ss_Bv!S26=0,".",((s_Ir*s_F*d_ss_Bv!S26*(1-EXP(-s_RadSpec!AX26*s_t_b)))/(s_P*s_RadSpec!AX26))),".")</f>
        <v>0.10531138404195596</v>
      </c>
      <c r="T26" s="116">
        <f>IFERROR(IF(d_ss_Bv!T26=0,".",((s_Ir*s_F*d_ss_Bv!T26*(1-EXP(-s_RadSpec!AX26*s_t_b)))/(s_P*s_RadSpec!AX26))),".")</f>
        <v>3.9740144921492811E-2</v>
      </c>
      <c r="U26" s="116">
        <f>IFERROR(IF(d_ss_Bv!U26=0,".",((s_Ir*s_F*d_ss_Bv!U26*(1-EXP(-s_RadSpec!AX26*s_t_b)))/(s_P*s_RadSpec!AX26))),".")</f>
        <v>0.15498656519382198</v>
      </c>
      <c r="V26" s="116">
        <f>IFERROR(IF(d_ss_Bv!V26=0,".",((s_Ir*s_F*d_ss_Bv!V26*(1-EXP(-s_RadSpec!AX26*s_t_b)))/(s_P*s_RadSpec!AX26))),".")</f>
        <v>0.10531138404195596</v>
      </c>
      <c r="W26" s="116">
        <f>IFERROR(IF(d_ss_Bv!W26=0,".",((s_Ir*s_F*d_ss_Bv!W26*(1-EXP(-s_RadSpec!AX26*s_t_b)))/(s_P*s_RadSpec!AX26))),".")</f>
        <v>9.9350362303732037E-2</v>
      </c>
      <c r="X26" s="116">
        <f>IFERROR(IF(d_ss_Bv!X26=0,".",((s_Ir*s_F*d_ss_Bv!X26*(1-EXP(-s_RadSpec!AX26*s_t_b)))/(s_P*s_RadSpec!AX26))),".")</f>
        <v>0.15498656519382198</v>
      </c>
      <c r="Y26" s="116">
        <f>IFERROR(IF(d_ss_Bv!Y26=0,".",((s_Ir*s_F*d_ss_Bv!Y26*(1-EXP(-s_RadSpec!AX26*s_t_b)))/(s_P*s_RadSpec!AX26))),".")</f>
        <v>3.1792115937194255E-2</v>
      </c>
      <c r="Z26" s="116">
        <f>IFERROR(IF(d_ss_Bv!Z26=0,".",((s_Ir*s_F*d_ss_Bv!Z26*(1-EXP(-s_RadSpec!AX26*s_t_b)))/(s_P*s_RadSpec!AX26))),".")</f>
        <v>0.41727152167567449</v>
      </c>
      <c r="AA26" s="116">
        <f>IFERROR(IF(d_ss_Bv!C26=0,".",((s_Ir*s_F*s_MLF_apple*(1-EXP(-s_RadSpec!AX26*s_t_b)))/(s_P*s_RadSpec!AX26))),".")</f>
        <v>2.6824597822007652</v>
      </c>
      <c r="AB26" s="116">
        <f>IFERROR(IF(d_ss_Bv!D26=0,".",((s_Ir*s_F*s_MLF_asparagus*(1-EXP(-s_RadSpec!AX26*s_t_b)))/(s_P*s_RadSpec!AX26))),".")</f>
        <v>2.6824597822007652</v>
      </c>
      <c r="AC26" s="116">
        <f>IFERROR(IF(d_ss_Bv!E26=0,".",((s_Ir*s_F*s_MLF_beet*(1-EXP(-s_RadSpec!AX26*s_t_b)))/(s_P*s_RadSpec!AX26))),".")</f>
        <v>2.6824597822007652</v>
      </c>
      <c r="AD26" s="116">
        <f>IFERROR(IF(d_ss_Bv!F26=0,".",((s_Ir*s_F*s_MLF_berries*(1-EXP(-s_RadSpec!AX26*s_t_b)))/(s_P*s_RadSpec!AX26))),".")</f>
        <v>2.6824597822007652</v>
      </c>
      <c r="AE26" s="116">
        <f>IFERROR(IF(d_ss_Bv!G26=0,".",((s_Ir*s_F*s_MLF_broccoli*(1-EXP(-s_RadSpec!AX26*s_t_b)))/(s_P*s_RadSpec!AX26))),".")</f>
        <v>2.6824597822007652</v>
      </c>
      <c r="AF26" s="116">
        <f>IFERROR(IF(d_ss_Bv!H26=0,".",((s_Ir*s_F*s_MLF_cabbage*(1-EXP(-s_RadSpec!AX26*s_t_b)))/(s_P*s_RadSpec!AX26))),".")</f>
        <v>2.6824597822007652</v>
      </c>
      <c r="AG26" s="116">
        <f>IFERROR(IF(d_ss_Bv!I26=0,".",((s_Ir*s_F*s_MLF_carrot*(1-EXP(-s_RadSpec!AX26*s_t_b)))/(s_P*s_RadSpec!AX26))),".")</f>
        <v>2.6824597822007652</v>
      </c>
      <c r="AH26" s="116">
        <f>IFERROR(IF(d_ss_Bv!J26=0,".",((s_Ir*s_F*s_MLF_citrus*(1-EXP(-s_RadSpec!AX26*s_t_b)))/(s_P*s_RadSpec!AX26))),".")</f>
        <v>2.6824597822007652</v>
      </c>
      <c r="AI26" s="116">
        <f>IFERROR(IF(d_ss_Bv!K26=0,".",((s_Ir*s_F*s_MLF_corn*(1-EXP(-s_RadSpec!AX26*s_t_b)))/(s_P*s_RadSpec!AX26))),".")</f>
        <v>2.6824597822007652</v>
      </c>
      <c r="AJ26" s="116">
        <f>IFERROR(IF(d_ss_Bv!L26=0,".",((s_Ir*s_F*s_MLF_cucumber*(1-EXP(-s_RadSpec!AX26*s_t_b)))/(s_P*s_RadSpec!AX26))),".")</f>
        <v>2.6824597822007652</v>
      </c>
      <c r="AK26" s="116">
        <f>IFERROR(IF(d_ss_Bv!M26=0,".",((s_Ir*s_F*s_MLF_lettuce*(1-EXP(-s_RadSpec!AX26*s_t_b)))/(s_P*s_RadSpec!AX26))),".")</f>
        <v>2.6824597822007652</v>
      </c>
      <c r="AL26" s="116">
        <f>IFERROR(IF(d_ss_Bv!N26=0,".",((s_Ir*s_F*s_MLF_lima_bean*(1-EXP(-s_RadSpec!AX26*s_t_b)))/(s_P*s_RadSpec!AX26))),".")</f>
        <v>2.6824597822007652</v>
      </c>
      <c r="AM26" s="116">
        <f>IFERROR(IF(d_ss_Bv!O26=0,".",((s_Ir*s_F*s_MLF_okra*(1-EXP(-s_RadSpec!AX26*s_t_b)))/(s_P*s_RadSpec!AX26))),".")</f>
        <v>2.6824597822007652</v>
      </c>
      <c r="AN26" s="116">
        <f>IFERROR(IF(d_ss_Bv!P26=0,".",((s_Ir*s_F*s_MLF_onion*(1-EXP(-s_RadSpec!AX26*s_t_b)))/(s_P*s_RadSpec!AX26))),".")</f>
        <v>2.6824597822007652</v>
      </c>
      <c r="AO26" s="116">
        <f>IFERROR(IF(d_ss_Bv!Q26=0,".",((s_Ir*s_F*s_MLF_peach*(1-EXP(-s_RadSpec!AX26*s_t_b)))/(s_P*s_RadSpec!AX26))),".")</f>
        <v>2.6824597822007652</v>
      </c>
      <c r="AP26" s="116">
        <f>IFERROR(IF(d_ss_Bv!R26=0,".",((s_Ir*s_F*s_MLF_pear*(1-EXP(-s_RadSpec!AX26*s_t_b)))/(s_P*s_RadSpec!AX26))),".")</f>
        <v>2.6824597822007652</v>
      </c>
      <c r="AQ26" s="116">
        <f>IFERROR(IF(d_ss_Bv!S26=0,".",((s_Ir*s_F*s_MLF_peas*(1-EXP(-s_RadSpec!AX26*s_t_b)))/(s_P*s_RadSpec!AX26))),".")</f>
        <v>2.6824597822007652</v>
      </c>
      <c r="AR26" s="116">
        <f>IFERROR(IF(d_ss_Bv!T26=0,".",((s_Ir*s_F*s_MLF_potato*(1-EXP(-s_RadSpec!AX26*s_t_b)))/(s_P*s_RadSpec!AX26))),".")</f>
        <v>2.6824597822007652</v>
      </c>
      <c r="AS26" s="116">
        <f>IFERROR(IF(d_ss_Bv!U26=0,".",((s_Ir*s_F*s_MLF_pumpkin*(1-EXP(-s_RadSpec!AX26*s_t_b)))/(s_P*s_RadSpec!AX26))),".")</f>
        <v>2.6824597822007652</v>
      </c>
      <c r="AT26" s="116">
        <f>IFERROR(IF(d_ss_Bv!V26=0,".",((s_Ir*s_F*s_MLF_snap_bean*(1-EXP(-s_RadSpec!AX26*s_t_b)))/(s_P*s_RadSpec!AX26))),".")</f>
        <v>2.6824597822007652</v>
      </c>
      <c r="AU26" s="116">
        <f>IFERROR(IF(d_ss_Bv!W26=0,".",((s_Ir*s_F*s_MLF_strawberry*(1-EXP(-s_RadSpec!AX26*s_t_b)))/(s_P*s_RadSpec!AX26))),".")</f>
        <v>2.6824597822007652</v>
      </c>
      <c r="AV26" s="116">
        <f>IFERROR(IF(d_ss_Bv!X26=0,".",((s_Ir*s_F*s_MLF_tomato*(1-EXP(-s_RadSpec!AX26*s_t_b)))/(s_P*s_RadSpec!AX26))),".")</f>
        <v>2.6824597822007652</v>
      </c>
      <c r="AW26" s="116">
        <f>IFERROR(IF(d_ss_Bv!Y26=0,".",((s_Ir*s_F*s_MLF_rice*(1-EXP(-s_RadSpec!AX26*s_t_b)))/(s_P*s_RadSpec!AX26))),".")</f>
        <v>2.6824597822007652</v>
      </c>
      <c r="AX26" s="116">
        <f>IFERROR(IF(d_ss_Bv!Z26=0,".",((s_Ir*s_F*s_MLF_cereal*(1-EXP(-s_RadSpec!AX26*s_t_b)))/(s_P*s_RadSpec!AX26))),".")</f>
        <v>2.6824597822007652</v>
      </c>
      <c r="AY26" s="116">
        <f>IFERROR(IF(d_ss_Bv!C26=0,".",((s_Ir*s_F*s_I_f*s_T*(1-EXP(-s_RadSpec!AY26*s_t_v)))/(s_Y_v*s_RadSpec!AY26))),".")</f>
        <v>9.0143481925428208</v>
      </c>
      <c r="AZ26" s="116">
        <f>IFERROR(IF(d_ss_Bv!D26=0,".",((s_Ir*s_F*s_I_f*s_T*(1-EXP(-s_RadSpec!AY26*s_t_v)))/(s_Y_v*s_RadSpec!AY26))),".")</f>
        <v>9.0143481925428208</v>
      </c>
      <c r="BA26" s="116">
        <f>IFERROR(IF(d_ss_Bv!E26=0,".",((s_Ir*s_F*s_I_f*s_T*(1-EXP(-s_RadSpec!AY26*s_t_v)))/(s_Y_v*s_RadSpec!AY26))),".")</f>
        <v>9.0143481925428208</v>
      </c>
      <c r="BB26" s="116">
        <f>IFERROR(IF(d_ss_Bv!F26=0,".",((s_Ir*s_F*s_I_f*s_T*(1-EXP(-s_RadSpec!AY26*s_t_v)))/(s_Y_v*s_RadSpec!AY26))),".")</f>
        <v>9.0143481925428208</v>
      </c>
      <c r="BC26" s="116">
        <f>IFERROR(IF(d_ss_Bv!G26=0,".",((s_Ir*s_F*s_I_f*s_T*(1-EXP(-s_RadSpec!AY26*s_t_v)))/(s_Y_v*s_RadSpec!AY26))),".")</f>
        <v>9.0143481925428208</v>
      </c>
      <c r="BD26" s="116">
        <f>IFERROR(IF(d_ss_Bv!H26=0,".",((s_Ir*s_F*s_I_f*s_T*(1-EXP(-s_RadSpec!AY26*s_t_v)))/(s_Y_v*s_RadSpec!AY26))),".")</f>
        <v>9.0143481925428208</v>
      </c>
      <c r="BE26" s="116">
        <f>IFERROR(IF(d_ss_Bv!I26=0,".",((s_Ir*s_F*s_I_f*s_T*(1-EXP(-s_RadSpec!AY26*s_t_v)))/(s_Y_v*s_RadSpec!AY26))),".")</f>
        <v>9.0143481925428208</v>
      </c>
      <c r="BF26" s="116">
        <f>IFERROR(IF(d_ss_Bv!J26=0,".",((s_Ir*s_F*s_I_f*s_T*(1-EXP(-s_RadSpec!AY26*s_t_v)))/(s_Y_v*s_RadSpec!AY26))),".")</f>
        <v>9.0143481925428208</v>
      </c>
      <c r="BG26" s="116">
        <f>IFERROR(IF(d_ss_Bv!K26=0,".",((s_Ir*s_F*s_I_f*s_T*(1-EXP(-s_RadSpec!AY26*s_t_v)))/(s_Y_v*s_RadSpec!AY26))),".")</f>
        <v>9.0143481925428208</v>
      </c>
      <c r="BH26" s="116">
        <f>IFERROR(IF(d_ss_Bv!L26=0,".",((s_Ir*s_F*s_I_f*s_T*(1-EXP(-s_RadSpec!AY26*s_t_v)))/(s_Y_v*s_RadSpec!AY26))),".")</f>
        <v>9.0143481925428208</v>
      </c>
      <c r="BI26" s="116">
        <f>IFERROR(IF(d_ss_Bv!M26=0,".",((s_Ir*s_F*s_I_f*s_T*(1-EXP(-s_RadSpec!AY26*s_t_v)))/(s_Y_v*s_RadSpec!AY26))),".")</f>
        <v>9.0143481925428208</v>
      </c>
      <c r="BJ26" s="116">
        <f>IFERROR(IF(d_ss_Bv!N26=0,".",((s_Ir*s_F*s_I_f*s_T*(1-EXP(-s_RadSpec!AY26*s_t_v)))/(s_Y_v*s_RadSpec!AY26))),".")</f>
        <v>9.0143481925428208</v>
      </c>
      <c r="BK26" s="116">
        <f>IFERROR(IF(d_ss_Bv!O26=0,".",((s_Ir*s_F*s_I_f*s_T*(1-EXP(-s_RadSpec!AY26*s_t_v)))/(s_Y_v*s_RadSpec!AY26))),".")</f>
        <v>9.0143481925428208</v>
      </c>
      <c r="BL26" s="116">
        <f>IFERROR(IF(d_ss_Bv!P26=0,".",((s_Ir*s_F*s_I_f*s_T*(1-EXP(-s_RadSpec!AY26*s_t_v)))/(s_Y_v*s_RadSpec!AY26))),".")</f>
        <v>9.0143481925428208</v>
      </c>
      <c r="BM26" s="116">
        <f>IFERROR(IF(d_ss_Bv!Q26=0,".",((s_Ir*s_F*s_I_f*s_T*(1-EXP(-s_RadSpec!AY26*s_t_v)))/(s_Y_v*s_RadSpec!AY26))),".")</f>
        <v>9.0143481925428208</v>
      </c>
      <c r="BN26" s="116">
        <f>IFERROR(IF(d_ss_Bv!R26=0,".",((s_Ir*s_F*s_I_f*s_T*(1-EXP(-s_RadSpec!AY26*s_t_v)))/(s_Y_v*s_RadSpec!AY26))),".")</f>
        <v>9.0143481925428208</v>
      </c>
      <c r="BO26" s="116">
        <f>IFERROR(IF(d_ss_Bv!S26=0,".",((s_Ir*s_F*s_I_f*s_T*(1-EXP(-s_RadSpec!AY26*s_t_v)))/(s_Y_v*s_RadSpec!AY26))),".")</f>
        <v>9.0143481925428208</v>
      </c>
      <c r="BP26" s="116">
        <f>IFERROR(IF(d_ss_Bv!T26=0,".",((s_Ir*s_F*s_I_f*s_T*(1-EXP(-s_RadSpec!AY26*s_t_v)))/(s_Y_v*s_RadSpec!AY26))),".")</f>
        <v>9.0143481925428208</v>
      </c>
      <c r="BQ26" s="116">
        <f>IFERROR(IF(d_ss_Bv!U26=0,".",((s_Ir*s_F*s_I_f*s_T*(1-EXP(-s_RadSpec!AY26*s_t_v)))/(s_Y_v*s_RadSpec!AY26))),".")</f>
        <v>9.0143481925428208</v>
      </c>
      <c r="BR26" s="116">
        <f>IFERROR(IF(d_ss_Bv!V26=0,".",((s_Ir*s_F*s_I_f*s_T*(1-EXP(-s_RadSpec!AY26*s_t_v)))/(s_Y_v*s_RadSpec!AY26))),".")</f>
        <v>9.0143481925428208</v>
      </c>
      <c r="BS26" s="116">
        <f>IFERROR(IF(d_ss_Bv!W26=0,".",((s_Ir*s_F*s_I_f*s_T*(1-EXP(-s_RadSpec!AY26*s_t_v)))/(s_Y_v*s_RadSpec!AY26))),".")</f>
        <v>9.0143481925428208</v>
      </c>
      <c r="BT26" s="116">
        <f>IFERROR(IF(d_ss_Bv!X26=0,".",((s_Ir*s_F*s_I_f*s_T*(1-EXP(-s_RadSpec!AY26*s_t_v)))/(s_Y_v*s_RadSpec!AY26))),".")</f>
        <v>9.0143481925428208</v>
      </c>
      <c r="BU26" s="116">
        <f>IFERROR(IF(d_ss_Bv!Y26=0,".",((s_Ir*s_F*s_I_f*s_T*(1-EXP(-s_RadSpec!AY26*s_t_v)))/(s_Y_v*s_RadSpec!AY26))),".")</f>
        <v>9.0143481925428208</v>
      </c>
      <c r="BV26" s="116">
        <f>IFERROR(IF(d_ss_Bv!Z26=0,".",((s_Ir*s_F*s_I_f*s_T*(1-EXP(-s_RadSpec!AY26*s_t_v)))/(s_Y_v*s_RadSpec!AY26))),".")</f>
        <v>9.0143481925428208</v>
      </c>
    </row>
    <row r="27" spans="1:74" x14ac:dyDescent="0.25">
      <c r="A27" s="44" t="s">
        <v>37</v>
      </c>
      <c r="B27" s="42" t="s">
        <v>1074</v>
      </c>
      <c r="C27" s="116">
        <f>IFERROR(IF(d_ss_Bv!C27=0,".",((s_Ir*s_F*d_ss_Bv!C27*(1-EXP(-s_RadSpec!$AX27*s_t_b)))/(s_P*s_RadSpec!$AX27))),".")</f>
        <v>1.5896057968597128E-2</v>
      </c>
      <c r="D27" s="116">
        <f>IFERROR(IF(d_ss_Bv!D27=0,".",((s_Ir*s_F*d_ss_Bv!D27*(1-EXP(-s_RadSpec!AX27*s_t_b)))/(s_P*s_RadSpec!AX27))),".")</f>
        <v>0.15896057968597124</v>
      </c>
      <c r="E27" s="116">
        <f>IFERROR(IF(d_ss_Bv!E27=0,".",((s_Ir*s_F*d_ss_Bv!E27*(1-EXP(-s_RadSpec!AX27*s_t_b)))/(s_P*s_RadSpec!AX27))),".")</f>
        <v>1.5896057968597128E-2</v>
      </c>
      <c r="F27" s="116">
        <f>IFERROR(IF(d_ss_Bv!F27=0,".",((s_Ir*s_F*d_ss_Bv!F27*(1-EXP(-s_RadSpec!AX27*s_t_b)))/(s_P*s_RadSpec!AX27))),".")</f>
        <v>1.5896057968597128E-2</v>
      </c>
      <c r="G27" s="116">
        <f>IFERROR(IF(d_ss_Bv!G27=0,".",((s_Ir*s_F*d_ss_Bv!G27*(1-EXP(-s_RadSpec!AX27*s_t_b)))/(s_P*s_RadSpec!AX27))),".")</f>
        <v>1.5896057968597128E-2</v>
      </c>
      <c r="H27" s="116">
        <f>IFERROR(IF(d_ss_Bv!H27=0,".",((s_Ir*s_F*d_ss_Bv!H27*(1-EXP(-s_RadSpec!AX27*s_t_b)))/(s_P*s_RadSpec!AX27))),".")</f>
        <v>0.15896057968597124</v>
      </c>
      <c r="I27" s="116">
        <f>IFERROR(IF(d_ss_Bv!I27=0,".",((s_Ir*s_F*d_ss_Bv!I27*(1-EXP(-s_RadSpec!AX27*s_t_b)))/(s_P*s_RadSpec!AX27))),".")</f>
        <v>1.5896057968597128E-2</v>
      </c>
      <c r="J27" s="116">
        <f>IFERROR(IF(d_ss_Bv!J27=0,".",((s_Ir*s_F*d_ss_Bv!J27*(1-EXP(-s_RadSpec!AX27*s_t_b)))/(s_P*s_RadSpec!AX27))),".")</f>
        <v>1.5896057968597128E-2</v>
      </c>
      <c r="K27" s="116">
        <f>IFERROR(IF(d_ss_Bv!K27=0,".",((s_Ir*s_F*d_ss_Bv!K27*(1-EXP(-s_RadSpec!AX27*s_t_b)))/(s_P*s_RadSpec!AX27))),".")</f>
        <v>1.5896057968597128E-2</v>
      </c>
      <c r="L27" s="116">
        <f>IFERROR(IF(d_ss_Bv!L27=0,".",((s_Ir*s_F*d_ss_Bv!L27*(1-EXP(-s_RadSpec!AX27*s_t_b)))/(s_P*s_RadSpec!AX27))),".")</f>
        <v>1.5896057968597128E-2</v>
      </c>
      <c r="M27" s="116">
        <f>IFERROR(IF(d_ss_Bv!M27=0,".",((s_Ir*s_F*d_ss_Bv!M27*(1-EXP(-s_RadSpec!AX27*s_t_b)))/(s_P*s_RadSpec!AX27))),".")</f>
        <v>0.15896057968597124</v>
      </c>
      <c r="N27" s="116">
        <f>IFERROR(IF(d_ss_Bv!N27=0,".",((s_Ir*s_F*d_ss_Bv!N27*(1-EXP(-s_RadSpec!AX27*s_t_b)))/(s_P*s_RadSpec!AX27))),".")</f>
        <v>1.5896057968597128E-2</v>
      </c>
      <c r="O27" s="116">
        <f>IFERROR(IF(d_ss_Bv!O27=0,".",((s_Ir*s_F*d_ss_Bv!O27*(1-EXP(-s_RadSpec!AX27*s_t_b)))/(s_P*s_RadSpec!AX27))),".")</f>
        <v>1.5896057968597128E-2</v>
      </c>
      <c r="P27" s="116">
        <f>IFERROR(IF(d_ss_Bv!P27=0,".",((s_Ir*s_F*d_ss_Bv!P27*(1-EXP(-s_RadSpec!AX27*s_t_b)))/(s_P*s_RadSpec!AX27))),".")</f>
        <v>1.5896057968597128E-2</v>
      </c>
      <c r="Q27" s="116">
        <f>IFERROR(IF(d_ss_Bv!Q27=0,".",((s_Ir*s_F*d_ss_Bv!Q27*(1-EXP(-s_RadSpec!AX27*s_t_b)))/(s_P*s_RadSpec!AX27))),".")</f>
        <v>1.5896057968597128E-2</v>
      </c>
      <c r="R27" s="116">
        <f>IFERROR(IF(d_ss_Bv!R27=0,".",((s_Ir*s_F*d_ss_Bv!R27*(1-EXP(-s_RadSpec!AX27*s_t_b)))/(s_P*s_RadSpec!AX27))),".")</f>
        <v>1.5896057968597128E-2</v>
      </c>
      <c r="S27" s="116">
        <f>IFERROR(IF(d_ss_Bv!S27=0,".",((s_Ir*s_F*d_ss_Bv!S27*(1-EXP(-s_RadSpec!AX27*s_t_b)))/(s_P*s_RadSpec!AX27))),".")</f>
        <v>1.5896057968597128E-2</v>
      </c>
      <c r="T27" s="116">
        <f>IFERROR(IF(d_ss_Bv!T27=0,".",((s_Ir*s_F*d_ss_Bv!T27*(1-EXP(-s_RadSpec!AX27*s_t_b)))/(s_P*s_RadSpec!AX27))),".")</f>
        <v>1.5896057968597128E-2</v>
      </c>
      <c r="U27" s="116">
        <f>IFERROR(IF(d_ss_Bv!U27=0,".",((s_Ir*s_F*d_ss_Bv!U27*(1-EXP(-s_RadSpec!AX27*s_t_b)))/(s_P*s_RadSpec!AX27))),".")</f>
        <v>1.5896057968597128E-2</v>
      </c>
      <c r="V27" s="116">
        <f>IFERROR(IF(d_ss_Bv!V27=0,".",((s_Ir*s_F*d_ss_Bv!V27*(1-EXP(-s_RadSpec!AX27*s_t_b)))/(s_P*s_RadSpec!AX27))),".")</f>
        <v>1.5896057968597128E-2</v>
      </c>
      <c r="W27" s="116">
        <f>IFERROR(IF(d_ss_Bv!W27=0,".",((s_Ir*s_F*d_ss_Bv!W27*(1-EXP(-s_RadSpec!AX27*s_t_b)))/(s_P*s_RadSpec!AX27))),".")</f>
        <v>1.5896057968597128E-2</v>
      </c>
      <c r="X27" s="116">
        <f>IFERROR(IF(d_ss_Bv!X27=0,".",((s_Ir*s_F*d_ss_Bv!X27*(1-EXP(-s_RadSpec!AX27*s_t_b)))/(s_P*s_RadSpec!AX27))),".")</f>
        <v>1.5896057968597128E-2</v>
      </c>
      <c r="Y27" s="116">
        <f>IFERROR(IF(d_ss_Bv!Y27=0,".",((s_Ir*s_F*d_ss_Bv!Y27*(1-EXP(-s_RadSpec!AX27*s_t_b)))/(s_P*s_RadSpec!AX27))),".")</f>
        <v>39.740144921492814</v>
      </c>
      <c r="Z27" s="116">
        <f>IFERROR(IF(d_ss_Bv!Z27=0,".",((s_Ir*s_F*d_ss_Bv!Z27*(1-EXP(-s_RadSpec!AX27*s_t_b)))/(s_P*s_RadSpec!AX27))),".")</f>
        <v>39.740144921492814</v>
      </c>
      <c r="AA27" s="116">
        <f>IFERROR(IF(d_ss_Bv!C27=0,".",((s_Ir*s_F*s_MLF_apple*(1-EXP(-s_RadSpec!AX27*s_t_b)))/(s_P*s_RadSpec!AX27))),".")</f>
        <v>2.6824597822007652</v>
      </c>
      <c r="AB27" s="116">
        <f>IFERROR(IF(d_ss_Bv!D27=0,".",((s_Ir*s_F*s_MLF_asparagus*(1-EXP(-s_RadSpec!AX27*s_t_b)))/(s_P*s_RadSpec!AX27))),".")</f>
        <v>2.6824597822007652</v>
      </c>
      <c r="AC27" s="116">
        <f>IFERROR(IF(d_ss_Bv!E27=0,".",((s_Ir*s_F*s_MLF_beet*(1-EXP(-s_RadSpec!AX27*s_t_b)))/(s_P*s_RadSpec!AX27))),".")</f>
        <v>2.6824597822007652</v>
      </c>
      <c r="AD27" s="116">
        <f>IFERROR(IF(d_ss_Bv!F27=0,".",((s_Ir*s_F*s_MLF_berries*(1-EXP(-s_RadSpec!AX27*s_t_b)))/(s_P*s_RadSpec!AX27))),".")</f>
        <v>2.6824597822007652</v>
      </c>
      <c r="AE27" s="116">
        <f>IFERROR(IF(d_ss_Bv!G27=0,".",((s_Ir*s_F*s_MLF_broccoli*(1-EXP(-s_RadSpec!AX27*s_t_b)))/(s_P*s_RadSpec!AX27))),".")</f>
        <v>2.6824597822007652</v>
      </c>
      <c r="AF27" s="116">
        <f>IFERROR(IF(d_ss_Bv!H27=0,".",((s_Ir*s_F*s_MLF_cabbage*(1-EXP(-s_RadSpec!AX27*s_t_b)))/(s_P*s_RadSpec!AX27))),".")</f>
        <v>2.6824597822007652</v>
      </c>
      <c r="AG27" s="116">
        <f>IFERROR(IF(d_ss_Bv!I27=0,".",((s_Ir*s_F*s_MLF_carrot*(1-EXP(-s_RadSpec!AX27*s_t_b)))/(s_P*s_RadSpec!AX27))),".")</f>
        <v>2.6824597822007652</v>
      </c>
      <c r="AH27" s="116">
        <f>IFERROR(IF(d_ss_Bv!J27=0,".",((s_Ir*s_F*s_MLF_citrus*(1-EXP(-s_RadSpec!AX27*s_t_b)))/(s_P*s_RadSpec!AX27))),".")</f>
        <v>2.6824597822007652</v>
      </c>
      <c r="AI27" s="116">
        <f>IFERROR(IF(d_ss_Bv!K27=0,".",((s_Ir*s_F*s_MLF_corn*(1-EXP(-s_RadSpec!AX27*s_t_b)))/(s_P*s_RadSpec!AX27))),".")</f>
        <v>2.6824597822007652</v>
      </c>
      <c r="AJ27" s="116">
        <f>IFERROR(IF(d_ss_Bv!L27=0,".",((s_Ir*s_F*s_MLF_cucumber*(1-EXP(-s_RadSpec!AX27*s_t_b)))/(s_P*s_RadSpec!AX27))),".")</f>
        <v>2.6824597822007652</v>
      </c>
      <c r="AK27" s="116">
        <f>IFERROR(IF(d_ss_Bv!M27=0,".",((s_Ir*s_F*s_MLF_lettuce*(1-EXP(-s_RadSpec!AX27*s_t_b)))/(s_P*s_RadSpec!AX27))),".")</f>
        <v>2.6824597822007652</v>
      </c>
      <c r="AL27" s="116">
        <f>IFERROR(IF(d_ss_Bv!N27=0,".",((s_Ir*s_F*s_MLF_lima_bean*(1-EXP(-s_RadSpec!AX27*s_t_b)))/(s_P*s_RadSpec!AX27))),".")</f>
        <v>2.6824597822007652</v>
      </c>
      <c r="AM27" s="116">
        <f>IFERROR(IF(d_ss_Bv!O27=0,".",((s_Ir*s_F*s_MLF_okra*(1-EXP(-s_RadSpec!AX27*s_t_b)))/(s_P*s_RadSpec!AX27))),".")</f>
        <v>2.6824597822007652</v>
      </c>
      <c r="AN27" s="116">
        <f>IFERROR(IF(d_ss_Bv!P27=0,".",((s_Ir*s_F*s_MLF_onion*(1-EXP(-s_RadSpec!AX27*s_t_b)))/(s_P*s_RadSpec!AX27))),".")</f>
        <v>2.6824597822007652</v>
      </c>
      <c r="AO27" s="116">
        <f>IFERROR(IF(d_ss_Bv!Q27=0,".",((s_Ir*s_F*s_MLF_peach*(1-EXP(-s_RadSpec!AX27*s_t_b)))/(s_P*s_RadSpec!AX27))),".")</f>
        <v>2.6824597822007652</v>
      </c>
      <c r="AP27" s="116">
        <f>IFERROR(IF(d_ss_Bv!R27=0,".",((s_Ir*s_F*s_MLF_pear*(1-EXP(-s_RadSpec!AX27*s_t_b)))/(s_P*s_RadSpec!AX27))),".")</f>
        <v>2.6824597822007652</v>
      </c>
      <c r="AQ27" s="116">
        <f>IFERROR(IF(d_ss_Bv!S27=0,".",((s_Ir*s_F*s_MLF_peas*(1-EXP(-s_RadSpec!AX27*s_t_b)))/(s_P*s_RadSpec!AX27))),".")</f>
        <v>2.6824597822007652</v>
      </c>
      <c r="AR27" s="116">
        <f>IFERROR(IF(d_ss_Bv!T27=0,".",((s_Ir*s_F*s_MLF_potato*(1-EXP(-s_RadSpec!AX27*s_t_b)))/(s_P*s_RadSpec!AX27))),".")</f>
        <v>2.6824597822007652</v>
      </c>
      <c r="AS27" s="116">
        <f>IFERROR(IF(d_ss_Bv!U27=0,".",((s_Ir*s_F*s_MLF_pumpkin*(1-EXP(-s_RadSpec!AX27*s_t_b)))/(s_P*s_RadSpec!AX27))),".")</f>
        <v>2.6824597822007652</v>
      </c>
      <c r="AT27" s="116">
        <f>IFERROR(IF(d_ss_Bv!V27=0,".",((s_Ir*s_F*s_MLF_snap_bean*(1-EXP(-s_RadSpec!AX27*s_t_b)))/(s_P*s_RadSpec!AX27))),".")</f>
        <v>2.6824597822007652</v>
      </c>
      <c r="AU27" s="116">
        <f>IFERROR(IF(d_ss_Bv!W27=0,".",((s_Ir*s_F*s_MLF_strawberry*(1-EXP(-s_RadSpec!AX27*s_t_b)))/(s_P*s_RadSpec!AX27))),".")</f>
        <v>2.6824597822007652</v>
      </c>
      <c r="AV27" s="116">
        <f>IFERROR(IF(d_ss_Bv!X27=0,".",((s_Ir*s_F*s_MLF_tomato*(1-EXP(-s_RadSpec!AX27*s_t_b)))/(s_P*s_RadSpec!AX27))),".")</f>
        <v>2.6824597822007652</v>
      </c>
      <c r="AW27" s="116">
        <f>IFERROR(IF(d_ss_Bv!Y27=0,".",((s_Ir*s_F*s_MLF_rice*(1-EXP(-s_RadSpec!AX27*s_t_b)))/(s_P*s_RadSpec!AX27))),".")</f>
        <v>2.6824597822007652</v>
      </c>
      <c r="AX27" s="116">
        <f>IFERROR(IF(d_ss_Bv!Z27=0,".",((s_Ir*s_F*s_MLF_cereal*(1-EXP(-s_RadSpec!AX27*s_t_b)))/(s_P*s_RadSpec!AX27))),".")</f>
        <v>2.6824597822007652</v>
      </c>
      <c r="AY27" s="116">
        <f>IFERROR(IF(d_ss_Bv!C27=0,".",((s_Ir*s_F*s_I_f*s_T*(1-EXP(-s_RadSpec!AY27*s_t_v)))/(s_Y_v*s_RadSpec!AY27))),".")</f>
        <v>9.0143481925428208</v>
      </c>
      <c r="AZ27" s="116">
        <f>IFERROR(IF(d_ss_Bv!D27=0,".",((s_Ir*s_F*s_I_f*s_T*(1-EXP(-s_RadSpec!AY27*s_t_v)))/(s_Y_v*s_RadSpec!AY27))),".")</f>
        <v>9.0143481925428208</v>
      </c>
      <c r="BA27" s="116">
        <f>IFERROR(IF(d_ss_Bv!E27=0,".",((s_Ir*s_F*s_I_f*s_T*(1-EXP(-s_RadSpec!AY27*s_t_v)))/(s_Y_v*s_RadSpec!AY27))),".")</f>
        <v>9.0143481925428208</v>
      </c>
      <c r="BB27" s="116">
        <f>IFERROR(IF(d_ss_Bv!F27=0,".",((s_Ir*s_F*s_I_f*s_T*(1-EXP(-s_RadSpec!AY27*s_t_v)))/(s_Y_v*s_RadSpec!AY27))),".")</f>
        <v>9.0143481925428208</v>
      </c>
      <c r="BC27" s="116">
        <f>IFERROR(IF(d_ss_Bv!G27=0,".",((s_Ir*s_F*s_I_f*s_T*(1-EXP(-s_RadSpec!AY27*s_t_v)))/(s_Y_v*s_RadSpec!AY27))),".")</f>
        <v>9.0143481925428208</v>
      </c>
      <c r="BD27" s="116">
        <f>IFERROR(IF(d_ss_Bv!H27=0,".",((s_Ir*s_F*s_I_f*s_T*(1-EXP(-s_RadSpec!AY27*s_t_v)))/(s_Y_v*s_RadSpec!AY27))),".")</f>
        <v>9.0143481925428208</v>
      </c>
      <c r="BE27" s="116">
        <f>IFERROR(IF(d_ss_Bv!I27=0,".",((s_Ir*s_F*s_I_f*s_T*(1-EXP(-s_RadSpec!AY27*s_t_v)))/(s_Y_v*s_RadSpec!AY27))),".")</f>
        <v>9.0143481925428208</v>
      </c>
      <c r="BF27" s="116">
        <f>IFERROR(IF(d_ss_Bv!J27=0,".",((s_Ir*s_F*s_I_f*s_T*(1-EXP(-s_RadSpec!AY27*s_t_v)))/(s_Y_v*s_RadSpec!AY27))),".")</f>
        <v>9.0143481925428208</v>
      </c>
      <c r="BG27" s="116">
        <f>IFERROR(IF(d_ss_Bv!K27=0,".",((s_Ir*s_F*s_I_f*s_T*(1-EXP(-s_RadSpec!AY27*s_t_v)))/(s_Y_v*s_RadSpec!AY27))),".")</f>
        <v>9.0143481925428208</v>
      </c>
      <c r="BH27" s="116">
        <f>IFERROR(IF(d_ss_Bv!L27=0,".",((s_Ir*s_F*s_I_f*s_T*(1-EXP(-s_RadSpec!AY27*s_t_v)))/(s_Y_v*s_RadSpec!AY27))),".")</f>
        <v>9.0143481925428208</v>
      </c>
      <c r="BI27" s="116">
        <f>IFERROR(IF(d_ss_Bv!M27=0,".",((s_Ir*s_F*s_I_f*s_T*(1-EXP(-s_RadSpec!AY27*s_t_v)))/(s_Y_v*s_RadSpec!AY27))),".")</f>
        <v>9.0143481925428208</v>
      </c>
      <c r="BJ27" s="116">
        <f>IFERROR(IF(d_ss_Bv!N27=0,".",((s_Ir*s_F*s_I_f*s_T*(1-EXP(-s_RadSpec!AY27*s_t_v)))/(s_Y_v*s_RadSpec!AY27))),".")</f>
        <v>9.0143481925428208</v>
      </c>
      <c r="BK27" s="116">
        <f>IFERROR(IF(d_ss_Bv!O27=0,".",((s_Ir*s_F*s_I_f*s_T*(1-EXP(-s_RadSpec!AY27*s_t_v)))/(s_Y_v*s_RadSpec!AY27))),".")</f>
        <v>9.0143481925428208</v>
      </c>
      <c r="BL27" s="116">
        <f>IFERROR(IF(d_ss_Bv!P27=0,".",((s_Ir*s_F*s_I_f*s_T*(1-EXP(-s_RadSpec!AY27*s_t_v)))/(s_Y_v*s_RadSpec!AY27))),".")</f>
        <v>9.0143481925428208</v>
      </c>
      <c r="BM27" s="116">
        <f>IFERROR(IF(d_ss_Bv!Q27=0,".",((s_Ir*s_F*s_I_f*s_T*(1-EXP(-s_RadSpec!AY27*s_t_v)))/(s_Y_v*s_RadSpec!AY27))),".")</f>
        <v>9.0143481925428208</v>
      </c>
      <c r="BN27" s="116">
        <f>IFERROR(IF(d_ss_Bv!R27=0,".",((s_Ir*s_F*s_I_f*s_T*(1-EXP(-s_RadSpec!AY27*s_t_v)))/(s_Y_v*s_RadSpec!AY27))),".")</f>
        <v>9.0143481925428208</v>
      </c>
      <c r="BO27" s="116">
        <f>IFERROR(IF(d_ss_Bv!S27=0,".",((s_Ir*s_F*s_I_f*s_T*(1-EXP(-s_RadSpec!AY27*s_t_v)))/(s_Y_v*s_RadSpec!AY27))),".")</f>
        <v>9.0143481925428208</v>
      </c>
      <c r="BP27" s="116">
        <f>IFERROR(IF(d_ss_Bv!T27=0,".",((s_Ir*s_F*s_I_f*s_T*(1-EXP(-s_RadSpec!AY27*s_t_v)))/(s_Y_v*s_RadSpec!AY27))),".")</f>
        <v>9.0143481925428208</v>
      </c>
      <c r="BQ27" s="116">
        <f>IFERROR(IF(d_ss_Bv!U27=0,".",((s_Ir*s_F*s_I_f*s_T*(1-EXP(-s_RadSpec!AY27*s_t_v)))/(s_Y_v*s_RadSpec!AY27))),".")</f>
        <v>9.0143481925428208</v>
      </c>
      <c r="BR27" s="116">
        <f>IFERROR(IF(d_ss_Bv!V27=0,".",((s_Ir*s_F*s_I_f*s_T*(1-EXP(-s_RadSpec!AY27*s_t_v)))/(s_Y_v*s_RadSpec!AY27))),".")</f>
        <v>9.0143481925428208</v>
      </c>
      <c r="BS27" s="116">
        <f>IFERROR(IF(d_ss_Bv!W27=0,".",((s_Ir*s_F*s_I_f*s_T*(1-EXP(-s_RadSpec!AY27*s_t_v)))/(s_Y_v*s_RadSpec!AY27))),".")</f>
        <v>9.0143481925428208</v>
      </c>
      <c r="BT27" s="116">
        <f>IFERROR(IF(d_ss_Bv!X27=0,".",((s_Ir*s_F*s_I_f*s_T*(1-EXP(-s_RadSpec!AY27*s_t_v)))/(s_Y_v*s_RadSpec!AY27))),".")</f>
        <v>9.0143481925428208</v>
      </c>
      <c r="BU27" s="116">
        <f>IFERROR(IF(d_ss_Bv!Y27=0,".",((s_Ir*s_F*s_I_f*s_T*(1-EXP(-s_RadSpec!AY27*s_t_v)))/(s_Y_v*s_RadSpec!AY27))),".")</f>
        <v>9.0143481925428208</v>
      </c>
      <c r="BV27" s="116">
        <f>IFERROR(IF(d_ss_Bv!Z27=0,".",((s_Ir*s_F*s_I_f*s_T*(1-EXP(-s_RadSpec!AY27*s_t_v)))/(s_Y_v*s_RadSpec!AY27))),".")</f>
        <v>9.0143481925428208</v>
      </c>
    </row>
    <row r="28" spans="1:74" x14ac:dyDescent="0.25">
      <c r="A28" s="44" t="s">
        <v>38</v>
      </c>
      <c r="B28" s="42" t="s">
        <v>1074</v>
      </c>
      <c r="C28" s="116">
        <f>IFERROR(IF(d_ss_Bv!C28=0,".",((s_Ir*s_F*d_ss_Bv!C28*(1-EXP(-s_RadSpec!$AX28*s_t_b)))/(s_P*s_RadSpec!$AX28))),".")</f>
        <v>1.5896057968597128E-2</v>
      </c>
      <c r="D28" s="116">
        <f>IFERROR(IF(d_ss_Bv!D28=0,".",((s_Ir*s_F*d_ss_Bv!D28*(1-EXP(-s_RadSpec!AX28*s_t_b)))/(s_P*s_RadSpec!AX28))),".")</f>
        <v>0.15896057968597124</v>
      </c>
      <c r="E28" s="116">
        <f>IFERROR(IF(d_ss_Bv!E28=0,".",((s_Ir*s_F*d_ss_Bv!E28*(1-EXP(-s_RadSpec!AX28*s_t_b)))/(s_P*s_RadSpec!AX28))),".")</f>
        <v>1.5896057968597128E-2</v>
      </c>
      <c r="F28" s="116">
        <f>IFERROR(IF(d_ss_Bv!F28=0,".",((s_Ir*s_F*d_ss_Bv!F28*(1-EXP(-s_RadSpec!AX28*s_t_b)))/(s_P*s_RadSpec!AX28))),".")</f>
        <v>1.5896057968597128E-2</v>
      </c>
      <c r="G28" s="116">
        <f>IFERROR(IF(d_ss_Bv!G28=0,".",((s_Ir*s_F*d_ss_Bv!G28*(1-EXP(-s_RadSpec!AX28*s_t_b)))/(s_P*s_RadSpec!AX28))),".")</f>
        <v>1.5896057968597128E-2</v>
      </c>
      <c r="H28" s="116">
        <f>IFERROR(IF(d_ss_Bv!H28=0,".",((s_Ir*s_F*d_ss_Bv!H28*(1-EXP(-s_RadSpec!AX28*s_t_b)))/(s_P*s_RadSpec!AX28))),".")</f>
        <v>0.15896057968597124</v>
      </c>
      <c r="I28" s="116">
        <f>IFERROR(IF(d_ss_Bv!I28=0,".",((s_Ir*s_F*d_ss_Bv!I28*(1-EXP(-s_RadSpec!AX28*s_t_b)))/(s_P*s_RadSpec!AX28))),".")</f>
        <v>1.5896057968597128E-2</v>
      </c>
      <c r="J28" s="116">
        <f>IFERROR(IF(d_ss_Bv!J28=0,".",((s_Ir*s_F*d_ss_Bv!J28*(1-EXP(-s_RadSpec!AX28*s_t_b)))/(s_P*s_RadSpec!AX28))),".")</f>
        <v>1.5896057968597128E-2</v>
      </c>
      <c r="K28" s="116">
        <f>IFERROR(IF(d_ss_Bv!K28=0,".",((s_Ir*s_F*d_ss_Bv!K28*(1-EXP(-s_RadSpec!AX28*s_t_b)))/(s_P*s_RadSpec!AX28))),".")</f>
        <v>1.5896057968597128E-2</v>
      </c>
      <c r="L28" s="116">
        <f>IFERROR(IF(d_ss_Bv!L28=0,".",((s_Ir*s_F*d_ss_Bv!L28*(1-EXP(-s_RadSpec!AX28*s_t_b)))/(s_P*s_RadSpec!AX28))),".")</f>
        <v>1.5896057968597128E-2</v>
      </c>
      <c r="M28" s="116">
        <f>IFERROR(IF(d_ss_Bv!M28=0,".",((s_Ir*s_F*d_ss_Bv!M28*(1-EXP(-s_RadSpec!AX28*s_t_b)))/(s_P*s_RadSpec!AX28))),".")</f>
        <v>0.15896057968597124</v>
      </c>
      <c r="N28" s="116">
        <f>IFERROR(IF(d_ss_Bv!N28=0,".",((s_Ir*s_F*d_ss_Bv!N28*(1-EXP(-s_RadSpec!AX28*s_t_b)))/(s_P*s_RadSpec!AX28))),".")</f>
        <v>1.5896057968597128E-2</v>
      </c>
      <c r="O28" s="116">
        <f>IFERROR(IF(d_ss_Bv!O28=0,".",((s_Ir*s_F*d_ss_Bv!O28*(1-EXP(-s_RadSpec!AX28*s_t_b)))/(s_P*s_RadSpec!AX28))),".")</f>
        <v>1.5896057968597128E-2</v>
      </c>
      <c r="P28" s="116">
        <f>IFERROR(IF(d_ss_Bv!P28=0,".",((s_Ir*s_F*d_ss_Bv!P28*(1-EXP(-s_RadSpec!AX28*s_t_b)))/(s_P*s_RadSpec!AX28))),".")</f>
        <v>1.5896057968597128E-2</v>
      </c>
      <c r="Q28" s="116">
        <f>IFERROR(IF(d_ss_Bv!Q28=0,".",((s_Ir*s_F*d_ss_Bv!Q28*(1-EXP(-s_RadSpec!AX28*s_t_b)))/(s_P*s_RadSpec!AX28))),".")</f>
        <v>1.5896057968597128E-2</v>
      </c>
      <c r="R28" s="116">
        <f>IFERROR(IF(d_ss_Bv!R28=0,".",((s_Ir*s_F*d_ss_Bv!R28*(1-EXP(-s_RadSpec!AX28*s_t_b)))/(s_P*s_RadSpec!AX28))),".")</f>
        <v>1.5896057968597128E-2</v>
      </c>
      <c r="S28" s="116">
        <f>IFERROR(IF(d_ss_Bv!S28=0,".",((s_Ir*s_F*d_ss_Bv!S28*(1-EXP(-s_RadSpec!AX28*s_t_b)))/(s_P*s_RadSpec!AX28))),".")</f>
        <v>1.5896057968597128E-2</v>
      </c>
      <c r="T28" s="116">
        <f>IFERROR(IF(d_ss_Bv!T28=0,".",((s_Ir*s_F*d_ss_Bv!T28*(1-EXP(-s_RadSpec!AX28*s_t_b)))/(s_P*s_RadSpec!AX28))),".")</f>
        <v>1.5896057968597128E-2</v>
      </c>
      <c r="U28" s="116">
        <f>IFERROR(IF(d_ss_Bv!U28=0,".",((s_Ir*s_F*d_ss_Bv!U28*(1-EXP(-s_RadSpec!AX28*s_t_b)))/(s_P*s_RadSpec!AX28))),".")</f>
        <v>1.5896057968597128E-2</v>
      </c>
      <c r="V28" s="116">
        <f>IFERROR(IF(d_ss_Bv!V28=0,".",((s_Ir*s_F*d_ss_Bv!V28*(1-EXP(-s_RadSpec!AX28*s_t_b)))/(s_P*s_RadSpec!AX28))),".")</f>
        <v>1.5896057968597128E-2</v>
      </c>
      <c r="W28" s="116">
        <f>IFERROR(IF(d_ss_Bv!W28=0,".",((s_Ir*s_F*d_ss_Bv!W28*(1-EXP(-s_RadSpec!AX28*s_t_b)))/(s_P*s_RadSpec!AX28))),".")</f>
        <v>1.5896057968597128E-2</v>
      </c>
      <c r="X28" s="116">
        <f>IFERROR(IF(d_ss_Bv!X28=0,".",((s_Ir*s_F*d_ss_Bv!X28*(1-EXP(-s_RadSpec!AX28*s_t_b)))/(s_P*s_RadSpec!AX28))),".")</f>
        <v>1.5896057968597128E-2</v>
      </c>
      <c r="Y28" s="116">
        <f>IFERROR(IF(d_ss_Bv!Y28=0,".",((s_Ir*s_F*d_ss_Bv!Y28*(1-EXP(-s_RadSpec!AX28*s_t_b)))/(s_P*s_RadSpec!AX28))),".")</f>
        <v>39.740144921492814</v>
      </c>
      <c r="Z28" s="116">
        <f>IFERROR(IF(d_ss_Bv!Z28=0,".",((s_Ir*s_F*d_ss_Bv!Z28*(1-EXP(-s_RadSpec!AX28*s_t_b)))/(s_P*s_RadSpec!AX28))),".")</f>
        <v>39.740144921492814</v>
      </c>
      <c r="AA28" s="116">
        <f>IFERROR(IF(d_ss_Bv!C28=0,".",((s_Ir*s_F*s_MLF_apple*(1-EXP(-s_RadSpec!AX28*s_t_b)))/(s_P*s_RadSpec!AX28))),".")</f>
        <v>2.6824597822007652</v>
      </c>
      <c r="AB28" s="116">
        <f>IFERROR(IF(d_ss_Bv!D28=0,".",((s_Ir*s_F*s_MLF_asparagus*(1-EXP(-s_RadSpec!AX28*s_t_b)))/(s_P*s_RadSpec!AX28))),".")</f>
        <v>2.6824597822007652</v>
      </c>
      <c r="AC28" s="116">
        <f>IFERROR(IF(d_ss_Bv!E28=0,".",((s_Ir*s_F*s_MLF_beet*(1-EXP(-s_RadSpec!AX28*s_t_b)))/(s_P*s_RadSpec!AX28))),".")</f>
        <v>2.6824597822007652</v>
      </c>
      <c r="AD28" s="116">
        <f>IFERROR(IF(d_ss_Bv!F28=0,".",((s_Ir*s_F*s_MLF_berries*(1-EXP(-s_RadSpec!AX28*s_t_b)))/(s_P*s_RadSpec!AX28))),".")</f>
        <v>2.6824597822007652</v>
      </c>
      <c r="AE28" s="116">
        <f>IFERROR(IF(d_ss_Bv!G28=0,".",((s_Ir*s_F*s_MLF_broccoli*(1-EXP(-s_RadSpec!AX28*s_t_b)))/(s_P*s_RadSpec!AX28))),".")</f>
        <v>2.6824597822007652</v>
      </c>
      <c r="AF28" s="116">
        <f>IFERROR(IF(d_ss_Bv!H28=0,".",((s_Ir*s_F*s_MLF_cabbage*(1-EXP(-s_RadSpec!AX28*s_t_b)))/(s_P*s_RadSpec!AX28))),".")</f>
        <v>2.6824597822007652</v>
      </c>
      <c r="AG28" s="116">
        <f>IFERROR(IF(d_ss_Bv!I28=0,".",((s_Ir*s_F*s_MLF_carrot*(1-EXP(-s_RadSpec!AX28*s_t_b)))/(s_P*s_RadSpec!AX28))),".")</f>
        <v>2.6824597822007652</v>
      </c>
      <c r="AH28" s="116">
        <f>IFERROR(IF(d_ss_Bv!J28=0,".",((s_Ir*s_F*s_MLF_citrus*(1-EXP(-s_RadSpec!AX28*s_t_b)))/(s_P*s_RadSpec!AX28))),".")</f>
        <v>2.6824597822007652</v>
      </c>
      <c r="AI28" s="116">
        <f>IFERROR(IF(d_ss_Bv!K28=0,".",((s_Ir*s_F*s_MLF_corn*(1-EXP(-s_RadSpec!AX28*s_t_b)))/(s_P*s_RadSpec!AX28))),".")</f>
        <v>2.6824597822007652</v>
      </c>
      <c r="AJ28" s="116">
        <f>IFERROR(IF(d_ss_Bv!L28=0,".",((s_Ir*s_F*s_MLF_cucumber*(1-EXP(-s_RadSpec!AX28*s_t_b)))/(s_P*s_RadSpec!AX28))),".")</f>
        <v>2.6824597822007652</v>
      </c>
      <c r="AK28" s="116">
        <f>IFERROR(IF(d_ss_Bv!M28=0,".",((s_Ir*s_F*s_MLF_lettuce*(1-EXP(-s_RadSpec!AX28*s_t_b)))/(s_P*s_RadSpec!AX28))),".")</f>
        <v>2.6824597822007652</v>
      </c>
      <c r="AL28" s="116">
        <f>IFERROR(IF(d_ss_Bv!N28=0,".",((s_Ir*s_F*s_MLF_lima_bean*(1-EXP(-s_RadSpec!AX28*s_t_b)))/(s_P*s_RadSpec!AX28))),".")</f>
        <v>2.6824597822007652</v>
      </c>
      <c r="AM28" s="116">
        <f>IFERROR(IF(d_ss_Bv!O28=0,".",((s_Ir*s_F*s_MLF_okra*(1-EXP(-s_RadSpec!AX28*s_t_b)))/(s_P*s_RadSpec!AX28))),".")</f>
        <v>2.6824597822007652</v>
      </c>
      <c r="AN28" s="116">
        <f>IFERROR(IF(d_ss_Bv!P28=0,".",((s_Ir*s_F*s_MLF_onion*(1-EXP(-s_RadSpec!AX28*s_t_b)))/(s_P*s_RadSpec!AX28))),".")</f>
        <v>2.6824597822007652</v>
      </c>
      <c r="AO28" s="116">
        <f>IFERROR(IF(d_ss_Bv!Q28=0,".",((s_Ir*s_F*s_MLF_peach*(1-EXP(-s_RadSpec!AX28*s_t_b)))/(s_P*s_RadSpec!AX28))),".")</f>
        <v>2.6824597822007652</v>
      </c>
      <c r="AP28" s="116">
        <f>IFERROR(IF(d_ss_Bv!R28=0,".",((s_Ir*s_F*s_MLF_pear*(1-EXP(-s_RadSpec!AX28*s_t_b)))/(s_P*s_RadSpec!AX28))),".")</f>
        <v>2.6824597822007652</v>
      </c>
      <c r="AQ28" s="116">
        <f>IFERROR(IF(d_ss_Bv!S28=0,".",((s_Ir*s_F*s_MLF_peas*(1-EXP(-s_RadSpec!AX28*s_t_b)))/(s_P*s_RadSpec!AX28))),".")</f>
        <v>2.6824597822007652</v>
      </c>
      <c r="AR28" s="116">
        <f>IFERROR(IF(d_ss_Bv!T28=0,".",((s_Ir*s_F*s_MLF_potato*(1-EXP(-s_RadSpec!AX28*s_t_b)))/(s_P*s_RadSpec!AX28))),".")</f>
        <v>2.6824597822007652</v>
      </c>
      <c r="AS28" s="116">
        <f>IFERROR(IF(d_ss_Bv!U28=0,".",((s_Ir*s_F*s_MLF_pumpkin*(1-EXP(-s_RadSpec!AX28*s_t_b)))/(s_P*s_RadSpec!AX28))),".")</f>
        <v>2.6824597822007652</v>
      </c>
      <c r="AT28" s="116">
        <f>IFERROR(IF(d_ss_Bv!V28=0,".",((s_Ir*s_F*s_MLF_snap_bean*(1-EXP(-s_RadSpec!AX28*s_t_b)))/(s_P*s_RadSpec!AX28))),".")</f>
        <v>2.6824597822007652</v>
      </c>
      <c r="AU28" s="116">
        <f>IFERROR(IF(d_ss_Bv!W28=0,".",((s_Ir*s_F*s_MLF_strawberry*(1-EXP(-s_RadSpec!AX28*s_t_b)))/(s_P*s_RadSpec!AX28))),".")</f>
        <v>2.6824597822007652</v>
      </c>
      <c r="AV28" s="116">
        <f>IFERROR(IF(d_ss_Bv!X28=0,".",((s_Ir*s_F*s_MLF_tomato*(1-EXP(-s_RadSpec!AX28*s_t_b)))/(s_P*s_RadSpec!AX28))),".")</f>
        <v>2.6824597822007652</v>
      </c>
      <c r="AW28" s="116">
        <f>IFERROR(IF(d_ss_Bv!Y28=0,".",((s_Ir*s_F*s_MLF_rice*(1-EXP(-s_RadSpec!AX28*s_t_b)))/(s_P*s_RadSpec!AX28))),".")</f>
        <v>2.6824597822007652</v>
      </c>
      <c r="AX28" s="116">
        <f>IFERROR(IF(d_ss_Bv!Z28=0,".",((s_Ir*s_F*s_MLF_cereal*(1-EXP(-s_RadSpec!AX28*s_t_b)))/(s_P*s_RadSpec!AX28))),".")</f>
        <v>2.6824597822007652</v>
      </c>
      <c r="AY28" s="116">
        <f>IFERROR(IF(d_ss_Bv!C28=0,".",((s_Ir*s_F*s_I_f*s_T*(1-EXP(-s_RadSpec!AY28*s_t_v)))/(s_Y_v*s_RadSpec!AY28))),".")</f>
        <v>9.0143481925428208</v>
      </c>
      <c r="AZ28" s="116">
        <f>IFERROR(IF(d_ss_Bv!D28=0,".",((s_Ir*s_F*s_I_f*s_T*(1-EXP(-s_RadSpec!AY28*s_t_v)))/(s_Y_v*s_RadSpec!AY28))),".")</f>
        <v>9.0143481925428208</v>
      </c>
      <c r="BA28" s="116">
        <f>IFERROR(IF(d_ss_Bv!E28=0,".",((s_Ir*s_F*s_I_f*s_T*(1-EXP(-s_RadSpec!AY28*s_t_v)))/(s_Y_v*s_RadSpec!AY28))),".")</f>
        <v>9.0143481925428208</v>
      </c>
      <c r="BB28" s="116">
        <f>IFERROR(IF(d_ss_Bv!F28=0,".",((s_Ir*s_F*s_I_f*s_T*(1-EXP(-s_RadSpec!AY28*s_t_v)))/(s_Y_v*s_RadSpec!AY28))),".")</f>
        <v>9.0143481925428208</v>
      </c>
      <c r="BC28" s="116">
        <f>IFERROR(IF(d_ss_Bv!G28=0,".",((s_Ir*s_F*s_I_f*s_T*(1-EXP(-s_RadSpec!AY28*s_t_v)))/(s_Y_v*s_RadSpec!AY28))),".")</f>
        <v>9.0143481925428208</v>
      </c>
      <c r="BD28" s="116">
        <f>IFERROR(IF(d_ss_Bv!H28=0,".",((s_Ir*s_F*s_I_f*s_T*(1-EXP(-s_RadSpec!AY28*s_t_v)))/(s_Y_v*s_RadSpec!AY28))),".")</f>
        <v>9.0143481925428208</v>
      </c>
      <c r="BE28" s="116">
        <f>IFERROR(IF(d_ss_Bv!I28=0,".",((s_Ir*s_F*s_I_f*s_T*(1-EXP(-s_RadSpec!AY28*s_t_v)))/(s_Y_v*s_RadSpec!AY28))),".")</f>
        <v>9.0143481925428208</v>
      </c>
      <c r="BF28" s="116">
        <f>IFERROR(IF(d_ss_Bv!J28=0,".",((s_Ir*s_F*s_I_f*s_T*(1-EXP(-s_RadSpec!AY28*s_t_v)))/(s_Y_v*s_RadSpec!AY28))),".")</f>
        <v>9.0143481925428208</v>
      </c>
      <c r="BG28" s="116">
        <f>IFERROR(IF(d_ss_Bv!K28=0,".",((s_Ir*s_F*s_I_f*s_T*(1-EXP(-s_RadSpec!AY28*s_t_v)))/(s_Y_v*s_RadSpec!AY28))),".")</f>
        <v>9.0143481925428208</v>
      </c>
      <c r="BH28" s="116">
        <f>IFERROR(IF(d_ss_Bv!L28=0,".",((s_Ir*s_F*s_I_f*s_T*(1-EXP(-s_RadSpec!AY28*s_t_v)))/(s_Y_v*s_RadSpec!AY28))),".")</f>
        <v>9.0143481925428208</v>
      </c>
      <c r="BI28" s="116">
        <f>IFERROR(IF(d_ss_Bv!M28=0,".",((s_Ir*s_F*s_I_f*s_T*(1-EXP(-s_RadSpec!AY28*s_t_v)))/(s_Y_v*s_RadSpec!AY28))),".")</f>
        <v>9.0143481925428208</v>
      </c>
      <c r="BJ28" s="116">
        <f>IFERROR(IF(d_ss_Bv!N28=0,".",((s_Ir*s_F*s_I_f*s_T*(1-EXP(-s_RadSpec!AY28*s_t_v)))/(s_Y_v*s_RadSpec!AY28))),".")</f>
        <v>9.0143481925428208</v>
      </c>
      <c r="BK28" s="116">
        <f>IFERROR(IF(d_ss_Bv!O28=0,".",((s_Ir*s_F*s_I_f*s_T*(1-EXP(-s_RadSpec!AY28*s_t_v)))/(s_Y_v*s_RadSpec!AY28))),".")</f>
        <v>9.0143481925428208</v>
      </c>
      <c r="BL28" s="116">
        <f>IFERROR(IF(d_ss_Bv!P28=0,".",((s_Ir*s_F*s_I_f*s_T*(1-EXP(-s_RadSpec!AY28*s_t_v)))/(s_Y_v*s_RadSpec!AY28))),".")</f>
        <v>9.0143481925428208</v>
      </c>
      <c r="BM28" s="116">
        <f>IFERROR(IF(d_ss_Bv!Q28=0,".",((s_Ir*s_F*s_I_f*s_T*(1-EXP(-s_RadSpec!AY28*s_t_v)))/(s_Y_v*s_RadSpec!AY28))),".")</f>
        <v>9.0143481925428208</v>
      </c>
      <c r="BN28" s="116">
        <f>IFERROR(IF(d_ss_Bv!R28=0,".",((s_Ir*s_F*s_I_f*s_T*(1-EXP(-s_RadSpec!AY28*s_t_v)))/(s_Y_v*s_RadSpec!AY28))),".")</f>
        <v>9.0143481925428208</v>
      </c>
      <c r="BO28" s="116">
        <f>IFERROR(IF(d_ss_Bv!S28=0,".",((s_Ir*s_F*s_I_f*s_T*(1-EXP(-s_RadSpec!AY28*s_t_v)))/(s_Y_v*s_RadSpec!AY28))),".")</f>
        <v>9.0143481925428208</v>
      </c>
      <c r="BP28" s="116">
        <f>IFERROR(IF(d_ss_Bv!T28=0,".",((s_Ir*s_F*s_I_f*s_T*(1-EXP(-s_RadSpec!AY28*s_t_v)))/(s_Y_v*s_RadSpec!AY28))),".")</f>
        <v>9.0143481925428208</v>
      </c>
      <c r="BQ28" s="116">
        <f>IFERROR(IF(d_ss_Bv!U28=0,".",((s_Ir*s_F*s_I_f*s_T*(1-EXP(-s_RadSpec!AY28*s_t_v)))/(s_Y_v*s_RadSpec!AY28))),".")</f>
        <v>9.0143481925428208</v>
      </c>
      <c r="BR28" s="116">
        <f>IFERROR(IF(d_ss_Bv!V28=0,".",((s_Ir*s_F*s_I_f*s_T*(1-EXP(-s_RadSpec!AY28*s_t_v)))/(s_Y_v*s_RadSpec!AY28))),".")</f>
        <v>9.0143481925428208</v>
      </c>
      <c r="BS28" s="116">
        <f>IFERROR(IF(d_ss_Bv!W28=0,".",((s_Ir*s_F*s_I_f*s_T*(1-EXP(-s_RadSpec!AY28*s_t_v)))/(s_Y_v*s_RadSpec!AY28))),".")</f>
        <v>9.0143481925428208</v>
      </c>
      <c r="BT28" s="116">
        <f>IFERROR(IF(d_ss_Bv!X28=0,".",((s_Ir*s_F*s_I_f*s_T*(1-EXP(-s_RadSpec!AY28*s_t_v)))/(s_Y_v*s_RadSpec!AY28))),".")</f>
        <v>9.0143481925428208</v>
      </c>
      <c r="BU28" s="116">
        <f>IFERROR(IF(d_ss_Bv!Y28=0,".",((s_Ir*s_F*s_I_f*s_T*(1-EXP(-s_RadSpec!AY28*s_t_v)))/(s_Y_v*s_RadSpec!AY28))),".")</f>
        <v>9.0143481925428208</v>
      </c>
      <c r="BV28" s="116">
        <f>IFERROR(IF(d_ss_Bv!Z28=0,".",((s_Ir*s_F*s_I_f*s_T*(1-EXP(-s_RadSpec!AY28*s_t_v)))/(s_Y_v*s_RadSpec!AY28))),".")</f>
        <v>9.0143481925428208</v>
      </c>
    </row>
    <row r="29" spans="1:74" x14ac:dyDescent="0.25">
      <c r="A29" s="44" t="s">
        <v>39</v>
      </c>
      <c r="B29" s="42" t="s">
        <v>1074</v>
      </c>
      <c r="C29" s="116">
        <f>IFERROR(IF(d_ss_Bv!C29=0,".",((s_Ir*s_F*d_ss_Bv!C29*(1-EXP(-s_RadSpec!$AX29*s_t_b)))/(s_P*s_RadSpec!$AX29))),".")</f>
        <v>1.5896057968597128E-2</v>
      </c>
      <c r="D29" s="116">
        <f>IFERROR(IF(d_ss_Bv!D29=0,".",((s_Ir*s_F*d_ss_Bv!D29*(1-EXP(-s_RadSpec!AX29*s_t_b)))/(s_P*s_RadSpec!AX29))),".")</f>
        <v>0.15896057968597124</v>
      </c>
      <c r="E29" s="116">
        <f>IFERROR(IF(d_ss_Bv!E29=0,".",((s_Ir*s_F*d_ss_Bv!E29*(1-EXP(-s_RadSpec!AX29*s_t_b)))/(s_P*s_RadSpec!AX29))),".")</f>
        <v>1.5896057968597128E-2</v>
      </c>
      <c r="F29" s="116">
        <f>IFERROR(IF(d_ss_Bv!F29=0,".",((s_Ir*s_F*d_ss_Bv!F29*(1-EXP(-s_RadSpec!AX29*s_t_b)))/(s_P*s_RadSpec!AX29))),".")</f>
        <v>1.5896057968597128E-2</v>
      </c>
      <c r="G29" s="116">
        <f>IFERROR(IF(d_ss_Bv!G29=0,".",((s_Ir*s_F*d_ss_Bv!G29*(1-EXP(-s_RadSpec!AX29*s_t_b)))/(s_P*s_RadSpec!AX29))),".")</f>
        <v>1.5896057968597128E-2</v>
      </c>
      <c r="H29" s="116">
        <f>IFERROR(IF(d_ss_Bv!H29=0,".",((s_Ir*s_F*d_ss_Bv!H29*(1-EXP(-s_RadSpec!AX29*s_t_b)))/(s_P*s_RadSpec!AX29))),".")</f>
        <v>0.15896057968597124</v>
      </c>
      <c r="I29" s="116">
        <f>IFERROR(IF(d_ss_Bv!I29=0,".",((s_Ir*s_F*d_ss_Bv!I29*(1-EXP(-s_RadSpec!AX29*s_t_b)))/(s_P*s_RadSpec!AX29))),".")</f>
        <v>1.5896057968597128E-2</v>
      </c>
      <c r="J29" s="116">
        <f>IFERROR(IF(d_ss_Bv!J29=0,".",((s_Ir*s_F*d_ss_Bv!J29*(1-EXP(-s_RadSpec!AX29*s_t_b)))/(s_P*s_RadSpec!AX29))),".")</f>
        <v>1.5896057968597128E-2</v>
      </c>
      <c r="K29" s="116">
        <f>IFERROR(IF(d_ss_Bv!K29=0,".",((s_Ir*s_F*d_ss_Bv!K29*(1-EXP(-s_RadSpec!AX29*s_t_b)))/(s_P*s_RadSpec!AX29))),".")</f>
        <v>1.5896057968597128E-2</v>
      </c>
      <c r="L29" s="116">
        <f>IFERROR(IF(d_ss_Bv!L29=0,".",((s_Ir*s_F*d_ss_Bv!L29*(1-EXP(-s_RadSpec!AX29*s_t_b)))/(s_P*s_RadSpec!AX29))),".")</f>
        <v>1.5896057968597128E-2</v>
      </c>
      <c r="M29" s="116">
        <f>IFERROR(IF(d_ss_Bv!M29=0,".",((s_Ir*s_F*d_ss_Bv!M29*(1-EXP(-s_RadSpec!AX29*s_t_b)))/(s_P*s_RadSpec!AX29))),".")</f>
        <v>0.15896057968597124</v>
      </c>
      <c r="N29" s="116">
        <f>IFERROR(IF(d_ss_Bv!N29=0,".",((s_Ir*s_F*d_ss_Bv!N29*(1-EXP(-s_RadSpec!AX29*s_t_b)))/(s_P*s_RadSpec!AX29))),".")</f>
        <v>1.5896057968597128E-2</v>
      </c>
      <c r="O29" s="116">
        <f>IFERROR(IF(d_ss_Bv!O29=0,".",((s_Ir*s_F*d_ss_Bv!O29*(1-EXP(-s_RadSpec!AX29*s_t_b)))/(s_P*s_RadSpec!AX29))),".")</f>
        <v>1.5896057968597128E-2</v>
      </c>
      <c r="P29" s="116">
        <f>IFERROR(IF(d_ss_Bv!P29=0,".",((s_Ir*s_F*d_ss_Bv!P29*(1-EXP(-s_RadSpec!AX29*s_t_b)))/(s_P*s_RadSpec!AX29))),".")</f>
        <v>1.5896057968597128E-2</v>
      </c>
      <c r="Q29" s="116">
        <f>IFERROR(IF(d_ss_Bv!Q29=0,".",((s_Ir*s_F*d_ss_Bv!Q29*(1-EXP(-s_RadSpec!AX29*s_t_b)))/(s_P*s_RadSpec!AX29))),".")</f>
        <v>1.5896057968597128E-2</v>
      </c>
      <c r="R29" s="116">
        <f>IFERROR(IF(d_ss_Bv!R29=0,".",((s_Ir*s_F*d_ss_Bv!R29*(1-EXP(-s_RadSpec!AX29*s_t_b)))/(s_P*s_RadSpec!AX29))),".")</f>
        <v>1.5896057968597128E-2</v>
      </c>
      <c r="S29" s="116">
        <f>IFERROR(IF(d_ss_Bv!S29=0,".",((s_Ir*s_F*d_ss_Bv!S29*(1-EXP(-s_RadSpec!AX29*s_t_b)))/(s_P*s_RadSpec!AX29))),".")</f>
        <v>1.5896057968597128E-2</v>
      </c>
      <c r="T29" s="116">
        <f>IFERROR(IF(d_ss_Bv!T29=0,".",((s_Ir*s_F*d_ss_Bv!T29*(1-EXP(-s_RadSpec!AX29*s_t_b)))/(s_P*s_RadSpec!AX29))),".")</f>
        <v>1.5896057968597128E-2</v>
      </c>
      <c r="U29" s="116">
        <f>IFERROR(IF(d_ss_Bv!U29=0,".",((s_Ir*s_F*d_ss_Bv!U29*(1-EXP(-s_RadSpec!AX29*s_t_b)))/(s_P*s_RadSpec!AX29))),".")</f>
        <v>1.5896057968597128E-2</v>
      </c>
      <c r="V29" s="116">
        <f>IFERROR(IF(d_ss_Bv!V29=0,".",((s_Ir*s_F*d_ss_Bv!V29*(1-EXP(-s_RadSpec!AX29*s_t_b)))/(s_P*s_RadSpec!AX29))),".")</f>
        <v>1.5896057968597128E-2</v>
      </c>
      <c r="W29" s="116">
        <f>IFERROR(IF(d_ss_Bv!W29=0,".",((s_Ir*s_F*d_ss_Bv!W29*(1-EXP(-s_RadSpec!AX29*s_t_b)))/(s_P*s_RadSpec!AX29))),".")</f>
        <v>1.5896057968597128E-2</v>
      </c>
      <c r="X29" s="116">
        <f>IFERROR(IF(d_ss_Bv!X29=0,".",((s_Ir*s_F*d_ss_Bv!X29*(1-EXP(-s_RadSpec!AX29*s_t_b)))/(s_P*s_RadSpec!AX29))),".")</f>
        <v>1.5896057968597128E-2</v>
      </c>
      <c r="Y29" s="116">
        <f>IFERROR(IF(d_ss_Bv!Y29=0,".",((s_Ir*s_F*d_ss_Bv!Y29*(1-EXP(-s_RadSpec!AX29*s_t_b)))/(s_P*s_RadSpec!AX29))),".")</f>
        <v>39.740144921492814</v>
      </c>
      <c r="Z29" s="116">
        <f>IFERROR(IF(d_ss_Bv!Z29=0,".",((s_Ir*s_F*d_ss_Bv!Z29*(1-EXP(-s_RadSpec!AX29*s_t_b)))/(s_P*s_RadSpec!AX29))),".")</f>
        <v>39.740144921492814</v>
      </c>
      <c r="AA29" s="116">
        <f>IFERROR(IF(d_ss_Bv!C29=0,".",((s_Ir*s_F*s_MLF_apple*(1-EXP(-s_RadSpec!AX29*s_t_b)))/(s_P*s_RadSpec!AX29))),".")</f>
        <v>2.6824597822007652</v>
      </c>
      <c r="AB29" s="116">
        <f>IFERROR(IF(d_ss_Bv!D29=0,".",((s_Ir*s_F*s_MLF_asparagus*(1-EXP(-s_RadSpec!AX29*s_t_b)))/(s_P*s_RadSpec!AX29))),".")</f>
        <v>2.6824597822007652</v>
      </c>
      <c r="AC29" s="116">
        <f>IFERROR(IF(d_ss_Bv!E29=0,".",((s_Ir*s_F*s_MLF_beet*(1-EXP(-s_RadSpec!AX29*s_t_b)))/(s_P*s_RadSpec!AX29))),".")</f>
        <v>2.6824597822007652</v>
      </c>
      <c r="AD29" s="116">
        <f>IFERROR(IF(d_ss_Bv!F29=0,".",((s_Ir*s_F*s_MLF_berries*(1-EXP(-s_RadSpec!AX29*s_t_b)))/(s_P*s_RadSpec!AX29))),".")</f>
        <v>2.6824597822007652</v>
      </c>
      <c r="AE29" s="116">
        <f>IFERROR(IF(d_ss_Bv!G29=0,".",((s_Ir*s_F*s_MLF_broccoli*(1-EXP(-s_RadSpec!AX29*s_t_b)))/(s_P*s_RadSpec!AX29))),".")</f>
        <v>2.6824597822007652</v>
      </c>
      <c r="AF29" s="116">
        <f>IFERROR(IF(d_ss_Bv!H29=0,".",((s_Ir*s_F*s_MLF_cabbage*(1-EXP(-s_RadSpec!AX29*s_t_b)))/(s_P*s_RadSpec!AX29))),".")</f>
        <v>2.6824597822007652</v>
      </c>
      <c r="AG29" s="116">
        <f>IFERROR(IF(d_ss_Bv!I29=0,".",((s_Ir*s_F*s_MLF_carrot*(1-EXP(-s_RadSpec!AX29*s_t_b)))/(s_P*s_RadSpec!AX29))),".")</f>
        <v>2.6824597822007652</v>
      </c>
      <c r="AH29" s="116">
        <f>IFERROR(IF(d_ss_Bv!J29=0,".",((s_Ir*s_F*s_MLF_citrus*(1-EXP(-s_RadSpec!AX29*s_t_b)))/(s_P*s_RadSpec!AX29))),".")</f>
        <v>2.6824597822007652</v>
      </c>
      <c r="AI29" s="116">
        <f>IFERROR(IF(d_ss_Bv!K29=0,".",((s_Ir*s_F*s_MLF_corn*(1-EXP(-s_RadSpec!AX29*s_t_b)))/(s_P*s_RadSpec!AX29))),".")</f>
        <v>2.6824597822007652</v>
      </c>
      <c r="AJ29" s="116">
        <f>IFERROR(IF(d_ss_Bv!L29=0,".",((s_Ir*s_F*s_MLF_cucumber*(1-EXP(-s_RadSpec!AX29*s_t_b)))/(s_P*s_RadSpec!AX29))),".")</f>
        <v>2.6824597822007652</v>
      </c>
      <c r="AK29" s="116">
        <f>IFERROR(IF(d_ss_Bv!M29=0,".",((s_Ir*s_F*s_MLF_lettuce*(1-EXP(-s_RadSpec!AX29*s_t_b)))/(s_P*s_RadSpec!AX29))),".")</f>
        <v>2.6824597822007652</v>
      </c>
      <c r="AL29" s="116">
        <f>IFERROR(IF(d_ss_Bv!N29=0,".",((s_Ir*s_F*s_MLF_lima_bean*(1-EXP(-s_RadSpec!AX29*s_t_b)))/(s_P*s_RadSpec!AX29))),".")</f>
        <v>2.6824597822007652</v>
      </c>
      <c r="AM29" s="116">
        <f>IFERROR(IF(d_ss_Bv!O29=0,".",((s_Ir*s_F*s_MLF_okra*(1-EXP(-s_RadSpec!AX29*s_t_b)))/(s_P*s_RadSpec!AX29))),".")</f>
        <v>2.6824597822007652</v>
      </c>
      <c r="AN29" s="116">
        <f>IFERROR(IF(d_ss_Bv!P29=0,".",((s_Ir*s_F*s_MLF_onion*(1-EXP(-s_RadSpec!AX29*s_t_b)))/(s_P*s_RadSpec!AX29))),".")</f>
        <v>2.6824597822007652</v>
      </c>
      <c r="AO29" s="116">
        <f>IFERROR(IF(d_ss_Bv!Q29=0,".",((s_Ir*s_F*s_MLF_peach*(1-EXP(-s_RadSpec!AX29*s_t_b)))/(s_P*s_RadSpec!AX29))),".")</f>
        <v>2.6824597822007652</v>
      </c>
      <c r="AP29" s="116">
        <f>IFERROR(IF(d_ss_Bv!R29=0,".",((s_Ir*s_F*s_MLF_pear*(1-EXP(-s_RadSpec!AX29*s_t_b)))/(s_P*s_RadSpec!AX29))),".")</f>
        <v>2.6824597822007652</v>
      </c>
      <c r="AQ29" s="116">
        <f>IFERROR(IF(d_ss_Bv!S29=0,".",((s_Ir*s_F*s_MLF_peas*(1-EXP(-s_RadSpec!AX29*s_t_b)))/(s_P*s_RadSpec!AX29))),".")</f>
        <v>2.6824597822007652</v>
      </c>
      <c r="AR29" s="116">
        <f>IFERROR(IF(d_ss_Bv!T29=0,".",((s_Ir*s_F*s_MLF_potato*(1-EXP(-s_RadSpec!AX29*s_t_b)))/(s_P*s_RadSpec!AX29))),".")</f>
        <v>2.6824597822007652</v>
      </c>
      <c r="AS29" s="116">
        <f>IFERROR(IF(d_ss_Bv!U29=0,".",((s_Ir*s_F*s_MLF_pumpkin*(1-EXP(-s_RadSpec!AX29*s_t_b)))/(s_P*s_RadSpec!AX29))),".")</f>
        <v>2.6824597822007652</v>
      </c>
      <c r="AT29" s="116">
        <f>IFERROR(IF(d_ss_Bv!V29=0,".",((s_Ir*s_F*s_MLF_snap_bean*(1-EXP(-s_RadSpec!AX29*s_t_b)))/(s_P*s_RadSpec!AX29))),".")</f>
        <v>2.6824597822007652</v>
      </c>
      <c r="AU29" s="116">
        <f>IFERROR(IF(d_ss_Bv!W29=0,".",((s_Ir*s_F*s_MLF_strawberry*(1-EXP(-s_RadSpec!AX29*s_t_b)))/(s_P*s_RadSpec!AX29))),".")</f>
        <v>2.6824597822007652</v>
      </c>
      <c r="AV29" s="116">
        <f>IFERROR(IF(d_ss_Bv!X29=0,".",((s_Ir*s_F*s_MLF_tomato*(1-EXP(-s_RadSpec!AX29*s_t_b)))/(s_P*s_RadSpec!AX29))),".")</f>
        <v>2.6824597822007652</v>
      </c>
      <c r="AW29" s="116">
        <f>IFERROR(IF(d_ss_Bv!Y29=0,".",((s_Ir*s_F*s_MLF_rice*(1-EXP(-s_RadSpec!AX29*s_t_b)))/(s_P*s_RadSpec!AX29))),".")</f>
        <v>2.6824597822007652</v>
      </c>
      <c r="AX29" s="116">
        <f>IFERROR(IF(d_ss_Bv!Z29=0,".",((s_Ir*s_F*s_MLF_cereal*(1-EXP(-s_RadSpec!AX29*s_t_b)))/(s_P*s_RadSpec!AX29))),".")</f>
        <v>2.6824597822007652</v>
      </c>
      <c r="AY29" s="116">
        <f>IFERROR(IF(d_ss_Bv!C29=0,".",((s_Ir*s_F*s_I_f*s_T*(1-EXP(-s_RadSpec!AY29*s_t_v)))/(s_Y_v*s_RadSpec!AY29))),".")</f>
        <v>9.0143481925428208</v>
      </c>
      <c r="AZ29" s="116">
        <f>IFERROR(IF(d_ss_Bv!D29=0,".",((s_Ir*s_F*s_I_f*s_T*(1-EXP(-s_RadSpec!AY29*s_t_v)))/(s_Y_v*s_RadSpec!AY29))),".")</f>
        <v>9.0143481925428208</v>
      </c>
      <c r="BA29" s="116">
        <f>IFERROR(IF(d_ss_Bv!E29=0,".",((s_Ir*s_F*s_I_f*s_T*(1-EXP(-s_RadSpec!AY29*s_t_v)))/(s_Y_v*s_RadSpec!AY29))),".")</f>
        <v>9.0143481925428208</v>
      </c>
      <c r="BB29" s="116">
        <f>IFERROR(IF(d_ss_Bv!F29=0,".",((s_Ir*s_F*s_I_f*s_T*(1-EXP(-s_RadSpec!AY29*s_t_v)))/(s_Y_v*s_RadSpec!AY29))),".")</f>
        <v>9.0143481925428208</v>
      </c>
      <c r="BC29" s="116">
        <f>IFERROR(IF(d_ss_Bv!G29=0,".",((s_Ir*s_F*s_I_f*s_T*(1-EXP(-s_RadSpec!AY29*s_t_v)))/(s_Y_v*s_RadSpec!AY29))),".")</f>
        <v>9.0143481925428208</v>
      </c>
      <c r="BD29" s="116">
        <f>IFERROR(IF(d_ss_Bv!H29=0,".",((s_Ir*s_F*s_I_f*s_T*(1-EXP(-s_RadSpec!AY29*s_t_v)))/(s_Y_v*s_RadSpec!AY29))),".")</f>
        <v>9.0143481925428208</v>
      </c>
      <c r="BE29" s="116">
        <f>IFERROR(IF(d_ss_Bv!I29=0,".",((s_Ir*s_F*s_I_f*s_T*(1-EXP(-s_RadSpec!AY29*s_t_v)))/(s_Y_v*s_RadSpec!AY29))),".")</f>
        <v>9.0143481925428208</v>
      </c>
      <c r="BF29" s="116">
        <f>IFERROR(IF(d_ss_Bv!J29=0,".",((s_Ir*s_F*s_I_f*s_T*(1-EXP(-s_RadSpec!AY29*s_t_v)))/(s_Y_v*s_RadSpec!AY29))),".")</f>
        <v>9.0143481925428208</v>
      </c>
      <c r="BG29" s="116">
        <f>IFERROR(IF(d_ss_Bv!K29=0,".",((s_Ir*s_F*s_I_f*s_T*(1-EXP(-s_RadSpec!AY29*s_t_v)))/(s_Y_v*s_RadSpec!AY29))),".")</f>
        <v>9.0143481925428208</v>
      </c>
      <c r="BH29" s="116">
        <f>IFERROR(IF(d_ss_Bv!L29=0,".",((s_Ir*s_F*s_I_f*s_T*(1-EXP(-s_RadSpec!AY29*s_t_v)))/(s_Y_v*s_RadSpec!AY29))),".")</f>
        <v>9.0143481925428208</v>
      </c>
      <c r="BI29" s="116">
        <f>IFERROR(IF(d_ss_Bv!M29=0,".",((s_Ir*s_F*s_I_f*s_T*(1-EXP(-s_RadSpec!AY29*s_t_v)))/(s_Y_v*s_RadSpec!AY29))),".")</f>
        <v>9.0143481925428208</v>
      </c>
      <c r="BJ29" s="116">
        <f>IFERROR(IF(d_ss_Bv!N29=0,".",((s_Ir*s_F*s_I_f*s_T*(1-EXP(-s_RadSpec!AY29*s_t_v)))/(s_Y_v*s_RadSpec!AY29))),".")</f>
        <v>9.0143481925428208</v>
      </c>
      <c r="BK29" s="116">
        <f>IFERROR(IF(d_ss_Bv!O29=0,".",((s_Ir*s_F*s_I_f*s_T*(1-EXP(-s_RadSpec!AY29*s_t_v)))/(s_Y_v*s_RadSpec!AY29))),".")</f>
        <v>9.0143481925428208</v>
      </c>
      <c r="BL29" s="116">
        <f>IFERROR(IF(d_ss_Bv!P29=0,".",((s_Ir*s_F*s_I_f*s_T*(1-EXP(-s_RadSpec!AY29*s_t_v)))/(s_Y_v*s_RadSpec!AY29))),".")</f>
        <v>9.0143481925428208</v>
      </c>
      <c r="BM29" s="116">
        <f>IFERROR(IF(d_ss_Bv!Q29=0,".",((s_Ir*s_F*s_I_f*s_T*(1-EXP(-s_RadSpec!AY29*s_t_v)))/(s_Y_v*s_RadSpec!AY29))),".")</f>
        <v>9.0143481925428208</v>
      </c>
      <c r="BN29" s="116">
        <f>IFERROR(IF(d_ss_Bv!R29=0,".",((s_Ir*s_F*s_I_f*s_T*(1-EXP(-s_RadSpec!AY29*s_t_v)))/(s_Y_v*s_RadSpec!AY29))),".")</f>
        <v>9.0143481925428208</v>
      </c>
      <c r="BO29" s="116">
        <f>IFERROR(IF(d_ss_Bv!S29=0,".",((s_Ir*s_F*s_I_f*s_T*(1-EXP(-s_RadSpec!AY29*s_t_v)))/(s_Y_v*s_RadSpec!AY29))),".")</f>
        <v>9.0143481925428208</v>
      </c>
      <c r="BP29" s="116">
        <f>IFERROR(IF(d_ss_Bv!T29=0,".",((s_Ir*s_F*s_I_f*s_T*(1-EXP(-s_RadSpec!AY29*s_t_v)))/(s_Y_v*s_RadSpec!AY29))),".")</f>
        <v>9.0143481925428208</v>
      </c>
      <c r="BQ29" s="116">
        <f>IFERROR(IF(d_ss_Bv!U29=0,".",((s_Ir*s_F*s_I_f*s_T*(1-EXP(-s_RadSpec!AY29*s_t_v)))/(s_Y_v*s_RadSpec!AY29))),".")</f>
        <v>9.0143481925428208</v>
      </c>
      <c r="BR29" s="116">
        <f>IFERROR(IF(d_ss_Bv!V29=0,".",((s_Ir*s_F*s_I_f*s_T*(1-EXP(-s_RadSpec!AY29*s_t_v)))/(s_Y_v*s_RadSpec!AY29))),".")</f>
        <v>9.0143481925428208</v>
      </c>
      <c r="BS29" s="116">
        <f>IFERROR(IF(d_ss_Bv!W29=0,".",((s_Ir*s_F*s_I_f*s_T*(1-EXP(-s_RadSpec!AY29*s_t_v)))/(s_Y_v*s_RadSpec!AY29))),".")</f>
        <v>9.0143481925428208</v>
      </c>
      <c r="BT29" s="116">
        <f>IFERROR(IF(d_ss_Bv!X29=0,".",((s_Ir*s_F*s_I_f*s_T*(1-EXP(-s_RadSpec!AY29*s_t_v)))/(s_Y_v*s_RadSpec!AY29))),".")</f>
        <v>9.0143481925428208</v>
      </c>
      <c r="BU29" s="116">
        <f>IFERROR(IF(d_ss_Bv!Y29=0,".",((s_Ir*s_F*s_I_f*s_T*(1-EXP(-s_RadSpec!AY29*s_t_v)))/(s_Y_v*s_RadSpec!AY29))),".")</f>
        <v>9.0143481925428208</v>
      </c>
      <c r="BV29" s="116">
        <f>IFERROR(IF(d_ss_Bv!Z29=0,".",((s_Ir*s_F*s_I_f*s_T*(1-EXP(-s_RadSpec!AY29*s_t_v)))/(s_Y_v*s_RadSpec!AY29))),".")</f>
        <v>9.0143481925428208</v>
      </c>
    </row>
    <row r="30" spans="1:74" x14ac:dyDescent="0.25">
      <c r="A30" s="44" t="s">
        <v>40</v>
      </c>
      <c r="B30" s="42" t="s">
        <v>1074</v>
      </c>
      <c r="C30" s="116">
        <f>IFERROR(IF(d_ss_Bv!C30=0,".",((s_Ir*s_F*d_ss_Bv!C30*(1-EXP(-s_RadSpec!$AX30*s_t_b)))/(s_P*s_RadSpec!$AX30))),".")</f>
        <v>0.19870072460746407</v>
      </c>
      <c r="D30" s="116">
        <f>IFERROR(IF(d_ss_Bv!D30=0,".",((s_Ir*s_F*d_ss_Bv!D30*(1-EXP(-s_RadSpec!AX30*s_t_b)))/(s_P*s_RadSpec!AX30))),".")</f>
        <v>3.9740144921492817</v>
      </c>
      <c r="E30" s="116">
        <f>IFERROR(IF(d_ss_Bv!E30=0,".",((s_Ir*s_F*d_ss_Bv!E30*(1-EXP(-s_RadSpec!AX30*s_t_b)))/(s_P*s_RadSpec!AX30))),".")</f>
        <v>1.669086086702698</v>
      </c>
      <c r="F30" s="116">
        <f>IFERROR(IF(d_ss_Bv!F30=0,".",((s_Ir*s_F*d_ss_Bv!F30*(1-EXP(-s_RadSpec!AX30*s_t_b)))/(s_P*s_RadSpec!AX30))),".")</f>
        <v>0.19870072460746407</v>
      </c>
      <c r="G30" s="116">
        <f>IFERROR(IF(d_ss_Bv!G30=0,".",((s_Ir*s_F*d_ss_Bv!G30*(1-EXP(-s_RadSpec!AX30*s_t_b)))/(s_P*s_RadSpec!AX30))),".")</f>
        <v>2.9805108691119608</v>
      </c>
      <c r="H30" s="116">
        <f>IFERROR(IF(d_ss_Bv!H30=0,".",((s_Ir*s_F*d_ss_Bv!H30*(1-EXP(-s_RadSpec!AX30*s_t_b)))/(s_P*s_RadSpec!AX30))),".")</f>
        <v>3.9740144921492817</v>
      </c>
      <c r="I30" s="116">
        <f>IFERROR(IF(d_ss_Bv!I30=0,".",((s_Ir*s_F*d_ss_Bv!I30*(1-EXP(-s_RadSpec!AX30*s_t_b)))/(s_P*s_RadSpec!AX30))),".")</f>
        <v>1.669086086702698</v>
      </c>
      <c r="J30" s="116">
        <f>IFERROR(IF(d_ss_Bv!J30=0,".",((s_Ir*s_F*d_ss_Bv!J30*(1-EXP(-s_RadSpec!AX30*s_t_b)))/(s_P*s_RadSpec!AX30))),".")</f>
        <v>0.19870072460746407</v>
      </c>
      <c r="K30" s="116">
        <f>IFERROR(IF(d_ss_Bv!K30=0,".",((s_Ir*s_F*d_ss_Bv!K30*(1-EXP(-s_RadSpec!AX30*s_t_b)))/(s_P*s_RadSpec!AX30))),".")</f>
        <v>2.9805108691119608</v>
      </c>
      <c r="L30" s="116">
        <f>IFERROR(IF(d_ss_Bv!L30=0,".",((s_Ir*s_F*d_ss_Bv!L30*(1-EXP(-s_RadSpec!AX30*s_t_b)))/(s_P*s_RadSpec!AX30))),".")</f>
        <v>2.9805108691119608</v>
      </c>
      <c r="M30" s="116">
        <f>IFERROR(IF(d_ss_Bv!M30=0,".",((s_Ir*s_F*d_ss_Bv!M30*(1-EXP(-s_RadSpec!AX30*s_t_b)))/(s_P*s_RadSpec!AX30))),".")</f>
        <v>3.9740144921492817</v>
      </c>
      <c r="N30" s="116">
        <f>IFERROR(IF(d_ss_Bv!N30=0,".",((s_Ir*s_F*d_ss_Bv!N30*(1-EXP(-s_RadSpec!AX30*s_t_b)))/(s_P*s_RadSpec!AX30))),".")</f>
        <v>0.43714159413642101</v>
      </c>
      <c r="O30" s="116">
        <f>IFERROR(IF(d_ss_Bv!O30=0,".",((s_Ir*s_F*d_ss_Bv!O30*(1-EXP(-s_RadSpec!AX30*s_t_b)))/(s_P*s_RadSpec!AX30))),".")</f>
        <v>2.9805108691119608</v>
      </c>
      <c r="P30" s="116">
        <f>IFERROR(IF(d_ss_Bv!P30=0,".",((s_Ir*s_F*d_ss_Bv!P30*(1-EXP(-s_RadSpec!AX30*s_t_b)))/(s_P*s_RadSpec!AX30))),".")</f>
        <v>2.9805108691119608</v>
      </c>
      <c r="Q30" s="116">
        <f>IFERROR(IF(d_ss_Bv!Q30=0,".",((s_Ir*s_F*d_ss_Bv!Q30*(1-EXP(-s_RadSpec!AX30*s_t_b)))/(s_P*s_RadSpec!AX30))),".")</f>
        <v>0.19870072460746407</v>
      </c>
      <c r="R30" s="116">
        <f>IFERROR(IF(d_ss_Bv!R30=0,".",((s_Ir*s_F*d_ss_Bv!R30*(1-EXP(-s_RadSpec!AX30*s_t_b)))/(s_P*s_RadSpec!AX30))),".")</f>
        <v>0.19870072460746407</v>
      </c>
      <c r="S30" s="116">
        <f>IFERROR(IF(d_ss_Bv!S30=0,".",((s_Ir*s_F*d_ss_Bv!S30*(1-EXP(-s_RadSpec!AX30*s_t_b)))/(s_P*s_RadSpec!AX30))),".")</f>
        <v>0.43714159413642101</v>
      </c>
      <c r="T30" s="116">
        <f>IFERROR(IF(d_ss_Bv!T30=0,".",((s_Ir*s_F*d_ss_Bv!T30*(1-EXP(-s_RadSpec!AX30*s_t_b)))/(s_P*s_RadSpec!AX30))),".")</f>
        <v>0.99350362303732043</v>
      </c>
      <c r="U30" s="116">
        <f>IFERROR(IF(d_ss_Bv!U30=0,".",((s_Ir*s_F*d_ss_Bv!U30*(1-EXP(-s_RadSpec!AX30*s_t_b)))/(s_P*s_RadSpec!AX30))),".")</f>
        <v>2.9805108691119608</v>
      </c>
      <c r="V30" s="116">
        <f>IFERROR(IF(d_ss_Bv!V30=0,".",((s_Ir*s_F*d_ss_Bv!V30*(1-EXP(-s_RadSpec!AX30*s_t_b)))/(s_P*s_RadSpec!AX30))),".")</f>
        <v>0.43714159413642101</v>
      </c>
      <c r="W30" s="116">
        <f>IFERROR(IF(d_ss_Bv!W30=0,".",((s_Ir*s_F*d_ss_Bv!W30*(1-EXP(-s_RadSpec!AX30*s_t_b)))/(s_P*s_RadSpec!AX30))),".")</f>
        <v>0.19870072460746407</v>
      </c>
      <c r="X30" s="116">
        <f>IFERROR(IF(d_ss_Bv!X30=0,".",((s_Ir*s_F*d_ss_Bv!X30*(1-EXP(-s_RadSpec!AX30*s_t_b)))/(s_P*s_RadSpec!AX30))),".")</f>
        <v>2.9805108691119608</v>
      </c>
      <c r="Y30" s="116">
        <f>IFERROR(IF(d_ss_Bv!Y30=0,".",((s_Ir*s_F*d_ss_Bv!Y30*(1-EXP(-s_RadSpec!AX30*s_t_b)))/(s_P*s_RadSpec!AX30))),".")</f>
        <v>4.8284276079613768E-2</v>
      </c>
      <c r="Z30" s="116">
        <f>IFERROR(IF(d_ss_Bv!Z30=0,".",((s_Ir*s_F*d_ss_Bv!Z30*(1-EXP(-s_RadSpec!AX30*s_t_b)))/(s_P*s_RadSpec!AX30))),".")</f>
        <v>1.2319444925662772</v>
      </c>
      <c r="AA30" s="116">
        <f>IFERROR(IF(d_ss_Bv!C30=0,".",((s_Ir*s_F*s_MLF_apple*(1-EXP(-s_RadSpec!AX30*s_t_b)))/(s_P*s_RadSpec!AX30))),".")</f>
        <v>2.6824597822007652</v>
      </c>
      <c r="AB30" s="116">
        <f>IFERROR(IF(d_ss_Bv!D30=0,".",((s_Ir*s_F*s_MLF_asparagus*(1-EXP(-s_RadSpec!AX30*s_t_b)))/(s_P*s_RadSpec!AX30))),".")</f>
        <v>2.6824597822007652</v>
      </c>
      <c r="AC30" s="116">
        <f>IFERROR(IF(d_ss_Bv!E30=0,".",((s_Ir*s_F*s_MLF_beet*(1-EXP(-s_RadSpec!AX30*s_t_b)))/(s_P*s_RadSpec!AX30))),".")</f>
        <v>2.6824597822007652</v>
      </c>
      <c r="AD30" s="116">
        <f>IFERROR(IF(d_ss_Bv!F30=0,".",((s_Ir*s_F*s_MLF_berries*(1-EXP(-s_RadSpec!AX30*s_t_b)))/(s_P*s_RadSpec!AX30))),".")</f>
        <v>2.6824597822007652</v>
      </c>
      <c r="AE30" s="116">
        <f>IFERROR(IF(d_ss_Bv!G30=0,".",((s_Ir*s_F*s_MLF_broccoli*(1-EXP(-s_RadSpec!AX30*s_t_b)))/(s_P*s_RadSpec!AX30))),".")</f>
        <v>2.6824597822007652</v>
      </c>
      <c r="AF30" s="116">
        <f>IFERROR(IF(d_ss_Bv!H30=0,".",((s_Ir*s_F*s_MLF_cabbage*(1-EXP(-s_RadSpec!AX30*s_t_b)))/(s_P*s_RadSpec!AX30))),".")</f>
        <v>2.6824597822007652</v>
      </c>
      <c r="AG30" s="116">
        <f>IFERROR(IF(d_ss_Bv!I30=0,".",((s_Ir*s_F*s_MLF_carrot*(1-EXP(-s_RadSpec!AX30*s_t_b)))/(s_P*s_RadSpec!AX30))),".")</f>
        <v>2.6824597822007652</v>
      </c>
      <c r="AH30" s="116">
        <f>IFERROR(IF(d_ss_Bv!J30=0,".",((s_Ir*s_F*s_MLF_citrus*(1-EXP(-s_RadSpec!AX30*s_t_b)))/(s_P*s_RadSpec!AX30))),".")</f>
        <v>2.6824597822007652</v>
      </c>
      <c r="AI30" s="116">
        <f>IFERROR(IF(d_ss_Bv!K30=0,".",((s_Ir*s_F*s_MLF_corn*(1-EXP(-s_RadSpec!AX30*s_t_b)))/(s_P*s_RadSpec!AX30))),".")</f>
        <v>2.6824597822007652</v>
      </c>
      <c r="AJ30" s="116">
        <f>IFERROR(IF(d_ss_Bv!L30=0,".",((s_Ir*s_F*s_MLF_cucumber*(1-EXP(-s_RadSpec!AX30*s_t_b)))/(s_P*s_RadSpec!AX30))),".")</f>
        <v>2.6824597822007652</v>
      </c>
      <c r="AK30" s="116">
        <f>IFERROR(IF(d_ss_Bv!M30=0,".",((s_Ir*s_F*s_MLF_lettuce*(1-EXP(-s_RadSpec!AX30*s_t_b)))/(s_P*s_RadSpec!AX30))),".")</f>
        <v>2.6824597822007652</v>
      </c>
      <c r="AL30" s="116">
        <f>IFERROR(IF(d_ss_Bv!N30=0,".",((s_Ir*s_F*s_MLF_lima_bean*(1-EXP(-s_RadSpec!AX30*s_t_b)))/(s_P*s_RadSpec!AX30))),".")</f>
        <v>2.6824597822007652</v>
      </c>
      <c r="AM30" s="116">
        <f>IFERROR(IF(d_ss_Bv!O30=0,".",((s_Ir*s_F*s_MLF_okra*(1-EXP(-s_RadSpec!AX30*s_t_b)))/(s_P*s_RadSpec!AX30))),".")</f>
        <v>2.6824597822007652</v>
      </c>
      <c r="AN30" s="116">
        <f>IFERROR(IF(d_ss_Bv!P30=0,".",((s_Ir*s_F*s_MLF_onion*(1-EXP(-s_RadSpec!AX30*s_t_b)))/(s_P*s_RadSpec!AX30))),".")</f>
        <v>2.6824597822007652</v>
      </c>
      <c r="AO30" s="116">
        <f>IFERROR(IF(d_ss_Bv!Q30=0,".",((s_Ir*s_F*s_MLF_peach*(1-EXP(-s_RadSpec!AX30*s_t_b)))/(s_P*s_RadSpec!AX30))),".")</f>
        <v>2.6824597822007652</v>
      </c>
      <c r="AP30" s="116">
        <f>IFERROR(IF(d_ss_Bv!R30=0,".",((s_Ir*s_F*s_MLF_pear*(1-EXP(-s_RadSpec!AX30*s_t_b)))/(s_P*s_RadSpec!AX30))),".")</f>
        <v>2.6824597822007652</v>
      </c>
      <c r="AQ30" s="116">
        <f>IFERROR(IF(d_ss_Bv!S30=0,".",((s_Ir*s_F*s_MLF_peas*(1-EXP(-s_RadSpec!AX30*s_t_b)))/(s_P*s_RadSpec!AX30))),".")</f>
        <v>2.6824597822007652</v>
      </c>
      <c r="AR30" s="116">
        <f>IFERROR(IF(d_ss_Bv!T30=0,".",((s_Ir*s_F*s_MLF_potato*(1-EXP(-s_RadSpec!AX30*s_t_b)))/(s_P*s_RadSpec!AX30))),".")</f>
        <v>2.6824597822007652</v>
      </c>
      <c r="AS30" s="116">
        <f>IFERROR(IF(d_ss_Bv!U30=0,".",((s_Ir*s_F*s_MLF_pumpkin*(1-EXP(-s_RadSpec!AX30*s_t_b)))/(s_P*s_RadSpec!AX30))),".")</f>
        <v>2.6824597822007652</v>
      </c>
      <c r="AT30" s="116">
        <f>IFERROR(IF(d_ss_Bv!V30=0,".",((s_Ir*s_F*s_MLF_snap_bean*(1-EXP(-s_RadSpec!AX30*s_t_b)))/(s_P*s_RadSpec!AX30))),".")</f>
        <v>2.6824597822007652</v>
      </c>
      <c r="AU30" s="116">
        <f>IFERROR(IF(d_ss_Bv!W30=0,".",((s_Ir*s_F*s_MLF_strawberry*(1-EXP(-s_RadSpec!AX30*s_t_b)))/(s_P*s_RadSpec!AX30))),".")</f>
        <v>2.6824597822007652</v>
      </c>
      <c r="AV30" s="116">
        <f>IFERROR(IF(d_ss_Bv!X30=0,".",((s_Ir*s_F*s_MLF_tomato*(1-EXP(-s_RadSpec!AX30*s_t_b)))/(s_P*s_RadSpec!AX30))),".")</f>
        <v>2.6824597822007652</v>
      </c>
      <c r="AW30" s="116">
        <f>IFERROR(IF(d_ss_Bv!Y30=0,".",((s_Ir*s_F*s_MLF_rice*(1-EXP(-s_RadSpec!AX30*s_t_b)))/(s_P*s_RadSpec!AX30))),".")</f>
        <v>2.6824597822007652</v>
      </c>
      <c r="AX30" s="116">
        <f>IFERROR(IF(d_ss_Bv!Z30=0,".",((s_Ir*s_F*s_MLF_cereal*(1-EXP(-s_RadSpec!AX30*s_t_b)))/(s_P*s_RadSpec!AX30))),".")</f>
        <v>2.6824597822007652</v>
      </c>
      <c r="AY30" s="116">
        <f>IFERROR(IF(d_ss_Bv!C30=0,".",((s_Ir*s_F*s_I_f*s_T*(1-EXP(-s_RadSpec!AY30*s_t_v)))/(s_Y_v*s_RadSpec!AY30))),".")</f>
        <v>9.0143481925428208</v>
      </c>
      <c r="AZ30" s="116">
        <f>IFERROR(IF(d_ss_Bv!D30=0,".",((s_Ir*s_F*s_I_f*s_T*(1-EXP(-s_RadSpec!AY30*s_t_v)))/(s_Y_v*s_RadSpec!AY30))),".")</f>
        <v>9.0143481925428208</v>
      </c>
      <c r="BA30" s="116">
        <f>IFERROR(IF(d_ss_Bv!E30=0,".",((s_Ir*s_F*s_I_f*s_T*(1-EXP(-s_RadSpec!AY30*s_t_v)))/(s_Y_v*s_RadSpec!AY30))),".")</f>
        <v>9.0143481925428208</v>
      </c>
      <c r="BB30" s="116">
        <f>IFERROR(IF(d_ss_Bv!F30=0,".",((s_Ir*s_F*s_I_f*s_T*(1-EXP(-s_RadSpec!AY30*s_t_v)))/(s_Y_v*s_RadSpec!AY30))),".")</f>
        <v>9.0143481925428208</v>
      </c>
      <c r="BC30" s="116">
        <f>IFERROR(IF(d_ss_Bv!G30=0,".",((s_Ir*s_F*s_I_f*s_T*(1-EXP(-s_RadSpec!AY30*s_t_v)))/(s_Y_v*s_RadSpec!AY30))),".")</f>
        <v>9.0143481925428208</v>
      </c>
      <c r="BD30" s="116">
        <f>IFERROR(IF(d_ss_Bv!H30=0,".",((s_Ir*s_F*s_I_f*s_T*(1-EXP(-s_RadSpec!AY30*s_t_v)))/(s_Y_v*s_RadSpec!AY30))),".")</f>
        <v>9.0143481925428208</v>
      </c>
      <c r="BE30" s="116">
        <f>IFERROR(IF(d_ss_Bv!I30=0,".",((s_Ir*s_F*s_I_f*s_T*(1-EXP(-s_RadSpec!AY30*s_t_v)))/(s_Y_v*s_RadSpec!AY30))),".")</f>
        <v>9.0143481925428208</v>
      </c>
      <c r="BF30" s="116">
        <f>IFERROR(IF(d_ss_Bv!J30=0,".",((s_Ir*s_F*s_I_f*s_T*(1-EXP(-s_RadSpec!AY30*s_t_v)))/(s_Y_v*s_RadSpec!AY30))),".")</f>
        <v>9.0143481925428208</v>
      </c>
      <c r="BG30" s="116">
        <f>IFERROR(IF(d_ss_Bv!K30=0,".",((s_Ir*s_F*s_I_f*s_T*(1-EXP(-s_RadSpec!AY30*s_t_v)))/(s_Y_v*s_RadSpec!AY30))),".")</f>
        <v>9.0143481925428208</v>
      </c>
      <c r="BH30" s="116">
        <f>IFERROR(IF(d_ss_Bv!L30=0,".",((s_Ir*s_F*s_I_f*s_T*(1-EXP(-s_RadSpec!AY30*s_t_v)))/(s_Y_v*s_RadSpec!AY30))),".")</f>
        <v>9.0143481925428208</v>
      </c>
      <c r="BI30" s="116">
        <f>IFERROR(IF(d_ss_Bv!M30=0,".",((s_Ir*s_F*s_I_f*s_T*(1-EXP(-s_RadSpec!AY30*s_t_v)))/(s_Y_v*s_RadSpec!AY30))),".")</f>
        <v>9.0143481925428208</v>
      </c>
      <c r="BJ30" s="116">
        <f>IFERROR(IF(d_ss_Bv!N30=0,".",((s_Ir*s_F*s_I_f*s_T*(1-EXP(-s_RadSpec!AY30*s_t_v)))/(s_Y_v*s_RadSpec!AY30))),".")</f>
        <v>9.0143481925428208</v>
      </c>
      <c r="BK30" s="116">
        <f>IFERROR(IF(d_ss_Bv!O30=0,".",((s_Ir*s_F*s_I_f*s_T*(1-EXP(-s_RadSpec!AY30*s_t_v)))/(s_Y_v*s_RadSpec!AY30))),".")</f>
        <v>9.0143481925428208</v>
      </c>
      <c r="BL30" s="116">
        <f>IFERROR(IF(d_ss_Bv!P30=0,".",((s_Ir*s_F*s_I_f*s_T*(1-EXP(-s_RadSpec!AY30*s_t_v)))/(s_Y_v*s_RadSpec!AY30))),".")</f>
        <v>9.0143481925428208</v>
      </c>
      <c r="BM30" s="116">
        <f>IFERROR(IF(d_ss_Bv!Q30=0,".",((s_Ir*s_F*s_I_f*s_T*(1-EXP(-s_RadSpec!AY30*s_t_v)))/(s_Y_v*s_RadSpec!AY30))),".")</f>
        <v>9.0143481925428208</v>
      </c>
      <c r="BN30" s="116">
        <f>IFERROR(IF(d_ss_Bv!R30=0,".",((s_Ir*s_F*s_I_f*s_T*(1-EXP(-s_RadSpec!AY30*s_t_v)))/(s_Y_v*s_RadSpec!AY30))),".")</f>
        <v>9.0143481925428208</v>
      </c>
      <c r="BO30" s="116">
        <f>IFERROR(IF(d_ss_Bv!S30=0,".",((s_Ir*s_F*s_I_f*s_T*(1-EXP(-s_RadSpec!AY30*s_t_v)))/(s_Y_v*s_RadSpec!AY30))),".")</f>
        <v>9.0143481925428208</v>
      </c>
      <c r="BP30" s="116">
        <f>IFERROR(IF(d_ss_Bv!T30=0,".",((s_Ir*s_F*s_I_f*s_T*(1-EXP(-s_RadSpec!AY30*s_t_v)))/(s_Y_v*s_RadSpec!AY30))),".")</f>
        <v>9.0143481925428208</v>
      </c>
      <c r="BQ30" s="116">
        <f>IFERROR(IF(d_ss_Bv!U30=0,".",((s_Ir*s_F*s_I_f*s_T*(1-EXP(-s_RadSpec!AY30*s_t_v)))/(s_Y_v*s_RadSpec!AY30))),".")</f>
        <v>9.0143481925428208</v>
      </c>
      <c r="BR30" s="116">
        <f>IFERROR(IF(d_ss_Bv!V30=0,".",((s_Ir*s_F*s_I_f*s_T*(1-EXP(-s_RadSpec!AY30*s_t_v)))/(s_Y_v*s_RadSpec!AY30))),".")</f>
        <v>9.0143481925428208</v>
      </c>
      <c r="BS30" s="116">
        <f>IFERROR(IF(d_ss_Bv!W30=0,".",((s_Ir*s_F*s_I_f*s_T*(1-EXP(-s_RadSpec!AY30*s_t_v)))/(s_Y_v*s_RadSpec!AY30))),".")</f>
        <v>9.0143481925428208</v>
      </c>
      <c r="BT30" s="116">
        <f>IFERROR(IF(d_ss_Bv!X30=0,".",((s_Ir*s_F*s_I_f*s_T*(1-EXP(-s_RadSpec!AY30*s_t_v)))/(s_Y_v*s_RadSpec!AY30))),".")</f>
        <v>9.0143481925428208</v>
      </c>
      <c r="BU30" s="116">
        <f>IFERROR(IF(d_ss_Bv!Y30=0,".",((s_Ir*s_F*s_I_f*s_T*(1-EXP(-s_RadSpec!AY30*s_t_v)))/(s_Y_v*s_RadSpec!AY30))),".")</f>
        <v>9.0143481925428208</v>
      </c>
      <c r="BV30" s="116">
        <f>IFERROR(IF(d_ss_Bv!Z30=0,".",((s_Ir*s_F*s_I_f*s_T*(1-EXP(-s_RadSpec!AY30*s_t_v)))/(s_Y_v*s_RadSpec!AY30))),".")</f>
        <v>9.0143481925428208</v>
      </c>
    </row>
  </sheetData>
  <sheetProtection algorithmName="SHA-512" hashValue="QomrkOjyHV+PYtVrT2jxEgaGR9Ml80vgUV6vQoVHJSEJfrsScnyHkM4iG/0DW5v6AclBHzhmyAZqj/Ljy1s9Zw==" saltValue="plpW5+afA5cASjrQbB98zA==" spinCount="100000" sheet="1" objects="1" scenarios="1" formatColumns="0" formatRows="0" autoFilter="0"/>
  <autoFilter ref="A1:BV30" xr:uid="{C3AB649A-492F-4EA0-A2A7-E9BEDA75EC0D}"/>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BY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4.5703125" style="75" bestFit="1" customWidth="1"/>
    <col min="2" max="2" width="11.7109375" style="75" bestFit="1" customWidth="1"/>
    <col min="3" max="3" width="20.7109375" style="75" bestFit="1" customWidth="1"/>
    <col min="4" max="4" width="14.5703125" style="77" bestFit="1" customWidth="1"/>
    <col min="5" max="5" width="14.28515625" style="77" bestFit="1" customWidth="1"/>
    <col min="6" max="6" width="13.85546875" style="77" bestFit="1" customWidth="1"/>
    <col min="7" max="7" width="14.28515625" style="77" bestFit="1" customWidth="1"/>
    <col min="8" max="8" width="13.7109375" style="77" bestFit="1" customWidth="1"/>
    <col min="9" max="9" width="14" style="77" bestFit="1" customWidth="1"/>
    <col min="10" max="10" width="13.140625" style="77" bestFit="1" customWidth="1"/>
    <col min="11" max="11" width="14.5703125" style="77" bestFit="1" customWidth="1"/>
    <col min="12" max="12" width="13.7109375" style="77" bestFit="1" customWidth="1"/>
    <col min="13" max="13" width="15.42578125" style="77" bestFit="1" customWidth="1"/>
    <col min="14" max="14" width="12.85546875" style="77" bestFit="1" customWidth="1"/>
    <col min="15" max="15" width="13.42578125" style="77" bestFit="1" customWidth="1"/>
    <col min="16" max="16" width="13.5703125" style="77" bestFit="1" customWidth="1"/>
    <col min="17" max="17" width="14.7109375" style="77" bestFit="1" customWidth="1"/>
    <col min="18" max="18" width="15" style="77" bestFit="1" customWidth="1"/>
    <col min="19" max="19" width="13.7109375" style="77" bestFit="1" customWidth="1"/>
    <col min="20" max="20" width="13" style="77" bestFit="1" customWidth="1"/>
    <col min="21" max="21" width="14.42578125" style="77" bestFit="1" customWidth="1"/>
    <col min="22" max="22" width="14.85546875" style="77" bestFit="1" customWidth="1"/>
    <col min="23" max="23" width="13.85546875" style="77" bestFit="1" customWidth="1"/>
    <col min="24" max="24" width="14.5703125" style="77" bestFit="1" customWidth="1"/>
    <col min="25" max="25" width="13.42578125" style="77" bestFit="1" customWidth="1"/>
    <col min="26" max="26" width="13" style="77" bestFit="1" customWidth="1"/>
    <col min="27" max="27" width="15" style="77" bestFit="1" customWidth="1"/>
    <col min="28" max="28" width="20.5703125" style="77" bestFit="1" customWidth="1"/>
    <col min="29" max="29" width="14.28515625" style="77" bestFit="1" customWidth="1"/>
    <col min="30" max="30" width="14.140625" style="77" bestFit="1" customWidth="1"/>
    <col min="31" max="31" width="13.5703125" style="77" bestFit="1" customWidth="1"/>
    <col min="32" max="32" width="14.140625" style="77" bestFit="1" customWidth="1"/>
    <col min="33" max="33" width="13.42578125" style="77" bestFit="1" customWidth="1"/>
    <col min="34" max="34" width="13.7109375" style="77" bestFit="1" customWidth="1"/>
    <col min="35" max="35" width="13" style="77" bestFit="1" customWidth="1"/>
    <col min="36" max="36" width="14.28515625" style="77" bestFit="1" customWidth="1"/>
    <col min="37" max="37" width="13.42578125" style="77" bestFit="1" customWidth="1"/>
    <col min="38" max="38" width="15.28515625" style="77" bestFit="1" customWidth="1"/>
    <col min="39" max="39" width="12.7109375" style="77" bestFit="1" customWidth="1"/>
    <col min="40" max="40" width="13.28515625" style="77" bestFit="1" customWidth="1"/>
    <col min="41" max="41" width="13.42578125" style="77" bestFit="1" customWidth="1"/>
    <col min="42" max="42" width="14.5703125" style="77" bestFit="1" customWidth="1"/>
    <col min="43" max="43" width="14.7109375" style="77" bestFit="1" customWidth="1"/>
    <col min="44" max="44" width="13.42578125" style="77" bestFit="1" customWidth="1"/>
    <col min="45" max="45" width="12.85546875" style="77" bestFit="1" customWidth="1"/>
    <col min="46" max="46" width="14.140625" style="77" bestFit="1" customWidth="1"/>
    <col min="47" max="47" width="14.5703125" style="77" bestFit="1" customWidth="1"/>
    <col min="48" max="48" width="13.5703125" style="77" bestFit="1" customWidth="1"/>
    <col min="49" max="49" width="14.28515625" style="77" bestFit="1" customWidth="1"/>
    <col min="50" max="50" width="13.140625" style="77" bestFit="1" customWidth="1"/>
    <col min="51" max="51" width="12.85546875" style="77" bestFit="1" customWidth="1"/>
    <col min="52" max="52" width="13.85546875" style="77" bestFit="1" customWidth="1"/>
    <col min="53" max="53" width="20.7109375" style="77" bestFit="1" customWidth="1"/>
    <col min="54" max="54" width="14.5703125" style="77" bestFit="1" customWidth="1"/>
    <col min="55" max="55" width="14.7109375" style="77" bestFit="1" customWidth="1"/>
    <col min="56" max="56" width="13.85546875" style="77" bestFit="1" customWidth="1"/>
    <col min="57" max="57" width="14.42578125" style="77" bestFit="1" customWidth="1"/>
    <col min="58" max="58" width="13.85546875" style="77" bestFit="1" customWidth="1"/>
    <col min="59" max="59" width="14" style="77" bestFit="1" customWidth="1"/>
    <col min="60" max="60" width="13.42578125" style="77" bestFit="1" customWidth="1"/>
    <col min="61" max="61" width="14.7109375" style="77" bestFit="1" customWidth="1"/>
    <col min="62" max="62" width="13.85546875" style="77" bestFit="1" customWidth="1"/>
    <col min="63" max="63" width="15.5703125" style="77" bestFit="1" customWidth="1"/>
    <col min="64" max="64" width="13" style="77" bestFit="1" customWidth="1"/>
    <col min="65" max="66" width="13.85546875" style="77" bestFit="1" customWidth="1"/>
    <col min="67" max="67" width="14.7109375" style="77" bestFit="1" customWidth="1"/>
    <col min="68" max="68" width="15" style="77" bestFit="1" customWidth="1"/>
    <col min="69" max="69" width="13.85546875" style="77" bestFit="1" customWidth="1"/>
    <col min="70" max="70" width="13.140625" style="77" bestFit="1" customWidth="1"/>
    <col min="71" max="71" width="14.5703125" style="77" bestFit="1" customWidth="1"/>
    <col min="72" max="72" width="14.85546875" style="77" bestFit="1" customWidth="1"/>
    <col min="73" max="73" width="14" style="77" bestFit="1" customWidth="1"/>
    <col min="74" max="74" width="14.85546875" style="77" bestFit="1" customWidth="1"/>
    <col min="75" max="75" width="13.5703125" style="77" bestFit="1" customWidth="1"/>
    <col min="76" max="76" width="13.140625" style="77" bestFit="1" customWidth="1"/>
    <col min="77" max="77" width="14.28515625" style="77" bestFit="1" customWidth="1"/>
    <col min="78" max="16384" width="9.140625" style="77"/>
  </cols>
  <sheetData>
    <row r="1" spans="1:77" x14ac:dyDescent="0.25">
      <c r="A1" s="87" t="s">
        <v>51</v>
      </c>
      <c r="B1" s="88" t="s">
        <v>350</v>
      </c>
      <c r="C1" s="90" t="s">
        <v>1446</v>
      </c>
      <c r="D1" s="90" t="s">
        <v>1447</v>
      </c>
      <c r="E1" s="90" t="s">
        <v>1448</v>
      </c>
      <c r="F1" s="90" t="s">
        <v>1449</v>
      </c>
      <c r="G1" s="90" t="s">
        <v>1450</v>
      </c>
      <c r="H1" s="90" t="s">
        <v>1451</v>
      </c>
      <c r="I1" s="90" t="s">
        <v>1452</v>
      </c>
      <c r="J1" s="90" t="s">
        <v>1453</v>
      </c>
      <c r="K1" s="90" t="s">
        <v>1454</v>
      </c>
      <c r="L1" s="90" t="s">
        <v>1455</v>
      </c>
      <c r="M1" s="90" t="s">
        <v>1456</v>
      </c>
      <c r="N1" s="90" t="s">
        <v>1457</v>
      </c>
      <c r="O1" s="90" t="s">
        <v>1458</v>
      </c>
      <c r="P1" s="90" t="s">
        <v>1459</v>
      </c>
      <c r="Q1" s="90" t="s">
        <v>1460</v>
      </c>
      <c r="R1" s="90" t="s">
        <v>1461</v>
      </c>
      <c r="S1" s="90" t="s">
        <v>1462</v>
      </c>
      <c r="T1" s="90" t="s">
        <v>1463</v>
      </c>
      <c r="U1" s="90" t="s">
        <v>1464</v>
      </c>
      <c r="V1" s="90" t="s">
        <v>1465</v>
      </c>
      <c r="W1" s="90" t="s">
        <v>1466</v>
      </c>
      <c r="X1" s="90" t="s">
        <v>1467</v>
      </c>
      <c r="Y1" s="90" t="s">
        <v>1468</v>
      </c>
      <c r="Z1" s="90" t="s">
        <v>1469</v>
      </c>
      <c r="AA1" s="90" t="s">
        <v>1470</v>
      </c>
      <c r="AB1" s="90" t="s">
        <v>1421</v>
      </c>
      <c r="AC1" s="90" t="s">
        <v>1422</v>
      </c>
      <c r="AD1" s="90" t="s">
        <v>1423</v>
      </c>
      <c r="AE1" s="90" t="s">
        <v>1424</v>
      </c>
      <c r="AF1" s="90" t="s">
        <v>1425</v>
      </c>
      <c r="AG1" s="90" t="s">
        <v>1426</v>
      </c>
      <c r="AH1" s="90" t="s">
        <v>1427</v>
      </c>
      <c r="AI1" s="90" t="s">
        <v>1428</v>
      </c>
      <c r="AJ1" s="90" t="s">
        <v>1429</v>
      </c>
      <c r="AK1" s="90" t="s">
        <v>1430</v>
      </c>
      <c r="AL1" s="90" t="s">
        <v>1431</v>
      </c>
      <c r="AM1" s="90" t="s">
        <v>1432</v>
      </c>
      <c r="AN1" s="90" t="s">
        <v>1433</v>
      </c>
      <c r="AO1" s="90" t="s">
        <v>1434</v>
      </c>
      <c r="AP1" s="90" t="s">
        <v>1435</v>
      </c>
      <c r="AQ1" s="90" t="s">
        <v>1436</v>
      </c>
      <c r="AR1" s="90" t="s">
        <v>1437</v>
      </c>
      <c r="AS1" s="90" t="s">
        <v>1438</v>
      </c>
      <c r="AT1" s="90" t="s">
        <v>1439</v>
      </c>
      <c r="AU1" s="90" t="s">
        <v>1440</v>
      </c>
      <c r="AV1" s="90" t="s">
        <v>1441</v>
      </c>
      <c r="AW1" s="90" t="s">
        <v>1442</v>
      </c>
      <c r="AX1" s="90" t="s">
        <v>1443</v>
      </c>
      <c r="AY1" s="90" t="s">
        <v>1444</v>
      </c>
      <c r="AZ1" s="90" t="s">
        <v>1445</v>
      </c>
      <c r="BA1" s="91" t="s">
        <v>1149</v>
      </c>
      <c r="BB1" s="91" t="s">
        <v>1397</v>
      </c>
      <c r="BC1" s="91" t="s">
        <v>1398</v>
      </c>
      <c r="BD1" s="91" t="s">
        <v>1399</v>
      </c>
      <c r="BE1" s="91" t="s">
        <v>1400</v>
      </c>
      <c r="BF1" s="91" t="s">
        <v>1401</v>
      </c>
      <c r="BG1" s="91" t="s">
        <v>1402</v>
      </c>
      <c r="BH1" s="91" t="s">
        <v>1403</v>
      </c>
      <c r="BI1" s="91" t="s">
        <v>1404</v>
      </c>
      <c r="BJ1" s="91" t="s">
        <v>1405</v>
      </c>
      <c r="BK1" s="91" t="s">
        <v>1406</v>
      </c>
      <c r="BL1" s="91" t="s">
        <v>1407</v>
      </c>
      <c r="BM1" s="91" t="s">
        <v>1408</v>
      </c>
      <c r="BN1" s="91" t="s">
        <v>1409</v>
      </c>
      <c r="BO1" s="91" t="s">
        <v>1410</v>
      </c>
      <c r="BP1" s="91" t="s">
        <v>1411</v>
      </c>
      <c r="BQ1" s="91" t="s">
        <v>1412</v>
      </c>
      <c r="BR1" s="91" t="s">
        <v>1413</v>
      </c>
      <c r="BS1" s="91" t="s">
        <v>1414</v>
      </c>
      <c r="BT1" s="91" t="s">
        <v>1415</v>
      </c>
      <c r="BU1" s="91" t="s">
        <v>1416</v>
      </c>
      <c r="BV1" s="91" t="s">
        <v>1417</v>
      </c>
      <c r="BW1" s="91" t="s">
        <v>1418</v>
      </c>
      <c r="BX1" s="91" t="s">
        <v>1419</v>
      </c>
      <c r="BY1" s="91" t="s">
        <v>1420</v>
      </c>
    </row>
    <row r="2" spans="1:77" x14ac:dyDescent="0.25">
      <c r="A2" s="92" t="s">
        <v>12</v>
      </c>
      <c r="B2" s="90" t="s">
        <v>1074</v>
      </c>
      <c r="C2" s="76">
        <f t="shared" ref="C2" si="0">IFERROR(1/SUM(1/D2,1/E2,1/Z2,1/AA2),".")</f>
        <v>0.33474147915564806</v>
      </c>
      <c r="D2" s="76">
        <f>IFERROR(s_TR/(s_RadSpec!$E2*s_IFAP_res_adj*s_CF_apple),".")</f>
        <v>1.3389659166225922</v>
      </c>
      <c r="E2" s="76">
        <f>IFERROR(s_TR/(s_RadSpec!$E2*s_IFAS_res_adj*s_CF_asparagus),".")</f>
        <v>1.3389659166225922</v>
      </c>
      <c r="F2" s="76">
        <f>IFERROR(s_TR/(s_RadSpec!$E2*s_IFBT_res_adj*s_CF_beet),".")</f>
        <v>1.3389659166225922</v>
      </c>
      <c r="G2" s="76">
        <f>IFERROR(s_TR/(s_RadSpec!$E2*s_IFBE_res_adj*s_CF_berries),".")</f>
        <v>1.3389659166225922</v>
      </c>
      <c r="H2" s="76">
        <f>IFERROR(s_TR/(s_RadSpec!$E2*s_IFBR_res_adj*s_CF_broccoli),".")</f>
        <v>1.3389659166225922</v>
      </c>
      <c r="I2" s="76">
        <f>IFERROR(s_TR/(s_RadSpec!$E2*s_IFCB_res_adj*s_CF_cabbage),".")</f>
        <v>1.3389659166225922</v>
      </c>
      <c r="J2" s="76">
        <f>IFERROR(s_TR/(s_RadSpec!$E2*s_IFCR_res_adj*s_CF_carrot),".")</f>
        <v>1.3389659166225922</v>
      </c>
      <c r="K2" s="76">
        <f>IFERROR(s_TR/(s_RadSpec!$E2*s_IFCI_res_adj*s_CF_citrus),".")</f>
        <v>1.3389659166225922</v>
      </c>
      <c r="L2" s="76">
        <f>IFERROR(s_TR/(s_RadSpec!$E2*s_IFCO_res_adj*s_CF_corn),".")</f>
        <v>1.3389659166225922</v>
      </c>
      <c r="M2" s="76">
        <f>IFERROR(s_TR/(s_RadSpec!$E2*s_IFCU_res_adj*s_CF_cucumber),".")</f>
        <v>1.3389659166225922</v>
      </c>
      <c r="N2" s="76">
        <f>IFERROR(s_TR/(s_RadSpec!$E2*s_IFLE_res_adj*s_CF_lettuce),".")</f>
        <v>1.3389659166225922</v>
      </c>
      <c r="O2" s="76">
        <f>IFERROR(s_TR/(s_RadSpec!$E2*s_IFLI_res_adj*s_CF_lima_bean),".")</f>
        <v>1.3389659166225922</v>
      </c>
      <c r="P2" s="76">
        <f>IFERROR(s_TR/(s_RadSpec!$E2*s_IFOK_res_adj*s_CF_okra),".")</f>
        <v>1.3389659166225922</v>
      </c>
      <c r="Q2" s="76">
        <f>IFERROR(s_TR/(s_RadSpec!$E2*s_IFON_res_adj*s_CF_onion),".")</f>
        <v>1.3389659166225922</v>
      </c>
      <c r="R2" s="76">
        <f>IFERROR(s_TR/(s_RadSpec!$E2*s_IFPC_res_adj*s_CF_peach),".")</f>
        <v>1.3389659166225922</v>
      </c>
      <c r="S2" s="76">
        <f>IFERROR(s_TR/(s_RadSpec!$E2*s_IFPR_res_adj*s_CF_pear),".")</f>
        <v>1.3389659166225922</v>
      </c>
      <c r="T2" s="76">
        <f>IFERROR(s_TR/(s_RadSpec!$E2*s_IFPE_res_adj*s_CF_peas),".")</f>
        <v>1.3389659166225922</v>
      </c>
      <c r="U2" s="76">
        <f>IFERROR(s_TR/(s_RadSpec!$E2*s_IFPT_res_adj*s_CF_potato),".")</f>
        <v>1.3389659166225922</v>
      </c>
      <c r="V2" s="76">
        <f>IFERROR(s_TR/(s_RadSpec!$E2*s_IFPU_res_adj*s_CF_pumpkin),".")</f>
        <v>1.3389659166225922</v>
      </c>
      <c r="W2" s="76">
        <f>IFERROR(s_TR/(s_RadSpec!$E2*s_IFSN_res_adj*s_CF_snap_bean),".")</f>
        <v>1.3389659166225922</v>
      </c>
      <c r="X2" s="76">
        <f>IFERROR(s_TR/(s_RadSpec!$E2*s_IFST_res_adj*s_CF_strawberry),".")</f>
        <v>1.3389659166225922</v>
      </c>
      <c r="Y2" s="76">
        <f>IFERROR(s_TR/(s_RadSpec!$E2*s_IFTO_res_adj*s_CF_tomato),".")</f>
        <v>1.3389659166225922</v>
      </c>
      <c r="Z2" s="76">
        <f>IFERROR(s_TR/(s_RadSpec!$E2*s_IFRI_res_adj*s_CF_rice),".")</f>
        <v>1.3389659166225922</v>
      </c>
      <c r="AA2" s="76">
        <f>IFERROR(s_TR/(s_RadSpec!$E2*s_IFCG_res_adj*s_CF_cereal),".")</f>
        <v>1.3389659166225922</v>
      </c>
      <c r="AB2" s="76">
        <f>IFERROR(1/SUM(1/AC2,1/AD2,1/AY2,1/AZ2),".")</f>
        <v>0.33474147915564806</v>
      </c>
      <c r="AC2" s="76">
        <f>IFERROR(s_TR/(s_RadSpec!$E2*s_IFAP_far_adj*s_CF_apple),".")</f>
        <v>1.3389659166225922</v>
      </c>
      <c r="AD2" s="76">
        <f>IFERROR(s_TR/(s_RadSpec!$E2*s_IFAS_far_adj*s_CF_asparagus),".")</f>
        <v>1.3389659166225922</v>
      </c>
      <c r="AE2" s="76">
        <f>IFERROR(s_TR/(s_RadSpec!$E2*s_IFBT_far_adj*s_CF_beet),".")</f>
        <v>1.3389659166225922</v>
      </c>
      <c r="AF2" s="76">
        <f>IFERROR(s_TR/(s_RadSpec!$E2*s_IFBE_far_adj*s_CF_berries),".")</f>
        <v>1.3389659166225922</v>
      </c>
      <c r="AG2" s="76">
        <f>IFERROR(s_TR/(s_RadSpec!$E2*s_IFBR_far_adj*s_CF_broccoli),".")</f>
        <v>1.3389659166225922</v>
      </c>
      <c r="AH2" s="76">
        <f>IFERROR(s_TR/(s_RadSpec!$E2*s_IFCB_far_adj*s_CF_cabbage),".")</f>
        <v>1.3389659166225922</v>
      </c>
      <c r="AI2" s="76">
        <f>IFERROR(s_TR/(s_RadSpec!$E2*s_IFCR_far_adj*s_CF_carrot),".")</f>
        <v>1.3389659166225922</v>
      </c>
      <c r="AJ2" s="76">
        <f>IFERROR(s_TR/(s_RadSpec!$E2*s_IFCI_far_adj*s_CF_citrus),".")</f>
        <v>1.3389659166225922</v>
      </c>
      <c r="AK2" s="76">
        <f>IFERROR(s_TR/(s_RadSpec!$E2*s_IFCO_far_adj*s_CF_corn),".")</f>
        <v>1.3389659166225922</v>
      </c>
      <c r="AL2" s="76">
        <f>IFERROR(s_TR/(s_RadSpec!$E2*s_IFCU_far_adj*s_CF_cucumber),".")</f>
        <v>1.3389659166225922</v>
      </c>
      <c r="AM2" s="76">
        <f>IFERROR(s_TR/(s_RadSpec!$E2*s_IFLE_far_adj*s_CF_lettuce),".")</f>
        <v>1.3389659166225922</v>
      </c>
      <c r="AN2" s="76">
        <f>IFERROR(s_TR/(s_RadSpec!$E2*s_IFLI_far_adj*s_CF_lima_bean),".")</f>
        <v>1.3389659166225922</v>
      </c>
      <c r="AO2" s="76">
        <f>IFERROR(s_TR/(s_RadSpec!$E2*s_IFOK_far_adj*s_CF_okra),".")</f>
        <v>1.3389659166225922</v>
      </c>
      <c r="AP2" s="76">
        <f>IFERROR(s_TR/(s_RadSpec!$E2*s_IFON_far_adj*s_CF_onion),".")</f>
        <v>1.3389659166225922</v>
      </c>
      <c r="AQ2" s="76">
        <f>IFERROR(s_TR/(s_RadSpec!$E2*s_IFPC_far_adj*s_CF_peach),".")</f>
        <v>1.3389659166225922</v>
      </c>
      <c r="AR2" s="76">
        <f>IFERROR(s_TR/(s_RadSpec!$E2*s_IFPR_far_adj*s_CF_pear),".")</f>
        <v>1.3389659166225922</v>
      </c>
      <c r="AS2" s="76">
        <f>IFERROR(s_TR/(s_RadSpec!$E2*s_IFPE_far_adj*s_CF_peas),".")</f>
        <v>1.3389659166225922</v>
      </c>
      <c r="AT2" s="76">
        <f>IFERROR(s_TR/(s_RadSpec!$E2*s_IFPT_far_adj*s_CF_potato),".")</f>
        <v>1.3389659166225922</v>
      </c>
      <c r="AU2" s="76">
        <f>IFERROR(s_TR/(s_RadSpec!$E2*s_IFPU_far_adj*s_CF_pumpkin),".")</f>
        <v>1.3389659166225922</v>
      </c>
      <c r="AV2" s="76">
        <f>IFERROR(s_TR/(s_RadSpec!$E2*s_IFSN_far_adj*s_CF_snap_bean),".")</f>
        <v>1.3389659166225922</v>
      </c>
      <c r="AW2" s="76">
        <f>IFERROR(s_TR/(s_RadSpec!$E2*s_IFST_far_adj*s_CF_strawberry),".")</f>
        <v>1.3389659166225922</v>
      </c>
      <c r="AX2" s="76">
        <f>IFERROR(s_TR/(s_RadSpec!$E2*s_IFTO_far_adj*s_CF_tomato),".")</f>
        <v>1.3389659166225922</v>
      </c>
      <c r="AY2" s="76">
        <f>IFERROR(s_TR/(s_RadSpec!$E2*s_IFRI_far_adj*s_CF_rice),".")</f>
        <v>1.3389659166225922</v>
      </c>
      <c r="AZ2" s="76">
        <f>IFERROR(s_TR/(s_RadSpec!$E2*s_IFCG_far_adj*s_CF_cereal),".")</f>
        <v>1.3389659166225922</v>
      </c>
      <c r="BA2" s="93">
        <f t="shared" ref="BA2:BA30" si="1">SUM(BB2:BC2,BX2:BY2)</f>
        <v>55000</v>
      </c>
      <c r="BB2" s="93">
        <f t="shared" ref="BB2:BB30" si="2">IFERROR(s_C*s_IFAP_far_adj*s_CF_apple,".")</f>
        <v>13750</v>
      </c>
      <c r="BC2" s="93">
        <f t="shared" ref="BC2:BC30" si="3">IFERROR(s_C*s_IFAS_far_adj*s_CF_asparagus,".")</f>
        <v>13750</v>
      </c>
      <c r="BD2" s="93">
        <f t="shared" ref="BD2:BD30" si="4">IFERROR(s_C*s_IFBT_far_adj*s_CF_beet,".")</f>
        <v>13750</v>
      </c>
      <c r="BE2" s="93">
        <f t="shared" ref="BE2:BE30" si="5">IFERROR(s_C*s_IFBR_far_adj*s_CF_berries,".")</f>
        <v>13750</v>
      </c>
      <c r="BF2" s="93">
        <f t="shared" ref="BF2:BF30" si="6">IFERROR(s_C*s_IFBR_far_adj*s_CF_broccoli,".")</f>
        <v>13750</v>
      </c>
      <c r="BG2" s="93">
        <f t="shared" ref="BG2:BG30" si="7">IFERROR(s_C*s_IFCB_far_adj*s_CF_cabbage,".")</f>
        <v>13750</v>
      </c>
      <c r="BH2" s="93">
        <f t="shared" ref="BH2:BH30" si="8">IFERROR(s_C*s_IFCR_far_adj*s_CF_carrot,".")</f>
        <v>13750</v>
      </c>
      <c r="BI2" s="93">
        <f t="shared" ref="BI2:BI30" si="9">IFERROR(s_C*s_IFCI_far_adj*s_CF_citrus,".")</f>
        <v>13750</v>
      </c>
      <c r="BJ2" s="93">
        <f t="shared" ref="BJ2:BJ30" si="10">IFERROR(s_C*s_IFCO_far_adj*s_CF_corn,".")</f>
        <v>13750</v>
      </c>
      <c r="BK2" s="93">
        <f t="shared" ref="BK2:BK30" si="11">IFERROR(s_C*s_IFCU_far_adj*s_CF_cucumber,".")</f>
        <v>13750</v>
      </c>
      <c r="BL2" s="93">
        <f t="shared" ref="BL2:BL30" si="12">IFERROR(s_C*s_IFLE_far_adj*s_CF_lettuce,".")</f>
        <v>13750</v>
      </c>
      <c r="BM2" s="93">
        <f t="shared" ref="BM2:BM30" si="13">IFERROR(s_C*s_IFLI_far_adj*s_CF_lima_bean,".")</f>
        <v>13750</v>
      </c>
      <c r="BN2" s="93">
        <f t="shared" ref="BN2:BN30" si="14">IFERROR(s_C*s_IFOK_far_adj*s_CF_okra,".")</f>
        <v>13750</v>
      </c>
      <c r="BO2" s="93">
        <f t="shared" ref="BO2:BO30" si="15">IFERROR(s_C*s_IFON_far_adj*s_CF_onion,".")</f>
        <v>13750</v>
      </c>
      <c r="BP2" s="93">
        <f t="shared" ref="BP2:BP30" si="16">IFERROR(s_C*s_IFPC_far_adj*s_CF_peach,".")</f>
        <v>13750</v>
      </c>
      <c r="BQ2" s="93">
        <f t="shared" ref="BQ2:BQ30" si="17">IFERROR(s_C*s_IFPR_far_adj*s_CF_pear,".")</f>
        <v>13750</v>
      </c>
      <c r="BR2" s="93">
        <f t="shared" ref="BR2:BR30" si="18">IFERROR(s_C*s_IFPE_far_adj*s_CF_peas,".")</f>
        <v>13750</v>
      </c>
      <c r="BS2" s="93">
        <f t="shared" ref="BS2:BS30" si="19">IFERROR(s_C*s_IFPT_far_adj*s_CF_potato,".")</f>
        <v>13750</v>
      </c>
      <c r="BT2" s="93">
        <f t="shared" ref="BT2:BT30" si="20">IFERROR(s_C*s_IFPU_far_adj*s_CF_pumpkin,".")</f>
        <v>13750</v>
      </c>
      <c r="BU2" s="93">
        <f t="shared" ref="BU2:BU30" si="21">IFERROR(s_C*s_IFSN_far_adj*s_CF_snap_bean,".")</f>
        <v>13750</v>
      </c>
      <c r="BV2" s="93">
        <f t="shared" ref="BV2:BV30" si="22">IFERROR(s_C*s_IFST_far_adj*s_CF_strawberry,".")</f>
        <v>13750</v>
      </c>
      <c r="BW2" s="93">
        <f t="shared" ref="BW2:BW30" si="23">IFERROR(s_C*s_IFTO_far_adj*s_CF_tomato,".")</f>
        <v>13750</v>
      </c>
      <c r="BX2" s="93">
        <f t="shared" ref="BX2:BX30" si="24">IFERROR(s_C*s_IFRI_far_adj*s_CF_rice,".")</f>
        <v>13750</v>
      </c>
      <c r="BY2" s="93">
        <f t="shared" ref="BY2:BY30" si="25">IFERROR(s_C*s_IFCG_far_adj*s_CF_cereal,".")</f>
        <v>13750</v>
      </c>
    </row>
    <row r="3" spans="1:77" x14ac:dyDescent="0.25">
      <c r="A3" s="94" t="s">
        <v>13</v>
      </c>
      <c r="B3" s="90" t="s">
        <v>351</v>
      </c>
      <c r="C3" s="76">
        <f t="shared" ref="C3:C30" si="26">IFERROR(1/SUM(1/D3,1/E3,1/Z3,1/AA3),".")</f>
        <v>0.68061009889264734</v>
      </c>
      <c r="D3" s="76">
        <f>IFERROR(s_TR/(s_RadSpec!$E3*s_IFAP_res_adj*s_CF_apple),".")</f>
        <v>2.7224403955705894</v>
      </c>
      <c r="E3" s="76">
        <f>IFERROR(s_TR/(s_RadSpec!$E3*s_IFAS_res_adj*s_CF_asparagus),".")</f>
        <v>2.7224403955705894</v>
      </c>
      <c r="F3" s="76">
        <f>IFERROR(s_TR/(s_RadSpec!$E3*s_IFBT_res_adj*s_CF_beet),".")</f>
        <v>2.7224403955705894</v>
      </c>
      <c r="G3" s="76">
        <f>IFERROR(s_TR/(s_RadSpec!$E3*s_IFBE_res_adj*s_CF_berries),".")</f>
        <v>2.7224403955705894</v>
      </c>
      <c r="H3" s="76">
        <f>IFERROR(s_TR/(s_RadSpec!$E3*s_IFBR_res_adj*s_CF_broccoli),".")</f>
        <v>2.7224403955705894</v>
      </c>
      <c r="I3" s="76">
        <f>IFERROR(s_TR/(s_RadSpec!$E3*s_IFCB_res_adj*s_CF_cabbage),".")</f>
        <v>2.7224403955705894</v>
      </c>
      <c r="J3" s="76">
        <f>IFERROR(s_TR/(s_RadSpec!$E3*s_IFCR_res_adj*s_CF_carrot),".")</f>
        <v>2.7224403955705894</v>
      </c>
      <c r="K3" s="76">
        <f>IFERROR(s_TR/(s_RadSpec!$E3*s_IFCI_res_adj*s_CF_citrus),".")</f>
        <v>2.7224403955705894</v>
      </c>
      <c r="L3" s="76">
        <f>IFERROR(s_TR/(s_RadSpec!$E3*s_IFCO_res_adj*s_CF_corn),".")</f>
        <v>2.7224403955705894</v>
      </c>
      <c r="M3" s="76">
        <f>IFERROR(s_TR/(s_RadSpec!$E3*s_IFCU_res_adj*s_CF_cucumber),".")</f>
        <v>2.7224403955705894</v>
      </c>
      <c r="N3" s="76">
        <f>IFERROR(s_TR/(s_RadSpec!$E3*s_IFLE_res_adj*s_CF_lettuce),".")</f>
        <v>2.7224403955705894</v>
      </c>
      <c r="O3" s="76">
        <f>IFERROR(s_TR/(s_RadSpec!$E3*s_IFLI_res_adj*s_CF_lima_bean),".")</f>
        <v>2.7224403955705894</v>
      </c>
      <c r="P3" s="76">
        <f>IFERROR(s_TR/(s_RadSpec!$E3*s_IFOK_res_adj*s_CF_okra),".")</f>
        <v>2.7224403955705894</v>
      </c>
      <c r="Q3" s="76">
        <f>IFERROR(s_TR/(s_RadSpec!$E3*s_IFON_res_adj*s_CF_onion),".")</f>
        <v>2.7224403955705894</v>
      </c>
      <c r="R3" s="76">
        <f>IFERROR(s_TR/(s_RadSpec!$E3*s_IFPC_res_adj*s_CF_peach),".")</f>
        <v>2.7224403955705894</v>
      </c>
      <c r="S3" s="76">
        <f>IFERROR(s_TR/(s_RadSpec!$E3*s_IFPR_res_adj*s_CF_pear),".")</f>
        <v>2.7224403955705894</v>
      </c>
      <c r="T3" s="76">
        <f>IFERROR(s_TR/(s_RadSpec!$E3*s_IFPE_res_adj*s_CF_peas),".")</f>
        <v>2.7224403955705894</v>
      </c>
      <c r="U3" s="76">
        <f>IFERROR(s_TR/(s_RadSpec!$E3*s_IFPT_res_adj*s_CF_potato),".")</f>
        <v>2.7224403955705894</v>
      </c>
      <c r="V3" s="76">
        <f>IFERROR(s_TR/(s_RadSpec!$E3*s_IFPU_res_adj*s_CF_pumpkin),".")</f>
        <v>2.7224403955705894</v>
      </c>
      <c r="W3" s="76">
        <f>IFERROR(s_TR/(s_RadSpec!$E3*s_IFSN_res_adj*s_CF_snap_bean),".")</f>
        <v>2.7224403955705894</v>
      </c>
      <c r="X3" s="76">
        <f>IFERROR(s_TR/(s_RadSpec!$E3*s_IFST_res_adj*s_CF_strawberry),".")</f>
        <v>2.7224403955705894</v>
      </c>
      <c r="Y3" s="76">
        <f>IFERROR(s_TR/(s_RadSpec!$E3*s_IFTO_res_adj*s_CF_tomato),".")</f>
        <v>2.7224403955705894</v>
      </c>
      <c r="Z3" s="76">
        <f>IFERROR(s_TR/(s_RadSpec!$E3*s_IFRI_res_adj*s_CF_rice),".")</f>
        <v>2.7224403955705894</v>
      </c>
      <c r="AA3" s="76">
        <f>IFERROR(s_TR/(s_RadSpec!$E3*s_IFCG_res_adj*s_CF_cereal),".")</f>
        <v>2.7224403955705894</v>
      </c>
      <c r="AB3" s="76">
        <f t="shared" ref="AB3:AB30" si="27">IFERROR(1/SUM(1/AC3,1/AD3,1/AY3,1/AZ3),".")</f>
        <v>0.68061009889264734</v>
      </c>
      <c r="AC3" s="76">
        <f>IFERROR(s_TR/(s_RadSpec!$E3*s_IFAP_far_adj*s_CF_apple),".")</f>
        <v>2.7224403955705894</v>
      </c>
      <c r="AD3" s="76">
        <f>IFERROR(s_TR/(s_RadSpec!$E3*s_IFAS_far_adj*s_CF_asparagus),".")</f>
        <v>2.7224403955705894</v>
      </c>
      <c r="AE3" s="76">
        <f>IFERROR(s_TR/(s_RadSpec!$E3*s_IFBT_far_adj*s_CF_beet),".")</f>
        <v>2.7224403955705894</v>
      </c>
      <c r="AF3" s="76">
        <f>IFERROR(s_TR/(s_RadSpec!$E3*s_IFBE_far_adj*s_CF_berries),".")</f>
        <v>2.7224403955705894</v>
      </c>
      <c r="AG3" s="76">
        <f>IFERROR(s_TR/(s_RadSpec!$E3*s_IFBR_far_adj*s_CF_broccoli),".")</f>
        <v>2.7224403955705894</v>
      </c>
      <c r="AH3" s="76">
        <f>IFERROR(s_TR/(s_RadSpec!$E3*s_IFCB_far_adj*s_CF_cabbage),".")</f>
        <v>2.7224403955705894</v>
      </c>
      <c r="AI3" s="76">
        <f>IFERROR(s_TR/(s_RadSpec!$E3*s_IFCR_far_adj*s_CF_carrot),".")</f>
        <v>2.7224403955705894</v>
      </c>
      <c r="AJ3" s="76">
        <f>IFERROR(s_TR/(s_RadSpec!$E3*s_IFCI_far_adj*s_CF_citrus),".")</f>
        <v>2.7224403955705894</v>
      </c>
      <c r="AK3" s="76">
        <f>IFERROR(s_TR/(s_RadSpec!$E3*s_IFCO_far_adj*s_CF_corn),".")</f>
        <v>2.7224403955705894</v>
      </c>
      <c r="AL3" s="76">
        <f>IFERROR(s_TR/(s_RadSpec!$E3*s_IFCU_far_adj*s_CF_cucumber),".")</f>
        <v>2.7224403955705894</v>
      </c>
      <c r="AM3" s="76">
        <f>IFERROR(s_TR/(s_RadSpec!$E3*s_IFLE_far_adj*s_CF_lettuce),".")</f>
        <v>2.7224403955705894</v>
      </c>
      <c r="AN3" s="76">
        <f>IFERROR(s_TR/(s_RadSpec!$E3*s_IFLI_far_adj*s_CF_lima_bean),".")</f>
        <v>2.7224403955705894</v>
      </c>
      <c r="AO3" s="76">
        <f>IFERROR(s_TR/(s_RadSpec!$E3*s_IFOK_far_adj*s_CF_okra),".")</f>
        <v>2.7224403955705894</v>
      </c>
      <c r="AP3" s="76">
        <f>IFERROR(s_TR/(s_RadSpec!$E3*s_IFON_far_adj*s_CF_onion),".")</f>
        <v>2.7224403955705894</v>
      </c>
      <c r="AQ3" s="76">
        <f>IFERROR(s_TR/(s_RadSpec!$E3*s_IFPC_far_adj*s_CF_peach),".")</f>
        <v>2.7224403955705894</v>
      </c>
      <c r="AR3" s="76">
        <f>IFERROR(s_TR/(s_RadSpec!$E3*s_IFPR_far_adj*s_CF_pear),".")</f>
        <v>2.7224403955705894</v>
      </c>
      <c r="AS3" s="76">
        <f>IFERROR(s_TR/(s_RadSpec!$E3*s_IFPE_far_adj*s_CF_peas),".")</f>
        <v>2.7224403955705894</v>
      </c>
      <c r="AT3" s="76">
        <f>IFERROR(s_TR/(s_RadSpec!$E3*s_IFPT_far_adj*s_CF_potato),".")</f>
        <v>2.7224403955705894</v>
      </c>
      <c r="AU3" s="76">
        <f>IFERROR(s_TR/(s_RadSpec!$E3*s_IFPU_far_adj*s_CF_pumpkin),".")</f>
        <v>2.7224403955705894</v>
      </c>
      <c r="AV3" s="76">
        <f>IFERROR(s_TR/(s_RadSpec!$E3*s_IFSN_far_adj*s_CF_snap_bean),".")</f>
        <v>2.7224403955705894</v>
      </c>
      <c r="AW3" s="76">
        <f>IFERROR(s_TR/(s_RadSpec!$E3*s_IFST_far_adj*s_CF_strawberry),".")</f>
        <v>2.7224403955705894</v>
      </c>
      <c r="AX3" s="76">
        <f>IFERROR(s_TR/(s_RadSpec!$E3*s_IFTO_far_adj*s_CF_tomato),".")</f>
        <v>2.7224403955705894</v>
      </c>
      <c r="AY3" s="76">
        <f>IFERROR(s_TR/(s_RadSpec!$E3*s_IFRI_far_adj*s_CF_rice),".")</f>
        <v>2.7224403955705894</v>
      </c>
      <c r="AZ3" s="76">
        <f>IFERROR(s_TR/(s_RadSpec!$E3*s_IFCG_far_adj*s_CF_cereal),".")</f>
        <v>2.7224403955705894</v>
      </c>
      <c r="BA3" s="93">
        <f t="shared" si="1"/>
        <v>55000</v>
      </c>
      <c r="BB3" s="93">
        <f t="shared" si="2"/>
        <v>13750</v>
      </c>
      <c r="BC3" s="93">
        <f t="shared" si="3"/>
        <v>13750</v>
      </c>
      <c r="BD3" s="93">
        <f t="shared" si="4"/>
        <v>13750</v>
      </c>
      <c r="BE3" s="93">
        <f t="shared" si="5"/>
        <v>13750</v>
      </c>
      <c r="BF3" s="93">
        <f t="shared" si="6"/>
        <v>13750</v>
      </c>
      <c r="BG3" s="93">
        <f t="shared" si="7"/>
        <v>13750</v>
      </c>
      <c r="BH3" s="93">
        <f t="shared" si="8"/>
        <v>13750</v>
      </c>
      <c r="BI3" s="93">
        <f t="shared" si="9"/>
        <v>13750</v>
      </c>
      <c r="BJ3" s="93">
        <f t="shared" si="10"/>
        <v>13750</v>
      </c>
      <c r="BK3" s="93">
        <f t="shared" si="11"/>
        <v>13750</v>
      </c>
      <c r="BL3" s="93">
        <f t="shared" si="12"/>
        <v>13750</v>
      </c>
      <c r="BM3" s="93">
        <f t="shared" si="13"/>
        <v>13750</v>
      </c>
      <c r="BN3" s="93">
        <f t="shared" si="14"/>
        <v>13750</v>
      </c>
      <c r="BO3" s="93">
        <f t="shared" si="15"/>
        <v>13750</v>
      </c>
      <c r="BP3" s="93">
        <f t="shared" si="16"/>
        <v>13750</v>
      </c>
      <c r="BQ3" s="93">
        <f t="shared" si="17"/>
        <v>13750</v>
      </c>
      <c r="BR3" s="93">
        <f t="shared" si="18"/>
        <v>13750</v>
      </c>
      <c r="BS3" s="93">
        <f t="shared" si="19"/>
        <v>13750</v>
      </c>
      <c r="BT3" s="93">
        <f t="shared" si="20"/>
        <v>13750</v>
      </c>
      <c r="BU3" s="93">
        <f t="shared" si="21"/>
        <v>13750</v>
      </c>
      <c r="BV3" s="93">
        <f t="shared" si="22"/>
        <v>13750</v>
      </c>
      <c r="BW3" s="93">
        <f t="shared" si="23"/>
        <v>13750</v>
      </c>
      <c r="BX3" s="93">
        <f t="shared" si="24"/>
        <v>13750</v>
      </c>
      <c r="BY3" s="93">
        <f t="shared" si="25"/>
        <v>13750</v>
      </c>
    </row>
    <row r="4" spans="1:77" x14ac:dyDescent="0.25">
      <c r="A4" s="92" t="s">
        <v>14</v>
      </c>
      <c r="B4" s="90" t="s">
        <v>1074</v>
      </c>
      <c r="C4" s="76" t="str">
        <f t="shared" si="26"/>
        <v>.</v>
      </c>
      <c r="D4" s="76" t="str">
        <f>IFERROR(s_TR/(s_RadSpec!$E4*s_IFAP_res_adj*s_CF_apple),".")</f>
        <v>.</v>
      </c>
      <c r="E4" s="76" t="str">
        <f>IFERROR(s_TR/(s_RadSpec!$E4*s_IFAS_res_adj*s_CF_asparagus),".")</f>
        <v>.</v>
      </c>
      <c r="F4" s="76" t="str">
        <f>IFERROR(s_TR/(s_RadSpec!$E4*s_IFBT_res_adj*s_CF_beet),".")</f>
        <v>.</v>
      </c>
      <c r="G4" s="76" t="str">
        <f>IFERROR(s_TR/(s_RadSpec!$E4*s_IFBE_res_adj*s_CF_berries),".")</f>
        <v>.</v>
      </c>
      <c r="H4" s="76" t="str">
        <f>IFERROR(s_TR/(s_RadSpec!$E4*s_IFBR_res_adj*s_CF_broccoli),".")</f>
        <v>.</v>
      </c>
      <c r="I4" s="76" t="str">
        <f>IFERROR(s_TR/(s_RadSpec!$E4*s_IFCB_res_adj*s_CF_cabbage),".")</f>
        <v>.</v>
      </c>
      <c r="J4" s="76" t="str">
        <f>IFERROR(s_TR/(s_RadSpec!$E4*s_IFCR_res_adj*s_CF_carrot),".")</f>
        <v>.</v>
      </c>
      <c r="K4" s="76" t="str">
        <f>IFERROR(s_TR/(s_RadSpec!$E4*s_IFCI_res_adj*s_CF_citrus),".")</f>
        <v>.</v>
      </c>
      <c r="L4" s="76" t="str">
        <f>IFERROR(s_TR/(s_RadSpec!$E4*s_IFCO_res_adj*s_CF_corn),".")</f>
        <v>.</v>
      </c>
      <c r="M4" s="76" t="str">
        <f>IFERROR(s_TR/(s_RadSpec!$E4*s_IFCU_res_adj*s_CF_cucumber),".")</f>
        <v>.</v>
      </c>
      <c r="N4" s="76" t="str">
        <f>IFERROR(s_TR/(s_RadSpec!$E4*s_IFLE_res_adj*s_CF_lettuce),".")</f>
        <v>.</v>
      </c>
      <c r="O4" s="76" t="str">
        <f>IFERROR(s_TR/(s_RadSpec!$E4*s_IFLI_res_adj*s_CF_lima_bean),".")</f>
        <v>.</v>
      </c>
      <c r="P4" s="76" t="str">
        <f>IFERROR(s_TR/(s_RadSpec!$E4*s_IFOK_res_adj*s_CF_okra),".")</f>
        <v>.</v>
      </c>
      <c r="Q4" s="76" t="str">
        <f>IFERROR(s_TR/(s_RadSpec!$E4*s_IFON_res_adj*s_CF_onion),".")</f>
        <v>.</v>
      </c>
      <c r="R4" s="76" t="str">
        <f>IFERROR(s_TR/(s_RadSpec!$E4*s_IFPC_res_adj*s_CF_peach),".")</f>
        <v>.</v>
      </c>
      <c r="S4" s="76" t="str">
        <f>IFERROR(s_TR/(s_RadSpec!$E4*s_IFPR_res_adj*s_CF_pear),".")</f>
        <v>.</v>
      </c>
      <c r="T4" s="76" t="str">
        <f>IFERROR(s_TR/(s_RadSpec!$E4*s_IFPE_res_adj*s_CF_peas),".")</f>
        <v>.</v>
      </c>
      <c r="U4" s="76" t="str">
        <f>IFERROR(s_TR/(s_RadSpec!$E4*s_IFPT_res_adj*s_CF_potato),".")</f>
        <v>.</v>
      </c>
      <c r="V4" s="76" t="str">
        <f>IFERROR(s_TR/(s_RadSpec!$E4*s_IFPU_res_adj*s_CF_pumpkin),".")</f>
        <v>.</v>
      </c>
      <c r="W4" s="76" t="str">
        <f>IFERROR(s_TR/(s_RadSpec!$E4*s_IFSN_res_adj*s_CF_snap_bean),".")</f>
        <v>.</v>
      </c>
      <c r="X4" s="76" t="str">
        <f>IFERROR(s_TR/(s_RadSpec!$E4*s_IFST_res_adj*s_CF_strawberry),".")</f>
        <v>.</v>
      </c>
      <c r="Y4" s="76" t="str">
        <f>IFERROR(s_TR/(s_RadSpec!$E4*s_IFTO_res_adj*s_CF_tomato),".")</f>
        <v>.</v>
      </c>
      <c r="Z4" s="76" t="str">
        <f>IFERROR(s_TR/(s_RadSpec!$E4*s_IFRI_res_adj*s_CF_rice),".")</f>
        <v>.</v>
      </c>
      <c r="AA4" s="76" t="str">
        <f>IFERROR(s_TR/(s_RadSpec!$E4*s_IFCG_res_adj*s_CF_cereal),".")</f>
        <v>.</v>
      </c>
      <c r="AB4" s="76" t="str">
        <f t="shared" si="27"/>
        <v>.</v>
      </c>
      <c r="AC4" s="76" t="str">
        <f>IFERROR(s_TR/(s_RadSpec!$E4*s_IFAP_far_adj*s_CF_apple),".")</f>
        <v>.</v>
      </c>
      <c r="AD4" s="76" t="str">
        <f>IFERROR(s_TR/(s_RadSpec!$E4*s_IFAS_far_adj*s_CF_asparagus),".")</f>
        <v>.</v>
      </c>
      <c r="AE4" s="76" t="str">
        <f>IFERROR(s_TR/(s_RadSpec!$E4*s_IFBT_far_adj*s_CF_beet),".")</f>
        <v>.</v>
      </c>
      <c r="AF4" s="76" t="str">
        <f>IFERROR(s_TR/(s_RadSpec!$E4*s_IFBE_far_adj*s_CF_berries),".")</f>
        <v>.</v>
      </c>
      <c r="AG4" s="76" t="str">
        <f>IFERROR(s_TR/(s_RadSpec!$E4*s_IFBR_far_adj*s_CF_broccoli),".")</f>
        <v>.</v>
      </c>
      <c r="AH4" s="76" t="str">
        <f>IFERROR(s_TR/(s_RadSpec!$E4*s_IFCB_far_adj*s_CF_cabbage),".")</f>
        <v>.</v>
      </c>
      <c r="AI4" s="76" t="str">
        <f>IFERROR(s_TR/(s_RadSpec!$E4*s_IFCR_far_adj*s_CF_carrot),".")</f>
        <v>.</v>
      </c>
      <c r="AJ4" s="76" t="str">
        <f>IFERROR(s_TR/(s_RadSpec!$E4*s_IFCI_far_adj*s_CF_citrus),".")</f>
        <v>.</v>
      </c>
      <c r="AK4" s="76" t="str">
        <f>IFERROR(s_TR/(s_RadSpec!$E4*s_IFCO_far_adj*s_CF_corn),".")</f>
        <v>.</v>
      </c>
      <c r="AL4" s="76" t="str">
        <f>IFERROR(s_TR/(s_RadSpec!$E4*s_IFCU_far_adj*s_CF_cucumber),".")</f>
        <v>.</v>
      </c>
      <c r="AM4" s="76" t="str">
        <f>IFERROR(s_TR/(s_RadSpec!$E4*s_IFLE_far_adj*s_CF_lettuce),".")</f>
        <v>.</v>
      </c>
      <c r="AN4" s="76" t="str">
        <f>IFERROR(s_TR/(s_RadSpec!$E4*s_IFLI_far_adj*s_CF_lima_bean),".")</f>
        <v>.</v>
      </c>
      <c r="AO4" s="76" t="str">
        <f>IFERROR(s_TR/(s_RadSpec!$E4*s_IFOK_far_adj*s_CF_okra),".")</f>
        <v>.</v>
      </c>
      <c r="AP4" s="76" t="str">
        <f>IFERROR(s_TR/(s_RadSpec!$E4*s_IFON_far_adj*s_CF_onion),".")</f>
        <v>.</v>
      </c>
      <c r="AQ4" s="76" t="str">
        <f>IFERROR(s_TR/(s_RadSpec!$E4*s_IFPC_far_adj*s_CF_peach),".")</f>
        <v>.</v>
      </c>
      <c r="AR4" s="76" t="str">
        <f>IFERROR(s_TR/(s_RadSpec!$E4*s_IFPR_far_adj*s_CF_pear),".")</f>
        <v>.</v>
      </c>
      <c r="AS4" s="76" t="str">
        <f>IFERROR(s_TR/(s_RadSpec!$E4*s_IFPE_far_adj*s_CF_peas),".")</f>
        <v>.</v>
      </c>
      <c r="AT4" s="76" t="str">
        <f>IFERROR(s_TR/(s_RadSpec!$E4*s_IFPT_far_adj*s_CF_potato),".")</f>
        <v>.</v>
      </c>
      <c r="AU4" s="76" t="str">
        <f>IFERROR(s_TR/(s_RadSpec!$E4*s_IFPU_far_adj*s_CF_pumpkin),".")</f>
        <v>.</v>
      </c>
      <c r="AV4" s="76" t="str">
        <f>IFERROR(s_TR/(s_RadSpec!$E4*s_IFSN_far_adj*s_CF_snap_bean),".")</f>
        <v>.</v>
      </c>
      <c r="AW4" s="76" t="str">
        <f>IFERROR(s_TR/(s_RadSpec!$E4*s_IFST_far_adj*s_CF_strawberry),".")</f>
        <v>.</v>
      </c>
      <c r="AX4" s="76" t="str">
        <f>IFERROR(s_TR/(s_RadSpec!$E4*s_IFTO_far_adj*s_CF_tomato),".")</f>
        <v>.</v>
      </c>
      <c r="AY4" s="76" t="str">
        <f>IFERROR(s_TR/(s_RadSpec!$E4*s_IFRI_far_adj*s_CF_rice),".")</f>
        <v>.</v>
      </c>
      <c r="AZ4" s="76" t="str">
        <f>IFERROR(s_TR/(s_RadSpec!$E4*s_IFCG_far_adj*s_CF_cereal),".")</f>
        <v>.</v>
      </c>
      <c r="BA4" s="93">
        <f t="shared" si="1"/>
        <v>55000</v>
      </c>
      <c r="BB4" s="93">
        <f t="shared" si="2"/>
        <v>13750</v>
      </c>
      <c r="BC4" s="93">
        <f t="shared" si="3"/>
        <v>13750</v>
      </c>
      <c r="BD4" s="93">
        <f t="shared" si="4"/>
        <v>13750</v>
      </c>
      <c r="BE4" s="93">
        <f t="shared" si="5"/>
        <v>13750</v>
      </c>
      <c r="BF4" s="93">
        <f t="shared" si="6"/>
        <v>13750</v>
      </c>
      <c r="BG4" s="93">
        <f t="shared" si="7"/>
        <v>13750</v>
      </c>
      <c r="BH4" s="93">
        <f t="shared" si="8"/>
        <v>13750</v>
      </c>
      <c r="BI4" s="93">
        <f t="shared" si="9"/>
        <v>13750</v>
      </c>
      <c r="BJ4" s="93">
        <f t="shared" si="10"/>
        <v>13750</v>
      </c>
      <c r="BK4" s="93">
        <f t="shared" si="11"/>
        <v>13750</v>
      </c>
      <c r="BL4" s="93">
        <f t="shared" si="12"/>
        <v>13750</v>
      </c>
      <c r="BM4" s="93">
        <f t="shared" si="13"/>
        <v>13750</v>
      </c>
      <c r="BN4" s="93">
        <f t="shared" si="14"/>
        <v>13750</v>
      </c>
      <c r="BO4" s="93">
        <f t="shared" si="15"/>
        <v>13750</v>
      </c>
      <c r="BP4" s="93">
        <f t="shared" si="16"/>
        <v>13750</v>
      </c>
      <c r="BQ4" s="93">
        <f t="shared" si="17"/>
        <v>13750</v>
      </c>
      <c r="BR4" s="93">
        <f t="shared" si="18"/>
        <v>13750</v>
      </c>
      <c r="BS4" s="93">
        <f t="shared" si="19"/>
        <v>13750</v>
      </c>
      <c r="BT4" s="93">
        <f t="shared" si="20"/>
        <v>13750</v>
      </c>
      <c r="BU4" s="93">
        <f t="shared" si="21"/>
        <v>13750</v>
      </c>
      <c r="BV4" s="93">
        <f t="shared" si="22"/>
        <v>13750</v>
      </c>
      <c r="BW4" s="93">
        <f t="shared" si="23"/>
        <v>13750</v>
      </c>
      <c r="BX4" s="93">
        <f t="shared" si="24"/>
        <v>13750</v>
      </c>
      <c r="BY4" s="93">
        <f t="shared" si="25"/>
        <v>13750</v>
      </c>
    </row>
    <row r="5" spans="1:77" x14ac:dyDescent="0.25">
      <c r="A5" s="92" t="s">
        <v>15</v>
      </c>
      <c r="B5" s="90" t="s">
        <v>1074</v>
      </c>
      <c r="C5" s="76" t="str">
        <f t="shared" si="26"/>
        <v>.</v>
      </c>
      <c r="D5" s="76" t="str">
        <f>IFERROR(s_TR/(s_RadSpec!$E5*s_IFAP_res_adj*s_CF_apple),".")</f>
        <v>.</v>
      </c>
      <c r="E5" s="76" t="str">
        <f>IFERROR(s_TR/(s_RadSpec!$E5*s_IFAS_res_adj*s_CF_asparagus),".")</f>
        <v>.</v>
      </c>
      <c r="F5" s="76" t="str">
        <f>IFERROR(s_TR/(s_RadSpec!$E5*s_IFBT_res_adj*s_CF_beet),".")</f>
        <v>.</v>
      </c>
      <c r="G5" s="76" t="str">
        <f>IFERROR(s_TR/(s_RadSpec!$E5*s_IFBE_res_adj*s_CF_berries),".")</f>
        <v>.</v>
      </c>
      <c r="H5" s="76" t="str">
        <f>IFERROR(s_TR/(s_RadSpec!$E5*s_IFBR_res_adj*s_CF_broccoli),".")</f>
        <v>.</v>
      </c>
      <c r="I5" s="76" t="str">
        <f>IFERROR(s_TR/(s_RadSpec!$E5*s_IFCB_res_adj*s_CF_cabbage),".")</f>
        <v>.</v>
      </c>
      <c r="J5" s="76" t="str">
        <f>IFERROR(s_TR/(s_RadSpec!$E5*s_IFCR_res_adj*s_CF_carrot),".")</f>
        <v>.</v>
      </c>
      <c r="K5" s="76" t="str">
        <f>IFERROR(s_TR/(s_RadSpec!$E5*s_IFCI_res_adj*s_CF_citrus),".")</f>
        <v>.</v>
      </c>
      <c r="L5" s="76" t="str">
        <f>IFERROR(s_TR/(s_RadSpec!$E5*s_IFCO_res_adj*s_CF_corn),".")</f>
        <v>.</v>
      </c>
      <c r="M5" s="76" t="str">
        <f>IFERROR(s_TR/(s_RadSpec!$E5*s_IFCU_res_adj*s_CF_cucumber),".")</f>
        <v>.</v>
      </c>
      <c r="N5" s="76" t="str">
        <f>IFERROR(s_TR/(s_RadSpec!$E5*s_IFLE_res_adj*s_CF_lettuce),".")</f>
        <v>.</v>
      </c>
      <c r="O5" s="76" t="str">
        <f>IFERROR(s_TR/(s_RadSpec!$E5*s_IFLI_res_adj*s_CF_lima_bean),".")</f>
        <v>.</v>
      </c>
      <c r="P5" s="76" t="str">
        <f>IFERROR(s_TR/(s_RadSpec!$E5*s_IFOK_res_adj*s_CF_okra),".")</f>
        <v>.</v>
      </c>
      <c r="Q5" s="76" t="str">
        <f>IFERROR(s_TR/(s_RadSpec!$E5*s_IFON_res_adj*s_CF_onion),".")</f>
        <v>.</v>
      </c>
      <c r="R5" s="76" t="str">
        <f>IFERROR(s_TR/(s_RadSpec!$E5*s_IFPC_res_adj*s_CF_peach),".")</f>
        <v>.</v>
      </c>
      <c r="S5" s="76" t="str">
        <f>IFERROR(s_TR/(s_RadSpec!$E5*s_IFPR_res_adj*s_CF_pear),".")</f>
        <v>.</v>
      </c>
      <c r="T5" s="76" t="str">
        <f>IFERROR(s_TR/(s_RadSpec!$E5*s_IFPE_res_adj*s_CF_peas),".")</f>
        <v>.</v>
      </c>
      <c r="U5" s="76" t="str">
        <f>IFERROR(s_TR/(s_RadSpec!$E5*s_IFPT_res_adj*s_CF_potato),".")</f>
        <v>.</v>
      </c>
      <c r="V5" s="76" t="str">
        <f>IFERROR(s_TR/(s_RadSpec!$E5*s_IFPU_res_adj*s_CF_pumpkin),".")</f>
        <v>.</v>
      </c>
      <c r="W5" s="76" t="str">
        <f>IFERROR(s_TR/(s_RadSpec!$E5*s_IFSN_res_adj*s_CF_snap_bean),".")</f>
        <v>.</v>
      </c>
      <c r="X5" s="76" t="str">
        <f>IFERROR(s_TR/(s_RadSpec!$E5*s_IFST_res_adj*s_CF_strawberry),".")</f>
        <v>.</v>
      </c>
      <c r="Y5" s="76" t="str">
        <f>IFERROR(s_TR/(s_RadSpec!$E5*s_IFTO_res_adj*s_CF_tomato),".")</f>
        <v>.</v>
      </c>
      <c r="Z5" s="76" t="str">
        <f>IFERROR(s_TR/(s_RadSpec!$E5*s_IFRI_res_adj*s_CF_rice),".")</f>
        <v>.</v>
      </c>
      <c r="AA5" s="76" t="str">
        <f>IFERROR(s_TR/(s_RadSpec!$E5*s_IFCG_res_adj*s_CF_cereal),".")</f>
        <v>.</v>
      </c>
      <c r="AB5" s="76" t="str">
        <f t="shared" si="27"/>
        <v>.</v>
      </c>
      <c r="AC5" s="76" t="str">
        <f>IFERROR(s_TR/(s_RadSpec!$E5*s_IFAP_far_adj*s_CF_apple),".")</f>
        <v>.</v>
      </c>
      <c r="AD5" s="76" t="str">
        <f>IFERROR(s_TR/(s_RadSpec!$E5*s_IFAS_far_adj*s_CF_asparagus),".")</f>
        <v>.</v>
      </c>
      <c r="AE5" s="76" t="str">
        <f>IFERROR(s_TR/(s_RadSpec!$E5*s_IFBT_far_adj*s_CF_beet),".")</f>
        <v>.</v>
      </c>
      <c r="AF5" s="76" t="str">
        <f>IFERROR(s_TR/(s_RadSpec!$E5*s_IFBE_far_adj*s_CF_berries),".")</f>
        <v>.</v>
      </c>
      <c r="AG5" s="76" t="str">
        <f>IFERROR(s_TR/(s_RadSpec!$E5*s_IFBR_far_adj*s_CF_broccoli),".")</f>
        <v>.</v>
      </c>
      <c r="AH5" s="76" t="str">
        <f>IFERROR(s_TR/(s_RadSpec!$E5*s_IFCB_far_adj*s_CF_cabbage),".")</f>
        <v>.</v>
      </c>
      <c r="AI5" s="76" t="str">
        <f>IFERROR(s_TR/(s_RadSpec!$E5*s_IFCR_far_adj*s_CF_carrot),".")</f>
        <v>.</v>
      </c>
      <c r="AJ5" s="76" t="str">
        <f>IFERROR(s_TR/(s_RadSpec!$E5*s_IFCI_far_adj*s_CF_citrus),".")</f>
        <v>.</v>
      </c>
      <c r="AK5" s="76" t="str">
        <f>IFERROR(s_TR/(s_RadSpec!$E5*s_IFCO_far_adj*s_CF_corn),".")</f>
        <v>.</v>
      </c>
      <c r="AL5" s="76" t="str">
        <f>IFERROR(s_TR/(s_RadSpec!$E5*s_IFCU_far_adj*s_CF_cucumber),".")</f>
        <v>.</v>
      </c>
      <c r="AM5" s="76" t="str">
        <f>IFERROR(s_TR/(s_RadSpec!$E5*s_IFLE_far_adj*s_CF_lettuce),".")</f>
        <v>.</v>
      </c>
      <c r="AN5" s="76" t="str">
        <f>IFERROR(s_TR/(s_RadSpec!$E5*s_IFLI_far_adj*s_CF_lima_bean),".")</f>
        <v>.</v>
      </c>
      <c r="AO5" s="76" t="str">
        <f>IFERROR(s_TR/(s_RadSpec!$E5*s_IFOK_far_adj*s_CF_okra),".")</f>
        <v>.</v>
      </c>
      <c r="AP5" s="76" t="str">
        <f>IFERROR(s_TR/(s_RadSpec!$E5*s_IFON_far_adj*s_CF_onion),".")</f>
        <v>.</v>
      </c>
      <c r="AQ5" s="76" t="str">
        <f>IFERROR(s_TR/(s_RadSpec!$E5*s_IFPC_far_adj*s_CF_peach),".")</f>
        <v>.</v>
      </c>
      <c r="AR5" s="76" t="str">
        <f>IFERROR(s_TR/(s_RadSpec!$E5*s_IFPR_far_adj*s_CF_pear),".")</f>
        <v>.</v>
      </c>
      <c r="AS5" s="76" t="str">
        <f>IFERROR(s_TR/(s_RadSpec!$E5*s_IFPE_far_adj*s_CF_peas),".")</f>
        <v>.</v>
      </c>
      <c r="AT5" s="76" t="str">
        <f>IFERROR(s_TR/(s_RadSpec!$E5*s_IFPT_far_adj*s_CF_potato),".")</f>
        <v>.</v>
      </c>
      <c r="AU5" s="76" t="str">
        <f>IFERROR(s_TR/(s_RadSpec!$E5*s_IFPU_far_adj*s_CF_pumpkin),".")</f>
        <v>.</v>
      </c>
      <c r="AV5" s="76" t="str">
        <f>IFERROR(s_TR/(s_RadSpec!$E5*s_IFSN_far_adj*s_CF_snap_bean),".")</f>
        <v>.</v>
      </c>
      <c r="AW5" s="76" t="str">
        <f>IFERROR(s_TR/(s_RadSpec!$E5*s_IFST_far_adj*s_CF_strawberry),".")</f>
        <v>.</v>
      </c>
      <c r="AX5" s="76" t="str">
        <f>IFERROR(s_TR/(s_RadSpec!$E5*s_IFTO_far_adj*s_CF_tomato),".")</f>
        <v>.</v>
      </c>
      <c r="AY5" s="76" t="str">
        <f>IFERROR(s_TR/(s_RadSpec!$E5*s_IFRI_far_adj*s_CF_rice),".")</f>
        <v>.</v>
      </c>
      <c r="AZ5" s="76" t="str">
        <f>IFERROR(s_TR/(s_RadSpec!$E5*s_IFCG_far_adj*s_CF_cereal),".")</f>
        <v>.</v>
      </c>
      <c r="BA5" s="93">
        <f t="shared" si="1"/>
        <v>55000</v>
      </c>
      <c r="BB5" s="93">
        <f t="shared" si="2"/>
        <v>13750</v>
      </c>
      <c r="BC5" s="93">
        <f t="shared" si="3"/>
        <v>13750</v>
      </c>
      <c r="BD5" s="93">
        <f t="shared" si="4"/>
        <v>13750</v>
      </c>
      <c r="BE5" s="93">
        <f t="shared" si="5"/>
        <v>13750</v>
      </c>
      <c r="BF5" s="93">
        <f t="shared" si="6"/>
        <v>13750</v>
      </c>
      <c r="BG5" s="93">
        <f t="shared" si="7"/>
        <v>13750</v>
      </c>
      <c r="BH5" s="93">
        <f t="shared" si="8"/>
        <v>13750</v>
      </c>
      <c r="BI5" s="93">
        <f t="shared" si="9"/>
        <v>13750</v>
      </c>
      <c r="BJ5" s="93">
        <f t="shared" si="10"/>
        <v>13750</v>
      </c>
      <c r="BK5" s="93">
        <f t="shared" si="11"/>
        <v>13750</v>
      </c>
      <c r="BL5" s="93">
        <f t="shared" si="12"/>
        <v>13750</v>
      </c>
      <c r="BM5" s="93">
        <f t="shared" si="13"/>
        <v>13750</v>
      </c>
      <c r="BN5" s="93">
        <f t="shared" si="14"/>
        <v>13750</v>
      </c>
      <c r="BO5" s="93">
        <f t="shared" si="15"/>
        <v>13750</v>
      </c>
      <c r="BP5" s="93">
        <f t="shared" si="16"/>
        <v>13750</v>
      </c>
      <c r="BQ5" s="93">
        <f t="shared" si="17"/>
        <v>13750</v>
      </c>
      <c r="BR5" s="93">
        <f t="shared" si="18"/>
        <v>13750</v>
      </c>
      <c r="BS5" s="93">
        <f t="shared" si="19"/>
        <v>13750</v>
      </c>
      <c r="BT5" s="93">
        <f t="shared" si="20"/>
        <v>13750</v>
      </c>
      <c r="BU5" s="93">
        <f t="shared" si="21"/>
        <v>13750</v>
      </c>
      <c r="BV5" s="93">
        <f t="shared" si="22"/>
        <v>13750</v>
      </c>
      <c r="BW5" s="93">
        <f t="shared" si="23"/>
        <v>13750</v>
      </c>
      <c r="BX5" s="93">
        <f t="shared" si="24"/>
        <v>13750</v>
      </c>
      <c r="BY5" s="93">
        <f t="shared" si="25"/>
        <v>13750</v>
      </c>
    </row>
    <row r="6" spans="1:77" x14ac:dyDescent="0.25">
      <c r="A6" s="92" t="s">
        <v>16</v>
      </c>
      <c r="B6" s="90" t="s">
        <v>1074</v>
      </c>
      <c r="C6" s="76" t="str">
        <f t="shared" si="26"/>
        <v>.</v>
      </c>
      <c r="D6" s="76" t="str">
        <f>IFERROR(s_TR/(s_RadSpec!$E6*s_IFAP_res_adj*s_CF_apple),".")</f>
        <v>.</v>
      </c>
      <c r="E6" s="76" t="str">
        <f>IFERROR(s_TR/(s_RadSpec!$E6*s_IFAS_res_adj*s_CF_asparagus),".")</f>
        <v>.</v>
      </c>
      <c r="F6" s="76" t="str">
        <f>IFERROR(s_TR/(s_RadSpec!$E6*s_IFBT_res_adj*s_CF_beet),".")</f>
        <v>.</v>
      </c>
      <c r="G6" s="76" t="str">
        <f>IFERROR(s_TR/(s_RadSpec!$E6*s_IFBE_res_adj*s_CF_berries),".")</f>
        <v>.</v>
      </c>
      <c r="H6" s="76" t="str">
        <f>IFERROR(s_TR/(s_RadSpec!$E6*s_IFBR_res_adj*s_CF_broccoli),".")</f>
        <v>.</v>
      </c>
      <c r="I6" s="76" t="str">
        <f>IFERROR(s_TR/(s_RadSpec!$E6*s_IFCB_res_adj*s_CF_cabbage),".")</f>
        <v>.</v>
      </c>
      <c r="J6" s="76" t="str">
        <f>IFERROR(s_TR/(s_RadSpec!$E6*s_IFCR_res_adj*s_CF_carrot),".")</f>
        <v>.</v>
      </c>
      <c r="K6" s="76" t="str">
        <f>IFERROR(s_TR/(s_RadSpec!$E6*s_IFCI_res_adj*s_CF_citrus),".")</f>
        <v>.</v>
      </c>
      <c r="L6" s="76" t="str">
        <f>IFERROR(s_TR/(s_RadSpec!$E6*s_IFCO_res_adj*s_CF_corn),".")</f>
        <v>.</v>
      </c>
      <c r="M6" s="76" t="str">
        <f>IFERROR(s_TR/(s_RadSpec!$E6*s_IFCU_res_adj*s_CF_cucumber),".")</f>
        <v>.</v>
      </c>
      <c r="N6" s="76" t="str">
        <f>IFERROR(s_TR/(s_RadSpec!$E6*s_IFLE_res_adj*s_CF_lettuce),".")</f>
        <v>.</v>
      </c>
      <c r="O6" s="76" t="str">
        <f>IFERROR(s_TR/(s_RadSpec!$E6*s_IFLI_res_adj*s_CF_lima_bean),".")</f>
        <v>.</v>
      </c>
      <c r="P6" s="76" t="str">
        <f>IFERROR(s_TR/(s_RadSpec!$E6*s_IFOK_res_adj*s_CF_okra),".")</f>
        <v>.</v>
      </c>
      <c r="Q6" s="76" t="str">
        <f>IFERROR(s_TR/(s_RadSpec!$E6*s_IFON_res_adj*s_CF_onion),".")</f>
        <v>.</v>
      </c>
      <c r="R6" s="76" t="str">
        <f>IFERROR(s_TR/(s_RadSpec!$E6*s_IFPC_res_adj*s_CF_peach),".")</f>
        <v>.</v>
      </c>
      <c r="S6" s="76" t="str">
        <f>IFERROR(s_TR/(s_RadSpec!$E6*s_IFPR_res_adj*s_CF_pear),".")</f>
        <v>.</v>
      </c>
      <c r="T6" s="76" t="str">
        <f>IFERROR(s_TR/(s_RadSpec!$E6*s_IFPE_res_adj*s_CF_peas),".")</f>
        <v>.</v>
      </c>
      <c r="U6" s="76" t="str">
        <f>IFERROR(s_TR/(s_RadSpec!$E6*s_IFPT_res_adj*s_CF_potato),".")</f>
        <v>.</v>
      </c>
      <c r="V6" s="76" t="str">
        <f>IFERROR(s_TR/(s_RadSpec!$E6*s_IFPU_res_adj*s_CF_pumpkin),".")</f>
        <v>.</v>
      </c>
      <c r="W6" s="76" t="str">
        <f>IFERROR(s_TR/(s_RadSpec!$E6*s_IFSN_res_adj*s_CF_snap_bean),".")</f>
        <v>.</v>
      </c>
      <c r="X6" s="76" t="str">
        <f>IFERROR(s_TR/(s_RadSpec!$E6*s_IFST_res_adj*s_CF_strawberry),".")</f>
        <v>.</v>
      </c>
      <c r="Y6" s="76" t="str">
        <f>IFERROR(s_TR/(s_RadSpec!$E6*s_IFTO_res_adj*s_CF_tomato),".")</f>
        <v>.</v>
      </c>
      <c r="Z6" s="76" t="str">
        <f>IFERROR(s_TR/(s_RadSpec!$E6*s_IFRI_res_adj*s_CF_rice),".")</f>
        <v>.</v>
      </c>
      <c r="AA6" s="76" t="str">
        <f>IFERROR(s_TR/(s_RadSpec!$E6*s_IFCG_res_adj*s_CF_cereal),".")</f>
        <v>.</v>
      </c>
      <c r="AB6" s="76" t="str">
        <f t="shared" si="27"/>
        <v>.</v>
      </c>
      <c r="AC6" s="76" t="str">
        <f>IFERROR(s_TR/(s_RadSpec!$E6*s_IFAP_far_adj*s_CF_apple),".")</f>
        <v>.</v>
      </c>
      <c r="AD6" s="76" t="str">
        <f>IFERROR(s_TR/(s_RadSpec!$E6*s_IFAS_far_adj*s_CF_asparagus),".")</f>
        <v>.</v>
      </c>
      <c r="AE6" s="76" t="str">
        <f>IFERROR(s_TR/(s_RadSpec!$E6*s_IFBT_far_adj*s_CF_beet),".")</f>
        <v>.</v>
      </c>
      <c r="AF6" s="76" t="str">
        <f>IFERROR(s_TR/(s_RadSpec!$E6*s_IFBE_far_adj*s_CF_berries),".")</f>
        <v>.</v>
      </c>
      <c r="AG6" s="76" t="str">
        <f>IFERROR(s_TR/(s_RadSpec!$E6*s_IFBR_far_adj*s_CF_broccoli),".")</f>
        <v>.</v>
      </c>
      <c r="AH6" s="76" t="str">
        <f>IFERROR(s_TR/(s_RadSpec!$E6*s_IFCB_far_adj*s_CF_cabbage),".")</f>
        <v>.</v>
      </c>
      <c r="AI6" s="76" t="str">
        <f>IFERROR(s_TR/(s_RadSpec!$E6*s_IFCR_far_adj*s_CF_carrot),".")</f>
        <v>.</v>
      </c>
      <c r="AJ6" s="76" t="str">
        <f>IFERROR(s_TR/(s_RadSpec!$E6*s_IFCI_far_adj*s_CF_citrus),".")</f>
        <v>.</v>
      </c>
      <c r="AK6" s="76" t="str">
        <f>IFERROR(s_TR/(s_RadSpec!$E6*s_IFCO_far_adj*s_CF_corn),".")</f>
        <v>.</v>
      </c>
      <c r="AL6" s="76" t="str">
        <f>IFERROR(s_TR/(s_RadSpec!$E6*s_IFCU_far_adj*s_CF_cucumber),".")</f>
        <v>.</v>
      </c>
      <c r="AM6" s="76" t="str">
        <f>IFERROR(s_TR/(s_RadSpec!$E6*s_IFLE_far_adj*s_CF_lettuce),".")</f>
        <v>.</v>
      </c>
      <c r="AN6" s="76" t="str">
        <f>IFERROR(s_TR/(s_RadSpec!$E6*s_IFLI_far_adj*s_CF_lima_bean),".")</f>
        <v>.</v>
      </c>
      <c r="AO6" s="76" t="str">
        <f>IFERROR(s_TR/(s_RadSpec!$E6*s_IFOK_far_adj*s_CF_okra),".")</f>
        <v>.</v>
      </c>
      <c r="AP6" s="76" t="str">
        <f>IFERROR(s_TR/(s_RadSpec!$E6*s_IFON_far_adj*s_CF_onion),".")</f>
        <v>.</v>
      </c>
      <c r="AQ6" s="76" t="str">
        <f>IFERROR(s_TR/(s_RadSpec!$E6*s_IFPC_far_adj*s_CF_peach),".")</f>
        <v>.</v>
      </c>
      <c r="AR6" s="76" t="str">
        <f>IFERROR(s_TR/(s_RadSpec!$E6*s_IFPR_far_adj*s_CF_pear),".")</f>
        <v>.</v>
      </c>
      <c r="AS6" s="76" t="str">
        <f>IFERROR(s_TR/(s_RadSpec!$E6*s_IFPE_far_adj*s_CF_peas),".")</f>
        <v>.</v>
      </c>
      <c r="AT6" s="76" t="str">
        <f>IFERROR(s_TR/(s_RadSpec!$E6*s_IFPT_far_adj*s_CF_potato),".")</f>
        <v>.</v>
      </c>
      <c r="AU6" s="76" t="str">
        <f>IFERROR(s_TR/(s_RadSpec!$E6*s_IFPU_far_adj*s_CF_pumpkin),".")</f>
        <v>.</v>
      </c>
      <c r="AV6" s="76" t="str">
        <f>IFERROR(s_TR/(s_RadSpec!$E6*s_IFSN_far_adj*s_CF_snap_bean),".")</f>
        <v>.</v>
      </c>
      <c r="AW6" s="76" t="str">
        <f>IFERROR(s_TR/(s_RadSpec!$E6*s_IFST_far_adj*s_CF_strawberry),".")</f>
        <v>.</v>
      </c>
      <c r="AX6" s="76" t="str">
        <f>IFERROR(s_TR/(s_RadSpec!$E6*s_IFTO_far_adj*s_CF_tomato),".")</f>
        <v>.</v>
      </c>
      <c r="AY6" s="76" t="str">
        <f>IFERROR(s_TR/(s_RadSpec!$E6*s_IFRI_far_adj*s_CF_rice),".")</f>
        <v>.</v>
      </c>
      <c r="AZ6" s="76" t="str">
        <f>IFERROR(s_TR/(s_RadSpec!$E6*s_IFCG_far_adj*s_CF_cereal),".")</f>
        <v>.</v>
      </c>
      <c r="BA6" s="93">
        <f t="shared" si="1"/>
        <v>55000</v>
      </c>
      <c r="BB6" s="93">
        <f t="shared" si="2"/>
        <v>13750</v>
      </c>
      <c r="BC6" s="93">
        <f t="shared" si="3"/>
        <v>13750</v>
      </c>
      <c r="BD6" s="93">
        <f t="shared" si="4"/>
        <v>13750</v>
      </c>
      <c r="BE6" s="93">
        <f t="shared" si="5"/>
        <v>13750</v>
      </c>
      <c r="BF6" s="93">
        <f t="shared" si="6"/>
        <v>13750</v>
      </c>
      <c r="BG6" s="93">
        <f t="shared" si="7"/>
        <v>13750</v>
      </c>
      <c r="BH6" s="93">
        <f t="shared" si="8"/>
        <v>13750</v>
      </c>
      <c r="BI6" s="93">
        <f t="shared" si="9"/>
        <v>13750</v>
      </c>
      <c r="BJ6" s="93">
        <f t="shared" si="10"/>
        <v>13750</v>
      </c>
      <c r="BK6" s="93">
        <f t="shared" si="11"/>
        <v>13750</v>
      </c>
      <c r="BL6" s="93">
        <f t="shared" si="12"/>
        <v>13750</v>
      </c>
      <c r="BM6" s="93">
        <f t="shared" si="13"/>
        <v>13750</v>
      </c>
      <c r="BN6" s="93">
        <f t="shared" si="14"/>
        <v>13750</v>
      </c>
      <c r="BO6" s="93">
        <f t="shared" si="15"/>
        <v>13750</v>
      </c>
      <c r="BP6" s="93">
        <f t="shared" si="16"/>
        <v>13750</v>
      </c>
      <c r="BQ6" s="93">
        <f t="shared" si="17"/>
        <v>13750</v>
      </c>
      <c r="BR6" s="93">
        <f t="shared" si="18"/>
        <v>13750</v>
      </c>
      <c r="BS6" s="93">
        <f t="shared" si="19"/>
        <v>13750</v>
      </c>
      <c r="BT6" s="93">
        <f t="shared" si="20"/>
        <v>13750</v>
      </c>
      <c r="BU6" s="93">
        <f t="shared" si="21"/>
        <v>13750</v>
      </c>
      <c r="BV6" s="93">
        <f t="shared" si="22"/>
        <v>13750</v>
      </c>
      <c r="BW6" s="93">
        <f t="shared" si="23"/>
        <v>13750</v>
      </c>
      <c r="BX6" s="93">
        <f t="shared" si="24"/>
        <v>13750</v>
      </c>
      <c r="BY6" s="93">
        <f t="shared" si="25"/>
        <v>13750</v>
      </c>
    </row>
    <row r="7" spans="1:77" x14ac:dyDescent="0.25">
      <c r="A7" s="92" t="s">
        <v>17</v>
      </c>
      <c r="B7" s="90" t="s">
        <v>1074</v>
      </c>
      <c r="C7" s="76">
        <f t="shared" si="26"/>
        <v>6.9801206164842524</v>
      </c>
      <c r="D7" s="76">
        <f>IFERROR(s_TR/(s_RadSpec!$E7*s_IFAP_res_adj*s_CF_apple),".")</f>
        <v>27.92048246593701</v>
      </c>
      <c r="E7" s="76">
        <f>IFERROR(s_TR/(s_RadSpec!$E7*s_IFAS_res_adj*s_CF_asparagus),".")</f>
        <v>27.92048246593701</v>
      </c>
      <c r="F7" s="76">
        <f>IFERROR(s_TR/(s_RadSpec!$E7*s_IFBT_res_adj*s_CF_beet),".")</f>
        <v>27.92048246593701</v>
      </c>
      <c r="G7" s="76">
        <f>IFERROR(s_TR/(s_RadSpec!$E7*s_IFBE_res_adj*s_CF_berries),".")</f>
        <v>27.92048246593701</v>
      </c>
      <c r="H7" s="76">
        <f>IFERROR(s_TR/(s_RadSpec!$E7*s_IFBR_res_adj*s_CF_broccoli),".")</f>
        <v>27.92048246593701</v>
      </c>
      <c r="I7" s="76">
        <f>IFERROR(s_TR/(s_RadSpec!$E7*s_IFCB_res_adj*s_CF_cabbage),".")</f>
        <v>27.92048246593701</v>
      </c>
      <c r="J7" s="76">
        <f>IFERROR(s_TR/(s_RadSpec!$E7*s_IFCR_res_adj*s_CF_carrot),".")</f>
        <v>27.92048246593701</v>
      </c>
      <c r="K7" s="76">
        <f>IFERROR(s_TR/(s_RadSpec!$E7*s_IFCI_res_adj*s_CF_citrus),".")</f>
        <v>27.92048246593701</v>
      </c>
      <c r="L7" s="76">
        <f>IFERROR(s_TR/(s_RadSpec!$E7*s_IFCO_res_adj*s_CF_corn),".")</f>
        <v>27.92048246593701</v>
      </c>
      <c r="M7" s="76">
        <f>IFERROR(s_TR/(s_RadSpec!$E7*s_IFCU_res_adj*s_CF_cucumber),".")</f>
        <v>27.92048246593701</v>
      </c>
      <c r="N7" s="76">
        <f>IFERROR(s_TR/(s_RadSpec!$E7*s_IFLE_res_adj*s_CF_lettuce),".")</f>
        <v>27.92048246593701</v>
      </c>
      <c r="O7" s="76">
        <f>IFERROR(s_TR/(s_RadSpec!$E7*s_IFLI_res_adj*s_CF_lima_bean),".")</f>
        <v>27.92048246593701</v>
      </c>
      <c r="P7" s="76">
        <f>IFERROR(s_TR/(s_RadSpec!$E7*s_IFOK_res_adj*s_CF_okra),".")</f>
        <v>27.92048246593701</v>
      </c>
      <c r="Q7" s="76">
        <f>IFERROR(s_TR/(s_RadSpec!$E7*s_IFON_res_adj*s_CF_onion),".")</f>
        <v>27.92048246593701</v>
      </c>
      <c r="R7" s="76">
        <f>IFERROR(s_TR/(s_RadSpec!$E7*s_IFPC_res_adj*s_CF_peach),".")</f>
        <v>27.92048246593701</v>
      </c>
      <c r="S7" s="76">
        <f>IFERROR(s_TR/(s_RadSpec!$E7*s_IFPR_res_adj*s_CF_pear),".")</f>
        <v>27.92048246593701</v>
      </c>
      <c r="T7" s="76">
        <f>IFERROR(s_TR/(s_RadSpec!$E7*s_IFPE_res_adj*s_CF_peas),".")</f>
        <v>27.92048246593701</v>
      </c>
      <c r="U7" s="76">
        <f>IFERROR(s_TR/(s_RadSpec!$E7*s_IFPT_res_adj*s_CF_potato),".")</f>
        <v>27.92048246593701</v>
      </c>
      <c r="V7" s="76">
        <f>IFERROR(s_TR/(s_RadSpec!$E7*s_IFPU_res_adj*s_CF_pumpkin),".")</f>
        <v>27.92048246593701</v>
      </c>
      <c r="W7" s="76">
        <f>IFERROR(s_TR/(s_RadSpec!$E7*s_IFSN_res_adj*s_CF_snap_bean),".")</f>
        <v>27.92048246593701</v>
      </c>
      <c r="X7" s="76">
        <f>IFERROR(s_TR/(s_RadSpec!$E7*s_IFST_res_adj*s_CF_strawberry),".")</f>
        <v>27.92048246593701</v>
      </c>
      <c r="Y7" s="76">
        <f>IFERROR(s_TR/(s_RadSpec!$E7*s_IFTO_res_adj*s_CF_tomato),".")</f>
        <v>27.92048246593701</v>
      </c>
      <c r="Z7" s="76">
        <f>IFERROR(s_TR/(s_RadSpec!$E7*s_IFRI_res_adj*s_CF_rice),".")</f>
        <v>27.92048246593701</v>
      </c>
      <c r="AA7" s="76">
        <f>IFERROR(s_TR/(s_RadSpec!$E7*s_IFCG_res_adj*s_CF_cereal),".")</f>
        <v>27.92048246593701</v>
      </c>
      <c r="AB7" s="76">
        <f t="shared" si="27"/>
        <v>6.9801206164842524</v>
      </c>
      <c r="AC7" s="76">
        <f>IFERROR(s_TR/(s_RadSpec!$E7*s_IFAP_far_adj*s_CF_apple),".")</f>
        <v>27.92048246593701</v>
      </c>
      <c r="AD7" s="76">
        <f>IFERROR(s_TR/(s_RadSpec!$E7*s_IFAS_far_adj*s_CF_asparagus),".")</f>
        <v>27.92048246593701</v>
      </c>
      <c r="AE7" s="76">
        <f>IFERROR(s_TR/(s_RadSpec!$E7*s_IFBT_far_adj*s_CF_beet),".")</f>
        <v>27.92048246593701</v>
      </c>
      <c r="AF7" s="76">
        <f>IFERROR(s_TR/(s_RadSpec!$E7*s_IFBE_far_adj*s_CF_berries),".")</f>
        <v>27.92048246593701</v>
      </c>
      <c r="AG7" s="76">
        <f>IFERROR(s_TR/(s_RadSpec!$E7*s_IFBR_far_adj*s_CF_broccoli),".")</f>
        <v>27.92048246593701</v>
      </c>
      <c r="AH7" s="76">
        <f>IFERROR(s_TR/(s_RadSpec!$E7*s_IFCB_far_adj*s_CF_cabbage),".")</f>
        <v>27.92048246593701</v>
      </c>
      <c r="AI7" s="76">
        <f>IFERROR(s_TR/(s_RadSpec!$E7*s_IFCR_far_adj*s_CF_carrot),".")</f>
        <v>27.92048246593701</v>
      </c>
      <c r="AJ7" s="76">
        <f>IFERROR(s_TR/(s_RadSpec!$E7*s_IFCI_far_adj*s_CF_citrus),".")</f>
        <v>27.92048246593701</v>
      </c>
      <c r="AK7" s="76">
        <f>IFERROR(s_TR/(s_RadSpec!$E7*s_IFCO_far_adj*s_CF_corn),".")</f>
        <v>27.92048246593701</v>
      </c>
      <c r="AL7" s="76">
        <f>IFERROR(s_TR/(s_RadSpec!$E7*s_IFCU_far_adj*s_CF_cucumber),".")</f>
        <v>27.92048246593701</v>
      </c>
      <c r="AM7" s="76">
        <f>IFERROR(s_TR/(s_RadSpec!$E7*s_IFLE_far_adj*s_CF_lettuce),".")</f>
        <v>27.92048246593701</v>
      </c>
      <c r="AN7" s="76">
        <f>IFERROR(s_TR/(s_RadSpec!$E7*s_IFLI_far_adj*s_CF_lima_bean),".")</f>
        <v>27.92048246593701</v>
      </c>
      <c r="AO7" s="76">
        <f>IFERROR(s_TR/(s_RadSpec!$E7*s_IFOK_far_adj*s_CF_okra),".")</f>
        <v>27.92048246593701</v>
      </c>
      <c r="AP7" s="76">
        <f>IFERROR(s_TR/(s_RadSpec!$E7*s_IFON_far_adj*s_CF_onion),".")</f>
        <v>27.92048246593701</v>
      </c>
      <c r="AQ7" s="76">
        <f>IFERROR(s_TR/(s_RadSpec!$E7*s_IFPC_far_adj*s_CF_peach),".")</f>
        <v>27.92048246593701</v>
      </c>
      <c r="AR7" s="76">
        <f>IFERROR(s_TR/(s_RadSpec!$E7*s_IFPR_far_adj*s_CF_pear),".")</f>
        <v>27.92048246593701</v>
      </c>
      <c r="AS7" s="76">
        <f>IFERROR(s_TR/(s_RadSpec!$E7*s_IFPE_far_adj*s_CF_peas),".")</f>
        <v>27.92048246593701</v>
      </c>
      <c r="AT7" s="76">
        <f>IFERROR(s_TR/(s_RadSpec!$E7*s_IFPT_far_adj*s_CF_potato),".")</f>
        <v>27.92048246593701</v>
      </c>
      <c r="AU7" s="76">
        <f>IFERROR(s_TR/(s_RadSpec!$E7*s_IFPU_far_adj*s_CF_pumpkin),".")</f>
        <v>27.92048246593701</v>
      </c>
      <c r="AV7" s="76">
        <f>IFERROR(s_TR/(s_RadSpec!$E7*s_IFSN_far_adj*s_CF_snap_bean),".")</f>
        <v>27.92048246593701</v>
      </c>
      <c r="AW7" s="76">
        <f>IFERROR(s_TR/(s_RadSpec!$E7*s_IFST_far_adj*s_CF_strawberry),".")</f>
        <v>27.92048246593701</v>
      </c>
      <c r="AX7" s="76">
        <f>IFERROR(s_TR/(s_RadSpec!$E7*s_IFTO_far_adj*s_CF_tomato),".")</f>
        <v>27.92048246593701</v>
      </c>
      <c r="AY7" s="76">
        <f>IFERROR(s_TR/(s_RadSpec!$E7*s_IFRI_far_adj*s_CF_rice),".")</f>
        <v>27.92048246593701</v>
      </c>
      <c r="AZ7" s="76">
        <f>IFERROR(s_TR/(s_RadSpec!$E7*s_IFCG_far_adj*s_CF_cereal),".")</f>
        <v>27.92048246593701</v>
      </c>
      <c r="BA7" s="93">
        <f t="shared" si="1"/>
        <v>55000</v>
      </c>
      <c r="BB7" s="93">
        <f t="shared" si="2"/>
        <v>13750</v>
      </c>
      <c r="BC7" s="93">
        <f t="shared" si="3"/>
        <v>13750</v>
      </c>
      <c r="BD7" s="93">
        <f t="shared" si="4"/>
        <v>13750</v>
      </c>
      <c r="BE7" s="93">
        <f t="shared" si="5"/>
        <v>13750</v>
      </c>
      <c r="BF7" s="93">
        <f t="shared" si="6"/>
        <v>13750</v>
      </c>
      <c r="BG7" s="93">
        <f t="shared" si="7"/>
        <v>13750</v>
      </c>
      <c r="BH7" s="93">
        <f t="shared" si="8"/>
        <v>13750</v>
      </c>
      <c r="BI7" s="93">
        <f t="shared" si="9"/>
        <v>13750</v>
      </c>
      <c r="BJ7" s="93">
        <f t="shared" si="10"/>
        <v>13750</v>
      </c>
      <c r="BK7" s="93">
        <f t="shared" si="11"/>
        <v>13750</v>
      </c>
      <c r="BL7" s="93">
        <f t="shared" si="12"/>
        <v>13750</v>
      </c>
      <c r="BM7" s="93">
        <f t="shared" si="13"/>
        <v>13750</v>
      </c>
      <c r="BN7" s="93">
        <f t="shared" si="14"/>
        <v>13750</v>
      </c>
      <c r="BO7" s="93">
        <f t="shared" si="15"/>
        <v>13750</v>
      </c>
      <c r="BP7" s="93">
        <f t="shared" si="16"/>
        <v>13750</v>
      </c>
      <c r="BQ7" s="93">
        <f t="shared" si="17"/>
        <v>13750</v>
      </c>
      <c r="BR7" s="93">
        <f t="shared" si="18"/>
        <v>13750</v>
      </c>
      <c r="BS7" s="93">
        <f t="shared" si="19"/>
        <v>13750</v>
      </c>
      <c r="BT7" s="93">
        <f t="shared" si="20"/>
        <v>13750</v>
      </c>
      <c r="BU7" s="93">
        <f t="shared" si="21"/>
        <v>13750</v>
      </c>
      <c r="BV7" s="93">
        <f t="shared" si="22"/>
        <v>13750</v>
      </c>
      <c r="BW7" s="93">
        <f t="shared" si="23"/>
        <v>13750</v>
      </c>
      <c r="BX7" s="93">
        <f t="shared" si="24"/>
        <v>13750</v>
      </c>
      <c r="BY7" s="93">
        <f t="shared" si="25"/>
        <v>13750</v>
      </c>
    </row>
    <row r="8" spans="1:77" x14ac:dyDescent="0.25">
      <c r="A8" s="92" t="s">
        <v>18</v>
      </c>
      <c r="B8" s="90" t="s">
        <v>1074</v>
      </c>
      <c r="C8" s="76">
        <f t="shared" si="26"/>
        <v>126.64961118569364</v>
      </c>
      <c r="D8" s="76">
        <f>IFERROR(s_TR/(s_RadSpec!$E8*s_IFAP_res_adj*s_CF_apple),".")</f>
        <v>506.59844474277457</v>
      </c>
      <c r="E8" s="76">
        <f>IFERROR(s_TR/(s_RadSpec!$E8*s_IFAS_res_adj*s_CF_asparagus),".")</f>
        <v>506.59844474277457</v>
      </c>
      <c r="F8" s="76">
        <f>IFERROR(s_TR/(s_RadSpec!$E8*s_IFBT_res_adj*s_CF_beet),".")</f>
        <v>506.59844474277457</v>
      </c>
      <c r="G8" s="76">
        <f>IFERROR(s_TR/(s_RadSpec!$E8*s_IFBE_res_adj*s_CF_berries),".")</f>
        <v>506.59844474277457</v>
      </c>
      <c r="H8" s="76">
        <f>IFERROR(s_TR/(s_RadSpec!$E8*s_IFBR_res_adj*s_CF_broccoli),".")</f>
        <v>506.59844474277457</v>
      </c>
      <c r="I8" s="76">
        <f>IFERROR(s_TR/(s_RadSpec!$E8*s_IFCB_res_adj*s_CF_cabbage),".")</f>
        <v>506.59844474277457</v>
      </c>
      <c r="J8" s="76">
        <f>IFERROR(s_TR/(s_RadSpec!$E8*s_IFCR_res_adj*s_CF_carrot),".")</f>
        <v>506.59844474277457</v>
      </c>
      <c r="K8" s="76">
        <f>IFERROR(s_TR/(s_RadSpec!$E8*s_IFCI_res_adj*s_CF_citrus),".")</f>
        <v>506.59844474277457</v>
      </c>
      <c r="L8" s="76">
        <f>IFERROR(s_TR/(s_RadSpec!$E8*s_IFCO_res_adj*s_CF_corn),".")</f>
        <v>506.59844474277457</v>
      </c>
      <c r="M8" s="76">
        <f>IFERROR(s_TR/(s_RadSpec!$E8*s_IFCU_res_adj*s_CF_cucumber),".")</f>
        <v>506.59844474277457</v>
      </c>
      <c r="N8" s="76">
        <f>IFERROR(s_TR/(s_RadSpec!$E8*s_IFLE_res_adj*s_CF_lettuce),".")</f>
        <v>506.59844474277457</v>
      </c>
      <c r="O8" s="76">
        <f>IFERROR(s_TR/(s_RadSpec!$E8*s_IFLI_res_adj*s_CF_lima_bean),".")</f>
        <v>506.59844474277457</v>
      </c>
      <c r="P8" s="76">
        <f>IFERROR(s_TR/(s_RadSpec!$E8*s_IFOK_res_adj*s_CF_okra),".")</f>
        <v>506.59844474277457</v>
      </c>
      <c r="Q8" s="76">
        <f>IFERROR(s_TR/(s_RadSpec!$E8*s_IFON_res_adj*s_CF_onion),".")</f>
        <v>506.59844474277457</v>
      </c>
      <c r="R8" s="76">
        <f>IFERROR(s_TR/(s_RadSpec!$E8*s_IFPC_res_adj*s_CF_peach),".")</f>
        <v>506.59844474277457</v>
      </c>
      <c r="S8" s="76">
        <f>IFERROR(s_TR/(s_RadSpec!$E8*s_IFPR_res_adj*s_CF_pear),".")</f>
        <v>506.59844474277457</v>
      </c>
      <c r="T8" s="76">
        <f>IFERROR(s_TR/(s_RadSpec!$E8*s_IFPE_res_adj*s_CF_peas),".")</f>
        <v>506.59844474277457</v>
      </c>
      <c r="U8" s="76">
        <f>IFERROR(s_TR/(s_RadSpec!$E8*s_IFPT_res_adj*s_CF_potato),".")</f>
        <v>506.59844474277457</v>
      </c>
      <c r="V8" s="76">
        <f>IFERROR(s_TR/(s_RadSpec!$E8*s_IFPU_res_adj*s_CF_pumpkin),".")</f>
        <v>506.59844474277457</v>
      </c>
      <c r="W8" s="76">
        <f>IFERROR(s_TR/(s_RadSpec!$E8*s_IFSN_res_adj*s_CF_snap_bean),".")</f>
        <v>506.59844474277457</v>
      </c>
      <c r="X8" s="76">
        <f>IFERROR(s_TR/(s_RadSpec!$E8*s_IFST_res_adj*s_CF_strawberry),".")</f>
        <v>506.59844474277457</v>
      </c>
      <c r="Y8" s="76">
        <f>IFERROR(s_TR/(s_RadSpec!$E8*s_IFTO_res_adj*s_CF_tomato),".")</f>
        <v>506.59844474277457</v>
      </c>
      <c r="Z8" s="76">
        <f>IFERROR(s_TR/(s_RadSpec!$E8*s_IFRI_res_adj*s_CF_rice),".")</f>
        <v>506.59844474277457</v>
      </c>
      <c r="AA8" s="76">
        <f>IFERROR(s_TR/(s_RadSpec!$E8*s_IFCG_res_adj*s_CF_cereal),".")</f>
        <v>506.59844474277457</v>
      </c>
      <c r="AB8" s="76">
        <f t="shared" si="27"/>
        <v>126.64961118569364</v>
      </c>
      <c r="AC8" s="76">
        <f>IFERROR(s_TR/(s_RadSpec!$E8*s_IFAP_far_adj*s_CF_apple),".")</f>
        <v>506.59844474277457</v>
      </c>
      <c r="AD8" s="76">
        <f>IFERROR(s_TR/(s_RadSpec!$E8*s_IFAS_far_adj*s_CF_asparagus),".")</f>
        <v>506.59844474277457</v>
      </c>
      <c r="AE8" s="76">
        <f>IFERROR(s_TR/(s_RadSpec!$E8*s_IFBT_far_adj*s_CF_beet),".")</f>
        <v>506.59844474277457</v>
      </c>
      <c r="AF8" s="76">
        <f>IFERROR(s_TR/(s_RadSpec!$E8*s_IFBE_far_adj*s_CF_berries),".")</f>
        <v>506.59844474277457</v>
      </c>
      <c r="AG8" s="76">
        <f>IFERROR(s_TR/(s_RadSpec!$E8*s_IFBR_far_adj*s_CF_broccoli),".")</f>
        <v>506.59844474277457</v>
      </c>
      <c r="AH8" s="76">
        <f>IFERROR(s_TR/(s_RadSpec!$E8*s_IFCB_far_adj*s_CF_cabbage),".")</f>
        <v>506.59844474277457</v>
      </c>
      <c r="AI8" s="76">
        <f>IFERROR(s_TR/(s_RadSpec!$E8*s_IFCR_far_adj*s_CF_carrot),".")</f>
        <v>506.59844474277457</v>
      </c>
      <c r="AJ8" s="76">
        <f>IFERROR(s_TR/(s_RadSpec!$E8*s_IFCI_far_adj*s_CF_citrus),".")</f>
        <v>506.59844474277457</v>
      </c>
      <c r="AK8" s="76">
        <f>IFERROR(s_TR/(s_RadSpec!$E8*s_IFCO_far_adj*s_CF_corn),".")</f>
        <v>506.59844474277457</v>
      </c>
      <c r="AL8" s="76">
        <f>IFERROR(s_TR/(s_RadSpec!$E8*s_IFCU_far_adj*s_CF_cucumber),".")</f>
        <v>506.59844474277457</v>
      </c>
      <c r="AM8" s="76">
        <f>IFERROR(s_TR/(s_RadSpec!$E8*s_IFLE_far_adj*s_CF_lettuce),".")</f>
        <v>506.59844474277457</v>
      </c>
      <c r="AN8" s="76">
        <f>IFERROR(s_TR/(s_RadSpec!$E8*s_IFLI_far_adj*s_CF_lima_bean),".")</f>
        <v>506.59844474277457</v>
      </c>
      <c r="AO8" s="76">
        <f>IFERROR(s_TR/(s_RadSpec!$E8*s_IFOK_far_adj*s_CF_okra),".")</f>
        <v>506.59844474277457</v>
      </c>
      <c r="AP8" s="76">
        <f>IFERROR(s_TR/(s_RadSpec!$E8*s_IFON_far_adj*s_CF_onion),".")</f>
        <v>506.59844474277457</v>
      </c>
      <c r="AQ8" s="76">
        <f>IFERROR(s_TR/(s_RadSpec!$E8*s_IFPC_far_adj*s_CF_peach),".")</f>
        <v>506.59844474277457</v>
      </c>
      <c r="AR8" s="76">
        <f>IFERROR(s_TR/(s_RadSpec!$E8*s_IFPR_far_adj*s_CF_pear),".")</f>
        <v>506.59844474277457</v>
      </c>
      <c r="AS8" s="76">
        <f>IFERROR(s_TR/(s_RadSpec!$E8*s_IFPE_far_adj*s_CF_peas),".")</f>
        <v>506.59844474277457</v>
      </c>
      <c r="AT8" s="76">
        <f>IFERROR(s_TR/(s_RadSpec!$E8*s_IFPT_far_adj*s_CF_potato),".")</f>
        <v>506.59844474277457</v>
      </c>
      <c r="AU8" s="76">
        <f>IFERROR(s_TR/(s_RadSpec!$E8*s_IFPU_far_adj*s_CF_pumpkin),".")</f>
        <v>506.59844474277457</v>
      </c>
      <c r="AV8" s="76">
        <f>IFERROR(s_TR/(s_RadSpec!$E8*s_IFSN_far_adj*s_CF_snap_bean),".")</f>
        <v>506.59844474277457</v>
      </c>
      <c r="AW8" s="76">
        <f>IFERROR(s_TR/(s_RadSpec!$E8*s_IFST_far_adj*s_CF_strawberry),".")</f>
        <v>506.59844474277457</v>
      </c>
      <c r="AX8" s="76">
        <f>IFERROR(s_TR/(s_RadSpec!$E8*s_IFTO_far_adj*s_CF_tomato),".")</f>
        <v>506.59844474277457</v>
      </c>
      <c r="AY8" s="76">
        <f>IFERROR(s_TR/(s_RadSpec!$E8*s_IFRI_far_adj*s_CF_rice),".")</f>
        <v>506.59844474277457</v>
      </c>
      <c r="AZ8" s="76">
        <f>IFERROR(s_TR/(s_RadSpec!$E8*s_IFCG_far_adj*s_CF_cereal),".")</f>
        <v>506.59844474277457</v>
      </c>
      <c r="BA8" s="93">
        <f t="shared" si="1"/>
        <v>55000</v>
      </c>
      <c r="BB8" s="93">
        <f t="shared" si="2"/>
        <v>13750</v>
      </c>
      <c r="BC8" s="93">
        <f t="shared" si="3"/>
        <v>13750</v>
      </c>
      <c r="BD8" s="93">
        <f t="shared" si="4"/>
        <v>13750</v>
      </c>
      <c r="BE8" s="93">
        <f t="shared" si="5"/>
        <v>13750</v>
      </c>
      <c r="BF8" s="93">
        <f t="shared" si="6"/>
        <v>13750</v>
      </c>
      <c r="BG8" s="93">
        <f t="shared" si="7"/>
        <v>13750</v>
      </c>
      <c r="BH8" s="93">
        <f t="shared" si="8"/>
        <v>13750</v>
      </c>
      <c r="BI8" s="93">
        <f t="shared" si="9"/>
        <v>13750</v>
      </c>
      <c r="BJ8" s="93">
        <f t="shared" si="10"/>
        <v>13750</v>
      </c>
      <c r="BK8" s="93">
        <f t="shared" si="11"/>
        <v>13750</v>
      </c>
      <c r="BL8" s="93">
        <f t="shared" si="12"/>
        <v>13750</v>
      </c>
      <c r="BM8" s="93">
        <f t="shared" si="13"/>
        <v>13750</v>
      </c>
      <c r="BN8" s="93">
        <f t="shared" si="14"/>
        <v>13750</v>
      </c>
      <c r="BO8" s="93">
        <f t="shared" si="15"/>
        <v>13750</v>
      </c>
      <c r="BP8" s="93">
        <f t="shared" si="16"/>
        <v>13750</v>
      </c>
      <c r="BQ8" s="93">
        <f t="shared" si="17"/>
        <v>13750</v>
      </c>
      <c r="BR8" s="93">
        <f t="shared" si="18"/>
        <v>13750</v>
      </c>
      <c r="BS8" s="93">
        <f t="shared" si="19"/>
        <v>13750</v>
      </c>
      <c r="BT8" s="93">
        <f t="shared" si="20"/>
        <v>13750</v>
      </c>
      <c r="BU8" s="93">
        <f t="shared" si="21"/>
        <v>13750</v>
      </c>
      <c r="BV8" s="93">
        <f t="shared" si="22"/>
        <v>13750</v>
      </c>
      <c r="BW8" s="93">
        <f t="shared" si="23"/>
        <v>13750</v>
      </c>
      <c r="BX8" s="93">
        <f t="shared" si="24"/>
        <v>13750</v>
      </c>
      <c r="BY8" s="93">
        <f t="shared" si="25"/>
        <v>13750</v>
      </c>
    </row>
    <row r="9" spans="1:77" x14ac:dyDescent="0.25">
      <c r="A9" s="92" t="s">
        <v>19</v>
      </c>
      <c r="B9" s="90" t="s">
        <v>1074</v>
      </c>
      <c r="C9" s="76">
        <f t="shared" si="26"/>
        <v>342.67816694594933</v>
      </c>
      <c r="D9" s="76">
        <f>IFERROR(s_TR/(s_RadSpec!$E9*s_IFAP_res_adj*s_CF_apple),".")</f>
        <v>1370.7126677837973</v>
      </c>
      <c r="E9" s="76">
        <f>IFERROR(s_TR/(s_RadSpec!$E9*s_IFAS_res_adj*s_CF_asparagus),".")</f>
        <v>1370.7126677837973</v>
      </c>
      <c r="F9" s="76">
        <f>IFERROR(s_TR/(s_RadSpec!$E9*s_IFBT_res_adj*s_CF_beet),".")</f>
        <v>1370.7126677837973</v>
      </c>
      <c r="G9" s="76">
        <f>IFERROR(s_TR/(s_RadSpec!$E9*s_IFBE_res_adj*s_CF_berries),".")</f>
        <v>1370.7126677837973</v>
      </c>
      <c r="H9" s="76">
        <f>IFERROR(s_TR/(s_RadSpec!$E9*s_IFBR_res_adj*s_CF_broccoli),".")</f>
        <v>1370.7126677837973</v>
      </c>
      <c r="I9" s="76">
        <f>IFERROR(s_TR/(s_RadSpec!$E9*s_IFCB_res_adj*s_CF_cabbage),".")</f>
        <v>1370.7126677837973</v>
      </c>
      <c r="J9" s="76">
        <f>IFERROR(s_TR/(s_RadSpec!$E9*s_IFCR_res_adj*s_CF_carrot),".")</f>
        <v>1370.7126677837973</v>
      </c>
      <c r="K9" s="76">
        <f>IFERROR(s_TR/(s_RadSpec!$E9*s_IFCI_res_adj*s_CF_citrus),".")</f>
        <v>1370.7126677837973</v>
      </c>
      <c r="L9" s="76">
        <f>IFERROR(s_TR/(s_RadSpec!$E9*s_IFCO_res_adj*s_CF_corn),".")</f>
        <v>1370.7126677837973</v>
      </c>
      <c r="M9" s="76">
        <f>IFERROR(s_TR/(s_RadSpec!$E9*s_IFCU_res_adj*s_CF_cucumber),".")</f>
        <v>1370.7126677837973</v>
      </c>
      <c r="N9" s="76">
        <f>IFERROR(s_TR/(s_RadSpec!$E9*s_IFLE_res_adj*s_CF_lettuce),".")</f>
        <v>1370.7126677837973</v>
      </c>
      <c r="O9" s="76">
        <f>IFERROR(s_TR/(s_RadSpec!$E9*s_IFLI_res_adj*s_CF_lima_bean),".")</f>
        <v>1370.7126677837973</v>
      </c>
      <c r="P9" s="76">
        <f>IFERROR(s_TR/(s_RadSpec!$E9*s_IFOK_res_adj*s_CF_okra),".")</f>
        <v>1370.7126677837973</v>
      </c>
      <c r="Q9" s="76">
        <f>IFERROR(s_TR/(s_RadSpec!$E9*s_IFON_res_adj*s_CF_onion),".")</f>
        <v>1370.7126677837973</v>
      </c>
      <c r="R9" s="76">
        <f>IFERROR(s_TR/(s_RadSpec!$E9*s_IFPC_res_adj*s_CF_peach),".")</f>
        <v>1370.7126677837973</v>
      </c>
      <c r="S9" s="76">
        <f>IFERROR(s_TR/(s_RadSpec!$E9*s_IFPR_res_adj*s_CF_pear),".")</f>
        <v>1370.7126677837973</v>
      </c>
      <c r="T9" s="76">
        <f>IFERROR(s_TR/(s_RadSpec!$E9*s_IFPE_res_adj*s_CF_peas),".")</f>
        <v>1370.7126677837973</v>
      </c>
      <c r="U9" s="76">
        <f>IFERROR(s_TR/(s_RadSpec!$E9*s_IFPT_res_adj*s_CF_potato),".")</f>
        <v>1370.7126677837973</v>
      </c>
      <c r="V9" s="76">
        <f>IFERROR(s_TR/(s_RadSpec!$E9*s_IFPU_res_adj*s_CF_pumpkin),".")</f>
        <v>1370.7126677837973</v>
      </c>
      <c r="W9" s="76">
        <f>IFERROR(s_TR/(s_RadSpec!$E9*s_IFSN_res_adj*s_CF_snap_bean),".")</f>
        <v>1370.7126677837973</v>
      </c>
      <c r="X9" s="76">
        <f>IFERROR(s_TR/(s_RadSpec!$E9*s_IFST_res_adj*s_CF_strawberry),".")</f>
        <v>1370.7126677837973</v>
      </c>
      <c r="Y9" s="76">
        <f>IFERROR(s_TR/(s_RadSpec!$E9*s_IFTO_res_adj*s_CF_tomato),".")</f>
        <v>1370.7126677837973</v>
      </c>
      <c r="Z9" s="76">
        <f>IFERROR(s_TR/(s_RadSpec!$E9*s_IFRI_res_adj*s_CF_rice),".")</f>
        <v>1370.7126677837973</v>
      </c>
      <c r="AA9" s="76">
        <f>IFERROR(s_TR/(s_RadSpec!$E9*s_IFCG_res_adj*s_CF_cereal),".")</f>
        <v>1370.7126677837973</v>
      </c>
      <c r="AB9" s="76">
        <f t="shared" si="27"/>
        <v>342.67816694594933</v>
      </c>
      <c r="AC9" s="76">
        <f>IFERROR(s_TR/(s_RadSpec!$E9*s_IFAP_far_adj*s_CF_apple),".")</f>
        <v>1370.7126677837973</v>
      </c>
      <c r="AD9" s="76">
        <f>IFERROR(s_TR/(s_RadSpec!$E9*s_IFAS_far_adj*s_CF_asparagus),".")</f>
        <v>1370.7126677837973</v>
      </c>
      <c r="AE9" s="76">
        <f>IFERROR(s_TR/(s_RadSpec!$E9*s_IFBT_far_adj*s_CF_beet),".")</f>
        <v>1370.7126677837973</v>
      </c>
      <c r="AF9" s="76">
        <f>IFERROR(s_TR/(s_RadSpec!$E9*s_IFBE_far_adj*s_CF_berries),".")</f>
        <v>1370.7126677837973</v>
      </c>
      <c r="AG9" s="76">
        <f>IFERROR(s_TR/(s_RadSpec!$E9*s_IFBR_far_adj*s_CF_broccoli),".")</f>
        <v>1370.7126677837973</v>
      </c>
      <c r="AH9" s="76">
        <f>IFERROR(s_TR/(s_RadSpec!$E9*s_IFCB_far_adj*s_CF_cabbage),".")</f>
        <v>1370.7126677837973</v>
      </c>
      <c r="AI9" s="76">
        <f>IFERROR(s_TR/(s_RadSpec!$E9*s_IFCR_far_adj*s_CF_carrot),".")</f>
        <v>1370.7126677837973</v>
      </c>
      <c r="AJ9" s="76">
        <f>IFERROR(s_TR/(s_RadSpec!$E9*s_IFCI_far_adj*s_CF_citrus),".")</f>
        <v>1370.7126677837973</v>
      </c>
      <c r="AK9" s="76">
        <f>IFERROR(s_TR/(s_RadSpec!$E9*s_IFCO_far_adj*s_CF_corn),".")</f>
        <v>1370.7126677837973</v>
      </c>
      <c r="AL9" s="76">
        <f>IFERROR(s_TR/(s_RadSpec!$E9*s_IFCU_far_adj*s_CF_cucumber),".")</f>
        <v>1370.7126677837973</v>
      </c>
      <c r="AM9" s="76">
        <f>IFERROR(s_TR/(s_RadSpec!$E9*s_IFLE_far_adj*s_CF_lettuce),".")</f>
        <v>1370.7126677837973</v>
      </c>
      <c r="AN9" s="76">
        <f>IFERROR(s_TR/(s_RadSpec!$E9*s_IFLI_far_adj*s_CF_lima_bean),".")</f>
        <v>1370.7126677837973</v>
      </c>
      <c r="AO9" s="76">
        <f>IFERROR(s_TR/(s_RadSpec!$E9*s_IFOK_far_adj*s_CF_okra),".")</f>
        <v>1370.7126677837973</v>
      </c>
      <c r="AP9" s="76">
        <f>IFERROR(s_TR/(s_RadSpec!$E9*s_IFON_far_adj*s_CF_onion),".")</f>
        <v>1370.7126677837973</v>
      </c>
      <c r="AQ9" s="76">
        <f>IFERROR(s_TR/(s_RadSpec!$E9*s_IFPC_far_adj*s_CF_peach),".")</f>
        <v>1370.7126677837973</v>
      </c>
      <c r="AR9" s="76">
        <f>IFERROR(s_TR/(s_RadSpec!$E9*s_IFPR_far_adj*s_CF_pear),".")</f>
        <v>1370.7126677837973</v>
      </c>
      <c r="AS9" s="76">
        <f>IFERROR(s_TR/(s_RadSpec!$E9*s_IFPE_far_adj*s_CF_peas),".")</f>
        <v>1370.7126677837973</v>
      </c>
      <c r="AT9" s="76">
        <f>IFERROR(s_TR/(s_RadSpec!$E9*s_IFPT_far_adj*s_CF_potato),".")</f>
        <v>1370.7126677837973</v>
      </c>
      <c r="AU9" s="76">
        <f>IFERROR(s_TR/(s_RadSpec!$E9*s_IFPU_far_adj*s_CF_pumpkin),".")</f>
        <v>1370.7126677837973</v>
      </c>
      <c r="AV9" s="76">
        <f>IFERROR(s_TR/(s_RadSpec!$E9*s_IFSN_far_adj*s_CF_snap_bean),".")</f>
        <v>1370.7126677837973</v>
      </c>
      <c r="AW9" s="76">
        <f>IFERROR(s_TR/(s_RadSpec!$E9*s_IFST_far_adj*s_CF_strawberry),".")</f>
        <v>1370.7126677837973</v>
      </c>
      <c r="AX9" s="76">
        <f>IFERROR(s_TR/(s_RadSpec!$E9*s_IFTO_far_adj*s_CF_tomato),".")</f>
        <v>1370.7126677837973</v>
      </c>
      <c r="AY9" s="76">
        <f>IFERROR(s_TR/(s_RadSpec!$E9*s_IFRI_far_adj*s_CF_rice),".")</f>
        <v>1370.7126677837973</v>
      </c>
      <c r="AZ9" s="76">
        <f>IFERROR(s_TR/(s_RadSpec!$E9*s_IFCG_far_adj*s_CF_cereal),".")</f>
        <v>1370.7126677837973</v>
      </c>
      <c r="BA9" s="93">
        <f t="shared" si="1"/>
        <v>55000</v>
      </c>
      <c r="BB9" s="93">
        <f t="shared" si="2"/>
        <v>13750</v>
      </c>
      <c r="BC9" s="93">
        <f t="shared" si="3"/>
        <v>13750</v>
      </c>
      <c r="BD9" s="93">
        <f t="shared" si="4"/>
        <v>13750</v>
      </c>
      <c r="BE9" s="93">
        <f t="shared" si="5"/>
        <v>13750</v>
      </c>
      <c r="BF9" s="93">
        <f t="shared" si="6"/>
        <v>13750</v>
      </c>
      <c r="BG9" s="93">
        <f t="shared" si="7"/>
        <v>13750</v>
      </c>
      <c r="BH9" s="93">
        <f t="shared" si="8"/>
        <v>13750</v>
      </c>
      <c r="BI9" s="93">
        <f t="shared" si="9"/>
        <v>13750</v>
      </c>
      <c r="BJ9" s="93">
        <f t="shared" si="10"/>
        <v>13750</v>
      </c>
      <c r="BK9" s="93">
        <f t="shared" si="11"/>
        <v>13750</v>
      </c>
      <c r="BL9" s="93">
        <f t="shared" si="12"/>
        <v>13750</v>
      </c>
      <c r="BM9" s="93">
        <f t="shared" si="13"/>
        <v>13750</v>
      </c>
      <c r="BN9" s="93">
        <f t="shared" si="14"/>
        <v>13750</v>
      </c>
      <c r="BO9" s="93">
        <f t="shared" si="15"/>
        <v>13750</v>
      </c>
      <c r="BP9" s="93">
        <f t="shared" si="16"/>
        <v>13750</v>
      </c>
      <c r="BQ9" s="93">
        <f t="shared" si="17"/>
        <v>13750</v>
      </c>
      <c r="BR9" s="93">
        <f t="shared" si="18"/>
        <v>13750</v>
      </c>
      <c r="BS9" s="93">
        <f t="shared" si="19"/>
        <v>13750</v>
      </c>
      <c r="BT9" s="93">
        <f t="shared" si="20"/>
        <v>13750</v>
      </c>
      <c r="BU9" s="93">
        <f t="shared" si="21"/>
        <v>13750</v>
      </c>
      <c r="BV9" s="93">
        <f t="shared" si="22"/>
        <v>13750</v>
      </c>
      <c r="BW9" s="93">
        <f t="shared" si="23"/>
        <v>13750</v>
      </c>
      <c r="BX9" s="93">
        <f t="shared" si="24"/>
        <v>13750</v>
      </c>
      <c r="BY9" s="93">
        <f t="shared" si="25"/>
        <v>13750</v>
      </c>
    </row>
    <row r="10" spans="1:77" x14ac:dyDescent="0.25">
      <c r="A10" s="94" t="s">
        <v>20</v>
      </c>
      <c r="B10" s="90" t="s">
        <v>351</v>
      </c>
      <c r="C10" s="76">
        <f t="shared" si="26"/>
        <v>2.4326757000024322</v>
      </c>
      <c r="D10" s="76">
        <f>IFERROR(s_TR/(s_RadSpec!$E10*s_IFAP_res_adj*s_CF_apple),".")</f>
        <v>9.7307028000097286</v>
      </c>
      <c r="E10" s="76">
        <f>IFERROR(s_TR/(s_RadSpec!$E10*s_IFAS_res_adj*s_CF_asparagus),".")</f>
        <v>9.7307028000097286</v>
      </c>
      <c r="F10" s="76">
        <f>IFERROR(s_TR/(s_RadSpec!$E10*s_IFBT_res_adj*s_CF_beet),".")</f>
        <v>9.7307028000097286</v>
      </c>
      <c r="G10" s="76">
        <f>IFERROR(s_TR/(s_RadSpec!$E10*s_IFBE_res_adj*s_CF_berries),".")</f>
        <v>9.7307028000097286</v>
      </c>
      <c r="H10" s="76">
        <f>IFERROR(s_TR/(s_RadSpec!$E10*s_IFBR_res_adj*s_CF_broccoli),".")</f>
        <v>9.7307028000097286</v>
      </c>
      <c r="I10" s="76">
        <f>IFERROR(s_TR/(s_RadSpec!$E10*s_IFCB_res_adj*s_CF_cabbage),".")</f>
        <v>9.7307028000097286</v>
      </c>
      <c r="J10" s="76">
        <f>IFERROR(s_TR/(s_RadSpec!$E10*s_IFCR_res_adj*s_CF_carrot),".")</f>
        <v>9.7307028000097286</v>
      </c>
      <c r="K10" s="76">
        <f>IFERROR(s_TR/(s_RadSpec!$E10*s_IFCI_res_adj*s_CF_citrus),".")</f>
        <v>9.7307028000097286</v>
      </c>
      <c r="L10" s="76">
        <f>IFERROR(s_TR/(s_RadSpec!$E10*s_IFCO_res_adj*s_CF_corn),".")</f>
        <v>9.7307028000097286</v>
      </c>
      <c r="M10" s="76">
        <f>IFERROR(s_TR/(s_RadSpec!$E10*s_IFCU_res_adj*s_CF_cucumber),".")</f>
        <v>9.7307028000097286</v>
      </c>
      <c r="N10" s="76">
        <f>IFERROR(s_TR/(s_RadSpec!$E10*s_IFLE_res_adj*s_CF_lettuce),".")</f>
        <v>9.7307028000097286</v>
      </c>
      <c r="O10" s="76">
        <f>IFERROR(s_TR/(s_RadSpec!$E10*s_IFLI_res_adj*s_CF_lima_bean),".")</f>
        <v>9.7307028000097286</v>
      </c>
      <c r="P10" s="76">
        <f>IFERROR(s_TR/(s_RadSpec!$E10*s_IFOK_res_adj*s_CF_okra),".")</f>
        <v>9.7307028000097286</v>
      </c>
      <c r="Q10" s="76">
        <f>IFERROR(s_TR/(s_RadSpec!$E10*s_IFON_res_adj*s_CF_onion),".")</f>
        <v>9.7307028000097286</v>
      </c>
      <c r="R10" s="76">
        <f>IFERROR(s_TR/(s_RadSpec!$E10*s_IFPC_res_adj*s_CF_peach),".")</f>
        <v>9.7307028000097286</v>
      </c>
      <c r="S10" s="76">
        <f>IFERROR(s_TR/(s_RadSpec!$E10*s_IFPR_res_adj*s_CF_pear),".")</f>
        <v>9.7307028000097286</v>
      </c>
      <c r="T10" s="76">
        <f>IFERROR(s_TR/(s_RadSpec!$E10*s_IFPE_res_adj*s_CF_peas),".")</f>
        <v>9.7307028000097286</v>
      </c>
      <c r="U10" s="76">
        <f>IFERROR(s_TR/(s_RadSpec!$E10*s_IFPT_res_adj*s_CF_potato),".")</f>
        <v>9.7307028000097286</v>
      </c>
      <c r="V10" s="76">
        <f>IFERROR(s_TR/(s_RadSpec!$E10*s_IFPU_res_adj*s_CF_pumpkin),".")</f>
        <v>9.7307028000097286</v>
      </c>
      <c r="W10" s="76">
        <f>IFERROR(s_TR/(s_RadSpec!$E10*s_IFSN_res_adj*s_CF_snap_bean),".")</f>
        <v>9.7307028000097286</v>
      </c>
      <c r="X10" s="76">
        <f>IFERROR(s_TR/(s_RadSpec!$E10*s_IFST_res_adj*s_CF_strawberry),".")</f>
        <v>9.7307028000097286</v>
      </c>
      <c r="Y10" s="76">
        <f>IFERROR(s_TR/(s_RadSpec!$E10*s_IFTO_res_adj*s_CF_tomato),".")</f>
        <v>9.7307028000097286</v>
      </c>
      <c r="Z10" s="76">
        <f>IFERROR(s_TR/(s_RadSpec!$E10*s_IFRI_res_adj*s_CF_rice),".")</f>
        <v>9.7307028000097286</v>
      </c>
      <c r="AA10" s="76">
        <f>IFERROR(s_TR/(s_RadSpec!$E10*s_IFCG_res_adj*s_CF_cereal),".")</f>
        <v>9.7307028000097286</v>
      </c>
      <c r="AB10" s="76">
        <f t="shared" si="27"/>
        <v>2.4326757000024322</v>
      </c>
      <c r="AC10" s="76">
        <f>IFERROR(s_TR/(s_RadSpec!$E10*s_IFAP_far_adj*s_CF_apple),".")</f>
        <v>9.7307028000097286</v>
      </c>
      <c r="AD10" s="76">
        <f>IFERROR(s_TR/(s_RadSpec!$E10*s_IFAS_far_adj*s_CF_asparagus),".")</f>
        <v>9.7307028000097286</v>
      </c>
      <c r="AE10" s="76">
        <f>IFERROR(s_TR/(s_RadSpec!$E10*s_IFBT_far_adj*s_CF_beet),".")</f>
        <v>9.7307028000097286</v>
      </c>
      <c r="AF10" s="76">
        <f>IFERROR(s_TR/(s_RadSpec!$E10*s_IFBE_far_adj*s_CF_berries),".")</f>
        <v>9.7307028000097286</v>
      </c>
      <c r="AG10" s="76">
        <f>IFERROR(s_TR/(s_RadSpec!$E10*s_IFBR_far_adj*s_CF_broccoli),".")</f>
        <v>9.7307028000097286</v>
      </c>
      <c r="AH10" s="76">
        <f>IFERROR(s_TR/(s_RadSpec!$E10*s_IFCB_far_adj*s_CF_cabbage),".")</f>
        <v>9.7307028000097286</v>
      </c>
      <c r="AI10" s="76">
        <f>IFERROR(s_TR/(s_RadSpec!$E10*s_IFCR_far_adj*s_CF_carrot),".")</f>
        <v>9.7307028000097286</v>
      </c>
      <c r="AJ10" s="76">
        <f>IFERROR(s_TR/(s_RadSpec!$E10*s_IFCI_far_adj*s_CF_citrus),".")</f>
        <v>9.7307028000097286</v>
      </c>
      <c r="AK10" s="76">
        <f>IFERROR(s_TR/(s_RadSpec!$E10*s_IFCO_far_adj*s_CF_corn),".")</f>
        <v>9.7307028000097286</v>
      </c>
      <c r="AL10" s="76">
        <f>IFERROR(s_TR/(s_RadSpec!$E10*s_IFCU_far_adj*s_CF_cucumber),".")</f>
        <v>9.7307028000097286</v>
      </c>
      <c r="AM10" s="76">
        <f>IFERROR(s_TR/(s_RadSpec!$E10*s_IFLE_far_adj*s_CF_lettuce),".")</f>
        <v>9.7307028000097286</v>
      </c>
      <c r="AN10" s="76">
        <f>IFERROR(s_TR/(s_RadSpec!$E10*s_IFLI_far_adj*s_CF_lima_bean),".")</f>
        <v>9.7307028000097286</v>
      </c>
      <c r="AO10" s="76">
        <f>IFERROR(s_TR/(s_RadSpec!$E10*s_IFOK_far_adj*s_CF_okra),".")</f>
        <v>9.7307028000097286</v>
      </c>
      <c r="AP10" s="76">
        <f>IFERROR(s_TR/(s_RadSpec!$E10*s_IFON_far_adj*s_CF_onion),".")</f>
        <v>9.7307028000097286</v>
      </c>
      <c r="AQ10" s="76">
        <f>IFERROR(s_TR/(s_RadSpec!$E10*s_IFPC_far_adj*s_CF_peach),".")</f>
        <v>9.7307028000097286</v>
      </c>
      <c r="AR10" s="76">
        <f>IFERROR(s_TR/(s_RadSpec!$E10*s_IFPR_far_adj*s_CF_pear),".")</f>
        <v>9.7307028000097286</v>
      </c>
      <c r="AS10" s="76">
        <f>IFERROR(s_TR/(s_RadSpec!$E10*s_IFPE_far_adj*s_CF_peas),".")</f>
        <v>9.7307028000097286</v>
      </c>
      <c r="AT10" s="76">
        <f>IFERROR(s_TR/(s_RadSpec!$E10*s_IFPT_far_adj*s_CF_potato),".")</f>
        <v>9.7307028000097286</v>
      </c>
      <c r="AU10" s="76">
        <f>IFERROR(s_TR/(s_RadSpec!$E10*s_IFPU_far_adj*s_CF_pumpkin),".")</f>
        <v>9.7307028000097286</v>
      </c>
      <c r="AV10" s="76">
        <f>IFERROR(s_TR/(s_RadSpec!$E10*s_IFSN_far_adj*s_CF_snap_bean),".")</f>
        <v>9.7307028000097286</v>
      </c>
      <c r="AW10" s="76">
        <f>IFERROR(s_TR/(s_RadSpec!$E10*s_IFST_far_adj*s_CF_strawberry),".")</f>
        <v>9.7307028000097286</v>
      </c>
      <c r="AX10" s="76">
        <f>IFERROR(s_TR/(s_RadSpec!$E10*s_IFTO_far_adj*s_CF_tomato),".")</f>
        <v>9.7307028000097286</v>
      </c>
      <c r="AY10" s="76">
        <f>IFERROR(s_TR/(s_RadSpec!$E10*s_IFRI_far_adj*s_CF_rice),".")</f>
        <v>9.7307028000097286</v>
      </c>
      <c r="AZ10" s="76">
        <f>IFERROR(s_TR/(s_RadSpec!$E10*s_IFCG_far_adj*s_CF_cereal),".")</f>
        <v>9.7307028000097286</v>
      </c>
      <c r="BA10" s="93">
        <f t="shared" si="1"/>
        <v>55000</v>
      </c>
      <c r="BB10" s="93">
        <f t="shared" si="2"/>
        <v>13750</v>
      </c>
      <c r="BC10" s="93">
        <f t="shared" si="3"/>
        <v>13750</v>
      </c>
      <c r="BD10" s="93">
        <f t="shared" si="4"/>
        <v>13750</v>
      </c>
      <c r="BE10" s="93">
        <f t="shared" si="5"/>
        <v>13750</v>
      </c>
      <c r="BF10" s="93">
        <f t="shared" si="6"/>
        <v>13750</v>
      </c>
      <c r="BG10" s="93">
        <f t="shared" si="7"/>
        <v>13750</v>
      </c>
      <c r="BH10" s="93">
        <f t="shared" si="8"/>
        <v>13750</v>
      </c>
      <c r="BI10" s="93">
        <f t="shared" si="9"/>
        <v>13750</v>
      </c>
      <c r="BJ10" s="93">
        <f t="shared" si="10"/>
        <v>13750</v>
      </c>
      <c r="BK10" s="93">
        <f t="shared" si="11"/>
        <v>13750</v>
      </c>
      <c r="BL10" s="93">
        <f t="shared" si="12"/>
        <v>13750</v>
      </c>
      <c r="BM10" s="93">
        <f t="shared" si="13"/>
        <v>13750</v>
      </c>
      <c r="BN10" s="93">
        <f t="shared" si="14"/>
        <v>13750</v>
      </c>
      <c r="BO10" s="93">
        <f t="shared" si="15"/>
        <v>13750</v>
      </c>
      <c r="BP10" s="93">
        <f t="shared" si="16"/>
        <v>13750</v>
      </c>
      <c r="BQ10" s="93">
        <f t="shared" si="17"/>
        <v>13750</v>
      </c>
      <c r="BR10" s="93">
        <f t="shared" si="18"/>
        <v>13750</v>
      </c>
      <c r="BS10" s="93">
        <f t="shared" si="19"/>
        <v>13750</v>
      </c>
      <c r="BT10" s="93">
        <f t="shared" si="20"/>
        <v>13750</v>
      </c>
      <c r="BU10" s="93">
        <f t="shared" si="21"/>
        <v>13750</v>
      </c>
      <c r="BV10" s="93">
        <f t="shared" si="22"/>
        <v>13750</v>
      </c>
      <c r="BW10" s="93">
        <f t="shared" si="23"/>
        <v>13750</v>
      </c>
      <c r="BX10" s="93">
        <f t="shared" si="24"/>
        <v>13750</v>
      </c>
      <c r="BY10" s="93">
        <f t="shared" si="25"/>
        <v>13750</v>
      </c>
    </row>
    <row r="11" spans="1:77" x14ac:dyDescent="0.25">
      <c r="A11" s="92" t="s">
        <v>21</v>
      </c>
      <c r="B11" s="90" t="s">
        <v>1074</v>
      </c>
      <c r="C11" s="76" t="str">
        <f t="shared" si="26"/>
        <v>.</v>
      </c>
      <c r="D11" s="76" t="str">
        <f>IFERROR(s_TR/(s_RadSpec!$E11*s_IFAP_res_adj*s_CF_apple),".")</f>
        <v>.</v>
      </c>
      <c r="E11" s="76" t="str">
        <f>IFERROR(s_TR/(s_RadSpec!$E11*s_IFAS_res_adj*s_CF_asparagus),".")</f>
        <v>.</v>
      </c>
      <c r="F11" s="76" t="str">
        <f>IFERROR(s_TR/(s_RadSpec!$E11*s_IFBT_res_adj*s_CF_beet),".")</f>
        <v>.</v>
      </c>
      <c r="G11" s="76" t="str">
        <f>IFERROR(s_TR/(s_RadSpec!$E11*s_IFBE_res_adj*s_CF_berries),".")</f>
        <v>.</v>
      </c>
      <c r="H11" s="76" t="str">
        <f>IFERROR(s_TR/(s_RadSpec!$E11*s_IFBR_res_adj*s_CF_broccoli),".")</f>
        <v>.</v>
      </c>
      <c r="I11" s="76" t="str">
        <f>IFERROR(s_TR/(s_RadSpec!$E11*s_IFCB_res_adj*s_CF_cabbage),".")</f>
        <v>.</v>
      </c>
      <c r="J11" s="76" t="str">
        <f>IFERROR(s_TR/(s_RadSpec!$E11*s_IFCR_res_adj*s_CF_carrot),".")</f>
        <v>.</v>
      </c>
      <c r="K11" s="76" t="str">
        <f>IFERROR(s_TR/(s_RadSpec!$E11*s_IFCI_res_adj*s_CF_citrus),".")</f>
        <v>.</v>
      </c>
      <c r="L11" s="76" t="str">
        <f>IFERROR(s_TR/(s_RadSpec!$E11*s_IFCO_res_adj*s_CF_corn),".")</f>
        <v>.</v>
      </c>
      <c r="M11" s="76" t="str">
        <f>IFERROR(s_TR/(s_RadSpec!$E11*s_IFCU_res_adj*s_CF_cucumber),".")</f>
        <v>.</v>
      </c>
      <c r="N11" s="76" t="str">
        <f>IFERROR(s_TR/(s_RadSpec!$E11*s_IFLE_res_adj*s_CF_lettuce),".")</f>
        <v>.</v>
      </c>
      <c r="O11" s="76" t="str">
        <f>IFERROR(s_TR/(s_RadSpec!$E11*s_IFLI_res_adj*s_CF_lima_bean),".")</f>
        <v>.</v>
      </c>
      <c r="P11" s="76" t="str">
        <f>IFERROR(s_TR/(s_RadSpec!$E11*s_IFOK_res_adj*s_CF_okra),".")</f>
        <v>.</v>
      </c>
      <c r="Q11" s="76" t="str">
        <f>IFERROR(s_TR/(s_RadSpec!$E11*s_IFON_res_adj*s_CF_onion),".")</f>
        <v>.</v>
      </c>
      <c r="R11" s="76" t="str">
        <f>IFERROR(s_TR/(s_RadSpec!$E11*s_IFPC_res_adj*s_CF_peach),".")</f>
        <v>.</v>
      </c>
      <c r="S11" s="76" t="str">
        <f>IFERROR(s_TR/(s_RadSpec!$E11*s_IFPR_res_adj*s_CF_pear),".")</f>
        <v>.</v>
      </c>
      <c r="T11" s="76" t="str">
        <f>IFERROR(s_TR/(s_RadSpec!$E11*s_IFPE_res_adj*s_CF_peas),".")</f>
        <v>.</v>
      </c>
      <c r="U11" s="76" t="str">
        <f>IFERROR(s_TR/(s_RadSpec!$E11*s_IFPT_res_adj*s_CF_potato),".")</f>
        <v>.</v>
      </c>
      <c r="V11" s="76" t="str">
        <f>IFERROR(s_TR/(s_RadSpec!$E11*s_IFPU_res_adj*s_CF_pumpkin),".")</f>
        <v>.</v>
      </c>
      <c r="W11" s="76" t="str">
        <f>IFERROR(s_TR/(s_RadSpec!$E11*s_IFSN_res_adj*s_CF_snap_bean),".")</f>
        <v>.</v>
      </c>
      <c r="X11" s="76" t="str">
        <f>IFERROR(s_TR/(s_RadSpec!$E11*s_IFST_res_adj*s_CF_strawberry),".")</f>
        <v>.</v>
      </c>
      <c r="Y11" s="76" t="str">
        <f>IFERROR(s_TR/(s_RadSpec!$E11*s_IFTO_res_adj*s_CF_tomato),".")</f>
        <v>.</v>
      </c>
      <c r="Z11" s="76" t="str">
        <f>IFERROR(s_TR/(s_RadSpec!$E11*s_IFRI_res_adj*s_CF_rice),".")</f>
        <v>.</v>
      </c>
      <c r="AA11" s="76" t="str">
        <f>IFERROR(s_TR/(s_RadSpec!$E11*s_IFCG_res_adj*s_CF_cereal),".")</f>
        <v>.</v>
      </c>
      <c r="AB11" s="76" t="str">
        <f t="shared" si="27"/>
        <v>.</v>
      </c>
      <c r="AC11" s="76" t="str">
        <f>IFERROR(s_TR/(s_RadSpec!$E11*s_IFAP_far_adj*s_CF_apple),".")</f>
        <v>.</v>
      </c>
      <c r="AD11" s="76" t="str">
        <f>IFERROR(s_TR/(s_RadSpec!$E11*s_IFAS_far_adj*s_CF_asparagus),".")</f>
        <v>.</v>
      </c>
      <c r="AE11" s="76" t="str">
        <f>IFERROR(s_TR/(s_RadSpec!$E11*s_IFBT_far_adj*s_CF_beet),".")</f>
        <v>.</v>
      </c>
      <c r="AF11" s="76" t="str">
        <f>IFERROR(s_TR/(s_RadSpec!$E11*s_IFBE_far_adj*s_CF_berries),".")</f>
        <v>.</v>
      </c>
      <c r="AG11" s="76" t="str">
        <f>IFERROR(s_TR/(s_RadSpec!$E11*s_IFBR_far_adj*s_CF_broccoli),".")</f>
        <v>.</v>
      </c>
      <c r="AH11" s="76" t="str">
        <f>IFERROR(s_TR/(s_RadSpec!$E11*s_IFCB_far_adj*s_CF_cabbage),".")</f>
        <v>.</v>
      </c>
      <c r="AI11" s="76" t="str">
        <f>IFERROR(s_TR/(s_RadSpec!$E11*s_IFCR_far_adj*s_CF_carrot),".")</f>
        <v>.</v>
      </c>
      <c r="AJ11" s="76" t="str">
        <f>IFERROR(s_TR/(s_RadSpec!$E11*s_IFCI_far_adj*s_CF_citrus),".")</f>
        <v>.</v>
      </c>
      <c r="AK11" s="76" t="str">
        <f>IFERROR(s_TR/(s_RadSpec!$E11*s_IFCO_far_adj*s_CF_corn),".")</f>
        <v>.</v>
      </c>
      <c r="AL11" s="76" t="str">
        <f>IFERROR(s_TR/(s_RadSpec!$E11*s_IFCU_far_adj*s_CF_cucumber),".")</f>
        <v>.</v>
      </c>
      <c r="AM11" s="76" t="str">
        <f>IFERROR(s_TR/(s_RadSpec!$E11*s_IFLE_far_adj*s_CF_lettuce),".")</f>
        <v>.</v>
      </c>
      <c r="AN11" s="76" t="str">
        <f>IFERROR(s_TR/(s_RadSpec!$E11*s_IFLI_far_adj*s_CF_lima_bean),".")</f>
        <v>.</v>
      </c>
      <c r="AO11" s="76" t="str">
        <f>IFERROR(s_TR/(s_RadSpec!$E11*s_IFOK_far_adj*s_CF_okra),".")</f>
        <v>.</v>
      </c>
      <c r="AP11" s="76" t="str">
        <f>IFERROR(s_TR/(s_RadSpec!$E11*s_IFON_far_adj*s_CF_onion),".")</f>
        <v>.</v>
      </c>
      <c r="AQ11" s="76" t="str">
        <f>IFERROR(s_TR/(s_RadSpec!$E11*s_IFPC_far_adj*s_CF_peach),".")</f>
        <v>.</v>
      </c>
      <c r="AR11" s="76" t="str">
        <f>IFERROR(s_TR/(s_RadSpec!$E11*s_IFPR_far_adj*s_CF_pear),".")</f>
        <v>.</v>
      </c>
      <c r="AS11" s="76" t="str">
        <f>IFERROR(s_TR/(s_RadSpec!$E11*s_IFPE_far_adj*s_CF_peas),".")</f>
        <v>.</v>
      </c>
      <c r="AT11" s="76" t="str">
        <f>IFERROR(s_TR/(s_RadSpec!$E11*s_IFPT_far_adj*s_CF_potato),".")</f>
        <v>.</v>
      </c>
      <c r="AU11" s="76" t="str">
        <f>IFERROR(s_TR/(s_RadSpec!$E11*s_IFPU_far_adj*s_CF_pumpkin),".")</f>
        <v>.</v>
      </c>
      <c r="AV11" s="76" t="str">
        <f>IFERROR(s_TR/(s_RadSpec!$E11*s_IFSN_far_adj*s_CF_snap_bean),".")</f>
        <v>.</v>
      </c>
      <c r="AW11" s="76" t="str">
        <f>IFERROR(s_TR/(s_RadSpec!$E11*s_IFST_far_adj*s_CF_strawberry),".")</f>
        <v>.</v>
      </c>
      <c r="AX11" s="76" t="str">
        <f>IFERROR(s_TR/(s_RadSpec!$E11*s_IFTO_far_adj*s_CF_tomato),".")</f>
        <v>.</v>
      </c>
      <c r="AY11" s="76" t="str">
        <f>IFERROR(s_TR/(s_RadSpec!$E11*s_IFRI_far_adj*s_CF_rice),".")</f>
        <v>.</v>
      </c>
      <c r="AZ11" s="76" t="str">
        <f>IFERROR(s_TR/(s_RadSpec!$E11*s_IFCG_far_adj*s_CF_cereal),".")</f>
        <v>.</v>
      </c>
      <c r="BA11" s="93">
        <f t="shared" si="1"/>
        <v>55000</v>
      </c>
      <c r="BB11" s="93">
        <f t="shared" si="2"/>
        <v>13750</v>
      </c>
      <c r="BC11" s="93">
        <f t="shared" si="3"/>
        <v>13750</v>
      </c>
      <c r="BD11" s="93">
        <f t="shared" si="4"/>
        <v>13750</v>
      </c>
      <c r="BE11" s="93">
        <f t="shared" si="5"/>
        <v>13750</v>
      </c>
      <c r="BF11" s="93">
        <f t="shared" si="6"/>
        <v>13750</v>
      </c>
      <c r="BG11" s="93">
        <f t="shared" si="7"/>
        <v>13750</v>
      </c>
      <c r="BH11" s="93">
        <f t="shared" si="8"/>
        <v>13750</v>
      </c>
      <c r="BI11" s="93">
        <f t="shared" si="9"/>
        <v>13750</v>
      </c>
      <c r="BJ11" s="93">
        <f t="shared" si="10"/>
        <v>13750</v>
      </c>
      <c r="BK11" s="93">
        <f t="shared" si="11"/>
        <v>13750</v>
      </c>
      <c r="BL11" s="93">
        <f t="shared" si="12"/>
        <v>13750</v>
      </c>
      <c r="BM11" s="93">
        <f t="shared" si="13"/>
        <v>13750</v>
      </c>
      <c r="BN11" s="93">
        <f t="shared" si="14"/>
        <v>13750</v>
      </c>
      <c r="BO11" s="93">
        <f t="shared" si="15"/>
        <v>13750</v>
      </c>
      <c r="BP11" s="93">
        <f t="shared" si="16"/>
        <v>13750</v>
      </c>
      <c r="BQ11" s="93">
        <f t="shared" si="17"/>
        <v>13750</v>
      </c>
      <c r="BR11" s="93">
        <f t="shared" si="18"/>
        <v>13750</v>
      </c>
      <c r="BS11" s="93">
        <f t="shared" si="19"/>
        <v>13750</v>
      </c>
      <c r="BT11" s="93">
        <f t="shared" si="20"/>
        <v>13750</v>
      </c>
      <c r="BU11" s="93">
        <f t="shared" si="21"/>
        <v>13750</v>
      </c>
      <c r="BV11" s="93">
        <f t="shared" si="22"/>
        <v>13750</v>
      </c>
      <c r="BW11" s="93">
        <f t="shared" si="23"/>
        <v>13750</v>
      </c>
      <c r="BX11" s="93">
        <f t="shared" si="24"/>
        <v>13750</v>
      </c>
      <c r="BY11" s="93">
        <f t="shared" si="25"/>
        <v>13750</v>
      </c>
    </row>
    <row r="12" spans="1:77" x14ac:dyDescent="0.25">
      <c r="A12" s="92" t="s">
        <v>22</v>
      </c>
      <c r="B12" s="90" t="s">
        <v>1074</v>
      </c>
      <c r="C12" s="76" t="str">
        <f t="shared" si="26"/>
        <v>.</v>
      </c>
      <c r="D12" s="76" t="str">
        <f>IFERROR(s_TR/(s_RadSpec!$E12*s_IFAP_res_adj*s_CF_apple),".")</f>
        <v>.</v>
      </c>
      <c r="E12" s="76" t="str">
        <f>IFERROR(s_TR/(s_RadSpec!$E12*s_IFAS_res_adj*s_CF_asparagus),".")</f>
        <v>.</v>
      </c>
      <c r="F12" s="76" t="str">
        <f>IFERROR(s_TR/(s_RadSpec!$E12*s_IFBT_res_adj*s_CF_beet),".")</f>
        <v>.</v>
      </c>
      <c r="G12" s="76" t="str">
        <f>IFERROR(s_TR/(s_RadSpec!$E12*s_IFBE_res_adj*s_CF_berries),".")</f>
        <v>.</v>
      </c>
      <c r="H12" s="76" t="str">
        <f>IFERROR(s_TR/(s_RadSpec!$E12*s_IFBR_res_adj*s_CF_broccoli),".")</f>
        <v>.</v>
      </c>
      <c r="I12" s="76" t="str">
        <f>IFERROR(s_TR/(s_RadSpec!$E12*s_IFCB_res_adj*s_CF_cabbage),".")</f>
        <v>.</v>
      </c>
      <c r="J12" s="76" t="str">
        <f>IFERROR(s_TR/(s_RadSpec!$E12*s_IFCR_res_adj*s_CF_carrot),".")</f>
        <v>.</v>
      </c>
      <c r="K12" s="76" t="str">
        <f>IFERROR(s_TR/(s_RadSpec!$E12*s_IFCI_res_adj*s_CF_citrus),".")</f>
        <v>.</v>
      </c>
      <c r="L12" s="76" t="str">
        <f>IFERROR(s_TR/(s_RadSpec!$E12*s_IFCO_res_adj*s_CF_corn),".")</f>
        <v>.</v>
      </c>
      <c r="M12" s="76" t="str">
        <f>IFERROR(s_TR/(s_RadSpec!$E12*s_IFCU_res_adj*s_CF_cucumber),".")</f>
        <v>.</v>
      </c>
      <c r="N12" s="76" t="str">
        <f>IFERROR(s_TR/(s_RadSpec!$E12*s_IFLE_res_adj*s_CF_lettuce),".")</f>
        <v>.</v>
      </c>
      <c r="O12" s="76" t="str">
        <f>IFERROR(s_TR/(s_RadSpec!$E12*s_IFLI_res_adj*s_CF_lima_bean),".")</f>
        <v>.</v>
      </c>
      <c r="P12" s="76" t="str">
        <f>IFERROR(s_TR/(s_RadSpec!$E12*s_IFOK_res_adj*s_CF_okra),".")</f>
        <v>.</v>
      </c>
      <c r="Q12" s="76" t="str">
        <f>IFERROR(s_TR/(s_RadSpec!$E12*s_IFON_res_adj*s_CF_onion),".")</f>
        <v>.</v>
      </c>
      <c r="R12" s="76" t="str">
        <f>IFERROR(s_TR/(s_RadSpec!$E12*s_IFPC_res_adj*s_CF_peach),".")</f>
        <v>.</v>
      </c>
      <c r="S12" s="76" t="str">
        <f>IFERROR(s_TR/(s_RadSpec!$E12*s_IFPR_res_adj*s_CF_pear),".")</f>
        <v>.</v>
      </c>
      <c r="T12" s="76" t="str">
        <f>IFERROR(s_TR/(s_RadSpec!$E12*s_IFPE_res_adj*s_CF_peas),".")</f>
        <v>.</v>
      </c>
      <c r="U12" s="76" t="str">
        <f>IFERROR(s_TR/(s_RadSpec!$E12*s_IFPT_res_adj*s_CF_potato),".")</f>
        <v>.</v>
      </c>
      <c r="V12" s="76" t="str">
        <f>IFERROR(s_TR/(s_RadSpec!$E12*s_IFPU_res_adj*s_CF_pumpkin),".")</f>
        <v>.</v>
      </c>
      <c r="W12" s="76" t="str">
        <f>IFERROR(s_TR/(s_RadSpec!$E12*s_IFSN_res_adj*s_CF_snap_bean),".")</f>
        <v>.</v>
      </c>
      <c r="X12" s="76" t="str">
        <f>IFERROR(s_TR/(s_RadSpec!$E12*s_IFST_res_adj*s_CF_strawberry),".")</f>
        <v>.</v>
      </c>
      <c r="Y12" s="76" t="str">
        <f>IFERROR(s_TR/(s_RadSpec!$E12*s_IFTO_res_adj*s_CF_tomato),".")</f>
        <v>.</v>
      </c>
      <c r="Z12" s="76" t="str">
        <f>IFERROR(s_TR/(s_RadSpec!$E12*s_IFRI_res_adj*s_CF_rice),".")</f>
        <v>.</v>
      </c>
      <c r="AA12" s="76" t="str">
        <f>IFERROR(s_TR/(s_RadSpec!$E12*s_IFCG_res_adj*s_CF_cereal),".")</f>
        <v>.</v>
      </c>
      <c r="AB12" s="76" t="str">
        <f t="shared" si="27"/>
        <v>.</v>
      </c>
      <c r="AC12" s="76" t="str">
        <f>IFERROR(s_TR/(s_RadSpec!$E12*s_IFAP_far_adj*s_CF_apple),".")</f>
        <v>.</v>
      </c>
      <c r="AD12" s="76" t="str">
        <f>IFERROR(s_TR/(s_RadSpec!$E12*s_IFAS_far_adj*s_CF_asparagus),".")</f>
        <v>.</v>
      </c>
      <c r="AE12" s="76" t="str">
        <f>IFERROR(s_TR/(s_RadSpec!$E12*s_IFBT_far_adj*s_CF_beet),".")</f>
        <v>.</v>
      </c>
      <c r="AF12" s="76" t="str">
        <f>IFERROR(s_TR/(s_RadSpec!$E12*s_IFBE_far_adj*s_CF_berries),".")</f>
        <v>.</v>
      </c>
      <c r="AG12" s="76" t="str">
        <f>IFERROR(s_TR/(s_RadSpec!$E12*s_IFBR_far_adj*s_CF_broccoli),".")</f>
        <v>.</v>
      </c>
      <c r="AH12" s="76" t="str">
        <f>IFERROR(s_TR/(s_RadSpec!$E12*s_IFCB_far_adj*s_CF_cabbage),".")</f>
        <v>.</v>
      </c>
      <c r="AI12" s="76" t="str">
        <f>IFERROR(s_TR/(s_RadSpec!$E12*s_IFCR_far_adj*s_CF_carrot),".")</f>
        <v>.</v>
      </c>
      <c r="AJ12" s="76" t="str">
        <f>IFERROR(s_TR/(s_RadSpec!$E12*s_IFCI_far_adj*s_CF_citrus),".")</f>
        <v>.</v>
      </c>
      <c r="AK12" s="76" t="str">
        <f>IFERROR(s_TR/(s_RadSpec!$E12*s_IFCO_far_adj*s_CF_corn),".")</f>
        <v>.</v>
      </c>
      <c r="AL12" s="76" t="str">
        <f>IFERROR(s_TR/(s_RadSpec!$E12*s_IFCU_far_adj*s_CF_cucumber),".")</f>
        <v>.</v>
      </c>
      <c r="AM12" s="76" t="str">
        <f>IFERROR(s_TR/(s_RadSpec!$E12*s_IFLE_far_adj*s_CF_lettuce),".")</f>
        <v>.</v>
      </c>
      <c r="AN12" s="76" t="str">
        <f>IFERROR(s_TR/(s_RadSpec!$E12*s_IFLI_far_adj*s_CF_lima_bean),".")</f>
        <v>.</v>
      </c>
      <c r="AO12" s="76" t="str">
        <f>IFERROR(s_TR/(s_RadSpec!$E12*s_IFOK_far_adj*s_CF_okra),".")</f>
        <v>.</v>
      </c>
      <c r="AP12" s="76" t="str">
        <f>IFERROR(s_TR/(s_RadSpec!$E12*s_IFON_far_adj*s_CF_onion),".")</f>
        <v>.</v>
      </c>
      <c r="AQ12" s="76" t="str">
        <f>IFERROR(s_TR/(s_RadSpec!$E12*s_IFPC_far_adj*s_CF_peach),".")</f>
        <v>.</v>
      </c>
      <c r="AR12" s="76" t="str">
        <f>IFERROR(s_TR/(s_RadSpec!$E12*s_IFPR_far_adj*s_CF_pear),".")</f>
        <v>.</v>
      </c>
      <c r="AS12" s="76" t="str">
        <f>IFERROR(s_TR/(s_RadSpec!$E12*s_IFPE_far_adj*s_CF_peas),".")</f>
        <v>.</v>
      </c>
      <c r="AT12" s="76" t="str">
        <f>IFERROR(s_TR/(s_RadSpec!$E12*s_IFPT_far_adj*s_CF_potato),".")</f>
        <v>.</v>
      </c>
      <c r="AU12" s="76" t="str">
        <f>IFERROR(s_TR/(s_RadSpec!$E12*s_IFPU_far_adj*s_CF_pumpkin),".")</f>
        <v>.</v>
      </c>
      <c r="AV12" s="76" t="str">
        <f>IFERROR(s_TR/(s_RadSpec!$E12*s_IFSN_far_adj*s_CF_snap_bean),".")</f>
        <v>.</v>
      </c>
      <c r="AW12" s="76" t="str">
        <f>IFERROR(s_TR/(s_RadSpec!$E12*s_IFST_far_adj*s_CF_strawberry),".")</f>
        <v>.</v>
      </c>
      <c r="AX12" s="76" t="str">
        <f>IFERROR(s_TR/(s_RadSpec!$E12*s_IFTO_far_adj*s_CF_tomato),".")</f>
        <v>.</v>
      </c>
      <c r="AY12" s="76" t="str">
        <f>IFERROR(s_TR/(s_RadSpec!$E12*s_IFRI_far_adj*s_CF_rice),".")</f>
        <v>.</v>
      </c>
      <c r="AZ12" s="76" t="str">
        <f>IFERROR(s_TR/(s_RadSpec!$E12*s_IFCG_far_adj*s_CF_cereal),".")</f>
        <v>.</v>
      </c>
      <c r="BA12" s="93">
        <f t="shared" si="1"/>
        <v>55000</v>
      </c>
      <c r="BB12" s="93">
        <f t="shared" si="2"/>
        <v>13750</v>
      </c>
      <c r="BC12" s="93">
        <f t="shared" si="3"/>
        <v>13750</v>
      </c>
      <c r="BD12" s="93">
        <f t="shared" si="4"/>
        <v>13750</v>
      </c>
      <c r="BE12" s="93">
        <f t="shared" si="5"/>
        <v>13750</v>
      </c>
      <c r="BF12" s="93">
        <f t="shared" si="6"/>
        <v>13750</v>
      </c>
      <c r="BG12" s="93">
        <f t="shared" si="7"/>
        <v>13750</v>
      </c>
      <c r="BH12" s="93">
        <f t="shared" si="8"/>
        <v>13750</v>
      </c>
      <c r="BI12" s="93">
        <f t="shared" si="9"/>
        <v>13750</v>
      </c>
      <c r="BJ12" s="93">
        <f t="shared" si="10"/>
        <v>13750</v>
      </c>
      <c r="BK12" s="93">
        <f t="shared" si="11"/>
        <v>13750</v>
      </c>
      <c r="BL12" s="93">
        <f t="shared" si="12"/>
        <v>13750</v>
      </c>
      <c r="BM12" s="93">
        <f t="shared" si="13"/>
        <v>13750</v>
      </c>
      <c r="BN12" s="93">
        <f t="shared" si="14"/>
        <v>13750</v>
      </c>
      <c r="BO12" s="93">
        <f t="shared" si="15"/>
        <v>13750</v>
      </c>
      <c r="BP12" s="93">
        <f t="shared" si="16"/>
        <v>13750</v>
      </c>
      <c r="BQ12" s="93">
        <f t="shared" si="17"/>
        <v>13750</v>
      </c>
      <c r="BR12" s="93">
        <f t="shared" si="18"/>
        <v>13750</v>
      </c>
      <c r="BS12" s="93">
        <f t="shared" si="19"/>
        <v>13750</v>
      </c>
      <c r="BT12" s="93">
        <f t="shared" si="20"/>
        <v>13750</v>
      </c>
      <c r="BU12" s="93">
        <f t="shared" si="21"/>
        <v>13750</v>
      </c>
      <c r="BV12" s="93">
        <f t="shared" si="22"/>
        <v>13750</v>
      </c>
      <c r="BW12" s="93">
        <f t="shared" si="23"/>
        <v>13750</v>
      </c>
      <c r="BX12" s="93">
        <f t="shared" si="24"/>
        <v>13750</v>
      </c>
      <c r="BY12" s="93">
        <f t="shared" si="25"/>
        <v>13750</v>
      </c>
    </row>
    <row r="13" spans="1:77" x14ac:dyDescent="0.25">
      <c r="A13" s="92" t="s">
        <v>23</v>
      </c>
      <c r="B13" s="90" t="s">
        <v>1074</v>
      </c>
      <c r="C13" s="76">
        <f t="shared" si="26"/>
        <v>1.0968760968760967</v>
      </c>
      <c r="D13" s="76">
        <f>IFERROR(s_TR/(s_RadSpec!$E13*s_IFAP_res_adj*s_CF_apple),".")</f>
        <v>4.3875043875043866</v>
      </c>
      <c r="E13" s="76">
        <f>IFERROR(s_TR/(s_RadSpec!$E13*s_IFAS_res_adj*s_CF_asparagus),".")</f>
        <v>4.3875043875043866</v>
      </c>
      <c r="F13" s="76">
        <f>IFERROR(s_TR/(s_RadSpec!$E13*s_IFBT_res_adj*s_CF_beet),".")</f>
        <v>4.3875043875043866</v>
      </c>
      <c r="G13" s="76">
        <f>IFERROR(s_TR/(s_RadSpec!$E13*s_IFBE_res_adj*s_CF_berries),".")</f>
        <v>4.3875043875043866</v>
      </c>
      <c r="H13" s="76">
        <f>IFERROR(s_TR/(s_RadSpec!$E13*s_IFBR_res_adj*s_CF_broccoli),".")</f>
        <v>4.3875043875043866</v>
      </c>
      <c r="I13" s="76">
        <f>IFERROR(s_TR/(s_RadSpec!$E13*s_IFCB_res_adj*s_CF_cabbage),".")</f>
        <v>4.3875043875043866</v>
      </c>
      <c r="J13" s="76">
        <f>IFERROR(s_TR/(s_RadSpec!$E13*s_IFCR_res_adj*s_CF_carrot),".")</f>
        <v>4.3875043875043866</v>
      </c>
      <c r="K13" s="76">
        <f>IFERROR(s_TR/(s_RadSpec!$E13*s_IFCI_res_adj*s_CF_citrus),".")</f>
        <v>4.3875043875043866</v>
      </c>
      <c r="L13" s="76">
        <f>IFERROR(s_TR/(s_RadSpec!$E13*s_IFCO_res_adj*s_CF_corn),".")</f>
        <v>4.3875043875043866</v>
      </c>
      <c r="M13" s="76">
        <f>IFERROR(s_TR/(s_RadSpec!$E13*s_IFCU_res_adj*s_CF_cucumber),".")</f>
        <v>4.3875043875043866</v>
      </c>
      <c r="N13" s="76">
        <f>IFERROR(s_TR/(s_RadSpec!$E13*s_IFLE_res_adj*s_CF_lettuce),".")</f>
        <v>4.3875043875043866</v>
      </c>
      <c r="O13" s="76">
        <f>IFERROR(s_TR/(s_RadSpec!$E13*s_IFLI_res_adj*s_CF_lima_bean),".")</f>
        <v>4.3875043875043866</v>
      </c>
      <c r="P13" s="76">
        <f>IFERROR(s_TR/(s_RadSpec!$E13*s_IFOK_res_adj*s_CF_okra),".")</f>
        <v>4.3875043875043866</v>
      </c>
      <c r="Q13" s="76">
        <f>IFERROR(s_TR/(s_RadSpec!$E13*s_IFON_res_adj*s_CF_onion),".")</f>
        <v>4.3875043875043866</v>
      </c>
      <c r="R13" s="76">
        <f>IFERROR(s_TR/(s_RadSpec!$E13*s_IFPC_res_adj*s_CF_peach),".")</f>
        <v>4.3875043875043866</v>
      </c>
      <c r="S13" s="76">
        <f>IFERROR(s_TR/(s_RadSpec!$E13*s_IFPR_res_adj*s_CF_pear),".")</f>
        <v>4.3875043875043866</v>
      </c>
      <c r="T13" s="76">
        <f>IFERROR(s_TR/(s_RadSpec!$E13*s_IFPE_res_adj*s_CF_peas),".")</f>
        <v>4.3875043875043866</v>
      </c>
      <c r="U13" s="76">
        <f>IFERROR(s_TR/(s_RadSpec!$E13*s_IFPT_res_adj*s_CF_potato),".")</f>
        <v>4.3875043875043866</v>
      </c>
      <c r="V13" s="76">
        <f>IFERROR(s_TR/(s_RadSpec!$E13*s_IFPU_res_adj*s_CF_pumpkin),".")</f>
        <v>4.3875043875043866</v>
      </c>
      <c r="W13" s="76">
        <f>IFERROR(s_TR/(s_RadSpec!$E13*s_IFSN_res_adj*s_CF_snap_bean),".")</f>
        <v>4.3875043875043866</v>
      </c>
      <c r="X13" s="76">
        <f>IFERROR(s_TR/(s_RadSpec!$E13*s_IFST_res_adj*s_CF_strawberry),".")</f>
        <v>4.3875043875043866</v>
      </c>
      <c r="Y13" s="76">
        <f>IFERROR(s_TR/(s_RadSpec!$E13*s_IFTO_res_adj*s_CF_tomato),".")</f>
        <v>4.3875043875043866</v>
      </c>
      <c r="Z13" s="76">
        <f>IFERROR(s_TR/(s_RadSpec!$E13*s_IFRI_res_adj*s_CF_rice),".")</f>
        <v>4.3875043875043866</v>
      </c>
      <c r="AA13" s="76">
        <f>IFERROR(s_TR/(s_RadSpec!$E13*s_IFCG_res_adj*s_CF_cereal),".")</f>
        <v>4.3875043875043866</v>
      </c>
      <c r="AB13" s="76">
        <f t="shared" si="27"/>
        <v>1.0968760968760967</v>
      </c>
      <c r="AC13" s="76">
        <f>IFERROR(s_TR/(s_RadSpec!$E13*s_IFAP_far_adj*s_CF_apple),".")</f>
        <v>4.3875043875043866</v>
      </c>
      <c r="AD13" s="76">
        <f>IFERROR(s_TR/(s_RadSpec!$E13*s_IFAS_far_adj*s_CF_asparagus),".")</f>
        <v>4.3875043875043866</v>
      </c>
      <c r="AE13" s="76">
        <f>IFERROR(s_TR/(s_RadSpec!$E13*s_IFBT_far_adj*s_CF_beet),".")</f>
        <v>4.3875043875043866</v>
      </c>
      <c r="AF13" s="76">
        <f>IFERROR(s_TR/(s_RadSpec!$E13*s_IFBE_far_adj*s_CF_berries),".")</f>
        <v>4.3875043875043866</v>
      </c>
      <c r="AG13" s="76">
        <f>IFERROR(s_TR/(s_RadSpec!$E13*s_IFBR_far_adj*s_CF_broccoli),".")</f>
        <v>4.3875043875043866</v>
      </c>
      <c r="AH13" s="76">
        <f>IFERROR(s_TR/(s_RadSpec!$E13*s_IFCB_far_adj*s_CF_cabbage),".")</f>
        <v>4.3875043875043866</v>
      </c>
      <c r="AI13" s="76">
        <f>IFERROR(s_TR/(s_RadSpec!$E13*s_IFCR_far_adj*s_CF_carrot),".")</f>
        <v>4.3875043875043866</v>
      </c>
      <c r="AJ13" s="76">
        <f>IFERROR(s_TR/(s_RadSpec!$E13*s_IFCI_far_adj*s_CF_citrus),".")</f>
        <v>4.3875043875043866</v>
      </c>
      <c r="AK13" s="76">
        <f>IFERROR(s_TR/(s_RadSpec!$E13*s_IFCO_far_adj*s_CF_corn),".")</f>
        <v>4.3875043875043866</v>
      </c>
      <c r="AL13" s="76">
        <f>IFERROR(s_TR/(s_RadSpec!$E13*s_IFCU_far_adj*s_CF_cucumber),".")</f>
        <v>4.3875043875043866</v>
      </c>
      <c r="AM13" s="76">
        <f>IFERROR(s_TR/(s_RadSpec!$E13*s_IFLE_far_adj*s_CF_lettuce),".")</f>
        <v>4.3875043875043866</v>
      </c>
      <c r="AN13" s="76">
        <f>IFERROR(s_TR/(s_RadSpec!$E13*s_IFLI_far_adj*s_CF_lima_bean),".")</f>
        <v>4.3875043875043866</v>
      </c>
      <c r="AO13" s="76">
        <f>IFERROR(s_TR/(s_RadSpec!$E13*s_IFOK_far_adj*s_CF_okra),".")</f>
        <v>4.3875043875043866</v>
      </c>
      <c r="AP13" s="76">
        <f>IFERROR(s_TR/(s_RadSpec!$E13*s_IFON_far_adj*s_CF_onion),".")</f>
        <v>4.3875043875043866</v>
      </c>
      <c r="AQ13" s="76">
        <f>IFERROR(s_TR/(s_RadSpec!$E13*s_IFPC_far_adj*s_CF_peach),".")</f>
        <v>4.3875043875043866</v>
      </c>
      <c r="AR13" s="76">
        <f>IFERROR(s_TR/(s_RadSpec!$E13*s_IFPR_far_adj*s_CF_pear),".")</f>
        <v>4.3875043875043866</v>
      </c>
      <c r="AS13" s="76">
        <f>IFERROR(s_TR/(s_RadSpec!$E13*s_IFPE_far_adj*s_CF_peas),".")</f>
        <v>4.3875043875043866</v>
      </c>
      <c r="AT13" s="76">
        <f>IFERROR(s_TR/(s_RadSpec!$E13*s_IFPT_far_adj*s_CF_potato),".")</f>
        <v>4.3875043875043866</v>
      </c>
      <c r="AU13" s="76">
        <f>IFERROR(s_TR/(s_RadSpec!$E13*s_IFPU_far_adj*s_CF_pumpkin),".")</f>
        <v>4.3875043875043866</v>
      </c>
      <c r="AV13" s="76">
        <f>IFERROR(s_TR/(s_RadSpec!$E13*s_IFSN_far_adj*s_CF_snap_bean),".")</f>
        <v>4.3875043875043866</v>
      </c>
      <c r="AW13" s="76">
        <f>IFERROR(s_TR/(s_RadSpec!$E13*s_IFST_far_adj*s_CF_strawberry),".")</f>
        <v>4.3875043875043866</v>
      </c>
      <c r="AX13" s="76">
        <f>IFERROR(s_TR/(s_RadSpec!$E13*s_IFTO_far_adj*s_CF_tomato),".")</f>
        <v>4.3875043875043866</v>
      </c>
      <c r="AY13" s="76">
        <f>IFERROR(s_TR/(s_RadSpec!$E13*s_IFRI_far_adj*s_CF_rice),".")</f>
        <v>4.3875043875043866</v>
      </c>
      <c r="AZ13" s="76">
        <f>IFERROR(s_TR/(s_RadSpec!$E13*s_IFCG_far_adj*s_CF_cereal),".")</f>
        <v>4.3875043875043866</v>
      </c>
      <c r="BA13" s="93">
        <f t="shared" si="1"/>
        <v>55000</v>
      </c>
      <c r="BB13" s="93">
        <f t="shared" si="2"/>
        <v>13750</v>
      </c>
      <c r="BC13" s="93">
        <f t="shared" si="3"/>
        <v>13750</v>
      </c>
      <c r="BD13" s="93">
        <f t="shared" si="4"/>
        <v>13750</v>
      </c>
      <c r="BE13" s="93">
        <f t="shared" si="5"/>
        <v>13750</v>
      </c>
      <c r="BF13" s="93">
        <f t="shared" si="6"/>
        <v>13750</v>
      </c>
      <c r="BG13" s="93">
        <f t="shared" si="7"/>
        <v>13750</v>
      </c>
      <c r="BH13" s="93">
        <f t="shared" si="8"/>
        <v>13750</v>
      </c>
      <c r="BI13" s="93">
        <f t="shared" si="9"/>
        <v>13750</v>
      </c>
      <c r="BJ13" s="93">
        <f t="shared" si="10"/>
        <v>13750</v>
      </c>
      <c r="BK13" s="93">
        <f t="shared" si="11"/>
        <v>13750</v>
      </c>
      <c r="BL13" s="93">
        <f t="shared" si="12"/>
        <v>13750</v>
      </c>
      <c r="BM13" s="93">
        <f t="shared" si="13"/>
        <v>13750</v>
      </c>
      <c r="BN13" s="93">
        <f t="shared" si="14"/>
        <v>13750</v>
      </c>
      <c r="BO13" s="93">
        <f t="shared" si="15"/>
        <v>13750</v>
      </c>
      <c r="BP13" s="93">
        <f t="shared" si="16"/>
        <v>13750</v>
      </c>
      <c r="BQ13" s="93">
        <f t="shared" si="17"/>
        <v>13750</v>
      </c>
      <c r="BR13" s="93">
        <f t="shared" si="18"/>
        <v>13750</v>
      </c>
      <c r="BS13" s="93">
        <f t="shared" si="19"/>
        <v>13750</v>
      </c>
      <c r="BT13" s="93">
        <f t="shared" si="20"/>
        <v>13750</v>
      </c>
      <c r="BU13" s="93">
        <f t="shared" si="21"/>
        <v>13750</v>
      </c>
      <c r="BV13" s="93">
        <f t="shared" si="22"/>
        <v>13750</v>
      </c>
      <c r="BW13" s="93">
        <f t="shared" si="23"/>
        <v>13750</v>
      </c>
      <c r="BX13" s="93">
        <f t="shared" si="24"/>
        <v>13750</v>
      </c>
      <c r="BY13" s="93">
        <f t="shared" si="25"/>
        <v>13750</v>
      </c>
    </row>
    <row r="14" spans="1:77" x14ac:dyDescent="0.25">
      <c r="A14" s="92" t="s">
        <v>24</v>
      </c>
      <c r="B14" s="90" t="s">
        <v>1074</v>
      </c>
      <c r="C14" s="76">
        <f t="shared" si="26"/>
        <v>10.152902714886187</v>
      </c>
      <c r="D14" s="76">
        <f>IFERROR(s_TR/(s_RadSpec!$E14*s_IFAP_res_adj*s_CF_apple),".")</f>
        <v>40.611610859544747</v>
      </c>
      <c r="E14" s="76">
        <f>IFERROR(s_TR/(s_RadSpec!$E14*s_IFAS_res_adj*s_CF_asparagus),".")</f>
        <v>40.611610859544747</v>
      </c>
      <c r="F14" s="76">
        <f>IFERROR(s_TR/(s_RadSpec!$E14*s_IFBT_res_adj*s_CF_beet),".")</f>
        <v>40.611610859544747</v>
      </c>
      <c r="G14" s="76">
        <f>IFERROR(s_TR/(s_RadSpec!$E14*s_IFBE_res_adj*s_CF_berries),".")</f>
        <v>40.611610859544747</v>
      </c>
      <c r="H14" s="76">
        <f>IFERROR(s_TR/(s_RadSpec!$E14*s_IFBR_res_adj*s_CF_broccoli),".")</f>
        <v>40.611610859544747</v>
      </c>
      <c r="I14" s="76">
        <f>IFERROR(s_TR/(s_RadSpec!$E14*s_IFCB_res_adj*s_CF_cabbage),".")</f>
        <v>40.611610859544747</v>
      </c>
      <c r="J14" s="76">
        <f>IFERROR(s_TR/(s_RadSpec!$E14*s_IFCR_res_adj*s_CF_carrot),".")</f>
        <v>40.611610859544747</v>
      </c>
      <c r="K14" s="76">
        <f>IFERROR(s_TR/(s_RadSpec!$E14*s_IFCI_res_adj*s_CF_citrus),".")</f>
        <v>40.611610859544747</v>
      </c>
      <c r="L14" s="76">
        <f>IFERROR(s_TR/(s_RadSpec!$E14*s_IFCO_res_adj*s_CF_corn),".")</f>
        <v>40.611610859544747</v>
      </c>
      <c r="M14" s="76">
        <f>IFERROR(s_TR/(s_RadSpec!$E14*s_IFCU_res_adj*s_CF_cucumber),".")</f>
        <v>40.611610859544747</v>
      </c>
      <c r="N14" s="76">
        <f>IFERROR(s_TR/(s_RadSpec!$E14*s_IFLE_res_adj*s_CF_lettuce),".")</f>
        <v>40.611610859544747</v>
      </c>
      <c r="O14" s="76">
        <f>IFERROR(s_TR/(s_RadSpec!$E14*s_IFLI_res_adj*s_CF_lima_bean),".")</f>
        <v>40.611610859544747</v>
      </c>
      <c r="P14" s="76">
        <f>IFERROR(s_TR/(s_RadSpec!$E14*s_IFOK_res_adj*s_CF_okra),".")</f>
        <v>40.611610859544747</v>
      </c>
      <c r="Q14" s="76">
        <f>IFERROR(s_TR/(s_RadSpec!$E14*s_IFON_res_adj*s_CF_onion),".")</f>
        <v>40.611610859544747</v>
      </c>
      <c r="R14" s="76">
        <f>IFERROR(s_TR/(s_RadSpec!$E14*s_IFPC_res_adj*s_CF_peach),".")</f>
        <v>40.611610859544747</v>
      </c>
      <c r="S14" s="76">
        <f>IFERROR(s_TR/(s_RadSpec!$E14*s_IFPR_res_adj*s_CF_pear),".")</f>
        <v>40.611610859544747</v>
      </c>
      <c r="T14" s="76">
        <f>IFERROR(s_TR/(s_RadSpec!$E14*s_IFPE_res_adj*s_CF_peas),".")</f>
        <v>40.611610859544747</v>
      </c>
      <c r="U14" s="76">
        <f>IFERROR(s_TR/(s_RadSpec!$E14*s_IFPT_res_adj*s_CF_potato),".")</f>
        <v>40.611610859544747</v>
      </c>
      <c r="V14" s="76">
        <f>IFERROR(s_TR/(s_RadSpec!$E14*s_IFPU_res_adj*s_CF_pumpkin),".")</f>
        <v>40.611610859544747</v>
      </c>
      <c r="W14" s="76">
        <f>IFERROR(s_TR/(s_RadSpec!$E14*s_IFSN_res_adj*s_CF_snap_bean),".")</f>
        <v>40.611610859544747</v>
      </c>
      <c r="X14" s="76">
        <f>IFERROR(s_TR/(s_RadSpec!$E14*s_IFST_res_adj*s_CF_strawberry),".")</f>
        <v>40.611610859544747</v>
      </c>
      <c r="Y14" s="76">
        <f>IFERROR(s_TR/(s_RadSpec!$E14*s_IFTO_res_adj*s_CF_tomato),".")</f>
        <v>40.611610859544747</v>
      </c>
      <c r="Z14" s="76">
        <f>IFERROR(s_TR/(s_RadSpec!$E14*s_IFRI_res_adj*s_CF_rice),".")</f>
        <v>40.611610859544747</v>
      </c>
      <c r="AA14" s="76">
        <f>IFERROR(s_TR/(s_RadSpec!$E14*s_IFCG_res_adj*s_CF_cereal),".")</f>
        <v>40.611610859544747</v>
      </c>
      <c r="AB14" s="76">
        <f t="shared" si="27"/>
        <v>10.152902714886187</v>
      </c>
      <c r="AC14" s="76">
        <f>IFERROR(s_TR/(s_RadSpec!$E14*s_IFAP_far_adj*s_CF_apple),".")</f>
        <v>40.611610859544747</v>
      </c>
      <c r="AD14" s="76">
        <f>IFERROR(s_TR/(s_RadSpec!$E14*s_IFAS_far_adj*s_CF_asparagus),".")</f>
        <v>40.611610859544747</v>
      </c>
      <c r="AE14" s="76">
        <f>IFERROR(s_TR/(s_RadSpec!$E14*s_IFBT_far_adj*s_CF_beet),".")</f>
        <v>40.611610859544747</v>
      </c>
      <c r="AF14" s="76">
        <f>IFERROR(s_TR/(s_RadSpec!$E14*s_IFBE_far_adj*s_CF_berries),".")</f>
        <v>40.611610859544747</v>
      </c>
      <c r="AG14" s="76">
        <f>IFERROR(s_TR/(s_RadSpec!$E14*s_IFBR_far_adj*s_CF_broccoli),".")</f>
        <v>40.611610859544747</v>
      </c>
      <c r="AH14" s="76">
        <f>IFERROR(s_TR/(s_RadSpec!$E14*s_IFCB_far_adj*s_CF_cabbage),".")</f>
        <v>40.611610859544747</v>
      </c>
      <c r="AI14" s="76">
        <f>IFERROR(s_TR/(s_RadSpec!$E14*s_IFCR_far_adj*s_CF_carrot),".")</f>
        <v>40.611610859544747</v>
      </c>
      <c r="AJ14" s="76">
        <f>IFERROR(s_TR/(s_RadSpec!$E14*s_IFCI_far_adj*s_CF_citrus),".")</f>
        <v>40.611610859544747</v>
      </c>
      <c r="AK14" s="76">
        <f>IFERROR(s_TR/(s_RadSpec!$E14*s_IFCO_far_adj*s_CF_corn),".")</f>
        <v>40.611610859544747</v>
      </c>
      <c r="AL14" s="76">
        <f>IFERROR(s_TR/(s_RadSpec!$E14*s_IFCU_far_adj*s_CF_cucumber),".")</f>
        <v>40.611610859544747</v>
      </c>
      <c r="AM14" s="76">
        <f>IFERROR(s_TR/(s_RadSpec!$E14*s_IFLE_far_adj*s_CF_lettuce),".")</f>
        <v>40.611610859544747</v>
      </c>
      <c r="AN14" s="76">
        <f>IFERROR(s_TR/(s_RadSpec!$E14*s_IFLI_far_adj*s_CF_lima_bean),".")</f>
        <v>40.611610859544747</v>
      </c>
      <c r="AO14" s="76">
        <f>IFERROR(s_TR/(s_RadSpec!$E14*s_IFOK_far_adj*s_CF_okra),".")</f>
        <v>40.611610859544747</v>
      </c>
      <c r="AP14" s="76">
        <f>IFERROR(s_TR/(s_RadSpec!$E14*s_IFON_far_adj*s_CF_onion),".")</f>
        <v>40.611610859544747</v>
      </c>
      <c r="AQ14" s="76">
        <f>IFERROR(s_TR/(s_RadSpec!$E14*s_IFPC_far_adj*s_CF_peach),".")</f>
        <v>40.611610859544747</v>
      </c>
      <c r="AR14" s="76">
        <f>IFERROR(s_TR/(s_RadSpec!$E14*s_IFPR_far_adj*s_CF_pear),".")</f>
        <v>40.611610859544747</v>
      </c>
      <c r="AS14" s="76">
        <f>IFERROR(s_TR/(s_RadSpec!$E14*s_IFPE_far_adj*s_CF_peas),".")</f>
        <v>40.611610859544747</v>
      </c>
      <c r="AT14" s="76">
        <f>IFERROR(s_TR/(s_RadSpec!$E14*s_IFPT_far_adj*s_CF_potato),".")</f>
        <v>40.611610859544747</v>
      </c>
      <c r="AU14" s="76">
        <f>IFERROR(s_TR/(s_RadSpec!$E14*s_IFPU_far_adj*s_CF_pumpkin),".")</f>
        <v>40.611610859544747</v>
      </c>
      <c r="AV14" s="76">
        <f>IFERROR(s_TR/(s_RadSpec!$E14*s_IFSN_far_adj*s_CF_snap_bean),".")</f>
        <v>40.611610859544747</v>
      </c>
      <c r="AW14" s="76">
        <f>IFERROR(s_TR/(s_RadSpec!$E14*s_IFST_far_adj*s_CF_strawberry),".")</f>
        <v>40.611610859544747</v>
      </c>
      <c r="AX14" s="76">
        <f>IFERROR(s_TR/(s_RadSpec!$E14*s_IFTO_far_adj*s_CF_tomato),".")</f>
        <v>40.611610859544747</v>
      </c>
      <c r="AY14" s="76">
        <f>IFERROR(s_TR/(s_RadSpec!$E14*s_IFRI_far_adj*s_CF_rice),".")</f>
        <v>40.611610859544747</v>
      </c>
      <c r="AZ14" s="76">
        <f>IFERROR(s_TR/(s_RadSpec!$E14*s_IFCG_far_adj*s_CF_cereal),".")</f>
        <v>40.611610859544747</v>
      </c>
      <c r="BA14" s="93">
        <f t="shared" si="1"/>
        <v>55000</v>
      </c>
      <c r="BB14" s="93">
        <f t="shared" si="2"/>
        <v>13750</v>
      </c>
      <c r="BC14" s="93">
        <f t="shared" si="3"/>
        <v>13750</v>
      </c>
      <c r="BD14" s="93">
        <f t="shared" si="4"/>
        <v>13750</v>
      </c>
      <c r="BE14" s="93">
        <f t="shared" si="5"/>
        <v>13750</v>
      </c>
      <c r="BF14" s="93">
        <f t="shared" si="6"/>
        <v>13750</v>
      </c>
      <c r="BG14" s="93">
        <f t="shared" si="7"/>
        <v>13750</v>
      </c>
      <c r="BH14" s="93">
        <f t="shared" si="8"/>
        <v>13750</v>
      </c>
      <c r="BI14" s="93">
        <f t="shared" si="9"/>
        <v>13750</v>
      </c>
      <c r="BJ14" s="93">
        <f t="shared" si="10"/>
        <v>13750</v>
      </c>
      <c r="BK14" s="93">
        <f t="shared" si="11"/>
        <v>13750</v>
      </c>
      <c r="BL14" s="93">
        <f t="shared" si="12"/>
        <v>13750</v>
      </c>
      <c r="BM14" s="93">
        <f t="shared" si="13"/>
        <v>13750</v>
      </c>
      <c r="BN14" s="93">
        <f t="shared" si="14"/>
        <v>13750</v>
      </c>
      <c r="BO14" s="93">
        <f t="shared" si="15"/>
        <v>13750</v>
      </c>
      <c r="BP14" s="93">
        <f t="shared" si="16"/>
        <v>13750</v>
      </c>
      <c r="BQ14" s="93">
        <f t="shared" si="17"/>
        <v>13750</v>
      </c>
      <c r="BR14" s="93">
        <f t="shared" si="18"/>
        <v>13750</v>
      </c>
      <c r="BS14" s="93">
        <f t="shared" si="19"/>
        <v>13750</v>
      </c>
      <c r="BT14" s="93">
        <f t="shared" si="20"/>
        <v>13750</v>
      </c>
      <c r="BU14" s="93">
        <f t="shared" si="21"/>
        <v>13750</v>
      </c>
      <c r="BV14" s="93">
        <f t="shared" si="22"/>
        <v>13750</v>
      </c>
      <c r="BW14" s="93">
        <f t="shared" si="23"/>
        <v>13750</v>
      </c>
      <c r="BX14" s="93">
        <f t="shared" si="24"/>
        <v>13750</v>
      </c>
      <c r="BY14" s="93">
        <f t="shared" si="25"/>
        <v>13750</v>
      </c>
    </row>
    <row r="15" spans="1:77" x14ac:dyDescent="0.25">
      <c r="A15" s="92" t="s">
        <v>25</v>
      </c>
      <c r="B15" s="90" t="s">
        <v>1074</v>
      </c>
      <c r="C15" s="76">
        <f t="shared" si="26"/>
        <v>260.82828630599334</v>
      </c>
      <c r="D15" s="76">
        <f>IFERROR(s_TR/(s_RadSpec!$E15*s_IFAP_res_adj*s_CF_apple),".")</f>
        <v>1043.3131452239734</v>
      </c>
      <c r="E15" s="76">
        <f>IFERROR(s_TR/(s_RadSpec!$E15*s_IFAS_res_adj*s_CF_asparagus),".")</f>
        <v>1043.3131452239734</v>
      </c>
      <c r="F15" s="76">
        <f>IFERROR(s_TR/(s_RadSpec!$E15*s_IFBT_res_adj*s_CF_beet),".")</f>
        <v>1043.3131452239734</v>
      </c>
      <c r="G15" s="76">
        <f>IFERROR(s_TR/(s_RadSpec!$E15*s_IFBE_res_adj*s_CF_berries),".")</f>
        <v>1043.3131452239734</v>
      </c>
      <c r="H15" s="76">
        <f>IFERROR(s_TR/(s_RadSpec!$E15*s_IFBR_res_adj*s_CF_broccoli),".")</f>
        <v>1043.3131452239734</v>
      </c>
      <c r="I15" s="76">
        <f>IFERROR(s_TR/(s_RadSpec!$E15*s_IFCB_res_adj*s_CF_cabbage),".")</f>
        <v>1043.3131452239734</v>
      </c>
      <c r="J15" s="76">
        <f>IFERROR(s_TR/(s_RadSpec!$E15*s_IFCR_res_adj*s_CF_carrot),".")</f>
        <v>1043.3131452239734</v>
      </c>
      <c r="K15" s="76">
        <f>IFERROR(s_TR/(s_RadSpec!$E15*s_IFCI_res_adj*s_CF_citrus),".")</f>
        <v>1043.3131452239734</v>
      </c>
      <c r="L15" s="76">
        <f>IFERROR(s_TR/(s_RadSpec!$E15*s_IFCO_res_adj*s_CF_corn),".")</f>
        <v>1043.3131452239734</v>
      </c>
      <c r="M15" s="76">
        <f>IFERROR(s_TR/(s_RadSpec!$E15*s_IFCU_res_adj*s_CF_cucumber),".")</f>
        <v>1043.3131452239734</v>
      </c>
      <c r="N15" s="76">
        <f>IFERROR(s_TR/(s_RadSpec!$E15*s_IFLE_res_adj*s_CF_lettuce),".")</f>
        <v>1043.3131452239734</v>
      </c>
      <c r="O15" s="76">
        <f>IFERROR(s_TR/(s_RadSpec!$E15*s_IFLI_res_adj*s_CF_lima_bean),".")</f>
        <v>1043.3131452239734</v>
      </c>
      <c r="P15" s="76">
        <f>IFERROR(s_TR/(s_RadSpec!$E15*s_IFOK_res_adj*s_CF_okra),".")</f>
        <v>1043.3131452239734</v>
      </c>
      <c r="Q15" s="76">
        <f>IFERROR(s_TR/(s_RadSpec!$E15*s_IFON_res_adj*s_CF_onion),".")</f>
        <v>1043.3131452239734</v>
      </c>
      <c r="R15" s="76">
        <f>IFERROR(s_TR/(s_RadSpec!$E15*s_IFPC_res_adj*s_CF_peach),".")</f>
        <v>1043.3131452239734</v>
      </c>
      <c r="S15" s="76">
        <f>IFERROR(s_TR/(s_RadSpec!$E15*s_IFPR_res_adj*s_CF_pear),".")</f>
        <v>1043.3131452239734</v>
      </c>
      <c r="T15" s="76">
        <f>IFERROR(s_TR/(s_RadSpec!$E15*s_IFPE_res_adj*s_CF_peas),".")</f>
        <v>1043.3131452239734</v>
      </c>
      <c r="U15" s="76">
        <f>IFERROR(s_TR/(s_RadSpec!$E15*s_IFPT_res_adj*s_CF_potato),".")</f>
        <v>1043.3131452239734</v>
      </c>
      <c r="V15" s="76">
        <f>IFERROR(s_TR/(s_RadSpec!$E15*s_IFPU_res_adj*s_CF_pumpkin),".")</f>
        <v>1043.3131452239734</v>
      </c>
      <c r="W15" s="76">
        <f>IFERROR(s_TR/(s_RadSpec!$E15*s_IFSN_res_adj*s_CF_snap_bean),".")</f>
        <v>1043.3131452239734</v>
      </c>
      <c r="X15" s="76">
        <f>IFERROR(s_TR/(s_RadSpec!$E15*s_IFST_res_adj*s_CF_strawberry),".")</f>
        <v>1043.3131452239734</v>
      </c>
      <c r="Y15" s="76">
        <f>IFERROR(s_TR/(s_RadSpec!$E15*s_IFTO_res_adj*s_CF_tomato),".")</f>
        <v>1043.3131452239734</v>
      </c>
      <c r="Z15" s="76">
        <f>IFERROR(s_TR/(s_RadSpec!$E15*s_IFRI_res_adj*s_CF_rice),".")</f>
        <v>1043.3131452239734</v>
      </c>
      <c r="AA15" s="76">
        <f>IFERROR(s_TR/(s_RadSpec!$E15*s_IFCG_res_adj*s_CF_cereal),".")</f>
        <v>1043.3131452239734</v>
      </c>
      <c r="AB15" s="76">
        <f t="shared" si="27"/>
        <v>260.82828630599334</v>
      </c>
      <c r="AC15" s="76">
        <f>IFERROR(s_TR/(s_RadSpec!$E15*s_IFAP_far_adj*s_CF_apple),".")</f>
        <v>1043.3131452239734</v>
      </c>
      <c r="AD15" s="76">
        <f>IFERROR(s_TR/(s_RadSpec!$E15*s_IFAS_far_adj*s_CF_asparagus),".")</f>
        <v>1043.3131452239734</v>
      </c>
      <c r="AE15" s="76">
        <f>IFERROR(s_TR/(s_RadSpec!$E15*s_IFBT_far_adj*s_CF_beet),".")</f>
        <v>1043.3131452239734</v>
      </c>
      <c r="AF15" s="76">
        <f>IFERROR(s_TR/(s_RadSpec!$E15*s_IFBE_far_adj*s_CF_berries),".")</f>
        <v>1043.3131452239734</v>
      </c>
      <c r="AG15" s="76">
        <f>IFERROR(s_TR/(s_RadSpec!$E15*s_IFBR_far_adj*s_CF_broccoli),".")</f>
        <v>1043.3131452239734</v>
      </c>
      <c r="AH15" s="76">
        <f>IFERROR(s_TR/(s_RadSpec!$E15*s_IFCB_far_adj*s_CF_cabbage),".")</f>
        <v>1043.3131452239734</v>
      </c>
      <c r="AI15" s="76">
        <f>IFERROR(s_TR/(s_RadSpec!$E15*s_IFCR_far_adj*s_CF_carrot),".")</f>
        <v>1043.3131452239734</v>
      </c>
      <c r="AJ15" s="76">
        <f>IFERROR(s_TR/(s_RadSpec!$E15*s_IFCI_far_adj*s_CF_citrus),".")</f>
        <v>1043.3131452239734</v>
      </c>
      <c r="AK15" s="76">
        <f>IFERROR(s_TR/(s_RadSpec!$E15*s_IFCO_far_adj*s_CF_corn),".")</f>
        <v>1043.3131452239734</v>
      </c>
      <c r="AL15" s="76">
        <f>IFERROR(s_TR/(s_RadSpec!$E15*s_IFCU_far_adj*s_CF_cucumber),".")</f>
        <v>1043.3131452239734</v>
      </c>
      <c r="AM15" s="76">
        <f>IFERROR(s_TR/(s_RadSpec!$E15*s_IFLE_far_adj*s_CF_lettuce),".")</f>
        <v>1043.3131452239734</v>
      </c>
      <c r="AN15" s="76">
        <f>IFERROR(s_TR/(s_RadSpec!$E15*s_IFLI_far_adj*s_CF_lima_bean),".")</f>
        <v>1043.3131452239734</v>
      </c>
      <c r="AO15" s="76">
        <f>IFERROR(s_TR/(s_RadSpec!$E15*s_IFOK_far_adj*s_CF_okra),".")</f>
        <v>1043.3131452239734</v>
      </c>
      <c r="AP15" s="76">
        <f>IFERROR(s_TR/(s_RadSpec!$E15*s_IFON_far_adj*s_CF_onion),".")</f>
        <v>1043.3131452239734</v>
      </c>
      <c r="AQ15" s="76">
        <f>IFERROR(s_TR/(s_RadSpec!$E15*s_IFPC_far_adj*s_CF_peach),".")</f>
        <v>1043.3131452239734</v>
      </c>
      <c r="AR15" s="76">
        <f>IFERROR(s_TR/(s_RadSpec!$E15*s_IFPR_far_adj*s_CF_pear),".")</f>
        <v>1043.3131452239734</v>
      </c>
      <c r="AS15" s="76">
        <f>IFERROR(s_TR/(s_RadSpec!$E15*s_IFPE_far_adj*s_CF_peas),".")</f>
        <v>1043.3131452239734</v>
      </c>
      <c r="AT15" s="76">
        <f>IFERROR(s_TR/(s_RadSpec!$E15*s_IFPT_far_adj*s_CF_potato),".")</f>
        <v>1043.3131452239734</v>
      </c>
      <c r="AU15" s="76">
        <f>IFERROR(s_TR/(s_RadSpec!$E15*s_IFPU_far_adj*s_CF_pumpkin),".")</f>
        <v>1043.3131452239734</v>
      </c>
      <c r="AV15" s="76">
        <f>IFERROR(s_TR/(s_RadSpec!$E15*s_IFSN_far_adj*s_CF_snap_bean),".")</f>
        <v>1043.3131452239734</v>
      </c>
      <c r="AW15" s="76">
        <f>IFERROR(s_TR/(s_RadSpec!$E15*s_IFST_far_adj*s_CF_strawberry),".")</f>
        <v>1043.3131452239734</v>
      </c>
      <c r="AX15" s="76">
        <f>IFERROR(s_TR/(s_RadSpec!$E15*s_IFTO_far_adj*s_CF_tomato),".")</f>
        <v>1043.3131452239734</v>
      </c>
      <c r="AY15" s="76">
        <f>IFERROR(s_TR/(s_RadSpec!$E15*s_IFRI_far_adj*s_CF_rice),".")</f>
        <v>1043.3131452239734</v>
      </c>
      <c r="AZ15" s="76">
        <f>IFERROR(s_TR/(s_RadSpec!$E15*s_IFCG_far_adj*s_CF_cereal),".")</f>
        <v>1043.3131452239734</v>
      </c>
      <c r="BA15" s="93">
        <f t="shared" si="1"/>
        <v>55000</v>
      </c>
      <c r="BB15" s="93">
        <f t="shared" si="2"/>
        <v>13750</v>
      </c>
      <c r="BC15" s="93">
        <f t="shared" si="3"/>
        <v>13750</v>
      </c>
      <c r="BD15" s="93">
        <f t="shared" si="4"/>
        <v>13750</v>
      </c>
      <c r="BE15" s="93">
        <f t="shared" si="5"/>
        <v>13750</v>
      </c>
      <c r="BF15" s="93">
        <f t="shared" si="6"/>
        <v>13750</v>
      </c>
      <c r="BG15" s="93">
        <f t="shared" si="7"/>
        <v>13750</v>
      </c>
      <c r="BH15" s="93">
        <f t="shared" si="8"/>
        <v>13750</v>
      </c>
      <c r="BI15" s="93">
        <f t="shared" si="9"/>
        <v>13750</v>
      </c>
      <c r="BJ15" s="93">
        <f t="shared" si="10"/>
        <v>13750</v>
      </c>
      <c r="BK15" s="93">
        <f t="shared" si="11"/>
        <v>13750</v>
      </c>
      <c r="BL15" s="93">
        <f t="shared" si="12"/>
        <v>13750</v>
      </c>
      <c r="BM15" s="93">
        <f t="shared" si="13"/>
        <v>13750</v>
      </c>
      <c r="BN15" s="93">
        <f t="shared" si="14"/>
        <v>13750</v>
      </c>
      <c r="BO15" s="93">
        <f t="shared" si="15"/>
        <v>13750</v>
      </c>
      <c r="BP15" s="93">
        <f t="shared" si="16"/>
        <v>13750</v>
      </c>
      <c r="BQ15" s="93">
        <f t="shared" si="17"/>
        <v>13750</v>
      </c>
      <c r="BR15" s="93">
        <f t="shared" si="18"/>
        <v>13750</v>
      </c>
      <c r="BS15" s="93">
        <f t="shared" si="19"/>
        <v>13750</v>
      </c>
      <c r="BT15" s="93">
        <f t="shared" si="20"/>
        <v>13750</v>
      </c>
      <c r="BU15" s="93">
        <f t="shared" si="21"/>
        <v>13750</v>
      </c>
      <c r="BV15" s="93">
        <f t="shared" si="22"/>
        <v>13750</v>
      </c>
      <c r="BW15" s="93">
        <f t="shared" si="23"/>
        <v>13750</v>
      </c>
      <c r="BX15" s="93">
        <f t="shared" si="24"/>
        <v>13750</v>
      </c>
      <c r="BY15" s="93">
        <f t="shared" si="25"/>
        <v>13750</v>
      </c>
    </row>
    <row r="16" spans="1:77" x14ac:dyDescent="0.25">
      <c r="A16" s="92" t="s">
        <v>26</v>
      </c>
      <c r="B16" s="90" t="s">
        <v>1074</v>
      </c>
      <c r="C16" s="76">
        <f t="shared" si="26"/>
        <v>7.7264228207624422E-2</v>
      </c>
      <c r="D16" s="76">
        <f>IFERROR(s_TR/(s_RadSpec!$E16*s_IFAP_res_adj*s_CF_apple),".")</f>
        <v>0.30905691283049769</v>
      </c>
      <c r="E16" s="76">
        <f>IFERROR(s_TR/(s_RadSpec!$E16*s_IFAS_res_adj*s_CF_asparagus),".")</f>
        <v>0.30905691283049769</v>
      </c>
      <c r="F16" s="76">
        <f>IFERROR(s_TR/(s_RadSpec!$E16*s_IFBT_res_adj*s_CF_beet),".")</f>
        <v>0.30905691283049769</v>
      </c>
      <c r="G16" s="76">
        <f>IFERROR(s_TR/(s_RadSpec!$E16*s_IFBE_res_adj*s_CF_berries),".")</f>
        <v>0.30905691283049769</v>
      </c>
      <c r="H16" s="76">
        <f>IFERROR(s_TR/(s_RadSpec!$E16*s_IFBR_res_adj*s_CF_broccoli),".")</f>
        <v>0.30905691283049769</v>
      </c>
      <c r="I16" s="76">
        <f>IFERROR(s_TR/(s_RadSpec!$E16*s_IFCB_res_adj*s_CF_cabbage),".")</f>
        <v>0.30905691283049769</v>
      </c>
      <c r="J16" s="76">
        <f>IFERROR(s_TR/(s_RadSpec!$E16*s_IFCR_res_adj*s_CF_carrot),".")</f>
        <v>0.30905691283049769</v>
      </c>
      <c r="K16" s="76">
        <f>IFERROR(s_TR/(s_RadSpec!$E16*s_IFCI_res_adj*s_CF_citrus),".")</f>
        <v>0.30905691283049769</v>
      </c>
      <c r="L16" s="76">
        <f>IFERROR(s_TR/(s_RadSpec!$E16*s_IFCO_res_adj*s_CF_corn),".")</f>
        <v>0.30905691283049769</v>
      </c>
      <c r="M16" s="76">
        <f>IFERROR(s_TR/(s_RadSpec!$E16*s_IFCU_res_adj*s_CF_cucumber),".")</f>
        <v>0.30905691283049769</v>
      </c>
      <c r="N16" s="76">
        <f>IFERROR(s_TR/(s_RadSpec!$E16*s_IFLE_res_adj*s_CF_lettuce),".")</f>
        <v>0.30905691283049769</v>
      </c>
      <c r="O16" s="76">
        <f>IFERROR(s_TR/(s_RadSpec!$E16*s_IFLI_res_adj*s_CF_lima_bean),".")</f>
        <v>0.30905691283049769</v>
      </c>
      <c r="P16" s="76">
        <f>IFERROR(s_TR/(s_RadSpec!$E16*s_IFOK_res_adj*s_CF_okra),".")</f>
        <v>0.30905691283049769</v>
      </c>
      <c r="Q16" s="76">
        <f>IFERROR(s_TR/(s_RadSpec!$E16*s_IFON_res_adj*s_CF_onion),".")</f>
        <v>0.30905691283049769</v>
      </c>
      <c r="R16" s="76">
        <f>IFERROR(s_TR/(s_RadSpec!$E16*s_IFPC_res_adj*s_CF_peach),".")</f>
        <v>0.30905691283049769</v>
      </c>
      <c r="S16" s="76">
        <f>IFERROR(s_TR/(s_RadSpec!$E16*s_IFPR_res_adj*s_CF_pear),".")</f>
        <v>0.30905691283049769</v>
      </c>
      <c r="T16" s="76">
        <f>IFERROR(s_TR/(s_RadSpec!$E16*s_IFPE_res_adj*s_CF_peas),".")</f>
        <v>0.30905691283049769</v>
      </c>
      <c r="U16" s="76">
        <f>IFERROR(s_TR/(s_RadSpec!$E16*s_IFPT_res_adj*s_CF_potato),".")</f>
        <v>0.30905691283049769</v>
      </c>
      <c r="V16" s="76">
        <f>IFERROR(s_TR/(s_RadSpec!$E16*s_IFPU_res_adj*s_CF_pumpkin),".")</f>
        <v>0.30905691283049769</v>
      </c>
      <c r="W16" s="76">
        <f>IFERROR(s_TR/(s_RadSpec!$E16*s_IFSN_res_adj*s_CF_snap_bean),".")</f>
        <v>0.30905691283049769</v>
      </c>
      <c r="X16" s="76">
        <f>IFERROR(s_TR/(s_RadSpec!$E16*s_IFST_res_adj*s_CF_strawberry),".")</f>
        <v>0.30905691283049769</v>
      </c>
      <c r="Y16" s="76">
        <f>IFERROR(s_TR/(s_RadSpec!$E16*s_IFTO_res_adj*s_CF_tomato),".")</f>
        <v>0.30905691283049769</v>
      </c>
      <c r="Z16" s="76">
        <f>IFERROR(s_TR/(s_RadSpec!$E16*s_IFRI_res_adj*s_CF_rice),".")</f>
        <v>0.30905691283049769</v>
      </c>
      <c r="AA16" s="76">
        <f>IFERROR(s_TR/(s_RadSpec!$E16*s_IFCG_res_adj*s_CF_cereal),".")</f>
        <v>0.30905691283049769</v>
      </c>
      <c r="AB16" s="76">
        <f t="shared" si="27"/>
        <v>7.7264228207624422E-2</v>
      </c>
      <c r="AC16" s="76">
        <f>IFERROR(s_TR/(s_RadSpec!$E16*s_IFAP_far_adj*s_CF_apple),".")</f>
        <v>0.30905691283049769</v>
      </c>
      <c r="AD16" s="76">
        <f>IFERROR(s_TR/(s_RadSpec!$E16*s_IFAS_far_adj*s_CF_asparagus),".")</f>
        <v>0.30905691283049769</v>
      </c>
      <c r="AE16" s="76">
        <f>IFERROR(s_TR/(s_RadSpec!$E16*s_IFBT_far_adj*s_CF_beet),".")</f>
        <v>0.30905691283049769</v>
      </c>
      <c r="AF16" s="76">
        <f>IFERROR(s_TR/(s_RadSpec!$E16*s_IFBE_far_adj*s_CF_berries),".")</f>
        <v>0.30905691283049769</v>
      </c>
      <c r="AG16" s="76">
        <f>IFERROR(s_TR/(s_RadSpec!$E16*s_IFBR_far_adj*s_CF_broccoli),".")</f>
        <v>0.30905691283049769</v>
      </c>
      <c r="AH16" s="76">
        <f>IFERROR(s_TR/(s_RadSpec!$E16*s_IFCB_far_adj*s_CF_cabbage),".")</f>
        <v>0.30905691283049769</v>
      </c>
      <c r="AI16" s="76">
        <f>IFERROR(s_TR/(s_RadSpec!$E16*s_IFCR_far_adj*s_CF_carrot),".")</f>
        <v>0.30905691283049769</v>
      </c>
      <c r="AJ16" s="76">
        <f>IFERROR(s_TR/(s_RadSpec!$E16*s_IFCI_far_adj*s_CF_citrus),".")</f>
        <v>0.30905691283049769</v>
      </c>
      <c r="AK16" s="76">
        <f>IFERROR(s_TR/(s_RadSpec!$E16*s_IFCO_far_adj*s_CF_corn),".")</f>
        <v>0.30905691283049769</v>
      </c>
      <c r="AL16" s="76">
        <f>IFERROR(s_TR/(s_RadSpec!$E16*s_IFCU_far_adj*s_CF_cucumber),".")</f>
        <v>0.30905691283049769</v>
      </c>
      <c r="AM16" s="76">
        <f>IFERROR(s_TR/(s_RadSpec!$E16*s_IFLE_far_adj*s_CF_lettuce),".")</f>
        <v>0.30905691283049769</v>
      </c>
      <c r="AN16" s="76">
        <f>IFERROR(s_TR/(s_RadSpec!$E16*s_IFLI_far_adj*s_CF_lima_bean),".")</f>
        <v>0.30905691283049769</v>
      </c>
      <c r="AO16" s="76">
        <f>IFERROR(s_TR/(s_RadSpec!$E16*s_IFOK_far_adj*s_CF_okra),".")</f>
        <v>0.30905691283049769</v>
      </c>
      <c r="AP16" s="76">
        <f>IFERROR(s_TR/(s_RadSpec!$E16*s_IFON_far_adj*s_CF_onion),".")</f>
        <v>0.30905691283049769</v>
      </c>
      <c r="AQ16" s="76">
        <f>IFERROR(s_TR/(s_RadSpec!$E16*s_IFPC_far_adj*s_CF_peach),".")</f>
        <v>0.30905691283049769</v>
      </c>
      <c r="AR16" s="76">
        <f>IFERROR(s_TR/(s_RadSpec!$E16*s_IFPR_far_adj*s_CF_pear),".")</f>
        <v>0.30905691283049769</v>
      </c>
      <c r="AS16" s="76">
        <f>IFERROR(s_TR/(s_RadSpec!$E16*s_IFPE_far_adj*s_CF_peas),".")</f>
        <v>0.30905691283049769</v>
      </c>
      <c r="AT16" s="76">
        <f>IFERROR(s_TR/(s_RadSpec!$E16*s_IFPT_far_adj*s_CF_potato),".")</f>
        <v>0.30905691283049769</v>
      </c>
      <c r="AU16" s="76">
        <f>IFERROR(s_TR/(s_RadSpec!$E16*s_IFPU_far_adj*s_CF_pumpkin),".")</f>
        <v>0.30905691283049769</v>
      </c>
      <c r="AV16" s="76">
        <f>IFERROR(s_TR/(s_RadSpec!$E16*s_IFSN_far_adj*s_CF_snap_bean),".")</f>
        <v>0.30905691283049769</v>
      </c>
      <c r="AW16" s="76">
        <f>IFERROR(s_TR/(s_RadSpec!$E16*s_IFST_far_adj*s_CF_strawberry),".")</f>
        <v>0.30905691283049769</v>
      </c>
      <c r="AX16" s="76">
        <f>IFERROR(s_TR/(s_RadSpec!$E16*s_IFTO_far_adj*s_CF_tomato),".")</f>
        <v>0.30905691283049769</v>
      </c>
      <c r="AY16" s="76">
        <f>IFERROR(s_TR/(s_RadSpec!$E16*s_IFRI_far_adj*s_CF_rice),".")</f>
        <v>0.30905691283049769</v>
      </c>
      <c r="AZ16" s="76">
        <f>IFERROR(s_TR/(s_RadSpec!$E16*s_IFCG_far_adj*s_CF_cereal),".")</f>
        <v>0.30905691283049769</v>
      </c>
      <c r="BA16" s="93">
        <f t="shared" si="1"/>
        <v>55000</v>
      </c>
      <c r="BB16" s="93">
        <f t="shared" si="2"/>
        <v>13750</v>
      </c>
      <c r="BC16" s="93">
        <f t="shared" si="3"/>
        <v>13750</v>
      </c>
      <c r="BD16" s="93">
        <f t="shared" si="4"/>
        <v>13750</v>
      </c>
      <c r="BE16" s="93">
        <f t="shared" si="5"/>
        <v>13750</v>
      </c>
      <c r="BF16" s="93">
        <f t="shared" si="6"/>
        <v>13750</v>
      </c>
      <c r="BG16" s="93">
        <f t="shared" si="7"/>
        <v>13750</v>
      </c>
      <c r="BH16" s="93">
        <f t="shared" si="8"/>
        <v>13750</v>
      </c>
      <c r="BI16" s="93">
        <f t="shared" si="9"/>
        <v>13750</v>
      </c>
      <c r="BJ16" s="93">
        <f t="shared" si="10"/>
        <v>13750</v>
      </c>
      <c r="BK16" s="93">
        <f t="shared" si="11"/>
        <v>13750</v>
      </c>
      <c r="BL16" s="93">
        <f t="shared" si="12"/>
        <v>13750</v>
      </c>
      <c r="BM16" s="93">
        <f t="shared" si="13"/>
        <v>13750</v>
      </c>
      <c r="BN16" s="93">
        <f t="shared" si="14"/>
        <v>13750</v>
      </c>
      <c r="BO16" s="93">
        <f t="shared" si="15"/>
        <v>13750</v>
      </c>
      <c r="BP16" s="93">
        <f t="shared" si="16"/>
        <v>13750</v>
      </c>
      <c r="BQ16" s="93">
        <f t="shared" si="17"/>
        <v>13750</v>
      </c>
      <c r="BR16" s="93">
        <f t="shared" si="18"/>
        <v>13750</v>
      </c>
      <c r="BS16" s="93">
        <f t="shared" si="19"/>
        <v>13750</v>
      </c>
      <c r="BT16" s="93">
        <f t="shared" si="20"/>
        <v>13750</v>
      </c>
      <c r="BU16" s="93">
        <f t="shared" si="21"/>
        <v>13750</v>
      </c>
      <c r="BV16" s="93">
        <f t="shared" si="22"/>
        <v>13750</v>
      </c>
      <c r="BW16" s="93">
        <f t="shared" si="23"/>
        <v>13750</v>
      </c>
      <c r="BX16" s="93">
        <f t="shared" si="24"/>
        <v>13750</v>
      </c>
      <c r="BY16" s="93">
        <f t="shared" si="25"/>
        <v>13750</v>
      </c>
    </row>
    <row r="17" spans="1:77" x14ac:dyDescent="0.25">
      <c r="A17" s="92" t="s">
        <v>27</v>
      </c>
      <c r="B17" s="90" t="s">
        <v>1074</v>
      </c>
      <c r="C17" s="76">
        <f t="shared" si="26"/>
        <v>187.55743946583638</v>
      </c>
      <c r="D17" s="76">
        <f>IFERROR(s_TR/(s_RadSpec!$E17*s_IFAP_res_adj*s_CF_apple),".")</f>
        <v>750.22975786334553</v>
      </c>
      <c r="E17" s="76">
        <f>IFERROR(s_TR/(s_RadSpec!$E17*s_IFAS_res_adj*s_CF_asparagus),".")</f>
        <v>750.22975786334553</v>
      </c>
      <c r="F17" s="76">
        <f>IFERROR(s_TR/(s_RadSpec!$E17*s_IFBT_res_adj*s_CF_beet),".")</f>
        <v>750.22975786334553</v>
      </c>
      <c r="G17" s="76">
        <f>IFERROR(s_TR/(s_RadSpec!$E17*s_IFBE_res_adj*s_CF_berries),".")</f>
        <v>750.22975786334553</v>
      </c>
      <c r="H17" s="76">
        <f>IFERROR(s_TR/(s_RadSpec!$E17*s_IFBR_res_adj*s_CF_broccoli),".")</f>
        <v>750.22975786334553</v>
      </c>
      <c r="I17" s="76">
        <f>IFERROR(s_TR/(s_RadSpec!$E17*s_IFCB_res_adj*s_CF_cabbage),".")</f>
        <v>750.22975786334553</v>
      </c>
      <c r="J17" s="76">
        <f>IFERROR(s_TR/(s_RadSpec!$E17*s_IFCR_res_adj*s_CF_carrot),".")</f>
        <v>750.22975786334553</v>
      </c>
      <c r="K17" s="76">
        <f>IFERROR(s_TR/(s_RadSpec!$E17*s_IFCI_res_adj*s_CF_citrus),".")</f>
        <v>750.22975786334553</v>
      </c>
      <c r="L17" s="76">
        <f>IFERROR(s_TR/(s_RadSpec!$E17*s_IFCO_res_adj*s_CF_corn),".")</f>
        <v>750.22975786334553</v>
      </c>
      <c r="M17" s="76">
        <f>IFERROR(s_TR/(s_RadSpec!$E17*s_IFCU_res_adj*s_CF_cucumber),".")</f>
        <v>750.22975786334553</v>
      </c>
      <c r="N17" s="76">
        <f>IFERROR(s_TR/(s_RadSpec!$E17*s_IFLE_res_adj*s_CF_lettuce),".")</f>
        <v>750.22975786334553</v>
      </c>
      <c r="O17" s="76">
        <f>IFERROR(s_TR/(s_RadSpec!$E17*s_IFLI_res_adj*s_CF_lima_bean),".")</f>
        <v>750.22975786334553</v>
      </c>
      <c r="P17" s="76">
        <f>IFERROR(s_TR/(s_RadSpec!$E17*s_IFOK_res_adj*s_CF_okra),".")</f>
        <v>750.22975786334553</v>
      </c>
      <c r="Q17" s="76">
        <f>IFERROR(s_TR/(s_RadSpec!$E17*s_IFON_res_adj*s_CF_onion),".")</f>
        <v>750.22975786334553</v>
      </c>
      <c r="R17" s="76">
        <f>IFERROR(s_TR/(s_RadSpec!$E17*s_IFPC_res_adj*s_CF_peach),".")</f>
        <v>750.22975786334553</v>
      </c>
      <c r="S17" s="76">
        <f>IFERROR(s_TR/(s_RadSpec!$E17*s_IFPR_res_adj*s_CF_pear),".")</f>
        <v>750.22975786334553</v>
      </c>
      <c r="T17" s="76">
        <f>IFERROR(s_TR/(s_RadSpec!$E17*s_IFPE_res_adj*s_CF_peas),".")</f>
        <v>750.22975786334553</v>
      </c>
      <c r="U17" s="76">
        <f>IFERROR(s_TR/(s_RadSpec!$E17*s_IFPT_res_adj*s_CF_potato),".")</f>
        <v>750.22975786334553</v>
      </c>
      <c r="V17" s="76">
        <f>IFERROR(s_TR/(s_RadSpec!$E17*s_IFPU_res_adj*s_CF_pumpkin),".")</f>
        <v>750.22975786334553</v>
      </c>
      <c r="W17" s="76">
        <f>IFERROR(s_TR/(s_RadSpec!$E17*s_IFSN_res_adj*s_CF_snap_bean),".")</f>
        <v>750.22975786334553</v>
      </c>
      <c r="X17" s="76">
        <f>IFERROR(s_TR/(s_RadSpec!$E17*s_IFST_res_adj*s_CF_strawberry),".")</f>
        <v>750.22975786334553</v>
      </c>
      <c r="Y17" s="76">
        <f>IFERROR(s_TR/(s_RadSpec!$E17*s_IFTO_res_adj*s_CF_tomato),".")</f>
        <v>750.22975786334553</v>
      </c>
      <c r="Z17" s="76">
        <f>IFERROR(s_TR/(s_RadSpec!$E17*s_IFRI_res_adj*s_CF_rice),".")</f>
        <v>750.22975786334553</v>
      </c>
      <c r="AA17" s="76">
        <f>IFERROR(s_TR/(s_RadSpec!$E17*s_IFCG_res_adj*s_CF_cereal),".")</f>
        <v>750.22975786334553</v>
      </c>
      <c r="AB17" s="76">
        <f t="shared" si="27"/>
        <v>187.55743946583638</v>
      </c>
      <c r="AC17" s="76">
        <f>IFERROR(s_TR/(s_RadSpec!$E17*s_IFAP_far_adj*s_CF_apple),".")</f>
        <v>750.22975786334553</v>
      </c>
      <c r="AD17" s="76">
        <f>IFERROR(s_TR/(s_RadSpec!$E17*s_IFAS_far_adj*s_CF_asparagus),".")</f>
        <v>750.22975786334553</v>
      </c>
      <c r="AE17" s="76">
        <f>IFERROR(s_TR/(s_RadSpec!$E17*s_IFBT_far_adj*s_CF_beet),".")</f>
        <v>750.22975786334553</v>
      </c>
      <c r="AF17" s="76">
        <f>IFERROR(s_TR/(s_RadSpec!$E17*s_IFBE_far_adj*s_CF_berries),".")</f>
        <v>750.22975786334553</v>
      </c>
      <c r="AG17" s="76">
        <f>IFERROR(s_TR/(s_RadSpec!$E17*s_IFBR_far_adj*s_CF_broccoli),".")</f>
        <v>750.22975786334553</v>
      </c>
      <c r="AH17" s="76">
        <f>IFERROR(s_TR/(s_RadSpec!$E17*s_IFCB_far_adj*s_CF_cabbage),".")</f>
        <v>750.22975786334553</v>
      </c>
      <c r="AI17" s="76">
        <f>IFERROR(s_TR/(s_RadSpec!$E17*s_IFCR_far_adj*s_CF_carrot),".")</f>
        <v>750.22975786334553</v>
      </c>
      <c r="AJ17" s="76">
        <f>IFERROR(s_TR/(s_RadSpec!$E17*s_IFCI_far_adj*s_CF_citrus),".")</f>
        <v>750.22975786334553</v>
      </c>
      <c r="AK17" s="76">
        <f>IFERROR(s_TR/(s_RadSpec!$E17*s_IFCO_far_adj*s_CF_corn),".")</f>
        <v>750.22975786334553</v>
      </c>
      <c r="AL17" s="76">
        <f>IFERROR(s_TR/(s_RadSpec!$E17*s_IFCU_far_adj*s_CF_cucumber),".")</f>
        <v>750.22975786334553</v>
      </c>
      <c r="AM17" s="76">
        <f>IFERROR(s_TR/(s_RadSpec!$E17*s_IFLE_far_adj*s_CF_lettuce),".")</f>
        <v>750.22975786334553</v>
      </c>
      <c r="AN17" s="76">
        <f>IFERROR(s_TR/(s_RadSpec!$E17*s_IFLI_far_adj*s_CF_lima_bean),".")</f>
        <v>750.22975786334553</v>
      </c>
      <c r="AO17" s="76">
        <f>IFERROR(s_TR/(s_RadSpec!$E17*s_IFOK_far_adj*s_CF_okra),".")</f>
        <v>750.22975786334553</v>
      </c>
      <c r="AP17" s="76">
        <f>IFERROR(s_TR/(s_RadSpec!$E17*s_IFON_far_adj*s_CF_onion),".")</f>
        <v>750.22975786334553</v>
      </c>
      <c r="AQ17" s="76">
        <f>IFERROR(s_TR/(s_RadSpec!$E17*s_IFPC_far_adj*s_CF_peach),".")</f>
        <v>750.22975786334553</v>
      </c>
      <c r="AR17" s="76">
        <f>IFERROR(s_TR/(s_RadSpec!$E17*s_IFPR_far_adj*s_CF_pear),".")</f>
        <v>750.22975786334553</v>
      </c>
      <c r="AS17" s="76">
        <f>IFERROR(s_TR/(s_RadSpec!$E17*s_IFPE_far_adj*s_CF_peas),".")</f>
        <v>750.22975786334553</v>
      </c>
      <c r="AT17" s="76">
        <f>IFERROR(s_TR/(s_RadSpec!$E17*s_IFPT_far_adj*s_CF_potato),".")</f>
        <v>750.22975786334553</v>
      </c>
      <c r="AU17" s="76">
        <f>IFERROR(s_TR/(s_RadSpec!$E17*s_IFPU_far_adj*s_CF_pumpkin),".")</f>
        <v>750.22975786334553</v>
      </c>
      <c r="AV17" s="76">
        <f>IFERROR(s_TR/(s_RadSpec!$E17*s_IFSN_far_adj*s_CF_snap_bean),".")</f>
        <v>750.22975786334553</v>
      </c>
      <c r="AW17" s="76">
        <f>IFERROR(s_TR/(s_RadSpec!$E17*s_IFST_far_adj*s_CF_strawberry),".")</f>
        <v>750.22975786334553</v>
      </c>
      <c r="AX17" s="76">
        <f>IFERROR(s_TR/(s_RadSpec!$E17*s_IFTO_far_adj*s_CF_tomato),".")</f>
        <v>750.22975786334553</v>
      </c>
      <c r="AY17" s="76">
        <f>IFERROR(s_TR/(s_RadSpec!$E17*s_IFRI_far_adj*s_CF_rice),".")</f>
        <v>750.22975786334553</v>
      </c>
      <c r="AZ17" s="76">
        <f>IFERROR(s_TR/(s_RadSpec!$E17*s_IFCG_far_adj*s_CF_cereal),".")</f>
        <v>750.22975786334553</v>
      </c>
      <c r="BA17" s="93">
        <f t="shared" si="1"/>
        <v>55000</v>
      </c>
      <c r="BB17" s="93">
        <f t="shared" si="2"/>
        <v>13750</v>
      </c>
      <c r="BC17" s="93">
        <f t="shared" si="3"/>
        <v>13750</v>
      </c>
      <c r="BD17" s="93">
        <f t="shared" si="4"/>
        <v>13750</v>
      </c>
      <c r="BE17" s="93">
        <f t="shared" si="5"/>
        <v>13750</v>
      </c>
      <c r="BF17" s="93">
        <f t="shared" si="6"/>
        <v>13750</v>
      </c>
      <c r="BG17" s="93">
        <f t="shared" si="7"/>
        <v>13750</v>
      </c>
      <c r="BH17" s="93">
        <f t="shared" si="8"/>
        <v>13750</v>
      </c>
      <c r="BI17" s="93">
        <f t="shared" si="9"/>
        <v>13750</v>
      </c>
      <c r="BJ17" s="93">
        <f t="shared" si="10"/>
        <v>13750</v>
      </c>
      <c r="BK17" s="93">
        <f t="shared" si="11"/>
        <v>13750</v>
      </c>
      <c r="BL17" s="93">
        <f t="shared" si="12"/>
        <v>13750</v>
      </c>
      <c r="BM17" s="93">
        <f t="shared" si="13"/>
        <v>13750</v>
      </c>
      <c r="BN17" s="93">
        <f t="shared" si="14"/>
        <v>13750</v>
      </c>
      <c r="BO17" s="93">
        <f t="shared" si="15"/>
        <v>13750</v>
      </c>
      <c r="BP17" s="93">
        <f t="shared" si="16"/>
        <v>13750</v>
      </c>
      <c r="BQ17" s="93">
        <f t="shared" si="17"/>
        <v>13750</v>
      </c>
      <c r="BR17" s="93">
        <f t="shared" si="18"/>
        <v>13750</v>
      </c>
      <c r="BS17" s="93">
        <f t="shared" si="19"/>
        <v>13750</v>
      </c>
      <c r="BT17" s="93">
        <f t="shared" si="20"/>
        <v>13750</v>
      </c>
      <c r="BU17" s="93">
        <f t="shared" si="21"/>
        <v>13750</v>
      </c>
      <c r="BV17" s="93">
        <f t="shared" si="22"/>
        <v>13750</v>
      </c>
      <c r="BW17" s="93">
        <f t="shared" si="23"/>
        <v>13750</v>
      </c>
      <c r="BX17" s="93">
        <f t="shared" si="24"/>
        <v>13750</v>
      </c>
      <c r="BY17" s="93">
        <f t="shared" si="25"/>
        <v>13750</v>
      </c>
    </row>
    <row r="18" spans="1:77" x14ac:dyDescent="0.25">
      <c r="A18" s="92" t="s">
        <v>28</v>
      </c>
      <c r="B18" s="90" t="s">
        <v>1074</v>
      </c>
      <c r="C18" s="76">
        <f t="shared" si="26"/>
        <v>4.0344867931074828E-2</v>
      </c>
      <c r="D18" s="76">
        <f>IFERROR(s_TR/(s_RadSpec!$E18*s_IFAP_res_adj*s_CF_apple),".")</f>
        <v>0.16137947172429931</v>
      </c>
      <c r="E18" s="76">
        <f>IFERROR(s_TR/(s_RadSpec!$E18*s_IFAS_res_adj*s_CF_asparagus),".")</f>
        <v>0.16137947172429931</v>
      </c>
      <c r="F18" s="76">
        <f>IFERROR(s_TR/(s_RadSpec!$E18*s_IFBT_res_adj*s_CF_beet),".")</f>
        <v>0.16137947172429931</v>
      </c>
      <c r="G18" s="76">
        <f>IFERROR(s_TR/(s_RadSpec!$E18*s_IFBE_res_adj*s_CF_berries),".")</f>
        <v>0.16137947172429931</v>
      </c>
      <c r="H18" s="76">
        <f>IFERROR(s_TR/(s_RadSpec!$E18*s_IFBR_res_adj*s_CF_broccoli),".")</f>
        <v>0.16137947172429931</v>
      </c>
      <c r="I18" s="76">
        <f>IFERROR(s_TR/(s_RadSpec!$E18*s_IFCB_res_adj*s_CF_cabbage),".")</f>
        <v>0.16137947172429931</v>
      </c>
      <c r="J18" s="76">
        <f>IFERROR(s_TR/(s_RadSpec!$E18*s_IFCR_res_adj*s_CF_carrot),".")</f>
        <v>0.16137947172429931</v>
      </c>
      <c r="K18" s="76">
        <f>IFERROR(s_TR/(s_RadSpec!$E18*s_IFCI_res_adj*s_CF_citrus),".")</f>
        <v>0.16137947172429931</v>
      </c>
      <c r="L18" s="76">
        <f>IFERROR(s_TR/(s_RadSpec!$E18*s_IFCO_res_adj*s_CF_corn),".")</f>
        <v>0.16137947172429931</v>
      </c>
      <c r="M18" s="76">
        <f>IFERROR(s_TR/(s_RadSpec!$E18*s_IFCU_res_adj*s_CF_cucumber),".")</f>
        <v>0.16137947172429931</v>
      </c>
      <c r="N18" s="76">
        <f>IFERROR(s_TR/(s_RadSpec!$E18*s_IFLE_res_adj*s_CF_lettuce),".")</f>
        <v>0.16137947172429931</v>
      </c>
      <c r="O18" s="76">
        <f>IFERROR(s_TR/(s_RadSpec!$E18*s_IFLI_res_adj*s_CF_lima_bean),".")</f>
        <v>0.16137947172429931</v>
      </c>
      <c r="P18" s="76">
        <f>IFERROR(s_TR/(s_RadSpec!$E18*s_IFOK_res_adj*s_CF_okra),".")</f>
        <v>0.16137947172429931</v>
      </c>
      <c r="Q18" s="76">
        <f>IFERROR(s_TR/(s_RadSpec!$E18*s_IFON_res_adj*s_CF_onion),".")</f>
        <v>0.16137947172429931</v>
      </c>
      <c r="R18" s="76">
        <f>IFERROR(s_TR/(s_RadSpec!$E18*s_IFPC_res_adj*s_CF_peach),".")</f>
        <v>0.16137947172429931</v>
      </c>
      <c r="S18" s="76">
        <f>IFERROR(s_TR/(s_RadSpec!$E18*s_IFPR_res_adj*s_CF_pear),".")</f>
        <v>0.16137947172429931</v>
      </c>
      <c r="T18" s="76">
        <f>IFERROR(s_TR/(s_RadSpec!$E18*s_IFPE_res_adj*s_CF_peas),".")</f>
        <v>0.16137947172429931</v>
      </c>
      <c r="U18" s="76">
        <f>IFERROR(s_TR/(s_RadSpec!$E18*s_IFPT_res_adj*s_CF_potato),".")</f>
        <v>0.16137947172429931</v>
      </c>
      <c r="V18" s="76">
        <f>IFERROR(s_TR/(s_RadSpec!$E18*s_IFPU_res_adj*s_CF_pumpkin),".")</f>
        <v>0.16137947172429931</v>
      </c>
      <c r="W18" s="76">
        <f>IFERROR(s_TR/(s_RadSpec!$E18*s_IFSN_res_adj*s_CF_snap_bean),".")</f>
        <v>0.16137947172429931</v>
      </c>
      <c r="X18" s="76">
        <f>IFERROR(s_TR/(s_RadSpec!$E18*s_IFST_res_adj*s_CF_strawberry),".")</f>
        <v>0.16137947172429931</v>
      </c>
      <c r="Y18" s="76">
        <f>IFERROR(s_TR/(s_RadSpec!$E18*s_IFTO_res_adj*s_CF_tomato),".")</f>
        <v>0.16137947172429931</v>
      </c>
      <c r="Z18" s="76">
        <f>IFERROR(s_TR/(s_RadSpec!$E18*s_IFRI_res_adj*s_CF_rice),".")</f>
        <v>0.16137947172429931</v>
      </c>
      <c r="AA18" s="76">
        <f>IFERROR(s_TR/(s_RadSpec!$E18*s_IFCG_res_adj*s_CF_cereal),".")</f>
        <v>0.16137947172429931</v>
      </c>
      <c r="AB18" s="76">
        <f t="shared" si="27"/>
        <v>4.0344867931074828E-2</v>
      </c>
      <c r="AC18" s="76">
        <f>IFERROR(s_TR/(s_RadSpec!$E18*s_IFAP_far_adj*s_CF_apple),".")</f>
        <v>0.16137947172429931</v>
      </c>
      <c r="AD18" s="76">
        <f>IFERROR(s_TR/(s_RadSpec!$E18*s_IFAS_far_adj*s_CF_asparagus),".")</f>
        <v>0.16137947172429931</v>
      </c>
      <c r="AE18" s="76">
        <f>IFERROR(s_TR/(s_RadSpec!$E18*s_IFBT_far_adj*s_CF_beet),".")</f>
        <v>0.16137947172429931</v>
      </c>
      <c r="AF18" s="76">
        <f>IFERROR(s_TR/(s_RadSpec!$E18*s_IFBE_far_adj*s_CF_berries),".")</f>
        <v>0.16137947172429931</v>
      </c>
      <c r="AG18" s="76">
        <f>IFERROR(s_TR/(s_RadSpec!$E18*s_IFBR_far_adj*s_CF_broccoli),".")</f>
        <v>0.16137947172429931</v>
      </c>
      <c r="AH18" s="76">
        <f>IFERROR(s_TR/(s_RadSpec!$E18*s_IFCB_far_adj*s_CF_cabbage),".")</f>
        <v>0.16137947172429931</v>
      </c>
      <c r="AI18" s="76">
        <f>IFERROR(s_TR/(s_RadSpec!$E18*s_IFCR_far_adj*s_CF_carrot),".")</f>
        <v>0.16137947172429931</v>
      </c>
      <c r="AJ18" s="76">
        <f>IFERROR(s_TR/(s_RadSpec!$E18*s_IFCI_far_adj*s_CF_citrus),".")</f>
        <v>0.16137947172429931</v>
      </c>
      <c r="AK18" s="76">
        <f>IFERROR(s_TR/(s_RadSpec!$E18*s_IFCO_far_adj*s_CF_corn),".")</f>
        <v>0.16137947172429931</v>
      </c>
      <c r="AL18" s="76">
        <f>IFERROR(s_TR/(s_RadSpec!$E18*s_IFCU_far_adj*s_CF_cucumber),".")</f>
        <v>0.16137947172429931</v>
      </c>
      <c r="AM18" s="76">
        <f>IFERROR(s_TR/(s_RadSpec!$E18*s_IFLE_far_adj*s_CF_lettuce),".")</f>
        <v>0.16137947172429931</v>
      </c>
      <c r="AN18" s="76">
        <f>IFERROR(s_TR/(s_RadSpec!$E18*s_IFLI_far_adj*s_CF_lima_bean),".")</f>
        <v>0.16137947172429931</v>
      </c>
      <c r="AO18" s="76">
        <f>IFERROR(s_TR/(s_RadSpec!$E18*s_IFOK_far_adj*s_CF_okra),".")</f>
        <v>0.16137947172429931</v>
      </c>
      <c r="AP18" s="76">
        <f>IFERROR(s_TR/(s_RadSpec!$E18*s_IFON_far_adj*s_CF_onion),".")</f>
        <v>0.16137947172429931</v>
      </c>
      <c r="AQ18" s="76">
        <f>IFERROR(s_TR/(s_RadSpec!$E18*s_IFPC_far_adj*s_CF_peach),".")</f>
        <v>0.16137947172429931</v>
      </c>
      <c r="AR18" s="76">
        <f>IFERROR(s_TR/(s_RadSpec!$E18*s_IFPR_far_adj*s_CF_pear),".")</f>
        <v>0.16137947172429931</v>
      </c>
      <c r="AS18" s="76">
        <f>IFERROR(s_TR/(s_RadSpec!$E18*s_IFPE_far_adj*s_CF_peas),".")</f>
        <v>0.16137947172429931</v>
      </c>
      <c r="AT18" s="76">
        <f>IFERROR(s_TR/(s_RadSpec!$E18*s_IFPT_far_adj*s_CF_potato),".")</f>
        <v>0.16137947172429931</v>
      </c>
      <c r="AU18" s="76">
        <f>IFERROR(s_TR/(s_RadSpec!$E18*s_IFPU_far_adj*s_CF_pumpkin),".")</f>
        <v>0.16137947172429931</v>
      </c>
      <c r="AV18" s="76">
        <f>IFERROR(s_TR/(s_RadSpec!$E18*s_IFSN_far_adj*s_CF_snap_bean),".")</f>
        <v>0.16137947172429931</v>
      </c>
      <c r="AW18" s="76">
        <f>IFERROR(s_TR/(s_RadSpec!$E18*s_IFST_far_adj*s_CF_strawberry),".")</f>
        <v>0.16137947172429931</v>
      </c>
      <c r="AX18" s="76">
        <f>IFERROR(s_TR/(s_RadSpec!$E18*s_IFTO_far_adj*s_CF_tomato),".")</f>
        <v>0.16137947172429931</v>
      </c>
      <c r="AY18" s="76">
        <f>IFERROR(s_TR/(s_RadSpec!$E18*s_IFRI_far_adj*s_CF_rice),".")</f>
        <v>0.16137947172429931</v>
      </c>
      <c r="AZ18" s="76">
        <f>IFERROR(s_TR/(s_RadSpec!$E18*s_IFCG_far_adj*s_CF_cereal),".")</f>
        <v>0.16137947172429931</v>
      </c>
      <c r="BA18" s="93">
        <f t="shared" si="1"/>
        <v>55000</v>
      </c>
      <c r="BB18" s="93">
        <f t="shared" si="2"/>
        <v>13750</v>
      </c>
      <c r="BC18" s="93">
        <f t="shared" si="3"/>
        <v>13750</v>
      </c>
      <c r="BD18" s="93">
        <f t="shared" si="4"/>
        <v>13750</v>
      </c>
      <c r="BE18" s="93">
        <f t="shared" si="5"/>
        <v>13750</v>
      </c>
      <c r="BF18" s="93">
        <f t="shared" si="6"/>
        <v>13750</v>
      </c>
      <c r="BG18" s="93">
        <f t="shared" si="7"/>
        <v>13750</v>
      </c>
      <c r="BH18" s="93">
        <f t="shared" si="8"/>
        <v>13750</v>
      </c>
      <c r="BI18" s="93">
        <f t="shared" si="9"/>
        <v>13750</v>
      </c>
      <c r="BJ18" s="93">
        <f t="shared" si="10"/>
        <v>13750</v>
      </c>
      <c r="BK18" s="93">
        <f t="shared" si="11"/>
        <v>13750</v>
      </c>
      <c r="BL18" s="93">
        <f t="shared" si="12"/>
        <v>13750</v>
      </c>
      <c r="BM18" s="93">
        <f t="shared" si="13"/>
        <v>13750</v>
      </c>
      <c r="BN18" s="93">
        <f t="shared" si="14"/>
        <v>13750</v>
      </c>
      <c r="BO18" s="93">
        <f t="shared" si="15"/>
        <v>13750</v>
      </c>
      <c r="BP18" s="93">
        <f t="shared" si="16"/>
        <v>13750</v>
      </c>
      <c r="BQ18" s="93">
        <f t="shared" si="17"/>
        <v>13750</v>
      </c>
      <c r="BR18" s="93">
        <f t="shared" si="18"/>
        <v>13750</v>
      </c>
      <c r="BS18" s="93">
        <f t="shared" si="19"/>
        <v>13750</v>
      </c>
      <c r="BT18" s="93">
        <f t="shared" si="20"/>
        <v>13750</v>
      </c>
      <c r="BU18" s="93">
        <f t="shared" si="21"/>
        <v>13750</v>
      </c>
      <c r="BV18" s="93">
        <f t="shared" si="22"/>
        <v>13750</v>
      </c>
      <c r="BW18" s="93">
        <f t="shared" si="23"/>
        <v>13750</v>
      </c>
      <c r="BX18" s="93">
        <f t="shared" si="24"/>
        <v>13750</v>
      </c>
      <c r="BY18" s="93">
        <f t="shared" si="25"/>
        <v>13750</v>
      </c>
    </row>
    <row r="19" spans="1:77" x14ac:dyDescent="0.25">
      <c r="A19" s="92" t="s">
        <v>29</v>
      </c>
      <c r="B19" s="90" t="s">
        <v>1074</v>
      </c>
      <c r="C19" s="76" t="str">
        <f t="shared" si="26"/>
        <v>.</v>
      </c>
      <c r="D19" s="76" t="str">
        <f>IFERROR(s_TR/(s_RadSpec!$E19*s_IFAP_res_adj*s_CF_apple),".")</f>
        <v>.</v>
      </c>
      <c r="E19" s="76" t="str">
        <f>IFERROR(s_TR/(s_RadSpec!$E19*s_IFAS_res_adj*s_CF_asparagus),".")</f>
        <v>.</v>
      </c>
      <c r="F19" s="76" t="str">
        <f>IFERROR(s_TR/(s_RadSpec!$E19*s_IFBT_res_adj*s_CF_beet),".")</f>
        <v>.</v>
      </c>
      <c r="G19" s="76" t="str">
        <f>IFERROR(s_TR/(s_RadSpec!$E19*s_IFBE_res_adj*s_CF_berries),".")</f>
        <v>.</v>
      </c>
      <c r="H19" s="76" t="str">
        <f>IFERROR(s_TR/(s_RadSpec!$E19*s_IFBR_res_adj*s_CF_broccoli),".")</f>
        <v>.</v>
      </c>
      <c r="I19" s="76" t="str">
        <f>IFERROR(s_TR/(s_RadSpec!$E19*s_IFCB_res_adj*s_CF_cabbage),".")</f>
        <v>.</v>
      </c>
      <c r="J19" s="76" t="str">
        <f>IFERROR(s_TR/(s_RadSpec!$E19*s_IFCR_res_adj*s_CF_carrot),".")</f>
        <v>.</v>
      </c>
      <c r="K19" s="76" t="str">
        <f>IFERROR(s_TR/(s_RadSpec!$E19*s_IFCI_res_adj*s_CF_citrus),".")</f>
        <v>.</v>
      </c>
      <c r="L19" s="76" t="str">
        <f>IFERROR(s_TR/(s_RadSpec!$E19*s_IFCO_res_adj*s_CF_corn),".")</f>
        <v>.</v>
      </c>
      <c r="M19" s="76" t="str">
        <f>IFERROR(s_TR/(s_RadSpec!$E19*s_IFCU_res_adj*s_CF_cucumber),".")</f>
        <v>.</v>
      </c>
      <c r="N19" s="76" t="str">
        <f>IFERROR(s_TR/(s_RadSpec!$E19*s_IFLE_res_adj*s_CF_lettuce),".")</f>
        <v>.</v>
      </c>
      <c r="O19" s="76" t="str">
        <f>IFERROR(s_TR/(s_RadSpec!$E19*s_IFLI_res_adj*s_CF_lima_bean),".")</f>
        <v>.</v>
      </c>
      <c r="P19" s="76" t="str">
        <f>IFERROR(s_TR/(s_RadSpec!$E19*s_IFOK_res_adj*s_CF_okra),".")</f>
        <v>.</v>
      </c>
      <c r="Q19" s="76" t="str">
        <f>IFERROR(s_TR/(s_RadSpec!$E19*s_IFON_res_adj*s_CF_onion),".")</f>
        <v>.</v>
      </c>
      <c r="R19" s="76" t="str">
        <f>IFERROR(s_TR/(s_RadSpec!$E19*s_IFPC_res_adj*s_CF_peach),".")</f>
        <v>.</v>
      </c>
      <c r="S19" s="76" t="str">
        <f>IFERROR(s_TR/(s_RadSpec!$E19*s_IFPR_res_adj*s_CF_pear),".")</f>
        <v>.</v>
      </c>
      <c r="T19" s="76" t="str">
        <f>IFERROR(s_TR/(s_RadSpec!$E19*s_IFPE_res_adj*s_CF_peas),".")</f>
        <v>.</v>
      </c>
      <c r="U19" s="76" t="str">
        <f>IFERROR(s_TR/(s_RadSpec!$E19*s_IFPT_res_adj*s_CF_potato),".")</f>
        <v>.</v>
      </c>
      <c r="V19" s="76" t="str">
        <f>IFERROR(s_TR/(s_RadSpec!$E19*s_IFPU_res_adj*s_CF_pumpkin),".")</f>
        <v>.</v>
      </c>
      <c r="W19" s="76" t="str">
        <f>IFERROR(s_TR/(s_RadSpec!$E19*s_IFSN_res_adj*s_CF_snap_bean),".")</f>
        <v>.</v>
      </c>
      <c r="X19" s="76" t="str">
        <f>IFERROR(s_TR/(s_RadSpec!$E19*s_IFST_res_adj*s_CF_strawberry),".")</f>
        <v>.</v>
      </c>
      <c r="Y19" s="76" t="str">
        <f>IFERROR(s_TR/(s_RadSpec!$E19*s_IFTO_res_adj*s_CF_tomato),".")</f>
        <v>.</v>
      </c>
      <c r="Z19" s="76" t="str">
        <f>IFERROR(s_TR/(s_RadSpec!$E19*s_IFRI_res_adj*s_CF_rice),".")</f>
        <v>.</v>
      </c>
      <c r="AA19" s="76" t="str">
        <f>IFERROR(s_TR/(s_RadSpec!$E19*s_IFCG_res_adj*s_CF_cereal),".")</f>
        <v>.</v>
      </c>
      <c r="AB19" s="76" t="str">
        <f t="shared" si="27"/>
        <v>.</v>
      </c>
      <c r="AC19" s="76" t="str">
        <f>IFERROR(s_TR/(s_RadSpec!$E19*s_IFAP_far_adj*s_CF_apple),".")</f>
        <v>.</v>
      </c>
      <c r="AD19" s="76" t="str">
        <f>IFERROR(s_TR/(s_RadSpec!$E19*s_IFAS_far_adj*s_CF_asparagus),".")</f>
        <v>.</v>
      </c>
      <c r="AE19" s="76" t="str">
        <f>IFERROR(s_TR/(s_RadSpec!$E19*s_IFBT_far_adj*s_CF_beet),".")</f>
        <v>.</v>
      </c>
      <c r="AF19" s="76" t="str">
        <f>IFERROR(s_TR/(s_RadSpec!$E19*s_IFBE_far_adj*s_CF_berries),".")</f>
        <v>.</v>
      </c>
      <c r="AG19" s="76" t="str">
        <f>IFERROR(s_TR/(s_RadSpec!$E19*s_IFBR_far_adj*s_CF_broccoli),".")</f>
        <v>.</v>
      </c>
      <c r="AH19" s="76" t="str">
        <f>IFERROR(s_TR/(s_RadSpec!$E19*s_IFCB_far_adj*s_CF_cabbage),".")</f>
        <v>.</v>
      </c>
      <c r="AI19" s="76" t="str">
        <f>IFERROR(s_TR/(s_RadSpec!$E19*s_IFCR_far_adj*s_CF_carrot),".")</f>
        <v>.</v>
      </c>
      <c r="AJ19" s="76" t="str">
        <f>IFERROR(s_TR/(s_RadSpec!$E19*s_IFCI_far_adj*s_CF_citrus),".")</f>
        <v>.</v>
      </c>
      <c r="AK19" s="76" t="str">
        <f>IFERROR(s_TR/(s_RadSpec!$E19*s_IFCO_far_adj*s_CF_corn),".")</f>
        <v>.</v>
      </c>
      <c r="AL19" s="76" t="str">
        <f>IFERROR(s_TR/(s_RadSpec!$E19*s_IFCU_far_adj*s_CF_cucumber),".")</f>
        <v>.</v>
      </c>
      <c r="AM19" s="76" t="str">
        <f>IFERROR(s_TR/(s_RadSpec!$E19*s_IFLE_far_adj*s_CF_lettuce),".")</f>
        <v>.</v>
      </c>
      <c r="AN19" s="76" t="str">
        <f>IFERROR(s_TR/(s_RadSpec!$E19*s_IFLI_far_adj*s_CF_lima_bean),".")</f>
        <v>.</v>
      </c>
      <c r="AO19" s="76" t="str">
        <f>IFERROR(s_TR/(s_RadSpec!$E19*s_IFOK_far_adj*s_CF_okra),".")</f>
        <v>.</v>
      </c>
      <c r="AP19" s="76" t="str">
        <f>IFERROR(s_TR/(s_RadSpec!$E19*s_IFON_far_adj*s_CF_onion),".")</f>
        <v>.</v>
      </c>
      <c r="AQ19" s="76" t="str">
        <f>IFERROR(s_TR/(s_RadSpec!$E19*s_IFPC_far_adj*s_CF_peach),".")</f>
        <v>.</v>
      </c>
      <c r="AR19" s="76" t="str">
        <f>IFERROR(s_TR/(s_RadSpec!$E19*s_IFPR_far_adj*s_CF_pear),".")</f>
        <v>.</v>
      </c>
      <c r="AS19" s="76" t="str">
        <f>IFERROR(s_TR/(s_RadSpec!$E19*s_IFPE_far_adj*s_CF_peas),".")</f>
        <v>.</v>
      </c>
      <c r="AT19" s="76" t="str">
        <f>IFERROR(s_TR/(s_RadSpec!$E19*s_IFPT_far_adj*s_CF_potato),".")</f>
        <v>.</v>
      </c>
      <c r="AU19" s="76" t="str">
        <f>IFERROR(s_TR/(s_RadSpec!$E19*s_IFPU_far_adj*s_CF_pumpkin),".")</f>
        <v>.</v>
      </c>
      <c r="AV19" s="76" t="str">
        <f>IFERROR(s_TR/(s_RadSpec!$E19*s_IFSN_far_adj*s_CF_snap_bean),".")</f>
        <v>.</v>
      </c>
      <c r="AW19" s="76" t="str">
        <f>IFERROR(s_TR/(s_RadSpec!$E19*s_IFST_far_adj*s_CF_strawberry),".")</f>
        <v>.</v>
      </c>
      <c r="AX19" s="76" t="str">
        <f>IFERROR(s_TR/(s_RadSpec!$E19*s_IFTO_far_adj*s_CF_tomato),".")</f>
        <v>.</v>
      </c>
      <c r="AY19" s="76" t="str">
        <f>IFERROR(s_TR/(s_RadSpec!$E19*s_IFRI_far_adj*s_CF_rice),".")</f>
        <v>.</v>
      </c>
      <c r="AZ19" s="76" t="str">
        <f>IFERROR(s_TR/(s_RadSpec!$E19*s_IFCG_far_adj*s_CF_cereal),".")</f>
        <v>.</v>
      </c>
      <c r="BA19" s="93">
        <f t="shared" si="1"/>
        <v>55000</v>
      </c>
      <c r="BB19" s="93">
        <f t="shared" si="2"/>
        <v>13750</v>
      </c>
      <c r="BC19" s="93">
        <f t="shared" si="3"/>
        <v>13750</v>
      </c>
      <c r="BD19" s="93">
        <f t="shared" si="4"/>
        <v>13750</v>
      </c>
      <c r="BE19" s="93">
        <f t="shared" si="5"/>
        <v>13750</v>
      </c>
      <c r="BF19" s="93">
        <f t="shared" si="6"/>
        <v>13750</v>
      </c>
      <c r="BG19" s="93">
        <f t="shared" si="7"/>
        <v>13750</v>
      </c>
      <c r="BH19" s="93">
        <f t="shared" si="8"/>
        <v>13750</v>
      </c>
      <c r="BI19" s="93">
        <f t="shared" si="9"/>
        <v>13750</v>
      </c>
      <c r="BJ19" s="93">
        <f t="shared" si="10"/>
        <v>13750</v>
      </c>
      <c r="BK19" s="93">
        <f t="shared" si="11"/>
        <v>13750</v>
      </c>
      <c r="BL19" s="93">
        <f t="shared" si="12"/>
        <v>13750</v>
      </c>
      <c r="BM19" s="93">
        <f t="shared" si="13"/>
        <v>13750</v>
      </c>
      <c r="BN19" s="93">
        <f t="shared" si="14"/>
        <v>13750</v>
      </c>
      <c r="BO19" s="93">
        <f t="shared" si="15"/>
        <v>13750</v>
      </c>
      <c r="BP19" s="93">
        <f t="shared" si="16"/>
        <v>13750</v>
      </c>
      <c r="BQ19" s="93">
        <f t="shared" si="17"/>
        <v>13750</v>
      </c>
      <c r="BR19" s="93">
        <f t="shared" si="18"/>
        <v>13750</v>
      </c>
      <c r="BS19" s="93">
        <f t="shared" si="19"/>
        <v>13750</v>
      </c>
      <c r="BT19" s="93">
        <f t="shared" si="20"/>
        <v>13750</v>
      </c>
      <c r="BU19" s="93">
        <f t="shared" si="21"/>
        <v>13750</v>
      </c>
      <c r="BV19" s="93">
        <f t="shared" si="22"/>
        <v>13750</v>
      </c>
      <c r="BW19" s="93">
        <f t="shared" si="23"/>
        <v>13750</v>
      </c>
      <c r="BX19" s="93">
        <f t="shared" si="24"/>
        <v>13750</v>
      </c>
      <c r="BY19" s="93">
        <f t="shared" si="25"/>
        <v>13750</v>
      </c>
    </row>
    <row r="20" spans="1:77" x14ac:dyDescent="0.25">
      <c r="A20" s="92" t="s">
        <v>30</v>
      </c>
      <c r="B20" s="90" t="s">
        <v>1074</v>
      </c>
      <c r="C20" s="76" t="str">
        <f t="shared" si="26"/>
        <v>.</v>
      </c>
      <c r="D20" s="76" t="str">
        <f>IFERROR(s_TR/(s_RadSpec!$E20*s_IFAP_res_adj*s_CF_apple),".")</f>
        <v>.</v>
      </c>
      <c r="E20" s="76" t="str">
        <f>IFERROR(s_TR/(s_RadSpec!$E20*s_IFAS_res_adj*s_CF_asparagus),".")</f>
        <v>.</v>
      </c>
      <c r="F20" s="76" t="str">
        <f>IFERROR(s_TR/(s_RadSpec!$E20*s_IFBT_res_adj*s_CF_beet),".")</f>
        <v>.</v>
      </c>
      <c r="G20" s="76" t="str">
        <f>IFERROR(s_TR/(s_RadSpec!$E20*s_IFBE_res_adj*s_CF_berries),".")</f>
        <v>.</v>
      </c>
      <c r="H20" s="76" t="str">
        <f>IFERROR(s_TR/(s_RadSpec!$E20*s_IFBR_res_adj*s_CF_broccoli),".")</f>
        <v>.</v>
      </c>
      <c r="I20" s="76" t="str">
        <f>IFERROR(s_TR/(s_RadSpec!$E20*s_IFCB_res_adj*s_CF_cabbage),".")</f>
        <v>.</v>
      </c>
      <c r="J20" s="76" t="str">
        <f>IFERROR(s_TR/(s_RadSpec!$E20*s_IFCR_res_adj*s_CF_carrot),".")</f>
        <v>.</v>
      </c>
      <c r="K20" s="76" t="str">
        <f>IFERROR(s_TR/(s_RadSpec!$E20*s_IFCI_res_adj*s_CF_citrus),".")</f>
        <v>.</v>
      </c>
      <c r="L20" s="76" t="str">
        <f>IFERROR(s_TR/(s_RadSpec!$E20*s_IFCO_res_adj*s_CF_corn),".")</f>
        <v>.</v>
      </c>
      <c r="M20" s="76" t="str">
        <f>IFERROR(s_TR/(s_RadSpec!$E20*s_IFCU_res_adj*s_CF_cucumber),".")</f>
        <v>.</v>
      </c>
      <c r="N20" s="76" t="str">
        <f>IFERROR(s_TR/(s_RadSpec!$E20*s_IFLE_res_adj*s_CF_lettuce),".")</f>
        <v>.</v>
      </c>
      <c r="O20" s="76" t="str">
        <f>IFERROR(s_TR/(s_RadSpec!$E20*s_IFLI_res_adj*s_CF_lima_bean),".")</f>
        <v>.</v>
      </c>
      <c r="P20" s="76" t="str">
        <f>IFERROR(s_TR/(s_RadSpec!$E20*s_IFOK_res_adj*s_CF_okra),".")</f>
        <v>.</v>
      </c>
      <c r="Q20" s="76" t="str">
        <f>IFERROR(s_TR/(s_RadSpec!$E20*s_IFON_res_adj*s_CF_onion),".")</f>
        <v>.</v>
      </c>
      <c r="R20" s="76" t="str">
        <f>IFERROR(s_TR/(s_RadSpec!$E20*s_IFPC_res_adj*s_CF_peach),".")</f>
        <v>.</v>
      </c>
      <c r="S20" s="76" t="str">
        <f>IFERROR(s_TR/(s_RadSpec!$E20*s_IFPR_res_adj*s_CF_pear),".")</f>
        <v>.</v>
      </c>
      <c r="T20" s="76" t="str">
        <f>IFERROR(s_TR/(s_RadSpec!$E20*s_IFPE_res_adj*s_CF_peas),".")</f>
        <v>.</v>
      </c>
      <c r="U20" s="76" t="str">
        <f>IFERROR(s_TR/(s_RadSpec!$E20*s_IFPT_res_adj*s_CF_potato),".")</f>
        <v>.</v>
      </c>
      <c r="V20" s="76" t="str">
        <f>IFERROR(s_TR/(s_RadSpec!$E20*s_IFPU_res_adj*s_CF_pumpkin),".")</f>
        <v>.</v>
      </c>
      <c r="W20" s="76" t="str">
        <f>IFERROR(s_TR/(s_RadSpec!$E20*s_IFSN_res_adj*s_CF_snap_bean),".")</f>
        <v>.</v>
      </c>
      <c r="X20" s="76" t="str">
        <f>IFERROR(s_TR/(s_RadSpec!$E20*s_IFST_res_adj*s_CF_strawberry),".")</f>
        <v>.</v>
      </c>
      <c r="Y20" s="76" t="str">
        <f>IFERROR(s_TR/(s_RadSpec!$E20*s_IFTO_res_adj*s_CF_tomato),".")</f>
        <v>.</v>
      </c>
      <c r="Z20" s="76" t="str">
        <f>IFERROR(s_TR/(s_RadSpec!$E20*s_IFRI_res_adj*s_CF_rice),".")</f>
        <v>.</v>
      </c>
      <c r="AA20" s="76" t="str">
        <f>IFERROR(s_TR/(s_RadSpec!$E20*s_IFCG_res_adj*s_CF_cereal),".")</f>
        <v>.</v>
      </c>
      <c r="AB20" s="76" t="str">
        <f t="shared" si="27"/>
        <v>.</v>
      </c>
      <c r="AC20" s="76" t="str">
        <f>IFERROR(s_TR/(s_RadSpec!$E20*s_IFAP_far_adj*s_CF_apple),".")</f>
        <v>.</v>
      </c>
      <c r="AD20" s="76" t="str">
        <f>IFERROR(s_TR/(s_RadSpec!$E20*s_IFAS_far_adj*s_CF_asparagus),".")</f>
        <v>.</v>
      </c>
      <c r="AE20" s="76" t="str">
        <f>IFERROR(s_TR/(s_RadSpec!$E20*s_IFBT_far_adj*s_CF_beet),".")</f>
        <v>.</v>
      </c>
      <c r="AF20" s="76" t="str">
        <f>IFERROR(s_TR/(s_RadSpec!$E20*s_IFBE_far_adj*s_CF_berries),".")</f>
        <v>.</v>
      </c>
      <c r="AG20" s="76" t="str">
        <f>IFERROR(s_TR/(s_RadSpec!$E20*s_IFBR_far_adj*s_CF_broccoli),".")</f>
        <v>.</v>
      </c>
      <c r="AH20" s="76" t="str">
        <f>IFERROR(s_TR/(s_RadSpec!$E20*s_IFCB_far_adj*s_CF_cabbage),".")</f>
        <v>.</v>
      </c>
      <c r="AI20" s="76" t="str">
        <f>IFERROR(s_TR/(s_RadSpec!$E20*s_IFCR_far_adj*s_CF_carrot),".")</f>
        <v>.</v>
      </c>
      <c r="AJ20" s="76" t="str">
        <f>IFERROR(s_TR/(s_RadSpec!$E20*s_IFCI_far_adj*s_CF_citrus),".")</f>
        <v>.</v>
      </c>
      <c r="AK20" s="76" t="str">
        <f>IFERROR(s_TR/(s_RadSpec!$E20*s_IFCO_far_adj*s_CF_corn),".")</f>
        <v>.</v>
      </c>
      <c r="AL20" s="76" t="str">
        <f>IFERROR(s_TR/(s_RadSpec!$E20*s_IFCU_far_adj*s_CF_cucumber),".")</f>
        <v>.</v>
      </c>
      <c r="AM20" s="76" t="str">
        <f>IFERROR(s_TR/(s_RadSpec!$E20*s_IFLE_far_adj*s_CF_lettuce),".")</f>
        <v>.</v>
      </c>
      <c r="AN20" s="76" t="str">
        <f>IFERROR(s_TR/(s_RadSpec!$E20*s_IFLI_far_adj*s_CF_lima_bean),".")</f>
        <v>.</v>
      </c>
      <c r="AO20" s="76" t="str">
        <f>IFERROR(s_TR/(s_RadSpec!$E20*s_IFOK_far_adj*s_CF_okra),".")</f>
        <v>.</v>
      </c>
      <c r="AP20" s="76" t="str">
        <f>IFERROR(s_TR/(s_RadSpec!$E20*s_IFON_far_adj*s_CF_onion),".")</f>
        <v>.</v>
      </c>
      <c r="AQ20" s="76" t="str">
        <f>IFERROR(s_TR/(s_RadSpec!$E20*s_IFPC_far_adj*s_CF_peach),".")</f>
        <v>.</v>
      </c>
      <c r="AR20" s="76" t="str">
        <f>IFERROR(s_TR/(s_RadSpec!$E20*s_IFPR_far_adj*s_CF_pear),".")</f>
        <v>.</v>
      </c>
      <c r="AS20" s="76" t="str">
        <f>IFERROR(s_TR/(s_RadSpec!$E20*s_IFPE_far_adj*s_CF_peas),".")</f>
        <v>.</v>
      </c>
      <c r="AT20" s="76" t="str">
        <f>IFERROR(s_TR/(s_RadSpec!$E20*s_IFPT_far_adj*s_CF_potato),".")</f>
        <v>.</v>
      </c>
      <c r="AU20" s="76" t="str">
        <f>IFERROR(s_TR/(s_RadSpec!$E20*s_IFPU_far_adj*s_CF_pumpkin),".")</f>
        <v>.</v>
      </c>
      <c r="AV20" s="76" t="str">
        <f>IFERROR(s_TR/(s_RadSpec!$E20*s_IFSN_far_adj*s_CF_snap_bean),".")</f>
        <v>.</v>
      </c>
      <c r="AW20" s="76" t="str">
        <f>IFERROR(s_TR/(s_RadSpec!$E20*s_IFST_far_adj*s_CF_strawberry),".")</f>
        <v>.</v>
      </c>
      <c r="AX20" s="76" t="str">
        <f>IFERROR(s_TR/(s_RadSpec!$E20*s_IFTO_far_adj*s_CF_tomato),".")</f>
        <v>.</v>
      </c>
      <c r="AY20" s="76" t="str">
        <f>IFERROR(s_TR/(s_RadSpec!$E20*s_IFRI_far_adj*s_CF_rice),".")</f>
        <v>.</v>
      </c>
      <c r="AZ20" s="76" t="str">
        <f>IFERROR(s_TR/(s_RadSpec!$E20*s_IFCG_far_adj*s_CF_cereal),".")</f>
        <v>.</v>
      </c>
      <c r="BA20" s="93">
        <f t="shared" si="1"/>
        <v>55000</v>
      </c>
      <c r="BB20" s="93">
        <f t="shared" si="2"/>
        <v>13750</v>
      </c>
      <c r="BC20" s="93">
        <f t="shared" si="3"/>
        <v>13750</v>
      </c>
      <c r="BD20" s="93">
        <f t="shared" si="4"/>
        <v>13750</v>
      </c>
      <c r="BE20" s="93">
        <f t="shared" si="5"/>
        <v>13750</v>
      </c>
      <c r="BF20" s="93">
        <f t="shared" si="6"/>
        <v>13750</v>
      </c>
      <c r="BG20" s="93">
        <f t="shared" si="7"/>
        <v>13750</v>
      </c>
      <c r="BH20" s="93">
        <f t="shared" si="8"/>
        <v>13750</v>
      </c>
      <c r="BI20" s="93">
        <f t="shared" si="9"/>
        <v>13750</v>
      </c>
      <c r="BJ20" s="93">
        <f t="shared" si="10"/>
        <v>13750</v>
      </c>
      <c r="BK20" s="93">
        <f t="shared" si="11"/>
        <v>13750</v>
      </c>
      <c r="BL20" s="93">
        <f t="shared" si="12"/>
        <v>13750</v>
      </c>
      <c r="BM20" s="93">
        <f t="shared" si="13"/>
        <v>13750</v>
      </c>
      <c r="BN20" s="93">
        <f t="shared" si="14"/>
        <v>13750</v>
      </c>
      <c r="BO20" s="93">
        <f t="shared" si="15"/>
        <v>13750</v>
      </c>
      <c r="BP20" s="93">
        <f t="shared" si="16"/>
        <v>13750</v>
      </c>
      <c r="BQ20" s="93">
        <f t="shared" si="17"/>
        <v>13750</v>
      </c>
      <c r="BR20" s="93">
        <f t="shared" si="18"/>
        <v>13750</v>
      </c>
      <c r="BS20" s="93">
        <f t="shared" si="19"/>
        <v>13750</v>
      </c>
      <c r="BT20" s="93">
        <f t="shared" si="20"/>
        <v>13750</v>
      </c>
      <c r="BU20" s="93">
        <f t="shared" si="21"/>
        <v>13750</v>
      </c>
      <c r="BV20" s="93">
        <f t="shared" si="22"/>
        <v>13750</v>
      </c>
      <c r="BW20" s="93">
        <f t="shared" si="23"/>
        <v>13750</v>
      </c>
      <c r="BX20" s="93">
        <f t="shared" si="24"/>
        <v>13750</v>
      </c>
      <c r="BY20" s="93">
        <f t="shared" si="25"/>
        <v>13750</v>
      </c>
    </row>
    <row r="21" spans="1:77" x14ac:dyDescent="0.25">
      <c r="A21" s="92" t="s">
        <v>31</v>
      </c>
      <c r="B21" s="90" t="s">
        <v>1074</v>
      </c>
      <c r="C21" s="76" t="str">
        <f t="shared" si="26"/>
        <v>.</v>
      </c>
      <c r="D21" s="76" t="str">
        <f>IFERROR(s_TR/(s_RadSpec!$E21*s_IFAP_res_adj*s_CF_apple),".")</f>
        <v>.</v>
      </c>
      <c r="E21" s="76" t="str">
        <f>IFERROR(s_TR/(s_RadSpec!$E21*s_IFAS_res_adj*s_CF_asparagus),".")</f>
        <v>.</v>
      </c>
      <c r="F21" s="76" t="str">
        <f>IFERROR(s_TR/(s_RadSpec!$E21*s_IFBT_res_adj*s_CF_beet),".")</f>
        <v>.</v>
      </c>
      <c r="G21" s="76" t="str">
        <f>IFERROR(s_TR/(s_RadSpec!$E21*s_IFBE_res_adj*s_CF_berries),".")</f>
        <v>.</v>
      </c>
      <c r="H21" s="76" t="str">
        <f>IFERROR(s_TR/(s_RadSpec!$E21*s_IFBR_res_adj*s_CF_broccoli),".")</f>
        <v>.</v>
      </c>
      <c r="I21" s="76" t="str">
        <f>IFERROR(s_TR/(s_RadSpec!$E21*s_IFCB_res_adj*s_CF_cabbage),".")</f>
        <v>.</v>
      </c>
      <c r="J21" s="76" t="str">
        <f>IFERROR(s_TR/(s_RadSpec!$E21*s_IFCR_res_adj*s_CF_carrot),".")</f>
        <v>.</v>
      </c>
      <c r="K21" s="76" t="str">
        <f>IFERROR(s_TR/(s_RadSpec!$E21*s_IFCI_res_adj*s_CF_citrus),".")</f>
        <v>.</v>
      </c>
      <c r="L21" s="76" t="str">
        <f>IFERROR(s_TR/(s_RadSpec!$E21*s_IFCO_res_adj*s_CF_corn),".")</f>
        <v>.</v>
      </c>
      <c r="M21" s="76" t="str">
        <f>IFERROR(s_TR/(s_RadSpec!$E21*s_IFCU_res_adj*s_CF_cucumber),".")</f>
        <v>.</v>
      </c>
      <c r="N21" s="76" t="str">
        <f>IFERROR(s_TR/(s_RadSpec!$E21*s_IFLE_res_adj*s_CF_lettuce),".")</f>
        <v>.</v>
      </c>
      <c r="O21" s="76" t="str">
        <f>IFERROR(s_TR/(s_RadSpec!$E21*s_IFLI_res_adj*s_CF_lima_bean),".")</f>
        <v>.</v>
      </c>
      <c r="P21" s="76" t="str">
        <f>IFERROR(s_TR/(s_RadSpec!$E21*s_IFOK_res_adj*s_CF_okra),".")</f>
        <v>.</v>
      </c>
      <c r="Q21" s="76" t="str">
        <f>IFERROR(s_TR/(s_RadSpec!$E21*s_IFON_res_adj*s_CF_onion),".")</f>
        <v>.</v>
      </c>
      <c r="R21" s="76" t="str">
        <f>IFERROR(s_TR/(s_RadSpec!$E21*s_IFPC_res_adj*s_CF_peach),".")</f>
        <v>.</v>
      </c>
      <c r="S21" s="76" t="str">
        <f>IFERROR(s_TR/(s_RadSpec!$E21*s_IFPR_res_adj*s_CF_pear),".")</f>
        <v>.</v>
      </c>
      <c r="T21" s="76" t="str">
        <f>IFERROR(s_TR/(s_RadSpec!$E21*s_IFPE_res_adj*s_CF_peas),".")</f>
        <v>.</v>
      </c>
      <c r="U21" s="76" t="str">
        <f>IFERROR(s_TR/(s_RadSpec!$E21*s_IFPT_res_adj*s_CF_potato),".")</f>
        <v>.</v>
      </c>
      <c r="V21" s="76" t="str">
        <f>IFERROR(s_TR/(s_RadSpec!$E21*s_IFPU_res_adj*s_CF_pumpkin),".")</f>
        <v>.</v>
      </c>
      <c r="W21" s="76" t="str">
        <f>IFERROR(s_TR/(s_RadSpec!$E21*s_IFSN_res_adj*s_CF_snap_bean),".")</f>
        <v>.</v>
      </c>
      <c r="X21" s="76" t="str">
        <f>IFERROR(s_TR/(s_RadSpec!$E21*s_IFST_res_adj*s_CF_strawberry),".")</f>
        <v>.</v>
      </c>
      <c r="Y21" s="76" t="str">
        <f>IFERROR(s_TR/(s_RadSpec!$E21*s_IFTO_res_adj*s_CF_tomato),".")</f>
        <v>.</v>
      </c>
      <c r="Z21" s="76" t="str">
        <f>IFERROR(s_TR/(s_RadSpec!$E21*s_IFRI_res_adj*s_CF_rice),".")</f>
        <v>.</v>
      </c>
      <c r="AA21" s="76" t="str">
        <f>IFERROR(s_TR/(s_RadSpec!$E21*s_IFCG_res_adj*s_CF_cereal),".")</f>
        <v>.</v>
      </c>
      <c r="AB21" s="76" t="str">
        <f t="shared" si="27"/>
        <v>.</v>
      </c>
      <c r="AC21" s="76" t="str">
        <f>IFERROR(s_TR/(s_RadSpec!$E21*s_IFAP_far_adj*s_CF_apple),".")</f>
        <v>.</v>
      </c>
      <c r="AD21" s="76" t="str">
        <f>IFERROR(s_TR/(s_RadSpec!$E21*s_IFAS_far_adj*s_CF_asparagus),".")</f>
        <v>.</v>
      </c>
      <c r="AE21" s="76" t="str">
        <f>IFERROR(s_TR/(s_RadSpec!$E21*s_IFBT_far_adj*s_CF_beet),".")</f>
        <v>.</v>
      </c>
      <c r="AF21" s="76" t="str">
        <f>IFERROR(s_TR/(s_RadSpec!$E21*s_IFBE_far_adj*s_CF_berries),".")</f>
        <v>.</v>
      </c>
      <c r="AG21" s="76" t="str">
        <f>IFERROR(s_TR/(s_RadSpec!$E21*s_IFBR_far_adj*s_CF_broccoli),".")</f>
        <v>.</v>
      </c>
      <c r="AH21" s="76" t="str">
        <f>IFERROR(s_TR/(s_RadSpec!$E21*s_IFCB_far_adj*s_CF_cabbage),".")</f>
        <v>.</v>
      </c>
      <c r="AI21" s="76" t="str">
        <f>IFERROR(s_TR/(s_RadSpec!$E21*s_IFCR_far_adj*s_CF_carrot),".")</f>
        <v>.</v>
      </c>
      <c r="AJ21" s="76" t="str">
        <f>IFERROR(s_TR/(s_RadSpec!$E21*s_IFCI_far_adj*s_CF_citrus),".")</f>
        <v>.</v>
      </c>
      <c r="AK21" s="76" t="str">
        <f>IFERROR(s_TR/(s_RadSpec!$E21*s_IFCO_far_adj*s_CF_corn),".")</f>
        <v>.</v>
      </c>
      <c r="AL21" s="76" t="str">
        <f>IFERROR(s_TR/(s_RadSpec!$E21*s_IFCU_far_adj*s_CF_cucumber),".")</f>
        <v>.</v>
      </c>
      <c r="AM21" s="76" t="str">
        <f>IFERROR(s_TR/(s_RadSpec!$E21*s_IFLE_far_adj*s_CF_lettuce),".")</f>
        <v>.</v>
      </c>
      <c r="AN21" s="76" t="str">
        <f>IFERROR(s_TR/(s_RadSpec!$E21*s_IFLI_far_adj*s_CF_lima_bean),".")</f>
        <v>.</v>
      </c>
      <c r="AO21" s="76" t="str">
        <f>IFERROR(s_TR/(s_RadSpec!$E21*s_IFOK_far_adj*s_CF_okra),".")</f>
        <v>.</v>
      </c>
      <c r="AP21" s="76" t="str">
        <f>IFERROR(s_TR/(s_RadSpec!$E21*s_IFON_far_adj*s_CF_onion),".")</f>
        <v>.</v>
      </c>
      <c r="AQ21" s="76" t="str">
        <f>IFERROR(s_TR/(s_RadSpec!$E21*s_IFPC_far_adj*s_CF_peach),".")</f>
        <v>.</v>
      </c>
      <c r="AR21" s="76" t="str">
        <f>IFERROR(s_TR/(s_RadSpec!$E21*s_IFPR_far_adj*s_CF_pear),".")</f>
        <v>.</v>
      </c>
      <c r="AS21" s="76" t="str">
        <f>IFERROR(s_TR/(s_RadSpec!$E21*s_IFPE_far_adj*s_CF_peas),".")</f>
        <v>.</v>
      </c>
      <c r="AT21" s="76" t="str">
        <f>IFERROR(s_TR/(s_RadSpec!$E21*s_IFPT_far_adj*s_CF_potato),".")</f>
        <v>.</v>
      </c>
      <c r="AU21" s="76" t="str">
        <f>IFERROR(s_TR/(s_RadSpec!$E21*s_IFPU_far_adj*s_CF_pumpkin),".")</f>
        <v>.</v>
      </c>
      <c r="AV21" s="76" t="str">
        <f>IFERROR(s_TR/(s_RadSpec!$E21*s_IFSN_far_adj*s_CF_snap_bean),".")</f>
        <v>.</v>
      </c>
      <c r="AW21" s="76" t="str">
        <f>IFERROR(s_TR/(s_RadSpec!$E21*s_IFST_far_adj*s_CF_strawberry),".")</f>
        <v>.</v>
      </c>
      <c r="AX21" s="76" t="str">
        <f>IFERROR(s_TR/(s_RadSpec!$E21*s_IFTO_far_adj*s_CF_tomato),".")</f>
        <v>.</v>
      </c>
      <c r="AY21" s="76" t="str">
        <f>IFERROR(s_TR/(s_RadSpec!$E21*s_IFRI_far_adj*s_CF_rice),".")</f>
        <v>.</v>
      </c>
      <c r="AZ21" s="76" t="str">
        <f>IFERROR(s_TR/(s_RadSpec!$E21*s_IFCG_far_adj*s_CF_cereal),".")</f>
        <v>.</v>
      </c>
      <c r="BA21" s="93">
        <f t="shared" si="1"/>
        <v>55000</v>
      </c>
      <c r="BB21" s="93">
        <f t="shared" si="2"/>
        <v>13750</v>
      </c>
      <c r="BC21" s="93">
        <f t="shared" si="3"/>
        <v>13750</v>
      </c>
      <c r="BD21" s="93">
        <f t="shared" si="4"/>
        <v>13750</v>
      </c>
      <c r="BE21" s="93">
        <f t="shared" si="5"/>
        <v>13750</v>
      </c>
      <c r="BF21" s="93">
        <f t="shared" si="6"/>
        <v>13750</v>
      </c>
      <c r="BG21" s="93">
        <f t="shared" si="7"/>
        <v>13750</v>
      </c>
      <c r="BH21" s="93">
        <f t="shared" si="8"/>
        <v>13750</v>
      </c>
      <c r="BI21" s="93">
        <f t="shared" si="9"/>
        <v>13750</v>
      </c>
      <c r="BJ21" s="93">
        <f t="shared" si="10"/>
        <v>13750</v>
      </c>
      <c r="BK21" s="93">
        <f t="shared" si="11"/>
        <v>13750</v>
      </c>
      <c r="BL21" s="93">
        <f t="shared" si="12"/>
        <v>13750</v>
      </c>
      <c r="BM21" s="93">
        <f t="shared" si="13"/>
        <v>13750</v>
      </c>
      <c r="BN21" s="93">
        <f t="shared" si="14"/>
        <v>13750</v>
      </c>
      <c r="BO21" s="93">
        <f t="shared" si="15"/>
        <v>13750</v>
      </c>
      <c r="BP21" s="93">
        <f t="shared" si="16"/>
        <v>13750</v>
      </c>
      <c r="BQ21" s="93">
        <f t="shared" si="17"/>
        <v>13750</v>
      </c>
      <c r="BR21" s="93">
        <f t="shared" si="18"/>
        <v>13750</v>
      </c>
      <c r="BS21" s="93">
        <f t="shared" si="19"/>
        <v>13750</v>
      </c>
      <c r="BT21" s="93">
        <f t="shared" si="20"/>
        <v>13750</v>
      </c>
      <c r="BU21" s="93">
        <f t="shared" si="21"/>
        <v>13750</v>
      </c>
      <c r="BV21" s="93">
        <f t="shared" si="22"/>
        <v>13750</v>
      </c>
      <c r="BW21" s="93">
        <f t="shared" si="23"/>
        <v>13750</v>
      </c>
      <c r="BX21" s="93">
        <f t="shared" si="24"/>
        <v>13750</v>
      </c>
      <c r="BY21" s="93">
        <f t="shared" si="25"/>
        <v>13750</v>
      </c>
    </row>
    <row r="22" spans="1:77" x14ac:dyDescent="0.25">
      <c r="A22" s="92" t="s">
        <v>32</v>
      </c>
      <c r="B22" s="90" t="s">
        <v>1074</v>
      </c>
      <c r="C22" s="76">
        <f t="shared" si="26"/>
        <v>0.59204878481986911</v>
      </c>
      <c r="D22" s="76">
        <f>IFERROR(s_TR/(s_RadSpec!$E22*s_IFAP_res_adj*s_CF_apple),".")</f>
        <v>2.3681951392794764</v>
      </c>
      <c r="E22" s="76">
        <f>IFERROR(s_TR/(s_RadSpec!$E22*s_IFAS_res_adj*s_CF_asparagus),".")</f>
        <v>2.3681951392794764</v>
      </c>
      <c r="F22" s="76">
        <f>IFERROR(s_TR/(s_RadSpec!$E22*s_IFBT_res_adj*s_CF_beet),".")</f>
        <v>2.3681951392794764</v>
      </c>
      <c r="G22" s="76">
        <f>IFERROR(s_TR/(s_RadSpec!$E22*s_IFBE_res_adj*s_CF_berries),".")</f>
        <v>2.3681951392794764</v>
      </c>
      <c r="H22" s="76">
        <f>IFERROR(s_TR/(s_RadSpec!$E22*s_IFBR_res_adj*s_CF_broccoli),".")</f>
        <v>2.3681951392794764</v>
      </c>
      <c r="I22" s="76">
        <f>IFERROR(s_TR/(s_RadSpec!$E22*s_IFCB_res_adj*s_CF_cabbage),".")</f>
        <v>2.3681951392794764</v>
      </c>
      <c r="J22" s="76">
        <f>IFERROR(s_TR/(s_RadSpec!$E22*s_IFCR_res_adj*s_CF_carrot),".")</f>
        <v>2.3681951392794764</v>
      </c>
      <c r="K22" s="76">
        <f>IFERROR(s_TR/(s_RadSpec!$E22*s_IFCI_res_adj*s_CF_citrus),".")</f>
        <v>2.3681951392794764</v>
      </c>
      <c r="L22" s="76">
        <f>IFERROR(s_TR/(s_RadSpec!$E22*s_IFCO_res_adj*s_CF_corn),".")</f>
        <v>2.3681951392794764</v>
      </c>
      <c r="M22" s="76">
        <f>IFERROR(s_TR/(s_RadSpec!$E22*s_IFCU_res_adj*s_CF_cucumber),".")</f>
        <v>2.3681951392794764</v>
      </c>
      <c r="N22" s="76">
        <f>IFERROR(s_TR/(s_RadSpec!$E22*s_IFLE_res_adj*s_CF_lettuce),".")</f>
        <v>2.3681951392794764</v>
      </c>
      <c r="O22" s="76">
        <f>IFERROR(s_TR/(s_RadSpec!$E22*s_IFLI_res_adj*s_CF_lima_bean),".")</f>
        <v>2.3681951392794764</v>
      </c>
      <c r="P22" s="76">
        <f>IFERROR(s_TR/(s_RadSpec!$E22*s_IFOK_res_adj*s_CF_okra),".")</f>
        <v>2.3681951392794764</v>
      </c>
      <c r="Q22" s="76">
        <f>IFERROR(s_TR/(s_RadSpec!$E22*s_IFON_res_adj*s_CF_onion),".")</f>
        <v>2.3681951392794764</v>
      </c>
      <c r="R22" s="76">
        <f>IFERROR(s_TR/(s_RadSpec!$E22*s_IFPC_res_adj*s_CF_peach),".")</f>
        <v>2.3681951392794764</v>
      </c>
      <c r="S22" s="76">
        <f>IFERROR(s_TR/(s_RadSpec!$E22*s_IFPR_res_adj*s_CF_pear),".")</f>
        <v>2.3681951392794764</v>
      </c>
      <c r="T22" s="76">
        <f>IFERROR(s_TR/(s_RadSpec!$E22*s_IFPE_res_adj*s_CF_peas),".")</f>
        <v>2.3681951392794764</v>
      </c>
      <c r="U22" s="76">
        <f>IFERROR(s_TR/(s_RadSpec!$E22*s_IFPT_res_adj*s_CF_potato),".")</f>
        <v>2.3681951392794764</v>
      </c>
      <c r="V22" s="76">
        <f>IFERROR(s_TR/(s_RadSpec!$E22*s_IFPU_res_adj*s_CF_pumpkin),".")</f>
        <v>2.3681951392794764</v>
      </c>
      <c r="W22" s="76">
        <f>IFERROR(s_TR/(s_RadSpec!$E22*s_IFSN_res_adj*s_CF_snap_bean),".")</f>
        <v>2.3681951392794764</v>
      </c>
      <c r="X22" s="76">
        <f>IFERROR(s_TR/(s_RadSpec!$E22*s_IFST_res_adj*s_CF_strawberry),".")</f>
        <v>2.3681951392794764</v>
      </c>
      <c r="Y22" s="76">
        <f>IFERROR(s_TR/(s_RadSpec!$E22*s_IFTO_res_adj*s_CF_tomato),".")</f>
        <v>2.3681951392794764</v>
      </c>
      <c r="Z22" s="76">
        <f>IFERROR(s_TR/(s_RadSpec!$E22*s_IFRI_res_adj*s_CF_rice),".")</f>
        <v>2.3681951392794764</v>
      </c>
      <c r="AA22" s="76">
        <f>IFERROR(s_TR/(s_RadSpec!$E22*s_IFCG_res_adj*s_CF_cereal),".")</f>
        <v>2.3681951392794764</v>
      </c>
      <c r="AB22" s="76">
        <f t="shared" si="27"/>
        <v>0.59204878481986911</v>
      </c>
      <c r="AC22" s="76">
        <f>IFERROR(s_TR/(s_RadSpec!$E22*s_IFAP_far_adj*s_CF_apple),".")</f>
        <v>2.3681951392794764</v>
      </c>
      <c r="AD22" s="76">
        <f>IFERROR(s_TR/(s_RadSpec!$E22*s_IFAS_far_adj*s_CF_asparagus),".")</f>
        <v>2.3681951392794764</v>
      </c>
      <c r="AE22" s="76">
        <f>IFERROR(s_TR/(s_RadSpec!$E22*s_IFBT_far_adj*s_CF_beet),".")</f>
        <v>2.3681951392794764</v>
      </c>
      <c r="AF22" s="76">
        <f>IFERROR(s_TR/(s_RadSpec!$E22*s_IFBE_far_adj*s_CF_berries),".")</f>
        <v>2.3681951392794764</v>
      </c>
      <c r="AG22" s="76">
        <f>IFERROR(s_TR/(s_RadSpec!$E22*s_IFBR_far_adj*s_CF_broccoli),".")</f>
        <v>2.3681951392794764</v>
      </c>
      <c r="AH22" s="76">
        <f>IFERROR(s_TR/(s_RadSpec!$E22*s_IFCB_far_adj*s_CF_cabbage),".")</f>
        <v>2.3681951392794764</v>
      </c>
      <c r="AI22" s="76">
        <f>IFERROR(s_TR/(s_RadSpec!$E22*s_IFCR_far_adj*s_CF_carrot),".")</f>
        <v>2.3681951392794764</v>
      </c>
      <c r="AJ22" s="76">
        <f>IFERROR(s_TR/(s_RadSpec!$E22*s_IFCI_far_adj*s_CF_citrus),".")</f>
        <v>2.3681951392794764</v>
      </c>
      <c r="AK22" s="76">
        <f>IFERROR(s_TR/(s_RadSpec!$E22*s_IFCO_far_adj*s_CF_corn),".")</f>
        <v>2.3681951392794764</v>
      </c>
      <c r="AL22" s="76">
        <f>IFERROR(s_TR/(s_RadSpec!$E22*s_IFCU_far_adj*s_CF_cucumber),".")</f>
        <v>2.3681951392794764</v>
      </c>
      <c r="AM22" s="76">
        <f>IFERROR(s_TR/(s_RadSpec!$E22*s_IFLE_far_adj*s_CF_lettuce),".")</f>
        <v>2.3681951392794764</v>
      </c>
      <c r="AN22" s="76">
        <f>IFERROR(s_TR/(s_RadSpec!$E22*s_IFLI_far_adj*s_CF_lima_bean),".")</f>
        <v>2.3681951392794764</v>
      </c>
      <c r="AO22" s="76">
        <f>IFERROR(s_TR/(s_RadSpec!$E22*s_IFOK_far_adj*s_CF_okra),".")</f>
        <v>2.3681951392794764</v>
      </c>
      <c r="AP22" s="76">
        <f>IFERROR(s_TR/(s_RadSpec!$E22*s_IFON_far_adj*s_CF_onion),".")</f>
        <v>2.3681951392794764</v>
      </c>
      <c r="AQ22" s="76">
        <f>IFERROR(s_TR/(s_RadSpec!$E22*s_IFPC_far_adj*s_CF_peach),".")</f>
        <v>2.3681951392794764</v>
      </c>
      <c r="AR22" s="76">
        <f>IFERROR(s_TR/(s_RadSpec!$E22*s_IFPR_far_adj*s_CF_pear),".")</f>
        <v>2.3681951392794764</v>
      </c>
      <c r="AS22" s="76">
        <f>IFERROR(s_TR/(s_RadSpec!$E22*s_IFPE_far_adj*s_CF_peas),".")</f>
        <v>2.3681951392794764</v>
      </c>
      <c r="AT22" s="76">
        <f>IFERROR(s_TR/(s_RadSpec!$E22*s_IFPT_far_adj*s_CF_potato),".")</f>
        <v>2.3681951392794764</v>
      </c>
      <c r="AU22" s="76">
        <f>IFERROR(s_TR/(s_RadSpec!$E22*s_IFPU_far_adj*s_CF_pumpkin),".")</f>
        <v>2.3681951392794764</v>
      </c>
      <c r="AV22" s="76">
        <f>IFERROR(s_TR/(s_RadSpec!$E22*s_IFSN_far_adj*s_CF_snap_bean),".")</f>
        <v>2.3681951392794764</v>
      </c>
      <c r="AW22" s="76">
        <f>IFERROR(s_TR/(s_RadSpec!$E22*s_IFST_far_adj*s_CF_strawberry),".")</f>
        <v>2.3681951392794764</v>
      </c>
      <c r="AX22" s="76">
        <f>IFERROR(s_TR/(s_RadSpec!$E22*s_IFTO_far_adj*s_CF_tomato),".")</f>
        <v>2.3681951392794764</v>
      </c>
      <c r="AY22" s="76">
        <f>IFERROR(s_TR/(s_RadSpec!$E22*s_IFRI_far_adj*s_CF_rice),".")</f>
        <v>2.3681951392794764</v>
      </c>
      <c r="AZ22" s="76">
        <f>IFERROR(s_TR/(s_RadSpec!$E22*s_IFCG_far_adj*s_CF_cereal),".")</f>
        <v>2.3681951392794764</v>
      </c>
      <c r="BA22" s="93">
        <f t="shared" si="1"/>
        <v>55000</v>
      </c>
      <c r="BB22" s="93">
        <f t="shared" si="2"/>
        <v>13750</v>
      </c>
      <c r="BC22" s="93">
        <f t="shared" si="3"/>
        <v>13750</v>
      </c>
      <c r="BD22" s="93">
        <f t="shared" si="4"/>
        <v>13750</v>
      </c>
      <c r="BE22" s="93">
        <f t="shared" si="5"/>
        <v>13750</v>
      </c>
      <c r="BF22" s="93">
        <f t="shared" si="6"/>
        <v>13750</v>
      </c>
      <c r="BG22" s="93">
        <f t="shared" si="7"/>
        <v>13750</v>
      </c>
      <c r="BH22" s="93">
        <f t="shared" si="8"/>
        <v>13750</v>
      </c>
      <c r="BI22" s="93">
        <f t="shared" si="9"/>
        <v>13750</v>
      </c>
      <c r="BJ22" s="93">
        <f t="shared" si="10"/>
        <v>13750</v>
      </c>
      <c r="BK22" s="93">
        <f t="shared" si="11"/>
        <v>13750</v>
      </c>
      <c r="BL22" s="93">
        <f t="shared" si="12"/>
        <v>13750</v>
      </c>
      <c r="BM22" s="93">
        <f t="shared" si="13"/>
        <v>13750</v>
      </c>
      <c r="BN22" s="93">
        <f t="shared" si="14"/>
        <v>13750</v>
      </c>
      <c r="BO22" s="93">
        <f t="shared" si="15"/>
        <v>13750</v>
      </c>
      <c r="BP22" s="93">
        <f t="shared" si="16"/>
        <v>13750</v>
      </c>
      <c r="BQ22" s="93">
        <f t="shared" si="17"/>
        <v>13750</v>
      </c>
      <c r="BR22" s="93">
        <f t="shared" si="18"/>
        <v>13750</v>
      </c>
      <c r="BS22" s="93">
        <f t="shared" si="19"/>
        <v>13750</v>
      </c>
      <c r="BT22" s="93">
        <f t="shared" si="20"/>
        <v>13750</v>
      </c>
      <c r="BU22" s="93">
        <f t="shared" si="21"/>
        <v>13750</v>
      </c>
      <c r="BV22" s="93">
        <f t="shared" si="22"/>
        <v>13750</v>
      </c>
      <c r="BW22" s="93">
        <f t="shared" si="23"/>
        <v>13750</v>
      </c>
      <c r="BX22" s="93">
        <f t="shared" si="24"/>
        <v>13750</v>
      </c>
      <c r="BY22" s="93">
        <f t="shared" si="25"/>
        <v>13750</v>
      </c>
    </row>
    <row r="23" spans="1:77" x14ac:dyDescent="0.25">
      <c r="A23" s="94" t="s">
        <v>33</v>
      </c>
      <c r="B23" s="90" t="s">
        <v>351</v>
      </c>
      <c r="C23" s="76">
        <f t="shared" si="26"/>
        <v>0.17676276669082425</v>
      </c>
      <c r="D23" s="76">
        <f>IFERROR(s_TR/(s_RadSpec!$E23*s_IFAP_res_adj*s_CF_apple),".")</f>
        <v>0.70705106676329699</v>
      </c>
      <c r="E23" s="76">
        <f>IFERROR(s_TR/(s_RadSpec!$E23*s_IFAS_res_adj*s_CF_asparagus),".")</f>
        <v>0.70705106676329699</v>
      </c>
      <c r="F23" s="76">
        <f>IFERROR(s_TR/(s_RadSpec!$E23*s_IFBT_res_adj*s_CF_beet),".")</f>
        <v>0.70705106676329699</v>
      </c>
      <c r="G23" s="76">
        <f>IFERROR(s_TR/(s_RadSpec!$E23*s_IFBE_res_adj*s_CF_berries),".")</f>
        <v>0.70705106676329699</v>
      </c>
      <c r="H23" s="76">
        <f>IFERROR(s_TR/(s_RadSpec!$E23*s_IFBR_res_adj*s_CF_broccoli),".")</f>
        <v>0.70705106676329699</v>
      </c>
      <c r="I23" s="76">
        <f>IFERROR(s_TR/(s_RadSpec!$E23*s_IFCB_res_adj*s_CF_cabbage),".")</f>
        <v>0.70705106676329699</v>
      </c>
      <c r="J23" s="76">
        <f>IFERROR(s_TR/(s_RadSpec!$E23*s_IFCR_res_adj*s_CF_carrot),".")</f>
        <v>0.70705106676329699</v>
      </c>
      <c r="K23" s="76">
        <f>IFERROR(s_TR/(s_RadSpec!$E23*s_IFCI_res_adj*s_CF_citrus),".")</f>
        <v>0.70705106676329699</v>
      </c>
      <c r="L23" s="76">
        <f>IFERROR(s_TR/(s_RadSpec!$E23*s_IFCO_res_adj*s_CF_corn),".")</f>
        <v>0.70705106676329699</v>
      </c>
      <c r="M23" s="76">
        <f>IFERROR(s_TR/(s_RadSpec!$E23*s_IFCU_res_adj*s_CF_cucumber),".")</f>
        <v>0.70705106676329699</v>
      </c>
      <c r="N23" s="76">
        <f>IFERROR(s_TR/(s_RadSpec!$E23*s_IFLE_res_adj*s_CF_lettuce),".")</f>
        <v>0.70705106676329699</v>
      </c>
      <c r="O23" s="76">
        <f>IFERROR(s_TR/(s_RadSpec!$E23*s_IFLI_res_adj*s_CF_lima_bean),".")</f>
        <v>0.70705106676329699</v>
      </c>
      <c r="P23" s="76">
        <f>IFERROR(s_TR/(s_RadSpec!$E23*s_IFOK_res_adj*s_CF_okra),".")</f>
        <v>0.70705106676329699</v>
      </c>
      <c r="Q23" s="76">
        <f>IFERROR(s_TR/(s_RadSpec!$E23*s_IFON_res_adj*s_CF_onion),".")</f>
        <v>0.70705106676329699</v>
      </c>
      <c r="R23" s="76">
        <f>IFERROR(s_TR/(s_RadSpec!$E23*s_IFPC_res_adj*s_CF_peach),".")</f>
        <v>0.70705106676329699</v>
      </c>
      <c r="S23" s="76">
        <f>IFERROR(s_TR/(s_RadSpec!$E23*s_IFPR_res_adj*s_CF_pear),".")</f>
        <v>0.70705106676329699</v>
      </c>
      <c r="T23" s="76">
        <f>IFERROR(s_TR/(s_RadSpec!$E23*s_IFPE_res_adj*s_CF_peas),".")</f>
        <v>0.70705106676329699</v>
      </c>
      <c r="U23" s="76">
        <f>IFERROR(s_TR/(s_RadSpec!$E23*s_IFPT_res_adj*s_CF_potato),".")</f>
        <v>0.70705106676329699</v>
      </c>
      <c r="V23" s="76">
        <f>IFERROR(s_TR/(s_RadSpec!$E23*s_IFPU_res_adj*s_CF_pumpkin),".")</f>
        <v>0.70705106676329699</v>
      </c>
      <c r="W23" s="76">
        <f>IFERROR(s_TR/(s_RadSpec!$E23*s_IFSN_res_adj*s_CF_snap_bean),".")</f>
        <v>0.70705106676329699</v>
      </c>
      <c r="X23" s="76">
        <f>IFERROR(s_TR/(s_RadSpec!$E23*s_IFST_res_adj*s_CF_strawberry),".")</f>
        <v>0.70705106676329699</v>
      </c>
      <c r="Y23" s="76">
        <f>IFERROR(s_TR/(s_RadSpec!$E23*s_IFTO_res_adj*s_CF_tomato),".")</f>
        <v>0.70705106676329699</v>
      </c>
      <c r="Z23" s="76">
        <f>IFERROR(s_TR/(s_RadSpec!$E23*s_IFRI_res_adj*s_CF_rice),".")</f>
        <v>0.70705106676329699</v>
      </c>
      <c r="AA23" s="76">
        <f>IFERROR(s_TR/(s_RadSpec!$E23*s_IFCG_res_adj*s_CF_cereal),".")</f>
        <v>0.70705106676329699</v>
      </c>
      <c r="AB23" s="76">
        <f t="shared" si="27"/>
        <v>0.17676276669082425</v>
      </c>
      <c r="AC23" s="76">
        <f>IFERROR(s_TR/(s_RadSpec!$E23*s_IFAP_far_adj*s_CF_apple),".")</f>
        <v>0.70705106676329699</v>
      </c>
      <c r="AD23" s="76">
        <f>IFERROR(s_TR/(s_RadSpec!$E23*s_IFAS_far_adj*s_CF_asparagus),".")</f>
        <v>0.70705106676329699</v>
      </c>
      <c r="AE23" s="76">
        <f>IFERROR(s_TR/(s_RadSpec!$E23*s_IFBT_far_adj*s_CF_beet),".")</f>
        <v>0.70705106676329699</v>
      </c>
      <c r="AF23" s="76">
        <f>IFERROR(s_TR/(s_RadSpec!$E23*s_IFBE_far_adj*s_CF_berries),".")</f>
        <v>0.70705106676329699</v>
      </c>
      <c r="AG23" s="76">
        <f>IFERROR(s_TR/(s_RadSpec!$E23*s_IFBR_far_adj*s_CF_broccoli),".")</f>
        <v>0.70705106676329699</v>
      </c>
      <c r="AH23" s="76">
        <f>IFERROR(s_TR/(s_RadSpec!$E23*s_IFCB_far_adj*s_CF_cabbage),".")</f>
        <v>0.70705106676329699</v>
      </c>
      <c r="AI23" s="76">
        <f>IFERROR(s_TR/(s_RadSpec!$E23*s_IFCR_far_adj*s_CF_carrot),".")</f>
        <v>0.70705106676329699</v>
      </c>
      <c r="AJ23" s="76">
        <f>IFERROR(s_TR/(s_RadSpec!$E23*s_IFCI_far_adj*s_CF_citrus),".")</f>
        <v>0.70705106676329699</v>
      </c>
      <c r="AK23" s="76">
        <f>IFERROR(s_TR/(s_RadSpec!$E23*s_IFCO_far_adj*s_CF_corn),".")</f>
        <v>0.70705106676329699</v>
      </c>
      <c r="AL23" s="76">
        <f>IFERROR(s_TR/(s_RadSpec!$E23*s_IFCU_far_adj*s_CF_cucumber),".")</f>
        <v>0.70705106676329699</v>
      </c>
      <c r="AM23" s="76">
        <f>IFERROR(s_TR/(s_RadSpec!$E23*s_IFLE_far_adj*s_CF_lettuce),".")</f>
        <v>0.70705106676329699</v>
      </c>
      <c r="AN23" s="76">
        <f>IFERROR(s_TR/(s_RadSpec!$E23*s_IFLI_far_adj*s_CF_lima_bean),".")</f>
        <v>0.70705106676329699</v>
      </c>
      <c r="AO23" s="76">
        <f>IFERROR(s_TR/(s_RadSpec!$E23*s_IFOK_far_adj*s_CF_okra),".")</f>
        <v>0.70705106676329699</v>
      </c>
      <c r="AP23" s="76">
        <f>IFERROR(s_TR/(s_RadSpec!$E23*s_IFON_far_adj*s_CF_onion),".")</f>
        <v>0.70705106676329699</v>
      </c>
      <c r="AQ23" s="76">
        <f>IFERROR(s_TR/(s_RadSpec!$E23*s_IFPC_far_adj*s_CF_peach),".")</f>
        <v>0.70705106676329699</v>
      </c>
      <c r="AR23" s="76">
        <f>IFERROR(s_TR/(s_RadSpec!$E23*s_IFPR_far_adj*s_CF_pear),".")</f>
        <v>0.70705106676329699</v>
      </c>
      <c r="AS23" s="76">
        <f>IFERROR(s_TR/(s_RadSpec!$E23*s_IFPE_far_adj*s_CF_peas),".")</f>
        <v>0.70705106676329699</v>
      </c>
      <c r="AT23" s="76">
        <f>IFERROR(s_TR/(s_RadSpec!$E23*s_IFPT_far_adj*s_CF_potato),".")</f>
        <v>0.70705106676329699</v>
      </c>
      <c r="AU23" s="76">
        <f>IFERROR(s_TR/(s_RadSpec!$E23*s_IFPU_far_adj*s_CF_pumpkin),".")</f>
        <v>0.70705106676329699</v>
      </c>
      <c r="AV23" s="76">
        <f>IFERROR(s_TR/(s_RadSpec!$E23*s_IFSN_far_adj*s_CF_snap_bean),".")</f>
        <v>0.70705106676329699</v>
      </c>
      <c r="AW23" s="76">
        <f>IFERROR(s_TR/(s_RadSpec!$E23*s_IFST_far_adj*s_CF_strawberry),".")</f>
        <v>0.70705106676329699</v>
      </c>
      <c r="AX23" s="76">
        <f>IFERROR(s_TR/(s_RadSpec!$E23*s_IFTO_far_adj*s_CF_tomato),".")</f>
        <v>0.70705106676329699</v>
      </c>
      <c r="AY23" s="76">
        <f>IFERROR(s_TR/(s_RadSpec!$E23*s_IFRI_far_adj*s_CF_rice),".")</f>
        <v>0.70705106676329699</v>
      </c>
      <c r="AZ23" s="76">
        <f>IFERROR(s_TR/(s_RadSpec!$E23*s_IFCG_far_adj*s_CF_cereal),".")</f>
        <v>0.70705106676329699</v>
      </c>
      <c r="BA23" s="93">
        <f t="shared" si="1"/>
        <v>55000</v>
      </c>
      <c r="BB23" s="93">
        <f t="shared" si="2"/>
        <v>13750</v>
      </c>
      <c r="BC23" s="93">
        <f t="shared" si="3"/>
        <v>13750</v>
      </c>
      <c r="BD23" s="93">
        <f t="shared" si="4"/>
        <v>13750</v>
      </c>
      <c r="BE23" s="93">
        <f t="shared" si="5"/>
        <v>13750</v>
      </c>
      <c r="BF23" s="93">
        <f t="shared" si="6"/>
        <v>13750</v>
      </c>
      <c r="BG23" s="93">
        <f t="shared" si="7"/>
        <v>13750</v>
      </c>
      <c r="BH23" s="93">
        <f t="shared" si="8"/>
        <v>13750</v>
      </c>
      <c r="BI23" s="93">
        <f t="shared" si="9"/>
        <v>13750</v>
      </c>
      <c r="BJ23" s="93">
        <f t="shared" si="10"/>
        <v>13750</v>
      </c>
      <c r="BK23" s="93">
        <f t="shared" si="11"/>
        <v>13750</v>
      </c>
      <c r="BL23" s="93">
        <f t="shared" si="12"/>
        <v>13750</v>
      </c>
      <c r="BM23" s="93">
        <f t="shared" si="13"/>
        <v>13750</v>
      </c>
      <c r="BN23" s="93">
        <f t="shared" si="14"/>
        <v>13750</v>
      </c>
      <c r="BO23" s="93">
        <f t="shared" si="15"/>
        <v>13750</v>
      </c>
      <c r="BP23" s="93">
        <f t="shared" si="16"/>
        <v>13750</v>
      </c>
      <c r="BQ23" s="93">
        <f t="shared" si="17"/>
        <v>13750</v>
      </c>
      <c r="BR23" s="93">
        <f t="shared" si="18"/>
        <v>13750</v>
      </c>
      <c r="BS23" s="93">
        <f t="shared" si="19"/>
        <v>13750</v>
      </c>
      <c r="BT23" s="93">
        <f t="shared" si="20"/>
        <v>13750</v>
      </c>
      <c r="BU23" s="93">
        <f t="shared" si="21"/>
        <v>13750</v>
      </c>
      <c r="BV23" s="93">
        <f t="shared" si="22"/>
        <v>13750</v>
      </c>
      <c r="BW23" s="93">
        <f t="shared" si="23"/>
        <v>13750</v>
      </c>
      <c r="BX23" s="93">
        <f t="shared" si="24"/>
        <v>13750</v>
      </c>
      <c r="BY23" s="93">
        <f t="shared" si="25"/>
        <v>13750</v>
      </c>
    </row>
    <row r="24" spans="1:77" x14ac:dyDescent="0.25">
      <c r="A24" s="92" t="s">
        <v>34</v>
      </c>
      <c r="B24" s="90" t="s">
        <v>1074</v>
      </c>
      <c r="C24" s="76" t="str">
        <f t="shared" si="26"/>
        <v>.</v>
      </c>
      <c r="D24" s="76" t="str">
        <f>IFERROR(s_TR/(s_RadSpec!$E24*s_IFAP_res_adj*s_CF_apple),".")</f>
        <v>.</v>
      </c>
      <c r="E24" s="76" t="str">
        <f>IFERROR(s_TR/(s_RadSpec!$E24*s_IFAS_res_adj*s_CF_asparagus),".")</f>
        <v>.</v>
      </c>
      <c r="F24" s="76" t="str">
        <f>IFERROR(s_TR/(s_RadSpec!$E24*s_IFBT_res_adj*s_CF_beet),".")</f>
        <v>.</v>
      </c>
      <c r="G24" s="76" t="str">
        <f>IFERROR(s_TR/(s_RadSpec!$E24*s_IFBE_res_adj*s_CF_berries),".")</f>
        <v>.</v>
      </c>
      <c r="H24" s="76" t="str">
        <f>IFERROR(s_TR/(s_RadSpec!$E24*s_IFBR_res_adj*s_CF_broccoli),".")</f>
        <v>.</v>
      </c>
      <c r="I24" s="76" t="str">
        <f>IFERROR(s_TR/(s_RadSpec!$E24*s_IFCB_res_adj*s_CF_cabbage),".")</f>
        <v>.</v>
      </c>
      <c r="J24" s="76" t="str">
        <f>IFERROR(s_TR/(s_RadSpec!$E24*s_IFCR_res_adj*s_CF_carrot),".")</f>
        <v>.</v>
      </c>
      <c r="K24" s="76" t="str">
        <f>IFERROR(s_TR/(s_RadSpec!$E24*s_IFCI_res_adj*s_CF_citrus),".")</f>
        <v>.</v>
      </c>
      <c r="L24" s="76" t="str">
        <f>IFERROR(s_TR/(s_RadSpec!$E24*s_IFCO_res_adj*s_CF_corn),".")</f>
        <v>.</v>
      </c>
      <c r="M24" s="76" t="str">
        <f>IFERROR(s_TR/(s_RadSpec!$E24*s_IFCU_res_adj*s_CF_cucumber),".")</f>
        <v>.</v>
      </c>
      <c r="N24" s="76" t="str">
        <f>IFERROR(s_TR/(s_RadSpec!$E24*s_IFLE_res_adj*s_CF_lettuce),".")</f>
        <v>.</v>
      </c>
      <c r="O24" s="76" t="str">
        <f>IFERROR(s_TR/(s_RadSpec!$E24*s_IFLI_res_adj*s_CF_lima_bean),".")</f>
        <v>.</v>
      </c>
      <c r="P24" s="76" t="str">
        <f>IFERROR(s_TR/(s_RadSpec!$E24*s_IFOK_res_adj*s_CF_okra),".")</f>
        <v>.</v>
      </c>
      <c r="Q24" s="76" t="str">
        <f>IFERROR(s_TR/(s_RadSpec!$E24*s_IFON_res_adj*s_CF_onion),".")</f>
        <v>.</v>
      </c>
      <c r="R24" s="76" t="str">
        <f>IFERROR(s_TR/(s_RadSpec!$E24*s_IFPC_res_adj*s_CF_peach),".")</f>
        <v>.</v>
      </c>
      <c r="S24" s="76" t="str">
        <f>IFERROR(s_TR/(s_RadSpec!$E24*s_IFPR_res_adj*s_CF_pear),".")</f>
        <v>.</v>
      </c>
      <c r="T24" s="76" t="str">
        <f>IFERROR(s_TR/(s_RadSpec!$E24*s_IFPE_res_adj*s_CF_peas),".")</f>
        <v>.</v>
      </c>
      <c r="U24" s="76" t="str">
        <f>IFERROR(s_TR/(s_RadSpec!$E24*s_IFPT_res_adj*s_CF_potato),".")</f>
        <v>.</v>
      </c>
      <c r="V24" s="76" t="str">
        <f>IFERROR(s_TR/(s_RadSpec!$E24*s_IFPU_res_adj*s_CF_pumpkin),".")</f>
        <v>.</v>
      </c>
      <c r="W24" s="76" t="str">
        <f>IFERROR(s_TR/(s_RadSpec!$E24*s_IFSN_res_adj*s_CF_snap_bean),".")</f>
        <v>.</v>
      </c>
      <c r="X24" s="76" t="str">
        <f>IFERROR(s_TR/(s_RadSpec!$E24*s_IFST_res_adj*s_CF_strawberry),".")</f>
        <v>.</v>
      </c>
      <c r="Y24" s="76" t="str">
        <f>IFERROR(s_TR/(s_RadSpec!$E24*s_IFTO_res_adj*s_CF_tomato),".")</f>
        <v>.</v>
      </c>
      <c r="Z24" s="76" t="str">
        <f>IFERROR(s_TR/(s_RadSpec!$E24*s_IFRI_res_adj*s_CF_rice),".")</f>
        <v>.</v>
      </c>
      <c r="AA24" s="76" t="str">
        <f>IFERROR(s_TR/(s_RadSpec!$E24*s_IFCG_res_adj*s_CF_cereal),".")</f>
        <v>.</v>
      </c>
      <c r="AB24" s="76" t="str">
        <f t="shared" si="27"/>
        <v>.</v>
      </c>
      <c r="AC24" s="76" t="str">
        <f>IFERROR(s_TR/(s_RadSpec!$E24*s_IFAP_far_adj*s_CF_apple),".")</f>
        <v>.</v>
      </c>
      <c r="AD24" s="76" t="str">
        <f>IFERROR(s_TR/(s_RadSpec!$E24*s_IFAS_far_adj*s_CF_asparagus),".")</f>
        <v>.</v>
      </c>
      <c r="AE24" s="76" t="str">
        <f>IFERROR(s_TR/(s_RadSpec!$E24*s_IFBT_far_adj*s_CF_beet),".")</f>
        <v>.</v>
      </c>
      <c r="AF24" s="76" t="str">
        <f>IFERROR(s_TR/(s_RadSpec!$E24*s_IFBE_far_adj*s_CF_berries),".")</f>
        <v>.</v>
      </c>
      <c r="AG24" s="76" t="str">
        <f>IFERROR(s_TR/(s_RadSpec!$E24*s_IFBR_far_adj*s_CF_broccoli),".")</f>
        <v>.</v>
      </c>
      <c r="AH24" s="76" t="str">
        <f>IFERROR(s_TR/(s_RadSpec!$E24*s_IFCB_far_adj*s_CF_cabbage),".")</f>
        <v>.</v>
      </c>
      <c r="AI24" s="76" t="str">
        <f>IFERROR(s_TR/(s_RadSpec!$E24*s_IFCR_far_adj*s_CF_carrot),".")</f>
        <v>.</v>
      </c>
      <c r="AJ24" s="76" t="str">
        <f>IFERROR(s_TR/(s_RadSpec!$E24*s_IFCI_far_adj*s_CF_citrus),".")</f>
        <v>.</v>
      </c>
      <c r="AK24" s="76" t="str">
        <f>IFERROR(s_TR/(s_RadSpec!$E24*s_IFCO_far_adj*s_CF_corn),".")</f>
        <v>.</v>
      </c>
      <c r="AL24" s="76" t="str">
        <f>IFERROR(s_TR/(s_RadSpec!$E24*s_IFCU_far_adj*s_CF_cucumber),".")</f>
        <v>.</v>
      </c>
      <c r="AM24" s="76" t="str">
        <f>IFERROR(s_TR/(s_RadSpec!$E24*s_IFLE_far_adj*s_CF_lettuce),".")</f>
        <v>.</v>
      </c>
      <c r="AN24" s="76" t="str">
        <f>IFERROR(s_TR/(s_RadSpec!$E24*s_IFLI_far_adj*s_CF_lima_bean),".")</f>
        <v>.</v>
      </c>
      <c r="AO24" s="76" t="str">
        <f>IFERROR(s_TR/(s_RadSpec!$E24*s_IFOK_far_adj*s_CF_okra),".")</f>
        <v>.</v>
      </c>
      <c r="AP24" s="76" t="str">
        <f>IFERROR(s_TR/(s_RadSpec!$E24*s_IFON_far_adj*s_CF_onion),".")</f>
        <v>.</v>
      </c>
      <c r="AQ24" s="76" t="str">
        <f>IFERROR(s_TR/(s_RadSpec!$E24*s_IFPC_far_adj*s_CF_peach),".")</f>
        <v>.</v>
      </c>
      <c r="AR24" s="76" t="str">
        <f>IFERROR(s_TR/(s_RadSpec!$E24*s_IFPR_far_adj*s_CF_pear),".")</f>
        <v>.</v>
      </c>
      <c r="AS24" s="76" t="str">
        <f>IFERROR(s_TR/(s_RadSpec!$E24*s_IFPE_far_adj*s_CF_peas),".")</f>
        <v>.</v>
      </c>
      <c r="AT24" s="76" t="str">
        <f>IFERROR(s_TR/(s_RadSpec!$E24*s_IFPT_far_adj*s_CF_potato),".")</f>
        <v>.</v>
      </c>
      <c r="AU24" s="76" t="str">
        <f>IFERROR(s_TR/(s_RadSpec!$E24*s_IFPU_far_adj*s_CF_pumpkin),".")</f>
        <v>.</v>
      </c>
      <c r="AV24" s="76" t="str">
        <f>IFERROR(s_TR/(s_RadSpec!$E24*s_IFSN_far_adj*s_CF_snap_bean),".")</f>
        <v>.</v>
      </c>
      <c r="AW24" s="76" t="str">
        <f>IFERROR(s_TR/(s_RadSpec!$E24*s_IFST_far_adj*s_CF_strawberry),".")</f>
        <v>.</v>
      </c>
      <c r="AX24" s="76" t="str">
        <f>IFERROR(s_TR/(s_RadSpec!$E24*s_IFTO_far_adj*s_CF_tomato),".")</f>
        <v>.</v>
      </c>
      <c r="AY24" s="76" t="str">
        <f>IFERROR(s_TR/(s_RadSpec!$E24*s_IFRI_far_adj*s_CF_rice),".")</f>
        <v>.</v>
      </c>
      <c r="AZ24" s="76" t="str">
        <f>IFERROR(s_TR/(s_RadSpec!$E24*s_IFCG_far_adj*s_CF_cereal),".")</f>
        <v>.</v>
      </c>
      <c r="BA24" s="93">
        <f t="shared" si="1"/>
        <v>55000</v>
      </c>
      <c r="BB24" s="93">
        <f t="shared" si="2"/>
        <v>13750</v>
      </c>
      <c r="BC24" s="93">
        <f t="shared" si="3"/>
        <v>13750</v>
      </c>
      <c r="BD24" s="93">
        <f t="shared" si="4"/>
        <v>13750</v>
      </c>
      <c r="BE24" s="93">
        <f t="shared" si="5"/>
        <v>13750</v>
      </c>
      <c r="BF24" s="93">
        <f t="shared" si="6"/>
        <v>13750</v>
      </c>
      <c r="BG24" s="93">
        <f t="shared" si="7"/>
        <v>13750</v>
      </c>
      <c r="BH24" s="93">
        <f t="shared" si="8"/>
        <v>13750</v>
      </c>
      <c r="BI24" s="93">
        <f t="shared" si="9"/>
        <v>13750</v>
      </c>
      <c r="BJ24" s="93">
        <f t="shared" si="10"/>
        <v>13750</v>
      </c>
      <c r="BK24" s="93">
        <f t="shared" si="11"/>
        <v>13750</v>
      </c>
      <c r="BL24" s="93">
        <f t="shared" si="12"/>
        <v>13750</v>
      </c>
      <c r="BM24" s="93">
        <f t="shared" si="13"/>
        <v>13750</v>
      </c>
      <c r="BN24" s="93">
        <f t="shared" si="14"/>
        <v>13750</v>
      </c>
      <c r="BO24" s="93">
        <f t="shared" si="15"/>
        <v>13750</v>
      </c>
      <c r="BP24" s="93">
        <f t="shared" si="16"/>
        <v>13750</v>
      </c>
      <c r="BQ24" s="93">
        <f t="shared" si="17"/>
        <v>13750</v>
      </c>
      <c r="BR24" s="93">
        <f t="shared" si="18"/>
        <v>13750</v>
      </c>
      <c r="BS24" s="93">
        <f t="shared" si="19"/>
        <v>13750</v>
      </c>
      <c r="BT24" s="93">
        <f t="shared" si="20"/>
        <v>13750</v>
      </c>
      <c r="BU24" s="93">
        <f t="shared" si="21"/>
        <v>13750</v>
      </c>
      <c r="BV24" s="93">
        <f t="shared" si="22"/>
        <v>13750</v>
      </c>
      <c r="BW24" s="93">
        <f t="shared" si="23"/>
        <v>13750</v>
      </c>
      <c r="BX24" s="93">
        <f t="shared" si="24"/>
        <v>13750</v>
      </c>
      <c r="BY24" s="93">
        <f t="shared" si="25"/>
        <v>13750</v>
      </c>
    </row>
    <row r="25" spans="1:77" x14ac:dyDescent="0.25">
      <c r="A25" s="94" t="s">
        <v>35</v>
      </c>
      <c r="B25" s="90" t="s">
        <v>351</v>
      </c>
      <c r="C25" s="76" t="str">
        <f t="shared" si="26"/>
        <v>.</v>
      </c>
      <c r="D25" s="76" t="str">
        <f>IFERROR(s_TR/(s_RadSpec!$E25*s_IFAP_res_adj*s_CF_apple),".")</f>
        <v>.</v>
      </c>
      <c r="E25" s="76" t="str">
        <f>IFERROR(s_TR/(s_RadSpec!$E25*s_IFAS_res_adj*s_CF_asparagus),".")</f>
        <v>.</v>
      </c>
      <c r="F25" s="76" t="str">
        <f>IFERROR(s_TR/(s_RadSpec!$E25*s_IFBT_res_adj*s_CF_beet),".")</f>
        <v>.</v>
      </c>
      <c r="G25" s="76" t="str">
        <f>IFERROR(s_TR/(s_RadSpec!$E25*s_IFBE_res_adj*s_CF_berries),".")</f>
        <v>.</v>
      </c>
      <c r="H25" s="76" t="str">
        <f>IFERROR(s_TR/(s_RadSpec!$E25*s_IFBR_res_adj*s_CF_broccoli),".")</f>
        <v>.</v>
      </c>
      <c r="I25" s="76" t="str">
        <f>IFERROR(s_TR/(s_RadSpec!$E25*s_IFCB_res_adj*s_CF_cabbage),".")</f>
        <v>.</v>
      </c>
      <c r="J25" s="76" t="str">
        <f>IFERROR(s_TR/(s_RadSpec!$E25*s_IFCR_res_adj*s_CF_carrot),".")</f>
        <v>.</v>
      </c>
      <c r="K25" s="76" t="str">
        <f>IFERROR(s_TR/(s_RadSpec!$E25*s_IFCI_res_adj*s_CF_citrus),".")</f>
        <v>.</v>
      </c>
      <c r="L25" s="76" t="str">
        <f>IFERROR(s_TR/(s_RadSpec!$E25*s_IFCO_res_adj*s_CF_corn),".")</f>
        <v>.</v>
      </c>
      <c r="M25" s="76" t="str">
        <f>IFERROR(s_TR/(s_RadSpec!$E25*s_IFCU_res_adj*s_CF_cucumber),".")</f>
        <v>.</v>
      </c>
      <c r="N25" s="76" t="str">
        <f>IFERROR(s_TR/(s_RadSpec!$E25*s_IFLE_res_adj*s_CF_lettuce),".")</f>
        <v>.</v>
      </c>
      <c r="O25" s="76" t="str">
        <f>IFERROR(s_TR/(s_RadSpec!$E25*s_IFLI_res_adj*s_CF_lima_bean),".")</f>
        <v>.</v>
      </c>
      <c r="P25" s="76" t="str">
        <f>IFERROR(s_TR/(s_RadSpec!$E25*s_IFOK_res_adj*s_CF_okra),".")</f>
        <v>.</v>
      </c>
      <c r="Q25" s="76" t="str">
        <f>IFERROR(s_TR/(s_RadSpec!$E25*s_IFON_res_adj*s_CF_onion),".")</f>
        <v>.</v>
      </c>
      <c r="R25" s="76" t="str">
        <f>IFERROR(s_TR/(s_RadSpec!$E25*s_IFPC_res_adj*s_CF_peach),".")</f>
        <v>.</v>
      </c>
      <c r="S25" s="76" t="str">
        <f>IFERROR(s_TR/(s_RadSpec!$E25*s_IFPR_res_adj*s_CF_pear),".")</f>
        <v>.</v>
      </c>
      <c r="T25" s="76" t="str">
        <f>IFERROR(s_TR/(s_RadSpec!$E25*s_IFPE_res_adj*s_CF_peas),".")</f>
        <v>.</v>
      </c>
      <c r="U25" s="76" t="str">
        <f>IFERROR(s_TR/(s_RadSpec!$E25*s_IFPT_res_adj*s_CF_potato),".")</f>
        <v>.</v>
      </c>
      <c r="V25" s="76" t="str">
        <f>IFERROR(s_TR/(s_RadSpec!$E25*s_IFPU_res_adj*s_CF_pumpkin),".")</f>
        <v>.</v>
      </c>
      <c r="W25" s="76" t="str">
        <f>IFERROR(s_TR/(s_RadSpec!$E25*s_IFSN_res_adj*s_CF_snap_bean),".")</f>
        <v>.</v>
      </c>
      <c r="X25" s="76" t="str">
        <f>IFERROR(s_TR/(s_RadSpec!$E25*s_IFST_res_adj*s_CF_strawberry),".")</f>
        <v>.</v>
      </c>
      <c r="Y25" s="76" t="str">
        <f>IFERROR(s_TR/(s_RadSpec!$E25*s_IFTO_res_adj*s_CF_tomato),".")</f>
        <v>.</v>
      </c>
      <c r="Z25" s="76" t="str">
        <f>IFERROR(s_TR/(s_RadSpec!$E25*s_IFRI_res_adj*s_CF_rice),".")</f>
        <v>.</v>
      </c>
      <c r="AA25" s="76" t="str">
        <f>IFERROR(s_TR/(s_RadSpec!$E25*s_IFCG_res_adj*s_CF_cereal),".")</f>
        <v>.</v>
      </c>
      <c r="AB25" s="76" t="str">
        <f t="shared" si="27"/>
        <v>.</v>
      </c>
      <c r="AC25" s="76" t="str">
        <f>IFERROR(s_TR/(s_RadSpec!$E25*s_IFAP_far_adj*s_CF_apple),".")</f>
        <v>.</v>
      </c>
      <c r="AD25" s="76" t="str">
        <f>IFERROR(s_TR/(s_RadSpec!$E25*s_IFAS_far_adj*s_CF_asparagus),".")</f>
        <v>.</v>
      </c>
      <c r="AE25" s="76" t="str">
        <f>IFERROR(s_TR/(s_RadSpec!$E25*s_IFBT_far_adj*s_CF_beet),".")</f>
        <v>.</v>
      </c>
      <c r="AF25" s="76" t="str">
        <f>IFERROR(s_TR/(s_RadSpec!$E25*s_IFBE_far_adj*s_CF_berries),".")</f>
        <v>.</v>
      </c>
      <c r="AG25" s="76" t="str">
        <f>IFERROR(s_TR/(s_RadSpec!$E25*s_IFBR_far_adj*s_CF_broccoli),".")</f>
        <v>.</v>
      </c>
      <c r="AH25" s="76" t="str">
        <f>IFERROR(s_TR/(s_RadSpec!$E25*s_IFCB_far_adj*s_CF_cabbage),".")</f>
        <v>.</v>
      </c>
      <c r="AI25" s="76" t="str">
        <f>IFERROR(s_TR/(s_RadSpec!$E25*s_IFCR_far_adj*s_CF_carrot),".")</f>
        <v>.</v>
      </c>
      <c r="AJ25" s="76" t="str">
        <f>IFERROR(s_TR/(s_RadSpec!$E25*s_IFCI_far_adj*s_CF_citrus),".")</f>
        <v>.</v>
      </c>
      <c r="AK25" s="76" t="str">
        <f>IFERROR(s_TR/(s_RadSpec!$E25*s_IFCO_far_adj*s_CF_corn),".")</f>
        <v>.</v>
      </c>
      <c r="AL25" s="76" t="str">
        <f>IFERROR(s_TR/(s_RadSpec!$E25*s_IFCU_far_adj*s_CF_cucumber),".")</f>
        <v>.</v>
      </c>
      <c r="AM25" s="76" t="str">
        <f>IFERROR(s_TR/(s_RadSpec!$E25*s_IFLE_far_adj*s_CF_lettuce),".")</f>
        <v>.</v>
      </c>
      <c r="AN25" s="76" t="str">
        <f>IFERROR(s_TR/(s_RadSpec!$E25*s_IFLI_far_adj*s_CF_lima_bean),".")</f>
        <v>.</v>
      </c>
      <c r="AO25" s="76" t="str">
        <f>IFERROR(s_TR/(s_RadSpec!$E25*s_IFOK_far_adj*s_CF_okra),".")</f>
        <v>.</v>
      </c>
      <c r="AP25" s="76" t="str">
        <f>IFERROR(s_TR/(s_RadSpec!$E25*s_IFON_far_adj*s_CF_onion),".")</f>
        <v>.</v>
      </c>
      <c r="AQ25" s="76" t="str">
        <f>IFERROR(s_TR/(s_RadSpec!$E25*s_IFPC_far_adj*s_CF_peach),".")</f>
        <v>.</v>
      </c>
      <c r="AR25" s="76" t="str">
        <f>IFERROR(s_TR/(s_RadSpec!$E25*s_IFPR_far_adj*s_CF_pear),".")</f>
        <v>.</v>
      </c>
      <c r="AS25" s="76" t="str">
        <f>IFERROR(s_TR/(s_RadSpec!$E25*s_IFPE_far_adj*s_CF_peas),".")</f>
        <v>.</v>
      </c>
      <c r="AT25" s="76" t="str">
        <f>IFERROR(s_TR/(s_RadSpec!$E25*s_IFPT_far_adj*s_CF_potato),".")</f>
        <v>.</v>
      </c>
      <c r="AU25" s="76" t="str">
        <f>IFERROR(s_TR/(s_RadSpec!$E25*s_IFPU_far_adj*s_CF_pumpkin),".")</f>
        <v>.</v>
      </c>
      <c r="AV25" s="76" t="str">
        <f>IFERROR(s_TR/(s_RadSpec!$E25*s_IFSN_far_adj*s_CF_snap_bean),".")</f>
        <v>.</v>
      </c>
      <c r="AW25" s="76" t="str">
        <f>IFERROR(s_TR/(s_RadSpec!$E25*s_IFST_far_adj*s_CF_strawberry),".")</f>
        <v>.</v>
      </c>
      <c r="AX25" s="76" t="str">
        <f>IFERROR(s_TR/(s_RadSpec!$E25*s_IFTO_far_adj*s_CF_tomato),".")</f>
        <v>.</v>
      </c>
      <c r="AY25" s="76" t="str">
        <f>IFERROR(s_TR/(s_RadSpec!$E25*s_IFRI_far_adj*s_CF_rice),".")</f>
        <v>.</v>
      </c>
      <c r="AZ25" s="76" t="str">
        <f>IFERROR(s_TR/(s_RadSpec!$E25*s_IFCG_far_adj*s_CF_cereal),".")</f>
        <v>.</v>
      </c>
      <c r="BA25" s="93">
        <f t="shared" si="1"/>
        <v>55000</v>
      </c>
      <c r="BB25" s="93">
        <f t="shared" si="2"/>
        <v>13750</v>
      </c>
      <c r="BC25" s="93">
        <f t="shared" si="3"/>
        <v>13750</v>
      </c>
      <c r="BD25" s="93">
        <f t="shared" si="4"/>
        <v>13750</v>
      </c>
      <c r="BE25" s="93">
        <f t="shared" si="5"/>
        <v>13750</v>
      </c>
      <c r="BF25" s="93">
        <f t="shared" si="6"/>
        <v>13750</v>
      </c>
      <c r="BG25" s="93">
        <f t="shared" si="7"/>
        <v>13750</v>
      </c>
      <c r="BH25" s="93">
        <f t="shared" si="8"/>
        <v>13750</v>
      </c>
      <c r="BI25" s="93">
        <f t="shared" si="9"/>
        <v>13750</v>
      </c>
      <c r="BJ25" s="93">
        <f t="shared" si="10"/>
        <v>13750</v>
      </c>
      <c r="BK25" s="93">
        <f t="shared" si="11"/>
        <v>13750</v>
      </c>
      <c r="BL25" s="93">
        <f t="shared" si="12"/>
        <v>13750</v>
      </c>
      <c r="BM25" s="93">
        <f t="shared" si="13"/>
        <v>13750</v>
      </c>
      <c r="BN25" s="93">
        <f t="shared" si="14"/>
        <v>13750</v>
      </c>
      <c r="BO25" s="93">
        <f t="shared" si="15"/>
        <v>13750</v>
      </c>
      <c r="BP25" s="93">
        <f t="shared" si="16"/>
        <v>13750</v>
      </c>
      <c r="BQ25" s="93">
        <f t="shared" si="17"/>
        <v>13750</v>
      </c>
      <c r="BR25" s="93">
        <f t="shared" si="18"/>
        <v>13750</v>
      </c>
      <c r="BS25" s="93">
        <f t="shared" si="19"/>
        <v>13750</v>
      </c>
      <c r="BT25" s="93">
        <f t="shared" si="20"/>
        <v>13750</v>
      </c>
      <c r="BU25" s="93">
        <f t="shared" si="21"/>
        <v>13750</v>
      </c>
      <c r="BV25" s="93">
        <f t="shared" si="22"/>
        <v>13750</v>
      </c>
      <c r="BW25" s="93">
        <f t="shared" si="23"/>
        <v>13750</v>
      </c>
      <c r="BX25" s="93">
        <f t="shared" si="24"/>
        <v>13750</v>
      </c>
      <c r="BY25" s="93">
        <f t="shared" si="25"/>
        <v>13750</v>
      </c>
    </row>
    <row r="26" spans="1:77" x14ac:dyDescent="0.25">
      <c r="A26" s="92" t="s">
        <v>36</v>
      </c>
      <c r="B26" s="90" t="s">
        <v>1074</v>
      </c>
      <c r="C26" s="76">
        <f t="shared" si="26"/>
        <v>0.31299394356719196</v>
      </c>
      <c r="D26" s="76">
        <f>IFERROR(s_TR/(s_RadSpec!$E26*s_IFAP_res_adj*s_CF_apple),".")</f>
        <v>1.2519757742687678</v>
      </c>
      <c r="E26" s="76">
        <f>IFERROR(s_TR/(s_RadSpec!$E26*s_IFAS_res_adj*s_CF_asparagus),".")</f>
        <v>1.2519757742687678</v>
      </c>
      <c r="F26" s="76">
        <f>IFERROR(s_TR/(s_RadSpec!$E26*s_IFBT_res_adj*s_CF_beet),".")</f>
        <v>1.2519757742687678</v>
      </c>
      <c r="G26" s="76">
        <f>IFERROR(s_TR/(s_RadSpec!$E26*s_IFBE_res_adj*s_CF_berries),".")</f>
        <v>1.2519757742687678</v>
      </c>
      <c r="H26" s="76">
        <f>IFERROR(s_TR/(s_RadSpec!$E26*s_IFBR_res_adj*s_CF_broccoli),".")</f>
        <v>1.2519757742687678</v>
      </c>
      <c r="I26" s="76">
        <f>IFERROR(s_TR/(s_RadSpec!$E26*s_IFCB_res_adj*s_CF_cabbage),".")</f>
        <v>1.2519757742687678</v>
      </c>
      <c r="J26" s="76">
        <f>IFERROR(s_TR/(s_RadSpec!$E26*s_IFCR_res_adj*s_CF_carrot),".")</f>
        <v>1.2519757742687678</v>
      </c>
      <c r="K26" s="76">
        <f>IFERROR(s_TR/(s_RadSpec!$E26*s_IFCI_res_adj*s_CF_citrus),".")</f>
        <v>1.2519757742687678</v>
      </c>
      <c r="L26" s="76">
        <f>IFERROR(s_TR/(s_RadSpec!$E26*s_IFCO_res_adj*s_CF_corn),".")</f>
        <v>1.2519757742687678</v>
      </c>
      <c r="M26" s="76">
        <f>IFERROR(s_TR/(s_RadSpec!$E26*s_IFCU_res_adj*s_CF_cucumber),".")</f>
        <v>1.2519757742687678</v>
      </c>
      <c r="N26" s="76">
        <f>IFERROR(s_TR/(s_RadSpec!$E26*s_IFLE_res_adj*s_CF_lettuce),".")</f>
        <v>1.2519757742687678</v>
      </c>
      <c r="O26" s="76">
        <f>IFERROR(s_TR/(s_RadSpec!$E26*s_IFLI_res_adj*s_CF_lima_bean),".")</f>
        <v>1.2519757742687678</v>
      </c>
      <c r="P26" s="76">
        <f>IFERROR(s_TR/(s_RadSpec!$E26*s_IFOK_res_adj*s_CF_okra),".")</f>
        <v>1.2519757742687678</v>
      </c>
      <c r="Q26" s="76">
        <f>IFERROR(s_TR/(s_RadSpec!$E26*s_IFON_res_adj*s_CF_onion),".")</f>
        <v>1.2519757742687678</v>
      </c>
      <c r="R26" s="76">
        <f>IFERROR(s_TR/(s_RadSpec!$E26*s_IFPC_res_adj*s_CF_peach),".")</f>
        <v>1.2519757742687678</v>
      </c>
      <c r="S26" s="76">
        <f>IFERROR(s_TR/(s_RadSpec!$E26*s_IFPR_res_adj*s_CF_pear),".")</f>
        <v>1.2519757742687678</v>
      </c>
      <c r="T26" s="76">
        <f>IFERROR(s_TR/(s_RadSpec!$E26*s_IFPE_res_adj*s_CF_peas),".")</f>
        <v>1.2519757742687678</v>
      </c>
      <c r="U26" s="76">
        <f>IFERROR(s_TR/(s_RadSpec!$E26*s_IFPT_res_adj*s_CF_potato),".")</f>
        <v>1.2519757742687678</v>
      </c>
      <c r="V26" s="76">
        <f>IFERROR(s_TR/(s_RadSpec!$E26*s_IFPU_res_adj*s_CF_pumpkin),".")</f>
        <v>1.2519757742687678</v>
      </c>
      <c r="W26" s="76">
        <f>IFERROR(s_TR/(s_RadSpec!$E26*s_IFSN_res_adj*s_CF_snap_bean),".")</f>
        <v>1.2519757742687678</v>
      </c>
      <c r="X26" s="76">
        <f>IFERROR(s_TR/(s_RadSpec!$E26*s_IFST_res_adj*s_CF_strawberry),".")</f>
        <v>1.2519757742687678</v>
      </c>
      <c r="Y26" s="76">
        <f>IFERROR(s_TR/(s_RadSpec!$E26*s_IFTO_res_adj*s_CF_tomato),".")</f>
        <v>1.2519757742687678</v>
      </c>
      <c r="Z26" s="76">
        <f>IFERROR(s_TR/(s_RadSpec!$E26*s_IFRI_res_adj*s_CF_rice),".")</f>
        <v>1.2519757742687678</v>
      </c>
      <c r="AA26" s="76">
        <f>IFERROR(s_TR/(s_RadSpec!$E26*s_IFCG_res_adj*s_CF_cereal),".")</f>
        <v>1.2519757742687678</v>
      </c>
      <c r="AB26" s="76">
        <f t="shared" si="27"/>
        <v>0.31299394356719196</v>
      </c>
      <c r="AC26" s="76">
        <f>IFERROR(s_TR/(s_RadSpec!$E26*s_IFAP_far_adj*s_CF_apple),".")</f>
        <v>1.2519757742687678</v>
      </c>
      <c r="AD26" s="76">
        <f>IFERROR(s_TR/(s_RadSpec!$E26*s_IFAS_far_adj*s_CF_asparagus),".")</f>
        <v>1.2519757742687678</v>
      </c>
      <c r="AE26" s="76">
        <f>IFERROR(s_TR/(s_RadSpec!$E26*s_IFBT_far_adj*s_CF_beet),".")</f>
        <v>1.2519757742687678</v>
      </c>
      <c r="AF26" s="76">
        <f>IFERROR(s_TR/(s_RadSpec!$E26*s_IFBE_far_adj*s_CF_berries),".")</f>
        <v>1.2519757742687678</v>
      </c>
      <c r="AG26" s="76">
        <f>IFERROR(s_TR/(s_RadSpec!$E26*s_IFBR_far_adj*s_CF_broccoli),".")</f>
        <v>1.2519757742687678</v>
      </c>
      <c r="AH26" s="76">
        <f>IFERROR(s_TR/(s_RadSpec!$E26*s_IFCB_far_adj*s_CF_cabbage),".")</f>
        <v>1.2519757742687678</v>
      </c>
      <c r="AI26" s="76">
        <f>IFERROR(s_TR/(s_RadSpec!$E26*s_IFCR_far_adj*s_CF_carrot),".")</f>
        <v>1.2519757742687678</v>
      </c>
      <c r="AJ26" s="76">
        <f>IFERROR(s_TR/(s_RadSpec!$E26*s_IFCI_far_adj*s_CF_citrus),".")</f>
        <v>1.2519757742687678</v>
      </c>
      <c r="AK26" s="76">
        <f>IFERROR(s_TR/(s_RadSpec!$E26*s_IFCO_far_adj*s_CF_corn),".")</f>
        <v>1.2519757742687678</v>
      </c>
      <c r="AL26" s="76">
        <f>IFERROR(s_TR/(s_RadSpec!$E26*s_IFCU_far_adj*s_CF_cucumber),".")</f>
        <v>1.2519757742687678</v>
      </c>
      <c r="AM26" s="76">
        <f>IFERROR(s_TR/(s_RadSpec!$E26*s_IFLE_far_adj*s_CF_lettuce),".")</f>
        <v>1.2519757742687678</v>
      </c>
      <c r="AN26" s="76">
        <f>IFERROR(s_TR/(s_RadSpec!$E26*s_IFLI_far_adj*s_CF_lima_bean),".")</f>
        <v>1.2519757742687678</v>
      </c>
      <c r="AO26" s="76">
        <f>IFERROR(s_TR/(s_RadSpec!$E26*s_IFOK_far_adj*s_CF_okra),".")</f>
        <v>1.2519757742687678</v>
      </c>
      <c r="AP26" s="76">
        <f>IFERROR(s_TR/(s_RadSpec!$E26*s_IFON_far_adj*s_CF_onion),".")</f>
        <v>1.2519757742687678</v>
      </c>
      <c r="AQ26" s="76">
        <f>IFERROR(s_TR/(s_RadSpec!$E26*s_IFPC_far_adj*s_CF_peach),".")</f>
        <v>1.2519757742687678</v>
      </c>
      <c r="AR26" s="76">
        <f>IFERROR(s_TR/(s_RadSpec!$E26*s_IFPR_far_adj*s_CF_pear),".")</f>
        <v>1.2519757742687678</v>
      </c>
      <c r="AS26" s="76">
        <f>IFERROR(s_TR/(s_RadSpec!$E26*s_IFPE_far_adj*s_CF_peas),".")</f>
        <v>1.2519757742687678</v>
      </c>
      <c r="AT26" s="76">
        <f>IFERROR(s_TR/(s_RadSpec!$E26*s_IFPT_far_adj*s_CF_potato),".")</f>
        <v>1.2519757742687678</v>
      </c>
      <c r="AU26" s="76">
        <f>IFERROR(s_TR/(s_RadSpec!$E26*s_IFPU_far_adj*s_CF_pumpkin),".")</f>
        <v>1.2519757742687678</v>
      </c>
      <c r="AV26" s="76">
        <f>IFERROR(s_TR/(s_RadSpec!$E26*s_IFSN_far_adj*s_CF_snap_bean),".")</f>
        <v>1.2519757742687678</v>
      </c>
      <c r="AW26" s="76">
        <f>IFERROR(s_TR/(s_RadSpec!$E26*s_IFST_far_adj*s_CF_strawberry),".")</f>
        <v>1.2519757742687678</v>
      </c>
      <c r="AX26" s="76">
        <f>IFERROR(s_TR/(s_RadSpec!$E26*s_IFTO_far_adj*s_CF_tomato),".")</f>
        <v>1.2519757742687678</v>
      </c>
      <c r="AY26" s="76">
        <f>IFERROR(s_TR/(s_RadSpec!$E26*s_IFRI_far_adj*s_CF_rice),".")</f>
        <v>1.2519757742687678</v>
      </c>
      <c r="AZ26" s="76">
        <f>IFERROR(s_TR/(s_RadSpec!$E26*s_IFCG_far_adj*s_CF_cereal),".")</f>
        <v>1.2519757742687678</v>
      </c>
      <c r="BA26" s="93">
        <f t="shared" si="1"/>
        <v>55000</v>
      </c>
      <c r="BB26" s="93">
        <f t="shared" si="2"/>
        <v>13750</v>
      </c>
      <c r="BC26" s="93">
        <f t="shared" si="3"/>
        <v>13750</v>
      </c>
      <c r="BD26" s="93">
        <f t="shared" si="4"/>
        <v>13750</v>
      </c>
      <c r="BE26" s="93">
        <f t="shared" si="5"/>
        <v>13750</v>
      </c>
      <c r="BF26" s="93">
        <f t="shared" si="6"/>
        <v>13750</v>
      </c>
      <c r="BG26" s="93">
        <f t="shared" si="7"/>
        <v>13750</v>
      </c>
      <c r="BH26" s="93">
        <f t="shared" si="8"/>
        <v>13750</v>
      </c>
      <c r="BI26" s="93">
        <f t="shared" si="9"/>
        <v>13750</v>
      </c>
      <c r="BJ26" s="93">
        <f t="shared" si="10"/>
        <v>13750</v>
      </c>
      <c r="BK26" s="93">
        <f t="shared" si="11"/>
        <v>13750</v>
      </c>
      <c r="BL26" s="93">
        <f t="shared" si="12"/>
        <v>13750</v>
      </c>
      <c r="BM26" s="93">
        <f t="shared" si="13"/>
        <v>13750</v>
      </c>
      <c r="BN26" s="93">
        <f t="shared" si="14"/>
        <v>13750</v>
      </c>
      <c r="BO26" s="93">
        <f t="shared" si="15"/>
        <v>13750</v>
      </c>
      <c r="BP26" s="93">
        <f t="shared" si="16"/>
        <v>13750</v>
      </c>
      <c r="BQ26" s="93">
        <f t="shared" si="17"/>
        <v>13750</v>
      </c>
      <c r="BR26" s="93">
        <f t="shared" si="18"/>
        <v>13750</v>
      </c>
      <c r="BS26" s="93">
        <f t="shared" si="19"/>
        <v>13750</v>
      </c>
      <c r="BT26" s="93">
        <f t="shared" si="20"/>
        <v>13750</v>
      </c>
      <c r="BU26" s="93">
        <f t="shared" si="21"/>
        <v>13750</v>
      </c>
      <c r="BV26" s="93">
        <f t="shared" si="22"/>
        <v>13750</v>
      </c>
      <c r="BW26" s="93">
        <f t="shared" si="23"/>
        <v>13750</v>
      </c>
      <c r="BX26" s="93">
        <f t="shared" si="24"/>
        <v>13750</v>
      </c>
      <c r="BY26" s="93">
        <f t="shared" si="25"/>
        <v>13750</v>
      </c>
    </row>
    <row r="27" spans="1:77" x14ac:dyDescent="0.25">
      <c r="A27" s="92" t="s">
        <v>37</v>
      </c>
      <c r="B27" s="90" t="s">
        <v>1074</v>
      </c>
      <c r="C27" s="76" t="str">
        <f t="shared" si="26"/>
        <v>.</v>
      </c>
      <c r="D27" s="76" t="str">
        <f>IFERROR(s_TR/(s_RadSpec!$E27*s_IFAP_res_adj*s_CF_apple),".")</f>
        <v>.</v>
      </c>
      <c r="E27" s="76" t="str">
        <f>IFERROR(s_TR/(s_RadSpec!$E27*s_IFAS_res_adj*s_CF_asparagus),".")</f>
        <v>.</v>
      </c>
      <c r="F27" s="76" t="str">
        <f>IFERROR(s_TR/(s_RadSpec!$E27*s_IFBT_res_adj*s_CF_beet),".")</f>
        <v>.</v>
      </c>
      <c r="G27" s="76" t="str">
        <f>IFERROR(s_TR/(s_RadSpec!$E27*s_IFBE_res_adj*s_CF_berries),".")</f>
        <v>.</v>
      </c>
      <c r="H27" s="76" t="str">
        <f>IFERROR(s_TR/(s_RadSpec!$E27*s_IFBR_res_adj*s_CF_broccoli),".")</f>
        <v>.</v>
      </c>
      <c r="I27" s="76" t="str">
        <f>IFERROR(s_TR/(s_RadSpec!$E27*s_IFCB_res_adj*s_CF_cabbage),".")</f>
        <v>.</v>
      </c>
      <c r="J27" s="76" t="str">
        <f>IFERROR(s_TR/(s_RadSpec!$E27*s_IFCR_res_adj*s_CF_carrot),".")</f>
        <v>.</v>
      </c>
      <c r="K27" s="76" t="str">
        <f>IFERROR(s_TR/(s_RadSpec!$E27*s_IFCI_res_adj*s_CF_citrus),".")</f>
        <v>.</v>
      </c>
      <c r="L27" s="76" t="str">
        <f>IFERROR(s_TR/(s_RadSpec!$E27*s_IFCO_res_adj*s_CF_corn),".")</f>
        <v>.</v>
      </c>
      <c r="M27" s="76" t="str">
        <f>IFERROR(s_TR/(s_RadSpec!$E27*s_IFCU_res_adj*s_CF_cucumber),".")</f>
        <v>.</v>
      </c>
      <c r="N27" s="76" t="str">
        <f>IFERROR(s_TR/(s_RadSpec!$E27*s_IFLE_res_adj*s_CF_lettuce),".")</f>
        <v>.</v>
      </c>
      <c r="O27" s="76" t="str">
        <f>IFERROR(s_TR/(s_RadSpec!$E27*s_IFLI_res_adj*s_CF_lima_bean),".")</f>
        <v>.</v>
      </c>
      <c r="P27" s="76" t="str">
        <f>IFERROR(s_TR/(s_RadSpec!$E27*s_IFOK_res_adj*s_CF_okra),".")</f>
        <v>.</v>
      </c>
      <c r="Q27" s="76" t="str">
        <f>IFERROR(s_TR/(s_RadSpec!$E27*s_IFON_res_adj*s_CF_onion),".")</f>
        <v>.</v>
      </c>
      <c r="R27" s="76" t="str">
        <f>IFERROR(s_TR/(s_RadSpec!$E27*s_IFPC_res_adj*s_CF_peach),".")</f>
        <v>.</v>
      </c>
      <c r="S27" s="76" t="str">
        <f>IFERROR(s_TR/(s_RadSpec!$E27*s_IFPR_res_adj*s_CF_pear),".")</f>
        <v>.</v>
      </c>
      <c r="T27" s="76" t="str">
        <f>IFERROR(s_TR/(s_RadSpec!$E27*s_IFPE_res_adj*s_CF_peas),".")</f>
        <v>.</v>
      </c>
      <c r="U27" s="76" t="str">
        <f>IFERROR(s_TR/(s_RadSpec!$E27*s_IFPT_res_adj*s_CF_potato),".")</f>
        <v>.</v>
      </c>
      <c r="V27" s="76" t="str">
        <f>IFERROR(s_TR/(s_RadSpec!$E27*s_IFPU_res_adj*s_CF_pumpkin),".")</f>
        <v>.</v>
      </c>
      <c r="W27" s="76" t="str">
        <f>IFERROR(s_TR/(s_RadSpec!$E27*s_IFSN_res_adj*s_CF_snap_bean),".")</f>
        <v>.</v>
      </c>
      <c r="X27" s="76" t="str">
        <f>IFERROR(s_TR/(s_RadSpec!$E27*s_IFST_res_adj*s_CF_strawberry),".")</f>
        <v>.</v>
      </c>
      <c r="Y27" s="76" t="str">
        <f>IFERROR(s_TR/(s_RadSpec!$E27*s_IFTO_res_adj*s_CF_tomato),".")</f>
        <v>.</v>
      </c>
      <c r="Z27" s="76" t="str">
        <f>IFERROR(s_TR/(s_RadSpec!$E27*s_IFRI_res_adj*s_CF_rice),".")</f>
        <v>.</v>
      </c>
      <c r="AA27" s="76" t="str">
        <f>IFERROR(s_TR/(s_RadSpec!$E27*s_IFCG_res_adj*s_CF_cereal),".")</f>
        <v>.</v>
      </c>
      <c r="AB27" s="76" t="str">
        <f t="shared" si="27"/>
        <v>.</v>
      </c>
      <c r="AC27" s="76" t="str">
        <f>IFERROR(s_TR/(s_RadSpec!$E27*s_IFAP_far_adj*s_CF_apple),".")</f>
        <v>.</v>
      </c>
      <c r="AD27" s="76" t="str">
        <f>IFERROR(s_TR/(s_RadSpec!$E27*s_IFAS_far_adj*s_CF_asparagus),".")</f>
        <v>.</v>
      </c>
      <c r="AE27" s="76" t="str">
        <f>IFERROR(s_TR/(s_RadSpec!$E27*s_IFBT_far_adj*s_CF_beet),".")</f>
        <v>.</v>
      </c>
      <c r="AF27" s="76" t="str">
        <f>IFERROR(s_TR/(s_RadSpec!$E27*s_IFBE_far_adj*s_CF_berries),".")</f>
        <v>.</v>
      </c>
      <c r="AG27" s="76" t="str">
        <f>IFERROR(s_TR/(s_RadSpec!$E27*s_IFBR_far_adj*s_CF_broccoli),".")</f>
        <v>.</v>
      </c>
      <c r="AH27" s="76" t="str">
        <f>IFERROR(s_TR/(s_RadSpec!$E27*s_IFCB_far_adj*s_CF_cabbage),".")</f>
        <v>.</v>
      </c>
      <c r="AI27" s="76" t="str">
        <f>IFERROR(s_TR/(s_RadSpec!$E27*s_IFCR_far_adj*s_CF_carrot),".")</f>
        <v>.</v>
      </c>
      <c r="AJ27" s="76" t="str">
        <f>IFERROR(s_TR/(s_RadSpec!$E27*s_IFCI_far_adj*s_CF_citrus),".")</f>
        <v>.</v>
      </c>
      <c r="AK27" s="76" t="str">
        <f>IFERROR(s_TR/(s_RadSpec!$E27*s_IFCO_far_adj*s_CF_corn),".")</f>
        <v>.</v>
      </c>
      <c r="AL27" s="76" t="str">
        <f>IFERROR(s_TR/(s_RadSpec!$E27*s_IFCU_far_adj*s_CF_cucumber),".")</f>
        <v>.</v>
      </c>
      <c r="AM27" s="76" t="str">
        <f>IFERROR(s_TR/(s_RadSpec!$E27*s_IFLE_far_adj*s_CF_lettuce),".")</f>
        <v>.</v>
      </c>
      <c r="AN27" s="76" t="str">
        <f>IFERROR(s_TR/(s_RadSpec!$E27*s_IFLI_far_adj*s_CF_lima_bean),".")</f>
        <v>.</v>
      </c>
      <c r="AO27" s="76" t="str">
        <f>IFERROR(s_TR/(s_RadSpec!$E27*s_IFOK_far_adj*s_CF_okra),".")</f>
        <v>.</v>
      </c>
      <c r="AP27" s="76" t="str">
        <f>IFERROR(s_TR/(s_RadSpec!$E27*s_IFON_far_adj*s_CF_onion),".")</f>
        <v>.</v>
      </c>
      <c r="AQ27" s="76" t="str">
        <f>IFERROR(s_TR/(s_RadSpec!$E27*s_IFPC_far_adj*s_CF_peach),".")</f>
        <v>.</v>
      </c>
      <c r="AR27" s="76" t="str">
        <f>IFERROR(s_TR/(s_RadSpec!$E27*s_IFPR_far_adj*s_CF_pear),".")</f>
        <v>.</v>
      </c>
      <c r="AS27" s="76" t="str">
        <f>IFERROR(s_TR/(s_RadSpec!$E27*s_IFPE_far_adj*s_CF_peas),".")</f>
        <v>.</v>
      </c>
      <c r="AT27" s="76" t="str">
        <f>IFERROR(s_TR/(s_RadSpec!$E27*s_IFPT_far_adj*s_CF_potato),".")</f>
        <v>.</v>
      </c>
      <c r="AU27" s="76" t="str">
        <f>IFERROR(s_TR/(s_RadSpec!$E27*s_IFPU_far_adj*s_CF_pumpkin),".")</f>
        <v>.</v>
      </c>
      <c r="AV27" s="76" t="str">
        <f>IFERROR(s_TR/(s_RadSpec!$E27*s_IFSN_far_adj*s_CF_snap_bean),".")</f>
        <v>.</v>
      </c>
      <c r="AW27" s="76" t="str">
        <f>IFERROR(s_TR/(s_RadSpec!$E27*s_IFST_far_adj*s_CF_strawberry),".")</f>
        <v>.</v>
      </c>
      <c r="AX27" s="76" t="str">
        <f>IFERROR(s_TR/(s_RadSpec!$E27*s_IFTO_far_adj*s_CF_tomato),".")</f>
        <v>.</v>
      </c>
      <c r="AY27" s="76" t="str">
        <f>IFERROR(s_TR/(s_RadSpec!$E27*s_IFRI_far_adj*s_CF_rice),".")</f>
        <v>.</v>
      </c>
      <c r="AZ27" s="76" t="str">
        <f>IFERROR(s_TR/(s_RadSpec!$E27*s_IFCG_far_adj*s_CF_cereal),".")</f>
        <v>.</v>
      </c>
      <c r="BA27" s="93">
        <f t="shared" si="1"/>
        <v>55000</v>
      </c>
      <c r="BB27" s="93">
        <f t="shared" si="2"/>
        <v>13750</v>
      </c>
      <c r="BC27" s="93">
        <f t="shared" si="3"/>
        <v>13750</v>
      </c>
      <c r="BD27" s="93">
        <f t="shared" si="4"/>
        <v>13750</v>
      </c>
      <c r="BE27" s="93">
        <f t="shared" si="5"/>
        <v>13750</v>
      </c>
      <c r="BF27" s="93">
        <f t="shared" si="6"/>
        <v>13750</v>
      </c>
      <c r="BG27" s="93">
        <f t="shared" si="7"/>
        <v>13750</v>
      </c>
      <c r="BH27" s="93">
        <f t="shared" si="8"/>
        <v>13750</v>
      </c>
      <c r="BI27" s="93">
        <f t="shared" si="9"/>
        <v>13750</v>
      </c>
      <c r="BJ27" s="93">
        <f t="shared" si="10"/>
        <v>13750</v>
      </c>
      <c r="BK27" s="93">
        <f t="shared" si="11"/>
        <v>13750</v>
      </c>
      <c r="BL27" s="93">
        <f t="shared" si="12"/>
        <v>13750</v>
      </c>
      <c r="BM27" s="93">
        <f t="shared" si="13"/>
        <v>13750</v>
      </c>
      <c r="BN27" s="93">
        <f t="shared" si="14"/>
        <v>13750</v>
      </c>
      <c r="BO27" s="93">
        <f t="shared" si="15"/>
        <v>13750</v>
      </c>
      <c r="BP27" s="93">
        <f t="shared" si="16"/>
        <v>13750</v>
      </c>
      <c r="BQ27" s="93">
        <f t="shared" si="17"/>
        <v>13750</v>
      </c>
      <c r="BR27" s="93">
        <f t="shared" si="18"/>
        <v>13750</v>
      </c>
      <c r="BS27" s="93">
        <f t="shared" si="19"/>
        <v>13750</v>
      </c>
      <c r="BT27" s="93">
        <f t="shared" si="20"/>
        <v>13750</v>
      </c>
      <c r="BU27" s="93">
        <f t="shared" si="21"/>
        <v>13750</v>
      </c>
      <c r="BV27" s="93">
        <f t="shared" si="22"/>
        <v>13750</v>
      </c>
      <c r="BW27" s="93">
        <f t="shared" si="23"/>
        <v>13750</v>
      </c>
      <c r="BX27" s="93">
        <f t="shared" si="24"/>
        <v>13750</v>
      </c>
      <c r="BY27" s="93">
        <f t="shared" si="25"/>
        <v>13750</v>
      </c>
    </row>
    <row r="28" spans="1:77" x14ac:dyDescent="0.25">
      <c r="A28" s="92" t="s">
        <v>38</v>
      </c>
      <c r="B28" s="90" t="s">
        <v>1074</v>
      </c>
      <c r="C28" s="76" t="str">
        <f t="shared" si="26"/>
        <v>.</v>
      </c>
      <c r="D28" s="76" t="str">
        <f>IFERROR(s_TR/(s_RadSpec!$E28*s_IFAP_res_adj*s_CF_apple),".")</f>
        <v>.</v>
      </c>
      <c r="E28" s="76" t="str">
        <f>IFERROR(s_TR/(s_RadSpec!$E28*s_IFAS_res_adj*s_CF_asparagus),".")</f>
        <v>.</v>
      </c>
      <c r="F28" s="76" t="str">
        <f>IFERROR(s_TR/(s_RadSpec!$E28*s_IFBT_res_adj*s_CF_beet),".")</f>
        <v>.</v>
      </c>
      <c r="G28" s="76" t="str">
        <f>IFERROR(s_TR/(s_RadSpec!$E28*s_IFBE_res_adj*s_CF_berries),".")</f>
        <v>.</v>
      </c>
      <c r="H28" s="76" t="str">
        <f>IFERROR(s_TR/(s_RadSpec!$E28*s_IFBR_res_adj*s_CF_broccoli),".")</f>
        <v>.</v>
      </c>
      <c r="I28" s="76" t="str">
        <f>IFERROR(s_TR/(s_RadSpec!$E28*s_IFCB_res_adj*s_CF_cabbage),".")</f>
        <v>.</v>
      </c>
      <c r="J28" s="76" t="str">
        <f>IFERROR(s_TR/(s_RadSpec!$E28*s_IFCR_res_adj*s_CF_carrot),".")</f>
        <v>.</v>
      </c>
      <c r="K28" s="76" t="str">
        <f>IFERROR(s_TR/(s_RadSpec!$E28*s_IFCI_res_adj*s_CF_citrus),".")</f>
        <v>.</v>
      </c>
      <c r="L28" s="76" t="str">
        <f>IFERROR(s_TR/(s_RadSpec!$E28*s_IFCO_res_adj*s_CF_corn),".")</f>
        <v>.</v>
      </c>
      <c r="M28" s="76" t="str">
        <f>IFERROR(s_TR/(s_RadSpec!$E28*s_IFCU_res_adj*s_CF_cucumber),".")</f>
        <v>.</v>
      </c>
      <c r="N28" s="76" t="str">
        <f>IFERROR(s_TR/(s_RadSpec!$E28*s_IFLE_res_adj*s_CF_lettuce),".")</f>
        <v>.</v>
      </c>
      <c r="O28" s="76" t="str">
        <f>IFERROR(s_TR/(s_RadSpec!$E28*s_IFLI_res_adj*s_CF_lima_bean),".")</f>
        <v>.</v>
      </c>
      <c r="P28" s="76" t="str">
        <f>IFERROR(s_TR/(s_RadSpec!$E28*s_IFOK_res_adj*s_CF_okra),".")</f>
        <v>.</v>
      </c>
      <c r="Q28" s="76" t="str">
        <f>IFERROR(s_TR/(s_RadSpec!$E28*s_IFON_res_adj*s_CF_onion),".")</f>
        <v>.</v>
      </c>
      <c r="R28" s="76" t="str">
        <f>IFERROR(s_TR/(s_RadSpec!$E28*s_IFPC_res_adj*s_CF_peach),".")</f>
        <v>.</v>
      </c>
      <c r="S28" s="76" t="str">
        <f>IFERROR(s_TR/(s_RadSpec!$E28*s_IFPR_res_adj*s_CF_pear),".")</f>
        <v>.</v>
      </c>
      <c r="T28" s="76" t="str">
        <f>IFERROR(s_TR/(s_RadSpec!$E28*s_IFPE_res_adj*s_CF_peas),".")</f>
        <v>.</v>
      </c>
      <c r="U28" s="76" t="str">
        <f>IFERROR(s_TR/(s_RadSpec!$E28*s_IFPT_res_adj*s_CF_potato),".")</f>
        <v>.</v>
      </c>
      <c r="V28" s="76" t="str">
        <f>IFERROR(s_TR/(s_RadSpec!$E28*s_IFPU_res_adj*s_CF_pumpkin),".")</f>
        <v>.</v>
      </c>
      <c r="W28" s="76" t="str">
        <f>IFERROR(s_TR/(s_RadSpec!$E28*s_IFSN_res_adj*s_CF_snap_bean),".")</f>
        <v>.</v>
      </c>
      <c r="X28" s="76" t="str">
        <f>IFERROR(s_TR/(s_RadSpec!$E28*s_IFST_res_adj*s_CF_strawberry),".")</f>
        <v>.</v>
      </c>
      <c r="Y28" s="76" t="str">
        <f>IFERROR(s_TR/(s_RadSpec!$E28*s_IFTO_res_adj*s_CF_tomato),".")</f>
        <v>.</v>
      </c>
      <c r="Z28" s="76" t="str">
        <f>IFERROR(s_TR/(s_RadSpec!$E28*s_IFRI_res_adj*s_CF_rice),".")</f>
        <v>.</v>
      </c>
      <c r="AA28" s="76" t="str">
        <f>IFERROR(s_TR/(s_RadSpec!$E28*s_IFCG_res_adj*s_CF_cereal),".")</f>
        <v>.</v>
      </c>
      <c r="AB28" s="76" t="str">
        <f t="shared" si="27"/>
        <v>.</v>
      </c>
      <c r="AC28" s="76" t="str">
        <f>IFERROR(s_TR/(s_RadSpec!$E28*s_IFAP_far_adj*s_CF_apple),".")</f>
        <v>.</v>
      </c>
      <c r="AD28" s="76" t="str">
        <f>IFERROR(s_TR/(s_RadSpec!$E28*s_IFAS_far_adj*s_CF_asparagus),".")</f>
        <v>.</v>
      </c>
      <c r="AE28" s="76" t="str">
        <f>IFERROR(s_TR/(s_RadSpec!$E28*s_IFBT_far_adj*s_CF_beet),".")</f>
        <v>.</v>
      </c>
      <c r="AF28" s="76" t="str">
        <f>IFERROR(s_TR/(s_RadSpec!$E28*s_IFBE_far_adj*s_CF_berries),".")</f>
        <v>.</v>
      </c>
      <c r="AG28" s="76" t="str">
        <f>IFERROR(s_TR/(s_RadSpec!$E28*s_IFBR_far_adj*s_CF_broccoli),".")</f>
        <v>.</v>
      </c>
      <c r="AH28" s="76" t="str">
        <f>IFERROR(s_TR/(s_RadSpec!$E28*s_IFCB_far_adj*s_CF_cabbage),".")</f>
        <v>.</v>
      </c>
      <c r="AI28" s="76" t="str">
        <f>IFERROR(s_TR/(s_RadSpec!$E28*s_IFCR_far_adj*s_CF_carrot),".")</f>
        <v>.</v>
      </c>
      <c r="AJ28" s="76" t="str">
        <f>IFERROR(s_TR/(s_RadSpec!$E28*s_IFCI_far_adj*s_CF_citrus),".")</f>
        <v>.</v>
      </c>
      <c r="AK28" s="76" t="str">
        <f>IFERROR(s_TR/(s_RadSpec!$E28*s_IFCO_far_adj*s_CF_corn),".")</f>
        <v>.</v>
      </c>
      <c r="AL28" s="76" t="str">
        <f>IFERROR(s_TR/(s_RadSpec!$E28*s_IFCU_far_adj*s_CF_cucumber),".")</f>
        <v>.</v>
      </c>
      <c r="AM28" s="76" t="str">
        <f>IFERROR(s_TR/(s_RadSpec!$E28*s_IFLE_far_adj*s_CF_lettuce),".")</f>
        <v>.</v>
      </c>
      <c r="AN28" s="76" t="str">
        <f>IFERROR(s_TR/(s_RadSpec!$E28*s_IFLI_far_adj*s_CF_lima_bean),".")</f>
        <v>.</v>
      </c>
      <c r="AO28" s="76" t="str">
        <f>IFERROR(s_TR/(s_RadSpec!$E28*s_IFOK_far_adj*s_CF_okra),".")</f>
        <v>.</v>
      </c>
      <c r="AP28" s="76" t="str">
        <f>IFERROR(s_TR/(s_RadSpec!$E28*s_IFON_far_adj*s_CF_onion),".")</f>
        <v>.</v>
      </c>
      <c r="AQ28" s="76" t="str">
        <f>IFERROR(s_TR/(s_RadSpec!$E28*s_IFPC_far_adj*s_CF_peach),".")</f>
        <v>.</v>
      </c>
      <c r="AR28" s="76" t="str">
        <f>IFERROR(s_TR/(s_RadSpec!$E28*s_IFPR_far_adj*s_CF_pear),".")</f>
        <v>.</v>
      </c>
      <c r="AS28" s="76" t="str">
        <f>IFERROR(s_TR/(s_RadSpec!$E28*s_IFPE_far_adj*s_CF_peas),".")</f>
        <v>.</v>
      </c>
      <c r="AT28" s="76" t="str">
        <f>IFERROR(s_TR/(s_RadSpec!$E28*s_IFPT_far_adj*s_CF_potato),".")</f>
        <v>.</v>
      </c>
      <c r="AU28" s="76" t="str">
        <f>IFERROR(s_TR/(s_RadSpec!$E28*s_IFPU_far_adj*s_CF_pumpkin),".")</f>
        <v>.</v>
      </c>
      <c r="AV28" s="76" t="str">
        <f>IFERROR(s_TR/(s_RadSpec!$E28*s_IFSN_far_adj*s_CF_snap_bean),".")</f>
        <v>.</v>
      </c>
      <c r="AW28" s="76" t="str">
        <f>IFERROR(s_TR/(s_RadSpec!$E28*s_IFST_far_adj*s_CF_strawberry),".")</f>
        <v>.</v>
      </c>
      <c r="AX28" s="76" t="str">
        <f>IFERROR(s_TR/(s_RadSpec!$E28*s_IFTO_far_adj*s_CF_tomato),".")</f>
        <v>.</v>
      </c>
      <c r="AY28" s="76" t="str">
        <f>IFERROR(s_TR/(s_RadSpec!$E28*s_IFRI_far_adj*s_CF_rice),".")</f>
        <v>.</v>
      </c>
      <c r="AZ28" s="76" t="str">
        <f>IFERROR(s_TR/(s_RadSpec!$E28*s_IFCG_far_adj*s_CF_cereal),".")</f>
        <v>.</v>
      </c>
      <c r="BA28" s="93">
        <f t="shared" si="1"/>
        <v>55000</v>
      </c>
      <c r="BB28" s="93">
        <f t="shared" si="2"/>
        <v>13750</v>
      </c>
      <c r="BC28" s="93">
        <f t="shared" si="3"/>
        <v>13750</v>
      </c>
      <c r="BD28" s="93">
        <f t="shared" si="4"/>
        <v>13750</v>
      </c>
      <c r="BE28" s="93">
        <f t="shared" si="5"/>
        <v>13750</v>
      </c>
      <c r="BF28" s="93">
        <f t="shared" si="6"/>
        <v>13750</v>
      </c>
      <c r="BG28" s="93">
        <f t="shared" si="7"/>
        <v>13750</v>
      </c>
      <c r="BH28" s="93">
        <f t="shared" si="8"/>
        <v>13750</v>
      </c>
      <c r="BI28" s="93">
        <f t="shared" si="9"/>
        <v>13750</v>
      </c>
      <c r="BJ28" s="93">
        <f t="shared" si="10"/>
        <v>13750</v>
      </c>
      <c r="BK28" s="93">
        <f t="shared" si="11"/>
        <v>13750</v>
      </c>
      <c r="BL28" s="93">
        <f t="shared" si="12"/>
        <v>13750</v>
      </c>
      <c r="BM28" s="93">
        <f t="shared" si="13"/>
        <v>13750</v>
      </c>
      <c r="BN28" s="93">
        <f t="shared" si="14"/>
        <v>13750</v>
      </c>
      <c r="BO28" s="93">
        <f t="shared" si="15"/>
        <v>13750</v>
      </c>
      <c r="BP28" s="93">
        <f t="shared" si="16"/>
        <v>13750</v>
      </c>
      <c r="BQ28" s="93">
        <f t="shared" si="17"/>
        <v>13750</v>
      </c>
      <c r="BR28" s="93">
        <f t="shared" si="18"/>
        <v>13750</v>
      </c>
      <c r="BS28" s="93">
        <f t="shared" si="19"/>
        <v>13750</v>
      </c>
      <c r="BT28" s="93">
        <f t="shared" si="20"/>
        <v>13750</v>
      </c>
      <c r="BU28" s="93">
        <f t="shared" si="21"/>
        <v>13750</v>
      </c>
      <c r="BV28" s="93">
        <f t="shared" si="22"/>
        <v>13750</v>
      </c>
      <c r="BW28" s="93">
        <f t="shared" si="23"/>
        <v>13750</v>
      </c>
      <c r="BX28" s="93">
        <f t="shared" si="24"/>
        <v>13750</v>
      </c>
      <c r="BY28" s="93">
        <f t="shared" si="25"/>
        <v>13750</v>
      </c>
    </row>
    <row r="29" spans="1:77" x14ac:dyDescent="0.25">
      <c r="A29" s="92" t="s">
        <v>39</v>
      </c>
      <c r="B29" s="90" t="s">
        <v>1074</v>
      </c>
      <c r="C29" s="76" t="str">
        <f t="shared" si="26"/>
        <v>.</v>
      </c>
      <c r="D29" s="76" t="str">
        <f>IFERROR(s_TR/(s_RadSpec!$E29*s_IFAP_res_adj*s_CF_apple),".")</f>
        <v>.</v>
      </c>
      <c r="E29" s="76" t="str">
        <f>IFERROR(s_TR/(s_RadSpec!$E29*s_IFAS_res_adj*s_CF_asparagus),".")</f>
        <v>.</v>
      </c>
      <c r="F29" s="76" t="str">
        <f>IFERROR(s_TR/(s_RadSpec!$E29*s_IFBT_res_adj*s_CF_beet),".")</f>
        <v>.</v>
      </c>
      <c r="G29" s="76" t="str">
        <f>IFERROR(s_TR/(s_RadSpec!$E29*s_IFBE_res_adj*s_CF_berries),".")</f>
        <v>.</v>
      </c>
      <c r="H29" s="76" t="str">
        <f>IFERROR(s_TR/(s_RadSpec!$E29*s_IFBR_res_adj*s_CF_broccoli),".")</f>
        <v>.</v>
      </c>
      <c r="I29" s="76" t="str">
        <f>IFERROR(s_TR/(s_RadSpec!$E29*s_IFCB_res_adj*s_CF_cabbage),".")</f>
        <v>.</v>
      </c>
      <c r="J29" s="76" t="str">
        <f>IFERROR(s_TR/(s_RadSpec!$E29*s_IFCR_res_adj*s_CF_carrot),".")</f>
        <v>.</v>
      </c>
      <c r="K29" s="76" t="str">
        <f>IFERROR(s_TR/(s_RadSpec!$E29*s_IFCI_res_adj*s_CF_citrus),".")</f>
        <v>.</v>
      </c>
      <c r="L29" s="76" t="str">
        <f>IFERROR(s_TR/(s_RadSpec!$E29*s_IFCO_res_adj*s_CF_corn),".")</f>
        <v>.</v>
      </c>
      <c r="M29" s="76" t="str">
        <f>IFERROR(s_TR/(s_RadSpec!$E29*s_IFCU_res_adj*s_CF_cucumber),".")</f>
        <v>.</v>
      </c>
      <c r="N29" s="76" t="str">
        <f>IFERROR(s_TR/(s_RadSpec!$E29*s_IFLE_res_adj*s_CF_lettuce),".")</f>
        <v>.</v>
      </c>
      <c r="O29" s="76" t="str">
        <f>IFERROR(s_TR/(s_RadSpec!$E29*s_IFLI_res_adj*s_CF_lima_bean),".")</f>
        <v>.</v>
      </c>
      <c r="P29" s="76" t="str">
        <f>IFERROR(s_TR/(s_RadSpec!$E29*s_IFOK_res_adj*s_CF_okra),".")</f>
        <v>.</v>
      </c>
      <c r="Q29" s="76" t="str">
        <f>IFERROR(s_TR/(s_RadSpec!$E29*s_IFON_res_adj*s_CF_onion),".")</f>
        <v>.</v>
      </c>
      <c r="R29" s="76" t="str">
        <f>IFERROR(s_TR/(s_RadSpec!$E29*s_IFPC_res_adj*s_CF_peach),".")</f>
        <v>.</v>
      </c>
      <c r="S29" s="76" t="str">
        <f>IFERROR(s_TR/(s_RadSpec!$E29*s_IFPR_res_adj*s_CF_pear),".")</f>
        <v>.</v>
      </c>
      <c r="T29" s="76" t="str">
        <f>IFERROR(s_TR/(s_RadSpec!$E29*s_IFPE_res_adj*s_CF_peas),".")</f>
        <v>.</v>
      </c>
      <c r="U29" s="76" t="str">
        <f>IFERROR(s_TR/(s_RadSpec!$E29*s_IFPT_res_adj*s_CF_potato),".")</f>
        <v>.</v>
      </c>
      <c r="V29" s="76" t="str">
        <f>IFERROR(s_TR/(s_RadSpec!$E29*s_IFPU_res_adj*s_CF_pumpkin),".")</f>
        <v>.</v>
      </c>
      <c r="W29" s="76" t="str">
        <f>IFERROR(s_TR/(s_RadSpec!$E29*s_IFSN_res_adj*s_CF_snap_bean),".")</f>
        <v>.</v>
      </c>
      <c r="X29" s="76" t="str">
        <f>IFERROR(s_TR/(s_RadSpec!$E29*s_IFST_res_adj*s_CF_strawberry),".")</f>
        <v>.</v>
      </c>
      <c r="Y29" s="76" t="str">
        <f>IFERROR(s_TR/(s_RadSpec!$E29*s_IFTO_res_adj*s_CF_tomato),".")</f>
        <v>.</v>
      </c>
      <c r="Z29" s="76" t="str">
        <f>IFERROR(s_TR/(s_RadSpec!$E29*s_IFRI_res_adj*s_CF_rice),".")</f>
        <v>.</v>
      </c>
      <c r="AA29" s="76" t="str">
        <f>IFERROR(s_TR/(s_RadSpec!$E29*s_IFCG_res_adj*s_CF_cereal),".")</f>
        <v>.</v>
      </c>
      <c r="AB29" s="76" t="str">
        <f t="shared" si="27"/>
        <v>.</v>
      </c>
      <c r="AC29" s="76" t="str">
        <f>IFERROR(s_TR/(s_RadSpec!$E29*s_IFAP_far_adj*s_CF_apple),".")</f>
        <v>.</v>
      </c>
      <c r="AD29" s="76" t="str">
        <f>IFERROR(s_TR/(s_RadSpec!$E29*s_IFAS_far_adj*s_CF_asparagus),".")</f>
        <v>.</v>
      </c>
      <c r="AE29" s="76" t="str">
        <f>IFERROR(s_TR/(s_RadSpec!$E29*s_IFBT_far_adj*s_CF_beet),".")</f>
        <v>.</v>
      </c>
      <c r="AF29" s="76" t="str">
        <f>IFERROR(s_TR/(s_RadSpec!$E29*s_IFBE_far_adj*s_CF_berries),".")</f>
        <v>.</v>
      </c>
      <c r="AG29" s="76" t="str">
        <f>IFERROR(s_TR/(s_RadSpec!$E29*s_IFBR_far_adj*s_CF_broccoli),".")</f>
        <v>.</v>
      </c>
      <c r="AH29" s="76" t="str">
        <f>IFERROR(s_TR/(s_RadSpec!$E29*s_IFCB_far_adj*s_CF_cabbage),".")</f>
        <v>.</v>
      </c>
      <c r="AI29" s="76" t="str">
        <f>IFERROR(s_TR/(s_RadSpec!$E29*s_IFCR_far_adj*s_CF_carrot),".")</f>
        <v>.</v>
      </c>
      <c r="AJ29" s="76" t="str">
        <f>IFERROR(s_TR/(s_RadSpec!$E29*s_IFCI_far_adj*s_CF_citrus),".")</f>
        <v>.</v>
      </c>
      <c r="AK29" s="76" t="str">
        <f>IFERROR(s_TR/(s_RadSpec!$E29*s_IFCO_far_adj*s_CF_corn),".")</f>
        <v>.</v>
      </c>
      <c r="AL29" s="76" t="str">
        <f>IFERROR(s_TR/(s_RadSpec!$E29*s_IFCU_far_adj*s_CF_cucumber),".")</f>
        <v>.</v>
      </c>
      <c r="AM29" s="76" t="str">
        <f>IFERROR(s_TR/(s_RadSpec!$E29*s_IFLE_far_adj*s_CF_lettuce),".")</f>
        <v>.</v>
      </c>
      <c r="AN29" s="76" t="str">
        <f>IFERROR(s_TR/(s_RadSpec!$E29*s_IFLI_far_adj*s_CF_lima_bean),".")</f>
        <v>.</v>
      </c>
      <c r="AO29" s="76" t="str">
        <f>IFERROR(s_TR/(s_RadSpec!$E29*s_IFOK_far_adj*s_CF_okra),".")</f>
        <v>.</v>
      </c>
      <c r="AP29" s="76" t="str">
        <f>IFERROR(s_TR/(s_RadSpec!$E29*s_IFON_far_adj*s_CF_onion),".")</f>
        <v>.</v>
      </c>
      <c r="AQ29" s="76" t="str">
        <f>IFERROR(s_TR/(s_RadSpec!$E29*s_IFPC_far_adj*s_CF_peach),".")</f>
        <v>.</v>
      </c>
      <c r="AR29" s="76" t="str">
        <f>IFERROR(s_TR/(s_RadSpec!$E29*s_IFPR_far_adj*s_CF_pear),".")</f>
        <v>.</v>
      </c>
      <c r="AS29" s="76" t="str">
        <f>IFERROR(s_TR/(s_RadSpec!$E29*s_IFPE_far_adj*s_CF_peas),".")</f>
        <v>.</v>
      </c>
      <c r="AT29" s="76" t="str">
        <f>IFERROR(s_TR/(s_RadSpec!$E29*s_IFPT_far_adj*s_CF_potato),".")</f>
        <v>.</v>
      </c>
      <c r="AU29" s="76" t="str">
        <f>IFERROR(s_TR/(s_RadSpec!$E29*s_IFPU_far_adj*s_CF_pumpkin),".")</f>
        <v>.</v>
      </c>
      <c r="AV29" s="76" t="str">
        <f>IFERROR(s_TR/(s_RadSpec!$E29*s_IFSN_far_adj*s_CF_snap_bean),".")</f>
        <v>.</v>
      </c>
      <c r="AW29" s="76" t="str">
        <f>IFERROR(s_TR/(s_RadSpec!$E29*s_IFST_far_adj*s_CF_strawberry),".")</f>
        <v>.</v>
      </c>
      <c r="AX29" s="76" t="str">
        <f>IFERROR(s_TR/(s_RadSpec!$E29*s_IFTO_far_adj*s_CF_tomato),".")</f>
        <v>.</v>
      </c>
      <c r="AY29" s="76" t="str">
        <f>IFERROR(s_TR/(s_RadSpec!$E29*s_IFRI_far_adj*s_CF_rice),".")</f>
        <v>.</v>
      </c>
      <c r="AZ29" s="76" t="str">
        <f>IFERROR(s_TR/(s_RadSpec!$E29*s_IFCG_far_adj*s_CF_cereal),".")</f>
        <v>.</v>
      </c>
      <c r="BA29" s="93">
        <f t="shared" si="1"/>
        <v>55000</v>
      </c>
      <c r="BB29" s="93">
        <f t="shared" si="2"/>
        <v>13750</v>
      </c>
      <c r="BC29" s="93">
        <f t="shared" si="3"/>
        <v>13750</v>
      </c>
      <c r="BD29" s="93">
        <f t="shared" si="4"/>
        <v>13750</v>
      </c>
      <c r="BE29" s="93">
        <f t="shared" si="5"/>
        <v>13750</v>
      </c>
      <c r="BF29" s="93">
        <f t="shared" si="6"/>
        <v>13750</v>
      </c>
      <c r="BG29" s="93">
        <f t="shared" si="7"/>
        <v>13750</v>
      </c>
      <c r="BH29" s="93">
        <f t="shared" si="8"/>
        <v>13750</v>
      </c>
      <c r="BI29" s="93">
        <f t="shared" si="9"/>
        <v>13750</v>
      </c>
      <c r="BJ29" s="93">
        <f t="shared" si="10"/>
        <v>13750</v>
      </c>
      <c r="BK29" s="93">
        <f t="shared" si="11"/>
        <v>13750</v>
      </c>
      <c r="BL29" s="93">
        <f t="shared" si="12"/>
        <v>13750</v>
      </c>
      <c r="BM29" s="93">
        <f t="shared" si="13"/>
        <v>13750</v>
      </c>
      <c r="BN29" s="93">
        <f t="shared" si="14"/>
        <v>13750</v>
      </c>
      <c r="BO29" s="93">
        <f t="shared" si="15"/>
        <v>13750</v>
      </c>
      <c r="BP29" s="93">
        <f t="shared" si="16"/>
        <v>13750</v>
      </c>
      <c r="BQ29" s="93">
        <f t="shared" si="17"/>
        <v>13750</v>
      </c>
      <c r="BR29" s="93">
        <f t="shared" si="18"/>
        <v>13750</v>
      </c>
      <c r="BS29" s="93">
        <f t="shared" si="19"/>
        <v>13750</v>
      </c>
      <c r="BT29" s="93">
        <f t="shared" si="20"/>
        <v>13750</v>
      </c>
      <c r="BU29" s="93">
        <f t="shared" si="21"/>
        <v>13750</v>
      </c>
      <c r="BV29" s="93">
        <f t="shared" si="22"/>
        <v>13750</v>
      </c>
      <c r="BW29" s="93">
        <f t="shared" si="23"/>
        <v>13750</v>
      </c>
      <c r="BX29" s="93">
        <f t="shared" si="24"/>
        <v>13750</v>
      </c>
      <c r="BY29" s="93">
        <f t="shared" si="25"/>
        <v>13750</v>
      </c>
    </row>
    <row r="30" spans="1:77" x14ac:dyDescent="0.25">
      <c r="A30" s="92" t="s">
        <v>40</v>
      </c>
      <c r="B30" s="90" t="s">
        <v>1074</v>
      </c>
      <c r="C30" s="76">
        <f t="shared" si="26"/>
        <v>0.93778719732918203</v>
      </c>
      <c r="D30" s="76">
        <f>IFERROR(s_TR/(s_RadSpec!$E30*s_IFAP_res_adj*s_CF_apple),".")</f>
        <v>3.7511487893167277</v>
      </c>
      <c r="E30" s="76">
        <f>IFERROR(s_TR/(s_RadSpec!$E30*s_IFAS_res_adj*s_CF_asparagus),".")</f>
        <v>3.7511487893167277</v>
      </c>
      <c r="F30" s="76">
        <f>IFERROR(s_TR/(s_RadSpec!$E30*s_IFBT_res_adj*s_CF_beet),".")</f>
        <v>3.7511487893167277</v>
      </c>
      <c r="G30" s="76">
        <f>IFERROR(s_TR/(s_RadSpec!$E30*s_IFBE_res_adj*s_CF_berries),".")</f>
        <v>3.7511487893167277</v>
      </c>
      <c r="H30" s="76">
        <f>IFERROR(s_TR/(s_RadSpec!$E30*s_IFBR_res_adj*s_CF_broccoli),".")</f>
        <v>3.7511487893167277</v>
      </c>
      <c r="I30" s="76">
        <f>IFERROR(s_TR/(s_RadSpec!$E30*s_IFCB_res_adj*s_CF_cabbage),".")</f>
        <v>3.7511487893167277</v>
      </c>
      <c r="J30" s="76">
        <f>IFERROR(s_TR/(s_RadSpec!$E30*s_IFCR_res_adj*s_CF_carrot),".")</f>
        <v>3.7511487893167277</v>
      </c>
      <c r="K30" s="76">
        <f>IFERROR(s_TR/(s_RadSpec!$E30*s_IFCI_res_adj*s_CF_citrus),".")</f>
        <v>3.7511487893167277</v>
      </c>
      <c r="L30" s="76">
        <f>IFERROR(s_TR/(s_RadSpec!$E30*s_IFCO_res_adj*s_CF_corn),".")</f>
        <v>3.7511487893167277</v>
      </c>
      <c r="M30" s="76">
        <f>IFERROR(s_TR/(s_RadSpec!$E30*s_IFCU_res_adj*s_CF_cucumber),".")</f>
        <v>3.7511487893167277</v>
      </c>
      <c r="N30" s="76">
        <f>IFERROR(s_TR/(s_RadSpec!$E30*s_IFLE_res_adj*s_CF_lettuce),".")</f>
        <v>3.7511487893167277</v>
      </c>
      <c r="O30" s="76">
        <f>IFERROR(s_TR/(s_RadSpec!$E30*s_IFLI_res_adj*s_CF_lima_bean),".")</f>
        <v>3.7511487893167277</v>
      </c>
      <c r="P30" s="76">
        <f>IFERROR(s_TR/(s_RadSpec!$E30*s_IFOK_res_adj*s_CF_okra),".")</f>
        <v>3.7511487893167277</v>
      </c>
      <c r="Q30" s="76">
        <f>IFERROR(s_TR/(s_RadSpec!$E30*s_IFON_res_adj*s_CF_onion),".")</f>
        <v>3.7511487893167277</v>
      </c>
      <c r="R30" s="76">
        <f>IFERROR(s_TR/(s_RadSpec!$E30*s_IFPC_res_adj*s_CF_peach),".")</f>
        <v>3.7511487893167277</v>
      </c>
      <c r="S30" s="76">
        <f>IFERROR(s_TR/(s_RadSpec!$E30*s_IFPR_res_adj*s_CF_pear),".")</f>
        <v>3.7511487893167277</v>
      </c>
      <c r="T30" s="76">
        <f>IFERROR(s_TR/(s_RadSpec!$E30*s_IFPE_res_adj*s_CF_peas),".")</f>
        <v>3.7511487893167277</v>
      </c>
      <c r="U30" s="76">
        <f>IFERROR(s_TR/(s_RadSpec!$E30*s_IFPT_res_adj*s_CF_potato),".")</f>
        <v>3.7511487893167277</v>
      </c>
      <c r="V30" s="76">
        <f>IFERROR(s_TR/(s_RadSpec!$E30*s_IFPU_res_adj*s_CF_pumpkin),".")</f>
        <v>3.7511487893167277</v>
      </c>
      <c r="W30" s="76">
        <f>IFERROR(s_TR/(s_RadSpec!$E30*s_IFSN_res_adj*s_CF_snap_bean),".")</f>
        <v>3.7511487893167277</v>
      </c>
      <c r="X30" s="76">
        <f>IFERROR(s_TR/(s_RadSpec!$E30*s_IFST_res_adj*s_CF_strawberry),".")</f>
        <v>3.7511487893167277</v>
      </c>
      <c r="Y30" s="76">
        <f>IFERROR(s_TR/(s_RadSpec!$E30*s_IFTO_res_adj*s_CF_tomato),".")</f>
        <v>3.7511487893167277</v>
      </c>
      <c r="Z30" s="76">
        <f>IFERROR(s_TR/(s_RadSpec!$E30*s_IFRI_res_adj*s_CF_rice),".")</f>
        <v>3.7511487893167277</v>
      </c>
      <c r="AA30" s="76">
        <f>IFERROR(s_TR/(s_RadSpec!$E30*s_IFCG_res_adj*s_CF_cereal),".")</f>
        <v>3.7511487893167277</v>
      </c>
      <c r="AB30" s="76">
        <f t="shared" si="27"/>
        <v>0.93778719732918203</v>
      </c>
      <c r="AC30" s="76">
        <f>IFERROR(s_TR/(s_RadSpec!$E30*s_IFAP_far_adj*s_CF_apple),".")</f>
        <v>3.7511487893167277</v>
      </c>
      <c r="AD30" s="76">
        <f>IFERROR(s_TR/(s_RadSpec!$E30*s_IFAS_far_adj*s_CF_asparagus),".")</f>
        <v>3.7511487893167277</v>
      </c>
      <c r="AE30" s="76">
        <f>IFERROR(s_TR/(s_RadSpec!$E30*s_IFBT_far_adj*s_CF_beet),".")</f>
        <v>3.7511487893167277</v>
      </c>
      <c r="AF30" s="76">
        <f>IFERROR(s_TR/(s_RadSpec!$E30*s_IFBE_far_adj*s_CF_berries),".")</f>
        <v>3.7511487893167277</v>
      </c>
      <c r="AG30" s="76">
        <f>IFERROR(s_TR/(s_RadSpec!$E30*s_IFBR_far_adj*s_CF_broccoli),".")</f>
        <v>3.7511487893167277</v>
      </c>
      <c r="AH30" s="76">
        <f>IFERROR(s_TR/(s_RadSpec!$E30*s_IFCB_far_adj*s_CF_cabbage),".")</f>
        <v>3.7511487893167277</v>
      </c>
      <c r="AI30" s="76">
        <f>IFERROR(s_TR/(s_RadSpec!$E30*s_IFCR_far_adj*s_CF_carrot),".")</f>
        <v>3.7511487893167277</v>
      </c>
      <c r="AJ30" s="76">
        <f>IFERROR(s_TR/(s_RadSpec!$E30*s_IFCI_far_adj*s_CF_citrus),".")</f>
        <v>3.7511487893167277</v>
      </c>
      <c r="AK30" s="76">
        <f>IFERROR(s_TR/(s_RadSpec!$E30*s_IFCO_far_adj*s_CF_corn),".")</f>
        <v>3.7511487893167277</v>
      </c>
      <c r="AL30" s="76">
        <f>IFERROR(s_TR/(s_RadSpec!$E30*s_IFCU_far_adj*s_CF_cucumber),".")</f>
        <v>3.7511487893167277</v>
      </c>
      <c r="AM30" s="76">
        <f>IFERROR(s_TR/(s_RadSpec!$E30*s_IFLE_far_adj*s_CF_lettuce),".")</f>
        <v>3.7511487893167277</v>
      </c>
      <c r="AN30" s="76">
        <f>IFERROR(s_TR/(s_RadSpec!$E30*s_IFLI_far_adj*s_CF_lima_bean),".")</f>
        <v>3.7511487893167277</v>
      </c>
      <c r="AO30" s="76">
        <f>IFERROR(s_TR/(s_RadSpec!$E30*s_IFOK_far_adj*s_CF_okra),".")</f>
        <v>3.7511487893167277</v>
      </c>
      <c r="AP30" s="76">
        <f>IFERROR(s_TR/(s_RadSpec!$E30*s_IFON_far_adj*s_CF_onion),".")</f>
        <v>3.7511487893167277</v>
      </c>
      <c r="AQ30" s="76">
        <f>IFERROR(s_TR/(s_RadSpec!$E30*s_IFPC_far_adj*s_CF_peach),".")</f>
        <v>3.7511487893167277</v>
      </c>
      <c r="AR30" s="76">
        <f>IFERROR(s_TR/(s_RadSpec!$E30*s_IFPR_far_adj*s_CF_pear),".")</f>
        <v>3.7511487893167277</v>
      </c>
      <c r="AS30" s="76">
        <f>IFERROR(s_TR/(s_RadSpec!$E30*s_IFPE_far_adj*s_CF_peas),".")</f>
        <v>3.7511487893167277</v>
      </c>
      <c r="AT30" s="76">
        <f>IFERROR(s_TR/(s_RadSpec!$E30*s_IFPT_far_adj*s_CF_potato),".")</f>
        <v>3.7511487893167277</v>
      </c>
      <c r="AU30" s="76">
        <f>IFERROR(s_TR/(s_RadSpec!$E30*s_IFPU_far_adj*s_CF_pumpkin),".")</f>
        <v>3.7511487893167277</v>
      </c>
      <c r="AV30" s="76">
        <f>IFERROR(s_TR/(s_RadSpec!$E30*s_IFSN_far_adj*s_CF_snap_bean),".")</f>
        <v>3.7511487893167277</v>
      </c>
      <c r="AW30" s="76">
        <f>IFERROR(s_TR/(s_RadSpec!$E30*s_IFST_far_adj*s_CF_strawberry),".")</f>
        <v>3.7511487893167277</v>
      </c>
      <c r="AX30" s="76">
        <f>IFERROR(s_TR/(s_RadSpec!$E30*s_IFTO_far_adj*s_CF_tomato),".")</f>
        <v>3.7511487893167277</v>
      </c>
      <c r="AY30" s="76">
        <f>IFERROR(s_TR/(s_RadSpec!$E30*s_IFRI_far_adj*s_CF_rice),".")</f>
        <v>3.7511487893167277</v>
      </c>
      <c r="AZ30" s="76">
        <f>IFERROR(s_TR/(s_RadSpec!$E30*s_IFCG_far_adj*s_CF_cereal),".")</f>
        <v>3.7511487893167277</v>
      </c>
      <c r="BA30" s="93">
        <f t="shared" si="1"/>
        <v>55000</v>
      </c>
      <c r="BB30" s="93">
        <f t="shared" si="2"/>
        <v>13750</v>
      </c>
      <c r="BC30" s="93">
        <f t="shared" si="3"/>
        <v>13750</v>
      </c>
      <c r="BD30" s="93">
        <f t="shared" si="4"/>
        <v>13750</v>
      </c>
      <c r="BE30" s="93">
        <f t="shared" si="5"/>
        <v>13750</v>
      </c>
      <c r="BF30" s="93">
        <f t="shared" si="6"/>
        <v>13750</v>
      </c>
      <c r="BG30" s="93">
        <f t="shared" si="7"/>
        <v>13750</v>
      </c>
      <c r="BH30" s="93">
        <f t="shared" si="8"/>
        <v>13750</v>
      </c>
      <c r="BI30" s="93">
        <f t="shared" si="9"/>
        <v>13750</v>
      </c>
      <c r="BJ30" s="93">
        <f t="shared" si="10"/>
        <v>13750</v>
      </c>
      <c r="BK30" s="93">
        <f t="shared" si="11"/>
        <v>13750</v>
      </c>
      <c r="BL30" s="93">
        <f t="shared" si="12"/>
        <v>13750</v>
      </c>
      <c r="BM30" s="93">
        <f t="shared" si="13"/>
        <v>13750</v>
      </c>
      <c r="BN30" s="93">
        <f t="shared" si="14"/>
        <v>13750</v>
      </c>
      <c r="BO30" s="93">
        <f t="shared" si="15"/>
        <v>13750</v>
      </c>
      <c r="BP30" s="93">
        <f t="shared" si="16"/>
        <v>13750</v>
      </c>
      <c r="BQ30" s="93">
        <f t="shared" si="17"/>
        <v>13750</v>
      </c>
      <c r="BR30" s="93">
        <f t="shared" si="18"/>
        <v>13750</v>
      </c>
      <c r="BS30" s="93">
        <f t="shared" si="19"/>
        <v>13750</v>
      </c>
      <c r="BT30" s="93">
        <f t="shared" si="20"/>
        <v>13750</v>
      </c>
      <c r="BU30" s="93">
        <f t="shared" si="21"/>
        <v>13750</v>
      </c>
      <c r="BV30" s="93">
        <f t="shared" si="22"/>
        <v>13750</v>
      </c>
      <c r="BW30" s="93">
        <f t="shared" si="23"/>
        <v>13750</v>
      </c>
      <c r="BX30" s="93">
        <f t="shared" si="24"/>
        <v>13750</v>
      </c>
      <c r="BY30" s="93">
        <f t="shared" si="25"/>
        <v>13750</v>
      </c>
    </row>
    <row r="31" spans="1:77" x14ac:dyDescent="0.25">
      <c r="A31" s="95" t="s">
        <v>13</v>
      </c>
      <c r="B31" s="95" t="s">
        <v>1074</v>
      </c>
      <c r="C31" s="96">
        <f t="shared" ref="C31:C58" si="28">IFERROR(1/SUM(1/D31,1/E31,1/Z31,1/AA31),".")</f>
        <v>8.7497543148809753E-2</v>
      </c>
      <c r="D31" s="96">
        <f t="shared" ref="D31:AA31" si="29">IFERROR(1/SUM(D32:D44),0)</f>
        <v>0.34999017259523901</v>
      </c>
      <c r="E31" s="96">
        <f t="shared" si="29"/>
        <v>0.34999017259523901</v>
      </c>
      <c r="F31" s="96">
        <f t="shared" si="29"/>
        <v>0.34999017259523901</v>
      </c>
      <c r="G31" s="96">
        <f t="shared" si="29"/>
        <v>0.34999017259523901</v>
      </c>
      <c r="H31" s="96">
        <f t="shared" si="29"/>
        <v>0.34999017259523901</v>
      </c>
      <c r="I31" s="96">
        <f t="shared" si="29"/>
        <v>0.34999017259523901</v>
      </c>
      <c r="J31" s="96">
        <f t="shared" si="29"/>
        <v>0.34999017259523901</v>
      </c>
      <c r="K31" s="96">
        <f t="shared" si="29"/>
        <v>0.34999017259523901</v>
      </c>
      <c r="L31" s="96">
        <f t="shared" si="29"/>
        <v>0.34999017259523901</v>
      </c>
      <c r="M31" s="96">
        <f t="shared" si="29"/>
        <v>0.34999017259523901</v>
      </c>
      <c r="N31" s="96">
        <f t="shared" si="29"/>
        <v>0.34999017259523901</v>
      </c>
      <c r="O31" s="96">
        <f t="shared" si="29"/>
        <v>0.34999017259523901</v>
      </c>
      <c r="P31" s="96">
        <f t="shared" si="29"/>
        <v>0.34999017259523901</v>
      </c>
      <c r="Q31" s="96">
        <f t="shared" si="29"/>
        <v>0.34999017259523901</v>
      </c>
      <c r="R31" s="96">
        <f t="shared" si="29"/>
        <v>0.34999017259523901</v>
      </c>
      <c r="S31" s="96">
        <f t="shared" si="29"/>
        <v>0.34999017259523901</v>
      </c>
      <c r="T31" s="96">
        <f t="shared" si="29"/>
        <v>0.34999017259523901</v>
      </c>
      <c r="U31" s="96">
        <f t="shared" si="29"/>
        <v>0.34999017259523901</v>
      </c>
      <c r="V31" s="96">
        <f t="shared" si="29"/>
        <v>0.34999017259523901</v>
      </c>
      <c r="W31" s="96">
        <f t="shared" si="29"/>
        <v>0.34999017259523901</v>
      </c>
      <c r="X31" s="96">
        <f t="shared" si="29"/>
        <v>0.34999017259523901</v>
      </c>
      <c r="Y31" s="96">
        <f t="shared" si="29"/>
        <v>0.34999017259523901</v>
      </c>
      <c r="Z31" s="96">
        <f t="shared" si="29"/>
        <v>0.34999017259523901</v>
      </c>
      <c r="AA31" s="96">
        <f t="shared" si="29"/>
        <v>0.34999017259523901</v>
      </c>
      <c r="AB31" s="96">
        <f t="shared" ref="AB31:AB76" si="30">IFERROR(1/SUM(1/AC31,1/AD31,1/AY31,1/AZ31),".")</f>
        <v>8.7497543148809753E-2</v>
      </c>
      <c r="AC31" s="96">
        <f t="shared" ref="AC31:AZ31" si="31">IFERROR(1/SUM(AC32:AC44),0)</f>
        <v>0.34999017259523901</v>
      </c>
      <c r="AD31" s="96">
        <f t="shared" si="31"/>
        <v>0.34999017259523901</v>
      </c>
      <c r="AE31" s="96">
        <f t="shared" si="31"/>
        <v>0.34999017259523901</v>
      </c>
      <c r="AF31" s="96">
        <f t="shared" si="31"/>
        <v>0.34999017259523901</v>
      </c>
      <c r="AG31" s="96">
        <f t="shared" si="31"/>
        <v>0.34999017259523901</v>
      </c>
      <c r="AH31" s="96">
        <f t="shared" si="31"/>
        <v>0.34999017259523901</v>
      </c>
      <c r="AI31" s="96">
        <f t="shared" si="31"/>
        <v>0.34999017259523901</v>
      </c>
      <c r="AJ31" s="96">
        <f t="shared" si="31"/>
        <v>0.34999017259523901</v>
      </c>
      <c r="AK31" s="96">
        <f t="shared" si="31"/>
        <v>0.34999017259523901</v>
      </c>
      <c r="AL31" s="96">
        <f t="shared" si="31"/>
        <v>0.34999017259523901</v>
      </c>
      <c r="AM31" s="96">
        <f t="shared" si="31"/>
        <v>0.34999017259523901</v>
      </c>
      <c r="AN31" s="96">
        <f t="shared" si="31"/>
        <v>0.34999017259523901</v>
      </c>
      <c r="AO31" s="96">
        <f t="shared" si="31"/>
        <v>0.34999017259523901</v>
      </c>
      <c r="AP31" s="96">
        <f t="shared" si="31"/>
        <v>0.34999017259523901</v>
      </c>
      <c r="AQ31" s="96">
        <f t="shared" si="31"/>
        <v>0.34999017259523901</v>
      </c>
      <c r="AR31" s="96">
        <f t="shared" si="31"/>
        <v>0.34999017259523901</v>
      </c>
      <c r="AS31" s="96">
        <f t="shared" si="31"/>
        <v>0.34999017259523901</v>
      </c>
      <c r="AT31" s="96">
        <f t="shared" si="31"/>
        <v>0.34999017259523901</v>
      </c>
      <c r="AU31" s="96">
        <f t="shared" si="31"/>
        <v>0.34999017259523901</v>
      </c>
      <c r="AV31" s="96">
        <f t="shared" si="31"/>
        <v>0.34999017259523901</v>
      </c>
      <c r="AW31" s="96">
        <f t="shared" si="31"/>
        <v>0.34999017259523901</v>
      </c>
      <c r="AX31" s="96">
        <f t="shared" si="31"/>
        <v>0.34999017259523901</v>
      </c>
      <c r="AY31" s="96">
        <f t="shared" si="31"/>
        <v>0.34999017259523901</v>
      </c>
      <c r="AZ31" s="96">
        <f t="shared" si="31"/>
        <v>0.34999017259523901</v>
      </c>
      <c r="BA31" s="97">
        <f>IFERROR(IF(SUM(BB32:BC44,BX32:BY44)&gt;0.01,1-EXP(-SUM(BB32:BC44,BX32:BY44)),SUM(BB32:BC44,BX32:BY44)),".")</f>
        <v>5.7144475738688624E-5</v>
      </c>
      <c r="BB31" s="97">
        <f>IFERROR(IF(SUM(BB32:BB44)&gt;0.01,1-EXP(-(SUM(BB32:BB44))),SUM(BB32:BB44)),".")</f>
        <v>1.4286118934672163E-5</v>
      </c>
      <c r="BC31" s="97">
        <f t="shared" ref="BC31:BW31" si="32">IFERROR(IF(SUM(BC32:BC44)&gt;0.01,1-EXP(-(SUM(BC32:BC44))),SUM(BC32:BC44)),".")</f>
        <v>1.4286118934672163E-5</v>
      </c>
      <c r="BD31" s="97">
        <f t="shared" si="32"/>
        <v>1.4286118934672163E-5</v>
      </c>
      <c r="BE31" s="97">
        <f t="shared" si="32"/>
        <v>1.4286118934672163E-5</v>
      </c>
      <c r="BF31" s="97">
        <f t="shared" si="32"/>
        <v>1.4286118934672163E-5</v>
      </c>
      <c r="BG31" s="97">
        <f t="shared" si="32"/>
        <v>1.4286118934672163E-5</v>
      </c>
      <c r="BH31" s="97">
        <f t="shared" si="32"/>
        <v>1.4286118934672163E-5</v>
      </c>
      <c r="BI31" s="97">
        <f t="shared" si="32"/>
        <v>1.4286118934672163E-5</v>
      </c>
      <c r="BJ31" s="97">
        <f t="shared" si="32"/>
        <v>1.4286118934672163E-5</v>
      </c>
      <c r="BK31" s="97">
        <f t="shared" si="32"/>
        <v>1.4286118934672163E-5</v>
      </c>
      <c r="BL31" s="97">
        <f t="shared" si="32"/>
        <v>1.4286118934672163E-5</v>
      </c>
      <c r="BM31" s="97">
        <f t="shared" si="32"/>
        <v>1.4286118934672163E-5</v>
      </c>
      <c r="BN31" s="97">
        <f t="shared" si="32"/>
        <v>1.4286118934672163E-5</v>
      </c>
      <c r="BO31" s="97">
        <f t="shared" si="32"/>
        <v>1.4286118934672163E-5</v>
      </c>
      <c r="BP31" s="97">
        <f t="shared" si="32"/>
        <v>1.4286118934672163E-5</v>
      </c>
      <c r="BQ31" s="97">
        <f t="shared" si="32"/>
        <v>1.4286118934672163E-5</v>
      </c>
      <c r="BR31" s="97">
        <f t="shared" si="32"/>
        <v>1.4286118934672163E-5</v>
      </c>
      <c r="BS31" s="97">
        <f t="shared" si="32"/>
        <v>1.4286118934672163E-5</v>
      </c>
      <c r="BT31" s="97">
        <f t="shared" si="32"/>
        <v>1.4286118934672163E-5</v>
      </c>
      <c r="BU31" s="97">
        <f t="shared" si="32"/>
        <v>1.4286118934672163E-5</v>
      </c>
      <c r="BV31" s="97">
        <f t="shared" si="32"/>
        <v>1.4286118934672163E-5</v>
      </c>
      <c r="BW31" s="97">
        <f t="shared" si="32"/>
        <v>1.4286118934672163E-5</v>
      </c>
      <c r="BX31" s="97">
        <f>IFERROR(IF(SUM(BX32:BX44)&gt;0.01,1-EXP(-(SUM(BX32:BX44))),SUM(BX32:BX44)),".")</f>
        <v>1.4286118934672163E-5</v>
      </c>
      <c r="BY31" s="97">
        <f>IFERROR(IF(SUM(BY32:BY44)&gt;0.01,1-EXP(-(SUM(BY32:BY44))),SUM(BY32:BY44)),".")</f>
        <v>1.4286118934672163E-5</v>
      </c>
    </row>
    <row r="32" spans="1:77" x14ac:dyDescent="0.25">
      <c r="A32" s="99" t="s">
        <v>1102</v>
      </c>
      <c r="B32" s="90">
        <v>1</v>
      </c>
      <c r="C32" s="100">
        <f t="shared" si="28"/>
        <v>9.1829375000000005E-2</v>
      </c>
      <c r="D32" s="100">
        <f t="shared" ref="D32:AA32" si="33">IFERROR($B32/D3,0)</f>
        <v>0.36731750000000002</v>
      </c>
      <c r="E32" s="100">
        <f t="shared" si="33"/>
        <v>0.36731750000000002</v>
      </c>
      <c r="F32" s="100">
        <f t="shared" si="33"/>
        <v>0.36731750000000002</v>
      </c>
      <c r="G32" s="100">
        <f t="shared" si="33"/>
        <v>0.36731750000000002</v>
      </c>
      <c r="H32" s="100">
        <f t="shared" si="33"/>
        <v>0.36731750000000002</v>
      </c>
      <c r="I32" s="100">
        <f t="shared" si="33"/>
        <v>0.36731750000000002</v>
      </c>
      <c r="J32" s="100">
        <f t="shared" si="33"/>
        <v>0.36731750000000002</v>
      </c>
      <c r="K32" s="100">
        <f t="shared" si="33"/>
        <v>0.36731750000000002</v>
      </c>
      <c r="L32" s="100">
        <f t="shared" si="33"/>
        <v>0.36731750000000002</v>
      </c>
      <c r="M32" s="100">
        <f t="shared" si="33"/>
        <v>0.36731750000000002</v>
      </c>
      <c r="N32" s="100">
        <f t="shared" si="33"/>
        <v>0.36731750000000002</v>
      </c>
      <c r="O32" s="100">
        <f t="shared" si="33"/>
        <v>0.36731750000000002</v>
      </c>
      <c r="P32" s="100">
        <f t="shared" si="33"/>
        <v>0.36731750000000002</v>
      </c>
      <c r="Q32" s="100">
        <f t="shared" si="33"/>
        <v>0.36731750000000002</v>
      </c>
      <c r="R32" s="100">
        <f t="shared" si="33"/>
        <v>0.36731750000000002</v>
      </c>
      <c r="S32" s="100">
        <f t="shared" si="33"/>
        <v>0.36731750000000002</v>
      </c>
      <c r="T32" s="100">
        <f t="shared" si="33"/>
        <v>0.36731750000000002</v>
      </c>
      <c r="U32" s="100">
        <f t="shared" si="33"/>
        <v>0.36731750000000002</v>
      </c>
      <c r="V32" s="100">
        <f t="shared" si="33"/>
        <v>0.36731750000000002</v>
      </c>
      <c r="W32" s="100">
        <f t="shared" si="33"/>
        <v>0.36731750000000002</v>
      </c>
      <c r="X32" s="100">
        <f t="shared" si="33"/>
        <v>0.36731750000000002</v>
      </c>
      <c r="Y32" s="100">
        <f t="shared" si="33"/>
        <v>0.36731750000000002</v>
      </c>
      <c r="Z32" s="100">
        <f t="shared" si="33"/>
        <v>0.36731750000000002</v>
      </c>
      <c r="AA32" s="100">
        <f t="shared" si="33"/>
        <v>0.36731750000000002</v>
      </c>
      <c r="AB32" s="100">
        <f t="shared" si="30"/>
        <v>9.1829375000000005E-2</v>
      </c>
      <c r="AC32" s="100">
        <f t="shared" ref="AC32:AZ32" si="34">IFERROR($B32/AC3,0)</f>
        <v>0.36731750000000002</v>
      </c>
      <c r="AD32" s="100">
        <f t="shared" si="34"/>
        <v>0.36731750000000002</v>
      </c>
      <c r="AE32" s="100">
        <f t="shared" si="34"/>
        <v>0.36731750000000002</v>
      </c>
      <c r="AF32" s="100">
        <f t="shared" si="34"/>
        <v>0.36731750000000002</v>
      </c>
      <c r="AG32" s="100">
        <f t="shared" si="34"/>
        <v>0.36731750000000002</v>
      </c>
      <c r="AH32" s="100">
        <f t="shared" si="34"/>
        <v>0.36731750000000002</v>
      </c>
      <c r="AI32" s="100">
        <f t="shared" si="34"/>
        <v>0.36731750000000002</v>
      </c>
      <c r="AJ32" s="100">
        <f t="shared" si="34"/>
        <v>0.36731750000000002</v>
      </c>
      <c r="AK32" s="100">
        <f t="shared" si="34"/>
        <v>0.36731750000000002</v>
      </c>
      <c r="AL32" s="100">
        <f t="shared" si="34"/>
        <v>0.36731750000000002</v>
      </c>
      <c r="AM32" s="100">
        <f t="shared" si="34"/>
        <v>0.36731750000000002</v>
      </c>
      <c r="AN32" s="100">
        <f t="shared" si="34"/>
        <v>0.36731750000000002</v>
      </c>
      <c r="AO32" s="100">
        <f t="shared" si="34"/>
        <v>0.36731750000000002</v>
      </c>
      <c r="AP32" s="100">
        <f t="shared" si="34"/>
        <v>0.36731750000000002</v>
      </c>
      <c r="AQ32" s="100">
        <f t="shared" si="34"/>
        <v>0.36731750000000002</v>
      </c>
      <c r="AR32" s="100">
        <f t="shared" si="34"/>
        <v>0.36731750000000002</v>
      </c>
      <c r="AS32" s="100">
        <f t="shared" si="34"/>
        <v>0.36731750000000002</v>
      </c>
      <c r="AT32" s="100">
        <f t="shared" si="34"/>
        <v>0.36731750000000002</v>
      </c>
      <c r="AU32" s="100">
        <f t="shared" si="34"/>
        <v>0.36731750000000002</v>
      </c>
      <c r="AV32" s="100">
        <f t="shared" si="34"/>
        <v>0.36731750000000002</v>
      </c>
      <c r="AW32" s="100">
        <f t="shared" si="34"/>
        <v>0.36731750000000002</v>
      </c>
      <c r="AX32" s="100">
        <f t="shared" si="34"/>
        <v>0.36731750000000002</v>
      </c>
      <c r="AY32" s="100">
        <f t="shared" si="34"/>
        <v>0.36731750000000002</v>
      </c>
      <c r="AZ32" s="100">
        <f t="shared" si="34"/>
        <v>0.36731750000000002</v>
      </c>
      <c r="BA32" s="101">
        <f t="shared" ref="BA32:BA44" si="35">SUM(BB32:BC32,BX32:BY32)</f>
        <v>7.3463500000000004E-6</v>
      </c>
      <c r="BB32" s="101">
        <f>IFERROR(s_RadSpec!$E$3*(BB3/$B32),".")</f>
        <v>1.8365875000000001E-6</v>
      </c>
      <c r="BC32" s="101">
        <f>IFERROR(s_RadSpec!$E$3*(BC3/$B32),".")</f>
        <v>1.8365875000000001E-6</v>
      </c>
      <c r="BD32" s="101">
        <f>IFERROR(s_RadSpec!$E$3*(BD3/$B32),".")</f>
        <v>1.8365875000000001E-6</v>
      </c>
      <c r="BE32" s="101">
        <f>IFERROR(s_RadSpec!$E$3*(BE3/$B32),".")</f>
        <v>1.8365875000000001E-6</v>
      </c>
      <c r="BF32" s="101">
        <f>IFERROR(s_RadSpec!$E$3*(BF3/$B32),".")</f>
        <v>1.8365875000000001E-6</v>
      </c>
      <c r="BG32" s="101">
        <f>IFERROR(s_RadSpec!$E$3*(BG3/$B32),".")</f>
        <v>1.8365875000000001E-6</v>
      </c>
      <c r="BH32" s="101">
        <f>IFERROR(s_RadSpec!$E$3*(BH3/$B32),".")</f>
        <v>1.8365875000000001E-6</v>
      </c>
      <c r="BI32" s="101">
        <f>IFERROR(s_RadSpec!$E$3*(BI3/$B32),".")</f>
        <v>1.8365875000000001E-6</v>
      </c>
      <c r="BJ32" s="101">
        <f>IFERROR(s_RadSpec!$E$3*(BJ3/$B32),".")</f>
        <v>1.8365875000000001E-6</v>
      </c>
      <c r="BK32" s="101">
        <f>IFERROR(s_RadSpec!$E$3*(BK3/$B32),".")</f>
        <v>1.8365875000000001E-6</v>
      </c>
      <c r="BL32" s="101">
        <f>IFERROR(s_RadSpec!$E$3*(BL3/$B32),".")</f>
        <v>1.8365875000000001E-6</v>
      </c>
      <c r="BM32" s="101">
        <f>IFERROR(s_RadSpec!$E$3*(BM3/$B32),".")</f>
        <v>1.8365875000000001E-6</v>
      </c>
      <c r="BN32" s="101">
        <f>IFERROR(s_RadSpec!$E$3*(BN3/$B32),".")</f>
        <v>1.8365875000000001E-6</v>
      </c>
      <c r="BO32" s="101">
        <f>IFERROR(s_RadSpec!$E$3*(BO3/$B32),".")</f>
        <v>1.8365875000000001E-6</v>
      </c>
      <c r="BP32" s="101">
        <f>IFERROR(s_RadSpec!$E$3*(BP3/$B32),".")</f>
        <v>1.8365875000000001E-6</v>
      </c>
      <c r="BQ32" s="101">
        <f>IFERROR(s_RadSpec!$E$3*(BQ3/$B32),".")</f>
        <v>1.8365875000000001E-6</v>
      </c>
      <c r="BR32" s="101">
        <f>IFERROR(s_RadSpec!$E$3*(BR3/$B32),".")</f>
        <v>1.8365875000000001E-6</v>
      </c>
      <c r="BS32" s="101">
        <f>IFERROR(s_RadSpec!$E$3*(BS3/$B32),".")</f>
        <v>1.8365875000000001E-6</v>
      </c>
      <c r="BT32" s="101">
        <f>IFERROR(s_RadSpec!$E$3*(BT3/$B32),".")</f>
        <v>1.8365875000000001E-6</v>
      </c>
      <c r="BU32" s="101">
        <f>IFERROR(s_RadSpec!$E$3*(BU3/$B32),".")</f>
        <v>1.8365875000000001E-6</v>
      </c>
      <c r="BV32" s="101">
        <f>IFERROR(s_RadSpec!$E$3*(BV3/$B32),".")</f>
        <v>1.8365875000000001E-6</v>
      </c>
      <c r="BW32" s="101">
        <f>IFERROR(s_RadSpec!$E$3*(BW3/$B32),".")</f>
        <v>1.8365875000000001E-6</v>
      </c>
      <c r="BX32" s="101">
        <f>IFERROR(s_RadSpec!$E$3*(BX3/$B32),".")</f>
        <v>1.8365875000000001E-6</v>
      </c>
      <c r="BY32" s="101">
        <f>IFERROR(s_RadSpec!$E$3*(BY3/$B32),".")</f>
        <v>1.8365875000000001E-6</v>
      </c>
    </row>
    <row r="33" spans="1:77" x14ac:dyDescent="0.25">
      <c r="A33" s="99" t="s">
        <v>1078</v>
      </c>
      <c r="B33" s="90">
        <v>1</v>
      </c>
      <c r="C33" s="100">
        <f t="shared" si="28"/>
        <v>5.698000000000001E-2</v>
      </c>
      <c r="D33" s="100">
        <f t="shared" ref="D33:AA33" si="36">IFERROR($B33/D13,0)</f>
        <v>0.22792000000000004</v>
      </c>
      <c r="E33" s="100">
        <f t="shared" si="36"/>
        <v>0.22792000000000004</v>
      </c>
      <c r="F33" s="100">
        <f t="shared" si="36"/>
        <v>0.22792000000000004</v>
      </c>
      <c r="G33" s="100">
        <f t="shared" si="36"/>
        <v>0.22792000000000004</v>
      </c>
      <c r="H33" s="100">
        <f t="shared" si="36"/>
        <v>0.22792000000000004</v>
      </c>
      <c r="I33" s="100">
        <f t="shared" si="36"/>
        <v>0.22792000000000004</v>
      </c>
      <c r="J33" s="100">
        <f t="shared" si="36"/>
        <v>0.22792000000000004</v>
      </c>
      <c r="K33" s="100">
        <f t="shared" si="36"/>
        <v>0.22792000000000004</v>
      </c>
      <c r="L33" s="100">
        <f t="shared" si="36"/>
        <v>0.22792000000000004</v>
      </c>
      <c r="M33" s="100">
        <f t="shared" si="36"/>
        <v>0.22792000000000004</v>
      </c>
      <c r="N33" s="100">
        <f t="shared" si="36"/>
        <v>0.22792000000000004</v>
      </c>
      <c r="O33" s="100">
        <f t="shared" si="36"/>
        <v>0.22792000000000004</v>
      </c>
      <c r="P33" s="100">
        <f t="shared" si="36"/>
        <v>0.22792000000000004</v>
      </c>
      <c r="Q33" s="100">
        <f t="shared" si="36"/>
        <v>0.22792000000000004</v>
      </c>
      <c r="R33" s="100">
        <f t="shared" si="36"/>
        <v>0.22792000000000004</v>
      </c>
      <c r="S33" s="100">
        <f t="shared" si="36"/>
        <v>0.22792000000000004</v>
      </c>
      <c r="T33" s="100">
        <f t="shared" si="36"/>
        <v>0.22792000000000004</v>
      </c>
      <c r="U33" s="100">
        <f t="shared" si="36"/>
        <v>0.22792000000000004</v>
      </c>
      <c r="V33" s="100">
        <f t="shared" si="36"/>
        <v>0.22792000000000004</v>
      </c>
      <c r="W33" s="100">
        <f t="shared" si="36"/>
        <v>0.22792000000000004</v>
      </c>
      <c r="X33" s="100">
        <f t="shared" si="36"/>
        <v>0.22792000000000004</v>
      </c>
      <c r="Y33" s="100">
        <f t="shared" si="36"/>
        <v>0.22792000000000004</v>
      </c>
      <c r="Z33" s="100">
        <f t="shared" si="36"/>
        <v>0.22792000000000004</v>
      </c>
      <c r="AA33" s="100">
        <f t="shared" si="36"/>
        <v>0.22792000000000004</v>
      </c>
      <c r="AB33" s="100">
        <f t="shared" si="30"/>
        <v>5.698000000000001E-2</v>
      </c>
      <c r="AC33" s="100">
        <f t="shared" ref="AC33:AZ33" si="37">IFERROR($B33/AC13,0)</f>
        <v>0.22792000000000004</v>
      </c>
      <c r="AD33" s="100">
        <f t="shared" si="37"/>
        <v>0.22792000000000004</v>
      </c>
      <c r="AE33" s="100">
        <f t="shared" si="37"/>
        <v>0.22792000000000004</v>
      </c>
      <c r="AF33" s="100">
        <f t="shared" si="37"/>
        <v>0.22792000000000004</v>
      </c>
      <c r="AG33" s="100">
        <f t="shared" si="37"/>
        <v>0.22792000000000004</v>
      </c>
      <c r="AH33" s="100">
        <f t="shared" si="37"/>
        <v>0.22792000000000004</v>
      </c>
      <c r="AI33" s="100">
        <f t="shared" si="37"/>
        <v>0.22792000000000004</v>
      </c>
      <c r="AJ33" s="100">
        <f t="shared" si="37"/>
        <v>0.22792000000000004</v>
      </c>
      <c r="AK33" s="100">
        <f t="shared" si="37"/>
        <v>0.22792000000000004</v>
      </c>
      <c r="AL33" s="100">
        <f t="shared" si="37"/>
        <v>0.22792000000000004</v>
      </c>
      <c r="AM33" s="100">
        <f t="shared" si="37"/>
        <v>0.22792000000000004</v>
      </c>
      <c r="AN33" s="100">
        <f t="shared" si="37"/>
        <v>0.22792000000000004</v>
      </c>
      <c r="AO33" s="100">
        <f t="shared" si="37"/>
        <v>0.22792000000000004</v>
      </c>
      <c r="AP33" s="100">
        <f t="shared" si="37"/>
        <v>0.22792000000000004</v>
      </c>
      <c r="AQ33" s="100">
        <f t="shared" si="37"/>
        <v>0.22792000000000004</v>
      </c>
      <c r="AR33" s="100">
        <f t="shared" si="37"/>
        <v>0.22792000000000004</v>
      </c>
      <c r="AS33" s="100">
        <f t="shared" si="37"/>
        <v>0.22792000000000004</v>
      </c>
      <c r="AT33" s="100">
        <f t="shared" si="37"/>
        <v>0.22792000000000004</v>
      </c>
      <c r="AU33" s="100">
        <f t="shared" si="37"/>
        <v>0.22792000000000004</v>
      </c>
      <c r="AV33" s="100">
        <f t="shared" si="37"/>
        <v>0.22792000000000004</v>
      </c>
      <c r="AW33" s="100">
        <f t="shared" si="37"/>
        <v>0.22792000000000004</v>
      </c>
      <c r="AX33" s="100">
        <f t="shared" si="37"/>
        <v>0.22792000000000004</v>
      </c>
      <c r="AY33" s="100">
        <f t="shared" si="37"/>
        <v>0.22792000000000004</v>
      </c>
      <c r="AZ33" s="100">
        <f t="shared" si="37"/>
        <v>0.22792000000000004</v>
      </c>
      <c r="BA33" s="101">
        <f t="shared" si="35"/>
        <v>4.5584000000000003E-6</v>
      </c>
      <c r="BB33" s="101">
        <f>IFERROR(s_RadSpec!$E$13*(BB13/$B33),".")</f>
        <v>1.1396000000000001E-6</v>
      </c>
      <c r="BC33" s="101">
        <f>IFERROR(s_RadSpec!$E$13*(BC13/$B33),".")</f>
        <v>1.1396000000000001E-6</v>
      </c>
      <c r="BD33" s="101">
        <f>IFERROR(s_RadSpec!$E$13*(BD13/$B33),".")</f>
        <v>1.1396000000000001E-6</v>
      </c>
      <c r="BE33" s="101">
        <f>IFERROR(s_RadSpec!$E$13*(BE13/$B33),".")</f>
        <v>1.1396000000000001E-6</v>
      </c>
      <c r="BF33" s="101">
        <f>IFERROR(s_RadSpec!$E$13*(BF13/$B33),".")</f>
        <v>1.1396000000000001E-6</v>
      </c>
      <c r="BG33" s="101">
        <f>IFERROR(s_RadSpec!$E$13*(BG13/$B33),".")</f>
        <v>1.1396000000000001E-6</v>
      </c>
      <c r="BH33" s="101">
        <f>IFERROR(s_RadSpec!$E$13*(BH13/$B33),".")</f>
        <v>1.1396000000000001E-6</v>
      </c>
      <c r="BI33" s="101">
        <f>IFERROR(s_RadSpec!$E$13*(BI13/$B33),".")</f>
        <v>1.1396000000000001E-6</v>
      </c>
      <c r="BJ33" s="101">
        <f>IFERROR(s_RadSpec!$E$13*(BJ13/$B33),".")</f>
        <v>1.1396000000000001E-6</v>
      </c>
      <c r="BK33" s="101">
        <f>IFERROR(s_RadSpec!$E$13*(BK13/$B33),".")</f>
        <v>1.1396000000000001E-6</v>
      </c>
      <c r="BL33" s="101">
        <f>IFERROR(s_RadSpec!$E$13*(BL13/$B33),".")</f>
        <v>1.1396000000000001E-6</v>
      </c>
      <c r="BM33" s="101">
        <f>IFERROR(s_RadSpec!$E$13*(BM13/$B33),".")</f>
        <v>1.1396000000000001E-6</v>
      </c>
      <c r="BN33" s="101">
        <f>IFERROR(s_RadSpec!$E$13*(BN13/$B33),".")</f>
        <v>1.1396000000000001E-6</v>
      </c>
      <c r="BO33" s="101">
        <f>IFERROR(s_RadSpec!$E$13*(BO13/$B33),".")</f>
        <v>1.1396000000000001E-6</v>
      </c>
      <c r="BP33" s="101">
        <f>IFERROR(s_RadSpec!$E$13*(BP13/$B33),".")</f>
        <v>1.1396000000000001E-6</v>
      </c>
      <c r="BQ33" s="101">
        <f>IFERROR(s_RadSpec!$E$13*(BQ13/$B33),".")</f>
        <v>1.1396000000000001E-6</v>
      </c>
      <c r="BR33" s="101">
        <f>IFERROR(s_RadSpec!$E$13*(BR13/$B33),".")</f>
        <v>1.1396000000000001E-6</v>
      </c>
      <c r="BS33" s="101">
        <f>IFERROR(s_RadSpec!$E$13*(BS13/$B33),".")</f>
        <v>1.1396000000000001E-6</v>
      </c>
      <c r="BT33" s="101">
        <f>IFERROR(s_RadSpec!$E$13*(BT13/$B33),".")</f>
        <v>1.1396000000000001E-6</v>
      </c>
      <c r="BU33" s="101">
        <f>IFERROR(s_RadSpec!$E$13*(BU13/$B33),".")</f>
        <v>1.1396000000000001E-6</v>
      </c>
      <c r="BV33" s="101">
        <f>IFERROR(s_RadSpec!$E$13*(BV13/$B33),".")</f>
        <v>1.1396000000000001E-6</v>
      </c>
      <c r="BW33" s="101">
        <f>IFERROR(s_RadSpec!$E$13*(BW13/$B33),".")</f>
        <v>1.1396000000000001E-6</v>
      </c>
      <c r="BX33" s="101">
        <f>IFERROR(s_RadSpec!$E$13*(BX13/$B33),".")</f>
        <v>1.1396000000000001E-6</v>
      </c>
      <c r="BY33" s="101">
        <f>IFERROR(s_RadSpec!$E$13*(BY13/$B33),".")</f>
        <v>1.1396000000000001E-6</v>
      </c>
    </row>
    <row r="34" spans="1:77" x14ac:dyDescent="0.25">
      <c r="A34" s="99" t="s">
        <v>1079</v>
      </c>
      <c r="B34" s="90">
        <v>1</v>
      </c>
      <c r="C34" s="100">
        <f t="shared" si="28"/>
        <v>6.1558749999999999E-3</v>
      </c>
      <c r="D34" s="100">
        <f t="shared" ref="D34:AA34" si="38">IFERROR($B34/D14,0)</f>
        <v>2.46235E-2</v>
      </c>
      <c r="E34" s="100">
        <f t="shared" si="38"/>
        <v>2.46235E-2</v>
      </c>
      <c r="F34" s="100">
        <f t="shared" si="38"/>
        <v>2.46235E-2</v>
      </c>
      <c r="G34" s="100">
        <f t="shared" si="38"/>
        <v>2.46235E-2</v>
      </c>
      <c r="H34" s="100">
        <f t="shared" si="38"/>
        <v>2.46235E-2</v>
      </c>
      <c r="I34" s="100">
        <f t="shared" si="38"/>
        <v>2.46235E-2</v>
      </c>
      <c r="J34" s="100">
        <f t="shared" si="38"/>
        <v>2.46235E-2</v>
      </c>
      <c r="K34" s="100">
        <f t="shared" si="38"/>
        <v>2.46235E-2</v>
      </c>
      <c r="L34" s="100">
        <f t="shared" si="38"/>
        <v>2.46235E-2</v>
      </c>
      <c r="M34" s="100">
        <f t="shared" si="38"/>
        <v>2.46235E-2</v>
      </c>
      <c r="N34" s="100">
        <f t="shared" si="38"/>
        <v>2.46235E-2</v>
      </c>
      <c r="O34" s="100">
        <f t="shared" si="38"/>
        <v>2.46235E-2</v>
      </c>
      <c r="P34" s="100">
        <f t="shared" si="38"/>
        <v>2.46235E-2</v>
      </c>
      <c r="Q34" s="100">
        <f t="shared" si="38"/>
        <v>2.46235E-2</v>
      </c>
      <c r="R34" s="100">
        <f t="shared" si="38"/>
        <v>2.46235E-2</v>
      </c>
      <c r="S34" s="100">
        <f t="shared" si="38"/>
        <v>2.46235E-2</v>
      </c>
      <c r="T34" s="100">
        <f t="shared" si="38"/>
        <v>2.46235E-2</v>
      </c>
      <c r="U34" s="100">
        <f t="shared" si="38"/>
        <v>2.46235E-2</v>
      </c>
      <c r="V34" s="100">
        <f t="shared" si="38"/>
        <v>2.46235E-2</v>
      </c>
      <c r="W34" s="100">
        <f t="shared" si="38"/>
        <v>2.46235E-2</v>
      </c>
      <c r="X34" s="100">
        <f t="shared" si="38"/>
        <v>2.46235E-2</v>
      </c>
      <c r="Y34" s="100">
        <f t="shared" si="38"/>
        <v>2.46235E-2</v>
      </c>
      <c r="Z34" s="100">
        <f t="shared" si="38"/>
        <v>2.46235E-2</v>
      </c>
      <c r="AA34" s="100">
        <f t="shared" si="38"/>
        <v>2.46235E-2</v>
      </c>
      <c r="AB34" s="100">
        <f t="shared" si="30"/>
        <v>6.1558749999999999E-3</v>
      </c>
      <c r="AC34" s="100">
        <f t="shared" ref="AC34:AZ34" si="39">IFERROR($B34/AC14,0)</f>
        <v>2.46235E-2</v>
      </c>
      <c r="AD34" s="100">
        <f t="shared" si="39"/>
        <v>2.46235E-2</v>
      </c>
      <c r="AE34" s="100">
        <f t="shared" si="39"/>
        <v>2.46235E-2</v>
      </c>
      <c r="AF34" s="100">
        <f t="shared" si="39"/>
        <v>2.46235E-2</v>
      </c>
      <c r="AG34" s="100">
        <f t="shared" si="39"/>
        <v>2.46235E-2</v>
      </c>
      <c r="AH34" s="100">
        <f t="shared" si="39"/>
        <v>2.46235E-2</v>
      </c>
      <c r="AI34" s="100">
        <f t="shared" si="39"/>
        <v>2.46235E-2</v>
      </c>
      <c r="AJ34" s="100">
        <f t="shared" si="39"/>
        <v>2.46235E-2</v>
      </c>
      <c r="AK34" s="100">
        <f t="shared" si="39"/>
        <v>2.46235E-2</v>
      </c>
      <c r="AL34" s="100">
        <f t="shared" si="39"/>
        <v>2.46235E-2</v>
      </c>
      <c r="AM34" s="100">
        <f t="shared" si="39"/>
        <v>2.46235E-2</v>
      </c>
      <c r="AN34" s="100">
        <f t="shared" si="39"/>
        <v>2.46235E-2</v>
      </c>
      <c r="AO34" s="100">
        <f t="shared" si="39"/>
        <v>2.46235E-2</v>
      </c>
      <c r="AP34" s="100">
        <f t="shared" si="39"/>
        <v>2.46235E-2</v>
      </c>
      <c r="AQ34" s="100">
        <f t="shared" si="39"/>
        <v>2.46235E-2</v>
      </c>
      <c r="AR34" s="100">
        <f t="shared" si="39"/>
        <v>2.46235E-2</v>
      </c>
      <c r="AS34" s="100">
        <f t="shared" si="39"/>
        <v>2.46235E-2</v>
      </c>
      <c r="AT34" s="100">
        <f t="shared" si="39"/>
        <v>2.46235E-2</v>
      </c>
      <c r="AU34" s="100">
        <f t="shared" si="39"/>
        <v>2.46235E-2</v>
      </c>
      <c r="AV34" s="100">
        <f t="shared" si="39"/>
        <v>2.46235E-2</v>
      </c>
      <c r="AW34" s="100">
        <f t="shared" si="39"/>
        <v>2.46235E-2</v>
      </c>
      <c r="AX34" s="100">
        <f t="shared" si="39"/>
        <v>2.46235E-2</v>
      </c>
      <c r="AY34" s="100">
        <f t="shared" si="39"/>
        <v>2.46235E-2</v>
      </c>
      <c r="AZ34" s="100">
        <f t="shared" si="39"/>
        <v>2.46235E-2</v>
      </c>
      <c r="BA34" s="101">
        <f t="shared" si="35"/>
        <v>4.9246999999999996E-7</v>
      </c>
      <c r="BB34" s="101">
        <f>IFERROR(s_RadSpec!$E$14*(BB14/$B34),".")</f>
        <v>1.2311749999999999E-7</v>
      </c>
      <c r="BC34" s="101">
        <f>IFERROR(s_RadSpec!$E$14*(BC14/$B34),".")</f>
        <v>1.2311749999999999E-7</v>
      </c>
      <c r="BD34" s="101">
        <f>IFERROR(s_RadSpec!$E$14*(BD14/$B34),".")</f>
        <v>1.2311749999999999E-7</v>
      </c>
      <c r="BE34" s="101">
        <f>IFERROR(s_RadSpec!$E$14*(BE14/$B34),".")</f>
        <v>1.2311749999999999E-7</v>
      </c>
      <c r="BF34" s="101">
        <f>IFERROR(s_RadSpec!$E$14*(BF14/$B34),".")</f>
        <v>1.2311749999999999E-7</v>
      </c>
      <c r="BG34" s="101">
        <f>IFERROR(s_RadSpec!$E$14*(BG14/$B34),".")</f>
        <v>1.2311749999999999E-7</v>
      </c>
      <c r="BH34" s="101">
        <f>IFERROR(s_RadSpec!$E$14*(BH14/$B34),".")</f>
        <v>1.2311749999999999E-7</v>
      </c>
      <c r="BI34" s="101">
        <f>IFERROR(s_RadSpec!$E$14*(BI14/$B34),".")</f>
        <v>1.2311749999999999E-7</v>
      </c>
      <c r="BJ34" s="101">
        <f>IFERROR(s_RadSpec!$E$14*(BJ14/$B34),".")</f>
        <v>1.2311749999999999E-7</v>
      </c>
      <c r="BK34" s="101">
        <f>IFERROR(s_RadSpec!$E$14*(BK14/$B34),".")</f>
        <v>1.2311749999999999E-7</v>
      </c>
      <c r="BL34" s="101">
        <f>IFERROR(s_RadSpec!$E$14*(BL14/$B34),".")</f>
        <v>1.2311749999999999E-7</v>
      </c>
      <c r="BM34" s="101">
        <f>IFERROR(s_RadSpec!$E$14*(BM14/$B34),".")</f>
        <v>1.2311749999999999E-7</v>
      </c>
      <c r="BN34" s="101">
        <f>IFERROR(s_RadSpec!$E$14*(BN14/$B34),".")</f>
        <v>1.2311749999999999E-7</v>
      </c>
      <c r="BO34" s="101">
        <f>IFERROR(s_RadSpec!$E$14*(BO14/$B34),".")</f>
        <v>1.2311749999999999E-7</v>
      </c>
      <c r="BP34" s="101">
        <f>IFERROR(s_RadSpec!$E$14*(BP14/$B34),".")</f>
        <v>1.2311749999999999E-7</v>
      </c>
      <c r="BQ34" s="101">
        <f>IFERROR(s_RadSpec!$E$14*(BQ14/$B34),".")</f>
        <v>1.2311749999999999E-7</v>
      </c>
      <c r="BR34" s="101">
        <f>IFERROR(s_RadSpec!$E$14*(BR14/$B34),".")</f>
        <v>1.2311749999999999E-7</v>
      </c>
      <c r="BS34" s="101">
        <f>IFERROR(s_RadSpec!$E$14*(BS14/$B34),".")</f>
        <v>1.2311749999999999E-7</v>
      </c>
      <c r="BT34" s="101">
        <f>IFERROR(s_RadSpec!$E$14*(BT14/$B34),".")</f>
        <v>1.2311749999999999E-7</v>
      </c>
      <c r="BU34" s="101">
        <f>IFERROR(s_RadSpec!$E$14*(BU14/$B34),".")</f>
        <v>1.2311749999999999E-7</v>
      </c>
      <c r="BV34" s="101">
        <f>IFERROR(s_RadSpec!$E$14*(BV14/$B34),".")</f>
        <v>1.2311749999999999E-7</v>
      </c>
      <c r="BW34" s="101">
        <f>IFERROR(s_RadSpec!$E$14*(BW14/$B34),".")</f>
        <v>1.2311749999999999E-7</v>
      </c>
      <c r="BX34" s="101">
        <f>IFERROR(s_RadSpec!$E$14*(BX14/$B34),".")</f>
        <v>1.2311749999999999E-7</v>
      </c>
      <c r="BY34" s="101">
        <f>IFERROR(s_RadSpec!$E$14*(BY14/$B34),".")</f>
        <v>1.2311749999999999E-7</v>
      </c>
    </row>
    <row r="35" spans="1:77" x14ac:dyDescent="0.25">
      <c r="A35" s="99" t="s">
        <v>1080</v>
      </c>
      <c r="B35" s="90">
        <v>1</v>
      </c>
      <c r="C35" s="100">
        <f t="shared" si="28"/>
        <v>6.6646250000000004E-2</v>
      </c>
      <c r="D35" s="100">
        <f t="shared" ref="D35:AA35" si="40">IFERROR($B35/D30,0)</f>
        <v>0.26658500000000002</v>
      </c>
      <c r="E35" s="100">
        <f t="shared" si="40"/>
        <v>0.26658500000000002</v>
      </c>
      <c r="F35" s="100">
        <f t="shared" si="40"/>
        <v>0.26658500000000002</v>
      </c>
      <c r="G35" s="100">
        <f t="shared" si="40"/>
        <v>0.26658500000000002</v>
      </c>
      <c r="H35" s="100">
        <f t="shared" si="40"/>
        <v>0.26658500000000002</v>
      </c>
      <c r="I35" s="100">
        <f t="shared" si="40"/>
        <v>0.26658500000000002</v>
      </c>
      <c r="J35" s="100">
        <f t="shared" si="40"/>
        <v>0.26658500000000002</v>
      </c>
      <c r="K35" s="100">
        <f t="shared" si="40"/>
        <v>0.26658500000000002</v>
      </c>
      <c r="L35" s="100">
        <f t="shared" si="40"/>
        <v>0.26658500000000002</v>
      </c>
      <c r="M35" s="100">
        <f t="shared" si="40"/>
        <v>0.26658500000000002</v>
      </c>
      <c r="N35" s="100">
        <f t="shared" si="40"/>
        <v>0.26658500000000002</v>
      </c>
      <c r="O35" s="100">
        <f t="shared" si="40"/>
        <v>0.26658500000000002</v>
      </c>
      <c r="P35" s="100">
        <f t="shared" si="40"/>
        <v>0.26658500000000002</v>
      </c>
      <c r="Q35" s="100">
        <f t="shared" si="40"/>
        <v>0.26658500000000002</v>
      </c>
      <c r="R35" s="100">
        <f t="shared" si="40"/>
        <v>0.26658500000000002</v>
      </c>
      <c r="S35" s="100">
        <f t="shared" si="40"/>
        <v>0.26658500000000002</v>
      </c>
      <c r="T35" s="100">
        <f t="shared" si="40"/>
        <v>0.26658500000000002</v>
      </c>
      <c r="U35" s="100">
        <f t="shared" si="40"/>
        <v>0.26658500000000002</v>
      </c>
      <c r="V35" s="100">
        <f t="shared" si="40"/>
        <v>0.26658500000000002</v>
      </c>
      <c r="W35" s="100">
        <f t="shared" si="40"/>
        <v>0.26658500000000002</v>
      </c>
      <c r="X35" s="100">
        <f t="shared" si="40"/>
        <v>0.26658500000000002</v>
      </c>
      <c r="Y35" s="100">
        <f t="shared" si="40"/>
        <v>0.26658500000000002</v>
      </c>
      <c r="Z35" s="100">
        <f t="shared" si="40"/>
        <v>0.26658500000000002</v>
      </c>
      <c r="AA35" s="100">
        <f t="shared" si="40"/>
        <v>0.26658500000000002</v>
      </c>
      <c r="AB35" s="100">
        <f t="shared" si="30"/>
        <v>6.6646250000000004E-2</v>
      </c>
      <c r="AC35" s="100">
        <f t="shared" ref="AC35:AZ35" si="41">IFERROR($B35/AC30,0)</f>
        <v>0.26658500000000002</v>
      </c>
      <c r="AD35" s="100">
        <f t="shared" si="41"/>
        <v>0.26658500000000002</v>
      </c>
      <c r="AE35" s="100">
        <f t="shared" si="41"/>
        <v>0.26658500000000002</v>
      </c>
      <c r="AF35" s="100">
        <f t="shared" si="41"/>
        <v>0.26658500000000002</v>
      </c>
      <c r="AG35" s="100">
        <f t="shared" si="41"/>
        <v>0.26658500000000002</v>
      </c>
      <c r="AH35" s="100">
        <f t="shared" si="41"/>
        <v>0.26658500000000002</v>
      </c>
      <c r="AI35" s="100">
        <f t="shared" si="41"/>
        <v>0.26658500000000002</v>
      </c>
      <c r="AJ35" s="100">
        <f t="shared" si="41"/>
        <v>0.26658500000000002</v>
      </c>
      <c r="AK35" s="100">
        <f t="shared" si="41"/>
        <v>0.26658500000000002</v>
      </c>
      <c r="AL35" s="100">
        <f t="shared" si="41"/>
        <v>0.26658500000000002</v>
      </c>
      <c r="AM35" s="100">
        <f t="shared" si="41"/>
        <v>0.26658500000000002</v>
      </c>
      <c r="AN35" s="100">
        <f t="shared" si="41"/>
        <v>0.26658500000000002</v>
      </c>
      <c r="AO35" s="100">
        <f t="shared" si="41"/>
        <v>0.26658500000000002</v>
      </c>
      <c r="AP35" s="100">
        <f t="shared" si="41"/>
        <v>0.26658500000000002</v>
      </c>
      <c r="AQ35" s="100">
        <f t="shared" si="41"/>
        <v>0.26658500000000002</v>
      </c>
      <c r="AR35" s="100">
        <f t="shared" si="41"/>
        <v>0.26658500000000002</v>
      </c>
      <c r="AS35" s="100">
        <f t="shared" si="41"/>
        <v>0.26658500000000002</v>
      </c>
      <c r="AT35" s="100">
        <f t="shared" si="41"/>
        <v>0.26658500000000002</v>
      </c>
      <c r="AU35" s="100">
        <f t="shared" si="41"/>
        <v>0.26658500000000002</v>
      </c>
      <c r="AV35" s="100">
        <f t="shared" si="41"/>
        <v>0.26658500000000002</v>
      </c>
      <c r="AW35" s="100">
        <f t="shared" si="41"/>
        <v>0.26658500000000002</v>
      </c>
      <c r="AX35" s="100">
        <f t="shared" si="41"/>
        <v>0.26658500000000002</v>
      </c>
      <c r="AY35" s="100">
        <f t="shared" si="41"/>
        <v>0.26658500000000002</v>
      </c>
      <c r="AZ35" s="100">
        <f t="shared" si="41"/>
        <v>0.26658500000000002</v>
      </c>
      <c r="BA35" s="101">
        <f t="shared" si="35"/>
        <v>5.3317000000000001E-6</v>
      </c>
      <c r="BB35" s="101">
        <f>IFERROR(s_RadSpec!$E$30*(BB30/$B35),".")</f>
        <v>1.332925E-6</v>
      </c>
      <c r="BC35" s="101">
        <f>IFERROR(s_RadSpec!$E$30*(BC30/$B35),".")</f>
        <v>1.332925E-6</v>
      </c>
      <c r="BD35" s="101">
        <f>IFERROR(s_RadSpec!$E$30*(BD30/$B35),".")</f>
        <v>1.332925E-6</v>
      </c>
      <c r="BE35" s="101">
        <f>IFERROR(s_RadSpec!$E$30*(BE30/$B35),".")</f>
        <v>1.332925E-6</v>
      </c>
      <c r="BF35" s="101">
        <f>IFERROR(s_RadSpec!$E$30*(BF30/$B35),".")</f>
        <v>1.332925E-6</v>
      </c>
      <c r="BG35" s="101">
        <f>IFERROR(s_RadSpec!$E$30*(BG30/$B35),".")</f>
        <v>1.332925E-6</v>
      </c>
      <c r="BH35" s="101">
        <f>IFERROR(s_RadSpec!$E$30*(BH30/$B35),".")</f>
        <v>1.332925E-6</v>
      </c>
      <c r="BI35" s="101">
        <f>IFERROR(s_RadSpec!$E$30*(BI30/$B35),".")</f>
        <v>1.332925E-6</v>
      </c>
      <c r="BJ35" s="101">
        <f>IFERROR(s_RadSpec!$E$30*(BJ30/$B35),".")</f>
        <v>1.332925E-6</v>
      </c>
      <c r="BK35" s="101">
        <f>IFERROR(s_RadSpec!$E$30*(BK30/$B35),".")</f>
        <v>1.332925E-6</v>
      </c>
      <c r="BL35" s="101">
        <f>IFERROR(s_RadSpec!$E$30*(BL30/$B35),".")</f>
        <v>1.332925E-6</v>
      </c>
      <c r="BM35" s="101">
        <f>IFERROR(s_RadSpec!$E$30*(BM30/$B35),".")</f>
        <v>1.332925E-6</v>
      </c>
      <c r="BN35" s="101">
        <f>IFERROR(s_RadSpec!$E$30*(BN30/$B35),".")</f>
        <v>1.332925E-6</v>
      </c>
      <c r="BO35" s="101">
        <f>IFERROR(s_RadSpec!$E$30*(BO30/$B35),".")</f>
        <v>1.332925E-6</v>
      </c>
      <c r="BP35" s="101">
        <f>IFERROR(s_RadSpec!$E$30*(BP30/$B35),".")</f>
        <v>1.332925E-6</v>
      </c>
      <c r="BQ35" s="101">
        <f>IFERROR(s_RadSpec!$E$30*(BQ30/$B35),".")</f>
        <v>1.332925E-6</v>
      </c>
      <c r="BR35" s="101">
        <f>IFERROR(s_RadSpec!$E$30*(BR30/$B35),".")</f>
        <v>1.332925E-6</v>
      </c>
      <c r="BS35" s="101">
        <f>IFERROR(s_RadSpec!$E$30*(BS30/$B35),".")</f>
        <v>1.332925E-6</v>
      </c>
      <c r="BT35" s="101">
        <f>IFERROR(s_RadSpec!$E$30*(BT30/$B35),".")</f>
        <v>1.332925E-6</v>
      </c>
      <c r="BU35" s="101">
        <f>IFERROR(s_RadSpec!$E$30*(BU30/$B35),".")</f>
        <v>1.332925E-6</v>
      </c>
      <c r="BV35" s="101">
        <f>IFERROR(s_RadSpec!$E$30*(BV30/$B35),".")</f>
        <v>1.332925E-6</v>
      </c>
      <c r="BW35" s="101">
        <f>IFERROR(s_RadSpec!$E$30*(BW30/$B35),".")</f>
        <v>1.332925E-6</v>
      </c>
      <c r="BX35" s="101">
        <f>IFERROR(s_RadSpec!$E$30*(BX30/$B35),".")</f>
        <v>1.332925E-6</v>
      </c>
      <c r="BY35" s="101">
        <f>IFERROR(s_RadSpec!$E$30*(BY30/$B35),".")</f>
        <v>1.332925E-6</v>
      </c>
    </row>
    <row r="36" spans="1:77" x14ac:dyDescent="0.25">
      <c r="A36" s="99" t="s">
        <v>1081</v>
      </c>
      <c r="B36" s="90">
        <v>1</v>
      </c>
      <c r="C36" s="100">
        <f t="shared" si="28"/>
        <v>0.19968437500000003</v>
      </c>
      <c r="D36" s="100">
        <f t="shared" ref="D36:AA36" si="42">IFERROR($B36/D26,0)</f>
        <v>0.7987375000000001</v>
      </c>
      <c r="E36" s="100">
        <f t="shared" si="42"/>
        <v>0.7987375000000001</v>
      </c>
      <c r="F36" s="100">
        <f t="shared" si="42"/>
        <v>0.7987375000000001</v>
      </c>
      <c r="G36" s="100">
        <f t="shared" si="42"/>
        <v>0.7987375000000001</v>
      </c>
      <c r="H36" s="100">
        <f t="shared" si="42"/>
        <v>0.7987375000000001</v>
      </c>
      <c r="I36" s="100">
        <f t="shared" si="42"/>
        <v>0.7987375000000001</v>
      </c>
      <c r="J36" s="100">
        <f t="shared" si="42"/>
        <v>0.7987375000000001</v>
      </c>
      <c r="K36" s="100">
        <f t="shared" si="42"/>
        <v>0.7987375000000001</v>
      </c>
      <c r="L36" s="100">
        <f t="shared" si="42"/>
        <v>0.7987375000000001</v>
      </c>
      <c r="M36" s="100">
        <f t="shared" si="42"/>
        <v>0.7987375000000001</v>
      </c>
      <c r="N36" s="100">
        <f t="shared" si="42"/>
        <v>0.7987375000000001</v>
      </c>
      <c r="O36" s="100">
        <f t="shared" si="42"/>
        <v>0.7987375000000001</v>
      </c>
      <c r="P36" s="100">
        <f t="shared" si="42"/>
        <v>0.7987375000000001</v>
      </c>
      <c r="Q36" s="100">
        <f t="shared" si="42"/>
        <v>0.7987375000000001</v>
      </c>
      <c r="R36" s="100">
        <f t="shared" si="42"/>
        <v>0.7987375000000001</v>
      </c>
      <c r="S36" s="100">
        <f t="shared" si="42"/>
        <v>0.7987375000000001</v>
      </c>
      <c r="T36" s="100">
        <f t="shared" si="42"/>
        <v>0.7987375000000001</v>
      </c>
      <c r="U36" s="100">
        <f t="shared" si="42"/>
        <v>0.7987375000000001</v>
      </c>
      <c r="V36" s="100">
        <f t="shared" si="42"/>
        <v>0.7987375000000001</v>
      </c>
      <c r="W36" s="100">
        <f t="shared" si="42"/>
        <v>0.7987375000000001</v>
      </c>
      <c r="X36" s="100">
        <f t="shared" si="42"/>
        <v>0.7987375000000001</v>
      </c>
      <c r="Y36" s="100">
        <f t="shared" si="42"/>
        <v>0.7987375000000001</v>
      </c>
      <c r="Z36" s="100">
        <f t="shared" si="42"/>
        <v>0.7987375000000001</v>
      </c>
      <c r="AA36" s="100">
        <f t="shared" si="42"/>
        <v>0.7987375000000001</v>
      </c>
      <c r="AB36" s="100">
        <f t="shared" si="30"/>
        <v>0.19968437500000003</v>
      </c>
      <c r="AC36" s="100">
        <f t="shared" ref="AC36:AZ36" si="43">IFERROR($B36/AC26,0)</f>
        <v>0.7987375000000001</v>
      </c>
      <c r="AD36" s="100">
        <f t="shared" si="43"/>
        <v>0.7987375000000001</v>
      </c>
      <c r="AE36" s="100">
        <f t="shared" si="43"/>
        <v>0.7987375000000001</v>
      </c>
      <c r="AF36" s="100">
        <f t="shared" si="43"/>
        <v>0.7987375000000001</v>
      </c>
      <c r="AG36" s="100">
        <f t="shared" si="43"/>
        <v>0.7987375000000001</v>
      </c>
      <c r="AH36" s="100">
        <f t="shared" si="43"/>
        <v>0.7987375000000001</v>
      </c>
      <c r="AI36" s="100">
        <f t="shared" si="43"/>
        <v>0.7987375000000001</v>
      </c>
      <c r="AJ36" s="100">
        <f t="shared" si="43"/>
        <v>0.7987375000000001</v>
      </c>
      <c r="AK36" s="100">
        <f t="shared" si="43"/>
        <v>0.7987375000000001</v>
      </c>
      <c r="AL36" s="100">
        <f t="shared" si="43"/>
        <v>0.7987375000000001</v>
      </c>
      <c r="AM36" s="100">
        <f t="shared" si="43"/>
        <v>0.7987375000000001</v>
      </c>
      <c r="AN36" s="100">
        <f t="shared" si="43"/>
        <v>0.7987375000000001</v>
      </c>
      <c r="AO36" s="100">
        <f t="shared" si="43"/>
        <v>0.7987375000000001</v>
      </c>
      <c r="AP36" s="100">
        <f t="shared" si="43"/>
        <v>0.7987375000000001</v>
      </c>
      <c r="AQ36" s="100">
        <f t="shared" si="43"/>
        <v>0.7987375000000001</v>
      </c>
      <c r="AR36" s="100">
        <f t="shared" si="43"/>
        <v>0.7987375000000001</v>
      </c>
      <c r="AS36" s="100">
        <f t="shared" si="43"/>
        <v>0.7987375000000001</v>
      </c>
      <c r="AT36" s="100">
        <f t="shared" si="43"/>
        <v>0.7987375000000001</v>
      </c>
      <c r="AU36" s="100">
        <f t="shared" si="43"/>
        <v>0.7987375000000001</v>
      </c>
      <c r="AV36" s="100">
        <f t="shared" si="43"/>
        <v>0.7987375000000001</v>
      </c>
      <c r="AW36" s="100">
        <f t="shared" si="43"/>
        <v>0.7987375000000001</v>
      </c>
      <c r="AX36" s="100">
        <f t="shared" si="43"/>
        <v>0.7987375000000001</v>
      </c>
      <c r="AY36" s="100">
        <f t="shared" si="43"/>
        <v>0.7987375000000001</v>
      </c>
      <c r="AZ36" s="100">
        <f t="shared" si="43"/>
        <v>0.7987375000000001</v>
      </c>
      <c r="BA36" s="101">
        <f t="shared" si="35"/>
        <v>1.5974750000000002E-5</v>
      </c>
      <c r="BB36" s="101">
        <f>IFERROR(s_RadSpec!$E$26*(BB26/$B36),".")</f>
        <v>3.9936875000000004E-6</v>
      </c>
      <c r="BC36" s="101">
        <f>IFERROR(s_RadSpec!$E$26*(BC26/$B36),".")</f>
        <v>3.9936875000000004E-6</v>
      </c>
      <c r="BD36" s="101">
        <f>IFERROR(s_RadSpec!$E$26*(BD26/$B36),".")</f>
        <v>3.9936875000000004E-6</v>
      </c>
      <c r="BE36" s="101">
        <f>IFERROR(s_RadSpec!$E$26*(BE26/$B36),".")</f>
        <v>3.9936875000000004E-6</v>
      </c>
      <c r="BF36" s="101">
        <f>IFERROR(s_RadSpec!$E$26*(BF26/$B36),".")</f>
        <v>3.9936875000000004E-6</v>
      </c>
      <c r="BG36" s="101">
        <f>IFERROR(s_RadSpec!$E$26*(BG26/$B36),".")</f>
        <v>3.9936875000000004E-6</v>
      </c>
      <c r="BH36" s="101">
        <f>IFERROR(s_RadSpec!$E$26*(BH26/$B36),".")</f>
        <v>3.9936875000000004E-6</v>
      </c>
      <c r="BI36" s="101">
        <f>IFERROR(s_RadSpec!$E$26*(BI26/$B36),".")</f>
        <v>3.9936875000000004E-6</v>
      </c>
      <c r="BJ36" s="101">
        <f>IFERROR(s_RadSpec!$E$26*(BJ26/$B36),".")</f>
        <v>3.9936875000000004E-6</v>
      </c>
      <c r="BK36" s="101">
        <f>IFERROR(s_RadSpec!$E$26*(BK26/$B36),".")</f>
        <v>3.9936875000000004E-6</v>
      </c>
      <c r="BL36" s="101">
        <f>IFERROR(s_RadSpec!$E$26*(BL26/$B36),".")</f>
        <v>3.9936875000000004E-6</v>
      </c>
      <c r="BM36" s="101">
        <f>IFERROR(s_RadSpec!$E$26*(BM26/$B36),".")</f>
        <v>3.9936875000000004E-6</v>
      </c>
      <c r="BN36" s="101">
        <f>IFERROR(s_RadSpec!$E$26*(BN26/$B36),".")</f>
        <v>3.9936875000000004E-6</v>
      </c>
      <c r="BO36" s="101">
        <f>IFERROR(s_RadSpec!$E$26*(BO26/$B36),".")</f>
        <v>3.9936875000000004E-6</v>
      </c>
      <c r="BP36" s="101">
        <f>IFERROR(s_RadSpec!$E$26*(BP26/$B36),".")</f>
        <v>3.9936875000000004E-6</v>
      </c>
      <c r="BQ36" s="101">
        <f>IFERROR(s_RadSpec!$E$26*(BQ26/$B36),".")</f>
        <v>3.9936875000000004E-6</v>
      </c>
      <c r="BR36" s="101">
        <f>IFERROR(s_RadSpec!$E$26*(BR26/$B36),".")</f>
        <v>3.9936875000000004E-6</v>
      </c>
      <c r="BS36" s="101">
        <f>IFERROR(s_RadSpec!$E$26*(BS26/$B36),".")</f>
        <v>3.9936875000000004E-6</v>
      </c>
      <c r="BT36" s="101">
        <f>IFERROR(s_RadSpec!$E$26*(BT26/$B36),".")</f>
        <v>3.9936875000000004E-6</v>
      </c>
      <c r="BU36" s="101">
        <f>IFERROR(s_RadSpec!$E$26*(BU26/$B36),".")</f>
        <v>3.9936875000000004E-6</v>
      </c>
      <c r="BV36" s="101">
        <f>IFERROR(s_RadSpec!$E$26*(BV26/$B36),".")</f>
        <v>3.9936875000000004E-6</v>
      </c>
      <c r="BW36" s="101">
        <f>IFERROR(s_RadSpec!$E$26*(BW26/$B36),".")</f>
        <v>3.9936875000000004E-6</v>
      </c>
      <c r="BX36" s="101">
        <f>IFERROR(s_RadSpec!$E$26*(BX26/$B36),".")</f>
        <v>3.9936875000000004E-6</v>
      </c>
      <c r="BY36" s="101">
        <f>IFERROR(s_RadSpec!$E$26*(BY26/$B36),".")</f>
        <v>3.9936875000000004E-6</v>
      </c>
    </row>
    <row r="37" spans="1:77" x14ac:dyDescent="0.25">
      <c r="A37" s="99" t="s">
        <v>1082</v>
      </c>
      <c r="B37" s="90">
        <v>1</v>
      </c>
      <c r="C37" s="100">
        <f t="shared" si="28"/>
        <v>0.10556562500000001</v>
      </c>
      <c r="D37" s="100">
        <f t="shared" ref="D37:AA37" si="44">IFERROR($B37/D22,0)</f>
        <v>0.42226250000000004</v>
      </c>
      <c r="E37" s="100">
        <f t="shared" si="44"/>
        <v>0.42226250000000004</v>
      </c>
      <c r="F37" s="100">
        <f t="shared" si="44"/>
        <v>0.42226250000000004</v>
      </c>
      <c r="G37" s="100">
        <f t="shared" si="44"/>
        <v>0.42226250000000004</v>
      </c>
      <c r="H37" s="100">
        <f t="shared" si="44"/>
        <v>0.42226250000000004</v>
      </c>
      <c r="I37" s="100">
        <f t="shared" si="44"/>
        <v>0.42226250000000004</v>
      </c>
      <c r="J37" s="100">
        <f t="shared" si="44"/>
        <v>0.42226250000000004</v>
      </c>
      <c r="K37" s="100">
        <f t="shared" si="44"/>
        <v>0.42226250000000004</v>
      </c>
      <c r="L37" s="100">
        <f t="shared" si="44"/>
        <v>0.42226250000000004</v>
      </c>
      <c r="M37" s="100">
        <f t="shared" si="44"/>
        <v>0.42226250000000004</v>
      </c>
      <c r="N37" s="100">
        <f t="shared" si="44"/>
        <v>0.42226250000000004</v>
      </c>
      <c r="O37" s="100">
        <f t="shared" si="44"/>
        <v>0.42226250000000004</v>
      </c>
      <c r="P37" s="100">
        <f t="shared" si="44"/>
        <v>0.42226250000000004</v>
      </c>
      <c r="Q37" s="100">
        <f t="shared" si="44"/>
        <v>0.42226250000000004</v>
      </c>
      <c r="R37" s="100">
        <f t="shared" si="44"/>
        <v>0.42226250000000004</v>
      </c>
      <c r="S37" s="100">
        <f t="shared" si="44"/>
        <v>0.42226250000000004</v>
      </c>
      <c r="T37" s="100">
        <f t="shared" si="44"/>
        <v>0.42226250000000004</v>
      </c>
      <c r="U37" s="100">
        <f t="shared" si="44"/>
        <v>0.42226250000000004</v>
      </c>
      <c r="V37" s="100">
        <f t="shared" si="44"/>
        <v>0.42226250000000004</v>
      </c>
      <c r="W37" s="100">
        <f t="shared" si="44"/>
        <v>0.42226250000000004</v>
      </c>
      <c r="X37" s="100">
        <f t="shared" si="44"/>
        <v>0.42226250000000004</v>
      </c>
      <c r="Y37" s="100">
        <f t="shared" si="44"/>
        <v>0.42226250000000004</v>
      </c>
      <c r="Z37" s="100">
        <f t="shared" si="44"/>
        <v>0.42226250000000004</v>
      </c>
      <c r="AA37" s="100">
        <f t="shared" si="44"/>
        <v>0.42226250000000004</v>
      </c>
      <c r="AB37" s="100">
        <f t="shared" si="30"/>
        <v>0.10556562500000001</v>
      </c>
      <c r="AC37" s="100">
        <f t="shared" ref="AC37:AZ37" si="45">IFERROR($B37/AC22,0)</f>
        <v>0.42226250000000004</v>
      </c>
      <c r="AD37" s="100">
        <f t="shared" si="45"/>
        <v>0.42226250000000004</v>
      </c>
      <c r="AE37" s="100">
        <f t="shared" si="45"/>
        <v>0.42226250000000004</v>
      </c>
      <c r="AF37" s="100">
        <f t="shared" si="45"/>
        <v>0.42226250000000004</v>
      </c>
      <c r="AG37" s="100">
        <f t="shared" si="45"/>
        <v>0.42226250000000004</v>
      </c>
      <c r="AH37" s="100">
        <f t="shared" si="45"/>
        <v>0.42226250000000004</v>
      </c>
      <c r="AI37" s="100">
        <f t="shared" si="45"/>
        <v>0.42226250000000004</v>
      </c>
      <c r="AJ37" s="100">
        <f t="shared" si="45"/>
        <v>0.42226250000000004</v>
      </c>
      <c r="AK37" s="100">
        <f t="shared" si="45"/>
        <v>0.42226250000000004</v>
      </c>
      <c r="AL37" s="100">
        <f t="shared" si="45"/>
        <v>0.42226250000000004</v>
      </c>
      <c r="AM37" s="100">
        <f t="shared" si="45"/>
        <v>0.42226250000000004</v>
      </c>
      <c r="AN37" s="100">
        <f t="shared" si="45"/>
        <v>0.42226250000000004</v>
      </c>
      <c r="AO37" s="100">
        <f t="shared" si="45"/>
        <v>0.42226250000000004</v>
      </c>
      <c r="AP37" s="100">
        <f t="shared" si="45"/>
        <v>0.42226250000000004</v>
      </c>
      <c r="AQ37" s="100">
        <f t="shared" si="45"/>
        <v>0.42226250000000004</v>
      </c>
      <c r="AR37" s="100">
        <f t="shared" si="45"/>
        <v>0.42226250000000004</v>
      </c>
      <c r="AS37" s="100">
        <f t="shared" si="45"/>
        <v>0.42226250000000004</v>
      </c>
      <c r="AT37" s="100">
        <f t="shared" si="45"/>
        <v>0.42226250000000004</v>
      </c>
      <c r="AU37" s="100">
        <f t="shared" si="45"/>
        <v>0.42226250000000004</v>
      </c>
      <c r="AV37" s="100">
        <f t="shared" si="45"/>
        <v>0.42226250000000004</v>
      </c>
      <c r="AW37" s="100">
        <f t="shared" si="45"/>
        <v>0.42226250000000004</v>
      </c>
      <c r="AX37" s="100">
        <f t="shared" si="45"/>
        <v>0.42226250000000004</v>
      </c>
      <c r="AY37" s="100">
        <f t="shared" si="45"/>
        <v>0.42226250000000004</v>
      </c>
      <c r="AZ37" s="100">
        <f t="shared" si="45"/>
        <v>0.42226250000000004</v>
      </c>
      <c r="BA37" s="101">
        <f t="shared" si="35"/>
        <v>8.4452500000000002E-6</v>
      </c>
      <c r="BB37" s="101">
        <f>IFERROR(s_RadSpec!$E$22*(BB22/$B37),".")</f>
        <v>2.1113125E-6</v>
      </c>
      <c r="BC37" s="101">
        <f>IFERROR(s_RadSpec!$E$22*(BC22/$B37),".")</f>
        <v>2.1113125E-6</v>
      </c>
      <c r="BD37" s="101">
        <f>IFERROR(s_RadSpec!$E$22*(BD22/$B37),".")</f>
        <v>2.1113125E-6</v>
      </c>
      <c r="BE37" s="101">
        <f>IFERROR(s_RadSpec!$E$22*(BE22/$B37),".")</f>
        <v>2.1113125E-6</v>
      </c>
      <c r="BF37" s="101">
        <f>IFERROR(s_RadSpec!$E$22*(BF22/$B37),".")</f>
        <v>2.1113125E-6</v>
      </c>
      <c r="BG37" s="101">
        <f>IFERROR(s_RadSpec!$E$22*(BG22/$B37),".")</f>
        <v>2.1113125E-6</v>
      </c>
      <c r="BH37" s="101">
        <f>IFERROR(s_RadSpec!$E$22*(BH22/$B37),".")</f>
        <v>2.1113125E-6</v>
      </c>
      <c r="BI37" s="101">
        <f>IFERROR(s_RadSpec!$E$22*(BI22/$B37),".")</f>
        <v>2.1113125E-6</v>
      </c>
      <c r="BJ37" s="101">
        <f>IFERROR(s_RadSpec!$E$22*(BJ22/$B37),".")</f>
        <v>2.1113125E-6</v>
      </c>
      <c r="BK37" s="101">
        <f>IFERROR(s_RadSpec!$E$22*(BK22/$B37),".")</f>
        <v>2.1113125E-6</v>
      </c>
      <c r="BL37" s="101">
        <f>IFERROR(s_RadSpec!$E$22*(BL22/$B37),".")</f>
        <v>2.1113125E-6</v>
      </c>
      <c r="BM37" s="101">
        <f>IFERROR(s_RadSpec!$E$22*(BM22/$B37),".")</f>
        <v>2.1113125E-6</v>
      </c>
      <c r="BN37" s="101">
        <f>IFERROR(s_RadSpec!$E$22*(BN22/$B37),".")</f>
        <v>2.1113125E-6</v>
      </c>
      <c r="BO37" s="101">
        <f>IFERROR(s_RadSpec!$E$22*(BO22/$B37),".")</f>
        <v>2.1113125E-6</v>
      </c>
      <c r="BP37" s="101">
        <f>IFERROR(s_RadSpec!$E$22*(BP22/$B37),".")</f>
        <v>2.1113125E-6</v>
      </c>
      <c r="BQ37" s="101">
        <f>IFERROR(s_RadSpec!$E$22*(BQ22/$B37),".")</f>
        <v>2.1113125E-6</v>
      </c>
      <c r="BR37" s="101">
        <f>IFERROR(s_RadSpec!$E$22*(BR22/$B37),".")</f>
        <v>2.1113125E-6</v>
      </c>
      <c r="BS37" s="101">
        <f>IFERROR(s_RadSpec!$E$22*(BS22/$B37),".")</f>
        <v>2.1113125E-6</v>
      </c>
      <c r="BT37" s="101">
        <f>IFERROR(s_RadSpec!$E$22*(BT22/$B37),".")</f>
        <v>2.1113125E-6</v>
      </c>
      <c r="BU37" s="101">
        <f>IFERROR(s_RadSpec!$E$22*(BU22/$B37),".")</f>
        <v>2.1113125E-6</v>
      </c>
      <c r="BV37" s="101">
        <f>IFERROR(s_RadSpec!$E$22*(BV22/$B37),".")</f>
        <v>2.1113125E-6</v>
      </c>
      <c r="BW37" s="101">
        <f>IFERROR(s_RadSpec!$E$22*(BW22/$B37),".")</f>
        <v>2.1113125E-6</v>
      </c>
      <c r="BX37" s="101">
        <f>IFERROR(s_RadSpec!$E$22*(BX22/$B37),".")</f>
        <v>2.1113125E-6</v>
      </c>
      <c r="BY37" s="101">
        <f>IFERROR(s_RadSpec!$E$22*(BY22/$B37),".")</f>
        <v>2.1113125E-6</v>
      </c>
    </row>
    <row r="38" spans="1:77" x14ac:dyDescent="0.25">
      <c r="A38" s="99" t="s">
        <v>1083</v>
      </c>
      <c r="B38" s="90">
        <v>1</v>
      </c>
      <c r="C38" s="100">
        <f t="shared" si="28"/>
        <v>0.18671125000000002</v>
      </c>
      <c r="D38" s="100">
        <f t="shared" ref="D38:AA38" si="46">IFERROR($B38/D2,0)</f>
        <v>0.74684500000000009</v>
      </c>
      <c r="E38" s="100">
        <f t="shared" si="46"/>
        <v>0.74684500000000009</v>
      </c>
      <c r="F38" s="100">
        <f t="shared" si="46"/>
        <v>0.74684500000000009</v>
      </c>
      <c r="G38" s="100">
        <f t="shared" si="46"/>
        <v>0.74684500000000009</v>
      </c>
      <c r="H38" s="100">
        <f t="shared" si="46"/>
        <v>0.74684500000000009</v>
      </c>
      <c r="I38" s="100">
        <f t="shared" si="46"/>
        <v>0.74684500000000009</v>
      </c>
      <c r="J38" s="100">
        <f t="shared" si="46"/>
        <v>0.74684500000000009</v>
      </c>
      <c r="K38" s="100">
        <f t="shared" si="46"/>
        <v>0.74684500000000009</v>
      </c>
      <c r="L38" s="100">
        <f t="shared" si="46"/>
        <v>0.74684500000000009</v>
      </c>
      <c r="M38" s="100">
        <f t="shared" si="46"/>
        <v>0.74684500000000009</v>
      </c>
      <c r="N38" s="100">
        <f t="shared" si="46"/>
        <v>0.74684500000000009</v>
      </c>
      <c r="O38" s="100">
        <f t="shared" si="46"/>
        <v>0.74684500000000009</v>
      </c>
      <c r="P38" s="100">
        <f t="shared" si="46"/>
        <v>0.74684500000000009</v>
      </c>
      <c r="Q38" s="100">
        <f t="shared" si="46"/>
        <v>0.74684500000000009</v>
      </c>
      <c r="R38" s="100">
        <f t="shared" si="46"/>
        <v>0.74684500000000009</v>
      </c>
      <c r="S38" s="100">
        <f t="shared" si="46"/>
        <v>0.74684500000000009</v>
      </c>
      <c r="T38" s="100">
        <f t="shared" si="46"/>
        <v>0.74684500000000009</v>
      </c>
      <c r="U38" s="100">
        <f t="shared" si="46"/>
        <v>0.74684500000000009</v>
      </c>
      <c r="V38" s="100">
        <f t="shared" si="46"/>
        <v>0.74684500000000009</v>
      </c>
      <c r="W38" s="100">
        <f t="shared" si="46"/>
        <v>0.74684500000000009</v>
      </c>
      <c r="X38" s="100">
        <f t="shared" si="46"/>
        <v>0.74684500000000009</v>
      </c>
      <c r="Y38" s="100">
        <f t="shared" si="46"/>
        <v>0.74684500000000009</v>
      </c>
      <c r="Z38" s="100">
        <f t="shared" si="46"/>
        <v>0.74684500000000009</v>
      </c>
      <c r="AA38" s="100">
        <f t="shared" si="46"/>
        <v>0.74684500000000009</v>
      </c>
      <c r="AB38" s="100">
        <f t="shared" si="30"/>
        <v>0.18671125000000002</v>
      </c>
      <c r="AC38" s="100">
        <f t="shared" ref="AC38:AZ38" si="47">IFERROR($B38/AC2,0)</f>
        <v>0.74684500000000009</v>
      </c>
      <c r="AD38" s="100">
        <f t="shared" si="47"/>
        <v>0.74684500000000009</v>
      </c>
      <c r="AE38" s="100">
        <f t="shared" si="47"/>
        <v>0.74684500000000009</v>
      </c>
      <c r="AF38" s="100">
        <f t="shared" si="47"/>
        <v>0.74684500000000009</v>
      </c>
      <c r="AG38" s="100">
        <f t="shared" si="47"/>
        <v>0.74684500000000009</v>
      </c>
      <c r="AH38" s="100">
        <f t="shared" si="47"/>
        <v>0.74684500000000009</v>
      </c>
      <c r="AI38" s="100">
        <f t="shared" si="47"/>
        <v>0.74684500000000009</v>
      </c>
      <c r="AJ38" s="100">
        <f t="shared" si="47"/>
        <v>0.74684500000000009</v>
      </c>
      <c r="AK38" s="100">
        <f t="shared" si="47"/>
        <v>0.74684500000000009</v>
      </c>
      <c r="AL38" s="100">
        <f t="shared" si="47"/>
        <v>0.74684500000000009</v>
      </c>
      <c r="AM38" s="100">
        <f t="shared" si="47"/>
        <v>0.74684500000000009</v>
      </c>
      <c r="AN38" s="100">
        <f t="shared" si="47"/>
        <v>0.74684500000000009</v>
      </c>
      <c r="AO38" s="100">
        <f t="shared" si="47"/>
        <v>0.74684500000000009</v>
      </c>
      <c r="AP38" s="100">
        <f t="shared" si="47"/>
        <v>0.74684500000000009</v>
      </c>
      <c r="AQ38" s="100">
        <f t="shared" si="47"/>
        <v>0.74684500000000009</v>
      </c>
      <c r="AR38" s="100">
        <f t="shared" si="47"/>
        <v>0.74684500000000009</v>
      </c>
      <c r="AS38" s="100">
        <f t="shared" si="47"/>
        <v>0.74684500000000009</v>
      </c>
      <c r="AT38" s="100">
        <f t="shared" si="47"/>
        <v>0.74684500000000009</v>
      </c>
      <c r="AU38" s="100">
        <f t="shared" si="47"/>
        <v>0.74684500000000009</v>
      </c>
      <c r="AV38" s="100">
        <f t="shared" si="47"/>
        <v>0.74684500000000009</v>
      </c>
      <c r="AW38" s="100">
        <f t="shared" si="47"/>
        <v>0.74684500000000009</v>
      </c>
      <c r="AX38" s="100">
        <f t="shared" si="47"/>
        <v>0.74684500000000009</v>
      </c>
      <c r="AY38" s="100">
        <f t="shared" si="47"/>
        <v>0.74684500000000009</v>
      </c>
      <c r="AZ38" s="100">
        <f t="shared" si="47"/>
        <v>0.74684500000000009</v>
      </c>
      <c r="BA38" s="101">
        <f t="shared" si="35"/>
        <v>1.4936900000000001E-5</v>
      </c>
      <c r="BB38" s="101">
        <f>IFERROR(s_RadSpec!$E$2*(BB2/$B38),".")</f>
        <v>3.7342250000000002E-6</v>
      </c>
      <c r="BC38" s="101">
        <f>IFERROR(s_RadSpec!$E$2*(BC2/$B38),".")</f>
        <v>3.7342250000000002E-6</v>
      </c>
      <c r="BD38" s="101">
        <f>IFERROR(s_RadSpec!$E$2*(BD2/$B38),".")</f>
        <v>3.7342250000000002E-6</v>
      </c>
      <c r="BE38" s="101">
        <f>IFERROR(s_RadSpec!$E$2*(BE2/$B38),".")</f>
        <v>3.7342250000000002E-6</v>
      </c>
      <c r="BF38" s="101">
        <f>IFERROR(s_RadSpec!$E$2*(BF2/$B38),".")</f>
        <v>3.7342250000000002E-6</v>
      </c>
      <c r="BG38" s="101">
        <f>IFERROR(s_RadSpec!$E$2*(BG2/$B38),".")</f>
        <v>3.7342250000000002E-6</v>
      </c>
      <c r="BH38" s="101">
        <f>IFERROR(s_RadSpec!$E$2*(BH2/$B38),".")</f>
        <v>3.7342250000000002E-6</v>
      </c>
      <c r="BI38" s="101">
        <f>IFERROR(s_RadSpec!$E$2*(BI2/$B38),".")</f>
        <v>3.7342250000000002E-6</v>
      </c>
      <c r="BJ38" s="101">
        <f>IFERROR(s_RadSpec!$E$2*(BJ2/$B38),".")</f>
        <v>3.7342250000000002E-6</v>
      </c>
      <c r="BK38" s="101">
        <f>IFERROR(s_RadSpec!$E$2*(BK2/$B38),".")</f>
        <v>3.7342250000000002E-6</v>
      </c>
      <c r="BL38" s="101">
        <f>IFERROR(s_RadSpec!$E$2*(BL2/$B38),".")</f>
        <v>3.7342250000000002E-6</v>
      </c>
      <c r="BM38" s="101">
        <f>IFERROR(s_RadSpec!$E$2*(BM2/$B38),".")</f>
        <v>3.7342250000000002E-6</v>
      </c>
      <c r="BN38" s="101">
        <f>IFERROR(s_RadSpec!$E$2*(BN2/$B38),".")</f>
        <v>3.7342250000000002E-6</v>
      </c>
      <c r="BO38" s="101">
        <f>IFERROR(s_RadSpec!$E$2*(BO2/$B38),".")</f>
        <v>3.7342250000000002E-6</v>
      </c>
      <c r="BP38" s="101">
        <f>IFERROR(s_RadSpec!$E$2*(BP2/$B38),".")</f>
        <v>3.7342250000000002E-6</v>
      </c>
      <c r="BQ38" s="101">
        <f>IFERROR(s_RadSpec!$E$2*(BQ2/$B38),".")</f>
        <v>3.7342250000000002E-6</v>
      </c>
      <c r="BR38" s="101">
        <f>IFERROR(s_RadSpec!$E$2*(BR2/$B38),".")</f>
        <v>3.7342250000000002E-6</v>
      </c>
      <c r="BS38" s="101">
        <f>IFERROR(s_RadSpec!$E$2*(BS2/$B38),".")</f>
        <v>3.7342250000000002E-6</v>
      </c>
      <c r="BT38" s="101">
        <f>IFERROR(s_RadSpec!$E$2*(BT2/$B38),".")</f>
        <v>3.7342250000000002E-6</v>
      </c>
      <c r="BU38" s="101">
        <f>IFERROR(s_RadSpec!$E$2*(BU2/$B38),".")</f>
        <v>3.7342250000000002E-6</v>
      </c>
      <c r="BV38" s="101">
        <f>IFERROR(s_RadSpec!$E$2*(BV2/$B38),".")</f>
        <v>3.7342250000000002E-6</v>
      </c>
      <c r="BW38" s="101">
        <f>IFERROR(s_RadSpec!$E$2*(BW2/$B38),".")</f>
        <v>3.7342250000000002E-6</v>
      </c>
      <c r="BX38" s="101">
        <f>IFERROR(s_RadSpec!$E$2*(BX2/$B38),".")</f>
        <v>3.7342250000000002E-6</v>
      </c>
      <c r="BY38" s="101">
        <f>IFERROR(s_RadSpec!$E$2*(BY2/$B38),".")</f>
        <v>3.7342250000000002E-6</v>
      </c>
    </row>
    <row r="39" spans="1:77" x14ac:dyDescent="0.25">
      <c r="A39" s="99" t="s">
        <v>1084</v>
      </c>
      <c r="B39" s="90">
        <v>1</v>
      </c>
      <c r="C39" s="100" t="str">
        <f t="shared" si="28"/>
        <v>.</v>
      </c>
      <c r="D39" s="100">
        <f t="shared" ref="D39:AA39" si="48">IFERROR($B39/D11,0)</f>
        <v>0</v>
      </c>
      <c r="E39" s="100">
        <f t="shared" si="48"/>
        <v>0</v>
      </c>
      <c r="F39" s="100">
        <f t="shared" si="48"/>
        <v>0</v>
      </c>
      <c r="G39" s="100">
        <f t="shared" si="48"/>
        <v>0</v>
      </c>
      <c r="H39" s="100">
        <f t="shared" si="48"/>
        <v>0</v>
      </c>
      <c r="I39" s="100">
        <f t="shared" si="48"/>
        <v>0</v>
      </c>
      <c r="J39" s="100">
        <f t="shared" si="48"/>
        <v>0</v>
      </c>
      <c r="K39" s="100">
        <f t="shared" si="48"/>
        <v>0</v>
      </c>
      <c r="L39" s="100">
        <f t="shared" si="48"/>
        <v>0</v>
      </c>
      <c r="M39" s="100">
        <f t="shared" si="48"/>
        <v>0</v>
      </c>
      <c r="N39" s="100">
        <f t="shared" si="48"/>
        <v>0</v>
      </c>
      <c r="O39" s="100">
        <f t="shared" si="48"/>
        <v>0</v>
      </c>
      <c r="P39" s="100">
        <f t="shared" si="48"/>
        <v>0</v>
      </c>
      <c r="Q39" s="100">
        <f t="shared" si="48"/>
        <v>0</v>
      </c>
      <c r="R39" s="100">
        <f t="shared" si="48"/>
        <v>0</v>
      </c>
      <c r="S39" s="100">
        <f t="shared" si="48"/>
        <v>0</v>
      </c>
      <c r="T39" s="100">
        <f t="shared" si="48"/>
        <v>0</v>
      </c>
      <c r="U39" s="100">
        <f t="shared" si="48"/>
        <v>0</v>
      </c>
      <c r="V39" s="100">
        <f t="shared" si="48"/>
        <v>0</v>
      </c>
      <c r="W39" s="100">
        <f t="shared" si="48"/>
        <v>0</v>
      </c>
      <c r="X39" s="100">
        <f t="shared" si="48"/>
        <v>0</v>
      </c>
      <c r="Y39" s="100">
        <f t="shared" si="48"/>
        <v>0</v>
      </c>
      <c r="Z39" s="100">
        <f t="shared" si="48"/>
        <v>0</v>
      </c>
      <c r="AA39" s="100">
        <f t="shared" si="48"/>
        <v>0</v>
      </c>
      <c r="AB39" s="100" t="str">
        <f t="shared" si="30"/>
        <v>.</v>
      </c>
      <c r="AC39" s="100">
        <f t="shared" ref="AC39:AZ39" si="49">IFERROR($B39/AC11,0)</f>
        <v>0</v>
      </c>
      <c r="AD39" s="100">
        <f t="shared" si="49"/>
        <v>0</v>
      </c>
      <c r="AE39" s="100">
        <f t="shared" si="49"/>
        <v>0</v>
      </c>
      <c r="AF39" s="100">
        <f t="shared" si="49"/>
        <v>0</v>
      </c>
      <c r="AG39" s="100">
        <f t="shared" si="49"/>
        <v>0</v>
      </c>
      <c r="AH39" s="100">
        <f t="shared" si="49"/>
        <v>0</v>
      </c>
      <c r="AI39" s="100">
        <f t="shared" si="49"/>
        <v>0</v>
      </c>
      <c r="AJ39" s="100">
        <f t="shared" si="49"/>
        <v>0</v>
      </c>
      <c r="AK39" s="100">
        <f t="shared" si="49"/>
        <v>0</v>
      </c>
      <c r="AL39" s="100">
        <f t="shared" si="49"/>
        <v>0</v>
      </c>
      <c r="AM39" s="100">
        <f t="shared" si="49"/>
        <v>0</v>
      </c>
      <c r="AN39" s="100">
        <f t="shared" si="49"/>
        <v>0</v>
      </c>
      <c r="AO39" s="100">
        <f t="shared" si="49"/>
        <v>0</v>
      </c>
      <c r="AP39" s="100">
        <f t="shared" si="49"/>
        <v>0</v>
      </c>
      <c r="AQ39" s="100">
        <f t="shared" si="49"/>
        <v>0</v>
      </c>
      <c r="AR39" s="100">
        <f t="shared" si="49"/>
        <v>0</v>
      </c>
      <c r="AS39" s="100">
        <f t="shared" si="49"/>
        <v>0</v>
      </c>
      <c r="AT39" s="100">
        <f t="shared" si="49"/>
        <v>0</v>
      </c>
      <c r="AU39" s="100">
        <f t="shared" si="49"/>
        <v>0</v>
      </c>
      <c r="AV39" s="100">
        <f t="shared" si="49"/>
        <v>0</v>
      </c>
      <c r="AW39" s="100">
        <f t="shared" si="49"/>
        <v>0</v>
      </c>
      <c r="AX39" s="100">
        <f t="shared" si="49"/>
        <v>0</v>
      </c>
      <c r="AY39" s="100">
        <f t="shared" si="49"/>
        <v>0</v>
      </c>
      <c r="AZ39" s="100">
        <f t="shared" si="49"/>
        <v>0</v>
      </c>
      <c r="BA39" s="101">
        <f t="shared" si="35"/>
        <v>0</v>
      </c>
      <c r="BB39" s="101">
        <f>IFERROR(s_RadSpec!$E$11*(BB11/$B39),".")</f>
        <v>0</v>
      </c>
      <c r="BC39" s="101">
        <f>IFERROR(s_RadSpec!$E$11*(BC11/$B39),".")</f>
        <v>0</v>
      </c>
      <c r="BD39" s="101">
        <f>IFERROR(s_RadSpec!$E$11*(BD11/$B39),".")</f>
        <v>0</v>
      </c>
      <c r="BE39" s="101">
        <f>IFERROR(s_RadSpec!$E$11*(BE11/$B39),".")</f>
        <v>0</v>
      </c>
      <c r="BF39" s="101">
        <f>IFERROR(s_RadSpec!$E$11*(BF11/$B39),".")</f>
        <v>0</v>
      </c>
      <c r="BG39" s="101">
        <f>IFERROR(s_RadSpec!$E$11*(BG11/$B39),".")</f>
        <v>0</v>
      </c>
      <c r="BH39" s="101">
        <f>IFERROR(s_RadSpec!$E$11*(BH11/$B39),".")</f>
        <v>0</v>
      </c>
      <c r="BI39" s="101">
        <f>IFERROR(s_RadSpec!$E$11*(BI11/$B39),".")</f>
        <v>0</v>
      </c>
      <c r="BJ39" s="101">
        <f>IFERROR(s_RadSpec!$E$11*(BJ11/$B39),".")</f>
        <v>0</v>
      </c>
      <c r="BK39" s="101">
        <f>IFERROR(s_RadSpec!$E$11*(BK11/$B39),".")</f>
        <v>0</v>
      </c>
      <c r="BL39" s="101">
        <f>IFERROR(s_RadSpec!$E$11*(BL11/$B39),".")</f>
        <v>0</v>
      </c>
      <c r="BM39" s="101">
        <f>IFERROR(s_RadSpec!$E$11*(BM11/$B39),".")</f>
        <v>0</v>
      </c>
      <c r="BN39" s="101">
        <f>IFERROR(s_RadSpec!$E$11*(BN11/$B39),".")</f>
        <v>0</v>
      </c>
      <c r="BO39" s="101">
        <f>IFERROR(s_RadSpec!$E$11*(BO11/$B39),".")</f>
        <v>0</v>
      </c>
      <c r="BP39" s="101">
        <f>IFERROR(s_RadSpec!$E$11*(BP11/$B39),".")</f>
        <v>0</v>
      </c>
      <c r="BQ39" s="101">
        <f>IFERROR(s_RadSpec!$E$11*(BQ11/$B39),".")</f>
        <v>0</v>
      </c>
      <c r="BR39" s="101">
        <f>IFERROR(s_RadSpec!$E$11*(BR11/$B39),".")</f>
        <v>0</v>
      </c>
      <c r="BS39" s="101">
        <f>IFERROR(s_RadSpec!$E$11*(BS11/$B39),".")</f>
        <v>0</v>
      </c>
      <c r="BT39" s="101">
        <f>IFERROR(s_RadSpec!$E$11*(BT11/$B39),".")</f>
        <v>0</v>
      </c>
      <c r="BU39" s="101">
        <f>IFERROR(s_RadSpec!$E$11*(BU11/$B39),".")</f>
        <v>0</v>
      </c>
      <c r="BV39" s="101">
        <f>IFERROR(s_RadSpec!$E$11*(BV11/$B39),".")</f>
        <v>0</v>
      </c>
      <c r="BW39" s="101">
        <f>IFERROR(s_RadSpec!$E$11*(BW11/$B39),".")</f>
        <v>0</v>
      </c>
      <c r="BX39" s="101">
        <f>IFERROR(s_RadSpec!$E$11*(BX11/$B39),".")</f>
        <v>0</v>
      </c>
      <c r="BY39" s="101">
        <f>IFERROR(s_RadSpec!$E$11*(BY11/$B39),".")</f>
        <v>0</v>
      </c>
    </row>
    <row r="40" spans="1:77" x14ac:dyDescent="0.25">
      <c r="A40" s="99" t="s">
        <v>1085</v>
      </c>
      <c r="B40" s="90">
        <v>1</v>
      </c>
      <c r="C40" s="100" t="str">
        <f t="shared" si="28"/>
        <v>.</v>
      </c>
      <c r="D40" s="100">
        <f t="shared" ref="D40:AA40" si="50">IFERROR($B40/D4,0)</f>
        <v>0</v>
      </c>
      <c r="E40" s="100">
        <f t="shared" si="50"/>
        <v>0</v>
      </c>
      <c r="F40" s="100">
        <f t="shared" si="50"/>
        <v>0</v>
      </c>
      <c r="G40" s="100">
        <f t="shared" si="50"/>
        <v>0</v>
      </c>
      <c r="H40" s="100">
        <f t="shared" si="50"/>
        <v>0</v>
      </c>
      <c r="I40" s="100">
        <f t="shared" si="50"/>
        <v>0</v>
      </c>
      <c r="J40" s="100">
        <f t="shared" si="50"/>
        <v>0</v>
      </c>
      <c r="K40" s="100">
        <f t="shared" si="50"/>
        <v>0</v>
      </c>
      <c r="L40" s="100">
        <f t="shared" si="50"/>
        <v>0</v>
      </c>
      <c r="M40" s="100">
        <f t="shared" si="50"/>
        <v>0</v>
      </c>
      <c r="N40" s="100">
        <f t="shared" si="50"/>
        <v>0</v>
      </c>
      <c r="O40" s="100">
        <f t="shared" si="50"/>
        <v>0</v>
      </c>
      <c r="P40" s="100">
        <f t="shared" si="50"/>
        <v>0</v>
      </c>
      <c r="Q40" s="100">
        <f t="shared" si="50"/>
        <v>0</v>
      </c>
      <c r="R40" s="100">
        <f t="shared" si="50"/>
        <v>0</v>
      </c>
      <c r="S40" s="100">
        <f t="shared" si="50"/>
        <v>0</v>
      </c>
      <c r="T40" s="100">
        <f t="shared" si="50"/>
        <v>0</v>
      </c>
      <c r="U40" s="100">
        <f t="shared" si="50"/>
        <v>0</v>
      </c>
      <c r="V40" s="100">
        <f t="shared" si="50"/>
        <v>0</v>
      </c>
      <c r="W40" s="100">
        <f t="shared" si="50"/>
        <v>0</v>
      </c>
      <c r="X40" s="100">
        <f t="shared" si="50"/>
        <v>0</v>
      </c>
      <c r="Y40" s="100">
        <f t="shared" si="50"/>
        <v>0</v>
      </c>
      <c r="Z40" s="100">
        <f t="shared" si="50"/>
        <v>0</v>
      </c>
      <c r="AA40" s="100">
        <f t="shared" si="50"/>
        <v>0</v>
      </c>
      <c r="AB40" s="100" t="str">
        <f t="shared" si="30"/>
        <v>.</v>
      </c>
      <c r="AC40" s="100">
        <f t="shared" ref="AC40:AZ40" si="51">IFERROR($B40/AC4,0)</f>
        <v>0</v>
      </c>
      <c r="AD40" s="100">
        <f t="shared" si="51"/>
        <v>0</v>
      </c>
      <c r="AE40" s="100">
        <f t="shared" si="51"/>
        <v>0</v>
      </c>
      <c r="AF40" s="100">
        <f t="shared" si="51"/>
        <v>0</v>
      </c>
      <c r="AG40" s="100">
        <f t="shared" si="51"/>
        <v>0</v>
      </c>
      <c r="AH40" s="100">
        <f t="shared" si="51"/>
        <v>0</v>
      </c>
      <c r="AI40" s="100">
        <f t="shared" si="51"/>
        <v>0</v>
      </c>
      <c r="AJ40" s="100">
        <f t="shared" si="51"/>
        <v>0</v>
      </c>
      <c r="AK40" s="100">
        <f t="shared" si="51"/>
        <v>0</v>
      </c>
      <c r="AL40" s="100">
        <f t="shared" si="51"/>
        <v>0</v>
      </c>
      <c r="AM40" s="100">
        <f t="shared" si="51"/>
        <v>0</v>
      </c>
      <c r="AN40" s="100">
        <f t="shared" si="51"/>
        <v>0</v>
      </c>
      <c r="AO40" s="100">
        <f t="shared" si="51"/>
        <v>0</v>
      </c>
      <c r="AP40" s="100">
        <f t="shared" si="51"/>
        <v>0</v>
      </c>
      <c r="AQ40" s="100">
        <f t="shared" si="51"/>
        <v>0</v>
      </c>
      <c r="AR40" s="100">
        <f t="shared" si="51"/>
        <v>0</v>
      </c>
      <c r="AS40" s="100">
        <f t="shared" si="51"/>
        <v>0</v>
      </c>
      <c r="AT40" s="100">
        <f t="shared" si="51"/>
        <v>0</v>
      </c>
      <c r="AU40" s="100">
        <f t="shared" si="51"/>
        <v>0</v>
      </c>
      <c r="AV40" s="100">
        <f t="shared" si="51"/>
        <v>0</v>
      </c>
      <c r="AW40" s="100">
        <f t="shared" si="51"/>
        <v>0</v>
      </c>
      <c r="AX40" s="100">
        <f t="shared" si="51"/>
        <v>0</v>
      </c>
      <c r="AY40" s="100">
        <f t="shared" si="51"/>
        <v>0</v>
      </c>
      <c r="AZ40" s="100">
        <f t="shared" si="51"/>
        <v>0</v>
      </c>
      <c r="BA40" s="101">
        <f t="shared" si="35"/>
        <v>0</v>
      </c>
      <c r="BB40" s="101">
        <f>IFERROR(s_RadSpec!$E$4*(BB4/$B40),".")</f>
        <v>0</v>
      </c>
      <c r="BC40" s="101">
        <f>IFERROR(s_RadSpec!$E$4*(BC4/$B40),".")</f>
        <v>0</v>
      </c>
      <c r="BD40" s="101">
        <f>IFERROR(s_RadSpec!$E$4*(BD4/$B40),".")</f>
        <v>0</v>
      </c>
      <c r="BE40" s="101">
        <f>IFERROR(s_RadSpec!$E$4*(BE4/$B40),".")</f>
        <v>0</v>
      </c>
      <c r="BF40" s="101">
        <f>IFERROR(s_RadSpec!$E$4*(BF4/$B40),".")</f>
        <v>0</v>
      </c>
      <c r="BG40" s="101">
        <f>IFERROR(s_RadSpec!$E$4*(BG4/$B40),".")</f>
        <v>0</v>
      </c>
      <c r="BH40" s="101">
        <f>IFERROR(s_RadSpec!$E$4*(BH4/$B40),".")</f>
        <v>0</v>
      </c>
      <c r="BI40" s="101">
        <f>IFERROR(s_RadSpec!$E$4*(BI4/$B40),".")</f>
        <v>0</v>
      </c>
      <c r="BJ40" s="101">
        <f>IFERROR(s_RadSpec!$E$4*(BJ4/$B40),".")</f>
        <v>0</v>
      </c>
      <c r="BK40" s="101">
        <f>IFERROR(s_RadSpec!$E$4*(BK4/$B40),".")</f>
        <v>0</v>
      </c>
      <c r="BL40" s="101">
        <f>IFERROR(s_RadSpec!$E$4*(BL4/$B40),".")</f>
        <v>0</v>
      </c>
      <c r="BM40" s="101">
        <f>IFERROR(s_RadSpec!$E$4*(BM4/$B40),".")</f>
        <v>0</v>
      </c>
      <c r="BN40" s="101">
        <f>IFERROR(s_RadSpec!$E$4*(BN4/$B40),".")</f>
        <v>0</v>
      </c>
      <c r="BO40" s="101">
        <f>IFERROR(s_RadSpec!$E$4*(BO4/$B40),".")</f>
        <v>0</v>
      </c>
      <c r="BP40" s="101">
        <f>IFERROR(s_RadSpec!$E$4*(BP4/$B40),".")</f>
        <v>0</v>
      </c>
      <c r="BQ40" s="101">
        <f>IFERROR(s_RadSpec!$E$4*(BQ4/$B40),".")</f>
        <v>0</v>
      </c>
      <c r="BR40" s="101">
        <f>IFERROR(s_RadSpec!$E$4*(BR4/$B40),".")</f>
        <v>0</v>
      </c>
      <c r="BS40" s="101">
        <f>IFERROR(s_RadSpec!$E$4*(BS4/$B40),".")</f>
        <v>0</v>
      </c>
      <c r="BT40" s="101">
        <f>IFERROR(s_RadSpec!$E$4*(BT4/$B40),".")</f>
        <v>0</v>
      </c>
      <c r="BU40" s="101">
        <f>IFERROR(s_RadSpec!$E$4*(BU4/$B40),".")</f>
        <v>0</v>
      </c>
      <c r="BV40" s="101">
        <f>IFERROR(s_RadSpec!$E$4*(BV4/$B40),".")</f>
        <v>0</v>
      </c>
      <c r="BW40" s="101">
        <f>IFERROR(s_RadSpec!$E$4*(BW4/$B40),".")</f>
        <v>0</v>
      </c>
      <c r="BX40" s="101">
        <f>IFERROR(s_RadSpec!$E$4*(BX4/$B40),".")</f>
        <v>0</v>
      </c>
      <c r="BY40" s="101">
        <f>IFERROR(s_RadSpec!$E$4*(BY4/$B40),".")</f>
        <v>0</v>
      </c>
    </row>
    <row r="41" spans="1:77" x14ac:dyDescent="0.25">
      <c r="A41" s="99" t="s">
        <v>1086</v>
      </c>
      <c r="B41" s="102">
        <v>0.99987999999999999</v>
      </c>
      <c r="C41" s="100">
        <f t="shared" si="28"/>
        <v>4.9342828150000003E-4</v>
      </c>
      <c r="D41" s="100">
        <f t="shared" ref="D41:AA41" si="52">IFERROR($B41/D8,0)</f>
        <v>1.9737131260000001E-3</v>
      </c>
      <c r="E41" s="100">
        <f t="shared" si="52"/>
        <v>1.9737131260000001E-3</v>
      </c>
      <c r="F41" s="100">
        <f t="shared" si="52"/>
        <v>1.9737131260000001E-3</v>
      </c>
      <c r="G41" s="100">
        <f t="shared" si="52"/>
        <v>1.9737131260000001E-3</v>
      </c>
      <c r="H41" s="100">
        <f t="shared" si="52"/>
        <v>1.9737131260000001E-3</v>
      </c>
      <c r="I41" s="100">
        <f t="shared" si="52"/>
        <v>1.9737131260000001E-3</v>
      </c>
      <c r="J41" s="100">
        <f t="shared" si="52"/>
        <v>1.9737131260000001E-3</v>
      </c>
      <c r="K41" s="100">
        <f t="shared" si="52"/>
        <v>1.9737131260000001E-3</v>
      </c>
      <c r="L41" s="100">
        <f t="shared" si="52"/>
        <v>1.9737131260000001E-3</v>
      </c>
      <c r="M41" s="100">
        <f t="shared" si="52"/>
        <v>1.9737131260000001E-3</v>
      </c>
      <c r="N41" s="100">
        <f t="shared" si="52"/>
        <v>1.9737131260000001E-3</v>
      </c>
      <c r="O41" s="100">
        <f t="shared" si="52"/>
        <v>1.9737131260000001E-3</v>
      </c>
      <c r="P41" s="100">
        <f t="shared" si="52"/>
        <v>1.9737131260000001E-3</v>
      </c>
      <c r="Q41" s="100">
        <f t="shared" si="52"/>
        <v>1.9737131260000001E-3</v>
      </c>
      <c r="R41" s="100">
        <f t="shared" si="52"/>
        <v>1.9737131260000001E-3</v>
      </c>
      <c r="S41" s="100">
        <f t="shared" si="52"/>
        <v>1.9737131260000001E-3</v>
      </c>
      <c r="T41" s="100">
        <f t="shared" si="52"/>
        <v>1.9737131260000001E-3</v>
      </c>
      <c r="U41" s="100">
        <f t="shared" si="52"/>
        <v>1.9737131260000001E-3</v>
      </c>
      <c r="V41" s="100">
        <f t="shared" si="52"/>
        <v>1.9737131260000001E-3</v>
      </c>
      <c r="W41" s="100">
        <f t="shared" si="52"/>
        <v>1.9737131260000001E-3</v>
      </c>
      <c r="X41" s="100">
        <f t="shared" si="52"/>
        <v>1.9737131260000001E-3</v>
      </c>
      <c r="Y41" s="100">
        <f t="shared" si="52"/>
        <v>1.9737131260000001E-3</v>
      </c>
      <c r="Z41" s="100">
        <f t="shared" si="52"/>
        <v>1.9737131260000001E-3</v>
      </c>
      <c r="AA41" s="100">
        <f t="shared" si="52"/>
        <v>1.9737131260000001E-3</v>
      </c>
      <c r="AB41" s="100">
        <f t="shared" si="30"/>
        <v>4.9342828150000003E-4</v>
      </c>
      <c r="AC41" s="100">
        <f t="shared" ref="AC41:AZ41" si="53">IFERROR($B41/AC8,0)</f>
        <v>1.9737131260000001E-3</v>
      </c>
      <c r="AD41" s="100">
        <f t="shared" si="53"/>
        <v>1.9737131260000001E-3</v>
      </c>
      <c r="AE41" s="100">
        <f t="shared" si="53"/>
        <v>1.9737131260000001E-3</v>
      </c>
      <c r="AF41" s="100">
        <f t="shared" si="53"/>
        <v>1.9737131260000001E-3</v>
      </c>
      <c r="AG41" s="100">
        <f t="shared" si="53"/>
        <v>1.9737131260000001E-3</v>
      </c>
      <c r="AH41" s="100">
        <f t="shared" si="53"/>
        <v>1.9737131260000001E-3</v>
      </c>
      <c r="AI41" s="100">
        <f t="shared" si="53"/>
        <v>1.9737131260000001E-3</v>
      </c>
      <c r="AJ41" s="100">
        <f t="shared" si="53"/>
        <v>1.9737131260000001E-3</v>
      </c>
      <c r="AK41" s="100">
        <f t="shared" si="53"/>
        <v>1.9737131260000001E-3</v>
      </c>
      <c r="AL41" s="100">
        <f t="shared" si="53"/>
        <v>1.9737131260000001E-3</v>
      </c>
      <c r="AM41" s="100">
        <f t="shared" si="53"/>
        <v>1.9737131260000001E-3</v>
      </c>
      <c r="AN41" s="100">
        <f t="shared" si="53"/>
        <v>1.9737131260000001E-3</v>
      </c>
      <c r="AO41" s="100">
        <f t="shared" si="53"/>
        <v>1.9737131260000001E-3</v>
      </c>
      <c r="AP41" s="100">
        <f t="shared" si="53"/>
        <v>1.9737131260000001E-3</v>
      </c>
      <c r="AQ41" s="100">
        <f t="shared" si="53"/>
        <v>1.9737131260000001E-3</v>
      </c>
      <c r="AR41" s="100">
        <f t="shared" si="53"/>
        <v>1.9737131260000001E-3</v>
      </c>
      <c r="AS41" s="100">
        <f t="shared" si="53"/>
        <v>1.9737131260000001E-3</v>
      </c>
      <c r="AT41" s="100">
        <f t="shared" si="53"/>
        <v>1.9737131260000001E-3</v>
      </c>
      <c r="AU41" s="100">
        <f t="shared" si="53"/>
        <v>1.9737131260000001E-3</v>
      </c>
      <c r="AV41" s="100">
        <f t="shared" si="53"/>
        <v>1.9737131260000001E-3</v>
      </c>
      <c r="AW41" s="100">
        <f t="shared" si="53"/>
        <v>1.9737131260000001E-3</v>
      </c>
      <c r="AX41" s="100">
        <f t="shared" si="53"/>
        <v>1.9737131260000001E-3</v>
      </c>
      <c r="AY41" s="100">
        <f t="shared" si="53"/>
        <v>1.9737131260000001E-3</v>
      </c>
      <c r="AZ41" s="100">
        <f t="shared" si="53"/>
        <v>1.9737131260000001E-3</v>
      </c>
      <c r="BA41" s="101">
        <f t="shared" si="35"/>
        <v>3.9483738048565826E-8</v>
      </c>
      <c r="BB41" s="101">
        <f>IFERROR(s_RadSpec!$E$8*(BB8/$B41),".")</f>
        <v>9.8709345121414564E-9</v>
      </c>
      <c r="BC41" s="101">
        <f>IFERROR(s_RadSpec!$E$8*(BC8/$B41),".")</f>
        <v>9.8709345121414564E-9</v>
      </c>
      <c r="BD41" s="101">
        <f>IFERROR(s_RadSpec!$E$8*(BD8/$B41),".")</f>
        <v>9.8709345121414564E-9</v>
      </c>
      <c r="BE41" s="101">
        <f>IFERROR(s_RadSpec!$E$8*(BE8/$B41),".")</f>
        <v>9.8709345121414564E-9</v>
      </c>
      <c r="BF41" s="101">
        <f>IFERROR(s_RadSpec!$E$8*(BF8/$B41),".")</f>
        <v>9.8709345121414564E-9</v>
      </c>
      <c r="BG41" s="101">
        <f>IFERROR(s_RadSpec!$E$8*(BG8/$B41),".")</f>
        <v>9.8709345121414564E-9</v>
      </c>
      <c r="BH41" s="101">
        <f>IFERROR(s_RadSpec!$E$8*(BH8/$B41),".")</f>
        <v>9.8709345121414564E-9</v>
      </c>
      <c r="BI41" s="101">
        <f>IFERROR(s_RadSpec!$E$8*(BI8/$B41),".")</f>
        <v>9.8709345121414564E-9</v>
      </c>
      <c r="BJ41" s="101">
        <f>IFERROR(s_RadSpec!$E$8*(BJ8/$B41),".")</f>
        <v>9.8709345121414564E-9</v>
      </c>
      <c r="BK41" s="101">
        <f>IFERROR(s_RadSpec!$E$8*(BK8/$B41),".")</f>
        <v>9.8709345121414564E-9</v>
      </c>
      <c r="BL41" s="101">
        <f>IFERROR(s_RadSpec!$E$8*(BL8/$B41),".")</f>
        <v>9.8709345121414564E-9</v>
      </c>
      <c r="BM41" s="101">
        <f>IFERROR(s_RadSpec!$E$8*(BM8/$B41),".")</f>
        <v>9.8709345121414564E-9</v>
      </c>
      <c r="BN41" s="101">
        <f>IFERROR(s_RadSpec!$E$8*(BN8/$B41),".")</f>
        <v>9.8709345121414564E-9</v>
      </c>
      <c r="BO41" s="101">
        <f>IFERROR(s_RadSpec!$E$8*(BO8/$B41),".")</f>
        <v>9.8709345121414564E-9</v>
      </c>
      <c r="BP41" s="101">
        <f>IFERROR(s_RadSpec!$E$8*(BP8/$B41),".")</f>
        <v>9.8709345121414564E-9</v>
      </c>
      <c r="BQ41" s="101">
        <f>IFERROR(s_RadSpec!$E$8*(BQ8/$B41),".")</f>
        <v>9.8709345121414564E-9</v>
      </c>
      <c r="BR41" s="101">
        <f>IFERROR(s_RadSpec!$E$8*(BR8/$B41),".")</f>
        <v>9.8709345121414564E-9</v>
      </c>
      <c r="BS41" s="101">
        <f>IFERROR(s_RadSpec!$E$8*(BS8/$B41),".")</f>
        <v>9.8709345121414564E-9</v>
      </c>
      <c r="BT41" s="101">
        <f>IFERROR(s_RadSpec!$E$8*(BT8/$B41),".")</f>
        <v>9.8709345121414564E-9</v>
      </c>
      <c r="BU41" s="101">
        <f>IFERROR(s_RadSpec!$E$8*(BU8/$B41),".")</f>
        <v>9.8709345121414564E-9</v>
      </c>
      <c r="BV41" s="101">
        <f>IFERROR(s_RadSpec!$E$8*(BV8/$B41),".")</f>
        <v>9.8709345121414564E-9</v>
      </c>
      <c r="BW41" s="101">
        <f>IFERROR(s_RadSpec!$E$8*(BW8/$B41),".")</f>
        <v>9.8709345121414564E-9</v>
      </c>
      <c r="BX41" s="101">
        <f>IFERROR(s_RadSpec!$E$8*(BX8/$B41),".")</f>
        <v>9.8709345121414564E-9</v>
      </c>
      <c r="BY41" s="101">
        <f>IFERROR(s_RadSpec!$E$8*(BY8/$B41),".")</f>
        <v>9.8709345121414564E-9</v>
      </c>
    </row>
    <row r="42" spans="1:77" x14ac:dyDescent="0.25">
      <c r="A42" s="99" t="s">
        <v>1087</v>
      </c>
      <c r="B42" s="90">
        <v>0.97898250799999997</v>
      </c>
      <c r="C42" s="100" t="str">
        <f t="shared" si="28"/>
        <v>.</v>
      </c>
      <c r="D42" s="100">
        <f t="shared" ref="D42:AA42" si="54">IFERROR($B42/D19,0)</f>
        <v>0</v>
      </c>
      <c r="E42" s="100">
        <f t="shared" si="54"/>
        <v>0</v>
      </c>
      <c r="F42" s="100">
        <f t="shared" si="54"/>
        <v>0</v>
      </c>
      <c r="G42" s="100">
        <f t="shared" si="54"/>
        <v>0</v>
      </c>
      <c r="H42" s="100">
        <f t="shared" si="54"/>
        <v>0</v>
      </c>
      <c r="I42" s="100">
        <f t="shared" si="54"/>
        <v>0</v>
      </c>
      <c r="J42" s="100">
        <f t="shared" si="54"/>
        <v>0</v>
      </c>
      <c r="K42" s="100">
        <f t="shared" si="54"/>
        <v>0</v>
      </c>
      <c r="L42" s="100">
        <f t="shared" si="54"/>
        <v>0</v>
      </c>
      <c r="M42" s="100">
        <f t="shared" si="54"/>
        <v>0</v>
      </c>
      <c r="N42" s="100">
        <f t="shared" si="54"/>
        <v>0</v>
      </c>
      <c r="O42" s="100">
        <f t="shared" si="54"/>
        <v>0</v>
      </c>
      <c r="P42" s="100">
        <f t="shared" si="54"/>
        <v>0</v>
      </c>
      <c r="Q42" s="100">
        <f t="shared" si="54"/>
        <v>0</v>
      </c>
      <c r="R42" s="100">
        <f t="shared" si="54"/>
        <v>0</v>
      </c>
      <c r="S42" s="100">
        <f t="shared" si="54"/>
        <v>0</v>
      </c>
      <c r="T42" s="100">
        <f t="shared" si="54"/>
        <v>0</v>
      </c>
      <c r="U42" s="100">
        <f t="shared" si="54"/>
        <v>0</v>
      </c>
      <c r="V42" s="100">
        <f t="shared" si="54"/>
        <v>0</v>
      </c>
      <c r="W42" s="100">
        <f t="shared" si="54"/>
        <v>0</v>
      </c>
      <c r="X42" s="100">
        <f t="shared" si="54"/>
        <v>0</v>
      </c>
      <c r="Y42" s="100">
        <f t="shared" si="54"/>
        <v>0</v>
      </c>
      <c r="Z42" s="100">
        <f t="shared" si="54"/>
        <v>0</v>
      </c>
      <c r="AA42" s="100">
        <f t="shared" si="54"/>
        <v>0</v>
      </c>
      <c r="AB42" s="100" t="str">
        <f t="shared" si="30"/>
        <v>.</v>
      </c>
      <c r="AC42" s="100">
        <f t="shared" ref="AC42:AZ42" si="55">IFERROR($B42/AC19,0)</f>
        <v>0</v>
      </c>
      <c r="AD42" s="100">
        <f t="shared" si="55"/>
        <v>0</v>
      </c>
      <c r="AE42" s="100">
        <f t="shared" si="55"/>
        <v>0</v>
      </c>
      <c r="AF42" s="100">
        <f t="shared" si="55"/>
        <v>0</v>
      </c>
      <c r="AG42" s="100">
        <f t="shared" si="55"/>
        <v>0</v>
      </c>
      <c r="AH42" s="100">
        <f t="shared" si="55"/>
        <v>0</v>
      </c>
      <c r="AI42" s="100">
        <f t="shared" si="55"/>
        <v>0</v>
      </c>
      <c r="AJ42" s="100">
        <f t="shared" si="55"/>
        <v>0</v>
      </c>
      <c r="AK42" s="100">
        <f t="shared" si="55"/>
        <v>0</v>
      </c>
      <c r="AL42" s="100">
        <f t="shared" si="55"/>
        <v>0</v>
      </c>
      <c r="AM42" s="100">
        <f t="shared" si="55"/>
        <v>0</v>
      </c>
      <c r="AN42" s="100">
        <f t="shared" si="55"/>
        <v>0</v>
      </c>
      <c r="AO42" s="100">
        <f t="shared" si="55"/>
        <v>0</v>
      </c>
      <c r="AP42" s="100">
        <f t="shared" si="55"/>
        <v>0</v>
      </c>
      <c r="AQ42" s="100">
        <f t="shared" si="55"/>
        <v>0</v>
      </c>
      <c r="AR42" s="100">
        <f t="shared" si="55"/>
        <v>0</v>
      </c>
      <c r="AS42" s="100">
        <f t="shared" si="55"/>
        <v>0</v>
      </c>
      <c r="AT42" s="100">
        <f t="shared" si="55"/>
        <v>0</v>
      </c>
      <c r="AU42" s="100">
        <f t="shared" si="55"/>
        <v>0</v>
      </c>
      <c r="AV42" s="100">
        <f t="shared" si="55"/>
        <v>0</v>
      </c>
      <c r="AW42" s="100">
        <f t="shared" si="55"/>
        <v>0</v>
      </c>
      <c r="AX42" s="100">
        <f t="shared" si="55"/>
        <v>0</v>
      </c>
      <c r="AY42" s="100">
        <f t="shared" si="55"/>
        <v>0</v>
      </c>
      <c r="AZ42" s="100">
        <f t="shared" si="55"/>
        <v>0</v>
      </c>
      <c r="BA42" s="101">
        <f t="shared" si="35"/>
        <v>0</v>
      </c>
      <c r="BB42" s="101">
        <f>IFERROR(s_RadSpec!$E$19*(BB19/$B42),".")</f>
        <v>0</v>
      </c>
      <c r="BC42" s="101">
        <f>IFERROR(s_RadSpec!$E$19*(BC19/$B42),".")</f>
        <v>0</v>
      </c>
      <c r="BD42" s="101">
        <f>IFERROR(s_RadSpec!$E$19*(BD19/$B42),".")</f>
        <v>0</v>
      </c>
      <c r="BE42" s="101">
        <f>IFERROR(s_RadSpec!$E$19*(BE19/$B42),".")</f>
        <v>0</v>
      </c>
      <c r="BF42" s="101">
        <f>IFERROR(s_RadSpec!$E$19*(BF19/$B42),".")</f>
        <v>0</v>
      </c>
      <c r="BG42" s="101">
        <f>IFERROR(s_RadSpec!$E$19*(BG19/$B42),".")</f>
        <v>0</v>
      </c>
      <c r="BH42" s="101">
        <f>IFERROR(s_RadSpec!$E$19*(BH19/$B42),".")</f>
        <v>0</v>
      </c>
      <c r="BI42" s="101">
        <f>IFERROR(s_RadSpec!$E$19*(BI19/$B42),".")</f>
        <v>0</v>
      </c>
      <c r="BJ42" s="101">
        <f>IFERROR(s_RadSpec!$E$19*(BJ19/$B42),".")</f>
        <v>0</v>
      </c>
      <c r="BK42" s="101">
        <f>IFERROR(s_RadSpec!$E$19*(BK19/$B42),".")</f>
        <v>0</v>
      </c>
      <c r="BL42" s="101">
        <f>IFERROR(s_RadSpec!$E$19*(BL19/$B42),".")</f>
        <v>0</v>
      </c>
      <c r="BM42" s="101">
        <f>IFERROR(s_RadSpec!$E$19*(BM19/$B42),".")</f>
        <v>0</v>
      </c>
      <c r="BN42" s="101">
        <f>IFERROR(s_RadSpec!$E$19*(BN19/$B42),".")</f>
        <v>0</v>
      </c>
      <c r="BO42" s="101">
        <f>IFERROR(s_RadSpec!$E$19*(BO19/$B42),".")</f>
        <v>0</v>
      </c>
      <c r="BP42" s="101">
        <f>IFERROR(s_RadSpec!$E$19*(BP19/$B42),".")</f>
        <v>0</v>
      </c>
      <c r="BQ42" s="101">
        <f>IFERROR(s_RadSpec!$E$19*(BQ19/$B42),".")</f>
        <v>0</v>
      </c>
      <c r="BR42" s="101">
        <f>IFERROR(s_RadSpec!$E$19*(BR19/$B42),".")</f>
        <v>0</v>
      </c>
      <c r="BS42" s="101">
        <f>IFERROR(s_RadSpec!$E$19*(BS19/$B42),".")</f>
        <v>0</v>
      </c>
      <c r="BT42" s="101">
        <f>IFERROR(s_RadSpec!$E$19*(BT19/$B42),".")</f>
        <v>0</v>
      </c>
      <c r="BU42" s="101">
        <f>IFERROR(s_RadSpec!$E$19*(BU19/$B42),".")</f>
        <v>0</v>
      </c>
      <c r="BV42" s="101">
        <f>IFERROR(s_RadSpec!$E$19*(BV19/$B42),".")</f>
        <v>0</v>
      </c>
      <c r="BW42" s="101">
        <f>IFERROR(s_RadSpec!$E$19*(BW19/$B42),".")</f>
        <v>0</v>
      </c>
      <c r="BX42" s="101">
        <f>IFERROR(s_RadSpec!$E$19*(BX19/$B42),".")</f>
        <v>0</v>
      </c>
      <c r="BY42" s="101">
        <f>IFERROR(s_RadSpec!$E$19*(BY19/$B42),".")</f>
        <v>0</v>
      </c>
    </row>
    <row r="43" spans="1:77" x14ac:dyDescent="0.25">
      <c r="A43" s="99" t="s">
        <v>1088</v>
      </c>
      <c r="B43" s="90">
        <v>2.0897492E-2</v>
      </c>
      <c r="C43" s="100" t="str">
        <f t="shared" si="28"/>
        <v>.</v>
      </c>
      <c r="D43" s="100">
        <f t="shared" ref="D43:AA43" si="56">IFERROR($B43/D28,0)</f>
        <v>0</v>
      </c>
      <c r="E43" s="100">
        <f t="shared" si="56"/>
        <v>0</v>
      </c>
      <c r="F43" s="100">
        <f t="shared" si="56"/>
        <v>0</v>
      </c>
      <c r="G43" s="100">
        <f t="shared" si="56"/>
        <v>0</v>
      </c>
      <c r="H43" s="100">
        <f t="shared" si="56"/>
        <v>0</v>
      </c>
      <c r="I43" s="100">
        <f t="shared" si="56"/>
        <v>0</v>
      </c>
      <c r="J43" s="100">
        <f t="shared" si="56"/>
        <v>0</v>
      </c>
      <c r="K43" s="100">
        <f t="shared" si="56"/>
        <v>0</v>
      </c>
      <c r="L43" s="100">
        <f t="shared" si="56"/>
        <v>0</v>
      </c>
      <c r="M43" s="100">
        <f t="shared" si="56"/>
        <v>0</v>
      </c>
      <c r="N43" s="100">
        <f t="shared" si="56"/>
        <v>0</v>
      </c>
      <c r="O43" s="100">
        <f t="shared" si="56"/>
        <v>0</v>
      </c>
      <c r="P43" s="100">
        <f t="shared" si="56"/>
        <v>0</v>
      </c>
      <c r="Q43" s="100">
        <f t="shared" si="56"/>
        <v>0</v>
      </c>
      <c r="R43" s="100">
        <f t="shared" si="56"/>
        <v>0</v>
      </c>
      <c r="S43" s="100">
        <f t="shared" si="56"/>
        <v>0</v>
      </c>
      <c r="T43" s="100">
        <f t="shared" si="56"/>
        <v>0</v>
      </c>
      <c r="U43" s="100">
        <f t="shared" si="56"/>
        <v>0</v>
      </c>
      <c r="V43" s="100">
        <f t="shared" si="56"/>
        <v>0</v>
      </c>
      <c r="W43" s="100">
        <f t="shared" si="56"/>
        <v>0</v>
      </c>
      <c r="X43" s="100">
        <f t="shared" si="56"/>
        <v>0</v>
      </c>
      <c r="Y43" s="100">
        <f t="shared" si="56"/>
        <v>0</v>
      </c>
      <c r="Z43" s="100">
        <f t="shared" si="56"/>
        <v>0</v>
      </c>
      <c r="AA43" s="100">
        <f t="shared" si="56"/>
        <v>0</v>
      </c>
      <c r="AB43" s="100" t="str">
        <f t="shared" si="30"/>
        <v>.</v>
      </c>
      <c r="AC43" s="100">
        <f t="shared" ref="AC43:AZ43" si="57">IFERROR($B43/AC28,0)</f>
        <v>0</v>
      </c>
      <c r="AD43" s="100">
        <f t="shared" si="57"/>
        <v>0</v>
      </c>
      <c r="AE43" s="100">
        <f t="shared" si="57"/>
        <v>0</v>
      </c>
      <c r="AF43" s="100">
        <f t="shared" si="57"/>
        <v>0</v>
      </c>
      <c r="AG43" s="100">
        <f t="shared" si="57"/>
        <v>0</v>
      </c>
      <c r="AH43" s="100">
        <f t="shared" si="57"/>
        <v>0</v>
      </c>
      <c r="AI43" s="100">
        <f t="shared" si="57"/>
        <v>0</v>
      </c>
      <c r="AJ43" s="100">
        <f t="shared" si="57"/>
        <v>0</v>
      </c>
      <c r="AK43" s="100">
        <f t="shared" si="57"/>
        <v>0</v>
      </c>
      <c r="AL43" s="100">
        <f t="shared" si="57"/>
        <v>0</v>
      </c>
      <c r="AM43" s="100">
        <f t="shared" si="57"/>
        <v>0</v>
      </c>
      <c r="AN43" s="100">
        <f t="shared" si="57"/>
        <v>0</v>
      </c>
      <c r="AO43" s="100">
        <f t="shared" si="57"/>
        <v>0</v>
      </c>
      <c r="AP43" s="100">
        <f t="shared" si="57"/>
        <v>0</v>
      </c>
      <c r="AQ43" s="100">
        <f t="shared" si="57"/>
        <v>0</v>
      </c>
      <c r="AR43" s="100">
        <f t="shared" si="57"/>
        <v>0</v>
      </c>
      <c r="AS43" s="100">
        <f t="shared" si="57"/>
        <v>0</v>
      </c>
      <c r="AT43" s="100">
        <f t="shared" si="57"/>
        <v>0</v>
      </c>
      <c r="AU43" s="100">
        <f t="shared" si="57"/>
        <v>0</v>
      </c>
      <c r="AV43" s="100">
        <f t="shared" si="57"/>
        <v>0</v>
      </c>
      <c r="AW43" s="100">
        <f t="shared" si="57"/>
        <v>0</v>
      </c>
      <c r="AX43" s="100">
        <f t="shared" si="57"/>
        <v>0</v>
      </c>
      <c r="AY43" s="100">
        <f t="shared" si="57"/>
        <v>0</v>
      </c>
      <c r="AZ43" s="100">
        <f t="shared" si="57"/>
        <v>0</v>
      </c>
      <c r="BA43" s="101">
        <f t="shared" si="35"/>
        <v>0</v>
      </c>
      <c r="BB43" s="101">
        <f>IFERROR(s_RadSpec!$E$28*(BB28/$B43),".")</f>
        <v>0</v>
      </c>
      <c r="BC43" s="101">
        <f>IFERROR(s_RadSpec!$E$28*(BC28/$B43),".")</f>
        <v>0</v>
      </c>
      <c r="BD43" s="101">
        <f>IFERROR(s_RadSpec!$E$28*(BD28/$B43),".")</f>
        <v>0</v>
      </c>
      <c r="BE43" s="101">
        <f>IFERROR(s_RadSpec!$E$28*(BE28/$B43),".")</f>
        <v>0</v>
      </c>
      <c r="BF43" s="101">
        <f>IFERROR(s_RadSpec!$E$28*(BF28/$B43),".")</f>
        <v>0</v>
      </c>
      <c r="BG43" s="101">
        <f>IFERROR(s_RadSpec!$E$28*(BG28/$B43),".")</f>
        <v>0</v>
      </c>
      <c r="BH43" s="101">
        <f>IFERROR(s_RadSpec!$E$28*(BH28/$B43),".")</f>
        <v>0</v>
      </c>
      <c r="BI43" s="101">
        <f>IFERROR(s_RadSpec!$E$28*(BI28/$B43),".")</f>
        <v>0</v>
      </c>
      <c r="BJ43" s="101">
        <f>IFERROR(s_RadSpec!$E$28*(BJ28/$B43),".")</f>
        <v>0</v>
      </c>
      <c r="BK43" s="101">
        <f>IFERROR(s_RadSpec!$E$28*(BK28/$B43),".")</f>
        <v>0</v>
      </c>
      <c r="BL43" s="101">
        <f>IFERROR(s_RadSpec!$E$28*(BL28/$B43),".")</f>
        <v>0</v>
      </c>
      <c r="BM43" s="101">
        <f>IFERROR(s_RadSpec!$E$28*(BM28/$B43),".")</f>
        <v>0</v>
      </c>
      <c r="BN43" s="101">
        <f>IFERROR(s_RadSpec!$E$28*(BN28/$B43),".")</f>
        <v>0</v>
      </c>
      <c r="BO43" s="101">
        <f>IFERROR(s_RadSpec!$E$28*(BO28/$B43),".")</f>
        <v>0</v>
      </c>
      <c r="BP43" s="101">
        <f>IFERROR(s_RadSpec!$E$28*(BP28/$B43),".")</f>
        <v>0</v>
      </c>
      <c r="BQ43" s="101">
        <f>IFERROR(s_RadSpec!$E$28*(BQ28/$B43),".")</f>
        <v>0</v>
      </c>
      <c r="BR43" s="101">
        <f>IFERROR(s_RadSpec!$E$28*(BR28/$B43),".")</f>
        <v>0</v>
      </c>
      <c r="BS43" s="101">
        <f>IFERROR(s_RadSpec!$E$28*(BS28/$B43),".")</f>
        <v>0</v>
      </c>
      <c r="BT43" s="101">
        <f>IFERROR(s_RadSpec!$E$28*(BT28/$B43),".")</f>
        <v>0</v>
      </c>
      <c r="BU43" s="101">
        <f>IFERROR(s_RadSpec!$E$28*(BU28/$B43),".")</f>
        <v>0</v>
      </c>
      <c r="BV43" s="101">
        <f>IFERROR(s_RadSpec!$E$28*(BV28/$B43),".")</f>
        <v>0</v>
      </c>
      <c r="BW43" s="101">
        <f>IFERROR(s_RadSpec!$E$28*(BW28/$B43),".")</f>
        <v>0</v>
      </c>
      <c r="BX43" s="101">
        <f>IFERROR(s_RadSpec!$E$28*(BX28/$B43),".")</f>
        <v>0</v>
      </c>
      <c r="BY43" s="101">
        <f>IFERROR(s_RadSpec!$E$28*(BY28/$B43),".")</f>
        <v>0</v>
      </c>
    </row>
    <row r="44" spans="1:77" x14ac:dyDescent="0.25">
      <c r="A44" s="99" t="s">
        <v>1089</v>
      </c>
      <c r="B44" s="90">
        <v>0.99987999999999999</v>
      </c>
      <c r="C44" s="100">
        <f t="shared" si="28"/>
        <v>2.3959249544999999E-4</v>
      </c>
      <c r="D44" s="100">
        <f t="shared" ref="D44:AA44" si="58">IFERROR($B44/D15,0)</f>
        <v>9.5836998179999985E-4</v>
      </c>
      <c r="E44" s="100">
        <f t="shared" si="58"/>
        <v>9.5836998179999985E-4</v>
      </c>
      <c r="F44" s="100">
        <f t="shared" si="58"/>
        <v>9.5836998179999985E-4</v>
      </c>
      <c r="G44" s="100">
        <f t="shared" si="58"/>
        <v>9.5836998179999985E-4</v>
      </c>
      <c r="H44" s="100">
        <f t="shared" si="58"/>
        <v>9.5836998179999985E-4</v>
      </c>
      <c r="I44" s="100">
        <f t="shared" si="58"/>
        <v>9.5836998179999985E-4</v>
      </c>
      <c r="J44" s="100">
        <f t="shared" si="58"/>
        <v>9.5836998179999985E-4</v>
      </c>
      <c r="K44" s="100">
        <f t="shared" si="58"/>
        <v>9.5836998179999985E-4</v>
      </c>
      <c r="L44" s="100">
        <f t="shared" si="58"/>
        <v>9.5836998179999985E-4</v>
      </c>
      <c r="M44" s="100">
        <f t="shared" si="58"/>
        <v>9.5836998179999985E-4</v>
      </c>
      <c r="N44" s="100">
        <f t="shared" si="58"/>
        <v>9.5836998179999985E-4</v>
      </c>
      <c r="O44" s="100">
        <f t="shared" si="58"/>
        <v>9.5836998179999985E-4</v>
      </c>
      <c r="P44" s="100">
        <f t="shared" si="58"/>
        <v>9.5836998179999985E-4</v>
      </c>
      <c r="Q44" s="100">
        <f t="shared" si="58"/>
        <v>9.5836998179999985E-4</v>
      </c>
      <c r="R44" s="100">
        <f t="shared" si="58"/>
        <v>9.5836998179999985E-4</v>
      </c>
      <c r="S44" s="100">
        <f t="shared" si="58"/>
        <v>9.5836998179999985E-4</v>
      </c>
      <c r="T44" s="100">
        <f t="shared" si="58"/>
        <v>9.5836998179999985E-4</v>
      </c>
      <c r="U44" s="100">
        <f t="shared" si="58"/>
        <v>9.5836998179999985E-4</v>
      </c>
      <c r="V44" s="100">
        <f t="shared" si="58"/>
        <v>9.5836998179999985E-4</v>
      </c>
      <c r="W44" s="100">
        <f t="shared" si="58"/>
        <v>9.5836998179999985E-4</v>
      </c>
      <c r="X44" s="100">
        <f t="shared" si="58"/>
        <v>9.5836998179999985E-4</v>
      </c>
      <c r="Y44" s="100">
        <f t="shared" si="58"/>
        <v>9.5836998179999985E-4</v>
      </c>
      <c r="Z44" s="100">
        <f t="shared" si="58"/>
        <v>9.5836998179999985E-4</v>
      </c>
      <c r="AA44" s="100">
        <f t="shared" si="58"/>
        <v>9.5836998179999985E-4</v>
      </c>
      <c r="AB44" s="100">
        <f t="shared" si="30"/>
        <v>2.3959249544999999E-4</v>
      </c>
      <c r="AC44" s="100">
        <f t="shared" ref="AC44:AZ44" si="59">IFERROR($B44/AC15,0)</f>
        <v>9.5836998179999985E-4</v>
      </c>
      <c r="AD44" s="100">
        <f t="shared" si="59"/>
        <v>9.5836998179999985E-4</v>
      </c>
      <c r="AE44" s="100">
        <f t="shared" si="59"/>
        <v>9.5836998179999985E-4</v>
      </c>
      <c r="AF44" s="100">
        <f t="shared" si="59"/>
        <v>9.5836998179999985E-4</v>
      </c>
      <c r="AG44" s="100">
        <f t="shared" si="59"/>
        <v>9.5836998179999985E-4</v>
      </c>
      <c r="AH44" s="100">
        <f t="shared" si="59"/>
        <v>9.5836998179999985E-4</v>
      </c>
      <c r="AI44" s="100">
        <f t="shared" si="59"/>
        <v>9.5836998179999985E-4</v>
      </c>
      <c r="AJ44" s="100">
        <f t="shared" si="59"/>
        <v>9.5836998179999985E-4</v>
      </c>
      <c r="AK44" s="100">
        <f t="shared" si="59"/>
        <v>9.5836998179999985E-4</v>
      </c>
      <c r="AL44" s="100">
        <f t="shared" si="59"/>
        <v>9.5836998179999985E-4</v>
      </c>
      <c r="AM44" s="100">
        <f t="shared" si="59"/>
        <v>9.5836998179999985E-4</v>
      </c>
      <c r="AN44" s="100">
        <f t="shared" si="59"/>
        <v>9.5836998179999985E-4</v>
      </c>
      <c r="AO44" s="100">
        <f t="shared" si="59"/>
        <v>9.5836998179999985E-4</v>
      </c>
      <c r="AP44" s="100">
        <f t="shared" si="59"/>
        <v>9.5836998179999985E-4</v>
      </c>
      <c r="AQ44" s="100">
        <f t="shared" si="59"/>
        <v>9.5836998179999985E-4</v>
      </c>
      <c r="AR44" s="100">
        <f t="shared" si="59"/>
        <v>9.5836998179999985E-4</v>
      </c>
      <c r="AS44" s="100">
        <f t="shared" si="59"/>
        <v>9.5836998179999985E-4</v>
      </c>
      <c r="AT44" s="100">
        <f t="shared" si="59"/>
        <v>9.5836998179999985E-4</v>
      </c>
      <c r="AU44" s="100">
        <f t="shared" si="59"/>
        <v>9.5836998179999985E-4</v>
      </c>
      <c r="AV44" s="100">
        <f t="shared" si="59"/>
        <v>9.5836998179999985E-4</v>
      </c>
      <c r="AW44" s="100">
        <f t="shared" si="59"/>
        <v>9.5836998179999985E-4</v>
      </c>
      <c r="AX44" s="100">
        <f t="shared" si="59"/>
        <v>9.5836998179999985E-4</v>
      </c>
      <c r="AY44" s="100">
        <f t="shared" si="59"/>
        <v>9.5836998179999985E-4</v>
      </c>
      <c r="AZ44" s="100">
        <f t="shared" si="59"/>
        <v>9.5836998179999985E-4</v>
      </c>
      <c r="BA44" s="101">
        <f t="shared" si="35"/>
        <v>1.9172000640076809E-8</v>
      </c>
      <c r="BB44" s="101">
        <f>IFERROR(s_RadSpec!$E$15*(BB15/$B44),".")</f>
        <v>4.7930001600192024E-9</v>
      </c>
      <c r="BC44" s="101">
        <f>IFERROR(s_RadSpec!$E$15*(BC15/$B44),".")</f>
        <v>4.7930001600192024E-9</v>
      </c>
      <c r="BD44" s="101">
        <f>IFERROR(s_RadSpec!$E$15*(BD15/$B44),".")</f>
        <v>4.7930001600192024E-9</v>
      </c>
      <c r="BE44" s="101">
        <f>IFERROR(s_RadSpec!$E$15*(BE15/$B44),".")</f>
        <v>4.7930001600192024E-9</v>
      </c>
      <c r="BF44" s="101">
        <f>IFERROR(s_RadSpec!$E$15*(BF15/$B44),".")</f>
        <v>4.7930001600192024E-9</v>
      </c>
      <c r="BG44" s="101">
        <f>IFERROR(s_RadSpec!$E$15*(BG15/$B44),".")</f>
        <v>4.7930001600192024E-9</v>
      </c>
      <c r="BH44" s="101">
        <f>IFERROR(s_RadSpec!$E$15*(BH15/$B44),".")</f>
        <v>4.7930001600192024E-9</v>
      </c>
      <c r="BI44" s="101">
        <f>IFERROR(s_RadSpec!$E$15*(BI15/$B44),".")</f>
        <v>4.7930001600192024E-9</v>
      </c>
      <c r="BJ44" s="101">
        <f>IFERROR(s_RadSpec!$E$15*(BJ15/$B44),".")</f>
        <v>4.7930001600192024E-9</v>
      </c>
      <c r="BK44" s="101">
        <f>IFERROR(s_RadSpec!$E$15*(BK15/$B44),".")</f>
        <v>4.7930001600192024E-9</v>
      </c>
      <c r="BL44" s="101">
        <f>IFERROR(s_RadSpec!$E$15*(BL15/$B44),".")</f>
        <v>4.7930001600192024E-9</v>
      </c>
      <c r="BM44" s="101">
        <f>IFERROR(s_RadSpec!$E$15*(BM15/$B44),".")</f>
        <v>4.7930001600192024E-9</v>
      </c>
      <c r="BN44" s="101">
        <f>IFERROR(s_RadSpec!$E$15*(BN15/$B44),".")</f>
        <v>4.7930001600192024E-9</v>
      </c>
      <c r="BO44" s="101">
        <f>IFERROR(s_RadSpec!$E$15*(BO15/$B44),".")</f>
        <v>4.7930001600192024E-9</v>
      </c>
      <c r="BP44" s="101">
        <f>IFERROR(s_RadSpec!$E$15*(BP15/$B44),".")</f>
        <v>4.7930001600192024E-9</v>
      </c>
      <c r="BQ44" s="101">
        <f>IFERROR(s_RadSpec!$E$15*(BQ15/$B44),".")</f>
        <v>4.7930001600192024E-9</v>
      </c>
      <c r="BR44" s="101">
        <f>IFERROR(s_RadSpec!$E$15*(BR15/$B44),".")</f>
        <v>4.7930001600192024E-9</v>
      </c>
      <c r="BS44" s="101">
        <f>IFERROR(s_RadSpec!$E$15*(BS15/$B44),".")</f>
        <v>4.7930001600192024E-9</v>
      </c>
      <c r="BT44" s="101">
        <f>IFERROR(s_RadSpec!$E$15*(BT15/$B44),".")</f>
        <v>4.7930001600192024E-9</v>
      </c>
      <c r="BU44" s="101">
        <f>IFERROR(s_RadSpec!$E$15*(BU15/$B44),".")</f>
        <v>4.7930001600192024E-9</v>
      </c>
      <c r="BV44" s="101">
        <f>IFERROR(s_RadSpec!$E$15*(BV15/$B44),".")</f>
        <v>4.7930001600192024E-9</v>
      </c>
      <c r="BW44" s="101">
        <f>IFERROR(s_RadSpec!$E$15*(BW15/$B44),".")</f>
        <v>4.7930001600192024E-9</v>
      </c>
      <c r="BX44" s="101">
        <f>IFERROR(s_RadSpec!$E$15*(BX15/$B44),".")</f>
        <v>4.7930001600192024E-9</v>
      </c>
      <c r="BY44" s="101">
        <f>IFERROR(s_RadSpec!$E$15*(BY15/$B44),".")</f>
        <v>4.7930001600192024E-9</v>
      </c>
    </row>
    <row r="45" spans="1:77" x14ac:dyDescent="0.25">
      <c r="A45" s="95" t="s">
        <v>20</v>
      </c>
      <c r="B45" s="95" t="s">
        <v>1074</v>
      </c>
      <c r="C45" s="96">
        <f t="shared" si="28"/>
        <v>2.4326757000024322</v>
      </c>
      <c r="D45" s="96">
        <f t="shared" ref="D45:AA45" si="60">IFERROR(1/SUM(D46:D47),".")</f>
        <v>9.7307028000097286</v>
      </c>
      <c r="E45" s="96">
        <f t="shared" si="60"/>
        <v>9.7307028000097286</v>
      </c>
      <c r="F45" s="96">
        <f t="shared" si="60"/>
        <v>9.7307028000097286</v>
      </c>
      <c r="G45" s="96">
        <f t="shared" si="60"/>
        <v>9.7307028000097286</v>
      </c>
      <c r="H45" s="96">
        <f t="shared" si="60"/>
        <v>9.7307028000097286</v>
      </c>
      <c r="I45" s="96">
        <f t="shared" si="60"/>
        <v>9.7307028000097286</v>
      </c>
      <c r="J45" s="96">
        <f t="shared" si="60"/>
        <v>9.7307028000097286</v>
      </c>
      <c r="K45" s="96">
        <f t="shared" si="60"/>
        <v>9.7307028000097286</v>
      </c>
      <c r="L45" s="96">
        <f t="shared" si="60"/>
        <v>9.7307028000097286</v>
      </c>
      <c r="M45" s="96">
        <f t="shared" si="60"/>
        <v>9.7307028000097286</v>
      </c>
      <c r="N45" s="96">
        <f t="shared" si="60"/>
        <v>9.7307028000097286</v>
      </c>
      <c r="O45" s="96">
        <f t="shared" si="60"/>
        <v>9.7307028000097286</v>
      </c>
      <c r="P45" s="96">
        <f t="shared" si="60"/>
        <v>9.7307028000097286</v>
      </c>
      <c r="Q45" s="96">
        <f t="shared" si="60"/>
        <v>9.7307028000097286</v>
      </c>
      <c r="R45" s="96">
        <f t="shared" si="60"/>
        <v>9.7307028000097286</v>
      </c>
      <c r="S45" s="96">
        <f t="shared" si="60"/>
        <v>9.7307028000097286</v>
      </c>
      <c r="T45" s="96">
        <f t="shared" si="60"/>
        <v>9.7307028000097286</v>
      </c>
      <c r="U45" s="96">
        <f t="shared" si="60"/>
        <v>9.7307028000097286</v>
      </c>
      <c r="V45" s="96">
        <f t="shared" si="60"/>
        <v>9.7307028000097286</v>
      </c>
      <c r="W45" s="96">
        <f t="shared" si="60"/>
        <v>9.7307028000097286</v>
      </c>
      <c r="X45" s="96">
        <f t="shared" si="60"/>
        <v>9.7307028000097286</v>
      </c>
      <c r="Y45" s="96">
        <f t="shared" si="60"/>
        <v>9.7307028000097286</v>
      </c>
      <c r="Z45" s="96">
        <f t="shared" si="60"/>
        <v>9.7307028000097286</v>
      </c>
      <c r="AA45" s="96">
        <f t="shared" si="60"/>
        <v>9.7307028000097286</v>
      </c>
      <c r="AB45" s="96">
        <f t="shared" si="30"/>
        <v>2.4326757000024322</v>
      </c>
      <c r="AC45" s="96">
        <f t="shared" ref="AC45:AZ45" si="61">IFERROR(1/SUM(AC46:AC47),".")</f>
        <v>9.7307028000097286</v>
      </c>
      <c r="AD45" s="96">
        <f t="shared" si="61"/>
        <v>9.7307028000097286</v>
      </c>
      <c r="AE45" s="96">
        <f t="shared" si="61"/>
        <v>9.7307028000097286</v>
      </c>
      <c r="AF45" s="96">
        <f t="shared" si="61"/>
        <v>9.7307028000097286</v>
      </c>
      <c r="AG45" s="96">
        <f t="shared" si="61"/>
        <v>9.7307028000097286</v>
      </c>
      <c r="AH45" s="96">
        <f t="shared" si="61"/>
        <v>9.7307028000097286</v>
      </c>
      <c r="AI45" s="96">
        <f t="shared" si="61"/>
        <v>9.7307028000097286</v>
      </c>
      <c r="AJ45" s="96">
        <f t="shared" si="61"/>
        <v>9.7307028000097286</v>
      </c>
      <c r="AK45" s="96">
        <f t="shared" si="61"/>
        <v>9.7307028000097286</v>
      </c>
      <c r="AL45" s="96">
        <f t="shared" si="61"/>
        <v>9.7307028000097286</v>
      </c>
      <c r="AM45" s="96">
        <f t="shared" si="61"/>
        <v>9.7307028000097286</v>
      </c>
      <c r="AN45" s="96">
        <f t="shared" si="61"/>
        <v>9.7307028000097286</v>
      </c>
      <c r="AO45" s="96">
        <f t="shared" si="61"/>
        <v>9.7307028000097286</v>
      </c>
      <c r="AP45" s="96">
        <f t="shared" si="61"/>
        <v>9.7307028000097286</v>
      </c>
      <c r="AQ45" s="96">
        <f t="shared" si="61"/>
        <v>9.7307028000097286</v>
      </c>
      <c r="AR45" s="96">
        <f t="shared" si="61"/>
        <v>9.7307028000097286</v>
      </c>
      <c r="AS45" s="96">
        <f t="shared" si="61"/>
        <v>9.7307028000097286</v>
      </c>
      <c r="AT45" s="96">
        <f t="shared" si="61"/>
        <v>9.7307028000097286</v>
      </c>
      <c r="AU45" s="96">
        <f t="shared" si="61"/>
        <v>9.7307028000097286</v>
      </c>
      <c r="AV45" s="96">
        <f t="shared" si="61"/>
        <v>9.7307028000097286</v>
      </c>
      <c r="AW45" s="96">
        <f t="shared" si="61"/>
        <v>9.7307028000097286</v>
      </c>
      <c r="AX45" s="96">
        <f t="shared" si="61"/>
        <v>9.7307028000097286</v>
      </c>
      <c r="AY45" s="96">
        <f t="shared" si="61"/>
        <v>9.7307028000097286</v>
      </c>
      <c r="AZ45" s="96">
        <f t="shared" si="61"/>
        <v>9.7307028000097286</v>
      </c>
      <c r="BA45" s="97">
        <f>IFERROR(IF(SUM(BB46:BC47,BX46:BY47)&gt;0.01,1-EXP(-SUM(BB46:BC47,BX46:BY47)),SUM(BB46:BC47,BX46:BY47)),".")</f>
        <v>2.0553500000000002E-6</v>
      </c>
      <c r="BB45" s="97">
        <f>IFERROR(IF(SUM(BB46:BB47)&gt;0.01,1-EXP(-(SUM(BB46:BB47))),SUM(BB46:BB47)),".")</f>
        <v>5.1383750000000004E-7</v>
      </c>
      <c r="BC45" s="97">
        <f t="shared" ref="BC45:BW45" si="62">IFERROR(IF(SUM(BC46:BC47)&gt;0.01,1-EXP(-(SUM(BC46:BC47))),SUM(BC46:BC47)),".")</f>
        <v>5.1383750000000004E-7</v>
      </c>
      <c r="BD45" s="97">
        <f t="shared" si="62"/>
        <v>5.1383750000000004E-7</v>
      </c>
      <c r="BE45" s="97">
        <f t="shared" si="62"/>
        <v>5.1383750000000004E-7</v>
      </c>
      <c r="BF45" s="97">
        <f t="shared" si="62"/>
        <v>5.1383750000000004E-7</v>
      </c>
      <c r="BG45" s="97">
        <f t="shared" si="62"/>
        <v>5.1383750000000004E-7</v>
      </c>
      <c r="BH45" s="97">
        <f t="shared" si="62"/>
        <v>5.1383750000000004E-7</v>
      </c>
      <c r="BI45" s="97">
        <f t="shared" si="62"/>
        <v>5.1383750000000004E-7</v>
      </c>
      <c r="BJ45" s="97">
        <f t="shared" si="62"/>
        <v>5.1383750000000004E-7</v>
      </c>
      <c r="BK45" s="97">
        <f t="shared" si="62"/>
        <v>5.1383750000000004E-7</v>
      </c>
      <c r="BL45" s="97">
        <f t="shared" si="62"/>
        <v>5.1383750000000004E-7</v>
      </c>
      <c r="BM45" s="97">
        <f t="shared" si="62"/>
        <v>5.1383750000000004E-7</v>
      </c>
      <c r="BN45" s="97">
        <f t="shared" si="62"/>
        <v>5.1383750000000004E-7</v>
      </c>
      <c r="BO45" s="97">
        <f t="shared" si="62"/>
        <v>5.1383750000000004E-7</v>
      </c>
      <c r="BP45" s="97">
        <f t="shared" si="62"/>
        <v>5.1383750000000004E-7</v>
      </c>
      <c r="BQ45" s="97">
        <f t="shared" si="62"/>
        <v>5.1383750000000004E-7</v>
      </c>
      <c r="BR45" s="97">
        <f t="shared" si="62"/>
        <v>5.1383750000000004E-7</v>
      </c>
      <c r="BS45" s="97">
        <f t="shared" si="62"/>
        <v>5.1383750000000004E-7</v>
      </c>
      <c r="BT45" s="97">
        <f t="shared" si="62"/>
        <v>5.1383750000000004E-7</v>
      </c>
      <c r="BU45" s="97">
        <f t="shared" si="62"/>
        <v>5.1383750000000004E-7</v>
      </c>
      <c r="BV45" s="97">
        <f t="shared" si="62"/>
        <v>5.1383750000000004E-7</v>
      </c>
      <c r="BW45" s="97">
        <f t="shared" si="62"/>
        <v>5.1383750000000004E-7</v>
      </c>
      <c r="BX45" s="97">
        <f>IFERROR(IF(SUM(BX46:BX47)&gt;0.01,1-EXP(-(SUM(BX46:BX47))),SUM(BX46:BX47)),".")</f>
        <v>5.1383750000000004E-7</v>
      </c>
      <c r="BY45" s="97">
        <f>IFERROR(IF(SUM(BY46:BY47)&gt;0.01,1-EXP(-(SUM(BY46:BY47))),SUM(BY46:BY47)),".")</f>
        <v>5.1383750000000004E-7</v>
      </c>
    </row>
    <row r="46" spans="1:77" x14ac:dyDescent="0.25">
      <c r="A46" s="99" t="s">
        <v>1101</v>
      </c>
      <c r="B46" s="90">
        <v>1</v>
      </c>
      <c r="C46" s="100">
        <f t="shared" si="28"/>
        <v>2.5691875000000006E-2</v>
      </c>
      <c r="D46" s="100">
        <f t="shared" ref="D46:AA46" si="63">IFERROR($B46/D10,0)</f>
        <v>0.10276750000000003</v>
      </c>
      <c r="E46" s="100">
        <f t="shared" si="63"/>
        <v>0.10276750000000003</v>
      </c>
      <c r="F46" s="100">
        <f t="shared" si="63"/>
        <v>0.10276750000000003</v>
      </c>
      <c r="G46" s="100">
        <f t="shared" si="63"/>
        <v>0.10276750000000003</v>
      </c>
      <c r="H46" s="100">
        <f t="shared" si="63"/>
        <v>0.10276750000000003</v>
      </c>
      <c r="I46" s="100">
        <f t="shared" si="63"/>
        <v>0.10276750000000003</v>
      </c>
      <c r="J46" s="100">
        <f t="shared" si="63"/>
        <v>0.10276750000000003</v>
      </c>
      <c r="K46" s="100">
        <f t="shared" si="63"/>
        <v>0.10276750000000003</v>
      </c>
      <c r="L46" s="100">
        <f t="shared" si="63"/>
        <v>0.10276750000000003</v>
      </c>
      <c r="M46" s="100">
        <f t="shared" si="63"/>
        <v>0.10276750000000003</v>
      </c>
      <c r="N46" s="100">
        <f t="shared" si="63"/>
        <v>0.10276750000000003</v>
      </c>
      <c r="O46" s="100">
        <f t="shared" si="63"/>
        <v>0.10276750000000003</v>
      </c>
      <c r="P46" s="100">
        <f t="shared" si="63"/>
        <v>0.10276750000000003</v>
      </c>
      <c r="Q46" s="100">
        <f t="shared" si="63"/>
        <v>0.10276750000000003</v>
      </c>
      <c r="R46" s="100">
        <f t="shared" si="63"/>
        <v>0.10276750000000003</v>
      </c>
      <c r="S46" s="100">
        <f t="shared" si="63"/>
        <v>0.10276750000000003</v>
      </c>
      <c r="T46" s="100">
        <f t="shared" si="63"/>
        <v>0.10276750000000003</v>
      </c>
      <c r="U46" s="100">
        <f t="shared" si="63"/>
        <v>0.10276750000000003</v>
      </c>
      <c r="V46" s="100">
        <f t="shared" si="63"/>
        <v>0.10276750000000003</v>
      </c>
      <c r="W46" s="100">
        <f t="shared" si="63"/>
        <v>0.10276750000000003</v>
      </c>
      <c r="X46" s="100">
        <f t="shared" si="63"/>
        <v>0.10276750000000003</v>
      </c>
      <c r="Y46" s="100">
        <f t="shared" si="63"/>
        <v>0.10276750000000003</v>
      </c>
      <c r="Z46" s="100">
        <f t="shared" si="63"/>
        <v>0.10276750000000003</v>
      </c>
      <c r="AA46" s="100">
        <f t="shared" si="63"/>
        <v>0.10276750000000003</v>
      </c>
      <c r="AB46" s="100">
        <f t="shared" si="30"/>
        <v>2.5691875000000006E-2</v>
      </c>
      <c r="AC46" s="100">
        <f t="shared" ref="AC46:AZ46" si="64">IFERROR($B46/AC10,0)</f>
        <v>0.10276750000000003</v>
      </c>
      <c r="AD46" s="100">
        <f t="shared" si="64"/>
        <v>0.10276750000000003</v>
      </c>
      <c r="AE46" s="100">
        <f t="shared" si="64"/>
        <v>0.10276750000000003</v>
      </c>
      <c r="AF46" s="100">
        <f t="shared" si="64"/>
        <v>0.10276750000000003</v>
      </c>
      <c r="AG46" s="100">
        <f t="shared" si="64"/>
        <v>0.10276750000000003</v>
      </c>
      <c r="AH46" s="100">
        <f t="shared" si="64"/>
        <v>0.10276750000000003</v>
      </c>
      <c r="AI46" s="100">
        <f t="shared" si="64"/>
        <v>0.10276750000000003</v>
      </c>
      <c r="AJ46" s="100">
        <f t="shared" si="64"/>
        <v>0.10276750000000003</v>
      </c>
      <c r="AK46" s="100">
        <f t="shared" si="64"/>
        <v>0.10276750000000003</v>
      </c>
      <c r="AL46" s="100">
        <f t="shared" si="64"/>
        <v>0.10276750000000003</v>
      </c>
      <c r="AM46" s="100">
        <f t="shared" si="64"/>
        <v>0.10276750000000003</v>
      </c>
      <c r="AN46" s="100">
        <f t="shared" si="64"/>
        <v>0.10276750000000003</v>
      </c>
      <c r="AO46" s="100">
        <f t="shared" si="64"/>
        <v>0.10276750000000003</v>
      </c>
      <c r="AP46" s="100">
        <f t="shared" si="64"/>
        <v>0.10276750000000003</v>
      </c>
      <c r="AQ46" s="100">
        <f t="shared" si="64"/>
        <v>0.10276750000000003</v>
      </c>
      <c r="AR46" s="100">
        <f t="shared" si="64"/>
        <v>0.10276750000000003</v>
      </c>
      <c r="AS46" s="100">
        <f t="shared" si="64"/>
        <v>0.10276750000000003</v>
      </c>
      <c r="AT46" s="100">
        <f t="shared" si="64"/>
        <v>0.10276750000000003</v>
      </c>
      <c r="AU46" s="100">
        <f t="shared" si="64"/>
        <v>0.10276750000000003</v>
      </c>
      <c r="AV46" s="100">
        <f t="shared" si="64"/>
        <v>0.10276750000000003</v>
      </c>
      <c r="AW46" s="100">
        <f t="shared" si="64"/>
        <v>0.10276750000000003</v>
      </c>
      <c r="AX46" s="100">
        <f t="shared" si="64"/>
        <v>0.10276750000000003</v>
      </c>
      <c r="AY46" s="100">
        <f t="shared" si="64"/>
        <v>0.10276750000000003</v>
      </c>
      <c r="AZ46" s="100">
        <f t="shared" si="64"/>
        <v>0.10276750000000003</v>
      </c>
      <c r="BA46" s="101">
        <f t="shared" ref="BA46:BA47" si="65">SUM(BB46:BC46,BX46:BY46)</f>
        <v>2.0553500000000002E-6</v>
      </c>
      <c r="BB46" s="101">
        <f>IFERROR(s_RadSpec!$E$10*(BB10/$B46),".")</f>
        <v>5.1383750000000004E-7</v>
      </c>
      <c r="BC46" s="101">
        <f>IFERROR(s_RadSpec!$E$10*(BC10/$B46),".")</f>
        <v>5.1383750000000004E-7</v>
      </c>
      <c r="BD46" s="101">
        <f>IFERROR(s_RadSpec!$E$10*(BE10/$B46),".")</f>
        <v>5.1383750000000004E-7</v>
      </c>
      <c r="BE46" s="101">
        <f>IFERROR(s_RadSpec!$E$10*(BF10/$B46),".")</f>
        <v>5.1383750000000004E-7</v>
      </c>
      <c r="BF46" s="101">
        <f>IFERROR(s_RadSpec!$E$10*(BG10/$B46),".")</f>
        <v>5.1383750000000004E-7</v>
      </c>
      <c r="BG46" s="101">
        <f>IFERROR(s_RadSpec!$E$10*(BH10/$B46),".")</f>
        <v>5.1383750000000004E-7</v>
      </c>
      <c r="BH46" s="101">
        <f>IFERROR(s_RadSpec!$E$10*(BI10/$B46),".")</f>
        <v>5.1383750000000004E-7</v>
      </c>
      <c r="BI46" s="101">
        <f>IFERROR(s_RadSpec!$E$10*(BJ10/$B46),".")</f>
        <v>5.1383750000000004E-7</v>
      </c>
      <c r="BJ46" s="101">
        <f>IFERROR(s_RadSpec!$E$10*(BK10/$B46),".")</f>
        <v>5.1383750000000004E-7</v>
      </c>
      <c r="BK46" s="101">
        <f>IFERROR(s_RadSpec!$E$10*(BL10/$B46),".")</f>
        <v>5.1383750000000004E-7</v>
      </c>
      <c r="BL46" s="101">
        <f>IFERROR(s_RadSpec!$E$10*(BM10/$B46),".")</f>
        <v>5.1383750000000004E-7</v>
      </c>
      <c r="BM46" s="101">
        <f>IFERROR(s_RadSpec!$E$10*(BN10/$B46),".")</f>
        <v>5.1383750000000004E-7</v>
      </c>
      <c r="BN46" s="101">
        <f>IFERROR(s_RadSpec!$E$10*(BO10/$B46),".")</f>
        <v>5.1383750000000004E-7</v>
      </c>
      <c r="BO46" s="101">
        <f>IFERROR(s_RadSpec!$E$10*(BP10/$B46),".")</f>
        <v>5.1383750000000004E-7</v>
      </c>
      <c r="BP46" s="101">
        <f>IFERROR(s_RadSpec!$E$10*(BQ10/$B46),".")</f>
        <v>5.1383750000000004E-7</v>
      </c>
      <c r="BQ46" s="101">
        <f>IFERROR(s_RadSpec!$E$10*(BR10/$B46),".")</f>
        <v>5.1383750000000004E-7</v>
      </c>
      <c r="BR46" s="101">
        <f>IFERROR(s_RadSpec!$E$10*(BS10/$B46),".")</f>
        <v>5.1383750000000004E-7</v>
      </c>
      <c r="BS46" s="101">
        <f>IFERROR(s_RadSpec!$E$10*(BT10/$B46),".")</f>
        <v>5.1383750000000004E-7</v>
      </c>
      <c r="BT46" s="101">
        <f>IFERROR(s_RadSpec!$E$10*(BU10/$B46),".")</f>
        <v>5.1383750000000004E-7</v>
      </c>
      <c r="BU46" s="101">
        <f>IFERROR(s_RadSpec!$E$10*(BV10/$B46),".")</f>
        <v>5.1383750000000004E-7</v>
      </c>
      <c r="BV46" s="101">
        <f>IFERROR(s_RadSpec!$E$10*(BW10/$B46),".")</f>
        <v>5.1383750000000004E-7</v>
      </c>
      <c r="BW46" s="101">
        <f>IFERROR(s_RadSpec!$E$10*(BX10/$B46),".")</f>
        <v>5.1383750000000004E-7</v>
      </c>
      <c r="BX46" s="101">
        <f>IFERROR(s_RadSpec!$E$10*(BY10/$B46),".")</f>
        <v>5.1383750000000004E-7</v>
      </c>
      <c r="BY46" s="101">
        <f>IFERROR(s_RadSpec!$E$10*(BX10/$B46),".")</f>
        <v>5.1383750000000004E-7</v>
      </c>
    </row>
    <row r="47" spans="1:77" x14ac:dyDescent="0.25">
      <c r="A47" s="99" t="s">
        <v>1075</v>
      </c>
      <c r="B47" s="103">
        <v>0.94399</v>
      </c>
      <c r="C47" s="100" t="str">
        <f t="shared" si="28"/>
        <v>.</v>
      </c>
      <c r="D47" s="100">
        <f t="shared" ref="D47:AA47" si="66">IFERROR($B47/D6,0)</f>
        <v>0</v>
      </c>
      <c r="E47" s="100">
        <f t="shared" si="66"/>
        <v>0</v>
      </c>
      <c r="F47" s="100">
        <f t="shared" si="66"/>
        <v>0</v>
      </c>
      <c r="G47" s="100">
        <f t="shared" si="66"/>
        <v>0</v>
      </c>
      <c r="H47" s="100">
        <f t="shared" si="66"/>
        <v>0</v>
      </c>
      <c r="I47" s="100">
        <f t="shared" si="66"/>
        <v>0</v>
      </c>
      <c r="J47" s="100">
        <f t="shared" si="66"/>
        <v>0</v>
      </c>
      <c r="K47" s="100">
        <f t="shared" si="66"/>
        <v>0</v>
      </c>
      <c r="L47" s="100">
        <f t="shared" si="66"/>
        <v>0</v>
      </c>
      <c r="M47" s="100">
        <f t="shared" si="66"/>
        <v>0</v>
      </c>
      <c r="N47" s="100">
        <f t="shared" si="66"/>
        <v>0</v>
      </c>
      <c r="O47" s="100">
        <f t="shared" si="66"/>
        <v>0</v>
      </c>
      <c r="P47" s="100">
        <f t="shared" si="66"/>
        <v>0</v>
      </c>
      <c r="Q47" s="100">
        <f t="shared" si="66"/>
        <v>0</v>
      </c>
      <c r="R47" s="100">
        <f t="shared" si="66"/>
        <v>0</v>
      </c>
      <c r="S47" s="100">
        <f t="shared" si="66"/>
        <v>0</v>
      </c>
      <c r="T47" s="100">
        <f t="shared" si="66"/>
        <v>0</v>
      </c>
      <c r="U47" s="100">
        <f t="shared" si="66"/>
        <v>0</v>
      </c>
      <c r="V47" s="100">
        <f t="shared" si="66"/>
        <v>0</v>
      </c>
      <c r="W47" s="100">
        <f t="shared" si="66"/>
        <v>0</v>
      </c>
      <c r="X47" s="100">
        <f t="shared" si="66"/>
        <v>0</v>
      </c>
      <c r="Y47" s="100">
        <f t="shared" si="66"/>
        <v>0</v>
      </c>
      <c r="Z47" s="100">
        <f t="shared" si="66"/>
        <v>0</v>
      </c>
      <c r="AA47" s="100">
        <f t="shared" si="66"/>
        <v>0</v>
      </c>
      <c r="AB47" s="100" t="str">
        <f t="shared" si="30"/>
        <v>.</v>
      </c>
      <c r="AC47" s="100">
        <f t="shared" ref="AC47:AZ47" si="67">IFERROR($B47/AC6,0)</f>
        <v>0</v>
      </c>
      <c r="AD47" s="100">
        <f t="shared" si="67"/>
        <v>0</v>
      </c>
      <c r="AE47" s="100">
        <f t="shared" si="67"/>
        <v>0</v>
      </c>
      <c r="AF47" s="100">
        <f t="shared" si="67"/>
        <v>0</v>
      </c>
      <c r="AG47" s="100">
        <f t="shared" si="67"/>
        <v>0</v>
      </c>
      <c r="AH47" s="100">
        <f t="shared" si="67"/>
        <v>0</v>
      </c>
      <c r="AI47" s="100">
        <f t="shared" si="67"/>
        <v>0</v>
      </c>
      <c r="AJ47" s="100">
        <f t="shared" si="67"/>
        <v>0</v>
      </c>
      <c r="AK47" s="100">
        <f t="shared" si="67"/>
        <v>0</v>
      </c>
      <c r="AL47" s="100">
        <f t="shared" si="67"/>
        <v>0</v>
      </c>
      <c r="AM47" s="100">
        <f t="shared" si="67"/>
        <v>0</v>
      </c>
      <c r="AN47" s="100">
        <f t="shared" si="67"/>
        <v>0</v>
      </c>
      <c r="AO47" s="100">
        <f t="shared" si="67"/>
        <v>0</v>
      </c>
      <c r="AP47" s="100">
        <f t="shared" si="67"/>
        <v>0</v>
      </c>
      <c r="AQ47" s="100">
        <f t="shared" si="67"/>
        <v>0</v>
      </c>
      <c r="AR47" s="100">
        <f t="shared" si="67"/>
        <v>0</v>
      </c>
      <c r="AS47" s="100">
        <f t="shared" si="67"/>
        <v>0</v>
      </c>
      <c r="AT47" s="100">
        <f t="shared" si="67"/>
        <v>0</v>
      </c>
      <c r="AU47" s="100">
        <f t="shared" si="67"/>
        <v>0</v>
      </c>
      <c r="AV47" s="100">
        <f t="shared" si="67"/>
        <v>0</v>
      </c>
      <c r="AW47" s="100">
        <f t="shared" si="67"/>
        <v>0</v>
      </c>
      <c r="AX47" s="100">
        <f t="shared" si="67"/>
        <v>0</v>
      </c>
      <c r="AY47" s="100">
        <f t="shared" si="67"/>
        <v>0</v>
      </c>
      <c r="AZ47" s="100">
        <f t="shared" si="67"/>
        <v>0</v>
      </c>
      <c r="BA47" s="101">
        <f t="shared" si="65"/>
        <v>0</v>
      </c>
      <c r="BB47" s="101">
        <f>IFERROR(s_RadSpec!$E$6*(BB6/$B47),".")</f>
        <v>0</v>
      </c>
      <c r="BC47" s="101">
        <f>IFERROR(s_RadSpec!$E$6*(BC6/$B47),".")</f>
        <v>0</v>
      </c>
      <c r="BD47" s="101">
        <f>IFERROR(s_RadSpec!$E$6*(BE6/$B47),".")</f>
        <v>0</v>
      </c>
      <c r="BE47" s="101">
        <f>IFERROR(s_RadSpec!$E$6*(BF6/$B47),".")</f>
        <v>0</v>
      </c>
      <c r="BF47" s="101">
        <f>IFERROR(s_RadSpec!$E$6*(BG6/$B47),".")</f>
        <v>0</v>
      </c>
      <c r="BG47" s="101">
        <f>IFERROR(s_RadSpec!$E$6*(BH6/$B47),".")</f>
        <v>0</v>
      </c>
      <c r="BH47" s="101">
        <f>IFERROR(s_RadSpec!$E$6*(BI6/$B47),".")</f>
        <v>0</v>
      </c>
      <c r="BI47" s="101">
        <f>IFERROR(s_RadSpec!$E$6*(BJ6/$B47),".")</f>
        <v>0</v>
      </c>
      <c r="BJ47" s="101">
        <f>IFERROR(s_RadSpec!$E$6*(BK6/$B47),".")</f>
        <v>0</v>
      </c>
      <c r="BK47" s="101">
        <f>IFERROR(s_RadSpec!$E$6*(BL6/$B47),".")</f>
        <v>0</v>
      </c>
      <c r="BL47" s="101">
        <f>IFERROR(s_RadSpec!$E$6*(BM6/$B47),".")</f>
        <v>0</v>
      </c>
      <c r="BM47" s="101">
        <f>IFERROR(s_RadSpec!$E$6*(BN6/$B47),".")</f>
        <v>0</v>
      </c>
      <c r="BN47" s="101">
        <f>IFERROR(s_RadSpec!$E$6*(BO6/$B47),".")</f>
        <v>0</v>
      </c>
      <c r="BO47" s="101">
        <f>IFERROR(s_RadSpec!$E$6*(BP6/$B47),".")</f>
        <v>0</v>
      </c>
      <c r="BP47" s="101">
        <f>IFERROR(s_RadSpec!$E$6*(BQ6/$B47),".")</f>
        <v>0</v>
      </c>
      <c r="BQ47" s="101">
        <f>IFERROR(s_RadSpec!$E$6*(BR6/$B47),".")</f>
        <v>0</v>
      </c>
      <c r="BR47" s="101">
        <f>IFERROR(s_RadSpec!$E$6*(BS6/$B47),".")</f>
        <v>0</v>
      </c>
      <c r="BS47" s="101">
        <f>IFERROR(s_RadSpec!$E$6*(BT6/$B47),".")</f>
        <v>0</v>
      </c>
      <c r="BT47" s="101">
        <f>IFERROR(s_RadSpec!$E$6*(BU6/$B47),".")</f>
        <v>0</v>
      </c>
      <c r="BU47" s="101">
        <f>IFERROR(s_RadSpec!$E$6*(BV6/$B47),".")</f>
        <v>0</v>
      </c>
      <c r="BV47" s="101">
        <f>IFERROR(s_RadSpec!$E$6*(BW6/$B47),".")</f>
        <v>0</v>
      </c>
      <c r="BW47" s="101">
        <f>IFERROR(s_RadSpec!$E$6*(BX6/$B47),".")</f>
        <v>0</v>
      </c>
      <c r="BX47" s="101">
        <f>IFERROR(s_RadSpec!$E$6*(BY6/$B47),".")</f>
        <v>0</v>
      </c>
      <c r="BY47" s="101">
        <f>IFERROR(s_RadSpec!$E$6*(BX6/$B47),".")</f>
        <v>0</v>
      </c>
    </row>
    <row r="48" spans="1:77" x14ac:dyDescent="0.25">
      <c r="A48" s="95" t="s">
        <v>33</v>
      </c>
      <c r="B48" s="95" t="s">
        <v>1074</v>
      </c>
      <c r="C48" s="96">
        <f t="shared" si="28"/>
        <v>2.296859286255314E-2</v>
      </c>
      <c r="D48" s="96">
        <f t="shared" ref="D48:AA48" si="68">IFERROR(1/SUM(D49:D62),0)</f>
        <v>9.1874371450212558E-2</v>
      </c>
      <c r="E48" s="96">
        <f t="shared" si="68"/>
        <v>9.1874371450212558E-2</v>
      </c>
      <c r="F48" s="96">
        <f t="shared" si="68"/>
        <v>9.1874371450212558E-2</v>
      </c>
      <c r="G48" s="96">
        <f t="shared" si="68"/>
        <v>9.1874371450212558E-2</v>
      </c>
      <c r="H48" s="96">
        <f t="shared" si="68"/>
        <v>9.1874371450212558E-2</v>
      </c>
      <c r="I48" s="96">
        <f t="shared" si="68"/>
        <v>9.1874371450212558E-2</v>
      </c>
      <c r="J48" s="96">
        <f t="shared" si="68"/>
        <v>9.1874371450212558E-2</v>
      </c>
      <c r="K48" s="96">
        <f t="shared" si="68"/>
        <v>9.1874371450212558E-2</v>
      </c>
      <c r="L48" s="96">
        <f t="shared" si="68"/>
        <v>9.1874371450212558E-2</v>
      </c>
      <c r="M48" s="96">
        <f t="shared" si="68"/>
        <v>9.1874371450212558E-2</v>
      </c>
      <c r="N48" s="96">
        <f t="shared" si="68"/>
        <v>9.1874371450212558E-2</v>
      </c>
      <c r="O48" s="96">
        <f t="shared" si="68"/>
        <v>9.1874371450212558E-2</v>
      </c>
      <c r="P48" s="96">
        <f t="shared" si="68"/>
        <v>9.1874371450212558E-2</v>
      </c>
      <c r="Q48" s="96">
        <f t="shared" si="68"/>
        <v>9.1874371450212558E-2</v>
      </c>
      <c r="R48" s="96">
        <f t="shared" si="68"/>
        <v>9.1874371450212558E-2</v>
      </c>
      <c r="S48" s="96">
        <f t="shared" si="68"/>
        <v>9.1874371450212558E-2</v>
      </c>
      <c r="T48" s="96">
        <f t="shared" si="68"/>
        <v>9.1874371450212558E-2</v>
      </c>
      <c r="U48" s="96">
        <f t="shared" si="68"/>
        <v>9.1874371450212558E-2</v>
      </c>
      <c r="V48" s="96">
        <f t="shared" si="68"/>
        <v>9.1874371450212558E-2</v>
      </c>
      <c r="W48" s="96">
        <f t="shared" si="68"/>
        <v>9.1874371450212558E-2</v>
      </c>
      <c r="X48" s="96">
        <f t="shared" si="68"/>
        <v>9.1874371450212558E-2</v>
      </c>
      <c r="Y48" s="96">
        <f t="shared" si="68"/>
        <v>9.1874371450212558E-2</v>
      </c>
      <c r="Z48" s="96">
        <f t="shared" si="68"/>
        <v>9.1874371450212558E-2</v>
      </c>
      <c r="AA48" s="96">
        <f t="shared" si="68"/>
        <v>9.1874371450212558E-2</v>
      </c>
      <c r="AB48" s="96">
        <f t="shared" si="30"/>
        <v>2.296859286255314E-2</v>
      </c>
      <c r="AC48" s="96">
        <f t="shared" ref="AC48:AZ48" si="69">IFERROR(1/SUM(AC49:AC62),0)</f>
        <v>9.1874371450212558E-2</v>
      </c>
      <c r="AD48" s="96">
        <f t="shared" si="69"/>
        <v>9.1874371450212558E-2</v>
      </c>
      <c r="AE48" s="96">
        <f t="shared" si="69"/>
        <v>9.1874371450212558E-2</v>
      </c>
      <c r="AF48" s="96">
        <f t="shared" si="69"/>
        <v>9.1874371450212558E-2</v>
      </c>
      <c r="AG48" s="96">
        <f t="shared" si="69"/>
        <v>9.1874371450212558E-2</v>
      </c>
      <c r="AH48" s="96">
        <f t="shared" si="69"/>
        <v>9.1874371450212558E-2</v>
      </c>
      <c r="AI48" s="96">
        <f t="shared" si="69"/>
        <v>9.1874371450212558E-2</v>
      </c>
      <c r="AJ48" s="96">
        <f t="shared" si="69"/>
        <v>9.1874371450212558E-2</v>
      </c>
      <c r="AK48" s="96">
        <f t="shared" si="69"/>
        <v>9.1874371450212558E-2</v>
      </c>
      <c r="AL48" s="96">
        <f t="shared" si="69"/>
        <v>9.1874371450212558E-2</v>
      </c>
      <c r="AM48" s="96">
        <f t="shared" si="69"/>
        <v>9.1874371450212558E-2</v>
      </c>
      <c r="AN48" s="96">
        <f t="shared" si="69"/>
        <v>9.1874371450212558E-2</v>
      </c>
      <c r="AO48" s="96">
        <f t="shared" si="69"/>
        <v>9.1874371450212558E-2</v>
      </c>
      <c r="AP48" s="96">
        <f t="shared" si="69"/>
        <v>9.1874371450212558E-2</v>
      </c>
      <c r="AQ48" s="96">
        <f t="shared" si="69"/>
        <v>9.1874371450212558E-2</v>
      </c>
      <c r="AR48" s="96">
        <f t="shared" si="69"/>
        <v>9.1874371450212558E-2</v>
      </c>
      <c r="AS48" s="96">
        <f t="shared" si="69"/>
        <v>9.1874371450212558E-2</v>
      </c>
      <c r="AT48" s="96">
        <f t="shared" si="69"/>
        <v>9.1874371450212558E-2</v>
      </c>
      <c r="AU48" s="96">
        <f t="shared" si="69"/>
        <v>9.1874371450212558E-2</v>
      </c>
      <c r="AV48" s="96">
        <f t="shared" si="69"/>
        <v>9.1874371450212558E-2</v>
      </c>
      <c r="AW48" s="96">
        <f t="shared" si="69"/>
        <v>9.1874371450212558E-2</v>
      </c>
      <c r="AX48" s="96">
        <f t="shared" si="69"/>
        <v>9.1874371450212558E-2</v>
      </c>
      <c r="AY48" s="96">
        <f t="shared" si="69"/>
        <v>9.1874371450212558E-2</v>
      </c>
      <c r="AZ48" s="96">
        <f t="shared" si="69"/>
        <v>9.1874371450212558E-2</v>
      </c>
      <c r="BA48" s="97">
        <f>IFERROR(IF(SUM(BB49:BC62,BX49:BY62)&gt;0.01,1-EXP(-SUM(BB49:BC62,BX49:BY62)),SUM(BB49:BC62,BX49:BY62)),".")</f>
        <v>2.1768857478568477E-4</v>
      </c>
      <c r="BB48" s="97">
        <f>IFERROR(IF(SUM(BB49:BB62)&gt;0.01,1-EXP(-(SUM(BB49:BB62))),SUM(BB49:BB62)),".")</f>
        <v>5.4422143696421192E-5</v>
      </c>
      <c r="BC48" s="97">
        <f t="shared" ref="BC48:BW48" si="70">IFERROR(IF(SUM(BC49:BC62)&gt;0.01,1-EXP(-(SUM(BC49:BC62))),SUM(BC49:BC62)),".")</f>
        <v>5.4422143696421192E-5</v>
      </c>
      <c r="BD48" s="97">
        <f t="shared" si="70"/>
        <v>5.4422143696421192E-5</v>
      </c>
      <c r="BE48" s="97">
        <f t="shared" si="70"/>
        <v>5.4422143696421192E-5</v>
      </c>
      <c r="BF48" s="97">
        <f t="shared" si="70"/>
        <v>5.4422143696421192E-5</v>
      </c>
      <c r="BG48" s="97">
        <f t="shared" si="70"/>
        <v>5.4422143696421192E-5</v>
      </c>
      <c r="BH48" s="97">
        <f t="shared" si="70"/>
        <v>5.4422143696421192E-5</v>
      </c>
      <c r="BI48" s="97">
        <f t="shared" si="70"/>
        <v>5.4422143696421192E-5</v>
      </c>
      <c r="BJ48" s="97">
        <f t="shared" si="70"/>
        <v>5.4422143696421192E-5</v>
      </c>
      <c r="BK48" s="97">
        <f t="shared" si="70"/>
        <v>5.4422143696421192E-5</v>
      </c>
      <c r="BL48" s="97">
        <f t="shared" si="70"/>
        <v>5.4422143696421192E-5</v>
      </c>
      <c r="BM48" s="97">
        <f t="shared" si="70"/>
        <v>5.4422143696421192E-5</v>
      </c>
      <c r="BN48" s="97">
        <f t="shared" si="70"/>
        <v>5.4422143696421192E-5</v>
      </c>
      <c r="BO48" s="97">
        <f t="shared" si="70"/>
        <v>5.4422143696421192E-5</v>
      </c>
      <c r="BP48" s="97">
        <f t="shared" si="70"/>
        <v>5.4422143696421192E-5</v>
      </c>
      <c r="BQ48" s="97">
        <f t="shared" si="70"/>
        <v>5.4422143696421192E-5</v>
      </c>
      <c r="BR48" s="97">
        <f t="shared" si="70"/>
        <v>5.4422143696421192E-5</v>
      </c>
      <c r="BS48" s="97">
        <f t="shared" si="70"/>
        <v>5.4422143696421192E-5</v>
      </c>
      <c r="BT48" s="97">
        <f t="shared" si="70"/>
        <v>5.4422143696421192E-5</v>
      </c>
      <c r="BU48" s="97">
        <f t="shared" si="70"/>
        <v>5.4422143696421192E-5</v>
      </c>
      <c r="BV48" s="97">
        <f t="shared" si="70"/>
        <v>5.4422143696421192E-5</v>
      </c>
      <c r="BW48" s="97">
        <f t="shared" si="70"/>
        <v>5.4422143696421192E-5</v>
      </c>
      <c r="BX48" s="97">
        <f>IFERROR(IF(SUM(BX49:BX62)&gt;0.01,1-EXP(-(SUM(BX49:BX62))),SUM(BX49:BX62)),".")</f>
        <v>5.4422143696421192E-5</v>
      </c>
      <c r="BY48" s="97">
        <f>IFERROR(IF(SUM(BY49:BY62)&gt;0.01,1-EXP(-(SUM(BY49:BY62))),SUM(BY49:BY62)),".")</f>
        <v>5.4422143696421192E-5</v>
      </c>
    </row>
    <row r="49" spans="1:77" x14ac:dyDescent="0.25">
      <c r="A49" s="99" t="s">
        <v>1103</v>
      </c>
      <c r="B49" s="90">
        <v>1</v>
      </c>
      <c r="C49" s="100">
        <f t="shared" si="28"/>
        <v>0.35358125000000001</v>
      </c>
      <c r="D49" s="100">
        <f t="shared" ref="D49:AA49" si="71">IFERROR($B49/D23,0)</f>
        <v>1.4143250000000001</v>
      </c>
      <c r="E49" s="100">
        <f t="shared" si="71"/>
        <v>1.4143250000000001</v>
      </c>
      <c r="F49" s="100">
        <f t="shared" si="71"/>
        <v>1.4143250000000001</v>
      </c>
      <c r="G49" s="100">
        <f t="shared" si="71"/>
        <v>1.4143250000000001</v>
      </c>
      <c r="H49" s="100">
        <f t="shared" si="71"/>
        <v>1.4143250000000001</v>
      </c>
      <c r="I49" s="100">
        <f t="shared" si="71"/>
        <v>1.4143250000000001</v>
      </c>
      <c r="J49" s="100">
        <f t="shared" si="71"/>
        <v>1.4143250000000001</v>
      </c>
      <c r="K49" s="100">
        <f t="shared" si="71"/>
        <v>1.4143250000000001</v>
      </c>
      <c r="L49" s="100">
        <f t="shared" si="71"/>
        <v>1.4143250000000001</v>
      </c>
      <c r="M49" s="100">
        <f t="shared" si="71"/>
        <v>1.4143250000000001</v>
      </c>
      <c r="N49" s="100">
        <f t="shared" si="71"/>
        <v>1.4143250000000001</v>
      </c>
      <c r="O49" s="100">
        <f t="shared" si="71"/>
        <v>1.4143250000000001</v>
      </c>
      <c r="P49" s="100">
        <f t="shared" si="71"/>
        <v>1.4143250000000001</v>
      </c>
      <c r="Q49" s="100">
        <f t="shared" si="71"/>
        <v>1.4143250000000001</v>
      </c>
      <c r="R49" s="100">
        <f t="shared" si="71"/>
        <v>1.4143250000000001</v>
      </c>
      <c r="S49" s="100">
        <f t="shared" si="71"/>
        <v>1.4143250000000001</v>
      </c>
      <c r="T49" s="100">
        <f t="shared" si="71"/>
        <v>1.4143250000000001</v>
      </c>
      <c r="U49" s="100">
        <f t="shared" si="71"/>
        <v>1.4143250000000001</v>
      </c>
      <c r="V49" s="100">
        <f t="shared" si="71"/>
        <v>1.4143250000000001</v>
      </c>
      <c r="W49" s="100">
        <f t="shared" si="71"/>
        <v>1.4143250000000001</v>
      </c>
      <c r="X49" s="100">
        <f t="shared" si="71"/>
        <v>1.4143250000000001</v>
      </c>
      <c r="Y49" s="100">
        <f t="shared" si="71"/>
        <v>1.4143250000000001</v>
      </c>
      <c r="Z49" s="100">
        <f t="shared" si="71"/>
        <v>1.4143250000000001</v>
      </c>
      <c r="AA49" s="100">
        <f t="shared" si="71"/>
        <v>1.4143250000000001</v>
      </c>
      <c r="AB49" s="100">
        <f t="shared" si="30"/>
        <v>0.35358125000000001</v>
      </c>
      <c r="AC49" s="100">
        <f t="shared" ref="AC49:AZ49" si="72">IFERROR($B49/AC23,0)</f>
        <v>1.4143250000000001</v>
      </c>
      <c r="AD49" s="100">
        <f t="shared" si="72"/>
        <v>1.4143250000000001</v>
      </c>
      <c r="AE49" s="100">
        <f t="shared" si="72"/>
        <v>1.4143250000000001</v>
      </c>
      <c r="AF49" s="100">
        <f t="shared" si="72"/>
        <v>1.4143250000000001</v>
      </c>
      <c r="AG49" s="100">
        <f t="shared" si="72"/>
        <v>1.4143250000000001</v>
      </c>
      <c r="AH49" s="100">
        <f t="shared" si="72"/>
        <v>1.4143250000000001</v>
      </c>
      <c r="AI49" s="100">
        <f t="shared" si="72"/>
        <v>1.4143250000000001</v>
      </c>
      <c r="AJ49" s="100">
        <f t="shared" si="72"/>
        <v>1.4143250000000001</v>
      </c>
      <c r="AK49" s="100">
        <f t="shared" si="72"/>
        <v>1.4143250000000001</v>
      </c>
      <c r="AL49" s="100">
        <f t="shared" si="72"/>
        <v>1.4143250000000001</v>
      </c>
      <c r="AM49" s="100">
        <f t="shared" si="72"/>
        <v>1.4143250000000001</v>
      </c>
      <c r="AN49" s="100">
        <f t="shared" si="72"/>
        <v>1.4143250000000001</v>
      </c>
      <c r="AO49" s="100">
        <f t="shared" si="72"/>
        <v>1.4143250000000001</v>
      </c>
      <c r="AP49" s="100">
        <f t="shared" si="72"/>
        <v>1.4143250000000001</v>
      </c>
      <c r="AQ49" s="100">
        <f t="shared" si="72"/>
        <v>1.4143250000000001</v>
      </c>
      <c r="AR49" s="100">
        <f t="shared" si="72"/>
        <v>1.4143250000000001</v>
      </c>
      <c r="AS49" s="100">
        <f t="shared" si="72"/>
        <v>1.4143250000000001</v>
      </c>
      <c r="AT49" s="100">
        <f t="shared" si="72"/>
        <v>1.4143250000000001</v>
      </c>
      <c r="AU49" s="100">
        <f t="shared" si="72"/>
        <v>1.4143250000000001</v>
      </c>
      <c r="AV49" s="100">
        <f t="shared" si="72"/>
        <v>1.4143250000000001</v>
      </c>
      <c r="AW49" s="100">
        <f t="shared" si="72"/>
        <v>1.4143250000000001</v>
      </c>
      <c r="AX49" s="100">
        <f t="shared" si="72"/>
        <v>1.4143250000000001</v>
      </c>
      <c r="AY49" s="100">
        <f t="shared" si="72"/>
        <v>1.4143250000000001</v>
      </c>
      <c r="AZ49" s="100">
        <f t="shared" si="72"/>
        <v>1.4143250000000001</v>
      </c>
      <c r="BA49" s="101">
        <f t="shared" ref="BA49:BA62" si="73">SUM(BB49:BC49,BX49:BY49)</f>
        <v>2.8286499999999998E-5</v>
      </c>
      <c r="BB49" s="101">
        <f>IFERROR(s_RadSpec!$E$23*(BB23/$B49),".")</f>
        <v>7.0716249999999994E-6</v>
      </c>
      <c r="BC49" s="101">
        <f>IFERROR(s_RadSpec!$E$23*(BC23/$B49),".")</f>
        <v>7.0716249999999994E-6</v>
      </c>
      <c r="BD49" s="101">
        <f>IFERROR(s_RadSpec!$E$23*(BD23/$B49),".")</f>
        <v>7.0716249999999994E-6</v>
      </c>
      <c r="BE49" s="101">
        <f>IFERROR(s_RadSpec!$E$23*(BE23/$B49),".")</f>
        <v>7.0716249999999994E-6</v>
      </c>
      <c r="BF49" s="101">
        <f>IFERROR(s_RadSpec!$E$23*(BF23/$B49),".")</f>
        <v>7.0716249999999994E-6</v>
      </c>
      <c r="BG49" s="101">
        <f>IFERROR(s_RadSpec!$E$23*(BG23/$B49),".")</f>
        <v>7.0716249999999994E-6</v>
      </c>
      <c r="BH49" s="101">
        <f>IFERROR(s_RadSpec!$E$23*(BH23/$B49),".")</f>
        <v>7.0716249999999994E-6</v>
      </c>
      <c r="BI49" s="101">
        <f>IFERROR(s_RadSpec!$E$23*(BI23/$B49),".")</f>
        <v>7.0716249999999994E-6</v>
      </c>
      <c r="BJ49" s="101">
        <f>IFERROR(s_RadSpec!$E$23*(BJ23/$B49),".")</f>
        <v>7.0716249999999994E-6</v>
      </c>
      <c r="BK49" s="101">
        <f>IFERROR(s_RadSpec!$E$23*(BK23/$B49),".")</f>
        <v>7.0716249999999994E-6</v>
      </c>
      <c r="BL49" s="101">
        <f>IFERROR(s_RadSpec!$E$23*(BL23/$B49),".")</f>
        <v>7.0716249999999994E-6</v>
      </c>
      <c r="BM49" s="101">
        <f>IFERROR(s_RadSpec!$E$23*(BM23/$B49),".")</f>
        <v>7.0716249999999994E-6</v>
      </c>
      <c r="BN49" s="101">
        <f>IFERROR(s_RadSpec!$E$23*(BN23/$B49),".")</f>
        <v>7.0716249999999994E-6</v>
      </c>
      <c r="BO49" s="101">
        <f>IFERROR(s_RadSpec!$E$23*(BO23/$B49),".")</f>
        <v>7.0716249999999994E-6</v>
      </c>
      <c r="BP49" s="101">
        <f>IFERROR(s_RadSpec!$E$23*(BP23/$B49),".")</f>
        <v>7.0716249999999994E-6</v>
      </c>
      <c r="BQ49" s="101">
        <f>IFERROR(s_RadSpec!$E$23*(BQ23/$B49),".")</f>
        <v>7.0716249999999994E-6</v>
      </c>
      <c r="BR49" s="101">
        <f>IFERROR(s_RadSpec!$E$23*(BR23/$B49),".")</f>
        <v>7.0716249999999994E-6</v>
      </c>
      <c r="BS49" s="101">
        <f>IFERROR(s_RadSpec!$E$23*(BS23/$B49),".")</f>
        <v>7.0716249999999994E-6</v>
      </c>
      <c r="BT49" s="101">
        <f>IFERROR(s_RadSpec!$E$23*(BT23/$B49),".")</f>
        <v>7.0716249999999994E-6</v>
      </c>
      <c r="BU49" s="101">
        <f>IFERROR(s_RadSpec!$E$23*(BU23/$B49),".")</f>
        <v>7.0716249999999994E-6</v>
      </c>
      <c r="BV49" s="101">
        <f>IFERROR(s_RadSpec!$E$23*(BV23/$B49),".")</f>
        <v>7.0716249999999994E-6</v>
      </c>
      <c r="BW49" s="101">
        <f>IFERROR(s_RadSpec!$E$23*(BW23/$B49),".")</f>
        <v>7.0716249999999994E-6</v>
      </c>
      <c r="BX49" s="101">
        <f>IFERROR(s_RadSpec!$E$23*(BX23/$B49),".")</f>
        <v>7.0716249999999994E-6</v>
      </c>
      <c r="BY49" s="101">
        <f>IFERROR(s_RadSpec!$E$23*(BY23/$B49),".")</f>
        <v>7.0716249999999994E-6</v>
      </c>
    </row>
    <row r="50" spans="1:77" x14ac:dyDescent="0.25">
      <c r="A50" s="99" t="s">
        <v>1090</v>
      </c>
      <c r="B50" s="90">
        <v>1</v>
      </c>
      <c r="C50" s="100" t="str">
        <f t="shared" si="28"/>
        <v>.</v>
      </c>
      <c r="D50" s="100">
        <f t="shared" ref="D50:AA50" si="74">IFERROR($B50/D25,0)</f>
        <v>0</v>
      </c>
      <c r="E50" s="100">
        <f t="shared" si="74"/>
        <v>0</v>
      </c>
      <c r="F50" s="100">
        <f t="shared" si="74"/>
        <v>0</v>
      </c>
      <c r="G50" s="100">
        <f t="shared" si="74"/>
        <v>0</v>
      </c>
      <c r="H50" s="100">
        <f t="shared" si="74"/>
        <v>0</v>
      </c>
      <c r="I50" s="100">
        <f t="shared" si="74"/>
        <v>0</v>
      </c>
      <c r="J50" s="100">
        <f t="shared" si="74"/>
        <v>0</v>
      </c>
      <c r="K50" s="100">
        <f t="shared" si="74"/>
        <v>0</v>
      </c>
      <c r="L50" s="100">
        <f t="shared" si="74"/>
        <v>0</v>
      </c>
      <c r="M50" s="100">
        <f t="shared" si="74"/>
        <v>0</v>
      </c>
      <c r="N50" s="100">
        <f t="shared" si="74"/>
        <v>0</v>
      </c>
      <c r="O50" s="100">
        <f t="shared" si="74"/>
        <v>0</v>
      </c>
      <c r="P50" s="100">
        <f t="shared" si="74"/>
        <v>0</v>
      </c>
      <c r="Q50" s="100">
        <f t="shared" si="74"/>
        <v>0</v>
      </c>
      <c r="R50" s="100">
        <f t="shared" si="74"/>
        <v>0</v>
      </c>
      <c r="S50" s="100">
        <f t="shared" si="74"/>
        <v>0</v>
      </c>
      <c r="T50" s="100">
        <f t="shared" si="74"/>
        <v>0</v>
      </c>
      <c r="U50" s="100">
        <f t="shared" si="74"/>
        <v>0</v>
      </c>
      <c r="V50" s="100">
        <f t="shared" si="74"/>
        <v>0</v>
      </c>
      <c r="W50" s="100">
        <f t="shared" si="74"/>
        <v>0</v>
      </c>
      <c r="X50" s="100">
        <f t="shared" si="74"/>
        <v>0</v>
      </c>
      <c r="Y50" s="100">
        <f t="shared" si="74"/>
        <v>0</v>
      </c>
      <c r="Z50" s="100">
        <f t="shared" si="74"/>
        <v>0</v>
      </c>
      <c r="AA50" s="100">
        <f t="shared" si="74"/>
        <v>0</v>
      </c>
      <c r="AB50" s="100" t="str">
        <f t="shared" si="30"/>
        <v>.</v>
      </c>
      <c r="AC50" s="100">
        <f t="shared" ref="AC50:AZ50" si="75">IFERROR($B50/AC25,0)</f>
        <v>0</v>
      </c>
      <c r="AD50" s="100">
        <f t="shared" si="75"/>
        <v>0</v>
      </c>
      <c r="AE50" s="100">
        <f t="shared" si="75"/>
        <v>0</v>
      </c>
      <c r="AF50" s="100">
        <f t="shared" si="75"/>
        <v>0</v>
      </c>
      <c r="AG50" s="100">
        <f t="shared" si="75"/>
        <v>0</v>
      </c>
      <c r="AH50" s="100">
        <f t="shared" si="75"/>
        <v>0</v>
      </c>
      <c r="AI50" s="100">
        <f t="shared" si="75"/>
        <v>0</v>
      </c>
      <c r="AJ50" s="100">
        <f t="shared" si="75"/>
        <v>0</v>
      </c>
      <c r="AK50" s="100">
        <f t="shared" si="75"/>
        <v>0</v>
      </c>
      <c r="AL50" s="100">
        <f t="shared" si="75"/>
        <v>0</v>
      </c>
      <c r="AM50" s="100">
        <f t="shared" si="75"/>
        <v>0</v>
      </c>
      <c r="AN50" s="100">
        <f t="shared" si="75"/>
        <v>0</v>
      </c>
      <c r="AO50" s="100">
        <f t="shared" si="75"/>
        <v>0</v>
      </c>
      <c r="AP50" s="100">
        <f t="shared" si="75"/>
        <v>0</v>
      </c>
      <c r="AQ50" s="100">
        <f t="shared" si="75"/>
        <v>0</v>
      </c>
      <c r="AR50" s="100">
        <f t="shared" si="75"/>
        <v>0</v>
      </c>
      <c r="AS50" s="100">
        <f t="shared" si="75"/>
        <v>0</v>
      </c>
      <c r="AT50" s="100">
        <f t="shared" si="75"/>
        <v>0</v>
      </c>
      <c r="AU50" s="100">
        <f t="shared" si="75"/>
        <v>0</v>
      </c>
      <c r="AV50" s="100">
        <f t="shared" si="75"/>
        <v>0</v>
      </c>
      <c r="AW50" s="100">
        <f t="shared" si="75"/>
        <v>0</v>
      </c>
      <c r="AX50" s="100">
        <f t="shared" si="75"/>
        <v>0</v>
      </c>
      <c r="AY50" s="100">
        <f t="shared" si="75"/>
        <v>0</v>
      </c>
      <c r="AZ50" s="100">
        <f t="shared" si="75"/>
        <v>0</v>
      </c>
      <c r="BA50" s="101">
        <f t="shared" si="73"/>
        <v>0</v>
      </c>
      <c r="BB50" s="101">
        <f>IFERROR(s_RadSpec!$E$25*(BB25/$B50),".")</f>
        <v>0</v>
      </c>
      <c r="BC50" s="101">
        <f>IFERROR(s_RadSpec!$E$25*(BC25/$B50),".")</f>
        <v>0</v>
      </c>
      <c r="BD50" s="101">
        <f>IFERROR(s_RadSpec!$E$25*(BD25/$B50),".")</f>
        <v>0</v>
      </c>
      <c r="BE50" s="101">
        <f>IFERROR(s_RadSpec!$E$25*(BE25/$B50),".")</f>
        <v>0</v>
      </c>
      <c r="BF50" s="101">
        <f>IFERROR(s_RadSpec!$E$25*(BF25/$B50),".")</f>
        <v>0</v>
      </c>
      <c r="BG50" s="101">
        <f>IFERROR(s_RadSpec!$E$25*(BG25/$B50),".")</f>
        <v>0</v>
      </c>
      <c r="BH50" s="101">
        <f>IFERROR(s_RadSpec!$E$25*(BH25/$B50),".")</f>
        <v>0</v>
      </c>
      <c r="BI50" s="101">
        <f>IFERROR(s_RadSpec!$E$25*(BI25/$B50),".")</f>
        <v>0</v>
      </c>
      <c r="BJ50" s="101">
        <f>IFERROR(s_RadSpec!$E$25*(BJ25/$B50),".")</f>
        <v>0</v>
      </c>
      <c r="BK50" s="101">
        <f>IFERROR(s_RadSpec!$E$25*(BK25/$B50),".")</f>
        <v>0</v>
      </c>
      <c r="BL50" s="101">
        <f>IFERROR(s_RadSpec!$E$25*(BL25/$B50),".")</f>
        <v>0</v>
      </c>
      <c r="BM50" s="101">
        <f>IFERROR(s_RadSpec!$E$25*(BM25/$B50),".")</f>
        <v>0</v>
      </c>
      <c r="BN50" s="101">
        <f>IFERROR(s_RadSpec!$E$25*(BN25/$B50),".")</f>
        <v>0</v>
      </c>
      <c r="BO50" s="101">
        <f>IFERROR(s_RadSpec!$E$25*(BO25/$B50),".")</f>
        <v>0</v>
      </c>
      <c r="BP50" s="101">
        <f>IFERROR(s_RadSpec!$E$25*(BP25/$B50),".")</f>
        <v>0</v>
      </c>
      <c r="BQ50" s="101">
        <f>IFERROR(s_RadSpec!$E$25*(BQ25/$B50),".")</f>
        <v>0</v>
      </c>
      <c r="BR50" s="101">
        <f>IFERROR(s_RadSpec!$E$25*(BR25/$B50),".")</f>
        <v>0</v>
      </c>
      <c r="BS50" s="101">
        <f>IFERROR(s_RadSpec!$E$25*(BS25/$B50),".")</f>
        <v>0</v>
      </c>
      <c r="BT50" s="101">
        <f>IFERROR(s_RadSpec!$E$25*(BT25/$B50),".")</f>
        <v>0</v>
      </c>
      <c r="BU50" s="101">
        <f>IFERROR(s_RadSpec!$E$25*(BU25/$B50),".")</f>
        <v>0</v>
      </c>
      <c r="BV50" s="101">
        <f>IFERROR(s_RadSpec!$E$25*(BV25/$B50),".")</f>
        <v>0</v>
      </c>
      <c r="BW50" s="101">
        <f>IFERROR(s_RadSpec!$E$25*(BW25/$B50),".")</f>
        <v>0</v>
      </c>
      <c r="BX50" s="101">
        <f>IFERROR(s_RadSpec!$E$25*(BX25/$B50),".")</f>
        <v>0</v>
      </c>
      <c r="BY50" s="101">
        <f>IFERROR(s_RadSpec!$E$25*(BY25/$B50),".")</f>
        <v>0</v>
      </c>
    </row>
    <row r="51" spans="1:77" x14ac:dyDescent="0.25">
      <c r="A51" s="99" t="s">
        <v>1076</v>
      </c>
      <c r="B51" s="90">
        <v>1</v>
      </c>
      <c r="C51" s="100" t="str">
        <f t="shared" si="28"/>
        <v>.</v>
      </c>
      <c r="D51" s="100">
        <f t="shared" ref="D51:AA51" si="76">IFERROR($B51/D21,0)</f>
        <v>0</v>
      </c>
      <c r="E51" s="100">
        <f t="shared" si="76"/>
        <v>0</v>
      </c>
      <c r="F51" s="100">
        <f t="shared" si="76"/>
        <v>0</v>
      </c>
      <c r="G51" s="100">
        <f t="shared" si="76"/>
        <v>0</v>
      </c>
      <c r="H51" s="100">
        <f t="shared" si="76"/>
        <v>0</v>
      </c>
      <c r="I51" s="100">
        <f t="shared" si="76"/>
        <v>0</v>
      </c>
      <c r="J51" s="100">
        <f t="shared" si="76"/>
        <v>0</v>
      </c>
      <c r="K51" s="100">
        <f t="shared" si="76"/>
        <v>0</v>
      </c>
      <c r="L51" s="100">
        <f t="shared" si="76"/>
        <v>0</v>
      </c>
      <c r="M51" s="100">
        <f t="shared" si="76"/>
        <v>0</v>
      </c>
      <c r="N51" s="100">
        <f t="shared" si="76"/>
        <v>0</v>
      </c>
      <c r="O51" s="100">
        <f t="shared" si="76"/>
        <v>0</v>
      </c>
      <c r="P51" s="100">
        <f t="shared" si="76"/>
        <v>0</v>
      </c>
      <c r="Q51" s="100">
        <f t="shared" si="76"/>
        <v>0</v>
      </c>
      <c r="R51" s="100">
        <f t="shared" si="76"/>
        <v>0</v>
      </c>
      <c r="S51" s="100">
        <f t="shared" si="76"/>
        <v>0</v>
      </c>
      <c r="T51" s="100">
        <f t="shared" si="76"/>
        <v>0</v>
      </c>
      <c r="U51" s="100">
        <f t="shared" si="76"/>
        <v>0</v>
      </c>
      <c r="V51" s="100">
        <f t="shared" si="76"/>
        <v>0</v>
      </c>
      <c r="W51" s="100">
        <f t="shared" si="76"/>
        <v>0</v>
      </c>
      <c r="X51" s="100">
        <f t="shared" si="76"/>
        <v>0</v>
      </c>
      <c r="Y51" s="100">
        <f t="shared" si="76"/>
        <v>0</v>
      </c>
      <c r="Z51" s="100">
        <f t="shared" si="76"/>
        <v>0</v>
      </c>
      <c r="AA51" s="100">
        <f t="shared" si="76"/>
        <v>0</v>
      </c>
      <c r="AB51" s="100" t="str">
        <f t="shared" si="30"/>
        <v>.</v>
      </c>
      <c r="AC51" s="100">
        <f t="shared" ref="AC51:AZ51" si="77">IFERROR($B51/AC21,0)</f>
        <v>0</v>
      </c>
      <c r="AD51" s="100">
        <f t="shared" si="77"/>
        <v>0</v>
      </c>
      <c r="AE51" s="100">
        <f t="shared" si="77"/>
        <v>0</v>
      </c>
      <c r="AF51" s="100">
        <f t="shared" si="77"/>
        <v>0</v>
      </c>
      <c r="AG51" s="100">
        <f t="shared" si="77"/>
        <v>0</v>
      </c>
      <c r="AH51" s="100">
        <f t="shared" si="77"/>
        <v>0</v>
      </c>
      <c r="AI51" s="100">
        <f t="shared" si="77"/>
        <v>0</v>
      </c>
      <c r="AJ51" s="100">
        <f t="shared" si="77"/>
        <v>0</v>
      </c>
      <c r="AK51" s="100">
        <f t="shared" si="77"/>
        <v>0</v>
      </c>
      <c r="AL51" s="100">
        <f t="shared" si="77"/>
        <v>0</v>
      </c>
      <c r="AM51" s="100">
        <f t="shared" si="77"/>
        <v>0</v>
      </c>
      <c r="AN51" s="100">
        <f t="shared" si="77"/>
        <v>0</v>
      </c>
      <c r="AO51" s="100">
        <f t="shared" si="77"/>
        <v>0</v>
      </c>
      <c r="AP51" s="100">
        <f t="shared" si="77"/>
        <v>0</v>
      </c>
      <c r="AQ51" s="100">
        <f t="shared" si="77"/>
        <v>0</v>
      </c>
      <c r="AR51" s="100">
        <f t="shared" si="77"/>
        <v>0</v>
      </c>
      <c r="AS51" s="100">
        <f t="shared" si="77"/>
        <v>0</v>
      </c>
      <c r="AT51" s="100">
        <f t="shared" si="77"/>
        <v>0</v>
      </c>
      <c r="AU51" s="100">
        <f t="shared" si="77"/>
        <v>0</v>
      </c>
      <c r="AV51" s="100">
        <f t="shared" si="77"/>
        <v>0</v>
      </c>
      <c r="AW51" s="100">
        <f t="shared" si="77"/>
        <v>0</v>
      </c>
      <c r="AX51" s="100">
        <f t="shared" si="77"/>
        <v>0</v>
      </c>
      <c r="AY51" s="100">
        <f t="shared" si="77"/>
        <v>0</v>
      </c>
      <c r="AZ51" s="100">
        <f t="shared" si="77"/>
        <v>0</v>
      </c>
      <c r="BA51" s="101">
        <f t="shared" si="73"/>
        <v>0</v>
      </c>
      <c r="BB51" s="101">
        <f>IFERROR(s_RadSpec!$E$21*(BB21/$B51),".")</f>
        <v>0</v>
      </c>
      <c r="BC51" s="101">
        <f>IFERROR(s_RadSpec!$E$21*(BC21/$B51),".")</f>
        <v>0</v>
      </c>
      <c r="BD51" s="101">
        <f>IFERROR(s_RadSpec!$E$21*(BD21/$B51),".")</f>
        <v>0</v>
      </c>
      <c r="BE51" s="101">
        <f>IFERROR(s_RadSpec!$E$21*(BE21/$B51),".")</f>
        <v>0</v>
      </c>
      <c r="BF51" s="101">
        <f>IFERROR(s_RadSpec!$E$21*(BF21/$B51),".")</f>
        <v>0</v>
      </c>
      <c r="BG51" s="101">
        <f>IFERROR(s_RadSpec!$E$21*(BG21/$B51),".")</f>
        <v>0</v>
      </c>
      <c r="BH51" s="101">
        <f>IFERROR(s_RadSpec!$E$21*(BH21/$B51),".")</f>
        <v>0</v>
      </c>
      <c r="BI51" s="101">
        <f>IFERROR(s_RadSpec!$E$21*(BI21/$B51),".")</f>
        <v>0</v>
      </c>
      <c r="BJ51" s="101">
        <f>IFERROR(s_RadSpec!$E$21*(BJ21/$B51),".")</f>
        <v>0</v>
      </c>
      <c r="BK51" s="101">
        <f>IFERROR(s_RadSpec!$E$21*(BK21/$B51),".")</f>
        <v>0</v>
      </c>
      <c r="BL51" s="101">
        <f>IFERROR(s_RadSpec!$E$21*(BL21/$B51),".")</f>
        <v>0</v>
      </c>
      <c r="BM51" s="101">
        <f>IFERROR(s_RadSpec!$E$21*(BM21/$B51),".")</f>
        <v>0</v>
      </c>
      <c r="BN51" s="101">
        <f>IFERROR(s_RadSpec!$E$21*(BN21/$B51),".")</f>
        <v>0</v>
      </c>
      <c r="BO51" s="101">
        <f>IFERROR(s_RadSpec!$E$21*(BO21/$B51),".")</f>
        <v>0</v>
      </c>
      <c r="BP51" s="101">
        <f>IFERROR(s_RadSpec!$E$21*(BP21/$B51),".")</f>
        <v>0</v>
      </c>
      <c r="BQ51" s="101">
        <f>IFERROR(s_RadSpec!$E$21*(BQ21/$B51),".")</f>
        <v>0</v>
      </c>
      <c r="BR51" s="101">
        <f>IFERROR(s_RadSpec!$E$21*(BR21/$B51),".")</f>
        <v>0</v>
      </c>
      <c r="BS51" s="101">
        <f>IFERROR(s_RadSpec!$E$21*(BS21/$B51),".")</f>
        <v>0</v>
      </c>
      <c r="BT51" s="101">
        <f>IFERROR(s_RadSpec!$E$21*(BT21/$B51),".")</f>
        <v>0</v>
      </c>
      <c r="BU51" s="101">
        <f>IFERROR(s_RadSpec!$E$21*(BU21/$B51),".")</f>
        <v>0</v>
      </c>
      <c r="BV51" s="101">
        <f>IFERROR(s_RadSpec!$E$21*(BV21/$B51),".")</f>
        <v>0</v>
      </c>
      <c r="BW51" s="101">
        <f>IFERROR(s_RadSpec!$E$21*(BW21/$B51),".")</f>
        <v>0</v>
      </c>
      <c r="BX51" s="101">
        <f>IFERROR(s_RadSpec!$E$21*(BX21/$B51),".")</f>
        <v>0</v>
      </c>
      <c r="BY51" s="101">
        <f>IFERROR(s_RadSpec!$E$21*(BY21/$B51),".")</f>
        <v>0</v>
      </c>
    </row>
    <row r="52" spans="1:77" x14ac:dyDescent="0.25">
      <c r="A52" s="99" t="s">
        <v>1077</v>
      </c>
      <c r="B52" s="103">
        <v>0.99980000000000002</v>
      </c>
      <c r="C52" s="100">
        <f t="shared" si="28"/>
        <v>3.3316460375000008E-4</v>
      </c>
      <c r="D52" s="100">
        <f t="shared" ref="D52:AA52" si="78">IFERROR($B52/D17,0)</f>
        <v>1.3326584150000003E-3</v>
      </c>
      <c r="E52" s="100">
        <f t="shared" si="78"/>
        <v>1.3326584150000003E-3</v>
      </c>
      <c r="F52" s="100">
        <f t="shared" si="78"/>
        <v>1.3326584150000003E-3</v>
      </c>
      <c r="G52" s="100">
        <f t="shared" si="78"/>
        <v>1.3326584150000003E-3</v>
      </c>
      <c r="H52" s="100">
        <f t="shared" si="78"/>
        <v>1.3326584150000003E-3</v>
      </c>
      <c r="I52" s="100">
        <f t="shared" si="78"/>
        <v>1.3326584150000003E-3</v>
      </c>
      <c r="J52" s="100">
        <f t="shared" si="78"/>
        <v>1.3326584150000003E-3</v>
      </c>
      <c r="K52" s="100">
        <f t="shared" si="78"/>
        <v>1.3326584150000003E-3</v>
      </c>
      <c r="L52" s="100">
        <f t="shared" si="78"/>
        <v>1.3326584150000003E-3</v>
      </c>
      <c r="M52" s="100">
        <f t="shared" si="78"/>
        <v>1.3326584150000003E-3</v>
      </c>
      <c r="N52" s="100">
        <f t="shared" si="78"/>
        <v>1.3326584150000003E-3</v>
      </c>
      <c r="O52" s="100">
        <f t="shared" si="78"/>
        <v>1.3326584150000003E-3</v>
      </c>
      <c r="P52" s="100">
        <f t="shared" si="78"/>
        <v>1.3326584150000003E-3</v>
      </c>
      <c r="Q52" s="100">
        <f t="shared" si="78"/>
        <v>1.3326584150000003E-3</v>
      </c>
      <c r="R52" s="100">
        <f t="shared" si="78"/>
        <v>1.3326584150000003E-3</v>
      </c>
      <c r="S52" s="100">
        <f t="shared" si="78"/>
        <v>1.3326584150000003E-3</v>
      </c>
      <c r="T52" s="100">
        <f t="shared" si="78"/>
        <v>1.3326584150000003E-3</v>
      </c>
      <c r="U52" s="100">
        <f t="shared" si="78"/>
        <v>1.3326584150000003E-3</v>
      </c>
      <c r="V52" s="100">
        <f t="shared" si="78"/>
        <v>1.3326584150000003E-3</v>
      </c>
      <c r="W52" s="100">
        <f t="shared" si="78"/>
        <v>1.3326584150000003E-3</v>
      </c>
      <c r="X52" s="100">
        <f t="shared" si="78"/>
        <v>1.3326584150000003E-3</v>
      </c>
      <c r="Y52" s="100">
        <f t="shared" si="78"/>
        <v>1.3326584150000003E-3</v>
      </c>
      <c r="Z52" s="100">
        <f t="shared" si="78"/>
        <v>1.3326584150000003E-3</v>
      </c>
      <c r="AA52" s="100">
        <f t="shared" si="78"/>
        <v>1.3326584150000003E-3</v>
      </c>
      <c r="AB52" s="100">
        <f t="shared" si="30"/>
        <v>3.3316460375000008E-4</v>
      </c>
      <c r="AC52" s="100">
        <f t="shared" ref="AC52:AZ52" si="79">IFERROR($B52/AC17,0)</f>
        <v>1.3326584150000003E-3</v>
      </c>
      <c r="AD52" s="100">
        <f t="shared" si="79"/>
        <v>1.3326584150000003E-3</v>
      </c>
      <c r="AE52" s="100">
        <f t="shared" si="79"/>
        <v>1.3326584150000003E-3</v>
      </c>
      <c r="AF52" s="100">
        <f t="shared" si="79"/>
        <v>1.3326584150000003E-3</v>
      </c>
      <c r="AG52" s="100">
        <f t="shared" si="79"/>
        <v>1.3326584150000003E-3</v>
      </c>
      <c r="AH52" s="100">
        <f t="shared" si="79"/>
        <v>1.3326584150000003E-3</v>
      </c>
      <c r="AI52" s="100">
        <f t="shared" si="79"/>
        <v>1.3326584150000003E-3</v>
      </c>
      <c r="AJ52" s="100">
        <f t="shared" si="79"/>
        <v>1.3326584150000003E-3</v>
      </c>
      <c r="AK52" s="100">
        <f t="shared" si="79"/>
        <v>1.3326584150000003E-3</v>
      </c>
      <c r="AL52" s="100">
        <f t="shared" si="79"/>
        <v>1.3326584150000003E-3</v>
      </c>
      <c r="AM52" s="100">
        <f t="shared" si="79"/>
        <v>1.3326584150000003E-3</v>
      </c>
      <c r="AN52" s="100">
        <f t="shared" si="79"/>
        <v>1.3326584150000003E-3</v>
      </c>
      <c r="AO52" s="100">
        <f t="shared" si="79"/>
        <v>1.3326584150000003E-3</v>
      </c>
      <c r="AP52" s="100">
        <f t="shared" si="79"/>
        <v>1.3326584150000003E-3</v>
      </c>
      <c r="AQ52" s="100">
        <f t="shared" si="79"/>
        <v>1.3326584150000003E-3</v>
      </c>
      <c r="AR52" s="100">
        <f t="shared" si="79"/>
        <v>1.3326584150000003E-3</v>
      </c>
      <c r="AS52" s="100">
        <f t="shared" si="79"/>
        <v>1.3326584150000003E-3</v>
      </c>
      <c r="AT52" s="100">
        <f t="shared" si="79"/>
        <v>1.3326584150000003E-3</v>
      </c>
      <c r="AU52" s="100">
        <f t="shared" si="79"/>
        <v>1.3326584150000003E-3</v>
      </c>
      <c r="AV52" s="100">
        <f t="shared" si="79"/>
        <v>1.3326584150000003E-3</v>
      </c>
      <c r="AW52" s="100">
        <f t="shared" si="79"/>
        <v>1.3326584150000003E-3</v>
      </c>
      <c r="AX52" s="100">
        <f t="shared" si="79"/>
        <v>1.3326584150000003E-3</v>
      </c>
      <c r="AY52" s="100">
        <f t="shared" si="79"/>
        <v>1.3326584150000003E-3</v>
      </c>
      <c r="AZ52" s="100">
        <f t="shared" si="79"/>
        <v>1.3326584150000003E-3</v>
      </c>
      <c r="BA52" s="101">
        <f t="shared" si="73"/>
        <v>2.6663832766553312E-8</v>
      </c>
      <c r="BB52" s="101">
        <f>IFERROR(s_RadSpec!$E$17*(BB17/$B52),".")</f>
        <v>6.665958191638328E-9</v>
      </c>
      <c r="BC52" s="101">
        <f>IFERROR(s_RadSpec!$E$17*(BC17/$B52),".")</f>
        <v>6.665958191638328E-9</v>
      </c>
      <c r="BD52" s="101">
        <f>IFERROR(s_RadSpec!$E$17*(BD17/$B52),".")</f>
        <v>6.665958191638328E-9</v>
      </c>
      <c r="BE52" s="101">
        <f>IFERROR(s_RadSpec!$E$17*(BE17/$B52),".")</f>
        <v>6.665958191638328E-9</v>
      </c>
      <c r="BF52" s="101">
        <f>IFERROR(s_RadSpec!$E$17*(BF17/$B52),".")</f>
        <v>6.665958191638328E-9</v>
      </c>
      <c r="BG52" s="101">
        <f>IFERROR(s_RadSpec!$E$17*(BG17/$B52),".")</f>
        <v>6.665958191638328E-9</v>
      </c>
      <c r="BH52" s="101">
        <f>IFERROR(s_RadSpec!$E$17*(BH17/$B52),".")</f>
        <v>6.665958191638328E-9</v>
      </c>
      <c r="BI52" s="101">
        <f>IFERROR(s_RadSpec!$E$17*(BI17/$B52),".")</f>
        <v>6.665958191638328E-9</v>
      </c>
      <c r="BJ52" s="101">
        <f>IFERROR(s_RadSpec!$E$17*(BJ17/$B52),".")</f>
        <v>6.665958191638328E-9</v>
      </c>
      <c r="BK52" s="101">
        <f>IFERROR(s_RadSpec!$E$17*(BK17/$B52),".")</f>
        <v>6.665958191638328E-9</v>
      </c>
      <c r="BL52" s="101">
        <f>IFERROR(s_RadSpec!$E$17*(BL17/$B52),".")</f>
        <v>6.665958191638328E-9</v>
      </c>
      <c r="BM52" s="101">
        <f>IFERROR(s_RadSpec!$E$17*(BM17/$B52),".")</f>
        <v>6.665958191638328E-9</v>
      </c>
      <c r="BN52" s="101">
        <f>IFERROR(s_RadSpec!$E$17*(BN17/$B52),".")</f>
        <v>6.665958191638328E-9</v>
      </c>
      <c r="BO52" s="101">
        <f>IFERROR(s_RadSpec!$E$17*(BO17/$B52),".")</f>
        <v>6.665958191638328E-9</v>
      </c>
      <c r="BP52" s="101">
        <f>IFERROR(s_RadSpec!$E$17*(BP17/$B52),".")</f>
        <v>6.665958191638328E-9</v>
      </c>
      <c r="BQ52" s="101">
        <f>IFERROR(s_RadSpec!$E$17*(BQ17/$B52),".")</f>
        <v>6.665958191638328E-9</v>
      </c>
      <c r="BR52" s="101">
        <f>IFERROR(s_RadSpec!$E$17*(BR17/$B52),".")</f>
        <v>6.665958191638328E-9</v>
      </c>
      <c r="BS52" s="101">
        <f>IFERROR(s_RadSpec!$E$17*(BS17/$B52),".")</f>
        <v>6.665958191638328E-9</v>
      </c>
      <c r="BT52" s="101">
        <f>IFERROR(s_RadSpec!$E$17*(BT17/$B52),".")</f>
        <v>6.665958191638328E-9</v>
      </c>
      <c r="BU52" s="101">
        <f>IFERROR(s_RadSpec!$E$17*(BU17/$B52),".")</f>
        <v>6.665958191638328E-9</v>
      </c>
      <c r="BV52" s="101">
        <f>IFERROR(s_RadSpec!$E$17*(BV17/$B52),".")</f>
        <v>6.665958191638328E-9</v>
      </c>
      <c r="BW52" s="101">
        <f>IFERROR(s_RadSpec!$E$17*(BW17/$B52),".")</f>
        <v>6.665958191638328E-9</v>
      </c>
      <c r="BX52" s="101">
        <f>IFERROR(s_RadSpec!$E$17*(BX17/$B52),".")</f>
        <v>6.665958191638328E-9</v>
      </c>
      <c r="BY52" s="101">
        <f>IFERROR(s_RadSpec!$E$17*(BY17/$B52),".")</f>
        <v>6.665958191638328E-9</v>
      </c>
    </row>
    <row r="53" spans="1:77" x14ac:dyDescent="0.25">
      <c r="A53" s="99" t="s">
        <v>1091</v>
      </c>
      <c r="B53" s="90">
        <v>2.0000000000000001E-4</v>
      </c>
      <c r="C53" s="100" t="str">
        <f t="shared" si="28"/>
        <v>.</v>
      </c>
      <c r="D53" s="100">
        <f t="shared" ref="D53:AA53" si="80">IFERROR($B53/D5,0)</f>
        <v>0</v>
      </c>
      <c r="E53" s="100">
        <f t="shared" si="80"/>
        <v>0</v>
      </c>
      <c r="F53" s="100">
        <f t="shared" si="80"/>
        <v>0</v>
      </c>
      <c r="G53" s="100">
        <f t="shared" si="80"/>
        <v>0</v>
      </c>
      <c r="H53" s="100">
        <f t="shared" si="80"/>
        <v>0</v>
      </c>
      <c r="I53" s="100">
        <f t="shared" si="80"/>
        <v>0</v>
      </c>
      <c r="J53" s="100">
        <f t="shared" si="80"/>
        <v>0</v>
      </c>
      <c r="K53" s="100">
        <f t="shared" si="80"/>
        <v>0</v>
      </c>
      <c r="L53" s="100">
        <f t="shared" si="80"/>
        <v>0</v>
      </c>
      <c r="M53" s="100">
        <f t="shared" si="80"/>
        <v>0</v>
      </c>
      <c r="N53" s="100">
        <f t="shared" si="80"/>
        <v>0</v>
      </c>
      <c r="O53" s="100">
        <f t="shared" si="80"/>
        <v>0</v>
      </c>
      <c r="P53" s="100">
        <f t="shared" si="80"/>
        <v>0</v>
      </c>
      <c r="Q53" s="100">
        <f t="shared" si="80"/>
        <v>0</v>
      </c>
      <c r="R53" s="100">
        <f t="shared" si="80"/>
        <v>0</v>
      </c>
      <c r="S53" s="100">
        <f t="shared" si="80"/>
        <v>0</v>
      </c>
      <c r="T53" s="100">
        <f t="shared" si="80"/>
        <v>0</v>
      </c>
      <c r="U53" s="100">
        <f t="shared" si="80"/>
        <v>0</v>
      </c>
      <c r="V53" s="100">
        <f t="shared" si="80"/>
        <v>0</v>
      </c>
      <c r="W53" s="100">
        <f t="shared" si="80"/>
        <v>0</v>
      </c>
      <c r="X53" s="100">
        <f t="shared" si="80"/>
        <v>0</v>
      </c>
      <c r="Y53" s="100">
        <f t="shared" si="80"/>
        <v>0</v>
      </c>
      <c r="Z53" s="100">
        <f t="shared" si="80"/>
        <v>0</v>
      </c>
      <c r="AA53" s="100">
        <f t="shared" si="80"/>
        <v>0</v>
      </c>
      <c r="AB53" s="100" t="str">
        <f t="shared" si="30"/>
        <v>.</v>
      </c>
      <c r="AC53" s="100">
        <f t="shared" ref="AC53:AZ53" si="81">IFERROR($B53/AC5,0)</f>
        <v>0</v>
      </c>
      <c r="AD53" s="100">
        <f t="shared" si="81"/>
        <v>0</v>
      </c>
      <c r="AE53" s="100">
        <f t="shared" si="81"/>
        <v>0</v>
      </c>
      <c r="AF53" s="100">
        <f t="shared" si="81"/>
        <v>0</v>
      </c>
      <c r="AG53" s="100">
        <f t="shared" si="81"/>
        <v>0</v>
      </c>
      <c r="AH53" s="100">
        <f t="shared" si="81"/>
        <v>0</v>
      </c>
      <c r="AI53" s="100">
        <f t="shared" si="81"/>
        <v>0</v>
      </c>
      <c r="AJ53" s="100">
        <f t="shared" si="81"/>
        <v>0</v>
      </c>
      <c r="AK53" s="100">
        <f t="shared" si="81"/>
        <v>0</v>
      </c>
      <c r="AL53" s="100">
        <f t="shared" si="81"/>
        <v>0</v>
      </c>
      <c r="AM53" s="100">
        <f t="shared" si="81"/>
        <v>0</v>
      </c>
      <c r="AN53" s="100">
        <f t="shared" si="81"/>
        <v>0</v>
      </c>
      <c r="AO53" s="100">
        <f t="shared" si="81"/>
        <v>0</v>
      </c>
      <c r="AP53" s="100">
        <f t="shared" si="81"/>
        <v>0</v>
      </c>
      <c r="AQ53" s="100">
        <f t="shared" si="81"/>
        <v>0</v>
      </c>
      <c r="AR53" s="100">
        <f t="shared" si="81"/>
        <v>0</v>
      </c>
      <c r="AS53" s="100">
        <f t="shared" si="81"/>
        <v>0</v>
      </c>
      <c r="AT53" s="100">
        <f t="shared" si="81"/>
        <v>0</v>
      </c>
      <c r="AU53" s="100">
        <f t="shared" si="81"/>
        <v>0</v>
      </c>
      <c r="AV53" s="100">
        <f t="shared" si="81"/>
        <v>0</v>
      </c>
      <c r="AW53" s="100">
        <f t="shared" si="81"/>
        <v>0</v>
      </c>
      <c r="AX53" s="100">
        <f t="shared" si="81"/>
        <v>0</v>
      </c>
      <c r="AY53" s="100">
        <f t="shared" si="81"/>
        <v>0</v>
      </c>
      <c r="AZ53" s="100">
        <f t="shared" si="81"/>
        <v>0</v>
      </c>
      <c r="BA53" s="101">
        <f t="shared" si="73"/>
        <v>0</v>
      </c>
      <c r="BB53" s="101">
        <f>IFERROR(s_RadSpec!$E$5*(BB5/$B53),".")</f>
        <v>0</v>
      </c>
      <c r="BC53" s="101">
        <f>IFERROR(s_RadSpec!$E$5*(BC5/$B53),".")</f>
        <v>0</v>
      </c>
      <c r="BD53" s="101">
        <f>IFERROR(s_RadSpec!$E$5*(BD5/$B53),".")</f>
        <v>0</v>
      </c>
      <c r="BE53" s="101">
        <f>IFERROR(s_RadSpec!$E$5*(BE5/$B53),".")</f>
        <v>0</v>
      </c>
      <c r="BF53" s="101">
        <f>IFERROR(s_RadSpec!$E$5*(BF5/$B53),".")</f>
        <v>0</v>
      </c>
      <c r="BG53" s="101">
        <f>IFERROR(s_RadSpec!$E$5*(BG5/$B53),".")</f>
        <v>0</v>
      </c>
      <c r="BH53" s="101">
        <f>IFERROR(s_RadSpec!$E$5*(BH5/$B53),".")</f>
        <v>0</v>
      </c>
      <c r="BI53" s="101">
        <f>IFERROR(s_RadSpec!$E$5*(BI5/$B53),".")</f>
        <v>0</v>
      </c>
      <c r="BJ53" s="101">
        <f>IFERROR(s_RadSpec!$E$5*(BJ5/$B53),".")</f>
        <v>0</v>
      </c>
      <c r="BK53" s="101">
        <f>IFERROR(s_RadSpec!$E$5*(BK5/$B53),".")</f>
        <v>0</v>
      </c>
      <c r="BL53" s="101">
        <f>IFERROR(s_RadSpec!$E$5*(BL5/$B53),".")</f>
        <v>0</v>
      </c>
      <c r="BM53" s="101">
        <f>IFERROR(s_RadSpec!$E$5*(BM5/$B53),".")</f>
        <v>0</v>
      </c>
      <c r="BN53" s="101">
        <f>IFERROR(s_RadSpec!$E$5*(BN5/$B53),".")</f>
        <v>0</v>
      </c>
      <c r="BO53" s="101">
        <f>IFERROR(s_RadSpec!$E$5*(BO5/$B53),".")</f>
        <v>0</v>
      </c>
      <c r="BP53" s="101">
        <f>IFERROR(s_RadSpec!$E$5*(BP5/$B53),".")</f>
        <v>0</v>
      </c>
      <c r="BQ53" s="101">
        <f>IFERROR(s_RadSpec!$E$5*(BQ5/$B53),".")</f>
        <v>0</v>
      </c>
      <c r="BR53" s="101">
        <f>IFERROR(s_RadSpec!$E$5*(BR5/$B53),".")</f>
        <v>0</v>
      </c>
      <c r="BS53" s="101">
        <f>IFERROR(s_RadSpec!$E$5*(BS5/$B53),".")</f>
        <v>0</v>
      </c>
      <c r="BT53" s="101">
        <f>IFERROR(s_RadSpec!$E$5*(BT5/$B53),".")</f>
        <v>0</v>
      </c>
      <c r="BU53" s="101">
        <f>IFERROR(s_RadSpec!$E$5*(BU5/$B53),".")</f>
        <v>0</v>
      </c>
      <c r="BV53" s="101">
        <f>IFERROR(s_RadSpec!$E$5*(BV5/$B53),".")</f>
        <v>0</v>
      </c>
      <c r="BW53" s="101">
        <f>IFERROR(s_RadSpec!$E$5*(BW5/$B53),".")</f>
        <v>0</v>
      </c>
      <c r="BX53" s="101">
        <f>IFERROR(s_RadSpec!$E$5*(BX5/$B53),".")</f>
        <v>0</v>
      </c>
      <c r="BY53" s="101">
        <f>IFERROR(s_RadSpec!$E$5*(BY5/$B53),".")</f>
        <v>0</v>
      </c>
    </row>
    <row r="54" spans="1:77" x14ac:dyDescent="0.25">
      <c r="A54" s="99" t="s">
        <v>1092</v>
      </c>
      <c r="B54" s="90">
        <v>0.99999979999999999</v>
      </c>
      <c r="C54" s="100">
        <f t="shared" si="28"/>
        <v>1.8238683852262502E-4</v>
      </c>
      <c r="D54" s="100">
        <f t="shared" ref="D54:AA54" si="82">IFERROR($B54/D9,0)</f>
        <v>7.2954735409050007E-4</v>
      </c>
      <c r="E54" s="100">
        <f t="shared" si="82"/>
        <v>7.2954735409050007E-4</v>
      </c>
      <c r="F54" s="100">
        <f t="shared" si="82"/>
        <v>7.2954735409050007E-4</v>
      </c>
      <c r="G54" s="100">
        <f t="shared" si="82"/>
        <v>7.2954735409050007E-4</v>
      </c>
      <c r="H54" s="100">
        <f t="shared" si="82"/>
        <v>7.2954735409050007E-4</v>
      </c>
      <c r="I54" s="100">
        <f t="shared" si="82"/>
        <v>7.2954735409050007E-4</v>
      </c>
      <c r="J54" s="100">
        <f t="shared" si="82"/>
        <v>7.2954735409050007E-4</v>
      </c>
      <c r="K54" s="100">
        <f t="shared" si="82"/>
        <v>7.2954735409050007E-4</v>
      </c>
      <c r="L54" s="100">
        <f t="shared" si="82"/>
        <v>7.2954735409050007E-4</v>
      </c>
      <c r="M54" s="100">
        <f t="shared" si="82"/>
        <v>7.2954735409050007E-4</v>
      </c>
      <c r="N54" s="100">
        <f t="shared" si="82"/>
        <v>7.2954735409050007E-4</v>
      </c>
      <c r="O54" s="100">
        <f t="shared" si="82"/>
        <v>7.2954735409050007E-4</v>
      </c>
      <c r="P54" s="100">
        <f t="shared" si="82"/>
        <v>7.2954735409050007E-4</v>
      </c>
      <c r="Q54" s="100">
        <f t="shared" si="82"/>
        <v>7.2954735409050007E-4</v>
      </c>
      <c r="R54" s="100">
        <f t="shared" si="82"/>
        <v>7.2954735409050007E-4</v>
      </c>
      <c r="S54" s="100">
        <f t="shared" si="82"/>
        <v>7.2954735409050007E-4</v>
      </c>
      <c r="T54" s="100">
        <f t="shared" si="82"/>
        <v>7.2954735409050007E-4</v>
      </c>
      <c r="U54" s="100">
        <f t="shared" si="82"/>
        <v>7.2954735409050007E-4</v>
      </c>
      <c r="V54" s="100">
        <f t="shared" si="82"/>
        <v>7.2954735409050007E-4</v>
      </c>
      <c r="W54" s="100">
        <f t="shared" si="82"/>
        <v>7.2954735409050007E-4</v>
      </c>
      <c r="X54" s="100">
        <f t="shared" si="82"/>
        <v>7.2954735409050007E-4</v>
      </c>
      <c r="Y54" s="100">
        <f t="shared" si="82"/>
        <v>7.2954735409050007E-4</v>
      </c>
      <c r="Z54" s="100">
        <f t="shared" si="82"/>
        <v>7.2954735409050007E-4</v>
      </c>
      <c r="AA54" s="100">
        <f t="shared" si="82"/>
        <v>7.2954735409050007E-4</v>
      </c>
      <c r="AB54" s="100">
        <f t="shared" si="30"/>
        <v>1.8238683852262502E-4</v>
      </c>
      <c r="AC54" s="100">
        <f t="shared" ref="AC54:AZ54" si="83">IFERROR($B54/AC9,0)</f>
        <v>7.2954735409050007E-4</v>
      </c>
      <c r="AD54" s="100">
        <f t="shared" si="83"/>
        <v>7.2954735409050007E-4</v>
      </c>
      <c r="AE54" s="100">
        <f t="shared" si="83"/>
        <v>7.2954735409050007E-4</v>
      </c>
      <c r="AF54" s="100">
        <f t="shared" si="83"/>
        <v>7.2954735409050007E-4</v>
      </c>
      <c r="AG54" s="100">
        <f t="shared" si="83"/>
        <v>7.2954735409050007E-4</v>
      </c>
      <c r="AH54" s="100">
        <f t="shared" si="83"/>
        <v>7.2954735409050007E-4</v>
      </c>
      <c r="AI54" s="100">
        <f t="shared" si="83"/>
        <v>7.2954735409050007E-4</v>
      </c>
      <c r="AJ54" s="100">
        <f t="shared" si="83"/>
        <v>7.2954735409050007E-4</v>
      </c>
      <c r="AK54" s="100">
        <f t="shared" si="83"/>
        <v>7.2954735409050007E-4</v>
      </c>
      <c r="AL54" s="100">
        <f t="shared" si="83"/>
        <v>7.2954735409050007E-4</v>
      </c>
      <c r="AM54" s="100">
        <f t="shared" si="83"/>
        <v>7.2954735409050007E-4</v>
      </c>
      <c r="AN54" s="100">
        <f t="shared" si="83"/>
        <v>7.2954735409050007E-4</v>
      </c>
      <c r="AO54" s="100">
        <f t="shared" si="83"/>
        <v>7.2954735409050007E-4</v>
      </c>
      <c r="AP54" s="100">
        <f t="shared" si="83"/>
        <v>7.2954735409050007E-4</v>
      </c>
      <c r="AQ54" s="100">
        <f t="shared" si="83"/>
        <v>7.2954735409050007E-4</v>
      </c>
      <c r="AR54" s="100">
        <f t="shared" si="83"/>
        <v>7.2954735409050007E-4</v>
      </c>
      <c r="AS54" s="100">
        <f t="shared" si="83"/>
        <v>7.2954735409050007E-4</v>
      </c>
      <c r="AT54" s="100">
        <f t="shared" si="83"/>
        <v>7.2954735409050007E-4</v>
      </c>
      <c r="AU54" s="100">
        <f t="shared" si="83"/>
        <v>7.2954735409050007E-4</v>
      </c>
      <c r="AV54" s="100">
        <f t="shared" si="83"/>
        <v>7.2954735409050007E-4</v>
      </c>
      <c r="AW54" s="100">
        <f t="shared" si="83"/>
        <v>7.2954735409050007E-4</v>
      </c>
      <c r="AX54" s="100">
        <f t="shared" si="83"/>
        <v>7.2954735409050007E-4</v>
      </c>
      <c r="AY54" s="100">
        <f t="shared" si="83"/>
        <v>7.2954735409050007E-4</v>
      </c>
      <c r="AZ54" s="100">
        <f t="shared" si="83"/>
        <v>7.2954735409050007E-4</v>
      </c>
      <c r="BA54" s="101">
        <f t="shared" si="73"/>
        <v>1.4590952918190586E-8</v>
      </c>
      <c r="BB54" s="101">
        <f>IFERROR(s_RadSpec!$E$9*(BB9/$B54),".")</f>
        <v>3.6477382295476466E-9</v>
      </c>
      <c r="BC54" s="101">
        <f>IFERROR(s_RadSpec!$E$9*(BC9/$B54),".")</f>
        <v>3.6477382295476466E-9</v>
      </c>
      <c r="BD54" s="101">
        <f>IFERROR(s_RadSpec!$E$9*(BD9/$B54),".")</f>
        <v>3.6477382295476466E-9</v>
      </c>
      <c r="BE54" s="101">
        <f>IFERROR(s_RadSpec!$E$9*(BE9/$B54),".")</f>
        <v>3.6477382295476466E-9</v>
      </c>
      <c r="BF54" s="101">
        <f>IFERROR(s_RadSpec!$E$9*(BF9/$B54),".")</f>
        <v>3.6477382295476466E-9</v>
      </c>
      <c r="BG54" s="101">
        <f>IFERROR(s_RadSpec!$E$9*(BG9/$B54),".")</f>
        <v>3.6477382295476466E-9</v>
      </c>
      <c r="BH54" s="101">
        <f>IFERROR(s_RadSpec!$E$9*(BH9/$B54),".")</f>
        <v>3.6477382295476466E-9</v>
      </c>
      <c r="BI54" s="101">
        <f>IFERROR(s_RadSpec!$E$9*(BI9/$B54),".")</f>
        <v>3.6477382295476466E-9</v>
      </c>
      <c r="BJ54" s="101">
        <f>IFERROR(s_RadSpec!$E$9*(BJ9/$B54),".")</f>
        <v>3.6477382295476466E-9</v>
      </c>
      <c r="BK54" s="101">
        <f>IFERROR(s_RadSpec!$E$9*(BK9/$B54),".")</f>
        <v>3.6477382295476466E-9</v>
      </c>
      <c r="BL54" s="101">
        <f>IFERROR(s_RadSpec!$E$9*(BL9/$B54),".")</f>
        <v>3.6477382295476466E-9</v>
      </c>
      <c r="BM54" s="101">
        <f>IFERROR(s_RadSpec!$E$9*(BM9/$B54),".")</f>
        <v>3.6477382295476466E-9</v>
      </c>
      <c r="BN54" s="101">
        <f>IFERROR(s_RadSpec!$E$9*(BN9/$B54),".")</f>
        <v>3.6477382295476466E-9</v>
      </c>
      <c r="BO54" s="101">
        <f>IFERROR(s_RadSpec!$E$9*(BO9/$B54),".")</f>
        <v>3.6477382295476466E-9</v>
      </c>
      <c r="BP54" s="101">
        <f>IFERROR(s_RadSpec!$E$9*(BP9/$B54),".")</f>
        <v>3.6477382295476466E-9</v>
      </c>
      <c r="BQ54" s="101">
        <f>IFERROR(s_RadSpec!$E$9*(BQ9/$B54),".")</f>
        <v>3.6477382295476466E-9</v>
      </c>
      <c r="BR54" s="101">
        <f>IFERROR(s_RadSpec!$E$9*(BR9/$B54),".")</f>
        <v>3.6477382295476466E-9</v>
      </c>
      <c r="BS54" s="101">
        <f>IFERROR(s_RadSpec!$E$9*(BS9/$B54),".")</f>
        <v>3.6477382295476466E-9</v>
      </c>
      <c r="BT54" s="101">
        <f>IFERROR(s_RadSpec!$E$9*(BT9/$B54),".")</f>
        <v>3.6477382295476466E-9</v>
      </c>
      <c r="BU54" s="101">
        <f>IFERROR(s_RadSpec!$E$9*(BU9/$B54),".")</f>
        <v>3.6477382295476466E-9</v>
      </c>
      <c r="BV54" s="101">
        <f>IFERROR(s_RadSpec!$E$9*(BV9/$B54),".")</f>
        <v>3.6477382295476466E-9</v>
      </c>
      <c r="BW54" s="101">
        <f>IFERROR(s_RadSpec!$E$9*(BW9/$B54),".")</f>
        <v>3.6477382295476466E-9</v>
      </c>
      <c r="BX54" s="101">
        <f>IFERROR(s_RadSpec!$E$9*(BX9/$B54),".")</f>
        <v>3.6477382295476466E-9</v>
      </c>
      <c r="BY54" s="101">
        <f>IFERROR(s_RadSpec!$E$9*(BY9/$B54),".")</f>
        <v>3.6477382295476466E-9</v>
      </c>
    </row>
    <row r="55" spans="1:77" x14ac:dyDescent="0.25">
      <c r="A55" s="99" t="s">
        <v>1093</v>
      </c>
      <c r="B55" s="90">
        <v>1.9999999999999999E-7</v>
      </c>
      <c r="C55" s="100" t="str">
        <f t="shared" si="28"/>
        <v>.</v>
      </c>
      <c r="D55" s="100">
        <f t="shared" ref="D55:AA55" si="84">IFERROR($B55/D24,0)</f>
        <v>0</v>
      </c>
      <c r="E55" s="100">
        <f t="shared" si="84"/>
        <v>0</v>
      </c>
      <c r="F55" s="100">
        <f t="shared" si="84"/>
        <v>0</v>
      </c>
      <c r="G55" s="100">
        <f t="shared" si="84"/>
        <v>0</v>
      </c>
      <c r="H55" s="100">
        <f t="shared" si="84"/>
        <v>0</v>
      </c>
      <c r="I55" s="100">
        <f t="shared" si="84"/>
        <v>0</v>
      </c>
      <c r="J55" s="100">
        <f t="shared" si="84"/>
        <v>0</v>
      </c>
      <c r="K55" s="100">
        <f t="shared" si="84"/>
        <v>0</v>
      </c>
      <c r="L55" s="100">
        <f t="shared" si="84"/>
        <v>0</v>
      </c>
      <c r="M55" s="100">
        <f t="shared" si="84"/>
        <v>0</v>
      </c>
      <c r="N55" s="100">
        <f t="shared" si="84"/>
        <v>0</v>
      </c>
      <c r="O55" s="100">
        <f t="shared" si="84"/>
        <v>0</v>
      </c>
      <c r="P55" s="100">
        <f t="shared" si="84"/>
        <v>0</v>
      </c>
      <c r="Q55" s="100">
        <f t="shared" si="84"/>
        <v>0</v>
      </c>
      <c r="R55" s="100">
        <f t="shared" si="84"/>
        <v>0</v>
      </c>
      <c r="S55" s="100">
        <f t="shared" si="84"/>
        <v>0</v>
      </c>
      <c r="T55" s="100">
        <f t="shared" si="84"/>
        <v>0</v>
      </c>
      <c r="U55" s="100">
        <f t="shared" si="84"/>
        <v>0</v>
      </c>
      <c r="V55" s="100">
        <f t="shared" si="84"/>
        <v>0</v>
      </c>
      <c r="W55" s="100">
        <f t="shared" si="84"/>
        <v>0</v>
      </c>
      <c r="X55" s="100">
        <f t="shared" si="84"/>
        <v>0</v>
      </c>
      <c r="Y55" s="100">
        <f t="shared" si="84"/>
        <v>0</v>
      </c>
      <c r="Z55" s="100">
        <f t="shared" si="84"/>
        <v>0</v>
      </c>
      <c r="AA55" s="100">
        <f t="shared" si="84"/>
        <v>0</v>
      </c>
      <c r="AB55" s="100" t="str">
        <f t="shared" si="30"/>
        <v>.</v>
      </c>
      <c r="AC55" s="100">
        <f t="shared" ref="AC55:AZ55" si="85">IFERROR($B55/AC24,0)</f>
        <v>0</v>
      </c>
      <c r="AD55" s="100">
        <f t="shared" si="85"/>
        <v>0</v>
      </c>
      <c r="AE55" s="100">
        <f t="shared" si="85"/>
        <v>0</v>
      </c>
      <c r="AF55" s="100">
        <f t="shared" si="85"/>
        <v>0</v>
      </c>
      <c r="AG55" s="100">
        <f t="shared" si="85"/>
        <v>0</v>
      </c>
      <c r="AH55" s="100">
        <f t="shared" si="85"/>
        <v>0</v>
      </c>
      <c r="AI55" s="100">
        <f t="shared" si="85"/>
        <v>0</v>
      </c>
      <c r="AJ55" s="100">
        <f t="shared" si="85"/>
        <v>0</v>
      </c>
      <c r="AK55" s="100">
        <f t="shared" si="85"/>
        <v>0</v>
      </c>
      <c r="AL55" s="100">
        <f t="shared" si="85"/>
        <v>0</v>
      </c>
      <c r="AM55" s="100">
        <f t="shared" si="85"/>
        <v>0</v>
      </c>
      <c r="AN55" s="100">
        <f t="shared" si="85"/>
        <v>0</v>
      </c>
      <c r="AO55" s="100">
        <f t="shared" si="85"/>
        <v>0</v>
      </c>
      <c r="AP55" s="100">
        <f t="shared" si="85"/>
        <v>0</v>
      </c>
      <c r="AQ55" s="100">
        <f t="shared" si="85"/>
        <v>0</v>
      </c>
      <c r="AR55" s="100">
        <f t="shared" si="85"/>
        <v>0</v>
      </c>
      <c r="AS55" s="100">
        <f t="shared" si="85"/>
        <v>0</v>
      </c>
      <c r="AT55" s="100">
        <f t="shared" si="85"/>
        <v>0</v>
      </c>
      <c r="AU55" s="100">
        <f t="shared" si="85"/>
        <v>0</v>
      </c>
      <c r="AV55" s="100">
        <f t="shared" si="85"/>
        <v>0</v>
      </c>
      <c r="AW55" s="100">
        <f t="shared" si="85"/>
        <v>0</v>
      </c>
      <c r="AX55" s="100">
        <f t="shared" si="85"/>
        <v>0</v>
      </c>
      <c r="AY55" s="100">
        <f t="shared" si="85"/>
        <v>0</v>
      </c>
      <c r="AZ55" s="100">
        <f t="shared" si="85"/>
        <v>0</v>
      </c>
      <c r="BA55" s="101">
        <f t="shared" si="73"/>
        <v>0</v>
      </c>
      <c r="BB55" s="101">
        <f>IFERROR(s_RadSpec!$E$24*(BB24/$B55),".")</f>
        <v>0</v>
      </c>
      <c r="BC55" s="101">
        <f>IFERROR(s_RadSpec!$E$24*(BC24/$B55),".")</f>
        <v>0</v>
      </c>
      <c r="BD55" s="101">
        <f>IFERROR(s_RadSpec!$E$24*(BD24/$B55),".")</f>
        <v>0</v>
      </c>
      <c r="BE55" s="101">
        <f>IFERROR(s_RadSpec!$E$24*(BE24/$B55),".")</f>
        <v>0</v>
      </c>
      <c r="BF55" s="101">
        <f>IFERROR(s_RadSpec!$E$24*(BF24/$B55),".")</f>
        <v>0</v>
      </c>
      <c r="BG55" s="101">
        <f>IFERROR(s_RadSpec!$E$24*(BG24/$B55),".")</f>
        <v>0</v>
      </c>
      <c r="BH55" s="101">
        <f>IFERROR(s_RadSpec!$E$24*(BH24/$B55),".")</f>
        <v>0</v>
      </c>
      <c r="BI55" s="101">
        <f>IFERROR(s_RadSpec!$E$24*(BI24/$B55),".")</f>
        <v>0</v>
      </c>
      <c r="BJ55" s="101">
        <f>IFERROR(s_RadSpec!$E$24*(BJ24/$B55),".")</f>
        <v>0</v>
      </c>
      <c r="BK55" s="101">
        <f>IFERROR(s_RadSpec!$E$24*(BK24/$B55),".")</f>
        <v>0</v>
      </c>
      <c r="BL55" s="101">
        <f>IFERROR(s_RadSpec!$E$24*(BL24/$B55),".")</f>
        <v>0</v>
      </c>
      <c r="BM55" s="101">
        <f>IFERROR(s_RadSpec!$E$24*(BM24/$B55),".")</f>
        <v>0</v>
      </c>
      <c r="BN55" s="101">
        <f>IFERROR(s_RadSpec!$E$24*(BN24/$B55),".")</f>
        <v>0</v>
      </c>
      <c r="BO55" s="101">
        <f>IFERROR(s_RadSpec!$E$24*(BO24/$B55),".")</f>
        <v>0</v>
      </c>
      <c r="BP55" s="101">
        <f>IFERROR(s_RadSpec!$E$24*(BP24/$B55),".")</f>
        <v>0</v>
      </c>
      <c r="BQ55" s="101">
        <f>IFERROR(s_RadSpec!$E$24*(BQ24/$B55),".")</f>
        <v>0</v>
      </c>
      <c r="BR55" s="101">
        <f>IFERROR(s_RadSpec!$E$24*(BR24/$B55),".")</f>
        <v>0</v>
      </c>
      <c r="BS55" s="101">
        <f>IFERROR(s_RadSpec!$E$24*(BS24/$B55),".")</f>
        <v>0</v>
      </c>
      <c r="BT55" s="101">
        <f>IFERROR(s_RadSpec!$E$24*(BT24/$B55),".")</f>
        <v>0</v>
      </c>
      <c r="BU55" s="101">
        <f>IFERROR(s_RadSpec!$E$24*(BU24/$B55),".")</f>
        <v>0</v>
      </c>
      <c r="BV55" s="101">
        <f>IFERROR(s_RadSpec!$E$24*(BV24/$B55),".")</f>
        <v>0</v>
      </c>
      <c r="BW55" s="101">
        <f>IFERROR(s_RadSpec!$E$24*(BW24/$B55),".")</f>
        <v>0</v>
      </c>
      <c r="BX55" s="101">
        <f>IFERROR(s_RadSpec!$E$24*(BX24/$B55),".")</f>
        <v>0</v>
      </c>
      <c r="BY55" s="101">
        <f>IFERROR(s_RadSpec!$E$24*(BY24/$B55),".")</f>
        <v>0</v>
      </c>
    </row>
    <row r="56" spans="1:77" x14ac:dyDescent="0.25">
      <c r="A56" s="99" t="s">
        <v>1094</v>
      </c>
      <c r="B56" s="90">
        <v>0.99979000004200003</v>
      </c>
      <c r="C56" s="100" t="str">
        <f t="shared" si="28"/>
        <v>.</v>
      </c>
      <c r="D56" s="100">
        <f t="shared" ref="D56:AA56" si="86">IFERROR($B56/D20,0)</f>
        <v>0</v>
      </c>
      <c r="E56" s="100">
        <f t="shared" si="86"/>
        <v>0</v>
      </c>
      <c r="F56" s="100">
        <f t="shared" si="86"/>
        <v>0</v>
      </c>
      <c r="G56" s="100">
        <f t="shared" si="86"/>
        <v>0</v>
      </c>
      <c r="H56" s="100">
        <f t="shared" si="86"/>
        <v>0</v>
      </c>
      <c r="I56" s="100">
        <f t="shared" si="86"/>
        <v>0</v>
      </c>
      <c r="J56" s="100">
        <f t="shared" si="86"/>
        <v>0</v>
      </c>
      <c r="K56" s="100">
        <f t="shared" si="86"/>
        <v>0</v>
      </c>
      <c r="L56" s="100">
        <f t="shared" si="86"/>
        <v>0</v>
      </c>
      <c r="M56" s="100">
        <f t="shared" si="86"/>
        <v>0</v>
      </c>
      <c r="N56" s="100">
        <f t="shared" si="86"/>
        <v>0</v>
      </c>
      <c r="O56" s="100">
        <f t="shared" si="86"/>
        <v>0</v>
      </c>
      <c r="P56" s="100">
        <f t="shared" si="86"/>
        <v>0</v>
      </c>
      <c r="Q56" s="100">
        <f t="shared" si="86"/>
        <v>0</v>
      </c>
      <c r="R56" s="100">
        <f t="shared" si="86"/>
        <v>0</v>
      </c>
      <c r="S56" s="100">
        <f t="shared" si="86"/>
        <v>0</v>
      </c>
      <c r="T56" s="100">
        <f t="shared" si="86"/>
        <v>0</v>
      </c>
      <c r="U56" s="100">
        <f t="shared" si="86"/>
        <v>0</v>
      </c>
      <c r="V56" s="100">
        <f t="shared" si="86"/>
        <v>0</v>
      </c>
      <c r="W56" s="100">
        <f t="shared" si="86"/>
        <v>0</v>
      </c>
      <c r="X56" s="100">
        <f t="shared" si="86"/>
        <v>0</v>
      </c>
      <c r="Y56" s="100">
        <f t="shared" si="86"/>
        <v>0</v>
      </c>
      <c r="Z56" s="100">
        <f t="shared" si="86"/>
        <v>0</v>
      </c>
      <c r="AA56" s="100">
        <f t="shared" si="86"/>
        <v>0</v>
      </c>
      <c r="AB56" s="100" t="str">
        <f t="shared" si="30"/>
        <v>.</v>
      </c>
      <c r="AC56" s="100">
        <f t="shared" ref="AC56:AZ56" si="87">IFERROR($B56/AC20,0)</f>
        <v>0</v>
      </c>
      <c r="AD56" s="100">
        <f t="shared" si="87"/>
        <v>0</v>
      </c>
      <c r="AE56" s="100">
        <f t="shared" si="87"/>
        <v>0</v>
      </c>
      <c r="AF56" s="100">
        <f t="shared" si="87"/>
        <v>0</v>
      </c>
      <c r="AG56" s="100">
        <f t="shared" si="87"/>
        <v>0</v>
      </c>
      <c r="AH56" s="100">
        <f t="shared" si="87"/>
        <v>0</v>
      </c>
      <c r="AI56" s="100">
        <f t="shared" si="87"/>
        <v>0</v>
      </c>
      <c r="AJ56" s="100">
        <f t="shared" si="87"/>
        <v>0</v>
      </c>
      <c r="AK56" s="100">
        <f t="shared" si="87"/>
        <v>0</v>
      </c>
      <c r="AL56" s="100">
        <f t="shared" si="87"/>
        <v>0</v>
      </c>
      <c r="AM56" s="100">
        <f t="shared" si="87"/>
        <v>0</v>
      </c>
      <c r="AN56" s="100">
        <f t="shared" si="87"/>
        <v>0</v>
      </c>
      <c r="AO56" s="100">
        <f t="shared" si="87"/>
        <v>0</v>
      </c>
      <c r="AP56" s="100">
        <f t="shared" si="87"/>
        <v>0</v>
      </c>
      <c r="AQ56" s="100">
        <f t="shared" si="87"/>
        <v>0</v>
      </c>
      <c r="AR56" s="100">
        <f t="shared" si="87"/>
        <v>0</v>
      </c>
      <c r="AS56" s="100">
        <f t="shared" si="87"/>
        <v>0</v>
      </c>
      <c r="AT56" s="100">
        <f t="shared" si="87"/>
        <v>0</v>
      </c>
      <c r="AU56" s="100">
        <f t="shared" si="87"/>
        <v>0</v>
      </c>
      <c r="AV56" s="100">
        <f t="shared" si="87"/>
        <v>0</v>
      </c>
      <c r="AW56" s="100">
        <f t="shared" si="87"/>
        <v>0</v>
      </c>
      <c r="AX56" s="100">
        <f t="shared" si="87"/>
        <v>0</v>
      </c>
      <c r="AY56" s="100">
        <f t="shared" si="87"/>
        <v>0</v>
      </c>
      <c r="AZ56" s="100">
        <f t="shared" si="87"/>
        <v>0</v>
      </c>
      <c r="BA56" s="101">
        <f t="shared" si="73"/>
        <v>0</v>
      </c>
      <c r="BB56" s="101">
        <f>IFERROR(s_RadSpec!$E$20*(BB20/$B56),".")</f>
        <v>0</v>
      </c>
      <c r="BC56" s="101">
        <f>IFERROR(s_RadSpec!$E$20*(BC20/$B56),".")</f>
        <v>0</v>
      </c>
      <c r="BD56" s="101">
        <f>IFERROR(s_RadSpec!$E$20*(BD20/$B56),".")</f>
        <v>0</v>
      </c>
      <c r="BE56" s="101">
        <f>IFERROR(s_RadSpec!$E$20*(BE20/$B56),".")</f>
        <v>0</v>
      </c>
      <c r="BF56" s="101">
        <f>IFERROR(s_RadSpec!$E$20*(BF20/$B56),".")</f>
        <v>0</v>
      </c>
      <c r="BG56" s="101">
        <f>IFERROR(s_RadSpec!$E$20*(BG20/$B56),".")</f>
        <v>0</v>
      </c>
      <c r="BH56" s="101">
        <f>IFERROR(s_RadSpec!$E$20*(BH20/$B56),".")</f>
        <v>0</v>
      </c>
      <c r="BI56" s="101">
        <f>IFERROR(s_RadSpec!$E$20*(BI20/$B56),".")</f>
        <v>0</v>
      </c>
      <c r="BJ56" s="101">
        <f>IFERROR(s_RadSpec!$E$20*(BJ20/$B56),".")</f>
        <v>0</v>
      </c>
      <c r="BK56" s="101">
        <f>IFERROR(s_RadSpec!$E$20*(BK20/$B56),".")</f>
        <v>0</v>
      </c>
      <c r="BL56" s="101">
        <f>IFERROR(s_RadSpec!$E$20*(BL20/$B56),".")</f>
        <v>0</v>
      </c>
      <c r="BM56" s="101">
        <f>IFERROR(s_RadSpec!$E$20*(BM20/$B56),".")</f>
        <v>0</v>
      </c>
      <c r="BN56" s="101">
        <f>IFERROR(s_RadSpec!$E$20*(BN20/$B56),".")</f>
        <v>0</v>
      </c>
      <c r="BO56" s="101">
        <f>IFERROR(s_RadSpec!$E$20*(BO20/$B56),".")</f>
        <v>0</v>
      </c>
      <c r="BP56" s="101">
        <f>IFERROR(s_RadSpec!$E$20*(BP20/$B56),".")</f>
        <v>0</v>
      </c>
      <c r="BQ56" s="101">
        <f>IFERROR(s_RadSpec!$E$20*(BQ20/$B56),".")</f>
        <v>0</v>
      </c>
      <c r="BR56" s="101">
        <f>IFERROR(s_RadSpec!$E$20*(BR20/$B56),".")</f>
        <v>0</v>
      </c>
      <c r="BS56" s="101">
        <f>IFERROR(s_RadSpec!$E$20*(BS20/$B56),".")</f>
        <v>0</v>
      </c>
      <c r="BT56" s="101">
        <f>IFERROR(s_RadSpec!$E$20*(BT20/$B56),".")</f>
        <v>0</v>
      </c>
      <c r="BU56" s="101">
        <f>IFERROR(s_RadSpec!$E$20*(BU20/$B56),".")</f>
        <v>0</v>
      </c>
      <c r="BV56" s="101">
        <f>IFERROR(s_RadSpec!$E$20*(BV20/$B56),".")</f>
        <v>0</v>
      </c>
      <c r="BW56" s="101">
        <f>IFERROR(s_RadSpec!$E$20*(BW20/$B56),".")</f>
        <v>0</v>
      </c>
      <c r="BX56" s="101">
        <f>IFERROR(s_RadSpec!$E$20*(BX20/$B56),".")</f>
        <v>0</v>
      </c>
      <c r="BY56" s="101">
        <f>IFERROR(s_RadSpec!$E$20*(BY20/$B56),".")</f>
        <v>0</v>
      </c>
    </row>
    <row r="57" spans="1:77" x14ac:dyDescent="0.25">
      <c r="A57" s="99" t="s">
        <v>1095</v>
      </c>
      <c r="B57" s="90">
        <v>2.0999995799999999E-4</v>
      </c>
      <c r="C57" s="100" t="str">
        <f t="shared" si="28"/>
        <v>.</v>
      </c>
      <c r="D57" s="100">
        <f t="shared" ref="D57:AA57" si="88">IFERROR($B57/D29,0)</f>
        <v>0</v>
      </c>
      <c r="E57" s="100">
        <f t="shared" si="88"/>
        <v>0</v>
      </c>
      <c r="F57" s="100">
        <f t="shared" si="88"/>
        <v>0</v>
      </c>
      <c r="G57" s="100">
        <f t="shared" si="88"/>
        <v>0</v>
      </c>
      <c r="H57" s="100">
        <f t="shared" si="88"/>
        <v>0</v>
      </c>
      <c r="I57" s="100">
        <f t="shared" si="88"/>
        <v>0</v>
      </c>
      <c r="J57" s="100">
        <f t="shared" si="88"/>
        <v>0</v>
      </c>
      <c r="K57" s="100">
        <f t="shared" si="88"/>
        <v>0</v>
      </c>
      <c r="L57" s="100">
        <f t="shared" si="88"/>
        <v>0</v>
      </c>
      <c r="M57" s="100">
        <f t="shared" si="88"/>
        <v>0</v>
      </c>
      <c r="N57" s="100">
        <f t="shared" si="88"/>
        <v>0</v>
      </c>
      <c r="O57" s="100">
        <f t="shared" si="88"/>
        <v>0</v>
      </c>
      <c r="P57" s="100">
        <f t="shared" si="88"/>
        <v>0</v>
      </c>
      <c r="Q57" s="100">
        <f t="shared" si="88"/>
        <v>0</v>
      </c>
      <c r="R57" s="100">
        <f t="shared" si="88"/>
        <v>0</v>
      </c>
      <c r="S57" s="100">
        <f t="shared" si="88"/>
        <v>0</v>
      </c>
      <c r="T57" s="100">
        <f t="shared" si="88"/>
        <v>0</v>
      </c>
      <c r="U57" s="100">
        <f t="shared" si="88"/>
        <v>0</v>
      </c>
      <c r="V57" s="100">
        <f t="shared" si="88"/>
        <v>0</v>
      </c>
      <c r="W57" s="100">
        <f t="shared" si="88"/>
        <v>0</v>
      </c>
      <c r="X57" s="100">
        <f t="shared" si="88"/>
        <v>0</v>
      </c>
      <c r="Y57" s="100">
        <f t="shared" si="88"/>
        <v>0</v>
      </c>
      <c r="Z57" s="100">
        <f t="shared" si="88"/>
        <v>0</v>
      </c>
      <c r="AA57" s="100">
        <f t="shared" si="88"/>
        <v>0</v>
      </c>
      <c r="AB57" s="100" t="str">
        <f t="shared" si="30"/>
        <v>.</v>
      </c>
      <c r="AC57" s="100">
        <f t="shared" ref="AC57:AZ57" si="89">IFERROR($B57/AC29,0)</f>
        <v>0</v>
      </c>
      <c r="AD57" s="100">
        <f t="shared" si="89"/>
        <v>0</v>
      </c>
      <c r="AE57" s="100">
        <f t="shared" si="89"/>
        <v>0</v>
      </c>
      <c r="AF57" s="100">
        <f t="shared" si="89"/>
        <v>0</v>
      </c>
      <c r="AG57" s="100">
        <f t="shared" si="89"/>
        <v>0</v>
      </c>
      <c r="AH57" s="100">
        <f t="shared" si="89"/>
        <v>0</v>
      </c>
      <c r="AI57" s="100">
        <f t="shared" si="89"/>
        <v>0</v>
      </c>
      <c r="AJ57" s="100">
        <f t="shared" si="89"/>
        <v>0</v>
      </c>
      <c r="AK57" s="100">
        <f t="shared" si="89"/>
        <v>0</v>
      </c>
      <c r="AL57" s="100">
        <f t="shared" si="89"/>
        <v>0</v>
      </c>
      <c r="AM57" s="100">
        <f t="shared" si="89"/>
        <v>0</v>
      </c>
      <c r="AN57" s="100">
        <f t="shared" si="89"/>
        <v>0</v>
      </c>
      <c r="AO57" s="100">
        <f t="shared" si="89"/>
        <v>0</v>
      </c>
      <c r="AP57" s="100">
        <f t="shared" si="89"/>
        <v>0</v>
      </c>
      <c r="AQ57" s="100">
        <f t="shared" si="89"/>
        <v>0</v>
      </c>
      <c r="AR57" s="100">
        <f t="shared" si="89"/>
        <v>0</v>
      </c>
      <c r="AS57" s="100">
        <f t="shared" si="89"/>
        <v>0</v>
      </c>
      <c r="AT57" s="100">
        <f t="shared" si="89"/>
        <v>0</v>
      </c>
      <c r="AU57" s="100">
        <f t="shared" si="89"/>
        <v>0</v>
      </c>
      <c r="AV57" s="100">
        <f t="shared" si="89"/>
        <v>0</v>
      </c>
      <c r="AW57" s="100">
        <f t="shared" si="89"/>
        <v>0</v>
      </c>
      <c r="AX57" s="100">
        <f t="shared" si="89"/>
        <v>0</v>
      </c>
      <c r="AY57" s="100">
        <f t="shared" si="89"/>
        <v>0</v>
      </c>
      <c r="AZ57" s="100">
        <f t="shared" si="89"/>
        <v>0</v>
      </c>
      <c r="BA57" s="101">
        <f t="shared" si="73"/>
        <v>0</v>
      </c>
      <c r="BB57" s="101">
        <f>IFERROR(s_RadSpec!$E$29*(BB29/$B57),".")</f>
        <v>0</v>
      </c>
      <c r="BC57" s="101">
        <f>IFERROR(s_RadSpec!$E$29*(BC29/$B57),".")</f>
        <v>0</v>
      </c>
      <c r="BD57" s="101">
        <f>IFERROR(s_RadSpec!$E$29*(BD29/$B57),".")</f>
        <v>0</v>
      </c>
      <c r="BE57" s="101">
        <f>IFERROR(s_RadSpec!$E$29*(BE29/$B57),".")</f>
        <v>0</v>
      </c>
      <c r="BF57" s="101">
        <f>IFERROR(s_RadSpec!$E$29*(BF29/$B57),".")</f>
        <v>0</v>
      </c>
      <c r="BG57" s="101">
        <f>IFERROR(s_RadSpec!$E$29*(BG29/$B57),".")</f>
        <v>0</v>
      </c>
      <c r="BH57" s="101">
        <f>IFERROR(s_RadSpec!$E$29*(BH29/$B57),".")</f>
        <v>0</v>
      </c>
      <c r="BI57" s="101">
        <f>IFERROR(s_RadSpec!$E$29*(BI29/$B57),".")</f>
        <v>0</v>
      </c>
      <c r="BJ57" s="101">
        <f>IFERROR(s_RadSpec!$E$29*(BJ29/$B57),".")</f>
        <v>0</v>
      </c>
      <c r="BK57" s="101">
        <f>IFERROR(s_RadSpec!$E$29*(BK29/$B57),".")</f>
        <v>0</v>
      </c>
      <c r="BL57" s="101">
        <f>IFERROR(s_RadSpec!$E$29*(BL29/$B57),".")</f>
        <v>0</v>
      </c>
      <c r="BM57" s="101">
        <f>IFERROR(s_RadSpec!$E$29*(BM29/$B57),".")</f>
        <v>0</v>
      </c>
      <c r="BN57" s="101">
        <f>IFERROR(s_RadSpec!$E$29*(BN29/$B57),".")</f>
        <v>0</v>
      </c>
      <c r="BO57" s="101">
        <f>IFERROR(s_RadSpec!$E$29*(BO29/$B57),".")</f>
        <v>0</v>
      </c>
      <c r="BP57" s="101">
        <f>IFERROR(s_RadSpec!$E$29*(BP29/$B57),".")</f>
        <v>0</v>
      </c>
      <c r="BQ57" s="101">
        <f>IFERROR(s_RadSpec!$E$29*(BQ29/$B57),".")</f>
        <v>0</v>
      </c>
      <c r="BR57" s="101">
        <f>IFERROR(s_RadSpec!$E$29*(BR29/$B57),".")</f>
        <v>0</v>
      </c>
      <c r="BS57" s="101">
        <f>IFERROR(s_RadSpec!$E$29*(BS29/$B57),".")</f>
        <v>0</v>
      </c>
      <c r="BT57" s="101">
        <f>IFERROR(s_RadSpec!$E$29*(BT29/$B57),".")</f>
        <v>0</v>
      </c>
      <c r="BU57" s="101">
        <f>IFERROR(s_RadSpec!$E$29*(BU29/$B57),".")</f>
        <v>0</v>
      </c>
      <c r="BV57" s="101">
        <f>IFERROR(s_RadSpec!$E$29*(BV29/$B57),".")</f>
        <v>0</v>
      </c>
      <c r="BW57" s="101">
        <f>IFERROR(s_RadSpec!$E$29*(BW29/$B57),".")</f>
        <v>0</v>
      </c>
      <c r="BX57" s="101">
        <f>IFERROR(s_RadSpec!$E$29*(BX29/$B57),".")</f>
        <v>0</v>
      </c>
      <c r="BY57" s="101">
        <f>IFERROR(s_RadSpec!$E$29*(BY29/$B57),".")</f>
        <v>0</v>
      </c>
    </row>
    <row r="58" spans="1:77" x14ac:dyDescent="0.25">
      <c r="A58" s="99" t="s">
        <v>1096</v>
      </c>
      <c r="B58" s="90">
        <v>1</v>
      </c>
      <c r="C58" s="100">
        <f t="shared" si="28"/>
        <v>0.80891250000000015</v>
      </c>
      <c r="D58" s="100">
        <f t="shared" ref="D58:AA58" si="90">IFERROR($B58/D16,0)</f>
        <v>3.2356500000000006</v>
      </c>
      <c r="E58" s="100">
        <f t="shared" si="90"/>
        <v>3.2356500000000006</v>
      </c>
      <c r="F58" s="100">
        <f t="shared" si="90"/>
        <v>3.2356500000000006</v>
      </c>
      <c r="G58" s="100">
        <f t="shared" si="90"/>
        <v>3.2356500000000006</v>
      </c>
      <c r="H58" s="100">
        <f t="shared" si="90"/>
        <v>3.2356500000000006</v>
      </c>
      <c r="I58" s="100">
        <f t="shared" si="90"/>
        <v>3.2356500000000006</v>
      </c>
      <c r="J58" s="100">
        <f t="shared" si="90"/>
        <v>3.2356500000000006</v>
      </c>
      <c r="K58" s="100">
        <f t="shared" si="90"/>
        <v>3.2356500000000006</v>
      </c>
      <c r="L58" s="100">
        <f t="shared" si="90"/>
        <v>3.2356500000000006</v>
      </c>
      <c r="M58" s="100">
        <f t="shared" si="90"/>
        <v>3.2356500000000006</v>
      </c>
      <c r="N58" s="100">
        <f t="shared" si="90"/>
        <v>3.2356500000000006</v>
      </c>
      <c r="O58" s="100">
        <f t="shared" si="90"/>
        <v>3.2356500000000006</v>
      </c>
      <c r="P58" s="100">
        <f t="shared" si="90"/>
        <v>3.2356500000000006</v>
      </c>
      <c r="Q58" s="100">
        <f t="shared" si="90"/>
        <v>3.2356500000000006</v>
      </c>
      <c r="R58" s="100">
        <f t="shared" si="90"/>
        <v>3.2356500000000006</v>
      </c>
      <c r="S58" s="100">
        <f t="shared" si="90"/>
        <v>3.2356500000000006</v>
      </c>
      <c r="T58" s="100">
        <f t="shared" si="90"/>
        <v>3.2356500000000006</v>
      </c>
      <c r="U58" s="100">
        <f t="shared" si="90"/>
        <v>3.2356500000000006</v>
      </c>
      <c r="V58" s="100">
        <f t="shared" si="90"/>
        <v>3.2356500000000006</v>
      </c>
      <c r="W58" s="100">
        <f t="shared" si="90"/>
        <v>3.2356500000000006</v>
      </c>
      <c r="X58" s="100">
        <f t="shared" si="90"/>
        <v>3.2356500000000006</v>
      </c>
      <c r="Y58" s="100">
        <f t="shared" si="90"/>
        <v>3.2356500000000006</v>
      </c>
      <c r="Z58" s="100">
        <f t="shared" si="90"/>
        <v>3.2356500000000006</v>
      </c>
      <c r="AA58" s="100">
        <f t="shared" si="90"/>
        <v>3.2356500000000006</v>
      </c>
      <c r="AB58" s="100">
        <f t="shared" si="30"/>
        <v>0.80891250000000015</v>
      </c>
      <c r="AC58" s="100">
        <f t="shared" ref="AC58:AZ58" si="91">IFERROR($B58/AC16,0)</f>
        <v>3.2356500000000006</v>
      </c>
      <c r="AD58" s="100">
        <f t="shared" si="91"/>
        <v>3.2356500000000006</v>
      </c>
      <c r="AE58" s="100">
        <f t="shared" si="91"/>
        <v>3.2356500000000006</v>
      </c>
      <c r="AF58" s="100">
        <f t="shared" si="91"/>
        <v>3.2356500000000006</v>
      </c>
      <c r="AG58" s="100">
        <f t="shared" si="91"/>
        <v>3.2356500000000006</v>
      </c>
      <c r="AH58" s="100">
        <f t="shared" si="91"/>
        <v>3.2356500000000006</v>
      </c>
      <c r="AI58" s="100">
        <f t="shared" si="91"/>
        <v>3.2356500000000006</v>
      </c>
      <c r="AJ58" s="100">
        <f t="shared" si="91"/>
        <v>3.2356500000000006</v>
      </c>
      <c r="AK58" s="100">
        <f t="shared" si="91"/>
        <v>3.2356500000000006</v>
      </c>
      <c r="AL58" s="100">
        <f t="shared" si="91"/>
        <v>3.2356500000000006</v>
      </c>
      <c r="AM58" s="100">
        <f t="shared" si="91"/>
        <v>3.2356500000000006</v>
      </c>
      <c r="AN58" s="100">
        <f t="shared" si="91"/>
        <v>3.2356500000000006</v>
      </c>
      <c r="AO58" s="100">
        <f t="shared" si="91"/>
        <v>3.2356500000000006</v>
      </c>
      <c r="AP58" s="100">
        <f t="shared" si="91"/>
        <v>3.2356500000000006</v>
      </c>
      <c r="AQ58" s="100">
        <f t="shared" si="91"/>
        <v>3.2356500000000006</v>
      </c>
      <c r="AR58" s="100">
        <f t="shared" si="91"/>
        <v>3.2356500000000006</v>
      </c>
      <c r="AS58" s="100">
        <f t="shared" si="91"/>
        <v>3.2356500000000006</v>
      </c>
      <c r="AT58" s="100">
        <f t="shared" si="91"/>
        <v>3.2356500000000006</v>
      </c>
      <c r="AU58" s="100">
        <f t="shared" si="91"/>
        <v>3.2356500000000006</v>
      </c>
      <c r="AV58" s="100">
        <f t="shared" si="91"/>
        <v>3.2356500000000006</v>
      </c>
      <c r="AW58" s="100">
        <f t="shared" si="91"/>
        <v>3.2356500000000006</v>
      </c>
      <c r="AX58" s="100">
        <f t="shared" si="91"/>
        <v>3.2356500000000006</v>
      </c>
      <c r="AY58" s="100">
        <f t="shared" si="91"/>
        <v>3.2356500000000006</v>
      </c>
      <c r="AZ58" s="100">
        <f t="shared" si="91"/>
        <v>3.2356500000000006</v>
      </c>
      <c r="BA58" s="101">
        <f t="shared" si="73"/>
        <v>6.4713000000000002E-5</v>
      </c>
      <c r="BB58" s="101">
        <f>IFERROR(s_RadSpec!$E$16*(BB16/$B58),".")</f>
        <v>1.617825E-5</v>
      </c>
      <c r="BC58" s="101">
        <f>IFERROR(s_RadSpec!$E$16*(BC16/$B58),".")</f>
        <v>1.617825E-5</v>
      </c>
      <c r="BD58" s="101">
        <f>IFERROR(s_RadSpec!$E$16*(BD16/$B58),".")</f>
        <v>1.617825E-5</v>
      </c>
      <c r="BE58" s="101">
        <f>IFERROR(s_RadSpec!$E$16*(BE16/$B58),".")</f>
        <v>1.617825E-5</v>
      </c>
      <c r="BF58" s="101">
        <f>IFERROR(s_RadSpec!$E$16*(BF16/$B58),".")</f>
        <v>1.617825E-5</v>
      </c>
      <c r="BG58" s="101">
        <f>IFERROR(s_RadSpec!$E$16*(BG16/$B58),".")</f>
        <v>1.617825E-5</v>
      </c>
      <c r="BH58" s="101">
        <f>IFERROR(s_RadSpec!$E$16*(BH16/$B58),".")</f>
        <v>1.617825E-5</v>
      </c>
      <c r="BI58" s="101">
        <f>IFERROR(s_RadSpec!$E$16*(BI16/$B58),".")</f>
        <v>1.617825E-5</v>
      </c>
      <c r="BJ58" s="101">
        <f>IFERROR(s_RadSpec!$E$16*(BJ16/$B58),".")</f>
        <v>1.617825E-5</v>
      </c>
      <c r="BK58" s="101">
        <f>IFERROR(s_RadSpec!$E$16*(BK16/$B58),".")</f>
        <v>1.617825E-5</v>
      </c>
      <c r="BL58" s="101">
        <f>IFERROR(s_RadSpec!$E$16*(BL16/$B58),".")</f>
        <v>1.617825E-5</v>
      </c>
      <c r="BM58" s="101">
        <f>IFERROR(s_RadSpec!$E$16*(BM16/$B58),".")</f>
        <v>1.617825E-5</v>
      </c>
      <c r="BN58" s="101">
        <f>IFERROR(s_RadSpec!$E$16*(BN16/$B58),".")</f>
        <v>1.617825E-5</v>
      </c>
      <c r="BO58" s="101">
        <f>IFERROR(s_RadSpec!$E$16*(BO16/$B58),".")</f>
        <v>1.617825E-5</v>
      </c>
      <c r="BP58" s="101">
        <f>IFERROR(s_RadSpec!$E$16*(BP16/$B58),".")</f>
        <v>1.617825E-5</v>
      </c>
      <c r="BQ58" s="101">
        <f>IFERROR(s_RadSpec!$E$16*(BQ16/$B58),".")</f>
        <v>1.617825E-5</v>
      </c>
      <c r="BR58" s="101">
        <f>IFERROR(s_RadSpec!$E$16*(BR16/$B58),".")</f>
        <v>1.617825E-5</v>
      </c>
      <c r="BS58" s="101">
        <f>IFERROR(s_RadSpec!$E$16*(BS16/$B58),".")</f>
        <v>1.617825E-5</v>
      </c>
      <c r="BT58" s="101">
        <f>IFERROR(s_RadSpec!$E$16*(BT16/$B58),".")</f>
        <v>1.617825E-5</v>
      </c>
      <c r="BU58" s="101">
        <f>IFERROR(s_RadSpec!$E$16*(BU16/$B58),".")</f>
        <v>1.617825E-5</v>
      </c>
      <c r="BV58" s="101">
        <f>IFERROR(s_RadSpec!$E$16*(BV16/$B58),".")</f>
        <v>1.617825E-5</v>
      </c>
      <c r="BW58" s="101">
        <f>IFERROR(s_RadSpec!$E$16*(BW16/$B58),".")</f>
        <v>1.617825E-5</v>
      </c>
      <c r="BX58" s="101">
        <f>IFERROR(s_RadSpec!$E$16*(BX16/$B58),".")</f>
        <v>1.617825E-5</v>
      </c>
      <c r="BY58" s="101">
        <f>IFERROR(s_RadSpec!$E$16*(BY16/$B58),".")</f>
        <v>1.617825E-5</v>
      </c>
    </row>
    <row r="59" spans="1:77" x14ac:dyDescent="0.25">
      <c r="A59" s="99" t="s">
        <v>1097</v>
      </c>
      <c r="B59" s="90">
        <v>1</v>
      </c>
      <c r="C59" s="100">
        <f t="shared" ref="C59:C76" si="92">IFERROR(1/SUM(1/D59,1/E59,1/Z59,1/AA59),".")</f>
        <v>8.9540000000000002E-3</v>
      </c>
      <c r="D59" s="100">
        <f t="shared" ref="D59:AA59" si="93">IFERROR($B59/D7,0)</f>
        <v>3.5816000000000001E-2</v>
      </c>
      <c r="E59" s="100">
        <f t="shared" si="93"/>
        <v>3.5816000000000001E-2</v>
      </c>
      <c r="F59" s="100">
        <f t="shared" si="93"/>
        <v>3.5816000000000001E-2</v>
      </c>
      <c r="G59" s="100">
        <f t="shared" si="93"/>
        <v>3.5816000000000001E-2</v>
      </c>
      <c r="H59" s="100">
        <f t="shared" si="93"/>
        <v>3.5816000000000001E-2</v>
      </c>
      <c r="I59" s="100">
        <f t="shared" si="93"/>
        <v>3.5816000000000001E-2</v>
      </c>
      <c r="J59" s="100">
        <f t="shared" si="93"/>
        <v>3.5816000000000001E-2</v>
      </c>
      <c r="K59" s="100">
        <f t="shared" si="93"/>
        <v>3.5816000000000001E-2</v>
      </c>
      <c r="L59" s="100">
        <f t="shared" si="93"/>
        <v>3.5816000000000001E-2</v>
      </c>
      <c r="M59" s="100">
        <f t="shared" si="93"/>
        <v>3.5816000000000001E-2</v>
      </c>
      <c r="N59" s="100">
        <f t="shared" si="93"/>
        <v>3.5816000000000001E-2</v>
      </c>
      <c r="O59" s="100">
        <f t="shared" si="93"/>
        <v>3.5816000000000001E-2</v>
      </c>
      <c r="P59" s="100">
        <f t="shared" si="93"/>
        <v>3.5816000000000001E-2</v>
      </c>
      <c r="Q59" s="100">
        <f t="shared" si="93"/>
        <v>3.5816000000000001E-2</v>
      </c>
      <c r="R59" s="100">
        <f t="shared" si="93"/>
        <v>3.5816000000000001E-2</v>
      </c>
      <c r="S59" s="100">
        <f t="shared" si="93"/>
        <v>3.5816000000000001E-2</v>
      </c>
      <c r="T59" s="100">
        <f t="shared" si="93"/>
        <v>3.5816000000000001E-2</v>
      </c>
      <c r="U59" s="100">
        <f t="shared" si="93"/>
        <v>3.5816000000000001E-2</v>
      </c>
      <c r="V59" s="100">
        <f t="shared" si="93"/>
        <v>3.5816000000000001E-2</v>
      </c>
      <c r="W59" s="100">
        <f t="shared" si="93"/>
        <v>3.5816000000000001E-2</v>
      </c>
      <c r="X59" s="100">
        <f t="shared" si="93"/>
        <v>3.5816000000000001E-2</v>
      </c>
      <c r="Y59" s="100">
        <f t="shared" si="93"/>
        <v>3.5816000000000001E-2</v>
      </c>
      <c r="Z59" s="100">
        <f t="shared" si="93"/>
        <v>3.5816000000000001E-2</v>
      </c>
      <c r="AA59" s="100">
        <f t="shared" si="93"/>
        <v>3.5816000000000001E-2</v>
      </c>
      <c r="AB59" s="100">
        <f t="shared" si="30"/>
        <v>8.9540000000000002E-3</v>
      </c>
      <c r="AC59" s="100">
        <f t="shared" ref="AC59:AZ59" si="94">IFERROR($B59/AC7,0)</f>
        <v>3.5816000000000001E-2</v>
      </c>
      <c r="AD59" s="100">
        <f t="shared" si="94"/>
        <v>3.5816000000000001E-2</v>
      </c>
      <c r="AE59" s="100">
        <f t="shared" si="94"/>
        <v>3.5816000000000001E-2</v>
      </c>
      <c r="AF59" s="100">
        <f t="shared" si="94"/>
        <v>3.5816000000000001E-2</v>
      </c>
      <c r="AG59" s="100">
        <f t="shared" si="94"/>
        <v>3.5816000000000001E-2</v>
      </c>
      <c r="AH59" s="100">
        <f t="shared" si="94"/>
        <v>3.5816000000000001E-2</v>
      </c>
      <c r="AI59" s="100">
        <f t="shared" si="94"/>
        <v>3.5816000000000001E-2</v>
      </c>
      <c r="AJ59" s="100">
        <f t="shared" si="94"/>
        <v>3.5816000000000001E-2</v>
      </c>
      <c r="AK59" s="100">
        <f t="shared" si="94"/>
        <v>3.5816000000000001E-2</v>
      </c>
      <c r="AL59" s="100">
        <f t="shared" si="94"/>
        <v>3.5816000000000001E-2</v>
      </c>
      <c r="AM59" s="100">
        <f t="shared" si="94"/>
        <v>3.5816000000000001E-2</v>
      </c>
      <c r="AN59" s="100">
        <f t="shared" si="94"/>
        <v>3.5816000000000001E-2</v>
      </c>
      <c r="AO59" s="100">
        <f t="shared" si="94"/>
        <v>3.5816000000000001E-2</v>
      </c>
      <c r="AP59" s="100">
        <f t="shared" si="94"/>
        <v>3.5816000000000001E-2</v>
      </c>
      <c r="AQ59" s="100">
        <f t="shared" si="94"/>
        <v>3.5816000000000001E-2</v>
      </c>
      <c r="AR59" s="100">
        <f t="shared" si="94"/>
        <v>3.5816000000000001E-2</v>
      </c>
      <c r="AS59" s="100">
        <f t="shared" si="94"/>
        <v>3.5816000000000001E-2</v>
      </c>
      <c r="AT59" s="100">
        <f t="shared" si="94"/>
        <v>3.5816000000000001E-2</v>
      </c>
      <c r="AU59" s="100">
        <f t="shared" si="94"/>
        <v>3.5816000000000001E-2</v>
      </c>
      <c r="AV59" s="100">
        <f t="shared" si="94"/>
        <v>3.5816000000000001E-2</v>
      </c>
      <c r="AW59" s="100">
        <f t="shared" si="94"/>
        <v>3.5816000000000001E-2</v>
      </c>
      <c r="AX59" s="100">
        <f t="shared" si="94"/>
        <v>3.5816000000000001E-2</v>
      </c>
      <c r="AY59" s="100">
        <f t="shared" si="94"/>
        <v>3.5816000000000001E-2</v>
      </c>
      <c r="AZ59" s="100">
        <f t="shared" si="94"/>
        <v>3.5816000000000001E-2</v>
      </c>
      <c r="BA59" s="101">
        <f t="shared" si="73"/>
        <v>7.1631999999999995E-7</v>
      </c>
      <c r="BB59" s="101">
        <f>IFERROR(s_RadSpec!$E$7*(BB7/$B59),".")</f>
        <v>1.7907999999999999E-7</v>
      </c>
      <c r="BC59" s="101">
        <f>IFERROR(s_RadSpec!$E$7*(BC7/$B59),".")</f>
        <v>1.7907999999999999E-7</v>
      </c>
      <c r="BD59" s="101">
        <f>IFERROR(s_RadSpec!$E$7*(BD7/$B59),".")</f>
        <v>1.7907999999999999E-7</v>
      </c>
      <c r="BE59" s="101">
        <f>IFERROR(s_RadSpec!$E$7*(BE7/$B59),".")</f>
        <v>1.7907999999999999E-7</v>
      </c>
      <c r="BF59" s="101">
        <f>IFERROR(s_RadSpec!$E$7*(BF7/$B59),".")</f>
        <v>1.7907999999999999E-7</v>
      </c>
      <c r="BG59" s="101">
        <f>IFERROR(s_RadSpec!$E$7*(BG7/$B59),".")</f>
        <v>1.7907999999999999E-7</v>
      </c>
      <c r="BH59" s="101">
        <f>IFERROR(s_RadSpec!$E$7*(BH7/$B59),".")</f>
        <v>1.7907999999999999E-7</v>
      </c>
      <c r="BI59" s="101">
        <f>IFERROR(s_RadSpec!$E$7*(BI7/$B59),".")</f>
        <v>1.7907999999999999E-7</v>
      </c>
      <c r="BJ59" s="101">
        <f>IFERROR(s_RadSpec!$E$7*(BJ7/$B59),".")</f>
        <v>1.7907999999999999E-7</v>
      </c>
      <c r="BK59" s="101">
        <f>IFERROR(s_RadSpec!$E$7*(BK7/$B59),".")</f>
        <v>1.7907999999999999E-7</v>
      </c>
      <c r="BL59" s="101">
        <f>IFERROR(s_RadSpec!$E$7*(BL7/$B59),".")</f>
        <v>1.7907999999999999E-7</v>
      </c>
      <c r="BM59" s="101">
        <f>IFERROR(s_RadSpec!$E$7*(BM7/$B59),".")</f>
        <v>1.7907999999999999E-7</v>
      </c>
      <c r="BN59" s="101">
        <f>IFERROR(s_RadSpec!$E$7*(BN7/$B59),".")</f>
        <v>1.7907999999999999E-7</v>
      </c>
      <c r="BO59" s="101">
        <f>IFERROR(s_RadSpec!$E$7*(BO7/$B59),".")</f>
        <v>1.7907999999999999E-7</v>
      </c>
      <c r="BP59" s="101">
        <f>IFERROR(s_RadSpec!$E$7*(BP7/$B59),".")</f>
        <v>1.7907999999999999E-7</v>
      </c>
      <c r="BQ59" s="101">
        <f>IFERROR(s_RadSpec!$E$7*(BQ7/$B59),".")</f>
        <v>1.7907999999999999E-7</v>
      </c>
      <c r="BR59" s="101">
        <f>IFERROR(s_RadSpec!$E$7*(BR7/$B59),".")</f>
        <v>1.7907999999999999E-7</v>
      </c>
      <c r="BS59" s="101">
        <f>IFERROR(s_RadSpec!$E$7*(BS7/$B59),".")</f>
        <v>1.7907999999999999E-7</v>
      </c>
      <c r="BT59" s="101">
        <f>IFERROR(s_RadSpec!$E$7*(BT7/$B59),".")</f>
        <v>1.7907999999999999E-7</v>
      </c>
      <c r="BU59" s="101">
        <f>IFERROR(s_RadSpec!$E$7*(BU7/$B59),".")</f>
        <v>1.7907999999999999E-7</v>
      </c>
      <c r="BV59" s="101">
        <f>IFERROR(s_RadSpec!$E$7*(BV7/$B59),".")</f>
        <v>1.7907999999999999E-7</v>
      </c>
      <c r="BW59" s="101">
        <f>IFERROR(s_RadSpec!$E$7*(BW7/$B59),".")</f>
        <v>1.7907999999999999E-7</v>
      </c>
      <c r="BX59" s="101">
        <f>IFERROR(s_RadSpec!$E$7*(BX7/$B59),".")</f>
        <v>1.7907999999999999E-7</v>
      </c>
      <c r="BY59" s="101">
        <f>IFERROR(s_RadSpec!$E$7*(BY7/$B59),".")</f>
        <v>1.7907999999999999E-7</v>
      </c>
    </row>
    <row r="60" spans="1:77" x14ac:dyDescent="0.25">
      <c r="A60" s="99" t="s">
        <v>1098</v>
      </c>
      <c r="B60" s="104">
        <v>1.9000000000000001E-8</v>
      </c>
      <c r="C60" s="100" t="str">
        <f t="shared" si="92"/>
        <v>.</v>
      </c>
      <c r="D60" s="100">
        <f t="shared" ref="D60:AA60" si="95">IFERROR($B60/D12,0)</f>
        <v>0</v>
      </c>
      <c r="E60" s="100">
        <f t="shared" si="95"/>
        <v>0</v>
      </c>
      <c r="F60" s="100">
        <f t="shared" si="95"/>
        <v>0</v>
      </c>
      <c r="G60" s="100">
        <f t="shared" si="95"/>
        <v>0</v>
      </c>
      <c r="H60" s="100">
        <f t="shared" si="95"/>
        <v>0</v>
      </c>
      <c r="I60" s="100">
        <f t="shared" si="95"/>
        <v>0</v>
      </c>
      <c r="J60" s="100">
        <f t="shared" si="95"/>
        <v>0</v>
      </c>
      <c r="K60" s="100">
        <f t="shared" si="95"/>
        <v>0</v>
      </c>
      <c r="L60" s="100">
        <f t="shared" si="95"/>
        <v>0</v>
      </c>
      <c r="M60" s="100">
        <f t="shared" si="95"/>
        <v>0</v>
      </c>
      <c r="N60" s="100">
        <f t="shared" si="95"/>
        <v>0</v>
      </c>
      <c r="O60" s="100">
        <f t="shared" si="95"/>
        <v>0</v>
      </c>
      <c r="P60" s="100">
        <f t="shared" si="95"/>
        <v>0</v>
      </c>
      <c r="Q60" s="100">
        <f t="shared" si="95"/>
        <v>0</v>
      </c>
      <c r="R60" s="100">
        <f t="shared" si="95"/>
        <v>0</v>
      </c>
      <c r="S60" s="100">
        <f t="shared" si="95"/>
        <v>0</v>
      </c>
      <c r="T60" s="100">
        <f t="shared" si="95"/>
        <v>0</v>
      </c>
      <c r="U60" s="100">
        <f t="shared" si="95"/>
        <v>0</v>
      </c>
      <c r="V60" s="100">
        <f t="shared" si="95"/>
        <v>0</v>
      </c>
      <c r="W60" s="100">
        <f t="shared" si="95"/>
        <v>0</v>
      </c>
      <c r="X60" s="100">
        <f t="shared" si="95"/>
        <v>0</v>
      </c>
      <c r="Y60" s="100">
        <f t="shared" si="95"/>
        <v>0</v>
      </c>
      <c r="Z60" s="100">
        <f t="shared" si="95"/>
        <v>0</v>
      </c>
      <c r="AA60" s="100">
        <f t="shared" si="95"/>
        <v>0</v>
      </c>
      <c r="AB60" s="100" t="str">
        <f t="shared" si="30"/>
        <v>.</v>
      </c>
      <c r="AC60" s="100">
        <f t="shared" ref="AC60:AZ60" si="96">IFERROR($B60/AC12,0)</f>
        <v>0</v>
      </c>
      <c r="AD60" s="100">
        <f t="shared" si="96"/>
        <v>0</v>
      </c>
      <c r="AE60" s="100">
        <f t="shared" si="96"/>
        <v>0</v>
      </c>
      <c r="AF60" s="100">
        <f t="shared" si="96"/>
        <v>0</v>
      </c>
      <c r="AG60" s="100">
        <f t="shared" si="96"/>
        <v>0</v>
      </c>
      <c r="AH60" s="100">
        <f t="shared" si="96"/>
        <v>0</v>
      </c>
      <c r="AI60" s="100">
        <f t="shared" si="96"/>
        <v>0</v>
      </c>
      <c r="AJ60" s="100">
        <f t="shared" si="96"/>
        <v>0</v>
      </c>
      <c r="AK60" s="100">
        <f t="shared" si="96"/>
        <v>0</v>
      </c>
      <c r="AL60" s="100">
        <f t="shared" si="96"/>
        <v>0</v>
      </c>
      <c r="AM60" s="100">
        <f t="shared" si="96"/>
        <v>0</v>
      </c>
      <c r="AN60" s="100">
        <f t="shared" si="96"/>
        <v>0</v>
      </c>
      <c r="AO60" s="100">
        <f t="shared" si="96"/>
        <v>0</v>
      </c>
      <c r="AP60" s="100">
        <f t="shared" si="96"/>
        <v>0</v>
      </c>
      <c r="AQ60" s="100">
        <f t="shared" si="96"/>
        <v>0</v>
      </c>
      <c r="AR60" s="100">
        <f t="shared" si="96"/>
        <v>0</v>
      </c>
      <c r="AS60" s="100">
        <f t="shared" si="96"/>
        <v>0</v>
      </c>
      <c r="AT60" s="100">
        <f t="shared" si="96"/>
        <v>0</v>
      </c>
      <c r="AU60" s="100">
        <f t="shared" si="96"/>
        <v>0</v>
      </c>
      <c r="AV60" s="100">
        <f t="shared" si="96"/>
        <v>0</v>
      </c>
      <c r="AW60" s="100">
        <f t="shared" si="96"/>
        <v>0</v>
      </c>
      <c r="AX60" s="100">
        <f t="shared" si="96"/>
        <v>0</v>
      </c>
      <c r="AY60" s="100">
        <f t="shared" si="96"/>
        <v>0</v>
      </c>
      <c r="AZ60" s="100">
        <f t="shared" si="96"/>
        <v>0</v>
      </c>
      <c r="BA60" s="101">
        <f t="shared" si="73"/>
        <v>0</v>
      </c>
      <c r="BB60" s="101">
        <f>IFERROR(s_RadSpec!$E$12*(BB12/$B60),".")</f>
        <v>0</v>
      </c>
      <c r="BC60" s="101">
        <f>IFERROR(s_RadSpec!$E$12*(BC12/$B60),".")</f>
        <v>0</v>
      </c>
      <c r="BD60" s="101">
        <f>IFERROR(s_RadSpec!$E$12*(BD12/$B60),".")</f>
        <v>0</v>
      </c>
      <c r="BE60" s="101">
        <f>IFERROR(s_RadSpec!$E$12*(BE12/$B60),".")</f>
        <v>0</v>
      </c>
      <c r="BF60" s="101">
        <f>IFERROR(s_RadSpec!$E$12*(BF12/$B60),".")</f>
        <v>0</v>
      </c>
      <c r="BG60" s="101">
        <f>IFERROR(s_RadSpec!$E$12*(BG12/$B60),".")</f>
        <v>0</v>
      </c>
      <c r="BH60" s="101">
        <f>IFERROR(s_RadSpec!$E$12*(BH12/$B60),".")</f>
        <v>0</v>
      </c>
      <c r="BI60" s="101">
        <f>IFERROR(s_RadSpec!$E$12*(BI12/$B60),".")</f>
        <v>0</v>
      </c>
      <c r="BJ60" s="101">
        <f>IFERROR(s_RadSpec!$E$12*(BJ12/$B60),".")</f>
        <v>0</v>
      </c>
      <c r="BK60" s="101">
        <f>IFERROR(s_RadSpec!$E$12*(BK12/$B60),".")</f>
        <v>0</v>
      </c>
      <c r="BL60" s="101">
        <f>IFERROR(s_RadSpec!$E$12*(BL12/$B60),".")</f>
        <v>0</v>
      </c>
      <c r="BM60" s="101">
        <f>IFERROR(s_RadSpec!$E$12*(BM12/$B60),".")</f>
        <v>0</v>
      </c>
      <c r="BN60" s="101">
        <f>IFERROR(s_RadSpec!$E$12*(BN12/$B60),".")</f>
        <v>0</v>
      </c>
      <c r="BO60" s="101">
        <f>IFERROR(s_RadSpec!$E$12*(BO12/$B60),".")</f>
        <v>0</v>
      </c>
      <c r="BP60" s="101">
        <f>IFERROR(s_RadSpec!$E$12*(BP12/$B60),".")</f>
        <v>0</v>
      </c>
      <c r="BQ60" s="101">
        <f>IFERROR(s_RadSpec!$E$12*(BQ12/$B60),".")</f>
        <v>0</v>
      </c>
      <c r="BR60" s="101">
        <f>IFERROR(s_RadSpec!$E$12*(BR12/$B60),".")</f>
        <v>0</v>
      </c>
      <c r="BS60" s="101">
        <f>IFERROR(s_RadSpec!$E$12*(BS12/$B60),".")</f>
        <v>0</v>
      </c>
      <c r="BT60" s="101">
        <f>IFERROR(s_RadSpec!$E$12*(BT12/$B60),".")</f>
        <v>0</v>
      </c>
      <c r="BU60" s="101">
        <f>IFERROR(s_RadSpec!$E$12*(BU12/$B60),".")</f>
        <v>0</v>
      </c>
      <c r="BV60" s="101">
        <f>IFERROR(s_RadSpec!$E$12*(BV12/$B60),".")</f>
        <v>0</v>
      </c>
      <c r="BW60" s="101">
        <f>IFERROR(s_RadSpec!$E$12*(BW12/$B60),".")</f>
        <v>0</v>
      </c>
      <c r="BX60" s="101">
        <f>IFERROR(s_RadSpec!$E$12*(BX12/$B60),".")</f>
        <v>0</v>
      </c>
      <c r="BY60" s="101">
        <f>IFERROR(s_RadSpec!$E$12*(BY12/$B60),".")</f>
        <v>0</v>
      </c>
    </row>
    <row r="61" spans="1:77" x14ac:dyDescent="0.25">
      <c r="A61" s="99" t="s">
        <v>1099</v>
      </c>
      <c r="B61" s="90">
        <v>1</v>
      </c>
      <c r="C61" s="100">
        <f t="shared" si="92"/>
        <v>1.54914375</v>
      </c>
      <c r="D61" s="100">
        <f t="shared" ref="D61:AA61" si="97">IFERROR($B61/D18,0)</f>
        <v>6.1965750000000002</v>
      </c>
      <c r="E61" s="100">
        <f t="shared" si="97"/>
        <v>6.1965750000000002</v>
      </c>
      <c r="F61" s="100">
        <f t="shared" si="97"/>
        <v>6.1965750000000002</v>
      </c>
      <c r="G61" s="100">
        <f t="shared" si="97"/>
        <v>6.1965750000000002</v>
      </c>
      <c r="H61" s="100">
        <f t="shared" si="97"/>
        <v>6.1965750000000002</v>
      </c>
      <c r="I61" s="100">
        <f t="shared" si="97"/>
        <v>6.1965750000000002</v>
      </c>
      <c r="J61" s="100">
        <f t="shared" si="97"/>
        <v>6.1965750000000002</v>
      </c>
      <c r="K61" s="100">
        <f t="shared" si="97"/>
        <v>6.1965750000000002</v>
      </c>
      <c r="L61" s="100">
        <f t="shared" si="97"/>
        <v>6.1965750000000002</v>
      </c>
      <c r="M61" s="100">
        <f t="shared" si="97"/>
        <v>6.1965750000000002</v>
      </c>
      <c r="N61" s="100">
        <f t="shared" si="97"/>
        <v>6.1965750000000002</v>
      </c>
      <c r="O61" s="100">
        <f t="shared" si="97"/>
        <v>6.1965750000000002</v>
      </c>
      <c r="P61" s="100">
        <f t="shared" si="97"/>
        <v>6.1965750000000002</v>
      </c>
      <c r="Q61" s="100">
        <f t="shared" si="97"/>
        <v>6.1965750000000002</v>
      </c>
      <c r="R61" s="100">
        <f t="shared" si="97"/>
        <v>6.1965750000000002</v>
      </c>
      <c r="S61" s="100">
        <f t="shared" si="97"/>
        <v>6.1965750000000002</v>
      </c>
      <c r="T61" s="100">
        <f t="shared" si="97"/>
        <v>6.1965750000000002</v>
      </c>
      <c r="U61" s="100">
        <f t="shared" si="97"/>
        <v>6.1965750000000002</v>
      </c>
      <c r="V61" s="100">
        <f t="shared" si="97"/>
        <v>6.1965750000000002</v>
      </c>
      <c r="W61" s="100">
        <f t="shared" si="97"/>
        <v>6.1965750000000002</v>
      </c>
      <c r="X61" s="100">
        <f t="shared" si="97"/>
        <v>6.1965750000000002</v>
      </c>
      <c r="Y61" s="100">
        <f t="shared" si="97"/>
        <v>6.1965750000000002</v>
      </c>
      <c r="Z61" s="100">
        <f t="shared" si="97"/>
        <v>6.1965750000000002</v>
      </c>
      <c r="AA61" s="100">
        <f t="shared" si="97"/>
        <v>6.1965750000000002</v>
      </c>
      <c r="AB61" s="100">
        <f t="shared" si="30"/>
        <v>1.54914375</v>
      </c>
      <c r="AC61" s="100">
        <f t="shared" ref="AC61:AZ61" si="98">IFERROR($B61/AC18,0)</f>
        <v>6.1965750000000002</v>
      </c>
      <c r="AD61" s="100">
        <f t="shared" si="98"/>
        <v>6.1965750000000002</v>
      </c>
      <c r="AE61" s="100">
        <f t="shared" si="98"/>
        <v>6.1965750000000002</v>
      </c>
      <c r="AF61" s="100">
        <f t="shared" si="98"/>
        <v>6.1965750000000002</v>
      </c>
      <c r="AG61" s="100">
        <f t="shared" si="98"/>
        <v>6.1965750000000002</v>
      </c>
      <c r="AH61" s="100">
        <f t="shared" si="98"/>
        <v>6.1965750000000002</v>
      </c>
      <c r="AI61" s="100">
        <f t="shared" si="98"/>
        <v>6.1965750000000002</v>
      </c>
      <c r="AJ61" s="100">
        <f t="shared" si="98"/>
        <v>6.1965750000000002</v>
      </c>
      <c r="AK61" s="100">
        <f t="shared" si="98"/>
        <v>6.1965750000000002</v>
      </c>
      <c r="AL61" s="100">
        <f t="shared" si="98"/>
        <v>6.1965750000000002</v>
      </c>
      <c r="AM61" s="100">
        <f t="shared" si="98"/>
        <v>6.1965750000000002</v>
      </c>
      <c r="AN61" s="100">
        <f t="shared" si="98"/>
        <v>6.1965750000000002</v>
      </c>
      <c r="AO61" s="100">
        <f t="shared" si="98"/>
        <v>6.1965750000000002</v>
      </c>
      <c r="AP61" s="100">
        <f t="shared" si="98"/>
        <v>6.1965750000000002</v>
      </c>
      <c r="AQ61" s="100">
        <f t="shared" si="98"/>
        <v>6.1965750000000002</v>
      </c>
      <c r="AR61" s="100">
        <f t="shared" si="98"/>
        <v>6.1965750000000002</v>
      </c>
      <c r="AS61" s="100">
        <f t="shared" si="98"/>
        <v>6.1965750000000002</v>
      </c>
      <c r="AT61" s="100">
        <f t="shared" si="98"/>
        <v>6.1965750000000002</v>
      </c>
      <c r="AU61" s="100">
        <f t="shared" si="98"/>
        <v>6.1965750000000002</v>
      </c>
      <c r="AV61" s="100">
        <f t="shared" si="98"/>
        <v>6.1965750000000002</v>
      </c>
      <c r="AW61" s="100">
        <f t="shared" si="98"/>
        <v>6.1965750000000002</v>
      </c>
      <c r="AX61" s="100">
        <f t="shared" si="98"/>
        <v>6.1965750000000002</v>
      </c>
      <c r="AY61" s="100">
        <f t="shared" si="98"/>
        <v>6.1965750000000002</v>
      </c>
      <c r="AZ61" s="100">
        <f t="shared" si="98"/>
        <v>6.1965750000000002</v>
      </c>
      <c r="BA61" s="101">
        <f t="shared" si="73"/>
        <v>1.2393150000000001E-4</v>
      </c>
      <c r="BB61" s="101">
        <f>IFERROR(s_RadSpec!$E$18*(BB18/$B61),".")</f>
        <v>3.0982875000000003E-5</v>
      </c>
      <c r="BC61" s="101">
        <f>IFERROR(s_RadSpec!$E$18*(BC18/$B61),".")</f>
        <v>3.0982875000000003E-5</v>
      </c>
      <c r="BD61" s="101">
        <f>IFERROR(s_RadSpec!$E$18*(BD18/$B61),".")</f>
        <v>3.0982875000000003E-5</v>
      </c>
      <c r="BE61" s="101">
        <f>IFERROR(s_RadSpec!$E$18*(BE18/$B61),".")</f>
        <v>3.0982875000000003E-5</v>
      </c>
      <c r="BF61" s="101">
        <f>IFERROR(s_RadSpec!$E$18*(BF18/$B61),".")</f>
        <v>3.0982875000000003E-5</v>
      </c>
      <c r="BG61" s="101">
        <f>IFERROR(s_RadSpec!$E$18*(BG18/$B61),".")</f>
        <v>3.0982875000000003E-5</v>
      </c>
      <c r="BH61" s="101">
        <f>IFERROR(s_RadSpec!$E$18*(BH18/$B61),".")</f>
        <v>3.0982875000000003E-5</v>
      </c>
      <c r="BI61" s="101">
        <f>IFERROR(s_RadSpec!$E$18*(BI18/$B61),".")</f>
        <v>3.0982875000000003E-5</v>
      </c>
      <c r="BJ61" s="101">
        <f>IFERROR(s_RadSpec!$E$18*(BJ18/$B61),".")</f>
        <v>3.0982875000000003E-5</v>
      </c>
      <c r="BK61" s="101">
        <f>IFERROR(s_RadSpec!$E$18*(BK18/$B61),".")</f>
        <v>3.0982875000000003E-5</v>
      </c>
      <c r="BL61" s="101">
        <f>IFERROR(s_RadSpec!$E$18*(BL18/$B61),".")</f>
        <v>3.0982875000000003E-5</v>
      </c>
      <c r="BM61" s="101">
        <f>IFERROR(s_RadSpec!$E$18*(BM18/$B61),".")</f>
        <v>3.0982875000000003E-5</v>
      </c>
      <c r="BN61" s="101">
        <f>IFERROR(s_RadSpec!$E$18*(BN18/$B61),".")</f>
        <v>3.0982875000000003E-5</v>
      </c>
      <c r="BO61" s="101">
        <f>IFERROR(s_RadSpec!$E$18*(BO18/$B61),".")</f>
        <v>3.0982875000000003E-5</v>
      </c>
      <c r="BP61" s="101">
        <f>IFERROR(s_RadSpec!$E$18*(BP18/$B61),".")</f>
        <v>3.0982875000000003E-5</v>
      </c>
      <c r="BQ61" s="101">
        <f>IFERROR(s_RadSpec!$E$18*(BQ18/$B61),".")</f>
        <v>3.0982875000000003E-5</v>
      </c>
      <c r="BR61" s="101">
        <f>IFERROR(s_RadSpec!$E$18*(BR18/$B61),".")</f>
        <v>3.0982875000000003E-5</v>
      </c>
      <c r="BS61" s="101">
        <f>IFERROR(s_RadSpec!$E$18*(BS18/$B61),".")</f>
        <v>3.0982875000000003E-5</v>
      </c>
      <c r="BT61" s="101">
        <f>IFERROR(s_RadSpec!$E$18*(BT18/$B61),".")</f>
        <v>3.0982875000000003E-5</v>
      </c>
      <c r="BU61" s="101">
        <f>IFERROR(s_RadSpec!$E$18*(BU18/$B61),".")</f>
        <v>3.0982875000000003E-5</v>
      </c>
      <c r="BV61" s="101">
        <f>IFERROR(s_RadSpec!$E$18*(BV18/$B61),".")</f>
        <v>3.0982875000000003E-5</v>
      </c>
      <c r="BW61" s="101">
        <f>IFERROR(s_RadSpec!$E$18*(BW18/$B61),".")</f>
        <v>3.0982875000000003E-5</v>
      </c>
      <c r="BX61" s="101">
        <f>IFERROR(s_RadSpec!$E$18*(BX18/$B61),".")</f>
        <v>3.0982875000000003E-5</v>
      </c>
      <c r="BY61" s="101">
        <f>IFERROR(s_RadSpec!$E$18*(BY18/$B61),".")</f>
        <v>3.0982875000000003E-5</v>
      </c>
    </row>
    <row r="62" spans="1:77" x14ac:dyDescent="0.25">
      <c r="A62" s="99" t="s">
        <v>1100</v>
      </c>
      <c r="B62" s="90">
        <v>1.339E-6</v>
      </c>
      <c r="C62" s="100" t="str">
        <f t="shared" si="92"/>
        <v>.</v>
      </c>
      <c r="D62" s="100">
        <f t="shared" ref="D62:AA62" si="99">IFERROR($B62/D27,0)</f>
        <v>0</v>
      </c>
      <c r="E62" s="100">
        <f t="shared" si="99"/>
        <v>0</v>
      </c>
      <c r="F62" s="100">
        <f t="shared" si="99"/>
        <v>0</v>
      </c>
      <c r="G62" s="100">
        <f t="shared" si="99"/>
        <v>0</v>
      </c>
      <c r="H62" s="100">
        <f t="shared" si="99"/>
        <v>0</v>
      </c>
      <c r="I62" s="100">
        <f t="shared" si="99"/>
        <v>0</v>
      </c>
      <c r="J62" s="100">
        <f t="shared" si="99"/>
        <v>0</v>
      </c>
      <c r="K62" s="100">
        <f t="shared" si="99"/>
        <v>0</v>
      </c>
      <c r="L62" s="100">
        <f t="shared" si="99"/>
        <v>0</v>
      </c>
      <c r="M62" s="100">
        <f t="shared" si="99"/>
        <v>0</v>
      </c>
      <c r="N62" s="100">
        <f t="shared" si="99"/>
        <v>0</v>
      </c>
      <c r="O62" s="100">
        <f t="shared" si="99"/>
        <v>0</v>
      </c>
      <c r="P62" s="100">
        <f t="shared" si="99"/>
        <v>0</v>
      </c>
      <c r="Q62" s="100">
        <f t="shared" si="99"/>
        <v>0</v>
      </c>
      <c r="R62" s="100">
        <f t="shared" si="99"/>
        <v>0</v>
      </c>
      <c r="S62" s="100">
        <f t="shared" si="99"/>
        <v>0</v>
      </c>
      <c r="T62" s="100">
        <f t="shared" si="99"/>
        <v>0</v>
      </c>
      <c r="U62" s="100">
        <f t="shared" si="99"/>
        <v>0</v>
      </c>
      <c r="V62" s="100">
        <f t="shared" si="99"/>
        <v>0</v>
      </c>
      <c r="W62" s="100">
        <f t="shared" si="99"/>
        <v>0</v>
      </c>
      <c r="X62" s="100">
        <f t="shared" si="99"/>
        <v>0</v>
      </c>
      <c r="Y62" s="100">
        <f t="shared" si="99"/>
        <v>0</v>
      </c>
      <c r="Z62" s="100">
        <f t="shared" si="99"/>
        <v>0</v>
      </c>
      <c r="AA62" s="100">
        <f t="shared" si="99"/>
        <v>0</v>
      </c>
      <c r="AB62" s="100" t="str">
        <f t="shared" si="30"/>
        <v>.</v>
      </c>
      <c r="AC62" s="100">
        <f t="shared" ref="AC62:AZ62" si="100">IFERROR($B62/AC27,0)</f>
        <v>0</v>
      </c>
      <c r="AD62" s="100">
        <f t="shared" si="100"/>
        <v>0</v>
      </c>
      <c r="AE62" s="100">
        <f t="shared" si="100"/>
        <v>0</v>
      </c>
      <c r="AF62" s="100">
        <f t="shared" si="100"/>
        <v>0</v>
      </c>
      <c r="AG62" s="100">
        <f t="shared" si="100"/>
        <v>0</v>
      </c>
      <c r="AH62" s="100">
        <f t="shared" si="100"/>
        <v>0</v>
      </c>
      <c r="AI62" s="100">
        <f t="shared" si="100"/>
        <v>0</v>
      </c>
      <c r="AJ62" s="100">
        <f t="shared" si="100"/>
        <v>0</v>
      </c>
      <c r="AK62" s="100">
        <f t="shared" si="100"/>
        <v>0</v>
      </c>
      <c r="AL62" s="100">
        <f t="shared" si="100"/>
        <v>0</v>
      </c>
      <c r="AM62" s="100">
        <f t="shared" si="100"/>
        <v>0</v>
      </c>
      <c r="AN62" s="100">
        <f t="shared" si="100"/>
        <v>0</v>
      </c>
      <c r="AO62" s="100">
        <f t="shared" si="100"/>
        <v>0</v>
      </c>
      <c r="AP62" s="100">
        <f t="shared" si="100"/>
        <v>0</v>
      </c>
      <c r="AQ62" s="100">
        <f t="shared" si="100"/>
        <v>0</v>
      </c>
      <c r="AR62" s="100">
        <f t="shared" si="100"/>
        <v>0</v>
      </c>
      <c r="AS62" s="100">
        <f t="shared" si="100"/>
        <v>0</v>
      </c>
      <c r="AT62" s="100">
        <f t="shared" si="100"/>
        <v>0</v>
      </c>
      <c r="AU62" s="100">
        <f t="shared" si="100"/>
        <v>0</v>
      </c>
      <c r="AV62" s="100">
        <f t="shared" si="100"/>
        <v>0</v>
      </c>
      <c r="AW62" s="100">
        <f t="shared" si="100"/>
        <v>0</v>
      </c>
      <c r="AX62" s="100">
        <f t="shared" si="100"/>
        <v>0</v>
      </c>
      <c r="AY62" s="100">
        <f t="shared" si="100"/>
        <v>0</v>
      </c>
      <c r="AZ62" s="100">
        <f t="shared" si="100"/>
        <v>0</v>
      </c>
      <c r="BA62" s="101">
        <f t="shared" si="73"/>
        <v>0</v>
      </c>
      <c r="BB62" s="101">
        <f>IFERROR(s_RadSpec!$E$27*(BB27/$B62),".")</f>
        <v>0</v>
      </c>
      <c r="BC62" s="101">
        <f>IFERROR(s_RadSpec!$E$27*(BC27/$B62),".")</f>
        <v>0</v>
      </c>
      <c r="BD62" s="101">
        <f>IFERROR(s_RadSpec!$E$27*(BD27/$B62),".")</f>
        <v>0</v>
      </c>
      <c r="BE62" s="101">
        <f>IFERROR(s_RadSpec!$E$27*(BE27/$B62),".")</f>
        <v>0</v>
      </c>
      <c r="BF62" s="101">
        <f>IFERROR(s_RadSpec!$E$27*(BF27/$B62),".")</f>
        <v>0</v>
      </c>
      <c r="BG62" s="101">
        <f>IFERROR(s_RadSpec!$E$27*(BG27/$B62),".")</f>
        <v>0</v>
      </c>
      <c r="BH62" s="101">
        <f>IFERROR(s_RadSpec!$E$27*(BH27/$B62),".")</f>
        <v>0</v>
      </c>
      <c r="BI62" s="101">
        <f>IFERROR(s_RadSpec!$E$27*(BI27/$B62),".")</f>
        <v>0</v>
      </c>
      <c r="BJ62" s="101">
        <f>IFERROR(s_RadSpec!$E$27*(BJ27/$B62),".")</f>
        <v>0</v>
      </c>
      <c r="BK62" s="101">
        <f>IFERROR(s_RadSpec!$E$27*(BK27/$B62),".")</f>
        <v>0</v>
      </c>
      <c r="BL62" s="101">
        <f>IFERROR(s_RadSpec!$E$27*(BL27/$B62),".")</f>
        <v>0</v>
      </c>
      <c r="BM62" s="101">
        <f>IFERROR(s_RadSpec!$E$27*(BM27/$B62),".")</f>
        <v>0</v>
      </c>
      <c r="BN62" s="101">
        <f>IFERROR(s_RadSpec!$E$27*(BN27/$B62),".")</f>
        <v>0</v>
      </c>
      <c r="BO62" s="101">
        <f>IFERROR(s_RadSpec!$E$27*(BO27/$B62),".")</f>
        <v>0</v>
      </c>
      <c r="BP62" s="101">
        <f>IFERROR(s_RadSpec!$E$27*(BP27/$B62),".")</f>
        <v>0</v>
      </c>
      <c r="BQ62" s="101">
        <f>IFERROR(s_RadSpec!$E$27*(BQ27/$B62),".")</f>
        <v>0</v>
      </c>
      <c r="BR62" s="101">
        <f>IFERROR(s_RadSpec!$E$27*(BR27/$B62),".")</f>
        <v>0</v>
      </c>
      <c r="BS62" s="101">
        <f>IFERROR(s_RadSpec!$E$27*(BS27/$B62),".")</f>
        <v>0</v>
      </c>
      <c r="BT62" s="101">
        <f>IFERROR(s_RadSpec!$E$27*(BT27/$B62),".")</f>
        <v>0</v>
      </c>
      <c r="BU62" s="101">
        <f>IFERROR(s_RadSpec!$E$27*(BU27/$B62),".")</f>
        <v>0</v>
      </c>
      <c r="BV62" s="101">
        <f>IFERROR(s_RadSpec!$E$27*(BV27/$B62),".")</f>
        <v>0</v>
      </c>
      <c r="BW62" s="101">
        <f>IFERROR(s_RadSpec!$E$27*(BW27/$B62),".")</f>
        <v>0</v>
      </c>
      <c r="BX62" s="101">
        <f>IFERROR(s_RadSpec!$E$27*(BX27/$B62),".")</f>
        <v>0</v>
      </c>
      <c r="BY62" s="101">
        <f>IFERROR(s_RadSpec!$E$27*(BY27/$B62),".")</f>
        <v>0</v>
      </c>
    </row>
    <row r="63" spans="1:77" x14ac:dyDescent="0.25">
      <c r="A63" s="95" t="s">
        <v>35</v>
      </c>
      <c r="B63" s="95" t="s">
        <v>1074</v>
      </c>
      <c r="C63" s="96">
        <f t="shared" si="92"/>
        <v>2.6398867527410101E-2</v>
      </c>
      <c r="D63" s="96">
        <f t="shared" ref="D63:AA63" si="101">IFERROR(1/SUM(D64:D76),0)</f>
        <v>0.1055954701096404</v>
      </c>
      <c r="E63" s="96">
        <f t="shared" si="101"/>
        <v>0.1055954701096404</v>
      </c>
      <c r="F63" s="96">
        <f t="shared" si="101"/>
        <v>0.1055954701096404</v>
      </c>
      <c r="G63" s="96">
        <f t="shared" si="101"/>
        <v>0.1055954701096404</v>
      </c>
      <c r="H63" s="96">
        <f t="shared" si="101"/>
        <v>0.1055954701096404</v>
      </c>
      <c r="I63" s="96">
        <f t="shared" si="101"/>
        <v>0.1055954701096404</v>
      </c>
      <c r="J63" s="96">
        <f t="shared" si="101"/>
        <v>0.1055954701096404</v>
      </c>
      <c r="K63" s="96">
        <f t="shared" si="101"/>
        <v>0.1055954701096404</v>
      </c>
      <c r="L63" s="96">
        <f t="shared" si="101"/>
        <v>0.1055954701096404</v>
      </c>
      <c r="M63" s="96">
        <f t="shared" si="101"/>
        <v>0.1055954701096404</v>
      </c>
      <c r="N63" s="96">
        <f t="shared" si="101"/>
        <v>0.1055954701096404</v>
      </c>
      <c r="O63" s="96">
        <f t="shared" si="101"/>
        <v>0.1055954701096404</v>
      </c>
      <c r="P63" s="96">
        <f t="shared" si="101"/>
        <v>0.1055954701096404</v>
      </c>
      <c r="Q63" s="96">
        <f t="shared" si="101"/>
        <v>0.1055954701096404</v>
      </c>
      <c r="R63" s="96">
        <f t="shared" si="101"/>
        <v>0.1055954701096404</v>
      </c>
      <c r="S63" s="96">
        <f t="shared" si="101"/>
        <v>0.1055954701096404</v>
      </c>
      <c r="T63" s="96">
        <f t="shared" si="101"/>
        <v>0.1055954701096404</v>
      </c>
      <c r="U63" s="96">
        <f t="shared" si="101"/>
        <v>0.1055954701096404</v>
      </c>
      <c r="V63" s="96">
        <f t="shared" si="101"/>
        <v>0.1055954701096404</v>
      </c>
      <c r="W63" s="96">
        <f t="shared" si="101"/>
        <v>0.1055954701096404</v>
      </c>
      <c r="X63" s="96">
        <f t="shared" si="101"/>
        <v>0.1055954701096404</v>
      </c>
      <c r="Y63" s="96">
        <f t="shared" si="101"/>
        <v>0.1055954701096404</v>
      </c>
      <c r="Z63" s="96">
        <f t="shared" si="101"/>
        <v>0.1055954701096404</v>
      </c>
      <c r="AA63" s="96">
        <f t="shared" si="101"/>
        <v>0.1055954701096404</v>
      </c>
      <c r="AB63" s="96">
        <f t="shared" si="30"/>
        <v>2.6398867527410101E-2</v>
      </c>
      <c r="AC63" s="96">
        <f t="shared" ref="AC63:AZ63" si="102">IFERROR(1/SUM(AC64:AC76),0)</f>
        <v>0.1055954701096404</v>
      </c>
      <c r="AD63" s="96">
        <f t="shared" si="102"/>
        <v>0.1055954701096404</v>
      </c>
      <c r="AE63" s="96">
        <f t="shared" si="102"/>
        <v>0.1055954701096404</v>
      </c>
      <c r="AF63" s="96">
        <f t="shared" si="102"/>
        <v>0.1055954701096404</v>
      </c>
      <c r="AG63" s="96">
        <f t="shared" si="102"/>
        <v>0.1055954701096404</v>
      </c>
      <c r="AH63" s="96">
        <f t="shared" si="102"/>
        <v>0.1055954701096404</v>
      </c>
      <c r="AI63" s="96">
        <f t="shared" si="102"/>
        <v>0.1055954701096404</v>
      </c>
      <c r="AJ63" s="96">
        <f t="shared" si="102"/>
        <v>0.1055954701096404</v>
      </c>
      <c r="AK63" s="96">
        <f t="shared" si="102"/>
        <v>0.1055954701096404</v>
      </c>
      <c r="AL63" s="96">
        <f t="shared" si="102"/>
        <v>0.1055954701096404</v>
      </c>
      <c r="AM63" s="96">
        <f t="shared" si="102"/>
        <v>0.1055954701096404</v>
      </c>
      <c r="AN63" s="96">
        <f t="shared" si="102"/>
        <v>0.1055954701096404</v>
      </c>
      <c r="AO63" s="96">
        <f t="shared" si="102"/>
        <v>0.1055954701096404</v>
      </c>
      <c r="AP63" s="96">
        <f t="shared" si="102"/>
        <v>0.1055954701096404</v>
      </c>
      <c r="AQ63" s="96">
        <f t="shared" si="102"/>
        <v>0.1055954701096404</v>
      </c>
      <c r="AR63" s="96">
        <f t="shared" si="102"/>
        <v>0.1055954701096404</v>
      </c>
      <c r="AS63" s="96">
        <f t="shared" si="102"/>
        <v>0.1055954701096404</v>
      </c>
      <c r="AT63" s="96">
        <f t="shared" si="102"/>
        <v>0.1055954701096404</v>
      </c>
      <c r="AU63" s="96">
        <f t="shared" si="102"/>
        <v>0.1055954701096404</v>
      </c>
      <c r="AV63" s="96">
        <f t="shared" si="102"/>
        <v>0.1055954701096404</v>
      </c>
      <c r="AW63" s="96">
        <f t="shared" si="102"/>
        <v>0.1055954701096404</v>
      </c>
      <c r="AX63" s="96">
        <f t="shared" si="102"/>
        <v>0.1055954701096404</v>
      </c>
      <c r="AY63" s="96">
        <f t="shared" si="102"/>
        <v>0.1055954701096404</v>
      </c>
      <c r="AZ63" s="96">
        <f t="shared" si="102"/>
        <v>0.1055954701096404</v>
      </c>
      <c r="BA63" s="97">
        <f>IFERROR(IF(SUM(BB64:BC76,BX64:BY76)&gt;0.01,1-EXP(-SUM(BB64:BC76,BX64:BY76)),SUM(BB64:BC76,BX64:BY76)),".")</f>
        <v>1.8940207478568478E-4</v>
      </c>
      <c r="BB63" s="97">
        <f>IFERROR(IF(SUM(BB64:BB76)&gt;0.01,1-EXP(-(SUM(BB64:BB76))),SUM(BB64:BB76)),".")</f>
        <v>4.7350518696421188E-5</v>
      </c>
      <c r="BC63" s="97">
        <f t="shared" ref="BC63:BW63" si="103">IFERROR(IF(SUM(BC64:BC76)&gt;0.01,1-EXP(-(SUM(BC64:BC76))),SUM(BC64:BC76)),".")</f>
        <v>4.7350518696421188E-5</v>
      </c>
      <c r="BD63" s="97">
        <f t="shared" si="103"/>
        <v>4.7350518696421188E-5</v>
      </c>
      <c r="BE63" s="97">
        <f t="shared" si="103"/>
        <v>4.7350518696421188E-5</v>
      </c>
      <c r="BF63" s="97">
        <f t="shared" si="103"/>
        <v>4.7350518696421188E-5</v>
      </c>
      <c r="BG63" s="97">
        <f t="shared" si="103"/>
        <v>4.7350518696421188E-5</v>
      </c>
      <c r="BH63" s="97">
        <f t="shared" si="103"/>
        <v>4.7350518696421188E-5</v>
      </c>
      <c r="BI63" s="97">
        <f t="shared" si="103"/>
        <v>4.7350518696421188E-5</v>
      </c>
      <c r="BJ63" s="97">
        <f t="shared" si="103"/>
        <v>4.7350518696421188E-5</v>
      </c>
      <c r="BK63" s="97">
        <f t="shared" si="103"/>
        <v>4.7350518696421188E-5</v>
      </c>
      <c r="BL63" s="97">
        <f t="shared" si="103"/>
        <v>4.7350518696421188E-5</v>
      </c>
      <c r="BM63" s="97">
        <f t="shared" si="103"/>
        <v>4.7350518696421188E-5</v>
      </c>
      <c r="BN63" s="97">
        <f t="shared" si="103"/>
        <v>4.7350518696421188E-5</v>
      </c>
      <c r="BO63" s="97">
        <f t="shared" si="103"/>
        <v>4.7350518696421188E-5</v>
      </c>
      <c r="BP63" s="97">
        <f t="shared" si="103"/>
        <v>4.7350518696421188E-5</v>
      </c>
      <c r="BQ63" s="97">
        <f t="shared" si="103"/>
        <v>4.7350518696421188E-5</v>
      </c>
      <c r="BR63" s="97">
        <f t="shared" si="103"/>
        <v>4.7350518696421188E-5</v>
      </c>
      <c r="BS63" s="97">
        <f t="shared" si="103"/>
        <v>4.7350518696421188E-5</v>
      </c>
      <c r="BT63" s="97">
        <f t="shared" si="103"/>
        <v>4.7350518696421188E-5</v>
      </c>
      <c r="BU63" s="97">
        <f t="shared" si="103"/>
        <v>4.7350518696421188E-5</v>
      </c>
      <c r="BV63" s="97">
        <f t="shared" si="103"/>
        <v>4.7350518696421188E-5</v>
      </c>
      <c r="BW63" s="97">
        <f t="shared" si="103"/>
        <v>4.7350518696421188E-5</v>
      </c>
      <c r="BX63" s="97">
        <f>IFERROR(IF(SUM(BX64:BX76)&gt;0.01,1-EXP(-(SUM(BX64:BX76))),SUM(BX64:BX76)),".")</f>
        <v>4.7350518696421188E-5</v>
      </c>
      <c r="BY63" s="97">
        <f>IFERROR(IF(SUM(BY64:BY76)&gt;0.01,1-EXP(-(SUM(BY64:BY76))),SUM(BY64:BY76)),".")</f>
        <v>4.7350518696421188E-5</v>
      </c>
    </row>
    <row r="64" spans="1:77" x14ac:dyDescent="0.25">
      <c r="A64" s="99" t="s">
        <v>1090</v>
      </c>
      <c r="B64" s="90">
        <v>1</v>
      </c>
      <c r="C64" s="100" t="str">
        <f t="shared" si="92"/>
        <v>.</v>
      </c>
      <c r="D64" s="100">
        <f t="shared" ref="D64:AA64" si="104">IFERROR($B64/D25,0)</f>
        <v>0</v>
      </c>
      <c r="E64" s="100">
        <f t="shared" si="104"/>
        <v>0</v>
      </c>
      <c r="F64" s="100">
        <f t="shared" si="104"/>
        <v>0</v>
      </c>
      <c r="G64" s="100">
        <f t="shared" si="104"/>
        <v>0</v>
      </c>
      <c r="H64" s="100">
        <f t="shared" si="104"/>
        <v>0</v>
      </c>
      <c r="I64" s="100">
        <f t="shared" si="104"/>
        <v>0</v>
      </c>
      <c r="J64" s="100">
        <f t="shared" si="104"/>
        <v>0</v>
      </c>
      <c r="K64" s="100">
        <f t="shared" si="104"/>
        <v>0</v>
      </c>
      <c r="L64" s="100">
        <f t="shared" si="104"/>
        <v>0</v>
      </c>
      <c r="M64" s="100">
        <f t="shared" si="104"/>
        <v>0</v>
      </c>
      <c r="N64" s="100">
        <f t="shared" si="104"/>
        <v>0</v>
      </c>
      <c r="O64" s="100">
        <f t="shared" si="104"/>
        <v>0</v>
      </c>
      <c r="P64" s="100">
        <f t="shared" si="104"/>
        <v>0</v>
      </c>
      <c r="Q64" s="100">
        <f t="shared" si="104"/>
        <v>0</v>
      </c>
      <c r="R64" s="100">
        <f t="shared" si="104"/>
        <v>0</v>
      </c>
      <c r="S64" s="100">
        <f t="shared" si="104"/>
        <v>0</v>
      </c>
      <c r="T64" s="100">
        <f t="shared" si="104"/>
        <v>0</v>
      </c>
      <c r="U64" s="100">
        <f t="shared" si="104"/>
        <v>0</v>
      </c>
      <c r="V64" s="100">
        <f t="shared" si="104"/>
        <v>0</v>
      </c>
      <c r="W64" s="100">
        <f t="shared" si="104"/>
        <v>0</v>
      </c>
      <c r="X64" s="100">
        <f t="shared" si="104"/>
        <v>0</v>
      </c>
      <c r="Y64" s="100">
        <f t="shared" si="104"/>
        <v>0</v>
      </c>
      <c r="Z64" s="100">
        <f t="shared" si="104"/>
        <v>0</v>
      </c>
      <c r="AA64" s="100">
        <f t="shared" si="104"/>
        <v>0</v>
      </c>
      <c r="AB64" s="100" t="str">
        <f t="shared" si="30"/>
        <v>.</v>
      </c>
      <c r="AC64" s="100">
        <f t="shared" ref="AC64:AZ64" si="105">IFERROR($B64/AC25,0)</f>
        <v>0</v>
      </c>
      <c r="AD64" s="100">
        <f t="shared" si="105"/>
        <v>0</v>
      </c>
      <c r="AE64" s="100">
        <f t="shared" si="105"/>
        <v>0</v>
      </c>
      <c r="AF64" s="100">
        <f t="shared" si="105"/>
        <v>0</v>
      </c>
      <c r="AG64" s="100">
        <f t="shared" si="105"/>
        <v>0</v>
      </c>
      <c r="AH64" s="100">
        <f t="shared" si="105"/>
        <v>0</v>
      </c>
      <c r="AI64" s="100">
        <f t="shared" si="105"/>
        <v>0</v>
      </c>
      <c r="AJ64" s="100">
        <f t="shared" si="105"/>
        <v>0</v>
      </c>
      <c r="AK64" s="100">
        <f t="shared" si="105"/>
        <v>0</v>
      </c>
      <c r="AL64" s="100">
        <f t="shared" si="105"/>
        <v>0</v>
      </c>
      <c r="AM64" s="100">
        <f t="shared" si="105"/>
        <v>0</v>
      </c>
      <c r="AN64" s="100">
        <f t="shared" si="105"/>
        <v>0</v>
      </c>
      <c r="AO64" s="100">
        <f t="shared" si="105"/>
        <v>0</v>
      </c>
      <c r="AP64" s="100">
        <f t="shared" si="105"/>
        <v>0</v>
      </c>
      <c r="AQ64" s="100">
        <f t="shared" si="105"/>
        <v>0</v>
      </c>
      <c r="AR64" s="100">
        <f t="shared" si="105"/>
        <v>0</v>
      </c>
      <c r="AS64" s="100">
        <f t="shared" si="105"/>
        <v>0</v>
      </c>
      <c r="AT64" s="100">
        <f t="shared" si="105"/>
        <v>0</v>
      </c>
      <c r="AU64" s="100">
        <f t="shared" si="105"/>
        <v>0</v>
      </c>
      <c r="AV64" s="100">
        <f t="shared" si="105"/>
        <v>0</v>
      </c>
      <c r="AW64" s="100">
        <f t="shared" si="105"/>
        <v>0</v>
      </c>
      <c r="AX64" s="100">
        <f t="shared" si="105"/>
        <v>0</v>
      </c>
      <c r="AY64" s="100">
        <f t="shared" si="105"/>
        <v>0</v>
      </c>
      <c r="AZ64" s="100">
        <f t="shared" si="105"/>
        <v>0</v>
      </c>
      <c r="BA64" s="101">
        <f t="shared" ref="BA64:BA76" si="106">SUM(BB64:BC64,BX64:BY64)</f>
        <v>0</v>
      </c>
      <c r="BB64" s="101">
        <f>IFERROR(s_RadSpec!$E$25*(BB25/$B64),".")</f>
        <v>0</v>
      </c>
      <c r="BC64" s="101">
        <f>IFERROR(s_RadSpec!$E$25*(BC25/$B64),".")</f>
        <v>0</v>
      </c>
      <c r="BD64" s="101">
        <f>IFERROR(s_RadSpec!$E$25*(BD25/$B64),".")</f>
        <v>0</v>
      </c>
      <c r="BE64" s="101">
        <f>IFERROR(s_RadSpec!$E$25*(BE25/$B64),".")</f>
        <v>0</v>
      </c>
      <c r="BF64" s="101">
        <f>IFERROR(s_RadSpec!$E$25*(BF25/$B64),".")</f>
        <v>0</v>
      </c>
      <c r="BG64" s="101">
        <f>IFERROR(s_RadSpec!$E$25*(BG25/$B64),".")</f>
        <v>0</v>
      </c>
      <c r="BH64" s="101">
        <f>IFERROR(s_RadSpec!$E$25*(BH25/$B64),".")</f>
        <v>0</v>
      </c>
      <c r="BI64" s="101">
        <f>IFERROR(s_RadSpec!$E$25*(BI25/$B64),".")</f>
        <v>0</v>
      </c>
      <c r="BJ64" s="101">
        <f>IFERROR(s_RadSpec!$E$25*(BJ25/$B64),".")</f>
        <v>0</v>
      </c>
      <c r="BK64" s="101">
        <f>IFERROR(s_RadSpec!$E$25*(BK25/$B64),".")</f>
        <v>0</v>
      </c>
      <c r="BL64" s="101">
        <f>IFERROR(s_RadSpec!$E$25*(BL25/$B64),".")</f>
        <v>0</v>
      </c>
      <c r="BM64" s="101">
        <f>IFERROR(s_RadSpec!$E$25*(BM25/$B64),".")</f>
        <v>0</v>
      </c>
      <c r="BN64" s="101">
        <f>IFERROR(s_RadSpec!$E$25*(BN25/$B64),".")</f>
        <v>0</v>
      </c>
      <c r="BO64" s="101">
        <f>IFERROR(s_RadSpec!$E$25*(BO25/$B64),".")</f>
        <v>0</v>
      </c>
      <c r="BP64" s="101">
        <f>IFERROR(s_RadSpec!$E$25*(BP25/$B64),".")</f>
        <v>0</v>
      </c>
      <c r="BQ64" s="101">
        <f>IFERROR(s_RadSpec!$E$25*(BQ25/$B64),".")</f>
        <v>0</v>
      </c>
      <c r="BR64" s="101">
        <f>IFERROR(s_RadSpec!$E$25*(BR25/$B64),".")</f>
        <v>0</v>
      </c>
      <c r="BS64" s="101">
        <f>IFERROR(s_RadSpec!$E$25*(BS25/$B64),".")</f>
        <v>0</v>
      </c>
      <c r="BT64" s="101">
        <f>IFERROR(s_RadSpec!$E$25*(BT25/$B64),".")</f>
        <v>0</v>
      </c>
      <c r="BU64" s="101">
        <f>IFERROR(s_RadSpec!$E$25*(BU25/$B64),".")</f>
        <v>0</v>
      </c>
      <c r="BV64" s="101">
        <f>IFERROR(s_RadSpec!$E$25*(BV25/$B64),".")</f>
        <v>0</v>
      </c>
      <c r="BW64" s="101">
        <f>IFERROR(s_RadSpec!$E$25*(BW25/$B64),".")</f>
        <v>0</v>
      </c>
      <c r="BX64" s="101">
        <f>IFERROR(s_RadSpec!$E$25*(BX25/$B64),".")</f>
        <v>0</v>
      </c>
      <c r="BY64" s="101">
        <f>IFERROR(s_RadSpec!$E$25*(BY25/$B64),".")</f>
        <v>0</v>
      </c>
    </row>
    <row r="65" spans="1:77" x14ac:dyDescent="0.25">
      <c r="A65" s="99" t="s">
        <v>1076</v>
      </c>
      <c r="B65" s="90">
        <v>1</v>
      </c>
      <c r="C65" s="100" t="str">
        <f t="shared" si="92"/>
        <v>.</v>
      </c>
      <c r="D65" s="100">
        <f t="shared" ref="D65:AA65" si="107">IFERROR($B65/D21,0)</f>
        <v>0</v>
      </c>
      <c r="E65" s="100">
        <f t="shared" si="107"/>
        <v>0</v>
      </c>
      <c r="F65" s="100">
        <f t="shared" si="107"/>
        <v>0</v>
      </c>
      <c r="G65" s="100">
        <f t="shared" si="107"/>
        <v>0</v>
      </c>
      <c r="H65" s="100">
        <f t="shared" si="107"/>
        <v>0</v>
      </c>
      <c r="I65" s="100">
        <f t="shared" si="107"/>
        <v>0</v>
      </c>
      <c r="J65" s="100">
        <f t="shared" si="107"/>
        <v>0</v>
      </c>
      <c r="K65" s="100">
        <f t="shared" si="107"/>
        <v>0</v>
      </c>
      <c r="L65" s="100">
        <f t="shared" si="107"/>
        <v>0</v>
      </c>
      <c r="M65" s="100">
        <f t="shared" si="107"/>
        <v>0</v>
      </c>
      <c r="N65" s="100">
        <f t="shared" si="107"/>
        <v>0</v>
      </c>
      <c r="O65" s="100">
        <f t="shared" si="107"/>
        <v>0</v>
      </c>
      <c r="P65" s="100">
        <f t="shared" si="107"/>
        <v>0</v>
      </c>
      <c r="Q65" s="100">
        <f t="shared" si="107"/>
        <v>0</v>
      </c>
      <c r="R65" s="100">
        <f t="shared" si="107"/>
        <v>0</v>
      </c>
      <c r="S65" s="100">
        <f t="shared" si="107"/>
        <v>0</v>
      </c>
      <c r="T65" s="100">
        <f t="shared" si="107"/>
        <v>0</v>
      </c>
      <c r="U65" s="100">
        <f t="shared" si="107"/>
        <v>0</v>
      </c>
      <c r="V65" s="100">
        <f t="shared" si="107"/>
        <v>0</v>
      </c>
      <c r="W65" s="100">
        <f t="shared" si="107"/>
        <v>0</v>
      </c>
      <c r="X65" s="100">
        <f t="shared" si="107"/>
        <v>0</v>
      </c>
      <c r="Y65" s="100">
        <f t="shared" si="107"/>
        <v>0</v>
      </c>
      <c r="Z65" s="100">
        <f t="shared" si="107"/>
        <v>0</v>
      </c>
      <c r="AA65" s="100">
        <f t="shared" si="107"/>
        <v>0</v>
      </c>
      <c r="AB65" s="100" t="str">
        <f t="shared" si="30"/>
        <v>.</v>
      </c>
      <c r="AC65" s="100">
        <f t="shared" ref="AC65:AZ65" si="108">IFERROR($B65/AC21,0)</f>
        <v>0</v>
      </c>
      <c r="AD65" s="100">
        <f t="shared" si="108"/>
        <v>0</v>
      </c>
      <c r="AE65" s="100">
        <f t="shared" si="108"/>
        <v>0</v>
      </c>
      <c r="AF65" s="100">
        <f t="shared" si="108"/>
        <v>0</v>
      </c>
      <c r="AG65" s="100">
        <f t="shared" si="108"/>
        <v>0</v>
      </c>
      <c r="AH65" s="100">
        <f t="shared" si="108"/>
        <v>0</v>
      </c>
      <c r="AI65" s="100">
        <f t="shared" si="108"/>
        <v>0</v>
      </c>
      <c r="AJ65" s="100">
        <f t="shared" si="108"/>
        <v>0</v>
      </c>
      <c r="AK65" s="100">
        <f t="shared" si="108"/>
        <v>0</v>
      </c>
      <c r="AL65" s="100">
        <f t="shared" si="108"/>
        <v>0</v>
      </c>
      <c r="AM65" s="100">
        <f t="shared" si="108"/>
        <v>0</v>
      </c>
      <c r="AN65" s="100">
        <f t="shared" si="108"/>
        <v>0</v>
      </c>
      <c r="AO65" s="100">
        <f t="shared" si="108"/>
        <v>0</v>
      </c>
      <c r="AP65" s="100">
        <f t="shared" si="108"/>
        <v>0</v>
      </c>
      <c r="AQ65" s="100">
        <f t="shared" si="108"/>
        <v>0</v>
      </c>
      <c r="AR65" s="100">
        <f t="shared" si="108"/>
        <v>0</v>
      </c>
      <c r="AS65" s="100">
        <f t="shared" si="108"/>
        <v>0</v>
      </c>
      <c r="AT65" s="100">
        <f t="shared" si="108"/>
        <v>0</v>
      </c>
      <c r="AU65" s="100">
        <f t="shared" si="108"/>
        <v>0</v>
      </c>
      <c r="AV65" s="100">
        <f t="shared" si="108"/>
        <v>0</v>
      </c>
      <c r="AW65" s="100">
        <f t="shared" si="108"/>
        <v>0</v>
      </c>
      <c r="AX65" s="100">
        <f t="shared" si="108"/>
        <v>0</v>
      </c>
      <c r="AY65" s="100">
        <f t="shared" si="108"/>
        <v>0</v>
      </c>
      <c r="AZ65" s="100">
        <f t="shared" si="108"/>
        <v>0</v>
      </c>
      <c r="BA65" s="101">
        <f t="shared" si="106"/>
        <v>0</v>
      </c>
      <c r="BB65" s="101">
        <f>IFERROR(s_RadSpec!$E$21*(BB21/$B65),".")</f>
        <v>0</v>
      </c>
      <c r="BC65" s="101">
        <f>IFERROR(s_RadSpec!$E$21*(BC21/$B65),".")</f>
        <v>0</v>
      </c>
      <c r="BD65" s="101">
        <f>IFERROR(s_RadSpec!$E$21*(BD21/$B65),".")</f>
        <v>0</v>
      </c>
      <c r="BE65" s="101">
        <f>IFERROR(s_RadSpec!$E$21*(BE21/$B65),".")</f>
        <v>0</v>
      </c>
      <c r="BF65" s="101">
        <f>IFERROR(s_RadSpec!$E$21*(BF21/$B65),".")</f>
        <v>0</v>
      </c>
      <c r="BG65" s="101">
        <f>IFERROR(s_RadSpec!$E$21*(BG21/$B65),".")</f>
        <v>0</v>
      </c>
      <c r="BH65" s="101">
        <f>IFERROR(s_RadSpec!$E$21*(BH21/$B65),".")</f>
        <v>0</v>
      </c>
      <c r="BI65" s="101">
        <f>IFERROR(s_RadSpec!$E$21*(BI21/$B65),".")</f>
        <v>0</v>
      </c>
      <c r="BJ65" s="101">
        <f>IFERROR(s_RadSpec!$E$21*(BJ21/$B65),".")</f>
        <v>0</v>
      </c>
      <c r="BK65" s="101">
        <f>IFERROR(s_RadSpec!$E$21*(BK21/$B65),".")</f>
        <v>0</v>
      </c>
      <c r="BL65" s="101">
        <f>IFERROR(s_RadSpec!$E$21*(BL21/$B65),".")</f>
        <v>0</v>
      </c>
      <c r="BM65" s="101">
        <f>IFERROR(s_RadSpec!$E$21*(BM21/$B65),".")</f>
        <v>0</v>
      </c>
      <c r="BN65" s="101">
        <f>IFERROR(s_RadSpec!$E$21*(BN21/$B65),".")</f>
        <v>0</v>
      </c>
      <c r="BO65" s="101">
        <f>IFERROR(s_RadSpec!$E$21*(BO21/$B65),".")</f>
        <v>0</v>
      </c>
      <c r="BP65" s="101">
        <f>IFERROR(s_RadSpec!$E$21*(BP21/$B65),".")</f>
        <v>0</v>
      </c>
      <c r="BQ65" s="101">
        <f>IFERROR(s_RadSpec!$E$21*(BQ21/$B65),".")</f>
        <v>0</v>
      </c>
      <c r="BR65" s="101">
        <f>IFERROR(s_RadSpec!$E$21*(BR21/$B65),".")</f>
        <v>0</v>
      </c>
      <c r="BS65" s="101">
        <f>IFERROR(s_RadSpec!$E$21*(BS21/$B65),".")</f>
        <v>0</v>
      </c>
      <c r="BT65" s="101">
        <f>IFERROR(s_RadSpec!$E$21*(BT21/$B65),".")</f>
        <v>0</v>
      </c>
      <c r="BU65" s="101">
        <f>IFERROR(s_RadSpec!$E$21*(BU21/$B65),".")</f>
        <v>0</v>
      </c>
      <c r="BV65" s="101">
        <f>IFERROR(s_RadSpec!$E$21*(BV21/$B65),".")</f>
        <v>0</v>
      </c>
      <c r="BW65" s="101">
        <f>IFERROR(s_RadSpec!$E$21*(BW21/$B65),".")</f>
        <v>0</v>
      </c>
      <c r="BX65" s="101">
        <f>IFERROR(s_RadSpec!$E$21*(BX21/$B65),".")</f>
        <v>0</v>
      </c>
      <c r="BY65" s="101">
        <f>IFERROR(s_RadSpec!$E$21*(BY21/$B65),".")</f>
        <v>0</v>
      </c>
    </row>
    <row r="66" spans="1:77" x14ac:dyDescent="0.25">
      <c r="A66" s="99" t="s">
        <v>1077</v>
      </c>
      <c r="B66" s="103">
        <v>0.99980000000000002</v>
      </c>
      <c r="C66" s="100">
        <f t="shared" si="92"/>
        <v>3.3316460375000008E-4</v>
      </c>
      <c r="D66" s="100">
        <f t="shared" ref="D66:AA66" si="109">IFERROR($B66/D17,0)</f>
        <v>1.3326584150000003E-3</v>
      </c>
      <c r="E66" s="100">
        <f t="shared" si="109"/>
        <v>1.3326584150000003E-3</v>
      </c>
      <c r="F66" s="100">
        <f t="shared" si="109"/>
        <v>1.3326584150000003E-3</v>
      </c>
      <c r="G66" s="100">
        <f t="shared" si="109"/>
        <v>1.3326584150000003E-3</v>
      </c>
      <c r="H66" s="100">
        <f t="shared" si="109"/>
        <v>1.3326584150000003E-3</v>
      </c>
      <c r="I66" s="100">
        <f t="shared" si="109"/>
        <v>1.3326584150000003E-3</v>
      </c>
      <c r="J66" s="100">
        <f t="shared" si="109"/>
        <v>1.3326584150000003E-3</v>
      </c>
      <c r="K66" s="100">
        <f t="shared" si="109"/>
        <v>1.3326584150000003E-3</v>
      </c>
      <c r="L66" s="100">
        <f t="shared" si="109"/>
        <v>1.3326584150000003E-3</v>
      </c>
      <c r="M66" s="100">
        <f t="shared" si="109"/>
        <v>1.3326584150000003E-3</v>
      </c>
      <c r="N66" s="100">
        <f t="shared" si="109"/>
        <v>1.3326584150000003E-3</v>
      </c>
      <c r="O66" s="100">
        <f t="shared" si="109"/>
        <v>1.3326584150000003E-3</v>
      </c>
      <c r="P66" s="100">
        <f t="shared" si="109"/>
        <v>1.3326584150000003E-3</v>
      </c>
      <c r="Q66" s="100">
        <f t="shared" si="109"/>
        <v>1.3326584150000003E-3</v>
      </c>
      <c r="R66" s="100">
        <f t="shared" si="109"/>
        <v>1.3326584150000003E-3</v>
      </c>
      <c r="S66" s="100">
        <f t="shared" si="109"/>
        <v>1.3326584150000003E-3</v>
      </c>
      <c r="T66" s="100">
        <f t="shared" si="109"/>
        <v>1.3326584150000003E-3</v>
      </c>
      <c r="U66" s="100">
        <f t="shared" si="109"/>
        <v>1.3326584150000003E-3</v>
      </c>
      <c r="V66" s="100">
        <f t="shared" si="109"/>
        <v>1.3326584150000003E-3</v>
      </c>
      <c r="W66" s="100">
        <f t="shared" si="109"/>
        <v>1.3326584150000003E-3</v>
      </c>
      <c r="X66" s="100">
        <f t="shared" si="109"/>
        <v>1.3326584150000003E-3</v>
      </c>
      <c r="Y66" s="100">
        <f t="shared" si="109"/>
        <v>1.3326584150000003E-3</v>
      </c>
      <c r="Z66" s="100">
        <f t="shared" si="109"/>
        <v>1.3326584150000003E-3</v>
      </c>
      <c r="AA66" s="100">
        <f t="shared" si="109"/>
        <v>1.3326584150000003E-3</v>
      </c>
      <c r="AB66" s="100">
        <f t="shared" si="30"/>
        <v>3.3316460375000008E-4</v>
      </c>
      <c r="AC66" s="100">
        <f t="shared" ref="AC66:AZ66" si="110">IFERROR($B66/AC17,0)</f>
        <v>1.3326584150000003E-3</v>
      </c>
      <c r="AD66" s="100">
        <f t="shared" si="110"/>
        <v>1.3326584150000003E-3</v>
      </c>
      <c r="AE66" s="100">
        <f t="shared" si="110"/>
        <v>1.3326584150000003E-3</v>
      </c>
      <c r="AF66" s="100">
        <f t="shared" si="110"/>
        <v>1.3326584150000003E-3</v>
      </c>
      <c r="AG66" s="100">
        <f t="shared" si="110"/>
        <v>1.3326584150000003E-3</v>
      </c>
      <c r="AH66" s="100">
        <f t="shared" si="110"/>
        <v>1.3326584150000003E-3</v>
      </c>
      <c r="AI66" s="100">
        <f t="shared" si="110"/>
        <v>1.3326584150000003E-3</v>
      </c>
      <c r="AJ66" s="100">
        <f t="shared" si="110"/>
        <v>1.3326584150000003E-3</v>
      </c>
      <c r="AK66" s="100">
        <f t="shared" si="110"/>
        <v>1.3326584150000003E-3</v>
      </c>
      <c r="AL66" s="100">
        <f t="shared" si="110"/>
        <v>1.3326584150000003E-3</v>
      </c>
      <c r="AM66" s="100">
        <f t="shared" si="110"/>
        <v>1.3326584150000003E-3</v>
      </c>
      <c r="AN66" s="100">
        <f t="shared" si="110"/>
        <v>1.3326584150000003E-3</v>
      </c>
      <c r="AO66" s="100">
        <f t="shared" si="110"/>
        <v>1.3326584150000003E-3</v>
      </c>
      <c r="AP66" s="100">
        <f t="shared" si="110"/>
        <v>1.3326584150000003E-3</v>
      </c>
      <c r="AQ66" s="100">
        <f t="shared" si="110"/>
        <v>1.3326584150000003E-3</v>
      </c>
      <c r="AR66" s="100">
        <f t="shared" si="110"/>
        <v>1.3326584150000003E-3</v>
      </c>
      <c r="AS66" s="100">
        <f t="shared" si="110"/>
        <v>1.3326584150000003E-3</v>
      </c>
      <c r="AT66" s="100">
        <f t="shared" si="110"/>
        <v>1.3326584150000003E-3</v>
      </c>
      <c r="AU66" s="100">
        <f t="shared" si="110"/>
        <v>1.3326584150000003E-3</v>
      </c>
      <c r="AV66" s="100">
        <f t="shared" si="110"/>
        <v>1.3326584150000003E-3</v>
      </c>
      <c r="AW66" s="100">
        <f t="shared" si="110"/>
        <v>1.3326584150000003E-3</v>
      </c>
      <c r="AX66" s="100">
        <f t="shared" si="110"/>
        <v>1.3326584150000003E-3</v>
      </c>
      <c r="AY66" s="100">
        <f t="shared" si="110"/>
        <v>1.3326584150000003E-3</v>
      </c>
      <c r="AZ66" s="100">
        <f t="shared" si="110"/>
        <v>1.3326584150000003E-3</v>
      </c>
      <c r="BA66" s="101">
        <f t="shared" si="106"/>
        <v>2.6663832766553312E-8</v>
      </c>
      <c r="BB66" s="101">
        <f>IFERROR(s_RadSpec!$E$17*(BB17/$B66),".")</f>
        <v>6.665958191638328E-9</v>
      </c>
      <c r="BC66" s="101">
        <f>IFERROR(s_RadSpec!$E$17*(BC17/$B66),".")</f>
        <v>6.665958191638328E-9</v>
      </c>
      <c r="BD66" s="101">
        <f>IFERROR(s_RadSpec!$E$17*(BD17/$B66),".")</f>
        <v>6.665958191638328E-9</v>
      </c>
      <c r="BE66" s="101">
        <f>IFERROR(s_RadSpec!$E$17*(BE17/$B66),".")</f>
        <v>6.665958191638328E-9</v>
      </c>
      <c r="BF66" s="101">
        <f>IFERROR(s_RadSpec!$E$17*(BF17/$B66),".")</f>
        <v>6.665958191638328E-9</v>
      </c>
      <c r="BG66" s="101">
        <f>IFERROR(s_RadSpec!$E$17*(BG17/$B66),".")</f>
        <v>6.665958191638328E-9</v>
      </c>
      <c r="BH66" s="101">
        <f>IFERROR(s_RadSpec!$E$17*(BH17/$B66),".")</f>
        <v>6.665958191638328E-9</v>
      </c>
      <c r="BI66" s="101">
        <f>IFERROR(s_RadSpec!$E$17*(BI17/$B66),".")</f>
        <v>6.665958191638328E-9</v>
      </c>
      <c r="BJ66" s="101">
        <f>IFERROR(s_RadSpec!$E$17*(BJ17/$B66),".")</f>
        <v>6.665958191638328E-9</v>
      </c>
      <c r="BK66" s="101">
        <f>IFERROR(s_RadSpec!$E$17*(BK17/$B66),".")</f>
        <v>6.665958191638328E-9</v>
      </c>
      <c r="BL66" s="101">
        <f>IFERROR(s_RadSpec!$E$17*(BL17/$B66),".")</f>
        <v>6.665958191638328E-9</v>
      </c>
      <c r="BM66" s="101">
        <f>IFERROR(s_RadSpec!$E$17*(BM17/$B66),".")</f>
        <v>6.665958191638328E-9</v>
      </c>
      <c r="BN66" s="101">
        <f>IFERROR(s_RadSpec!$E$17*(BN17/$B66),".")</f>
        <v>6.665958191638328E-9</v>
      </c>
      <c r="BO66" s="101">
        <f>IFERROR(s_RadSpec!$E$17*(BO17/$B66),".")</f>
        <v>6.665958191638328E-9</v>
      </c>
      <c r="BP66" s="101">
        <f>IFERROR(s_RadSpec!$E$17*(BP17/$B66),".")</f>
        <v>6.665958191638328E-9</v>
      </c>
      <c r="BQ66" s="101">
        <f>IFERROR(s_RadSpec!$E$17*(BQ17/$B66),".")</f>
        <v>6.665958191638328E-9</v>
      </c>
      <c r="BR66" s="101">
        <f>IFERROR(s_RadSpec!$E$17*(BR17/$B66),".")</f>
        <v>6.665958191638328E-9</v>
      </c>
      <c r="BS66" s="101">
        <f>IFERROR(s_RadSpec!$E$17*(BS17/$B66),".")</f>
        <v>6.665958191638328E-9</v>
      </c>
      <c r="BT66" s="101">
        <f>IFERROR(s_RadSpec!$E$17*(BT17/$B66),".")</f>
        <v>6.665958191638328E-9</v>
      </c>
      <c r="BU66" s="101">
        <f>IFERROR(s_RadSpec!$E$17*(BU17/$B66),".")</f>
        <v>6.665958191638328E-9</v>
      </c>
      <c r="BV66" s="101">
        <f>IFERROR(s_RadSpec!$E$17*(BV17/$B66),".")</f>
        <v>6.665958191638328E-9</v>
      </c>
      <c r="BW66" s="101">
        <f>IFERROR(s_RadSpec!$E$17*(BW17/$B66),".")</f>
        <v>6.665958191638328E-9</v>
      </c>
      <c r="BX66" s="101">
        <f>IFERROR(s_RadSpec!$E$17*(BX17/$B66),".")</f>
        <v>6.665958191638328E-9</v>
      </c>
      <c r="BY66" s="101">
        <f>IFERROR(s_RadSpec!$E$17*(BY17/$B66),".")</f>
        <v>6.665958191638328E-9</v>
      </c>
    </row>
    <row r="67" spans="1:77" x14ac:dyDescent="0.25">
      <c r="A67" s="99" t="s">
        <v>1091</v>
      </c>
      <c r="B67" s="90">
        <v>2.0000000000000001E-4</v>
      </c>
      <c r="C67" s="100" t="str">
        <f t="shared" si="92"/>
        <v>.</v>
      </c>
      <c r="D67" s="100">
        <f t="shared" ref="D67:AA67" si="111">IFERROR($B67/D5,0)</f>
        <v>0</v>
      </c>
      <c r="E67" s="100">
        <f t="shared" si="111"/>
        <v>0</v>
      </c>
      <c r="F67" s="100">
        <f t="shared" si="111"/>
        <v>0</v>
      </c>
      <c r="G67" s="100">
        <f t="shared" si="111"/>
        <v>0</v>
      </c>
      <c r="H67" s="100">
        <f t="shared" si="111"/>
        <v>0</v>
      </c>
      <c r="I67" s="100">
        <f t="shared" si="111"/>
        <v>0</v>
      </c>
      <c r="J67" s="100">
        <f t="shared" si="111"/>
        <v>0</v>
      </c>
      <c r="K67" s="100">
        <f t="shared" si="111"/>
        <v>0</v>
      </c>
      <c r="L67" s="100">
        <f t="shared" si="111"/>
        <v>0</v>
      </c>
      <c r="M67" s="100">
        <f t="shared" si="111"/>
        <v>0</v>
      </c>
      <c r="N67" s="100">
        <f t="shared" si="111"/>
        <v>0</v>
      </c>
      <c r="O67" s="100">
        <f t="shared" si="111"/>
        <v>0</v>
      </c>
      <c r="P67" s="100">
        <f t="shared" si="111"/>
        <v>0</v>
      </c>
      <c r="Q67" s="100">
        <f t="shared" si="111"/>
        <v>0</v>
      </c>
      <c r="R67" s="100">
        <f t="shared" si="111"/>
        <v>0</v>
      </c>
      <c r="S67" s="100">
        <f t="shared" si="111"/>
        <v>0</v>
      </c>
      <c r="T67" s="100">
        <f t="shared" si="111"/>
        <v>0</v>
      </c>
      <c r="U67" s="100">
        <f t="shared" si="111"/>
        <v>0</v>
      </c>
      <c r="V67" s="100">
        <f t="shared" si="111"/>
        <v>0</v>
      </c>
      <c r="W67" s="100">
        <f t="shared" si="111"/>
        <v>0</v>
      </c>
      <c r="X67" s="100">
        <f t="shared" si="111"/>
        <v>0</v>
      </c>
      <c r="Y67" s="100">
        <f t="shared" si="111"/>
        <v>0</v>
      </c>
      <c r="Z67" s="100">
        <f t="shared" si="111"/>
        <v>0</v>
      </c>
      <c r="AA67" s="100">
        <f t="shared" si="111"/>
        <v>0</v>
      </c>
      <c r="AB67" s="100" t="str">
        <f t="shared" si="30"/>
        <v>.</v>
      </c>
      <c r="AC67" s="100">
        <f t="shared" ref="AC67:AZ67" si="112">IFERROR($B67/AC5,0)</f>
        <v>0</v>
      </c>
      <c r="AD67" s="100">
        <f t="shared" si="112"/>
        <v>0</v>
      </c>
      <c r="AE67" s="100">
        <f t="shared" si="112"/>
        <v>0</v>
      </c>
      <c r="AF67" s="100">
        <f t="shared" si="112"/>
        <v>0</v>
      </c>
      <c r="AG67" s="100">
        <f t="shared" si="112"/>
        <v>0</v>
      </c>
      <c r="AH67" s="100">
        <f t="shared" si="112"/>
        <v>0</v>
      </c>
      <c r="AI67" s="100">
        <f t="shared" si="112"/>
        <v>0</v>
      </c>
      <c r="AJ67" s="100">
        <f t="shared" si="112"/>
        <v>0</v>
      </c>
      <c r="AK67" s="100">
        <f t="shared" si="112"/>
        <v>0</v>
      </c>
      <c r="AL67" s="100">
        <f t="shared" si="112"/>
        <v>0</v>
      </c>
      <c r="AM67" s="100">
        <f t="shared" si="112"/>
        <v>0</v>
      </c>
      <c r="AN67" s="100">
        <f t="shared" si="112"/>
        <v>0</v>
      </c>
      <c r="AO67" s="100">
        <f t="shared" si="112"/>
        <v>0</v>
      </c>
      <c r="AP67" s="100">
        <f t="shared" si="112"/>
        <v>0</v>
      </c>
      <c r="AQ67" s="100">
        <f t="shared" si="112"/>
        <v>0</v>
      </c>
      <c r="AR67" s="100">
        <f t="shared" si="112"/>
        <v>0</v>
      </c>
      <c r="AS67" s="100">
        <f t="shared" si="112"/>
        <v>0</v>
      </c>
      <c r="AT67" s="100">
        <f t="shared" si="112"/>
        <v>0</v>
      </c>
      <c r="AU67" s="100">
        <f t="shared" si="112"/>
        <v>0</v>
      </c>
      <c r="AV67" s="100">
        <f t="shared" si="112"/>
        <v>0</v>
      </c>
      <c r="AW67" s="100">
        <f t="shared" si="112"/>
        <v>0</v>
      </c>
      <c r="AX67" s="100">
        <f t="shared" si="112"/>
        <v>0</v>
      </c>
      <c r="AY67" s="100">
        <f t="shared" si="112"/>
        <v>0</v>
      </c>
      <c r="AZ67" s="100">
        <f t="shared" si="112"/>
        <v>0</v>
      </c>
      <c r="BA67" s="101">
        <f t="shared" si="106"/>
        <v>0</v>
      </c>
      <c r="BB67" s="101">
        <f>IFERROR(s_RadSpec!$E$5*(BB5/$B67),".")</f>
        <v>0</v>
      </c>
      <c r="BC67" s="101">
        <f>IFERROR(s_RadSpec!$E$5*(BC5/$B67),".")</f>
        <v>0</v>
      </c>
      <c r="BD67" s="101">
        <f>IFERROR(s_RadSpec!$E$5*(BD5/$B67),".")</f>
        <v>0</v>
      </c>
      <c r="BE67" s="101">
        <f>IFERROR(s_RadSpec!$E$5*(BE5/$B67),".")</f>
        <v>0</v>
      </c>
      <c r="BF67" s="101">
        <f>IFERROR(s_RadSpec!$E$5*(BF5/$B67),".")</f>
        <v>0</v>
      </c>
      <c r="BG67" s="101">
        <f>IFERROR(s_RadSpec!$E$5*(BG5/$B67),".")</f>
        <v>0</v>
      </c>
      <c r="BH67" s="101">
        <f>IFERROR(s_RadSpec!$E$5*(BH5/$B67),".")</f>
        <v>0</v>
      </c>
      <c r="BI67" s="101">
        <f>IFERROR(s_RadSpec!$E$5*(BI5/$B67),".")</f>
        <v>0</v>
      </c>
      <c r="BJ67" s="101">
        <f>IFERROR(s_RadSpec!$E$5*(BJ5/$B67),".")</f>
        <v>0</v>
      </c>
      <c r="BK67" s="101">
        <f>IFERROR(s_RadSpec!$E$5*(BK5/$B67),".")</f>
        <v>0</v>
      </c>
      <c r="BL67" s="101">
        <f>IFERROR(s_RadSpec!$E$5*(BL5/$B67),".")</f>
        <v>0</v>
      </c>
      <c r="BM67" s="101">
        <f>IFERROR(s_RadSpec!$E$5*(BM5/$B67),".")</f>
        <v>0</v>
      </c>
      <c r="BN67" s="101">
        <f>IFERROR(s_RadSpec!$E$5*(BN5/$B67),".")</f>
        <v>0</v>
      </c>
      <c r="BO67" s="101">
        <f>IFERROR(s_RadSpec!$E$5*(BO5/$B67),".")</f>
        <v>0</v>
      </c>
      <c r="BP67" s="101">
        <f>IFERROR(s_RadSpec!$E$5*(BP5/$B67),".")</f>
        <v>0</v>
      </c>
      <c r="BQ67" s="101">
        <f>IFERROR(s_RadSpec!$E$5*(BQ5/$B67),".")</f>
        <v>0</v>
      </c>
      <c r="BR67" s="101">
        <f>IFERROR(s_RadSpec!$E$5*(BR5/$B67),".")</f>
        <v>0</v>
      </c>
      <c r="BS67" s="101">
        <f>IFERROR(s_RadSpec!$E$5*(BS5/$B67),".")</f>
        <v>0</v>
      </c>
      <c r="BT67" s="101">
        <f>IFERROR(s_RadSpec!$E$5*(BT5/$B67),".")</f>
        <v>0</v>
      </c>
      <c r="BU67" s="101">
        <f>IFERROR(s_RadSpec!$E$5*(BU5/$B67),".")</f>
        <v>0</v>
      </c>
      <c r="BV67" s="101">
        <f>IFERROR(s_RadSpec!$E$5*(BV5/$B67),".")</f>
        <v>0</v>
      </c>
      <c r="BW67" s="101">
        <f>IFERROR(s_RadSpec!$E$5*(BW5/$B67),".")</f>
        <v>0</v>
      </c>
      <c r="BX67" s="101">
        <f>IFERROR(s_RadSpec!$E$5*(BX5/$B67),".")</f>
        <v>0</v>
      </c>
      <c r="BY67" s="101">
        <f>IFERROR(s_RadSpec!$E$5*(BY5/$B67),".")</f>
        <v>0</v>
      </c>
    </row>
    <row r="68" spans="1:77" x14ac:dyDescent="0.25">
      <c r="A68" s="99" t="s">
        <v>1092</v>
      </c>
      <c r="B68" s="90">
        <v>0.99999979999999999</v>
      </c>
      <c r="C68" s="100">
        <f t="shared" si="92"/>
        <v>1.8238683852262502E-4</v>
      </c>
      <c r="D68" s="100">
        <f t="shared" ref="D68:AA68" si="113">IFERROR($B68/D9,0)</f>
        <v>7.2954735409050007E-4</v>
      </c>
      <c r="E68" s="100">
        <f t="shared" si="113"/>
        <v>7.2954735409050007E-4</v>
      </c>
      <c r="F68" s="100">
        <f t="shared" si="113"/>
        <v>7.2954735409050007E-4</v>
      </c>
      <c r="G68" s="100">
        <f t="shared" si="113"/>
        <v>7.2954735409050007E-4</v>
      </c>
      <c r="H68" s="100">
        <f t="shared" si="113"/>
        <v>7.2954735409050007E-4</v>
      </c>
      <c r="I68" s="100">
        <f t="shared" si="113"/>
        <v>7.2954735409050007E-4</v>
      </c>
      <c r="J68" s="100">
        <f t="shared" si="113"/>
        <v>7.2954735409050007E-4</v>
      </c>
      <c r="K68" s="100">
        <f t="shared" si="113"/>
        <v>7.2954735409050007E-4</v>
      </c>
      <c r="L68" s="100">
        <f t="shared" si="113"/>
        <v>7.2954735409050007E-4</v>
      </c>
      <c r="M68" s="100">
        <f t="shared" si="113"/>
        <v>7.2954735409050007E-4</v>
      </c>
      <c r="N68" s="100">
        <f t="shared" si="113"/>
        <v>7.2954735409050007E-4</v>
      </c>
      <c r="O68" s="100">
        <f t="shared" si="113"/>
        <v>7.2954735409050007E-4</v>
      </c>
      <c r="P68" s="100">
        <f t="shared" si="113"/>
        <v>7.2954735409050007E-4</v>
      </c>
      <c r="Q68" s="100">
        <f t="shared" si="113"/>
        <v>7.2954735409050007E-4</v>
      </c>
      <c r="R68" s="100">
        <f t="shared" si="113"/>
        <v>7.2954735409050007E-4</v>
      </c>
      <c r="S68" s="100">
        <f t="shared" si="113"/>
        <v>7.2954735409050007E-4</v>
      </c>
      <c r="T68" s="100">
        <f t="shared" si="113"/>
        <v>7.2954735409050007E-4</v>
      </c>
      <c r="U68" s="100">
        <f t="shared" si="113"/>
        <v>7.2954735409050007E-4</v>
      </c>
      <c r="V68" s="100">
        <f t="shared" si="113"/>
        <v>7.2954735409050007E-4</v>
      </c>
      <c r="W68" s="100">
        <f t="shared" si="113"/>
        <v>7.2954735409050007E-4</v>
      </c>
      <c r="X68" s="100">
        <f t="shared" si="113"/>
        <v>7.2954735409050007E-4</v>
      </c>
      <c r="Y68" s="100">
        <f t="shared" si="113"/>
        <v>7.2954735409050007E-4</v>
      </c>
      <c r="Z68" s="100">
        <f t="shared" si="113"/>
        <v>7.2954735409050007E-4</v>
      </c>
      <c r="AA68" s="100">
        <f t="shared" si="113"/>
        <v>7.2954735409050007E-4</v>
      </c>
      <c r="AB68" s="100">
        <f t="shared" si="30"/>
        <v>1.8238683852262502E-4</v>
      </c>
      <c r="AC68" s="100">
        <f t="shared" ref="AC68:AZ68" si="114">IFERROR($B68/AC9,0)</f>
        <v>7.2954735409050007E-4</v>
      </c>
      <c r="AD68" s="100">
        <f t="shared" si="114"/>
        <v>7.2954735409050007E-4</v>
      </c>
      <c r="AE68" s="100">
        <f t="shared" si="114"/>
        <v>7.2954735409050007E-4</v>
      </c>
      <c r="AF68" s="100">
        <f t="shared" si="114"/>
        <v>7.2954735409050007E-4</v>
      </c>
      <c r="AG68" s="100">
        <f t="shared" si="114"/>
        <v>7.2954735409050007E-4</v>
      </c>
      <c r="AH68" s="100">
        <f t="shared" si="114"/>
        <v>7.2954735409050007E-4</v>
      </c>
      <c r="AI68" s="100">
        <f t="shared" si="114"/>
        <v>7.2954735409050007E-4</v>
      </c>
      <c r="AJ68" s="100">
        <f t="shared" si="114"/>
        <v>7.2954735409050007E-4</v>
      </c>
      <c r="AK68" s="100">
        <f t="shared" si="114"/>
        <v>7.2954735409050007E-4</v>
      </c>
      <c r="AL68" s="100">
        <f t="shared" si="114"/>
        <v>7.2954735409050007E-4</v>
      </c>
      <c r="AM68" s="100">
        <f t="shared" si="114"/>
        <v>7.2954735409050007E-4</v>
      </c>
      <c r="AN68" s="100">
        <f t="shared" si="114"/>
        <v>7.2954735409050007E-4</v>
      </c>
      <c r="AO68" s="100">
        <f t="shared" si="114"/>
        <v>7.2954735409050007E-4</v>
      </c>
      <c r="AP68" s="100">
        <f t="shared" si="114"/>
        <v>7.2954735409050007E-4</v>
      </c>
      <c r="AQ68" s="100">
        <f t="shared" si="114"/>
        <v>7.2954735409050007E-4</v>
      </c>
      <c r="AR68" s="100">
        <f t="shared" si="114"/>
        <v>7.2954735409050007E-4</v>
      </c>
      <c r="AS68" s="100">
        <f t="shared" si="114"/>
        <v>7.2954735409050007E-4</v>
      </c>
      <c r="AT68" s="100">
        <f t="shared" si="114"/>
        <v>7.2954735409050007E-4</v>
      </c>
      <c r="AU68" s="100">
        <f t="shared" si="114"/>
        <v>7.2954735409050007E-4</v>
      </c>
      <c r="AV68" s="100">
        <f t="shared" si="114"/>
        <v>7.2954735409050007E-4</v>
      </c>
      <c r="AW68" s="100">
        <f t="shared" si="114"/>
        <v>7.2954735409050007E-4</v>
      </c>
      <c r="AX68" s="100">
        <f t="shared" si="114"/>
        <v>7.2954735409050007E-4</v>
      </c>
      <c r="AY68" s="100">
        <f t="shared" si="114"/>
        <v>7.2954735409050007E-4</v>
      </c>
      <c r="AZ68" s="100">
        <f t="shared" si="114"/>
        <v>7.2954735409050007E-4</v>
      </c>
      <c r="BA68" s="101">
        <f t="shared" si="106"/>
        <v>1.4590952918190586E-8</v>
      </c>
      <c r="BB68" s="101">
        <f>IFERROR(s_RadSpec!$E$9*(BB9/$B68),".")</f>
        <v>3.6477382295476466E-9</v>
      </c>
      <c r="BC68" s="101">
        <f>IFERROR(s_RadSpec!$E$9*(BC9/$B68),".")</f>
        <v>3.6477382295476466E-9</v>
      </c>
      <c r="BD68" s="101">
        <f>IFERROR(s_RadSpec!$E$9*(BD9/$B68),".")</f>
        <v>3.6477382295476466E-9</v>
      </c>
      <c r="BE68" s="101">
        <f>IFERROR(s_RadSpec!$E$9*(BE9/$B68),".")</f>
        <v>3.6477382295476466E-9</v>
      </c>
      <c r="BF68" s="101">
        <f>IFERROR(s_RadSpec!$E$9*(BF9/$B68),".")</f>
        <v>3.6477382295476466E-9</v>
      </c>
      <c r="BG68" s="101">
        <f>IFERROR(s_RadSpec!$E$9*(BG9/$B68),".")</f>
        <v>3.6477382295476466E-9</v>
      </c>
      <c r="BH68" s="101">
        <f>IFERROR(s_RadSpec!$E$9*(BH9/$B68),".")</f>
        <v>3.6477382295476466E-9</v>
      </c>
      <c r="BI68" s="101">
        <f>IFERROR(s_RadSpec!$E$9*(BI9/$B68),".")</f>
        <v>3.6477382295476466E-9</v>
      </c>
      <c r="BJ68" s="101">
        <f>IFERROR(s_RadSpec!$E$9*(BJ9/$B68),".")</f>
        <v>3.6477382295476466E-9</v>
      </c>
      <c r="BK68" s="101">
        <f>IFERROR(s_RadSpec!$E$9*(BK9/$B68),".")</f>
        <v>3.6477382295476466E-9</v>
      </c>
      <c r="BL68" s="101">
        <f>IFERROR(s_RadSpec!$E$9*(BL9/$B68),".")</f>
        <v>3.6477382295476466E-9</v>
      </c>
      <c r="BM68" s="101">
        <f>IFERROR(s_RadSpec!$E$9*(BM9/$B68),".")</f>
        <v>3.6477382295476466E-9</v>
      </c>
      <c r="BN68" s="101">
        <f>IFERROR(s_RadSpec!$E$9*(BN9/$B68),".")</f>
        <v>3.6477382295476466E-9</v>
      </c>
      <c r="BO68" s="101">
        <f>IFERROR(s_RadSpec!$E$9*(BO9/$B68),".")</f>
        <v>3.6477382295476466E-9</v>
      </c>
      <c r="BP68" s="101">
        <f>IFERROR(s_RadSpec!$E$9*(BP9/$B68),".")</f>
        <v>3.6477382295476466E-9</v>
      </c>
      <c r="BQ68" s="101">
        <f>IFERROR(s_RadSpec!$E$9*(BQ9/$B68),".")</f>
        <v>3.6477382295476466E-9</v>
      </c>
      <c r="BR68" s="101">
        <f>IFERROR(s_RadSpec!$E$9*(BR9/$B68),".")</f>
        <v>3.6477382295476466E-9</v>
      </c>
      <c r="BS68" s="101">
        <f>IFERROR(s_RadSpec!$E$9*(BS9/$B68),".")</f>
        <v>3.6477382295476466E-9</v>
      </c>
      <c r="BT68" s="101">
        <f>IFERROR(s_RadSpec!$E$9*(BT9/$B68),".")</f>
        <v>3.6477382295476466E-9</v>
      </c>
      <c r="BU68" s="101">
        <f>IFERROR(s_RadSpec!$E$9*(BU9/$B68),".")</f>
        <v>3.6477382295476466E-9</v>
      </c>
      <c r="BV68" s="101">
        <f>IFERROR(s_RadSpec!$E$9*(BV9/$B68),".")</f>
        <v>3.6477382295476466E-9</v>
      </c>
      <c r="BW68" s="101">
        <f>IFERROR(s_RadSpec!$E$9*(BW9/$B68),".")</f>
        <v>3.6477382295476466E-9</v>
      </c>
      <c r="BX68" s="101">
        <f>IFERROR(s_RadSpec!$E$9*(BX9/$B68),".")</f>
        <v>3.6477382295476466E-9</v>
      </c>
      <c r="BY68" s="101">
        <f>IFERROR(s_RadSpec!$E$9*(BY9/$B68),".")</f>
        <v>3.6477382295476466E-9</v>
      </c>
    </row>
    <row r="69" spans="1:77" x14ac:dyDescent="0.25">
      <c r="A69" s="99" t="s">
        <v>1093</v>
      </c>
      <c r="B69" s="90">
        <v>1.9999999999999999E-7</v>
      </c>
      <c r="C69" s="100" t="str">
        <f t="shared" si="92"/>
        <v>.</v>
      </c>
      <c r="D69" s="100">
        <f t="shared" ref="D69:AA69" si="115">IFERROR($B69/D24,0)</f>
        <v>0</v>
      </c>
      <c r="E69" s="100">
        <f t="shared" si="115"/>
        <v>0</v>
      </c>
      <c r="F69" s="100">
        <f t="shared" si="115"/>
        <v>0</v>
      </c>
      <c r="G69" s="100">
        <f t="shared" si="115"/>
        <v>0</v>
      </c>
      <c r="H69" s="100">
        <f t="shared" si="115"/>
        <v>0</v>
      </c>
      <c r="I69" s="100">
        <f t="shared" si="115"/>
        <v>0</v>
      </c>
      <c r="J69" s="100">
        <f t="shared" si="115"/>
        <v>0</v>
      </c>
      <c r="K69" s="100">
        <f t="shared" si="115"/>
        <v>0</v>
      </c>
      <c r="L69" s="100">
        <f t="shared" si="115"/>
        <v>0</v>
      </c>
      <c r="M69" s="100">
        <f t="shared" si="115"/>
        <v>0</v>
      </c>
      <c r="N69" s="100">
        <f t="shared" si="115"/>
        <v>0</v>
      </c>
      <c r="O69" s="100">
        <f t="shared" si="115"/>
        <v>0</v>
      </c>
      <c r="P69" s="100">
        <f t="shared" si="115"/>
        <v>0</v>
      </c>
      <c r="Q69" s="100">
        <f t="shared" si="115"/>
        <v>0</v>
      </c>
      <c r="R69" s="100">
        <f t="shared" si="115"/>
        <v>0</v>
      </c>
      <c r="S69" s="100">
        <f t="shared" si="115"/>
        <v>0</v>
      </c>
      <c r="T69" s="100">
        <f t="shared" si="115"/>
        <v>0</v>
      </c>
      <c r="U69" s="100">
        <f t="shared" si="115"/>
        <v>0</v>
      </c>
      <c r="V69" s="100">
        <f t="shared" si="115"/>
        <v>0</v>
      </c>
      <c r="W69" s="100">
        <f t="shared" si="115"/>
        <v>0</v>
      </c>
      <c r="X69" s="100">
        <f t="shared" si="115"/>
        <v>0</v>
      </c>
      <c r="Y69" s="100">
        <f t="shared" si="115"/>
        <v>0</v>
      </c>
      <c r="Z69" s="100">
        <f t="shared" si="115"/>
        <v>0</v>
      </c>
      <c r="AA69" s="100">
        <f t="shared" si="115"/>
        <v>0</v>
      </c>
      <c r="AB69" s="100" t="str">
        <f t="shared" si="30"/>
        <v>.</v>
      </c>
      <c r="AC69" s="100">
        <f t="shared" ref="AC69:AZ69" si="116">IFERROR($B69/AC24,0)</f>
        <v>0</v>
      </c>
      <c r="AD69" s="100">
        <f t="shared" si="116"/>
        <v>0</v>
      </c>
      <c r="AE69" s="100">
        <f t="shared" si="116"/>
        <v>0</v>
      </c>
      <c r="AF69" s="100">
        <f t="shared" si="116"/>
        <v>0</v>
      </c>
      <c r="AG69" s="100">
        <f t="shared" si="116"/>
        <v>0</v>
      </c>
      <c r="AH69" s="100">
        <f t="shared" si="116"/>
        <v>0</v>
      </c>
      <c r="AI69" s="100">
        <f t="shared" si="116"/>
        <v>0</v>
      </c>
      <c r="AJ69" s="100">
        <f t="shared" si="116"/>
        <v>0</v>
      </c>
      <c r="AK69" s="100">
        <f t="shared" si="116"/>
        <v>0</v>
      </c>
      <c r="AL69" s="100">
        <f t="shared" si="116"/>
        <v>0</v>
      </c>
      <c r="AM69" s="100">
        <f t="shared" si="116"/>
        <v>0</v>
      </c>
      <c r="AN69" s="100">
        <f t="shared" si="116"/>
        <v>0</v>
      </c>
      <c r="AO69" s="100">
        <f t="shared" si="116"/>
        <v>0</v>
      </c>
      <c r="AP69" s="100">
        <f t="shared" si="116"/>
        <v>0</v>
      </c>
      <c r="AQ69" s="100">
        <f t="shared" si="116"/>
        <v>0</v>
      </c>
      <c r="AR69" s="100">
        <f t="shared" si="116"/>
        <v>0</v>
      </c>
      <c r="AS69" s="100">
        <f t="shared" si="116"/>
        <v>0</v>
      </c>
      <c r="AT69" s="100">
        <f t="shared" si="116"/>
        <v>0</v>
      </c>
      <c r="AU69" s="100">
        <f t="shared" si="116"/>
        <v>0</v>
      </c>
      <c r="AV69" s="100">
        <f t="shared" si="116"/>
        <v>0</v>
      </c>
      <c r="AW69" s="100">
        <f t="shared" si="116"/>
        <v>0</v>
      </c>
      <c r="AX69" s="100">
        <f t="shared" si="116"/>
        <v>0</v>
      </c>
      <c r="AY69" s="100">
        <f t="shared" si="116"/>
        <v>0</v>
      </c>
      <c r="AZ69" s="100">
        <f t="shared" si="116"/>
        <v>0</v>
      </c>
      <c r="BA69" s="101">
        <f t="shared" si="106"/>
        <v>0</v>
      </c>
      <c r="BB69" s="101">
        <f>IFERROR(s_RadSpec!$E$24*(BB24/$B69),".")</f>
        <v>0</v>
      </c>
      <c r="BC69" s="101">
        <f>IFERROR(s_RadSpec!$E$24*(BC24/$B69),".")</f>
        <v>0</v>
      </c>
      <c r="BD69" s="101">
        <f>IFERROR(s_RadSpec!$E$24*(BD24/$B69),".")</f>
        <v>0</v>
      </c>
      <c r="BE69" s="101">
        <f>IFERROR(s_RadSpec!$E$24*(BE24/$B69),".")</f>
        <v>0</v>
      </c>
      <c r="BF69" s="101">
        <f>IFERROR(s_RadSpec!$E$24*(BF24/$B69),".")</f>
        <v>0</v>
      </c>
      <c r="BG69" s="101">
        <f>IFERROR(s_RadSpec!$E$24*(BG24/$B69),".")</f>
        <v>0</v>
      </c>
      <c r="BH69" s="101">
        <f>IFERROR(s_RadSpec!$E$24*(BH24/$B69),".")</f>
        <v>0</v>
      </c>
      <c r="BI69" s="101">
        <f>IFERROR(s_RadSpec!$E$24*(BI24/$B69),".")</f>
        <v>0</v>
      </c>
      <c r="BJ69" s="101">
        <f>IFERROR(s_RadSpec!$E$24*(BJ24/$B69),".")</f>
        <v>0</v>
      </c>
      <c r="BK69" s="101">
        <f>IFERROR(s_RadSpec!$E$24*(BK24/$B69),".")</f>
        <v>0</v>
      </c>
      <c r="BL69" s="101">
        <f>IFERROR(s_RadSpec!$E$24*(BL24/$B69),".")</f>
        <v>0</v>
      </c>
      <c r="BM69" s="101">
        <f>IFERROR(s_RadSpec!$E$24*(BM24/$B69),".")</f>
        <v>0</v>
      </c>
      <c r="BN69" s="101">
        <f>IFERROR(s_RadSpec!$E$24*(BN24/$B69),".")</f>
        <v>0</v>
      </c>
      <c r="BO69" s="101">
        <f>IFERROR(s_RadSpec!$E$24*(BO24/$B69),".")</f>
        <v>0</v>
      </c>
      <c r="BP69" s="101">
        <f>IFERROR(s_RadSpec!$E$24*(BP24/$B69),".")</f>
        <v>0</v>
      </c>
      <c r="BQ69" s="101">
        <f>IFERROR(s_RadSpec!$E$24*(BQ24/$B69),".")</f>
        <v>0</v>
      </c>
      <c r="BR69" s="101">
        <f>IFERROR(s_RadSpec!$E$24*(BR24/$B69),".")</f>
        <v>0</v>
      </c>
      <c r="BS69" s="101">
        <f>IFERROR(s_RadSpec!$E$24*(BS24/$B69),".")</f>
        <v>0</v>
      </c>
      <c r="BT69" s="101">
        <f>IFERROR(s_RadSpec!$E$24*(BT24/$B69),".")</f>
        <v>0</v>
      </c>
      <c r="BU69" s="101">
        <f>IFERROR(s_RadSpec!$E$24*(BU24/$B69),".")</f>
        <v>0</v>
      </c>
      <c r="BV69" s="101">
        <f>IFERROR(s_RadSpec!$E$24*(BV24/$B69),".")</f>
        <v>0</v>
      </c>
      <c r="BW69" s="101">
        <f>IFERROR(s_RadSpec!$E$24*(BW24/$B69),".")</f>
        <v>0</v>
      </c>
      <c r="BX69" s="101">
        <f>IFERROR(s_RadSpec!$E$24*(BX24/$B69),".")</f>
        <v>0</v>
      </c>
      <c r="BY69" s="101">
        <f>IFERROR(s_RadSpec!$E$24*(BY24/$B69),".")</f>
        <v>0</v>
      </c>
    </row>
    <row r="70" spans="1:77" x14ac:dyDescent="0.25">
      <c r="A70" s="99" t="s">
        <v>1094</v>
      </c>
      <c r="B70" s="90">
        <v>0.99979000004200003</v>
      </c>
      <c r="C70" s="100" t="str">
        <f t="shared" si="92"/>
        <v>.</v>
      </c>
      <c r="D70" s="100">
        <f t="shared" ref="D70:AA70" si="117">IFERROR($B70/D20,0)</f>
        <v>0</v>
      </c>
      <c r="E70" s="100">
        <f t="shared" si="117"/>
        <v>0</v>
      </c>
      <c r="F70" s="100">
        <f t="shared" si="117"/>
        <v>0</v>
      </c>
      <c r="G70" s="100">
        <f t="shared" si="117"/>
        <v>0</v>
      </c>
      <c r="H70" s="100">
        <f t="shared" si="117"/>
        <v>0</v>
      </c>
      <c r="I70" s="100">
        <f t="shared" si="117"/>
        <v>0</v>
      </c>
      <c r="J70" s="100">
        <f t="shared" si="117"/>
        <v>0</v>
      </c>
      <c r="K70" s="100">
        <f t="shared" si="117"/>
        <v>0</v>
      </c>
      <c r="L70" s="100">
        <f t="shared" si="117"/>
        <v>0</v>
      </c>
      <c r="M70" s="100">
        <f t="shared" si="117"/>
        <v>0</v>
      </c>
      <c r="N70" s="100">
        <f t="shared" si="117"/>
        <v>0</v>
      </c>
      <c r="O70" s="100">
        <f t="shared" si="117"/>
        <v>0</v>
      </c>
      <c r="P70" s="100">
        <f t="shared" si="117"/>
        <v>0</v>
      </c>
      <c r="Q70" s="100">
        <f t="shared" si="117"/>
        <v>0</v>
      </c>
      <c r="R70" s="100">
        <f t="shared" si="117"/>
        <v>0</v>
      </c>
      <c r="S70" s="100">
        <f t="shared" si="117"/>
        <v>0</v>
      </c>
      <c r="T70" s="100">
        <f t="shared" si="117"/>
        <v>0</v>
      </c>
      <c r="U70" s="100">
        <f t="shared" si="117"/>
        <v>0</v>
      </c>
      <c r="V70" s="100">
        <f t="shared" si="117"/>
        <v>0</v>
      </c>
      <c r="W70" s="100">
        <f t="shared" si="117"/>
        <v>0</v>
      </c>
      <c r="X70" s="100">
        <f t="shared" si="117"/>
        <v>0</v>
      </c>
      <c r="Y70" s="100">
        <f t="shared" si="117"/>
        <v>0</v>
      </c>
      <c r="Z70" s="100">
        <f t="shared" si="117"/>
        <v>0</v>
      </c>
      <c r="AA70" s="100">
        <f t="shared" si="117"/>
        <v>0</v>
      </c>
      <c r="AB70" s="100" t="str">
        <f t="shared" si="30"/>
        <v>.</v>
      </c>
      <c r="AC70" s="100">
        <f t="shared" ref="AC70:AZ70" si="118">IFERROR($B70/AC20,0)</f>
        <v>0</v>
      </c>
      <c r="AD70" s="100">
        <f t="shared" si="118"/>
        <v>0</v>
      </c>
      <c r="AE70" s="100">
        <f t="shared" si="118"/>
        <v>0</v>
      </c>
      <c r="AF70" s="100">
        <f t="shared" si="118"/>
        <v>0</v>
      </c>
      <c r="AG70" s="100">
        <f t="shared" si="118"/>
        <v>0</v>
      </c>
      <c r="AH70" s="100">
        <f t="shared" si="118"/>
        <v>0</v>
      </c>
      <c r="AI70" s="100">
        <f t="shared" si="118"/>
        <v>0</v>
      </c>
      <c r="AJ70" s="100">
        <f t="shared" si="118"/>
        <v>0</v>
      </c>
      <c r="AK70" s="100">
        <f t="shared" si="118"/>
        <v>0</v>
      </c>
      <c r="AL70" s="100">
        <f t="shared" si="118"/>
        <v>0</v>
      </c>
      <c r="AM70" s="100">
        <f t="shared" si="118"/>
        <v>0</v>
      </c>
      <c r="AN70" s="100">
        <f t="shared" si="118"/>
        <v>0</v>
      </c>
      <c r="AO70" s="100">
        <f t="shared" si="118"/>
        <v>0</v>
      </c>
      <c r="AP70" s="100">
        <f t="shared" si="118"/>
        <v>0</v>
      </c>
      <c r="AQ70" s="100">
        <f t="shared" si="118"/>
        <v>0</v>
      </c>
      <c r="AR70" s="100">
        <f t="shared" si="118"/>
        <v>0</v>
      </c>
      <c r="AS70" s="100">
        <f t="shared" si="118"/>
        <v>0</v>
      </c>
      <c r="AT70" s="100">
        <f t="shared" si="118"/>
        <v>0</v>
      </c>
      <c r="AU70" s="100">
        <f t="shared" si="118"/>
        <v>0</v>
      </c>
      <c r="AV70" s="100">
        <f t="shared" si="118"/>
        <v>0</v>
      </c>
      <c r="AW70" s="100">
        <f t="shared" si="118"/>
        <v>0</v>
      </c>
      <c r="AX70" s="100">
        <f t="shared" si="118"/>
        <v>0</v>
      </c>
      <c r="AY70" s="100">
        <f t="shared" si="118"/>
        <v>0</v>
      </c>
      <c r="AZ70" s="100">
        <f t="shared" si="118"/>
        <v>0</v>
      </c>
      <c r="BA70" s="101">
        <f t="shared" si="106"/>
        <v>0</v>
      </c>
      <c r="BB70" s="101">
        <f>IFERROR(s_RadSpec!$E$20*(BB20/$B70),".")</f>
        <v>0</v>
      </c>
      <c r="BC70" s="101">
        <f>IFERROR(s_RadSpec!$E$20*(BC20/$B70),".")</f>
        <v>0</v>
      </c>
      <c r="BD70" s="101">
        <f>IFERROR(s_RadSpec!$E$20*(BD20/$B70),".")</f>
        <v>0</v>
      </c>
      <c r="BE70" s="101">
        <f>IFERROR(s_RadSpec!$E$20*(BE20/$B70),".")</f>
        <v>0</v>
      </c>
      <c r="BF70" s="101">
        <f>IFERROR(s_RadSpec!$E$20*(BF20/$B70),".")</f>
        <v>0</v>
      </c>
      <c r="BG70" s="101">
        <f>IFERROR(s_RadSpec!$E$20*(BG20/$B70),".")</f>
        <v>0</v>
      </c>
      <c r="BH70" s="101">
        <f>IFERROR(s_RadSpec!$E$20*(BH20/$B70),".")</f>
        <v>0</v>
      </c>
      <c r="BI70" s="101">
        <f>IFERROR(s_RadSpec!$E$20*(BI20/$B70),".")</f>
        <v>0</v>
      </c>
      <c r="BJ70" s="101">
        <f>IFERROR(s_RadSpec!$E$20*(BJ20/$B70),".")</f>
        <v>0</v>
      </c>
      <c r="BK70" s="101">
        <f>IFERROR(s_RadSpec!$E$20*(BK20/$B70),".")</f>
        <v>0</v>
      </c>
      <c r="BL70" s="101">
        <f>IFERROR(s_RadSpec!$E$20*(BL20/$B70),".")</f>
        <v>0</v>
      </c>
      <c r="BM70" s="101">
        <f>IFERROR(s_RadSpec!$E$20*(BM20/$B70),".")</f>
        <v>0</v>
      </c>
      <c r="BN70" s="101">
        <f>IFERROR(s_RadSpec!$E$20*(BN20/$B70),".")</f>
        <v>0</v>
      </c>
      <c r="BO70" s="101">
        <f>IFERROR(s_RadSpec!$E$20*(BO20/$B70),".")</f>
        <v>0</v>
      </c>
      <c r="BP70" s="101">
        <f>IFERROR(s_RadSpec!$E$20*(BP20/$B70),".")</f>
        <v>0</v>
      </c>
      <c r="BQ70" s="101">
        <f>IFERROR(s_RadSpec!$E$20*(BQ20/$B70),".")</f>
        <v>0</v>
      </c>
      <c r="BR70" s="101">
        <f>IFERROR(s_RadSpec!$E$20*(BR20/$B70),".")</f>
        <v>0</v>
      </c>
      <c r="BS70" s="101">
        <f>IFERROR(s_RadSpec!$E$20*(BS20/$B70),".")</f>
        <v>0</v>
      </c>
      <c r="BT70" s="101">
        <f>IFERROR(s_RadSpec!$E$20*(BT20/$B70),".")</f>
        <v>0</v>
      </c>
      <c r="BU70" s="101">
        <f>IFERROR(s_RadSpec!$E$20*(BU20/$B70),".")</f>
        <v>0</v>
      </c>
      <c r="BV70" s="101">
        <f>IFERROR(s_RadSpec!$E$20*(BV20/$B70),".")</f>
        <v>0</v>
      </c>
      <c r="BW70" s="101">
        <f>IFERROR(s_RadSpec!$E$20*(BW20/$B70),".")</f>
        <v>0</v>
      </c>
      <c r="BX70" s="101">
        <f>IFERROR(s_RadSpec!$E$20*(BX20/$B70),".")</f>
        <v>0</v>
      </c>
      <c r="BY70" s="101">
        <f>IFERROR(s_RadSpec!$E$20*(BY20/$B70),".")</f>
        <v>0</v>
      </c>
    </row>
    <row r="71" spans="1:77" x14ac:dyDescent="0.25">
      <c r="A71" s="99" t="s">
        <v>1095</v>
      </c>
      <c r="B71" s="90">
        <v>2.0999995799999999E-4</v>
      </c>
      <c r="C71" s="100" t="str">
        <f t="shared" si="92"/>
        <v>.</v>
      </c>
      <c r="D71" s="100">
        <f t="shared" ref="D71:AA71" si="119">IFERROR($B71/D29,0)</f>
        <v>0</v>
      </c>
      <c r="E71" s="100">
        <f t="shared" si="119"/>
        <v>0</v>
      </c>
      <c r="F71" s="100">
        <f t="shared" si="119"/>
        <v>0</v>
      </c>
      <c r="G71" s="100">
        <f t="shared" si="119"/>
        <v>0</v>
      </c>
      <c r="H71" s="100">
        <f t="shared" si="119"/>
        <v>0</v>
      </c>
      <c r="I71" s="100">
        <f t="shared" si="119"/>
        <v>0</v>
      </c>
      <c r="J71" s="100">
        <f t="shared" si="119"/>
        <v>0</v>
      </c>
      <c r="K71" s="100">
        <f t="shared" si="119"/>
        <v>0</v>
      </c>
      <c r="L71" s="100">
        <f t="shared" si="119"/>
        <v>0</v>
      </c>
      <c r="M71" s="100">
        <f t="shared" si="119"/>
        <v>0</v>
      </c>
      <c r="N71" s="100">
        <f t="shared" si="119"/>
        <v>0</v>
      </c>
      <c r="O71" s="100">
        <f t="shared" si="119"/>
        <v>0</v>
      </c>
      <c r="P71" s="100">
        <f t="shared" si="119"/>
        <v>0</v>
      </c>
      <c r="Q71" s="100">
        <f t="shared" si="119"/>
        <v>0</v>
      </c>
      <c r="R71" s="100">
        <f t="shared" si="119"/>
        <v>0</v>
      </c>
      <c r="S71" s="100">
        <f t="shared" si="119"/>
        <v>0</v>
      </c>
      <c r="T71" s="100">
        <f t="shared" si="119"/>
        <v>0</v>
      </c>
      <c r="U71" s="100">
        <f t="shared" si="119"/>
        <v>0</v>
      </c>
      <c r="V71" s="100">
        <f t="shared" si="119"/>
        <v>0</v>
      </c>
      <c r="W71" s="100">
        <f t="shared" si="119"/>
        <v>0</v>
      </c>
      <c r="X71" s="100">
        <f t="shared" si="119"/>
        <v>0</v>
      </c>
      <c r="Y71" s="100">
        <f t="shared" si="119"/>
        <v>0</v>
      </c>
      <c r="Z71" s="100">
        <f t="shared" si="119"/>
        <v>0</v>
      </c>
      <c r="AA71" s="100">
        <f t="shared" si="119"/>
        <v>0</v>
      </c>
      <c r="AB71" s="100" t="str">
        <f t="shared" si="30"/>
        <v>.</v>
      </c>
      <c r="AC71" s="100">
        <f t="shared" ref="AC71:AZ71" si="120">IFERROR($B71/AC29,0)</f>
        <v>0</v>
      </c>
      <c r="AD71" s="100">
        <f t="shared" si="120"/>
        <v>0</v>
      </c>
      <c r="AE71" s="100">
        <f t="shared" si="120"/>
        <v>0</v>
      </c>
      <c r="AF71" s="100">
        <f t="shared" si="120"/>
        <v>0</v>
      </c>
      <c r="AG71" s="100">
        <f t="shared" si="120"/>
        <v>0</v>
      </c>
      <c r="AH71" s="100">
        <f t="shared" si="120"/>
        <v>0</v>
      </c>
      <c r="AI71" s="100">
        <f t="shared" si="120"/>
        <v>0</v>
      </c>
      <c r="AJ71" s="100">
        <f t="shared" si="120"/>
        <v>0</v>
      </c>
      <c r="AK71" s="100">
        <f t="shared" si="120"/>
        <v>0</v>
      </c>
      <c r="AL71" s="100">
        <f t="shared" si="120"/>
        <v>0</v>
      </c>
      <c r="AM71" s="100">
        <f t="shared" si="120"/>
        <v>0</v>
      </c>
      <c r="AN71" s="100">
        <f t="shared" si="120"/>
        <v>0</v>
      </c>
      <c r="AO71" s="100">
        <f t="shared" si="120"/>
        <v>0</v>
      </c>
      <c r="AP71" s="100">
        <f t="shared" si="120"/>
        <v>0</v>
      </c>
      <c r="AQ71" s="100">
        <f t="shared" si="120"/>
        <v>0</v>
      </c>
      <c r="AR71" s="100">
        <f t="shared" si="120"/>
        <v>0</v>
      </c>
      <c r="AS71" s="100">
        <f t="shared" si="120"/>
        <v>0</v>
      </c>
      <c r="AT71" s="100">
        <f t="shared" si="120"/>
        <v>0</v>
      </c>
      <c r="AU71" s="100">
        <f t="shared" si="120"/>
        <v>0</v>
      </c>
      <c r="AV71" s="100">
        <f t="shared" si="120"/>
        <v>0</v>
      </c>
      <c r="AW71" s="100">
        <f t="shared" si="120"/>
        <v>0</v>
      </c>
      <c r="AX71" s="100">
        <f t="shared" si="120"/>
        <v>0</v>
      </c>
      <c r="AY71" s="100">
        <f t="shared" si="120"/>
        <v>0</v>
      </c>
      <c r="AZ71" s="100">
        <f t="shared" si="120"/>
        <v>0</v>
      </c>
      <c r="BA71" s="101">
        <f t="shared" si="106"/>
        <v>0</v>
      </c>
      <c r="BB71" s="101">
        <f>IFERROR(s_RadSpec!$E$29*(BB29/$B71),".")</f>
        <v>0</v>
      </c>
      <c r="BC71" s="101">
        <f>IFERROR(s_RadSpec!$E$29*(BC29/$B71),".")</f>
        <v>0</v>
      </c>
      <c r="BD71" s="101">
        <f>IFERROR(s_RadSpec!$E$29*(BD29/$B71),".")</f>
        <v>0</v>
      </c>
      <c r="BE71" s="101">
        <f>IFERROR(s_RadSpec!$E$29*(BE29/$B71),".")</f>
        <v>0</v>
      </c>
      <c r="BF71" s="101">
        <f>IFERROR(s_RadSpec!$E$29*(BF29/$B71),".")</f>
        <v>0</v>
      </c>
      <c r="BG71" s="101">
        <f>IFERROR(s_RadSpec!$E$29*(BG29/$B71),".")</f>
        <v>0</v>
      </c>
      <c r="BH71" s="101">
        <f>IFERROR(s_RadSpec!$E$29*(BH29/$B71),".")</f>
        <v>0</v>
      </c>
      <c r="BI71" s="101">
        <f>IFERROR(s_RadSpec!$E$29*(BI29/$B71),".")</f>
        <v>0</v>
      </c>
      <c r="BJ71" s="101">
        <f>IFERROR(s_RadSpec!$E$29*(BJ29/$B71),".")</f>
        <v>0</v>
      </c>
      <c r="BK71" s="101">
        <f>IFERROR(s_RadSpec!$E$29*(BK29/$B71),".")</f>
        <v>0</v>
      </c>
      <c r="BL71" s="101">
        <f>IFERROR(s_RadSpec!$E$29*(BL29/$B71),".")</f>
        <v>0</v>
      </c>
      <c r="BM71" s="101">
        <f>IFERROR(s_RadSpec!$E$29*(BM29/$B71),".")</f>
        <v>0</v>
      </c>
      <c r="BN71" s="101">
        <f>IFERROR(s_RadSpec!$E$29*(BN29/$B71),".")</f>
        <v>0</v>
      </c>
      <c r="BO71" s="101">
        <f>IFERROR(s_RadSpec!$E$29*(BO29/$B71),".")</f>
        <v>0</v>
      </c>
      <c r="BP71" s="101">
        <f>IFERROR(s_RadSpec!$E$29*(BP29/$B71),".")</f>
        <v>0</v>
      </c>
      <c r="BQ71" s="101">
        <f>IFERROR(s_RadSpec!$E$29*(BQ29/$B71),".")</f>
        <v>0</v>
      </c>
      <c r="BR71" s="101">
        <f>IFERROR(s_RadSpec!$E$29*(BR29/$B71),".")</f>
        <v>0</v>
      </c>
      <c r="BS71" s="101">
        <f>IFERROR(s_RadSpec!$E$29*(BS29/$B71),".")</f>
        <v>0</v>
      </c>
      <c r="BT71" s="101">
        <f>IFERROR(s_RadSpec!$E$29*(BT29/$B71),".")</f>
        <v>0</v>
      </c>
      <c r="BU71" s="101">
        <f>IFERROR(s_RadSpec!$E$29*(BU29/$B71),".")</f>
        <v>0</v>
      </c>
      <c r="BV71" s="101">
        <f>IFERROR(s_RadSpec!$E$29*(BV29/$B71),".")</f>
        <v>0</v>
      </c>
      <c r="BW71" s="101">
        <f>IFERROR(s_RadSpec!$E$29*(BW29/$B71),".")</f>
        <v>0</v>
      </c>
      <c r="BX71" s="101">
        <f>IFERROR(s_RadSpec!$E$29*(BX29/$B71),".")</f>
        <v>0</v>
      </c>
      <c r="BY71" s="101">
        <f>IFERROR(s_RadSpec!$E$29*(BY29/$B71),".")</f>
        <v>0</v>
      </c>
    </row>
    <row r="72" spans="1:77" x14ac:dyDescent="0.25">
      <c r="A72" s="99" t="s">
        <v>1096</v>
      </c>
      <c r="B72" s="90">
        <v>1</v>
      </c>
      <c r="C72" s="100">
        <f t="shared" si="92"/>
        <v>0.80891250000000015</v>
      </c>
      <c r="D72" s="100">
        <f t="shared" ref="D72:AA72" si="121">IFERROR($B72/D16,0)</f>
        <v>3.2356500000000006</v>
      </c>
      <c r="E72" s="100">
        <f t="shared" si="121"/>
        <v>3.2356500000000006</v>
      </c>
      <c r="F72" s="100">
        <f t="shared" si="121"/>
        <v>3.2356500000000006</v>
      </c>
      <c r="G72" s="100">
        <f t="shared" si="121"/>
        <v>3.2356500000000006</v>
      </c>
      <c r="H72" s="100">
        <f t="shared" si="121"/>
        <v>3.2356500000000006</v>
      </c>
      <c r="I72" s="100">
        <f t="shared" si="121"/>
        <v>3.2356500000000006</v>
      </c>
      <c r="J72" s="100">
        <f t="shared" si="121"/>
        <v>3.2356500000000006</v>
      </c>
      <c r="K72" s="100">
        <f t="shared" si="121"/>
        <v>3.2356500000000006</v>
      </c>
      <c r="L72" s="100">
        <f t="shared" si="121"/>
        <v>3.2356500000000006</v>
      </c>
      <c r="M72" s="100">
        <f t="shared" si="121"/>
        <v>3.2356500000000006</v>
      </c>
      <c r="N72" s="100">
        <f t="shared" si="121"/>
        <v>3.2356500000000006</v>
      </c>
      <c r="O72" s="100">
        <f t="shared" si="121"/>
        <v>3.2356500000000006</v>
      </c>
      <c r="P72" s="100">
        <f t="shared" si="121"/>
        <v>3.2356500000000006</v>
      </c>
      <c r="Q72" s="100">
        <f t="shared" si="121"/>
        <v>3.2356500000000006</v>
      </c>
      <c r="R72" s="100">
        <f t="shared" si="121"/>
        <v>3.2356500000000006</v>
      </c>
      <c r="S72" s="100">
        <f t="shared" si="121"/>
        <v>3.2356500000000006</v>
      </c>
      <c r="T72" s="100">
        <f t="shared" si="121"/>
        <v>3.2356500000000006</v>
      </c>
      <c r="U72" s="100">
        <f t="shared" si="121"/>
        <v>3.2356500000000006</v>
      </c>
      <c r="V72" s="100">
        <f t="shared" si="121"/>
        <v>3.2356500000000006</v>
      </c>
      <c r="W72" s="100">
        <f t="shared" si="121"/>
        <v>3.2356500000000006</v>
      </c>
      <c r="X72" s="100">
        <f t="shared" si="121"/>
        <v>3.2356500000000006</v>
      </c>
      <c r="Y72" s="100">
        <f t="shared" si="121"/>
        <v>3.2356500000000006</v>
      </c>
      <c r="Z72" s="100">
        <f t="shared" si="121"/>
        <v>3.2356500000000006</v>
      </c>
      <c r="AA72" s="100">
        <f t="shared" si="121"/>
        <v>3.2356500000000006</v>
      </c>
      <c r="AB72" s="100">
        <f t="shared" si="30"/>
        <v>0.80891250000000015</v>
      </c>
      <c r="AC72" s="100">
        <f t="shared" ref="AC72:AZ72" si="122">IFERROR($B72/AC16,0)</f>
        <v>3.2356500000000006</v>
      </c>
      <c r="AD72" s="100">
        <f t="shared" si="122"/>
        <v>3.2356500000000006</v>
      </c>
      <c r="AE72" s="100">
        <f t="shared" si="122"/>
        <v>3.2356500000000006</v>
      </c>
      <c r="AF72" s="100">
        <f t="shared" si="122"/>
        <v>3.2356500000000006</v>
      </c>
      <c r="AG72" s="100">
        <f t="shared" si="122"/>
        <v>3.2356500000000006</v>
      </c>
      <c r="AH72" s="100">
        <f t="shared" si="122"/>
        <v>3.2356500000000006</v>
      </c>
      <c r="AI72" s="100">
        <f t="shared" si="122"/>
        <v>3.2356500000000006</v>
      </c>
      <c r="AJ72" s="100">
        <f t="shared" si="122"/>
        <v>3.2356500000000006</v>
      </c>
      <c r="AK72" s="100">
        <f t="shared" si="122"/>
        <v>3.2356500000000006</v>
      </c>
      <c r="AL72" s="100">
        <f t="shared" si="122"/>
        <v>3.2356500000000006</v>
      </c>
      <c r="AM72" s="100">
        <f t="shared" si="122"/>
        <v>3.2356500000000006</v>
      </c>
      <c r="AN72" s="100">
        <f t="shared" si="122"/>
        <v>3.2356500000000006</v>
      </c>
      <c r="AO72" s="100">
        <f t="shared" si="122"/>
        <v>3.2356500000000006</v>
      </c>
      <c r="AP72" s="100">
        <f t="shared" si="122"/>
        <v>3.2356500000000006</v>
      </c>
      <c r="AQ72" s="100">
        <f t="shared" si="122"/>
        <v>3.2356500000000006</v>
      </c>
      <c r="AR72" s="100">
        <f t="shared" si="122"/>
        <v>3.2356500000000006</v>
      </c>
      <c r="AS72" s="100">
        <f t="shared" si="122"/>
        <v>3.2356500000000006</v>
      </c>
      <c r="AT72" s="100">
        <f t="shared" si="122"/>
        <v>3.2356500000000006</v>
      </c>
      <c r="AU72" s="100">
        <f t="shared" si="122"/>
        <v>3.2356500000000006</v>
      </c>
      <c r="AV72" s="100">
        <f t="shared" si="122"/>
        <v>3.2356500000000006</v>
      </c>
      <c r="AW72" s="100">
        <f t="shared" si="122"/>
        <v>3.2356500000000006</v>
      </c>
      <c r="AX72" s="100">
        <f t="shared" si="122"/>
        <v>3.2356500000000006</v>
      </c>
      <c r="AY72" s="100">
        <f t="shared" si="122"/>
        <v>3.2356500000000006</v>
      </c>
      <c r="AZ72" s="100">
        <f t="shared" si="122"/>
        <v>3.2356500000000006</v>
      </c>
      <c r="BA72" s="101">
        <f t="shared" si="106"/>
        <v>6.4713000000000002E-5</v>
      </c>
      <c r="BB72" s="101">
        <f>IFERROR(s_RadSpec!$E$16*(BB16/$B72),".")</f>
        <v>1.617825E-5</v>
      </c>
      <c r="BC72" s="101">
        <f>IFERROR(s_RadSpec!$E$16*(BC16/$B72),".")</f>
        <v>1.617825E-5</v>
      </c>
      <c r="BD72" s="101">
        <f>IFERROR(s_RadSpec!$E$16*(BD16/$B72),".")</f>
        <v>1.617825E-5</v>
      </c>
      <c r="BE72" s="101">
        <f>IFERROR(s_RadSpec!$E$16*(BE16/$B72),".")</f>
        <v>1.617825E-5</v>
      </c>
      <c r="BF72" s="101">
        <f>IFERROR(s_RadSpec!$E$16*(BF16/$B72),".")</f>
        <v>1.617825E-5</v>
      </c>
      <c r="BG72" s="101">
        <f>IFERROR(s_RadSpec!$E$16*(BG16/$B72),".")</f>
        <v>1.617825E-5</v>
      </c>
      <c r="BH72" s="101">
        <f>IFERROR(s_RadSpec!$E$16*(BH16/$B72),".")</f>
        <v>1.617825E-5</v>
      </c>
      <c r="BI72" s="101">
        <f>IFERROR(s_RadSpec!$E$16*(BI16/$B72),".")</f>
        <v>1.617825E-5</v>
      </c>
      <c r="BJ72" s="101">
        <f>IFERROR(s_RadSpec!$E$16*(BJ16/$B72),".")</f>
        <v>1.617825E-5</v>
      </c>
      <c r="BK72" s="101">
        <f>IFERROR(s_RadSpec!$E$16*(BK16/$B72),".")</f>
        <v>1.617825E-5</v>
      </c>
      <c r="BL72" s="101">
        <f>IFERROR(s_RadSpec!$E$16*(BL16/$B72),".")</f>
        <v>1.617825E-5</v>
      </c>
      <c r="BM72" s="101">
        <f>IFERROR(s_RadSpec!$E$16*(BM16/$B72),".")</f>
        <v>1.617825E-5</v>
      </c>
      <c r="BN72" s="101">
        <f>IFERROR(s_RadSpec!$E$16*(BN16/$B72),".")</f>
        <v>1.617825E-5</v>
      </c>
      <c r="BO72" s="101">
        <f>IFERROR(s_RadSpec!$E$16*(BO16/$B72),".")</f>
        <v>1.617825E-5</v>
      </c>
      <c r="BP72" s="101">
        <f>IFERROR(s_RadSpec!$E$16*(BP16/$B72),".")</f>
        <v>1.617825E-5</v>
      </c>
      <c r="BQ72" s="101">
        <f>IFERROR(s_RadSpec!$E$16*(BQ16/$B72),".")</f>
        <v>1.617825E-5</v>
      </c>
      <c r="BR72" s="101">
        <f>IFERROR(s_RadSpec!$E$16*(BR16/$B72),".")</f>
        <v>1.617825E-5</v>
      </c>
      <c r="BS72" s="101">
        <f>IFERROR(s_RadSpec!$E$16*(BS16/$B72),".")</f>
        <v>1.617825E-5</v>
      </c>
      <c r="BT72" s="101">
        <f>IFERROR(s_RadSpec!$E$16*(BT16/$B72),".")</f>
        <v>1.617825E-5</v>
      </c>
      <c r="BU72" s="101">
        <f>IFERROR(s_RadSpec!$E$16*(BU16/$B72),".")</f>
        <v>1.617825E-5</v>
      </c>
      <c r="BV72" s="101">
        <f>IFERROR(s_RadSpec!$E$16*(BV16/$B72),".")</f>
        <v>1.617825E-5</v>
      </c>
      <c r="BW72" s="101">
        <f>IFERROR(s_RadSpec!$E$16*(BW16/$B72),".")</f>
        <v>1.617825E-5</v>
      </c>
      <c r="BX72" s="101">
        <f>IFERROR(s_RadSpec!$E$16*(BX16/$B72),".")</f>
        <v>1.617825E-5</v>
      </c>
      <c r="BY72" s="101">
        <f>IFERROR(s_RadSpec!$E$16*(BY16/$B72),".")</f>
        <v>1.617825E-5</v>
      </c>
    </row>
    <row r="73" spans="1:77" x14ac:dyDescent="0.25">
      <c r="A73" s="99" t="s">
        <v>1097</v>
      </c>
      <c r="B73" s="90">
        <v>1</v>
      </c>
      <c r="C73" s="100">
        <f t="shared" si="92"/>
        <v>8.9540000000000002E-3</v>
      </c>
      <c r="D73" s="100">
        <f t="shared" ref="D73:AA73" si="123">IFERROR($B73/D7,0)</f>
        <v>3.5816000000000001E-2</v>
      </c>
      <c r="E73" s="100">
        <f t="shared" si="123"/>
        <v>3.5816000000000001E-2</v>
      </c>
      <c r="F73" s="100">
        <f t="shared" si="123"/>
        <v>3.5816000000000001E-2</v>
      </c>
      <c r="G73" s="100">
        <f t="shared" si="123"/>
        <v>3.5816000000000001E-2</v>
      </c>
      <c r="H73" s="100">
        <f t="shared" si="123"/>
        <v>3.5816000000000001E-2</v>
      </c>
      <c r="I73" s="100">
        <f t="shared" si="123"/>
        <v>3.5816000000000001E-2</v>
      </c>
      <c r="J73" s="100">
        <f t="shared" si="123"/>
        <v>3.5816000000000001E-2</v>
      </c>
      <c r="K73" s="100">
        <f t="shared" si="123"/>
        <v>3.5816000000000001E-2</v>
      </c>
      <c r="L73" s="100">
        <f t="shared" si="123"/>
        <v>3.5816000000000001E-2</v>
      </c>
      <c r="M73" s="100">
        <f t="shared" si="123"/>
        <v>3.5816000000000001E-2</v>
      </c>
      <c r="N73" s="100">
        <f t="shared" si="123"/>
        <v>3.5816000000000001E-2</v>
      </c>
      <c r="O73" s="100">
        <f t="shared" si="123"/>
        <v>3.5816000000000001E-2</v>
      </c>
      <c r="P73" s="100">
        <f t="shared" si="123"/>
        <v>3.5816000000000001E-2</v>
      </c>
      <c r="Q73" s="100">
        <f t="shared" si="123"/>
        <v>3.5816000000000001E-2</v>
      </c>
      <c r="R73" s="100">
        <f t="shared" si="123"/>
        <v>3.5816000000000001E-2</v>
      </c>
      <c r="S73" s="100">
        <f t="shared" si="123"/>
        <v>3.5816000000000001E-2</v>
      </c>
      <c r="T73" s="100">
        <f t="shared" si="123"/>
        <v>3.5816000000000001E-2</v>
      </c>
      <c r="U73" s="100">
        <f t="shared" si="123"/>
        <v>3.5816000000000001E-2</v>
      </c>
      <c r="V73" s="100">
        <f t="shared" si="123"/>
        <v>3.5816000000000001E-2</v>
      </c>
      <c r="W73" s="100">
        <f t="shared" si="123"/>
        <v>3.5816000000000001E-2</v>
      </c>
      <c r="X73" s="100">
        <f t="shared" si="123"/>
        <v>3.5816000000000001E-2</v>
      </c>
      <c r="Y73" s="100">
        <f t="shared" si="123"/>
        <v>3.5816000000000001E-2</v>
      </c>
      <c r="Z73" s="100">
        <f t="shared" si="123"/>
        <v>3.5816000000000001E-2</v>
      </c>
      <c r="AA73" s="100">
        <f t="shared" si="123"/>
        <v>3.5816000000000001E-2</v>
      </c>
      <c r="AB73" s="100">
        <f t="shared" si="30"/>
        <v>8.9540000000000002E-3</v>
      </c>
      <c r="AC73" s="100">
        <f t="shared" ref="AC73:AZ73" si="124">IFERROR($B73/AC7,0)</f>
        <v>3.5816000000000001E-2</v>
      </c>
      <c r="AD73" s="100">
        <f t="shared" si="124"/>
        <v>3.5816000000000001E-2</v>
      </c>
      <c r="AE73" s="100">
        <f t="shared" si="124"/>
        <v>3.5816000000000001E-2</v>
      </c>
      <c r="AF73" s="100">
        <f t="shared" si="124"/>
        <v>3.5816000000000001E-2</v>
      </c>
      <c r="AG73" s="100">
        <f t="shared" si="124"/>
        <v>3.5816000000000001E-2</v>
      </c>
      <c r="AH73" s="100">
        <f t="shared" si="124"/>
        <v>3.5816000000000001E-2</v>
      </c>
      <c r="AI73" s="100">
        <f t="shared" si="124"/>
        <v>3.5816000000000001E-2</v>
      </c>
      <c r="AJ73" s="100">
        <f t="shared" si="124"/>
        <v>3.5816000000000001E-2</v>
      </c>
      <c r="AK73" s="100">
        <f t="shared" si="124"/>
        <v>3.5816000000000001E-2</v>
      </c>
      <c r="AL73" s="100">
        <f t="shared" si="124"/>
        <v>3.5816000000000001E-2</v>
      </c>
      <c r="AM73" s="100">
        <f t="shared" si="124"/>
        <v>3.5816000000000001E-2</v>
      </c>
      <c r="AN73" s="100">
        <f t="shared" si="124"/>
        <v>3.5816000000000001E-2</v>
      </c>
      <c r="AO73" s="100">
        <f t="shared" si="124"/>
        <v>3.5816000000000001E-2</v>
      </c>
      <c r="AP73" s="100">
        <f t="shared" si="124"/>
        <v>3.5816000000000001E-2</v>
      </c>
      <c r="AQ73" s="100">
        <f t="shared" si="124"/>
        <v>3.5816000000000001E-2</v>
      </c>
      <c r="AR73" s="100">
        <f t="shared" si="124"/>
        <v>3.5816000000000001E-2</v>
      </c>
      <c r="AS73" s="100">
        <f t="shared" si="124"/>
        <v>3.5816000000000001E-2</v>
      </c>
      <c r="AT73" s="100">
        <f t="shared" si="124"/>
        <v>3.5816000000000001E-2</v>
      </c>
      <c r="AU73" s="100">
        <f t="shared" si="124"/>
        <v>3.5816000000000001E-2</v>
      </c>
      <c r="AV73" s="100">
        <f t="shared" si="124"/>
        <v>3.5816000000000001E-2</v>
      </c>
      <c r="AW73" s="100">
        <f t="shared" si="124"/>
        <v>3.5816000000000001E-2</v>
      </c>
      <c r="AX73" s="100">
        <f t="shared" si="124"/>
        <v>3.5816000000000001E-2</v>
      </c>
      <c r="AY73" s="100">
        <f t="shared" si="124"/>
        <v>3.5816000000000001E-2</v>
      </c>
      <c r="AZ73" s="100">
        <f t="shared" si="124"/>
        <v>3.5816000000000001E-2</v>
      </c>
      <c r="BA73" s="101">
        <f t="shared" si="106"/>
        <v>7.1631999999999995E-7</v>
      </c>
      <c r="BB73" s="101">
        <f>IFERROR(s_RadSpec!$E$7*(BB7/$B73),".")</f>
        <v>1.7907999999999999E-7</v>
      </c>
      <c r="BC73" s="101">
        <f>IFERROR(s_RadSpec!$E$7*(BC7/$B73),".")</f>
        <v>1.7907999999999999E-7</v>
      </c>
      <c r="BD73" s="101">
        <f>IFERROR(s_RadSpec!$E$7*(BD7/$B73),".")</f>
        <v>1.7907999999999999E-7</v>
      </c>
      <c r="BE73" s="101">
        <f>IFERROR(s_RadSpec!$E$7*(BE7/$B73),".")</f>
        <v>1.7907999999999999E-7</v>
      </c>
      <c r="BF73" s="101">
        <f>IFERROR(s_RadSpec!$E$7*(BF7/$B73),".")</f>
        <v>1.7907999999999999E-7</v>
      </c>
      <c r="BG73" s="101">
        <f>IFERROR(s_RadSpec!$E$7*(BG7/$B73),".")</f>
        <v>1.7907999999999999E-7</v>
      </c>
      <c r="BH73" s="101">
        <f>IFERROR(s_RadSpec!$E$7*(BH7/$B73),".")</f>
        <v>1.7907999999999999E-7</v>
      </c>
      <c r="BI73" s="101">
        <f>IFERROR(s_RadSpec!$E$7*(BI7/$B73),".")</f>
        <v>1.7907999999999999E-7</v>
      </c>
      <c r="BJ73" s="101">
        <f>IFERROR(s_RadSpec!$E$7*(BJ7/$B73),".")</f>
        <v>1.7907999999999999E-7</v>
      </c>
      <c r="BK73" s="101">
        <f>IFERROR(s_RadSpec!$E$7*(BK7/$B73),".")</f>
        <v>1.7907999999999999E-7</v>
      </c>
      <c r="BL73" s="101">
        <f>IFERROR(s_RadSpec!$E$7*(BL7/$B73),".")</f>
        <v>1.7907999999999999E-7</v>
      </c>
      <c r="BM73" s="101">
        <f>IFERROR(s_RadSpec!$E$7*(BM7/$B73),".")</f>
        <v>1.7907999999999999E-7</v>
      </c>
      <c r="BN73" s="101">
        <f>IFERROR(s_RadSpec!$E$7*(BN7/$B73),".")</f>
        <v>1.7907999999999999E-7</v>
      </c>
      <c r="BO73" s="101">
        <f>IFERROR(s_RadSpec!$E$7*(BO7/$B73),".")</f>
        <v>1.7907999999999999E-7</v>
      </c>
      <c r="BP73" s="101">
        <f>IFERROR(s_RadSpec!$E$7*(BP7/$B73),".")</f>
        <v>1.7907999999999999E-7</v>
      </c>
      <c r="BQ73" s="101">
        <f>IFERROR(s_RadSpec!$E$7*(BQ7/$B73),".")</f>
        <v>1.7907999999999999E-7</v>
      </c>
      <c r="BR73" s="101">
        <f>IFERROR(s_RadSpec!$E$7*(BR7/$B73),".")</f>
        <v>1.7907999999999999E-7</v>
      </c>
      <c r="BS73" s="101">
        <f>IFERROR(s_RadSpec!$E$7*(BS7/$B73),".")</f>
        <v>1.7907999999999999E-7</v>
      </c>
      <c r="BT73" s="101">
        <f>IFERROR(s_RadSpec!$E$7*(BT7/$B73),".")</f>
        <v>1.7907999999999999E-7</v>
      </c>
      <c r="BU73" s="101">
        <f>IFERROR(s_RadSpec!$E$7*(BU7/$B73),".")</f>
        <v>1.7907999999999999E-7</v>
      </c>
      <c r="BV73" s="101">
        <f>IFERROR(s_RadSpec!$E$7*(BV7/$B73),".")</f>
        <v>1.7907999999999999E-7</v>
      </c>
      <c r="BW73" s="101">
        <f>IFERROR(s_RadSpec!$E$7*(BW7/$B73),".")</f>
        <v>1.7907999999999999E-7</v>
      </c>
      <c r="BX73" s="101">
        <f>IFERROR(s_RadSpec!$E$7*(BX7/$B73),".")</f>
        <v>1.7907999999999999E-7</v>
      </c>
      <c r="BY73" s="101">
        <f>IFERROR(s_RadSpec!$E$7*(BY7/$B73),".")</f>
        <v>1.7907999999999999E-7</v>
      </c>
    </row>
    <row r="74" spans="1:77" x14ac:dyDescent="0.25">
      <c r="A74" s="99" t="s">
        <v>1098</v>
      </c>
      <c r="B74" s="104">
        <v>1.9000000000000001E-8</v>
      </c>
      <c r="C74" s="100" t="str">
        <f t="shared" si="92"/>
        <v>.</v>
      </c>
      <c r="D74" s="100">
        <f t="shared" ref="D74:AA74" si="125">IFERROR($B74/D12,0)</f>
        <v>0</v>
      </c>
      <c r="E74" s="100">
        <f t="shared" si="125"/>
        <v>0</v>
      </c>
      <c r="F74" s="100">
        <f t="shared" si="125"/>
        <v>0</v>
      </c>
      <c r="G74" s="100">
        <f t="shared" si="125"/>
        <v>0</v>
      </c>
      <c r="H74" s="100">
        <f t="shared" si="125"/>
        <v>0</v>
      </c>
      <c r="I74" s="100">
        <f t="shared" si="125"/>
        <v>0</v>
      </c>
      <c r="J74" s="100">
        <f t="shared" si="125"/>
        <v>0</v>
      </c>
      <c r="K74" s="100">
        <f t="shared" si="125"/>
        <v>0</v>
      </c>
      <c r="L74" s="100">
        <f t="shared" si="125"/>
        <v>0</v>
      </c>
      <c r="M74" s="100">
        <f t="shared" si="125"/>
        <v>0</v>
      </c>
      <c r="N74" s="100">
        <f t="shared" si="125"/>
        <v>0</v>
      </c>
      <c r="O74" s="100">
        <f t="shared" si="125"/>
        <v>0</v>
      </c>
      <c r="P74" s="100">
        <f t="shared" si="125"/>
        <v>0</v>
      </c>
      <c r="Q74" s="100">
        <f t="shared" si="125"/>
        <v>0</v>
      </c>
      <c r="R74" s="100">
        <f t="shared" si="125"/>
        <v>0</v>
      </c>
      <c r="S74" s="100">
        <f t="shared" si="125"/>
        <v>0</v>
      </c>
      <c r="T74" s="100">
        <f t="shared" si="125"/>
        <v>0</v>
      </c>
      <c r="U74" s="100">
        <f t="shared" si="125"/>
        <v>0</v>
      </c>
      <c r="V74" s="100">
        <f t="shared" si="125"/>
        <v>0</v>
      </c>
      <c r="W74" s="100">
        <f t="shared" si="125"/>
        <v>0</v>
      </c>
      <c r="X74" s="100">
        <f t="shared" si="125"/>
        <v>0</v>
      </c>
      <c r="Y74" s="100">
        <f t="shared" si="125"/>
        <v>0</v>
      </c>
      <c r="Z74" s="100">
        <f t="shared" si="125"/>
        <v>0</v>
      </c>
      <c r="AA74" s="100">
        <f t="shared" si="125"/>
        <v>0</v>
      </c>
      <c r="AB74" s="100" t="str">
        <f t="shared" si="30"/>
        <v>.</v>
      </c>
      <c r="AC74" s="100">
        <f t="shared" ref="AC74:AZ74" si="126">IFERROR($B74/AC12,0)</f>
        <v>0</v>
      </c>
      <c r="AD74" s="100">
        <f t="shared" si="126"/>
        <v>0</v>
      </c>
      <c r="AE74" s="100">
        <f t="shared" si="126"/>
        <v>0</v>
      </c>
      <c r="AF74" s="100">
        <f t="shared" si="126"/>
        <v>0</v>
      </c>
      <c r="AG74" s="100">
        <f t="shared" si="126"/>
        <v>0</v>
      </c>
      <c r="AH74" s="100">
        <f t="shared" si="126"/>
        <v>0</v>
      </c>
      <c r="AI74" s="100">
        <f t="shared" si="126"/>
        <v>0</v>
      </c>
      <c r="AJ74" s="100">
        <f t="shared" si="126"/>
        <v>0</v>
      </c>
      <c r="AK74" s="100">
        <f t="shared" si="126"/>
        <v>0</v>
      </c>
      <c r="AL74" s="100">
        <f t="shared" si="126"/>
        <v>0</v>
      </c>
      <c r="AM74" s="100">
        <f t="shared" si="126"/>
        <v>0</v>
      </c>
      <c r="AN74" s="100">
        <f t="shared" si="126"/>
        <v>0</v>
      </c>
      <c r="AO74" s="100">
        <f t="shared" si="126"/>
        <v>0</v>
      </c>
      <c r="AP74" s="100">
        <f t="shared" si="126"/>
        <v>0</v>
      </c>
      <c r="AQ74" s="100">
        <f t="shared" si="126"/>
        <v>0</v>
      </c>
      <c r="AR74" s="100">
        <f t="shared" si="126"/>
        <v>0</v>
      </c>
      <c r="AS74" s="100">
        <f t="shared" si="126"/>
        <v>0</v>
      </c>
      <c r="AT74" s="100">
        <f t="shared" si="126"/>
        <v>0</v>
      </c>
      <c r="AU74" s="100">
        <f t="shared" si="126"/>
        <v>0</v>
      </c>
      <c r="AV74" s="100">
        <f t="shared" si="126"/>
        <v>0</v>
      </c>
      <c r="AW74" s="100">
        <f t="shared" si="126"/>
        <v>0</v>
      </c>
      <c r="AX74" s="100">
        <f t="shared" si="126"/>
        <v>0</v>
      </c>
      <c r="AY74" s="100">
        <f t="shared" si="126"/>
        <v>0</v>
      </c>
      <c r="AZ74" s="100">
        <f t="shared" si="126"/>
        <v>0</v>
      </c>
      <c r="BA74" s="101">
        <f t="shared" si="106"/>
        <v>0</v>
      </c>
      <c r="BB74" s="101">
        <f>IFERROR(s_RadSpec!$E$12*(BB12/$B74),".")</f>
        <v>0</v>
      </c>
      <c r="BC74" s="101">
        <f>IFERROR(s_RadSpec!$E$12*(BC12/$B74),".")</f>
        <v>0</v>
      </c>
      <c r="BD74" s="101">
        <f>IFERROR(s_RadSpec!$E$12*(BD12/$B74),".")</f>
        <v>0</v>
      </c>
      <c r="BE74" s="101">
        <f>IFERROR(s_RadSpec!$E$12*(BE12/$B74),".")</f>
        <v>0</v>
      </c>
      <c r="BF74" s="101">
        <f>IFERROR(s_RadSpec!$E$12*(BF12/$B74),".")</f>
        <v>0</v>
      </c>
      <c r="BG74" s="101">
        <f>IFERROR(s_RadSpec!$E$12*(BG12/$B74),".")</f>
        <v>0</v>
      </c>
      <c r="BH74" s="101">
        <f>IFERROR(s_RadSpec!$E$12*(BH12/$B74),".")</f>
        <v>0</v>
      </c>
      <c r="BI74" s="101">
        <f>IFERROR(s_RadSpec!$E$12*(BI12/$B74),".")</f>
        <v>0</v>
      </c>
      <c r="BJ74" s="101">
        <f>IFERROR(s_RadSpec!$E$12*(BJ12/$B74),".")</f>
        <v>0</v>
      </c>
      <c r="BK74" s="101">
        <f>IFERROR(s_RadSpec!$E$12*(BK12/$B74),".")</f>
        <v>0</v>
      </c>
      <c r="BL74" s="101">
        <f>IFERROR(s_RadSpec!$E$12*(BL12/$B74),".")</f>
        <v>0</v>
      </c>
      <c r="BM74" s="101">
        <f>IFERROR(s_RadSpec!$E$12*(BM12/$B74),".")</f>
        <v>0</v>
      </c>
      <c r="BN74" s="101">
        <f>IFERROR(s_RadSpec!$E$12*(BN12/$B74),".")</f>
        <v>0</v>
      </c>
      <c r="BO74" s="101">
        <f>IFERROR(s_RadSpec!$E$12*(BO12/$B74),".")</f>
        <v>0</v>
      </c>
      <c r="BP74" s="101">
        <f>IFERROR(s_RadSpec!$E$12*(BP12/$B74),".")</f>
        <v>0</v>
      </c>
      <c r="BQ74" s="101">
        <f>IFERROR(s_RadSpec!$E$12*(BQ12/$B74),".")</f>
        <v>0</v>
      </c>
      <c r="BR74" s="101">
        <f>IFERROR(s_RadSpec!$E$12*(BR12/$B74),".")</f>
        <v>0</v>
      </c>
      <c r="BS74" s="101">
        <f>IFERROR(s_RadSpec!$E$12*(BS12/$B74),".")</f>
        <v>0</v>
      </c>
      <c r="BT74" s="101">
        <f>IFERROR(s_RadSpec!$E$12*(BT12/$B74),".")</f>
        <v>0</v>
      </c>
      <c r="BU74" s="101">
        <f>IFERROR(s_RadSpec!$E$12*(BU12/$B74),".")</f>
        <v>0</v>
      </c>
      <c r="BV74" s="101">
        <f>IFERROR(s_RadSpec!$E$12*(BV12/$B74),".")</f>
        <v>0</v>
      </c>
      <c r="BW74" s="101">
        <f>IFERROR(s_RadSpec!$E$12*(BW12/$B74),".")</f>
        <v>0</v>
      </c>
      <c r="BX74" s="101">
        <f>IFERROR(s_RadSpec!$E$12*(BX12/$B74),".")</f>
        <v>0</v>
      </c>
      <c r="BY74" s="101">
        <f>IFERROR(s_RadSpec!$E$12*(BY12/$B74),".")</f>
        <v>0</v>
      </c>
    </row>
    <row r="75" spans="1:77" x14ac:dyDescent="0.25">
      <c r="A75" s="99" t="s">
        <v>1099</v>
      </c>
      <c r="B75" s="90">
        <v>1</v>
      </c>
      <c r="C75" s="100">
        <f t="shared" si="92"/>
        <v>1.54914375</v>
      </c>
      <c r="D75" s="100">
        <f t="shared" ref="D75:AA75" si="127">IFERROR($B75/D18,0)</f>
        <v>6.1965750000000002</v>
      </c>
      <c r="E75" s="100">
        <f t="shared" si="127"/>
        <v>6.1965750000000002</v>
      </c>
      <c r="F75" s="100">
        <f t="shared" si="127"/>
        <v>6.1965750000000002</v>
      </c>
      <c r="G75" s="100">
        <f t="shared" si="127"/>
        <v>6.1965750000000002</v>
      </c>
      <c r="H75" s="100">
        <f t="shared" si="127"/>
        <v>6.1965750000000002</v>
      </c>
      <c r="I75" s="100">
        <f t="shared" si="127"/>
        <v>6.1965750000000002</v>
      </c>
      <c r="J75" s="100">
        <f t="shared" si="127"/>
        <v>6.1965750000000002</v>
      </c>
      <c r="K75" s="100">
        <f t="shared" si="127"/>
        <v>6.1965750000000002</v>
      </c>
      <c r="L75" s="100">
        <f t="shared" si="127"/>
        <v>6.1965750000000002</v>
      </c>
      <c r="M75" s="100">
        <f t="shared" si="127"/>
        <v>6.1965750000000002</v>
      </c>
      <c r="N75" s="100">
        <f t="shared" si="127"/>
        <v>6.1965750000000002</v>
      </c>
      <c r="O75" s="100">
        <f t="shared" si="127"/>
        <v>6.1965750000000002</v>
      </c>
      <c r="P75" s="100">
        <f t="shared" si="127"/>
        <v>6.1965750000000002</v>
      </c>
      <c r="Q75" s="100">
        <f t="shared" si="127"/>
        <v>6.1965750000000002</v>
      </c>
      <c r="R75" s="100">
        <f t="shared" si="127"/>
        <v>6.1965750000000002</v>
      </c>
      <c r="S75" s="100">
        <f t="shared" si="127"/>
        <v>6.1965750000000002</v>
      </c>
      <c r="T75" s="100">
        <f t="shared" si="127"/>
        <v>6.1965750000000002</v>
      </c>
      <c r="U75" s="100">
        <f t="shared" si="127"/>
        <v>6.1965750000000002</v>
      </c>
      <c r="V75" s="100">
        <f t="shared" si="127"/>
        <v>6.1965750000000002</v>
      </c>
      <c r="W75" s="100">
        <f t="shared" si="127"/>
        <v>6.1965750000000002</v>
      </c>
      <c r="X75" s="100">
        <f t="shared" si="127"/>
        <v>6.1965750000000002</v>
      </c>
      <c r="Y75" s="100">
        <f t="shared" si="127"/>
        <v>6.1965750000000002</v>
      </c>
      <c r="Z75" s="100">
        <f t="shared" si="127"/>
        <v>6.1965750000000002</v>
      </c>
      <c r="AA75" s="100">
        <f t="shared" si="127"/>
        <v>6.1965750000000002</v>
      </c>
      <c r="AB75" s="100">
        <f t="shared" si="30"/>
        <v>1.54914375</v>
      </c>
      <c r="AC75" s="100">
        <f t="shared" ref="AC75:AZ75" si="128">IFERROR($B75/AC18,0)</f>
        <v>6.1965750000000002</v>
      </c>
      <c r="AD75" s="100">
        <f t="shared" si="128"/>
        <v>6.1965750000000002</v>
      </c>
      <c r="AE75" s="100">
        <f t="shared" si="128"/>
        <v>6.1965750000000002</v>
      </c>
      <c r="AF75" s="100">
        <f t="shared" si="128"/>
        <v>6.1965750000000002</v>
      </c>
      <c r="AG75" s="100">
        <f t="shared" si="128"/>
        <v>6.1965750000000002</v>
      </c>
      <c r="AH75" s="100">
        <f t="shared" si="128"/>
        <v>6.1965750000000002</v>
      </c>
      <c r="AI75" s="100">
        <f t="shared" si="128"/>
        <v>6.1965750000000002</v>
      </c>
      <c r="AJ75" s="100">
        <f t="shared" si="128"/>
        <v>6.1965750000000002</v>
      </c>
      <c r="AK75" s="100">
        <f t="shared" si="128"/>
        <v>6.1965750000000002</v>
      </c>
      <c r="AL75" s="100">
        <f t="shared" si="128"/>
        <v>6.1965750000000002</v>
      </c>
      <c r="AM75" s="100">
        <f t="shared" si="128"/>
        <v>6.1965750000000002</v>
      </c>
      <c r="AN75" s="100">
        <f t="shared" si="128"/>
        <v>6.1965750000000002</v>
      </c>
      <c r="AO75" s="100">
        <f t="shared" si="128"/>
        <v>6.1965750000000002</v>
      </c>
      <c r="AP75" s="100">
        <f t="shared" si="128"/>
        <v>6.1965750000000002</v>
      </c>
      <c r="AQ75" s="100">
        <f t="shared" si="128"/>
        <v>6.1965750000000002</v>
      </c>
      <c r="AR75" s="100">
        <f t="shared" si="128"/>
        <v>6.1965750000000002</v>
      </c>
      <c r="AS75" s="100">
        <f t="shared" si="128"/>
        <v>6.1965750000000002</v>
      </c>
      <c r="AT75" s="100">
        <f t="shared" si="128"/>
        <v>6.1965750000000002</v>
      </c>
      <c r="AU75" s="100">
        <f t="shared" si="128"/>
        <v>6.1965750000000002</v>
      </c>
      <c r="AV75" s="100">
        <f t="shared" si="128"/>
        <v>6.1965750000000002</v>
      </c>
      <c r="AW75" s="100">
        <f t="shared" si="128"/>
        <v>6.1965750000000002</v>
      </c>
      <c r="AX75" s="100">
        <f t="shared" si="128"/>
        <v>6.1965750000000002</v>
      </c>
      <c r="AY75" s="100">
        <f t="shared" si="128"/>
        <v>6.1965750000000002</v>
      </c>
      <c r="AZ75" s="100">
        <f t="shared" si="128"/>
        <v>6.1965750000000002</v>
      </c>
      <c r="BA75" s="101">
        <f t="shared" si="106"/>
        <v>1.2393150000000001E-4</v>
      </c>
      <c r="BB75" s="101">
        <f>IFERROR(s_RadSpec!$E$18*(BB18/$B75),".")</f>
        <v>3.0982875000000003E-5</v>
      </c>
      <c r="BC75" s="101">
        <f>IFERROR(s_RadSpec!$E$18*(BC18/$B75),".")</f>
        <v>3.0982875000000003E-5</v>
      </c>
      <c r="BD75" s="101">
        <f>IFERROR(s_RadSpec!$E$18*(BD18/$B75),".")</f>
        <v>3.0982875000000003E-5</v>
      </c>
      <c r="BE75" s="101">
        <f>IFERROR(s_RadSpec!$E$18*(BE18/$B75),".")</f>
        <v>3.0982875000000003E-5</v>
      </c>
      <c r="BF75" s="101">
        <f>IFERROR(s_RadSpec!$E$18*(BF18/$B75),".")</f>
        <v>3.0982875000000003E-5</v>
      </c>
      <c r="BG75" s="101">
        <f>IFERROR(s_RadSpec!$E$18*(BG18/$B75),".")</f>
        <v>3.0982875000000003E-5</v>
      </c>
      <c r="BH75" s="101">
        <f>IFERROR(s_RadSpec!$E$18*(BH18/$B75),".")</f>
        <v>3.0982875000000003E-5</v>
      </c>
      <c r="BI75" s="101">
        <f>IFERROR(s_RadSpec!$E$18*(BI18/$B75),".")</f>
        <v>3.0982875000000003E-5</v>
      </c>
      <c r="BJ75" s="101">
        <f>IFERROR(s_RadSpec!$E$18*(BJ18/$B75),".")</f>
        <v>3.0982875000000003E-5</v>
      </c>
      <c r="BK75" s="101">
        <f>IFERROR(s_RadSpec!$E$18*(BK18/$B75),".")</f>
        <v>3.0982875000000003E-5</v>
      </c>
      <c r="BL75" s="101">
        <f>IFERROR(s_RadSpec!$E$18*(BL18/$B75),".")</f>
        <v>3.0982875000000003E-5</v>
      </c>
      <c r="BM75" s="101">
        <f>IFERROR(s_RadSpec!$E$18*(BM18/$B75),".")</f>
        <v>3.0982875000000003E-5</v>
      </c>
      <c r="BN75" s="101">
        <f>IFERROR(s_RadSpec!$E$18*(BN18/$B75),".")</f>
        <v>3.0982875000000003E-5</v>
      </c>
      <c r="BO75" s="101">
        <f>IFERROR(s_RadSpec!$E$18*(BO18/$B75),".")</f>
        <v>3.0982875000000003E-5</v>
      </c>
      <c r="BP75" s="101">
        <f>IFERROR(s_RadSpec!$E$18*(BP18/$B75),".")</f>
        <v>3.0982875000000003E-5</v>
      </c>
      <c r="BQ75" s="101">
        <f>IFERROR(s_RadSpec!$E$18*(BQ18/$B75),".")</f>
        <v>3.0982875000000003E-5</v>
      </c>
      <c r="BR75" s="101">
        <f>IFERROR(s_RadSpec!$E$18*(BR18/$B75),".")</f>
        <v>3.0982875000000003E-5</v>
      </c>
      <c r="BS75" s="101">
        <f>IFERROR(s_RadSpec!$E$18*(BS18/$B75),".")</f>
        <v>3.0982875000000003E-5</v>
      </c>
      <c r="BT75" s="101">
        <f>IFERROR(s_RadSpec!$E$18*(BT18/$B75),".")</f>
        <v>3.0982875000000003E-5</v>
      </c>
      <c r="BU75" s="101">
        <f>IFERROR(s_RadSpec!$E$18*(BU18/$B75),".")</f>
        <v>3.0982875000000003E-5</v>
      </c>
      <c r="BV75" s="101">
        <f>IFERROR(s_RadSpec!$E$18*(BV18/$B75),".")</f>
        <v>3.0982875000000003E-5</v>
      </c>
      <c r="BW75" s="101">
        <f>IFERROR(s_RadSpec!$E$18*(BW18/$B75),".")</f>
        <v>3.0982875000000003E-5</v>
      </c>
      <c r="BX75" s="101">
        <f>IFERROR(s_RadSpec!$E$18*(BX18/$B75),".")</f>
        <v>3.0982875000000003E-5</v>
      </c>
      <c r="BY75" s="101">
        <f>IFERROR(s_RadSpec!$E$18*(BY18/$B75),".")</f>
        <v>3.0982875000000003E-5</v>
      </c>
    </row>
    <row r="76" spans="1:77" x14ac:dyDescent="0.25">
      <c r="A76" s="99" t="s">
        <v>1100</v>
      </c>
      <c r="B76" s="90">
        <v>1.339E-6</v>
      </c>
      <c r="C76" s="100" t="str">
        <f t="shared" si="92"/>
        <v>.</v>
      </c>
      <c r="D76" s="100">
        <f t="shared" ref="D76:AA76" si="129">IFERROR($B76/D27,0)</f>
        <v>0</v>
      </c>
      <c r="E76" s="100">
        <f t="shared" si="129"/>
        <v>0</v>
      </c>
      <c r="F76" s="100">
        <f t="shared" si="129"/>
        <v>0</v>
      </c>
      <c r="G76" s="100">
        <f t="shared" si="129"/>
        <v>0</v>
      </c>
      <c r="H76" s="100">
        <f t="shared" si="129"/>
        <v>0</v>
      </c>
      <c r="I76" s="100">
        <f t="shared" si="129"/>
        <v>0</v>
      </c>
      <c r="J76" s="100">
        <f t="shared" si="129"/>
        <v>0</v>
      </c>
      <c r="K76" s="100">
        <f t="shared" si="129"/>
        <v>0</v>
      </c>
      <c r="L76" s="100">
        <f t="shared" si="129"/>
        <v>0</v>
      </c>
      <c r="M76" s="100">
        <f t="shared" si="129"/>
        <v>0</v>
      </c>
      <c r="N76" s="100">
        <f t="shared" si="129"/>
        <v>0</v>
      </c>
      <c r="O76" s="100">
        <f t="shared" si="129"/>
        <v>0</v>
      </c>
      <c r="P76" s="100">
        <f t="shared" si="129"/>
        <v>0</v>
      </c>
      <c r="Q76" s="100">
        <f t="shared" si="129"/>
        <v>0</v>
      </c>
      <c r="R76" s="100">
        <f t="shared" si="129"/>
        <v>0</v>
      </c>
      <c r="S76" s="100">
        <f t="shared" si="129"/>
        <v>0</v>
      </c>
      <c r="T76" s="100">
        <f t="shared" si="129"/>
        <v>0</v>
      </c>
      <c r="U76" s="100">
        <f t="shared" si="129"/>
        <v>0</v>
      </c>
      <c r="V76" s="100">
        <f t="shared" si="129"/>
        <v>0</v>
      </c>
      <c r="W76" s="100">
        <f t="shared" si="129"/>
        <v>0</v>
      </c>
      <c r="X76" s="100">
        <f t="shared" si="129"/>
        <v>0</v>
      </c>
      <c r="Y76" s="100">
        <f t="shared" si="129"/>
        <v>0</v>
      </c>
      <c r="Z76" s="100">
        <f t="shared" si="129"/>
        <v>0</v>
      </c>
      <c r="AA76" s="100">
        <f t="shared" si="129"/>
        <v>0</v>
      </c>
      <c r="AB76" s="100" t="str">
        <f t="shared" si="30"/>
        <v>.</v>
      </c>
      <c r="AC76" s="100">
        <f t="shared" ref="AC76:AZ76" si="130">IFERROR($B76/AC27,0)</f>
        <v>0</v>
      </c>
      <c r="AD76" s="100">
        <f t="shared" si="130"/>
        <v>0</v>
      </c>
      <c r="AE76" s="100">
        <f t="shared" si="130"/>
        <v>0</v>
      </c>
      <c r="AF76" s="100">
        <f t="shared" si="130"/>
        <v>0</v>
      </c>
      <c r="AG76" s="100">
        <f t="shared" si="130"/>
        <v>0</v>
      </c>
      <c r="AH76" s="100">
        <f t="shared" si="130"/>
        <v>0</v>
      </c>
      <c r="AI76" s="100">
        <f t="shared" si="130"/>
        <v>0</v>
      </c>
      <c r="AJ76" s="100">
        <f t="shared" si="130"/>
        <v>0</v>
      </c>
      <c r="AK76" s="100">
        <f t="shared" si="130"/>
        <v>0</v>
      </c>
      <c r="AL76" s="100">
        <f t="shared" si="130"/>
        <v>0</v>
      </c>
      <c r="AM76" s="100">
        <f t="shared" si="130"/>
        <v>0</v>
      </c>
      <c r="AN76" s="100">
        <f t="shared" si="130"/>
        <v>0</v>
      </c>
      <c r="AO76" s="100">
        <f t="shared" si="130"/>
        <v>0</v>
      </c>
      <c r="AP76" s="100">
        <f t="shared" si="130"/>
        <v>0</v>
      </c>
      <c r="AQ76" s="100">
        <f t="shared" si="130"/>
        <v>0</v>
      </c>
      <c r="AR76" s="100">
        <f t="shared" si="130"/>
        <v>0</v>
      </c>
      <c r="AS76" s="100">
        <f t="shared" si="130"/>
        <v>0</v>
      </c>
      <c r="AT76" s="100">
        <f t="shared" si="130"/>
        <v>0</v>
      </c>
      <c r="AU76" s="100">
        <f t="shared" si="130"/>
        <v>0</v>
      </c>
      <c r="AV76" s="100">
        <f t="shared" si="130"/>
        <v>0</v>
      </c>
      <c r="AW76" s="100">
        <f t="shared" si="130"/>
        <v>0</v>
      </c>
      <c r="AX76" s="100">
        <f t="shared" si="130"/>
        <v>0</v>
      </c>
      <c r="AY76" s="100">
        <f t="shared" si="130"/>
        <v>0</v>
      </c>
      <c r="AZ76" s="100">
        <f t="shared" si="130"/>
        <v>0</v>
      </c>
      <c r="BA76" s="101">
        <f t="shared" si="106"/>
        <v>0</v>
      </c>
      <c r="BB76" s="101">
        <f>IFERROR(s_RadSpec!$E$27*(BB27/$B76),".")</f>
        <v>0</v>
      </c>
      <c r="BC76" s="101">
        <f>IFERROR(s_RadSpec!$E$27*(BC27/$B76),".")</f>
        <v>0</v>
      </c>
      <c r="BD76" s="101">
        <f>IFERROR(s_RadSpec!$E$27*(BD27/$B76),".")</f>
        <v>0</v>
      </c>
      <c r="BE76" s="101">
        <f>IFERROR(s_RadSpec!$E$27*(BE27/$B76),".")</f>
        <v>0</v>
      </c>
      <c r="BF76" s="101">
        <f>IFERROR(s_RadSpec!$E$27*(BF27/$B76),".")</f>
        <v>0</v>
      </c>
      <c r="BG76" s="101">
        <f>IFERROR(s_RadSpec!$E$27*(BG27/$B76),".")</f>
        <v>0</v>
      </c>
      <c r="BH76" s="101">
        <f>IFERROR(s_RadSpec!$E$27*(BH27/$B76),".")</f>
        <v>0</v>
      </c>
      <c r="BI76" s="101">
        <f>IFERROR(s_RadSpec!$E$27*(BI27/$B76),".")</f>
        <v>0</v>
      </c>
      <c r="BJ76" s="101">
        <f>IFERROR(s_RadSpec!$E$27*(BJ27/$B76),".")</f>
        <v>0</v>
      </c>
      <c r="BK76" s="101">
        <f>IFERROR(s_RadSpec!$E$27*(BK27/$B76),".")</f>
        <v>0</v>
      </c>
      <c r="BL76" s="101">
        <f>IFERROR(s_RadSpec!$E$27*(BL27/$B76),".")</f>
        <v>0</v>
      </c>
      <c r="BM76" s="101">
        <f>IFERROR(s_RadSpec!$E$27*(BM27/$B76),".")</f>
        <v>0</v>
      </c>
      <c r="BN76" s="101">
        <f>IFERROR(s_RadSpec!$E$27*(BN27/$B76),".")</f>
        <v>0</v>
      </c>
      <c r="BO76" s="101">
        <f>IFERROR(s_RadSpec!$E$27*(BO27/$B76),".")</f>
        <v>0</v>
      </c>
      <c r="BP76" s="101">
        <f>IFERROR(s_RadSpec!$E$27*(BP27/$B76),".")</f>
        <v>0</v>
      </c>
      <c r="BQ76" s="101">
        <f>IFERROR(s_RadSpec!$E$27*(BQ27/$B76),".")</f>
        <v>0</v>
      </c>
      <c r="BR76" s="101">
        <f>IFERROR(s_RadSpec!$E$27*(BR27/$B76),".")</f>
        <v>0</v>
      </c>
      <c r="BS76" s="101">
        <f>IFERROR(s_RadSpec!$E$27*(BS27/$B76),".")</f>
        <v>0</v>
      </c>
      <c r="BT76" s="101">
        <f>IFERROR(s_RadSpec!$E$27*(BT27/$B76),".")</f>
        <v>0</v>
      </c>
      <c r="BU76" s="101">
        <f>IFERROR(s_RadSpec!$E$27*(BU27/$B76),".")</f>
        <v>0</v>
      </c>
      <c r="BV76" s="101">
        <f>IFERROR(s_RadSpec!$E$27*(BV27/$B76),".")</f>
        <v>0</v>
      </c>
      <c r="BW76" s="101">
        <f>IFERROR(s_RadSpec!$E$27*(BW27/$B76),".")</f>
        <v>0</v>
      </c>
      <c r="BX76" s="101">
        <f>IFERROR(s_RadSpec!$E$27*(BX27/$B76),".")</f>
        <v>0</v>
      </c>
      <c r="BY76" s="101">
        <f>IFERROR(s_RadSpec!$E$27*(BY27/$B76),".")</f>
        <v>0</v>
      </c>
    </row>
  </sheetData>
  <sheetProtection algorithmName="SHA-512" hashValue="Okuw7gUHdx5Bxo+eodzWJDdBDebQExy1xwa4QSXTvYazLTKfA7BRSf/fAVlMkL2zWowoDpfNhF2o2DXro3hWwQ==" saltValue="cNKv7XzDrrsIrRkwAoFUOg==" spinCount="100000" sheet="1" objects="1" scenarios="1" formatColumns="0" formatRows="0" autoFilter="0"/>
  <autoFilter ref="A1:BY76" xr:uid="{2A51381B-F3AB-4DF7-BCFB-D392214769A8}"/>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CX76"/>
  <sheetViews>
    <sheetView zoomScale="90" zoomScaleNormal="90" workbookViewId="0">
      <pane xSplit="2" ySplit="1" topLeftCell="C2" activePane="bottomRight" state="frozen"/>
      <selection activeCell="AB53" sqref="AB53:AB985"/>
      <selection pane="topRight" activeCell="AB53" sqref="AB53:AB985"/>
      <selection pane="bottomLeft" activeCell="AB53" sqref="AB53:AB985"/>
      <selection pane="bottomRight" activeCell="C2" sqref="C2"/>
    </sheetView>
  </sheetViews>
  <sheetFormatPr defaultColWidth="9.140625" defaultRowHeight="15" x14ac:dyDescent="0.25"/>
  <cols>
    <col min="1" max="1" width="14.5703125" style="42" bestFit="1" customWidth="1"/>
    <col min="2" max="2" width="11.7109375" style="42" bestFit="1" customWidth="1"/>
    <col min="3" max="3" width="24.42578125" style="42" bestFit="1" customWidth="1"/>
    <col min="4" max="4" width="14.5703125" style="42" bestFit="1" customWidth="1"/>
    <col min="5" max="5" width="14.28515625" style="42" bestFit="1" customWidth="1"/>
    <col min="6" max="6" width="13.85546875" style="42" bestFit="1" customWidth="1"/>
    <col min="7" max="7" width="14.28515625" style="42" bestFit="1" customWidth="1"/>
    <col min="8" max="8" width="13.7109375" style="42" bestFit="1" customWidth="1"/>
    <col min="9" max="9" width="14" style="42" bestFit="1" customWidth="1"/>
    <col min="10" max="10" width="13.140625" style="42" bestFit="1" customWidth="1"/>
    <col min="11" max="11" width="14.5703125" style="42" bestFit="1" customWidth="1"/>
    <col min="12" max="12" width="13.7109375" style="42" bestFit="1" customWidth="1"/>
    <col min="13" max="13" width="15.42578125" style="42" bestFit="1" customWidth="1"/>
    <col min="14" max="14" width="12.85546875" style="42" bestFit="1" customWidth="1"/>
    <col min="15" max="15" width="13.42578125" style="42" bestFit="1" customWidth="1"/>
    <col min="16" max="16" width="13.5703125" style="42" bestFit="1" customWidth="1"/>
    <col min="17" max="17" width="14.7109375" style="42" bestFit="1" customWidth="1"/>
    <col min="18" max="18" width="15" style="42" bestFit="1" customWidth="1"/>
    <col min="19" max="19" width="13.7109375" style="42" bestFit="1" customWidth="1"/>
    <col min="20" max="20" width="13" style="42" bestFit="1" customWidth="1"/>
    <col min="21" max="21" width="14.42578125" style="42" bestFit="1" customWidth="1"/>
    <col min="22" max="22" width="14.85546875" style="42" bestFit="1" customWidth="1"/>
    <col min="23" max="23" width="13.85546875" style="42" bestFit="1" customWidth="1"/>
    <col min="24" max="24" width="14.5703125" style="42" bestFit="1" customWidth="1"/>
    <col min="25" max="25" width="13.42578125" style="42" bestFit="1" customWidth="1"/>
    <col min="26" max="26" width="13" style="42" bestFit="1" customWidth="1"/>
    <col min="27" max="27" width="15" style="42" bestFit="1" customWidth="1"/>
    <col min="28" max="28" width="20.7109375" style="42" bestFit="1" customWidth="1"/>
    <col min="29" max="30" width="14.7109375" style="42" bestFit="1" customWidth="1"/>
    <col min="31" max="31" width="13.85546875" style="42" bestFit="1" customWidth="1"/>
    <col min="32" max="32" width="14.5703125" style="42" bestFit="1" customWidth="1"/>
    <col min="33" max="33" width="13.85546875" style="42" bestFit="1" customWidth="1"/>
    <col min="34" max="34" width="14.140625" style="42" bestFit="1" customWidth="1"/>
    <col min="35" max="35" width="13.5703125" style="42" bestFit="1" customWidth="1"/>
    <col min="36" max="36" width="14.7109375" style="42" bestFit="1" customWidth="1"/>
    <col min="37" max="37" width="13.85546875" style="42" bestFit="1" customWidth="1"/>
    <col min="38" max="38" width="15.5703125" style="42" bestFit="1" customWidth="1"/>
    <col min="39" max="39" width="13.140625" style="42" bestFit="1" customWidth="1"/>
    <col min="40" max="40" width="13.85546875" style="42" bestFit="1" customWidth="1"/>
    <col min="41" max="41" width="14" style="42" bestFit="1" customWidth="1"/>
    <col min="42" max="42" width="14.7109375" style="42" bestFit="1" customWidth="1"/>
    <col min="43" max="43" width="15" style="42" bestFit="1" customWidth="1"/>
    <col min="44" max="44" width="14" style="42" bestFit="1" customWidth="1"/>
    <col min="45" max="45" width="13.28515625" style="42" bestFit="1" customWidth="1"/>
    <col min="46" max="46" width="14.7109375" style="42" bestFit="1" customWidth="1"/>
    <col min="47" max="47" width="14.85546875" style="42" bestFit="1" customWidth="1"/>
    <col min="48" max="48" width="14" style="42" bestFit="1" customWidth="1"/>
    <col min="49" max="49" width="14.85546875" style="42" bestFit="1" customWidth="1"/>
    <col min="50" max="50" width="13.5703125" style="42" bestFit="1" customWidth="1"/>
    <col min="51" max="51" width="13.28515625" style="42" bestFit="1" customWidth="1"/>
    <col min="52" max="52" width="15.140625" style="42" bestFit="1" customWidth="1"/>
    <col min="53" max="53" width="24.140625" style="42" bestFit="1" customWidth="1"/>
    <col min="54" max="54" width="14.28515625" style="42" bestFit="1" customWidth="1"/>
    <col min="55" max="55" width="14.140625" style="42" bestFit="1" customWidth="1"/>
    <col min="56" max="56" width="13.5703125" style="42" bestFit="1" customWidth="1"/>
    <col min="57" max="57" width="14.140625" style="42" bestFit="1" customWidth="1"/>
    <col min="58" max="58" width="13.42578125" style="42" bestFit="1" customWidth="1"/>
    <col min="59" max="59" width="13.7109375" style="42" bestFit="1" customWidth="1"/>
    <col min="60" max="60" width="13" style="42" bestFit="1" customWidth="1"/>
    <col min="61" max="61" width="14.28515625" style="42" bestFit="1" customWidth="1"/>
    <col min="62" max="62" width="13.42578125" style="42" bestFit="1" customWidth="1"/>
    <col min="63" max="63" width="15.28515625" style="42" bestFit="1" customWidth="1"/>
    <col min="64" max="64" width="12.7109375" style="42" bestFit="1" customWidth="1"/>
    <col min="65" max="65" width="13.28515625" style="42" bestFit="1" customWidth="1"/>
    <col min="66" max="66" width="13.42578125" style="42" bestFit="1" customWidth="1"/>
    <col min="67" max="67" width="14.5703125" style="42" bestFit="1" customWidth="1"/>
    <col min="68" max="68" width="14.7109375" style="42" bestFit="1" customWidth="1"/>
    <col min="69" max="69" width="13.42578125" style="42" bestFit="1" customWidth="1"/>
    <col min="70" max="70" width="12.85546875" style="42" bestFit="1" customWidth="1"/>
    <col min="71" max="71" width="14.140625" style="42" bestFit="1" customWidth="1"/>
    <col min="72" max="72" width="14.5703125" style="42" bestFit="1" customWidth="1"/>
    <col min="73" max="73" width="13.5703125" style="42" bestFit="1" customWidth="1"/>
    <col min="74" max="74" width="14.28515625" style="42" bestFit="1" customWidth="1"/>
    <col min="75" max="75" width="13.140625" style="42" bestFit="1" customWidth="1"/>
    <col min="76" max="76" width="12.85546875" style="42" bestFit="1" customWidth="1"/>
    <col min="77" max="77" width="13.85546875" style="42" bestFit="1" customWidth="1"/>
    <col min="78" max="78" width="20.7109375" style="42" bestFit="1" customWidth="1"/>
    <col min="79" max="79" width="14.5703125" style="42" bestFit="1" customWidth="1"/>
    <col min="80" max="80" width="14.7109375" style="42" bestFit="1" customWidth="1"/>
    <col min="81" max="81" width="13.85546875" style="42" bestFit="1" customWidth="1"/>
    <col min="82" max="82" width="14.42578125" style="42" bestFit="1" customWidth="1"/>
    <col min="83" max="83" width="13.85546875" style="42" bestFit="1" customWidth="1"/>
    <col min="84" max="84" width="14" style="42" bestFit="1" customWidth="1"/>
    <col min="85" max="85" width="13.42578125" style="42" bestFit="1" customWidth="1"/>
    <col min="86" max="86" width="14.7109375" style="42" bestFit="1" customWidth="1"/>
    <col min="87" max="87" width="13.85546875" style="42" bestFit="1" customWidth="1"/>
    <col min="88" max="88" width="15.5703125" style="42" bestFit="1" customWidth="1"/>
    <col min="89" max="89" width="13" style="42" bestFit="1" customWidth="1"/>
    <col min="90" max="91" width="13.85546875" style="42" bestFit="1" customWidth="1"/>
    <col min="92" max="92" width="14.7109375" style="42" bestFit="1" customWidth="1"/>
    <col min="93" max="93" width="15" style="42" bestFit="1" customWidth="1"/>
    <col min="94" max="94" width="13.85546875" style="42" bestFit="1" customWidth="1"/>
    <col min="95" max="95" width="13.140625" style="42" bestFit="1" customWidth="1"/>
    <col min="96" max="96" width="14.5703125" style="42" bestFit="1" customWidth="1"/>
    <col min="97" max="97" width="14.85546875" style="42" bestFit="1" customWidth="1"/>
    <col min="98" max="98" width="14" style="42" bestFit="1" customWidth="1"/>
    <col min="99" max="99" width="14.85546875" style="42" bestFit="1" customWidth="1"/>
    <col min="100" max="100" width="13.5703125" style="42" bestFit="1" customWidth="1"/>
    <col min="101" max="101" width="13.140625" style="42" bestFit="1" customWidth="1"/>
    <col min="102" max="102" width="14.28515625" style="42" bestFit="1" customWidth="1"/>
    <col min="103" max="16384" width="9.140625" style="42"/>
  </cols>
  <sheetData>
    <row r="1" spans="1:102" x14ac:dyDescent="0.25">
      <c r="A1" s="78" t="s">
        <v>51</v>
      </c>
      <c r="B1" s="79" t="s">
        <v>350</v>
      </c>
      <c r="C1" s="80" t="s">
        <v>1473</v>
      </c>
      <c r="D1" s="42" t="s">
        <v>1447</v>
      </c>
      <c r="E1" s="42" t="s">
        <v>1448</v>
      </c>
      <c r="F1" s="42" t="s">
        <v>1449</v>
      </c>
      <c r="G1" s="42" t="s">
        <v>1450</v>
      </c>
      <c r="H1" s="42" t="s">
        <v>1451</v>
      </c>
      <c r="I1" s="42" t="s">
        <v>1452</v>
      </c>
      <c r="J1" s="42" t="s">
        <v>1453</v>
      </c>
      <c r="K1" s="42" t="s">
        <v>1454</v>
      </c>
      <c r="L1" s="42" t="s">
        <v>1455</v>
      </c>
      <c r="M1" s="42" t="s">
        <v>1456</v>
      </c>
      <c r="N1" s="42" t="s">
        <v>1457</v>
      </c>
      <c r="O1" s="42" t="s">
        <v>1458</v>
      </c>
      <c r="P1" s="42" t="s">
        <v>1459</v>
      </c>
      <c r="Q1" s="42" t="s">
        <v>1460</v>
      </c>
      <c r="R1" s="42" t="s">
        <v>1461</v>
      </c>
      <c r="S1" s="42" t="s">
        <v>1462</v>
      </c>
      <c r="T1" s="42" t="s">
        <v>1463</v>
      </c>
      <c r="U1" s="42" t="s">
        <v>1464</v>
      </c>
      <c r="V1" s="42" t="s">
        <v>1465</v>
      </c>
      <c r="W1" s="42" t="s">
        <v>1466</v>
      </c>
      <c r="X1" s="42" t="s">
        <v>1467</v>
      </c>
      <c r="Y1" s="42" t="s">
        <v>1468</v>
      </c>
      <c r="Z1" s="42" t="s">
        <v>1469</v>
      </c>
      <c r="AA1" s="42" t="s">
        <v>1470</v>
      </c>
      <c r="AB1" s="81" t="s">
        <v>1124</v>
      </c>
      <c r="AC1" s="81" t="s">
        <v>1125</v>
      </c>
      <c r="AD1" s="81" t="s">
        <v>1126</v>
      </c>
      <c r="AE1" s="81" t="s">
        <v>1127</v>
      </c>
      <c r="AF1" s="81" t="s">
        <v>1128</v>
      </c>
      <c r="AG1" s="81" t="s">
        <v>1129</v>
      </c>
      <c r="AH1" s="81" t="s">
        <v>1130</v>
      </c>
      <c r="AI1" s="81" t="s">
        <v>1131</v>
      </c>
      <c r="AJ1" s="81" t="s">
        <v>1132</v>
      </c>
      <c r="AK1" s="81" t="s">
        <v>1133</v>
      </c>
      <c r="AL1" s="81" t="s">
        <v>1134</v>
      </c>
      <c r="AM1" s="81" t="s">
        <v>1135</v>
      </c>
      <c r="AN1" s="81" t="s">
        <v>1136</v>
      </c>
      <c r="AO1" s="81" t="s">
        <v>1137</v>
      </c>
      <c r="AP1" s="81" t="s">
        <v>1138</v>
      </c>
      <c r="AQ1" s="81" t="s">
        <v>1139</v>
      </c>
      <c r="AR1" s="81" t="s">
        <v>1140</v>
      </c>
      <c r="AS1" s="81" t="s">
        <v>1141</v>
      </c>
      <c r="AT1" s="81" t="s">
        <v>1142</v>
      </c>
      <c r="AU1" s="81" t="s">
        <v>1143</v>
      </c>
      <c r="AV1" s="81" t="s">
        <v>1144</v>
      </c>
      <c r="AW1" s="81" t="s">
        <v>1145</v>
      </c>
      <c r="AX1" s="81" t="s">
        <v>1146</v>
      </c>
      <c r="AY1" s="81" t="s">
        <v>1147</v>
      </c>
      <c r="AZ1" s="81" t="s">
        <v>1148</v>
      </c>
      <c r="BA1" s="42" t="s">
        <v>1471</v>
      </c>
      <c r="BB1" s="42" t="s">
        <v>1422</v>
      </c>
      <c r="BC1" s="42" t="s">
        <v>1423</v>
      </c>
      <c r="BD1" s="42" t="s">
        <v>1424</v>
      </c>
      <c r="BE1" s="42" t="s">
        <v>1425</v>
      </c>
      <c r="BF1" s="42" t="s">
        <v>1426</v>
      </c>
      <c r="BG1" s="42" t="s">
        <v>1427</v>
      </c>
      <c r="BH1" s="42" t="s">
        <v>1428</v>
      </c>
      <c r="BI1" s="42" t="s">
        <v>1429</v>
      </c>
      <c r="BJ1" s="42" t="s">
        <v>1430</v>
      </c>
      <c r="BK1" s="42" t="s">
        <v>1431</v>
      </c>
      <c r="BL1" s="42" t="s">
        <v>1432</v>
      </c>
      <c r="BM1" s="42" t="s">
        <v>1433</v>
      </c>
      <c r="BN1" s="42" t="s">
        <v>1434</v>
      </c>
      <c r="BO1" s="42" t="s">
        <v>1435</v>
      </c>
      <c r="BP1" s="42" t="s">
        <v>1436</v>
      </c>
      <c r="BQ1" s="42" t="s">
        <v>1437</v>
      </c>
      <c r="BR1" s="42" t="s">
        <v>1438</v>
      </c>
      <c r="BS1" s="42" t="s">
        <v>1439</v>
      </c>
      <c r="BT1" s="42" t="s">
        <v>1440</v>
      </c>
      <c r="BU1" s="42" t="s">
        <v>1441</v>
      </c>
      <c r="BV1" s="42" t="s">
        <v>1442</v>
      </c>
      <c r="BW1" s="42" t="s">
        <v>1443</v>
      </c>
      <c r="BX1" s="42" t="s">
        <v>1444</v>
      </c>
      <c r="BY1" s="42" t="s">
        <v>1445</v>
      </c>
      <c r="BZ1" s="81" t="s">
        <v>1149</v>
      </c>
      <c r="CA1" s="81" t="s">
        <v>1397</v>
      </c>
      <c r="CB1" s="81" t="s">
        <v>1398</v>
      </c>
      <c r="CC1" s="81" t="s">
        <v>1399</v>
      </c>
      <c r="CD1" s="81" t="s">
        <v>1400</v>
      </c>
      <c r="CE1" s="81" t="s">
        <v>1401</v>
      </c>
      <c r="CF1" s="81" t="s">
        <v>1402</v>
      </c>
      <c r="CG1" s="81" t="s">
        <v>1403</v>
      </c>
      <c r="CH1" s="81" t="s">
        <v>1404</v>
      </c>
      <c r="CI1" s="81" t="s">
        <v>1405</v>
      </c>
      <c r="CJ1" s="81" t="s">
        <v>1406</v>
      </c>
      <c r="CK1" s="81" t="s">
        <v>1407</v>
      </c>
      <c r="CL1" s="81" t="s">
        <v>1408</v>
      </c>
      <c r="CM1" s="81" t="s">
        <v>1409</v>
      </c>
      <c r="CN1" s="81" t="s">
        <v>1410</v>
      </c>
      <c r="CO1" s="81" t="s">
        <v>1411</v>
      </c>
      <c r="CP1" s="81" t="s">
        <v>1412</v>
      </c>
      <c r="CQ1" s="81" t="s">
        <v>1413</v>
      </c>
      <c r="CR1" s="81" t="s">
        <v>1414</v>
      </c>
      <c r="CS1" s="81" t="s">
        <v>1415</v>
      </c>
      <c r="CT1" s="81" t="s">
        <v>1416</v>
      </c>
      <c r="CU1" s="81" t="s">
        <v>1417</v>
      </c>
      <c r="CV1" s="81" t="s">
        <v>1418</v>
      </c>
      <c r="CW1" s="81" t="s">
        <v>1419</v>
      </c>
      <c r="CX1" s="81" t="s">
        <v>1420</v>
      </c>
    </row>
    <row r="2" spans="1:102" ht="15" customHeight="1" x14ac:dyDescent="0.25">
      <c r="A2" s="44" t="s">
        <v>12</v>
      </c>
      <c r="B2" s="42" t="s">
        <v>1074</v>
      </c>
      <c r="C2" s="15">
        <f t="shared" ref="C2" si="0">IFERROR(1/SUM(1/D2,1/E2,1/Z2,1/AA2),".")</f>
        <v>23.085619252113659</v>
      </c>
      <c r="D2" s="15">
        <f>IFERROR((s_dir!D2/(d_ss_Bv!C2+s_MLF_apple)),".")</f>
        <v>92.342477008454637</v>
      </c>
      <c r="E2" s="15">
        <f>IFERROR((s_dir!E2/(d_ss_Bv!D2+s_MLF_asparagus)),".")</f>
        <v>92.342477008454637</v>
      </c>
      <c r="F2" s="15">
        <f>IFERROR((s_dir!F2/(d_ss_Bv!E2+s_MLF_beet)),".")</f>
        <v>92.342477008454637</v>
      </c>
      <c r="G2" s="15">
        <f>IFERROR((s_dir!G2/(d_ss_Bv!F2+s_MLF_berries)),".")</f>
        <v>92.342477008454637</v>
      </c>
      <c r="H2" s="15">
        <f>IFERROR((s_dir!H2/(d_ss_Bv!G2+s_MLF_broccoli)),".")</f>
        <v>92.342477008454637</v>
      </c>
      <c r="I2" s="15">
        <f>IFERROR((s_dir!I2/(d_ss_Bv!H2+s_MLF_cabbage)),".")</f>
        <v>92.342477008454637</v>
      </c>
      <c r="J2" s="15">
        <f>IFERROR((s_dir!J2/(d_ss_Bv!I2+s_MLF_carrot)),".")</f>
        <v>92.342477008454637</v>
      </c>
      <c r="K2" s="15">
        <f>IFERROR((s_dir!K2/(d_ss_Bv!J2+s_MLF_citrus)),".")</f>
        <v>92.342477008454637</v>
      </c>
      <c r="L2" s="15">
        <f>IFERROR((s_dir!L2/(d_ss_Bv!K2+s_MLF_corn)),".")</f>
        <v>92.342477008454637</v>
      </c>
      <c r="M2" s="15">
        <f>IFERROR((s_dir!M2/(d_ss_Bv!L2+s_MLF_cucumber)),".")</f>
        <v>92.342477008454637</v>
      </c>
      <c r="N2" s="15">
        <f>IFERROR((s_dir!N2/(d_ss_Bv!M2+s_MLF_lettuce)),".")</f>
        <v>92.342477008454637</v>
      </c>
      <c r="O2" s="15">
        <f>IFERROR((s_dir!O2/(d_ss_Bv!N2+s_MLF_lima_bean)),".")</f>
        <v>92.342477008454637</v>
      </c>
      <c r="P2" s="15">
        <f>IFERROR((s_dir!P2/(d_ss_Bv!O2+s_MLF_okra)),".")</f>
        <v>92.342477008454637</v>
      </c>
      <c r="Q2" s="15">
        <f>IFERROR((s_dir!Q2/(d_ss_Bv!P2+s_MLF_onion)),".")</f>
        <v>92.342477008454637</v>
      </c>
      <c r="R2" s="15">
        <f>IFERROR((s_dir!R2/(d_ss_Bv!Q2+s_MLF_peach)),".")</f>
        <v>92.342477008454637</v>
      </c>
      <c r="S2" s="15">
        <f>IFERROR((s_dir!S2/(d_ss_Bv!R2+s_MLF_pear)),".")</f>
        <v>92.342477008454637</v>
      </c>
      <c r="T2" s="15">
        <f>IFERROR((s_dir!T2/(d_ss_Bv!S2+s_MLF_peas)),".")</f>
        <v>92.342477008454637</v>
      </c>
      <c r="U2" s="15">
        <f>IFERROR((s_dir!U2/(d_ss_Bv!T2+s_MLF_potato)),".")</f>
        <v>92.342477008454637</v>
      </c>
      <c r="V2" s="15">
        <f>IFERROR((s_dir!V2/(d_ss_Bv!U2+s_MLF_pumpkin)),".")</f>
        <v>92.342477008454637</v>
      </c>
      <c r="W2" s="15">
        <f>IFERROR((s_dir!W2/(d_ss_Bv!V2+s_MLF_snap_bean)),".")</f>
        <v>92.342477008454637</v>
      </c>
      <c r="X2" s="15">
        <f>IFERROR((s_dir!X2/(d_ss_Bv!W2+s_MLF_strawberry)),".")</f>
        <v>92.342477008454637</v>
      </c>
      <c r="Y2" s="15">
        <f>IFERROR((s_dir!Y2/(d_ss_Bv!X2+s_MLF_tomato)),".")</f>
        <v>92.342477008454637</v>
      </c>
      <c r="Z2" s="15">
        <f>IFERROR((s_dir!Z2/(d_ss_Bv!Y2+s_MLF_rice)),".")</f>
        <v>92.342477008454637</v>
      </c>
      <c r="AA2" s="15">
        <f>IFERROR((s_dir!AA2/(d_ss_Bv!Z2+s_MLF_cereal)),".")</f>
        <v>92.342477008454637</v>
      </c>
      <c r="AB2" s="40">
        <f>SUM(AC2:AD2,AY2:AZ2)</f>
        <v>797.5</v>
      </c>
      <c r="AC2" s="40">
        <f>s_C*(d_ss_Bv!C2+s_MLF_apple)*s_IFAP_res_adj*s_CF_apple</f>
        <v>199.375</v>
      </c>
      <c r="AD2" s="40">
        <f>s_C*(d_ss_Bv!D2+s_MLF_asparagus)*s_IFAS_res_adj*s_CF_asparagus</f>
        <v>199.375</v>
      </c>
      <c r="AE2" s="40">
        <f>s_C*(d_ss_Bv!E2+s_MLF_beet)*s_IFBT_res_adj*s_CF_beet</f>
        <v>199.375</v>
      </c>
      <c r="AF2" s="40">
        <f>s_C*(d_ss_Bv!F2+s_MLF_berries)*s_IFBE_res_adj*s_CF_berries</f>
        <v>199.375</v>
      </c>
      <c r="AG2" s="40">
        <f>s_C*(d_ss_Bv!G2+s_MLF_broccoli)*s_IFBR_res_adj*s_CF_broccoli</f>
        <v>199.375</v>
      </c>
      <c r="AH2" s="40">
        <f>s_C*(d_ss_Bv!H2+s_MLF_cabbage)*s_IFCB_res_adj*s_CF_cabbage</f>
        <v>199.375</v>
      </c>
      <c r="AI2" s="40">
        <f>s_C*(d_ss_Bv!I2+s_MLF_carrot)*s_IFCR_res_adj*s_CF_carrot</f>
        <v>199.375</v>
      </c>
      <c r="AJ2" s="40">
        <f>s_C*(d_ss_Bv!J2+s_MLF_citrus)*s_IFCI_res_adj*s_CF_citrus</f>
        <v>199.375</v>
      </c>
      <c r="AK2" s="40">
        <f>s_C*(d_ss_Bv!K2+s_MLF_corn)*s_IFCO_res_adj*s_CF_corn</f>
        <v>199.375</v>
      </c>
      <c r="AL2" s="40">
        <f>s_C*(d_ss_Bv!L2+s_MLF_cucumber)*s_IFCU_res_adj*s_CF_cucumber</f>
        <v>199.375</v>
      </c>
      <c r="AM2" s="40">
        <f>s_C*(d_ss_Bv!M2+s_MLF_lettuce)*s_IFLE_res_adj*s_CF_lettuce</f>
        <v>199.375</v>
      </c>
      <c r="AN2" s="40">
        <f>s_C*(d_ss_Bv!N2+s_MLF_lima_bean)*s_IFLI_res_adj*s_CF_lima_bean</f>
        <v>199.375</v>
      </c>
      <c r="AO2" s="40">
        <f>s_C*(d_ss_Bv!O2+s_MLF_okra)*s_IFOK_res_adj*s_CF_okra</f>
        <v>199.375</v>
      </c>
      <c r="AP2" s="40">
        <f>s_C*(d_ss_Bv!P2+s_MLF_onion)*s_IFON_res_adj*s_CF_onion</f>
        <v>199.375</v>
      </c>
      <c r="AQ2" s="40">
        <f>s_C*(d_ss_Bv!Q2+s_MLF_peach)*s_IFPC_res_adj*s_CF_peach</f>
        <v>199.375</v>
      </c>
      <c r="AR2" s="40">
        <f>s_C*(d_ss_Bv!R2+s_MLF_pear)*s_IFPR_res_adj*s_CF_pear</f>
        <v>199.375</v>
      </c>
      <c r="AS2" s="40">
        <f>s_C*(d_ss_Bv!S2+s_MLF_peas)*s_IFPE_res_adj*s_CF_peas</f>
        <v>199.375</v>
      </c>
      <c r="AT2" s="40">
        <f>s_C*(d_ss_Bv!T2+s_MLF_potato)*s_IFPT_res_adj*s_CF_potato</f>
        <v>199.375</v>
      </c>
      <c r="AU2" s="40">
        <f>s_C*(d_ss_Bv!U2+s_MLF_pumpkin)*s_IFPU_res_adj*s_CF_pumpkin</f>
        <v>199.375</v>
      </c>
      <c r="AV2" s="40">
        <f>s_C*(d_ss_Bv!V2+s_MLF_snap_bean)*s_IFSN_res_adj*s_CF_snap_bean</f>
        <v>199.375</v>
      </c>
      <c r="AW2" s="40">
        <f>s_C*(d_ss_Bv!W2+s_MLF_strawberry)*s_IFST_res_adj*s_CF_strawberry</f>
        <v>199.375</v>
      </c>
      <c r="AX2" s="40">
        <f>s_C*(d_ss_Bv!X2+s_MLF_tomato)*s_IFTO_res_adj*s_CF_tomato</f>
        <v>199.375</v>
      </c>
      <c r="AY2" s="40">
        <f>s_C*(d_ss_Bv!Y2+s_MLF_rice)*s_IFRI_res_adj*s_CF_rice</f>
        <v>199.375</v>
      </c>
      <c r="AZ2" s="40">
        <f>s_C*(d_ss_Bv!Z2+s_MLF_cereal)*s_IFCG_res_adj*s_CF_cereal</f>
        <v>199.375</v>
      </c>
      <c r="BA2" s="15">
        <f t="shared" ref="BA2" si="1">IFERROR(1/SUM(1/BB2,1/BC2,1/BX2,1/BY2),".")</f>
        <v>23.085619252113659</v>
      </c>
      <c r="BB2" s="15">
        <f>IFERROR((s_dir!AC2/(d_ss_Bv!C2+s_MLF_apple)),".")</f>
        <v>92.342477008454637</v>
      </c>
      <c r="BC2" s="15">
        <f>IFERROR((s_dir!AD2/(d_ss_Bv!D2+s_MLF_asparagus)),".")</f>
        <v>92.342477008454637</v>
      </c>
      <c r="BD2" s="15">
        <f>IFERROR((s_dir!AE2/(d_ss_Bv!E2+s_MLF_beet)),".")</f>
        <v>92.342477008454637</v>
      </c>
      <c r="BE2" s="15">
        <f>IFERROR((s_dir!AF2/(d_ss_Bv!F2+s_MLF_berries)),".")</f>
        <v>92.342477008454637</v>
      </c>
      <c r="BF2" s="15">
        <f>IFERROR((s_dir!AG2/(d_ss_Bv!G2+s_MLF_broccoli)),".")</f>
        <v>92.342477008454637</v>
      </c>
      <c r="BG2" s="15">
        <f>IFERROR((s_dir!AH2/(d_ss_Bv!H2+s_MLF_cabbage)),".")</f>
        <v>92.342477008454637</v>
      </c>
      <c r="BH2" s="15">
        <f>IFERROR((s_dir!AI2/(d_ss_Bv!I2+s_MLF_carrot)),".")</f>
        <v>92.342477008454637</v>
      </c>
      <c r="BI2" s="15">
        <f>IFERROR((s_dir!AJ2/(d_ss_Bv!J2+s_MLF_citrus)),".")</f>
        <v>92.342477008454637</v>
      </c>
      <c r="BJ2" s="15">
        <f>IFERROR((s_dir!AK2/(d_ss_Bv!K2+s_MLF_corn)),".")</f>
        <v>92.342477008454637</v>
      </c>
      <c r="BK2" s="15">
        <f>IFERROR((s_dir!AL2/(d_ss_Bv!L2+s_MLF_cucumber)),".")</f>
        <v>92.342477008454637</v>
      </c>
      <c r="BL2" s="15">
        <f>IFERROR((s_dir!AM2/(d_ss_Bv!M2+s_MLF_lettuce)),".")</f>
        <v>92.342477008454637</v>
      </c>
      <c r="BM2" s="15">
        <f>IFERROR((s_dir!AN2/(d_ss_Bv!N2+s_MLF_lima_bean)),".")</f>
        <v>92.342477008454637</v>
      </c>
      <c r="BN2" s="15">
        <f>IFERROR((s_dir!AO2/(d_ss_Bv!O2+s_MLF_okra)),".")</f>
        <v>92.342477008454637</v>
      </c>
      <c r="BO2" s="15">
        <f>IFERROR((s_dir!AP2/(d_ss_Bv!P2+s_MLF_onion)),".")</f>
        <v>92.342477008454637</v>
      </c>
      <c r="BP2" s="15">
        <f>IFERROR((s_dir!AQ2/(d_ss_Bv!Q2+s_MLF_peach)),".")</f>
        <v>92.342477008454637</v>
      </c>
      <c r="BQ2" s="15">
        <f>IFERROR((s_dir!AR2/(d_ss_Bv!R2+s_MLF_pear)),".")</f>
        <v>92.342477008454637</v>
      </c>
      <c r="BR2" s="15">
        <f>IFERROR((s_dir!AS2/(d_ss_Bv!S2+s_MLF_peas)),".")</f>
        <v>92.342477008454637</v>
      </c>
      <c r="BS2" s="15">
        <f>IFERROR((s_dir!AT2/(d_ss_Bv!T2+s_MLF_potato)),".")</f>
        <v>92.342477008454637</v>
      </c>
      <c r="BT2" s="15">
        <f>IFERROR((s_dir!AU2/(d_ss_Bv!U2+s_MLF_pumpkin)),".")</f>
        <v>92.342477008454637</v>
      </c>
      <c r="BU2" s="15">
        <f>IFERROR((s_dir!AV2/(d_ss_Bv!V2+s_MLF_snap_bean)),".")</f>
        <v>92.342477008454637</v>
      </c>
      <c r="BV2" s="15">
        <f>IFERROR((s_dir!AW2/(d_ss_Bv!W2+s_MLF_strawberry)),".")</f>
        <v>92.342477008454637</v>
      </c>
      <c r="BW2" s="15">
        <f>IFERROR((s_dir!AX2/(d_ss_Bv!X2+s_MLF_tomato)),".")</f>
        <v>92.342477008454637</v>
      </c>
      <c r="BX2" s="15">
        <f>IFERROR((s_dir!AY2/(d_ss_Bv!Y2+s_MLF_rice)),".")</f>
        <v>92.342477008454637</v>
      </c>
      <c r="BY2" s="15">
        <f>IFERROR((s_dir!AZ2/(d_ss_Bv!Z2+s_MLF_cereal)),".")</f>
        <v>92.342477008454637</v>
      </c>
      <c r="BZ2" s="40">
        <f>SUM(CA2:CB2,CW2:CX2)</f>
        <v>797.5</v>
      </c>
      <c r="CA2" s="40">
        <f>IFERROR(s_C*(d_ss_Bv!C2+s_MLF_apple)*s_IFAP_far_adj*s_CF_apple,".")</f>
        <v>199.375</v>
      </c>
      <c r="CB2" s="40">
        <f>IFERROR(s_C*(d_ss_Bv!D2+s_MLF_asparagus)*s_IFAS_far_adj*s_CF_asparagus,".")</f>
        <v>199.375</v>
      </c>
      <c r="CC2" s="40">
        <f>IFERROR(s_C*(d_ss_Bv!E2+s_MLF_beet)*s_IFBT_far_adj*s_CF_beet,".")</f>
        <v>199.375</v>
      </c>
      <c r="CD2" s="40">
        <f>IFERROR(s_C*(d_ss_Bv!F2+s_MLF_berries)*s_IFBR_far_adj*s_CF_berries,".")</f>
        <v>199.375</v>
      </c>
      <c r="CE2" s="40">
        <f>IFERROR(s_C*(d_ss_Bv!G2+s_MLF_broccoli)*s_IFBR_far_adj*s_CF_broccoli,".")</f>
        <v>199.375</v>
      </c>
      <c r="CF2" s="40">
        <f>IFERROR(s_C*(d_ss_Bv!H2+s_MLF_cabbage)*s_IFCB_far_adj*s_CF_cabbage,".")</f>
        <v>199.375</v>
      </c>
      <c r="CG2" s="40">
        <f>IFERROR(s_C*(d_ss_Bv!I2+s_MLF_carrot)*s_IFCR_far_adj*s_CF_carrot,".")</f>
        <v>199.375</v>
      </c>
      <c r="CH2" s="40">
        <f>IFERROR(s_C*(d_ss_Bv!J2+s_MLF_citrus)*s_IFCI_far_adj*s_CF_citrus,".")</f>
        <v>199.375</v>
      </c>
      <c r="CI2" s="40">
        <f>IFERROR(s_C*(d_ss_Bv!K2+s_MLF_corn)*s_IFCO_far_adj*s_CF_corn,".")</f>
        <v>199.375</v>
      </c>
      <c r="CJ2" s="40">
        <f>IFERROR(s_C*(d_ss_Bv!L2+s_MLF_cucumber)*s_IFCU_far_adj*s_CF_cucumber,".")</f>
        <v>199.375</v>
      </c>
      <c r="CK2" s="40">
        <f>IFERROR(s_C*(d_ss_Bv!M2+s_MLF_lettuce)*s_IFLE_far_adj*s_CF_lettuce,".")</f>
        <v>199.375</v>
      </c>
      <c r="CL2" s="40">
        <f>IFERROR(s_C*(d_ss_Bv!N2+s_MLF_lima_bean)*s_IFLI_far_adj*s_CF_lima_bean,".")</f>
        <v>199.375</v>
      </c>
      <c r="CM2" s="40">
        <f>IFERROR(s_C*(d_ss_Bv!O2+s_MLF_okra)*s_IFOK_far_adj*s_CF_okra,".")</f>
        <v>199.375</v>
      </c>
      <c r="CN2" s="40">
        <f>IFERROR(s_C*(d_ss_Bv!P2+s_MLF_onion)*s_IFON_far_adj*s_CF_onion,".")</f>
        <v>199.375</v>
      </c>
      <c r="CO2" s="40">
        <f>IFERROR(s_C*(d_ss_Bv!Q2+s_MLF_peach)*s_IFPC_far_adj*s_CF_peach,".")</f>
        <v>199.375</v>
      </c>
      <c r="CP2" s="40">
        <f>IFERROR(s_C*(d_ss_Bv!R2+s_MLF_pear)*s_IFPR_far_adj*s_CF_pear,".")</f>
        <v>199.375</v>
      </c>
      <c r="CQ2" s="40">
        <f>IFERROR(s_C*(d_ss_Bv!S2+s_MLF_peas)*s_IFPE_far_adj*s_CF_peas,".")</f>
        <v>199.375</v>
      </c>
      <c r="CR2" s="40">
        <f>IFERROR(s_C*(d_ss_Bv!T2+s_MLF_potato)*s_IFPT_far_adj*s_CF_potato,".")</f>
        <v>199.375</v>
      </c>
      <c r="CS2" s="40">
        <f>IFERROR(s_C*(d_ss_Bv!U2+s_MLF_pumpkin)*s_IFPU_far_adj*s_CF_pumpkin,".")</f>
        <v>199.375</v>
      </c>
      <c r="CT2" s="40">
        <f>IFERROR(s_C*(d_ss_Bv!V2+s_MLF_snap_bean)*s_IFSN_far_adj*s_CF_snap_bean,".")</f>
        <v>199.375</v>
      </c>
      <c r="CU2" s="40">
        <f>IFERROR(s_C*(d_ss_Bv!W2+s_MLF_strawberry)*s_IFST_far_adj*s_CF_strawberry,".")</f>
        <v>199.375</v>
      </c>
      <c r="CV2" s="40">
        <f>IFERROR(s_C*(d_ss_Bv!X2+s_MLF_tomato)*s_IFTO_far_adj*s_CF_tomato,".")</f>
        <v>199.375</v>
      </c>
      <c r="CW2" s="40">
        <f>IFERROR(s_C*(d_ss_Bv!Y2+s_MLF_rice)*s_IFRI_far_adj*s_CF_rice,".")</f>
        <v>199.375</v>
      </c>
      <c r="CX2" s="40">
        <f>IFERROR(s_C*(d_ss_Bv!Z2+s_MLF_cereal)*s_IFCG_far_adj*s_CF_cereal,".")</f>
        <v>199.375</v>
      </c>
    </row>
    <row r="3" spans="1:102" x14ac:dyDescent="0.25">
      <c r="A3" s="46" t="s">
        <v>13</v>
      </c>
      <c r="B3" s="42" t="s">
        <v>351</v>
      </c>
      <c r="C3" s="15">
        <f t="shared" ref="C3:C30" si="2">IFERROR(1/SUM(1/D3,1/E3,1/Z3,1/AA3),".")</f>
        <v>49.209919844740696</v>
      </c>
      <c r="D3" s="15">
        <f>IFERROR((s_dir!D3/(d_ss_Bv!C3+s_MLF_apple)),".")</f>
        <v>201.20023616662399</v>
      </c>
      <c r="E3" s="15">
        <f>IFERROR((s_dir!E3/(d_ss_Bv!D3+s_MLF_asparagus)),".")</f>
        <v>197.7080897291641</v>
      </c>
      <c r="F3" s="15">
        <f>IFERROR((s_dir!F3/(d_ss_Bv!E3+s_MLF_beet)),".")</f>
        <v>192.12705685042974</v>
      </c>
      <c r="G3" s="15">
        <f>IFERROR((s_dir!G3/(d_ss_Bv!F3+s_MLF_berries)),".")</f>
        <v>190.38044724269855</v>
      </c>
      <c r="H3" s="15">
        <f>IFERROR((s_dir!H3/(d_ss_Bv!G3+s_MLF_broccoli)),".")</f>
        <v>196.42427096468901</v>
      </c>
      <c r="I3" s="15">
        <f>IFERROR((s_dir!I3/(d_ss_Bv!H3+s_MLF_cabbage)),".")</f>
        <v>197.7080897291641</v>
      </c>
      <c r="J3" s="15">
        <f>IFERROR((s_dir!J3/(d_ss_Bv!I3+s_MLF_carrot)),".")</f>
        <v>192.12705685042974</v>
      </c>
      <c r="K3" s="15">
        <f>IFERROR((s_dir!K3/(d_ss_Bv!J3+s_MLF_citrus)),".")</f>
        <v>201.20023616662399</v>
      </c>
      <c r="L3" s="15">
        <f>IFERROR((s_dir!L3/(d_ss_Bv!K3+s_MLF_corn)),".")</f>
        <v>200.91811037421326</v>
      </c>
      <c r="M3" s="15">
        <f>IFERROR((s_dir!M3/(d_ss_Bv!L3+s_MLF_cucumber)),".")</f>
        <v>196.42427096468901</v>
      </c>
      <c r="N3" s="15">
        <f>IFERROR((s_dir!N3/(d_ss_Bv!M3+s_MLF_lettuce)),".")</f>
        <v>197.7080897291641</v>
      </c>
      <c r="O3" s="15">
        <f>IFERROR((s_dir!O3/(d_ss_Bv!N3+s_MLF_lima_bean)),".")</f>
        <v>196.14123887396178</v>
      </c>
      <c r="P3" s="15">
        <f>IFERROR((s_dir!P3/(d_ss_Bv!O3+s_MLF_okra)),".")</f>
        <v>196.42427096468901</v>
      </c>
      <c r="Q3" s="15">
        <f>IFERROR((s_dir!Q3/(d_ss_Bv!P3+s_MLF_onion)),".")</f>
        <v>196.42427096468901</v>
      </c>
      <c r="R3" s="15">
        <f>IFERROR((s_dir!R3/(d_ss_Bv!Q3+s_MLF_peach)),".")</f>
        <v>201.20023616662399</v>
      </c>
      <c r="S3" s="15">
        <f>IFERROR((s_dir!S3/(d_ss_Bv!R3+s_MLF_pear)),".")</f>
        <v>201.20023616662399</v>
      </c>
      <c r="T3" s="15">
        <f>IFERROR((s_dir!T3/(d_ss_Bv!S3+s_MLF_peas)),".")</f>
        <v>196.14123887396178</v>
      </c>
      <c r="U3" s="15">
        <f>IFERROR((s_dir!U3/(d_ss_Bv!T3+s_MLF_potato)),".")</f>
        <v>198.57333301025452</v>
      </c>
      <c r="V3" s="15">
        <f>IFERROR((s_dir!V3/(d_ss_Bv!U3+s_MLF_pumpkin)),".")</f>
        <v>196.42427096468901</v>
      </c>
      <c r="W3" s="15">
        <f>IFERROR((s_dir!W3/(d_ss_Bv!V3+s_MLF_snap_bean)),".")</f>
        <v>196.14123887396178</v>
      </c>
      <c r="X3" s="15">
        <f>IFERROR((s_dir!X3/(d_ss_Bv!W3+s_MLF_strawberry)),".")</f>
        <v>200.03235823442978</v>
      </c>
      <c r="Y3" s="15">
        <f>IFERROR((s_dir!Y3/(d_ss_Bv!X3+s_MLF_tomato)),".")</f>
        <v>196.42427096468901</v>
      </c>
      <c r="Z3" s="15">
        <f>IFERROR((s_dir!Z3/(d_ss_Bv!Y3+s_MLF_rice)),".")</f>
        <v>187.754510039351</v>
      </c>
      <c r="AA3" s="15">
        <f>IFERROR((s_dir!AA3/(d_ss_Bv!Z3+s_MLF_cereal)),".")</f>
        <v>201.33415142512865</v>
      </c>
      <c r="AB3" s="40">
        <f t="shared" ref="AB3:AB30" si="3">SUM(AC3:AD3,AY3:AZ3)</f>
        <v>760.69124999999997</v>
      </c>
      <c r="AC3" s="40">
        <f>s_C*(d_ss_Bv!C3+s_MLF_apple)*s_IFAP_res_adj*s_CF_apple</f>
        <v>186.05124999999998</v>
      </c>
      <c r="AD3" s="40">
        <f>s_C*(d_ss_Bv!D3+s_MLF_asparagus)*s_IFAS_res_adj*s_CF_asparagus</f>
        <v>189.33749999999998</v>
      </c>
      <c r="AE3" s="40">
        <f>s_C*(d_ss_Bv!E3+s_MLF_beet)*s_IFBT_res_adj*s_CF_beet</f>
        <v>194.83749999999998</v>
      </c>
      <c r="AF3" s="40">
        <f>s_C*(d_ss_Bv!F3+s_MLF_berries)*s_IFBE_res_adj*s_CF_berries</f>
        <v>196.62500000000003</v>
      </c>
      <c r="AG3" s="40">
        <f>s_C*(d_ss_Bv!G3+s_MLF_broccoli)*s_IFBR_res_adj*s_CF_broccoli</f>
        <v>190.57499999999999</v>
      </c>
      <c r="AH3" s="40">
        <f>s_C*(d_ss_Bv!H3+s_MLF_cabbage)*s_IFCB_res_adj*s_CF_cabbage</f>
        <v>189.33749999999998</v>
      </c>
      <c r="AI3" s="40">
        <f>s_C*(d_ss_Bv!I3+s_MLF_carrot)*s_IFCR_res_adj*s_CF_carrot</f>
        <v>194.83749999999998</v>
      </c>
      <c r="AJ3" s="40">
        <f>s_C*(d_ss_Bv!J3+s_MLF_citrus)*s_IFCI_res_adj*s_CF_citrus</f>
        <v>186.05124999999998</v>
      </c>
      <c r="AK3" s="40">
        <f>s_C*(d_ss_Bv!K3+s_MLF_corn)*s_IFCO_res_adj*s_CF_corn</f>
        <v>186.3125</v>
      </c>
      <c r="AL3" s="40">
        <f>s_C*(d_ss_Bv!L3+s_MLF_cucumber)*s_IFCU_res_adj*s_CF_cucumber</f>
        <v>190.57499999999999</v>
      </c>
      <c r="AM3" s="40">
        <f>s_C*(d_ss_Bv!M3+s_MLF_lettuce)*s_IFLE_res_adj*s_CF_lettuce</f>
        <v>189.33749999999998</v>
      </c>
      <c r="AN3" s="40">
        <f>s_C*(d_ss_Bv!N3+s_MLF_lima_bean)*s_IFLI_res_adj*s_CF_lima_bean</f>
        <v>190.85000000000002</v>
      </c>
      <c r="AO3" s="40">
        <f>s_C*(d_ss_Bv!O3+s_MLF_okra)*s_IFOK_res_adj*s_CF_okra</f>
        <v>190.57499999999999</v>
      </c>
      <c r="AP3" s="40">
        <f>s_C*(d_ss_Bv!P3+s_MLF_onion)*s_IFON_res_adj*s_CF_onion</f>
        <v>190.57499999999999</v>
      </c>
      <c r="AQ3" s="40">
        <f>s_C*(d_ss_Bv!Q3+s_MLF_peach)*s_IFPC_res_adj*s_CF_peach</f>
        <v>186.05124999999998</v>
      </c>
      <c r="AR3" s="40">
        <f>s_C*(d_ss_Bv!R3+s_MLF_pear)*s_IFPR_res_adj*s_CF_pear</f>
        <v>186.05124999999998</v>
      </c>
      <c r="AS3" s="40">
        <f>s_C*(d_ss_Bv!S3+s_MLF_peas)*s_IFPE_res_adj*s_CF_peas</f>
        <v>190.85000000000002</v>
      </c>
      <c r="AT3" s="40">
        <f>s_C*(d_ss_Bv!T3+s_MLF_potato)*s_IFPT_res_adj*s_CF_potato</f>
        <v>188.51249999999999</v>
      </c>
      <c r="AU3" s="40">
        <f>s_C*(d_ss_Bv!U3+s_MLF_pumpkin)*s_IFPU_res_adj*s_CF_pumpkin</f>
        <v>190.57499999999999</v>
      </c>
      <c r="AV3" s="40">
        <f>s_C*(d_ss_Bv!V3+s_MLF_snap_bean)*s_IFSN_res_adj*s_CF_snap_bean</f>
        <v>190.85000000000002</v>
      </c>
      <c r="AW3" s="40">
        <f>s_C*(d_ss_Bv!W3+s_MLF_strawberry)*s_IFST_res_adj*s_CF_strawberry</f>
        <v>187.13749999999999</v>
      </c>
      <c r="AX3" s="40">
        <f>s_C*(d_ss_Bv!X3+s_MLF_tomato)*s_IFTO_res_adj*s_CF_tomato</f>
        <v>190.57499999999999</v>
      </c>
      <c r="AY3" s="40">
        <f>s_C*(d_ss_Bv!Y3+s_MLF_rice)*s_IFRI_res_adj*s_CF_rice</f>
        <v>199.375</v>
      </c>
      <c r="AZ3" s="40">
        <f>s_C*(d_ss_Bv!Z3+s_MLF_cereal)*s_IFCG_res_adj*s_CF_cereal</f>
        <v>185.92750000000001</v>
      </c>
      <c r="BA3" s="15">
        <f t="shared" ref="BA3:BA30" si="4">IFERROR(1/SUM(1/BB3,1/BC3,1/BX3,1/BY3),".")</f>
        <v>49.209919844740696</v>
      </c>
      <c r="BB3" s="15">
        <f>IFERROR((s_dir!AC3/(d_ss_Bv!C3+s_MLF_apple)),".")</f>
        <v>201.20023616662399</v>
      </c>
      <c r="BC3" s="15">
        <f>IFERROR((s_dir!AD3/(d_ss_Bv!D3+s_MLF_asparagus)),".")</f>
        <v>197.7080897291641</v>
      </c>
      <c r="BD3" s="15">
        <f>IFERROR((s_dir!AE3/(d_ss_Bv!E3+s_MLF_beet)),".")</f>
        <v>192.12705685042974</v>
      </c>
      <c r="BE3" s="15">
        <f>IFERROR((s_dir!AF3/(d_ss_Bv!F3+s_MLF_berries)),".")</f>
        <v>190.38044724269855</v>
      </c>
      <c r="BF3" s="15">
        <f>IFERROR((s_dir!AG3/(d_ss_Bv!G3+s_MLF_broccoli)),".")</f>
        <v>196.42427096468901</v>
      </c>
      <c r="BG3" s="15">
        <f>IFERROR((s_dir!AH3/(d_ss_Bv!H3+s_MLF_cabbage)),".")</f>
        <v>197.7080897291641</v>
      </c>
      <c r="BH3" s="15">
        <f>IFERROR((s_dir!AI3/(d_ss_Bv!I3+s_MLF_carrot)),".")</f>
        <v>192.12705685042974</v>
      </c>
      <c r="BI3" s="15">
        <f>IFERROR((s_dir!AJ3/(d_ss_Bv!J3+s_MLF_citrus)),".")</f>
        <v>201.20023616662399</v>
      </c>
      <c r="BJ3" s="15">
        <f>IFERROR((s_dir!AK3/(d_ss_Bv!K3+s_MLF_corn)),".")</f>
        <v>200.91811037421326</v>
      </c>
      <c r="BK3" s="15">
        <f>IFERROR((s_dir!AL3/(d_ss_Bv!L3+s_MLF_cucumber)),".")</f>
        <v>196.42427096468901</v>
      </c>
      <c r="BL3" s="15">
        <f>IFERROR((s_dir!AM3/(d_ss_Bv!M3+s_MLF_lettuce)),".")</f>
        <v>197.7080897291641</v>
      </c>
      <c r="BM3" s="15">
        <f>IFERROR((s_dir!AN3/(d_ss_Bv!N3+s_MLF_lima_bean)),".")</f>
        <v>196.14123887396178</v>
      </c>
      <c r="BN3" s="15">
        <f>IFERROR((s_dir!AO3/(d_ss_Bv!O3+s_MLF_okra)),".")</f>
        <v>196.42427096468901</v>
      </c>
      <c r="BO3" s="15">
        <f>IFERROR((s_dir!AP3/(d_ss_Bv!P3+s_MLF_onion)),".")</f>
        <v>196.42427096468901</v>
      </c>
      <c r="BP3" s="15">
        <f>IFERROR((s_dir!AQ3/(d_ss_Bv!Q3+s_MLF_peach)),".")</f>
        <v>201.20023616662399</v>
      </c>
      <c r="BQ3" s="15">
        <f>IFERROR((s_dir!AR3/(d_ss_Bv!R3+s_MLF_pear)),".")</f>
        <v>201.20023616662399</v>
      </c>
      <c r="BR3" s="15">
        <f>IFERROR((s_dir!AS3/(d_ss_Bv!S3+s_MLF_peas)),".")</f>
        <v>196.14123887396178</v>
      </c>
      <c r="BS3" s="15">
        <f>IFERROR((s_dir!AT3/(d_ss_Bv!T3+s_MLF_potato)),".")</f>
        <v>198.57333301025452</v>
      </c>
      <c r="BT3" s="15">
        <f>IFERROR((s_dir!AU3/(d_ss_Bv!U3+s_MLF_pumpkin)),".")</f>
        <v>196.42427096468901</v>
      </c>
      <c r="BU3" s="15">
        <f>IFERROR((s_dir!AV3/(d_ss_Bv!V3+s_MLF_snap_bean)),".")</f>
        <v>196.14123887396178</v>
      </c>
      <c r="BV3" s="15">
        <f>IFERROR((s_dir!AW3/(d_ss_Bv!W3+s_MLF_strawberry)),".")</f>
        <v>200.03235823442978</v>
      </c>
      <c r="BW3" s="15">
        <f>IFERROR((s_dir!AX3/(d_ss_Bv!X3+s_MLF_tomato)),".")</f>
        <v>196.42427096468901</v>
      </c>
      <c r="BX3" s="15">
        <f>IFERROR((s_dir!AY3/(d_ss_Bv!Y3+s_MLF_rice)),".")</f>
        <v>187.754510039351</v>
      </c>
      <c r="BY3" s="15">
        <f>IFERROR((s_dir!AZ3/(d_ss_Bv!Z3+s_MLF_cereal)),".")</f>
        <v>201.33415142512865</v>
      </c>
      <c r="BZ3" s="40">
        <f t="shared" ref="BZ3:BZ66" si="5">SUM(CA3:CB3,CW3:CX3)</f>
        <v>760.69124999999997</v>
      </c>
      <c r="CA3" s="40">
        <f>IFERROR(s_C*(d_ss_Bv!C3+s_MLF_apple)*s_IFAP_far_adj*s_CF_apple,".")</f>
        <v>186.05124999999998</v>
      </c>
      <c r="CB3" s="40">
        <f>IFERROR(s_C*(d_ss_Bv!D3+s_MLF_asparagus)*s_IFAS_far_adj*s_CF_asparagus,".")</f>
        <v>189.33749999999998</v>
      </c>
      <c r="CC3" s="40">
        <f>IFERROR(s_C*(d_ss_Bv!E3+s_MLF_beet)*s_IFBT_far_adj*s_CF_beet,".")</f>
        <v>194.83749999999998</v>
      </c>
      <c r="CD3" s="40">
        <f>IFERROR(s_C*(d_ss_Bv!F3+s_MLF_berries)*s_IFBR_far_adj*s_CF_berries,".")</f>
        <v>196.62500000000003</v>
      </c>
      <c r="CE3" s="40">
        <f>IFERROR(s_C*(d_ss_Bv!G3+s_MLF_broccoli)*s_IFBR_far_adj*s_CF_broccoli,".")</f>
        <v>190.57499999999999</v>
      </c>
      <c r="CF3" s="40">
        <f>IFERROR(s_C*(d_ss_Bv!H3+s_MLF_cabbage)*s_IFCB_far_adj*s_CF_cabbage,".")</f>
        <v>189.33749999999998</v>
      </c>
      <c r="CG3" s="40">
        <f>IFERROR(s_C*(d_ss_Bv!I3+s_MLF_carrot)*s_IFCR_far_adj*s_CF_carrot,".")</f>
        <v>194.83749999999998</v>
      </c>
      <c r="CH3" s="40">
        <f>IFERROR(s_C*(d_ss_Bv!J3+s_MLF_citrus)*s_IFCI_far_adj*s_CF_citrus,".")</f>
        <v>186.05124999999998</v>
      </c>
      <c r="CI3" s="40">
        <f>IFERROR(s_C*(d_ss_Bv!K3+s_MLF_corn)*s_IFCO_far_adj*s_CF_corn,".")</f>
        <v>186.3125</v>
      </c>
      <c r="CJ3" s="40">
        <f>IFERROR(s_C*(d_ss_Bv!L3+s_MLF_cucumber)*s_IFCU_far_adj*s_CF_cucumber,".")</f>
        <v>190.57499999999999</v>
      </c>
      <c r="CK3" s="40">
        <f>IFERROR(s_C*(d_ss_Bv!M3+s_MLF_lettuce)*s_IFLE_far_adj*s_CF_lettuce,".")</f>
        <v>189.33749999999998</v>
      </c>
      <c r="CL3" s="40">
        <f>IFERROR(s_C*(d_ss_Bv!N3+s_MLF_lima_bean)*s_IFLI_far_adj*s_CF_lima_bean,".")</f>
        <v>190.85000000000002</v>
      </c>
      <c r="CM3" s="40">
        <f>IFERROR(s_C*(d_ss_Bv!O3+s_MLF_okra)*s_IFOK_far_adj*s_CF_okra,".")</f>
        <v>190.57499999999999</v>
      </c>
      <c r="CN3" s="40">
        <f>IFERROR(s_C*(d_ss_Bv!P3+s_MLF_onion)*s_IFON_far_adj*s_CF_onion,".")</f>
        <v>190.57499999999999</v>
      </c>
      <c r="CO3" s="40">
        <f>IFERROR(s_C*(d_ss_Bv!Q3+s_MLF_peach)*s_IFPC_far_adj*s_CF_peach,".")</f>
        <v>186.05124999999998</v>
      </c>
      <c r="CP3" s="40">
        <f>IFERROR(s_C*(d_ss_Bv!R3+s_MLF_pear)*s_IFPR_far_adj*s_CF_pear,".")</f>
        <v>186.05124999999998</v>
      </c>
      <c r="CQ3" s="40">
        <f>IFERROR(s_C*(d_ss_Bv!S3+s_MLF_peas)*s_IFPE_far_adj*s_CF_peas,".")</f>
        <v>190.85000000000002</v>
      </c>
      <c r="CR3" s="40">
        <f>IFERROR(s_C*(d_ss_Bv!T3+s_MLF_potato)*s_IFPT_far_adj*s_CF_potato,".")</f>
        <v>188.51249999999999</v>
      </c>
      <c r="CS3" s="40">
        <f>IFERROR(s_C*(d_ss_Bv!U3+s_MLF_pumpkin)*s_IFPU_far_adj*s_CF_pumpkin,".")</f>
        <v>190.57499999999999</v>
      </c>
      <c r="CT3" s="40">
        <f>IFERROR(s_C*(d_ss_Bv!V3+s_MLF_snap_bean)*s_IFSN_far_adj*s_CF_snap_bean,".")</f>
        <v>190.85000000000002</v>
      </c>
      <c r="CU3" s="40">
        <f>IFERROR(s_C*(d_ss_Bv!W3+s_MLF_strawberry)*s_IFST_far_adj*s_CF_strawberry,".")</f>
        <v>187.13749999999999</v>
      </c>
      <c r="CV3" s="40">
        <f>IFERROR(s_C*(d_ss_Bv!X3+s_MLF_tomato)*s_IFTO_far_adj*s_CF_tomato,".")</f>
        <v>190.57499999999999</v>
      </c>
      <c r="CW3" s="40">
        <f>IFERROR(s_C*(d_ss_Bv!Y3+s_MLF_rice)*s_IFRI_far_adj*s_CF_rice,".")</f>
        <v>199.375</v>
      </c>
      <c r="CX3" s="40">
        <f>IFERROR(s_C*(d_ss_Bv!Z3+s_MLF_cereal)*s_IFCG_far_adj*s_CF_cereal,".")</f>
        <v>185.92750000000001</v>
      </c>
    </row>
    <row r="4" spans="1:102" ht="15" customHeight="1" x14ac:dyDescent="0.25">
      <c r="A4" s="44" t="s">
        <v>14</v>
      </c>
      <c r="B4" s="42" t="s">
        <v>1074</v>
      </c>
      <c r="C4" s="15" t="str">
        <f t="shared" si="2"/>
        <v>.</v>
      </c>
      <c r="D4" s="15" t="str">
        <f>IFERROR((s_dir!D4/(d_ss_Bv!C4+s_MLF_apple)),".")</f>
        <v>.</v>
      </c>
      <c r="E4" s="15" t="str">
        <f>IFERROR((s_dir!E4/(d_ss_Bv!D4+s_MLF_asparagus)),".")</f>
        <v>.</v>
      </c>
      <c r="F4" s="15" t="str">
        <f>IFERROR((s_dir!F4/(d_ss_Bv!E4+s_MLF_beet)),".")</f>
        <v>.</v>
      </c>
      <c r="G4" s="15" t="str">
        <f>IFERROR((s_dir!G4/(d_ss_Bv!F4+s_MLF_berries)),".")</f>
        <v>.</v>
      </c>
      <c r="H4" s="15" t="str">
        <f>IFERROR((s_dir!H4/(d_ss_Bv!G4+s_MLF_broccoli)),".")</f>
        <v>.</v>
      </c>
      <c r="I4" s="15" t="str">
        <f>IFERROR((s_dir!I4/(d_ss_Bv!H4+s_MLF_cabbage)),".")</f>
        <v>.</v>
      </c>
      <c r="J4" s="15" t="str">
        <f>IFERROR((s_dir!J4/(d_ss_Bv!I4+s_MLF_carrot)),".")</f>
        <v>.</v>
      </c>
      <c r="K4" s="15" t="str">
        <f>IFERROR((s_dir!K4/(d_ss_Bv!J4+s_MLF_citrus)),".")</f>
        <v>.</v>
      </c>
      <c r="L4" s="15" t="str">
        <f>IFERROR((s_dir!L4/(d_ss_Bv!K4+s_MLF_corn)),".")</f>
        <v>.</v>
      </c>
      <c r="M4" s="15" t="str">
        <f>IFERROR((s_dir!M4/(d_ss_Bv!L4+s_MLF_cucumber)),".")</f>
        <v>.</v>
      </c>
      <c r="N4" s="15" t="str">
        <f>IFERROR((s_dir!N4/(d_ss_Bv!M4+s_MLF_lettuce)),".")</f>
        <v>.</v>
      </c>
      <c r="O4" s="15" t="str">
        <f>IFERROR((s_dir!O4/(d_ss_Bv!N4+s_MLF_lima_bean)),".")</f>
        <v>.</v>
      </c>
      <c r="P4" s="15" t="str">
        <f>IFERROR((s_dir!P4/(d_ss_Bv!O4+s_MLF_okra)),".")</f>
        <v>.</v>
      </c>
      <c r="Q4" s="15" t="str">
        <f>IFERROR((s_dir!Q4/(d_ss_Bv!P4+s_MLF_onion)),".")</f>
        <v>.</v>
      </c>
      <c r="R4" s="15" t="str">
        <f>IFERROR((s_dir!R4/(d_ss_Bv!Q4+s_MLF_peach)),".")</f>
        <v>.</v>
      </c>
      <c r="S4" s="15" t="str">
        <f>IFERROR((s_dir!S4/(d_ss_Bv!R4+s_MLF_pear)),".")</f>
        <v>.</v>
      </c>
      <c r="T4" s="15" t="str">
        <f>IFERROR((s_dir!T4/(d_ss_Bv!S4+s_MLF_peas)),".")</f>
        <v>.</v>
      </c>
      <c r="U4" s="15" t="str">
        <f>IFERROR((s_dir!U4/(d_ss_Bv!T4+s_MLF_potato)),".")</f>
        <v>.</v>
      </c>
      <c r="V4" s="15" t="str">
        <f>IFERROR((s_dir!V4/(d_ss_Bv!U4+s_MLF_pumpkin)),".")</f>
        <v>.</v>
      </c>
      <c r="W4" s="15" t="str">
        <f>IFERROR((s_dir!W4/(d_ss_Bv!V4+s_MLF_snap_bean)),".")</f>
        <v>.</v>
      </c>
      <c r="X4" s="15" t="str">
        <f>IFERROR((s_dir!X4/(d_ss_Bv!W4+s_MLF_strawberry)),".")</f>
        <v>.</v>
      </c>
      <c r="Y4" s="15" t="str">
        <f>IFERROR((s_dir!Y4/(d_ss_Bv!X4+s_MLF_tomato)),".")</f>
        <v>.</v>
      </c>
      <c r="Z4" s="15" t="str">
        <f>IFERROR((s_dir!Z4/(d_ss_Bv!Y4+s_MLF_rice)),".")</f>
        <v>.</v>
      </c>
      <c r="AA4" s="15" t="str">
        <f>IFERROR((s_dir!AA4/(d_ss_Bv!Z4+s_MLF_cereal)),".")</f>
        <v>.</v>
      </c>
      <c r="AB4" s="40">
        <f t="shared" si="3"/>
        <v>11742.500000000002</v>
      </c>
      <c r="AC4" s="40">
        <f>s_C*(d_ss_Bv!C4+s_MLF_apple)*s_IFAP_res_adj*s_CF_apple</f>
        <v>2935.6250000000005</v>
      </c>
      <c r="AD4" s="40">
        <f>s_C*(d_ss_Bv!D4+s_MLF_asparagus)*s_IFAS_res_adj*s_CF_asparagus</f>
        <v>2935.6250000000005</v>
      </c>
      <c r="AE4" s="40">
        <f>s_C*(d_ss_Bv!E4+s_MLF_beet)*s_IFBT_res_adj*s_CF_beet</f>
        <v>2935.6250000000005</v>
      </c>
      <c r="AF4" s="40">
        <f>s_C*(d_ss_Bv!F4+s_MLF_berries)*s_IFBE_res_adj*s_CF_berries</f>
        <v>2935.6250000000005</v>
      </c>
      <c r="AG4" s="40">
        <f>s_C*(d_ss_Bv!G4+s_MLF_broccoli)*s_IFBR_res_adj*s_CF_broccoli</f>
        <v>2935.6250000000005</v>
      </c>
      <c r="AH4" s="40">
        <f>s_C*(d_ss_Bv!H4+s_MLF_cabbage)*s_IFCB_res_adj*s_CF_cabbage</f>
        <v>2935.6250000000005</v>
      </c>
      <c r="AI4" s="40">
        <f>s_C*(d_ss_Bv!I4+s_MLF_carrot)*s_IFCR_res_adj*s_CF_carrot</f>
        <v>2935.6250000000005</v>
      </c>
      <c r="AJ4" s="40">
        <f>s_C*(d_ss_Bv!J4+s_MLF_citrus)*s_IFCI_res_adj*s_CF_citrus</f>
        <v>2935.6250000000005</v>
      </c>
      <c r="AK4" s="40">
        <f>s_C*(d_ss_Bv!K4+s_MLF_corn)*s_IFCO_res_adj*s_CF_corn</f>
        <v>2935.6250000000005</v>
      </c>
      <c r="AL4" s="40">
        <f>s_C*(d_ss_Bv!L4+s_MLF_cucumber)*s_IFCU_res_adj*s_CF_cucumber</f>
        <v>2935.6250000000005</v>
      </c>
      <c r="AM4" s="40">
        <f>s_C*(d_ss_Bv!M4+s_MLF_lettuce)*s_IFLE_res_adj*s_CF_lettuce</f>
        <v>2935.6250000000005</v>
      </c>
      <c r="AN4" s="40">
        <f>s_C*(d_ss_Bv!N4+s_MLF_lima_bean)*s_IFLI_res_adj*s_CF_lima_bean</f>
        <v>2935.6250000000005</v>
      </c>
      <c r="AO4" s="40">
        <f>s_C*(d_ss_Bv!O4+s_MLF_okra)*s_IFOK_res_adj*s_CF_okra</f>
        <v>2935.6250000000005</v>
      </c>
      <c r="AP4" s="40">
        <f>s_C*(d_ss_Bv!P4+s_MLF_onion)*s_IFON_res_adj*s_CF_onion</f>
        <v>2935.6250000000005</v>
      </c>
      <c r="AQ4" s="40">
        <f>s_C*(d_ss_Bv!Q4+s_MLF_peach)*s_IFPC_res_adj*s_CF_peach</f>
        <v>2935.6250000000005</v>
      </c>
      <c r="AR4" s="40">
        <f>s_C*(d_ss_Bv!R4+s_MLF_pear)*s_IFPR_res_adj*s_CF_pear</f>
        <v>2935.6250000000005</v>
      </c>
      <c r="AS4" s="40">
        <f>s_C*(d_ss_Bv!S4+s_MLF_peas)*s_IFPE_res_adj*s_CF_peas</f>
        <v>2935.6250000000005</v>
      </c>
      <c r="AT4" s="40">
        <f>s_C*(d_ss_Bv!T4+s_MLF_potato)*s_IFPT_res_adj*s_CF_potato</f>
        <v>2935.6250000000005</v>
      </c>
      <c r="AU4" s="40">
        <f>s_C*(d_ss_Bv!U4+s_MLF_pumpkin)*s_IFPU_res_adj*s_CF_pumpkin</f>
        <v>2935.6250000000005</v>
      </c>
      <c r="AV4" s="40">
        <f>s_C*(d_ss_Bv!V4+s_MLF_snap_bean)*s_IFSN_res_adj*s_CF_snap_bean</f>
        <v>2935.6250000000005</v>
      </c>
      <c r="AW4" s="40">
        <f>s_C*(d_ss_Bv!W4+s_MLF_strawberry)*s_IFST_res_adj*s_CF_strawberry</f>
        <v>2935.6250000000005</v>
      </c>
      <c r="AX4" s="40">
        <f>s_C*(d_ss_Bv!X4+s_MLF_tomato)*s_IFTO_res_adj*s_CF_tomato</f>
        <v>2935.6250000000005</v>
      </c>
      <c r="AY4" s="40">
        <f>s_C*(d_ss_Bv!Y4+s_MLF_rice)*s_IFRI_res_adj*s_CF_rice</f>
        <v>2935.6250000000005</v>
      </c>
      <c r="AZ4" s="40">
        <f>s_C*(d_ss_Bv!Z4+s_MLF_cereal)*s_IFCG_res_adj*s_CF_cereal</f>
        <v>2935.6250000000005</v>
      </c>
      <c r="BA4" s="15" t="str">
        <f t="shared" si="4"/>
        <v>.</v>
      </c>
      <c r="BB4" s="15" t="str">
        <f>IFERROR((s_dir!AC4/(d_ss_Bv!C4+s_MLF_apple)),".")</f>
        <v>.</v>
      </c>
      <c r="BC4" s="15" t="str">
        <f>IFERROR((s_dir!AD4/(d_ss_Bv!D4+s_MLF_asparagus)),".")</f>
        <v>.</v>
      </c>
      <c r="BD4" s="15" t="str">
        <f>IFERROR((s_dir!AE4/(d_ss_Bv!E4+s_MLF_beet)),".")</f>
        <v>.</v>
      </c>
      <c r="BE4" s="15" t="str">
        <f>IFERROR((s_dir!AF4/(d_ss_Bv!F4+s_MLF_berries)),".")</f>
        <v>.</v>
      </c>
      <c r="BF4" s="15" t="str">
        <f>IFERROR((s_dir!AG4/(d_ss_Bv!G4+s_MLF_broccoli)),".")</f>
        <v>.</v>
      </c>
      <c r="BG4" s="15" t="str">
        <f>IFERROR((s_dir!AH4/(d_ss_Bv!H4+s_MLF_cabbage)),".")</f>
        <v>.</v>
      </c>
      <c r="BH4" s="15" t="str">
        <f>IFERROR((s_dir!AI4/(d_ss_Bv!I4+s_MLF_carrot)),".")</f>
        <v>.</v>
      </c>
      <c r="BI4" s="15" t="str">
        <f>IFERROR((s_dir!AJ4/(d_ss_Bv!J4+s_MLF_citrus)),".")</f>
        <v>.</v>
      </c>
      <c r="BJ4" s="15" t="str">
        <f>IFERROR((s_dir!AK4/(d_ss_Bv!K4+s_MLF_corn)),".")</f>
        <v>.</v>
      </c>
      <c r="BK4" s="15" t="str">
        <f>IFERROR((s_dir!AL4/(d_ss_Bv!L4+s_MLF_cucumber)),".")</f>
        <v>.</v>
      </c>
      <c r="BL4" s="15" t="str">
        <f>IFERROR((s_dir!AM4/(d_ss_Bv!M4+s_MLF_lettuce)),".")</f>
        <v>.</v>
      </c>
      <c r="BM4" s="15" t="str">
        <f>IFERROR((s_dir!AN4/(d_ss_Bv!N4+s_MLF_lima_bean)),".")</f>
        <v>.</v>
      </c>
      <c r="BN4" s="15" t="str">
        <f>IFERROR((s_dir!AO4/(d_ss_Bv!O4+s_MLF_okra)),".")</f>
        <v>.</v>
      </c>
      <c r="BO4" s="15" t="str">
        <f>IFERROR((s_dir!AP4/(d_ss_Bv!P4+s_MLF_onion)),".")</f>
        <v>.</v>
      </c>
      <c r="BP4" s="15" t="str">
        <f>IFERROR((s_dir!AQ4/(d_ss_Bv!Q4+s_MLF_peach)),".")</f>
        <v>.</v>
      </c>
      <c r="BQ4" s="15" t="str">
        <f>IFERROR((s_dir!AR4/(d_ss_Bv!R4+s_MLF_pear)),".")</f>
        <v>.</v>
      </c>
      <c r="BR4" s="15" t="str">
        <f>IFERROR((s_dir!AS4/(d_ss_Bv!S4+s_MLF_peas)),".")</f>
        <v>.</v>
      </c>
      <c r="BS4" s="15" t="str">
        <f>IFERROR((s_dir!AT4/(d_ss_Bv!T4+s_MLF_potato)),".")</f>
        <v>.</v>
      </c>
      <c r="BT4" s="15" t="str">
        <f>IFERROR((s_dir!AU4/(d_ss_Bv!U4+s_MLF_pumpkin)),".")</f>
        <v>.</v>
      </c>
      <c r="BU4" s="15" t="str">
        <f>IFERROR((s_dir!AV4/(d_ss_Bv!V4+s_MLF_snap_bean)),".")</f>
        <v>.</v>
      </c>
      <c r="BV4" s="15" t="str">
        <f>IFERROR((s_dir!AW4/(d_ss_Bv!W4+s_MLF_strawberry)),".")</f>
        <v>.</v>
      </c>
      <c r="BW4" s="15" t="str">
        <f>IFERROR((s_dir!AX4/(d_ss_Bv!X4+s_MLF_tomato)),".")</f>
        <v>.</v>
      </c>
      <c r="BX4" s="15" t="str">
        <f>IFERROR((s_dir!AY4/(d_ss_Bv!Y4+s_MLF_rice)),".")</f>
        <v>.</v>
      </c>
      <c r="BY4" s="15" t="str">
        <f>IFERROR((s_dir!AZ4/(d_ss_Bv!Z4+s_MLF_cereal)),".")</f>
        <v>.</v>
      </c>
      <c r="BZ4" s="40">
        <f t="shared" si="5"/>
        <v>11742.500000000002</v>
      </c>
      <c r="CA4" s="40">
        <f>IFERROR(s_C*(d_ss_Bv!C4+s_MLF_apple)*s_IFAP_far_adj*s_CF_apple,".")</f>
        <v>2935.6250000000005</v>
      </c>
      <c r="CB4" s="40">
        <f>IFERROR(s_C*(d_ss_Bv!D4+s_MLF_asparagus)*s_IFAS_far_adj*s_CF_asparagus,".")</f>
        <v>2935.6250000000005</v>
      </c>
      <c r="CC4" s="40">
        <f>IFERROR(s_C*(d_ss_Bv!E4+s_MLF_beet)*s_IFBT_far_adj*s_CF_beet,".")</f>
        <v>2935.6250000000005</v>
      </c>
      <c r="CD4" s="40">
        <f>IFERROR(s_C*(d_ss_Bv!F4+s_MLF_berries)*s_IFBR_far_adj*s_CF_berries,".")</f>
        <v>2935.6250000000005</v>
      </c>
      <c r="CE4" s="40">
        <f>IFERROR(s_C*(d_ss_Bv!G4+s_MLF_broccoli)*s_IFBR_far_adj*s_CF_broccoli,".")</f>
        <v>2935.6250000000005</v>
      </c>
      <c r="CF4" s="40">
        <f>IFERROR(s_C*(d_ss_Bv!H4+s_MLF_cabbage)*s_IFCB_far_adj*s_CF_cabbage,".")</f>
        <v>2935.6250000000005</v>
      </c>
      <c r="CG4" s="40">
        <f>IFERROR(s_C*(d_ss_Bv!I4+s_MLF_carrot)*s_IFCR_far_adj*s_CF_carrot,".")</f>
        <v>2935.6250000000005</v>
      </c>
      <c r="CH4" s="40">
        <f>IFERROR(s_C*(d_ss_Bv!J4+s_MLF_citrus)*s_IFCI_far_adj*s_CF_citrus,".")</f>
        <v>2935.6250000000005</v>
      </c>
      <c r="CI4" s="40">
        <f>IFERROR(s_C*(d_ss_Bv!K4+s_MLF_corn)*s_IFCO_far_adj*s_CF_corn,".")</f>
        <v>2935.6250000000005</v>
      </c>
      <c r="CJ4" s="40">
        <f>IFERROR(s_C*(d_ss_Bv!L4+s_MLF_cucumber)*s_IFCU_far_adj*s_CF_cucumber,".")</f>
        <v>2935.6250000000005</v>
      </c>
      <c r="CK4" s="40">
        <f>IFERROR(s_C*(d_ss_Bv!M4+s_MLF_lettuce)*s_IFLE_far_adj*s_CF_lettuce,".")</f>
        <v>2935.6250000000005</v>
      </c>
      <c r="CL4" s="40">
        <f>IFERROR(s_C*(d_ss_Bv!N4+s_MLF_lima_bean)*s_IFLI_far_adj*s_CF_lima_bean,".")</f>
        <v>2935.6250000000005</v>
      </c>
      <c r="CM4" s="40">
        <f>IFERROR(s_C*(d_ss_Bv!O4+s_MLF_okra)*s_IFOK_far_adj*s_CF_okra,".")</f>
        <v>2935.6250000000005</v>
      </c>
      <c r="CN4" s="40">
        <f>IFERROR(s_C*(d_ss_Bv!P4+s_MLF_onion)*s_IFON_far_adj*s_CF_onion,".")</f>
        <v>2935.6250000000005</v>
      </c>
      <c r="CO4" s="40">
        <f>IFERROR(s_C*(d_ss_Bv!Q4+s_MLF_peach)*s_IFPC_far_adj*s_CF_peach,".")</f>
        <v>2935.6250000000005</v>
      </c>
      <c r="CP4" s="40">
        <f>IFERROR(s_C*(d_ss_Bv!R4+s_MLF_pear)*s_IFPR_far_adj*s_CF_pear,".")</f>
        <v>2935.6250000000005</v>
      </c>
      <c r="CQ4" s="40">
        <f>IFERROR(s_C*(d_ss_Bv!S4+s_MLF_peas)*s_IFPE_far_adj*s_CF_peas,".")</f>
        <v>2935.6250000000005</v>
      </c>
      <c r="CR4" s="40">
        <f>IFERROR(s_C*(d_ss_Bv!T4+s_MLF_potato)*s_IFPT_far_adj*s_CF_potato,".")</f>
        <v>2935.6250000000005</v>
      </c>
      <c r="CS4" s="40">
        <f>IFERROR(s_C*(d_ss_Bv!U4+s_MLF_pumpkin)*s_IFPU_far_adj*s_CF_pumpkin,".")</f>
        <v>2935.6250000000005</v>
      </c>
      <c r="CT4" s="40">
        <f>IFERROR(s_C*(d_ss_Bv!V4+s_MLF_snap_bean)*s_IFSN_far_adj*s_CF_snap_bean,".")</f>
        <v>2935.6250000000005</v>
      </c>
      <c r="CU4" s="40">
        <f>IFERROR(s_C*(d_ss_Bv!W4+s_MLF_strawberry)*s_IFST_far_adj*s_CF_strawberry,".")</f>
        <v>2935.6250000000005</v>
      </c>
      <c r="CV4" s="40">
        <f>IFERROR(s_C*(d_ss_Bv!X4+s_MLF_tomato)*s_IFTO_far_adj*s_CF_tomato,".")</f>
        <v>2935.6250000000005</v>
      </c>
      <c r="CW4" s="40">
        <f>IFERROR(s_C*(d_ss_Bv!Y4+s_MLF_rice)*s_IFRI_far_adj*s_CF_rice,".")</f>
        <v>2935.6250000000005</v>
      </c>
      <c r="CX4" s="40">
        <f>IFERROR(s_C*(d_ss_Bv!Z4+s_MLF_cereal)*s_IFCG_far_adj*s_CF_cereal,".")</f>
        <v>2935.6250000000005</v>
      </c>
    </row>
    <row r="5" spans="1:102" ht="15" customHeight="1" x14ac:dyDescent="0.25">
      <c r="A5" s="44" t="s">
        <v>15</v>
      </c>
      <c r="B5" s="42" t="s">
        <v>1074</v>
      </c>
      <c r="C5" s="15" t="str">
        <f t="shared" si="2"/>
        <v>.</v>
      </c>
      <c r="D5" s="15" t="str">
        <f>IFERROR((s_dir!D5/(d_ss_Bv!C5+s_MLF_apple)),".")</f>
        <v>.</v>
      </c>
      <c r="E5" s="15" t="str">
        <f>IFERROR((s_dir!E5/(d_ss_Bv!D5+s_MLF_asparagus)),".")</f>
        <v>.</v>
      </c>
      <c r="F5" s="15" t="str">
        <f>IFERROR((s_dir!F5/(d_ss_Bv!E5+s_MLF_beet)),".")</f>
        <v>.</v>
      </c>
      <c r="G5" s="15" t="str">
        <f>IFERROR((s_dir!G5/(d_ss_Bv!F5+s_MLF_berries)),".")</f>
        <v>.</v>
      </c>
      <c r="H5" s="15" t="str">
        <f>IFERROR((s_dir!H5/(d_ss_Bv!G5+s_MLF_broccoli)),".")</f>
        <v>.</v>
      </c>
      <c r="I5" s="15" t="str">
        <f>IFERROR((s_dir!I5/(d_ss_Bv!H5+s_MLF_cabbage)),".")</f>
        <v>.</v>
      </c>
      <c r="J5" s="15" t="str">
        <f>IFERROR((s_dir!J5/(d_ss_Bv!I5+s_MLF_carrot)),".")</f>
        <v>.</v>
      </c>
      <c r="K5" s="15" t="str">
        <f>IFERROR((s_dir!K5/(d_ss_Bv!J5+s_MLF_citrus)),".")</f>
        <v>.</v>
      </c>
      <c r="L5" s="15" t="str">
        <f>IFERROR((s_dir!L5/(d_ss_Bv!K5+s_MLF_corn)),".")</f>
        <v>.</v>
      </c>
      <c r="M5" s="15" t="str">
        <f>IFERROR((s_dir!M5/(d_ss_Bv!L5+s_MLF_cucumber)),".")</f>
        <v>.</v>
      </c>
      <c r="N5" s="15" t="str">
        <f>IFERROR((s_dir!N5/(d_ss_Bv!M5+s_MLF_lettuce)),".")</f>
        <v>.</v>
      </c>
      <c r="O5" s="15" t="str">
        <f>IFERROR((s_dir!O5/(d_ss_Bv!N5+s_MLF_lima_bean)),".")</f>
        <v>.</v>
      </c>
      <c r="P5" s="15" t="str">
        <f>IFERROR((s_dir!P5/(d_ss_Bv!O5+s_MLF_okra)),".")</f>
        <v>.</v>
      </c>
      <c r="Q5" s="15" t="str">
        <f>IFERROR((s_dir!Q5/(d_ss_Bv!P5+s_MLF_onion)),".")</f>
        <v>.</v>
      </c>
      <c r="R5" s="15" t="str">
        <f>IFERROR((s_dir!R5/(d_ss_Bv!Q5+s_MLF_peach)),".")</f>
        <v>.</v>
      </c>
      <c r="S5" s="15" t="str">
        <f>IFERROR((s_dir!S5/(d_ss_Bv!R5+s_MLF_pear)),".")</f>
        <v>.</v>
      </c>
      <c r="T5" s="15" t="str">
        <f>IFERROR((s_dir!T5/(d_ss_Bv!S5+s_MLF_peas)),".")</f>
        <v>.</v>
      </c>
      <c r="U5" s="15" t="str">
        <f>IFERROR((s_dir!U5/(d_ss_Bv!T5+s_MLF_potato)),".")</f>
        <v>.</v>
      </c>
      <c r="V5" s="15" t="str">
        <f>IFERROR((s_dir!V5/(d_ss_Bv!U5+s_MLF_pumpkin)),".")</f>
        <v>.</v>
      </c>
      <c r="W5" s="15" t="str">
        <f>IFERROR((s_dir!W5/(d_ss_Bv!V5+s_MLF_snap_bean)),".")</f>
        <v>.</v>
      </c>
      <c r="X5" s="15" t="str">
        <f>IFERROR((s_dir!X5/(d_ss_Bv!W5+s_MLF_strawberry)),".")</f>
        <v>.</v>
      </c>
      <c r="Y5" s="15" t="str">
        <f>IFERROR((s_dir!Y5/(d_ss_Bv!X5+s_MLF_tomato)),".")</f>
        <v>.</v>
      </c>
      <c r="Z5" s="15" t="str">
        <f>IFERROR((s_dir!Z5/(d_ss_Bv!Y5+s_MLF_rice)),".")</f>
        <v>.</v>
      </c>
      <c r="AA5" s="15" t="str">
        <f>IFERROR((s_dir!AA5/(d_ss_Bv!Z5+s_MLF_cereal)),".")</f>
        <v>.</v>
      </c>
      <c r="AB5" s="40">
        <f t="shared" si="3"/>
        <v>11742.500000000002</v>
      </c>
      <c r="AC5" s="40">
        <f>s_C*(d_ss_Bv!C5+s_MLF_apple)*s_IFAP_res_adj*s_CF_apple</f>
        <v>2935.6250000000005</v>
      </c>
      <c r="AD5" s="40">
        <f>s_C*(d_ss_Bv!D5+s_MLF_asparagus)*s_IFAS_res_adj*s_CF_asparagus</f>
        <v>2935.6250000000005</v>
      </c>
      <c r="AE5" s="40">
        <f>s_C*(d_ss_Bv!E5+s_MLF_beet)*s_IFBT_res_adj*s_CF_beet</f>
        <v>2935.6250000000005</v>
      </c>
      <c r="AF5" s="40">
        <f>s_C*(d_ss_Bv!F5+s_MLF_berries)*s_IFBE_res_adj*s_CF_berries</f>
        <v>2935.6250000000005</v>
      </c>
      <c r="AG5" s="40">
        <f>s_C*(d_ss_Bv!G5+s_MLF_broccoli)*s_IFBR_res_adj*s_CF_broccoli</f>
        <v>2935.6250000000005</v>
      </c>
      <c r="AH5" s="40">
        <f>s_C*(d_ss_Bv!H5+s_MLF_cabbage)*s_IFCB_res_adj*s_CF_cabbage</f>
        <v>2935.6250000000005</v>
      </c>
      <c r="AI5" s="40">
        <f>s_C*(d_ss_Bv!I5+s_MLF_carrot)*s_IFCR_res_adj*s_CF_carrot</f>
        <v>2935.6250000000005</v>
      </c>
      <c r="AJ5" s="40">
        <f>s_C*(d_ss_Bv!J5+s_MLF_citrus)*s_IFCI_res_adj*s_CF_citrus</f>
        <v>2935.6250000000005</v>
      </c>
      <c r="AK5" s="40">
        <f>s_C*(d_ss_Bv!K5+s_MLF_corn)*s_IFCO_res_adj*s_CF_corn</f>
        <v>2935.6250000000005</v>
      </c>
      <c r="AL5" s="40">
        <f>s_C*(d_ss_Bv!L5+s_MLF_cucumber)*s_IFCU_res_adj*s_CF_cucumber</f>
        <v>2935.6250000000005</v>
      </c>
      <c r="AM5" s="40">
        <f>s_C*(d_ss_Bv!M5+s_MLF_lettuce)*s_IFLE_res_adj*s_CF_lettuce</f>
        <v>2935.6250000000005</v>
      </c>
      <c r="AN5" s="40">
        <f>s_C*(d_ss_Bv!N5+s_MLF_lima_bean)*s_IFLI_res_adj*s_CF_lima_bean</f>
        <v>2935.6250000000005</v>
      </c>
      <c r="AO5" s="40">
        <f>s_C*(d_ss_Bv!O5+s_MLF_okra)*s_IFOK_res_adj*s_CF_okra</f>
        <v>2935.6250000000005</v>
      </c>
      <c r="AP5" s="40">
        <f>s_C*(d_ss_Bv!P5+s_MLF_onion)*s_IFON_res_adj*s_CF_onion</f>
        <v>2935.6250000000005</v>
      </c>
      <c r="AQ5" s="40">
        <f>s_C*(d_ss_Bv!Q5+s_MLF_peach)*s_IFPC_res_adj*s_CF_peach</f>
        <v>2935.6250000000005</v>
      </c>
      <c r="AR5" s="40">
        <f>s_C*(d_ss_Bv!R5+s_MLF_pear)*s_IFPR_res_adj*s_CF_pear</f>
        <v>2935.6250000000005</v>
      </c>
      <c r="AS5" s="40">
        <f>s_C*(d_ss_Bv!S5+s_MLF_peas)*s_IFPE_res_adj*s_CF_peas</f>
        <v>2935.6250000000005</v>
      </c>
      <c r="AT5" s="40">
        <f>s_C*(d_ss_Bv!T5+s_MLF_potato)*s_IFPT_res_adj*s_CF_potato</f>
        <v>2935.6250000000005</v>
      </c>
      <c r="AU5" s="40">
        <f>s_C*(d_ss_Bv!U5+s_MLF_pumpkin)*s_IFPU_res_adj*s_CF_pumpkin</f>
        <v>2935.6250000000005</v>
      </c>
      <c r="AV5" s="40">
        <f>s_C*(d_ss_Bv!V5+s_MLF_snap_bean)*s_IFSN_res_adj*s_CF_snap_bean</f>
        <v>2935.6250000000005</v>
      </c>
      <c r="AW5" s="40">
        <f>s_C*(d_ss_Bv!W5+s_MLF_strawberry)*s_IFST_res_adj*s_CF_strawberry</f>
        <v>2935.6250000000005</v>
      </c>
      <c r="AX5" s="40">
        <f>s_C*(d_ss_Bv!X5+s_MLF_tomato)*s_IFTO_res_adj*s_CF_tomato</f>
        <v>2935.6250000000005</v>
      </c>
      <c r="AY5" s="40">
        <f>s_C*(d_ss_Bv!Y5+s_MLF_rice)*s_IFRI_res_adj*s_CF_rice</f>
        <v>2935.6250000000005</v>
      </c>
      <c r="AZ5" s="40">
        <f>s_C*(d_ss_Bv!Z5+s_MLF_cereal)*s_IFCG_res_adj*s_CF_cereal</f>
        <v>2935.6250000000005</v>
      </c>
      <c r="BA5" s="15" t="str">
        <f t="shared" si="4"/>
        <v>.</v>
      </c>
      <c r="BB5" s="15" t="str">
        <f>IFERROR((s_dir!AC5/(d_ss_Bv!C5+s_MLF_apple)),".")</f>
        <v>.</v>
      </c>
      <c r="BC5" s="15" t="str">
        <f>IFERROR((s_dir!AD5/(d_ss_Bv!D5+s_MLF_asparagus)),".")</f>
        <v>.</v>
      </c>
      <c r="BD5" s="15" t="str">
        <f>IFERROR((s_dir!AE5/(d_ss_Bv!E5+s_MLF_beet)),".")</f>
        <v>.</v>
      </c>
      <c r="BE5" s="15" t="str">
        <f>IFERROR((s_dir!AF5/(d_ss_Bv!F5+s_MLF_berries)),".")</f>
        <v>.</v>
      </c>
      <c r="BF5" s="15" t="str">
        <f>IFERROR((s_dir!AG5/(d_ss_Bv!G5+s_MLF_broccoli)),".")</f>
        <v>.</v>
      </c>
      <c r="BG5" s="15" t="str">
        <f>IFERROR((s_dir!AH5/(d_ss_Bv!H5+s_MLF_cabbage)),".")</f>
        <v>.</v>
      </c>
      <c r="BH5" s="15" t="str">
        <f>IFERROR((s_dir!AI5/(d_ss_Bv!I5+s_MLF_carrot)),".")</f>
        <v>.</v>
      </c>
      <c r="BI5" s="15" t="str">
        <f>IFERROR((s_dir!AJ5/(d_ss_Bv!J5+s_MLF_citrus)),".")</f>
        <v>.</v>
      </c>
      <c r="BJ5" s="15" t="str">
        <f>IFERROR((s_dir!AK5/(d_ss_Bv!K5+s_MLF_corn)),".")</f>
        <v>.</v>
      </c>
      <c r="BK5" s="15" t="str">
        <f>IFERROR((s_dir!AL5/(d_ss_Bv!L5+s_MLF_cucumber)),".")</f>
        <v>.</v>
      </c>
      <c r="BL5" s="15" t="str">
        <f>IFERROR((s_dir!AM5/(d_ss_Bv!M5+s_MLF_lettuce)),".")</f>
        <v>.</v>
      </c>
      <c r="BM5" s="15" t="str">
        <f>IFERROR((s_dir!AN5/(d_ss_Bv!N5+s_MLF_lima_bean)),".")</f>
        <v>.</v>
      </c>
      <c r="BN5" s="15" t="str">
        <f>IFERROR((s_dir!AO5/(d_ss_Bv!O5+s_MLF_okra)),".")</f>
        <v>.</v>
      </c>
      <c r="BO5" s="15" t="str">
        <f>IFERROR((s_dir!AP5/(d_ss_Bv!P5+s_MLF_onion)),".")</f>
        <v>.</v>
      </c>
      <c r="BP5" s="15" t="str">
        <f>IFERROR((s_dir!AQ5/(d_ss_Bv!Q5+s_MLF_peach)),".")</f>
        <v>.</v>
      </c>
      <c r="BQ5" s="15" t="str">
        <f>IFERROR((s_dir!AR5/(d_ss_Bv!R5+s_MLF_pear)),".")</f>
        <v>.</v>
      </c>
      <c r="BR5" s="15" t="str">
        <f>IFERROR((s_dir!AS5/(d_ss_Bv!S5+s_MLF_peas)),".")</f>
        <v>.</v>
      </c>
      <c r="BS5" s="15" t="str">
        <f>IFERROR((s_dir!AT5/(d_ss_Bv!T5+s_MLF_potato)),".")</f>
        <v>.</v>
      </c>
      <c r="BT5" s="15" t="str">
        <f>IFERROR((s_dir!AU5/(d_ss_Bv!U5+s_MLF_pumpkin)),".")</f>
        <v>.</v>
      </c>
      <c r="BU5" s="15" t="str">
        <f>IFERROR((s_dir!AV5/(d_ss_Bv!V5+s_MLF_snap_bean)),".")</f>
        <v>.</v>
      </c>
      <c r="BV5" s="15" t="str">
        <f>IFERROR((s_dir!AW5/(d_ss_Bv!W5+s_MLF_strawberry)),".")</f>
        <v>.</v>
      </c>
      <c r="BW5" s="15" t="str">
        <f>IFERROR((s_dir!AX5/(d_ss_Bv!X5+s_MLF_tomato)),".")</f>
        <v>.</v>
      </c>
      <c r="BX5" s="15" t="str">
        <f>IFERROR((s_dir!AY5/(d_ss_Bv!Y5+s_MLF_rice)),".")</f>
        <v>.</v>
      </c>
      <c r="BY5" s="15" t="str">
        <f>IFERROR((s_dir!AZ5/(d_ss_Bv!Z5+s_MLF_cereal)),".")</f>
        <v>.</v>
      </c>
      <c r="BZ5" s="40">
        <f t="shared" si="5"/>
        <v>11742.500000000002</v>
      </c>
      <c r="CA5" s="40">
        <f>IFERROR(s_C*(d_ss_Bv!C5+s_MLF_apple)*s_IFAP_far_adj*s_CF_apple,".")</f>
        <v>2935.6250000000005</v>
      </c>
      <c r="CB5" s="40">
        <f>IFERROR(s_C*(d_ss_Bv!D5+s_MLF_asparagus)*s_IFAS_far_adj*s_CF_asparagus,".")</f>
        <v>2935.6250000000005</v>
      </c>
      <c r="CC5" s="40">
        <f>IFERROR(s_C*(d_ss_Bv!E5+s_MLF_beet)*s_IFBT_far_adj*s_CF_beet,".")</f>
        <v>2935.6250000000005</v>
      </c>
      <c r="CD5" s="40">
        <f>IFERROR(s_C*(d_ss_Bv!F5+s_MLF_berries)*s_IFBR_far_adj*s_CF_berries,".")</f>
        <v>2935.6250000000005</v>
      </c>
      <c r="CE5" s="40">
        <f>IFERROR(s_C*(d_ss_Bv!G5+s_MLF_broccoli)*s_IFBR_far_adj*s_CF_broccoli,".")</f>
        <v>2935.6250000000005</v>
      </c>
      <c r="CF5" s="40">
        <f>IFERROR(s_C*(d_ss_Bv!H5+s_MLF_cabbage)*s_IFCB_far_adj*s_CF_cabbage,".")</f>
        <v>2935.6250000000005</v>
      </c>
      <c r="CG5" s="40">
        <f>IFERROR(s_C*(d_ss_Bv!I5+s_MLF_carrot)*s_IFCR_far_adj*s_CF_carrot,".")</f>
        <v>2935.6250000000005</v>
      </c>
      <c r="CH5" s="40">
        <f>IFERROR(s_C*(d_ss_Bv!J5+s_MLF_citrus)*s_IFCI_far_adj*s_CF_citrus,".")</f>
        <v>2935.6250000000005</v>
      </c>
      <c r="CI5" s="40">
        <f>IFERROR(s_C*(d_ss_Bv!K5+s_MLF_corn)*s_IFCO_far_adj*s_CF_corn,".")</f>
        <v>2935.6250000000005</v>
      </c>
      <c r="CJ5" s="40">
        <f>IFERROR(s_C*(d_ss_Bv!L5+s_MLF_cucumber)*s_IFCU_far_adj*s_CF_cucumber,".")</f>
        <v>2935.6250000000005</v>
      </c>
      <c r="CK5" s="40">
        <f>IFERROR(s_C*(d_ss_Bv!M5+s_MLF_lettuce)*s_IFLE_far_adj*s_CF_lettuce,".")</f>
        <v>2935.6250000000005</v>
      </c>
      <c r="CL5" s="40">
        <f>IFERROR(s_C*(d_ss_Bv!N5+s_MLF_lima_bean)*s_IFLI_far_adj*s_CF_lima_bean,".")</f>
        <v>2935.6250000000005</v>
      </c>
      <c r="CM5" s="40">
        <f>IFERROR(s_C*(d_ss_Bv!O5+s_MLF_okra)*s_IFOK_far_adj*s_CF_okra,".")</f>
        <v>2935.6250000000005</v>
      </c>
      <c r="CN5" s="40">
        <f>IFERROR(s_C*(d_ss_Bv!P5+s_MLF_onion)*s_IFON_far_adj*s_CF_onion,".")</f>
        <v>2935.6250000000005</v>
      </c>
      <c r="CO5" s="40">
        <f>IFERROR(s_C*(d_ss_Bv!Q5+s_MLF_peach)*s_IFPC_far_adj*s_CF_peach,".")</f>
        <v>2935.6250000000005</v>
      </c>
      <c r="CP5" s="40">
        <f>IFERROR(s_C*(d_ss_Bv!R5+s_MLF_pear)*s_IFPR_far_adj*s_CF_pear,".")</f>
        <v>2935.6250000000005</v>
      </c>
      <c r="CQ5" s="40">
        <f>IFERROR(s_C*(d_ss_Bv!S5+s_MLF_peas)*s_IFPE_far_adj*s_CF_peas,".")</f>
        <v>2935.6250000000005</v>
      </c>
      <c r="CR5" s="40">
        <f>IFERROR(s_C*(d_ss_Bv!T5+s_MLF_potato)*s_IFPT_far_adj*s_CF_potato,".")</f>
        <v>2935.6250000000005</v>
      </c>
      <c r="CS5" s="40">
        <f>IFERROR(s_C*(d_ss_Bv!U5+s_MLF_pumpkin)*s_IFPU_far_adj*s_CF_pumpkin,".")</f>
        <v>2935.6250000000005</v>
      </c>
      <c r="CT5" s="40">
        <f>IFERROR(s_C*(d_ss_Bv!V5+s_MLF_snap_bean)*s_IFSN_far_adj*s_CF_snap_bean,".")</f>
        <v>2935.6250000000005</v>
      </c>
      <c r="CU5" s="40">
        <f>IFERROR(s_C*(d_ss_Bv!W5+s_MLF_strawberry)*s_IFST_far_adj*s_CF_strawberry,".")</f>
        <v>2935.6250000000005</v>
      </c>
      <c r="CV5" s="40">
        <f>IFERROR(s_C*(d_ss_Bv!X5+s_MLF_tomato)*s_IFTO_far_adj*s_CF_tomato,".")</f>
        <v>2935.6250000000005</v>
      </c>
      <c r="CW5" s="40">
        <f>IFERROR(s_C*(d_ss_Bv!Y5+s_MLF_rice)*s_IFRI_far_adj*s_CF_rice,".")</f>
        <v>2935.6250000000005</v>
      </c>
      <c r="CX5" s="40">
        <f>IFERROR(s_C*(d_ss_Bv!Z5+s_MLF_cereal)*s_IFCG_far_adj*s_CF_cereal,".")</f>
        <v>2935.6250000000005</v>
      </c>
    </row>
    <row r="6" spans="1:102" ht="15" customHeight="1" x14ac:dyDescent="0.25">
      <c r="A6" s="44" t="s">
        <v>16</v>
      </c>
      <c r="B6" s="42" t="s">
        <v>1074</v>
      </c>
      <c r="C6" s="15" t="str">
        <f t="shared" si="2"/>
        <v>.</v>
      </c>
      <c r="D6" s="15" t="str">
        <f>IFERROR((s_dir!D6/(d_ss_Bv!C6+s_MLF_apple)),".")</f>
        <v>.</v>
      </c>
      <c r="E6" s="15" t="str">
        <f>IFERROR((s_dir!E6/(d_ss_Bv!D6+s_MLF_asparagus)),".")</f>
        <v>.</v>
      </c>
      <c r="F6" s="15" t="str">
        <f>IFERROR((s_dir!F6/(d_ss_Bv!E6+s_MLF_beet)),".")</f>
        <v>.</v>
      </c>
      <c r="G6" s="15" t="str">
        <f>IFERROR((s_dir!G6/(d_ss_Bv!F6+s_MLF_berries)),".")</f>
        <v>.</v>
      </c>
      <c r="H6" s="15" t="str">
        <f>IFERROR((s_dir!H6/(d_ss_Bv!G6+s_MLF_broccoli)),".")</f>
        <v>.</v>
      </c>
      <c r="I6" s="15" t="str">
        <f>IFERROR((s_dir!I6/(d_ss_Bv!H6+s_MLF_cabbage)),".")</f>
        <v>.</v>
      </c>
      <c r="J6" s="15" t="str">
        <f>IFERROR((s_dir!J6/(d_ss_Bv!I6+s_MLF_carrot)),".")</f>
        <v>.</v>
      </c>
      <c r="K6" s="15" t="str">
        <f>IFERROR((s_dir!K6/(d_ss_Bv!J6+s_MLF_citrus)),".")</f>
        <v>.</v>
      </c>
      <c r="L6" s="15" t="str">
        <f>IFERROR((s_dir!L6/(d_ss_Bv!K6+s_MLF_corn)),".")</f>
        <v>.</v>
      </c>
      <c r="M6" s="15" t="str">
        <f>IFERROR((s_dir!M6/(d_ss_Bv!L6+s_MLF_cucumber)),".")</f>
        <v>.</v>
      </c>
      <c r="N6" s="15" t="str">
        <f>IFERROR((s_dir!N6/(d_ss_Bv!M6+s_MLF_lettuce)),".")</f>
        <v>.</v>
      </c>
      <c r="O6" s="15" t="str">
        <f>IFERROR((s_dir!O6/(d_ss_Bv!N6+s_MLF_lima_bean)),".")</f>
        <v>.</v>
      </c>
      <c r="P6" s="15" t="str">
        <f>IFERROR((s_dir!P6/(d_ss_Bv!O6+s_MLF_okra)),".")</f>
        <v>.</v>
      </c>
      <c r="Q6" s="15" t="str">
        <f>IFERROR((s_dir!Q6/(d_ss_Bv!P6+s_MLF_onion)),".")</f>
        <v>.</v>
      </c>
      <c r="R6" s="15" t="str">
        <f>IFERROR((s_dir!R6/(d_ss_Bv!Q6+s_MLF_peach)),".")</f>
        <v>.</v>
      </c>
      <c r="S6" s="15" t="str">
        <f>IFERROR((s_dir!S6/(d_ss_Bv!R6+s_MLF_pear)),".")</f>
        <v>.</v>
      </c>
      <c r="T6" s="15" t="str">
        <f>IFERROR((s_dir!T6/(d_ss_Bv!S6+s_MLF_peas)),".")</f>
        <v>.</v>
      </c>
      <c r="U6" s="15" t="str">
        <f>IFERROR((s_dir!U6/(d_ss_Bv!T6+s_MLF_potato)),".")</f>
        <v>.</v>
      </c>
      <c r="V6" s="15" t="str">
        <f>IFERROR((s_dir!V6/(d_ss_Bv!U6+s_MLF_pumpkin)),".")</f>
        <v>.</v>
      </c>
      <c r="W6" s="15" t="str">
        <f>IFERROR((s_dir!W6/(d_ss_Bv!V6+s_MLF_snap_bean)),".")</f>
        <v>.</v>
      </c>
      <c r="X6" s="15" t="str">
        <f>IFERROR((s_dir!X6/(d_ss_Bv!W6+s_MLF_strawberry)),".")</f>
        <v>.</v>
      </c>
      <c r="Y6" s="15" t="str">
        <f>IFERROR((s_dir!Y6/(d_ss_Bv!X6+s_MLF_tomato)),".")</f>
        <v>.</v>
      </c>
      <c r="Z6" s="15" t="str">
        <f>IFERROR((s_dir!Z6/(d_ss_Bv!Y6+s_MLF_rice)),".")</f>
        <v>.</v>
      </c>
      <c r="AA6" s="15" t="str">
        <f>IFERROR((s_dir!AA6/(d_ss_Bv!Z6+s_MLF_cereal)),".")</f>
        <v>.</v>
      </c>
      <c r="AB6" s="40">
        <f t="shared" si="3"/>
        <v>975.42499999999995</v>
      </c>
      <c r="AC6" s="40">
        <f>s_C*(d_ss_Bv!C6+s_MLF_apple)*s_IFAP_res_adj*s_CF_apple</f>
        <v>323.125</v>
      </c>
      <c r="AD6" s="40">
        <f>s_C*(d_ss_Bv!D6+s_MLF_asparagus)*s_IFAS_res_adj*s_CF_asparagus</f>
        <v>254.375</v>
      </c>
      <c r="AE6" s="40">
        <f>s_C*(d_ss_Bv!E6+s_MLF_beet)*s_IFBT_res_adj*s_CF_beet</f>
        <v>254.375</v>
      </c>
      <c r="AF6" s="40">
        <f>s_C*(d_ss_Bv!F6+s_MLF_berries)*s_IFBE_res_adj*s_CF_berries</f>
        <v>323.125</v>
      </c>
      <c r="AG6" s="40">
        <f>s_C*(d_ss_Bv!G6+s_MLF_broccoli)*s_IFBR_res_adj*s_CF_broccoli</f>
        <v>323.125</v>
      </c>
      <c r="AH6" s="40">
        <f>s_C*(d_ss_Bv!H6+s_MLF_cabbage)*s_IFCB_res_adj*s_CF_cabbage</f>
        <v>254.375</v>
      </c>
      <c r="AI6" s="40">
        <f>s_C*(d_ss_Bv!I6+s_MLF_carrot)*s_IFCR_res_adj*s_CF_carrot</f>
        <v>254.375</v>
      </c>
      <c r="AJ6" s="40">
        <f>s_C*(d_ss_Bv!J6+s_MLF_citrus)*s_IFCI_res_adj*s_CF_citrus</f>
        <v>323.125</v>
      </c>
      <c r="AK6" s="40">
        <f>s_C*(d_ss_Bv!K6+s_MLF_corn)*s_IFCO_res_adj*s_CF_corn</f>
        <v>323.125</v>
      </c>
      <c r="AL6" s="40">
        <f>s_C*(d_ss_Bv!L6+s_MLF_cucumber)*s_IFCU_res_adj*s_CF_cucumber</f>
        <v>323.125</v>
      </c>
      <c r="AM6" s="40">
        <f>s_C*(d_ss_Bv!M6+s_MLF_lettuce)*s_IFLE_res_adj*s_CF_lettuce</f>
        <v>254.375</v>
      </c>
      <c r="AN6" s="40">
        <f>s_C*(d_ss_Bv!N6+s_MLF_lima_bean)*s_IFLI_res_adj*s_CF_lima_bean</f>
        <v>323.125</v>
      </c>
      <c r="AO6" s="40">
        <f>s_C*(d_ss_Bv!O6+s_MLF_okra)*s_IFOK_res_adj*s_CF_okra</f>
        <v>323.125</v>
      </c>
      <c r="AP6" s="40">
        <f>s_C*(d_ss_Bv!P6+s_MLF_onion)*s_IFON_res_adj*s_CF_onion</f>
        <v>323.125</v>
      </c>
      <c r="AQ6" s="40">
        <f>s_C*(d_ss_Bv!Q6+s_MLF_peach)*s_IFPC_res_adj*s_CF_peach</f>
        <v>323.125</v>
      </c>
      <c r="AR6" s="40">
        <f>s_C*(d_ss_Bv!R6+s_MLF_pear)*s_IFPR_res_adj*s_CF_pear</f>
        <v>323.125</v>
      </c>
      <c r="AS6" s="40">
        <f>s_C*(d_ss_Bv!S6+s_MLF_peas)*s_IFPE_res_adj*s_CF_peas</f>
        <v>323.125</v>
      </c>
      <c r="AT6" s="40">
        <f>s_C*(d_ss_Bv!T6+s_MLF_potato)*s_IFPT_res_adj*s_CF_potato</f>
        <v>254.375</v>
      </c>
      <c r="AU6" s="40">
        <f>s_C*(d_ss_Bv!U6+s_MLF_pumpkin)*s_IFPU_res_adj*s_CF_pumpkin</f>
        <v>323.125</v>
      </c>
      <c r="AV6" s="40">
        <f>s_C*(d_ss_Bv!V6+s_MLF_snap_bean)*s_IFSN_res_adj*s_CF_snap_bean</f>
        <v>323.125</v>
      </c>
      <c r="AW6" s="40">
        <f>s_C*(d_ss_Bv!W6+s_MLF_strawberry)*s_IFST_res_adj*s_CF_strawberry</f>
        <v>323.125</v>
      </c>
      <c r="AX6" s="40">
        <f>s_C*(d_ss_Bv!X6+s_MLF_tomato)*s_IFTO_res_adj*s_CF_tomato</f>
        <v>323.125</v>
      </c>
      <c r="AY6" s="40">
        <f>s_C*(d_ss_Bv!Y6+s_MLF_rice)*s_IFRI_res_adj*s_CF_rice</f>
        <v>198.55</v>
      </c>
      <c r="AZ6" s="40">
        <f>s_C*(d_ss_Bv!Z6+s_MLF_cereal)*s_IFCG_res_adj*s_CF_cereal</f>
        <v>199.375</v>
      </c>
      <c r="BA6" s="15" t="str">
        <f t="shared" si="4"/>
        <v>.</v>
      </c>
      <c r="BB6" s="15" t="str">
        <f>IFERROR((s_dir!AC6/(d_ss_Bv!C6+s_MLF_apple)),".")</f>
        <v>.</v>
      </c>
      <c r="BC6" s="15" t="str">
        <f>IFERROR((s_dir!AD6/(d_ss_Bv!D6+s_MLF_asparagus)),".")</f>
        <v>.</v>
      </c>
      <c r="BD6" s="15" t="str">
        <f>IFERROR((s_dir!AE6/(d_ss_Bv!E6+s_MLF_beet)),".")</f>
        <v>.</v>
      </c>
      <c r="BE6" s="15" t="str">
        <f>IFERROR((s_dir!AF6/(d_ss_Bv!F6+s_MLF_berries)),".")</f>
        <v>.</v>
      </c>
      <c r="BF6" s="15" t="str">
        <f>IFERROR((s_dir!AG6/(d_ss_Bv!G6+s_MLF_broccoli)),".")</f>
        <v>.</v>
      </c>
      <c r="BG6" s="15" t="str">
        <f>IFERROR((s_dir!AH6/(d_ss_Bv!H6+s_MLF_cabbage)),".")</f>
        <v>.</v>
      </c>
      <c r="BH6" s="15" t="str">
        <f>IFERROR((s_dir!AI6/(d_ss_Bv!I6+s_MLF_carrot)),".")</f>
        <v>.</v>
      </c>
      <c r="BI6" s="15" t="str">
        <f>IFERROR((s_dir!AJ6/(d_ss_Bv!J6+s_MLF_citrus)),".")</f>
        <v>.</v>
      </c>
      <c r="BJ6" s="15" t="str">
        <f>IFERROR((s_dir!AK6/(d_ss_Bv!K6+s_MLF_corn)),".")</f>
        <v>.</v>
      </c>
      <c r="BK6" s="15" t="str">
        <f>IFERROR((s_dir!AL6/(d_ss_Bv!L6+s_MLF_cucumber)),".")</f>
        <v>.</v>
      </c>
      <c r="BL6" s="15" t="str">
        <f>IFERROR((s_dir!AM6/(d_ss_Bv!M6+s_MLF_lettuce)),".")</f>
        <v>.</v>
      </c>
      <c r="BM6" s="15" t="str">
        <f>IFERROR((s_dir!AN6/(d_ss_Bv!N6+s_MLF_lima_bean)),".")</f>
        <v>.</v>
      </c>
      <c r="BN6" s="15" t="str">
        <f>IFERROR((s_dir!AO6/(d_ss_Bv!O6+s_MLF_okra)),".")</f>
        <v>.</v>
      </c>
      <c r="BO6" s="15" t="str">
        <f>IFERROR((s_dir!AP6/(d_ss_Bv!P6+s_MLF_onion)),".")</f>
        <v>.</v>
      </c>
      <c r="BP6" s="15" t="str">
        <f>IFERROR((s_dir!AQ6/(d_ss_Bv!Q6+s_MLF_peach)),".")</f>
        <v>.</v>
      </c>
      <c r="BQ6" s="15" t="str">
        <f>IFERROR((s_dir!AR6/(d_ss_Bv!R6+s_MLF_pear)),".")</f>
        <v>.</v>
      </c>
      <c r="BR6" s="15" t="str">
        <f>IFERROR((s_dir!AS6/(d_ss_Bv!S6+s_MLF_peas)),".")</f>
        <v>.</v>
      </c>
      <c r="BS6" s="15" t="str">
        <f>IFERROR((s_dir!AT6/(d_ss_Bv!T6+s_MLF_potato)),".")</f>
        <v>.</v>
      </c>
      <c r="BT6" s="15" t="str">
        <f>IFERROR((s_dir!AU6/(d_ss_Bv!U6+s_MLF_pumpkin)),".")</f>
        <v>.</v>
      </c>
      <c r="BU6" s="15" t="str">
        <f>IFERROR((s_dir!AV6/(d_ss_Bv!V6+s_MLF_snap_bean)),".")</f>
        <v>.</v>
      </c>
      <c r="BV6" s="15" t="str">
        <f>IFERROR((s_dir!AW6/(d_ss_Bv!W6+s_MLF_strawberry)),".")</f>
        <v>.</v>
      </c>
      <c r="BW6" s="15" t="str">
        <f>IFERROR((s_dir!AX6/(d_ss_Bv!X6+s_MLF_tomato)),".")</f>
        <v>.</v>
      </c>
      <c r="BX6" s="15" t="str">
        <f>IFERROR((s_dir!AY6/(d_ss_Bv!Y6+s_MLF_rice)),".")</f>
        <v>.</v>
      </c>
      <c r="BY6" s="15" t="str">
        <f>IFERROR((s_dir!AZ6/(d_ss_Bv!Z6+s_MLF_cereal)),".")</f>
        <v>.</v>
      </c>
      <c r="BZ6" s="40">
        <f t="shared" si="5"/>
        <v>975.42499999999995</v>
      </c>
      <c r="CA6" s="40">
        <f>IFERROR(s_C*(d_ss_Bv!C6+s_MLF_apple)*s_IFAP_far_adj*s_CF_apple,".")</f>
        <v>323.125</v>
      </c>
      <c r="CB6" s="40">
        <f>IFERROR(s_C*(d_ss_Bv!D6+s_MLF_asparagus)*s_IFAS_far_adj*s_CF_asparagus,".")</f>
        <v>254.375</v>
      </c>
      <c r="CC6" s="40">
        <f>IFERROR(s_C*(d_ss_Bv!E6+s_MLF_beet)*s_IFBT_far_adj*s_CF_beet,".")</f>
        <v>254.375</v>
      </c>
      <c r="CD6" s="40">
        <f>IFERROR(s_C*(d_ss_Bv!F6+s_MLF_berries)*s_IFBR_far_adj*s_CF_berries,".")</f>
        <v>323.125</v>
      </c>
      <c r="CE6" s="40">
        <f>IFERROR(s_C*(d_ss_Bv!G6+s_MLF_broccoli)*s_IFBR_far_adj*s_CF_broccoli,".")</f>
        <v>323.125</v>
      </c>
      <c r="CF6" s="40">
        <f>IFERROR(s_C*(d_ss_Bv!H6+s_MLF_cabbage)*s_IFCB_far_adj*s_CF_cabbage,".")</f>
        <v>254.375</v>
      </c>
      <c r="CG6" s="40">
        <f>IFERROR(s_C*(d_ss_Bv!I6+s_MLF_carrot)*s_IFCR_far_adj*s_CF_carrot,".")</f>
        <v>254.375</v>
      </c>
      <c r="CH6" s="40">
        <f>IFERROR(s_C*(d_ss_Bv!J6+s_MLF_citrus)*s_IFCI_far_adj*s_CF_citrus,".")</f>
        <v>323.125</v>
      </c>
      <c r="CI6" s="40">
        <f>IFERROR(s_C*(d_ss_Bv!K6+s_MLF_corn)*s_IFCO_far_adj*s_CF_corn,".")</f>
        <v>323.125</v>
      </c>
      <c r="CJ6" s="40">
        <f>IFERROR(s_C*(d_ss_Bv!L6+s_MLF_cucumber)*s_IFCU_far_adj*s_CF_cucumber,".")</f>
        <v>323.125</v>
      </c>
      <c r="CK6" s="40">
        <f>IFERROR(s_C*(d_ss_Bv!M6+s_MLF_lettuce)*s_IFLE_far_adj*s_CF_lettuce,".")</f>
        <v>254.375</v>
      </c>
      <c r="CL6" s="40">
        <f>IFERROR(s_C*(d_ss_Bv!N6+s_MLF_lima_bean)*s_IFLI_far_adj*s_CF_lima_bean,".")</f>
        <v>323.125</v>
      </c>
      <c r="CM6" s="40">
        <f>IFERROR(s_C*(d_ss_Bv!O6+s_MLF_okra)*s_IFOK_far_adj*s_CF_okra,".")</f>
        <v>323.125</v>
      </c>
      <c r="CN6" s="40">
        <f>IFERROR(s_C*(d_ss_Bv!P6+s_MLF_onion)*s_IFON_far_adj*s_CF_onion,".")</f>
        <v>323.125</v>
      </c>
      <c r="CO6" s="40">
        <f>IFERROR(s_C*(d_ss_Bv!Q6+s_MLF_peach)*s_IFPC_far_adj*s_CF_peach,".")</f>
        <v>323.125</v>
      </c>
      <c r="CP6" s="40">
        <f>IFERROR(s_C*(d_ss_Bv!R6+s_MLF_pear)*s_IFPR_far_adj*s_CF_pear,".")</f>
        <v>323.125</v>
      </c>
      <c r="CQ6" s="40">
        <f>IFERROR(s_C*(d_ss_Bv!S6+s_MLF_peas)*s_IFPE_far_adj*s_CF_peas,".")</f>
        <v>323.125</v>
      </c>
      <c r="CR6" s="40">
        <f>IFERROR(s_C*(d_ss_Bv!T6+s_MLF_potato)*s_IFPT_far_adj*s_CF_potato,".")</f>
        <v>254.375</v>
      </c>
      <c r="CS6" s="40">
        <f>IFERROR(s_C*(d_ss_Bv!U6+s_MLF_pumpkin)*s_IFPU_far_adj*s_CF_pumpkin,".")</f>
        <v>323.125</v>
      </c>
      <c r="CT6" s="40">
        <f>IFERROR(s_C*(d_ss_Bv!V6+s_MLF_snap_bean)*s_IFSN_far_adj*s_CF_snap_bean,".")</f>
        <v>323.125</v>
      </c>
      <c r="CU6" s="40">
        <f>IFERROR(s_C*(d_ss_Bv!W6+s_MLF_strawberry)*s_IFST_far_adj*s_CF_strawberry,".")</f>
        <v>323.125</v>
      </c>
      <c r="CV6" s="40">
        <f>IFERROR(s_C*(d_ss_Bv!X6+s_MLF_tomato)*s_IFTO_far_adj*s_CF_tomato,".")</f>
        <v>323.125</v>
      </c>
      <c r="CW6" s="40">
        <f>IFERROR(s_C*(d_ss_Bv!Y6+s_MLF_rice)*s_IFRI_far_adj*s_CF_rice,".")</f>
        <v>198.55</v>
      </c>
      <c r="CX6" s="40">
        <f>IFERROR(s_C*(d_ss_Bv!Z6+s_MLF_cereal)*s_IFCG_far_adj*s_CF_cereal,".")</f>
        <v>199.375</v>
      </c>
    </row>
    <row r="7" spans="1:102" ht="15" customHeight="1" x14ac:dyDescent="0.25">
      <c r="A7" s="44" t="s">
        <v>17</v>
      </c>
      <c r="B7" s="42" t="s">
        <v>1074</v>
      </c>
      <c r="C7" s="15">
        <f t="shared" si="2"/>
        <v>61.498860057129974</v>
      </c>
      <c r="D7" s="15">
        <f>IFERROR((s_dir!D7/(d_ss_Bv!C7+s_MLF_apple)),".")</f>
        <v>245.9954402285199</v>
      </c>
      <c r="E7" s="15">
        <f>IFERROR((s_dir!E7/(d_ss_Bv!D7+s_MLF_asparagus)),".")</f>
        <v>245.9954402285199</v>
      </c>
      <c r="F7" s="15">
        <f>IFERROR((s_dir!F7/(d_ss_Bv!E7+s_MLF_beet)),".")</f>
        <v>245.9954402285199</v>
      </c>
      <c r="G7" s="15">
        <f>IFERROR((s_dir!G7/(d_ss_Bv!F7+s_MLF_berries)),".")</f>
        <v>245.9954402285199</v>
      </c>
      <c r="H7" s="15">
        <f>IFERROR((s_dir!H7/(d_ss_Bv!G7+s_MLF_broccoli)),".")</f>
        <v>245.9954402285199</v>
      </c>
      <c r="I7" s="15">
        <f>IFERROR((s_dir!I7/(d_ss_Bv!H7+s_MLF_cabbage)),".")</f>
        <v>245.9954402285199</v>
      </c>
      <c r="J7" s="15">
        <f>IFERROR((s_dir!J7/(d_ss_Bv!I7+s_MLF_carrot)),".")</f>
        <v>245.9954402285199</v>
      </c>
      <c r="K7" s="15">
        <f>IFERROR((s_dir!K7/(d_ss_Bv!J7+s_MLF_citrus)),".")</f>
        <v>245.9954402285199</v>
      </c>
      <c r="L7" s="15">
        <f>IFERROR((s_dir!L7/(d_ss_Bv!K7+s_MLF_corn)),".")</f>
        <v>245.9954402285199</v>
      </c>
      <c r="M7" s="15">
        <f>IFERROR((s_dir!M7/(d_ss_Bv!L7+s_MLF_cucumber)),".")</f>
        <v>245.9954402285199</v>
      </c>
      <c r="N7" s="15">
        <f>IFERROR((s_dir!N7/(d_ss_Bv!M7+s_MLF_lettuce)),".")</f>
        <v>245.9954402285199</v>
      </c>
      <c r="O7" s="15">
        <f>IFERROR((s_dir!O7/(d_ss_Bv!N7+s_MLF_lima_bean)),".")</f>
        <v>245.9954402285199</v>
      </c>
      <c r="P7" s="15">
        <f>IFERROR((s_dir!P7/(d_ss_Bv!O7+s_MLF_okra)),".")</f>
        <v>245.9954402285199</v>
      </c>
      <c r="Q7" s="15">
        <f>IFERROR((s_dir!Q7/(d_ss_Bv!P7+s_MLF_onion)),".")</f>
        <v>245.9954402285199</v>
      </c>
      <c r="R7" s="15">
        <f>IFERROR((s_dir!R7/(d_ss_Bv!Q7+s_MLF_peach)),".")</f>
        <v>245.9954402285199</v>
      </c>
      <c r="S7" s="15">
        <f>IFERROR((s_dir!S7/(d_ss_Bv!R7+s_MLF_pear)),".")</f>
        <v>245.9954402285199</v>
      </c>
      <c r="T7" s="15">
        <f>IFERROR((s_dir!T7/(d_ss_Bv!S7+s_MLF_peas)),".")</f>
        <v>245.9954402285199</v>
      </c>
      <c r="U7" s="15">
        <f>IFERROR((s_dir!U7/(d_ss_Bv!T7+s_MLF_potato)),".")</f>
        <v>245.9954402285199</v>
      </c>
      <c r="V7" s="15">
        <f>IFERROR((s_dir!V7/(d_ss_Bv!U7+s_MLF_pumpkin)),".")</f>
        <v>245.9954402285199</v>
      </c>
      <c r="W7" s="15">
        <f>IFERROR((s_dir!W7/(d_ss_Bv!V7+s_MLF_snap_bean)),".")</f>
        <v>245.9954402285199</v>
      </c>
      <c r="X7" s="15">
        <f>IFERROR((s_dir!X7/(d_ss_Bv!W7+s_MLF_strawberry)),".")</f>
        <v>245.9954402285199</v>
      </c>
      <c r="Y7" s="15">
        <f>IFERROR((s_dir!Y7/(d_ss_Bv!X7+s_MLF_tomato)),".")</f>
        <v>245.9954402285199</v>
      </c>
      <c r="Z7" s="15">
        <f>IFERROR((s_dir!Z7/(d_ss_Bv!Y7+s_MLF_rice)),".")</f>
        <v>245.9954402285199</v>
      </c>
      <c r="AA7" s="15">
        <f>IFERROR((s_dir!AA7/(d_ss_Bv!Z7+s_MLF_cereal)),".")</f>
        <v>245.9954402285199</v>
      </c>
      <c r="AB7" s="40">
        <f t="shared" si="3"/>
        <v>6242.5</v>
      </c>
      <c r="AC7" s="40">
        <f>s_C*(d_ss_Bv!C7+s_MLF_apple)*s_IFAP_res_adj*s_CF_apple</f>
        <v>1560.625</v>
      </c>
      <c r="AD7" s="40">
        <f>s_C*(d_ss_Bv!D7+s_MLF_asparagus)*s_IFAS_res_adj*s_CF_asparagus</f>
        <v>1560.625</v>
      </c>
      <c r="AE7" s="40">
        <f>s_C*(d_ss_Bv!E7+s_MLF_beet)*s_IFBT_res_adj*s_CF_beet</f>
        <v>1560.625</v>
      </c>
      <c r="AF7" s="40">
        <f>s_C*(d_ss_Bv!F7+s_MLF_berries)*s_IFBE_res_adj*s_CF_berries</f>
        <v>1560.625</v>
      </c>
      <c r="AG7" s="40">
        <f>s_C*(d_ss_Bv!G7+s_MLF_broccoli)*s_IFBR_res_adj*s_CF_broccoli</f>
        <v>1560.625</v>
      </c>
      <c r="AH7" s="40">
        <f>s_C*(d_ss_Bv!H7+s_MLF_cabbage)*s_IFCB_res_adj*s_CF_cabbage</f>
        <v>1560.625</v>
      </c>
      <c r="AI7" s="40">
        <f>s_C*(d_ss_Bv!I7+s_MLF_carrot)*s_IFCR_res_adj*s_CF_carrot</f>
        <v>1560.625</v>
      </c>
      <c r="AJ7" s="40">
        <f>s_C*(d_ss_Bv!J7+s_MLF_citrus)*s_IFCI_res_adj*s_CF_citrus</f>
        <v>1560.625</v>
      </c>
      <c r="AK7" s="40">
        <f>s_C*(d_ss_Bv!K7+s_MLF_corn)*s_IFCO_res_adj*s_CF_corn</f>
        <v>1560.625</v>
      </c>
      <c r="AL7" s="40">
        <f>s_C*(d_ss_Bv!L7+s_MLF_cucumber)*s_IFCU_res_adj*s_CF_cucumber</f>
        <v>1560.625</v>
      </c>
      <c r="AM7" s="40">
        <f>s_C*(d_ss_Bv!M7+s_MLF_lettuce)*s_IFLE_res_adj*s_CF_lettuce</f>
        <v>1560.625</v>
      </c>
      <c r="AN7" s="40">
        <f>s_C*(d_ss_Bv!N7+s_MLF_lima_bean)*s_IFLI_res_adj*s_CF_lima_bean</f>
        <v>1560.625</v>
      </c>
      <c r="AO7" s="40">
        <f>s_C*(d_ss_Bv!O7+s_MLF_okra)*s_IFOK_res_adj*s_CF_okra</f>
        <v>1560.625</v>
      </c>
      <c r="AP7" s="40">
        <f>s_C*(d_ss_Bv!P7+s_MLF_onion)*s_IFON_res_adj*s_CF_onion</f>
        <v>1560.625</v>
      </c>
      <c r="AQ7" s="40">
        <f>s_C*(d_ss_Bv!Q7+s_MLF_peach)*s_IFPC_res_adj*s_CF_peach</f>
        <v>1560.625</v>
      </c>
      <c r="AR7" s="40">
        <f>s_C*(d_ss_Bv!R7+s_MLF_pear)*s_IFPR_res_adj*s_CF_pear</f>
        <v>1560.625</v>
      </c>
      <c r="AS7" s="40">
        <f>s_C*(d_ss_Bv!S7+s_MLF_peas)*s_IFPE_res_adj*s_CF_peas</f>
        <v>1560.625</v>
      </c>
      <c r="AT7" s="40">
        <f>s_C*(d_ss_Bv!T7+s_MLF_potato)*s_IFPT_res_adj*s_CF_potato</f>
        <v>1560.625</v>
      </c>
      <c r="AU7" s="40">
        <f>s_C*(d_ss_Bv!U7+s_MLF_pumpkin)*s_IFPU_res_adj*s_CF_pumpkin</f>
        <v>1560.625</v>
      </c>
      <c r="AV7" s="40">
        <f>s_C*(d_ss_Bv!V7+s_MLF_snap_bean)*s_IFSN_res_adj*s_CF_snap_bean</f>
        <v>1560.625</v>
      </c>
      <c r="AW7" s="40">
        <f>s_C*(d_ss_Bv!W7+s_MLF_strawberry)*s_IFST_res_adj*s_CF_strawberry</f>
        <v>1560.625</v>
      </c>
      <c r="AX7" s="40">
        <f>s_C*(d_ss_Bv!X7+s_MLF_tomato)*s_IFTO_res_adj*s_CF_tomato</f>
        <v>1560.625</v>
      </c>
      <c r="AY7" s="40">
        <f>s_C*(d_ss_Bv!Y7+s_MLF_rice)*s_IFRI_res_adj*s_CF_rice</f>
        <v>1560.625</v>
      </c>
      <c r="AZ7" s="40">
        <f>s_C*(d_ss_Bv!Z7+s_MLF_cereal)*s_IFCG_res_adj*s_CF_cereal</f>
        <v>1560.625</v>
      </c>
      <c r="BA7" s="15">
        <f t="shared" si="4"/>
        <v>61.498860057129974</v>
      </c>
      <c r="BB7" s="15">
        <f>IFERROR((s_dir!AC7/(d_ss_Bv!C7+s_MLF_apple)),".")</f>
        <v>245.9954402285199</v>
      </c>
      <c r="BC7" s="15">
        <f>IFERROR((s_dir!AD7/(d_ss_Bv!D7+s_MLF_asparagus)),".")</f>
        <v>245.9954402285199</v>
      </c>
      <c r="BD7" s="15">
        <f>IFERROR((s_dir!AE7/(d_ss_Bv!E7+s_MLF_beet)),".")</f>
        <v>245.9954402285199</v>
      </c>
      <c r="BE7" s="15">
        <f>IFERROR((s_dir!AF7/(d_ss_Bv!F7+s_MLF_berries)),".")</f>
        <v>245.9954402285199</v>
      </c>
      <c r="BF7" s="15">
        <f>IFERROR((s_dir!AG7/(d_ss_Bv!G7+s_MLF_broccoli)),".")</f>
        <v>245.9954402285199</v>
      </c>
      <c r="BG7" s="15">
        <f>IFERROR((s_dir!AH7/(d_ss_Bv!H7+s_MLF_cabbage)),".")</f>
        <v>245.9954402285199</v>
      </c>
      <c r="BH7" s="15">
        <f>IFERROR((s_dir!AI7/(d_ss_Bv!I7+s_MLF_carrot)),".")</f>
        <v>245.9954402285199</v>
      </c>
      <c r="BI7" s="15">
        <f>IFERROR((s_dir!AJ7/(d_ss_Bv!J7+s_MLF_citrus)),".")</f>
        <v>245.9954402285199</v>
      </c>
      <c r="BJ7" s="15">
        <f>IFERROR((s_dir!AK7/(d_ss_Bv!K7+s_MLF_corn)),".")</f>
        <v>245.9954402285199</v>
      </c>
      <c r="BK7" s="15">
        <f>IFERROR((s_dir!AL7/(d_ss_Bv!L7+s_MLF_cucumber)),".")</f>
        <v>245.9954402285199</v>
      </c>
      <c r="BL7" s="15">
        <f>IFERROR((s_dir!AM7/(d_ss_Bv!M7+s_MLF_lettuce)),".")</f>
        <v>245.9954402285199</v>
      </c>
      <c r="BM7" s="15">
        <f>IFERROR((s_dir!AN7/(d_ss_Bv!N7+s_MLF_lima_bean)),".")</f>
        <v>245.9954402285199</v>
      </c>
      <c r="BN7" s="15">
        <f>IFERROR((s_dir!AO7/(d_ss_Bv!O7+s_MLF_okra)),".")</f>
        <v>245.9954402285199</v>
      </c>
      <c r="BO7" s="15">
        <f>IFERROR((s_dir!AP7/(d_ss_Bv!P7+s_MLF_onion)),".")</f>
        <v>245.9954402285199</v>
      </c>
      <c r="BP7" s="15">
        <f>IFERROR((s_dir!AQ7/(d_ss_Bv!Q7+s_MLF_peach)),".")</f>
        <v>245.9954402285199</v>
      </c>
      <c r="BQ7" s="15">
        <f>IFERROR((s_dir!AR7/(d_ss_Bv!R7+s_MLF_pear)),".")</f>
        <v>245.9954402285199</v>
      </c>
      <c r="BR7" s="15">
        <f>IFERROR((s_dir!AS7/(d_ss_Bv!S7+s_MLF_peas)),".")</f>
        <v>245.9954402285199</v>
      </c>
      <c r="BS7" s="15">
        <f>IFERROR((s_dir!AT7/(d_ss_Bv!T7+s_MLF_potato)),".")</f>
        <v>245.9954402285199</v>
      </c>
      <c r="BT7" s="15">
        <f>IFERROR((s_dir!AU7/(d_ss_Bv!U7+s_MLF_pumpkin)),".")</f>
        <v>245.9954402285199</v>
      </c>
      <c r="BU7" s="15">
        <f>IFERROR((s_dir!AV7/(d_ss_Bv!V7+s_MLF_snap_bean)),".")</f>
        <v>245.9954402285199</v>
      </c>
      <c r="BV7" s="15">
        <f>IFERROR((s_dir!AW7/(d_ss_Bv!W7+s_MLF_strawberry)),".")</f>
        <v>245.9954402285199</v>
      </c>
      <c r="BW7" s="15">
        <f>IFERROR((s_dir!AX7/(d_ss_Bv!X7+s_MLF_tomato)),".")</f>
        <v>245.9954402285199</v>
      </c>
      <c r="BX7" s="15">
        <f>IFERROR((s_dir!AY7/(d_ss_Bv!Y7+s_MLF_rice)),".")</f>
        <v>245.9954402285199</v>
      </c>
      <c r="BY7" s="15">
        <f>IFERROR((s_dir!AZ7/(d_ss_Bv!Z7+s_MLF_cereal)),".")</f>
        <v>245.9954402285199</v>
      </c>
      <c r="BZ7" s="40">
        <f t="shared" si="5"/>
        <v>6242.5</v>
      </c>
      <c r="CA7" s="40">
        <f>IFERROR(s_C*(d_ss_Bv!C7+s_MLF_apple)*s_IFAP_far_adj*s_CF_apple,".")</f>
        <v>1560.625</v>
      </c>
      <c r="CB7" s="40">
        <f>IFERROR(s_C*(d_ss_Bv!D7+s_MLF_asparagus)*s_IFAS_far_adj*s_CF_asparagus,".")</f>
        <v>1560.625</v>
      </c>
      <c r="CC7" s="40">
        <f>IFERROR(s_C*(d_ss_Bv!E7+s_MLF_beet)*s_IFBT_far_adj*s_CF_beet,".")</f>
        <v>1560.625</v>
      </c>
      <c r="CD7" s="40">
        <f>IFERROR(s_C*(d_ss_Bv!F7+s_MLF_berries)*s_IFBR_far_adj*s_CF_berries,".")</f>
        <v>1560.625</v>
      </c>
      <c r="CE7" s="40">
        <f>IFERROR(s_C*(d_ss_Bv!G7+s_MLF_broccoli)*s_IFBR_far_adj*s_CF_broccoli,".")</f>
        <v>1560.625</v>
      </c>
      <c r="CF7" s="40">
        <f>IFERROR(s_C*(d_ss_Bv!H7+s_MLF_cabbage)*s_IFCB_far_adj*s_CF_cabbage,".")</f>
        <v>1560.625</v>
      </c>
      <c r="CG7" s="40">
        <f>IFERROR(s_C*(d_ss_Bv!I7+s_MLF_carrot)*s_IFCR_far_adj*s_CF_carrot,".")</f>
        <v>1560.625</v>
      </c>
      <c r="CH7" s="40">
        <f>IFERROR(s_C*(d_ss_Bv!J7+s_MLF_citrus)*s_IFCI_far_adj*s_CF_citrus,".")</f>
        <v>1560.625</v>
      </c>
      <c r="CI7" s="40">
        <f>IFERROR(s_C*(d_ss_Bv!K7+s_MLF_corn)*s_IFCO_far_adj*s_CF_corn,".")</f>
        <v>1560.625</v>
      </c>
      <c r="CJ7" s="40">
        <f>IFERROR(s_C*(d_ss_Bv!L7+s_MLF_cucumber)*s_IFCU_far_adj*s_CF_cucumber,".")</f>
        <v>1560.625</v>
      </c>
      <c r="CK7" s="40">
        <f>IFERROR(s_C*(d_ss_Bv!M7+s_MLF_lettuce)*s_IFLE_far_adj*s_CF_lettuce,".")</f>
        <v>1560.625</v>
      </c>
      <c r="CL7" s="40">
        <f>IFERROR(s_C*(d_ss_Bv!N7+s_MLF_lima_bean)*s_IFLI_far_adj*s_CF_lima_bean,".")</f>
        <v>1560.625</v>
      </c>
      <c r="CM7" s="40">
        <f>IFERROR(s_C*(d_ss_Bv!O7+s_MLF_okra)*s_IFOK_far_adj*s_CF_okra,".")</f>
        <v>1560.625</v>
      </c>
      <c r="CN7" s="40">
        <f>IFERROR(s_C*(d_ss_Bv!P7+s_MLF_onion)*s_IFON_far_adj*s_CF_onion,".")</f>
        <v>1560.625</v>
      </c>
      <c r="CO7" s="40">
        <f>IFERROR(s_C*(d_ss_Bv!Q7+s_MLF_peach)*s_IFPC_far_adj*s_CF_peach,".")</f>
        <v>1560.625</v>
      </c>
      <c r="CP7" s="40">
        <f>IFERROR(s_C*(d_ss_Bv!R7+s_MLF_pear)*s_IFPR_far_adj*s_CF_pear,".")</f>
        <v>1560.625</v>
      </c>
      <c r="CQ7" s="40">
        <f>IFERROR(s_C*(d_ss_Bv!S7+s_MLF_peas)*s_IFPE_far_adj*s_CF_peas,".")</f>
        <v>1560.625</v>
      </c>
      <c r="CR7" s="40">
        <f>IFERROR(s_C*(d_ss_Bv!T7+s_MLF_potato)*s_IFPT_far_adj*s_CF_potato,".")</f>
        <v>1560.625</v>
      </c>
      <c r="CS7" s="40">
        <f>IFERROR(s_C*(d_ss_Bv!U7+s_MLF_pumpkin)*s_IFPU_far_adj*s_CF_pumpkin,".")</f>
        <v>1560.625</v>
      </c>
      <c r="CT7" s="40">
        <f>IFERROR(s_C*(d_ss_Bv!V7+s_MLF_snap_bean)*s_IFSN_far_adj*s_CF_snap_bean,".")</f>
        <v>1560.625</v>
      </c>
      <c r="CU7" s="40">
        <f>IFERROR(s_C*(d_ss_Bv!W7+s_MLF_strawberry)*s_IFST_far_adj*s_CF_strawberry,".")</f>
        <v>1560.625</v>
      </c>
      <c r="CV7" s="40">
        <f>IFERROR(s_C*(d_ss_Bv!X7+s_MLF_tomato)*s_IFTO_far_adj*s_CF_tomato,".")</f>
        <v>1560.625</v>
      </c>
      <c r="CW7" s="40">
        <f>IFERROR(s_C*(d_ss_Bv!Y7+s_MLF_rice)*s_IFRI_far_adj*s_CF_rice,".")</f>
        <v>1560.625</v>
      </c>
      <c r="CX7" s="40">
        <f>IFERROR(s_C*(d_ss_Bv!Z7+s_MLF_cereal)*s_IFCG_far_adj*s_CF_cereal,".")</f>
        <v>1560.625</v>
      </c>
    </row>
    <row r="8" spans="1:102" ht="15" customHeight="1" x14ac:dyDescent="0.25">
      <c r="A8" s="44" t="s">
        <v>18</v>
      </c>
      <c r="B8" s="42" t="s">
        <v>1074</v>
      </c>
      <c r="C8" s="15">
        <f t="shared" si="2"/>
        <v>1115.8556051602964</v>
      </c>
      <c r="D8" s="15">
        <f>IFERROR((s_dir!D8/(d_ss_Bv!C8+s_MLF_apple)),".")</f>
        <v>4463.4224206411855</v>
      </c>
      <c r="E8" s="15">
        <f>IFERROR((s_dir!E8/(d_ss_Bv!D8+s_MLF_asparagus)),".")</f>
        <v>4463.4224206411855</v>
      </c>
      <c r="F8" s="15">
        <f>IFERROR((s_dir!F8/(d_ss_Bv!E8+s_MLF_beet)),".")</f>
        <v>4463.4224206411855</v>
      </c>
      <c r="G8" s="15">
        <f>IFERROR((s_dir!G8/(d_ss_Bv!F8+s_MLF_berries)),".")</f>
        <v>4463.4224206411855</v>
      </c>
      <c r="H8" s="15">
        <f>IFERROR((s_dir!H8/(d_ss_Bv!G8+s_MLF_broccoli)),".")</f>
        <v>4463.4224206411855</v>
      </c>
      <c r="I8" s="15">
        <f>IFERROR((s_dir!I8/(d_ss_Bv!H8+s_MLF_cabbage)),".")</f>
        <v>4463.4224206411855</v>
      </c>
      <c r="J8" s="15">
        <f>IFERROR((s_dir!J8/(d_ss_Bv!I8+s_MLF_carrot)),".")</f>
        <v>4463.4224206411855</v>
      </c>
      <c r="K8" s="15">
        <f>IFERROR((s_dir!K8/(d_ss_Bv!J8+s_MLF_citrus)),".")</f>
        <v>4463.4224206411855</v>
      </c>
      <c r="L8" s="15">
        <f>IFERROR((s_dir!L8/(d_ss_Bv!K8+s_MLF_corn)),".")</f>
        <v>4463.4224206411855</v>
      </c>
      <c r="M8" s="15">
        <f>IFERROR((s_dir!M8/(d_ss_Bv!L8+s_MLF_cucumber)),".")</f>
        <v>4463.4224206411855</v>
      </c>
      <c r="N8" s="15">
        <f>IFERROR((s_dir!N8/(d_ss_Bv!M8+s_MLF_lettuce)),".")</f>
        <v>4463.4224206411855</v>
      </c>
      <c r="O8" s="15">
        <f>IFERROR((s_dir!O8/(d_ss_Bv!N8+s_MLF_lima_bean)),".")</f>
        <v>4463.4224206411855</v>
      </c>
      <c r="P8" s="15">
        <f>IFERROR((s_dir!P8/(d_ss_Bv!O8+s_MLF_okra)),".")</f>
        <v>4463.4224206411855</v>
      </c>
      <c r="Q8" s="15">
        <f>IFERROR((s_dir!Q8/(d_ss_Bv!P8+s_MLF_onion)),".")</f>
        <v>4463.4224206411855</v>
      </c>
      <c r="R8" s="15">
        <f>IFERROR((s_dir!R8/(d_ss_Bv!Q8+s_MLF_peach)),".")</f>
        <v>4463.4224206411855</v>
      </c>
      <c r="S8" s="15">
        <f>IFERROR((s_dir!S8/(d_ss_Bv!R8+s_MLF_pear)),".")</f>
        <v>4463.4224206411855</v>
      </c>
      <c r="T8" s="15">
        <f>IFERROR((s_dir!T8/(d_ss_Bv!S8+s_MLF_peas)),".")</f>
        <v>4463.4224206411855</v>
      </c>
      <c r="U8" s="15">
        <f>IFERROR((s_dir!U8/(d_ss_Bv!T8+s_MLF_potato)),".")</f>
        <v>4463.4224206411855</v>
      </c>
      <c r="V8" s="15">
        <f>IFERROR((s_dir!V8/(d_ss_Bv!U8+s_MLF_pumpkin)),".")</f>
        <v>4463.4224206411855</v>
      </c>
      <c r="W8" s="15">
        <f>IFERROR((s_dir!W8/(d_ss_Bv!V8+s_MLF_snap_bean)),".")</f>
        <v>4463.4224206411855</v>
      </c>
      <c r="X8" s="15">
        <f>IFERROR((s_dir!X8/(d_ss_Bv!W8+s_MLF_strawberry)),".")</f>
        <v>4463.4224206411855</v>
      </c>
      <c r="Y8" s="15">
        <f>IFERROR((s_dir!Y8/(d_ss_Bv!X8+s_MLF_tomato)),".")</f>
        <v>4463.4224206411855</v>
      </c>
      <c r="Z8" s="15">
        <f>IFERROR((s_dir!Z8/(d_ss_Bv!Y8+s_MLF_rice)),".")</f>
        <v>4463.4224206411855</v>
      </c>
      <c r="AA8" s="15">
        <f>IFERROR((s_dir!AA8/(d_ss_Bv!Z8+s_MLF_cereal)),".")</f>
        <v>4463.4224206411855</v>
      </c>
      <c r="AB8" s="40">
        <f t="shared" si="3"/>
        <v>6242.5</v>
      </c>
      <c r="AC8" s="40">
        <f>s_C*(d_ss_Bv!C8+s_MLF_apple)*s_IFAP_res_adj*s_CF_apple</f>
        <v>1560.625</v>
      </c>
      <c r="AD8" s="40">
        <f>s_C*(d_ss_Bv!D8+s_MLF_asparagus)*s_IFAS_res_adj*s_CF_asparagus</f>
        <v>1560.625</v>
      </c>
      <c r="AE8" s="40">
        <f>s_C*(d_ss_Bv!E8+s_MLF_beet)*s_IFBT_res_adj*s_CF_beet</f>
        <v>1560.625</v>
      </c>
      <c r="AF8" s="40">
        <f>s_C*(d_ss_Bv!F8+s_MLF_berries)*s_IFBE_res_adj*s_CF_berries</f>
        <v>1560.625</v>
      </c>
      <c r="AG8" s="40">
        <f>s_C*(d_ss_Bv!G8+s_MLF_broccoli)*s_IFBR_res_adj*s_CF_broccoli</f>
        <v>1560.625</v>
      </c>
      <c r="AH8" s="40">
        <f>s_C*(d_ss_Bv!H8+s_MLF_cabbage)*s_IFCB_res_adj*s_CF_cabbage</f>
        <v>1560.625</v>
      </c>
      <c r="AI8" s="40">
        <f>s_C*(d_ss_Bv!I8+s_MLF_carrot)*s_IFCR_res_adj*s_CF_carrot</f>
        <v>1560.625</v>
      </c>
      <c r="AJ8" s="40">
        <f>s_C*(d_ss_Bv!J8+s_MLF_citrus)*s_IFCI_res_adj*s_CF_citrus</f>
        <v>1560.625</v>
      </c>
      <c r="AK8" s="40">
        <f>s_C*(d_ss_Bv!K8+s_MLF_corn)*s_IFCO_res_adj*s_CF_corn</f>
        <v>1560.625</v>
      </c>
      <c r="AL8" s="40">
        <f>s_C*(d_ss_Bv!L8+s_MLF_cucumber)*s_IFCU_res_adj*s_CF_cucumber</f>
        <v>1560.625</v>
      </c>
      <c r="AM8" s="40">
        <f>s_C*(d_ss_Bv!M8+s_MLF_lettuce)*s_IFLE_res_adj*s_CF_lettuce</f>
        <v>1560.625</v>
      </c>
      <c r="AN8" s="40">
        <f>s_C*(d_ss_Bv!N8+s_MLF_lima_bean)*s_IFLI_res_adj*s_CF_lima_bean</f>
        <v>1560.625</v>
      </c>
      <c r="AO8" s="40">
        <f>s_C*(d_ss_Bv!O8+s_MLF_okra)*s_IFOK_res_adj*s_CF_okra</f>
        <v>1560.625</v>
      </c>
      <c r="AP8" s="40">
        <f>s_C*(d_ss_Bv!P8+s_MLF_onion)*s_IFON_res_adj*s_CF_onion</f>
        <v>1560.625</v>
      </c>
      <c r="AQ8" s="40">
        <f>s_C*(d_ss_Bv!Q8+s_MLF_peach)*s_IFPC_res_adj*s_CF_peach</f>
        <v>1560.625</v>
      </c>
      <c r="AR8" s="40">
        <f>s_C*(d_ss_Bv!R8+s_MLF_pear)*s_IFPR_res_adj*s_CF_pear</f>
        <v>1560.625</v>
      </c>
      <c r="AS8" s="40">
        <f>s_C*(d_ss_Bv!S8+s_MLF_peas)*s_IFPE_res_adj*s_CF_peas</f>
        <v>1560.625</v>
      </c>
      <c r="AT8" s="40">
        <f>s_C*(d_ss_Bv!T8+s_MLF_potato)*s_IFPT_res_adj*s_CF_potato</f>
        <v>1560.625</v>
      </c>
      <c r="AU8" s="40">
        <f>s_C*(d_ss_Bv!U8+s_MLF_pumpkin)*s_IFPU_res_adj*s_CF_pumpkin</f>
        <v>1560.625</v>
      </c>
      <c r="AV8" s="40">
        <f>s_C*(d_ss_Bv!V8+s_MLF_snap_bean)*s_IFSN_res_adj*s_CF_snap_bean</f>
        <v>1560.625</v>
      </c>
      <c r="AW8" s="40">
        <f>s_C*(d_ss_Bv!W8+s_MLF_strawberry)*s_IFST_res_adj*s_CF_strawberry</f>
        <v>1560.625</v>
      </c>
      <c r="AX8" s="40">
        <f>s_C*(d_ss_Bv!X8+s_MLF_tomato)*s_IFTO_res_adj*s_CF_tomato</f>
        <v>1560.625</v>
      </c>
      <c r="AY8" s="40">
        <f>s_C*(d_ss_Bv!Y8+s_MLF_rice)*s_IFRI_res_adj*s_CF_rice</f>
        <v>1560.625</v>
      </c>
      <c r="AZ8" s="40">
        <f>s_C*(d_ss_Bv!Z8+s_MLF_cereal)*s_IFCG_res_adj*s_CF_cereal</f>
        <v>1560.625</v>
      </c>
      <c r="BA8" s="15">
        <f t="shared" si="4"/>
        <v>1115.8556051602964</v>
      </c>
      <c r="BB8" s="15">
        <f>IFERROR((s_dir!AC8/(d_ss_Bv!C8+s_MLF_apple)),".")</f>
        <v>4463.4224206411855</v>
      </c>
      <c r="BC8" s="15">
        <f>IFERROR((s_dir!AD8/(d_ss_Bv!D8+s_MLF_asparagus)),".")</f>
        <v>4463.4224206411855</v>
      </c>
      <c r="BD8" s="15">
        <f>IFERROR((s_dir!AE8/(d_ss_Bv!E8+s_MLF_beet)),".")</f>
        <v>4463.4224206411855</v>
      </c>
      <c r="BE8" s="15">
        <f>IFERROR((s_dir!AF8/(d_ss_Bv!F8+s_MLF_berries)),".")</f>
        <v>4463.4224206411855</v>
      </c>
      <c r="BF8" s="15">
        <f>IFERROR((s_dir!AG8/(d_ss_Bv!G8+s_MLF_broccoli)),".")</f>
        <v>4463.4224206411855</v>
      </c>
      <c r="BG8" s="15">
        <f>IFERROR((s_dir!AH8/(d_ss_Bv!H8+s_MLF_cabbage)),".")</f>
        <v>4463.4224206411855</v>
      </c>
      <c r="BH8" s="15">
        <f>IFERROR((s_dir!AI8/(d_ss_Bv!I8+s_MLF_carrot)),".")</f>
        <v>4463.4224206411855</v>
      </c>
      <c r="BI8" s="15">
        <f>IFERROR((s_dir!AJ8/(d_ss_Bv!J8+s_MLF_citrus)),".")</f>
        <v>4463.4224206411855</v>
      </c>
      <c r="BJ8" s="15">
        <f>IFERROR((s_dir!AK8/(d_ss_Bv!K8+s_MLF_corn)),".")</f>
        <v>4463.4224206411855</v>
      </c>
      <c r="BK8" s="15">
        <f>IFERROR((s_dir!AL8/(d_ss_Bv!L8+s_MLF_cucumber)),".")</f>
        <v>4463.4224206411855</v>
      </c>
      <c r="BL8" s="15">
        <f>IFERROR((s_dir!AM8/(d_ss_Bv!M8+s_MLF_lettuce)),".")</f>
        <v>4463.4224206411855</v>
      </c>
      <c r="BM8" s="15">
        <f>IFERROR((s_dir!AN8/(d_ss_Bv!N8+s_MLF_lima_bean)),".")</f>
        <v>4463.4224206411855</v>
      </c>
      <c r="BN8" s="15">
        <f>IFERROR((s_dir!AO8/(d_ss_Bv!O8+s_MLF_okra)),".")</f>
        <v>4463.4224206411855</v>
      </c>
      <c r="BO8" s="15">
        <f>IFERROR((s_dir!AP8/(d_ss_Bv!P8+s_MLF_onion)),".")</f>
        <v>4463.4224206411855</v>
      </c>
      <c r="BP8" s="15">
        <f>IFERROR((s_dir!AQ8/(d_ss_Bv!Q8+s_MLF_peach)),".")</f>
        <v>4463.4224206411855</v>
      </c>
      <c r="BQ8" s="15">
        <f>IFERROR((s_dir!AR8/(d_ss_Bv!R8+s_MLF_pear)),".")</f>
        <v>4463.4224206411855</v>
      </c>
      <c r="BR8" s="15">
        <f>IFERROR((s_dir!AS8/(d_ss_Bv!S8+s_MLF_peas)),".")</f>
        <v>4463.4224206411855</v>
      </c>
      <c r="BS8" s="15">
        <f>IFERROR((s_dir!AT8/(d_ss_Bv!T8+s_MLF_potato)),".")</f>
        <v>4463.4224206411855</v>
      </c>
      <c r="BT8" s="15">
        <f>IFERROR((s_dir!AU8/(d_ss_Bv!U8+s_MLF_pumpkin)),".")</f>
        <v>4463.4224206411855</v>
      </c>
      <c r="BU8" s="15">
        <f>IFERROR((s_dir!AV8/(d_ss_Bv!V8+s_MLF_snap_bean)),".")</f>
        <v>4463.4224206411855</v>
      </c>
      <c r="BV8" s="15">
        <f>IFERROR((s_dir!AW8/(d_ss_Bv!W8+s_MLF_strawberry)),".")</f>
        <v>4463.4224206411855</v>
      </c>
      <c r="BW8" s="15">
        <f>IFERROR((s_dir!AX8/(d_ss_Bv!X8+s_MLF_tomato)),".")</f>
        <v>4463.4224206411855</v>
      </c>
      <c r="BX8" s="15">
        <f>IFERROR((s_dir!AY8/(d_ss_Bv!Y8+s_MLF_rice)),".")</f>
        <v>4463.4224206411855</v>
      </c>
      <c r="BY8" s="15">
        <f>IFERROR((s_dir!AZ8/(d_ss_Bv!Z8+s_MLF_cereal)),".")</f>
        <v>4463.4224206411855</v>
      </c>
      <c r="BZ8" s="40">
        <f t="shared" si="5"/>
        <v>6242.5</v>
      </c>
      <c r="CA8" s="40">
        <f>IFERROR(s_C*(d_ss_Bv!C8+s_MLF_apple)*s_IFAP_far_adj*s_CF_apple,".")</f>
        <v>1560.625</v>
      </c>
      <c r="CB8" s="40">
        <f>IFERROR(s_C*(d_ss_Bv!D8+s_MLF_asparagus)*s_IFAS_far_adj*s_CF_asparagus,".")</f>
        <v>1560.625</v>
      </c>
      <c r="CC8" s="40">
        <f>IFERROR(s_C*(d_ss_Bv!E8+s_MLF_beet)*s_IFBT_far_adj*s_CF_beet,".")</f>
        <v>1560.625</v>
      </c>
      <c r="CD8" s="40">
        <f>IFERROR(s_C*(d_ss_Bv!F8+s_MLF_berries)*s_IFBR_far_adj*s_CF_berries,".")</f>
        <v>1560.625</v>
      </c>
      <c r="CE8" s="40">
        <f>IFERROR(s_C*(d_ss_Bv!G8+s_MLF_broccoli)*s_IFBR_far_adj*s_CF_broccoli,".")</f>
        <v>1560.625</v>
      </c>
      <c r="CF8" s="40">
        <f>IFERROR(s_C*(d_ss_Bv!H8+s_MLF_cabbage)*s_IFCB_far_adj*s_CF_cabbage,".")</f>
        <v>1560.625</v>
      </c>
      <c r="CG8" s="40">
        <f>IFERROR(s_C*(d_ss_Bv!I8+s_MLF_carrot)*s_IFCR_far_adj*s_CF_carrot,".")</f>
        <v>1560.625</v>
      </c>
      <c r="CH8" s="40">
        <f>IFERROR(s_C*(d_ss_Bv!J8+s_MLF_citrus)*s_IFCI_far_adj*s_CF_citrus,".")</f>
        <v>1560.625</v>
      </c>
      <c r="CI8" s="40">
        <f>IFERROR(s_C*(d_ss_Bv!K8+s_MLF_corn)*s_IFCO_far_adj*s_CF_corn,".")</f>
        <v>1560.625</v>
      </c>
      <c r="CJ8" s="40">
        <f>IFERROR(s_C*(d_ss_Bv!L8+s_MLF_cucumber)*s_IFCU_far_adj*s_CF_cucumber,".")</f>
        <v>1560.625</v>
      </c>
      <c r="CK8" s="40">
        <f>IFERROR(s_C*(d_ss_Bv!M8+s_MLF_lettuce)*s_IFLE_far_adj*s_CF_lettuce,".")</f>
        <v>1560.625</v>
      </c>
      <c r="CL8" s="40">
        <f>IFERROR(s_C*(d_ss_Bv!N8+s_MLF_lima_bean)*s_IFLI_far_adj*s_CF_lima_bean,".")</f>
        <v>1560.625</v>
      </c>
      <c r="CM8" s="40">
        <f>IFERROR(s_C*(d_ss_Bv!O8+s_MLF_okra)*s_IFOK_far_adj*s_CF_okra,".")</f>
        <v>1560.625</v>
      </c>
      <c r="CN8" s="40">
        <f>IFERROR(s_C*(d_ss_Bv!P8+s_MLF_onion)*s_IFON_far_adj*s_CF_onion,".")</f>
        <v>1560.625</v>
      </c>
      <c r="CO8" s="40">
        <f>IFERROR(s_C*(d_ss_Bv!Q8+s_MLF_peach)*s_IFPC_far_adj*s_CF_peach,".")</f>
        <v>1560.625</v>
      </c>
      <c r="CP8" s="40">
        <f>IFERROR(s_C*(d_ss_Bv!R8+s_MLF_pear)*s_IFPR_far_adj*s_CF_pear,".")</f>
        <v>1560.625</v>
      </c>
      <c r="CQ8" s="40">
        <f>IFERROR(s_C*(d_ss_Bv!S8+s_MLF_peas)*s_IFPE_far_adj*s_CF_peas,".")</f>
        <v>1560.625</v>
      </c>
      <c r="CR8" s="40">
        <f>IFERROR(s_C*(d_ss_Bv!T8+s_MLF_potato)*s_IFPT_far_adj*s_CF_potato,".")</f>
        <v>1560.625</v>
      </c>
      <c r="CS8" s="40">
        <f>IFERROR(s_C*(d_ss_Bv!U8+s_MLF_pumpkin)*s_IFPU_far_adj*s_CF_pumpkin,".")</f>
        <v>1560.625</v>
      </c>
      <c r="CT8" s="40">
        <f>IFERROR(s_C*(d_ss_Bv!V8+s_MLF_snap_bean)*s_IFSN_far_adj*s_CF_snap_bean,".")</f>
        <v>1560.625</v>
      </c>
      <c r="CU8" s="40">
        <f>IFERROR(s_C*(d_ss_Bv!W8+s_MLF_strawberry)*s_IFST_far_adj*s_CF_strawberry,".")</f>
        <v>1560.625</v>
      </c>
      <c r="CV8" s="40">
        <f>IFERROR(s_C*(d_ss_Bv!X8+s_MLF_tomato)*s_IFTO_far_adj*s_CF_tomato,".")</f>
        <v>1560.625</v>
      </c>
      <c r="CW8" s="40">
        <f>IFERROR(s_C*(d_ss_Bv!Y8+s_MLF_rice)*s_IFRI_far_adj*s_CF_rice,".")</f>
        <v>1560.625</v>
      </c>
      <c r="CX8" s="40">
        <f>IFERROR(s_C*(d_ss_Bv!Z8+s_MLF_cereal)*s_IFCG_far_adj*s_CF_cereal,".")</f>
        <v>1560.625</v>
      </c>
    </row>
    <row r="9" spans="1:102" ht="15" customHeight="1" x14ac:dyDescent="0.25">
      <c r="A9" s="44" t="s">
        <v>19</v>
      </c>
      <c r="B9" s="42" t="s">
        <v>1074</v>
      </c>
      <c r="C9" s="15">
        <f t="shared" si="2"/>
        <v>3019.1908982021969</v>
      </c>
      <c r="D9" s="15">
        <f>IFERROR((s_dir!D9/(d_ss_Bv!C9+s_MLF_apple)),".")</f>
        <v>12076.763592808786</v>
      </c>
      <c r="E9" s="15">
        <f>IFERROR((s_dir!E9/(d_ss_Bv!D9+s_MLF_asparagus)),".")</f>
        <v>12076.763592808786</v>
      </c>
      <c r="F9" s="15">
        <f>IFERROR((s_dir!F9/(d_ss_Bv!E9+s_MLF_beet)),".")</f>
        <v>12076.763592808786</v>
      </c>
      <c r="G9" s="15">
        <f>IFERROR((s_dir!G9/(d_ss_Bv!F9+s_MLF_berries)),".")</f>
        <v>12076.763592808786</v>
      </c>
      <c r="H9" s="15">
        <f>IFERROR((s_dir!H9/(d_ss_Bv!G9+s_MLF_broccoli)),".")</f>
        <v>12076.763592808786</v>
      </c>
      <c r="I9" s="15">
        <f>IFERROR((s_dir!I9/(d_ss_Bv!H9+s_MLF_cabbage)),".")</f>
        <v>12076.763592808786</v>
      </c>
      <c r="J9" s="15">
        <f>IFERROR((s_dir!J9/(d_ss_Bv!I9+s_MLF_carrot)),".")</f>
        <v>12076.763592808786</v>
      </c>
      <c r="K9" s="15">
        <f>IFERROR((s_dir!K9/(d_ss_Bv!J9+s_MLF_citrus)),".")</f>
        <v>12076.763592808786</v>
      </c>
      <c r="L9" s="15">
        <f>IFERROR((s_dir!L9/(d_ss_Bv!K9+s_MLF_corn)),".")</f>
        <v>12076.763592808786</v>
      </c>
      <c r="M9" s="15">
        <f>IFERROR((s_dir!M9/(d_ss_Bv!L9+s_MLF_cucumber)),".")</f>
        <v>12076.763592808786</v>
      </c>
      <c r="N9" s="15">
        <f>IFERROR((s_dir!N9/(d_ss_Bv!M9+s_MLF_lettuce)),".")</f>
        <v>12076.763592808786</v>
      </c>
      <c r="O9" s="15">
        <f>IFERROR((s_dir!O9/(d_ss_Bv!N9+s_MLF_lima_bean)),".")</f>
        <v>12076.763592808786</v>
      </c>
      <c r="P9" s="15">
        <f>IFERROR((s_dir!P9/(d_ss_Bv!O9+s_MLF_okra)),".")</f>
        <v>12076.763592808786</v>
      </c>
      <c r="Q9" s="15">
        <f>IFERROR((s_dir!Q9/(d_ss_Bv!P9+s_MLF_onion)),".")</f>
        <v>12076.763592808786</v>
      </c>
      <c r="R9" s="15">
        <f>IFERROR((s_dir!R9/(d_ss_Bv!Q9+s_MLF_peach)),".")</f>
        <v>12076.763592808786</v>
      </c>
      <c r="S9" s="15">
        <f>IFERROR((s_dir!S9/(d_ss_Bv!R9+s_MLF_pear)),".")</f>
        <v>12076.763592808786</v>
      </c>
      <c r="T9" s="15">
        <f>IFERROR((s_dir!T9/(d_ss_Bv!S9+s_MLF_peas)),".")</f>
        <v>12076.763592808786</v>
      </c>
      <c r="U9" s="15">
        <f>IFERROR((s_dir!U9/(d_ss_Bv!T9+s_MLF_potato)),".")</f>
        <v>12076.763592808786</v>
      </c>
      <c r="V9" s="15">
        <f>IFERROR((s_dir!V9/(d_ss_Bv!U9+s_MLF_pumpkin)),".")</f>
        <v>12076.763592808786</v>
      </c>
      <c r="W9" s="15">
        <f>IFERROR((s_dir!W9/(d_ss_Bv!V9+s_MLF_snap_bean)),".")</f>
        <v>12076.763592808786</v>
      </c>
      <c r="X9" s="15">
        <f>IFERROR((s_dir!X9/(d_ss_Bv!W9+s_MLF_strawberry)),".")</f>
        <v>12076.763592808786</v>
      </c>
      <c r="Y9" s="15">
        <f>IFERROR((s_dir!Y9/(d_ss_Bv!X9+s_MLF_tomato)),".")</f>
        <v>12076.763592808786</v>
      </c>
      <c r="Z9" s="15">
        <f>IFERROR((s_dir!Z9/(d_ss_Bv!Y9+s_MLF_rice)),".")</f>
        <v>12076.763592808786</v>
      </c>
      <c r="AA9" s="15">
        <f>IFERROR((s_dir!AA9/(d_ss_Bv!Z9+s_MLF_cereal)),".")</f>
        <v>12076.763592808786</v>
      </c>
      <c r="AB9" s="40">
        <f t="shared" si="3"/>
        <v>6242.5</v>
      </c>
      <c r="AC9" s="40">
        <f>s_C*(d_ss_Bv!C9+s_MLF_apple)*s_IFAP_res_adj*s_CF_apple</f>
        <v>1560.625</v>
      </c>
      <c r="AD9" s="40">
        <f>s_C*(d_ss_Bv!D9+s_MLF_asparagus)*s_IFAS_res_adj*s_CF_asparagus</f>
        <v>1560.625</v>
      </c>
      <c r="AE9" s="40">
        <f>s_C*(d_ss_Bv!E9+s_MLF_beet)*s_IFBT_res_adj*s_CF_beet</f>
        <v>1560.625</v>
      </c>
      <c r="AF9" s="40">
        <f>s_C*(d_ss_Bv!F9+s_MLF_berries)*s_IFBE_res_adj*s_CF_berries</f>
        <v>1560.625</v>
      </c>
      <c r="AG9" s="40">
        <f>s_C*(d_ss_Bv!G9+s_MLF_broccoli)*s_IFBR_res_adj*s_CF_broccoli</f>
        <v>1560.625</v>
      </c>
      <c r="AH9" s="40">
        <f>s_C*(d_ss_Bv!H9+s_MLF_cabbage)*s_IFCB_res_adj*s_CF_cabbage</f>
        <v>1560.625</v>
      </c>
      <c r="AI9" s="40">
        <f>s_C*(d_ss_Bv!I9+s_MLF_carrot)*s_IFCR_res_adj*s_CF_carrot</f>
        <v>1560.625</v>
      </c>
      <c r="AJ9" s="40">
        <f>s_C*(d_ss_Bv!J9+s_MLF_citrus)*s_IFCI_res_adj*s_CF_citrus</f>
        <v>1560.625</v>
      </c>
      <c r="AK9" s="40">
        <f>s_C*(d_ss_Bv!K9+s_MLF_corn)*s_IFCO_res_adj*s_CF_corn</f>
        <v>1560.625</v>
      </c>
      <c r="AL9" s="40">
        <f>s_C*(d_ss_Bv!L9+s_MLF_cucumber)*s_IFCU_res_adj*s_CF_cucumber</f>
        <v>1560.625</v>
      </c>
      <c r="AM9" s="40">
        <f>s_C*(d_ss_Bv!M9+s_MLF_lettuce)*s_IFLE_res_adj*s_CF_lettuce</f>
        <v>1560.625</v>
      </c>
      <c r="AN9" s="40">
        <f>s_C*(d_ss_Bv!N9+s_MLF_lima_bean)*s_IFLI_res_adj*s_CF_lima_bean</f>
        <v>1560.625</v>
      </c>
      <c r="AO9" s="40">
        <f>s_C*(d_ss_Bv!O9+s_MLF_okra)*s_IFOK_res_adj*s_CF_okra</f>
        <v>1560.625</v>
      </c>
      <c r="AP9" s="40">
        <f>s_C*(d_ss_Bv!P9+s_MLF_onion)*s_IFON_res_adj*s_CF_onion</f>
        <v>1560.625</v>
      </c>
      <c r="AQ9" s="40">
        <f>s_C*(d_ss_Bv!Q9+s_MLF_peach)*s_IFPC_res_adj*s_CF_peach</f>
        <v>1560.625</v>
      </c>
      <c r="AR9" s="40">
        <f>s_C*(d_ss_Bv!R9+s_MLF_pear)*s_IFPR_res_adj*s_CF_pear</f>
        <v>1560.625</v>
      </c>
      <c r="AS9" s="40">
        <f>s_C*(d_ss_Bv!S9+s_MLF_peas)*s_IFPE_res_adj*s_CF_peas</f>
        <v>1560.625</v>
      </c>
      <c r="AT9" s="40">
        <f>s_C*(d_ss_Bv!T9+s_MLF_potato)*s_IFPT_res_adj*s_CF_potato</f>
        <v>1560.625</v>
      </c>
      <c r="AU9" s="40">
        <f>s_C*(d_ss_Bv!U9+s_MLF_pumpkin)*s_IFPU_res_adj*s_CF_pumpkin</f>
        <v>1560.625</v>
      </c>
      <c r="AV9" s="40">
        <f>s_C*(d_ss_Bv!V9+s_MLF_snap_bean)*s_IFSN_res_adj*s_CF_snap_bean</f>
        <v>1560.625</v>
      </c>
      <c r="AW9" s="40">
        <f>s_C*(d_ss_Bv!W9+s_MLF_strawberry)*s_IFST_res_adj*s_CF_strawberry</f>
        <v>1560.625</v>
      </c>
      <c r="AX9" s="40">
        <f>s_C*(d_ss_Bv!X9+s_MLF_tomato)*s_IFTO_res_adj*s_CF_tomato</f>
        <v>1560.625</v>
      </c>
      <c r="AY9" s="40">
        <f>s_C*(d_ss_Bv!Y9+s_MLF_rice)*s_IFRI_res_adj*s_CF_rice</f>
        <v>1560.625</v>
      </c>
      <c r="AZ9" s="40">
        <f>s_C*(d_ss_Bv!Z9+s_MLF_cereal)*s_IFCG_res_adj*s_CF_cereal</f>
        <v>1560.625</v>
      </c>
      <c r="BA9" s="15">
        <f t="shared" si="4"/>
        <v>3019.1908982021969</v>
      </c>
      <c r="BB9" s="15">
        <f>IFERROR((s_dir!AC9/(d_ss_Bv!C9+s_MLF_apple)),".")</f>
        <v>12076.763592808786</v>
      </c>
      <c r="BC9" s="15">
        <f>IFERROR((s_dir!AD9/(d_ss_Bv!D9+s_MLF_asparagus)),".")</f>
        <v>12076.763592808786</v>
      </c>
      <c r="BD9" s="15">
        <f>IFERROR((s_dir!AE9/(d_ss_Bv!E9+s_MLF_beet)),".")</f>
        <v>12076.763592808786</v>
      </c>
      <c r="BE9" s="15">
        <f>IFERROR((s_dir!AF9/(d_ss_Bv!F9+s_MLF_berries)),".")</f>
        <v>12076.763592808786</v>
      </c>
      <c r="BF9" s="15">
        <f>IFERROR((s_dir!AG9/(d_ss_Bv!G9+s_MLF_broccoli)),".")</f>
        <v>12076.763592808786</v>
      </c>
      <c r="BG9" s="15">
        <f>IFERROR((s_dir!AH9/(d_ss_Bv!H9+s_MLF_cabbage)),".")</f>
        <v>12076.763592808786</v>
      </c>
      <c r="BH9" s="15">
        <f>IFERROR((s_dir!AI9/(d_ss_Bv!I9+s_MLF_carrot)),".")</f>
        <v>12076.763592808786</v>
      </c>
      <c r="BI9" s="15">
        <f>IFERROR((s_dir!AJ9/(d_ss_Bv!J9+s_MLF_citrus)),".")</f>
        <v>12076.763592808786</v>
      </c>
      <c r="BJ9" s="15">
        <f>IFERROR((s_dir!AK9/(d_ss_Bv!K9+s_MLF_corn)),".")</f>
        <v>12076.763592808786</v>
      </c>
      <c r="BK9" s="15">
        <f>IFERROR((s_dir!AL9/(d_ss_Bv!L9+s_MLF_cucumber)),".")</f>
        <v>12076.763592808786</v>
      </c>
      <c r="BL9" s="15">
        <f>IFERROR((s_dir!AM9/(d_ss_Bv!M9+s_MLF_lettuce)),".")</f>
        <v>12076.763592808786</v>
      </c>
      <c r="BM9" s="15">
        <f>IFERROR((s_dir!AN9/(d_ss_Bv!N9+s_MLF_lima_bean)),".")</f>
        <v>12076.763592808786</v>
      </c>
      <c r="BN9" s="15">
        <f>IFERROR((s_dir!AO9/(d_ss_Bv!O9+s_MLF_okra)),".")</f>
        <v>12076.763592808786</v>
      </c>
      <c r="BO9" s="15">
        <f>IFERROR((s_dir!AP9/(d_ss_Bv!P9+s_MLF_onion)),".")</f>
        <v>12076.763592808786</v>
      </c>
      <c r="BP9" s="15">
        <f>IFERROR((s_dir!AQ9/(d_ss_Bv!Q9+s_MLF_peach)),".")</f>
        <v>12076.763592808786</v>
      </c>
      <c r="BQ9" s="15">
        <f>IFERROR((s_dir!AR9/(d_ss_Bv!R9+s_MLF_pear)),".")</f>
        <v>12076.763592808786</v>
      </c>
      <c r="BR9" s="15">
        <f>IFERROR((s_dir!AS9/(d_ss_Bv!S9+s_MLF_peas)),".")</f>
        <v>12076.763592808786</v>
      </c>
      <c r="BS9" s="15">
        <f>IFERROR((s_dir!AT9/(d_ss_Bv!T9+s_MLF_potato)),".")</f>
        <v>12076.763592808786</v>
      </c>
      <c r="BT9" s="15">
        <f>IFERROR((s_dir!AU9/(d_ss_Bv!U9+s_MLF_pumpkin)),".")</f>
        <v>12076.763592808786</v>
      </c>
      <c r="BU9" s="15">
        <f>IFERROR((s_dir!AV9/(d_ss_Bv!V9+s_MLF_snap_bean)),".")</f>
        <v>12076.763592808786</v>
      </c>
      <c r="BV9" s="15">
        <f>IFERROR((s_dir!AW9/(d_ss_Bv!W9+s_MLF_strawberry)),".")</f>
        <v>12076.763592808786</v>
      </c>
      <c r="BW9" s="15">
        <f>IFERROR((s_dir!AX9/(d_ss_Bv!X9+s_MLF_tomato)),".")</f>
        <v>12076.763592808786</v>
      </c>
      <c r="BX9" s="15">
        <f>IFERROR((s_dir!AY9/(d_ss_Bv!Y9+s_MLF_rice)),".")</f>
        <v>12076.763592808786</v>
      </c>
      <c r="BY9" s="15">
        <f>IFERROR((s_dir!AZ9/(d_ss_Bv!Z9+s_MLF_cereal)),".")</f>
        <v>12076.763592808786</v>
      </c>
      <c r="BZ9" s="40">
        <f t="shared" si="5"/>
        <v>6242.5</v>
      </c>
      <c r="CA9" s="40">
        <f>IFERROR(s_C*(d_ss_Bv!C9+s_MLF_apple)*s_IFAP_far_adj*s_CF_apple,".")</f>
        <v>1560.625</v>
      </c>
      <c r="CB9" s="40">
        <f>IFERROR(s_C*(d_ss_Bv!D9+s_MLF_asparagus)*s_IFAS_far_adj*s_CF_asparagus,".")</f>
        <v>1560.625</v>
      </c>
      <c r="CC9" s="40">
        <f>IFERROR(s_C*(d_ss_Bv!E9+s_MLF_beet)*s_IFBT_far_adj*s_CF_beet,".")</f>
        <v>1560.625</v>
      </c>
      <c r="CD9" s="40">
        <f>IFERROR(s_C*(d_ss_Bv!F9+s_MLF_berries)*s_IFBR_far_adj*s_CF_berries,".")</f>
        <v>1560.625</v>
      </c>
      <c r="CE9" s="40">
        <f>IFERROR(s_C*(d_ss_Bv!G9+s_MLF_broccoli)*s_IFBR_far_adj*s_CF_broccoli,".")</f>
        <v>1560.625</v>
      </c>
      <c r="CF9" s="40">
        <f>IFERROR(s_C*(d_ss_Bv!H9+s_MLF_cabbage)*s_IFCB_far_adj*s_CF_cabbage,".")</f>
        <v>1560.625</v>
      </c>
      <c r="CG9" s="40">
        <f>IFERROR(s_C*(d_ss_Bv!I9+s_MLF_carrot)*s_IFCR_far_adj*s_CF_carrot,".")</f>
        <v>1560.625</v>
      </c>
      <c r="CH9" s="40">
        <f>IFERROR(s_C*(d_ss_Bv!J9+s_MLF_citrus)*s_IFCI_far_adj*s_CF_citrus,".")</f>
        <v>1560.625</v>
      </c>
      <c r="CI9" s="40">
        <f>IFERROR(s_C*(d_ss_Bv!K9+s_MLF_corn)*s_IFCO_far_adj*s_CF_corn,".")</f>
        <v>1560.625</v>
      </c>
      <c r="CJ9" s="40">
        <f>IFERROR(s_C*(d_ss_Bv!L9+s_MLF_cucumber)*s_IFCU_far_adj*s_CF_cucumber,".")</f>
        <v>1560.625</v>
      </c>
      <c r="CK9" s="40">
        <f>IFERROR(s_C*(d_ss_Bv!M9+s_MLF_lettuce)*s_IFLE_far_adj*s_CF_lettuce,".")</f>
        <v>1560.625</v>
      </c>
      <c r="CL9" s="40">
        <f>IFERROR(s_C*(d_ss_Bv!N9+s_MLF_lima_bean)*s_IFLI_far_adj*s_CF_lima_bean,".")</f>
        <v>1560.625</v>
      </c>
      <c r="CM9" s="40">
        <f>IFERROR(s_C*(d_ss_Bv!O9+s_MLF_okra)*s_IFOK_far_adj*s_CF_okra,".")</f>
        <v>1560.625</v>
      </c>
      <c r="CN9" s="40">
        <f>IFERROR(s_C*(d_ss_Bv!P9+s_MLF_onion)*s_IFON_far_adj*s_CF_onion,".")</f>
        <v>1560.625</v>
      </c>
      <c r="CO9" s="40">
        <f>IFERROR(s_C*(d_ss_Bv!Q9+s_MLF_peach)*s_IFPC_far_adj*s_CF_peach,".")</f>
        <v>1560.625</v>
      </c>
      <c r="CP9" s="40">
        <f>IFERROR(s_C*(d_ss_Bv!R9+s_MLF_pear)*s_IFPR_far_adj*s_CF_pear,".")</f>
        <v>1560.625</v>
      </c>
      <c r="CQ9" s="40">
        <f>IFERROR(s_C*(d_ss_Bv!S9+s_MLF_peas)*s_IFPE_far_adj*s_CF_peas,".")</f>
        <v>1560.625</v>
      </c>
      <c r="CR9" s="40">
        <f>IFERROR(s_C*(d_ss_Bv!T9+s_MLF_potato)*s_IFPT_far_adj*s_CF_potato,".")</f>
        <v>1560.625</v>
      </c>
      <c r="CS9" s="40">
        <f>IFERROR(s_C*(d_ss_Bv!U9+s_MLF_pumpkin)*s_IFPU_far_adj*s_CF_pumpkin,".")</f>
        <v>1560.625</v>
      </c>
      <c r="CT9" s="40">
        <f>IFERROR(s_C*(d_ss_Bv!V9+s_MLF_snap_bean)*s_IFSN_far_adj*s_CF_snap_bean,".")</f>
        <v>1560.625</v>
      </c>
      <c r="CU9" s="40">
        <f>IFERROR(s_C*(d_ss_Bv!W9+s_MLF_strawberry)*s_IFST_far_adj*s_CF_strawberry,".")</f>
        <v>1560.625</v>
      </c>
      <c r="CV9" s="40">
        <f>IFERROR(s_C*(d_ss_Bv!X9+s_MLF_tomato)*s_IFTO_far_adj*s_CF_tomato,".")</f>
        <v>1560.625</v>
      </c>
      <c r="CW9" s="40">
        <f>IFERROR(s_C*(d_ss_Bv!Y9+s_MLF_rice)*s_IFRI_far_adj*s_CF_rice,".")</f>
        <v>1560.625</v>
      </c>
      <c r="CX9" s="40">
        <f>IFERROR(s_C*(d_ss_Bv!Z9+s_MLF_cereal)*s_IFCG_far_adj*s_CF_cereal,".")</f>
        <v>1560.625</v>
      </c>
    </row>
    <row r="10" spans="1:102" x14ac:dyDescent="0.25">
      <c r="A10" s="46" t="s">
        <v>20</v>
      </c>
      <c r="B10" s="42" t="s">
        <v>351</v>
      </c>
      <c r="C10" s="15">
        <f t="shared" si="2"/>
        <v>65.075254464052222</v>
      </c>
      <c r="D10" s="15">
        <f>IFERROR((s_dir!D10/(d_ss_Bv!C10+s_MLF_apple)),".")</f>
        <v>504.18149222848342</v>
      </c>
      <c r="E10" s="15">
        <f>IFERROR((s_dir!E10/(d_ss_Bv!D10+s_MLF_asparagus)),".")</f>
        <v>132.39051428584665</v>
      </c>
      <c r="F10" s="15">
        <f>IFERROR((s_dir!F10/(d_ss_Bv!E10+s_MLF_beet)),".")</f>
        <v>175.32797837855367</v>
      </c>
      <c r="G10" s="15">
        <f>IFERROR((s_dir!G10/(d_ss_Bv!F10+s_MLF_berries)),".")</f>
        <v>623.76300000062361</v>
      </c>
      <c r="H10" s="15">
        <f>IFERROR((s_dir!H10/(d_ss_Bv!G10+s_MLF_broccoli)),".")</f>
        <v>282.04935652202107</v>
      </c>
      <c r="I10" s="15">
        <f>IFERROR((s_dir!I10/(d_ss_Bv!H10+s_MLF_cabbage)),".")</f>
        <v>132.39051428584665</v>
      </c>
      <c r="J10" s="15">
        <f>IFERROR((s_dir!J10/(d_ss_Bv!I10+s_MLF_carrot)),".")</f>
        <v>175.32797837855367</v>
      </c>
      <c r="K10" s="15">
        <f>IFERROR((s_dir!K10/(d_ss_Bv!J10+s_MLF_citrus)),".")</f>
        <v>504.18149222848342</v>
      </c>
      <c r="L10" s="15">
        <f>IFERROR((s_dir!L10/(d_ss_Bv!K10+s_MLF_corn)),".")</f>
        <v>209.26242580666084</v>
      </c>
      <c r="M10" s="15">
        <f>IFERROR((s_dir!M10/(d_ss_Bv!L10+s_MLF_cucumber)),".")</f>
        <v>282.04935652202107</v>
      </c>
      <c r="N10" s="15">
        <f>IFERROR((s_dir!N10/(d_ss_Bv!M10+s_MLF_lettuce)),".")</f>
        <v>132.39051428584665</v>
      </c>
      <c r="O10" s="15">
        <f>IFERROR((s_dir!O10/(d_ss_Bv!N10+s_MLF_lima_bean)),".")</f>
        <v>181.88229532728465</v>
      </c>
      <c r="P10" s="15">
        <f>IFERROR((s_dir!P10/(d_ss_Bv!O10+s_MLF_okra)),".")</f>
        <v>282.04935652202107</v>
      </c>
      <c r="Q10" s="15">
        <f>IFERROR((s_dir!Q10/(d_ss_Bv!P10+s_MLF_onion)),".")</f>
        <v>282.04935652202107</v>
      </c>
      <c r="R10" s="15">
        <f>IFERROR((s_dir!R10/(d_ss_Bv!Q10+s_MLF_peach)),".")</f>
        <v>504.18149222848342</v>
      </c>
      <c r="S10" s="15">
        <f>IFERROR((s_dir!S10/(d_ss_Bv!R10+s_MLF_pear)),".")</f>
        <v>504.18149222848342</v>
      </c>
      <c r="T10" s="15">
        <f>IFERROR((s_dir!T10/(d_ss_Bv!S10+s_MLF_peas)),".")</f>
        <v>181.88229532728465</v>
      </c>
      <c r="U10" s="15">
        <f>IFERROR((s_dir!U10/(d_ss_Bv!T10+s_MLF_potato)),".")</f>
        <v>140.01011223035579</v>
      </c>
      <c r="V10" s="15">
        <f>IFERROR((s_dir!V10/(d_ss_Bv!U10+s_MLF_pumpkin)),".")</f>
        <v>282.04935652202107</v>
      </c>
      <c r="W10" s="15">
        <f>IFERROR((s_dir!W10/(d_ss_Bv!V10+s_MLF_snap_bean)),".")</f>
        <v>181.88229532728465</v>
      </c>
      <c r="X10" s="15">
        <f>IFERROR((s_dir!X10/(d_ss_Bv!W10+s_MLF_strawberry)),".")</f>
        <v>593.33553658595918</v>
      </c>
      <c r="Y10" s="15">
        <f>IFERROR((s_dir!Y10/(d_ss_Bv!X10+s_MLF_tomato)),".")</f>
        <v>282.04935652202107</v>
      </c>
      <c r="Z10" s="15">
        <f>IFERROR((s_dir!Z10/(d_ss_Bv!Y10+s_MLF_rice)),".")</f>
        <v>683.81607870764083</v>
      </c>
      <c r="AA10" s="15">
        <f>IFERROR((s_dir!AA10/(d_ss_Bv!Z10+s_MLF_cereal)),".")</f>
        <v>228.95771294140536</v>
      </c>
      <c r="AB10" s="40">
        <f t="shared" si="3"/>
        <v>2056.0374999999999</v>
      </c>
      <c r="AC10" s="40">
        <f>s_C*(d_ss_Bv!C10+s_MLF_apple)*s_IFAP_res_adj*s_CF_apple</f>
        <v>265.37499999999994</v>
      </c>
      <c r="AD10" s="40">
        <f>s_C*(d_ss_Bv!D10+s_MLF_asparagus)*s_IFAS_res_adj*s_CF_asparagus</f>
        <v>1010.625</v>
      </c>
      <c r="AE10" s="40">
        <f>s_C*(d_ss_Bv!E10+s_MLF_beet)*s_IFBT_res_adj*s_CF_beet</f>
        <v>763.12500000000011</v>
      </c>
      <c r="AF10" s="40">
        <f>s_C*(d_ss_Bv!F10+s_MLF_berries)*s_IFBE_res_adj*s_CF_berries</f>
        <v>214.5</v>
      </c>
      <c r="AG10" s="40">
        <f>s_C*(d_ss_Bv!G10+s_MLF_broccoli)*s_IFBR_res_adj*s_CF_broccoli</f>
        <v>474.37500000000006</v>
      </c>
      <c r="AH10" s="40">
        <f>s_C*(d_ss_Bv!H10+s_MLF_cabbage)*s_IFCB_res_adj*s_CF_cabbage</f>
        <v>1010.625</v>
      </c>
      <c r="AI10" s="40">
        <f>s_C*(d_ss_Bv!I10+s_MLF_carrot)*s_IFCR_res_adj*s_CF_carrot</f>
        <v>763.12500000000011</v>
      </c>
      <c r="AJ10" s="40">
        <f>s_C*(d_ss_Bv!J10+s_MLF_citrus)*s_IFCI_res_adj*s_CF_citrus</f>
        <v>265.37499999999994</v>
      </c>
      <c r="AK10" s="40">
        <f>s_C*(d_ss_Bv!K10+s_MLF_corn)*s_IFCO_res_adj*s_CF_corn</f>
        <v>639.375</v>
      </c>
      <c r="AL10" s="40">
        <f>s_C*(d_ss_Bv!L10+s_MLF_cucumber)*s_IFCU_res_adj*s_CF_cucumber</f>
        <v>474.37500000000006</v>
      </c>
      <c r="AM10" s="40">
        <f>s_C*(d_ss_Bv!M10+s_MLF_lettuce)*s_IFLE_res_adj*s_CF_lettuce</f>
        <v>1010.625</v>
      </c>
      <c r="AN10" s="40">
        <f>s_C*(d_ss_Bv!N10+s_MLF_lima_bean)*s_IFLI_res_adj*s_CF_lima_bean</f>
        <v>735.625</v>
      </c>
      <c r="AO10" s="40">
        <f>s_C*(d_ss_Bv!O10+s_MLF_okra)*s_IFOK_res_adj*s_CF_okra</f>
        <v>474.37500000000006</v>
      </c>
      <c r="AP10" s="40">
        <f>s_C*(d_ss_Bv!P10+s_MLF_onion)*s_IFON_res_adj*s_CF_onion</f>
        <v>474.37500000000006</v>
      </c>
      <c r="AQ10" s="40">
        <f>s_C*(d_ss_Bv!Q10+s_MLF_peach)*s_IFPC_res_adj*s_CF_peach</f>
        <v>265.37499999999994</v>
      </c>
      <c r="AR10" s="40">
        <f>s_C*(d_ss_Bv!R10+s_MLF_pear)*s_IFPR_res_adj*s_CF_pear</f>
        <v>265.37499999999994</v>
      </c>
      <c r="AS10" s="40">
        <f>s_C*(d_ss_Bv!S10+s_MLF_peas)*s_IFPE_res_adj*s_CF_peas</f>
        <v>735.625</v>
      </c>
      <c r="AT10" s="40">
        <f>s_C*(d_ss_Bv!T10+s_MLF_potato)*s_IFPT_res_adj*s_CF_potato</f>
        <v>955.62500000000011</v>
      </c>
      <c r="AU10" s="40">
        <f>s_C*(d_ss_Bv!U10+s_MLF_pumpkin)*s_IFPU_res_adj*s_CF_pumpkin</f>
        <v>474.37500000000006</v>
      </c>
      <c r="AV10" s="40">
        <f>s_C*(d_ss_Bv!V10+s_MLF_snap_bean)*s_IFSN_res_adj*s_CF_snap_bean</f>
        <v>735.625</v>
      </c>
      <c r="AW10" s="40">
        <f>s_C*(d_ss_Bv!W10+s_MLF_strawberry)*s_IFST_res_adj*s_CF_strawberry</f>
        <v>225.49999999999997</v>
      </c>
      <c r="AX10" s="40">
        <f>s_C*(d_ss_Bv!X10+s_MLF_tomato)*s_IFTO_res_adj*s_CF_tomato</f>
        <v>474.37500000000006</v>
      </c>
      <c r="AY10" s="40">
        <f>s_C*(d_ss_Bv!Y10+s_MLF_rice)*s_IFRI_res_adj*s_CF_rice</f>
        <v>195.66249999999997</v>
      </c>
      <c r="AZ10" s="40">
        <f>s_C*(d_ss_Bv!Z10+s_MLF_cereal)*s_IFCG_res_adj*s_CF_cereal</f>
        <v>584.37500000000011</v>
      </c>
      <c r="BA10" s="15">
        <f t="shared" si="4"/>
        <v>65.075254464052222</v>
      </c>
      <c r="BB10" s="15">
        <f>IFERROR((s_dir!AC10/(d_ss_Bv!C10+s_MLF_apple)),".")</f>
        <v>504.18149222848342</v>
      </c>
      <c r="BC10" s="15">
        <f>IFERROR((s_dir!AD10/(d_ss_Bv!D10+s_MLF_asparagus)),".")</f>
        <v>132.39051428584665</v>
      </c>
      <c r="BD10" s="15">
        <f>IFERROR((s_dir!AE10/(d_ss_Bv!E10+s_MLF_beet)),".")</f>
        <v>175.32797837855367</v>
      </c>
      <c r="BE10" s="15">
        <f>IFERROR((s_dir!AF10/(d_ss_Bv!F10+s_MLF_berries)),".")</f>
        <v>623.76300000062361</v>
      </c>
      <c r="BF10" s="15">
        <f>IFERROR((s_dir!AG10/(d_ss_Bv!G10+s_MLF_broccoli)),".")</f>
        <v>282.04935652202107</v>
      </c>
      <c r="BG10" s="15">
        <f>IFERROR((s_dir!AH10/(d_ss_Bv!H10+s_MLF_cabbage)),".")</f>
        <v>132.39051428584665</v>
      </c>
      <c r="BH10" s="15">
        <f>IFERROR((s_dir!AI10/(d_ss_Bv!I10+s_MLF_carrot)),".")</f>
        <v>175.32797837855367</v>
      </c>
      <c r="BI10" s="15">
        <f>IFERROR((s_dir!AJ10/(d_ss_Bv!J10+s_MLF_citrus)),".")</f>
        <v>504.18149222848342</v>
      </c>
      <c r="BJ10" s="15">
        <f>IFERROR((s_dir!AK10/(d_ss_Bv!K10+s_MLF_corn)),".")</f>
        <v>209.26242580666084</v>
      </c>
      <c r="BK10" s="15">
        <f>IFERROR((s_dir!AL10/(d_ss_Bv!L10+s_MLF_cucumber)),".")</f>
        <v>282.04935652202107</v>
      </c>
      <c r="BL10" s="15">
        <f>IFERROR((s_dir!AM10/(d_ss_Bv!M10+s_MLF_lettuce)),".")</f>
        <v>132.39051428584665</v>
      </c>
      <c r="BM10" s="15">
        <f>IFERROR((s_dir!AN10/(d_ss_Bv!N10+s_MLF_lima_bean)),".")</f>
        <v>181.88229532728465</v>
      </c>
      <c r="BN10" s="15">
        <f>IFERROR((s_dir!AO10/(d_ss_Bv!O10+s_MLF_okra)),".")</f>
        <v>282.04935652202107</v>
      </c>
      <c r="BO10" s="15">
        <f>IFERROR((s_dir!AP10/(d_ss_Bv!P10+s_MLF_onion)),".")</f>
        <v>282.04935652202107</v>
      </c>
      <c r="BP10" s="15">
        <f>IFERROR((s_dir!AQ10/(d_ss_Bv!Q10+s_MLF_peach)),".")</f>
        <v>504.18149222848342</v>
      </c>
      <c r="BQ10" s="15">
        <f>IFERROR((s_dir!AR10/(d_ss_Bv!R10+s_MLF_pear)),".")</f>
        <v>504.18149222848342</v>
      </c>
      <c r="BR10" s="15">
        <f>IFERROR((s_dir!AS10/(d_ss_Bv!S10+s_MLF_peas)),".")</f>
        <v>181.88229532728465</v>
      </c>
      <c r="BS10" s="15">
        <f>IFERROR((s_dir!AT10/(d_ss_Bv!T10+s_MLF_potato)),".")</f>
        <v>140.01011223035579</v>
      </c>
      <c r="BT10" s="15">
        <f>IFERROR((s_dir!AU10/(d_ss_Bv!U10+s_MLF_pumpkin)),".")</f>
        <v>282.04935652202107</v>
      </c>
      <c r="BU10" s="15">
        <f>IFERROR((s_dir!AV10/(d_ss_Bv!V10+s_MLF_snap_bean)),".")</f>
        <v>181.88229532728465</v>
      </c>
      <c r="BV10" s="15">
        <f>IFERROR((s_dir!AW10/(d_ss_Bv!W10+s_MLF_strawberry)),".")</f>
        <v>593.33553658595918</v>
      </c>
      <c r="BW10" s="15">
        <f>IFERROR((s_dir!AX10/(d_ss_Bv!X10+s_MLF_tomato)),".")</f>
        <v>282.04935652202107</v>
      </c>
      <c r="BX10" s="15">
        <f>IFERROR((s_dir!AY10/(d_ss_Bv!Y10+s_MLF_rice)),".")</f>
        <v>683.81607870764083</v>
      </c>
      <c r="BY10" s="15">
        <f>IFERROR((s_dir!AZ10/(d_ss_Bv!Z10+s_MLF_cereal)),".")</f>
        <v>228.95771294140536</v>
      </c>
      <c r="BZ10" s="40">
        <f t="shared" si="5"/>
        <v>2056.0374999999999</v>
      </c>
      <c r="CA10" s="40">
        <f>IFERROR(s_C*(d_ss_Bv!C10+s_MLF_apple)*s_IFAP_far_adj*s_CF_apple,".")</f>
        <v>265.37499999999994</v>
      </c>
      <c r="CB10" s="40">
        <f>IFERROR(s_C*(d_ss_Bv!D10+s_MLF_asparagus)*s_IFAS_far_adj*s_CF_asparagus,".")</f>
        <v>1010.625</v>
      </c>
      <c r="CC10" s="40">
        <f>IFERROR(s_C*(d_ss_Bv!E10+s_MLF_beet)*s_IFBT_far_adj*s_CF_beet,".")</f>
        <v>763.12500000000011</v>
      </c>
      <c r="CD10" s="40">
        <f>IFERROR(s_C*(d_ss_Bv!F10+s_MLF_berries)*s_IFBR_far_adj*s_CF_berries,".")</f>
        <v>214.5</v>
      </c>
      <c r="CE10" s="40">
        <f>IFERROR(s_C*(d_ss_Bv!G10+s_MLF_broccoli)*s_IFBR_far_adj*s_CF_broccoli,".")</f>
        <v>474.37500000000006</v>
      </c>
      <c r="CF10" s="40">
        <f>IFERROR(s_C*(d_ss_Bv!H10+s_MLF_cabbage)*s_IFCB_far_adj*s_CF_cabbage,".")</f>
        <v>1010.625</v>
      </c>
      <c r="CG10" s="40">
        <f>IFERROR(s_C*(d_ss_Bv!I10+s_MLF_carrot)*s_IFCR_far_adj*s_CF_carrot,".")</f>
        <v>763.12500000000011</v>
      </c>
      <c r="CH10" s="40">
        <f>IFERROR(s_C*(d_ss_Bv!J10+s_MLF_citrus)*s_IFCI_far_adj*s_CF_citrus,".")</f>
        <v>265.37499999999994</v>
      </c>
      <c r="CI10" s="40">
        <f>IFERROR(s_C*(d_ss_Bv!K10+s_MLF_corn)*s_IFCO_far_adj*s_CF_corn,".")</f>
        <v>639.375</v>
      </c>
      <c r="CJ10" s="40">
        <f>IFERROR(s_C*(d_ss_Bv!L10+s_MLF_cucumber)*s_IFCU_far_adj*s_CF_cucumber,".")</f>
        <v>474.37500000000006</v>
      </c>
      <c r="CK10" s="40">
        <f>IFERROR(s_C*(d_ss_Bv!M10+s_MLF_lettuce)*s_IFLE_far_adj*s_CF_lettuce,".")</f>
        <v>1010.625</v>
      </c>
      <c r="CL10" s="40">
        <f>IFERROR(s_C*(d_ss_Bv!N10+s_MLF_lima_bean)*s_IFLI_far_adj*s_CF_lima_bean,".")</f>
        <v>735.625</v>
      </c>
      <c r="CM10" s="40">
        <f>IFERROR(s_C*(d_ss_Bv!O10+s_MLF_okra)*s_IFOK_far_adj*s_CF_okra,".")</f>
        <v>474.37500000000006</v>
      </c>
      <c r="CN10" s="40">
        <f>IFERROR(s_C*(d_ss_Bv!P10+s_MLF_onion)*s_IFON_far_adj*s_CF_onion,".")</f>
        <v>474.37500000000006</v>
      </c>
      <c r="CO10" s="40">
        <f>IFERROR(s_C*(d_ss_Bv!Q10+s_MLF_peach)*s_IFPC_far_adj*s_CF_peach,".")</f>
        <v>265.37499999999994</v>
      </c>
      <c r="CP10" s="40">
        <f>IFERROR(s_C*(d_ss_Bv!R10+s_MLF_pear)*s_IFPR_far_adj*s_CF_pear,".")</f>
        <v>265.37499999999994</v>
      </c>
      <c r="CQ10" s="40">
        <f>IFERROR(s_C*(d_ss_Bv!S10+s_MLF_peas)*s_IFPE_far_adj*s_CF_peas,".")</f>
        <v>735.625</v>
      </c>
      <c r="CR10" s="40">
        <f>IFERROR(s_C*(d_ss_Bv!T10+s_MLF_potato)*s_IFPT_far_adj*s_CF_potato,".")</f>
        <v>955.62500000000011</v>
      </c>
      <c r="CS10" s="40">
        <f>IFERROR(s_C*(d_ss_Bv!U10+s_MLF_pumpkin)*s_IFPU_far_adj*s_CF_pumpkin,".")</f>
        <v>474.37500000000006</v>
      </c>
      <c r="CT10" s="40">
        <f>IFERROR(s_C*(d_ss_Bv!V10+s_MLF_snap_bean)*s_IFSN_far_adj*s_CF_snap_bean,".")</f>
        <v>735.625</v>
      </c>
      <c r="CU10" s="40">
        <f>IFERROR(s_C*(d_ss_Bv!W10+s_MLF_strawberry)*s_IFST_far_adj*s_CF_strawberry,".")</f>
        <v>225.49999999999997</v>
      </c>
      <c r="CV10" s="40">
        <f>IFERROR(s_C*(d_ss_Bv!X10+s_MLF_tomato)*s_IFTO_far_adj*s_CF_tomato,".")</f>
        <v>474.37500000000006</v>
      </c>
      <c r="CW10" s="40">
        <f>IFERROR(s_C*(d_ss_Bv!Y10+s_MLF_rice)*s_IFRI_far_adj*s_CF_rice,".")</f>
        <v>195.66249999999997</v>
      </c>
      <c r="CX10" s="40">
        <f>IFERROR(s_C*(d_ss_Bv!Z10+s_MLF_cereal)*s_IFCG_far_adj*s_CF_cereal,".")</f>
        <v>584.37500000000011</v>
      </c>
    </row>
    <row r="11" spans="1:102" ht="15" customHeight="1" x14ac:dyDescent="0.25">
      <c r="A11" s="44" t="s">
        <v>21</v>
      </c>
      <c r="B11" s="42" t="s">
        <v>1074</v>
      </c>
      <c r="C11" s="15" t="str">
        <f t="shared" si="2"/>
        <v>.</v>
      </c>
      <c r="D11" s="15" t="str">
        <f>IFERROR((s_dir!D11/(d_ss_Bv!C11+s_MLF_apple)),".")</f>
        <v>.</v>
      </c>
      <c r="E11" s="15" t="str">
        <f>IFERROR((s_dir!E11/(d_ss_Bv!D11+s_MLF_asparagus)),".")</f>
        <v>.</v>
      </c>
      <c r="F11" s="15" t="str">
        <f>IFERROR((s_dir!F11/(d_ss_Bv!E11+s_MLF_beet)),".")</f>
        <v>.</v>
      </c>
      <c r="G11" s="15" t="str">
        <f>IFERROR((s_dir!G11/(d_ss_Bv!F11+s_MLF_berries)),".")</f>
        <v>.</v>
      </c>
      <c r="H11" s="15" t="str">
        <f>IFERROR((s_dir!H11/(d_ss_Bv!G11+s_MLF_broccoli)),".")</f>
        <v>.</v>
      </c>
      <c r="I11" s="15" t="str">
        <f>IFERROR((s_dir!I11/(d_ss_Bv!H11+s_MLF_cabbage)),".")</f>
        <v>.</v>
      </c>
      <c r="J11" s="15" t="str">
        <f>IFERROR((s_dir!J11/(d_ss_Bv!I11+s_MLF_carrot)),".")</f>
        <v>.</v>
      </c>
      <c r="K11" s="15" t="str">
        <f>IFERROR((s_dir!K11/(d_ss_Bv!J11+s_MLF_citrus)),".")</f>
        <v>.</v>
      </c>
      <c r="L11" s="15" t="str">
        <f>IFERROR((s_dir!L11/(d_ss_Bv!K11+s_MLF_corn)),".")</f>
        <v>.</v>
      </c>
      <c r="M11" s="15" t="str">
        <f>IFERROR((s_dir!M11/(d_ss_Bv!L11+s_MLF_cucumber)),".")</f>
        <v>.</v>
      </c>
      <c r="N11" s="15" t="str">
        <f>IFERROR((s_dir!N11/(d_ss_Bv!M11+s_MLF_lettuce)),".")</f>
        <v>.</v>
      </c>
      <c r="O11" s="15" t="str">
        <f>IFERROR((s_dir!O11/(d_ss_Bv!N11+s_MLF_lima_bean)),".")</f>
        <v>.</v>
      </c>
      <c r="P11" s="15" t="str">
        <f>IFERROR((s_dir!P11/(d_ss_Bv!O11+s_MLF_okra)),".")</f>
        <v>.</v>
      </c>
      <c r="Q11" s="15" t="str">
        <f>IFERROR((s_dir!Q11/(d_ss_Bv!P11+s_MLF_onion)),".")</f>
        <v>.</v>
      </c>
      <c r="R11" s="15" t="str">
        <f>IFERROR((s_dir!R11/(d_ss_Bv!Q11+s_MLF_peach)),".")</f>
        <v>.</v>
      </c>
      <c r="S11" s="15" t="str">
        <f>IFERROR((s_dir!S11/(d_ss_Bv!R11+s_MLF_pear)),".")</f>
        <v>.</v>
      </c>
      <c r="T11" s="15" t="str">
        <f>IFERROR((s_dir!T11/(d_ss_Bv!S11+s_MLF_peas)),".")</f>
        <v>.</v>
      </c>
      <c r="U11" s="15" t="str">
        <f>IFERROR((s_dir!U11/(d_ss_Bv!T11+s_MLF_potato)),".")</f>
        <v>.</v>
      </c>
      <c r="V11" s="15" t="str">
        <f>IFERROR((s_dir!V11/(d_ss_Bv!U11+s_MLF_pumpkin)),".")</f>
        <v>.</v>
      </c>
      <c r="W11" s="15" t="str">
        <f>IFERROR((s_dir!W11/(d_ss_Bv!V11+s_MLF_snap_bean)),".")</f>
        <v>.</v>
      </c>
      <c r="X11" s="15" t="str">
        <f>IFERROR((s_dir!X11/(d_ss_Bv!W11+s_MLF_strawberry)),".")</f>
        <v>.</v>
      </c>
      <c r="Y11" s="15" t="str">
        <f>IFERROR((s_dir!Y11/(d_ss_Bv!X11+s_MLF_tomato)),".")</f>
        <v>.</v>
      </c>
      <c r="Z11" s="15" t="str">
        <f>IFERROR((s_dir!Z11/(d_ss_Bv!Y11+s_MLF_rice)),".")</f>
        <v>.</v>
      </c>
      <c r="AA11" s="15" t="str">
        <f>IFERROR((s_dir!AA11/(d_ss_Bv!Z11+s_MLF_cereal)),".")</f>
        <v>.</v>
      </c>
      <c r="AB11" s="40">
        <f t="shared" si="3"/>
        <v>2392.4999999999995</v>
      </c>
      <c r="AC11" s="40">
        <f>s_C*(d_ss_Bv!C11+s_MLF_apple)*s_IFAP_res_adj*s_CF_apple</f>
        <v>598.12499999999989</v>
      </c>
      <c r="AD11" s="40">
        <f>s_C*(d_ss_Bv!D11+s_MLF_asparagus)*s_IFAS_res_adj*s_CF_asparagus</f>
        <v>598.12499999999989</v>
      </c>
      <c r="AE11" s="40">
        <f>s_C*(d_ss_Bv!E11+s_MLF_beet)*s_IFBT_res_adj*s_CF_beet</f>
        <v>598.12499999999989</v>
      </c>
      <c r="AF11" s="40">
        <f>s_C*(d_ss_Bv!F11+s_MLF_berries)*s_IFBE_res_adj*s_CF_berries</f>
        <v>598.12499999999989</v>
      </c>
      <c r="AG11" s="40">
        <f>s_C*(d_ss_Bv!G11+s_MLF_broccoli)*s_IFBR_res_adj*s_CF_broccoli</f>
        <v>598.12499999999989</v>
      </c>
      <c r="AH11" s="40">
        <f>s_C*(d_ss_Bv!H11+s_MLF_cabbage)*s_IFCB_res_adj*s_CF_cabbage</f>
        <v>598.12499999999989</v>
      </c>
      <c r="AI11" s="40">
        <f>s_C*(d_ss_Bv!I11+s_MLF_carrot)*s_IFCR_res_adj*s_CF_carrot</f>
        <v>598.12499999999989</v>
      </c>
      <c r="AJ11" s="40">
        <f>s_C*(d_ss_Bv!J11+s_MLF_citrus)*s_IFCI_res_adj*s_CF_citrus</f>
        <v>598.12499999999989</v>
      </c>
      <c r="AK11" s="40">
        <f>s_C*(d_ss_Bv!K11+s_MLF_corn)*s_IFCO_res_adj*s_CF_corn</f>
        <v>598.12499999999989</v>
      </c>
      <c r="AL11" s="40">
        <f>s_C*(d_ss_Bv!L11+s_MLF_cucumber)*s_IFCU_res_adj*s_CF_cucumber</f>
        <v>598.12499999999989</v>
      </c>
      <c r="AM11" s="40">
        <f>s_C*(d_ss_Bv!M11+s_MLF_lettuce)*s_IFLE_res_adj*s_CF_lettuce</f>
        <v>598.12499999999989</v>
      </c>
      <c r="AN11" s="40">
        <f>s_C*(d_ss_Bv!N11+s_MLF_lima_bean)*s_IFLI_res_adj*s_CF_lima_bean</f>
        <v>598.12499999999989</v>
      </c>
      <c r="AO11" s="40">
        <f>s_C*(d_ss_Bv!O11+s_MLF_okra)*s_IFOK_res_adj*s_CF_okra</f>
        <v>598.12499999999989</v>
      </c>
      <c r="AP11" s="40">
        <f>s_C*(d_ss_Bv!P11+s_MLF_onion)*s_IFON_res_adj*s_CF_onion</f>
        <v>598.12499999999989</v>
      </c>
      <c r="AQ11" s="40">
        <f>s_C*(d_ss_Bv!Q11+s_MLF_peach)*s_IFPC_res_adj*s_CF_peach</f>
        <v>598.12499999999989</v>
      </c>
      <c r="AR11" s="40">
        <f>s_C*(d_ss_Bv!R11+s_MLF_pear)*s_IFPR_res_adj*s_CF_pear</f>
        <v>598.12499999999989</v>
      </c>
      <c r="AS11" s="40">
        <f>s_C*(d_ss_Bv!S11+s_MLF_peas)*s_IFPE_res_adj*s_CF_peas</f>
        <v>598.12499999999989</v>
      </c>
      <c r="AT11" s="40">
        <f>s_C*(d_ss_Bv!T11+s_MLF_potato)*s_IFPT_res_adj*s_CF_potato</f>
        <v>598.12499999999989</v>
      </c>
      <c r="AU11" s="40">
        <f>s_C*(d_ss_Bv!U11+s_MLF_pumpkin)*s_IFPU_res_adj*s_CF_pumpkin</f>
        <v>598.12499999999989</v>
      </c>
      <c r="AV11" s="40">
        <f>s_C*(d_ss_Bv!V11+s_MLF_snap_bean)*s_IFSN_res_adj*s_CF_snap_bean</f>
        <v>598.12499999999989</v>
      </c>
      <c r="AW11" s="40">
        <f>s_C*(d_ss_Bv!W11+s_MLF_strawberry)*s_IFST_res_adj*s_CF_strawberry</f>
        <v>598.12499999999989</v>
      </c>
      <c r="AX11" s="40">
        <f>s_C*(d_ss_Bv!X11+s_MLF_tomato)*s_IFTO_res_adj*s_CF_tomato</f>
        <v>598.12499999999989</v>
      </c>
      <c r="AY11" s="40">
        <f>s_C*(d_ss_Bv!Y11+s_MLF_rice)*s_IFRI_res_adj*s_CF_rice</f>
        <v>598.12499999999989</v>
      </c>
      <c r="AZ11" s="40">
        <f>s_C*(d_ss_Bv!Z11+s_MLF_cereal)*s_IFCG_res_adj*s_CF_cereal</f>
        <v>598.12499999999989</v>
      </c>
      <c r="BA11" s="15" t="str">
        <f t="shared" si="4"/>
        <v>.</v>
      </c>
      <c r="BB11" s="15" t="str">
        <f>IFERROR((s_dir!AC11/(d_ss_Bv!C11+s_MLF_apple)),".")</f>
        <v>.</v>
      </c>
      <c r="BC11" s="15" t="str">
        <f>IFERROR((s_dir!AD11/(d_ss_Bv!D11+s_MLF_asparagus)),".")</f>
        <v>.</v>
      </c>
      <c r="BD11" s="15" t="str">
        <f>IFERROR((s_dir!AE11/(d_ss_Bv!E11+s_MLF_beet)),".")</f>
        <v>.</v>
      </c>
      <c r="BE11" s="15" t="str">
        <f>IFERROR((s_dir!AF11/(d_ss_Bv!F11+s_MLF_berries)),".")</f>
        <v>.</v>
      </c>
      <c r="BF11" s="15" t="str">
        <f>IFERROR((s_dir!AG11/(d_ss_Bv!G11+s_MLF_broccoli)),".")</f>
        <v>.</v>
      </c>
      <c r="BG11" s="15" t="str">
        <f>IFERROR((s_dir!AH11/(d_ss_Bv!H11+s_MLF_cabbage)),".")</f>
        <v>.</v>
      </c>
      <c r="BH11" s="15" t="str">
        <f>IFERROR((s_dir!AI11/(d_ss_Bv!I11+s_MLF_carrot)),".")</f>
        <v>.</v>
      </c>
      <c r="BI11" s="15" t="str">
        <f>IFERROR((s_dir!AJ11/(d_ss_Bv!J11+s_MLF_citrus)),".")</f>
        <v>.</v>
      </c>
      <c r="BJ11" s="15" t="str">
        <f>IFERROR((s_dir!AK11/(d_ss_Bv!K11+s_MLF_corn)),".")</f>
        <v>.</v>
      </c>
      <c r="BK11" s="15" t="str">
        <f>IFERROR((s_dir!AL11/(d_ss_Bv!L11+s_MLF_cucumber)),".")</f>
        <v>.</v>
      </c>
      <c r="BL11" s="15" t="str">
        <f>IFERROR((s_dir!AM11/(d_ss_Bv!M11+s_MLF_lettuce)),".")</f>
        <v>.</v>
      </c>
      <c r="BM11" s="15" t="str">
        <f>IFERROR((s_dir!AN11/(d_ss_Bv!N11+s_MLF_lima_bean)),".")</f>
        <v>.</v>
      </c>
      <c r="BN11" s="15" t="str">
        <f>IFERROR((s_dir!AO11/(d_ss_Bv!O11+s_MLF_okra)),".")</f>
        <v>.</v>
      </c>
      <c r="BO11" s="15" t="str">
        <f>IFERROR((s_dir!AP11/(d_ss_Bv!P11+s_MLF_onion)),".")</f>
        <v>.</v>
      </c>
      <c r="BP11" s="15" t="str">
        <f>IFERROR((s_dir!AQ11/(d_ss_Bv!Q11+s_MLF_peach)),".")</f>
        <v>.</v>
      </c>
      <c r="BQ11" s="15" t="str">
        <f>IFERROR((s_dir!AR11/(d_ss_Bv!R11+s_MLF_pear)),".")</f>
        <v>.</v>
      </c>
      <c r="BR11" s="15" t="str">
        <f>IFERROR((s_dir!AS11/(d_ss_Bv!S11+s_MLF_peas)),".")</f>
        <v>.</v>
      </c>
      <c r="BS11" s="15" t="str">
        <f>IFERROR((s_dir!AT11/(d_ss_Bv!T11+s_MLF_potato)),".")</f>
        <v>.</v>
      </c>
      <c r="BT11" s="15" t="str">
        <f>IFERROR((s_dir!AU11/(d_ss_Bv!U11+s_MLF_pumpkin)),".")</f>
        <v>.</v>
      </c>
      <c r="BU11" s="15" t="str">
        <f>IFERROR((s_dir!AV11/(d_ss_Bv!V11+s_MLF_snap_bean)),".")</f>
        <v>.</v>
      </c>
      <c r="BV11" s="15" t="str">
        <f>IFERROR((s_dir!AW11/(d_ss_Bv!W11+s_MLF_strawberry)),".")</f>
        <v>.</v>
      </c>
      <c r="BW11" s="15" t="str">
        <f>IFERROR((s_dir!AX11/(d_ss_Bv!X11+s_MLF_tomato)),".")</f>
        <v>.</v>
      </c>
      <c r="BX11" s="15" t="str">
        <f>IFERROR((s_dir!AY11/(d_ss_Bv!Y11+s_MLF_rice)),".")</f>
        <v>.</v>
      </c>
      <c r="BY11" s="15" t="str">
        <f>IFERROR((s_dir!AZ11/(d_ss_Bv!Z11+s_MLF_cereal)),".")</f>
        <v>.</v>
      </c>
      <c r="BZ11" s="40">
        <f t="shared" si="5"/>
        <v>2392.4999999999995</v>
      </c>
      <c r="CA11" s="40">
        <f>IFERROR(s_C*(d_ss_Bv!C11+s_MLF_apple)*s_IFAP_far_adj*s_CF_apple,".")</f>
        <v>598.12499999999989</v>
      </c>
      <c r="CB11" s="40">
        <f>IFERROR(s_C*(d_ss_Bv!D11+s_MLF_asparagus)*s_IFAS_far_adj*s_CF_asparagus,".")</f>
        <v>598.12499999999989</v>
      </c>
      <c r="CC11" s="40">
        <f>IFERROR(s_C*(d_ss_Bv!E11+s_MLF_beet)*s_IFBT_far_adj*s_CF_beet,".")</f>
        <v>598.12499999999989</v>
      </c>
      <c r="CD11" s="40">
        <f>IFERROR(s_C*(d_ss_Bv!F11+s_MLF_berries)*s_IFBR_far_adj*s_CF_berries,".")</f>
        <v>598.12499999999989</v>
      </c>
      <c r="CE11" s="40">
        <f>IFERROR(s_C*(d_ss_Bv!G11+s_MLF_broccoli)*s_IFBR_far_adj*s_CF_broccoli,".")</f>
        <v>598.12499999999989</v>
      </c>
      <c r="CF11" s="40">
        <f>IFERROR(s_C*(d_ss_Bv!H11+s_MLF_cabbage)*s_IFCB_far_adj*s_CF_cabbage,".")</f>
        <v>598.12499999999989</v>
      </c>
      <c r="CG11" s="40">
        <f>IFERROR(s_C*(d_ss_Bv!I11+s_MLF_carrot)*s_IFCR_far_adj*s_CF_carrot,".")</f>
        <v>598.12499999999989</v>
      </c>
      <c r="CH11" s="40">
        <f>IFERROR(s_C*(d_ss_Bv!J11+s_MLF_citrus)*s_IFCI_far_adj*s_CF_citrus,".")</f>
        <v>598.12499999999989</v>
      </c>
      <c r="CI11" s="40">
        <f>IFERROR(s_C*(d_ss_Bv!K11+s_MLF_corn)*s_IFCO_far_adj*s_CF_corn,".")</f>
        <v>598.12499999999989</v>
      </c>
      <c r="CJ11" s="40">
        <f>IFERROR(s_C*(d_ss_Bv!L11+s_MLF_cucumber)*s_IFCU_far_adj*s_CF_cucumber,".")</f>
        <v>598.12499999999989</v>
      </c>
      <c r="CK11" s="40">
        <f>IFERROR(s_C*(d_ss_Bv!M11+s_MLF_lettuce)*s_IFLE_far_adj*s_CF_lettuce,".")</f>
        <v>598.12499999999989</v>
      </c>
      <c r="CL11" s="40">
        <f>IFERROR(s_C*(d_ss_Bv!N11+s_MLF_lima_bean)*s_IFLI_far_adj*s_CF_lima_bean,".")</f>
        <v>598.12499999999989</v>
      </c>
      <c r="CM11" s="40">
        <f>IFERROR(s_C*(d_ss_Bv!O11+s_MLF_okra)*s_IFOK_far_adj*s_CF_okra,".")</f>
        <v>598.12499999999989</v>
      </c>
      <c r="CN11" s="40">
        <f>IFERROR(s_C*(d_ss_Bv!P11+s_MLF_onion)*s_IFON_far_adj*s_CF_onion,".")</f>
        <v>598.12499999999989</v>
      </c>
      <c r="CO11" s="40">
        <f>IFERROR(s_C*(d_ss_Bv!Q11+s_MLF_peach)*s_IFPC_far_adj*s_CF_peach,".")</f>
        <v>598.12499999999989</v>
      </c>
      <c r="CP11" s="40">
        <f>IFERROR(s_C*(d_ss_Bv!R11+s_MLF_pear)*s_IFPR_far_adj*s_CF_pear,".")</f>
        <v>598.12499999999989</v>
      </c>
      <c r="CQ11" s="40">
        <f>IFERROR(s_C*(d_ss_Bv!S11+s_MLF_peas)*s_IFPE_far_adj*s_CF_peas,".")</f>
        <v>598.12499999999989</v>
      </c>
      <c r="CR11" s="40">
        <f>IFERROR(s_C*(d_ss_Bv!T11+s_MLF_potato)*s_IFPT_far_adj*s_CF_potato,".")</f>
        <v>598.12499999999989</v>
      </c>
      <c r="CS11" s="40">
        <f>IFERROR(s_C*(d_ss_Bv!U11+s_MLF_pumpkin)*s_IFPU_far_adj*s_CF_pumpkin,".")</f>
        <v>598.12499999999989</v>
      </c>
      <c r="CT11" s="40">
        <f>IFERROR(s_C*(d_ss_Bv!V11+s_MLF_snap_bean)*s_IFSN_far_adj*s_CF_snap_bean,".")</f>
        <v>598.12499999999989</v>
      </c>
      <c r="CU11" s="40">
        <f>IFERROR(s_C*(d_ss_Bv!W11+s_MLF_strawberry)*s_IFST_far_adj*s_CF_strawberry,".")</f>
        <v>598.12499999999989</v>
      </c>
      <c r="CV11" s="40">
        <f>IFERROR(s_C*(d_ss_Bv!X11+s_MLF_tomato)*s_IFTO_far_adj*s_CF_tomato,".")</f>
        <v>598.12499999999989</v>
      </c>
      <c r="CW11" s="40">
        <f>IFERROR(s_C*(d_ss_Bv!Y11+s_MLF_rice)*s_IFRI_far_adj*s_CF_rice,".")</f>
        <v>598.12499999999989</v>
      </c>
      <c r="CX11" s="40">
        <f>IFERROR(s_C*(d_ss_Bv!Z11+s_MLF_cereal)*s_IFCG_far_adj*s_CF_cereal,".")</f>
        <v>598.12499999999989</v>
      </c>
    </row>
    <row r="12" spans="1:102" ht="15" customHeight="1" x14ac:dyDescent="0.25">
      <c r="A12" s="44" t="s">
        <v>22</v>
      </c>
      <c r="B12" s="42" t="s">
        <v>1074</v>
      </c>
      <c r="C12" s="15" t="str">
        <f t="shared" si="2"/>
        <v>.</v>
      </c>
      <c r="D12" s="15" t="str">
        <f>IFERROR((s_dir!D12/(d_ss_Bv!C12+s_MLF_apple)),".")</f>
        <v>.</v>
      </c>
      <c r="E12" s="15" t="str">
        <f>IFERROR((s_dir!E12/(d_ss_Bv!D12+s_MLF_asparagus)),".")</f>
        <v>.</v>
      </c>
      <c r="F12" s="15" t="str">
        <f>IFERROR((s_dir!F12/(d_ss_Bv!E12+s_MLF_beet)),".")</f>
        <v>.</v>
      </c>
      <c r="G12" s="15" t="str">
        <f>IFERROR((s_dir!G12/(d_ss_Bv!F12+s_MLF_berries)),".")</f>
        <v>.</v>
      </c>
      <c r="H12" s="15" t="str">
        <f>IFERROR((s_dir!H12/(d_ss_Bv!G12+s_MLF_broccoli)),".")</f>
        <v>.</v>
      </c>
      <c r="I12" s="15" t="str">
        <f>IFERROR((s_dir!I12/(d_ss_Bv!H12+s_MLF_cabbage)),".")</f>
        <v>.</v>
      </c>
      <c r="J12" s="15" t="str">
        <f>IFERROR((s_dir!J12/(d_ss_Bv!I12+s_MLF_carrot)),".")</f>
        <v>.</v>
      </c>
      <c r="K12" s="15" t="str">
        <f>IFERROR((s_dir!K12/(d_ss_Bv!J12+s_MLF_citrus)),".")</f>
        <v>.</v>
      </c>
      <c r="L12" s="15" t="str">
        <f>IFERROR((s_dir!L12/(d_ss_Bv!K12+s_MLF_corn)),".")</f>
        <v>.</v>
      </c>
      <c r="M12" s="15" t="str">
        <f>IFERROR((s_dir!M12/(d_ss_Bv!L12+s_MLF_cucumber)),".")</f>
        <v>.</v>
      </c>
      <c r="N12" s="15" t="str">
        <f>IFERROR((s_dir!N12/(d_ss_Bv!M12+s_MLF_lettuce)),".")</f>
        <v>.</v>
      </c>
      <c r="O12" s="15" t="str">
        <f>IFERROR((s_dir!O12/(d_ss_Bv!N12+s_MLF_lima_bean)),".")</f>
        <v>.</v>
      </c>
      <c r="P12" s="15" t="str">
        <f>IFERROR((s_dir!P12/(d_ss_Bv!O12+s_MLF_okra)),".")</f>
        <v>.</v>
      </c>
      <c r="Q12" s="15" t="str">
        <f>IFERROR((s_dir!Q12/(d_ss_Bv!P12+s_MLF_onion)),".")</f>
        <v>.</v>
      </c>
      <c r="R12" s="15" t="str">
        <f>IFERROR((s_dir!R12/(d_ss_Bv!Q12+s_MLF_peach)),".")</f>
        <v>.</v>
      </c>
      <c r="S12" s="15" t="str">
        <f>IFERROR((s_dir!S12/(d_ss_Bv!R12+s_MLF_pear)),".")</f>
        <v>.</v>
      </c>
      <c r="T12" s="15" t="str">
        <f>IFERROR((s_dir!T12/(d_ss_Bv!S12+s_MLF_peas)),".")</f>
        <v>.</v>
      </c>
      <c r="U12" s="15" t="str">
        <f>IFERROR((s_dir!U12/(d_ss_Bv!T12+s_MLF_potato)),".")</f>
        <v>.</v>
      </c>
      <c r="V12" s="15" t="str">
        <f>IFERROR((s_dir!V12/(d_ss_Bv!U12+s_MLF_pumpkin)),".")</f>
        <v>.</v>
      </c>
      <c r="W12" s="15" t="str">
        <f>IFERROR((s_dir!W12/(d_ss_Bv!V12+s_MLF_snap_bean)),".")</f>
        <v>.</v>
      </c>
      <c r="X12" s="15" t="str">
        <f>IFERROR((s_dir!X12/(d_ss_Bv!W12+s_MLF_strawberry)),".")</f>
        <v>.</v>
      </c>
      <c r="Y12" s="15" t="str">
        <f>IFERROR((s_dir!Y12/(d_ss_Bv!X12+s_MLF_tomato)),".")</f>
        <v>.</v>
      </c>
      <c r="Z12" s="15" t="str">
        <f>IFERROR((s_dir!Z12/(d_ss_Bv!Y12+s_MLF_rice)),".")</f>
        <v>.</v>
      </c>
      <c r="AA12" s="15" t="str">
        <f>IFERROR((s_dir!AA12/(d_ss_Bv!Z12+s_MLF_cereal)),".")</f>
        <v>.</v>
      </c>
      <c r="AB12" s="40">
        <f t="shared" si="3"/>
        <v>17242.5</v>
      </c>
      <c r="AC12" s="40">
        <f>s_C*(d_ss_Bv!C12+s_MLF_apple)*s_IFAP_res_adj*s_CF_apple</f>
        <v>4310.625</v>
      </c>
      <c r="AD12" s="40">
        <f>s_C*(d_ss_Bv!D12+s_MLF_asparagus)*s_IFAS_res_adj*s_CF_asparagus</f>
        <v>4310.625</v>
      </c>
      <c r="AE12" s="40">
        <f>s_C*(d_ss_Bv!E12+s_MLF_beet)*s_IFBT_res_adj*s_CF_beet</f>
        <v>4310.625</v>
      </c>
      <c r="AF12" s="40">
        <f>s_C*(d_ss_Bv!F12+s_MLF_berries)*s_IFBE_res_adj*s_CF_berries</f>
        <v>4310.625</v>
      </c>
      <c r="AG12" s="40">
        <f>s_C*(d_ss_Bv!G12+s_MLF_broccoli)*s_IFBR_res_adj*s_CF_broccoli</f>
        <v>4310.625</v>
      </c>
      <c r="AH12" s="40">
        <f>s_C*(d_ss_Bv!H12+s_MLF_cabbage)*s_IFCB_res_adj*s_CF_cabbage</f>
        <v>4310.625</v>
      </c>
      <c r="AI12" s="40">
        <f>s_C*(d_ss_Bv!I12+s_MLF_carrot)*s_IFCR_res_adj*s_CF_carrot</f>
        <v>4310.625</v>
      </c>
      <c r="AJ12" s="40">
        <f>s_C*(d_ss_Bv!J12+s_MLF_citrus)*s_IFCI_res_adj*s_CF_citrus</f>
        <v>4310.625</v>
      </c>
      <c r="AK12" s="40">
        <f>s_C*(d_ss_Bv!K12+s_MLF_corn)*s_IFCO_res_adj*s_CF_corn</f>
        <v>4310.625</v>
      </c>
      <c r="AL12" s="40">
        <f>s_C*(d_ss_Bv!L12+s_MLF_cucumber)*s_IFCU_res_adj*s_CF_cucumber</f>
        <v>4310.625</v>
      </c>
      <c r="AM12" s="40">
        <f>s_C*(d_ss_Bv!M12+s_MLF_lettuce)*s_IFLE_res_adj*s_CF_lettuce</f>
        <v>4310.625</v>
      </c>
      <c r="AN12" s="40">
        <f>s_C*(d_ss_Bv!N12+s_MLF_lima_bean)*s_IFLI_res_adj*s_CF_lima_bean</f>
        <v>4310.625</v>
      </c>
      <c r="AO12" s="40">
        <f>s_C*(d_ss_Bv!O12+s_MLF_okra)*s_IFOK_res_adj*s_CF_okra</f>
        <v>4310.625</v>
      </c>
      <c r="AP12" s="40">
        <f>s_C*(d_ss_Bv!P12+s_MLF_onion)*s_IFON_res_adj*s_CF_onion</f>
        <v>4310.625</v>
      </c>
      <c r="AQ12" s="40">
        <f>s_C*(d_ss_Bv!Q12+s_MLF_peach)*s_IFPC_res_adj*s_CF_peach</f>
        <v>4310.625</v>
      </c>
      <c r="AR12" s="40">
        <f>s_C*(d_ss_Bv!R12+s_MLF_pear)*s_IFPR_res_adj*s_CF_pear</f>
        <v>4310.625</v>
      </c>
      <c r="AS12" s="40">
        <f>s_C*(d_ss_Bv!S12+s_MLF_peas)*s_IFPE_res_adj*s_CF_peas</f>
        <v>4310.625</v>
      </c>
      <c r="AT12" s="40">
        <f>s_C*(d_ss_Bv!T12+s_MLF_potato)*s_IFPT_res_adj*s_CF_potato</f>
        <v>4310.625</v>
      </c>
      <c r="AU12" s="40">
        <f>s_C*(d_ss_Bv!U12+s_MLF_pumpkin)*s_IFPU_res_adj*s_CF_pumpkin</f>
        <v>4310.625</v>
      </c>
      <c r="AV12" s="40">
        <f>s_C*(d_ss_Bv!V12+s_MLF_snap_bean)*s_IFSN_res_adj*s_CF_snap_bean</f>
        <v>4310.625</v>
      </c>
      <c r="AW12" s="40">
        <f>s_C*(d_ss_Bv!W12+s_MLF_strawberry)*s_IFST_res_adj*s_CF_strawberry</f>
        <v>4310.625</v>
      </c>
      <c r="AX12" s="40">
        <f>s_C*(d_ss_Bv!X12+s_MLF_tomato)*s_IFTO_res_adj*s_CF_tomato</f>
        <v>4310.625</v>
      </c>
      <c r="AY12" s="40">
        <f>s_C*(d_ss_Bv!Y12+s_MLF_rice)*s_IFRI_res_adj*s_CF_rice</f>
        <v>4310.625</v>
      </c>
      <c r="AZ12" s="40">
        <f>s_C*(d_ss_Bv!Z12+s_MLF_cereal)*s_IFCG_res_adj*s_CF_cereal</f>
        <v>4310.625</v>
      </c>
      <c r="BA12" s="15" t="str">
        <f t="shared" si="4"/>
        <v>.</v>
      </c>
      <c r="BB12" s="15" t="str">
        <f>IFERROR((s_dir!AC12/(d_ss_Bv!C12+s_MLF_apple)),".")</f>
        <v>.</v>
      </c>
      <c r="BC12" s="15" t="str">
        <f>IFERROR((s_dir!AD12/(d_ss_Bv!D12+s_MLF_asparagus)),".")</f>
        <v>.</v>
      </c>
      <c r="BD12" s="15" t="str">
        <f>IFERROR((s_dir!AE12/(d_ss_Bv!E12+s_MLF_beet)),".")</f>
        <v>.</v>
      </c>
      <c r="BE12" s="15" t="str">
        <f>IFERROR((s_dir!AF12/(d_ss_Bv!F12+s_MLF_berries)),".")</f>
        <v>.</v>
      </c>
      <c r="BF12" s="15" t="str">
        <f>IFERROR((s_dir!AG12/(d_ss_Bv!G12+s_MLF_broccoli)),".")</f>
        <v>.</v>
      </c>
      <c r="BG12" s="15" t="str">
        <f>IFERROR((s_dir!AH12/(d_ss_Bv!H12+s_MLF_cabbage)),".")</f>
        <v>.</v>
      </c>
      <c r="BH12" s="15" t="str">
        <f>IFERROR((s_dir!AI12/(d_ss_Bv!I12+s_MLF_carrot)),".")</f>
        <v>.</v>
      </c>
      <c r="BI12" s="15" t="str">
        <f>IFERROR((s_dir!AJ12/(d_ss_Bv!J12+s_MLF_citrus)),".")</f>
        <v>.</v>
      </c>
      <c r="BJ12" s="15" t="str">
        <f>IFERROR((s_dir!AK12/(d_ss_Bv!K12+s_MLF_corn)),".")</f>
        <v>.</v>
      </c>
      <c r="BK12" s="15" t="str">
        <f>IFERROR((s_dir!AL12/(d_ss_Bv!L12+s_MLF_cucumber)),".")</f>
        <v>.</v>
      </c>
      <c r="BL12" s="15" t="str">
        <f>IFERROR((s_dir!AM12/(d_ss_Bv!M12+s_MLF_lettuce)),".")</f>
        <v>.</v>
      </c>
      <c r="BM12" s="15" t="str">
        <f>IFERROR((s_dir!AN12/(d_ss_Bv!N12+s_MLF_lima_bean)),".")</f>
        <v>.</v>
      </c>
      <c r="BN12" s="15" t="str">
        <f>IFERROR((s_dir!AO12/(d_ss_Bv!O12+s_MLF_okra)),".")</f>
        <v>.</v>
      </c>
      <c r="BO12" s="15" t="str">
        <f>IFERROR((s_dir!AP12/(d_ss_Bv!P12+s_MLF_onion)),".")</f>
        <v>.</v>
      </c>
      <c r="BP12" s="15" t="str">
        <f>IFERROR((s_dir!AQ12/(d_ss_Bv!Q12+s_MLF_peach)),".")</f>
        <v>.</v>
      </c>
      <c r="BQ12" s="15" t="str">
        <f>IFERROR((s_dir!AR12/(d_ss_Bv!R12+s_MLF_pear)),".")</f>
        <v>.</v>
      </c>
      <c r="BR12" s="15" t="str">
        <f>IFERROR((s_dir!AS12/(d_ss_Bv!S12+s_MLF_peas)),".")</f>
        <v>.</v>
      </c>
      <c r="BS12" s="15" t="str">
        <f>IFERROR((s_dir!AT12/(d_ss_Bv!T12+s_MLF_potato)),".")</f>
        <v>.</v>
      </c>
      <c r="BT12" s="15" t="str">
        <f>IFERROR((s_dir!AU12/(d_ss_Bv!U12+s_MLF_pumpkin)),".")</f>
        <v>.</v>
      </c>
      <c r="BU12" s="15" t="str">
        <f>IFERROR((s_dir!AV12/(d_ss_Bv!V12+s_MLF_snap_bean)),".")</f>
        <v>.</v>
      </c>
      <c r="BV12" s="15" t="str">
        <f>IFERROR((s_dir!AW12/(d_ss_Bv!W12+s_MLF_strawberry)),".")</f>
        <v>.</v>
      </c>
      <c r="BW12" s="15" t="str">
        <f>IFERROR((s_dir!AX12/(d_ss_Bv!X12+s_MLF_tomato)),".")</f>
        <v>.</v>
      </c>
      <c r="BX12" s="15" t="str">
        <f>IFERROR((s_dir!AY12/(d_ss_Bv!Y12+s_MLF_rice)),".")</f>
        <v>.</v>
      </c>
      <c r="BY12" s="15" t="str">
        <f>IFERROR((s_dir!AZ12/(d_ss_Bv!Z12+s_MLF_cereal)),".")</f>
        <v>.</v>
      </c>
      <c r="BZ12" s="40">
        <f t="shared" si="5"/>
        <v>17242.5</v>
      </c>
      <c r="CA12" s="40">
        <f>IFERROR(s_C*(d_ss_Bv!C12+s_MLF_apple)*s_IFAP_far_adj*s_CF_apple,".")</f>
        <v>4310.625</v>
      </c>
      <c r="CB12" s="40">
        <f>IFERROR(s_C*(d_ss_Bv!D12+s_MLF_asparagus)*s_IFAS_far_adj*s_CF_asparagus,".")</f>
        <v>4310.625</v>
      </c>
      <c r="CC12" s="40">
        <f>IFERROR(s_C*(d_ss_Bv!E12+s_MLF_beet)*s_IFBT_far_adj*s_CF_beet,".")</f>
        <v>4310.625</v>
      </c>
      <c r="CD12" s="40">
        <f>IFERROR(s_C*(d_ss_Bv!F12+s_MLF_berries)*s_IFBR_far_adj*s_CF_berries,".")</f>
        <v>4310.625</v>
      </c>
      <c r="CE12" s="40">
        <f>IFERROR(s_C*(d_ss_Bv!G12+s_MLF_broccoli)*s_IFBR_far_adj*s_CF_broccoli,".")</f>
        <v>4310.625</v>
      </c>
      <c r="CF12" s="40">
        <f>IFERROR(s_C*(d_ss_Bv!H12+s_MLF_cabbage)*s_IFCB_far_adj*s_CF_cabbage,".")</f>
        <v>4310.625</v>
      </c>
      <c r="CG12" s="40">
        <f>IFERROR(s_C*(d_ss_Bv!I12+s_MLF_carrot)*s_IFCR_far_adj*s_CF_carrot,".")</f>
        <v>4310.625</v>
      </c>
      <c r="CH12" s="40">
        <f>IFERROR(s_C*(d_ss_Bv!J12+s_MLF_citrus)*s_IFCI_far_adj*s_CF_citrus,".")</f>
        <v>4310.625</v>
      </c>
      <c r="CI12" s="40">
        <f>IFERROR(s_C*(d_ss_Bv!K12+s_MLF_corn)*s_IFCO_far_adj*s_CF_corn,".")</f>
        <v>4310.625</v>
      </c>
      <c r="CJ12" s="40">
        <f>IFERROR(s_C*(d_ss_Bv!L12+s_MLF_cucumber)*s_IFCU_far_adj*s_CF_cucumber,".")</f>
        <v>4310.625</v>
      </c>
      <c r="CK12" s="40">
        <f>IFERROR(s_C*(d_ss_Bv!M12+s_MLF_lettuce)*s_IFLE_far_adj*s_CF_lettuce,".")</f>
        <v>4310.625</v>
      </c>
      <c r="CL12" s="40">
        <f>IFERROR(s_C*(d_ss_Bv!N12+s_MLF_lima_bean)*s_IFLI_far_adj*s_CF_lima_bean,".")</f>
        <v>4310.625</v>
      </c>
      <c r="CM12" s="40">
        <f>IFERROR(s_C*(d_ss_Bv!O12+s_MLF_okra)*s_IFOK_far_adj*s_CF_okra,".")</f>
        <v>4310.625</v>
      </c>
      <c r="CN12" s="40">
        <f>IFERROR(s_C*(d_ss_Bv!P12+s_MLF_onion)*s_IFON_far_adj*s_CF_onion,".")</f>
        <v>4310.625</v>
      </c>
      <c r="CO12" s="40">
        <f>IFERROR(s_C*(d_ss_Bv!Q12+s_MLF_peach)*s_IFPC_far_adj*s_CF_peach,".")</f>
        <v>4310.625</v>
      </c>
      <c r="CP12" s="40">
        <f>IFERROR(s_C*(d_ss_Bv!R12+s_MLF_pear)*s_IFPR_far_adj*s_CF_pear,".")</f>
        <v>4310.625</v>
      </c>
      <c r="CQ12" s="40">
        <f>IFERROR(s_C*(d_ss_Bv!S12+s_MLF_peas)*s_IFPE_far_adj*s_CF_peas,".")</f>
        <v>4310.625</v>
      </c>
      <c r="CR12" s="40">
        <f>IFERROR(s_C*(d_ss_Bv!T12+s_MLF_potato)*s_IFPT_far_adj*s_CF_potato,".")</f>
        <v>4310.625</v>
      </c>
      <c r="CS12" s="40">
        <f>IFERROR(s_C*(d_ss_Bv!U12+s_MLF_pumpkin)*s_IFPU_far_adj*s_CF_pumpkin,".")</f>
        <v>4310.625</v>
      </c>
      <c r="CT12" s="40">
        <f>IFERROR(s_C*(d_ss_Bv!V12+s_MLF_snap_bean)*s_IFSN_far_adj*s_CF_snap_bean,".")</f>
        <v>4310.625</v>
      </c>
      <c r="CU12" s="40">
        <f>IFERROR(s_C*(d_ss_Bv!W12+s_MLF_strawberry)*s_IFST_far_adj*s_CF_strawberry,".")</f>
        <v>4310.625</v>
      </c>
      <c r="CV12" s="40">
        <f>IFERROR(s_C*(d_ss_Bv!X12+s_MLF_tomato)*s_IFTO_far_adj*s_CF_tomato,".")</f>
        <v>4310.625</v>
      </c>
      <c r="CW12" s="40">
        <f>IFERROR(s_C*(d_ss_Bv!Y12+s_MLF_rice)*s_IFRI_far_adj*s_CF_rice,".")</f>
        <v>4310.625</v>
      </c>
      <c r="CX12" s="40">
        <f>IFERROR(s_C*(d_ss_Bv!Z12+s_MLF_cereal)*s_IFCG_far_adj*s_CF_cereal,".")</f>
        <v>4310.625</v>
      </c>
    </row>
    <row r="13" spans="1:102" ht="15" customHeight="1" x14ac:dyDescent="0.25">
      <c r="A13" s="44" t="s">
        <v>23</v>
      </c>
      <c r="B13" s="42" t="s">
        <v>1074</v>
      </c>
      <c r="C13" s="15">
        <f t="shared" si="2"/>
        <v>42.106568018276263</v>
      </c>
      <c r="D13" s="15">
        <f>IFERROR((s_dir!D13/(d_ss_Bv!C13+s_MLF_apple)),".")</f>
        <v>317.93510054379612</v>
      </c>
      <c r="E13" s="15">
        <f>IFERROR((s_dir!E13/(d_ss_Bv!D13+s_MLF_asparagus)),".")</f>
        <v>108.33344166677497</v>
      </c>
      <c r="F13" s="15">
        <f>IFERROR((s_dir!F13/(d_ss_Bv!E13+s_MLF_beet)),".")</f>
        <v>123.59167288744752</v>
      </c>
      <c r="G13" s="15">
        <f>IFERROR((s_dir!G13/(d_ss_Bv!F13+s_MLF_berries)),".")</f>
        <v>317.93510054379612</v>
      </c>
      <c r="H13" s="15">
        <f>IFERROR((s_dir!H13/(d_ss_Bv!G13+s_MLF_broccoli)),".")</f>
        <v>139.28585357156783</v>
      </c>
      <c r="I13" s="15">
        <f>IFERROR((s_dir!I13/(d_ss_Bv!H13+s_MLF_cabbage)),".")</f>
        <v>108.33344166677497</v>
      </c>
      <c r="J13" s="15">
        <f>IFERROR((s_dir!J13/(d_ss_Bv!I13+s_MLF_carrot)),".")</f>
        <v>123.59167288744752</v>
      </c>
      <c r="K13" s="15">
        <f>IFERROR((s_dir!K13/(d_ss_Bv!J13+s_MLF_citrus)),".")</f>
        <v>317.93510054379612</v>
      </c>
      <c r="L13" s="15">
        <f>IFERROR((s_dir!L13/(d_ss_Bv!K13+s_MLF_corn)),".")</f>
        <v>239.7543381149938</v>
      </c>
      <c r="M13" s="15">
        <f>IFERROR((s_dir!M13/(d_ss_Bv!L13+s_MLF_cucumber)),".")</f>
        <v>139.28585357156783</v>
      </c>
      <c r="N13" s="15">
        <f>IFERROR((s_dir!N13/(d_ss_Bv!M13+s_MLF_lettuce)),".")</f>
        <v>108.33344166677497</v>
      </c>
      <c r="O13" s="15">
        <f>IFERROR((s_dir!O13/(d_ss_Bv!N13+s_MLF_lima_bean)),".")</f>
        <v>143.85260286899629</v>
      </c>
      <c r="P13" s="15">
        <f>IFERROR((s_dir!P13/(d_ss_Bv!O13+s_MLF_okra)),".")</f>
        <v>139.28585357156783</v>
      </c>
      <c r="Q13" s="15">
        <f>IFERROR((s_dir!Q13/(d_ss_Bv!P13+s_MLF_onion)),".")</f>
        <v>139.28585357156783</v>
      </c>
      <c r="R13" s="15">
        <f>IFERROR((s_dir!R13/(d_ss_Bv!Q13+s_MLF_peach)),".")</f>
        <v>317.93510054379612</v>
      </c>
      <c r="S13" s="15">
        <f>IFERROR((s_dir!S13/(d_ss_Bv!R13+s_MLF_pear)),".")</f>
        <v>317.93510054379612</v>
      </c>
      <c r="T13" s="15">
        <f>IFERROR((s_dir!T13/(d_ss_Bv!S13+s_MLF_peas)),".")</f>
        <v>143.85260286899629</v>
      </c>
      <c r="U13" s="15">
        <f>IFERROR((s_dir!U13/(d_ss_Bv!T13+s_MLF_potato)),".")</f>
        <v>228.51585351585345</v>
      </c>
      <c r="V13" s="15">
        <f>IFERROR((s_dir!V13/(d_ss_Bv!U13+s_MLF_pumpkin)),".")</f>
        <v>139.28585357156783</v>
      </c>
      <c r="W13" s="15">
        <f>IFERROR((s_dir!W13/(d_ss_Bv!V13+s_MLF_snap_bean)),".")</f>
        <v>143.85260286899629</v>
      </c>
      <c r="X13" s="15">
        <f>IFERROR((s_dir!X13/(d_ss_Bv!W13+s_MLF_strawberry)),".")</f>
        <v>317.93510054379612</v>
      </c>
      <c r="Y13" s="15">
        <f>IFERROR((s_dir!Y13/(d_ss_Bv!X13+s_MLF_tomato)),".")</f>
        <v>139.28585357156783</v>
      </c>
      <c r="Z13" s="15">
        <f>IFERROR((s_dir!Z13/(d_ss_Bv!Y13+s_MLF_rice)),".")</f>
        <v>130.97028022401153</v>
      </c>
      <c r="AA13" s="15">
        <f>IFERROR((s_dir!AA13/(d_ss_Bv!Z13+s_MLF_cereal)),".")</f>
        <v>267.53075533563339</v>
      </c>
      <c r="AB13" s="40">
        <f t="shared" si="3"/>
        <v>1432.75</v>
      </c>
      <c r="AC13" s="40">
        <f>s_C*(d_ss_Bv!C13+s_MLF_apple)*s_IFAP_res_adj*s_CF_apple</f>
        <v>189.75000000000003</v>
      </c>
      <c r="AD13" s="40">
        <f>s_C*(d_ss_Bv!D13+s_MLF_asparagus)*s_IFAS_res_adj*s_CF_asparagus</f>
        <v>556.875</v>
      </c>
      <c r="AE13" s="40">
        <f>s_C*(d_ss_Bv!E13+s_MLF_beet)*s_IFBT_res_adj*s_CF_beet</f>
        <v>488.125</v>
      </c>
      <c r="AF13" s="40">
        <f>s_C*(d_ss_Bv!F13+s_MLF_berries)*s_IFBE_res_adj*s_CF_berries</f>
        <v>189.75000000000003</v>
      </c>
      <c r="AG13" s="40">
        <f>s_C*(d_ss_Bv!G13+s_MLF_broccoli)*s_IFBR_res_adj*s_CF_broccoli</f>
        <v>433.125</v>
      </c>
      <c r="AH13" s="40">
        <f>s_C*(d_ss_Bv!H13+s_MLF_cabbage)*s_IFCB_res_adj*s_CF_cabbage</f>
        <v>556.875</v>
      </c>
      <c r="AI13" s="40">
        <f>s_C*(d_ss_Bv!I13+s_MLF_carrot)*s_IFCR_res_adj*s_CF_carrot</f>
        <v>488.125</v>
      </c>
      <c r="AJ13" s="40">
        <f>s_C*(d_ss_Bv!J13+s_MLF_citrus)*s_IFCI_res_adj*s_CF_citrus</f>
        <v>189.75000000000003</v>
      </c>
      <c r="AK13" s="40">
        <f>s_C*(d_ss_Bv!K13+s_MLF_corn)*s_IFCO_res_adj*s_CF_corn</f>
        <v>251.625</v>
      </c>
      <c r="AL13" s="40">
        <f>s_C*(d_ss_Bv!L13+s_MLF_cucumber)*s_IFCU_res_adj*s_CF_cucumber</f>
        <v>433.125</v>
      </c>
      <c r="AM13" s="40">
        <f>s_C*(d_ss_Bv!M13+s_MLF_lettuce)*s_IFLE_res_adj*s_CF_lettuce</f>
        <v>556.875</v>
      </c>
      <c r="AN13" s="40">
        <f>s_C*(d_ss_Bv!N13+s_MLF_lima_bean)*s_IFLI_res_adj*s_CF_lima_bean</f>
        <v>419.375</v>
      </c>
      <c r="AO13" s="40">
        <f>s_C*(d_ss_Bv!O13+s_MLF_okra)*s_IFOK_res_adj*s_CF_okra</f>
        <v>433.125</v>
      </c>
      <c r="AP13" s="40">
        <f>s_C*(d_ss_Bv!P13+s_MLF_onion)*s_IFON_res_adj*s_CF_onion</f>
        <v>433.125</v>
      </c>
      <c r="AQ13" s="40">
        <f>s_C*(d_ss_Bv!Q13+s_MLF_peach)*s_IFPC_res_adj*s_CF_peach</f>
        <v>189.75000000000003</v>
      </c>
      <c r="AR13" s="40">
        <f>s_C*(d_ss_Bv!R13+s_MLF_pear)*s_IFPR_res_adj*s_CF_pear</f>
        <v>189.75000000000003</v>
      </c>
      <c r="AS13" s="40">
        <f>s_C*(d_ss_Bv!S13+s_MLF_peas)*s_IFPE_res_adj*s_CF_peas</f>
        <v>419.375</v>
      </c>
      <c r="AT13" s="40">
        <f>s_C*(d_ss_Bv!T13+s_MLF_potato)*s_IFPT_res_adj*s_CF_potato</f>
        <v>264</v>
      </c>
      <c r="AU13" s="40">
        <f>s_C*(d_ss_Bv!U13+s_MLF_pumpkin)*s_IFPU_res_adj*s_CF_pumpkin</f>
        <v>433.125</v>
      </c>
      <c r="AV13" s="40">
        <f>s_C*(d_ss_Bv!V13+s_MLF_snap_bean)*s_IFSN_res_adj*s_CF_snap_bean</f>
        <v>419.375</v>
      </c>
      <c r="AW13" s="40">
        <f>s_C*(d_ss_Bv!W13+s_MLF_strawberry)*s_IFST_res_adj*s_CF_strawberry</f>
        <v>189.75000000000003</v>
      </c>
      <c r="AX13" s="40">
        <f>s_C*(d_ss_Bv!X13+s_MLF_tomato)*s_IFTO_res_adj*s_CF_tomato</f>
        <v>433.125</v>
      </c>
      <c r="AY13" s="40">
        <f>s_C*(d_ss_Bv!Y13+s_MLF_rice)*s_IFRI_res_adj*s_CF_rice</f>
        <v>460.625</v>
      </c>
      <c r="AZ13" s="40">
        <f>s_C*(d_ss_Bv!Z13+s_MLF_cereal)*s_IFCG_res_adj*s_CF_cereal</f>
        <v>225.49999999999997</v>
      </c>
      <c r="BA13" s="15">
        <f t="shared" si="4"/>
        <v>42.106568018276263</v>
      </c>
      <c r="BB13" s="15">
        <f>IFERROR((s_dir!AC13/(d_ss_Bv!C13+s_MLF_apple)),".")</f>
        <v>317.93510054379612</v>
      </c>
      <c r="BC13" s="15">
        <f>IFERROR((s_dir!AD13/(d_ss_Bv!D13+s_MLF_asparagus)),".")</f>
        <v>108.33344166677497</v>
      </c>
      <c r="BD13" s="15">
        <f>IFERROR((s_dir!AE13/(d_ss_Bv!E13+s_MLF_beet)),".")</f>
        <v>123.59167288744752</v>
      </c>
      <c r="BE13" s="15">
        <f>IFERROR((s_dir!AF13/(d_ss_Bv!F13+s_MLF_berries)),".")</f>
        <v>317.93510054379612</v>
      </c>
      <c r="BF13" s="15">
        <f>IFERROR((s_dir!AG13/(d_ss_Bv!G13+s_MLF_broccoli)),".")</f>
        <v>139.28585357156783</v>
      </c>
      <c r="BG13" s="15">
        <f>IFERROR((s_dir!AH13/(d_ss_Bv!H13+s_MLF_cabbage)),".")</f>
        <v>108.33344166677497</v>
      </c>
      <c r="BH13" s="15">
        <f>IFERROR((s_dir!AI13/(d_ss_Bv!I13+s_MLF_carrot)),".")</f>
        <v>123.59167288744752</v>
      </c>
      <c r="BI13" s="15">
        <f>IFERROR((s_dir!AJ13/(d_ss_Bv!J13+s_MLF_citrus)),".")</f>
        <v>317.93510054379612</v>
      </c>
      <c r="BJ13" s="15">
        <f>IFERROR((s_dir!AK13/(d_ss_Bv!K13+s_MLF_corn)),".")</f>
        <v>239.7543381149938</v>
      </c>
      <c r="BK13" s="15">
        <f>IFERROR((s_dir!AL13/(d_ss_Bv!L13+s_MLF_cucumber)),".")</f>
        <v>139.28585357156783</v>
      </c>
      <c r="BL13" s="15">
        <f>IFERROR((s_dir!AM13/(d_ss_Bv!M13+s_MLF_lettuce)),".")</f>
        <v>108.33344166677497</v>
      </c>
      <c r="BM13" s="15">
        <f>IFERROR((s_dir!AN13/(d_ss_Bv!N13+s_MLF_lima_bean)),".")</f>
        <v>143.85260286899629</v>
      </c>
      <c r="BN13" s="15">
        <f>IFERROR((s_dir!AO13/(d_ss_Bv!O13+s_MLF_okra)),".")</f>
        <v>139.28585357156783</v>
      </c>
      <c r="BO13" s="15">
        <f>IFERROR((s_dir!AP13/(d_ss_Bv!P13+s_MLF_onion)),".")</f>
        <v>139.28585357156783</v>
      </c>
      <c r="BP13" s="15">
        <f>IFERROR((s_dir!AQ13/(d_ss_Bv!Q13+s_MLF_peach)),".")</f>
        <v>317.93510054379612</v>
      </c>
      <c r="BQ13" s="15">
        <f>IFERROR((s_dir!AR13/(d_ss_Bv!R13+s_MLF_pear)),".")</f>
        <v>317.93510054379612</v>
      </c>
      <c r="BR13" s="15">
        <f>IFERROR((s_dir!AS13/(d_ss_Bv!S13+s_MLF_peas)),".")</f>
        <v>143.85260286899629</v>
      </c>
      <c r="BS13" s="15">
        <f>IFERROR((s_dir!AT13/(d_ss_Bv!T13+s_MLF_potato)),".")</f>
        <v>228.51585351585345</v>
      </c>
      <c r="BT13" s="15">
        <f>IFERROR((s_dir!AU13/(d_ss_Bv!U13+s_MLF_pumpkin)),".")</f>
        <v>139.28585357156783</v>
      </c>
      <c r="BU13" s="15">
        <f>IFERROR((s_dir!AV13/(d_ss_Bv!V13+s_MLF_snap_bean)),".")</f>
        <v>143.85260286899629</v>
      </c>
      <c r="BV13" s="15">
        <f>IFERROR((s_dir!AW13/(d_ss_Bv!W13+s_MLF_strawberry)),".")</f>
        <v>317.93510054379612</v>
      </c>
      <c r="BW13" s="15">
        <f>IFERROR((s_dir!AX13/(d_ss_Bv!X13+s_MLF_tomato)),".")</f>
        <v>139.28585357156783</v>
      </c>
      <c r="BX13" s="15">
        <f>IFERROR((s_dir!AY13/(d_ss_Bv!Y13+s_MLF_rice)),".")</f>
        <v>130.97028022401153</v>
      </c>
      <c r="BY13" s="15">
        <f>IFERROR((s_dir!AZ13/(d_ss_Bv!Z13+s_MLF_cereal)),".")</f>
        <v>267.53075533563339</v>
      </c>
      <c r="BZ13" s="40">
        <f t="shared" si="5"/>
        <v>1432.75</v>
      </c>
      <c r="CA13" s="40">
        <f>IFERROR(s_C*(d_ss_Bv!C13+s_MLF_apple)*s_IFAP_far_adj*s_CF_apple,".")</f>
        <v>189.75000000000003</v>
      </c>
      <c r="CB13" s="40">
        <f>IFERROR(s_C*(d_ss_Bv!D13+s_MLF_asparagus)*s_IFAS_far_adj*s_CF_asparagus,".")</f>
        <v>556.875</v>
      </c>
      <c r="CC13" s="40">
        <f>IFERROR(s_C*(d_ss_Bv!E13+s_MLF_beet)*s_IFBT_far_adj*s_CF_beet,".")</f>
        <v>488.125</v>
      </c>
      <c r="CD13" s="40">
        <f>IFERROR(s_C*(d_ss_Bv!F13+s_MLF_berries)*s_IFBR_far_adj*s_CF_berries,".")</f>
        <v>189.75000000000003</v>
      </c>
      <c r="CE13" s="40">
        <f>IFERROR(s_C*(d_ss_Bv!G13+s_MLF_broccoli)*s_IFBR_far_adj*s_CF_broccoli,".")</f>
        <v>433.125</v>
      </c>
      <c r="CF13" s="40">
        <f>IFERROR(s_C*(d_ss_Bv!H13+s_MLF_cabbage)*s_IFCB_far_adj*s_CF_cabbage,".")</f>
        <v>556.875</v>
      </c>
      <c r="CG13" s="40">
        <f>IFERROR(s_C*(d_ss_Bv!I13+s_MLF_carrot)*s_IFCR_far_adj*s_CF_carrot,".")</f>
        <v>488.125</v>
      </c>
      <c r="CH13" s="40">
        <f>IFERROR(s_C*(d_ss_Bv!J13+s_MLF_citrus)*s_IFCI_far_adj*s_CF_citrus,".")</f>
        <v>189.75000000000003</v>
      </c>
      <c r="CI13" s="40">
        <f>IFERROR(s_C*(d_ss_Bv!K13+s_MLF_corn)*s_IFCO_far_adj*s_CF_corn,".")</f>
        <v>251.625</v>
      </c>
      <c r="CJ13" s="40">
        <f>IFERROR(s_C*(d_ss_Bv!L13+s_MLF_cucumber)*s_IFCU_far_adj*s_CF_cucumber,".")</f>
        <v>433.125</v>
      </c>
      <c r="CK13" s="40">
        <f>IFERROR(s_C*(d_ss_Bv!M13+s_MLF_lettuce)*s_IFLE_far_adj*s_CF_lettuce,".")</f>
        <v>556.875</v>
      </c>
      <c r="CL13" s="40">
        <f>IFERROR(s_C*(d_ss_Bv!N13+s_MLF_lima_bean)*s_IFLI_far_adj*s_CF_lima_bean,".")</f>
        <v>419.375</v>
      </c>
      <c r="CM13" s="40">
        <f>IFERROR(s_C*(d_ss_Bv!O13+s_MLF_okra)*s_IFOK_far_adj*s_CF_okra,".")</f>
        <v>433.125</v>
      </c>
      <c r="CN13" s="40">
        <f>IFERROR(s_C*(d_ss_Bv!P13+s_MLF_onion)*s_IFON_far_adj*s_CF_onion,".")</f>
        <v>433.125</v>
      </c>
      <c r="CO13" s="40">
        <f>IFERROR(s_C*(d_ss_Bv!Q13+s_MLF_peach)*s_IFPC_far_adj*s_CF_peach,".")</f>
        <v>189.75000000000003</v>
      </c>
      <c r="CP13" s="40">
        <f>IFERROR(s_C*(d_ss_Bv!R13+s_MLF_pear)*s_IFPR_far_adj*s_CF_pear,".")</f>
        <v>189.75000000000003</v>
      </c>
      <c r="CQ13" s="40">
        <f>IFERROR(s_C*(d_ss_Bv!S13+s_MLF_peas)*s_IFPE_far_adj*s_CF_peas,".")</f>
        <v>419.375</v>
      </c>
      <c r="CR13" s="40">
        <f>IFERROR(s_C*(d_ss_Bv!T13+s_MLF_potato)*s_IFPT_far_adj*s_CF_potato,".")</f>
        <v>264</v>
      </c>
      <c r="CS13" s="40">
        <f>IFERROR(s_C*(d_ss_Bv!U13+s_MLF_pumpkin)*s_IFPU_far_adj*s_CF_pumpkin,".")</f>
        <v>433.125</v>
      </c>
      <c r="CT13" s="40">
        <f>IFERROR(s_C*(d_ss_Bv!V13+s_MLF_snap_bean)*s_IFSN_far_adj*s_CF_snap_bean,".")</f>
        <v>419.375</v>
      </c>
      <c r="CU13" s="40">
        <f>IFERROR(s_C*(d_ss_Bv!W13+s_MLF_strawberry)*s_IFST_far_adj*s_CF_strawberry,".")</f>
        <v>189.75000000000003</v>
      </c>
      <c r="CV13" s="40">
        <f>IFERROR(s_C*(d_ss_Bv!X13+s_MLF_tomato)*s_IFTO_far_adj*s_CF_tomato,".")</f>
        <v>433.125</v>
      </c>
      <c r="CW13" s="40">
        <f>IFERROR(s_C*(d_ss_Bv!Y13+s_MLF_rice)*s_IFRI_far_adj*s_CF_rice,".")</f>
        <v>460.625</v>
      </c>
      <c r="CX13" s="40">
        <f>IFERROR(s_C*(d_ss_Bv!Z13+s_MLF_cereal)*s_IFCG_far_adj*s_CF_cereal,".")</f>
        <v>225.49999999999997</v>
      </c>
    </row>
    <row r="14" spans="1:102" ht="15" customHeight="1" x14ac:dyDescent="0.25">
      <c r="A14" s="44" t="s">
        <v>24</v>
      </c>
      <c r="B14" s="42" t="s">
        <v>1074</v>
      </c>
      <c r="C14" s="15">
        <f t="shared" si="2"/>
        <v>432.03841339941226</v>
      </c>
      <c r="D14" s="15">
        <f>IFERROR((s_dir!D14/(d_ss_Bv!C14+s_MLF_apple)),".")</f>
        <v>1728.1536535976488</v>
      </c>
      <c r="E14" s="15">
        <f>IFERROR((s_dir!E14/(d_ss_Bv!D14+s_MLF_asparagus)),".")</f>
        <v>1728.1536535976488</v>
      </c>
      <c r="F14" s="15">
        <f>IFERROR((s_dir!F14/(d_ss_Bv!E14+s_MLF_beet)),".")</f>
        <v>1728.1536535976488</v>
      </c>
      <c r="G14" s="15">
        <f>IFERROR((s_dir!G14/(d_ss_Bv!F14+s_MLF_berries)),".")</f>
        <v>1728.1536535976488</v>
      </c>
      <c r="H14" s="15">
        <f>IFERROR((s_dir!H14/(d_ss_Bv!G14+s_MLF_broccoli)),".")</f>
        <v>1728.1536535976488</v>
      </c>
      <c r="I14" s="15">
        <f>IFERROR((s_dir!I14/(d_ss_Bv!H14+s_MLF_cabbage)),".")</f>
        <v>1728.1536535976488</v>
      </c>
      <c r="J14" s="15">
        <f>IFERROR((s_dir!J14/(d_ss_Bv!I14+s_MLF_carrot)),".")</f>
        <v>1728.1536535976488</v>
      </c>
      <c r="K14" s="15">
        <f>IFERROR((s_dir!K14/(d_ss_Bv!J14+s_MLF_citrus)),".")</f>
        <v>1728.1536535976488</v>
      </c>
      <c r="L14" s="15">
        <f>IFERROR((s_dir!L14/(d_ss_Bv!K14+s_MLF_corn)),".")</f>
        <v>1728.1536535976488</v>
      </c>
      <c r="M14" s="15">
        <f>IFERROR((s_dir!M14/(d_ss_Bv!L14+s_MLF_cucumber)),".")</f>
        <v>1728.1536535976488</v>
      </c>
      <c r="N14" s="15">
        <f>IFERROR((s_dir!N14/(d_ss_Bv!M14+s_MLF_lettuce)),".")</f>
        <v>1728.1536535976488</v>
      </c>
      <c r="O14" s="15">
        <f>IFERROR((s_dir!O14/(d_ss_Bv!N14+s_MLF_lima_bean)),".")</f>
        <v>1728.1536535976488</v>
      </c>
      <c r="P14" s="15">
        <f>IFERROR((s_dir!P14/(d_ss_Bv!O14+s_MLF_okra)),".")</f>
        <v>1728.1536535976488</v>
      </c>
      <c r="Q14" s="15">
        <f>IFERROR((s_dir!Q14/(d_ss_Bv!P14+s_MLF_onion)),".")</f>
        <v>1728.1536535976488</v>
      </c>
      <c r="R14" s="15">
        <f>IFERROR((s_dir!R14/(d_ss_Bv!Q14+s_MLF_peach)),".")</f>
        <v>1728.1536535976488</v>
      </c>
      <c r="S14" s="15">
        <f>IFERROR((s_dir!S14/(d_ss_Bv!R14+s_MLF_pear)),".")</f>
        <v>1728.1536535976488</v>
      </c>
      <c r="T14" s="15">
        <f>IFERROR((s_dir!T14/(d_ss_Bv!S14+s_MLF_peas)),".")</f>
        <v>1728.1536535976488</v>
      </c>
      <c r="U14" s="15">
        <f>IFERROR((s_dir!U14/(d_ss_Bv!T14+s_MLF_potato)),".")</f>
        <v>1728.1536535976488</v>
      </c>
      <c r="V14" s="15">
        <f>IFERROR((s_dir!V14/(d_ss_Bv!U14+s_MLF_pumpkin)),".")</f>
        <v>1728.1536535976488</v>
      </c>
      <c r="W14" s="15">
        <f>IFERROR((s_dir!W14/(d_ss_Bv!V14+s_MLF_snap_bean)),".")</f>
        <v>1728.1536535976488</v>
      </c>
      <c r="X14" s="15">
        <f>IFERROR((s_dir!X14/(d_ss_Bv!W14+s_MLF_strawberry)),".")</f>
        <v>1728.1536535976488</v>
      </c>
      <c r="Y14" s="15">
        <f>IFERROR((s_dir!Y14/(d_ss_Bv!X14+s_MLF_tomato)),".")</f>
        <v>1728.1536535976488</v>
      </c>
      <c r="Z14" s="15">
        <f>IFERROR((s_dir!Z14/(d_ss_Bv!Y14+s_MLF_rice)),".")</f>
        <v>1728.1536535976488</v>
      </c>
      <c r="AA14" s="15">
        <f>IFERROR((s_dir!AA14/(d_ss_Bv!Z14+s_MLF_cereal)),".")</f>
        <v>1728.1536535976488</v>
      </c>
      <c r="AB14" s="40">
        <f t="shared" si="3"/>
        <v>1292.5</v>
      </c>
      <c r="AC14" s="40">
        <f>s_C*(d_ss_Bv!C14+s_MLF_apple)*s_IFAP_res_adj*s_CF_apple</f>
        <v>323.125</v>
      </c>
      <c r="AD14" s="40">
        <f>s_C*(d_ss_Bv!D14+s_MLF_asparagus)*s_IFAS_res_adj*s_CF_asparagus</f>
        <v>323.125</v>
      </c>
      <c r="AE14" s="40">
        <f>s_C*(d_ss_Bv!E14+s_MLF_beet)*s_IFBT_res_adj*s_CF_beet</f>
        <v>323.125</v>
      </c>
      <c r="AF14" s="40">
        <f>s_C*(d_ss_Bv!F14+s_MLF_berries)*s_IFBE_res_adj*s_CF_berries</f>
        <v>323.125</v>
      </c>
      <c r="AG14" s="40">
        <f>s_C*(d_ss_Bv!G14+s_MLF_broccoli)*s_IFBR_res_adj*s_CF_broccoli</f>
        <v>323.125</v>
      </c>
      <c r="AH14" s="40">
        <f>s_C*(d_ss_Bv!H14+s_MLF_cabbage)*s_IFCB_res_adj*s_CF_cabbage</f>
        <v>323.125</v>
      </c>
      <c r="AI14" s="40">
        <f>s_C*(d_ss_Bv!I14+s_MLF_carrot)*s_IFCR_res_adj*s_CF_carrot</f>
        <v>323.125</v>
      </c>
      <c r="AJ14" s="40">
        <f>s_C*(d_ss_Bv!J14+s_MLF_citrus)*s_IFCI_res_adj*s_CF_citrus</f>
        <v>323.125</v>
      </c>
      <c r="AK14" s="40">
        <f>s_C*(d_ss_Bv!K14+s_MLF_corn)*s_IFCO_res_adj*s_CF_corn</f>
        <v>323.125</v>
      </c>
      <c r="AL14" s="40">
        <f>s_C*(d_ss_Bv!L14+s_MLF_cucumber)*s_IFCU_res_adj*s_CF_cucumber</f>
        <v>323.125</v>
      </c>
      <c r="AM14" s="40">
        <f>s_C*(d_ss_Bv!M14+s_MLF_lettuce)*s_IFLE_res_adj*s_CF_lettuce</f>
        <v>323.125</v>
      </c>
      <c r="AN14" s="40">
        <f>s_C*(d_ss_Bv!N14+s_MLF_lima_bean)*s_IFLI_res_adj*s_CF_lima_bean</f>
        <v>323.125</v>
      </c>
      <c r="AO14" s="40">
        <f>s_C*(d_ss_Bv!O14+s_MLF_okra)*s_IFOK_res_adj*s_CF_okra</f>
        <v>323.125</v>
      </c>
      <c r="AP14" s="40">
        <f>s_C*(d_ss_Bv!P14+s_MLF_onion)*s_IFON_res_adj*s_CF_onion</f>
        <v>323.125</v>
      </c>
      <c r="AQ14" s="40">
        <f>s_C*(d_ss_Bv!Q14+s_MLF_peach)*s_IFPC_res_adj*s_CF_peach</f>
        <v>323.125</v>
      </c>
      <c r="AR14" s="40">
        <f>s_C*(d_ss_Bv!R14+s_MLF_pear)*s_IFPR_res_adj*s_CF_pear</f>
        <v>323.125</v>
      </c>
      <c r="AS14" s="40">
        <f>s_C*(d_ss_Bv!S14+s_MLF_peas)*s_IFPE_res_adj*s_CF_peas</f>
        <v>323.125</v>
      </c>
      <c r="AT14" s="40">
        <f>s_C*(d_ss_Bv!T14+s_MLF_potato)*s_IFPT_res_adj*s_CF_potato</f>
        <v>323.125</v>
      </c>
      <c r="AU14" s="40">
        <f>s_C*(d_ss_Bv!U14+s_MLF_pumpkin)*s_IFPU_res_adj*s_CF_pumpkin</f>
        <v>323.125</v>
      </c>
      <c r="AV14" s="40">
        <f>s_C*(d_ss_Bv!V14+s_MLF_snap_bean)*s_IFSN_res_adj*s_CF_snap_bean</f>
        <v>323.125</v>
      </c>
      <c r="AW14" s="40">
        <f>s_C*(d_ss_Bv!W14+s_MLF_strawberry)*s_IFST_res_adj*s_CF_strawberry</f>
        <v>323.125</v>
      </c>
      <c r="AX14" s="40">
        <f>s_C*(d_ss_Bv!X14+s_MLF_tomato)*s_IFTO_res_adj*s_CF_tomato</f>
        <v>323.125</v>
      </c>
      <c r="AY14" s="40">
        <f>s_C*(d_ss_Bv!Y14+s_MLF_rice)*s_IFRI_res_adj*s_CF_rice</f>
        <v>323.125</v>
      </c>
      <c r="AZ14" s="40">
        <f>s_C*(d_ss_Bv!Z14+s_MLF_cereal)*s_IFCG_res_adj*s_CF_cereal</f>
        <v>323.125</v>
      </c>
      <c r="BA14" s="15">
        <f t="shared" si="4"/>
        <v>432.03841339941226</v>
      </c>
      <c r="BB14" s="15">
        <f>IFERROR((s_dir!AC14/(d_ss_Bv!C14+s_MLF_apple)),".")</f>
        <v>1728.1536535976488</v>
      </c>
      <c r="BC14" s="15">
        <f>IFERROR((s_dir!AD14/(d_ss_Bv!D14+s_MLF_asparagus)),".")</f>
        <v>1728.1536535976488</v>
      </c>
      <c r="BD14" s="15">
        <f>IFERROR((s_dir!AE14/(d_ss_Bv!E14+s_MLF_beet)),".")</f>
        <v>1728.1536535976488</v>
      </c>
      <c r="BE14" s="15">
        <f>IFERROR((s_dir!AF14/(d_ss_Bv!F14+s_MLF_berries)),".")</f>
        <v>1728.1536535976488</v>
      </c>
      <c r="BF14" s="15">
        <f>IFERROR((s_dir!AG14/(d_ss_Bv!G14+s_MLF_broccoli)),".")</f>
        <v>1728.1536535976488</v>
      </c>
      <c r="BG14" s="15">
        <f>IFERROR((s_dir!AH14/(d_ss_Bv!H14+s_MLF_cabbage)),".")</f>
        <v>1728.1536535976488</v>
      </c>
      <c r="BH14" s="15">
        <f>IFERROR((s_dir!AI14/(d_ss_Bv!I14+s_MLF_carrot)),".")</f>
        <v>1728.1536535976488</v>
      </c>
      <c r="BI14" s="15">
        <f>IFERROR((s_dir!AJ14/(d_ss_Bv!J14+s_MLF_citrus)),".")</f>
        <v>1728.1536535976488</v>
      </c>
      <c r="BJ14" s="15">
        <f>IFERROR((s_dir!AK14/(d_ss_Bv!K14+s_MLF_corn)),".")</f>
        <v>1728.1536535976488</v>
      </c>
      <c r="BK14" s="15">
        <f>IFERROR((s_dir!AL14/(d_ss_Bv!L14+s_MLF_cucumber)),".")</f>
        <v>1728.1536535976488</v>
      </c>
      <c r="BL14" s="15">
        <f>IFERROR((s_dir!AM14/(d_ss_Bv!M14+s_MLF_lettuce)),".")</f>
        <v>1728.1536535976488</v>
      </c>
      <c r="BM14" s="15">
        <f>IFERROR((s_dir!AN14/(d_ss_Bv!N14+s_MLF_lima_bean)),".")</f>
        <v>1728.1536535976488</v>
      </c>
      <c r="BN14" s="15">
        <f>IFERROR((s_dir!AO14/(d_ss_Bv!O14+s_MLF_okra)),".")</f>
        <v>1728.1536535976488</v>
      </c>
      <c r="BO14" s="15">
        <f>IFERROR((s_dir!AP14/(d_ss_Bv!P14+s_MLF_onion)),".")</f>
        <v>1728.1536535976488</v>
      </c>
      <c r="BP14" s="15">
        <f>IFERROR((s_dir!AQ14/(d_ss_Bv!Q14+s_MLF_peach)),".")</f>
        <v>1728.1536535976488</v>
      </c>
      <c r="BQ14" s="15">
        <f>IFERROR((s_dir!AR14/(d_ss_Bv!R14+s_MLF_pear)),".")</f>
        <v>1728.1536535976488</v>
      </c>
      <c r="BR14" s="15">
        <f>IFERROR((s_dir!AS14/(d_ss_Bv!S14+s_MLF_peas)),".")</f>
        <v>1728.1536535976488</v>
      </c>
      <c r="BS14" s="15">
        <f>IFERROR((s_dir!AT14/(d_ss_Bv!T14+s_MLF_potato)),".")</f>
        <v>1728.1536535976488</v>
      </c>
      <c r="BT14" s="15">
        <f>IFERROR((s_dir!AU14/(d_ss_Bv!U14+s_MLF_pumpkin)),".")</f>
        <v>1728.1536535976488</v>
      </c>
      <c r="BU14" s="15">
        <f>IFERROR((s_dir!AV14/(d_ss_Bv!V14+s_MLF_snap_bean)),".")</f>
        <v>1728.1536535976488</v>
      </c>
      <c r="BV14" s="15">
        <f>IFERROR((s_dir!AW14/(d_ss_Bv!W14+s_MLF_strawberry)),".")</f>
        <v>1728.1536535976488</v>
      </c>
      <c r="BW14" s="15">
        <f>IFERROR((s_dir!AX14/(d_ss_Bv!X14+s_MLF_tomato)),".")</f>
        <v>1728.1536535976488</v>
      </c>
      <c r="BX14" s="15">
        <f>IFERROR((s_dir!AY14/(d_ss_Bv!Y14+s_MLF_rice)),".")</f>
        <v>1728.1536535976488</v>
      </c>
      <c r="BY14" s="15">
        <f>IFERROR((s_dir!AZ14/(d_ss_Bv!Z14+s_MLF_cereal)),".")</f>
        <v>1728.1536535976488</v>
      </c>
      <c r="BZ14" s="40">
        <f t="shared" si="5"/>
        <v>1292.5</v>
      </c>
      <c r="CA14" s="40">
        <f>IFERROR(s_C*(d_ss_Bv!C14+s_MLF_apple)*s_IFAP_far_adj*s_CF_apple,".")</f>
        <v>323.125</v>
      </c>
      <c r="CB14" s="40">
        <f>IFERROR(s_C*(d_ss_Bv!D14+s_MLF_asparagus)*s_IFAS_far_adj*s_CF_asparagus,".")</f>
        <v>323.125</v>
      </c>
      <c r="CC14" s="40">
        <f>IFERROR(s_C*(d_ss_Bv!E14+s_MLF_beet)*s_IFBT_far_adj*s_CF_beet,".")</f>
        <v>323.125</v>
      </c>
      <c r="CD14" s="40">
        <f>IFERROR(s_C*(d_ss_Bv!F14+s_MLF_berries)*s_IFBR_far_adj*s_CF_berries,".")</f>
        <v>323.125</v>
      </c>
      <c r="CE14" s="40">
        <f>IFERROR(s_C*(d_ss_Bv!G14+s_MLF_broccoli)*s_IFBR_far_adj*s_CF_broccoli,".")</f>
        <v>323.125</v>
      </c>
      <c r="CF14" s="40">
        <f>IFERROR(s_C*(d_ss_Bv!H14+s_MLF_cabbage)*s_IFCB_far_adj*s_CF_cabbage,".")</f>
        <v>323.125</v>
      </c>
      <c r="CG14" s="40">
        <f>IFERROR(s_C*(d_ss_Bv!I14+s_MLF_carrot)*s_IFCR_far_adj*s_CF_carrot,".")</f>
        <v>323.125</v>
      </c>
      <c r="CH14" s="40">
        <f>IFERROR(s_C*(d_ss_Bv!J14+s_MLF_citrus)*s_IFCI_far_adj*s_CF_citrus,".")</f>
        <v>323.125</v>
      </c>
      <c r="CI14" s="40">
        <f>IFERROR(s_C*(d_ss_Bv!K14+s_MLF_corn)*s_IFCO_far_adj*s_CF_corn,".")</f>
        <v>323.125</v>
      </c>
      <c r="CJ14" s="40">
        <f>IFERROR(s_C*(d_ss_Bv!L14+s_MLF_cucumber)*s_IFCU_far_adj*s_CF_cucumber,".")</f>
        <v>323.125</v>
      </c>
      <c r="CK14" s="40">
        <f>IFERROR(s_C*(d_ss_Bv!M14+s_MLF_lettuce)*s_IFLE_far_adj*s_CF_lettuce,".")</f>
        <v>323.125</v>
      </c>
      <c r="CL14" s="40">
        <f>IFERROR(s_C*(d_ss_Bv!N14+s_MLF_lima_bean)*s_IFLI_far_adj*s_CF_lima_bean,".")</f>
        <v>323.125</v>
      </c>
      <c r="CM14" s="40">
        <f>IFERROR(s_C*(d_ss_Bv!O14+s_MLF_okra)*s_IFOK_far_adj*s_CF_okra,".")</f>
        <v>323.125</v>
      </c>
      <c r="CN14" s="40">
        <f>IFERROR(s_C*(d_ss_Bv!P14+s_MLF_onion)*s_IFON_far_adj*s_CF_onion,".")</f>
        <v>323.125</v>
      </c>
      <c r="CO14" s="40">
        <f>IFERROR(s_C*(d_ss_Bv!Q14+s_MLF_peach)*s_IFPC_far_adj*s_CF_peach,".")</f>
        <v>323.125</v>
      </c>
      <c r="CP14" s="40">
        <f>IFERROR(s_C*(d_ss_Bv!R14+s_MLF_pear)*s_IFPR_far_adj*s_CF_pear,".")</f>
        <v>323.125</v>
      </c>
      <c r="CQ14" s="40">
        <f>IFERROR(s_C*(d_ss_Bv!S14+s_MLF_peas)*s_IFPE_far_adj*s_CF_peas,".")</f>
        <v>323.125</v>
      </c>
      <c r="CR14" s="40">
        <f>IFERROR(s_C*(d_ss_Bv!T14+s_MLF_potato)*s_IFPT_far_adj*s_CF_potato,".")</f>
        <v>323.125</v>
      </c>
      <c r="CS14" s="40">
        <f>IFERROR(s_C*(d_ss_Bv!U14+s_MLF_pumpkin)*s_IFPU_far_adj*s_CF_pumpkin,".")</f>
        <v>323.125</v>
      </c>
      <c r="CT14" s="40">
        <f>IFERROR(s_C*(d_ss_Bv!V14+s_MLF_snap_bean)*s_IFSN_far_adj*s_CF_snap_bean,".")</f>
        <v>323.125</v>
      </c>
      <c r="CU14" s="40">
        <f>IFERROR(s_C*(d_ss_Bv!W14+s_MLF_strawberry)*s_IFST_far_adj*s_CF_strawberry,".")</f>
        <v>323.125</v>
      </c>
      <c r="CV14" s="40">
        <f>IFERROR(s_C*(d_ss_Bv!X14+s_MLF_tomato)*s_IFTO_far_adj*s_CF_tomato,".")</f>
        <v>323.125</v>
      </c>
      <c r="CW14" s="40">
        <f>IFERROR(s_C*(d_ss_Bv!Y14+s_MLF_rice)*s_IFRI_far_adj*s_CF_rice,".")</f>
        <v>323.125</v>
      </c>
      <c r="CX14" s="40">
        <f>IFERROR(s_C*(d_ss_Bv!Z14+s_MLF_cereal)*s_IFCG_far_adj*s_CF_cereal,".")</f>
        <v>323.125</v>
      </c>
    </row>
    <row r="15" spans="1:102" ht="15" customHeight="1" x14ac:dyDescent="0.25">
      <c r="A15" s="44" t="s">
        <v>25</v>
      </c>
      <c r="B15" s="42" t="s">
        <v>1074</v>
      </c>
      <c r="C15" s="15">
        <f t="shared" si="2"/>
        <v>6718.4824858263464</v>
      </c>
      <c r="D15" s="15">
        <f>IFERROR((s_dir!D15/(d_ss_Bv!C15+s_MLF_apple)),".")</f>
        <v>44396.304052083971</v>
      </c>
      <c r="E15" s="15">
        <f>IFERROR((s_dir!E15/(d_ss_Bv!D15+s_MLF_asparagus)),".")</f>
        <v>11158.429360684207</v>
      </c>
      <c r="F15" s="15">
        <f>IFERROR((s_dir!F15/(d_ss_Bv!E15+s_MLF_beet)),".")</f>
        <v>36607.478779788544</v>
      </c>
      <c r="G15" s="15">
        <f>IFERROR((s_dir!G15/(d_ss_Bv!F15+s_MLF_berries)),".")</f>
        <v>44396.304052083971</v>
      </c>
      <c r="H15" s="15">
        <f>IFERROR((s_dir!H15/(d_ss_Bv!G15+s_MLF_broccoli)),".")</f>
        <v>36607.478779788544</v>
      </c>
      <c r="I15" s="15">
        <f>IFERROR((s_dir!I15/(d_ss_Bv!H15+s_MLF_cabbage)),".")</f>
        <v>11158.429360684207</v>
      </c>
      <c r="J15" s="15">
        <f>IFERROR((s_dir!J15/(d_ss_Bv!I15+s_MLF_carrot)),".")</f>
        <v>36607.478779788544</v>
      </c>
      <c r="K15" s="15">
        <f>IFERROR((s_dir!K15/(d_ss_Bv!J15+s_MLF_citrus)),".")</f>
        <v>44396.304052083971</v>
      </c>
      <c r="L15" s="15">
        <f>IFERROR((s_dir!L15/(d_ss_Bv!K15+s_MLF_corn)),".")</f>
        <v>70973.683348569626</v>
      </c>
      <c r="M15" s="15">
        <f>IFERROR((s_dir!M15/(d_ss_Bv!L15+s_MLF_cucumber)),".")</f>
        <v>36607.478779788544</v>
      </c>
      <c r="N15" s="15">
        <f>IFERROR((s_dir!N15/(d_ss_Bv!M15+s_MLF_lettuce)),".")</f>
        <v>11158.429360684207</v>
      </c>
      <c r="O15" s="15">
        <f>IFERROR((s_dir!O15/(d_ss_Bv!N15+s_MLF_lima_bean)),".")</f>
        <v>55495.380065104968</v>
      </c>
      <c r="P15" s="15">
        <f>IFERROR((s_dir!P15/(d_ss_Bv!O15+s_MLF_okra)),".")</f>
        <v>36607.478779788544</v>
      </c>
      <c r="Q15" s="15">
        <f>IFERROR((s_dir!Q15/(d_ss_Bv!P15+s_MLF_onion)),".")</f>
        <v>36607.478779788544</v>
      </c>
      <c r="R15" s="15">
        <f>IFERROR((s_dir!R15/(d_ss_Bv!Q15+s_MLF_peach)),".")</f>
        <v>44396.304052083971</v>
      </c>
      <c r="S15" s="15">
        <f>IFERROR((s_dir!S15/(d_ss_Bv!R15+s_MLF_pear)),".")</f>
        <v>44396.304052083971</v>
      </c>
      <c r="T15" s="15">
        <f>IFERROR((s_dir!T15/(d_ss_Bv!S15+s_MLF_peas)),".")</f>
        <v>55495.380065104968</v>
      </c>
      <c r="U15" s="15">
        <f>IFERROR((s_dir!U15/(d_ss_Bv!T15+s_MLF_potato)),".")</f>
        <v>69554.209681598222</v>
      </c>
      <c r="V15" s="15">
        <f>IFERROR((s_dir!V15/(d_ss_Bv!U15+s_MLF_pumpkin)),".")</f>
        <v>36607.478779788544</v>
      </c>
      <c r="W15" s="15">
        <f>IFERROR((s_dir!W15/(d_ss_Bv!V15+s_MLF_snap_bean)),".")</f>
        <v>55495.380065104968</v>
      </c>
      <c r="X15" s="15">
        <f>IFERROR((s_dir!X15/(d_ss_Bv!W15+s_MLF_strawberry)),".")</f>
        <v>44396.304052083971</v>
      </c>
      <c r="Y15" s="15">
        <f>IFERROR((s_dir!Y15/(d_ss_Bv!X15+s_MLF_tomato)),".")</f>
        <v>36607.478779788544</v>
      </c>
      <c r="Z15" s="15">
        <f>IFERROR((s_dir!Z15/(d_ss_Bv!Y15+s_MLF_rice)),".")</f>
        <v>75657.2259045666</v>
      </c>
      <c r="AA15" s="15">
        <f>IFERROR((s_dir!AA15/(d_ss_Bv!Z15+s_MLF_cereal)),".")</f>
        <v>42584.210009141767</v>
      </c>
      <c r="AB15" s="40">
        <f t="shared" si="3"/>
        <v>2135.2375000000002</v>
      </c>
      <c r="AC15" s="40">
        <f>s_C*(d_ss_Bv!C15+s_MLF_apple)*s_IFAP_res_adj*s_CF_apple</f>
        <v>323.125</v>
      </c>
      <c r="AD15" s="40">
        <f>s_C*(d_ss_Bv!D15+s_MLF_asparagus)*s_IFAS_res_adj*s_CF_asparagus</f>
        <v>1285.625</v>
      </c>
      <c r="AE15" s="40">
        <f>s_C*(d_ss_Bv!E15+s_MLF_beet)*s_IFBT_res_adj*s_CF_beet</f>
        <v>391.87499999999994</v>
      </c>
      <c r="AF15" s="40">
        <f>s_C*(d_ss_Bv!F15+s_MLF_berries)*s_IFBE_res_adj*s_CF_berries</f>
        <v>323.125</v>
      </c>
      <c r="AG15" s="40">
        <f>s_C*(d_ss_Bv!G15+s_MLF_broccoli)*s_IFBR_res_adj*s_CF_broccoli</f>
        <v>391.87499999999994</v>
      </c>
      <c r="AH15" s="40">
        <f>s_C*(d_ss_Bv!H15+s_MLF_cabbage)*s_IFCB_res_adj*s_CF_cabbage</f>
        <v>1285.625</v>
      </c>
      <c r="AI15" s="40">
        <f>s_C*(d_ss_Bv!I15+s_MLF_carrot)*s_IFCR_res_adj*s_CF_carrot</f>
        <v>391.87499999999994</v>
      </c>
      <c r="AJ15" s="40">
        <f>s_C*(d_ss_Bv!J15+s_MLF_citrus)*s_IFCI_res_adj*s_CF_citrus</f>
        <v>323.125</v>
      </c>
      <c r="AK15" s="40">
        <f>s_C*(d_ss_Bv!K15+s_MLF_corn)*s_IFCO_res_adj*s_CF_corn</f>
        <v>202.125</v>
      </c>
      <c r="AL15" s="40">
        <f>s_C*(d_ss_Bv!L15+s_MLF_cucumber)*s_IFCU_res_adj*s_CF_cucumber</f>
        <v>391.87499999999994</v>
      </c>
      <c r="AM15" s="40">
        <f>s_C*(d_ss_Bv!M15+s_MLF_lettuce)*s_IFLE_res_adj*s_CF_lettuce</f>
        <v>1285.625</v>
      </c>
      <c r="AN15" s="40">
        <f>s_C*(d_ss_Bv!N15+s_MLF_lima_bean)*s_IFLI_res_adj*s_CF_lima_bean</f>
        <v>258.5</v>
      </c>
      <c r="AO15" s="40">
        <f>s_C*(d_ss_Bv!O15+s_MLF_okra)*s_IFOK_res_adj*s_CF_okra</f>
        <v>391.87499999999994</v>
      </c>
      <c r="AP15" s="40">
        <f>s_C*(d_ss_Bv!P15+s_MLF_onion)*s_IFON_res_adj*s_CF_onion</f>
        <v>391.87499999999994</v>
      </c>
      <c r="AQ15" s="40">
        <f>s_C*(d_ss_Bv!Q15+s_MLF_peach)*s_IFPC_res_adj*s_CF_peach</f>
        <v>323.125</v>
      </c>
      <c r="AR15" s="40">
        <f>s_C*(d_ss_Bv!R15+s_MLF_pear)*s_IFPR_res_adj*s_CF_pear</f>
        <v>323.125</v>
      </c>
      <c r="AS15" s="40">
        <f>s_C*(d_ss_Bv!S15+s_MLF_peas)*s_IFPE_res_adj*s_CF_peas</f>
        <v>258.5</v>
      </c>
      <c r="AT15" s="40">
        <f>s_C*(d_ss_Bv!T15+s_MLF_potato)*s_IFPT_res_adj*s_CF_potato</f>
        <v>206.25</v>
      </c>
      <c r="AU15" s="40">
        <f>s_C*(d_ss_Bv!U15+s_MLF_pumpkin)*s_IFPU_res_adj*s_CF_pumpkin</f>
        <v>391.87499999999994</v>
      </c>
      <c r="AV15" s="40">
        <f>s_C*(d_ss_Bv!V15+s_MLF_snap_bean)*s_IFSN_res_adj*s_CF_snap_bean</f>
        <v>258.5</v>
      </c>
      <c r="AW15" s="40">
        <f>s_C*(d_ss_Bv!W15+s_MLF_strawberry)*s_IFST_res_adj*s_CF_strawberry</f>
        <v>323.125</v>
      </c>
      <c r="AX15" s="40">
        <f>s_C*(d_ss_Bv!X15+s_MLF_tomato)*s_IFTO_res_adj*s_CF_tomato</f>
        <v>391.87499999999994</v>
      </c>
      <c r="AY15" s="40">
        <f>s_C*(d_ss_Bv!Y15+s_MLF_rice)*s_IFRI_res_adj*s_CF_rice</f>
        <v>189.61249999999998</v>
      </c>
      <c r="AZ15" s="40">
        <f>s_C*(d_ss_Bv!Z15+s_MLF_cereal)*s_IFCG_res_adj*s_CF_cereal</f>
        <v>336.875</v>
      </c>
      <c r="BA15" s="15">
        <f t="shared" si="4"/>
        <v>6718.4824858263464</v>
      </c>
      <c r="BB15" s="15">
        <f>IFERROR((s_dir!AC15/(d_ss_Bv!C15+s_MLF_apple)),".")</f>
        <v>44396.304052083971</v>
      </c>
      <c r="BC15" s="15">
        <f>IFERROR((s_dir!AD15/(d_ss_Bv!D15+s_MLF_asparagus)),".")</f>
        <v>11158.429360684207</v>
      </c>
      <c r="BD15" s="15">
        <f>IFERROR((s_dir!AE15/(d_ss_Bv!E15+s_MLF_beet)),".")</f>
        <v>36607.478779788544</v>
      </c>
      <c r="BE15" s="15">
        <f>IFERROR((s_dir!AF15/(d_ss_Bv!F15+s_MLF_berries)),".")</f>
        <v>44396.304052083971</v>
      </c>
      <c r="BF15" s="15">
        <f>IFERROR((s_dir!AG15/(d_ss_Bv!G15+s_MLF_broccoli)),".")</f>
        <v>36607.478779788544</v>
      </c>
      <c r="BG15" s="15">
        <f>IFERROR((s_dir!AH15/(d_ss_Bv!H15+s_MLF_cabbage)),".")</f>
        <v>11158.429360684207</v>
      </c>
      <c r="BH15" s="15">
        <f>IFERROR((s_dir!AI15/(d_ss_Bv!I15+s_MLF_carrot)),".")</f>
        <v>36607.478779788544</v>
      </c>
      <c r="BI15" s="15">
        <f>IFERROR((s_dir!AJ15/(d_ss_Bv!J15+s_MLF_citrus)),".")</f>
        <v>44396.304052083971</v>
      </c>
      <c r="BJ15" s="15">
        <f>IFERROR((s_dir!AK15/(d_ss_Bv!K15+s_MLF_corn)),".")</f>
        <v>70973.683348569626</v>
      </c>
      <c r="BK15" s="15">
        <f>IFERROR((s_dir!AL15/(d_ss_Bv!L15+s_MLF_cucumber)),".")</f>
        <v>36607.478779788544</v>
      </c>
      <c r="BL15" s="15">
        <f>IFERROR((s_dir!AM15/(d_ss_Bv!M15+s_MLF_lettuce)),".")</f>
        <v>11158.429360684207</v>
      </c>
      <c r="BM15" s="15">
        <f>IFERROR((s_dir!AN15/(d_ss_Bv!N15+s_MLF_lima_bean)),".")</f>
        <v>55495.380065104968</v>
      </c>
      <c r="BN15" s="15">
        <f>IFERROR((s_dir!AO15/(d_ss_Bv!O15+s_MLF_okra)),".")</f>
        <v>36607.478779788544</v>
      </c>
      <c r="BO15" s="15">
        <f>IFERROR((s_dir!AP15/(d_ss_Bv!P15+s_MLF_onion)),".")</f>
        <v>36607.478779788544</v>
      </c>
      <c r="BP15" s="15">
        <f>IFERROR((s_dir!AQ15/(d_ss_Bv!Q15+s_MLF_peach)),".")</f>
        <v>44396.304052083971</v>
      </c>
      <c r="BQ15" s="15">
        <f>IFERROR((s_dir!AR15/(d_ss_Bv!R15+s_MLF_pear)),".")</f>
        <v>44396.304052083971</v>
      </c>
      <c r="BR15" s="15">
        <f>IFERROR((s_dir!AS15/(d_ss_Bv!S15+s_MLF_peas)),".")</f>
        <v>55495.380065104968</v>
      </c>
      <c r="BS15" s="15">
        <f>IFERROR((s_dir!AT15/(d_ss_Bv!T15+s_MLF_potato)),".")</f>
        <v>69554.209681598222</v>
      </c>
      <c r="BT15" s="15">
        <f>IFERROR((s_dir!AU15/(d_ss_Bv!U15+s_MLF_pumpkin)),".")</f>
        <v>36607.478779788544</v>
      </c>
      <c r="BU15" s="15">
        <f>IFERROR((s_dir!AV15/(d_ss_Bv!V15+s_MLF_snap_bean)),".")</f>
        <v>55495.380065104968</v>
      </c>
      <c r="BV15" s="15">
        <f>IFERROR((s_dir!AW15/(d_ss_Bv!W15+s_MLF_strawberry)),".")</f>
        <v>44396.304052083971</v>
      </c>
      <c r="BW15" s="15">
        <f>IFERROR((s_dir!AX15/(d_ss_Bv!X15+s_MLF_tomato)),".")</f>
        <v>36607.478779788544</v>
      </c>
      <c r="BX15" s="15">
        <f>IFERROR((s_dir!AY15/(d_ss_Bv!Y15+s_MLF_rice)),".")</f>
        <v>75657.2259045666</v>
      </c>
      <c r="BY15" s="15">
        <f>IFERROR((s_dir!AZ15/(d_ss_Bv!Z15+s_MLF_cereal)),".")</f>
        <v>42584.210009141767</v>
      </c>
      <c r="BZ15" s="40">
        <f t="shared" si="5"/>
        <v>2135.2375000000002</v>
      </c>
      <c r="CA15" s="40">
        <f>IFERROR(s_C*(d_ss_Bv!C15+s_MLF_apple)*s_IFAP_far_adj*s_CF_apple,".")</f>
        <v>323.125</v>
      </c>
      <c r="CB15" s="40">
        <f>IFERROR(s_C*(d_ss_Bv!D15+s_MLF_asparagus)*s_IFAS_far_adj*s_CF_asparagus,".")</f>
        <v>1285.625</v>
      </c>
      <c r="CC15" s="40">
        <f>IFERROR(s_C*(d_ss_Bv!E15+s_MLF_beet)*s_IFBT_far_adj*s_CF_beet,".")</f>
        <v>391.87499999999994</v>
      </c>
      <c r="CD15" s="40">
        <f>IFERROR(s_C*(d_ss_Bv!F15+s_MLF_berries)*s_IFBR_far_adj*s_CF_berries,".")</f>
        <v>323.125</v>
      </c>
      <c r="CE15" s="40">
        <f>IFERROR(s_C*(d_ss_Bv!G15+s_MLF_broccoli)*s_IFBR_far_adj*s_CF_broccoli,".")</f>
        <v>391.87499999999994</v>
      </c>
      <c r="CF15" s="40">
        <f>IFERROR(s_C*(d_ss_Bv!H15+s_MLF_cabbage)*s_IFCB_far_adj*s_CF_cabbage,".")</f>
        <v>1285.625</v>
      </c>
      <c r="CG15" s="40">
        <f>IFERROR(s_C*(d_ss_Bv!I15+s_MLF_carrot)*s_IFCR_far_adj*s_CF_carrot,".")</f>
        <v>391.87499999999994</v>
      </c>
      <c r="CH15" s="40">
        <f>IFERROR(s_C*(d_ss_Bv!J15+s_MLF_citrus)*s_IFCI_far_adj*s_CF_citrus,".")</f>
        <v>323.125</v>
      </c>
      <c r="CI15" s="40">
        <f>IFERROR(s_C*(d_ss_Bv!K15+s_MLF_corn)*s_IFCO_far_adj*s_CF_corn,".")</f>
        <v>202.125</v>
      </c>
      <c r="CJ15" s="40">
        <f>IFERROR(s_C*(d_ss_Bv!L15+s_MLF_cucumber)*s_IFCU_far_adj*s_CF_cucumber,".")</f>
        <v>391.87499999999994</v>
      </c>
      <c r="CK15" s="40">
        <f>IFERROR(s_C*(d_ss_Bv!M15+s_MLF_lettuce)*s_IFLE_far_adj*s_CF_lettuce,".")</f>
        <v>1285.625</v>
      </c>
      <c r="CL15" s="40">
        <f>IFERROR(s_C*(d_ss_Bv!N15+s_MLF_lima_bean)*s_IFLI_far_adj*s_CF_lima_bean,".")</f>
        <v>258.5</v>
      </c>
      <c r="CM15" s="40">
        <f>IFERROR(s_C*(d_ss_Bv!O15+s_MLF_okra)*s_IFOK_far_adj*s_CF_okra,".")</f>
        <v>391.87499999999994</v>
      </c>
      <c r="CN15" s="40">
        <f>IFERROR(s_C*(d_ss_Bv!P15+s_MLF_onion)*s_IFON_far_adj*s_CF_onion,".")</f>
        <v>391.87499999999994</v>
      </c>
      <c r="CO15" s="40">
        <f>IFERROR(s_C*(d_ss_Bv!Q15+s_MLF_peach)*s_IFPC_far_adj*s_CF_peach,".")</f>
        <v>323.125</v>
      </c>
      <c r="CP15" s="40">
        <f>IFERROR(s_C*(d_ss_Bv!R15+s_MLF_pear)*s_IFPR_far_adj*s_CF_pear,".")</f>
        <v>323.125</v>
      </c>
      <c r="CQ15" s="40">
        <f>IFERROR(s_C*(d_ss_Bv!S15+s_MLF_peas)*s_IFPE_far_adj*s_CF_peas,".")</f>
        <v>258.5</v>
      </c>
      <c r="CR15" s="40">
        <f>IFERROR(s_C*(d_ss_Bv!T15+s_MLF_potato)*s_IFPT_far_adj*s_CF_potato,".")</f>
        <v>206.25</v>
      </c>
      <c r="CS15" s="40">
        <f>IFERROR(s_C*(d_ss_Bv!U15+s_MLF_pumpkin)*s_IFPU_far_adj*s_CF_pumpkin,".")</f>
        <v>391.87499999999994</v>
      </c>
      <c r="CT15" s="40">
        <f>IFERROR(s_C*(d_ss_Bv!V15+s_MLF_snap_bean)*s_IFSN_far_adj*s_CF_snap_bean,".")</f>
        <v>258.5</v>
      </c>
      <c r="CU15" s="40">
        <f>IFERROR(s_C*(d_ss_Bv!W15+s_MLF_strawberry)*s_IFST_far_adj*s_CF_strawberry,".")</f>
        <v>323.125</v>
      </c>
      <c r="CV15" s="40">
        <f>IFERROR(s_C*(d_ss_Bv!X15+s_MLF_tomato)*s_IFTO_far_adj*s_CF_tomato,".")</f>
        <v>391.87499999999994</v>
      </c>
      <c r="CW15" s="40">
        <f>IFERROR(s_C*(d_ss_Bv!Y15+s_MLF_rice)*s_IFRI_far_adj*s_CF_rice,".")</f>
        <v>189.61249999999998</v>
      </c>
      <c r="CX15" s="40">
        <f>IFERROR(s_C*(d_ss_Bv!Z15+s_MLF_cereal)*s_IFCG_far_adj*s_CF_cereal,".")</f>
        <v>336.875</v>
      </c>
    </row>
    <row r="16" spans="1:102" ht="15" customHeight="1" x14ac:dyDescent="0.25">
      <c r="A16" s="44" t="s">
        <v>26</v>
      </c>
      <c r="B16" s="42" t="s">
        <v>1074</v>
      </c>
      <c r="C16" s="15">
        <f t="shared" si="2"/>
        <v>1.9901919816504459</v>
      </c>
      <c r="D16" s="15">
        <f>IFERROR((s_dir!D16/(d_ss_Bv!C16+s_MLF_apple)),".")</f>
        <v>13.151357992787135</v>
      </c>
      <c r="E16" s="15">
        <f>IFERROR((s_dir!E16/(d_ss_Bv!D16+s_MLF_asparagus)),".")</f>
        <v>3.3054215275989058</v>
      </c>
      <c r="F16" s="15">
        <f>IFERROR((s_dir!F16/(d_ss_Bv!E16+s_MLF_beet)),".")</f>
        <v>10.844102204578867</v>
      </c>
      <c r="G16" s="15">
        <f>IFERROR((s_dir!G16/(d_ss_Bv!F16+s_MLF_berries)),".")</f>
        <v>13.151357992787135</v>
      </c>
      <c r="H16" s="15">
        <f>IFERROR((s_dir!H16/(d_ss_Bv!G16+s_MLF_broccoli)),".")</f>
        <v>10.844102204578867</v>
      </c>
      <c r="I16" s="15">
        <f>IFERROR((s_dir!I16/(d_ss_Bv!H16+s_MLF_cabbage)),".")</f>
        <v>3.3054215275989058</v>
      </c>
      <c r="J16" s="15">
        <f>IFERROR((s_dir!J16/(d_ss_Bv!I16+s_MLF_carrot)),".")</f>
        <v>10.844102204578867</v>
      </c>
      <c r="K16" s="15">
        <f>IFERROR((s_dir!K16/(d_ss_Bv!J16+s_MLF_citrus)),".")</f>
        <v>13.151357992787135</v>
      </c>
      <c r="L16" s="15">
        <f>IFERROR((s_dir!L16/(d_ss_Bv!K16+s_MLF_corn)),".")</f>
        <v>21.024279784387598</v>
      </c>
      <c r="M16" s="15">
        <f>IFERROR((s_dir!M16/(d_ss_Bv!L16+s_MLF_cucumber)),".")</f>
        <v>10.844102204578867</v>
      </c>
      <c r="N16" s="15">
        <f>IFERROR((s_dir!N16/(d_ss_Bv!M16+s_MLF_lettuce)),".")</f>
        <v>3.3054215275989058</v>
      </c>
      <c r="O16" s="15">
        <f>IFERROR((s_dir!O16/(d_ss_Bv!N16+s_MLF_lima_bean)),".")</f>
        <v>16.439197490983918</v>
      </c>
      <c r="P16" s="15">
        <f>IFERROR((s_dir!P16/(d_ss_Bv!O16+s_MLF_okra)),".")</f>
        <v>10.844102204578867</v>
      </c>
      <c r="Q16" s="15">
        <f>IFERROR((s_dir!Q16/(d_ss_Bv!P16+s_MLF_onion)),".")</f>
        <v>10.844102204578867</v>
      </c>
      <c r="R16" s="15">
        <f>IFERROR((s_dir!R16/(d_ss_Bv!Q16+s_MLF_peach)),".")</f>
        <v>13.151357992787135</v>
      </c>
      <c r="S16" s="15">
        <f>IFERROR((s_dir!S16/(d_ss_Bv!R16+s_MLF_pear)),".")</f>
        <v>13.151357992787135</v>
      </c>
      <c r="T16" s="15">
        <f>IFERROR((s_dir!T16/(d_ss_Bv!S16+s_MLF_peas)),".")</f>
        <v>16.439197490983918</v>
      </c>
      <c r="U16" s="15">
        <f>IFERROR((s_dir!U16/(d_ss_Bv!T16+s_MLF_potato)),".")</f>
        <v>20.603794188699847</v>
      </c>
      <c r="V16" s="15">
        <f>IFERROR((s_dir!V16/(d_ss_Bv!U16+s_MLF_pumpkin)),".")</f>
        <v>10.844102204578867</v>
      </c>
      <c r="W16" s="15">
        <f>IFERROR((s_dir!W16/(d_ss_Bv!V16+s_MLF_snap_bean)),".")</f>
        <v>16.439197490983918</v>
      </c>
      <c r="X16" s="15">
        <f>IFERROR((s_dir!X16/(d_ss_Bv!W16+s_MLF_strawberry)),".")</f>
        <v>13.151357992787135</v>
      </c>
      <c r="Y16" s="15">
        <f>IFERROR((s_dir!Y16/(d_ss_Bv!X16+s_MLF_tomato)),".")</f>
        <v>10.844102204578867</v>
      </c>
      <c r="Z16" s="15">
        <f>IFERROR((s_dir!Z16/(d_ss_Bv!Y16+s_MLF_rice)),".")</f>
        <v>22.411668805692361</v>
      </c>
      <c r="AA16" s="15">
        <f>IFERROR((s_dir!AA16/(d_ss_Bv!Z16+s_MLF_cereal)),".")</f>
        <v>12.614567870632559</v>
      </c>
      <c r="AB16" s="40">
        <f t="shared" si="3"/>
        <v>2135.2375000000002</v>
      </c>
      <c r="AC16" s="40">
        <f>s_C*(d_ss_Bv!C16+s_MLF_apple)*s_IFAP_res_adj*s_CF_apple</f>
        <v>323.125</v>
      </c>
      <c r="AD16" s="40">
        <f>s_C*(d_ss_Bv!D16+s_MLF_asparagus)*s_IFAS_res_adj*s_CF_asparagus</f>
        <v>1285.625</v>
      </c>
      <c r="AE16" s="40">
        <f>s_C*(d_ss_Bv!E16+s_MLF_beet)*s_IFBT_res_adj*s_CF_beet</f>
        <v>391.87499999999994</v>
      </c>
      <c r="AF16" s="40">
        <f>s_C*(d_ss_Bv!F16+s_MLF_berries)*s_IFBE_res_adj*s_CF_berries</f>
        <v>323.125</v>
      </c>
      <c r="AG16" s="40">
        <f>s_C*(d_ss_Bv!G16+s_MLF_broccoli)*s_IFBR_res_adj*s_CF_broccoli</f>
        <v>391.87499999999994</v>
      </c>
      <c r="AH16" s="40">
        <f>s_C*(d_ss_Bv!H16+s_MLF_cabbage)*s_IFCB_res_adj*s_CF_cabbage</f>
        <v>1285.625</v>
      </c>
      <c r="AI16" s="40">
        <f>s_C*(d_ss_Bv!I16+s_MLF_carrot)*s_IFCR_res_adj*s_CF_carrot</f>
        <v>391.87499999999994</v>
      </c>
      <c r="AJ16" s="40">
        <f>s_C*(d_ss_Bv!J16+s_MLF_citrus)*s_IFCI_res_adj*s_CF_citrus</f>
        <v>323.125</v>
      </c>
      <c r="AK16" s="40">
        <f>s_C*(d_ss_Bv!K16+s_MLF_corn)*s_IFCO_res_adj*s_CF_corn</f>
        <v>202.125</v>
      </c>
      <c r="AL16" s="40">
        <f>s_C*(d_ss_Bv!L16+s_MLF_cucumber)*s_IFCU_res_adj*s_CF_cucumber</f>
        <v>391.87499999999994</v>
      </c>
      <c r="AM16" s="40">
        <f>s_C*(d_ss_Bv!M16+s_MLF_lettuce)*s_IFLE_res_adj*s_CF_lettuce</f>
        <v>1285.625</v>
      </c>
      <c r="AN16" s="40">
        <f>s_C*(d_ss_Bv!N16+s_MLF_lima_bean)*s_IFLI_res_adj*s_CF_lima_bean</f>
        <v>258.5</v>
      </c>
      <c r="AO16" s="40">
        <f>s_C*(d_ss_Bv!O16+s_MLF_okra)*s_IFOK_res_adj*s_CF_okra</f>
        <v>391.87499999999994</v>
      </c>
      <c r="AP16" s="40">
        <f>s_C*(d_ss_Bv!P16+s_MLF_onion)*s_IFON_res_adj*s_CF_onion</f>
        <v>391.87499999999994</v>
      </c>
      <c r="AQ16" s="40">
        <f>s_C*(d_ss_Bv!Q16+s_MLF_peach)*s_IFPC_res_adj*s_CF_peach</f>
        <v>323.125</v>
      </c>
      <c r="AR16" s="40">
        <f>s_C*(d_ss_Bv!R16+s_MLF_pear)*s_IFPR_res_adj*s_CF_pear</f>
        <v>323.125</v>
      </c>
      <c r="AS16" s="40">
        <f>s_C*(d_ss_Bv!S16+s_MLF_peas)*s_IFPE_res_adj*s_CF_peas</f>
        <v>258.5</v>
      </c>
      <c r="AT16" s="40">
        <f>s_C*(d_ss_Bv!T16+s_MLF_potato)*s_IFPT_res_adj*s_CF_potato</f>
        <v>206.25</v>
      </c>
      <c r="AU16" s="40">
        <f>s_C*(d_ss_Bv!U16+s_MLF_pumpkin)*s_IFPU_res_adj*s_CF_pumpkin</f>
        <v>391.87499999999994</v>
      </c>
      <c r="AV16" s="40">
        <f>s_C*(d_ss_Bv!V16+s_MLF_snap_bean)*s_IFSN_res_adj*s_CF_snap_bean</f>
        <v>258.5</v>
      </c>
      <c r="AW16" s="40">
        <f>s_C*(d_ss_Bv!W16+s_MLF_strawberry)*s_IFST_res_adj*s_CF_strawberry</f>
        <v>323.125</v>
      </c>
      <c r="AX16" s="40">
        <f>s_C*(d_ss_Bv!X16+s_MLF_tomato)*s_IFTO_res_adj*s_CF_tomato</f>
        <v>391.87499999999994</v>
      </c>
      <c r="AY16" s="40">
        <f>s_C*(d_ss_Bv!Y16+s_MLF_rice)*s_IFRI_res_adj*s_CF_rice</f>
        <v>189.61249999999998</v>
      </c>
      <c r="AZ16" s="40">
        <f>s_C*(d_ss_Bv!Z16+s_MLF_cereal)*s_IFCG_res_adj*s_CF_cereal</f>
        <v>336.875</v>
      </c>
      <c r="BA16" s="15">
        <f t="shared" si="4"/>
        <v>1.9901919816504459</v>
      </c>
      <c r="BB16" s="15">
        <f>IFERROR((s_dir!AC16/(d_ss_Bv!C16+s_MLF_apple)),".")</f>
        <v>13.151357992787135</v>
      </c>
      <c r="BC16" s="15">
        <f>IFERROR((s_dir!AD16/(d_ss_Bv!D16+s_MLF_asparagus)),".")</f>
        <v>3.3054215275989058</v>
      </c>
      <c r="BD16" s="15">
        <f>IFERROR((s_dir!AE16/(d_ss_Bv!E16+s_MLF_beet)),".")</f>
        <v>10.844102204578867</v>
      </c>
      <c r="BE16" s="15">
        <f>IFERROR((s_dir!AF16/(d_ss_Bv!F16+s_MLF_berries)),".")</f>
        <v>13.151357992787135</v>
      </c>
      <c r="BF16" s="15">
        <f>IFERROR((s_dir!AG16/(d_ss_Bv!G16+s_MLF_broccoli)),".")</f>
        <v>10.844102204578867</v>
      </c>
      <c r="BG16" s="15">
        <f>IFERROR((s_dir!AH16/(d_ss_Bv!H16+s_MLF_cabbage)),".")</f>
        <v>3.3054215275989058</v>
      </c>
      <c r="BH16" s="15">
        <f>IFERROR((s_dir!AI16/(d_ss_Bv!I16+s_MLF_carrot)),".")</f>
        <v>10.844102204578867</v>
      </c>
      <c r="BI16" s="15">
        <f>IFERROR((s_dir!AJ16/(d_ss_Bv!J16+s_MLF_citrus)),".")</f>
        <v>13.151357992787135</v>
      </c>
      <c r="BJ16" s="15">
        <f>IFERROR((s_dir!AK16/(d_ss_Bv!K16+s_MLF_corn)),".")</f>
        <v>21.024279784387598</v>
      </c>
      <c r="BK16" s="15">
        <f>IFERROR((s_dir!AL16/(d_ss_Bv!L16+s_MLF_cucumber)),".")</f>
        <v>10.844102204578867</v>
      </c>
      <c r="BL16" s="15">
        <f>IFERROR((s_dir!AM16/(d_ss_Bv!M16+s_MLF_lettuce)),".")</f>
        <v>3.3054215275989058</v>
      </c>
      <c r="BM16" s="15">
        <f>IFERROR((s_dir!AN16/(d_ss_Bv!N16+s_MLF_lima_bean)),".")</f>
        <v>16.439197490983918</v>
      </c>
      <c r="BN16" s="15">
        <f>IFERROR((s_dir!AO16/(d_ss_Bv!O16+s_MLF_okra)),".")</f>
        <v>10.844102204578867</v>
      </c>
      <c r="BO16" s="15">
        <f>IFERROR((s_dir!AP16/(d_ss_Bv!P16+s_MLF_onion)),".")</f>
        <v>10.844102204578867</v>
      </c>
      <c r="BP16" s="15">
        <f>IFERROR((s_dir!AQ16/(d_ss_Bv!Q16+s_MLF_peach)),".")</f>
        <v>13.151357992787135</v>
      </c>
      <c r="BQ16" s="15">
        <f>IFERROR((s_dir!AR16/(d_ss_Bv!R16+s_MLF_pear)),".")</f>
        <v>13.151357992787135</v>
      </c>
      <c r="BR16" s="15">
        <f>IFERROR((s_dir!AS16/(d_ss_Bv!S16+s_MLF_peas)),".")</f>
        <v>16.439197490983918</v>
      </c>
      <c r="BS16" s="15">
        <f>IFERROR((s_dir!AT16/(d_ss_Bv!T16+s_MLF_potato)),".")</f>
        <v>20.603794188699847</v>
      </c>
      <c r="BT16" s="15">
        <f>IFERROR((s_dir!AU16/(d_ss_Bv!U16+s_MLF_pumpkin)),".")</f>
        <v>10.844102204578867</v>
      </c>
      <c r="BU16" s="15">
        <f>IFERROR((s_dir!AV16/(d_ss_Bv!V16+s_MLF_snap_bean)),".")</f>
        <v>16.439197490983918</v>
      </c>
      <c r="BV16" s="15">
        <f>IFERROR((s_dir!AW16/(d_ss_Bv!W16+s_MLF_strawberry)),".")</f>
        <v>13.151357992787135</v>
      </c>
      <c r="BW16" s="15">
        <f>IFERROR((s_dir!AX16/(d_ss_Bv!X16+s_MLF_tomato)),".")</f>
        <v>10.844102204578867</v>
      </c>
      <c r="BX16" s="15">
        <f>IFERROR((s_dir!AY16/(d_ss_Bv!Y16+s_MLF_rice)),".")</f>
        <v>22.411668805692361</v>
      </c>
      <c r="BY16" s="15">
        <f>IFERROR((s_dir!AZ16/(d_ss_Bv!Z16+s_MLF_cereal)),".")</f>
        <v>12.614567870632559</v>
      </c>
      <c r="BZ16" s="40">
        <f t="shared" si="5"/>
        <v>2135.2375000000002</v>
      </c>
      <c r="CA16" s="40">
        <f>IFERROR(s_C*(d_ss_Bv!C16+s_MLF_apple)*s_IFAP_far_adj*s_CF_apple,".")</f>
        <v>323.125</v>
      </c>
      <c r="CB16" s="40">
        <f>IFERROR(s_C*(d_ss_Bv!D16+s_MLF_asparagus)*s_IFAS_far_adj*s_CF_asparagus,".")</f>
        <v>1285.625</v>
      </c>
      <c r="CC16" s="40">
        <f>IFERROR(s_C*(d_ss_Bv!E16+s_MLF_beet)*s_IFBT_far_adj*s_CF_beet,".")</f>
        <v>391.87499999999994</v>
      </c>
      <c r="CD16" s="40">
        <f>IFERROR(s_C*(d_ss_Bv!F16+s_MLF_berries)*s_IFBR_far_adj*s_CF_berries,".")</f>
        <v>323.125</v>
      </c>
      <c r="CE16" s="40">
        <f>IFERROR(s_C*(d_ss_Bv!G16+s_MLF_broccoli)*s_IFBR_far_adj*s_CF_broccoli,".")</f>
        <v>391.87499999999994</v>
      </c>
      <c r="CF16" s="40">
        <f>IFERROR(s_C*(d_ss_Bv!H16+s_MLF_cabbage)*s_IFCB_far_adj*s_CF_cabbage,".")</f>
        <v>1285.625</v>
      </c>
      <c r="CG16" s="40">
        <f>IFERROR(s_C*(d_ss_Bv!I16+s_MLF_carrot)*s_IFCR_far_adj*s_CF_carrot,".")</f>
        <v>391.87499999999994</v>
      </c>
      <c r="CH16" s="40">
        <f>IFERROR(s_C*(d_ss_Bv!J16+s_MLF_citrus)*s_IFCI_far_adj*s_CF_citrus,".")</f>
        <v>323.125</v>
      </c>
      <c r="CI16" s="40">
        <f>IFERROR(s_C*(d_ss_Bv!K16+s_MLF_corn)*s_IFCO_far_adj*s_CF_corn,".")</f>
        <v>202.125</v>
      </c>
      <c r="CJ16" s="40">
        <f>IFERROR(s_C*(d_ss_Bv!L16+s_MLF_cucumber)*s_IFCU_far_adj*s_CF_cucumber,".")</f>
        <v>391.87499999999994</v>
      </c>
      <c r="CK16" s="40">
        <f>IFERROR(s_C*(d_ss_Bv!M16+s_MLF_lettuce)*s_IFLE_far_adj*s_CF_lettuce,".")</f>
        <v>1285.625</v>
      </c>
      <c r="CL16" s="40">
        <f>IFERROR(s_C*(d_ss_Bv!N16+s_MLF_lima_bean)*s_IFLI_far_adj*s_CF_lima_bean,".")</f>
        <v>258.5</v>
      </c>
      <c r="CM16" s="40">
        <f>IFERROR(s_C*(d_ss_Bv!O16+s_MLF_okra)*s_IFOK_far_adj*s_CF_okra,".")</f>
        <v>391.87499999999994</v>
      </c>
      <c r="CN16" s="40">
        <f>IFERROR(s_C*(d_ss_Bv!P16+s_MLF_onion)*s_IFON_far_adj*s_CF_onion,".")</f>
        <v>391.87499999999994</v>
      </c>
      <c r="CO16" s="40">
        <f>IFERROR(s_C*(d_ss_Bv!Q16+s_MLF_peach)*s_IFPC_far_adj*s_CF_peach,".")</f>
        <v>323.125</v>
      </c>
      <c r="CP16" s="40">
        <f>IFERROR(s_C*(d_ss_Bv!R16+s_MLF_pear)*s_IFPR_far_adj*s_CF_pear,".")</f>
        <v>323.125</v>
      </c>
      <c r="CQ16" s="40">
        <f>IFERROR(s_C*(d_ss_Bv!S16+s_MLF_peas)*s_IFPE_far_adj*s_CF_peas,".")</f>
        <v>258.5</v>
      </c>
      <c r="CR16" s="40">
        <f>IFERROR(s_C*(d_ss_Bv!T16+s_MLF_potato)*s_IFPT_far_adj*s_CF_potato,".")</f>
        <v>206.25</v>
      </c>
      <c r="CS16" s="40">
        <f>IFERROR(s_C*(d_ss_Bv!U16+s_MLF_pumpkin)*s_IFPU_far_adj*s_CF_pumpkin,".")</f>
        <v>391.87499999999994</v>
      </c>
      <c r="CT16" s="40">
        <f>IFERROR(s_C*(d_ss_Bv!V16+s_MLF_snap_bean)*s_IFSN_far_adj*s_CF_snap_bean,".")</f>
        <v>258.5</v>
      </c>
      <c r="CU16" s="40">
        <f>IFERROR(s_C*(d_ss_Bv!W16+s_MLF_strawberry)*s_IFST_far_adj*s_CF_strawberry,".")</f>
        <v>323.125</v>
      </c>
      <c r="CV16" s="40">
        <f>IFERROR(s_C*(d_ss_Bv!X16+s_MLF_tomato)*s_IFTO_far_adj*s_CF_tomato,".")</f>
        <v>391.87499999999994</v>
      </c>
      <c r="CW16" s="40">
        <f>IFERROR(s_C*(d_ss_Bv!Y16+s_MLF_rice)*s_IFRI_far_adj*s_CF_rice,".")</f>
        <v>189.61249999999998</v>
      </c>
      <c r="CX16" s="40">
        <f>IFERROR(s_C*(d_ss_Bv!Z16+s_MLF_cereal)*s_IFCG_far_adj*s_CF_cereal,".")</f>
        <v>336.875</v>
      </c>
    </row>
    <row r="17" spans="1:102" ht="15" customHeight="1" x14ac:dyDescent="0.25">
      <c r="A17" s="44" t="s">
        <v>27</v>
      </c>
      <c r="B17" s="42" t="s">
        <v>1074</v>
      </c>
      <c r="C17" s="15">
        <f t="shared" si="2"/>
        <v>4831.1530546934482</v>
      </c>
      <c r="D17" s="15">
        <f>IFERROR((s_dir!D17/(d_ss_Bv!C17+s_MLF_apple)),".")</f>
        <v>31924.670547376405</v>
      </c>
      <c r="E17" s="15">
        <f>IFERROR((s_dir!E17/(d_ss_Bv!D17+s_MLF_asparagus)),".")</f>
        <v>8023.8476776828402</v>
      </c>
      <c r="F17" s="15">
        <f>IFERROR((s_dir!F17/(d_ss_Bv!E17+s_MLF_beet)),".")</f>
        <v>26323.851153099844</v>
      </c>
      <c r="G17" s="15">
        <f>IFERROR((s_dir!G17/(d_ss_Bv!F17+s_MLF_berries)),".")</f>
        <v>31924.670547376405</v>
      </c>
      <c r="H17" s="15">
        <f>IFERROR((s_dir!H17/(d_ss_Bv!G17+s_MLF_broccoli)),".")</f>
        <v>26323.851153099844</v>
      </c>
      <c r="I17" s="15">
        <f>IFERROR((s_dir!I17/(d_ss_Bv!H17+s_MLF_cabbage)),".")</f>
        <v>8023.8476776828402</v>
      </c>
      <c r="J17" s="15">
        <f>IFERROR((s_dir!J17/(d_ss_Bv!I17+s_MLF_carrot)),".")</f>
        <v>26323.851153099844</v>
      </c>
      <c r="K17" s="15">
        <f>IFERROR((s_dir!K17/(d_ss_Bv!J17+s_MLF_citrus)),".")</f>
        <v>31924.670547376405</v>
      </c>
      <c r="L17" s="15">
        <f>IFERROR((s_dir!L17/(d_ss_Bv!K17+s_MLF_corn)),".")</f>
        <v>51036.037949887454</v>
      </c>
      <c r="M17" s="15">
        <f>IFERROR((s_dir!M17/(d_ss_Bv!L17+s_MLF_cucumber)),".")</f>
        <v>26323.851153099844</v>
      </c>
      <c r="N17" s="15">
        <f>IFERROR((s_dir!N17/(d_ss_Bv!M17+s_MLF_lettuce)),".")</f>
        <v>8023.8476776828402</v>
      </c>
      <c r="O17" s="15">
        <f>IFERROR((s_dir!O17/(d_ss_Bv!N17+s_MLF_lima_bean)),".")</f>
        <v>39905.838184220505</v>
      </c>
      <c r="P17" s="15">
        <f>IFERROR((s_dir!P17/(d_ss_Bv!O17+s_MLF_okra)),".")</f>
        <v>26323.851153099844</v>
      </c>
      <c r="Q17" s="15">
        <f>IFERROR((s_dir!Q17/(d_ss_Bv!P17+s_MLF_onion)),".")</f>
        <v>26323.851153099844</v>
      </c>
      <c r="R17" s="15">
        <f>IFERROR((s_dir!R17/(d_ss_Bv!Q17+s_MLF_peach)),".")</f>
        <v>31924.670547376405</v>
      </c>
      <c r="S17" s="15">
        <f>IFERROR((s_dir!S17/(d_ss_Bv!R17+s_MLF_pear)),".")</f>
        <v>31924.670547376405</v>
      </c>
      <c r="T17" s="15">
        <f>IFERROR((s_dir!T17/(d_ss_Bv!S17+s_MLF_peas)),".")</f>
        <v>39905.838184220505</v>
      </c>
      <c r="U17" s="15">
        <f>IFERROR((s_dir!U17/(d_ss_Bv!T17+s_MLF_potato)),".")</f>
        <v>50015.317190889706</v>
      </c>
      <c r="V17" s="15">
        <f>IFERROR((s_dir!V17/(d_ss_Bv!U17+s_MLF_pumpkin)),".")</f>
        <v>26323.851153099844</v>
      </c>
      <c r="W17" s="15">
        <f>IFERROR((s_dir!W17/(d_ss_Bv!V17+s_MLF_snap_bean)),".")</f>
        <v>39905.838184220505</v>
      </c>
      <c r="X17" s="15">
        <f>IFERROR((s_dir!X17/(d_ss_Bv!W17+s_MLF_strawberry)),".")</f>
        <v>31924.670547376405</v>
      </c>
      <c r="Y17" s="15">
        <f>IFERROR((s_dir!Y17/(d_ss_Bv!X17+s_MLF_tomato)),".")</f>
        <v>26323.851153099844</v>
      </c>
      <c r="Z17" s="15">
        <f>IFERROR((s_dir!Z17/(d_ss_Bv!Y17+s_MLF_rice)),".")</f>
        <v>54403.898322215049</v>
      </c>
      <c r="AA17" s="15">
        <f>IFERROR((s_dir!AA17/(d_ss_Bv!Z17+s_MLF_cereal)),".")</f>
        <v>30621.62276993247</v>
      </c>
      <c r="AB17" s="40">
        <f t="shared" si="3"/>
        <v>2135.2375000000002</v>
      </c>
      <c r="AC17" s="40">
        <f>s_C*(d_ss_Bv!C17+s_MLF_apple)*s_IFAP_res_adj*s_CF_apple</f>
        <v>323.125</v>
      </c>
      <c r="AD17" s="40">
        <f>s_C*(d_ss_Bv!D17+s_MLF_asparagus)*s_IFAS_res_adj*s_CF_asparagus</f>
        <v>1285.625</v>
      </c>
      <c r="AE17" s="40">
        <f>s_C*(d_ss_Bv!E17+s_MLF_beet)*s_IFBT_res_adj*s_CF_beet</f>
        <v>391.87499999999994</v>
      </c>
      <c r="AF17" s="40">
        <f>s_C*(d_ss_Bv!F17+s_MLF_berries)*s_IFBE_res_adj*s_CF_berries</f>
        <v>323.125</v>
      </c>
      <c r="AG17" s="40">
        <f>s_C*(d_ss_Bv!G17+s_MLF_broccoli)*s_IFBR_res_adj*s_CF_broccoli</f>
        <v>391.87499999999994</v>
      </c>
      <c r="AH17" s="40">
        <f>s_C*(d_ss_Bv!H17+s_MLF_cabbage)*s_IFCB_res_adj*s_CF_cabbage</f>
        <v>1285.625</v>
      </c>
      <c r="AI17" s="40">
        <f>s_C*(d_ss_Bv!I17+s_MLF_carrot)*s_IFCR_res_adj*s_CF_carrot</f>
        <v>391.87499999999994</v>
      </c>
      <c r="AJ17" s="40">
        <f>s_C*(d_ss_Bv!J17+s_MLF_citrus)*s_IFCI_res_adj*s_CF_citrus</f>
        <v>323.125</v>
      </c>
      <c r="AK17" s="40">
        <f>s_C*(d_ss_Bv!K17+s_MLF_corn)*s_IFCO_res_adj*s_CF_corn</f>
        <v>202.125</v>
      </c>
      <c r="AL17" s="40">
        <f>s_C*(d_ss_Bv!L17+s_MLF_cucumber)*s_IFCU_res_adj*s_CF_cucumber</f>
        <v>391.87499999999994</v>
      </c>
      <c r="AM17" s="40">
        <f>s_C*(d_ss_Bv!M17+s_MLF_lettuce)*s_IFLE_res_adj*s_CF_lettuce</f>
        <v>1285.625</v>
      </c>
      <c r="AN17" s="40">
        <f>s_C*(d_ss_Bv!N17+s_MLF_lima_bean)*s_IFLI_res_adj*s_CF_lima_bean</f>
        <v>258.5</v>
      </c>
      <c r="AO17" s="40">
        <f>s_C*(d_ss_Bv!O17+s_MLF_okra)*s_IFOK_res_adj*s_CF_okra</f>
        <v>391.87499999999994</v>
      </c>
      <c r="AP17" s="40">
        <f>s_C*(d_ss_Bv!P17+s_MLF_onion)*s_IFON_res_adj*s_CF_onion</f>
        <v>391.87499999999994</v>
      </c>
      <c r="AQ17" s="40">
        <f>s_C*(d_ss_Bv!Q17+s_MLF_peach)*s_IFPC_res_adj*s_CF_peach</f>
        <v>323.125</v>
      </c>
      <c r="AR17" s="40">
        <f>s_C*(d_ss_Bv!R17+s_MLF_pear)*s_IFPR_res_adj*s_CF_pear</f>
        <v>323.125</v>
      </c>
      <c r="AS17" s="40">
        <f>s_C*(d_ss_Bv!S17+s_MLF_peas)*s_IFPE_res_adj*s_CF_peas</f>
        <v>258.5</v>
      </c>
      <c r="AT17" s="40">
        <f>s_C*(d_ss_Bv!T17+s_MLF_potato)*s_IFPT_res_adj*s_CF_potato</f>
        <v>206.25</v>
      </c>
      <c r="AU17" s="40">
        <f>s_C*(d_ss_Bv!U17+s_MLF_pumpkin)*s_IFPU_res_adj*s_CF_pumpkin</f>
        <v>391.87499999999994</v>
      </c>
      <c r="AV17" s="40">
        <f>s_C*(d_ss_Bv!V17+s_MLF_snap_bean)*s_IFSN_res_adj*s_CF_snap_bean</f>
        <v>258.5</v>
      </c>
      <c r="AW17" s="40">
        <f>s_C*(d_ss_Bv!W17+s_MLF_strawberry)*s_IFST_res_adj*s_CF_strawberry</f>
        <v>323.125</v>
      </c>
      <c r="AX17" s="40">
        <f>s_C*(d_ss_Bv!X17+s_MLF_tomato)*s_IFTO_res_adj*s_CF_tomato</f>
        <v>391.87499999999994</v>
      </c>
      <c r="AY17" s="40">
        <f>s_C*(d_ss_Bv!Y17+s_MLF_rice)*s_IFRI_res_adj*s_CF_rice</f>
        <v>189.61249999999998</v>
      </c>
      <c r="AZ17" s="40">
        <f>s_C*(d_ss_Bv!Z17+s_MLF_cereal)*s_IFCG_res_adj*s_CF_cereal</f>
        <v>336.875</v>
      </c>
      <c r="BA17" s="15">
        <f t="shared" si="4"/>
        <v>4831.1530546934482</v>
      </c>
      <c r="BB17" s="15">
        <f>IFERROR((s_dir!AC17/(d_ss_Bv!C17+s_MLF_apple)),".")</f>
        <v>31924.670547376405</v>
      </c>
      <c r="BC17" s="15">
        <f>IFERROR((s_dir!AD17/(d_ss_Bv!D17+s_MLF_asparagus)),".")</f>
        <v>8023.8476776828402</v>
      </c>
      <c r="BD17" s="15">
        <f>IFERROR((s_dir!AE17/(d_ss_Bv!E17+s_MLF_beet)),".")</f>
        <v>26323.851153099844</v>
      </c>
      <c r="BE17" s="15">
        <f>IFERROR((s_dir!AF17/(d_ss_Bv!F17+s_MLF_berries)),".")</f>
        <v>31924.670547376405</v>
      </c>
      <c r="BF17" s="15">
        <f>IFERROR((s_dir!AG17/(d_ss_Bv!G17+s_MLF_broccoli)),".")</f>
        <v>26323.851153099844</v>
      </c>
      <c r="BG17" s="15">
        <f>IFERROR((s_dir!AH17/(d_ss_Bv!H17+s_MLF_cabbage)),".")</f>
        <v>8023.8476776828402</v>
      </c>
      <c r="BH17" s="15">
        <f>IFERROR((s_dir!AI17/(d_ss_Bv!I17+s_MLF_carrot)),".")</f>
        <v>26323.851153099844</v>
      </c>
      <c r="BI17" s="15">
        <f>IFERROR((s_dir!AJ17/(d_ss_Bv!J17+s_MLF_citrus)),".")</f>
        <v>31924.670547376405</v>
      </c>
      <c r="BJ17" s="15">
        <f>IFERROR((s_dir!AK17/(d_ss_Bv!K17+s_MLF_corn)),".")</f>
        <v>51036.037949887454</v>
      </c>
      <c r="BK17" s="15">
        <f>IFERROR((s_dir!AL17/(d_ss_Bv!L17+s_MLF_cucumber)),".")</f>
        <v>26323.851153099844</v>
      </c>
      <c r="BL17" s="15">
        <f>IFERROR((s_dir!AM17/(d_ss_Bv!M17+s_MLF_lettuce)),".")</f>
        <v>8023.8476776828402</v>
      </c>
      <c r="BM17" s="15">
        <f>IFERROR((s_dir!AN17/(d_ss_Bv!N17+s_MLF_lima_bean)),".")</f>
        <v>39905.838184220505</v>
      </c>
      <c r="BN17" s="15">
        <f>IFERROR((s_dir!AO17/(d_ss_Bv!O17+s_MLF_okra)),".")</f>
        <v>26323.851153099844</v>
      </c>
      <c r="BO17" s="15">
        <f>IFERROR((s_dir!AP17/(d_ss_Bv!P17+s_MLF_onion)),".")</f>
        <v>26323.851153099844</v>
      </c>
      <c r="BP17" s="15">
        <f>IFERROR((s_dir!AQ17/(d_ss_Bv!Q17+s_MLF_peach)),".")</f>
        <v>31924.670547376405</v>
      </c>
      <c r="BQ17" s="15">
        <f>IFERROR((s_dir!AR17/(d_ss_Bv!R17+s_MLF_pear)),".")</f>
        <v>31924.670547376405</v>
      </c>
      <c r="BR17" s="15">
        <f>IFERROR((s_dir!AS17/(d_ss_Bv!S17+s_MLF_peas)),".")</f>
        <v>39905.838184220505</v>
      </c>
      <c r="BS17" s="15">
        <f>IFERROR((s_dir!AT17/(d_ss_Bv!T17+s_MLF_potato)),".")</f>
        <v>50015.317190889706</v>
      </c>
      <c r="BT17" s="15">
        <f>IFERROR((s_dir!AU17/(d_ss_Bv!U17+s_MLF_pumpkin)),".")</f>
        <v>26323.851153099844</v>
      </c>
      <c r="BU17" s="15">
        <f>IFERROR((s_dir!AV17/(d_ss_Bv!V17+s_MLF_snap_bean)),".")</f>
        <v>39905.838184220505</v>
      </c>
      <c r="BV17" s="15">
        <f>IFERROR((s_dir!AW17/(d_ss_Bv!W17+s_MLF_strawberry)),".")</f>
        <v>31924.670547376405</v>
      </c>
      <c r="BW17" s="15">
        <f>IFERROR((s_dir!AX17/(d_ss_Bv!X17+s_MLF_tomato)),".")</f>
        <v>26323.851153099844</v>
      </c>
      <c r="BX17" s="15">
        <f>IFERROR((s_dir!AY17/(d_ss_Bv!Y17+s_MLF_rice)),".")</f>
        <v>54403.898322215049</v>
      </c>
      <c r="BY17" s="15">
        <f>IFERROR((s_dir!AZ17/(d_ss_Bv!Z17+s_MLF_cereal)),".")</f>
        <v>30621.62276993247</v>
      </c>
      <c r="BZ17" s="40">
        <f t="shared" si="5"/>
        <v>2135.2375000000002</v>
      </c>
      <c r="CA17" s="40">
        <f>IFERROR(s_C*(d_ss_Bv!C17+s_MLF_apple)*s_IFAP_far_adj*s_CF_apple,".")</f>
        <v>323.125</v>
      </c>
      <c r="CB17" s="40">
        <f>IFERROR(s_C*(d_ss_Bv!D17+s_MLF_asparagus)*s_IFAS_far_adj*s_CF_asparagus,".")</f>
        <v>1285.625</v>
      </c>
      <c r="CC17" s="40">
        <f>IFERROR(s_C*(d_ss_Bv!E17+s_MLF_beet)*s_IFBT_far_adj*s_CF_beet,".")</f>
        <v>391.87499999999994</v>
      </c>
      <c r="CD17" s="40">
        <f>IFERROR(s_C*(d_ss_Bv!F17+s_MLF_berries)*s_IFBR_far_adj*s_CF_berries,".")</f>
        <v>323.125</v>
      </c>
      <c r="CE17" s="40">
        <f>IFERROR(s_C*(d_ss_Bv!G17+s_MLF_broccoli)*s_IFBR_far_adj*s_CF_broccoli,".")</f>
        <v>391.87499999999994</v>
      </c>
      <c r="CF17" s="40">
        <f>IFERROR(s_C*(d_ss_Bv!H17+s_MLF_cabbage)*s_IFCB_far_adj*s_CF_cabbage,".")</f>
        <v>1285.625</v>
      </c>
      <c r="CG17" s="40">
        <f>IFERROR(s_C*(d_ss_Bv!I17+s_MLF_carrot)*s_IFCR_far_adj*s_CF_carrot,".")</f>
        <v>391.87499999999994</v>
      </c>
      <c r="CH17" s="40">
        <f>IFERROR(s_C*(d_ss_Bv!J17+s_MLF_citrus)*s_IFCI_far_adj*s_CF_citrus,".")</f>
        <v>323.125</v>
      </c>
      <c r="CI17" s="40">
        <f>IFERROR(s_C*(d_ss_Bv!K17+s_MLF_corn)*s_IFCO_far_adj*s_CF_corn,".")</f>
        <v>202.125</v>
      </c>
      <c r="CJ17" s="40">
        <f>IFERROR(s_C*(d_ss_Bv!L17+s_MLF_cucumber)*s_IFCU_far_adj*s_CF_cucumber,".")</f>
        <v>391.87499999999994</v>
      </c>
      <c r="CK17" s="40">
        <f>IFERROR(s_C*(d_ss_Bv!M17+s_MLF_lettuce)*s_IFLE_far_adj*s_CF_lettuce,".")</f>
        <v>1285.625</v>
      </c>
      <c r="CL17" s="40">
        <f>IFERROR(s_C*(d_ss_Bv!N17+s_MLF_lima_bean)*s_IFLI_far_adj*s_CF_lima_bean,".")</f>
        <v>258.5</v>
      </c>
      <c r="CM17" s="40">
        <f>IFERROR(s_C*(d_ss_Bv!O17+s_MLF_okra)*s_IFOK_far_adj*s_CF_okra,".")</f>
        <v>391.87499999999994</v>
      </c>
      <c r="CN17" s="40">
        <f>IFERROR(s_C*(d_ss_Bv!P17+s_MLF_onion)*s_IFON_far_adj*s_CF_onion,".")</f>
        <v>391.87499999999994</v>
      </c>
      <c r="CO17" s="40">
        <f>IFERROR(s_C*(d_ss_Bv!Q17+s_MLF_peach)*s_IFPC_far_adj*s_CF_peach,".")</f>
        <v>323.125</v>
      </c>
      <c r="CP17" s="40">
        <f>IFERROR(s_C*(d_ss_Bv!R17+s_MLF_pear)*s_IFPR_far_adj*s_CF_pear,".")</f>
        <v>323.125</v>
      </c>
      <c r="CQ17" s="40">
        <f>IFERROR(s_C*(d_ss_Bv!S17+s_MLF_peas)*s_IFPE_far_adj*s_CF_peas,".")</f>
        <v>258.5</v>
      </c>
      <c r="CR17" s="40">
        <f>IFERROR(s_C*(d_ss_Bv!T17+s_MLF_potato)*s_IFPT_far_adj*s_CF_potato,".")</f>
        <v>206.25</v>
      </c>
      <c r="CS17" s="40">
        <f>IFERROR(s_C*(d_ss_Bv!U17+s_MLF_pumpkin)*s_IFPU_far_adj*s_CF_pumpkin,".")</f>
        <v>391.87499999999994</v>
      </c>
      <c r="CT17" s="40">
        <f>IFERROR(s_C*(d_ss_Bv!V17+s_MLF_snap_bean)*s_IFSN_far_adj*s_CF_snap_bean,".")</f>
        <v>258.5</v>
      </c>
      <c r="CU17" s="40">
        <f>IFERROR(s_C*(d_ss_Bv!W17+s_MLF_strawberry)*s_IFST_far_adj*s_CF_strawberry,".")</f>
        <v>323.125</v>
      </c>
      <c r="CV17" s="40">
        <f>IFERROR(s_C*(d_ss_Bv!X17+s_MLF_tomato)*s_IFTO_far_adj*s_CF_tomato,".")</f>
        <v>391.87499999999994</v>
      </c>
      <c r="CW17" s="40">
        <f>IFERROR(s_C*(d_ss_Bv!Y17+s_MLF_rice)*s_IFRI_far_adj*s_CF_rice,".")</f>
        <v>189.61249999999998</v>
      </c>
      <c r="CX17" s="40">
        <f>IFERROR(s_C*(d_ss_Bv!Z17+s_MLF_cereal)*s_IFCG_far_adj*s_CF_cereal,".")</f>
        <v>336.875</v>
      </c>
    </row>
    <row r="18" spans="1:102" ht="15" customHeight="1" x14ac:dyDescent="0.25">
      <c r="A18" s="44" t="s">
        <v>28</v>
      </c>
      <c r="B18" s="42" t="s">
        <v>1074</v>
      </c>
      <c r="C18" s="15">
        <f t="shared" si="2"/>
        <v>2.156326452756538</v>
      </c>
      <c r="D18" s="15">
        <f>IFERROR((s_dir!D18/(d_ss_Bv!C18+s_MLF_apple)),".")</f>
        <v>11.779523483525496</v>
      </c>
      <c r="E18" s="15">
        <f>IFERROR((s_dir!E18/(d_ss_Bv!D18+s_MLF_asparagus)),".")</f>
        <v>7.721505824129153</v>
      </c>
      <c r="F18" s="15">
        <f>IFERROR((s_dir!F18/(d_ss_Bv!E18+s_MLF_beet)),".")</f>
        <v>8.3616306592901211</v>
      </c>
      <c r="G18" s="15">
        <f>IFERROR((s_dir!G18/(d_ss_Bv!F18+s_MLF_berries)),".")</f>
        <v>11.779523483525496</v>
      </c>
      <c r="H18" s="15">
        <f>IFERROR((s_dir!H18/(d_ss_Bv!G18+s_MLF_broccoli)),".")</f>
        <v>11.779523483525496</v>
      </c>
      <c r="I18" s="15">
        <f>IFERROR((s_dir!I18/(d_ss_Bv!H18+s_MLF_cabbage)),".")</f>
        <v>7.721505824129153</v>
      </c>
      <c r="J18" s="15">
        <f>IFERROR((s_dir!J18/(d_ss_Bv!I18+s_MLF_carrot)),".")</f>
        <v>8.3616306592901211</v>
      </c>
      <c r="K18" s="15">
        <f>IFERROR((s_dir!K18/(d_ss_Bv!J18+s_MLF_citrus)),".")</f>
        <v>11.779523483525496</v>
      </c>
      <c r="L18" s="15">
        <f>IFERROR((s_dir!L18/(d_ss_Bv!K18+s_MLF_corn)),".")</f>
        <v>11.745230838740852</v>
      </c>
      <c r="M18" s="15">
        <f>IFERROR((s_dir!M18/(d_ss_Bv!L18+s_MLF_cucumber)),".")</f>
        <v>11.779523483525496</v>
      </c>
      <c r="N18" s="15">
        <f>IFERROR((s_dir!N18/(d_ss_Bv!M18+s_MLF_lettuce)),".")</f>
        <v>7.721505824129153</v>
      </c>
      <c r="O18" s="15">
        <f>IFERROR((s_dir!O18/(d_ss_Bv!N18+s_MLF_lima_bean)),".")</f>
        <v>11.719642100530089</v>
      </c>
      <c r="P18" s="15">
        <f>IFERROR((s_dir!P18/(d_ss_Bv!O18+s_MLF_okra)),".")</f>
        <v>11.779523483525496</v>
      </c>
      <c r="Q18" s="15">
        <f>IFERROR((s_dir!Q18/(d_ss_Bv!P18+s_MLF_onion)),".")</f>
        <v>11.779523483525496</v>
      </c>
      <c r="R18" s="15">
        <f>IFERROR((s_dir!R18/(d_ss_Bv!Q18+s_MLF_peach)),".")</f>
        <v>11.779523483525496</v>
      </c>
      <c r="S18" s="15">
        <f>IFERROR((s_dir!S18/(d_ss_Bv!R18+s_MLF_pear)),".")</f>
        <v>11.779523483525496</v>
      </c>
      <c r="T18" s="15">
        <f>IFERROR((s_dir!T18/(d_ss_Bv!S18+s_MLF_peas)),".")</f>
        <v>11.719642100530089</v>
      </c>
      <c r="U18" s="15">
        <f>IFERROR((s_dir!U18/(d_ss_Bv!T18+s_MLF_potato)),".")</f>
        <v>9.9616957854505745</v>
      </c>
      <c r="V18" s="15">
        <f>IFERROR((s_dir!V18/(d_ss_Bv!U18+s_MLF_pumpkin)),".")</f>
        <v>11.779523483525496</v>
      </c>
      <c r="W18" s="15">
        <f>IFERROR((s_dir!W18/(d_ss_Bv!V18+s_MLF_snap_bean)),".")</f>
        <v>11.719642100530089</v>
      </c>
      <c r="X18" s="15">
        <f>IFERROR((s_dir!X18/(d_ss_Bv!W18+s_MLF_strawberry)),".")</f>
        <v>11.779523483525496</v>
      </c>
      <c r="Y18" s="15">
        <f>IFERROR((s_dir!Y18/(d_ss_Bv!X18+s_MLF_tomato)),".")</f>
        <v>11.779523483525496</v>
      </c>
      <c r="Z18" s="15">
        <f>IFERROR((s_dir!Z18/(d_ss_Bv!Y18+s_MLF_rice)),".")</f>
        <v>6.0897913858226156</v>
      </c>
      <c r="AA18" s="15">
        <f>IFERROR((s_dir!AA18/(d_ss_Bv!Z18+s_MLF_cereal)),".")</f>
        <v>11.745230838740852</v>
      </c>
      <c r="AB18" s="40">
        <f t="shared" si="3"/>
        <v>1029.05</v>
      </c>
      <c r="AC18" s="40">
        <f>s_C*(d_ss_Bv!C18+s_MLF_apple)*s_IFAP_res_adj*s_CF_apple</f>
        <v>188.37500000000003</v>
      </c>
      <c r="AD18" s="40">
        <f>s_C*(d_ss_Bv!D18+s_MLF_asparagus)*s_IFAS_res_adj*s_CF_asparagus</f>
        <v>287.375</v>
      </c>
      <c r="AE18" s="40">
        <f>s_C*(d_ss_Bv!E18+s_MLF_beet)*s_IFBT_res_adj*s_CF_beet</f>
        <v>265.37499999999994</v>
      </c>
      <c r="AF18" s="40">
        <f>s_C*(d_ss_Bv!F18+s_MLF_berries)*s_IFBE_res_adj*s_CF_berries</f>
        <v>188.37500000000003</v>
      </c>
      <c r="AG18" s="40">
        <f>s_C*(d_ss_Bv!G18+s_MLF_broccoli)*s_IFBR_res_adj*s_CF_broccoli</f>
        <v>188.37500000000003</v>
      </c>
      <c r="AH18" s="40">
        <f>s_C*(d_ss_Bv!H18+s_MLF_cabbage)*s_IFCB_res_adj*s_CF_cabbage</f>
        <v>287.375</v>
      </c>
      <c r="AI18" s="40">
        <f>s_C*(d_ss_Bv!I18+s_MLF_carrot)*s_IFCR_res_adj*s_CF_carrot</f>
        <v>265.37499999999994</v>
      </c>
      <c r="AJ18" s="40">
        <f>s_C*(d_ss_Bv!J18+s_MLF_citrus)*s_IFCI_res_adj*s_CF_citrus</f>
        <v>188.37500000000003</v>
      </c>
      <c r="AK18" s="40">
        <f>s_C*(d_ss_Bv!K18+s_MLF_corn)*s_IFCO_res_adj*s_CF_corn</f>
        <v>188.92499999999998</v>
      </c>
      <c r="AL18" s="40">
        <f>s_C*(d_ss_Bv!L18+s_MLF_cucumber)*s_IFCU_res_adj*s_CF_cucumber</f>
        <v>188.37500000000003</v>
      </c>
      <c r="AM18" s="40">
        <f>s_C*(d_ss_Bv!M18+s_MLF_lettuce)*s_IFLE_res_adj*s_CF_lettuce</f>
        <v>287.375</v>
      </c>
      <c r="AN18" s="40">
        <f>s_C*(d_ss_Bv!N18+s_MLF_lima_bean)*s_IFLI_res_adj*s_CF_lima_bean</f>
        <v>189.33749999999998</v>
      </c>
      <c r="AO18" s="40">
        <f>s_C*(d_ss_Bv!O18+s_MLF_okra)*s_IFOK_res_adj*s_CF_okra</f>
        <v>188.37500000000003</v>
      </c>
      <c r="AP18" s="40">
        <f>s_C*(d_ss_Bv!P18+s_MLF_onion)*s_IFON_res_adj*s_CF_onion</f>
        <v>188.37500000000003</v>
      </c>
      <c r="AQ18" s="40">
        <f>s_C*(d_ss_Bv!Q18+s_MLF_peach)*s_IFPC_res_adj*s_CF_peach</f>
        <v>188.37500000000003</v>
      </c>
      <c r="AR18" s="40">
        <f>s_C*(d_ss_Bv!R18+s_MLF_pear)*s_IFPR_res_adj*s_CF_pear</f>
        <v>188.37500000000003</v>
      </c>
      <c r="AS18" s="40">
        <f>s_C*(d_ss_Bv!S18+s_MLF_peas)*s_IFPE_res_adj*s_CF_peas</f>
        <v>189.33749999999998</v>
      </c>
      <c r="AT18" s="40">
        <f>s_C*(d_ss_Bv!T18+s_MLF_potato)*s_IFPT_res_adj*s_CF_potato</f>
        <v>222.74999999999997</v>
      </c>
      <c r="AU18" s="40">
        <f>s_C*(d_ss_Bv!U18+s_MLF_pumpkin)*s_IFPU_res_adj*s_CF_pumpkin</f>
        <v>188.37500000000003</v>
      </c>
      <c r="AV18" s="40">
        <f>s_C*(d_ss_Bv!V18+s_MLF_snap_bean)*s_IFSN_res_adj*s_CF_snap_bean</f>
        <v>189.33749999999998</v>
      </c>
      <c r="AW18" s="40">
        <f>s_C*(d_ss_Bv!W18+s_MLF_strawberry)*s_IFST_res_adj*s_CF_strawberry</f>
        <v>188.37500000000003</v>
      </c>
      <c r="AX18" s="40">
        <f>s_C*(d_ss_Bv!X18+s_MLF_tomato)*s_IFTO_res_adj*s_CF_tomato</f>
        <v>188.37500000000003</v>
      </c>
      <c r="AY18" s="40">
        <f>s_C*(d_ss_Bv!Y18+s_MLF_rice)*s_IFRI_res_adj*s_CF_rice</f>
        <v>364.375</v>
      </c>
      <c r="AZ18" s="40">
        <f>s_C*(d_ss_Bv!Z18+s_MLF_cereal)*s_IFCG_res_adj*s_CF_cereal</f>
        <v>188.92499999999998</v>
      </c>
      <c r="BA18" s="15">
        <f t="shared" si="4"/>
        <v>2.156326452756538</v>
      </c>
      <c r="BB18" s="15">
        <f>IFERROR((s_dir!AC18/(d_ss_Bv!C18+s_MLF_apple)),".")</f>
        <v>11.779523483525496</v>
      </c>
      <c r="BC18" s="15">
        <f>IFERROR((s_dir!AD18/(d_ss_Bv!D18+s_MLF_asparagus)),".")</f>
        <v>7.721505824129153</v>
      </c>
      <c r="BD18" s="15">
        <f>IFERROR((s_dir!AE18/(d_ss_Bv!E18+s_MLF_beet)),".")</f>
        <v>8.3616306592901211</v>
      </c>
      <c r="BE18" s="15">
        <f>IFERROR((s_dir!AF18/(d_ss_Bv!F18+s_MLF_berries)),".")</f>
        <v>11.779523483525496</v>
      </c>
      <c r="BF18" s="15">
        <f>IFERROR((s_dir!AG18/(d_ss_Bv!G18+s_MLF_broccoli)),".")</f>
        <v>11.779523483525496</v>
      </c>
      <c r="BG18" s="15">
        <f>IFERROR((s_dir!AH18/(d_ss_Bv!H18+s_MLF_cabbage)),".")</f>
        <v>7.721505824129153</v>
      </c>
      <c r="BH18" s="15">
        <f>IFERROR((s_dir!AI18/(d_ss_Bv!I18+s_MLF_carrot)),".")</f>
        <v>8.3616306592901211</v>
      </c>
      <c r="BI18" s="15">
        <f>IFERROR((s_dir!AJ18/(d_ss_Bv!J18+s_MLF_citrus)),".")</f>
        <v>11.779523483525496</v>
      </c>
      <c r="BJ18" s="15">
        <f>IFERROR((s_dir!AK18/(d_ss_Bv!K18+s_MLF_corn)),".")</f>
        <v>11.745230838740852</v>
      </c>
      <c r="BK18" s="15">
        <f>IFERROR((s_dir!AL18/(d_ss_Bv!L18+s_MLF_cucumber)),".")</f>
        <v>11.779523483525496</v>
      </c>
      <c r="BL18" s="15">
        <f>IFERROR((s_dir!AM18/(d_ss_Bv!M18+s_MLF_lettuce)),".")</f>
        <v>7.721505824129153</v>
      </c>
      <c r="BM18" s="15">
        <f>IFERROR((s_dir!AN18/(d_ss_Bv!N18+s_MLF_lima_bean)),".")</f>
        <v>11.719642100530089</v>
      </c>
      <c r="BN18" s="15">
        <f>IFERROR((s_dir!AO18/(d_ss_Bv!O18+s_MLF_okra)),".")</f>
        <v>11.779523483525496</v>
      </c>
      <c r="BO18" s="15">
        <f>IFERROR((s_dir!AP18/(d_ss_Bv!P18+s_MLF_onion)),".")</f>
        <v>11.779523483525496</v>
      </c>
      <c r="BP18" s="15">
        <f>IFERROR((s_dir!AQ18/(d_ss_Bv!Q18+s_MLF_peach)),".")</f>
        <v>11.779523483525496</v>
      </c>
      <c r="BQ18" s="15">
        <f>IFERROR((s_dir!AR18/(d_ss_Bv!R18+s_MLF_pear)),".")</f>
        <v>11.779523483525496</v>
      </c>
      <c r="BR18" s="15">
        <f>IFERROR((s_dir!AS18/(d_ss_Bv!S18+s_MLF_peas)),".")</f>
        <v>11.719642100530089</v>
      </c>
      <c r="BS18" s="15">
        <f>IFERROR((s_dir!AT18/(d_ss_Bv!T18+s_MLF_potato)),".")</f>
        <v>9.9616957854505745</v>
      </c>
      <c r="BT18" s="15">
        <f>IFERROR((s_dir!AU18/(d_ss_Bv!U18+s_MLF_pumpkin)),".")</f>
        <v>11.779523483525496</v>
      </c>
      <c r="BU18" s="15">
        <f>IFERROR((s_dir!AV18/(d_ss_Bv!V18+s_MLF_snap_bean)),".")</f>
        <v>11.719642100530089</v>
      </c>
      <c r="BV18" s="15">
        <f>IFERROR((s_dir!AW18/(d_ss_Bv!W18+s_MLF_strawberry)),".")</f>
        <v>11.779523483525496</v>
      </c>
      <c r="BW18" s="15">
        <f>IFERROR((s_dir!AX18/(d_ss_Bv!X18+s_MLF_tomato)),".")</f>
        <v>11.779523483525496</v>
      </c>
      <c r="BX18" s="15">
        <f>IFERROR((s_dir!AY18/(d_ss_Bv!Y18+s_MLF_rice)),".")</f>
        <v>6.0897913858226156</v>
      </c>
      <c r="BY18" s="15">
        <f>IFERROR((s_dir!AZ18/(d_ss_Bv!Z18+s_MLF_cereal)),".")</f>
        <v>11.745230838740852</v>
      </c>
      <c r="BZ18" s="40">
        <f t="shared" si="5"/>
        <v>1029.05</v>
      </c>
      <c r="CA18" s="40">
        <f>IFERROR(s_C*(d_ss_Bv!C18+s_MLF_apple)*s_IFAP_far_adj*s_CF_apple,".")</f>
        <v>188.37500000000003</v>
      </c>
      <c r="CB18" s="40">
        <f>IFERROR(s_C*(d_ss_Bv!D18+s_MLF_asparagus)*s_IFAS_far_adj*s_CF_asparagus,".")</f>
        <v>287.375</v>
      </c>
      <c r="CC18" s="40">
        <f>IFERROR(s_C*(d_ss_Bv!E18+s_MLF_beet)*s_IFBT_far_adj*s_CF_beet,".")</f>
        <v>265.37499999999994</v>
      </c>
      <c r="CD18" s="40">
        <f>IFERROR(s_C*(d_ss_Bv!F18+s_MLF_berries)*s_IFBR_far_adj*s_CF_berries,".")</f>
        <v>188.37500000000003</v>
      </c>
      <c r="CE18" s="40">
        <f>IFERROR(s_C*(d_ss_Bv!G18+s_MLF_broccoli)*s_IFBR_far_adj*s_CF_broccoli,".")</f>
        <v>188.37500000000003</v>
      </c>
      <c r="CF18" s="40">
        <f>IFERROR(s_C*(d_ss_Bv!H18+s_MLF_cabbage)*s_IFCB_far_adj*s_CF_cabbage,".")</f>
        <v>287.375</v>
      </c>
      <c r="CG18" s="40">
        <f>IFERROR(s_C*(d_ss_Bv!I18+s_MLF_carrot)*s_IFCR_far_adj*s_CF_carrot,".")</f>
        <v>265.37499999999994</v>
      </c>
      <c r="CH18" s="40">
        <f>IFERROR(s_C*(d_ss_Bv!J18+s_MLF_citrus)*s_IFCI_far_adj*s_CF_citrus,".")</f>
        <v>188.37500000000003</v>
      </c>
      <c r="CI18" s="40">
        <f>IFERROR(s_C*(d_ss_Bv!K18+s_MLF_corn)*s_IFCO_far_adj*s_CF_corn,".")</f>
        <v>188.92499999999998</v>
      </c>
      <c r="CJ18" s="40">
        <f>IFERROR(s_C*(d_ss_Bv!L18+s_MLF_cucumber)*s_IFCU_far_adj*s_CF_cucumber,".")</f>
        <v>188.37500000000003</v>
      </c>
      <c r="CK18" s="40">
        <f>IFERROR(s_C*(d_ss_Bv!M18+s_MLF_lettuce)*s_IFLE_far_adj*s_CF_lettuce,".")</f>
        <v>287.375</v>
      </c>
      <c r="CL18" s="40">
        <f>IFERROR(s_C*(d_ss_Bv!N18+s_MLF_lima_bean)*s_IFLI_far_adj*s_CF_lima_bean,".")</f>
        <v>189.33749999999998</v>
      </c>
      <c r="CM18" s="40">
        <f>IFERROR(s_C*(d_ss_Bv!O18+s_MLF_okra)*s_IFOK_far_adj*s_CF_okra,".")</f>
        <v>188.37500000000003</v>
      </c>
      <c r="CN18" s="40">
        <f>IFERROR(s_C*(d_ss_Bv!P18+s_MLF_onion)*s_IFON_far_adj*s_CF_onion,".")</f>
        <v>188.37500000000003</v>
      </c>
      <c r="CO18" s="40">
        <f>IFERROR(s_C*(d_ss_Bv!Q18+s_MLF_peach)*s_IFPC_far_adj*s_CF_peach,".")</f>
        <v>188.37500000000003</v>
      </c>
      <c r="CP18" s="40">
        <f>IFERROR(s_C*(d_ss_Bv!R18+s_MLF_pear)*s_IFPR_far_adj*s_CF_pear,".")</f>
        <v>188.37500000000003</v>
      </c>
      <c r="CQ18" s="40">
        <f>IFERROR(s_C*(d_ss_Bv!S18+s_MLF_peas)*s_IFPE_far_adj*s_CF_peas,".")</f>
        <v>189.33749999999998</v>
      </c>
      <c r="CR18" s="40">
        <f>IFERROR(s_C*(d_ss_Bv!T18+s_MLF_potato)*s_IFPT_far_adj*s_CF_potato,".")</f>
        <v>222.74999999999997</v>
      </c>
      <c r="CS18" s="40">
        <f>IFERROR(s_C*(d_ss_Bv!U18+s_MLF_pumpkin)*s_IFPU_far_adj*s_CF_pumpkin,".")</f>
        <v>188.37500000000003</v>
      </c>
      <c r="CT18" s="40">
        <f>IFERROR(s_C*(d_ss_Bv!V18+s_MLF_snap_bean)*s_IFSN_far_adj*s_CF_snap_bean,".")</f>
        <v>189.33749999999998</v>
      </c>
      <c r="CU18" s="40">
        <f>IFERROR(s_C*(d_ss_Bv!W18+s_MLF_strawberry)*s_IFST_far_adj*s_CF_strawberry,".")</f>
        <v>188.37500000000003</v>
      </c>
      <c r="CV18" s="40">
        <f>IFERROR(s_C*(d_ss_Bv!X18+s_MLF_tomato)*s_IFTO_far_adj*s_CF_tomato,".")</f>
        <v>188.37500000000003</v>
      </c>
      <c r="CW18" s="40">
        <f>IFERROR(s_C*(d_ss_Bv!Y18+s_MLF_rice)*s_IFRI_far_adj*s_CF_rice,".")</f>
        <v>364.375</v>
      </c>
      <c r="CX18" s="40">
        <f>IFERROR(s_C*(d_ss_Bv!Z18+s_MLF_cereal)*s_IFCG_far_adj*s_CF_cereal,".")</f>
        <v>188.92499999999998</v>
      </c>
    </row>
    <row r="19" spans="1:102" ht="15" customHeight="1" x14ac:dyDescent="0.25">
      <c r="A19" s="44" t="s">
        <v>29</v>
      </c>
      <c r="B19" s="42" t="s">
        <v>1074</v>
      </c>
      <c r="C19" s="15" t="str">
        <f t="shared" si="2"/>
        <v>.</v>
      </c>
      <c r="D19" s="15" t="str">
        <f>IFERROR((s_dir!D19/(d_ss_Bv!C19+s_MLF_apple)),".")</f>
        <v>.</v>
      </c>
      <c r="E19" s="15" t="str">
        <f>IFERROR((s_dir!E19/(d_ss_Bv!D19+s_MLF_asparagus)),".")</f>
        <v>.</v>
      </c>
      <c r="F19" s="15" t="str">
        <f>IFERROR((s_dir!F19/(d_ss_Bv!E19+s_MLF_beet)),".")</f>
        <v>.</v>
      </c>
      <c r="G19" s="15" t="str">
        <f>IFERROR((s_dir!G19/(d_ss_Bv!F19+s_MLF_berries)),".")</f>
        <v>.</v>
      </c>
      <c r="H19" s="15" t="str">
        <f>IFERROR((s_dir!H19/(d_ss_Bv!G19+s_MLF_broccoli)),".")</f>
        <v>.</v>
      </c>
      <c r="I19" s="15" t="str">
        <f>IFERROR((s_dir!I19/(d_ss_Bv!H19+s_MLF_cabbage)),".")</f>
        <v>.</v>
      </c>
      <c r="J19" s="15" t="str">
        <f>IFERROR((s_dir!J19/(d_ss_Bv!I19+s_MLF_carrot)),".")</f>
        <v>.</v>
      </c>
      <c r="K19" s="15" t="str">
        <f>IFERROR((s_dir!K19/(d_ss_Bv!J19+s_MLF_citrus)),".")</f>
        <v>.</v>
      </c>
      <c r="L19" s="15" t="str">
        <f>IFERROR((s_dir!L19/(d_ss_Bv!K19+s_MLF_corn)),".")</f>
        <v>.</v>
      </c>
      <c r="M19" s="15" t="str">
        <f>IFERROR((s_dir!M19/(d_ss_Bv!L19+s_MLF_cucumber)),".")</f>
        <v>.</v>
      </c>
      <c r="N19" s="15" t="str">
        <f>IFERROR((s_dir!N19/(d_ss_Bv!M19+s_MLF_lettuce)),".")</f>
        <v>.</v>
      </c>
      <c r="O19" s="15" t="str">
        <f>IFERROR((s_dir!O19/(d_ss_Bv!N19+s_MLF_lima_bean)),".")</f>
        <v>.</v>
      </c>
      <c r="P19" s="15" t="str">
        <f>IFERROR((s_dir!P19/(d_ss_Bv!O19+s_MLF_okra)),".")</f>
        <v>.</v>
      </c>
      <c r="Q19" s="15" t="str">
        <f>IFERROR((s_dir!Q19/(d_ss_Bv!P19+s_MLF_onion)),".")</f>
        <v>.</v>
      </c>
      <c r="R19" s="15" t="str">
        <f>IFERROR((s_dir!R19/(d_ss_Bv!Q19+s_MLF_peach)),".")</f>
        <v>.</v>
      </c>
      <c r="S19" s="15" t="str">
        <f>IFERROR((s_dir!S19/(d_ss_Bv!R19+s_MLF_pear)),".")</f>
        <v>.</v>
      </c>
      <c r="T19" s="15" t="str">
        <f>IFERROR((s_dir!T19/(d_ss_Bv!S19+s_MLF_peas)),".")</f>
        <v>.</v>
      </c>
      <c r="U19" s="15" t="str">
        <f>IFERROR((s_dir!U19/(d_ss_Bv!T19+s_MLF_potato)),".")</f>
        <v>.</v>
      </c>
      <c r="V19" s="15" t="str">
        <f>IFERROR((s_dir!V19/(d_ss_Bv!U19+s_MLF_pumpkin)),".")</f>
        <v>.</v>
      </c>
      <c r="W19" s="15" t="str">
        <f>IFERROR((s_dir!W19/(d_ss_Bv!V19+s_MLF_snap_bean)),".")</f>
        <v>.</v>
      </c>
      <c r="X19" s="15" t="str">
        <f>IFERROR((s_dir!X19/(d_ss_Bv!W19+s_MLF_strawberry)),".")</f>
        <v>.</v>
      </c>
      <c r="Y19" s="15" t="str">
        <f>IFERROR((s_dir!Y19/(d_ss_Bv!X19+s_MLF_tomato)),".")</f>
        <v>.</v>
      </c>
      <c r="Z19" s="15" t="str">
        <f>IFERROR((s_dir!Z19/(d_ss_Bv!Y19+s_MLF_rice)),".")</f>
        <v>.</v>
      </c>
      <c r="AA19" s="15" t="str">
        <f>IFERROR((s_dir!AA19/(d_ss_Bv!Z19+s_MLF_cereal)),".")</f>
        <v>.</v>
      </c>
      <c r="AB19" s="40">
        <f t="shared" si="3"/>
        <v>1029.05</v>
      </c>
      <c r="AC19" s="40">
        <f>s_C*(d_ss_Bv!C19+s_MLF_apple)*s_IFAP_res_adj*s_CF_apple</f>
        <v>188.37500000000003</v>
      </c>
      <c r="AD19" s="40">
        <f>s_C*(d_ss_Bv!D19+s_MLF_asparagus)*s_IFAS_res_adj*s_CF_asparagus</f>
        <v>287.375</v>
      </c>
      <c r="AE19" s="40">
        <f>s_C*(d_ss_Bv!E19+s_MLF_beet)*s_IFBT_res_adj*s_CF_beet</f>
        <v>265.37499999999994</v>
      </c>
      <c r="AF19" s="40">
        <f>s_C*(d_ss_Bv!F19+s_MLF_berries)*s_IFBE_res_adj*s_CF_berries</f>
        <v>188.37500000000003</v>
      </c>
      <c r="AG19" s="40">
        <f>s_C*(d_ss_Bv!G19+s_MLF_broccoli)*s_IFBR_res_adj*s_CF_broccoli</f>
        <v>188.37500000000003</v>
      </c>
      <c r="AH19" s="40">
        <f>s_C*(d_ss_Bv!H19+s_MLF_cabbage)*s_IFCB_res_adj*s_CF_cabbage</f>
        <v>287.375</v>
      </c>
      <c r="AI19" s="40">
        <f>s_C*(d_ss_Bv!I19+s_MLF_carrot)*s_IFCR_res_adj*s_CF_carrot</f>
        <v>265.37499999999994</v>
      </c>
      <c r="AJ19" s="40">
        <f>s_C*(d_ss_Bv!J19+s_MLF_citrus)*s_IFCI_res_adj*s_CF_citrus</f>
        <v>188.37500000000003</v>
      </c>
      <c r="AK19" s="40">
        <f>s_C*(d_ss_Bv!K19+s_MLF_corn)*s_IFCO_res_adj*s_CF_corn</f>
        <v>188.92499999999998</v>
      </c>
      <c r="AL19" s="40">
        <f>s_C*(d_ss_Bv!L19+s_MLF_cucumber)*s_IFCU_res_adj*s_CF_cucumber</f>
        <v>188.37500000000003</v>
      </c>
      <c r="AM19" s="40">
        <f>s_C*(d_ss_Bv!M19+s_MLF_lettuce)*s_IFLE_res_adj*s_CF_lettuce</f>
        <v>287.375</v>
      </c>
      <c r="AN19" s="40">
        <f>s_C*(d_ss_Bv!N19+s_MLF_lima_bean)*s_IFLI_res_adj*s_CF_lima_bean</f>
        <v>189.33749999999998</v>
      </c>
      <c r="AO19" s="40">
        <f>s_C*(d_ss_Bv!O19+s_MLF_okra)*s_IFOK_res_adj*s_CF_okra</f>
        <v>188.37500000000003</v>
      </c>
      <c r="AP19" s="40">
        <f>s_C*(d_ss_Bv!P19+s_MLF_onion)*s_IFON_res_adj*s_CF_onion</f>
        <v>188.37500000000003</v>
      </c>
      <c r="AQ19" s="40">
        <f>s_C*(d_ss_Bv!Q19+s_MLF_peach)*s_IFPC_res_adj*s_CF_peach</f>
        <v>188.37500000000003</v>
      </c>
      <c r="AR19" s="40">
        <f>s_C*(d_ss_Bv!R19+s_MLF_pear)*s_IFPR_res_adj*s_CF_pear</f>
        <v>188.37500000000003</v>
      </c>
      <c r="AS19" s="40">
        <f>s_C*(d_ss_Bv!S19+s_MLF_peas)*s_IFPE_res_adj*s_CF_peas</f>
        <v>189.33749999999998</v>
      </c>
      <c r="AT19" s="40">
        <f>s_C*(d_ss_Bv!T19+s_MLF_potato)*s_IFPT_res_adj*s_CF_potato</f>
        <v>222.74999999999997</v>
      </c>
      <c r="AU19" s="40">
        <f>s_C*(d_ss_Bv!U19+s_MLF_pumpkin)*s_IFPU_res_adj*s_CF_pumpkin</f>
        <v>188.37500000000003</v>
      </c>
      <c r="AV19" s="40">
        <f>s_C*(d_ss_Bv!V19+s_MLF_snap_bean)*s_IFSN_res_adj*s_CF_snap_bean</f>
        <v>189.33749999999998</v>
      </c>
      <c r="AW19" s="40">
        <f>s_C*(d_ss_Bv!W19+s_MLF_strawberry)*s_IFST_res_adj*s_CF_strawberry</f>
        <v>188.37500000000003</v>
      </c>
      <c r="AX19" s="40">
        <f>s_C*(d_ss_Bv!X19+s_MLF_tomato)*s_IFTO_res_adj*s_CF_tomato</f>
        <v>188.37500000000003</v>
      </c>
      <c r="AY19" s="40">
        <f>s_C*(d_ss_Bv!Y19+s_MLF_rice)*s_IFRI_res_adj*s_CF_rice</f>
        <v>364.375</v>
      </c>
      <c r="AZ19" s="40">
        <f>s_C*(d_ss_Bv!Z19+s_MLF_cereal)*s_IFCG_res_adj*s_CF_cereal</f>
        <v>188.92499999999998</v>
      </c>
      <c r="BA19" s="15" t="str">
        <f t="shared" si="4"/>
        <v>.</v>
      </c>
      <c r="BB19" s="15" t="str">
        <f>IFERROR((s_dir!AC19/(d_ss_Bv!C19+s_MLF_apple)),".")</f>
        <v>.</v>
      </c>
      <c r="BC19" s="15" t="str">
        <f>IFERROR((s_dir!AD19/(d_ss_Bv!D19+s_MLF_asparagus)),".")</f>
        <v>.</v>
      </c>
      <c r="BD19" s="15" t="str">
        <f>IFERROR((s_dir!AE19/(d_ss_Bv!E19+s_MLF_beet)),".")</f>
        <v>.</v>
      </c>
      <c r="BE19" s="15" t="str">
        <f>IFERROR((s_dir!AF19/(d_ss_Bv!F19+s_MLF_berries)),".")</f>
        <v>.</v>
      </c>
      <c r="BF19" s="15" t="str">
        <f>IFERROR((s_dir!AG19/(d_ss_Bv!G19+s_MLF_broccoli)),".")</f>
        <v>.</v>
      </c>
      <c r="BG19" s="15" t="str">
        <f>IFERROR((s_dir!AH19/(d_ss_Bv!H19+s_MLF_cabbage)),".")</f>
        <v>.</v>
      </c>
      <c r="BH19" s="15" t="str">
        <f>IFERROR((s_dir!AI19/(d_ss_Bv!I19+s_MLF_carrot)),".")</f>
        <v>.</v>
      </c>
      <c r="BI19" s="15" t="str">
        <f>IFERROR((s_dir!AJ19/(d_ss_Bv!J19+s_MLF_citrus)),".")</f>
        <v>.</v>
      </c>
      <c r="BJ19" s="15" t="str">
        <f>IFERROR((s_dir!AK19/(d_ss_Bv!K19+s_MLF_corn)),".")</f>
        <v>.</v>
      </c>
      <c r="BK19" s="15" t="str">
        <f>IFERROR((s_dir!AL19/(d_ss_Bv!L19+s_MLF_cucumber)),".")</f>
        <v>.</v>
      </c>
      <c r="BL19" s="15" t="str">
        <f>IFERROR((s_dir!AM19/(d_ss_Bv!M19+s_MLF_lettuce)),".")</f>
        <v>.</v>
      </c>
      <c r="BM19" s="15" t="str">
        <f>IFERROR((s_dir!AN19/(d_ss_Bv!N19+s_MLF_lima_bean)),".")</f>
        <v>.</v>
      </c>
      <c r="BN19" s="15" t="str">
        <f>IFERROR((s_dir!AO19/(d_ss_Bv!O19+s_MLF_okra)),".")</f>
        <v>.</v>
      </c>
      <c r="BO19" s="15" t="str">
        <f>IFERROR((s_dir!AP19/(d_ss_Bv!P19+s_MLF_onion)),".")</f>
        <v>.</v>
      </c>
      <c r="BP19" s="15" t="str">
        <f>IFERROR((s_dir!AQ19/(d_ss_Bv!Q19+s_MLF_peach)),".")</f>
        <v>.</v>
      </c>
      <c r="BQ19" s="15" t="str">
        <f>IFERROR((s_dir!AR19/(d_ss_Bv!R19+s_MLF_pear)),".")</f>
        <v>.</v>
      </c>
      <c r="BR19" s="15" t="str">
        <f>IFERROR((s_dir!AS19/(d_ss_Bv!S19+s_MLF_peas)),".")</f>
        <v>.</v>
      </c>
      <c r="BS19" s="15" t="str">
        <f>IFERROR((s_dir!AT19/(d_ss_Bv!T19+s_MLF_potato)),".")</f>
        <v>.</v>
      </c>
      <c r="BT19" s="15" t="str">
        <f>IFERROR((s_dir!AU19/(d_ss_Bv!U19+s_MLF_pumpkin)),".")</f>
        <v>.</v>
      </c>
      <c r="BU19" s="15" t="str">
        <f>IFERROR((s_dir!AV19/(d_ss_Bv!V19+s_MLF_snap_bean)),".")</f>
        <v>.</v>
      </c>
      <c r="BV19" s="15" t="str">
        <f>IFERROR((s_dir!AW19/(d_ss_Bv!W19+s_MLF_strawberry)),".")</f>
        <v>.</v>
      </c>
      <c r="BW19" s="15" t="str">
        <f>IFERROR((s_dir!AX19/(d_ss_Bv!X19+s_MLF_tomato)),".")</f>
        <v>.</v>
      </c>
      <c r="BX19" s="15" t="str">
        <f>IFERROR((s_dir!AY19/(d_ss_Bv!Y19+s_MLF_rice)),".")</f>
        <v>.</v>
      </c>
      <c r="BY19" s="15" t="str">
        <f>IFERROR((s_dir!AZ19/(d_ss_Bv!Z19+s_MLF_cereal)),".")</f>
        <v>.</v>
      </c>
      <c r="BZ19" s="40">
        <f t="shared" si="5"/>
        <v>1029.05</v>
      </c>
      <c r="CA19" s="40">
        <f>IFERROR(s_C*(d_ss_Bv!C19+s_MLF_apple)*s_IFAP_far_adj*s_CF_apple,".")</f>
        <v>188.37500000000003</v>
      </c>
      <c r="CB19" s="40">
        <f>IFERROR(s_C*(d_ss_Bv!D19+s_MLF_asparagus)*s_IFAS_far_adj*s_CF_asparagus,".")</f>
        <v>287.375</v>
      </c>
      <c r="CC19" s="40">
        <f>IFERROR(s_C*(d_ss_Bv!E19+s_MLF_beet)*s_IFBT_far_adj*s_CF_beet,".")</f>
        <v>265.37499999999994</v>
      </c>
      <c r="CD19" s="40">
        <f>IFERROR(s_C*(d_ss_Bv!F19+s_MLF_berries)*s_IFBR_far_adj*s_CF_berries,".")</f>
        <v>188.37500000000003</v>
      </c>
      <c r="CE19" s="40">
        <f>IFERROR(s_C*(d_ss_Bv!G19+s_MLF_broccoli)*s_IFBR_far_adj*s_CF_broccoli,".")</f>
        <v>188.37500000000003</v>
      </c>
      <c r="CF19" s="40">
        <f>IFERROR(s_C*(d_ss_Bv!H19+s_MLF_cabbage)*s_IFCB_far_adj*s_CF_cabbage,".")</f>
        <v>287.375</v>
      </c>
      <c r="CG19" s="40">
        <f>IFERROR(s_C*(d_ss_Bv!I19+s_MLF_carrot)*s_IFCR_far_adj*s_CF_carrot,".")</f>
        <v>265.37499999999994</v>
      </c>
      <c r="CH19" s="40">
        <f>IFERROR(s_C*(d_ss_Bv!J19+s_MLF_citrus)*s_IFCI_far_adj*s_CF_citrus,".")</f>
        <v>188.37500000000003</v>
      </c>
      <c r="CI19" s="40">
        <f>IFERROR(s_C*(d_ss_Bv!K19+s_MLF_corn)*s_IFCO_far_adj*s_CF_corn,".")</f>
        <v>188.92499999999998</v>
      </c>
      <c r="CJ19" s="40">
        <f>IFERROR(s_C*(d_ss_Bv!L19+s_MLF_cucumber)*s_IFCU_far_adj*s_CF_cucumber,".")</f>
        <v>188.37500000000003</v>
      </c>
      <c r="CK19" s="40">
        <f>IFERROR(s_C*(d_ss_Bv!M19+s_MLF_lettuce)*s_IFLE_far_adj*s_CF_lettuce,".")</f>
        <v>287.375</v>
      </c>
      <c r="CL19" s="40">
        <f>IFERROR(s_C*(d_ss_Bv!N19+s_MLF_lima_bean)*s_IFLI_far_adj*s_CF_lima_bean,".")</f>
        <v>189.33749999999998</v>
      </c>
      <c r="CM19" s="40">
        <f>IFERROR(s_C*(d_ss_Bv!O19+s_MLF_okra)*s_IFOK_far_adj*s_CF_okra,".")</f>
        <v>188.37500000000003</v>
      </c>
      <c r="CN19" s="40">
        <f>IFERROR(s_C*(d_ss_Bv!P19+s_MLF_onion)*s_IFON_far_adj*s_CF_onion,".")</f>
        <v>188.37500000000003</v>
      </c>
      <c r="CO19" s="40">
        <f>IFERROR(s_C*(d_ss_Bv!Q19+s_MLF_peach)*s_IFPC_far_adj*s_CF_peach,".")</f>
        <v>188.37500000000003</v>
      </c>
      <c r="CP19" s="40">
        <f>IFERROR(s_C*(d_ss_Bv!R19+s_MLF_pear)*s_IFPR_far_adj*s_CF_pear,".")</f>
        <v>188.37500000000003</v>
      </c>
      <c r="CQ19" s="40">
        <f>IFERROR(s_C*(d_ss_Bv!S19+s_MLF_peas)*s_IFPE_far_adj*s_CF_peas,".")</f>
        <v>189.33749999999998</v>
      </c>
      <c r="CR19" s="40">
        <f>IFERROR(s_C*(d_ss_Bv!T19+s_MLF_potato)*s_IFPT_far_adj*s_CF_potato,".")</f>
        <v>222.74999999999997</v>
      </c>
      <c r="CS19" s="40">
        <f>IFERROR(s_C*(d_ss_Bv!U19+s_MLF_pumpkin)*s_IFPU_far_adj*s_CF_pumpkin,".")</f>
        <v>188.37500000000003</v>
      </c>
      <c r="CT19" s="40">
        <f>IFERROR(s_C*(d_ss_Bv!V19+s_MLF_snap_bean)*s_IFSN_far_adj*s_CF_snap_bean,".")</f>
        <v>189.33749999999998</v>
      </c>
      <c r="CU19" s="40">
        <f>IFERROR(s_C*(d_ss_Bv!W19+s_MLF_strawberry)*s_IFST_far_adj*s_CF_strawberry,".")</f>
        <v>188.37500000000003</v>
      </c>
      <c r="CV19" s="40">
        <f>IFERROR(s_C*(d_ss_Bv!X19+s_MLF_tomato)*s_IFTO_far_adj*s_CF_tomato,".")</f>
        <v>188.37500000000003</v>
      </c>
      <c r="CW19" s="40">
        <f>IFERROR(s_C*(d_ss_Bv!Y19+s_MLF_rice)*s_IFRI_far_adj*s_CF_rice,".")</f>
        <v>364.375</v>
      </c>
      <c r="CX19" s="40">
        <f>IFERROR(s_C*(d_ss_Bv!Z19+s_MLF_cereal)*s_IFCG_far_adj*s_CF_cereal,".")</f>
        <v>188.92499999999998</v>
      </c>
    </row>
    <row r="20" spans="1:102" ht="15" customHeight="1" x14ac:dyDescent="0.25">
      <c r="A20" s="44" t="s">
        <v>30</v>
      </c>
      <c r="B20" s="42" t="s">
        <v>1074</v>
      </c>
      <c r="C20" s="15" t="str">
        <f t="shared" si="2"/>
        <v>.</v>
      </c>
      <c r="D20" s="15" t="str">
        <f>IFERROR((s_dir!D20/(d_ss_Bv!C20+s_MLF_apple)),".")</f>
        <v>.</v>
      </c>
      <c r="E20" s="15" t="str">
        <f>IFERROR((s_dir!E20/(d_ss_Bv!D20+s_MLF_asparagus)),".")</f>
        <v>.</v>
      </c>
      <c r="F20" s="15" t="str">
        <f>IFERROR((s_dir!F20/(d_ss_Bv!E20+s_MLF_beet)),".")</f>
        <v>.</v>
      </c>
      <c r="G20" s="15" t="str">
        <f>IFERROR((s_dir!G20/(d_ss_Bv!F20+s_MLF_berries)),".")</f>
        <v>.</v>
      </c>
      <c r="H20" s="15" t="str">
        <f>IFERROR((s_dir!H20/(d_ss_Bv!G20+s_MLF_broccoli)),".")</f>
        <v>.</v>
      </c>
      <c r="I20" s="15" t="str">
        <f>IFERROR((s_dir!I20/(d_ss_Bv!H20+s_MLF_cabbage)),".")</f>
        <v>.</v>
      </c>
      <c r="J20" s="15" t="str">
        <f>IFERROR((s_dir!J20/(d_ss_Bv!I20+s_MLF_carrot)),".")</f>
        <v>.</v>
      </c>
      <c r="K20" s="15" t="str">
        <f>IFERROR((s_dir!K20/(d_ss_Bv!J20+s_MLF_citrus)),".")</f>
        <v>.</v>
      </c>
      <c r="L20" s="15" t="str">
        <f>IFERROR((s_dir!L20/(d_ss_Bv!K20+s_MLF_corn)),".")</f>
        <v>.</v>
      </c>
      <c r="M20" s="15" t="str">
        <f>IFERROR((s_dir!M20/(d_ss_Bv!L20+s_MLF_cucumber)),".")</f>
        <v>.</v>
      </c>
      <c r="N20" s="15" t="str">
        <f>IFERROR((s_dir!N20/(d_ss_Bv!M20+s_MLF_lettuce)),".")</f>
        <v>.</v>
      </c>
      <c r="O20" s="15" t="str">
        <f>IFERROR((s_dir!O20/(d_ss_Bv!N20+s_MLF_lima_bean)),".")</f>
        <v>.</v>
      </c>
      <c r="P20" s="15" t="str">
        <f>IFERROR((s_dir!P20/(d_ss_Bv!O20+s_MLF_okra)),".")</f>
        <v>.</v>
      </c>
      <c r="Q20" s="15" t="str">
        <f>IFERROR((s_dir!Q20/(d_ss_Bv!P20+s_MLF_onion)),".")</f>
        <v>.</v>
      </c>
      <c r="R20" s="15" t="str">
        <f>IFERROR((s_dir!R20/(d_ss_Bv!Q20+s_MLF_peach)),".")</f>
        <v>.</v>
      </c>
      <c r="S20" s="15" t="str">
        <f>IFERROR((s_dir!S20/(d_ss_Bv!R20+s_MLF_pear)),".")</f>
        <v>.</v>
      </c>
      <c r="T20" s="15" t="str">
        <f>IFERROR((s_dir!T20/(d_ss_Bv!S20+s_MLF_peas)),".")</f>
        <v>.</v>
      </c>
      <c r="U20" s="15" t="str">
        <f>IFERROR((s_dir!U20/(d_ss_Bv!T20+s_MLF_potato)),".")</f>
        <v>.</v>
      </c>
      <c r="V20" s="15" t="str">
        <f>IFERROR((s_dir!V20/(d_ss_Bv!U20+s_MLF_pumpkin)),".")</f>
        <v>.</v>
      </c>
      <c r="W20" s="15" t="str">
        <f>IFERROR((s_dir!W20/(d_ss_Bv!V20+s_MLF_snap_bean)),".")</f>
        <v>.</v>
      </c>
      <c r="X20" s="15" t="str">
        <f>IFERROR((s_dir!X20/(d_ss_Bv!W20+s_MLF_strawberry)),".")</f>
        <v>.</v>
      </c>
      <c r="Y20" s="15" t="str">
        <f>IFERROR((s_dir!Y20/(d_ss_Bv!X20+s_MLF_tomato)),".")</f>
        <v>.</v>
      </c>
      <c r="Z20" s="15" t="str">
        <f>IFERROR((s_dir!Z20/(d_ss_Bv!Y20+s_MLF_rice)),".")</f>
        <v>.</v>
      </c>
      <c r="AA20" s="15" t="str">
        <f>IFERROR((s_dir!AA20/(d_ss_Bv!Z20+s_MLF_cereal)),".")</f>
        <v>.</v>
      </c>
      <c r="AB20" s="40">
        <f t="shared" si="3"/>
        <v>1029.05</v>
      </c>
      <c r="AC20" s="40">
        <f>s_C*(d_ss_Bv!C20+s_MLF_apple)*s_IFAP_res_adj*s_CF_apple</f>
        <v>188.37500000000003</v>
      </c>
      <c r="AD20" s="40">
        <f>s_C*(d_ss_Bv!D20+s_MLF_asparagus)*s_IFAS_res_adj*s_CF_asparagus</f>
        <v>287.375</v>
      </c>
      <c r="AE20" s="40">
        <f>s_C*(d_ss_Bv!E20+s_MLF_beet)*s_IFBT_res_adj*s_CF_beet</f>
        <v>265.37499999999994</v>
      </c>
      <c r="AF20" s="40">
        <f>s_C*(d_ss_Bv!F20+s_MLF_berries)*s_IFBE_res_adj*s_CF_berries</f>
        <v>188.37500000000003</v>
      </c>
      <c r="AG20" s="40">
        <f>s_C*(d_ss_Bv!G20+s_MLF_broccoli)*s_IFBR_res_adj*s_CF_broccoli</f>
        <v>188.37500000000003</v>
      </c>
      <c r="AH20" s="40">
        <f>s_C*(d_ss_Bv!H20+s_MLF_cabbage)*s_IFCB_res_adj*s_CF_cabbage</f>
        <v>287.375</v>
      </c>
      <c r="AI20" s="40">
        <f>s_C*(d_ss_Bv!I20+s_MLF_carrot)*s_IFCR_res_adj*s_CF_carrot</f>
        <v>265.37499999999994</v>
      </c>
      <c r="AJ20" s="40">
        <f>s_C*(d_ss_Bv!J20+s_MLF_citrus)*s_IFCI_res_adj*s_CF_citrus</f>
        <v>188.37500000000003</v>
      </c>
      <c r="AK20" s="40">
        <f>s_C*(d_ss_Bv!K20+s_MLF_corn)*s_IFCO_res_adj*s_CF_corn</f>
        <v>188.92499999999998</v>
      </c>
      <c r="AL20" s="40">
        <f>s_C*(d_ss_Bv!L20+s_MLF_cucumber)*s_IFCU_res_adj*s_CF_cucumber</f>
        <v>188.37500000000003</v>
      </c>
      <c r="AM20" s="40">
        <f>s_C*(d_ss_Bv!M20+s_MLF_lettuce)*s_IFLE_res_adj*s_CF_lettuce</f>
        <v>287.375</v>
      </c>
      <c r="AN20" s="40">
        <f>s_C*(d_ss_Bv!N20+s_MLF_lima_bean)*s_IFLI_res_adj*s_CF_lima_bean</f>
        <v>189.33749999999998</v>
      </c>
      <c r="AO20" s="40">
        <f>s_C*(d_ss_Bv!O20+s_MLF_okra)*s_IFOK_res_adj*s_CF_okra</f>
        <v>188.37500000000003</v>
      </c>
      <c r="AP20" s="40">
        <f>s_C*(d_ss_Bv!P20+s_MLF_onion)*s_IFON_res_adj*s_CF_onion</f>
        <v>188.37500000000003</v>
      </c>
      <c r="AQ20" s="40">
        <f>s_C*(d_ss_Bv!Q20+s_MLF_peach)*s_IFPC_res_adj*s_CF_peach</f>
        <v>188.37500000000003</v>
      </c>
      <c r="AR20" s="40">
        <f>s_C*(d_ss_Bv!R20+s_MLF_pear)*s_IFPR_res_adj*s_CF_pear</f>
        <v>188.37500000000003</v>
      </c>
      <c r="AS20" s="40">
        <f>s_C*(d_ss_Bv!S20+s_MLF_peas)*s_IFPE_res_adj*s_CF_peas</f>
        <v>189.33749999999998</v>
      </c>
      <c r="AT20" s="40">
        <f>s_C*(d_ss_Bv!T20+s_MLF_potato)*s_IFPT_res_adj*s_CF_potato</f>
        <v>222.74999999999997</v>
      </c>
      <c r="AU20" s="40">
        <f>s_C*(d_ss_Bv!U20+s_MLF_pumpkin)*s_IFPU_res_adj*s_CF_pumpkin</f>
        <v>188.37500000000003</v>
      </c>
      <c r="AV20" s="40">
        <f>s_C*(d_ss_Bv!V20+s_MLF_snap_bean)*s_IFSN_res_adj*s_CF_snap_bean</f>
        <v>189.33749999999998</v>
      </c>
      <c r="AW20" s="40">
        <f>s_C*(d_ss_Bv!W20+s_MLF_strawberry)*s_IFST_res_adj*s_CF_strawberry</f>
        <v>188.37500000000003</v>
      </c>
      <c r="AX20" s="40">
        <f>s_C*(d_ss_Bv!X20+s_MLF_tomato)*s_IFTO_res_adj*s_CF_tomato</f>
        <v>188.37500000000003</v>
      </c>
      <c r="AY20" s="40">
        <f>s_C*(d_ss_Bv!Y20+s_MLF_rice)*s_IFRI_res_adj*s_CF_rice</f>
        <v>364.375</v>
      </c>
      <c r="AZ20" s="40">
        <f>s_C*(d_ss_Bv!Z20+s_MLF_cereal)*s_IFCG_res_adj*s_CF_cereal</f>
        <v>188.92499999999998</v>
      </c>
      <c r="BA20" s="15" t="str">
        <f t="shared" si="4"/>
        <v>.</v>
      </c>
      <c r="BB20" s="15" t="str">
        <f>IFERROR((s_dir!AC20/(d_ss_Bv!C20+s_MLF_apple)),".")</f>
        <v>.</v>
      </c>
      <c r="BC20" s="15" t="str">
        <f>IFERROR((s_dir!AD20/(d_ss_Bv!D20+s_MLF_asparagus)),".")</f>
        <v>.</v>
      </c>
      <c r="BD20" s="15" t="str">
        <f>IFERROR((s_dir!AE20/(d_ss_Bv!E20+s_MLF_beet)),".")</f>
        <v>.</v>
      </c>
      <c r="BE20" s="15" t="str">
        <f>IFERROR((s_dir!AF20/(d_ss_Bv!F20+s_MLF_berries)),".")</f>
        <v>.</v>
      </c>
      <c r="BF20" s="15" t="str">
        <f>IFERROR((s_dir!AG20/(d_ss_Bv!G20+s_MLF_broccoli)),".")</f>
        <v>.</v>
      </c>
      <c r="BG20" s="15" t="str">
        <f>IFERROR((s_dir!AH20/(d_ss_Bv!H20+s_MLF_cabbage)),".")</f>
        <v>.</v>
      </c>
      <c r="BH20" s="15" t="str">
        <f>IFERROR((s_dir!AI20/(d_ss_Bv!I20+s_MLF_carrot)),".")</f>
        <v>.</v>
      </c>
      <c r="BI20" s="15" t="str">
        <f>IFERROR((s_dir!AJ20/(d_ss_Bv!J20+s_MLF_citrus)),".")</f>
        <v>.</v>
      </c>
      <c r="BJ20" s="15" t="str">
        <f>IFERROR((s_dir!AK20/(d_ss_Bv!K20+s_MLF_corn)),".")</f>
        <v>.</v>
      </c>
      <c r="BK20" s="15" t="str">
        <f>IFERROR((s_dir!AL20/(d_ss_Bv!L20+s_MLF_cucumber)),".")</f>
        <v>.</v>
      </c>
      <c r="BL20" s="15" t="str">
        <f>IFERROR((s_dir!AM20/(d_ss_Bv!M20+s_MLF_lettuce)),".")</f>
        <v>.</v>
      </c>
      <c r="BM20" s="15" t="str">
        <f>IFERROR((s_dir!AN20/(d_ss_Bv!N20+s_MLF_lima_bean)),".")</f>
        <v>.</v>
      </c>
      <c r="BN20" s="15" t="str">
        <f>IFERROR((s_dir!AO20/(d_ss_Bv!O20+s_MLF_okra)),".")</f>
        <v>.</v>
      </c>
      <c r="BO20" s="15" t="str">
        <f>IFERROR((s_dir!AP20/(d_ss_Bv!P20+s_MLF_onion)),".")</f>
        <v>.</v>
      </c>
      <c r="BP20" s="15" t="str">
        <f>IFERROR((s_dir!AQ20/(d_ss_Bv!Q20+s_MLF_peach)),".")</f>
        <v>.</v>
      </c>
      <c r="BQ20" s="15" t="str">
        <f>IFERROR((s_dir!AR20/(d_ss_Bv!R20+s_MLF_pear)),".")</f>
        <v>.</v>
      </c>
      <c r="BR20" s="15" t="str">
        <f>IFERROR((s_dir!AS20/(d_ss_Bv!S20+s_MLF_peas)),".")</f>
        <v>.</v>
      </c>
      <c r="BS20" s="15" t="str">
        <f>IFERROR((s_dir!AT20/(d_ss_Bv!T20+s_MLF_potato)),".")</f>
        <v>.</v>
      </c>
      <c r="BT20" s="15" t="str">
        <f>IFERROR((s_dir!AU20/(d_ss_Bv!U20+s_MLF_pumpkin)),".")</f>
        <v>.</v>
      </c>
      <c r="BU20" s="15" t="str">
        <f>IFERROR((s_dir!AV20/(d_ss_Bv!V20+s_MLF_snap_bean)),".")</f>
        <v>.</v>
      </c>
      <c r="BV20" s="15" t="str">
        <f>IFERROR((s_dir!AW20/(d_ss_Bv!W20+s_MLF_strawberry)),".")</f>
        <v>.</v>
      </c>
      <c r="BW20" s="15" t="str">
        <f>IFERROR((s_dir!AX20/(d_ss_Bv!X20+s_MLF_tomato)),".")</f>
        <v>.</v>
      </c>
      <c r="BX20" s="15" t="str">
        <f>IFERROR((s_dir!AY20/(d_ss_Bv!Y20+s_MLF_rice)),".")</f>
        <v>.</v>
      </c>
      <c r="BY20" s="15" t="str">
        <f>IFERROR((s_dir!AZ20/(d_ss_Bv!Z20+s_MLF_cereal)),".")</f>
        <v>.</v>
      </c>
      <c r="BZ20" s="40">
        <f t="shared" si="5"/>
        <v>1029.05</v>
      </c>
      <c r="CA20" s="40">
        <f>IFERROR(s_C*(d_ss_Bv!C20+s_MLF_apple)*s_IFAP_far_adj*s_CF_apple,".")</f>
        <v>188.37500000000003</v>
      </c>
      <c r="CB20" s="40">
        <f>IFERROR(s_C*(d_ss_Bv!D20+s_MLF_asparagus)*s_IFAS_far_adj*s_CF_asparagus,".")</f>
        <v>287.375</v>
      </c>
      <c r="CC20" s="40">
        <f>IFERROR(s_C*(d_ss_Bv!E20+s_MLF_beet)*s_IFBT_far_adj*s_CF_beet,".")</f>
        <v>265.37499999999994</v>
      </c>
      <c r="CD20" s="40">
        <f>IFERROR(s_C*(d_ss_Bv!F20+s_MLF_berries)*s_IFBR_far_adj*s_CF_berries,".")</f>
        <v>188.37500000000003</v>
      </c>
      <c r="CE20" s="40">
        <f>IFERROR(s_C*(d_ss_Bv!G20+s_MLF_broccoli)*s_IFBR_far_adj*s_CF_broccoli,".")</f>
        <v>188.37500000000003</v>
      </c>
      <c r="CF20" s="40">
        <f>IFERROR(s_C*(d_ss_Bv!H20+s_MLF_cabbage)*s_IFCB_far_adj*s_CF_cabbage,".")</f>
        <v>287.375</v>
      </c>
      <c r="CG20" s="40">
        <f>IFERROR(s_C*(d_ss_Bv!I20+s_MLF_carrot)*s_IFCR_far_adj*s_CF_carrot,".")</f>
        <v>265.37499999999994</v>
      </c>
      <c r="CH20" s="40">
        <f>IFERROR(s_C*(d_ss_Bv!J20+s_MLF_citrus)*s_IFCI_far_adj*s_CF_citrus,".")</f>
        <v>188.37500000000003</v>
      </c>
      <c r="CI20" s="40">
        <f>IFERROR(s_C*(d_ss_Bv!K20+s_MLF_corn)*s_IFCO_far_adj*s_CF_corn,".")</f>
        <v>188.92499999999998</v>
      </c>
      <c r="CJ20" s="40">
        <f>IFERROR(s_C*(d_ss_Bv!L20+s_MLF_cucumber)*s_IFCU_far_adj*s_CF_cucumber,".")</f>
        <v>188.37500000000003</v>
      </c>
      <c r="CK20" s="40">
        <f>IFERROR(s_C*(d_ss_Bv!M20+s_MLF_lettuce)*s_IFLE_far_adj*s_CF_lettuce,".")</f>
        <v>287.375</v>
      </c>
      <c r="CL20" s="40">
        <f>IFERROR(s_C*(d_ss_Bv!N20+s_MLF_lima_bean)*s_IFLI_far_adj*s_CF_lima_bean,".")</f>
        <v>189.33749999999998</v>
      </c>
      <c r="CM20" s="40">
        <f>IFERROR(s_C*(d_ss_Bv!O20+s_MLF_okra)*s_IFOK_far_adj*s_CF_okra,".")</f>
        <v>188.37500000000003</v>
      </c>
      <c r="CN20" s="40">
        <f>IFERROR(s_C*(d_ss_Bv!P20+s_MLF_onion)*s_IFON_far_adj*s_CF_onion,".")</f>
        <v>188.37500000000003</v>
      </c>
      <c r="CO20" s="40">
        <f>IFERROR(s_C*(d_ss_Bv!Q20+s_MLF_peach)*s_IFPC_far_adj*s_CF_peach,".")</f>
        <v>188.37500000000003</v>
      </c>
      <c r="CP20" s="40">
        <f>IFERROR(s_C*(d_ss_Bv!R20+s_MLF_pear)*s_IFPR_far_adj*s_CF_pear,".")</f>
        <v>188.37500000000003</v>
      </c>
      <c r="CQ20" s="40">
        <f>IFERROR(s_C*(d_ss_Bv!S20+s_MLF_peas)*s_IFPE_far_adj*s_CF_peas,".")</f>
        <v>189.33749999999998</v>
      </c>
      <c r="CR20" s="40">
        <f>IFERROR(s_C*(d_ss_Bv!T20+s_MLF_potato)*s_IFPT_far_adj*s_CF_potato,".")</f>
        <v>222.74999999999997</v>
      </c>
      <c r="CS20" s="40">
        <f>IFERROR(s_C*(d_ss_Bv!U20+s_MLF_pumpkin)*s_IFPU_far_adj*s_CF_pumpkin,".")</f>
        <v>188.37500000000003</v>
      </c>
      <c r="CT20" s="40">
        <f>IFERROR(s_C*(d_ss_Bv!V20+s_MLF_snap_bean)*s_IFSN_far_adj*s_CF_snap_bean,".")</f>
        <v>189.33749999999998</v>
      </c>
      <c r="CU20" s="40">
        <f>IFERROR(s_C*(d_ss_Bv!W20+s_MLF_strawberry)*s_IFST_far_adj*s_CF_strawberry,".")</f>
        <v>188.37500000000003</v>
      </c>
      <c r="CV20" s="40">
        <f>IFERROR(s_C*(d_ss_Bv!X20+s_MLF_tomato)*s_IFTO_far_adj*s_CF_tomato,".")</f>
        <v>188.37500000000003</v>
      </c>
      <c r="CW20" s="40">
        <f>IFERROR(s_C*(d_ss_Bv!Y20+s_MLF_rice)*s_IFRI_far_adj*s_CF_rice,".")</f>
        <v>364.375</v>
      </c>
      <c r="CX20" s="40">
        <f>IFERROR(s_C*(d_ss_Bv!Z20+s_MLF_cereal)*s_IFCG_far_adj*s_CF_cereal,".")</f>
        <v>188.92499999999998</v>
      </c>
    </row>
    <row r="21" spans="1:102" ht="15" customHeight="1" x14ac:dyDescent="0.25">
      <c r="A21" s="44" t="s">
        <v>31</v>
      </c>
      <c r="B21" s="42" t="s">
        <v>1074</v>
      </c>
      <c r="C21" s="15" t="str">
        <f t="shared" si="2"/>
        <v>.</v>
      </c>
      <c r="D21" s="15" t="str">
        <f>IFERROR((s_dir!D21/(d_ss_Bv!C21+s_MLF_apple)),".")</f>
        <v>.</v>
      </c>
      <c r="E21" s="15" t="str">
        <f>IFERROR((s_dir!E21/(d_ss_Bv!D21+s_MLF_asparagus)),".")</f>
        <v>.</v>
      </c>
      <c r="F21" s="15" t="str">
        <f>IFERROR((s_dir!F21/(d_ss_Bv!E21+s_MLF_beet)),".")</f>
        <v>.</v>
      </c>
      <c r="G21" s="15" t="str">
        <f>IFERROR((s_dir!G21/(d_ss_Bv!F21+s_MLF_berries)),".")</f>
        <v>.</v>
      </c>
      <c r="H21" s="15" t="str">
        <f>IFERROR((s_dir!H21/(d_ss_Bv!G21+s_MLF_broccoli)),".")</f>
        <v>.</v>
      </c>
      <c r="I21" s="15" t="str">
        <f>IFERROR((s_dir!I21/(d_ss_Bv!H21+s_MLF_cabbage)),".")</f>
        <v>.</v>
      </c>
      <c r="J21" s="15" t="str">
        <f>IFERROR((s_dir!J21/(d_ss_Bv!I21+s_MLF_carrot)),".")</f>
        <v>.</v>
      </c>
      <c r="K21" s="15" t="str">
        <f>IFERROR((s_dir!K21/(d_ss_Bv!J21+s_MLF_citrus)),".")</f>
        <v>.</v>
      </c>
      <c r="L21" s="15" t="str">
        <f>IFERROR((s_dir!L21/(d_ss_Bv!K21+s_MLF_corn)),".")</f>
        <v>.</v>
      </c>
      <c r="M21" s="15" t="str">
        <f>IFERROR((s_dir!M21/(d_ss_Bv!L21+s_MLF_cucumber)),".")</f>
        <v>.</v>
      </c>
      <c r="N21" s="15" t="str">
        <f>IFERROR((s_dir!N21/(d_ss_Bv!M21+s_MLF_lettuce)),".")</f>
        <v>.</v>
      </c>
      <c r="O21" s="15" t="str">
        <f>IFERROR((s_dir!O21/(d_ss_Bv!N21+s_MLF_lima_bean)),".")</f>
        <v>.</v>
      </c>
      <c r="P21" s="15" t="str">
        <f>IFERROR((s_dir!P21/(d_ss_Bv!O21+s_MLF_okra)),".")</f>
        <v>.</v>
      </c>
      <c r="Q21" s="15" t="str">
        <f>IFERROR((s_dir!Q21/(d_ss_Bv!P21+s_MLF_onion)),".")</f>
        <v>.</v>
      </c>
      <c r="R21" s="15" t="str">
        <f>IFERROR((s_dir!R21/(d_ss_Bv!Q21+s_MLF_peach)),".")</f>
        <v>.</v>
      </c>
      <c r="S21" s="15" t="str">
        <f>IFERROR((s_dir!S21/(d_ss_Bv!R21+s_MLF_pear)),".")</f>
        <v>.</v>
      </c>
      <c r="T21" s="15" t="str">
        <f>IFERROR((s_dir!T21/(d_ss_Bv!S21+s_MLF_peas)),".")</f>
        <v>.</v>
      </c>
      <c r="U21" s="15" t="str">
        <f>IFERROR((s_dir!U21/(d_ss_Bv!T21+s_MLF_potato)),".")</f>
        <v>.</v>
      </c>
      <c r="V21" s="15" t="str">
        <f>IFERROR((s_dir!V21/(d_ss_Bv!U21+s_MLF_pumpkin)),".")</f>
        <v>.</v>
      </c>
      <c r="W21" s="15" t="str">
        <f>IFERROR((s_dir!W21/(d_ss_Bv!V21+s_MLF_snap_bean)),".")</f>
        <v>.</v>
      </c>
      <c r="X21" s="15" t="str">
        <f>IFERROR((s_dir!X21/(d_ss_Bv!W21+s_MLF_strawberry)),".")</f>
        <v>.</v>
      </c>
      <c r="Y21" s="15" t="str">
        <f>IFERROR((s_dir!Y21/(d_ss_Bv!X21+s_MLF_tomato)),".")</f>
        <v>.</v>
      </c>
      <c r="Z21" s="15" t="str">
        <f>IFERROR((s_dir!Z21/(d_ss_Bv!Y21+s_MLF_rice)),".")</f>
        <v>.</v>
      </c>
      <c r="AA21" s="15" t="str">
        <f>IFERROR((s_dir!AA21/(d_ss_Bv!Z21+s_MLF_cereal)),".")</f>
        <v>.</v>
      </c>
      <c r="AB21" s="40">
        <f t="shared" si="3"/>
        <v>1029.05</v>
      </c>
      <c r="AC21" s="40">
        <f>s_C*(d_ss_Bv!C21+s_MLF_apple)*s_IFAP_res_adj*s_CF_apple</f>
        <v>188.37500000000003</v>
      </c>
      <c r="AD21" s="40">
        <f>s_C*(d_ss_Bv!D21+s_MLF_asparagus)*s_IFAS_res_adj*s_CF_asparagus</f>
        <v>287.375</v>
      </c>
      <c r="AE21" s="40">
        <f>s_C*(d_ss_Bv!E21+s_MLF_beet)*s_IFBT_res_adj*s_CF_beet</f>
        <v>265.37499999999994</v>
      </c>
      <c r="AF21" s="40">
        <f>s_C*(d_ss_Bv!F21+s_MLF_berries)*s_IFBE_res_adj*s_CF_berries</f>
        <v>188.37500000000003</v>
      </c>
      <c r="AG21" s="40">
        <f>s_C*(d_ss_Bv!G21+s_MLF_broccoli)*s_IFBR_res_adj*s_CF_broccoli</f>
        <v>188.37500000000003</v>
      </c>
      <c r="AH21" s="40">
        <f>s_C*(d_ss_Bv!H21+s_MLF_cabbage)*s_IFCB_res_adj*s_CF_cabbage</f>
        <v>287.375</v>
      </c>
      <c r="AI21" s="40">
        <f>s_C*(d_ss_Bv!I21+s_MLF_carrot)*s_IFCR_res_adj*s_CF_carrot</f>
        <v>265.37499999999994</v>
      </c>
      <c r="AJ21" s="40">
        <f>s_C*(d_ss_Bv!J21+s_MLF_citrus)*s_IFCI_res_adj*s_CF_citrus</f>
        <v>188.37500000000003</v>
      </c>
      <c r="AK21" s="40">
        <f>s_C*(d_ss_Bv!K21+s_MLF_corn)*s_IFCO_res_adj*s_CF_corn</f>
        <v>188.92499999999998</v>
      </c>
      <c r="AL21" s="40">
        <f>s_C*(d_ss_Bv!L21+s_MLF_cucumber)*s_IFCU_res_adj*s_CF_cucumber</f>
        <v>188.37500000000003</v>
      </c>
      <c r="AM21" s="40">
        <f>s_C*(d_ss_Bv!M21+s_MLF_lettuce)*s_IFLE_res_adj*s_CF_lettuce</f>
        <v>287.375</v>
      </c>
      <c r="AN21" s="40">
        <f>s_C*(d_ss_Bv!N21+s_MLF_lima_bean)*s_IFLI_res_adj*s_CF_lima_bean</f>
        <v>189.33749999999998</v>
      </c>
      <c r="AO21" s="40">
        <f>s_C*(d_ss_Bv!O21+s_MLF_okra)*s_IFOK_res_adj*s_CF_okra</f>
        <v>188.37500000000003</v>
      </c>
      <c r="AP21" s="40">
        <f>s_C*(d_ss_Bv!P21+s_MLF_onion)*s_IFON_res_adj*s_CF_onion</f>
        <v>188.37500000000003</v>
      </c>
      <c r="AQ21" s="40">
        <f>s_C*(d_ss_Bv!Q21+s_MLF_peach)*s_IFPC_res_adj*s_CF_peach</f>
        <v>188.37500000000003</v>
      </c>
      <c r="AR21" s="40">
        <f>s_C*(d_ss_Bv!R21+s_MLF_pear)*s_IFPR_res_adj*s_CF_pear</f>
        <v>188.37500000000003</v>
      </c>
      <c r="AS21" s="40">
        <f>s_C*(d_ss_Bv!S21+s_MLF_peas)*s_IFPE_res_adj*s_CF_peas</f>
        <v>189.33749999999998</v>
      </c>
      <c r="AT21" s="40">
        <f>s_C*(d_ss_Bv!T21+s_MLF_potato)*s_IFPT_res_adj*s_CF_potato</f>
        <v>222.74999999999997</v>
      </c>
      <c r="AU21" s="40">
        <f>s_C*(d_ss_Bv!U21+s_MLF_pumpkin)*s_IFPU_res_adj*s_CF_pumpkin</f>
        <v>188.37500000000003</v>
      </c>
      <c r="AV21" s="40">
        <f>s_C*(d_ss_Bv!V21+s_MLF_snap_bean)*s_IFSN_res_adj*s_CF_snap_bean</f>
        <v>189.33749999999998</v>
      </c>
      <c r="AW21" s="40">
        <f>s_C*(d_ss_Bv!W21+s_MLF_strawberry)*s_IFST_res_adj*s_CF_strawberry</f>
        <v>188.37500000000003</v>
      </c>
      <c r="AX21" s="40">
        <f>s_C*(d_ss_Bv!X21+s_MLF_tomato)*s_IFTO_res_adj*s_CF_tomato</f>
        <v>188.37500000000003</v>
      </c>
      <c r="AY21" s="40">
        <f>s_C*(d_ss_Bv!Y21+s_MLF_rice)*s_IFRI_res_adj*s_CF_rice</f>
        <v>364.375</v>
      </c>
      <c r="AZ21" s="40">
        <f>s_C*(d_ss_Bv!Z21+s_MLF_cereal)*s_IFCG_res_adj*s_CF_cereal</f>
        <v>188.92499999999998</v>
      </c>
      <c r="BA21" s="15" t="str">
        <f t="shared" si="4"/>
        <v>.</v>
      </c>
      <c r="BB21" s="15" t="str">
        <f>IFERROR((s_dir!AC21/(d_ss_Bv!C21+s_MLF_apple)),".")</f>
        <v>.</v>
      </c>
      <c r="BC21" s="15" t="str">
        <f>IFERROR((s_dir!AD21/(d_ss_Bv!D21+s_MLF_asparagus)),".")</f>
        <v>.</v>
      </c>
      <c r="BD21" s="15" t="str">
        <f>IFERROR((s_dir!AE21/(d_ss_Bv!E21+s_MLF_beet)),".")</f>
        <v>.</v>
      </c>
      <c r="BE21" s="15" t="str">
        <f>IFERROR((s_dir!AF21/(d_ss_Bv!F21+s_MLF_berries)),".")</f>
        <v>.</v>
      </c>
      <c r="BF21" s="15" t="str">
        <f>IFERROR((s_dir!AG21/(d_ss_Bv!G21+s_MLF_broccoli)),".")</f>
        <v>.</v>
      </c>
      <c r="BG21" s="15" t="str">
        <f>IFERROR((s_dir!AH21/(d_ss_Bv!H21+s_MLF_cabbage)),".")</f>
        <v>.</v>
      </c>
      <c r="BH21" s="15" t="str">
        <f>IFERROR((s_dir!AI21/(d_ss_Bv!I21+s_MLF_carrot)),".")</f>
        <v>.</v>
      </c>
      <c r="BI21" s="15" t="str">
        <f>IFERROR((s_dir!AJ21/(d_ss_Bv!J21+s_MLF_citrus)),".")</f>
        <v>.</v>
      </c>
      <c r="BJ21" s="15" t="str">
        <f>IFERROR((s_dir!AK21/(d_ss_Bv!K21+s_MLF_corn)),".")</f>
        <v>.</v>
      </c>
      <c r="BK21" s="15" t="str">
        <f>IFERROR((s_dir!AL21/(d_ss_Bv!L21+s_MLF_cucumber)),".")</f>
        <v>.</v>
      </c>
      <c r="BL21" s="15" t="str">
        <f>IFERROR((s_dir!AM21/(d_ss_Bv!M21+s_MLF_lettuce)),".")</f>
        <v>.</v>
      </c>
      <c r="BM21" s="15" t="str">
        <f>IFERROR((s_dir!AN21/(d_ss_Bv!N21+s_MLF_lima_bean)),".")</f>
        <v>.</v>
      </c>
      <c r="BN21" s="15" t="str">
        <f>IFERROR((s_dir!AO21/(d_ss_Bv!O21+s_MLF_okra)),".")</f>
        <v>.</v>
      </c>
      <c r="BO21" s="15" t="str">
        <f>IFERROR((s_dir!AP21/(d_ss_Bv!P21+s_MLF_onion)),".")</f>
        <v>.</v>
      </c>
      <c r="BP21" s="15" t="str">
        <f>IFERROR((s_dir!AQ21/(d_ss_Bv!Q21+s_MLF_peach)),".")</f>
        <v>.</v>
      </c>
      <c r="BQ21" s="15" t="str">
        <f>IFERROR((s_dir!AR21/(d_ss_Bv!R21+s_MLF_pear)),".")</f>
        <v>.</v>
      </c>
      <c r="BR21" s="15" t="str">
        <f>IFERROR((s_dir!AS21/(d_ss_Bv!S21+s_MLF_peas)),".")</f>
        <v>.</v>
      </c>
      <c r="BS21" s="15" t="str">
        <f>IFERROR((s_dir!AT21/(d_ss_Bv!T21+s_MLF_potato)),".")</f>
        <v>.</v>
      </c>
      <c r="BT21" s="15" t="str">
        <f>IFERROR((s_dir!AU21/(d_ss_Bv!U21+s_MLF_pumpkin)),".")</f>
        <v>.</v>
      </c>
      <c r="BU21" s="15" t="str">
        <f>IFERROR((s_dir!AV21/(d_ss_Bv!V21+s_MLF_snap_bean)),".")</f>
        <v>.</v>
      </c>
      <c r="BV21" s="15" t="str">
        <f>IFERROR((s_dir!AW21/(d_ss_Bv!W21+s_MLF_strawberry)),".")</f>
        <v>.</v>
      </c>
      <c r="BW21" s="15" t="str">
        <f>IFERROR((s_dir!AX21/(d_ss_Bv!X21+s_MLF_tomato)),".")</f>
        <v>.</v>
      </c>
      <c r="BX21" s="15" t="str">
        <f>IFERROR((s_dir!AY21/(d_ss_Bv!Y21+s_MLF_rice)),".")</f>
        <v>.</v>
      </c>
      <c r="BY21" s="15" t="str">
        <f>IFERROR((s_dir!AZ21/(d_ss_Bv!Z21+s_MLF_cereal)),".")</f>
        <v>.</v>
      </c>
      <c r="BZ21" s="40">
        <f t="shared" si="5"/>
        <v>1029.05</v>
      </c>
      <c r="CA21" s="40">
        <f>IFERROR(s_C*(d_ss_Bv!C21+s_MLF_apple)*s_IFAP_far_adj*s_CF_apple,".")</f>
        <v>188.37500000000003</v>
      </c>
      <c r="CB21" s="40">
        <f>IFERROR(s_C*(d_ss_Bv!D21+s_MLF_asparagus)*s_IFAS_far_adj*s_CF_asparagus,".")</f>
        <v>287.375</v>
      </c>
      <c r="CC21" s="40">
        <f>IFERROR(s_C*(d_ss_Bv!E21+s_MLF_beet)*s_IFBT_far_adj*s_CF_beet,".")</f>
        <v>265.37499999999994</v>
      </c>
      <c r="CD21" s="40">
        <f>IFERROR(s_C*(d_ss_Bv!F21+s_MLF_berries)*s_IFBR_far_adj*s_CF_berries,".")</f>
        <v>188.37500000000003</v>
      </c>
      <c r="CE21" s="40">
        <f>IFERROR(s_C*(d_ss_Bv!G21+s_MLF_broccoli)*s_IFBR_far_adj*s_CF_broccoli,".")</f>
        <v>188.37500000000003</v>
      </c>
      <c r="CF21" s="40">
        <f>IFERROR(s_C*(d_ss_Bv!H21+s_MLF_cabbage)*s_IFCB_far_adj*s_CF_cabbage,".")</f>
        <v>287.375</v>
      </c>
      <c r="CG21" s="40">
        <f>IFERROR(s_C*(d_ss_Bv!I21+s_MLF_carrot)*s_IFCR_far_adj*s_CF_carrot,".")</f>
        <v>265.37499999999994</v>
      </c>
      <c r="CH21" s="40">
        <f>IFERROR(s_C*(d_ss_Bv!J21+s_MLF_citrus)*s_IFCI_far_adj*s_CF_citrus,".")</f>
        <v>188.37500000000003</v>
      </c>
      <c r="CI21" s="40">
        <f>IFERROR(s_C*(d_ss_Bv!K21+s_MLF_corn)*s_IFCO_far_adj*s_CF_corn,".")</f>
        <v>188.92499999999998</v>
      </c>
      <c r="CJ21" s="40">
        <f>IFERROR(s_C*(d_ss_Bv!L21+s_MLF_cucumber)*s_IFCU_far_adj*s_CF_cucumber,".")</f>
        <v>188.37500000000003</v>
      </c>
      <c r="CK21" s="40">
        <f>IFERROR(s_C*(d_ss_Bv!M21+s_MLF_lettuce)*s_IFLE_far_adj*s_CF_lettuce,".")</f>
        <v>287.375</v>
      </c>
      <c r="CL21" s="40">
        <f>IFERROR(s_C*(d_ss_Bv!N21+s_MLF_lima_bean)*s_IFLI_far_adj*s_CF_lima_bean,".")</f>
        <v>189.33749999999998</v>
      </c>
      <c r="CM21" s="40">
        <f>IFERROR(s_C*(d_ss_Bv!O21+s_MLF_okra)*s_IFOK_far_adj*s_CF_okra,".")</f>
        <v>188.37500000000003</v>
      </c>
      <c r="CN21" s="40">
        <f>IFERROR(s_C*(d_ss_Bv!P21+s_MLF_onion)*s_IFON_far_adj*s_CF_onion,".")</f>
        <v>188.37500000000003</v>
      </c>
      <c r="CO21" s="40">
        <f>IFERROR(s_C*(d_ss_Bv!Q21+s_MLF_peach)*s_IFPC_far_adj*s_CF_peach,".")</f>
        <v>188.37500000000003</v>
      </c>
      <c r="CP21" s="40">
        <f>IFERROR(s_C*(d_ss_Bv!R21+s_MLF_pear)*s_IFPR_far_adj*s_CF_pear,".")</f>
        <v>188.37500000000003</v>
      </c>
      <c r="CQ21" s="40">
        <f>IFERROR(s_C*(d_ss_Bv!S21+s_MLF_peas)*s_IFPE_far_adj*s_CF_peas,".")</f>
        <v>189.33749999999998</v>
      </c>
      <c r="CR21" s="40">
        <f>IFERROR(s_C*(d_ss_Bv!T21+s_MLF_potato)*s_IFPT_far_adj*s_CF_potato,".")</f>
        <v>222.74999999999997</v>
      </c>
      <c r="CS21" s="40">
        <f>IFERROR(s_C*(d_ss_Bv!U21+s_MLF_pumpkin)*s_IFPU_far_adj*s_CF_pumpkin,".")</f>
        <v>188.37500000000003</v>
      </c>
      <c r="CT21" s="40">
        <f>IFERROR(s_C*(d_ss_Bv!V21+s_MLF_snap_bean)*s_IFSN_far_adj*s_CF_snap_bean,".")</f>
        <v>189.33749999999998</v>
      </c>
      <c r="CU21" s="40">
        <f>IFERROR(s_C*(d_ss_Bv!W21+s_MLF_strawberry)*s_IFST_far_adj*s_CF_strawberry,".")</f>
        <v>188.37500000000003</v>
      </c>
      <c r="CV21" s="40">
        <f>IFERROR(s_C*(d_ss_Bv!X21+s_MLF_tomato)*s_IFTO_far_adj*s_CF_tomato,".")</f>
        <v>188.37500000000003</v>
      </c>
      <c r="CW21" s="40">
        <f>IFERROR(s_C*(d_ss_Bv!Y21+s_MLF_rice)*s_IFRI_far_adj*s_CF_rice,".")</f>
        <v>364.375</v>
      </c>
      <c r="CX21" s="40">
        <f>IFERROR(s_C*(d_ss_Bv!Z21+s_MLF_cereal)*s_IFCG_far_adj*s_CF_cereal,".")</f>
        <v>188.92499999999998</v>
      </c>
    </row>
    <row r="22" spans="1:102" ht="15" customHeight="1" x14ac:dyDescent="0.25">
      <c r="A22" s="44" t="s">
        <v>32</v>
      </c>
      <c r="B22" s="42" t="s">
        <v>1074</v>
      </c>
      <c r="C22" s="15">
        <f t="shared" si="2"/>
        <v>13.699283503670253</v>
      </c>
      <c r="D22" s="15">
        <f>IFERROR((s_dir!D22/(d_ss_Bv!C22+s_MLF_apple)),".")</f>
        <v>100.77426124593516</v>
      </c>
      <c r="E22" s="15">
        <f>IFERROR((s_dir!E22/(d_ss_Bv!D22+s_MLF_asparagus)),".")</f>
        <v>22.662154442865805</v>
      </c>
      <c r="F22" s="15">
        <f>IFERROR((s_dir!F22/(d_ss_Bv!E22+s_MLF_beet)),".")</f>
        <v>28.361618434484747</v>
      </c>
      <c r="G22" s="15">
        <f>IFERROR((s_dir!G22/(d_ss_Bv!F22+s_MLF_berries)),".")</f>
        <v>100.77426124593516</v>
      </c>
      <c r="H22" s="15">
        <f>IFERROR((s_dir!H22/(d_ss_Bv!G22+s_MLF_broccoli)),".")</f>
        <v>77.645742271458246</v>
      </c>
      <c r="I22" s="15">
        <f>IFERROR((s_dir!I22/(d_ss_Bv!H22+s_MLF_cabbage)),".")</f>
        <v>22.662154442865805</v>
      </c>
      <c r="J22" s="15">
        <f>IFERROR((s_dir!J22/(d_ss_Bv!I22+s_MLF_carrot)),".")</f>
        <v>28.361618434484747</v>
      </c>
      <c r="K22" s="15">
        <f>IFERROR((s_dir!K22/(d_ss_Bv!J22+s_MLF_citrus)),".")</f>
        <v>100.77426124593516</v>
      </c>
      <c r="L22" s="15">
        <f>IFERROR((s_dir!L22/(d_ss_Bv!K22+s_MLF_corn)),".")</f>
        <v>148.94309052072177</v>
      </c>
      <c r="M22" s="15">
        <f>IFERROR((s_dir!M22/(d_ss_Bv!L22+s_MLF_cucumber)),".")</f>
        <v>77.645742271458246</v>
      </c>
      <c r="N22" s="15">
        <f>IFERROR((s_dir!N22/(d_ss_Bv!M22+s_MLF_lettuce)),".")</f>
        <v>22.662154442865805</v>
      </c>
      <c r="O22" s="15">
        <f>IFERROR((s_dir!O22/(d_ss_Bv!N22+s_MLF_lima_bean)),".")</f>
        <v>86.116186882890048</v>
      </c>
      <c r="P22" s="15">
        <f>IFERROR((s_dir!P22/(d_ss_Bv!O22+s_MLF_okra)),".")</f>
        <v>77.645742271458246</v>
      </c>
      <c r="Q22" s="15">
        <f>IFERROR((s_dir!Q22/(d_ss_Bv!P22+s_MLF_onion)),".")</f>
        <v>77.645742271458246</v>
      </c>
      <c r="R22" s="15">
        <f>IFERROR((s_dir!R22/(d_ss_Bv!Q22+s_MLF_peach)),".")</f>
        <v>100.77426124593516</v>
      </c>
      <c r="S22" s="15">
        <f>IFERROR((s_dir!S22/(d_ss_Bv!R22+s_MLF_pear)),".")</f>
        <v>100.77426124593516</v>
      </c>
      <c r="T22" s="15">
        <f>IFERROR((s_dir!T22/(d_ss_Bv!S22+s_MLF_peas)),".")</f>
        <v>86.116186882890048</v>
      </c>
      <c r="U22" s="15">
        <f>IFERROR((s_dir!U22/(d_ss_Bv!T22+s_MLF_potato)),".")</f>
        <v>96.661026093039851</v>
      </c>
      <c r="V22" s="15">
        <f>IFERROR((s_dir!V22/(d_ss_Bv!U22+s_MLF_pumpkin)),".")</f>
        <v>77.645742271458246</v>
      </c>
      <c r="W22" s="15">
        <f>IFERROR((s_dir!W22/(d_ss_Bv!V22+s_MLF_snap_bean)),".")</f>
        <v>86.116186882890048</v>
      </c>
      <c r="X22" s="15">
        <f>IFERROR((s_dir!X22/(d_ss_Bv!W22+s_MLF_strawberry)),".")</f>
        <v>100.77426124593516</v>
      </c>
      <c r="Y22" s="15">
        <f>IFERROR((s_dir!Y22/(d_ss_Bv!X22+s_MLF_tomato)),".")</f>
        <v>77.645742271458246</v>
      </c>
      <c r="Z22" s="15">
        <f>IFERROR((s_dir!Z22/(d_ss_Bv!Y22+s_MLF_rice)),".")</f>
        <v>164.80133189140409</v>
      </c>
      <c r="AA22" s="15">
        <f>IFERROR((s_dir!AA22/(d_ss_Bv!Z22+s_MLF_cereal)),".")</f>
        <v>77.645742271458246</v>
      </c>
      <c r="AB22" s="40">
        <f t="shared" si="3"/>
        <v>2376.9625000000001</v>
      </c>
      <c r="AC22" s="40">
        <f>s_C*(d_ss_Bv!C22+s_MLF_apple)*s_IFAP_res_adj*s_CF_apple</f>
        <v>323.125</v>
      </c>
      <c r="AD22" s="40">
        <f>s_C*(d_ss_Bv!D22+s_MLF_asparagus)*s_IFAS_res_adj*s_CF_asparagus</f>
        <v>1436.875</v>
      </c>
      <c r="AE22" s="40">
        <f>s_C*(d_ss_Bv!E22+s_MLF_beet)*s_IFBT_res_adj*s_CF_beet</f>
        <v>1148.125</v>
      </c>
      <c r="AF22" s="40">
        <f>s_C*(d_ss_Bv!F22+s_MLF_berries)*s_IFBE_res_adj*s_CF_berries</f>
        <v>323.125</v>
      </c>
      <c r="AG22" s="40">
        <f>s_C*(d_ss_Bv!G22+s_MLF_broccoli)*s_IFBR_res_adj*s_CF_broccoli</f>
        <v>419.375</v>
      </c>
      <c r="AH22" s="40">
        <f>s_C*(d_ss_Bv!H22+s_MLF_cabbage)*s_IFCB_res_adj*s_CF_cabbage</f>
        <v>1436.875</v>
      </c>
      <c r="AI22" s="40">
        <f>s_C*(d_ss_Bv!I22+s_MLF_carrot)*s_IFCR_res_adj*s_CF_carrot</f>
        <v>1148.125</v>
      </c>
      <c r="AJ22" s="40">
        <f>s_C*(d_ss_Bv!J22+s_MLF_citrus)*s_IFCI_res_adj*s_CF_citrus</f>
        <v>323.125</v>
      </c>
      <c r="AK22" s="40">
        <f>s_C*(d_ss_Bv!K22+s_MLF_corn)*s_IFCO_res_adj*s_CF_corn</f>
        <v>218.625</v>
      </c>
      <c r="AL22" s="40">
        <f>s_C*(d_ss_Bv!L22+s_MLF_cucumber)*s_IFCU_res_adj*s_CF_cucumber</f>
        <v>419.375</v>
      </c>
      <c r="AM22" s="40">
        <f>s_C*(d_ss_Bv!M22+s_MLF_lettuce)*s_IFLE_res_adj*s_CF_lettuce</f>
        <v>1436.875</v>
      </c>
      <c r="AN22" s="40">
        <f>s_C*(d_ss_Bv!N22+s_MLF_lima_bean)*s_IFLI_res_adj*s_CF_lima_bean</f>
        <v>378.12500000000006</v>
      </c>
      <c r="AO22" s="40">
        <f>s_C*(d_ss_Bv!O22+s_MLF_okra)*s_IFOK_res_adj*s_CF_okra</f>
        <v>419.375</v>
      </c>
      <c r="AP22" s="40">
        <f>s_C*(d_ss_Bv!P22+s_MLF_onion)*s_IFON_res_adj*s_CF_onion</f>
        <v>419.375</v>
      </c>
      <c r="AQ22" s="40">
        <f>s_C*(d_ss_Bv!Q22+s_MLF_peach)*s_IFPC_res_adj*s_CF_peach</f>
        <v>323.125</v>
      </c>
      <c r="AR22" s="40">
        <f>s_C*(d_ss_Bv!R22+s_MLF_pear)*s_IFPR_res_adj*s_CF_pear</f>
        <v>323.125</v>
      </c>
      <c r="AS22" s="40">
        <f>s_C*(d_ss_Bv!S22+s_MLF_peas)*s_IFPE_res_adj*s_CF_peas</f>
        <v>378.12500000000006</v>
      </c>
      <c r="AT22" s="40">
        <f>s_C*(d_ss_Bv!T22+s_MLF_potato)*s_IFPT_res_adj*s_CF_potato</f>
        <v>336.875</v>
      </c>
      <c r="AU22" s="40">
        <f>s_C*(d_ss_Bv!U22+s_MLF_pumpkin)*s_IFPU_res_adj*s_CF_pumpkin</f>
        <v>419.375</v>
      </c>
      <c r="AV22" s="40">
        <f>s_C*(d_ss_Bv!V22+s_MLF_snap_bean)*s_IFSN_res_adj*s_CF_snap_bean</f>
        <v>378.12500000000006</v>
      </c>
      <c r="AW22" s="40">
        <f>s_C*(d_ss_Bv!W22+s_MLF_strawberry)*s_IFST_res_adj*s_CF_strawberry</f>
        <v>323.125</v>
      </c>
      <c r="AX22" s="40">
        <f>s_C*(d_ss_Bv!X22+s_MLF_tomato)*s_IFTO_res_adj*s_CF_tomato</f>
        <v>419.375</v>
      </c>
      <c r="AY22" s="40">
        <f>s_C*(d_ss_Bv!Y22+s_MLF_rice)*s_IFRI_res_adj*s_CF_rice</f>
        <v>197.58750000000001</v>
      </c>
      <c r="AZ22" s="40">
        <f>s_C*(d_ss_Bv!Z22+s_MLF_cereal)*s_IFCG_res_adj*s_CF_cereal</f>
        <v>419.375</v>
      </c>
      <c r="BA22" s="15">
        <f t="shared" si="4"/>
        <v>13.699283503670253</v>
      </c>
      <c r="BB22" s="15">
        <f>IFERROR((s_dir!AC22/(d_ss_Bv!C22+s_MLF_apple)),".")</f>
        <v>100.77426124593516</v>
      </c>
      <c r="BC22" s="15">
        <f>IFERROR((s_dir!AD22/(d_ss_Bv!D22+s_MLF_asparagus)),".")</f>
        <v>22.662154442865805</v>
      </c>
      <c r="BD22" s="15">
        <f>IFERROR((s_dir!AE22/(d_ss_Bv!E22+s_MLF_beet)),".")</f>
        <v>28.361618434484747</v>
      </c>
      <c r="BE22" s="15">
        <f>IFERROR((s_dir!AF22/(d_ss_Bv!F22+s_MLF_berries)),".")</f>
        <v>100.77426124593516</v>
      </c>
      <c r="BF22" s="15">
        <f>IFERROR((s_dir!AG22/(d_ss_Bv!G22+s_MLF_broccoli)),".")</f>
        <v>77.645742271458246</v>
      </c>
      <c r="BG22" s="15">
        <f>IFERROR((s_dir!AH22/(d_ss_Bv!H22+s_MLF_cabbage)),".")</f>
        <v>22.662154442865805</v>
      </c>
      <c r="BH22" s="15">
        <f>IFERROR((s_dir!AI22/(d_ss_Bv!I22+s_MLF_carrot)),".")</f>
        <v>28.361618434484747</v>
      </c>
      <c r="BI22" s="15">
        <f>IFERROR((s_dir!AJ22/(d_ss_Bv!J22+s_MLF_citrus)),".")</f>
        <v>100.77426124593516</v>
      </c>
      <c r="BJ22" s="15">
        <f>IFERROR((s_dir!AK22/(d_ss_Bv!K22+s_MLF_corn)),".")</f>
        <v>148.94309052072177</v>
      </c>
      <c r="BK22" s="15">
        <f>IFERROR((s_dir!AL22/(d_ss_Bv!L22+s_MLF_cucumber)),".")</f>
        <v>77.645742271458246</v>
      </c>
      <c r="BL22" s="15">
        <f>IFERROR((s_dir!AM22/(d_ss_Bv!M22+s_MLF_lettuce)),".")</f>
        <v>22.662154442865805</v>
      </c>
      <c r="BM22" s="15">
        <f>IFERROR((s_dir!AN22/(d_ss_Bv!N22+s_MLF_lima_bean)),".")</f>
        <v>86.116186882890048</v>
      </c>
      <c r="BN22" s="15">
        <f>IFERROR((s_dir!AO22/(d_ss_Bv!O22+s_MLF_okra)),".")</f>
        <v>77.645742271458246</v>
      </c>
      <c r="BO22" s="15">
        <f>IFERROR((s_dir!AP22/(d_ss_Bv!P22+s_MLF_onion)),".")</f>
        <v>77.645742271458246</v>
      </c>
      <c r="BP22" s="15">
        <f>IFERROR((s_dir!AQ22/(d_ss_Bv!Q22+s_MLF_peach)),".")</f>
        <v>100.77426124593516</v>
      </c>
      <c r="BQ22" s="15">
        <f>IFERROR((s_dir!AR22/(d_ss_Bv!R22+s_MLF_pear)),".")</f>
        <v>100.77426124593516</v>
      </c>
      <c r="BR22" s="15">
        <f>IFERROR((s_dir!AS22/(d_ss_Bv!S22+s_MLF_peas)),".")</f>
        <v>86.116186882890048</v>
      </c>
      <c r="BS22" s="15">
        <f>IFERROR((s_dir!AT22/(d_ss_Bv!T22+s_MLF_potato)),".")</f>
        <v>96.661026093039851</v>
      </c>
      <c r="BT22" s="15">
        <f>IFERROR((s_dir!AU22/(d_ss_Bv!U22+s_MLF_pumpkin)),".")</f>
        <v>77.645742271458246</v>
      </c>
      <c r="BU22" s="15">
        <f>IFERROR((s_dir!AV22/(d_ss_Bv!V22+s_MLF_snap_bean)),".")</f>
        <v>86.116186882890048</v>
      </c>
      <c r="BV22" s="15">
        <f>IFERROR((s_dir!AW22/(d_ss_Bv!W22+s_MLF_strawberry)),".")</f>
        <v>100.77426124593516</v>
      </c>
      <c r="BW22" s="15">
        <f>IFERROR((s_dir!AX22/(d_ss_Bv!X22+s_MLF_tomato)),".")</f>
        <v>77.645742271458246</v>
      </c>
      <c r="BX22" s="15">
        <f>IFERROR((s_dir!AY22/(d_ss_Bv!Y22+s_MLF_rice)),".")</f>
        <v>164.80133189140409</v>
      </c>
      <c r="BY22" s="15">
        <f>IFERROR((s_dir!AZ22/(d_ss_Bv!Z22+s_MLF_cereal)),".")</f>
        <v>77.645742271458246</v>
      </c>
      <c r="BZ22" s="40">
        <f t="shared" si="5"/>
        <v>2376.9625000000001</v>
      </c>
      <c r="CA22" s="40">
        <f>IFERROR(s_C*(d_ss_Bv!C22+s_MLF_apple)*s_IFAP_far_adj*s_CF_apple,".")</f>
        <v>323.125</v>
      </c>
      <c r="CB22" s="40">
        <f>IFERROR(s_C*(d_ss_Bv!D22+s_MLF_asparagus)*s_IFAS_far_adj*s_CF_asparagus,".")</f>
        <v>1436.875</v>
      </c>
      <c r="CC22" s="40">
        <f>IFERROR(s_C*(d_ss_Bv!E22+s_MLF_beet)*s_IFBT_far_adj*s_CF_beet,".")</f>
        <v>1148.125</v>
      </c>
      <c r="CD22" s="40">
        <f>IFERROR(s_C*(d_ss_Bv!F22+s_MLF_berries)*s_IFBR_far_adj*s_CF_berries,".")</f>
        <v>323.125</v>
      </c>
      <c r="CE22" s="40">
        <f>IFERROR(s_C*(d_ss_Bv!G22+s_MLF_broccoli)*s_IFBR_far_adj*s_CF_broccoli,".")</f>
        <v>419.375</v>
      </c>
      <c r="CF22" s="40">
        <f>IFERROR(s_C*(d_ss_Bv!H22+s_MLF_cabbage)*s_IFCB_far_adj*s_CF_cabbage,".")</f>
        <v>1436.875</v>
      </c>
      <c r="CG22" s="40">
        <f>IFERROR(s_C*(d_ss_Bv!I22+s_MLF_carrot)*s_IFCR_far_adj*s_CF_carrot,".")</f>
        <v>1148.125</v>
      </c>
      <c r="CH22" s="40">
        <f>IFERROR(s_C*(d_ss_Bv!J22+s_MLF_citrus)*s_IFCI_far_adj*s_CF_citrus,".")</f>
        <v>323.125</v>
      </c>
      <c r="CI22" s="40">
        <f>IFERROR(s_C*(d_ss_Bv!K22+s_MLF_corn)*s_IFCO_far_adj*s_CF_corn,".")</f>
        <v>218.625</v>
      </c>
      <c r="CJ22" s="40">
        <f>IFERROR(s_C*(d_ss_Bv!L22+s_MLF_cucumber)*s_IFCU_far_adj*s_CF_cucumber,".")</f>
        <v>419.375</v>
      </c>
      <c r="CK22" s="40">
        <f>IFERROR(s_C*(d_ss_Bv!M22+s_MLF_lettuce)*s_IFLE_far_adj*s_CF_lettuce,".")</f>
        <v>1436.875</v>
      </c>
      <c r="CL22" s="40">
        <f>IFERROR(s_C*(d_ss_Bv!N22+s_MLF_lima_bean)*s_IFLI_far_adj*s_CF_lima_bean,".")</f>
        <v>378.12500000000006</v>
      </c>
      <c r="CM22" s="40">
        <f>IFERROR(s_C*(d_ss_Bv!O22+s_MLF_okra)*s_IFOK_far_adj*s_CF_okra,".")</f>
        <v>419.375</v>
      </c>
      <c r="CN22" s="40">
        <f>IFERROR(s_C*(d_ss_Bv!P22+s_MLF_onion)*s_IFON_far_adj*s_CF_onion,".")</f>
        <v>419.375</v>
      </c>
      <c r="CO22" s="40">
        <f>IFERROR(s_C*(d_ss_Bv!Q22+s_MLF_peach)*s_IFPC_far_adj*s_CF_peach,".")</f>
        <v>323.125</v>
      </c>
      <c r="CP22" s="40">
        <f>IFERROR(s_C*(d_ss_Bv!R22+s_MLF_pear)*s_IFPR_far_adj*s_CF_pear,".")</f>
        <v>323.125</v>
      </c>
      <c r="CQ22" s="40">
        <f>IFERROR(s_C*(d_ss_Bv!S22+s_MLF_peas)*s_IFPE_far_adj*s_CF_peas,".")</f>
        <v>378.12500000000006</v>
      </c>
      <c r="CR22" s="40">
        <f>IFERROR(s_C*(d_ss_Bv!T22+s_MLF_potato)*s_IFPT_far_adj*s_CF_potato,".")</f>
        <v>336.875</v>
      </c>
      <c r="CS22" s="40">
        <f>IFERROR(s_C*(d_ss_Bv!U22+s_MLF_pumpkin)*s_IFPU_far_adj*s_CF_pumpkin,".")</f>
        <v>419.375</v>
      </c>
      <c r="CT22" s="40">
        <f>IFERROR(s_C*(d_ss_Bv!V22+s_MLF_snap_bean)*s_IFSN_far_adj*s_CF_snap_bean,".")</f>
        <v>378.12500000000006</v>
      </c>
      <c r="CU22" s="40">
        <f>IFERROR(s_C*(d_ss_Bv!W22+s_MLF_strawberry)*s_IFST_far_adj*s_CF_strawberry,".")</f>
        <v>323.125</v>
      </c>
      <c r="CV22" s="40">
        <f>IFERROR(s_C*(d_ss_Bv!X22+s_MLF_tomato)*s_IFTO_far_adj*s_CF_tomato,".")</f>
        <v>419.375</v>
      </c>
      <c r="CW22" s="40">
        <f>IFERROR(s_C*(d_ss_Bv!Y22+s_MLF_rice)*s_IFRI_far_adj*s_CF_rice,".")</f>
        <v>197.58750000000001</v>
      </c>
      <c r="CX22" s="40">
        <f>IFERROR(s_C*(d_ss_Bv!Z22+s_MLF_cereal)*s_IFCG_far_adj*s_CF_cereal,".")</f>
        <v>419.375</v>
      </c>
    </row>
    <row r="23" spans="1:102" x14ac:dyDescent="0.25">
      <c r="A23" s="46" t="s">
        <v>33</v>
      </c>
      <c r="B23" s="42" t="s">
        <v>351</v>
      </c>
      <c r="C23" s="15">
        <f t="shared" si="2"/>
        <v>4.0900738518152195</v>
      </c>
      <c r="D23" s="15">
        <f>IFERROR((s_dir!D23/(d_ss_Bv!C23+s_MLF_apple)),".")</f>
        <v>30.087279436736043</v>
      </c>
      <c r="E23" s="15">
        <f>IFERROR((s_dir!E23/(d_ss_Bv!D23+s_MLF_asparagus)),".")</f>
        <v>6.7660389163951864</v>
      </c>
      <c r="F23" s="15">
        <f>IFERROR((s_dir!F23/(d_ss_Bv!E23+s_MLF_beet)),".")</f>
        <v>8.4676774462670288</v>
      </c>
      <c r="G23" s="15">
        <f>IFERROR((s_dir!G23/(d_ss_Bv!F23+s_MLF_berries)),".")</f>
        <v>30.087279436736043</v>
      </c>
      <c r="H23" s="15">
        <f>IFERROR((s_dir!H23/(d_ss_Bv!G23+s_MLF_broccoli)),".")</f>
        <v>23.182002188960556</v>
      </c>
      <c r="I23" s="15">
        <f>IFERROR((s_dir!I23/(d_ss_Bv!H23+s_MLF_cabbage)),".")</f>
        <v>6.7660389163951864</v>
      </c>
      <c r="J23" s="15">
        <f>IFERROR((s_dir!J23/(d_ss_Bv!I23+s_MLF_carrot)),".")</f>
        <v>8.4676774462670288</v>
      </c>
      <c r="K23" s="15">
        <f>IFERROR((s_dir!K23/(d_ss_Bv!J23+s_MLF_citrus)),".")</f>
        <v>30.087279436736043</v>
      </c>
      <c r="L23" s="15">
        <f>IFERROR((s_dir!L23/(d_ss_Bv!K23+s_MLF_corn)),".")</f>
        <v>44.46862055115075</v>
      </c>
      <c r="M23" s="15">
        <f>IFERROR((s_dir!M23/(d_ss_Bv!L23+s_MLF_cucumber)),".")</f>
        <v>23.182002188960556</v>
      </c>
      <c r="N23" s="15">
        <f>IFERROR((s_dir!N23/(d_ss_Bv!M23+s_MLF_lettuce)),".")</f>
        <v>6.7660389163951864</v>
      </c>
      <c r="O23" s="15">
        <f>IFERROR((s_dir!O23/(d_ss_Bv!N23+s_MLF_lima_bean)),".")</f>
        <v>25.71094788230171</v>
      </c>
      <c r="P23" s="15">
        <f>IFERROR((s_dir!P23/(d_ss_Bv!O23+s_MLF_okra)),".")</f>
        <v>23.182002188960556</v>
      </c>
      <c r="Q23" s="15">
        <f>IFERROR((s_dir!Q23/(d_ss_Bv!P23+s_MLF_onion)),".")</f>
        <v>23.182002188960556</v>
      </c>
      <c r="R23" s="15">
        <f>IFERROR((s_dir!R23/(d_ss_Bv!Q23+s_MLF_peach)),".")</f>
        <v>30.087279436736043</v>
      </c>
      <c r="S23" s="15">
        <f>IFERROR((s_dir!S23/(d_ss_Bv!R23+s_MLF_pear)),".")</f>
        <v>30.087279436736043</v>
      </c>
      <c r="T23" s="15">
        <f>IFERROR((s_dir!T23/(d_ss_Bv!S23+s_MLF_peas)),".")</f>
        <v>25.71094788230171</v>
      </c>
      <c r="U23" s="15">
        <f>IFERROR((s_dir!U23/(d_ss_Bv!T23+s_MLF_potato)),".")</f>
        <v>28.859227214828447</v>
      </c>
      <c r="V23" s="15">
        <f>IFERROR((s_dir!V23/(d_ss_Bv!U23+s_MLF_pumpkin)),".")</f>
        <v>23.182002188960556</v>
      </c>
      <c r="W23" s="15">
        <f>IFERROR((s_dir!W23/(d_ss_Bv!V23+s_MLF_snap_bean)),".")</f>
        <v>25.71094788230171</v>
      </c>
      <c r="X23" s="15">
        <f>IFERROR((s_dir!X23/(d_ss_Bv!W23+s_MLF_strawberry)),".")</f>
        <v>30.087279436736043</v>
      </c>
      <c r="Y23" s="15">
        <f>IFERROR((s_dir!Y23/(d_ss_Bv!X23+s_MLF_tomato)),".")</f>
        <v>23.182002188960556</v>
      </c>
      <c r="Z23" s="15">
        <f>IFERROR((s_dir!Z23/(d_ss_Bv!Y23+s_MLF_rice)),".")</f>
        <v>49.203275348872445</v>
      </c>
      <c r="AA23" s="15">
        <f>IFERROR((s_dir!AA23/(d_ss_Bv!Z23+s_MLF_cereal)),".")</f>
        <v>23.182002188960556</v>
      </c>
      <c r="AB23" s="40">
        <f t="shared" si="3"/>
        <v>2376.9625000000001</v>
      </c>
      <c r="AC23" s="40">
        <f>s_C*(d_ss_Bv!C23+s_MLF_apple)*s_IFAP_res_adj*s_CF_apple</f>
        <v>323.125</v>
      </c>
      <c r="AD23" s="40">
        <f>s_C*(d_ss_Bv!D23+s_MLF_asparagus)*s_IFAS_res_adj*s_CF_asparagus</f>
        <v>1436.875</v>
      </c>
      <c r="AE23" s="40">
        <f>s_C*(d_ss_Bv!E23+s_MLF_beet)*s_IFBT_res_adj*s_CF_beet</f>
        <v>1148.125</v>
      </c>
      <c r="AF23" s="40">
        <f>s_C*(d_ss_Bv!F23+s_MLF_berries)*s_IFBE_res_adj*s_CF_berries</f>
        <v>323.125</v>
      </c>
      <c r="AG23" s="40">
        <f>s_C*(d_ss_Bv!G23+s_MLF_broccoli)*s_IFBR_res_adj*s_CF_broccoli</f>
        <v>419.375</v>
      </c>
      <c r="AH23" s="40">
        <f>s_C*(d_ss_Bv!H23+s_MLF_cabbage)*s_IFCB_res_adj*s_CF_cabbage</f>
        <v>1436.875</v>
      </c>
      <c r="AI23" s="40">
        <f>s_C*(d_ss_Bv!I23+s_MLF_carrot)*s_IFCR_res_adj*s_CF_carrot</f>
        <v>1148.125</v>
      </c>
      <c r="AJ23" s="40">
        <f>s_C*(d_ss_Bv!J23+s_MLF_citrus)*s_IFCI_res_adj*s_CF_citrus</f>
        <v>323.125</v>
      </c>
      <c r="AK23" s="40">
        <f>s_C*(d_ss_Bv!K23+s_MLF_corn)*s_IFCO_res_adj*s_CF_corn</f>
        <v>218.625</v>
      </c>
      <c r="AL23" s="40">
        <f>s_C*(d_ss_Bv!L23+s_MLF_cucumber)*s_IFCU_res_adj*s_CF_cucumber</f>
        <v>419.375</v>
      </c>
      <c r="AM23" s="40">
        <f>s_C*(d_ss_Bv!M23+s_MLF_lettuce)*s_IFLE_res_adj*s_CF_lettuce</f>
        <v>1436.875</v>
      </c>
      <c r="AN23" s="40">
        <f>s_C*(d_ss_Bv!N23+s_MLF_lima_bean)*s_IFLI_res_adj*s_CF_lima_bean</f>
        <v>378.12500000000006</v>
      </c>
      <c r="AO23" s="40">
        <f>s_C*(d_ss_Bv!O23+s_MLF_okra)*s_IFOK_res_adj*s_CF_okra</f>
        <v>419.375</v>
      </c>
      <c r="AP23" s="40">
        <f>s_C*(d_ss_Bv!P23+s_MLF_onion)*s_IFON_res_adj*s_CF_onion</f>
        <v>419.375</v>
      </c>
      <c r="AQ23" s="40">
        <f>s_C*(d_ss_Bv!Q23+s_MLF_peach)*s_IFPC_res_adj*s_CF_peach</f>
        <v>323.125</v>
      </c>
      <c r="AR23" s="40">
        <f>s_C*(d_ss_Bv!R23+s_MLF_pear)*s_IFPR_res_adj*s_CF_pear</f>
        <v>323.125</v>
      </c>
      <c r="AS23" s="40">
        <f>s_C*(d_ss_Bv!S23+s_MLF_peas)*s_IFPE_res_adj*s_CF_peas</f>
        <v>378.12500000000006</v>
      </c>
      <c r="AT23" s="40">
        <f>s_C*(d_ss_Bv!T23+s_MLF_potato)*s_IFPT_res_adj*s_CF_potato</f>
        <v>336.875</v>
      </c>
      <c r="AU23" s="40">
        <f>s_C*(d_ss_Bv!U23+s_MLF_pumpkin)*s_IFPU_res_adj*s_CF_pumpkin</f>
        <v>419.375</v>
      </c>
      <c r="AV23" s="40">
        <f>s_C*(d_ss_Bv!V23+s_MLF_snap_bean)*s_IFSN_res_adj*s_CF_snap_bean</f>
        <v>378.12500000000006</v>
      </c>
      <c r="AW23" s="40">
        <f>s_C*(d_ss_Bv!W23+s_MLF_strawberry)*s_IFST_res_adj*s_CF_strawberry</f>
        <v>323.125</v>
      </c>
      <c r="AX23" s="40">
        <f>s_C*(d_ss_Bv!X23+s_MLF_tomato)*s_IFTO_res_adj*s_CF_tomato</f>
        <v>419.375</v>
      </c>
      <c r="AY23" s="40">
        <f>s_C*(d_ss_Bv!Y23+s_MLF_rice)*s_IFRI_res_adj*s_CF_rice</f>
        <v>197.58750000000001</v>
      </c>
      <c r="AZ23" s="40">
        <f>s_C*(d_ss_Bv!Z23+s_MLF_cereal)*s_IFCG_res_adj*s_CF_cereal</f>
        <v>419.375</v>
      </c>
      <c r="BA23" s="15">
        <f t="shared" si="4"/>
        <v>4.0900738518152195</v>
      </c>
      <c r="BB23" s="15">
        <f>IFERROR((s_dir!AC23/(d_ss_Bv!C23+s_MLF_apple)),".")</f>
        <v>30.087279436736043</v>
      </c>
      <c r="BC23" s="15">
        <f>IFERROR((s_dir!AD23/(d_ss_Bv!D23+s_MLF_asparagus)),".")</f>
        <v>6.7660389163951864</v>
      </c>
      <c r="BD23" s="15">
        <f>IFERROR((s_dir!AE23/(d_ss_Bv!E23+s_MLF_beet)),".")</f>
        <v>8.4676774462670288</v>
      </c>
      <c r="BE23" s="15">
        <f>IFERROR((s_dir!AF23/(d_ss_Bv!F23+s_MLF_berries)),".")</f>
        <v>30.087279436736043</v>
      </c>
      <c r="BF23" s="15">
        <f>IFERROR((s_dir!AG23/(d_ss_Bv!G23+s_MLF_broccoli)),".")</f>
        <v>23.182002188960556</v>
      </c>
      <c r="BG23" s="15">
        <f>IFERROR((s_dir!AH23/(d_ss_Bv!H23+s_MLF_cabbage)),".")</f>
        <v>6.7660389163951864</v>
      </c>
      <c r="BH23" s="15">
        <f>IFERROR((s_dir!AI23/(d_ss_Bv!I23+s_MLF_carrot)),".")</f>
        <v>8.4676774462670288</v>
      </c>
      <c r="BI23" s="15">
        <f>IFERROR((s_dir!AJ23/(d_ss_Bv!J23+s_MLF_citrus)),".")</f>
        <v>30.087279436736043</v>
      </c>
      <c r="BJ23" s="15">
        <f>IFERROR((s_dir!AK23/(d_ss_Bv!K23+s_MLF_corn)),".")</f>
        <v>44.46862055115075</v>
      </c>
      <c r="BK23" s="15">
        <f>IFERROR((s_dir!AL23/(d_ss_Bv!L23+s_MLF_cucumber)),".")</f>
        <v>23.182002188960556</v>
      </c>
      <c r="BL23" s="15">
        <f>IFERROR((s_dir!AM23/(d_ss_Bv!M23+s_MLF_lettuce)),".")</f>
        <v>6.7660389163951864</v>
      </c>
      <c r="BM23" s="15">
        <f>IFERROR((s_dir!AN23/(d_ss_Bv!N23+s_MLF_lima_bean)),".")</f>
        <v>25.71094788230171</v>
      </c>
      <c r="BN23" s="15">
        <f>IFERROR((s_dir!AO23/(d_ss_Bv!O23+s_MLF_okra)),".")</f>
        <v>23.182002188960556</v>
      </c>
      <c r="BO23" s="15">
        <f>IFERROR((s_dir!AP23/(d_ss_Bv!P23+s_MLF_onion)),".")</f>
        <v>23.182002188960556</v>
      </c>
      <c r="BP23" s="15">
        <f>IFERROR((s_dir!AQ23/(d_ss_Bv!Q23+s_MLF_peach)),".")</f>
        <v>30.087279436736043</v>
      </c>
      <c r="BQ23" s="15">
        <f>IFERROR((s_dir!AR23/(d_ss_Bv!R23+s_MLF_pear)),".")</f>
        <v>30.087279436736043</v>
      </c>
      <c r="BR23" s="15">
        <f>IFERROR((s_dir!AS23/(d_ss_Bv!S23+s_MLF_peas)),".")</f>
        <v>25.71094788230171</v>
      </c>
      <c r="BS23" s="15">
        <f>IFERROR((s_dir!AT23/(d_ss_Bv!T23+s_MLF_potato)),".")</f>
        <v>28.859227214828447</v>
      </c>
      <c r="BT23" s="15">
        <f>IFERROR((s_dir!AU23/(d_ss_Bv!U23+s_MLF_pumpkin)),".")</f>
        <v>23.182002188960556</v>
      </c>
      <c r="BU23" s="15">
        <f>IFERROR((s_dir!AV23/(d_ss_Bv!V23+s_MLF_snap_bean)),".")</f>
        <v>25.71094788230171</v>
      </c>
      <c r="BV23" s="15">
        <f>IFERROR((s_dir!AW23/(d_ss_Bv!W23+s_MLF_strawberry)),".")</f>
        <v>30.087279436736043</v>
      </c>
      <c r="BW23" s="15">
        <f>IFERROR((s_dir!AX23/(d_ss_Bv!X23+s_MLF_tomato)),".")</f>
        <v>23.182002188960556</v>
      </c>
      <c r="BX23" s="15">
        <f>IFERROR((s_dir!AY23/(d_ss_Bv!Y23+s_MLF_rice)),".")</f>
        <v>49.203275348872445</v>
      </c>
      <c r="BY23" s="15">
        <f>IFERROR((s_dir!AZ23/(d_ss_Bv!Z23+s_MLF_cereal)),".")</f>
        <v>23.182002188960556</v>
      </c>
      <c r="BZ23" s="40">
        <f t="shared" si="5"/>
        <v>2376.9625000000001</v>
      </c>
      <c r="CA23" s="40">
        <f>IFERROR(s_C*(d_ss_Bv!C23+s_MLF_apple)*s_IFAP_far_adj*s_CF_apple,".")</f>
        <v>323.125</v>
      </c>
      <c r="CB23" s="40">
        <f>IFERROR(s_C*(d_ss_Bv!D23+s_MLF_asparagus)*s_IFAS_far_adj*s_CF_asparagus,".")</f>
        <v>1436.875</v>
      </c>
      <c r="CC23" s="40">
        <f>IFERROR(s_C*(d_ss_Bv!E23+s_MLF_beet)*s_IFBT_far_adj*s_CF_beet,".")</f>
        <v>1148.125</v>
      </c>
      <c r="CD23" s="40">
        <f>IFERROR(s_C*(d_ss_Bv!F23+s_MLF_berries)*s_IFBR_far_adj*s_CF_berries,".")</f>
        <v>323.125</v>
      </c>
      <c r="CE23" s="40">
        <f>IFERROR(s_C*(d_ss_Bv!G23+s_MLF_broccoli)*s_IFBR_far_adj*s_CF_broccoli,".")</f>
        <v>419.375</v>
      </c>
      <c r="CF23" s="40">
        <f>IFERROR(s_C*(d_ss_Bv!H23+s_MLF_cabbage)*s_IFCB_far_adj*s_CF_cabbage,".")</f>
        <v>1436.875</v>
      </c>
      <c r="CG23" s="40">
        <f>IFERROR(s_C*(d_ss_Bv!I23+s_MLF_carrot)*s_IFCR_far_adj*s_CF_carrot,".")</f>
        <v>1148.125</v>
      </c>
      <c r="CH23" s="40">
        <f>IFERROR(s_C*(d_ss_Bv!J23+s_MLF_citrus)*s_IFCI_far_adj*s_CF_citrus,".")</f>
        <v>323.125</v>
      </c>
      <c r="CI23" s="40">
        <f>IFERROR(s_C*(d_ss_Bv!K23+s_MLF_corn)*s_IFCO_far_adj*s_CF_corn,".")</f>
        <v>218.625</v>
      </c>
      <c r="CJ23" s="40">
        <f>IFERROR(s_C*(d_ss_Bv!L23+s_MLF_cucumber)*s_IFCU_far_adj*s_CF_cucumber,".")</f>
        <v>419.375</v>
      </c>
      <c r="CK23" s="40">
        <f>IFERROR(s_C*(d_ss_Bv!M23+s_MLF_lettuce)*s_IFLE_far_adj*s_CF_lettuce,".")</f>
        <v>1436.875</v>
      </c>
      <c r="CL23" s="40">
        <f>IFERROR(s_C*(d_ss_Bv!N23+s_MLF_lima_bean)*s_IFLI_far_adj*s_CF_lima_bean,".")</f>
        <v>378.12500000000006</v>
      </c>
      <c r="CM23" s="40">
        <f>IFERROR(s_C*(d_ss_Bv!O23+s_MLF_okra)*s_IFOK_far_adj*s_CF_okra,".")</f>
        <v>419.375</v>
      </c>
      <c r="CN23" s="40">
        <f>IFERROR(s_C*(d_ss_Bv!P23+s_MLF_onion)*s_IFON_far_adj*s_CF_onion,".")</f>
        <v>419.375</v>
      </c>
      <c r="CO23" s="40">
        <f>IFERROR(s_C*(d_ss_Bv!Q23+s_MLF_peach)*s_IFPC_far_adj*s_CF_peach,".")</f>
        <v>323.125</v>
      </c>
      <c r="CP23" s="40">
        <f>IFERROR(s_C*(d_ss_Bv!R23+s_MLF_pear)*s_IFPR_far_adj*s_CF_pear,".")</f>
        <v>323.125</v>
      </c>
      <c r="CQ23" s="40">
        <f>IFERROR(s_C*(d_ss_Bv!S23+s_MLF_peas)*s_IFPE_far_adj*s_CF_peas,".")</f>
        <v>378.12500000000006</v>
      </c>
      <c r="CR23" s="40">
        <f>IFERROR(s_C*(d_ss_Bv!T23+s_MLF_potato)*s_IFPT_far_adj*s_CF_potato,".")</f>
        <v>336.875</v>
      </c>
      <c r="CS23" s="40">
        <f>IFERROR(s_C*(d_ss_Bv!U23+s_MLF_pumpkin)*s_IFPU_far_adj*s_CF_pumpkin,".")</f>
        <v>419.375</v>
      </c>
      <c r="CT23" s="40">
        <f>IFERROR(s_C*(d_ss_Bv!V23+s_MLF_snap_bean)*s_IFSN_far_adj*s_CF_snap_bean,".")</f>
        <v>378.12500000000006</v>
      </c>
      <c r="CU23" s="40">
        <f>IFERROR(s_C*(d_ss_Bv!W23+s_MLF_strawberry)*s_IFST_far_adj*s_CF_strawberry,".")</f>
        <v>323.125</v>
      </c>
      <c r="CV23" s="40">
        <f>IFERROR(s_C*(d_ss_Bv!X23+s_MLF_tomato)*s_IFTO_far_adj*s_CF_tomato,".")</f>
        <v>419.375</v>
      </c>
      <c r="CW23" s="40">
        <f>IFERROR(s_C*(d_ss_Bv!Y23+s_MLF_rice)*s_IFRI_far_adj*s_CF_rice,".")</f>
        <v>197.58750000000001</v>
      </c>
      <c r="CX23" s="40">
        <f>IFERROR(s_C*(d_ss_Bv!Z23+s_MLF_cereal)*s_IFCG_far_adj*s_CF_cereal,".")</f>
        <v>419.375</v>
      </c>
    </row>
    <row r="24" spans="1:102" ht="15" customHeight="1" x14ac:dyDescent="0.25">
      <c r="A24" s="44" t="s">
        <v>34</v>
      </c>
      <c r="B24" s="42" t="s">
        <v>1074</v>
      </c>
      <c r="C24" s="15" t="str">
        <f t="shared" si="2"/>
        <v>.</v>
      </c>
      <c r="D24" s="15" t="str">
        <f>IFERROR((s_dir!D24/(d_ss_Bv!C24+s_MLF_apple)),".")</f>
        <v>.</v>
      </c>
      <c r="E24" s="15" t="str">
        <f>IFERROR((s_dir!E24/(d_ss_Bv!D24+s_MLF_asparagus)),".")</f>
        <v>.</v>
      </c>
      <c r="F24" s="15" t="str">
        <f>IFERROR((s_dir!F24/(d_ss_Bv!E24+s_MLF_beet)),".")</f>
        <v>.</v>
      </c>
      <c r="G24" s="15" t="str">
        <f>IFERROR((s_dir!G24/(d_ss_Bv!F24+s_MLF_berries)),".")</f>
        <v>.</v>
      </c>
      <c r="H24" s="15" t="str">
        <f>IFERROR((s_dir!H24/(d_ss_Bv!G24+s_MLF_broccoli)),".")</f>
        <v>.</v>
      </c>
      <c r="I24" s="15" t="str">
        <f>IFERROR((s_dir!I24/(d_ss_Bv!H24+s_MLF_cabbage)),".")</f>
        <v>.</v>
      </c>
      <c r="J24" s="15" t="str">
        <f>IFERROR((s_dir!J24/(d_ss_Bv!I24+s_MLF_carrot)),".")</f>
        <v>.</v>
      </c>
      <c r="K24" s="15" t="str">
        <f>IFERROR((s_dir!K24/(d_ss_Bv!J24+s_MLF_citrus)),".")</f>
        <v>.</v>
      </c>
      <c r="L24" s="15" t="str">
        <f>IFERROR((s_dir!L24/(d_ss_Bv!K24+s_MLF_corn)),".")</f>
        <v>.</v>
      </c>
      <c r="M24" s="15" t="str">
        <f>IFERROR((s_dir!M24/(d_ss_Bv!L24+s_MLF_cucumber)),".")</f>
        <v>.</v>
      </c>
      <c r="N24" s="15" t="str">
        <f>IFERROR((s_dir!N24/(d_ss_Bv!M24+s_MLF_lettuce)),".")</f>
        <v>.</v>
      </c>
      <c r="O24" s="15" t="str">
        <f>IFERROR((s_dir!O24/(d_ss_Bv!N24+s_MLF_lima_bean)),".")</f>
        <v>.</v>
      </c>
      <c r="P24" s="15" t="str">
        <f>IFERROR((s_dir!P24/(d_ss_Bv!O24+s_MLF_okra)),".")</f>
        <v>.</v>
      </c>
      <c r="Q24" s="15" t="str">
        <f>IFERROR((s_dir!Q24/(d_ss_Bv!P24+s_MLF_onion)),".")</f>
        <v>.</v>
      </c>
      <c r="R24" s="15" t="str">
        <f>IFERROR((s_dir!R24/(d_ss_Bv!Q24+s_MLF_peach)),".")</f>
        <v>.</v>
      </c>
      <c r="S24" s="15" t="str">
        <f>IFERROR((s_dir!S24/(d_ss_Bv!R24+s_MLF_pear)),".")</f>
        <v>.</v>
      </c>
      <c r="T24" s="15" t="str">
        <f>IFERROR((s_dir!T24/(d_ss_Bv!S24+s_MLF_peas)),".")</f>
        <v>.</v>
      </c>
      <c r="U24" s="15" t="str">
        <f>IFERROR((s_dir!U24/(d_ss_Bv!T24+s_MLF_potato)),".")</f>
        <v>.</v>
      </c>
      <c r="V24" s="15" t="str">
        <f>IFERROR((s_dir!V24/(d_ss_Bv!U24+s_MLF_pumpkin)),".")</f>
        <v>.</v>
      </c>
      <c r="W24" s="15" t="str">
        <f>IFERROR((s_dir!W24/(d_ss_Bv!V24+s_MLF_snap_bean)),".")</f>
        <v>.</v>
      </c>
      <c r="X24" s="15" t="str">
        <f>IFERROR((s_dir!X24/(d_ss_Bv!W24+s_MLF_strawberry)),".")</f>
        <v>.</v>
      </c>
      <c r="Y24" s="15" t="str">
        <f>IFERROR((s_dir!Y24/(d_ss_Bv!X24+s_MLF_tomato)),".")</f>
        <v>.</v>
      </c>
      <c r="Z24" s="15" t="str">
        <f>IFERROR((s_dir!Z24/(d_ss_Bv!Y24+s_MLF_rice)),".")</f>
        <v>.</v>
      </c>
      <c r="AA24" s="15" t="str">
        <f>IFERROR((s_dir!AA24/(d_ss_Bv!Z24+s_MLF_cereal)),".")</f>
        <v>.</v>
      </c>
      <c r="AB24" s="40">
        <f t="shared" si="3"/>
        <v>742.5</v>
      </c>
      <c r="AC24" s="40">
        <f>s_C*(d_ss_Bv!C24+s_MLF_apple)*s_IFAP_res_adj*s_CF_apple</f>
        <v>185.625</v>
      </c>
      <c r="AD24" s="40">
        <f>s_C*(d_ss_Bv!D24+s_MLF_asparagus)*s_IFAS_res_adj*s_CF_asparagus</f>
        <v>185.625</v>
      </c>
      <c r="AE24" s="40">
        <f>s_C*(d_ss_Bv!E24+s_MLF_beet)*s_IFBT_res_adj*s_CF_beet</f>
        <v>185.625</v>
      </c>
      <c r="AF24" s="40">
        <f>s_C*(d_ss_Bv!F24+s_MLF_berries)*s_IFBE_res_adj*s_CF_berries</f>
        <v>185.625</v>
      </c>
      <c r="AG24" s="40">
        <f>s_C*(d_ss_Bv!G24+s_MLF_broccoli)*s_IFBR_res_adj*s_CF_broccoli</f>
        <v>185.625</v>
      </c>
      <c r="AH24" s="40">
        <f>s_C*(d_ss_Bv!H24+s_MLF_cabbage)*s_IFCB_res_adj*s_CF_cabbage</f>
        <v>185.625</v>
      </c>
      <c r="AI24" s="40">
        <f>s_C*(d_ss_Bv!I24+s_MLF_carrot)*s_IFCR_res_adj*s_CF_carrot</f>
        <v>185.625</v>
      </c>
      <c r="AJ24" s="40">
        <f>s_C*(d_ss_Bv!J24+s_MLF_citrus)*s_IFCI_res_adj*s_CF_citrus</f>
        <v>185.625</v>
      </c>
      <c r="AK24" s="40">
        <f>s_C*(d_ss_Bv!K24+s_MLF_corn)*s_IFCO_res_adj*s_CF_corn</f>
        <v>185.625</v>
      </c>
      <c r="AL24" s="40">
        <f>s_C*(d_ss_Bv!L24+s_MLF_cucumber)*s_IFCU_res_adj*s_CF_cucumber</f>
        <v>185.625</v>
      </c>
      <c r="AM24" s="40">
        <f>s_C*(d_ss_Bv!M24+s_MLF_lettuce)*s_IFLE_res_adj*s_CF_lettuce</f>
        <v>185.625</v>
      </c>
      <c r="AN24" s="40">
        <f>s_C*(d_ss_Bv!N24+s_MLF_lima_bean)*s_IFLI_res_adj*s_CF_lima_bean</f>
        <v>185.625</v>
      </c>
      <c r="AO24" s="40">
        <f>s_C*(d_ss_Bv!O24+s_MLF_okra)*s_IFOK_res_adj*s_CF_okra</f>
        <v>185.625</v>
      </c>
      <c r="AP24" s="40">
        <f>s_C*(d_ss_Bv!P24+s_MLF_onion)*s_IFON_res_adj*s_CF_onion</f>
        <v>185.625</v>
      </c>
      <c r="AQ24" s="40">
        <f>s_C*(d_ss_Bv!Q24+s_MLF_peach)*s_IFPC_res_adj*s_CF_peach</f>
        <v>185.625</v>
      </c>
      <c r="AR24" s="40">
        <f>s_C*(d_ss_Bv!R24+s_MLF_pear)*s_IFPR_res_adj*s_CF_pear</f>
        <v>185.625</v>
      </c>
      <c r="AS24" s="40">
        <f>s_C*(d_ss_Bv!S24+s_MLF_peas)*s_IFPE_res_adj*s_CF_peas</f>
        <v>185.625</v>
      </c>
      <c r="AT24" s="40">
        <f>s_C*(d_ss_Bv!T24+s_MLF_potato)*s_IFPT_res_adj*s_CF_potato</f>
        <v>185.625</v>
      </c>
      <c r="AU24" s="40">
        <f>s_C*(d_ss_Bv!U24+s_MLF_pumpkin)*s_IFPU_res_adj*s_CF_pumpkin</f>
        <v>185.625</v>
      </c>
      <c r="AV24" s="40">
        <f>s_C*(d_ss_Bv!V24+s_MLF_snap_bean)*s_IFSN_res_adj*s_CF_snap_bean</f>
        <v>185.625</v>
      </c>
      <c r="AW24" s="40">
        <f>s_C*(d_ss_Bv!W24+s_MLF_strawberry)*s_IFST_res_adj*s_CF_strawberry</f>
        <v>185.625</v>
      </c>
      <c r="AX24" s="40">
        <f>s_C*(d_ss_Bv!X24+s_MLF_tomato)*s_IFTO_res_adj*s_CF_tomato</f>
        <v>185.625</v>
      </c>
      <c r="AY24" s="40">
        <f>s_C*(d_ss_Bv!Y24+s_MLF_rice)*s_IFRI_res_adj*s_CF_rice</f>
        <v>185.625</v>
      </c>
      <c r="AZ24" s="40">
        <f>s_C*(d_ss_Bv!Z24+s_MLF_cereal)*s_IFCG_res_adj*s_CF_cereal</f>
        <v>185.625</v>
      </c>
      <c r="BA24" s="15" t="str">
        <f t="shared" si="4"/>
        <v>.</v>
      </c>
      <c r="BB24" s="15" t="str">
        <f>IFERROR((s_dir!AC24/(d_ss_Bv!C24+s_MLF_apple)),".")</f>
        <v>.</v>
      </c>
      <c r="BC24" s="15" t="str">
        <f>IFERROR((s_dir!AD24/(d_ss_Bv!D24+s_MLF_asparagus)),".")</f>
        <v>.</v>
      </c>
      <c r="BD24" s="15" t="str">
        <f>IFERROR((s_dir!AE24/(d_ss_Bv!E24+s_MLF_beet)),".")</f>
        <v>.</v>
      </c>
      <c r="BE24" s="15" t="str">
        <f>IFERROR((s_dir!AF24/(d_ss_Bv!F24+s_MLF_berries)),".")</f>
        <v>.</v>
      </c>
      <c r="BF24" s="15" t="str">
        <f>IFERROR((s_dir!AG24/(d_ss_Bv!G24+s_MLF_broccoli)),".")</f>
        <v>.</v>
      </c>
      <c r="BG24" s="15" t="str">
        <f>IFERROR((s_dir!AH24/(d_ss_Bv!H24+s_MLF_cabbage)),".")</f>
        <v>.</v>
      </c>
      <c r="BH24" s="15" t="str">
        <f>IFERROR((s_dir!AI24/(d_ss_Bv!I24+s_MLF_carrot)),".")</f>
        <v>.</v>
      </c>
      <c r="BI24" s="15" t="str">
        <f>IFERROR((s_dir!AJ24/(d_ss_Bv!J24+s_MLF_citrus)),".")</f>
        <v>.</v>
      </c>
      <c r="BJ24" s="15" t="str">
        <f>IFERROR((s_dir!AK24/(d_ss_Bv!K24+s_MLF_corn)),".")</f>
        <v>.</v>
      </c>
      <c r="BK24" s="15" t="str">
        <f>IFERROR((s_dir!AL24/(d_ss_Bv!L24+s_MLF_cucumber)),".")</f>
        <v>.</v>
      </c>
      <c r="BL24" s="15" t="str">
        <f>IFERROR((s_dir!AM24/(d_ss_Bv!M24+s_MLF_lettuce)),".")</f>
        <v>.</v>
      </c>
      <c r="BM24" s="15" t="str">
        <f>IFERROR((s_dir!AN24/(d_ss_Bv!N24+s_MLF_lima_bean)),".")</f>
        <v>.</v>
      </c>
      <c r="BN24" s="15" t="str">
        <f>IFERROR((s_dir!AO24/(d_ss_Bv!O24+s_MLF_okra)),".")</f>
        <v>.</v>
      </c>
      <c r="BO24" s="15" t="str">
        <f>IFERROR((s_dir!AP24/(d_ss_Bv!P24+s_MLF_onion)),".")</f>
        <v>.</v>
      </c>
      <c r="BP24" s="15" t="str">
        <f>IFERROR((s_dir!AQ24/(d_ss_Bv!Q24+s_MLF_peach)),".")</f>
        <v>.</v>
      </c>
      <c r="BQ24" s="15" t="str">
        <f>IFERROR((s_dir!AR24/(d_ss_Bv!R24+s_MLF_pear)),".")</f>
        <v>.</v>
      </c>
      <c r="BR24" s="15" t="str">
        <f>IFERROR((s_dir!AS24/(d_ss_Bv!S24+s_MLF_peas)),".")</f>
        <v>.</v>
      </c>
      <c r="BS24" s="15" t="str">
        <f>IFERROR((s_dir!AT24/(d_ss_Bv!T24+s_MLF_potato)),".")</f>
        <v>.</v>
      </c>
      <c r="BT24" s="15" t="str">
        <f>IFERROR((s_dir!AU24/(d_ss_Bv!U24+s_MLF_pumpkin)),".")</f>
        <v>.</v>
      </c>
      <c r="BU24" s="15" t="str">
        <f>IFERROR((s_dir!AV24/(d_ss_Bv!V24+s_MLF_snap_bean)),".")</f>
        <v>.</v>
      </c>
      <c r="BV24" s="15" t="str">
        <f>IFERROR((s_dir!AW24/(d_ss_Bv!W24+s_MLF_strawberry)),".")</f>
        <v>.</v>
      </c>
      <c r="BW24" s="15" t="str">
        <f>IFERROR((s_dir!AX24/(d_ss_Bv!X24+s_MLF_tomato)),".")</f>
        <v>.</v>
      </c>
      <c r="BX24" s="15" t="str">
        <f>IFERROR((s_dir!AY24/(d_ss_Bv!Y24+s_MLF_rice)),".")</f>
        <v>.</v>
      </c>
      <c r="BY24" s="15" t="str">
        <f>IFERROR((s_dir!AZ24/(d_ss_Bv!Z24+s_MLF_cereal)),".")</f>
        <v>.</v>
      </c>
      <c r="BZ24" s="40">
        <f t="shared" si="5"/>
        <v>742.5</v>
      </c>
      <c r="CA24" s="40">
        <f>IFERROR(s_C*(d_ss_Bv!C24+s_MLF_apple)*s_IFAP_far_adj*s_CF_apple,".")</f>
        <v>185.625</v>
      </c>
      <c r="CB24" s="40">
        <f>IFERROR(s_C*(d_ss_Bv!D24+s_MLF_asparagus)*s_IFAS_far_adj*s_CF_asparagus,".")</f>
        <v>185.625</v>
      </c>
      <c r="CC24" s="40">
        <f>IFERROR(s_C*(d_ss_Bv!E24+s_MLF_beet)*s_IFBT_far_adj*s_CF_beet,".")</f>
        <v>185.625</v>
      </c>
      <c r="CD24" s="40">
        <f>IFERROR(s_C*(d_ss_Bv!F24+s_MLF_berries)*s_IFBR_far_adj*s_CF_berries,".")</f>
        <v>185.625</v>
      </c>
      <c r="CE24" s="40">
        <f>IFERROR(s_C*(d_ss_Bv!G24+s_MLF_broccoli)*s_IFBR_far_adj*s_CF_broccoli,".")</f>
        <v>185.625</v>
      </c>
      <c r="CF24" s="40">
        <f>IFERROR(s_C*(d_ss_Bv!H24+s_MLF_cabbage)*s_IFCB_far_adj*s_CF_cabbage,".")</f>
        <v>185.625</v>
      </c>
      <c r="CG24" s="40">
        <f>IFERROR(s_C*(d_ss_Bv!I24+s_MLF_carrot)*s_IFCR_far_adj*s_CF_carrot,".")</f>
        <v>185.625</v>
      </c>
      <c r="CH24" s="40">
        <f>IFERROR(s_C*(d_ss_Bv!J24+s_MLF_citrus)*s_IFCI_far_adj*s_CF_citrus,".")</f>
        <v>185.625</v>
      </c>
      <c r="CI24" s="40">
        <f>IFERROR(s_C*(d_ss_Bv!K24+s_MLF_corn)*s_IFCO_far_adj*s_CF_corn,".")</f>
        <v>185.625</v>
      </c>
      <c r="CJ24" s="40">
        <f>IFERROR(s_C*(d_ss_Bv!L24+s_MLF_cucumber)*s_IFCU_far_adj*s_CF_cucumber,".")</f>
        <v>185.625</v>
      </c>
      <c r="CK24" s="40">
        <f>IFERROR(s_C*(d_ss_Bv!M24+s_MLF_lettuce)*s_IFLE_far_adj*s_CF_lettuce,".")</f>
        <v>185.625</v>
      </c>
      <c r="CL24" s="40">
        <f>IFERROR(s_C*(d_ss_Bv!N24+s_MLF_lima_bean)*s_IFLI_far_adj*s_CF_lima_bean,".")</f>
        <v>185.625</v>
      </c>
      <c r="CM24" s="40">
        <f>IFERROR(s_C*(d_ss_Bv!O24+s_MLF_okra)*s_IFOK_far_adj*s_CF_okra,".")</f>
        <v>185.625</v>
      </c>
      <c r="CN24" s="40">
        <f>IFERROR(s_C*(d_ss_Bv!P24+s_MLF_onion)*s_IFON_far_adj*s_CF_onion,".")</f>
        <v>185.625</v>
      </c>
      <c r="CO24" s="40">
        <f>IFERROR(s_C*(d_ss_Bv!Q24+s_MLF_peach)*s_IFPC_far_adj*s_CF_peach,".")</f>
        <v>185.625</v>
      </c>
      <c r="CP24" s="40">
        <f>IFERROR(s_C*(d_ss_Bv!R24+s_MLF_pear)*s_IFPR_far_adj*s_CF_pear,".")</f>
        <v>185.625</v>
      </c>
      <c r="CQ24" s="40">
        <f>IFERROR(s_C*(d_ss_Bv!S24+s_MLF_peas)*s_IFPE_far_adj*s_CF_peas,".")</f>
        <v>185.625</v>
      </c>
      <c r="CR24" s="40">
        <f>IFERROR(s_C*(d_ss_Bv!T24+s_MLF_potato)*s_IFPT_far_adj*s_CF_potato,".")</f>
        <v>185.625</v>
      </c>
      <c r="CS24" s="40">
        <f>IFERROR(s_C*(d_ss_Bv!U24+s_MLF_pumpkin)*s_IFPU_far_adj*s_CF_pumpkin,".")</f>
        <v>185.625</v>
      </c>
      <c r="CT24" s="40">
        <f>IFERROR(s_C*(d_ss_Bv!V24+s_MLF_snap_bean)*s_IFSN_far_adj*s_CF_snap_bean,".")</f>
        <v>185.625</v>
      </c>
      <c r="CU24" s="40">
        <f>IFERROR(s_C*(d_ss_Bv!W24+s_MLF_strawberry)*s_IFST_far_adj*s_CF_strawberry,".")</f>
        <v>185.625</v>
      </c>
      <c r="CV24" s="40">
        <f>IFERROR(s_C*(d_ss_Bv!X24+s_MLF_tomato)*s_IFTO_far_adj*s_CF_tomato,".")</f>
        <v>185.625</v>
      </c>
      <c r="CW24" s="40">
        <f>IFERROR(s_C*(d_ss_Bv!Y24+s_MLF_rice)*s_IFRI_far_adj*s_CF_rice,".")</f>
        <v>185.625</v>
      </c>
      <c r="CX24" s="40">
        <f>IFERROR(s_C*(d_ss_Bv!Z24+s_MLF_cereal)*s_IFCG_far_adj*s_CF_cereal,".")</f>
        <v>185.625</v>
      </c>
    </row>
    <row r="25" spans="1:102" x14ac:dyDescent="0.25">
      <c r="A25" s="46" t="s">
        <v>35</v>
      </c>
      <c r="B25" s="42" t="s">
        <v>351</v>
      </c>
      <c r="C25" s="15" t="str">
        <f t="shared" si="2"/>
        <v>.</v>
      </c>
      <c r="D25" s="15" t="str">
        <f>IFERROR((s_dir!D25/(d_ss_Bv!C25+s_MLF_apple)),".")</f>
        <v>.</v>
      </c>
      <c r="E25" s="15" t="str">
        <f>IFERROR((s_dir!E25/(d_ss_Bv!D25+s_MLF_asparagus)),".")</f>
        <v>.</v>
      </c>
      <c r="F25" s="15" t="str">
        <f>IFERROR((s_dir!F25/(d_ss_Bv!E25+s_MLF_beet)),".")</f>
        <v>.</v>
      </c>
      <c r="G25" s="15" t="str">
        <f>IFERROR((s_dir!G25/(d_ss_Bv!F25+s_MLF_berries)),".")</f>
        <v>.</v>
      </c>
      <c r="H25" s="15" t="str">
        <f>IFERROR((s_dir!H25/(d_ss_Bv!G25+s_MLF_broccoli)),".")</f>
        <v>.</v>
      </c>
      <c r="I25" s="15" t="str">
        <f>IFERROR((s_dir!I25/(d_ss_Bv!H25+s_MLF_cabbage)),".")</f>
        <v>.</v>
      </c>
      <c r="J25" s="15" t="str">
        <f>IFERROR((s_dir!J25/(d_ss_Bv!I25+s_MLF_carrot)),".")</f>
        <v>.</v>
      </c>
      <c r="K25" s="15" t="str">
        <f>IFERROR((s_dir!K25/(d_ss_Bv!J25+s_MLF_citrus)),".")</f>
        <v>.</v>
      </c>
      <c r="L25" s="15" t="str">
        <f>IFERROR((s_dir!L25/(d_ss_Bv!K25+s_MLF_corn)),".")</f>
        <v>.</v>
      </c>
      <c r="M25" s="15" t="str">
        <f>IFERROR((s_dir!M25/(d_ss_Bv!L25+s_MLF_cucumber)),".")</f>
        <v>.</v>
      </c>
      <c r="N25" s="15" t="str">
        <f>IFERROR((s_dir!N25/(d_ss_Bv!M25+s_MLF_lettuce)),".")</f>
        <v>.</v>
      </c>
      <c r="O25" s="15" t="str">
        <f>IFERROR((s_dir!O25/(d_ss_Bv!N25+s_MLF_lima_bean)),".")</f>
        <v>.</v>
      </c>
      <c r="P25" s="15" t="str">
        <f>IFERROR((s_dir!P25/(d_ss_Bv!O25+s_MLF_okra)),".")</f>
        <v>.</v>
      </c>
      <c r="Q25" s="15" t="str">
        <f>IFERROR((s_dir!Q25/(d_ss_Bv!P25+s_MLF_onion)),".")</f>
        <v>.</v>
      </c>
      <c r="R25" s="15" t="str">
        <f>IFERROR((s_dir!R25/(d_ss_Bv!Q25+s_MLF_peach)),".")</f>
        <v>.</v>
      </c>
      <c r="S25" s="15" t="str">
        <f>IFERROR((s_dir!S25/(d_ss_Bv!R25+s_MLF_pear)),".")</f>
        <v>.</v>
      </c>
      <c r="T25" s="15" t="str">
        <f>IFERROR((s_dir!T25/(d_ss_Bv!S25+s_MLF_peas)),".")</f>
        <v>.</v>
      </c>
      <c r="U25" s="15" t="str">
        <f>IFERROR((s_dir!U25/(d_ss_Bv!T25+s_MLF_potato)),".")</f>
        <v>.</v>
      </c>
      <c r="V25" s="15" t="str">
        <f>IFERROR((s_dir!V25/(d_ss_Bv!U25+s_MLF_pumpkin)),".")</f>
        <v>.</v>
      </c>
      <c r="W25" s="15" t="str">
        <f>IFERROR((s_dir!W25/(d_ss_Bv!V25+s_MLF_snap_bean)),".")</f>
        <v>.</v>
      </c>
      <c r="X25" s="15" t="str">
        <f>IFERROR((s_dir!X25/(d_ss_Bv!W25+s_MLF_strawberry)),".")</f>
        <v>.</v>
      </c>
      <c r="Y25" s="15" t="str">
        <f>IFERROR((s_dir!Y25/(d_ss_Bv!X25+s_MLF_tomato)),".")</f>
        <v>.</v>
      </c>
      <c r="Z25" s="15" t="str">
        <f>IFERROR((s_dir!Z25/(d_ss_Bv!Y25+s_MLF_rice)),".")</f>
        <v>.</v>
      </c>
      <c r="AA25" s="15" t="str">
        <f>IFERROR((s_dir!AA25/(d_ss_Bv!Z25+s_MLF_cereal)),".")</f>
        <v>.</v>
      </c>
      <c r="AB25" s="40">
        <f t="shared" si="3"/>
        <v>742.5</v>
      </c>
      <c r="AC25" s="40">
        <f>s_C*(d_ss_Bv!C25+s_MLF_apple)*s_IFAP_res_adj*s_CF_apple</f>
        <v>185.625</v>
      </c>
      <c r="AD25" s="40">
        <f>s_C*(d_ss_Bv!D25+s_MLF_asparagus)*s_IFAS_res_adj*s_CF_asparagus</f>
        <v>185.625</v>
      </c>
      <c r="AE25" s="40">
        <f>s_C*(d_ss_Bv!E25+s_MLF_beet)*s_IFBT_res_adj*s_CF_beet</f>
        <v>185.625</v>
      </c>
      <c r="AF25" s="40">
        <f>s_C*(d_ss_Bv!F25+s_MLF_berries)*s_IFBE_res_adj*s_CF_berries</f>
        <v>185.625</v>
      </c>
      <c r="AG25" s="40">
        <f>s_C*(d_ss_Bv!G25+s_MLF_broccoli)*s_IFBR_res_adj*s_CF_broccoli</f>
        <v>185.625</v>
      </c>
      <c r="AH25" s="40">
        <f>s_C*(d_ss_Bv!H25+s_MLF_cabbage)*s_IFCB_res_adj*s_CF_cabbage</f>
        <v>185.625</v>
      </c>
      <c r="AI25" s="40">
        <f>s_C*(d_ss_Bv!I25+s_MLF_carrot)*s_IFCR_res_adj*s_CF_carrot</f>
        <v>185.625</v>
      </c>
      <c r="AJ25" s="40">
        <f>s_C*(d_ss_Bv!J25+s_MLF_citrus)*s_IFCI_res_adj*s_CF_citrus</f>
        <v>185.625</v>
      </c>
      <c r="AK25" s="40">
        <f>s_C*(d_ss_Bv!K25+s_MLF_corn)*s_IFCO_res_adj*s_CF_corn</f>
        <v>185.625</v>
      </c>
      <c r="AL25" s="40">
        <f>s_C*(d_ss_Bv!L25+s_MLF_cucumber)*s_IFCU_res_adj*s_CF_cucumber</f>
        <v>185.625</v>
      </c>
      <c r="AM25" s="40">
        <f>s_C*(d_ss_Bv!M25+s_MLF_lettuce)*s_IFLE_res_adj*s_CF_lettuce</f>
        <v>185.625</v>
      </c>
      <c r="AN25" s="40">
        <f>s_C*(d_ss_Bv!N25+s_MLF_lima_bean)*s_IFLI_res_adj*s_CF_lima_bean</f>
        <v>185.625</v>
      </c>
      <c r="AO25" s="40">
        <f>s_C*(d_ss_Bv!O25+s_MLF_okra)*s_IFOK_res_adj*s_CF_okra</f>
        <v>185.625</v>
      </c>
      <c r="AP25" s="40">
        <f>s_C*(d_ss_Bv!P25+s_MLF_onion)*s_IFON_res_adj*s_CF_onion</f>
        <v>185.625</v>
      </c>
      <c r="AQ25" s="40">
        <f>s_C*(d_ss_Bv!Q25+s_MLF_peach)*s_IFPC_res_adj*s_CF_peach</f>
        <v>185.625</v>
      </c>
      <c r="AR25" s="40">
        <f>s_C*(d_ss_Bv!R25+s_MLF_pear)*s_IFPR_res_adj*s_CF_pear</f>
        <v>185.625</v>
      </c>
      <c r="AS25" s="40">
        <f>s_C*(d_ss_Bv!S25+s_MLF_peas)*s_IFPE_res_adj*s_CF_peas</f>
        <v>185.625</v>
      </c>
      <c r="AT25" s="40">
        <f>s_C*(d_ss_Bv!T25+s_MLF_potato)*s_IFPT_res_adj*s_CF_potato</f>
        <v>185.625</v>
      </c>
      <c r="AU25" s="40">
        <f>s_C*(d_ss_Bv!U25+s_MLF_pumpkin)*s_IFPU_res_adj*s_CF_pumpkin</f>
        <v>185.625</v>
      </c>
      <c r="AV25" s="40">
        <f>s_C*(d_ss_Bv!V25+s_MLF_snap_bean)*s_IFSN_res_adj*s_CF_snap_bean</f>
        <v>185.625</v>
      </c>
      <c r="AW25" s="40">
        <f>s_C*(d_ss_Bv!W25+s_MLF_strawberry)*s_IFST_res_adj*s_CF_strawberry</f>
        <v>185.625</v>
      </c>
      <c r="AX25" s="40">
        <f>s_C*(d_ss_Bv!X25+s_MLF_tomato)*s_IFTO_res_adj*s_CF_tomato</f>
        <v>185.625</v>
      </c>
      <c r="AY25" s="40">
        <f>s_C*(d_ss_Bv!Y25+s_MLF_rice)*s_IFRI_res_adj*s_CF_rice</f>
        <v>185.625</v>
      </c>
      <c r="AZ25" s="40">
        <f>s_C*(d_ss_Bv!Z25+s_MLF_cereal)*s_IFCG_res_adj*s_CF_cereal</f>
        <v>185.625</v>
      </c>
      <c r="BA25" s="15" t="str">
        <f t="shared" si="4"/>
        <v>.</v>
      </c>
      <c r="BB25" s="15" t="str">
        <f>IFERROR((s_dir!AC25/(d_ss_Bv!C25+s_MLF_apple)),".")</f>
        <v>.</v>
      </c>
      <c r="BC25" s="15" t="str">
        <f>IFERROR((s_dir!AD25/(d_ss_Bv!D25+s_MLF_asparagus)),".")</f>
        <v>.</v>
      </c>
      <c r="BD25" s="15" t="str">
        <f>IFERROR((s_dir!AE25/(d_ss_Bv!E25+s_MLF_beet)),".")</f>
        <v>.</v>
      </c>
      <c r="BE25" s="15" t="str">
        <f>IFERROR((s_dir!AF25/(d_ss_Bv!F25+s_MLF_berries)),".")</f>
        <v>.</v>
      </c>
      <c r="BF25" s="15" t="str">
        <f>IFERROR((s_dir!AG25/(d_ss_Bv!G25+s_MLF_broccoli)),".")</f>
        <v>.</v>
      </c>
      <c r="BG25" s="15" t="str">
        <f>IFERROR((s_dir!AH25/(d_ss_Bv!H25+s_MLF_cabbage)),".")</f>
        <v>.</v>
      </c>
      <c r="BH25" s="15" t="str">
        <f>IFERROR((s_dir!AI25/(d_ss_Bv!I25+s_MLF_carrot)),".")</f>
        <v>.</v>
      </c>
      <c r="BI25" s="15" t="str">
        <f>IFERROR((s_dir!AJ25/(d_ss_Bv!J25+s_MLF_citrus)),".")</f>
        <v>.</v>
      </c>
      <c r="BJ25" s="15" t="str">
        <f>IFERROR((s_dir!AK25/(d_ss_Bv!K25+s_MLF_corn)),".")</f>
        <v>.</v>
      </c>
      <c r="BK25" s="15" t="str">
        <f>IFERROR((s_dir!AL25/(d_ss_Bv!L25+s_MLF_cucumber)),".")</f>
        <v>.</v>
      </c>
      <c r="BL25" s="15" t="str">
        <f>IFERROR((s_dir!AM25/(d_ss_Bv!M25+s_MLF_lettuce)),".")</f>
        <v>.</v>
      </c>
      <c r="BM25" s="15" t="str">
        <f>IFERROR((s_dir!AN25/(d_ss_Bv!N25+s_MLF_lima_bean)),".")</f>
        <v>.</v>
      </c>
      <c r="BN25" s="15" t="str">
        <f>IFERROR((s_dir!AO25/(d_ss_Bv!O25+s_MLF_okra)),".")</f>
        <v>.</v>
      </c>
      <c r="BO25" s="15" t="str">
        <f>IFERROR((s_dir!AP25/(d_ss_Bv!P25+s_MLF_onion)),".")</f>
        <v>.</v>
      </c>
      <c r="BP25" s="15" t="str">
        <f>IFERROR((s_dir!AQ25/(d_ss_Bv!Q25+s_MLF_peach)),".")</f>
        <v>.</v>
      </c>
      <c r="BQ25" s="15" t="str">
        <f>IFERROR((s_dir!AR25/(d_ss_Bv!R25+s_MLF_pear)),".")</f>
        <v>.</v>
      </c>
      <c r="BR25" s="15" t="str">
        <f>IFERROR((s_dir!AS25/(d_ss_Bv!S25+s_MLF_peas)),".")</f>
        <v>.</v>
      </c>
      <c r="BS25" s="15" t="str">
        <f>IFERROR((s_dir!AT25/(d_ss_Bv!T25+s_MLF_potato)),".")</f>
        <v>.</v>
      </c>
      <c r="BT25" s="15" t="str">
        <f>IFERROR((s_dir!AU25/(d_ss_Bv!U25+s_MLF_pumpkin)),".")</f>
        <v>.</v>
      </c>
      <c r="BU25" s="15" t="str">
        <f>IFERROR((s_dir!AV25/(d_ss_Bv!V25+s_MLF_snap_bean)),".")</f>
        <v>.</v>
      </c>
      <c r="BV25" s="15" t="str">
        <f>IFERROR((s_dir!AW25/(d_ss_Bv!W25+s_MLF_strawberry)),".")</f>
        <v>.</v>
      </c>
      <c r="BW25" s="15" t="str">
        <f>IFERROR((s_dir!AX25/(d_ss_Bv!X25+s_MLF_tomato)),".")</f>
        <v>.</v>
      </c>
      <c r="BX25" s="15" t="str">
        <f>IFERROR((s_dir!AY25/(d_ss_Bv!Y25+s_MLF_rice)),".")</f>
        <v>.</v>
      </c>
      <c r="BY25" s="15" t="str">
        <f>IFERROR((s_dir!AZ25/(d_ss_Bv!Z25+s_MLF_cereal)),".")</f>
        <v>.</v>
      </c>
      <c r="BZ25" s="40">
        <f t="shared" si="5"/>
        <v>742.5</v>
      </c>
      <c r="CA25" s="40">
        <f>IFERROR(s_C*(d_ss_Bv!C25+s_MLF_apple)*s_IFAP_far_adj*s_CF_apple,".")</f>
        <v>185.625</v>
      </c>
      <c r="CB25" s="40">
        <f>IFERROR(s_C*(d_ss_Bv!D25+s_MLF_asparagus)*s_IFAS_far_adj*s_CF_asparagus,".")</f>
        <v>185.625</v>
      </c>
      <c r="CC25" s="40">
        <f>IFERROR(s_C*(d_ss_Bv!E25+s_MLF_beet)*s_IFBT_far_adj*s_CF_beet,".")</f>
        <v>185.625</v>
      </c>
      <c r="CD25" s="40">
        <f>IFERROR(s_C*(d_ss_Bv!F25+s_MLF_berries)*s_IFBR_far_adj*s_CF_berries,".")</f>
        <v>185.625</v>
      </c>
      <c r="CE25" s="40">
        <f>IFERROR(s_C*(d_ss_Bv!G25+s_MLF_broccoli)*s_IFBR_far_adj*s_CF_broccoli,".")</f>
        <v>185.625</v>
      </c>
      <c r="CF25" s="40">
        <f>IFERROR(s_C*(d_ss_Bv!H25+s_MLF_cabbage)*s_IFCB_far_adj*s_CF_cabbage,".")</f>
        <v>185.625</v>
      </c>
      <c r="CG25" s="40">
        <f>IFERROR(s_C*(d_ss_Bv!I25+s_MLF_carrot)*s_IFCR_far_adj*s_CF_carrot,".")</f>
        <v>185.625</v>
      </c>
      <c r="CH25" s="40">
        <f>IFERROR(s_C*(d_ss_Bv!J25+s_MLF_citrus)*s_IFCI_far_adj*s_CF_citrus,".")</f>
        <v>185.625</v>
      </c>
      <c r="CI25" s="40">
        <f>IFERROR(s_C*(d_ss_Bv!K25+s_MLF_corn)*s_IFCO_far_adj*s_CF_corn,".")</f>
        <v>185.625</v>
      </c>
      <c r="CJ25" s="40">
        <f>IFERROR(s_C*(d_ss_Bv!L25+s_MLF_cucumber)*s_IFCU_far_adj*s_CF_cucumber,".")</f>
        <v>185.625</v>
      </c>
      <c r="CK25" s="40">
        <f>IFERROR(s_C*(d_ss_Bv!M25+s_MLF_lettuce)*s_IFLE_far_adj*s_CF_lettuce,".")</f>
        <v>185.625</v>
      </c>
      <c r="CL25" s="40">
        <f>IFERROR(s_C*(d_ss_Bv!N25+s_MLF_lima_bean)*s_IFLI_far_adj*s_CF_lima_bean,".")</f>
        <v>185.625</v>
      </c>
      <c r="CM25" s="40">
        <f>IFERROR(s_C*(d_ss_Bv!O25+s_MLF_okra)*s_IFOK_far_adj*s_CF_okra,".")</f>
        <v>185.625</v>
      </c>
      <c r="CN25" s="40">
        <f>IFERROR(s_C*(d_ss_Bv!P25+s_MLF_onion)*s_IFON_far_adj*s_CF_onion,".")</f>
        <v>185.625</v>
      </c>
      <c r="CO25" s="40">
        <f>IFERROR(s_C*(d_ss_Bv!Q25+s_MLF_peach)*s_IFPC_far_adj*s_CF_peach,".")</f>
        <v>185.625</v>
      </c>
      <c r="CP25" s="40">
        <f>IFERROR(s_C*(d_ss_Bv!R25+s_MLF_pear)*s_IFPR_far_adj*s_CF_pear,".")</f>
        <v>185.625</v>
      </c>
      <c r="CQ25" s="40">
        <f>IFERROR(s_C*(d_ss_Bv!S25+s_MLF_peas)*s_IFPE_far_adj*s_CF_peas,".")</f>
        <v>185.625</v>
      </c>
      <c r="CR25" s="40">
        <f>IFERROR(s_C*(d_ss_Bv!T25+s_MLF_potato)*s_IFPT_far_adj*s_CF_potato,".")</f>
        <v>185.625</v>
      </c>
      <c r="CS25" s="40">
        <f>IFERROR(s_C*(d_ss_Bv!U25+s_MLF_pumpkin)*s_IFPU_far_adj*s_CF_pumpkin,".")</f>
        <v>185.625</v>
      </c>
      <c r="CT25" s="40">
        <f>IFERROR(s_C*(d_ss_Bv!V25+s_MLF_snap_bean)*s_IFSN_far_adj*s_CF_snap_bean,".")</f>
        <v>185.625</v>
      </c>
      <c r="CU25" s="40">
        <f>IFERROR(s_C*(d_ss_Bv!W25+s_MLF_strawberry)*s_IFST_far_adj*s_CF_strawberry,".")</f>
        <v>185.625</v>
      </c>
      <c r="CV25" s="40">
        <f>IFERROR(s_C*(d_ss_Bv!X25+s_MLF_tomato)*s_IFTO_far_adj*s_CF_tomato,".")</f>
        <v>185.625</v>
      </c>
      <c r="CW25" s="40">
        <f>IFERROR(s_C*(d_ss_Bv!Y25+s_MLF_rice)*s_IFRI_far_adj*s_CF_rice,".")</f>
        <v>185.625</v>
      </c>
      <c r="CX25" s="40">
        <f>IFERROR(s_C*(d_ss_Bv!Z25+s_MLF_cereal)*s_IFCG_far_adj*s_CF_cereal,".")</f>
        <v>185.625</v>
      </c>
    </row>
    <row r="26" spans="1:102" ht="15" customHeight="1" x14ac:dyDescent="0.25">
      <c r="A26" s="44" t="s">
        <v>36</v>
      </c>
      <c r="B26" s="42" t="s">
        <v>1074</v>
      </c>
      <c r="C26" s="15">
        <f t="shared" si="2"/>
        <v>21.600686236521188</v>
      </c>
      <c r="D26" s="15">
        <f>IFERROR((s_dir!D26/(d_ss_Bv!C26+s_MLF_apple)),".")</f>
        <v>89.426841019197695</v>
      </c>
      <c r="E26" s="15">
        <f>IFERROR((s_dir!E26/(d_ss_Bv!D26+s_MLF_asparagus)),".")</f>
        <v>85.168420018283527</v>
      </c>
      <c r="F26" s="15">
        <f>IFERROR((s_dir!F26/(d_ss_Bv!E26+s_MLF_beet)),".")</f>
        <v>87.550753445368372</v>
      </c>
      <c r="G26" s="15">
        <f>IFERROR((s_dir!G26/(d_ss_Bv!F26+s_MLF_berries)),".")</f>
        <v>89.426841019197695</v>
      </c>
      <c r="H26" s="15">
        <f>IFERROR((s_dir!H26/(d_ss_Bv!G26+s_MLF_broccoli)),".")</f>
        <v>87.673373548233045</v>
      </c>
      <c r="I26" s="15">
        <f>IFERROR((s_dir!I26/(d_ss_Bv!H26+s_MLF_cabbage)),".")</f>
        <v>85.168420018283527</v>
      </c>
      <c r="J26" s="15">
        <f>IFERROR((s_dir!J26/(d_ss_Bv!I26+s_MLF_carrot)),".")</f>
        <v>87.550753445368372</v>
      </c>
      <c r="K26" s="15">
        <f>IFERROR((s_dir!K26/(d_ss_Bv!J26+s_MLF_citrus)),".")</f>
        <v>89.426841019197695</v>
      </c>
      <c r="L26" s="15">
        <f>IFERROR((s_dir!L26/(d_ss_Bv!K26+s_MLF_corn)),".")</f>
        <v>88.541426751680888</v>
      </c>
      <c r="M26" s="15">
        <f>IFERROR((s_dir!M26/(d_ss_Bv!L26+s_MLF_cucumber)),".")</f>
        <v>87.673373548233045</v>
      </c>
      <c r="N26" s="15">
        <f>IFERROR((s_dir!N26/(d_ss_Bv!M26+s_MLF_lettuce)),".")</f>
        <v>85.168420018283527</v>
      </c>
      <c r="O26" s="15">
        <f>IFERROR((s_dir!O26/(d_ss_Bv!N26+s_MLF_lima_bean)),".")</f>
        <v>89.23562182956293</v>
      </c>
      <c r="P26" s="15">
        <f>IFERROR((s_dir!P26/(d_ss_Bv!O26+s_MLF_okra)),".")</f>
        <v>87.673373548233045</v>
      </c>
      <c r="Q26" s="15">
        <f>IFERROR((s_dir!Q26/(d_ss_Bv!P26+s_MLF_onion)),".")</f>
        <v>87.673373548233045</v>
      </c>
      <c r="R26" s="15">
        <f>IFERROR((s_dir!R26/(d_ss_Bv!Q26+s_MLF_peach)),".")</f>
        <v>89.426841019197695</v>
      </c>
      <c r="S26" s="15">
        <f>IFERROR((s_dir!S26/(d_ss_Bv!R26+s_MLF_pear)),".")</f>
        <v>89.426841019197695</v>
      </c>
      <c r="T26" s="15">
        <f>IFERROR((s_dir!T26/(d_ss_Bv!S26+s_MLF_peas)),".")</f>
        <v>89.23562182956293</v>
      </c>
      <c r="U26" s="15">
        <f>IFERROR((s_dir!U26/(d_ss_Bv!T26+s_MLF_potato)),".")</f>
        <v>91.385093012318819</v>
      </c>
      <c r="V26" s="15">
        <f>IFERROR((s_dir!V26/(d_ss_Bv!U26+s_MLF_pumpkin)),".")</f>
        <v>87.673373548233045</v>
      </c>
      <c r="W26" s="15">
        <f>IFERROR((s_dir!W26/(d_ss_Bv!V26+s_MLF_snap_bean)),".")</f>
        <v>89.23562182956293</v>
      </c>
      <c r="X26" s="15">
        <f>IFERROR((s_dir!X26/(d_ss_Bv!W26+s_MLF_strawberry)),".")</f>
        <v>89.426841019197695</v>
      </c>
      <c r="Y26" s="15">
        <f>IFERROR((s_dir!Y26/(d_ss_Bv!X26+s_MLF_tomato)),".")</f>
        <v>87.673373548233045</v>
      </c>
      <c r="Z26" s="15">
        <f>IFERROR((s_dir!Z26/(d_ss_Bv!Y26+s_MLF_rice)),".")</f>
        <v>91.652692113379786</v>
      </c>
      <c r="AA26" s="15">
        <f>IFERROR((s_dir!AA26/(d_ss_Bv!Z26+s_MLF_cereal)),".")</f>
        <v>80.254857324921019</v>
      </c>
      <c r="AB26" s="40">
        <f t="shared" si="3"/>
        <v>796.95</v>
      </c>
      <c r="AC26" s="40">
        <f>s_C*(d_ss_Bv!C26+s_MLF_apple)*s_IFAP_res_adj*s_CF_apple</f>
        <v>192.50000000000003</v>
      </c>
      <c r="AD26" s="40">
        <f>s_C*(d_ss_Bv!D26+s_MLF_asparagus)*s_IFAS_res_adj*s_CF_asparagus</f>
        <v>202.125</v>
      </c>
      <c r="AE26" s="40">
        <f>s_C*(d_ss_Bv!E26+s_MLF_beet)*s_IFBT_res_adj*s_CF_beet</f>
        <v>196.62500000000003</v>
      </c>
      <c r="AF26" s="40">
        <f>s_C*(d_ss_Bv!F26+s_MLF_berries)*s_IFBE_res_adj*s_CF_berries</f>
        <v>192.50000000000003</v>
      </c>
      <c r="AG26" s="40">
        <f>s_C*(d_ss_Bv!G26+s_MLF_broccoli)*s_IFBR_res_adj*s_CF_broccoli</f>
        <v>196.34999999999997</v>
      </c>
      <c r="AH26" s="40">
        <f>s_C*(d_ss_Bv!H26+s_MLF_cabbage)*s_IFCB_res_adj*s_CF_cabbage</f>
        <v>202.125</v>
      </c>
      <c r="AI26" s="40">
        <f>s_C*(d_ss_Bv!I26+s_MLF_carrot)*s_IFCR_res_adj*s_CF_carrot</f>
        <v>196.62500000000003</v>
      </c>
      <c r="AJ26" s="40">
        <f>s_C*(d_ss_Bv!J26+s_MLF_citrus)*s_IFCI_res_adj*s_CF_citrus</f>
        <v>192.50000000000003</v>
      </c>
      <c r="AK26" s="40">
        <f>s_C*(d_ss_Bv!K26+s_MLF_corn)*s_IFCO_res_adj*s_CF_corn</f>
        <v>194.42499999999998</v>
      </c>
      <c r="AL26" s="40">
        <f>s_C*(d_ss_Bv!L26+s_MLF_cucumber)*s_IFCU_res_adj*s_CF_cucumber</f>
        <v>196.34999999999997</v>
      </c>
      <c r="AM26" s="40">
        <f>s_C*(d_ss_Bv!M26+s_MLF_lettuce)*s_IFLE_res_adj*s_CF_lettuce</f>
        <v>202.125</v>
      </c>
      <c r="AN26" s="40">
        <f>s_C*(d_ss_Bv!N26+s_MLF_lima_bean)*s_IFLI_res_adj*s_CF_lima_bean</f>
        <v>192.91249999999997</v>
      </c>
      <c r="AO26" s="40">
        <f>s_C*(d_ss_Bv!O26+s_MLF_okra)*s_IFOK_res_adj*s_CF_okra</f>
        <v>196.34999999999997</v>
      </c>
      <c r="AP26" s="40">
        <f>s_C*(d_ss_Bv!P26+s_MLF_onion)*s_IFON_res_adj*s_CF_onion</f>
        <v>196.34999999999997</v>
      </c>
      <c r="AQ26" s="40">
        <f>s_C*(d_ss_Bv!Q26+s_MLF_peach)*s_IFPC_res_adj*s_CF_peach</f>
        <v>192.50000000000003</v>
      </c>
      <c r="AR26" s="40">
        <f>s_C*(d_ss_Bv!R26+s_MLF_pear)*s_IFPR_res_adj*s_CF_pear</f>
        <v>192.50000000000003</v>
      </c>
      <c r="AS26" s="40">
        <f>s_C*(d_ss_Bv!S26+s_MLF_peas)*s_IFPE_res_adj*s_CF_peas</f>
        <v>192.91249999999997</v>
      </c>
      <c r="AT26" s="40">
        <f>s_C*(d_ss_Bv!T26+s_MLF_potato)*s_IFPT_res_adj*s_CF_potato</f>
        <v>188.37500000000003</v>
      </c>
      <c r="AU26" s="40">
        <f>s_C*(d_ss_Bv!U26+s_MLF_pumpkin)*s_IFPU_res_adj*s_CF_pumpkin</f>
        <v>196.34999999999997</v>
      </c>
      <c r="AV26" s="40">
        <f>s_C*(d_ss_Bv!V26+s_MLF_snap_bean)*s_IFSN_res_adj*s_CF_snap_bean</f>
        <v>192.91249999999997</v>
      </c>
      <c r="AW26" s="40">
        <f>s_C*(d_ss_Bv!W26+s_MLF_strawberry)*s_IFST_res_adj*s_CF_strawberry</f>
        <v>192.50000000000003</v>
      </c>
      <c r="AX26" s="40">
        <f>s_C*(d_ss_Bv!X26+s_MLF_tomato)*s_IFTO_res_adj*s_CF_tomato</f>
        <v>196.34999999999997</v>
      </c>
      <c r="AY26" s="40">
        <f>s_C*(d_ss_Bv!Y26+s_MLF_rice)*s_IFRI_res_adj*s_CF_rice</f>
        <v>187.82499999999999</v>
      </c>
      <c r="AZ26" s="40">
        <f>s_C*(d_ss_Bv!Z26+s_MLF_cereal)*s_IFCG_res_adj*s_CF_cereal</f>
        <v>214.5</v>
      </c>
      <c r="BA26" s="15">
        <f t="shared" si="4"/>
        <v>21.600686236521188</v>
      </c>
      <c r="BB26" s="15">
        <f>IFERROR((s_dir!AC26/(d_ss_Bv!C26+s_MLF_apple)),".")</f>
        <v>89.426841019197695</v>
      </c>
      <c r="BC26" s="15">
        <f>IFERROR((s_dir!AD26/(d_ss_Bv!D26+s_MLF_asparagus)),".")</f>
        <v>85.168420018283527</v>
      </c>
      <c r="BD26" s="15">
        <f>IFERROR((s_dir!AE26/(d_ss_Bv!E26+s_MLF_beet)),".")</f>
        <v>87.550753445368372</v>
      </c>
      <c r="BE26" s="15">
        <f>IFERROR((s_dir!AF26/(d_ss_Bv!F26+s_MLF_berries)),".")</f>
        <v>89.426841019197695</v>
      </c>
      <c r="BF26" s="15">
        <f>IFERROR((s_dir!AG26/(d_ss_Bv!G26+s_MLF_broccoli)),".")</f>
        <v>87.673373548233045</v>
      </c>
      <c r="BG26" s="15">
        <f>IFERROR((s_dir!AH26/(d_ss_Bv!H26+s_MLF_cabbage)),".")</f>
        <v>85.168420018283527</v>
      </c>
      <c r="BH26" s="15">
        <f>IFERROR((s_dir!AI26/(d_ss_Bv!I26+s_MLF_carrot)),".")</f>
        <v>87.550753445368372</v>
      </c>
      <c r="BI26" s="15">
        <f>IFERROR((s_dir!AJ26/(d_ss_Bv!J26+s_MLF_citrus)),".")</f>
        <v>89.426841019197695</v>
      </c>
      <c r="BJ26" s="15">
        <f>IFERROR((s_dir!AK26/(d_ss_Bv!K26+s_MLF_corn)),".")</f>
        <v>88.541426751680888</v>
      </c>
      <c r="BK26" s="15">
        <f>IFERROR((s_dir!AL26/(d_ss_Bv!L26+s_MLF_cucumber)),".")</f>
        <v>87.673373548233045</v>
      </c>
      <c r="BL26" s="15">
        <f>IFERROR((s_dir!AM26/(d_ss_Bv!M26+s_MLF_lettuce)),".")</f>
        <v>85.168420018283527</v>
      </c>
      <c r="BM26" s="15">
        <f>IFERROR((s_dir!AN26/(d_ss_Bv!N26+s_MLF_lima_bean)),".")</f>
        <v>89.23562182956293</v>
      </c>
      <c r="BN26" s="15">
        <f>IFERROR((s_dir!AO26/(d_ss_Bv!O26+s_MLF_okra)),".")</f>
        <v>87.673373548233045</v>
      </c>
      <c r="BO26" s="15">
        <f>IFERROR((s_dir!AP26/(d_ss_Bv!P26+s_MLF_onion)),".")</f>
        <v>87.673373548233045</v>
      </c>
      <c r="BP26" s="15">
        <f>IFERROR((s_dir!AQ26/(d_ss_Bv!Q26+s_MLF_peach)),".")</f>
        <v>89.426841019197695</v>
      </c>
      <c r="BQ26" s="15">
        <f>IFERROR((s_dir!AR26/(d_ss_Bv!R26+s_MLF_pear)),".")</f>
        <v>89.426841019197695</v>
      </c>
      <c r="BR26" s="15">
        <f>IFERROR((s_dir!AS26/(d_ss_Bv!S26+s_MLF_peas)),".")</f>
        <v>89.23562182956293</v>
      </c>
      <c r="BS26" s="15">
        <f>IFERROR((s_dir!AT26/(d_ss_Bv!T26+s_MLF_potato)),".")</f>
        <v>91.385093012318819</v>
      </c>
      <c r="BT26" s="15">
        <f>IFERROR((s_dir!AU26/(d_ss_Bv!U26+s_MLF_pumpkin)),".")</f>
        <v>87.673373548233045</v>
      </c>
      <c r="BU26" s="15">
        <f>IFERROR((s_dir!AV26/(d_ss_Bv!V26+s_MLF_snap_bean)),".")</f>
        <v>89.23562182956293</v>
      </c>
      <c r="BV26" s="15">
        <f>IFERROR((s_dir!AW26/(d_ss_Bv!W26+s_MLF_strawberry)),".")</f>
        <v>89.426841019197695</v>
      </c>
      <c r="BW26" s="15">
        <f>IFERROR((s_dir!AX26/(d_ss_Bv!X26+s_MLF_tomato)),".")</f>
        <v>87.673373548233045</v>
      </c>
      <c r="BX26" s="15">
        <f>IFERROR((s_dir!AY26/(d_ss_Bv!Y26+s_MLF_rice)),".")</f>
        <v>91.652692113379786</v>
      </c>
      <c r="BY26" s="15">
        <f>IFERROR((s_dir!AZ26/(d_ss_Bv!Z26+s_MLF_cereal)),".")</f>
        <v>80.254857324921019</v>
      </c>
      <c r="BZ26" s="40">
        <f t="shared" si="5"/>
        <v>796.95</v>
      </c>
      <c r="CA26" s="40">
        <f>IFERROR(s_C*(d_ss_Bv!C26+s_MLF_apple)*s_IFAP_far_adj*s_CF_apple,".")</f>
        <v>192.50000000000003</v>
      </c>
      <c r="CB26" s="40">
        <f>IFERROR(s_C*(d_ss_Bv!D26+s_MLF_asparagus)*s_IFAS_far_adj*s_CF_asparagus,".")</f>
        <v>202.125</v>
      </c>
      <c r="CC26" s="40">
        <f>IFERROR(s_C*(d_ss_Bv!E26+s_MLF_beet)*s_IFBT_far_adj*s_CF_beet,".")</f>
        <v>196.62500000000003</v>
      </c>
      <c r="CD26" s="40">
        <f>IFERROR(s_C*(d_ss_Bv!F26+s_MLF_berries)*s_IFBR_far_adj*s_CF_berries,".")</f>
        <v>192.50000000000003</v>
      </c>
      <c r="CE26" s="40">
        <f>IFERROR(s_C*(d_ss_Bv!G26+s_MLF_broccoli)*s_IFBR_far_adj*s_CF_broccoli,".")</f>
        <v>196.34999999999997</v>
      </c>
      <c r="CF26" s="40">
        <f>IFERROR(s_C*(d_ss_Bv!H26+s_MLF_cabbage)*s_IFCB_far_adj*s_CF_cabbage,".")</f>
        <v>202.125</v>
      </c>
      <c r="CG26" s="40">
        <f>IFERROR(s_C*(d_ss_Bv!I26+s_MLF_carrot)*s_IFCR_far_adj*s_CF_carrot,".")</f>
        <v>196.62500000000003</v>
      </c>
      <c r="CH26" s="40">
        <f>IFERROR(s_C*(d_ss_Bv!J26+s_MLF_citrus)*s_IFCI_far_adj*s_CF_citrus,".")</f>
        <v>192.50000000000003</v>
      </c>
      <c r="CI26" s="40">
        <f>IFERROR(s_C*(d_ss_Bv!K26+s_MLF_corn)*s_IFCO_far_adj*s_CF_corn,".")</f>
        <v>194.42499999999998</v>
      </c>
      <c r="CJ26" s="40">
        <f>IFERROR(s_C*(d_ss_Bv!L26+s_MLF_cucumber)*s_IFCU_far_adj*s_CF_cucumber,".")</f>
        <v>196.34999999999997</v>
      </c>
      <c r="CK26" s="40">
        <f>IFERROR(s_C*(d_ss_Bv!M26+s_MLF_lettuce)*s_IFLE_far_adj*s_CF_lettuce,".")</f>
        <v>202.125</v>
      </c>
      <c r="CL26" s="40">
        <f>IFERROR(s_C*(d_ss_Bv!N26+s_MLF_lima_bean)*s_IFLI_far_adj*s_CF_lima_bean,".")</f>
        <v>192.91249999999997</v>
      </c>
      <c r="CM26" s="40">
        <f>IFERROR(s_C*(d_ss_Bv!O26+s_MLF_okra)*s_IFOK_far_adj*s_CF_okra,".")</f>
        <v>196.34999999999997</v>
      </c>
      <c r="CN26" s="40">
        <f>IFERROR(s_C*(d_ss_Bv!P26+s_MLF_onion)*s_IFON_far_adj*s_CF_onion,".")</f>
        <v>196.34999999999997</v>
      </c>
      <c r="CO26" s="40">
        <f>IFERROR(s_C*(d_ss_Bv!Q26+s_MLF_peach)*s_IFPC_far_adj*s_CF_peach,".")</f>
        <v>192.50000000000003</v>
      </c>
      <c r="CP26" s="40">
        <f>IFERROR(s_C*(d_ss_Bv!R26+s_MLF_pear)*s_IFPR_far_adj*s_CF_pear,".")</f>
        <v>192.50000000000003</v>
      </c>
      <c r="CQ26" s="40">
        <f>IFERROR(s_C*(d_ss_Bv!S26+s_MLF_peas)*s_IFPE_far_adj*s_CF_peas,".")</f>
        <v>192.91249999999997</v>
      </c>
      <c r="CR26" s="40">
        <f>IFERROR(s_C*(d_ss_Bv!T26+s_MLF_potato)*s_IFPT_far_adj*s_CF_potato,".")</f>
        <v>188.37500000000003</v>
      </c>
      <c r="CS26" s="40">
        <f>IFERROR(s_C*(d_ss_Bv!U26+s_MLF_pumpkin)*s_IFPU_far_adj*s_CF_pumpkin,".")</f>
        <v>196.34999999999997</v>
      </c>
      <c r="CT26" s="40">
        <f>IFERROR(s_C*(d_ss_Bv!V26+s_MLF_snap_bean)*s_IFSN_far_adj*s_CF_snap_bean,".")</f>
        <v>192.91249999999997</v>
      </c>
      <c r="CU26" s="40">
        <f>IFERROR(s_C*(d_ss_Bv!W26+s_MLF_strawberry)*s_IFST_far_adj*s_CF_strawberry,".")</f>
        <v>192.50000000000003</v>
      </c>
      <c r="CV26" s="40">
        <f>IFERROR(s_C*(d_ss_Bv!X26+s_MLF_tomato)*s_IFTO_far_adj*s_CF_tomato,".")</f>
        <v>196.34999999999997</v>
      </c>
      <c r="CW26" s="40">
        <f>IFERROR(s_C*(d_ss_Bv!Y26+s_MLF_rice)*s_IFRI_far_adj*s_CF_rice,".")</f>
        <v>187.82499999999999</v>
      </c>
      <c r="CX26" s="40">
        <f>IFERROR(s_C*(d_ss_Bv!Z26+s_MLF_cereal)*s_IFCG_far_adj*s_CF_cereal,".")</f>
        <v>214.5</v>
      </c>
    </row>
    <row r="27" spans="1:102" ht="15" customHeight="1" x14ac:dyDescent="0.25">
      <c r="A27" s="44" t="s">
        <v>37</v>
      </c>
      <c r="B27" s="42" t="s">
        <v>1074</v>
      </c>
      <c r="C27" s="15" t="str">
        <f t="shared" si="2"/>
        <v>.</v>
      </c>
      <c r="D27" s="15" t="str">
        <f>IFERROR((s_dir!D27/(d_ss_Bv!C27+s_MLF_apple)),".")</f>
        <v>.</v>
      </c>
      <c r="E27" s="15" t="str">
        <f>IFERROR((s_dir!E27/(d_ss_Bv!D27+s_MLF_asparagus)),".")</f>
        <v>.</v>
      </c>
      <c r="F27" s="15" t="str">
        <f>IFERROR((s_dir!F27/(d_ss_Bv!E27+s_MLF_beet)),".")</f>
        <v>.</v>
      </c>
      <c r="G27" s="15" t="str">
        <f>IFERROR((s_dir!G27/(d_ss_Bv!F27+s_MLF_berries)),".")</f>
        <v>.</v>
      </c>
      <c r="H27" s="15" t="str">
        <f>IFERROR((s_dir!H27/(d_ss_Bv!G27+s_MLF_broccoli)),".")</f>
        <v>.</v>
      </c>
      <c r="I27" s="15" t="str">
        <f>IFERROR((s_dir!I27/(d_ss_Bv!H27+s_MLF_cabbage)),".")</f>
        <v>.</v>
      </c>
      <c r="J27" s="15" t="str">
        <f>IFERROR((s_dir!J27/(d_ss_Bv!I27+s_MLF_carrot)),".")</f>
        <v>.</v>
      </c>
      <c r="K27" s="15" t="str">
        <f>IFERROR((s_dir!K27/(d_ss_Bv!J27+s_MLF_citrus)),".")</f>
        <v>.</v>
      </c>
      <c r="L27" s="15" t="str">
        <f>IFERROR((s_dir!L27/(d_ss_Bv!K27+s_MLF_corn)),".")</f>
        <v>.</v>
      </c>
      <c r="M27" s="15" t="str">
        <f>IFERROR((s_dir!M27/(d_ss_Bv!L27+s_MLF_cucumber)),".")</f>
        <v>.</v>
      </c>
      <c r="N27" s="15" t="str">
        <f>IFERROR((s_dir!N27/(d_ss_Bv!M27+s_MLF_lettuce)),".")</f>
        <v>.</v>
      </c>
      <c r="O27" s="15" t="str">
        <f>IFERROR((s_dir!O27/(d_ss_Bv!N27+s_MLF_lima_bean)),".")</f>
        <v>.</v>
      </c>
      <c r="P27" s="15" t="str">
        <f>IFERROR((s_dir!P27/(d_ss_Bv!O27+s_MLF_okra)),".")</f>
        <v>.</v>
      </c>
      <c r="Q27" s="15" t="str">
        <f>IFERROR((s_dir!Q27/(d_ss_Bv!P27+s_MLF_onion)),".")</f>
        <v>.</v>
      </c>
      <c r="R27" s="15" t="str">
        <f>IFERROR((s_dir!R27/(d_ss_Bv!Q27+s_MLF_peach)),".")</f>
        <v>.</v>
      </c>
      <c r="S27" s="15" t="str">
        <f>IFERROR((s_dir!S27/(d_ss_Bv!R27+s_MLF_pear)),".")</f>
        <v>.</v>
      </c>
      <c r="T27" s="15" t="str">
        <f>IFERROR((s_dir!T27/(d_ss_Bv!S27+s_MLF_peas)),".")</f>
        <v>.</v>
      </c>
      <c r="U27" s="15" t="str">
        <f>IFERROR((s_dir!U27/(d_ss_Bv!T27+s_MLF_potato)),".")</f>
        <v>.</v>
      </c>
      <c r="V27" s="15" t="str">
        <f>IFERROR((s_dir!V27/(d_ss_Bv!U27+s_MLF_pumpkin)),".")</f>
        <v>.</v>
      </c>
      <c r="W27" s="15" t="str">
        <f>IFERROR((s_dir!W27/(d_ss_Bv!V27+s_MLF_snap_bean)),".")</f>
        <v>.</v>
      </c>
      <c r="X27" s="15" t="str">
        <f>IFERROR((s_dir!X27/(d_ss_Bv!W27+s_MLF_strawberry)),".")</f>
        <v>.</v>
      </c>
      <c r="Y27" s="15" t="str">
        <f>IFERROR((s_dir!Y27/(d_ss_Bv!X27+s_MLF_tomato)),".")</f>
        <v>.</v>
      </c>
      <c r="Z27" s="15" t="str">
        <f>IFERROR((s_dir!Z27/(d_ss_Bv!Y27+s_MLF_rice)),".")</f>
        <v>.</v>
      </c>
      <c r="AA27" s="15" t="str">
        <f>IFERROR((s_dir!AA27/(d_ss_Bv!Z27+s_MLF_cereal)),".")</f>
        <v>.</v>
      </c>
      <c r="AB27" s="40">
        <f t="shared" si="3"/>
        <v>6254.6</v>
      </c>
      <c r="AC27" s="40">
        <f>s_C*(d_ss_Bv!C27+s_MLF_apple)*s_IFAP_res_adj*s_CF_apple</f>
        <v>186.72499999999999</v>
      </c>
      <c r="AD27" s="40">
        <f>s_C*(d_ss_Bv!D27+s_MLF_asparagus)*s_IFAS_res_adj*s_CF_asparagus</f>
        <v>196.62500000000003</v>
      </c>
      <c r="AE27" s="40">
        <f>s_C*(d_ss_Bv!E27+s_MLF_beet)*s_IFBT_res_adj*s_CF_beet</f>
        <v>186.72499999999999</v>
      </c>
      <c r="AF27" s="40">
        <f>s_C*(d_ss_Bv!F27+s_MLF_berries)*s_IFBE_res_adj*s_CF_berries</f>
        <v>186.72499999999999</v>
      </c>
      <c r="AG27" s="40">
        <f>s_C*(d_ss_Bv!G27+s_MLF_broccoli)*s_IFBR_res_adj*s_CF_broccoli</f>
        <v>186.72499999999999</v>
      </c>
      <c r="AH27" s="40">
        <f>s_C*(d_ss_Bv!H27+s_MLF_cabbage)*s_IFCB_res_adj*s_CF_cabbage</f>
        <v>196.62500000000003</v>
      </c>
      <c r="AI27" s="40">
        <f>s_C*(d_ss_Bv!I27+s_MLF_carrot)*s_IFCR_res_adj*s_CF_carrot</f>
        <v>186.72499999999999</v>
      </c>
      <c r="AJ27" s="40">
        <f>s_C*(d_ss_Bv!J27+s_MLF_citrus)*s_IFCI_res_adj*s_CF_citrus</f>
        <v>186.72499999999999</v>
      </c>
      <c r="AK27" s="40">
        <f>s_C*(d_ss_Bv!K27+s_MLF_corn)*s_IFCO_res_adj*s_CF_corn</f>
        <v>186.72499999999999</v>
      </c>
      <c r="AL27" s="40">
        <f>s_C*(d_ss_Bv!L27+s_MLF_cucumber)*s_IFCU_res_adj*s_CF_cucumber</f>
        <v>186.72499999999999</v>
      </c>
      <c r="AM27" s="40">
        <f>s_C*(d_ss_Bv!M27+s_MLF_lettuce)*s_IFLE_res_adj*s_CF_lettuce</f>
        <v>196.62500000000003</v>
      </c>
      <c r="AN27" s="40">
        <f>s_C*(d_ss_Bv!N27+s_MLF_lima_bean)*s_IFLI_res_adj*s_CF_lima_bean</f>
        <v>186.72499999999999</v>
      </c>
      <c r="AO27" s="40">
        <f>s_C*(d_ss_Bv!O27+s_MLF_okra)*s_IFOK_res_adj*s_CF_okra</f>
        <v>186.72499999999999</v>
      </c>
      <c r="AP27" s="40">
        <f>s_C*(d_ss_Bv!P27+s_MLF_onion)*s_IFON_res_adj*s_CF_onion</f>
        <v>186.72499999999999</v>
      </c>
      <c r="AQ27" s="40">
        <f>s_C*(d_ss_Bv!Q27+s_MLF_peach)*s_IFPC_res_adj*s_CF_peach</f>
        <v>186.72499999999999</v>
      </c>
      <c r="AR27" s="40">
        <f>s_C*(d_ss_Bv!R27+s_MLF_pear)*s_IFPR_res_adj*s_CF_pear</f>
        <v>186.72499999999999</v>
      </c>
      <c r="AS27" s="40">
        <f>s_C*(d_ss_Bv!S27+s_MLF_peas)*s_IFPE_res_adj*s_CF_peas</f>
        <v>186.72499999999999</v>
      </c>
      <c r="AT27" s="40">
        <f>s_C*(d_ss_Bv!T27+s_MLF_potato)*s_IFPT_res_adj*s_CF_potato</f>
        <v>186.72499999999999</v>
      </c>
      <c r="AU27" s="40">
        <f>s_C*(d_ss_Bv!U27+s_MLF_pumpkin)*s_IFPU_res_adj*s_CF_pumpkin</f>
        <v>186.72499999999999</v>
      </c>
      <c r="AV27" s="40">
        <f>s_C*(d_ss_Bv!V27+s_MLF_snap_bean)*s_IFSN_res_adj*s_CF_snap_bean</f>
        <v>186.72499999999999</v>
      </c>
      <c r="AW27" s="40">
        <f>s_C*(d_ss_Bv!W27+s_MLF_strawberry)*s_IFST_res_adj*s_CF_strawberry</f>
        <v>186.72499999999999</v>
      </c>
      <c r="AX27" s="40">
        <f>s_C*(d_ss_Bv!X27+s_MLF_tomato)*s_IFTO_res_adj*s_CF_tomato</f>
        <v>186.72499999999999</v>
      </c>
      <c r="AY27" s="40">
        <f>s_C*(d_ss_Bv!Y27+s_MLF_rice)*s_IFRI_res_adj*s_CF_rice</f>
        <v>2935.6250000000005</v>
      </c>
      <c r="AZ27" s="40">
        <f>s_C*(d_ss_Bv!Z27+s_MLF_cereal)*s_IFCG_res_adj*s_CF_cereal</f>
        <v>2935.6250000000005</v>
      </c>
      <c r="BA27" s="15" t="str">
        <f t="shared" si="4"/>
        <v>.</v>
      </c>
      <c r="BB27" s="15" t="str">
        <f>IFERROR((s_dir!AC27/(d_ss_Bv!C27+s_MLF_apple)),".")</f>
        <v>.</v>
      </c>
      <c r="BC27" s="15" t="str">
        <f>IFERROR((s_dir!AD27/(d_ss_Bv!D27+s_MLF_asparagus)),".")</f>
        <v>.</v>
      </c>
      <c r="BD27" s="15" t="str">
        <f>IFERROR((s_dir!AE27/(d_ss_Bv!E27+s_MLF_beet)),".")</f>
        <v>.</v>
      </c>
      <c r="BE27" s="15" t="str">
        <f>IFERROR((s_dir!AF27/(d_ss_Bv!F27+s_MLF_berries)),".")</f>
        <v>.</v>
      </c>
      <c r="BF27" s="15" t="str">
        <f>IFERROR((s_dir!AG27/(d_ss_Bv!G27+s_MLF_broccoli)),".")</f>
        <v>.</v>
      </c>
      <c r="BG27" s="15" t="str">
        <f>IFERROR((s_dir!AH27/(d_ss_Bv!H27+s_MLF_cabbage)),".")</f>
        <v>.</v>
      </c>
      <c r="BH27" s="15" t="str">
        <f>IFERROR((s_dir!AI27/(d_ss_Bv!I27+s_MLF_carrot)),".")</f>
        <v>.</v>
      </c>
      <c r="BI27" s="15" t="str">
        <f>IFERROR((s_dir!AJ27/(d_ss_Bv!J27+s_MLF_citrus)),".")</f>
        <v>.</v>
      </c>
      <c r="BJ27" s="15" t="str">
        <f>IFERROR((s_dir!AK27/(d_ss_Bv!K27+s_MLF_corn)),".")</f>
        <v>.</v>
      </c>
      <c r="BK27" s="15" t="str">
        <f>IFERROR((s_dir!AL27/(d_ss_Bv!L27+s_MLF_cucumber)),".")</f>
        <v>.</v>
      </c>
      <c r="BL27" s="15" t="str">
        <f>IFERROR((s_dir!AM27/(d_ss_Bv!M27+s_MLF_lettuce)),".")</f>
        <v>.</v>
      </c>
      <c r="BM27" s="15" t="str">
        <f>IFERROR((s_dir!AN27/(d_ss_Bv!N27+s_MLF_lima_bean)),".")</f>
        <v>.</v>
      </c>
      <c r="BN27" s="15" t="str">
        <f>IFERROR((s_dir!AO27/(d_ss_Bv!O27+s_MLF_okra)),".")</f>
        <v>.</v>
      </c>
      <c r="BO27" s="15" t="str">
        <f>IFERROR((s_dir!AP27/(d_ss_Bv!P27+s_MLF_onion)),".")</f>
        <v>.</v>
      </c>
      <c r="BP27" s="15" t="str">
        <f>IFERROR((s_dir!AQ27/(d_ss_Bv!Q27+s_MLF_peach)),".")</f>
        <v>.</v>
      </c>
      <c r="BQ27" s="15" t="str">
        <f>IFERROR((s_dir!AR27/(d_ss_Bv!R27+s_MLF_pear)),".")</f>
        <v>.</v>
      </c>
      <c r="BR27" s="15" t="str">
        <f>IFERROR((s_dir!AS27/(d_ss_Bv!S27+s_MLF_peas)),".")</f>
        <v>.</v>
      </c>
      <c r="BS27" s="15" t="str">
        <f>IFERROR((s_dir!AT27/(d_ss_Bv!T27+s_MLF_potato)),".")</f>
        <v>.</v>
      </c>
      <c r="BT27" s="15" t="str">
        <f>IFERROR((s_dir!AU27/(d_ss_Bv!U27+s_MLF_pumpkin)),".")</f>
        <v>.</v>
      </c>
      <c r="BU27" s="15" t="str">
        <f>IFERROR((s_dir!AV27/(d_ss_Bv!V27+s_MLF_snap_bean)),".")</f>
        <v>.</v>
      </c>
      <c r="BV27" s="15" t="str">
        <f>IFERROR((s_dir!AW27/(d_ss_Bv!W27+s_MLF_strawberry)),".")</f>
        <v>.</v>
      </c>
      <c r="BW27" s="15" t="str">
        <f>IFERROR((s_dir!AX27/(d_ss_Bv!X27+s_MLF_tomato)),".")</f>
        <v>.</v>
      </c>
      <c r="BX27" s="15" t="str">
        <f>IFERROR((s_dir!AY27/(d_ss_Bv!Y27+s_MLF_rice)),".")</f>
        <v>.</v>
      </c>
      <c r="BY27" s="15" t="str">
        <f>IFERROR((s_dir!AZ27/(d_ss_Bv!Z27+s_MLF_cereal)),".")</f>
        <v>.</v>
      </c>
      <c r="BZ27" s="40">
        <f t="shared" si="5"/>
        <v>6254.6</v>
      </c>
      <c r="CA27" s="40">
        <f>IFERROR(s_C*(d_ss_Bv!C27+s_MLF_apple)*s_IFAP_far_adj*s_CF_apple,".")</f>
        <v>186.72499999999999</v>
      </c>
      <c r="CB27" s="40">
        <f>IFERROR(s_C*(d_ss_Bv!D27+s_MLF_asparagus)*s_IFAS_far_adj*s_CF_asparagus,".")</f>
        <v>196.62500000000003</v>
      </c>
      <c r="CC27" s="40">
        <f>IFERROR(s_C*(d_ss_Bv!E27+s_MLF_beet)*s_IFBT_far_adj*s_CF_beet,".")</f>
        <v>186.72499999999999</v>
      </c>
      <c r="CD27" s="40">
        <f>IFERROR(s_C*(d_ss_Bv!F27+s_MLF_berries)*s_IFBR_far_adj*s_CF_berries,".")</f>
        <v>186.72499999999999</v>
      </c>
      <c r="CE27" s="40">
        <f>IFERROR(s_C*(d_ss_Bv!G27+s_MLF_broccoli)*s_IFBR_far_adj*s_CF_broccoli,".")</f>
        <v>186.72499999999999</v>
      </c>
      <c r="CF27" s="40">
        <f>IFERROR(s_C*(d_ss_Bv!H27+s_MLF_cabbage)*s_IFCB_far_adj*s_CF_cabbage,".")</f>
        <v>196.62500000000003</v>
      </c>
      <c r="CG27" s="40">
        <f>IFERROR(s_C*(d_ss_Bv!I27+s_MLF_carrot)*s_IFCR_far_adj*s_CF_carrot,".")</f>
        <v>186.72499999999999</v>
      </c>
      <c r="CH27" s="40">
        <f>IFERROR(s_C*(d_ss_Bv!J27+s_MLF_citrus)*s_IFCI_far_adj*s_CF_citrus,".")</f>
        <v>186.72499999999999</v>
      </c>
      <c r="CI27" s="40">
        <f>IFERROR(s_C*(d_ss_Bv!K27+s_MLF_corn)*s_IFCO_far_adj*s_CF_corn,".")</f>
        <v>186.72499999999999</v>
      </c>
      <c r="CJ27" s="40">
        <f>IFERROR(s_C*(d_ss_Bv!L27+s_MLF_cucumber)*s_IFCU_far_adj*s_CF_cucumber,".")</f>
        <v>186.72499999999999</v>
      </c>
      <c r="CK27" s="40">
        <f>IFERROR(s_C*(d_ss_Bv!M27+s_MLF_lettuce)*s_IFLE_far_adj*s_CF_lettuce,".")</f>
        <v>196.62500000000003</v>
      </c>
      <c r="CL27" s="40">
        <f>IFERROR(s_C*(d_ss_Bv!N27+s_MLF_lima_bean)*s_IFLI_far_adj*s_CF_lima_bean,".")</f>
        <v>186.72499999999999</v>
      </c>
      <c r="CM27" s="40">
        <f>IFERROR(s_C*(d_ss_Bv!O27+s_MLF_okra)*s_IFOK_far_adj*s_CF_okra,".")</f>
        <v>186.72499999999999</v>
      </c>
      <c r="CN27" s="40">
        <f>IFERROR(s_C*(d_ss_Bv!P27+s_MLF_onion)*s_IFON_far_adj*s_CF_onion,".")</f>
        <v>186.72499999999999</v>
      </c>
      <c r="CO27" s="40">
        <f>IFERROR(s_C*(d_ss_Bv!Q27+s_MLF_peach)*s_IFPC_far_adj*s_CF_peach,".")</f>
        <v>186.72499999999999</v>
      </c>
      <c r="CP27" s="40">
        <f>IFERROR(s_C*(d_ss_Bv!R27+s_MLF_pear)*s_IFPR_far_adj*s_CF_pear,".")</f>
        <v>186.72499999999999</v>
      </c>
      <c r="CQ27" s="40">
        <f>IFERROR(s_C*(d_ss_Bv!S27+s_MLF_peas)*s_IFPE_far_adj*s_CF_peas,".")</f>
        <v>186.72499999999999</v>
      </c>
      <c r="CR27" s="40">
        <f>IFERROR(s_C*(d_ss_Bv!T27+s_MLF_potato)*s_IFPT_far_adj*s_CF_potato,".")</f>
        <v>186.72499999999999</v>
      </c>
      <c r="CS27" s="40">
        <f>IFERROR(s_C*(d_ss_Bv!U27+s_MLF_pumpkin)*s_IFPU_far_adj*s_CF_pumpkin,".")</f>
        <v>186.72499999999999</v>
      </c>
      <c r="CT27" s="40">
        <f>IFERROR(s_C*(d_ss_Bv!V27+s_MLF_snap_bean)*s_IFSN_far_adj*s_CF_snap_bean,".")</f>
        <v>186.72499999999999</v>
      </c>
      <c r="CU27" s="40">
        <f>IFERROR(s_C*(d_ss_Bv!W27+s_MLF_strawberry)*s_IFST_far_adj*s_CF_strawberry,".")</f>
        <v>186.72499999999999</v>
      </c>
      <c r="CV27" s="40">
        <f>IFERROR(s_C*(d_ss_Bv!X27+s_MLF_tomato)*s_IFTO_far_adj*s_CF_tomato,".")</f>
        <v>186.72499999999999</v>
      </c>
      <c r="CW27" s="40">
        <f>IFERROR(s_C*(d_ss_Bv!Y27+s_MLF_rice)*s_IFRI_far_adj*s_CF_rice,".")</f>
        <v>2935.6250000000005</v>
      </c>
      <c r="CX27" s="40">
        <f>IFERROR(s_C*(d_ss_Bv!Z27+s_MLF_cereal)*s_IFCG_far_adj*s_CF_cereal,".")</f>
        <v>2935.6250000000005</v>
      </c>
    </row>
    <row r="28" spans="1:102" ht="15" customHeight="1" x14ac:dyDescent="0.25">
      <c r="A28" s="44" t="s">
        <v>38</v>
      </c>
      <c r="B28" s="42" t="s">
        <v>1074</v>
      </c>
      <c r="C28" s="15" t="str">
        <f t="shared" si="2"/>
        <v>.</v>
      </c>
      <c r="D28" s="15" t="str">
        <f>IFERROR((s_dir!D28/(d_ss_Bv!C28+s_MLF_apple)),".")</f>
        <v>.</v>
      </c>
      <c r="E28" s="15" t="str">
        <f>IFERROR((s_dir!E28/(d_ss_Bv!D28+s_MLF_asparagus)),".")</f>
        <v>.</v>
      </c>
      <c r="F28" s="15" t="str">
        <f>IFERROR((s_dir!F28/(d_ss_Bv!E28+s_MLF_beet)),".")</f>
        <v>.</v>
      </c>
      <c r="G28" s="15" t="str">
        <f>IFERROR((s_dir!G28/(d_ss_Bv!F28+s_MLF_berries)),".")</f>
        <v>.</v>
      </c>
      <c r="H28" s="15" t="str">
        <f>IFERROR((s_dir!H28/(d_ss_Bv!G28+s_MLF_broccoli)),".")</f>
        <v>.</v>
      </c>
      <c r="I28" s="15" t="str">
        <f>IFERROR((s_dir!I28/(d_ss_Bv!H28+s_MLF_cabbage)),".")</f>
        <v>.</v>
      </c>
      <c r="J28" s="15" t="str">
        <f>IFERROR((s_dir!J28/(d_ss_Bv!I28+s_MLF_carrot)),".")</f>
        <v>.</v>
      </c>
      <c r="K28" s="15" t="str">
        <f>IFERROR((s_dir!K28/(d_ss_Bv!J28+s_MLF_citrus)),".")</f>
        <v>.</v>
      </c>
      <c r="L28" s="15" t="str">
        <f>IFERROR((s_dir!L28/(d_ss_Bv!K28+s_MLF_corn)),".")</f>
        <v>.</v>
      </c>
      <c r="M28" s="15" t="str">
        <f>IFERROR((s_dir!M28/(d_ss_Bv!L28+s_MLF_cucumber)),".")</f>
        <v>.</v>
      </c>
      <c r="N28" s="15" t="str">
        <f>IFERROR((s_dir!N28/(d_ss_Bv!M28+s_MLF_lettuce)),".")</f>
        <v>.</v>
      </c>
      <c r="O28" s="15" t="str">
        <f>IFERROR((s_dir!O28/(d_ss_Bv!N28+s_MLF_lima_bean)),".")</f>
        <v>.</v>
      </c>
      <c r="P28" s="15" t="str">
        <f>IFERROR((s_dir!P28/(d_ss_Bv!O28+s_MLF_okra)),".")</f>
        <v>.</v>
      </c>
      <c r="Q28" s="15" t="str">
        <f>IFERROR((s_dir!Q28/(d_ss_Bv!P28+s_MLF_onion)),".")</f>
        <v>.</v>
      </c>
      <c r="R28" s="15" t="str">
        <f>IFERROR((s_dir!R28/(d_ss_Bv!Q28+s_MLF_peach)),".")</f>
        <v>.</v>
      </c>
      <c r="S28" s="15" t="str">
        <f>IFERROR((s_dir!S28/(d_ss_Bv!R28+s_MLF_pear)),".")</f>
        <v>.</v>
      </c>
      <c r="T28" s="15" t="str">
        <f>IFERROR((s_dir!T28/(d_ss_Bv!S28+s_MLF_peas)),".")</f>
        <v>.</v>
      </c>
      <c r="U28" s="15" t="str">
        <f>IFERROR((s_dir!U28/(d_ss_Bv!T28+s_MLF_potato)),".")</f>
        <v>.</v>
      </c>
      <c r="V28" s="15" t="str">
        <f>IFERROR((s_dir!V28/(d_ss_Bv!U28+s_MLF_pumpkin)),".")</f>
        <v>.</v>
      </c>
      <c r="W28" s="15" t="str">
        <f>IFERROR((s_dir!W28/(d_ss_Bv!V28+s_MLF_snap_bean)),".")</f>
        <v>.</v>
      </c>
      <c r="X28" s="15" t="str">
        <f>IFERROR((s_dir!X28/(d_ss_Bv!W28+s_MLF_strawberry)),".")</f>
        <v>.</v>
      </c>
      <c r="Y28" s="15" t="str">
        <f>IFERROR((s_dir!Y28/(d_ss_Bv!X28+s_MLF_tomato)),".")</f>
        <v>.</v>
      </c>
      <c r="Z28" s="15" t="str">
        <f>IFERROR((s_dir!Z28/(d_ss_Bv!Y28+s_MLF_rice)),".")</f>
        <v>.</v>
      </c>
      <c r="AA28" s="15" t="str">
        <f>IFERROR((s_dir!AA28/(d_ss_Bv!Z28+s_MLF_cereal)),".")</f>
        <v>.</v>
      </c>
      <c r="AB28" s="40">
        <f t="shared" si="3"/>
        <v>6254.6</v>
      </c>
      <c r="AC28" s="40">
        <f>s_C*(d_ss_Bv!C28+s_MLF_apple)*s_IFAP_res_adj*s_CF_apple</f>
        <v>186.72499999999999</v>
      </c>
      <c r="AD28" s="40">
        <f>s_C*(d_ss_Bv!D28+s_MLF_asparagus)*s_IFAS_res_adj*s_CF_asparagus</f>
        <v>196.62500000000003</v>
      </c>
      <c r="AE28" s="40">
        <f>s_C*(d_ss_Bv!E28+s_MLF_beet)*s_IFBT_res_adj*s_CF_beet</f>
        <v>186.72499999999999</v>
      </c>
      <c r="AF28" s="40">
        <f>s_C*(d_ss_Bv!F28+s_MLF_berries)*s_IFBE_res_adj*s_CF_berries</f>
        <v>186.72499999999999</v>
      </c>
      <c r="AG28" s="40">
        <f>s_C*(d_ss_Bv!G28+s_MLF_broccoli)*s_IFBR_res_adj*s_CF_broccoli</f>
        <v>186.72499999999999</v>
      </c>
      <c r="AH28" s="40">
        <f>s_C*(d_ss_Bv!H28+s_MLF_cabbage)*s_IFCB_res_adj*s_CF_cabbage</f>
        <v>196.62500000000003</v>
      </c>
      <c r="AI28" s="40">
        <f>s_C*(d_ss_Bv!I28+s_MLF_carrot)*s_IFCR_res_adj*s_CF_carrot</f>
        <v>186.72499999999999</v>
      </c>
      <c r="AJ28" s="40">
        <f>s_C*(d_ss_Bv!J28+s_MLF_citrus)*s_IFCI_res_adj*s_CF_citrus</f>
        <v>186.72499999999999</v>
      </c>
      <c r="AK28" s="40">
        <f>s_C*(d_ss_Bv!K28+s_MLF_corn)*s_IFCO_res_adj*s_CF_corn</f>
        <v>186.72499999999999</v>
      </c>
      <c r="AL28" s="40">
        <f>s_C*(d_ss_Bv!L28+s_MLF_cucumber)*s_IFCU_res_adj*s_CF_cucumber</f>
        <v>186.72499999999999</v>
      </c>
      <c r="AM28" s="40">
        <f>s_C*(d_ss_Bv!M28+s_MLF_lettuce)*s_IFLE_res_adj*s_CF_lettuce</f>
        <v>196.62500000000003</v>
      </c>
      <c r="AN28" s="40">
        <f>s_C*(d_ss_Bv!N28+s_MLF_lima_bean)*s_IFLI_res_adj*s_CF_lima_bean</f>
        <v>186.72499999999999</v>
      </c>
      <c r="AO28" s="40">
        <f>s_C*(d_ss_Bv!O28+s_MLF_okra)*s_IFOK_res_adj*s_CF_okra</f>
        <v>186.72499999999999</v>
      </c>
      <c r="AP28" s="40">
        <f>s_C*(d_ss_Bv!P28+s_MLF_onion)*s_IFON_res_adj*s_CF_onion</f>
        <v>186.72499999999999</v>
      </c>
      <c r="AQ28" s="40">
        <f>s_C*(d_ss_Bv!Q28+s_MLF_peach)*s_IFPC_res_adj*s_CF_peach</f>
        <v>186.72499999999999</v>
      </c>
      <c r="AR28" s="40">
        <f>s_C*(d_ss_Bv!R28+s_MLF_pear)*s_IFPR_res_adj*s_CF_pear</f>
        <v>186.72499999999999</v>
      </c>
      <c r="AS28" s="40">
        <f>s_C*(d_ss_Bv!S28+s_MLF_peas)*s_IFPE_res_adj*s_CF_peas</f>
        <v>186.72499999999999</v>
      </c>
      <c r="AT28" s="40">
        <f>s_C*(d_ss_Bv!T28+s_MLF_potato)*s_IFPT_res_adj*s_CF_potato</f>
        <v>186.72499999999999</v>
      </c>
      <c r="AU28" s="40">
        <f>s_C*(d_ss_Bv!U28+s_MLF_pumpkin)*s_IFPU_res_adj*s_CF_pumpkin</f>
        <v>186.72499999999999</v>
      </c>
      <c r="AV28" s="40">
        <f>s_C*(d_ss_Bv!V28+s_MLF_snap_bean)*s_IFSN_res_adj*s_CF_snap_bean</f>
        <v>186.72499999999999</v>
      </c>
      <c r="AW28" s="40">
        <f>s_C*(d_ss_Bv!W28+s_MLF_strawberry)*s_IFST_res_adj*s_CF_strawberry</f>
        <v>186.72499999999999</v>
      </c>
      <c r="AX28" s="40">
        <f>s_C*(d_ss_Bv!X28+s_MLF_tomato)*s_IFTO_res_adj*s_CF_tomato</f>
        <v>186.72499999999999</v>
      </c>
      <c r="AY28" s="40">
        <f>s_C*(d_ss_Bv!Y28+s_MLF_rice)*s_IFRI_res_adj*s_CF_rice</f>
        <v>2935.6250000000005</v>
      </c>
      <c r="AZ28" s="40">
        <f>s_C*(d_ss_Bv!Z28+s_MLF_cereal)*s_IFCG_res_adj*s_CF_cereal</f>
        <v>2935.6250000000005</v>
      </c>
      <c r="BA28" s="15" t="str">
        <f t="shared" si="4"/>
        <v>.</v>
      </c>
      <c r="BB28" s="15" t="str">
        <f>IFERROR((s_dir!AC28/(d_ss_Bv!C28+s_MLF_apple)),".")</f>
        <v>.</v>
      </c>
      <c r="BC28" s="15" t="str">
        <f>IFERROR((s_dir!AD28/(d_ss_Bv!D28+s_MLF_asparagus)),".")</f>
        <v>.</v>
      </c>
      <c r="BD28" s="15" t="str">
        <f>IFERROR((s_dir!AE28/(d_ss_Bv!E28+s_MLF_beet)),".")</f>
        <v>.</v>
      </c>
      <c r="BE28" s="15" t="str">
        <f>IFERROR((s_dir!AF28/(d_ss_Bv!F28+s_MLF_berries)),".")</f>
        <v>.</v>
      </c>
      <c r="BF28" s="15" t="str">
        <f>IFERROR((s_dir!AG28/(d_ss_Bv!G28+s_MLF_broccoli)),".")</f>
        <v>.</v>
      </c>
      <c r="BG28" s="15" t="str">
        <f>IFERROR((s_dir!AH28/(d_ss_Bv!H28+s_MLF_cabbage)),".")</f>
        <v>.</v>
      </c>
      <c r="BH28" s="15" t="str">
        <f>IFERROR((s_dir!AI28/(d_ss_Bv!I28+s_MLF_carrot)),".")</f>
        <v>.</v>
      </c>
      <c r="BI28" s="15" t="str">
        <f>IFERROR((s_dir!AJ28/(d_ss_Bv!J28+s_MLF_citrus)),".")</f>
        <v>.</v>
      </c>
      <c r="BJ28" s="15" t="str">
        <f>IFERROR((s_dir!AK28/(d_ss_Bv!K28+s_MLF_corn)),".")</f>
        <v>.</v>
      </c>
      <c r="BK28" s="15" t="str">
        <f>IFERROR((s_dir!AL28/(d_ss_Bv!L28+s_MLF_cucumber)),".")</f>
        <v>.</v>
      </c>
      <c r="BL28" s="15" t="str">
        <f>IFERROR((s_dir!AM28/(d_ss_Bv!M28+s_MLF_lettuce)),".")</f>
        <v>.</v>
      </c>
      <c r="BM28" s="15" t="str">
        <f>IFERROR((s_dir!AN28/(d_ss_Bv!N28+s_MLF_lima_bean)),".")</f>
        <v>.</v>
      </c>
      <c r="BN28" s="15" t="str">
        <f>IFERROR((s_dir!AO28/(d_ss_Bv!O28+s_MLF_okra)),".")</f>
        <v>.</v>
      </c>
      <c r="BO28" s="15" t="str">
        <f>IFERROR((s_dir!AP28/(d_ss_Bv!P28+s_MLF_onion)),".")</f>
        <v>.</v>
      </c>
      <c r="BP28" s="15" t="str">
        <f>IFERROR((s_dir!AQ28/(d_ss_Bv!Q28+s_MLF_peach)),".")</f>
        <v>.</v>
      </c>
      <c r="BQ28" s="15" t="str">
        <f>IFERROR((s_dir!AR28/(d_ss_Bv!R28+s_MLF_pear)),".")</f>
        <v>.</v>
      </c>
      <c r="BR28" s="15" t="str">
        <f>IFERROR((s_dir!AS28/(d_ss_Bv!S28+s_MLF_peas)),".")</f>
        <v>.</v>
      </c>
      <c r="BS28" s="15" t="str">
        <f>IFERROR((s_dir!AT28/(d_ss_Bv!T28+s_MLF_potato)),".")</f>
        <v>.</v>
      </c>
      <c r="BT28" s="15" t="str">
        <f>IFERROR((s_dir!AU28/(d_ss_Bv!U28+s_MLF_pumpkin)),".")</f>
        <v>.</v>
      </c>
      <c r="BU28" s="15" t="str">
        <f>IFERROR((s_dir!AV28/(d_ss_Bv!V28+s_MLF_snap_bean)),".")</f>
        <v>.</v>
      </c>
      <c r="BV28" s="15" t="str">
        <f>IFERROR((s_dir!AW28/(d_ss_Bv!W28+s_MLF_strawberry)),".")</f>
        <v>.</v>
      </c>
      <c r="BW28" s="15" t="str">
        <f>IFERROR((s_dir!AX28/(d_ss_Bv!X28+s_MLF_tomato)),".")</f>
        <v>.</v>
      </c>
      <c r="BX28" s="15" t="str">
        <f>IFERROR((s_dir!AY28/(d_ss_Bv!Y28+s_MLF_rice)),".")</f>
        <v>.</v>
      </c>
      <c r="BY28" s="15" t="str">
        <f>IFERROR((s_dir!AZ28/(d_ss_Bv!Z28+s_MLF_cereal)),".")</f>
        <v>.</v>
      </c>
      <c r="BZ28" s="40">
        <f t="shared" si="5"/>
        <v>6254.6</v>
      </c>
      <c r="CA28" s="40">
        <f>IFERROR(s_C*(d_ss_Bv!C28+s_MLF_apple)*s_IFAP_far_adj*s_CF_apple,".")</f>
        <v>186.72499999999999</v>
      </c>
      <c r="CB28" s="40">
        <f>IFERROR(s_C*(d_ss_Bv!D28+s_MLF_asparagus)*s_IFAS_far_adj*s_CF_asparagus,".")</f>
        <v>196.62500000000003</v>
      </c>
      <c r="CC28" s="40">
        <f>IFERROR(s_C*(d_ss_Bv!E28+s_MLF_beet)*s_IFBT_far_adj*s_CF_beet,".")</f>
        <v>186.72499999999999</v>
      </c>
      <c r="CD28" s="40">
        <f>IFERROR(s_C*(d_ss_Bv!F28+s_MLF_berries)*s_IFBR_far_adj*s_CF_berries,".")</f>
        <v>186.72499999999999</v>
      </c>
      <c r="CE28" s="40">
        <f>IFERROR(s_C*(d_ss_Bv!G28+s_MLF_broccoli)*s_IFBR_far_adj*s_CF_broccoli,".")</f>
        <v>186.72499999999999</v>
      </c>
      <c r="CF28" s="40">
        <f>IFERROR(s_C*(d_ss_Bv!H28+s_MLF_cabbage)*s_IFCB_far_adj*s_CF_cabbage,".")</f>
        <v>196.62500000000003</v>
      </c>
      <c r="CG28" s="40">
        <f>IFERROR(s_C*(d_ss_Bv!I28+s_MLF_carrot)*s_IFCR_far_adj*s_CF_carrot,".")</f>
        <v>186.72499999999999</v>
      </c>
      <c r="CH28" s="40">
        <f>IFERROR(s_C*(d_ss_Bv!J28+s_MLF_citrus)*s_IFCI_far_adj*s_CF_citrus,".")</f>
        <v>186.72499999999999</v>
      </c>
      <c r="CI28" s="40">
        <f>IFERROR(s_C*(d_ss_Bv!K28+s_MLF_corn)*s_IFCO_far_adj*s_CF_corn,".")</f>
        <v>186.72499999999999</v>
      </c>
      <c r="CJ28" s="40">
        <f>IFERROR(s_C*(d_ss_Bv!L28+s_MLF_cucumber)*s_IFCU_far_adj*s_CF_cucumber,".")</f>
        <v>186.72499999999999</v>
      </c>
      <c r="CK28" s="40">
        <f>IFERROR(s_C*(d_ss_Bv!M28+s_MLF_lettuce)*s_IFLE_far_adj*s_CF_lettuce,".")</f>
        <v>196.62500000000003</v>
      </c>
      <c r="CL28" s="40">
        <f>IFERROR(s_C*(d_ss_Bv!N28+s_MLF_lima_bean)*s_IFLI_far_adj*s_CF_lima_bean,".")</f>
        <v>186.72499999999999</v>
      </c>
      <c r="CM28" s="40">
        <f>IFERROR(s_C*(d_ss_Bv!O28+s_MLF_okra)*s_IFOK_far_adj*s_CF_okra,".")</f>
        <v>186.72499999999999</v>
      </c>
      <c r="CN28" s="40">
        <f>IFERROR(s_C*(d_ss_Bv!P28+s_MLF_onion)*s_IFON_far_adj*s_CF_onion,".")</f>
        <v>186.72499999999999</v>
      </c>
      <c r="CO28" s="40">
        <f>IFERROR(s_C*(d_ss_Bv!Q28+s_MLF_peach)*s_IFPC_far_adj*s_CF_peach,".")</f>
        <v>186.72499999999999</v>
      </c>
      <c r="CP28" s="40">
        <f>IFERROR(s_C*(d_ss_Bv!R28+s_MLF_pear)*s_IFPR_far_adj*s_CF_pear,".")</f>
        <v>186.72499999999999</v>
      </c>
      <c r="CQ28" s="40">
        <f>IFERROR(s_C*(d_ss_Bv!S28+s_MLF_peas)*s_IFPE_far_adj*s_CF_peas,".")</f>
        <v>186.72499999999999</v>
      </c>
      <c r="CR28" s="40">
        <f>IFERROR(s_C*(d_ss_Bv!T28+s_MLF_potato)*s_IFPT_far_adj*s_CF_potato,".")</f>
        <v>186.72499999999999</v>
      </c>
      <c r="CS28" s="40">
        <f>IFERROR(s_C*(d_ss_Bv!U28+s_MLF_pumpkin)*s_IFPU_far_adj*s_CF_pumpkin,".")</f>
        <v>186.72499999999999</v>
      </c>
      <c r="CT28" s="40">
        <f>IFERROR(s_C*(d_ss_Bv!V28+s_MLF_snap_bean)*s_IFSN_far_adj*s_CF_snap_bean,".")</f>
        <v>186.72499999999999</v>
      </c>
      <c r="CU28" s="40">
        <f>IFERROR(s_C*(d_ss_Bv!W28+s_MLF_strawberry)*s_IFST_far_adj*s_CF_strawberry,".")</f>
        <v>186.72499999999999</v>
      </c>
      <c r="CV28" s="40">
        <f>IFERROR(s_C*(d_ss_Bv!X28+s_MLF_tomato)*s_IFTO_far_adj*s_CF_tomato,".")</f>
        <v>186.72499999999999</v>
      </c>
      <c r="CW28" s="40">
        <f>IFERROR(s_C*(d_ss_Bv!Y28+s_MLF_rice)*s_IFRI_far_adj*s_CF_rice,".")</f>
        <v>2935.6250000000005</v>
      </c>
      <c r="CX28" s="40">
        <f>IFERROR(s_C*(d_ss_Bv!Z28+s_MLF_cereal)*s_IFCG_far_adj*s_CF_cereal,".")</f>
        <v>2935.6250000000005</v>
      </c>
    </row>
    <row r="29" spans="1:102" ht="15" customHeight="1" x14ac:dyDescent="0.25">
      <c r="A29" s="44" t="s">
        <v>39</v>
      </c>
      <c r="B29" s="42" t="s">
        <v>1074</v>
      </c>
      <c r="C29" s="15" t="str">
        <f t="shared" si="2"/>
        <v>.</v>
      </c>
      <c r="D29" s="15" t="str">
        <f>IFERROR((s_dir!D29/(d_ss_Bv!C29+s_MLF_apple)),".")</f>
        <v>.</v>
      </c>
      <c r="E29" s="15" t="str">
        <f>IFERROR((s_dir!E29/(d_ss_Bv!D29+s_MLF_asparagus)),".")</f>
        <v>.</v>
      </c>
      <c r="F29" s="15" t="str">
        <f>IFERROR((s_dir!F29/(d_ss_Bv!E29+s_MLF_beet)),".")</f>
        <v>.</v>
      </c>
      <c r="G29" s="15" t="str">
        <f>IFERROR((s_dir!G29/(d_ss_Bv!F29+s_MLF_berries)),".")</f>
        <v>.</v>
      </c>
      <c r="H29" s="15" t="str">
        <f>IFERROR((s_dir!H29/(d_ss_Bv!G29+s_MLF_broccoli)),".")</f>
        <v>.</v>
      </c>
      <c r="I29" s="15" t="str">
        <f>IFERROR((s_dir!I29/(d_ss_Bv!H29+s_MLF_cabbage)),".")</f>
        <v>.</v>
      </c>
      <c r="J29" s="15" t="str">
        <f>IFERROR((s_dir!J29/(d_ss_Bv!I29+s_MLF_carrot)),".")</f>
        <v>.</v>
      </c>
      <c r="K29" s="15" t="str">
        <f>IFERROR((s_dir!K29/(d_ss_Bv!J29+s_MLF_citrus)),".")</f>
        <v>.</v>
      </c>
      <c r="L29" s="15" t="str">
        <f>IFERROR((s_dir!L29/(d_ss_Bv!K29+s_MLF_corn)),".")</f>
        <v>.</v>
      </c>
      <c r="M29" s="15" t="str">
        <f>IFERROR((s_dir!M29/(d_ss_Bv!L29+s_MLF_cucumber)),".")</f>
        <v>.</v>
      </c>
      <c r="N29" s="15" t="str">
        <f>IFERROR((s_dir!N29/(d_ss_Bv!M29+s_MLF_lettuce)),".")</f>
        <v>.</v>
      </c>
      <c r="O29" s="15" t="str">
        <f>IFERROR((s_dir!O29/(d_ss_Bv!N29+s_MLF_lima_bean)),".")</f>
        <v>.</v>
      </c>
      <c r="P29" s="15" t="str">
        <f>IFERROR((s_dir!P29/(d_ss_Bv!O29+s_MLF_okra)),".")</f>
        <v>.</v>
      </c>
      <c r="Q29" s="15" t="str">
        <f>IFERROR((s_dir!Q29/(d_ss_Bv!P29+s_MLF_onion)),".")</f>
        <v>.</v>
      </c>
      <c r="R29" s="15" t="str">
        <f>IFERROR((s_dir!R29/(d_ss_Bv!Q29+s_MLF_peach)),".")</f>
        <v>.</v>
      </c>
      <c r="S29" s="15" t="str">
        <f>IFERROR((s_dir!S29/(d_ss_Bv!R29+s_MLF_pear)),".")</f>
        <v>.</v>
      </c>
      <c r="T29" s="15" t="str">
        <f>IFERROR((s_dir!T29/(d_ss_Bv!S29+s_MLF_peas)),".")</f>
        <v>.</v>
      </c>
      <c r="U29" s="15" t="str">
        <f>IFERROR((s_dir!U29/(d_ss_Bv!T29+s_MLF_potato)),".")</f>
        <v>.</v>
      </c>
      <c r="V29" s="15" t="str">
        <f>IFERROR((s_dir!V29/(d_ss_Bv!U29+s_MLF_pumpkin)),".")</f>
        <v>.</v>
      </c>
      <c r="W29" s="15" t="str">
        <f>IFERROR((s_dir!W29/(d_ss_Bv!V29+s_MLF_snap_bean)),".")</f>
        <v>.</v>
      </c>
      <c r="X29" s="15" t="str">
        <f>IFERROR((s_dir!X29/(d_ss_Bv!W29+s_MLF_strawberry)),".")</f>
        <v>.</v>
      </c>
      <c r="Y29" s="15" t="str">
        <f>IFERROR((s_dir!Y29/(d_ss_Bv!X29+s_MLF_tomato)),".")</f>
        <v>.</v>
      </c>
      <c r="Z29" s="15" t="str">
        <f>IFERROR((s_dir!Z29/(d_ss_Bv!Y29+s_MLF_rice)),".")</f>
        <v>.</v>
      </c>
      <c r="AA29" s="15" t="str">
        <f>IFERROR((s_dir!AA29/(d_ss_Bv!Z29+s_MLF_cereal)),".")</f>
        <v>.</v>
      </c>
      <c r="AB29" s="40">
        <f t="shared" si="3"/>
        <v>6254.6</v>
      </c>
      <c r="AC29" s="40">
        <f>s_C*(d_ss_Bv!C29+s_MLF_apple)*s_IFAP_res_adj*s_CF_apple</f>
        <v>186.72499999999999</v>
      </c>
      <c r="AD29" s="40">
        <f>s_C*(d_ss_Bv!D29+s_MLF_asparagus)*s_IFAS_res_adj*s_CF_asparagus</f>
        <v>196.62500000000003</v>
      </c>
      <c r="AE29" s="40">
        <f>s_C*(d_ss_Bv!E29+s_MLF_beet)*s_IFBT_res_adj*s_CF_beet</f>
        <v>186.72499999999999</v>
      </c>
      <c r="AF29" s="40">
        <f>s_C*(d_ss_Bv!F29+s_MLF_berries)*s_IFBE_res_adj*s_CF_berries</f>
        <v>186.72499999999999</v>
      </c>
      <c r="AG29" s="40">
        <f>s_C*(d_ss_Bv!G29+s_MLF_broccoli)*s_IFBR_res_adj*s_CF_broccoli</f>
        <v>186.72499999999999</v>
      </c>
      <c r="AH29" s="40">
        <f>s_C*(d_ss_Bv!H29+s_MLF_cabbage)*s_IFCB_res_adj*s_CF_cabbage</f>
        <v>196.62500000000003</v>
      </c>
      <c r="AI29" s="40">
        <f>s_C*(d_ss_Bv!I29+s_MLF_carrot)*s_IFCR_res_adj*s_CF_carrot</f>
        <v>186.72499999999999</v>
      </c>
      <c r="AJ29" s="40">
        <f>s_C*(d_ss_Bv!J29+s_MLF_citrus)*s_IFCI_res_adj*s_CF_citrus</f>
        <v>186.72499999999999</v>
      </c>
      <c r="AK29" s="40">
        <f>s_C*(d_ss_Bv!K29+s_MLF_corn)*s_IFCO_res_adj*s_CF_corn</f>
        <v>186.72499999999999</v>
      </c>
      <c r="AL29" s="40">
        <f>s_C*(d_ss_Bv!L29+s_MLF_cucumber)*s_IFCU_res_adj*s_CF_cucumber</f>
        <v>186.72499999999999</v>
      </c>
      <c r="AM29" s="40">
        <f>s_C*(d_ss_Bv!M29+s_MLF_lettuce)*s_IFLE_res_adj*s_CF_lettuce</f>
        <v>196.62500000000003</v>
      </c>
      <c r="AN29" s="40">
        <f>s_C*(d_ss_Bv!N29+s_MLF_lima_bean)*s_IFLI_res_adj*s_CF_lima_bean</f>
        <v>186.72499999999999</v>
      </c>
      <c r="AO29" s="40">
        <f>s_C*(d_ss_Bv!O29+s_MLF_okra)*s_IFOK_res_adj*s_CF_okra</f>
        <v>186.72499999999999</v>
      </c>
      <c r="AP29" s="40">
        <f>s_C*(d_ss_Bv!P29+s_MLF_onion)*s_IFON_res_adj*s_CF_onion</f>
        <v>186.72499999999999</v>
      </c>
      <c r="AQ29" s="40">
        <f>s_C*(d_ss_Bv!Q29+s_MLF_peach)*s_IFPC_res_adj*s_CF_peach</f>
        <v>186.72499999999999</v>
      </c>
      <c r="AR29" s="40">
        <f>s_C*(d_ss_Bv!R29+s_MLF_pear)*s_IFPR_res_adj*s_CF_pear</f>
        <v>186.72499999999999</v>
      </c>
      <c r="AS29" s="40">
        <f>s_C*(d_ss_Bv!S29+s_MLF_peas)*s_IFPE_res_adj*s_CF_peas</f>
        <v>186.72499999999999</v>
      </c>
      <c r="AT29" s="40">
        <f>s_C*(d_ss_Bv!T29+s_MLF_potato)*s_IFPT_res_adj*s_CF_potato</f>
        <v>186.72499999999999</v>
      </c>
      <c r="AU29" s="40">
        <f>s_C*(d_ss_Bv!U29+s_MLF_pumpkin)*s_IFPU_res_adj*s_CF_pumpkin</f>
        <v>186.72499999999999</v>
      </c>
      <c r="AV29" s="40">
        <f>s_C*(d_ss_Bv!V29+s_MLF_snap_bean)*s_IFSN_res_adj*s_CF_snap_bean</f>
        <v>186.72499999999999</v>
      </c>
      <c r="AW29" s="40">
        <f>s_C*(d_ss_Bv!W29+s_MLF_strawberry)*s_IFST_res_adj*s_CF_strawberry</f>
        <v>186.72499999999999</v>
      </c>
      <c r="AX29" s="40">
        <f>s_C*(d_ss_Bv!X29+s_MLF_tomato)*s_IFTO_res_adj*s_CF_tomato</f>
        <v>186.72499999999999</v>
      </c>
      <c r="AY29" s="40">
        <f>s_C*(d_ss_Bv!Y29+s_MLF_rice)*s_IFRI_res_adj*s_CF_rice</f>
        <v>2935.6250000000005</v>
      </c>
      <c r="AZ29" s="40">
        <f>s_C*(d_ss_Bv!Z29+s_MLF_cereal)*s_IFCG_res_adj*s_CF_cereal</f>
        <v>2935.6250000000005</v>
      </c>
      <c r="BA29" s="15" t="str">
        <f t="shared" si="4"/>
        <v>.</v>
      </c>
      <c r="BB29" s="15" t="str">
        <f>IFERROR((s_dir!AC29/(d_ss_Bv!C29+s_MLF_apple)),".")</f>
        <v>.</v>
      </c>
      <c r="BC29" s="15" t="str">
        <f>IFERROR((s_dir!AD29/(d_ss_Bv!D29+s_MLF_asparagus)),".")</f>
        <v>.</v>
      </c>
      <c r="BD29" s="15" t="str">
        <f>IFERROR((s_dir!AE29/(d_ss_Bv!E29+s_MLF_beet)),".")</f>
        <v>.</v>
      </c>
      <c r="BE29" s="15" t="str">
        <f>IFERROR((s_dir!AF29/(d_ss_Bv!F29+s_MLF_berries)),".")</f>
        <v>.</v>
      </c>
      <c r="BF29" s="15" t="str">
        <f>IFERROR((s_dir!AG29/(d_ss_Bv!G29+s_MLF_broccoli)),".")</f>
        <v>.</v>
      </c>
      <c r="BG29" s="15" t="str">
        <f>IFERROR((s_dir!AH29/(d_ss_Bv!H29+s_MLF_cabbage)),".")</f>
        <v>.</v>
      </c>
      <c r="BH29" s="15" t="str">
        <f>IFERROR((s_dir!AI29/(d_ss_Bv!I29+s_MLF_carrot)),".")</f>
        <v>.</v>
      </c>
      <c r="BI29" s="15" t="str">
        <f>IFERROR((s_dir!AJ29/(d_ss_Bv!J29+s_MLF_citrus)),".")</f>
        <v>.</v>
      </c>
      <c r="BJ29" s="15" t="str">
        <f>IFERROR((s_dir!AK29/(d_ss_Bv!K29+s_MLF_corn)),".")</f>
        <v>.</v>
      </c>
      <c r="BK29" s="15" t="str">
        <f>IFERROR((s_dir!AL29/(d_ss_Bv!L29+s_MLF_cucumber)),".")</f>
        <v>.</v>
      </c>
      <c r="BL29" s="15" t="str">
        <f>IFERROR((s_dir!AM29/(d_ss_Bv!M29+s_MLF_lettuce)),".")</f>
        <v>.</v>
      </c>
      <c r="BM29" s="15" t="str">
        <f>IFERROR((s_dir!AN29/(d_ss_Bv!N29+s_MLF_lima_bean)),".")</f>
        <v>.</v>
      </c>
      <c r="BN29" s="15" t="str">
        <f>IFERROR((s_dir!AO29/(d_ss_Bv!O29+s_MLF_okra)),".")</f>
        <v>.</v>
      </c>
      <c r="BO29" s="15" t="str">
        <f>IFERROR((s_dir!AP29/(d_ss_Bv!P29+s_MLF_onion)),".")</f>
        <v>.</v>
      </c>
      <c r="BP29" s="15" t="str">
        <f>IFERROR((s_dir!AQ29/(d_ss_Bv!Q29+s_MLF_peach)),".")</f>
        <v>.</v>
      </c>
      <c r="BQ29" s="15" t="str">
        <f>IFERROR((s_dir!AR29/(d_ss_Bv!R29+s_MLF_pear)),".")</f>
        <v>.</v>
      </c>
      <c r="BR29" s="15" t="str">
        <f>IFERROR((s_dir!AS29/(d_ss_Bv!S29+s_MLF_peas)),".")</f>
        <v>.</v>
      </c>
      <c r="BS29" s="15" t="str">
        <f>IFERROR((s_dir!AT29/(d_ss_Bv!T29+s_MLF_potato)),".")</f>
        <v>.</v>
      </c>
      <c r="BT29" s="15" t="str">
        <f>IFERROR((s_dir!AU29/(d_ss_Bv!U29+s_MLF_pumpkin)),".")</f>
        <v>.</v>
      </c>
      <c r="BU29" s="15" t="str">
        <f>IFERROR((s_dir!AV29/(d_ss_Bv!V29+s_MLF_snap_bean)),".")</f>
        <v>.</v>
      </c>
      <c r="BV29" s="15" t="str">
        <f>IFERROR((s_dir!AW29/(d_ss_Bv!W29+s_MLF_strawberry)),".")</f>
        <v>.</v>
      </c>
      <c r="BW29" s="15" t="str">
        <f>IFERROR((s_dir!AX29/(d_ss_Bv!X29+s_MLF_tomato)),".")</f>
        <v>.</v>
      </c>
      <c r="BX29" s="15" t="str">
        <f>IFERROR((s_dir!AY29/(d_ss_Bv!Y29+s_MLF_rice)),".")</f>
        <v>.</v>
      </c>
      <c r="BY29" s="15" t="str">
        <f>IFERROR((s_dir!AZ29/(d_ss_Bv!Z29+s_MLF_cereal)),".")</f>
        <v>.</v>
      </c>
      <c r="BZ29" s="40">
        <f t="shared" si="5"/>
        <v>6254.6</v>
      </c>
      <c r="CA29" s="40">
        <f>IFERROR(s_C*(d_ss_Bv!C29+s_MLF_apple)*s_IFAP_far_adj*s_CF_apple,".")</f>
        <v>186.72499999999999</v>
      </c>
      <c r="CB29" s="40">
        <f>IFERROR(s_C*(d_ss_Bv!D29+s_MLF_asparagus)*s_IFAS_far_adj*s_CF_asparagus,".")</f>
        <v>196.62500000000003</v>
      </c>
      <c r="CC29" s="40">
        <f>IFERROR(s_C*(d_ss_Bv!E29+s_MLF_beet)*s_IFBT_far_adj*s_CF_beet,".")</f>
        <v>186.72499999999999</v>
      </c>
      <c r="CD29" s="40">
        <f>IFERROR(s_C*(d_ss_Bv!F29+s_MLF_berries)*s_IFBR_far_adj*s_CF_berries,".")</f>
        <v>186.72499999999999</v>
      </c>
      <c r="CE29" s="40">
        <f>IFERROR(s_C*(d_ss_Bv!G29+s_MLF_broccoli)*s_IFBR_far_adj*s_CF_broccoli,".")</f>
        <v>186.72499999999999</v>
      </c>
      <c r="CF29" s="40">
        <f>IFERROR(s_C*(d_ss_Bv!H29+s_MLF_cabbage)*s_IFCB_far_adj*s_CF_cabbage,".")</f>
        <v>196.62500000000003</v>
      </c>
      <c r="CG29" s="40">
        <f>IFERROR(s_C*(d_ss_Bv!I29+s_MLF_carrot)*s_IFCR_far_adj*s_CF_carrot,".")</f>
        <v>186.72499999999999</v>
      </c>
      <c r="CH29" s="40">
        <f>IFERROR(s_C*(d_ss_Bv!J29+s_MLF_citrus)*s_IFCI_far_adj*s_CF_citrus,".")</f>
        <v>186.72499999999999</v>
      </c>
      <c r="CI29" s="40">
        <f>IFERROR(s_C*(d_ss_Bv!K29+s_MLF_corn)*s_IFCO_far_adj*s_CF_corn,".")</f>
        <v>186.72499999999999</v>
      </c>
      <c r="CJ29" s="40">
        <f>IFERROR(s_C*(d_ss_Bv!L29+s_MLF_cucumber)*s_IFCU_far_adj*s_CF_cucumber,".")</f>
        <v>186.72499999999999</v>
      </c>
      <c r="CK29" s="40">
        <f>IFERROR(s_C*(d_ss_Bv!M29+s_MLF_lettuce)*s_IFLE_far_adj*s_CF_lettuce,".")</f>
        <v>196.62500000000003</v>
      </c>
      <c r="CL29" s="40">
        <f>IFERROR(s_C*(d_ss_Bv!N29+s_MLF_lima_bean)*s_IFLI_far_adj*s_CF_lima_bean,".")</f>
        <v>186.72499999999999</v>
      </c>
      <c r="CM29" s="40">
        <f>IFERROR(s_C*(d_ss_Bv!O29+s_MLF_okra)*s_IFOK_far_adj*s_CF_okra,".")</f>
        <v>186.72499999999999</v>
      </c>
      <c r="CN29" s="40">
        <f>IFERROR(s_C*(d_ss_Bv!P29+s_MLF_onion)*s_IFON_far_adj*s_CF_onion,".")</f>
        <v>186.72499999999999</v>
      </c>
      <c r="CO29" s="40">
        <f>IFERROR(s_C*(d_ss_Bv!Q29+s_MLF_peach)*s_IFPC_far_adj*s_CF_peach,".")</f>
        <v>186.72499999999999</v>
      </c>
      <c r="CP29" s="40">
        <f>IFERROR(s_C*(d_ss_Bv!R29+s_MLF_pear)*s_IFPR_far_adj*s_CF_pear,".")</f>
        <v>186.72499999999999</v>
      </c>
      <c r="CQ29" s="40">
        <f>IFERROR(s_C*(d_ss_Bv!S29+s_MLF_peas)*s_IFPE_far_adj*s_CF_peas,".")</f>
        <v>186.72499999999999</v>
      </c>
      <c r="CR29" s="40">
        <f>IFERROR(s_C*(d_ss_Bv!T29+s_MLF_potato)*s_IFPT_far_adj*s_CF_potato,".")</f>
        <v>186.72499999999999</v>
      </c>
      <c r="CS29" s="40">
        <f>IFERROR(s_C*(d_ss_Bv!U29+s_MLF_pumpkin)*s_IFPU_far_adj*s_CF_pumpkin,".")</f>
        <v>186.72499999999999</v>
      </c>
      <c r="CT29" s="40">
        <f>IFERROR(s_C*(d_ss_Bv!V29+s_MLF_snap_bean)*s_IFSN_far_adj*s_CF_snap_bean,".")</f>
        <v>186.72499999999999</v>
      </c>
      <c r="CU29" s="40">
        <f>IFERROR(s_C*(d_ss_Bv!W29+s_MLF_strawberry)*s_IFST_far_adj*s_CF_strawberry,".")</f>
        <v>186.72499999999999</v>
      </c>
      <c r="CV29" s="40">
        <f>IFERROR(s_C*(d_ss_Bv!X29+s_MLF_tomato)*s_IFTO_far_adj*s_CF_tomato,".")</f>
        <v>186.72499999999999</v>
      </c>
      <c r="CW29" s="40">
        <f>IFERROR(s_C*(d_ss_Bv!Y29+s_MLF_rice)*s_IFRI_far_adj*s_CF_rice,".")</f>
        <v>2935.6250000000005</v>
      </c>
      <c r="CX29" s="40">
        <f>IFERROR(s_C*(d_ss_Bv!Z29+s_MLF_cereal)*s_IFCG_far_adj*s_CF_cereal,".")</f>
        <v>2935.6250000000005</v>
      </c>
    </row>
    <row r="30" spans="1:102" ht="15" customHeight="1" x14ac:dyDescent="0.25">
      <c r="A30" s="44" t="s">
        <v>40</v>
      </c>
      <c r="B30" s="42" t="s">
        <v>1074</v>
      </c>
      <c r="C30" s="15">
        <f t="shared" si="2"/>
        <v>46.058578261074956</v>
      </c>
      <c r="D30" s="15">
        <f>IFERROR((s_dir!D30/(d_ss_Bv!C30+s_MLF_apple)),".")</f>
        <v>258.6999165046019</v>
      </c>
      <c r="E30" s="15">
        <f>IFERROR((s_dir!E30/(d_ss_Bv!D30+s_MLF_asparagus)),".")</f>
        <v>111.97459072587246</v>
      </c>
      <c r="F30" s="15">
        <f>IFERROR((s_dir!F30/(d_ss_Bv!E30+s_MLF_beet)),".")</f>
        <v>171.2853328455127</v>
      </c>
      <c r="G30" s="15">
        <f>IFERROR((s_dir!G30/(d_ss_Bv!F30+s_MLF_berries)),".")</f>
        <v>258.6999165046019</v>
      </c>
      <c r="H30" s="15">
        <f>IFERROR((s_dir!H30/(d_ss_Bv!G30+s_MLF_broccoli)),".")</f>
        <v>131.61925576549922</v>
      </c>
      <c r="I30" s="15">
        <f>IFERROR((s_dir!I30/(d_ss_Bv!H30+s_MLF_cabbage)),".")</f>
        <v>111.97459072587246</v>
      </c>
      <c r="J30" s="15">
        <f>IFERROR((s_dir!J30/(d_ss_Bv!I30+s_MLF_carrot)),".")</f>
        <v>171.2853328455127</v>
      </c>
      <c r="K30" s="15">
        <f>IFERROR((s_dir!K30/(d_ss_Bv!J30+s_MLF_citrus)),".")</f>
        <v>258.6999165046019</v>
      </c>
      <c r="L30" s="15">
        <f>IFERROR((s_dir!L30/(d_ss_Bv!K30+s_MLF_corn)),".")</f>
        <v>131.61925576549922</v>
      </c>
      <c r="M30" s="15">
        <f>IFERROR((s_dir!M30/(d_ss_Bv!L30+s_MLF_cucumber)),".")</f>
        <v>131.61925576549922</v>
      </c>
      <c r="N30" s="15">
        <f>IFERROR((s_dir!N30/(d_ss_Bv!M30+s_MLF_lettuce)),".")</f>
        <v>111.97459072587246</v>
      </c>
      <c r="O30" s="15">
        <f>IFERROR((s_dir!O30/(d_ss_Bv!N30+s_MLF_lima_bean)),".")</f>
        <v>238.9266744787725</v>
      </c>
      <c r="P30" s="15">
        <f>IFERROR((s_dir!P30/(d_ss_Bv!O30+s_MLF_okra)),".")</f>
        <v>131.61925576549922</v>
      </c>
      <c r="Q30" s="15">
        <f>IFERROR((s_dir!Q30/(d_ss_Bv!P30+s_MLF_onion)),".")</f>
        <v>131.61925576549922</v>
      </c>
      <c r="R30" s="15">
        <f>IFERROR((s_dir!R30/(d_ss_Bv!Q30+s_MLF_peach)),".")</f>
        <v>258.6999165046019</v>
      </c>
      <c r="S30" s="15">
        <f>IFERROR((s_dir!S30/(d_ss_Bv!R30+s_MLF_pear)),".")</f>
        <v>258.6999165046019</v>
      </c>
      <c r="T30" s="15">
        <f>IFERROR((s_dir!T30/(d_ss_Bv!S30+s_MLF_peas)),".")</f>
        <v>238.9266744787725</v>
      </c>
      <c r="U30" s="15">
        <f>IFERROR((s_dir!U30/(d_ss_Bv!T30+s_MLF_potato)),".")</f>
        <v>202.76479942252584</v>
      </c>
      <c r="V30" s="15">
        <f>IFERROR((s_dir!V30/(d_ss_Bv!U30+s_MLF_pumpkin)),".")</f>
        <v>131.61925576549922</v>
      </c>
      <c r="W30" s="15">
        <f>IFERROR((s_dir!W30/(d_ss_Bv!V30+s_MLF_snap_bean)),".")</f>
        <v>238.9266744787725</v>
      </c>
      <c r="X30" s="15">
        <f>IFERROR((s_dir!X30/(d_ss_Bv!W30+s_MLF_strawberry)),".")</f>
        <v>258.6999165046019</v>
      </c>
      <c r="Y30" s="15">
        <f>IFERROR((s_dir!Y30/(d_ss_Bv!X30+s_MLF_tomato)),".")</f>
        <v>131.61925576549922</v>
      </c>
      <c r="Z30" s="15">
        <f>IFERROR((s_dir!Z30/(d_ss_Bv!Y30+s_MLF_rice)),".")</f>
        <v>272.94977729147405</v>
      </c>
      <c r="AA30" s="15">
        <f>IFERROR((s_dir!AA30/(d_ss_Bv!Z30+s_MLF_cereal)),".")</f>
        <v>190.41364412775269</v>
      </c>
      <c r="AB30" s="40">
        <f t="shared" si="3"/>
        <v>1119.8412499999999</v>
      </c>
      <c r="AC30" s="40">
        <f>s_C*(d_ss_Bv!C30+s_MLF_apple)*s_IFAP_res_adj*s_CF_apple</f>
        <v>199.375</v>
      </c>
      <c r="AD30" s="40">
        <f>s_C*(d_ss_Bv!D30+s_MLF_asparagus)*s_IFAS_res_adj*s_CF_asparagus</f>
        <v>460.625</v>
      </c>
      <c r="AE30" s="40">
        <f>s_C*(d_ss_Bv!E30+s_MLF_beet)*s_IFBT_res_adj*s_CF_beet</f>
        <v>301.125</v>
      </c>
      <c r="AF30" s="40">
        <f>s_C*(d_ss_Bv!F30+s_MLF_berries)*s_IFBE_res_adj*s_CF_berries</f>
        <v>199.375</v>
      </c>
      <c r="AG30" s="40">
        <f>s_C*(d_ss_Bv!G30+s_MLF_broccoli)*s_IFBR_res_adj*s_CF_broccoli</f>
        <v>391.87499999999994</v>
      </c>
      <c r="AH30" s="40">
        <f>s_C*(d_ss_Bv!H30+s_MLF_cabbage)*s_IFCB_res_adj*s_CF_cabbage</f>
        <v>460.625</v>
      </c>
      <c r="AI30" s="40">
        <f>s_C*(d_ss_Bv!I30+s_MLF_carrot)*s_IFCR_res_adj*s_CF_carrot</f>
        <v>301.125</v>
      </c>
      <c r="AJ30" s="40">
        <f>s_C*(d_ss_Bv!J30+s_MLF_citrus)*s_IFCI_res_adj*s_CF_citrus</f>
        <v>199.375</v>
      </c>
      <c r="AK30" s="40">
        <f>s_C*(d_ss_Bv!K30+s_MLF_corn)*s_IFCO_res_adj*s_CF_corn</f>
        <v>391.87499999999994</v>
      </c>
      <c r="AL30" s="40">
        <f>s_C*(d_ss_Bv!L30+s_MLF_cucumber)*s_IFCU_res_adj*s_CF_cucumber</f>
        <v>391.87499999999994</v>
      </c>
      <c r="AM30" s="40">
        <f>s_C*(d_ss_Bv!M30+s_MLF_lettuce)*s_IFLE_res_adj*s_CF_lettuce</f>
        <v>460.625</v>
      </c>
      <c r="AN30" s="40">
        <f>s_C*(d_ss_Bv!N30+s_MLF_lima_bean)*s_IFLI_res_adj*s_CF_lima_bean</f>
        <v>215.87499999999997</v>
      </c>
      <c r="AO30" s="40">
        <f>s_C*(d_ss_Bv!O30+s_MLF_okra)*s_IFOK_res_adj*s_CF_okra</f>
        <v>391.87499999999994</v>
      </c>
      <c r="AP30" s="40">
        <f>s_C*(d_ss_Bv!P30+s_MLF_onion)*s_IFON_res_adj*s_CF_onion</f>
        <v>391.87499999999994</v>
      </c>
      <c r="AQ30" s="40">
        <f>s_C*(d_ss_Bv!Q30+s_MLF_peach)*s_IFPC_res_adj*s_CF_peach</f>
        <v>199.375</v>
      </c>
      <c r="AR30" s="40">
        <f>s_C*(d_ss_Bv!R30+s_MLF_pear)*s_IFPR_res_adj*s_CF_pear</f>
        <v>199.375</v>
      </c>
      <c r="AS30" s="40">
        <f>s_C*(d_ss_Bv!S30+s_MLF_peas)*s_IFPE_res_adj*s_CF_peas</f>
        <v>215.87499999999997</v>
      </c>
      <c r="AT30" s="40">
        <f>s_C*(d_ss_Bv!T30+s_MLF_potato)*s_IFPT_res_adj*s_CF_potato</f>
        <v>254.375</v>
      </c>
      <c r="AU30" s="40">
        <f>s_C*(d_ss_Bv!U30+s_MLF_pumpkin)*s_IFPU_res_adj*s_CF_pumpkin</f>
        <v>391.87499999999994</v>
      </c>
      <c r="AV30" s="40">
        <f>s_C*(d_ss_Bv!V30+s_MLF_snap_bean)*s_IFSN_res_adj*s_CF_snap_bean</f>
        <v>215.87499999999997</v>
      </c>
      <c r="AW30" s="40">
        <f>s_C*(d_ss_Bv!W30+s_MLF_strawberry)*s_IFST_res_adj*s_CF_strawberry</f>
        <v>199.375</v>
      </c>
      <c r="AX30" s="40">
        <f>s_C*(d_ss_Bv!X30+s_MLF_tomato)*s_IFTO_res_adj*s_CF_tomato</f>
        <v>391.87499999999994</v>
      </c>
      <c r="AY30" s="40">
        <f>s_C*(d_ss_Bv!Y30+s_MLF_rice)*s_IFRI_res_adj*s_CF_rice</f>
        <v>188.96625</v>
      </c>
      <c r="AZ30" s="40">
        <f>s_C*(d_ss_Bv!Z30+s_MLF_cereal)*s_IFCG_res_adj*s_CF_cereal</f>
        <v>270.875</v>
      </c>
      <c r="BA30" s="15">
        <f t="shared" si="4"/>
        <v>46.058578261074956</v>
      </c>
      <c r="BB30" s="15">
        <f>IFERROR((s_dir!AC30/(d_ss_Bv!C30+s_MLF_apple)),".")</f>
        <v>258.6999165046019</v>
      </c>
      <c r="BC30" s="15">
        <f>IFERROR((s_dir!AD30/(d_ss_Bv!D30+s_MLF_asparagus)),".")</f>
        <v>111.97459072587246</v>
      </c>
      <c r="BD30" s="15">
        <f>IFERROR((s_dir!AE30/(d_ss_Bv!E30+s_MLF_beet)),".")</f>
        <v>171.2853328455127</v>
      </c>
      <c r="BE30" s="15">
        <f>IFERROR((s_dir!AF30/(d_ss_Bv!F30+s_MLF_berries)),".")</f>
        <v>258.6999165046019</v>
      </c>
      <c r="BF30" s="15">
        <f>IFERROR((s_dir!AG30/(d_ss_Bv!G30+s_MLF_broccoli)),".")</f>
        <v>131.61925576549922</v>
      </c>
      <c r="BG30" s="15">
        <f>IFERROR((s_dir!AH30/(d_ss_Bv!H30+s_MLF_cabbage)),".")</f>
        <v>111.97459072587246</v>
      </c>
      <c r="BH30" s="15">
        <f>IFERROR((s_dir!AI30/(d_ss_Bv!I30+s_MLF_carrot)),".")</f>
        <v>171.2853328455127</v>
      </c>
      <c r="BI30" s="15">
        <f>IFERROR((s_dir!AJ30/(d_ss_Bv!J30+s_MLF_citrus)),".")</f>
        <v>258.6999165046019</v>
      </c>
      <c r="BJ30" s="15">
        <f>IFERROR((s_dir!AK30/(d_ss_Bv!K30+s_MLF_corn)),".")</f>
        <v>131.61925576549922</v>
      </c>
      <c r="BK30" s="15">
        <f>IFERROR((s_dir!AL30/(d_ss_Bv!L30+s_MLF_cucumber)),".")</f>
        <v>131.61925576549922</v>
      </c>
      <c r="BL30" s="15">
        <f>IFERROR((s_dir!AM30/(d_ss_Bv!M30+s_MLF_lettuce)),".")</f>
        <v>111.97459072587246</v>
      </c>
      <c r="BM30" s="15">
        <f>IFERROR((s_dir!AN30/(d_ss_Bv!N30+s_MLF_lima_bean)),".")</f>
        <v>238.9266744787725</v>
      </c>
      <c r="BN30" s="15">
        <f>IFERROR((s_dir!AO30/(d_ss_Bv!O30+s_MLF_okra)),".")</f>
        <v>131.61925576549922</v>
      </c>
      <c r="BO30" s="15">
        <f>IFERROR((s_dir!AP30/(d_ss_Bv!P30+s_MLF_onion)),".")</f>
        <v>131.61925576549922</v>
      </c>
      <c r="BP30" s="15">
        <f>IFERROR((s_dir!AQ30/(d_ss_Bv!Q30+s_MLF_peach)),".")</f>
        <v>258.6999165046019</v>
      </c>
      <c r="BQ30" s="15">
        <f>IFERROR((s_dir!AR30/(d_ss_Bv!R30+s_MLF_pear)),".")</f>
        <v>258.6999165046019</v>
      </c>
      <c r="BR30" s="15">
        <f>IFERROR((s_dir!AS30/(d_ss_Bv!S30+s_MLF_peas)),".")</f>
        <v>238.9266744787725</v>
      </c>
      <c r="BS30" s="15">
        <f>IFERROR((s_dir!AT30/(d_ss_Bv!T30+s_MLF_potato)),".")</f>
        <v>202.76479942252584</v>
      </c>
      <c r="BT30" s="15">
        <f>IFERROR((s_dir!AU30/(d_ss_Bv!U30+s_MLF_pumpkin)),".")</f>
        <v>131.61925576549922</v>
      </c>
      <c r="BU30" s="15">
        <f>IFERROR((s_dir!AV30/(d_ss_Bv!V30+s_MLF_snap_bean)),".")</f>
        <v>238.9266744787725</v>
      </c>
      <c r="BV30" s="15">
        <f>IFERROR((s_dir!AW30/(d_ss_Bv!W30+s_MLF_strawberry)),".")</f>
        <v>258.6999165046019</v>
      </c>
      <c r="BW30" s="15">
        <f>IFERROR((s_dir!AX30/(d_ss_Bv!X30+s_MLF_tomato)),".")</f>
        <v>131.61925576549922</v>
      </c>
      <c r="BX30" s="15">
        <f>IFERROR((s_dir!AY30/(d_ss_Bv!Y30+s_MLF_rice)),".")</f>
        <v>272.94977729147405</v>
      </c>
      <c r="BY30" s="15">
        <f>IFERROR((s_dir!AZ30/(d_ss_Bv!Z30+s_MLF_cereal)),".")</f>
        <v>190.41364412775269</v>
      </c>
      <c r="BZ30" s="40">
        <f t="shared" si="5"/>
        <v>1119.8412499999999</v>
      </c>
      <c r="CA30" s="40">
        <f>IFERROR(s_C*(d_ss_Bv!C30+s_MLF_apple)*s_IFAP_far_adj*s_CF_apple,".")</f>
        <v>199.375</v>
      </c>
      <c r="CB30" s="40">
        <f>IFERROR(s_C*(d_ss_Bv!D30+s_MLF_asparagus)*s_IFAS_far_adj*s_CF_asparagus,".")</f>
        <v>460.625</v>
      </c>
      <c r="CC30" s="40">
        <f>IFERROR(s_C*(d_ss_Bv!E30+s_MLF_beet)*s_IFBT_far_adj*s_CF_beet,".")</f>
        <v>301.125</v>
      </c>
      <c r="CD30" s="40">
        <f>IFERROR(s_C*(d_ss_Bv!F30+s_MLF_berries)*s_IFBR_far_adj*s_CF_berries,".")</f>
        <v>199.375</v>
      </c>
      <c r="CE30" s="40">
        <f>IFERROR(s_C*(d_ss_Bv!G30+s_MLF_broccoli)*s_IFBR_far_adj*s_CF_broccoli,".")</f>
        <v>391.87499999999994</v>
      </c>
      <c r="CF30" s="40">
        <f>IFERROR(s_C*(d_ss_Bv!H30+s_MLF_cabbage)*s_IFCB_far_adj*s_CF_cabbage,".")</f>
        <v>460.625</v>
      </c>
      <c r="CG30" s="40">
        <f>IFERROR(s_C*(d_ss_Bv!I30+s_MLF_carrot)*s_IFCR_far_adj*s_CF_carrot,".")</f>
        <v>301.125</v>
      </c>
      <c r="CH30" s="40">
        <f>IFERROR(s_C*(d_ss_Bv!J30+s_MLF_citrus)*s_IFCI_far_adj*s_CF_citrus,".")</f>
        <v>199.375</v>
      </c>
      <c r="CI30" s="40">
        <f>IFERROR(s_C*(d_ss_Bv!K30+s_MLF_corn)*s_IFCO_far_adj*s_CF_corn,".")</f>
        <v>391.87499999999994</v>
      </c>
      <c r="CJ30" s="40">
        <f>IFERROR(s_C*(d_ss_Bv!L30+s_MLF_cucumber)*s_IFCU_far_adj*s_CF_cucumber,".")</f>
        <v>391.87499999999994</v>
      </c>
      <c r="CK30" s="40">
        <f>IFERROR(s_C*(d_ss_Bv!M30+s_MLF_lettuce)*s_IFLE_far_adj*s_CF_lettuce,".")</f>
        <v>460.625</v>
      </c>
      <c r="CL30" s="40">
        <f>IFERROR(s_C*(d_ss_Bv!N30+s_MLF_lima_bean)*s_IFLI_far_adj*s_CF_lima_bean,".")</f>
        <v>215.87499999999997</v>
      </c>
      <c r="CM30" s="40">
        <f>IFERROR(s_C*(d_ss_Bv!O30+s_MLF_okra)*s_IFOK_far_adj*s_CF_okra,".")</f>
        <v>391.87499999999994</v>
      </c>
      <c r="CN30" s="40">
        <f>IFERROR(s_C*(d_ss_Bv!P30+s_MLF_onion)*s_IFON_far_adj*s_CF_onion,".")</f>
        <v>391.87499999999994</v>
      </c>
      <c r="CO30" s="40">
        <f>IFERROR(s_C*(d_ss_Bv!Q30+s_MLF_peach)*s_IFPC_far_adj*s_CF_peach,".")</f>
        <v>199.375</v>
      </c>
      <c r="CP30" s="40">
        <f>IFERROR(s_C*(d_ss_Bv!R30+s_MLF_pear)*s_IFPR_far_adj*s_CF_pear,".")</f>
        <v>199.375</v>
      </c>
      <c r="CQ30" s="40">
        <f>IFERROR(s_C*(d_ss_Bv!S30+s_MLF_peas)*s_IFPE_far_adj*s_CF_peas,".")</f>
        <v>215.87499999999997</v>
      </c>
      <c r="CR30" s="40">
        <f>IFERROR(s_C*(d_ss_Bv!T30+s_MLF_potato)*s_IFPT_far_adj*s_CF_potato,".")</f>
        <v>254.375</v>
      </c>
      <c r="CS30" s="40">
        <f>IFERROR(s_C*(d_ss_Bv!U30+s_MLF_pumpkin)*s_IFPU_far_adj*s_CF_pumpkin,".")</f>
        <v>391.87499999999994</v>
      </c>
      <c r="CT30" s="40">
        <f>IFERROR(s_C*(d_ss_Bv!V30+s_MLF_snap_bean)*s_IFSN_far_adj*s_CF_snap_bean,".")</f>
        <v>215.87499999999997</v>
      </c>
      <c r="CU30" s="40">
        <f>IFERROR(s_C*(d_ss_Bv!W30+s_MLF_strawberry)*s_IFST_far_adj*s_CF_strawberry,".")</f>
        <v>199.375</v>
      </c>
      <c r="CV30" s="40">
        <f>IFERROR(s_C*(d_ss_Bv!X30+s_MLF_tomato)*s_IFTO_far_adj*s_CF_tomato,".")</f>
        <v>391.87499999999994</v>
      </c>
      <c r="CW30" s="40">
        <f>IFERROR(s_C*(d_ss_Bv!Y30+s_MLF_rice)*s_IFRI_far_adj*s_CF_rice,".")</f>
        <v>188.96625</v>
      </c>
      <c r="CX30" s="40">
        <f>IFERROR(s_C*(d_ss_Bv!Z30+s_MLF_cereal)*s_IFCG_far_adj*s_CF_cereal,".")</f>
        <v>270.875</v>
      </c>
    </row>
    <row r="31" spans="1:102" x14ac:dyDescent="0.25">
      <c r="A31" s="82" t="s">
        <v>13</v>
      </c>
      <c r="B31" s="82" t="s">
        <v>1074</v>
      </c>
      <c r="C31" s="58">
        <f>IFERROR(1/SUM(1/D31,1/E31,1/Z31,1/AA31),".")</f>
        <v>4.3150000781390112</v>
      </c>
      <c r="D31" s="58">
        <f>1/SUM(1/D32,1/D33,1/D34,1/D35,1/D36,1/D37,1/D38,1/D41,1/D44)</f>
        <v>22.350919698535552</v>
      </c>
      <c r="E31" s="58">
        <f t="shared" ref="E31:Z31" si="6">1/SUM(1/E32,1/E33,1/E34,1/E35,1/E36,1/E37,1/E38,1/E41,1/E44)</f>
        <v>11.012158211807089</v>
      </c>
      <c r="F31" s="58">
        <f t="shared" si="6"/>
        <v>12.907496070941269</v>
      </c>
      <c r="G31" s="58">
        <f t="shared" si="6"/>
        <v>22.210694681966768</v>
      </c>
      <c r="H31" s="58">
        <f t="shared" si="6"/>
        <v>17.917170004958095</v>
      </c>
      <c r="I31" s="58">
        <f t="shared" si="6"/>
        <v>11.012158211807089</v>
      </c>
      <c r="J31" s="58">
        <f t="shared" si="6"/>
        <v>12.907496070941269</v>
      </c>
      <c r="K31" s="58">
        <f t="shared" si="6"/>
        <v>22.350919698535552</v>
      </c>
      <c r="L31" s="58">
        <f t="shared" si="6"/>
        <v>21.551774369574261</v>
      </c>
      <c r="M31" s="58">
        <f t="shared" si="6"/>
        <v>17.917170004958095</v>
      </c>
      <c r="N31" s="58">
        <f t="shared" si="6"/>
        <v>11.012158211807089</v>
      </c>
      <c r="O31" s="58">
        <f t="shared" si="6"/>
        <v>19.7224048557859</v>
      </c>
      <c r="P31" s="58">
        <f t="shared" si="6"/>
        <v>17.917170004958095</v>
      </c>
      <c r="Q31" s="58">
        <f t="shared" si="6"/>
        <v>17.917170004958095</v>
      </c>
      <c r="R31" s="58">
        <f t="shared" si="6"/>
        <v>22.350919698535552</v>
      </c>
      <c r="S31" s="58">
        <f t="shared" si="6"/>
        <v>22.350919698535552</v>
      </c>
      <c r="T31" s="58">
        <f t="shared" si="6"/>
        <v>19.7224048557859</v>
      </c>
      <c r="U31" s="58">
        <f t="shared" si="6"/>
        <v>21.151379056594042</v>
      </c>
      <c r="V31" s="58">
        <f t="shared" si="6"/>
        <v>17.917170004958095</v>
      </c>
      <c r="W31" s="58">
        <f t="shared" si="6"/>
        <v>19.7224048557859</v>
      </c>
      <c r="X31" s="58">
        <f t="shared" si="6"/>
        <v>22.336432716425715</v>
      </c>
      <c r="Y31" s="58">
        <f t="shared" si="6"/>
        <v>17.917170004958095</v>
      </c>
      <c r="Z31" s="58">
        <f t="shared" si="6"/>
        <v>22.099982361785603</v>
      </c>
      <c r="AA31" s="58">
        <f>1/SUM(1/AA32,1/AA33,1/AA34,1/AA35,1/AA36,1/AA37,1/AA38,1/AA41,1/AA44)</f>
        <v>19.626626111166683</v>
      </c>
      <c r="AB31" s="47">
        <f>IFERROR(IF(SUM(AC32:AD44,AY32:AZ44)&gt;0.01,1-EXP(-SUM(AC32:AD44,AY32:AZ44)),SUM(AC32:AD44,AY32:AZ44)),".")</f>
        <v>1.158749784675862E-6</v>
      </c>
      <c r="AC31" s="47">
        <f t="shared" ref="AC31:AY31" si="7">IFERROR(IF(SUM(AC32:AC44)&gt;0.01,1-EXP(-(SUM(AC32:AC44))),SUM(AC32:AC44)),".")</f>
        <v>2.2370473703338851E-7</v>
      </c>
      <c r="AD31" s="47">
        <f t="shared" si="7"/>
        <v>4.5404398020708986E-7</v>
      </c>
      <c r="AE31" s="47">
        <f t="shared" si="7"/>
        <v>3.8737210269668858E-7</v>
      </c>
      <c r="AF31" s="47">
        <f t="shared" si="7"/>
        <v>2.2511707282088855E-7</v>
      </c>
      <c r="AG31" s="47">
        <f t="shared" si="7"/>
        <v>2.7906222932168855E-7</v>
      </c>
      <c r="AH31" s="47">
        <f t="shared" si="7"/>
        <v>4.5404398020708986E-7</v>
      </c>
      <c r="AI31" s="47">
        <f t="shared" si="7"/>
        <v>3.8737210269668858E-7</v>
      </c>
      <c r="AJ31" s="47">
        <f t="shared" si="7"/>
        <v>2.2370473703338851E-7</v>
      </c>
      <c r="AK31" s="47">
        <f t="shared" si="7"/>
        <v>2.3199974504448033E-7</v>
      </c>
      <c r="AL31" s="47">
        <f t="shared" si="7"/>
        <v>2.7906222932168855E-7</v>
      </c>
      <c r="AM31" s="47">
        <f t="shared" si="7"/>
        <v>4.5404398020708986E-7</v>
      </c>
      <c r="AN31" s="47">
        <f t="shared" si="7"/>
        <v>2.5351906959513638E-7</v>
      </c>
      <c r="AO31" s="47">
        <f t="shared" si="7"/>
        <v>2.7906222932168855E-7</v>
      </c>
      <c r="AP31" s="47">
        <f t="shared" si="7"/>
        <v>2.7906222932168855E-7</v>
      </c>
      <c r="AQ31" s="47">
        <f t="shared" si="7"/>
        <v>2.2370473703338851E-7</v>
      </c>
      <c r="AR31" s="47">
        <f t="shared" si="7"/>
        <v>2.2370473703338851E-7</v>
      </c>
      <c r="AS31" s="47">
        <f t="shared" si="7"/>
        <v>2.5351906959513638E-7</v>
      </c>
      <c r="AT31" s="47">
        <f t="shared" si="7"/>
        <v>2.3639149194452837E-7</v>
      </c>
      <c r="AU31" s="47">
        <f t="shared" si="7"/>
        <v>2.7906222932168855E-7</v>
      </c>
      <c r="AV31" s="47">
        <f t="shared" si="7"/>
        <v>2.5351906959513638E-7</v>
      </c>
      <c r="AW31" s="47">
        <f t="shared" si="7"/>
        <v>2.2384982744588851E-7</v>
      </c>
      <c r="AX31" s="47">
        <f t="shared" si="7"/>
        <v>2.7906222932168855E-7</v>
      </c>
      <c r="AY31" s="47">
        <f t="shared" si="7"/>
        <v>2.2624480918933475E-7</v>
      </c>
      <c r="AZ31" s="47">
        <f>IFERROR(IF(SUM(AZ32:AZ44)&gt;0.01,1-EXP(-(SUM(AZ32:AZ44))),SUM(AZ32:AZ44)),".")</f>
        <v>2.5475625824604853E-7</v>
      </c>
      <c r="BA31" s="58">
        <f>IFERROR(1/SUM(1/BB31,1/BC31,1/BX31,1/BY31),".")</f>
        <v>4.3150000781390112</v>
      </c>
      <c r="BB31" s="58">
        <f>IFERROR(1/SUM(BB32:BB44),0)</f>
        <v>22.350919698535552</v>
      </c>
      <c r="BC31" s="58">
        <f>IFERROR(1/SUM(BC32:BC44),0)</f>
        <v>11.012158211807089</v>
      </c>
      <c r="BD31" s="58">
        <f t="shared" ref="BD31:BY31" si="8">IFERROR(1/SUM(BD32:BD44),0)</f>
        <v>12.907496070941269</v>
      </c>
      <c r="BE31" s="58">
        <f t="shared" si="8"/>
        <v>22.210694681966768</v>
      </c>
      <c r="BF31" s="58">
        <f t="shared" si="8"/>
        <v>17.917170004958095</v>
      </c>
      <c r="BG31" s="58">
        <f t="shared" si="8"/>
        <v>11.012158211807089</v>
      </c>
      <c r="BH31" s="58">
        <f t="shared" si="8"/>
        <v>12.907496070941269</v>
      </c>
      <c r="BI31" s="58">
        <f t="shared" si="8"/>
        <v>22.350919698535552</v>
      </c>
      <c r="BJ31" s="58">
        <f t="shared" si="8"/>
        <v>21.551774369574261</v>
      </c>
      <c r="BK31" s="58">
        <f t="shared" si="8"/>
        <v>17.917170004958095</v>
      </c>
      <c r="BL31" s="58">
        <f t="shared" si="8"/>
        <v>11.012158211807089</v>
      </c>
      <c r="BM31" s="58">
        <f t="shared" si="8"/>
        <v>19.7224048557859</v>
      </c>
      <c r="BN31" s="58">
        <f t="shared" si="8"/>
        <v>17.917170004958095</v>
      </c>
      <c r="BO31" s="58">
        <f t="shared" si="8"/>
        <v>17.917170004958095</v>
      </c>
      <c r="BP31" s="58">
        <f t="shared" si="8"/>
        <v>22.350919698535552</v>
      </c>
      <c r="BQ31" s="58">
        <f t="shared" si="8"/>
        <v>22.350919698535552</v>
      </c>
      <c r="BR31" s="58">
        <f t="shared" si="8"/>
        <v>19.7224048557859</v>
      </c>
      <c r="BS31" s="58">
        <f t="shared" si="8"/>
        <v>21.151379056594042</v>
      </c>
      <c r="BT31" s="58">
        <f t="shared" si="8"/>
        <v>17.917170004958095</v>
      </c>
      <c r="BU31" s="58">
        <f t="shared" si="8"/>
        <v>19.7224048557859</v>
      </c>
      <c r="BV31" s="58">
        <f t="shared" si="8"/>
        <v>22.336432716425715</v>
      </c>
      <c r="BW31" s="58">
        <f t="shared" si="8"/>
        <v>17.917170004958095</v>
      </c>
      <c r="BX31" s="58">
        <f t="shared" si="8"/>
        <v>22.099982361785603</v>
      </c>
      <c r="BY31" s="58">
        <f t="shared" si="8"/>
        <v>19.626626111166683</v>
      </c>
      <c r="BZ31" s="47">
        <f>IFERROR(IF(SUM(CA32:CB44,CW32:CX44)&gt;0.01,1-EXP(-SUM(CA32:CB44,CW32:CX44)),SUM(CA32:CB44,CW32:CX44)),".")</f>
        <v>1.158749784675862E-6</v>
      </c>
      <c r="CA31" s="47">
        <f t="shared" ref="CA31:CV31" si="9">IFERROR(IF(SUM(CA32:CA44)&gt;0.01,1-EXP(-(SUM(CA32:CA44))),SUM(CA32:CA44)),".")</f>
        <v>2.2370473703338851E-7</v>
      </c>
      <c r="CB31" s="47">
        <f t="shared" si="9"/>
        <v>4.5404398020708986E-7</v>
      </c>
      <c r="CC31" s="47">
        <f t="shared" si="9"/>
        <v>3.8737210269668858E-7</v>
      </c>
      <c r="CD31" s="47">
        <f t="shared" si="9"/>
        <v>2.2511707282088855E-7</v>
      </c>
      <c r="CE31" s="47">
        <f t="shared" si="9"/>
        <v>2.7906222932168855E-7</v>
      </c>
      <c r="CF31" s="47">
        <f t="shared" si="9"/>
        <v>4.5404398020708986E-7</v>
      </c>
      <c r="CG31" s="47">
        <f t="shared" si="9"/>
        <v>3.8737210269668858E-7</v>
      </c>
      <c r="CH31" s="47">
        <f t="shared" si="9"/>
        <v>2.2370473703338851E-7</v>
      </c>
      <c r="CI31" s="47">
        <f t="shared" si="9"/>
        <v>2.3199974504448033E-7</v>
      </c>
      <c r="CJ31" s="47">
        <f t="shared" si="9"/>
        <v>2.7906222932168855E-7</v>
      </c>
      <c r="CK31" s="47">
        <f t="shared" si="9"/>
        <v>4.5404398020708986E-7</v>
      </c>
      <c r="CL31" s="47">
        <f t="shared" si="9"/>
        <v>2.5351906959513638E-7</v>
      </c>
      <c r="CM31" s="47">
        <f t="shared" si="9"/>
        <v>2.7906222932168855E-7</v>
      </c>
      <c r="CN31" s="47">
        <f t="shared" si="9"/>
        <v>2.7906222932168855E-7</v>
      </c>
      <c r="CO31" s="47">
        <f t="shared" si="9"/>
        <v>2.2370473703338851E-7</v>
      </c>
      <c r="CP31" s="47">
        <f t="shared" si="9"/>
        <v>2.2370473703338851E-7</v>
      </c>
      <c r="CQ31" s="47">
        <f t="shared" si="9"/>
        <v>2.5351906959513638E-7</v>
      </c>
      <c r="CR31" s="47">
        <f t="shared" si="9"/>
        <v>2.3639149194452837E-7</v>
      </c>
      <c r="CS31" s="47">
        <f t="shared" si="9"/>
        <v>2.7906222932168855E-7</v>
      </c>
      <c r="CT31" s="47">
        <f t="shared" si="9"/>
        <v>2.5351906959513638E-7</v>
      </c>
      <c r="CU31" s="47">
        <f t="shared" si="9"/>
        <v>2.2384982744588851E-7</v>
      </c>
      <c r="CV31" s="47">
        <f t="shared" si="9"/>
        <v>2.7906222932168855E-7</v>
      </c>
      <c r="CW31" s="47">
        <f>IFERROR(IF(SUM(CW32:CW44)&gt;0.01,1-EXP(-(SUM(CW32:CW44))),SUM(CW32:CW44)),".")</f>
        <v>2.2624480918933475E-7</v>
      </c>
      <c r="CX31" s="47">
        <f>IFERROR(IF(SUM(CX32:CX44)&gt;0.01,1-EXP(-(SUM(CX32:CX44))),SUM(CX32:CX44)),".")</f>
        <v>2.5475625824604853E-7</v>
      </c>
    </row>
    <row r="32" spans="1:102" x14ac:dyDescent="0.25">
      <c r="A32" s="83" t="s">
        <v>1102</v>
      </c>
      <c r="B32" s="42">
        <v>1</v>
      </c>
      <c r="C32" s="60">
        <f t="shared" ref="C32:C58" si="10">IFERROR(1/SUM(1/D32,1/E32,1/Z32,1/AA32),".")</f>
        <v>49.209919844740696</v>
      </c>
      <c r="D32" s="60">
        <f t="shared" ref="D32:AA32" si="11">IFERROR(D3/$B32,0)</f>
        <v>201.20023616662399</v>
      </c>
      <c r="E32" s="60">
        <f t="shared" si="11"/>
        <v>197.7080897291641</v>
      </c>
      <c r="F32" s="60">
        <f t="shared" si="11"/>
        <v>192.12705685042974</v>
      </c>
      <c r="G32" s="60">
        <f t="shared" si="11"/>
        <v>190.38044724269855</v>
      </c>
      <c r="H32" s="60">
        <f t="shared" si="11"/>
        <v>196.42427096468901</v>
      </c>
      <c r="I32" s="60">
        <f t="shared" si="11"/>
        <v>197.7080897291641</v>
      </c>
      <c r="J32" s="60">
        <f t="shared" si="11"/>
        <v>192.12705685042974</v>
      </c>
      <c r="K32" s="60">
        <f t="shared" si="11"/>
        <v>201.20023616662399</v>
      </c>
      <c r="L32" s="60">
        <f t="shared" si="11"/>
        <v>200.91811037421326</v>
      </c>
      <c r="M32" s="60">
        <f t="shared" si="11"/>
        <v>196.42427096468901</v>
      </c>
      <c r="N32" s="60">
        <f t="shared" si="11"/>
        <v>197.7080897291641</v>
      </c>
      <c r="O32" s="60">
        <f t="shared" si="11"/>
        <v>196.14123887396178</v>
      </c>
      <c r="P32" s="60">
        <f t="shared" si="11"/>
        <v>196.42427096468901</v>
      </c>
      <c r="Q32" s="60">
        <f t="shared" si="11"/>
        <v>196.42427096468901</v>
      </c>
      <c r="R32" s="60">
        <f t="shared" si="11"/>
        <v>201.20023616662399</v>
      </c>
      <c r="S32" s="60">
        <f t="shared" si="11"/>
        <v>201.20023616662399</v>
      </c>
      <c r="T32" s="60">
        <f t="shared" si="11"/>
        <v>196.14123887396178</v>
      </c>
      <c r="U32" s="60">
        <f t="shared" si="11"/>
        <v>198.57333301025452</v>
      </c>
      <c r="V32" s="60">
        <f t="shared" si="11"/>
        <v>196.42427096468901</v>
      </c>
      <c r="W32" s="60">
        <f t="shared" si="11"/>
        <v>196.14123887396178</v>
      </c>
      <c r="X32" s="60">
        <f t="shared" si="11"/>
        <v>200.03235823442978</v>
      </c>
      <c r="Y32" s="60">
        <f t="shared" si="11"/>
        <v>196.42427096468901</v>
      </c>
      <c r="Z32" s="60">
        <f t="shared" si="11"/>
        <v>187.754510039351</v>
      </c>
      <c r="AA32" s="60">
        <f t="shared" si="11"/>
        <v>201.33415142512865</v>
      </c>
      <c r="AB32" s="49">
        <f t="shared" ref="AB32:AB76" si="12">SUM(AC32:AD32,AY32:AZ32)</f>
        <v>1.0160553026249999E-7</v>
      </c>
      <c r="AC32" s="49">
        <f>IFERROR(s_RadSpec!$E$3*(AC3/$B32),".")</f>
        <v>2.4850865462499999E-8</v>
      </c>
      <c r="AD32" s="49">
        <f>IFERROR(s_RadSpec!$E$3*(AD3/$B32),".")</f>
        <v>2.5289809874999999E-8</v>
      </c>
      <c r="AE32" s="49">
        <f>IFERROR(s_RadSpec!$E$3*(AE3/$B32),".")</f>
        <v>2.6024444874999998E-8</v>
      </c>
      <c r="AF32" s="49">
        <f>IFERROR(s_RadSpec!$E$3*(AF3/$B32),".")</f>
        <v>2.6263201250000007E-8</v>
      </c>
      <c r="AG32" s="49">
        <f>IFERROR(s_RadSpec!$E$3*(AG3/$B32),".")</f>
        <v>2.5455102750000001E-8</v>
      </c>
      <c r="AH32" s="49">
        <f>IFERROR(s_RadSpec!$E$3*(AH3/$B32),".")</f>
        <v>2.5289809874999999E-8</v>
      </c>
      <c r="AI32" s="49">
        <f>IFERROR(s_RadSpec!$E$3*(AI3/$B32),".")</f>
        <v>2.6024444874999998E-8</v>
      </c>
      <c r="AJ32" s="49">
        <f>IFERROR(s_RadSpec!$E$3*(AJ3/$B32),".")</f>
        <v>2.4850865462499999E-8</v>
      </c>
      <c r="AK32" s="49">
        <f>IFERROR(s_RadSpec!$E$3*(AK3/$B32),".")</f>
        <v>2.4885760625000001E-8</v>
      </c>
      <c r="AL32" s="49">
        <f>IFERROR(s_RadSpec!$E$3*(AL3/$B32),".")</f>
        <v>2.5455102750000001E-8</v>
      </c>
      <c r="AM32" s="49">
        <f>IFERROR(s_RadSpec!$E$3*(AM3/$B32),".")</f>
        <v>2.5289809874999999E-8</v>
      </c>
      <c r="AN32" s="49">
        <f>IFERROR(s_RadSpec!$E$3*(AN3/$B32),".")</f>
        <v>2.5491834500000006E-8</v>
      </c>
      <c r="AO32" s="49">
        <f>IFERROR(s_RadSpec!$E$3*(AO3/$B32),".")</f>
        <v>2.5455102750000001E-8</v>
      </c>
      <c r="AP32" s="49">
        <f>IFERROR(s_RadSpec!$E$3*(AP3/$B32),".")</f>
        <v>2.5455102750000001E-8</v>
      </c>
      <c r="AQ32" s="49">
        <f>IFERROR(s_RadSpec!$E$3*(AQ3/$B32),".")</f>
        <v>2.4850865462499999E-8</v>
      </c>
      <c r="AR32" s="49">
        <f>IFERROR(s_RadSpec!$E$3*(AR3/$B32),".")</f>
        <v>2.4850865462499999E-8</v>
      </c>
      <c r="AS32" s="49">
        <f>IFERROR(s_RadSpec!$E$3*(AS3/$B32),".")</f>
        <v>2.5491834500000006E-8</v>
      </c>
      <c r="AT32" s="49">
        <f>IFERROR(s_RadSpec!$E$3*(AT3/$B32),".")</f>
        <v>2.5179614624999999E-8</v>
      </c>
      <c r="AU32" s="49">
        <f>IFERROR(s_RadSpec!$E$3*(AU3/$B32),".")</f>
        <v>2.5455102750000001E-8</v>
      </c>
      <c r="AV32" s="49">
        <f>IFERROR(s_RadSpec!$E$3*(AV3/$B32),".")</f>
        <v>2.5491834500000006E-8</v>
      </c>
      <c r="AW32" s="49">
        <f>IFERROR(s_RadSpec!$E$3*(AW3/$B32),".")</f>
        <v>2.4995955875E-8</v>
      </c>
      <c r="AX32" s="49">
        <f>IFERROR(s_RadSpec!$E$3*(AX3/$B32),".")</f>
        <v>2.5455102750000001E-8</v>
      </c>
      <c r="AY32" s="49">
        <f>IFERROR(s_RadSpec!$E$3*(AY3/$B32),".")</f>
        <v>2.6630518750000003E-8</v>
      </c>
      <c r="AZ32" s="49">
        <f>IFERROR(s_RadSpec!$E$3*(AZ3/$B32),".")</f>
        <v>2.4834336175000002E-8</v>
      </c>
      <c r="BA32" s="60">
        <f t="shared" ref="BA32:BA58" si="13">IFERROR(1/SUM(1/BB32,1/BC32,1/BX32,1/BY32),".")</f>
        <v>1.2690403847226966E-3</v>
      </c>
      <c r="BB32" s="60">
        <f>IFERROR($B32/BB3,0)</f>
        <v>4.9701730925000003E-3</v>
      </c>
      <c r="BC32" s="60">
        <f t="shared" ref="BC32:BY32" si="14">IFERROR($B32/BC3,0)</f>
        <v>5.0579619749999997E-3</v>
      </c>
      <c r="BD32" s="60">
        <f t="shared" si="14"/>
        <v>5.2048889750000004E-3</v>
      </c>
      <c r="BE32" s="60">
        <f t="shared" si="14"/>
        <v>5.2526402500000001E-3</v>
      </c>
      <c r="BF32" s="60">
        <f t="shared" si="14"/>
        <v>5.0910205499999995E-3</v>
      </c>
      <c r="BG32" s="60">
        <f t="shared" si="14"/>
        <v>5.0579619749999997E-3</v>
      </c>
      <c r="BH32" s="60">
        <f t="shared" si="14"/>
        <v>5.2048889750000004E-3</v>
      </c>
      <c r="BI32" s="60">
        <f t="shared" si="14"/>
        <v>4.9701730925000003E-3</v>
      </c>
      <c r="BJ32" s="60">
        <f t="shared" si="14"/>
        <v>4.9771521249999994E-3</v>
      </c>
      <c r="BK32" s="60">
        <f t="shared" si="14"/>
        <v>5.0910205499999995E-3</v>
      </c>
      <c r="BL32" s="60">
        <f t="shared" si="14"/>
        <v>5.0579619749999997E-3</v>
      </c>
      <c r="BM32" s="60">
        <f t="shared" si="14"/>
        <v>5.0983668999999999E-3</v>
      </c>
      <c r="BN32" s="60">
        <f t="shared" si="14"/>
        <v>5.0910205499999995E-3</v>
      </c>
      <c r="BO32" s="60">
        <f t="shared" si="14"/>
        <v>5.0910205499999995E-3</v>
      </c>
      <c r="BP32" s="60">
        <f t="shared" si="14"/>
        <v>4.9701730925000003E-3</v>
      </c>
      <c r="BQ32" s="60">
        <f t="shared" si="14"/>
        <v>4.9701730925000003E-3</v>
      </c>
      <c r="BR32" s="60">
        <f t="shared" si="14"/>
        <v>5.0983668999999999E-3</v>
      </c>
      <c r="BS32" s="60">
        <f t="shared" si="14"/>
        <v>5.0359229250000002E-3</v>
      </c>
      <c r="BT32" s="60">
        <f t="shared" si="14"/>
        <v>5.0910205499999995E-3</v>
      </c>
      <c r="BU32" s="60">
        <f t="shared" si="14"/>
        <v>5.0983668999999999E-3</v>
      </c>
      <c r="BV32" s="60">
        <f t="shared" si="14"/>
        <v>4.9991911750000007E-3</v>
      </c>
      <c r="BW32" s="60">
        <f t="shared" si="14"/>
        <v>5.0910205499999995E-3</v>
      </c>
      <c r="BX32" s="60">
        <f t="shared" si="14"/>
        <v>5.32610375E-3</v>
      </c>
      <c r="BY32" s="60">
        <f t="shared" si="14"/>
        <v>4.9668672349999993E-3</v>
      </c>
      <c r="BZ32" s="49">
        <f t="shared" si="5"/>
        <v>1.0160553026249999E-7</v>
      </c>
      <c r="CA32" s="49">
        <f>IFERROR(s_RadSpec!$E$3*(CA3/$B32),".")</f>
        <v>2.4850865462499999E-8</v>
      </c>
      <c r="CB32" s="49">
        <f>IFERROR(s_RadSpec!$E$3*(CB3/$B32),".")</f>
        <v>2.5289809874999999E-8</v>
      </c>
      <c r="CC32" s="49">
        <f>IFERROR(s_RadSpec!$E$3*(CC3/$B32),".")</f>
        <v>2.6024444874999998E-8</v>
      </c>
      <c r="CD32" s="49">
        <f>IFERROR(s_RadSpec!$E$3*(CD3/$B32),".")</f>
        <v>2.6263201250000007E-8</v>
      </c>
      <c r="CE32" s="49">
        <f>IFERROR(s_RadSpec!$E$3*(CE3/$B32),".")</f>
        <v>2.5455102750000001E-8</v>
      </c>
      <c r="CF32" s="49">
        <f>IFERROR(s_RadSpec!$E$3*(CF3/$B32),".")</f>
        <v>2.5289809874999999E-8</v>
      </c>
      <c r="CG32" s="49">
        <f>IFERROR(s_RadSpec!$E$3*(CG3/$B32),".")</f>
        <v>2.6024444874999998E-8</v>
      </c>
      <c r="CH32" s="49">
        <f>IFERROR(s_RadSpec!$E$3*(CH3/$B32),".")</f>
        <v>2.4850865462499999E-8</v>
      </c>
      <c r="CI32" s="49">
        <f>IFERROR(s_RadSpec!$E$3*(CI3/$B32),".")</f>
        <v>2.4885760625000001E-8</v>
      </c>
      <c r="CJ32" s="49">
        <f>IFERROR(s_RadSpec!$E$3*(CJ3/$B32),".")</f>
        <v>2.5455102750000001E-8</v>
      </c>
      <c r="CK32" s="49">
        <f>IFERROR(s_RadSpec!$E$3*(CK3/$B32),".")</f>
        <v>2.5289809874999999E-8</v>
      </c>
      <c r="CL32" s="49">
        <f>IFERROR(s_RadSpec!$E$3*(CL3/$B32),".")</f>
        <v>2.5491834500000006E-8</v>
      </c>
      <c r="CM32" s="49">
        <f>IFERROR(s_RadSpec!$E$3*(CM3/$B32),".")</f>
        <v>2.5455102750000001E-8</v>
      </c>
      <c r="CN32" s="49">
        <f>IFERROR(s_RadSpec!$E$3*(CN3/$B32),".")</f>
        <v>2.5455102750000001E-8</v>
      </c>
      <c r="CO32" s="49">
        <f>IFERROR(s_RadSpec!$E$3*(CO3/$B32),".")</f>
        <v>2.4850865462499999E-8</v>
      </c>
      <c r="CP32" s="49">
        <f>IFERROR(s_RadSpec!$E$3*(CP3/$B32),".")</f>
        <v>2.4850865462499999E-8</v>
      </c>
      <c r="CQ32" s="49">
        <f>IFERROR(s_RadSpec!$E$3*(CQ3/$B32),".")</f>
        <v>2.5491834500000006E-8</v>
      </c>
      <c r="CR32" s="49">
        <f>IFERROR(s_RadSpec!$E$3*(CR3/$B32),".")</f>
        <v>2.5179614624999999E-8</v>
      </c>
      <c r="CS32" s="49">
        <f>IFERROR(s_RadSpec!$E$3*(CS3/$B32),".")</f>
        <v>2.5455102750000001E-8</v>
      </c>
      <c r="CT32" s="49">
        <f>IFERROR(s_RadSpec!$E$3*(CT3/$B32),".")</f>
        <v>2.5491834500000006E-8</v>
      </c>
      <c r="CU32" s="49">
        <f>IFERROR(s_RadSpec!$E$3*(CU3/$B32),".")</f>
        <v>2.4995955875E-8</v>
      </c>
      <c r="CV32" s="49">
        <f>IFERROR(s_RadSpec!$E$3*(CV3/$B32),".")</f>
        <v>2.5455102750000001E-8</v>
      </c>
      <c r="CW32" s="49">
        <f>IFERROR(s_RadSpec!$E$3*(CW3/$B32),".")</f>
        <v>2.6630518750000003E-8</v>
      </c>
      <c r="CX32" s="49">
        <f>IFERROR(s_RadSpec!$E$3*(CX3/$B32),".")</f>
        <v>2.4834336175000002E-8</v>
      </c>
    </row>
    <row r="33" spans="1:102" x14ac:dyDescent="0.25">
      <c r="A33" s="83" t="s">
        <v>1078</v>
      </c>
      <c r="B33" s="42">
        <v>1</v>
      </c>
      <c r="C33" s="60">
        <f t="shared" si="10"/>
        <v>42.106568018276263</v>
      </c>
      <c r="D33" s="60">
        <f t="shared" ref="D33:AA33" si="15">IFERROR(D13/$B33,0)</f>
        <v>317.93510054379612</v>
      </c>
      <c r="E33" s="60">
        <f t="shared" si="15"/>
        <v>108.33344166677497</v>
      </c>
      <c r="F33" s="60">
        <f t="shared" si="15"/>
        <v>123.59167288744752</v>
      </c>
      <c r="G33" s="60">
        <f t="shared" si="15"/>
        <v>317.93510054379612</v>
      </c>
      <c r="H33" s="60">
        <f t="shared" si="15"/>
        <v>139.28585357156783</v>
      </c>
      <c r="I33" s="60">
        <f t="shared" si="15"/>
        <v>108.33344166677497</v>
      </c>
      <c r="J33" s="60">
        <f t="shared" si="15"/>
        <v>123.59167288744752</v>
      </c>
      <c r="K33" s="60">
        <f t="shared" si="15"/>
        <v>317.93510054379612</v>
      </c>
      <c r="L33" s="60">
        <f t="shared" si="15"/>
        <v>239.7543381149938</v>
      </c>
      <c r="M33" s="60">
        <f t="shared" si="15"/>
        <v>139.28585357156783</v>
      </c>
      <c r="N33" s="60">
        <f t="shared" si="15"/>
        <v>108.33344166677497</v>
      </c>
      <c r="O33" s="60">
        <f t="shared" si="15"/>
        <v>143.85260286899629</v>
      </c>
      <c r="P33" s="60">
        <f t="shared" si="15"/>
        <v>139.28585357156783</v>
      </c>
      <c r="Q33" s="60">
        <f t="shared" si="15"/>
        <v>139.28585357156783</v>
      </c>
      <c r="R33" s="60">
        <f t="shared" si="15"/>
        <v>317.93510054379612</v>
      </c>
      <c r="S33" s="60">
        <f t="shared" si="15"/>
        <v>317.93510054379612</v>
      </c>
      <c r="T33" s="60">
        <f t="shared" si="15"/>
        <v>143.85260286899629</v>
      </c>
      <c r="U33" s="60">
        <f t="shared" si="15"/>
        <v>228.51585351585345</v>
      </c>
      <c r="V33" s="60">
        <f t="shared" si="15"/>
        <v>139.28585357156783</v>
      </c>
      <c r="W33" s="60">
        <f t="shared" si="15"/>
        <v>143.85260286899629</v>
      </c>
      <c r="X33" s="60">
        <f t="shared" si="15"/>
        <v>317.93510054379612</v>
      </c>
      <c r="Y33" s="60">
        <f t="shared" si="15"/>
        <v>139.28585357156783</v>
      </c>
      <c r="Z33" s="60">
        <f t="shared" si="15"/>
        <v>130.97028022401153</v>
      </c>
      <c r="AA33" s="60">
        <f t="shared" si="15"/>
        <v>267.53075533563339</v>
      </c>
      <c r="AB33" s="49">
        <f t="shared" si="12"/>
        <v>1.1874632000000001E-7</v>
      </c>
      <c r="AC33" s="49">
        <f>IFERROR(s_RadSpec!$E$13*(AC13/$B33),".")</f>
        <v>1.5726480000000002E-8</v>
      </c>
      <c r="AD33" s="49">
        <f>IFERROR(s_RadSpec!$E$13*(AD13/$B33),".")</f>
        <v>4.61538E-8</v>
      </c>
      <c r="AE33" s="49">
        <f>IFERROR(s_RadSpec!$E$13*(AE13/$B33),".")</f>
        <v>4.0455800000000004E-8</v>
      </c>
      <c r="AF33" s="49">
        <f>IFERROR(s_RadSpec!$E$13*(AF13/$B33),".")</f>
        <v>1.5726480000000002E-8</v>
      </c>
      <c r="AG33" s="49">
        <f>IFERROR(s_RadSpec!$E$13*(AG13/$B33),".")</f>
        <v>3.5897400000000002E-8</v>
      </c>
      <c r="AH33" s="49">
        <f>IFERROR(s_RadSpec!$E$13*(AH13/$B33),".")</f>
        <v>4.61538E-8</v>
      </c>
      <c r="AI33" s="49">
        <f>IFERROR(s_RadSpec!$E$13*(AI13/$B33),".")</f>
        <v>4.0455800000000004E-8</v>
      </c>
      <c r="AJ33" s="49">
        <f>IFERROR(s_RadSpec!$E$13*(AJ13/$B33),".")</f>
        <v>1.5726480000000002E-8</v>
      </c>
      <c r="AK33" s="49">
        <f>IFERROR(s_RadSpec!$E$13*(AK13/$B33),".")</f>
        <v>2.0854680000000001E-8</v>
      </c>
      <c r="AL33" s="49">
        <f>IFERROR(s_RadSpec!$E$13*(AL13/$B33),".")</f>
        <v>3.5897400000000002E-8</v>
      </c>
      <c r="AM33" s="49">
        <f>IFERROR(s_RadSpec!$E$13*(AM13/$B33),".")</f>
        <v>4.61538E-8</v>
      </c>
      <c r="AN33" s="49">
        <f>IFERROR(s_RadSpec!$E$13*(AN13/$B33),".")</f>
        <v>3.4757800000000002E-8</v>
      </c>
      <c r="AO33" s="49">
        <f>IFERROR(s_RadSpec!$E$13*(AO13/$B33),".")</f>
        <v>3.5897400000000002E-8</v>
      </c>
      <c r="AP33" s="49">
        <f>IFERROR(s_RadSpec!$E$13*(AP13/$B33),".")</f>
        <v>3.5897400000000002E-8</v>
      </c>
      <c r="AQ33" s="49">
        <f>IFERROR(s_RadSpec!$E$13*(AQ13/$B33),".")</f>
        <v>1.5726480000000002E-8</v>
      </c>
      <c r="AR33" s="49">
        <f>IFERROR(s_RadSpec!$E$13*(AR13/$B33),".")</f>
        <v>1.5726480000000002E-8</v>
      </c>
      <c r="AS33" s="49">
        <f>IFERROR(s_RadSpec!$E$13*(AS13/$B33),".")</f>
        <v>3.4757800000000002E-8</v>
      </c>
      <c r="AT33" s="49">
        <f>IFERROR(s_RadSpec!$E$13*(AT13/$B33),".")</f>
        <v>2.1880320000000001E-8</v>
      </c>
      <c r="AU33" s="49">
        <f>IFERROR(s_RadSpec!$E$13*(AU13/$B33),".")</f>
        <v>3.5897400000000002E-8</v>
      </c>
      <c r="AV33" s="49">
        <f>IFERROR(s_RadSpec!$E$13*(AV13/$B33),".")</f>
        <v>3.4757800000000002E-8</v>
      </c>
      <c r="AW33" s="49">
        <f>IFERROR(s_RadSpec!$E$13*(AW13/$B33),".")</f>
        <v>1.5726480000000002E-8</v>
      </c>
      <c r="AX33" s="49">
        <f>IFERROR(s_RadSpec!$E$13*(AX13/$B33),".")</f>
        <v>3.5897400000000002E-8</v>
      </c>
      <c r="AY33" s="49">
        <f>IFERROR(s_RadSpec!$E$13*(AY13/$B33),".")</f>
        <v>3.8176600000000003E-8</v>
      </c>
      <c r="AZ33" s="49">
        <f>IFERROR(s_RadSpec!$E$13*(AZ13/$B33),".")</f>
        <v>1.8689439999999997E-8</v>
      </c>
      <c r="BA33" s="60">
        <f t="shared" si="13"/>
        <v>1.2124598517606862E-3</v>
      </c>
      <c r="BB33" s="60">
        <f t="shared" ref="BB33:BY33" si="16">IFERROR($B33/BB13,0)</f>
        <v>3.1452960000000005E-3</v>
      </c>
      <c r="BC33" s="60">
        <f t="shared" si="16"/>
        <v>9.2307600000000028E-3</v>
      </c>
      <c r="BD33" s="60">
        <f t="shared" si="16"/>
        <v>8.0911600000000018E-3</v>
      </c>
      <c r="BE33" s="60">
        <f t="shared" si="16"/>
        <v>3.1452960000000005E-3</v>
      </c>
      <c r="BF33" s="60">
        <f t="shared" si="16"/>
        <v>7.179480000000002E-3</v>
      </c>
      <c r="BG33" s="60">
        <f t="shared" si="16"/>
        <v>9.2307600000000028E-3</v>
      </c>
      <c r="BH33" s="60">
        <f t="shared" si="16"/>
        <v>8.0911600000000018E-3</v>
      </c>
      <c r="BI33" s="60">
        <f t="shared" si="16"/>
        <v>3.1452960000000005E-3</v>
      </c>
      <c r="BJ33" s="60">
        <f t="shared" si="16"/>
        <v>4.170936000000001E-3</v>
      </c>
      <c r="BK33" s="60">
        <f t="shared" si="16"/>
        <v>7.179480000000002E-3</v>
      </c>
      <c r="BL33" s="60">
        <f t="shared" si="16"/>
        <v>9.2307600000000028E-3</v>
      </c>
      <c r="BM33" s="60">
        <f t="shared" si="16"/>
        <v>6.9515600000000016E-3</v>
      </c>
      <c r="BN33" s="60">
        <f t="shared" si="16"/>
        <v>7.179480000000002E-3</v>
      </c>
      <c r="BO33" s="60">
        <f t="shared" si="16"/>
        <v>7.179480000000002E-3</v>
      </c>
      <c r="BP33" s="60">
        <f t="shared" si="16"/>
        <v>3.1452960000000005E-3</v>
      </c>
      <c r="BQ33" s="60">
        <f t="shared" si="16"/>
        <v>3.1452960000000005E-3</v>
      </c>
      <c r="BR33" s="60">
        <f t="shared" si="16"/>
        <v>6.9515600000000016E-3</v>
      </c>
      <c r="BS33" s="60">
        <f t="shared" si="16"/>
        <v>4.3760640000000016E-3</v>
      </c>
      <c r="BT33" s="60">
        <f t="shared" si="16"/>
        <v>7.179480000000002E-3</v>
      </c>
      <c r="BU33" s="60">
        <f t="shared" si="16"/>
        <v>6.9515600000000016E-3</v>
      </c>
      <c r="BV33" s="60">
        <f t="shared" si="16"/>
        <v>3.1452960000000005E-3</v>
      </c>
      <c r="BW33" s="60">
        <f t="shared" si="16"/>
        <v>7.179480000000002E-3</v>
      </c>
      <c r="BX33" s="60">
        <f t="shared" si="16"/>
        <v>7.6353200000000019E-3</v>
      </c>
      <c r="BY33" s="60">
        <f t="shared" si="16"/>
        <v>3.737888E-3</v>
      </c>
      <c r="BZ33" s="49">
        <f t="shared" si="5"/>
        <v>1.1874632000000001E-7</v>
      </c>
      <c r="CA33" s="49">
        <f>IFERROR(s_RadSpec!$E$13*(CA13/$B33),".")</f>
        <v>1.5726480000000002E-8</v>
      </c>
      <c r="CB33" s="49">
        <f>IFERROR(s_RadSpec!$E$13*(CB13/$B33),".")</f>
        <v>4.61538E-8</v>
      </c>
      <c r="CC33" s="49">
        <f>IFERROR(s_RadSpec!$E$13*(CC13/$B33),".")</f>
        <v>4.0455800000000004E-8</v>
      </c>
      <c r="CD33" s="49">
        <f>IFERROR(s_RadSpec!$E$13*(CD13/$B33),".")</f>
        <v>1.5726480000000002E-8</v>
      </c>
      <c r="CE33" s="49">
        <f>IFERROR(s_RadSpec!$E$13*(CE13/$B33),".")</f>
        <v>3.5897400000000002E-8</v>
      </c>
      <c r="CF33" s="49">
        <f>IFERROR(s_RadSpec!$E$13*(CF13/$B33),".")</f>
        <v>4.61538E-8</v>
      </c>
      <c r="CG33" s="49">
        <f>IFERROR(s_RadSpec!$E$13*(CG13/$B33),".")</f>
        <v>4.0455800000000004E-8</v>
      </c>
      <c r="CH33" s="49">
        <f>IFERROR(s_RadSpec!$E$13*(CH13/$B33),".")</f>
        <v>1.5726480000000002E-8</v>
      </c>
      <c r="CI33" s="49">
        <f>IFERROR(s_RadSpec!$E$13*(CI13/$B33),".")</f>
        <v>2.0854680000000001E-8</v>
      </c>
      <c r="CJ33" s="49">
        <f>IFERROR(s_RadSpec!$E$13*(CJ13/$B33),".")</f>
        <v>3.5897400000000002E-8</v>
      </c>
      <c r="CK33" s="49">
        <f>IFERROR(s_RadSpec!$E$13*(CK13/$B33),".")</f>
        <v>4.61538E-8</v>
      </c>
      <c r="CL33" s="49">
        <f>IFERROR(s_RadSpec!$E$13*(CL13/$B33),".")</f>
        <v>3.4757800000000002E-8</v>
      </c>
      <c r="CM33" s="49">
        <f>IFERROR(s_RadSpec!$E$13*(CM13/$B33),".")</f>
        <v>3.5897400000000002E-8</v>
      </c>
      <c r="CN33" s="49">
        <f>IFERROR(s_RadSpec!$E$13*(CN13/$B33),".")</f>
        <v>3.5897400000000002E-8</v>
      </c>
      <c r="CO33" s="49">
        <f>IFERROR(s_RadSpec!$E$13*(CO13/$B33),".")</f>
        <v>1.5726480000000002E-8</v>
      </c>
      <c r="CP33" s="49">
        <f>IFERROR(s_RadSpec!$E$13*(CP13/$B33),".")</f>
        <v>1.5726480000000002E-8</v>
      </c>
      <c r="CQ33" s="49">
        <f>IFERROR(s_RadSpec!$E$13*(CQ13/$B33),".")</f>
        <v>3.4757800000000002E-8</v>
      </c>
      <c r="CR33" s="49">
        <f>IFERROR(s_RadSpec!$E$13*(CR13/$B33),".")</f>
        <v>2.1880320000000001E-8</v>
      </c>
      <c r="CS33" s="49">
        <f>IFERROR(s_RadSpec!$E$13*(CS13/$B33),".")</f>
        <v>3.5897400000000002E-8</v>
      </c>
      <c r="CT33" s="49">
        <f>IFERROR(s_RadSpec!$E$13*(CT13/$B33),".")</f>
        <v>3.4757800000000002E-8</v>
      </c>
      <c r="CU33" s="49">
        <f>IFERROR(s_RadSpec!$E$13*(CU13/$B33),".")</f>
        <v>1.5726480000000002E-8</v>
      </c>
      <c r="CV33" s="49">
        <f>IFERROR(s_RadSpec!$E$13*(CV13/$B33),".")</f>
        <v>3.5897400000000002E-8</v>
      </c>
      <c r="CW33" s="49">
        <f>IFERROR(s_RadSpec!$E$13*(CW13/$B33),".")</f>
        <v>3.8176600000000003E-8</v>
      </c>
      <c r="CX33" s="49">
        <f>IFERROR(s_RadSpec!$E$13*(CX13/$B33),".")</f>
        <v>1.8689439999999997E-8</v>
      </c>
    </row>
    <row r="34" spans="1:102" x14ac:dyDescent="0.25">
      <c r="A34" s="83" t="s">
        <v>1079</v>
      </c>
      <c r="B34" s="42">
        <v>1</v>
      </c>
      <c r="C34" s="60">
        <f t="shared" si="10"/>
        <v>432.03841339941226</v>
      </c>
      <c r="D34" s="60">
        <f t="shared" ref="D34:AA34" si="17">IFERROR(D14/$B34,0)</f>
        <v>1728.1536535976488</v>
      </c>
      <c r="E34" s="60">
        <f t="shared" si="17"/>
        <v>1728.1536535976488</v>
      </c>
      <c r="F34" s="60">
        <f t="shared" si="17"/>
        <v>1728.1536535976488</v>
      </c>
      <c r="G34" s="60">
        <f t="shared" si="17"/>
        <v>1728.1536535976488</v>
      </c>
      <c r="H34" s="60">
        <f t="shared" si="17"/>
        <v>1728.1536535976488</v>
      </c>
      <c r="I34" s="60">
        <f t="shared" si="17"/>
        <v>1728.1536535976488</v>
      </c>
      <c r="J34" s="60">
        <f t="shared" si="17"/>
        <v>1728.1536535976488</v>
      </c>
      <c r="K34" s="60">
        <f t="shared" si="17"/>
        <v>1728.1536535976488</v>
      </c>
      <c r="L34" s="60">
        <f t="shared" si="17"/>
        <v>1728.1536535976488</v>
      </c>
      <c r="M34" s="60">
        <f t="shared" si="17"/>
        <v>1728.1536535976488</v>
      </c>
      <c r="N34" s="60">
        <f t="shared" si="17"/>
        <v>1728.1536535976488</v>
      </c>
      <c r="O34" s="60">
        <f t="shared" si="17"/>
        <v>1728.1536535976488</v>
      </c>
      <c r="P34" s="60">
        <f t="shared" si="17"/>
        <v>1728.1536535976488</v>
      </c>
      <c r="Q34" s="60">
        <f t="shared" si="17"/>
        <v>1728.1536535976488</v>
      </c>
      <c r="R34" s="60">
        <f t="shared" si="17"/>
        <v>1728.1536535976488</v>
      </c>
      <c r="S34" s="60">
        <f t="shared" si="17"/>
        <v>1728.1536535976488</v>
      </c>
      <c r="T34" s="60">
        <f t="shared" si="17"/>
        <v>1728.1536535976488</v>
      </c>
      <c r="U34" s="60">
        <f t="shared" si="17"/>
        <v>1728.1536535976488</v>
      </c>
      <c r="V34" s="60">
        <f t="shared" si="17"/>
        <v>1728.1536535976488</v>
      </c>
      <c r="W34" s="60">
        <f t="shared" si="17"/>
        <v>1728.1536535976488</v>
      </c>
      <c r="X34" s="60">
        <f t="shared" si="17"/>
        <v>1728.1536535976488</v>
      </c>
      <c r="Y34" s="60">
        <f t="shared" si="17"/>
        <v>1728.1536535976488</v>
      </c>
      <c r="Z34" s="60">
        <f t="shared" si="17"/>
        <v>1728.1536535976488</v>
      </c>
      <c r="AA34" s="60">
        <f t="shared" si="17"/>
        <v>1728.1536535976488</v>
      </c>
      <c r="AB34" s="49">
        <f t="shared" si="12"/>
        <v>1.1573044999999998E-8</v>
      </c>
      <c r="AC34" s="49">
        <f>IFERROR(s_RadSpec!$E$14*(AC14/$B34),".")</f>
        <v>2.8932612499999996E-9</v>
      </c>
      <c r="AD34" s="49">
        <f>IFERROR(s_RadSpec!$E$14*(AD14/$B34),".")</f>
        <v>2.8932612499999996E-9</v>
      </c>
      <c r="AE34" s="49">
        <f>IFERROR(s_RadSpec!$E$14*(AE14/$B34),".")</f>
        <v>2.8932612499999996E-9</v>
      </c>
      <c r="AF34" s="49">
        <f>IFERROR(s_RadSpec!$E$14*(AF14/$B34),".")</f>
        <v>2.8932612499999996E-9</v>
      </c>
      <c r="AG34" s="49">
        <f>IFERROR(s_RadSpec!$E$14*(AG14/$B34),".")</f>
        <v>2.8932612499999996E-9</v>
      </c>
      <c r="AH34" s="49">
        <f>IFERROR(s_RadSpec!$E$14*(AH14/$B34),".")</f>
        <v>2.8932612499999996E-9</v>
      </c>
      <c r="AI34" s="49">
        <f>IFERROR(s_RadSpec!$E$14*(AI14/$B34),".")</f>
        <v>2.8932612499999996E-9</v>
      </c>
      <c r="AJ34" s="49">
        <f>IFERROR(s_RadSpec!$E$14*(AJ14/$B34),".")</f>
        <v>2.8932612499999996E-9</v>
      </c>
      <c r="AK34" s="49">
        <f>IFERROR(s_RadSpec!$E$14*(AK14/$B34),".")</f>
        <v>2.8932612499999996E-9</v>
      </c>
      <c r="AL34" s="49">
        <f>IFERROR(s_RadSpec!$E$14*(AL14/$B34),".")</f>
        <v>2.8932612499999996E-9</v>
      </c>
      <c r="AM34" s="49">
        <f>IFERROR(s_RadSpec!$E$14*(AM14/$B34),".")</f>
        <v>2.8932612499999996E-9</v>
      </c>
      <c r="AN34" s="49">
        <f>IFERROR(s_RadSpec!$E$14*(AN14/$B34),".")</f>
        <v>2.8932612499999996E-9</v>
      </c>
      <c r="AO34" s="49">
        <f>IFERROR(s_RadSpec!$E$14*(AO14/$B34),".")</f>
        <v>2.8932612499999996E-9</v>
      </c>
      <c r="AP34" s="49">
        <f>IFERROR(s_RadSpec!$E$14*(AP14/$B34),".")</f>
        <v>2.8932612499999996E-9</v>
      </c>
      <c r="AQ34" s="49">
        <f>IFERROR(s_RadSpec!$E$14*(AQ14/$B34),".")</f>
        <v>2.8932612499999996E-9</v>
      </c>
      <c r="AR34" s="49">
        <f>IFERROR(s_RadSpec!$E$14*(AR14/$B34),".")</f>
        <v>2.8932612499999996E-9</v>
      </c>
      <c r="AS34" s="49">
        <f>IFERROR(s_RadSpec!$E$14*(AS14/$B34),".")</f>
        <v>2.8932612499999996E-9</v>
      </c>
      <c r="AT34" s="49">
        <f>IFERROR(s_RadSpec!$E$14*(AT14/$B34),".")</f>
        <v>2.8932612499999996E-9</v>
      </c>
      <c r="AU34" s="49">
        <f>IFERROR(s_RadSpec!$E$14*(AU14/$B34),".")</f>
        <v>2.8932612499999996E-9</v>
      </c>
      <c r="AV34" s="49">
        <f>IFERROR(s_RadSpec!$E$14*(AV14/$B34),".")</f>
        <v>2.8932612499999996E-9</v>
      </c>
      <c r="AW34" s="49">
        <f>IFERROR(s_RadSpec!$E$14*(AW14/$B34),".")</f>
        <v>2.8932612499999996E-9</v>
      </c>
      <c r="AX34" s="49">
        <f>IFERROR(s_RadSpec!$E$14*(AX14/$B34),".")</f>
        <v>2.8932612499999996E-9</v>
      </c>
      <c r="AY34" s="49">
        <f>IFERROR(s_RadSpec!$E$14*(AY14/$B34),".")</f>
        <v>2.8932612499999996E-9</v>
      </c>
      <c r="AZ34" s="49">
        <f>IFERROR(s_RadSpec!$E$14*(AZ14/$B34),".")</f>
        <v>2.8932612499999996E-9</v>
      </c>
      <c r="BA34" s="60">
        <f t="shared" si="13"/>
        <v>1.4466306249999997E-4</v>
      </c>
      <c r="BB34" s="60">
        <f t="shared" ref="BB34:BY34" si="18">IFERROR($B34/BB14,0)</f>
        <v>5.786522499999999E-4</v>
      </c>
      <c r="BC34" s="60">
        <f t="shared" si="18"/>
        <v>5.786522499999999E-4</v>
      </c>
      <c r="BD34" s="60">
        <f t="shared" si="18"/>
        <v>5.786522499999999E-4</v>
      </c>
      <c r="BE34" s="60">
        <f t="shared" si="18"/>
        <v>5.786522499999999E-4</v>
      </c>
      <c r="BF34" s="60">
        <f t="shared" si="18"/>
        <v>5.786522499999999E-4</v>
      </c>
      <c r="BG34" s="60">
        <f t="shared" si="18"/>
        <v>5.786522499999999E-4</v>
      </c>
      <c r="BH34" s="60">
        <f t="shared" si="18"/>
        <v>5.786522499999999E-4</v>
      </c>
      <c r="BI34" s="60">
        <f t="shared" si="18"/>
        <v>5.786522499999999E-4</v>
      </c>
      <c r="BJ34" s="60">
        <f t="shared" si="18"/>
        <v>5.786522499999999E-4</v>
      </c>
      <c r="BK34" s="60">
        <f t="shared" si="18"/>
        <v>5.786522499999999E-4</v>
      </c>
      <c r="BL34" s="60">
        <f t="shared" si="18"/>
        <v>5.786522499999999E-4</v>
      </c>
      <c r="BM34" s="60">
        <f t="shared" si="18"/>
        <v>5.786522499999999E-4</v>
      </c>
      <c r="BN34" s="60">
        <f t="shared" si="18"/>
        <v>5.786522499999999E-4</v>
      </c>
      <c r="BO34" s="60">
        <f t="shared" si="18"/>
        <v>5.786522499999999E-4</v>
      </c>
      <c r="BP34" s="60">
        <f t="shared" si="18"/>
        <v>5.786522499999999E-4</v>
      </c>
      <c r="BQ34" s="60">
        <f t="shared" si="18"/>
        <v>5.786522499999999E-4</v>
      </c>
      <c r="BR34" s="60">
        <f t="shared" si="18"/>
        <v>5.786522499999999E-4</v>
      </c>
      <c r="BS34" s="60">
        <f t="shared" si="18"/>
        <v>5.786522499999999E-4</v>
      </c>
      <c r="BT34" s="60">
        <f t="shared" si="18"/>
        <v>5.786522499999999E-4</v>
      </c>
      <c r="BU34" s="60">
        <f t="shared" si="18"/>
        <v>5.786522499999999E-4</v>
      </c>
      <c r="BV34" s="60">
        <f t="shared" si="18"/>
        <v>5.786522499999999E-4</v>
      </c>
      <c r="BW34" s="60">
        <f t="shared" si="18"/>
        <v>5.786522499999999E-4</v>
      </c>
      <c r="BX34" s="60">
        <f t="shared" si="18"/>
        <v>5.786522499999999E-4</v>
      </c>
      <c r="BY34" s="60">
        <f t="shared" si="18"/>
        <v>5.786522499999999E-4</v>
      </c>
      <c r="BZ34" s="49">
        <f t="shared" si="5"/>
        <v>1.1573044999999998E-8</v>
      </c>
      <c r="CA34" s="49">
        <f>IFERROR(s_RadSpec!$E$14*(CA14/$B34),".")</f>
        <v>2.8932612499999996E-9</v>
      </c>
      <c r="CB34" s="49">
        <f>IFERROR(s_RadSpec!$E$14*(CB14/$B34),".")</f>
        <v>2.8932612499999996E-9</v>
      </c>
      <c r="CC34" s="49">
        <f>IFERROR(s_RadSpec!$E$14*(CC14/$B34),".")</f>
        <v>2.8932612499999996E-9</v>
      </c>
      <c r="CD34" s="49">
        <f>IFERROR(s_RadSpec!$E$14*(CD14/$B34),".")</f>
        <v>2.8932612499999996E-9</v>
      </c>
      <c r="CE34" s="49">
        <f>IFERROR(s_RadSpec!$E$14*(CE14/$B34),".")</f>
        <v>2.8932612499999996E-9</v>
      </c>
      <c r="CF34" s="49">
        <f>IFERROR(s_RadSpec!$E$14*(CF14/$B34),".")</f>
        <v>2.8932612499999996E-9</v>
      </c>
      <c r="CG34" s="49">
        <f>IFERROR(s_RadSpec!$E$14*(CG14/$B34),".")</f>
        <v>2.8932612499999996E-9</v>
      </c>
      <c r="CH34" s="49">
        <f>IFERROR(s_RadSpec!$E$14*(CH14/$B34),".")</f>
        <v>2.8932612499999996E-9</v>
      </c>
      <c r="CI34" s="49">
        <f>IFERROR(s_RadSpec!$E$14*(CI14/$B34),".")</f>
        <v>2.8932612499999996E-9</v>
      </c>
      <c r="CJ34" s="49">
        <f>IFERROR(s_RadSpec!$E$14*(CJ14/$B34),".")</f>
        <v>2.8932612499999996E-9</v>
      </c>
      <c r="CK34" s="49">
        <f>IFERROR(s_RadSpec!$E$14*(CK14/$B34),".")</f>
        <v>2.8932612499999996E-9</v>
      </c>
      <c r="CL34" s="49">
        <f>IFERROR(s_RadSpec!$E$14*(CL14/$B34),".")</f>
        <v>2.8932612499999996E-9</v>
      </c>
      <c r="CM34" s="49">
        <f>IFERROR(s_RadSpec!$E$14*(CM14/$B34),".")</f>
        <v>2.8932612499999996E-9</v>
      </c>
      <c r="CN34" s="49">
        <f>IFERROR(s_RadSpec!$E$14*(CN14/$B34),".")</f>
        <v>2.8932612499999996E-9</v>
      </c>
      <c r="CO34" s="49">
        <f>IFERROR(s_RadSpec!$E$14*(CO14/$B34),".")</f>
        <v>2.8932612499999996E-9</v>
      </c>
      <c r="CP34" s="49">
        <f>IFERROR(s_RadSpec!$E$14*(CP14/$B34),".")</f>
        <v>2.8932612499999996E-9</v>
      </c>
      <c r="CQ34" s="49">
        <f>IFERROR(s_RadSpec!$E$14*(CQ14/$B34),".")</f>
        <v>2.8932612499999996E-9</v>
      </c>
      <c r="CR34" s="49">
        <f>IFERROR(s_RadSpec!$E$14*(CR14/$B34),".")</f>
        <v>2.8932612499999996E-9</v>
      </c>
      <c r="CS34" s="49">
        <f>IFERROR(s_RadSpec!$E$14*(CS14/$B34),".")</f>
        <v>2.8932612499999996E-9</v>
      </c>
      <c r="CT34" s="49">
        <f>IFERROR(s_RadSpec!$E$14*(CT14/$B34),".")</f>
        <v>2.8932612499999996E-9</v>
      </c>
      <c r="CU34" s="49">
        <f>IFERROR(s_RadSpec!$E$14*(CU14/$B34),".")</f>
        <v>2.8932612499999996E-9</v>
      </c>
      <c r="CV34" s="49">
        <f>IFERROR(s_RadSpec!$E$14*(CV14/$B34),".")</f>
        <v>2.8932612499999996E-9</v>
      </c>
      <c r="CW34" s="49">
        <f>IFERROR(s_RadSpec!$E$14*(CW14/$B34),".")</f>
        <v>2.8932612499999996E-9</v>
      </c>
      <c r="CX34" s="49">
        <f>IFERROR(s_RadSpec!$E$14*(CX14/$B34),".")</f>
        <v>2.8932612499999996E-9</v>
      </c>
    </row>
    <row r="35" spans="1:102" x14ac:dyDescent="0.25">
      <c r="A35" s="83" t="s">
        <v>1080</v>
      </c>
      <c r="B35" s="42">
        <v>1</v>
      </c>
      <c r="C35" s="60">
        <f t="shared" si="10"/>
        <v>46.058578261074956</v>
      </c>
      <c r="D35" s="60">
        <f t="shared" ref="D35:AA35" si="19">IFERROR(D30/$B35,0)</f>
        <v>258.6999165046019</v>
      </c>
      <c r="E35" s="60">
        <f t="shared" si="19"/>
        <v>111.97459072587246</v>
      </c>
      <c r="F35" s="60">
        <f t="shared" si="19"/>
        <v>171.2853328455127</v>
      </c>
      <c r="G35" s="60">
        <f t="shared" si="19"/>
        <v>258.6999165046019</v>
      </c>
      <c r="H35" s="60">
        <f t="shared" si="19"/>
        <v>131.61925576549922</v>
      </c>
      <c r="I35" s="60">
        <f t="shared" si="19"/>
        <v>111.97459072587246</v>
      </c>
      <c r="J35" s="60">
        <f t="shared" si="19"/>
        <v>171.2853328455127</v>
      </c>
      <c r="K35" s="60">
        <f t="shared" si="19"/>
        <v>258.6999165046019</v>
      </c>
      <c r="L35" s="60">
        <f t="shared" si="19"/>
        <v>131.61925576549922</v>
      </c>
      <c r="M35" s="60">
        <f t="shared" si="19"/>
        <v>131.61925576549922</v>
      </c>
      <c r="N35" s="60">
        <f t="shared" si="19"/>
        <v>111.97459072587246</v>
      </c>
      <c r="O35" s="60">
        <f t="shared" si="19"/>
        <v>238.9266744787725</v>
      </c>
      <c r="P35" s="60">
        <f t="shared" si="19"/>
        <v>131.61925576549922</v>
      </c>
      <c r="Q35" s="60">
        <f t="shared" si="19"/>
        <v>131.61925576549922</v>
      </c>
      <c r="R35" s="60">
        <f t="shared" si="19"/>
        <v>258.6999165046019</v>
      </c>
      <c r="S35" s="60">
        <f t="shared" si="19"/>
        <v>258.6999165046019</v>
      </c>
      <c r="T35" s="60">
        <f t="shared" si="19"/>
        <v>238.9266744787725</v>
      </c>
      <c r="U35" s="60">
        <f t="shared" si="19"/>
        <v>202.76479942252584</v>
      </c>
      <c r="V35" s="60">
        <f t="shared" si="19"/>
        <v>131.61925576549922</v>
      </c>
      <c r="W35" s="60">
        <f t="shared" si="19"/>
        <v>238.9266744787725</v>
      </c>
      <c r="X35" s="60">
        <f t="shared" si="19"/>
        <v>258.6999165046019</v>
      </c>
      <c r="Y35" s="60">
        <f t="shared" si="19"/>
        <v>131.61925576549922</v>
      </c>
      <c r="Z35" s="60">
        <f t="shared" si="19"/>
        <v>272.94977729147405</v>
      </c>
      <c r="AA35" s="60">
        <f t="shared" si="19"/>
        <v>190.41364412775269</v>
      </c>
      <c r="AB35" s="49">
        <f t="shared" si="12"/>
        <v>1.0855741077500001E-7</v>
      </c>
      <c r="AC35" s="49">
        <f>IFERROR(s_RadSpec!$E$30*(AC30/$B35),".")</f>
        <v>1.9327412499999999E-8</v>
      </c>
      <c r="AD35" s="49">
        <f>IFERROR(s_RadSpec!$E$30*(AD30/$B35),".")</f>
        <v>4.4652987500000004E-8</v>
      </c>
      <c r="AE35" s="49">
        <f>IFERROR(s_RadSpec!$E$30*(AE30/$B35),".")</f>
        <v>2.91910575E-8</v>
      </c>
      <c r="AF35" s="49">
        <f>IFERROR(s_RadSpec!$E$30*(AF30/$B35),".")</f>
        <v>1.9327412499999999E-8</v>
      </c>
      <c r="AG35" s="49">
        <f>IFERROR(s_RadSpec!$E$30*(AG30/$B35),".")</f>
        <v>3.7988362499999994E-8</v>
      </c>
      <c r="AH35" s="49">
        <f>IFERROR(s_RadSpec!$E$30*(AH30/$B35),".")</f>
        <v>4.4652987500000004E-8</v>
      </c>
      <c r="AI35" s="49">
        <f>IFERROR(s_RadSpec!$E$30*(AI30/$B35),".")</f>
        <v>2.91910575E-8</v>
      </c>
      <c r="AJ35" s="49">
        <f>IFERROR(s_RadSpec!$E$30*(AJ30/$B35),".")</f>
        <v>1.9327412499999999E-8</v>
      </c>
      <c r="AK35" s="49">
        <f>IFERROR(s_RadSpec!$E$30*(AK30/$B35),".")</f>
        <v>3.7988362499999994E-8</v>
      </c>
      <c r="AL35" s="49">
        <f>IFERROR(s_RadSpec!$E$30*(AL30/$B35),".")</f>
        <v>3.7988362499999994E-8</v>
      </c>
      <c r="AM35" s="49">
        <f>IFERROR(s_RadSpec!$E$30*(AM30/$B35),".")</f>
        <v>4.4652987500000004E-8</v>
      </c>
      <c r="AN35" s="49">
        <f>IFERROR(s_RadSpec!$E$30*(AN30/$B35),".")</f>
        <v>2.0926922499999999E-8</v>
      </c>
      <c r="AO35" s="49">
        <f>IFERROR(s_RadSpec!$E$30*(AO30/$B35),".")</f>
        <v>3.7988362499999994E-8</v>
      </c>
      <c r="AP35" s="49">
        <f>IFERROR(s_RadSpec!$E$30*(AP30/$B35),".")</f>
        <v>3.7988362499999994E-8</v>
      </c>
      <c r="AQ35" s="49">
        <f>IFERROR(s_RadSpec!$E$30*(AQ30/$B35),".")</f>
        <v>1.9327412499999999E-8</v>
      </c>
      <c r="AR35" s="49">
        <f>IFERROR(s_RadSpec!$E$30*(AR30/$B35),".")</f>
        <v>1.9327412499999999E-8</v>
      </c>
      <c r="AS35" s="49">
        <f>IFERROR(s_RadSpec!$E$30*(AS30/$B35),".")</f>
        <v>2.0926922499999999E-8</v>
      </c>
      <c r="AT35" s="49">
        <f>IFERROR(s_RadSpec!$E$30*(AT30/$B35),".")</f>
        <v>2.46591125E-8</v>
      </c>
      <c r="AU35" s="49">
        <f>IFERROR(s_RadSpec!$E$30*(AU30/$B35),".")</f>
        <v>3.7988362499999994E-8</v>
      </c>
      <c r="AV35" s="49">
        <f>IFERROR(s_RadSpec!$E$30*(AV30/$B35),".")</f>
        <v>2.0926922499999999E-8</v>
      </c>
      <c r="AW35" s="49">
        <f>IFERROR(s_RadSpec!$E$30*(AW30/$B35),".")</f>
        <v>1.9327412499999999E-8</v>
      </c>
      <c r="AX35" s="49">
        <f>IFERROR(s_RadSpec!$E$30*(AX30/$B35),".")</f>
        <v>3.7988362499999994E-8</v>
      </c>
      <c r="AY35" s="49">
        <f>IFERROR(s_RadSpec!$E$30*(AY30/$B35),".")</f>
        <v>1.8318388275E-8</v>
      </c>
      <c r="AZ35" s="49">
        <f>IFERROR(s_RadSpec!$E$30*(AZ30/$B35),".")</f>
        <v>2.6258622500000001E-8</v>
      </c>
      <c r="BA35" s="60">
        <f t="shared" si="13"/>
        <v>1.1989862398931782E-3</v>
      </c>
      <c r="BB35" s="60">
        <f t="shared" ref="BB35:BY35" si="20">IFERROR($B35/BB30,0)</f>
        <v>3.8654825000000005E-3</v>
      </c>
      <c r="BC35" s="60">
        <f t="shared" si="20"/>
        <v>8.9305975000000017E-3</v>
      </c>
      <c r="BD35" s="60">
        <f t="shared" si="20"/>
        <v>5.8382115E-3</v>
      </c>
      <c r="BE35" s="60">
        <f t="shared" si="20"/>
        <v>3.8654825000000005E-3</v>
      </c>
      <c r="BF35" s="60">
        <f t="shared" si="20"/>
        <v>7.5976725000000012E-3</v>
      </c>
      <c r="BG35" s="60">
        <f t="shared" si="20"/>
        <v>8.9305975000000017E-3</v>
      </c>
      <c r="BH35" s="60">
        <f t="shared" si="20"/>
        <v>5.8382115E-3</v>
      </c>
      <c r="BI35" s="60">
        <f t="shared" si="20"/>
        <v>3.8654825000000005E-3</v>
      </c>
      <c r="BJ35" s="60">
        <f t="shared" si="20"/>
        <v>7.5976725000000012E-3</v>
      </c>
      <c r="BK35" s="60">
        <f t="shared" si="20"/>
        <v>7.5976725000000012E-3</v>
      </c>
      <c r="BL35" s="60">
        <f t="shared" si="20"/>
        <v>8.9305975000000017E-3</v>
      </c>
      <c r="BM35" s="60">
        <f t="shared" si="20"/>
        <v>4.1853845000000001E-3</v>
      </c>
      <c r="BN35" s="60">
        <f t="shared" si="20"/>
        <v>7.5976725000000012E-3</v>
      </c>
      <c r="BO35" s="60">
        <f t="shared" si="20"/>
        <v>7.5976725000000012E-3</v>
      </c>
      <c r="BP35" s="60">
        <f t="shared" si="20"/>
        <v>3.8654825000000005E-3</v>
      </c>
      <c r="BQ35" s="60">
        <f t="shared" si="20"/>
        <v>3.8654825000000005E-3</v>
      </c>
      <c r="BR35" s="60">
        <f t="shared" si="20"/>
        <v>4.1853845000000001E-3</v>
      </c>
      <c r="BS35" s="60">
        <f t="shared" si="20"/>
        <v>4.9318225000000004E-3</v>
      </c>
      <c r="BT35" s="60">
        <f t="shared" si="20"/>
        <v>7.5976725000000012E-3</v>
      </c>
      <c r="BU35" s="60">
        <f t="shared" si="20"/>
        <v>4.1853845000000001E-3</v>
      </c>
      <c r="BV35" s="60">
        <f t="shared" si="20"/>
        <v>3.8654825000000005E-3</v>
      </c>
      <c r="BW35" s="60">
        <f t="shared" si="20"/>
        <v>7.5976725000000012E-3</v>
      </c>
      <c r="BX35" s="60">
        <f t="shared" si="20"/>
        <v>3.6636776550000006E-3</v>
      </c>
      <c r="BY35" s="60">
        <f t="shared" si="20"/>
        <v>5.2517245000000008E-3</v>
      </c>
      <c r="BZ35" s="49">
        <f t="shared" si="5"/>
        <v>1.0855741077500001E-7</v>
      </c>
      <c r="CA35" s="49">
        <f>IFERROR(s_RadSpec!$E$30*(CA30/$B35),".")</f>
        <v>1.9327412499999999E-8</v>
      </c>
      <c r="CB35" s="49">
        <f>IFERROR(s_RadSpec!$E$30*(CB30/$B35),".")</f>
        <v>4.4652987500000004E-8</v>
      </c>
      <c r="CC35" s="49">
        <f>IFERROR(s_RadSpec!$E$30*(CC30/$B35),".")</f>
        <v>2.91910575E-8</v>
      </c>
      <c r="CD35" s="49">
        <f>IFERROR(s_RadSpec!$E$30*(CD30/$B35),".")</f>
        <v>1.9327412499999999E-8</v>
      </c>
      <c r="CE35" s="49">
        <f>IFERROR(s_RadSpec!$E$30*(CE30/$B35),".")</f>
        <v>3.7988362499999994E-8</v>
      </c>
      <c r="CF35" s="49">
        <f>IFERROR(s_RadSpec!$E$30*(CF30/$B35),".")</f>
        <v>4.4652987500000004E-8</v>
      </c>
      <c r="CG35" s="49">
        <f>IFERROR(s_RadSpec!$E$30*(CG30/$B35),".")</f>
        <v>2.91910575E-8</v>
      </c>
      <c r="CH35" s="49">
        <f>IFERROR(s_RadSpec!$E$30*(CH30/$B35),".")</f>
        <v>1.9327412499999999E-8</v>
      </c>
      <c r="CI35" s="49">
        <f>IFERROR(s_RadSpec!$E$30*(CI30/$B35),".")</f>
        <v>3.7988362499999994E-8</v>
      </c>
      <c r="CJ35" s="49">
        <f>IFERROR(s_RadSpec!$E$30*(CJ30/$B35),".")</f>
        <v>3.7988362499999994E-8</v>
      </c>
      <c r="CK35" s="49">
        <f>IFERROR(s_RadSpec!$E$30*(CK30/$B35),".")</f>
        <v>4.4652987500000004E-8</v>
      </c>
      <c r="CL35" s="49">
        <f>IFERROR(s_RadSpec!$E$30*(CL30/$B35),".")</f>
        <v>2.0926922499999999E-8</v>
      </c>
      <c r="CM35" s="49">
        <f>IFERROR(s_RadSpec!$E$30*(CM30/$B35),".")</f>
        <v>3.7988362499999994E-8</v>
      </c>
      <c r="CN35" s="49">
        <f>IFERROR(s_RadSpec!$E$30*(CN30/$B35),".")</f>
        <v>3.7988362499999994E-8</v>
      </c>
      <c r="CO35" s="49">
        <f>IFERROR(s_RadSpec!$E$30*(CO30/$B35),".")</f>
        <v>1.9327412499999999E-8</v>
      </c>
      <c r="CP35" s="49">
        <f>IFERROR(s_RadSpec!$E$30*(CP30/$B35),".")</f>
        <v>1.9327412499999999E-8</v>
      </c>
      <c r="CQ35" s="49">
        <f>IFERROR(s_RadSpec!$E$30*(CQ30/$B35),".")</f>
        <v>2.0926922499999999E-8</v>
      </c>
      <c r="CR35" s="49">
        <f>IFERROR(s_RadSpec!$E$30*(CR30/$B35),".")</f>
        <v>2.46591125E-8</v>
      </c>
      <c r="CS35" s="49">
        <f>IFERROR(s_RadSpec!$E$30*(CS30/$B35),".")</f>
        <v>3.7988362499999994E-8</v>
      </c>
      <c r="CT35" s="49">
        <f>IFERROR(s_RadSpec!$E$30*(CT30/$B35),".")</f>
        <v>2.0926922499999999E-8</v>
      </c>
      <c r="CU35" s="49">
        <f>IFERROR(s_RadSpec!$E$30*(CU30/$B35),".")</f>
        <v>1.9327412499999999E-8</v>
      </c>
      <c r="CV35" s="49">
        <f>IFERROR(s_RadSpec!$E$30*(CV30/$B35),".")</f>
        <v>3.7988362499999994E-8</v>
      </c>
      <c r="CW35" s="49">
        <f>IFERROR(s_RadSpec!$E$30*(CW30/$B35),".")</f>
        <v>1.8318388275E-8</v>
      </c>
      <c r="CX35" s="49">
        <f>IFERROR(s_RadSpec!$E$30*(CX30/$B35),".")</f>
        <v>2.6258622500000001E-8</v>
      </c>
    </row>
    <row r="36" spans="1:102" x14ac:dyDescent="0.25">
      <c r="A36" s="83" t="s">
        <v>1081</v>
      </c>
      <c r="B36" s="42">
        <v>1</v>
      </c>
      <c r="C36" s="60">
        <f t="shared" si="10"/>
        <v>21.600686236521188</v>
      </c>
      <c r="D36" s="60">
        <f t="shared" ref="D36:AA36" si="21">IFERROR(D26/$B36,0)</f>
        <v>89.426841019197695</v>
      </c>
      <c r="E36" s="60">
        <f t="shared" si="21"/>
        <v>85.168420018283527</v>
      </c>
      <c r="F36" s="60">
        <f t="shared" si="21"/>
        <v>87.550753445368372</v>
      </c>
      <c r="G36" s="60">
        <f t="shared" si="21"/>
        <v>89.426841019197695</v>
      </c>
      <c r="H36" s="60">
        <f t="shared" si="21"/>
        <v>87.673373548233045</v>
      </c>
      <c r="I36" s="60">
        <f t="shared" si="21"/>
        <v>85.168420018283527</v>
      </c>
      <c r="J36" s="60">
        <f t="shared" si="21"/>
        <v>87.550753445368372</v>
      </c>
      <c r="K36" s="60">
        <f t="shared" si="21"/>
        <v>89.426841019197695</v>
      </c>
      <c r="L36" s="60">
        <f t="shared" si="21"/>
        <v>88.541426751680888</v>
      </c>
      <c r="M36" s="60">
        <f t="shared" si="21"/>
        <v>87.673373548233045</v>
      </c>
      <c r="N36" s="60">
        <f t="shared" si="21"/>
        <v>85.168420018283527</v>
      </c>
      <c r="O36" s="60">
        <f t="shared" si="21"/>
        <v>89.23562182956293</v>
      </c>
      <c r="P36" s="60">
        <f t="shared" si="21"/>
        <v>87.673373548233045</v>
      </c>
      <c r="Q36" s="60">
        <f t="shared" si="21"/>
        <v>87.673373548233045</v>
      </c>
      <c r="R36" s="60">
        <f t="shared" si="21"/>
        <v>89.426841019197695</v>
      </c>
      <c r="S36" s="60">
        <f t="shared" si="21"/>
        <v>89.426841019197695</v>
      </c>
      <c r="T36" s="60">
        <f t="shared" si="21"/>
        <v>89.23562182956293</v>
      </c>
      <c r="U36" s="60">
        <f t="shared" si="21"/>
        <v>91.385093012318819</v>
      </c>
      <c r="V36" s="60">
        <f t="shared" si="21"/>
        <v>87.673373548233045</v>
      </c>
      <c r="W36" s="60">
        <f t="shared" si="21"/>
        <v>89.23562182956293</v>
      </c>
      <c r="X36" s="60">
        <f t="shared" si="21"/>
        <v>89.426841019197695</v>
      </c>
      <c r="Y36" s="60">
        <f t="shared" si="21"/>
        <v>87.673373548233045</v>
      </c>
      <c r="Z36" s="60">
        <f t="shared" si="21"/>
        <v>91.652692113379786</v>
      </c>
      <c r="AA36" s="60">
        <f t="shared" si="21"/>
        <v>80.254857324921019</v>
      </c>
      <c r="AB36" s="49">
        <f t="shared" si="12"/>
        <v>2.3147412750000004E-7</v>
      </c>
      <c r="AC36" s="49">
        <f>IFERROR(s_RadSpec!$E$26*(AC26/$B36),".")</f>
        <v>5.5911625000000014E-8</v>
      </c>
      <c r="AD36" s="49">
        <f>IFERROR(s_RadSpec!$E$26*(AD26/$B36),".")</f>
        <v>5.8707206250000005E-8</v>
      </c>
      <c r="AE36" s="49">
        <f>IFERROR(s_RadSpec!$E$26*(AE26/$B36),".")</f>
        <v>5.7109731250000011E-8</v>
      </c>
      <c r="AF36" s="49">
        <f>IFERROR(s_RadSpec!$E$26*(AF26/$B36),".")</f>
        <v>5.5911625000000014E-8</v>
      </c>
      <c r="AG36" s="49">
        <f>IFERROR(s_RadSpec!$E$26*(AG26/$B36),".")</f>
        <v>5.7029857499999994E-8</v>
      </c>
      <c r="AH36" s="49">
        <f>IFERROR(s_RadSpec!$E$26*(AH26/$B36),".")</f>
        <v>5.8707206250000005E-8</v>
      </c>
      <c r="AI36" s="49">
        <f>IFERROR(s_RadSpec!$E$26*(AI26/$B36),".")</f>
        <v>5.7109731250000011E-8</v>
      </c>
      <c r="AJ36" s="49">
        <f>IFERROR(s_RadSpec!$E$26*(AJ26/$B36),".")</f>
        <v>5.5911625000000014E-8</v>
      </c>
      <c r="AK36" s="49">
        <f>IFERROR(s_RadSpec!$E$26*(AK26/$B36),".")</f>
        <v>5.6470741249999998E-8</v>
      </c>
      <c r="AL36" s="49">
        <f>IFERROR(s_RadSpec!$E$26*(AL26/$B36),".")</f>
        <v>5.7029857499999994E-8</v>
      </c>
      <c r="AM36" s="49">
        <f>IFERROR(s_RadSpec!$E$26*(AM26/$B36),".")</f>
        <v>5.8707206250000005E-8</v>
      </c>
      <c r="AN36" s="49">
        <f>IFERROR(s_RadSpec!$E$26*(AN26/$B36),".")</f>
        <v>5.6031435624999993E-8</v>
      </c>
      <c r="AO36" s="49">
        <f>IFERROR(s_RadSpec!$E$26*(AO26/$B36),".")</f>
        <v>5.7029857499999994E-8</v>
      </c>
      <c r="AP36" s="49">
        <f>IFERROR(s_RadSpec!$E$26*(AP26/$B36),".")</f>
        <v>5.7029857499999994E-8</v>
      </c>
      <c r="AQ36" s="49">
        <f>IFERROR(s_RadSpec!$E$26*(AQ26/$B36),".")</f>
        <v>5.5911625000000014E-8</v>
      </c>
      <c r="AR36" s="49">
        <f>IFERROR(s_RadSpec!$E$26*(AR26/$B36),".")</f>
        <v>5.5911625000000014E-8</v>
      </c>
      <c r="AS36" s="49">
        <f>IFERROR(s_RadSpec!$E$26*(AS26/$B36),".")</f>
        <v>5.6031435624999993E-8</v>
      </c>
      <c r="AT36" s="49">
        <f>IFERROR(s_RadSpec!$E$26*(AT26/$B36),".")</f>
        <v>5.4713518750000011E-8</v>
      </c>
      <c r="AU36" s="49">
        <f>IFERROR(s_RadSpec!$E$26*(AU26/$B36),".")</f>
        <v>5.7029857499999994E-8</v>
      </c>
      <c r="AV36" s="49">
        <f>IFERROR(s_RadSpec!$E$26*(AV26/$B36),".")</f>
        <v>5.6031435624999993E-8</v>
      </c>
      <c r="AW36" s="49">
        <f>IFERROR(s_RadSpec!$E$26*(AW26/$B36),".")</f>
        <v>5.5911625000000014E-8</v>
      </c>
      <c r="AX36" s="49">
        <f>IFERROR(s_RadSpec!$E$26*(AX26/$B36),".")</f>
        <v>5.7029857499999994E-8</v>
      </c>
      <c r="AY36" s="49">
        <f>IFERROR(s_RadSpec!$E$26*(AY26/$B36),".")</f>
        <v>5.4553771249999997E-8</v>
      </c>
      <c r="AZ36" s="49">
        <f>IFERROR(s_RadSpec!$E$26*(AZ26/$B36),".")</f>
        <v>6.2301525000000008E-8</v>
      </c>
      <c r="BA36" s="60">
        <f t="shared" si="13"/>
        <v>2.8859794777043881E-3</v>
      </c>
      <c r="BB36" s="60">
        <f t="shared" ref="BB36:BY36" si="22">IFERROR($B36/BB26,0)</f>
        <v>1.1182325000000002E-2</v>
      </c>
      <c r="BC36" s="60">
        <f t="shared" si="22"/>
        <v>1.174144125E-2</v>
      </c>
      <c r="BD36" s="60">
        <f t="shared" si="22"/>
        <v>1.1421946250000002E-2</v>
      </c>
      <c r="BE36" s="60">
        <f t="shared" si="22"/>
        <v>1.1182325000000002E-2</v>
      </c>
      <c r="BF36" s="60">
        <f t="shared" si="22"/>
        <v>1.1405971500000001E-2</v>
      </c>
      <c r="BG36" s="60">
        <f t="shared" si="22"/>
        <v>1.174144125E-2</v>
      </c>
      <c r="BH36" s="60">
        <f t="shared" si="22"/>
        <v>1.1421946250000002E-2</v>
      </c>
      <c r="BI36" s="60">
        <f t="shared" si="22"/>
        <v>1.1182325000000002E-2</v>
      </c>
      <c r="BJ36" s="60">
        <f t="shared" si="22"/>
        <v>1.1294148250000002E-2</v>
      </c>
      <c r="BK36" s="60">
        <f t="shared" si="22"/>
        <v>1.1405971500000001E-2</v>
      </c>
      <c r="BL36" s="60">
        <f t="shared" si="22"/>
        <v>1.174144125E-2</v>
      </c>
      <c r="BM36" s="60">
        <f t="shared" si="22"/>
        <v>1.1206287125E-2</v>
      </c>
      <c r="BN36" s="60">
        <f t="shared" si="22"/>
        <v>1.1405971500000001E-2</v>
      </c>
      <c r="BO36" s="60">
        <f t="shared" si="22"/>
        <v>1.1405971500000001E-2</v>
      </c>
      <c r="BP36" s="60">
        <f t="shared" si="22"/>
        <v>1.1182325000000002E-2</v>
      </c>
      <c r="BQ36" s="60">
        <f t="shared" si="22"/>
        <v>1.1182325000000002E-2</v>
      </c>
      <c r="BR36" s="60">
        <f t="shared" si="22"/>
        <v>1.1206287125E-2</v>
      </c>
      <c r="BS36" s="60">
        <f t="shared" si="22"/>
        <v>1.0942703750000001E-2</v>
      </c>
      <c r="BT36" s="60">
        <f t="shared" si="22"/>
        <v>1.1405971500000001E-2</v>
      </c>
      <c r="BU36" s="60">
        <f t="shared" si="22"/>
        <v>1.1206287125E-2</v>
      </c>
      <c r="BV36" s="60">
        <f t="shared" si="22"/>
        <v>1.1182325000000002E-2</v>
      </c>
      <c r="BW36" s="60">
        <f t="shared" si="22"/>
        <v>1.1405971500000001E-2</v>
      </c>
      <c r="BX36" s="60">
        <f t="shared" si="22"/>
        <v>1.091075425E-2</v>
      </c>
      <c r="BY36" s="60">
        <f t="shared" si="22"/>
        <v>1.2460305E-2</v>
      </c>
      <c r="BZ36" s="49">
        <f t="shared" si="5"/>
        <v>2.3147412750000004E-7</v>
      </c>
      <c r="CA36" s="49">
        <f>IFERROR(s_RadSpec!$E$26*(CA26/$B36),".")</f>
        <v>5.5911625000000014E-8</v>
      </c>
      <c r="CB36" s="49">
        <f>IFERROR(s_RadSpec!$E$26*(CB26/$B36),".")</f>
        <v>5.8707206250000005E-8</v>
      </c>
      <c r="CC36" s="49">
        <f>IFERROR(s_RadSpec!$E$26*(CC26/$B36),".")</f>
        <v>5.7109731250000011E-8</v>
      </c>
      <c r="CD36" s="49">
        <f>IFERROR(s_RadSpec!$E$26*(CD26/$B36),".")</f>
        <v>5.5911625000000014E-8</v>
      </c>
      <c r="CE36" s="49">
        <f>IFERROR(s_RadSpec!$E$26*(CE26/$B36),".")</f>
        <v>5.7029857499999994E-8</v>
      </c>
      <c r="CF36" s="49">
        <f>IFERROR(s_RadSpec!$E$26*(CF26/$B36),".")</f>
        <v>5.8707206250000005E-8</v>
      </c>
      <c r="CG36" s="49">
        <f>IFERROR(s_RadSpec!$E$26*(CG26/$B36),".")</f>
        <v>5.7109731250000011E-8</v>
      </c>
      <c r="CH36" s="49">
        <f>IFERROR(s_RadSpec!$E$26*(CH26/$B36),".")</f>
        <v>5.5911625000000014E-8</v>
      </c>
      <c r="CI36" s="49">
        <f>IFERROR(s_RadSpec!$E$26*(CI26/$B36),".")</f>
        <v>5.6470741249999998E-8</v>
      </c>
      <c r="CJ36" s="49">
        <f>IFERROR(s_RadSpec!$E$26*(CJ26/$B36),".")</f>
        <v>5.7029857499999994E-8</v>
      </c>
      <c r="CK36" s="49">
        <f>IFERROR(s_RadSpec!$E$26*(CK26/$B36),".")</f>
        <v>5.8707206250000005E-8</v>
      </c>
      <c r="CL36" s="49">
        <f>IFERROR(s_RadSpec!$E$26*(CL26/$B36),".")</f>
        <v>5.6031435624999993E-8</v>
      </c>
      <c r="CM36" s="49">
        <f>IFERROR(s_RadSpec!$E$26*(CM26/$B36),".")</f>
        <v>5.7029857499999994E-8</v>
      </c>
      <c r="CN36" s="49">
        <f>IFERROR(s_RadSpec!$E$26*(CN26/$B36),".")</f>
        <v>5.7029857499999994E-8</v>
      </c>
      <c r="CO36" s="49">
        <f>IFERROR(s_RadSpec!$E$26*(CO26/$B36),".")</f>
        <v>5.5911625000000014E-8</v>
      </c>
      <c r="CP36" s="49">
        <f>IFERROR(s_RadSpec!$E$26*(CP26/$B36),".")</f>
        <v>5.5911625000000014E-8</v>
      </c>
      <c r="CQ36" s="49">
        <f>IFERROR(s_RadSpec!$E$26*(CQ26/$B36),".")</f>
        <v>5.6031435624999993E-8</v>
      </c>
      <c r="CR36" s="49">
        <f>IFERROR(s_RadSpec!$E$26*(CR26/$B36),".")</f>
        <v>5.4713518750000011E-8</v>
      </c>
      <c r="CS36" s="49">
        <f>IFERROR(s_RadSpec!$E$26*(CS26/$B36),".")</f>
        <v>5.7029857499999994E-8</v>
      </c>
      <c r="CT36" s="49">
        <f>IFERROR(s_RadSpec!$E$26*(CT26/$B36),".")</f>
        <v>5.6031435624999993E-8</v>
      </c>
      <c r="CU36" s="49">
        <f>IFERROR(s_RadSpec!$E$26*(CU26/$B36),".")</f>
        <v>5.5911625000000014E-8</v>
      </c>
      <c r="CV36" s="49">
        <f>IFERROR(s_RadSpec!$E$26*(CV26/$B36),".")</f>
        <v>5.7029857499999994E-8</v>
      </c>
      <c r="CW36" s="49">
        <f>IFERROR(s_RadSpec!$E$26*(CW26/$B36),".")</f>
        <v>5.4553771249999997E-8</v>
      </c>
      <c r="CX36" s="49">
        <f>IFERROR(s_RadSpec!$E$26*(CX26/$B36),".")</f>
        <v>6.2301525000000008E-8</v>
      </c>
    </row>
    <row r="37" spans="1:102" x14ac:dyDescent="0.25">
      <c r="A37" s="83" t="s">
        <v>1082</v>
      </c>
      <c r="B37" s="42">
        <v>1</v>
      </c>
      <c r="C37" s="60">
        <f t="shared" si="10"/>
        <v>13.699283503670253</v>
      </c>
      <c r="D37" s="60">
        <f t="shared" ref="D37:AA37" si="23">IFERROR(D22/$B37,0)</f>
        <v>100.77426124593516</v>
      </c>
      <c r="E37" s="60">
        <f t="shared" si="23"/>
        <v>22.662154442865805</v>
      </c>
      <c r="F37" s="60">
        <f t="shared" si="23"/>
        <v>28.361618434484747</v>
      </c>
      <c r="G37" s="60">
        <f t="shared" si="23"/>
        <v>100.77426124593516</v>
      </c>
      <c r="H37" s="60">
        <f t="shared" si="23"/>
        <v>77.645742271458246</v>
      </c>
      <c r="I37" s="60">
        <f t="shared" si="23"/>
        <v>22.662154442865805</v>
      </c>
      <c r="J37" s="60">
        <f t="shared" si="23"/>
        <v>28.361618434484747</v>
      </c>
      <c r="K37" s="60">
        <f t="shared" si="23"/>
        <v>100.77426124593516</v>
      </c>
      <c r="L37" s="60">
        <f t="shared" si="23"/>
        <v>148.94309052072177</v>
      </c>
      <c r="M37" s="60">
        <f t="shared" si="23"/>
        <v>77.645742271458246</v>
      </c>
      <c r="N37" s="60">
        <f t="shared" si="23"/>
        <v>22.662154442865805</v>
      </c>
      <c r="O37" s="60">
        <f t="shared" si="23"/>
        <v>86.116186882890048</v>
      </c>
      <c r="P37" s="60">
        <f t="shared" si="23"/>
        <v>77.645742271458246</v>
      </c>
      <c r="Q37" s="60">
        <f t="shared" si="23"/>
        <v>77.645742271458246</v>
      </c>
      <c r="R37" s="60">
        <f t="shared" si="23"/>
        <v>100.77426124593516</v>
      </c>
      <c r="S37" s="60">
        <f t="shared" si="23"/>
        <v>100.77426124593516</v>
      </c>
      <c r="T37" s="60">
        <f t="shared" si="23"/>
        <v>86.116186882890048</v>
      </c>
      <c r="U37" s="60">
        <f t="shared" si="23"/>
        <v>96.661026093039851</v>
      </c>
      <c r="V37" s="60">
        <f t="shared" si="23"/>
        <v>77.645742271458246</v>
      </c>
      <c r="W37" s="60">
        <f t="shared" si="23"/>
        <v>86.116186882890048</v>
      </c>
      <c r="X37" s="60">
        <f t="shared" si="23"/>
        <v>100.77426124593516</v>
      </c>
      <c r="Y37" s="60">
        <f t="shared" si="23"/>
        <v>77.645742271458246</v>
      </c>
      <c r="Z37" s="60">
        <f t="shared" si="23"/>
        <v>164.80133189140409</v>
      </c>
      <c r="AA37" s="60">
        <f t="shared" si="23"/>
        <v>77.645742271458246</v>
      </c>
      <c r="AB37" s="49">
        <f t="shared" si="12"/>
        <v>3.6498259187500002E-7</v>
      </c>
      <c r="AC37" s="49">
        <f>IFERROR(s_RadSpec!$E$22*(AC22/$B37),".")</f>
        <v>4.9615843750000001E-8</v>
      </c>
      <c r="AD37" s="49">
        <f>IFERROR(s_RadSpec!$E$22*(AD22/$B37),".")</f>
        <v>2.2063215625E-7</v>
      </c>
      <c r="AE37" s="49">
        <f>IFERROR(s_RadSpec!$E$22*(AE22/$B37),".")</f>
        <v>1.7629459375000001E-7</v>
      </c>
      <c r="AF37" s="49">
        <f>IFERROR(s_RadSpec!$E$22*(AF22/$B37),".")</f>
        <v>4.9615843750000001E-8</v>
      </c>
      <c r="AG37" s="49">
        <f>IFERROR(s_RadSpec!$E$22*(AG22/$B37),".")</f>
        <v>6.4395031249999996E-8</v>
      </c>
      <c r="AH37" s="49">
        <f>IFERROR(s_RadSpec!$E$22*(AH22/$B37),".")</f>
        <v>2.2063215625E-7</v>
      </c>
      <c r="AI37" s="49">
        <f>IFERROR(s_RadSpec!$E$22*(AI22/$B37),".")</f>
        <v>1.7629459375000001E-7</v>
      </c>
      <c r="AJ37" s="49">
        <f>IFERROR(s_RadSpec!$E$22*(AJ22/$B37),".")</f>
        <v>4.9615843750000001E-8</v>
      </c>
      <c r="AK37" s="49">
        <f>IFERROR(s_RadSpec!$E$22*(AK22/$B37),".")</f>
        <v>3.3569868750000003E-8</v>
      </c>
      <c r="AL37" s="49">
        <f>IFERROR(s_RadSpec!$E$22*(AL22/$B37),".")</f>
        <v>6.4395031249999996E-8</v>
      </c>
      <c r="AM37" s="49">
        <f>IFERROR(s_RadSpec!$E$22*(AM22/$B37),".")</f>
        <v>2.2063215625E-7</v>
      </c>
      <c r="AN37" s="49">
        <f>IFERROR(s_RadSpec!$E$22*(AN22/$B37),".")</f>
        <v>5.8061093750000009E-8</v>
      </c>
      <c r="AO37" s="49">
        <f>IFERROR(s_RadSpec!$E$22*(AO22/$B37),".")</f>
        <v>6.4395031249999996E-8</v>
      </c>
      <c r="AP37" s="49">
        <f>IFERROR(s_RadSpec!$E$22*(AP22/$B37),".")</f>
        <v>6.4395031249999996E-8</v>
      </c>
      <c r="AQ37" s="49">
        <f>IFERROR(s_RadSpec!$E$22*(AQ22/$B37),".")</f>
        <v>4.9615843750000001E-8</v>
      </c>
      <c r="AR37" s="49">
        <f>IFERROR(s_RadSpec!$E$22*(AR22/$B37),".")</f>
        <v>4.9615843750000001E-8</v>
      </c>
      <c r="AS37" s="49">
        <f>IFERROR(s_RadSpec!$E$22*(AS22/$B37),".")</f>
        <v>5.8061093750000009E-8</v>
      </c>
      <c r="AT37" s="49">
        <f>IFERROR(s_RadSpec!$E$22*(AT22/$B37),".")</f>
        <v>5.1727156250000002E-8</v>
      </c>
      <c r="AU37" s="49">
        <f>IFERROR(s_RadSpec!$E$22*(AU22/$B37),".")</f>
        <v>6.4395031249999996E-8</v>
      </c>
      <c r="AV37" s="49">
        <f>IFERROR(s_RadSpec!$E$22*(AV22/$B37),".")</f>
        <v>5.8061093750000009E-8</v>
      </c>
      <c r="AW37" s="49">
        <f>IFERROR(s_RadSpec!$E$22*(AW22/$B37),".")</f>
        <v>4.9615843750000001E-8</v>
      </c>
      <c r="AX37" s="49">
        <f>IFERROR(s_RadSpec!$E$22*(AX22/$B37),".")</f>
        <v>6.4395031249999996E-8</v>
      </c>
      <c r="AY37" s="49">
        <f>IFERROR(s_RadSpec!$E$22*(AY22/$B37),".")</f>
        <v>3.0339560625E-8</v>
      </c>
      <c r="AZ37" s="49">
        <f>IFERROR(s_RadSpec!$E$22*(AZ22/$B37),".")</f>
        <v>6.4395031249999996E-8</v>
      </c>
      <c r="BA37" s="60">
        <f t="shared" si="13"/>
        <v>2.7331104784351452E-3</v>
      </c>
      <c r="BB37" s="60">
        <f t="shared" ref="BB37:BY37" si="24">IFERROR($B37/BB22,0)</f>
        <v>9.9231687500000009E-3</v>
      </c>
      <c r="BC37" s="60">
        <f t="shared" si="24"/>
        <v>4.4126431250000001E-2</v>
      </c>
      <c r="BD37" s="60">
        <f t="shared" si="24"/>
        <v>3.5258918750000007E-2</v>
      </c>
      <c r="BE37" s="60">
        <f t="shared" si="24"/>
        <v>9.9231687500000009E-3</v>
      </c>
      <c r="BF37" s="60">
        <f t="shared" si="24"/>
        <v>1.287900625E-2</v>
      </c>
      <c r="BG37" s="60">
        <f t="shared" si="24"/>
        <v>4.4126431250000001E-2</v>
      </c>
      <c r="BH37" s="60">
        <f t="shared" si="24"/>
        <v>3.5258918750000007E-2</v>
      </c>
      <c r="BI37" s="60">
        <f t="shared" si="24"/>
        <v>9.9231687500000009E-3</v>
      </c>
      <c r="BJ37" s="60">
        <f t="shared" si="24"/>
        <v>6.7139737500000012E-3</v>
      </c>
      <c r="BK37" s="60">
        <f t="shared" si="24"/>
        <v>1.287900625E-2</v>
      </c>
      <c r="BL37" s="60">
        <f t="shared" si="24"/>
        <v>4.4126431250000001E-2</v>
      </c>
      <c r="BM37" s="60">
        <f t="shared" si="24"/>
        <v>1.1612218750000002E-2</v>
      </c>
      <c r="BN37" s="60">
        <f t="shared" si="24"/>
        <v>1.287900625E-2</v>
      </c>
      <c r="BO37" s="60">
        <f t="shared" si="24"/>
        <v>1.287900625E-2</v>
      </c>
      <c r="BP37" s="60">
        <f t="shared" si="24"/>
        <v>9.9231687500000009E-3</v>
      </c>
      <c r="BQ37" s="60">
        <f t="shared" si="24"/>
        <v>9.9231687500000009E-3</v>
      </c>
      <c r="BR37" s="60">
        <f t="shared" si="24"/>
        <v>1.1612218750000002E-2</v>
      </c>
      <c r="BS37" s="60">
        <f t="shared" si="24"/>
        <v>1.0345431250000002E-2</v>
      </c>
      <c r="BT37" s="60">
        <f t="shared" si="24"/>
        <v>1.287900625E-2</v>
      </c>
      <c r="BU37" s="60">
        <f t="shared" si="24"/>
        <v>1.1612218750000002E-2</v>
      </c>
      <c r="BV37" s="60">
        <f t="shared" si="24"/>
        <v>9.9231687500000009E-3</v>
      </c>
      <c r="BW37" s="60">
        <f t="shared" si="24"/>
        <v>1.287900625E-2</v>
      </c>
      <c r="BX37" s="60">
        <f t="shared" si="24"/>
        <v>6.0679121249999999E-3</v>
      </c>
      <c r="BY37" s="60">
        <f t="shared" si="24"/>
        <v>1.287900625E-2</v>
      </c>
      <c r="BZ37" s="49">
        <f t="shared" si="5"/>
        <v>3.6498259187500002E-7</v>
      </c>
      <c r="CA37" s="49">
        <f>IFERROR(s_RadSpec!$E$22*(CA22/$B37),".")</f>
        <v>4.9615843750000001E-8</v>
      </c>
      <c r="CB37" s="49">
        <f>IFERROR(s_RadSpec!$E$22*(CB22/$B37),".")</f>
        <v>2.2063215625E-7</v>
      </c>
      <c r="CC37" s="49">
        <f>IFERROR(s_RadSpec!$E$22*(CC22/$B37),".")</f>
        <v>1.7629459375000001E-7</v>
      </c>
      <c r="CD37" s="49">
        <f>IFERROR(s_RadSpec!$E$22*(CD22/$B37),".")</f>
        <v>4.9615843750000001E-8</v>
      </c>
      <c r="CE37" s="49">
        <f>IFERROR(s_RadSpec!$E$22*(CE22/$B37),".")</f>
        <v>6.4395031249999996E-8</v>
      </c>
      <c r="CF37" s="49">
        <f>IFERROR(s_RadSpec!$E$22*(CF22/$B37),".")</f>
        <v>2.2063215625E-7</v>
      </c>
      <c r="CG37" s="49">
        <f>IFERROR(s_RadSpec!$E$22*(CG22/$B37),".")</f>
        <v>1.7629459375000001E-7</v>
      </c>
      <c r="CH37" s="49">
        <f>IFERROR(s_RadSpec!$E$22*(CH22/$B37),".")</f>
        <v>4.9615843750000001E-8</v>
      </c>
      <c r="CI37" s="49">
        <f>IFERROR(s_RadSpec!$E$22*(CI22/$B37),".")</f>
        <v>3.3569868750000003E-8</v>
      </c>
      <c r="CJ37" s="49">
        <f>IFERROR(s_RadSpec!$E$22*(CJ22/$B37),".")</f>
        <v>6.4395031249999996E-8</v>
      </c>
      <c r="CK37" s="49">
        <f>IFERROR(s_RadSpec!$E$22*(CK22/$B37),".")</f>
        <v>2.2063215625E-7</v>
      </c>
      <c r="CL37" s="49">
        <f>IFERROR(s_RadSpec!$E$22*(CL22/$B37),".")</f>
        <v>5.8061093750000009E-8</v>
      </c>
      <c r="CM37" s="49">
        <f>IFERROR(s_RadSpec!$E$22*(CM22/$B37),".")</f>
        <v>6.4395031249999996E-8</v>
      </c>
      <c r="CN37" s="49">
        <f>IFERROR(s_RadSpec!$E$22*(CN22/$B37),".")</f>
        <v>6.4395031249999996E-8</v>
      </c>
      <c r="CO37" s="49">
        <f>IFERROR(s_RadSpec!$E$22*(CO22/$B37),".")</f>
        <v>4.9615843750000001E-8</v>
      </c>
      <c r="CP37" s="49">
        <f>IFERROR(s_RadSpec!$E$22*(CP22/$B37),".")</f>
        <v>4.9615843750000001E-8</v>
      </c>
      <c r="CQ37" s="49">
        <f>IFERROR(s_RadSpec!$E$22*(CQ22/$B37),".")</f>
        <v>5.8061093750000009E-8</v>
      </c>
      <c r="CR37" s="49">
        <f>IFERROR(s_RadSpec!$E$22*(CR22/$B37),".")</f>
        <v>5.1727156250000002E-8</v>
      </c>
      <c r="CS37" s="49">
        <f>IFERROR(s_RadSpec!$E$22*(CS22/$B37),".")</f>
        <v>6.4395031249999996E-8</v>
      </c>
      <c r="CT37" s="49">
        <f>IFERROR(s_RadSpec!$E$22*(CT22/$B37),".")</f>
        <v>5.8061093750000009E-8</v>
      </c>
      <c r="CU37" s="49">
        <f>IFERROR(s_RadSpec!$E$22*(CU22/$B37),".")</f>
        <v>4.9615843750000001E-8</v>
      </c>
      <c r="CV37" s="49">
        <f>IFERROR(s_RadSpec!$E$22*(CV22/$B37),".")</f>
        <v>6.4395031249999996E-8</v>
      </c>
      <c r="CW37" s="49">
        <f>IFERROR(s_RadSpec!$E$22*(CW22/$B37),".")</f>
        <v>3.0339560625E-8</v>
      </c>
      <c r="CX37" s="49">
        <f>IFERROR(s_RadSpec!$E$22*(CX22/$B37),".")</f>
        <v>6.4395031249999996E-8</v>
      </c>
    </row>
    <row r="38" spans="1:102" x14ac:dyDescent="0.25">
      <c r="A38" s="83" t="s">
        <v>1083</v>
      </c>
      <c r="B38" s="42">
        <v>1</v>
      </c>
      <c r="C38" s="60">
        <f t="shared" si="10"/>
        <v>23.085619252113659</v>
      </c>
      <c r="D38" s="60">
        <f t="shared" ref="D38:AA38" si="25">IFERROR(D2/$B38,0)</f>
        <v>92.342477008454637</v>
      </c>
      <c r="E38" s="60">
        <f t="shared" si="25"/>
        <v>92.342477008454637</v>
      </c>
      <c r="F38" s="60">
        <f t="shared" si="25"/>
        <v>92.342477008454637</v>
      </c>
      <c r="G38" s="60">
        <f t="shared" si="25"/>
        <v>92.342477008454637</v>
      </c>
      <c r="H38" s="60">
        <f t="shared" si="25"/>
        <v>92.342477008454637</v>
      </c>
      <c r="I38" s="60">
        <f t="shared" si="25"/>
        <v>92.342477008454637</v>
      </c>
      <c r="J38" s="60">
        <f t="shared" si="25"/>
        <v>92.342477008454637</v>
      </c>
      <c r="K38" s="60">
        <f t="shared" si="25"/>
        <v>92.342477008454637</v>
      </c>
      <c r="L38" s="60">
        <f t="shared" si="25"/>
        <v>92.342477008454637</v>
      </c>
      <c r="M38" s="60">
        <f t="shared" si="25"/>
        <v>92.342477008454637</v>
      </c>
      <c r="N38" s="60">
        <f t="shared" si="25"/>
        <v>92.342477008454637</v>
      </c>
      <c r="O38" s="60">
        <f t="shared" si="25"/>
        <v>92.342477008454637</v>
      </c>
      <c r="P38" s="60">
        <f t="shared" si="25"/>
        <v>92.342477008454637</v>
      </c>
      <c r="Q38" s="60">
        <f t="shared" si="25"/>
        <v>92.342477008454637</v>
      </c>
      <c r="R38" s="60">
        <f t="shared" si="25"/>
        <v>92.342477008454637</v>
      </c>
      <c r="S38" s="60">
        <f t="shared" si="25"/>
        <v>92.342477008454637</v>
      </c>
      <c r="T38" s="60">
        <f t="shared" si="25"/>
        <v>92.342477008454637</v>
      </c>
      <c r="U38" s="60">
        <f t="shared" si="25"/>
        <v>92.342477008454637</v>
      </c>
      <c r="V38" s="60">
        <f t="shared" si="25"/>
        <v>92.342477008454637</v>
      </c>
      <c r="W38" s="60">
        <f t="shared" si="25"/>
        <v>92.342477008454637</v>
      </c>
      <c r="X38" s="60">
        <f t="shared" si="25"/>
        <v>92.342477008454637</v>
      </c>
      <c r="Y38" s="60">
        <f t="shared" si="25"/>
        <v>92.342477008454637</v>
      </c>
      <c r="Z38" s="60">
        <f t="shared" si="25"/>
        <v>92.342477008454637</v>
      </c>
      <c r="AA38" s="60">
        <f t="shared" si="25"/>
        <v>92.342477008454637</v>
      </c>
      <c r="AB38" s="49">
        <f t="shared" si="12"/>
        <v>2.1658505E-7</v>
      </c>
      <c r="AC38" s="49">
        <f>IFERROR(s_RadSpec!$E$2*(AC2/$B38),".")</f>
        <v>5.41462625E-8</v>
      </c>
      <c r="AD38" s="49">
        <f>IFERROR(s_RadSpec!$E$2*(AD2/$B38),".")</f>
        <v>5.41462625E-8</v>
      </c>
      <c r="AE38" s="49">
        <f>IFERROR(s_RadSpec!$E$2*(AE2/$B38),".")</f>
        <v>5.41462625E-8</v>
      </c>
      <c r="AF38" s="49">
        <f>IFERROR(s_RadSpec!$E$2*(AF2/$B38),".")</f>
        <v>5.41462625E-8</v>
      </c>
      <c r="AG38" s="49">
        <f>IFERROR(s_RadSpec!$E$2*(AG2/$B38),".")</f>
        <v>5.41462625E-8</v>
      </c>
      <c r="AH38" s="49">
        <f>IFERROR(s_RadSpec!$E$2*(AH2/$B38),".")</f>
        <v>5.41462625E-8</v>
      </c>
      <c r="AI38" s="49">
        <f>IFERROR(s_RadSpec!$E$2*(AI2/$B38),".")</f>
        <v>5.41462625E-8</v>
      </c>
      <c r="AJ38" s="49">
        <f>IFERROR(s_RadSpec!$E$2*(AJ2/$B38),".")</f>
        <v>5.41462625E-8</v>
      </c>
      <c r="AK38" s="49">
        <f>IFERROR(s_RadSpec!$E$2*(AK2/$B38),".")</f>
        <v>5.41462625E-8</v>
      </c>
      <c r="AL38" s="49">
        <f>IFERROR(s_RadSpec!$E$2*(AL2/$B38),".")</f>
        <v>5.41462625E-8</v>
      </c>
      <c r="AM38" s="49">
        <f>IFERROR(s_RadSpec!$E$2*(AM2/$B38),".")</f>
        <v>5.41462625E-8</v>
      </c>
      <c r="AN38" s="49">
        <f>IFERROR(s_RadSpec!$E$2*(AN2/$B38),".")</f>
        <v>5.41462625E-8</v>
      </c>
      <c r="AO38" s="49">
        <f>IFERROR(s_RadSpec!$E$2*(AO2/$B38),".")</f>
        <v>5.41462625E-8</v>
      </c>
      <c r="AP38" s="49">
        <f>IFERROR(s_RadSpec!$E$2*(AP2/$B38),".")</f>
        <v>5.41462625E-8</v>
      </c>
      <c r="AQ38" s="49">
        <f>IFERROR(s_RadSpec!$E$2*(AQ2/$B38),".")</f>
        <v>5.41462625E-8</v>
      </c>
      <c r="AR38" s="49">
        <f>IFERROR(s_RadSpec!$E$2*(AR2/$B38),".")</f>
        <v>5.41462625E-8</v>
      </c>
      <c r="AS38" s="49">
        <f>IFERROR(s_RadSpec!$E$2*(AS2/$B38),".")</f>
        <v>5.41462625E-8</v>
      </c>
      <c r="AT38" s="49">
        <f>IFERROR(s_RadSpec!$E$2*(AT2/$B38),".")</f>
        <v>5.41462625E-8</v>
      </c>
      <c r="AU38" s="49">
        <f>IFERROR(s_RadSpec!$E$2*(AU2/$B38),".")</f>
        <v>5.41462625E-8</v>
      </c>
      <c r="AV38" s="49">
        <f>IFERROR(s_RadSpec!$E$2*(AV2/$B38),".")</f>
        <v>5.41462625E-8</v>
      </c>
      <c r="AW38" s="49">
        <f>IFERROR(s_RadSpec!$E$2*(AW2/$B38),".")</f>
        <v>5.41462625E-8</v>
      </c>
      <c r="AX38" s="49">
        <f>IFERROR(s_RadSpec!$E$2*(AX2/$B38),".")</f>
        <v>5.41462625E-8</v>
      </c>
      <c r="AY38" s="49">
        <f>IFERROR(s_RadSpec!$E$2*(AY2/$B38),".")</f>
        <v>5.41462625E-8</v>
      </c>
      <c r="AZ38" s="49">
        <f>IFERROR(s_RadSpec!$E$2*(AZ2/$B38),".")</f>
        <v>5.41462625E-8</v>
      </c>
      <c r="BA38" s="60">
        <f t="shared" si="13"/>
        <v>2.7073131250000002E-3</v>
      </c>
      <c r="BB38" s="60">
        <f t="shared" ref="BB38:BY38" si="26">IFERROR($B38/BB2,0)</f>
        <v>1.0829252500000001E-2</v>
      </c>
      <c r="BC38" s="60">
        <f t="shared" si="26"/>
        <v>1.0829252500000001E-2</v>
      </c>
      <c r="BD38" s="60">
        <f t="shared" si="26"/>
        <v>1.0829252500000001E-2</v>
      </c>
      <c r="BE38" s="60">
        <f t="shared" si="26"/>
        <v>1.0829252500000001E-2</v>
      </c>
      <c r="BF38" s="60">
        <f t="shared" si="26"/>
        <v>1.0829252500000001E-2</v>
      </c>
      <c r="BG38" s="60">
        <f t="shared" si="26"/>
        <v>1.0829252500000001E-2</v>
      </c>
      <c r="BH38" s="60">
        <f t="shared" si="26"/>
        <v>1.0829252500000001E-2</v>
      </c>
      <c r="BI38" s="60">
        <f t="shared" si="26"/>
        <v>1.0829252500000001E-2</v>
      </c>
      <c r="BJ38" s="60">
        <f t="shared" si="26"/>
        <v>1.0829252500000001E-2</v>
      </c>
      <c r="BK38" s="60">
        <f t="shared" si="26"/>
        <v>1.0829252500000001E-2</v>
      </c>
      <c r="BL38" s="60">
        <f t="shared" si="26"/>
        <v>1.0829252500000001E-2</v>
      </c>
      <c r="BM38" s="60">
        <f t="shared" si="26"/>
        <v>1.0829252500000001E-2</v>
      </c>
      <c r="BN38" s="60">
        <f t="shared" si="26"/>
        <v>1.0829252500000001E-2</v>
      </c>
      <c r="BO38" s="60">
        <f t="shared" si="26"/>
        <v>1.0829252500000001E-2</v>
      </c>
      <c r="BP38" s="60">
        <f t="shared" si="26"/>
        <v>1.0829252500000001E-2</v>
      </c>
      <c r="BQ38" s="60">
        <f t="shared" si="26"/>
        <v>1.0829252500000001E-2</v>
      </c>
      <c r="BR38" s="60">
        <f t="shared" si="26"/>
        <v>1.0829252500000001E-2</v>
      </c>
      <c r="BS38" s="60">
        <f t="shared" si="26"/>
        <v>1.0829252500000001E-2</v>
      </c>
      <c r="BT38" s="60">
        <f t="shared" si="26"/>
        <v>1.0829252500000001E-2</v>
      </c>
      <c r="BU38" s="60">
        <f t="shared" si="26"/>
        <v>1.0829252500000001E-2</v>
      </c>
      <c r="BV38" s="60">
        <f t="shared" si="26"/>
        <v>1.0829252500000001E-2</v>
      </c>
      <c r="BW38" s="60">
        <f t="shared" si="26"/>
        <v>1.0829252500000001E-2</v>
      </c>
      <c r="BX38" s="60">
        <f t="shared" si="26"/>
        <v>1.0829252500000001E-2</v>
      </c>
      <c r="BY38" s="60">
        <f t="shared" si="26"/>
        <v>1.0829252500000001E-2</v>
      </c>
      <c r="BZ38" s="49">
        <f t="shared" si="5"/>
        <v>2.1658505E-7</v>
      </c>
      <c r="CA38" s="49">
        <f>IFERROR(s_RadSpec!$E$2*(CA2/$B38),".")</f>
        <v>5.41462625E-8</v>
      </c>
      <c r="CB38" s="49">
        <f>IFERROR(s_RadSpec!$E$2*(CB2/$B38),".")</f>
        <v>5.41462625E-8</v>
      </c>
      <c r="CC38" s="49">
        <f>IFERROR(s_RadSpec!$E$2*(CC2/$B38),".")</f>
        <v>5.41462625E-8</v>
      </c>
      <c r="CD38" s="49">
        <f>IFERROR(s_RadSpec!$E$2*(CD2/$B38),".")</f>
        <v>5.41462625E-8</v>
      </c>
      <c r="CE38" s="49">
        <f>IFERROR(s_RadSpec!$E$2*(CE2/$B38),".")</f>
        <v>5.41462625E-8</v>
      </c>
      <c r="CF38" s="49">
        <f>IFERROR(s_RadSpec!$E$2*(CF2/$B38),".")</f>
        <v>5.41462625E-8</v>
      </c>
      <c r="CG38" s="49">
        <f>IFERROR(s_RadSpec!$E$2*(CG2/$B38),".")</f>
        <v>5.41462625E-8</v>
      </c>
      <c r="CH38" s="49">
        <f>IFERROR(s_RadSpec!$E$2*(CH2/$B38),".")</f>
        <v>5.41462625E-8</v>
      </c>
      <c r="CI38" s="49">
        <f>IFERROR(s_RadSpec!$E$2*(CI2/$B38),".")</f>
        <v>5.41462625E-8</v>
      </c>
      <c r="CJ38" s="49">
        <f>IFERROR(s_RadSpec!$E$2*(CJ2/$B38),".")</f>
        <v>5.41462625E-8</v>
      </c>
      <c r="CK38" s="49">
        <f>IFERROR(s_RadSpec!$E$2*(CK2/$B38),".")</f>
        <v>5.41462625E-8</v>
      </c>
      <c r="CL38" s="49">
        <f>IFERROR(s_RadSpec!$E$2*(CL2/$B38),".")</f>
        <v>5.41462625E-8</v>
      </c>
      <c r="CM38" s="49">
        <f>IFERROR(s_RadSpec!$E$2*(CM2/$B38),".")</f>
        <v>5.41462625E-8</v>
      </c>
      <c r="CN38" s="49">
        <f>IFERROR(s_RadSpec!$E$2*(CN2/$B38),".")</f>
        <v>5.41462625E-8</v>
      </c>
      <c r="CO38" s="49">
        <f>IFERROR(s_RadSpec!$E$2*(CO2/$B38),".")</f>
        <v>5.41462625E-8</v>
      </c>
      <c r="CP38" s="49">
        <f>IFERROR(s_RadSpec!$E$2*(CP2/$B38),".")</f>
        <v>5.41462625E-8</v>
      </c>
      <c r="CQ38" s="49">
        <f>IFERROR(s_RadSpec!$E$2*(CQ2/$B38),".")</f>
        <v>5.41462625E-8</v>
      </c>
      <c r="CR38" s="49">
        <f>IFERROR(s_RadSpec!$E$2*(CR2/$B38),".")</f>
        <v>5.41462625E-8</v>
      </c>
      <c r="CS38" s="49">
        <f>IFERROR(s_RadSpec!$E$2*(CS2/$B38),".")</f>
        <v>5.41462625E-8</v>
      </c>
      <c r="CT38" s="49">
        <f>IFERROR(s_RadSpec!$E$2*(CT2/$B38),".")</f>
        <v>5.41462625E-8</v>
      </c>
      <c r="CU38" s="49">
        <f>IFERROR(s_RadSpec!$E$2*(CU2/$B38),".")</f>
        <v>5.41462625E-8</v>
      </c>
      <c r="CV38" s="49">
        <f>IFERROR(s_RadSpec!$E$2*(CV2/$B38),".")</f>
        <v>5.41462625E-8</v>
      </c>
      <c r="CW38" s="49">
        <f>IFERROR(s_RadSpec!$E$2*(CW2/$B38),".")</f>
        <v>5.41462625E-8</v>
      </c>
      <c r="CX38" s="49">
        <f>IFERROR(s_RadSpec!$E$2*(CX2/$B38),".")</f>
        <v>5.41462625E-8</v>
      </c>
    </row>
    <row r="39" spans="1:102" x14ac:dyDescent="0.25">
      <c r="A39" s="83" t="s">
        <v>1084</v>
      </c>
      <c r="B39" s="42">
        <v>1</v>
      </c>
      <c r="C39" s="60" t="str">
        <f t="shared" si="10"/>
        <v>.</v>
      </c>
      <c r="D39" s="60">
        <f t="shared" ref="D39:AA39" si="27">IFERROR(D11/$B39,0)</f>
        <v>0</v>
      </c>
      <c r="E39" s="60">
        <f t="shared" si="27"/>
        <v>0</v>
      </c>
      <c r="F39" s="60">
        <f t="shared" si="27"/>
        <v>0</v>
      </c>
      <c r="G39" s="60">
        <f t="shared" si="27"/>
        <v>0</v>
      </c>
      <c r="H39" s="60">
        <f t="shared" si="27"/>
        <v>0</v>
      </c>
      <c r="I39" s="60">
        <f t="shared" si="27"/>
        <v>0</v>
      </c>
      <c r="J39" s="60">
        <f t="shared" si="27"/>
        <v>0</v>
      </c>
      <c r="K39" s="60">
        <f t="shared" si="27"/>
        <v>0</v>
      </c>
      <c r="L39" s="60">
        <f t="shared" si="27"/>
        <v>0</v>
      </c>
      <c r="M39" s="60">
        <f t="shared" si="27"/>
        <v>0</v>
      </c>
      <c r="N39" s="60">
        <f t="shared" si="27"/>
        <v>0</v>
      </c>
      <c r="O39" s="60">
        <f t="shared" si="27"/>
        <v>0</v>
      </c>
      <c r="P39" s="60">
        <f t="shared" si="27"/>
        <v>0</v>
      </c>
      <c r="Q39" s="60">
        <f t="shared" si="27"/>
        <v>0</v>
      </c>
      <c r="R39" s="60">
        <f t="shared" si="27"/>
        <v>0</v>
      </c>
      <c r="S39" s="60">
        <f t="shared" si="27"/>
        <v>0</v>
      </c>
      <c r="T39" s="60">
        <f t="shared" si="27"/>
        <v>0</v>
      </c>
      <c r="U39" s="60">
        <f t="shared" si="27"/>
        <v>0</v>
      </c>
      <c r="V39" s="60">
        <f t="shared" si="27"/>
        <v>0</v>
      </c>
      <c r="W39" s="60">
        <f t="shared" si="27"/>
        <v>0</v>
      </c>
      <c r="X39" s="60">
        <f t="shared" si="27"/>
        <v>0</v>
      </c>
      <c r="Y39" s="60">
        <f t="shared" si="27"/>
        <v>0</v>
      </c>
      <c r="Z39" s="60">
        <f t="shared" si="27"/>
        <v>0</v>
      </c>
      <c r="AA39" s="60">
        <f t="shared" si="27"/>
        <v>0</v>
      </c>
      <c r="AB39" s="49">
        <f t="shared" si="12"/>
        <v>0</v>
      </c>
      <c r="AC39" s="49">
        <f>IFERROR(s_RadSpec!$E$11*(AC11/$B39),".")</f>
        <v>0</v>
      </c>
      <c r="AD39" s="49">
        <f>IFERROR(s_RadSpec!$E$11*(AD11/$B39),".")</f>
        <v>0</v>
      </c>
      <c r="AE39" s="49">
        <f>IFERROR(s_RadSpec!$E$11*(AE11/$B39),".")</f>
        <v>0</v>
      </c>
      <c r="AF39" s="49">
        <f>IFERROR(s_RadSpec!$E$11*(AF11/$B39),".")</f>
        <v>0</v>
      </c>
      <c r="AG39" s="49">
        <f>IFERROR(s_RadSpec!$E$11*(AG11/$B39),".")</f>
        <v>0</v>
      </c>
      <c r="AH39" s="49">
        <f>IFERROR(s_RadSpec!$E$11*(AH11/$B39),".")</f>
        <v>0</v>
      </c>
      <c r="AI39" s="49">
        <f>IFERROR(s_RadSpec!$E$11*(AI11/$B39),".")</f>
        <v>0</v>
      </c>
      <c r="AJ39" s="49">
        <f>IFERROR(s_RadSpec!$E$11*(AJ11/$B39),".")</f>
        <v>0</v>
      </c>
      <c r="AK39" s="49">
        <f>IFERROR(s_RadSpec!$E$11*(AK11/$B39),".")</f>
        <v>0</v>
      </c>
      <c r="AL39" s="49">
        <f>IFERROR(s_RadSpec!$E$11*(AL11/$B39),".")</f>
        <v>0</v>
      </c>
      <c r="AM39" s="49">
        <f>IFERROR(s_RadSpec!$E$11*(AM11/$B39),".")</f>
        <v>0</v>
      </c>
      <c r="AN39" s="49">
        <f>IFERROR(s_RadSpec!$E$11*(AN11/$B39),".")</f>
        <v>0</v>
      </c>
      <c r="AO39" s="49">
        <f>IFERROR(s_RadSpec!$E$11*(AO11/$B39),".")</f>
        <v>0</v>
      </c>
      <c r="AP39" s="49">
        <f>IFERROR(s_RadSpec!$E$11*(AP11/$B39),".")</f>
        <v>0</v>
      </c>
      <c r="AQ39" s="49">
        <f>IFERROR(s_RadSpec!$E$11*(AQ11/$B39),".")</f>
        <v>0</v>
      </c>
      <c r="AR39" s="49">
        <f>IFERROR(s_RadSpec!$E$11*(AR11/$B39),".")</f>
        <v>0</v>
      </c>
      <c r="AS39" s="49">
        <f>IFERROR(s_RadSpec!$E$11*(AS11/$B39),".")</f>
        <v>0</v>
      </c>
      <c r="AT39" s="49">
        <f>IFERROR(s_RadSpec!$E$11*(AT11/$B39),".")</f>
        <v>0</v>
      </c>
      <c r="AU39" s="49">
        <f>IFERROR(s_RadSpec!$E$11*(AU11/$B39),".")</f>
        <v>0</v>
      </c>
      <c r="AV39" s="49">
        <f>IFERROR(s_RadSpec!$E$11*(AV11/$B39),".")</f>
        <v>0</v>
      </c>
      <c r="AW39" s="49">
        <f>IFERROR(s_RadSpec!$E$11*(AW11/$B39),".")</f>
        <v>0</v>
      </c>
      <c r="AX39" s="49">
        <f>IFERROR(s_RadSpec!$E$11*(AX11/$B39),".")</f>
        <v>0</v>
      </c>
      <c r="AY39" s="49">
        <f>IFERROR(s_RadSpec!$E$11*(AY11/$B39),".")</f>
        <v>0</v>
      </c>
      <c r="AZ39" s="49">
        <f>IFERROR(s_RadSpec!$E$11*(AZ11/$B39),".")</f>
        <v>0</v>
      </c>
      <c r="BA39" s="60" t="str">
        <f t="shared" si="13"/>
        <v>.</v>
      </c>
      <c r="BB39" s="60">
        <f t="shared" ref="BB39:BY39" si="28">IFERROR($B39/BB11,0)</f>
        <v>0</v>
      </c>
      <c r="BC39" s="60">
        <f t="shared" si="28"/>
        <v>0</v>
      </c>
      <c r="BD39" s="60">
        <f t="shared" si="28"/>
        <v>0</v>
      </c>
      <c r="BE39" s="60">
        <f t="shared" si="28"/>
        <v>0</v>
      </c>
      <c r="BF39" s="60">
        <f t="shared" si="28"/>
        <v>0</v>
      </c>
      <c r="BG39" s="60">
        <f t="shared" si="28"/>
        <v>0</v>
      </c>
      <c r="BH39" s="60">
        <f t="shared" si="28"/>
        <v>0</v>
      </c>
      <c r="BI39" s="60">
        <f t="shared" si="28"/>
        <v>0</v>
      </c>
      <c r="BJ39" s="60">
        <f t="shared" si="28"/>
        <v>0</v>
      </c>
      <c r="BK39" s="60">
        <f t="shared" si="28"/>
        <v>0</v>
      </c>
      <c r="BL39" s="60">
        <f t="shared" si="28"/>
        <v>0</v>
      </c>
      <c r="BM39" s="60">
        <f t="shared" si="28"/>
        <v>0</v>
      </c>
      <c r="BN39" s="60">
        <f t="shared" si="28"/>
        <v>0</v>
      </c>
      <c r="BO39" s="60">
        <f t="shared" si="28"/>
        <v>0</v>
      </c>
      <c r="BP39" s="60">
        <f t="shared" si="28"/>
        <v>0</v>
      </c>
      <c r="BQ39" s="60">
        <f t="shared" si="28"/>
        <v>0</v>
      </c>
      <c r="BR39" s="60">
        <f t="shared" si="28"/>
        <v>0</v>
      </c>
      <c r="BS39" s="60">
        <f t="shared" si="28"/>
        <v>0</v>
      </c>
      <c r="BT39" s="60">
        <f t="shared" si="28"/>
        <v>0</v>
      </c>
      <c r="BU39" s="60">
        <f t="shared" si="28"/>
        <v>0</v>
      </c>
      <c r="BV39" s="60">
        <f t="shared" si="28"/>
        <v>0</v>
      </c>
      <c r="BW39" s="60">
        <f t="shared" si="28"/>
        <v>0</v>
      </c>
      <c r="BX39" s="60">
        <f t="shared" si="28"/>
        <v>0</v>
      </c>
      <c r="BY39" s="60">
        <f t="shared" si="28"/>
        <v>0</v>
      </c>
      <c r="BZ39" s="49">
        <f t="shared" si="5"/>
        <v>0</v>
      </c>
      <c r="CA39" s="49">
        <f>IFERROR(s_RadSpec!$E$11*(CA11/$B39),".")</f>
        <v>0</v>
      </c>
      <c r="CB39" s="49">
        <f>IFERROR(s_RadSpec!$E$11*(CB11/$B39),".")</f>
        <v>0</v>
      </c>
      <c r="CC39" s="49">
        <f>IFERROR(s_RadSpec!$E$11*(CC11/$B39),".")</f>
        <v>0</v>
      </c>
      <c r="CD39" s="49">
        <f>IFERROR(s_RadSpec!$E$11*(CD11/$B39),".")</f>
        <v>0</v>
      </c>
      <c r="CE39" s="49">
        <f>IFERROR(s_RadSpec!$E$11*(CE11/$B39),".")</f>
        <v>0</v>
      </c>
      <c r="CF39" s="49">
        <f>IFERROR(s_RadSpec!$E$11*(CF11/$B39),".")</f>
        <v>0</v>
      </c>
      <c r="CG39" s="49">
        <f>IFERROR(s_RadSpec!$E$11*(CG11/$B39),".")</f>
        <v>0</v>
      </c>
      <c r="CH39" s="49">
        <f>IFERROR(s_RadSpec!$E$11*(CH11/$B39),".")</f>
        <v>0</v>
      </c>
      <c r="CI39" s="49">
        <f>IFERROR(s_RadSpec!$E$11*(CI11/$B39),".")</f>
        <v>0</v>
      </c>
      <c r="CJ39" s="49">
        <f>IFERROR(s_RadSpec!$E$11*(CJ11/$B39),".")</f>
        <v>0</v>
      </c>
      <c r="CK39" s="49">
        <f>IFERROR(s_RadSpec!$E$11*(CK11/$B39),".")</f>
        <v>0</v>
      </c>
      <c r="CL39" s="49">
        <f>IFERROR(s_RadSpec!$E$11*(CL11/$B39),".")</f>
        <v>0</v>
      </c>
      <c r="CM39" s="49">
        <f>IFERROR(s_RadSpec!$E$11*(CM11/$B39),".")</f>
        <v>0</v>
      </c>
      <c r="CN39" s="49">
        <f>IFERROR(s_RadSpec!$E$11*(CN11/$B39),".")</f>
        <v>0</v>
      </c>
      <c r="CO39" s="49">
        <f>IFERROR(s_RadSpec!$E$11*(CO11/$B39),".")</f>
        <v>0</v>
      </c>
      <c r="CP39" s="49">
        <f>IFERROR(s_RadSpec!$E$11*(CP11/$B39),".")</f>
        <v>0</v>
      </c>
      <c r="CQ39" s="49">
        <f>IFERROR(s_RadSpec!$E$11*(CQ11/$B39),".")</f>
        <v>0</v>
      </c>
      <c r="CR39" s="49">
        <f>IFERROR(s_RadSpec!$E$11*(CR11/$B39),".")</f>
        <v>0</v>
      </c>
      <c r="CS39" s="49">
        <f>IFERROR(s_RadSpec!$E$11*(CS11/$B39),".")</f>
        <v>0</v>
      </c>
      <c r="CT39" s="49">
        <f>IFERROR(s_RadSpec!$E$11*(CT11/$B39),".")</f>
        <v>0</v>
      </c>
      <c r="CU39" s="49">
        <f>IFERROR(s_RadSpec!$E$11*(CU11/$B39),".")</f>
        <v>0</v>
      </c>
      <c r="CV39" s="49">
        <f>IFERROR(s_RadSpec!$E$11*(CV11/$B39),".")</f>
        <v>0</v>
      </c>
      <c r="CW39" s="49">
        <f>IFERROR(s_RadSpec!$E$11*(CW11/$B39),".")</f>
        <v>0</v>
      </c>
      <c r="CX39" s="49">
        <f>IFERROR(s_RadSpec!$E$11*(CX11/$B39),".")</f>
        <v>0</v>
      </c>
    </row>
    <row r="40" spans="1:102" x14ac:dyDescent="0.25">
      <c r="A40" s="83" t="s">
        <v>1085</v>
      </c>
      <c r="B40" s="42">
        <v>1</v>
      </c>
      <c r="C40" s="60" t="str">
        <f t="shared" si="10"/>
        <v>.</v>
      </c>
      <c r="D40" s="60">
        <f t="shared" ref="D40:AA40" si="29">IFERROR(D4/$B40,0)</f>
        <v>0</v>
      </c>
      <c r="E40" s="60">
        <f t="shared" si="29"/>
        <v>0</v>
      </c>
      <c r="F40" s="60">
        <f t="shared" si="29"/>
        <v>0</v>
      </c>
      <c r="G40" s="60">
        <f t="shared" si="29"/>
        <v>0</v>
      </c>
      <c r="H40" s="60">
        <f t="shared" si="29"/>
        <v>0</v>
      </c>
      <c r="I40" s="60">
        <f t="shared" si="29"/>
        <v>0</v>
      </c>
      <c r="J40" s="60">
        <f t="shared" si="29"/>
        <v>0</v>
      </c>
      <c r="K40" s="60">
        <f t="shared" si="29"/>
        <v>0</v>
      </c>
      <c r="L40" s="60">
        <f t="shared" si="29"/>
        <v>0</v>
      </c>
      <c r="M40" s="60">
        <f t="shared" si="29"/>
        <v>0</v>
      </c>
      <c r="N40" s="60">
        <f t="shared" si="29"/>
        <v>0</v>
      </c>
      <c r="O40" s="60">
        <f t="shared" si="29"/>
        <v>0</v>
      </c>
      <c r="P40" s="60">
        <f t="shared" si="29"/>
        <v>0</v>
      </c>
      <c r="Q40" s="60">
        <f t="shared" si="29"/>
        <v>0</v>
      </c>
      <c r="R40" s="60">
        <f t="shared" si="29"/>
        <v>0</v>
      </c>
      <c r="S40" s="60">
        <f t="shared" si="29"/>
        <v>0</v>
      </c>
      <c r="T40" s="60">
        <f t="shared" si="29"/>
        <v>0</v>
      </c>
      <c r="U40" s="60">
        <f t="shared" si="29"/>
        <v>0</v>
      </c>
      <c r="V40" s="60">
        <f t="shared" si="29"/>
        <v>0</v>
      </c>
      <c r="W40" s="60">
        <f t="shared" si="29"/>
        <v>0</v>
      </c>
      <c r="X40" s="60">
        <f t="shared" si="29"/>
        <v>0</v>
      </c>
      <c r="Y40" s="60">
        <f t="shared" si="29"/>
        <v>0</v>
      </c>
      <c r="Z40" s="60">
        <f t="shared" si="29"/>
        <v>0</v>
      </c>
      <c r="AA40" s="60">
        <f t="shared" si="29"/>
        <v>0</v>
      </c>
      <c r="AB40" s="49">
        <f t="shared" si="12"/>
        <v>0</v>
      </c>
      <c r="AC40" s="49">
        <f>IFERROR(s_RadSpec!$E$4*(AC4/$B40),".")</f>
        <v>0</v>
      </c>
      <c r="AD40" s="49">
        <f>IFERROR(s_RadSpec!$E$4*(AD4/$B40),".")</f>
        <v>0</v>
      </c>
      <c r="AE40" s="49">
        <f>IFERROR(s_RadSpec!$E$4*(AE4/$B40),".")</f>
        <v>0</v>
      </c>
      <c r="AF40" s="49">
        <f>IFERROR(s_RadSpec!$E$4*(AF4/$B40),".")</f>
        <v>0</v>
      </c>
      <c r="AG40" s="49">
        <f>IFERROR(s_RadSpec!$E$4*(AG4/$B40),".")</f>
        <v>0</v>
      </c>
      <c r="AH40" s="49">
        <f>IFERROR(s_RadSpec!$E$4*(AH4/$B40),".")</f>
        <v>0</v>
      </c>
      <c r="AI40" s="49">
        <f>IFERROR(s_RadSpec!$E$4*(AI4/$B40),".")</f>
        <v>0</v>
      </c>
      <c r="AJ40" s="49">
        <f>IFERROR(s_RadSpec!$E$4*(AJ4/$B40),".")</f>
        <v>0</v>
      </c>
      <c r="AK40" s="49">
        <f>IFERROR(s_RadSpec!$E$4*(AK4/$B40),".")</f>
        <v>0</v>
      </c>
      <c r="AL40" s="49">
        <f>IFERROR(s_RadSpec!$E$4*(AL4/$B40),".")</f>
        <v>0</v>
      </c>
      <c r="AM40" s="49">
        <f>IFERROR(s_RadSpec!$E$4*(AM4/$B40),".")</f>
        <v>0</v>
      </c>
      <c r="AN40" s="49">
        <f>IFERROR(s_RadSpec!$E$4*(AN4/$B40),".")</f>
        <v>0</v>
      </c>
      <c r="AO40" s="49">
        <f>IFERROR(s_RadSpec!$E$4*(AO4/$B40),".")</f>
        <v>0</v>
      </c>
      <c r="AP40" s="49">
        <f>IFERROR(s_RadSpec!$E$4*(AP4/$B40),".")</f>
        <v>0</v>
      </c>
      <c r="AQ40" s="49">
        <f>IFERROR(s_RadSpec!$E$4*(AQ4/$B40),".")</f>
        <v>0</v>
      </c>
      <c r="AR40" s="49">
        <f>IFERROR(s_RadSpec!$E$4*(AR4/$B40),".")</f>
        <v>0</v>
      </c>
      <c r="AS40" s="49">
        <f>IFERROR(s_RadSpec!$E$4*(AS4/$B40),".")</f>
        <v>0</v>
      </c>
      <c r="AT40" s="49">
        <f>IFERROR(s_RadSpec!$E$4*(AT4/$B40),".")</f>
        <v>0</v>
      </c>
      <c r="AU40" s="49">
        <f>IFERROR(s_RadSpec!$E$4*(AU4/$B40),".")</f>
        <v>0</v>
      </c>
      <c r="AV40" s="49">
        <f>IFERROR(s_RadSpec!$E$4*(AV4/$B40),".")</f>
        <v>0</v>
      </c>
      <c r="AW40" s="49">
        <f>IFERROR(s_RadSpec!$E$4*(AW4/$B40),".")</f>
        <v>0</v>
      </c>
      <c r="AX40" s="49">
        <f>IFERROR(s_RadSpec!$E$4*(AX4/$B40),".")</f>
        <v>0</v>
      </c>
      <c r="AY40" s="49">
        <f>IFERROR(s_RadSpec!$E$4*(AY4/$B40),".")</f>
        <v>0</v>
      </c>
      <c r="AZ40" s="49">
        <f>IFERROR(s_RadSpec!$E$4*(AZ4/$B40),".")</f>
        <v>0</v>
      </c>
      <c r="BA40" s="60" t="str">
        <f t="shared" si="13"/>
        <v>.</v>
      </c>
      <c r="BB40" s="60">
        <f t="shared" ref="BB40:BY40" si="30">IFERROR($B40/BB4,0)</f>
        <v>0</v>
      </c>
      <c r="BC40" s="60">
        <f t="shared" si="30"/>
        <v>0</v>
      </c>
      <c r="BD40" s="60">
        <f t="shared" si="30"/>
        <v>0</v>
      </c>
      <c r="BE40" s="60">
        <f t="shared" si="30"/>
        <v>0</v>
      </c>
      <c r="BF40" s="60">
        <f t="shared" si="30"/>
        <v>0</v>
      </c>
      <c r="BG40" s="60">
        <f t="shared" si="30"/>
        <v>0</v>
      </c>
      <c r="BH40" s="60">
        <f t="shared" si="30"/>
        <v>0</v>
      </c>
      <c r="BI40" s="60">
        <f t="shared" si="30"/>
        <v>0</v>
      </c>
      <c r="BJ40" s="60">
        <f t="shared" si="30"/>
        <v>0</v>
      </c>
      <c r="BK40" s="60">
        <f t="shared" si="30"/>
        <v>0</v>
      </c>
      <c r="BL40" s="60">
        <f t="shared" si="30"/>
        <v>0</v>
      </c>
      <c r="BM40" s="60">
        <f t="shared" si="30"/>
        <v>0</v>
      </c>
      <c r="BN40" s="60">
        <f t="shared" si="30"/>
        <v>0</v>
      </c>
      <c r="BO40" s="60">
        <f t="shared" si="30"/>
        <v>0</v>
      </c>
      <c r="BP40" s="60">
        <f t="shared" si="30"/>
        <v>0</v>
      </c>
      <c r="BQ40" s="60">
        <f t="shared" si="30"/>
        <v>0</v>
      </c>
      <c r="BR40" s="60">
        <f t="shared" si="30"/>
        <v>0</v>
      </c>
      <c r="BS40" s="60">
        <f t="shared" si="30"/>
        <v>0</v>
      </c>
      <c r="BT40" s="60">
        <f t="shared" si="30"/>
        <v>0</v>
      </c>
      <c r="BU40" s="60">
        <f t="shared" si="30"/>
        <v>0</v>
      </c>
      <c r="BV40" s="60">
        <f t="shared" si="30"/>
        <v>0</v>
      </c>
      <c r="BW40" s="60">
        <f t="shared" si="30"/>
        <v>0</v>
      </c>
      <c r="BX40" s="60">
        <f t="shared" si="30"/>
        <v>0</v>
      </c>
      <c r="BY40" s="60">
        <f t="shared" si="30"/>
        <v>0</v>
      </c>
      <c r="BZ40" s="49">
        <f t="shared" si="5"/>
        <v>0</v>
      </c>
      <c r="CA40" s="49">
        <f>IFERROR(s_RadSpec!$E$4*(CA4/$B40),".")</f>
        <v>0</v>
      </c>
      <c r="CB40" s="49">
        <f>IFERROR(s_RadSpec!$E$4*(CB4/$B40),".")</f>
        <v>0</v>
      </c>
      <c r="CC40" s="49">
        <f>IFERROR(s_RadSpec!$E$4*(CC4/$B40),".")</f>
        <v>0</v>
      </c>
      <c r="CD40" s="49">
        <f>IFERROR(s_RadSpec!$E$4*(CD4/$B40),".")</f>
        <v>0</v>
      </c>
      <c r="CE40" s="49">
        <f>IFERROR(s_RadSpec!$E$4*(CE4/$B40),".")</f>
        <v>0</v>
      </c>
      <c r="CF40" s="49">
        <f>IFERROR(s_RadSpec!$E$4*(CF4/$B40),".")</f>
        <v>0</v>
      </c>
      <c r="CG40" s="49">
        <f>IFERROR(s_RadSpec!$E$4*(CG4/$B40),".")</f>
        <v>0</v>
      </c>
      <c r="CH40" s="49">
        <f>IFERROR(s_RadSpec!$E$4*(CH4/$B40),".")</f>
        <v>0</v>
      </c>
      <c r="CI40" s="49">
        <f>IFERROR(s_RadSpec!$E$4*(CI4/$B40),".")</f>
        <v>0</v>
      </c>
      <c r="CJ40" s="49">
        <f>IFERROR(s_RadSpec!$E$4*(CJ4/$B40),".")</f>
        <v>0</v>
      </c>
      <c r="CK40" s="49">
        <f>IFERROR(s_RadSpec!$E$4*(CK4/$B40),".")</f>
        <v>0</v>
      </c>
      <c r="CL40" s="49">
        <f>IFERROR(s_RadSpec!$E$4*(CL4/$B40),".")</f>
        <v>0</v>
      </c>
      <c r="CM40" s="49">
        <f>IFERROR(s_RadSpec!$E$4*(CM4/$B40),".")</f>
        <v>0</v>
      </c>
      <c r="CN40" s="49">
        <f>IFERROR(s_RadSpec!$E$4*(CN4/$B40),".")</f>
        <v>0</v>
      </c>
      <c r="CO40" s="49">
        <f>IFERROR(s_RadSpec!$E$4*(CO4/$B40),".")</f>
        <v>0</v>
      </c>
      <c r="CP40" s="49">
        <f>IFERROR(s_RadSpec!$E$4*(CP4/$B40),".")</f>
        <v>0</v>
      </c>
      <c r="CQ40" s="49">
        <f>IFERROR(s_RadSpec!$E$4*(CQ4/$B40),".")</f>
        <v>0</v>
      </c>
      <c r="CR40" s="49">
        <f>IFERROR(s_RadSpec!$E$4*(CR4/$B40),".")</f>
        <v>0</v>
      </c>
      <c r="CS40" s="49">
        <f>IFERROR(s_RadSpec!$E$4*(CS4/$B40),".")</f>
        <v>0</v>
      </c>
      <c r="CT40" s="49">
        <f>IFERROR(s_RadSpec!$E$4*(CT4/$B40),".")</f>
        <v>0</v>
      </c>
      <c r="CU40" s="49">
        <f>IFERROR(s_RadSpec!$E$4*(CU4/$B40),".")</f>
        <v>0</v>
      </c>
      <c r="CV40" s="49">
        <f>IFERROR(s_RadSpec!$E$4*(CV4/$B40),".")</f>
        <v>0</v>
      </c>
      <c r="CW40" s="49">
        <f>IFERROR(s_RadSpec!$E$4*(CW4/$B40),".")</f>
        <v>0</v>
      </c>
      <c r="CX40" s="49">
        <f>IFERROR(s_RadSpec!$E$4*(CX4/$B40),".")</f>
        <v>0</v>
      </c>
    </row>
    <row r="41" spans="1:102" x14ac:dyDescent="0.25">
      <c r="A41" s="83" t="s">
        <v>1086</v>
      </c>
      <c r="B41" s="84">
        <v>0.99987999999999999</v>
      </c>
      <c r="C41" s="60">
        <f t="shared" si="10"/>
        <v>1115.9895239031648</v>
      </c>
      <c r="D41" s="60">
        <f t="shared" ref="D41:AA41" si="31">IFERROR(D8/$B41,0)</f>
        <v>4463.9580956126592</v>
      </c>
      <c r="E41" s="60">
        <f t="shared" si="31"/>
        <v>4463.9580956126592</v>
      </c>
      <c r="F41" s="60">
        <f t="shared" si="31"/>
        <v>4463.9580956126592</v>
      </c>
      <c r="G41" s="60">
        <f t="shared" si="31"/>
        <v>4463.9580956126592</v>
      </c>
      <c r="H41" s="60">
        <f t="shared" si="31"/>
        <v>4463.9580956126592</v>
      </c>
      <c r="I41" s="60">
        <f t="shared" si="31"/>
        <v>4463.9580956126592</v>
      </c>
      <c r="J41" s="60">
        <f t="shared" si="31"/>
        <v>4463.9580956126592</v>
      </c>
      <c r="K41" s="60">
        <f t="shared" si="31"/>
        <v>4463.9580956126592</v>
      </c>
      <c r="L41" s="60">
        <f t="shared" si="31"/>
        <v>4463.9580956126592</v>
      </c>
      <c r="M41" s="60">
        <f t="shared" si="31"/>
        <v>4463.9580956126592</v>
      </c>
      <c r="N41" s="60">
        <f t="shared" si="31"/>
        <v>4463.9580956126592</v>
      </c>
      <c r="O41" s="60">
        <f t="shared" si="31"/>
        <v>4463.9580956126592</v>
      </c>
      <c r="P41" s="60">
        <f t="shared" si="31"/>
        <v>4463.9580956126592</v>
      </c>
      <c r="Q41" s="60">
        <f t="shared" si="31"/>
        <v>4463.9580956126592</v>
      </c>
      <c r="R41" s="60">
        <f t="shared" si="31"/>
        <v>4463.9580956126592</v>
      </c>
      <c r="S41" s="60">
        <f t="shared" si="31"/>
        <v>4463.9580956126592</v>
      </c>
      <c r="T41" s="60">
        <f t="shared" si="31"/>
        <v>4463.9580956126592</v>
      </c>
      <c r="U41" s="60">
        <f t="shared" si="31"/>
        <v>4463.9580956126592</v>
      </c>
      <c r="V41" s="60">
        <f t="shared" si="31"/>
        <v>4463.9580956126592</v>
      </c>
      <c r="W41" s="60">
        <f t="shared" si="31"/>
        <v>4463.9580956126592</v>
      </c>
      <c r="X41" s="60">
        <f t="shared" si="31"/>
        <v>4463.9580956126592</v>
      </c>
      <c r="Y41" s="60">
        <f t="shared" si="31"/>
        <v>4463.9580956126592</v>
      </c>
      <c r="Z41" s="60">
        <f t="shared" si="31"/>
        <v>4463.9580956126592</v>
      </c>
      <c r="AA41" s="60">
        <f t="shared" si="31"/>
        <v>4463.9580956126592</v>
      </c>
      <c r="AB41" s="49">
        <f t="shared" si="12"/>
        <v>4.4814042685122214E-9</v>
      </c>
      <c r="AC41" s="49">
        <f>IFERROR(s_RadSpec!$E$8*(AC8/$B41),".")</f>
        <v>1.1203510671280554E-9</v>
      </c>
      <c r="AD41" s="49">
        <f>IFERROR(s_RadSpec!$E$8*(AD8/$B41),".")</f>
        <v>1.1203510671280554E-9</v>
      </c>
      <c r="AE41" s="49">
        <f>IFERROR(s_RadSpec!$E$8*(AE8/$B41),".")</f>
        <v>1.1203510671280554E-9</v>
      </c>
      <c r="AF41" s="49">
        <f>IFERROR(s_RadSpec!$E$8*(AF8/$B41),".")</f>
        <v>1.1203510671280554E-9</v>
      </c>
      <c r="AG41" s="49">
        <f>IFERROR(s_RadSpec!$E$8*(AG8/$B41),".")</f>
        <v>1.1203510671280554E-9</v>
      </c>
      <c r="AH41" s="49">
        <f>IFERROR(s_RadSpec!$E$8*(AH8/$B41),".")</f>
        <v>1.1203510671280554E-9</v>
      </c>
      <c r="AI41" s="49">
        <f>IFERROR(s_RadSpec!$E$8*(AI8/$B41),".")</f>
        <v>1.1203510671280554E-9</v>
      </c>
      <c r="AJ41" s="49">
        <f>IFERROR(s_RadSpec!$E$8*(AJ8/$B41),".")</f>
        <v>1.1203510671280554E-9</v>
      </c>
      <c r="AK41" s="49">
        <f>IFERROR(s_RadSpec!$E$8*(AK8/$B41),".")</f>
        <v>1.1203510671280554E-9</v>
      </c>
      <c r="AL41" s="49">
        <f>IFERROR(s_RadSpec!$E$8*(AL8/$B41),".")</f>
        <v>1.1203510671280554E-9</v>
      </c>
      <c r="AM41" s="49">
        <f>IFERROR(s_RadSpec!$E$8*(AM8/$B41),".")</f>
        <v>1.1203510671280554E-9</v>
      </c>
      <c r="AN41" s="49">
        <f>IFERROR(s_RadSpec!$E$8*(AN8/$B41),".")</f>
        <v>1.1203510671280554E-9</v>
      </c>
      <c r="AO41" s="49">
        <f>IFERROR(s_RadSpec!$E$8*(AO8/$B41),".")</f>
        <v>1.1203510671280554E-9</v>
      </c>
      <c r="AP41" s="49">
        <f>IFERROR(s_RadSpec!$E$8*(AP8/$B41),".")</f>
        <v>1.1203510671280554E-9</v>
      </c>
      <c r="AQ41" s="49">
        <f>IFERROR(s_RadSpec!$E$8*(AQ8/$B41),".")</f>
        <v>1.1203510671280554E-9</v>
      </c>
      <c r="AR41" s="49">
        <f>IFERROR(s_RadSpec!$E$8*(AR8/$B41),".")</f>
        <v>1.1203510671280554E-9</v>
      </c>
      <c r="AS41" s="49">
        <f>IFERROR(s_RadSpec!$E$8*(AS8/$B41),".")</f>
        <v>1.1203510671280554E-9</v>
      </c>
      <c r="AT41" s="49">
        <f>IFERROR(s_RadSpec!$E$8*(AT8/$B41),".")</f>
        <v>1.1203510671280554E-9</v>
      </c>
      <c r="AU41" s="49">
        <f>IFERROR(s_RadSpec!$E$8*(AU8/$B41),".")</f>
        <v>1.1203510671280554E-9</v>
      </c>
      <c r="AV41" s="49">
        <f>IFERROR(s_RadSpec!$E$8*(AV8/$B41),".")</f>
        <v>1.1203510671280554E-9</v>
      </c>
      <c r="AW41" s="49">
        <f>IFERROR(s_RadSpec!$E$8*(AW8/$B41),".")</f>
        <v>1.1203510671280554E-9</v>
      </c>
      <c r="AX41" s="49">
        <f>IFERROR(s_RadSpec!$E$8*(AX8/$B41),".")</f>
        <v>1.1203510671280554E-9</v>
      </c>
      <c r="AY41" s="49">
        <f>IFERROR(s_RadSpec!$E$8*(AY8/$B41),".")</f>
        <v>1.1203510671280554E-9</v>
      </c>
      <c r="AZ41" s="49">
        <f>IFERROR(s_RadSpec!$E$8*(AZ8/$B41),".")</f>
        <v>1.1203510671280554E-9</v>
      </c>
      <c r="BA41" s="60">
        <f>IFERROR(1/SUM(1/BB41,1/BC41,1/BX41,1/BY41),".")</f>
        <v>5.600410995025001E-5</v>
      </c>
      <c r="BB41" s="60">
        <f t="shared" ref="BB41:BY41" si="32">IFERROR($B41/BB8,0)</f>
        <v>2.2401643980100004E-4</v>
      </c>
      <c r="BC41" s="60">
        <f t="shared" si="32"/>
        <v>2.2401643980100004E-4</v>
      </c>
      <c r="BD41" s="60">
        <f t="shared" si="32"/>
        <v>2.2401643980100004E-4</v>
      </c>
      <c r="BE41" s="60">
        <f t="shared" si="32"/>
        <v>2.2401643980100004E-4</v>
      </c>
      <c r="BF41" s="60">
        <f t="shared" si="32"/>
        <v>2.2401643980100004E-4</v>
      </c>
      <c r="BG41" s="60">
        <f t="shared" si="32"/>
        <v>2.2401643980100004E-4</v>
      </c>
      <c r="BH41" s="60">
        <f t="shared" si="32"/>
        <v>2.2401643980100004E-4</v>
      </c>
      <c r="BI41" s="60">
        <f t="shared" si="32"/>
        <v>2.2401643980100004E-4</v>
      </c>
      <c r="BJ41" s="60">
        <f t="shared" si="32"/>
        <v>2.2401643980100004E-4</v>
      </c>
      <c r="BK41" s="60">
        <f t="shared" si="32"/>
        <v>2.2401643980100004E-4</v>
      </c>
      <c r="BL41" s="60">
        <f t="shared" si="32"/>
        <v>2.2401643980100004E-4</v>
      </c>
      <c r="BM41" s="60">
        <f t="shared" si="32"/>
        <v>2.2401643980100004E-4</v>
      </c>
      <c r="BN41" s="60">
        <f t="shared" si="32"/>
        <v>2.2401643980100004E-4</v>
      </c>
      <c r="BO41" s="60">
        <f t="shared" si="32"/>
        <v>2.2401643980100004E-4</v>
      </c>
      <c r="BP41" s="60">
        <f t="shared" si="32"/>
        <v>2.2401643980100004E-4</v>
      </c>
      <c r="BQ41" s="60">
        <f t="shared" si="32"/>
        <v>2.2401643980100004E-4</v>
      </c>
      <c r="BR41" s="60">
        <f t="shared" si="32"/>
        <v>2.2401643980100004E-4</v>
      </c>
      <c r="BS41" s="60">
        <f t="shared" si="32"/>
        <v>2.2401643980100004E-4</v>
      </c>
      <c r="BT41" s="60">
        <f t="shared" si="32"/>
        <v>2.2401643980100004E-4</v>
      </c>
      <c r="BU41" s="60">
        <f t="shared" si="32"/>
        <v>2.2401643980100004E-4</v>
      </c>
      <c r="BV41" s="60">
        <f t="shared" si="32"/>
        <v>2.2401643980100004E-4</v>
      </c>
      <c r="BW41" s="60">
        <f t="shared" si="32"/>
        <v>2.2401643980100004E-4</v>
      </c>
      <c r="BX41" s="60">
        <f t="shared" si="32"/>
        <v>2.2401643980100004E-4</v>
      </c>
      <c r="BY41" s="60">
        <f t="shared" si="32"/>
        <v>2.2401643980100004E-4</v>
      </c>
      <c r="BZ41" s="49">
        <f t="shared" si="5"/>
        <v>4.4814042685122214E-9</v>
      </c>
      <c r="CA41" s="49">
        <f>IFERROR(s_RadSpec!$E$8*(CA8/$B41),".")</f>
        <v>1.1203510671280554E-9</v>
      </c>
      <c r="CB41" s="49">
        <f>IFERROR(s_RadSpec!$E$8*(CB8/$B41),".")</f>
        <v>1.1203510671280554E-9</v>
      </c>
      <c r="CC41" s="49">
        <f>IFERROR(s_RadSpec!$E$8*(CC8/$B41),".")</f>
        <v>1.1203510671280554E-9</v>
      </c>
      <c r="CD41" s="49">
        <f>IFERROR(s_RadSpec!$E$8*(CD8/$B41),".")</f>
        <v>1.1203510671280554E-9</v>
      </c>
      <c r="CE41" s="49">
        <f>IFERROR(s_RadSpec!$E$8*(CE8/$B41),".")</f>
        <v>1.1203510671280554E-9</v>
      </c>
      <c r="CF41" s="49">
        <f>IFERROR(s_RadSpec!$E$8*(CF8/$B41),".")</f>
        <v>1.1203510671280554E-9</v>
      </c>
      <c r="CG41" s="49">
        <f>IFERROR(s_RadSpec!$E$8*(CG8/$B41),".")</f>
        <v>1.1203510671280554E-9</v>
      </c>
      <c r="CH41" s="49">
        <f>IFERROR(s_RadSpec!$E$8*(CH8/$B41),".")</f>
        <v>1.1203510671280554E-9</v>
      </c>
      <c r="CI41" s="49">
        <f>IFERROR(s_RadSpec!$E$8*(CI8/$B41),".")</f>
        <v>1.1203510671280554E-9</v>
      </c>
      <c r="CJ41" s="49">
        <f>IFERROR(s_RadSpec!$E$8*(CJ8/$B41),".")</f>
        <v>1.1203510671280554E-9</v>
      </c>
      <c r="CK41" s="49">
        <f>IFERROR(s_RadSpec!$E$8*(CK8/$B41),".")</f>
        <v>1.1203510671280554E-9</v>
      </c>
      <c r="CL41" s="49">
        <f>IFERROR(s_RadSpec!$E$8*(CL8/$B41),".")</f>
        <v>1.1203510671280554E-9</v>
      </c>
      <c r="CM41" s="49">
        <f>IFERROR(s_RadSpec!$E$8*(CM8/$B41),".")</f>
        <v>1.1203510671280554E-9</v>
      </c>
      <c r="CN41" s="49">
        <f>IFERROR(s_RadSpec!$E$8*(CN8/$B41),".")</f>
        <v>1.1203510671280554E-9</v>
      </c>
      <c r="CO41" s="49">
        <f>IFERROR(s_RadSpec!$E$8*(CO8/$B41),".")</f>
        <v>1.1203510671280554E-9</v>
      </c>
      <c r="CP41" s="49">
        <f>IFERROR(s_RadSpec!$E$8*(CP8/$B41),".")</f>
        <v>1.1203510671280554E-9</v>
      </c>
      <c r="CQ41" s="49">
        <f>IFERROR(s_RadSpec!$E$8*(CQ8/$B41),".")</f>
        <v>1.1203510671280554E-9</v>
      </c>
      <c r="CR41" s="49">
        <f>IFERROR(s_RadSpec!$E$8*(CR8/$B41),".")</f>
        <v>1.1203510671280554E-9</v>
      </c>
      <c r="CS41" s="49">
        <f>IFERROR(s_RadSpec!$E$8*(CS8/$B41),".")</f>
        <v>1.1203510671280554E-9</v>
      </c>
      <c r="CT41" s="49">
        <f>IFERROR(s_RadSpec!$E$8*(CT8/$B41),".")</f>
        <v>1.1203510671280554E-9</v>
      </c>
      <c r="CU41" s="49">
        <f>IFERROR(s_RadSpec!$E$8*(CU8/$B41),".")</f>
        <v>1.1203510671280554E-9</v>
      </c>
      <c r="CV41" s="49">
        <f>IFERROR(s_RadSpec!$E$8*(CV8/$B41),".")</f>
        <v>1.1203510671280554E-9</v>
      </c>
      <c r="CW41" s="49">
        <f>IFERROR(s_RadSpec!$E$8*(CW8/$B41),".")</f>
        <v>1.1203510671280554E-9</v>
      </c>
      <c r="CX41" s="49">
        <f>IFERROR(s_RadSpec!$E$8*(CX8/$B41),".")</f>
        <v>1.1203510671280554E-9</v>
      </c>
    </row>
    <row r="42" spans="1:102" x14ac:dyDescent="0.25">
      <c r="A42" s="83" t="s">
        <v>1087</v>
      </c>
      <c r="B42" s="42">
        <v>0.97898250799999997</v>
      </c>
      <c r="C42" s="60" t="str">
        <f t="shared" si="10"/>
        <v>.</v>
      </c>
      <c r="D42" s="60">
        <f t="shared" ref="D42:AA42" si="33">IFERROR(D19/$B42,0)</f>
        <v>0</v>
      </c>
      <c r="E42" s="60">
        <f t="shared" si="33"/>
        <v>0</v>
      </c>
      <c r="F42" s="60">
        <f t="shared" si="33"/>
        <v>0</v>
      </c>
      <c r="G42" s="60">
        <f t="shared" si="33"/>
        <v>0</v>
      </c>
      <c r="H42" s="60">
        <f t="shared" si="33"/>
        <v>0</v>
      </c>
      <c r="I42" s="60">
        <f t="shared" si="33"/>
        <v>0</v>
      </c>
      <c r="J42" s="60">
        <f t="shared" si="33"/>
        <v>0</v>
      </c>
      <c r="K42" s="60">
        <f t="shared" si="33"/>
        <v>0</v>
      </c>
      <c r="L42" s="60">
        <f t="shared" si="33"/>
        <v>0</v>
      </c>
      <c r="M42" s="60">
        <f t="shared" si="33"/>
        <v>0</v>
      </c>
      <c r="N42" s="60">
        <f t="shared" si="33"/>
        <v>0</v>
      </c>
      <c r="O42" s="60">
        <f t="shared" si="33"/>
        <v>0</v>
      </c>
      <c r="P42" s="60">
        <f t="shared" si="33"/>
        <v>0</v>
      </c>
      <c r="Q42" s="60">
        <f t="shared" si="33"/>
        <v>0</v>
      </c>
      <c r="R42" s="60">
        <f t="shared" si="33"/>
        <v>0</v>
      </c>
      <c r="S42" s="60">
        <f t="shared" si="33"/>
        <v>0</v>
      </c>
      <c r="T42" s="60">
        <f t="shared" si="33"/>
        <v>0</v>
      </c>
      <c r="U42" s="60">
        <f t="shared" si="33"/>
        <v>0</v>
      </c>
      <c r="V42" s="60">
        <f t="shared" si="33"/>
        <v>0</v>
      </c>
      <c r="W42" s="60">
        <f t="shared" si="33"/>
        <v>0</v>
      </c>
      <c r="X42" s="60">
        <f t="shared" si="33"/>
        <v>0</v>
      </c>
      <c r="Y42" s="60">
        <f t="shared" si="33"/>
        <v>0</v>
      </c>
      <c r="Z42" s="60">
        <f t="shared" si="33"/>
        <v>0</v>
      </c>
      <c r="AA42" s="60">
        <f t="shared" si="33"/>
        <v>0</v>
      </c>
      <c r="AB42" s="49">
        <f t="shared" si="12"/>
        <v>0</v>
      </c>
      <c r="AC42" s="49">
        <f>IFERROR(s_RadSpec!$E$19*(AC19/$B42),".")</f>
        <v>0</v>
      </c>
      <c r="AD42" s="49">
        <f>IFERROR(s_RadSpec!$E$19*(AD19/$B42),".")</f>
        <v>0</v>
      </c>
      <c r="AE42" s="49">
        <f>IFERROR(s_RadSpec!$E$19*(AE19/$B42),".")</f>
        <v>0</v>
      </c>
      <c r="AF42" s="49">
        <f>IFERROR(s_RadSpec!$E$19*(AF19/$B42),".")</f>
        <v>0</v>
      </c>
      <c r="AG42" s="49">
        <f>IFERROR(s_RadSpec!$E$19*(AG19/$B42),".")</f>
        <v>0</v>
      </c>
      <c r="AH42" s="49">
        <f>IFERROR(s_RadSpec!$E$19*(AH19/$B42),".")</f>
        <v>0</v>
      </c>
      <c r="AI42" s="49">
        <f>IFERROR(s_RadSpec!$E$19*(AI19/$B42),".")</f>
        <v>0</v>
      </c>
      <c r="AJ42" s="49">
        <f>IFERROR(s_RadSpec!$E$19*(AJ19/$B42),".")</f>
        <v>0</v>
      </c>
      <c r="AK42" s="49">
        <f>IFERROR(s_RadSpec!$E$19*(AK19/$B42),".")</f>
        <v>0</v>
      </c>
      <c r="AL42" s="49">
        <f>IFERROR(s_RadSpec!$E$19*(AL19/$B42),".")</f>
        <v>0</v>
      </c>
      <c r="AM42" s="49">
        <f>IFERROR(s_RadSpec!$E$19*(AM19/$B42),".")</f>
        <v>0</v>
      </c>
      <c r="AN42" s="49">
        <f>IFERROR(s_RadSpec!$E$19*(AN19/$B42),".")</f>
        <v>0</v>
      </c>
      <c r="AO42" s="49">
        <f>IFERROR(s_RadSpec!$E$19*(AO19/$B42),".")</f>
        <v>0</v>
      </c>
      <c r="AP42" s="49">
        <f>IFERROR(s_RadSpec!$E$19*(AP19/$B42),".")</f>
        <v>0</v>
      </c>
      <c r="AQ42" s="49">
        <f>IFERROR(s_RadSpec!$E$19*(AQ19/$B42),".")</f>
        <v>0</v>
      </c>
      <c r="AR42" s="49">
        <f>IFERROR(s_RadSpec!$E$19*(AR19/$B42),".")</f>
        <v>0</v>
      </c>
      <c r="AS42" s="49">
        <f>IFERROR(s_RadSpec!$E$19*(AS19/$B42),".")</f>
        <v>0</v>
      </c>
      <c r="AT42" s="49">
        <f>IFERROR(s_RadSpec!$E$19*(AT19/$B42),".")</f>
        <v>0</v>
      </c>
      <c r="AU42" s="49">
        <f>IFERROR(s_RadSpec!$E$19*(AU19/$B42),".")</f>
        <v>0</v>
      </c>
      <c r="AV42" s="49">
        <f>IFERROR(s_RadSpec!$E$19*(AV19/$B42),".")</f>
        <v>0</v>
      </c>
      <c r="AW42" s="49">
        <f>IFERROR(s_RadSpec!$E$19*(AW19/$B42),".")</f>
        <v>0</v>
      </c>
      <c r="AX42" s="49">
        <f>IFERROR(s_RadSpec!$E$19*(AX19/$B42),".")</f>
        <v>0</v>
      </c>
      <c r="AY42" s="49">
        <f>IFERROR(s_RadSpec!$E$19*(AY19/$B42),".")</f>
        <v>0</v>
      </c>
      <c r="AZ42" s="49">
        <f>IFERROR(s_RadSpec!$E$19*(AZ19/$B42),".")</f>
        <v>0</v>
      </c>
      <c r="BA42" s="60" t="str">
        <f t="shared" si="13"/>
        <v>.</v>
      </c>
      <c r="BB42" s="60">
        <f t="shared" ref="BB42:BY42" si="34">IFERROR($B42/BB19,0)</f>
        <v>0</v>
      </c>
      <c r="BC42" s="60">
        <f t="shared" si="34"/>
        <v>0</v>
      </c>
      <c r="BD42" s="60">
        <f t="shared" si="34"/>
        <v>0</v>
      </c>
      <c r="BE42" s="60">
        <f t="shared" si="34"/>
        <v>0</v>
      </c>
      <c r="BF42" s="60">
        <f t="shared" si="34"/>
        <v>0</v>
      </c>
      <c r="BG42" s="60">
        <f t="shared" si="34"/>
        <v>0</v>
      </c>
      <c r="BH42" s="60">
        <f t="shared" si="34"/>
        <v>0</v>
      </c>
      <c r="BI42" s="60">
        <f t="shared" si="34"/>
        <v>0</v>
      </c>
      <c r="BJ42" s="60">
        <f t="shared" si="34"/>
        <v>0</v>
      </c>
      <c r="BK42" s="60">
        <f t="shared" si="34"/>
        <v>0</v>
      </c>
      <c r="BL42" s="60">
        <f t="shared" si="34"/>
        <v>0</v>
      </c>
      <c r="BM42" s="60">
        <f t="shared" si="34"/>
        <v>0</v>
      </c>
      <c r="BN42" s="60">
        <f t="shared" si="34"/>
        <v>0</v>
      </c>
      <c r="BO42" s="60">
        <f t="shared" si="34"/>
        <v>0</v>
      </c>
      <c r="BP42" s="60">
        <f t="shared" si="34"/>
        <v>0</v>
      </c>
      <c r="BQ42" s="60">
        <f t="shared" si="34"/>
        <v>0</v>
      </c>
      <c r="BR42" s="60">
        <f t="shared" si="34"/>
        <v>0</v>
      </c>
      <c r="BS42" s="60">
        <f t="shared" si="34"/>
        <v>0</v>
      </c>
      <c r="BT42" s="60">
        <f t="shared" si="34"/>
        <v>0</v>
      </c>
      <c r="BU42" s="60">
        <f t="shared" si="34"/>
        <v>0</v>
      </c>
      <c r="BV42" s="60">
        <f t="shared" si="34"/>
        <v>0</v>
      </c>
      <c r="BW42" s="60">
        <f t="shared" si="34"/>
        <v>0</v>
      </c>
      <c r="BX42" s="60">
        <f t="shared" si="34"/>
        <v>0</v>
      </c>
      <c r="BY42" s="60">
        <f t="shared" si="34"/>
        <v>0</v>
      </c>
      <c r="BZ42" s="49">
        <f t="shared" si="5"/>
        <v>0</v>
      </c>
      <c r="CA42" s="49">
        <f>IFERROR(s_RadSpec!$E$19*(CA19/$B42),".")</f>
        <v>0</v>
      </c>
      <c r="CB42" s="49">
        <f>IFERROR(s_RadSpec!$E$19*(CB19/$B42),".")</f>
        <v>0</v>
      </c>
      <c r="CC42" s="49">
        <f>IFERROR(s_RadSpec!$E$19*(CC19/$B42),".")</f>
        <v>0</v>
      </c>
      <c r="CD42" s="49">
        <f>IFERROR(s_RadSpec!$E$19*(CD19/$B42),".")</f>
        <v>0</v>
      </c>
      <c r="CE42" s="49">
        <f>IFERROR(s_RadSpec!$E$19*(CE19/$B42),".")</f>
        <v>0</v>
      </c>
      <c r="CF42" s="49">
        <f>IFERROR(s_RadSpec!$E$19*(CF19/$B42),".")</f>
        <v>0</v>
      </c>
      <c r="CG42" s="49">
        <f>IFERROR(s_RadSpec!$E$19*(CG19/$B42),".")</f>
        <v>0</v>
      </c>
      <c r="CH42" s="49">
        <f>IFERROR(s_RadSpec!$E$19*(CH19/$B42),".")</f>
        <v>0</v>
      </c>
      <c r="CI42" s="49">
        <f>IFERROR(s_RadSpec!$E$19*(CI19/$B42),".")</f>
        <v>0</v>
      </c>
      <c r="CJ42" s="49">
        <f>IFERROR(s_RadSpec!$E$19*(CJ19/$B42),".")</f>
        <v>0</v>
      </c>
      <c r="CK42" s="49">
        <f>IFERROR(s_RadSpec!$E$19*(CK19/$B42),".")</f>
        <v>0</v>
      </c>
      <c r="CL42" s="49">
        <f>IFERROR(s_RadSpec!$E$19*(CL19/$B42),".")</f>
        <v>0</v>
      </c>
      <c r="CM42" s="49">
        <f>IFERROR(s_RadSpec!$E$19*(CM19/$B42),".")</f>
        <v>0</v>
      </c>
      <c r="CN42" s="49">
        <f>IFERROR(s_RadSpec!$E$19*(CN19/$B42),".")</f>
        <v>0</v>
      </c>
      <c r="CO42" s="49">
        <f>IFERROR(s_RadSpec!$E$19*(CO19/$B42),".")</f>
        <v>0</v>
      </c>
      <c r="CP42" s="49">
        <f>IFERROR(s_RadSpec!$E$19*(CP19/$B42),".")</f>
        <v>0</v>
      </c>
      <c r="CQ42" s="49">
        <f>IFERROR(s_RadSpec!$E$19*(CQ19/$B42),".")</f>
        <v>0</v>
      </c>
      <c r="CR42" s="49">
        <f>IFERROR(s_RadSpec!$E$19*(CR19/$B42),".")</f>
        <v>0</v>
      </c>
      <c r="CS42" s="49">
        <f>IFERROR(s_RadSpec!$E$19*(CS19/$B42),".")</f>
        <v>0</v>
      </c>
      <c r="CT42" s="49">
        <f>IFERROR(s_RadSpec!$E$19*(CT19/$B42),".")</f>
        <v>0</v>
      </c>
      <c r="CU42" s="49">
        <f>IFERROR(s_RadSpec!$E$19*(CU19/$B42),".")</f>
        <v>0</v>
      </c>
      <c r="CV42" s="49">
        <f>IFERROR(s_RadSpec!$E$19*(CV19/$B42),".")</f>
        <v>0</v>
      </c>
      <c r="CW42" s="49">
        <f>IFERROR(s_RadSpec!$E$19*(CW19/$B42),".")</f>
        <v>0</v>
      </c>
      <c r="CX42" s="49">
        <f>IFERROR(s_RadSpec!$E$19*(CX19/$B42),".")</f>
        <v>0</v>
      </c>
    </row>
    <row r="43" spans="1:102" x14ac:dyDescent="0.25">
      <c r="A43" s="83" t="s">
        <v>1088</v>
      </c>
      <c r="B43" s="42">
        <v>2.0897492E-2</v>
      </c>
      <c r="C43" s="60" t="str">
        <f>IFERROR(1/SUM(1/D43,1/E43,1/Z43,1/AA43),".")</f>
        <v>.</v>
      </c>
      <c r="D43" s="60">
        <f t="shared" ref="D43:AA43" si="35">IFERROR(D28/$B43,0)</f>
        <v>0</v>
      </c>
      <c r="E43" s="60">
        <f t="shared" si="35"/>
        <v>0</v>
      </c>
      <c r="F43" s="60">
        <f t="shared" si="35"/>
        <v>0</v>
      </c>
      <c r="G43" s="60">
        <f t="shared" si="35"/>
        <v>0</v>
      </c>
      <c r="H43" s="60">
        <f t="shared" si="35"/>
        <v>0</v>
      </c>
      <c r="I43" s="60">
        <f t="shared" si="35"/>
        <v>0</v>
      </c>
      <c r="J43" s="60">
        <f t="shared" si="35"/>
        <v>0</v>
      </c>
      <c r="K43" s="60">
        <f t="shared" si="35"/>
        <v>0</v>
      </c>
      <c r="L43" s="60">
        <f t="shared" si="35"/>
        <v>0</v>
      </c>
      <c r="M43" s="60">
        <f t="shared" si="35"/>
        <v>0</v>
      </c>
      <c r="N43" s="60">
        <f t="shared" si="35"/>
        <v>0</v>
      </c>
      <c r="O43" s="60">
        <f t="shared" si="35"/>
        <v>0</v>
      </c>
      <c r="P43" s="60">
        <f t="shared" si="35"/>
        <v>0</v>
      </c>
      <c r="Q43" s="60">
        <f t="shared" si="35"/>
        <v>0</v>
      </c>
      <c r="R43" s="60">
        <f t="shared" si="35"/>
        <v>0</v>
      </c>
      <c r="S43" s="60">
        <f t="shared" si="35"/>
        <v>0</v>
      </c>
      <c r="T43" s="60">
        <f t="shared" si="35"/>
        <v>0</v>
      </c>
      <c r="U43" s="60">
        <f t="shared" si="35"/>
        <v>0</v>
      </c>
      <c r="V43" s="60">
        <f t="shared" si="35"/>
        <v>0</v>
      </c>
      <c r="W43" s="60">
        <f t="shared" si="35"/>
        <v>0</v>
      </c>
      <c r="X43" s="60">
        <f t="shared" si="35"/>
        <v>0</v>
      </c>
      <c r="Y43" s="60">
        <f t="shared" si="35"/>
        <v>0</v>
      </c>
      <c r="Z43" s="60">
        <f t="shared" si="35"/>
        <v>0</v>
      </c>
      <c r="AA43" s="60">
        <f t="shared" si="35"/>
        <v>0</v>
      </c>
      <c r="AB43" s="49">
        <f t="shared" si="12"/>
        <v>0</v>
      </c>
      <c r="AC43" s="49">
        <f>IFERROR(s_RadSpec!$E$28*(AC28/$B43),".")</f>
        <v>0</v>
      </c>
      <c r="AD43" s="49">
        <f>IFERROR(s_RadSpec!$E$28*(AD28/$B43),".")</f>
        <v>0</v>
      </c>
      <c r="AE43" s="49">
        <f>IFERROR(s_RadSpec!$E$28*(AE28/$B43),".")</f>
        <v>0</v>
      </c>
      <c r="AF43" s="49">
        <f>IFERROR(s_RadSpec!$E$28*(AF28/$B43),".")</f>
        <v>0</v>
      </c>
      <c r="AG43" s="49">
        <f>IFERROR(s_RadSpec!$E$28*(AG28/$B43),".")</f>
        <v>0</v>
      </c>
      <c r="AH43" s="49">
        <f>IFERROR(s_RadSpec!$E$28*(AH28/$B43),".")</f>
        <v>0</v>
      </c>
      <c r="AI43" s="49">
        <f>IFERROR(s_RadSpec!$E$28*(AI28/$B43),".")</f>
        <v>0</v>
      </c>
      <c r="AJ43" s="49">
        <f>IFERROR(s_RadSpec!$E$28*(AJ28/$B43),".")</f>
        <v>0</v>
      </c>
      <c r="AK43" s="49">
        <f>IFERROR(s_RadSpec!$E$28*(AK28/$B43),".")</f>
        <v>0</v>
      </c>
      <c r="AL43" s="49">
        <f>IFERROR(s_RadSpec!$E$28*(AL28/$B43),".")</f>
        <v>0</v>
      </c>
      <c r="AM43" s="49">
        <f>IFERROR(s_RadSpec!$E$28*(AM28/$B43),".")</f>
        <v>0</v>
      </c>
      <c r="AN43" s="49">
        <f>IFERROR(s_RadSpec!$E$28*(AN28/$B43),".")</f>
        <v>0</v>
      </c>
      <c r="AO43" s="49">
        <f>IFERROR(s_RadSpec!$E$28*(AO28/$B43),".")</f>
        <v>0</v>
      </c>
      <c r="AP43" s="49">
        <f>IFERROR(s_RadSpec!$E$28*(AP28/$B43),".")</f>
        <v>0</v>
      </c>
      <c r="AQ43" s="49">
        <f>IFERROR(s_RadSpec!$E$28*(AQ28/$B43),".")</f>
        <v>0</v>
      </c>
      <c r="AR43" s="49">
        <f>IFERROR(s_RadSpec!$E$28*(AR28/$B43),".")</f>
        <v>0</v>
      </c>
      <c r="AS43" s="49">
        <f>IFERROR(s_RadSpec!$E$28*(AS28/$B43),".")</f>
        <v>0</v>
      </c>
      <c r="AT43" s="49">
        <f>IFERROR(s_RadSpec!$E$28*(AT28/$B43),".")</f>
        <v>0</v>
      </c>
      <c r="AU43" s="49">
        <f>IFERROR(s_RadSpec!$E$28*(AU28/$B43),".")</f>
        <v>0</v>
      </c>
      <c r="AV43" s="49">
        <f>IFERROR(s_RadSpec!$E$28*(AV28/$B43),".")</f>
        <v>0</v>
      </c>
      <c r="AW43" s="49">
        <f>IFERROR(s_RadSpec!$E$28*(AW28/$B43),".")</f>
        <v>0</v>
      </c>
      <c r="AX43" s="49">
        <f>IFERROR(s_RadSpec!$E$28*(AX28/$B43),".")</f>
        <v>0</v>
      </c>
      <c r="AY43" s="49">
        <f>IFERROR(s_RadSpec!$E$28*(AY28/$B43),".")</f>
        <v>0</v>
      </c>
      <c r="AZ43" s="49">
        <f>IFERROR(s_RadSpec!$E$28*(AZ28/$B43),".")</f>
        <v>0</v>
      </c>
      <c r="BA43" s="60" t="str">
        <f t="shared" si="13"/>
        <v>.</v>
      </c>
      <c r="BB43" s="60">
        <f t="shared" ref="BB43:BY43" si="36">IFERROR($B43/BB28,0)</f>
        <v>0</v>
      </c>
      <c r="BC43" s="60">
        <f t="shared" si="36"/>
        <v>0</v>
      </c>
      <c r="BD43" s="60">
        <f t="shared" si="36"/>
        <v>0</v>
      </c>
      <c r="BE43" s="60">
        <f t="shared" si="36"/>
        <v>0</v>
      </c>
      <c r="BF43" s="60">
        <f t="shared" si="36"/>
        <v>0</v>
      </c>
      <c r="BG43" s="60">
        <f t="shared" si="36"/>
        <v>0</v>
      </c>
      <c r="BH43" s="60">
        <f t="shared" si="36"/>
        <v>0</v>
      </c>
      <c r="BI43" s="60">
        <f t="shared" si="36"/>
        <v>0</v>
      </c>
      <c r="BJ43" s="60">
        <f t="shared" si="36"/>
        <v>0</v>
      </c>
      <c r="BK43" s="60">
        <f t="shared" si="36"/>
        <v>0</v>
      </c>
      <c r="BL43" s="60">
        <f t="shared" si="36"/>
        <v>0</v>
      </c>
      <c r="BM43" s="60">
        <f t="shared" si="36"/>
        <v>0</v>
      </c>
      <c r="BN43" s="60">
        <f t="shared" si="36"/>
        <v>0</v>
      </c>
      <c r="BO43" s="60">
        <f t="shared" si="36"/>
        <v>0</v>
      </c>
      <c r="BP43" s="60">
        <f t="shared" si="36"/>
        <v>0</v>
      </c>
      <c r="BQ43" s="60">
        <f t="shared" si="36"/>
        <v>0</v>
      </c>
      <c r="BR43" s="60">
        <f t="shared" si="36"/>
        <v>0</v>
      </c>
      <c r="BS43" s="60">
        <f t="shared" si="36"/>
        <v>0</v>
      </c>
      <c r="BT43" s="60">
        <f t="shared" si="36"/>
        <v>0</v>
      </c>
      <c r="BU43" s="60">
        <f t="shared" si="36"/>
        <v>0</v>
      </c>
      <c r="BV43" s="60">
        <f t="shared" si="36"/>
        <v>0</v>
      </c>
      <c r="BW43" s="60">
        <f t="shared" si="36"/>
        <v>0</v>
      </c>
      <c r="BX43" s="60">
        <f t="shared" si="36"/>
        <v>0</v>
      </c>
      <c r="BY43" s="60">
        <f t="shared" si="36"/>
        <v>0</v>
      </c>
      <c r="BZ43" s="49">
        <f t="shared" si="5"/>
        <v>0</v>
      </c>
      <c r="CA43" s="49">
        <f>IFERROR(s_RadSpec!$E$28*(CA28/$B43),".")</f>
        <v>0</v>
      </c>
      <c r="CB43" s="49">
        <f>IFERROR(s_RadSpec!$E$28*(CB28/$B43),".")</f>
        <v>0</v>
      </c>
      <c r="CC43" s="49">
        <f>IFERROR(s_RadSpec!$E$28*(CC28/$B43),".")</f>
        <v>0</v>
      </c>
      <c r="CD43" s="49">
        <f>IFERROR(s_RadSpec!$E$28*(CD28/$B43),".")</f>
        <v>0</v>
      </c>
      <c r="CE43" s="49">
        <f>IFERROR(s_RadSpec!$E$28*(CE28/$B43),".")</f>
        <v>0</v>
      </c>
      <c r="CF43" s="49">
        <f>IFERROR(s_RadSpec!$E$28*(CF28/$B43),".")</f>
        <v>0</v>
      </c>
      <c r="CG43" s="49">
        <f>IFERROR(s_RadSpec!$E$28*(CG28/$B43),".")</f>
        <v>0</v>
      </c>
      <c r="CH43" s="49">
        <f>IFERROR(s_RadSpec!$E$28*(CH28/$B43),".")</f>
        <v>0</v>
      </c>
      <c r="CI43" s="49">
        <f>IFERROR(s_RadSpec!$E$28*(CI28/$B43),".")</f>
        <v>0</v>
      </c>
      <c r="CJ43" s="49">
        <f>IFERROR(s_RadSpec!$E$28*(CJ28/$B43),".")</f>
        <v>0</v>
      </c>
      <c r="CK43" s="49">
        <f>IFERROR(s_RadSpec!$E$28*(CK28/$B43),".")</f>
        <v>0</v>
      </c>
      <c r="CL43" s="49">
        <f>IFERROR(s_RadSpec!$E$28*(CL28/$B43),".")</f>
        <v>0</v>
      </c>
      <c r="CM43" s="49">
        <f>IFERROR(s_RadSpec!$E$28*(CM28/$B43),".")</f>
        <v>0</v>
      </c>
      <c r="CN43" s="49">
        <f>IFERROR(s_RadSpec!$E$28*(CN28/$B43),".")</f>
        <v>0</v>
      </c>
      <c r="CO43" s="49">
        <f>IFERROR(s_RadSpec!$E$28*(CO28/$B43),".")</f>
        <v>0</v>
      </c>
      <c r="CP43" s="49">
        <f>IFERROR(s_RadSpec!$E$28*(CP28/$B43),".")</f>
        <v>0</v>
      </c>
      <c r="CQ43" s="49">
        <f>IFERROR(s_RadSpec!$E$28*(CQ28/$B43),".")</f>
        <v>0</v>
      </c>
      <c r="CR43" s="49">
        <f>IFERROR(s_RadSpec!$E$28*(CR28/$B43),".")</f>
        <v>0</v>
      </c>
      <c r="CS43" s="49">
        <f>IFERROR(s_RadSpec!$E$28*(CS28/$B43),".")</f>
        <v>0</v>
      </c>
      <c r="CT43" s="49">
        <f>IFERROR(s_RadSpec!$E$28*(CT28/$B43),".")</f>
        <v>0</v>
      </c>
      <c r="CU43" s="49">
        <f>IFERROR(s_RadSpec!$E$28*(CU28/$B43),".")</f>
        <v>0</v>
      </c>
      <c r="CV43" s="49">
        <f>IFERROR(s_RadSpec!$E$28*(CV28/$B43),".")</f>
        <v>0</v>
      </c>
      <c r="CW43" s="49">
        <f>IFERROR(s_RadSpec!$E$28*(CW28/$B43),".")</f>
        <v>0</v>
      </c>
      <c r="CX43" s="49">
        <f>IFERROR(s_RadSpec!$E$28*(CX28/$B43),".")</f>
        <v>0</v>
      </c>
    </row>
    <row r="44" spans="1:102" x14ac:dyDescent="0.25">
      <c r="A44" s="83" t="s">
        <v>1089</v>
      </c>
      <c r="B44" s="42">
        <v>0.99987999999999999</v>
      </c>
      <c r="C44" s="60">
        <f t="shared" si="10"/>
        <v>6719.2888004824044</v>
      </c>
      <c r="D44" s="60">
        <f t="shared" ref="D44:AA44" si="37">IFERROR(D15/$B44,0)</f>
        <v>44401.632247953727</v>
      </c>
      <c r="E44" s="60">
        <f t="shared" si="37"/>
        <v>11159.768532908156</v>
      </c>
      <c r="F44" s="60">
        <f t="shared" si="37"/>
        <v>36611.87220445308</v>
      </c>
      <c r="G44" s="60">
        <f t="shared" si="37"/>
        <v>44401.632247953727</v>
      </c>
      <c r="H44" s="60">
        <f t="shared" si="37"/>
        <v>36611.87220445308</v>
      </c>
      <c r="I44" s="60">
        <f t="shared" si="37"/>
        <v>11159.768532908156</v>
      </c>
      <c r="J44" s="60">
        <f t="shared" si="37"/>
        <v>36611.87220445308</v>
      </c>
      <c r="K44" s="60">
        <f t="shared" si="37"/>
        <v>44401.632247953727</v>
      </c>
      <c r="L44" s="60">
        <f t="shared" si="37"/>
        <v>70982.201212715154</v>
      </c>
      <c r="M44" s="60">
        <f t="shared" si="37"/>
        <v>36611.87220445308</v>
      </c>
      <c r="N44" s="60">
        <f t="shared" si="37"/>
        <v>11159.768532908156</v>
      </c>
      <c r="O44" s="60">
        <f t="shared" si="37"/>
        <v>55502.04030994216</v>
      </c>
      <c r="P44" s="60">
        <f t="shared" si="37"/>
        <v>36611.87220445308</v>
      </c>
      <c r="Q44" s="60">
        <f t="shared" si="37"/>
        <v>36611.87220445308</v>
      </c>
      <c r="R44" s="60">
        <f t="shared" si="37"/>
        <v>44401.632247953727</v>
      </c>
      <c r="S44" s="60">
        <f t="shared" si="37"/>
        <v>44401.632247953727</v>
      </c>
      <c r="T44" s="60">
        <f t="shared" si="37"/>
        <v>55502.04030994216</v>
      </c>
      <c r="U44" s="60">
        <f t="shared" si="37"/>
        <v>69562.557188460836</v>
      </c>
      <c r="V44" s="60">
        <f t="shared" si="37"/>
        <v>36611.87220445308</v>
      </c>
      <c r="W44" s="60">
        <f t="shared" si="37"/>
        <v>55502.04030994216</v>
      </c>
      <c r="X44" s="60">
        <f t="shared" si="37"/>
        <v>44401.632247953727</v>
      </c>
      <c r="Y44" s="60">
        <f t="shared" si="37"/>
        <v>36611.87220445308</v>
      </c>
      <c r="Z44" s="60">
        <f t="shared" si="37"/>
        <v>75666.305861269953</v>
      </c>
      <c r="AA44" s="60">
        <f t="shared" si="37"/>
        <v>42589.320727629085</v>
      </c>
      <c r="AB44" s="49">
        <f t="shared" si="12"/>
        <v>7.4430499484938181E-10</v>
      </c>
      <c r="AC44" s="49">
        <f>IFERROR(s_RadSpec!$E$15*(AC15/$B44),".")</f>
        <v>1.1263550376045126E-10</v>
      </c>
      <c r="AD44" s="49">
        <f>IFERROR(s_RadSpec!$E$15*(AD15/$B44),".")</f>
        <v>4.481455149617954E-10</v>
      </c>
      <c r="AE44" s="49">
        <f>IFERROR(s_RadSpec!$E$15*(AE15/$B44),".")</f>
        <v>1.3660050456054725E-10</v>
      </c>
      <c r="AF44" s="49">
        <f>IFERROR(s_RadSpec!$E$15*(AF15/$B44),".")</f>
        <v>1.1263550376045126E-10</v>
      </c>
      <c r="AG44" s="49">
        <f>IFERROR(s_RadSpec!$E$15*(AG15/$B44),".")</f>
        <v>1.3660050456054725E-10</v>
      </c>
      <c r="AH44" s="49">
        <f>IFERROR(s_RadSpec!$E$15*(AH15/$B44),".")</f>
        <v>4.481455149617954E-10</v>
      </c>
      <c r="AI44" s="49">
        <f>IFERROR(s_RadSpec!$E$15*(AI15/$B44),".")</f>
        <v>1.3660050456054725E-10</v>
      </c>
      <c r="AJ44" s="49">
        <f>IFERROR(s_RadSpec!$E$15*(AJ15/$B44),".")</f>
        <v>1.1263550376045126E-10</v>
      </c>
      <c r="AK44" s="49">
        <f>IFERROR(s_RadSpec!$E$15*(AK15/$B44),".")</f>
        <v>7.0457102352282267E-11</v>
      </c>
      <c r="AL44" s="49">
        <f>IFERROR(s_RadSpec!$E$15*(AL15/$B44),".")</f>
        <v>1.3660050456054725E-10</v>
      </c>
      <c r="AM44" s="49">
        <f>IFERROR(s_RadSpec!$E$15*(AM15/$B44),".")</f>
        <v>4.481455149617954E-10</v>
      </c>
      <c r="AN44" s="49">
        <f>IFERROR(s_RadSpec!$E$15*(AN15/$B44),".")</f>
        <v>9.0108403008361001E-11</v>
      </c>
      <c r="AO44" s="49">
        <f>IFERROR(s_RadSpec!$E$15*(AO15/$B44),".")</f>
        <v>1.3660050456054725E-10</v>
      </c>
      <c r="AP44" s="49">
        <f>IFERROR(s_RadSpec!$E$15*(AP15/$B44),".")</f>
        <v>1.3660050456054725E-10</v>
      </c>
      <c r="AQ44" s="49">
        <f>IFERROR(s_RadSpec!$E$15*(AQ15/$B44),".")</f>
        <v>1.1263550376045126E-10</v>
      </c>
      <c r="AR44" s="49">
        <f>IFERROR(s_RadSpec!$E$15*(AR15/$B44),".")</f>
        <v>1.1263550376045126E-10</v>
      </c>
      <c r="AS44" s="49">
        <f>IFERROR(s_RadSpec!$E$15*(AS15/$B44),".")</f>
        <v>9.0108403008361001E-11</v>
      </c>
      <c r="AT44" s="49">
        <f>IFERROR(s_RadSpec!$E$15*(AT15/$B44),".")</f>
        <v>7.1895002400288029E-11</v>
      </c>
      <c r="AU44" s="49">
        <f>IFERROR(s_RadSpec!$E$15*(AU15/$B44),".")</f>
        <v>1.3660050456054725E-10</v>
      </c>
      <c r="AV44" s="49">
        <f>IFERROR(s_RadSpec!$E$15*(AV15/$B44),".")</f>
        <v>9.0108403008361001E-11</v>
      </c>
      <c r="AW44" s="49">
        <f>IFERROR(s_RadSpec!$E$15*(AW15/$B44),".")</f>
        <v>1.1263550376045126E-10</v>
      </c>
      <c r="AX44" s="49">
        <f>IFERROR(s_RadSpec!$E$15*(AX15/$B44),".")</f>
        <v>1.3660050456054725E-10</v>
      </c>
      <c r="AY44" s="49">
        <f>IFERROR(s_RadSpec!$E$15*(AY15/$B44),".")</f>
        <v>6.6095472206664788E-11</v>
      </c>
      <c r="AZ44" s="49">
        <f>IFERROR(s_RadSpec!$E$15*(AZ15/$B44),".")</f>
        <v>1.1742850392047045E-10</v>
      </c>
      <c r="BA44" s="60">
        <f t="shared" si="13"/>
        <v>5.7531762861914574E-6</v>
      </c>
      <c r="BB44" s="60">
        <f t="shared" ref="BB44:BY44" si="38">IFERROR($B44/BB15,0)</f>
        <v>2.2521694572299998E-5</v>
      </c>
      <c r="BC44" s="60">
        <f t="shared" si="38"/>
        <v>8.9607593298299986E-5</v>
      </c>
      <c r="BD44" s="60">
        <f t="shared" si="38"/>
        <v>2.7313544481299993E-5</v>
      </c>
      <c r="BE44" s="60">
        <f t="shared" si="38"/>
        <v>2.2521694572299998E-5</v>
      </c>
      <c r="BF44" s="60">
        <f t="shared" si="38"/>
        <v>2.7313544481299993E-5</v>
      </c>
      <c r="BG44" s="60">
        <f t="shared" si="38"/>
        <v>8.9607593298299986E-5</v>
      </c>
      <c r="BH44" s="60">
        <f t="shared" si="38"/>
        <v>2.7313544481299993E-5</v>
      </c>
      <c r="BI44" s="60">
        <f t="shared" si="38"/>
        <v>2.2521694572299998E-5</v>
      </c>
      <c r="BJ44" s="60">
        <f t="shared" si="38"/>
        <v>1.4088038732459996E-5</v>
      </c>
      <c r="BK44" s="60">
        <f t="shared" si="38"/>
        <v>2.7313544481299993E-5</v>
      </c>
      <c r="BL44" s="60">
        <f t="shared" si="38"/>
        <v>8.9607593298299986E-5</v>
      </c>
      <c r="BM44" s="60">
        <f t="shared" si="38"/>
        <v>1.8017355657839998E-5</v>
      </c>
      <c r="BN44" s="60">
        <f t="shared" si="38"/>
        <v>2.7313544481299993E-5</v>
      </c>
      <c r="BO44" s="60">
        <f t="shared" si="38"/>
        <v>2.7313544481299993E-5</v>
      </c>
      <c r="BP44" s="60">
        <f t="shared" si="38"/>
        <v>2.2521694572299998E-5</v>
      </c>
      <c r="BQ44" s="60">
        <f t="shared" si="38"/>
        <v>2.2521694572299998E-5</v>
      </c>
      <c r="BR44" s="60">
        <f t="shared" si="38"/>
        <v>1.8017355657839998E-5</v>
      </c>
      <c r="BS44" s="60">
        <f t="shared" si="38"/>
        <v>1.4375549726999999E-5</v>
      </c>
      <c r="BT44" s="60">
        <f t="shared" si="38"/>
        <v>2.7313544481299993E-5</v>
      </c>
      <c r="BU44" s="60">
        <f t="shared" si="38"/>
        <v>1.8017355657839998E-5</v>
      </c>
      <c r="BV44" s="60">
        <f t="shared" si="38"/>
        <v>2.2521694572299998E-5</v>
      </c>
      <c r="BW44" s="60">
        <f t="shared" si="38"/>
        <v>2.7313544481299993E-5</v>
      </c>
      <c r="BX44" s="60">
        <f t="shared" si="38"/>
        <v>1.3215922049021998E-5</v>
      </c>
      <c r="BY44" s="60">
        <f t="shared" si="38"/>
        <v>2.34800645541E-5</v>
      </c>
      <c r="BZ44" s="49">
        <f t="shared" si="5"/>
        <v>7.4430499484938181E-10</v>
      </c>
      <c r="CA44" s="49">
        <f>IFERROR(s_RadSpec!$E$15*(CA15/$B44),".")</f>
        <v>1.1263550376045126E-10</v>
      </c>
      <c r="CB44" s="49">
        <f>IFERROR(s_RadSpec!$E$15*(CB15/$B44),".")</f>
        <v>4.481455149617954E-10</v>
      </c>
      <c r="CC44" s="49">
        <f>IFERROR(s_RadSpec!$E$15*(CC15/$B44),".")</f>
        <v>1.3660050456054725E-10</v>
      </c>
      <c r="CD44" s="49">
        <f>IFERROR(s_RadSpec!$E$15*(CD15/$B44),".")</f>
        <v>1.1263550376045126E-10</v>
      </c>
      <c r="CE44" s="49">
        <f>IFERROR(s_RadSpec!$E$15*(CE15/$B44),".")</f>
        <v>1.3660050456054725E-10</v>
      </c>
      <c r="CF44" s="49">
        <f>IFERROR(s_RadSpec!$E$15*(CF15/$B44),".")</f>
        <v>4.481455149617954E-10</v>
      </c>
      <c r="CG44" s="49">
        <f>IFERROR(s_RadSpec!$E$15*(CG15/$B44),".")</f>
        <v>1.3660050456054725E-10</v>
      </c>
      <c r="CH44" s="49">
        <f>IFERROR(s_RadSpec!$E$15*(CH15/$B44),".")</f>
        <v>1.1263550376045126E-10</v>
      </c>
      <c r="CI44" s="49">
        <f>IFERROR(s_RadSpec!$E$15*(CI15/$B44),".")</f>
        <v>7.0457102352282267E-11</v>
      </c>
      <c r="CJ44" s="49">
        <f>IFERROR(s_RadSpec!$E$15*(CJ15/$B44),".")</f>
        <v>1.3660050456054725E-10</v>
      </c>
      <c r="CK44" s="49">
        <f>IFERROR(s_RadSpec!$E$15*(CK15/$B44),".")</f>
        <v>4.481455149617954E-10</v>
      </c>
      <c r="CL44" s="49">
        <f>IFERROR(s_RadSpec!$E$15*(CL15/$B44),".")</f>
        <v>9.0108403008361001E-11</v>
      </c>
      <c r="CM44" s="49">
        <f>IFERROR(s_RadSpec!$E$15*(CM15/$B44),".")</f>
        <v>1.3660050456054725E-10</v>
      </c>
      <c r="CN44" s="49">
        <f>IFERROR(s_RadSpec!$E$15*(CN15/$B44),".")</f>
        <v>1.3660050456054725E-10</v>
      </c>
      <c r="CO44" s="49">
        <f>IFERROR(s_RadSpec!$E$15*(CO15/$B44),".")</f>
        <v>1.1263550376045126E-10</v>
      </c>
      <c r="CP44" s="49">
        <f>IFERROR(s_RadSpec!$E$15*(CP15/$B44),".")</f>
        <v>1.1263550376045126E-10</v>
      </c>
      <c r="CQ44" s="49">
        <f>IFERROR(s_RadSpec!$E$15*(CQ15/$B44),".")</f>
        <v>9.0108403008361001E-11</v>
      </c>
      <c r="CR44" s="49">
        <f>IFERROR(s_RadSpec!$E$15*(CR15/$B44),".")</f>
        <v>7.1895002400288029E-11</v>
      </c>
      <c r="CS44" s="49">
        <f>IFERROR(s_RadSpec!$E$15*(CS15/$B44),".")</f>
        <v>1.3660050456054725E-10</v>
      </c>
      <c r="CT44" s="49">
        <f>IFERROR(s_RadSpec!$E$15*(CT15/$B44),".")</f>
        <v>9.0108403008361001E-11</v>
      </c>
      <c r="CU44" s="49">
        <f>IFERROR(s_RadSpec!$E$15*(CU15/$B44),".")</f>
        <v>1.1263550376045126E-10</v>
      </c>
      <c r="CV44" s="49">
        <f>IFERROR(s_RadSpec!$E$15*(CV15/$B44),".")</f>
        <v>1.3660050456054725E-10</v>
      </c>
      <c r="CW44" s="49">
        <f>IFERROR(s_RadSpec!$E$15*(CW15/$B44),".")</f>
        <v>6.6095472206664788E-11</v>
      </c>
      <c r="CX44" s="49">
        <f>IFERROR(s_RadSpec!$E$15*(CX15/$B44),".")</f>
        <v>1.1742850392047045E-10</v>
      </c>
    </row>
    <row r="45" spans="1:102" x14ac:dyDescent="0.25">
      <c r="A45" s="82" t="s">
        <v>20</v>
      </c>
      <c r="B45" s="82" t="s">
        <v>1074</v>
      </c>
      <c r="C45" s="58">
        <f t="shared" si="10"/>
        <v>65.075254464052222</v>
      </c>
      <c r="D45" s="58">
        <f t="shared" ref="D45:AA45" si="39">IFERROR(IF(AND(D46&lt;&gt;0,D47&lt;&gt;0),1/SUM(1/D46,1/D47),IF(AND(D46&lt;&gt;0,D47=0),1/(1/D46),IF(AND(D46=0,D47&lt;&gt;0),1/(1/D47),IF(AND(D46=0,D47=0),".")))),".")</f>
        <v>504.18149222848348</v>
      </c>
      <c r="E45" s="58">
        <f t="shared" si="39"/>
        <v>132.39051428584665</v>
      </c>
      <c r="F45" s="58">
        <f t="shared" si="39"/>
        <v>175.32797837855367</v>
      </c>
      <c r="G45" s="58">
        <f t="shared" si="39"/>
        <v>623.76300000062361</v>
      </c>
      <c r="H45" s="58">
        <f t="shared" si="39"/>
        <v>282.04935652202107</v>
      </c>
      <c r="I45" s="58">
        <f t="shared" si="39"/>
        <v>132.39051428584665</v>
      </c>
      <c r="J45" s="58">
        <f t="shared" si="39"/>
        <v>175.32797837855367</v>
      </c>
      <c r="K45" s="58">
        <f t="shared" si="39"/>
        <v>504.18149222848348</v>
      </c>
      <c r="L45" s="58">
        <f t="shared" si="39"/>
        <v>209.26242580666084</v>
      </c>
      <c r="M45" s="58">
        <f t="shared" si="39"/>
        <v>282.04935652202107</v>
      </c>
      <c r="N45" s="58">
        <f t="shared" si="39"/>
        <v>132.39051428584665</v>
      </c>
      <c r="O45" s="58">
        <f t="shared" si="39"/>
        <v>181.88229532728465</v>
      </c>
      <c r="P45" s="58">
        <f t="shared" si="39"/>
        <v>282.04935652202107</v>
      </c>
      <c r="Q45" s="58">
        <f t="shared" si="39"/>
        <v>282.04935652202107</v>
      </c>
      <c r="R45" s="58">
        <f t="shared" si="39"/>
        <v>504.18149222848348</v>
      </c>
      <c r="S45" s="58">
        <f t="shared" si="39"/>
        <v>504.18149222848348</v>
      </c>
      <c r="T45" s="58">
        <f t="shared" si="39"/>
        <v>181.88229532728465</v>
      </c>
      <c r="U45" s="58">
        <f t="shared" si="39"/>
        <v>140.01011223035579</v>
      </c>
      <c r="V45" s="58">
        <f t="shared" si="39"/>
        <v>282.04935652202107</v>
      </c>
      <c r="W45" s="58">
        <f t="shared" si="39"/>
        <v>181.88229532728465</v>
      </c>
      <c r="X45" s="58">
        <f t="shared" si="39"/>
        <v>593.33553658595918</v>
      </c>
      <c r="Y45" s="58">
        <f t="shared" si="39"/>
        <v>282.04935652202107</v>
      </c>
      <c r="Z45" s="58">
        <f t="shared" si="39"/>
        <v>683.81607870764083</v>
      </c>
      <c r="AA45" s="58">
        <f t="shared" si="39"/>
        <v>228.95771294140536</v>
      </c>
      <c r="AB45" s="47">
        <f>IFERROR(IF(SUM(AC46:AD47,AY46:AZ47)&gt;0.01,1-EXP(-SUM(AC46:AD47,AY46:AZ47)),SUM(AC46:AD47,AY46:AZ47)),".")</f>
        <v>7.6834121375000015E-8</v>
      </c>
      <c r="AC45" s="47">
        <f t="shared" ref="AC45:AY45" si="40">IFERROR(IF(SUM(AC46:AC47)&gt;0.01,1-EXP(-(SUM(AC46:AC47))),SUM(AC46:AC47)),".")</f>
        <v>9.9170637499999984E-9</v>
      </c>
      <c r="AD45" s="47">
        <f t="shared" si="40"/>
        <v>3.7767056250000002E-8</v>
      </c>
      <c r="AE45" s="47">
        <f t="shared" si="40"/>
        <v>2.8517981250000006E-8</v>
      </c>
      <c r="AF45" s="47">
        <f t="shared" si="40"/>
        <v>8.0158650000000004E-9</v>
      </c>
      <c r="AG45" s="47">
        <f t="shared" si="40"/>
        <v>1.7727393750000003E-8</v>
      </c>
      <c r="AH45" s="47">
        <f t="shared" si="40"/>
        <v>3.7767056250000002E-8</v>
      </c>
      <c r="AI45" s="47">
        <f t="shared" si="40"/>
        <v>2.8517981250000006E-8</v>
      </c>
      <c r="AJ45" s="47">
        <f t="shared" si="40"/>
        <v>9.9170637499999984E-9</v>
      </c>
      <c r="AK45" s="47">
        <f t="shared" si="40"/>
        <v>2.3893443750000003E-8</v>
      </c>
      <c r="AL45" s="47">
        <f t="shared" si="40"/>
        <v>1.7727393750000003E-8</v>
      </c>
      <c r="AM45" s="47">
        <f t="shared" si="40"/>
        <v>3.7767056250000002E-8</v>
      </c>
      <c r="AN45" s="47">
        <f t="shared" si="40"/>
        <v>2.7490306250000002E-8</v>
      </c>
      <c r="AO45" s="47">
        <f t="shared" si="40"/>
        <v>1.7727393750000003E-8</v>
      </c>
      <c r="AP45" s="47">
        <f t="shared" si="40"/>
        <v>1.7727393750000003E-8</v>
      </c>
      <c r="AQ45" s="47">
        <f t="shared" si="40"/>
        <v>9.9170637499999984E-9</v>
      </c>
      <c r="AR45" s="47">
        <f t="shared" si="40"/>
        <v>9.9170637499999984E-9</v>
      </c>
      <c r="AS45" s="47">
        <f t="shared" si="40"/>
        <v>2.7490306250000002E-8</v>
      </c>
      <c r="AT45" s="47">
        <f t="shared" si="40"/>
        <v>3.5711706250000009E-8</v>
      </c>
      <c r="AU45" s="47">
        <f t="shared" si="40"/>
        <v>1.7727393750000003E-8</v>
      </c>
      <c r="AV45" s="47">
        <f t="shared" si="40"/>
        <v>2.7490306250000002E-8</v>
      </c>
      <c r="AW45" s="47">
        <f t="shared" si="40"/>
        <v>8.4269349999999991E-9</v>
      </c>
      <c r="AX45" s="47">
        <f t="shared" si="40"/>
        <v>1.7727393750000003E-8</v>
      </c>
      <c r="AY45" s="47">
        <f t="shared" si="40"/>
        <v>7.3119076249999995E-9</v>
      </c>
      <c r="AZ45" s="47">
        <f>IFERROR(IF(SUM(AZ46:AZ47)&gt;0.01,1-EXP(-(SUM(AZ46:AZ47))),SUM(AZ46:AZ47)),".")</f>
        <v>2.1838093750000006E-8</v>
      </c>
      <c r="BA45" s="58">
        <f t="shared" si="13"/>
        <v>65.075254464052222</v>
      </c>
      <c r="BB45" s="58">
        <f>IFERROR(1/SUM(BB46:BB47),".")</f>
        <v>504.18149222848348</v>
      </c>
      <c r="BC45" s="58">
        <f t="shared" ref="BC45:BY45" si="41">IFERROR(1/SUM(BC46:BC47),".")</f>
        <v>132.39051428584665</v>
      </c>
      <c r="BD45" s="58">
        <f t="shared" si="41"/>
        <v>175.32797837855367</v>
      </c>
      <c r="BE45" s="58">
        <f t="shared" si="41"/>
        <v>623.76300000062361</v>
      </c>
      <c r="BF45" s="58">
        <f t="shared" si="41"/>
        <v>282.04935652202107</v>
      </c>
      <c r="BG45" s="58">
        <f t="shared" si="41"/>
        <v>132.39051428584665</v>
      </c>
      <c r="BH45" s="58">
        <f t="shared" si="41"/>
        <v>175.32797837855367</v>
      </c>
      <c r="BI45" s="58">
        <f t="shared" si="41"/>
        <v>504.18149222848348</v>
      </c>
      <c r="BJ45" s="58">
        <f t="shared" si="41"/>
        <v>209.26242580666084</v>
      </c>
      <c r="BK45" s="58">
        <f t="shared" si="41"/>
        <v>282.04935652202107</v>
      </c>
      <c r="BL45" s="58">
        <f t="shared" si="41"/>
        <v>132.39051428584665</v>
      </c>
      <c r="BM45" s="58">
        <f t="shared" si="41"/>
        <v>181.88229532728465</v>
      </c>
      <c r="BN45" s="58">
        <f t="shared" si="41"/>
        <v>282.04935652202107</v>
      </c>
      <c r="BO45" s="58">
        <f t="shared" si="41"/>
        <v>282.04935652202107</v>
      </c>
      <c r="BP45" s="58">
        <f t="shared" si="41"/>
        <v>504.18149222848348</v>
      </c>
      <c r="BQ45" s="58">
        <f t="shared" si="41"/>
        <v>504.18149222848348</v>
      </c>
      <c r="BR45" s="58">
        <f t="shared" si="41"/>
        <v>181.88229532728465</v>
      </c>
      <c r="BS45" s="58">
        <f t="shared" si="41"/>
        <v>140.01011223035579</v>
      </c>
      <c r="BT45" s="58">
        <f t="shared" si="41"/>
        <v>282.04935652202107</v>
      </c>
      <c r="BU45" s="58">
        <f t="shared" si="41"/>
        <v>181.88229532728465</v>
      </c>
      <c r="BV45" s="58">
        <f t="shared" si="41"/>
        <v>593.33553658595918</v>
      </c>
      <c r="BW45" s="58">
        <f t="shared" si="41"/>
        <v>282.04935652202107</v>
      </c>
      <c r="BX45" s="58">
        <f t="shared" si="41"/>
        <v>683.81607870764083</v>
      </c>
      <c r="BY45" s="58">
        <f t="shared" si="41"/>
        <v>228.95771294140536</v>
      </c>
      <c r="BZ45" s="47">
        <f>IFERROR(IF(SUM(CA46:CB47,CW46:CX47)&gt;0.01,1-EXP(-SUM(CA46:CB47,CW46:CX47)),SUM(CA46:CB47,CW46:CX47)),".")</f>
        <v>7.6834121375000015E-8</v>
      </c>
      <c r="CA45" s="47">
        <f t="shared" ref="CA45:CV45" si="42">IFERROR(IF(SUM(CA46:CA47)&gt;0.01,1-EXP(-(SUM(CA46:CA47))),SUM(CA46:CA47)),".")</f>
        <v>9.9170637499999984E-9</v>
      </c>
      <c r="CB45" s="47">
        <f t="shared" si="42"/>
        <v>3.7767056250000002E-8</v>
      </c>
      <c r="CC45" s="47">
        <f t="shared" si="42"/>
        <v>2.8517981250000006E-8</v>
      </c>
      <c r="CD45" s="47">
        <f t="shared" si="42"/>
        <v>8.0158650000000004E-9</v>
      </c>
      <c r="CE45" s="47">
        <f t="shared" si="42"/>
        <v>1.7727393750000003E-8</v>
      </c>
      <c r="CF45" s="47">
        <f t="shared" si="42"/>
        <v>3.7767056250000002E-8</v>
      </c>
      <c r="CG45" s="47">
        <f t="shared" si="42"/>
        <v>2.8517981250000006E-8</v>
      </c>
      <c r="CH45" s="47">
        <f t="shared" si="42"/>
        <v>9.9170637499999984E-9</v>
      </c>
      <c r="CI45" s="47">
        <f t="shared" si="42"/>
        <v>2.3893443750000003E-8</v>
      </c>
      <c r="CJ45" s="47">
        <f t="shared" si="42"/>
        <v>1.7727393750000003E-8</v>
      </c>
      <c r="CK45" s="47">
        <f t="shared" si="42"/>
        <v>3.7767056250000002E-8</v>
      </c>
      <c r="CL45" s="47">
        <f t="shared" si="42"/>
        <v>2.7490306250000002E-8</v>
      </c>
      <c r="CM45" s="47">
        <f t="shared" si="42"/>
        <v>1.7727393750000003E-8</v>
      </c>
      <c r="CN45" s="47">
        <f t="shared" si="42"/>
        <v>1.7727393750000003E-8</v>
      </c>
      <c r="CO45" s="47">
        <f t="shared" si="42"/>
        <v>9.9170637499999984E-9</v>
      </c>
      <c r="CP45" s="47">
        <f t="shared" si="42"/>
        <v>9.9170637499999984E-9</v>
      </c>
      <c r="CQ45" s="47">
        <f t="shared" si="42"/>
        <v>2.7490306250000002E-8</v>
      </c>
      <c r="CR45" s="47">
        <f t="shared" si="42"/>
        <v>3.5711706250000009E-8</v>
      </c>
      <c r="CS45" s="47">
        <f t="shared" si="42"/>
        <v>1.7727393750000003E-8</v>
      </c>
      <c r="CT45" s="47">
        <f t="shared" si="42"/>
        <v>2.7490306250000002E-8</v>
      </c>
      <c r="CU45" s="47">
        <f t="shared" si="42"/>
        <v>8.4269349999999991E-9</v>
      </c>
      <c r="CV45" s="47">
        <f t="shared" si="42"/>
        <v>1.7727393750000003E-8</v>
      </c>
      <c r="CW45" s="47">
        <f>IFERROR(IF(SUM(CW46:CW47)&gt;0.01,1-EXP(-(SUM(CW46:CW47))),SUM(CW46:CW47)),".")</f>
        <v>7.3119076249999995E-9</v>
      </c>
      <c r="CX45" s="47">
        <f>IFERROR(IF(SUM(CX46:CX47)&gt;0.01,1-EXP(-(SUM(CX46:CX47))),SUM(CX46:CX47)),".")</f>
        <v>2.1838093750000006E-8</v>
      </c>
    </row>
    <row r="46" spans="1:102" x14ac:dyDescent="0.25">
      <c r="A46" s="83" t="s">
        <v>1101</v>
      </c>
      <c r="B46" s="42">
        <v>1</v>
      </c>
      <c r="C46" s="60">
        <f t="shared" si="10"/>
        <v>65.075254464052222</v>
      </c>
      <c r="D46" s="60">
        <f t="shared" ref="D46:AA46" si="43">IFERROR(D10/$B46,0)</f>
        <v>504.18149222848342</v>
      </c>
      <c r="E46" s="60">
        <f t="shared" si="43"/>
        <v>132.39051428584665</v>
      </c>
      <c r="F46" s="60">
        <f t="shared" si="43"/>
        <v>175.32797837855367</v>
      </c>
      <c r="G46" s="60">
        <f t="shared" si="43"/>
        <v>623.76300000062361</v>
      </c>
      <c r="H46" s="60">
        <f t="shared" si="43"/>
        <v>282.04935652202107</v>
      </c>
      <c r="I46" s="60">
        <f t="shared" si="43"/>
        <v>132.39051428584665</v>
      </c>
      <c r="J46" s="60">
        <f t="shared" si="43"/>
        <v>175.32797837855367</v>
      </c>
      <c r="K46" s="60">
        <f t="shared" si="43"/>
        <v>504.18149222848342</v>
      </c>
      <c r="L46" s="60">
        <f t="shared" si="43"/>
        <v>209.26242580666084</v>
      </c>
      <c r="M46" s="60">
        <f t="shared" si="43"/>
        <v>282.04935652202107</v>
      </c>
      <c r="N46" s="60">
        <f t="shared" si="43"/>
        <v>132.39051428584665</v>
      </c>
      <c r="O46" s="60">
        <f t="shared" si="43"/>
        <v>181.88229532728465</v>
      </c>
      <c r="P46" s="60">
        <f t="shared" si="43"/>
        <v>282.04935652202107</v>
      </c>
      <c r="Q46" s="60">
        <f t="shared" si="43"/>
        <v>282.04935652202107</v>
      </c>
      <c r="R46" s="60">
        <f t="shared" si="43"/>
        <v>504.18149222848342</v>
      </c>
      <c r="S46" s="60">
        <f t="shared" si="43"/>
        <v>504.18149222848342</v>
      </c>
      <c r="T46" s="60">
        <f t="shared" si="43"/>
        <v>181.88229532728465</v>
      </c>
      <c r="U46" s="60">
        <f t="shared" si="43"/>
        <v>140.01011223035579</v>
      </c>
      <c r="V46" s="60">
        <f t="shared" si="43"/>
        <v>282.04935652202107</v>
      </c>
      <c r="W46" s="60">
        <f t="shared" si="43"/>
        <v>181.88229532728465</v>
      </c>
      <c r="X46" s="60">
        <f t="shared" si="43"/>
        <v>593.33553658595918</v>
      </c>
      <c r="Y46" s="60">
        <f t="shared" si="43"/>
        <v>282.04935652202107</v>
      </c>
      <c r="Z46" s="60">
        <f t="shared" si="43"/>
        <v>683.81607870764083</v>
      </c>
      <c r="AA46" s="60">
        <f t="shared" si="43"/>
        <v>228.95771294140536</v>
      </c>
      <c r="AB46" s="49">
        <f t="shared" si="12"/>
        <v>7.6834121375000015E-8</v>
      </c>
      <c r="AC46" s="49">
        <f>IFERROR(s_RadSpec!$E$10*(AC10/$B46),".")</f>
        <v>9.9170637499999984E-9</v>
      </c>
      <c r="AD46" s="49">
        <f>IFERROR(s_RadSpec!$E$10*(AD10/$B46),".")</f>
        <v>3.7767056250000002E-8</v>
      </c>
      <c r="AE46" s="49">
        <f>IFERROR(s_RadSpec!$E$10*(AE10/$B46),".")</f>
        <v>2.8517981250000006E-8</v>
      </c>
      <c r="AF46" s="49">
        <f>IFERROR(s_RadSpec!$E$10*(AF10/$B46),".")</f>
        <v>8.0158650000000004E-9</v>
      </c>
      <c r="AG46" s="49">
        <f>IFERROR(s_RadSpec!$E$10*(AG10/$B46),".")</f>
        <v>1.7727393750000003E-8</v>
      </c>
      <c r="AH46" s="49">
        <f>IFERROR(s_RadSpec!$E$10*(AH10/$B46),".")</f>
        <v>3.7767056250000002E-8</v>
      </c>
      <c r="AI46" s="49">
        <f>IFERROR(s_RadSpec!$E$10*(AI10/$B46),".")</f>
        <v>2.8517981250000006E-8</v>
      </c>
      <c r="AJ46" s="49">
        <f>IFERROR(s_RadSpec!$E$10*(AJ10/$B46),".")</f>
        <v>9.9170637499999984E-9</v>
      </c>
      <c r="AK46" s="49">
        <f>IFERROR(s_RadSpec!$E$10*(AK10/$B46),".")</f>
        <v>2.3893443750000003E-8</v>
      </c>
      <c r="AL46" s="49">
        <f>IFERROR(s_RadSpec!$E$10*(AL10/$B46),".")</f>
        <v>1.7727393750000003E-8</v>
      </c>
      <c r="AM46" s="49">
        <f>IFERROR(s_RadSpec!$E$10*(AM10/$B46),".")</f>
        <v>3.7767056250000002E-8</v>
      </c>
      <c r="AN46" s="49">
        <f>IFERROR(s_RadSpec!$E$10*(AN10/$B46),".")</f>
        <v>2.7490306250000002E-8</v>
      </c>
      <c r="AO46" s="49">
        <f>IFERROR(s_RadSpec!$E$10*(AO10/$B46),".")</f>
        <v>1.7727393750000003E-8</v>
      </c>
      <c r="AP46" s="49">
        <f>IFERROR(s_RadSpec!$E$10*(AP10/$B46),".")</f>
        <v>1.7727393750000003E-8</v>
      </c>
      <c r="AQ46" s="49">
        <f>IFERROR(s_RadSpec!$E$10*(AQ10/$B46),".")</f>
        <v>9.9170637499999984E-9</v>
      </c>
      <c r="AR46" s="49">
        <f>IFERROR(s_RadSpec!$E$10*(AR10/$B46),".")</f>
        <v>9.9170637499999984E-9</v>
      </c>
      <c r="AS46" s="49">
        <f>IFERROR(s_RadSpec!$E$10*(AS10/$B46),".")</f>
        <v>2.7490306250000002E-8</v>
      </c>
      <c r="AT46" s="49">
        <f>IFERROR(s_RadSpec!$E$10*(AT10/$B46),".")</f>
        <v>3.5711706250000009E-8</v>
      </c>
      <c r="AU46" s="49">
        <f>IFERROR(s_RadSpec!$E$10*(AU10/$B46),".")</f>
        <v>1.7727393750000003E-8</v>
      </c>
      <c r="AV46" s="49">
        <f>IFERROR(s_RadSpec!$E$10*(AV10/$B46),".")</f>
        <v>2.7490306250000002E-8</v>
      </c>
      <c r="AW46" s="49">
        <f>IFERROR(s_RadSpec!$E$10*(AW10/$B46),".")</f>
        <v>8.4269349999999991E-9</v>
      </c>
      <c r="AX46" s="49">
        <f>IFERROR(s_RadSpec!$E$10*(AX10/$B46),".")</f>
        <v>1.7727393750000003E-8</v>
      </c>
      <c r="AY46" s="49">
        <f>IFERROR(s_RadSpec!$E$10*(AY10/$B46),".")</f>
        <v>7.3119076249999995E-9</v>
      </c>
      <c r="AZ46" s="49">
        <f>IFERROR(s_RadSpec!$E$10*(AZ10/$B46),".")</f>
        <v>2.1838093750000006E-8</v>
      </c>
      <c r="BA46" s="60">
        <f t="shared" si="13"/>
        <v>6.4543370575207868E-4</v>
      </c>
      <c r="BB46" s="60">
        <f t="shared" ref="BB46:BY46" si="44">IFERROR($B46/BB10,0)</f>
        <v>1.98341275E-3</v>
      </c>
      <c r="BC46" s="60">
        <f t="shared" si="44"/>
        <v>7.5534112500000019E-3</v>
      </c>
      <c r="BD46" s="60">
        <f t="shared" si="44"/>
        <v>5.7035962500000016E-3</v>
      </c>
      <c r="BE46" s="60">
        <f t="shared" si="44"/>
        <v>1.6031730000000005E-3</v>
      </c>
      <c r="BF46" s="60">
        <f t="shared" si="44"/>
        <v>3.5454787500000013E-3</v>
      </c>
      <c r="BG46" s="60">
        <f t="shared" si="44"/>
        <v>7.5534112500000019E-3</v>
      </c>
      <c r="BH46" s="60">
        <f t="shared" si="44"/>
        <v>5.7035962500000016E-3</v>
      </c>
      <c r="BI46" s="60">
        <f t="shared" si="44"/>
        <v>1.98341275E-3</v>
      </c>
      <c r="BJ46" s="60">
        <f t="shared" si="44"/>
        <v>4.778688750000001E-3</v>
      </c>
      <c r="BK46" s="60">
        <f t="shared" si="44"/>
        <v>3.5454787500000013E-3</v>
      </c>
      <c r="BL46" s="60">
        <f t="shared" si="44"/>
        <v>7.5534112500000019E-3</v>
      </c>
      <c r="BM46" s="60">
        <f t="shared" si="44"/>
        <v>5.498061250000001E-3</v>
      </c>
      <c r="BN46" s="60">
        <f t="shared" si="44"/>
        <v>3.5454787500000013E-3</v>
      </c>
      <c r="BO46" s="60">
        <f t="shared" si="44"/>
        <v>3.5454787500000013E-3</v>
      </c>
      <c r="BP46" s="60">
        <f t="shared" si="44"/>
        <v>1.98341275E-3</v>
      </c>
      <c r="BQ46" s="60">
        <f t="shared" si="44"/>
        <v>1.98341275E-3</v>
      </c>
      <c r="BR46" s="60">
        <f t="shared" si="44"/>
        <v>5.498061250000001E-3</v>
      </c>
      <c r="BS46" s="60">
        <f t="shared" si="44"/>
        <v>7.1423412500000024E-3</v>
      </c>
      <c r="BT46" s="60">
        <f t="shared" si="44"/>
        <v>3.5454787500000013E-3</v>
      </c>
      <c r="BU46" s="60">
        <f t="shared" si="44"/>
        <v>5.498061250000001E-3</v>
      </c>
      <c r="BV46" s="60">
        <f t="shared" si="44"/>
        <v>1.685387E-3</v>
      </c>
      <c r="BW46" s="60">
        <f t="shared" si="44"/>
        <v>3.5454787500000013E-3</v>
      </c>
      <c r="BX46" s="60">
        <f t="shared" si="44"/>
        <v>1.4623815250000003E-3</v>
      </c>
      <c r="BY46" s="60">
        <f t="shared" si="44"/>
        <v>4.3676187500000015E-3</v>
      </c>
      <c r="BZ46" s="49">
        <f t="shared" si="5"/>
        <v>7.6834121375000015E-8</v>
      </c>
      <c r="CA46" s="49">
        <f>IFERROR(s_RadSpec!$E$10*(CA10/$B46),".")</f>
        <v>9.9170637499999984E-9</v>
      </c>
      <c r="CB46" s="49">
        <f>IFERROR(s_RadSpec!$E$10*(CB10/$B46),".")</f>
        <v>3.7767056250000002E-8</v>
      </c>
      <c r="CC46" s="49">
        <f>IFERROR(s_RadSpec!$E$10*(CC10/$B46),".")</f>
        <v>2.8517981250000006E-8</v>
      </c>
      <c r="CD46" s="49">
        <f>IFERROR(s_RadSpec!$E$10*(CD10/$B46),".")</f>
        <v>8.0158650000000004E-9</v>
      </c>
      <c r="CE46" s="49">
        <f>IFERROR(s_RadSpec!$E$10*(CE10/$B46),".")</f>
        <v>1.7727393750000003E-8</v>
      </c>
      <c r="CF46" s="49">
        <f>IFERROR(s_RadSpec!$E$10*(CF10/$B46),".")</f>
        <v>3.7767056250000002E-8</v>
      </c>
      <c r="CG46" s="49">
        <f>IFERROR(s_RadSpec!$E$10*(CG10/$B46),".")</f>
        <v>2.8517981250000006E-8</v>
      </c>
      <c r="CH46" s="49">
        <f>IFERROR(s_RadSpec!$E$10*(CH10/$B46),".")</f>
        <v>9.9170637499999984E-9</v>
      </c>
      <c r="CI46" s="49">
        <f>IFERROR(s_RadSpec!$E$10*(CI10/$B46),".")</f>
        <v>2.3893443750000003E-8</v>
      </c>
      <c r="CJ46" s="49">
        <f>IFERROR(s_RadSpec!$E$10*(CJ10/$B46),".")</f>
        <v>1.7727393750000003E-8</v>
      </c>
      <c r="CK46" s="49">
        <f>IFERROR(s_RadSpec!$E$10*(CK10/$B46),".")</f>
        <v>3.7767056250000002E-8</v>
      </c>
      <c r="CL46" s="49">
        <f>IFERROR(s_RadSpec!$E$10*(CL10/$B46),".")</f>
        <v>2.7490306250000002E-8</v>
      </c>
      <c r="CM46" s="49">
        <f>IFERROR(s_RadSpec!$E$10*(CM10/$B46),".")</f>
        <v>1.7727393750000003E-8</v>
      </c>
      <c r="CN46" s="49">
        <f>IFERROR(s_RadSpec!$E$10*(CN10/$B46),".")</f>
        <v>1.7727393750000003E-8</v>
      </c>
      <c r="CO46" s="49">
        <f>IFERROR(s_RadSpec!$E$10*(CO10/$B46),".")</f>
        <v>9.9170637499999984E-9</v>
      </c>
      <c r="CP46" s="49">
        <f>IFERROR(s_RadSpec!$E$10*(CP10/$B46),".")</f>
        <v>9.9170637499999984E-9</v>
      </c>
      <c r="CQ46" s="49">
        <f>IFERROR(s_RadSpec!$E$10*(CQ10/$B46),".")</f>
        <v>2.7490306250000002E-8</v>
      </c>
      <c r="CR46" s="49">
        <f>IFERROR(s_RadSpec!$E$10*(CR10/$B46),".")</f>
        <v>3.5711706250000009E-8</v>
      </c>
      <c r="CS46" s="49">
        <f>IFERROR(s_RadSpec!$E$10*(CS10/$B46),".")</f>
        <v>1.7727393750000003E-8</v>
      </c>
      <c r="CT46" s="49">
        <f>IFERROR(s_RadSpec!$E$10*(CT10/$B46),".")</f>
        <v>2.7490306250000002E-8</v>
      </c>
      <c r="CU46" s="49">
        <f>IFERROR(s_RadSpec!$E$10*(CU10/$B46),".")</f>
        <v>8.4269349999999991E-9</v>
      </c>
      <c r="CV46" s="49">
        <f>IFERROR(s_RadSpec!$E$10*(CV10/$B46),".")</f>
        <v>1.7727393750000003E-8</v>
      </c>
      <c r="CW46" s="49">
        <f>IFERROR(s_RadSpec!$E$10*(CW10/$B46),".")</f>
        <v>7.3119076249999995E-9</v>
      </c>
      <c r="CX46" s="49">
        <f>IFERROR(s_RadSpec!$E$10*(CX10/$B46),".")</f>
        <v>2.1838093750000006E-8</v>
      </c>
    </row>
    <row r="47" spans="1:102" x14ac:dyDescent="0.25">
      <c r="A47" s="83" t="s">
        <v>1075</v>
      </c>
      <c r="B47" s="85">
        <v>0.94399</v>
      </c>
      <c r="C47" s="60" t="str">
        <f t="shared" si="10"/>
        <v>.</v>
      </c>
      <c r="D47" s="60">
        <f t="shared" ref="D47:AA47" si="45">IFERROR(D6/$B$47,0)</f>
        <v>0</v>
      </c>
      <c r="E47" s="60">
        <f t="shared" si="45"/>
        <v>0</v>
      </c>
      <c r="F47" s="60">
        <f t="shared" si="45"/>
        <v>0</v>
      </c>
      <c r="G47" s="60">
        <f t="shared" si="45"/>
        <v>0</v>
      </c>
      <c r="H47" s="60">
        <f t="shared" si="45"/>
        <v>0</v>
      </c>
      <c r="I47" s="60">
        <f t="shared" si="45"/>
        <v>0</v>
      </c>
      <c r="J47" s="60">
        <f t="shared" si="45"/>
        <v>0</v>
      </c>
      <c r="K47" s="60">
        <f t="shared" si="45"/>
        <v>0</v>
      </c>
      <c r="L47" s="60">
        <f t="shared" si="45"/>
        <v>0</v>
      </c>
      <c r="M47" s="60">
        <f t="shared" si="45"/>
        <v>0</v>
      </c>
      <c r="N47" s="60">
        <f t="shared" si="45"/>
        <v>0</v>
      </c>
      <c r="O47" s="60">
        <f t="shared" si="45"/>
        <v>0</v>
      </c>
      <c r="P47" s="60">
        <f t="shared" si="45"/>
        <v>0</v>
      </c>
      <c r="Q47" s="60">
        <f t="shared" si="45"/>
        <v>0</v>
      </c>
      <c r="R47" s="60">
        <f t="shared" si="45"/>
        <v>0</v>
      </c>
      <c r="S47" s="60">
        <f t="shared" si="45"/>
        <v>0</v>
      </c>
      <c r="T47" s="60">
        <f t="shared" si="45"/>
        <v>0</v>
      </c>
      <c r="U47" s="60">
        <f t="shared" si="45"/>
        <v>0</v>
      </c>
      <c r="V47" s="60">
        <f t="shared" si="45"/>
        <v>0</v>
      </c>
      <c r="W47" s="60">
        <f t="shared" si="45"/>
        <v>0</v>
      </c>
      <c r="X47" s="60">
        <f t="shared" si="45"/>
        <v>0</v>
      </c>
      <c r="Y47" s="60">
        <f t="shared" si="45"/>
        <v>0</v>
      </c>
      <c r="Z47" s="60">
        <f t="shared" si="45"/>
        <v>0</v>
      </c>
      <c r="AA47" s="60">
        <f t="shared" si="45"/>
        <v>0</v>
      </c>
      <c r="AB47" s="49">
        <f t="shared" si="12"/>
        <v>0</v>
      </c>
      <c r="AC47" s="49">
        <f>IFERROR(s_RadSpec!$E$6*(AC6/$B47),".")</f>
        <v>0</v>
      </c>
      <c r="AD47" s="49">
        <f>IFERROR(s_RadSpec!$E$6*(AD6/$B47),".")</f>
        <v>0</v>
      </c>
      <c r="AE47" s="49">
        <f>IFERROR(s_RadSpec!$E$6*(AE6/$B47),".")</f>
        <v>0</v>
      </c>
      <c r="AF47" s="49">
        <f>IFERROR(s_RadSpec!$E$6*(AF6/$B47),".")</f>
        <v>0</v>
      </c>
      <c r="AG47" s="49">
        <f>IFERROR(s_RadSpec!$E$6*(AG6/$B47),".")</f>
        <v>0</v>
      </c>
      <c r="AH47" s="49">
        <f>IFERROR(s_RadSpec!$E$6*(AH6/$B47),".")</f>
        <v>0</v>
      </c>
      <c r="AI47" s="49">
        <f>IFERROR(s_RadSpec!$E$6*(AI6/$B47),".")</f>
        <v>0</v>
      </c>
      <c r="AJ47" s="49">
        <f>IFERROR(s_RadSpec!$E$6*(AJ6/$B47),".")</f>
        <v>0</v>
      </c>
      <c r="AK47" s="49">
        <f>IFERROR(s_RadSpec!$E$6*(AK6/$B47),".")</f>
        <v>0</v>
      </c>
      <c r="AL47" s="49">
        <f>IFERROR(s_RadSpec!$E$6*(AL6/$B47),".")</f>
        <v>0</v>
      </c>
      <c r="AM47" s="49">
        <f>IFERROR(s_RadSpec!$E$6*(AM6/$B47),".")</f>
        <v>0</v>
      </c>
      <c r="AN47" s="49">
        <f>IFERROR(s_RadSpec!$E$6*(AN6/$B47),".")</f>
        <v>0</v>
      </c>
      <c r="AO47" s="49">
        <f>IFERROR(s_RadSpec!$E$6*(AO6/$B47),".")</f>
        <v>0</v>
      </c>
      <c r="AP47" s="49">
        <f>IFERROR(s_RadSpec!$E$6*(AP6/$B47),".")</f>
        <v>0</v>
      </c>
      <c r="AQ47" s="49">
        <f>IFERROR(s_RadSpec!$E$6*(AQ6/$B47),".")</f>
        <v>0</v>
      </c>
      <c r="AR47" s="49">
        <f>IFERROR(s_RadSpec!$E$6*(AR6/$B47),".")</f>
        <v>0</v>
      </c>
      <c r="AS47" s="49">
        <f>IFERROR(s_RadSpec!$E$6*(AS6/$B47),".")</f>
        <v>0</v>
      </c>
      <c r="AT47" s="49">
        <f>IFERROR(s_RadSpec!$E$6*(AT6/$B47),".")</f>
        <v>0</v>
      </c>
      <c r="AU47" s="49">
        <f>IFERROR(s_RadSpec!$E$6*(AU6/$B47),".")</f>
        <v>0</v>
      </c>
      <c r="AV47" s="49">
        <f>IFERROR(s_RadSpec!$E$6*(AV6/$B47),".")</f>
        <v>0</v>
      </c>
      <c r="AW47" s="49">
        <f>IFERROR(s_RadSpec!$E$6*(AW6/$B47),".")</f>
        <v>0</v>
      </c>
      <c r="AX47" s="49">
        <f>IFERROR(s_RadSpec!$E$6*(AX6/$B47),".")</f>
        <v>0</v>
      </c>
      <c r="AY47" s="49">
        <f>IFERROR(s_RadSpec!$E$6*(AY6/$B47),".")</f>
        <v>0</v>
      </c>
      <c r="AZ47" s="49">
        <f>IFERROR(s_RadSpec!$E$6*(AZ6/$B47),".")</f>
        <v>0</v>
      </c>
      <c r="BA47" s="60" t="str">
        <f t="shared" si="13"/>
        <v>.</v>
      </c>
      <c r="BB47" s="60">
        <f t="shared" ref="BB47:BY47" si="46">IFERROR($B47/BB6,0)</f>
        <v>0</v>
      </c>
      <c r="BC47" s="60">
        <f t="shared" si="46"/>
        <v>0</v>
      </c>
      <c r="BD47" s="60">
        <f t="shared" si="46"/>
        <v>0</v>
      </c>
      <c r="BE47" s="60">
        <f t="shared" si="46"/>
        <v>0</v>
      </c>
      <c r="BF47" s="60">
        <f t="shared" si="46"/>
        <v>0</v>
      </c>
      <c r="BG47" s="60">
        <f t="shared" si="46"/>
        <v>0</v>
      </c>
      <c r="BH47" s="60">
        <f t="shared" si="46"/>
        <v>0</v>
      </c>
      <c r="BI47" s="60">
        <f t="shared" si="46"/>
        <v>0</v>
      </c>
      <c r="BJ47" s="60">
        <f t="shared" si="46"/>
        <v>0</v>
      </c>
      <c r="BK47" s="60">
        <f t="shared" si="46"/>
        <v>0</v>
      </c>
      <c r="BL47" s="60">
        <f t="shared" si="46"/>
        <v>0</v>
      </c>
      <c r="BM47" s="60">
        <f t="shared" si="46"/>
        <v>0</v>
      </c>
      <c r="BN47" s="60">
        <f t="shared" si="46"/>
        <v>0</v>
      </c>
      <c r="BO47" s="60">
        <f t="shared" si="46"/>
        <v>0</v>
      </c>
      <c r="BP47" s="60">
        <f t="shared" si="46"/>
        <v>0</v>
      </c>
      <c r="BQ47" s="60">
        <f t="shared" si="46"/>
        <v>0</v>
      </c>
      <c r="BR47" s="60">
        <f t="shared" si="46"/>
        <v>0</v>
      </c>
      <c r="BS47" s="60">
        <f t="shared" si="46"/>
        <v>0</v>
      </c>
      <c r="BT47" s="60">
        <f t="shared" si="46"/>
        <v>0</v>
      </c>
      <c r="BU47" s="60">
        <f t="shared" si="46"/>
        <v>0</v>
      </c>
      <c r="BV47" s="60">
        <f t="shared" si="46"/>
        <v>0</v>
      </c>
      <c r="BW47" s="60">
        <f t="shared" si="46"/>
        <v>0</v>
      </c>
      <c r="BX47" s="60">
        <f t="shared" si="46"/>
        <v>0</v>
      </c>
      <c r="BY47" s="60">
        <f t="shared" si="46"/>
        <v>0</v>
      </c>
      <c r="BZ47" s="49">
        <f t="shared" si="5"/>
        <v>0</v>
      </c>
      <c r="CA47" s="49">
        <f>IFERROR(s_RadSpec!$E$6*(CA6/$B47),".")</f>
        <v>0</v>
      </c>
      <c r="CB47" s="49">
        <f>IFERROR(s_RadSpec!$E$6*(CB6/$B47),".")</f>
        <v>0</v>
      </c>
      <c r="CC47" s="49">
        <f>IFERROR(s_RadSpec!$E$6*(CC6/$B47),".")</f>
        <v>0</v>
      </c>
      <c r="CD47" s="49">
        <f>IFERROR(s_RadSpec!$E$6*(CD6/$B47),".")</f>
        <v>0</v>
      </c>
      <c r="CE47" s="49">
        <f>IFERROR(s_RadSpec!$E$6*(CE6/$B47),".")</f>
        <v>0</v>
      </c>
      <c r="CF47" s="49">
        <f>IFERROR(s_RadSpec!$E$6*(CF6/$B47),".")</f>
        <v>0</v>
      </c>
      <c r="CG47" s="49">
        <f>IFERROR(s_RadSpec!$E$6*(CG6/$B47),".")</f>
        <v>0</v>
      </c>
      <c r="CH47" s="49">
        <f>IFERROR(s_RadSpec!$E$6*(CH6/$B47),".")</f>
        <v>0</v>
      </c>
      <c r="CI47" s="49">
        <f>IFERROR(s_RadSpec!$E$6*(CI6/$B47),".")</f>
        <v>0</v>
      </c>
      <c r="CJ47" s="49">
        <f>IFERROR(s_RadSpec!$E$6*(CJ6/$B47),".")</f>
        <v>0</v>
      </c>
      <c r="CK47" s="49">
        <f>IFERROR(s_RadSpec!$E$6*(CK6/$B47),".")</f>
        <v>0</v>
      </c>
      <c r="CL47" s="49">
        <f>IFERROR(s_RadSpec!$E$6*(CL6/$B47),".")</f>
        <v>0</v>
      </c>
      <c r="CM47" s="49">
        <f>IFERROR(s_RadSpec!$E$6*(CM6/$B47),".")</f>
        <v>0</v>
      </c>
      <c r="CN47" s="49">
        <f>IFERROR(s_RadSpec!$E$6*(CN6/$B47),".")</f>
        <v>0</v>
      </c>
      <c r="CO47" s="49">
        <f>IFERROR(s_RadSpec!$E$6*(CO6/$B47),".")</f>
        <v>0</v>
      </c>
      <c r="CP47" s="49">
        <f>IFERROR(s_RadSpec!$E$6*(CP6/$B47),".")</f>
        <v>0</v>
      </c>
      <c r="CQ47" s="49">
        <f>IFERROR(s_RadSpec!$E$6*(CQ6/$B47),".")</f>
        <v>0</v>
      </c>
      <c r="CR47" s="49">
        <f>IFERROR(s_RadSpec!$E$6*(CR6/$B47),".")</f>
        <v>0</v>
      </c>
      <c r="CS47" s="49">
        <f>IFERROR(s_RadSpec!$E$6*(CS6/$B47),".")</f>
        <v>0</v>
      </c>
      <c r="CT47" s="49">
        <f>IFERROR(s_RadSpec!$E$6*(CT6/$B47),".")</f>
        <v>0</v>
      </c>
      <c r="CU47" s="49">
        <f>IFERROR(s_RadSpec!$E$6*(CU6/$B47),".")</f>
        <v>0</v>
      </c>
      <c r="CV47" s="49">
        <f>IFERROR(s_RadSpec!$E$6*(CV6/$B47),".")</f>
        <v>0</v>
      </c>
      <c r="CW47" s="49">
        <f>IFERROR(s_RadSpec!$E$6*(CW6/$B47),".")</f>
        <v>0</v>
      </c>
      <c r="CX47" s="49">
        <f>IFERROR(s_RadSpec!$E$6*(CX6/$B47),".")</f>
        <v>0</v>
      </c>
    </row>
    <row r="48" spans="1:102" x14ac:dyDescent="0.25">
      <c r="A48" s="82" t="s">
        <v>33</v>
      </c>
      <c r="B48" s="82" t="s">
        <v>1074</v>
      </c>
      <c r="C48" s="58">
        <f t="shared" si="10"/>
        <v>0.81465814313918927</v>
      </c>
      <c r="D48" s="58">
        <f t="shared" ref="D48:AA48" si="47">1/SUM(1/D49,1/D52,1/D54,1/D58,1/D59,1/D61)</f>
        <v>5.0416763343351265</v>
      </c>
      <c r="E48" s="58">
        <f t="shared" si="47"/>
        <v>1.7120028469661053</v>
      </c>
      <c r="F48" s="58">
        <f t="shared" si="47"/>
        <v>2.9931878601152304</v>
      </c>
      <c r="G48" s="58">
        <f t="shared" si="47"/>
        <v>5.0416763343351265</v>
      </c>
      <c r="H48" s="58">
        <f t="shared" si="47"/>
        <v>4.4556942726458146</v>
      </c>
      <c r="I48" s="58">
        <f t="shared" si="47"/>
        <v>1.7120028469661053</v>
      </c>
      <c r="J48" s="58">
        <f t="shared" si="47"/>
        <v>2.9931878601152304</v>
      </c>
      <c r="K48" s="58">
        <f t="shared" si="47"/>
        <v>5.0416763343351265</v>
      </c>
      <c r="L48" s="58">
        <f t="shared" si="47"/>
        <v>6.2750896634147697</v>
      </c>
      <c r="M48" s="58">
        <f t="shared" si="47"/>
        <v>4.4556942726458146</v>
      </c>
      <c r="N48" s="58">
        <f t="shared" si="47"/>
        <v>1.7120028469661053</v>
      </c>
      <c r="O48" s="58">
        <f t="shared" si="47"/>
        <v>5.2847427630980075</v>
      </c>
      <c r="P48" s="58">
        <f t="shared" si="47"/>
        <v>4.4556942726458146</v>
      </c>
      <c r="Q48" s="58">
        <f t="shared" si="47"/>
        <v>4.4556942726458146</v>
      </c>
      <c r="R48" s="58">
        <f t="shared" si="47"/>
        <v>5.0416763343351265</v>
      </c>
      <c r="S48" s="58">
        <f t="shared" si="47"/>
        <v>5.0416763343351265</v>
      </c>
      <c r="T48" s="58">
        <f t="shared" si="47"/>
        <v>5.2847427630980075</v>
      </c>
      <c r="U48" s="58">
        <f t="shared" si="47"/>
        <v>5.3265682507285668</v>
      </c>
      <c r="V48" s="58">
        <f t="shared" si="47"/>
        <v>4.4556942726458146</v>
      </c>
      <c r="W48" s="58">
        <f t="shared" si="47"/>
        <v>5.2847427630980075</v>
      </c>
      <c r="X48" s="58">
        <f t="shared" si="47"/>
        <v>5.0416763343351265</v>
      </c>
      <c r="Y48" s="58">
        <f t="shared" si="47"/>
        <v>4.4556942726458146</v>
      </c>
      <c r="Z48" s="58">
        <f t="shared" si="47"/>
        <v>4.2859775996298692</v>
      </c>
      <c r="AA48" s="58">
        <f t="shared" si="47"/>
        <v>4.7229550518686132</v>
      </c>
      <c r="AB48" s="47">
        <f>IFERROR(IF(SUM(AC49:AD62,AY49:AZ62)&gt;0.01,1-EXP(-SUM(AC49:AD62,AY49:AZ62)),SUM(AC49:AD62,AY49:AZ62)),".")</f>
        <v>4.2346372170589966E-6</v>
      </c>
      <c r="AC48" s="47">
        <f t="shared" ref="AC48:AY48" si="48">IFERROR(IF(SUM(AC49:AC62)&gt;0.01,1-EXP(-(SUM(AC49:AC62))),SUM(AC49:AC62)),".")</f>
        <v>1.0586593042647487E-6</v>
      </c>
      <c r="AD48" s="47">
        <f t="shared" si="48"/>
        <v>1.0586593042647487E-6</v>
      </c>
      <c r="AE48" s="47">
        <f t="shared" si="48"/>
        <v>1.0586593042647487E-6</v>
      </c>
      <c r="AF48" s="47">
        <f t="shared" si="48"/>
        <v>1.0586593042647487E-6</v>
      </c>
      <c r="AG48" s="47">
        <f t="shared" si="48"/>
        <v>1.0586593042647487E-6</v>
      </c>
      <c r="AH48" s="47">
        <f t="shared" si="48"/>
        <v>1.0586593042647487E-6</v>
      </c>
      <c r="AI48" s="47">
        <f t="shared" si="48"/>
        <v>1.0586593042647487E-6</v>
      </c>
      <c r="AJ48" s="47">
        <f t="shared" si="48"/>
        <v>1.0586593042647487E-6</v>
      </c>
      <c r="AK48" s="47">
        <f t="shared" si="48"/>
        <v>1.0586593042647487E-6</v>
      </c>
      <c r="AL48" s="47">
        <f t="shared" si="48"/>
        <v>1.0586593042647487E-6</v>
      </c>
      <c r="AM48" s="47">
        <f t="shared" si="48"/>
        <v>1.0586593042647487E-6</v>
      </c>
      <c r="AN48" s="47">
        <f t="shared" si="48"/>
        <v>1.0586593042647487E-6</v>
      </c>
      <c r="AO48" s="47">
        <f t="shared" si="48"/>
        <v>1.0586593042647487E-6</v>
      </c>
      <c r="AP48" s="47">
        <f t="shared" si="48"/>
        <v>1.0586593042647487E-6</v>
      </c>
      <c r="AQ48" s="47">
        <f t="shared" si="48"/>
        <v>1.0586593042647487E-6</v>
      </c>
      <c r="AR48" s="47">
        <f t="shared" si="48"/>
        <v>1.0586593042647487E-6</v>
      </c>
      <c r="AS48" s="47">
        <f t="shared" si="48"/>
        <v>1.0586593042647487E-6</v>
      </c>
      <c r="AT48" s="47">
        <f t="shared" si="48"/>
        <v>1.0586593042647487E-6</v>
      </c>
      <c r="AU48" s="47">
        <f t="shared" si="48"/>
        <v>1.0586593042647487E-6</v>
      </c>
      <c r="AV48" s="47">
        <f t="shared" si="48"/>
        <v>1.0586593042647487E-6</v>
      </c>
      <c r="AW48" s="47">
        <f t="shared" si="48"/>
        <v>1.0586593042647487E-6</v>
      </c>
      <c r="AX48" s="47">
        <f t="shared" si="48"/>
        <v>1.0586593042647487E-6</v>
      </c>
      <c r="AY48" s="47">
        <f t="shared" si="48"/>
        <v>1.0586593042647487E-6</v>
      </c>
      <c r="AZ48" s="47">
        <f>IFERROR(IF(SUM(AZ49:AZ62)&gt;0.01,1-EXP(-(SUM(AZ49:AZ62))),SUM(AZ49:AZ62)),".")</f>
        <v>1.0586593042647487E-6</v>
      </c>
      <c r="BA48" s="58">
        <f t="shared" si="13"/>
        <v>0.81465814313918927</v>
      </c>
      <c r="BB48" s="58">
        <f t="shared" ref="BB48:BY48" si="49">IFERROR(1/SUM(BB49:BB62),0)</f>
        <v>5.0416763343351265</v>
      </c>
      <c r="BC48" s="58">
        <f t="shared" si="49"/>
        <v>1.7120028469661053</v>
      </c>
      <c r="BD48" s="58">
        <f t="shared" si="49"/>
        <v>2.9931878601152304</v>
      </c>
      <c r="BE48" s="58">
        <f t="shared" si="49"/>
        <v>5.0416763343351265</v>
      </c>
      <c r="BF48" s="58">
        <f t="shared" si="49"/>
        <v>4.4556942726458146</v>
      </c>
      <c r="BG48" s="58">
        <f t="shared" si="49"/>
        <v>1.7120028469661053</v>
      </c>
      <c r="BH48" s="58">
        <f t="shared" si="49"/>
        <v>2.9931878601152304</v>
      </c>
      <c r="BI48" s="58">
        <f t="shared" si="49"/>
        <v>5.0416763343351265</v>
      </c>
      <c r="BJ48" s="58">
        <f t="shared" si="49"/>
        <v>6.2750896634147697</v>
      </c>
      <c r="BK48" s="58">
        <f t="shared" si="49"/>
        <v>4.4556942726458146</v>
      </c>
      <c r="BL48" s="58">
        <f t="shared" si="49"/>
        <v>1.7120028469661053</v>
      </c>
      <c r="BM48" s="58">
        <f t="shared" si="49"/>
        <v>5.2847427630980075</v>
      </c>
      <c r="BN48" s="58">
        <f t="shared" si="49"/>
        <v>4.4556942726458146</v>
      </c>
      <c r="BO48" s="58">
        <f t="shared" si="49"/>
        <v>4.4556942726458146</v>
      </c>
      <c r="BP48" s="58">
        <f t="shared" si="49"/>
        <v>5.0416763343351265</v>
      </c>
      <c r="BQ48" s="58">
        <f t="shared" si="49"/>
        <v>5.0416763343351265</v>
      </c>
      <c r="BR48" s="58">
        <f t="shared" si="49"/>
        <v>5.2847427630980075</v>
      </c>
      <c r="BS48" s="58">
        <f t="shared" si="49"/>
        <v>5.3265682507285668</v>
      </c>
      <c r="BT48" s="58">
        <f t="shared" si="49"/>
        <v>4.4556942726458146</v>
      </c>
      <c r="BU48" s="58">
        <f t="shared" si="49"/>
        <v>5.2847427630980075</v>
      </c>
      <c r="BV48" s="58">
        <f t="shared" si="49"/>
        <v>5.0416763343351265</v>
      </c>
      <c r="BW48" s="58">
        <f t="shared" si="49"/>
        <v>4.4556942726458146</v>
      </c>
      <c r="BX48" s="58">
        <f t="shared" si="49"/>
        <v>4.2859775996298692</v>
      </c>
      <c r="BY48" s="58">
        <f t="shared" si="49"/>
        <v>4.7229550518686132</v>
      </c>
      <c r="BZ48" s="47">
        <f>IFERROR(IF(SUM(CA49:CB62,CW49:CX62)&gt;0.01,1-EXP(-SUM(CA49:CB62,CW49:CX62)),SUM(CA49:CB62,CW49:CX62)),".")</f>
        <v>6.1375441710537946E-6</v>
      </c>
      <c r="CA48" s="47">
        <f t="shared" ref="CA48:CV48" si="50">IFERROR(IF(SUM(CA49:CA62)&gt;0.01,1-EXP(-(SUM(CA49:CA62))),SUM(CA49:CA62)),".")</f>
        <v>9.9173369830655713E-7</v>
      </c>
      <c r="CB48" s="47">
        <f t="shared" si="50"/>
        <v>2.9205561403799715E-6</v>
      </c>
      <c r="CC48" s="47">
        <f t="shared" si="50"/>
        <v>1.6704598780975154E-6</v>
      </c>
      <c r="CD48" s="47">
        <f t="shared" si="50"/>
        <v>9.9173369830655713E-7</v>
      </c>
      <c r="CE48" s="47">
        <f t="shared" si="50"/>
        <v>1.1221596530975154E-6</v>
      </c>
      <c r="CF48" s="47">
        <f t="shared" si="50"/>
        <v>2.9205561403799715E-6</v>
      </c>
      <c r="CG48" s="47">
        <f t="shared" si="50"/>
        <v>1.6704598780975154E-6</v>
      </c>
      <c r="CH48" s="47">
        <f t="shared" si="50"/>
        <v>9.9173369830655713E-7</v>
      </c>
      <c r="CI48" s="47">
        <f t="shared" si="50"/>
        <v>7.9680140287447072E-7</v>
      </c>
      <c r="CJ48" s="47">
        <f t="shared" si="50"/>
        <v>1.1221596530975154E-6</v>
      </c>
      <c r="CK48" s="47">
        <f t="shared" si="50"/>
        <v>2.9205561403799715E-6</v>
      </c>
      <c r="CL48" s="47">
        <f t="shared" si="50"/>
        <v>9.4611989455305649E-7</v>
      </c>
      <c r="CM48" s="47">
        <f t="shared" si="50"/>
        <v>1.1221596530975154E-6</v>
      </c>
      <c r="CN48" s="47">
        <f t="shared" si="50"/>
        <v>1.1221596530975154E-6</v>
      </c>
      <c r="CO48" s="47">
        <f t="shared" si="50"/>
        <v>9.9173369830655713E-7</v>
      </c>
      <c r="CP48" s="47">
        <f t="shared" si="50"/>
        <v>9.9173369830655713E-7</v>
      </c>
      <c r="CQ48" s="47">
        <f t="shared" si="50"/>
        <v>9.4611989455305649E-7</v>
      </c>
      <c r="CR48" s="47">
        <f t="shared" si="50"/>
        <v>9.3869072516192806E-7</v>
      </c>
      <c r="CS48" s="47">
        <f t="shared" si="50"/>
        <v>1.1221596530975154E-6</v>
      </c>
      <c r="CT48" s="47">
        <f t="shared" si="50"/>
        <v>9.4611989455305649E-7</v>
      </c>
      <c r="CU48" s="47">
        <f t="shared" si="50"/>
        <v>9.9173369830655713E-7</v>
      </c>
      <c r="CV48" s="47">
        <f t="shared" si="50"/>
        <v>1.1221596530975154E-6</v>
      </c>
      <c r="CW48" s="47">
        <f>IFERROR(IF(SUM(CW49:CW62)&gt;0.01,1-EXP(-(SUM(CW49:CW62))),SUM(CW49:CW62)),".")</f>
        <v>1.1665950281025163E-6</v>
      </c>
      <c r="CX48" s="47">
        <f>IFERROR(IF(SUM(CX49:CX62)&gt;0.01,1-EXP(-(SUM(CX49:CX62))),SUM(CX49:CX62)),".")</f>
        <v>1.0586593042647487E-6</v>
      </c>
    </row>
    <row r="49" spans="1:102" x14ac:dyDescent="0.25">
      <c r="A49" s="83" t="s">
        <v>1103</v>
      </c>
      <c r="B49" s="42">
        <v>1</v>
      </c>
      <c r="C49" s="60">
        <f t="shared" si="10"/>
        <v>4.0900738518152195</v>
      </c>
      <c r="D49" s="60">
        <f t="shared" ref="D49:AA49" si="51">IFERROR(D23/$B49,0)</f>
        <v>30.087279436736043</v>
      </c>
      <c r="E49" s="60">
        <f t="shared" si="51"/>
        <v>6.7660389163951864</v>
      </c>
      <c r="F49" s="60">
        <f t="shared" si="51"/>
        <v>8.4676774462670288</v>
      </c>
      <c r="G49" s="60">
        <f t="shared" si="51"/>
        <v>30.087279436736043</v>
      </c>
      <c r="H49" s="60">
        <f t="shared" si="51"/>
        <v>23.182002188960556</v>
      </c>
      <c r="I49" s="60">
        <f t="shared" si="51"/>
        <v>6.7660389163951864</v>
      </c>
      <c r="J49" s="60">
        <f t="shared" si="51"/>
        <v>8.4676774462670288</v>
      </c>
      <c r="K49" s="60">
        <f t="shared" si="51"/>
        <v>30.087279436736043</v>
      </c>
      <c r="L49" s="60">
        <f t="shared" si="51"/>
        <v>44.46862055115075</v>
      </c>
      <c r="M49" s="60">
        <f t="shared" si="51"/>
        <v>23.182002188960556</v>
      </c>
      <c r="N49" s="60">
        <f t="shared" si="51"/>
        <v>6.7660389163951864</v>
      </c>
      <c r="O49" s="60">
        <f t="shared" si="51"/>
        <v>25.71094788230171</v>
      </c>
      <c r="P49" s="60">
        <f t="shared" si="51"/>
        <v>23.182002188960556</v>
      </c>
      <c r="Q49" s="60">
        <f t="shared" si="51"/>
        <v>23.182002188960556</v>
      </c>
      <c r="R49" s="60">
        <f t="shared" si="51"/>
        <v>30.087279436736043</v>
      </c>
      <c r="S49" s="60">
        <f t="shared" si="51"/>
        <v>30.087279436736043</v>
      </c>
      <c r="T49" s="60">
        <f t="shared" si="51"/>
        <v>25.71094788230171</v>
      </c>
      <c r="U49" s="60">
        <f t="shared" si="51"/>
        <v>28.859227214828447</v>
      </c>
      <c r="V49" s="60">
        <f t="shared" si="51"/>
        <v>23.182002188960556</v>
      </c>
      <c r="W49" s="60">
        <f t="shared" si="51"/>
        <v>25.71094788230171</v>
      </c>
      <c r="X49" s="60">
        <f t="shared" si="51"/>
        <v>30.087279436736043</v>
      </c>
      <c r="Y49" s="60">
        <f t="shared" si="51"/>
        <v>23.182002188960556</v>
      </c>
      <c r="Z49" s="60">
        <f t="shared" si="51"/>
        <v>49.203275348872445</v>
      </c>
      <c r="AA49" s="60">
        <f t="shared" si="51"/>
        <v>23.182002188960556</v>
      </c>
      <c r="AB49" s="49">
        <f t="shared" si="12"/>
        <v>8.6273824999999996E-7</v>
      </c>
      <c r="AC49" s="49">
        <f>IFERROR(s_RadSpec!$E$23*($AZ$23/$B49),".")</f>
        <v>2.1568456249999999E-7</v>
      </c>
      <c r="AD49" s="49">
        <f>IFERROR(s_RadSpec!$E$23*($AZ$23/$B49),".")</f>
        <v>2.1568456249999999E-7</v>
      </c>
      <c r="AE49" s="49">
        <f>IFERROR(s_RadSpec!$E$23*($AZ$23/$B49),".")</f>
        <v>2.1568456249999999E-7</v>
      </c>
      <c r="AF49" s="49">
        <f>IFERROR(s_RadSpec!$E$23*($AZ$23/$B49),".")</f>
        <v>2.1568456249999999E-7</v>
      </c>
      <c r="AG49" s="49">
        <f>IFERROR(s_RadSpec!$E$23*($AZ$23/$B49),".")</f>
        <v>2.1568456249999999E-7</v>
      </c>
      <c r="AH49" s="49">
        <f>IFERROR(s_RadSpec!$E$23*($AZ$23/$B49),".")</f>
        <v>2.1568456249999999E-7</v>
      </c>
      <c r="AI49" s="49">
        <f>IFERROR(s_RadSpec!$E$23*($AZ$23/$B49),".")</f>
        <v>2.1568456249999999E-7</v>
      </c>
      <c r="AJ49" s="49">
        <f>IFERROR(s_RadSpec!$E$23*($AZ$23/$B49),".")</f>
        <v>2.1568456249999999E-7</v>
      </c>
      <c r="AK49" s="49">
        <f>IFERROR(s_RadSpec!$E$23*($AZ$23/$B49),".")</f>
        <v>2.1568456249999999E-7</v>
      </c>
      <c r="AL49" s="49">
        <f>IFERROR(s_RadSpec!$E$23*($AZ$23/$B49),".")</f>
        <v>2.1568456249999999E-7</v>
      </c>
      <c r="AM49" s="49">
        <f>IFERROR(s_RadSpec!$E$23*($AZ$23/$B49),".")</f>
        <v>2.1568456249999999E-7</v>
      </c>
      <c r="AN49" s="49">
        <f>IFERROR(s_RadSpec!$E$23*($AZ$23/$B49),".")</f>
        <v>2.1568456249999999E-7</v>
      </c>
      <c r="AO49" s="49">
        <f>IFERROR(s_RadSpec!$E$23*($AZ$23/$B49),".")</f>
        <v>2.1568456249999999E-7</v>
      </c>
      <c r="AP49" s="49">
        <f>IFERROR(s_RadSpec!$E$23*($AZ$23/$B49),".")</f>
        <v>2.1568456249999999E-7</v>
      </c>
      <c r="AQ49" s="49">
        <f>IFERROR(s_RadSpec!$E$23*($AZ$23/$B49),".")</f>
        <v>2.1568456249999999E-7</v>
      </c>
      <c r="AR49" s="49">
        <f>IFERROR(s_RadSpec!$E$23*($AZ$23/$B49),".")</f>
        <v>2.1568456249999999E-7</v>
      </c>
      <c r="AS49" s="49">
        <f>IFERROR(s_RadSpec!$E$23*($AZ$23/$B49),".")</f>
        <v>2.1568456249999999E-7</v>
      </c>
      <c r="AT49" s="49">
        <f>IFERROR(s_RadSpec!$E$23*($AZ$23/$B49),".")</f>
        <v>2.1568456249999999E-7</v>
      </c>
      <c r="AU49" s="49">
        <f>IFERROR(s_RadSpec!$E$23*($AZ$23/$B49),".")</f>
        <v>2.1568456249999999E-7</v>
      </c>
      <c r="AV49" s="49">
        <f>IFERROR(s_RadSpec!$E$23*($AZ$23/$B49),".")</f>
        <v>2.1568456249999999E-7</v>
      </c>
      <c r="AW49" s="49">
        <f>IFERROR(s_RadSpec!$E$23*($AZ$23/$B49),".")</f>
        <v>2.1568456249999999E-7</v>
      </c>
      <c r="AX49" s="49">
        <f>IFERROR(s_RadSpec!$E$23*($AZ$23/$B49),".")</f>
        <v>2.1568456249999999E-7</v>
      </c>
      <c r="AY49" s="49">
        <f>IFERROR(s_RadSpec!$E$23*($AZ$23/$B49),".")</f>
        <v>2.1568456249999999E-7</v>
      </c>
      <c r="AZ49" s="49">
        <f>IFERROR(s_RadSpec!$E$23*($AZ$23/$B49),".")</f>
        <v>2.1568456249999999E-7</v>
      </c>
      <c r="BA49" s="60">
        <f t="shared" si="13"/>
        <v>9.1542736506622924E-3</v>
      </c>
      <c r="BB49" s="60">
        <f t="shared" ref="BB49:BY49" si="52">IFERROR($B49/BB23,0)</f>
        <v>3.3236637499999999E-2</v>
      </c>
      <c r="BC49" s="60">
        <f t="shared" si="52"/>
        <v>0.14779696249999999</v>
      </c>
      <c r="BD49" s="60">
        <f t="shared" si="52"/>
        <v>0.11809613750000002</v>
      </c>
      <c r="BE49" s="60">
        <f t="shared" si="52"/>
        <v>3.3236637499999999E-2</v>
      </c>
      <c r="BF49" s="60">
        <f t="shared" si="52"/>
        <v>4.3136912499999999E-2</v>
      </c>
      <c r="BG49" s="60">
        <f t="shared" si="52"/>
        <v>0.14779696249999999</v>
      </c>
      <c r="BH49" s="60">
        <f t="shared" si="52"/>
        <v>0.11809613750000002</v>
      </c>
      <c r="BI49" s="60">
        <f t="shared" si="52"/>
        <v>3.3236637499999999E-2</v>
      </c>
      <c r="BJ49" s="60">
        <f t="shared" si="52"/>
        <v>2.2487767500000002E-2</v>
      </c>
      <c r="BK49" s="60">
        <f t="shared" si="52"/>
        <v>4.3136912499999999E-2</v>
      </c>
      <c r="BL49" s="60">
        <f t="shared" si="52"/>
        <v>0.14779696249999999</v>
      </c>
      <c r="BM49" s="60">
        <f t="shared" si="52"/>
        <v>3.8893937499999996E-2</v>
      </c>
      <c r="BN49" s="60">
        <f t="shared" si="52"/>
        <v>4.3136912499999999E-2</v>
      </c>
      <c r="BO49" s="60">
        <f t="shared" si="52"/>
        <v>4.3136912499999999E-2</v>
      </c>
      <c r="BP49" s="60">
        <f t="shared" si="52"/>
        <v>3.3236637499999999E-2</v>
      </c>
      <c r="BQ49" s="60">
        <f t="shared" si="52"/>
        <v>3.3236637499999999E-2</v>
      </c>
      <c r="BR49" s="60">
        <f t="shared" si="52"/>
        <v>3.8893937499999996E-2</v>
      </c>
      <c r="BS49" s="60">
        <f t="shared" si="52"/>
        <v>3.46509625E-2</v>
      </c>
      <c r="BT49" s="60">
        <f t="shared" si="52"/>
        <v>4.3136912499999999E-2</v>
      </c>
      <c r="BU49" s="60">
        <f t="shared" si="52"/>
        <v>3.8893937499999996E-2</v>
      </c>
      <c r="BV49" s="60">
        <f t="shared" si="52"/>
        <v>3.3236637499999999E-2</v>
      </c>
      <c r="BW49" s="60">
        <f t="shared" si="52"/>
        <v>4.3136912499999999E-2</v>
      </c>
      <c r="BX49" s="60">
        <f t="shared" si="52"/>
        <v>2.0323850249999997E-2</v>
      </c>
      <c r="BY49" s="60">
        <f t="shared" si="52"/>
        <v>4.3136912499999999E-2</v>
      </c>
      <c r="BZ49" s="49">
        <f t="shared" si="5"/>
        <v>1.2224718137499999E-6</v>
      </c>
      <c r="CA49" s="49">
        <f>IFERROR(s_RadSpec!$E$23*(CA23/$B49),".")</f>
        <v>1.6618318749999999E-7</v>
      </c>
      <c r="CB49" s="49">
        <f>IFERROR(s_RadSpec!$E$23*(CB23/$B49),".")</f>
        <v>7.3898481249999995E-7</v>
      </c>
      <c r="CC49" s="49">
        <f>IFERROR(s_RadSpec!$E$23*(CC23/$B49),".")</f>
        <v>5.9048068749999998E-7</v>
      </c>
      <c r="CD49" s="49">
        <f>IFERROR(s_RadSpec!$E$23*(CD23/$B49),".")</f>
        <v>1.6618318749999999E-7</v>
      </c>
      <c r="CE49" s="49">
        <f>IFERROR(s_RadSpec!$E$23*(CE23/$B49),".")</f>
        <v>2.1568456249999999E-7</v>
      </c>
      <c r="CF49" s="49">
        <f>IFERROR(s_RadSpec!$E$23*(CF23/$B49),".")</f>
        <v>7.3898481249999995E-7</v>
      </c>
      <c r="CG49" s="49">
        <f>IFERROR(s_RadSpec!$E$23*(CG23/$B49),".")</f>
        <v>5.9048068749999998E-7</v>
      </c>
      <c r="CH49" s="49">
        <f>IFERROR(s_RadSpec!$E$23*(CH23/$B49),".")</f>
        <v>1.6618318749999999E-7</v>
      </c>
      <c r="CI49" s="49">
        <f>IFERROR(s_RadSpec!$E$23*(CI23/$B49),".")</f>
        <v>1.124388375E-7</v>
      </c>
      <c r="CJ49" s="49">
        <f>IFERROR(s_RadSpec!$E$23*(CJ23/$B49),".")</f>
        <v>2.1568456249999999E-7</v>
      </c>
      <c r="CK49" s="49">
        <f>IFERROR(s_RadSpec!$E$23*(CK23/$B49),".")</f>
        <v>7.3898481249999995E-7</v>
      </c>
      <c r="CL49" s="49">
        <f>IFERROR(s_RadSpec!$E$23*(CL23/$B49),".")</f>
        <v>1.9446968750000002E-7</v>
      </c>
      <c r="CM49" s="49">
        <f>IFERROR(s_RadSpec!$E$23*(CM23/$B49),".")</f>
        <v>2.1568456249999999E-7</v>
      </c>
      <c r="CN49" s="49">
        <f>IFERROR(s_RadSpec!$E$23*(CN23/$B49),".")</f>
        <v>2.1568456249999999E-7</v>
      </c>
      <c r="CO49" s="49">
        <f>IFERROR(s_RadSpec!$E$23*(CO23/$B49),".")</f>
        <v>1.6618318749999999E-7</v>
      </c>
      <c r="CP49" s="49">
        <f>IFERROR(s_RadSpec!$E$23*(CP23/$B49),".")</f>
        <v>1.6618318749999999E-7</v>
      </c>
      <c r="CQ49" s="49">
        <f>IFERROR(s_RadSpec!$E$23*(CQ23/$B49),".")</f>
        <v>1.9446968750000002E-7</v>
      </c>
      <c r="CR49" s="49">
        <f>IFERROR(s_RadSpec!$E$23*(CR23/$B49),".")</f>
        <v>1.7325481249999998E-7</v>
      </c>
      <c r="CS49" s="49">
        <f>IFERROR(s_RadSpec!$E$23*(CS23/$B49),".")</f>
        <v>2.1568456249999999E-7</v>
      </c>
      <c r="CT49" s="49">
        <f>IFERROR(s_RadSpec!$E$23*(CT23/$B49),".")</f>
        <v>1.9446968750000002E-7</v>
      </c>
      <c r="CU49" s="49">
        <f>IFERROR(s_RadSpec!$E$23*(CU23/$B49),".")</f>
        <v>1.6618318749999999E-7</v>
      </c>
      <c r="CV49" s="49">
        <f>IFERROR(s_RadSpec!$E$23*(CV23/$B49),".")</f>
        <v>2.1568456249999999E-7</v>
      </c>
      <c r="CW49" s="49">
        <f>IFERROR(s_RadSpec!$E$23*(CW23/$B49),".")</f>
        <v>1.0161925125E-7</v>
      </c>
      <c r="CX49" s="49">
        <f>IFERROR(s_RadSpec!$E$23*(CX23/$B49),".")</f>
        <v>2.1568456249999999E-7</v>
      </c>
    </row>
    <row r="50" spans="1:102" x14ac:dyDescent="0.25">
      <c r="A50" s="83" t="s">
        <v>1090</v>
      </c>
      <c r="B50" s="42">
        <v>1</v>
      </c>
      <c r="C50" s="60" t="str">
        <f t="shared" si="10"/>
        <v>.</v>
      </c>
      <c r="D50" s="60">
        <f t="shared" ref="D50:AA50" si="53">IFERROR(D25/$B50,0)</f>
        <v>0</v>
      </c>
      <c r="E50" s="60">
        <f t="shared" si="53"/>
        <v>0</v>
      </c>
      <c r="F50" s="60">
        <f t="shared" si="53"/>
        <v>0</v>
      </c>
      <c r="G50" s="60">
        <f t="shared" si="53"/>
        <v>0</v>
      </c>
      <c r="H50" s="60">
        <f t="shared" si="53"/>
        <v>0</v>
      </c>
      <c r="I50" s="60">
        <f t="shared" si="53"/>
        <v>0</v>
      </c>
      <c r="J50" s="60">
        <f t="shared" si="53"/>
        <v>0</v>
      </c>
      <c r="K50" s="60">
        <f t="shared" si="53"/>
        <v>0</v>
      </c>
      <c r="L50" s="60">
        <f t="shared" si="53"/>
        <v>0</v>
      </c>
      <c r="M50" s="60">
        <f t="shared" si="53"/>
        <v>0</v>
      </c>
      <c r="N50" s="60">
        <f t="shared" si="53"/>
        <v>0</v>
      </c>
      <c r="O50" s="60">
        <f t="shared" si="53"/>
        <v>0</v>
      </c>
      <c r="P50" s="60">
        <f t="shared" si="53"/>
        <v>0</v>
      </c>
      <c r="Q50" s="60">
        <f t="shared" si="53"/>
        <v>0</v>
      </c>
      <c r="R50" s="60">
        <f t="shared" si="53"/>
        <v>0</v>
      </c>
      <c r="S50" s="60">
        <f t="shared" si="53"/>
        <v>0</v>
      </c>
      <c r="T50" s="60">
        <f t="shared" si="53"/>
        <v>0</v>
      </c>
      <c r="U50" s="60">
        <f t="shared" si="53"/>
        <v>0</v>
      </c>
      <c r="V50" s="60">
        <f t="shared" si="53"/>
        <v>0</v>
      </c>
      <c r="W50" s="60">
        <f t="shared" si="53"/>
        <v>0</v>
      </c>
      <c r="X50" s="60">
        <f t="shared" si="53"/>
        <v>0</v>
      </c>
      <c r="Y50" s="60">
        <f t="shared" si="53"/>
        <v>0</v>
      </c>
      <c r="Z50" s="60">
        <f t="shared" si="53"/>
        <v>0</v>
      </c>
      <c r="AA50" s="60">
        <f t="shared" si="53"/>
        <v>0</v>
      </c>
      <c r="AB50" s="49">
        <f t="shared" si="12"/>
        <v>0</v>
      </c>
      <c r="AC50" s="49">
        <f>IFERROR(s_RadSpec!$E$25*($AZ$25/$B50),".")</f>
        <v>0</v>
      </c>
      <c r="AD50" s="49">
        <f>IFERROR(s_RadSpec!$E$25*($AZ$25/$B50),".")</f>
        <v>0</v>
      </c>
      <c r="AE50" s="49">
        <f>IFERROR(s_RadSpec!$E$25*($AZ$25/$B50),".")</f>
        <v>0</v>
      </c>
      <c r="AF50" s="49">
        <f>IFERROR(s_RadSpec!$E$25*($AZ$25/$B50),".")</f>
        <v>0</v>
      </c>
      <c r="AG50" s="49">
        <f>IFERROR(s_RadSpec!$E$25*($AZ$25/$B50),".")</f>
        <v>0</v>
      </c>
      <c r="AH50" s="49">
        <f>IFERROR(s_RadSpec!$E$25*($AZ$25/$B50),".")</f>
        <v>0</v>
      </c>
      <c r="AI50" s="49">
        <f>IFERROR(s_RadSpec!$E$25*($AZ$25/$B50),".")</f>
        <v>0</v>
      </c>
      <c r="AJ50" s="49">
        <f>IFERROR(s_RadSpec!$E$25*($AZ$25/$B50),".")</f>
        <v>0</v>
      </c>
      <c r="AK50" s="49">
        <f>IFERROR(s_RadSpec!$E$25*($AZ$25/$B50),".")</f>
        <v>0</v>
      </c>
      <c r="AL50" s="49">
        <f>IFERROR(s_RadSpec!$E$25*($AZ$25/$B50),".")</f>
        <v>0</v>
      </c>
      <c r="AM50" s="49">
        <f>IFERROR(s_RadSpec!$E$25*($AZ$25/$B50),".")</f>
        <v>0</v>
      </c>
      <c r="AN50" s="49">
        <f>IFERROR(s_RadSpec!$E$25*($AZ$25/$B50),".")</f>
        <v>0</v>
      </c>
      <c r="AO50" s="49">
        <f>IFERROR(s_RadSpec!$E$25*($AZ$25/$B50),".")</f>
        <v>0</v>
      </c>
      <c r="AP50" s="49">
        <f>IFERROR(s_RadSpec!$E$25*($AZ$25/$B50),".")</f>
        <v>0</v>
      </c>
      <c r="AQ50" s="49">
        <f>IFERROR(s_RadSpec!$E$25*($AZ$25/$B50),".")</f>
        <v>0</v>
      </c>
      <c r="AR50" s="49">
        <f>IFERROR(s_RadSpec!$E$25*($AZ$25/$B50),".")</f>
        <v>0</v>
      </c>
      <c r="AS50" s="49">
        <f>IFERROR(s_RadSpec!$E$25*($AZ$25/$B50),".")</f>
        <v>0</v>
      </c>
      <c r="AT50" s="49">
        <f>IFERROR(s_RadSpec!$E$25*($AZ$25/$B50),".")</f>
        <v>0</v>
      </c>
      <c r="AU50" s="49">
        <f>IFERROR(s_RadSpec!$E$25*($AZ$25/$B50),".")</f>
        <v>0</v>
      </c>
      <c r="AV50" s="49">
        <f>IFERROR(s_RadSpec!$E$25*($AZ$25/$B50),".")</f>
        <v>0</v>
      </c>
      <c r="AW50" s="49">
        <f>IFERROR(s_RadSpec!$E$25*($AZ$25/$B50),".")</f>
        <v>0</v>
      </c>
      <c r="AX50" s="49">
        <f>IFERROR(s_RadSpec!$E$25*($AZ$25/$B50),".")</f>
        <v>0</v>
      </c>
      <c r="AY50" s="49">
        <f>IFERROR(s_RadSpec!$E$25*($AZ$25/$B50),".")</f>
        <v>0</v>
      </c>
      <c r="AZ50" s="49">
        <f>IFERROR(s_RadSpec!$E$25*($AZ$25/$B50),".")</f>
        <v>0</v>
      </c>
      <c r="BA50" s="60" t="str">
        <f t="shared" si="13"/>
        <v>.</v>
      </c>
      <c r="BB50" s="60">
        <f t="shared" ref="BB50:BY50" si="54">IFERROR($B50/BB25,0)</f>
        <v>0</v>
      </c>
      <c r="BC50" s="60">
        <f t="shared" si="54"/>
        <v>0</v>
      </c>
      <c r="BD50" s="60">
        <f t="shared" si="54"/>
        <v>0</v>
      </c>
      <c r="BE50" s="60">
        <f t="shared" si="54"/>
        <v>0</v>
      </c>
      <c r="BF50" s="60">
        <f t="shared" si="54"/>
        <v>0</v>
      </c>
      <c r="BG50" s="60">
        <f t="shared" si="54"/>
        <v>0</v>
      </c>
      <c r="BH50" s="60">
        <f t="shared" si="54"/>
        <v>0</v>
      </c>
      <c r="BI50" s="60">
        <f t="shared" si="54"/>
        <v>0</v>
      </c>
      <c r="BJ50" s="60">
        <f t="shared" si="54"/>
        <v>0</v>
      </c>
      <c r="BK50" s="60">
        <f t="shared" si="54"/>
        <v>0</v>
      </c>
      <c r="BL50" s="60">
        <f t="shared" si="54"/>
        <v>0</v>
      </c>
      <c r="BM50" s="60">
        <f t="shared" si="54"/>
        <v>0</v>
      </c>
      <c r="BN50" s="60">
        <f t="shared" si="54"/>
        <v>0</v>
      </c>
      <c r="BO50" s="60">
        <f t="shared" si="54"/>
        <v>0</v>
      </c>
      <c r="BP50" s="60">
        <f t="shared" si="54"/>
        <v>0</v>
      </c>
      <c r="BQ50" s="60">
        <f t="shared" si="54"/>
        <v>0</v>
      </c>
      <c r="BR50" s="60">
        <f t="shared" si="54"/>
        <v>0</v>
      </c>
      <c r="BS50" s="60">
        <f t="shared" si="54"/>
        <v>0</v>
      </c>
      <c r="BT50" s="60">
        <f t="shared" si="54"/>
        <v>0</v>
      </c>
      <c r="BU50" s="60">
        <f t="shared" si="54"/>
        <v>0</v>
      </c>
      <c r="BV50" s="60">
        <f t="shared" si="54"/>
        <v>0</v>
      </c>
      <c r="BW50" s="60">
        <f t="shared" si="54"/>
        <v>0</v>
      </c>
      <c r="BX50" s="60">
        <f t="shared" si="54"/>
        <v>0</v>
      </c>
      <c r="BY50" s="60">
        <f t="shared" si="54"/>
        <v>0</v>
      </c>
      <c r="BZ50" s="49">
        <f t="shared" si="5"/>
        <v>0</v>
      </c>
      <c r="CA50" s="49">
        <f>IFERROR(s_RadSpec!$E$25*(CA25/$B50),".")</f>
        <v>0</v>
      </c>
      <c r="CB50" s="49">
        <f>IFERROR(s_RadSpec!$E$25*(CB25/$B50),".")</f>
        <v>0</v>
      </c>
      <c r="CC50" s="49">
        <f>IFERROR(s_RadSpec!$E$25*(CC25/$B50),".")</f>
        <v>0</v>
      </c>
      <c r="CD50" s="49">
        <f>IFERROR(s_RadSpec!$E$25*(CD25/$B50),".")</f>
        <v>0</v>
      </c>
      <c r="CE50" s="49">
        <f>IFERROR(s_RadSpec!$E$25*(CE25/$B50),".")</f>
        <v>0</v>
      </c>
      <c r="CF50" s="49">
        <f>IFERROR(s_RadSpec!$E$25*(CF25/$B50),".")</f>
        <v>0</v>
      </c>
      <c r="CG50" s="49">
        <f>IFERROR(s_RadSpec!$E$25*(CG25/$B50),".")</f>
        <v>0</v>
      </c>
      <c r="CH50" s="49">
        <f>IFERROR(s_RadSpec!$E$25*(CH25/$B50),".")</f>
        <v>0</v>
      </c>
      <c r="CI50" s="49">
        <f>IFERROR(s_RadSpec!$E$25*(CI25/$B50),".")</f>
        <v>0</v>
      </c>
      <c r="CJ50" s="49">
        <f>IFERROR(s_RadSpec!$E$25*(CJ25/$B50),".")</f>
        <v>0</v>
      </c>
      <c r="CK50" s="49">
        <f>IFERROR(s_RadSpec!$E$25*(CK25/$B50),".")</f>
        <v>0</v>
      </c>
      <c r="CL50" s="49">
        <f>IFERROR(s_RadSpec!$E$25*(CL25/$B50),".")</f>
        <v>0</v>
      </c>
      <c r="CM50" s="49">
        <f>IFERROR(s_RadSpec!$E$25*(CM25/$B50),".")</f>
        <v>0</v>
      </c>
      <c r="CN50" s="49">
        <f>IFERROR(s_RadSpec!$E$25*(CN25/$B50),".")</f>
        <v>0</v>
      </c>
      <c r="CO50" s="49">
        <f>IFERROR(s_RadSpec!$E$25*(CO25/$B50),".")</f>
        <v>0</v>
      </c>
      <c r="CP50" s="49">
        <f>IFERROR(s_RadSpec!$E$25*(CP25/$B50),".")</f>
        <v>0</v>
      </c>
      <c r="CQ50" s="49">
        <f>IFERROR(s_RadSpec!$E$25*(CQ25/$B50),".")</f>
        <v>0</v>
      </c>
      <c r="CR50" s="49">
        <f>IFERROR(s_RadSpec!$E$25*(CR25/$B50),".")</f>
        <v>0</v>
      </c>
      <c r="CS50" s="49">
        <f>IFERROR(s_RadSpec!$E$25*(CS25/$B50),".")</f>
        <v>0</v>
      </c>
      <c r="CT50" s="49">
        <f>IFERROR(s_RadSpec!$E$25*(CT25/$B50),".")</f>
        <v>0</v>
      </c>
      <c r="CU50" s="49">
        <f>IFERROR(s_RadSpec!$E$25*(CU25/$B50),".")</f>
        <v>0</v>
      </c>
      <c r="CV50" s="49">
        <f>IFERROR(s_RadSpec!$E$25*(CV25/$B50),".")</f>
        <v>0</v>
      </c>
      <c r="CW50" s="49">
        <f>IFERROR(s_RadSpec!$E$25*(CW25/$B50),".")</f>
        <v>0</v>
      </c>
      <c r="CX50" s="49">
        <f>IFERROR(s_RadSpec!$E$25*(CX25/$B50),".")</f>
        <v>0</v>
      </c>
    </row>
    <row r="51" spans="1:102" x14ac:dyDescent="0.25">
      <c r="A51" s="83" t="s">
        <v>1076</v>
      </c>
      <c r="B51" s="42">
        <v>1</v>
      </c>
      <c r="C51" s="60" t="str">
        <f t="shared" si="10"/>
        <v>.</v>
      </c>
      <c r="D51" s="60">
        <f t="shared" ref="D51:AA51" si="55">IFERROR(D21/$B51,0)</f>
        <v>0</v>
      </c>
      <c r="E51" s="60">
        <f t="shared" si="55"/>
        <v>0</v>
      </c>
      <c r="F51" s="60">
        <f t="shared" si="55"/>
        <v>0</v>
      </c>
      <c r="G51" s="60">
        <f t="shared" si="55"/>
        <v>0</v>
      </c>
      <c r="H51" s="60">
        <f t="shared" si="55"/>
        <v>0</v>
      </c>
      <c r="I51" s="60">
        <f t="shared" si="55"/>
        <v>0</v>
      </c>
      <c r="J51" s="60">
        <f t="shared" si="55"/>
        <v>0</v>
      </c>
      <c r="K51" s="60">
        <f t="shared" si="55"/>
        <v>0</v>
      </c>
      <c r="L51" s="60">
        <f t="shared" si="55"/>
        <v>0</v>
      </c>
      <c r="M51" s="60">
        <f t="shared" si="55"/>
        <v>0</v>
      </c>
      <c r="N51" s="60">
        <f t="shared" si="55"/>
        <v>0</v>
      </c>
      <c r="O51" s="60">
        <f t="shared" si="55"/>
        <v>0</v>
      </c>
      <c r="P51" s="60">
        <f t="shared" si="55"/>
        <v>0</v>
      </c>
      <c r="Q51" s="60">
        <f t="shared" si="55"/>
        <v>0</v>
      </c>
      <c r="R51" s="60">
        <f t="shared" si="55"/>
        <v>0</v>
      </c>
      <c r="S51" s="60">
        <f t="shared" si="55"/>
        <v>0</v>
      </c>
      <c r="T51" s="60">
        <f t="shared" si="55"/>
        <v>0</v>
      </c>
      <c r="U51" s="60">
        <f t="shared" si="55"/>
        <v>0</v>
      </c>
      <c r="V51" s="60">
        <f t="shared" si="55"/>
        <v>0</v>
      </c>
      <c r="W51" s="60">
        <f t="shared" si="55"/>
        <v>0</v>
      </c>
      <c r="X51" s="60">
        <f t="shared" si="55"/>
        <v>0</v>
      </c>
      <c r="Y51" s="60">
        <f t="shared" si="55"/>
        <v>0</v>
      </c>
      <c r="Z51" s="60">
        <f t="shared" si="55"/>
        <v>0</v>
      </c>
      <c r="AA51" s="60">
        <f t="shared" si="55"/>
        <v>0</v>
      </c>
      <c r="AB51" s="49">
        <f t="shared" si="12"/>
        <v>0</v>
      </c>
      <c r="AC51" s="49">
        <f>IFERROR(s_RadSpec!$E$21*($AZ$21/$B51),".")</f>
        <v>0</v>
      </c>
      <c r="AD51" s="49">
        <f>IFERROR(s_RadSpec!$E$21*($AZ$21/$B51),".")</f>
        <v>0</v>
      </c>
      <c r="AE51" s="49">
        <f>IFERROR(s_RadSpec!$E$21*($AZ$21/$B51),".")</f>
        <v>0</v>
      </c>
      <c r="AF51" s="49">
        <f>IFERROR(s_RadSpec!$E$21*($AZ$21/$B51),".")</f>
        <v>0</v>
      </c>
      <c r="AG51" s="49">
        <f>IFERROR(s_RadSpec!$E$21*($AZ$21/$B51),".")</f>
        <v>0</v>
      </c>
      <c r="AH51" s="49">
        <f>IFERROR(s_RadSpec!$E$21*($AZ$21/$B51),".")</f>
        <v>0</v>
      </c>
      <c r="AI51" s="49">
        <f>IFERROR(s_RadSpec!$E$21*($AZ$21/$B51),".")</f>
        <v>0</v>
      </c>
      <c r="AJ51" s="49">
        <f>IFERROR(s_RadSpec!$E$21*($AZ$21/$B51),".")</f>
        <v>0</v>
      </c>
      <c r="AK51" s="49">
        <f>IFERROR(s_RadSpec!$E$21*($AZ$21/$B51),".")</f>
        <v>0</v>
      </c>
      <c r="AL51" s="49">
        <f>IFERROR(s_RadSpec!$E$21*($AZ$21/$B51),".")</f>
        <v>0</v>
      </c>
      <c r="AM51" s="49">
        <f>IFERROR(s_RadSpec!$E$21*($AZ$21/$B51),".")</f>
        <v>0</v>
      </c>
      <c r="AN51" s="49">
        <f>IFERROR(s_RadSpec!$E$21*($AZ$21/$B51),".")</f>
        <v>0</v>
      </c>
      <c r="AO51" s="49">
        <f>IFERROR(s_RadSpec!$E$21*($AZ$21/$B51),".")</f>
        <v>0</v>
      </c>
      <c r="AP51" s="49">
        <f>IFERROR(s_RadSpec!$E$21*($AZ$21/$B51),".")</f>
        <v>0</v>
      </c>
      <c r="AQ51" s="49">
        <f>IFERROR(s_RadSpec!$E$21*($AZ$21/$B51),".")</f>
        <v>0</v>
      </c>
      <c r="AR51" s="49">
        <f>IFERROR(s_RadSpec!$E$21*($AZ$21/$B51),".")</f>
        <v>0</v>
      </c>
      <c r="AS51" s="49">
        <f>IFERROR(s_RadSpec!$E$21*($AZ$21/$B51),".")</f>
        <v>0</v>
      </c>
      <c r="AT51" s="49">
        <f>IFERROR(s_RadSpec!$E$21*($AZ$21/$B51),".")</f>
        <v>0</v>
      </c>
      <c r="AU51" s="49">
        <f>IFERROR(s_RadSpec!$E$21*($AZ$21/$B51),".")</f>
        <v>0</v>
      </c>
      <c r="AV51" s="49">
        <f>IFERROR(s_RadSpec!$E$21*($AZ$21/$B51),".")</f>
        <v>0</v>
      </c>
      <c r="AW51" s="49">
        <f>IFERROR(s_RadSpec!$E$21*($AZ$21/$B51),".")</f>
        <v>0</v>
      </c>
      <c r="AX51" s="49">
        <f>IFERROR(s_RadSpec!$E$21*($AZ$21/$B51),".")</f>
        <v>0</v>
      </c>
      <c r="AY51" s="49">
        <f>IFERROR(s_RadSpec!$E$21*($AZ$21/$B51),".")</f>
        <v>0</v>
      </c>
      <c r="AZ51" s="49">
        <f>IFERROR(s_RadSpec!$E$21*($AZ$21/$B51),".")</f>
        <v>0</v>
      </c>
      <c r="BA51" s="60" t="str">
        <f t="shared" si="13"/>
        <v>.</v>
      </c>
      <c r="BB51" s="60">
        <f t="shared" ref="BB51:BY51" si="56">IFERROR($B51/BB21,0)</f>
        <v>0</v>
      </c>
      <c r="BC51" s="60">
        <f t="shared" si="56"/>
        <v>0</v>
      </c>
      <c r="BD51" s="60">
        <f t="shared" si="56"/>
        <v>0</v>
      </c>
      <c r="BE51" s="60">
        <f t="shared" si="56"/>
        <v>0</v>
      </c>
      <c r="BF51" s="60">
        <f t="shared" si="56"/>
        <v>0</v>
      </c>
      <c r="BG51" s="60">
        <f t="shared" si="56"/>
        <v>0</v>
      </c>
      <c r="BH51" s="60">
        <f t="shared" si="56"/>
        <v>0</v>
      </c>
      <c r="BI51" s="60">
        <f t="shared" si="56"/>
        <v>0</v>
      </c>
      <c r="BJ51" s="60">
        <f t="shared" si="56"/>
        <v>0</v>
      </c>
      <c r="BK51" s="60">
        <f t="shared" si="56"/>
        <v>0</v>
      </c>
      <c r="BL51" s="60">
        <f t="shared" si="56"/>
        <v>0</v>
      </c>
      <c r="BM51" s="60">
        <f t="shared" si="56"/>
        <v>0</v>
      </c>
      <c r="BN51" s="60">
        <f t="shared" si="56"/>
        <v>0</v>
      </c>
      <c r="BO51" s="60">
        <f t="shared" si="56"/>
        <v>0</v>
      </c>
      <c r="BP51" s="60">
        <f t="shared" si="56"/>
        <v>0</v>
      </c>
      <c r="BQ51" s="60">
        <f t="shared" si="56"/>
        <v>0</v>
      </c>
      <c r="BR51" s="60">
        <f t="shared" si="56"/>
        <v>0</v>
      </c>
      <c r="BS51" s="60">
        <f t="shared" si="56"/>
        <v>0</v>
      </c>
      <c r="BT51" s="60">
        <f t="shared" si="56"/>
        <v>0</v>
      </c>
      <c r="BU51" s="60">
        <f t="shared" si="56"/>
        <v>0</v>
      </c>
      <c r="BV51" s="60">
        <f t="shared" si="56"/>
        <v>0</v>
      </c>
      <c r="BW51" s="60">
        <f t="shared" si="56"/>
        <v>0</v>
      </c>
      <c r="BX51" s="60">
        <f t="shared" si="56"/>
        <v>0</v>
      </c>
      <c r="BY51" s="60">
        <f t="shared" si="56"/>
        <v>0</v>
      </c>
      <c r="BZ51" s="49">
        <f t="shared" si="5"/>
        <v>0</v>
      </c>
      <c r="CA51" s="49">
        <f>IFERROR(s_RadSpec!$E$21*(CA21/$B51),".")</f>
        <v>0</v>
      </c>
      <c r="CB51" s="49">
        <f>IFERROR(s_RadSpec!$E$21*(CB21/$B51),".")</f>
        <v>0</v>
      </c>
      <c r="CC51" s="49">
        <f>IFERROR(s_RadSpec!$E$21*(CC21/$B51),".")</f>
        <v>0</v>
      </c>
      <c r="CD51" s="49">
        <f>IFERROR(s_RadSpec!$E$21*(CD21/$B51),".")</f>
        <v>0</v>
      </c>
      <c r="CE51" s="49">
        <f>IFERROR(s_RadSpec!$E$21*(CE21/$B51),".")</f>
        <v>0</v>
      </c>
      <c r="CF51" s="49">
        <f>IFERROR(s_RadSpec!$E$21*(CF21/$B51),".")</f>
        <v>0</v>
      </c>
      <c r="CG51" s="49">
        <f>IFERROR(s_RadSpec!$E$21*(CG21/$B51),".")</f>
        <v>0</v>
      </c>
      <c r="CH51" s="49">
        <f>IFERROR(s_RadSpec!$E$21*(CH21/$B51),".")</f>
        <v>0</v>
      </c>
      <c r="CI51" s="49">
        <f>IFERROR(s_RadSpec!$E$21*(CI21/$B51),".")</f>
        <v>0</v>
      </c>
      <c r="CJ51" s="49">
        <f>IFERROR(s_RadSpec!$E$21*(CJ21/$B51),".")</f>
        <v>0</v>
      </c>
      <c r="CK51" s="49">
        <f>IFERROR(s_RadSpec!$E$21*(CK21/$B51),".")</f>
        <v>0</v>
      </c>
      <c r="CL51" s="49">
        <f>IFERROR(s_RadSpec!$E$21*(CL21/$B51),".")</f>
        <v>0</v>
      </c>
      <c r="CM51" s="49">
        <f>IFERROR(s_RadSpec!$E$21*(CM21/$B51),".")</f>
        <v>0</v>
      </c>
      <c r="CN51" s="49">
        <f>IFERROR(s_RadSpec!$E$21*(CN21/$B51),".")</f>
        <v>0</v>
      </c>
      <c r="CO51" s="49">
        <f>IFERROR(s_RadSpec!$E$21*(CO21/$B51),".")</f>
        <v>0</v>
      </c>
      <c r="CP51" s="49">
        <f>IFERROR(s_RadSpec!$E$21*(CP21/$B51),".")</f>
        <v>0</v>
      </c>
      <c r="CQ51" s="49">
        <f>IFERROR(s_RadSpec!$E$21*(CQ21/$B51),".")</f>
        <v>0</v>
      </c>
      <c r="CR51" s="49">
        <f>IFERROR(s_RadSpec!$E$21*(CR21/$B51),".")</f>
        <v>0</v>
      </c>
      <c r="CS51" s="49">
        <f>IFERROR(s_RadSpec!$E$21*(CS21/$B51),".")</f>
        <v>0</v>
      </c>
      <c r="CT51" s="49">
        <f>IFERROR(s_RadSpec!$E$21*(CT21/$B51),".")</f>
        <v>0</v>
      </c>
      <c r="CU51" s="49">
        <f>IFERROR(s_RadSpec!$E$21*(CU21/$B51),".")</f>
        <v>0</v>
      </c>
      <c r="CV51" s="49">
        <f>IFERROR(s_RadSpec!$E$21*(CV21/$B51),".")</f>
        <v>0</v>
      </c>
      <c r="CW51" s="49">
        <f>IFERROR(s_RadSpec!$E$21*(CW21/$B51),".")</f>
        <v>0</v>
      </c>
      <c r="CX51" s="49">
        <f>IFERROR(s_RadSpec!$E$21*(CX21/$B51),".")</f>
        <v>0</v>
      </c>
    </row>
    <row r="52" spans="1:102" x14ac:dyDescent="0.25">
      <c r="A52" s="83" t="s">
        <v>1077</v>
      </c>
      <c r="B52" s="85">
        <v>0.99980000000000002</v>
      </c>
      <c r="C52" s="60">
        <f t="shared" si="10"/>
        <v>4832.1194785891657</v>
      </c>
      <c r="D52" s="60">
        <f t="shared" ref="D52:AA52" si="57">IFERROR(D17/$B52,0)</f>
        <v>31931.056758728151</v>
      </c>
      <c r="E52" s="60">
        <f t="shared" si="57"/>
        <v>8025.4527682364869</v>
      </c>
      <c r="F52" s="60">
        <f t="shared" si="57"/>
        <v>26329.116976495141</v>
      </c>
      <c r="G52" s="60">
        <f t="shared" si="57"/>
        <v>31931.056758728151</v>
      </c>
      <c r="H52" s="60">
        <f t="shared" si="57"/>
        <v>26329.116976495141</v>
      </c>
      <c r="I52" s="60">
        <f t="shared" si="57"/>
        <v>8025.4527682364869</v>
      </c>
      <c r="J52" s="60">
        <f t="shared" si="57"/>
        <v>26329.116976495141</v>
      </c>
      <c r="K52" s="60">
        <f t="shared" si="57"/>
        <v>31931.056758728151</v>
      </c>
      <c r="L52" s="60">
        <f t="shared" si="57"/>
        <v>51046.247199327321</v>
      </c>
      <c r="M52" s="60">
        <f t="shared" si="57"/>
        <v>26329.116976495141</v>
      </c>
      <c r="N52" s="60">
        <f t="shared" si="57"/>
        <v>8025.4527682364869</v>
      </c>
      <c r="O52" s="60">
        <f t="shared" si="57"/>
        <v>39913.82094841019</v>
      </c>
      <c r="P52" s="60">
        <f t="shared" si="57"/>
        <v>26329.116976495141</v>
      </c>
      <c r="Q52" s="60">
        <f t="shared" si="57"/>
        <v>26329.116976495141</v>
      </c>
      <c r="R52" s="60">
        <f t="shared" si="57"/>
        <v>31931.056758728151</v>
      </c>
      <c r="S52" s="60">
        <f t="shared" si="57"/>
        <v>31931.056758728151</v>
      </c>
      <c r="T52" s="60">
        <f t="shared" si="57"/>
        <v>39913.82094841019</v>
      </c>
      <c r="U52" s="60">
        <f t="shared" si="57"/>
        <v>50025.322255340776</v>
      </c>
      <c r="V52" s="60">
        <f t="shared" si="57"/>
        <v>26329.116976495141</v>
      </c>
      <c r="W52" s="60">
        <f t="shared" si="57"/>
        <v>39913.82094841019</v>
      </c>
      <c r="X52" s="60">
        <f t="shared" si="57"/>
        <v>31931.056758728151</v>
      </c>
      <c r="Y52" s="60">
        <f t="shared" si="57"/>
        <v>26329.116976495141</v>
      </c>
      <c r="Z52" s="60">
        <f t="shared" si="57"/>
        <v>54414.781278470742</v>
      </c>
      <c r="AA52" s="60">
        <f t="shared" si="57"/>
        <v>30627.748319596387</v>
      </c>
      <c r="AB52" s="49">
        <f t="shared" si="12"/>
        <v>6.5326390278055623E-10</v>
      </c>
      <c r="AC52" s="49">
        <f>IFERROR(s_RadSpec!$E$17*($AZ$17/$B52),".")</f>
        <v>1.6331597569513906E-10</v>
      </c>
      <c r="AD52" s="49">
        <f>IFERROR(s_RadSpec!$E$17*($AZ$17/$B52),".")</f>
        <v>1.6331597569513906E-10</v>
      </c>
      <c r="AE52" s="49">
        <f>IFERROR(s_RadSpec!$E$17*($AZ$17/$B52),".")</f>
        <v>1.6331597569513906E-10</v>
      </c>
      <c r="AF52" s="49">
        <f>IFERROR(s_RadSpec!$E$17*($AZ$17/$B52),".")</f>
        <v>1.6331597569513906E-10</v>
      </c>
      <c r="AG52" s="49">
        <f>IFERROR(s_RadSpec!$E$17*($AZ$17/$B52),".")</f>
        <v>1.6331597569513906E-10</v>
      </c>
      <c r="AH52" s="49">
        <f>IFERROR(s_RadSpec!$E$17*($AZ$17/$B52),".")</f>
        <v>1.6331597569513906E-10</v>
      </c>
      <c r="AI52" s="49">
        <f>IFERROR(s_RadSpec!$E$17*($AZ$17/$B52),".")</f>
        <v>1.6331597569513906E-10</v>
      </c>
      <c r="AJ52" s="49">
        <f>IFERROR(s_RadSpec!$E$17*($AZ$17/$B52),".")</f>
        <v>1.6331597569513906E-10</v>
      </c>
      <c r="AK52" s="49">
        <f>IFERROR(s_RadSpec!$E$17*($AZ$17/$B52),".")</f>
        <v>1.6331597569513906E-10</v>
      </c>
      <c r="AL52" s="49">
        <f>IFERROR(s_RadSpec!$E$17*($AZ$17/$B52),".")</f>
        <v>1.6331597569513906E-10</v>
      </c>
      <c r="AM52" s="49">
        <f>IFERROR(s_RadSpec!$E$17*($AZ$17/$B52),".")</f>
        <v>1.6331597569513906E-10</v>
      </c>
      <c r="AN52" s="49">
        <f>IFERROR(s_RadSpec!$E$17*($AZ$17/$B52),".")</f>
        <v>1.6331597569513906E-10</v>
      </c>
      <c r="AO52" s="49">
        <f>IFERROR(s_RadSpec!$E$17*($AZ$17/$B52),".")</f>
        <v>1.6331597569513906E-10</v>
      </c>
      <c r="AP52" s="49">
        <f>IFERROR(s_RadSpec!$E$17*($AZ$17/$B52),".")</f>
        <v>1.6331597569513906E-10</v>
      </c>
      <c r="AQ52" s="49">
        <f>IFERROR(s_RadSpec!$E$17*($AZ$17/$B52),".")</f>
        <v>1.6331597569513906E-10</v>
      </c>
      <c r="AR52" s="49">
        <f>IFERROR(s_RadSpec!$E$17*($AZ$17/$B52),".")</f>
        <v>1.6331597569513906E-10</v>
      </c>
      <c r="AS52" s="49">
        <f>IFERROR(s_RadSpec!$E$17*($AZ$17/$B52),".")</f>
        <v>1.6331597569513906E-10</v>
      </c>
      <c r="AT52" s="49">
        <f>IFERROR(s_RadSpec!$E$17*($AZ$17/$B52),".")</f>
        <v>1.6331597569513906E-10</v>
      </c>
      <c r="AU52" s="49">
        <f>IFERROR(s_RadSpec!$E$17*($AZ$17/$B52),".")</f>
        <v>1.6331597569513906E-10</v>
      </c>
      <c r="AV52" s="49">
        <f>IFERROR(s_RadSpec!$E$17*($AZ$17/$B52),".")</f>
        <v>1.6331597569513906E-10</v>
      </c>
      <c r="AW52" s="49">
        <f>IFERROR(s_RadSpec!$E$17*($AZ$17/$B52),".")</f>
        <v>1.6331597569513906E-10</v>
      </c>
      <c r="AX52" s="49">
        <f>IFERROR(s_RadSpec!$E$17*($AZ$17/$B52),".")</f>
        <v>1.6331597569513906E-10</v>
      </c>
      <c r="AY52" s="49">
        <f>IFERROR(s_RadSpec!$E$17*($AZ$17/$B52),".")</f>
        <v>1.6331597569513906E-10</v>
      </c>
      <c r="AZ52" s="49">
        <f>IFERROR(s_RadSpec!$E$17*($AZ$17/$B52),".")</f>
        <v>1.6331597569513906E-10</v>
      </c>
      <c r="BA52" s="60">
        <f t="shared" si="13"/>
        <v>8.0000614964706911E-6</v>
      </c>
      <c r="BB52" s="60">
        <f t="shared" ref="BB52:BY52" si="58">IFERROR($B52/BB17,0)</f>
        <v>3.1317472752500008E-5</v>
      </c>
      <c r="BC52" s="60">
        <f t="shared" si="58"/>
        <v>1.2460356180250001E-4</v>
      </c>
      <c r="BD52" s="60">
        <f t="shared" si="58"/>
        <v>3.7980764827500004E-5</v>
      </c>
      <c r="BE52" s="60">
        <f t="shared" si="58"/>
        <v>3.1317472752500008E-5</v>
      </c>
      <c r="BF52" s="60">
        <f t="shared" si="58"/>
        <v>3.7980764827500004E-5</v>
      </c>
      <c r="BG52" s="60">
        <f t="shared" si="58"/>
        <v>1.2460356180250001E-4</v>
      </c>
      <c r="BH52" s="60">
        <f t="shared" si="58"/>
        <v>3.7980764827500004E-5</v>
      </c>
      <c r="BI52" s="60">
        <f t="shared" si="58"/>
        <v>3.1317472752500008E-5</v>
      </c>
      <c r="BJ52" s="60">
        <f t="shared" si="58"/>
        <v>1.9590078700500002E-5</v>
      </c>
      <c r="BK52" s="60">
        <f t="shared" si="58"/>
        <v>3.7980764827500004E-5</v>
      </c>
      <c r="BL52" s="60">
        <f t="shared" si="58"/>
        <v>1.2460356180250001E-4</v>
      </c>
      <c r="BM52" s="60">
        <f t="shared" si="58"/>
        <v>2.5053978202000005E-5</v>
      </c>
      <c r="BN52" s="60">
        <f t="shared" si="58"/>
        <v>3.7980764827500004E-5</v>
      </c>
      <c r="BO52" s="60">
        <f t="shared" si="58"/>
        <v>3.7980764827500004E-5</v>
      </c>
      <c r="BP52" s="60">
        <f t="shared" si="58"/>
        <v>3.1317472752500008E-5</v>
      </c>
      <c r="BQ52" s="60">
        <f t="shared" si="58"/>
        <v>3.1317472752500008E-5</v>
      </c>
      <c r="BR52" s="60">
        <f t="shared" si="58"/>
        <v>2.5053978202000005E-5</v>
      </c>
      <c r="BS52" s="60">
        <f t="shared" si="58"/>
        <v>1.9989876225000002E-5</v>
      </c>
      <c r="BT52" s="60">
        <f t="shared" si="58"/>
        <v>3.7980764827500004E-5</v>
      </c>
      <c r="BU52" s="60">
        <f t="shared" si="58"/>
        <v>2.5053978202000005E-5</v>
      </c>
      <c r="BV52" s="60">
        <f t="shared" si="58"/>
        <v>3.1317472752500008E-5</v>
      </c>
      <c r="BW52" s="60">
        <f t="shared" si="58"/>
        <v>3.7980764827500004E-5</v>
      </c>
      <c r="BX52" s="60">
        <f t="shared" si="58"/>
        <v>1.8377359542850005E-5</v>
      </c>
      <c r="BY52" s="60">
        <f t="shared" si="58"/>
        <v>3.2650131167500005E-5</v>
      </c>
      <c r="BZ52" s="49">
        <f t="shared" si="5"/>
        <v>1.035156647579516E-9</v>
      </c>
      <c r="CA52" s="49">
        <f>IFERROR(s_RadSpec!$E$17*(CA17/$B52),".")</f>
        <v>1.5665001750350073E-10</v>
      </c>
      <c r="CB52" s="49">
        <f>IFERROR(s_RadSpec!$E$17*(CB17/$B52),".")</f>
        <v>6.2326709091818363E-10</v>
      </c>
      <c r="CC52" s="49">
        <f>IFERROR(s_RadSpec!$E$17*(CC17/$B52),".")</f>
        <v>1.8997980846169232E-10</v>
      </c>
      <c r="CD52" s="49">
        <f>IFERROR(s_RadSpec!$E$17*(CD17/$B52),".")</f>
        <v>1.5665001750350073E-10</v>
      </c>
      <c r="CE52" s="49">
        <f>IFERROR(s_RadSpec!$E$17*(CE17/$B52),".")</f>
        <v>1.8997980846169232E-10</v>
      </c>
      <c r="CF52" s="49">
        <f>IFERROR(s_RadSpec!$E$17*(CF17/$B52),".")</f>
        <v>6.2326709091818363E-10</v>
      </c>
      <c r="CG52" s="49">
        <f>IFERROR(s_RadSpec!$E$17*(CG17/$B52),".")</f>
        <v>1.8997980846169232E-10</v>
      </c>
      <c r="CH52" s="49">
        <f>IFERROR(s_RadSpec!$E$17*(CH17/$B52),".")</f>
        <v>1.5665001750350073E-10</v>
      </c>
      <c r="CI52" s="49">
        <f>IFERROR(s_RadSpec!$E$17*(CI17/$B52),".")</f>
        <v>9.7989585417083427E-11</v>
      </c>
      <c r="CJ52" s="49">
        <f>IFERROR(s_RadSpec!$E$17*(CJ17/$B52),".")</f>
        <v>1.8997980846169232E-10</v>
      </c>
      <c r="CK52" s="49">
        <f>IFERROR(s_RadSpec!$E$17*(CK17/$B52),".")</f>
        <v>6.2326709091818363E-10</v>
      </c>
      <c r="CL52" s="49">
        <f>IFERROR(s_RadSpec!$E$17*(CL17/$B52),".")</f>
        <v>1.2532001400280058E-10</v>
      </c>
      <c r="CM52" s="49">
        <f>IFERROR(s_RadSpec!$E$17*(CM17/$B52),".")</f>
        <v>1.8997980846169232E-10</v>
      </c>
      <c r="CN52" s="49">
        <f>IFERROR(s_RadSpec!$E$17*(CN17/$B52),".")</f>
        <v>1.8997980846169232E-10</v>
      </c>
      <c r="CO52" s="49">
        <f>IFERROR(s_RadSpec!$E$17*(CO17/$B52),".")</f>
        <v>1.5665001750350073E-10</v>
      </c>
      <c r="CP52" s="49">
        <f>IFERROR(s_RadSpec!$E$17*(CP17/$B52),".")</f>
        <v>1.5665001750350073E-10</v>
      </c>
      <c r="CQ52" s="49">
        <f>IFERROR(s_RadSpec!$E$17*(CQ17/$B52),".")</f>
        <v>1.2532001400280058E-10</v>
      </c>
      <c r="CR52" s="49">
        <f>IFERROR(s_RadSpec!$E$17*(CR17/$B52),".")</f>
        <v>9.9989372874574929E-11</v>
      </c>
      <c r="CS52" s="49">
        <f>IFERROR(s_RadSpec!$E$17*(CS17/$B52),".")</f>
        <v>1.8997980846169232E-10</v>
      </c>
      <c r="CT52" s="49">
        <f>IFERROR(s_RadSpec!$E$17*(CT17/$B52),".")</f>
        <v>1.2532001400280058E-10</v>
      </c>
      <c r="CU52" s="49">
        <f>IFERROR(s_RadSpec!$E$17*(CU17/$B52),".")</f>
        <v>1.5665001750350073E-10</v>
      </c>
      <c r="CV52" s="49">
        <f>IFERROR(s_RadSpec!$E$17*(CV17/$B52),".")</f>
        <v>1.8997980846169232E-10</v>
      </c>
      <c r="CW52" s="49">
        <f>IFERROR(s_RadSpec!$E$17*(CW17/$B52),".")</f>
        <v>9.1923563462692548E-11</v>
      </c>
      <c r="CX52" s="49">
        <f>IFERROR(s_RadSpec!$E$17*(CX17/$B52),".")</f>
        <v>1.6331597569513906E-10</v>
      </c>
    </row>
    <row r="53" spans="1:102" x14ac:dyDescent="0.25">
      <c r="A53" s="83" t="s">
        <v>1091</v>
      </c>
      <c r="B53" s="42">
        <v>2.0000000000000001E-4</v>
      </c>
      <c r="C53" s="60" t="str">
        <f t="shared" si="10"/>
        <v>.</v>
      </c>
      <c r="D53" s="60">
        <f t="shared" ref="D53:AA53" si="59">IFERROR(D5/$B53,0)</f>
        <v>0</v>
      </c>
      <c r="E53" s="60">
        <f t="shared" si="59"/>
        <v>0</v>
      </c>
      <c r="F53" s="60">
        <f t="shared" si="59"/>
        <v>0</v>
      </c>
      <c r="G53" s="60">
        <f t="shared" si="59"/>
        <v>0</v>
      </c>
      <c r="H53" s="60">
        <f t="shared" si="59"/>
        <v>0</v>
      </c>
      <c r="I53" s="60">
        <f t="shared" si="59"/>
        <v>0</v>
      </c>
      <c r="J53" s="60">
        <f t="shared" si="59"/>
        <v>0</v>
      </c>
      <c r="K53" s="60">
        <f t="shared" si="59"/>
        <v>0</v>
      </c>
      <c r="L53" s="60">
        <f t="shared" si="59"/>
        <v>0</v>
      </c>
      <c r="M53" s="60">
        <f t="shared" si="59"/>
        <v>0</v>
      </c>
      <c r="N53" s="60">
        <f t="shared" si="59"/>
        <v>0</v>
      </c>
      <c r="O53" s="60">
        <f t="shared" si="59"/>
        <v>0</v>
      </c>
      <c r="P53" s="60">
        <f t="shared" si="59"/>
        <v>0</v>
      </c>
      <c r="Q53" s="60">
        <f t="shared" si="59"/>
        <v>0</v>
      </c>
      <c r="R53" s="60">
        <f t="shared" si="59"/>
        <v>0</v>
      </c>
      <c r="S53" s="60">
        <f t="shared" si="59"/>
        <v>0</v>
      </c>
      <c r="T53" s="60">
        <f t="shared" si="59"/>
        <v>0</v>
      </c>
      <c r="U53" s="60">
        <f t="shared" si="59"/>
        <v>0</v>
      </c>
      <c r="V53" s="60">
        <f t="shared" si="59"/>
        <v>0</v>
      </c>
      <c r="W53" s="60">
        <f t="shared" si="59"/>
        <v>0</v>
      </c>
      <c r="X53" s="60">
        <f t="shared" si="59"/>
        <v>0</v>
      </c>
      <c r="Y53" s="60">
        <f t="shared" si="59"/>
        <v>0</v>
      </c>
      <c r="Z53" s="60">
        <f t="shared" si="59"/>
        <v>0</v>
      </c>
      <c r="AA53" s="60">
        <f t="shared" si="59"/>
        <v>0</v>
      </c>
      <c r="AB53" s="49">
        <f t="shared" si="12"/>
        <v>0</v>
      </c>
      <c r="AC53" s="49">
        <f>IFERROR(s_RadSpec!$E$5*($AZ$5/$B53),".")</f>
        <v>0</v>
      </c>
      <c r="AD53" s="49">
        <f>IFERROR(s_RadSpec!$E$5*($AZ$5/$B53),".")</f>
        <v>0</v>
      </c>
      <c r="AE53" s="49">
        <f>IFERROR(s_RadSpec!$E$5*($AZ$5/$B53),".")</f>
        <v>0</v>
      </c>
      <c r="AF53" s="49">
        <f>IFERROR(s_RadSpec!$E$5*($AZ$5/$B53),".")</f>
        <v>0</v>
      </c>
      <c r="AG53" s="49">
        <f>IFERROR(s_RadSpec!$E$5*($AZ$5/$B53),".")</f>
        <v>0</v>
      </c>
      <c r="AH53" s="49">
        <f>IFERROR(s_RadSpec!$E$5*($AZ$5/$B53),".")</f>
        <v>0</v>
      </c>
      <c r="AI53" s="49">
        <f>IFERROR(s_RadSpec!$E$5*($AZ$5/$B53),".")</f>
        <v>0</v>
      </c>
      <c r="AJ53" s="49">
        <f>IFERROR(s_RadSpec!$E$5*($AZ$5/$B53),".")</f>
        <v>0</v>
      </c>
      <c r="AK53" s="49">
        <f>IFERROR(s_RadSpec!$E$5*($AZ$5/$B53),".")</f>
        <v>0</v>
      </c>
      <c r="AL53" s="49">
        <f>IFERROR(s_RadSpec!$E$5*($AZ$5/$B53),".")</f>
        <v>0</v>
      </c>
      <c r="AM53" s="49">
        <f>IFERROR(s_RadSpec!$E$5*($AZ$5/$B53),".")</f>
        <v>0</v>
      </c>
      <c r="AN53" s="49">
        <f>IFERROR(s_RadSpec!$E$5*($AZ$5/$B53),".")</f>
        <v>0</v>
      </c>
      <c r="AO53" s="49">
        <f>IFERROR(s_RadSpec!$E$5*($AZ$5/$B53),".")</f>
        <v>0</v>
      </c>
      <c r="AP53" s="49">
        <f>IFERROR(s_RadSpec!$E$5*($AZ$5/$B53),".")</f>
        <v>0</v>
      </c>
      <c r="AQ53" s="49">
        <f>IFERROR(s_RadSpec!$E$5*($AZ$5/$B53),".")</f>
        <v>0</v>
      </c>
      <c r="AR53" s="49">
        <f>IFERROR(s_RadSpec!$E$5*($AZ$5/$B53),".")</f>
        <v>0</v>
      </c>
      <c r="AS53" s="49">
        <f>IFERROR(s_RadSpec!$E$5*($AZ$5/$B53),".")</f>
        <v>0</v>
      </c>
      <c r="AT53" s="49">
        <f>IFERROR(s_RadSpec!$E$5*($AZ$5/$B53),".")</f>
        <v>0</v>
      </c>
      <c r="AU53" s="49">
        <f>IFERROR(s_RadSpec!$E$5*($AZ$5/$B53),".")</f>
        <v>0</v>
      </c>
      <c r="AV53" s="49">
        <f>IFERROR(s_RadSpec!$E$5*($AZ$5/$B53),".")</f>
        <v>0</v>
      </c>
      <c r="AW53" s="49">
        <f>IFERROR(s_RadSpec!$E$5*($AZ$5/$B53),".")</f>
        <v>0</v>
      </c>
      <c r="AX53" s="49">
        <f>IFERROR(s_RadSpec!$E$5*($AZ$5/$B53),".")</f>
        <v>0</v>
      </c>
      <c r="AY53" s="49">
        <f>IFERROR(s_RadSpec!$E$5*($AZ$5/$B53),".")</f>
        <v>0</v>
      </c>
      <c r="AZ53" s="49">
        <f>IFERROR(s_RadSpec!$E$5*($AZ$5/$B53),".")</f>
        <v>0</v>
      </c>
      <c r="BA53" s="60" t="str">
        <f t="shared" si="13"/>
        <v>.</v>
      </c>
      <c r="BB53" s="60">
        <f t="shared" ref="BB53:BY53" si="60">IFERROR($B53/BB5,0)</f>
        <v>0</v>
      </c>
      <c r="BC53" s="60">
        <f t="shared" si="60"/>
        <v>0</v>
      </c>
      <c r="BD53" s="60">
        <f t="shared" si="60"/>
        <v>0</v>
      </c>
      <c r="BE53" s="60">
        <f t="shared" si="60"/>
        <v>0</v>
      </c>
      <c r="BF53" s="60">
        <f t="shared" si="60"/>
        <v>0</v>
      </c>
      <c r="BG53" s="60">
        <f t="shared" si="60"/>
        <v>0</v>
      </c>
      <c r="BH53" s="60">
        <f t="shared" si="60"/>
        <v>0</v>
      </c>
      <c r="BI53" s="60">
        <f t="shared" si="60"/>
        <v>0</v>
      </c>
      <c r="BJ53" s="60">
        <f t="shared" si="60"/>
        <v>0</v>
      </c>
      <c r="BK53" s="60">
        <f t="shared" si="60"/>
        <v>0</v>
      </c>
      <c r="BL53" s="60">
        <f t="shared" si="60"/>
        <v>0</v>
      </c>
      <c r="BM53" s="60">
        <f t="shared" si="60"/>
        <v>0</v>
      </c>
      <c r="BN53" s="60">
        <f t="shared" si="60"/>
        <v>0</v>
      </c>
      <c r="BO53" s="60">
        <f t="shared" si="60"/>
        <v>0</v>
      </c>
      <c r="BP53" s="60">
        <f t="shared" si="60"/>
        <v>0</v>
      </c>
      <c r="BQ53" s="60">
        <f t="shared" si="60"/>
        <v>0</v>
      </c>
      <c r="BR53" s="60">
        <f t="shared" si="60"/>
        <v>0</v>
      </c>
      <c r="BS53" s="60">
        <f t="shared" si="60"/>
        <v>0</v>
      </c>
      <c r="BT53" s="60">
        <f t="shared" si="60"/>
        <v>0</v>
      </c>
      <c r="BU53" s="60">
        <f t="shared" si="60"/>
        <v>0</v>
      </c>
      <c r="BV53" s="60">
        <f t="shared" si="60"/>
        <v>0</v>
      </c>
      <c r="BW53" s="60">
        <f t="shared" si="60"/>
        <v>0</v>
      </c>
      <c r="BX53" s="60">
        <f t="shared" si="60"/>
        <v>0</v>
      </c>
      <c r="BY53" s="60">
        <f t="shared" si="60"/>
        <v>0</v>
      </c>
      <c r="BZ53" s="49">
        <f t="shared" si="5"/>
        <v>0</v>
      </c>
      <c r="CA53" s="49">
        <f>IFERROR(s_RadSpec!$E$5*(CA5/$B53),".")</f>
        <v>0</v>
      </c>
      <c r="CB53" s="49">
        <f>IFERROR(s_RadSpec!$E$5*(CB5/$B53),".")</f>
        <v>0</v>
      </c>
      <c r="CC53" s="49">
        <f>IFERROR(s_RadSpec!$E$5*(CC5/$B53),".")</f>
        <v>0</v>
      </c>
      <c r="CD53" s="49">
        <f>IFERROR(s_RadSpec!$E$5*(CD5/$B53),".")</f>
        <v>0</v>
      </c>
      <c r="CE53" s="49">
        <f>IFERROR(s_RadSpec!$E$5*(CE5/$B53),".")</f>
        <v>0</v>
      </c>
      <c r="CF53" s="49">
        <f>IFERROR(s_RadSpec!$E$5*(CF5/$B53),".")</f>
        <v>0</v>
      </c>
      <c r="CG53" s="49">
        <f>IFERROR(s_RadSpec!$E$5*(CG5/$B53),".")</f>
        <v>0</v>
      </c>
      <c r="CH53" s="49">
        <f>IFERROR(s_RadSpec!$E$5*(CH5/$B53),".")</f>
        <v>0</v>
      </c>
      <c r="CI53" s="49">
        <f>IFERROR(s_RadSpec!$E$5*(CI5/$B53),".")</f>
        <v>0</v>
      </c>
      <c r="CJ53" s="49">
        <f>IFERROR(s_RadSpec!$E$5*(CJ5/$B53),".")</f>
        <v>0</v>
      </c>
      <c r="CK53" s="49">
        <f>IFERROR(s_RadSpec!$E$5*(CK5/$B53),".")</f>
        <v>0</v>
      </c>
      <c r="CL53" s="49">
        <f>IFERROR(s_RadSpec!$E$5*(CL5/$B53),".")</f>
        <v>0</v>
      </c>
      <c r="CM53" s="49">
        <f>IFERROR(s_RadSpec!$E$5*(CM5/$B53),".")</f>
        <v>0</v>
      </c>
      <c r="CN53" s="49">
        <f>IFERROR(s_RadSpec!$E$5*(CN5/$B53),".")</f>
        <v>0</v>
      </c>
      <c r="CO53" s="49">
        <f>IFERROR(s_RadSpec!$E$5*(CO5/$B53),".")</f>
        <v>0</v>
      </c>
      <c r="CP53" s="49">
        <f>IFERROR(s_RadSpec!$E$5*(CP5/$B53),".")</f>
        <v>0</v>
      </c>
      <c r="CQ53" s="49">
        <f>IFERROR(s_RadSpec!$E$5*(CQ5/$B53),".")</f>
        <v>0</v>
      </c>
      <c r="CR53" s="49">
        <f>IFERROR(s_RadSpec!$E$5*(CR5/$B53),".")</f>
        <v>0</v>
      </c>
      <c r="CS53" s="49">
        <f>IFERROR(s_RadSpec!$E$5*(CS5/$B53),".")</f>
        <v>0</v>
      </c>
      <c r="CT53" s="49">
        <f>IFERROR(s_RadSpec!$E$5*(CT5/$B53),".")</f>
        <v>0</v>
      </c>
      <c r="CU53" s="49">
        <f>IFERROR(s_RadSpec!$E$5*(CU5/$B53),".")</f>
        <v>0</v>
      </c>
      <c r="CV53" s="49">
        <f>IFERROR(s_RadSpec!$E$5*(CV5/$B53),".")</f>
        <v>0</v>
      </c>
      <c r="CW53" s="49">
        <f>IFERROR(s_RadSpec!$E$5*(CW5/$B53),".")</f>
        <v>0</v>
      </c>
      <c r="CX53" s="49">
        <f>IFERROR(s_RadSpec!$E$5*(CX5/$B53),".")</f>
        <v>0</v>
      </c>
    </row>
    <row r="54" spans="1:102" x14ac:dyDescent="0.25">
      <c r="A54" s="83" t="s">
        <v>1092</v>
      </c>
      <c r="B54" s="42">
        <v>0.99999979999999999</v>
      </c>
      <c r="C54" s="60">
        <f t="shared" si="10"/>
        <v>3019.1915020404967</v>
      </c>
      <c r="D54" s="60">
        <f t="shared" ref="D54:AA54" si="61">IFERROR(D9/$B54,0)</f>
        <v>12076.766008161987</v>
      </c>
      <c r="E54" s="60">
        <f t="shared" si="61"/>
        <v>12076.766008161987</v>
      </c>
      <c r="F54" s="60">
        <f t="shared" si="61"/>
        <v>12076.766008161987</v>
      </c>
      <c r="G54" s="60">
        <f t="shared" si="61"/>
        <v>12076.766008161987</v>
      </c>
      <c r="H54" s="60">
        <f t="shared" si="61"/>
        <v>12076.766008161987</v>
      </c>
      <c r="I54" s="60">
        <f t="shared" si="61"/>
        <v>12076.766008161987</v>
      </c>
      <c r="J54" s="60">
        <f t="shared" si="61"/>
        <v>12076.766008161987</v>
      </c>
      <c r="K54" s="60">
        <f t="shared" si="61"/>
        <v>12076.766008161987</v>
      </c>
      <c r="L54" s="60">
        <f t="shared" si="61"/>
        <v>12076.766008161987</v>
      </c>
      <c r="M54" s="60">
        <f t="shared" si="61"/>
        <v>12076.766008161987</v>
      </c>
      <c r="N54" s="60">
        <f t="shared" si="61"/>
        <v>12076.766008161987</v>
      </c>
      <c r="O54" s="60">
        <f t="shared" si="61"/>
        <v>12076.766008161987</v>
      </c>
      <c r="P54" s="60">
        <f t="shared" si="61"/>
        <v>12076.766008161987</v>
      </c>
      <c r="Q54" s="60">
        <f t="shared" si="61"/>
        <v>12076.766008161987</v>
      </c>
      <c r="R54" s="60">
        <f t="shared" si="61"/>
        <v>12076.766008161987</v>
      </c>
      <c r="S54" s="60">
        <f t="shared" si="61"/>
        <v>12076.766008161987</v>
      </c>
      <c r="T54" s="60">
        <f t="shared" si="61"/>
        <v>12076.766008161987</v>
      </c>
      <c r="U54" s="60">
        <f t="shared" si="61"/>
        <v>12076.766008161987</v>
      </c>
      <c r="V54" s="60">
        <f t="shared" si="61"/>
        <v>12076.766008161987</v>
      </c>
      <c r="W54" s="60">
        <f t="shared" si="61"/>
        <v>12076.766008161987</v>
      </c>
      <c r="X54" s="60">
        <f t="shared" si="61"/>
        <v>12076.766008161987</v>
      </c>
      <c r="Y54" s="60">
        <f t="shared" si="61"/>
        <v>12076.766008161987</v>
      </c>
      <c r="Z54" s="60">
        <f t="shared" si="61"/>
        <v>12076.766008161987</v>
      </c>
      <c r="AA54" s="60">
        <f t="shared" si="61"/>
        <v>12076.766008161987</v>
      </c>
      <c r="AB54" s="49">
        <f t="shared" si="12"/>
        <v>1.6560731562146313E-9</v>
      </c>
      <c r="AC54" s="49">
        <f>IFERROR(s_RadSpec!$E$9*($AZ$9/$B54),".")</f>
        <v>4.1401828905365783E-10</v>
      </c>
      <c r="AD54" s="49">
        <f>IFERROR(s_RadSpec!$E$9*($AZ$9/$B54),".")</f>
        <v>4.1401828905365783E-10</v>
      </c>
      <c r="AE54" s="49">
        <f>IFERROR(s_RadSpec!$E$9*($AZ$9/$B54),".")</f>
        <v>4.1401828905365783E-10</v>
      </c>
      <c r="AF54" s="49">
        <f>IFERROR(s_RadSpec!$E$9*($AZ$9/$B54),".")</f>
        <v>4.1401828905365783E-10</v>
      </c>
      <c r="AG54" s="49">
        <f>IFERROR(s_RadSpec!$E$9*($AZ$9/$B54),".")</f>
        <v>4.1401828905365783E-10</v>
      </c>
      <c r="AH54" s="49">
        <f>IFERROR(s_RadSpec!$E$9*($AZ$9/$B54),".")</f>
        <v>4.1401828905365783E-10</v>
      </c>
      <c r="AI54" s="49">
        <f>IFERROR(s_RadSpec!$E$9*($AZ$9/$B54),".")</f>
        <v>4.1401828905365783E-10</v>
      </c>
      <c r="AJ54" s="49">
        <f>IFERROR(s_RadSpec!$E$9*($AZ$9/$B54),".")</f>
        <v>4.1401828905365783E-10</v>
      </c>
      <c r="AK54" s="49">
        <f>IFERROR(s_RadSpec!$E$9*($AZ$9/$B54),".")</f>
        <v>4.1401828905365783E-10</v>
      </c>
      <c r="AL54" s="49">
        <f>IFERROR(s_RadSpec!$E$9*($AZ$9/$B54),".")</f>
        <v>4.1401828905365783E-10</v>
      </c>
      <c r="AM54" s="49">
        <f>IFERROR(s_RadSpec!$E$9*($AZ$9/$B54),".")</f>
        <v>4.1401828905365783E-10</v>
      </c>
      <c r="AN54" s="49">
        <f>IFERROR(s_RadSpec!$E$9*($AZ$9/$B54),".")</f>
        <v>4.1401828905365783E-10</v>
      </c>
      <c r="AO54" s="49">
        <f>IFERROR(s_RadSpec!$E$9*($AZ$9/$B54),".")</f>
        <v>4.1401828905365783E-10</v>
      </c>
      <c r="AP54" s="49">
        <f>IFERROR(s_RadSpec!$E$9*($AZ$9/$B54),".")</f>
        <v>4.1401828905365783E-10</v>
      </c>
      <c r="AQ54" s="49">
        <f>IFERROR(s_RadSpec!$E$9*($AZ$9/$B54),".")</f>
        <v>4.1401828905365783E-10</v>
      </c>
      <c r="AR54" s="49">
        <f>IFERROR(s_RadSpec!$E$9*($AZ$9/$B54),".")</f>
        <v>4.1401828905365783E-10</v>
      </c>
      <c r="AS54" s="49">
        <f>IFERROR(s_RadSpec!$E$9*($AZ$9/$B54),".")</f>
        <v>4.1401828905365783E-10</v>
      </c>
      <c r="AT54" s="49">
        <f>IFERROR(s_RadSpec!$E$9*($AZ$9/$B54),".")</f>
        <v>4.1401828905365783E-10</v>
      </c>
      <c r="AU54" s="49">
        <f>IFERROR(s_RadSpec!$E$9*($AZ$9/$B54),".")</f>
        <v>4.1401828905365783E-10</v>
      </c>
      <c r="AV54" s="49">
        <f>IFERROR(s_RadSpec!$E$9*($AZ$9/$B54),".")</f>
        <v>4.1401828905365783E-10</v>
      </c>
      <c r="AW54" s="49">
        <f>IFERROR(s_RadSpec!$E$9*($AZ$9/$B54),".")</f>
        <v>4.1401828905365783E-10</v>
      </c>
      <c r="AX54" s="49">
        <f>IFERROR(s_RadSpec!$E$9*($AZ$9/$B54),".")</f>
        <v>4.1401828905365783E-10</v>
      </c>
      <c r="AY54" s="49">
        <f>IFERROR(s_RadSpec!$E$9*($AZ$9/$B54),".")</f>
        <v>4.1401828905365783E-10</v>
      </c>
      <c r="AZ54" s="49">
        <f>IFERROR(s_RadSpec!$E$9*($AZ$9/$B54),".")</f>
        <v>4.1401828905365783E-10</v>
      </c>
      <c r="BA54" s="60">
        <f t="shared" si="13"/>
        <v>2.0700906172317943E-5</v>
      </c>
      <c r="BB54" s="60">
        <f t="shared" ref="BB54:BY54" si="62">IFERROR($B54/BB9,0)</f>
        <v>8.2803624689271773E-5</v>
      </c>
      <c r="BC54" s="60">
        <f t="shared" si="62"/>
        <v>8.2803624689271773E-5</v>
      </c>
      <c r="BD54" s="60">
        <f t="shared" si="62"/>
        <v>8.2803624689271773E-5</v>
      </c>
      <c r="BE54" s="60">
        <f t="shared" si="62"/>
        <v>8.2803624689271773E-5</v>
      </c>
      <c r="BF54" s="60">
        <f t="shared" si="62"/>
        <v>8.2803624689271773E-5</v>
      </c>
      <c r="BG54" s="60">
        <f t="shared" si="62"/>
        <v>8.2803624689271773E-5</v>
      </c>
      <c r="BH54" s="60">
        <f t="shared" si="62"/>
        <v>8.2803624689271773E-5</v>
      </c>
      <c r="BI54" s="60">
        <f t="shared" si="62"/>
        <v>8.2803624689271773E-5</v>
      </c>
      <c r="BJ54" s="60">
        <f t="shared" si="62"/>
        <v>8.2803624689271773E-5</v>
      </c>
      <c r="BK54" s="60">
        <f t="shared" si="62"/>
        <v>8.2803624689271773E-5</v>
      </c>
      <c r="BL54" s="60">
        <f t="shared" si="62"/>
        <v>8.2803624689271773E-5</v>
      </c>
      <c r="BM54" s="60">
        <f t="shared" si="62"/>
        <v>8.2803624689271773E-5</v>
      </c>
      <c r="BN54" s="60">
        <f t="shared" si="62"/>
        <v>8.2803624689271773E-5</v>
      </c>
      <c r="BO54" s="60">
        <f t="shared" si="62"/>
        <v>8.2803624689271773E-5</v>
      </c>
      <c r="BP54" s="60">
        <f t="shared" si="62"/>
        <v>8.2803624689271773E-5</v>
      </c>
      <c r="BQ54" s="60">
        <f t="shared" si="62"/>
        <v>8.2803624689271773E-5</v>
      </c>
      <c r="BR54" s="60">
        <f t="shared" si="62"/>
        <v>8.2803624689271773E-5</v>
      </c>
      <c r="BS54" s="60">
        <f t="shared" si="62"/>
        <v>8.2803624689271773E-5</v>
      </c>
      <c r="BT54" s="60">
        <f t="shared" si="62"/>
        <v>8.2803624689271773E-5</v>
      </c>
      <c r="BU54" s="60">
        <f t="shared" si="62"/>
        <v>8.2803624689271773E-5</v>
      </c>
      <c r="BV54" s="60">
        <f t="shared" si="62"/>
        <v>8.2803624689271773E-5</v>
      </c>
      <c r="BW54" s="60">
        <f t="shared" si="62"/>
        <v>8.2803624689271773E-5</v>
      </c>
      <c r="BX54" s="60">
        <f t="shared" si="62"/>
        <v>8.2803624689271773E-5</v>
      </c>
      <c r="BY54" s="60">
        <f t="shared" si="62"/>
        <v>8.2803624689271773E-5</v>
      </c>
      <c r="BZ54" s="49">
        <f t="shared" si="5"/>
        <v>1.6560731562146313E-9</v>
      </c>
      <c r="CA54" s="49">
        <f>IFERROR(s_RadSpec!$E$9*(CA9/$B54),".")</f>
        <v>4.1401828905365783E-10</v>
      </c>
      <c r="CB54" s="49">
        <f>IFERROR(s_RadSpec!$E$9*(CB9/$B54),".")</f>
        <v>4.1401828905365783E-10</v>
      </c>
      <c r="CC54" s="49">
        <f>IFERROR(s_RadSpec!$E$9*(CC9/$B54),".")</f>
        <v>4.1401828905365783E-10</v>
      </c>
      <c r="CD54" s="49">
        <f>IFERROR(s_RadSpec!$E$9*(CD9/$B54),".")</f>
        <v>4.1401828905365783E-10</v>
      </c>
      <c r="CE54" s="49">
        <f>IFERROR(s_RadSpec!$E$9*(CE9/$B54),".")</f>
        <v>4.1401828905365783E-10</v>
      </c>
      <c r="CF54" s="49">
        <f>IFERROR(s_RadSpec!$E$9*(CF9/$B54),".")</f>
        <v>4.1401828905365783E-10</v>
      </c>
      <c r="CG54" s="49">
        <f>IFERROR(s_RadSpec!$E$9*(CG9/$B54),".")</f>
        <v>4.1401828905365783E-10</v>
      </c>
      <c r="CH54" s="49">
        <f>IFERROR(s_RadSpec!$E$9*(CH9/$B54),".")</f>
        <v>4.1401828905365783E-10</v>
      </c>
      <c r="CI54" s="49">
        <f>IFERROR(s_RadSpec!$E$9*(CI9/$B54),".")</f>
        <v>4.1401828905365783E-10</v>
      </c>
      <c r="CJ54" s="49">
        <f>IFERROR(s_RadSpec!$E$9*(CJ9/$B54),".")</f>
        <v>4.1401828905365783E-10</v>
      </c>
      <c r="CK54" s="49">
        <f>IFERROR(s_RadSpec!$E$9*(CK9/$B54),".")</f>
        <v>4.1401828905365783E-10</v>
      </c>
      <c r="CL54" s="49">
        <f>IFERROR(s_RadSpec!$E$9*(CL9/$B54),".")</f>
        <v>4.1401828905365783E-10</v>
      </c>
      <c r="CM54" s="49">
        <f>IFERROR(s_RadSpec!$E$9*(CM9/$B54),".")</f>
        <v>4.1401828905365783E-10</v>
      </c>
      <c r="CN54" s="49">
        <f>IFERROR(s_RadSpec!$E$9*(CN9/$B54),".")</f>
        <v>4.1401828905365783E-10</v>
      </c>
      <c r="CO54" s="49">
        <f>IFERROR(s_RadSpec!$E$9*(CO9/$B54),".")</f>
        <v>4.1401828905365783E-10</v>
      </c>
      <c r="CP54" s="49">
        <f>IFERROR(s_RadSpec!$E$9*(CP9/$B54),".")</f>
        <v>4.1401828905365783E-10</v>
      </c>
      <c r="CQ54" s="49">
        <f>IFERROR(s_RadSpec!$E$9*(CQ9/$B54),".")</f>
        <v>4.1401828905365783E-10</v>
      </c>
      <c r="CR54" s="49">
        <f>IFERROR(s_RadSpec!$E$9*(CR9/$B54),".")</f>
        <v>4.1401828905365783E-10</v>
      </c>
      <c r="CS54" s="49">
        <f>IFERROR(s_RadSpec!$E$9*(CS9/$B54),".")</f>
        <v>4.1401828905365783E-10</v>
      </c>
      <c r="CT54" s="49">
        <f>IFERROR(s_RadSpec!$E$9*(CT9/$B54),".")</f>
        <v>4.1401828905365783E-10</v>
      </c>
      <c r="CU54" s="49">
        <f>IFERROR(s_RadSpec!$E$9*(CU9/$B54),".")</f>
        <v>4.1401828905365783E-10</v>
      </c>
      <c r="CV54" s="49">
        <f>IFERROR(s_RadSpec!$E$9*(CV9/$B54),".")</f>
        <v>4.1401828905365783E-10</v>
      </c>
      <c r="CW54" s="49">
        <f>IFERROR(s_RadSpec!$E$9*(CW9/$B54),".")</f>
        <v>4.1401828905365783E-10</v>
      </c>
      <c r="CX54" s="49">
        <f>IFERROR(s_RadSpec!$E$9*(CX9/$B54),".")</f>
        <v>4.1401828905365783E-10</v>
      </c>
    </row>
    <row r="55" spans="1:102" x14ac:dyDescent="0.25">
      <c r="A55" s="83" t="s">
        <v>1093</v>
      </c>
      <c r="B55" s="42">
        <v>1.9999999999999999E-7</v>
      </c>
      <c r="C55" s="60" t="str">
        <f t="shared" si="10"/>
        <v>.</v>
      </c>
      <c r="D55" s="60">
        <f t="shared" ref="D55:AA55" si="63">IFERROR(D24/$B55,0)</f>
        <v>0</v>
      </c>
      <c r="E55" s="60">
        <f t="shared" si="63"/>
        <v>0</v>
      </c>
      <c r="F55" s="60">
        <f t="shared" si="63"/>
        <v>0</v>
      </c>
      <c r="G55" s="60">
        <f t="shared" si="63"/>
        <v>0</v>
      </c>
      <c r="H55" s="60">
        <f t="shared" si="63"/>
        <v>0</v>
      </c>
      <c r="I55" s="60">
        <f t="shared" si="63"/>
        <v>0</v>
      </c>
      <c r="J55" s="60">
        <f t="shared" si="63"/>
        <v>0</v>
      </c>
      <c r="K55" s="60">
        <f t="shared" si="63"/>
        <v>0</v>
      </c>
      <c r="L55" s="60">
        <f t="shared" si="63"/>
        <v>0</v>
      </c>
      <c r="M55" s="60">
        <f t="shared" si="63"/>
        <v>0</v>
      </c>
      <c r="N55" s="60">
        <f t="shared" si="63"/>
        <v>0</v>
      </c>
      <c r="O55" s="60">
        <f t="shared" si="63"/>
        <v>0</v>
      </c>
      <c r="P55" s="60">
        <f t="shared" si="63"/>
        <v>0</v>
      </c>
      <c r="Q55" s="60">
        <f t="shared" si="63"/>
        <v>0</v>
      </c>
      <c r="R55" s="60">
        <f t="shared" si="63"/>
        <v>0</v>
      </c>
      <c r="S55" s="60">
        <f t="shared" si="63"/>
        <v>0</v>
      </c>
      <c r="T55" s="60">
        <f t="shared" si="63"/>
        <v>0</v>
      </c>
      <c r="U55" s="60">
        <f t="shared" si="63"/>
        <v>0</v>
      </c>
      <c r="V55" s="60">
        <f t="shared" si="63"/>
        <v>0</v>
      </c>
      <c r="W55" s="60">
        <f t="shared" si="63"/>
        <v>0</v>
      </c>
      <c r="X55" s="60">
        <f t="shared" si="63"/>
        <v>0</v>
      </c>
      <c r="Y55" s="60">
        <f t="shared" si="63"/>
        <v>0</v>
      </c>
      <c r="Z55" s="60">
        <f t="shared" si="63"/>
        <v>0</v>
      </c>
      <c r="AA55" s="60">
        <f t="shared" si="63"/>
        <v>0</v>
      </c>
      <c r="AB55" s="49">
        <f t="shared" si="12"/>
        <v>0</v>
      </c>
      <c r="AC55" s="49">
        <f>IFERROR(s_RadSpec!$E$24*($AZ$24/$B55),".")</f>
        <v>0</v>
      </c>
      <c r="AD55" s="49">
        <f>IFERROR(s_RadSpec!$E$24*($AZ$24/$B55),".")</f>
        <v>0</v>
      </c>
      <c r="AE55" s="49">
        <f>IFERROR(s_RadSpec!$E$24*($AZ$24/$B55),".")</f>
        <v>0</v>
      </c>
      <c r="AF55" s="49">
        <f>IFERROR(s_RadSpec!$E$24*($AZ$24/$B55),".")</f>
        <v>0</v>
      </c>
      <c r="AG55" s="49">
        <f>IFERROR(s_RadSpec!$E$24*($AZ$24/$B55),".")</f>
        <v>0</v>
      </c>
      <c r="AH55" s="49">
        <f>IFERROR(s_RadSpec!$E$24*($AZ$24/$B55),".")</f>
        <v>0</v>
      </c>
      <c r="AI55" s="49">
        <f>IFERROR(s_RadSpec!$E$24*($AZ$24/$B55),".")</f>
        <v>0</v>
      </c>
      <c r="AJ55" s="49">
        <f>IFERROR(s_RadSpec!$E$24*($AZ$24/$B55),".")</f>
        <v>0</v>
      </c>
      <c r="AK55" s="49">
        <f>IFERROR(s_RadSpec!$E$24*($AZ$24/$B55),".")</f>
        <v>0</v>
      </c>
      <c r="AL55" s="49">
        <f>IFERROR(s_RadSpec!$E$24*($AZ$24/$B55),".")</f>
        <v>0</v>
      </c>
      <c r="AM55" s="49">
        <f>IFERROR(s_RadSpec!$E$24*($AZ$24/$B55),".")</f>
        <v>0</v>
      </c>
      <c r="AN55" s="49">
        <f>IFERROR(s_RadSpec!$E$24*($AZ$24/$B55),".")</f>
        <v>0</v>
      </c>
      <c r="AO55" s="49">
        <f>IFERROR(s_RadSpec!$E$24*($AZ$24/$B55),".")</f>
        <v>0</v>
      </c>
      <c r="AP55" s="49">
        <f>IFERROR(s_RadSpec!$E$24*($AZ$24/$B55),".")</f>
        <v>0</v>
      </c>
      <c r="AQ55" s="49">
        <f>IFERROR(s_RadSpec!$E$24*($AZ$24/$B55),".")</f>
        <v>0</v>
      </c>
      <c r="AR55" s="49">
        <f>IFERROR(s_RadSpec!$E$24*($AZ$24/$B55),".")</f>
        <v>0</v>
      </c>
      <c r="AS55" s="49">
        <f>IFERROR(s_RadSpec!$E$24*($AZ$24/$B55),".")</f>
        <v>0</v>
      </c>
      <c r="AT55" s="49">
        <f>IFERROR(s_RadSpec!$E$24*($AZ$24/$B55),".")</f>
        <v>0</v>
      </c>
      <c r="AU55" s="49">
        <f>IFERROR(s_RadSpec!$E$24*($AZ$24/$B55),".")</f>
        <v>0</v>
      </c>
      <c r="AV55" s="49">
        <f>IFERROR(s_RadSpec!$E$24*($AZ$24/$B55),".")</f>
        <v>0</v>
      </c>
      <c r="AW55" s="49">
        <f>IFERROR(s_RadSpec!$E$24*($AZ$24/$B55),".")</f>
        <v>0</v>
      </c>
      <c r="AX55" s="49">
        <f>IFERROR(s_RadSpec!$E$24*($AZ$24/$B55),".")</f>
        <v>0</v>
      </c>
      <c r="AY55" s="49">
        <f>IFERROR(s_RadSpec!$E$24*($AZ$24/$B55),".")</f>
        <v>0</v>
      </c>
      <c r="AZ55" s="49">
        <f>IFERROR(s_RadSpec!$E$24*($AZ$24/$B55),".")</f>
        <v>0</v>
      </c>
      <c r="BA55" s="60" t="str">
        <f t="shared" si="13"/>
        <v>.</v>
      </c>
      <c r="BB55" s="60">
        <f t="shared" ref="BB55:BY55" si="64">IFERROR($B55/BB24,0)</f>
        <v>0</v>
      </c>
      <c r="BC55" s="60">
        <f t="shared" si="64"/>
        <v>0</v>
      </c>
      <c r="BD55" s="60">
        <f t="shared" si="64"/>
        <v>0</v>
      </c>
      <c r="BE55" s="60">
        <f t="shared" si="64"/>
        <v>0</v>
      </c>
      <c r="BF55" s="60">
        <f t="shared" si="64"/>
        <v>0</v>
      </c>
      <c r="BG55" s="60">
        <f t="shared" si="64"/>
        <v>0</v>
      </c>
      <c r="BH55" s="60">
        <f t="shared" si="64"/>
        <v>0</v>
      </c>
      <c r="BI55" s="60">
        <f t="shared" si="64"/>
        <v>0</v>
      </c>
      <c r="BJ55" s="60">
        <f t="shared" si="64"/>
        <v>0</v>
      </c>
      <c r="BK55" s="60">
        <f t="shared" si="64"/>
        <v>0</v>
      </c>
      <c r="BL55" s="60">
        <f t="shared" si="64"/>
        <v>0</v>
      </c>
      <c r="BM55" s="60">
        <f t="shared" si="64"/>
        <v>0</v>
      </c>
      <c r="BN55" s="60">
        <f t="shared" si="64"/>
        <v>0</v>
      </c>
      <c r="BO55" s="60">
        <f t="shared" si="64"/>
        <v>0</v>
      </c>
      <c r="BP55" s="60">
        <f t="shared" si="64"/>
        <v>0</v>
      </c>
      <c r="BQ55" s="60">
        <f t="shared" si="64"/>
        <v>0</v>
      </c>
      <c r="BR55" s="60">
        <f t="shared" si="64"/>
        <v>0</v>
      </c>
      <c r="BS55" s="60">
        <f t="shared" si="64"/>
        <v>0</v>
      </c>
      <c r="BT55" s="60">
        <f t="shared" si="64"/>
        <v>0</v>
      </c>
      <c r="BU55" s="60">
        <f t="shared" si="64"/>
        <v>0</v>
      </c>
      <c r="BV55" s="60">
        <f t="shared" si="64"/>
        <v>0</v>
      </c>
      <c r="BW55" s="60">
        <f t="shared" si="64"/>
        <v>0</v>
      </c>
      <c r="BX55" s="60">
        <f t="shared" si="64"/>
        <v>0</v>
      </c>
      <c r="BY55" s="60">
        <f t="shared" si="64"/>
        <v>0</v>
      </c>
      <c r="BZ55" s="49">
        <f t="shared" si="5"/>
        <v>0</v>
      </c>
      <c r="CA55" s="49">
        <f>IFERROR(s_RadSpec!$E$24*(CA24/$B55),".")</f>
        <v>0</v>
      </c>
      <c r="CB55" s="49">
        <f>IFERROR(s_RadSpec!$E$24*(CB24/$B55),".")</f>
        <v>0</v>
      </c>
      <c r="CC55" s="49">
        <f>IFERROR(s_RadSpec!$E$24*(CC24/$B55),".")</f>
        <v>0</v>
      </c>
      <c r="CD55" s="49">
        <f>IFERROR(s_RadSpec!$E$24*(CD24/$B55),".")</f>
        <v>0</v>
      </c>
      <c r="CE55" s="49">
        <f>IFERROR(s_RadSpec!$E$24*(CE24/$B55),".")</f>
        <v>0</v>
      </c>
      <c r="CF55" s="49">
        <f>IFERROR(s_RadSpec!$E$24*(CF24/$B55),".")</f>
        <v>0</v>
      </c>
      <c r="CG55" s="49">
        <f>IFERROR(s_RadSpec!$E$24*(CG24/$B55),".")</f>
        <v>0</v>
      </c>
      <c r="CH55" s="49">
        <f>IFERROR(s_RadSpec!$E$24*(CH24/$B55),".")</f>
        <v>0</v>
      </c>
      <c r="CI55" s="49">
        <f>IFERROR(s_RadSpec!$E$24*(CI24/$B55),".")</f>
        <v>0</v>
      </c>
      <c r="CJ55" s="49">
        <f>IFERROR(s_RadSpec!$E$24*(CJ24/$B55),".")</f>
        <v>0</v>
      </c>
      <c r="CK55" s="49">
        <f>IFERROR(s_RadSpec!$E$24*(CK24/$B55),".")</f>
        <v>0</v>
      </c>
      <c r="CL55" s="49">
        <f>IFERROR(s_RadSpec!$E$24*(CL24/$B55),".")</f>
        <v>0</v>
      </c>
      <c r="CM55" s="49">
        <f>IFERROR(s_RadSpec!$E$24*(CM24/$B55),".")</f>
        <v>0</v>
      </c>
      <c r="CN55" s="49">
        <f>IFERROR(s_RadSpec!$E$24*(CN24/$B55),".")</f>
        <v>0</v>
      </c>
      <c r="CO55" s="49">
        <f>IFERROR(s_RadSpec!$E$24*(CO24/$B55),".")</f>
        <v>0</v>
      </c>
      <c r="CP55" s="49">
        <f>IFERROR(s_RadSpec!$E$24*(CP24/$B55),".")</f>
        <v>0</v>
      </c>
      <c r="CQ55" s="49">
        <f>IFERROR(s_RadSpec!$E$24*(CQ24/$B55),".")</f>
        <v>0</v>
      </c>
      <c r="CR55" s="49">
        <f>IFERROR(s_RadSpec!$E$24*(CR24/$B55),".")</f>
        <v>0</v>
      </c>
      <c r="CS55" s="49">
        <f>IFERROR(s_RadSpec!$E$24*(CS24/$B55),".")</f>
        <v>0</v>
      </c>
      <c r="CT55" s="49">
        <f>IFERROR(s_RadSpec!$E$24*(CT24/$B55),".")</f>
        <v>0</v>
      </c>
      <c r="CU55" s="49">
        <f>IFERROR(s_RadSpec!$E$24*(CU24/$B55),".")</f>
        <v>0</v>
      </c>
      <c r="CV55" s="49">
        <f>IFERROR(s_RadSpec!$E$24*(CV24/$B55),".")</f>
        <v>0</v>
      </c>
      <c r="CW55" s="49">
        <f>IFERROR(s_RadSpec!$E$24*(CW24/$B55),".")</f>
        <v>0</v>
      </c>
      <c r="CX55" s="49">
        <f>IFERROR(s_RadSpec!$E$24*(CX24/$B55),".")</f>
        <v>0</v>
      </c>
    </row>
    <row r="56" spans="1:102" x14ac:dyDescent="0.25">
      <c r="A56" s="83" t="s">
        <v>1094</v>
      </c>
      <c r="B56" s="42">
        <v>0.99979000004200003</v>
      </c>
      <c r="C56" s="60" t="str">
        <f t="shared" si="10"/>
        <v>.</v>
      </c>
      <c r="D56" s="60">
        <f t="shared" ref="D56:AA56" si="65">IFERROR(D20/$B56,0)</f>
        <v>0</v>
      </c>
      <c r="E56" s="60">
        <f t="shared" si="65"/>
        <v>0</v>
      </c>
      <c r="F56" s="60">
        <f t="shared" si="65"/>
        <v>0</v>
      </c>
      <c r="G56" s="60">
        <f t="shared" si="65"/>
        <v>0</v>
      </c>
      <c r="H56" s="60">
        <f t="shared" si="65"/>
        <v>0</v>
      </c>
      <c r="I56" s="60">
        <f t="shared" si="65"/>
        <v>0</v>
      </c>
      <c r="J56" s="60">
        <f t="shared" si="65"/>
        <v>0</v>
      </c>
      <c r="K56" s="60">
        <f t="shared" si="65"/>
        <v>0</v>
      </c>
      <c r="L56" s="60">
        <f t="shared" si="65"/>
        <v>0</v>
      </c>
      <c r="M56" s="60">
        <f t="shared" si="65"/>
        <v>0</v>
      </c>
      <c r="N56" s="60">
        <f t="shared" si="65"/>
        <v>0</v>
      </c>
      <c r="O56" s="60">
        <f t="shared" si="65"/>
        <v>0</v>
      </c>
      <c r="P56" s="60">
        <f t="shared" si="65"/>
        <v>0</v>
      </c>
      <c r="Q56" s="60">
        <f t="shared" si="65"/>
        <v>0</v>
      </c>
      <c r="R56" s="60">
        <f t="shared" si="65"/>
        <v>0</v>
      </c>
      <c r="S56" s="60">
        <f t="shared" si="65"/>
        <v>0</v>
      </c>
      <c r="T56" s="60">
        <f t="shared" si="65"/>
        <v>0</v>
      </c>
      <c r="U56" s="60">
        <f t="shared" si="65"/>
        <v>0</v>
      </c>
      <c r="V56" s="60">
        <f t="shared" si="65"/>
        <v>0</v>
      </c>
      <c r="W56" s="60">
        <f t="shared" si="65"/>
        <v>0</v>
      </c>
      <c r="X56" s="60">
        <f t="shared" si="65"/>
        <v>0</v>
      </c>
      <c r="Y56" s="60">
        <f t="shared" si="65"/>
        <v>0</v>
      </c>
      <c r="Z56" s="60">
        <f t="shared" si="65"/>
        <v>0</v>
      </c>
      <c r="AA56" s="60">
        <f t="shared" si="65"/>
        <v>0</v>
      </c>
      <c r="AB56" s="49">
        <f t="shared" si="12"/>
        <v>0</v>
      </c>
      <c r="AC56" s="49">
        <f>IFERROR(s_RadSpec!$E$20*($AZ$20/$B56),".")</f>
        <v>0</v>
      </c>
      <c r="AD56" s="49">
        <f>IFERROR(s_RadSpec!$E$20*($AZ$20/$B56),".")</f>
        <v>0</v>
      </c>
      <c r="AE56" s="49">
        <f>IFERROR(s_RadSpec!$E$20*($AZ$20/$B56),".")</f>
        <v>0</v>
      </c>
      <c r="AF56" s="49">
        <f>IFERROR(s_RadSpec!$E$20*($AZ$20/$B56),".")</f>
        <v>0</v>
      </c>
      <c r="AG56" s="49">
        <f>IFERROR(s_RadSpec!$E$20*($AZ$20/$B56),".")</f>
        <v>0</v>
      </c>
      <c r="AH56" s="49">
        <f>IFERROR(s_RadSpec!$E$20*($AZ$20/$B56),".")</f>
        <v>0</v>
      </c>
      <c r="AI56" s="49">
        <f>IFERROR(s_RadSpec!$E$20*($AZ$20/$B56),".")</f>
        <v>0</v>
      </c>
      <c r="AJ56" s="49">
        <f>IFERROR(s_RadSpec!$E$20*($AZ$20/$B56),".")</f>
        <v>0</v>
      </c>
      <c r="AK56" s="49">
        <f>IFERROR(s_RadSpec!$E$20*($AZ$20/$B56),".")</f>
        <v>0</v>
      </c>
      <c r="AL56" s="49">
        <f>IFERROR(s_RadSpec!$E$20*($AZ$20/$B56),".")</f>
        <v>0</v>
      </c>
      <c r="AM56" s="49">
        <f>IFERROR(s_RadSpec!$E$20*($AZ$20/$B56),".")</f>
        <v>0</v>
      </c>
      <c r="AN56" s="49">
        <f>IFERROR(s_RadSpec!$E$20*($AZ$20/$B56),".")</f>
        <v>0</v>
      </c>
      <c r="AO56" s="49">
        <f>IFERROR(s_RadSpec!$E$20*($AZ$20/$B56),".")</f>
        <v>0</v>
      </c>
      <c r="AP56" s="49">
        <f>IFERROR(s_RadSpec!$E$20*($AZ$20/$B56),".")</f>
        <v>0</v>
      </c>
      <c r="AQ56" s="49">
        <f>IFERROR(s_RadSpec!$E$20*($AZ$20/$B56),".")</f>
        <v>0</v>
      </c>
      <c r="AR56" s="49">
        <f>IFERROR(s_RadSpec!$E$20*($AZ$20/$B56),".")</f>
        <v>0</v>
      </c>
      <c r="AS56" s="49">
        <f>IFERROR(s_RadSpec!$E$20*($AZ$20/$B56),".")</f>
        <v>0</v>
      </c>
      <c r="AT56" s="49">
        <f>IFERROR(s_RadSpec!$E$20*($AZ$20/$B56),".")</f>
        <v>0</v>
      </c>
      <c r="AU56" s="49">
        <f>IFERROR(s_RadSpec!$E$20*($AZ$20/$B56),".")</f>
        <v>0</v>
      </c>
      <c r="AV56" s="49">
        <f>IFERROR(s_RadSpec!$E$20*($AZ$20/$B56),".")</f>
        <v>0</v>
      </c>
      <c r="AW56" s="49">
        <f>IFERROR(s_RadSpec!$E$20*($AZ$20/$B56),".")</f>
        <v>0</v>
      </c>
      <c r="AX56" s="49">
        <f>IFERROR(s_RadSpec!$E$20*($AZ$20/$B56),".")</f>
        <v>0</v>
      </c>
      <c r="AY56" s="49">
        <f>IFERROR(s_RadSpec!$E$20*($AZ$20/$B56),".")</f>
        <v>0</v>
      </c>
      <c r="AZ56" s="49">
        <f>IFERROR(s_RadSpec!$E$20*($AZ$20/$B56),".")</f>
        <v>0</v>
      </c>
      <c r="BA56" s="60" t="str">
        <f t="shared" si="13"/>
        <v>.</v>
      </c>
      <c r="BB56" s="60">
        <f t="shared" ref="BB56:BY56" si="66">IFERROR($B56/BB20,0)</f>
        <v>0</v>
      </c>
      <c r="BC56" s="60">
        <f t="shared" si="66"/>
        <v>0</v>
      </c>
      <c r="BD56" s="60">
        <f t="shared" si="66"/>
        <v>0</v>
      </c>
      <c r="BE56" s="60">
        <f t="shared" si="66"/>
        <v>0</v>
      </c>
      <c r="BF56" s="60">
        <f t="shared" si="66"/>
        <v>0</v>
      </c>
      <c r="BG56" s="60">
        <f t="shared" si="66"/>
        <v>0</v>
      </c>
      <c r="BH56" s="60">
        <f t="shared" si="66"/>
        <v>0</v>
      </c>
      <c r="BI56" s="60">
        <f t="shared" si="66"/>
        <v>0</v>
      </c>
      <c r="BJ56" s="60">
        <f t="shared" si="66"/>
        <v>0</v>
      </c>
      <c r="BK56" s="60">
        <f t="shared" si="66"/>
        <v>0</v>
      </c>
      <c r="BL56" s="60">
        <f t="shared" si="66"/>
        <v>0</v>
      </c>
      <c r="BM56" s="60">
        <f t="shared" si="66"/>
        <v>0</v>
      </c>
      <c r="BN56" s="60">
        <f t="shared" si="66"/>
        <v>0</v>
      </c>
      <c r="BO56" s="60">
        <f t="shared" si="66"/>
        <v>0</v>
      </c>
      <c r="BP56" s="60">
        <f t="shared" si="66"/>
        <v>0</v>
      </c>
      <c r="BQ56" s="60">
        <f t="shared" si="66"/>
        <v>0</v>
      </c>
      <c r="BR56" s="60">
        <f t="shared" si="66"/>
        <v>0</v>
      </c>
      <c r="BS56" s="60">
        <f t="shared" si="66"/>
        <v>0</v>
      </c>
      <c r="BT56" s="60">
        <f t="shared" si="66"/>
        <v>0</v>
      </c>
      <c r="BU56" s="60">
        <f t="shared" si="66"/>
        <v>0</v>
      </c>
      <c r="BV56" s="60">
        <f t="shared" si="66"/>
        <v>0</v>
      </c>
      <c r="BW56" s="60">
        <f t="shared" si="66"/>
        <v>0</v>
      </c>
      <c r="BX56" s="60">
        <f t="shared" si="66"/>
        <v>0</v>
      </c>
      <c r="BY56" s="60">
        <f t="shared" si="66"/>
        <v>0</v>
      </c>
      <c r="BZ56" s="49">
        <f t="shared" si="5"/>
        <v>0</v>
      </c>
      <c r="CA56" s="49">
        <f>IFERROR(s_RadSpec!$E$20*(CA20/$B56),".")</f>
        <v>0</v>
      </c>
      <c r="CB56" s="49">
        <f>IFERROR(s_RadSpec!$E$20*(CB20/$B56),".")</f>
        <v>0</v>
      </c>
      <c r="CC56" s="49">
        <f>IFERROR(s_RadSpec!$E$20*(CC20/$B56),".")</f>
        <v>0</v>
      </c>
      <c r="CD56" s="49">
        <f>IFERROR(s_RadSpec!$E$20*(CD20/$B56),".")</f>
        <v>0</v>
      </c>
      <c r="CE56" s="49">
        <f>IFERROR(s_RadSpec!$E$20*(CE20/$B56),".")</f>
        <v>0</v>
      </c>
      <c r="CF56" s="49">
        <f>IFERROR(s_RadSpec!$E$20*(CF20/$B56),".")</f>
        <v>0</v>
      </c>
      <c r="CG56" s="49">
        <f>IFERROR(s_RadSpec!$E$20*(CG20/$B56),".")</f>
        <v>0</v>
      </c>
      <c r="CH56" s="49">
        <f>IFERROR(s_RadSpec!$E$20*(CH20/$B56),".")</f>
        <v>0</v>
      </c>
      <c r="CI56" s="49">
        <f>IFERROR(s_RadSpec!$E$20*(CI20/$B56),".")</f>
        <v>0</v>
      </c>
      <c r="CJ56" s="49">
        <f>IFERROR(s_RadSpec!$E$20*(CJ20/$B56),".")</f>
        <v>0</v>
      </c>
      <c r="CK56" s="49">
        <f>IFERROR(s_RadSpec!$E$20*(CK20/$B56),".")</f>
        <v>0</v>
      </c>
      <c r="CL56" s="49">
        <f>IFERROR(s_RadSpec!$E$20*(CL20/$B56),".")</f>
        <v>0</v>
      </c>
      <c r="CM56" s="49">
        <f>IFERROR(s_RadSpec!$E$20*(CM20/$B56),".")</f>
        <v>0</v>
      </c>
      <c r="CN56" s="49">
        <f>IFERROR(s_RadSpec!$E$20*(CN20/$B56),".")</f>
        <v>0</v>
      </c>
      <c r="CO56" s="49">
        <f>IFERROR(s_RadSpec!$E$20*(CO20/$B56),".")</f>
        <v>0</v>
      </c>
      <c r="CP56" s="49">
        <f>IFERROR(s_RadSpec!$E$20*(CP20/$B56),".")</f>
        <v>0</v>
      </c>
      <c r="CQ56" s="49">
        <f>IFERROR(s_RadSpec!$E$20*(CQ20/$B56),".")</f>
        <v>0</v>
      </c>
      <c r="CR56" s="49">
        <f>IFERROR(s_RadSpec!$E$20*(CR20/$B56),".")</f>
        <v>0</v>
      </c>
      <c r="CS56" s="49">
        <f>IFERROR(s_RadSpec!$E$20*(CS20/$B56),".")</f>
        <v>0</v>
      </c>
      <c r="CT56" s="49">
        <f>IFERROR(s_RadSpec!$E$20*(CT20/$B56),".")</f>
        <v>0</v>
      </c>
      <c r="CU56" s="49">
        <f>IFERROR(s_RadSpec!$E$20*(CU20/$B56),".")</f>
        <v>0</v>
      </c>
      <c r="CV56" s="49">
        <f>IFERROR(s_RadSpec!$E$20*(CV20/$B56),".")</f>
        <v>0</v>
      </c>
      <c r="CW56" s="49">
        <f>IFERROR(s_RadSpec!$E$20*(CW20/$B56),".")</f>
        <v>0</v>
      </c>
      <c r="CX56" s="49">
        <f>IFERROR(s_RadSpec!$E$20*(CX20/$B56),".")</f>
        <v>0</v>
      </c>
    </row>
    <row r="57" spans="1:102" x14ac:dyDescent="0.25">
      <c r="A57" s="83" t="s">
        <v>1095</v>
      </c>
      <c r="B57" s="42">
        <v>2.0999995799999999E-4</v>
      </c>
      <c r="C57" s="60" t="str">
        <f t="shared" si="10"/>
        <v>.</v>
      </c>
      <c r="D57" s="60">
        <f t="shared" ref="D57:AA57" si="67">IFERROR(D29/$B57,0)</f>
        <v>0</v>
      </c>
      <c r="E57" s="60">
        <f t="shared" si="67"/>
        <v>0</v>
      </c>
      <c r="F57" s="60">
        <f t="shared" si="67"/>
        <v>0</v>
      </c>
      <c r="G57" s="60">
        <f t="shared" si="67"/>
        <v>0</v>
      </c>
      <c r="H57" s="60">
        <f t="shared" si="67"/>
        <v>0</v>
      </c>
      <c r="I57" s="60">
        <f t="shared" si="67"/>
        <v>0</v>
      </c>
      <c r="J57" s="60">
        <f t="shared" si="67"/>
        <v>0</v>
      </c>
      <c r="K57" s="60">
        <f t="shared" si="67"/>
        <v>0</v>
      </c>
      <c r="L57" s="60">
        <f t="shared" si="67"/>
        <v>0</v>
      </c>
      <c r="M57" s="60">
        <f t="shared" si="67"/>
        <v>0</v>
      </c>
      <c r="N57" s="60">
        <f t="shared" si="67"/>
        <v>0</v>
      </c>
      <c r="O57" s="60">
        <f t="shared" si="67"/>
        <v>0</v>
      </c>
      <c r="P57" s="60">
        <f t="shared" si="67"/>
        <v>0</v>
      </c>
      <c r="Q57" s="60">
        <f t="shared" si="67"/>
        <v>0</v>
      </c>
      <c r="R57" s="60">
        <f t="shared" si="67"/>
        <v>0</v>
      </c>
      <c r="S57" s="60">
        <f t="shared" si="67"/>
        <v>0</v>
      </c>
      <c r="T57" s="60">
        <f t="shared" si="67"/>
        <v>0</v>
      </c>
      <c r="U57" s="60">
        <f t="shared" si="67"/>
        <v>0</v>
      </c>
      <c r="V57" s="60">
        <f t="shared" si="67"/>
        <v>0</v>
      </c>
      <c r="W57" s="60">
        <f t="shared" si="67"/>
        <v>0</v>
      </c>
      <c r="X57" s="60">
        <f t="shared" si="67"/>
        <v>0</v>
      </c>
      <c r="Y57" s="60">
        <f t="shared" si="67"/>
        <v>0</v>
      </c>
      <c r="Z57" s="60">
        <f t="shared" si="67"/>
        <v>0</v>
      </c>
      <c r="AA57" s="60">
        <f t="shared" si="67"/>
        <v>0</v>
      </c>
      <c r="AB57" s="49">
        <f t="shared" si="12"/>
        <v>0</v>
      </c>
      <c r="AC57" s="49">
        <f>IFERROR(s_RadSpec!$E$29*($AZ$29/$B57),".")</f>
        <v>0</v>
      </c>
      <c r="AD57" s="49">
        <f>IFERROR(s_RadSpec!$E$29*($AZ$29/$B57),".")</f>
        <v>0</v>
      </c>
      <c r="AE57" s="49">
        <f>IFERROR(s_RadSpec!$E$29*($AZ$29/$B57),".")</f>
        <v>0</v>
      </c>
      <c r="AF57" s="49">
        <f>IFERROR(s_RadSpec!$E$29*($AZ$29/$B57),".")</f>
        <v>0</v>
      </c>
      <c r="AG57" s="49">
        <f>IFERROR(s_RadSpec!$E$29*($AZ$29/$B57),".")</f>
        <v>0</v>
      </c>
      <c r="AH57" s="49">
        <f>IFERROR(s_RadSpec!$E$29*($AZ$29/$B57),".")</f>
        <v>0</v>
      </c>
      <c r="AI57" s="49">
        <f>IFERROR(s_RadSpec!$E$29*($AZ$29/$B57),".")</f>
        <v>0</v>
      </c>
      <c r="AJ57" s="49">
        <f>IFERROR(s_RadSpec!$E$29*($AZ$29/$B57),".")</f>
        <v>0</v>
      </c>
      <c r="AK57" s="49">
        <f>IFERROR(s_RadSpec!$E$29*($AZ$29/$B57),".")</f>
        <v>0</v>
      </c>
      <c r="AL57" s="49">
        <f>IFERROR(s_RadSpec!$E$29*($AZ$29/$B57),".")</f>
        <v>0</v>
      </c>
      <c r="AM57" s="49">
        <f>IFERROR(s_RadSpec!$E$29*($AZ$29/$B57),".")</f>
        <v>0</v>
      </c>
      <c r="AN57" s="49">
        <f>IFERROR(s_RadSpec!$E$29*($AZ$29/$B57),".")</f>
        <v>0</v>
      </c>
      <c r="AO57" s="49">
        <f>IFERROR(s_RadSpec!$E$29*($AZ$29/$B57),".")</f>
        <v>0</v>
      </c>
      <c r="AP57" s="49">
        <f>IFERROR(s_RadSpec!$E$29*($AZ$29/$B57),".")</f>
        <v>0</v>
      </c>
      <c r="AQ57" s="49">
        <f>IFERROR(s_RadSpec!$E$29*($AZ$29/$B57),".")</f>
        <v>0</v>
      </c>
      <c r="AR57" s="49">
        <f>IFERROR(s_RadSpec!$E$29*($AZ$29/$B57),".")</f>
        <v>0</v>
      </c>
      <c r="AS57" s="49">
        <f>IFERROR(s_RadSpec!$E$29*($AZ$29/$B57),".")</f>
        <v>0</v>
      </c>
      <c r="AT57" s="49">
        <f>IFERROR(s_RadSpec!$E$29*($AZ$29/$B57),".")</f>
        <v>0</v>
      </c>
      <c r="AU57" s="49">
        <f>IFERROR(s_RadSpec!$E$29*($AZ$29/$B57),".")</f>
        <v>0</v>
      </c>
      <c r="AV57" s="49">
        <f>IFERROR(s_RadSpec!$E$29*($AZ$29/$B57),".")</f>
        <v>0</v>
      </c>
      <c r="AW57" s="49">
        <f>IFERROR(s_RadSpec!$E$29*($AZ$29/$B57),".")</f>
        <v>0</v>
      </c>
      <c r="AX57" s="49">
        <f>IFERROR(s_RadSpec!$E$29*($AZ$29/$B57),".")</f>
        <v>0</v>
      </c>
      <c r="AY57" s="49">
        <f>IFERROR(s_RadSpec!$E$29*($AZ$29/$B57),".")</f>
        <v>0</v>
      </c>
      <c r="AZ57" s="49">
        <f>IFERROR(s_RadSpec!$E$29*($AZ$29/$B57),".")</f>
        <v>0</v>
      </c>
      <c r="BA57" s="60" t="str">
        <f t="shared" si="13"/>
        <v>.</v>
      </c>
      <c r="BB57" s="60">
        <f t="shared" ref="BB57:BY57" si="68">IFERROR($B57/BB29,0)</f>
        <v>0</v>
      </c>
      <c r="BC57" s="60">
        <f t="shared" si="68"/>
        <v>0</v>
      </c>
      <c r="BD57" s="60">
        <f t="shared" si="68"/>
        <v>0</v>
      </c>
      <c r="BE57" s="60">
        <f t="shared" si="68"/>
        <v>0</v>
      </c>
      <c r="BF57" s="60">
        <f t="shared" si="68"/>
        <v>0</v>
      </c>
      <c r="BG57" s="60">
        <f t="shared" si="68"/>
        <v>0</v>
      </c>
      <c r="BH57" s="60">
        <f t="shared" si="68"/>
        <v>0</v>
      </c>
      <c r="BI57" s="60">
        <f t="shared" si="68"/>
        <v>0</v>
      </c>
      <c r="BJ57" s="60">
        <f t="shared" si="68"/>
        <v>0</v>
      </c>
      <c r="BK57" s="60">
        <f t="shared" si="68"/>
        <v>0</v>
      </c>
      <c r="BL57" s="60">
        <f t="shared" si="68"/>
        <v>0</v>
      </c>
      <c r="BM57" s="60">
        <f t="shared" si="68"/>
        <v>0</v>
      </c>
      <c r="BN57" s="60">
        <f t="shared" si="68"/>
        <v>0</v>
      </c>
      <c r="BO57" s="60">
        <f t="shared" si="68"/>
        <v>0</v>
      </c>
      <c r="BP57" s="60">
        <f t="shared" si="68"/>
        <v>0</v>
      </c>
      <c r="BQ57" s="60">
        <f t="shared" si="68"/>
        <v>0</v>
      </c>
      <c r="BR57" s="60">
        <f t="shared" si="68"/>
        <v>0</v>
      </c>
      <c r="BS57" s="60">
        <f t="shared" si="68"/>
        <v>0</v>
      </c>
      <c r="BT57" s="60">
        <f t="shared" si="68"/>
        <v>0</v>
      </c>
      <c r="BU57" s="60">
        <f t="shared" si="68"/>
        <v>0</v>
      </c>
      <c r="BV57" s="60">
        <f t="shared" si="68"/>
        <v>0</v>
      </c>
      <c r="BW57" s="60">
        <f t="shared" si="68"/>
        <v>0</v>
      </c>
      <c r="BX57" s="60">
        <f t="shared" si="68"/>
        <v>0</v>
      </c>
      <c r="BY57" s="60">
        <f t="shared" si="68"/>
        <v>0</v>
      </c>
      <c r="BZ57" s="49">
        <f t="shared" si="5"/>
        <v>0</v>
      </c>
      <c r="CA57" s="49">
        <f>IFERROR(s_RadSpec!$E$29*(CA29/$B57),".")</f>
        <v>0</v>
      </c>
      <c r="CB57" s="49">
        <f>IFERROR(s_RadSpec!$E$29*(CB29/$B57),".")</f>
        <v>0</v>
      </c>
      <c r="CC57" s="49">
        <f>IFERROR(s_RadSpec!$E$29*(CC29/$B57),".")</f>
        <v>0</v>
      </c>
      <c r="CD57" s="49">
        <f>IFERROR(s_RadSpec!$E$29*(CD29/$B57),".")</f>
        <v>0</v>
      </c>
      <c r="CE57" s="49">
        <f>IFERROR(s_RadSpec!$E$29*(CE29/$B57),".")</f>
        <v>0</v>
      </c>
      <c r="CF57" s="49">
        <f>IFERROR(s_RadSpec!$E$29*(CF29/$B57),".")</f>
        <v>0</v>
      </c>
      <c r="CG57" s="49">
        <f>IFERROR(s_RadSpec!$E$29*(CG29/$B57),".")</f>
        <v>0</v>
      </c>
      <c r="CH57" s="49">
        <f>IFERROR(s_RadSpec!$E$29*(CH29/$B57),".")</f>
        <v>0</v>
      </c>
      <c r="CI57" s="49">
        <f>IFERROR(s_RadSpec!$E$29*(CI29/$B57),".")</f>
        <v>0</v>
      </c>
      <c r="CJ57" s="49">
        <f>IFERROR(s_RadSpec!$E$29*(CJ29/$B57),".")</f>
        <v>0</v>
      </c>
      <c r="CK57" s="49">
        <f>IFERROR(s_RadSpec!$E$29*(CK29/$B57),".")</f>
        <v>0</v>
      </c>
      <c r="CL57" s="49">
        <f>IFERROR(s_RadSpec!$E$29*(CL29/$B57),".")</f>
        <v>0</v>
      </c>
      <c r="CM57" s="49">
        <f>IFERROR(s_RadSpec!$E$29*(CM29/$B57),".")</f>
        <v>0</v>
      </c>
      <c r="CN57" s="49">
        <f>IFERROR(s_RadSpec!$E$29*(CN29/$B57),".")</f>
        <v>0</v>
      </c>
      <c r="CO57" s="49">
        <f>IFERROR(s_RadSpec!$E$29*(CO29/$B57),".")</f>
        <v>0</v>
      </c>
      <c r="CP57" s="49">
        <f>IFERROR(s_RadSpec!$E$29*(CP29/$B57),".")</f>
        <v>0</v>
      </c>
      <c r="CQ57" s="49">
        <f>IFERROR(s_RadSpec!$E$29*(CQ29/$B57),".")</f>
        <v>0</v>
      </c>
      <c r="CR57" s="49">
        <f>IFERROR(s_RadSpec!$E$29*(CR29/$B57),".")</f>
        <v>0</v>
      </c>
      <c r="CS57" s="49">
        <f>IFERROR(s_RadSpec!$E$29*(CS29/$B57),".")</f>
        <v>0</v>
      </c>
      <c r="CT57" s="49">
        <f>IFERROR(s_RadSpec!$E$29*(CT29/$B57),".")</f>
        <v>0</v>
      </c>
      <c r="CU57" s="49">
        <f>IFERROR(s_RadSpec!$E$29*(CU29/$B57),".")</f>
        <v>0</v>
      </c>
      <c r="CV57" s="49">
        <f>IFERROR(s_RadSpec!$E$29*(CV29/$B57),".")</f>
        <v>0</v>
      </c>
      <c r="CW57" s="49">
        <f>IFERROR(s_RadSpec!$E$29*(CW29/$B57),".")</f>
        <v>0</v>
      </c>
      <c r="CX57" s="49">
        <f>IFERROR(s_RadSpec!$E$29*(CX29/$B57),".")</f>
        <v>0</v>
      </c>
    </row>
    <row r="58" spans="1:102" x14ac:dyDescent="0.25">
      <c r="A58" s="83" t="s">
        <v>1096</v>
      </c>
      <c r="B58" s="42">
        <v>1</v>
      </c>
      <c r="C58" s="60">
        <f t="shared" si="10"/>
        <v>1.9901919816504459</v>
      </c>
      <c r="D58" s="60">
        <f t="shared" ref="D58:AA58" si="69">IFERROR(D16/$B58,0)</f>
        <v>13.151357992787135</v>
      </c>
      <c r="E58" s="60">
        <f t="shared" si="69"/>
        <v>3.3054215275989058</v>
      </c>
      <c r="F58" s="60">
        <f t="shared" si="69"/>
        <v>10.844102204578867</v>
      </c>
      <c r="G58" s="60">
        <f t="shared" si="69"/>
        <v>13.151357992787135</v>
      </c>
      <c r="H58" s="60">
        <f t="shared" si="69"/>
        <v>10.844102204578867</v>
      </c>
      <c r="I58" s="60">
        <f t="shared" si="69"/>
        <v>3.3054215275989058</v>
      </c>
      <c r="J58" s="60">
        <f t="shared" si="69"/>
        <v>10.844102204578867</v>
      </c>
      <c r="K58" s="60">
        <f t="shared" si="69"/>
        <v>13.151357992787135</v>
      </c>
      <c r="L58" s="60">
        <f t="shared" si="69"/>
        <v>21.024279784387598</v>
      </c>
      <c r="M58" s="60">
        <f t="shared" si="69"/>
        <v>10.844102204578867</v>
      </c>
      <c r="N58" s="60">
        <f t="shared" si="69"/>
        <v>3.3054215275989058</v>
      </c>
      <c r="O58" s="60">
        <f t="shared" si="69"/>
        <v>16.439197490983918</v>
      </c>
      <c r="P58" s="60">
        <f t="shared" si="69"/>
        <v>10.844102204578867</v>
      </c>
      <c r="Q58" s="60">
        <f t="shared" si="69"/>
        <v>10.844102204578867</v>
      </c>
      <c r="R58" s="60">
        <f t="shared" si="69"/>
        <v>13.151357992787135</v>
      </c>
      <c r="S58" s="60">
        <f t="shared" si="69"/>
        <v>13.151357992787135</v>
      </c>
      <c r="T58" s="60">
        <f t="shared" si="69"/>
        <v>16.439197490983918</v>
      </c>
      <c r="U58" s="60">
        <f t="shared" si="69"/>
        <v>20.603794188699847</v>
      </c>
      <c r="V58" s="60">
        <f t="shared" si="69"/>
        <v>10.844102204578867</v>
      </c>
      <c r="W58" s="60">
        <f t="shared" si="69"/>
        <v>16.439197490983918</v>
      </c>
      <c r="X58" s="60">
        <f t="shared" si="69"/>
        <v>13.151357992787135</v>
      </c>
      <c r="Y58" s="60">
        <f t="shared" si="69"/>
        <v>10.844102204578867</v>
      </c>
      <c r="Z58" s="60">
        <f t="shared" si="69"/>
        <v>22.411668805692361</v>
      </c>
      <c r="AA58" s="60">
        <f t="shared" si="69"/>
        <v>12.614567870632559</v>
      </c>
      <c r="AB58" s="49">
        <f t="shared" si="12"/>
        <v>1.5854685E-6</v>
      </c>
      <c r="AC58" s="49">
        <f>IFERROR(s_RadSpec!$E$16*($AZ$16/$B58),".")</f>
        <v>3.96367125E-7</v>
      </c>
      <c r="AD58" s="49">
        <f>IFERROR(s_RadSpec!$E$16*($AZ$16/$B58),".")</f>
        <v>3.96367125E-7</v>
      </c>
      <c r="AE58" s="49">
        <f>IFERROR(s_RadSpec!$E$16*($AZ$16/$B58),".")</f>
        <v>3.96367125E-7</v>
      </c>
      <c r="AF58" s="49">
        <f>IFERROR(s_RadSpec!$E$16*($AZ$16/$B58),".")</f>
        <v>3.96367125E-7</v>
      </c>
      <c r="AG58" s="49">
        <f>IFERROR(s_RadSpec!$E$16*($AZ$16/$B58),".")</f>
        <v>3.96367125E-7</v>
      </c>
      <c r="AH58" s="49">
        <f>IFERROR(s_RadSpec!$E$16*($AZ$16/$B58),".")</f>
        <v>3.96367125E-7</v>
      </c>
      <c r="AI58" s="49">
        <f>IFERROR(s_RadSpec!$E$16*($AZ$16/$B58),".")</f>
        <v>3.96367125E-7</v>
      </c>
      <c r="AJ58" s="49">
        <f>IFERROR(s_RadSpec!$E$16*($AZ$16/$B58),".")</f>
        <v>3.96367125E-7</v>
      </c>
      <c r="AK58" s="49">
        <f>IFERROR(s_RadSpec!$E$16*($AZ$16/$B58),".")</f>
        <v>3.96367125E-7</v>
      </c>
      <c r="AL58" s="49">
        <f>IFERROR(s_RadSpec!$E$16*($AZ$16/$B58),".")</f>
        <v>3.96367125E-7</v>
      </c>
      <c r="AM58" s="49">
        <f>IFERROR(s_RadSpec!$E$16*($AZ$16/$B58),".")</f>
        <v>3.96367125E-7</v>
      </c>
      <c r="AN58" s="49">
        <f>IFERROR(s_RadSpec!$E$16*($AZ$16/$B58),".")</f>
        <v>3.96367125E-7</v>
      </c>
      <c r="AO58" s="49">
        <f>IFERROR(s_RadSpec!$E$16*($AZ$16/$B58),".")</f>
        <v>3.96367125E-7</v>
      </c>
      <c r="AP58" s="49">
        <f>IFERROR(s_RadSpec!$E$16*($AZ$16/$B58),".")</f>
        <v>3.96367125E-7</v>
      </c>
      <c r="AQ58" s="49">
        <f>IFERROR(s_RadSpec!$E$16*($AZ$16/$B58),".")</f>
        <v>3.96367125E-7</v>
      </c>
      <c r="AR58" s="49">
        <f>IFERROR(s_RadSpec!$E$16*($AZ$16/$B58),".")</f>
        <v>3.96367125E-7</v>
      </c>
      <c r="AS58" s="49">
        <f>IFERROR(s_RadSpec!$E$16*($AZ$16/$B58),".")</f>
        <v>3.96367125E-7</v>
      </c>
      <c r="AT58" s="49">
        <f>IFERROR(s_RadSpec!$E$16*($AZ$16/$B58),".")</f>
        <v>3.96367125E-7</v>
      </c>
      <c r="AU58" s="49">
        <f>IFERROR(s_RadSpec!$E$16*($AZ$16/$B58),".")</f>
        <v>3.96367125E-7</v>
      </c>
      <c r="AV58" s="49">
        <f>IFERROR(s_RadSpec!$E$16*($AZ$16/$B58),".")</f>
        <v>3.96367125E-7</v>
      </c>
      <c r="AW58" s="49">
        <f>IFERROR(s_RadSpec!$E$16*($AZ$16/$B58),".")</f>
        <v>3.96367125E-7</v>
      </c>
      <c r="AX58" s="49">
        <f>IFERROR(s_RadSpec!$E$16*($AZ$16/$B58),".")</f>
        <v>3.96367125E-7</v>
      </c>
      <c r="AY58" s="49">
        <f>IFERROR(s_RadSpec!$E$16*($AZ$16/$B58),".")</f>
        <v>3.96367125E-7</v>
      </c>
      <c r="AZ58" s="49">
        <f>IFERROR(s_RadSpec!$E$16*($AZ$16/$B58),".")</f>
        <v>3.96367125E-7</v>
      </c>
      <c r="BA58" s="60">
        <f t="shared" si="13"/>
        <v>1.9423881386030482E-2</v>
      </c>
      <c r="BB58" s="60">
        <f t="shared" ref="BB58:BY58" si="70">IFERROR($B58/BB16,0)</f>
        <v>7.6037775000000016E-2</v>
      </c>
      <c r="BC58" s="60">
        <f t="shared" si="70"/>
        <v>0.30253327500000005</v>
      </c>
      <c r="BD58" s="60">
        <f t="shared" si="70"/>
        <v>9.2216025000000007E-2</v>
      </c>
      <c r="BE58" s="60">
        <f t="shared" si="70"/>
        <v>7.6037775000000016E-2</v>
      </c>
      <c r="BF58" s="60">
        <f t="shared" si="70"/>
        <v>9.2216025000000007E-2</v>
      </c>
      <c r="BG58" s="60">
        <f t="shared" si="70"/>
        <v>0.30253327500000005</v>
      </c>
      <c r="BH58" s="60">
        <f t="shared" si="70"/>
        <v>9.2216025000000007E-2</v>
      </c>
      <c r="BI58" s="60">
        <f t="shared" si="70"/>
        <v>7.6037775000000016E-2</v>
      </c>
      <c r="BJ58" s="60">
        <f t="shared" si="70"/>
        <v>4.7564055000000008E-2</v>
      </c>
      <c r="BK58" s="60">
        <f t="shared" si="70"/>
        <v>9.2216025000000007E-2</v>
      </c>
      <c r="BL58" s="60">
        <f t="shared" si="70"/>
        <v>0.30253327500000005</v>
      </c>
      <c r="BM58" s="60">
        <f t="shared" si="70"/>
        <v>6.0830220000000011E-2</v>
      </c>
      <c r="BN58" s="60">
        <f t="shared" si="70"/>
        <v>9.2216025000000007E-2</v>
      </c>
      <c r="BO58" s="60">
        <f t="shared" si="70"/>
        <v>9.2216025000000007E-2</v>
      </c>
      <c r="BP58" s="60">
        <f t="shared" si="70"/>
        <v>7.6037775000000016E-2</v>
      </c>
      <c r="BQ58" s="60">
        <f t="shared" si="70"/>
        <v>7.6037775000000016E-2</v>
      </c>
      <c r="BR58" s="60">
        <f t="shared" si="70"/>
        <v>6.0830220000000011E-2</v>
      </c>
      <c r="BS58" s="60">
        <f t="shared" si="70"/>
        <v>4.8534750000000002E-2</v>
      </c>
      <c r="BT58" s="60">
        <f t="shared" si="70"/>
        <v>9.2216025000000007E-2</v>
      </c>
      <c r="BU58" s="60">
        <f t="shared" si="70"/>
        <v>6.0830220000000011E-2</v>
      </c>
      <c r="BV58" s="60">
        <f t="shared" si="70"/>
        <v>7.6037775000000016E-2</v>
      </c>
      <c r="BW58" s="60">
        <f t="shared" si="70"/>
        <v>9.2216025000000007E-2</v>
      </c>
      <c r="BX58" s="60">
        <f t="shared" si="70"/>
        <v>4.4619613500000009E-2</v>
      </c>
      <c r="BY58" s="60">
        <f t="shared" si="70"/>
        <v>7.9273425000000008E-2</v>
      </c>
      <c r="BZ58" s="49">
        <f t="shared" si="5"/>
        <v>2.5123204425000001E-6</v>
      </c>
      <c r="CA58" s="49">
        <f>IFERROR(s_RadSpec!$E$16*(CA16/$B58),".")</f>
        <v>3.8018887500000001E-7</v>
      </c>
      <c r="CB58" s="49">
        <f>IFERROR(s_RadSpec!$E$16*(CB16/$B58),".")</f>
        <v>1.512666375E-6</v>
      </c>
      <c r="CC58" s="49">
        <f>IFERROR(s_RadSpec!$E$16*(CC16/$B58),".")</f>
        <v>4.6108012499999997E-7</v>
      </c>
      <c r="CD58" s="49">
        <f>IFERROR(s_RadSpec!$E$16*(CD16/$B58),".")</f>
        <v>3.8018887500000001E-7</v>
      </c>
      <c r="CE58" s="49">
        <f>IFERROR(s_RadSpec!$E$16*(CE16/$B58),".")</f>
        <v>4.6108012499999997E-7</v>
      </c>
      <c r="CF58" s="49">
        <f>IFERROR(s_RadSpec!$E$16*(CF16/$B58),".")</f>
        <v>1.512666375E-6</v>
      </c>
      <c r="CG58" s="49">
        <f>IFERROR(s_RadSpec!$E$16*(CG16/$B58),".")</f>
        <v>4.6108012499999997E-7</v>
      </c>
      <c r="CH58" s="49">
        <f>IFERROR(s_RadSpec!$E$16*(CH16/$B58),".")</f>
        <v>3.8018887500000001E-7</v>
      </c>
      <c r="CI58" s="49">
        <f>IFERROR(s_RadSpec!$E$16*(CI16/$B58),".")</f>
        <v>2.3782027500000001E-7</v>
      </c>
      <c r="CJ58" s="49">
        <f>IFERROR(s_RadSpec!$E$16*(CJ16/$B58),".")</f>
        <v>4.6108012499999997E-7</v>
      </c>
      <c r="CK58" s="49">
        <f>IFERROR(s_RadSpec!$E$16*(CK16/$B58),".")</f>
        <v>1.512666375E-6</v>
      </c>
      <c r="CL58" s="49">
        <f>IFERROR(s_RadSpec!$E$16*(CL16/$B58),".")</f>
        <v>3.041511E-7</v>
      </c>
      <c r="CM58" s="49">
        <f>IFERROR(s_RadSpec!$E$16*(CM16/$B58),".")</f>
        <v>4.6108012499999997E-7</v>
      </c>
      <c r="CN58" s="49">
        <f>IFERROR(s_RadSpec!$E$16*(CN16/$B58),".")</f>
        <v>4.6108012499999997E-7</v>
      </c>
      <c r="CO58" s="49">
        <f>IFERROR(s_RadSpec!$E$16*(CO16/$B58),".")</f>
        <v>3.8018887500000001E-7</v>
      </c>
      <c r="CP58" s="49">
        <f>IFERROR(s_RadSpec!$E$16*(CP16/$B58),".")</f>
        <v>3.8018887500000001E-7</v>
      </c>
      <c r="CQ58" s="49">
        <f>IFERROR(s_RadSpec!$E$16*(CQ16/$B58),".")</f>
        <v>3.041511E-7</v>
      </c>
      <c r="CR58" s="49">
        <f>IFERROR(s_RadSpec!$E$16*(CR16/$B58),".")</f>
        <v>2.4267374999999999E-7</v>
      </c>
      <c r="CS58" s="49">
        <f>IFERROR(s_RadSpec!$E$16*(CS16/$B58),".")</f>
        <v>4.6108012499999997E-7</v>
      </c>
      <c r="CT58" s="49">
        <f>IFERROR(s_RadSpec!$E$16*(CT16/$B58),".")</f>
        <v>3.041511E-7</v>
      </c>
      <c r="CU58" s="49">
        <f>IFERROR(s_RadSpec!$E$16*(CU16/$B58),".")</f>
        <v>3.8018887500000001E-7</v>
      </c>
      <c r="CV58" s="49">
        <f>IFERROR(s_RadSpec!$E$16*(CV16/$B58),".")</f>
        <v>4.6108012499999997E-7</v>
      </c>
      <c r="CW58" s="49">
        <f>IFERROR(s_RadSpec!$E$16*(CW16/$B58),".")</f>
        <v>2.2309806749999998E-7</v>
      </c>
      <c r="CX58" s="49">
        <f>IFERROR(s_RadSpec!$E$16*(CX16/$B58),".")</f>
        <v>3.96367125E-7</v>
      </c>
    </row>
    <row r="59" spans="1:102" x14ac:dyDescent="0.25">
      <c r="A59" s="83" t="s">
        <v>1097</v>
      </c>
      <c r="B59" s="42">
        <v>1</v>
      </c>
      <c r="C59" s="60">
        <f t="shared" ref="C59:C76" si="71">IFERROR(1/SUM(1/D59,1/E59,1/Z59,1/AA59),".")</f>
        <v>61.498860057129974</v>
      </c>
      <c r="D59" s="60">
        <f t="shared" ref="D59:AA59" si="72">IFERROR(D7/$B59,0)</f>
        <v>245.9954402285199</v>
      </c>
      <c r="E59" s="60">
        <f t="shared" si="72"/>
        <v>245.9954402285199</v>
      </c>
      <c r="F59" s="60">
        <f t="shared" si="72"/>
        <v>245.9954402285199</v>
      </c>
      <c r="G59" s="60">
        <f t="shared" si="72"/>
        <v>245.9954402285199</v>
      </c>
      <c r="H59" s="60">
        <f t="shared" si="72"/>
        <v>245.9954402285199</v>
      </c>
      <c r="I59" s="60">
        <f t="shared" si="72"/>
        <v>245.9954402285199</v>
      </c>
      <c r="J59" s="60">
        <f t="shared" si="72"/>
        <v>245.9954402285199</v>
      </c>
      <c r="K59" s="60">
        <f t="shared" si="72"/>
        <v>245.9954402285199</v>
      </c>
      <c r="L59" s="60">
        <f t="shared" si="72"/>
        <v>245.9954402285199</v>
      </c>
      <c r="M59" s="60">
        <f t="shared" si="72"/>
        <v>245.9954402285199</v>
      </c>
      <c r="N59" s="60">
        <f t="shared" si="72"/>
        <v>245.9954402285199</v>
      </c>
      <c r="O59" s="60">
        <f t="shared" si="72"/>
        <v>245.9954402285199</v>
      </c>
      <c r="P59" s="60">
        <f t="shared" si="72"/>
        <v>245.9954402285199</v>
      </c>
      <c r="Q59" s="60">
        <f t="shared" si="72"/>
        <v>245.9954402285199</v>
      </c>
      <c r="R59" s="60">
        <f t="shared" si="72"/>
        <v>245.9954402285199</v>
      </c>
      <c r="S59" s="60">
        <f t="shared" si="72"/>
        <v>245.9954402285199</v>
      </c>
      <c r="T59" s="60">
        <f t="shared" si="72"/>
        <v>245.9954402285199</v>
      </c>
      <c r="U59" s="60">
        <f t="shared" si="72"/>
        <v>245.9954402285199</v>
      </c>
      <c r="V59" s="60">
        <f t="shared" si="72"/>
        <v>245.9954402285199</v>
      </c>
      <c r="W59" s="60">
        <f t="shared" si="72"/>
        <v>245.9954402285199</v>
      </c>
      <c r="X59" s="60">
        <f t="shared" si="72"/>
        <v>245.9954402285199</v>
      </c>
      <c r="Y59" s="60">
        <f t="shared" si="72"/>
        <v>245.9954402285199</v>
      </c>
      <c r="Z59" s="60">
        <f t="shared" si="72"/>
        <v>245.9954402285199</v>
      </c>
      <c r="AA59" s="60">
        <f t="shared" si="72"/>
        <v>245.9954402285199</v>
      </c>
      <c r="AB59" s="49">
        <f t="shared" si="12"/>
        <v>8.1302319999999992E-8</v>
      </c>
      <c r="AC59" s="49">
        <f>IFERROR(s_RadSpec!$E$7*($AZ$7/$B59),".")</f>
        <v>2.0325579999999998E-8</v>
      </c>
      <c r="AD59" s="49">
        <f>IFERROR(s_RadSpec!$E$7*($AZ$7/$B59),".")</f>
        <v>2.0325579999999998E-8</v>
      </c>
      <c r="AE59" s="49">
        <f>IFERROR(s_RadSpec!$E$7*($AZ$7/$B59),".")</f>
        <v>2.0325579999999998E-8</v>
      </c>
      <c r="AF59" s="49">
        <f>IFERROR(s_RadSpec!$E$7*($AZ$7/$B59),".")</f>
        <v>2.0325579999999998E-8</v>
      </c>
      <c r="AG59" s="49">
        <f>IFERROR(s_RadSpec!$E$7*($AZ$7/$B59),".")</f>
        <v>2.0325579999999998E-8</v>
      </c>
      <c r="AH59" s="49">
        <f>IFERROR(s_RadSpec!$E$7*($AZ$7/$B59),".")</f>
        <v>2.0325579999999998E-8</v>
      </c>
      <c r="AI59" s="49">
        <f>IFERROR(s_RadSpec!$E$7*($AZ$7/$B59),".")</f>
        <v>2.0325579999999998E-8</v>
      </c>
      <c r="AJ59" s="49">
        <f>IFERROR(s_RadSpec!$E$7*($AZ$7/$B59),".")</f>
        <v>2.0325579999999998E-8</v>
      </c>
      <c r="AK59" s="49">
        <f>IFERROR(s_RadSpec!$E$7*($AZ$7/$B59),".")</f>
        <v>2.0325579999999998E-8</v>
      </c>
      <c r="AL59" s="49">
        <f>IFERROR(s_RadSpec!$E$7*($AZ$7/$B59),".")</f>
        <v>2.0325579999999998E-8</v>
      </c>
      <c r="AM59" s="49">
        <f>IFERROR(s_RadSpec!$E$7*($AZ$7/$B59),".")</f>
        <v>2.0325579999999998E-8</v>
      </c>
      <c r="AN59" s="49">
        <f>IFERROR(s_RadSpec!$E$7*($AZ$7/$B59),".")</f>
        <v>2.0325579999999998E-8</v>
      </c>
      <c r="AO59" s="49">
        <f>IFERROR(s_RadSpec!$E$7*($AZ$7/$B59),".")</f>
        <v>2.0325579999999998E-8</v>
      </c>
      <c r="AP59" s="49">
        <f>IFERROR(s_RadSpec!$E$7*($AZ$7/$B59),".")</f>
        <v>2.0325579999999998E-8</v>
      </c>
      <c r="AQ59" s="49">
        <f>IFERROR(s_RadSpec!$E$7*($AZ$7/$B59),".")</f>
        <v>2.0325579999999998E-8</v>
      </c>
      <c r="AR59" s="49">
        <f>IFERROR(s_RadSpec!$E$7*($AZ$7/$B59),".")</f>
        <v>2.0325579999999998E-8</v>
      </c>
      <c r="AS59" s="49">
        <f>IFERROR(s_RadSpec!$E$7*($AZ$7/$B59),".")</f>
        <v>2.0325579999999998E-8</v>
      </c>
      <c r="AT59" s="49">
        <f>IFERROR(s_RadSpec!$E$7*($AZ$7/$B59),".")</f>
        <v>2.0325579999999998E-8</v>
      </c>
      <c r="AU59" s="49">
        <f>IFERROR(s_RadSpec!$E$7*($AZ$7/$B59),".")</f>
        <v>2.0325579999999998E-8</v>
      </c>
      <c r="AV59" s="49">
        <f>IFERROR(s_RadSpec!$E$7*($AZ$7/$B59),".")</f>
        <v>2.0325579999999998E-8</v>
      </c>
      <c r="AW59" s="49">
        <f>IFERROR(s_RadSpec!$E$7*($AZ$7/$B59),".")</f>
        <v>2.0325579999999998E-8</v>
      </c>
      <c r="AX59" s="49">
        <f>IFERROR(s_RadSpec!$E$7*($AZ$7/$B59),".")</f>
        <v>2.0325579999999998E-8</v>
      </c>
      <c r="AY59" s="49">
        <f>IFERROR(s_RadSpec!$E$7*($AZ$7/$B59),".")</f>
        <v>2.0325579999999998E-8</v>
      </c>
      <c r="AZ59" s="49">
        <f>IFERROR(s_RadSpec!$E$7*($AZ$7/$B59),".")</f>
        <v>2.0325579999999998E-8</v>
      </c>
      <c r="BA59" s="60">
        <f t="shared" ref="BA59:BA76" si="73">IFERROR(1/SUM(1/BB59,1/BC59,1/BX59,1/BY59),".")</f>
        <v>1.0162790000000001E-3</v>
      </c>
      <c r="BB59" s="60">
        <f t="shared" ref="BB59:BY59" si="74">IFERROR($B59/BB7,0)</f>
        <v>4.0651160000000006E-3</v>
      </c>
      <c r="BC59" s="60">
        <f t="shared" si="74"/>
        <v>4.0651160000000006E-3</v>
      </c>
      <c r="BD59" s="60">
        <f t="shared" si="74"/>
        <v>4.0651160000000006E-3</v>
      </c>
      <c r="BE59" s="60">
        <f t="shared" si="74"/>
        <v>4.0651160000000006E-3</v>
      </c>
      <c r="BF59" s="60">
        <f t="shared" si="74"/>
        <v>4.0651160000000006E-3</v>
      </c>
      <c r="BG59" s="60">
        <f t="shared" si="74"/>
        <v>4.0651160000000006E-3</v>
      </c>
      <c r="BH59" s="60">
        <f t="shared" si="74"/>
        <v>4.0651160000000006E-3</v>
      </c>
      <c r="BI59" s="60">
        <f t="shared" si="74"/>
        <v>4.0651160000000006E-3</v>
      </c>
      <c r="BJ59" s="60">
        <f t="shared" si="74"/>
        <v>4.0651160000000006E-3</v>
      </c>
      <c r="BK59" s="60">
        <f t="shared" si="74"/>
        <v>4.0651160000000006E-3</v>
      </c>
      <c r="BL59" s="60">
        <f t="shared" si="74"/>
        <v>4.0651160000000006E-3</v>
      </c>
      <c r="BM59" s="60">
        <f t="shared" si="74"/>
        <v>4.0651160000000006E-3</v>
      </c>
      <c r="BN59" s="60">
        <f t="shared" si="74"/>
        <v>4.0651160000000006E-3</v>
      </c>
      <c r="BO59" s="60">
        <f t="shared" si="74"/>
        <v>4.0651160000000006E-3</v>
      </c>
      <c r="BP59" s="60">
        <f t="shared" si="74"/>
        <v>4.0651160000000006E-3</v>
      </c>
      <c r="BQ59" s="60">
        <f t="shared" si="74"/>
        <v>4.0651160000000006E-3</v>
      </c>
      <c r="BR59" s="60">
        <f t="shared" si="74"/>
        <v>4.0651160000000006E-3</v>
      </c>
      <c r="BS59" s="60">
        <f t="shared" si="74"/>
        <v>4.0651160000000006E-3</v>
      </c>
      <c r="BT59" s="60">
        <f t="shared" si="74"/>
        <v>4.0651160000000006E-3</v>
      </c>
      <c r="BU59" s="60">
        <f t="shared" si="74"/>
        <v>4.0651160000000006E-3</v>
      </c>
      <c r="BV59" s="60">
        <f t="shared" si="74"/>
        <v>4.0651160000000006E-3</v>
      </c>
      <c r="BW59" s="60">
        <f t="shared" si="74"/>
        <v>4.0651160000000006E-3</v>
      </c>
      <c r="BX59" s="60">
        <f t="shared" si="74"/>
        <v>4.0651160000000006E-3</v>
      </c>
      <c r="BY59" s="60">
        <f t="shared" si="74"/>
        <v>4.0651160000000006E-3</v>
      </c>
      <c r="BZ59" s="49">
        <f t="shared" si="5"/>
        <v>8.1302319999999992E-8</v>
      </c>
      <c r="CA59" s="49">
        <f>IFERROR(s_RadSpec!$E$7*(CA7/$B59),".")</f>
        <v>2.0325579999999998E-8</v>
      </c>
      <c r="CB59" s="49">
        <f>IFERROR(s_RadSpec!$E$7*(CB7/$B59),".")</f>
        <v>2.0325579999999998E-8</v>
      </c>
      <c r="CC59" s="49">
        <f>IFERROR(s_RadSpec!$E$7*(CC7/$B59),".")</f>
        <v>2.0325579999999998E-8</v>
      </c>
      <c r="CD59" s="49">
        <f>IFERROR(s_RadSpec!$E$7*(CD7/$B59),".")</f>
        <v>2.0325579999999998E-8</v>
      </c>
      <c r="CE59" s="49">
        <f>IFERROR(s_RadSpec!$E$7*(CE7/$B59),".")</f>
        <v>2.0325579999999998E-8</v>
      </c>
      <c r="CF59" s="49">
        <f>IFERROR(s_RadSpec!$E$7*(CF7/$B59),".")</f>
        <v>2.0325579999999998E-8</v>
      </c>
      <c r="CG59" s="49">
        <f>IFERROR(s_RadSpec!$E$7*(CG7/$B59),".")</f>
        <v>2.0325579999999998E-8</v>
      </c>
      <c r="CH59" s="49">
        <f>IFERROR(s_RadSpec!$E$7*(CH7/$B59),".")</f>
        <v>2.0325579999999998E-8</v>
      </c>
      <c r="CI59" s="49">
        <f>IFERROR(s_RadSpec!$E$7*(CI7/$B59),".")</f>
        <v>2.0325579999999998E-8</v>
      </c>
      <c r="CJ59" s="49">
        <f>IFERROR(s_RadSpec!$E$7*(CJ7/$B59),".")</f>
        <v>2.0325579999999998E-8</v>
      </c>
      <c r="CK59" s="49">
        <f>IFERROR(s_RadSpec!$E$7*(CK7/$B59),".")</f>
        <v>2.0325579999999998E-8</v>
      </c>
      <c r="CL59" s="49">
        <f>IFERROR(s_RadSpec!$E$7*(CL7/$B59),".")</f>
        <v>2.0325579999999998E-8</v>
      </c>
      <c r="CM59" s="49">
        <f>IFERROR(s_RadSpec!$E$7*(CM7/$B59),".")</f>
        <v>2.0325579999999998E-8</v>
      </c>
      <c r="CN59" s="49">
        <f>IFERROR(s_RadSpec!$E$7*(CN7/$B59),".")</f>
        <v>2.0325579999999998E-8</v>
      </c>
      <c r="CO59" s="49">
        <f>IFERROR(s_RadSpec!$E$7*(CO7/$B59),".")</f>
        <v>2.0325579999999998E-8</v>
      </c>
      <c r="CP59" s="49">
        <f>IFERROR(s_RadSpec!$E$7*(CP7/$B59),".")</f>
        <v>2.0325579999999998E-8</v>
      </c>
      <c r="CQ59" s="49">
        <f>IFERROR(s_RadSpec!$E$7*(CQ7/$B59),".")</f>
        <v>2.0325579999999998E-8</v>
      </c>
      <c r="CR59" s="49">
        <f>IFERROR(s_RadSpec!$E$7*(CR7/$B59),".")</f>
        <v>2.0325579999999998E-8</v>
      </c>
      <c r="CS59" s="49">
        <f>IFERROR(s_RadSpec!$E$7*(CS7/$B59),".")</f>
        <v>2.0325579999999998E-8</v>
      </c>
      <c r="CT59" s="49">
        <f>IFERROR(s_RadSpec!$E$7*(CT7/$B59),".")</f>
        <v>2.0325579999999998E-8</v>
      </c>
      <c r="CU59" s="49">
        <f>IFERROR(s_RadSpec!$E$7*(CU7/$B59),".")</f>
        <v>2.0325579999999998E-8</v>
      </c>
      <c r="CV59" s="49">
        <f>IFERROR(s_RadSpec!$E$7*(CV7/$B59),".")</f>
        <v>2.0325579999999998E-8</v>
      </c>
      <c r="CW59" s="49">
        <f>IFERROR(s_RadSpec!$E$7*(CW7/$B59),".")</f>
        <v>2.0325579999999998E-8</v>
      </c>
      <c r="CX59" s="49">
        <f>IFERROR(s_RadSpec!$E$7*(CX7/$B59),".")</f>
        <v>2.0325579999999998E-8</v>
      </c>
    </row>
    <row r="60" spans="1:102" x14ac:dyDescent="0.25">
      <c r="A60" s="83" t="s">
        <v>1098</v>
      </c>
      <c r="B60" s="86">
        <v>1.9000000000000001E-8</v>
      </c>
      <c r="C60" s="60" t="str">
        <f t="shared" si="71"/>
        <v>.</v>
      </c>
      <c r="D60" s="60">
        <f t="shared" ref="D60:AA60" si="75">IFERROR(D12/$B60,0)</f>
        <v>0</v>
      </c>
      <c r="E60" s="60">
        <f t="shared" si="75"/>
        <v>0</v>
      </c>
      <c r="F60" s="60">
        <f t="shared" si="75"/>
        <v>0</v>
      </c>
      <c r="G60" s="60">
        <f t="shared" si="75"/>
        <v>0</v>
      </c>
      <c r="H60" s="60">
        <f t="shared" si="75"/>
        <v>0</v>
      </c>
      <c r="I60" s="60">
        <f t="shared" si="75"/>
        <v>0</v>
      </c>
      <c r="J60" s="60">
        <f t="shared" si="75"/>
        <v>0</v>
      </c>
      <c r="K60" s="60">
        <f t="shared" si="75"/>
        <v>0</v>
      </c>
      <c r="L60" s="60">
        <f t="shared" si="75"/>
        <v>0</v>
      </c>
      <c r="M60" s="60">
        <f t="shared" si="75"/>
        <v>0</v>
      </c>
      <c r="N60" s="60">
        <f t="shared" si="75"/>
        <v>0</v>
      </c>
      <c r="O60" s="60">
        <f t="shared" si="75"/>
        <v>0</v>
      </c>
      <c r="P60" s="60">
        <f t="shared" si="75"/>
        <v>0</v>
      </c>
      <c r="Q60" s="60">
        <f t="shared" si="75"/>
        <v>0</v>
      </c>
      <c r="R60" s="60">
        <f t="shared" si="75"/>
        <v>0</v>
      </c>
      <c r="S60" s="60">
        <f t="shared" si="75"/>
        <v>0</v>
      </c>
      <c r="T60" s="60">
        <f t="shared" si="75"/>
        <v>0</v>
      </c>
      <c r="U60" s="60">
        <f t="shared" si="75"/>
        <v>0</v>
      </c>
      <c r="V60" s="60">
        <f t="shared" si="75"/>
        <v>0</v>
      </c>
      <c r="W60" s="60">
        <f t="shared" si="75"/>
        <v>0</v>
      </c>
      <c r="X60" s="60">
        <f t="shared" si="75"/>
        <v>0</v>
      </c>
      <c r="Y60" s="60">
        <f t="shared" si="75"/>
        <v>0</v>
      </c>
      <c r="Z60" s="60">
        <f t="shared" si="75"/>
        <v>0</v>
      </c>
      <c r="AA60" s="60">
        <f t="shared" si="75"/>
        <v>0</v>
      </c>
      <c r="AB60" s="49">
        <f t="shared" si="12"/>
        <v>0</v>
      </c>
      <c r="AC60" s="49">
        <f>IFERROR(s_RadSpec!$E$12*($AZ$12/$B60),".")</f>
        <v>0</v>
      </c>
      <c r="AD60" s="49">
        <f>IFERROR(s_RadSpec!$E$12*($AZ$12/$B60),".")</f>
        <v>0</v>
      </c>
      <c r="AE60" s="49">
        <f>IFERROR(s_RadSpec!$E$12*($AZ$12/$B60),".")</f>
        <v>0</v>
      </c>
      <c r="AF60" s="49">
        <f>IFERROR(s_RadSpec!$E$12*($AZ$12/$B60),".")</f>
        <v>0</v>
      </c>
      <c r="AG60" s="49">
        <f>IFERROR(s_RadSpec!$E$12*($AZ$12/$B60),".")</f>
        <v>0</v>
      </c>
      <c r="AH60" s="49">
        <f>IFERROR(s_RadSpec!$E$12*($AZ$12/$B60),".")</f>
        <v>0</v>
      </c>
      <c r="AI60" s="49">
        <f>IFERROR(s_RadSpec!$E$12*($AZ$12/$B60),".")</f>
        <v>0</v>
      </c>
      <c r="AJ60" s="49">
        <f>IFERROR(s_RadSpec!$E$12*($AZ$12/$B60),".")</f>
        <v>0</v>
      </c>
      <c r="AK60" s="49">
        <f>IFERROR(s_RadSpec!$E$12*($AZ$12/$B60),".")</f>
        <v>0</v>
      </c>
      <c r="AL60" s="49">
        <f>IFERROR(s_RadSpec!$E$12*($AZ$12/$B60),".")</f>
        <v>0</v>
      </c>
      <c r="AM60" s="49">
        <f>IFERROR(s_RadSpec!$E$12*($AZ$12/$B60),".")</f>
        <v>0</v>
      </c>
      <c r="AN60" s="49">
        <f>IFERROR(s_RadSpec!$E$12*($AZ$12/$B60),".")</f>
        <v>0</v>
      </c>
      <c r="AO60" s="49">
        <f>IFERROR(s_RadSpec!$E$12*($AZ$12/$B60),".")</f>
        <v>0</v>
      </c>
      <c r="AP60" s="49">
        <f>IFERROR(s_RadSpec!$E$12*($AZ$12/$B60),".")</f>
        <v>0</v>
      </c>
      <c r="AQ60" s="49">
        <f>IFERROR(s_RadSpec!$E$12*($AZ$12/$B60),".")</f>
        <v>0</v>
      </c>
      <c r="AR60" s="49">
        <f>IFERROR(s_RadSpec!$E$12*($AZ$12/$B60),".")</f>
        <v>0</v>
      </c>
      <c r="AS60" s="49">
        <f>IFERROR(s_RadSpec!$E$12*($AZ$12/$B60),".")</f>
        <v>0</v>
      </c>
      <c r="AT60" s="49">
        <f>IFERROR(s_RadSpec!$E$12*($AZ$12/$B60),".")</f>
        <v>0</v>
      </c>
      <c r="AU60" s="49">
        <f>IFERROR(s_RadSpec!$E$12*($AZ$12/$B60),".")</f>
        <v>0</v>
      </c>
      <c r="AV60" s="49">
        <f>IFERROR(s_RadSpec!$E$12*($AZ$12/$B60),".")</f>
        <v>0</v>
      </c>
      <c r="AW60" s="49">
        <f>IFERROR(s_RadSpec!$E$12*($AZ$12/$B60),".")</f>
        <v>0</v>
      </c>
      <c r="AX60" s="49">
        <f>IFERROR(s_RadSpec!$E$12*($AZ$12/$B60),".")</f>
        <v>0</v>
      </c>
      <c r="AY60" s="49">
        <f>IFERROR(s_RadSpec!$E$12*($AZ$12/$B60),".")</f>
        <v>0</v>
      </c>
      <c r="AZ60" s="49">
        <f>IFERROR(s_RadSpec!$E$12*($AZ$12/$B60),".")</f>
        <v>0</v>
      </c>
      <c r="BA60" s="60" t="str">
        <f t="shared" si="73"/>
        <v>.</v>
      </c>
      <c r="BB60" s="60">
        <f t="shared" ref="BB60:BY60" si="76">IFERROR($B60/BB12,0)</f>
        <v>0</v>
      </c>
      <c r="BC60" s="60">
        <f t="shared" si="76"/>
        <v>0</v>
      </c>
      <c r="BD60" s="60">
        <f t="shared" si="76"/>
        <v>0</v>
      </c>
      <c r="BE60" s="60">
        <f t="shared" si="76"/>
        <v>0</v>
      </c>
      <c r="BF60" s="60">
        <f t="shared" si="76"/>
        <v>0</v>
      </c>
      <c r="BG60" s="60">
        <f t="shared" si="76"/>
        <v>0</v>
      </c>
      <c r="BH60" s="60">
        <f t="shared" si="76"/>
        <v>0</v>
      </c>
      <c r="BI60" s="60">
        <f t="shared" si="76"/>
        <v>0</v>
      </c>
      <c r="BJ60" s="60">
        <f t="shared" si="76"/>
        <v>0</v>
      </c>
      <c r="BK60" s="60">
        <f t="shared" si="76"/>
        <v>0</v>
      </c>
      <c r="BL60" s="60">
        <f t="shared" si="76"/>
        <v>0</v>
      </c>
      <c r="BM60" s="60">
        <f t="shared" si="76"/>
        <v>0</v>
      </c>
      <c r="BN60" s="60">
        <f t="shared" si="76"/>
        <v>0</v>
      </c>
      <c r="BO60" s="60">
        <f t="shared" si="76"/>
        <v>0</v>
      </c>
      <c r="BP60" s="60">
        <f t="shared" si="76"/>
        <v>0</v>
      </c>
      <c r="BQ60" s="60">
        <f t="shared" si="76"/>
        <v>0</v>
      </c>
      <c r="BR60" s="60">
        <f t="shared" si="76"/>
        <v>0</v>
      </c>
      <c r="BS60" s="60">
        <f t="shared" si="76"/>
        <v>0</v>
      </c>
      <c r="BT60" s="60">
        <f t="shared" si="76"/>
        <v>0</v>
      </c>
      <c r="BU60" s="60">
        <f t="shared" si="76"/>
        <v>0</v>
      </c>
      <c r="BV60" s="60">
        <f t="shared" si="76"/>
        <v>0</v>
      </c>
      <c r="BW60" s="60">
        <f t="shared" si="76"/>
        <v>0</v>
      </c>
      <c r="BX60" s="60">
        <f t="shared" si="76"/>
        <v>0</v>
      </c>
      <c r="BY60" s="60">
        <f t="shared" si="76"/>
        <v>0</v>
      </c>
      <c r="BZ60" s="49">
        <f t="shared" si="5"/>
        <v>0</v>
      </c>
      <c r="CA60" s="49">
        <f>IFERROR(s_RadSpec!$E$12*(CA12/$B60),".")</f>
        <v>0</v>
      </c>
      <c r="CB60" s="49">
        <f>IFERROR(s_RadSpec!$E$12*(CB12/$B60),".")</f>
        <v>0</v>
      </c>
      <c r="CC60" s="49">
        <f>IFERROR(s_RadSpec!$E$12*(CC12/$B60),".")</f>
        <v>0</v>
      </c>
      <c r="CD60" s="49">
        <f>IFERROR(s_RadSpec!$E$12*(CD12/$B60),".")</f>
        <v>0</v>
      </c>
      <c r="CE60" s="49">
        <f>IFERROR(s_RadSpec!$E$12*(CE12/$B60),".")</f>
        <v>0</v>
      </c>
      <c r="CF60" s="49">
        <f>IFERROR(s_RadSpec!$E$12*(CF12/$B60),".")</f>
        <v>0</v>
      </c>
      <c r="CG60" s="49">
        <f>IFERROR(s_RadSpec!$E$12*(CG12/$B60),".")</f>
        <v>0</v>
      </c>
      <c r="CH60" s="49">
        <f>IFERROR(s_RadSpec!$E$12*(CH12/$B60),".")</f>
        <v>0</v>
      </c>
      <c r="CI60" s="49">
        <f>IFERROR(s_RadSpec!$E$12*(CI12/$B60),".")</f>
        <v>0</v>
      </c>
      <c r="CJ60" s="49">
        <f>IFERROR(s_RadSpec!$E$12*(CJ12/$B60),".")</f>
        <v>0</v>
      </c>
      <c r="CK60" s="49">
        <f>IFERROR(s_RadSpec!$E$12*(CK12/$B60),".")</f>
        <v>0</v>
      </c>
      <c r="CL60" s="49">
        <f>IFERROR(s_RadSpec!$E$12*(CL12/$B60),".")</f>
        <v>0</v>
      </c>
      <c r="CM60" s="49">
        <f>IFERROR(s_RadSpec!$E$12*(CM12/$B60),".")</f>
        <v>0</v>
      </c>
      <c r="CN60" s="49">
        <f>IFERROR(s_RadSpec!$E$12*(CN12/$B60),".")</f>
        <v>0</v>
      </c>
      <c r="CO60" s="49">
        <f>IFERROR(s_RadSpec!$E$12*(CO12/$B60),".")</f>
        <v>0</v>
      </c>
      <c r="CP60" s="49">
        <f>IFERROR(s_RadSpec!$E$12*(CP12/$B60),".")</f>
        <v>0</v>
      </c>
      <c r="CQ60" s="49">
        <f>IFERROR(s_RadSpec!$E$12*(CQ12/$B60),".")</f>
        <v>0</v>
      </c>
      <c r="CR60" s="49">
        <f>IFERROR(s_RadSpec!$E$12*(CR12/$B60),".")</f>
        <v>0</v>
      </c>
      <c r="CS60" s="49">
        <f>IFERROR(s_RadSpec!$E$12*(CS12/$B60),".")</f>
        <v>0</v>
      </c>
      <c r="CT60" s="49">
        <f>IFERROR(s_RadSpec!$E$12*(CT12/$B60),".")</f>
        <v>0</v>
      </c>
      <c r="CU60" s="49">
        <f>IFERROR(s_RadSpec!$E$12*(CU12/$B60),".")</f>
        <v>0</v>
      </c>
      <c r="CV60" s="49">
        <f>IFERROR(s_RadSpec!$E$12*(CV12/$B60),".")</f>
        <v>0</v>
      </c>
      <c r="CW60" s="49">
        <f>IFERROR(s_RadSpec!$E$12*(CW12/$B60),".")</f>
        <v>0</v>
      </c>
      <c r="CX60" s="49">
        <f>IFERROR(s_RadSpec!$E$12*(CX12/$B60),".")</f>
        <v>0</v>
      </c>
    </row>
    <row r="61" spans="1:102" x14ac:dyDescent="0.25">
      <c r="A61" s="83" t="s">
        <v>1099</v>
      </c>
      <c r="B61" s="42">
        <v>1</v>
      </c>
      <c r="C61" s="60">
        <f t="shared" si="71"/>
        <v>2.156326452756538</v>
      </c>
      <c r="D61" s="60">
        <f t="shared" ref="D61:AA61" si="77">IFERROR(D18/$B61,0)</f>
        <v>11.779523483525496</v>
      </c>
      <c r="E61" s="60">
        <f t="shared" si="77"/>
        <v>7.721505824129153</v>
      </c>
      <c r="F61" s="60">
        <f t="shared" si="77"/>
        <v>8.3616306592901211</v>
      </c>
      <c r="G61" s="60">
        <f t="shared" si="77"/>
        <v>11.779523483525496</v>
      </c>
      <c r="H61" s="60">
        <f t="shared" si="77"/>
        <v>11.779523483525496</v>
      </c>
      <c r="I61" s="60">
        <f t="shared" si="77"/>
        <v>7.721505824129153</v>
      </c>
      <c r="J61" s="60">
        <f t="shared" si="77"/>
        <v>8.3616306592901211</v>
      </c>
      <c r="K61" s="60">
        <f t="shared" si="77"/>
        <v>11.779523483525496</v>
      </c>
      <c r="L61" s="60">
        <f t="shared" si="77"/>
        <v>11.745230838740852</v>
      </c>
      <c r="M61" s="60">
        <f t="shared" si="77"/>
        <v>11.779523483525496</v>
      </c>
      <c r="N61" s="60">
        <f t="shared" si="77"/>
        <v>7.721505824129153</v>
      </c>
      <c r="O61" s="60">
        <f t="shared" si="77"/>
        <v>11.719642100530089</v>
      </c>
      <c r="P61" s="60">
        <f t="shared" si="77"/>
        <v>11.779523483525496</v>
      </c>
      <c r="Q61" s="60">
        <f t="shared" si="77"/>
        <v>11.779523483525496</v>
      </c>
      <c r="R61" s="60">
        <f t="shared" si="77"/>
        <v>11.779523483525496</v>
      </c>
      <c r="S61" s="60">
        <f t="shared" si="77"/>
        <v>11.779523483525496</v>
      </c>
      <c r="T61" s="60">
        <f t="shared" si="77"/>
        <v>11.719642100530089</v>
      </c>
      <c r="U61" s="60">
        <f t="shared" si="77"/>
        <v>9.9616957854505745</v>
      </c>
      <c r="V61" s="60">
        <f t="shared" si="77"/>
        <v>11.779523483525496</v>
      </c>
      <c r="W61" s="60">
        <f t="shared" si="77"/>
        <v>11.719642100530089</v>
      </c>
      <c r="X61" s="60">
        <f t="shared" si="77"/>
        <v>11.779523483525496</v>
      </c>
      <c r="Y61" s="60">
        <f t="shared" si="77"/>
        <v>11.779523483525496</v>
      </c>
      <c r="Z61" s="60">
        <f t="shared" si="77"/>
        <v>6.0897913858226156</v>
      </c>
      <c r="AA61" s="60">
        <f t="shared" si="77"/>
        <v>11.745230838740852</v>
      </c>
      <c r="AB61" s="49">
        <f t="shared" si="12"/>
        <v>1.7028188099999999E-6</v>
      </c>
      <c r="AC61" s="49">
        <f>IFERROR(s_RadSpec!$E$18*($AZ$18/$B61),".")</f>
        <v>4.2570470249999997E-7</v>
      </c>
      <c r="AD61" s="49">
        <f>IFERROR(s_RadSpec!$E$18*($AZ$18/$B61),".")</f>
        <v>4.2570470249999997E-7</v>
      </c>
      <c r="AE61" s="49">
        <f>IFERROR(s_RadSpec!$E$18*($AZ$18/$B61),".")</f>
        <v>4.2570470249999997E-7</v>
      </c>
      <c r="AF61" s="49">
        <f>IFERROR(s_RadSpec!$E$18*($AZ$18/$B61),".")</f>
        <v>4.2570470249999997E-7</v>
      </c>
      <c r="AG61" s="49">
        <f>IFERROR(s_RadSpec!$E$18*($AZ$18/$B61),".")</f>
        <v>4.2570470249999997E-7</v>
      </c>
      <c r="AH61" s="49">
        <f>IFERROR(s_RadSpec!$E$18*($AZ$18/$B61),".")</f>
        <v>4.2570470249999997E-7</v>
      </c>
      <c r="AI61" s="49">
        <f>IFERROR(s_RadSpec!$E$18*($AZ$18/$B61),".")</f>
        <v>4.2570470249999997E-7</v>
      </c>
      <c r="AJ61" s="49">
        <f>IFERROR(s_RadSpec!$E$18*($AZ$18/$B61),".")</f>
        <v>4.2570470249999997E-7</v>
      </c>
      <c r="AK61" s="49">
        <f>IFERROR(s_RadSpec!$E$18*($AZ$18/$B61),".")</f>
        <v>4.2570470249999997E-7</v>
      </c>
      <c r="AL61" s="49">
        <f>IFERROR(s_RadSpec!$E$18*($AZ$18/$B61),".")</f>
        <v>4.2570470249999997E-7</v>
      </c>
      <c r="AM61" s="49">
        <f>IFERROR(s_RadSpec!$E$18*($AZ$18/$B61),".")</f>
        <v>4.2570470249999997E-7</v>
      </c>
      <c r="AN61" s="49">
        <f>IFERROR(s_RadSpec!$E$18*($AZ$18/$B61),".")</f>
        <v>4.2570470249999997E-7</v>
      </c>
      <c r="AO61" s="49">
        <f>IFERROR(s_RadSpec!$E$18*($AZ$18/$B61),".")</f>
        <v>4.2570470249999997E-7</v>
      </c>
      <c r="AP61" s="49">
        <f>IFERROR(s_RadSpec!$E$18*($AZ$18/$B61),".")</f>
        <v>4.2570470249999997E-7</v>
      </c>
      <c r="AQ61" s="49">
        <f>IFERROR(s_RadSpec!$E$18*($AZ$18/$B61),".")</f>
        <v>4.2570470249999997E-7</v>
      </c>
      <c r="AR61" s="49">
        <f>IFERROR(s_RadSpec!$E$18*($AZ$18/$B61),".")</f>
        <v>4.2570470249999997E-7</v>
      </c>
      <c r="AS61" s="49">
        <f>IFERROR(s_RadSpec!$E$18*($AZ$18/$B61),".")</f>
        <v>4.2570470249999997E-7</v>
      </c>
      <c r="AT61" s="49">
        <f>IFERROR(s_RadSpec!$E$18*($AZ$18/$B61),".")</f>
        <v>4.2570470249999997E-7</v>
      </c>
      <c r="AU61" s="49">
        <f>IFERROR(s_RadSpec!$E$18*($AZ$18/$B61),".")</f>
        <v>4.2570470249999997E-7</v>
      </c>
      <c r="AV61" s="49">
        <f>IFERROR(s_RadSpec!$E$18*($AZ$18/$B61),".")</f>
        <v>4.2570470249999997E-7</v>
      </c>
      <c r="AW61" s="49">
        <f>IFERROR(s_RadSpec!$E$18*($AZ$18/$B61),".")</f>
        <v>4.2570470249999997E-7</v>
      </c>
      <c r="AX61" s="49">
        <f>IFERROR(s_RadSpec!$E$18*($AZ$18/$B61),".")</f>
        <v>4.2570470249999997E-7</v>
      </c>
      <c r="AY61" s="49">
        <f>IFERROR(s_RadSpec!$E$18*($AZ$18/$B61),".")</f>
        <v>4.2570470249999997E-7</v>
      </c>
      <c r="AZ61" s="49">
        <f>IFERROR(s_RadSpec!$E$18*($AZ$18/$B61),".")</f>
        <v>4.2570470249999997E-7</v>
      </c>
      <c r="BA61" s="60">
        <f t="shared" si="73"/>
        <v>2.6783764189340628E-2</v>
      </c>
      <c r="BB61" s="60">
        <f t="shared" ref="BB61:BY61" si="78">IFERROR($B61/BB18,0)</f>
        <v>8.4893077500000011E-2</v>
      </c>
      <c r="BC61" s="60">
        <f t="shared" si="78"/>
        <v>0.1295084175</v>
      </c>
      <c r="BD61" s="60">
        <f t="shared" si="78"/>
        <v>0.11959389749999998</v>
      </c>
      <c r="BE61" s="60">
        <f t="shared" si="78"/>
        <v>8.4893077500000011E-2</v>
      </c>
      <c r="BF61" s="60">
        <f t="shared" si="78"/>
        <v>8.4893077500000011E-2</v>
      </c>
      <c r="BG61" s="60">
        <f t="shared" si="78"/>
        <v>0.1295084175</v>
      </c>
      <c r="BH61" s="60">
        <f t="shared" si="78"/>
        <v>0.11959389749999998</v>
      </c>
      <c r="BI61" s="60">
        <f t="shared" si="78"/>
        <v>8.4893077500000011E-2</v>
      </c>
      <c r="BJ61" s="60">
        <f t="shared" si="78"/>
        <v>8.5140940499999998E-2</v>
      </c>
      <c r="BK61" s="60">
        <f t="shared" si="78"/>
        <v>8.4893077500000011E-2</v>
      </c>
      <c r="BL61" s="60">
        <f t="shared" si="78"/>
        <v>0.1295084175</v>
      </c>
      <c r="BM61" s="60">
        <f t="shared" si="78"/>
        <v>8.5326837749999995E-2</v>
      </c>
      <c r="BN61" s="60">
        <f t="shared" si="78"/>
        <v>8.4893077500000011E-2</v>
      </c>
      <c r="BO61" s="60">
        <f t="shared" si="78"/>
        <v>8.4893077500000011E-2</v>
      </c>
      <c r="BP61" s="60">
        <f t="shared" si="78"/>
        <v>8.4893077500000011E-2</v>
      </c>
      <c r="BQ61" s="60">
        <f t="shared" si="78"/>
        <v>8.4893077500000011E-2</v>
      </c>
      <c r="BR61" s="60">
        <f t="shared" si="78"/>
        <v>8.5326837749999995E-2</v>
      </c>
      <c r="BS61" s="60">
        <f t="shared" si="78"/>
        <v>0.10038451500000001</v>
      </c>
      <c r="BT61" s="60">
        <f t="shared" si="78"/>
        <v>8.4893077500000011E-2</v>
      </c>
      <c r="BU61" s="60">
        <f t="shared" si="78"/>
        <v>8.5326837749999995E-2</v>
      </c>
      <c r="BV61" s="60">
        <f t="shared" si="78"/>
        <v>8.4893077500000011E-2</v>
      </c>
      <c r="BW61" s="60">
        <f t="shared" si="78"/>
        <v>8.4893077500000011E-2</v>
      </c>
      <c r="BX61" s="60">
        <f t="shared" si="78"/>
        <v>0.16420923749999999</v>
      </c>
      <c r="BY61" s="60">
        <f t="shared" si="78"/>
        <v>8.5140940499999998E-2</v>
      </c>
      <c r="BZ61" s="49">
        <f t="shared" si="5"/>
        <v>2.3187583650000002E-6</v>
      </c>
      <c r="CA61" s="49">
        <f>IFERROR(s_RadSpec!$E$18*(CA18/$B61),".")</f>
        <v>4.2446538750000009E-7</v>
      </c>
      <c r="CB61" s="49">
        <f>IFERROR(s_RadSpec!$E$18*(CB18/$B61),".")</f>
        <v>6.4754208749999999E-7</v>
      </c>
      <c r="CC61" s="49">
        <f>IFERROR(s_RadSpec!$E$18*(CC18/$B61),".")</f>
        <v>5.9796948749999994E-7</v>
      </c>
      <c r="CD61" s="49">
        <f>IFERROR(s_RadSpec!$E$18*(CD18/$B61),".")</f>
        <v>4.2446538750000009E-7</v>
      </c>
      <c r="CE61" s="49">
        <f>IFERROR(s_RadSpec!$E$18*(CE18/$B61),".")</f>
        <v>4.2446538750000009E-7</v>
      </c>
      <c r="CF61" s="49">
        <f>IFERROR(s_RadSpec!$E$18*(CF18/$B61),".")</f>
        <v>6.4754208749999999E-7</v>
      </c>
      <c r="CG61" s="49">
        <f>IFERROR(s_RadSpec!$E$18*(CG18/$B61),".")</f>
        <v>5.9796948749999994E-7</v>
      </c>
      <c r="CH61" s="49">
        <f>IFERROR(s_RadSpec!$E$18*(CH18/$B61),".")</f>
        <v>4.2446538750000009E-7</v>
      </c>
      <c r="CI61" s="49">
        <f>IFERROR(s_RadSpec!$E$18*(CI18/$B61),".")</f>
        <v>4.2570470249999997E-7</v>
      </c>
      <c r="CJ61" s="49">
        <f>IFERROR(s_RadSpec!$E$18*(CJ18/$B61),".")</f>
        <v>4.2446538750000009E-7</v>
      </c>
      <c r="CK61" s="49">
        <f>IFERROR(s_RadSpec!$E$18*(CK18/$B61),".")</f>
        <v>6.4754208749999999E-7</v>
      </c>
      <c r="CL61" s="49">
        <f>IFERROR(s_RadSpec!$E$18*(CL18/$B61),".")</f>
        <v>4.2663418874999998E-7</v>
      </c>
      <c r="CM61" s="49">
        <f>IFERROR(s_RadSpec!$E$18*(CM18/$B61),".")</f>
        <v>4.2446538750000009E-7</v>
      </c>
      <c r="CN61" s="49">
        <f>IFERROR(s_RadSpec!$E$18*(CN18/$B61),".")</f>
        <v>4.2446538750000009E-7</v>
      </c>
      <c r="CO61" s="49">
        <f>IFERROR(s_RadSpec!$E$18*(CO18/$B61),".")</f>
        <v>4.2446538750000009E-7</v>
      </c>
      <c r="CP61" s="49">
        <f>IFERROR(s_RadSpec!$E$18*(CP18/$B61),".")</f>
        <v>4.2446538750000009E-7</v>
      </c>
      <c r="CQ61" s="49">
        <f>IFERROR(s_RadSpec!$E$18*(CQ18/$B61),".")</f>
        <v>4.2663418874999998E-7</v>
      </c>
      <c r="CR61" s="49">
        <f>IFERROR(s_RadSpec!$E$18*(CR18/$B61),".")</f>
        <v>5.0192257499999995E-7</v>
      </c>
      <c r="CS61" s="49">
        <f>IFERROR(s_RadSpec!$E$18*(CS18/$B61),".")</f>
        <v>4.2446538750000009E-7</v>
      </c>
      <c r="CT61" s="49">
        <f>IFERROR(s_RadSpec!$E$18*(CT18/$B61),".")</f>
        <v>4.2663418874999998E-7</v>
      </c>
      <c r="CU61" s="49">
        <f>IFERROR(s_RadSpec!$E$18*(CU18/$B61),".")</f>
        <v>4.2446538750000009E-7</v>
      </c>
      <c r="CV61" s="49">
        <f>IFERROR(s_RadSpec!$E$18*(CV18/$B61),".")</f>
        <v>4.2446538750000009E-7</v>
      </c>
      <c r="CW61" s="49">
        <f>IFERROR(s_RadSpec!$E$18*(CW18/$B61),".")</f>
        <v>8.2104618750000005E-7</v>
      </c>
      <c r="CX61" s="49">
        <f>IFERROR(s_RadSpec!$E$18*(CX18/$B61),".")</f>
        <v>4.2570470249999997E-7</v>
      </c>
    </row>
    <row r="62" spans="1:102" x14ac:dyDescent="0.25">
      <c r="A62" s="83" t="s">
        <v>1100</v>
      </c>
      <c r="B62" s="42">
        <v>1.339E-6</v>
      </c>
      <c r="C62" s="60" t="str">
        <f t="shared" si="71"/>
        <v>.</v>
      </c>
      <c r="D62" s="60">
        <f t="shared" ref="D62:AA62" si="79">IFERROR(D27/$B62,0)</f>
        <v>0</v>
      </c>
      <c r="E62" s="60">
        <f t="shared" si="79"/>
        <v>0</v>
      </c>
      <c r="F62" s="60">
        <f t="shared" si="79"/>
        <v>0</v>
      </c>
      <c r="G62" s="60">
        <f t="shared" si="79"/>
        <v>0</v>
      </c>
      <c r="H62" s="60">
        <f t="shared" si="79"/>
        <v>0</v>
      </c>
      <c r="I62" s="60">
        <f t="shared" si="79"/>
        <v>0</v>
      </c>
      <c r="J62" s="60">
        <f t="shared" si="79"/>
        <v>0</v>
      </c>
      <c r="K62" s="60">
        <f t="shared" si="79"/>
        <v>0</v>
      </c>
      <c r="L62" s="60">
        <f t="shared" si="79"/>
        <v>0</v>
      </c>
      <c r="M62" s="60">
        <f t="shared" si="79"/>
        <v>0</v>
      </c>
      <c r="N62" s="60">
        <f t="shared" si="79"/>
        <v>0</v>
      </c>
      <c r="O62" s="60">
        <f t="shared" si="79"/>
        <v>0</v>
      </c>
      <c r="P62" s="60">
        <f t="shared" si="79"/>
        <v>0</v>
      </c>
      <c r="Q62" s="60">
        <f t="shared" si="79"/>
        <v>0</v>
      </c>
      <c r="R62" s="60">
        <f t="shared" si="79"/>
        <v>0</v>
      </c>
      <c r="S62" s="60">
        <f t="shared" si="79"/>
        <v>0</v>
      </c>
      <c r="T62" s="60">
        <f t="shared" si="79"/>
        <v>0</v>
      </c>
      <c r="U62" s="60">
        <f t="shared" si="79"/>
        <v>0</v>
      </c>
      <c r="V62" s="60">
        <f t="shared" si="79"/>
        <v>0</v>
      </c>
      <c r="W62" s="60">
        <f t="shared" si="79"/>
        <v>0</v>
      </c>
      <c r="X62" s="60">
        <f t="shared" si="79"/>
        <v>0</v>
      </c>
      <c r="Y62" s="60">
        <f t="shared" si="79"/>
        <v>0</v>
      </c>
      <c r="Z62" s="60">
        <f t="shared" si="79"/>
        <v>0</v>
      </c>
      <c r="AA62" s="60">
        <f t="shared" si="79"/>
        <v>0</v>
      </c>
      <c r="AB62" s="49">
        <f t="shared" si="12"/>
        <v>0</v>
      </c>
      <c r="AC62" s="49">
        <f>IFERROR(s_RadSpec!$E$27*($AZ$27/$B62),".")</f>
        <v>0</v>
      </c>
      <c r="AD62" s="49">
        <f>IFERROR(s_RadSpec!$E$27*($AZ$27/$B62),".")</f>
        <v>0</v>
      </c>
      <c r="AE62" s="49">
        <f>IFERROR(s_RadSpec!$E$27*($AZ$27/$B62),".")</f>
        <v>0</v>
      </c>
      <c r="AF62" s="49">
        <f>IFERROR(s_RadSpec!$E$27*($AZ$27/$B62),".")</f>
        <v>0</v>
      </c>
      <c r="AG62" s="49">
        <f>IFERROR(s_RadSpec!$E$27*($AZ$27/$B62),".")</f>
        <v>0</v>
      </c>
      <c r="AH62" s="49">
        <f>IFERROR(s_RadSpec!$E$27*($AZ$27/$B62),".")</f>
        <v>0</v>
      </c>
      <c r="AI62" s="49">
        <f>IFERROR(s_RadSpec!$E$27*($AZ$27/$B62),".")</f>
        <v>0</v>
      </c>
      <c r="AJ62" s="49">
        <f>IFERROR(s_RadSpec!$E$27*($AZ$27/$B62),".")</f>
        <v>0</v>
      </c>
      <c r="AK62" s="49">
        <f>IFERROR(s_RadSpec!$E$27*($AZ$27/$B62),".")</f>
        <v>0</v>
      </c>
      <c r="AL62" s="49">
        <f>IFERROR(s_RadSpec!$E$27*($AZ$27/$B62),".")</f>
        <v>0</v>
      </c>
      <c r="AM62" s="49">
        <f>IFERROR(s_RadSpec!$E$27*($AZ$27/$B62),".")</f>
        <v>0</v>
      </c>
      <c r="AN62" s="49">
        <f>IFERROR(s_RadSpec!$E$27*($AZ$27/$B62),".")</f>
        <v>0</v>
      </c>
      <c r="AO62" s="49">
        <f>IFERROR(s_RadSpec!$E$27*($AZ$27/$B62),".")</f>
        <v>0</v>
      </c>
      <c r="AP62" s="49">
        <f>IFERROR(s_RadSpec!$E$27*($AZ$27/$B62),".")</f>
        <v>0</v>
      </c>
      <c r="AQ62" s="49">
        <f>IFERROR(s_RadSpec!$E$27*($AZ$27/$B62),".")</f>
        <v>0</v>
      </c>
      <c r="AR62" s="49">
        <f>IFERROR(s_RadSpec!$E$27*($AZ$27/$B62),".")</f>
        <v>0</v>
      </c>
      <c r="AS62" s="49">
        <f>IFERROR(s_RadSpec!$E$27*($AZ$27/$B62),".")</f>
        <v>0</v>
      </c>
      <c r="AT62" s="49">
        <f>IFERROR(s_RadSpec!$E$27*($AZ$27/$B62),".")</f>
        <v>0</v>
      </c>
      <c r="AU62" s="49">
        <f>IFERROR(s_RadSpec!$E$27*($AZ$27/$B62),".")</f>
        <v>0</v>
      </c>
      <c r="AV62" s="49">
        <f>IFERROR(s_RadSpec!$E$27*($AZ$27/$B62),".")</f>
        <v>0</v>
      </c>
      <c r="AW62" s="49">
        <f>IFERROR(s_RadSpec!$E$27*($AZ$27/$B62),".")</f>
        <v>0</v>
      </c>
      <c r="AX62" s="49">
        <f>IFERROR(s_RadSpec!$E$27*($AZ$27/$B62),".")</f>
        <v>0</v>
      </c>
      <c r="AY62" s="49">
        <f>IFERROR(s_RadSpec!$E$27*($AZ$27/$B62),".")</f>
        <v>0</v>
      </c>
      <c r="AZ62" s="49">
        <f>IFERROR(s_RadSpec!$E$27*($AZ$27/$B62),".")</f>
        <v>0</v>
      </c>
      <c r="BA62" s="60" t="str">
        <f t="shared" si="73"/>
        <v>.</v>
      </c>
      <c r="BB62" s="60">
        <f t="shared" ref="BB62:BY62" si="80">IFERROR($B62/BB27,0)</f>
        <v>0</v>
      </c>
      <c r="BC62" s="60">
        <f t="shared" si="80"/>
        <v>0</v>
      </c>
      <c r="BD62" s="60">
        <f t="shared" si="80"/>
        <v>0</v>
      </c>
      <c r="BE62" s="60">
        <f t="shared" si="80"/>
        <v>0</v>
      </c>
      <c r="BF62" s="60">
        <f t="shared" si="80"/>
        <v>0</v>
      </c>
      <c r="BG62" s="60">
        <f t="shared" si="80"/>
        <v>0</v>
      </c>
      <c r="BH62" s="60">
        <f t="shared" si="80"/>
        <v>0</v>
      </c>
      <c r="BI62" s="60">
        <f t="shared" si="80"/>
        <v>0</v>
      </c>
      <c r="BJ62" s="60">
        <f t="shared" si="80"/>
        <v>0</v>
      </c>
      <c r="BK62" s="60">
        <f t="shared" si="80"/>
        <v>0</v>
      </c>
      <c r="BL62" s="60">
        <f t="shared" si="80"/>
        <v>0</v>
      </c>
      <c r="BM62" s="60">
        <f t="shared" si="80"/>
        <v>0</v>
      </c>
      <c r="BN62" s="60">
        <f t="shared" si="80"/>
        <v>0</v>
      </c>
      <c r="BO62" s="60">
        <f t="shared" si="80"/>
        <v>0</v>
      </c>
      <c r="BP62" s="60">
        <f t="shared" si="80"/>
        <v>0</v>
      </c>
      <c r="BQ62" s="60">
        <f t="shared" si="80"/>
        <v>0</v>
      </c>
      <c r="BR62" s="60">
        <f t="shared" si="80"/>
        <v>0</v>
      </c>
      <c r="BS62" s="60">
        <f t="shared" si="80"/>
        <v>0</v>
      </c>
      <c r="BT62" s="60">
        <f t="shared" si="80"/>
        <v>0</v>
      </c>
      <c r="BU62" s="60">
        <f t="shared" si="80"/>
        <v>0</v>
      </c>
      <c r="BV62" s="60">
        <f t="shared" si="80"/>
        <v>0</v>
      </c>
      <c r="BW62" s="60">
        <f t="shared" si="80"/>
        <v>0</v>
      </c>
      <c r="BX62" s="60">
        <f t="shared" si="80"/>
        <v>0</v>
      </c>
      <c r="BY62" s="60">
        <f t="shared" si="80"/>
        <v>0</v>
      </c>
      <c r="BZ62" s="49">
        <f t="shared" si="5"/>
        <v>0</v>
      </c>
      <c r="CA62" s="49">
        <f>IFERROR(s_RadSpec!$E$27*(CA27/$B62),".")</f>
        <v>0</v>
      </c>
      <c r="CB62" s="49">
        <f>IFERROR(s_RadSpec!$E$27*(CB27/$B62),".")</f>
        <v>0</v>
      </c>
      <c r="CC62" s="49">
        <f>IFERROR(s_RadSpec!$E$27*(CC27/$B62),".")</f>
        <v>0</v>
      </c>
      <c r="CD62" s="49">
        <f>IFERROR(s_RadSpec!$E$27*(CD27/$B62),".")</f>
        <v>0</v>
      </c>
      <c r="CE62" s="49">
        <f>IFERROR(s_RadSpec!$E$27*(CE27/$B62),".")</f>
        <v>0</v>
      </c>
      <c r="CF62" s="49">
        <f>IFERROR(s_RadSpec!$E$27*(CF27/$B62),".")</f>
        <v>0</v>
      </c>
      <c r="CG62" s="49">
        <f>IFERROR(s_RadSpec!$E$27*(CG27/$B62),".")</f>
        <v>0</v>
      </c>
      <c r="CH62" s="49">
        <f>IFERROR(s_RadSpec!$E$27*(CH27/$B62),".")</f>
        <v>0</v>
      </c>
      <c r="CI62" s="49">
        <f>IFERROR(s_RadSpec!$E$27*(CI27/$B62),".")</f>
        <v>0</v>
      </c>
      <c r="CJ62" s="49">
        <f>IFERROR(s_RadSpec!$E$27*(CJ27/$B62),".")</f>
        <v>0</v>
      </c>
      <c r="CK62" s="49">
        <f>IFERROR(s_RadSpec!$E$27*(CK27/$B62),".")</f>
        <v>0</v>
      </c>
      <c r="CL62" s="49">
        <f>IFERROR(s_RadSpec!$E$27*(CL27/$B62),".")</f>
        <v>0</v>
      </c>
      <c r="CM62" s="49">
        <f>IFERROR(s_RadSpec!$E$27*(CM27/$B62),".")</f>
        <v>0</v>
      </c>
      <c r="CN62" s="49">
        <f>IFERROR(s_RadSpec!$E$27*(CN27/$B62),".")</f>
        <v>0</v>
      </c>
      <c r="CO62" s="49">
        <f>IFERROR(s_RadSpec!$E$27*(CO27/$B62),".")</f>
        <v>0</v>
      </c>
      <c r="CP62" s="49">
        <f>IFERROR(s_RadSpec!$E$27*(CP27/$B62),".")</f>
        <v>0</v>
      </c>
      <c r="CQ62" s="49">
        <f>IFERROR(s_RadSpec!$E$27*(CQ27/$B62),".")</f>
        <v>0</v>
      </c>
      <c r="CR62" s="49">
        <f>IFERROR(s_RadSpec!$E$27*(CR27/$B62),".")</f>
        <v>0</v>
      </c>
      <c r="CS62" s="49">
        <f>IFERROR(s_RadSpec!$E$27*(CS27/$B62),".")</f>
        <v>0</v>
      </c>
      <c r="CT62" s="49">
        <f>IFERROR(s_RadSpec!$E$27*(CT27/$B62),".")</f>
        <v>0</v>
      </c>
      <c r="CU62" s="49">
        <f>IFERROR(s_RadSpec!$E$27*(CU27/$B62),".")</f>
        <v>0</v>
      </c>
      <c r="CV62" s="49">
        <f>IFERROR(s_RadSpec!$E$27*(CV27/$B62),".")</f>
        <v>0</v>
      </c>
      <c r="CW62" s="49">
        <f>IFERROR(s_RadSpec!$E$27*(CW27/$B62),".")</f>
        <v>0</v>
      </c>
      <c r="CX62" s="49">
        <f>IFERROR(s_RadSpec!$E$27*(CX27/$B62),".")</f>
        <v>0</v>
      </c>
    </row>
    <row r="63" spans="1:102" x14ac:dyDescent="0.25">
      <c r="A63" s="82" t="s">
        <v>35</v>
      </c>
      <c r="B63" s="82" t="s">
        <v>1074</v>
      </c>
      <c r="C63" s="58">
        <f t="shared" si="71"/>
        <v>1.0172791076857797</v>
      </c>
      <c r="D63" s="58">
        <f t="shared" ref="D63:AA63" si="81">1/SUM(1/D66,1/D68,1/D72,1/D73,1/D75)</f>
        <v>6.0565650617604296</v>
      </c>
      <c r="E63" s="58">
        <f t="shared" si="81"/>
        <v>2.2919262404196745</v>
      </c>
      <c r="F63" s="58">
        <f t="shared" si="81"/>
        <v>4.6297191613353856</v>
      </c>
      <c r="G63" s="58">
        <f t="shared" si="81"/>
        <v>6.0565650617604296</v>
      </c>
      <c r="H63" s="58">
        <f t="shared" si="81"/>
        <v>5.5158718335408912</v>
      </c>
      <c r="I63" s="58">
        <f t="shared" si="81"/>
        <v>2.2919262404196745</v>
      </c>
      <c r="J63" s="58">
        <f t="shared" si="81"/>
        <v>4.6297191613353856</v>
      </c>
      <c r="K63" s="58">
        <f t="shared" si="81"/>
        <v>6.0565650617604296</v>
      </c>
      <c r="L63" s="58">
        <f t="shared" si="81"/>
        <v>7.3060692395015359</v>
      </c>
      <c r="M63" s="58">
        <f t="shared" si="81"/>
        <v>5.5158718335408912</v>
      </c>
      <c r="N63" s="58">
        <f t="shared" si="81"/>
        <v>2.2919262404196745</v>
      </c>
      <c r="O63" s="58">
        <f t="shared" si="81"/>
        <v>6.6520308084853408</v>
      </c>
      <c r="P63" s="58">
        <f t="shared" si="81"/>
        <v>5.5158718335408912</v>
      </c>
      <c r="Q63" s="58">
        <f t="shared" si="81"/>
        <v>5.5158718335408912</v>
      </c>
      <c r="R63" s="58">
        <f t="shared" si="81"/>
        <v>6.0565650617604296</v>
      </c>
      <c r="S63" s="58">
        <f t="shared" si="81"/>
        <v>6.0565650617604296</v>
      </c>
      <c r="T63" s="58">
        <f t="shared" si="81"/>
        <v>6.6520308084853408</v>
      </c>
      <c r="U63" s="58">
        <f t="shared" si="81"/>
        <v>6.5322258592866493</v>
      </c>
      <c r="V63" s="58">
        <f t="shared" si="81"/>
        <v>5.5158718335408912</v>
      </c>
      <c r="W63" s="58">
        <f t="shared" si="81"/>
        <v>6.6520308084853408</v>
      </c>
      <c r="X63" s="58">
        <f t="shared" si="81"/>
        <v>6.0565650617604296</v>
      </c>
      <c r="Y63" s="58">
        <f t="shared" si="81"/>
        <v>5.5158718335408912</v>
      </c>
      <c r="Z63" s="58">
        <f t="shared" si="81"/>
        <v>4.6949426288059355</v>
      </c>
      <c r="AA63" s="58">
        <f t="shared" si="81"/>
        <v>5.9313762805651136</v>
      </c>
      <c r="AB63" s="47">
        <f>IFERROR(IF(SUM(AC64:AD76,AY64:AZ76)&gt;0.01,1-EXP(-SUM(AC64:AD76,AY64:AZ76)),SUM(AC64:AD76,AY64:AZ76)),".")</f>
        <v>3.3718989670589959E-6</v>
      </c>
      <c r="AC63" s="47">
        <f t="shared" ref="AC63:AY63" si="82">IFERROR(IF(SUM(AC64:AC76)&gt;0.01,1-EXP(-(SUM(AC64:AC76))),SUM(AC64:AC76)),".")</f>
        <v>8.4297474176474876E-7</v>
      </c>
      <c r="AD63" s="47">
        <f t="shared" si="82"/>
        <v>8.4297474176474876E-7</v>
      </c>
      <c r="AE63" s="47">
        <f t="shared" si="82"/>
        <v>8.4297474176474876E-7</v>
      </c>
      <c r="AF63" s="47">
        <f t="shared" si="82"/>
        <v>8.4297474176474876E-7</v>
      </c>
      <c r="AG63" s="47">
        <f t="shared" si="82"/>
        <v>8.4297474176474876E-7</v>
      </c>
      <c r="AH63" s="47">
        <f t="shared" si="82"/>
        <v>8.4297474176474876E-7</v>
      </c>
      <c r="AI63" s="47">
        <f t="shared" si="82"/>
        <v>8.4297474176474876E-7</v>
      </c>
      <c r="AJ63" s="47">
        <f t="shared" si="82"/>
        <v>8.4297474176474876E-7</v>
      </c>
      <c r="AK63" s="47">
        <f t="shared" si="82"/>
        <v>8.4297474176474876E-7</v>
      </c>
      <c r="AL63" s="47">
        <f t="shared" si="82"/>
        <v>8.4297474176474876E-7</v>
      </c>
      <c r="AM63" s="47">
        <f t="shared" si="82"/>
        <v>8.4297474176474876E-7</v>
      </c>
      <c r="AN63" s="47">
        <f t="shared" si="82"/>
        <v>8.4297474176474876E-7</v>
      </c>
      <c r="AO63" s="47">
        <f t="shared" si="82"/>
        <v>8.4297474176474876E-7</v>
      </c>
      <c r="AP63" s="47">
        <f t="shared" si="82"/>
        <v>8.4297474176474876E-7</v>
      </c>
      <c r="AQ63" s="47">
        <f t="shared" si="82"/>
        <v>8.4297474176474876E-7</v>
      </c>
      <c r="AR63" s="47">
        <f t="shared" si="82"/>
        <v>8.4297474176474876E-7</v>
      </c>
      <c r="AS63" s="47">
        <f t="shared" si="82"/>
        <v>8.4297474176474876E-7</v>
      </c>
      <c r="AT63" s="47">
        <f t="shared" si="82"/>
        <v>8.4297474176474876E-7</v>
      </c>
      <c r="AU63" s="47">
        <f t="shared" si="82"/>
        <v>8.4297474176474876E-7</v>
      </c>
      <c r="AV63" s="47">
        <f t="shared" si="82"/>
        <v>8.4297474176474876E-7</v>
      </c>
      <c r="AW63" s="47">
        <f t="shared" si="82"/>
        <v>8.4297474176474876E-7</v>
      </c>
      <c r="AX63" s="47">
        <f t="shared" si="82"/>
        <v>8.4297474176474876E-7</v>
      </c>
      <c r="AY63" s="47">
        <f t="shared" si="82"/>
        <v>8.4297474176474876E-7</v>
      </c>
      <c r="AZ63" s="47">
        <f>IFERROR(IF(SUM(AZ64:AZ76)&gt;0.01,1-EXP(-(SUM(AZ64:AZ76))),SUM(AZ64:AZ76)),".")</f>
        <v>8.4297474176474876E-7</v>
      </c>
      <c r="BA63" s="58">
        <f t="shared" si="73"/>
        <v>1.0172791076857797</v>
      </c>
      <c r="BB63" s="58">
        <f t="shared" ref="BB63:BY63" si="83">IFERROR(1/SUM(BB64:BB76),0)</f>
        <v>6.0565650617604296</v>
      </c>
      <c r="BC63" s="58">
        <f t="shared" si="83"/>
        <v>2.2919262404196745</v>
      </c>
      <c r="BD63" s="58">
        <f t="shared" si="83"/>
        <v>4.6297191613353856</v>
      </c>
      <c r="BE63" s="58">
        <f t="shared" si="83"/>
        <v>6.0565650617604296</v>
      </c>
      <c r="BF63" s="58">
        <f t="shared" si="83"/>
        <v>5.5158718335408912</v>
      </c>
      <c r="BG63" s="58">
        <f t="shared" si="83"/>
        <v>2.2919262404196745</v>
      </c>
      <c r="BH63" s="58">
        <f t="shared" si="83"/>
        <v>4.6297191613353856</v>
      </c>
      <c r="BI63" s="58">
        <f t="shared" si="83"/>
        <v>6.0565650617604296</v>
      </c>
      <c r="BJ63" s="58">
        <f t="shared" si="83"/>
        <v>7.3060692395015359</v>
      </c>
      <c r="BK63" s="58">
        <f t="shared" si="83"/>
        <v>5.5158718335408912</v>
      </c>
      <c r="BL63" s="58">
        <f t="shared" si="83"/>
        <v>2.2919262404196745</v>
      </c>
      <c r="BM63" s="58">
        <f t="shared" si="83"/>
        <v>6.6520308084853408</v>
      </c>
      <c r="BN63" s="58">
        <f t="shared" si="83"/>
        <v>5.5158718335408912</v>
      </c>
      <c r="BO63" s="58">
        <f t="shared" si="83"/>
        <v>5.5158718335408912</v>
      </c>
      <c r="BP63" s="58">
        <f t="shared" si="83"/>
        <v>6.0565650617604296</v>
      </c>
      <c r="BQ63" s="58">
        <f t="shared" si="83"/>
        <v>6.0565650617604296</v>
      </c>
      <c r="BR63" s="58">
        <f t="shared" si="83"/>
        <v>6.6520308084853408</v>
      </c>
      <c r="BS63" s="58">
        <f t="shared" si="83"/>
        <v>6.5322258592866493</v>
      </c>
      <c r="BT63" s="58">
        <f t="shared" si="83"/>
        <v>5.5158718335408912</v>
      </c>
      <c r="BU63" s="58">
        <f t="shared" si="83"/>
        <v>6.6520308084853408</v>
      </c>
      <c r="BV63" s="58">
        <f t="shared" si="83"/>
        <v>6.0565650617604296</v>
      </c>
      <c r="BW63" s="58">
        <f t="shared" si="83"/>
        <v>5.5158718335408912</v>
      </c>
      <c r="BX63" s="58">
        <f t="shared" si="83"/>
        <v>4.6949426288059355</v>
      </c>
      <c r="BY63" s="58">
        <f t="shared" si="83"/>
        <v>5.9313762805651136</v>
      </c>
      <c r="BZ63" s="47">
        <f>IFERROR(IF(SUM(CA64:CB76,CW64:CX76)&gt;0.01,1-EXP(-SUM(CA64:CB76,CW64:CX76)),SUM(CA64:CB76,CW64:CX76)),".")</f>
        <v>4.9150723573037945E-6</v>
      </c>
      <c r="CA63" s="47">
        <f t="shared" ref="CA63:CV63" si="84">IFERROR(IF(SUM(CA64:CA76)&gt;0.01,1-EXP(-(SUM(CA64:CA76))),SUM(CA64:CA76)),".")</f>
        <v>8.2555051080655729E-7</v>
      </c>
      <c r="CB63" s="47">
        <f t="shared" si="84"/>
        <v>2.1815713278799718E-6</v>
      </c>
      <c r="CC63" s="47">
        <f t="shared" si="84"/>
        <v>1.0799791905975152E-6</v>
      </c>
      <c r="CD63" s="47">
        <f t="shared" si="84"/>
        <v>8.2555051080655729E-7</v>
      </c>
      <c r="CE63" s="47">
        <f t="shared" si="84"/>
        <v>9.0647509059751544E-7</v>
      </c>
      <c r="CF63" s="47">
        <f t="shared" si="84"/>
        <v>2.1815713278799718E-6</v>
      </c>
      <c r="CG63" s="47">
        <f t="shared" si="84"/>
        <v>1.0799791905975152E-6</v>
      </c>
      <c r="CH63" s="47">
        <f t="shared" si="84"/>
        <v>8.2555051080655729E-7</v>
      </c>
      <c r="CI63" s="47">
        <f t="shared" si="84"/>
        <v>6.8436256537447073E-7</v>
      </c>
      <c r="CJ63" s="47">
        <f t="shared" si="84"/>
        <v>9.0647509059751544E-7</v>
      </c>
      <c r="CK63" s="47">
        <f t="shared" si="84"/>
        <v>2.1815713278799718E-6</v>
      </c>
      <c r="CL63" s="47">
        <f t="shared" si="84"/>
        <v>7.5165020705305639E-7</v>
      </c>
      <c r="CM63" s="47">
        <f t="shared" si="84"/>
        <v>9.0647509059751544E-7</v>
      </c>
      <c r="CN63" s="47">
        <f t="shared" si="84"/>
        <v>9.0647509059751544E-7</v>
      </c>
      <c r="CO63" s="47">
        <f t="shared" si="84"/>
        <v>8.2555051080655729E-7</v>
      </c>
      <c r="CP63" s="47">
        <f t="shared" si="84"/>
        <v>8.2555051080655729E-7</v>
      </c>
      <c r="CQ63" s="47">
        <f t="shared" si="84"/>
        <v>7.5165020705305639E-7</v>
      </c>
      <c r="CR63" s="47">
        <f t="shared" si="84"/>
        <v>7.6543591266192813E-7</v>
      </c>
      <c r="CS63" s="47">
        <f t="shared" si="84"/>
        <v>9.0647509059751544E-7</v>
      </c>
      <c r="CT63" s="47">
        <f t="shared" si="84"/>
        <v>7.5165020705305639E-7</v>
      </c>
      <c r="CU63" s="47">
        <f t="shared" si="84"/>
        <v>8.2555051080655729E-7</v>
      </c>
      <c r="CV63" s="47">
        <f t="shared" si="84"/>
        <v>9.0647509059751544E-7</v>
      </c>
      <c r="CW63" s="47">
        <f>IFERROR(IF(SUM(CW64:CW76)&gt;0.01,1-EXP(-(SUM(CW64:CW76))),SUM(CW64:CW76)),".")</f>
        <v>1.0649757768525164E-6</v>
      </c>
      <c r="CX63" s="47">
        <f>IFERROR(IF(SUM(CX64:CX76)&gt;0.01,1-EXP(-(SUM(CX64:CX76))),SUM(CX64:CX76)),".")</f>
        <v>8.4297474176474876E-7</v>
      </c>
    </row>
    <row r="64" spans="1:102" x14ac:dyDescent="0.25">
      <c r="A64" s="83" t="s">
        <v>1090</v>
      </c>
      <c r="B64" s="42">
        <v>1</v>
      </c>
      <c r="C64" s="60" t="str">
        <f t="shared" si="71"/>
        <v>.</v>
      </c>
      <c r="D64" s="60">
        <f t="shared" ref="D64:AA64" si="85">IFERROR(D25/$B50,0)</f>
        <v>0</v>
      </c>
      <c r="E64" s="60">
        <f t="shared" si="85"/>
        <v>0</v>
      </c>
      <c r="F64" s="60">
        <f t="shared" si="85"/>
        <v>0</v>
      </c>
      <c r="G64" s="60">
        <f t="shared" si="85"/>
        <v>0</v>
      </c>
      <c r="H64" s="60">
        <f t="shared" si="85"/>
        <v>0</v>
      </c>
      <c r="I64" s="60">
        <f t="shared" si="85"/>
        <v>0</v>
      </c>
      <c r="J64" s="60">
        <f t="shared" si="85"/>
        <v>0</v>
      </c>
      <c r="K64" s="60">
        <f t="shared" si="85"/>
        <v>0</v>
      </c>
      <c r="L64" s="60">
        <f t="shared" si="85"/>
        <v>0</v>
      </c>
      <c r="M64" s="60">
        <f t="shared" si="85"/>
        <v>0</v>
      </c>
      <c r="N64" s="60">
        <f t="shared" si="85"/>
        <v>0</v>
      </c>
      <c r="O64" s="60">
        <f t="shared" si="85"/>
        <v>0</v>
      </c>
      <c r="P64" s="60">
        <f t="shared" si="85"/>
        <v>0</v>
      </c>
      <c r="Q64" s="60">
        <f t="shared" si="85"/>
        <v>0</v>
      </c>
      <c r="R64" s="60">
        <f t="shared" si="85"/>
        <v>0</v>
      </c>
      <c r="S64" s="60">
        <f t="shared" si="85"/>
        <v>0</v>
      </c>
      <c r="T64" s="60">
        <f t="shared" si="85"/>
        <v>0</v>
      </c>
      <c r="U64" s="60">
        <f t="shared" si="85"/>
        <v>0</v>
      </c>
      <c r="V64" s="60">
        <f t="shared" si="85"/>
        <v>0</v>
      </c>
      <c r="W64" s="60">
        <f t="shared" si="85"/>
        <v>0</v>
      </c>
      <c r="X64" s="60">
        <f t="shared" si="85"/>
        <v>0</v>
      </c>
      <c r="Y64" s="60">
        <f t="shared" si="85"/>
        <v>0</v>
      </c>
      <c r="Z64" s="60">
        <f t="shared" si="85"/>
        <v>0</v>
      </c>
      <c r="AA64" s="60">
        <f t="shared" si="85"/>
        <v>0</v>
      </c>
      <c r="AB64" s="49">
        <f t="shared" si="12"/>
        <v>0</v>
      </c>
      <c r="AC64" s="49">
        <f>IFERROR(s_RadSpec!$E$25*($AZ$25/$B64),".")</f>
        <v>0</v>
      </c>
      <c r="AD64" s="49">
        <f>IFERROR(s_RadSpec!$E$25*($AZ$25/$B64),".")</f>
        <v>0</v>
      </c>
      <c r="AE64" s="49">
        <f>IFERROR(s_RadSpec!$E$25*($AZ$25/$B64),".")</f>
        <v>0</v>
      </c>
      <c r="AF64" s="49">
        <f>IFERROR(s_RadSpec!$E$25*($AZ$25/$B64),".")</f>
        <v>0</v>
      </c>
      <c r="AG64" s="49">
        <f>IFERROR(s_RadSpec!$E$25*($AZ$25/$B64),".")</f>
        <v>0</v>
      </c>
      <c r="AH64" s="49">
        <f>IFERROR(s_RadSpec!$E$25*($AZ$25/$B64),".")</f>
        <v>0</v>
      </c>
      <c r="AI64" s="49">
        <f>IFERROR(s_RadSpec!$E$25*($AZ$25/$B64),".")</f>
        <v>0</v>
      </c>
      <c r="AJ64" s="49">
        <f>IFERROR(s_RadSpec!$E$25*($AZ$25/$B64),".")</f>
        <v>0</v>
      </c>
      <c r="AK64" s="49">
        <f>IFERROR(s_RadSpec!$E$25*($AZ$25/$B64),".")</f>
        <v>0</v>
      </c>
      <c r="AL64" s="49">
        <f>IFERROR(s_RadSpec!$E$25*($AZ$25/$B64),".")</f>
        <v>0</v>
      </c>
      <c r="AM64" s="49">
        <f>IFERROR(s_RadSpec!$E$25*($AZ$25/$B64),".")</f>
        <v>0</v>
      </c>
      <c r="AN64" s="49">
        <f>IFERROR(s_RadSpec!$E$25*($AZ$25/$B64),".")</f>
        <v>0</v>
      </c>
      <c r="AO64" s="49">
        <f>IFERROR(s_RadSpec!$E$25*($AZ$25/$B64),".")</f>
        <v>0</v>
      </c>
      <c r="AP64" s="49">
        <f>IFERROR(s_RadSpec!$E$25*($AZ$25/$B64),".")</f>
        <v>0</v>
      </c>
      <c r="AQ64" s="49">
        <f>IFERROR(s_RadSpec!$E$25*($AZ$25/$B64),".")</f>
        <v>0</v>
      </c>
      <c r="AR64" s="49">
        <f>IFERROR(s_RadSpec!$E$25*($AZ$25/$B64),".")</f>
        <v>0</v>
      </c>
      <c r="AS64" s="49">
        <f>IFERROR(s_RadSpec!$E$25*($AZ$25/$B64),".")</f>
        <v>0</v>
      </c>
      <c r="AT64" s="49">
        <f>IFERROR(s_RadSpec!$E$25*($AZ$25/$B64),".")</f>
        <v>0</v>
      </c>
      <c r="AU64" s="49">
        <f>IFERROR(s_RadSpec!$E$25*($AZ$25/$B64),".")</f>
        <v>0</v>
      </c>
      <c r="AV64" s="49">
        <f>IFERROR(s_RadSpec!$E$25*($AZ$25/$B64),".")</f>
        <v>0</v>
      </c>
      <c r="AW64" s="49">
        <f>IFERROR(s_RadSpec!$E$25*($AZ$25/$B64),".")</f>
        <v>0</v>
      </c>
      <c r="AX64" s="49">
        <f>IFERROR(s_RadSpec!$E$25*($AZ$25/$B64),".")</f>
        <v>0</v>
      </c>
      <c r="AY64" s="49">
        <f>IFERROR(s_RadSpec!$E$25*($AZ$25/$B64),".")</f>
        <v>0</v>
      </c>
      <c r="AZ64" s="49">
        <f>IFERROR(s_RadSpec!$E$25*($AZ$25/$B64),".")</f>
        <v>0</v>
      </c>
      <c r="BA64" s="60" t="str">
        <f t="shared" si="73"/>
        <v>.</v>
      </c>
      <c r="BB64" s="60">
        <f t="shared" ref="BB64:BY64" si="86">IFERROR($B64/BB25,0)</f>
        <v>0</v>
      </c>
      <c r="BC64" s="60">
        <f t="shared" si="86"/>
        <v>0</v>
      </c>
      <c r="BD64" s="60">
        <f t="shared" si="86"/>
        <v>0</v>
      </c>
      <c r="BE64" s="60">
        <f t="shared" si="86"/>
        <v>0</v>
      </c>
      <c r="BF64" s="60">
        <f t="shared" si="86"/>
        <v>0</v>
      </c>
      <c r="BG64" s="60">
        <f t="shared" si="86"/>
        <v>0</v>
      </c>
      <c r="BH64" s="60">
        <f t="shared" si="86"/>
        <v>0</v>
      </c>
      <c r="BI64" s="60">
        <f t="shared" si="86"/>
        <v>0</v>
      </c>
      <c r="BJ64" s="60">
        <f t="shared" si="86"/>
        <v>0</v>
      </c>
      <c r="BK64" s="60">
        <f t="shared" si="86"/>
        <v>0</v>
      </c>
      <c r="BL64" s="60">
        <f t="shared" si="86"/>
        <v>0</v>
      </c>
      <c r="BM64" s="60">
        <f t="shared" si="86"/>
        <v>0</v>
      </c>
      <c r="BN64" s="60">
        <f t="shared" si="86"/>
        <v>0</v>
      </c>
      <c r="BO64" s="60">
        <f t="shared" si="86"/>
        <v>0</v>
      </c>
      <c r="BP64" s="60">
        <f t="shared" si="86"/>
        <v>0</v>
      </c>
      <c r="BQ64" s="60">
        <f t="shared" si="86"/>
        <v>0</v>
      </c>
      <c r="BR64" s="60">
        <f t="shared" si="86"/>
        <v>0</v>
      </c>
      <c r="BS64" s="60">
        <f t="shared" si="86"/>
        <v>0</v>
      </c>
      <c r="BT64" s="60">
        <f t="shared" si="86"/>
        <v>0</v>
      </c>
      <c r="BU64" s="60">
        <f t="shared" si="86"/>
        <v>0</v>
      </c>
      <c r="BV64" s="60">
        <f t="shared" si="86"/>
        <v>0</v>
      </c>
      <c r="BW64" s="60">
        <f t="shared" si="86"/>
        <v>0</v>
      </c>
      <c r="BX64" s="60">
        <f t="shared" si="86"/>
        <v>0</v>
      </c>
      <c r="BY64" s="60">
        <f t="shared" si="86"/>
        <v>0</v>
      </c>
      <c r="BZ64" s="49">
        <f t="shared" si="5"/>
        <v>0</v>
      </c>
      <c r="CA64" s="49">
        <f>IFERROR(s_RadSpec!$E$25*(CA25/$B64),".")</f>
        <v>0</v>
      </c>
      <c r="CB64" s="49">
        <f>IFERROR(s_RadSpec!$E$25*(CB25/$B64),".")</f>
        <v>0</v>
      </c>
      <c r="CC64" s="49">
        <f>IFERROR(s_RadSpec!$E$25*(CC25/$B64),".")</f>
        <v>0</v>
      </c>
      <c r="CD64" s="49">
        <f>IFERROR(s_RadSpec!$E$25*(CD25/$B64),".")</f>
        <v>0</v>
      </c>
      <c r="CE64" s="49">
        <f>IFERROR(s_RadSpec!$E$25*(CE25/$B64),".")</f>
        <v>0</v>
      </c>
      <c r="CF64" s="49">
        <f>IFERROR(s_RadSpec!$E$25*(CF25/$B64),".")</f>
        <v>0</v>
      </c>
      <c r="CG64" s="49">
        <f>IFERROR(s_RadSpec!$E$25*(CG25/$B64),".")</f>
        <v>0</v>
      </c>
      <c r="CH64" s="49">
        <f>IFERROR(s_RadSpec!$E$25*(CH25/$B64),".")</f>
        <v>0</v>
      </c>
      <c r="CI64" s="49">
        <f>IFERROR(s_RadSpec!$E$25*(CI25/$B64),".")</f>
        <v>0</v>
      </c>
      <c r="CJ64" s="49">
        <f>IFERROR(s_RadSpec!$E$25*(CJ25/$B64),".")</f>
        <v>0</v>
      </c>
      <c r="CK64" s="49">
        <f>IFERROR(s_RadSpec!$E$25*(CK25/$B64),".")</f>
        <v>0</v>
      </c>
      <c r="CL64" s="49">
        <f>IFERROR(s_RadSpec!$E$25*(CL25/$B64),".")</f>
        <v>0</v>
      </c>
      <c r="CM64" s="49">
        <f>IFERROR(s_RadSpec!$E$25*(CM25/$B64),".")</f>
        <v>0</v>
      </c>
      <c r="CN64" s="49">
        <f>IFERROR(s_RadSpec!$E$25*(CN25/$B64),".")</f>
        <v>0</v>
      </c>
      <c r="CO64" s="49">
        <f>IFERROR(s_RadSpec!$E$25*(CO25/$B64),".")</f>
        <v>0</v>
      </c>
      <c r="CP64" s="49">
        <f>IFERROR(s_RadSpec!$E$25*(CP25/$B64),".")</f>
        <v>0</v>
      </c>
      <c r="CQ64" s="49">
        <f>IFERROR(s_RadSpec!$E$25*(CQ25/$B64),".")</f>
        <v>0</v>
      </c>
      <c r="CR64" s="49">
        <f>IFERROR(s_RadSpec!$E$25*(CR25/$B64),".")</f>
        <v>0</v>
      </c>
      <c r="CS64" s="49">
        <f>IFERROR(s_RadSpec!$E$25*(CS25/$B64),".")</f>
        <v>0</v>
      </c>
      <c r="CT64" s="49">
        <f>IFERROR(s_RadSpec!$E$25*(CT25/$B64),".")</f>
        <v>0</v>
      </c>
      <c r="CU64" s="49">
        <f>IFERROR(s_RadSpec!$E$25*(CU25/$B64),".")</f>
        <v>0</v>
      </c>
      <c r="CV64" s="49">
        <f>IFERROR(s_RadSpec!$E$25*(CV25/$B64),".")</f>
        <v>0</v>
      </c>
      <c r="CW64" s="49">
        <f>IFERROR(s_RadSpec!$E$25*(CW25/$B64),".")</f>
        <v>0</v>
      </c>
      <c r="CX64" s="49">
        <f>IFERROR(s_RadSpec!$E$25*(CX25/$B64),".")</f>
        <v>0</v>
      </c>
    </row>
    <row r="65" spans="1:102" x14ac:dyDescent="0.25">
      <c r="A65" s="83" t="s">
        <v>1076</v>
      </c>
      <c r="B65" s="42">
        <v>1</v>
      </c>
      <c r="C65" s="60" t="str">
        <f t="shared" si="71"/>
        <v>.</v>
      </c>
      <c r="D65" s="60">
        <f t="shared" ref="D65:AA65" si="87">IFERROR(D21/$B51,0)</f>
        <v>0</v>
      </c>
      <c r="E65" s="60">
        <f t="shared" si="87"/>
        <v>0</v>
      </c>
      <c r="F65" s="60">
        <f t="shared" si="87"/>
        <v>0</v>
      </c>
      <c r="G65" s="60">
        <f t="shared" si="87"/>
        <v>0</v>
      </c>
      <c r="H65" s="60">
        <f t="shared" si="87"/>
        <v>0</v>
      </c>
      <c r="I65" s="60">
        <f t="shared" si="87"/>
        <v>0</v>
      </c>
      <c r="J65" s="60">
        <f t="shared" si="87"/>
        <v>0</v>
      </c>
      <c r="K65" s="60">
        <f t="shared" si="87"/>
        <v>0</v>
      </c>
      <c r="L65" s="60">
        <f t="shared" si="87"/>
        <v>0</v>
      </c>
      <c r="M65" s="60">
        <f t="shared" si="87"/>
        <v>0</v>
      </c>
      <c r="N65" s="60">
        <f t="shared" si="87"/>
        <v>0</v>
      </c>
      <c r="O65" s="60">
        <f t="shared" si="87"/>
        <v>0</v>
      </c>
      <c r="P65" s="60">
        <f t="shared" si="87"/>
        <v>0</v>
      </c>
      <c r="Q65" s="60">
        <f t="shared" si="87"/>
        <v>0</v>
      </c>
      <c r="R65" s="60">
        <f t="shared" si="87"/>
        <v>0</v>
      </c>
      <c r="S65" s="60">
        <f t="shared" si="87"/>
        <v>0</v>
      </c>
      <c r="T65" s="60">
        <f t="shared" si="87"/>
        <v>0</v>
      </c>
      <c r="U65" s="60">
        <f t="shared" si="87"/>
        <v>0</v>
      </c>
      <c r="V65" s="60">
        <f t="shared" si="87"/>
        <v>0</v>
      </c>
      <c r="W65" s="60">
        <f t="shared" si="87"/>
        <v>0</v>
      </c>
      <c r="X65" s="60">
        <f t="shared" si="87"/>
        <v>0</v>
      </c>
      <c r="Y65" s="60">
        <f t="shared" si="87"/>
        <v>0</v>
      </c>
      <c r="Z65" s="60">
        <f t="shared" si="87"/>
        <v>0</v>
      </c>
      <c r="AA65" s="60">
        <f t="shared" si="87"/>
        <v>0</v>
      </c>
      <c r="AB65" s="49">
        <f t="shared" si="12"/>
        <v>0</v>
      </c>
      <c r="AC65" s="49">
        <f>IFERROR(s_RadSpec!$E$21*($AZ$21/$B65),".")</f>
        <v>0</v>
      </c>
      <c r="AD65" s="49">
        <f>IFERROR(s_RadSpec!$E$21*($AZ$21/$B65),".")</f>
        <v>0</v>
      </c>
      <c r="AE65" s="49">
        <f>IFERROR(s_RadSpec!$E$21*($AZ$21/$B65),".")</f>
        <v>0</v>
      </c>
      <c r="AF65" s="49">
        <f>IFERROR(s_RadSpec!$E$21*($AZ$21/$B65),".")</f>
        <v>0</v>
      </c>
      <c r="AG65" s="49">
        <f>IFERROR(s_RadSpec!$E$21*($AZ$21/$B65),".")</f>
        <v>0</v>
      </c>
      <c r="AH65" s="49">
        <f>IFERROR(s_RadSpec!$E$21*($AZ$21/$B65),".")</f>
        <v>0</v>
      </c>
      <c r="AI65" s="49">
        <f>IFERROR(s_RadSpec!$E$21*($AZ$21/$B65),".")</f>
        <v>0</v>
      </c>
      <c r="AJ65" s="49">
        <f>IFERROR(s_RadSpec!$E$21*($AZ$21/$B65),".")</f>
        <v>0</v>
      </c>
      <c r="AK65" s="49">
        <f>IFERROR(s_RadSpec!$E$21*($AZ$21/$B65),".")</f>
        <v>0</v>
      </c>
      <c r="AL65" s="49">
        <f>IFERROR(s_RadSpec!$E$21*($AZ$21/$B65),".")</f>
        <v>0</v>
      </c>
      <c r="AM65" s="49">
        <f>IFERROR(s_RadSpec!$E$21*($AZ$21/$B65),".")</f>
        <v>0</v>
      </c>
      <c r="AN65" s="49">
        <f>IFERROR(s_RadSpec!$E$21*($AZ$21/$B65),".")</f>
        <v>0</v>
      </c>
      <c r="AO65" s="49">
        <f>IFERROR(s_RadSpec!$E$21*($AZ$21/$B65),".")</f>
        <v>0</v>
      </c>
      <c r="AP65" s="49">
        <f>IFERROR(s_RadSpec!$E$21*($AZ$21/$B65),".")</f>
        <v>0</v>
      </c>
      <c r="AQ65" s="49">
        <f>IFERROR(s_RadSpec!$E$21*($AZ$21/$B65),".")</f>
        <v>0</v>
      </c>
      <c r="AR65" s="49">
        <f>IFERROR(s_RadSpec!$E$21*($AZ$21/$B65),".")</f>
        <v>0</v>
      </c>
      <c r="AS65" s="49">
        <f>IFERROR(s_RadSpec!$E$21*($AZ$21/$B65),".")</f>
        <v>0</v>
      </c>
      <c r="AT65" s="49">
        <f>IFERROR(s_RadSpec!$E$21*($AZ$21/$B65),".")</f>
        <v>0</v>
      </c>
      <c r="AU65" s="49">
        <f>IFERROR(s_RadSpec!$E$21*($AZ$21/$B65),".")</f>
        <v>0</v>
      </c>
      <c r="AV65" s="49">
        <f>IFERROR(s_RadSpec!$E$21*($AZ$21/$B65),".")</f>
        <v>0</v>
      </c>
      <c r="AW65" s="49">
        <f>IFERROR(s_RadSpec!$E$21*($AZ$21/$B65),".")</f>
        <v>0</v>
      </c>
      <c r="AX65" s="49">
        <f>IFERROR(s_RadSpec!$E$21*($AZ$21/$B65),".")</f>
        <v>0</v>
      </c>
      <c r="AY65" s="49">
        <f>IFERROR(s_RadSpec!$E$21*($AZ$21/$B65),".")</f>
        <v>0</v>
      </c>
      <c r="AZ65" s="49">
        <f>IFERROR(s_RadSpec!$E$21*($AZ$21/$B65),".")</f>
        <v>0</v>
      </c>
      <c r="BA65" s="60" t="str">
        <f t="shared" si="73"/>
        <v>.</v>
      </c>
      <c r="BB65" s="60">
        <f t="shared" ref="BB65:BY65" si="88">IFERROR($B65/BB21,0)</f>
        <v>0</v>
      </c>
      <c r="BC65" s="60">
        <f t="shared" si="88"/>
        <v>0</v>
      </c>
      <c r="BD65" s="60">
        <f t="shared" si="88"/>
        <v>0</v>
      </c>
      <c r="BE65" s="60">
        <f t="shared" si="88"/>
        <v>0</v>
      </c>
      <c r="BF65" s="60">
        <f t="shared" si="88"/>
        <v>0</v>
      </c>
      <c r="BG65" s="60">
        <f t="shared" si="88"/>
        <v>0</v>
      </c>
      <c r="BH65" s="60">
        <f t="shared" si="88"/>
        <v>0</v>
      </c>
      <c r="BI65" s="60">
        <f t="shared" si="88"/>
        <v>0</v>
      </c>
      <c r="BJ65" s="60">
        <f t="shared" si="88"/>
        <v>0</v>
      </c>
      <c r="BK65" s="60">
        <f t="shared" si="88"/>
        <v>0</v>
      </c>
      <c r="BL65" s="60">
        <f t="shared" si="88"/>
        <v>0</v>
      </c>
      <c r="BM65" s="60">
        <f t="shared" si="88"/>
        <v>0</v>
      </c>
      <c r="BN65" s="60">
        <f t="shared" si="88"/>
        <v>0</v>
      </c>
      <c r="BO65" s="60">
        <f t="shared" si="88"/>
        <v>0</v>
      </c>
      <c r="BP65" s="60">
        <f t="shared" si="88"/>
        <v>0</v>
      </c>
      <c r="BQ65" s="60">
        <f t="shared" si="88"/>
        <v>0</v>
      </c>
      <c r="BR65" s="60">
        <f t="shared" si="88"/>
        <v>0</v>
      </c>
      <c r="BS65" s="60">
        <f t="shared" si="88"/>
        <v>0</v>
      </c>
      <c r="BT65" s="60">
        <f t="shared" si="88"/>
        <v>0</v>
      </c>
      <c r="BU65" s="60">
        <f t="shared" si="88"/>
        <v>0</v>
      </c>
      <c r="BV65" s="60">
        <f t="shared" si="88"/>
        <v>0</v>
      </c>
      <c r="BW65" s="60">
        <f t="shared" si="88"/>
        <v>0</v>
      </c>
      <c r="BX65" s="60">
        <f t="shared" si="88"/>
        <v>0</v>
      </c>
      <c r="BY65" s="60">
        <f t="shared" si="88"/>
        <v>0</v>
      </c>
      <c r="BZ65" s="49">
        <f t="shared" si="5"/>
        <v>0</v>
      </c>
      <c r="CA65" s="49">
        <f>IFERROR(s_RadSpec!$E$21*(CA21/$B65),".")</f>
        <v>0</v>
      </c>
      <c r="CB65" s="49">
        <f>IFERROR(s_RadSpec!$E$21*(CB21/$B65),".")</f>
        <v>0</v>
      </c>
      <c r="CC65" s="49">
        <f>IFERROR(s_RadSpec!$E$21*(CC21/$B65),".")</f>
        <v>0</v>
      </c>
      <c r="CD65" s="49">
        <f>IFERROR(s_RadSpec!$E$21*(CD21/$B65),".")</f>
        <v>0</v>
      </c>
      <c r="CE65" s="49">
        <f>IFERROR(s_RadSpec!$E$21*(CE21/$B65),".")</f>
        <v>0</v>
      </c>
      <c r="CF65" s="49">
        <f>IFERROR(s_RadSpec!$E$21*(CF21/$B65),".")</f>
        <v>0</v>
      </c>
      <c r="CG65" s="49">
        <f>IFERROR(s_RadSpec!$E$21*(CG21/$B65),".")</f>
        <v>0</v>
      </c>
      <c r="CH65" s="49">
        <f>IFERROR(s_RadSpec!$E$21*(CH21/$B65),".")</f>
        <v>0</v>
      </c>
      <c r="CI65" s="49">
        <f>IFERROR(s_RadSpec!$E$21*(CI21/$B65),".")</f>
        <v>0</v>
      </c>
      <c r="CJ65" s="49">
        <f>IFERROR(s_RadSpec!$E$21*(CJ21/$B65),".")</f>
        <v>0</v>
      </c>
      <c r="CK65" s="49">
        <f>IFERROR(s_RadSpec!$E$21*(CK21/$B65),".")</f>
        <v>0</v>
      </c>
      <c r="CL65" s="49">
        <f>IFERROR(s_RadSpec!$E$21*(CL21/$B65),".")</f>
        <v>0</v>
      </c>
      <c r="CM65" s="49">
        <f>IFERROR(s_RadSpec!$E$21*(CM21/$B65),".")</f>
        <v>0</v>
      </c>
      <c r="CN65" s="49">
        <f>IFERROR(s_RadSpec!$E$21*(CN21/$B65),".")</f>
        <v>0</v>
      </c>
      <c r="CO65" s="49">
        <f>IFERROR(s_RadSpec!$E$21*(CO21/$B65),".")</f>
        <v>0</v>
      </c>
      <c r="CP65" s="49">
        <f>IFERROR(s_RadSpec!$E$21*(CP21/$B65),".")</f>
        <v>0</v>
      </c>
      <c r="CQ65" s="49">
        <f>IFERROR(s_RadSpec!$E$21*(CQ21/$B65),".")</f>
        <v>0</v>
      </c>
      <c r="CR65" s="49">
        <f>IFERROR(s_RadSpec!$E$21*(CR21/$B65),".")</f>
        <v>0</v>
      </c>
      <c r="CS65" s="49">
        <f>IFERROR(s_RadSpec!$E$21*(CS21/$B65),".")</f>
        <v>0</v>
      </c>
      <c r="CT65" s="49">
        <f>IFERROR(s_RadSpec!$E$21*(CT21/$B65),".")</f>
        <v>0</v>
      </c>
      <c r="CU65" s="49">
        <f>IFERROR(s_RadSpec!$E$21*(CU21/$B65),".")</f>
        <v>0</v>
      </c>
      <c r="CV65" s="49">
        <f>IFERROR(s_RadSpec!$E$21*(CV21/$B65),".")</f>
        <v>0</v>
      </c>
      <c r="CW65" s="49">
        <f>IFERROR(s_RadSpec!$E$21*(CW21/$B65),".")</f>
        <v>0</v>
      </c>
      <c r="CX65" s="49">
        <f>IFERROR(s_RadSpec!$E$21*(CX21/$B65),".")</f>
        <v>0</v>
      </c>
    </row>
    <row r="66" spans="1:102" x14ac:dyDescent="0.25">
      <c r="A66" s="83" t="s">
        <v>1077</v>
      </c>
      <c r="B66" s="85">
        <v>0.99980000000000002</v>
      </c>
      <c r="C66" s="60">
        <f t="shared" si="71"/>
        <v>4832.1194785891657</v>
      </c>
      <c r="D66" s="60">
        <f t="shared" ref="D66:AA66" si="89">IFERROR(D17/$B52,0)</f>
        <v>31931.056758728151</v>
      </c>
      <c r="E66" s="60">
        <f t="shared" si="89"/>
        <v>8025.4527682364869</v>
      </c>
      <c r="F66" s="60">
        <f t="shared" si="89"/>
        <v>26329.116976495141</v>
      </c>
      <c r="G66" s="60">
        <f t="shared" si="89"/>
        <v>31931.056758728151</v>
      </c>
      <c r="H66" s="60">
        <f t="shared" si="89"/>
        <v>26329.116976495141</v>
      </c>
      <c r="I66" s="60">
        <f t="shared" si="89"/>
        <v>8025.4527682364869</v>
      </c>
      <c r="J66" s="60">
        <f t="shared" si="89"/>
        <v>26329.116976495141</v>
      </c>
      <c r="K66" s="60">
        <f t="shared" si="89"/>
        <v>31931.056758728151</v>
      </c>
      <c r="L66" s="60">
        <f t="shared" si="89"/>
        <v>51046.247199327321</v>
      </c>
      <c r="M66" s="60">
        <f t="shared" si="89"/>
        <v>26329.116976495141</v>
      </c>
      <c r="N66" s="60">
        <f t="shared" si="89"/>
        <v>8025.4527682364869</v>
      </c>
      <c r="O66" s="60">
        <f t="shared" si="89"/>
        <v>39913.82094841019</v>
      </c>
      <c r="P66" s="60">
        <f t="shared" si="89"/>
        <v>26329.116976495141</v>
      </c>
      <c r="Q66" s="60">
        <f t="shared" si="89"/>
        <v>26329.116976495141</v>
      </c>
      <c r="R66" s="60">
        <f t="shared" si="89"/>
        <v>31931.056758728151</v>
      </c>
      <c r="S66" s="60">
        <f t="shared" si="89"/>
        <v>31931.056758728151</v>
      </c>
      <c r="T66" s="60">
        <f t="shared" si="89"/>
        <v>39913.82094841019</v>
      </c>
      <c r="U66" s="60">
        <f t="shared" si="89"/>
        <v>50025.322255340776</v>
      </c>
      <c r="V66" s="60">
        <f t="shared" si="89"/>
        <v>26329.116976495141</v>
      </c>
      <c r="W66" s="60">
        <f t="shared" si="89"/>
        <v>39913.82094841019</v>
      </c>
      <c r="X66" s="60">
        <f t="shared" si="89"/>
        <v>31931.056758728151</v>
      </c>
      <c r="Y66" s="60">
        <f t="shared" si="89"/>
        <v>26329.116976495141</v>
      </c>
      <c r="Z66" s="60">
        <f t="shared" si="89"/>
        <v>54414.781278470742</v>
      </c>
      <c r="AA66" s="60">
        <f t="shared" si="89"/>
        <v>30627.748319596387</v>
      </c>
      <c r="AB66" s="49">
        <f t="shared" si="12"/>
        <v>6.5326390278055623E-10</v>
      </c>
      <c r="AC66" s="49">
        <f>IFERROR(s_RadSpec!$E$17*($AZ$17/$B66),".")</f>
        <v>1.6331597569513906E-10</v>
      </c>
      <c r="AD66" s="49">
        <f>IFERROR(s_RadSpec!$E$17*($AZ$17/$B66),".")</f>
        <v>1.6331597569513906E-10</v>
      </c>
      <c r="AE66" s="49">
        <f>IFERROR(s_RadSpec!$E$17*($AZ$17/$B66),".")</f>
        <v>1.6331597569513906E-10</v>
      </c>
      <c r="AF66" s="49">
        <f>IFERROR(s_RadSpec!$E$17*($AZ$17/$B66),".")</f>
        <v>1.6331597569513906E-10</v>
      </c>
      <c r="AG66" s="49">
        <f>IFERROR(s_RadSpec!$E$17*($AZ$17/$B66),".")</f>
        <v>1.6331597569513906E-10</v>
      </c>
      <c r="AH66" s="49">
        <f>IFERROR(s_RadSpec!$E$17*($AZ$17/$B66),".")</f>
        <v>1.6331597569513906E-10</v>
      </c>
      <c r="AI66" s="49">
        <f>IFERROR(s_RadSpec!$E$17*($AZ$17/$B66),".")</f>
        <v>1.6331597569513906E-10</v>
      </c>
      <c r="AJ66" s="49">
        <f>IFERROR(s_RadSpec!$E$17*($AZ$17/$B66),".")</f>
        <v>1.6331597569513906E-10</v>
      </c>
      <c r="AK66" s="49">
        <f>IFERROR(s_RadSpec!$E$17*($AZ$17/$B66),".")</f>
        <v>1.6331597569513906E-10</v>
      </c>
      <c r="AL66" s="49">
        <f>IFERROR(s_RadSpec!$E$17*($AZ$17/$B66),".")</f>
        <v>1.6331597569513906E-10</v>
      </c>
      <c r="AM66" s="49">
        <f>IFERROR(s_RadSpec!$E$17*($AZ$17/$B66),".")</f>
        <v>1.6331597569513906E-10</v>
      </c>
      <c r="AN66" s="49">
        <f>IFERROR(s_RadSpec!$E$17*($AZ$17/$B66),".")</f>
        <v>1.6331597569513906E-10</v>
      </c>
      <c r="AO66" s="49">
        <f>IFERROR(s_RadSpec!$E$17*($AZ$17/$B66),".")</f>
        <v>1.6331597569513906E-10</v>
      </c>
      <c r="AP66" s="49">
        <f>IFERROR(s_RadSpec!$E$17*($AZ$17/$B66),".")</f>
        <v>1.6331597569513906E-10</v>
      </c>
      <c r="AQ66" s="49">
        <f>IFERROR(s_RadSpec!$E$17*($AZ$17/$B66),".")</f>
        <v>1.6331597569513906E-10</v>
      </c>
      <c r="AR66" s="49">
        <f>IFERROR(s_RadSpec!$E$17*($AZ$17/$B66),".")</f>
        <v>1.6331597569513906E-10</v>
      </c>
      <c r="AS66" s="49">
        <f>IFERROR(s_RadSpec!$E$17*($AZ$17/$B66),".")</f>
        <v>1.6331597569513906E-10</v>
      </c>
      <c r="AT66" s="49">
        <f>IFERROR(s_RadSpec!$E$17*($AZ$17/$B66),".")</f>
        <v>1.6331597569513906E-10</v>
      </c>
      <c r="AU66" s="49">
        <f>IFERROR(s_RadSpec!$E$17*($AZ$17/$B66),".")</f>
        <v>1.6331597569513906E-10</v>
      </c>
      <c r="AV66" s="49">
        <f>IFERROR(s_RadSpec!$E$17*($AZ$17/$B66),".")</f>
        <v>1.6331597569513906E-10</v>
      </c>
      <c r="AW66" s="49">
        <f>IFERROR(s_RadSpec!$E$17*($AZ$17/$B66),".")</f>
        <v>1.6331597569513906E-10</v>
      </c>
      <c r="AX66" s="49">
        <f>IFERROR(s_RadSpec!$E$17*($AZ$17/$B66),".")</f>
        <v>1.6331597569513906E-10</v>
      </c>
      <c r="AY66" s="49">
        <f>IFERROR(s_RadSpec!$E$17*($AZ$17/$B66),".")</f>
        <v>1.6331597569513906E-10</v>
      </c>
      <c r="AZ66" s="49">
        <f>IFERROR(s_RadSpec!$E$17*($AZ$17/$B66),".")</f>
        <v>1.6331597569513906E-10</v>
      </c>
      <c r="BA66" s="60">
        <f t="shared" si="73"/>
        <v>8.0000614964706911E-6</v>
      </c>
      <c r="BB66" s="60">
        <f t="shared" ref="BB66:BY66" si="90">IFERROR($B66/BB17,0)</f>
        <v>3.1317472752500008E-5</v>
      </c>
      <c r="BC66" s="60">
        <f t="shared" si="90"/>
        <v>1.2460356180250001E-4</v>
      </c>
      <c r="BD66" s="60">
        <f t="shared" si="90"/>
        <v>3.7980764827500004E-5</v>
      </c>
      <c r="BE66" s="60">
        <f t="shared" si="90"/>
        <v>3.1317472752500008E-5</v>
      </c>
      <c r="BF66" s="60">
        <f t="shared" si="90"/>
        <v>3.7980764827500004E-5</v>
      </c>
      <c r="BG66" s="60">
        <f t="shared" si="90"/>
        <v>1.2460356180250001E-4</v>
      </c>
      <c r="BH66" s="60">
        <f t="shared" si="90"/>
        <v>3.7980764827500004E-5</v>
      </c>
      <c r="BI66" s="60">
        <f t="shared" si="90"/>
        <v>3.1317472752500008E-5</v>
      </c>
      <c r="BJ66" s="60">
        <f t="shared" si="90"/>
        <v>1.9590078700500002E-5</v>
      </c>
      <c r="BK66" s="60">
        <f t="shared" si="90"/>
        <v>3.7980764827500004E-5</v>
      </c>
      <c r="BL66" s="60">
        <f t="shared" si="90"/>
        <v>1.2460356180250001E-4</v>
      </c>
      <c r="BM66" s="60">
        <f t="shared" si="90"/>
        <v>2.5053978202000005E-5</v>
      </c>
      <c r="BN66" s="60">
        <f t="shared" si="90"/>
        <v>3.7980764827500004E-5</v>
      </c>
      <c r="BO66" s="60">
        <f t="shared" si="90"/>
        <v>3.7980764827500004E-5</v>
      </c>
      <c r="BP66" s="60">
        <f t="shared" si="90"/>
        <v>3.1317472752500008E-5</v>
      </c>
      <c r="BQ66" s="60">
        <f t="shared" si="90"/>
        <v>3.1317472752500008E-5</v>
      </c>
      <c r="BR66" s="60">
        <f t="shared" si="90"/>
        <v>2.5053978202000005E-5</v>
      </c>
      <c r="BS66" s="60">
        <f t="shared" si="90"/>
        <v>1.9989876225000002E-5</v>
      </c>
      <c r="BT66" s="60">
        <f t="shared" si="90"/>
        <v>3.7980764827500004E-5</v>
      </c>
      <c r="BU66" s="60">
        <f t="shared" si="90"/>
        <v>2.5053978202000005E-5</v>
      </c>
      <c r="BV66" s="60">
        <f t="shared" si="90"/>
        <v>3.1317472752500008E-5</v>
      </c>
      <c r="BW66" s="60">
        <f t="shared" si="90"/>
        <v>3.7980764827500004E-5</v>
      </c>
      <c r="BX66" s="60">
        <f t="shared" si="90"/>
        <v>1.8377359542850005E-5</v>
      </c>
      <c r="BY66" s="60">
        <f t="shared" si="90"/>
        <v>3.2650131167500005E-5</v>
      </c>
      <c r="BZ66" s="49">
        <f t="shared" si="5"/>
        <v>1.035156647579516E-9</v>
      </c>
      <c r="CA66" s="49">
        <f>IFERROR(s_RadSpec!$E$17*(CA17/$B66),".")</f>
        <v>1.5665001750350073E-10</v>
      </c>
      <c r="CB66" s="49">
        <f>IFERROR(s_RadSpec!$E$17*(CB17/$B66),".")</f>
        <v>6.2326709091818363E-10</v>
      </c>
      <c r="CC66" s="49">
        <f>IFERROR(s_RadSpec!$E$17*(CC17/$B66),".")</f>
        <v>1.8997980846169232E-10</v>
      </c>
      <c r="CD66" s="49">
        <f>IFERROR(s_RadSpec!$E$17*(CD17/$B66),".")</f>
        <v>1.5665001750350073E-10</v>
      </c>
      <c r="CE66" s="49">
        <f>IFERROR(s_RadSpec!$E$17*(CE17/$B66),".")</f>
        <v>1.8997980846169232E-10</v>
      </c>
      <c r="CF66" s="49">
        <f>IFERROR(s_RadSpec!$E$17*(CF17/$B66),".")</f>
        <v>6.2326709091818363E-10</v>
      </c>
      <c r="CG66" s="49">
        <f>IFERROR(s_RadSpec!$E$17*(CG17/$B66),".")</f>
        <v>1.8997980846169232E-10</v>
      </c>
      <c r="CH66" s="49">
        <f>IFERROR(s_RadSpec!$E$17*(CH17/$B66),".")</f>
        <v>1.5665001750350073E-10</v>
      </c>
      <c r="CI66" s="49">
        <f>IFERROR(s_RadSpec!$E$17*(CI17/$B66),".")</f>
        <v>9.7989585417083427E-11</v>
      </c>
      <c r="CJ66" s="49">
        <f>IFERROR(s_RadSpec!$E$17*(CJ17/$B66),".")</f>
        <v>1.8997980846169232E-10</v>
      </c>
      <c r="CK66" s="49">
        <f>IFERROR(s_RadSpec!$E$17*(CK17/$B66),".")</f>
        <v>6.2326709091818363E-10</v>
      </c>
      <c r="CL66" s="49">
        <f>IFERROR(s_RadSpec!$E$17*(CL17/$B66),".")</f>
        <v>1.2532001400280058E-10</v>
      </c>
      <c r="CM66" s="49">
        <f>IFERROR(s_RadSpec!$E$17*(CM17/$B66),".")</f>
        <v>1.8997980846169232E-10</v>
      </c>
      <c r="CN66" s="49">
        <f>IFERROR(s_RadSpec!$E$17*(CN17/$B66),".")</f>
        <v>1.8997980846169232E-10</v>
      </c>
      <c r="CO66" s="49">
        <f>IFERROR(s_RadSpec!$E$17*(CO17/$B66),".")</f>
        <v>1.5665001750350073E-10</v>
      </c>
      <c r="CP66" s="49">
        <f>IFERROR(s_RadSpec!$E$17*(CP17/$B66),".")</f>
        <v>1.5665001750350073E-10</v>
      </c>
      <c r="CQ66" s="49">
        <f>IFERROR(s_RadSpec!$E$17*(CQ17/$B66),".")</f>
        <v>1.2532001400280058E-10</v>
      </c>
      <c r="CR66" s="49">
        <f>IFERROR(s_RadSpec!$E$17*(CR17/$B66),".")</f>
        <v>9.9989372874574929E-11</v>
      </c>
      <c r="CS66" s="49">
        <f>IFERROR(s_RadSpec!$E$17*(CS17/$B66),".")</f>
        <v>1.8997980846169232E-10</v>
      </c>
      <c r="CT66" s="49">
        <f>IFERROR(s_RadSpec!$E$17*(CT17/$B66),".")</f>
        <v>1.2532001400280058E-10</v>
      </c>
      <c r="CU66" s="49">
        <f>IFERROR(s_RadSpec!$E$17*(CU17/$B66),".")</f>
        <v>1.5665001750350073E-10</v>
      </c>
      <c r="CV66" s="49">
        <f>IFERROR(s_RadSpec!$E$17*(CV17/$B66),".")</f>
        <v>1.8997980846169232E-10</v>
      </c>
      <c r="CW66" s="49">
        <f>IFERROR(s_RadSpec!$E$17*(CW17/$B66),".")</f>
        <v>9.1923563462692548E-11</v>
      </c>
      <c r="CX66" s="49">
        <f>IFERROR(s_RadSpec!$E$17*(CX17/$B66),".")</f>
        <v>1.6331597569513906E-10</v>
      </c>
    </row>
    <row r="67" spans="1:102" x14ac:dyDescent="0.25">
      <c r="A67" s="83" t="s">
        <v>1091</v>
      </c>
      <c r="B67" s="42">
        <v>2.0000000000000001E-4</v>
      </c>
      <c r="C67" s="60" t="str">
        <f t="shared" si="71"/>
        <v>.</v>
      </c>
      <c r="D67" s="60">
        <f t="shared" ref="D67:AA67" si="91">IFERROR(D5/$B53,0)</f>
        <v>0</v>
      </c>
      <c r="E67" s="60">
        <f t="shared" si="91"/>
        <v>0</v>
      </c>
      <c r="F67" s="60">
        <f t="shared" si="91"/>
        <v>0</v>
      </c>
      <c r="G67" s="60">
        <f t="shared" si="91"/>
        <v>0</v>
      </c>
      <c r="H67" s="60">
        <f t="shared" si="91"/>
        <v>0</v>
      </c>
      <c r="I67" s="60">
        <f t="shared" si="91"/>
        <v>0</v>
      </c>
      <c r="J67" s="60">
        <f t="shared" si="91"/>
        <v>0</v>
      </c>
      <c r="K67" s="60">
        <f t="shared" si="91"/>
        <v>0</v>
      </c>
      <c r="L67" s="60">
        <f t="shared" si="91"/>
        <v>0</v>
      </c>
      <c r="M67" s="60">
        <f t="shared" si="91"/>
        <v>0</v>
      </c>
      <c r="N67" s="60">
        <f t="shared" si="91"/>
        <v>0</v>
      </c>
      <c r="O67" s="60">
        <f t="shared" si="91"/>
        <v>0</v>
      </c>
      <c r="P67" s="60">
        <f t="shared" si="91"/>
        <v>0</v>
      </c>
      <c r="Q67" s="60">
        <f t="shared" si="91"/>
        <v>0</v>
      </c>
      <c r="R67" s="60">
        <f t="shared" si="91"/>
        <v>0</v>
      </c>
      <c r="S67" s="60">
        <f t="shared" si="91"/>
        <v>0</v>
      </c>
      <c r="T67" s="60">
        <f t="shared" si="91"/>
        <v>0</v>
      </c>
      <c r="U67" s="60">
        <f t="shared" si="91"/>
        <v>0</v>
      </c>
      <c r="V67" s="60">
        <f t="shared" si="91"/>
        <v>0</v>
      </c>
      <c r="W67" s="60">
        <f t="shared" si="91"/>
        <v>0</v>
      </c>
      <c r="X67" s="60">
        <f t="shared" si="91"/>
        <v>0</v>
      </c>
      <c r="Y67" s="60">
        <f t="shared" si="91"/>
        <v>0</v>
      </c>
      <c r="Z67" s="60">
        <f t="shared" si="91"/>
        <v>0</v>
      </c>
      <c r="AA67" s="60">
        <f t="shared" si="91"/>
        <v>0</v>
      </c>
      <c r="AB67" s="49">
        <f t="shared" si="12"/>
        <v>0</v>
      </c>
      <c r="AC67" s="49">
        <f>IFERROR(s_RadSpec!$E$5*($AZ$5/$B67),".")</f>
        <v>0</v>
      </c>
      <c r="AD67" s="49">
        <f>IFERROR(s_RadSpec!$E$5*($AZ$5/$B67),".")</f>
        <v>0</v>
      </c>
      <c r="AE67" s="49">
        <f>IFERROR(s_RadSpec!$E$5*($AZ$5/$B67),".")</f>
        <v>0</v>
      </c>
      <c r="AF67" s="49">
        <f>IFERROR(s_RadSpec!$E$5*($AZ$5/$B67),".")</f>
        <v>0</v>
      </c>
      <c r="AG67" s="49">
        <f>IFERROR(s_RadSpec!$E$5*($AZ$5/$B67),".")</f>
        <v>0</v>
      </c>
      <c r="AH67" s="49">
        <f>IFERROR(s_RadSpec!$E$5*($AZ$5/$B67),".")</f>
        <v>0</v>
      </c>
      <c r="AI67" s="49">
        <f>IFERROR(s_RadSpec!$E$5*($AZ$5/$B67),".")</f>
        <v>0</v>
      </c>
      <c r="AJ67" s="49">
        <f>IFERROR(s_RadSpec!$E$5*($AZ$5/$B67),".")</f>
        <v>0</v>
      </c>
      <c r="AK67" s="49">
        <f>IFERROR(s_RadSpec!$E$5*($AZ$5/$B67),".")</f>
        <v>0</v>
      </c>
      <c r="AL67" s="49">
        <f>IFERROR(s_RadSpec!$E$5*($AZ$5/$B67),".")</f>
        <v>0</v>
      </c>
      <c r="AM67" s="49">
        <f>IFERROR(s_RadSpec!$E$5*($AZ$5/$B67),".")</f>
        <v>0</v>
      </c>
      <c r="AN67" s="49">
        <f>IFERROR(s_RadSpec!$E$5*($AZ$5/$B67),".")</f>
        <v>0</v>
      </c>
      <c r="AO67" s="49">
        <f>IFERROR(s_RadSpec!$E$5*($AZ$5/$B67),".")</f>
        <v>0</v>
      </c>
      <c r="AP67" s="49">
        <f>IFERROR(s_RadSpec!$E$5*($AZ$5/$B67),".")</f>
        <v>0</v>
      </c>
      <c r="AQ67" s="49">
        <f>IFERROR(s_RadSpec!$E$5*($AZ$5/$B67),".")</f>
        <v>0</v>
      </c>
      <c r="AR67" s="49">
        <f>IFERROR(s_RadSpec!$E$5*($AZ$5/$B67),".")</f>
        <v>0</v>
      </c>
      <c r="AS67" s="49">
        <f>IFERROR(s_RadSpec!$E$5*($AZ$5/$B67),".")</f>
        <v>0</v>
      </c>
      <c r="AT67" s="49">
        <f>IFERROR(s_RadSpec!$E$5*($AZ$5/$B67),".")</f>
        <v>0</v>
      </c>
      <c r="AU67" s="49">
        <f>IFERROR(s_RadSpec!$E$5*($AZ$5/$B67),".")</f>
        <v>0</v>
      </c>
      <c r="AV67" s="49">
        <f>IFERROR(s_RadSpec!$E$5*($AZ$5/$B67),".")</f>
        <v>0</v>
      </c>
      <c r="AW67" s="49">
        <f>IFERROR(s_RadSpec!$E$5*($AZ$5/$B67),".")</f>
        <v>0</v>
      </c>
      <c r="AX67" s="49">
        <f>IFERROR(s_RadSpec!$E$5*($AZ$5/$B67),".")</f>
        <v>0</v>
      </c>
      <c r="AY67" s="49">
        <f>IFERROR(s_RadSpec!$E$5*($AZ$5/$B67),".")</f>
        <v>0</v>
      </c>
      <c r="AZ67" s="49">
        <f>IFERROR(s_RadSpec!$E$5*($AZ$5/$B67),".")</f>
        <v>0</v>
      </c>
      <c r="BA67" s="60" t="str">
        <f t="shared" si="73"/>
        <v>.</v>
      </c>
      <c r="BB67" s="60">
        <f t="shared" ref="BB67:BY67" si="92">IFERROR($B67/BB5,0)</f>
        <v>0</v>
      </c>
      <c r="BC67" s="60">
        <f t="shared" si="92"/>
        <v>0</v>
      </c>
      <c r="BD67" s="60">
        <f t="shared" si="92"/>
        <v>0</v>
      </c>
      <c r="BE67" s="60">
        <f t="shared" si="92"/>
        <v>0</v>
      </c>
      <c r="BF67" s="60">
        <f t="shared" si="92"/>
        <v>0</v>
      </c>
      <c r="BG67" s="60">
        <f t="shared" si="92"/>
        <v>0</v>
      </c>
      <c r="BH67" s="60">
        <f t="shared" si="92"/>
        <v>0</v>
      </c>
      <c r="BI67" s="60">
        <f t="shared" si="92"/>
        <v>0</v>
      </c>
      <c r="BJ67" s="60">
        <f t="shared" si="92"/>
        <v>0</v>
      </c>
      <c r="BK67" s="60">
        <f t="shared" si="92"/>
        <v>0</v>
      </c>
      <c r="BL67" s="60">
        <f t="shared" si="92"/>
        <v>0</v>
      </c>
      <c r="BM67" s="60">
        <f t="shared" si="92"/>
        <v>0</v>
      </c>
      <c r="BN67" s="60">
        <f t="shared" si="92"/>
        <v>0</v>
      </c>
      <c r="BO67" s="60">
        <f t="shared" si="92"/>
        <v>0</v>
      </c>
      <c r="BP67" s="60">
        <f t="shared" si="92"/>
        <v>0</v>
      </c>
      <c r="BQ67" s="60">
        <f t="shared" si="92"/>
        <v>0</v>
      </c>
      <c r="BR67" s="60">
        <f t="shared" si="92"/>
        <v>0</v>
      </c>
      <c r="BS67" s="60">
        <f t="shared" si="92"/>
        <v>0</v>
      </c>
      <c r="BT67" s="60">
        <f t="shared" si="92"/>
        <v>0</v>
      </c>
      <c r="BU67" s="60">
        <f t="shared" si="92"/>
        <v>0</v>
      </c>
      <c r="BV67" s="60">
        <f t="shared" si="92"/>
        <v>0</v>
      </c>
      <c r="BW67" s="60">
        <f t="shared" si="92"/>
        <v>0</v>
      </c>
      <c r="BX67" s="60">
        <f t="shared" si="92"/>
        <v>0</v>
      </c>
      <c r="BY67" s="60">
        <f t="shared" si="92"/>
        <v>0</v>
      </c>
      <c r="BZ67" s="49">
        <f t="shared" ref="BZ67:BZ76" si="93">SUM(CA67:CB67,CW67:CX67)</f>
        <v>0</v>
      </c>
      <c r="CA67" s="49">
        <f>IFERROR(s_RadSpec!$E$5*(CA5/$B67),".")</f>
        <v>0</v>
      </c>
      <c r="CB67" s="49">
        <f>IFERROR(s_RadSpec!$E$5*(CB5/$B67),".")</f>
        <v>0</v>
      </c>
      <c r="CC67" s="49">
        <f>IFERROR(s_RadSpec!$E$5*(CC5/$B67),".")</f>
        <v>0</v>
      </c>
      <c r="CD67" s="49">
        <f>IFERROR(s_RadSpec!$E$5*(CD5/$B67),".")</f>
        <v>0</v>
      </c>
      <c r="CE67" s="49">
        <f>IFERROR(s_RadSpec!$E$5*(CE5/$B67),".")</f>
        <v>0</v>
      </c>
      <c r="CF67" s="49">
        <f>IFERROR(s_RadSpec!$E$5*(CF5/$B67),".")</f>
        <v>0</v>
      </c>
      <c r="CG67" s="49">
        <f>IFERROR(s_RadSpec!$E$5*(CG5/$B67),".")</f>
        <v>0</v>
      </c>
      <c r="CH67" s="49">
        <f>IFERROR(s_RadSpec!$E$5*(CH5/$B67),".")</f>
        <v>0</v>
      </c>
      <c r="CI67" s="49">
        <f>IFERROR(s_RadSpec!$E$5*(CI5/$B67),".")</f>
        <v>0</v>
      </c>
      <c r="CJ67" s="49">
        <f>IFERROR(s_RadSpec!$E$5*(CJ5/$B67),".")</f>
        <v>0</v>
      </c>
      <c r="CK67" s="49">
        <f>IFERROR(s_RadSpec!$E$5*(CK5/$B67),".")</f>
        <v>0</v>
      </c>
      <c r="CL67" s="49">
        <f>IFERROR(s_RadSpec!$E$5*(CL5/$B67),".")</f>
        <v>0</v>
      </c>
      <c r="CM67" s="49">
        <f>IFERROR(s_RadSpec!$E$5*(CM5/$B67),".")</f>
        <v>0</v>
      </c>
      <c r="CN67" s="49">
        <f>IFERROR(s_RadSpec!$E$5*(CN5/$B67),".")</f>
        <v>0</v>
      </c>
      <c r="CO67" s="49">
        <f>IFERROR(s_RadSpec!$E$5*(CO5/$B67),".")</f>
        <v>0</v>
      </c>
      <c r="CP67" s="49">
        <f>IFERROR(s_RadSpec!$E$5*(CP5/$B67),".")</f>
        <v>0</v>
      </c>
      <c r="CQ67" s="49">
        <f>IFERROR(s_RadSpec!$E$5*(CQ5/$B67),".")</f>
        <v>0</v>
      </c>
      <c r="CR67" s="49">
        <f>IFERROR(s_RadSpec!$E$5*(CR5/$B67),".")</f>
        <v>0</v>
      </c>
      <c r="CS67" s="49">
        <f>IFERROR(s_RadSpec!$E$5*(CS5/$B67),".")</f>
        <v>0</v>
      </c>
      <c r="CT67" s="49">
        <f>IFERROR(s_RadSpec!$E$5*(CT5/$B67),".")</f>
        <v>0</v>
      </c>
      <c r="CU67" s="49">
        <f>IFERROR(s_RadSpec!$E$5*(CU5/$B67),".")</f>
        <v>0</v>
      </c>
      <c r="CV67" s="49">
        <f>IFERROR(s_RadSpec!$E$5*(CV5/$B67),".")</f>
        <v>0</v>
      </c>
      <c r="CW67" s="49">
        <f>IFERROR(s_RadSpec!$E$5*(CW5/$B67),".")</f>
        <v>0</v>
      </c>
      <c r="CX67" s="49">
        <f>IFERROR(s_RadSpec!$E$5*(CX5/$B67),".")</f>
        <v>0</v>
      </c>
    </row>
    <row r="68" spans="1:102" x14ac:dyDescent="0.25">
      <c r="A68" s="83" t="s">
        <v>1092</v>
      </c>
      <c r="B68" s="42">
        <v>0.99999979999999999</v>
      </c>
      <c r="C68" s="60">
        <f t="shared" si="71"/>
        <v>3019.1915020404967</v>
      </c>
      <c r="D68" s="60">
        <f t="shared" ref="D68:AA68" si="94">IFERROR(D9/$B54,0)</f>
        <v>12076.766008161987</v>
      </c>
      <c r="E68" s="60">
        <f t="shared" si="94"/>
        <v>12076.766008161987</v>
      </c>
      <c r="F68" s="60">
        <f t="shared" si="94"/>
        <v>12076.766008161987</v>
      </c>
      <c r="G68" s="60">
        <f t="shared" si="94"/>
        <v>12076.766008161987</v>
      </c>
      <c r="H68" s="60">
        <f t="shared" si="94"/>
        <v>12076.766008161987</v>
      </c>
      <c r="I68" s="60">
        <f t="shared" si="94"/>
        <v>12076.766008161987</v>
      </c>
      <c r="J68" s="60">
        <f t="shared" si="94"/>
        <v>12076.766008161987</v>
      </c>
      <c r="K68" s="60">
        <f t="shared" si="94"/>
        <v>12076.766008161987</v>
      </c>
      <c r="L68" s="60">
        <f t="shared" si="94"/>
        <v>12076.766008161987</v>
      </c>
      <c r="M68" s="60">
        <f t="shared" si="94"/>
        <v>12076.766008161987</v>
      </c>
      <c r="N68" s="60">
        <f t="shared" si="94"/>
        <v>12076.766008161987</v>
      </c>
      <c r="O68" s="60">
        <f t="shared" si="94"/>
        <v>12076.766008161987</v>
      </c>
      <c r="P68" s="60">
        <f t="shared" si="94"/>
        <v>12076.766008161987</v>
      </c>
      <c r="Q68" s="60">
        <f t="shared" si="94"/>
        <v>12076.766008161987</v>
      </c>
      <c r="R68" s="60">
        <f t="shared" si="94"/>
        <v>12076.766008161987</v>
      </c>
      <c r="S68" s="60">
        <f t="shared" si="94"/>
        <v>12076.766008161987</v>
      </c>
      <c r="T68" s="60">
        <f t="shared" si="94"/>
        <v>12076.766008161987</v>
      </c>
      <c r="U68" s="60">
        <f t="shared" si="94"/>
        <v>12076.766008161987</v>
      </c>
      <c r="V68" s="60">
        <f t="shared" si="94"/>
        <v>12076.766008161987</v>
      </c>
      <c r="W68" s="60">
        <f t="shared" si="94"/>
        <v>12076.766008161987</v>
      </c>
      <c r="X68" s="60">
        <f t="shared" si="94"/>
        <v>12076.766008161987</v>
      </c>
      <c r="Y68" s="60">
        <f t="shared" si="94"/>
        <v>12076.766008161987</v>
      </c>
      <c r="Z68" s="60">
        <f t="shared" si="94"/>
        <v>12076.766008161987</v>
      </c>
      <c r="AA68" s="60">
        <f t="shared" si="94"/>
        <v>12076.766008161987</v>
      </c>
      <c r="AB68" s="49">
        <f t="shared" si="12"/>
        <v>1.6560731562146313E-9</v>
      </c>
      <c r="AC68" s="49">
        <f>IFERROR(s_RadSpec!$E$9*($AZ$9/$B68),".")</f>
        <v>4.1401828905365783E-10</v>
      </c>
      <c r="AD68" s="49">
        <f>IFERROR(s_RadSpec!$E$9*($AZ$9/$B68),".")</f>
        <v>4.1401828905365783E-10</v>
      </c>
      <c r="AE68" s="49">
        <f>IFERROR(s_RadSpec!$E$9*($AZ$9/$B68),".")</f>
        <v>4.1401828905365783E-10</v>
      </c>
      <c r="AF68" s="49">
        <f>IFERROR(s_RadSpec!$E$9*($AZ$9/$B68),".")</f>
        <v>4.1401828905365783E-10</v>
      </c>
      <c r="AG68" s="49">
        <f>IFERROR(s_RadSpec!$E$9*($AZ$9/$B68),".")</f>
        <v>4.1401828905365783E-10</v>
      </c>
      <c r="AH68" s="49">
        <f>IFERROR(s_RadSpec!$E$9*($AZ$9/$B68),".")</f>
        <v>4.1401828905365783E-10</v>
      </c>
      <c r="AI68" s="49">
        <f>IFERROR(s_RadSpec!$E$9*($AZ$9/$B68),".")</f>
        <v>4.1401828905365783E-10</v>
      </c>
      <c r="AJ68" s="49">
        <f>IFERROR(s_RadSpec!$E$9*($AZ$9/$B68),".")</f>
        <v>4.1401828905365783E-10</v>
      </c>
      <c r="AK68" s="49">
        <f>IFERROR(s_RadSpec!$E$9*($AZ$9/$B68),".")</f>
        <v>4.1401828905365783E-10</v>
      </c>
      <c r="AL68" s="49">
        <f>IFERROR(s_RadSpec!$E$9*($AZ$9/$B68),".")</f>
        <v>4.1401828905365783E-10</v>
      </c>
      <c r="AM68" s="49">
        <f>IFERROR(s_RadSpec!$E$9*($AZ$9/$B68),".")</f>
        <v>4.1401828905365783E-10</v>
      </c>
      <c r="AN68" s="49">
        <f>IFERROR(s_RadSpec!$E$9*($AZ$9/$B68),".")</f>
        <v>4.1401828905365783E-10</v>
      </c>
      <c r="AO68" s="49">
        <f>IFERROR(s_RadSpec!$E$9*($AZ$9/$B68),".")</f>
        <v>4.1401828905365783E-10</v>
      </c>
      <c r="AP68" s="49">
        <f>IFERROR(s_RadSpec!$E$9*($AZ$9/$B68),".")</f>
        <v>4.1401828905365783E-10</v>
      </c>
      <c r="AQ68" s="49">
        <f>IFERROR(s_RadSpec!$E$9*($AZ$9/$B68),".")</f>
        <v>4.1401828905365783E-10</v>
      </c>
      <c r="AR68" s="49">
        <f>IFERROR(s_RadSpec!$E$9*($AZ$9/$B68),".")</f>
        <v>4.1401828905365783E-10</v>
      </c>
      <c r="AS68" s="49">
        <f>IFERROR(s_RadSpec!$E$9*($AZ$9/$B68),".")</f>
        <v>4.1401828905365783E-10</v>
      </c>
      <c r="AT68" s="49">
        <f>IFERROR(s_RadSpec!$E$9*($AZ$9/$B68),".")</f>
        <v>4.1401828905365783E-10</v>
      </c>
      <c r="AU68" s="49">
        <f>IFERROR(s_RadSpec!$E$9*($AZ$9/$B68),".")</f>
        <v>4.1401828905365783E-10</v>
      </c>
      <c r="AV68" s="49">
        <f>IFERROR(s_RadSpec!$E$9*($AZ$9/$B68),".")</f>
        <v>4.1401828905365783E-10</v>
      </c>
      <c r="AW68" s="49">
        <f>IFERROR(s_RadSpec!$E$9*($AZ$9/$B68),".")</f>
        <v>4.1401828905365783E-10</v>
      </c>
      <c r="AX68" s="49">
        <f>IFERROR(s_RadSpec!$E$9*($AZ$9/$B68),".")</f>
        <v>4.1401828905365783E-10</v>
      </c>
      <c r="AY68" s="49">
        <f>IFERROR(s_RadSpec!$E$9*($AZ$9/$B68),".")</f>
        <v>4.1401828905365783E-10</v>
      </c>
      <c r="AZ68" s="49">
        <f>IFERROR(s_RadSpec!$E$9*($AZ$9/$B68),".")</f>
        <v>4.1401828905365783E-10</v>
      </c>
      <c r="BA68" s="60">
        <f t="shared" si="73"/>
        <v>2.0700906172317943E-5</v>
      </c>
      <c r="BB68" s="60">
        <f t="shared" ref="BB68:BY68" si="95">IFERROR($B68/BB9,0)</f>
        <v>8.2803624689271773E-5</v>
      </c>
      <c r="BC68" s="60">
        <f t="shared" si="95"/>
        <v>8.2803624689271773E-5</v>
      </c>
      <c r="BD68" s="60">
        <f t="shared" si="95"/>
        <v>8.2803624689271773E-5</v>
      </c>
      <c r="BE68" s="60">
        <f t="shared" si="95"/>
        <v>8.2803624689271773E-5</v>
      </c>
      <c r="BF68" s="60">
        <f t="shared" si="95"/>
        <v>8.2803624689271773E-5</v>
      </c>
      <c r="BG68" s="60">
        <f t="shared" si="95"/>
        <v>8.2803624689271773E-5</v>
      </c>
      <c r="BH68" s="60">
        <f t="shared" si="95"/>
        <v>8.2803624689271773E-5</v>
      </c>
      <c r="BI68" s="60">
        <f t="shared" si="95"/>
        <v>8.2803624689271773E-5</v>
      </c>
      <c r="BJ68" s="60">
        <f t="shared" si="95"/>
        <v>8.2803624689271773E-5</v>
      </c>
      <c r="BK68" s="60">
        <f t="shared" si="95"/>
        <v>8.2803624689271773E-5</v>
      </c>
      <c r="BL68" s="60">
        <f t="shared" si="95"/>
        <v>8.2803624689271773E-5</v>
      </c>
      <c r="BM68" s="60">
        <f t="shared" si="95"/>
        <v>8.2803624689271773E-5</v>
      </c>
      <c r="BN68" s="60">
        <f t="shared" si="95"/>
        <v>8.2803624689271773E-5</v>
      </c>
      <c r="BO68" s="60">
        <f t="shared" si="95"/>
        <v>8.2803624689271773E-5</v>
      </c>
      <c r="BP68" s="60">
        <f t="shared" si="95"/>
        <v>8.2803624689271773E-5</v>
      </c>
      <c r="BQ68" s="60">
        <f t="shared" si="95"/>
        <v>8.2803624689271773E-5</v>
      </c>
      <c r="BR68" s="60">
        <f t="shared" si="95"/>
        <v>8.2803624689271773E-5</v>
      </c>
      <c r="BS68" s="60">
        <f t="shared" si="95"/>
        <v>8.2803624689271773E-5</v>
      </c>
      <c r="BT68" s="60">
        <f t="shared" si="95"/>
        <v>8.2803624689271773E-5</v>
      </c>
      <c r="BU68" s="60">
        <f t="shared" si="95"/>
        <v>8.2803624689271773E-5</v>
      </c>
      <c r="BV68" s="60">
        <f t="shared" si="95"/>
        <v>8.2803624689271773E-5</v>
      </c>
      <c r="BW68" s="60">
        <f t="shared" si="95"/>
        <v>8.2803624689271773E-5</v>
      </c>
      <c r="BX68" s="60">
        <f t="shared" si="95"/>
        <v>8.2803624689271773E-5</v>
      </c>
      <c r="BY68" s="60">
        <f t="shared" si="95"/>
        <v>8.2803624689271773E-5</v>
      </c>
      <c r="BZ68" s="49">
        <f t="shared" si="93"/>
        <v>1.6560731562146313E-9</v>
      </c>
      <c r="CA68" s="49">
        <f>IFERROR(s_RadSpec!$E$9*(CA9/$B68),".")</f>
        <v>4.1401828905365783E-10</v>
      </c>
      <c r="CB68" s="49">
        <f>IFERROR(s_RadSpec!$E$9*(CB9/$B68),".")</f>
        <v>4.1401828905365783E-10</v>
      </c>
      <c r="CC68" s="49">
        <f>IFERROR(s_RadSpec!$E$9*(CC9/$B68),".")</f>
        <v>4.1401828905365783E-10</v>
      </c>
      <c r="CD68" s="49">
        <f>IFERROR(s_RadSpec!$E$9*(CD9/$B68),".")</f>
        <v>4.1401828905365783E-10</v>
      </c>
      <c r="CE68" s="49">
        <f>IFERROR(s_RadSpec!$E$9*(CE9/$B68),".")</f>
        <v>4.1401828905365783E-10</v>
      </c>
      <c r="CF68" s="49">
        <f>IFERROR(s_RadSpec!$E$9*(CF9/$B68),".")</f>
        <v>4.1401828905365783E-10</v>
      </c>
      <c r="CG68" s="49">
        <f>IFERROR(s_RadSpec!$E$9*(CG9/$B68),".")</f>
        <v>4.1401828905365783E-10</v>
      </c>
      <c r="CH68" s="49">
        <f>IFERROR(s_RadSpec!$E$9*(CH9/$B68),".")</f>
        <v>4.1401828905365783E-10</v>
      </c>
      <c r="CI68" s="49">
        <f>IFERROR(s_RadSpec!$E$9*(CI9/$B68),".")</f>
        <v>4.1401828905365783E-10</v>
      </c>
      <c r="CJ68" s="49">
        <f>IFERROR(s_RadSpec!$E$9*(CJ9/$B68),".")</f>
        <v>4.1401828905365783E-10</v>
      </c>
      <c r="CK68" s="49">
        <f>IFERROR(s_RadSpec!$E$9*(CK9/$B68),".")</f>
        <v>4.1401828905365783E-10</v>
      </c>
      <c r="CL68" s="49">
        <f>IFERROR(s_RadSpec!$E$9*(CL9/$B68),".")</f>
        <v>4.1401828905365783E-10</v>
      </c>
      <c r="CM68" s="49">
        <f>IFERROR(s_RadSpec!$E$9*(CM9/$B68),".")</f>
        <v>4.1401828905365783E-10</v>
      </c>
      <c r="CN68" s="49">
        <f>IFERROR(s_RadSpec!$E$9*(CN9/$B68),".")</f>
        <v>4.1401828905365783E-10</v>
      </c>
      <c r="CO68" s="49">
        <f>IFERROR(s_RadSpec!$E$9*(CO9/$B68),".")</f>
        <v>4.1401828905365783E-10</v>
      </c>
      <c r="CP68" s="49">
        <f>IFERROR(s_RadSpec!$E$9*(CP9/$B68),".")</f>
        <v>4.1401828905365783E-10</v>
      </c>
      <c r="CQ68" s="49">
        <f>IFERROR(s_RadSpec!$E$9*(CQ9/$B68),".")</f>
        <v>4.1401828905365783E-10</v>
      </c>
      <c r="CR68" s="49">
        <f>IFERROR(s_RadSpec!$E$9*(CR9/$B68),".")</f>
        <v>4.1401828905365783E-10</v>
      </c>
      <c r="CS68" s="49">
        <f>IFERROR(s_RadSpec!$E$9*(CS9/$B68),".")</f>
        <v>4.1401828905365783E-10</v>
      </c>
      <c r="CT68" s="49">
        <f>IFERROR(s_RadSpec!$E$9*(CT9/$B68),".")</f>
        <v>4.1401828905365783E-10</v>
      </c>
      <c r="CU68" s="49">
        <f>IFERROR(s_RadSpec!$E$9*(CU9/$B68),".")</f>
        <v>4.1401828905365783E-10</v>
      </c>
      <c r="CV68" s="49">
        <f>IFERROR(s_RadSpec!$E$9*(CV9/$B68),".")</f>
        <v>4.1401828905365783E-10</v>
      </c>
      <c r="CW68" s="49">
        <f>IFERROR(s_RadSpec!$E$9*(CW9/$B68),".")</f>
        <v>4.1401828905365783E-10</v>
      </c>
      <c r="CX68" s="49">
        <f>IFERROR(s_RadSpec!$E$9*(CX9/$B68),".")</f>
        <v>4.1401828905365783E-10</v>
      </c>
    </row>
    <row r="69" spans="1:102" x14ac:dyDescent="0.25">
      <c r="A69" s="83" t="s">
        <v>1093</v>
      </c>
      <c r="B69" s="42">
        <v>1.9999999999999999E-7</v>
      </c>
      <c r="C69" s="60" t="str">
        <f t="shared" si="71"/>
        <v>.</v>
      </c>
      <c r="D69" s="60">
        <f t="shared" ref="D69:AA69" si="96">IFERROR(D24/$B55,0)</f>
        <v>0</v>
      </c>
      <c r="E69" s="60">
        <f t="shared" si="96"/>
        <v>0</v>
      </c>
      <c r="F69" s="60">
        <f t="shared" si="96"/>
        <v>0</v>
      </c>
      <c r="G69" s="60">
        <f t="shared" si="96"/>
        <v>0</v>
      </c>
      <c r="H69" s="60">
        <f t="shared" si="96"/>
        <v>0</v>
      </c>
      <c r="I69" s="60">
        <f t="shared" si="96"/>
        <v>0</v>
      </c>
      <c r="J69" s="60">
        <f t="shared" si="96"/>
        <v>0</v>
      </c>
      <c r="K69" s="60">
        <f t="shared" si="96"/>
        <v>0</v>
      </c>
      <c r="L69" s="60">
        <f t="shared" si="96"/>
        <v>0</v>
      </c>
      <c r="M69" s="60">
        <f t="shared" si="96"/>
        <v>0</v>
      </c>
      <c r="N69" s="60">
        <f t="shared" si="96"/>
        <v>0</v>
      </c>
      <c r="O69" s="60">
        <f t="shared" si="96"/>
        <v>0</v>
      </c>
      <c r="P69" s="60">
        <f t="shared" si="96"/>
        <v>0</v>
      </c>
      <c r="Q69" s="60">
        <f t="shared" si="96"/>
        <v>0</v>
      </c>
      <c r="R69" s="60">
        <f t="shared" si="96"/>
        <v>0</v>
      </c>
      <c r="S69" s="60">
        <f t="shared" si="96"/>
        <v>0</v>
      </c>
      <c r="T69" s="60">
        <f t="shared" si="96"/>
        <v>0</v>
      </c>
      <c r="U69" s="60">
        <f t="shared" si="96"/>
        <v>0</v>
      </c>
      <c r="V69" s="60">
        <f t="shared" si="96"/>
        <v>0</v>
      </c>
      <c r="W69" s="60">
        <f t="shared" si="96"/>
        <v>0</v>
      </c>
      <c r="X69" s="60">
        <f t="shared" si="96"/>
        <v>0</v>
      </c>
      <c r="Y69" s="60">
        <f t="shared" si="96"/>
        <v>0</v>
      </c>
      <c r="Z69" s="60">
        <f t="shared" si="96"/>
        <v>0</v>
      </c>
      <c r="AA69" s="60">
        <f t="shared" si="96"/>
        <v>0</v>
      </c>
      <c r="AB69" s="49">
        <f t="shared" si="12"/>
        <v>0</v>
      </c>
      <c r="AC69" s="49">
        <f>IFERROR(s_RadSpec!$E$24*($AZ$24/$B69),".")</f>
        <v>0</v>
      </c>
      <c r="AD69" s="49">
        <f>IFERROR(s_RadSpec!$E$24*($AZ$24/$B69),".")</f>
        <v>0</v>
      </c>
      <c r="AE69" s="49">
        <f>IFERROR(s_RadSpec!$E$24*($AZ$24/$B69),".")</f>
        <v>0</v>
      </c>
      <c r="AF69" s="49">
        <f>IFERROR(s_RadSpec!$E$24*($AZ$24/$B69),".")</f>
        <v>0</v>
      </c>
      <c r="AG69" s="49">
        <f>IFERROR(s_RadSpec!$E$24*($AZ$24/$B69),".")</f>
        <v>0</v>
      </c>
      <c r="AH69" s="49">
        <f>IFERROR(s_RadSpec!$E$24*($AZ$24/$B69),".")</f>
        <v>0</v>
      </c>
      <c r="AI69" s="49">
        <f>IFERROR(s_RadSpec!$E$24*($AZ$24/$B69),".")</f>
        <v>0</v>
      </c>
      <c r="AJ69" s="49">
        <f>IFERROR(s_RadSpec!$E$24*($AZ$24/$B69),".")</f>
        <v>0</v>
      </c>
      <c r="AK69" s="49">
        <f>IFERROR(s_RadSpec!$E$24*($AZ$24/$B69),".")</f>
        <v>0</v>
      </c>
      <c r="AL69" s="49">
        <f>IFERROR(s_RadSpec!$E$24*($AZ$24/$B69),".")</f>
        <v>0</v>
      </c>
      <c r="AM69" s="49">
        <f>IFERROR(s_RadSpec!$E$24*($AZ$24/$B69),".")</f>
        <v>0</v>
      </c>
      <c r="AN69" s="49">
        <f>IFERROR(s_RadSpec!$E$24*($AZ$24/$B69),".")</f>
        <v>0</v>
      </c>
      <c r="AO69" s="49">
        <f>IFERROR(s_RadSpec!$E$24*($AZ$24/$B69),".")</f>
        <v>0</v>
      </c>
      <c r="AP69" s="49">
        <f>IFERROR(s_RadSpec!$E$24*($AZ$24/$B69),".")</f>
        <v>0</v>
      </c>
      <c r="AQ69" s="49">
        <f>IFERROR(s_RadSpec!$E$24*($AZ$24/$B69),".")</f>
        <v>0</v>
      </c>
      <c r="AR69" s="49">
        <f>IFERROR(s_RadSpec!$E$24*($AZ$24/$B69),".")</f>
        <v>0</v>
      </c>
      <c r="AS69" s="49">
        <f>IFERROR(s_RadSpec!$E$24*($AZ$24/$B69),".")</f>
        <v>0</v>
      </c>
      <c r="AT69" s="49">
        <f>IFERROR(s_RadSpec!$E$24*($AZ$24/$B69),".")</f>
        <v>0</v>
      </c>
      <c r="AU69" s="49">
        <f>IFERROR(s_RadSpec!$E$24*($AZ$24/$B69),".")</f>
        <v>0</v>
      </c>
      <c r="AV69" s="49">
        <f>IFERROR(s_RadSpec!$E$24*($AZ$24/$B69),".")</f>
        <v>0</v>
      </c>
      <c r="AW69" s="49">
        <f>IFERROR(s_RadSpec!$E$24*($AZ$24/$B69),".")</f>
        <v>0</v>
      </c>
      <c r="AX69" s="49">
        <f>IFERROR(s_RadSpec!$E$24*($AZ$24/$B69),".")</f>
        <v>0</v>
      </c>
      <c r="AY69" s="49">
        <f>IFERROR(s_RadSpec!$E$24*($AZ$24/$B69),".")</f>
        <v>0</v>
      </c>
      <c r="AZ69" s="49">
        <f>IFERROR(s_RadSpec!$E$24*($AZ$24/$B69),".")</f>
        <v>0</v>
      </c>
      <c r="BA69" s="60" t="str">
        <f t="shared" si="73"/>
        <v>.</v>
      </c>
      <c r="BB69" s="60">
        <f t="shared" ref="BB69:BY69" si="97">IFERROR($B69/BB24,0)</f>
        <v>0</v>
      </c>
      <c r="BC69" s="60">
        <f t="shared" si="97"/>
        <v>0</v>
      </c>
      <c r="BD69" s="60">
        <f t="shared" si="97"/>
        <v>0</v>
      </c>
      <c r="BE69" s="60">
        <f t="shared" si="97"/>
        <v>0</v>
      </c>
      <c r="BF69" s="60">
        <f t="shared" si="97"/>
        <v>0</v>
      </c>
      <c r="BG69" s="60">
        <f t="shared" si="97"/>
        <v>0</v>
      </c>
      <c r="BH69" s="60">
        <f t="shared" si="97"/>
        <v>0</v>
      </c>
      <c r="BI69" s="60">
        <f t="shared" si="97"/>
        <v>0</v>
      </c>
      <c r="BJ69" s="60">
        <f t="shared" si="97"/>
        <v>0</v>
      </c>
      <c r="BK69" s="60">
        <f t="shared" si="97"/>
        <v>0</v>
      </c>
      <c r="BL69" s="60">
        <f t="shared" si="97"/>
        <v>0</v>
      </c>
      <c r="BM69" s="60">
        <f t="shared" si="97"/>
        <v>0</v>
      </c>
      <c r="BN69" s="60">
        <f t="shared" si="97"/>
        <v>0</v>
      </c>
      <c r="BO69" s="60">
        <f t="shared" si="97"/>
        <v>0</v>
      </c>
      <c r="BP69" s="60">
        <f t="shared" si="97"/>
        <v>0</v>
      </c>
      <c r="BQ69" s="60">
        <f t="shared" si="97"/>
        <v>0</v>
      </c>
      <c r="BR69" s="60">
        <f t="shared" si="97"/>
        <v>0</v>
      </c>
      <c r="BS69" s="60">
        <f t="shared" si="97"/>
        <v>0</v>
      </c>
      <c r="BT69" s="60">
        <f t="shared" si="97"/>
        <v>0</v>
      </c>
      <c r="BU69" s="60">
        <f t="shared" si="97"/>
        <v>0</v>
      </c>
      <c r="BV69" s="60">
        <f t="shared" si="97"/>
        <v>0</v>
      </c>
      <c r="BW69" s="60">
        <f t="shared" si="97"/>
        <v>0</v>
      </c>
      <c r="BX69" s="60">
        <f t="shared" si="97"/>
        <v>0</v>
      </c>
      <c r="BY69" s="60">
        <f t="shared" si="97"/>
        <v>0</v>
      </c>
      <c r="BZ69" s="49">
        <f t="shared" si="93"/>
        <v>0</v>
      </c>
      <c r="CA69" s="49">
        <f>IFERROR(s_RadSpec!$E$24*(CA24/$B69),".")</f>
        <v>0</v>
      </c>
      <c r="CB69" s="49">
        <f>IFERROR(s_RadSpec!$E$24*(CB24/$B69),".")</f>
        <v>0</v>
      </c>
      <c r="CC69" s="49">
        <f>IFERROR(s_RadSpec!$E$24*(CC24/$B69),".")</f>
        <v>0</v>
      </c>
      <c r="CD69" s="49">
        <f>IFERROR(s_RadSpec!$E$24*(CD24/$B69),".")</f>
        <v>0</v>
      </c>
      <c r="CE69" s="49">
        <f>IFERROR(s_RadSpec!$E$24*(CE24/$B69),".")</f>
        <v>0</v>
      </c>
      <c r="CF69" s="49">
        <f>IFERROR(s_RadSpec!$E$24*(CF24/$B69),".")</f>
        <v>0</v>
      </c>
      <c r="CG69" s="49">
        <f>IFERROR(s_RadSpec!$E$24*(CG24/$B69),".")</f>
        <v>0</v>
      </c>
      <c r="CH69" s="49">
        <f>IFERROR(s_RadSpec!$E$24*(CH24/$B69),".")</f>
        <v>0</v>
      </c>
      <c r="CI69" s="49">
        <f>IFERROR(s_RadSpec!$E$24*(CI24/$B69),".")</f>
        <v>0</v>
      </c>
      <c r="CJ69" s="49">
        <f>IFERROR(s_RadSpec!$E$24*(CJ24/$B69),".")</f>
        <v>0</v>
      </c>
      <c r="CK69" s="49">
        <f>IFERROR(s_RadSpec!$E$24*(CK24/$B69),".")</f>
        <v>0</v>
      </c>
      <c r="CL69" s="49">
        <f>IFERROR(s_RadSpec!$E$24*(CL24/$B69),".")</f>
        <v>0</v>
      </c>
      <c r="CM69" s="49">
        <f>IFERROR(s_RadSpec!$E$24*(CM24/$B69),".")</f>
        <v>0</v>
      </c>
      <c r="CN69" s="49">
        <f>IFERROR(s_RadSpec!$E$24*(CN24/$B69),".")</f>
        <v>0</v>
      </c>
      <c r="CO69" s="49">
        <f>IFERROR(s_RadSpec!$E$24*(CO24/$B69),".")</f>
        <v>0</v>
      </c>
      <c r="CP69" s="49">
        <f>IFERROR(s_RadSpec!$E$24*(CP24/$B69),".")</f>
        <v>0</v>
      </c>
      <c r="CQ69" s="49">
        <f>IFERROR(s_RadSpec!$E$24*(CQ24/$B69),".")</f>
        <v>0</v>
      </c>
      <c r="CR69" s="49">
        <f>IFERROR(s_RadSpec!$E$24*(CR24/$B69),".")</f>
        <v>0</v>
      </c>
      <c r="CS69" s="49">
        <f>IFERROR(s_RadSpec!$E$24*(CS24/$B69),".")</f>
        <v>0</v>
      </c>
      <c r="CT69" s="49">
        <f>IFERROR(s_RadSpec!$E$24*(CT24/$B69),".")</f>
        <v>0</v>
      </c>
      <c r="CU69" s="49">
        <f>IFERROR(s_RadSpec!$E$24*(CU24/$B69),".")</f>
        <v>0</v>
      </c>
      <c r="CV69" s="49">
        <f>IFERROR(s_RadSpec!$E$24*(CV24/$B69),".")</f>
        <v>0</v>
      </c>
      <c r="CW69" s="49">
        <f>IFERROR(s_RadSpec!$E$24*(CW24/$B69),".")</f>
        <v>0</v>
      </c>
      <c r="CX69" s="49">
        <f>IFERROR(s_RadSpec!$E$24*(CX24/$B69),".")</f>
        <v>0</v>
      </c>
    </row>
    <row r="70" spans="1:102" x14ac:dyDescent="0.25">
      <c r="A70" s="83" t="s">
        <v>1094</v>
      </c>
      <c r="B70" s="42">
        <v>0.99979000004200003</v>
      </c>
      <c r="C70" s="60" t="str">
        <f t="shared" si="71"/>
        <v>.</v>
      </c>
      <c r="D70" s="60">
        <f t="shared" ref="D70:AA70" si="98">IFERROR(D20/$B56,0)</f>
        <v>0</v>
      </c>
      <c r="E70" s="60">
        <f t="shared" si="98"/>
        <v>0</v>
      </c>
      <c r="F70" s="60">
        <f t="shared" si="98"/>
        <v>0</v>
      </c>
      <c r="G70" s="60">
        <f t="shared" si="98"/>
        <v>0</v>
      </c>
      <c r="H70" s="60">
        <f t="shared" si="98"/>
        <v>0</v>
      </c>
      <c r="I70" s="60">
        <f t="shared" si="98"/>
        <v>0</v>
      </c>
      <c r="J70" s="60">
        <f t="shared" si="98"/>
        <v>0</v>
      </c>
      <c r="K70" s="60">
        <f t="shared" si="98"/>
        <v>0</v>
      </c>
      <c r="L70" s="60">
        <f t="shared" si="98"/>
        <v>0</v>
      </c>
      <c r="M70" s="60">
        <f t="shared" si="98"/>
        <v>0</v>
      </c>
      <c r="N70" s="60">
        <f t="shared" si="98"/>
        <v>0</v>
      </c>
      <c r="O70" s="60">
        <f t="shared" si="98"/>
        <v>0</v>
      </c>
      <c r="P70" s="60">
        <f t="shared" si="98"/>
        <v>0</v>
      </c>
      <c r="Q70" s="60">
        <f t="shared" si="98"/>
        <v>0</v>
      </c>
      <c r="R70" s="60">
        <f t="shared" si="98"/>
        <v>0</v>
      </c>
      <c r="S70" s="60">
        <f t="shared" si="98"/>
        <v>0</v>
      </c>
      <c r="T70" s="60">
        <f t="shared" si="98"/>
        <v>0</v>
      </c>
      <c r="U70" s="60">
        <f t="shared" si="98"/>
        <v>0</v>
      </c>
      <c r="V70" s="60">
        <f t="shared" si="98"/>
        <v>0</v>
      </c>
      <c r="W70" s="60">
        <f t="shared" si="98"/>
        <v>0</v>
      </c>
      <c r="X70" s="60">
        <f t="shared" si="98"/>
        <v>0</v>
      </c>
      <c r="Y70" s="60">
        <f t="shared" si="98"/>
        <v>0</v>
      </c>
      <c r="Z70" s="60">
        <f t="shared" si="98"/>
        <v>0</v>
      </c>
      <c r="AA70" s="60">
        <f t="shared" si="98"/>
        <v>0</v>
      </c>
      <c r="AB70" s="49">
        <f t="shared" si="12"/>
        <v>0</v>
      </c>
      <c r="AC70" s="49">
        <f>IFERROR(s_RadSpec!$E$20*($AZ$20/$B70),".")</f>
        <v>0</v>
      </c>
      <c r="AD70" s="49">
        <f>IFERROR(s_RadSpec!$E$20*($AZ$20/$B70),".")</f>
        <v>0</v>
      </c>
      <c r="AE70" s="49">
        <f>IFERROR(s_RadSpec!$E$20*($AZ$20/$B70),".")</f>
        <v>0</v>
      </c>
      <c r="AF70" s="49">
        <f>IFERROR(s_RadSpec!$E$20*($AZ$20/$B70),".")</f>
        <v>0</v>
      </c>
      <c r="AG70" s="49">
        <f>IFERROR(s_RadSpec!$E$20*($AZ$20/$B70),".")</f>
        <v>0</v>
      </c>
      <c r="AH70" s="49">
        <f>IFERROR(s_RadSpec!$E$20*($AZ$20/$B70),".")</f>
        <v>0</v>
      </c>
      <c r="AI70" s="49">
        <f>IFERROR(s_RadSpec!$E$20*($AZ$20/$B70),".")</f>
        <v>0</v>
      </c>
      <c r="AJ70" s="49">
        <f>IFERROR(s_RadSpec!$E$20*($AZ$20/$B70),".")</f>
        <v>0</v>
      </c>
      <c r="AK70" s="49">
        <f>IFERROR(s_RadSpec!$E$20*($AZ$20/$B70),".")</f>
        <v>0</v>
      </c>
      <c r="AL70" s="49">
        <f>IFERROR(s_RadSpec!$E$20*($AZ$20/$B70),".")</f>
        <v>0</v>
      </c>
      <c r="AM70" s="49">
        <f>IFERROR(s_RadSpec!$E$20*($AZ$20/$B70),".")</f>
        <v>0</v>
      </c>
      <c r="AN70" s="49">
        <f>IFERROR(s_RadSpec!$E$20*($AZ$20/$B70),".")</f>
        <v>0</v>
      </c>
      <c r="AO70" s="49">
        <f>IFERROR(s_RadSpec!$E$20*($AZ$20/$B70),".")</f>
        <v>0</v>
      </c>
      <c r="AP70" s="49">
        <f>IFERROR(s_RadSpec!$E$20*($AZ$20/$B70),".")</f>
        <v>0</v>
      </c>
      <c r="AQ70" s="49">
        <f>IFERROR(s_RadSpec!$E$20*($AZ$20/$B70),".")</f>
        <v>0</v>
      </c>
      <c r="AR70" s="49">
        <f>IFERROR(s_RadSpec!$E$20*($AZ$20/$B70),".")</f>
        <v>0</v>
      </c>
      <c r="AS70" s="49">
        <f>IFERROR(s_RadSpec!$E$20*($AZ$20/$B70),".")</f>
        <v>0</v>
      </c>
      <c r="AT70" s="49">
        <f>IFERROR(s_RadSpec!$E$20*($AZ$20/$B70),".")</f>
        <v>0</v>
      </c>
      <c r="AU70" s="49">
        <f>IFERROR(s_RadSpec!$E$20*($AZ$20/$B70),".")</f>
        <v>0</v>
      </c>
      <c r="AV70" s="49">
        <f>IFERROR(s_RadSpec!$E$20*($AZ$20/$B70),".")</f>
        <v>0</v>
      </c>
      <c r="AW70" s="49">
        <f>IFERROR(s_RadSpec!$E$20*($AZ$20/$B70),".")</f>
        <v>0</v>
      </c>
      <c r="AX70" s="49">
        <f>IFERROR(s_RadSpec!$E$20*($AZ$20/$B70),".")</f>
        <v>0</v>
      </c>
      <c r="AY70" s="49">
        <f>IFERROR(s_RadSpec!$E$20*($AZ$20/$B70),".")</f>
        <v>0</v>
      </c>
      <c r="AZ70" s="49">
        <f>IFERROR(s_RadSpec!$E$20*($AZ$20/$B70),".")</f>
        <v>0</v>
      </c>
      <c r="BA70" s="60" t="str">
        <f t="shared" si="73"/>
        <v>.</v>
      </c>
      <c r="BB70" s="60">
        <f t="shared" ref="BB70:BY70" si="99">IFERROR($B70/BB20,0)</f>
        <v>0</v>
      </c>
      <c r="BC70" s="60">
        <f t="shared" si="99"/>
        <v>0</v>
      </c>
      <c r="BD70" s="60">
        <f t="shared" si="99"/>
        <v>0</v>
      </c>
      <c r="BE70" s="60">
        <f t="shared" si="99"/>
        <v>0</v>
      </c>
      <c r="BF70" s="60">
        <f t="shared" si="99"/>
        <v>0</v>
      </c>
      <c r="BG70" s="60">
        <f t="shared" si="99"/>
        <v>0</v>
      </c>
      <c r="BH70" s="60">
        <f t="shared" si="99"/>
        <v>0</v>
      </c>
      <c r="BI70" s="60">
        <f t="shared" si="99"/>
        <v>0</v>
      </c>
      <c r="BJ70" s="60">
        <f t="shared" si="99"/>
        <v>0</v>
      </c>
      <c r="BK70" s="60">
        <f t="shared" si="99"/>
        <v>0</v>
      </c>
      <c r="BL70" s="60">
        <f t="shared" si="99"/>
        <v>0</v>
      </c>
      <c r="BM70" s="60">
        <f t="shared" si="99"/>
        <v>0</v>
      </c>
      <c r="BN70" s="60">
        <f t="shared" si="99"/>
        <v>0</v>
      </c>
      <c r="BO70" s="60">
        <f t="shared" si="99"/>
        <v>0</v>
      </c>
      <c r="BP70" s="60">
        <f t="shared" si="99"/>
        <v>0</v>
      </c>
      <c r="BQ70" s="60">
        <f t="shared" si="99"/>
        <v>0</v>
      </c>
      <c r="BR70" s="60">
        <f t="shared" si="99"/>
        <v>0</v>
      </c>
      <c r="BS70" s="60">
        <f t="shared" si="99"/>
        <v>0</v>
      </c>
      <c r="BT70" s="60">
        <f t="shared" si="99"/>
        <v>0</v>
      </c>
      <c r="BU70" s="60">
        <f t="shared" si="99"/>
        <v>0</v>
      </c>
      <c r="BV70" s="60">
        <f t="shared" si="99"/>
        <v>0</v>
      </c>
      <c r="BW70" s="60">
        <f t="shared" si="99"/>
        <v>0</v>
      </c>
      <c r="BX70" s="60">
        <f t="shared" si="99"/>
        <v>0</v>
      </c>
      <c r="BY70" s="60">
        <f t="shared" si="99"/>
        <v>0</v>
      </c>
      <c r="BZ70" s="49">
        <f t="shared" si="93"/>
        <v>0</v>
      </c>
      <c r="CA70" s="49">
        <f>IFERROR(s_RadSpec!$E$20*(CA20/$B70),".")</f>
        <v>0</v>
      </c>
      <c r="CB70" s="49">
        <f>IFERROR(s_RadSpec!$E$20*(CB20/$B70),".")</f>
        <v>0</v>
      </c>
      <c r="CC70" s="49">
        <f>IFERROR(s_RadSpec!$E$20*(CC20/$B70),".")</f>
        <v>0</v>
      </c>
      <c r="CD70" s="49">
        <f>IFERROR(s_RadSpec!$E$20*(CD20/$B70),".")</f>
        <v>0</v>
      </c>
      <c r="CE70" s="49">
        <f>IFERROR(s_RadSpec!$E$20*(CE20/$B70),".")</f>
        <v>0</v>
      </c>
      <c r="CF70" s="49">
        <f>IFERROR(s_RadSpec!$E$20*(CF20/$B70),".")</f>
        <v>0</v>
      </c>
      <c r="CG70" s="49">
        <f>IFERROR(s_RadSpec!$E$20*(CG20/$B70),".")</f>
        <v>0</v>
      </c>
      <c r="CH70" s="49">
        <f>IFERROR(s_RadSpec!$E$20*(CH20/$B70),".")</f>
        <v>0</v>
      </c>
      <c r="CI70" s="49">
        <f>IFERROR(s_RadSpec!$E$20*(CI20/$B70),".")</f>
        <v>0</v>
      </c>
      <c r="CJ70" s="49">
        <f>IFERROR(s_RadSpec!$E$20*(CJ20/$B70),".")</f>
        <v>0</v>
      </c>
      <c r="CK70" s="49">
        <f>IFERROR(s_RadSpec!$E$20*(CK20/$B70),".")</f>
        <v>0</v>
      </c>
      <c r="CL70" s="49">
        <f>IFERROR(s_RadSpec!$E$20*(CL20/$B70),".")</f>
        <v>0</v>
      </c>
      <c r="CM70" s="49">
        <f>IFERROR(s_RadSpec!$E$20*(CM20/$B70),".")</f>
        <v>0</v>
      </c>
      <c r="CN70" s="49">
        <f>IFERROR(s_RadSpec!$E$20*(CN20/$B70),".")</f>
        <v>0</v>
      </c>
      <c r="CO70" s="49">
        <f>IFERROR(s_RadSpec!$E$20*(CO20/$B70),".")</f>
        <v>0</v>
      </c>
      <c r="CP70" s="49">
        <f>IFERROR(s_RadSpec!$E$20*(CP20/$B70),".")</f>
        <v>0</v>
      </c>
      <c r="CQ70" s="49">
        <f>IFERROR(s_RadSpec!$E$20*(CQ20/$B70),".")</f>
        <v>0</v>
      </c>
      <c r="CR70" s="49">
        <f>IFERROR(s_RadSpec!$E$20*(CR20/$B70),".")</f>
        <v>0</v>
      </c>
      <c r="CS70" s="49">
        <f>IFERROR(s_RadSpec!$E$20*(CS20/$B70),".")</f>
        <v>0</v>
      </c>
      <c r="CT70" s="49">
        <f>IFERROR(s_RadSpec!$E$20*(CT20/$B70),".")</f>
        <v>0</v>
      </c>
      <c r="CU70" s="49">
        <f>IFERROR(s_RadSpec!$E$20*(CU20/$B70),".")</f>
        <v>0</v>
      </c>
      <c r="CV70" s="49">
        <f>IFERROR(s_RadSpec!$E$20*(CV20/$B70),".")</f>
        <v>0</v>
      </c>
      <c r="CW70" s="49">
        <f>IFERROR(s_RadSpec!$E$20*(CW20/$B70),".")</f>
        <v>0</v>
      </c>
      <c r="CX70" s="49">
        <f>IFERROR(s_RadSpec!$E$20*(CX20/$B70),".")</f>
        <v>0</v>
      </c>
    </row>
    <row r="71" spans="1:102" x14ac:dyDescent="0.25">
      <c r="A71" s="83" t="s">
        <v>1095</v>
      </c>
      <c r="B71" s="42">
        <v>2.0999995799999999E-4</v>
      </c>
      <c r="C71" s="60" t="str">
        <f t="shared" si="71"/>
        <v>.</v>
      </c>
      <c r="D71" s="60">
        <f t="shared" ref="D71:AA71" si="100">IFERROR(D29/$B57,0)</f>
        <v>0</v>
      </c>
      <c r="E71" s="60">
        <f t="shared" si="100"/>
        <v>0</v>
      </c>
      <c r="F71" s="60">
        <f t="shared" si="100"/>
        <v>0</v>
      </c>
      <c r="G71" s="60">
        <f t="shared" si="100"/>
        <v>0</v>
      </c>
      <c r="H71" s="60">
        <f t="shared" si="100"/>
        <v>0</v>
      </c>
      <c r="I71" s="60">
        <f t="shared" si="100"/>
        <v>0</v>
      </c>
      <c r="J71" s="60">
        <f t="shared" si="100"/>
        <v>0</v>
      </c>
      <c r="K71" s="60">
        <f t="shared" si="100"/>
        <v>0</v>
      </c>
      <c r="L71" s="60">
        <f t="shared" si="100"/>
        <v>0</v>
      </c>
      <c r="M71" s="60">
        <f t="shared" si="100"/>
        <v>0</v>
      </c>
      <c r="N71" s="60">
        <f t="shared" si="100"/>
        <v>0</v>
      </c>
      <c r="O71" s="60">
        <f t="shared" si="100"/>
        <v>0</v>
      </c>
      <c r="P71" s="60">
        <f t="shared" si="100"/>
        <v>0</v>
      </c>
      <c r="Q71" s="60">
        <f t="shared" si="100"/>
        <v>0</v>
      </c>
      <c r="R71" s="60">
        <f t="shared" si="100"/>
        <v>0</v>
      </c>
      <c r="S71" s="60">
        <f t="shared" si="100"/>
        <v>0</v>
      </c>
      <c r="T71" s="60">
        <f t="shared" si="100"/>
        <v>0</v>
      </c>
      <c r="U71" s="60">
        <f t="shared" si="100"/>
        <v>0</v>
      </c>
      <c r="V71" s="60">
        <f t="shared" si="100"/>
        <v>0</v>
      </c>
      <c r="W71" s="60">
        <f t="shared" si="100"/>
        <v>0</v>
      </c>
      <c r="X71" s="60">
        <f t="shared" si="100"/>
        <v>0</v>
      </c>
      <c r="Y71" s="60">
        <f t="shared" si="100"/>
        <v>0</v>
      </c>
      <c r="Z71" s="60">
        <f t="shared" si="100"/>
        <v>0</v>
      </c>
      <c r="AA71" s="60">
        <f t="shared" si="100"/>
        <v>0</v>
      </c>
      <c r="AB71" s="49">
        <f t="shared" si="12"/>
        <v>0</v>
      </c>
      <c r="AC71" s="49">
        <f>IFERROR(s_RadSpec!$E$29*($AZ$29/$B71),".")</f>
        <v>0</v>
      </c>
      <c r="AD71" s="49">
        <f>IFERROR(s_RadSpec!$E$29*($AZ$29/$B71),".")</f>
        <v>0</v>
      </c>
      <c r="AE71" s="49">
        <f>IFERROR(s_RadSpec!$E$29*($AZ$29/$B71),".")</f>
        <v>0</v>
      </c>
      <c r="AF71" s="49">
        <f>IFERROR(s_RadSpec!$E$29*($AZ$29/$B71),".")</f>
        <v>0</v>
      </c>
      <c r="AG71" s="49">
        <f>IFERROR(s_RadSpec!$E$29*($AZ$29/$B71),".")</f>
        <v>0</v>
      </c>
      <c r="AH71" s="49">
        <f>IFERROR(s_RadSpec!$E$29*($AZ$29/$B71),".")</f>
        <v>0</v>
      </c>
      <c r="AI71" s="49">
        <f>IFERROR(s_RadSpec!$E$29*($AZ$29/$B71),".")</f>
        <v>0</v>
      </c>
      <c r="AJ71" s="49">
        <f>IFERROR(s_RadSpec!$E$29*($AZ$29/$B71),".")</f>
        <v>0</v>
      </c>
      <c r="AK71" s="49">
        <f>IFERROR(s_RadSpec!$E$29*($AZ$29/$B71),".")</f>
        <v>0</v>
      </c>
      <c r="AL71" s="49">
        <f>IFERROR(s_RadSpec!$E$29*($AZ$29/$B71),".")</f>
        <v>0</v>
      </c>
      <c r="AM71" s="49">
        <f>IFERROR(s_RadSpec!$E$29*($AZ$29/$B71),".")</f>
        <v>0</v>
      </c>
      <c r="AN71" s="49">
        <f>IFERROR(s_RadSpec!$E$29*($AZ$29/$B71),".")</f>
        <v>0</v>
      </c>
      <c r="AO71" s="49">
        <f>IFERROR(s_RadSpec!$E$29*($AZ$29/$B71),".")</f>
        <v>0</v>
      </c>
      <c r="AP71" s="49">
        <f>IFERROR(s_RadSpec!$E$29*($AZ$29/$B71),".")</f>
        <v>0</v>
      </c>
      <c r="AQ71" s="49">
        <f>IFERROR(s_RadSpec!$E$29*($AZ$29/$B71),".")</f>
        <v>0</v>
      </c>
      <c r="AR71" s="49">
        <f>IFERROR(s_RadSpec!$E$29*($AZ$29/$B71),".")</f>
        <v>0</v>
      </c>
      <c r="AS71" s="49">
        <f>IFERROR(s_RadSpec!$E$29*($AZ$29/$B71),".")</f>
        <v>0</v>
      </c>
      <c r="AT71" s="49">
        <f>IFERROR(s_RadSpec!$E$29*($AZ$29/$B71),".")</f>
        <v>0</v>
      </c>
      <c r="AU71" s="49">
        <f>IFERROR(s_RadSpec!$E$29*($AZ$29/$B71),".")</f>
        <v>0</v>
      </c>
      <c r="AV71" s="49">
        <f>IFERROR(s_RadSpec!$E$29*($AZ$29/$B71),".")</f>
        <v>0</v>
      </c>
      <c r="AW71" s="49">
        <f>IFERROR(s_RadSpec!$E$29*($AZ$29/$B71),".")</f>
        <v>0</v>
      </c>
      <c r="AX71" s="49">
        <f>IFERROR(s_RadSpec!$E$29*($AZ$29/$B71),".")</f>
        <v>0</v>
      </c>
      <c r="AY71" s="49">
        <f>IFERROR(s_RadSpec!$E$29*($AZ$29/$B71),".")</f>
        <v>0</v>
      </c>
      <c r="AZ71" s="49">
        <f>IFERROR(s_RadSpec!$E$29*($AZ$29/$B71),".")</f>
        <v>0</v>
      </c>
      <c r="BA71" s="60" t="str">
        <f t="shared" si="73"/>
        <v>.</v>
      </c>
      <c r="BB71" s="60">
        <f t="shared" ref="BB71:BY71" si="101">IFERROR($B71/BB29,0)</f>
        <v>0</v>
      </c>
      <c r="BC71" s="60">
        <f t="shared" si="101"/>
        <v>0</v>
      </c>
      <c r="BD71" s="60">
        <f t="shared" si="101"/>
        <v>0</v>
      </c>
      <c r="BE71" s="60">
        <f t="shared" si="101"/>
        <v>0</v>
      </c>
      <c r="BF71" s="60">
        <f t="shared" si="101"/>
        <v>0</v>
      </c>
      <c r="BG71" s="60">
        <f t="shared" si="101"/>
        <v>0</v>
      </c>
      <c r="BH71" s="60">
        <f t="shared" si="101"/>
        <v>0</v>
      </c>
      <c r="BI71" s="60">
        <f t="shared" si="101"/>
        <v>0</v>
      </c>
      <c r="BJ71" s="60">
        <f t="shared" si="101"/>
        <v>0</v>
      </c>
      <c r="BK71" s="60">
        <f t="shared" si="101"/>
        <v>0</v>
      </c>
      <c r="BL71" s="60">
        <f t="shared" si="101"/>
        <v>0</v>
      </c>
      <c r="BM71" s="60">
        <f t="shared" si="101"/>
        <v>0</v>
      </c>
      <c r="BN71" s="60">
        <f t="shared" si="101"/>
        <v>0</v>
      </c>
      <c r="BO71" s="60">
        <f t="shared" si="101"/>
        <v>0</v>
      </c>
      <c r="BP71" s="60">
        <f t="shared" si="101"/>
        <v>0</v>
      </c>
      <c r="BQ71" s="60">
        <f t="shared" si="101"/>
        <v>0</v>
      </c>
      <c r="BR71" s="60">
        <f t="shared" si="101"/>
        <v>0</v>
      </c>
      <c r="BS71" s="60">
        <f t="shared" si="101"/>
        <v>0</v>
      </c>
      <c r="BT71" s="60">
        <f t="shared" si="101"/>
        <v>0</v>
      </c>
      <c r="BU71" s="60">
        <f t="shared" si="101"/>
        <v>0</v>
      </c>
      <c r="BV71" s="60">
        <f t="shared" si="101"/>
        <v>0</v>
      </c>
      <c r="BW71" s="60">
        <f t="shared" si="101"/>
        <v>0</v>
      </c>
      <c r="BX71" s="60">
        <f t="shared" si="101"/>
        <v>0</v>
      </c>
      <c r="BY71" s="60">
        <f t="shared" si="101"/>
        <v>0</v>
      </c>
      <c r="BZ71" s="49">
        <f t="shared" si="93"/>
        <v>0</v>
      </c>
      <c r="CA71" s="49">
        <f>IFERROR(s_RadSpec!$E$29*(CA29/$B71),".")</f>
        <v>0</v>
      </c>
      <c r="CB71" s="49">
        <f>IFERROR(s_RadSpec!$E$29*(CB29/$B71),".")</f>
        <v>0</v>
      </c>
      <c r="CC71" s="49">
        <f>IFERROR(s_RadSpec!$E$29*(CC29/$B71),".")</f>
        <v>0</v>
      </c>
      <c r="CD71" s="49">
        <f>IFERROR(s_RadSpec!$E$29*(CD29/$B71),".")</f>
        <v>0</v>
      </c>
      <c r="CE71" s="49">
        <f>IFERROR(s_RadSpec!$E$29*(CE29/$B71),".")</f>
        <v>0</v>
      </c>
      <c r="CF71" s="49">
        <f>IFERROR(s_RadSpec!$E$29*(CF29/$B71),".")</f>
        <v>0</v>
      </c>
      <c r="CG71" s="49">
        <f>IFERROR(s_RadSpec!$E$29*(CG29/$B71),".")</f>
        <v>0</v>
      </c>
      <c r="CH71" s="49">
        <f>IFERROR(s_RadSpec!$E$29*(CH29/$B71),".")</f>
        <v>0</v>
      </c>
      <c r="CI71" s="49">
        <f>IFERROR(s_RadSpec!$E$29*(CI29/$B71),".")</f>
        <v>0</v>
      </c>
      <c r="CJ71" s="49">
        <f>IFERROR(s_RadSpec!$E$29*(CJ29/$B71),".")</f>
        <v>0</v>
      </c>
      <c r="CK71" s="49">
        <f>IFERROR(s_RadSpec!$E$29*(CK29/$B71),".")</f>
        <v>0</v>
      </c>
      <c r="CL71" s="49">
        <f>IFERROR(s_RadSpec!$E$29*(CL29/$B71),".")</f>
        <v>0</v>
      </c>
      <c r="CM71" s="49">
        <f>IFERROR(s_RadSpec!$E$29*(CM29/$B71),".")</f>
        <v>0</v>
      </c>
      <c r="CN71" s="49">
        <f>IFERROR(s_RadSpec!$E$29*(CN29/$B71),".")</f>
        <v>0</v>
      </c>
      <c r="CO71" s="49">
        <f>IFERROR(s_RadSpec!$E$29*(CO29/$B71),".")</f>
        <v>0</v>
      </c>
      <c r="CP71" s="49">
        <f>IFERROR(s_RadSpec!$E$29*(CP29/$B71),".")</f>
        <v>0</v>
      </c>
      <c r="CQ71" s="49">
        <f>IFERROR(s_RadSpec!$E$29*(CQ29/$B71),".")</f>
        <v>0</v>
      </c>
      <c r="CR71" s="49">
        <f>IFERROR(s_RadSpec!$E$29*(CR29/$B71),".")</f>
        <v>0</v>
      </c>
      <c r="CS71" s="49">
        <f>IFERROR(s_RadSpec!$E$29*(CS29/$B71),".")</f>
        <v>0</v>
      </c>
      <c r="CT71" s="49">
        <f>IFERROR(s_RadSpec!$E$29*(CT29/$B71),".")</f>
        <v>0</v>
      </c>
      <c r="CU71" s="49">
        <f>IFERROR(s_RadSpec!$E$29*(CU29/$B71),".")</f>
        <v>0</v>
      </c>
      <c r="CV71" s="49">
        <f>IFERROR(s_RadSpec!$E$29*(CV29/$B71),".")</f>
        <v>0</v>
      </c>
      <c r="CW71" s="49">
        <f>IFERROR(s_RadSpec!$E$29*(CW29/$B71),".")</f>
        <v>0</v>
      </c>
      <c r="CX71" s="49">
        <f>IFERROR(s_RadSpec!$E$29*(CX29/$B71),".")</f>
        <v>0</v>
      </c>
    </row>
    <row r="72" spans="1:102" x14ac:dyDescent="0.25">
      <c r="A72" s="83" t="s">
        <v>1096</v>
      </c>
      <c r="B72" s="42">
        <v>1</v>
      </c>
      <c r="C72" s="60">
        <f t="shared" si="71"/>
        <v>1.9901919816504459</v>
      </c>
      <c r="D72" s="60">
        <f t="shared" ref="D72:AA72" si="102">IFERROR(D16/$B58,0)</f>
        <v>13.151357992787135</v>
      </c>
      <c r="E72" s="60">
        <f t="shared" si="102"/>
        <v>3.3054215275989058</v>
      </c>
      <c r="F72" s="60">
        <f t="shared" si="102"/>
        <v>10.844102204578867</v>
      </c>
      <c r="G72" s="60">
        <f t="shared" si="102"/>
        <v>13.151357992787135</v>
      </c>
      <c r="H72" s="60">
        <f t="shared" si="102"/>
        <v>10.844102204578867</v>
      </c>
      <c r="I72" s="60">
        <f t="shared" si="102"/>
        <v>3.3054215275989058</v>
      </c>
      <c r="J72" s="60">
        <f t="shared" si="102"/>
        <v>10.844102204578867</v>
      </c>
      <c r="K72" s="60">
        <f t="shared" si="102"/>
        <v>13.151357992787135</v>
      </c>
      <c r="L72" s="60">
        <f t="shared" si="102"/>
        <v>21.024279784387598</v>
      </c>
      <c r="M72" s="60">
        <f t="shared" si="102"/>
        <v>10.844102204578867</v>
      </c>
      <c r="N72" s="60">
        <f t="shared" si="102"/>
        <v>3.3054215275989058</v>
      </c>
      <c r="O72" s="60">
        <f t="shared" si="102"/>
        <v>16.439197490983918</v>
      </c>
      <c r="P72" s="60">
        <f t="shared" si="102"/>
        <v>10.844102204578867</v>
      </c>
      <c r="Q72" s="60">
        <f t="shared" si="102"/>
        <v>10.844102204578867</v>
      </c>
      <c r="R72" s="60">
        <f t="shared" si="102"/>
        <v>13.151357992787135</v>
      </c>
      <c r="S72" s="60">
        <f t="shared" si="102"/>
        <v>13.151357992787135</v>
      </c>
      <c r="T72" s="60">
        <f t="shared" si="102"/>
        <v>16.439197490983918</v>
      </c>
      <c r="U72" s="60">
        <f t="shared" si="102"/>
        <v>20.603794188699847</v>
      </c>
      <c r="V72" s="60">
        <f t="shared" si="102"/>
        <v>10.844102204578867</v>
      </c>
      <c r="W72" s="60">
        <f t="shared" si="102"/>
        <v>16.439197490983918</v>
      </c>
      <c r="X72" s="60">
        <f t="shared" si="102"/>
        <v>13.151357992787135</v>
      </c>
      <c r="Y72" s="60">
        <f t="shared" si="102"/>
        <v>10.844102204578867</v>
      </c>
      <c r="Z72" s="60">
        <f t="shared" si="102"/>
        <v>22.411668805692361</v>
      </c>
      <c r="AA72" s="60">
        <f t="shared" si="102"/>
        <v>12.614567870632559</v>
      </c>
      <c r="AB72" s="49">
        <f t="shared" si="12"/>
        <v>1.5854685E-6</v>
      </c>
      <c r="AC72" s="49">
        <f>IFERROR(s_RadSpec!$E$16*($AZ$16/$B72),".")</f>
        <v>3.96367125E-7</v>
      </c>
      <c r="AD72" s="49">
        <f>IFERROR(s_RadSpec!$E$16*($AZ$16/$B72),".")</f>
        <v>3.96367125E-7</v>
      </c>
      <c r="AE72" s="49">
        <f>IFERROR(s_RadSpec!$E$16*($AZ$16/$B72),".")</f>
        <v>3.96367125E-7</v>
      </c>
      <c r="AF72" s="49">
        <f>IFERROR(s_RadSpec!$E$16*($AZ$16/$B72),".")</f>
        <v>3.96367125E-7</v>
      </c>
      <c r="AG72" s="49">
        <f>IFERROR(s_RadSpec!$E$16*($AZ$16/$B72),".")</f>
        <v>3.96367125E-7</v>
      </c>
      <c r="AH72" s="49">
        <f>IFERROR(s_RadSpec!$E$16*($AZ$16/$B72),".")</f>
        <v>3.96367125E-7</v>
      </c>
      <c r="AI72" s="49">
        <f>IFERROR(s_RadSpec!$E$16*($AZ$16/$B72),".")</f>
        <v>3.96367125E-7</v>
      </c>
      <c r="AJ72" s="49">
        <f>IFERROR(s_RadSpec!$E$16*($AZ$16/$B72),".")</f>
        <v>3.96367125E-7</v>
      </c>
      <c r="AK72" s="49">
        <f>IFERROR(s_RadSpec!$E$16*($AZ$16/$B72),".")</f>
        <v>3.96367125E-7</v>
      </c>
      <c r="AL72" s="49">
        <f>IFERROR(s_RadSpec!$E$16*($AZ$16/$B72),".")</f>
        <v>3.96367125E-7</v>
      </c>
      <c r="AM72" s="49">
        <f>IFERROR(s_RadSpec!$E$16*($AZ$16/$B72),".")</f>
        <v>3.96367125E-7</v>
      </c>
      <c r="AN72" s="49">
        <f>IFERROR(s_RadSpec!$E$16*($AZ$16/$B72),".")</f>
        <v>3.96367125E-7</v>
      </c>
      <c r="AO72" s="49">
        <f>IFERROR(s_RadSpec!$E$16*($AZ$16/$B72),".")</f>
        <v>3.96367125E-7</v>
      </c>
      <c r="AP72" s="49">
        <f>IFERROR(s_RadSpec!$E$16*($AZ$16/$B72),".")</f>
        <v>3.96367125E-7</v>
      </c>
      <c r="AQ72" s="49">
        <f>IFERROR(s_RadSpec!$E$16*($AZ$16/$B72),".")</f>
        <v>3.96367125E-7</v>
      </c>
      <c r="AR72" s="49">
        <f>IFERROR(s_RadSpec!$E$16*($AZ$16/$B72),".")</f>
        <v>3.96367125E-7</v>
      </c>
      <c r="AS72" s="49">
        <f>IFERROR(s_RadSpec!$E$16*($AZ$16/$B72),".")</f>
        <v>3.96367125E-7</v>
      </c>
      <c r="AT72" s="49">
        <f>IFERROR(s_RadSpec!$E$16*($AZ$16/$B72),".")</f>
        <v>3.96367125E-7</v>
      </c>
      <c r="AU72" s="49">
        <f>IFERROR(s_RadSpec!$E$16*($AZ$16/$B72),".")</f>
        <v>3.96367125E-7</v>
      </c>
      <c r="AV72" s="49">
        <f>IFERROR(s_RadSpec!$E$16*($AZ$16/$B72),".")</f>
        <v>3.96367125E-7</v>
      </c>
      <c r="AW72" s="49">
        <f>IFERROR(s_RadSpec!$E$16*($AZ$16/$B72),".")</f>
        <v>3.96367125E-7</v>
      </c>
      <c r="AX72" s="49">
        <f>IFERROR(s_RadSpec!$E$16*($AZ$16/$B72),".")</f>
        <v>3.96367125E-7</v>
      </c>
      <c r="AY72" s="49">
        <f>IFERROR(s_RadSpec!$E$16*($AZ$16/$B72),".")</f>
        <v>3.96367125E-7</v>
      </c>
      <c r="AZ72" s="49">
        <f>IFERROR(s_RadSpec!$E$16*($AZ$16/$B72),".")</f>
        <v>3.96367125E-7</v>
      </c>
      <c r="BA72" s="60">
        <f t="shared" si="73"/>
        <v>1.9423881386030482E-2</v>
      </c>
      <c r="BB72" s="60">
        <f t="shared" ref="BB72:BY72" si="103">IFERROR($B72/BB16,0)</f>
        <v>7.6037775000000016E-2</v>
      </c>
      <c r="BC72" s="60">
        <f t="shared" si="103"/>
        <v>0.30253327500000005</v>
      </c>
      <c r="BD72" s="60">
        <f t="shared" si="103"/>
        <v>9.2216025000000007E-2</v>
      </c>
      <c r="BE72" s="60">
        <f t="shared" si="103"/>
        <v>7.6037775000000016E-2</v>
      </c>
      <c r="BF72" s="60">
        <f t="shared" si="103"/>
        <v>9.2216025000000007E-2</v>
      </c>
      <c r="BG72" s="60">
        <f t="shared" si="103"/>
        <v>0.30253327500000005</v>
      </c>
      <c r="BH72" s="60">
        <f t="shared" si="103"/>
        <v>9.2216025000000007E-2</v>
      </c>
      <c r="BI72" s="60">
        <f t="shared" si="103"/>
        <v>7.6037775000000016E-2</v>
      </c>
      <c r="BJ72" s="60">
        <f t="shared" si="103"/>
        <v>4.7564055000000008E-2</v>
      </c>
      <c r="BK72" s="60">
        <f t="shared" si="103"/>
        <v>9.2216025000000007E-2</v>
      </c>
      <c r="BL72" s="60">
        <f t="shared" si="103"/>
        <v>0.30253327500000005</v>
      </c>
      <c r="BM72" s="60">
        <f t="shared" si="103"/>
        <v>6.0830220000000011E-2</v>
      </c>
      <c r="BN72" s="60">
        <f t="shared" si="103"/>
        <v>9.2216025000000007E-2</v>
      </c>
      <c r="BO72" s="60">
        <f t="shared" si="103"/>
        <v>9.2216025000000007E-2</v>
      </c>
      <c r="BP72" s="60">
        <f t="shared" si="103"/>
        <v>7.6037775000000016E-2</v>
      </c>
      <c r="BQ72" s="60">
        <f t="shared" si="103"/>
        <v>7.6037775000000016E-2</v>
      </c>
      <c r="BR72" s="60">
        <f t="shared" si="103"/>
        <v>6.0830220000000011E-2</v>
      </c>
      <c r="BS72" s="60">
        <f t="shared" si="103"/>
        <v>4.8534750000000002E-2</v>
      </c>
      <c r="BT72" s="60">
        <f t="shared" si="103"/>
        <v>9.2216025000000007E-2</v>
      </c>
      <c r="BU72" s="60">
        <f t="shared" si="103"/>
        <v>6.0830220000000011E-2</v>
      </c>
      <c r="BV72" s="60">
        <f t="shared" si="103"/>
        <v>7.6037775000000016E-2</v>
      </c>
      <c r="BW72" s="60">
        <f t="shared" si="103"/>
        <v>9.2216025000000007E-2</v>
      </c>
      <c r="BX72" s="60">
        <f t="shared" si="103"/>
        <v>4.4619613500000009E-2</v>
      </c>
      <c r="BY72" s="60">
        <f t="shared" si="103"/>
        <v>7.9273425000000008E-2</v>
      </c>
      <c r="BZ72" s="49">
        <f t="shared" si="93"/>
        <v>2.5123204425000001E-6</v>
      </c>
      <c r="CA72" s="49">
        <f>IFERROR(s_RadSpec!$E$16*(CA16/$B72),".")</f>
        <v>3.8018887500000001E-7</v>
      </c>
      <c r="CB72" s="49">
        <f>IFERROR(s_RadSpec!$E$16*(CB16/$B72),".")</f>
        <v>1.512666375E-6</v>
      </c>
      <c r="CC72" s="49">
        <f>IFERROR(s_RadSpec!$E$16*(CC16/$B72),".")</f>
        <v>4.6108012499999997E-7</v>
      </c>
      <c r="CD72" s="49">
        <f>IFERROR(s_RadSpec!$E$16*(CD16/$B72),".")</f>
        <v>3.8018887500000001E-7</v>
      </c>
      <c r="CE72" s="49">
        <f>IFERROR(s_RadSpec!$E$16*(CE16/$B72),".")</f>
        <v>4.6108012499999997E-7</v>
      </c>
      <c r="CF72" s="49">
        <f>IFERROR(s_RadSpec!$E$16*(CF16/$B72),".")</f>
        <v>1.512666375E-6</v>
      </c>
      <c r="CG72" s="49">
        <f>IFERROR(s_RadSpec!$E$16*(CG16/$B72),".")</f>
        <v>4.6108012499999997E-7</v>
      </c>
      <c r="CH72" s="49">
        <f>IFERROR(s_RadSpec!$E$16*(CH16/$B72),".")</f>
        <v>3.8018887500000001E-7</v>
      </c>
      <c r="CI72" s="49">
        <f>IFERROR(s_RadSpec!$E$16*(CI16/$B72),".")</f>
        <v>2.3782027500000001E-7</v>
      </c>
      <c r="CJ72" s="49">
        <f>IFERROR(s_RadSpec!$E$16*(CJ16/$B72),".")</f>
        <v>4.6108012499999997E-7</v>
      </c>
      <c r="CK72" s="49">
        <f>IFERROR(s_RadSpec!$E$16*(CK16/$B72),".")</f>
        <v>1.512666375E-6</v>
      </c>
      <c r="CL72" s="49">
        <f>IFERROR(s_RadSpec!$E$16*(CL16/$B72),".")</f>
        <v>3.041511E-7</v>
      </c>
      <c r="CM72" s="49">
        <f>IFERROR(s_RadSpec!$E$16*(CM16/$B72),".")</f>
        <v>4.6108012499999997E-7</v>
      </c>
      <c r="CN72" s="49">
        <f>IFERROR(s_RadSpec!$E$16*(CN16/$B72),".")</f>
        <v>4.6108012499999997E-7</v>
      </c>
      <c r="CO72" s="49">
        <f>IFERROR(s_RadSpec!$E$16*(CO16/$B72),".")</f>
        <v>3.8018887500000001E-7</v>
      </c>
      <c r="CP72" s="49">
        <f>IFERROR(s_RadSpec!$E$16*(CP16/$B72),".")</f>
        <v>3.8018887500000001E-7</v>
      </c>
      <c r="CQ72" s="49">
        <f>IFERROR(s_RadSpec!$E$16*(CQ16/$B72),".")</f>
        <v>3.041511E-7</v>
      </c>
      <c r="CR72" s="49">
        <f>IFERROR(s_RadSpec!$E$16*(CR16/$B72),".")</f>
        <v>2.4267374999999999E-7</v>
      </c>
      <c r="CS72" s="49">
        <f>IFERROR(s_RadSpec!$E$16*(CS16/$B72),".")</f>
        <v>4.6108012499999997E-7</v>
      </c>
      <c r="CT72" s="49">
        <f>IFERROR(s_RadSpec!$E$16*(CT16/$B72),".")</f>
        <v>3.041511E-7</v>
      </c>
      <c r="CU72" s="49">
        <f>IFERROR(s_RadSpec!$E$16*(CU16/$B72),".")</f>
        <v>3.8018887500000001E-7</v>
      </c>
      <c r="CV72" s="49">
        <f>IFERROR(s_RadSpec!$E$16*(CV16/$B72),".")</f>
        <v>4.6108012499999997E-7</v>
      </c>
      <c r="CW72" s="49">
        <f>IFERROR(s_RadSpec!$E$16*(CW16/$B72),".")</f>
        <v>2.2309806749999998E-7</v>
      </c>
      <c r="CX72" s="49">
        <f>IFERROR(s_RadSpec!$E$16*(CX16/$B72),".")</f>
        <v>3.96367125E-7</v>
      </c>
    </row>
    <row r="73" spans="1:102" x14ac:dyDescent="0.25">
      <c r="A73" s="83" t="s">
        <v>1097</v>
      </c>
      <c r="B73" s="42">
        <v>1</v>
      </c>
      <c r="C73" s="60">
        <f t="shared" si="71"/>
        <v>61.498860057129974</v>
      </c>
      <c r="D73" s="60">
        <f t="shared" ref="D73:AA73" si="104">IFERROR(D7/$B59,0)</f>
        <v>245.9954402285199</v>
      </c>
      <c r="E73" s="60">
        <f t="shared" si="104"/>
        <v>245.9954402285199</v>
      </c>
      <c r="F73" s="60">
        <f t="shared" si="104"/>
        <v>245.9954402285199</v>
      </c>
      <c r="G73" s="60">
        <f t="shared" si="104"/>
        <v>245.9954402285199</v>
      </c>
      <c r="H73" s="60">
        <f t="shared" si="104"/>
        <v>245.9954402285199</v>
      </c>
      <c r="I73" s="60">
        <f t="shared" si="104"/>
        <v>245.9954402285199</v>
      </c>
      <c r="J73" s="60">
        <f t="shared" si="104"/>
        <v>245.9954402285199</v>
      </c>
      <c r="K73" s="60">
        <f t="shared" si="104"/>
        <v>245.9954402285199</v>
      </c>
      <c r="L73" s="60">
        <f t="shared" si="104"/>
        <v>245.9954402285199</v>
      </c>
      <c r="M73" s="60">
        <f t="shared" si="104"/>
        <v>245.9954402285199</v>
      </c>
      <c r="N73" s="60">
        <f t="shared" si="104"/>
        <v>245.9954402285199</v>
      </c>
      <c r="O73" s="60">
        <f t="shared" si="104"/>
        <v>245.9954402285199</v>
      </c>
      <c r="P73" s="60">
        <f t="shared" si="104"/>
        <v>245.9954402285199</v>
      </c>
      <c r="Q73" s="60">
        <f t="shared" si="104"/>
        <v>245.9954402285199</v>
      </c>
      <c r="R73" s="60">
        <f t="shared" si="104"/>
        <v>245.9954402285199</v>
      </c>
      <c r="S73" s="60">
        <f t="shared" si="104"/>
        <v>245.9954402285199</v>
      </c>
      <c r="T73" s="60">
        <f t="shared" si="104"/>
        <v>245.9954402285199</v>
      </c>
      <c r="U73" s="60">
        <f t="shared" si="104"/>
        <v>245.9954402285199</v>
      </c>
      <c r="V73" s="60">
        <f t="shared" si="104"/>
        <v>245.9954402285199</v>
      </c>
      <c r="W73" s="60">
        <f t="shared" si="104"/>
        <v>245.9954402285199</v>
      </c>
      <c r="X73" s="60">
        <f t="shared" si="104"/>
        <v>245.9954402285199</v>
      </c>
      <c r="Y73" s="60">
        <f t="shared" si="104"/>
        <v>245.9954402285199</v>
      </c>
      <c r="Z73" s="60">
        <f t="shared" si="104"/>
        <v>245.9954402285199</v>
      </c>
      <c r="AA73" s="60">
        <f t="shared" si="104"/>
        <v>245.9954402285199</v>
      </c>
      <c r="AB73" s="49">
        <f t="shared" si="12"/>
        <v>8.1302319999999992E-8</v>
      </c>
      <c r="AC73" s="49">
        <f>IFERROR(s_RadSpec!$E$7*($AZ$7/$B73),".")</f>
        <v>2.0325579999999998E-8</v>
      </c>
      <c r="AD73" s="49">
        <f>IFERROR(s_RadSpec!$E$7*($AZ$7/$B73),".")</f>
        <v>2.0325579999999998E-8</v>
      </c>
      <c r="AE73" s="49">
        <f>IFERROR(s_RadSpec!$E$7*($AZ$7/$B73),".")</f>
        <v>2.0325579999999998E-8</v>
      </c>
      <c r="AF73" s="49">
        <f>IFERROR(s_RadSpec!$E$7*($AZ$7/$B73),".")</f>
        <v>2.0325579999999998E-8</v>
      </c>
      <c r="AG73" s="49">
        <f>IFERROR(s_RadSpec!$E$7*($AZ$7/$B73),".")</f>
        <v>2.0325579999999998E-8</v>
      </c>
      <c r="AH73" s="49">
        <f>IFERROR(s_RadSpec!$E$7*($AZ$7/$B73),".")</f>
        <v>2.0325579999999998E-8</v>
      </c>
      <c r="AI73" s="49">
        <f>IFERROR(s_RadSpec!$E$7*($AZ$7/$B73),".")</f>
        <v>2.0325579999999998E-8</v>
      </c>
      <c r="AJ73" s="49">
        <f>IFERROR(s_RadSpec!$E$7*($AZ$7/$B73),".")</f>
        <v>2.0325579999999998E-8</v>
      </c>
      <c r="AK73" s="49">
        <f>IFERROR(s_RadSpec!$E$7*($AZ$7/$B73),".")</f>
        <v>2.0325579999999998E-8</v>
      </c>
      <c r="AL73" s="49">
        <f>IFERROR(s_RadSpec!$E$7*($AZ$7/$B73),".")</f>
        <v>2.0325579999999998E-8</v>
      </c>
      <c r="AM73" s="49">
        <f>IFERROR(s_RadSpec!$E$7*($AZ$7/$B73),".")</f>
        <v>2.0325579999999998E-8</v>
      </c>
      <c r="AN73" s="49">
        <f>IFERROR(s_RadSpec!$E$7*($AZ$7/$B73),".")</f>
        <v>2.0325579999999998E-8</v>
      </c>
      <c r="AO73" s="49">
        <f>IFERROR(s_RadSpec!$E$7*($AZ$7/$B73),".")</f>
        <v>2.0325579999999998E-8</v>
      </c>
      <c r="AP73" s="49">
        <f>IFERROR(s_RadSpec!$E$7*($AZ$7/$B73),".")</f>
        <v>2.0325579999999998E-8</v>
      </c>
      <c r="AQ73" s="49">
        <f>IFERROR(s_RadSpec!$E$7*($AZ$7/$B73),".")</f>
        <v>2.0325579999999998E-8</v>
      </c>
      <c r="AR73" s="49">
        <f>IFERROR(s_RadSpec!$E$7*($AZ$7/$B73),".")</f>
        <v>2.0325579999999998E-8</v>
      </c>
      <c r="AS73" s="49">
        <f>IFERROR(s_RadSpec!$E$7*($AZ$7/$B73),".")</f>
        <v>2.0325579999999998E-8</v>
      </c>
      <c r="AT73" s="49">
        <f>IFERROR(s_RadSpec!$E$7*($AZ$7/$B73),".")</f>
        <v>2.0325579999999998E-8</v>
      </c>
      <c r="AU73" s="49">
        <f>IFERROR(s_RadSpec!$E$7*($AZ$7/$B73),".")</f>
        <v>2.0325579999999998E-8</v>
      </c>
      <c r="AV73" s="49">
        <f>IFERROR(s_RadSpec!$E$7*($AZ$7/$B73),".")</f>
        <v>2.0325579999999998E-8</v>
      </c>
      <c r="AW73" s="49">
        <f>IFERROR(s_RadSpec!$E$7*($AZ$7/$B73),".")</f>
        <v>2.0325579999999998E-8</v>
      </c>
      <c r="AX73" s="49">
        <f>IFERROR(s_RadSpec!$E$7*($AZ$7/$B73),".")</f>
        <v>2.0325579999999998E-8</v>
      </c>
      <c r="AY73" s="49">
        <f>IFERROR(s_RadSpec!$E$7*($AZ$7/$B73),".")</f>
        <v>2.0325579999999998E-8</v>
      </c>
      <c r="AZ73" s="49">
        <f>IFERROR(s_RadSpec!$E$7*($AZ$7/$B73),".")</f>
        <v>2.0325579999999998E-8</v>
      </c>
      <c r="BA73" s="60">
        <f t="shared" si="73"/>
        <v>1.0162790000000001E-3</v>
      </c>
      <c r="BB73" s="60">
        <f t="shared" ref="BB73:BY73" si="105">IFERROR($B73/BB7,0)</f>
        <v>4.0651160000000006E-3</v>
      </c>
      <c r="BC73" s="60">
        <f t="shared" si="105"/>
        <v>4.0651160000000006E-3</v>
      </c>
      <c r="BD73" s="60">
        <f t="shared" si="105"/>
        <v>4.0651160000000006E-3</v>
      </c>
      <c r="BE73" s="60">
        <f t="shared" si="105"/>
        <v>4.0651160000000006E-3</v>
      </c>
      <c r="BF73" s="60">
        <f t="shared" si="105"/>
        <v>4.0651160000000006E-3</v>
      </c>
      <c r="BG73" s="60">
        <f t="shared" si="105"/>
        <v>4.0651160000000006E-3</v>
      </c>
      <c r="BH73" s="60">
        <f t="shared" si="105"/>
        <v>4.0651160000000006E-3</v>
      </c>
      <c r="BI73" s="60">
        <f t="shared" si="105"/>
        <v>4.0651160000000006E-3</v>
      </c>
      <c r="BJ73" s="60">
        <f t="shared" si="105"/>
        <v>4.0651160000000006E-3</v>
      </c>
      <c r="BK73" s="60">
        <f t="shared" si="105"/>
        <v>4.0651160000000006E-3</v>
      </c>
      <c r="BL73" s="60">
        <f t="shared" si="105"/>
        <v>4.0651160000000006E-3</v>
      </c>
      <c r="BM73" s="60">
        <f t="shared" si="105"/>
        <v>4.0651160000000006E-3</v>
      </c>
      <c r="BN73" s="60">
        <f t="shared" si="105"/>
        <v>4.0651160000000006E-3</v>
      </c>
      <c r="BO73" s="60">
        <f t="shared" si="105"/>
        <v>4.0651160000000006E-3</v>
      </c>
      <c r="BP73" s="60">
        <f t="shared" si="105"/>
        <v>4.0651160000000006E-3</v>
      </c>
      <c r="BQ73" s="60">
        <f t="shared" si="105"/>
        <v>4.0651160000000006E-3</v>
      </c>
      <c r="BR73" s="60">
        <f t="shared" si="105"/>
        <v>4.0651160000000006E-3</v>
      </c>
      <c r="BS73" s="60">
        <f t="shared" si="105"/>
        <v>4.0651160000000006E-3</v>
      </c>
      <c r="BT73" s="60">
        <f t="shared" si="105"/>
        <v>4.0651160000000006E-3</v>
      </c>
      <c r="BU73" s="60">
        <f t="shared" si="105"/>
        <v>4.0651160000000006E-3</v>
      </c>
      <c r="BV73" s="60">
        <f t="shared" si="105"/>
        <v>4.0651160000000006E-3</v>
      </c>
      <c r="BW73" s="60">
        <f t="shared" si="105"/>
        <v>4.0651160000000006E-3</v>
      </c>
      <c r="BX73" s="60">
        <f t="shared" si="105"/>
        <v>4.0651160000000006E-3</v>
      </c>
      <c r="BY73" s="60">
        <f t="shared" si="105"/>
        <v>4.0651160000000006E-3</v>
      </c>
      <c r="BZ73" s="49">
        <f t="shared" si="93"/>
        <v>8.1302319999999992E-8</v>
      </c>
      <c r="CA73" s="49">
        <f>IFERROR(s_RadSpec!$E$7*(CA7/$B73),".")</f>
        <v>2.0325579999999998E-8</v>
      </c>
      <c r="CB73" s="49">
        <f>IFERROR(s_RadSpec!$E$7*(CB7/$B73),".")</f>
        <v>2.0325579999999998E-8</v>
      </c>
      <c r="CC73" s="49">
        <f>IFERROR(s_RadSpec!$E$7*(CC7/$B73),".")</f>
        <v>2.0325579999999998E-8</v>
      </c>
      <c r="CD73" s="49">
        <f>IFERROR(s_RadSpec!$E$7*(CD7/$B73),".")</f>
        <v>2.0325579999999998E-8</v>
      </c>
      <c r="CE73" s="49">
        <f>IFERROR(s_RadSpec!$E$7*(CE7/$B73),".")</f>
        <v>2.0325579999999998E-8</v>
      </c>
      <c r="CF73" s="49">
        <f>IFERROR(s_RadSpec!$E$7*(CF7/$B73),".")</f>
        <v>2.0325579999999998E-8</v>
      </c>
      <c r="CG73" s="49">
        <f>IFERROR(s_RadSpec!$E$7*(CG7/$B73),".")</f>
        <v>2.0325579999999998E-8</v>
      </c>
      <c r="CH73" s="49">
        <f>IFERROR(s_RadSpec!$E$7*(CH7/$B73),".")</f>
        <v>2.0325579999999998E-8</v>
      </c>
      <c r="CI73" s="49">
        <f>IFERROR(s_RadSpec!$E$7*(CI7/$B73),".")</f>
        <v>2.0325579999999998E-8</v>
      </c>
      <c r="CJ73" s="49">
        <f>IFERROR(s_RadSpec!$E$7*(CJ7/$B73),".")</f>
        <v>2.0325579999999998E-8</v>
      </c>
      <c r="CK73" s="49">
        <f>IFERROR(s_RadSpec!$E$7*(CK7/$B73),".")</f>
        <v>2.0325579999999998E-8</v>
      </c>
      <c r="CL73" s="49">
        <f>IFERROR(s_RadSpec!$E$7*(CL7/$B73),".")</f>
        <v>2.0325579999999998E-8</v>
      </c>
      <c r="CM73" s="49">
        <f>IFERROR(s_RadSpec!$E$7*(CM7/$B73),".")</f>
        <v>2.0325579999999998E-8</v>
      </c>
      <c r="CN73" s="49">
        <f>IFERROR(s_RadSpec!$E$7*(CN7/$B73),".")</f>
        <v>2.0325579999999998E-8</v>
      </c>
      <c r="CO73" s="49">
        <f>IFERROR(s_RadSpec!$E$7*(CO7/$B73),".")</f>
        <v>2.0325579999999998E-8</v>
      </c>
      <c r="CP73" s="49">
        <f>IFERROR(s_RadSpec!$E$7*(CP7/$B73),".")</f>
        <v>2.0325579999999998E-8</v>
      </c>
      <c r="CQ73" s="49">
        <f>IFERROR(s_RadSpec!$E$7*(CQ7/$B73),".")</f>
        <v>2.0325579999999998E-8</v>
      </c>
      <c r="CR73" s="49">
        <f>IFERROR(s_RadSpec!$E$7*(CR7/$B73),".")</f>
        <v>2.0325579999999998E-8</v>
      </c>
      <c r="CS73" s="49">
        <f>IFERROR(s_RadSpec!$E$7*(CS7/$B73),".")</f>
        <v>2.0325579999999998E-8</v>
      </c>
      <c r="CT73" s="49">
        <f>IFERROR(s_RadSpec!$E$7*(CT7/$B73),".")</f>
        <v>2.0325579999999998E-8</v>
      </c>
      <c r="CU73" s="49">
        <f>IFERROR(s_RadSpec!$E$7*(CU7/$B73),".")</f>
        <v>2.0325579999999998E-8</v>
      </c>
      <c r="CV73" s="49">
        <f>IFERROR(s_RadSpec!$E$7*(CV7/$B73),".")</f>
        <v>2.0325579999999998E-8</v>
      </c>
      <c r="CW73" s="49">
        <f>IFERROR(s_RadSpec!$E$7*(CW7/$B73),".")</f>
        <v>2.0325579999999998E-8</v>
      </c>
      <c r="CX73" s="49">
        <f>IFERROR(s_RadSpec!$E$7*(CX7/$B73),".")</f>
        <v>2.0325579999999998E-8</v>
      </c>
    </row>
    <row r="74" spans="1:102" x14ac:dyDescent="0.25">
      <c r="A74" s="83" t="s">
        <v>1098</v>
      </c>
      <c r="B74" s="86">
        <v>1.9000000000000001E-8</v>
      </c>
      <c r="C74" s="60" t="str">
        <f t="shared" si="71"/>
        <v>.</v>
      </c>
      <c r="D74" s="60">
        <f t="shared" ref="D74:AA74" si="106">IFERROR(D12/$B60,0)</f>
        <v>0</v>
      </c>
      <c r="E74" s="60">
        <f t="shared" si="106"/>
        <v>0</v>
      </c>
      <c r="F74" s="60">
        <f t="shared" si="106"/>
        <v>0</v>
      </c>
      <c r="G74" s="60">
        <f t="shared" si="106"/>
        <v>0</v>
      </c>
      <c r="H74" s="60">
        <f t="shared" si="106"/>
        <v>0</v>
      </c>
      <c r="I74" s="60">
        <f t="shared" si="106"/>
        <v>0</v>
      </c>
      <c r="J74" s="60">
        <f t="shared" si="106"/>
        <v>0</v>
      </c>
      <c r="K74" s="60">
        <f t="shared" si="106"/>
        <v>0</v>
      </c>
      <c r="L74" s="60">
        <f t="shared" si="106"/>
        <v>0</v>
      </c>
      <c r="M74" s="60">
        <f t="shared" si="106"/>
        <v>0</v>
      </c>
      <c r="N74" s="60">
        <f t="shared" si="106"/>
        <v>0</v>
      </c>
      <c r="O74" s="60">
        <f t="shared" si="106"/>
        <v>0</v>
      </c>
      <c r="P74" s="60">
        <f t="shared" si="106"/>
        <v>0</v>
      </c>
      <c r="Q74" s="60">
        <f t="shared" si="106"/>
        <v>0</v>
      </c>
      <c r="R74" s="60">
        <f t="shared" si="106"/>
        <v>0</v>
      </c>
      <c r="S74" s="60">
        <f t="shared" si="106"/>
        <v>0</v>
      </c>
      <c r="T74" s="60">
        <f t="shared" si="106"/>
        <v>0</v>
      </c>
      <c r="U74" s="60">
        <f t="shared" si="106"/>
        <v>0</v>
      </c>
      <c r="V74" s="60">
        <f t="shared" si="106"/>
        <v>0</v>
      </c>
      <c r="W74" s="60">
        <f t="shared" si="106"/>
        <v>0</v>
      </c>
      <c r="X74" s="60">
        <f t="shared" si="106"/>
        <v>0</v>
      </c>
      <c r="Y74" s="60">
        <f t="shared" si="106"/>
        <v>0</v>
      </c>
      <c r="Z74" s="60">
        <f t="shared" si="106"/>
        <v>0</v>
      </c>
      <c r="AA74" s="60">
        <f t="shared" si="106"/>
        <v>0</v>
      </c>
      <c r="AB74" s="49">
        <f t="shared" si="12"/>
        <v>0</v>
      </c>
      <c r="AC74" s="49">
        <f>IFERROR(s_RadSpec!$E$12*($AZ$12/$B74),".")</f>
        <v>0</v>
      </c>
      <c r="AD74" s="49">
        <f>IFERROR(s_RadSpec!$E$12*($AZ$12/$B74),".")</f>
        <v>0</v>
      </c>
      <c r="AE74" s="49">
        <f>IFERROR(s_RadSpec!$E$12*($AZ$12/$B74),".")</f>
        <v>0</v>
      </c>
      <c r="AF74" s="49">
        <f>IFERROR(s_RadSpec!$E$12*($AZ$12/$B74),".")</f>
        <v>0</v>
      </c>
      <c r="AG74" s="49">
        <f>IFERROR(s_RadSpec!$E$12*($AZ$12/$B74),".")</f>
        <v>0</v>
      </c>
      <c r="AH74" s="49">
        <f>IFERROR(s_RadSpec!$E$12*($AZ$12/$B74),".")</f>
        <v>0</v>
      </c>
      <c r="AI74" s="49">
        <f>IFERROR(s_RadSpec!$E$12*($AZ$12/$B74),".")</f>
        <v>0</v>
      </c>
      <c r="AJ74" s="49">
        <f>IFERROR(s_RadSpec!$E$12*($AZ$12/$B74),".")</f>
        <v>0</v>
      </c>
      <c r="AK74" s="49">
        <f>IFERROR(s_RadSpec!$E$12*($AZ$12/$B74),".")</f>
        <v>0</v>
      </c>
      <c r="AL74" s="49">
        <f>IFERROR(s_RadSpec!$E$12*($AZ$12/$B74),".")</f>
        <v>0</v>
      </c>
      <c r="AM74" s="49">
        <f>IFERROR(s_RadSpec!$E$12*($AZ$12/$B74),".")</f>
        <v>0</v>
      </c>
      <c r="AN74" s="49">
        <f>IFERROR(s_RadSpec!$E$12*($AZ$12/$B74),".")</f>
        <v>0</v>
      </c>
      <c r="AO74" s="49">
        <f>IFERROR(s_RadSpec!$E$12*($AZ$12/$B74),".")</f>
        <v>0</v>
      </c>
      <c r="AP74" s="49">
        <f>IFERROR(s_RadSpec!$E$12*($AZ$12/$B74),".")</f>
        <v>0</v>
      </c>
      <c r="AQ74" s="49">
        <f>IFERROR(s_RadSpec!$E$12*($AZ$12/$B74),".")</f>
        <v>0</v>
      </c>
      <c r="AR74" s="49">
        <f>IFERROR(s_RadSpec!$E$12*($AZ$12/$B74),".")</f>
        <v>0</v>
      </c>
      <c r="AS74" s="49">
        <f>IFERROR(s_RadSpec!$E$12*($AZ$12/$B74),".")</f>
        <v>0</v>
      </c>
      <c r="AT74" s="49">
        <f>IFERROR(s_RadSpec!$E$12*($AZ$12/$B74),".")</f>
        <v>0</v>
      </c>
      <c r="AU74" s="49">
        <f>IFERROR(s_RadSpec!$E$12*($AZ$12/$B74),".")</f>
        <v>0</v>
      </c>
      <c r="AV74" s="49">
        <f>IFERROR(s_RadSpec!$E$12*($AZ$12/$B74),".")</f>
        <v>0</v>
      </c>
      <c r="AW74" s="49">
        <f>IFERROR(s_RadSpec!$E$12*($AZ$12/$B74),".")</f>
        <v>0</v>
      </c>
      <c r="AX74" s="49">
        <f>IFERROR(s_RadSpec!$E$12*($AZ$12/$B74),".")</f>
        <v>0</v>
      </c>
      <c r="AY74" s="49">
        <f>IFERROR(s_RadSpec!$E$12*($AZ$12/$B74),".")</f>
        <v>0</v>
      </c>
      <c r="AZ74" s="49">
        <f>IFERROR(s_RadSpec!$E$12*($AZ$12/$B74),".")</f>
        <v>0</v>
      </c>
      <c r="BA74" s="60" t="str">
        <f t="shared" si="73"/>
        <v>.</v>
      </c>
      <c r="BB74" s="60">
        <f t="shared" ref="BB74:BY74" si="107">IFERROR($B74/BB12,0)</f>
        <v>0</v>
      </c>
      <c r="BC74" s="60">
        <f t="shared" si="107"/>
        <v>0</v>
      </c>
      <c r="BD74" s="60">
        <f t="shared" si="107"/>
        <v>0</v>
      </c>
      <c r="BE74" s="60">
        <f t="shared" si="107"/>
        <v>0</v>
      </c>
      <c r="BF74" s="60">
        <f t="shared" si="107"/>
        <v>0</v>
      </c>
      <c r="BG74" s="60">
        <f t="shared" si="107"/>
        <v>0</v>
      </c>
      <c r="BH74" s="60">
        <f t="shared" si="107"/>
        <v>0</v>
      </c>
      <c r="BI74" s="60">
        <f t="shared" si="107"/>
        <v>0</v>
      </c>
      <c r="BJ74" s="60">
        <f t="shared" si="107"/>
        <v>0</v>
      </c>
      <c r="BK74" s="60">
        <f t="shared" si="107"/>
        <v>0</v>
      </c>
      <c r="BL74" s="60">
        <f t="shared" si="107"/>
        <v>0</v>
      </c>
      <c r="BM74" s="60">
        <f t="shared" si="107"/>
        <v>0</v>
      </c>
      <c r="BN74" s="60">
        <f t="shared" si="107"/>
        <v>0</v>
      </c>
      <c r="BO74" s="60">
        <f t="shared" si="107"/>
        <v>0</v>
      </c>
      <c r="BP74" s="60">
        <f t="shared" si="107"/>
        <v>0</v>
      </c>
      <c r="BQ74" s="60">
        <f t="shared" si="107"/>
        <v>0</v>
      </c>
      <c r="BR74" s="60">
        <f t="shared" si="107"/>
        <v>0</v>
      </c>
      <c r="BS74" s="60">
        <f t="shared" si="107"/>
        <v>0</v>
      </c>
      <c r="BT74" s="60">
        <f t="shared" si="107"/>
        <v>0</v>
      </c>
      <c r="BU74" s="60">
        <f t="shared" si="107"/>
        <v>0</v>
      </c>
      <c r="BV74" s="60">
        <f t="shared" si="107"/>
        <v>0</v>
      </c>
      <c r="BW74" s="60">
        <f t="shared" si="107"/>
        <v>0</v>
      </c>
      <c r="BX74" s="60">
        <f t="shared" si="107"/>
        <v>0</v>
      </c>
      <c r="BY74" s="60">
        <f t="shared" si="107"/>
        <v>0</v>
      </c>
      <c r="BZ74" s="49">
        <f t="shared" si="93"/>
        <v>0</v>
      </c>
      <c r="CA74" s="49">
        <f>IFERROR(s_RadSpec!$E$12*(CA12/$B74),".")</f>
        <v>0</v>
      </c>
      <c r="CB74" s="49">
        <f>IFERROR(s_RadSpec!$E$12*(CB12/$B74),".")</f>
        <v>0</v>
      </c>
      <c r="CC74" s="49">
        <f>IFERROR(s_RadSpec!$E$12*(CC12/$B74),".")</f>
        <v>0</v>
      </c>
      <c r="CD74" s="49">
        <f>IFERROR(s_RadSpec!$E$12*(CD12/$B74),".")</f>
        <v>0</v>
      </c>
      <c r="CE74" s="49">
        <f>IFERROR(s_RadSpec!$E$12*(CE12/$B74),".")</f>
        <v>0</v>
      </c>
      <c r="CF74" s="49">
        <f>IFERROR(s_RadSpec!$E$12*(CF12/$B74),".")</f>
        <v>0</v>
      </c>
      <c r="CG74" s="49">
        <f>IFERROR(s_RadSpec!$E$12*(CG12/$B74),".")</f>
        <v>0</v>
      </c>
      <c r="CH74" s="49">
        <f>IFERROR(s_RadSpec!$E$12*(CH12/$B74),".")</f>
        <v>0</v>
      </c>
      <c r="CI74" s="49">
        <f>IFERROR(s_RadSpec!$E$12*(CI12/$B74),".")</f>
        <v>0</v>
      </c>
      <c r="CJ74" s="49">
        <f>IFERROR(s_RadSpec!$E$12*(CJ12/$B74),".")</f>
        <v>0</v>
      </c>
      <c r="CK74" s="49">
        <f>IFERROR(s_RadSpec!$E$12*(CK12/$B74),".")</f>
        <v>0</v>
      </c>
      <c r="CL74" s="49">
        <f>IFERROR(s_RadSpec!$E$12*(CL12/$B74),".")</f>
        <v>0</v>
      </c>
      <c r="CM74" s="49">
        <f>IFERROR(s_RadSpec!$E$12*(CM12/$B74),".")</f>
        <v>0</v>
      </c>
      <c r="CN74" s="49">
        <f>IFERROR(s_RadSpec!$E$12*(CN12/$B74),".")</f>
        <v>0</v>
      </c>
      <c r="CO74" s="49">
        <f>IFERROR(s_RadSpec!$E$12*(CO12/$B74),".")</f>
        <v>0</v>
      </c>
      <c r="CP74" s="49">
        <f>IFERROR(s_RadSpec!$E$12*(CP12/$B74),".")</f>
        <v>0</v>
      </c>
      <c r="CQ74" s="49">
        <f>IFERROR(s_RadSpec!$E$12*(CQ12/$B74),".")</f>
        <v>0</v>
      </c>
      <c r="CR74" s="49">
        <f>IFERROR(s_RadSpec!$E$12*(CR12/$B74),".")</f>
        <v>0</v>
      </c>
      <c r="CS74" s="49">
        <f>IFERROR(s_RadSpec!$E$12*(CS12/$B74),".")</f>
        <v>0</v>
      </c>
      <c r="CT74" s="49">
        <f>IFERROR(s_RadSpec!$E$12*(CT12/$B74),".")</f>
        <v>0</v>
      </c>
      <c r="CU74" s="49">
        <f>IFERROR(s_RadSpec!$E$12*(CU12/$B74),".")</f>
        <v>0</v>
      </c>
      <c r="CV74" s="49">
        <f>IFERROR(s_RadSpec!$E$12*(CV12/$B74),".")</f>
        <v>0</v>
      </c>
      <c r="CW74" s="49">
        <f>IFERROR(s_RadSpec!$E$12*(CW12/$B74),".")</f>
        <v>0</v>
      </c>
      <c r="CX74" s="49">
        <f>IFERROR(s_RadSpec!$E$12*(CX12/$B74),".")</f>
        <v>0</v>
      </c>
    </row>
    <row r="75" spans="1:102" x14ac:dyDescent="0.25">
      <c r="A75" s="83" t="s">
        <v>1099</v>
      </c>
      <c r="B75" s="42">
        <v>1</v>
      </c>
      <c r="C75" s="60">
        <f t="shared" si="71"/>
        <v>2.156326452756538</v>
      </c>
      <c r="D75" s="60">
        <f t="shared" ref="D75:AA75" si="108">IFERROR(D18/$B61,0)</f>
        <v>11.779523483525496</v>
      </c>
      <c r="E75" s="60">
        <f t="shared" si="108"/>
        <v>7.721505824129153</v>
      </c>
      <c r="F75" s="60">
        <f t="shared" si="108"/>
        <v>8.3616306592901211</v>
      </c>
      <c r="G75" s="60">
        <f t="shared" si="108"/>
        <v>11.779523483525496</v>
      </c>
      <c r="H75" s="60">
        <f t="shared" si="108"/>
        <v>11.779523483525496</v>
      </c>
      <c r="I75" s="60">
        <f t="shared" si="108"/>
        <v>7.721505824129153</v>
      </c>
      <c r="J75" s="60">
        <f t="shared" si="108"/>
        <v>8.3616306592901211</v>
      </c>
      <c r="K75" s="60">
        <f t="shared" si="108"/>
        <v>11.779523483525496</v>
      </c>
      <c r="L75" s="60">
        <f t="shared" si="108"/>
        <v>11.745230838740852</v>
      </c>
      <c r="M75" s="60">
        <f t="shared" si="108"/>
        <v>11.779523483525496</v>
      </c>
      <c r="N75" s="60">
        <f t="shared" si="108"/>
        <v>7.721505824129153</v>
      </c>
      <c r="O75" s="60">
        <f t="shared" si="108"/>
        <v>11.719642100530089</v>
      </c>
      <c r="P75" s="60">
        <f t="shared" si="108"/>
        <v>11.779523483525496</v>
      </c>
      <c r="Q75" s="60">
        <f t="shared" si="108"/>
        <v>11.779523483525496</v>
      </c>
      <c r="R75" s="60">
        <f t="shared" si="108"/>
        <v>11.779523483525496</v>
      </c>
      <c r="S75" s="60">
        <f t="shared" si="108"/>
        <v>11.779523483525496</v>
      </c>
      <c r="T75" s="60">
        <f t="shared" si="108"/>
        <v>11.719642100530089</v>
      </c>
      <c r="U75" s="60">
        <f t="shared" si="108"/>
        <v>9.9616957854505745</v>
      </c>
      <c r="V75" s="60">
        <f t="shared" si="108"/>
        <v>11.779523483525496</v>
      </c>
      <c r="W75" s="60">
        <f t="shared" si="108"/>
        <v>11.719642100530089</v>
      </c>
      <c r="X75" s="60">
        <f t="shared" si="108"/>
        <v>11.779523483525496</v>
      </c>
      <c r="Y75" s="60">
        <f t="shared" si="108"/>
        <v>11.779523483525496</v>
      </c>
      <c r="Z75" s="60">
        <f t="shared" si="108"/>
        <v>6.0897913858226156</v>
      </c>
      <c r="AA75" s="60">
        <f t="shared" si="108"/>
        <v>11.745230838740852</v>
      </c>
      <c r="AB75" s="49">
        <f t="shared" si="12"/>
        <v>1.7028188099999999E-6</v>
      </c>
      <c r="AC75" s="49">
        <f>IFERROR(s_RadSpec!$E$18*($AZ$18/$B75),".")</f>
        <v>4.2570470249999997E-7</v>
      </c>
      <c r="AD75" s="49">
        <f>IFERROR(s_RadSpec!$E$18*($AZ$18/$B75),".")</f>
        <v>4.2570470249999997E-7</v>
      </c>
      <c r="AE75" s="49">
        <f>IFERROR(s_RadSpec!$E$18*($AZ$18/$B75),".")</f>
        <v>4.2570470249999997E-7</v>
      </c>
      <c r="AF75" s="49">
        <f>IFERROR(s_RadSpec!$E$18*($AZ$18/$B75),".")</f>
        <v>4.2570470249999997E-7</v>
      </c>
      <c r="AG75" s="49">
        <f>IFERROR(s_RadSpec!$E$18*($AZ$18/$B75),".")</f>
        <v>4.2570470249999997E-7</v>
      </c>
      <c r="AH75" s="49">
        <f>IFERROR(s_RadSpec!$E$18*($AZ$18/$B75),".")</f>
        <v>4.2570470249999997E-7</v>
      </c>
      <c r="AI75" s="49">
        <f>IFERROR(s_RadSpec!$E$18*($AZ$18/$B75),".")</f>
        <v>4.2570470249999997E-7</v>
      </c>
      <c r="AJ75" s="49">
        <f>IFERROR(s_RadSpec!$E$18*($AZ$18/$B75),".")</f>
        <v>4.2570470249999997E-7</v>
      </c>
      <c r="AK75" s="49">
        <f>IFERROR(s_RadSpec!$E$18*($AZ$18/$B75),".")</f>
        <v>4.2570470249999997E-7</v>
      </c>
      <c r="AL75" s="49">
        <f>IFERROR(s_RadSpec!$E$18*($AZ$18/$B75),".")</f>
        <v>4.2570470249999997E-7</v>
      </c>
      <c r="AM75" s="49">
        <f>IFERROR(s_RadSpec!$E$18*($AZ$18/$B75),".")</f>
        <v>4.2570470249999997E-7</v>
      </c>
      <c r="AN75" s="49">
        <f>IFERROR(s_RadSpec!$E$18*($AZ$18/$B75),".")</f>
        <v>4.2570470249999997E-7</v>
      </c>
      <c r="AO75" s="49">
        <f>IFERROR(s_RadSpec!$E$18*($AZ$18/$B75),".")</f>
        <v>4.2570470249999997E-7</v>
      </c>
      <c r="AP75" s="49">
        <f>IFERROR(s_RadSpec!$E$18*($AZ$18/$B75),".")</f>
        <v>4.2570470249999997E-7</v>
      </c>
      <c r="AQ75" s="49">
        <f>IFERROR(s_RadSpec!$E$18*($AZ$18/$B75),".")</f>
        <v>4.2570470249999997E-7</v>
      </c>
      <c r="AR75" s="49">
        <f>IFERROR(s_RadSpec!$E$18*($AZ$18/$B75),".")</f>
        <v>4.2570470249999997E-7</v>
      </c>
      <c r="AS75" s="49">
        <f>IFERROR(s_RadSpec!$E$18*($AZ$18/$B75),".")</f>
        <v>4.2570470249999997E-7</v>
      </c>
      <c r="AT75" s="49">
        <f>IFERROR(s_RadSpec!$E$18*($AZ$18/$B75),".")</f>
        <v>4.2570470249999997E-7</v>
      </c>
      <c r="AU75" s="49">
        <f>IFERROR(s_RadSpec!$E$18*($AZ$18/$B75),".")</f>
        <v>4.2570470249999997E-7</v>
      </c>
      <c r="AV75" s="49">
        <f>IFERROR(s_RadSpec!$E$18*($AZ$18/$B75),".")</f>
        <v>4.2570470249999997E-7</v>
      </c>
      <c r="AW75" s="49">
        <f>IFERROR(s_RadSpec!$E$18*($AZ$18/$B75),".")</f>
        <v>4.2570470249999997E-7</v>
      </c>
      <c r="AX75" s="49">
        <f>IFERROR(s_RadSpec!$E$18*($AZ$18/$B75),".")</f>
        <v>4.2570470249999997E-7</v>
      </c>
      <c r="AY75" s="49">
        <f>IFERROR(s_RadSpec!$E$18*($AZ$18/$B75),".")</f>
        <v>4.2570470249999997E-7</v>
      </c>
      <c r="AZ75" s="49">
        <f>IFERROR(s_RadSpec!$E$18*($AZ$18/$B75),".")</f>
        <v>4.2570470249999997E-7</v>
      </c>
      <c r="BA75" s="60">
        <f t="shared" si="73"/>
        <v>2.6783764189340628E-2</v>
      </c>
      <c r="BB75" s="60">
        <f t="shared" ref="BB75:BY75" si="109">IFERROR($B75/BB18,0)</f>
        <v>8.4893077500000011E-2</v>
      </c>
      <c r="BC75" s="60">
        <f t="shared" si="109"/>
        <v>0.1295084175</v>
      </c>
      <c r="BD75" s="60">
        <f t="shared" si="109"/>
        <v>0.11959389749999998</v>
      </c>
      <c r="BE75" s="60">
        <f t="shared" si="109"/>
        <v>8.4893077500000011E-2</v>
      </c>
      <c r="BF75" s="60">
        <f t="shared" si="109"/>
        <v>8.4893077500000011E-2</v>
      </c>
      <c r="BG75" s="60">
        <f t="shared" si="109"/>
        <v>0.1295084175</v>
      </c>
      <c r="BH75" s="60">
        <f t="shared" si="109"/>
        <v>0.11959389749999998</v>
      </c>
      <c r="BI75" s="60">
        <f t="shared" si="109"/>
        <v>8.4893077500000011E-2</v>
      </c>
      <c r="BJ75" s="60">
        <f t="shared" si="109"/>
        <v>8.5140940499999998E-2</v>
      </c>
      <c r="BK75" s="60">
        <f t="shared" si="109"/>
        <v>8.4893077500000011E-2</v>
      </c>
      <c r="BL75" s="60">
        <f t="shared" si="109"/>
        <v>0.1295084175</v>
      </c>
      <c r="BM75" s="60">
        <f t="shared" si="109"/>
        <v>8.5326837749999995E-2</v>
      </c>
      <c r="BN75" s="60">
        <f t="shared" si="109"/>
        <v>8.4893077500000011E-2</v>
      </c>
      <c r="BO75" s="60">
        <f t="shared" si="109"/>
        <v>8.4893077500000011E-2</v>
      </c>
      <c r="BP75" s="60">
        <f t="shared" si="109"/>
        <v>8.4893077500000011E-2</v>
      </c>
      <c r="BQ75" s="60">
        <f t="shared" si="109"/>
        <v>8.4893077500000011E-2</v>
      </c>
      <c r="BR75" s="60">
        <f t="shared" si="109"/>
        <v>8.5326837749999995E-2</v>
      </c>
      <c r="BS75" s="60">
        <f t="shared" si="109"/>
        <v>0.10038451500000001</v>
      </c>
      <c r="BT75" s="60">
        <f t="shared" si="109"/>
        <v>8.4893077500000011E-2</v>
      </c>
      <c r="BU75" s="60">
        <f t="shared" si="109"/>
        <v>8.5326837749999995E-2</v>
      </c>
      <c r="BV75" s="60">
        <f t="shared" si="109"/>
        <v>8.4893077500000011E-2</v>
      </c>
      <c r="BW75" s="60">
        <f t="shared" si="109"/>
        <v>8.4893077500000011E-2</v>
      </c>
      <c r="BX75" s="60">
        <f t="shared" si="109"/>
        <v>0.16420923749999999</v>
      </c>
      <c r="BY75" s="60">
        <f t="shared" si="109"/>
        <v>8.5140940499999998E-2</v>
      </c>
      <c r="BZ75" s="49">
        <f t="shared" si="93"/>
        <v>2.3187583650000002E-6</v>
      </c>
      <c r="CA75" s="49">
        <f>IFERROR(s_RadSpec!$E$18*(CA18/$B75),".")</f>
        <v>4.2446538750000009E-7</v>
      </c>
      <c r="CB75" s="49">
        <f>IFERROR(s_RadSpec!$E$18*(CB18/$B75),".")</f>
        <v>6.4754208749999999E-7</v>
      </c>
      <c r="CC75" s="49">
        <f>IFERROR(s_RadSpec!$E$18*(CC18/$B75),".")</f>
        <v>5.9796948749999994E-7</v>
      </c>
      <c r="CD75" s="49">
        <f>IFERROR(s_RadSpec!$E$18*(CD18/$B75),".")</f>
        <v>4.2446538750000009E-7</v>
      </c>
      <c r="CE75" s="49">
        <f>IFERROR(s_RadSpec!$E$18*(CE18/$B75),".")</f>
        <v>4.2446538750000009E-7</v>
      </c>
      <c r="CF75" s="49">
        <f>IFERROR(s_RadSpec!$E$18*(CF18/$B75),".")</f>
        <v>6.4754208749999999E-7</v>
      </c>
      <c r="CG75" s="49">
        <f>IFERROR(s_RadSpec!$E$18*(CG18/$B75),".")</f>
        <v>5.9796948749999994E-7</v>
      </c>
      <c r="CH75" s="49">
        <f>IFERROR(s_RadSpec!$E$18*(CH18/$B75),".")</f>
        <v>4.2446538750000009E-7</v>
      </c>
      <c r="CI75" s="49">
        <f>IFERROR(s_RadSpec!$E$18*(CI18/$B75),".")</f>
        <v>4.2570470249999997E-7</v>
      </c>
      <c r="CJ75" s="49">
        <f>IFERROR(s_RadSpec!$E$18*(CJ18/$B75),".")</f>
        <v>4.2446538750000009E-7</v>
      </c>
      <c r="CK75" s="49">
        <f>IFERROR(s_RadSpec!$E$18*(CK18/$B75),".")</f>
        <v>6.4754208749999999E-7</v>
      </c>
      <c r="CL75" s="49">
        <f>IFERROR(s_RadSpec!$E$18*(CL18/$B75),".")</f>
        <v>4.2663418874999998E-7</v>
      </c>
      <c r="CM75" s="49">
        <f>IFERROR(s_RadSpec!$E$18*(CM18/$B75),".")</f>
        <v>4.2446538750000009E-7</v>
      </c>
      <c r="CN75" s="49">
        <f>IFERROR(s_RadSpec!$E$18*(CN18/$B75),".")</f>
        <v>4.2446538750000009E-7</v>
      </c>
      <c r="CO75" s="49">
        <f>IFERROR(s_RadSpec!$E$18*(CO18/$B75),".")</f>
        <v>4.2446538750000009E-7</v>
      </c>
      <c r="CP75" s="49">
        <f>IFERROR(s_RadSpec!$E$18*(CP18/$B75),".")</f>
        <v>4.2446538750000009E-7</v>
      </c>
      <c r="CQ75" s="49">
        <f>IFERROR(s_RadSpec!$E$18*(CQ18/$B75),".")</f>
        <v>4.2663418874999998E-7</v>
      </c>
      <c r="CR75" s="49">
        <f>IFERROR(s_RadSpec!$E$18*(CR18/$B75),".")</f>
        <v>5.0192257499999995E-7</v>
      </c>
      <c r="CS75" s="49">
        <f>IFERROR(s_RadSpec!$E$18*(CS18/$B75),".")</f>
        <v>4.2446538750000009E-7</v>
      </c>
      <c r="CT75" s="49">
        <f>IFERROR(s_RadSpec!$E$18*(CT18/$B75),".")</f>
        <v>4.2663418874999998E-7</v>
      </c>
      <c r="CU75" s="49">
        <f>IFERROR(s_RadSpec!$E$18*(CU18/$B75),".")</f>
        <v>4.2446538750000009E-7</v>
      </c>
      <c r="CV75" s="49">
        <f>IFERROR(s_RadSpec!$E$18*(CV18/$B75),".")</f>
        <v>4.2446538750000009E-7</v>
      </c>
      <c r="CW75" s="49">
        <f>IFERROR(s_RadSpec!$E$18*(CW18/$B75),".")</f>
        <v>8.2104618750000005E-7</v>
      </c>
      <c r="CX75" s="49">
        <f>IFERROR(s_RadSpec!$E$18*(CX18/$B75),".")</f>
        <v>4.2570470249999997E-7</v>
      </c>
    </row>
    <row r="76" spans="1:102" x14ac:dyDescent="0.25">
      <c r="A76" s="83" t="s">
        <v>1100</v>
      </c>
      <c r="B76" s="42">
        <v>1.339E-6</v>
      </c>
      <c r="C76" s="60" t="str">
        <f t="shared" si="71"/>
        <v>.</v>
      </c>
      <c r="D76" s="60">
        <f t="shared" ref="D76:AA76" si="110">IFERROR(D27/$B62,0)</f>
        <v>0</v>
      </c>
      <c r="E76" s="60">
        <f t="shared" si="110"/>
        <v>0</v>
      </c>
      <c r="F76" s="60">
        <f t="shared" si="110"/>
        <v>0</v>
      </c>
      <c r="G76" s="60">
        <f t="shared" si="110"/>
        <v>0</v>
      </c>
      <c r="H76" s="60">
        <f t="shared" si="110"/>
        <v>0</v>
      </c>
      <c r="I76" s="60">
        <f t="shared" si="110"/>
        <v>0</v>
      </c>
      <c r="J76" s="60">
        <f t="shared" si="110"/>
        <v>0</v>
      </c>
      <c r="K76" s="60">
        <f t="shared" si="110"/>
        <v>0</v>
      </c>
      <c r="L76" s="60">
        <f t="shared" si="110"/>
        <v>0</v>
      </c>
      <c r="M76" s="60">
        <f t="shared" si="110"/>
        <v>0</v>
      </c>
      <c r="N76" s="60">
        <f t="shared" si="110"/>
        <v>0</v>
      </c>
      <c r="O76" s="60">
        <f t="shared" si="110"/>
        <v>0</v>
      </c>
      <c r="P76" s="60">
        <f t="shared" si="110"/>
        <v>0</v>
      </c>
      <c r="Q76" s="60">
        <f t="shared" si="110"/>
        <v>0</v>
      </c>
      <c r="R76" s="60">
        <f t="shared" si="110"/>
        <v>0</v>
      </c>
      <c r="S76" s="60">
        <f t="shared" si="110"/>
        <v>0</v>
      </c>
      <c r="T76" s="60">
        <f t="shared" si="110"/>
        <v>0</v>
      </c>
      <c r="U76" s="60">
        <f t="shared" si="110"/>
        <v>0</v>
      </c>
      <c r="V76" s="60">
        <f t="shared" si="110"/>
        <v>0</v>
      </c>
      <c r="W76" s="60">
        <f t="shared" si="110"/>
        <v>0</v>
      </c>
      <c r="X76" s="60">
        <f t="shared" si="110"/>
        <v>0</v>
      </c>
      <c r="Y76" s="60">
        <f t="shared" si="110"/>
        <v>0</v>
      </c>
      <c r="Z76" s="60">
        <f t="shared" si="110"/>
        <v>0</v>
      </c>
      <c r="AA76" s="60">
        <f t="shared" si="110"/>
        <v>0</v>
      </c>
      <c r="AB76" s="49">
        <f t="shared" si="12"/>
        <v>0</v>
      </c>
      <c r="AC76" s="49">
        <f>IFERROR(s_RadSpec!$E$27*($AZ$27/$B76),".")</f>
        <v>0</v>
      </c>
      <c r="AD76" s="49">
        <f>IFERROR(s_RadSpec!$E$27*($AZ$27/$B76),".")</f>
        <v>0</v>
      </c>
      <c r="AE76" s="49">
        <f>IFERROR(s_RadSpec!$E$27*($AZ$27/$B76),".")</f>
        <v>0</v>
      </c>
      <c r="AF76" s="49">
        <f>IFERROR(s_RadSpec!$E$27*($AZ$27/$B76),".")</f>
        <v>0</v>
      </c>
      <c r="AG76" s="49">
        <f>IFERROR(s_RadSpec!$E$27*($AZ$27/$B76),".")</f>
        <v>0</v>
      </c>
      <c r="AH76" s="49">
        <f>IFERROR(s_RadSpec!$E$27*($AZ$27/$B76),".")</f>
        <v>0</v>
      </c>
      <c r="AI76" s="49">
        <f>IFERROR(s_RadSpec!$E$27*($AZ$27/$B76),".")</f>
        <v>0</v>
      </c>
      <c r="AJ76" s="49">
        <f>IFERROR(s_RadSpec!$E$27*($AZ$27/$B76),".")</f>
        <v>0</v>
      </c>
      <c r="AK76" s="49">
        <f>IFERROR(s_RadSpec!$E$27*($AZ$27/$B76),".")</f>
        <v>0</v>
      </c>
      <c r="AL76" s="49">
        <f>IFERROR(s_RadSpec!$E$27*($AZ$27/$B76),".")</f>
        <v>0</v>
      </c>
      <c r="AM76" s="49">
        <f>IFERROR(s_RadSpec!$E$27*($AZ$27/$B76),".")</f>
        <v>0</v>
      </c>
      <c r="AN76" s="49">
        <f>IFERROR(s_RadSpec!$E$27*($AZ$27/$B76),".")</f>
        <v>0</v>
      </c>
      <c r="AO76" s="49">
        <f>IFERROR(s_RadSpec!$E$27*($AZ$27/$B76),".")</f>
        <v>0</v>
      </c>
      <c r="AP76" s="49">
        <f>IFERROR(s_RadSpec!$E$27*($AZ$27/$B76),".")</f>
        <v>0</v>
      </c>
      <c r="AQ76" s="49">
        <f>IFERROR(s_RadSpec!$E$27*($AZ$27/$B76),".")</f>
        <v>0</v>
      </c>
      <c r="AR76" s="49">
        <f>IFERROR(s_RadSpec!$E$27*($AZ$27/$B76),".")</f>
        <v>0</v>
      </c>
      <c r="AS76" s="49">
        <f>IFERROR(s_RadSpec!$E$27*($AZ$27/$B76),".")</f>
        <v>0</v>
      </c>
      <c r="AT76" s="49">
        <f>IFERROR(s_RadSpec!$E$27*($AZ$27/$B76),".")</f>
        <v>0</v>
      </c>
      <c r="AU76" s="49">
        <f>IFERROR(s_RadSpec!$E$27*($AZ$27/$B76),".")</f>
        <v>0</v>
      </c>
      <c r="AV76" s="49">
        <f>IFERROR(s_RadSpec!$E$27*($AZ$27/$B76),".")</f>
        <v>0</v>
      </c>
      <c r="AW76" s="49">
        <f>IFERROR(s_RadSpec!$E$27*($AZ$27/$B76),".")</f>
        <v>0</v>
      </c>
      <c r="AX76" s="49">
        <f>IFERROR(s_RadSpec!$E$27*($AZ$27/$B76),".")</f>
        <v>0</v>
      </c>
      <c r="AY76" s="49">
        <f>IFERROR(s_RadSpec!$E$27*($AZ$27/$B76),".")</f>
        <v>0</v>
      </c>
      <c r="AZ76" s="49">
        <f>IFERROR(s_RadSpec!$E$27*($AZ$27/$B76),".")</f>
        <v>0</v>
      </c>
      <c r="BA76" s="60" t="str">
        <f t="shared" si="73"/>
        <v>.</v>
      </c>
      <c r="BB76" s="60">
        <f t="shared" ref="BB76:BY76" si="111">IFERROR($B76/BB27,0)</f>
        <v>0</v>
      </c>
      <c r="BC76" s="60">
        <f t="shared" si="111"/>
        <v>0</v>
      </c>
      <c r="BD76" s="60">
        <f t="shared" si="111"/>
        <v>0</v>
      </c>
      <c r="BE76" s="60">
        <f t="shared" si="111"/>
        <v>0</v>
      </c>
      <c r="BF76" s="60">
        <f t="shared" si="111"/>
        <v>0</v>
      </c>
      <c r="BG76" s="60">
        <f t="shared" si="111"/>
        <v>0</v>
      </c>
      <c r="BH76" s="60">
        <f t="shared" si="111"/>
        <v>0</v>
      </c>
      <c r="BI76" s="60">
        <f t="shared" si="111"/>
        <v>0</v>
      </c>
      <c r="BJ76" s="60">
        <f t="shared" si="111"/>
        <v>0</v>
      </c>
      <c r="BK76" s="60">
        <f t="shared" si="111"/>
        <v>0</v>
      </c>
      <c r="BL76" s="60">
        <f t="shared" si="111"/>
        <v>0</v>
      </c>
      <c r="BM76" s="60">
        <f t="shared" si="111"/>
        <v>0</v>
      </c>
      <c r="BN76" s="60">
        <f t="shared" si="111"/>
        <v>0</v>
      </c>
      <c r="BO76" s="60">
        <f t="shared" si="111"/>
        <v>0</v>
      </c>
      <c r="BP76" s="60">
        <f t="shared" si="111"/>
        <v>0</v>
      </c>
      <c r="BQ76" s="60">
        <f t="shared" si="111"/>
        <v>0</v>
      </c>
      <c r="BR76" s="60">
        <f t="shared" si="111"/>
        <v>0</v>
      </c>
      <c r="BS76" s="60">
        <f t="shared" si="111"/>
        <v>0</v>
      </c>
      <c r="BT76" s="60">
        <f t="shared" si="111"/>
        <v>0</v>
      </c>
      <c r="BU76" s="60">
        <f t="shared" si="111"/>
        <v>0</v>
      </c>
      <c r="BV76" s="60">
        <f t="shared" si="111"/>
        <v>0</v>
      </c>
      <c r="BW76" s="60">
        <f t="shared" si="111"/>
        <v>0</v>
      </c>
      <c r="BX76" s="60">
        <f t="shared" si="111"/>
        <v>0</v>
      </c>
      <c r="BY76" s="60">
        <f t="shared" si="111"/>
        <v>0</v>
      </c>
      <c r="BZ76" s="49">
        <f t="shared" si="93"/>
        <v>0</v>
      </c>
      <c r="CA76" s="49">
        <f>IFERROR(s_RadSpec!$E$27*(CA27/$B76),".")</f>
        <v>0</v>
      </c>
      <c r="CB76" s="49">
        <f>IFERROR(s_RadSpec!$E$27*(CB27/$B76),".")</f>
        <v>0</v>
      </c>
      <c r="CC76" s="49">
        <f>IFERROR(s_RadSpec!$E$27*(CC27/$B76),".")</f>
        <v>0</v>
      </c>
      <c r="CD76" s="49">
        <f>IFERROR(s_RadSpec!$E$27*(CD27/$B76),".")</f>
        <v>0</v>
      </c>
      <c r="CE76" s="49">
        <f>IFERROR(s_RadSpec!$E$27*(CE27/$B76),".")</f>
        <v>0</v>
      </c>
      <c r="CF76" s="49">
        <f>IFERROR(s_RadSpec!$E$27*(CF27/$B76),".")</f>
        <v>0</v>
      </c>
      <c r="CG76" s="49">
        <f>IFERROR(s_RadSpec!$E$27*(CG27/$B76),".")</f>
        <v>0</v>
      </c>
      <c r="CH76" s="49">
        <f>IFERROR(s_RadSpec!$E$27*(CH27/$B76),".")</f>
        <v>0</v>
      </c>
      <c r="CI76" s="49">
        <f>IFERROR(s_RadSpec!$E$27*(CI27/$B76),".")</f>
        <v>0</v>
      </c>
      <c r="CJ76" s="49">
        <f>IFERROR(s_RadSpec!$E$27*(CJ27/$B76),".")</f>
        <v>0</v>
      </c>
      <c r="CK76" s="49">
        <f>IFERROR(s_RadSpec!$E$27*(CK27/$B76),".")</f>
        <v>0</v>
      </c>
      <c r="CL76" s="49">
        <f>IFERROR(s_RadSpec!$E$27*(CL27/$B76),".")</f>
        <v>0</v>
      </c>
      <c r="CM76" s="49">
        <f>IFERROR(s_RadSpec!$E$27*(CM27/$B76),".")</f>
        <v>0</v>
      </c>
      <c r="CN76" s="49">
        <f>IFERROR(s_RadSpec!$E$27*(CN27/$B76),".")</f>
        <v>0</v>
      </c>
      <c r="CO76" s="49">
        <f>IFERROR(s_RadSpec!$E$27*(CO27/$B76),".")</f>
        <v>0</v>
      </c>
      <c r="CP76" s="49">
        <f>IFERROR(s_RadSpec!$E$27*(CP27/$B76),".")</f>
        <v>0</v>
      </c>
      <c r="CQ76" s="49">
        <f>IFERROR(s_RadSpec!$E$27*(CQ27/$B76),".")</f>
        <v>0</v>
      </c>
      <c r="CR76" s="49">
        <f>IFERROR(s_RadSpec!$E$27*(CR27/$B76),".")</f>
        <v>0</v>
      </c>
      <c r="CS76" s="49">
        <f>IFERROR(s_RadSpec!$E$27*(CS27/$B76),".")</f>
        <v>0</v>
      </c>
      <c r="CT76" s="49">
        <f>IFERROR(s_RadSpec!$E$27*(CT27/$B76),".")</f>
        <v>0</v>
      </c>
      <c r="CU76" s="49">
        <f>IFERROR(s_RadSpec!$E$27*(CU27/$B76),".")</f>
        <v>0</v>
      </c>
      <c r="CV76" s="49">
        <f>IFERROR(s_RadSpec!$E$27*(CV27/$B76),".")</f>
        <v>0</v>
      </c>
      <c r="CW76" s="49">
        <f>IFERROR(s_RadSpec!$E$27*(CW27/$B76),".")</f>
        <v>0</v>
      </c>
      <c r="CX76" s="49">
        <f>IFERROR(s_RadSpec!$E$27*(CX27/$B76),".")</f>
        <v>0</v>
      </c>
    </row>
  </sheetData>
  <sheetProtection algorithmName="SHA-512" hashValue="q2C/ucAghsxNCHNuOlVn6KG8KG2hvYr+tcFl7sUkfSbQVuW78OCB65AiAxSxzMXuMM2uxyOrmaurgshnPQrPQg==" saltValue="FFlCu/ledgJfUpi2a8G3Mg==" spinCount="100000" sheet="1" objects="1" scenarios="1" formatColumns="0" formatRows="0" autoFilter="0"/>
  <autoFilter ref="A1:CX76" xr:uid="{3385F858-6C0B-4236-8BDB-64B8C83CBEA4}"/>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CX76"/>
  <sheetViews>
    <sheetView zoomScale="90" zoomScaleNormal="90" workbookViewId="0">
      <pane xSplit="2" ySplit="1" topLeftCell="C2" activePane="bottomRight" state="frozen"/>
      <selection activeCell="AB53" sqref="AB53:AB985"/>
      <selection pane="topRight" activeCell="AB53" sqref="AB53:AB985"/>
      <selection pane="bottomLeft" activeCell="AB53" sqref="AB53:AB985"/>
      <selection pane="bottomRight" activeCell="C2" sqref="C2"/>
    </sheetView>
  </sheetViews>
  <sheetFormatPr defaultColWidth="9.140625" defaultRowHeight="15" x14ac:dyDescent="0.25"/>
  <cols>
    <col min="1" max="1" width="14.5703125" style="90" bestFit="1" customWidth="1"/>
    <col min="2" max="2" width="11.7109375" style="90" bestFit="1" customWidth="1"/>
    <col min="3" max="3" width="22.85546875" style="90" bestFit="1" customWidth="1"/>
    <col min="4" max="4" width="14.5703125" style="90" bestFit="1" customWidth="1"/>
    <col min="5" max="5" width="14.28515625" style="90" bestFit="1" customWidth="1"/>
    <col min="6" max="6" width="13.85546875" style="90" bestFit="1" customWidth="1"/>
    <col min="7" max="7" width="14.28515625" style="90" bestFit="1" customWidth="1"/>
    <col min="8" max="8" width="13.7109375" style="90" bestFit="1" customWidth="1"/>
    <col min="9" max="9" width="14" style="90" bestFit="1" customWidth="1"/>
    <col min="10" max="10" width="13.140625" style="90" bestFit="1" customWidth="1"/>
    <col min="11" max="11" width="14.5703125" style="90" bestFit="1" customWidth="1"/>
    <col min="12" max="12" width="13.7109375" style="90" bestFit="1" customWidth="1"/>
    <col min="13" max="13" width="15.42578125" style="90" bestFit="1" customWidth="1"/>
    <col min="14" max="14" width="12.85546875" style="90" bestFit="1" customWidth="1"/>
    <col min="15" max="15" width="13.42578125" style="90" bestFit="1" customWidth="1"/>
    <col min="16" max="16" width="13.5703125" style="90" bestFit="1" customWidth="1"/>
    <col min="17" max="17" width="14.7109375" style="90" bestFit="1" customWidth="1"/>
    <col min="18" max="18" width="15" style="90" bestFit="1" customWidth="1"/>
    <col min="19" max="19" width="13.7109375" style="90" bestFit="1" customWidth="1"/>
    <col min="20" max="20" width="13" style="90" bestFit="1" customWidth="1"/>
    <col min="21" max="21" width="14.42578125" style="90" bestFit="1" customWidth="1"/>
    <col min="22" max="22" width="14.85546875" style="90" bestFit="1" customWidth="1"/>
    <col min="23" max="23" width="13.85546875" style="90" bestFit="1" customWidth="1"/>
    <col min="24" max="24" width="14.5703125" style="90" bestFit="1" customWidth="1"/>
    <col min="25" max="25" width="13.42578125" style="90" bestFit="1" customWidth="1"/>
    <col min="26" max="26" width="13" style="90" bestFit="1" customWidth="1"/>
    <col min="27" max="27" width="15" style="90" bestFit="1" customWidth="1"/>
    <col min="28" max="28" width="20.7109375" style="90" bestFit="1" customWidth="1"/>
    <col min="29" max="30" width="14.7109375" style="90" bestFit="1" customWidth="1"/>
    <col min="31" max="31" width="13.85546875" style="90" bestFit="1" customWidth="1"/>
    <col min="32" max="32" width="14.5703125" style="90" bestFit="1" customWidth="1"/>
    <col min="33" max="33" width="13.85546875" style="90" bestFit="1" customWidth="1"/>
    <col min="34" max="34" width="14.140625" style="90" bestFit="1" customWidth="1"/>
    <col min="35" max="35" width="13.5703125" style="90" bestFit="1" customWidth="1"/>
    <col min="36" max="36" width="14.7109375" style="90" bestFit="1" customWidth="1"/>
    <col min="37" max="37" width="13.85546875" style="90" bestFit="1" customWidth="1"/>
    <col min="38" max="38" width="15.5703125" style="90" bestFit="1" customWidth="1"/>
    <col min="39" max="39" width="13.140625" style="90" bestFit="1" customWidth="1"/>
    <col min="40" max="40" width="13.85546875" style="90" bestFit="1" customWidth="1"/>
    <col min="41" max="41" width="14" style="90" bestFit="1" customWidth="1"/>
    <col min="42" max="42" width="14.7109375" style="90" bestFit="1" customWidth="1"/>
    <col min="43" max="43" width="15" style="90" bestFit="1" customWidth="1"/>
    <col min="44" max="44" width="14" style="90" bestFit="1" customWidth="1"/>
    <col min="45" max="45" width="13.28515625" style="90" bestFit="1" customWidth="1"/>
    <col min="46" max="46" width="14.7109375" style="90" bestFit="1" customWidth="1"/>
    <col min="47" max="47" width="14.85546875" style="90" bestFit="1" customWidth="1"/>
    <col min="48" max="48" width="14" style="90" bestFit="1" customWidth="1"/>
    <col min="49" max="49" width="14.85546875" style="90" bestFit="1" customWidth="1"/>
    <col min="50" max="50" width="13.5703125" style="90" bestFit="1" customWidth="1"/>
    <col min="51" max="51" width="13.28515625" style="90" bestFit="1" customWidth="1"/>
    <col min="52" max="52" width="15.140625" style="90" bestFit="1" customWidth="1"/>
    <col min="53" max="53" width="26.140625" style="90" bestFit="1" customWidth="1"/>
    <col min="54" max="54" width="14.28515625" style="90" bestFit="1" customWidth="1"/>
    <col min="55" max="55" width="14.140625" style="90" bestFit="1" customWidth="1"/>
    <col min="56" max="56" width="13.5703125" style="90" bestFit="1" customWidth="1"/>
    <col min="57" max="57" width="14.140625" style="90" bestFit="1" customWidth="1"/>
    <col min="58" max="58" width="13.42578125" style="90" bestFit="1" customWidth="1"/>
    <col min="59" max="59" width="13.7109375" style="90" bestFit="1" customWidth="1"/>
    <col min="60" max="60" width="13" style="90" bestFit="1" customWidth="1"/>
    <col min="61" max="61" width="14.28515625" style="90" bestFit="1" customWidth="1"/>
    <col min="62" max="62" width="13.42578125" style="90" bestFit="1" customWidth="1"/>
    <col min="63" max="63" width="15.28515625" style="90" bestFit="1" customWidth="1"/>
    <col min="64" max="64" width="12.7109375" style="90" bestFit="1" customWidth="1"/>
    <col min="65" max="65" width="13.28515625" style="90" bestFit="1" customWidth="1"/>
    <col min="66" max="66" width="13.42578125" style="90" bestFit="1" customWidth="1"/>
    <col min="67" max="67" width="14.5703125" style="90" bestFit="1" customWidth="1"/>
    <col min="68" max="68" width="14.7109375" style="90" bestFit="1" customWidth="1"/>
    <col min="69" max="69" width="13.42578125" style="90" bestFit="1" customWidth="1"/>
    <col min="70" max="70" width="12.85546875" style="90" bestFit="1" customWidth="1"/>
    <col min="71" max="71" width="14.140625" style="90" bestFit="1" customWidth="1"/>
    <col min="72" max="72" width="14.5703125" style="90" bestFit="1" customWidth="1"/>
    <col min="73" max="73" width="13.5703125" style="90" bestFit="1" customWidth="1"/>
    <col min="74" max="74" width="14.28515625" style="90" bestFit="1" customWidth="1"/>
    <col min="75" max="75" width="13.140625" style="90" bestFit="1" customWidth="1"/>
    <col min="76" max="76" width="12.85546875" style="90" bestFit="1" customWidth="1"/>
    <col min="77" max="77" width="13.85546875" style="90" bestFit="1" customWidth="1"/>
    <col min="78" max="78" width="20.7109375" style="90" bestFit="1" customWidth="1"/>
    <col min="79" max="79" width="14.5703125" style="90" bestFit="1" customWidth="1"/>
    <col min="80" max="80" width="14.7109375" style="90" bestFit="1" customWidth="1"/>
    <col min="81" max="81" width="13.85546875" style="90" bestFit="1" customWidth="1"/>
    <col min="82" max="82" width="14.42578125" style="90" bestFit="1" customWidth="1"/>
    <col min="83" max="83" width="13.85546875" style="90" bestFit="1" customWidth="1"/>
    <col min="84" max="84" width="14" style="90" bestFit="1" customWidth="1"/>
    <col min="85" max="85" width="13.42578125" style="90" bestFit="1" customWidth="1"/>
    <col min="86" max="86" width="14.7109375" style="90" bestFit="1" customWidth="1"/>
    <col min="87" max="87" width="13.85546875" style="90" bestFit="1" customWidth="1"/>
    <col min="88" max="88" width="15.5703125" style="90" bestFit="1" customWidth="1"/>
    <col min="89" max="89" width="13" style="90" bestFit="1" customWidth="1"/>
    <col min="90" max="91" width="13.85546875" style="90" bestFit="1" customWidth="1"/>
    <col min="92" max="92" width="14.7109375" style="90" bestFit="1" customWidth="1"/>
    <col min="93" max="93" width="15" style="90" bestFit="1" customWidth="1"/>
    <col min="94" max="94" width="13.85546875" style="90" bestFit="1" customWidth="1"/>
    <col min="95" max="95" width="13.140625" style="90" bestFit="1" customWidth="1"/>
    <col min="96" max="96" width="14.5703125" style="90" bestFit="1" customWidth="1"/>
    <col min="97" max="97" width="14.85546875" style="90" bestFit="1" customWidth="1"/>
    <col min="98" max="98" width="14" style="90" bestFit="1" customWidth="1"/>
    <col min="99" max="99" width="14.85546875" style="90" bestFit="1" customWidth="1"/>
    <col min="100" max="100" width="13.5703125" style="90" bestFit="1" customWidth="1"/>
    <col min="101" max="101" width="13.140625" style="90" bestFit="1" customWidth="1"/>
    <col min="102" max="102" width="14.28515625" style="90" bestFit="1" customWidth="1"/>
    <col min="103" max="16384" width="9.140625" style="90"/>
  </cols>
  <sheetData>
    <row r="1" spans="1:102" x14ac:dyDescent="0.25">
      <c r="A1" s="87" t="s">
        <v>51</v>
      </c>
      <c r="B1" s="88" t="s">
        <v>350</v>
      </c>
      <c r="C1" s="89" t="s">
        <v>1472</v>
      </c>
      <c r="D1" s="90" t="s">
        <v>1447</v>
      </c>
      <c r="E1" s="90" t="s">
        <v>1448</v>
      </c>
      <c r="F1" s="90" t="s">
        <v>1449</v>
      </c>
      <c r="G1" s="90" t="s">
        <v>1450</v>
      </c>
      <c r="H1" s="90" t="s">
        <v>1451</v>
      </c>
      <c r="I1" s="90" t="s">
        <v>1452</v>
      </c>
      <c r="J1" s="90" t="s">
        <v>1453</v>
      </c>
      <c r="K1" s="90" t="s">
        <v>1454</v>
      </c>
      <c r="L1" s="90" t="s">
        <v>1455</v>
      </c>
      <c r="M1" s="90" t="s">
        <v>1456</v>
      </c>
      <c r="N1" s="90" t="s">
        <v>1457</v>
      </c>
      <c r="O1" s="90" t="s">
        <v>1458</v>
      </c>
      <c r="P1" s="90" t="s">
        <v>1459</v>
      </c>
      <c r="Q1" s="90" t="s">
        <v>1460</v>
      </c>
      <c r="R1" s="90" t="s">
        <v>1461</v>
      </c>
      <c r="S1" s="90" t="s">
        <v>1462</v>
      </c>
      <c r="T1" s="90" t="s">
        <v>1463</v>
      </c>
      <c r="U1" s="90" t="s">
        <v>1464</v>
      </c>
      <c r="V1" s="90" t="s">
        <v>1465</v>
      </c>
      <c r="W1" s="90" t="s">
        <v>1466</v>
      </c>
      <c r="X1" s="90" t="s">
        <v>1467</v>
      </c>
      <c r="Y1" s="90" t="s">
        <v>1468</v>
      </c>
      <c r="Z1" s="90" t="s">
        <v>1469</v>
      </c>
      <c r="AA1" s="90" t="s">
        <v>1470</v>
      </c>
      <c r="AB1" s="91" t="s">
        <v>1124</v>
      </c>
      <c r="AC1" s="91" t="s">
        <v>1125</v>
      </c>
      <c r="AD1" s="91" t="s">
        <v>1126</v>
      </c>
      <c r="AE1" s="91" t="s">
        <v>1127</v>
      </c>
      <c r="AF1" s="91" t="s">
        <v>1128</v>
      </c>
      <c r="AG1" s="91" t="s">
        <v>1129</v>
      </c>
      <c r="AH1" s="91" t="s">
        <v>1130</v>
      </c>
      <c r="AI1" s="91" t="s">
        <v>1131</v>
      </c>
      <c r="AJ1" s="91" t="s">
        <v>1132</v>
      </c>
      <c r="AK1" s="91" t="s">
        <v>1133</v>
      </c>
      <c r="AL1" s="91" t="s">
        <v>1134</v>
      </c>
      <c r="AM1" s="91" t="s">
        <v>1135</v>
      </c>
      <c r="AN1" s="91" t="s">
        <v>1136</v>
      </c>
      <c r="AO1" s="91" t="s">
        <v>1137</v>
      </c>
      <c r="AP1" s="91" t="s">
        <v>1138</v>
      </c>
      <c r="AQ1" s="91" t="s">
        <v>1139</v>
      </c>
      <c r="AR1" s="91" t="s">
        <v>1140</v>
      </c>
      <c r="AS1" s="91" t="s">
        <v>1141</v>
      </c>
      <c r="AT1" s="91" t="s">
        <v>1142</v>
      </c>
      <c r="AU1" s="91" t="s">
        <v>1143</v>
      </c>
      <c r="AV1" s="91" t="s">
        <v>1144</v>
      </c>
      <c r="AW1" s="91" t="s">
        <v>1145</v>
      </c>
      <c r="AX1" s="91" t="s">
        <v>1146</v>
      </c>
      <c r="AY1" s="91" t="s">
        <v>1147</v>
      </c>
      <c r="AZ1" s="91" t="s">
        <v>1148</v>
      </c>
      <c r="BA1" s="90" t="s">
        <v>1474</v>
      </c>
      <c r="BB1" s="90" t="s">
        <v>1422</v>
      </c>
      <c r="BC1" s="90" t="s">
        <v>1423</v>
      </c>
      <c r="BD1" s="90" t="s">
        <v>1424</v>
      </c>
      <c r="BE1" s="90" t="s">
        <v>1425</v>
      </c>
      <c r="BF1" s="90" t="s">
        <v>1426</v>
      </c>
      <c r="BG1" s="90" t="s">
        <v>1427</v>
      </c>
      <c r="BH1" s="90" t="s">
        <v>1428</v>
      </c>
      <c r="BI1" s="90" t="s">
        <v>1429</v>
      </c>
      <c r="BJ1" s="90" t="s">
        <v>1430</v>
      </c>
      <c r="BK1" s="90" t="s">
        <v>1431</v>
      </c>
      <c r="BL1" s="90" t="s">
        <v>1432</v>
      </c>
      <c r="BM1" s="90" t="s">
        <v>1433</v>
      </c>
      <c r="BN1" s="90" t="s">
        <v>1434</v>
      </c>
      <c r="BO1" s="90" t="s">
        <v>1435</v>
      </c>
      <c r="BP1" s="90" t="s">
        <v>1436</v>
      </c>
      <c r="BQ1" s="90" t="s">
        <v>1437</v>
      </c>
      <c r="BR1" s="90" t="s">
        <v>1438</v>
      </c>
      <c r="BS1" s="90" t="s">
        <v>1439</v>
      </c>
      <c r="BT1" s="90" t="s">
        <v>1440</v>
      </c>
      <c r="BU1" s="90" t="s">
        <v>1441</v>
      </c>
      <c r="BV1" s="90" t="s">
        <v>1442</v>
      </c>
      <c r="BW1" s="90" t="s">
        <v>1443</v>
      </c>
      <c r="BX1" s="90" t="s">
        <v>1444</v>
      </c>
      <c r="BY1" s="90" t="s">
        <v>1445</v>
      </c>
      <c r="BZ1" s="91" t="s">
        <v>1149</v>
      </c>
      <c r="CA1" s="91" t="s">
        <v>1397</v>
      </c>
      <c r="CB1" s="91" t="s">
        <v>1398</v>
      </c>
      <c r="CC1" s="91" t="s">
        <v>1399</v>
      </c>
      <c r="CD1" s="91" t="s">
        <v>1400</v>
      </c>
      <c r="CE1" s="91" t="s">
        <v>1401</v>
      </c>
      <c r="CF1" s="91" t="s">
        <v>1402</v>
      </c>
      <c r="CG1" s="91" t="s">
        <v>1403</v>
      </c>
      <c r="CH1" s="91" t="s">
        <v>1404</v>
      </c>
      <c r="CI1" s="91" t="s">
        <v>1405</v>
      </c>
      <c r="CJ1" s="91" t="s">
        <v>1406</v>
      </c>
      <c r="CK1" s="91" t="s">
        <v>1407</v>
      </c>
      <c r="CL1" s="91" t="s">
        <v>1408</v>
      </c>
      <c r="CM1" s="91" t="s">
        <v>1409</v>
      </c>
      <c r="CN1" s="91" t="s">
        <v>1410</v>
      </c>
      <c r="CO1" s="91" t="s">
        <v>1411</v>
      </c>
      <c r="CP1" s="91" t="s">
        <v>1412</v>
      </c>
      <c r="CQ1" s="91" t="s">
        <v>1413</v>
      </c>
      <c r="CR1" s="91" t="s">
        <v>1414</v>
      </c>
      <c r="CS1" s="91" t="s">
        <v>1415</v>
      </c>
      <c r="CT1" s="91" t="s">
        <v>1416</v>
      </c>
      <c r="CU1" s="91" t="s">
        <v>1417</v>
      </c>
      <c r="CV1" s="91" t="s">
        <v>1418</v>
      </c>
      <c r="CW1" s="91" t="s">
        <v>1419</v>
      </c>
      <c r="CX1" s="91" t="s">
        <v>1420</v>
      </c>
    </row>
    <row r="2" spans="1:102" ht="15" customHeight="1" x14ac:dyDescent="0.25">
      <c r="A2" s="92" t="s">
        <v>12</v>
      </c>
      <c r="B2" s="90" t="s">
        <v>1074</v>
      </c>
      <c r="C2" s="76">
        <f t="shared" ref="C2:C3" si="0">IFERROR(1/SUM(1/D2,1/E2,1/Z2,1/AA2),".")</f>
        <v>28.140156727716032</v>
      </c>
      <c r="D2" s="76">
        <f>IFERROR(IF(AND(s_Irr!C2&lt;&gt;".",s_Irr!AA2&lt;&gt;".",s_Irr!AY2&lt;&gt;"."),s_dir!D2/((1/1000)*(s_Irr!C2+s_Irr!AA2+s_Irr!AY2)),IF(AND(s_Irr!C2&lt;&gt;".",s_Irr!AA2&lt;&gt;".",s_Irr!AY2="."),s_dir!D2/((1/1000)*(s_Irr!C2+s_Irr!AA2)),IF(AND(s_Irr!C2&lt;&gt;".",s_Irr!AA2=".",s_Irr!AY2&lt;&gt;"."),s_dir!D2/((1/1000)*(s_Irr!C2+s_Irr!AY2)),IF(AND(s_Irr!C2=".",s_Irr!AA2&lt;&gt;".",s_Irr!AY2&lt;&gt;"."),s_dir!D2/((1/1000)*(s_Irr!AA2+s_Irr!AY2)),IF(AND(s_Irr!C2=".",s_Irr!AA2=".",s_Irr!AY2&lt;&gt;"."),s_dir!D2/((1/1000)*(s_Irr!AY2)),IF(AND(s_Irr!C2=".",s_Irr!AA2&lt;&gt;".",s_Irr!AY2="."),s_dir!D2/((1/1000)*(s_Irr!AA2)),IF(AND(s_Irr!C2&lt;&gt;".",s_Irr!AA2=".",s_Irr!AY2="."),s_dir!D2/((1/1000)*(s_Irr!C2)),IF(AND(s_Irr!C2=".",s_Irr!AA2=".",s_Irr!AY2="."),s_dir!D2*1000)))))))),".")</f>
        <v>112.56062691086413</v>
      </c>
      <c r="E2" s="76">
        <f>IFERROR(IF(AND(s_Irr!D2&lt;&gt;".",s_Irr!AB2&lt;&gt;".",s_Irr!AZ2&lt;&gt;"."),s_dir!E2/((1/1000)*(s_Irr!D2+s_Irr!AB2+s_Irr!AZ2)),IF(AND(s_Irr!D2&lt;&gt;".",s_Irr!AB2&lt;&gt;".",s_Irr!AZ2="."),s_dir!E2/((1/1000)*(s_Irr!D2+s_Irr!AB2)),IF(AND(s_Irr!D2&lt;&gt;".",s_Irr!AB2=".",s_Irr!AZ2&lt;&gt;"."),s_dir!E2/((1/1000)*(s_Irr!D2+s_Irr!AZ2)),IF(AND(s_Irr!D2=".",s_Irr!AB2&lt;&gt;".",s_Irr!AZ2&lt;&gt;"."),s_dir!E2/((1/1000)*(s_Irr!AB2+s_Irr!AZ2)),IF(AND(s_Irr!D2=".",s_Irr!AB2=".",s_Irr!AZ2&lt;&gt;"."),s_dir!E2/((1/1000)*(s_Irr!AZ2)),IF(AND(s_Irr!D2=".",s_Irr!AB2&lt;&gt;".",s_Irr!AZ2="."),s_dir!E2/((1/1000)*(s_Irr!AB2)),IF(AND(s_Irr!D2&lt;&gt;".",s_Irr!AB2=".",s_Irr!AZ2="."),s_dir!E2/((1/1000)*(s_Irr!D2)),IF(AND(s_Irr!D2=".",s_Irr!AB2=".",s_Irr!AZ2="."),s_dir!E2*1000)))))))),".")</f>
        <v>112.56062691086413</v>
      </c>
      <c r="F2" s="76">
        <f>IFERROR(IF(AND(s_Irr!E2&lt;&gt;".",s_Irr!AC2&lt;&gt;".",s_Irr!BA2&lt;&gt;"."),s_dir!F2/((1/1000)*(s_Irr!E2+s_Irr!AC2+s_Irr!BA2)),IF(AND(s_Irr!E2&lt;&gt;".",s_Irr!AC2&lt;&gt;".",s_Irr!BA2="."),s_dir!F2/((1/1000)*(s_Irr!E2+s_Irr!AC2)),IF(AND(s_Irr!E2&lt;&gt;".",s_Irr!AC2=".",s_Irr!BA2&lt;&gt;"."),s_dir!F2/((1/1000)*(s_Irr!E2+s_Irr!BA2)),IF(AND(s_Irr!E2=".",s_Irr!AC2&lt;&gt;".",s_Irr!BA2&lt;&gt;"."),s_dir!F2/((1/1000)*(s_Irr!AC2+s_Irr!BA2)),IF(AND(s_Irr!E2=".",s_Irr!AC2=".",s_Irr!BA2&lt;&gt;"."),s_dir!F2/((1/1000)*(s_Irr!BA2)),IF(AND(s_Irr!E2=".",s_Irr!AC2&lt;&gt;".",s_Irr!BA2="."),s_dir!F2/((1/1000)*(s_Irr!AC2)),IF(AND(s_Irr!E2&lt;&gt;".",s_Irr!AC2=".",s_Irr!BA2="."),s_dir!F2/((1/1000)*(s_Irr!E2)),IF(AND(s_Irr!E2=".",s_Irr!AC2=".",s_Irr!BA2="."),s_dir!F2*1000)))))))),".")</f>
        <v>112.56062691086413</v>
      </c>
      <c r="G2" s="76">
        <f>IFERROR(IF(AND(s_Irr!F2&lt;&gt;".",s_Irr!AD2&lt;&gt;".",s_Irr!BB2&lt;&gt;"."),s_dir!G2/((1/1000)*(s_Irr!F2+s_Irr!AD2+s_Irr!BB2)),IF(AND(s_Irr!F2&lt;&gt;".",s_Irr!AD2&lt;&gt;".",s_Irr!BB2="."),s_dir!G2/((1/1000)*(s_Irr!F2+s_Irr!AD2)),IF(AND(s_Irr!F2&lt;&gt;".",s_Irr!AD2=".",s_Irr!BB2&lt;&gt;"."),s_dir!G2/((1/1000)*(s_Irr!F2+s_Irr!BB2)),IF(AND(s_Irr!F2=".",s_Irr!AD2&lt;&gt;".",s_Irr!BB2&lt;&gt;"."),s_dir!G2/((1/1000)*(s_Irr!AD2+s_Irr!BB2)),IF(AND(s_Irr!F2=".",s_Irr!AD2=".",s_Irr!BB2&lt;&gt;"."),s_dir!G2/((1/1000)*(s_Irr!BB2)),IF(AND(s_Irr!F2=".",s_Irr!AD2&lt;&gt;".",s_Irr!BB2="."),s_dir!G2/((1/1000)*(s_Irr!AD2)),IF(AND(s_Irr!F2&lt;&gt;".",s_Irr!AD2=".",s_Irr!BB2="."),s_dir!G2/((1/1000)*(s_Irr!F2)),IF(AND(s_Irr!F2=".",s_Irr!AD2=".",s_Irr!BB2="."),s_dir!G2*1000)))))))),".")</f>
        <v>112.56062691086413</v>
      </c>
      <c r="H2" s="76">
        <f>IFERROR(IF(AND(s_Irr!G2&lt;&gt;".",s_Irr!AE2&lt;&gt;".",s_Irr!BC2&lt;&gt;"."),s_dir!H2/((1/1000)*(s_Irr!G2+s_Irr!AE2+s_Irr!BC2)),IF(AND(s_Irr!G2&lt;&gt;".",s_Irr!AE2&lt;&gt;".",s_Irr!BC2="."),s_dir!H2/((1/1000)*(s_Irr!G2+s_Irr!AE2)),IF(AND(s_Irr!G2&lt;&gt;".",s_Irr!AE2=".",s_Irr!BC2&lt;&gt;"."),s_dir!H2/((1/1000)*(s_Irr!G2+s_Irr!BC2)),IF(AND(s_Irr!G2=".",s_Irr!AE2&lt;&gt;".",s_Irr!BC2&lt;&gt;"."),s_dir!H2/((1/1000)*(s_Irr!AE2+s_Irr!BC2)),IF(AND(s_Irr!G2=".",s_Irr!AE2=".",s_Irr!BC2&lt;&gt;"."),s_dir!H2/((1/1000)*(s_Irr!BC2)),IF(AND(s_Irr!G2=".",s_Irr!AE2&lt;&gt;".",s_Irr!BC2="."),s_dir!H2/((1/1000)*(s_Irr!AE2)),IF(AND(s_Irr!G2&lt;&gt;".",s_Irr!AE2=".",s_Irr!BC2="."),s_dir!H2/((1/1000)*(s_Irr!G2)),IF(AND(s_Irr!G2=".",s_Irr!AE2=".",s_Irr!BC2="."),s_dir!H2*1000)))))))),".")</f>
        <v>112.56062691086413</v>
      </c>
      <c r="I2" s="76">
        <f>IFERROR(IF(AND(s_Irr!H2&lt;&gt;".",s_Irr!AF2&lt;&gt;".",s_Irr!BD2&lt;&gt;"."),s_dir!I2/((1/1000)*(s_Irr!H2+s_Irr!AF2+s_Irr!BD2)),IF(AND(s_Irr!H2&lt;&gt;".",s_Irr!AF2&lt;&gt;".",s_Irr!BD2="."),s_dir!I2/((1/1000)*(s_Irr!H2+s_Irr!AF2)),IF(AND(s_Irr!H2&lt;&gt;".",s_Irr!AF2=".",s_Irr!BD2&lt;&gt;"."),s_dir!I2/((1/1000)*(s_Irr!H2+s_Irr!BD2)),IF(AND(s_Irr!H2=".",s_Irr!AF2&lt;&gt;".",s_Irr!BD2&lt;&gt;"."),s_dir!I2/((1/1000)*(s_Irr!AF2+s_Irr!BD2)),IF(AND(s_Irr!H2=".",s_Irr!AF2=".",s_Irr!BD2&lt;&gt;"."),s_dir!I2/((1/1000)*(s_Irr!BD2)),IF(AND(s_Irr!H2=".",s_Irr!AF2&lt;&gt;".",s_Irr!BD2="."),s_dir!I2/((1/1000)*(s_Irr!AF2)),IF(AND(s_Irr!H2&lt;&gt;".",s_Irr!AF2=".",s_Irr!BD2="."),s_dir!I2/((1/1000)*(s_Irr!H2)),IF(AND(s_Irr!H2=".",s_Irr!AF2=".",s_Irr!BD2="."),s_dir!I2*1000)))))))),".")</f>
        <v>112.56062691086413</v>
      </c>
      <c r="J2" s="76">
        <f>IFERROR(IF(AND(s_Irr!I2&lt;&gt;".",s_Irr!AG2&lt;&gt;".",s_Irr!BE2&lt;&gt;"."),s_dir!J2/((1/1000)*(s_Irr!I2+s_Irr!AG2+s_Irr!BE2)),IF(AND(s_Irr!I2&lt;&gt;".",s_Irr!AG2&lt;&gt;".",s_Irr!BE2="."),s_dir!J2/((1/1000)*(s_Irr!I2+s_Irr!AG2)),IF(AND(s_Irr!I2&lt;&gt;".",s_Irr!AG2=".",s_Irr!BE2&lt;&gt;"."),s_dir!J2/((1/1000)*(s_Irr!I2+s_Irr!BE2)),IF(AND(s_Irr!I2=".",s_Irr!AG2&lt;&gt;".",s_Irr!BE2&lt;&gt;"."),s_dir!J2/((1/1000)*(s_Irr!AG2+s_Irr!BE2)),IF(AND(s_Irr!I2=".",s_Irr!AG2=".",s_Irr!BE2&lt;&gt;"."),s_dir!J2/((1/1000)*(s_Irr!BE2)),IF(AND(s_Irr!I2=".",s_Irr!AG2&lt;&gt;".",s_Irr!BE2="."),s_dir!J2/((1/1000)*(s_Irr!AG2)),IF(AND(s_Irr!I2&lt;&gt;".",s_Irr!AG2=".",s_Irr!BE2="."),s_dir!J2/((1/1000)*(s_Irr!I2)),IF(AND(s_Irr!I2=".",s_Irr!AG2=".",s_Irr!BE2="."),s_dir!J2*1000)))))))),".")</f>
        <v>112.56062691086413</v>
      </c>
      <c r="K2" s="76">
        <f>IFERROR(IF(AND(s_Irr!J2&lt;&gt;".",s_Irr!AH2&lt;&gt;".",s_Irr!BF2&lt;&gt;"."),s_dir!K2/((1/1000)*(s_Irr!J2+s_Irr!AH2+s_Irr!BF2)),IF(AND(s_Irr!J2&lt;&gt;".",s_Irr!AH2&lt;&gt;".",s_Irr!BF2="."),s_dir!K2/((1/1000)*(s_Irr!J2+s_Irr!AH2)),IF(AND(s_Irr!J2&lt;&gt;".",s_Irr!AH2=".",s_Irr!BF2&lt;&gt;"."),s_dir!K2/((1/1000)*(s_Irr!J2+s_Irr!BF2)),IF(AND(s_Irr!J2=".",s_Irr!AH2&lt;&gt;".",s_Irr!BF2&lt;&gt;"."),s_dir!K2/((1/1000)*(s_Irr!AH2+s_Irr!BF2)),IF(AND(s_Irr!J2=".",s_Irr!AH2=".",s_Irr!BF2&lt;&gt;"."),s_dir!K2/((1/1000)*(s_Irr!BF2)),IF(AND(s_Irr!J2=".",s_Irr!AH2&lt;&gt;".",s_Irr!BF2="."),s_dir!K2/((1/1000)*(s_Irr!AH2)),IF(AND(s_Irr!J2&lt;&gt;".",s_Irr!AH2=".",s_Irr!BF2="."),s_dir!K2/((1/1000)*(s_Irr!J2)),IF(AND(s_Irr!J2=".",s_Irr!AH2=".",s_Irr!BF2="."),s_dir!K2*1000)))))))),".")</f>
        <v>112.56062691086413</v>
      </c>
      <c r="L2" s="76">
        <f>IFERROR(IF(AND(s_Irr!K2&lt;&gt;".",s_Irr!AI2&lt;&gt;".",s_Irr!BG2&lt;&gt;"."),s_dir!L2/((1/1000)*(s_Irr!K2+s_Irr!AI2+s_Irr!BG2)),IF(AND(s_Irr!K2&lt;&gt;".",s_Irr!AI2&lt;&gt;".",s_Irr!BG2="."),s_dir!L2/((1/1000)*(s_Irr!K2+s_Irr!AI2)),IF(AND(s_Irr!K2&lt;&gt;".",s_Irr!AI2=".",s_Irr!BG2&lt;&gt;"."),s_dir!L2/((1/1000)*(s_Irr!K2+s_Irr!BG2)),IF(AND(s_Irr!K2=".",s_Irr!AI2&lt;&gt;".",s_Irr!BG2&lt;&gt;"."),s_dir!L2/((1/1000)*(s_Irr!AI2+s_Irr!BG2)),IF(AND(s_Irr!K2=".",s_Irr!AI2=".",s_Irr!BG2&lt;&gt;"."),s_dir!L2/((1/1000)*(s_Irr!BG2)),IF(AND(s_Irr!K2=".",s_Irr!AI2&lt;&gt;".",s_Irr!BG2="."),s_dir!L2/((1/1000)*(s_Irr!AI2)),IF(AND(s_Irr!K2&lt;&gt;".",s_Irr!AI2=".",s_Irr!BG2="."),s_dir!L2/((1/1000)*(s_Irr!K2)),IF(AND(s_Irr!K2=".",s_Irr!AI2=".",s_Irr!BG2="."),s_dir!L2*1000)))))))),".")</f>
        <v>112.56062691086413</v>
      </c>
      <c r="M2" s="76">
        <f>IFERROR(IF(AND(s_Irr!L2&lt;&gt;".",s_Irr!AJ2&lt;&gt;".",s_Irr!BH2&lt;&gt;"."),s_dir!M2/((1/1000)*(s_Irr!L2+s_Irr!AJ2+s_Irr!BH2)),IF(AND(s_Irr!L2&lt;&gt;".",s_Irr!AJ2&lt;&gt;".",s_Irr!BH2="."),s_dir!M2/((1/1000)*(s_Irr!L2+s_Irr!AJ2)),IF(AND(s_Irr!L2&lt;&gt;".",s_Irr!AJ2=".",s_Irr!BH2&lt;&gt;"."),s_dir!M2/((1/1000)*(s_Irr!L2+s_Irr!BH2)),IF(AND(s_Irr!L2=".",s_Irr!AJ2&lt;&gt;".",s_Irr!BH2&lt;&gt;"."),s_dir!M2/((1/1000)*(s_Irr!AJ2+s_Irr!BH2)),IF(AND(s_Irr!L2=".",s_Irr!AJ2=".",s_Irr!BH2&lt;&gt;"."),s_dir!M2/((1/1000)*(s_Irr!BH2)),IF(AND(s_Irr!L2=".",s_Irr!AJ2&lt;&gt;".",s_Irr!BH2="."),s_dir!M2/((1/1000)*(s_Irr!AJ2)),IF(AND(s_Irr!L2&lt;&gt;".",s_Irr!AJ2=".",s_Irr!BH2="."),s_dir!M2/((1/1000)*(s_Irr!L2)),IF(AND(s_Irr!L2=".",s_Irr!AJ2=".",s_Irr!BH2="."),s_dir!M2*1000)))))))),".")</f>
        <v>112.56062691086413</v>
      </c>
      <c r="N2" s="76">
        <f>IFERROR(IF(AND(s_Irr!M2&lt;&gt;".",s_Irr!AK2&lt;&gt;".",s_Irr!BI2&lt;&gt;"."),s_dir!N2/((1/1000)*(s_Irr!M2+s_Irr!AK2+s_Irr!BI2)),IF(AND(s_Irr!M2&lt;&gt;".",s_Irr!AK2&lt;&gt;".",s_Irr!BI2="."),s_dir!N2/((1/1000)*(s_Irr!M2+s_Irr!AK2)),IF(AND(s_Irr!M2&lt;&gt;".",s_Irr!AK2=".",s_Irr!BI2&lt;&gt;"."),s_dir!N2/((1/1000)*(s_Irr!M2+s_Irr!BI2)),IF(AND(s_Irr!M2=".",s_Irr!AK2&lt;&gt;".",s_Irr!BI2&lt;&gt;"."),s_dir!N2/((1/1000)*(s_Irr!AK2+s_Irr!BI2)),IF(AND(s_Irr!M2=".",s_Irr!AK2=".",s_Irr!BI2&lt;&gt;"."),s_dir!N2/((1/1000)*(s_Irr!BI2)),IF(AND(s_Irr!M2=".",s_Irr!AK2&lt;&gt;".",s_Irr!BI2="."),s_dir!N2/((1/1000)*(s_Irr!AK2)),IF(AND(s_Irr!M2&lt;&gt;".",s_Irr!AK2=".",s_Irr!BI2="."),s_dir!N2/((1/1000)*(s_Irr!M2)),IF(AND(s_Irr!M2=".",s_Irr!AK2=".",s_Irr!BI2="."),s_dir!N2*1000)))))))),".")</f>
        <v>112.56062691086413</v>
      </c>
      <c r="O2" s="76">
        <f>IFERROR(IF(AND(s_Irr!N2&lt;&gt;".",s_Irr!AL2&lt;&gt;".",s_Irr!BJ2&lt;&gt;"."),s_dir!O2/((1/1000)*(s_Irr!N2+s_Irr!AL2+s_Irr!BJ2)),IF(AND(s_Irr!N2&lt;&gt;".",s_Irr!AL2&lt;&gt;".",s_Irr!BJ2="."),s_dir!O2/((1/1000)*(s_Irr!N2+s_Irr!AL2)),IF(AND(s_Irr!N2&lt;&gt;".",s_Irr!AL2=".",s_Irr!BJ2&lt;&gt;"."),s_dir!O2/((1/1000)*(s_Irr!N2+s_Irr!BJ2)),IF(AND(s_Irr!N2=".",s_Irr!AL2&lt;&gt;".",s_Irr!BJ2&lt;&gt;"."),s_dir!O2/((1/1000)*(s_Irr!AL2+s_Irr!BJ2)),IF(AND(s_Irr!N2=".",s_Irr!AL2=".",s_Irr!BJ2&lt;&gt;"."),s_dir!O2/((1/1000)*(s_Irr!BJ2)),IF(AND(s_Irr!N2=".",s_Irr!AL2&lt;&gt;".",s_Irr!BJ2="."),s_dir!O2/((1/1000)*(s_Irr!AL2)),IF(AND(s_Irr!N2&lt;&gt;".",s_Irr!AL2=".",s_Irr!BJ2="."),s_dir!O2/((1/1000)*(s_Irr!N2)),IF(AND(s_Irr!N2=".",s_Irr!AL2=".",s_Irr!BJ2="."),s_dir!O2*1000)))))))),".")</f>
        <v>112.56062691086413</v>
      </c>
      <c r="P2" s="76">
        <f>IFERROR(IF(AND(s_Irr!O2&lt;&gt;".",s_Irr!AM2&lt;&gt;".",s_Irr!BK2&lt;&gt;"."),s_dir!P2/((1/1000)*(s_Irr!O2+s_Irr!AM2+s_Irr!BK2)),IF(AND(s_Irr!O2&lt;&gt;".",s_Irr!AM2&lt;&gt;".",s_Irr!BK2="."),s_dir!P2/((1/1000)*(s_Irr!O2+s_Irr!AM2)),IF(AND(s_Irr!O2&lt;&gt;".",s_Irr!AM2=".",s_Irr!BK2&lt;&gt;"."),s_dir!P2/((1/1000)*(s_Irr!O2+s_Irr!BK2)),IF(AND(s_Irr!O2=".",s_Irr!AM2&lt;&gt;".",s_Irr!BK2&lt;&gt;"."),s_dir!P2/((1/1000)*(s_Irr!AM2+s_Irr!BK2)),IF(AND(s_Irr!O2=".",s_Irr!AM2=".",s_Irr!BK2&lt;&gt;"."),s_dir!P2/((1/1000)*(s_Irr!BK2)),IF(AND(s_Irr!O2=".",s_Irr!AM2&lt;&gt;".",s_Irr!BK2="."),s_dir!P2/((1/1000)*(s_Irr!AM2)),IF(AND(s_Irr!O2&lt;&gt;".",s_Irr!AM2=".",s_Irr!BK2="."),s_dir!P2/((1/1000)*(s_Irr!O2)),IF(AND(s_Irr!O2=".",s_Irr!AM2=".",s_Irr!BK2="."),s_dir!P2*1000)))))))),".")</f>
        <v>112.56062691086413</v>
      </c>
      <c r="Q2" s="76">
        <f>IFERROR(IF(AND(s_Irr!P2&lt;&gt;".",s_Irr!AN2&lt;&gt;".",s_Irr!BL2&lt;&gt;"."),s_dir!Q2/((1/1000)*(s_Irr!P2+s_Irr!AN2+s_Irr!BL2)),IF(AND(s_Irr!P2&lt;&gt;".",s_Irr!AN2&lt;&gt;".",s_Irr!BL2="."),s_dir!Q2/((1/1000)*(s_Irr!P2+s_Irr!AN2)),IF(AND(s_Irr!P2&lt;&gt;".",s_Irr!AN2=".",s_Irr!BL2&lt;&gt;"."),s_dir!Q2/((1/1000)*(s_Irr!P2+s_Irr!BL2)),IF(AND(s_Irr!P2=".",s_Irr!AN2&lt;&gt;".",s_Irr!BL2&lt;&gt;"."),s_dir!Q2/((1/1000)*(s_Irr!AN2+s_Irr!BL2)),IF(AND(s_Irr!P2=".",s_Irr!AN2=".",s_Irr!BL2&lt;&gt;"."),s_dir!Q2/((1/1000)*(s_Irr!BL2)),IF(AND(s_Irr!P2=".",s_Irr!AN2&lt;&gt;".",s_Irr!BL2="."),s_dir!Q2/((1/1000)*(s_Irr!AN2)),IF(AND(s_Irr!P2&lt;&gt;".",s_Irr!AN2=".",s_Irr!BL2="."),s_dir!Q2/((1/1000)*(s_Irr!P2)),IF(AND(s_Irr!P2=".",s_Irr!AN2=".",s_Irr!BL2="."),s_dir!Q2*1000)))))))),".")</f>
        <v>112.56062691086413</v>
      </c>
      <c r="R2" s="76">
        <f>IFERROR(IF(AND(s_Irr!Q2&lt;&gt;".",s_Irr!AO2&lt;&gt;".",s_Irr!BM2&lt;&gt;"."),s_dir!R2/((1/1000)*(s_Irr!Q2+s_Irr!AO2+s_Irr!BM2)),IF(AND(s_Irr!Q2&lt;&gt;".",s_Irr!AO2&lt;&gt;".",s_Irr!BM2="."),s_dir!R2/((1/1000)*(s_Irr!Q2+s_Irr!AO2)),IF(AND(s_Irr!Q2&lt;&gt;".",s_Irr!AO2=".",s_Irr!BM2&lt;&gt;"."),s_dir!R2/((1/1000)*(s_Irr!Q2+s_Irr!BM2)),IF(AND(s_Irr!Q2=".",s_Irr!AO2&lt;&gt;".",s_Irr!BM2&lt;&gt;"."),s_dir!R2/((1/1000)*(s_Irr!AO2+s_Irr!BM2)),IF(AND(s_Irr!Q2=".",s_Irr!AO2=".",s_Irr!BM2&lt;&gt;"."),s_dir!R2/((1/1000)*(s_Irr!BM2)),IF(AND(s_Irr!Q2=".",s_Irr!AO2&lt;&gt;".",s_Irr!BM2="."),s_dir!R2/((1/1000)*(s_Irr!AO2)),IF(AND(s_Irr!Q2&lt;&gt;".",s_Irr!AO2=".",s_Irr!BM2="."),s_dir!R2/((1/1000)*(s_Irr!Q2)),IF(AND(s_Irr!Q2=".",s_Irr!AO2=".",s_Irr!BM2="."),s_dir!R2*1000)))))))),".")</f>
        <v>112.56062691086413</v>
      </c>
      <c r="S2" s="76">
        <f>IFERROR(IF(AND(s_Irr!R2&lt;&gt;".",s_Irr!AP2&lt;&gt;".",s_Irr!BN2&lt;&gt;"."),s_dir!S2/((1/1000)*(s_Irr!R2+s_Irr!AP2+s_Irr!BN2)),IF(AND(s_Irr!R2&lt;&gt;".",s_Irr!AP2&lt;&gt;".",s_Irr!BN2="."),s_dir!S2/((1/1000)*(s_Irr!R2+s_Irr!AP2)),IF(AND(s_Irr!R2&lt;&gt;".",s_Irr!AP2=".",s_Irr!BN2&lt;&gt;"."),s_dir!S2/((1/1000)*(s_Irr!R2+s_Irr!BN2)),IF(AND(s_Irr!R2=".",s_Irr!AP2&lt;&gt;".",s_Irr!BN2&lt;&gt;"."),s_dir!S2/((1/1000)*(s_Irr!AP2+s_Irr!BN2)),IF(AND(s_Irr!R2=".",s_Irr!AP2=".",s_Irr!BN2&lt;&gt;"."),s_dir!S2/((1/1000)*(s_Irr!BN2)),IF(AND(s_Irr!R2=".",s_Irr!AP2&lt;&gt;".",s_Irr!BN2="."),s_dir!S2/((1/1000)*(s_Irr!AP2)),IF(AND(s_Irr!R2&lt;&gt;".",s_Irr!AP2=".",s_Irr!BN2="."),s_dir!S2/((1/1000)*(s_Irr!R2)),IF(AND(s_Irr!R2=".",s_Irr!AP2=".",s_Irr!BN2="."),s_dir!S2*1000)))))))),".")</f>
        <v>112.56062691086413</v>
      </c>
      <c r="T2" s="76">
        <f>IFERROR(IF(AND(s_Irr!S2&lt;&gt;".",s_Irr!AQ2&lt;&gt;".",s_Irr!BO2&lt;&gt;"."),s_dir!T2/((1/1000)*(s_Irr!S2+s_Irr!AQ2+s_Irr!BO2)),IF(AND(s_Irr!S2&lt;&gt;".",s_Irr!AQ2&lt;&gt;".",s_Irr!BO2="."),s_dir!T2/((1/1000)*(s_Irr!S2+s_Irr!AQ2)),IF(AND(s_Irr!S2&lt;&gt;".",s_Irr!AQ2=".",s_Irr!BO2&lt;&gt;"."),s_dir!T2/((1/1000)*(s_Irr!S2+s_Irr!BO2)),IF(AND(s_Irr!S2=".",s_Irr!AQ2&lt;&gt;".",s_Irr!BO2&lt;&gt;"."),s_dir!T2/((1/1000)*(s_Irr!AQ2+s_Irr!BO2)),IF(AND(s_Irr!S2=".",s_Irr!AQ2=".",s_Irr!BO2&lt;&gt;"."),s_dir!T2/((1/1000)*(s_Irr!BO2)),IF(AND(s_Irr!S2=".",s_Irr!AQ2&lt;&gt;".",s_Irr!BO2="."),s_dir!T2/((1/1000)*(s_Irr!AQ2)),IF(AND(s_Irr!S2&lt;&gt;".",s_Irr!AQ2=".",s_Irr!BO2="."),s_dir!T2/((1/1000)*(s_Irr!S2)),IF(AND(s_Irr!S2=".",s_Irr!AQ2=".",s_Irr!BO2="."),s_dir!T2*1000)))))))),".")</f>
        <v>112.56062691086413</v>
      </c>
      <c r="U2" s="76">
        <f>IFERROR(IF(AND(s_Irr!T2&lt;&gt;".",s_Irr!AR2&lt;&gt;".",s_Irr!BP2&lt;&gt;"."),s_dir!U2/((1/1000)*(s_Irr!T2+s_Irr!AR2+s_Irr!BP2)),IF(AND(s_Irr!T2&lt;&gt;".",s_Irr!AR2&lt;&gt;".",s_Irr!BP2="."),s_dir!U2/((1/1000)*(s_Irr!T2+s_Irr!AR2)),IF(AND(s_Irr!T2&lt;&gt;".",s_Irr!AR2=".",s_Irr!BP2&lt;&gt;"."),s_dir!U2/((1/1000)*(s_Irr!T2+s_Irr!BP2)),IF(AND(s_Irr!T2=".",s_Irr!AR2&lt;&gt;".",s_Irr!BP2&lt;&gt;"."),s_dir!U2/((1/1000)*(s_Irr!AR2+s_Irr!BP2)),IF(AND(s_Irr!T2=".",s_Irr!AR2=".",s_Irr!BP2&lt;&gt;"."),s_dir!U2/((1/1000)*(s_Irr!BP2)),IF(AND(s_Irr!T2=".",s_Irr!AR2&lt;&gt;".",s_Irr!BP2="."),s_dir!U2/((1/1000)*(s_Irr!AR2)),IF(AND(s_Irr!T2&lt;&gt;".",s_Irr!AR2=".",s_Irr!BP2="."),s_dir!U2/((1/1000)*(s_Irr!T2)),IF(AND(s_Irr!T2=".",s_Irr!AR2=".",s_Irr!BP2="."),s_dir!U2*1000)))))))),".")</f>
        <v>112.56062691086413</v>
      </c>
      <c r="V2" s="76">
        <f>IFERROR(IF(AND(s_Irr!U2&lt;&gt;".",s_Irr!AS2&lt;&gt;".",s_Irr!BQ2&lt;&gt;"."),s_dir!V2/((1/1000)*(s_Irr!U2+s_Irr!AS2+s_Irr!BQ2)),IF(AND(s_Irr!U2&lt;&gt;".",s_Irr!AS2&lt;&gt;".",s_Irr!BQ2="."),s_dir!V2/((1/1000)*(s_Irr!U2+s_Irr!AS2)),IF(AND(s_Irr!U2&lt;&gt;".",s_Irr!AS2=".",s_Irr!BQ2&lt;&gt;"."),s_dir!V2/((1/1000)*(s_Irr!U2+s_Irr!BQ2)),IF(AND(s_Irr!U2=".",s_Irr!AS2&lt;&gt;".",s_Irr!BQ2&lt;&gt;"."),s_dir!V2/((1/1000)*(s_Irr!AS2+s_Irr!BQ2)),IF(AND(s_Irr!U2=".",s_Irr!AS2=".",s_Irr!BQ2&lt;&gt;"."),s_dir!V2/((1/1000)*(s_Irr!BQ2)),IF(AND(s_Irr!U2=".",s_Irr!AS2&lt;&gt;".",s_Irr!BQ2="."),s_dir!V2/((1/1000)*(s_Irr!AS2)),IF(AND(s_Irr!U2&lt;&gt;".",s_Irr!AS2=".",s_Irr!BQ2="."),s_dir!V2/((1/1000)*(s_Irr!U2)),IF(AND(s_Irr!U2=".",s_Irr!AS2=".",s_Irr!BQ2="."),s_dir!V2*1000)))))))),".")</f>
        <v>112.56062691086413</v>
      </c>
      <c r="W2" s="76">
        <f>IFERROR(IF(AND(s_Irr!V2&lt;&gt;".",s_Irr!AT2&lt;&gt;".",s_Irr!BR2&lt;&gt;"."),s_dir!W2/((1/1000)*(s_Irr!V2+s_Irr!AT2+s_Irr!BR2)),IF(AND(s_Irr!V2&lt;&gt;".",s_Irr!AT2&lt;&gt;".",s_Irr!BR2="."),s_dir!W2/((1/1000)*(s_Irr!V2+s_Irr!AT2)),IF(AND(s_Irr!V2&lt;&gt;".",s_Irr!AT2=".",s_Irr!BR2&lt;&gt;"."),s_dir!W2/((1/1000)*(s_Irr!V2+s_Irr!BR2)),IF(AND(s_Irr!V2=".",s_Irr!AT2&lt;&gt;".",s_Irr!BR2&lt;&gt;"."),s_dir!W2/((1/1000)*(s_Irr!AT2+s_Irr!BR2)),IF(AND(s_Irr!V2=".",s_Irr!AT2=".",s_Irr!BR2&lt;&gt;"."),s_dir!W2/((1/1000)*(s_Irr!BR2)),IF(AND(s_Irr!V2=".",s_Irr!AT2&lt;&gt;".",s_Irr!BR2="."),s_dir!W2/((1/1000)*(s_Irr!AT2)),IF(AND(s_Irr!V2&lt;&gt;".",s_Irr!AT2=".",s_Irr!BR2="."),s_dir!W2/((1/1000)*(s_Irr!V2)),IF(AND(s_Irr!V2=".",s_Irr!AT2=".",s_Irr!BR2="."),s_dir!W2*1000)))))))),".")</f>
        <v>112.56062691086413</v>
      </c>
      <c r="X2" s="76">
        <f>IFERROR(IF(AND(s_Irr!W2&lt;&gt;".",s_Irr!AU2&lt;&gt;".",s_Irr!BS2&lt;&gt;"."),s_dir!X2/((1/1000)*(s_Irr!W2+s_Irr!AU2+s_Irr!BS2)),IF(AND(s_Irr!W2&lt;&gt;".",s_Irr!AU2&lt;&gt;".",s_Irr!BS2="."),s_dir!X2/((1/1000)*(s_Irr!W2+s_Irr!AU2)),IF(AND(s_Irr!W2&lt;&gt;".",s_Irr!AU2=".",s_Irr!BS2&lt;&gt;"."),s_dir!X2/((1/1000)*(s_Irr!W2+s_Irr!BS2)),IF(AND(s_Irr!W2=".",s_Irr!AU2&lt;&gt;".",s_Irr!BS2&lt;&gt;"."),s_dir!X2/((1/1000)*(s_Irr!AU2+s_Irr!BS2)),IF(AND(s_Irr!W2=".",s_Irr!AU2=".",s_Irr!BS2&lt;&gt;"."),s_dir!X2/((1/1000)*(s_Irr!BS2)),IF(AND(s_Irr!W2=".",s_Irr!AU2&lt;&gt;".",s_Irr!BS2="."),s_dir!X2/((1/1000)*(s_Irr!AU2)),IF(AND(s_Irr!W2&lt;&gt;".",s_Irr!AU2=".",s_Irr!BS2="."),s_dir!X2/((1/1000)*(s_Irr!W2)),IF(AND(s_Irr!W2=".",s_Irr!AU2=".",s_Irr!BS2="."),s_dir!X2*1000)))))))),".")</f>
        <v>112.56062691086413</v>
      </c>
      <c r="Y2" s="76">
        <f>IFERROR(IF(AND(s_Irr!X2&lt;&gt;".",s_Irr!AV2&lt;&gt;".",s_Irr!BT2&lt;&gt;"."),s_dir!Y2/((1/1000)*(s_Irr!X2+s_Irr!AV2+s_Irr!BT2)),IF(AND(s_Irr!X2&lt;&gt;".",s_Irr!AV2&lt;&gt;".",s_Irr!BT2="."),s_dir!Y2/((1/1000)*(s_Irr!X2+s_Irr!AV2)),IF(AND(s_Irr!X2&lt;&gt;".",s_Irr!AV2=".",s_Irr!BT2&lt;&gt;"."),s_dir!Y2/((1/1000)*(s_Irr!X2+s_Irr!BT2)),IF(AND(s_Irr!X2=".",s_Irr!AV2&lt;&gt;".",s_Irr!BT2&lt;&gt;"."),s_dir!Y2/((1/1000)*(s_Irr!AV2+s_Irr!BT2)),IF(AND(s_Irr!X2=".",s_Irr!AV2=".",s_Irr!BT2&lt;&gt;"."),s_dir!Y2/((1/1000)*(s_Irr!BT2)),IF(AND(s_Irr!X2=".",s_Irr!AV2&lt;&gt;".",s_Irr!BT2="."),s_dir!Y2/((1/1000)*(s_Irr!AV2)),IF(AND(s_Irr!X2&lt;&gt;".",s_Irr!AV2=".",s_Irr!BT2="."),s_dir!Y2/((1/1000)*(s_Irr!X2)),IF(AND(s_Irr!X2=".",s_Irr!AV2=".",s_Irr!BT2="."),s_dir!Y2*1000)))))))),".")</f>
        <v>112.56062691086413</v>
      </c>
      <c r="Z2" s="76">
        <f>IFERROR(IF(AND(s_Irr!Y2&lt;&gt;".",s_Irr!AW2&lt;&gt;".",s_Irr!BU2&lt;&gt;"."),s_dir!Z2/((1/1000)*(s_Irr!Y2+s_Irr!AW2+s_Irr!BU2)),IF(AND(s_Irr!Y2&lt;&gt;".",s_Irr!AW2&lt;&gt;".",s_Irr!BU2="."),s_dir!Z2/((1/1000)*(s_Irr!Y2+s_Irr!AW2)),IF(AND(s_Irr!Y2&lt;&gt;".",s_Irr!AW2=".",s_Irr!BU2&lt;&gt;"."),s_dir!Z2/((1/1000)*(s_Irr!Y2+s_Irr!BU2)),IF(AND(s_Irr!Y2=".",s_Irr!AW2&lt;&gt;".",s_Irr!BU2&lt;&gt;"."),s_dir!Z2/((1/1000)*(s_Irr!AW2+s_Irr!BU2)),IF(AND(s_Irr!Y2=".",s_Irr!AW2=".",s_Irr!BU2&lt;&gt;"."),s_dir!Z2/((1/1000)*(s_Irr!BU2)),IF(AND(s_Irr!Y2=".",s_Irr!AW2&lt;&gt;".",s_Irr!BU2="."),s_dir!Z2/((1/1000)*(s_Irr!AW2)),IF(AND(s_Irr!Y2&lt;&gt;".",s_Irr!AW2=".",s_Irr!BU2="."),s_dir!Z2/((1/1000)*(s_Irr!Y2)),IF(AND(s_Irr!Y2=".",s_Irr!AW2=".",s_Irr!BU2="."),s_dir!Z2*1000)))))))),".")</f>
        <v>112.56062691086413</v>
      </c>
      <c r="AA2" s="76">
        <f>IFERROR(IF(AND(s_Irr!Z2&lt;&gt;".",s_Irr!AX2&lt;&gt;".",s_Irr!BV2&lt;&gt;"."),s_dir!AA2/((1/1000)*(s_Irr!Z2+s_Irr!AX2+s_Irr!BV2)),IF(AND(s_Irr!Z2&lt;&gt;".",s_Irr!AX2&lt;&gt;".",s_Irr!BV2="."),s_dir!AA2/((1/1000)*(s_Irr!Z2+s_Irr!AX2)),IF(AND(s_Irr!Z2&lt;&gt;".",s_Irr!AX2=".",s_Irr!BV2&lt;&gt;"."),s_dir!AA2/((1/1000)*(s_Irr!Z2+s_Irr!BV2)),IF(AND(s_Irr!Z2=".",s_Irr!AX2&lt;&gt;".",s_Irr!BV2&lt;&gt;"."),s_dir!AA2/((1/1000)*(s_Irr!AX2+s_Irr!BV2)),IF(AND(s_Irr!Z2=".",s_Irr!AX2=".",s_Irr!BV2&lt;&gt;"."),s_dir!AA2/((1/1000)*(s_Irr!BV2)),IF(AND(s_Irr!Z2=".",s_Irr!AX2&lt;&gt;".",s_Irr!BV2="."),s_dir!AA2/((1/1000)*(s_Irr!AX2)),IF(AND(s_Irr!Z2&lt;&gt;".",s_Irr!AX2=".",s_Irr!BV2="."),s_dir!AA2/((1/1000)*(s_Irr!Z2)),IF(AND(s_Irr!Z2=".",s_Irr!AX2=".",s_Irr!BV2="."),s_dir!AA2*1000)))))))),".")</f>
        <v>112.56062691086413</v>
      </c>
      <c r="AB2" s="93">
        <f>SUM(AC2:AD2,AY2:AZ2)</f>
        <v>654.25297846430772</v>
      </c>
      <c r="AC2" s="93">
        <f>IFERROR(s_C*s_IFAP_res_adj*s_CF_apple*0.001*(s_Irr!C2+s_Irr!AA2+s_Irr!AY2),".")</f>
        <v>163.56324461607693</v>
      </c>
      <c r="AD2" s="93">
        <f>IFERROR(s_C*s_IFAS_res_adj*s_CF_asparagus*0.001*(s_Irr!D2+s_Irr!AB2+s_Irr!AZ2),".")</f>
        <v>163.56324461607693</v>
      </c>
      <c r="AE2" s="93">
        <f>IFERROR(s_C*s_IFBT_res_adj*s_CF_beet*0.001*(s_Irr!E2+s_Irr!AC2+s_Irr!BA2),".")</f>
        <v>163.56324461607693</v>
      </c>
      <c r="AF2" s="93">
        <f>IFERROR(s_C*s_IFBE_res_adj*s_CF_berries*0.001*(s_Irr!F2+s_Irr!AD2+s_Irr!BB2),".")</f>
        <v>163.56324461607693</v>
      </c>
      <c r="AG2" s="93">
        <f>IFERROR(s_C*s_IFBR_res_adj*s_CF_broccoli*0.001*(s_Irr!G2+s_Irr!AE2+s_Irr!BC2),".")</f>
        <v>163.56324461607693</v>
      </c>
      <c r="AH2" s="93">
        <f>IFERROR(s_C*s_IFCB_res_adj*s_CF_cabbage*0.001*(s_Irr!H2+s_Irr!AF2+s_Irr!BD2),".")</f>
        <v>163.56324461607693</v>
      </c>
      <c r="AI2" s="93">
        <f>IFERROR(s_C*s_IFCR_res_adj*s_CF_carrot*0.001*(s_Irr!I2+s_Irr!AG2+s_Irr!BE2),".")</f>
        <v>163.56324461607693</v>
      </c>
      <c r="AJ2" s="93">
        <f>IFERROR(s_C*s_IFCI_res_adj*s_CF_citrus*0.001*(s_Irr!J2+s_Irr!AH2+s_Irr!BF2),".")</f>
        <v>163.56324461607693</v>
      </c>
      <c r="AK2" s="93">
        <f>IFERROR(s_C*s_IFCO_res_adj*s_CF_corn*0.001*(s_Irr!K2+s_Irr!AI2+s_Irr!BG2),".")</f>
        <v>163.56324461607693</v>
      </c>
      <c r="AL2" s="93">
        <f>IFERROR(s_C*s_IFCU_res_adj*s_CF_cucumber*0.001*(s_Irr!L2+s_Irr!AJ2+s_Irr!BH2),".")</f>
        <v>163.56324461607693</v>
      </c>
      <c r="AM2" s="93">
        <f>IFERROR(s_C*s_IFLE_res_adj*s_CF_lettuce*0.001*(s_Irr!M2+s_Irr!AK2+s_Irr!BI2),".")</f>
        <v>163.56324461607693</v>
      </c>
      <c r="AN2" s="93">
        <f>IFERROR(s_C*s_IFLI_res_adj*s_CF_lima_bean*0.001*(s_Irr!N2+s_Irr!AL2+s_Irr!BJ2),".")</f>
        <v>163.56324461607693</v>
      </c>
      <c r="AO2" s="93">
        <f>IFERROR(s_C*s_IFOK_res_adj*s_CF_okra*0.001*(s_Irr!O2+s_Irr!AM2+s_Irr!BK2),".")</f>
        <v>163.56324461607693</v>
      </c>
      <c r="AP2" s="93">
        <f>IFERROR(s_C*s_IFON_res_adj*s_CF_onion*0.001*(s_Irr!P2+s_Irr!AN2+s_Irr!BL2),".")</f>
        <v>163.56324461607693</v>
      </c>
      <c r="AQ2" s="93">
        <f>IFERROR(s_C*s_IFPC_res_adj*s_CF_peach*0.001*(s_Irr!Q2+s_Irr!AO2+s_Irr!BM2),".")</f>
        <v>163.56324461607693</v>
      </c>
      <c r="AR2" s="93">
        <f>IFERROR(s_C*s_IFPR_res_adj*s_CF_pear*0.001*(s_Irr!R2+s_Irr!AP2+s_Irr!BN2),".")</f>
        <v>163.56324461607693</v>
      </c>
      <c r="AS2" s="93">
        <f>IFERROR(s_C*s_IFPE_res_adj*s_CF_peas*0.001*(s_Irr!S2+s_Irr!AQ2+s_Irr!BO2),".")</f>
        <v>163.56324461607693</v>
      </c>
      <c r="AT2" s="93">
        <f>IFERROR(s_C*s_IFPT_res_adj*s_CF_potato*0.001*(s_Irr!T2+s_Irr!AR2+s_Irr!BP2),".")</f>
        <v>163.56324461607693</v>
      </c>
      <c r="AU2" s="93">
        <f>IFERROR(s_C*s_IFPU_res_adj*s_CF_pumpkin*0.001*(s_Irr!U2+s_Irr!AS2+s_Irr!BQ2),".")</f>
        <v>163.56324461607693</v>
      </c>
      <c r="AV2" s="93">
        <f>IFERROR(s_C*s_IFSN_res_adj*s_CF_snap_bean*0.001*(s_Irr!V2+s_Irr!AT2+s_Irr!BR2),".")</f>
        <v>163.56324461607693</v>
      </c>
      <c r="AW2" s="93">
        <f>IFERROR(s_C*s_IFST_res_adj*s_CF_strawberry*0.001*(s_Irr!W2+s_Irr!AU2+s_Irr!BS2),".")</f>
        <v>163.56324461607693</v>
      </c>
      <c r="AX2" s="93">
        <f>IFERROR(s_C*s_IFTO_res_adj*s_CF_tomato*0.001*(s_Irr!X2+s_Irr!AV2+s_Irr!BT2),".")</f>
        <v>163.56324461607693</v>
      </c>
      <c r="AY2" s="93">
        <f>IFERROR(s_C*s_IFRI_res_adj*s_CF_rice*0.001*(s_Irr!Y2+s_Irr!AW2+s_Irr!BU2),".")</f>
        <v>163.56324461607693</v>
      </c>
      <c r="AZ2" s="93">
        <f>IFERROR(s_C*s_IFCG_res_adj*s_CF_cereal*0.001*(s_Irr!Z2+s_Irr!AX2+s_Irr!BV2),".")</f>
        <v>163.56324461607693</v>
      </c>
      <c r="BA2" s="76">
        <f t="shared" ref="BA2" si="1">IFERROR(1/SUM(1/BB2,1/BC2,1/BX2,1/BY2),".")</f>
        <v>28.140156727716032</v>
      </c>
      <c r="BB2" s="76">
        <f>IFERROR(IF(AND(s_Irr!C2&lt;&gt;".",s_Irr!AA2&lt;&gt;".",s_Irr!AY2&lt;&gt;"."),s_dir!AC2/((1/1000)*(s_Irr!C2+s_Irr!AA2+s_Irr!AY2)),IF(AND(s_Irr!C2&lt;&gt;".",s_Irr!AA2&lt;&gt;".",s_Irr!AY2="."),s_dir!AC2/((1/1000)*(s_Irr!C2+s_Irr!AA2)),IF(AND(s_Irr!C2&lt;&gt;".",s_Irr!AA2=".",s_Irr!AY2&lt;&gt;"."),s_dir!AC2/((1/1000)*(s_Irr!C2+s_Irr!AY2)),IF(AND(s_Irr!C2=".",s_Irr!AA2&lt;&gt;".",s_Irr!AY2&lt;&gt;"."),s_dir!AC2/((1/1000)*(s_Irr!AA2+s_Irr!AY2)),IF(AND(s_Irr!C2=".",s_Irr!AA2=".",s_Irr!AY2&lt;&gt;"."),s_dir!AC2/((1/1000)*(s_Irr!AY2)),IF(AND(s_Irr!C2=".",s_Irr!AA2&lt;&gt;".",s_Irr!AY2="."),s_dir!AC2/((1/1000)*(s_Irr!AA2)),IF(AND(s_Irr!C2&lt;&gt;".",s_Irr!AA2=".",s_Irr!AY2="."),s_dir!AC2/((1/1000)*(s_Irr!C2)),IF(AND(s_Irr!C2=".",s_Irr!AA2=".",s_Irr!AY2="."),s_dir!AC2*1000)))))))),".")</f>
        <v>112.56062691086413</v>
      </c>
      <c r="BC2" s="76">
        <f>IFERROR(IF(AND(s_Irr!D2&lt;&gt;".",s_Irr!AB2&lt;&gt;".",s_Irr!AZ2&lt;&gt;"."),s_dir!AD2/((1/1000)*(s_Irr!D2+s_Irr!AB2+s_Irr!AZ2)),IF(AND(s_Irr!D2&lt;&gt;".",s_Irr!AB2&lt;&gt;".",s_Irr!AZ2="."),s_dir!AD2/((1/1000)*(s_Irr!D2+s_Irr!AB2)),IF(AND(s_Irr!D2&lt;&gt;".",s_Irr!AB2=".",s_Irr!AZ2&lt;&gt;"."),s_dir!AD2/((1/1000)*(s_Irr!D2+s_Irr!AZ2)),IF(AND(s_Irr!D2=".",s_Irr!AB2&lt;&gt;".",s_Irr!AZ2&lt;&gt;"."),s_dir!AD2/((1/1000)*(s_Irr!AB2+s_Irr!AZ2)),IF(AND(s_Irr!D2=".",s_Irr!AB2=".",s_Irr!AZ2&lt;&gt;"."),s_dir!AD2/((1/1000)*(s_Irr!AZ2)),IF(AND(s_Irr!D2=".",s_Irr!AB2&lt;&gt;".",s_Irr!AZ2="."),s_dir!AD2/((1/1000)*(s_Irr!AB2)),IF(AND(s_Irr!D2&lt;&gt;".",s_Irr!AB2=".",s_Irr!AZ2="."),s_dir!AD2/((1/1000)*(s_Irr!D2)),IF(AND(s_Irr!D2=".",s_Irr!AB2=".",s_Irr!AZ2="."),s_dir!AD2*1000)))))))),".")</f>
        <v>112.56062691086413</v>
      </c>
      <c r="BD2" s="76">
        <f>IFERROR(IF(AND(s_Irr!E2&lt;&gt;".",s_Irr!AC2&lt;&gt;".",s_Irr!BA2&lt;&gt;"."),s_dir!AE2/((1/1000)*(s_Irr!E2+s_Irr!AC2+s_Irr!BA2)),IF(AND(s_Irr!E2&lt;&gt;".",s_Irr!AC2&lt;&gt;".",s_Irr!BA2="."),s_dir!AE2/((1/1000)*(s_Irr!E2+s_Irr!AC2)),IF(AND(s_Irr!E2&lt;&gt;".",s_Irr!AC2=".",s_Irr!BA2&lt;&gt;"."),s_dir!AE2/((1/1000)*(s_Irr!E2+s_Irr!BA2)),IF(AND(s_Irr!E2=".",s_Irr!AC2&lt;&gt;".",s_Irr!BA2&lt;&gt;"."),s_dir!AE2/((1/1000)*(s_Irr!AC2+s_Irr!BA2)),IF(AND(s_Irr!E2=".",s_Irr!AC2=".",s_Irr!BA2&lt;&gt;"."),s_dir!AE2/((1/1000)*(s_Irr!BA2)),IF(AND(s_Irr!E2=".",s_Irr!AC2&lt;&gt;".",s_Irr!BA2="."),s_dir!AE2/((1/1000)*(s_Irr!AC2)),IF(AND(s_Irr!E2&lt;&gt;".",s_Irr!AC2=".",s_Irr!BA2="."),s_dir!AE2/((1/1000)*(s_Irr!E2)),IF(AND(s_Irr!E2=".",s_Irr!AC2=".",s_Irr!BA2="."),s_dir!AE2*1000)))))))),".")</f>
        <v>112.56062691086413</v>
      </c>
      <c r="BE2" s="76">
        <f>IFERROR(IF(AND(s_Irr!F2&lt;&gt;".",s_Irr!AD2&lt;&gt;".",s_Irr!BB2&lt;&gt;"."),s_dir!AF2/((1/1000)*(s_Irr!F2+s_Irr!AD2+s_Irr!BB2)),IF(AND(s_Irr!F2&lt;&gt;".",s_Irr!AD2&lt;&gt;".",s_Irr!BB2="."),s_dir!AF2/((1/1000)*(s_Irr!F2+s_Irr!AD2)),IF(AND(s_Irr!F2&lt;&gt;".",s_Irr!AD2=".",s_Irr!BB2&lt;&gt;"."),s_dir!AF2/((1/1000)*(s_Irr!F2+s_Irr!BB2)),IF(AND(s_Irr!F2=".",s_Irr!AD2&lt;&gt;".",s_Irr!BB2&lt;&gt;"."),s_dir!AF2/((1/1000)*(s_Irr!AD2+s_Irr!BB2)),IF(AND(s_Irr!F2=".",s_Irr!AD2=".",s_Irr!BB2&lt;&gt;"."),s_dir!AF2/((1/1000)*(s_Irr!BB2)),IF(AND(s_Irr!F2=".",s_Irr!AD2&lt;&gt;".",s_Irr!BB2="."),s_dir!AF2/((1/1000)*(s_Irr!AD2)),IF(AND(s_Irr!F2&lt;&gt;".",s_Irr!AD2=".",s_Irr!BB2="."),s_dir!AF2/((1/1000)*(s_Irr!F2)),IF(AND(s_Irr!F2=".",s_Irr!AD2=".",s_Irr!BB2="."),s_dir!AF2*1000)))))))),".")</f>
        <v>112.56062691086413</v>
      </c>
      <c r="BF2" s="76">
        <f>IFERROR(IF(AND(s_Irr!G2&lt;&gt;".",s_Irr!AE2&lt;&gt;".",s_Irr!BC2&lt;&gt;"."),s_dir!AG2/((1/1000)*(s_Irr!G2+s_Irr!AE2+s_Irr!BC2)),IF(AND(s_Irr!G2&lt;&gt;".",s_Irr!AE2&lt;&gt;".",s_Irr!BC2="."),s_dir!AG2/((1/1000)*(s_Irr!G2+s_Irr!AE2)),IF(AND(s_Irr!G2&lt;&gt;".",s_Irr!AE2=".",s_Irr!BC2&lt;&gt;"."),s_dir!AG2/((1/1000)*(s_Irr!G2+s_Irr!BC2)),IF(AND(s_Irr!G2=".",s_Irr!AE2&lt;&gt;".",s_Irr!BC2&lt;&gt;"."),s_dir!AG2/((1/1000)*(s_Irr!AE2+s_Irr!BC2)),IF(AND(s_Irr!G2=".",s_Irr!AE2=".",s_Irr!BC2&lt;&gt;"."),s_dir!AG2/((1/1000)*(s_Irr!BC2)),IF(AND(s_Irr!G2=".",s_Irr!AE2&lt;&gt;".",s_Irr!BC2="."),s_dir!AG2/((1/1000)*(s_Irr!AE2)),IF(AND(s_Irr!G2&lt;&gt;".",s_Irr!AE2=".",s_Irr!BC2="."),s_dir!AG2/((1/1000)*(s_Irr!G2)),IF(AND(s_Irr!G2=".",s_Irr!AE2=".",s_Irr!BC2="."),s_dir!AG2*1000)))))))),".")</f>
        <v>112.56062691086413</v>
      </c>
      <c r="BG2" s="76">
        <f>IFERROR(IF(AND(s_Irr!H2&lt;&gt;".",s_Irr!AF2&lt;&gt;".",s_Irr!BD2&lt;&gt;"."),s_dir!AH2/((1/1000)*(s_Irr!H2+s_Irr!AF2+s_Irr!BD2)),IF(AND(s_Irr!H2&lt;&gt;".",s_Irr!AF2&lt;&gt;".",s_Irr!BD2="."),s_dir!AH2/((1/1000)*(s_Irr!H2+s_Irr!AF2)),IF(AND(s_Irr!H2&lt;&gt;".",s_Irr!AF2=".",s_Irr!BD2&lt;&gt;"."),s_dir!AH2/((1/1000)*(s_Irr!H2+s_Irr!BD2)),IF(AND(s_Irr!H2=".",s_Irr!AF2&lt;&gt;".",s_Irr!BD2&lt;&gt;"."),s_dir!AH2/((1/1000)*(s_Irr!AF2+s_Irr!BD2)),IF(AND(s_Irr!H2=".",s_Irr!AF2=".",s_Irr!BD2&lt;&gt;"."),s_dir!AH2/((1/1000)*(s_Irr!BD2)),IF(AND(s_Irr!H2=".",s_Irr!AF2&lt;&gt;".",s_Irr!BD2="."),s_dir!AH2/((1/1000)*(s_Irr!AF2)),IF(AND(s_Irr!H2&lt;&gt;".",s_Irr!AF2=".",s_Irr!BD2="."),s_dir!AH2/((1/1000)*(s_Irr!H2)),IF(AND(s_Irr!H2=".",s_Irr!AF2=".",s_Irr!BD2="."),s_dir!AH2*1000)))))))),".")</f>
        <v>112.56062691086413</v>
      </c>
      <c r="BH2" s="76">
        <f>IFERROR(IF(AND(s_Irr!I2&lt;&gt;".",s_Irr!AG2&lt;&gt;".",s_Irr!BE2&lt;&gt;"."),s_dir!AI2/((1/1000)*(s_Irr!I2+s_Irr!AG2+s_Irr!BE2)),IF(AND(s_Irr!I2&lt;&gt;".",s_Irr!AG2&lt;&gt;".",s_Irr!BE2="."),s_dir!AI2/((1/1000)*(s_Irr!I2+s_Irr!AG2)),IF(AND(s_Irr!I2&lt;&gt;".",s_Irr!AG2=".",s_Irr!BE2&lt;&gt;"."),s_dir!AI2/((1/1000)*(s_Irr!I2+s_Irr!BE2)),IF(AND(s_Irr!I2=".",s_Irr!AG2&lt;&gt;".",s_Irr!BE2&lt;&gt;"."),s_dir!AI2/((1/1000)*(s_Irr!AG2+s_Irr!BE2)),IF(AND(s_Irr!I2=".",s_Irr!AG2=".",s_Irr!BE2&lt;&gt;"."),s_dir!AI2/((1/1000)*(s_Irr!BE2)),IF(AND(s_Irr!I2=".",s_Irr!AG2&lt;&gt;".",s_Irr!BE2="."),s_dir!AI2/((1/1000)*(s_Irr!AG2)),IF(AND(s_Irr!I2&lt;&gt;".",s_Irr!AG2=".",s_Irr!BE2="."),s_dir!AI2/((1/1000)*(s_Irr!I2)),IF(AND(s_Irr!I2=".",s_Irr!AG2=".",s_Irr!BE2="."),s_dir!AI2*1000)))))))),".")</f>
        <v>112.56062691086413</v>
      </c>
      <c r="BI2" s="76">
        <f>IFERROR(IF(AND(s_Irr!J2&lt;&gt;".",s_Irr!AH2&lt;&gt;".",s_Irr!BF2&lt;&gt;"."),s_dir!AJ2/((1/1000)*(s_Irr!J2+s_Irr!AH2+s_Irr!BF2)),IF(AND(s_Irr!J2&lt;&gt;".",s_Irr!AH2&lt;&gt;".",s_Irr!BF2="."),s_dir!AJ2/((1/1000)*(s_Irr!J2+s_Irr!AH2)),IF(AND(s_Irr!J2&lt;&gt;".",s_Irr!AH2=".",s_Irr!BF2&lt;&gt;"."),s_dir!AJ2/((1/1000)*(s_Irr!J2+s_Irr!BF2)),IF(AND(s_Irr!J2=".",s_Irr!AH2&lt;&gt;".",s_Irr!BF2&lt;&gt;"."),s_dir!AJ2/((1/1000)*(s_Irr!AH2+s_Irr!BF2)),IF(AND(s_Irr!J2=".",s_Irr!AH2=".",s_Irr!BF2&lt;&gt;"."),s_dir!AJ2/((1/1000)*(s_Irr!BF2)),IF(AND(s_Irr!J2=".",s_Irr!AH2&lt;&gt;".",s_Irr!BF2="."),s_dir!AJ2/((1/1000)*(s_Irr!AH2)),IF(AND(s_Irr!J2&lt;&gt;".",s_Irr!AH2=".",s_Irr!BF2="."),s_dir!AJ2/((1/1000)*(s_Irr!J2)),IF(AND(s_Irr!J2=".",s_Irr!AH2=".",s_Irr!BF2="."),s_dir!AJ2*1000)))))))),".")</f>
        <v>112.56062691086413</v>
      </c>
      <c r="BJ2" s="76">
        <f>IFERROR(IF(AND(s_Irr!K2&lt;&gt;".",s_Irr!AI2&lt;&gt;".",s_Irr!BG2&lt;&gt;"."),s_dir!AK2/((1/1000)*(s_Irr!K2+s_Irr!AI2+s_Irr!BG2)),IF(AND(s_Irr!K2&lt;&gt;".",s_Irr!AI2&lt;&gt;".",s_Irr!BG2="."),s_dir!AK2/((1/1000)*(s_Irr!K2+s_Irr!AI2)),IF(AND(s_Irr!K2&lt;&gt;".",s_Irr!AI2=".",s_Irr!BG2&lt;&gt;"."),s_dir!AK2/((1/1000)*(s_Irr!K2+s_Irr!BG2)),IF(AND(s_Irr!K2=".",s_Irr!AI2&lt;&gt;".",s_Irr!BG2&lt;&gt;"."),s_dir!AK2/((1/1000)*(s_Irr!AI2+s_Irr!BG2)),IF(AND(s_Irr!K2=".",s_Irr!AI2=".",s_Irr!BG2&lt;&gt;"."),s_dir!AK2/((1/1000)*(s_Irr!BG2)),IF(AND(s_Irr!K2=".",s_Irr!AI2&lt;&gt;".",s_Irr!BG2="."),s_dir!AK2/((1/1000)*(s_Irr!AI2)),IF(AND(s_Irr!K2&lt;&gt;".",s_Irr!AI2=".",s_Irr!BG2="."),s_dir!AK2/((1/1000)*(s_Irr!K2)),IF(AND(s_Irr!K2=".",s_Irr!AI2=".",s_Irr!BG2="."),s_dir!AK2*1000)))))))),".")</f>
        <v>112.56062691086413</v>
      </c>
      <c r="BK2" s="76">
        <f>IFERROR(IF(AND(s_Irr!L2&lt;&gt;".",s_Irr!AJ2&lt;&gt;".",s_Irr!BH2&lt;&gt;"."),s_dir!AL2/((1/1000)*(s_Irr!L2+s_Irr!AJ2+s_Irr!BH2)),IF(AND(s_Irr!L2&lt;&gt;".",s_Irr!AJ2&lt;&gt;".",s_Irr!BH2="."),s_dir!AL2/((1/1000)*(s_Irr!L2+s_Irr!AJ2)),IF(AND(s_Irr!L2&lt;&gt;".",s_Irr!AJ2=".",s_Irr!BH2&lt;&gt;"."),s_dir!AL2/((1/1000)*(s_Irr!L2+s_Irr!BH2)),IF(AND(s_Irr!L2=".",s_Irr!AJ2&lt;&gt;".",s_Irr!BH2&lt;&gt;"."),s_dir!AL2/((1/1000)*(s_Irr!AJ2+s_Irr!BH2)),IF(AND(s_Irr!L2=".",s_Irr!AJ2=".",s_Irr!BH2&lt;&gt;"."),s_dir!AL2/((1/1000)*(s_Irr!BH2)),IF(AND(s_Irr!L2=".",s_Irr!AJ2&lt;&gt;".",s_Irr!BH2="."),s_dir!AL2/((1/1000)*(s_Irr!AJ2)),IF(AND(s_Irr!L2&lt;&gt;".",s_Irr!AJ2=".",s_Irr!BH2="."),s_dir!AL2/((1/1000)*(s_Irr!L2)),IF(AND(s_Irr!L2=".",s_Irr!AJ2=".",s_Irr!BH2="."),s_dir!AL2*1000)))))))),".")</f>
        <v>112.56062691086413</v>
      </c>
      <c r="BL2" s="76">
        <f>IFERROR(IF(AND(s_Irr!M2&lt;&gt;".",s_Irr!AK2&lt;&gt;".",s_Irr!BI2&lt;&gt;"."),s_dir!AM2/((1/1000)*(s_Irr!M2+s_Irr!AK2+s_Irr!BI2)),IF(AND(s_Irr!M2&lt;&gt;".",s_Irr!AK2&lt;&gt;".",s_Irr!BI2="."),s_dir!AM2/((1/1000)*(s_Irr!M2+s_Irr!AK2)),IF(AND(s_Irr!M2&lt;&gt;".",s_Irr!AK2=".",s_Irr!BI2&lt;&gt;"."),s_dir!AM2/((1/1000)*(s_Irr!M2+s_Irr!BI2)),IF(AND(s_Irr!M2=".",s_Irr!AK2&lt;&gt;".",s_Irr!BI2&lt;&gt;"."),s_dir!AM2/((1/1000)*(s_Irr!AK2+s_Irr!BI2)),IF(AND(s_Irr!M2=".",s_Irr!AK2=".",s_Irr!BI2&lt;&gt;"."),s_dir!AM2/((1/1000)*(s_Irr!BI2)),IF(AND(s_Irr!M2=".",s_Irr!AK2&lt;&gt;".",s_Irr!BI2="."),s_dir!AM2/((1/1000)*(s_Irr!AK2)),IF(AND(s_Irr!M2&lt;&gt;".",s_Irr!AK2=".",s_Irr!BI2="."),s_dir!AM2/((1/1000)*(s_Irr!M2)),IF(AND(s_Irr!M2=".",s_Irr!AK2=".",s_Irr!BI2="."),s_dir!AM2*1000)))))))),".")</f>
        <v>112.56062691086413</v>
      </c>
      <c r="BM2" s="76">
        <f>IFERROR(IF(AND(s_Irr!N2&lt;&gt;".",s_Irr!AL2&lt;&gt;".",s_Irr!BJ2&lt;&gt;"."),s_dir!AN2/((1/1000)*(s_Irr!N2+s_Irr!AL2+s_Irr!BJ2)),IF(AND(s_Irr!N2&lt;&gt;".",s_Irr!AL2&lt;&gt;".",s_Irr!BJ2="."),s_dir!AN2/((1/1000)*(s_Irr!N2+s_Irr!AL2)),IF(AND(s_Irr!N2&lt;&gt;".",s_Irr!AL2=".",s_Irr!BJ2&lt;&gt;"."),s_dir!AN2/((1/1000)*(s_Irr!N2+s_Irr!BJ2)),IF(AND(s_Irr!N2=".",s_Irr!AL2&lt;&gt;".",s_Irr!BJ2&lt;&gt;"."),s_dir!AN2/((1/1000)*(s_Irr!AL2+s_Irr!BJ2)),IF(AND(s_Irr!N2=".",s_Irr!AL2=".",s_Irr!BJ2&lt;&gt;"."),s_dir!AN2/((1/1000)*(s_Irr!BJ2)),IF(AND(s_Irr!N2=".",s_Irr!AL2&lt;&gt;".",s_Irr!BJ2="."),s_dir!AN2/((1/1000)*(s_Irr!AL2)),IF(AND(s_Irr!N2&lt;&gt;".",s_Irr!AL2=".",s_Irr!BJ2="."),s_dir!AN2/((1/1000)*(s_Irr!N2)),IF(AND(s_Irr!N2=".",s_Irr!AL2=".",s_Irr!BJ2="."),s_dir!AN2*1000)))))))),".")</f>
        <v>112.56062691086413</v>
      </c>
      <c r="BN2" s="76">
        <f>IFERROR(IF(AND(s_Irr!O2&lt;&gt;".",s_Irr!AM2&lt;&gt;".",s_Irr!BK2&lt;&gt;"."),s_dir!AO2/((1/1000)*(s_Irr!O2+s_Irr!AM2+s_Irr!BK2)),IF(AND(s_Irr!O2&lt;&gt;".",s_Irr!AM2&lt;&gt;".",s_Irr!BK2="."),s_dir!AO2/((1/1000)*(s_Irr!O2+s_Irr!AM2)),IF(AND(s_Irr!O2&lt;&gt;".",s_Irr!AM2=".",s_Irr!BK2&lt;&gt;"."),s_dir!AO2/((1/1000)*(s_Irr!O2+s_Irr!BK2)),IF(AND(s_Irr!O2=".",s_Irr!AM2&lt;&gt;".",s_Irr!BK2&lt;&gt;"."),s_dir!AO2/((1/1000)*(s_Irr!AM2+s_Irr!BK2)),IF(AND(s_Irr!O2=".",s_Irr!AM2=".",s_Irr!BK2&lt;&gt;"."),s_dir!AO2/((1/1000)*(s_Irr!BK2)),IF(AND(s_Irr!O2=".",s_Irr!AM2&lt;&gt;".",s_Irr!BK2="."),s_dir!AO2/((1/1000)*(s_Irr!AM2)),IF(AND(s_Irr!O2&lt;&gt;".",s_Irr!AM2=".",s_Irr!BK2="."),s_dir!AO2/((1/1000)*(s_Irr!O2)),IF(AND(s_Irr!O2=".",s_Irr!AM2=".",s_Irr!BK2="."),s_dir!AO2*1000)))))))),".")</f>
        <v>112.56062691086413</v>
      </c>
      <c r="BO2" s="76">
        <f>IFERROR(IF(AND(s_Irr!P2&lt;&gt;".",s_Irr!AN2&lt;&gt;".",s_Irr!BL2&lt;&gt;"."),s_dir!AP2/((1/1000)*(s_Irr!P2+s_Irr!AN2+s_Irr!BL2)),IF(AND(s_Irr!P2&lt;&gt;".",s_Irr!AN2&lt;&gt;".",s_Irr!BL2="."),s_dir!AP2/((1/1000)*(s_Irr!P2+s_Irr!AN2)),IF(AND(s_Irr!P2&lt;&gt;".",s_Irr!AN2=".",s_Irr!BL2&lt;&gt;"."),s_dir!AP2/((1/1000)*(s_Irr!P2+s_Irr!BL2)),IF(AND(s_Irr!P2=".",s_Irr!AN2&lt;&gt;".",s_Irr!BL2&lt;&gt;"."),s_dir!AP2/((1/1000)*(s_Irr!AN2+s_Irr!BL2)),IF(AND(s_Irr!P2=".",s_Irr!AN2=".",s_Irr!BL2&lt;&gt;"."),s_dir!AP2/((1/1000)*(s_Irr!BL2)),IF(AND(s_Irr!P2=".",s_Irr!AN2&lt;&gt;".",s_Irr!BL2="."),s_dir!AP2/((1/1000)*(s_Irr!AN2)),IF(AND(s_Irr!P2&lt;&gt;".",s_Irr!AN2=".",s_Irr!BL2="."),s_dir!AP2/((1/1000)*(s_Irr!P2)),IF(AND(s_Irr!P2=".",s_Irr!AN2=".",s_Irr!BL2="."),s_dir!AP2*1000)))))))),".")</f>
        <v>112.56062691086413</v>
      </c>
      <c r="BP2" s="76">
        <f>IFERROR(IF(AND(s_Irr!Q2&lt;&gt;".",s_Irr!AO2&lt;&gt;".",s_Irr!BM2&lt;&gt;"."),s_dir!AQ2/((1/1000)*(s_Irr!Q2+s_Irr!AO2+s_Irr!BM2)),IF(AND(s_Irr!Q2&lt;&gt;".",s_Irr!AO2&lt;&gt;".",s_Irr!BM2="."),s_dir!AQ2/((1/1000)*(s_Irr!Q2+s_Irr!AO2)),IF(AND(s_Irr!Q2&lt;&gt;".",s_Irr!AO2=".",s_Irr!BM2&lt;&gt;"."),s_dir!AQ2/((1/1000)*(s_Irr!Q2+s_Irr!BM2)),IF(AND(s_Irr!Q2=".",s_Irr!AO2&lt;&gt;".",s_Irr!BM2&lt;&gt;"."),s_dir!AQ2/((1/1000)*(s_Irr!AO2+s_Irr!BM2)),IF(AND(s_Irr!Q2=".",s_Irr!AO2=".",s_Irr!BM2&lt;&gt;"."),s_dir!AQ2/((1/1000)*(s_Irr!BM2)),IF(AND(s_Irr!Q2=".",s_Irr!AO2&lt;&gt;".",s_Irr!BM2="."),s_dir!AQ2/((1/1000)*(s_Irr!AO2)),IF(AND(s_Irr!Q2&lt;&gt;".",s_Irr!AO2=".",s_Irr!BM2="."),s_dir!AQ2/((1/1000)*(s_Irr!Q2)),IF(AND(s_Irr!Q2=".",s_Irr!AO2=".",s_Irr!BM2="."),s_dir!AQ2*1000)))))))),".")</f>
        <v>112.56062691086413</v>
      </c>
      <c r="BQ2" s="76">
        <f>IFERROR(IF(AND(s_Irr!R2&lt;&gt;".",s_Irr!AP2&lt;&gt;".",s_Irr!BN2&lt;&gt;"."),s_dir!AR2/((1/1000)*(s_Irr!R2+s_Irr!AP2+s_Irr!BN2)),IF(AND(s_Irr!R2&lt;&gt;".",s_Irr!AP2&lt;&gt;".",s_Irr!BN2="."),s_dir!AR2/((1/1000)*(s_Irr!R2+s_Irr!AP2)),IF(AND(s_Irr!R2&lt;&gt;".",s_Irr!AP2=".",s_Irr!BN2&lt;&gt;"."),s_dir!AR2/((1/1000)*(s_Irr!R2+s_Irr!BN2)),IF(AND(s_Irr!R2=".",s_Irr!AP2&lt;&gt;".",s_Irr!BN2&lt;&gt;"."),s_dir!AR2/((1/1000)*(s_Irr!AP2+s_Irr!BN2)),IF(AND(s_Irr!R2=".",s_Irr!AP2=".",s_Irr!BN2&lt;&gt;"."),s_dir!AR2/((1/1000)*(s_Irr!BN2)),IF(AND(s_Irr!R2=".",s_Irr!AP2&lt;&gt;".",s_Irr!BN2="."),s_dir!AR2/((1/1000)*(s_Irr!AP2)),IF(AND(s_Irr!R2&lt;&gt;".",s_Irr!AP2=".",s_Irr!BN2="."),s_dir!AR2/((1/1000)*(s_Irr!R2)),IF(AND(s_Irr!R2=".",s_Irr!AP2=".",s_Irr!BN2="."),s_dir!AR2*1000)))))))),".")</f>
        <v>112.56062691086413</v>
      </c>
      <c r="BR2" s="76">
        <f>IFERROR(IF(AND(s_Irr!S2&lt;&gt;".",s_Irr!AQ2&lt;&gt;".",s_Irr!BO2&lt;&gt;"."),s_dir!AS2/((1/1000)*(s_Irr!S2+s_Irr!AQ2+s_Irr!BO2)),IF(AND(s_Irr!S2&lt;&gt;".",s_Irr!AQ2&lt;&gt;".",s_Irr!BO2="."),s_dir!AS2/((1/1000)*(s_Irr!S2+s_Irr!AQ2)),IF(AND(s_Irr!S2&lt;&gt;".",s_Irr!AQ2=".",s_Irr!BO2&lt;&gt;"."),s_dir!AS2/((1/1000)*(s_Irr!S2+s_Irr!BO2)),IF(AND(s_Irr!S2=".",s_Irr!AQ2&lt;&gt;".",s_Irr!BO2&lt;&gt;"."),s_dir!AS2/((1/1000)*(s_Irr!AQ2+s_Irr!BO2)),IF(AND(s_Irr!S2=".",s_Irr!AQ2=".",s_Irr!BO2&lt;&gt;"."),s_dir!AS2/((1/1000)*(s_Irr!BO2)),IF(AND(s_Irr!S2=".",s_Irr!AQ2&lt;&gt;".",s_Irr!BO2="."),s_dir!AS2/((1/1000)*(s_Irr!AQ2)),IF(AND(s_Irr!S2&lt;&gt;".",s_Irr!AQ2=".",s_Irr!BO2="."),s_dir!AS2/((1/1000)*(s_Irr!S2)),IF(AND(s_Irr!S2=".",s_Irr!AQ2=".",s_Irr!BO2="."),s_dir!AS2*1000)))))))),".")</f>
        <v>112.56062691086413</v>
      </c>
      <c r="BS2" s="76">
        <f>IFERROR(IF(AND(s_Irr!T2&lt;&gt;".",s_Irr!AR2&lt;&gt;".",s_Irr!BP2&lt;&gt;"."),s_dir!AT2/((1/1000)*(s_Irr!T2+s_Irr!AR2+s_Irr!BP2)),IF(AND(s_Irr!T2&lt;&gt;".",s_Irr!AR2&lt;&gt;".",s_Irr!BP2="."),s_dir!AT2/((1/1000)*(s_Irr!T2+s_Irr!AR2)),IF(AND(s_Irr!T2&lt;&gt;".",s_Irr!AR2=".",s_Irr!BP2&lt;&gt;"."),s_dir!AT2/((1/1000)*(s_Irr!T2+s_Irr!BP2)),IF(AND(s_Irr!T2=".",s_Irr!AR2&lt;&gt;".",s_Irr!BP2&lt;&gt;"."),s_dir!AT2/((1/1000)*(s_Irr!AR2+s_Irr!BP2)),IF(AND(s_Irr!T2=".",s_Irr!AR2=".",s_Irr!BP2&lt;&gt;"."),s_dir!AT2/((1/1000)*(s_Irr!BP2)),IF(AND(s_Irr!T2=".",s_Irr!AR2&lt;&gt;".",s_Irr!BP2="."),s_dir!AT2/((1/1000)*(s_Irr!AR2)),IF(AND(s_Irr!T2&lt;&gt;".",s_Irr!AR2=".",s_Irr!BP2="."),s_dir!AT2/((1/1000)*(s_Irr!T2)),IF(AND(s_Irr!T2=".",s_Irr!AR2=".",s_Irr!BP2="."),s_dir!AT2*1000)))))))),".")</f>
        <v>112.56062691086413</v>
      </c>
      <c r="BT2" s="76">
        <f>IFERROR(IF(AND(s_Irr!U2&lt;&gt;".",s_Irr!AS2&lt;&gt;".",s_Irr!BQ2&lt;&gt;"."),s_dir!AU2/((1/1000)*(s_Irr!U2+s_Irr!AS2+s_Irr!BQ2)),IF(AND(s_Irr!U2&lt;&gt;".",s_Irr!AS2&lt;&gt;".",s_Irr!BQ2="."),s_dir!AU2/((1/1000)*(s_Irr!U2+s_Irr!AS2)),IF(AND(s_Irr!U2&lt;&gt;".",s_Irr!AS2=".",s_Irr!BQ2&lt;&gt;"."),s_dir!AU2/((1/1000)*(s_Irr!U2+s_Irr!BQ2)),IF(AND(s_Irr!U2=".",s_Irr!AS2&lt;&gt;".",s_Irr!BQ2&lt;&gt;"."),s_dir!AU2/((1/1000)*(s_Irr!AS2+s_Irr!BQ2)),IF(AND(s_Irr!U2=".",s_Irr!AS2=".",s_Irr!BQ2&lt;&gt;"."),s_dir!AU2/((1/1000)*(s_Irr!BQ2)),IF(AND(s_Irr!U2=".",s_Irr!AS2&lt;&gt;".",s_Irr!BQ2="."),s_dir!AU2/((1/1000)*(s_Irr!AS2)),IF(AND(s_Irr!U2&lt;&gt;".",s_Irr!AS2=".",s_Irr!BQ2="."),s_dir!AU2/((1/1000)*(s_Irr!U2)),IF(AND(s_Irr!U2=".",s_Irr!AS2=".",s_Irr!BQ2="."),s_dir!AU2*1000)))))))),".")</f>
        <v>112.56062691086413</v>
      </c>
      <c r="BU2" s="76">
        <f>IFERROR(IF(AND(s_Irr!V2&lt;&gt;".",s_Irr!AT2&lt;&gt;".",s_Irr!BR2&lt;&gt;"."),s_dir!AV2/((1/1000)*(s_Irr!V2+s_Irr!AT2+s_Irr!BR2)),IF(AND(s_Irr!V2&lt;&gt;".",s_Irr!AT2&lt;&gt;".",s_Irr!BR2="."),s_dir!AV2/((1/1000)*(s_Irr!V2+s_Irr!AT2)),IF(AND(s_Irr!V2&lt;&gt;".",s_Irr!AT2=".",s_Irr!BR2&lt;&gt;"."),s_dir!AV2/((1/1000)*(s_Irr!V2+s_Irr!BR2)),IF(AND(s_Irr!V2=".",s_Irr!AT2&lt;&gt;".",s_Irr!BR2&lt;&gt;"."),s_dir!AV2/((1/1000)*(s_Irr!AT2+s_Irr!BR2)),IF(AND(s_Irr!V2=".",s_Irr!AT2=".",s_Irr!BR2&lt;&gt;"."),s_dir!AV2/((1/1000)*(s_Irr!BR2)),IF(AND(s_Irr!V2=".",s_Irr!AT2&lt;&gt;".",s_Irr!BR2="."),s_dir!AV2/((1/1000)*(s_Irr!AT2)),IF(AND(s_Irr!V2&lt;&gt;".",s_Irr!AT2=".",s_Irr!BR2="."),s_dir!AV2/((1/1000)*(s_Irr!V2)),IF(AND(s_Irr!V2=".",s_Irr!AT2=".",s_Irr!BR2="."),s_dir!AV2*1000)))))))),".")</f>
        <v>112.56062691086413</v>
      </c>
      <c r="BV2" s="76">
        <f>IFERROR(IF(AND(s_Irr!W2&lt;&gt;".",s_Irr!AU2&lt;&gt;".",s_Irr!BS2&lt;&gt;"."),s_dir!AW2/((1/1000)*(s_Irr!W2+s_Irr!AU2+s_Irr!BS2)),IF(AND(s_Irr!W2&lt;&gt;".",s_Irr!AU2&lt;&gt;".",s_Irr!BS2="."),s_dir!AW2/((1/1000)*(s_Irr!W2+s_Irr!AU2)),IF(AND(s_Irr!W2&lt;&gt;".",s_Irr!AU2=".",s_Irr!BS2&lt;&gt;"."),s_dir!AW2/((1/1000)*(s_Irr!W2+s_Irr!BS2)),IF(AND(s_Irr!W2=".",s_Irr!AU2&lt;&gt;".",s_Irr!BS2&lt;&gt;"."),s_dir!AW2/((1/1000)*(s_Irr!AU2+s_Irr!BS2)),IF(AND(s_Irr!W2=".",s_Irr!AU2=".",s_Irr!BS2&lt;&gt;"."),s_dir!AW2/((1/1000)*(s_Irr!BS2)),IF(AND(s_Irr!W2=".",s_Irr!AU2&lt;&gt;".",s_Irr!BS2="."),s_dir!AW2/((1/1000)*(s_Irr!AU2)),IF(AND(s_Irr!W2&lt;&gt;".",s_Irr!AU2=".",s_Irr!BS2="."),s_dir!AW2/((1/1000)*(s_Irr!W2)),IF(AND(s_Irr!W2=".",s_Irr!AU2=".",s_Irr!BS2="."),s_dir!AW2*1000)))))))),".")</f>
        <v>112.56062691086413</v>
      </c>
      <c r="BW2" s="76">
        <f>IFERROR(IF(AND(s_Irr!X2&lt;&gt;".",s_Irr!AV2&lt;&gt;".",s_Irr!BT2&lt;&gt;"."),s_dir!AX2/((1/1000)*(s_Irr!X2+s_Irr!AV2+s_Irr!BT2)),IF(AND(s_Irr!X2&lt;&gt;".",s_Irr!AV2&lt;&gt;".",s_Irr!BT2="."),s_dir!AX2/((1/1000)*(s_Irr!X2+s_Irr!AV2)),IF(AND(s_Irr!X2&lt;&gt;".",s_Irr!AV2=".",s_Irr!BT2&lt;&gt;"."),s_dir!AX2/((1/1000)*(s_Irr!X2+s_Irr!BT2)),IF(AND(s_Irr!X2=".",s_Irr!AV2&lt;&gt;".",s_Irr!BT2&lt;&gt;"."),s_dir!AX2/((1/1000)*(s_Irr!AV2+s_Irr!BT2)),IF(AND(s_Irr!X2=".",s_Irr!AV2=".",s_Irr!BT2&lt;&gt;"."),s_dir!AX2/((1/1000)*(s_Irr!BT2)),IF(AND(s_Irr!X2=".",s_Irr!AV2&lt;&gt;".",s_Irr!BT2="."),s_dir!AX2/((1/1000)*(s_Irr!AV2)),IF(AND(s_Irr!X2&lt;&gt;".",s_Irr!AV2=".",s_Irr!BT2="."),s_dir!AX2/((1/1000)*(s_Irr!X2)),IF(AND(s_Irr!X2=".",s_Irr!AV2=".",s_Irr!BT2="."),s_dir!AX2*1000)))))))),".")</f>
        <v>112.56062691086413</v>
      </c>
      <c r="BX2" s="76">
        <f>IFERROR(IF(AND(s_Irr!Y2&lt;&gt;".",s_Irr!AW2&lt;&gt;".",s_Irr!BU2&lt;&gt;"."),s_dir!AY2/((1/1000)*(s_Irr!Y2+s_Irr!AW2+s_Irr!BU2)),IF(AND(s_Irr!Y2&lt;&gt;".",s_Irr!AW2&lt;&gt;".",s_Irr!BU2="."),s_dir!AY2/((1/1000)*(s_Irr!Y2+s_Irr!AW2)),IF(AND(s_Irr!Y2&lt;&gt;".",s_Irr!AW2=".",s_Irr!BU2&lt;&gt;"."),s_dir!AY2/((1/1000)*(s_Irr!Y2+s_Irr!BU2)),IF(AND(s_Irr!Y2=".",s_Irr!AW2&lt;&gt;".",s_Irr!BU2&lt;&gt;"."),s_dir!AY2/((1/1000)*(s_Irr!AW2+s_Irr!BU2)),IF(AND(s_Irr!Y2=".",s_Irr!AW2=".",s_Irr!BU2&lt;&gt;"."),s_dir!AY2/((1/1000)*(s_Irr!BU2)),IF(AND(s_Irr!Y2=".",s_Irr!AW2&lt;&gt;".",s_Irr!BU2="."),s_dir!AY2/((1/1000)*(s_Irr!AW2)),IF(AND(s_Irr!Y2&lt;&gt;".",s_Irr!AW2=".",s_Irr!BU2="."),s_dir!AY2/((1/1000)*(s_Irr!Y2)),IF(AND(s_Irr!Y2=".",s_Irr!AW2=".",s_Irr!BU2="."),s_dir!AY2*1000)))))))),".")</f>
        <v>112.56062691086413</v>
      </c>
      <c r="BY2" s="76">
        <f>IFERROR(IF(AND(s_Irr!Z2&lt;&gt;".",s_Irr!AX2&lt;&gt;".",s_Irr!BV2&lt;&gt;"."),s_dir!AZ2/((1/1000)*(s_Irr!Z2+s_Irr!AX2+s_Irr!BV2)),IF(AND(s_Irr!Z2&lt;&gt;".",s_Irr!AX2&lt;&gt;".",s_Irr!BV2="."),s_dir!AZ2/((1/1000)*(s_Irr!Z2+s_Irr!AX2)),IF(AND(s_Irr!Z2&lt;&gt;".",s_Irr!AX2=".",s_Irr!BV2&lt;&gt;"."),s_dir!AZ2/((1/1000)*(s_Irr!Z2+s_Irr!BV2)),IF(AND(s_Irr!Z2=".",s_Irr!AX2&lt;&gt;".",s_Irr!BV2&lt;&gt;"."),s_dir!AZ2/((1/1000)*(s_Irr!AX2+s_Irr!BV2)),IF(AND(s_Irr!Z2=".",s_Irr!AX2=".",s_Irr!BV2&lt;&gt;"."),s_dir!AZ2/((1/1000)*(s_Irr!BV2)),IF(AND(s_Irr!Z2=".",s_Irr!AX2&lt;&gt;".",s_Irr!BV2="."),s_dir!AZ2/((1/1000)*(s_Irr!AX2)),IF(AND(s_Irr!Z2&lt;&gt;".",s_Irr!AX2=".",s_Irr!BV2="."),s_dir!AZ2/((1/1000)*(s_Irr!Z2)),IF(AND(s_Irr!Z2=".",s_Irr!AX2=".",s_Irr!BV2="."),s_dir!AZ2*1000)))))))),".")</f>
        <v>112.56062691086413</v>
      </c>
      <c r="BZ2" s="93">
        <f>SUM(CA2:CB2,CW2:CX2)</f>
        <v>654.25297846430772</v>
      </c>
      <c r="CA2" s="93">
        <f>IFERROR(s_C*s_IFAP_far_adj*s_CF_apple*(1/1000)*(s_Irr!C2+s_Irr!AA2+s_Irr!AY2),".")</f>
        <v>163.56324461607693</v>
      </c>
      <c r="CB2" s="93">
        <f>IFERROR(s_C*s_IFAS_far_adj*s_CF_asparagus*(1/1000)*(s_Irr!D2+s_Irr!AB2+s_Irr!AZ2),".")</f>
        <v>163.56324461607693</v>
      </c>
      <c r="CC2" s="93">
        <f>IFERROR(s_C*s_IFBT_far_adj*s_CF_beet*(1/1000)*(s_Irr!E2+s_Irr!AC2+s_Irr!BA2),".")</f>
        <v>163.56324461607693</v>
      </c>
      <c r="CD2" s="93">
        <f>IFERROR(s_C*s_IFBE_far_adj*s_CF_berries*(1/1000)*(s_Irr!F2+s_Irr!AD2+s_Irr!BB2),".")</f>
        <v>163.56324461607693</v>
      </c>
      <c r="CE2" s="93">
        <f>IFERROR(s_C*s_IFBR_far_adj*s_CF_broccoli*(1/1000)*(s_Irr!G2+s_Irr!AE2+s_Irr!BC2),".")</f>
        <v>163.56324461607693</v>
      </c>
      <c r="CF2" s="93">
        <f>IFERROR(s_C*s_IFCB_far_adj*s_CF_cabbage*(1/1000)*(s_Irr!H2+s_Irr!AF2+s_Irr!BD2),".")</f>
        <v>163.56324461607693</v>
      </c>
      <c r="CG2" s="93">
        <f>IFERROR(s_C*s_IFCR_far_adj*s_CF_carrot*(1/1000)*(s_Irr!I2+s_Irr!AG2+s_Irr!BE2),".")</f>
        <v>163.56324461607693</v>
      </c>
      <c r="CH2" s="93">
        <f>IFERROR(s_C*s_IFCI_far_adj*s_CF_citrus*(1/1000)*(s_Irr!J2+s_Irr!AH2+s_Irr!BF2),".")</f>
        <v>163.56324461607693</v>
      </c>
      <c r="CI2" s="93">
        <f>IFERROR(s_C*s_IFCO_far_adj*s_CF_corn*(1/1000)*(s_Irr!K2+s_Irr!AI2+s_Irr!BG2),".")</f>
        <v>163.56324461607693</v>
      </c>
      <c r="CJ2" s="93">
        <f>IFERROR(s_C*s_IFCU_far_adj*s_CF_cucumber*(1/1000)*(s_Irr!L2+s_Irr!AJ2+s_Irr!BH2),".")</f>
        <v>163.56324461607693</v>
      </c>
      <c r="CK2" s="93">
        <f>IFERROR(s_C*s_IFLE_far_adj*s_CF_lettuce*(1/1000)*(s_Irr!M2+s_Irr!AK2+s_Irr!BI2),".")</f>
        <v>163.56324461607693</v>
      </c>
      <c r="CL2" s="93">
        <f>IFERROR(s_C*s_IFLI_far_adj*s_CF_lima_bean*(1/1000)*(s_Irr!N2+s_Irr!AL2+s_Irr!BJ2),".")</f>
        <v>163.56324461607693</v>
      </c>
      <c r="CM2" s="93">
        <f>IFERROR(s_C*s_IFOK_far_adj*s_CF_okra*(1/1000)*(s_Irr!O2+s_Irr!AM2+s_Irr!BK2),".")</f>
        <v>163.56324461607693</v>
      </c>
      <c r="CN2" s="93">
        <f>IFERROR(s_C*s_IFON_far_adj*s_CF_onion*(1/1000)*(s_Irr!P2+s_Irr!AN2+s_Irr!BL2),".")</f>
        <v>163.56324461607693</v>
      </c>
      <c r="CO2" s="93">
        <f>IFERROR(s_C*s_IFPC_far_adj*s_CF_peach*(1/1000)*(s_Irr!Q2+s_Irr!AO2+s_Irr!BM2),".")</f>
        <v>163.56324461607693</v>
      </c>
      <c r="CP2" s="93">
        <f>IFERROR(s_C*s_IFPR_far_adj*s_CF_pear*(1/1000)*(s_Irr!R2+s_Irr!AP2+s_Irr!BN2),".")</f>
        <v>163.56324461607693</v>
      </c>
      <c r="CQ2" s="93">
        <f>IFERROR(s_C*s_IFPE_far_adj*s_CF_peas*(1/1000)*(s_Irr!S2+s_Irr!AQ2+s_Irr!BO2),".")</f>
        <v>163.56324461607693</v>
      </c>
      <c r="CR2" s="93">
        <f>IFERROR(s_C*s_IFPT_far_adj*s_CF_potato*(1/1000)*(s_Irr!T2+s_Irr!AR2+s_Irr!BP2),".")</f>
        <v>163.56324461607693</v>
      </c>
      <c r="CS2" s="93">
        <f>IFERROR(s_C*s_IFPU_far_adj*s_CF_pumpkin*(1/1000)*(s_Irr!U2+s_Irr!AS2+s_Irr!BQ2),".")</f>
        <v>163.56324461607693</v>
      </c>
      <c r="CT2" s="93">
        <f>IFERROR(s_C*s_IFSN_far_adj*s_CF_snap_bean*(1/1000)*(s_Irr!V2+s_Irr!AT2+s_Irr!BR2),".")</f>
        <v>163.56324461607693</v>
      </c>
      <c r="CU2" s="93">
        <f>IFERROR(s_C*s_IFST_far_adj*s_CF_strawberry*(1/1000)*(s_Irr!W2+s_Irr!AU2+s_Irr!BS2),".")</f>
        <v>163.56324461607693</v>
      </c>
      <c r="CV2" s="93">
        <f>IFERROR(s_C*s_IFTO_far_adj*s_CF_tomato*(1/1000)*(s_Irr!X2+s_Irr!AV2+s_Irr!BT2),".")</f>
        <v>163.56324461607693</v>
      </c>
      <c r="CW2" s="93">
        <f>IFERROR(s_C*s_IFRI_far_adj*s_CF_rice*(1/1000)*(s_Irr!Y2+s_Irr!AW2+s_Irr!BU2),".")</f>
        <v>163.56324461607693</v>
      </c>
      <c r="CX2" s="93">
        <f>IFERROR(s_C*s_IFCG_far_adj*s_CF_cereal*(1/1000)*(s_Irr!Z2+s_Irr!AX2+s_Irr!BV2),".")</f>
        <v>163.56324461607693</v>
      </c>
    </row>
    <row r="3" spans="1:102" x14ac:dyDescent="0.25">
      <c r="A3" s="94" t="s">
        <v>13</v>
      </c>
      <c r="B3" s="90" t="s">
        <v>351</v>
      </c>
      <c r="C3" s="76">
        <f t="shared" si="0"/>
        <v>57.86256874711917</v>
      </c>
      <c r="D3" s="76">
        <f>IFERROR(IF(AND(s_Irr!C3&lt;&gt;".",s_Irr!AA3&lt;&gt;".",s_Irr!AY3&lt;&gt;"."),s_dir!D3/((1/1000)*(s_Irr!C3+s_Irr!AA3+s_Irr!AY3)),IF(AND(s_Irr!C3&lt;&gt;".",s_Irr!AA3&lt;&gt;".",s_Irr!AY3="."),s_dir!D3/((1/1000)*(s_Irr!C3+s_Irr!AA3)),IF(AND(s_Irr!C3&lt;&gt;".",s_Irr!AA3=".",s_Irr!AY3&lt;&gt;"."),s_dir!D3/((1/1000)*(s_Irr!C3+s_Irr!AY3)),IF(AND(s_Irr!C3=".",s_Irr!AA3&lt;&gt;".",s_Irr!AY3&lt;&gt;"."),s_dir!D3/((1/1000)*(s_Irr!AA3+s_Irr!AY3)),IF(AND(s_Irr!C3=".",s_Irr!AA3=".",s_Irr!AY3&lt;&gt;"."),s_dir!D3/((1/1000)*(s_Irr!AY3)),IF(AND(s_Irr!C3=".",s_Irr!AA3&lt;&gt;".",s_Irr!AY3="."),s_dir!D3/((1/1000)*(s_Irr!AA3)),IF(AND(s_Irr!C3&lt;&gt;".",s_Irr!AA3=".",s_Irr!AY3="."),s_dir!D3/((1/1000)*(s_Irr!C3)),IF(AND(s_Irr!C3=".",s_Irr!AA3=".",s_Irr!AY3="."),s_dir!D3*1000)))))))),".")</f>
        <v>232.62820730680608</v>
      </c>
      <c r="E3" s="76">
        <f>IFERROR(IF(AND(s_Irr!D3&lt;&gt;".",s_Irr!AB3&lt;&gt;".",s_Irr!AZ3&lt;&gt;"."),s_dir!E3/((1/1000)*(s_Irr!D3+s_Irr!AB3+s_Irr!AZ3)),IF(AND(s_Irr!D3&lt;&gt;".",s_Irr!AB3&lt;&gt;".",s_Irr!AZ3="."),s_dir!E3/((1/1000)*(s_Irr!D3+s_Irr!AB3)),IF(AND(s_Irr!D3&lt;&gt;".",s_Irr!AB3=".",s_Irr!AZ3&lt;&gt;"."),s_dir!E3/((1/1000)*(s_Irr!D3+s_Irr!AZ3)),IF(AND(s_Irr!D3=".",s_Irr!AB3&lt;&gt;".",s_Irr!AZ3&lt;&gt;"."),s_dir!E3/((1/1000)*(s_Irr!AB3+s_Irr!AZ3)),IF(AND(s_Irr!D3=".",s_Irr!AB3=".",s_Irr!AZ3&lt;&gt;"."),s_dir!E3/((1/1000)*(s_Irr!AZ3)),IF(AND(s_Irr!D3=".",s_Irr!AB3&lt;&gt;".",s_Irr!AZ3="."),s_dir!E3/((1/1000)*(s_Irr!AB3)),IF(AND(s_Irr!D3&lt;&gt;".",s_Irr!AB3=".",s_Irr!AZ3="."),s_dir!E3/((1/1000)*(s_Irr!D3)),IF(AND(s_Irr!D3=".",s_Irr!AB3=".",s_Irr!AZ3="."),s_dir!E3*1000)))))))),".")</f>
        <v>231.68804039654114</v>
      </c>
      <c r="F3" s="76">
        <f>IFERROR(IF(AND(s_Irr!E3&lt;&gt;".",s_Irr!AC3&lt;&gt;".",s_Irr!BA3&lt;&gt;"."),s_dir!F3/((1/1000)*(s_Irr!E3+s_Irr!AC3+s_Irr!BA3)),IF(AND(s_Irr!E3&lt;&gt;".",s_Irr!AC3&lt;&gt;".",s_Irr!BA3="."),s_dir!F3/((1/1000)*(s_Irr!E3+s_Irr!AC3)),IF(AND(s_Irr!E3&lt;&gt;".",s_Irr!AC3=".",s_Irr!BA3&lt;&gt;"."),s_dir!F3/((1/1000)*(s_Irr!E3+s_Irr!BA3)),IF(AND(s_Irr!E3=".",s_Irr!AC3&lt;&gt;".",s_Irr!BA3&lt;&gt;"."),s_dir!F3/((1/1000)*(s_Irr!AC3+s_Irr!BA3)),IF(AND(s_Irr!E3=".",s_Irr!AC3=".",s_Irr!BA3&lt;&gt;"."),s_dir!F3/((1/1000)*(s_Irr!BA3)),IF(AND(s_Irr!E3=".",s_Irr!AC3&lt;&gt;".",s_Irr!BA3="."),s_dir!F3/((1/1000)*(s_Irr!AC3)),IF(AND(s_Irr!E3&lt;&gt;".",s_Irr!AC3=".",s_Irr!BA3="."),s_dir!F3/((1/1000)*(s_Irr!E3)),IF(AND(s_Irr!E3=".",s_Irr!AC3=".",s_Irr!BA3="."),s_dir!F3*1000)))))))),".")</f>
        <v>230.13142755173314</v>
      </c>
      <c r="G3" s="76">
        <f>IFERROR(IF(AND(s_Irr!F3&lt;&gt;".",s_Irr!AD3&lt;&gt;".",s_Irr!BB3&lt;&gt;"."),s_dir!G3/((1/1000)*(s_Irr!F3+s_Irr!AD3+s_Irr!BB3)),IF(AND(s_Irr!F3&lt;&gt;".",s_Irr!AD3&lt;&gt;".",s_Irr!BB3="."),s_dir!G3/((1/1000)*(s_Irr!F3+s_Irr!AD3)),IF(AND(s_Irr!F3&lt;&gt;".",s_Irr!AD3=".",s_Irr!BB3&lt;&gt;"."),s_dir!G3/((1/1000)*(s_Irr!F3+s_Irr!BB3)),IF(AND(s_Irr!F3=".",s_Irr!AD3&lt;&gt;".",s_Irr!BB3&lt;&gt;"."),s_dir!G3/((1/1000)*(s_Irr!AD3+s_Irr!BB3)),IF(AND(s_Irr!F3=".",s_Irr!AD3=".",s_Irr!BB3&lt;&gt;"."),s_dir!G3/((1/1000)*(s_Irr!BB3)),IF(AND(s_Irr!F3=".",s_Irr!AD3&lt;&gt;".",s_Irr!BB3="."),s_dir!G3/((1/1000)*(s_Irr!AD3)),IF(AND(s_Irr!F3&lt;&gt;".",s_Irr!AD3=".",s_Irr!BB3="."),s_dir!G3/((1/1000)*(s_Irr!F3)),IF(AND(s_Irr!F3=".",s_Irr!AD3=".",s_Irr!BB3="."),s_dir!G3*1000)))))))),".")</f>
        <v>229.63002213411374</v>
      </c>
      <c r="H3" s="76">
        <f>IFERROR(IF(AND(s_Irr!G3&lt;&gt;".",s_Irr!AE3&lt;&gt;".",s_Irr!BC3&lt;&gt;"."),s_dir!H3/((1/1000)*(s_Irr!G3+s_Irr!AE3+s_Irr!BC3)),IF(AND(s_Irr!G3&lt;&gt;".",s_Irr!AE3&lt;&gt;".",s_Irr!BC3="."),s_dir!H3/((1/1000)*(s_Irr!G3+s_Irr!AE3)),IF(AND(s_Irr!G3&lt;&gt;".",s_Irr!AE3=".",s_Irr!BC3&lt;&gt;"."),s_dir!H3/((1/1000)*(s_Irr!G3+s_Irr!BC3)),IF(AND(s_Irr!G3=".",s_Irr!AE3&lt;&gt;".",s_Irr!BC3&lt;&gt;"."),s_dir!H3/((1/1000)*(s_Irr!AE3+s_Irr!BC3)),IF(AND(s_Irr!G3=".",s_Irr!AE3=".",s_Irr!BC3&lt;&gt;"."),s_dir!H3/((1/1000)*(s_Irr!BC3)),IF(AND(s_Irr!G3=".",s_Irr!AE3&lt;&gt;".",s_Irr!BC3="."),s_dir!H3/((1/1000)*(s_Irr!AE3)),IF(AND(s_Irr!G3&lt;&gt;".",s_Irr!AE3=".",s_Irr!BC3="."),s_dir!H3/((1/1000)*(s_Irr!G3)),IF(AND(s_Irr!G3=".",s_Irr!AE3=".",s_Irr!BC3="."),s_dir!H3*1000)))))))),".")</f>
        <v>231.33596930980147</v>
      </c>
      <c r="I3" s="76">
        <f>IFERROR(IF(AND(s_Irr!H3&lt;&gt;".",s_Irr!AF3&lt;&gt;".",s_Irr!BD3&lt;&gt;"."),s_dir!I3/((1/1000)*(s_Irr!H3+s_Irr!AF3+s_Irr!BD3)),IF(AND(s_Irr!H3&lt;&gt;".",s_Irr!AF3&lt;&gt;".",s_Irr!BD3="."),s_dir!I3/((1/1000)*(s_Irr!H3+s_Irr!AF3)),IF(AND(s_Irr!H3&lt;&gt;".",s_Irr!AF3=".",s_Irr!BD3&lt;&gt;"."),s_dir!I3/((1/1000)*(s_Irr!H3+s_Irr!BD3)),IF(AND(s_Irr!H3=".",s_Irr!AF3&lt;&gt;".",s_Irr!BD3&lt;&gt;"."),s_dir!I3/((1/1000)*(s_Irr!AF3+s_Irr!BD3)),IF(AND(s_Irr!H3=".",s_Irr!AF3=".",s_Irr!BD3&lt;&gt;"."),s_dir!I3/((1/1000)*(s_Irr!BD3)),IF(AND(s_Irr!H3=".",s_Irr!AF3&lt;&gt;".",s_Irr!BD3="."),s_dir!I3/((1/1000)*(s_Irr!AF3)),IF(AND(s_Irr!H3&lt;&gt;".",s_Irr!AF3=".",s_Irr!BD3="."),s_dir!I3/((1/1000)*(s_Irr!H3)),IF(AND(s_Irr!H3=".",s_Irr!AF3=".",s_Irr!BD3="."),s_dir!I3*1000)))))))),".")</f>
        <v>231.68804039654114</v>
      </c>
      <c r="J3" s="76">
        <f>IFERROR(IF(AND(s_Irr!I3&lt;&gt;".",s_Irr!AG3&lt;&gt;".",s_Irr!BE3&lt;&gt;"."),s_dir!J3/((1/1000)*(s_Irr!I3+s_Irr!AG3+s_Irr!BE3)),IF(AND(s_Irr!I3&lt;&gt;".",s_Irr!AG3&lt;&gt;".",s_Irr!BE3="."),s_dir!J3/((1/1000)*(s_Irr!I3+s_Irr!AG3)),IF(AND(s_Irr!I3&lt;&gt;".",s_Irr!AG3=".",s_Irr!BE3&lt;&gt;"."),s_dir!J3/((1/1000)*(s_Irr!I3+s_Irr!BE3)),IF(AND(s_Irr!I3=".",s_Irr!AG3&lt;&gt;".",s_Irr!BE3&lt;&gt;"."),s_dir!J3/((1/1000)*(s_Irr!AG3+s_Irr!BE3)),IF(AND(s_Irr!I3=".",s_Irr!AG3=".",s_Irr!BE3&lt;&gt;"."),s_dir!J3/((1/1000)*(s_Irr!BE3)),IF(AND(s_Irr!I3=".",s_Irr!AG3&lt;&gt;".",s_Irr!BE3="."),s_dir!J3/((1/1000)*(s_Irr!AG3)),IF(AND(s_Irr!I3&lt;&gt;".",s_Irr!AG3=".",s_Irr!BE3="."),s_dir!J3/((1/1000)*(s_Irr!I3)),IF(AND(s_Irr!I3=".",s_Irr!AG3=".",s_Irr!BE3="."),s_dir!J3*1000)))))))),".")</f>
        <v>230.13142755173314</v>
      </c>
      <c r="K3" s="76">
        <f>IFERROR(IF(AND(s_Irr!J3&lt;&gt;".",s_Irr!AH3&lt;&gt;".",s_Irr!BF3&lt;&gt;"."),s_dir!K3/((1/1000)*(s_Irr!J3+s_Irr!AH3+s_Irr!BF3)),IF(AND(s_Irr!J3&lt;&gt;".",s_Irr!AH3&lt;&gt;".",s_Irr!BF3="."),s_dir!K3/((1/1000)*(s_Irr!J3+s_Irr!AH3)),IF(AND(s_Irr!J3&lt;&gt;".",s_Irr!AH3=".",s_Irr!BF3&lt;&gt;"."),s_dir!K3/((1/1000)*(s_Irr!J3+s_Irr!BF3)),IF(AND(s_Irr!J3=".",s_Irr!AH3&lt;&gt;".",s_Irr!BF3&lt;&gt;"."),s_dir!K3/((1/1000)*(s_Irr!AH3+s_Irr!BF3)),IF(AND(s_Irr!J3=".",s_Irr!AH3=".",s_Irr!BF3&lt;&gt;"."),s_dir!K3/((1/1000)*(s_Irr!BF3)),IF(AND(s_Irr!J3=".",s_Irr!AH3&lt;&gt;".",s_Irr!BF3="."),s_dir!K3/((1/1000)*(s_Irr!AH3)),IF(AND(s_Irr!J3&lt;&gt;".",s_Irr!AH3=".",s_Irr!BF3="."),s_dir!K3/((1/1000)*(s_Irr!J3)),IF(AND(s_Irr!J3=".",s_Irr!AH3=".",s_Irr!BF3="."),s_dir!K3*1000)))))))),".")</f>
        <v>232.62820730680608</v>
      </c>
      <c r="L3" s="76">
        <f>IFERROR(IF(AND(s_Irr!K3&lt;&gt;".",s_Irr!AI3&lt;&gt;".",s_Irr!BG3&lt;&gt;"."),s_dir!L3/((1/1000)*(s_Irr!K3+s_Irr!AI3+s_Irr!BG3)),IF(AND(s_Irr!K3&lt;&gt;".",s_Irr!AI3&lt;&gt;".",s_Irr!BG3="."),s_dir!L3/((1/1000)*(s_Irr!K3+s_Irr!AI3)),IF(AND(s_Irr!K3&lt;&gt;".",s_Irr!AI3=".",s_Irr!BG3&lt;&gt;"."),s_dir!L3/((1/1000)*(s_Irr!K3+s_Irr!BG3)),IF(AND(s_Irr!K3=".",s_Irr!AI3&lt;&gt;".",s_Irr!BG3&lt;&gt;"."),s_dir!L3/((1/1000)*(s_Irr!AI3+s_Irr!BG3)),IF(AND(s_Irr!K3=".",s_Irr!AI3=".",s_Irr!BG3&lt;&gt;"."),s_dir!L3/((1/1000)*(s_Irr!BG3)),IF(AND(s_Irr!K3=".",s_Irr!AI3&lt;&gt;".",s_Irr!BG3="."),s_dir!L3/((1/1000)*(s_Irr!AI3)),IF(AND(s_Irr!K3&lt;&gt;".",s_Irr!AI3=".",s_Irr!BG3="."),s_dir!L3/((1/1000)*(s_Irr!K3)),IF(AND(s_Irr!K3=".",s_Irr!AI3=".",s_Irr!BG3="."),s_dir!L3*1000)))))))),".")</f>
        <v>232.55318691275275</v>
      </c>
      <c r="M3" s="76">
        <f>IFERROR(IF(AND(s_Irr!L3&lt;&gt;".",s_Irr!AJ3&lt;&gt;".",s_Irr!BH3&lt;&gt;"."),s_dir!M3/((1/1000)*(s_Irr!L3+s_Irr!AJ3+s_Irr!BH3)),IF(AND(s_Irr!L3&lt;&gt;".",s_Irr!AJ3&lt;&gt;".",s_Irr!BH3="."),s_dir!M3/((1/1000)*(s_Irr!L3+s_Irr!AJ3)),IF(AND(s_Irr!L3&lt;&gt;".",s_Irr!AJ3=".",s_Irr!BH3&lt;&gt;"."),s_dir!M3/((1/1000)*(s_Irr!L3+s_Irr!BH3)),IF(AND(s_Irr!L3=".",s_Irr!AJ3&lt;&gt;".",s_Irr!BH3&lt;&gt;"."),s_dir!M3/((1/1000)*(s_Irr!AJ3+s_Irr!BH3)),IF(AND(s_Irr!L3=".",s_Irr!AJ3=".",s_Irr!BH3&lt;&gt;"."),s_dir!M3/((1/1000)*(s_Irr!BH3)),IF(AND(s_Irr!L3=".",s_Irr!AJ3&lt;&gt;".",s_Irr!BH3="."),s_dir!M3/((1/1000)*(s_Irr!AJ3)),IF(AND(s_Irr!L3&lt;&gt;".",s_Irr!AJ3=".",s_Irr!BH3="."),s_dir!M3/((1/1000)*(s_Irr!L3)),IF(AND(s_Irr!L3=".",s_Irr!AJ3=".",s_Irr!BH3="."),s_dir!M3*1000)))))))),".")</f>
        <v>231.33596930980147</v>
      </c>
      <c r="N3" s="76">
        <f>IFERROR(IF(AND(s_Irr!M3&lt;&gt;".",s_Irr!AK3&lt;&gt;".",s_Irr!BI3&lt;&gt;"."),s_dir!N3/((1/1000)*(s_Irr!M3+s_Irr!AK3+s_Irr!BI3)),IF(AND(s_Irr!M3&lt;&gt;".",s_Irr!AK3&lt;&gt;".",s_Irr!BI3="."),s_dir!N3/((1/1000)*(s_Irr!M3+s_Irr!AK3)),IF(AND(s_Irr!M3&lt;&gt;".",s_Irr!AK3=".",s_Irr!BI3&lt;&gt;"."),s_dir!N3/((1/1000)*(s_Irr!M3+s_Irr!BI3)),IF(AND(s_Irr!M3=".",s_Irr!AK3&lt;&gt;".",s_Irr!BI3&lt;&gt;"."),s_dir!N3/((1/1000)*(s_Irr!AK3+s_Irr!BI3)),IF(AND(s_Irr!M3=".",s_Irr!AK3=".",s_Irr!BI3&lt;&gt;"."),s_dir!N3/((1/1000)*(s_Irr!BI3)),IF(AND(s_Irr!M3=".",s_Irr!AK3&lt;&gt;".",s_Irr!BI3="."),s_dir!N3/((1/1000)*(s_Irr!AK3)),IF(AND(s_Irr!M3&lt;&gt;".",s_Irr!AK3=".",s_Irr!BI3="."),s_dir!N3/((1/1000)*(s_Irr!M3)),IF(AND(s_Irr!M3=".",s_Irr!AK3=".",s_Irr!BI3="."),s_dir!N3*1000)))))))),".")</f>
        <v>231.68804039654114</v>
      </c>
      <c r="O3" s="76">
        <f>IFERROR(IF(AND(s_Irr!N3&lt;&gt;".",s_Irr!AL3&lt;&gt;".",s_Irr!BJ3&lt;&gt;"."),s_dir!O3/((1/1000)*(s_Irr!N3+s_Irr!AL3+s_Irr!BJ3)),IF(AND(s_Irr!N3&lt;&gt;".",s_Irr!AL3&lt;&gt;".",s_Irr!BJ3="."),s_dir!O3/((1/1000)*(s_Irr!N3+s_Irr!AL3)),IF(AND(s_Irr!N3&lt;&gt;".",s_Irr!AL3=".",s_Irr!BJ3&lt;&gt;"."),s_dir!O3/((1/1000)*(s_Irr!N3+s_Irr!BJ3)),IF(AND(s_Irr!N3=".",s_Irr!AL3&lt;&gt;".",s_Irr!BJ3&lt;&gt;"."),s_dir!O3/((1/1000)*(s_Irr!AL3+s_Irr!BJ3)),IF(AND(s_Irr!N3=".",s_Irr!AL3=".",s_Irr!BJ3&lt;&gt;"."),s_dir!O3/((1/1000)*(s_Irr!BJ3)),IF(AND(s_Irr!N3=".",s_Irr!AL3&lt;&gt;".",s_Irr!BJ3="."),s_dir!O3/((1/1000)*(s_Irr!AL3)),IF(AND(s_Irr!N3&lt;&gt;".",s_Irr!AL3=".",s_Irr!BJ3="."),s_dir!O3/((1/1000)*(s_Irr!N3)),IF(AND(s_Irr!N3=".",s_Irr!AL3=".",s_Irr!BJ3="."),s_dir!O3*1000)))))))),".")</f>
        <v>231.25787655122727</v>
      </c>
      <c r="P3" s="76">
        <f>IFERROR(IF(AND(s_Irr!O3&lt;&gt;".",s_Irr!AM3&lt;&gt;".",s_Irr!BK3&lt;&gt;"."),s_dir!P3/((1/1000)*(s_Irr!O3+s_Irr!AM3+s_Irr!BK3)),IF(AND(s_Irr!O3&lt;&gt;".",s_Irr!AM3&lt;&gt;".",s_Irr!BK3="."),s_dir!P3/((1/1000)*(s_Irr!O3+s_Irr!AM3)),IF(AND(s_Irr!O3&lt;&gt;".",s_Irr!AM3=".",s_Irr!BK3&lt;&gt;"."),s_dir!P3/((1/1000)*(s_Irr!O3+s_Irr!BK3)),IF(AND(s_Irr!O3=".",s_Irr!AM3&lt;&gt;".",s_Irr!BK3&lt;&gt;"."),s_dir!P3/((1/1000)*(s_Irr!AM3+s_Irr!BK3)),IF(AND(s_Irr!O3=".",s_Irr!AM3=".",s_Irr!BK3&lt;&gt;"."),s_dir!P3/((1/1000)*(s_Irr!BK3)),IF(AND(s_Irr!O3=".",s_Irr!AM3&lt;&gt;".",s_Irr!BK3="."),s_dir!P3/((1/1000)*(s_Irr!AM3)),IF(AND(s_Irr!O3&lt;&gt;".",s_Irr!AM3=".",s_Irr!BK3="."),s_dir!P3/((1/1000)*(s_Irr!O3)),IF(AND(s_Irr!O3=".",s_Irr!AM3=".",s_Irr!BK3="."),s_dir!P3*1000)))))))),".")</f>
        <v>231.33596930980147</v>
      </c>
      <c r="Q3" s="76">
        <f>IFERROR(IF(AND(s_Irr!P3&lt;&gt;".",s_Irr!AN3&lt;&gt;".",s_Irr!BL3&lt;&gt;"."),s_dir!Q3/((1/1000)*(s_Irr!P3+s_Irr!AN3+s_Irr!BL3)),IF(AND(s_Irr!P3&lt;&gt;".",s_Irr!AN3&lt;&gt;".",s_Irr!BL3="."),s_dir!Q3/((1/1000)*(s_Irr!P3+s_Irr!AN3)),IF(AND(s_Irr!P3&lt;&gt;".",s_Irr!AN3=".",s_Irr!BL3&lt;&gt;"."),s_dir!Q3/((1/1000)*(s_Irr!P3+s_Irr!BL3)),IF(AND(s_Irr!P3=".",s_Irr!AN3&lt;&gt;".",s_Irr!BL3&lt;&gt;"."),s_dir!Q3/((1/1000)*(s_Irr!AN3+s_Irr!BL3)),IF(AND(s_Irr!P3=".",s_Irr!AN3=".",s_Irr!BL3&lt;&gt;"."),s_dir!Q3/((1/1000)*(s_Irr!BL3)),IF(AND(s_Irr!P3=".",s_Irr!AN3&lt;&gt;".",s_Irr!BL3="."),s_dir!Q3/((1/1000)*(s_Irr!AN3)),IF(AND(s_Irr!P3&lt;&gt;".",s_Irr!AN3=".",s_Irr!BL3="."),s_dir!Q3/((1/1000)*(s_Irr!P3)),IF(AND(s_Irr!P3=".",s_Irr!AN3=".",s_Irr!BL3="."),s_dir!Q3*1000)))))))),".")</f>
        <v>231.33596930980147</v>
      </c>
      <c r="R3" s="76">
        <f>IFERROR(IF(AND(s_Irr!Q3&lt;&gt;".",s_Irr!AO3&lt;&gt;".",s_Irr!BM3&lt;&gt;"."),s_dir!R3/((1/1000)*(s_Irr!Q3+s_Irr!AO3+s_Irr!BM3)),IF(AND(s_Irr!Q3&lt;&gt;".",s_Irr!AO3&lt;&gt;".",s_Irr!BM3="."),s_dir!R3/((1/1000)*(s_Irr!Q3+s_Irr!AO3)),IF(AND(s_Irr!Q3&lt;&gt;".",s_Irr!AO3=".",s_Irr!BM3&lt;&gt;"."),s_dir!R3/((1/1000)*(s_Irr!Q3+s_Irr!BM3)),IF(AND(s_Irr!Q3=".",s_Irr!AO3&lt;&gt;".",s_Irr!BM3&lt;&gt;"."),s_dir!R3/((1/1000)*(s_Irr!AO3+s_Irr!BM3)),IF(AND(s_Irr!Q3=".",s_Irr!AO3=".",s_Irr!BM3&lt;&gt;"."),s_dir!R3/((1/1000)*(s_Irr!BM3)),IF(AND(s_Irr!Q3=".",s_Irr!AO3&lt;&gt;".",s_Irr!BM3="."),s_dir!R3/((1/1000)*(s_Irr!AO3)),IF(AND(s_Irr!Q3&lt;&gt;".",s_Irr!AO3=".",s_Irr!BM3="."),s_dir!R3/((1/1000)*(s_Irr!Q3)),IF(AND(s_Irr!Q3=".",s_Irr!AO3=".",s_Irr!BM3="."),s_dir!R3*1000)))))))),".")</f>
        <v>232.62820730680608</v>
      </c>
      <c r="S3" s="76">
        <f>IFERROR(IF(AND(s_Irr!R3&lt;&gt;".",s_Irr!AP3&lt;&gt;".",s_Irr!BN3&lt;&gt;"."),s_dir!S3/((1/1000)*(s_Irr!R3+s_Irr!AP3+s_Irr!BN3)),IF(AND(s_Irr!R3&lt;&gt;".",s_Irr!AP3&lt;&gt;".",s_Irr!BN3="."),s_dir!S3/((1/1000)*(s_Irr!R3+s_Irr!AP3)),IF(AND(s_Irr!R3&lt;&gt;".",s_Irr!AP3=".",s_Irr!BN3&lt;&gt;"."),s_dir!S3/((1/1000)*(s_Irr!R3+s_Irr!BN3)),IF(AND(s_Irr!R3=".",s_Irr!AP3&lt;&gt;".",s_Irr!BN3&lt;&gt;"."),s_dir!S3/((1/1000)*(s_Irr!AP3+s_Irr!BN3)),IF(AND(s_Irr!R3=".",s_Irr!AP3=".",s_Irr!BN3&lt;&gt;"."),s_dir!S3/((1/1000)*(s_Irr!BN3)),IF(AND(s_Irr!R3=".",s_Irr!AP3&lt;&gt;".",s_Irr!BN3="."),s_dir!S3/((1/1000)*(s_Irr!AP3)),IF(AND(s_Irr!R3&lt;&gt;".",s_Irr!AP3=".",s_Irr!BN3="."),s_dir!S3/((1/1000)*(s_Irr!R3)),IF(AND(s_Irr!R3=".",s_Irr!AP3=".",s_Irr!BN3="."),s_dir!S3*1000)))))))),".")</f>
        <v>232.62820730680608</v>
      </c>
      <c r="T3" s="76">
        <f>IFERROR(IF(AND(s_Irr!S3&lt;&gt;".",s_Irr!AQ3&lt;&gt;".",s_Irr!BO3&lt;&gt;"."),s_dir!T3/((1/1000)*(s_Irr!S3+s_Irr!AQ3+s_Irr!BO3)),IF(AND(s_Irr!S3&lt;&gt;".",s_Irr!AQ3&lt;&gt;".",s_Irr!BO3="."),s_dir!T3/((1/1000)*(s_Irr!S3+s_Irr!AQ3)),IF(AND(s_Irr!S3&lt;&gt;".",s_Irr!AQ3=".",s_Irr!BO3&lt;&gt;"."),s_dir!T3/((1/1000)*(s_Irr!S3+s_Irr!BO3)),IF(AND(s_Irr!S3=".",s_Irr!AQ3&lt;&gt;".",s_Irr!BO3&lt;&gt;"."),s_dir!T3/((1/1000)*(s_Irr!AQ3+s_Irr!BO3)),IF(AND(s_Irr!S3=".",s_Irr!AQ3=".",s_Irr!BO3&lt;&gt;"."),s_dir!T3/((1/1000)*(s_Irr!BO3)),IF(AND(s_Irr!S3=".",s_Irr!AQ3&lt;&gt;".",s_Irr!BO3="."),s_dir!T3/((1/1000)*(s_Irr!AQ3)),IF(AND(s_Irr!S3&lt;&gt;".",s_Irr!AQ3=".",s_Irr!BO3="."),s_dir!T3/((1/1000)*(s_Irr!S3)),IF(AND(s_Irr!S3=".",s_Irr!AQ3=".",s_Irr!BO3="."),s_dir!T3*1000)))))))),".")</f>
        <v>231.25787655122727</v>
      </c>
      <c r="U3" s="76">
        <f>IFERROR(IF(AND(s_Irr!T3&lt;&gt;".",s_Irr!AR3&lt;&gt;".",s_Irr!BP3&lt;&gt;"."),s_dir!U3/((1/1000)*(s_Irr!T3+s_Irr!AR3+s_Irr!BP3)),IF(AND(s_Irr!T3&lt;&gt;".",s_Irr!AR3&lt;&gt;".",s_Irr!BP3="."),s_dir!U3/((1/1000)*(s_Irr!T3+s_Irr!AR3)),IF(AND(s_Irr!T3&lt;&gt;".",s_Irr!AR3=".",s_Irr!BP3&lt;&gt;"."),s_dir!U3/((1/1000)*(s_Irr!T3+s_Irr!BP3)),IF(AND(s_Irr!T3=".",s_Irr!AR3&lt;&gt;".",s_Irr!BP3&lt;&gt;"."),s_dir!U3/((1/1000)*(s_Irr!AR3+s_Irr!BP3)),IF(AND(s_Irr!T3=".",s_Irr!AR3=".",s_Irr!BP3&lt;&gt;"."),s_dir!U3/((1/1000)*(s_Irr!BP3)),IF(AND(s_Irr!T3=".",s_Irr!AR3&lt;&gt;".",s_Irr!BP3="."),s_dir!U3/((1/1000)*(s_Irr!AR3)),IF(AND(s_Irr!T3&lt;&gt;".",s_Irr!AR3=".",s_Irr!BP3="."),s_dir!U3/((1/1000)*(s_Irr!T3)),IF(AND(s_Irr!T3=".",s_Irr!AR3=".",s_Irr!BP3="."),s_dir!U3*1000)))))))),".")</f>
        <v>231.92335041271585</v>
      </c>
      <c r="V3" s="76">
        <f>IFERROR(IF(AND(s_Irr!U3&lt;&gt;".",s_Irr!AS3&lt;&gt;".",s_Irr!BQ3&lt;&gt;"."),s_dir!V3/((1/1000)*(s_Irr!U3+s_Irr!AS3+s_Irr!BQ3)),IF(AND(s_Irr!U3&lt;&gt;".",s_Irr!AS3&lt;&gt;".",s_Irr!BQ3="."),s_dir!V3/((1/1000)*(s_Irr!U3+s_Irr!AS3)),IF(AND(s_Irr!U3&lt;&gt;".",s_Irr!AS3=".",s_Irr!BQ3&lt;&gt;"."),s_dir!V3/((1/1000)*(s_Irr!U3+s_Irr!BQ3)),IF(AND(s_Irr!U3=".",s_Irr!AS3&lt;&gt;".",s_Irr!BQ3&lt;&gt;"."),s_dir!V3/((1/1000)*(s_Irr!AS3+s_Irr!BQ3)),IF(AND(s_Irr!U3=".",s_Irr!AS3=".",s_Irr!BQ3&lt;&gt;"."),s_dir!V3/((1/1000)*(s_Irr!BQ3)),IF(AND(s_Irr!U3=".",s_Irr!AS3&lt;&gt;".",s_Irr!BQ3="."),s_dir!V3/((1/1000)*(s_Irr!AS3)),IF(AND(s_Irr!U3&lt;&gt;".",s_Irr!AS3=".",s_Irr!BQ3="."),s_dir!V3/((1/1000)*(s_Irr!U3)),IF(AND(s_Irr!U3=".",s_Irr!AS3=".",s_Irr!BQ3="."),s_dir!V3*1000)))))))),".")</f>
        <v>231.33596930980147</v>
      </c>
      <c r="W3" s="76">
        <f>IFERROR(IF(AND(s_Irr!V3&lt;&gt;".",s_Irr!AT3&lt;&gt;".",s_Irr!BR3&lt;&gt;"."),s_dir!W3/((1/1000)*(s_Irr!V3+s_Irr!AT3+s_Irr!BR3)),IF(AND(s_Irr!V3&lt;&gt;".",s_Irr!AT3&lt;&gt;".",s_Irr!BR3="."),s_dir!W3/((1/1000)*(s_Irr!V3+s_Irr!AT3)),IF(AND(s_Irr!V3&lt;&gt;".",s_Irr!AT3=".",s_Irr!BR3&lt;&gt;"."),s_dir!W3/((1/1000)*(s_Irr!V3+s_Irr!BR3)),IF(AND(s_Irr!V3=".",s_Irr!AT3&lt;&gt;".",s_Irr!BR3&lt;&gt;"."),s_dir!W3/((1/1000)*(s_Irr!AT3+s_Irr!BR3)),IF(AND(s_Irr!V3=".",s_Irr!AT3=".",s_Irr!BR3&lt;&gt;"."),s_dir!W3/((1/1000)*(s_Irr!BR3)),IF(AND(s_Irr!V3=".",s_Irr!AT3&lt;&gt;".",s_Irr!BR3="."),s_dir!W3/((1/1000)*(s_Irr!AT3)),IF(AND(s_Irr!V3&lt;&gt;".",s_Irr!AT3=".",s_Irr!BR3="."),s_dir!W3/((1/1000)*(s_Irr!V3)),IF(AND(s_Irr!V3=".",s_Irr!AT3=".",s_Irr!BR3="."),s_dir!W3*1000)))))))),".")</f>
        <v>231.25787655122727</v>
      </c>
      <c r="X3" s="76">
        <f>IFERROR(IF(AND(s_Irr!W3&lt;&gt;".",s_Irr!AU3&lt;&gt;".",s_Irr!BS3&lt;&gt;"."),s_dir!X3/((1/1000)*(s_Irr!W3+s_Irr!AU3+s_Irr!BS3)),IF(AND(s_Irr!W3&lt;&gt;".",s_Irr!AU3&lt;&gt;".",s_Irr!BS3="."),s_dir!X3/((1/1000)*(s_Irr!W3+s_Irr!AU3)),IF(AND(s_Irr!W3&lt;&gt;".",s_Irr!AU3=".",s_Irr!BS3&lt;&gt;"."),s_dir!X3/((1/1000)*(s_Irr!W3+s_Irr!BS3)),IF(AND(s_Irr!W3=".",s_Irr!AU3&lt;&gt;".",s_Irr!BS3&lt;&gt;"."),s_dir!X3/((1/1000)*(s_Irr!AU3+s_Irr!BS3)),IF(AND(s_Irr!W3=".",s_Irr!AU3=".",s_Irr!BS3&lt;&gt;"."),s_dir!X3/((1/1000)*(s_Irr!BS3)),IF(AND(s_Irr!W3=".",s_Irr!AU3&lt;&gt;".",s_Irr!BS3="."),s_dir!X3/((1/1000)*(s_Irr!AU3)),IF(AND(s_Irr!W3&lt;&gt;".",s_Irr!AU3=".",s_Irr!BS3="."),s_dir!X3/((1/1000)*(s_Irr!W3)),IF(AND(s_Irr!W3=".",s_Irr!AU3=".",s_Irr!BS3="."),s_dir!X3*1000)))))))),".")</f>
        <v>232.31659774563536</v>
      </c>
      <c r="Y3" s="76">
        <f>IFERROR(IF(AND(s_Irr!X3&lt;&gt;".",s_Irr!AV3&lt;&gt;".",s_Irr!BT3&lt;&gt;"."),s_dir!Y3/((1/1000)*(s_Irr!X3+s_Irr!AV3+s_Irr!BT3)),IF(AND(s_Irr!X3&lt;&gt;".",s_Irr!AV3&lt;&gt;".",s_Irr!BT3="."),s_dir!Y3/((1/1000)*(s_Irr!X3+s_Irr!AV3)),IF(AND(s_Irr!X3&lt;&gt;".",s_Irr!AV3=".",s_Irr!BT3&lt;&gt;"."),s_dir!Y3/((1/1000)*(s_Irr!X3+s_Irr!BT3)),IF(AND(s_Irr!X3=".",s_Irr!AV3&lt;&gt;".",s_Irr!BT3&lt;&gt;"."),s_dir!Y3/((1/1000)*(s_Irr!AV3+s_Irr!BT3)),IF(AND(s_Irr!X3=".",s_Irr!AV3=".",s_Irr!BT3&lt;&gt;"."),s_dir!Y3/((1/1000)*(s_Irr!BT3)),IF(AND(s_Irr!X3=".",s_Irr!AV3&lt;&gt;".",s_Irr!BT3="."),s_dir!Y3/((1/1000)*(s_Irr!AV3)),IF(AND(s_Irr!X3&lt;&gt;".",s_Irr!AV3=".",s_Irr!BT3="."),s_dir!Y3/((1/1000)*(s_Irr!X3)),IF(AND(s_Irr!X3=".",s_Irr!AV3=".",s_Irr!BT3="."),s_dir!Y3*1000)))))))),".")</f>
        <v>231.33596930980147</v>
      </c>
      <c r="Z3" s="76">
        <f>IFERROR(IF(AND(s_Irr!Y3&lt;&gt;".",s_Irr!AW3&lt;&gt;".",s_Irr!BU3&lt;&gt;"."),s_dir!Z3/((1/1000)*(s_Irr!Y3+s_Irr!AW3+s_Irr!BU3)),IF(AND(s_Irr!Y3&lt;&gt;".",s_Irr!AW3&lt;&gt;".",s_Irr!BU3="."),s_dir!Z3/((1/1000)*(s_Irr!Y3+s_Irr!AW3)),IF(AND(s_Irr!Y3&lt;&gt;".",s_Irr!AW3=".",s_Irr!BU3&lt;&gt;"."),s_dir!Z3/((1/1000)*(s_Irr!Y3+s_Irr!BU3)),IF(AND(s_Irr!Y3=".",s_Irr!AW3&lt;&gt;".",s_Irr!BU3&lt;&gt;"."),s_dir!Z3/((1/1000)*(s_Irr!AW3+s_Irr!BU3)),IF(AND(s_Irr!Y3=".",s_Irr!AW3=".",s_Irr!BU3&lt;&gt;"."),s_dir!Z3/((1/1000)*(s_Irr!BU3)),IF(AND(s_Irr!Y3=".",s_Irr!AW3&lt;&gt;".",s_Irr!BU3="."),s_dir!Z3/((1/1000)*(s_Irr!AW3)),IF(AND(s_Irr!Y3&lt;&gt;".",s_Irr!AW3=".",s_Irr!BU3="."),s_dir!Z3/((1/1000)*(s_Irr!Y3)),IF(AND(s_Irr!Y3=".",s_Irr!AW3=".",s_Irr!BU3="."),s_dir!Z3*1000)))))))),".")</f>
        <v>228.86288130907002</v>
      </c>
      <c r="AA3" s="76">
        <f>IFERROR(IF(AND(s_Irr!Z3&lt;&gt;".",s_Irr!AX3&lt;&gt;".",s_Irr!BV3&lt;&gt;"."),s_dir!AA3/((1/1000)*(s_Irr!Z3+s_Irr!AX3+s_Irr!BV3)),IF(AND(s_Irr!Z3&lt;&gt;".",s_Irr!AX3&lt;&gt;".",s_Irr!BV3="."),s_dir!AA3/((1/1000)*(s_Irr!Z3+s_Irr!AX3)),IF(AND(s_Irr!Z3&lt;&gt;".",s_Irr!AX3=".",s_Irr!BV3&lt;&gt;"."),s_dir!AA3/((1/1000)*(s_Irr!Z3+s_Irr!BV3)),IF(AND(s_Irr!Z3=".",s_Irr!AX3&lt;&gt;".",s_Irr!BV3&lt;&gt;"."),s_dir!AA3/((1/1000)*(s_Irr!AX3+s_Irr!BV3)),IF(AND(s_Irr!Z3=".",s_Irr!AX3=".",s_Irr!BV3&lt;&gt;"."),s_dir!AA3/((1/1000)*(s_Irr!BV3)),IF(AND(s_Irr!Z3=".",s_Irr!AX3&lt;&gt;".",s_Irr!BV3="."),s_dir!AA3/((1/1000)*(s_Irr!AX3)),IF(AND(s_Irr!Z3&lt;&gt;".",s_Irr!AX3=".",s_Irr!BV3="."),s_dir!AA3/((1/1000)*(s_Irr!Z3)),IF(AND(s_Irr!Z3=".",s_Irr!AX3=".",s_Irr!BV3="."),s_dir!AA3*1000)))))))),".")</f>
        <v>232.66376017941096</v>
      </c>
      <c r="AB3" s="93">
        <f>SUM(AC3:AD3,AY3:AZ3)</f>
        <v>646.93905316741279</v>
      </c>
      <c r="AC3" s="93">
        <f>IFERROR(s_C*s_IFAP_res_adj*s_CF_apple*0.001*(s_Irr!C3+s_Irr!AA3+s_Irr!AY3),".")</f>
        <v>160.91580583658825</v>
      </c>
      <c r="AD3" s="93">
        <f>IFERROR(s_C*s_IFAS_res_adj*s_CF_asparagus*0.001*(s_Irr!D3+s_Irr!AB3+s_Irr!AZ3),".")</f>
        <v>161.56878609282953</v>
      </c>
      <c r="AE3" s="93">
        <f>IFERROR(s_C*s_IFBT_res_adj*s_CF_beet*0.001*(s_Irr!E3+s_Irr!AC3+s_Irr!BA3),".")</f>
        <v>162.66164007817056</v>
      </c>
      <c r="AF3" s="93">
        <f>IFERROR(s_C*s_IFBE_res_adj*s_CF_berries*0.001*(s_Irr!F3+s_Irr!AD3+s_Irr!BB3),".")</f>
        <v>163.01681762340641</v>
      </c>
      <c r="AG3" s="93">
        <f>IFERROR(s_C*s_IFBR_res_adj*s_CF_broccoli*0.001*(s_Irr!G3+s_Irr!AE3+s_Irr!BC3),".")</f>
        <v>161.81467823953128</v>
      </c>
      <c r="AH3" s="93">
        <f>IFERROR(s_C*s_IFCB_res_adj*s_CF_cabbage*0.001*(s_Irr!H3+s_Irr!AF3+s_Irr!BD3),".")</f>
        <v>161.56878609282953</v>
      </c>
      <c r="AI3" s="93">
        <f>IFERROR(s_C*s_IFCR_res_adj*s_CF_carrot*0.001*(s_Irr!I3+s_Irr!AG3+s_Irr!BE3),".")</f>
        <v>162.66164007817056</v>
      </c>
      <c r="AJ3" s="93">
        <f>IFERROR(s_C*s_IFCI_res_adj*s_CF_citrus*0.001*(s_Irr!J3+s_Irr!AH3+s_Irr!BF3),".")</f>
        <v>160.91580583658825</v>
      </c>
      <c r="AK3" s="93">
        <f>IFERROR(s_C*s_IFCO_res_adj*s_CF_corn*0.001*(s_Irr!K3+s_Irr!AI3+s_Irr!BG3),".")</f>
        <v>160.96771640089193</v>
      </c>
      <c r="AL3" s="93">
        <f>IFERROR(s_C*s_IFCU_res_adj*s_CF_cucumber*0.001*(s_Irr!L3+s_Irr!AJ3+s_Irr!BH3),".")</f>
        <v>161.81467823953128</v>
      </c>
      <c r="AM3" s="93">
        <f>IFERROR(s_C*s_IFLE_res_adj*s_CF_lettuce*0.001*(s_Irr!M3+s_Irr!AK3+s_Irr!BI3),".")</f>
        <v>161.56878609282953</v>
      </c>
      <c r="AN3" s="93">
        <f>IFERROR(s_C*s_IFLI_res_adj*s_CF_lima_bean*0.001*(s_Irr!N3+s_Irr!AL3+s_Irr!BJ3),".")</f>
        <v>161.8693209387983</v>
      </c>
      <c r="AO3" s="93">
        <f>IFERROR(s_C*s_IFOK_res_adj*s_CF_okra*0.001*(s_Irr!O3+s_Irr!AM3+s_Irr!BK3),".")</f>
        <v>161.81467823953128</v>
      </c>
      <c r="AP3" s="93">
        <f>IFERROR(s_C*s_IFON_res_adj*s_CF_onion*0.001*(s_Irr!P3+s_Irr!AN3+s_Irr!BL3),".")</f>
        <v>161.81467823953128</v>
      </c>
      <c r="AQ3" s="93">
        <f>IFERROR(s_C*s_IFPC_res_adj*s_CF_peach*0.001*(s_Irr!Q3+s_Irr!AO3+s_Irr!BM3),".")</f>
        <v>160.91580583658825</v>
      </c>
      <c r="AR3" s="93">
        <f>IFERROR(s_C*s_IFPR_res_adj*s_CF_pear*0.001*(s_Irr!R3+s_Irr!AP3+s_Irr!BN3),".")</f>
        <v>160.91580583658825</v>
      </c>
      <c r="AS3" s="93">
        <f>IFERROR(s_C*s_IFPE_res_adj*s_CF_peas*0.001*(s_Irr!S3+s_Irr!AQ3+s_Irr!BO3),".")</f>
        <v>161.8693209387983</v>
      </c>
      <c r="AT3" s="93">
        <f>IFERROR(s_C*s_IFPT_res_adj*s_CF_potato*0.001*(s_Irr!T3+s_Irr!AR3+s_Irr!BP3),".")</f>
        <v>161.40485799502835</v>
      </c>
      <c r="AU3" s="93">
        <f>IFERROR(s_C*s_IFPU_res_adj*s_CF_pumpkin*0.001*(s_Irr!U3+s_Irr!AS3+s_Irr!BQ3),".")</f>
        <v>161.81467823953128</v>
      </c>
      <c r="AV3" s="93">
        <f>IFERROR(s_C*s_IFSN_res_adj*s_CF_snap_bean*0.001*(s_Irr!V3+s_Irr!AT3+s_Irr!BR3),".")</f>
        <v>161.8693209387983</v>
      </c>
      <c r="AW3" s="93">
        <f>IFERROR(s_C*s_IFST_res_adj*s_CF_strawberry*0.001*(s_Irr!W3+s_Irr!AU3+s_Irr!BS3),".")</f>
        <v>161.13164449869308</v>
      </c>
      <c r="AX3" s="93">
        <f>IFERROR(s_C*s_IFTO_res_adj*s_CF_tomato*0.001*(s_Irr!X3+s_Irr!AV3+s_Irr!BT3),".")</f>
        <v>161.81467823953128</v>
      </c>
      <c r="AY3" s="93">
        <f>IFERROR(s_C*s_IFRI_res_adj*s_CF_rice*0.001*(s_Irr!Y3+s_Irr!AW3+s_Irr!BU3),".")</f>
        <v>163.56324461607693</v>
      </c>
      <c r="AZ3" s="93">
        <f>IFERROR(s_C*s_IFCG_res_adj*s_CF_cereal*0.001*(s_Irr!Z3+s_Irr!AX3+s_Irr!BV3),".")</f>
        <v>160.89121662191806</v>
      </c>
      <c r="BA3" s="76">
        <f>IFERROR(1/SUM(1/BB3,1/BC3,1/BX3,1/BY3),".")</f>
        <v>57.86256874711917</v>
      </c>
      <c r="BB3" s="76">
        <f>IFERROR(IF(AND(s_Irr!C3&lt;&gt;".",s_Irr!AA3&lt;&gt;".",s_Irr!AY3&lt;&gt;"."),s_dir!AC3/((1/1000)*(s_Irr!C3+s_Irr!AA3+s_Irr!AY3)),IF(AND(s_Irr!C3&lt;&gt;".",s_Irr!AA3&lt;&gt;".",s_Irr!AY3="."),s_dir!AC3/((1/1000)*(s_Irr!C3+s_Irr!AA3)),IF(AND(s_Irr!C3&lt;&gt;".",s_Irr!AA3=".",s_Irr!AY3&lt;&gt;"."),s_dir!AC3/((1/1000)*(s_Irr!C3+s_Irr!AY3)),IF(AND(s_Irr!C3=".",s_Irr!AA3&lt;&gt;".",s_Irr!AY3&lt;&gt;"."),s_dir!AC3/((1/1000)*(s_Irr!AA3+s_Irr!AY3)),IF(AND(s_Irr!C3=".",s_Irr!AA3=".",s_Irr!AY3&lt;&gt;"."),s_dir!AC3/((1/1000)*(s_Irr!AY3)),IF(AND(s_Irr!C3=".",s_Irr!AA3&lt;&gt;".",s_Irr!AY3="."),s_dir!AC3/((1/1000)*(s_Irr!AA3)),IF(AND(s_Irr!C3&lt;&gt;".",s_Irr!AA3=".",s_Irr!AY3="."),s_dir!AC3/((1/1000)*(s_Irr!C3)),IF(AND(s_Irr!C3=".",s_Irr!AA3=".",s_Irr!AY3="."),s_dir!AC3*1000)))))))),".")</f>
        <v>232.62820730680608</v>
      </c>
      <c r="BC3" s="76">
        <f>IFERROR(IF(AND(s_Irr!D3&lt;&gt;".",s_Irr!AB3&lt;&gt;".",s_Irr!AZ3&lt;&gt;"."),s_dir!AD3/((1/1000)*(s_Irr!D3+s_Irr!AB3+s_Irr!AZ3)),IF(AND(s_Irr!D3&lt;&gt;".",s_Irr!AB3&lt;&gt;".",s_Irr!AZ3="."),s_dir!AD3/((1/1000)*(s_Irr!D3+s_Irr!AB3)),IF(AND(s_Irr!D3&lt;&gt;".",s_Irr!AB3=".",s_Irr!AZ3&lt;&gt;"."),s_dir!AD3/((1/1000)*(s_Irr!D3+s_Irr!AZ3)),IF(AND(s_Irr!D3=".",s_Irr!AB3&lt;&gt;".",s_Irr!AZ3&lt;&gt;"."),s_dir!AD3/((1/1000)*(s_Irr!AB3+s_Irr!AZ3)),IF(AND(s_Irr!D3=".",s_Irr!AB3=".",s_Irr!AZ3&lt;&gt;"."),s_dir!AD3/((1/1000)*(s_Irr!AZ3)),IF(AND(s_Irr!D3=".",s_Irr!AB3&lt;&gt;".",s_Irr!AZ3="."),s_dir!AD3/((1/1000)*(s_Irr!AB3)),IF(AND(s_Irr!D3&lt;&gt;".",s_Irr!AB3=".",s_Irr!AZ3="."),s_dir!AD3/((1/1000)*(s_Irr!D3)),IF(AND(s_Irr!D3=".",s_Irr!AB3=".",s_Irr!AZ3="."),s_dir!AD3*1000)))))))),".")</f>
        <v>231.68804039654114</v>
      </c>
      <c r="BD3" s="76">
        <f>IFERROR(IF(AND(s_Irr!E3&lt;&gt;".",s_Irr!AC3&lt;&gt;".",s_Irr!BA3&lt;&gt;"."),s_dir!AE3/((1/1000)*(s_Irr!E3+s_Irr!AC3+s_Irr!BA3)),IF(AND(s_Irr!E3&lt;&gt;".",s_Irr!AC3&lt;&gt;".",s_Irr!BA3="."),s_dir!AE3/((1/1000)*(s_Irr!E3+s_Irr!AC3)),IF(AND(s_Irr!E3&lt;&gt;".",s_Irr!AC3=".",s_Irr!BA3&lt;&gt;"."),s_dir!AE3/((1/1000)*(s_Irr!E3+s_Irr!BA3)),IF(AND(s_Irr!E3=".",s_Irr!AC3&lt;&gt;".",s_Irr!BA3&lt;&gt;"."),s_dir!AE3/((1/1000)*(s_Irr!AC3+s_Irr!BA3)),IF(AND(s_Irr!E3=".",s_Irr!AC3=".",s_Irr!BA3&lt;&gt;"."),s_dir!AE3/((1/1000)*(s_Irr!BA3)),IF(AND(s_Irr!E3=".",s_Irr!AC3&lt;&gt;".",s_Irr!BA3="."),s_dir!AE3/((1/1000)*(s_Irr!AC3)),IF(AND(s_Irr!E3&lt;&gt;".",s_Irr!AC3=".",s_Irr!BA3="."),s_dir!AE3/((1/1000)*(s_Irr!E3)),IF(AND(s_Irr!E3=".",s_Irr!AC3=".",s_Irr!BA3="."),s_dir!AE3*1000)))))))),".")</f>
        <v>230.13142755173314</v>
      </c>
      <c r="BE3" s="76">
        <f>IFERROR(IF(AND(s_Irr!F3&lt;&gt;".",s_Irr!AD3&lt;&gt;".",s_Irr!BB3&lt;&gt;"."),s_dir!AF3/((1/1000)*(s_Irr!F3+s_Irr!AD3+s_Irr!BB3)),IF(AND(s_Irr!F3&lt;&gt;".",s_Irr!AD3&lt;&gt;".",s_Irr!BB3="."),s_dir!AF3/((1/1000)*(s_Irr!F3+s_Irr!AD3)),IF(AND(s_Irr!F3&lt;&gt;".",s_Irr!AD3=".",s_Irr!BB3&lt;&gt;"."),s_dir!AF3/((1/1000)*(s_Irr!F3+s_Irr!BB3)),IF(AND(s_Irr!F3=".",s_Irr!AD3&lt;&gt;".",s_Irr!BB3&lt;&gt;"."),s_dir!AF3/((1/1000)*(s_Irr!AD3+s_Irr!BB3)),IF(AND(s_Irr!F3=".",s_Irr!AD3=".",s_Irr!BB3&lt;&gt;"."),s_dir!AF3/((1/1000)*(s_Irr!BB3)),IF(AND(s_Irr!F3=".",s_Irr!AD3&lt;&gt;".",s_Irr!BB3="."),s_dir!AF3/((1/1000)*(s_Irr!AD3)),IF(AND(s_Irr!F3&lt;&gt;".",s_Irr!AD3=".",s_Irr!BB3="."),s_dir!AF3/((1/1000)*(s_Irr!F3)),IF(AND(s_Irr!F3=".",s_Irr!AD3=".",s_Irr!BB3="."),s_dir!AF3*1000)))))))),".")</f>
        <v>229.63002213411374</v>
      </c>
      <c r="BF3" s="76">
        <f>IFERROR(IF(AND(s_Irr!G3&lt;&gt;".",s_Irr!AE3&lt;&gt;".",s_Irr!BC3&lt;&gt;"."),s_dir!AG3/((1/1000)*(s_Irr!G3+s_Irr!AE3+s_Irr!BC3)),IF(AND(s_Irr!G3&lt;&gt;".",s_Irr!AE3&lt;&gt;".",s_Irr!BC3="."),s_dir!AG3/((1/1000)*(s_Irr!G3+s_Irr!AE3)),IF(AND(s_Irr!G3&lt;&gt;".",s_Irr!AE3=".",s_Irr!BC3&lt;&gt;"."),s_dir!AG3/((1/1000)*(s_Irr!G3+s_Irr!BC3)),IF(AND(s_Irr!G3=".",s_Irr!AE3&lt;&gt;".",s_Irr!BC3&lt;&gt;"."),s_dir!AG3/((1/1000)*(s_Irr!AE3+s_Irr!BC3)),IF(AND(s_Irr!G3=".",s_Irr!AE3=".",s_Irr!BC3&lt;&gt;"."),s_dir!AG3/((1/1000)*(s_Irr!BC3)),IF(AND(s_Irr!G3=".",s_Irr!AE3&lt;&gt;".",s_Irr!BC3="."),s_dir!AG3/((1/1000)*(s_Irr!AE3)),IF(AND(s_Irr!G3&lt;&gt;".",s_Irr!AE3=".",s_Irr!BC3="."),s_dir!AG3/((1/1000)*(s_Irr!G3)),IF(AND(s_Irr!G3=".",s_Irr!AE3=".",s_Irr!BC3="."),s_dir!AG3*1000)))))))),".")</f>
        <v>231.33596930980147</v>
      </c>
      <c r="BG3" s="76">
        <f>IFERROR(IF(AND(s_Irr!H3&lt;&gt;".",s_Irr!AF3&lt;&gt;".",s_Irr!BD3&lt;&gt;"."),s_dir!AH3/((1/1000)*(s_Irr!H3+s_Irr!AF3+s_Irr!BD3)),IF(AND(s_Irr!H3&lt;&gt;".",s_Irr!AF3&lt;&gt;".",s_Irr!BD3="."),s_dir!AH3/((1/1000)*(s_Irr!H3+s_Irr!AF3)),IF(AND(s_Irr!H3&lt;&gt;".",s_Irr!AF3=".",s_Irr!BD3&lt;&gt;"."),s_dir!AH3/((1/1000)*(s_Irr!H3+s_Irr!BD3)),IF(AND(s_Irr!H3=".",s_Irr!AF3&lt;&gt;".",s_Irr!BD3&lt;&gt;"."),s_dir!AH3/((1/1000)*(s_Irr!AF3+s_Irr!BD3)),IF(AND(s_Irr!H3=".",s_Irr!AF3=".",s_Irr!BD3&lt;&gt;"."),s_dir!AH3/((1/1000)*(s_Irr!BD3)),IF(AND(s_Irr!H3=".",s_Irr!AF3&lt;&gt;".",s_Irr!BD3="."),s_dir!AH3/((1/1000)*(s_Irr!AF3)),IF(AND(s_Irr!H3&lt;&gt;".",s_Irr!AF3=".",s_Irr!BD3="."),s_dir!AH3/((1/1000)*(s_Irr!H3)),IF(AND(s_Irr!H3=".",s_Irr!AF3=".",s_Irr!BD3="."),s_dir!AH3*1000)))))))),".")</f>
        <v>231.68804039654114</v>
      </c>
      <c r="BH3" s="76">
        <f>IFERROR(IF(AND(s_Irr!I3&lt;&gt;".",s_Irr!AG3&lt;&gt;".",s_Irr!BE3&lt;&gt;"."),s_dir!AI3/((1/1000)*(s_Irr!I3+s_Irr!AG3+s_Irr!BE3)),IF(AND(s_Irr!I3&lt;&gt;".",s_Irr!AG3&lt;&gt;".",s_Irr!BE3="."),s_dir!AI3/((1/1000)*(s_Irr!I3+s_Irr!AG3)),IF(AND(s_Irr!I3&lt;&gt;".",s_Irr!AG3=".",s_Irr!BE3&lt;&gt;"."),s_dir!AI3/((1/1000)*(s_Irr!I3+s_Irr!BE3)),IF(AND(s_Irr!I3=".",s_Irr!AG3&lt;&gt;".",s_Irr!BE3&lt;&gt;"."),s_dir!AI3/((1/1000)*(s_Irr!AG3+s_Irr!BE3)),IF(AND(s_Irr!I3=".",s_Irr!AG3=".",s_Irr!BE3&lt;&gt;"."),s_dir!AI3/((1/1000)*(s_Irr!BE3)),IF(AND(s_Irr!I3=".",s_Irr!AG3&lt;&gt;".",s_Irr!BE3="."),s_dir!AI3/((1/1000)*(s_Irr!AG3)),IF(AND(s_Irr!I3&lt;&gt;".",s_Irr!AG3=".",s_Irr!BE3="."),s_dir!AI3/((1/1000)*(s_Irr!I3)),IF(AND(s_Irr!I3=".",s_Irr!AG3=".",s_Irr!BE3="."),s_dir!AI3*1000)))))))),".")</f>
        <v>230.13142755173314</v>
      </c>
      <c r="BI3" s="76">
        <f>IFERROR(IF(AND(s_Irr!J3&lt;&gt;".",s_Irr!AH3&lt;&gt;".",s_Irr!BF3&lt;&gt;"."),s_dir!AJ3/((1/1000)*(s_Irr!J3+s_Irr!AH3+s_Irr!BF3)),IF(AND(s_Irr!J3&lt;&gt;".",s_Irr!AH3&lt;&gt;".",s_Irr!BF3="."),s_dir!AJ3/((1/1000)*(s_Irr!J3+s_Irr!AH3)),IF(AND(s_Irr!J3&lt;&gt;".",s_Irr!AH3=".",s_Irr!BF3&lt;&gt;"."),s_dir!AJ3/((1/1000)*(s_Irr!J3+s_Irr!BF3)),IF(AND(s_Irr!J3=".",s_Irr!AH3&lt;&gt;".",s_Irr!BF3&lt;&gt;"."),s_dir!AJ3/((1/1000)*(s_Irr!AH3+s_Irr!BF3)),IF(AND(s_Irr!J3=".",s_Irr!AH3=".",s_Irr!BF3&lt;&gt;"."),s_dir!AJ3/((1/1000)*(s_Irr!BF3)),IF(AND(s_Irr!J3=".",s_Irr!AH3&lt;&gt;".",s_Irr!BF3="."),s_dir!AJ3/((1/1000)*(s_Irr!AH3)),IF(AND(s_Irr!J3&lt;&gt;".",s_Irr!AH3=".",s_Irr!BF3="."),s_dir!AJ3/((1/1000)*(s_Irr!J3)),IF(AND(s_Irr!J3=".",s_Irr!AH3=".",s_Irr!BF3="."),s_dir!AJ3*1000)))))))),".")</f>
        <v>232.62820730680608</v>
      </c>
      <c r="BJ3" s="76">
        <f>IFERROR(IF(AND(s_Irr!K3&lt;&gt;".",s_Irr!AI3&lt;&gt;".",s_Irr!BG3&lt;&gt;"."),s_dir!AK3/((1/1000)*(s_Irr!K3+s_Irr!AI3+s_Irr!BG3)),IF(AND(s_Irr!K3&lt;&gt;".",s_Irr!AI3&lt;&gt;".",s_Irr!BG3="."),s_dir!AK3/((1/1000)*(s_Irr!K3+s_Irr!AI3)),IF(AND(s_Irr!K3&lt;&gt;".",s_Irr!AI3=".",s_Irr!BG3&lt;&gt;"."),s_dir!AK3/((1/1000)*(s_Irr!K3+s_Irr!BG3)),IF(AND(s_Irr!K3=".",s_Irr!AI3&lt;&gt;".",s_Irr!BG3&lt;&gt;"."),s_dir!AK3/((1/1000)*(s_Irr!AI3+s_Irr!BG3)),IF(AND(s_Irr!K3=".",s_Irr!AI3=".",s_Irr!BG3&lt;&gt;"."),s_dir!AK3/((1/1000)*(s_Irr!BG3)),IF(AND(s_Irr!K3=".",s_Irr!AI3&lt;&gt;".",s_Irr!BG3="."),s_dir!AK3/((1/1000)*(s_Irr!AI3)),IF(AND(s_Irr!K3&lt;&gt;".",s_Irr!AI3=".",s_Irr!BG3="."),s_dir!AK3/((1/1000)*(s_Irr!K3)),IF(AND(s_Irr!K3=".",s_Irr!AI3=".",s_Irr!BG3="."),s_dir!AK3*1000)))))))),".")</f>
        <v>232.55318691275275</v>
      </c>
      <c r="BK3" s="76">
        <f>IFERROR(IF(AND(s_Irr!L3&lt;&gt;".",s_Irr!AJ3&lt;&gt;".",s_Irr!BH3&lt;&gt;"."),s_dir!AL3/((1/1000)*(s_Irr!L3+s_Irr!AJ3+s_Irr!BH3)),IF(AND(s_Irr!L3&lt;&gt;".",s_Irr!AJ3&lt;&gt;".",s_Irr!BH3="."),s_dir!AL3/((1/1000)*(s_Irr!L3+s_Irr!AJ3)),IF(AND(s_Irr!L3&lt;&gt;".",s_Irr!AJ3=".",s_Irr!BH3&lt;&gt;"."),s_dir!AL3/((1/1000)*(s_Irr!L3+s_Irr!BH3)),IF(AND(s_Irr!L3=".",s_Irr!AJ3&lt;&gt;".",s_Irr!BH3&lt;&gt;"."),s_dir!AL3/((1/1000)*(s_Irr!AJ3+s_Irr!BH3)),IF(AND(s_Irr!L3=".",s_Irr!AJ3=".",s_Irr!BH3&lt;&gt;"."),s_dir!AL3/((1/1000)*(s_Irr!BH3)),IF(AND(s_Irr!L3=".",s_Irr!AJ3&lt;&gt;".",s_Irr!BH3="."),s_dir!AL3/((1/1000)*(s_Irr!AJ3)),IF(AND(s_Irr!L3&lt;&gt;".",s_Irr!AJ3=".",s_Irr!BH3="."),s_dir!AL3/((1/1000)*(s_Irr!L3)),IF(AND(s_Irr!L3=".",s_Irr!AJ3=".",s_Irr!BH3="."),s_dir!AL3*1000)))))))),".")</f>
        <v>231.33596930980147</v>
      </c>
      <c r="BL3" s="76">
        <f>IFERROR(IF(AND(s_Irr!M3&lt;&gt;".",s_Irr!AK3&lt;&gt;".",s_Irr!BI3&lt;&gt;"."),s_dir!AM3/((1/1000)*(s_Irr!M3+s_Irr!AK3+s_Irr!BI3)),IF(AND(s_Irr!M3&lt;&gt;".",s_Irr!AK3&lt;&gt;".",s_Irr!BI3="."),s_dir!AM3/((1/1000)*(s_Irr!M3+s_Irr!AK3)),IF(AND(s_Irr!M3&lt;&gt;".",s_Irr!AK3=".",s_Irr!BI3&lt;&gt;"."),s_dir!AM3/((1/1000)*(s_Irr!M3+s_Irr!BI3)),IF(AND(s_Irr!M3=".",s_Irr!AK3&lt;&gt;".",s_Irr!BI3&lt;&gt;"."),s_dir!AM3/((1/1000)*(s_Irr!AK3+s_Irr!BI3)),IF(AND(s_Irr!M3=".",s_Irr!AK3=".",s_Irr!BI3&lt;&gt;"."),s_dir!AM3/((1/1000)*(s_Irr!BI3)),IF(AND(s_Irr!M3=".",s_Irr!AK3&lt;&gt;".",s_Irr!BI3="."),s_dir!AM3/((1/1000)*(s_Irr!AK3)),IF(AND(s_Irr!M3&lt;&gt;".",s_Irr!AK3=".",s_Irr!BI3="."),s_dir!AM3/((1/1000)*(s_Irr!M3)),IF(AND(s_Irr!M3=".",s_Irr!AK3=".",s_Irr!BI3="."),s_dir!AM3*1000)))))))),".")</f>
        <v>231.68804039654114</v>
      </c>
      <c r="BM3" s="76">
        <f>IFERROR(IF(AND(s_Irr!N3&lt;&gt;".",s_Irr!AL3&lt;&gt;".",s_Irr!BJ3&lt;&gt;"."),s_dir!AN3/((1/1000)*(s_Irr!N3+s_Irr!AL3+s_Irr!BJ3)),IF(AND(s_Irr!N3&lt;&gt;".",s_Irr!AL3&lt;&gt;".",s_Irr!BJ3="."),s_dir!AN3/((1/1000)*(s_Irr!N3+s_Irr!AL3)),IF(AND(s_Irr!N3&lt;&gt;".",s_Irr!AL3=".",s_Irr!BJ3&lt;&gt;"."),s_dir!AN3/((1/1000)*(s_Irr!N3+s_Irr!BJ3)),IF(AND(s_Irr!N3=".",s_Irr!AL3&lt;&gt;".",s_Irr!BJ3&lt;&gt;"."),s_dir!AN3/((1/1000)*(s_Irr!AL3+s_Irr!BJ3)),IF(AND(s_Irr!N3=".",s_Irr!AL3=".",s_Irr!BJ3&lt;&gt;"."),s_dir!AN3/((1/1000)*(s_Irr!BJ3)),IF(AND(s_Irr!N3=".",s_Irr!AL3&lt;&gt;".",s_Irr!BJ3="."),s_dir!AN3/((1/1000)*(s_Irr!AL3)),IF(AND(s_Irr!N3&lt;&gt;".",s_Irr!AL3=".",s_Irr!BJ3="."),s_dir!AN3/((1/1000)*(s_Irr!N3)),IF(AND(s_Irr!N3=".",s_Irr!AL3=".",s_Irr!BJ3="."),s_dir!AN3*1000)))))))),".")</f>
        <v>231.25787655122727</v>
      </c>
      <c r="BN3" s="76">
        <f>IFERROR(IF(AND(s_Irr!O3&lt;&gt;".",s_Irr!AM3&lt;&gt;".",s_Irr!BK3&lt;&gt;"."),s_dir!AO3/((1/1000)*(s_Irr!O3+s_Irr!AM3+s_Irr!BK3)),IF(AND(s_Irr!O3&lt;&gt;".",s_Irr!AM3&lt;&gt;".",s_Irr!BK3="."),s_dir!AO3/((1/1000)*(s_Irr!O3+s_Irr!AM3)),IF(AND(s_Irr!O3&lt;&gt;".",s_Irr!AM3=".",s_Irr!BK3&lt;&gt;"."),s_dir!AO3/((1/1000)*(s_Irr!O3+s_Irr!BK3)),IF(AND(s_Irr!O3=".",s_Irr!AM3&lt;&gt;".",s_Irr!BK3&lt;&gt;"."),s_dir!AO3/((1/1000)*(s_Irr!AM3+s_Irr!BK3)),IF(AND(s_Irr!O3=".",s_Irr!AM3=".",s_Irr!BK3&lt;&gt;"."),s_dir!AO3/((1/1000)*(s_Irr!BK3)),IF(AND(s_Irr!O3=".",s_Irr!AM3&lt;&gt;".",s_Irr!BK3="."),s_dir!AO3/((1/1000)*(s_Irr!AM3)),IF(AND(s_Irr!O3&lt;&gt;".",s_Irr!AM3=".",s_Irr!BK3="."),s_dir!AO3/((1/1000)*(s_Irr!O3)),IF(AND(s_Irr!O3=".",s_Irr!AM3=".",s_Irr!BK3="."),s_dir!AO3*1000)))))))),".")</f>
        <v>231.33596930980147</v>
      </c>
      <c r="BO3" s="76">
        <f>IFERROR(IF(AND(s_Irr!P3&lt;&gt;".",s_Irr!AN3&lt;&gt;".",s_Irr!BL3&lt;&gt;"."),s_dir!AP3/((1/1000)*(s_Irr!P3+s_Irr!AN3+s_Irr!BL3)),IF(AND(s_Irr!P3&lt;&gt;".",s_Irr!AN3&lt;&gt;".",s_Irr!BL3="."),s_dir!AP3/((1/1000)*(s_Irr!P3+s_Irr!AN3)),IF(AND(s_Irr!P3&lt;&gt;".",s_Irr!AN3=".",s_Irr!BL3&lt;&gt;"."),s_dir!AP3/((1/1000)*(s_Irr!P3+s_Irr!BL3)),IF(AND(s_Irr!P3=".",s_Irr!AN3&lt;&gt;".",s_Irr!BL3&lt;&gt;"."),s_dir!AP3/((1/1000)*(s_Irr!AN3+s_Irr!BL3)),IF(AND(s_Irr!P3=".",s_Irr!AN3=".",s_Irr!BL3&lt;&gt;"."),s_dir!AP3/((1/1000)*(s_Irr!BL3)),IF(AND(s_Irr!P3=".",s_Irr!AN3&lt;&gt;".",s_Irr!BL3="."),s_dir!AP3/((1/1000)*(s_Irr!AN3)),IF(AND(s_Irr!P3&lt;&gt;".",s_Irr!AN3=".",s_Irr!BL3="."),s_dir!AP3/((1/1000)*(s_Irr!P3)),IF(AND(s_Irr!P3=".",s_Irr!AN3=".",s_Irr!BL3="."),s_dir!AP3*1000)))))))),".")</f>
        <v>231.33596930980147</v>
      </c>
      <c r="BP3" s="76">
        <f>IFERROR(IF(AND(s_Irr!Q3&lt;&gt;".",s_Irr!AO3&lt;&gt;".",s_Irr!BM3&lt;&gt;"."),s_dir!AQ3/((1/1000)*(s_Irr!Q3+s_Irr!AO3+s_Irr!BM3)),IF(AND(s_Irr!Q3&lt;&gt;".",s_Irr!AO3&lt;&gt;".",s_Irr!BM3="."),s_dir!AQ3/((1/1000)*(s_Irr!Q3+s_Irr!AO3)),IF(AND(s_Irr!Q3&lt;&gt;".",s_Irr!AO3=".",s_Irr!BM3&lt;&gt;"."),s_dir!AQ3/((1/1000)*(s_Irr!Q3+s_Irr!BM3)),IF(AND(s_Irr!Q3=".",s_Irr!AO3&lt;&gt;".",s_Irr!BM3&lt;&gt;"."),s_dir!AQ3/((1/1000)*(s_Irr!AO3+s_Irr!BM3)),IF(AND(s_Irr!Q3=".",s_Irr!AO3=".",s_Irr!BM3&lt;&gt;"."),s_dir!AQ3/((1/1000)*(s_Irr!BM3)),IF(AND(s_Irr!Q3=".",s_Irr!AO3&lt;&gt;".",s_Irr!BM3="."),s_dir!AQ3/((1/1000)*(s_Irr!AO3)),IF(AND(s_Irr!Q3&lt;&gt;".",s_Irr!AO3=".",s_Irr!BM3="."),s_dir!AQ3/((1/1000)*(s_Irr!Q3)),IF(AND(s_Irr!Q3=".",s_Irr!AO3=".",s_Irr!BM3="."),s_dir!AQ3*1000)))))))),".")</f>
        <v>232.62820730680608</v>
      </c>
      <c r="BQ3" s="76">
        <f>IFERROR(IF(AND(s_Irr!R3&lt;&gt;".",s_Irr!AP3&lt;&gt;".",s_Irr!BN3&lt;&gt;"."),s_dir!AR3/((1/1000)*(s_Irr!R3+s_Irr!AP3+s_Irr!BN3)),IF(AND(s_Irr!R3&lt;&gt;".",s_Irr!AP3&lt;&gt;".",s_Irr!BN3="."),s_dir!AR3/((1/1000)*(s_Irr!R3+s_Irr!AP3)),IF(AND(s_Irr!R3&lt;&gt;".",s_Irr!AP3=".",s_Irr!BN3&lt;&gt;"."),s_dir!AR3/((1/1000)*(s_Irr!R3+s_Irr!BN3)),IF(AND(s_Irr!R3=".",s_Irr!AP3&lt;&gt;".",s_Irr!BN3&lt;&gt;"."),s_dir!AR3/((1/1000)*(s_Irr!AP3+s_Irr!BN3)),IF(AND(s_Irr!R3=".",s_Irr!AP3=".",s_Irr!BN3&lt;&gt;"."),s_dir!AR3/((1/1000)*(s_Irr!BN3)),IF(AND(s_Irr!R3=".",s_Irr!AP3&lt;&gt;".",s_Irr!BN3="."),s_dir!AR3/((1/1000)*(s_Irr!AP3)),IF(AND(s_Irr!R3&lt;&gt;".",s_Irr!AP3=".",s_Irr!BN3="."),s_dir!AR3/((1/1000)*(s_Irr!R3)),IF(AND(s_Irr!R3=".",s_Irr!AP3=".",s_Irr!BN3="."),s_dir!AR3*1000)))))))),".")</f>
        <v>232.62820730680608</v>
      </c>
      <c r="BR3" s="76">
        <f>IFERROR(IF(AND(s_Irr!S3&lt;&gt;".",s_Irr!AQ3&lt;&gt;".",s_Irr!BO3&lt;&gt;"."),s_dir!AS3/((1/1000)*(s_Irr!S3+s_Irr!AQ3+s_Irr!BO3)),IF(AND(s_Irr!S3&lt;&gt;".",s_Irr!AQ3&lt;&gt;".",s_Irr!BO3="."),s_dir!AS3/((1/1000)*(s_Irr!S3+s_Irr!AQ3)),IF(AND(s_Irr!S3&lt;&gt;".",s_Irr!AQ3=".",s_Irr!BO3&lt;&gt;"."),s_dir!AS3/((1/1000)*(s_Irr!S3+s_Irr!BO3)),IF(AND(s_Irr!S3=".",s_Irr!AQ3&lt;&gt;".",s_Irr!BO3&lt;&gt;"."),s_dir!AS3/((1/1000)*(s_Irr!AQ3+s_Irr!BO3)),IF(AND(s_Irr!S3=".",s_Irr!AQ3=".",s_Irr!BO3&lt;&gt;"."),s_dir!AS3/((1/1000)*(s_Irr!BO3)),IF(AND(s_Irr!S3=".",s_Irr!AQ3&lt;&gt;".",s_Irr!BO3="."),s_dir!AS3/((1/1000)*(s_Irr!AQ3)),IF(AND(s_Irr!S3&lt;&gt;".",s_Irr!AQ3=".",s_Irr!BO3="."),s_dir!AS3/((1/1000)*(s_Irr!S3)),IF(AND(s_Irr!S3=".",s_Irr!AQ3=".",s_Irr!BO3="."),s_dir!AS3*1000)))))))),".")</f>
        <v>231.25787655122727</v>
      </c>
      <c r="BS3" s="76">
        <f>IFERROR(IF(AND(s_Irr!T3&lt;&gt;".",s_Irr!AR3&lt;&gt;".",s_Irr!BP3&lt;&gt;"."),s_dir!AT3/((1/1000)*(s_Irr!T3+s_Irr!AR3+s_Irr!BP3)),IF(AND(s_Irr!T3&lt;&gt;".",s_Irr!AR3&lt;&gt;".",s_Irr!BP3="."),s_dir!AT3/((1/1000)*(s_Irr!T3+s_Irr!AR3)),IF(AND(s_Irr!T3&lt;&gt;".",s_Irr!AR3=".",s_Irr!BP3&lt;&gt;"."),s_dir!AT3/((1/1000)*(s_Irr!T3+s_Irr!BP3)),IF(AND(s_Irr!T3=".",s_Irr!AR3&lt;&gt;".",s_Irr!BP3&lt;&gt;"."),s_dir!AT3/((1/1000)*(s_Irr!AR3+s_Irr!BP3)),IF(AND(s_Irr!T3=".",s_Irr!AR3=".",s_Irr!BP3&lt;&gt;"."),s_dir!AT3/((1/1000)*(s_Irr!BP3)),IF(AND(s_Irr!T3=".",s_Irr!AR3&lt;&gt;".",s_Irr!BP3="."),s_dir!AT3/((1/1000)*(s_Irr!AR3)),IF(AND(s_Irr!T3&lt;&gt;".",s_Irr!AR3=".",s_Irr!BP3="."),s_dir!AT3/((1/1000)*(s_Irr!T3)),IF(AND(s_Irr!T3=".",s_Irr!AR3=".",s_Irr!BP3="."),s_dir!AT3*1000)))))))),".")</f>
        <v>231.92335041271585</v>
      </c>
      <c r="BT3" s="76">
        <f>IFERROR(IF(AND(s_Irr!U3&lt;&gt;".",s_Irr!AS3&lt;&gt;".",s_Irr!BQ3&lt;&gt;"."),s_dir!AU3/((1/1000)*(s_Irr!U3+s_Irr!AS3+s_Irr!BQ3)),IF(AND(s_Irr!U3&lt;&gt;".",s_Irr!AS3&lt;&gt;".",s_Irr!BQ3="."),s_dir!AU3/((1/1000)*(s_Irr!U3+s_Irr!AS3)),IF(AND(s_Irr!U3&lt;&gt;".",s_Irr!AS3=".",s_Irr!BQ3&lt;&gt;"."),s_dir!AU3/((1/1000)*(s_Irr!U3+s_Irr!BQ3)),IF(AND(s_Irr!U3=".",s_Irr!AS3&lt;&gt;".",s_Irr!BQ3&lt;&gt;"."),s_dir!AU3/((1/1000)*(s_Irr!AS3+s_Irr!BQ3)),IF(AND(s_Irr!U3=".",s_Irr!AS3=".",s_Irr!BQ3&lt;&gt;"."),s_dir!AU3/((1/1000)*(s_Irr!BQ3)),IF(AND(s_Irr!U3=".",s_Irr!AS3&lt;&gt;".",s_Irr!BQ3="."),s_dir!AU3/((1/1000)*(s_Irr!AS3)),IF(AND(s_Irr!U3&lt;&gt;".",s_Irr!AS3=".",s_Irr!BQ3="."),s_dir!AU3/((1/1000)*(s_Irr!U3)),IF(AND(s_Irr!U3=".",s_Irr!AS3=".",s_Irr!BQ3="."),s_dir!AU3*1000)))))))),".")</f>
        <v>231.33596930980147</v>
      </c>
      <c r="BU3" s="76">
        <f>IFERROR(IF(AND(s_Irr!V3&lt;&gt;".",s_Irr!AT3&lt;&gt;".",s_Irr!BR3&lt;&gt;"."),s_dir!AV3/((1/1000)*(s_Irr!V3+s_Irr!AT3+s_Irr!BR3)),IF(AND(s_Irr!V3&lt;&gt;".",s_Irr!AT3&lt;&gt;".",s_Irr!BR3="."),s_dir!AV3/((1/1000)*(s_Irr!V3+s_Irr!AT3)),IF(AND(s_Irr!V3&lt;&gt;".",s_Irr!AT3=".",s_Irr!BR3&lt;&gt;"."),s_dir!AV3/((1/1000)*(s_Irr!V3+s_Irr!BR3)),IF(AND(s_Irr!V3=".",s_Irr!AT3&lt;&gt;".",s_Irr!BR3&lt;&gt;"."),s_dir!AV3/((1/1000)*(s_Irr!AT3+s_Irr!BR3)),IF(AND(s_Irr!V3=".",s_Irr!AT3=".",s_Irr!BR3&lt;&gt;"."),s_dir!AV3/((1/1000)*(s_Irr!BR3)),IF(AND(s_Irr!V3=".",s_Irr!AT3&lt;&gt;".",s_Irr!BR3="."),s_dir!AV3/((1/1000)*(s_Irr!AT3)),IF(AND(s_Irr!V3&lt;&gt;".",s_Irr!AT3=".",s_Irr!BR3="."),s_dir!AV3/((1/1000)*(s_Irr!V3)),IF(AND(s_Irr!V3=".",s_Irr!AT3=".",s_Irr!BR3="."),s_dir!AV3*1000)))))))),".")</f>
        <v>231.25787655122727</v>
      </c>
      <c r="BV3" s="76">
        <f>IFERROR(IF(AND(s_Irr!W3&lt;&gt;".",s_Irr!AU3&lt;&gt;".",s_Irr!BS3&lt;&gt;"."),s_dir!AW3/((1/1000)*(s_Irr!W3+s_Irr!AU3+s_Irr!BS3)),IF(AND(s_Irr!W3&lt;&gt;".",s_Irr!AU3&lt;&gt;".",s_Irr!BS3="."),s_dir!AW3/((1/1000)*(s_Irr!W3+s_Irr!AU3)),IF(AND(s_Irr!W3&lt;&gt;".",s_Irr!AU3=".",s_Irr!BS3&lt;&gt;"."),s_dir!AW3/((1/1000)*(s_Irr!W3+s_Irr!BS3)),IF(AND(s_Irr!W3=".",s_Irr!AU3&lt;&gt;".",s_Irr!BS3&lt;&gt;"."),s_dir!AW3/((1/1000)*(s_Irr!AU3+s_Irr!BS3)),IF(AND(s_Irr!W3=".",s_Irr!AU3=".",s_Irr!BS3&lt;&gt;"."),s_dir!AW3/((1/1000)*(s_Irr!BS3)),IF(AND(s_Irr!W3=".",s_Irr!AU3&lt;&gt;".",s_Irr!BS3="."),s_dir!AW3/((1/1000)*(s_Irr!AU3)),IF(AND(s_Irr!W3&lt;&gt;".",s_Irr!AU3=".",s_Irr!BS3="."),s_dir!AW3/((1/1000)*(s_Irr!W3)),IF(AND(s_Irr!W3=".",s_Irr!AU3=".",s_Irr!BS3="."),s_dir!AW3*1000)))))))),".")</f>
        <v>232.31659774563536</v>
      </c>
      <c r="BW3" s="76">
        <f>IFERROR(IF(AND(s_Irr!X3&lt;&gt;".",s_Irr!AV3&lt;&gt;".",s_Irr!BT3&lt;&gt;"."),s_dir!AX3/((1/1000)*(s_Irr!X3+s_Irr!AV3+s_Irr!BT3)),IF(AND(s_Irr!X3&lt;&gt;".",s_Irr!AV3&lt;&gt;".",s_Irr!BT3="."),s_dir!AX3/((1/1000)*(s_Irr!X3+s_Irr!AV3)),IF(AND(s_Irr!X3&lt;&gt;".",s_Irr!AV3=".",s_Irr!BT3&lt;&gt;"."),s_dir!AX3/((1/1000)*(s_Irr!X3+s_Irr!BT3)),IF(AND(s_Irr!X3=".",s_Irr!AV3&lt;&gt;".",s_Irr!BT3&lt;&gt;"."),s_dir!AX3/((1/1000)*(s_Irr!AV3+s_Irr!BT3)),IF(AND(s_Irr!X3=".",s_Irr!AV3=".",s_Irr!BT3&lt;&gt;"."),s_dir!AX3/((1/1000)*(s_Irr!BT3)),IF(AND(s_Irr!X3=".",s_Irr!AV3&lt;&gt;".",s_Irr!BT3="."),s_dir!AX3/((1/1000)*(s_Irr!AV3)),IF(AND(s_Irr!X3&lt;&gt;".",s_Irr!AV3=".",s_Irr!BT3="."),s_dir!AX3/((1/1000)*(s_Irr!X3)),IF(AND(s_Irr!X3=".",s_Irr!AV3=".",s_Irr!BT3="."),s_dir!AX3*1000)))))))),".")</f>
        <v>231.33596930980147</v>
      </c>
      <c r="BX3" s="76">
        <f>IFERROR(IF(AND(s_Irr!Y3&lt;&gt;".",s_Irr!AW3&lt;&gt;".",s_Irr!BU3&lt;&gt;"."),s_dir!AY3/((1/1000)*(s_Irr!Y3+s_Irr!AW3+s_Irr!BU3)),IF(AND(s_Irr!Y3&lt;&gt;".",s_Irr!AW3&lt;&gt;".",s_Irr!BU3="."),s_dir!AY3/((1/1000)*(s_Irr!Y3+s_Irr!AW3)),IF(AND(s_Irr!Y3&lt;&gt;".",s_Irr!AW3=".",s_Irr!BU3&lt;&gt;"."),s_dir!AY3/((1/1000)*(s_Irr!Y3+s_Irr!BU3)),IF(AND(s_Irr!Y3=".",s_Irr!AW3&lt;&gt;".",s_Irr!BU3&lt;&gt;"."),s_dir!AY3/((1/1000)*(s_Irr!AW3+s_Irr!BU3)),IF(AND(s_Irr!Y3=".",s_Irr!AW3=".",s_Irr!BU3&lt;&gt;"."),s_dir!AY3/((1/1000)*(s_Irr!BU3)),IF(AND(s_Irr!Y3=".",s_Irr!AW3&lt;&gt;".",s_Irr!BU3="."),s_dir!AY3/((1/1000)*(s_Irr!AW3)),IF(AND(s_Irr!Y3&lt;&gt;".",s_Irr!AW3=".",s_Irr!BU3="."),s_dir!AY3/((1/1000)*(s_Irr!Y3)),IF(AND(s_Irr!Y3=".",s_Irr!AW3=".",s_Irr!BU3="."),s_dir!AY3*1000)))))))),".")</f>
        <v>228.86288130907002</v>
      </c>
      <c r="BY3" s="76">
        <f>IFERROR(IF(AND(s_Irr!Z3&lt;&gt;".",s_Irr!AX3&lt;&gt;".",s_Irr!BV3&lt;&gt;"."),s_dir!AZ3/((1/1000)*(s_Irr!Z3+s_Irr!AX3+s_Irr!BV3)),IF(AND(s_Irr!Z3&lt;&gt;".",s_Irr!AX3&lt;&gt;".",s_Irr!BV3="."),s_dir!AZ3/((1/1000)*(s_Irr!Z3+s_Irr!AX3)),IF(AND(s_Irr!Z3&lt;&gt;".",s_Irr!AX3=".",s_Irr!BV3&lt;&gt;"."),s_dir!AZ3/((1/1000)*(s_Irr!Z3+s_Irr!BV3)),IF(AND(s_Irr!Z3=".",s_Irr!AX3&lt;&gt;".",s_Irr!BV3&lt;&gt;"."),s_dir!AZ3/((1/1000)*(s_Irr!AX3+s_Irr!BV3)),IF(AND(s_Irr!Z3=".",s_Irr!AX3=".",s_Irr!BV3&lt;&gt;"."),s_dir!AZ3/((1/1000)*(s_Irr!BV3)),IF(AND(s_Irr!Z3=".",s_Irr!AX3&lt;&gt;".",s_Irr!BV3="."),s_dir!AZ3/((1/1000)*(s_Irr!AX3)),IF(AND(s_Irr!Z3&lt;&gt;".",s_Irr!AX3=".",s_Irr!BV3="."),s_dir!AZ3/((1/1000)*(s_Irr!Z3)),IF(AND(s_Irr!Z3=".",s_Irr!AX3=".",s_Irr!BV3="."),s_dir!AZ3*1000)))))))),".")</f>
        <v>232.66376017941096</v>
      </c>
      <c r="BZ3" s="93">
        <f>SUM(CA3:CB3,CW3:CX3)</f>
        <v>646.93905316741279</v>
      </c>
      <c r="CA3" s="93">
        <f>IFERROR(s_C*s_IFAP_far_adj*s_CF_apple*(1/1000)*(s_Irr!C3+s_Irr!AA3+s_Irr!AY3),".")</f>
        <v>160.91580583658825</v>
      </c>
      <c r="CB3" s="93">
        <f>IFERROR(s_C*s_IFAS_far_adj*s_CF_asparagus*(1/1000)*(s_Irr!D3+s_Irr!AB3+s_Irr!AZ3),".")</f>
        <v>161.56878609282953</v>
      </c>
      <c r="CC3" s="93">
        <f>IFERROR(s_C*s_IFBT_far_adj*s_CF_beet*(1/1000)*(s_Irr!E3+s_Irr!AC3+s_Irr!BA3),".")</f>
        <v>162.66164007817056</v>
      </c>
      <c r="CD3" s="93">
        <f>IFERROR(s_C*s_IFBE_far_adj*s_CF_berries*(1/1000)*(s_Irr!F3+s_Irr!AD3+s_Irr!BB3),".")</f>
        <v>163.01681762340641</v>
      </c>
      <c r="CE3" s="93">
        <f>IFERROR(s_C*s_IFBR_far_adj*s_CF_broccoli*(1/1000)*(s_Irr!G3+s_Irr!AE3+s_Irr!BC3),".")</f>
        <v>161.81467823953128</v>
      </c>
      <c r="CF3" s="93">
        <f>IFERROR(s_C*s_IFCB_far_adj*s_CF_cabbage*(1/1000)*(s_Irr!H3+s_Irr!AF3+s_Irr!BD3),".")</f>
        <v>161.56878609282953</v>
      </c>
      <c r="CG3" s="93">
        <f>IFERROR(s_C*s_IFCR_far_adj*s_CF_carrot*(1/1000)*(s_Irr!I3+s_Irr!AG3+s_Irr!BE3),".")</f>
        <v>162.66164007817056</v>
      </c>
      <c r="CH3" s="93">
        <f>IFERROR(s_C*s_IFCI_far_adj*s_CF_citrus*(1/1000)*(s_Irr!J3+s_Irr!AH3+s_Irr!BF3),".")</f>
        <v>160.91580583658825</v>
      </c>
      <c r="CI3" s="93">
        <f>IFERROR(s_C*s_IFCO_far_adj*s_CF_corn*(1/1000)*(s_Irr!K3+s_Irr!AI3+s_Irr!BG3),".")</f>
        <v>160.96771640089193</v>
      </c>
      <c r="CJ3" s="93">
        <f>IFERROR(s_C*s_IFCU_far_adj*s_CF_cucumber*(1/1000)*(s_Irr!L3+s_Irr!AJ3+s_Irr!BH3),".")</f>
        <v>161.81467823953128</v>
      </c>
      <c r="CK3" s="93">
        <f>IFERROR(s_C*s_IFLE_far_adj*s_CF_lettuce*(1/1000)*(s_Irr!M3+s_Irr!AK3+s_Irr!BI3),".")</f>
        <v>161.56878609282953</v>
      </c>
      <c r="CL3" s="93">
        <f>IFERROR(s_C*s_IFLI_far_adj*s_CF_lima_bean*(1/1000)*(s_Irr!N3+s_Irr!AL3+s_Irr!BJ3),".")</f>
        <v>161.8693209387983</v>
      </c>
      <c r="CM3" s="93">
        <f>IFERROR(s_C*s_IFOK_far_adj*s_CF_okra*(1/1000)*(s_Irr!O3+s_Irr!AM3+s_Irr!BK3),".")</f>
        <v>161.81467823953128</v>
      </c>
      <c r="CN3" s="93">
        <f>IFERROR(s_C*s_IFON_far_adj*s_CF_onion*(1/1000)*(s_Irr!P3+s_Irr!AN3+s_Irr!BL3),".")</f>
        <v>161.81467823953128</v>
      </c>
      <c r="CO3" s="93">
        <f>IFERROR(s_C*s_IFPC_far_adj*s_CF_peach*(1/1000)*(s_Irr!Q3+s_Irr!AO3+s_Irr!BM3),".")</f>
        <v>160.91580583658825</v>
      </c>
      <c r="CP3" s="93">
        <f>IFERROR(s_C*s_IFPR_far_adj*s_CF_pear*(1/1000)*(s_Irr!R3+s_Irr!AP3+s_Irr!BN3),".")</f>
        <v>160.91580583658825</v>
      </c>
      <c r="CQ3" s="93">
        <f>IFERROR(s_C*s_IFPE_far_adj*s_CF_peas*(1/1000)*(s_Irr!S3+s_Irr!AQ3+s_Irr!BO3),".")</f>
        <v>161.8693209387983</v>
      </c>
      <c r="CR3" s="93">
        <f>IFERROR(s_C*s_IFPT_far_adj*s_CF_potato*(1/1000)*(s_Irr!T3+s_Irr!AR3+s_Irr!BP3),".")</f>
        <v>161.40485799502835</v>
      </c>
      <c r="CS3" s="93">
        <f>IFERROR(s_C*s_IFPU_far_adj*s_CF_pumpkin*(1/1000)*(s_Irr!U3+s_Irr!AS3+s_Irr!BQ3),".")</f>
        <v>161.81467823953128</v>
      </c>
      <c r="CT3" s="93">
        <f>IFERROR(s_C*s_IFSN_far_adj*s_CF_snap_bean*(1/1000)*(s_Irr!V3+s_Irr!AT3+s_Irr!BR3),".")</f>
        <v>161.8693209387983</v>
      </c>
      <c r="CU3" s="93">
        <f>IFERROR(s_C*s_IFST_far_adj*s_CF_strawberry*(1/1000)*(s_Irr!W3+s_Irr!AU3+s_Irr!BS3),".")</f>
        <v>161.13164449869308</v>
      </c>
      <c r="CV3" s="93">
        <f>IFERROR(s_C*s_IFTO_far_adj*s_CF_tomato*(1/1000)*(s_Irr!X3+s_Irr!AV3+s_Irr!BT3),".")</f>
        <v>161.81467823953128</v>
      </c>
      <c r="CW3" s="93">
        <f>IFERROR(s_C*s_IFRI_far_adj*s_CF_rice*(1/1000)*(s_Irr!Y3+s_Irr!AW3+s_Irr!BU3),".")</f>
        <v>163.56324461607693</v>
      </c>
      <c r="CX3" s="93">
        <f>IFERROR(s_C*s_IFCG_far_adj*s_CF_cereal*(1/1000)*(s_Irr!Z3+s_Irr!AX3+s_Irr!BV3),".")</f>
        <v>160.89121662191806</v>
      </c>
    </row>
    <row r="4" spans="1:102" ht="15" customHeight="1" x14ac:dyDescent="0.25">
      <c r="A4" s="92" t="s">
        <v>14</v>
      </c>
      <c r="B4" s="90" t="s">
        <v>1074</v>
      </c>
      <c r="C4" s="76" t="str">
        <f t="shared" ref="C4:C6" si="2">IFERROR(1/SUM(1/D4,1/E4,1/Z4,1/AA4),".")</f>
        <v>.</v>
      </c>
      <c r="D4" s="76" t="str">
        <f>IFERROR(IF(AND(s_Irr!C4&lt;&gt;".",s_Irr!AA4&lt;&gt;".",s_Irr!AY4&lt;&gt;"."),s_dir!D4/((1/1000)*(s_Irr!C4+s_Irr!AA4+s_Irr!AY4)),IF(AND(s_Irr!C4&lt;&gt;".",s_Irr!AA4&lt;&gt;".",s_Irr!AY4="."),s_dir!D4/((1/1000)*(s_Irr!C4+s_Irr!AA4)),IF(AND(s_Irr!C4&lt;&gt;".",s_Irr!AA4=".",s_Irr!AY4&lt;&gt;"."),s_dir!D4/((1/1000)*(s_Irr!C4+s_Irr!AY4)),IF(AND(s_Irr!C4=".",s_Irr!AA4&lt;&gt;".",s_Irr!AY4&lt;&gt;"."),s_dir!D4/((1/1000)*(s_Irr!AA4+s_Irr!AY4)),IF(AND(s_Irr!C4=".",s_Irr!AA4=".",s_Irr!AY4&lt;&gt;"."),s_dir!D4/((1/1000)*(s_Irr!AY4)),IF(AND(s_Irr!C4=".",s_Irr!AA4&lt;&gt;".",s_Irr!AY4="."),s_dir!D4/((1/1000)*(s_Irr!AA4)),IF(AND(s_Irr!C4&lt;&gt;".",s_Irr!AA4=".",s_Irr!AY4="."),s_dir!D4/((1/1000)*(s_Irr!C4)),IF(AND(s_Irr!C4=".",s_Irr!AA4=".",s_Irr!AY4="."),s_dir!D4*1000)))))))),".")</f>
        <v>.</v>
      </c>
      <c r="E4" s="76" t="str">
        <f>IFERROR(IF(AND(s_Irr!D4&lt;&gt;".",s_Irr!AB4&lt;&gt;".",s_Irr!AZ4&lt;&gt;"."),s_dir!E4/((1/1000)*(s_Irr!D4+s_Irr!AB4+s_Irr!AZ4)),IF(AND(s_Irr!D4&lt;&gt;".",s_Irr!AB4&lt;&gt;".",s_Irr!AZ4="."),s_dir!E4/((1/1000)*(s_Irr!D4+s_Irr!AB4)),IF(AND(s_Irr!D4&lt;&gt;".",s_Irr!AB4=".",s_Irr!AZ4&lt;&gt;"."),s_dir!E4/((1/1000)*(s_Irr!D4+s_Irr!AZ4)),IF(AND(s_Irr!D4=".",s_Irr!AB4&lt;&gt;".",s_Irr!AZ4&lt;&gt;"."),s_dir!E4/((1/1000)*(s_Irr!AB4+s_Irr!AZ4)),IF(AND(s_Irr!D4=".",s_Irr!AB4=".",s_Irr!AZ4&lt;&gt;"."),s_dir!E4/((1/1000)*(s_Irr!AZ4)),IF(AND(s_Irr!D4=".",s_Irr!AB4&lt;&gt;".",s_Irr!AZ4="."),s_dir!E4/((1/1000)*(s_Irr!AB4)),IF(AND(s_Irr!D4&lt;&gt;".",s_Irr!AB4=".",s_Irr!AZ4="."),s_dir!E4/((1/1000)*(s_Irr!D4)),IF(AND(s_Irr!D4=".",s_Irr!AB4=".",s_Irr!AZ4="."),s_dir!E4*1000)))))))),".")</f>
        <v>.</v>
      </c>
      <c r="F4" s="76" t="str">
        <f>IFERROR(IF(AND(s_Irr!E4&lt;&gt;".",s_Irr!AC4&lt;&gt;".",s_Irr!BA4&lt;&gt;"."),s_dir!F4/((1/1000)*(s_Irr!E4+s_Irr!AC4+s_Irr!BA4)),IF(AND(s_Irr!E4&lt;&gt;".",s_Irr!AC4&lt;&gt;".",s_Irr!BA4="."),s_dir!F4/((1/1000)*(s_Irr!E4+s_Irr!AC4)),IF(AND(s_Irr!E4&lt;&gt;".",s_Irr!AC4=".",s_Irr!BA4&lt;&gt;"."),s_dir!F4/((1/1000)*(s_Irr!E4+s_Irr!BA4)),IF(AND(s_Irr!E4=".",s_Irr!AC4&lt;&gt;".",s_Irr!BA4&lt;&gt;"."),s_dir!F4/((1/1000)*(s_Irr!AC4+s_Irr!BA4)),IF(AND(s_Irr!E4=".",s_Irr!AC4=".",s_Irr!BA4&lt;&gt;"."),s_dir!F4/((1/1000)*(s_Irr!BA4)),IF(AND(s_Irr!E4=".",s_Irr!AC4&lt;&gt;".",s_Irr!BA4="."),s_dir!F4/((1/1000)*(s_Irr!AC4)),IF(AND(s_Irr!E4&lt;&gt;".",s_Irr!AC4=".",s_Irr!BA4="."),s_dir!F4/((1/1000)*(s_Irr!E4)),IF(AND(s_Irr!E4=".",s_Irr!AC4=".",s_Irr!BA4="."),s_dir!F4*1000)))))))),".")</f>
        <v>.</v>
      </c>
      <c r="G4" s="76" t="str">
        <f>IFERROR(IF(AND(s_Irr!F4&lt;&gt;".",s_Irr!AD4&lt;&gt;".",s_Irr!BB4&lt;&gt;"."),s_dir!G4/((1/1000)*(s_Irr!F4+s_Irr!AD4+s_Irr!BB4)),IF(AND(s_Irr!F4&lt;&gt;".",s_Irr!AD4&lt;&gt;".",s_Irr!BB4="."),s_dir!G4/((1/1000)*(s_Irr!F4+s_Irr!AD4)),IF(AND(s_Irr!F4&lt;&gt;".",s_Irr!AD4=".",s_Irr!BB4&lt;&gt;"."),s_dir!G4/((1/1000)*(s_Irr!F4+s_Irr!BB4)),IF(AND(s_Irr!F4=".",s_Irr!AD4&lt;&gt;".",s_Irr!BB4&lt;&gt;"."),s_dir!G4/((1/1000)*(s_Irr!AD4+s_Irr!BB4)),IF(AND(s_Irr!F4=".",s_Irr!AD4=".",s_Irr!BB4&lt;&gt;"."),s_dir!G4/((1/1000)*(s_Irr!BB4)),IF(AND(s_Irr!F4=".",s_Irr!AD4&lt;&gt;".",s_Irr!BB4="."),s_dir!G4/((1/1000)*(s_Irr!AD4)),IF(AND(s_Irr!F4&lt;&gt;".",s_Irr!AD4=".",s_Irr!BB4="."),s_dir!G4/((1/1000)*(s_Irr!F4)),IF(AND(s_Irr!F4=".",s_Irr!AD4=".",s_Irr!BB4="."),s_dir!G4*1000)))))))),".")</f>
        <v>.</v>
      </c>
      <c r="H4" s="76" t="str">
        <f>IFERROR(IF(AND(s_Irr!G4&lt;&gt;".",s_Irr!AE4&lt;&gt;".",s_Irr!BC4&lt;&gt;"."),s_dir!H4/((1/1000)*(s_Irr!G4+s_Irr!AE4+s_Irr!BC4)),IF(AND(s_Irr!G4&lt;&gt;".",s_Irr!AE4&lt;&gt;".",s_Irr!BC4="."),s_dir!H4/((1/1000)*(s_Irr!G4+s_Irr!AE4)),IF(AND(s_Irr!G4&lt;&gt;".",s_Irr!AE4=".",s_Irr!BC4&lt;&gt;"."),s_dir!H4/((1/1000)*(s_Irr!G4+s_Irr!BC4)),IF(AND(s_Irr!G4=".",s_Irr!AE4&lt;&gt;".",s_Irr!BC4&lt;&gt;"."),s_dir!H4/((1/1000)*(s_Irr!AE4+s_Irr!BC4)),IF(AND(s_Irr!G4=".",s_Irr!AE4=".",s_Irr!BC4&lt;&gt;"."),s_dir!H4/((1/1000)*(s_Irr!BC4)),IF(AND(s_Irr!G4=".",s_Irr!AE4&lt;&gt;".",s_Irr!BC4="."),s_dir!H4/((1/1000)*(s_Irr!AE4)),IF(AND(s_Irr!G4&lt;&gt;".",s_Irr!AE4=".",s_Irr!BC4="."),s_dir!H4/((1/1000)*(s_Irr!G4)),IF(AND(s_Irr!G4=".",s_Irr!AE4=".",s_Irr!BC4="."),s_dir!H4*1000)))))))),".")</f>
        <v>.</v>
      </c>
      <c r="I4" s="76" t="str">
        <f>IFERROR(IF(AND(s_Irr!H4&lt;&gt;".",s_Irr!AF4&lt;&gt;".",s_Irr!BD4&lt;&gt;"."),s_dir!I4/((1/1000)*(s_Irr!H4+s_Irr!AF4+s_Irr!BD4)),IF(AND(s_Irr!H4&lt;&gt;".",s_Irr!AF4&lt;&gt;".",s_Irr!BD4="."),s_dir!I4/((1/1000)*(s_Irr!H4+s_Irr!AF4)),IF(AND(s_Irr!H4&lt;&gt;".",s_Irr!AF4=".",s_Irr!BD4&lt;&gt;"."),s_dir!I4/((1/1000)*(s_Irr!H4+s_Irr!BD4)),IF(AND(s_Irr!H4=".",s_Irr!AF4&lt;&gt;".",s_Irr!BD4&lt;&gt;"."),s_dir!I4/((1/1000)*(s_Irr!AF4+s_Irr!BD4)),IF(AND(s_Irr!H4=".",s_Irr!AF4=".",s_Irr!BD4&lt;&gt;"."),s_dir!I4/((1/1000)*(s_Irr!BD4)),IF(AND(s_Irr!H4=".",s_Irr!AF4&lt;&gt;".",s_Irr!BD4="."),s_dir!I4/((1/1000)*(s_Irr!AF4)),IF(AND(s_Irr!H4&lt;&gt;".",s_Irr!AF4=".",s_Irr!BD4="."),s_dir!I4/((1/1000)*(s_Irr!H4)),IF(AND(s_Irr!H4=".",s_Irr!AF4=".",s_Irr!BD4="."),s_dir!I4*1000)))))))),".")</f>
        <v>.</v>
      </c>
      <c r="J4" s="76" t="str">
        <f>IFERROR(IF(AND(s_Irr!I4&lt;&gt;".",s_Irr!AG4&lt;&gt;".",s_Irr!BE4&lt;&gt;"."),s_dir!J4/((1/1000)*(s_Irr!I4+s_Irr!AG4+s_Irr!BE4)),IF(AND(s_Irr!I4&lt;&gt;".",s_Irr!AG4&lt;&gt;".",s_Irr!BE4="."),s_dir!J4/((1/1000)*(s_Irr!I4+s_Irr!AG4)),IF(AND(s_Irr!I4&lt;&gt;".",s_Irr!AG4=".",s_Irr!BE4&lt;&gt;"."),s_dir!J4/((1/1000)*(s_Irr!I4+s_Irr!BE4)),IF(AND(s_Irr!I4=".",s_Irr!AG4&lt;&gt;".",s_Irr!BE4&lt;&gt;"."),s_dir!J4/((1/1000)*(s_Irr!AG4+s_Irr!BE4)),IF(AND(s_Irr!I4=".",s_Irr!AG4=".",s_Irr!BE4&lt;&gt;"."),s_dir!J4/((1/1000)*(s_Irr!BE4)),IF(AND(s_Irr!I4=".",s_Irr!AG4&lt;&gt;".",s_Irr!BE4="."),s_dir!J4/((1/1000)*(s_Irr!AG4)),IF(AND(s_Irr!I4&lt;&gt;".",s_Irr!AG4=".",s_Irr!BE4="."),s_dir!J4/((1/1000)*(s_Irr!I4)),IF(AND(s_Irr!I4=".",s_Irr!AG4=".",s_Irr!BE4="."),s_dir!J4*1000)))))))),".")</f>
        <v>.</v>
      </c>
      <c r="K4" s="76" t="str">
        <f>IFERROR(IF(AND(s_Irr!J4&lt;&gt;".",s_Irr!AH4&lt;&gt;".",s_Irr!BF4&lt;&gt;"."),s_dir!K4/((1/1000)*(s_Irr!J4+s_Irr!AH4+s_Irr!BF4)),IF(AND(s_Irr!J4&lt;&gt;".",s_Irr!AH4&lt;&gt;".",s_Irr!BF4="."),s_dir!K4/((1/1000)*(s_Irr!J4+s_Irr!AH4)),IF(AND(s_Irr!J4&lt;&gt;".",s_Irr!AH4=".",s_Irr!BF4&lt;&gt;"."),s_dir!K4/((1/1000)*(s_Irr!J4+s_Irr!BF4)),IF(AND(s_Irr!J4=".",s_Irr!AH4&lt;&gt;".",s_Irr!BF4&lt;&gt;"."),s_dir!K4/((1/1000)*(s_Irr!AH4+s_Irr!BF4)),IF(AND(s_Irr!J4=".",s_Irr!AH4=".",s_Irr!BF4&lt;&gt;"."),s_dir!K4/((1/1000)*(s_Irr!BF4)),IF(AND(s_Irr!J4=".",s_Irr!AH4&lt;&gt;".",s_Irr!BF4="."),s_dir!K4/((1/1000)*(s_Irr!AH4)),IF(AND(s_Irr!J4&lt;&gt;".",s_Irr!AH4=".",s_Irr!BF4="."),s_dir!K4/((1/1000)*(s_Irr!J4)),IF(AND(s_Irr!J4=".",s_Irr!AH4=".",s_Irr!BF4="."),s_dir!K4*1000)))))))),".")</f>
        <v>.</v>
      </c>
      <c r="L4" s="76" t="str">
        <f>IFERROR(IF(AND(s_Irr!K4&lt;&gt;".",s_Irr!AI4&lt;&gt;".",s_Irr!BG4&lt;&gt;"."),s_dir!L4/((1/1000)*(s_Irr!K4+s_Irr!AI4+s_Irr!BG4)),IF(AND(s_Irr!K4&lt;&gt;".",s_Irr!AI4&lt;&gt;".",s_Irr!BG4="."),s_dir!L4/((1/1000)*(s_Irr!K4+s_Irr!AI4)),IF(AND(s_Irr!K4&lt;&gt;".",s_Irr!AI4=".",s_Irr!BG4&lt;&gt;"."),s_dir!L4/((1/1000)*(s_Irr!K4+s_Irr!BG4)),IF(AND(s_Irr!K4=".",s_Irr!AI4&lt;&gt;".",s_Irr!BG4&lt;&gt;"."),s_dir!L4/((1/1000)*(s_Irr!AI4+s_Irr!BG4)),IF(AND(s_Irr!K4=".",s_Irr!AI4=".",s_Irr!BG4&lt;&gt;"."),s_dir!L4/((1/1000)*(s_Irr!BG4)),IF(AND(s_Irr!K4=".",s_Irr!AI4&lt;&gt;".",s_Irr!BG4="."),s_dir!L4/((1/1000)*(s_Irr!AI4)),IF(AND(s_Irr!K4&lt;&gt;".",s_Irr!AI4=".",s_Irr!BG4="."),s_dir!L4/((1/1000)*(s_Irr!K4)),IF(AND(s_Irr!K4=".",s_Irr!AI4=".",s_Irr!BG4="."),s_dir!L4*1000)))))))),".")</f>
        <v>.</v>
      </c>
      <c r="M4" s="76" t="str">
        <f>IFERROR(IF(AND(s_Irr!L4&lt;&gt;".",s_Irr!AJ4&lt;&gt;".",s_Irr!BH4&lt;&gt;"."),s_dir!M4/((1/1000)*(s_Irr!L4+s_Irr!AJ4+s_Irr!BH4)),IF(AND(s_Irr!L4&lt;&gt;".",s_Irr!AJ4&lt;&gt;".",s_Irr!BH4="."),s_dir!M4/((1/1000)*(s_Irr!L4+s_Irr!AJ4)),IF(AND(s_Irr!L4&lt;&gt;".",s_Irr!AJ4=".",s_Irr!BH4&lt;&gt;"."),s_dir!M4/((1/1000)*(s_Irr!L4+s_Irr!BH4)),IF(AND(s_Irr!L4=".",s_Irr!AJ4&lt;&gt;".",s_Irr!BH4&lt;&gt;"."),s_dir!M4/((1/1000)*(s_Irr!AJ4+s_Irr!BH4)),IF(AND(s_Irr!L4=".",s_Irr!AJ4=".",s_Irr!BH4&lt;&gt;"."),s_dir!M4/((1/1000)*(s_Irr!BH4)),IF(AND(s_Irr!L4=".",s_Irr!AJ4&lt;&gt;".",s_Irr!BH4="."),s_dir!M4/((1/1000)*(s_Irr!AJ4)),IF(AND(s_Irr!L4&lt;&gt;".",s_Irr!AJ4=".",s_Irr!BH4="."),s_dir!M4/((1/1000)*(s_Irr!L4)),IF(AND(s_Irr!L4=".",s_Irr!AJ4=".",s_Irr!BH4="."),s_dir!M4*1000)))))))),".")</f>
        <v>.</v>
      </c>
      <c r="N4" s="76" t="str">
        <f>IFERROR(IF(AND(s_Irr!M4&lt;&gt;".",s_Irr!AK4&lt;&gt;".",s_Irr!BI4&lt;&gt;"."),s_dir!N4/((1/1000)*(s_Irr!M4+s_Irr!AK4+s_Irr!BI4)),IF(AND(s_Irr!M4&lt;&gt;".",s_Irr!AK4&lt;&gt;".",s_Irr!BI4="."),s_dir!N4/((1/1000)*(s_Irr!M4+s_Irr!AK4)),IF(AND(s_Irr!M4&lt;&gt;".",s_Irr!AK4=".",s_Irr!BI4&lt;&gt;"."),s_dir!N4/((1/1000)*(s_Irr!M4+s_Irr!BI4)),IF(AND(s_Irr!M4=".",s_Irr!AK4&lt;&gt;".",s_Irr!BI4&lt;&gt;"."),s_dir!N4/((1/1000)*(s_Irr!AK4+s_Irr!BI4)),IF(AND(s_Irr!M4=".",s_Irr!AK4=".",s_Irr!BI4&lt;&gt;"."),s_dir!N4/((1/1000)*(s_Irr!BI4)),IF(AND(s_Irr!M4=".",s_Irr!AK4&lt;&gt;".",s_Irr!BI4="."),s_dir!N4/((1/1000)*(s_Irr!AK4)),IF(AND(s_Irr!M4&lt;&gt;".",s_Irr!AK4=".",s_Irr!BI4="."),s_dir!N4/((1/1000)*(s_Irr!M4)),IF(AND(s_Irr!M4=".",s_Irr!AK4=".",s_Irr!BI4="."),s_dir!N4*1000)))))))),".")</f>
        <v>.</v>
      </c>
      <c r="O4" s="76" t="str">
        <f>IFERROR(IF(AND(s_Irr!N4&lt;&gt;".",s_Irr!AL4&lt;&gt;".",s_Irr!BJ4&lt;&gt;"."),s_dir!O4/((1/1000)*(s_Irr!N4+s_Irr!AL4+s_Irr!BJ4)),IF(AND(s_Irr!N4&lt;&gt;".",s_Irr!AL4&lt;&gt;".",s_Irr!BJ4="."),s_dir!O4/((1/1000)*(s_Irr!N4+s_Irr!AL4)),IF(AND(s_Irr!N4&lt;&gt;".",s_Irr!AL4=".",s_Irr!BJ4&lt;&gt;"."),s_dir!O4/((1/1000)*(s_Irr!N4+s_Irr!BJ4)),IF(AND(s_Irr!N4=".",s_Irr!AL4&lt;&gt;".",s_Irr!BJ4&lt;&gt;"."),s_dir!O4/((1/1000)*(s_Irr!AL4+s_Irr!BJ4)),IF(AND(s_Irr!N4=".",s_Irr!AL4=".",s_Irr!BJ4&lt;&gt;"."),s_dir!O4/((1/1000)*(s_Irr!BJ4)),IF(AND(s_Irr!N4=".",s_Irr!AL4&lt;&gt;".",s_Irr!BJ4="."),s_dir!O4/((1/1000)*(s_Irr!AL4)),IF(AND(s_Irr!N4&lt;&gt;".",s_Irr!AL4=".",s_Irr!BJ4="."),s_dir!O4/((1/1000)*(s_Irr!N4)),IF(AND(s_Irr!N4=".",s_Irr!AL4=".",s_Irr!BJ4="."),s_dir!O4*1000)))))))),".")</f>
        <v>.</v>
      </c>
      <c r="P4" s="76" t="str">
        <f>IFERROR(IF(AND(s_Irr!O4&lt;&gt;".",s_Irr!AM4&lt;&gt;".",s_Irr!BK4&lt;&gt;"."),s_dir!P4/((1/1000)*(s_Irr!O4+s_Irr!AM4+s_Irr!BK4)),IF(AND(s_Irr!O4&lt;&gt;".",s_Irr!AM4&lt;&gt;".",s_Irr!BK4="."),s_dir!P4/((1/1000)*(s_Irr!O4+s_Irr!AM4)),IF(AND(s_Irr!O4&lt;&gt;".",s_Irr!AM4=".",s_Irr!BK4&lt;&gt;"."),s_dir!P4/((1/1000)*(s_Irr!O4+s_Irr!BK4)),IF(AND(s_Irr!O4=".",s_Irr!AM4&lt;&gt;".",s_Irr!BK4&lt;&gt;"."),s_dir!P4/((1/1000)*(s_Irr!AM4+s_Irr!BK4)),IF(AND(s_Irr!O4=".",s_Irr!AM4=".",s_Irr!BK4&lt;&gt;"."),s_dir!P4/((1/1000)*(s_Irr!BK4)),IF(AND(s_Irr!O4=".",s_Irr!AM4&lt;&gt;".",s_Irr!BK4="."),s_dir!P4/((1/1000)*(s_Irr!AM4)),IF(AND(s_Irr!O4&lt;&gt;".",s_Irr!AM4=".",s_Irr!BK4="."),s_dir!P4/((1/1000)*(s_Irr!O4)),IF(AND(s_Irr!O4=".",s_Irr!AM4=".",s_Irr!BK4="."),s_dir!P4*1000)))))))),".")</f>
        <v>.</v>
      </c>
      <c r="Q4" s="76" t="str">
        <f>IFERROR(IF(AND(s_Irr!P4&lt;&gt;".",s_Irr!AN4&lt;&gt;".",s_Irr!BL4&lt;&gt;"."),s_dir!Q4/((1/1000)*(s_Irr!P4+s_Irr!AN4+s_Irr!BL4)),IF(AND(s_Irr!P4&lt;&gt;".",s_Irr!AN4&lt;&gt;".",s_Irr!BL4="."),s_dir!Q4/((1/1000)*(s_Irr!P4+s_Irr!AN4)),IF(AND(s_Irr!P4&lt;&gt;".",s_Irr!AN4=".",s_Irr!BL4&lt;&gt;"."),s_dir!Q4/((1/1000)*(s_Irr!P4+s_Irr!BL4)),IF(AND(s_Irr!P4=".",s_Irr!AN4&lt;&gt;".",s_Irr!BL4&lt;&gt;"."),s_dir!Q4/((1/1000)*(s_Irr!AN4+s_Irr!BL4)),IF(AND(s_Irr!P4=".",s_Irr!AN4=".",s_Irr!BL4&lt;&gt;"."),s_dir!Q4/((1/1000)*(s_Irr!BL4)),IF(AND(s_Irr!P4=".",s_Irr!AN4&lt;&gt;".",s_Irr!BL4="."),s_dir!Q4/((1/1000)*(s_Irr!AN4)),IF(AND(s_Irr!P4&lt;&gt;".",s_Irr!AN4=".",s_Irr!BL4="."),s_dir!Q4/((1/1000)*(s_Irr!P4)),IF(AND(s_Irr!P4=".",s_Irr!AN4=".",s_Irr!BL4="."),s_dir!Q4*1000)))))))),".")</f>
        <v>.</v>
      </c>
      <c r="R4" s="76" t="str">
        <f>IFERROR(IF(AND(s_Irr!Q4&lt;&gt;".",s_Irr!AO4&lt;&gt;".",s_Irr!BM4&lt;&gt;"."),s_dir!R4/((1/1000)*(s_Irr!Q4+s_Irr!AO4+s_Irr!BM4)),IF(AND(s_Irr!Q4&lt;&gt;".",s_Irr!AO4&lt;&gt;".",s_Irr!BM4="."),s_dir!R4/((1/1000)*(s_Irr!Q4+s_Irr!AO4)),IF(AND(s_Irr!Q4&lt;&gt;".",s_Irr!AO4=".",s_Irr!BM4&lt;&gt;"."),s_dir!R4/((1/1000)*(s_Irr!Q4+s_Irr!BM4)),IF(AND(s_Irr!Q4=".",s_Irr!AO4&lt;&gt;".",s_Irr!BM4&lt;&gt;"."),s_dir!R4/((1/1000)*(s_Irr!AO4+s_Irr!BM4)),IF(AND(s_Irr!Q4=".",s_Irr!AO4=".",s_Irr!BM4&lt;&gt;"."),s_dir!R4/((1/1000)*(s_Irr!BM4)),IF(AND(s_Irr!Q4=".",s_Irr!AO4&lt;&gt;".",s_Irr!BM4="."),s_dir!R4/((1/1000)*(s_Irr!AO4)),IF(AND(s_Irr!Q4&lt;&gt;".",s_Irr!AO4=".",s_Irr!BM4="."),s_dir!R4/((1/1000)*(s_Irr!Q4)),IF(AND(s_Irr!Q4=".",s_Irr!AO4=".",s_Irr!BM4="."),s_dir!R4*1000)))))))),".")</f>
        <v>.</v>
      </c>
      <c r="S4" s="76" t="str">
        <f>IFERROR(IF(AND(s_Irr!R4&lt;&gt;".",s_Irr!AP4&lt;&gt;".",s_Irr!BN4&lt;&gt;"."),s_dir!S4/((1/1000)*(s_Irr!R4+s_Irr!AP4+s_Irr!BN4)),IF(AND(s_Irr!R4&lt;&gt;".",s_Irr!AP4&lt;&gt;".",s_Irr!BN4="."),s_dir!S4/((1/1000)*(s_Irr!R4+s_Irr!AP4)),IF(AND(s_Irr!R4&lt;&gt;".",s_Irr!AP4=".",s_Irr!BN4&lt;&gt;"."),s_dir!S4/((1/1000)*(s_Irr!R4+s_Irr!BN4)),IF(AND(s_Irr!R4=".",s_Irr!AP4&lt;&gt;".",s_Irr!BN4&lt;&gt;"."),s_dir!S4/((1/1000)*(s_Irr!AP4+s_Irr!BN4)),IF(AND(s_Irr!R4=".",s_Irr!AP4=".",s_Irr!BN4&lt;&gt;"."),s_dir!S4/((1/1000)*(s_Irr!BN4)),IF(AND(s_Irr!R4=".",s_Irr!AP4&lt;&gt;".",s_Irr!BN4="."),s_dir!S4/((1/1000)*(s_Irr!AP4)),IF(AND(s_Irr!R4&lt;&gt;".",s_Irr!AP4=".",s_Irr!BN4="."),s_dir!S4/((1/1000)*(s_Irr!R4)),IF(AND(s_Irr!R4=".",s_Irr!AP4=".",s_Irr!BN4="."),s_dir!S4*1000)))))))),".")</f>
        <v>.</v>
      </c>
      <c r="T4" s="76" t="str">
        <f>IFERROR(IF(AND(s_Irr!S4&lt;&gt;".",s_Irr!AQ4&lt;&gt;".",s_Irr!BO4&lt;&gt;"."),s_dir!T4/((1/1000)*(s_Irr!S4+s_Irr!AQ4+s_Irr!BO4)),IF(AND(s_Irr!S4&lt;&gt;".",s_Irr!AQ4&lt;&gt;".",s_Irr!BO4="."),s_dir!T4/((1/1000)*(s_Irr!S4+s_Irr!AQ4)),IF(AND(s_Irr!S4&lt;&gt;".",s_Irr!AQ4=".",s_Irr!BO4&lt;&gt;"."),s_dir!T4/((1/1000)*(s_Irr!S4+s_Irr!BO4)),IF(AND(s_Irr!S4=".",s_Irr!AQ4&lt;&gt;".",s_Irr!BO4&lt;&gt;"."),s_dir!T4/((1/1000)*(s_Irr!AQ4+s_Irr!BO4)),IF(AND(s_Irr!S4=".",s_Irr!AQ4=".",s_Irr!BO4&lt;&gt;"."),s_dir!T4/((1/1000)*(s_Irr!BO4)),IF(AND(s_Irr!S4=".",s_Irr!AQ4&lt;&gt;".",s_Irr!BO4="."),s_dir!T4/((1/1000)*(s_Irr!AQ4)),IF(AND(s_Irr!S4&lt;&gt;".",s_Irr!AQ4=".",s_Irr!BO4="."),s_dir!T4/((1/1000)*(s_Irr!S4)),IF(AND(s_Irr!S4=".",s_Irr!AQ4=".",s_Irr!BO4="."),s_dir!T4*1000)))))))),".")</f>
        <v>.</v>
      </c>
      <c r="U4" s="76" t="str">
        <f>IFERROR(IF(AND(s_Irr!T4&lt;&gt;".",s_Irr!AR4&lt;&gt;".",s_Irr!BP4&lt;&gt;"."),s_dir!U4/((1/1000)*(s_Irr!T4+s_Irr!AR4+s_Irr!BP4)),IF(AND(s_Irr!T4&lt;&gt;".",s_Irr!AR4&lt;&gt;".",s_Irr!BP4="."),s_dir!U4/((1/1000)*(s_Irr!T4+s_Irr!AR4)),IF(AND(s_Irr!T4&lt;&gt;".",s_Irr!AR4=".",s_Irr!BP4&lt;&gt;"."),s_dir!U4/((1/1000)*(s_Irr!T4+s_Irr!BP4)),IF(AND(s_Irr!T4=".",s_Irr!AR4&lt;&gt;".",s_Irr!BP4&lt;&gt;"."),s_dir!U4/((1/1000)*(s_Irr!AR4+s_Irr!BP4)),IF(AND(s_Irr!T4=".",s_Irr!AR4=".",s_Irr!BP4&lt;&gt;"."),s_dir!U4/((1/1000)*(s_Irr!BP4)),IF(AND(s_Irr!T4=".",s_Irr!AR4&lt;&gt;".",s_Irr!BP4="."),s_dir!U4/((1/1000)*(s_Irr!AR4)),IF(AND(s_Irr!T4&lt;&gt;".",s_Irr!AR4=".",s_Irr!BP4="."),s_dir!U4/((1/1000)*(s_Irr!T4)),IF(AND(s_Irr!T4=".",s_Irr!AR4=".",s_Irr!BP4="."),s_dir!U4*1000)))))))),".")</f>
        <v>.</v>
      </c>
      <c r="V4" s="76" t="str">
        <f>IFERROR(IF(AND(s_Irr!U4&lt;&gt;".",s_Irr!AS4&lt;&gt;".",s_Irr!BQ4&lt;&gt;"."),s_dir!V4/((1/1000)*(s_Irr!U4+s_Irr!AS4+s_Irr!BQ4)),IF(AND(s_Irr!U4&lt;&gt;".",s_Irr!AS4&lt;&gt;".",s_Irr!BQ4="."),s_dir!V4/((1/1000)*(s_Irr!U4+s_Irr!AS4)),IF(AND(s_Irr!U4&lt;&gt;".",s_Irr!AS4=".",s_Irr!BQ4&lt;&gt;"."),s_dir!V4/((1/1000)*(s_Irr!U4+s_Irr!BQ4)),IF(AND(s_Irr!U4=".",s_Irr!AS4&lt;&gt;".",s_Irr!BQ4&lt;&gt;"."),s_dir!V4/((1/1000)*(s_Irr!AS4+s_Irr!BQ4)),IF(AND(s_Irr!U4=".",s_Irr!AS4=".",s_Irr!BQ4&lt;&gt;"."),s_dir!V4/((1/1000)*(s_Irr!BQ4)),IF(AND(s_Irr!U4=".",s_Irr!AS4&lt;&gt;".",s_Irr!BQ4="."),s_dir!V4/((1/1000)*(s_Irr!AS4)),IF(AND(s_Irr!U4&lt;&gt;".",s_Irr!AS4=".",s_Irr!BQ4="."),s_dir!V4/((1/1000)*(s_Irr!U4)),IF(AND(s_Irr!U4=".",s_Irr!AS4=".",s_Irr!BQ4="."),s_dir!V4*1000)))))))),".")</f>
        <v>.</v>
      </c>
      <c r="W4" s="76" t="str">
        <f>IFERROR(IF(AND(s_Irr!V4&lt;&gt;".",s_Irr!AT4&lt;&gt;".",s_Irr!BR4&lt;&gt;"."),s_dir!W4/((1/1000)*(s_Irr!V4+s_Irr!AT4+s_Irr!BR4)),IF(AND(s_Irr!V4&lt;&gt;".",s_Irr!AT4&lt;&gt;".",s_Irr!BR4="."),s_dir!W4/((1/1000)*(s_Irr!V4+s_Irr!AT4)),IF(AND(s_Irr!V4&lt;&gt;".",s_Irr!AT4=".",s_Irr!BR4&lt;&gt;"."),s_dir!W4/((1/1000)*(s_Irr!V4+s_Irr!BR4)),IF(AND(s_Irr!V4=".",s_Irr!AT4&lt;&gt;".",s_Irr!BR4&lt;&gt;"."),s_dir!W4/((1/1000)*(s_Irr!AT4+s_Irr!BR4)),IF(AND(s_Irr!V4=".",s_Irr!AT4=".",s_Irr!BR4&lt;&gt;"."),s_dir!W4/((1/1000)*(s_Irr!BR4)),IF(AND(s_Irr!V4=".",s_Irr!AT4&lt;&gt;".",s_Irr!BR4="."),s_dir!W4/((1/1000)*(s_Irr!AT4)),IF(AND(s_Irr!V4&lt;&gt;".",s_Irr!AT4=".",s_Irr!BR4="."),s_dir!W4/((1/1000)*(s_Irr!V4)),IF(AND(s_Irr!V4=".",s_Irr!AT4=".",s_Irr!BR4="."),s_dir!W4*1000)))))))),".")</f>
        <v>.</v>
      </c>
      <c r="X4" s="76" t="str">
        <f>IFERROR(IF(AND(s_Irr!W4&lt;&gt;".",s_Irr!AU4&lt;&gt;".",s_Irr!BS4&lt;&gt;"."),s_dir!X4/((1/1000)*(s_Irr!W4+s_Irr!AU4+s_Irr!BS4)),IF(AND(s_Irr!W4&lt;&gt;".",s_Irr!AU4&lt;&gt;".",s_Irr!BS4="."),s_dir!X4/((1/1000)*(s_Irr!W4+s_Irr!AU4)),IF(AND(s_Irr!W4&lt;&gt;".",s_Irr!AU4=".",s_Irr!BS4&lt;&gt;"."),s_dir!X4/((1/1000)*(s_Irr!W4+s_Irr!BS4)),IF(AND(s_Irr!W4=".",s_Irr!AU4&lt;&gt;".",s_Irr!BS4&lt;&gt;"."),s_dir!X4/((1/1000)*(s_Irr!AU4+s_Irr!BS4)),IF(AND(s_Irr!W4=".",s_Irr!AU4=".",s_Irr!BS4&lt;&gt;"."),s_dir!X4/((1/1000)*(s_Irr!BS4)),IF(AND(s_Irr!W4=".",s_Irr!AU4&lt;&gt;".",s_Irr!BS4="."),s_dir!X4/((1/1000)*(s_Irr!AU4)),IF(AND(s_Irr!W4&lt;&gt;".",s_Irr!AU4=".",s_Irr!BS4="."),s_dir!X4/((1/1000)*(s_Irr!W4)),IF(AND(s_Irr!W4=".",s_Irr!AU4=".",s_Irr!BS4="."),s_dir!X4*1000)))))))),".")</f>
        <v>.</v>
      </c>
      <c r="Y4" s="76" t="str">
        <f>IFERROR(IF(AND(s_Irr!X4&lt;&gt;".",s_Irr!AV4&lt;&gt;".",s_Irr!BT4&lt;&gt;"."),s_dir!Y4/((1/1000)*(s_Irr!X4+s_Irr!AV4+s_Irr!BT4)),IF(AND(s_Irr!X4&lt;&gt;".",s_Irr!AV4&lt;&gt;".",s_Irr!BT4="."),s_dir!Y4/((1/1000)*(s_Irr!X4+s_Irr!AV4)),IF(AND(s_Irr!X4&lt;&gt;".",s_Irr!AV4=".",s_Irr!BT4&lt;&gt;"."),s_dir!Y4/((1/1000)*(s_Irr!X4+s_Irr!BT4)),IF(AND(s_Irr!X4=".",s_Irr!AV4&lt;&gt;".",s_Irr!BT4&lt;&gt;"."),s_dir!Y4/((1/1000)*(s_Irr!AV4+s_Irr!BT4)),IF(AND(s_Irr!X4=".",s_Irr!AV4=".",s_Irr!BT4&lt;&gt;"."),s_dir!Y4/((1/1000)*(s_Irr!BT4)),IF(AND(s_Irr!X4=".",s_Irr!AV4&lt;&gt;".",s_Irr!BT4="."),s_dir!Y4/((1/1000)*(s_Irr!AV4)),IF(AND(s_Irr!X4&lt;&gt;".",s_Irr!AV4=".",s_Irr!BT4="."),s_dir!Y4/((1/1000)*(s_Irr!X4)),IF(AND(s_Irr!X4=".",s_Irr!AV4=".",s_Irr!BT4="."),s_dir!Y4*1000)))))))),".")</f>
        <v>.</v>
      </c>
      <c r="Z4" s="76" t="str">
        <f>IFERROR(IF(AND(s_Irr!Y4&lt;&gt;".",s_Irr!AW4&lt;&gt;".",s_Irr!BU4&lt;&gt;"."),s_dir!Z4/((1/1000)*(s_Irr!Y4+s_Irr!AW4+s_Irr!BU4)),IF(AND(s_Irr!Y4&lt;&gt;".",s_Irr!AW4&lt;&gt;".",s_Irr!BU4="."),s_dir!Z4/((1/1000)*(s_Irr!Y4+s_Irr!AW4)),IF(AND(s_Irr!Y4&lt;&gt;".",s_Irr!AW4=".",s_Irr!BU4&lt;&gt;"."),s_dir!Z4/((1/1000)*(s_Irr!Y4+s_Irr!BU4)),IF(AND(s_Irr!Y4=".",s_Irr!AW4&lt;&gt;".",s_Irr!BU4&lt;&gt;"."),s_dir!Z4/((1/1000)*(s_Irr!AW4+s_Irr!BU4)),IF(AND(s_Irr!Y4=".",s_Irr!AW4=".",s_Irr!BU4&lt;&gt;"."),s_dir!Z4/((1/1000)*(s_Irr!BU4)),IF(AND(s_Irr!Y4=".",s_Irr!AW4&lt;&gt;".",s_Irr!BU4="."),s_dir!Z4/((1/1000)*(s_Irr!AW4)),IF(AND(s_Irr!Y4&lt;&gt;".",s_Irr!AW4=".",s_Irr!BU4="."),s_dir!Z4/((1/1000)*(s_Irr!Y4)),IF(AND(s_Irr!Y4=".",s_Irr!AW4=".",s_Irr!BU4="."),s_dir!Z4*1000)))))))),".")</f>
        <v>.</v>
      </c>
      <c r="AA4" s="76" t="str">
        <f>IFERROR(IF(AND(s_Irr!Z4&lt;&gt;".",s_Irr!AX4&lt;&gt;".",s_Irr!BV4&lt;&gt;"."),s_dir!AA4/((1/1000)*(s_Irr!Z4+s_Irr!AX4+s_Irr!BV4)),IF(AND(s_Irr!Z4&lt;&gt;".",s_Irr!AX4&lt;&gt;".",s_Irr!BV4="."),s_dir!AA4/((1/1000)*(s_Irr!Z4+s_Irr!AX4)),IF(AND(s_Irr!Z4&lt;&gt;".",s_Irr!AX4=".",s_Irr!BV4&lt;&gt;"."),s_dir!AA4/((1/1000)*(s_Irr!Z4+s_Irr!BV4)),IF(AND(s_Irr!Z4=".",s_Irr!AX4&lt;&gt;".",s_Irr!BV4&lt;&gt;"."),s_dir!AA4/((1/1000)*(s_Irr!AX4+s_Irr!BV4)),IF(AND(s_Irr!Z4=".",s_Irr!AX4=".",s_Irr!BV4&lt;&gt;"."),s_dir!AA4/((1/1000)*(s_Irr!BV4)),IF(AND(s_Irr!Z4=".",s_Irr!AX4&lt;&gt;".",s_Irr!BV4="."),s_dir!AA4/((1/1000)*(s_Irr!AX4)),IF(AND(s_Irr!Z4&lt;&gt;".",s_Irr!AX4=".",s_Irr!BV4="."),s_dir!AA4/((1/1000)*(s_Irr!Z4)),IF(AND(s_Irr!Z4=".",s_Irr!AX4=".",s_Irr!BV4="."),s_dir!AA4*1000)))))))),".")</f>
        <v>.</v>
      </c>
      <c r="AB4" s="93">
        <f t="shared" ref="AB4:AB5" si="3">SUM(AC4:AD4,AY4:AZ4)</f>
        <v>2829.0324092930018</v>
      </c>
      <c r="AC4" s="93">
        <f>IFERROR(s_C*s_IFAP_res_adj*s_CF_apple*0.001*(s_Irr!C4+s_Irr!AA4+s_Irr!AY4),".")</f>
        <v>707.25810232325045</v>
      </c>
      <c r="AD4" s="93">
        <f>IFERROR(s_C*s_IFAS_res_adj*s_CF_asparagus*0.001*(s_Irr!D4+s_Irr!AB4+s_Irr!AZ4),".")</f>
        <v>707.25810232325045</v>
      </c>
      <c r="AE4" s="93">
        <f>IFERROR(s_C*s_IFBT_res_adj*s_CF_beet*0.001*(s_Irr!E4+s_Irr!AC4+s_Irr!BA4),".")</f>
        <v>707.25810232325045</v>
      </c>
      <c r="AF4" s="93">
        <f>IFERROR(s_C*s_IFBE_res_adj*s_CF_berries*0.001*(s_Irr!F4+s_Irr!AD4+s_Irr!BB4),".")</f>
        <v>707.25810232325045</v>
      </c>
      <c r="AG4" s="93">
        <f>IFERROR(s_C*s_IFBR_res_adj*s_CF_broccoli*0.001*(s_Irr!G4+s_Irr!AE4+s_Irr!BC4),".")</f>
        <v>707.25810232325045</v>
      </c>
      <c r="AH4" s="93">
        <f>IFERROR(s_C*s_IFCB_res_adj*s_CF_cabbage*0.001*(s_Irr!H4+s_Irr!AF4+s_Irr!BD4),".")</f>
        <v>707.25810232325045</v>
      </c>
      <c r="AI4" s="93">
        <f>IFERROR(s_C*s_IFCR_res_adj*s_CF_carrot*0.001*(s_Irr!I4+s_Irr!AG4+s_Irr!BE4),".")</f>
        <v>707.25810232325045</v>
      </c>
      <c r="AJ4" s="93">
        <f>IFERROR(s_C*s_IFCI_res_adj*s_CF_citrus*0.001*(s_Irr!J4+s_Irr!AH4+s_Irr!BF4),".")</f>
        <v>707.25810232325045</v>
      </c>
      <c r="AK4" s="93">
        <f>IFERROR(s_C*s_IFCO_res_adj*s_CF_corn*0.001*(s_Irr!K4+s_Irr!AI4+s_Irr!BG4),".")</f>
        <v>707.25810232325045</v>
      </c>
      <c r="AL4" s="93">
        <f>IFERROR(s_C*s_IFCU_res_adj*s_CF_cucumber*0.001*(s_Irr!L4+s_Irr!AJ4+s_Irr!BH4),".")</f>
        <v>707.25810232325045</v>
      </c>
      <c r="AM4" s="93">
        <f>IFERROR(s_C*s_IFLE_res_adj*s_CF_lettuce*0.001*(s_Irr!M4+s_Irr!AK4+s_Irr!BI4),".")</f>
        <v>707.25810232325045</v>
      </c>
      <c r="AN4" s="93">
        <f>IFERROR(s_C*s_IFLI_res_adj*s_CF_lima_bean*0.001*(s_Irr!N4+s_Irr!AL4+s_Irr!BJ4),".")</f>
        <v>707.25810232325045</v>
      </c>
      <c r="AO4" s="93">
        <f>IFERROR(s_C*s_IFOK_res_adj*s_CF_okra*0.001*(s_Irr!O4+s_Irr!AM4+s_Irr!BK4),".")</f>
        <v>707.25810232325045</v>
      </c>
      <c r="AP4" s="93">
        <f>IFERROR(s_C*s_IFON_res_adj*s_CF_onion*0.001*(s_Irr!P4+s_Irr!AN4+s_Irr!BL4),".")</f>
        <v>707.25810232325045</v>
      </c>
      <c r="AQ4" s="93">
        <f>IFERROR(s_C*s_IFPC_res_adj*s_CF_peach*0.001*(s_Irr!Q4+s_Irr!AO4+s_Irr!BM4),".")</f>
        <v>707.25810232325045</v>
      </c>
      <c r="AR4" s="93">
        <f>IFERROR(s_C*s_IFPR_res_adj*s_CF_pear*0.001*(s_Irr!R4+s_Irr!AP4+s_Irr!BN4),".")</f>
        <v>707.25810232325045</v>
      </c>
      <c r="AS4" s="93">
        <f>IFERROR(s_C*s_IFPE_res_adj*s_CF_peas*0.001*(s_Irr!S4+s_Irr!AQ4+s_Irr!BO4),".")</f>
        <v>707.25810232325045</v>
      </c>
      <c r="AT4" s="93">
        <f>IFERROR(s_C*s_IFPT_res_adj*s_CF_potato*0.001*(s_Irr!T4+s_Irr!AR4+s_Irr!BP4),".")</f>
        <v>707.25810232325045</v>
      </c>
      <c r="AU4" s="93">
        <f>IFERROR(s_C*s_IFPU_res_adj*s_CF_pumpkin*0.001*(s_Irr!U4+s_Irr!AS4+s_Irr!BQ4),".")</f>
        <v>707.25810232325045</v>
      </c>
      <c r="AV4" s="93">
        <f>IFERROR(s_C*s_IFSN_res_adj*s_CF_snap_bean*0.001*(s_Irr!V4+s_Irr!AT4+s_Irr!BR4),".")</f>
        <v>707.25810232325045</v>
      </c>
      <c r="AW4" s="93">
        <f>IFERROR(s_C*s_IFST_res_adj*s_CF_strawberry*0.001*(s_Irr!W4+s_Irr!AU4+s_Irr!BS4),".")</f>
        <v>707.25810232325045</v>
      </c>
      <c r="AX4" s="93">
        <f>IFERROR(s_C*s_IFTO_res_adj*s_CF_tomato*0.001*(s_Irr!X4+s_Irr!AV4+s_Irr!BT4),".")</f>
        <v>707.25810232325045</v>
      </c>
      <c r="AY4" s="93">
        <f>IFERROR(s_C*s_IFRI_res_adj*s_CF_rice*0.001*(s_Irr!Y4+s_Irr!AW4+s_Irr!BU4),".")</f>
        <v>707.25810232325045</v>
      </c>
      <c r="AZ4" s="93">
        <f>IFERROR(s_C*s_IFCG_res_adj*s_CF_cereal*0.001*(s_Irr!Z4+s_Irr!AX4+s_Irr!BV4),".")</f>
        <v>707.25810232325045</v>
      </c>
      <c r="BA4" s="76" t="str">
        <f t="shared" ref="BA4:BA6" si="4">IFERROR(1/SUM(1/BB4,1/BC4,1/BX4,1/BY4),".")</f>
        <v>.</v>
      </c>
      <c r="BB4" s="76" t="str">
        <f>IFERROR(IF(AND(s_Irr!C4&lt;&gt;".",s_Irr!AA4&lt;&gt;".",s_Irr!AY4&lt;&gt;"."),s_dir!AC4/((1/1000)*(s_Irr!C4+s_Irr!AA4+s_Irr!AY4)),IF(AND(s_Irr!C4&lt;&gt;".",s_Irr!AA4&lt;&gt;".",s_Irr!AY4="."),s_dir!AC4/((1/1000)*(s_Irr!C4+s_Irr!AA4)),IF(AND(s_Irr!C4&lt;&gt;".",s_Irr!AA4=".",s_Irr!AY4&lt;&gt;"."),s_dir!AC4/((1/1000)*(s_Irr!C4+s_Irr!AY4)),IF(AND(s_Irr!C4=".",s_Irr!AA4&lt;&gt;".",s_Irr!AY4&lt;&gt;"."),s_dir!AC4/((1/1000)*(s_Irr!AA4+s_Irr!AY4)),IF(AND(s_Irr!C4=".",s_Irr!AA4=".",s_Irr!AY4&lt;&gt;"."),s_dir!AC4/((1/1000)*(s_Irr!AY4)),IF(AND(s_Irr!C4=".",s_Irr!AA4&lt;&gt;".",s_Irr!AY4="."),s_dir!AC4/((1/1000)*(s_Irr!AA4)),IF(AND(s_Irr!C4&lt;&gt;".",s_Irr!AA4=".",s_Irr!AY4="."),s_dir!AC4/((1/1000)*(s_Irr!C4)),IF(AND(s_Irr!C4=".",s_Irr!AA4=".",s_Irr!AY4="."),s_dir!AC4*1000)))))))),".")</f>
        <v>.</v>
      </c>
      <c r="BC4" s="76" t="str">
        <f>IFERROR(IF(AND(s_Irr!D4&lt;&gt;".",s_Irr!AB4&lt;&gt;".",s_Irr!AZ4&lt;&gt;"."),s_dir!AD4/((1/1000)*(s_Irr!D4+s_Irr!AB4+s_Irr!AZ4)),IF(AND(s_Irr!D4&lt;&gt;".",s_Irr!AB4&lt;&gt;".",s_Irr!AZ4="."),s_dir!AD4/((1/1000)*(s_Irr!D4+s_Irr!AB4)),IF(AND(s_Irr!D4&lt;&gt;".",s_Irr!AB4=".",s_Irr!AZ4&lt;&gt;"."),s_dir!AD4/((1/1000)*(s_Irr!D4+s_Irr!AZ4)),IF(AND(s_Irr!D4=".",s_Irr!AB4&lt;&gt;".",s_Irr!AZ4&lt;&gt;"."),s_dir!AD4/((1/1000)*(s_Irr!AB4+s_Irr!AZ4)),IF(AND(s_Irr!D4=".",s_Irr!AB4=".",s_Irr!AZ4&lt;&gt;"."),s_dir!AD4/((1/1000)*(s_Irr!AZ4)),IF(AND(s_Irr!D4=".",s_Irr!AB4&lt;&gt;".",s_Irr!AZ4="."),s_dir!AD4/((1/1000)*(s_Irr!AB4)),IF(AND(s_Irr!D4&lt;&gt;".",s_Irr!AB4=".",s_Irr!AZ4="."),s_dir!AD4/((1/1000)*(s_Irr!D4)),IF(AND(s_Irr!D4=".",s_Irr!AB4=".",s_Irr!AZ4="."),s_dir!AD4*1000)))))))),".")</f>
        <v>.</v>
      </c>
      <c r="BD4" s="76" t="str">
        <f>IFERROR(IF(AND(s_Irr!E4&lt;&gt;".",s_Irr!AC4&lt;&gt;".",s_Irr!BA4&lt;&gt;"."),s_dir!AE4/((1/1000)*(s_Irr!E4+s_Irr!AC4+s_Irr!BA4)),IF(AND(s_Irr!E4&lt;&gt;".",s_Irr!AC4&lt;&gt;".",s_Irr!BA4="."),s_dir!AE4/((1/1000)*(s_Irr!E4+s_Irr!AC4)),IF(AND(s_Irr!E4&lt;&gt;".",s_Irr!AC4=".",s_Irr!BA4&lt;&gt;"."),s_dir!AE4/((1/1000)*(s_Irr!E4+s_Irr!BA4)),IF(AND(s_Irr!E4=".",s_Irr!AC4&lt;&gt;".",s_Irr!BA4&lt;&gt;"."),s_dir!AE4/((1/1000)*(s_Irr!AC4+s_Irr!BA4)),IF(AND(s_Irr!E4=".",s_Irr!AC4=".",s_Irr!BA4&lt;&gt;"."),s_dir!AE4/((1/1000)*(s_Irr!BA4)),IF(AND(s_Irr!E4=".",s_Irr!AC4&lt;&gt;".",s_Irr!BA4="."),s_dir!AE4/((1/1000)*(s_Irr!AC4)),IF(AND(s_Irr!E4&lt;&gt;".",s_Irr!AC4=".",s_Irr!BA4="."),s_dir!AE4/((1/1000)*(s_Irr!E4)),IF(AND(s_Irr!E4=".",s_Irr!AC4=".",s_Irr!BA4="."),s_dir!AE4*1000)))))))),".")</f>
        <v>.</v>
      </c>
      <c r="BE4" s="76" t="str">
        <f>IFERROR(IF(AND(s_Irr!F4&lt;&gt;".",s_Irr!AD4&lt;&gt;".",s_Irr!BB4&lt;&gt;"."),s_dir!AF4/((1/1000)*(s_Irr!F4+s_Irr!AD4+s_Irr!BB4)),IF(AND(s_Irr!F4&lt;&gt;".",s_Irr!AD4&lt;&gt;".",s_Irr!BB4="."),s_dir!AF4/((1/1000)*(s_Irr!F4+s_Irr!AD4)),IF(AND(s_Irr!F4&lt;&gt;".",s_Irr!AD4=".",s_Irr!BB4&lt;&gt;"."),s_dir!AF4/((1/1000)*(s_Irr!F4+s_Irr!BB4)),IF(AND(s_Irr!F4=".",s_Irr!AD4&lt;&gt;".",s_Irr!BB4&lt;&gt;"."),s_dir!AF4/((1/1000)*(s_Irr!AD4+s_Irr!BB4)),IF(AND(s_Irr!F4=".",s_Irr!AD4=".",s_Irr!BB4&lt;&gt;"."),s_dir!AF4/((1/1000)*(s_Irr!BB4)),IF(AND(s_Irr!F4=".",s_Irr!AD4&lt;&gt;".",s_Irr!BB4="."),s_dir!AF4/((1/1000)*(s_Irr!AD4)),IF(AND(s_Irr!F4&lt;&gt;".",s_Irr!AD4=".",s_Irr!BB4="."),s_dir!AF4/((1/1000)*(s_Irr!F4)),IF(AND(s_Irr!F4=".",s_Irr!AD4=".",s_Irr!BB4="."),s_dir!AF4*1000)))))))),".")</f>
        <v>.</v>
      </c>
      <c r="BF4" s="76" t="str">
        <f>IFERROR(IF(AND(s_Irr!G4&lt;&gt;".",s_Irr!AE4&lt;&gt;".",s_Irr!BC4&lt;&gt;"."),s_dir!AG4/((1/1000)*(s_Irr!G4+s_Irr!AE4+s_Irr!BC4)),IF(AND(s_Irr!G4&lt;&gt;".",s_Irr!AE4&lt;&gt;".",s_Irr!BC4="."),s_dir!AG4/((1/1000)*(s_Irr!G4+s_Irr!AE4)),IF(AND(s_Irr!G4&lt;&gt;".",s_Irr!AE4=".",s_Irr!BC4&lt;&gt;"."),s_dir!AG4/((1/1000)*(s_Irr!G4+s_Irr!BC4)),IF(AND(s_Irr!G4=".",s_Irr!AE4&lt;&gt;".",s_Irr!BC4&lt;&gt;"."),s_dir!AG4/((1/1000)*(s_Irr!AE4+s_Irr!BC4)),IF(AND(s_Irr!G4=".",s_Irr!AE4=".",s_Irr!BC4&lt;&gt;"."),s_dir!AG4/((1/1000)*(s_Irr!BC4)),IF(AND(s_Irr!G4=".",s_Irr!AE4&lt;&gt;".",s_Irr!BC4="."),s_dir!AG4/((1/1000)*(s_Irr!AE4)),IF(AND(s_Irr!G4&lt;&gt;".",s_Irr!AE4=".",s_Irr!BC4="."),s_dir!AG4/((1/1000)*(s_Irr!G4)),IF(AND(s_Irr!G4=".",s_Irr!AE4=".",s_Irr!BC4="."),s_dir!AG4*1000)))))))),".")</f>
        <v>.</v>
      </c>
      <c r="BG4" s="76" t="str">
        <f>IFERROR(IF(AND(s_Irr!H4&lt;&gt;".",s_Irr!AF4&lt;&gt;".",s_Irr!BD4&lt;&gt;"."),s_dir!AH4/((1/1000)*(s_Irr!H4+s_Irr!AF4+s_Irr!BD4)),IF(AND(s_Irr!H4&lt;&gt;".",s_Irr!AF4&lt;&gt;".",s_Irr!BD4="."),s_dir!AH4/((1/1000)*(s_Irr!H4+s_Irr!AF4)),IF(AND(s_Irr!H4&lt;&gt;".",s_Irr!AF4=".",s_Irr!BD4&lt;&gt;"."),s_dir!AH4/((1/1000)*(s_Irr!H4+s_Irr!BD4)),IF(AND(s_Irr!H4=".",s_Irr!AF4&lt;&gt;".",s_Irr!BD4&lt;&gt;"."),s_dir!AH4/((1/1000)*(s_Irr!AF4+s_Irr!BD4)),IF(AND(s_Irr!H4=".",s_Irr!AF4=".",s_Irr!BD4&lt;&gt;"."),s_dir!AH4/((1/1000)*(s_Irr!BD4)),IF(AND(s_Irr!H4=".",s_Irr!AF4&lt;&gt;".",s_Irr!BD4="."),s_dir!AH4/((1/1000)*(s_Irr!AF4)),IF(AND(s_Irr!H4&lt;&gt;".",s_Irr!AF4=".",s_Irr!BD4="."),s_dir!AH4/((1/1000)*(s_Irr!H4)),IF(AND(s_Irr!H4=".",s_Irr!AF4=".",s_Irr!BD4="."),s_dir!AH4*1000)))))))),".")</f>
        <v>.</v>
      </c>
      <c r="BH4" s="76" t="str">
        <f>IFERROR(IF(AND(s_Irr!I4&lt;&gt;".",s_Irr!AG4&lt;&gt;".",s_Irr!BE4&lt;&gt;"."),s_dir!AI4/((1/1000)*(s_Irr!I4+s_Irr!AG4+s_Irr!BE4)),IF(AND(s_Irr!I4&lt;&gt;".",s_Irr!AG4&lt;&gt;".",s_Irr!BE4="."),s_dir!AI4/((1/1000)*(s_Irr!I4+s_Irr!AG4)),IF(AND(s_Irr!I4&lt;&gt;".",s_Irr!AG4=".",s_Irr!BE4&lt;&gt;"."),s_dir!AI4/((1/1000)*(s_Irr!I4+s_Irr!BE4)),IF(AND(s_Irr!I4=".",s_Irr!AG4&lt;&gt;".",s_Irr!BE4&lt;&gt;"."),s_dir!AI4/((1/1000)*(s_Irr!AG4+s_Irr!BE4)),IF(AND(s_Irr!I4=".",s_Irr!AG4=".",s_Irr!BE4&lt;&gt;"."),s_dir!AI4/((1/1000)*(s_Irr!BE4)),IF(AND(s_Irr!I4=".",s_Irr!AG4&lt;&gt;".",s_Irr!BE4="."),s_dir!AI4/((1/1000)*(s_Irr!AG4)),IF(AND(s_Irr!I4&lt;&gt;".",s_Irr!AG4=".",s_Irr!BE4="."),s_dir!AI4/((1/1000)*(s_Irr!I4)),IF(AND(s_Irr!I4=".",s_Irr!AG4=".",s_Irr!BE4="."),s_dir!AI4*1000)))))))),".")</f>
        <v>.</v>
      </c>
      <c r="BI4" s="76" t="str">
        <f>IFERROR(IF(AND(s_Irr!J4&lt;&gt;".",s_Irr!AH4&lt;&gt;".",s_Irr!BF4&lt;&gt;"."),s_dir!AJ4/((1/1000)*(s_Irr!J4+s_Irr!AH4+s_Irr!BF4)),IF(AND(s_Irr!J4&lt;&gt;".",s_Irr!AH4&lt;&gt;".",s_Irr!BF4="."),s_dir!AJ4/((1/1000)*(s_Irr!J4+s_Irr!AH4)),IF(AND(s_Irr!J4&lt;&gt;".",s_Irr!AH4=".",s_Irr!BF4&lt;&gt;"."),s_dir!AJ4/((1/1000)*(s_Irr!J4+s_Irr!BF4)),IF(AND(s_Irr!J4=".",s_Irr!AH4&lt;&gt;".",s_Irr!BF4&lt;&gt;"."),s_dir!AJ4/((1/1000)*(s_Irr!AH4+s_Irr!BF4)),IF(AND(s_Irr!J4=".",s_Irr!AH4=".",s_Irr!BF4&lt;&gt;"."),s_dir!AJ4/((1/1000)*(s_Irr!BF4)),IF(AND(s_Irr!J4=".",s_Irr!AH4&lt;&gt;".",s_Irr!BF4="."),s_dir!AJ4/((1/1000)*(s_Irr!AH4)),IF(AND(s_Irr!J4&lt;&gt;".",s_Irr!AH4=".",s_Irr!BF4="."),s_dir!AJ4/((1/1000)*(s_Irr!J4)),IF(AND(s_Irr!J4=".",s_Irr!AH4=".",s_Irr!BF4="."),s_dir!AJ4*1000)))))))),".")</f>
        <v>.</v>
      </c>
      <c r="BJ4" s="76" t="str">
        <f>IFERROR(IF(AND(s_Irr!K4&lt;&gt;".",s_Irr!AI4&lt;&gt;".",s_Irr!BG4&lt;&gt;"."),s_dir!AK4/((1/1000)*(s_Irr!K4+s_Irr!AI4+s_Irr!BG4)),IF(AND(s_Irr!K4&lt;&gt;".",s_Irr!AI4&lt;&gt;".",s_Irr!BG4="."),s_dir!AK4/((1/1000)*(s_Irr!K4+s_Irr!AI4)),IF(AND(s_Irr!K4&lt;&gt;".",s_Irr!AI4=".",s_Irr!BG4&lt;&gt;"."),s_dir!AK4/((1/1000)*(s_Irr!K4+s_Irr!BG4)),IF(AND(s_Irr!K4=".",s_Irr!AI4&lt;&gt;".",s_Irr!BG4&lt;&gt;"."),s_dir!AK4/((1/1000)*(s_Irr!AI4+s_Irr!BG4)),IF(AND(s_Irr!K4=".",s_Irr!AI4=".",s_Irr!BG4&lt;&gt;"."),s_dir!AK4/((1/1000)*(s_Irr!BG4)),IF(AND(s_Irr!K4=".",s_Irr!AI4&lt;&gt;".",s_Irr!BG4="."),s_dir!AK4/((1/1000)*(s_Irr!AI4)),IF(AND(s_Irr!K4&lt;&gt;".",s_Irr!AI4=".",s_Irr!BG4="."),s_dir!AK4/((1/1000)*(s_Irr!K4)),IF(AND(s_Irr!K4=".",s_Irr!AI4=".",s_Irr!BG4="."),s_dir!AK4*1000)))))))),".")</f>
        <v>.</v>
      </c>
      <c r="BK4" s="76" t="str">
        <f>IFERROR(IF(AND(s_Irr!L4&lt;&gt;".",s_Irr!AJ4&lt;&gt;".",s_Irr!BH4&lt;&gt;"."),s_dir!AL4/((1/1000)*(s_Irr!L4+s_Irr!AJ4+s_Irr!BH4)),IF(AND(s_Irr!L4&lt;&gt;".",s_Irr!AJ4&lt;&gt;".",s_Irr!BH4="."),s_dir!AL4/((1/1000)*(s_Irr!L4+s_Irr!AJ4)),IF(AND(s_Irr!L4&lt;&gt;".",s_Irr!AJ4=".",s_Irr!BH4&lt;&gt;"."),s_dir!AL4/((1/1000)*(s_Irr!L4+s_Irr!BH4)),IF(AND(s_Irr!L4=".",s_Irr!AJ4&lt;&gt;".",s_Irr!BH4&lt;&gt;"."),s_dir!AL4/((1/1000)*(s_Irr!AJ4+s_Irr!BH4)),IF(AND(s_Irr!L4=".",s_Irr!AJ4=".",s_Irr!BH4&lt;&gt;"."),s_dir!AL4/((1/1000)*(s_Irr!BH4)),IF(AND(s_Irr!L4=".",s_Irr!AJ4&lt;&gt;".",s_Irr!BH4="."),s_dir!AL4/((1/1000)*(s_Irr!AJ4)),IF(AND(s_Irr!L4&lt;&gt;".",s_Irr!AJ4=".",s_Irr!BH4="."),s_dir!AL4/((1/1000)*(s_Irr!L4)),IF(AND(s_Irr!L4=".",s_Irr!AJ4=".",s_Irr!BH4="."),s_dir!AL4*1000)))))))),".")</f>
        <v>.</v>
      </c>
      <c r="BL4" s="76" t="str">
        <f>IFERROR(IF(AND(s_Irr!M4&lt;&gt;".",s_Irr!AK4&lt;&gt;".",s_Irr!BI4&lt;&gt;"."),s_dir!AM4/((1/1000)*(s_Irr!M4+s_Irr!AK4+s_Irr!BI4)),IF(AND(s_Irr!M4&lt;&gt;".",s_Irr!AK4&lt;&gt;".",s_Irr!BI4="."),s_dir!AM4/((1/1000)*(s_Irr!M4+s_Irr!AK4)),IF(AND(s_Irr!M4&lt;&gt;".",s_Irr!AK4=".",s_Irr!BI4&lt;&gt;"."),s_dir!AM4/((1/1000)*(s_Irr!M4+s_Irr!BI4)),IF(AND(s_Irr!M4=".",s_Irr!AK4&lt;&gt;".",s_Irr!BI4&lt;&gt;"."),s_dir!AM4/((1/1000)*(s_Irr!AK4+s_Irr!BI4)),IF(AND(s_Irr!M4=".",s_Irr!AK4=".",s_Irr!BI4&lt;&gt;"."),s_dir!AM4/((1/1000)*(s_Irr!BI4)),IF(AND(s_Irr!M4=".",s_Irr!AK4&lt;&gt;".",s_Irr!BI4="."),s_dir!AM4/((1/1000)*(s_Irr!AK4)),IF(AND(s_Irr!M4&lt;&gt;".",s_Irr!AK4=".",s_Irr!BI4="."),s_dir!AM4/((1/1000)*(s_Irr!M4)),IF(AND(s_Irr!M4=".",s_Irr!AK4=".",s_Irr!BI4="."),s_dir!AM4*1000)))))))),".")</f>
        <v>.</v>
      </c>
      <c r="BM4" s="76" t="str">
        <f>IFERROR(IF(AND(s_Irr!N4&lt;&gt;".",s_Irr!AL4&lt;&gt;".",s_Irr!BJ4&lt;&gt;"."),s_dir!AN4/((1/1000)*(s_Irr!N4+s_Irr!AL4+s_Irr!BJ4)),IF(AND(s_Irr!N4&lt;&gt;".",s_Irr!AL4&lt;&gt;".",s_Irr!BJ4="."),s_dir!AN4/((1/1000)*(s_Irr!N4+s_Irr!AL4)),IF(AND(s_Irr!N4&lt;&gt;".",s_Irr!AL4=".",s_Irr!BJ4&lt;&gt;"."),s_dir!AN4/((1/1000)*(s_Irr!N4+s_Irr!BJ4)),IF(AND(s_Irr!N4=".",s_Irr!AL4&lt;&gt;".",s_Irr!BJ4&lt;&gt;"."),s_dir!AN4/((1/1000)*(s_Irr!AL4+s_Irr!BJ4)),IF(AND(s_Irr!N4=".",s_Irr!AL4=".",s_Irr!BJ4&lt;&gt;"."),s_dir!AN4/((1/1000)*(s_Irr!BJ4)),IF(AND(s_Irr!N4=".",s_Irr!AL4&lt;&gt;".",s_Irr!BJ4="."),s_dir!AN4/((1/1000)*(s_Irr!AL4)),IF(AND(s_Irr!N4&lt;&gt;".",s_Irr!AL4=".",s_Irr!BJ4="."),s_dir!AN4/((1/1000)*(s_Irr!N4)),IF(AND(s_Irr!N4=".",s_Irr!AL4=".",s_Irr!BJ4="."),s_dir!AN4*1000)))))))),".")</f>
        <v>.</v>
      </c>
      <c r="BN4" s="76" t="str">
        <f>IFERROR(IF(AND(s_Irr!O4&lt;&gt;".",s_Irr!AM4&lt;&gt;".",s_Irr!BK4&lt;&gt;"."),s_dir!AO4/((1/1000)*(s_Irr!O4+s_Irr!AM4+s_Irr!BK4)),IF(AND(s_Irr!O4&lt;&gt;".",s_Irr!AM4&lt;&gt;".",s_Irr!BK4="."),s_dir!AO4/((1/1000)*(s_Irr!O4+s_Irr!AM4)),IF(AND(s_Irr!O4&lt;&gt;".",s_Irr!AM4=".",s_Irr!BK4&lt;&gt;"."),s_dir!AO4/((1/1000)*(s_Irr!O4+s_Irr!BK4)),IF(AND(s_Irr!O4=".",s_Irr!AM4&lt;&gt;".",s_Irr!BK4&lt;&gt;"."),s_dir!AO4/((1/1000)*(s_Irr!AM4+s_Irr!BK4)),IF(AND(s_Irr!O4=".",s_Irr!AM4=".",s_Irr!BK4&lt;&gt;"."),s_dir!AO4/((1/1000)*(s_Irr!BK4)),IF(AND(s_Irr!O4=".",s_Irr!AM4&lt;&gt;".",s_Irr!BK4="."),s_dir!AO4/((1/1000)*(s_Irr!AM4)),IF(AND(s_Irr!O4&lt;&gt;".",s_Irr!AM4=".",s_Irr!BK4="."),s_dir!AO4/((1/1000)*(s_Irr!O4)),IF(AND(s_Irr!O4=".",s_Irr!AM4=".",s_Irr!BK4="."),s_dir!AO4*1000)))))))),".")</f>
        <v>.</v>
      </c>
      <c r="BO4" s="76" t="str">
        <f>IFERROR(IF(AND(s_Irr!P4&lt;&gt;".",s_Irr!AN4&lt;&gt;".",s_Irr!BL4&lt;&gt;"."),s_dir!AP4/((1/1000)*(s_Irr!P4+s_Irr!AN4+s_Irr!BL4)),IF(AND(s_Irr!P4&lt;&gt;".",s_Irr!AN4&lt;&gt;".",s_Irr!BL4="."),s_dir!AP4/((1/1000)*(s_Irr!P4+s_Irr!AN4)),IF(AND(s_Irr!P4&lt;&gt;".",s_Irr!AN4=".",s_Irr!BL4&lt;&gt;"."),s_dir!AP4/((1/1000)*(s_Irr!P4+s_Irr!BL4)),IF(AND(s_Irr!P4=".",s_Irr!AN4&lt;&gt;".",s_Irr!BL4&lt;&gt;"."),s_dir!AP4/((1/1000)*(s_Irr!AN4+s_Irr!BL4)),IF(AND(s_Irr!P4=".",s_Irr!AN4=".",s_Irr!BL4&lt;&gt;"."),s_dir!AP4/((1/1000)*(s_Irr!BL4)),IF(AND(s_Irr!P4=".",s_Irr!AN4&lt;&gt;".",s_Irr!BL4="."),s_dir!AP4/((1/1000)*(s_Irr!AN4)),IF(AND(s_Irr!P4&lt;&gt;".",s_Irr!AN4=".",s_Irr!BL4="."),s_dir!AP4/((1/1000)*(s_Irr!P4)),IF(AND(s_Irr!P4=".",s_Irr!AN4=".",s_Irr!BL4="."),s_dir!AP4*1000)))))))),".")</f>
        <v>.</v>
      </c>
      <c r="BP4" s="76" t="str">
        <f>IFERROR(IF(AND(s_Irr!Q4&lt;&gt;".",s_Irr!AO4&lt;&gt;".",s_Irr!BM4&lt;&gt;"."),s_dir!AQ4/((1/1000)*(s_Irr!Q4+s_Irr!AO4+s_Irr!BM4)),IF(AND(s_Irr!Q4&lt;&gt;".",s_Irr!AO4&lt;&gt;".",s_Irr!BM4="."),s_dir!AQ4/((1/1000)*(s_Irr!Q4+s_Irr!AO4)),IF(AND(s_Irr!Q4&lt;&gt;".",s_Irr!AO4=".",s_Irr!BM4&lt;&gt;"."),s_dir!AQ4/((1/1000)*(s_Irr!Q4+s_Irr!BM4)),IF(AND(s_Irr!Q4=".",s_Irr!AO4&lt;&gt;".",s_Irr!BM4&lt;&gt;"."),s_dir!AQ4/((1/1000)*(s_Irr!AO4+s_Irr!BM4)),IF(AND(s_Irr!Q4=".",s_Irr!AO4=".",s_Irr!BM4&lt;&gt;"."),s_dir!AQ4/((1/1000)*(s_Irr!BM4)),IF(AND(s_Irr!Q4=".",s_Irr!AO4&lt;&gt;".",s_Irr!BM4="."),s_dir!AQ4/((1/1000)*(s_Irr!AO4)),IF(AND(s_Irr!Q4&lt;&gt;".",s_Irr!AO4=".",s_Irr!BM4="."),s_dir!AQ4/((1/1000)*(s_Irr!Q4)),IF(AND(s_Irr!Q4=".",s_Irr!AO4=".",s_Irr!BM4="."),s_dir!AQ4*1000)))))))),".")</f>
        <v>.</v>
      </c>
      <c r="BQ4" s="76" t="str">
        <f>IFERROR(IF(AND(s_Irr!R4&lt;&gt;".",s_Irr!AP4&lt;&gt;".",s_Irr!BN4&lt;&gt;"."),s_dir!AR4/((1/1000)*(s_Irr!R4+s_Irr!AP4+s_Irr!BN4)),IF(AND(s_Irr!R4&lt;&gt;".",s_Irr!AP4&lt;&gt;".",s_Irr!BN4="."),s_dir!AR4/((1/1000)*(s_Irr!R4+s_Irr!AP4)),IF(AND(s_Irr!R4&lt;&gt;".",s_Irr!AP4=".",s_Irr!BN4&lt;&gt;"."),s_dir!AR4/((1/1000)*(s_Irr!R4+s_Irr!BN4)),IF(AND(s_Irr!R4=".",s_Irr!AP4&lt;&gt;".",s_Irr!BN4&lt;&gt;"."),s_dir!AR4/((1/1000)*(s_Irr!AP4+s_Irr!BN4)),IF(AND(s_Irr!R4=".",s_Irr!AP4=".",s_Irr!BN4&lt;&gt;"."),s_dir!AR4/((1/1000)*(s_Irr!BN4)),IF(AND(s_Irr!R4=".",s_Irr!AP4&lt;&gt;".",s_Irr!BN4="."),s_dir!AR4/((1/1000)*(s_Irr!AP4)),IF(AND(s_Irr!R4&lt;&gt;".",s_Irr!AP4=".",s_Irr!BN4="."),s_dir!AR4/((1/1000)*(s_Irr!R4)),IF(AND(s_Irr!R4=".",s_Irr!AP4=".",s_Irr!BN4="."),s_dir!AR4*1000)))))))),".")</f>
        <v>.</v>
      </c>
      <c r="BR4" s="76" t="str">
        <f>IFERROR(IF(AND(s_Irr!S4&lt;&gt;".",s_Irr!AQ4&lt;&gt;".",s_Irr!BO4&lt;&gt;"."),s_dir!AS4/((1/1000)*(s_Irr!S4+s_Irr!AQ4+s_Irr!BO4)),IF(AND(s_Irr!S4&lt;&gt;".",s_Irr!AQ4&lt;&gt;".",s_Irr!BO4="."),s_dir!AS4/((1/1000)*(s_Irr!S4+s_Irr!AQ4)),IF(AND(s_Irr!S4&lt;&gt;".",s_Irr!AQ4=".",s_Irr!BO4&lt;&gt;"."),s_dir!AS4/((1/1000)*(s_Irr!S4+s_Irr!BO4)),IF(AND(s_Irr!S4=".",s_Irr!AQ4&lt;&gt;".",s_Irr!BO4&lt;&gt;"."),s_dir!AS4/((1/1000)*(s_Irr!AQ4+s_Irr!BO4)),IF(AND(s_Irr!S4=".",s_Irr!AQ4=".",s_Irr!BO4&lt;&gt;"."),s_dir!AS4/((1/1000)*(s_Irr!BO4)),IF(AND(s_Irr!S4=".",s_Irr!AQ4&lt;&gt;".",s_Irr!BO4="."),s_dir!AS4/((1/1000)*(s_Irr!AQ4)),IF(AND(s_Irr!S4&lt;&gt;".",s_Irr!AQ4=".",s_Irr!BO4="."),s_dir!AS4/((1/1000)*(s_Irr!S4)),IF(AND(s_Irr!S4=".",s_Irr!AQ4=".",s_Irr!BO4="."),s_dir!AS4*1000)))))))),".")</f>
        <v>.</v>
      </c>
      <c r="BS4" s="76" t="str">
        <f>IFERROR(IF(AND(s_Irr!T4&lt;&gt;".",s_Irr!AR4&lt;&gt;".",s_Irr!BP4&lt;&gt;"."),s_dir!AT4/((1/1000)*(s_Irr!T4+s_Irr!AR4+s_Irr!BP4)),IF(AND(s_Irr!T4&lt;&gt;".",s_Irr!AR4&lt;&gt;".",s_Irr!BP4="."),s_dir!AT4/((1/1000)*(s_Irr!T4+s_Irr!AR4)),IF(AND(s_Irr!T4&lt;&gt;".",s_Irr!AR4=".",s_Irr!BP4&lt;&gt;"."),s_dir!AT4/((1/1000)*(s_Irr!T4+s_Irr!BP4)),IF(AND(s_Irr!T4=".",s_Irr!AR4&lt;&gt;".",s_Irr!BP4&lt;&gt;"."),s_dir!AT4/((1/1000)*(s_Irr!AR4+s_Irr!BP4)),IF(AND(s_Irr!T4=".",s_Irr!AR4=".",s_Irr!BP4&lt;&gt;"."),s_dir!AT4/((1/1000)*(s_Irr!BP4)),IF(AND(s_Irr!T4=".",s_Irr!AR4&lt;&gt;".",s_Irr!BP4="."),s_dir!AT4/((1/1000)*(s_Irr!AR4)),IF(AND(s_Irr!T4&lt;&gt;".",s_Irr!AR4=".",s_Irr!BP4="."),s_dir!AT4/((1/1000)*(s_Irr!T4)),IF(AND(s_Irr!T4=".",s_Irr!AR4=".",s_Irr!BP4="."),s_dir!AT4*1000)))))))),".")</f>
        <v>.</v>
      </c>
      <c r="BT4" s="76" t="str">
        <f>IFERROR(IF(AND(s_Irr!U4&lt;&gt;".",s_Irr!AS4&lt;&gt;".",s_Irr!BQ4&lt;&gt;"."),s_dir!AU4/((1/1000)*(s_Irr!U4+s_Irr!AS4+s_Irr!BQ4)),IF(AND(s_Irr!U4&lt;&gt;".",s_Irr!AS4&lt;&gt;".",s_Irr!BQ4="."),s_dir!AU4/((1/1000)*(s_Irr!U4+s_Irr!AS4)),IF(AND(s_Irr!U4&lt;&gt;".",s_Irr!AS4=".",s_Irr!BQ4&lt;&gt;"."),s_dir!AU4/((1/1000)*(s_Irr!U4+s_Irr!BQ4)),IF(AND(s_Irr!U4=".",s_Irr!AS4&lt;&gt;".",s_Irr!BQ4&lt;&gt;"."),s_dir!AU4/((1/1000)*(s_Irr!AS4+s_Irr!BQ4)),IF(AND(s_Irr!U4=".",s_Irr!AS4=".",s_Irr!BQ4&lt;&gt;"."),s_dir!AU4/((1/1000)*(s_Irr!BQ4)),IF(AND(s_Irr!U4=".",s_Irr!AS4&lt;&gt;".",s_Irr!BQ4="."),s_dir!AU4/((1/1000)*(s_Irr!AS4)),IF(AND(s_Irr!U4&lt;&gt;".",s_Irr!AS4=".",s_Irr!BQ4="."),s_dir!AU4/((1/1000)*(s_Irr!U4)),IF(AND(s_Irr!U4=".",s_Irr!AS4=".",s_Irr!BQ4="."),s_dir!AU4*1000)))))))),".")</f>
        <v>.</v>
      </c>
      <c r="BU4" s="76" t="str">
        <f>IFERROR(IF(AND(s_Irr!V4&lt;&gt;".",s_Irr!AT4&lt;&gt;".",s_Irr!BR4&lt;&gt;"."),s_dir!AV4/((1/1000)*(s_Irr!V4+s_Irr!AT4+s_Irr!BR4)),IF(AND(s_Irr!V4&lt;&gt;".",s_Irr!AT4&lt;&gt;".",s_Irr!BR4="."),s_dir!AV4/((1/1000)*(s_Irr!V4+s_Irr!AT4)),IF(AND(s_Irr!V4&lt;&gt;".",s_Irr!AT4=".",s_Irr!BR4&lt;&gt;"."),s_dir!AV4/((1/1000)*(s_Irr!V4+s_Irr!BR4)),IF(AND(s_Irr!V4=".",s_Irr!AT4&lt;&gt;".",s_Irr!BR4&lt;&gt;"."),s_dir!AV4/((1/1000)*(s_Irr!AT4+s_Irr!BR4)),IF(AND(s_Irr!V4=".",s_Irr!AT4=".",s_Irr!BR4&lt;&gt;"."),s_dir!AV4/((1/1000)*(s_Irr!BR4)),IF(AND(s_Irr!V4=".",s_Irr!AT4&lt;&gt;".",s_Irr!BR4="."),s_dir!AV4/((1/1000)*(s_Irr!AT4)),IF(AND(s_Irr!V4&lt;&gt;".",s_Irr!AT4=".",s_Irr!BR4="."),s_dir!AV4/((1/1000)*(s_Irr!V4)),IF(AND(s_Irr!V4=".",s_Irr!AT4=".",s_Irr!BR4="."),s_dir!AV4*1000)))))))),".")</f>
        <v>.</v>
      </c>
      <c r="BV4" s="76" t="str">
        <f>IFERROR(IF(AND(s_Irr!W4&lt;&gt;".",s_Irr!AU4&lt;&gt;".",s_Irr!BS4&lt;&gt;"."),s_dir!AW4/((1/1000)*(s_Irr!W4+s_Irr!AU4+s_Irr!BS4)),IF(AND(s_Irr!W4&lt;&gt;".",s_Irr!AU4&lt;&gt;".",s_Irr!BS4="."),s_dir!AW4/((1/1000)*(s_Irr!W4+s_Irr!AU4)),IF(AND(s_Irr!W4&lt;&gt;".",s_Irr!AU4=".",s_Irr!BS4&lt;&gt;"."),s_dir!AW4/((1/1000)*(s_Irr!W4+s_Irr!BS4)),IF(AND(s_Irr!W4=".",s_Irr!AU4&lt;&gt;".",s_Irr!BS4&lt;&gt;"."),s_dir!AW4/((1/1000)*(s_Irr!AU4+s_Irr!BS4)),IF(AND(s_Irr!W4=".",s_Irr!AU4=".",s_Irr!BS4&lt;&gt;"."),s_dir!AW4/((1/1000)*(s_Irr!BS4)),IF(AND(s_Irr!W4=".",s_Irr!AU4&lt;&gt;".",s_Irr!BS4="."),s_dir!AW4/((1/1000)*(s_Irr!AU4)),IF(AND(s_Irr!W4&lt;&gt;".",s_Irr!AU4=".",s_Irr!BS4="."),s_dir!AW4/((1/1000)*(s_Irr!W4)),IF(AND(s_Irr!W4=".",s_Irr!AU4=".",s_Irr!BS4="."),s_dir!AW4*1000)))))))),".")</f>
        <v>.</v>
      </c>
      <c r="BW4" s="76" t="str">
        <f>IFERROR(IF(AND(s_Irr!X4&lt;&gt;".",s_Irr!AV4&lt;&gt;".",s_Irr!BT4&lt;&gt;"."),s_dir!AX4/((1/1000)*(s_Irr!X4+s_Irr!AV4+s_Irr!BT4)),IF(AND(s_Irr!X4&lt;&gt;".",s_Irr!AV4&lt;&gt;".",s_Irr!BT4="."),s_dir!AX4/((1/1000)*(s_Irr!X4+s_Irr!AV4)),IF(AND(s_Irr!X4&lt;&gt;".",s_Irr!AV4=".",s_Irr!BT4&lt;&gt;"."),s_dir!AX4/((1/1000)*(s_Irr!X4+s_Irr!BT4)),IF(AND(s_Irr!X4=".",s_Irr!AV4&lt;&gt;".",s_Irr!BT4&lt;&gt;"."),s_dir!AX4/((1/1000)*(s_Irr!AV4+s_Irr!BT4)),IF(AND(s_Irr!X4=".",s_Irr!AV4=".",s_Irr!BT4&lt;&gt;"."),s_dir!AX4/((1/1000)*(s_Irr!BT4)),IF(AND(s_Irr!X4=".",s_Irr!AV4&lt;&gt;".",s_Irr!BT4="."),s_dir!AX4/((1/1000)*(s_Irr!AV4)),IF(AND(s_Irr!X4&lt;&gt;".",s_Irr!AV4=".",s_Irr!BT4="."),s_dir!AX4/((1/1000)*(s_Irr!X4)),IF(AND(s_Irr!X4=".",s_Irr!AV4=".",s_Irr!BT4="."),s_dir!AX4*1000)))))))),".")</f>
        <v>.</v>
      </c>
      <c r="BX4" s="76" t="str">
        <f>IFERROR(IF(AND(s_Irr!Y4&lt;&gt;".",s_Irr!AW4&lt;&gt;".",s_Irr!BU4&lt;&gt;"."),s_dir!AY4/((1/1000)*(s_Irr!Y4+s_Irr!AW4+s_Irr!BU4)),IF(AND(s_Irr!Y4&lt;&gt;".",s_Irr!AW4&lt;&gt;".",s_Irr!BU4="."),s_dir!AY4/((1/1000)*(s_Irr!Y4+s_Irr!AW4)),IF(AND(s_Irr!Y4&lt;&gt;".",s_Irr!AW4=".",s_Irr!BU4&lt;&gt;"."),s_dir!AY4/((1/1000)*(s_Irr!Y4+s_Irr!BU4)),IF(AND(s_Irr!Y4=".",s_Irr!AW4&lt;&gt;".",s_Irr!BU4&lt;&gt;"."),s_dir!AY4/((1/1000)*(s_Irr!AW4+s_Irr!BU4)),IF(AND(s_Irr!Y4=".",s_Irr!AW4=".",s_Irr!BU4&lt;&gt;"."),s_dir!AY4/((1/1000)*(s_Irr!BU4)),IF(AND(s_Irr!Y4=".",s_Irr!AW4&lt;&gt;".",s_Irr!BU4="."),s_dir!AY4/((1/1000)*(s_Irr!AW4)),IF(AND(s_Irr!Y4&lt;&gt;".",s_Irr!AW4=".",s_Irr!BU4="."),s_dir!AY4/((1/1000)*(s_Irr!Y4)),IF(AND(s_Irr!Y4=".",s_Irr!AW4=".",s_Irr!BU4="."),s_dir!AY4*1000)))))))),".")</f>
        <v>.</v>
      </c>
      <c r="BY4" s="76" t="str">
        <f>IFERROR(IF(AND(s_Irr!Z4&lt;&gt;".",s_Irr!AX4&lt;&gt;".",s_Irr!BV4&lt;&gt;"."),s_dir!AZ4/((1/1000)*(s_Irr!Z4+s_Irr!AX4+s_Irr!BV4)),IF(AND(s_Irr!Z4&lt;&gt;".",s_Irr!AX4&lt;&gt;".",s_Irr!BV4="."),s_dir!AZ4/((1/1000)*(s_Irr!Z4+s_Irr!AX4)),IF(AND(s_Irr!Z4&lt;&gt;".",s_Irr!AX4=".",s_Irr!BV4&lt;&gt;"."),s_dir!AZ4/((1/1000)*(s_Irr!Z4+s_Irr!BV4)),IF(AND(s_Irr!Z4=".",s_Irr!AX4&lt;&gt;".",s_Irr!BV4&lt;&gt;"."),s_dir!AZ4/((1/1000)*(s_Irr!AX4+s_Irr!BV4)),IF(AND(s_Irr!Z4=".",s_Irr!AX4=".",s_Irr!BV4&lt;&gt;"."),s_dir!AZ4/((1/1000)*(s_Irr!BV4)),IF(AND(s_Irr!Z4=".",s_Irr!AX4&lt;&gt;".",s_Irr!BV4="."),s_dir!AZ4/((1/1000)*(s_Irr!AX4)),IF(AND(s_Irr!Z4&lt;&gt;".",s_Irr!AX4=".",s_Irr!BV4="."),s_dir!AZ4/((1/1000)*(s_Irr!Z4)),IF(AND(s_Irr!Z4=".",s_Irr!AX4=".",s_Irr!BV4="."),s_dir!AZ4*1000)))))))),".")</f>
        <v>.</v>
      </c>
      <c r="BZ4" s="93">
        <f t="shared" ref="BZ4:BZ5" si="5">SUM(CA4:CB4,CW4:CX4)</f>
        <v>2829.0324092930018</v>
      </c>
      <c r="CA4" s="93">
        <f>IFERROR(s_C*s_IFAP_far_adj*s_CF_apple*(1/1000)*(s_Irr!C4+s_Irr!AA4+s_Irr!AY4),".")</f>
        <v>707.25810232325045</v>
      </c>
      <c r="CB4" s="93">
        <f>IFERROR(s_C*s_IFAS_far_adj*s_CF_asparagus*(1/1000)*(s_Irr!D4+s_Irr!AB4+s_Irr!AZ4),".")</f>
        <v>707.25810232325045</v>
      </c>
      <c r="CC4" s="93">
        <f>IFERROR(s_C*s_IFBT_far_adj*s_CF_beet*(1/1000)*(s_Irr!E4+s_Irr!AC4+s_Irr!BA4),".")</f>
        <v>707.25810232325045</v>
      </c>
      <c r="CD4" s="93">
        <f>IFERROR(s_C*s_IFBE_far_adj*s_CF_berries*(1/1000)*(s_Irr!F4+s_Irr!AD4+s_Irr!BB4),".")</f>
        <v>707.25810232325045</v>
      </c>
      <c r="CE4" s="93">
        <f>IFERROR(s_C*s_IFBR_far_adj*s_CF_broccoli*(1/1000)*(s_Irr!G4+s_Irr!AE4+s_Irr!BC4),".")</f>
        <v>707.25810232325045</v>
      </c>
      <c r="CF4" s="93">
        <f>IFERROR(s_C*s_IFCB_far_adj*s_CF_cabbage*(1/1000)*(s_Irr!H4+s_Irr!AF4+s_Irr!BD4),".")</f>
        <v>707.25810232325045</v>
      </c>
      <c r="CG4" s="93">
        <f>IFERROR(s_C*s_IFCR_far_adj*s_CF_carrot*(1/1000)*(s_Irr!I4+s_Irr!AG4+s_Irr!BE4),".")</f>
        <v>707.25810232325045</v>
      </c>
      <c r="CH4" s="93">
        <f>IFERROR(s_C*s_IFCI_far_adj*s_CF_citrus*(1/1000)*(s_Irr!J4+s_Irr!AH4+s_Irr!BF4),".")</f>
        <v>707.25810232325045</v>
      </c>
      <c r="CI4" s="93">
        <f>IFERROR(s_C*s_IFCO_far_adj*s_CF_corn*(1/1000)*(s_Irr!K4+s_Irr!AI4+s_Irr!BG4),".")</f>
        <v>707.25810232325045</v>
      </c>
      <c r="CJ4" s="93">
        <f>IFERROR(s_C*s_IFCU_far_adj*s_CF_cucumber*(1/1000)*(s_Irr!L4+s_Irr!AJ4+s_Irr!BH4),".")</f>
        <v>707.25810232325045</v>
      </c>
      <c r="CK4" s="93">
        <f>IFERROR(s_C*s_IFLE_far_adj*s_CF_lettuce*(1/1000)*(s_Irr!M4+s_Irr!AK4+s_Irr!BI4),".")</f>
        <v>707.25810232325045</v>
      </c>
      <c r="CL4" s="93">
        <f>IFERROR(s_C*s_IFLI_far_adj*s_CF_lima_bean*(1/1000)*(s_Irr!N4+s_Irr!AL4+s_Irr!BJ4),".")</f>
        <v>707.25810232325045</v>
      </c>
      <c r="CM4" s="93">
        <f>IFERROR(s_C*s_IFOK_far_adj*s_CF_okra*(1/1000)*(s_Irr!O4+s_Irr!AM4+s_Irr!BK4),".")</f>
        <v>707.25810232325045</v>
      </c>
      <c r="CN4" s="93">
        <f>IFERROR(s_C*s_IFON_far_adj*s_CF_onion*(1/1000)*(s_Irr!P4+s_Irr!AN4+s_Irr!BL4),".")</f>
        <v>707.25810232325045</v>
      </c>
      <c r="CO4" s="93">
        <f>IFERROR(s_C*s_IFPC_far_adj*s_CF_peach*(1/1000)*(s_Irr!Q4+s_Irr!AO4+s_Irr!BM4),".")</f>
        <v>707.25810232325045</v>
      </c>
      <c r="CP4" s="93">
        <f>IFERROR(s_C*s_IFPR_far_adj*s_CF_pear*(1/1000)*(s_Irr!R4+s_Irr!AP4+s_Irr!BN4),".")</f>
        <v>707.25810232325045</v>
      </c>
      <c r="CQ4" s="93">
        <f>IFERROR(s_C*s_IFPE_far_adj*s_CF_peas*(1/1000)*(s_Irr!S4+s_Irr!AQ4+s_Irr!BO4),".")</f>
        <v>707.25810232325045</v>
      </c>
      <c r="CR4" s="93">
        <f>IFERROR(s_C*s_IFPT_far_adj*s_CF_potato*(1/1000)*(s_Irr!T4+s_Irr!AR4+s_Irr!BP4),".")</f>
        <v>707.25810232325045</v>
      </c>
      <c r="CS4" s="93">
        <f>IFERROR(s_C*s_IFPU_far_adj*s_CF_pumpkin*(1/1000)*(s_Irr!U4+s_Irr!AS4+s_Irr!BQ4),".")</f>
        <v>707.25810232325045</v>
      </c>
      <c r="CT4" s="93">
        <f>IFERROR(s_C*s_IFSN_far_adj*s_CF_snap_bean*(1/1000)*(s_Irr!V4+s_Irr!AT4+s_Irr!BR4),".")</f>
        <v>707.25810232325045</v>
      </c>
      <c r="CU4" s="93">
        <f>IFERROR(s_C*s_IFST_far_adj*s_CF_strawberry*(1/1000)*(s_Irr!W4+s_Irr!AU4+s_Irr!BS4),".")</f>
        <v>707.25810232325045</v>
      </c>
      <c r="CV4" s="93">
        <f>IFERROR(s_C*s_IFTO_far_adj*s_CF_tomato*(1/1000)*(s_Irr!X4+s_Irr!AV4+s_Irr!BT4),".")</f>
        <v>707.25810232325045</v>
      </c>
      <c r="CW4" s="93">
        <f>IFERROR(s_C*s_IFRI_far_adj*s_CF_rice*(1/1000)*(s_Irr!Y4+s_Irr!AW4+s_Irr!BU4),".")</f>
        <v>707.25810232325045</v>
      </c>
      <c r="CX4" s="93">
        <f>IFERROR(s_C*s_IFCG_far_adj*s_CF_cereal*(1/1000)*(s_Irr!Z4+s_Irr!AX4+s_Irr!BV4),".")</f>
        <v>707.25810232325045</v>
      </c>
    </row>
    <row r="5" spans="1:102" ht="15" customHeight="1" x14ac:dyDescent="0.25">
      <c r="A5" s="92" t="s">
        <v>15</v>
      </c>
      <c r="B5" s="90" t="s">
        <v>1074</v>
      </c>
      <c r="C5" s="76" t="str">
        <f t="shared" si="2"/>
        <v>.</v>
      </c>
      <c r="D5" s="76" t="str">
        <f>IFERROR(IF(AND(s_Irr!C5&lt;&gt;".",s_Irr!AA5&lt;&gt;".",s_Irr!AY5&lt;&gt;"."),s_dir!D5/((1/1000)*(s_Irr!C5+s_Irr!AA5+s_Irr!AY5)),IF(AND(s_Irr!C5&lt;&gt;".",s_Irr!AA5&lt;&gt;".",s_Irr!AY5="."),s_dir!D5/((1/1000)*(s_Irr!C5+s_Irr!AA5)),IF(AND(s_Irr!C5&lt;&gt;".",s_Irr!AA5=".",s_Irr!AY5&lt;&gt;"."),s_dir!D5/((1/1000)*(s_Irr!C5+s_Irr!AY5)),IF(AND(s_Irr!C5=".",s_Irr!AA5&lt;&gt;".",s_Irr!AY5&lt;&gt;"."),s_dir!D5/((1/1000)*(s_Irr!AA5+s_Irr!AY5)),IF(AND(s_Irr!C5=".",s_Irr!AA5=".",s_Irr!AY5&lt;&gt;"."),s_dir!D5/((1/1000)*(s_Irr!AY5)),IF(AND(s_Irr!C5=".",s_Irr!AA5&lt;&gt;".",s_Irr!AY5="."),s_dir!D5/((1/1000)*(s_Irr!AA5)),IF(AND(s_Irr!C5&lt;&gt;".",s_Irr!AA5=".",s_Irr!AY5="."),s_dir!D5/((1/1000)*(s_Irr!C5)),IF(AND(s_Irr!C5=".",s_Irr!AA5=".",s_Irr!AY5="."),s_dir!D5*1000)))))))),".")</f>
        <v>.</v>
      </c>
      <c r="E5" s="76" t="str">
        <f>IFERROR(IF(AND(s_Irr!D5&lt;&gt;".",s_Irr!AB5&lt;&gt;".",s_Irr!AZ5&lt;&gt;"."),s_dir!E5/((1/1000)*(s_Irr!D5+s_Irr!AB5+s_Irr!AZ5)),IF(AND(s_Irr!D5&lt;&gt;".",s_Irr!AB5&lt;&gt;".",s_Irr!AZ5="."),s_dir!E5/((1/1000)*(s_Irr!D5+s_Irr!AB5)),IF(AND(s_Irr!D5&lt;&gt;".",s_Irr!AB5=".",s_Irr!AZ5&lt;&gt;"."),s_dir!E5/((1/1000)*(s_Irr!D5+s_Irr!AZ5)),IF(AND(s_Irr!D5=".",s_Irr!AB5&lt;&gt;".",s_Irr!AZ5&lt;&gt;"."),s_dir!E5/((1/1000)*(s_Irr!AB5+s_Irr!AZ5)),IF(AND(s_Irr!D5=".",s_Irr!AB5=".",s_Irr!AZ5&lt;&gt;"."),s_dir!E5/((1/1000)*(s_Irr!AZ5)),IF(AND(s_Irr!D5=".",s_Irr!AB5&lt;&gt;".",s_Irr!AZ5="."),s_dir!E5/((1/1000)*(s_Irr!AB5)),IF(AND(s_Irr!D5&lt;&gt;".",s_Irr!AB5=".",s_Irr!AZ5="."),s_dir!E5/((1/1000)*(s_Irr!D5)),IF(AND(s_Irr!D5=".",s_Irr!AB5=".",s_Irr!AZ5="."),s_dir!E5*1000)))))))),".")</f>
        <v>.</v>
      </c>
      <c r="F5" s="76" t="str">
        <f>IFERROR(IF(AND(s_Irr!E5&lt;&gt;".",s_Irr!AC5&lt;&gt;".",s_Irr!BA5&lt;&gt;"."),s_dir!F5/((1/1000)*(s_Irr!E5+s_Irr!AC5+s_Irr!BA5)),IF(AND(s_Irr!E5&lt;&gt;".",s_Irr!AC5&lt;&gt;".",s_Irr!BA5="."),s_dir!F5/((1/1000)*(s_Irr!E5+s_Irr!AC5)),IF(AND(s_Irr!E5&lt;&gt;".",s_Irr!AC5=".",s_Irr!BA5&lt;&gt;"."),s_dir!F5/((1/1000)*(s_Irr!E5+s_Irr!BA5)),IF(AND(s_Irr!E5=".",s_Irr!AC5&lt;&gt;".",s_Irr!BA5&lt;&gt;"."),s_dir!F5/((1/1000)*(s_Irr!AC5+s_Irr!BA5)),IF(AND(s_Irr!E5=".",s_Irr!AC5=".",s_Irr!BA5&lt;&gt;"."),s_dir!F5/((1/1000)*(s_Irr!BA5)),IF(AND(s_Irr!E5=".",s_Irr!AC5&lt;&gt;".",s_Irr!BA5="."),s_dir!F5/((1/1000)*(s_Irr!AC5)),IF(AND(s_Irr!E5&lt;&gt;".",s_Irr!AC5=".",s_Irr!BA5="."),s_dir!F5/((1/1000)*(s_Irr!E5)),IF(AND(s_Irr!E5=".",s_Irr!AC5=".",s_Irr!BA5="."),s_dir!F5*1000)))))))),".")</f>
        <v>.</v>
      </c>
      <c r="G5" s="76" t="str">
        <f>IFERROR(IF(AND(s_Irr!F5&lt;&gt;".",s_Irr!AD5&lt;&gt;".",s_Irr!BB5&lt;&gt;"."),s_dir!G5/((1/1000)*(s_Irr!F5+s_Irr!AD5+s_Irr!BB5)),IF(AND(s_Irr!F5&lt;&gt;".",s_Irr!AD5&lt;&gt;".",s_Irr!BB5="."),s_dir!G5/((1/1000)*(s_Irr!F5+s_Irr!AD5)),IF(AND(s_Irr!F5&lt;&gt;".",s_Irr!AD5=".",s_Irr!BB5&lt;&gt;"."),s_dir!G5/((1/1000)*(s_Irr!F5+s_Irr!BB5)),IF(AND(s_Irr!F5=".",s_Irr!AD5&lt;&gt;".",s_Irr!BB5&lt;&gt;"."),s_dir!G5/((1/1000)*(s_Irr!AD5+s_Irr!BB5)),IF(AND(s_Irr!F5=".",s_Irr!AD5=".",s_Irr!BB5&lt;&gt;"."),s_dir!G5/((1/1000)*(s_Irr!BB5)),IF(AND(s_Irr!F5=".",s_Irr!AD5&lt;&gt;".",s_Irr!BB5="."),s_dir!G5/((1/1000)*(s_Irr!AD5)),IF(AND(s_Irr!F5&lt;&gt;".",s_Irr!AD5=".",s_Irr!BB5="."),s_dir!G5/((1/1000)*(s_Irr!F5)),IF(AND(s_Irr!F5=".",s_Irr!AD5=".",s_Irr!BB5="."),s_dir!G5*1000)))))))),".")</f>
        <v>.</v>
      </c>
      <c r="H5" s="76" t="str">
        <f>IFERROR(IF(AND(s_Irr!G5&lt;&gt;".",s_Irr!AE5&lt;&gt;".",s_Irr!BC5&lt;&gt;"."),s_dir!H5/((1/1000)*(s_Irr!G5+s_Irr!AE5+s_Irr!BC5)),IF(AND(s_Irr!G5&lt;&gt;".",s_Irr!AE5&lt;&gt;".",s_Irr!BC5="."),s_dir!H5/((1/1000)*(s_Irr!G5+s_Irr!AE5)),IF(AND(s_Irr!G5&lt;&gt;".",s_Irr!AE5=".",s_Irr!BC5&lt;&gt;"."),s_dir!H5/((1/1000)*(s_Irr!G5+s_Irr!BC5)),IF(AND(s_Irr!G5=".",s_Irr!AE5&lt;&gt;".",s_Irr!BC5&lt;&gt;"."),s_dir!H5/((1/1000)*(s_Irr!AE5+s_Irr!BC5)),IF(AND(s_Irr!G5=".",s_Irr!AE5=".",s_Irr!BC5&lt;&gt;"."),s_dir!H5/((1/1000)*(s_Irr!BC5)),IF(AND(s_Irr!G5=".",s_Irr!AE5&lt;&gt;".",s_Irr!BC5="."),s_dir!H5/((1/1000)*(s_Irr!AE5)),IF(AND(s_Irr!G5&lt;&gt;".",s_Irr!AE5=".",s_Irr!BC5="."),s_dir!H5/((1/1000)*(s_Irr!G5)),IF(AND(s_Irr!G5=".",s_Irr!AE5=".",s_Irr!BC5="."),s_dir!H5*1000)))))))),".")</f>
        <v>.</v>
      </c>
      <c r="I5" s="76" t="str">
        <f>IFERROR(IF(AND(s_Irr!H5&lt;&gt;".",s_Irr!AF5&lt;&gt;".",s_Irr!BD5&lt;&gt;"."),s_dir!I5/((1/1000)*(s_Irr!H5+s_Irr!AF5+s_Irr!BD5)),IF(AND(s_Irr!H5&lt;&gt;".",s_Irr!AF5&lt;&gt;".",s_Irr!BD5="."),s_dir!I5/((1/1000)*(s_Irr!H5+s_Irr!AF5)),IF(AND(s_Irr!H5&lt;&gt;".",s_Irr!AF5=".",s_Irr!BD5&lt;&gt;"."),s_dir!I5/((1/1000)*(s_Irr!H5+s_Irr!BD5)),IF(AND(s_Irr!H5=".",s_Irr!AF5&lt;&gt;".",s_Irr!BD5&lt;&gt;"."),s_dir!I5/((1/1000)*(s_Irr!AF5+s_Irr!BD5)),IF(AND(s_Irr!H5=".",s_Irr!AF5=".",s_Irr!BD5&lt;&gt;"."),s_dir!I5/((1/1000)*(s_Irr!BD5)),IF(AND(s_Irr!H5=".",s_Irr!AF5&lt;&gt;".",s_Irr!BD5="."),s_dir!I5/((1/1000)*(s_Irr!AF5)),IF(AND(s_Irr!H5&lt;&gt;".",s_Irr!AF5=".",s_Irr!BD5="."),s_dir!I5/((1/1000)*(s_Irr!H5)),IF(AND(s_Irr!H5=".",s_Irr!AF5=".",s_Irr!BD5="."),s_dir!I5*1000)))))))),".")</f>
        <v>.</v>
      </c>
      <c r="J5" s="76" t="str">
        <f>IFERROR(IF(AND(s_Irr!I5&lt;&gt;".",s_Irr!AG5&lt;&gt;".",s_Irr!BE5&lt;&gt;"."),s_dir!J5/((1/1000)*(s_Irr!I5+s_Irr!AG5+s_Irr!BE5)),IF(AND(s_Irr!I5&lt;&gt;".",s_Irr!AG5&lt;&gt;".",s_Irr!BE5="."),s_dir!J5/((1/1000)*(s_Irr!I5+s_Irr!AG5)),IF(AND(s_Irr!I5&lt;&gt;".",s_Irr!AG5=".",s_Irr!BE5&lt;&gt;"."),s_dir!J5/((1/1000)*(s_Irr!I5+s_Irr!BE5)),IF(AND(s_Irr!I5=".",s_Irr!AG5&lt;&gt;".",s_Irr!BE5&lt;&gt;"."),s_dir!J5/((1/1000)*(s_Irr!AG5+s_Irr!BE5)),IF(AND(s_Irr!I5=".",s_Irr!AG5=".",s_Irr!BE5&lt;&gt;"."),s_dir!J5/((1/1000)*(s_Irr!BE5)),IF(AND(s_Irr!I5=".",s_Irr!AG5&lt;&gt;".",s_Irr!BE5="."),s_dir!J5/((1/1000)*(s_Irr!AG5)),IF(AND(s_Irr!I5&lt;&gt;".",s_Irr!AG5=".",s_Irr!BE5="."),s_dir!J5/((1/1000)*(s_Irr!I5)),IF(AND(s_Irr!I5=".",s_Irr!AG5=".",s_Irr!BE5="."),s_dir!J5*1000)))))))),".")</f>
        <v>.</v>
      </c>
      <c r="K5" s="76" t="str">
        <f>IFERROR(IF(AND(s_Irr!J5&lt;&gt;".",s_Irr!AH5&lt;&gt;".",s_Irr!BF5&lt;&gt;"."),s_dir!K5/((1/1000)*(s_Irr!J5+s_Irr!AH5+s_Irr!BF5)),IF(AND(s_Irr!J5&lt;&gt;".",s_Irr!AH5&lt;&gt;".",s_Irr!BF5="."),s_dir!K5/((1/1000)*(s_Irr!J5+s_Irr!AH5)),IF(AND(s_Irr!J5&lt;&gt;".",s_Irr!AH5=".",s_Irr!BF5&lt;&gt;"."),s_dir!K5/((1/1000)*(s_Irr!J5+s_Irr!BF5)),IF(AND(s_Irr!J5=".",s_Irr!AH5&lt;&gt;".",s_Irr!BF5&lt;&gt;"."),s_dir!K5/((1/1000)*(s_Irr!AH5+s_Irr!BF5)),IF(AND(s_Irr!J5=".",s_Irr!AH5=".",s_Irr!BF5&lt;&gt;"."),s_dir!K5/((1/1000)*(s_Irr!BF5)),IF(AND(s_Irr!J5=".",s_Irr!AH5&lt;&gt;".",s_Irr!BF5="."),s_dir!K5/((1/1000)*(s_Irr!AH5)),IF(AND(s_Irr!J5&lt;&gt;".",s_Irr!AH5=".",s_Irr!BF5="."),s_dir!K5/((1/1000)*(s_Irr!J5)),IF(AND(s_Irr!J5=".",s_Irr!AH5=".",s_Irr!BF5="."),s_dir!K5*1000)))))))),".")</f>
        <v>.</v>
      </c>
      <c r="L5" s="76" t="str">
        <f>IFERROR(IF(AND(s_Irr!K5&lt;&gt;".",s_Irr!AI5&lt;&gt;".",s_Irr!BG5&lt;&gt;"."),s_dir!L5/((1/1000)*(s_Irr!K5+s_Irr!AI5+s_Irr!BG5)),IF(AND(s_Irr!K5&lt;&gt;".",s_Irr!AI5&lt;&gt;".",s_Irr!BG5="."),s_dir!L5/((1/1000)*(s_Irr!K5+s_Irr!AI5)),IF(AND(s_Irr!K5&lt;&gt;".",s_Irr!AI5=".",s_Irr!BG5&lt;&gt;"."),s_dir!L5/((1/1000)*(s_Irr!K5+s_Irr!BG5)),IF(AND(s_Irr!K5=".",s_Irr!AI5&lt;&gt;".",s_Irr!BG5&lt;&gt;"."),s_dir!L5/((1/1000)*(s_Irr!AI5+s_Irr!BG5)),IF(AND(s_Irr!K5=".",s_Irr!AI5=".",s_Irr!BG5&lt;&gt;"."),s_dir!L5/((1/1000)*(s_Irr!BG5)),IF(AND(s_Irr!K5=".",s_Irr!AI5&lt;&gt;".",s_Irr!BG5="."),s_dir!L5/((1/1000)*(s_Irr!AI5)),IF(AND(s_Irr!K5&lt;&gt;".",s_Irr!AI5=".",s_Irr!BG5="."),s_dir!L5/((1/1000)*(s_Irr!K5)),IF(AND(s_Irr!K5=".",s_Irr!AI5=".",s_Irr!BG5="."),s_dir!L5*1000)))))))),".")</f>
        <v>.</v>
      </c>
      <c r="M5" s="76" t="str">
        <f>IFERROR(IF(AND(s_Irr!L5&lt;&gt;".",s_Irr!AJ5&lt;&gt;".",s_Irr!BH5&lt;&gt;"."),s_dir!M5/((1/1000)*(s_Irr!L5+s_Irr!AJ5+s_Irr!BH5)),IF(AND(s_Irr!L5&lt;&gt;".",s_Irr!AJ5&lt;&gt;".",s_Irr!BH5="."),s_dir!M5/((1/1000)*(s_Irr!L5+s_Irr!AJ5)),IF(AND(s_Irr!L5&lt;&gt;".",s_Irr!AJ5=".",s_Irr!BH5&lt;&gt;"."),s_dir!M5/((1/1000)*(s_Irr!L5+s_Irr!BH5)),IF(AND(s_Irr!L5=".",s_Irr!AJ5&lt;&gt;".",s_Irr!BH5&lt;&gt;"."),s_dir!M5/((1/1000)*(s_Irr!AJ5+s_Irr!BH5)),IF(AND(s_Irr!L5=".",s_Irr!AJ5=".",s_Irr!BH5&lt;&gt;"."),s_dir!M5/((1/1000)*(s_Irr!BH5)),IF(AND(s_Irr!L5=".",s_Irr!AJ5&lt;&gt;".",s_Irr!BH5="."),s_dir!M5/((1/1000)*(s_Irr!AJ5)),IF(AND(s_Irr!L5&lt;&gt;".",s_Irr!AJ5=".",s_Irr!BH5="."),s_dir!M5/((1/1000)*(s_Irr!L5)),IF(AND(s_Irr!L5=".",s_Irr!AJ5=".",s_Irr!BH5="."),s_dir!M5*1000)))))))),".")</f>
        <v>.</v>
      </c>
      <c r="N5" s="76" t="str">
        <f>IFERROR(IF(AND(s_Irr!M5&lt;&gt;".",s_Irr!AK5&lt;&gt;".",s_Irr!BI5&lt;&gt;"."),s_dir!N5/((1/1000)*(s_Irr!M5+s_Irr!AK5+s_Irr!BI5)),IF(AND(s_Irr!M5&lt;&gt;".",s_Irr!AK5&lt;&gt;".",s_Irr!BI5="."),s_dir!N5/((1/1000)*(s_Irr!M5+s_Irr!AK5)),IF(AND(s_Irr!M5&lt;&gt;".",s_Irr!AK5=".",s_Irr!BI5&lt;&gt;"."),s_dir!N5/((1/1000)*(s_Irr!M5+s_Irr!BI5)),IF(AND(s_Irr!M5=".",s_Irr!AK5&lt;&gt;".",s_Irr!BI5&lt;&gt;"."),s_dir!N5/((1/1000)*(s_Irr!AK5+s_Irr!BI5)),IF(AND(s_Irr!M5=".",s_Irr!AK5=".",s_Irr!BI5&lt;&gt;"."),s_dir!N5/((1/1000)*(s_Irr!BI5)),IF(AND(s_Irr!M5=".",s_Irr!AK5&lt;&gt;".",s_Irr!BI5="."),s_dir!N5/((1/1000)*(s_Irr!AK5)),IF(AND(s_Irr!M5&lt;&gt;".",s_Irr!AK5=".",s_Irr!BI5="."),s_dir!N5/((1/1000)*(s_Irr!M5)),IF(AND(s_Irr!M5=".",s_Irr!AK5=".",s_Irr!BI5="."),s_dir!N5*1000)))))))),".")</f>
        <v>.</v>
      </c>
      <c r="O5" s="76" t="str">
        <f>IFERROR(IF(AND(s_Irr!N5&lt;&gt;".",s_Irr!AL5&lt;&gt;".",s_Irr!BJ5&lt;&gt;"."),s_dir!O5/((1/1000)*(s_Irr!N5+s_Irr!AL5+s_Irr!BJ5)),IF(AND(s_Irr!N5&lt;&gt;".",s_Irr!AL5&lt;&gt;".",s_Irr!BJ5="."),s_dir!O5/((1/1000)*(s_Irr!N5+s_Irr!AL5)),IF(AND(s_Irr!N5&lt;&gt;".",s_Irr!AL5=".",s_Irr!BJ5&lt;&gt;"."),s_dir!O5/((1/1000)*(s_Irr!N5+s_Irr!BJ5)),IF(AND(s_Irr!N5=".",s_Irr!AL5&lt;&gt;".",s_Irr!BJ5&lt;&gt;"."),s_dir!O5/((1/1000)*(s_Irr!AL5+s_Irr!BJ5)),IF(AND(s_Irr!N5=".",s_Irr!AL5=".",s_Irr!BJ5&lt;&gt;"."),s_dir!O5/((1/1000)*(s_Irr!BJ5)),IF(AND(s_Irr!N5=".",s_Irr!AL5&lt;&gt;".",s_Irr!BJ5="."),s_dir!O5/((1/1000)*(s_Irr!AL5)),IF(AND(s_Irr!N5&lt;&gt;".",s_Irr!AL5=".",s_Irr!BJ5="."),s_dir!O5/((1/1000)*(s_Irr!N5)),IF(AND(s_Irr!N5=".",s_Irr!AL5=".",s_Irr!BJ5="."),s_dir!O5*1000)))))))),".")</f>
        <v>.</v>
      </c>
      <c r="P5" s="76" t="str">
        <f>IFERROR(IF(AND(s_Irr!O5&lt;&gt;".",s_Irr!AM5&lt;&gt;".",s_Irr!BK5&lt;&gt;"."),s_dir!P5/((1/1000)*(s_Irr!O5+s_Irr!AM5+s_Irr!BK5)),IF(AND(s_Irr!O5&lt;&gt;".",s_Irr!AM5&lt;&gt;".",s_Irr!BK5="."),s_dir!P5/((1/1000)*(s_Irr!O5+s_Irr!AM5)),IF(AND(s_Irr!O5&lt;&gt;".",s_Irr!AM5=".",s_Irr!BK5&lt;&gt;"."),s_dir!P5/((1/1000)*(s_Irr!O5+s_Irr!BK5)),IF(AND(s_Irr!O5=".",s_Irr!AM5&lt;&gt;".",s_Irr!BK5&lt;&gt;"."),s_dir!P5/((1/1000)*(s_Irr!AM5+s_Irr!BK5)),IF(AND(s_Irr!O5=".",s_Irr!AM5=".",s_Irr!BK5&lt;&gt;"."),s_dir!P5/((1/1000)*(s_Irr!BK5)),IF(AND(s_Irr!O5=".",s_Irr!AM5&lt;&gt;".",s_Irr!BK5="."),s_dir!P5/((1/1000)*(s_Irr!AM5)),IF(AND(s_Irr!O5&lt;&gt;".",s_Irr!AM5=".",s_Irr!BK5="."),s_dir!P5/((1/1000)*(s_Irr!O5)),IF(AND(s_Irr!O5=".",s_Irr!AM5=".",s_Irr!BK5="."),s_dir!P5*1000)))))))),".")</f>
        <v>.</v>
      </c>
      <c r="Q5" s="76" t="str">
        <f>IFERROR(IF(AND(s_Irr!P5&lt;&gt;".",s_Irr!AN5&lt;&gt;".",s_Irr!BL5&lt;&gt;"."),s_dir!Q5/((1/1000)*(s_Irr!P5+s_Irr!AN5+s_Irr!BL5)),IF(AND(s_Irr!P5&lt;&gt;".",s_Irr!AN5&lt;&gt;".",s_Irr!BL5="."),s_dir!Q5/((1/1000)*(s_Irr!P5+s_Irr!AN5)),IF(AND(s_Irr!P5&lt;&gt;".",s_Irr!AN5=".",s_Irr!BL5&lt;&gt;"."),s_dir!Q5/((1/1000)*(s_Irr!P5+s_Irr!BL5)),IF(AND(s_Irr!P5=".",s_Irr!AN5&lt;&gt;".",s_Irr!BL5&lt;&gt;"."),s_dir!Q5/((1/1000)*(s_Irr!AN5+s_Irr!BL5)),IF(AND(s_Irr!P5=".",s_Irr!AN5=".",s_Irr!BL5&lt;&gt;"."),s_dir!Q5/((1/1000)*(s_Irr!BL5)),IF(AND(s_Irr!P5=".",s_Irr!AN5&lt;&gt;".",s_Irr!BL5="."),s_dir!Q5/((1/1000)*(s_Irr!AN5)),IF(AND(s_Irr!P5&lt;&gt;".",s_Irr!AN5=".",s_Irr!BL5="."),s_dir!Q5/((1/1000)*(s_Irr!P5)),IF(AND(s_Irr!P5=".",s_Irr!AN5=".",s_Irr!BL5="."),s_dir!Q5*1000)))))))),".")</f>
        <v>.</v>
      </c>
      <c r="R5" s="76" t="str">
        <f>IFERROR(IF(AND(s_Irr!Q5&lt;&gt;".",s_Irr!AO5&lt;&gt;".",s_Irr!BM5&lt;&gt;"."),s_dir!R5/((1/1000)*(s_Irr!Q5+s_Irr!AO5+s_Irr!BM5)),IF(AND(s_Irr!Q5&lt;&gt;".",s_Irr!AO5&lt;&gt;".",s_Irr!BM5="."),s_dir!R5/((1/1000)*(s_Irr!Q5+s_Irr!AO5)),IF(AND(s_Irr!Q5&lt;&gt;".",s_Irr!AO5=".",s_Irr!BM5&lt;&gt;"."),s_dir!R5/((1/1000)*(s_Irr!Q5+s_Irr!BM5)),IF(AND(s_Irr!Q5=".",s_Irr!AO5&lt;&gt;".",s_Irr!BM5&lt;&gt;"."),s_dir!R5/((1/1000)*(s_Irr!AO5+s_Irr!BM5)),IF(AND(s_Irr!Q5=".",s_Irr!AO5=".",s_Irr!BM5&lt;&gt;"."),s_dir!R5/((1/1000)*(s_Irr!BM5)),IF(AND(s_Irr!Q5=".",s_Irr!AO5&lt;&gt;".",s_Irr!BM5="."),s_dir!R5/((1/1000)*(s_Irr!AO5)),IF(AND(s_Irr!Q5&lt;&gt;".",s_Irr!AO5=".",s_Irr!BM5="."),s_dir!R5/((1/1000)*(s_Irr!Q5)),IF(AND(s_Irr!Q5=".",s_Irr!AO5=".",s_Irr!BM5="."),s_dir!R5*1000)))))))),".")</f>
        <v>.</v>
      </c>
      <c r="S5" s="76" t="str">
        <f>IFERROR(IF(AND(s_Irr!R5&lt;&gt;".",s_Irr!AP5&lt;&gt;".",s_Irr!BN5&lt;&gt;"."),s_dir!S5/((1/1000)*(s_Irr!R5+s_Irr!AP5+s_Irr!BN5)),IF(AND(s_Irr!R5&lt;&gt;".",s_Irr!AP5&lt;&gt;".",s_Irr!BN5="."),s_dir!S5/((1/1000)*(s_Irr!R5+s_Irr!AP5)),IF(AND(s_Irr!R5&lt;&gt;".",s_Irr!AP5=".",s_Irr!BN5&lt;&gt;"."),s_dir!S5/((1/1000)*(s_Irr!R5+s_Irr!BN5)),IF(AND(s_Irr!R5=".",s_Irr!AP5&lt;&gt;".",s_Irr!BN5&lt;&gt;"."),s_dir!S5/((1/1000)*(s_Irr!AP5+s_Irr!BN5)),IF(AND(s_Irr!R5=".",s_Irr!AP5=".",s_Irr!BN5&lt;&gt;"."),s_dir!S5/((1/1000)*(s_Irr!BN5)),IF(AND(s_Irr!R5=".",s_Irr!AP5&lt;&gt;".",s_Irr!BN5="."),s_dir!S5/((1/1000)*(s_Irr!AP5)),IF(AND(s_Irr!R5&lt;&gt;".",s_Irr!AP5=".",s_Irr!BN5="."),s_dir!S5/((1/1000)*(s_Irr!R5)),IF(AND(s_Irr!R5=".",s_Irr!AP5=".",s_Irr!BN5="."),s_dir!S5*1000)))))))),".")</f>
        <v>.</v>
      </c>
      <c r="T5" s="76" t="str">
        <f>IFERROR(IF(AND(s_Irr!S5&lt;&gt;".",s_Irr!AQ5&lt;&gt;".",s_Irr!BO5&lt;&gt;"."),s_dir!T5/((1/1000)*(s_Irr!S5+s_Irr!AQ5+s_Irr!BO5)),IF(AND(s_Irr!S5&lt;&gt;".",s_Irr!AQ5&lt;&gt;".",s_Irr!BO5="."),s_dir!T5/((1/1000)*(s_Irr!S5+s_Irr!AQ5)),IF(AND(s_Irr!S5&lt;&gt;".",s_Irr!AQ5=".",s_Irr!BO5&lt;&gt;"."),s_dir!T5/((1/1000)*(s_Irr!S5+s_Irr!BO5)),IF(AND(s_Irr!S5=".",s_Irr!AQ5&lt;&gt;".",s_Irr!BO5&lt;&gt;"."),s_dir!T5/((1/1000)*(s_Irr!AQ5+s_Irr!BO5)),IF(AND(s_Irr!S5=".",s_Irr!AQ5=".",s_Irr!BO5&lt;&gt;"."),s_dir!T5/((1/1000)*(s_Irr!BO5)),IF(AND(s_Irr!S5=".",s_Irr!AQ5&lt;&gt;".",s_Irr!BO5="."),s_dir!T5/((1/1000)*(s_Irr!AQ5)),IF(AND(s_Irr!S5&lt;&gt;".",s_Irr!AQ5=".",s_Irr!BO5="."),s_dir!T5/((1/1000)*(s_Irr!S5)),IF(AND(s_Irr!S5=".",s_Irr!AQ5=".",s_Irr!BO5="."),s_dir!T5*1000)))))))),".")</f>
        <v>.</v>
      </c>
      <c r="U5" s="76" t="str">
        <f>IFERROR(IF(AND(s_Irr!T5&lt;&gt;".",s_Irr!AR5&lt;&gt;".",s_Irr!BP5&lt;&gt;"."),s_dir!U5/((1/1000)*(s_Irr!T5+s_Irr!AR5+s_Irr!BP5)),IF(AND(s_Irr!T5&lt;&gt;".",s_Irr!AR5&lt;&gt;".",s_Irr!BP5="."),s_dir!U5/((1/1000)*(s_Irr!T5+s_Irr!AR5)),IF(AND(s_Irr!T5&lt;&gt;".",s_Irr!AR5=".",s_Irr!BP5&lt;&gt;"."),s_dir!U5/((1/1000)*(s_Irr!T5+s_Irr!BP5)),IF(AND(s_Irr!T5=".",s_Irr!AR5&lt;&gt;".",s_Irr!BP5&lt;&gt;"."),s_dir!U5/((1/1000)*(s_Irr!AR5+s_Irr!BP5)),IF(AND(s_Irr!T5=".",s_Irr!AR5=".",s_Irr!BP5&lt;&gt;"."),s_dir!U5/((1/1000)*(s_Irr!BP5)),IF(AND(s_Irr!T5=".",s_Irr!AR5&lt;&gt;".",s_Irr!BP5="."),s_dir!U5/((1/1000)*(s_Irr!AR5)),IF(AND(s_Irr!T5&lt;&gt;".",s_Irr!AR5=".",s_Irr!BP5="."),s_dir!U5/((1/1000)*(s_Irr!T5)),IF(AND(s_Irr!T5=".",s_Irr!AR5=".",s_Irr!BP5="."),s_dir!U5*1000)))))))),".")</f>
        <v>.</v>
      </c>
      <c r="V5" s="76" t="str">
        <f>IFERROR(IF(AND(s_Irr!U5&lt;&gt;".",s_Irr!AS5&lt;&gt;".",s_Irr!BQ5&lt;&gt;"."),s_dir!V5/((1/1000)*(s_Irr!U5+s_Irr!AS5+s_Irr!BQ5)),IF(AND(s_Irr!U5&lt;&gt;".",s_Irr!AS5&lt;&gt;".",s_Irr!BQ5="."),s_dir!V5/((1/1000)*(s_Irr!U5+s_Irr!AS5)),IF(AND(s_Irr!U5&lt;&gt;".",s_Irr!AS5=".",s_Irr!BQ5&lt;&gt;"."),s_dir!V5/((1/1000)*(s_Irr!U5+s_Irr!BQ5)),IF(AND(s_Irr!U5=".",s_Irr!AS5&lt;&gt;".",s_Irr!BQ5&lt;&gt;"."),s_dir!V5/((1/1000)*(s_Irr!AS5+s_Irr!BQ5)),IF(AND(s_Irr!U5=".",s_Irr!AS5=".",s_Irr!BQ5&lt;&gt;"."),s_dir!V5/((1/1000)*(s_Irr!BQ5)),IF(AND(s_Irr!U5=".",s_Irr!AS5&lt;&gt;".",s_Irr!BQ5="."),s_dir!V5/((1/1000)*(s_Irr!AS5)),IF(AND(s_Irr!U5&lt;&gt;".",s_Irr!AS5=".",s_Irr!BQ5="."),s_dir!V5/((1/1000)*(s_Irr!U5)),IF(AND(s_Irr!U5=".",s_Irr!AS5=".",s_Irr!BQ5="."),s_dir!V5*1000)))))))),".")</f>
        <v>.</v>
      </c>
      <c r="W5" s="76" t="str">
        <f>IFERROR(IF(AND(s_Irr!V5&lt;&gt;".",s_Irr!AT5&lt;&gt;".",s_Irr!BR5&lt;&gt;"."),s_dir!W5/((1/1000)*(s_Irr!V5+s_Irr!AT5+s_Irr!BR5)),IF(AND(s_Irr!V5&lt;&gt;".",s_Irr!AT5&lt;&gt;".",s_Irr!BR5="."),s_dir!W5/((1/1000)*(s_Irr!V5+s_Irr!AT5)),IF(AND(s_Irr!V5&lt;&gt;".",s_Irr!AT5=".",s_Irr!BR5&lt;&gt;"."),s_dir!W5/((1/1000)*(s_Irr!V5+s_Irr!BR5)),IF(AND(s_Irr!V5=".",s_Irr!AT5&lt;&gt;".",s_Irr!BR5&lt;&gt;"."),s_dir!W5/((1/1000)*(s_Irr!AT5+s_Irr!BR5)),IF(AND(s_Irr!V5=".",s_Irr!AT5=".",s_Irr!BR5&lt;&gt;"."),s_dir!W5/((1/1000)*(s_Irr!BR5)),IF(AND(s_Irr!V5=".",s_Irr!AT5&lt;&gt;".",s_Irr!BR5="."),s_dir!W5/((1/1000)*(s_Irr!AT5)),IF(AND(s_Irr!V5&lt;&gt;".",s_Irr!AT5=".",s_Irr!BR5="."),s_dir!W5/((1/1000)*(s_Irr!V5)),IF(AND(s_Irr!V5=".",s_Irr!AT5=".",s_Irr!BR5="."),s_dir!W5*1000)))))))),".")</f>
        <v>.</v>
      </c>
      <c r="X5" s="76" t="str">
        <f>IFERROR(IF(AND(s_Irr!W5&lt;&gt;".",s_Irr!AU5&lt;&gt;".",s_Irr!BS5&lt;&gt;"."),s_dir!X5/((1/1000)*(s_Irr!W5+s_Irr!AU5+s_Irr!BS5)),IF(AND(s_Irr!W5&lt;&gt;".",s_Irr!AU5&lt;&gt;".",s_Irr!BS5="."),s_dir!X5/((1/1000)*(s_Irr!W5+s_Irr!AU5)),IF(AND(s_Irr!W5&lt;&gt;".",s_Irr!AU5=".",s_Irr!BS5&lt;&gt;"."),s_dir!X5/((1/1000)*(s_Irr!W5+s_Irr!BS5)),IF(AND(s_Irr!W5=".",s_Irr!AU5&lt;&gt;".",s_Irr!BS5&lt;&gt;"."),s_dir!X5/((1/1000)*(s_Irr!AU5+s_Irr!BS5)),IF(AND(s_Irr!W5=".",s_Irr!AU5=".",s_Irr!BS5&lt;&gt;"."),s_dir!X5/((1/1000)*(s_Irr!BS5)),IF(AND(s_Irr!W5=".",s_Irr!AU5&lt;&gt;".",s_Irr!BS5="."),s_dir!X5/((1/1000)*(s_Irr!AU5)),IF(AND(s_Irr!W5&lt;&gt;".",s_Irr!AU5=".",s_Irr!BS5="."),s_dir!X5/((1/1000)*(s_Irr!W5)),IF(AND(s_Irr!W5=".",s_Irr!AU5=".",s_Irr!BS5="."),s_dir!X5*1000)))))))),".")</f>
        <v>.</v>
      </c>
      <c r="Y5" s="76" t="str">
        <f>IFERROR(IF(AND(s_Irr!X5&lt;&gt;".",s_Irr!AV5&lt;&gt;".",s_Irr!BT5&lt;&gt;"."),s_dir!Y5/((1/1000)*(s_Irr!X5+s_Irr!AV5+s_Irr!BT5)),IF(AND(s_Irr!X5&lt;&gt;".",s_Irr!AV5&lt;&gt;".",s_Irr!BT5="."),s_dir!Y5/((1/1000)*(s_Irr!X5+s_Irr!AV5)),IF(AND(s_Irr!X5&lt;&gt;".",s_Irr!AV5=".",s_Irr!BT5&lt;&gt;"."),s_dir!Y5/((1/1000)*(s_Irr!X5+s_Irr!BT5)),IF(AND(s_Irr!X5=".",s_Irr!AV5&lt;&gt;".",s_Irr!BT5&lt;&gt;"."),s_dir!Y5/((1/1000)*(s_Irr!AV5+s_Irr!BT5)),IF(AND(s_Irr!X5=".",s_Irr!AV5=".",s_Irr!BT5&lt;&gt;"."),s_dir!Y5/((1/1000)*(s_Irr!BT5)),IF(AND(s_Irr!X5=".",s_Irr!AV5&lt;&gt;".",s_Irr!BT5="."),s_dir!Y5/((1/1000)*(s_Irr!AV5)),IF(AND(s_Irr!X5&lt;&gt;".",s_Irr!AV5=".",s_Irr!BT5="."),s_dir!Y5/((1/1000)*(s_Irr!X5)),IF(AND(s_Irr!X5=".",s_Irr!AV5=".",s_Irr!BT5="."),s_dir!Y5*1000)))))))),".")</f>
        <v>.</v>
      </c>
      <c r="Z5" s="76" t="str">
        <f>IFERROR(IF(AND(s_Irr!Y5&lt;&gt;".",s_Irr!AW5&lt;&gt;".",s_Irr!BU5&lt;&gt;"."),s_dir!Z5/((1/1000)*(s_Irr!Y5+s_Irr!AW5+s_Irr!BU5)),IF(AND(s_Irr!Y5&lt;&gt;".",s_Irr!AW5&lt;&gt;".",s_Irr!BU5="."),s_dir!Z5/((1/1000)*(s_Irr!Y5+s_Irr!AW5)),IF(AND(s_Irr!Y5&lt;&gt;".",s_Irr!AW5=".",s_Irr!BU5&lt;&gt;"."),s_dir!Z5/((1/1000)*(s_Irr!Y5+s_Irr!BU5)),IF(AND(s_Irr!Y5=".",s_Irr!AW5&lt;&gt;".",s_Irr!BU5&lt;&gt;"."),s_dir!Z5/((1/1000)*(s_Irr!AW5+s_Irr!BU5)),IF(AND(s_Irr!Y5=".",s_Irr!AW5=".",s_Irr!BU5&lt;&gt;"."),s_dir!Z5/((1/1000)*(s_Irr!BU5)),IF(AND(s_Irr!Y5=".",s_Irr!AW5&lt;&gt;".",s_Irr!BU5="."),s_dir!Z5/((1/1000)*(s_Irr!AW5)),IF(AND(s_Irr!Y5&lt;&gt;".",s_Irr!AW5=".",s_Irr!BU5="."),s_dir!Z5/((1/1000)*(s_Irr!Y5)),IF(AND(s_Irr!Y5=".",s_Irr!AW5=".",s_Irr!BU5="."),s_dir!Z5*1000)))))))),".")</f>
        <v>.</v>
      </c>
      <c r="AA5" s="76" t="str">
        <f>IFERROR(IF(AND(s_Irr!Z5&lt;&gt;".",s_Irr!AX5&lt;&gt;".",s_Irr!BV5&lt;&gt;"."),s_dir!AA5/((1/1000)*(s_Irr!Z5+s_Irr!AX5+s_Irr!BV5)),IF(AND(s_Irr!Z5&lt;&gt;".",s_Irr!AX5&lt;&gt;".",s_Irr!BV5="."),s_dir!AA5/((1/1000)*(s_Irr!Z5+s_Irr!AX5)),IF(AND(s_Irr!Z5&lt;&gt;".",s_Irr!AX5=".",s_Irr!BV5&lt;&gt;"."),s_dir!AA5/((1/1000)*(s_Irr!Z5+s_Irr!BV5)),IF(AND(s_Irr!Z5=".",s_Irr!AX5&lt;&gt;".",s_Irr!BV5&lt;&gt;"."),s_dir!AA5/((1/1000)*(s_Irr!AX5+s_Irr!BV5)),IF(AND(s_Irr!Z5=".",s_Irr!AX5=".",s_Irr!BV5&lt;&gt;"."),s_dir!AA5/((1/1000)*(s_Irr!BV5)),IF(AND(s_Irr!Z5=".",s_Irr!AX5&lt;&gt;".",s_Irr!BV5="."),s_dir!AA5/((1/1000)*(s_Irr!AX5)),IF(AND(s_Irr!Z5&lt;&gt;".",s_Irr!AX5=".",s_Irr!BV5="."),s_dir!AA5/((1/1000)*(s_Irr!Z5)),IF(AND(s_Irr!Z5=".",s_Irr!AX5=".",s_Irr!BV5="."),s_dir!AA5*1000)))))))),".")</f>
        <v>.</v>
      </c>
      <c r="AB5" s="93">
        <f t="shared" si="3"/>
        <v>2829.0324092930018</v>
      </c>
      <c r="AC5" s="93">
        <f>IFERROR(s_C*s_IFAP_res_adj*s_CF_apple*0.001*(s_Irr!C5+s_Irr!AA5+s_Irr!AY5),".")</f>
        <v>707.25810232325045</v>
      </c>
      <c r="AD5" s="93">
        <f>IFERROR(s_C*s_IFAS_res_adj*s_CF_asparagus*0.001*(s_Irr!D5+s_Irr!AB5+s_Irr!AZ5),".")</f>
        <v>707.25810232325045</v>
      </c>
      <c r="AE5" s="93">
        <f>IFERROR(s_C*s_IFBT_res_adj*s_CF_beet*0.001*(s_Irr!E5+s_Irr!AC5+s_Irr!BA5),".")</f>
        <v>707.25810232325045</v>
      </c>
      <c r="AF5" s="93">
        <f>IFERROR(s_C*s_IFBE_res_adj*s_CF_berries*0.001*(s_Irr!F5+s_Irr!AD5+s_Irr!BB5),".")</f>
        <v>707.25810232325045</v>
      </c>
      <c r="AG5" s="93">
        <f>IFERROR(s_C*s_IFBR_res_adj*s_CF_broccoli*0.001*(s_Irr!G5+s_Irr!AE5+s_Irr!BC5),".")</f>
        <v>707.25810232325045</v>
      </c>
      <c r="AH5" s="93">
        <f>IFERROR(s_C*s_IFCB_res_adj*s_CF_cabbage*0.001*(s_Irr!H5+s_Irr!AF5+s_Irr!BD5),".")</f>
        <v>707.25810232325045</v>
      </c>
      <c r="AI5" s="93">
        <f>IFERROR(s_C*s_IFCR_res_adj*s_CF_carrot*0.001*(s_Irr!I5+s_Irr!AG5+s_Irr!BE5),".")</f>
        <v>707.25810232325045</v>
      </c>
      <c r="AJ5" s="93">
        <f>IFERROR(s_C*s_IFCI_res_adj*s_CF_citrus*0.001*(s_Irr!J5+s_Irr!AH5+s_Irr!BF5),".")</f>
        <v>707.25810232325045</v>
      </c>
      <c r="AK5" s="93">
        <f>IFERROR(s_C*s_IFCO_res_adj*s_CF_corn*0.001*(s_Irr!K5+s_Irr!AI5+s_Irr!BG5),".")</f>
        <v>707.25810232325045</v>
      </c>
      <c r="AL5" s="93">
        <f>IFERROR(s_C*s_IFCU_res_adj*s_CF_cucumber*0.001*(s_Irr!L5+s_Irr!AJ5+s_Irr!BH5),".")</f>
        <v>707.25810232325045</v>
      </c>
      <c r="AM5" s="93">
        <f>IFERROR(s_C*s_IFLE_res_adj*s_CF_lettuce*0.001*(s_Irr!M5+s_Irr!AK5+s_Irr!BI5),".")</f>
        <v>707.25810232325045</v>
      </c>
      <c r="AN5" s="93">
        <f>IFERROR(s_C*s_IFLI_res_adj*s_CF_lima_bean*0.001*(s_Irr!N5+s_Irr!AL5+s_Irr!BJ5),".")</f>
        <v>707.25810232325045</v>
      </c>
      <c r="AO5" s="93">
        <f>IFERROR(s_C*s_IFOK_res_adj*s_CF_okra*0.001*(s_Irr!O5+s_Irr!AM5+s_Irr!BK5),".")</f>
        <v>707.25810232325045</v>
      </c>
      <c r="AP5" s="93">
        <f>IFERROR(s_C*s_IFON_res_adj*s_CF_onion*0.001*(s_Irr!P5+s_Irr!AN5+s_Irr!BL5),".")</f>
        <v>707.25810232325045</v>
      </c>
      <c r="AQ5" s="93">
        <f>IFERROR(s_C*s_IFPC_res_adj*s_CF_peach*0.001*(s_Irr!Q5+s_Irr!AO5+s_Irr!BM5),".")</f>
        <v>707.25810232325045</v>
      </c>
      <c r="AR5" s="93">
        <f>IFERROR(s_C*s_IFPR_res_adj*s_CF_pear*0.001*(s_Irr!R5+s_Irr!AP5+s_Irr!BN5),".")</f>
        <v>707.25810232325045</v>
      </c>
      <c r="AS5" s="93">
        <f>IFERROR(s_C*s_IFPE_res_adj*s_CF_peas*0.001*(s_Irr!S5+s_Irr!AQ5+s_Irr!BO5),".")</f>
        <v>707.25810232325045</v>
      </c>
      <c r="AT5" s="93">
        <f>IFERROR(s_C*s_IFPT_res_adj*s_CF_potato*0.001*(s_Irr!T5+s_Irr!AR5+s_Irr!BP5),".")</f>
        <v>707.25810232325045</v>
      </c>
      <c r="AU5" s="93">
        <f>IFERROR(s_C*s_IFPU_res_adj*s_CF_pumpkin*0.001*(s_Irr!U5+s_Irr!AS5+s_Irr!BQ5),".")</f>
        <v>707.25810232325045</v>
      </c>
      <c r="AV5" s="93">
        <f>IFERROR(s_C*s_IFSN_res_adj*s_CF_snap_bean*0.001*(s_Irr!V5+s_Irr!AT5+s_Irr!BR5),".")</f>
        <v>707.25810232325045</v>
      </c>
      <c r="AW5" s="93">
        <f>IFERROR(s_C*s_IFST_res_adj*s_CF_strawberry*0.001*(s_Irr!W5+s_Irr!AU5+s_Irr!BS5),".")</f>
        <v>707.25810232325045</v>
      </c>
      <c r="AX5" s="93">
        <f>IFERROR(s_C*s_IFTO_res_adj*s_CF_tomato*0.001*(s_Irr!X5+s_Irr!AV5+s_Irr!BT5),".")</f>
        <v>707.25810232325045</v>
      </c>
      <c r="AY5" s="93">
        <f>IFERROR(s_C*s_IFRI_res_adj*s_CF_rice*0.001*(s_Irr!Y5+s_Irr!AW5+s_Irr!BU5),".")</f>
        <v>707.25810232325045</v>
      </c>
      <c r="AZ5" s="93">
        <f>IFERROR(s_C*s_IFCG_res_adj*s_CF_cereal*0.001*(s_Irr!Z5+s_Irr!AX5+s_Irr!BV5),".")</f>
        <v>707.25810232325045</v>
      </c>
      <c r="BA5" s="76" t="str">
        <f t="shared" si="4"/>
        <v>.</v>
      </c>
      <c r="BB5" s="76" t="str">
        <f>IFERROR(IF(AND(s_Irr!C5&lt;&gt;".",s_Irr!AA5&lt;&gt;".",s_Irr!AY5&lt;&gt;"."),s_dir!AC5/((1/1000)*(s_Irr!C5+s_Irr!AA5+s_Irr!AY5)),IF(AND(s_Irr!C5&lt;&gt;".",s_Irr!AA5&lt;&gt;".",s_Irr!AY5="."),s_dir!AC5/((1/1000)*(s_Irr!C5+s_Irr!AA5)),IF(AND(s_Irr!C5&lt;&gt;".",s_Irr!AA5=".",s_Irr!AY5&lt;&gt;"."),s_dir!AC5/((1/1000)*(s_Irr!C5+s_Irr!AY5)),IF(AND(s_Irr!C5=".",s_Irr!AA5&lt;&gt;".",s_Irr!AY5&lt;&gt;"."),s_dir!AC5/((1/1000)*(s_Irr!AA5+s_Irr!AY5)),IF(AND(s_Irr!C5=".",s_Irr!AA5=".",s_Irr!AY5&lt;&gt;"."),s_dir!AC5/((1/1000)*(s_Irr!AY5)),IF(AND(s_Irr!C5=".",s_Irr!AA5&lt;&gt;".",s_Irr!AY5="."),s_dir!AC5/((1/1000)*(s_Irr!AA5)),IF(AND(s_Irr!C5&lt;&gt;".",s_Irr!AA5=".",s_Irr!AY5="."),s_dir!AC5/((1/1000)*(s_Irr!C5)),IF(AND(s_Irr!C5=".",s_Irr!AA5=".",s_Irr!AY5="."),s_dir!AC5*1000)))))))),".")</f>
        <v>.</v>
      </c>
      <c r="BC5" s="76" t="str">
        <f>IFERROR(IF(AND(s_Irr!D5&lt;&gt;".",s_Irr!AB5&lt;&gt;".",s_Irr!AZ5&lt;&gt;"."),s_dir!AD5/((1/1000)*(s_Irr!D5+s_Irr!AB5+s_Irr!AZ5)),IF(AND(s_Irr!D5&lt;&gt;".",s_Irr!AB5&lt;&gt;".",s_Irr!AZ5="."),s_dir!AD5/((1/1000)*(s_Irr!D5+s_Irr!AB5)),IF(AND(s_Irr!D5&lt;&gt;".",s_Irr!AB5=".",s_Irr!AZ5&lt;&gt;"."),s_dir!AD5/((1/1000)*(s_Irr!D5+s_Irr!AZ5)),IF(AND(s_Irr!D5=".",s_Irr!AB5&lt;&gt;".",s_Irr!AZ5&lt;&gt;"."),s_dir!AD5/((1/1000)*(s_Irr!AB5+s_Irr!AZ5)),IF(AND(s_Irr!D5=".",s_Irr!AB5=".",s_Irr!AZ5&lt;&gt;"."),s_dir!AD5/((1/1000)*(s_Irr!AZ5)),IF(AND(s_Irr!D5=".",s_Irr!AB5&lt;&gt;".",s_Irr!AZ5="."),s_dir!AD5/((1/1000)*(s_Irr!AB5)),IF(AND(s_Irr!D5&lt;&gt;".",s_Irr!AB5=".",s_Irr!AZ5="."),s_dir!AD5/((1/1000)*(s_Irr!D5)),IF(AND(s_Irr!D5=".",s_Irr!AB5=".",s_Irr!AZ5="."),s_dir!AD5*1000)))))))),".")</f>
        <v>.</v>
      </c>
      <c r="BD5" s="76" t="str">
        <f>IFERROR(IF(AND(s_Irr!E5&lt;&gt;".",s_Irr!AC5&lt;&gt;".",s_Irr!BA5&lt;&gt;"."),s_dir!AE5/((1/1000)*(s_Irr!E5+s_Irr!AC5+s_Irr!BA5)),IF(AND(s_Irr!E5&lt;&gt;".",s_Irr!AC5&lt;&gt;".",s_Irr!BA5="."),s_dir!AE5/((1/1000)*(s_Irr!E5+s_Irr!AC5)),IF(AND(s_Irr!E5&lt;&gt;".",s_Irr!AC5=".",s_Irr!BA5&lt;&gt;"."),s_dir!AE5/((1/1000)*(s_Irr!E5+s_Irr!BA5)),IF(AND(s_Irr!E5=".",s_Irr!AC5&lt;&gt;".",s_Irr!BA5&lt;&gt;"."),s_dir!AE5/((1/1000)*(s_Irr!AC5+s_Irr!BA5)),IF(AND(s_Irr!E5=".",s_Irr!AC5=".",s_Irr!BA5&lt;&gt;"."),s_dir!AE5/((1/1000)*(s_Irr!BA5)),IF(AND(s_Irr!E5=".",s_Irr!AC5&lt;&gt;".",s_Irr!BA5="."),s_dir!AE5/((1/1000)*(s_Irr!AC5)),IF(AND(s_Irr!E5&lt;&gt;".",s_Irr!AC5=".",s_Irr!BA5="."),s_dir!AE5/((1/1000)*(s_Irr!E5)),IF(AND(s_Irr!E5=".",s_Irr!AC5=".",s_Irr!BA5="."),s_dir!AE5*1000)))))))),".")</f>
        <v>.</v>
      </c>
      <c r="BE5" s="76" t="str">
        <f>IFERROR(IF(AND(s_Irr!F5&lt;&gt;".",s_Irr!AD5&lt;&gt;".",s_Irr!BB5&lt;&gt;"."),s_dir!AF5/((1/1000)*(s_Irr!F5+s_Irr!AD5+s_Irr!BB5)),IF(AND(s_Irr!F5&lt;&gt;".",s_Irr!AD5&lt;&gt;".",s_Irr!BB5="."),s_dir!AF5/((1/1000)*(s_Irr!F5+s_Irr!AD5)),IF(AND(s_Irr!F5&lt;&gt;".",s_Irr!AD5=".",s_Irr!BB5&lt;&gt;"."),s_dir!AF5/((1/1000)*(s_Irr!F5+s_Irr!BB5)),IF(AND(s_Irr!F5=".",s_Irr!AD5&lt;&gt;".",s_Irr!BB5&lt;&gt;"."),s_dir!AF5/((1/1000)*(s_Irr!AD5+s_Irr!BB5)),IF(AND(s_Irr!F5=".",s_Irr!AD5=".",s_Irr!BB5&lt;&gt;"."),s_dir!AF5/((1/1000)*(s_Irr!BB5)),IF(AND(s_Irr!F5=".",s_Irr!AD5&lt;&gt;".",s_Irr!BB5="."),s_dir!AF5/((1/1000)*(s_Irr!AD5)),IF(AND(s_Irr!F5&lt;&gt;".",s_Irr!AD5=".",s_Irr!BB5="."),s_dir!AF5/((1/1000)*(s_Irr!F5)),IF(AND(s_Irr!F5=".",s_Irr!AD5=".",s_Irr!BB5="."),s_dir!AF5*1000)))))))),".")</f>
        <v>.</v>
      </c>
      <c r="BF5" s="76" t="str">
        <f>IFERROR(IF(AND(s_Irr!G5&lt;&gt;".",s_Irr!AE5&lt;&gt;".",s_Irr!BC5&lt;&gt;"."),s_dir!AG5/((1/1000)*(s_Irr!G5+s_Irr!AE5+s_Irr!BC5)),IF(AND(s_Irr!G5&lt;&gt;".",s_Irr!AE5&lt;&gt;".",s_Irr!BC5="."),s_dir!AG5/((1/1000)*(s_Irr!G5+s_Irr!AE5)),IF(AND(s_Irr!G5&lt;&gt;".",s_Irr!AE5=".",s_Irr!BC5&lt;&gt;"."),s_dir!AG5/((1/1000)*(s_Irr!G5+s_Irr!BC5)),IF(AND(s_Irr!G5=".",s_Irr!AE5&lt;&gt;".",s_Irr!BC5&lt;&gt;"."),s_dir!AG5/((1/1000)*(s_Irr!AE5+s_Irr!BC5)),IF(AND(s_Irr!G5=".",s_Irr!AE5=".",s_Irr!BC5&lt;&gt;"."),s_dir!AG5/((1/1000)*(s_Irr!BC5)),IF(AND(s_Irr!G5=".",s_Irr!AE5&lt;&gt;".",s_Irr!BC5="."),s_dir!AG5/((1/1000)*(s_Irr!AE5)),IF(AND(s_Irr!G5&lt;&gt;".",s_Irr!AE5=".",s_Irr!BC5="."),s_dir!AG5/((1/1000)*(s_Irr!G5)),IF(AND(s_Irr!G5=".",s_Irr!AE5=".",s_Irr!BC5="."),s_dir!AG5*1000)))))))),".")</f>
        <v>.</v>
      </c>
      <c r="BG5" s="76" t="str">
        <f>IFERROR(IF(AND(s_Irr!H5&lt;&gt;".",s_Irr!AF5&lt;&gt;".",s_Irr!BD5&lt;&gt;"."),s_dir!AH5/((1/1000)*(s_Irr!H5+s_Irr!AF5+s_Irr!BD5)),IF(AND(s_Irr!H5&lt;&gt;".",s_Irr!AF5&lt;&gt;".",s_Irr!BD5="."),s_dir!AH5/((1/1000)*(s_Irr!H5+s_Irr!AF5)),IF(AND(s_Irr!H5&lt;&gt;".",s_Irr!AF5=".",s_Irr!BD5&lt;&gt;"."),s_dir!AH5/((1/1000)*(s_Irr!H5+s_Irr!BD5)),IF(AND(s_Irr!H5=".",s_Irr!AF5&lt;&gt;".",s_Irr!BD5&lt;&gt;"."),s_dir!AH5/((1/1000)*(s_Irr!AF5+s_Irr!BD5)),IF(AND(s_Irr!H5=".",s_Irr!AF5=".",s_Irr!BD5&lt;&gt;"."),s_dir!AH5/((1/1000)*(s_Irr!BD5)),IF(AND(s_Irr!H5=".",s_Irr!AF5&lt;&gt;".",s_Irr!BD5="."),s_dir!AH5/((1/1000)*(s_Irr!AF5)),IF(AND(s_Irr!H5&lt;&gt;".",s_Irr!AF5=".",s_Irr!BD5="."),s_dir!AH5/((1/1000)*(s_Irr!H5)),IF(AND(s_Irr!H5=".",s_Irr!AF5=".",s_Irr!BD5="."),s_dir!AH5*1000)))))))),".")</f>
        <v>.</v>
      </c>
      <c r="BH5" s="76" t="str">
        <f>IFERROR(IF(AND(s_Irr!I5&lt;&gt;".",s_Irr!AG5&lt;&gt;".",s_Irr!BE5&lt;&gt;"."),s_dir!AI5/((1/1000)*(s_Irr!I5+s_Irr!AG5+s_Irr!BE5)),IF(AND(s_Irr!I5&lt;&gt;".",s_Irr!AG5&lt;&gt;".",s_Irr!BE5="."),s_dir!AI5/((1/1000)*(s_Irr!I5+s_Irr!AG5)),IF(AND(s_Irr!I5&lt;&gt;".",s_Irr!AG5=".",s_Irr!BE5&lt;&gt;"."),s_dir!AI5/((1/1000)*(s_Irr!I5+s_Irr!BE5)),IF(AND(s_Irr!I5=".",s_Irr!AG5&lt;&gt;".",s_Irr!BE5&lt;&gt;"."),s_dir!AI5/((1/1000)*(s_Irr!AG5+s_Irr!BE5)),IF(AND(s_Irr!I5=".",s_Irr!AG5=".",s_Irr!BE5&lt;&gt;"."),s_dir!AI5/((1/1000)*(s_Irr!BE5)),IF(AND(s_Irr!I5=".",s_Irr!AG5&lt;&gt;".",s_Irr!BE5="."),s_dir!AI5/((1/1000)*(s_Irr!AG5)),IF(AND(s_Irr!I5&lt;&gt;".",s_Irr!AG5=".",s_Irr!BE5="."),s_dir!AI5/((1/1000)*(s_Irr!I5)),IF(AND(s_Irr!I5=".",s_Irr!AG5=".",s_Irr!BE5="."),s_dir!AI5*1000)))))))),".")</f>
        <v>.</v>
      </c>
      <c r="BI5" s="76" t="str">
        <f>IFERROR(IF(AND(s_Irr!J5&lt;&gt;".",s_Irr!AH5&lt;&gt;".",s_Irr!BF5&lt;&gt;"."),s_dir!AJ5/((1/1000)*(s_Irr!J5+s_Irr!AH5+s_Irr!BF5)),IF(AND(s_Irr!J5&lt;&gt;".",s_Irr!AH5&lt;&gt;".",s_Irr!BF5="."),s_dir!AJ5/((1/1000)*(s_Irr!J5+s_Irr!AH5)),IF(AND(s_Irr!J5&lt;&gt;".",s_Irr!AH5=".",s_Irr!BF5&lt;&gt;"."),s_dir!AJ5/((1/1000)*(s_Irr!J5+s_Irr!BF5)),IF(AND(s_Irr!J5=".",s_Irr!AH5&lt;&gt;".",s_Irr!BF5&lt;&gt;"."),s_dir!AJ5/((1/1000)*(s_Irr!AH5+s_Irr!BF5)),IF(AND(s_Irr!J5=".",s_Irr!AH5=".",s_Irr!BF5&lt;&gt;"."),s_dir!AJ5/((1/1000)*(s_Irr!BF5)),IF(AND(s_Irr!J5=".",s_Irr!AH5&lt;&gt;".",s_Irr!BF5="."),s_dir!AJ5/((1/1000)*(s_Irr!AH5)),IF(AND(s_Irr!J5&lt;&gt;".",s_Irr!AH5=".",s_Irr!BF5="."),s_dir!AJ5/((1/1000)*(s_Irr!J5)),IF(AND(s_Irr!J5=".",s_Irr!AH5=".",s_Irr!BF5="."),s_dir!AJ5*1000)))))))),".")</f>
        <v>.</v>
      </c>
      <c r="BJ5" s="76" t="str">
        <f>IFERROR(IF(AND(s_Irr!K5&lt;&gt;".",s_Irr!AI5&lt;&gt;".",s_Irr!BG5&lt;&gt;"."),s_dir!AK5/((1/1000)*(s_Irr!K5+s_Irr!AI5+s_Irr!BG5)),IF(AND(s_Irr!K5&lt;&gt;".",s_Irr!AI5&lt;&gt;".",s_Irr!BG5="."),s_dir!AK5/((1/1000)*(s_Irr!K5+s_Irr!AI5)),IF(AND(s_Irr!K5&lt;&gt;".",s_Irr!AI5=".",s_Irr!BG5&lt;&gt;"."),s_dir!AK5/((1/1000)*(s_Irr!K5+s_Irr!BG5)),IF(AND(s_Irr!K5=".",s_Irr!AI5&lt;&gt;".",s_Irr!BG5&lt;&gt;"."),s_dir!AK5/((1/1000)*(s_Irr!AI5+s_Irr!BG5)),IF(AND(s_Irr!K5=".",s_Irr!AI5=".",s_Irr!BG5&lt;&gt;"."),s_dir!AK5/((1/1000)*(s_Irr!BG5)),IF(AND(s_Irr!K5=".",s_Irr!AI5&lt;&gt;".",s_Irr!BG5="."),s_dir!AK5/((1/1000)*(s_Irr!AI5)),IF(AND(s_Irr!K5&lt;&gt;".",s_Irr!AI5=".",s_Irr!BG5="."),s_dir!AK5/((1/1000)*(s_Irr!K5)),IF(AND(s_Irr!K5=".",s_Irr!AI5=".",s_Irr!BG5="."),s_dir!AK5*1000)))))))),".")</f>
        <v>.</v>
      </c>
      <c r="BK5" s="76" t="str">
        <f>IFERROR(IF(AND(s_Irr!L5&lt;&gt;".",s_Irr!AJ5&lt;&gt;".",s_Irr!BH5&lt;&gt;"."),s_dir!AL5/((1/1000)*(s_Irr!L5+s_Irr!AJ5+s_Irr!BH5)),IF(AND(s_Irr!L5&lt;&gt;".",s_Irr!AJ5&lt;&gt;".",s_Irr!BH5="."),s_dir!AL5/((1/1000)*(s_Irr!L5+s_Irr!AJ5)),IF(AND(s_Irr!L5&lt;&gt;".",s_Irr!AJ5=".",s_Irr!BH5&lt;&gt;"."),s_dir!AL5/((1/1000)*(s_Irr!L5+s_Irr!BH5)),IF(AND(s_Irr!L5=".",s_Irr!AJ5&lt;&gt;".",s_Irr!BH5&lt;&gt;"."),s_dir!AL5/((1/1000)*(s_Irr!AJ5+s_Irr!BH5)),IF(AND(s_Irr!L5=".",s_Irr!AJ5=".",s_Irr!BH5&lt;&gt;"."),s_dir!AL5/((1/1000)*(s_Irr!BH5)),IF(AND(s_Irr!L5=".",s_Irr!AJ5&lt;&gt;".",s_Irr!BH5="."),s_dir!AL5/((1/1000)*(s_Irr!AJ5)),IF(AND(s_Irr!L5&lt;&gt;".",s_Irr!AJ5=".",s_Irr!BH5="."),s_dir!AL5/((1/1000)*(s_Irr!L5)),IF(AND(s_Irr!L5=".",s_Irr!AJ5=".",s_Irr!BH5="."),s_dir!AL5*1000)))))))),".")</f>
        <v>.</v>
      </c>
      <c r="BL5" s="76" t="str">
        <f>IFERROR(IF(AND(s_Irr!M5&lt;&gt;".",s_Irr!AK5&lt;&gt;".",s_Irr!BI5&lt;&gt;"."),s_dir!AM5/((1/1000)*(s_Irr!M5+s_Irr!AK5+s_Irr!BI5)),IF(AND(s_Irr!M5&lt;&gt;".",s_Irr!AK5&lt;&gt;".",s_Irr!BI5="."),s_dir!AM5/((1/1000)*(s_Irr!M5+s_Irr!AK5)),IF(AND(s_Irr!M5&lt;&gt;".",s_Irr!AK5=".",s_Irr!BI5&lt;&gt;"."),s_dir!AM5/((1/1000)*(s_Irr!M5+s_Irr!BI5)),IF(AND(s_Irr!M5=".",s_Irr!AK5&lt;&gt;".",s_Irr!BI5&lt;&gt;"."),s_dir!AM5/((1/1000)*(s_Irr!AK5+s_Irr!BI5)),IF(AND(s_Irr!M5=".",s_Irr!AK5=".",s_Irr!BI5&lt;&gt;"."),s_dir!AM5/((1/1000)*(s_Irr!BI5)),IF(AND(s_Irr!M5=".",s_Irr!AK5&lt;&gt;".",s_Irr!BI5="."),s_dir!AM5/((1/1000)*(s_Irr!AK5)),IF(AND(s_Irr!M5&lt;&gt;".",s_Irr!AK5=".",s_Irr!BI5="."),s_dir!AM5/((1/1000)*(s_Irr!M5)),IF(AND(s_Irr!M5=".",s_Irr!AK5=".",s_Irr!BI5="."),s_dir!AM5*1000)))))))),".")</f>
        <v>.</v>
      </c>
      <c r="BM5" s="76" t="str">
        <f>IFERROR(IF(AND(s_Irr!N5&lt;&gt;".",s_Irr!AL5&lt;&gt;".",s_Irr!BJ5&lt;&gt;"."),s_dir!AN5/((1/1000)*(s_Irr!N5+s_Irr!AL5+s_Irr!BJ5)),IF(AND(s_Irr!N5&lt;&gt;".",s_Irr!AL5&lt;&gt;".",s_Irr!BJ5="."),s_dir!AN5/((1/1000)*(s_Irr!N5+s_Irr!AL5)),IF(AND(s_Irr!N5&lt;&gt;".",s_Irr!AL5=".",s_Irr!BJ5&lt;&gt;"."),s_dir!AN5/((1/1000)*(s_Irr!N5+s_Irr!BJ5)),IF(AND(s_Irr!N5=".",s_Irr!AL5&lt;&gt;".",s_Irr!BJ5&lt;&gt;"."),s_dir!AN5/((1/1000)*(s_Irr!AL5+s_Irr!BJ5)),IF(AND(s_Irr!N5=".",s_Irr!AL5=".",s_Irr!BJ5&lt;&gt;"."),s_dir!AN5/((1/1000)*(s_Irr!BJ5)),IF(AND(s_Irr!N5=".",s_Irr!AL5&lt;&gt;".",s_Irr!BJ5="."),s_dir!AN5/((1/1000)*(s_Irr!AL5)),IF(AND(s_Irr!N5&lt;&gt;".",s_Irr!AL5=".",s_Irr!BJ5="."),s_dir!AN5/((1/1000)*(s_Irr!N5)),IF(AND(s_Irr!N5=".",s_Irr!AL5=".",s_Irr!BJ5="."),s_dir!AN5*1000)))))))),".")</f>
        <v>.</v>
      </c>
      <c r="BN5" s="76" t="str">
        <f>IFERROR(IF(AND(s_Irr!O5&lt;&gt;".",s_Irr!AM5&lt;&gt;".",s_Irr!BK5&lt;&gt;"."),s_dir!AO5/((1/1000)*(s_Irr!O5+s_Irr!AM5+s_Irr!BK5)),IF(AND(s_Irr!O5&lt;&gt;".",s_Irr!AM5&lt;&gt;".",s_Irr!BK5="."),s_dir!AO5/((1/1000)*(s_Irr!O5+s_Irr!AM5)),IF(AND(s_Irr!O5&lt;&gt;".",s_Irr!AM5=".",s_Irr!BK5&lt;&gt;"."),s_dir!AO5/((1/1000)*(s_Irr!O5+s_Irr!BK5)),IF(AND(s_Irr!O5=".",s_Irr!AM5&lt;&gt;".",s_Irr!BK5&lt;&gt;"."),s_dir!AO5/((1/1000)*(s_Irr!AM5+s_Irr!BK5)),IF(AND(s_Irr!O5=".",s_Irr!AM5=".",s_Irr!BK5&lt;&gt;"."),s_dir!AO5/((1/1000)*(s_Irr!BK5)),IF(AND(s_Irr!O5=".",s_Irr!AM5&lt;&gt;".",s_Irr!BK5="."),s_dir!AO5/((1/1000)*(s_Irr!AM5)),IF(AND(s_Irr!O5&lt;&gt;".",s_Irr!AM5=".",s_Irr!BK5="."),s_dir!AO5/((1/1000)*(s_Irr!O5)),IF(AND(s_Irr!O5=".",s_Irr!AM5=".",s_Irr!BK5="."),s_dir!AO5*1000)))))))),".")</f>
        <v>.</v>
      </c>
      <c r="BO5" s="76" t="str">
        <f>IFERROR(IF(AND(s_Irr!P5&lt;&gt;".",s_Irr!AN5&lt;&gt;".",s_Irr!BL5&lt;&gt;"."),s_dir!AP5/((1/1000)*(s_Irr!P5+s_Irr!AN5+s_Irr!BL5)),IF(AND(s_Irr!P5&lt;&gt;".",s_Irr!AN5&lt;&gt;".",s_Irr!BL5="."),s_dir!AP5/((1/1000)*(s_Irr!P5+s_Irr!AN5)),IF(AND(s_Irr!P5&lt;&gt;".",s_Irr!AN5=".",s_Irr!BL5&lt;&gt;"."),s_dir!AP5/((1/1000)*(s_Irr!P5+s_Irr!BL5)),IF(AND(s_Irr!P5=".",s_Irr!AN5&lt;&gt;".",s_Irr!BL5&lt;&gt;"."),s_dir!AP5/((1/1000)*(s_Irr!AN5+s_Irr!BL5)),IF(AND(s_Irr!P5=".",s_Irr!AN5=".",s_Irr!BL5&lt;&gt;"."),s_dir!AP5/((1/1000)*(s_Irr!BL5)),IF(AND(s_Irr!P5=".",s_Irr!AN5&lt;&gt;".",s_Irr!BL5="."),s_dir!AP5/((1/1000)*(s_Irr!AN5)),IF(AND(s_Irr!P5&lt;&gt;".",s_Irr!AN5=".",s_Irr!BL5="."),s_dir!AP5/((1/1000)*(s_Irr!P5)),IF(AND(s_Irr!P5=".",s_Irr!AN5=".",s_Irr!BL5="."),s_dir!AP5*1000)))))))),".")</f>
        <v>.</v>
      </c>
      <c r="BP5" s="76" t="str">
        <f>IFERROR(IF(AND(s_Irr!Q5&lt;&gt;".",s_Irr!AO5&lt;&gt;".",s_Irr!BM5&lt;&gt;"."),s_dir!AQ5/((1/1000)*(s_Irr!Q5+s_Irr!AO5+s_Irr!BM5)),IF(AND(s_Irr!Q5&lt;&gt;".",s_Irr!AO5&lt;&gt;".",s_Irr!BM5="."),s_dir!AQ5/((1/1000)*(s_Irr!Q5+s_Irr!AO5)),IF(AND(s_Irr!Q5&lt;&gt;".",s_Irr!AO5=".",s_Irr!BM5&lt;&gt;"."),s_dir!AQ5/((1/1000)*(s_Irr!Q5+s_Irr!BM5)),IF(AND(s_Irr!Q5=".",s_Irr!AO5&lt;&gt;".",s_Irr!BM5&lt;&gt;"."),s_dir!AQ5/((1/1000)*(s_Irr!AO5+s_Irr!BM5)),IF(AND(s_Irr!Q5=".",s_Irr!AO5=".",s_Irr!BM5&lt;&gt;"."),s_dir!AQ5/((1/1000)*(s_Irr!BM5)),IF(AND(s_Irr!Q5=".",s_Irr!AO5&lt;&gt;".",s_Irr!BM5="."),s_dir!AQ5/((1/1000)*(s_Irr!AO5)),IF(AND(s_Irr!Q5&lt;&gt;".",s_Irr!AO5=".",s_Irr!BM5="."),s_dir!AQ5/((1/1000)*(s_Irr!Q5)),IF(AND(s_Irr!Q5=".",s_Irr!AO5=".",s_Irr!BM5="."),s_dir!AQ5*1000)))))))),".")</f>
        <v>.</v>
      </c>
      <c r="BQ5" s="76" t="str">
        <f>IFERROR(IF(AND(s_Irr!R5&lt;&gt;".",s_Irr!AP5&lt;&gt;".",s_Irr!BN5&lt;&gt;"."),s_dir!AR5/((1/1000)*(s_Irr!R5+s_Irr!AP5+s_Irr!BN5)),IF(AND(s_Irr!R5&lt;&gt;".",s_Irr!AP5&lt;&gt;".",s_Irr!BN5="."),s_dir!AR5/((1/1000)*(s_Irr!R5+s_Irr!AP5)),IF(AND(s_Irr!R5&lt;&gt;".",s_Irr!AP5=".",s_Irr!BN5&lt;&gt;"."),s_dir!AR5/((1/1000)*(s_Irr!R5+s_Irr!BN5)),IF(AND(s_Irr!R5=".",s_Irr!AP5&lt;&gt;".",s_Irr!BN5&lt;&gt;"."),s_dir!AR5/((1/1000)*(s_Irr!AP5+s_Irr!BN5)),IF(AND(s_Irr!R5=".",s_Irr!AP5=".",s_Irr!BN5&lt;&gt;"."),s_dir!AR5/((1/1000)*(s_Irr!BN5)),IF(AND(s_Irr!R5=".",s_Irr!AP5&lt;&gt;".",s_Irr!BN5="."),s_dir!AR5/((1/1000)*(s_Irr!AP5)),IF(AND(s_Irr!R5&lt;&gt;".",s_Irr!AP5=".",s_Irr!BN5="."),s_dir!AR5/((1/1000)*(s_Irr!R5)),IF(AND(s_Irr!R5=".",s_Irr!AP5=".",s_Irr!BN5="."),s_dir!AR5*1000)))))))),".")</f>
        <v>.</v>
      </c>
      <c r="BR5" s="76" t="str">
        <f>IFERROR(IF(AND(s_Irr!S5&lt;&gt;".",s_Irr!AQ5&lt;&gt;".",s_Irr!BO5&lt;&gt;"."),s_dir!AS5/((1/1000)*(s_Irr!S5+s_Irr!AQ5+s_Irr!BO5)),IF(AND(s_Irr!S5&lt;&gt;".",s_Irr!AQ5&lt;&gt;".",s_Irr!BO5="."),s_dir!AS5/((1/1000)*(s_Irr!S5+s_Irr!AQ5)),IF(AND(s_Irr!S5&lt;&gt;".",s_Irr!AQ5=".",s_Irr!BO5&lt;&gt;"."),s_dir!AS5/((1/1000)*(s_Irr!S5+s_Irr!BO5)),IF(AND(s_Irr!S5=".",s_Irr!AQ5&lt;&gt;".",s_Irr!BO5&lt;&gt;"."),s_dir!AS5/((1/1000)*(s_Irr!AQ5+s_Irr!BO5)),IF(AND(s_Irr!S5=".",s_Irr!AQ5=".",s_Irr!BO5&lt;&gt;"."),s_dir!AS5/((1/1000)*(s_Irr!BO5)),IF(AND(s_Irr!S5=".",s_Irr!AQ5&lt;&gt;".",s_Irr!BO5="."),s_dir!AS5/((1/1000)*(s_Irr!AQ5)),IF(AND(s_Irr!S5&lt;&gt;".",s_Irr!AQ5=".",s_Irr!BO5="."),s_dir!AS5/((1/1000)*(s_Irr!S5)),IF(AND(s_Irr!S5=".",s_Irr!AQ5=".",s_Irr!BO5="."),s_dir!AS5*1000)))))))),".")</f>
        <v>.</v>
      </c>
      <c r="BS5" s="76" t="str">
        <f>IFERROR(IF(AND(s_Irr!T5&lt;&gt;".",s_Irr!AR5&lt;&gt;".",s_Irr!BP5&lt;&gt;"."),s_dir!AT5/((1/1000)*(s_Irr!T5+s_Irr!AR5+s_Irr!BP5)),IF(AND(s_Irr!T5&lt;&gt;".",s_Irr!AR5&lt;&gt;".",s_Irr!BP5="."),s_dir!AT5/((1/1000)*(s_Irr!T5+s_Irr!AR5)),IF(AND(s_Irr!T5&lt;&gt;".",s_Irr!AR5=".",s_Irr!BP5&lt;&gt;"."),s_dir!AT5/((1/1000)*(s_Irr!T5+s_Irr!BP5)),IF(AND(s_Irr!T5=".",s_Irr!AR5&lt;&gt;".",s_Irr!BP5&lt;&gt;"."),s_dir!AT5/((1/1000)*(s_Irr!AR5+s_Irr!BP5)),IF(AND(s_Irr!T5=".",s_Irr!AR5=".",s_Irr!BP5&lt;&gt;"."),s_dir!AT5/((1/1000)*(s_Irr!BP5)),IF(AND(s_Irr!T5=".",s_Irr!AR5&lt;&gt;".",s_Irr!BP5="."),s_dir!AT5/((1/1000)*(s_Irr!AR5)),IF(AND(s_Irr!T5&lt;&gt;".",s_Irr!AR5=".",s_Irr!BP5="."),s_dir!AT5/((1/1000)*(s_Irr!T5)),IF(AND(s_Irr!T5=".",s_Irr!AR5=".",s_Irr!BP5="."),s_dir!AT5*1000)))))))),".")</f>
        <v>.</v>
      </c>
      <c r="BT5" s="76" t="str">
        <f>IFERROR(IF(AND(s_Irr!U5&lt;&gt;".",s_Irr!AS5&lt;&gt;".",s_Irr!BQ5&lt;&gt;"."),s_dir!AU5/((1/1000)*(s_Irr!U5+s_Irr!AS5+s_Irr!BQ5)),IF(AND(s_Irr!U5&lt;&gt;".",s_Irr!AS5&lt;&gt;".",s_Irr!BQ5="."),s_dir!AU5/((1/1000)*(s_Irr!U5+s_Irr!AS5)),IF(AND(s_Irr!U5&lt;&gt;".",s_Irr!AS5=".",s_Irr!BQ5&lt;&gt;"."),s_dir!AU5/((1/1000)*(s_Irr!U5+s_Irr!BQ5)),IF(AND(s_Irr!U5=".",s_Irr!AS5&lt;&gt;".",s_Irr!BQ5&lt;&gt;"."),s_dir!AU5/((1/1000)*(s_Irr!AS5+s_Irr!BQ5)),IF(AND(s_Irr!U5=".",s_Irr!AS5=".",s_Irr!BQ5&lt;&gt;"."),s_dir!AU5/((1/1000)*(s_Irr!BQ5)),IF(AND(s_Irr!U5=".",s_Irr!AS5&lt;&gt;".",s_Irr!BQ5="."),s_dir!AU5/((1/1000)*(s_Irr!AS5)),IF(AND(s_Irr!U5&lt;&gt;".",s_Irr!AS5=".",s_Irr!BQ5="."),s_dir!AU5/((1/1000)*(s_Irr!U5)),IF(AND(s_Irr!U5=".",s_Irr!AS5=".",s_Irr!BQ5="."),s_dir!AU5*1000)))))))),".")</f>
        <v>.</v>
      </c>
      <c r="BU5" s="76" t="str">
        <f>IFERROR(IF(AND(s_Irr!V5&lt;&gt;".",s_Irr!AT5&lt;&gt;".",s_Irr!BR5&lt;&gt;"."),s_dir!AV5/((1/1000)*(s_Irr!V5+s_Irr!AT5+s_Irr!BR5)),IF(AND(s_Irr!V5&lt;&gt;".",s_Irr!AT5&lt;&gt;".",s_Irr!BR5="."),s_dir!AV5/((1/1000)*(s_Irr!V5+s_Irr!AT5)),IF(AND(s_Irr!V5&lt;&gt;".",s_Irr!AT5=".",s_Irr!BR5&lt;&gt;"."),s_dir!AV5/((1/1000)*(s_Irr!V5+s_Irr!BR5)),IF(AND(s_Irr!V5=".",s_Irr!AT5&lt;&gt;".",s_Irr!BR5&lt;&gt;"."),s_dir!AV5/((1/1000)*(s_Irr!AT5+s_Irr!BR5)),IF(AND(s_Irr!V5=".",s_Irr!AT5=".",s_Irr!BR5&lt;&gt;"."),s_dir!AV5/((1/1000)*(s_Irr!BR5)),IF(AND(s_Irr!V5=".",s_Irr!AT5&lt;&gt;".",s_Irr!BR5="."),s_dir!AV5/((1/1000)*(s_Irr!AT5)),IF(AND(s_Irr!V5&lt;&gt;".",s_Irr!AT5=".",s_Irr!BR5="."),s_dir!AV5/((1/1000)*(s_Irr!V5)),IF(AND(s_Irr!V5=".",s_Irr!AT5=".",s_Irr!BR5="."),s_dir!AV5*1000)))))))),".")</f>
        <v>.</v>
      </c>
      <c r="BV5" s="76" t="str">
        <f>IFERROR(IF(AND(s_Irr!W5&lt;&gt;".",s_Irr!AU5&lt;&gt;".",s_Irr!BS5&lt;&gt;"."),s_dir!AW5/((1/1000)*(s_Irr!W5+s_Irr!AU5+s_Irr!BS5)),IF(AND(s_Irr!W5&lt;&gt;".",s_Irr!AU5&lt;&gt;".",s_Irr!BS5="."),s_dir!AW5/((1/1000)*(s_Irr!W5+s_Irr!AU5)),IF(AND(s_Irr!W5&lt;&gt;".",s_Irr!AU5=".",s_Irr!BS5&lt;&gt;"."),s_dir!AW5/((1/1000)*(s_Irr!W5+s_Irr!BS5)),IF(AND(s_Irr!W5=".",s_Irr!AU5&lt;&gt;".",s_Irr!BS5&lt;&gt;"."),s_dir!AW5/((1/1000)*(s_Irr!AU5+s_Irr!BS5)),IF(AND(s_Irr!W5=".",s_Irr!AU5=".",s_Irr!BS5&lt;&gt;"."),s_dir!AW5/((1/1000)*(s_Irr!BS5)),IF(AND(s_Irr!W5=".",s_Irr!AU5&lt;&gt;".",s_Irr!BS5="."),s_dir!AW5/((1/1000)*(s_Irr!AU5)),IF(AND(s_Irr!W5&lt;&gt;".",s_Irr!AU5=".",s_Irr!BS5="."),s_dir!AW5/((1/1000)*(s_Irr!W5)),IF(AND(s_Irr!W5=".",s_Irr!AU5=".",s_Irr!BS5="."),s_dir!AW5*1000)))))))),".")</f>
        <v>.</v>
      </c>
      <c r="BW5" s="76" t="str">
        <f>IFERROR(IF(AND(s_Irr!X5&lt;&gt;".",s_Irr!AV5&lt;&gt;".",s_Irr!BT5&lt;&gt;"."),s_dir!AX5/((1/1000)*(s_Irr!X5+s_Irr!AV5+s_Irr!BT5)),IF(AND(s_Irr!X5&lt;&gt;".",s_Irr!AV5&lt;&gt;".",s_Irr!BT5="."),s_dir!AX5/((1/1000)*(s_Irr!X5+s_Irr!AV5)),IF(AND(s_Irr!X5&lt;&gt;".",s_Irr!AV5=".",s_Irr!BT5&lt;&gt;"."),s_dir!AX5/((1/1000)*(s_Irr!X5+s_Irr!BT5)),IF(AND(s_Irr!X5=".",s_Irr!AV5&lt;&gt;".",s_Irr!BT5&lt;&gt;"."),s_dir!AX5/((1/1000)*(s_Irr!AV5+s_Irr!BT5)),IF(AND(s_Irr!X5=".",s_Irr!AV5=".",s_Irr!BT5&lt;&gt;"."),s_dir!AX5/((1/1000)*(s_Irr!BT5)),IF(AND(s_Irr!X5=".",s_Irr!AV5&lt;&gt;".",s_Irr!BT5="."),s_dir!AX5/((1/1000)*(s_Irr!AV5)),IF(AND(s_Irr!X5&lt;&gt;".",s_Irr!AV5=".",s_Irr!BT5="."),s_dir!AX5/((1/1000)*(s_Irr!X5)),IF(AND(s_Irr!X5=".",s_Irr!AV5=".",s_Irr!BT5="."),s_dir!AX5*1000)))))))),".")</f>
        <v>.</v>
      </c>
      <c r="BX5" s="76" t="str">
        <f>IFERROR(IF(AND(s_Irr!Y5&lt;&gt;".",s_Irr!AW5&lt;&gt;".",s_Irr!BU5&lt;&gt;"."),s_dir!AY5/((1/1000)*(s_Irr!Y5+s_Irr!AW5+s_Irr!BU5)),IF(AND(s_Irr!Y5&lt;&gt;".",s_Irr!AW5&lt;&gt;".",s_Irr!BU5="."),s_dir!AY5/((1/1000)*(s_Irr!Y5+s_Irr!AW5)),IF(AND(s_Irr!Y5&lt;&gt;".",s_Irr!AW5=".",s_Irr!BU5&lt;&gt;"."),s_dir!AY5/((1/1000)*(s_Irr!Y5+s_Irr!BU5)),IF(AND(s_Irr!Y5=".",s_Irr!AW5&lt;&gt;".",s_Irr!BU5&lt;&gt;"."),s_dir!AY5/((1/1000)*(s_Irr!AW5+s_Irr!BU5)),IF(AND(s_Irr!Y5=".",s_Irr!AW5=".",s_Irr!BU5&lt;&gt;"."),s_dir!AY5/((1/1000)*(s_Irr!BU5)),IF(AND(s_Irr!Y5=".",s_Irr!AW5&lt;&gt;".",s_Irr!BU5="."),s_dir!AY5/((1/1000)*(s_Irr!AW5)),IF(AND(s_Irr!Y5&lt;&gt;".",s_Irr!AW5=".",s_Irr!BU5="."),s_dir!AY5/((1/1000)*(s_Irr!Y5)),IF(AND(s_Irr!Y5=".",s_Irr!AW5=".",s_Irr!BU5="."),s_dir!AY5*1000)))))))),".")</f>
        <v>.</v>
      </c>
      <c r="BY5" s="76" t="str">
        <f>IFERROR(IF(AND(s_Irr!Z5&lt;&gt;".",s_Irr!AX5&lt;&gt;".",s_Irr!BV5&lt;&gt;"."),s_dir!AZ5/((1/1000)*(s_Irr!Z5+s_Irr!AX5+s_Irr!BV5)),IF(AND(s_Irr!Z5&lt;&gt;".",s_Irr!AX5&lt;&gt;".",s_Irr!BV5="."),s_dir!AZ5/((1/1000)*(s_Irr!Z5+s_Irr!AX5)),IF(AND(s_Irr!Z5&lt;&gt;".",s_Irr!AX5=".",s_Irr!BV5&lt;&gt;"."),s_dir!AZ5/((1/1000)*(s_Irr!Z5+s_Irr!BV5)),IF(AND(s_Irr!Z5=".",s_Irr!AX5&lt;&gt;".",s_Irr!BV5&lt;&gt;"."),s_dir!AZ5/((1/1000)*(s_Irr!AX5+s_Irr!BV5)),IF(AND(s_Irr!Z5=".",s_Irr!AX5=".",s_Irr!BV5&lt;&gt;"."),s_dir!AZ5/((1/1000)*(s_Irr!BV5)),IF(AND(s_Irr!Z5=".",s_Irr!AX5&lt;&gt;".",s_Irr!BV5="."),s_dir!AZ5/((1/1000)*(s_Irr!AX5)),IF(AND(s_Irr!Z5&lt;&gt;".",s_Irr!AX5=".",s_Irr!BV5="."),s_dir!AZ5/((1/1000)*(s_Irr!Z5)),IF(AND(s_Irr!Z5=".",s_Irr!AX5=".",s_Irr!BV5="."),s_dir!AZ5*1000)))))))),".")</f>
        <v>.</v>
      </c>
      <c r="BZ5" s="93">
        <f t="shared" si="5"/>
        <v>2829.0324092930018</v>
      </c>
      <c r="CA5" s="93">
        <f>IFERROR(s_C*s_IFAP_far_adj*s_CF_apple*(1/1000)*(s_Irr!C5+s_Irr!AA5+s_Irr!AY5),".")</f>
        <v>707.25810232325045</v>
      </c>
      <c r="CB5" s="93">
        <f>IFERROR(s_C*s_IFAS_far_adj*s_CF_asparagus*(1/1000)*(s_Irr!D5+s_Irr!AB5+s_Irr!AZ5),".")</f>
        <v>707.25810232325045</v>
      </c>
      <c r="CC5" s="93">
        <f>IFERROR(s_C*s_IFBT_far_adj*s_CF_beet*(1/1000)*(s_Irr!E5+s_Irr!AC5+s_Irr!BA5),".")</f>
        <v>707.25810232325045</v>
      </c>
      <c r="CD5" s="93">
        <f>IFERROR(s_C*s_IFBE_far_adj*s_CF_berries*(1/1000)*(s_Irr!F5+s_Irr!AD5+s_Irr!BB5),".")</f>
        <v>707.25810232325045</v>
      </c>
      <c r="CE5" s="93">
        <f>IFERROR(s_C*s_IFBR_far_adj*s_CF_broccoli*(1/1000)*(s_Irr!G5+s_Irr!AE5+s_Irr!BC5),".")</f>
        <v>707.25810232325045</v>
      </c>
      <c r="CF5" s="93">
        <f>IFERROR(s_C*s_IFCB_far_adj*s_CF_cabbage*(1/1000)*(s_Irr!H5+s_Irr!AF5+s_Irr!BD5),".")</f>
        <v>707.25810232325045</v>
      </c>
      <c r="CG5" s="93">
        <f>IFERROR(s_C*s_IFCR_far_adj*s_CF_carrot*(1/1000)*(s_Irr!I5+s_Irr!AG5+s_Irr!BE5),".")</f>
        <v>707.25810232325045</v>
      </c>
      <c r="CH5" s="93">
        <f>IFERROR(s_C*s_IFCI_far_adj*s_CF_citrus*(1/1000)*(s_Irr!J5+s_Irr!AH5+s_Irr!BF5),".")</f>
        <v>707.25810232325045</v>
      </c>
      <c r="CI5" s="93">
        <f>IFERROR(s_C*s_IFCO_far_adj*s_CF_corn*(1/1000)*(s_Irr!K5+s_Irr!AI5+s_Irr!BG5),".")</f>
        <v>707.25810232325045</v>
      </c>
      <c r="CJ5" s="93">
        <f>IFERROR(s_C*s_IFCU_far_adj*s_CF_cucumber*(1/1000)*(s_Irr!L5+s_Irr!AJ5+s_Irr!BH5),".")</f>
        <v>707.25810232325045</v>
      </c>
      <c r="CK5" s="93">
        <f>IFERROR(s_C*s_IFLE_far_adj*s_CF_lettuce*(1/1000)*(s_Irr!M5+s_Irr!AK5+s_Irr!BI5),".")</f>
        <v>707.25810232325045</v>
      </c>
      <c r="CL5" s="93">
        <f>IFERROR(s_C*s_IFLI_far_adj*s_CF_lima_bean*(1/1000)*(s_Irr!N5+s_Irr!AL5+s_Irr!BJ5),".")</f>
        <v>707.25810232325045</v>
      </c>
      <c r="CM5" s="93">
        <f>IFERROR(s_C*s_IFOK_far_adj*s_CF_okra*(1/1000)*(s_Irr!O5+s_Irr!AM5+s_Irr!BK5),".")</f>
        <v>707.25810232325045</v>
      </c>
      <c r="CN5" s="93">
        <f>IFERROR(s_C*s_IFON_far_adj*s_CF_onion*(1/1000)*(s_Irr!P5+s_Irr!AN5+s_Irr!BL5),".")</f>
        <v>707.25810232325045</v>
      </c>
      <c r="CO5" s="93">
        <f>IFERROR(s_C*s_IFPC_far_adj*s_CF_peach*(1/1000)*(s_Irr!Q5+s_Irr!AO5+s_Irr!BM5),".")</f>
        <v>707.25810232325045</v>
      </c>
      <c r="CP5" s="93">
        <f>IFERROR(s_C*s_IFPR_far_adj*s_CF_pear*(1/1000)*(s_Irr!R5+s_Irr!AP5+s_Irr!BN5),".")</f>
        <v>707.25810232325045</v>
      </c>
      <c r="CQ5" s="93">
        <f>IFERROR(s_C*s_IFPE_far_adj*s_CF_peas*(1/1000)*(s_Irr!S5+s_Irr!AQ5+s_Irr!BO5),".")</f>
        <v>707.25810232325045</v>
      </c>
      <c r="CR5" s="93">
        <f>IFERROR(s_C*s_IFPT_far_adj*s_CF_potato*(1/1000)*(s_Irr!T5+s_Irr!AR5+s_Irr!BP5),".")</f>
        <v>707.25810232325045</v>
      </c>
      <c r="CS5" s="93">
        <f>IFERROR(s_C*s_IFPU_far_adj*s_CF_pumpkin*(1/1000)*(s_Irr!U5+s_Irr!AS5+s_Irr!BQ5),".")</f>
        <v>707.25810232325045</v>
      </c>
      <c r="CT5" s="93">
        <f>IFERROR(s_C*s_IFSN_far_adj*s_CF_snap_bean*(1/1000)*(s_Irr!V5+s_Irr!AT5+s_Irr!BR5),".")</f>
        <v>707.25810232325045</v>
      </c>
      <c r="CU5" s="93">
        <f>IFERROR(s_C*s_IFST_far_adj*s_CF_strawberry*(1/1000)*(s_Irr!W5+s_Irr!AU5+s_Irr!BS5),".")</f>
        <v>707.25810232325045</v>
      </c>
      <c r="CV5" s="93">
        <f>IFERROR(s_C*s_IFTO_far_adj*s_CF_tomato*(1/1000)*(s_Irr!X5+s_Irr!AV5+s_Irr!BT5),".")</f>
        <v>707.25810232325045</v>
      </c>
      <c r="CW5" s="93">
        <f>IFERROR(s_C*s_IFRI_far_adj*s_CF_rice*(1/1000)*(s_Irr!Y5+s_Irr!AW5+s_Irr!BU5),".")</f>
        <v>707.25810232325045</v>
      </c>
      <c r="CX5" s="93">
        <f>IFERROR(s_C*s_IFCG_far_adj*s_CF_cereal*(1/1000)*(s_Irr!Z5+s_Irr!AX5+s_Irr!BV5),".")</f>
        <v>707.25810232325045</v>
      </c>
    </row>
    <row r="6" spans="1:102" ht="15" customHeight="1" x14ac:dyDescent="0.25">
      <c r="A6" s="92" t="s">
        <v>16</v>
      </c>
      <c r="B6" s="90" t="s">
        <v>1074</v>
      </c>
      <c r="C6" s="76" t="str">
        <f t="shared" si="2"/>
        <v>.</v>
      </c>
      <c r="D6" s="76" t="str">
        <f>IFERROR(IF(AND(s_Irr!C6&lt;&gt;".",s_Irr!AA6&lt;&gt;".",s_Irr!AY6&lt;&gt;"."),s_dir!D6/((1/1000)*(s_Irr!C6+s_Irr!AA6+s_Irr!AY6)),IF(AND(s_Irr!C6&lt;&gt;".",s_Irr!AA6&lt;&gt;".",s_Irr!AY6="."),s_dir!D6/((1/1000)*(s_Irr!C6+s_Irr!AA6)),IF(AND(s_Irr!C6&lt;&gt;".",s_Irr!AA6=".",s_Irr!AY6&lt;&gt;"."),s_dir!D6/((1/1000)*(s_Irr!C6+s_Irr!AY6)),IF(AND(s_Irr!C6=".",s_Irr!AA6&lt;&gt;".",s_Irr!AY6&lt;&gt;"."),s_dir!D6/((1/1000)*(s_Irr!AA6+s_Irr!AY6)),IF(AND(s_Irr!C6=".",s_Irr!AA6=".",s_Irr!AY6&lt;&gt;"."),s_dir!D6/((1/1000)*(s_Irr!AY6)),IF(AND(s_Irr!C6=".",s_Irr!AA6&lt;&gt;".",s_Irr!AY6="."),s_dir!D6/((1/1000)*(s_Irr!AA6)),IF(AND(s_Irr!C6&lt;&gt;".",s_Irr!AA6=".",s_Irr!AY6="."),s_dir!D6/((1/1000)*(s_Irr!C6)),IF(AND(s_Irr!C6=".",s_Irr!AA6=".",s_Irr!AY6="."),s_dir!D6*1000)))))))),".")</f>
        <v>.</v>
      </c>
      <c r="E6" s="76" t="str">
        <f>IFERROR(IF(AND(s_Irr!D6&lt;&gt;".",s_Irr!AB6&lt;&gt;".",s_Irr!AZ6&lt;&gt;"."),s_dir!E6/((1/1000)*(s_Irr!D6+s_Irr!AB6+s_Irr!AZ6)),IF(AND(s_Irr!D6&lt;&gt;".",s_Irr!AB6&lt;&gt;".",s_Irr!AZ6="."),s_dir!E6/((1/1000)*(s_Irr!D6+s_Irr!AB6)),IF(AND(s_Irr!D6&lt;&gt;".",s_Irr!AB6=".",s_Irr!AZ6&lt;&gt;"."),s_dir!E6/((1/1000)*(s_Irr!D6+s_Irr!AZ6)),IF(AND(s_Irr!D6=".",s_Irr!AB6&lt;&gt;".",s_Irr!AZ6&lt;&gt;"."),s_dir!E6/((1/1000)*(s_Irr!AB6+s_Irr!AZ6)),IF(AND(s_Irr!D6=".",s_Irr!AB6=".",s_Irr!AZ6&lt;&gt;"."),s_dir!E6/((1/1000)*(s_Irr!AZ6)),IF(AND(s_Irr!D6=".",s_Irr!AB6&lt;&gt;".",s_Irr!AZ6="."),s_dir!E6/((1/1000)*(s_Irr!AB6)),IF(AND(s_Irr!D6&lt;&gt;".",s_Irr!AB6=".",s_Irr!AZ6="."),s_dir!E6/((1/1000)*(s_Irr!D6)),IF(AND(s_Irr!D6=".",s_Irr!AB6=".",s_Irr!AZ6="."),s_dir!E6*1000)))))))),".")</f>
        <v>.</v>
      </c>
      <c r="F6" s="76" t="str">
        <f>IFERROR(IF(AND(s_Irr!E6&lt;&gt;".",s_Irr!AC6&lt;&gt;".",s_Irr!BA6&lt;&gt;"."),s_dir!F6/((1/1000)*(s_Irr!E6+s_Irr!AC6+s_Irr!BA6)),IF(AND(s_Irr!E6&lt;&gt;".",s_Irr!AC6&lt;&gt;".",s_Irr!BA6="."),s_dir!F6/((1/1000)*(s_Irr!E6+s_Irr!AC6)),IF(AND(s_Irr!E6&lt;&gt;".",s_Irr!AC6=".",s_Irr!BA6&lt;&gt;"."),s_dir!F6/((1/1000)*(s_Irr!E6+s_Irr!BA6)),IF(AND(s_Irr!E6=".",s_Irr!AC6&lt;&gt;".",s_Irr!BA6&lt;&gt;"."),s_dir!F6/((1/1000)*(s_Irr!AC6+s_Irr!BA6)),IF(AND(s_Irr!E6=".",s_Irr!AC6=".",s_Irr!BA6&lt;&gt;"."),s_dir!F6/((1/1000)*(s_Irr!BA6)),IF(AND(s_Irr!E6=".",s_Irr!AC6&lt;&gt;".",s_Irr!BA6="."),s_dir!F6/((1/1000)*(s_Irr!AC6)),IF(AND(s_Irr!E6&lt;&gt;".",s_Irr!AC6=".",s_Irr!BA6="."),s_dir!F6/((1/1000)*(s_Irr!E6)),IF(AND(s_Irr!E6=".",s_Irr!AC6=".",s_Irr!BA6="."),s_dir!F6*1000)))))))),".")</f>
        <v>.</v>
      </c>
      <c r="G6" s="76" t="str">
        <f>IFERROR(IF(AND(s_Irr!F6&lt;&gt;".",s_Irr!AD6&lt;&gt;".",s_Irr!BB6&lt;&gt;"."),s_dir!G6/((1/1000)*(s_Irr!F6+s_Irr!AD6+s_Irr!BB6)),IF(AND(s_Irr!F6&lt;&gt;".",s_Irr!AD6&lt;&gt;".",s_Irr!BB6="."),s_dir!G6/((1/1000)*(s_Irr!F6+s_Irr!AD6)),IF(AND(s_Irr!F6&lt;&gt;".",s_Irr!AD6=".",s_Irr!BB6&lt;&gt;"."),s_dir!G6/((1/1000)*(s_Irr!F6+s_Irr!BB6)),IF(AND(s_Irr!F6=".",s_Irr!AD6&lt;&gt;".",s_Irr!BB6&lt;&gt;"."),s_dir!G6/((1/1000)*(s_Irr!AD6+s_Irr!BB6)),IF(AND(s_Irr!F6=".",s_Irr!AD6=".",s_Irr!BB6&lt;&gt;"."),s_dir!G6/((1/1000)*(s_Irr!BB6)),IF(AND(s_Irr!F6=".",s_Irr!AD6&lt;&gt;".",s_Irr!BB6="."),s_dir!G6/((1/1000)*(s_Irr!AD6)),IF(AND(s_Irr!F6&lt;&gt;".",s_Irr!AD6=".",s_Irr!BB6="."),s_dir!G6/((1/1000)*(s_Irr!F6)),IF(AND(s_Irr!F6=".",s_Irr!AD6=".",s_Irr!BB6="."),s_dir!G6*1000)))))))),".")</f>
        <v>.</v>
      </c>
      <c r="H6" s="76" t="str">
        <f>IFERROR(IF(AND(s_Irr!G6&lt;&gt;".",s_Irr!AE6&lt;&gt;".",s_Irr!BC6&lt;&gt;"."),s_dir!H6/((1/1000)*(s_Irr!G6+s_Irr!AE6+s_Irr!BC6)),IF(AND(s_Irr!G6&lt;&gt;".",s_Irr!AE6&lt;&gt;".",s_Irr!BC6="."),s_dir!H6/((1/1000)*(s_Irr!G6+s_Irr!AE6)),IF(AND(s_Irr!G6&lt;&gt;".",s_Irr!AE6=".",s_Irr!BC6&lt;&gt;"."),s_dir!H6/((1/1000)*(s_Irr!G6+s_Irr!BC6)),IF(AND(s_Irr!G6=".",s_Irr!AE6&lt;&gt;".",s_Irr!BC6&lt;&gt;"."),s_dir!H6/((1/1000)*(s_Irr!AE6+s_Irr!BC6)),IF(AND(s_Irr!G6=".",s_Irr!AE6=".",s_Irr!BC6&lt;&gt;"."),s_dir!H6/((1/1000)*(s_Irr!BC6)),IF(AND(s_Irr!G6=".",s_Irr!AE6&lt;&gt;".",s_Irr!BC6="."),s_dir!H6/((1/1000)*(s_Irr!AE6)),IF(AND(s_Irr!G6&lt;&gt;".",s_Irr!AE6=".",s_Irr!BC6="."),s_dir!H6/((1/1000)*(s_Irr!G6)),IF(AND(s_Irr!G6=".",s_Irr!AE6=".",s_Irr!BC6="."),s_dir!H6*1000)))))))),".")</f>
        <v>.</v>
      </c>
      <c r="I6" s="76" t="str">
        <f>IFERROR(IF(AND(s_Irr!H6&lt;&gt;".",s_Irr!AF6&lt;&gt;".",s_Irr!BD6&lt;&gt;"."),s_dir!I6/((1/1000)*(s_Irr!H6+s_Irr!AF6+s_Irr!BD6)),IF(AND(s_Irr!H6&lt;&gt;".",s_Irr!AF6&lt;&gt;".",s_Irr!BD6="."),s_dir!I6/((1/1000)*(s_Irr!H6+s_Irr!AF6)),IF(AND(s_Irr!H6&lt;&gt;".",s_Irr!AF6=".",s_Irr!BD6&lt;&gt;"."),s_dir!I6/((1/1000)*(s_Irr!H6+s_Irr!BD6)),IF(AND(s_Irr!H6=".",s_Irr!AF6&lt;&gt;".",s_Irr!BD6&lt;&gt;"."),s_dir!I6/((1/1000)*(s_Irr!AF6+s_Irr!BD6)),IF(AND(s_Irr!H6=".",s_Irr!AF6=".",s_Irr!BD6&lt;&gt;"."),s_dir!I6/((1/1000)*(s_Irr!BD6)),IF(AND(s_Irr!H6=".",s_Irr!AF6&lt;&gt;".",s_Irr!BD6="."),s_dir!I6/((1/1000)*(s_Irr!AF6)),IF(AND(s_Irr!H6&lt;&gt;".",s_Irr!AF6=".",s_Irr!BD6="."),s_dir!I6/((1/1000)*(s_Irr!H6)),IF(AND(s_Irr!H6=".",s_Irr!AF6=".",s_Irr!BD6="."),s_dir!I6*1000)))))))),".")</f>
        <v>.</v>
      </c>
      <c r="J6" s="76" t="str">
        <f>IFERROR(IF(AND(s_Irr!I6&lt;&gt;".",s_Irr!AG6&lt;&gt;".",s_Irr!BE6&lt;&gt;"."),s_dir!J6/((1/1000)*(s_Irr!I6+s_Irr!AG6+s_Irr!BE6)),IF(AND(s_Irr!I6&lt;&gt;".",s_Irr!AG6&lt;&gt;".",s_Irr!BE6="."),s_dir!J6/((1/1000)*(s_Irr!I6+s_Irr!AG6)),IF(AND(s_Irr!I6&lt;&gt;".",s_Irr!AG6=".",s_Irr!BE6&lt;&gt;"."),s_dir!J6/((1/1000)*(s_Irr!I6+s_Irr!BE6)),IF(AND(s_Irr!I6=".",s_Irr!AG6&lt;&gt;".",s_Irr!BE6&lt;&gt;"."),s_dir!J6/((1/1000)*(s_Irr!AG6+s_Irr!BE6)),IF(AND(s_Irr!I6=".",s_Irr!AG6=".",s_Irr!BE6&lt;&gt;"."),s_dir!J6/((1/1000)*(s_Irr!BE6)),IF(AND(s_Irr!I6=".",s_Irr!AG6&lt;&gt;".",s_Irr!BE6="."),s_dir!J6/((1/1000)*(s_Irr!AG6)),IF(AND(s_Irr!I6&lt;&gt;".",s_Irr!AG6=".",s_Irr!BE6="."),s_dir!J6/((1/1000)*(s_Irr!I6)),IF(AND(s_Irr!I6=".",s_Irr!AG6=".",s_Irr!BE6="."),s_dir!J6*1000)))))))),".")</f>
        <v>.</v>
      </c>
      <c r="K6" s="76" t="str">
        <f>IFERROR(IF(AND(s_Irr!J6&lt;&gt;".",s_Irr!AH6&lt;&gt;".",s_Irr!BF6&lt;&gt;"."),s_dir!K6/((1/1000)*(s_Irr!J6+s_Irr!AH6+s_Irr!BF6)),IF(AND(s_Irr!J6&lt;&gt;".",s_Irr!AH6&lt;&gt;".",s_Irr!BF6="."),s_dir!K6/((1/1000)*(s_Irr!J6+s_Irr!AH6)),IF(AND(s_Irr!J6&lt;&gt;".",s_Irr!AH6=".",s_Irr!BF6&lt;&gt;"."),s_dir!K6/((1/1000)*(s_Irr!J6+s_Irr!BF6)),IF(AND(s_Irr!J6=".",s_Irr!AH6&lt;&gt;".",s_Irr!BF6&lt;&gt;"."),s_dir!K6/((1/1000)*(s_Irr!AH6+s_Irr!BF6)),IF(AND(s_Irr!J6=".",s_Irr!AH6=".",s_Irr!BF6&lt;&gt;"."),s_dir!K6/((1/1000)*(s_Irr!BF6)),IF(AND(s_Irr!J6=".",s_Irr!AH6&lt;&gt;".",s_Irr!BF6="."),s_dir!K6/((1/1000)*(s_Irr!AH6)),IF(AND(s_Irr!J6&lt;&gt;".",s_Irr!AH6=".",s_Irr!BF6="."),s_dir!K6/((1/1000)*(s_Irr!J6)),IF(AND(s_Irr!J6=".",s_Irr!AH6=".",s_Irr!BF6="."),s_dir!K6*1000)))))))),".")</f>
        <v>.</v>
      </c>
      <c r="L6" s="76" t="str">
        <f>IFERROR(IF(AND(s_Irr!K6&lt;&gt;".",s_Irr!AI6&lt;&gt;".",s_Irr!BG6&lt;&gt;"."),s_dir!L6/((1/1000)*(s_Irr!K6+s_Irr!AI6+s_Irr!BG6)),IF(AND(s_Irr!K6&lt;&gt;".",s_Irr!AI6&lt;&gt;".",s_Irr!BG6="."),s_dir!L6/((1/1000)*(s_Irr!K6+s_Irr!AI6)),IF(AND(s_Irr!K6&lt;&gt;".",s_Irr!AI6=".",s_Irr!BG6&lt;&gt;"."),s_dir!L6/((1/1000)*(s_Irr!K6+s_Irr!BG6)),IF(AND(s_Irr!K6=".",s_Irr!AI6&lt;&gt;".",s_Irr!BG6&lt;&gt;"."),s_dir!L6/((1/1000)*(s_Irr!AI6+s_Irr!BG6)),IF(AND(s_Irr!K6=".",s_Irr!AI6=".",s_Irr!BG6&lt;&gt;"."),s_dir!L6/((1/1000)*(s_Irr!BG6)),IF(AND(s_Irr!K6=".",s_Irr!AI6&lt;&gt;".",s_Irr!BG6="."),s_dir!L6/((1/1000)*(s_Irr!AI6)),IF(AND(s_Irr!K6&lt;&gt;".",s_Irr!AI6=".",s_Irr!BG6="."),s_dir!L6/((1/1000)*(s_Irr!K6)),IF(AND(s_Irr!K6=".",s_Irr!AI6=".",s_Irr!BG6="."),s_dir!L6*1000)))))))),".")</f>
        <v>.</v>
      </c>
      <c r="M6" s="76" t="str">
        <f>IFERROR(IF(AND(s_Irr!L6&lt;&gt;".",s_Irr!AJ6&lt;&gt;".",s_Irr!BH6&lt;&gt;"."),s_dir!M6/((1/1000)*(s_Irr!L6+s_Irr!AJ6+s_Irr!BH6)),IF(AND(s_Irr!L6&lt;&gt;".",s_Irr!AJ6&lt;&gt;".",s_Irr!BH6="."),s_dir!M6/((1/1000)*(s_Irr!L6+s_Irr!AJ6)),IF(AND(s_Irr!L6&lt;&gt;".",s_Irr!AJ6=".",s_Irr!BH6&lt;&gt;"."),s_dir!M6/((1/1000)*(s_Irr!L6+s_Irr!BH6)),IF(AND(s_Irr!L6=".",s_Irr!AJ6&lt;&gt;".",s_Irr!BH6&lt;&gt;"."),s_dir!M6/((1/1000)*(s_Irr!AJ6+s_Irr!BH6)),IF(AND(s_Irr!L6=".",s_Irr!AJ6=".",s_Irr!BH6&lt;&gt;"."),s_dir!M6/((1/1000)*(s_Irr!BH6)),IF(AND(s_Irr!L6=".",s_Irr!AJ6&lt;&gt;".",s_Irr!BH6="."),s_dir!M6/((1/1000)*(s_Irr!AJ6)),IF(AND(s_Irr!L6&lt;&gt;".",s_Irr!AJ6=".",s_Irr!BH6="."),s_dir!M6/((1/1000)*(s_Irr!L6)),IF(AND(s_Irr!L6=".",s_Irr!AJ6=".",s_Irr!BH6="."),s_dir!M6*1000)))))))),".")</f>
        <v>.</v>
      </c>
      <c r="N6" s="76" t="str">
        <f>IFERROR(IF(AND(s_Irr!M6&lt;&gt;".",s_Irr!AK6&lt;&gt;".",s_Irr!BI6&lt;&gt;"."),s_dir!N6/((1/1000)*(s_Irr!M6+s_Irr!AK6+s_Irr!BI6)),IF(AND(s_Irr!M6&lt;&gt;".",s_Irr!AK6&lt;&gt;".",s_Irr!BI6="."),s_dir!N6/((1/1000)*(s_Irr!M6+s_Irr!AK6)),IF(AND(s_Irr!M6&lt;&gt;".",s_Irr!AK6=".",s_Irr!BI6&lt;&gt;"."),s_dir!N6/((1/1000)*(s_Irr!M6+s_Irr!BI6)),IF(AND(s_Irr!M6=".",s_Irr!AK6&lt;&gt;".",s_Irr!BI6&lt;&gt;"."),s_dir!N6/((1/1000)*(s_Irr!AK6+s_Irr!BI6)),IF(AND(s_Irr!M6=".",s_Irr!AK6=".",s_Irr!BI6&lt;&gt;"."),s_dir!N6/((1/1000)*(s_Irr!BI6)),IF(AND(s_Irr!M6=".",s_Irr!AK6&lt;&gt;".",s_Irr!BI6="."),s_dir!N6/((1/1000)*(s_Irr!AK6)),IF(AND(s_Irr!M6&lt;&gt;".",s_Irr!AK6=".",s_Irr!BI6="."),s_dir!N6/((1/1000)*(s_Irr!M6)),IF(AND(s_Irr!M6=".",s_Irr!AK6=".",s_Irr!BI6="."),s_dir!N6*1000)))))))),".")</f>
        <v>.</v>
      </c>
      <c r="O6" s="76" t="str">
        <f>IFERROR(IF(AND(s_Irr!N6&lt;&gt;".",s_Irr!AL6&lt;&gt;".",s_Irr!BJ6&lt;&gt;"."),s_dir!O6/((1/1000)*(s_Irr!N6+s_Irr!AL6+s_Irr!BJ6)),IF(AND(s_Irr!N6&lt;&gt;".",s_Irr!AL6&lt;&gt;".",s_Irr!BJ6="."),s_dir!O6/((1/1000)*(s_Irr!N6+s_Irr!AL6)),IF(AND(s_Irr!N6&lt;&gt;".",s_Irr!AL6=".",s_Irr!BJ6&lt;&gt;"."),s_dir!O6/((1/1000)*(s_Irr!N6+s_Irr!BJ6)),IF(AND(s_Irr!N6=".",s_Irr!AL6&lt;&gt;".",s_Irr!BJ6&lt;&gt;"."),s_dir!O6/((1/1000)*(s_Irr!AL6+s_Irr!BJ6)),IF(AND(s_Irr!N6=".",s_Irr!AL6=".",s_Irr!BJ6&lt;&gt;"."),s_dir!O6/((1/1000)*(s_Irr!BJ6)),IF(AND(s_Irr!N6=".",s_Irr!AL6&lt;&gt;".",s_Irr!BJ6="."),s_dir!O6/((1/1000)*(s_Irr!AL6)),IF(AND(s_Irr!N6&lt;&gt;".",s_Irr!AL6=".",s_Irr!BJ6="."),s_dir!O6/((1/1000)*(s_Irr!N6)),IF(AND(s_Irr!N6=".",s_Irr!AL6=".",s_Irr!BJ6="."),s_dir!O6*1000)))))))),".")</f>
        <v>.</v>
      </c>
      <c r="P6" s="76" t="str">
        <f>IFERROR(IF(AND(s_Irr!O6&lt;&gt;".",s_Irr!AM6&lt;&gt;".",s_Irr!BK6&lt;&gt;"."),s_dir!P6/((1/1000)*(s_Irr!O6+s_Irr!AM6+s_Irr!BK6)),IF(AND(s_Irr!O6&lt;&gt;".",s_Irr!AM6&lt;&gt;".",s_Irr!BK6="."),s_dir!P6/((1/1000)*(s_Irr!O6+s_Irr!AM6)),IF(AND(s_Irr!O6&lt;&gt;".",s_Irr!AM6=".",s_Irr!BK6&lt;&gt;"."),s_dir!P6/((1/1000)*(s_Irr!O6+s_Irr!BK6)),IF(AND(s_Irr!O6=".",s_Irr!AM6&lt;&gt;".",s_Irr!BK6&lt;&gt;"."),s_dir!P6/((1/1000)*(s_Irr!AM6+s_Irr!BK6)),IF(AND(s_Irr!O6=".",s_Irr!AM6=".",s_Irr!BK6&lt;&gt;"."),s_dir!P6/((1/1000)*(s_Irr!BK6)),IF(AND(s_Irr!O6=".",s_Irr!AM6&lt;&gt;".",s_Irr!BK6="."),s_dir!P6/((1/1000)*(s_Irr!AM6)),IF(AND(s_Irr!O6&lt;&gt;".",s_Irr!AM6=".",s_Irr!BK6="."),s_dir!P6/((1/1000)*(s_Irr!O6)),IF(AND(s_Irr!O6=".",s_Irr!AM6=".",s_Irr!BK6="."),s_dir!P6*1000)))))))),".")</f>
        <v>.</v>
      </c>
      <c r="Q6" s="76" t="str">
        <f>IFERROR(IF(AND(s_Irr!P6&lt;&gt;".",s_Irr!AN6&lt;&gt;".",s_Irr!BL6&lt;&gt;"."),s_dir!Q6/((1/1000)*(s_Irr!P6+s_Irr!AN6+s_Irr!BL6)),IF(AND(s_Irr!P6&lt;&gt;".",s_Irr!AN6&lt;&gt;".",s_Irr!BL6="."),s_dir!Q6/((1/1000)*(s_Irr!P6+s_Irr!AN6)),IF(AND(s_Irr!P6&lt;&gt;".",s_Irr!AN6=".",s_Irr!BL6&lt;&gt;"."),s_dir!Q6/((1/1000)*(s_Irr!P6+s_Irr!BL6)),IF(AND(s_Irr!P6=".",s_Irr!AN6&lt;&gt;".",s_Irr!BL6&lt;&gt;"."),s_dir!Q6/((1/1000)*(s_Irr!AN6+s_Irr!BL6)),IF(AND(s_Irr!P6=".",s_Irr!AN6=".",s_Irr!BL6&lt;&gt;"."),s_dir!Q6/((1/1000)*(s_Irr!BL6)),IF(AND(s_Irr!P6=".",s_Irr!AN6&lt;&gt;".",s_Irr!BL6="."),s_dir!Q6/((1/1000)*(s_Irr!AN6)),IF(AND(s_Irr!P6&lt;&gt;".",s_Irr!AN6=".",s_Irr!BL6="."),s_dir!Q6/((1/1000)*(s_Irr!P6)),IF(AND(s_Irr!P6=".",s_Irr!AN6=".",s_Irr!BL6="."),s_dir!Q6*1000)))))))),".")</f>
        <v>.</v>
      </c>
      <c r="R6" s="76" t="str">
        <f>IFERROR(IF(AND(s_Irr!Q6&lt;&gt;".",s_Irr!AO6&lt;&gt;".",s_Irr!BM6&lt;&gt;"."),s_dir!R6/((1/1000)*(s_Irr!Q6+s_Irr!AO6+s_Irr!BM6)),IF(AND(s_Irr!Q6&lt;&gt;".",s_Irr!AO6&lt;&gt;".",s_Irr!BM6="."),s_dir!R6/((1/1000)*(s_Irr!Q6+s_Irr!AO6)),IF(AND(s_Irr!Q6&lt;&gt;".",s_Irr!AO6=".",s_Irr!BM6&lt;&gt;"."),s_dir!R6/((1/1000)*(s_Irr!Q6+s_Irr!BM6)),IF(AND(s_Irr!Q6=".",s_Irr!AO6&lt;&gt;".",s_Irr!BM6&lt;&gt;"."),s_dir!R6/((1/1000)*(s_Irr!AO6+s_Irr!BM6)),IF(AND(s_Irr!Q6=".",s_Irr!AO6=".",s_Irr!BM6&lt;&gt;"."),s_dir!R6/((1/1000)*(s_Irr!BM6)),IF(AND(s_Irr!Q6=".",s_Irr!AO6&lt;&gt;".",s_Irr!BM6="."),s_dir!R6/((1/1000)*(s_Irr!AO6)),IF(AND(s_Irr!Q6&lt;&gt;".",s_Irr!AO6=".",s_Irr!BM6="."),s_dir!R6/((1/1000)*(s_Irr!Q6)),IF(AND(s_Irr!Q6=".",s_Irr!AO6=".",s_Irr!BM6="."),s_dir!R6*1000)))))))),".")</f>
        <v>.</v>
      </c>
      <c r="S6" s="76" t="str">
        <f>IFERROR(IF(AND(s_Irr!R6&lt;&gt;".",s_Irr!AP6&lt;&gt;".",s_Irr!BN6&lt;&gt;"."),s_dir!S6/((1/1000)*(s_Irr!R6+s_Irr!AP6+s_Irr!BN6)),IF(AND(s_Irr!R6&lt;&gt;".",s_Irr!AP6&lt;&gt;".",s_Irr!BN6="."),s_dir!S6/((1/1000)*(s_Irr!R6+s_Irr!AP6)),IF(AND(s_Irr!R6&lt;&gt;".",s_Irr!AP6=".",s_Irr!BN6&lt;&gt;"."),s_dir!S6/((1/1000)*(s_Irr!R6+s_Irr!BN6)),IF(AND(s_Irr!R6=".",s_Irr!AP6&lt;&gt;".",s_Irr!BN6&lt;&gt;"."),s_dir!S6/((1/1000)*(s_Irr!AP6+s_Irr!BN6)),IF(AND(s_Irr!R6=".",s_Irr!AP6=".",s_Irr!BN6&lt;&gt;"."),s_dir!S6/((1/1000)*(s_Irr!BN6)),IF(AND(s_Irr!R6=".",s_Irr!AP6&lt;&gt;".",s_Irr!BN6="."),s_dir!S6/((1/1000)*(s_Irr!AP6)),IF(AND(s_Irr!R6&lt;&gt;".",s_Irr!AP6=".",s_Irr!BN6="."),s_dir!S6/((1/1000)*(s_Irr!R6)),IF(AND(s_Irr!R6=".",s_Irr!AP6=".",s_Irr!BN6="."),s_dir!S6*1000)))))))),".")</f>
        <v>.</v>
      </c>
      <c r="T6" s="76" t="str">
        <f>IFERROR(IF(AND(s_Irr!S6&lt;&gt;".",s_Irr!AQ6&lt;&gt;".",s_Irr!BO6&lt;&gt;"."),s_dir!T6/((1/1000)*(s_Irr!S6+s_Irr!AQ6+s_Irr!BO6)),IF(AND(s_Irr!S6&lt;&gt;".",s_Irr!AQ6&lt;&gt;".",s_Irr!BO6="."),s_dir!T6/((1/1000)*(s_Irr!S6+s_Irr!AQ6)),IF(AND(s_Irr!S6&lt;&gt;".",s_Irr!AQ6=".",s_Irr!BO6&lt;&gt;"."),s_dir!T6/((1/1000)*(s_Irr!S6+s_Irr!BO6)),IF(AND(s_Irr!S6=".",s_Irr!AQ6&lt;&gt;".",s_Irr!BO6&lt;&gt;"."),s_dir!T6/((1/1000)*(s_Irr!AQ6+s_Irr!BO6)),IF(AND(s_Irr!S6=".",s_Irr!AQ6=".",s_Irr!BO6&lt;&gt;"."),s_dir!T6/((1/1000)*(s_Irr!BO6)),IF(AND(s_Irr!S6=".",s_Irr!AQ6&lt;&gt;".",s_Irr!BO6="."),s_dir!T6/((1/1000)*(s_Irr!AQ6)),IF(AND(s_Irr!S6&lt;&gt;".",s_Irr!AQ6=".",s_Irr!BO6="."),s_dir!T6/((1/1000)*(s_Irr!S6)),IF(AND(s_Irr!S6=".",s_Irr!AQ6=".",s_Irr!BO6="."),s_dir!T6*1000)))))))),".")</f>
        <v>.</v>
      </c>
      <c r="U6" s="76" t="str">
        <f>IFERROR(IF(AND(s_Irr!T6&lt;&gt;".",s_Irr!AR6&lt;&gt;".",s_Irr!BP6&lt;&gt;"."),s_dir!U6/((1/1000)*(s_Irr!T6+s_Irr!AR6+s_Irr!BP6)),IF(AND(s_Irr!T6&lt;&gt;".",s_Irr!AR6&lt;&gt;".",s_Irr!BP6="."),s_dir!U6/((1/1000)*(s_Irr!T6+s_Irr!AR6)),IF(AND(s_Irr!T6&lt;&gt;".",s_Irr!AR6=".",s_Irr!BP6&lt;&gt;"."),s_dir!U6/((1/1000)*(s_Irr!T6+s_Irr!BP6)),IF(AND(s_Irr!T6=".",s_Irr!AR6&lt;&gt;".",s_Irr!BP6&lt;&gt;"."),s_dir!U6/((1/1000)*(s_Irr!AR6+s_Irr!BP6)),IF(AND(s_Irr!T6=".",s_Irr!AR6=".",s_Irr!BP6&lt;&gt;"."),s_dir!U6/((1/1000)*(s_Irr!BP6)),IF(AND(s_Irr!T6=".",s_Irr!AR6&lt;&gt;".",s_Irr!BP6="."),s_dir!U6/((1/1000)*(s_Irr!AR6)),IF(AND(s_Irr!T6&lt;&gt;".",s_Irr!AR6=".",s_Irr!BP6="."),s_dir!U6/((1/1000)*(s_Irr!T6)),IF(AND(s_Irr!T6=".",s_Irr!AR6=".",s_Irr!BP6="."),s_dir!U6*1000)))))))),".")</f>
        <v>.</v>
      </c>
      <c r="V6" s="76" t="str">
        <f>IFERROR(IF(AND(s_Irr!U6&lt;&gt;".",s_Irr!AS6&lt;&gt;".",s_Irr!BQ6&lt;&gt;"."),s_dir!V6/((1/1000)*(s_Irr!U6+s_Irr!AS6+s_Irr!BQ6)),IF(AND(s_Irr!U6&lt;&gt;".",s_Irr!AS6&lt;&gt;".",s_Irr!BQ6="."),s_dir!V6/((1/1000)*(s_Irr!U6+s_Irr!AS6)),IF(AND(s_Irr!U6&lt;&gt;".",s_Irr!AS6=".",s_Irr!BQ6&lt;&gt;"."),s_dir!V6/((1/1000)*(s_Irr!U6+s_Irr!BQ6)),IF(AND(s_Irr!U6=".",s_Irr!AS6&lt;&gt;".",s_Irr!BQ6&lt;&gt;"."),s_dir!V6/((1/1000)*(s_Irr!AS6+s_Irr!BQ6)),IF(AND(s_Irr!U6=".",s_Irr!AS6=".",s_Irr!BQ6&lt;&gt;"."),s_dir!V6/((1/1000)*(s_Irr!BQ6)),IF(AND(s_Irr!U6=".",s_Irr!AS6&lt;&gt;".",s_Irr!BQ6="."),s_dir!V6/((1/1000)*(s_Irr!AS6)),IF(AND(s_Irr!U6&lt;&gt;".",s_Irr!AS6=".",s_Irr!BQ6="."),s_dir!V6/((1/1000)*(s_Irr!U6)),IF(AND(s_Irr!U6=".",s_Irr!AS6=".",s_Irr!BQ6="."),s_dir!V6*1000)))))))),".")</f>
        <v>.</v>
      </c>
      <c r="W6" s="76" t="str">
        <f>IFERROR(IF(AND(s_Irr!V6&lt;&gt;".",s_Irr!AT6&lt;&gt;".",s_Irr!BR6&lt;&gt;"."),s_dir!W6/((1/1000)*(s_Irr!V6+s_Irr!AT6+s_Irr!BR6)),IF(AND(s_Irr!V6&lt;&gt;".",s_Irr!AT6&lt;&gt;".",s_Irr!BR6="."),s_dir!W6/((1/1000)*(s_Irr!V6+s_Irr!AT6)),IF(AND(s_Irr!V6&lt;&gt;".",s_Irr!AT6=".",s_Irr!BR6&lt;&gt;"."),s_dir!W6/((1/1000)*(s_Irr!V6+s_Irr!BR6)),IF(AND(s_Irr!V6=".",s_Irr!AT6&lt;&gt;".",s_Irr!BR6&lt;&gt;"."),s_dir!W6/((1/1000)*(s_Irr!AT6+s_Irr!BR6)),IF(AND(s_Irr!V6=".",s_Irr!AT6=".",s_Irr!BR6&lt;&gt;"."),s_dir!W6/((1/1000)*(s_Irr!BR6)),IF(AND(s_Irr!V6=".",s_Irr!AT6&lt;&gt;".",s_Irr!BR6="."),s_dir!W6/((1/1000)*(s_Irr!AT6)),IF(AND(s_Irr!V6&lt;&gt;".",s_Irr!AT6=".",s_Irr!BR6="."),s_dir!W6/((1/1000)*(s_Irr!V6)),IF(AND(s_Irr!V6=".",s_Irr!AT6=".",s_Irr!BR6="."),s_dir!W6*1000)))))))),".")</f>
        <v>.</v>
      </c>
      <c r="X6" s="76" t="str">
        <f>IFERROR(IF(AND(s_Irr!W6&lt;&gt;".",s_Irr!AU6&lt;&gt;".",s_Irr!BS6&lt;&gt;"."),s_dir!X6/((1/1000)*(s_Irr!W6+s_Irr!AU6+s_Irr!BS6)),IF(AND(s_Irr!W6&lt;&gt;".",s_Irr!AU6&lt;&gt;".",s_Irr!BS6="."),s_dir!X6/((1/1000)*(s_Irr!W6+s_Irr!AU6)),IF(AND(s_Irr!W6&lt;&gt;".",s_Irr!AU6=".",s_Irr!BS6&lt;&gt;"."),s_dir!X6/((1/1000)*(s_Irr!W6+s_Irr!BS6)),IF(AND(s_Irr!W6=".",s_Irr!AU6&lt;&gt;".",s_Irr!BS6&lt;&gt;"."),s_dir!X6/((1/1000)*(s_Irr!AU6+s_Irr!BS6)),IF(AND(s_Irr!W6=".",s_Irr!AU6=".",s_Irr!BS6&lt;&gt;"."),s_dir!X6/((1/1000)*(s_Irr!BS6)),IF(AND(s_Irr!W6=".",s_Irr!AU6&lt;&gt;".",s_Irr!BS6="."),s_dir!X6/((1/1000)*(s_Irr!AU6)),IF(AND(s_Irr!W6&lt;&gt;".",s_Irr!AU6=".",s_Irr!BS6="."),s_dir!X6/((1/1000)*(s_Irr!W6)),IF(AND(s_Irr!W6=".",s_Irr!AU6=".",s_Irr!BS6="."),s_dir!X6*1000)))))))),".")</f>
        <v>.</v>
      </c>
      <c r="Y6" s="76" t="str">
        <f>IFERROR(IF(AND(s_Irr!X6&lt;&gt;".",s_Irr!AV6&lt;&gt;".",s_Irr!BT6&lt;&gt;"."),s_dir!Y6/((1/1000)*(s_Irr!X6+s_Irr!AV6+s_Irr!BT6)),IF(AND(s_Irr!X6&lt;&gt;".",s_Irr!AV6&lt;&gt;".",s_Irr!BT6="."),s_dir!Y6/((1/1000)*(s_Irr!X6+s_Irr!AV6)),IF(AND(s_Irr!X6&lt;&gt;".",s_Irr!AV6=".",s_Irr!BT6&lt;&gt;"."),s_dir!Y6/((1/1000)*(s_Irr!X6+s_Irr!BT6)),IF(AND(s_Irr!X6=".",s_Irr!AV6&lt;&gt;".",s_Irr!BT6&lt;&gt;"."),s_dir!Y6/((1/1000)*(s_Irr!AV6+s_Irr!BT6)),IF(AND(s_Irr!X6=".",s_Irr!AV6=".",s_Irr!BT6&lt;&gt;"."),s_dir!Y6/((1/1000)*(s_Irr!BT6)),IF(AND(s_Irr!X6=".",s_Irr!AV6&lt;&gt;".",s_Irr!BT6="."),s_dir!Y6/((1/1000)*(s_Irr!AV6)),IF(AND(s_Irr!X6&lt;&gt;".",s_Irr!AV6=".",s_Irr!BT6="."),s_dir!Y6/((1/1000)*(s_Irr!X6)),IF(AND(s_Irr!X6=".",s_Irr!AV6=".",s_Irr!BT6="."),s_dir!Y6*1000)))))))),".")</f>
        <v>.</v>
      </c>
      <c r="Z6" s="76" t="str">
        <f>IFERROR(IF(AND(s_Irr!Y6&lt;&gt;".",s_Irr!AW6&lt;&gt;".",s_Irr!BU6&lt;&gt;"."),s_dir!Z6/((1/1000)*(s_Irr!Y6+s_Irr!AW6+s_Irr!BU6)),IF(AND(s_Irr!Y6&lt;&gt;".",s_Irr!AW6&lt;&gt;".",s_Irr!BU6="."),s_dir!Z6/((1/1000)*(s_Irr!Y6+s_Irr!AW6)),IF(AND(s_Irr!Y6&lt;&gt;".",s_Irr!AW6=".",s_Irr!BU6&lt;&gt;"."),s_dir!Z6/((1/1000)*(s_Irr!Y6+s_Irr!BU6)),IF(AND(s_Irr!Y6=".",s_Irr!AW6&lt;&gt;".",s_Irr!BU6&lt;&gt;"."),s_dir!Z6/((1/1000)*(s_Irr!AW6+s_Irr!BU6)),IF(AND(s_Irr!Y6=".",s_Irr!AW6=".",s_Irr!BU6&lt;&gt;"."),s_dir!Z6/((1/1000)*(s_Irr!BU6)),IF(AND(s_Irr!Y6=".",s_Irr!AW6&lt;&gt;".",s_Irr!BU6="."),s_dir!Z6/((1/1000)*(s_Irr!AW6)),IF(AND(s_Irr!Y6&lt;&gt;".",s_Irr!AW6=".",s_Irr!BU6="."),s_dir!Z6/((1/1000)*(s_Irr!Y6)),IF(AND(s_Irr!Y6=".",s_Irr!AW6=".",s_Irr!BU6="."),s_dir!Z6*1000)))))))),".")</f>
        <v>.</v>
      </c>
      <c r="AA6" s="76" t="str">
        <f>IFERROR(IF(AND(s_Irr!Z6&lt;&gt;".",s_Irr!AX6&lt;&gt;".",s_Irr!BV6&lt;&gt;"."),s_dir!AA6/((1/1000)*(s_Irr!Z6+s_Irr!AX6+s_Irr!BV6)),IF(AND(s_Irr!Z6&lt;&gt;".",s_Irr!AX6&lt;&gt;".",s_Irr!BV6="."),s_dir!AA6/((1/1000)*(s_Irr!Z6+s_Irr!AX6)),IF(AND(s_Irr!Z6&lt;&gt;".",s_Irr!AX6=".",s_Irr!BV6&lt;&gt;"."),s_dir!AA6/((1/1000)*(s_Irr!Z6+s_Irr!BV6)),IF(AND(s_Irr!Z6=".",s_Irr!AX6&lt;&gt;".",s_Irr!BV6&lt;&gt;"."),s_dir!AA6/((1/1000)*(s_Irr!AX6+s_Irr!BV6)),IF(AND(s_Irr!Z6=".",s_Irr!AX6=".",s_Irr!BV6&lt;&gt;"."),s_dir!AA6/((1/1000)*(s_Irr!BV6)),IF(AND(s_Irr!Z6=".",s_Irr!AX6&lt;&gt;".",s_Irr!BV6="."),s_dir!AA6/((1/1000)*(s_Irr!AX6)),IF(AND(s_Irr!Z6&lt;&gt;".",s_Irr!AX6=".",s_Irr!BV6="."),s_dir!AA6/((1/1000)*(s_Irr!Z6)),IF(AND(s_Irr!Z6=".",s_Irr!AX6=".",s_Irr!BV6="."),s_dir!AA6*1000)))))))),".")</f>
        <v>.</v>
      </c>
      <c r="AB6" s="93">
        <f>SUM(AC6:AD6,AY6:AZ6)</f>
        <v>689.60680489009087</v>
      </c>
      <c r="AC6" s="93">
        <f>IFERROR(s_C*s_IFAP_res_adj*s_CF_apple*0.001*(s_Irr!C6+s_Irr!AA6+s_Irr!AY6),".")</f>
        <v>188.15245928625063</v>
      </c>
      <c r="AD6" s="93">
        <f>IFERROR(s_C*s_IFAS_res_adj*s_CF_asparagus*0.001*(s_Irr!D6+s_Irr!AB6+s_Irr!AZ6),".")</f>
        <v>174.49178446948747</v>
      </c>
      <c r="AE6" s="93">
        <f>IFERROR(s_C*s_IFBT_res_adj*s_CF_beet*0.001*(s_Irr!E6+s_Irr!AC6+s_Irr!BA6),".")</f>
        <v>174.49178446948747</v>
      </c>
      <c r="AF6" s="93">
        <f>IFERROR(s_C*s_IFBE_res_adj*s_CF_berries*0.001*(s_Irr!F6+s_Irr!AD6+s_Irr!BB6),".")</f>
        <v>188.15245928625063</v>
      </c>
      <c r="AG6" s="93">
        <f>IFERROR(s_C*s_IFBR_res_adj*s_CF_broccoli*0.001*(s_Irr!G6+s_Irr!AE6+s_Irr!BC6),".")</f>
        <v>188.15245928625063</v>
      </c>
      <c r="AH6" s="93">
        <f>IFERROR(s_C*s_IFCB_res_adj*s_CF_cabbage*0.001*(s_Irr!H6+s_Irr!AF6+s_Irr!BD6),".")</f>
        <v>174.49178446948747</v>
      </c>
      <c r="AI6" s="93">
        <f>IFERROR(s_C*s_IFCR_res_adj*s_CF_carrot*0.001*(s_Irr!I6+s_Irr!AG6+s_Irr!BE6),".")</f>
        <v>174.49178446948747</v>
      </c>
      <c r="AJ6" s="93">
        <f>IFERROR(s_C*s_IFCI_res_adj*s_CF_citrus*0.001*(s_Irr!J6+s_Irr!AH6+s_Irr!BF6),".")</f>
        <v>188.15245928625063</v>
      </c>
      <c r="AK6" s="93">
        <f>IFERROR(s_C*s_IFCO_res_adj*s_CF_corn*0.001*(s_Irr!K6+s_Irr!AI6+s_Irr!BG6),".")</f>
        <v>188.15245928625063</v>
      </c>
      <c r="AL6" s="93">
        <f>IFERROR(s_C*s_IFCU_res_adj*s_CF_cucumber*0.001*(s_Irr!L6+s_Irr!AJ6+s_Irr!BH6),".")</f>
        <v>188.15245928625063</v>
      </c>
      <c r="AM6" s="93">
        <f>IFERROR(s_C*s_IFLE_res_adj*s_CF_lettuce*0.001*(s_Irr!M6+s_Irr!AK6+s_Irr!BI6),".")</f>
        <v>174.49178446948747</v>
      </c>
      <c r="AN6" s="93">
        <f>IFERROR(s_C*s_IFLI_res_adj*s_CF_lima_bean*0.001*(s_Irr!N6+s_Irr!AL6+s_Irr!BJ6),".")</f>
        <v>188.15245928625063</v>
      </c>
      <c r="AO6" s="93">
        <f>IFERROR(s_C*s_IFOK_res_adj*s_CF_okra*0.001*(s_Irr!O6+s_Irr!AM6+s_Irr!BK6),".")</f>
        <v>188.15245928625063</v>
      </c>
      <c r="AP6" s="93">
        <f>IFERROR(s_C*s_IFON_res_adj*s_CF_onion*0.001*(s_Irr!P6+s_Irr!AN6+s_Irr!BL6),".")</f>
        <v>188.15245928625063</v>
      </c>
      <c r="AQ6" s="93">
        <f>IFERROR(s_C*s_IFPC_res_adj*s_CF_peach*0.001*(s_Irr!Q6+s_Irr!AO6+s_Irr!BM6),".")</f>
        <v>188.15245928625063</v>
      </c>
      <c r="AR6" s="93">
        <f>IFERROR(s_C*s_IFPR_res_adj*s_CF_pear*0.001*(s_Irr!R6+s_Irr!AP6+s_Irr!BN6),".")</f>
        <v>188.15245928625063</v>
      </c>
      <c r="AS6" s="93">
        <f>IFERROR(s_C*s_IFPE_res_adj*s_CF_peas*0.001*(s_Irr!S6+s_Irr!AQ6+s_Irr!BO6),".")</f>
        <v>188.15245928625063</v>
      </c>
      <c r="AT6" s="93">
        <f>IFERROR(s_C*s_IFPT_res_adj*s_CF_potato*0.001*(s_Irr!T6+s_Irr!AR6+s_Irr!BP6),".")</f>
        <v>174.49178446948747</v>
      </c>
      <c r="AU6" s="93">
        <f>IFERROR(s_C*s_IFPU_res_adj*s_CF_pumpkin*0.001*(s_Irr!U6+s_Irr!AS6+s_Irr!BQ6),".")</f>
        <v>188.15245928625063</v>
      </c>
      <c r="AV6" s="93">
        <f>IFERROR(s_C*s_IFSN_res_adj*s_CF_snap_bean*0.001*(s_Irr!V6+s_Irr!AT6+s_Irr!BR6),".")</f>
        <v>188.15245928625063</v>
      </c>
      <c r="AW6" s="93">
        <f>IFERROR(s_C*s_IFST_res_adj*s_CF_strawberry*0.001*(s_Irr!W6+s_Irr!AU6+s_Irr!BS6),".")</f>
        <v>188.15245928625063</v>
      </c>
      <c r="AX6" s="93">
        <f>IFERROR(s_C*s_IFTO_res_adj*s_CF_tomato*0.001*(s_Irr!X6+s_Irr!AV6+s_Irr!BT6),".")</f>
        <v>188.15245928625063</v>
      </c>
      <c r="AY6" s="93">
        <f>IFERROR(s_C*s_IFRI_res_adj*s_CF_rice*0.001*(s_Irr!Y6+s_Irr!AW6+s_Irr!BU6),".")</f>
        <v>163.39931651827578</v>
      </c>
      <c r="AZ6" s="93">
        <f>IFERROR(s_C*s_IFCG_res_adj*s_CF_cereal*0.001*(s_Irr!Z6+s_Irr!AX6+s_Irr!BV6),".")</f>
        <v>163.56324461607693</v>
      </c>
      <c r="BA6" s="76" t="str">
        <f t="shared" si="4"/>
        <v>.</v>
      </c>
      <c r="BB6" s="76" t="str">
        <f>IFERROR(IF(AND(s_Irr!C6&lt;&gt;".",s_Irr!AA6&lt;&gt;".",s_Irr!AY6&lt;&gt;"."),s_dir!AC6/((1/1000)*(s_Irr!C6+s_Irr!AA6+s_Irr!AY6)),IF(AND(s_Irr!C6&lt;&gt;".",s_Irr!AA6&lt;&gt;".",s_Irr!AY6="."),s_dir!AC6/((1/1000)*(s_Irr!C6+s_Irr!AA6)),IF(AND(s_Irr!C6&lt;&gt;".",s_Irr!AA6=".",s_Irr!AY6&lt;&gt;"."),s_dir!AC6/((1/1000)*(s_Irr!C6+s_Irr!AY6)),IF(AND(s_Irr!C6=".",s_Irr!AA6&lt;&gt;".",s_Irr!AY6&lt;&gt;"."),s_dir!AC6/((1/1000)*(s_Irr!AA6+s_Irr!AY6)),IF(AND(s_Irr!C6=".",s_Irr!AA6=".",s_Irr!AY6&lt;&gt;"."),s_dir!AC6/((1/1000)*(s_Irr!AY6)),IF(AND(s_Irr!C6=".",s_Irr!AA6&lt;&gt;".",s_Irr!AY6="."),s_dir!AC6/((1/1000)*(s_Irr!AA6)),IF(AND(s_Irr!C6&lt;&gt;".",s_Irr!AA6=".",s_Irr!AY6="."),s_dir!AC6/((1/1000)*(s_Irr!C6)),IF(AND(s_Irr!C6=".",s_Irr!AA6=".",s_Irr!AY6="."),s_dir!AC6*1000)))))))),".")</f>
        <v>.</v>
      </c>
      <c r="BC6" s="76" t="str">
        <f>IFERROR(IF(AND(s_Irr!D6&lt;&gt;".",s_Irr!AB6&lt;&gt;".",s_Irr!AZ6&lt;&gt;"."),s_dir!AD6/((1/1000)*(s_Irr!D6+s_Irr!AB6+s_Irr!AZ6)),IF(AND(s_Irr!D6&lt;&gt;".",s_Irr!AB6&lt;&gt;".",s_Irr!AZ6="."),s_dir!AD6/((1/1000)*(s_Irr!D6+s_Irr!AB6)),IF(AND(s_Irr!D6&lt;&gt;".",s_Irr!AB6=".",s_Irr!AZ6&lt;&gt;"."),s_dir!AD6/((1/1000)*(s_Irr!D6+s_Irr!AZ6)),IF(AND(s_Irr!D6=".",s_Irr!AB6&lt;&gt;".",s_Irr!AZ6&lt;&gt;"."),s_dir!AD6/((1/1000)*(s_Irr!AB6+s_Irr!AZ6)),IF(AND(s_Irr!D6=".",s_Irr!AB6=".",s_Irr!AZ6&lt;&gt;"."),s_dir!AD6/((1/1000)*(s_Irr!AZ6)),IF(AND(s_Irr!D6=".",s_Irr!AB6&lt;&gt;".",s_Irr!AZ6="."),s_dir!AD6/((1/1000)*(s_Irr!AB6)),IF(AND(s_Irr!D6&lt;&gt;".",s_Irr!AB6=".",s_Irr!AZ6="."),s_dir!AD6/((1/1000)*(s_Irr!D6)),IF(AND(s_Irr!D6=".",s_Irr!AB6=".",s_Irr!AZ6="."),s_dir!AD6*1000)))))))),".")</f>
        <v>.</v>
      </c>
      <c r="BD6" s="76" t="str">
        <f>IFERROR(IF(AND(s_Irr!E6&lt;&gt;".",s_Irr!AC6&lt;&gt;".",s_Irr!BA6&lt;&gt;"."),s_dir!AE6/((1/1000)*(s_Irr!E6+s_Irr!AC6+s_Irr!BA6)),IF(AND(s_Irr!E6&lt;&gt;".",s_Irr!AC6&lt;&gt;".",s_Irr!BA6="."),s_dir!AE6/((1/1000)*(s_Irr!E6+s_Irr!AC6)),IF(AND(s_Irr!E6&lt;&gt;".",s_Irr!AC6=".",s_Irr!BA6&lt;&gt;"."),s_dir!AE6/((1/1000)*(s_Irr!E6+s_Irr!BA6)),IF(AND(s_Irr!E6=".",s_Irr!AC6&lt;&gt;".",s_Irr!BA6&lt;&gt;"."),s_dir!AE6/((1/1000)*(s_Irr!AC6+s_Irr!BA6)),IF(AND(s_Irr!E6=".",s_Irr!AC6=".",s_Irr!BA6&lt;&gt;"."),s_dir!AE6/((1/1000)*(s_Irr!BA6)),IF(AND(s_Irr!E6=".",s_Irr!AC6&lt;&gt;".",s_Irr!BA6="."),s_dir!AE6/((1/1000)*(s_Irr!AC6)),IF(AND(s_Irr!E6&lt;&gt;".",s_Irr!AC6=".",s_Irr!BA6="."),s_dir!AE6/((1/1000)*(s_Irr!E6)),IF(AND(s_Irr!E6=".",s_Irr!AC6=".",s_Irr!BA6="."),s_dir!AE6*1000)))))))),".")</f>
        <v>.</v>
      </c>
      <c r="BE6" s="76" t="str">
        <f>IFERROR(IF(AND(s_Irr!F6&lt;&gt;".",s_Irr!AD6&lt;&gt;".",s_Irr!BB6&lt;&gt;"."),s_dir!AF6/((1/1000)*(s_Irr!F6+s_Irr!AD6+s_Irr!BB6)),IF(AND(s_Irr!F6&lt;&gt;".",s_Irr!AD6&lt;&gt;".",s_Irr!BB6="."),s_dir!AF6/((1/1000)*(s_Irr!F6+s_Irr!AD6)),IF(AND(s_Irr!F6&lt;&gt;".",s_Irr!AD6=".",s_Irr!BB6&lt;&gt;"."),s_dir!AF6/((1/1000)*(s_Irr!F6+s_Irr!BB6)),IF(AND(s_Irr!F6=".",s_Irr!AD6&lt;&gt;".",s_Irr!BB6&lt;&gt;"."),s_dir!AF6/((1/1000)*(s_Irr!AD6+s_Irr!BB6)),IF(AND(s_Irr!F6=".",s_Irr!AD6=".",s_Irr!BB6&lt;&gt;"."),s_dir!AF6/((1/1000)*(s_Irr!BB6)),IF(AND(s_Irr!F6=".",s_Irr!AD6&lt;&gt;".",s_Irr!BB6="."),s_dir!AF6/((1/1000)*(s_Irr!AD6)),IF(AND(s_Irr!F6&lt;&gt;".",s_Irr!AD6=".",s_Irr!BB6="."),s_dir!AF6/((1/1000)*(s_Irr!F6)),IF(AND(s_Irr!F6=".",s_Irr!AD6=".",s_Irr!BB6="."),s_dir!AF6*1000)))))))),".")</f>
        <v>.</v>
      </c>
      <c r="BF6" s="76" t="str">
        <f>IFERROR(IF(AND(s_Irr!G6&lt;&gt;".",s_Irr!AE6&lt;&gt;".",s_Irr!BC6&lt;&gt;"."),s_dir!AG6/((1/1000)*(s_Irr!G6+s_Irr!AE6+s_Irr!BC6)),IF(AND(s_Irr!G6&lt;&gt;".",s_Irr!AE6&lt;&gt;".",s_Irr!BC6="."),s_dir!AG6/((1/1000)*(s_Irr!G6+s_Irr!AE6)),IF(AND(s_Irr!G6&lt;&gt;".",s_Irr!AE6=".",s_Irr!BC6&lt;&gt;"."),s_dir!AG6/((1/1000)*(s_Irr!G6+s_Irr!BC6)),IF(AND(s_Irr!G6=".",s_Irr!AE6&lt;&gt;".",s_Irr!BC6&lt;&gt;"."),s_dir!AG6/((1/1000)*(s_Irr!AE6+s_Irr!BC6)),IF(AND(s_Irr!G6=".",s_Irr!AE6=".",s_Irr!BC6&lt;&gt;"."),s_dir!AG6/((1/1000)*(s_Irr!BC6)),IF(AND(s_Irr!G6=".",s_Irr!AE6&lt;&gt;".",s_Irr!BC6="."),s_dir!AG6/((1/1000)*(s_Irr!AE6)),IF(AND(s_Irr!G6&lt;&gt;".",s_Irr!AE6=".",s_Irr!BC6="."),s_dir!AG6/((1/1000)*(s_Irr!G6)),IF(AND(s_Irr!G6=".",s_Irr!AE6=".",s_Irr!BC6="."),s_dir!AG6*1000)))))))),".")</f>
        <v>.</v>
      </c>
      <c r="BG6" s="76" t="str">
        <f>IFERROR(IF(AND(s_Irr!H6&lt;&gt;".",s_Irr!AF6&lt;&gt;".",s_Irr!BD6&lt;&gt;"."),s_dir!AH6/((1/1000)*(s_Irr!H6+s_Irr!AF6+s_Irr!BD6)),IF(AND(s_Irr!H6&lt;&gt;".",s_Irr!AF6&lt;&gt;".",s_Irr!BD6="."),s_dir!AH6/((1/1000)*(s_Irr!H6+s_Irr!AF6)),IF(AND(s_Irr!H6&lt;&gt;".",s_Irr!AF6=".",s_Irr!BD6&lt;&gt;"."),s_dir!AH6/((1/1000)*(s_Irr!H6+s_Irr!BD6)),IF(AND(s_Irr!H6=".",s_Irr!AF6&lt;&gt;".",s_Irr!BD6&lt;&gt;"."),s_dir!AH6/((1/1000)*(s_Irr!AF6+s_Irr!BD6)),IF(AND(s_Irr!H6=".",s_Irr!AF6=".",s_Irr!BD6&lt;&gt;"."),s_dir!AH6/((1/1000)*(s_Irr!BD6)),IF(AND(s_Irr!H6=".",s_Irr!AF6&lt;&gt;".",s_Irr!BD6="."),s_dir!AH6/((1/1000)*(s_Irr!AF6)),IF(AND(s_Irr!H6&lt;&gt;".",s_Irr!AF6=".",s_Irr!BD6="."),s_dir!AH6/((1/1000)*(s_Irr!H6)),IF(AND(s_Irr!H6=".",s_Irr!AF6=".",s_Irr!BD6="."),s_dir!AH6*1000)))))))),".")</f>
        <v>.</v>
      </c>
      <c r="BH6" s="76" t="str">
        <f>IFERROR(IF(AND(s_Irr!I6&lt;&gt;".",s_Irr!AG6&lt;&gt;".",s_Irr!BE6&lt;&gt;"."),s_dir!AI6/((1/1000)*(s_Irr!I6+s_Irr!AG6+s_Irr!BE6)),IF(AND(s_Irr!I6&lt;&gt;".",s_Irr!AG6&lt;&gt;".",s_Irr!BE6="."),s_dir!AI6/((1/1000)*(s_Irr!I6+s_Irr!AG6)),IF(AND(s_Irr!I6&lt;&gt;".",s_Irr!AG6=".",s_Irr!BE6&lt;&gt;"."),s_dir!AI6/((1/1000)*(s_Irr!I6+s_Irr!BE6)),IF(AND(s_Irr!I6=".",s_Irr!AG6&lt;&gt;".",s_Irr!BE6&lt;&gt;"."),s_dir!AI6/((1/1000)*(s_Irr!AG6+s_Irr!BE6)),IF(AND(s_Irr!I6=".",s_Irr!AG6=".",s_Irr!BE6&lt;&gt;"."),s_dir!AI6/((1/1000)*(s_Irr!BE6)),IF(AND(s_Irr!I6=".",s_Irr!AG6&lt;&gt;".",s_Irr!BE6="."),s_dir!AI6/((1/1000)*(s_Irr!AG6)),IF(AND(s_Irr!I6&lt;&gt;".",s_Irr!AG6=".",s_Irr!BE6="."),s_dir!AI6/((1/1000)*(s_Irr!I6)),IF(AND(s_Irr!I6=".",s_Irr!AG6=".",s_Irr!BE6="."),s_dir!AI6*1000)))))))),".")</f>
        <v>.</v>
      </c>
      <c r="BI6" s="76" t="str">
        <f>IFERROR(IF(AND(s_Irr!J6&lt;&gt;".",s_Irr!AH6&lt;&gt;".",s_Irr!BF6&lt;&gt;"."),s_dir!AJ6/((1/1000)*(s_Irr!J6+s_Irr!AH6+s_Irr!BF6)),IF(AND(s_Irr!J6&lt;&gt;".",s_Irr!AH6&lt;&gt;".",s_Irr!BF6="."),s_dir!AJ6/((1/1000)*(s_Irr!J6+s_Irr!AH6)),IF(AND(s_Irr!J6&lt;&gt;".",s_Irr!AH6=".",s_Irr!BF6&lt;&gt;"."),s_dir!AJ6/((1/1000)*(s_Irr!J6+s_Irr!BF6)),IF(AND(s_Irr!J6=".",s_Irr!AH6&lt;&gt;".",s_Irr!BF6&lt;&gt;"."),s_dir!AJ6/((1/1000)*(s_Irr!AH6+s_Irr!BF6)),IF(AND(s_Irr!J6=".",s_Irr!AH6=".",s_Irr!BF6&lt;&gt;"."),s_dir!AJ6/((1/1000)*(s_Irr!BF6)),IF(AND(s_Irr!J6=".",s_Irr!AH6&lt;&gt;".",s_Irr!BF6="."),s_dir!AJ6/((1/1000)*(s_Irr!AH6)),IF(AND(s_Irr!J6&lt;&gt;".",s_Irr!AH6=".",s_Irr!BF6="."),s_dir!AJ6/((1/1000)*(s_Irr!J6)),IF(AND(s_Irr!J6=".",s_Irr!AH6=".",s_Irr!BF6="."),s_dir!AJ6*1000)))))))),".")</f>
        <v>.</v>
      </c>
      <c r="BJ6" s="76" t="str">
        <f>IFERROR(IF(AND(s_Irr!K6&lt;&gt;".",s_Irr!AI6&lt;&gt;".",s_Irr!BG6&lt;&gt;"."),s_dir!AK6/((1/1000)*(s_Irr!K6+s_Irr!AI6+s_Irr!BG6)),IF(AND(s_Irr!K6&lt;&gt;".",s_Irr!AI6&lt;&gt;".",s_Irr!BG6="."),s_dir!AK6/((1/1000)*(s_Irr!K6+s_Irr!AI6)),IF(AND(s_Irr!K6&lt;&gt;".",s_Irr!AI6=".",s_Irr!BG6&lt;&gt;"."),s_dir!AK6/((1/1000)*(s_Irr!K6+s_Irr!BG6)),IF(AND(s_Irr!K6=".",s_Irr!AI6&lt;&gt;".",s_Irr!BG6&lt;&gt;"."),s_dir!AK6/((1/1000)*(s_Irr!AI6+s_Irr!BG6)),IF(AND(s_Irr!K6=".",s_Irr!AI6=".",s_Irr!BG6&lt;&gt;"."),s_dir!AK6/((1/1000)*(s_Irr!BG6)),IF(AND(s_Irr!K6=".",s_Irr!AI6&lt;&gt;".",s_Irr!BG6="."),s_dir!AK6/((1/1000)*(s_Irr!AI6)),IF(AND(s_Irr!K6&lt;&gt;".",s_Irr!AI6=".",s_Irr!BG6="."),s_dir!AK6/((1/1000)*(s_Irr!K6)),IF(AND(s_Irr!K6=".",s_Irr!AI6=".",s_Irr!BG6="."),s_dir!AK6*1000)))))))),".")</f>
        <v>.</v>
      </c>
      <c r="BK6" s="76" t="str">
        <f>IFERROR(IF(AND(s_Irr!L6&lt;&gt;".",s_Irr!AJ6&lt;&gt;".",s_Irr!BH6&lt;&gt;"."),s_dir!AL6/((1/1000)*(s_Irr!L6+s_Irr!AJ6+s_Irr!BH6)),IF(AND(s_Irr!L6&lt;&gt;".",s_Irr!AJ6&lt;&gt;".",s_Irr!BH6="."),s_dir!AL6/((1/1000)*(s_Irr!L6+s_Irr!AJ6)),IF(AND(s_Irr!L6&lt;&gt;".",s_Irr!AJ6=".",s_Irr!BH6&lt;&gt;"."),s_dir!AL6/((1/1000)*(s_Irr!L6+s_Irr!BH6)),IF(AND(s_Irr!L6=".",s_Irr!AJ6&lt;&gt;".",s_Irr!BH6&lt;&gt;"."),s_dir!AL6/((1/1000)*(s_Irr!AJ6+s_Irr!BH6)),IF(AND(s_Irr!L6=".",s_Irr!AJ6=".",s_Irr!BH6&lt;&gt;"."),s_dir!AL6/((1/1000)*(s_Irr!BH6)),IF(AND(s_Irr!L6=".",s_Irr!AJ6&lt;&gt;".",s_Irr!BH6="."),s_dir!AL6/((1/1000)*(s_Irr!AJ6)),IF(AND(s_Irr!L6&lt;&gt;".",s_Irr!AJ6=".",s_Irr!BH6="."),s_dir!AL6/((1/1000)*(s_Irr!L6)),IF(AND(s_Irr!L6=".",s_Irr!AJ6=".",s_Irr!BH6="."),s_dir!AL6*1000)))))))),".")</f>
        <v>.</v>
      </c>
      <c r="BL6" s="76" t="str">
        <f>IFERROR(IF(AND(s_Irr!M6&lt;&gt;".",s_Irr!AK6&lt;&gt;".",s_Irr!BI6&lt;&gt;"."),s_dir!AM6/((1/1000)*(s_Irr!M6+s_Irr!AK6+s_Irr!BI6)),IF(AND(s_Irr!M6&lt;&gt;".",s_Irr!AK6&lt;&gt;".",s_Irr!BI6="."),s_dir!AM6/((1/1000)*(s_Irr!M6+s_Irr!AK6)),IF(AND(s_Irr!M6&lt;&gt;".",s_Irr!AK6=".",s_Irr!BI6&lt;&gt;"."),s_dir!AM6/((1/1000)*(s_Irr!M6+s_Irr!BI6)),IF(AND(s_Irr!M6=".",s_Irr!AK6&lt;&gt;".",s_Irr!BI6&lt;&gt;"."),s_dir!AM6/((1/1000)*(s_Irr!AK6+s_Irr!BI6)),IF(AND(s_Irr!M6=".",s_Irr!AK6=".",s_Irr!BI6&lt;&gt;"."),s_dir!AM6/((1/1000)*(s_Irr!BI6)),IF(AND(s_Irr!M6=".",s_Irr!AK6&lt;&gt;".",s_Irr!BI6="."),s_dir!AM6/((1/1000)*(s_Irr!AK6)),IF(AND(s_Irr!M6&lt;&gt;".",s_Irr!AK6=".",s_Irr!BI6="."),s_dir!AM6/((1/1000)*(s_Irr!M6)),IF(AND(s_Irr!M6=".",s_Irr!AK6=".",s_Irr!BI6="."),s_dir!AM6*1000)))))))),".")</f>
        <v>.</v>
      </c>
      <c r="BM6" s="76" t="str">
        <f>IFERROR(IF(AND(s_Irr!N6&lt;&gt;".",s_Irr!AL6&lt;&gt;".",s_Irr!BJ6&lt;&gt;"."),s_dir!AN6/((1/1000)*(s_Irr!N6+s_Irr!AL6+s_Irr!BJ6)),IF(AND(s_Irr!N6&lt;&gt;".",s_Irr!AL6&lt;&gt;".",s_Irr!BJ6="."),s_dir!AN6/((1/1000)*(s_Irr!N6+s_Irr!AL6)),IF(AND(s_Irr!N6&lt;&gt;".",s_Irr!AL6=".",s_Irr!BJ6&lt;&gt;"."),s_dir!AN6/((1/1000)*(s_Irr!N6+s_Irr!BJ6)),IF(AND(s_Irr!N6=".",s_Irr!AL6&lt;&gt;".",s_Irr!BJ6&lt;&gt;"."),s_dir!AN6/((1/1000)*(s_Irr!AL6+s_Irr!BJ6)),IF(AND(s_Irr!N6=".",s_Irr!AL6=".",s_Irr!BJ6&lt;&gt;"."),s_dir!AN6/((1/1000)*(s_Irr!BJ6)),IF(AND(s_Irr!N6=".",s_Irr!AL6&lt;&gt;".",s_Irr!BJ6="."),s_dir!AN6/((1/1000)*(s_Irr!AL6)),IF(AND(s_Irr!N6&lt;&gt;".",s_Irr!AL6=".",s_Irr!BJ6="."),s_dir!AN6/((1/1000)*(s_Irr!N6)),IF(AND(s_Irr!N6=".",s_Irr!AL6=".",s_Irr!BJ6="."),s_dir!AN6*1000)))))))),".")</f>
        <v>.</v>
      </c>
      <c r="BN6" s="76" t="str">
        <f>IFERROR(IF(AND(s_Irr!O6&lt;&gt;".",s_Irr!AM6&lt;&gt;".",s_Irr!BK6&lt;&gt;"."),s_dir!AO6/((1/1000)*(s_Irr!O6+s_Irr!AM6+s_Irr!BK6)),IF(AND(s_Irr!O6&lt;&gt;".",s_Irr!AM6&lt;&gt;".",s_Irr!BK6="."),s_dir!AO6/((1/1000)*(s_Irr!O6+s_Irr!AM6)),IF(AND(s_Irr!O6&lt;&gt;".",s_Irr!AM6=".",s_Irr!BK6&lt;&gt;"."),s_dir!AO6/((1/1000)*(s_Irr!O6+s_Irr!BK6)),IF(AND(s_Irr!O6=".",s_Irr!AM6&lt;&gt;".",s_Irr!BK6&lt;&gt;"."),s_dir!AO6/((1/1000)*(s_Irr!AM6+s_Irr!BK6)),IF(AND(s_Irr!O6=".",s_Irr!AM6=".",s_Irr!BK6&lt;&gt;"."),s_dir!AO6/((1/1000)*(s_Irr!BK6)),IF(AND(s_Irr!O6=".",s_Irr!AM6&lt;&gt;".",s_Irr!BK6="."),s_dir!AO6/((1/1000)*(s_Irr!AM6)),IF(AND(s_Irr!O6&lt;&gt;".",s_Irr!AM6=".",s_Irr!BK6="."),s_dir!AO6/((1/1000)*(s_Irr!O6)),IF(AND(s_Irr!O6=".",s_Irr!AM6=".",s_Irr!BK6="."),s_dir!AO6*1000)))))))),".")</f>
        <v>.</v>
      </c>
      <c r="BO6" s="76" t="str">
        <f>IFERROR(IF(AND(s_Irr!P6&lt;&gt;".",s_Irr!AN6&lt;&gt;".",s_Irr!BL6&lt;&gt;"."),s_dir!AP6/((1/1000)*(s_Irr!P6+s_Irr!AN6+s_Irr!BL6)),IF(AND(s_Irr!P6&lt;&gt;".",s_Irr!AN6&lt;&gt;".",s_Irr!BL6="."),s_dir!AP6/((1/1000)*(s_Irr!P6+s_Irr!AN6)),IF(AND(s_Irr!P6&lt;&gt;".",s_Irr!AN6=".",s_Irr!BL6&lt;&gt;"."),s_dir!AP6/((1/1000)*(s_Irr!P6+s_Irr!BL6)),IF(AND(s_Irr!P6=".",s_Irr!AN6&lt;&gt;".",s_Irr!BL6&lt;&gt;"."),s_dir!AP6/((1/1000)*(s_Irr!AN6+s_Irr!BL6)),IF(AND(s_Irr!P6=".",s_Irr!AN6=".",s_Irr!BL6&lt;&gt;"."),s_dir!AP6/((1/1000)*(s_Irr!BL6)),IF(AND(s_Irr!P6=".",s_Irr!AN6&lt;&gt;".",s_Irr!BL6="."),s_dir!AP6/((1/1000)*(s_Irr!AN6)),IF(AND(s_Irr!P6&lt;&gt;".",s_Irr!AN6=".",s_Irr!BL6="."),s_dir!AP6/((1/1000)*(s_Irr!P6)),IF(AND(s_Irr!P6=".",s_Irr!AN6=".",s_Irr!BL6="."),s_dir!AP6*1000)))))))),".")</f>
        <v>.</v>
      </c>
      <c r="BP6" s="76" t="str">
        <f>IFERROR(IF(AND(s_Irr!Q6&lt;&gt;".",s_Irr!AO6&lt;&gt;".",s_Irr!BM6&lt;&gt;"."),s_dir!AQ6/((1/1000)*(s_Irr!Q6+s_Irr!AO6+s_Irr!BM6)),IF(AND(s_Irr!Q6&lt;&gt;".",s_Irr!AO6&lt;&gt;".",s_Irr!BM6="."),s_dir!AQ6/((1/1000)*(s_Irr!Q6+s_Irr!AO6)),IF(AND(s_Irr!Q6&lt;&gt;".",s_Irr!AO6=".",s_Irr!BM6&lt;&gt;"."),s_dir!AQ6/((1/1000)*(s_Irr!Q6+s_Irr!BM6)),IF(AND(s_Irr!Q6=".",s_Irr!AO6&lt;&gt;".",s_Irr!BM6&lt;&gt;"."),s_dir!AQ6/((1/1000)*(s_Irr!AO6+s_Irr!BM6)),IF(AND(s_Irr!Q6=".",s_Irr!AO6=".",s_Irr!BM6&lt;&gt;"."),s_dir!AQ6/((1/1000)*(s_Irr!BM6)),IF(AND(s_Irr!Q6=".",s_Irr!AO6&lt;&gt;".",s_Irr!BM6="."),s_dir!AQ6/((1/1000)*(s_Irr!AO6)),IF(AND(s_Irr!Q6&lt;&gt;".",s_Irr!AO6=".",s_Irr!BM6="."),s_dir!AQ6/((1/1000)*(s_Irr!Q6)),IF(AND(s_Irr!Q6=".",s_Irr!AO6=".",s_Irr!BM6="."),s_dir!AQ6*1000)))))))),".")</f>
        <v>.</v>
      </c>
      <c r="BQ6" s="76" t="str">
        <f>IFERROR(IF(AND(s_Irr!R6&lt;&gt;".",s_Irr!AP6&lt;&gt;".",s_Irr!BN6&lt;&gt;"."),s_dir!AR6/((1/1000)*(s_Irr!R6+s_Irr!AP6+s_Irr!BN6)),IF(AND(s_Irr!R6&lt;&gt;".",s_Irr!AP6&lt;&gt;".",s_Irr!BN6="."),s_dir!AR6/((1/1000)*(s_Irr!R6+s_Irr!AP6)),IF(AND(s_Irr!R6&lt;&gt;".",s_Irr!AP6=".",s_Irr!BN6&lt;&gt;"."),s_dir!AR6/((1/1000)*(s_Irr!R6+s_Irr!BN6)),IF(AND(s_Irr!R6=".",s_Irr!AP6&lt;&gt;".",s_Irr!BN6&lt;&gt;"."),s_dir!AR6/((1/1000)*(s_Irr!AP6+s_Irr!BN6)),IF(AND(s_Irr!R6=".",s_Irr!AP6=".",s_Irr!BN6&lt;&gt;"."),s_dir!AR6/((1/1000)*(s_Irr!BN6)),IF(AND(s_Irr!R6=".",s_Irr!AP6&lt;&gt;".",s_Irr!BN6="."),s_dir!AR6/((1/1000)*(s_Irr!AP6)),IF(AND(s_Irr!R6&lt;&gt;".",s_Irr!AP6=".",s_Irr!BN6="."),s_dir!AR6/((1/1000)*(s_Irr!R6)),IF(AND(s_Irr!R6=".",s_Irr!AP6=".",s_Irr!BN6="."),s_dir!AR6*1000)))))))),".")</f>
        <v>.</v>
      </c>
      <c r="BR6" s="76" t="str">
        <f>IFERROR(IF(AND(s_Irr!S6&lt;&gt;".",s_Irr!AQ6&lt;&gt;".",s_Irr!BO6&lt;&gt;"."),s_dir!AS6/((1/1000)*(s_Irr!S6+s_Irr!AQ6+s_Irr!BO6)),IF(AND(s_Irr!S6&lt;&gt;".",s_Irr!AQ6&lt;&gt;".",s_Irr!BO6="."),s_dir!AS6/((1/1000)*(s_Irr!S6+s_Irr!AQ6)),IF(AND(s_Irr!S6&lt;&gt;".",s_Irr!AQ6=".",s_Irr!BO6&lt;&gt;"."),s_dir!AS6/((1/1000)*(s_Irr!S6+s_Irr!BO6)),IF(AND(s_Irr!S6=".",s_Irr!AQ6&lt;&gt;".",s_Irr!BO6&lt;&gt;"."),s_dir!AS6/((1/1000)*(s_Irr!AQ6+s_Irr!BO6)),IF(AND(s_Irr!S6=".",s_Irr!AQ6=".",s_Irr!BO6&lt;&gt;"."),s_dir!AS6/((1/1000)*(s_Irr!BO6)),IF(AND(s_Irr!S6=".",s_Irr!AQ6&lt;&gt;".",s_Irr!BO6="."),s_dir!AS6/((1/1000)*(s_Irr!AQ6)),IF(AND(s_Irr!S6&lt;&gt;".",s_Irr!AQ6=".",s_Irr!BO6="."),s_dir!AS6/((1/1000)*(s_Irr!S6)),IF(AND(s_Irr!S6=".",s_Irr!AQ6=".",s_Irr!BO6="."),s_dir!AS6*1000)))))))),".")</f>
        <v>.</v>
      </c>
      <c r="BS6" s="76" t="str">
        <f>IFERROR(IF(AND(s_Irr!T6&lt;&gt;".",s_Irr!AR6&lt;&gt;".",s_Irr!BP6&lt;&gt;"."),s_dir!AT6/((1/1000)*(s_Irr!T6+s_Irr!AR6+s_Irr!BP6)),IF(AND(s_Irr!T6&lt;&gt;".",s_Irr!AR6&lt;&gt;".",s_Irr!BP6="."),s_dir!AT6/((1/1000)*(s_Irr!T6+s_Irr!AR6)),IF(AND(s_Irr!T6&lt;&gt;".",s_Irr!AR6=".",s_Irr!BP6&lt;&gt;"."),s_dir!AT6/((1/1000)*(s_Irr!T6+s_Irr!BP6)),IF(AND(s_Irr!T6=".",s_Irr!AR6&lt;&gt;".",s_Irr!BP6&lt;&gt;"."),s_dir!AT6/((1/1000)*(s_Irr!AR6+s_Irr!BP6)),IF(AND(s_Irr!T6=".",s_Irr!AR6=".",s_Irr!BP6&lt;&gt;"."),s_dir!AT6/((1/1000)*(s_Irr!BP6)),IF(AND(s_Irr!T6=".",s_Irr!AR6&lt;&gt;".",s_Irr!BP6="."),s_dir!AT6/((1/1000)*(s_Irr!AR6)),IF(AND(s_Irr!T6&lt;&gt;".",s_Irr!AR6=".",s_Irr!BP6="."),s_dir!AT6/((1/1000)*(s_Irr!T6)),IF(AND(s_Irr!T6=".",s_Irr!AR6=".",s_Irr!BP6="."),s_dir!AT6*1000)))))))),".")</f>
        <v>.</v>
      </c>
      <c r="BT6" s="76" t="str">
        <f>IFERROR(IF(AND(s_Irr!U6&lt;&gt;".",s_Irr!AS6&lt;&gt;".",s_Irr!BQ6&lt;&gt;"."),s_dir!AU6/((1/1000)*(s_Irr!U6+s_Irr!AS6+s_Irr!BQ6)),IF(AND(s_Irr!U6&lt;&gt;".",s_Irr!AS6&lt;&gt;".",s_Irr!BQ6="."),s_dir!AU6/((1/1000)*(s_Irr!U6+s_Irr!AS6)),IF(AND(s_Irr!U6&lt;&gt;".",s_Irr!AS6=".",s_Irr!BQ6&lt;&gt;"."),s_dir!AU6/((1/1000)*(s_Irr!U6+s_Irr!BQ6)),IF(AND(s_Irr!U6=".",s_Irr!AS6&lt;&gt;".",s_Irr!BQ6&lt;&gt;"."),s_dir!AU6/((1/1000)*(s_Irr!AS6+s_Irr!BQ6)),IF(AND(s_Irr!U6=".",s_Irr!AS6=".",s_Irr!BQ6&lt;&gt;"."),s_dir!AU6/((1/1000)*(s_Irr!BQ6)),IF(AND(s_Irr!U6=".",s_Irr!AS6&lt;&gt;".",s_Irr!BQ6="."),s_dir!AU6/((1/1000)*(s_Irr!AS6)),IF(AND(s_Irr!U6&lt;&gt;".",s_Irr!AS6=".",s_Irr!BQ6="."),s_dir!AU6/((1/1000)*(s_Irr!U6)),IF(AND(s_Irr!U6=".",s_Irr!AS6=".",s_Irr!BQ6="."),s_dir!AU6*1000)))))))),".")</f>
        <v>.</v>
      </c>
      <c r="BU6" s="76" t="str">
        <f>IFERROR(IF(AND(s_Irr!V6&lt;&gt;".",s_Irr!AT6&lt;&gt;".",s_Irr!BR6&lt;&gt;"."),s_dir!AV6/((1/1000)*(s_Irr!V6+s_Irr!AT6+s_Irr!BR6)),IF(AND(s_Irr!V6&lt;&gt;".",s_Irr!AT6&lt;&gt;".",s_Irr!BR6="."),s_dir!AV6/((1/1000)*(s_Irr!V6+s_Irr!AT6)),IF(AND(s_Irr!V6&lt;&gt;".",s_Irr!AT6=".",s_Irr!BR6&lt;&gt;"."),s_dir!AV6/((1/1000)*(s_Irr!V6+s_Irr!BR6)),IF(AND(s_Irr!V6=".",s_Irr!AT6&lt;&gt;".",s_Irr!BR6&lt;&gt;"."),s_dir!AV6/((1/1000)*(s_Irr!AT6+s_Irr!BR6)),IF(AND(s_Irr!V6=".",s_Irr!AT6=".",s_Irr!BR6&lt;&gt;"."),s_dir!AV6/((1/1000)*(s_Irr!BR6)),IF(AND(s_Irr!V6=".",s_Irr!AT6&lt;&gt;".",s_Irr!BR6="."),s_dir!AV6/((1/1000)*(s_Irr!AT6)),IF(AND(s_Irr!V6&lt;&gt;".",s_Irr!AT6=".",s_Irr!BR6="."),s_dir!AV6/((1/1000)*(s_Irr!V6)),IF(AND(s_Irr!V6=".",s_Irr!AT6=".",s_Irr!BR6="."),s_dir!AV6*1000)))))))),".")</f>
        <v>.</v>
      </c>
      <c r="BV6" s="76" t="str">
        <f>IFERROR(IF(AND(s_Irr!W6&lt;&gt;".",s_Irr!AU6&lt;&gt;".",s_Irr!BS6&lt;&gt;"."),s_dir!AW6/((1/1000)*(s_Irr!W6+s_Irr!AU6+s_Irr!BS6)),IF(AND(s_Irr!W6&lt;&gt;".",s_Irr!AU6&lt;&gt;".",s_Irr!BS6="."),s_dir!AW6/((1/1000)*(s_Irr!W6+s_Irr!AU6)),IF(AND(s_Irr!W6&lt;&gt;".",s_Irr!AU6=".",s_Irr!BS6&lt;&gt;"."),s_dir!AW6/((1/1000)*(s_Irr!W6+s_Irr!BS6)),IF(AND(s_Irr!W6=".",s_Irr!AU6&lt;&gt;".",s_Irr!BS6&lt;&gt;"."),s_dir!AW6/((1/1000)*(s_Irr!AU6+s_Irr!BS6)),IF(AND(s_Irr!W6=".",s_Irr!AU6=".",s_Irr!BS6&lt;&gt;"."),s_dir!AW6/((1/1000)*(s_Irr!BS6)),IF(AND(s_Irr!W6=".",s_Irr!AU6&lt;&gt;".",s_Irr!BS6="."),s_dir!AW6/((1/1000)*(s_Irr!AU6)),IF(AND(s_Irr!W6&lt;&gt;".",s_Irr!AU6=".",s_Irr!BS6="."),s_dir!AW6/((1/1000)*(s_Irr!W6)),IF(AND(s_Irr!W6=".",s_Irr!AU6=".",s_Irr!BS6="."),s_dir!AW6*1000)))))))),".")</f>
        <v>.</v>
      </c>
      <c r="BW6" s="76" t="str">
        <f>IFERROR(IF(AND(s_Irr!X6&lt;&gt;".",s_Irr!AV6&lt;&gt;".",s_Irr!BT6&lt;&gt;"."),s_dir!AX6/((1/1000)*(s_Irr!X6+s_Irr!AV6+s_Irr!BT6)),IF(AND(s_Irr!X6&lt;&gt;".",s_Irr!AV6&lt;&gt;".",s_Irr!BT6="."),s_dir!AX6/((1/1000)*(s_Irr!X6+s_Irr!AV6)),IF(AND(s_Irr!X6&lt;&gt;".",s_Irr!AV6=".",s_Irr!BT6&lt;&gt;"."),s_dir!AX6/((1/1000)*(s_Irr!X6+s_Irr!BT6)),IF(AND(s_Irr!X6=".",s_Irr!AV6&lt;&gt;".",s_Irr!BT6&lt;&gt;"."),s_dir!AX6/((1/1000)*(s_Irr!AV6+s_Irr!BT6)),IF(AND(s_Irr!X6=".",s_Irr!AV6=".",s_Irr!BT6&lt;&gt;"."),s_dir!AX6/((1/1000)*(s_Irr!BT6)),IF(AND(s_Irr!X6=".",s_Irr!AV6&lt;&gt;".",s_Irr!BT6="."),s_dir!AX6/((1/1000)*(s_Irr!AV6)),IF(AND(s_Irr!X6&lt;&gt;".",s_Irr!AV6=".",s_Irr!BT6="."),s_dir!AX6/((1/1000)*(s_Irr!X6)),IF(AND(s_Irr!X6=".",s_Irr!AV6=".",s_Irr!BT6="."),s_dir!AX6*1000)))))))),".")</f>
        <v>.</v>
      </c>
      <c r="BX6" s="76" t="str">
        <f>IFERROR(IF(AND(s_Irr!Y6&lt;&gt;".",s_Irr!AW6&lt;&gt;".",s_Irr!BU6&lt;&gt;"."),s_dir!AY6/((1/1000)*(s_Irr!Y6+s_Irr!AW6+s_Irr!BU6)),IF(AND(s_Irr!Y6&lt;&gt;".",s_Irr!AW6&lt;&gt;".",s_Irr!BU6="."),s_dir!AY6/((1/1000)*(s_Irr!Y6+s_Irr!AW6)),IF(AND(s_Irr!Y6&lt;&gt;".",s_Irr!AW6=".",s_Irr!BU6&lt;&gt;"."),s_dir!AY6/((1/1000)*(s_Irr!Y6+s_Irr!BU6)),IF(AND(s_Irr!Y6=".",s_Irr!AW6&lt;&gt;".",s_Irr!BU6&lt;&gt;"."),s_dir!AY6/((1/1000)*(s_Irr!AW6+s_Irr!BU6)),IF(AND(s_Irr!Y6=".",s_Irr!AW6=".",s_Irr!BU6&lt;&gt;"."),s_dir!AY6/((1/1000)*(s_Irr!BU6)),IF(AND(s_Irr!Y6=".",s_Irr!AW6&lt;&gt;".",s_Irr!BU6="."),s_dir!AY6/((1/1000)*(s_Irr!AW6)),IF(AND(s_Irr!Y6&lt;&gt;".",s_Irr!AW6=".",s_Irr!BU6="."),s_dir!AY6/((1/1000)*(s_Irr!Y6)),IF(AND(s_Irr!Y6=".",s_Irr!AW6=".",s_Irr!BU6="."),s_dir!AY6*1000)))))))),".")</f>
        <v>.</v>
      </c>
      <c r="BY6" s="76" t="str">
        <f>IFERROR(IF(AND(s_Irr!Z6&lt;&gt;".",s_Irr!AX6&lt;&gt;".",s_Irr!BV6&lt;&gt;"."),s_dir!AZ6/((1/1000)*(s_Irr!Z6+s_Irr!AX6+s_Irr!BV6)),IF(AND(s_Irr!Z6&lt;&gt;".",s_Irr!AX6&lt;&gt;".",s_Irr!BV6="."),s_dir!AZ6/((1/1000)*(s_Irr!Z6+s_Irr!AX6)),IF(AND(s_Irr!Z6&lt;&gt;".",s_Irr!AX6=".",s_Irr!BV6&lt;&gt;"."),s_dir!AZ6/((1/1000)*(s_Irr!Z6+s_Irr!BV6)),IF(AND(s_Irr!Z6=".",s_Irr!AX6&lt;&gt;".",s_Irr!BV6&lt;&gt;"."),s_dir!AZ6/((1/1000)*(s_Irr!AX6+s_Irr!BV6)),IF(AND(s_Irr!Z6=".",s_Irr!AX6=".",s_Irr!BV6&lt;&gt;"."),s_dir!AZ6/((1/1000)*(s_Irr!BV6)),IF(AND(s_Irr!Z6=".",s_Irr!AX6&lt;&gt;".",s_Irr!BV6="."),s_dir!AZ6/((1/1000)*(s_Irr!AX6)),IF(AND(s_Irr!Z6&lt;&gt;".",s_Irr!AX6=".",s_Irr!BV6="."),s_dir!AZ6/((1/1000)*(s_Irr!Z6)),IF(AND(s_Irr!Z6=".",s_Irr!AX6=".",s_Irr!BV6="."),s_dir!AZ6*1000)))))))),".")</f>
        <v>.</v>
      </c>
      <c r="BZ6" s="93">
        <f>SUM(CA6:CB6,CW6:CX6)</f>
        <v>689.60680489009087</v>
      </c>
      <c r="CA6" s="93">
        <f>IFERROR(s_C*s_IFAP_far_adj*s_CF_apple*(1/1000)*(s_Irr!C6+s_Irr!AA6+s_Irr!AY6),".")</f>
        <v>188.15245928625063</v>
      </c>
      <c r="CB6" s="93">
        <f>IFERROR(s_C*s_IFAS_far_adj*s_CF_asparagus*(1/1000)*(s_Irr!D6+s_Irr!AB6+s_Irr!AZ6),".")</f>
        <v>174.49178446948747</v>
      </c>
      <c r="CC6" s="93">
        <f>IFERROR(s_C*s_IFBT_far_adj*s_CF_beet*(1/1000)*(s_Irr!E6+s_Irr!AC6+s_Irr!BA6),".")</f>
        <v>174.49178446948747</v>
      </c>
      <c r="CD6" s="93">
        <f>IFERROR(s_C*s_IFBE_far_adj*s_CF_berries*(1/1000)*(s_Irr!F6+s_Irr!AD6+s_Irr!BB6),".")</f>
        <v>188.15245928625063</v>
      </c>
      <c r="CE6" s="93">
        <f>IFERROR(s_C*s_IFBR_far_adj*s_CF_broccoli*(1/1000)*(s_Irr!G6+s_Irr!AE6+s_Irr!BC6),".")</f>
        <v>188.15245928625063</v>
      </c>
      <c r="CF6" s="93">
        <f>IFERROR(s_C*s_IFCB_far_adj*s_CF_cabbage*(1/1000)*(s_Irr!H6+s_Irr!AF6+s_Irr!BD6),".")</f>
        <v>174.49178446948747</v>
      </c>
      <c r="CG6" s="93">
        <f>IFERROR(s_C*s_IFCR_far_adj*s_CF_carrot*(1/1000)*(s_Irr!I6+s_Irr!AG6+s_Irr!BE6),".")</f>
        <v>174.49178446948747</v>
      </c>
      <c r="CH6" s="93">
        <f>IFERROR(s_C*s_IFCI_far_adj*s_CF_citrus*(1/1000)*(s_Irr!J6+s_Irr!AH6+s_Irr!BF6),".")</f>
        <v>188.15245928625063</v>
      </c>
      <c r="CI6" s="93">
        <f>IFERROR(s_C*s_IFCO_far_adj*s_CF_corn*(1/1000)*(s_Irr!K6+s_Irr!AI6+s_Irr!BG6),".")</f>
        <v>188.15245928625063</v>
      </c>
      <c r="CJ6" s="93">
        <f>IFERROR(s_C*s_IFCU_far_adj*s_CF_cucumber*(1/1000)*(s_Irr!L6+s_Irr!AJ6+s_Irr!BH6),".")</f>
        <v>188.15245928625063</v>
      </c>
      <c r="CK6" s="93">
        <f>IFERROR(s_C*s_IFLE_far_adj*s_CF_lettuce*(1/1000)*(s_Irr!M6+s_Irr!AK6+s_Irr!BI6),".")</f>
        <v>174.49178446948747</v>
      </c>
      <c r="CL6" s="93">
        <f>IFERROR(s_C*s_IFLI_far_adj*s_CF_lima_bean*(1/1000)*(s_Irr!N6+s_Irr!AL6+s_Irr!BJ6),".")</f>
        <v>188.15245928625063</v>
      </c>
      <c r="CM6" s="93">
        <f>IFERROR(s_C*s_IFOK_far_adj*s_CF_okra*(1/1000)*(s_Irr!O6+s_Irr!AM6+s_Irr!BK6),".")</f>
        <v>188.15245928625063</v>
      </c>
      <c r="CN6" s="93">
        <f>IFERROR(s_C*s_IFON_far_adj*s_CF_onion*(1/1000)*(s_Irr!P6+s_Irr!AN6+s_Irr!BL6),".")</f>
        <v>188.15245928625063</v>
      </c>
      <c r="CO6" s="93">
        <f>IFERROR(s_C*s_IFPC_far_adj*s_CF_peach*(1/1000)*(s_Irr!Q6+s_Irr!AO6+s_Irr!BM6),".")</f>
        <v>188.15245928625063</v>
      </c>
      <c r="CP6" s="93">
        <f>IFERROR(s_C*s_IFPR_far_adj*s_CF_pear*(1/1000)*(s_Irr!R6+s_Irr!AP6+s_Irr!BN6),".")</f>
        <v>188.15245928625063</v>
      </c>
      <c r="CQ6" s="93">
        <f>IFERROR(s_C*s_IFPE_far_adj*s_CF_peas*(1/1000)*(s_Irr!S6+s_Irr!AQ6+s_Irr!BO6),".")</f>
        <v>188.15245928625063</v>
      </c>
      <c r="CR6" s="93">
        <f>IFERROR(s_C*s_IFPT_far_adj*s_CF_potato*(1/1000)*(s_Irr!T6+s_Irr!AR6+s_Irr!BP6),".")</f>
        <v>174.49178446948747</v>
      </c>
      <c r="CS6" s="93">
        <f>IFERROR(s_C*s_IFPU_far_adj*s_CF_pumpkin*(1/1000)*(s_Irr!U6+s_Irr!AS6+s_Irr!BQ6),".")</f>
        <v>188.15245928625063</v>
      </c>
      <c r="CT6" s="93">
        <f>IFERROR(s_C*s_IFSN_far_adj*s_CF_snap_bean*(1/1000)*(s_Irr!V6+s_Irr!AT6+s_Irr!BR6),".")</f>
        <v>188.15245928625063</v>
      </c>
      <c r="CU6" s="93">
        <f>IFERROR(s_C*s_IFST_far_adj*s_CF_strawberry*(1/1000)*(s_Irr!W6+s_Irr!AU6+s_Irr!BS6),".")</f>
        <v>188.15245928625063</v>
      </c>
      <c r="CV6" s="93">
        <f>IFERROR(s_C*s_IFTO_far_adj*s_CF_tomato*(1/1000)*(s_Irr!X6+s_Irr!AV6+s_Irr!BT6),".")</f>
        <v>188.15245928625063</v>
      </c>
      <c r="CW6" s="93">
        <f>IFERROR(s_C*s_IFRI_far_adj*s_CF_rice*(1/1000)*(s_Irr!Y6+s_Irr!AW6+s_Irr!BU6),".")</f>
        <v>163.39931651827578</v>
      </c>
      <c r="CX6" s="93">
        <f>IFERROR(s_C*s_IFCG_far_adj*s_CF_cereal*(1/1000)*(s_Irr!Z6+s_Irr!AX6+s_Irr!BV6),".")</f>
        <v>163.56324461607693</v>
      </c>
    </row>
    <row r="7" spans="1:102" ht="15" customHeight="1" x14ac:dyDescent="0.25">
      <c r="A7" s="92" t="s">
        <v>17</v>
      </c>
      <c r="B7" s="90" t="s">
        <v>1074</v>
      </c>
      <c r="C7" s="76">
        <f t="shared" ref="C7:C9" si="6">IFERROR(1/SUM(1/D7,1/E7,1/Z7,1/AA7),".")</f>
        <v>221.12164775828299</v>
      </c>
      <c r="D7" s="76">
        <f>IFERROR(IF(AND(s_Irr!C7&lt;&gt;".",s_Irr!AA7&lt;&gt;".",s_Irr!AY7&lt;&gt;"."),s_dir!D7/((1/1000)*(s_Irr!C7+s_Irr!AA7+s_Irr!AY7)),IF(AND(s_Irr!C7&lt;&gt;".",s_Irr!AA7&lt;&gt;".",s_Irr!AY7="."),s_dir!D7/((1/1000)*(s_Irr!C7+s_Irr!AA7)),IF(AND(s_Irr!C7&lt;&gt;".",s_Irr!AA7=".",s_Irr!AY7&lt;&gt;"."),s_dir!D7/((1/1000)*(s_Irr!C7+s_Irr!AY7)),IF(AND(s_Irr!C7=".",s_Irr!AA7&lt;&gt;".",s_Irr!AY7&lt;&gt;"."),s_dir!D7/((1/1000)*(s_Irr!AA7+s_Irr!AY7)),IF(AND(s_Irr!C7=".",s_Irr!AA7=".",s_Irr!AY7&lt;&gt;"."),s_dir!D7/((1/1000)*(s_Irr!AY7)),IF(AND(s_Irr!C7=".",s_Irr!AA7&lt;&gt;".",s_Irr!AY7="."),s_dir!D7/((1/1000)*(s_Irr!AA7)),IF(AND(s_Irr!C7&lt;&gt;".",s_Irr!AA7=".",s_Irr!AY7="."),s_dir!D7/((1/1000)*(s_Irr!C7)),IF(AND(s_Irr!C7=".",s_Irr!AA7=".",s_Irr!AY7="."),s_dir!D7*1000)))))))),".")</f>
        <v>884.48659103313196</v>
      </c>
      <c r="E7" s="76">
        <f>IFERROR(IF(AND(s_Irr!D7&lt;&gt;".",s_Irr!AB7&lt;&gt;".",s_Irr!AZ7&lt;&gt;"."),s_dir!E7/((1/1000)*(s_Irr!D7+s_Irr!AB7+s_Irr!AZ7)),IF(AND(s_Irr!D7&lt;&gt;".",s_Irr!AB7&lt;&gt;".",s_Irr!AZ7="."),s_dir!E7/((1/1000)*(s_Irr!D7+s_Irr!AB7)),IF(AND(s_Irr!D7&lt;&gt;".",s_Irr!AB7=".",s_Irr!AZ7&lt;&gt;"."),s_dir!E7/((1/1000)*(s_Irr!D7+s_Irr!AZ7)),IF(AND(s_Irr!D7=".",s_Irr!AB7&lt;&gt;".",s_Irr!AZ7&lt;&gt;"."),s_dir!E7/((1/1000)*(s_Irr!AB7+s_Irr!AZ7)),IF(AND(s_Irr!D7=".",s_Irr!AB7=".",s_Irr!AZ7&lt;&gt;"."),s_dir!E7/((1/1000)*(s_Irr!AZ7)),IF(AND(s_Irr!D7=".",s_Irr!AB7&lt;&gt;".",s_Irr!AZ7="."),s_dir!E7/((1/1000)*(s_Irr!AB7)),IF(AND(s_Irr!D7&lt;&gt;".",s_Irr!AB7=".",s_Irr!AZ7="."),s_dir!E7/((1/1000)*(s_Irr!D7)),IF(AND(s_Irr!D7=".",s_Irr!AB7=".",s_Irr!AZ7="."),s_dir!E7*1000)))))))),".")</f>
        <v>884.48659103313196</v>
      </c>
      <c r="F7" s="76">
        <f>IFERROR(IF(AND(s_Irr!E7&lt;&gt;".",s_Irr!AC7&lt;&gt;".",s_Irr!BA7&lt;&gt;"."),s_dir!F7/((1/1000)*(s_Irr!E7+s_Irr!AC7+s_Irr!BA7)),IF(AND(s_Irr!E7&lt;&gt;".",s_Irr!AC7&lt;&gt;".",s_Irr!BA7="."),s_dir!F7/((1/1000)*(s_Irr!E7+s_Irr!AC7)),IF(AND(s_Irr!E7&lt;&gt;".",s_Irr!AC7=".",s_Irr!BA7&lt;&gt;"."),s_dir!F7/((1/1000)*(s_Irr!E7+s_Irr!BA7)),IF(AND(s_Irr!E7=".",s_Irr!AC7&lt;&gt;".",s_Irr!BA7&lt;&gt;"."),s_dir!F7/((1/1000)*(s_Irr!AC7+s_Irr!BA7)),IF(AND(s_Irr!E7=".",s_Irr!AC7=".",s_Irr!BA7&lt;&gt;"."),s_dir!F7/((1/1000)*(s_Irr!BA7)),IF(AND(s_Irr!E7=".",s_Irr!AC7&lt;&gt;".",s_Irr!BA7="."),s_dir!F7/((1/1000)*(s_Irr!AC7)),IF(AND(s_Irr!E7&lt;&gt;".",s_Irr!AC7=".",s_Irr!BA7="."),s_dir!F7/((1/1000)*(s_Irr!E7)),IF(AND(s_Irr!E7=".",s_Irr!AC7=".",s_Irr!BA7="."),s_dir!F7*1000)))))))),".")</f>
        <v>884.48659103313196</v>
      </c>
      <c r="G7" s="76">
        <f>IFERROR(IF(AND(s_Irr!F7&lt;&gt;".",s_Irr!AD7&lt;&gt;".",s_Irr!BB7&lt;&gt;"."),s_dir!G7/((1/1000)*(s_Irr!F7+s_Irr!AD7+s_Irr!BB7)),IF(AND(s_Irr!F7&lt;&gt;".",s_Irr!AD7&lt;&gt;".",s_Irr!BB7="."),s_dir!G7/((1/1000)*(s_Irr!F7+s_Irr!AD7)),IF(AND(s_Irr!F7&lt;&gt;".",s_Irr!AD7=".",s_Irr!BB7&lt;&gt;"."),s_dir!G7/((1/1000)*(s_Irr!F7+s_Irr!BB7)),IF(AND(s_Irr!F7=".",s_Irr!AD7&lt;&gt;".",s_Irr!BB7&lt;&gt;"."),s_dir!G7/((1/1000)*(s_Irr!AD7+s_Irr!BB7)),IF(AND(s_Irr!F7=".",s_Irr!AD7=".",s_Irr!BB7&lt;&gt;"."),s_dir!G7/((1/1000)*(s_Irr!BB7)),IF(AND(s_Irr!F7=".",s_Irr!AD7&lt;&gt;".",s_Irr!BB7="."),s_dir!G7/((1/1000)*(s_Irr!AD7)),IF(AND(s_Irr!F7&lt;&gt;".",s_Irr!AD7=".",s_Irr!BB7="."),s_dir!G7/((1/1000)*(s_Irr!F7)),IF(AND(s_Irr!F7=".",s_Irr!AD7=".",s_Irr!BB7="."),s_dir!G7*1000)))))))),".")</f>
        <v>884.48659103313196</v>
      </c>
      <c r="H7" s="76">
        <f>IFERROR(IF(AND(s_Irr!G7&lt;&gt;".",s_Irr!AE7&lt;&gt;".",s_Irr!BC7&lt;&gt;"."),s_dir!H7/((1/1000)*(s_Irr!G7+s_Irr!AE7+s_Irr!BC7)),IF(AND(s_Irr!G7&lt;&gt;".",s_Irr!AE7&lt;&gt;".",s_Irr!BC7="."),s_dir!H7/((1/1000)*(s_Irr!G7+s_Irr!AE7)),IF(AND(s_Irr!G7&lt;&gt;".",s_Irr!AE7=".",s_Irr!BC7&lt;&gt;"."),s_dir!H7/((1/1000)*(s_Irr!G7+s_Irr!BC7)),IF(AND(s_Irr!G7=".",s_Irr!AE7&lt;&gt;".",s_Irr!BC7&lt;&gt;"."),s_dir!H7/((1/1000)*(s_Irr!AE7+s_Irr!BC7)),IF(AND(s_Irr!G7=".",s_Irr!AE7=".",s_Irr!BC7&lt;&gt;"."),s_dir!H7/((1/1000)*(s_Irr!BC7)),IF(AND(s_Irr!G7=".",s_Irr!AE7&lt;&gt;".",s_Irr!BC7="."),s_dir!H7/((1/1000)*(s_Irr!AE7)),IF(AND(s_Irr!G7&lt;&gt;".",s_Irr!AE7=".",s_Irr!BC7="."),s_dir!H7/((1/1000)*(s_Irr!G7)),IF(AND(s_Irr!G7=".",s_Irr!AE7=".",s_Irr!BC7="."),s_dir!H7*1000)))))))),".")</f>
        <v>884.48659103313196</v>
      </c>
      <c r="I7" s="76">
        <f>IFERROR(IF(AND(s_Irr!H7&lt;&gt;".",s_Irr!AF7&lt;&gt;".",s_Irr!BD7&lt;&gt;"."),s_dir!I7/((1/1000)*(s_Irr!H7+s_Irr!AF7+s_Irr!BD7)),IF(AND(s_Irr!H7&lt;&gt;".",s_Irr!AF7&lt;&gt;".",s_Irr!BD7="."),s_dir!I7/((1/1000)*(s_Irr!H7+s_Irr!AF7)),IF(AND(s_Irr!H7&lt;&gt;".",s_Irr!AF7=".",s_Irr!BD7&lt;&gt;"."),s_dir!I7/((1/1000)*(s_Irr!H7+s_Irr!BD7)),IF(AND(s_Irr!H7=".",s_Irr!AF7&lt;&gt;".",s_Irr!BD7&lt;&gt;"."),s_dir!I7/((1/1000)*(s_Irr!AF7+s_Irr!BD7)),IF(AND(s_Irr!H7=".",s_Irr!AF7=".",s_Irr!BD7&lt;&gt;"."),s_dir!I7/((1/1000)*(s_Irr!BD7)),IF(AND(s_Irr!H7=".",s_Irr!AF7&lt;&gt;".",s_Irr!BD7="."),s_dir!I7/((1/1000)*(s_Irr!AF7)),IF(AND(s_Irr!H7&lt;&gt;".",s_Irr!AF7=".",s_Irr!BD7="."),s_dir!I7/((1/1000)*(s_Irr!H7)),IF(AND(s_Irr!H7=".",s_Irr!AF7=".",s_Irr!BD7="."),s_dir!I7*1000)))))))),".")</f>
        <v>884.48659103313196</v>
      </c>
      <c r="J7" s="76">
        <f>IFERROR(IF(AND(s_Irr!I7&lt;&gt;".",s_Irr!AG7&lt;&gt;".",s_Irr!BE7&lt;&gt;"."),s_dir!J7/((1/1000)*(s_Irr!I7+s_Irr!AG7+s_Irr!BE7)),IF(AND(s_Irr!I7&lt;&gt;".",s_Irr!AG7&lt;&gt;".",s_Irr!BE7="."),s_dir!J7/((1/1000)*(s_Irr!I7+s_Irr!AG7)),IF(AND(s_Irr!I7&lt;&gt;".",s_Irr!AG7=".",s_Irr!BE7&lt;&gt;"."),s_dir!J7/((1/1000)*(s_Irr!I7+s_Irr!BE7)),IF(AND(s_Irr!I7=".",s_Irr!AG7&lt;&gt;".",s_Irr!BE7&lt;&gt;"."),s_dir!J7/((1/1000)*(s_Irr!AG7+s_Irr!BE7)),IF(AND(s_Irr!I7=".",s_Irr!AG7=".",s_Irr!BE7&lt;&gt;"."),s_dir!J7/((1/1000)*(s_Irr!BE7)),IF(AND(s_Irr!I7=".",s_Irr!AG7&lt;&gt;".",s_Irr!BE7="."),s_dir!J7/((1/1000)*(s_Irr!AG7)),IF(AND(s_Irr!I7&lt;&gt;".",s_Irr!AG7=".",s_Irr!BE7="."),s_dir!J7/((1/1000)*(s_Irr!I7)),IF(AND(s_Irr!I7=".",s_Irr!AG7=".",s_Irr!BE7="."),s_dir!J7*1000)))))))),".")</f>
        <v>884.48659103313196</v>
      </c>
      <c r="K7" s="76">
        <f>IFERROR(IF(AND(s_Irr!J7&lt;&gt;".",s_Irr!AH7&lt;&gt;".",s_Irr!BF7&lt;&gt;"."),s_dir!K7/((1/1000)*(s_Irr!J7+s_Irr!AH7+s_Irr!BF7)),IF(AND(s_Irr!J7&lt;&gt;".",s_Irr!AH7&lt;&gt;".",s_Irr!BF7="."),s_dir!K7/((1/1000)*(s_Irr!J7+s_Irr!AH7)),IF(AND(s_Irr!J7&lt;&gt;".",s_Irr!AH7=".",s_Irr!BF7&lt;&gt;"."),s_dir!K7/((1/1000)*(s_Irr!J7+s_Irr!BF7)),IF(AND(s_Irr!J7=".",s_Irr!AH7&lt;&gt;".",s_Irr!BF7&lt;&gt;"."),s_dir!K7/((1/1000)*(s_Irr!AH7+s_Irr!BF7)),IF(AND(s_Irr!J7=".",s_Irr!AH7=".",s_Irr!BF7&lt;&gt;"."),s_dir!K7/((1/1000)*(s_Irr!BF7)),IF(AND(s_Irr!J7=".",s_Irr!AH7&lt;&gt;".",s_Irr!BF7="."),s_dir!K7/((1/1000)*(s_Irr!AH7)),IF(AND(s_Irr!J7&lt;&gt;".",s_Irr!AH7=".",s_Irr!BF7="."),s_dir!K7/((1/1000)*(s_Irr!J7)),IF(AND(s_Irr!J7=".",s_Irr!AH7=".",s_Irr!BF7="."),s_dir!K7*1000)))))))),".")</f>
        <v>884.48659103313196</v>
      </c>
      <c r="L7" s="76">
        <f>IFERROR(IF(AND(s_Irr!K7&lt;&gt;".",s_Irr!AI7&lt;&gt;".",s_Irr!BG7&lt;&gt;"."),s_dir!L7/((1/1000)*(s_Irr!K7+s_Irr!AI7+s_Irr!BG7)),IF(AND(s_Irr!K7&lt;&gt;".",s_Irr!AI7&lt;&gt;".",s_Irr!BG7="."),s_dir!L7/((1/1000)*(s_Irr!K7+s_Irr!AI7)),IF(AND(s_Irr!K7&lt;&gt;".",s_Irr!AI7=".",s_Irr!BG7&lt;&gt;"."),s_dir!L7/((1/1000)*(s_Irr!K7+s_Irr!BG7)),IF(AND(s_Irr!K7=".",s_Irr!AI7&lt;&gt;".",s_Irr!BG7&lt;&gt;"."),s_dir!L7/((1/1000)*(s_Irr!AI7+s_Irr!BG7)),IF(AND(s_Irr!K7=".",s_Irr!AI7=".",s_Irr!BG7&lt;&gt;"."),s_dir!L7/((1/1000)*(s_Irr!BG7)),IF(AND(s_Irr!K7=".",s_Irr!AI7&lt;&gt;".",s_Irr!BG7="."),s_dir!L7/((1/1000)*(s_Irr!AI7)),IF(AND(s_Irr!K7&lt;&gt;".",s_Irr!AI7=".",s_Irr!BG7="."),s_dir!L7/((1/1000)*(s_Irr!K7)),IF(AND(s_Irr!K7=".",s_Irr!AI7=".",s_Irr!BG7="."),s_dir!L7*1000)))))))),".")</f>
        <v>884.48659103313196</v>
      </c>
      <c r="M7" s="76">
        <f>IFERROR(IF(AND(s_Irr!L7&lt;&gt;".",s_Irr!AJ7&lt;&gt;".",s_Irr!BH7&lt;&gt;"."),s_dir!M7/((1/1000)*(s_Irr!L7+s_Irr!AJ7+s_Irr!BH7)),IF(AND(s_Irr!L7&lt;&gt;".",s_Irr!AJ7&lt;&gt;".",s_Irr!BH7="."),s_dir!M7/((1/1000)*(s_Irr!L7+s_Irr!AJ7)),IF(AND(s_Irr!L7&lt;&gt;".",s_Irr!AJ7=".",s_Irr!BH7&lt;&gt;"."),s_dir!M7/((1/1000)*(s_Irr!L7+s_Irr!BH7)),IF(AND(s_Irr!L7=".",s_Irr!AJ7&lt;&gt;".",s_Irr!BH7&lt;&gt;"."),s_dir!M7/((1/1000)*(s_Irr!AJ7+s_Irr!BH7)),IF(AND(s_Irr!L7=".",s_Irr!AJ7=".",s_Irr!BH7&lt;&gt;"."),s_dir!M7/((1/1000)*(s_Irr!BH7)),IF(AND(s_Irr!L7=".",s_Irr!AJ7&lt;&gt;".",s_Irr!BH7="."),s_dir!M7/((1/1000)*(s_Irr!AJ7)),IF(AND(s_Irr!L7&lt;&gt;".",s_Irr!AJ7=".",s_Irr!BH7="."),s_dir!M7/((1/1000)*(s_Irr!L7)),IF(AND(s_Irr!L7=".",s_Irr!AJ7=".",s_Irr!BH7="."),s_dir!M7*1000)))))))),".")</f>
        <v>884.48659103313196</v>
      </c>
      <c r="N7" s="76">
        <f>IFERROR(IF(AND(s_Irr!M7&lt;&gt;".",s_Irr!AK7&lt;&gt;".",s_Irr!BI7&lt;&gt;"."),s_dir!N7/((1/1000)*(s_Irr!M7+s_Irr!AK7+s_Irr!BI7)),IF(AND(s_Irr!M7&lt;&gt;".",s_Irr!AK7&lt;&gt;".",s_Irr!BI7="."),s_dir!N7/((1/1000)*(s_Irr!M7+s_Irr!AK7)),IF(AND(s_Irr!M7&lt;&gt;".",s_Irr!AK7=".",s_Irr!BI7&lt;&gt;"."),s_dir!N7/((1/1000)*(s_Irr!M7+s_Irr!BI7)),IF(AND(s_Irr!M7=".",s_Irr!AK7&lt;&gt;".",s_Irr!BI7&lt;&gt;"."),s_dir!N7/((1/1000)*(s_Irr!AK7+s_Irr!BI7)),IF(AND(s_Irr!M7=".",s_Irr!AK7=".",s_Irr!BI7&lt;&gt;"."),s_dir!N7/((1/1000)*(s_Irr!BI7)),IF(AND(s_Irr!M7=".",s_Irr!AK7&lt;&gt;".",s_Irr!BI7="."),s_dir!N7/((1/1000)*(s_Irr!AK7)),IF(AND(s_Irr!M7&lt;&gt;".",s_Irr!AK7=".",s_Irr!BI7="."),s_dir!N7/((1/1000)*(s_Irr!M7)),IF(AND(s_Irr!M7=".",s_Irr!AK7=".",s_Irr!BI7="."),s_dir!N7*1000)))))))),".")</f>
        <v>884.48659103313196</v>
      </c>
      <c r="O7" s="76">
        <f>IFERROR(IF(AND(s_Irr!N7&lt;&gt;".",s_Irr!AL7&lt;&gt;".",s_Irr!BJ7&lt;&gt;"."),s_dir!O7/((1/1000)*(s_Irr!N7+s_Irr!AL7+s_Irr!BJ7)),IF(AND(s_Irr!N7&lt;&gt;".",s_Irr!AL7&lt;&gt;".",s_Irr!BJ7="."),s_dir!O7/((1/1000)*(s_Irr!N7+s_Irr!AL7)),IF(AND(s_Irr!N7&lt;&gt;".",s_Irr!AL7=".",s_Irr!BJ7&lt;&gt;"."),s_dir!O7/((1/1000)*(s_Irr!N7+s_Irr!BJ7)),IF(AND(s_Irr!N7=".",s_Irr!AL7&lt;&gt;".",s_Irr!BJ7&lt;&gt;"."),s_dir!O7/((1/1000)*(s_Irr!AL7+s_Irr!BJ7)),IF(AND(s_Irr!N7=".",s_Irr!AL7=".",s_Irr!BJ7&lt;&gt;"."),s_dir!O7/((1/1000)*(s_Irr!BJ7)),IF(AND(s_Irr!N7=".",s_Irr!AL7&lt;&gt;".",s_Irr!BJ7="."),s_dir!O7/((1/1000)*(s_Irr!AL7)),IF(AND(s_Irr!N7&lt;&gt;".",s_Irr!AL7=".",s_Irr!BJ7="."),s_dir!O7/((1/1000)*(s_Irr!N7)),IF(AND(s_Irr!N7=".",s_Irr!AL7=".",s_Irr!BJ7="."),s_dir!O7*1000)))))))),".")</f>
        <v>884.48659103313196</v>
      </c>
      <c r="P7" s="76">
        <f>IFERROR(IF(AND(s_Irr!O7&lt;&gt;".",s_Irr!AM7&lt;&gt;".",s_Irr!BK7&lt;&gt;"."),s_dir!P7/((1/1000)*(s_Irr!O7+s_Irr!AM7+s_Irr!BK7)),IF(AND(s_Irr!O7&lt;&gt;".",s_Irr!AM7&lt;&gt;".",s_Irr!BK7="."),s_dir!P7/((1/1000)*(s_Irr!O7+s_Irr!AM7)),IF(AND(s_Irr!O7&lt;&gt;".",s_Irr!AM7=".",s_Irr!BK7&lt;&gt;"."),s_dir!P7/((1/1000)*(s_Irr!O7+s_Irr!BK7)),IF(AND(s_Irr!O7=".",s_Irr!AM7&lt;&gt;".",s_Irr!BK7&lt;&gt;"."),s_dir!P7/((1/1000)*(s_Irr!AM7+s_Irr!BK7)),IF(AND(s_Irr!O7=".",s_Irr!AM7=".",s_Irr!BK7&lt;&gt;"."),s_dir!P7/((1/1000)*(s_Irr!BK7)),IF(AND(s_Irr!O7=".",s_Irr!AM7&lt;&gt;".",s_Irr!BK7="."),s_dir!P7/((1/1000)*(s_Irr!AM7)),IF(AND(s_Irr!O7&lt;&gt;".",s_Irr!AM7=".",s_Irr!BK7="."),s_dir!P7/((1/1000)*(s_Irr!O7)),IF(AND(s_Irr!O7=".",s_Irr!AM7=".",s_Irr!BK7="."),s_dir!P7*1000)))))))),".")</f>
        <v>884.48659103313196</v>
      </c>
      <c r="Q7" s="76">
        <f>IFERROR(IF(AND(s_Irr!P7&lt;&gt;".",s_Irr!AN7&lt;&gt;".",s_Irr!BL7&lt;&gt;"."),s_dir!Q7/((1/1000)*(s_Irr!P7+s_Irr!AN7+s_Irr!BL7)),IF(AND(s_Irr!P7&lt;&gt;".",s_Irr!AN7&lt;&gt;".",s_Irr!BL7="."),s_dir!Q7/((1/1000)*(s_Irr!P7+s_Irr!AN7)),IF(AND(s_Irr!P7&lt;&gt;".",s_Irr!AN7=".",s_Irr!BL7&lt;&gt;"."),s_dir!Q7/((1/1000)*(s_Irr!P7+s_Irr!BL7)),IF(AND(s_Irr!P7=".",s_Irr!AN7&lt;&gt;".",s_Irr!BL7&lt;&gt;"."),s_dir!Q7/((1/1000)*(s_Irr!AN7+s_Irr!BL7)),IF(AND(s_Irr!P7=".",s_Irr!AN7=".",s_Irr!BL7&lt;&gt;"."),s_dir!Q7/((1/1000)*(s_Irr!BL7)),IF(AND(s_Irr!P7=".",s_Irr!AN7&lt;&gt;".",s_Irr!BL7="."),s_dir!Q7/((1/1000)*(s_Irr!AN7)),IF(AND(s_Irr!P7&lt;&gt;".",s_Irr!AN7=".",s_Irr!BL7="."),s_dir!Q7/((1/1000)*(s_Irr!P7)),IF(AND(s_Irr!P7=".",s_Irr!AN7=".",s_Irr!BL7="."),s_dir!Q7*1000)))))))),".")</f>
        <v>884.48659103313196</v>
      </c>
      <c r="R7" s="76">
        <f>IFERROR(IF(AND(s_Irr!Q7&lt;&gt;".",s_Irr!AO7&lt;&gt;".",s_Irr!BM7&lt;&gt;"."),s_dir!R7/((1/1000)*(s_Irr!Q7+s_Irr!AO7+s_Irr!BM7)),IF(AND(s_Irr!Q7&lt;&gt;".",s_Irr!AO7&lt;&gt;".",s_Irr!BM7="."),s_dir!R7/((1/1000)*(s_Irr!Q7+s_Irr!AO7)),IF(AND(s_Irr!Q7&lt;&gt;".",s_Irr!AO7=".",s_Irr!BM7&lt;&gt;"."),s_dir!R7/((1/1000)*(s_Irr!Q7+s_Irr!BM7)),IF(AND(s_Irr!Q7=".",s_Irr!AO7&lt;&gt;".",s_Irr!BM7&lt;&gt;"."),s_dir!R7/((1/1000)*(s_Irr!AO7+s_Irr!BM7)),IF(AND(s_Irr!Q7=".",s_Irr!AO7=".",s_Irr!BM7&lt;&gt;"."),s_dir!R7/((1/1000)*(s_Irr!BM7)),IF(AND(s_Irr!Q7=".",s_Irr!AO7&lt;&gt;".",s_Irr!BM7="."),s_dir!R7/((1/1000)*(s_Irr!AO7)),IF(AND(s_Irr!Q7&lt;&gt;".",s_Irr!AO7=".",s_Irr!BM7="."),s_dir!R7/((1/1000)*(s_Irr!Q7)),IF(AND(s_Irr!Q7=".",s_Irr!AO7=".",s_Irr!BM7="."),s_dir!R7*1000)))))))),".")</f>
        <v>884.48659103313196</v>
      </c>
      <c r="S7" s="76">
        <f>IFERROR(IF(AND(s_Irr!R7&lt;&gt;".",s_Irr!AP7&lt;&gt;".",s_Irr!BN7&lt;&gt;"."),s_dir!S7/((1/1000)*(s_Irr!R7+s_Irr!AP7+s_Irr!BN7)),IF(AND(s_Irr!R7&lt;&gt;".",s_Irr!AP7&lt;&gt;".",s_Irr!BN7="."),s_dir!S7/((1/1000)*(s_Irr!R7+s_Irr!AP7)),IF(AND(s_Irr!R7&lt;&gt;".",s_Irr!AP7=".",s_Irr!BN7&lt;&gt;"."),s_dir!S7/((1/1000)*(s_Irr!R7+s_Irr!BN7)),IF(AND(s_Irr!R7=".",s_Irr!AP7&lt;&gt;".",s_Irr!BN7&lt;&gt;"."),s_dir!S7/((1/1000)*(s_Irr!AP7+s_Irr!BN7)),IF(AND(s_Irr!R7=".",s_Irr!AP7=".",s_Irr!BN7&lt;&gt;"."),s_dir!S7/((1/1000)*(s_Irr!BN7)),IF(AND(s_Irr!R7=".",s_Irr!AP7&lt;&gt;".",s_Irr!BN7="."),s_dir!S7/((1/1000)*(s_Irr!AP7)),IF(AND(s_Irr!R7&lt;&gt;".",s_Irr!AP7=".",s_Irr!BN7="."),s_dir!S7/((1/1000)*(s_Irr!R7)),IF(AND(s_Irr!R7=".",s_Irr!AP7=".",s_Irr!BN7="."),s_dir!S7*1000)))))))),".")</f>
        <v>884.48659103313196</v>
      </c>
      <c r="T7" s="76">
        <f>IFERROR(IF(AND(s_Irr!S7&lt;&gt;".",s_Irr!AQ7&lt;&gt;".",s_Irr!BO7&lt;&gt;"."),s_dir!T7/((1/1000)*(s_Irr!S7+s_Irr!AQ7+s_Irr!BO7)),IF(AND(s_Irr!S7&lt;&gt;".",s_Irr!AQ7&lt;&gt;".",s_Irr!BO7="."),s_dir!T7/((1/1000)*(s_Irr!S7+s_Irr!AQ7)),IF(AND(s_Irr!S7&lt;&gt;".",s_Irr!AQ7=".",s_Irr!BO7&lt;&gt;"."),s_dir!T7/((1/1000)*(s_Irr!S7+s_Irr!BO7)),IF(AND(s_Irr!S7=".",s_Irr!AQ7&lt;&gt;".",s_Irr!BO7&lt;&gt;"."),s_dir!T7/((1/1000)*(s_Irr!AQ7+s_Irr!BO7)),IF(AND(s_Irr!S7=".",s_Irr!AQ7=".",s_Irr!BO7&lt;&gt;"."),s_dir!T7/((1/1000)*(s_Irr!BO7)),IF(AND(s_Irr!S7=".",s_Irr!AQ7&lt;&gt;".",s_Irr!BO7="."),s_dir!T7/((1/1000)*(s_Irr!AQ7)),IF(AND(s_Irr!S7&lt;&gt;".",s_Irr!AQ7=".",s_Irr!BO7="."),s_dir!T7/((1/1000)*(s_Irr!S7)),IF(AND(s_Irr!S7=".",s_Irr!AQ7=".",s_Irr!BO7="."),s_dir!T7*1000)))))))),".")</f>
        <v>884.48659103313196</v>
      </c>
      <c r="U7" s="76">
        <f>IFERROR(IF(AND(s_Irr!T7&lt;&gt;".",s_Irr!AR7&lt;&gt;".",s_Irr!BP7&lt;&gt;"."),s_dir!U7/((1/1000)*(s_Irr!T7+s_Irr!AR7+s_Irr!BP7)),IF(AND(s_Irr!T7&lt;&gt;".",s_Irr!AR7&lt;&gt;".",s_Irr!BP7="."),s_dir!U7/((1/1000)*(s_Irr!T7+s_Irr!AR7)),IF(AND(s_Irr!T7&lt;&gt;".",s_Irr!AR7=".",s_Irr!BP7&lt;&gt;"."),s_dir!U7/((1/1000)*(s_Irr!T7+s_Irr!BP7)),IF(AND(s_Irr!T7=".",s_Irr!AR7&lt;&gt;".",s_Irr!BP7&lt;&gt;"."),s_dir!U7/((1/1000)*(s_Irr!AR7+s_Irr!BP7)),IF(AND(s_Irr!T7=".",s_Irr!AR7=".",s_Irr!BP7&lt;&gt;"."),s_dir!U7/((1/1000)*(s_Irr!BP7)),IF(AND(s_Irr!T7=".",s_Irr!AR7&lt;&gt;".",s_Irr!BP7="."),s_dir!U7/((1/1000)*(s_Irr!AR7)),IF(AND(s_Irr!T7&lt;&gt;".",s_Irr!AR7=".",s_Irr!BP7="."),s_dir!U7/((1/1000)*(s_Irr!T7)),IF(AND(s_Irr!T7=".",s_Irr!AR7=".",s_Irr!BP7="."),s_dir!U7*1000)))))))),".")</f>
        <v>884.48659103313196</v>
      </c>
      <c r="V7" s="76">
        <f>IFERROR(IF(AND(s_Irr!U7&lt;&gt;".",s_Irr!AS7&lt;&gt;".",s_Irr!BQ7&lt;&gt;"."),s_dir!V7/((1/1000)*(s_Irr!U7+s_Irr!AS7+s_Irr!BQ7)),IF(AND(s_Irr!U7&lt;&gt;".",s_Irr!AS7&lt;&gt;".",s_Irr!BQ7="."),s_dir!V7/((1/1000)*(s_Irr!U7+s_Irr!AS7)),IF(AND(s_Irr!U7&lt;&gt;".",s_Irr!AS7=".",s_Irr!BQ7&lt;&gt;"."),s_dir!V7/((1/1000)*(s_Irr!U7+s_Irr!BQ7)),IF(AND(s_Irr!U7=".",s_Irr!AS7&lt;&gt;".",s_Irr!BQ7&lt;&gt;"."),s_dir!V7/((1/1000)*(s_Irr!AS7+s_Irr!BQ7)),IF(AND(s_Irr!U7=".",s_Irr!AS7=".",s_Irr!BQ7&lt;&gt;"."),s_dir!V7/((1/1000)*(s_Irr!BQ7)),IF(AND(s_Irr!U7=".",s_Irr!AS7&lt;&gt;".",s_Irr!BQ7="."),s_dir!V7/((1/1000)*(s_Irr!AS7)),IF(AND(s_Irr!U7&lt;&gt;".",s_Irr!AS7=".",s_Irr!BQ7="."),s_dir!V7/((1/1000)*(s_Irr!U7)),IF(AND(s_Irr!U7=".",s_Irr!AS7=".",s_Irr!BQ7="."),s_dir!V7*1000)))))))),".")</f>
        <v>884.48659103313196</v>
      </c>
      <c r="W7" s="76">
        <f>IFERROR(IF(AND(s_Irr!V7&lt;&gt;".",s_Irr!AT7&lt;&gt;".",s_Irr!BR7&lt;&gt;"."),s_dir!W7/((1/1000)*(s_Irr!V7+s_Irr!AT7+s_Irr!BR7)),IF(AND(s_Irr!V7&lt;&gt;".",s_Irr!AT7&lt;&gt;".",s_Irr!BR7="."),s_dir!W7/((1/1000)*(s_Irr!V7+s_Irr!AT7)),IF(AND(s_Irr!V7&lt;&gt;".",s_Irr!AT7=".",s_Irr!BR7&lt;&gt;"."),s_dir!W7/((1/1000)*(s_Irr!V7+s_Irr!BR7)),IF(AND(s_Irr!V7=".",s_Irr!AT7&lt;&gt;".",s_Irr!BR7&lt;&gt;"."),s_dir!W7/((1/1000)*(s_Irr!AT7+s_Irr!BR7)),IF(AND(s_Irr!V7=".",s_Irr!AT7=".",s_Irr!BR7&lt;&gt;"."),s_dir!W7/((1/1000)*(s_Irr!BR7)),IF(AND(s_Irr!V7=".",s_Irr!AT7&lt;&gt;".",s_Irr!BR7="."),s_dir!W7/((1/1000)*(s_Irr!AT7)),IF(AND(s_Irr!V7&lt;&gt;".",s_Irr!AT7=".",s_Irr!BR7="."),s_dir!W7/((1/1000)*(s_Irr!V7)),IF(AND(s_Irr!V7=".",s_Irr!AT7=".",s_Irr!BR7="."),s_dir!W7*1000)))))))),".")</f>
        <v>884.48659103313196</v>
      </c>
      <c r="X7" s="76">
        <f>IFERROR(IF(AND(s_Irr!W7&lt;&gt;".",s_Irr!AU7&lt;&gt;".",s_Irr!BS7&lt;&gt;"."),s_dir!X7/((1/1000)*(s_Irr!W7+s_Irr!AU7+s_Irr!BS7)),IF(AND(s_Irr!W7&lt;&gt;".",s_Irr!AU7&lt;&gt;".",s_Irr!BS7="."),s_dir!X7/((1/1000)*(s_Irr!W7+s_Irr!AU7)),IF(AND(s_Irr!W7&lt;&gt;".",s_Irr!AU7=".",s_Irr!BS7&lt;&gt;"."),s_dir!X7/((1/1000)*(s_Irr!W7+s_Irr!BS7)),IF(AND(s_Irr!W7=".",s_Irr!AU7&lt;&gt;".",s_Irr!BS7&lt;&gt;"."),s_dir!X7/((1/1000)*(s_Irr!AU7+s_Irr!BS7)),IF(AND(s_Irr!W7=".",s_Irr!AU7=".",s_Irr!BS7&lt;&gt;"."),s_dir!X7/((1/1000)*(s_Irr!BS7)),IF(AND(s_Irr!W7=".",s_Irr!AU7&lt;&gt;".",s_Irr!BS7="."),s_dir!X7/((1/1000)*(s_Irr!AU7)),IF(AND(s_Irr!W7&lt;&gt;".",s_Irr!AU7=".",s_Irr!BS7="."),s_dir!X7/((1/1000)*(s_Irr!W7)),IF(AND(s_Irr!W7=".",s_Irr!AU7=".",s_Irr!BS7="."),s_dir!X7*1000)))))))),".")</f>
        <v>884.48659103313196</v>
      </c>
      <c r="Y7" s="76">
        <f>IFERROR(IF(AND(s_Irr!X7&lt;&gt;".",s_Irr!AV7&lt;&gt;".",s_Irr!BT7&lt;&gt;"."),s_dir!Y7/((1/1000)*(s_Irr!X7+s_Irr!AV7+s_Irr!BT7)),IF(AND(s_Irr!X7&lt;&gt;".",s_Irr!AV7&lt;&gt;".",s_Irr!BT7="."),s_dir!Y7/((1/1000)*(s_Irr!X7+s_Irr!AV7)),IF(AND(s_Irr!X7&lt;&gt;".",s_Irr!AV7=".",s_Irr!BT7&lt;&gt;"."),s_dir!Y7/((1/1000)*(s_Irr!X7+s_Irr!BT7)),IF(AND(s_Irr!X7=".",s_Irr!AV7&lt;&gt;".",s_Irr!BT7&lt;&gt;"."),s_dir!Y7/((1/1000)*(s_Irr!AV7+s_Irr!BT7)),IF(AND(s_Irr!X7=".",s_Irr!AV7=".",s_Irr!BT7&lt;&gt;"."),s_dir!Y7/((1/1000)*(s_Irr!BT7)),IF(AND(s_Irr!X7=".",s_Irr!AV7&lt;&gt;".",s_Irr!BT7="."),s_dir!Y7/((1/1000)*(s_Irr!AV7)),IF(AND(s_Irr!X7&lt;&gt;".",s_Irr!AV7=".",s_Irr!BT7="."),s_dir!Y7/((1/1000)*(s_Irr!X7)),IF(AND(s_Irr!X7=".",s_Irr!AV7=".",s_Irr!BT7="."),s_dir!Y7*1000)))))))),".")</f>
        <v>884.48659103313196</v>
      </c>
      <c r="Z7" s="76">
        <f>IFERROR(IF(AND(s_Irr!Y7&lt;&gt;".",s_Irr!AW7&lt;&gt;".",s_Irr!BU7&lt;&gt;"."),s_dir!Z7/((1/1000)*(s_Irr!Y7+s_Irr!AW7+s_Irr!BU7)),IF(AND(s_Irr!Y7&lt;&gt;".",s_Irr!AW7&lt;&gt;".",s_Irr!BU7="."),s_dir!Z7/((1/1000)*(s_Irr!Y7+s_Irr!AW7)),IF(AND(s_Irr!Y7&lt;&gt;".",s_Irr!AW7=".",s_Irr!BU7&lt;&gt;"."),s_dir!Z7/((1/1000)*(s_Irr!Y7+s_Irr!BU7)),IF(AND(s_Irr!Y7=".",s_Irr!AW7&lt;&gt;".",s_Irr!BU7&lt;&gt;"."),s_dir!Z7/((1/1000)*(s_Irr!AW7+s_Irr!BU7)),IF(AND(s_Irr!Y7=".",s_Irr!AW7=".",s_Irr!BU7&lt;&gt;"."),s_dir!Z7/((1/1000)*(s_Irr!BU7)),IF(AND(s_Irr!Y7=".",s_Irr!AW7&lt;&gt;".",s_Irr!BU7="."),s_dir!Z7/((1/1000)*(s_Irr!AW7)),IF(AND(s_Irr!Y7&lt;&gt;".",s_Irr!AW7=".",s_Irr!BU7="."),s_dir!Z7/((1/1000)*(s_Irr!Y7)),IF(AND(s_Irr!Y7=".",s_Irr!AW7=".",s_Irr!BU7="."),s_dir!Z7*1000)))))))),".")</f>
        <v>884.48659103313196</v>
      </c>
      <c r="AA7" s="76">
        <f>IFERROR(IF(AND(s_Irr!Z7&lt;&gt;".",s_Irr!AX7&lt;&gt;".",s_Irr!BV7&lt;&gt;"."),s_dir!AA7/((1/1000)*(s_Irr!Z7+s_Irr!AX7+s_Irr!BV7)),IF(AND(s_Irr!Z7&lt;&gt;".",s_Irr!AX7&lt;&gt;".",s_Irr!BV7="."),s_dir!AA7/((1/1000)*(s_Irr!Z7+s_Irr!AX7)),IF(AND(s_Irr!Z7&lt;&gt;".",s_Irr!AX7=".",s_Irr!BV7&lt;&gt;"."),s_dir!AA7/((1/1000)*(s_Irr!Z7+s_Irr!BV7)),IF(AND(s_Irr!Z7=".",s_Irr!AX7&lt;&gt;".",s_Irr!BV7&lt;&gt;"."),s_dir!AA7/((1/1000)*(s_Irr!AX7+s_Irr!BV7)),IF(AND(s_Irr!Z7=".",s_Irr!AX7=".",s_Irr!BV7&lt;&gt;"."),s_dir!AA7/((1/1000)*(s_Irr!BV7)),IF(AND(s_Irr!Z7=".",s_Irr!AX7&lt;&gt;".",s_Irr!BV7="."),s_dir!AA7/((1/1000)*(s_Irr!AX7)),IF(AND(s_Irr!Z7&lt;&gt;".",s_Irr!AX7=".",s_Irr!BV7="."),s_dir!AA7/((1/1000)*(s_Irr!Z7)),IF(AND(s_Irr!Z7=".",s_Irr!AX7=".",s_Irr!BV7="."),s_dir!AA7*1000)))))))),".")</f>
        <v>884.48659103313196</v>
      </c>
      <c r="AB7" s="93">
        <f>SUM(AC7:AD7,AY7:AZ7)</f>
        <v>1736.1784239519495</v>
      </c>
      <c r="AC7" s="93">
        <f>IFERROR(s_C*s_IFAP_res_adj*s_CF_apple*0.001*(s_Irr!C7+s_Irr!AA7+s_Irr!AY7),".")</f>
        <v>434.04460598798738</v>
      </c>
      <c r="AD7" s="93">
        <f>IFERROR(s_C*s_IFAS_res_adj*s_CF_asparagus*0.001*(s_Irr!D7+s_Irr!AB7+s_Irr!AZ7),".")</f>
        <v>434.04460598798738</v>
      </c>
      <c r="AE7" s="93">
        <f>IFERROR(s_C*s_IFBT_res_adj*s_CF_beet*0.001*(s_Irr!E7+s_Irr!AC7+s_Irr!BA7),".")</f>
        <v>434.04460598798738</v>
      </c>
      <c r="AF7" s="93">
        <f>IFERROR(s_C*s_IFBE_res_adj*s_CF_berries*0.001*(s_Irr!F7+s_Irr!AD7+s_Irr!BB7),".")</f>
        <v>434.04460598798738</v>
      </c>
      <c r="AG7" s="93">
        <f>IFERROR(s_C*s_IFBR_res_adj*s_CF_broccoli*0.001*(s_Irr!G7+s_Irr!AE7+s_Irr!BC7),".")</f>
        <v>434.04460598798738</v>
      </c>
      <c r="AH7" s="93">
        <f>IFERROR(s_C*s_IFCB_res_adj*s_CF_cabbage*0.001*(s_Irr!H7+s_Irr!AF7+s_Irr!BD7),".")</f>
        <v>434.04460598798738</v>
      </c>
      <c r="AI7" s="93">
        <f>IFERROR(s_C*s_IFCR_res_adj*s_CF_carrot*0.001*(s_Irr!I7+s_Irr!AG7+s_Irr!BE7),".")</f>
        <v>434.04460598798738</v>
      </c>
      <c r="AJ7" s="93">
        <f>IFERROR(s_C*s_IFCI_res_adj*s_CF_citrus*0.001*(s_Irr!J7+s_Irr!AH7+s_Irr!BF7),".")</f>
        <v>434.04460598798738</v>
      </c>
      <c r="AK7" s="93">
        <f>IFERROR(s_C*s_IFCO_res_adj*s_CF_corn*0.001*(s_Irr!K7+s_Irr!AI7+s_Irr!BG7),".")</f>
        <v>434.04460598798738</v>
      </c>
      <c r="AL7" s="93">
        <f>IFERROR(s_C*s_IFCU_res_adj*s_CF_cucumber*0.001*(s_Irr!L7+s_Irr!AJ7+s_Irr!BH7),".")</f>
        <v>434.04460598798738</v>
      </c>
      <c r="AM7" s="93">
        <f>IFERROR(s_C*s_IFLE_res_adj*s_CF_lettuce*0.001*(s_Irr!M7+s_Irr!AK7+s_Irr!BI7),".")</f>
        <v>434.04460598798738</v>
      </c>
      <c r="AN7" s="93">
        <f>IFERROR(s_C*s_IFLI_res_adj*s_CF_lima_bean*0.001*(s_Irr!N7+s_Irr!AL7+s_Irr!BJ7),".")</f>
        <v>434.04460598798738</v>
      </c>
      <c r="AO7" s="93">
        <f>IFERROR(s_C*s_IFOK_res_adj*s_CF_okra*0.001*(s_Irr!O7+s_Irr!AM7+s_Irr!BK7),".")</f>
        <v>434.04460598798738</v>
      </c>
      <c r="AP7" s="93">
        <f>IFERROR(s_C*s_IFON_res_adj*s_CF_onion*0.001*(s_Irr!P7+s_Irr!AN7+s_Irr!BL7),".")</f>
        <v>434.04460598798738</v>
      </c>
      <c r="AQ7" s="93">
        <f>IFERROR(s_C*s_IFPC_res_adj*s_CF_peach*0.001*(s_Irr!Q7+s_Irr!AO7+s_Irr!BM7),".")</f>
        <v>434.04460598798738</v>
      </c>
      <c r="AR7" s="93">
        <f>IFERROR(s_C*s_IFPR_res_adj*s_CF_pear*0.001*(s_Irr!R7+s_Irr!AP7+s_Irr!BN7),".")</f>
        <v>434.04460598798738</v>
      </c>
      <c r="AS7" s="93">
        <f>IFERROR(s_C*s_IFPE_res_adj*s_CF_peas*0.001*(s_Irr!S7+s_Irr!AQ7+s_Irr!BO7),".")</f>
        <v>434.04460598798738</v>
      </c>
      <c r="AT7" s="93">
        <f>IFERROR(s_C*s_IFPT_res_adj*s_CF_potato*0.001*(s_Irr!T7+s_Irr!AR7+s_Irr!BP7),".")</f>
        <v>434.04460598798738</v>
      </c>
      <c r="AU7" s="93">
        <f>IFERROR(s_C*s_IFPU_res_adj*s_CF_pumpkin*0.001*(s_Irr!U7+s_Irr!AS7+s_Irr!BQ7),".")</f>
        <v>434.04460598798738</v>
      </c>
      <c r="AV7" s="93">
        <f>IFERROR(s_C*s_IFSN_res_adj*s_CF_snap_bean*0.001*(s_Irr!V7+s_Irr!AT7+s_Irr!BR7),".")</f>
        <v>434.04460598798738</v>
      </c>
      <c r="AW7" s="93">
        <f>IFERROR(s_C*s_IFST_res_adj*s_CF_strawberry*0.001*(s_Irr!W7+s_Irr!AU7+s_Irr!BS7),".")</f>
        <v>434.04460598798738</v>
      </c>
      <c r="AX7" s="93">
        <f>IFERROR(s_C*s_IFTO_res_adj*s_CF_tomato*0.001*(s_Irr!X7+s_Irr!AV7+s_Irr!BT7),".")</f>
        <v>434.04460598798738</v>
      </c>
      <c r="AY7" s="93">
        <f>IFERROR(s_C*s_IFRI_res_adj*s_CF_rice*0.001*(s_Irr!Y7+s_Irr!AW7+s_Irr!BU7),".")</f>
        <v>434.04460598798738</v>
      </c>
      <c r="AZ7" s="93">
        <f>IFERROR(s_C*s_IFCG_res_adj*s_CF_cereal*0.001*(s_Irr!Z7+s_Irr!AX7+s_Irr!BV7),".")</f>
        <v>434.04460598798738</v>
      </c>
      <c r="BA7" s="76">
        <f t="shared" ref="BA7:BA9" si="7">IFERROR(1/SUM(1/BB7,1/BC7,1/BX7,1/BY7),".")</f>
        <v>221.12164775828299</v>
      </c>
      <c r="BB7" s="76">
        <f>IFERROR(IF(AND(s_Irr!C7&lt;&gt;".",s_Irr!AA7&lt;&gt;".",s_Irr!AY7&lt;&gt;"."),s_dir!AC7/((1/1000)*(s_Irr!C7+s_Irr!AA7+s_Irr!AY7)),IF(AND(s_Irr!C7&lt;&gt;".",s_Irr!AA7&lt;&gt;".",s_Irr!AY7="."),s_dir!AC7/((1/1000)*(s_Irr!C7+s_Irr!AA7)),IF(AND(s_Irr!C7&lt;&gt;".",s_Irr!AA7=".",s_Irr!AY7&lt;&gt;"."),s_dir!AC7/((1/1000)*(s_Irr!C7+s_Irr!AY7)),IF(AND(s_Irr!C7=".",s_Irr!AA7&lt;&gt;".",s_Irr!AY7&lt;&gt;"."),s_dir!AC7/((1/1000)*(s_Irr!AA7+s_Irr!AY7)),IF(AND(s_Irr!C7=".",s_Irr!AA7=".",s_Irr!AY7&lt;&gt;"."),s_dir!AC7/((1/1000)*(s_Irr!AY7)),IF(AND(s_Irr!C7=".",s_Irr!AA7&lt;&gt;".",s_Irr!AY7="."),s_dir!AC7/((1/1000)*(s_Irr!AA7)),IF(AND(s_Irr!C7&lt;&gt;".",s_Irr!AA7=".",s_Irr!AY7="."),s_dir!AC7/((1/1000)*(s_Irr!C7)),IF(AND(s_Irr!C7=".",s_Irr!AA7=".",s_Irr!AY7="."),s_dir!AC7*1000)))))))),".")</f>
        <v>884.48659103313196</v>
      </c>
      <c r="BC7" s="76">
        <f>IFERROR(IF(AND(s_Irr!D7&lt;&gt;".",s_Irr!AB7&lt;&gt;".",s_Irr!AZ7&lt;&gt;"."),s_dir!AD7/((1/1000)*(s_Irr!D7+s_Irr!AB7+s_Irr!AZ7)),IF(AND(s_Irr!D7&lt;&gt;".",s_Irr!AB7&lt;&gt;".",s_Irr!AZ7="."),s_dir!AD7/((1/1000)*(s_Irr!D7+s_Irr!AB7)),IF(AND(s_Irr!D7&lt;&gt;".",s_Irr!AB7=".",s_Irr!AZ7&lt;&gt;"."),s_dir!AD7/((1/1000)*(s_Irr!D7+s_Irr!AZ7)),IF(AND(s_Irr!D7=".",s_Irr!AB7&lt;&gt;".",s_Irr!AZ7&lt;&gt;"."),s_dir!AD7/((1/1000)*(s_Irr!AB7+s_Irr!AZ7)),IF(AND(s_Irr!D7=".",s_Irr!AB7=".",s_Irr!AZ7&lt;&gt;"."),s_dir!AD7/((1/1000)*(s_Irr!AZ7)),IF(AND(s_Irr!D7=".",s_Irr!AB7&lt;&gt;".",s_Irr!AZ7="."),s_dir!AD7/((1/1000)*(s_Irr!AB7)),IF(AND(s_Irr!D7&lt;&gt;".",s_Irr!AB7=".",s_Irr!AZ7="."),s_dir!AD7/((1/1000)*(s_Irr!D7)),IF(AND(s_Irr!D7=".",s_Irr!AB7=".",s_Irr!AZ7="."),s_dir!AD7*1000)))))))),".")</f>
        <v>884.48659103313196</v>
      </c>
      <c r="BD7" s="76">
        <f>IFERROR(IF(AND(s_Irr!E7&lt;&gt;".",s_Irr!AC7&lt;&gt;".",s_Irr!BA7&lt;&gt;"."),s_dir!AE7/((1/1000)*(s_Irr!E7+s_Irr!AC7+s_Irr!BA7)),IF(AND(s_Irr!E7&lt;&gt;".",s_Irr!AC7&lt;&gt;".",s_Irr!BA7="."),s_dir!AE7/((1/1000)*(s_Irr!E7+s_Irr!AC7)),IF(AND(s_Irr!E7&lt;&gt;".",s_Irr!AC7=".",s_Irr!BA7&lt;&gt;"."),s_dir!AE7/((1/1000)*(s_Irr!E7+s_Irr!BA7)),IF(AND(s_Irr!E7=".",s_Irr!AC7&lt;&gt;".",s_Irr!BA7&lt;&gt;"."),s_dir!AE7/((1/1000)*(s_Irr!AC7+s_Irr!BA7)),IF(AND(s_Irr!E7=".",s_Irr!AC7=".",s_Irr!BA7&lt;&gt;"."),s_dir!AE7/((1/1000)*(s_Irr!BA7)),IF(AND(s_Irr!E7=".",s_Irr!AC7&lt;&gt;".",s_Irr!BA7="."),s_dir!AE7/((1/1000)*(s_Irr!AC7)),IF(AND(s_Irr!E7&lt;&gt;".",s_Irr!AC7=".",s_Irr!BA7="."),s_dir!AE7/((1/1000)*(s_Irr!E7)),IF(AND(s_Irr!E7=".",s_Irr!AC7=".",s_Irr!BA7="."),s_dir!AE7*1000)))))))),".")</f>
        <v>884.48659103313196</v>
      </c>
      <c r="BE7" s="76">
        <f>IFERROR(IF(AND(s_Irr!F7&lt;&gt;".",s_Irr!AD7&lt;&gt;".",s_Irr!BB7&lt;&gt;"."),s_dir!AF7/((1/1000)*(s_Irr!F7+s_Irr!AD7+s_Irr!BB7)),IF(AND(s_Irr!F7&lt;&gt;".",s_Irr!AD7&lt;&gt;".",s_Irr!BB7="."),s_dir!AF7/((1/1000)*(s_Irr!F7+s_Irr!AD7)),IF(AND(s_Irr!F7&lt;&gt;".",s_Irr!AD7=".",s_Irr!BB7&lt;&gt;"."),s_dir!AF7/((1/1000)*(s_Irr!F7+s_Irr!BB7)),IF(AND(s_Irr!F7=".",s_Irr!AD7&lt;&gt;".",s_Irr!BB7&lt;&gt;"."),s_dir!AF7/((1/1000)*(s_Irr!AD7+s_Irr!BB7)),IF(AND(s_Irr!F7=".",s_Irr!AD7=".",s_Irr!BB7&lt;&gt;"."),s_dir!AF7/((1/1000)*(s_Irr!BB7)),IF(AND(s_Irr!F7=".",s_Irr!AD7&lt;&gt;".",s_Irr!BB7="."),s_dir!AF7/((1/1000)*(s_Irr!AD7)),IF(AND(s_Irr!F7&lt;&gt;".",s_Irr!AD7=".",s_Irr!BB7="."),s_dir!AF7/((1/1000)*(s_Irr!F7)),IF(AND(s_Irr!F7=".",s_Irr!AD7=".",s_Irr!BB7="."),s_dir!AF7*1000)))))))),".")</f>
        <v>884.48659103313196</v>
      </c>
      <c r="BF7" s="76">
        <f>IFERROR(IF(AND(s_Irr!G7&lt;&gt;".",s_Irr!AE7&lt;&gt;".",s_Irr!BC7&lt;&gt;"."),s_dir!AG7/((1/1000)*(s_Irr!G7+s_Irr!AE7+s_Irr!BC7)),IF(AND(s_Irr!G7&lt;&gt;".",s_Irr!AE7&lt;&gt;".",s_Irr!BC7="."),s_dir!AG7/((1/1000)*(s_Irr!G7+s_Irr!AE7)),IF(AND(s_Irr!G7&lt;&gt;".",s_Irr!AE7=".",s_Irr!BC7&lt;&gt;"."),s_dir!AG7/((1/1000)*(s_Irr!G7+s_Irr!BC7)),IF(AND(s_Irr!G7=".",s_Irr!AE7&lt;&gt;".",s_Irr!BC7&lt;&gt;"."),s_dir!AG7/((1/1000)*(s_Irr!AE7+s_Irr!BC7)),IF(AND(s_Irr!G7=".",s_Irr!AE7=".",s_Irr!BC7&lt;&gt;"."),s_dir!AG7/((1/1000)*(s_Irr!BC7)),IF(AND(s_Irr!G7=".",s_Irr!AE7&lt;&gt;".",s_Irr!BC7="."),s_dir!AG7/((1/1000)*(s_Irr!AE7)),IF(AND(s_Irr!G7&lt;&gt;".",s_Irr!AE7=".",s_Irr!BC7="."),s_dir!AG7/((1/1000)*(s_Irr!G7)),IF(AND(s_Irr!G7=".",s_Irr!AE7=".",s_Irr!BC7="."),s_dir!AG7*1000)))))))),".")</f>
        <v>884.48659103313196</v>
      </c>
      <c r="BG7" s="76">
        <f>IFERROR(IF(AND(s_Irr!H7&lt;&gt;".",s_Irr!AF7&lt;&gt;".",s_Irr!BD7&lt;&gt;"."),s_dir!AH7/((1/1000)*(s_Irr!H7+s_Irr!AF7+s_Irr!BD7)),IF(AND(s_Irr!H7&lt;&gt;".",s_Irr!AF7&lt;&gt;".",s_Irr!BD7="."),s_dir!AH7/((1/1000)*(s_Irr!H7+s_Irr!AF7)),IF(AND(s_Irr!H7&lt;&gt;".",s_Irr!AF7=".",s_Irr!BD7&lt;&gt;"."),s_dir!AH7/((1/1000)*(s_Irr!H7+s_Irr!BD7)),IF(AND(s_Irr!H7=".",s_Irr!AF7&lt;&gt;".",s_Irr!BD7&lt;&gt;"."),s_dir!AH7/((1/1000)*(s_Irr!AF7+s_Irr!BD7)),IF(AND(s_Irr!H7=".",s_Irr!AF7=".",s_Irr!BD7&lt;&gt;"."),s_dir!AH7/((1/1000)*(s_Irr!BD7)),IF(AND(s_Irr!H7=".",s_Irr!AF7&lt;&gt;".",s_Irr!BD7="."),s_dir!AH7/((1/1000)*(s_Irr!AF7)),IF(AND(s_Irr!H7&lt;&gt;".",s_Irr!AF7=".",s_Irr!BD7="."),s_dir!AH7/((1/1000)*(s_Irr!H7)),IF(AND(s_Irr!H7=".",s_Irr!AF7=".",s_Irr!BD7="."),s_dir!AH7*1000)))))))),".")</f>
        <v>884.48659103313196</v>
      </c>
      <c r="BH7" s="76">
        <f>IFERROR(IF(AND(s_Irr!I7&lt;&gt;".",s_Irr!AG7&lt;&gt;".",s_Irr!BE7&lt;&gt;"."),s_dir!AI7/((1/1000)*(s_Irr!I7+s_Irr!AG7+s_Irr!BE7)),IF(AND(s_Irr!I7&lt;&gt;".",s_Irr!AG7&lt;&gt;".",s_Irr!BE7="."),s_dir!AI7/((1/1000)*(s_Irr!I7+s_Irr!AG7)),IF(AND(s_Irr!I7&lt;&gt;".",s_Irr!AG7=".",s_Irr!BE7&lt;&gt;"."),s_dir!AI7/((1/1000)*(s_Irr!I7+s_Irr!BE7)),IF(AND(s_Irr!I7=".",s_Irr!AG7&lt;&gt;".",s_Irr!BE7&lt;&gt;"."),s_dir!AI7/((1/1000)*(s_Irr!AG7+s_Irr!BE7)),IF(AND(s_Irr!I7=".",s_Irr!AG7=".",s_Irr!BE7&lt;&gt;"."),s_dir!AI7/((1/1000)*(s_Irr!BE7)),IF(AND(s_Irr!I7=".",s_Irr!AG7&lt;&gt;".",s_Irr!BE7="."),s_dir!AI7/((1/1000)*(s_Irr!AG7)),IF(AND(s_Irr!I7&lt;&gt;".",s_Irr!AG7=".",s_Irr!BE7="."),s_dir!AI7/((1/1000)*(s_Irr!I7)),IF(AND(s_Irr!I7=".",s_Irr!AG7=".",s_Irr!BE7="."),s_dir!AI7*1000)))))))),".")</f>
        <v>884.48659103313196</v>
      </c>
      <c r="BI7" s="76">
        <f>IFERROR(IF(AND(s_Irr!J7&lt;&gt;".",s_Irr!AH7&lt;&gt;".",s_Irr!BF7&lt;&gt;"."),s_dir!AJ7/((1/1000)*(s_Irr!J7+s_Irr!AH7+s_Irr!BF7)),IF(AND(s_Irr!J7&lt;&gt;".",s_Irr!AH7&lt;&gt;".",s_Irr!BF7="."),s_dir!AJ7/((1/1000)*(s_Irr!J7+s_Irr!AH7)),IF(AND(s_Irr!J7&lt;&gt;".",s_Irr!AH7=".",s_Irr!BF7&lt;&gt;"."),s_dir!AJ7/((1/1000)*(s_Irr!J7+s_Irr!BF7)),IF(AND(s_Irr!J7=".",s_Irr!AH7&lt;&gt;".",s_Irr!BF7&lt;&gt;"."),s_dir!AJ7/((1/1000)*(s_Irr!AH7+s_Irr!BF7)),IF(AND(s_Irr!J7=".",s_Irr!AH7=".",s_Irr!BF7&lt;&gt;"."),s_dir!AJ7/((1/1000)*(s_Irr!BF7)),IF(AND(s_Irr!J7=".",s_Irr!AH7&lt;&gt;".",s_Irr!BF7="."),s_dir!AJ7/((1/1000)*(s_Irr!AH7)),IF(AND(s_Irr!J7&lt;&gt;".",s_Irr!AH7=".",s_Irr!BF7="."),s_dir!AJ7/((1/1000)*(s_Irr!J7)),IF(AND(s_Irr!J7=".",s_Irr!AH7=".",s_Irr!BF7="."),s_dir!AJ7*1000)))))))),".")</f>
        <v>884.48659103313196</v>
      </c>
      <c r="BJ7" s="76">
        <f>IFERROR(IF(AND(s_Irr!K7&lt;&gt;".",s_Irr!AI7&lt;&gt;".",s_Irr!BG7&lt;&gt;"."),s_dir!AK7/((1/1000)*(s_Irr!K7+s_Irr!AI7+s_Irr!BG7)),IF(AND(s_Irr!K7&lt;&gt;".",s_Irr!AI7&lt;&gt;".",s_Irr!BG7="."),s_dir!AK7/((1/1000)*(s_Irr!K7+s_Irr!AI7)),IF(AND(s_Irr!K7&lt;&gt;".",s_Irr!AI7=".",s_Irr!BG7&lt;&gt;"."),s_dir!AK7/((1/1000)*(s_Irr!K7+s_Irr!BG7)),IF(AND(s_Irr!K7=".",s_Irr!AI7&lt;&gt;".",s_Irr!BG7&lt;&gt;"."),s_dir!AK7/((1/1000)*(s_Irr!AI7+s_Irr!BG7)),IF(AND(s_Irr!K7=".",s_Irr!AI7=".",s_Irr!BG7&lt;&gt;"."),s_dir!AK7/((1/1000)*(s_Irr!BG7)),IF(AND(s_Irr!K7=".",s_Irr!AI7&lt;&gt;".",s_Irr!BG7="."),s_dir!AK7/((1/1000)*(s_Irr!AI7)),IF(AND(s_Irr!K7&lt;&gt;".",s_Irr!AI7=".",s_Irr!BG7="."),s_dir!AK7/((1/1000)*(s_Irr!K7)),IF(AND(s_Irr!K7=".",s_Irr!AI7=".",s_Irr!BG7="."),s_dir!AK7*1000)))))))),".")</f>
        <v>884.48659103313196</v>
      </c>
      <c r="BK7" s="76">
        <f>IFERROR(IF(AND(s_Irr!L7&lt;&gt;".",s_Irr!AJ7&lt;&gt;".",s_Irr!BH7&lt;&gt;"."),s_dir!AL7/((1/1000)*(s_Irr!L7+s_Irr!AJ7+s_Irr!BH7)),IF(AND(s_Irr!L7&lt;&gt;".",s_Irr!AJ7&lt;&gt;".",s_Irr!BH7="."),s_dir!AL7/((1/1000)*(s_Irr!L7+s_Irr!AJ7)),IF(AND(s_Irr!L7&lt;&gt;".",s_Irr!AJ7=".",s_Irr!BH7&lt;&gt;"."),s_dir!AL7/((1/1000)*(s_Irr!L7+s_Irr!BH7)),IF(AND(s_Irr!L7=".",s_Irr!AJ7&lt;&gt;".",s_Irr!BH7&lt;&gt;"."),s_dir!AL7/((1/1000)*(s_Irr!AJ7+s_Irr!BH7)),IF(AND(s_Irr!L7=".",s_Irr!AJ7=".",s_Irr!BH7&lt;&gt;"."),s_dir!AL7/((1/1000)*(s_Irr!BH7)),IF(AND(s_Irr!L7=".",s_Irr!AJ7&lt;&gt;".",s_Irr!BH7="."),s_dir!AL7/((1/1000)*(s_Irr!AJ7)),IF(AND(s_Irr!L7&lt;&gt;".",s_Irr!AJ7=".",s_Irr!BH7="."),s_dir!AL7/((1/1000)*(s_Irr!L7)),IF(AND(s_Irr!L7=".",s_Irr!AJ7=".",s_Irr!BH7="."),s_dir!AL7*1000)))))))),".")</f>
        <v>884.48659103313196</v>
      </c>
      <c r="BL7" s="76">
        <f>IFERROR(IF(AND(s_Irr!M7&lt;&gt;".",s_Irr!AK7&lt;&gt;".",s_Irr!BI7&lt;&gt;"."),s_dir!AM7/((1/1000)*(s_Irr!M7+s_Irr!AK7+s_Irr!BI7)),IF(AND(s_Irr!M7&lt;&gt;".",s_Irr!AK7&lt;&gt;".",s_Irr!BI7="."),s_dir!AM7/((1/1000)*(s_Irr!M7+s_Irr!AK7)),IF(AND(s_Irr!M7&lt;&gt;".",s_Irr!AK7=".",s_Irr!BI7&lt;&gt;"."),s_dir!AM7/((1/1000)*(s_Irr!M7+s_Irr!BI7)),IF(AND(s_Irr!M7=".",s_Irr!AK7&lt;&gt;".",s_Irr!BI7&lt;&gt;"."),s_dir!AM7/((1/1000)*(s_Irr!AK7+s_Irr!BI7)),IF(AND(s_Irr!M7=".",s_Irr!AK7=".",s_Irr!BI7&lt;&gt;"."),s_dir!AM7/((1/1000)*(s_Irr!BI7)),IF(AND(s_Irr!M7=".",s_Irr!AK7&lt;&gt;".",s_Irr!BI7="."),s_dir!AM7/((1/1000)*(s_Irr!AK7)),IF(AND(s_Irr!M7&lt;&gt;".",s_Irr!AK7=".",s_Irr!BI7="."),s_dir!AM7/((1/1000)*(s_Irr!M7)),IF(AND(s_Irr!M7=".",s_Irr!AK7=".",s_Irr!BI7="."),s_dir!AM7*1000)))))))),".")</f>
        <v>884.48659103313196</v>
      </c>
      <c r="BM7" s="76">
        <f>IFERROR(IF(AND(s_Irr!N7&lt;&gt;".",s_Irr!AL7&lt;&gt;".",s_Irr!BJ7&lt;&gt;"."),s_dir!AN7/((1/1000)*(s_Irr!N7+s_Irr!AL7+s_Irr!BJ7)),IF(AND(s_Irr!N7&lt;&gt;".",s_Irr!AL7&lt;&gt;".",s_Irr!BJ7="."),s_dir!AN7/((1/1000)*(s_Irr!N7+s_Irr!AL7)),IF(AND(s_Irr!N7&lt;&gt;".",s_Irr!AL7=".",s_Irr!BJ7&lt;&gt;"."),s_dir!AN7/((1/1000)*(s_Irr!N7+s_Irr!BJ7)),IF(AND(s_Irr!N7=".",s_Irr!AL7&lt;&gt;".",s_Irr!BJ7&lt;&gt;"."),s_dir!AN7/((1/1000)*(s_Irr!AL7+s_Irr!BJ7)),IF(AND(s_Irr!N7=".",s_Irr!AL7=".",s_Irr!BJ7&lt;&gt;"."),s_dir!AN7/((1/1000)*(s_Irr!BJ7)),IF(AND(s_Irr!N7=".",s_Irr!AL7&lt;&gt;".",s_Irr!BJ7="."),s_dir!AN7/((1/1000)*(s_Irr!AL7)),IF(AND(s_Irr!N7&lt;&gt;".",s_Irr!AL7=".",s_Irr!BJ7="."),s_dir!AN7/((1/1000)*(s_Irr!N7)),IF(AND(s_Irr!N7=".",s_Irr!AL7=".",s_Irr!BJ7="."),s_dir!AN7*1000)))))))),".")</f>
        <v>884.48659103313196</v>
      </c>
      <c r="BN7" s="76">
        <f>IFERROR(IF(AND(s_Irr!O7&lt;&gt;".",s_Irr!AM7&lt;&gt;".",s_Irr!BK7&lt;&gt;"."),s_dir!AO7/((1/1000)*(s_Irr!O7+s_Irr!AM7+s_Irr!BK7)),IF(AND(s_Irr!O7&lt;&gt;".",s_Irr!AM7&lt;&gt;".",s_Irr!BK7="."),s_dir!AO7/((1/1000)*(s_Irr!O7+s_Irr!AM7)),IF(AND(s_Irr!O7&lt;&gt;".",s_Irr!AM7=".",s_Irr!BK7&lt;&gt;"."),s_dir!AO7/((1/1000)*(s_Irr!O7+s_Irr!BK7)),IF(AND(s_Irr!O7=".",s_Irr!AM7&lt;&gt;".",s_Irr!BK7&lt;&gt;"."),s_dir!AO7/((1/1000)*(s_Irr!AM7+s_Irr!BK7)),IF(AND(s_Irr!O7=".",s_Irr!AM7=".",s_Irr!BK7&lt;&gt;"."),s_dir!AO7/((1/1000)*(s_Irr!BK7)),IF(AND(s_Irr!O7=".",s_Irr!AM7&lt;&gt;".",s_Irr!BK7="."),s_dir!AO7/((1/1000)*(s_Irr!AM7)),IF(AND(s_Irr!O7&lt;&gt;".",s_Irr!AM7=".",s_Irr!BK7="."),s_dir!AO7/((1/1000)*(s_Irr!O7)),IF(AND(s_Irr!O7=".",s_Irr!AM7=".",s_Irr!BK7="."),s_dir!AO7*1000)))))))),".")</f>
        <v>884.48659103313196</v>
      </c>
      <c r="BO7" s="76">
        <f>IFERROR(IF(AND(s_Irr!P7&lt;&gt;".",s_Irr!AN7&lt;&gt;".",s_Irr!BL7&lt;&gt;"."),s_dir!AP7/((1/1000)*(s_Irr!P7+s_Irr!AN7+s_Irr!BL7)),IF(AND(s_Irr!P7&lt;&gt;".",s_Irr!AN7&lt;&gt;".",s_Irr!BL7="."),s_dir!AP7/((1/1000)*(s_Irr!P7+s_Irr!AN7)),IF(AND(s_Irr!P7&lt;&gt;".",s_Irr!AN7=".",s_Irr!BL7&lt;&gt;"."),s_dir!AP7/((1/1000)*(s_Irr!P7+s_Irr!BL7)),IF(AND(s_Irr!P7=".",s_Irr!AN7&lt;&gt;".",s_Irr!BL7&lt;&gt;"."),s_dir!AP7/((1/1000)*(s_Irr!AN7+s_Irr!BL7)),IF(AND(s_Irr!P7=".",s_Irr!AN7=".",s_Irr!BL7&lt;&gt;"."),s_dir!AP7/((1/1000)*(s_Irr!BL7)),IF(AND(s_Irr!P7=".",s_Irr!AN7&lt;&gt;".",s_Irr!BL7="."),s_dir!AP7/((1/1000)*(s_Irr!AN7)),IF(AND(s_Irr!P7&lt;&gt;".",s_Irr!AN7=".",s_Irr!BL7="."),s_dir!AP7/((1/1000)*(s_Irr!P7)),IF(AND(s_Irr!P7=".",s_Irr!AN7=".",s_Irr!BL7="."),s_dir!AP7*1000)))))))),".")</f>
        <v>884.48659103313196</v>
      </c>
      <c r="BP7" s="76">
        <f>IFERROR(IF(AND(s_Irr!Q7&lt;&gt;".",s_Irr!AO7&lt;&gt;".",s_Irr!BM7&lt;&gt;"."),s_dir!AQ7/((1/1000)*(s_Irr!Q7+s_Irr!AO7+s_Irr!BM7)),IF(AND(s_Irr!Q7&lt;&gt;".",s_Irr!AO7&lt;&gt;".",s_Irr!BM7="."),s_dir!AQ7/((1/1000)*(s_Irr!Q7+s_Irr!AO7)),IF(AND(s_Irr!Q7&lt;&gt;".",s_Irr!AO7=".",s_Irr!BM7&lt;&gt;"."),s_dir!AQ7/((1/1000)*(s_Irr!Q7+s_Irr!BM7)),IF(AND(s_Irr!Q7=".",s_Irr!AO7&lt;&gt;".",s_Irr!BM7&lt;&gt;"."),s_dir!AQ7/((1/1000)*(s_Irr!AO7+s_Irr!BM7)),IF(AND(s_Irr!Q7=".",s_Irr!AO7=".",s_Irr!BM7&lt;&gt;"."),s_dir!AQ7/((1/1000)*(s_Irr!BM7)),IF(AND(s_Irr!Q7=".",s_Irr!AO7&lt;&gt;".",s_Irr!BM7="."),s_dir!AQ7/((1/1000)*(s_Irr!AO7)),IF(AND(s_Irr!Q7&lt;&gt;".",s_Irr!AO7=".",s_Irr!BM7="."),s_dir!AQ7/((1/1000)*(s_Irr!Q7)),IF(AND(s_Irr!Q7=".",s_Irr!AO7=".",s_Irr!BM7="."),s_dir!AQ7*1000)))))))),".")</f>
        <v>884.48659103313196</v>
      </c>
      <c r="BQ7" s="76">
        <f>IFERROR(IF(AND(s_Irr!R7&lt;&gt;".",s_Irr!AP7&lt;&gt;".",s_Irr!BN7&lt;&gt;"."),s_dir!AR7/((1/1000)*(s_Irr!R7+s_Irr!AP7+s_Irr!BN7)),IF(AND(s_Irr!R7&lt;&gt;".",s_Irr!AP7&lt;&gt;".",s_Irr!BN7="."),s_dir!AR7/((1/1000)*(s_Irr!R7+s_Irr!AP7)),IF(AND(s_Irr!R7&lt;&gt;".",s_Irr!AP7=".",s_Irr!BN7&lt;&gt;"."),s_dir!AR7/((1/1000)*(s_Irr!R7+s_Irr!BN7)),IF(AND(s_Irr!R7=".",s_Irr!AP7&lt;&gt;".",s_Irr!BN7&lt;&gt;"."),s_dir!AR7/((1/1000)*(s_Irr!AP7+s_Irr!BN7)),IF(AND(s_Irr!R7=".",s_Irr!AP7=".",s_Irr!BN7&lt;&gt;"."),s_dir!AR7/((1/1000)*(s_Irr!BN7)),IF(AND(s_Irr!R7=".",s_Irr!AP7&lt;&gt;".",s_Irr!BN7="."),s_dir!AR7/((1/1000)*(s_Irr!AP7)),IF(AND(s_Irr!R7&lt;&gt;".",s_Irr!AP7=".",s_Irr!BN7="."),s_dir!AR7/((1/1000)*(s_Irr!R7)),IF(AND(s_Irr!R7=".",s_Irr!AP7=".",s_Irr!BN7="."),s_dir!AR7*1000)))))))),".")</f>
        <v>884.48659103313196</v>
      </c>
      <c r="BR7" s="76">
        <f>IFERROR(IF(AND(s_Irr!S7&lt;&gt;".",s_Irr!AQ7&lt;&gt;".",s_Irr!BO7&lt;&gt;"."),s_dir!AS7/((1/1000)*(s_Irr!S7+s_Irr!AQ7+s_Irr!BO7)),IF(AND(s_Irr!S7&lt;&gt;".",s_Irr!AQ7&lt;&gt;".",s_Irr!BO7="."),s_dir!AS7/((1/1000)*(s_Irr!S7+s_Irr!AQ7)),IF(AND(s_Irr!S7&lt;&gt;".",s_Irr!AQ7=".",s_Irr!BO7&lt;&gt;"."),s_dir!AS7/((1/1000)*(s_Irr!S7+s_Irr!BO7)),IF(AND(s_Irr!S7=".",s_Irr!AQ7&lt;&gt;".",s_Irr!BO7&lt;&gt;"."),s_dir!AS7/((1/1000)*(s_Irr!AQ7+s_Irr!BO7)),IF(AND(s_Irr!S7=".",s_Irr!AQ7=".",s_Irr!BO7&lt;&gt;"."),s_dir!AS7/((1/1000)*(s_Irr!BO7)),IF(AND(s_Irr!S7=".",s_Irr!AQ7&lt;&gt;".",s_Irr!BO7="."),s_dir!AS7/((1/1000)*(s_Irr!AQ7)),IF(AND(s_Irr!S7&lt;&gt;".",s_Irr!AQ7=".",s_Irr!BO7="."),s_dir!AS7/((1/1000)*(s_Irr!S7)),IF(AND(s_Irr!S7=".",s_Irr!AQ7=".",s_Irr!BO7="."),s_dir!AS7*1000)))))))),".")</f>
        <v>884.48659103313196</v>
      </c>
      <c r="BS7" s="76">
        <f>IFERROR(IF(AND(s_Irr!T7&lt;&gt;".",s_Irr!AR7&lt;&gt;".",s_Irr!BP7&lt;&gt;"."),s_dir!AT7/((1/1000)*(s_Irr!T7+s_Irr!AR7+s_Irr!BP7)),IF(AND(s_Irr!T7&lt;&gt;".",s_Irr!AR7&lt;&gt;".",s_Irr!BP7="."),s_dir!AT7/((1/1000)*(s_Irr!T7+s_Irr!AR7)),IF(AND(s_Irr!T7&lt;&gt;".",s_Irr!AR7=".",s_Irr!BP7&lt;&gt;"."),s_dir!AT7/((1/1000)*(s_Irr!T7+s_Irr!BP7)),IF(AND(s_Irr!T7=".",s_Irr!AR7&lt;&gt;".",s_Irr!BP7&lt;&gt;"."),s_dir!AT7/((1/1000)*(s_Irr!AR7+s_Irr!BP7)),IF(AND(s_Irr!T7=".",s_Irr!AR7=".",s_Irr!BP7&lt;&gt;"."),s_dir!AT7/((1/1000)*(s_Irr!BP7)),IF(AND(s_Irr!T7=".",s_Irr!AR7&lt;&gt;".",s_Irr!BP7="."),s_dir!AT7/((1/1000)*(s_Irr!AR7)),IF(AND(s_Irr!T7&lt;&gt;".",s_Irr!AR7=".",s_Irr!BP7="."),s_dir!AT7/((1/1000)*(s_Irr!T7)),IF(AND(s_Irr!T7=".",s_Irr!AR7=".",s_Irr!BP7="."),s_dir!AT7*1000)))))))),".")</f>
        <v>884.48659103313196</v>
      </c>
      <c r="BT7" s="76">
        <f>IFERROR(IF(AND(s_Irr!U7&lt;&gt;".",s_Irr!AS7&lt;&gt;".",s_Irr!BQ7&lt;&gt;"."),s_dir!AU7/((1/1000)*(s_Irr!U7+s_Irr!AS7+s_Irr!BQ7)),IF(AND(s_Irr!U7&lt;&gt;".",s_Irr!AS7&lt;&gt;".",s_Irr!BQ7="."),s_dir!AU7/((1/1000)*(s_Irr!U7+s_Irr!AS7)),IF(AND(s_Irr!U7&lt;&gt;".",s_Irr!AS7=".",s_Irr!BQ7&lt;&gt;"."),s_dir!AU7/((1/1000)*(s_Irr!U7+s_Irr!BQ7)),IF(AND(s_Irr!U7=".",s_Irr!AS7&lt;&gt;".",s_Irr!BQ7&lt;&gt;"."),s_dir!AU7/((1/1000)*(s_Irr!AS7+s_Irr!BQ7)),IF(AND(s_Irr!U7=".",s_Irr!AS7=".",s_Irr!BQ7&lt;&gt;"."),s_dir!AU7/((1/1000)*(s_Irr!BQ7)),IF(AND(s_Irr!U7=".",s_Irr!AS7&lt;&gt;".",s_Irr!BQ7="."),s_dir!AU7/((1/1000)*(s_Irr!AS7)),IF(AND(s_Irr!U7&lt;&gt;".",s_Irr!AS7=".",s_Irr!BQ7="."),s_dir!AU7/((1/1000)*(s_Irr!U7)),IF(AND(s_Irr!U7=".",s_Irr!AS7=".",s_Irr!BQ7="."),s_dir!AU7*1000)))))))),".")</f>
        <v>884.48659103313196</v>
      </c>
      <c r="BU7" s="76">
        <f>IFERROR(IF(AND(s_Irr!V7&lt;&gt;".",s_Irr!AT7&lt;&gt;".",s_Irr!BR7&lt;&gt;"."),s_dir!AV7/((1/1000)*(s_Irr!V7+s_Irr!AT7+s_Irr!BR7)),IF(AND(s_Irr!V7&lt;&gt;".",s_Irr!AT7&lt;&gt;".",s_Irr!BR7="."),s_dir!AV7/((1/1000)*(s_Irr!V7+s_Irr!AT7)),IF(AND(s_Irr!V7&lt;&gt;".",s_Irr!AT7=".",s_Irr!BR7&lt;&gt;"."),s_dir!AV7/((1/1000)*(s_Irr!V7+s_Irr!BR7)),IF(AND(s_Irr!V7=".",s_Irr!AT7&lt;&gt;".",s_Irr!BR7&lt;&gt;"."),s_dir!AV7/((1/1000)*(s_Irr!AT7+s_Irr!BR7)),IF(AND(s_Irr!V7=".",s_Irr!AT7=".",s_Irr!BR7&lt;&gt;"."),s_dir!AV7/((1/1000)*(s_Irr!BR7)),IF(AND(s_Irr!V7=".",s_Irr!AT7&lt;&gt;".",s_Irr!BR7="."),s_dir!AV7/((1/1000)*(s_Irr!AT7)),IF(AND(s_Irr!V7&lt;&gt;".",s_Irr!AT7=".",s_Irr!BR7="."),s_dir!AV7/((1/1000)*(s_Irr!V7)),IF(AND(s_Irr!V7=".",s_Irr!AT7=".",s_Irr!BR7="."),s_dir!AV7*1000)))))))),".")</f>
        <v>884.48659103313196</v>
      </c>
      <c r="BV7" s="76">
        <f>IFERROR(IF(AND(s_Irr!W7&lt;&gt;".",s_Irr!AU7&lt;&gt;".",s_Irr!BS7&lt;&gt;"."),s_dir!AW7/((1/1000)*(s_Irr!W7+s_Irr!AU7+s_Irr!BS7)),IF(AND(s_Irr!W7&lt;&gt;".",s_Irr!AU7&lt;&gt;".",s_Irr!BS7="."),s_dir!AW7/((1/1000)*(s_Irr!W7+s_Irr!AU7)),IF(AND(s_Irr!W7&lt;&gt;".",s_Irr!AU7=".",s_Irr!BS7&lt;&gt;"."),s_dir!AW7/((1/1000)*(s_Irr!W7+s_Irr!BS7)),IF(AND(s_Irr!W7=".",s_Irr!AU7&lt;&gt;".",s_Irr!BS7&lt;&gt;"."),s_dir!AW7/((1/1000)*(s_Irr!AU7+s_Irr!BS7)),IF(AND(s_Irr!W7=".",s_Irr!AU7=".",s_Irr!BS7&lt;&gt;"."),s_dir!AW7/((1/1000)*(s_Irr!BS7)),IF(AND(s_Irr!W7=".",s_Irr!AU7&lt;&gt;".",s_Irr!BS7="."),s_dir!AW7/((1/1000)*(s_Irr!AU7)),IF(AND(s_Irr!W7&lt;&gt;".",s_Irr!AU7=".",s_Irr!BS7="."),s_dir!AW7/((1/1000)*(s_Irr!W7)),IF(AND(s_Irr!W7=".",s_Irr!AU7=".",s_Irr!BS7="."),s_dir!AW7*1000)))))))),".")</f>
        <v>884.48659103313196</v>
      </c>
      <c r="BW7" s="76">
        <f>IFERROR(IF(AND(s_Irr!X7&lt;&gt;".",s_Irr!AV7&lt;&gt;".",s_Irr!BT7&lt;&gt;"."),s_dir!AX7/((1/1000)*(s_Irr!X7+s_Irr!AV7+s_Irr!BT7)),IF(AND(s_Irr!X7&lt;&gt;".",s_Irr!AV7&lt;&gt;".",s_Irr!BT7="."),s_dir!AX7/((1/1000)*(s_Irr!X7+s_Irr!AV7)),IF(AND(s_Irr!X7&lt;&gt;".",s_Irr!AV7=".",s_Irr!BT7&lt;&gt;"."),s_dir!AX7/((1/1000)*(s_Irr!X7+s_Irr!BT7)),IF(AND(s_Irr!X7=".",s_Irr!AV7&lt;&gt;".",s_Irr!BT7&lt;&gt;"."),s_dir!AX7/((1/1000)*(s_Irr!AV7+s_Irr!BT7)),IF(AND(s_Irr!X7=".",s_Irr!AV7=".",s_Irr!BT7&lt;&gt;"."),s_dir!AX7/((1/1000)*(s_Irr!BT7)),IF(AND(s_Irr!X7=".",s_Irr!AV7&lt;&gt;".",s_Irr!BT7="."),s_dir!AX7/((1/1000)*(s_Irr!AV7)),IF(AND(s_Irr!X7&lt;&gt;".",s_Irr!AV7=".",s_Irr!BT7="."),s_dir!AX7/((1/1000)*(s_Irr!X7)),IF(AND(s_Irr!X7=".",s_Irr!AV7=".",s_Irr!BT7="."),s_dir!AX7*1000)))))))),".")</f>
        <v>884.48659103313196</v>
      </c>
      <c r="BX7" s="76">
        <f>IFERROR(IF(AND(s_Irr!Y7&lt;&gt;".",s_Irr!AW7&lt;&gt;".",s_Irr!BU7&lt;&gt;"."),s_dir!AY7/((1/1000)*(s_Irr!Y7+s_Irr!AW7+s_Irr!BU7)),IF(AND(s_Irr!Y7&lt;&gt;".",s_Irr!AW7&lt;&gt;".",s_Irr!BU7="."),s_dir!AY7/((1/1000)*(s_Irr!Y7+s_Irr!AW7)),IF(AND(s_Irr!Y7&lt;&gt;".",s_Irr!AW7=".",s_Irr!BU7&lt;&gt;"."),s_dir!AY7/((1/1000)*(s_Irr!Y7+s_Irr!BU7)),IF(AND(s_Irr!Y7=".",s_Irr!AW7&lt;&gt;".",s_Irr!BU7&lt;&gt;"."),s_dir!AY7/((1/1000)*(s_Irr!AW7+s_Irr!BU7)),IF(AND(s_Irr!Y7=".",s_Irr!AW7=".",s_Irr!BU7&lt;&gt;"."),s_dir!AY7/((1/1000)*(s_Irr!BU7)),IF(AND(s_Irr!Y7=".",s_Irr!AW7&lt;&gt;".",s_Irr!BU7="."),s_dir!AY7/((1/1000)*(s_Irr!AW7)),IF(AND(s_Irr!Y7&lt;&gt;".",s_Irr!AW7=".",s_Irr!BU7="."),s_dir!AY7/((1/1000)*(s_Irr!Y7)),IF(AND(s_Irr!Y7=".",s_Irr!AW7=".",s_Irr!BU7="."),s_dir!AY7*1000)))))))),".")</f>
        <v>884.48659103313196</v>
      </c>
      <c r="BY7" s="76">
        <f>IFERROR(IF(AND(s_Irr!Z7&lt;&gt;".",s_Irr!AX7&lt;&gt;".",s_Irr!BV7&lt;&gt;"."),s_dir!AZ7/((1/1000)*(s_Irr!Z7+s_Irr!AX7+s_Irr!BV7)),IF(AND(s_Irr!Z7&lt;&gt;".",s_Irr!AX7&lt;&gt;".",s_Irr!BV7="."),s_dir!AZ7/((1/1000)*(s_Irr!Z7+s_Irr!AX7)),IF(AND(s_Irr!Z7&lt;&gt;".",s_Irr!AX7=".",s_Irr!BV7&lt;&gt;"."),s_dir!AZ7/((1/1000)*(s_Irr!Z7+s_Irr!BV7)),IF(AND(s_Irr!Z7=".",s_Irr!AX7&lt;&gt;".",s_Irr!BV7&lt;&gt;"."),s_dir!AZ7/((1/1000)*(s_Irr!AX7+s_Irr!BV7)),IF(AND(s_Irr!Z7=".",s_Irr!AX7=".",s_Irr!BV7&lt;&gt;"."),s_dir!AZ7/((1/1000)*(s_Irr!BV7)),IF(AND(s_Irr!Z7=".",s_Irr!AX7&lt;&gt;".",s_Irr!BV7="."),s_dir!AZ7/((1/1000)*(s_Irr!AX7)),IF(AND(s_Irr!Z7&lt;&gt;".",s_Irr!AX7=".",s_Irr!BV7="."),s_dir!AZ7/((1/1000)*(s_Irr!Z7)),IF(AND(s_Irr!Z7=".",s_Irr!AX7=".",s_Irr!BV7="."),s_dir!AZ7*1000)))))))),".")</f>
        <v>884.48659103313196</v>
      </c>
      <c r="BZ7" s="93">
        <f>SUM(CA7:CB7,CW7:CX7)</f>
        <v>1736.1784239519495</v>
      </c>
      <c r="CA7" s="93">
        <f>IFERROR(s_C*s_IFAP_far_adj*s_CF_apple*(1/1000)*(s_Irr!C7+s_Irr!AA7+s_Irr!AY7),".")</f>
        <v>434.04460598798738</v>
      </c>
      <c r="CB7" s="93">
        <f>IFERROR(s_C*s_IFAS_far_adj*s_CF_asparagus*(1/1000)*(s_Irr!D7+s_Irr!AB7+s_Irr!AZ7),".")</f>
        <v>434.04460598798738</v>
      </c>
      <c r="CC7" s="93">
        <f>IFERROR(s_C*s_IFBT_far_adj*s_CF_beet*(1/1000)*(s_Irr!E7+s_Irr!AC7+s_Irr!BA7),".")</f>
        <v>434.04460598798738</v>
      </c>
      <c r="CD7" s="93">
        <f>IFERROR(s_C*s_IFBE_far_adj*s_CF_berries*(1/1000)*(s_Irr!F7+s_Irr!AD7+s_Irr!BB7),".")</f>
        <v>434.04460598798738</v>
      </c>
      <c r="CE7" s="93">
        <f>IFERROR(s_C*s_IFBR_far_adj*s_CF_broccoli*(1/1000)*(s_Irr!G7+s_Irr!AE7+s_Irr!BC7),".")</f>
        <v>434.04460598798738</v>
      </c>
      <c r="CF7" s="93">
        <f>IFERROR(s_C*s_IFCB_far_adj*s_CF_cabbage*(1/1000)*(s_Irr!H7+s_Irr!AF7+s_Irr!BD7),".")</f>
        <v>434.04460598798738</v>
      </c>
      <c r="CG7" s="93">
        <f>IFERROR(s_C*s_IFCR_far_adj*s_CF_carrot*(1/1000)*(s_Irr!I7+s_Irr!AG7+s_Irr!BE7),".")</f>
        <v>434.04460598798738</v>
      </c>
      <c r="CH7" s="93">
        <f>IFERROR(s_C*s_IFCI_far_adj*s_CF_citrus*(1/1000)*(s_Irr!J7+s_Irr!AH7+s_Irr!BF7),".")</f>
        <v>434.04460598798738</v>
      </c>
      <c r="CI7" s="93">
        <f>IFERROR(s_C*s_IFCO_far_adj*s_CF_corn*(1/1000)*(s_Irr!K7+s_Irr!AI7+s_Irr!BG7),".")</f>
        <v>434.04460598798738</v>
      </c>
      <c r="CJ7" s="93">
        <f>IFERROR(s_C*s_IFCU_far_adj*s_CF_cucumber*(1/1000)*(s_Irr!L7+s_Irr!AJ7+s_Irr!BH7),".")</f>
        <v>434.04460598798738</v>
      </c>
      <c r="CK7" s="93">
        <f>IFERROR(s_C*s_IFLE_far_adj*s_CF_lettuce*(1/1000)*(s_Irr!M7+s_Irr!AK7+s_Irr!BI7),".")</f>
        <v>434.04460598798738</v>
      </c>
      <c r="CL7" s="93">
        <f>IFERROR(s_C*s_IFLI_far_adj*s_CF_lima_bean*(1/1000)*(s_Irr!N7+s_Irr!AL7+s_Irr!BJ7),".")</f>
        <v>434.04460598798738</v>
      </c>
      <c r="CM7" s="93">
        <f>IFERROR(s_C*s_IFOK_far_adj*s_CF_okra*(1/1000)*(s_Irr!O7+s_Irr!AM7+s_Irr!BK7),".")</f>
        <v>434.04460598798738</v>
      </c>
      <c r="CN7" s="93">
        <f>IFERROR(s_C*s_IFON_far_adj*s_CF_onion*(1/1000)*(s_Irr!P7+s_Irr!AN7+s_Irr!BL7),".")</f>
        <v>434.04460598798738</v>
      </c>
      <c r="CO7" s="93">
        <f>IFERROR(s_C*s_IFPC_far_adj*s_CF_peach*(1/1000)*(s_Irr!Q7+s_Irr!AO7+s_Irr!BM7),".")</f>
        <v>434.04460598798738</v>
      </c>
      <c r="CP7" s="93">
        <f>IFERROR(s_C*s_IFPR_far_adj*s_CF_pear*(1/1000)*(s_Irr!R7+s_Irr!AP7+s_Irr!BN7),".")</f>
        <v>434.04460598798738</v>
      </c>
      <c r="CQ7" s="93">
        <f>IFERROR(s_C*s_IFPE_far_adj*s_CF_peas*(1/1000)*(s_Irr!S7+s_Irr!AQ7+s_Irr!BO7),".")</f>
        <v>434.04460598798738</v>
      </c>
      <c r="CR7" s="93">
        <f>IFERROR(s_C*s_IFPT_far_adj*s_CF_potato*(1/1000)*(s_Irr!T7+s_Irr!AR7+s_Irr!BP7),".")</f>
        <v>434.04460598798738</v>
      </c>
      <c r="CS7" s="93">
        <f>IFERROR(s_C*s_IFPU_far_adj*s_CF_pumpkin*(1/1000)*(s_Irr!U7+s_Irr!AS7+s_Irr!BQ7),".")</f>
        <v>434.04460598798738</v>
      </c>
      <c r="CT7" s="93">
        <f>IFERROR(s_C*s_IFSN_far_adj*s_CF_snap_bean*(1/1000)*(s_Irr!V7+s_Irr!AT7+s_Irr!BR7),".")</f>
        <v>434.04460598798738</v>
      </c>
      <c r="CU7" s="93">
        <f>IFERROR(s_C*s_IFST_far_adj*s_CF_strawberry*(1/1000)*(s_Irr!W7+s_Irr!AU7+s_Irr!BS7),".")</f>
        <v>434.04460598798738</v>
      </c>
      <c r="CV7" s="93">
        <f>IFERROR(s_C*s_IFTO_far_adj*s_CF_tomato*(1/1000)*(s_Irr!X7+s_Irr!AV7+s_Irr!BT7),".")</f>
        <v>434.04460598798738</v>
      </c>
      <c r="CW7" s="93">
        <f>IFERROR(s_C*s_IFRI_far_adj*s_CF_rice*(1/1000)*(s_Irr!Y7+s_Irr!AW7+s_Irr!BU7),".")</f>
        <v>434.04460598798738</v>
      </c>
      <c r="CX7" s="93">
        <f>IFERROR(s_C*s_IFCG_far_adj*s_CF_cereal*(1/1000)*(s_Irr!Z7+s_Irr!AX7+s_Irr!BV7),".")</f>
        <v>434.04460598798738</v>
      </c>
    </row>
    <row r="8" spans="1:102" ht="15" customHeight="1" x14ac:dyDescent="0.25">
      <c r="A8" s="92" t="s">
        <v>18</v>
      </c>
      <c r="B8" s="90" t="s">
        <v>1074</v>
      </c>
      <c r="C8" s="76">
        <f t="shared" si="6"/>
        <v>4012.1041242740002</v>
      </c>
      <c r="D8" s="76">
        <f>IFERROR(IF(AND(s_Irr!C8&lt;&gt;".",s_Irr!AA8&lt;&gt;".",s_Irr!AY8&lt;&gt;"."),s_dir!D8/((1/1000)*(s_Irr!C8+s_Irr!AA8+s_Irr!AY8)),IF(AND(s_Irr!C8&lt;&gt;".",s_Irr!AA8&lt;&gt;".",s_Irr!AY8="."),s_dir!D8/((1/1000)*(s_Irr!C8+s_Irr!AA8)),IF(AND(s_Irr!C8&lt;&gt;".",s_Irr!AA8=".",s_Irr!AY8&lt;&gt;"."),s_dir!D8/((1/1000)*(s_Irr!C8+s_Irr!AY8)),IF(AND(s_Irr!C8=".",s_Irr!AA8&lt;&gt;".",s_Irr!AY8&lt;&gt;"."),s_dir!D8/((1/1000)*(s_Irr!AA8+s_Irr!AY8)),IF(AND(s_Irr!C8=".",s_Irr!AA8=".",s_Irr!AY8&lt;&gt;"."),s_dir!D8/((1/1000)*(s_Irr!AY8)),IF(AND(s_Irr!C8=".",s_Irr!AA8&lt;&gt;".",s_Irr!AY8="."),s_dir!D8/((1/1000)*(s_Irr!AA8)),IF(AND(s_Irr!C8&lt;&gt;".",s_Irr!AA8=".",s_Irr!AY8="."),s_dir!D8/((1/1000)*(s_Irr!C8)),IF(AND(s_Irr!C8=".",s_Irr!AA8=".",s_Irr!AY8="."),s_dir!D8*1000)))))))),".")</f>
        <v>16048.416497096001</v>
      </c>
      <c r="E8" s="76">
        <f>IFERROR(IF(AND(s_Irr!D8&lt;&gt;".",s_Irr!AB8&lt;&gt;".",s_Irr!AZ8&lt;&gt;"."),s_dir!E8/((1/1000)*(s_Irr!D8+s_Irr!AB8+s_Irr!AZ8)),IF(AND(s_Irr!D8&lt;&gt;".",s_Irr!AB8&lt;&gt;".",s_Irr!AZ8="."),s_dir!E8/((1/1000)*(s_Irr!D8+s_Irr!AB8)),IF(AND(s_Irr!D8&lt;&gt;".",s_Irr!AB8=".",s_Irr!AZ8&lt;&gt;"."),s_dir!E8/((1/1000)*(s_Irr!D8+s_Irr!AZ8)),IF(AND(s_Irr!D8=".",s_Irr!AB8&lt;&gt;".",s_Irr!AZ8&lt;&gt;"."),s_dir!E8/((1/1000)*(s_Irr!AB8+s_Irr!AZ8)),IF(AND(s_Irr!D8=".",s_Irr!AB8=".",s_Irr!AZ8&lt;&gt;"."),s_dir!E8/((1/1000)*(s_Irr!AZ8)),IF(AND(s_Irr!D8=".",s_Irr!AB8&lt;&gt;".",s_Irr!AZ8="."),s_dir!E8/((1/1000)*(s_Irr!AB8)),IF(AND(s_Irr!D8&lt;&gt;".",s_Irr!AB8=".",s_Irr!AZ8="."),s_dir!E8/((1/1000)*(s_Irr!D8)),IF(AND(s_Irr!D8=".",s_Irr!AB8=".",s_Irr!AZ8="."),s_dir!E8*1000)))))))),".")</f>
        <v>16048.416497096001</v>
      </c>
      <c r="F8" s="76">
        <f>IFERROR(IF(AND(s_Irr!E8&lt;&gt;".",s_Irr!AC8&lt;&gt;".",s_Irr!BA8&lt;&gt;"."),s_dir!F8/((1/1000)*(s_Irr!E8+s_Irr!AC8+s_Irr!BA8)),IF(AND(s_Irr!E8&lt;&gt;".",s_Irr!AC8&lt;&gt;".",s_Irr!BA8="."),s_dir!F8/((1/1000)*(s_Irr!E8+s_Irr!AC8)),IF(AND(s_Irr!E8&lt;&gt;".",s_Irr!AC8=".",s_Irr!BA8&lt;&gt;"."),s_dir!F8/((1/1000)*(s_Irr!E8+s_Irr!BA8)),IF(AND(s_Irr!E8=".",s_Irr!AC8&lt;&gt;".",s_Irr!BA8&lt;&gt;"."),s_dir!F8/((1/1000)*(s_Irr!AC8+s_Irr!BA8)),IF(AND(s_Irr!E8=".",s_Irr!AC8=".",s_Irr!BA8&lt;&gt;"."),s_dir!F8/((1/1000)*(s_Irr!BA8)),IF(AND(s_Irr!E8=".",s_Irr!AC8&lt;&gt;".",s_Irr!BA8="."),s_dir!F8/((1/1000)*(s_Irr!AC8)),IF(AND(s_Irr!E8&lt;&gt;".",s_Irr!AC8=".",s_Irr!BA8="."),s_dir!F8/((1/1000)*(s_Irr!E8)),IF(AND(s_Irr!E8=".",s_Irr!AC8=".",s_Irr!BA8="."),s_dir!F8*1000)))))))),".")</f>
        <v>16048.416497096001</v>
      </c>
      <c r="G8" s="76">
        <f>IFERROR(IF(AND(s_Irr!F8&lt;&gt;".",s_Irr!AD8&lt;&gt;".",s_Irr!BB8&lt;&gt;"."),s_dir!G8/((1/1000)*(s_Irr!F8+s_Irr!AD8+s_Irr!BB8)),IF(AND(s_Irr!F8&lt;&gt;".",s_Irr!AD8&lt;&gt;".",s_Irr!BB8="."),s_dir!G8/((1/1000)*(s_Irr!F8+s_Irr!AD8)),IF(AND(s_Irr!F8&lt;&gt;".",s_Irr!AD8=".",s_Irr!BB8&lt;&gt;"."),s_dir!G8/((1/1000)*(s_Irr!F8+s_Irr!BB8)),IF(AND(s_Irr!F8=".",s_Irr!AD8&lt;&gt;".",s_Irr!BB8&lt;&gt;"."),s_dir!G8/((1/1000)*(s_Irr!AD8+s_Irr!BB8)),IF(AND(s_Irr!F8=".",s_Irr!AD8=".",s_Irr!BB8&lt;&gt;"."),s_dir!G8/((1/1000)*(s_Irr!BB8)),IF(AND(s_Irr!F8=".",s_Irr!AD8&lt;&gt;".",s_Irr!BB8="."),s_dir!G8/((1/1000)*(s_Irr!AD8)),IF(AND(s_Irr!F8&lt;&gt;".",s_Irr!AD8=".",s_Irr!BB8="."),s_dir!G8/((1/1000)*(s_Irr!F8)),IF(AND(s_Irr!F8=".",s_Irr!AD8=".",s_Irr!BB8="."),s_dir!G8*1000)))))))),".")</f>
        <v>16048.416497096001</v>
      </c>
      <c r="H8" s="76">
        <f>IFERROR(IF(AND(s_Irr!G8&lt;&gt;".",s_Irr!AE8&lt;&gt;".",s_Irr!BC8&lt;&gt;"."),s_dir!H8/((1/1000)*(s_Irr!G8+s_Irr!AE8+s_Irr!BC8)),IF(AND(s_Irr!G8&lt;&gt;".",s_Irr!AE8&lt;&gt;".",s_Irr!BC8="."),s_dir!H8/((1/1000)*(s_Irr!G8+s_Irr!AE8)),IF(AND(s_Irr!G8&lt;&gt;".",s_Irr!AE8=".",s_Irr!BC8&lt;&gt;"."),s_dir!H8/((1/1000)*(s_Irr!G8+s_Irr!BC8)),IF(AND(s_Irr!G8=".",s_Irr!AE8&lt;&gt;".",s_Irr!BC8&lt;&gt;"."),s_dir!H8/((1/1000)*(s_Irr!AE8+s_Irr!BC8)),IF(AND(s_Irr!G8=".",s_Irr!AE8=".",s_Irr!BC8&lt;&gt;"."),s_dir!H8/((1/1000)*(s_Irr!BC8)),IF(AND(s_Irr!G8=".",s_Irr!AE8&lt;&gt;".",s_Irr!BC8="."),s_dir!H8/((1/1000)*(s_Irr!AE8)),IF(AND(s_Irr!G8&lt;&gt;".",s_Irr!AE8=".",s_Irr!BC8="."),s_dir!H8/((1/1000)*(s_Irr!G8)),IF(AND(s_Irr!G8=".",s_Irr!AE8=".",s_Irr!BC8="."),s_dir!H8*1000)))))))),".")</f>
        <v>16048.416497096001</v>
      </c>
      <c r="I8" s="76">
        <f>IFERROR(IF(AND(s_Irr!H8&lt;&gt;".",s_Irr!AF8&lt;&gt;".",s_Irr!BD8&lt;&gt;"."),s_dir!I8/((1/1000)*(s_Irr!H8+s_Irr!AF8+s_Irr!BD8)),IF(AND(s_Irr!H8&lt;&gt;".",s_Irr!AF8&lt;&gt;".",s_Irr!BD8="."),s_dir!I8/((1/1000)*(s_Irr!H8+s_Irr!AF8)),IF(AND(s_Irr!H8&lt;&gt;".",s_Irr!AF8=".",s_Irr!BD8&lt;&gt;"."),s_dir!I8/((1/1000)*(s_Irr!H8+s_Irr!BD8)),IF(AND(s_Irr!H8=".",s_Irr!AF8&lt;&gt;".",s_Irr!BD8&lt;&gt;"."),s_dir!I8/((1/1000)*(s_Irr!AF8+s_Irr!BD8)),IF(AND(s_Irr!H8=".",s_Irr!AF8=".",s_Irr!BD8&lt;&gt;"."),s_dir!I8/((1/1000)*(s_Irr!BD8)),IF(AND(s_Irr!H8=".",s_Irr!AF8&lt;&gt;".",s_Irr!BD8="."),s_dir!I8/((1/1000)*(s_Irr!AF8)),IF(AND(s_Irr!H8&lt;&gt;".",s_Irr!AF8=".",s_Irr!BD8="."),s_dir!I8/((1/1000)*(s_Irr!H8)),IF(AND(s_Irr!H8=".",s_Irr!AF8=".",s_Irr!BD8="."),s_dir!I8*1000)))))))),".")</f>
        <v>16048.416497096001</v>
      </c>
      <c r="J8" s="76">
        <f>IFERROR(IF(AND(s_Irr!I8&lt;&gt;".",s_Irr!AG8&lt;&gt;".",s_Irr!BE8&lt;&gt;"."),s_dir!J8/((1/1000)*(s_Irr!I8+s_Irr!AG8+s_Irr!BE8)),IF(AND(s_Irr!I8&lt;&gt;".",s_Irr!AG8&lt;&gt;".",s_Irr!BE8="."),s_dir!J8/((1/1000)*(s_Irr!I8+s_Irr!AG8)),IF(AND(s_Irr!I8&lt;&gt;".",s_Irr!AG8=".",s_Irr!BE8&lt;&gt;"."),s_dir!J8/((1/1000)*(s_Irr!I8+s_Irr!BE8)),IF(AND(s_Irr!I8=".",s_Irr!AG8&lt;&gt;".",s_Irr!BE8&lt;&gt;"."),s_dir!J8/((1/1000)*(s_Irr!AG8+s_Irr!BE8)),IF(AND(s_Irr!I8=".",s_Irr!AG8=".",s_Irr!BE8&lt;&gt;"."),s_dir!J8/((1/1000)*(s_Irr!BE8)),IF(AND(s_Irr!I8=".",s_Irr!AG8&lt;&gt;".",s_Irr!BE8="."),s_dir!J8/((1/1000)*(s_Irr!AG8)),IF(AND(s_Irr!I8&lt;&gt;".",s_Irr!AG8=".",s_Irr!BE8="."),s_dir!J8/((1/1000)*(s_Irr!I8)),IF(AND(s_Irr!I8=".",s_Irr!AG8=".",s_Irr!BE8="."),s_dir!J8*1000)))))))),".")</f>
        <v>16048.416497096001</v>
      </c>
      <c r="K8" s="76">
        <f>IFERROR(IF(AND(s_Irr!J8&lt;&gt;".",s_Irr!AH8&lt;&gt;".",s_Irr!BF8&lt;&gt;"."),s_dir!K8/((1/1000)*(s_Irr!J8+s_Irr!AH8+s_Irr!BF8)),IF(AND(s_Irr!J8&lt;&gt;".",s_Irr!AH8&lt;&gt;".",s_Irr!BF8="."),s_dir!K8/((1/1000)*(s_Irr!J8+s_Irr!AH8)),IF(AND(s_Irr!J8&lt;&gt;".",s_Irr!AH8=".",s_Irr!BF8&lt;&gt;"."),s_dir!K8/((1/1000)*(s_Irr!J8+s_Irr!BF8)),IF(AND(s_Irr!J8=".",s_Irr!AH8&lt;&gt;".",s_Irr!BF8&lt;&gt;"."),s_dir!K8/((1/1000)*(s_Irr!AH8+s_Irr!BF8)),IF(AND(s_Irr!J8=".",s_Irr!AH8=".",s_Irr!BF8&lt;&gt;"."),s_dir!K8/((1/1000)*(s_Irr!BF8)),IF(AND(s_Irr!J8=".",s_Irr!AH8&lt;&gt;".",s_Irr!BF8="."),s_dir!K8/((1/1000)*(s_Irr!AH8)),IF(AND(s_Irr!J8&lt;&gt;".",s_Irr!AH8=".",s_Irr!BF8="."),s_dir!K8/((1/1000)*(s_Irr!J8)),IF(AND(s_Irr!J8=".",s_Irr!AH8=".",s_Irr!BF8="."),s_dir!K8*1000)))))))),".")</f>
        <v>16048.416497096001</v>
      </c>
      <c r="L8" s="76">
        <f>IFERROR(IF(AND(s_Irr!K8&lt;&gt;".",s_Irr!AI8&lt;&gt;".",s_Irr!BG8&lt;&gt;"."),s_dir!L8/((1/1000)*(s_Irr!K8+s_Irr!AI8+s_Irr!BG8)),IF(AND(s_Irr!K8&lt;&gt;".",s_Irr!AI8&lt;&gt;".",s_Irr!BG8="."),s_dir!L8/((1/1000)*(s_Irr!K8+s_Irr!AI8)),IF(AND(s_Irr!K8&lt;&gt;".",s_Irr!AI8=".",s_Irr!BG8&lt;&gt;"."),s_dir!L8/((1/1000)*(s_Irr!K8+s_Irr!BG8)),IF(AND(s_Irr!K8=".",s_Irr!AI8&lt;&gt;".",s_Irr!BG8&lt;&gt;"."),s_dir!L8/((1/1000)*(s_Irr!AI8+s_Irr!BG8)),IF(AND(s_Irr!K8=".",s_Irr!AI8=".",s_Irr!BG8&lt;&gt;"."),s_dir!L8/((1/1000)*(s_Irr!BG8)),IF(AND(s_Irr!K8=".",s_Irr!AI8&lt;&gt;".",s_Irr!BG8="."),s_dir!L8/((1/1000)*(s_Irr!AI8)),IF(AND(s_Irr!K8&lt;&gt;".",s_Irr!AI8=".",s_Irr!BG8="."),s_dir!L8/((1/1000)*(s_Irr!K8)),IF(AND(s_Irr!K8=".",s_Irr!AI8=".",s_Irr!BG8="."),s_dir!L8*1000)))))))),".")</f>
        <v>16048.416497096001</v>
      </c>
      <c r="M8" s="76">
        <f>IFERROR(IF(AND(s_Irr!L8&lt;&gt;".",s_Irr!AJ8&lt;&gt;".",s_Irr!BH8&lt;&gt;"."),s_dir!M8/((1/1000)*(s_Irr!L8+s_Irr!AJ8+s_Irr!BH8)),IF(AND(s_Irr!L8&lt;&gt;".",s_Irr!AJ8&lt;&gt;".",s_Irr!BH8="."),s_dir!M8/((1/1000)*(s_Irr!L8+s_Irr!AJ8)),IF(AND(s_Irr!L8&lt;&gt;".",s_Irr!AJ8=".",s_Irr!BH8&lt;&gt;"."),s_dir!M8/((1/1000)*(s_Irr!L8+s_Irr!BH8)),IF(AND(s_Irr!L8=".",s_Irr!AJ8&lt;&gt;".",s_Irr!BH8&lt;&gt;"."),s_dir!M8/((1/1000)*(s_Irr!AJ8+s_Irr!BH8)),IF(AND(s_Irr!L8=".",s_Irr!AJ8=".",s_Irr!BH8&lt;&gt;"."),s_dir!M8/((1/1000)*(s_Irr!BH8)),IF(AND(s_Irr!L8=".",s_Irr!AJ8&lt;&gt;".",s_Irr!BH8="."),s_dir!M8/((1/1000)*(s_Irr!AJ8)),IF(AND(s_Irr!L8&lt;&gt;".",s_Irr!AJ8=".",s_Irr!BH8="."),s_dir!M8/((1/1000)*(s_Irr!L8)),IF(AND(s_Irr!L8=".",s_Irr!AJ8=".",s_Irr!BH8="."),s_dir!M8*1000)))))))),".")</f>
        <v>16048.416497096001</v>
      </c>
      <c r="N8" s="76">
        <f>IFERROR(IF(AND(s_Irr!M8&lt;&gt;".",s_Irr!AK8&lt;&gt;".",s_Irr!BI8&lt;&gt;"."),s_dir!N8/((1/1000)*(s_Irr!M8+s_Irr!AK8+s_Irr!BI8)),IF(AND(s_Irr!M8&lt;&gt;".",s_Irr!AK8&lt;&gt;".",s_Irr!BI8="."),s_dir!N8/((1/1000)*(s_Irr!M8+s_Irr!AK8)),IF(AND(s_Irr!M8&lt;&gt;".",s_Irr!AK8=".",s_Irr!BI8&lt;&gt;"."),s_dir!N8/((1/1000)*(s_Irr!M8+s_Irr!BI8)),IF(AND(s_Irr!M8=".",s_Irr!AK8&lt;&gt;".",s_Irr!BI8&lt;&gt;"."),s_dir!N8/((1/1000)*(s_Irr!AK8+s_Irr!BI8)),IF(AND(s_Irr!M8=".",s_Irr!AK8=".",s_Irr!BI8&lt;&gt;"."),s_dir!N8/((1/1000)*(s_Irr!BI8)),IF(AND(s_Irr!M8=".",s_Irr!AK8&lt;&gt;".",s_Irr!BI8="."),s_dir!N8/((1/1000)*(s_Irr!AK8)),IF(AND(s_Irr!M8&lt;&gt;".",s_Irr!AK8=".",s_Irr!BI8="."),s_dir!N8/((1/1000)*(s_Irr!M8)),IF(AND(s_Irr!M8=".",s_Irr!AK8=".",s_Irr!BI8="."),s_dir!N8*1000)))))))),".")</f>
        <v>16048.416497096001</v>
      </c>
      <c r="O8" s="76">
        <f>IFERROR(IF(AND(s_Irr!N8&lt;&gt;".",s_Irr!AL8&lt;&gt;".",s_Irr!BJ8&lt;&gt;"."),s_dir!O8/((1/1000)*(s_Irr!N8+s_Irr!AL8+s_Irr!BJ8)),IF(AND(s_Irr!N8&lt;&gt;".",s_Irr!AL8&lt;&gt;".",s_Irr!BJ8="."),s_dir!O8/((1/1000)*(s_Irr!N8+s_Irr!AL8)),IF(AND(s_Irr!N8&lt;&gt;".",s_Irr!AL8=".",s_Irr!BJ8&lt;&gt;"."),s_dir!O8/((1/1000)*(s_Irr!N8+s_Irr!BJ8)),IF(AND(s_Irr!N8=".",s_Irr!AL8&lt;&gt;".",s_Irr!BJ8&lt;&gt;"."),s_dir!O8/((1/1000)*(s_Irr!AL8+s_Irr!BJ8)),IF(AND(s_Irr!N8=".",s_Irr!AL8=".",s_Irr!BJ8&lt;&gt;"."),s_dir!O8/((1/1000)*(s_Irr!BJ8)),IF(AND(s_Irr!N8=".",s_Irr!AL8&lt;&gt;".",s_Irr!BJ8="."),s_dir!O8/((1/1000)*(s_Irr!AL8)),IF(AND(s_Irr!N8&lt;&gt;".",s_Irr!AL8=".",s_Irr!BJ8="."),s_dir!O8/((1/1000)*(s_Irr!N8)),IF(AND(s_Irr!N8=".",s_Irr!AL8=".",s_Irr!BJ8="."),s_dir!O8*1000)))))))),".")</f>
        <v>16048.416497096001</v>
      </c>
      <c r="P8" s="76">
        <f>IFERROR(IF(AND(s_Irr!O8&lt;&gt;".",s_Irr!AM8&lt;&gt;".",s_Irr!BK8&lt;&gt;"."),s_dir!P8/((1/1000)*(s_Irr!O8+s_Irr!AM8+s_Irr!BK8)),IF(AND(s_Irr!O8&lt;&gt;".",s_Irr!AM8&lt;&gt;".",s_Irr!BK8="."),s_dir!P8/((1/1000)*(s_Irr!O8+s_Irr!AM8)),IF(AND(s_Irr!O8&lt;&gt;".",s_Irr!AM8=".",s_Irr!BK8&lt;&gt;"."),s_dir!P8/((1/1000)*(s_Irr!O8+s_Irr!BK8)),IF(AND(s_Irr!O8=".",s_Irr!AM8&lt;&gt;".",s_Irr!BK8&lt;&gt;"."),s_dir!P8/((1/1000)*(s_Irr!AM8+s_Irr!BK8)),IF(AND(s_Irr!O8=".",s_Irr!AM8=".",s_Irr!BK8&lt;&gt;"."),s_dir!P8/((1/1000)*(s_Irr!BK8)),IF(AND(s_Irr!O8=".",s_Irr!AM8&lt;&gt;".",s_Irr!BK8="."),s_dir!P8/((1/1000)*(s_Irr!AM8)),IF(AND(s_Irr!O8&lt;&gt;".",s_Irr!AM8=".",s_Irr!BK8="."),s_dir!P8/((1/1000)*(s_Irr!O8)),IF(AND(s_Irr!O8=".",s_Irr!AM8=".",s_Irr!BK8="."),s_dir!P8*1000)))))))),".")</f>
        <v>16048.416497096001</v>
      </c>
      <c r="Q8" s="76">
        <f>IFERROR(IF(AND(s_Irr!P8&lt;&gt;".",s_Irr!AN8&lt;&gt;".",s_Irr!BL8&lt;&gt;"."),s_dir!Q8/((1/1000)*(s_Irr!P8+s_Irr!AN8+s_Irr!BL8)),IF(AND(s_Irr!P8&lt;&gt;".",s_Irr!AN8&lt;&gt;".",s_Irr!BL8="."),s_dir!Q8/((1/1000)*(s_Irr!P8+s_Irr!AN8)),IF(AND(s_Irr!P8&lt;&gt;".",s_Irr!AN8=".",s_Irr!BL8&lt;&gt;"."),s_dir!Q8/((1/1000)*(s_Irr!P8+s_Irr!BL8)),IF(AND(s_Irr!P8=".",s_Irr!AN8&lt;&gt;".",s_Irr!BL8&lt;&gt;"."),s_dir!Q8/((1/1000)*(s_Irr!AN8+s_Irr!BL8)),IF(AND(s_Irr!P8=".",s_Irr!AN8=".",s_Irr!BL8&lt;&gt;"."),s_dir!Q8/((1/1000)*(s_Irr!BL8)),IF(AND(s_Irr!P8=".",s_Irr!AN8&lt;&gt;".",s_Irr!BL8="."),s_dir!Q8/((1/1000)*(s_Irr!AN8)),IF(AND(s_Irr!P8&lt;&gt;".",s_Irr!AN8=".",s_Irr!BL8="."),s_dir!Q8/((1/1000)*(s_Irr!P8)),IF(AND(s_Irr!P8=".",s_Irr!AN8=".",s_Irr!BL8="."),s_dir!Q8*1000)))))))),".")</f>
        <v>16048.416497096001</v>
      </c>
      <c r="R8" s="76">
        <f>IFERROR(IF(AND(s_Irr!Q8&lt;&gt;".",s_Irr!AO8&lt;&gt;".",s_Irr!BM8&lt;&gt;"."),s_dir!R8/((1/1000)*(s_Irr!Q8+s_Irr!AO8+s_Irr!BM8)),IF(AND(s_Irr!Q8&lt;&gt;".",s_Irr!AO8&lt;&gt;".",s_Irr!BM8="."),s_dir!R8/((1/1000)*(s_Irr!Q8+s_Irr!AO8)),IF(AND(s_Irr!Q8&lt;&gt;".",s_Irr!AO8=".",s_Irr!BM8&lt;&gt;"."),s_dir!R8/((1/1000)*(s_Irr!Q8+s_Irr!BM8)),IF(AND(s_Irr!Q8=".",s_Irr!AO8&lt;&gt;".",s_Irr!BM8&lt;&gt;"."),s_dir!R8/((1/1000)*(s_Irr!AO8+s_Irr!BM8)),IF(AND(s_Irr!Q8=".",s_Irr!AO8=".",s_Irr!BM8&lt;&gt;"."),s_dir!R8/((1/1000)*(s_Irr!BM8)),IF(AND(s_Irr!Q8=".",s_Irr!AO8&lt;&gt;".",s_Irr!BM8="."),s_dir!R8/((1/1000)*(s_Irr!AO8)),IF(AND(s_Irr!Q8&lt;&gt;".",s_Irr!AO8=".",s_Irr!BM8="."),s_dir!R8/((1/1000)*(s_Irr!Q8)),IF(AND(s_Irr!Q8=".",s_Irr!AO8=".",s_Irr!BM8="."),s_dir!R8*1000)))))))),".")</f>
        <v>16048.416497096001</v>
      </c>
      <c r="S8" s="76">
        <f>IFERROR(IF(AND(s_Irr!R8&lt;&gt;".",s_Irr!AP8&lt;&gt;".",s_Irr!BN8&lt;&gt;"."),s_dir!S8/((1/1000)*(s_Irr!R8+s_Irr!AP8+s_Irr!BN8)),IF(AND(s_Irr!R8&lt;&gt;".",s_Irr!AP8&lt;&gt;".",s_Irr!BN8="."),s_dir!S8/((1/1000)*(s_Irr!R8+s_Irr!AP8)),IF(AND(s_Irr!R8&lt;&gt;".",s_Irr!AP8=".",s_Irr!BN8&lt;&gt;"."),s_dir!S8/((1/1000)*(s_Irr!R8+s_Irr!BN8)),IF(AND(s_Irr!R8=".",s_Irr!AP8&lt;&gt;".",s_Irr!BN8&lt;&gt;"."),s_dir!S8/((1/1000)*(s_Irr!AP8+s_Irr!BN8)),IF(AND(s_Irr!R8=".",s_Irr!AP8=".",s_Irr!BN8&lt;&gt;"."),s_dir!S8/((1/1000)*(s_Irr!BN8)),IF(AND(s_Irr!R8=".",s_Irr!AP8&lt;&gt;".",s_Irr!BN8="."),s_dir!S8/((1/1000)*(s_Irr!AP8)),IF(AND(s_Irr!R8&lt;&gt;".",s_Irr!AP8=".",s_Irr!BN8="."),s_dir!S8/((1/1000)*(s_Irr!R8)),IF(AND(s_Irr!R8=".",s_Irr!AP8=".",s_Irr!BN8="."),s_dir!S8*1000)))))))),".")</f>
        <v>16048.416497096001</v>
      </c>
      <c r="T8" s="76">
        <f>IFERROR(IF(AND(s_Irr!S8&lt;&gt;".",s_Irr!AQ8&lt;&gt;".",s_Irr!BO8&lt;&gt;"."),s_dir!T8/((1/1000)*(s_Irr!S8+s_Irr!AQ8+s_Irr!BO8)),IF(AND(s_Irr!S8&lt;&gt;".",s_Irr!AQ8&lt;&gt;".",s_Irr!BO8="."),s_dir!T8/((1/1000)*(s_Irr!S8+s_Irr!AQ8)),IF(AND(s_Irr!S8&lt;&gt;".",s_Irr!AQ8=".",s_Irr!BO8&lt;&gt;"."),s_dir!T8/((1/1000)*(s_Irr!S8+s_Irr!BO8)),IF(AND(s_Irr!S8=".",s_Irr!AQ8&lt;&gt;".",s_Irr!BO8&lt;&gt;"."),s_dir!T8/((1/1000)*(s_Irr!AQ8+s_Irr!BO8)),IF(AND(s_Irr!S8=".",s_Irr!AQ8=".",s_Irr!BO8&lt;&gt;"."),s_dir!T8/((1/1000)*(s_Irr!BO8)),IF(AND(s_Irr!S8=".",s_Irr!AQ8&lt;&gt;".",s_Irr!BO8="."),s_dir!T8/((1/1000)*(s_Irr!AQ8)),IF(AND(s_Irr!S8&lt;&gt;".",s_Irr!AQ8=".",s_Irr!BO8="."),s_dir!T8/((1/1000)*(s_Irr!S8)),IF(AND(s_Irr!S8=".",s_Irr!AQ8=".",s_Irr!BO8="."),s_dir!T8*1000)))))))),".")</f>
        <v>16048.416497096001</v>
      </c>
      <c r="U8" s="76">
        <f>IFERROR(IF(AND(s_Irr!T8&lt;&gt;".",s_Irr!AR8&lt;&gt;".",s_Irr!BP8&lt;&gt;"."),s_dir!U8/((1/1000)*(s_Irr!T8+s_Irr!AR8+s_Irr!BP8)),IF(AND(s_Irr!T8&lt;&gt;".",s_Irr!AR8&lt;&gt;".",s_Irr!BP8="."),s_dir!U8/((1/1000)*(s_Irr!T8+s_Irr!AR8)),IF(AND(s_Irr!T8&lt;&gt;".",s_Irr!AR8=".",s_Irr!BP8&lt;&gt;"."),s_dir!U8/((1/1000)*(s_Irr!T8+s_Irr!BP8)),IF(AND(s_Irr!T8=".",s_Irr!AR8&lt;&gt;".",s_Irr!BP8&lt;&gt;"."),s_dir!U8/((1/1000)*(s_Irr!AR8+s_Irr!BP8)),IF(AND(s_Irr!T8=".",s_Irr!AR8=".",s_Irr!BP8&lt;&gt;"."),s_dir!U8/((1/1000)*(s_Irr!BP8)),IF(AND(s_Irr!T8=".",s_Irr!AR8&lt;&gt;".",s_Irr!BP8="."),s_dir!U8/((1/1000)*(s_Irr!AR8)),IF(AND(s_Irr!T8&lt;&gt;".",s_Irr!AR8=".",s_Irr!BP8="."),s_dir!U8/((1/1000)*(s_Irr!T8)),IF(AND(s_Irr!T8=".",s_Irr!AR8=".",s_Irr!BP8="."),s_dir!U8*1000)))))))),".")</f>
        <v>16048.416497096001</v>
      </c>
      <c r="V8" s="76">
        <f>IFERROR(IF(AND(s_Irr!U8&lt;&gt;".",s_Irr!AS8&lt;&gt;".",s_Irr!BQ8&lt;&gt;"."),s_dir!V8/((1/1000)*(s_Irr!U8+s_Irr!AS8+s_Irr!BQ8)),IF(AND(s_Irr!U8&lt;&gt;".",s_Irr!AS8&lt;&gt;".",s_Irr!BQ8="."),s_dir!V8/((1/1000)*(s_Irr!U8+s_Irr!AS8)),IF(AND(s_Irr!U8&lt;&gt;".",s_Irr!AS8=".",s_Irr!BQ8&lt;&gt;"."),s_dir!V8/((1/1000)*(s_Irr!U8+s_Irr!BQ8)),IF(AND(s_Irr!U8=".",s_Irr!AS8&lt;&gt;".",s_Irr!BQ8&lt;&gt;"."),s_dir!V8/((1/1000)*(s_Irr!AS8+s_Irr!BQ8)),IF(AND(s_Irr!U8=".",s_Irr!AS8=".",s_Irr!BQ8&lt;&gt;"."),s_dir!V8/((1/1000)*(s_Irr!BQ8)),IF(AND(s_Irr!U8=".",s_Irr!AS8&lt;&gt;".",s_Irr!BQ8="."),s_dir!V8/((1/1000)*(s_Irr!AS8)),IF(AND(s_Irr!U8&lt;&gt;".",s_Irr!AS8=".",s_Irr!BQ8="."),s_dir!V8/((1/1000)*(s_Irr!U8)),IF(AND(s_Irr!U8=".",s_Irr!AS8=".",s_Irr!BQ8="."),s_dir!V8*1000)))))))),".")</f>
        <v>16048.416497096001</v>
      </c>
      <c r="W8" s="76">
        <f>IFERROR(IF(AND(s_Irr!V8&lt;&gt;".",s_Irr!AT8&lt;&gt;".",s_Irr!BR8&lt;&gt;"."),s_dir!W8/((1/1000)*(s_Irr!V8+s_Irr!AT8+s_Irr!BR8)),IF(AND(s_Irr!V8&lt;&gt;".",s_Irr!AT8&lt;&gt;".",s_Irr!BR8="."),s_dir!W8/((1/1000)*(s_Irr!V8+s_Irr!AT8)),IF(AND(s_Irr!V8&lt;&gt;".",s_Irr!AT8=".",s_Irr!BR8&lt;&gt;"."),s_dir!W8/((1/1000)*(s_Irr!V8+s_Irr!BR8)),IF(AND(s_Irr!V8=".",s_Irr!AT8&lt;&gt;".",s_Irr!BR8&lt;&gt;"."),s_dir!W8/((1/1000)*(s_Irr!AT8+s_Irr!BR8)),IF(AND(s_Irr!V8=".",s_Irr!AT8=".",s_Irr!BR8&lt;&gt;"."),s_dir!W8/((1/1000)*(s_Irr!BR8)),IF(AND(s_Irr!V8=".",s_Irr!AT8&lt;&gt;".",s_Irr!BR8="."),s_dir!W8/((1/1000)*(s_Irr!AT8)),IF(AND(s_Irr!V8&lt;&gt;".",s_Irr!AT8=".",s_Irr!BR8="."),s_dir!W8/((1/1000)*(s_Irr!V8)),IF(AND(s_Irr!V8=".",s_Irr!AT8=".",s_Irr!BR8="."),s_dir!W8*1000)))))))),".")</f>
        <v>16048.416497096001</v>
      </c>
      <c r="X8" s="76">
        <f>IFERROR(IF(AND(s_Irr!W8&lt;&gt;".",s_Irr!AU8&lt;&gt;".",s_Irr!BS8&lt;&gt;"."),s_dir!X8/((1/1000)*(s_Irr!W8+s_Irr!AU8+s_Irr!BS8)),IF(AND(s_Irr!W8&lt;&gt;".",s_Irr!AU8&lt;&gt;".",s_Irr!BS8="."),s_dir!X8/((1/1000)*(s_Irr!W8+s_Irr!AU8)),IF(AND(s_Irr!W8&lt;&gt;".",s_Irr!AU8=".",s_Irr!BS8&lt;&gt;"."),s_dir!X8/((1/1000)*(s_Irr!W8+s_Irr!BS8)),IF(AND(s_Irr!W8=".",s_Irr!AU8&lt;&gt;".",s_Irr!BS8&lt;&gt;"."),s_dir!X8/((1/1000)*(s_Irr!AU8+s_Irr!BS8)),IF(AND(s_Irr!W8=".",s_Irr!AU8=".",s_Irr!BS8&lt;&gt;"."),s_dir!X8/((1/1000)*(s_Irr!BS8)),IF(AND(s_Irr!W8=".",s_Irr!AU8&lt;&gt;".",s_Irr!BS8="."),s_dir!X8/((1/1000)*(s_Irr!AU8)),IF(AND(s_Irr!W8&lt;&gt;".",s_Irr!AU8=".",s_Irr!BS8="."),s_dir!X8/((1/1000)*(s_Irr!W8)),IF(AND(s_Irr!W8=".",s_Irr!AU8=".",s_Irr!BS8="."),s_dir!X8*1000)))))))),".")</f>
        <v>16048.416497096001</v>
      </c>
      <c r="Y8" s="76">
        <f>IFERROR(IF(AND(s_Irr!X8&lt;&gt;".",s_Irr!AV8&lt;&gt;".",s_Irr!BT8&lt;&gt;"."),s_dir!Y8/((1/1000)*(s_Irr!X8+s_Irr!AV8+s_Irr!BT8)),IF(AND(s_Irr!X8&lt;&gt;".",s_Irr!AV8&lt;&gt;".",s_Irr!BT8="."),s_dir!Y8/((1/1000)*(s_Irr!X8+s_Irr!AV8)),IF(AND(s_Irr!X8&lt;&gt;".",s_Irr!AV8=".",s_Irr!BT8&lt;&gt;"."),s_dir!Y8/((1/1000)*(s_Irr!X8+s_Irr!BT8)),IF(AND(s_Irr!X8=".",s_Irr!AV8&lt;&gt;".",s_Irr!BT8&lt;&gt;"."),s_dir!Y8/((1/1000)*(s_Irr!AV8+s_Irr!BT8)),IF(AND(s_Irr!X8=".",s_Irr!AV8=".",s_Irr!BT8&lt;&gt;"."),s_dir!Y8/((1/1000)*(s_Irr!BT8)),IF(AND(s_Irr!X8=".",s_Irr!AV8&lt;&gt;".",s_Irr!BT8="."),s_dir!Y8/((1/1000)*(s_Irr!AV8)),IF(AND(s_Irr!X8&lt;&gt;".",s_Irr!AV8=".",s_Irr!BT8="."),s_dir!Y8/((1/1000)*(s_Irr!X8)),IF(AND(s_Irr!X8=".",s_Irr!AV8=".",s_Irr!BT8="."),s_dir!Y8*1000)))))))),".")</f>
        <v>16048.416497096001</v>
      </c>
      <c r="Z8" s="76">
        <f>IFERROR(IF(AND(s_Irr!Y8&lt;&gt;".",s_Irr!AW8&lt;&gt;".",s_Irr!BU8&lt;&gt;"."),s_dir!Z8/((1/1000)*(s_Irr!Y8+s_Irr!AW8+s_Irr!BU8)),IF(AND(s_Irr!Y8&lt;&gt;".",s_Irr!AW8&lt;&gt;".",s_Irr!BU8="."),s_dir!Z8/((1/1000)*(s_Irr!Y8+s_Irr!AW8)),IF(AND(s_Irr!Y8&lt;&gt;".",s_Irr!AW8=".",s_Irr!BU8&lt;&gt;"."),s_dir!Z8/((1/1000)*(s_Irr!Y8+s_Irr!BU8)),IF(AND(s_Irr!Y8=".",s_Irr!AW8&lt;&gt;".",s_Irr!BU8&lt;&gt;"."),s_dir!Z8/((1/1000)*(s_Irr!AW8+s_Irr!BU8)),IF(AND(s_Irr!Y8=".",s_Irr!AW8=".",s_Irr!BU8&lt;&gt;"."),s_dir!Z8/((1/1000)*(s_Irr!BU8)),IF(AND(s_Irr!Y8=".",s_Irr!AW8&lt;&gt;".",s_Irr!BU8="."),s_dir!Z8/((1/1000)*(s_Irr!AW8)),IF(AND(s_Irr!Y8&lt;&gt;".",s_Irr!AW8=".",s_Irr!BU8="."),s_dir!Z8/((1/1000)*(s_Irr!Y8)),IF(AND(s_Irr!Y8=".",s_Irr!AW8=".",s_Irr!BU8="."),s_dir!Z8*1000)))))))),".")</f>
        <v>16048.416497096001</v>
      </c>
      <c r="AA8" s="76">
        <f>IFERROR(IF(AND(s_Irr!Z8&lt;&gt;".",s_Irr!AX8&lt;&gt;".",s_Irr!BV8&lt;&gt;"."),s_dir!AA8/((1/1000)*(s_Irr!Z8+s_Irr!AX8+s_Irr!BV8)),IF(AND(s_Irr!Z8&lt;&gt;".",s_Irr!AX8&lt;&gt;".",s_Irr!BV8="."),s_dir!AA8/((1/1000)*(s_Irr!Z8+s_Irr!AX8)),IF(AND(s_Irr!Z8&lt;&gt;".",s_Irr!AX8=".",s_Irr!BV8&lt;&gt;"."),s_dir!AA8/((1/1000)*(s_Irr!Z8+s_Irr!BV8)),IF(AND(s_Irr!Z8=".",s_Irr!AX8&lt;&gt;".",s_Irr!BV8&lt;&gt;"."),s_dir!AA8/((1/1000)*(s_Irr!AX8+s_Irr!BV8)),IF(AND(s_Irr!Z8=".",s_Irr!AX8=".",s_Irr!BV8&lt;&gt;"."),s_dir!AA8/((1/1000)*(s_Irr!BV8)),IF(AND(s_Irr!Z8=".",s_Irr!AX8&lt;&gt;".",s_Irr!BV8="."),s_dir!AA8/((1/1000)*(s_Irr!AX8)),IF(AND(s_Irr!Z8&lt;&gt;".",s_Irr!AX8=".",s_Irr!BV8="."),s_dir!AA8/((1/1000)*(s_Irr!Z8)),IF(AND(s_Irr!Z8=".",s_Irr!AX8=".",s_Irr!BV8="."),s_dir!AA8*1000)))))))),".")</f>
        <v>16048.416497096001</v>
      </c>
      <c r="AB8" s="93">
        <f t="shared" ref="AB8:AB9" si="8">SUM(AC8:AD8,AY8:AZ8)</f>
        <v>1736.1784239519495</v>
      </c>
      <c r="AC8" s="93">
        <f>IFERROR(s_C*s_IFAP_res_adj*s_CF_apple*0.001*(s_Irr!C8+s_Irr!AA8+s_Irr!AY8),".")</f>
        <v>434.04460598798738</v>
      </c>
      <c r="AD8" s="93">
        <f>IFERROR(s_C*s_IFAS_res_adj*s_CF_asparagus*0.001*(s_Irr!D8+s_Irr!AB8+s_Irr!AZ8),".")</f>
        <v>434.04460598798738</v>
      </c>
      <c r="AE8" s="93">
        <f>IFERROR(s_C*s_IFBT_res_adj*s_CF_beet*0.001*(s_Irr!E8+s_Irr!AC8+s_Irr!BA8),".")</f>
        <v>434.04460598798738</v>
      </c>
      <c r="AF8" s="93">
        <f>IFERROR(s_C*s_IFBE_res_adj*s_CF_berries*0.001*(s_Irr!F8+s_Irr!AD8+s_Irr!BB8),".")</f>
        <v>434.04460598798738</v>
      </c>
      <c r="AG8" s="93">
        <f>IFERROR(s_C*s_IFBR_res_adj*s_CF_broccoli*0.001*(s_Irr!G8+s_Irr!AE8+s_Irr!BC8),".")</f>
        <v>434.04460598798738</v>
      </c>
      <c r="AH8" s="93">
        <f>IFERROR(s_C*s_IFCB_res_adj*s_CF_cabbage*0.001*(s_Irr!H8+s_Irr!AF8+s_Irr!BD8),".")</f>
        <v>434.04460598798738</v>
      </c>
      <c r="AI8" s="93">
        <f>IFERROR(s_C*s_IFCR_res_adj*s_CF_carrot*0.001*(s_Irr!I8+s_Irr!AG8+s_Irr!BE8),".")</f>
        <v>434.04460598798738</v>
      </c>
      <c r="AJ8" s="93">
        <f>IFERROR(s_C*s_IFCI_res_adj*s_CF_citrus*0.001*(s_Irr!J8+s_Irr!AH8+s_Irr!BF8),".")</f>
        <v>434.04460598798738</v>
      </c>
      <c r="AK8" s="93">
        <f>IFERROR(s_C*s_IFCO_res_adj*s_CF_corn*0.001*(s_Irr!K8+s_Irr!AI8+s_Irr!BG8),".")</f>
        <v>434.04460598798738</v>
      </c>
      <c r="AL8" s="93">
        <f>IFERROR(s_C*s_IFCU_res_adj*s_CF_cucumber*0.001*(s_Irr!L8+s_Irr!AJ8+s_Irr!BH8),".")</f>
        <v>434.04460598798738</v>
      </c>
      <c r="AM8" s="93">
        <f>IFERROR(s_C*s_IFLE_res_adj*s_CF_lettuce*0.001*(s_Irr!M8+s_Irr!AK8+s_Irr!BI8),".")</f>
        <v>434.04460598798738</v>
      </c>
      <c r="AN8" s="93">
        <f>IFERROR(s_C*s_IFLI_res_adj*s_CF_lima_bean*0.001*(s_Irr!N8+s_Irr!AL8+s_Irr!BJ8),".")</f>
        <v>434.04460598798738</v>
      </c>
      <c r="AO8" s="93">
        <f>IFERROR(s_C*s_IFOK_res_adj*s_CF_okra*0.001*(s_Irr!O8+s_Irr!AM8+s_Irr!BK8),".")</f>
        <v>434.04460598798738</v>
      </c>
      <c r="AP8" s="93">
        <f>IFERROR(s_C*s_IFON_res_adj*s_CF_onion*0.001*(s_Irr!P8+s_Irr!AN8+s_Irr!BL8),".")</f>
        <v>434.04460598798738</v>
      </c>
      <c r="AQ8" s="93">
        <f>IFERROR(s_C*s_IFPC_res_adj*s_CF_peach*0.001*(s_Irr!Q8+s_Irr!AO8+s_Irr!BM8),".")</f>
        <v>434.04460598798738</v>
      </c>
      <c r="AR8" s="93">
        <f>IFERROR(s_C*s_IFPR_res_adj*s_CF_pear*0.001*(s_Irr!R8+s_Irr!AP8+s_Irr!BN8),".")</f>
        <v>434.04460598798738</v>
      </c>
      <c r="AS8" s="93">
        <f>IFERROR(s_C*s_IFPE_res_adj*s_CF_peas*0.001*(s_Irr!S8+s_Irr!AQ8+s_Irr!BO8),".")</f>
        <v>434.04460598798738</v>
      </c>
      <c r="AT8" s="93">
        <f>IFERROR(s_C*s_IFPT_res_adj*s_CF_potato*0.001*(s_Irr!T8+s_Irr!AR8+s_Irr!BP8),".")</f>
        <v>434.04460598798738</v>
      </c>
      <c r="AU8" s="93">
        <f>IFERROR(s_C*s_IFPU_res_adj*s_CF_pumpkin*0.001*(s_Irr!U8+s_Irr!AS8+s_Irr!BQ8),".")</f>
        <v>434.04460598798738</v>
      </c>
      <c r="AV8" s="93">
        <f>IFERROR(s_C*s_IFSN_res_adj*s_CF_snap_bean*0.001*(s_Irr!V8+s_Irr!AT8+s_Irr!BR8),".")</f>
        <v>434.04460598798738</v>
      </c>
      <c r="AW8" s="93">
        <f>IFERROR(s_C*s_IFST_res_adj*s_CF_strawberry*0.001*(s_Irr!W8+s_Irr!AU8+s_Irr!BS8),".")</f>
        <v>434.04460598798738</v>
      </c>
      <c r="AX8" s="93">
        <f>IFERROR(s_C*s_IFTO_res_adj*s_CF_tomato*0.001*(s_Irr!X8+s_Irr!AV8+s_Irr!BT8),".")</f>
        <v>434.04460598798738</v>
      </c>
      <c r="AY8" s="93">
        <f>IFERROR(s_C*s_IFRI_res_adj*s_CF_rice*0.001*(s_Irr!Y8+s_Irr!AW8+s_Irr!BU8),".")</f>
        <v>434.04460598798738</v>
      </c>
      <c r="AZ8" s="93">
        <f>IFERROR(s_C*s_IFCG_res_adj*s_CF_cereal*0.001*(s_Irr!Z8+s_Irr!AX8+s_Irr!BV8),".")</f>
        <v>434.04460598798738</v>
      </c>
      <c r="BA8" s="76">
        <f t="shared" si="7"/>
        <v>4012.1041242740002</v>
      </c>
      <c r="BB8" s="76">
        <f>IFERROR(IF(AND(s_Irr!C8&lt;&gt;".",s_Irr!AA8&lt;&gt;".",s_Irr!AY8&lt;&gt;"."),s_dir!AC8/((1/1000)*(s_Irr!C8+s_Irr!AA8+s_Irr!AY8)),IF(AND(s_Irr!C8&lt;&gt;".",s_Irr!AA8&lt;&gt;".",s_Irr!AY8="."),s_dir!AC8/((1/1000)*(s_Irr!C8+s_Irr!AA8)),IF(AND(s_Irr!C8&lt;&gt;".",s_Irr!AA8=".",s_Irr!AY8&lt;&gt;"."),s_dir!AC8/((1/1000)*(s_Irr!C8+s_Irr!AY8)),IF(AND(s_Irr!C8=".",s_Irr!AA8&lt;&gt;".",s_Irr!AY8&lt;&gt;"."),s_dir!AC8/((1/1000)*(s_Irr!AA8+s_Irr!AY8)),IF(AND(s_Irr!C8=".",s_Irr!AA8=".",s_Irr!AY8&lt;&gt;"."),s_dir!AC8/((1/1000)*(s_Irr!AY8)),IF(AND(s_Irr!C8=".",s_Irr!AA8&lt;&gt;".",s_Irr!AY8="."),s_dir!AC8/((1/1000)*(s_Irr!AA8)),IF(AND(s_Irr!C8&lt;&gt;".",s_Irr!AA8=".",s_Irr!AY8="."),s_dir!AC8/((1/1000)*(s_Irr!C8)),IF(AND(s_Irr!C8=".",s_Irr!AA8=".",s_Irr!AY8="."),s_dir!AC8*1000)))))))),".")</f>
        <v>16048.416497096001</v>
      </c>
      <c r="BC8" s="76">
        <f>IFERROR(IF(AND(s_Irr!D8&lt;&gt;".",s_Irr!AB8&lt;&gt;".",s_Irr!AZ8&lt;&gt;"."),s_dir!AD8/((1/1000)*(s_Irr!D8+s_Irr!AB8+s_Irr!AZ8)),IF(AND(s_Irr!D8&lt;&gt;".",s_Irr!AB8&lt;&gt;".",s_Irr!AZ8="."),s_dir!AD8/((1/1000)*(s_Irr!D8+s_Irr!AB8)),IF(AND(s_Irr!D8&lt;&gt;".",s_Irr!AB8=".",s_Irr!AZ8&lt;&gt;"."),s_dir!AD8/((1/1000)*(s_Irr!D8+s_Irr!AZ8)),IF(AND(s_Irr!D8=".",s_Irr!AB8&lt;&gt;".",s_Irr!AZ8&lt;&gt;"."),s_dir!AD8/((1/1000)*(s_Irr!AB8+s_Irr!AZ8)),IF(AND(s_Irr!D8=".",s_Irr!AB8=".",s_Irr!AZ8&lt;&gt;"."),s_dir!AD8/((1/1000)*(s_Irr!AZ8)),IF(AND(s_Irr!D8=".",s_Irr!AB8&lt;&gt;".",s_Irr!AZ8="."),s_dir!AD8/((1/1000)*(s_Irr!AB8)),IF(AND(s_Irr!D8&lt;&gt;".",s_Irr!AB8=".",s_Irr!AZ8="."),s_dir!AD8/((1/1000)*(s_Irr!D8)),IF(AND(s_Irr!D8=".",s_Irr!AB8=".",s_Irr!AZ8="."),s_dir!AD8*1000)))))))),".")</f>
        <v>16048.416497096001</v>
      </c>
      <c r="BD8" s="76">
        <f>IFERROR(IF(AND(s_Irr!E8&lt;&gt;".",s_Irr!AC8&lt;&gt;".",s_Irr!BA8&lt;&gt;"."),s_dir!AE8/((1/1000)*(s_Irr!E8+s_Irr!AC8+s_Irr!BA8)),IF(AND(s_Irr!E8&lt;&gt;".",s_Irr!AC8&lt;&gt;".",s_Irr!BA8="."),s_dir!AE8/((1/1000)*(s_Irr!E8+s_Irr!AC8)),IF(AND(s_Irr!E8&lt;&gt;".",s_Irr!AC8=".",s_Irr!BA8&lt;&gt;"."),s_dir!AE8/((1/1000)*(s_Irr!E8+s_Irr!BA8)),IF(AND(s_Irr!E8=".",s_Irr!AC8&lt;&gt;".",s_Irr!BA8&lt;&gt;"."),s_dir!AE8/((1/1000)*(s_Irr!AC8+s_Irr!BA8)),IF(AND(s_Irr!E8=".",s_Irr!AC8=".",s_Irr!BA8&lt;&gt;"."),s_dir!AE8/((1/1000)*(s_Irr!BA8)),IF(AND(s_Irr!E8=".",s_Irr!AC8&lt;&gt;".",s_Irr!BA8="."),s_dir!AE8/((1/1000)*(s_Irr!AC8)),IF(AND(s_Irr!E8&lt;&gt;".",s_Irr!AC8=".",s_Irr!BA8="."),s_dir!AE8/((1/1000)*(s_Irr!E8)),IF(AND(s_Irr!E8=".",s_Irr!AC8=".",s_Irr!BA8="."),s_dir!AE8*1000)))))))),".")</f>
        <v>16048.416497096001</v>
      </c>
      <c r="BE8" s="76">
        <f>IFERROR(IF(AND(s_Irr!F8&lt;&gt;".",s_Irr!AD8&lt;&gt;".",s_Irr!BB8&lt;&gt;"."),s_dir!AF8/((1/1000)*(s_Irr!F8+s_Irr!AD8+s_Irr!BB8)),IF(AND(s_Irr!F8&lt;&gt;".",s_Irr!AD8&lt;&gt;".",s_Irr!BB8="."),s_dir!AF8/((1/1000)*(s_Irr!F8+s_Irr!AD8)),IF(AND(s_Irr!F8&lt;&gt;".",s_Irr!AD8=".",s_Irr!BB8&lt;&gt;"."),s_dir!AF8/((1/1000)*(s_Irr!F8+s_Irr!BB8)),IF(AND(s_Irr!F8=".",s_Irr!AD8&lt;&gt;".",s_Irr!BB8&lt;&gt;"."),s_dir!AF8/((1/1000)*(s_Irr!AD8+s_Irr!BB8)),IF(AND(s_Irr!F8=".",s_Irr!AD8=".",s_Irr!BB8&lt;&gt;"."),s_dir!AF8/((1/1000)*(s_Irr!BB8)),IF(AND(s_Irr!F8=".",s_Irr!AD8&lt;&gt;".",s_Irr!BB8="."),s_dir!AF8/((1/1000)*(s_Irr!AD8)),IF(AND(s_Irr!F8&lt;&gt;".",s_Irr!AD8=".",s_Irr!BB8="."),s_dir!AF8/((1/1000)*(s_Irr!F8)),IF(AND(s_Irr!F8=".",s_Irr!AD8=".",s_Irr!BB8="."),s_dir!AF8*1000)))))))),".")</f>
        <v>16048.416497096001</v>
      </c>
      <c r="BF8" s="76">
        <f>IFERROR(IF(AND(s_Irr!G8&lt;&gt;".",s_Irr!AE8&lt;&gt;".",s_Irr!BC8&lt;&gt;"."),s_dir!AG8/((1/1000)*(s_Irr!G8+s_Irr!AE8+s_Irr!BC8)),IF(AND(s_Irr!G8&lt;&gt;".",s_Irr!AE8&lt;&gt;".",s_Irr!BC8="."),s_dir!AG8/((1/1000)*(s_Irr!G8+s_Irr!AE8)),IF(AND(s_Irr!G8&lt;&gt;".",s_Irr!AE8=".",s_Irr!BC8&lt;&gt;"."),s_dir!AG8/((1/1000)*(s_Irr!G8+s_Irr!BC8)),IF(AND(s_Irr!G8=".",s_Irr!AE8&lt;&gt;".",s_Irr!BC8&lt;&gt;"."),s_dir!AG8/((1/1000)*(s_Irr!AE8+s_Irr!BC8)),IF(AND(s_Irr!G8=".",s_Irr!AE8=".",s_Irr!BC8&lt;&gt;"."),s_dir!AG8/((1/1000)*(s_Irr!BC8)),IF(AND(s_Irr!G8=".",s_Irr!AE8&lt;&gt;".",s_Irr!BC8="."),s_dir!AG8/((1/1000)*(s_Irr!AE8)),IF(AND(s_Irr!G8&lt;&gt;".",s_Irr!AE8=".",s_Irr!BC8="."),s_dir!AG8/((1/1000)*(s_Irr!G8)),IF(AND(s_Irr!G8=".",s_Irr!AE8=".",s_Irr!BC8="."),s_dir!AG8*1000)))))))),".")</f>
        <v>16048.416497096001</v>
      </c>
      <c r="BG8" s="76">
        <f>IFERROR(IF(AND(s_Irr!H8&lt;&gt;".",s_Irr!AF8&lt;&gt;".",s_Irr!BD8&lt;&gt;"."),s_dir!AH8/((1/1000)*(s_Irr!H8+s_Irr!AF8+s_Irr!BD8)),IF(AND(s_Irr!H8&lt;&gt;".",s_Irr!AF8&lt;&gt;".",s_Irr!BD8="."),s_dir!AH8/((1/1000)*(s_Irr!H8+s_Irr!AF8)),IF(AND(s_Irr!H8&lt;&gt;".",s_Irr!AF8=".",s_Irr!BD8&lt;&gt;"."),s_dir!AH8/((1/1000)*(s_Irr!H8+s_Irr!BD8)),IF(AND(s_Irr!H8=".",s_Irr!AF8&lt;&gt;".",s_Irr!BD8&lt;&gt;"."),s_dir!AH8/((1/1000)*(s_Irr!AF8+s_Irr!BD8)),IF(AND(s_Irr!H8=".",s_Irr!AF8=".",s_Irr!BD8&lt;&gt;"."),s_dir!AH8/((1/1000)*(s_Irr!BD8)),IF(AND(s_Irr!H8=".",s_Irr!AF8&lt;&gt;".",s_Irr!BD8="."),s_dir!AH8/((1/1000)*(s_Irr!AF8)),IF(AND(s_Irr!H8&lt;&gt;".",s_Irr!AF8=".",s_Irr!BD8="."),s_dir!AH8/((1/1000)*(s_Irr!H8)),IF(AND(s_Irr!H8=".",s_Irr!AF8=".",s_Irr!BD8="."),s_dir!AH8*1000)))))))),".")</f>
        <v>16048.416497096001</v>
      </c>
      <c r="BH8" s="76">
        <f>IFERROR(IF(AND(s_Irr!I8&lt;&gt;".",s_Irr!AG8&lt;&gt;".",s_Irr!BE8&lt;&gt;"."),s_dir!AI8/((1/1000)*(s_Irr!I8+s_Irr!AG8+s_Irr!BE8)),IF(AND(s_Irr!I8&lt;&gt;".",s_Irr!AG8&lt;&gt;".",s_Irr!BE8="."),s_dir!AI8/((1/1000)*(s_Irr!I8+s_Irr!AG8)),IF(AND(s_Irr!I8&lt;&gt;".",s_Irr!AG8=".",s_Irr!BE8&lt;&gt;"."),s_dir!AI8/((1/1000)*(s_Irr!I8+s_Irr!BE8)),IF(AND(s_Irr!I8=".",s_Irr!AG8&lt;&gt;".",s_Irr!BE8&lt;&gt;"."),s_dir!AI8/((1/1000)*(s_Irr!AG8+s_Irr!BE8)),IF(AND(s_Irr!I8=".",s_Irr!AG8=".",s_Irr!BE8&lt;&gt;"."),s_dir!AI8/((1/1000)*(s_Irr!BE8)),IF(AND(s_Irr!I8=".",s_Irr!AG8&lt;&gt;".",s_Irr!BE8="."),s_dir!AI8/((1/1000)*(s_Irr!AG8)),IF(AND(s_Irr!I8&lt;&gt;".",s_Irr!AG8=".",s_Irr!BE8="."),s_dir!AI8/((1/1000)*(s_Irr!I8)),IF(AND(s_Irr!I8=".",s_Irr!AG8=".",s_Irr!BE8="."),s_dir!AI8*1000)))))))),".")</f>
        <v>16048.416497096001</v>
      </c>
      <c r="BI8" s="76">
        <f>IFERROR(IF(AND(s_Irr!J8&lt;&gt;".",s_Irr!AH8&lt;&gt;".",s_Irr!BF8&lt;&gt;"."),s_dir!AJ8/((1/1000)*(s_Irr!J8+s_Irr!AH8+s_Irr!BF8)),IF(AND(s_Irr!J8&lt;&gt;".",s_Irr!AH8&lt;&gt;".",s_Irr!BF8="."),s_dir!AJ8/((1/1000)*(s_Irr!J8+s_Irr!AH8)),IF(AND(s_Irr!J8&lt;&gt;".",s_Irr!AH8=".",s_Irr!BF8&lt;&gt;"."),s_dir!AJ8/((1/1000)*(s_Irr!J8+s_Irr!BF8)),IF(AND(s_Irr!J8=".",s_Irr!AH8&lt;&gt;".",s_Irr!BF8&lt;&gt;"."),s_dir!AJ8/((1/1000)*(s_Irr!AH8+s_Irr!BF8)),IF(AND(s_Irr!J8=".",s_Irr!AH8=".",s_Irr!BF8&lt;&gt;"."),s_dir!AJ8/((1/1000)*(s_Irr!BF8)),IF(AND(s_Irr!J8=".",s_Irr!AH8&lt;&gt;".",s_Irr!BF8="."),s_dir!AJ8/((1/1000)*(s_Irr!AH8)),IF(AND(s_Irr!J8&lt;&gt;".",s_Irr!AH8=".",s_Irr!BF8="."),s_dir!AJ8/((1/1000)*(s_Irr!J8)),IF(AND(s_Irr!J8=".",s_Irr!AH8=".",s_Irr!BF8="."),s_dir!AJ8*1000)))))))),".")</f>
        <v>16048.416497096001</v>
      </c>
      <c r="BJ8" s="76">
        <f>IFERROR(IF(AND(s_Irr!K8&lt;&gt;".",s_Irr!AI8&lt;&gt;".",s_Irr!BG8&lt;&gt;"."),s_dir!AK8/((1/1000)*(s_Irr!K8+s_Irr!AI8+s_Irr!BG8)),IF(AND(s_Irr!K8&lt;&gt;".",s_Irr!AI8&lt;&gt;".",s_Irr!BG8="."),s_dir!AK8/((1/1000)*(s_Irr!K8+s_Irr!AI8)),IF(AND(s_Irr!K8&lt;&gt;".",s_Irr!AI8=".",s_Irr!BG8&lt;&gt;"."),s_dir!AK8/((1/1000)*(s_Irr!K8+s_Irr!BG8)),IF(AND(s_Irr!K8=".",s_Irr!AI8&lt;&gt;".",s_Irr!BG8&lt;&gt;"."),s_dir!AK8/((1/1000)*(s_Irr!AI8+s_Irr!BG8)),IF(AND(s_Irr!K8=".",s_Irr!AI8=".",s_Irr!BG8&lt;&gt;"."),s_dir!AK8/((1/1000)*(s_Irr!BG8)),IF(AND(s_Irr!K8=".",s_Irr!AI8&lt;&gt;".",s_Irr!BG8="."),s_dir!AK8/((1/1000)*(s_Irr!AI8)),IF(AND(s_Irr!K8&lt;&gt;".",s_Irr!AI8=".",s_Irr!BG8="."),s_dir!AK8/((1/1000)*(s_Irr!K8)),IF(AND(s_Irr!K8=".",s_Irr!AI8=".",s_Irr!BG8="."),s_dir!AK8*1000)))))))),".")</f>
        <v>16048.416497096001</v>
      </c>
      <c r="BK8" s="76">
        <f>IFERROR(IF(AND(s_Irr!L8&lt;&gt;".",s_Irr!AJ8&lt;&gt;".",s_Irr!BH8&lt;&gt;"."),s_dir!AL8/((1/1000)*(s_Irr!L8+s_Irr!AJ8+s_Irr!BH8)),IF(AND(s_Irr!L8&lt;&gt;".",s_Irr!AJ8&lt;&gt;".",s_Irr!BH8="."),s_dir!AL8/((1/1000)*(s_Irr!L8+s_Irr!AJ8)),IF(AND(s_Irr!L8&lt;&gt;".",s_Irr!AJ8=".",s_Irr!BH8&lt;&gt;"."),s_dir!AL8/((1/1000)*(s_Irr!L8+s_Irr!BH8)),IF(AND(s_Irr!L8=".",s_Irr!AJ8&lt;&gt;".",s_Irr!BH8&lt;&gt;"."),s_dir!AL8/((1/1000)*(s_Irr!AJ8+s_Irr!BH8)),IF(AND(s_Irr!L8=".",s_Irr!AJ8=".",s_Irr!BH8&lt;&gt;"."),s_dir!AL8/((1/1000)*(s_Irr!BH8)),IF(AND(s_Irr!L8=".",s_Irr!AJ8&lt;&gt;".",s_Irr!BH8="."),s_dir!AL8/((1/1000)*(s_Irr!AJ8)),IF(AND(s_Irr!L8&lt;&gt;".",s_Irr!AJ8=".",s_Irr!BH8="."),s_dir!AL8/((1/1000)*(s_Irr!L8)),IF(AND(s_Irr!L8=".",s_Irr!AJ8=".",s_Irr!BH8="."),s_dir!AL8*1000)))))))),".")</f>
        <v>16048.416497096001</v>
      </c>
      <c r="BL8" s="76">
        <f>IFERROR(IF(AND(s_Irr!M8&lt;&gt;".",s_Irr!AK8&lt;&gt;".",s_Irr!BI8&lt;&gt;"."),s_dir!AM8/((1/1000)*(s_Irr!M8+s_Irr!AK8+s_Irr!BI8)),IF(AND(s_Irr!M8&lt;&gt;".",s_Irr!AK8&lt;&gt;".",s_Irr!BI8="."),s_dir!AM8/((1/1000)*(s_Irr!M8+s_Irr!AK8)),IF(AND(s_Irr!M8&lt;&gt;".",s_Irr!AK8=".",s_Irr!BI8&lt;&gt;"."),s_dir!AM8/((1/1000)*(s_Irr!M8+s_Irr!BI8)),IF(AND(s_Irr!M8=".",s_Irr!AK8&lt;&gt;".",s_Irr!BI8&lt;&gt;"."),s_dir!AM8/((1/1000)*(s_Irr!AK8+s_Irr!BI8)),IF(AND(s_Irr!M8=".",s_Irr!AK8=".",s_Irr!BI8&lt;&gt;"."),s_dir!AM8/((1/1000)*(s_Irr!BI8)),IF(AND(s_Irr!M8=".",s_Irr!AK8&lt;&gt;".",s_Irr!BI8="."),s_dir!AM8/((1/1000)*(s_Irr!AK8)),IF(AND(s_Irr!M8&lt;&gt;".",s_Irr!AK8=".",s_Irr!BI8="."),s_dir!AM8/((1/1000)*(s_Irr!M8)),IF(AND(s_Irr!M8=".",s_Irr!AK8=".",s_Irr!BI8="."),s_dir!AM8*1000)))))))),".")</f>
        <v>16048.416497096001</v>
      </c>
      <c r="BM8" s="76">
        <f>IFERROR(IF(AND(s_Irr!N8&lt;&gt;".",s_Irr!AL8&lt;&gt;".",s_Irr!BJ8&lt;&gt;"."),s_dir!AN8/((1/1000)*(s_Irr!N8+s_Irr!AL8+s_Irr!BJ8)),IF(AND(s_Irr!N8&lt;&gt;".",s_Irr!AL8&lt;&gt;".",s_Irr!BJ8="."),s_dir!AN8/((1/1000)*(s_Irr!N8+s_Irr!AL8)),IF(AND(s_Irr!N8&lt;&gt;".",s_Irr!AL8=".",s_Irr!BJ8&lt;&gt;"."),s_dir!AN8/((1/1000)*(s_Irr!N8+s_Irr!BJ8)),IF(AND(s_Irr!N8=".",s_Irr!AL8&lt;&gt;".",s_Irr!BJ8&lt;&gt;"."),s_dir!AN8/((1/1000)*(s_Irr!AL8+s_Irr!BJ8)),IF(AND(s_Irr!N8=".",s_Irr!AL8=".",s_Irr!BJ8&lt;&gt;"."),s_dir!AN8/((1/1000)*(s_Irr!BJ8)),IF(AND(s_Irr!N8=".",s_Irr!AL8&lt;&gt;".",s_Irr!BJ8="."),s_dir!AN8/((1/1000)*(s_Irr!AL8)),IF(AND(s_Irr!N8&lt;&gt;".",s_Irr!AL8=".",s_Irr!BJ8="."),s_dir!AN8/((1/1000)*(s_Irr!N8)),IF(AND(s_Irr!N8=".",s_Irr!AL8=".",s_Irr!BJ8="."),s_dir!AN8*1000)))))))),".")</f>
        <v>16048.416497096001</v>
      </c>
      <c r="BN8" s="76">
        <f>IFERROR(IF(AND(s_Irr!O8&lt;&gt;".",s_Irr!AM8&lt;&gt;".",s_Irr!BK8&lt;&gt;"."),s_dir!AO8/((1/1000)*(s_Irr!O8+s_Irr!AM8+s_Irr!BK8)),IF(AND(s_Irr!O8&lt;&gt;".",s_Irr!AM8&lt;&gt;".",s_Irr!BK8="."),s_dir!AO8/((1/1000)*(s_Irr!O8+s_Irr!AM8)),IF(AND(s_Irr!O8&lt;&gt;".",s_Irr!AM8=".",s_Irr!BK8&lt;&gt;"."),s_dir!AO8/((1/1000)*(s_Irr!O8+s_Irr!BK8)),IF(AND(s_Irr!O8=".",s_Irr!AM8&lt;&gt;".",s_Irr!BK8&lt;&gt;"."),s_dir!AO8/((1/1000)*(s_Irr!AM8+s_Irr!BK8)),IF(AND(s_Irr!O8=".",s_Irr!AM8=".",s_Irr!BK8&lt;&gt;"."),s_dir!AO8/((1/1000)*(s_Irr!BK8)),IF(AND(s_Irr!O8=".",s_Irr!AM8&lt;&gt;".",s_Irr!BK8="."),s_dir!AO8/((1/1000)*(s_Irr!AM8)),IF(AND(s_Irr!O8&lt;&gt;".",s_Irr!AM8=".",s_Irr!BK8="."),s_dir!AO8/((1/1000)*(s_Irr!O8)),IF(AND(s_Irr!O8=".",s_Irr!AM8=".",s_Irr!BK8="."),s_dir!AO8*1000)))))))),".")</f>
        <v>16048.416497096001</v>
      </c>
      <c r="BO8" s="76">
        <f>IFERROR(IF(AND(s_Irr!P8&lt;&gt;".",s_Irr!AN8&lt;&gt;".",s_Irr!BL8&lt;&gt;"."),s_dir!AP8/((1/1000)*(s_Irr!P8+s_Irr!AN8+s_Irr!BL8)),IF(AND(s_Irr!P8&lt;&gt;".",s_Irr!AN8&lt;&gt;".",s_Irr!BL8="."),s_dir!AP8/((1/1000)*(s_Irr!P8+s_Irr!AN8)),IF(AND(s_Irr!P8&lt;&gt;".",s_Irr!AN8=".",s_Irr!BL8&lt;&gt;"."),s_dir!AP8/((1/1000)*(s_Irr!P8+s_Irr!BL8)),IF(AND(s_Irr!P8=".",s_Irr!AN8&lt;&gt;".",s_Irr!BL8&lt;&gt;"."),s_dir!AP8/((1/1000)*(s_Irr!AN8+s_Irr!BL8)),IF(AND(s_Irr!P8=".",s_Irr!AN8=".",s_Irr!BL8&lt;&gt;"."),s_dir!AP8/((1/1000)*(s_Irr!BL8)),IF(AND(s_Irr!P8=".",s_Irr!AN8&lt;&gt;".",s_Irr!BL8="."),s_dir!AP8/((1/1000)*(s_Irr!AN8)),IF(AND(s_Irr!P8&lt;&gt;".",s_Irr!AN8=".",s_Irr!BL8="."),s_dir!AP8/((1/1000)*(s_Irr!P8)),IF(AND(s_Irr!P8=".",s_Irr!AN8=".",s_Irr!BL8="."),s_dir!AP8*1000)))))))),".")</f>
        <v>16048.416497096001</v>
      </c>
      <c r="BP8" s="76">
        <f>IFERROR(IF(AND(s_Irr!Q8&lt;&gt;".",s_Irr!AO8&lt;&gt;".",s_Irr!BM8&lt;&gt;"."),s_dir!AQ8/((1/1000)*(s_Irr!Q8+s_Irr!AO8+s_Irr!BM8)),IF(AND(s_Irr!Q8&lt;&gt;".",s_Irr!AO8&lt;&gt;".",s_Irr!BM8="."),s_dir!AQ8/((1/1000)*(s_Irr!Q8+s_Irr!AO8)),IF(AND(s_Irr!Q8&lt;&gt;".",s_Irr!AO8=".",s_Irr!BM8&lt;&gt;"."),s_dir!AQ8/((1/1000)*(s_Irr!Q8+s_Irr!BM8)),IF(AND(s_Irr!Q8=".",s_Irr!AO8&lt;&gt;".",s_Irr!BM8&lt;&gt;"."),s_dir!AQ8/((1/1000)*(s_Irr!AO8+s_Irr!BM8)),IF(AND(s_Irr!Q8=".",s_Irr!AO8=".",s_Irr!BM8&lt;&gt;"."),s_dir!AQ8/((1/1000)*(s_Irr!BM8)),IF(AND(s_Irr!Q8=".",s_Irr!AO8&lt;&gt;".",s_Irr!BM8="."),s_dir!AQ8/((1/1000)*(s_Irr!AO8)),IF(AND(s_Irr!Q8&lt;&gt;".",s_Irr!AO8=".",s_Irr!BM8="."),s_dir!AQ8/((1/1000)*(s_Irr!Q8)),IF(AND(s_Irr!Q8=".",s_Irr!AO8=".",s_Irr!BM8="."),s_dir!AQ8*1000)))))))),".")</f>
        <v>16048.416497096001</v>
      </c>
      <c r="BQ8" s="76">
        <f>IFERROR(IF(AND(s_Irr!R8&lt;&gt;".",s_Irr!AP8&lt;&gt;".",s_Irr!BN8&lt;&gt;"."),s_dir!AR8/((1/1000)*(s_Irr!R8+s_Irr!AP8+s_Irr!BN8)),IF(AND(s_Irr!R8&lt;&gt;".",s_Irr!AP8&lt;&gt;".",s_Irr!BN8="."),s_dir!AR8/((1/1000)*(s_Irr!R8+s_Irr!AP8)),IF(AND(s_Irr!R8&lt;&gt;".",s_Irr!AP8=".",s_Irr!BN8&lt;&gt;"."),s_dir!AR8/((1/1000)*(s_Irr!R8+s_Irr!BN8)),IF(AND(s_Irr!R8=".",s_Irr!AP8&lt;&gt;".",s_Irr!BN8&lt;&gt;"."),s_dir!AR8/((1/1000)*(s_Irr!AP8+s_Irr!BN8)),IF(AND(s_Irr!R8=".",s_Irr!AP8=".",s_Irr!BN8&lt;&gt;"."),s_dir!AR8/((1/1000)*(s_Irr!BN8)),IF(AND(s_Irr!R8=".",s_Irr!AP8&lt;&gt;".",s_Irr!BN8="."),s_dir!AR8/((1/1000)*(s_Irr!AP8)),IF(AND(s_Irr!R8&lt;&gt;".",s_Irr!AP8=".",s_Irr!BN8="."),s_dir!AR8/((1/1000)*(s_Irr!R8)),IF(AND(s_Irr!R8=".",s_Irr!AP8=".",s_Irr!BN8="."),s_dir!AR8*1000)))))))),".")</f>
        <v>16048.416497096001</v>
      </c>
      <c r="BR8" s="76">
        <f>IFERROR(IF(AND(s_Irr!S8&lt;&gt;".",s_Irr!AQ8&lt;&gt;".",s_Irr!BO8&lt;&gt;"."),s_dir!AS8/((1/1000)*(s_Irr!S8+s_Irr!AQ8+s_Irr!BO8)),IF(AND(s_Irr!S8&lt;&gt;".",s_Irr!AQ8&lt;&gt;".",s_Irr!BO8="."),s_dir!AS8/((1/1000)*(s_Irr!S8+s_Irr!AQ8)),IF(AND(s_Irr!S8&lt;&gt;".",s_Irr!AQ8=".",s_Irr!BO8&lt;&gt;"."),s_dir!AS8/((1/1000)*(s_Irr!S8+s_Irr!BO8)),IF(AND(s_Irr!S8=".",s_Irr!AQ8&lt;&gt;".",s_Irr!BO8&lt;&gt;"."),s_dir!AS8/((1/1000)*(s_Irr!AQ8+s_Irr!BO8)),IF(AND(s_Irr!S8=".",s_Irr!AQ8=".",s_Irr!BO8&lt;&gt;"."),s_dir!AS8/((1/1000)*(s_Irr!BO8)),IF(AND(s_Irr!S8=".",s_Irr!AQ8&lt;&gt;".",s_Irr!BO8="."),s_dir!AS8/((1/1000)*(s_Irr!AQ8)),IF(AND(s_Irr!S8&lt;&gt;".",s_Irr!AQ8=".",s_Irr!BO8="."),s_dir!AS8/((1/1000)*(s_Irr!S8)),IF(AND(s_Irr!S8=".",s_Irr!AQ8=".",s_Irr!BO8="."),s_dir!AS8*1000)))))))),".")</f>
        <v>16048.416497096001</v>
      </c>
      <c r="BS8" s="76">
        <f>IFERROR(IF(AND(s_Irr!T8&lt;&gt;".",s_Irr!AR8&lt;&gt;".",s_Irr!BP8&lt;&gt;"."),s_dir!AT8/((1/1000)*(s_Irr!T8+s_Irr!AR8+s_Irr!BP8)),IF(AND(s_Irr!T8&lt;&gt;".",s_Irr!AR8&lt;&gt;".",s_Irr!BP8="."),s_dir!AT8/((1/1000)*(s_Irr!T8+s_Irr!AR8)),IF(AND(s_Irr!T8&lt;&gt;".",s_Irr!AR8=".",s_Irr!BP8&lt;&gt;"."),s_dir!AT8/((1/1000)*(s_Irr!T8+s_Irr!BP8)),IF(AND(s_Irr!T8=".",s_Irr!AR8&lt;&gt;".",s_Irr!BP8&lt;&gt;"."),s_dir!AT8/((1/1000)*(s_Irr!AR8+s_Irr!BP8)),IF(AND(s_Irr!T8=".",s_Irr!AR8=".",s_Irr!BP8&lt;&gt;"."),s_dir!AT8/((1/1000)*(s_Irr!BP8)),IF(AND(s_Irr!T8=".",s_Irr!AR8&lt;&gt;".",s_Irr!BP8="."),s_dir!AT8/((1/1000)*(s_Irr!AR8)),IF(AND(s_Irr!T8&lt;&gt;".",s_Irr!AR8=".",s_Irr!BP8="."),s_dir!AT8/((1/1000)*(s_Irr!T8)),IF(AND(s_Irr!T8=".",s_Irr!AR8=".",s_Irr!BP8="."),s_dir!AT8*1000)))))))),".")</f>
        <v>16048.416497096001</v>
      </c>
      <c r="BT8" s="76">
        <f>IFERROR(IF(AND(s_Irr!U8&lt;&gt;".",s_Irr!AS8&lt;&gt;".",s_Irr!BQ8&lt;&gt;"."),s_dir!AU8/((1/1000)*(s_Irr!U8+s_Irr!AS8+s_Irr!BQ8)),IF(AND(s_Irr!U8&lt;&gt;".",s_Irr!AS8&lt;&gt;".",s_Irr!BQ8="."),s_dir!AU8/((1/1000)*(s_Irr!U8+s_Irr!AS8)),IF(AND(s_Irr!U8&lt;&gt;".",s_Irr!AS8=".",s_Irr!BQ8&lt;&gt;"."),s_dir!AU8/((1/1000)*(s_Irr!U8+s_Irr!BQ8)),IF(AND(s_Irr!U8=".",s_Irr!AS8&lt;&gt;".",s_Irr!BQ8&lt;&gt;"."),s_dir!AU8/((1/1000)*(s_Irr!AS8+s_Irr!BQ8)),IF(AND(s_Irr!U8=".",s_Irr!AS8=".",s_Irr!BQ8&lt;&gt;"."),s_dir!AU8/((1/1000)*(s_Irr!BQ8)),IF(AND(s_Irr!U8=".",s_Irr!AS8&lt;&gt;".",s_Irr!BQ8="."),s_dir!AU8/((1/1000)*(s_Irr!AS8)),IF(AND(s_Irr!U8&lt;&gt;".",s_Irr!AS8=".",s_Irr!BQ8="."),s_dir!AU8/((1/1000)*(s_Irr!U8)),IF(AND(s_Irr!U8=".",s_Irr!AS8=".",s_Irr!BQ8="."),s_dir!AU8*1000)))))))),".")</f>
        <v>16048.416497096001</v>
      </c>
      <c r="BU8" s="76">
        <f>IFERROR(IF(AND(s_Irr!V8&lt;&gt;".",s_Irr!AT8&lt;&gt;".",s_Irr!BR8&lt;&gt;"."),s_dir!AV8/((1/1000)*(s_Irr!V8+s_Irr!AT8+s_Irr!BR8)),IF(AND(s_Irr!V8&lt;&gt;".",s_Irr!AT8&lt;&gt;".",s_Irr!BR8="."),s_dir!AV8/((1/1000)*(s_Irr!V8+s_Irr!AT8)),IF(AND(s_Irr!V8&lt;&gt;".",s_Irr!AT8=".",s_Irr!BR8&lt;&gt;"."),s_dir!AV8/((1/1000)*(s_Irr!V8+s_Irr!BR8)),IF(AND(s_Irr!V8=".",s_Irr!AT8&lt;&gt;".",s_Irr!BR8&lt;&gt;"."),s_dir!AV8/((1/1000)*(s_Irr!AT8+s_Irr!BR8)),IF(AND(s_Irr!V8=".",s_Irr!AT8=".",s_Irr!BR8&lt;&gt;"."),s_dir!AV8/((1/1000)*(s_Irr!BR8)),IF(AND(s_Irr!V8=".",s_Irr!AT8&lt;&gt;".",s_Irr!BR8="."),s_dir!AV8/((1/1000)*(s_Irr!AT8)),IF(AND(s_Irr!V8&lt;&gt;".",s_Irr!AT8=".",s_Irr!BR8="."),s_dir!AV8/((1/1000)*(s_Irr!V8)),IF(AND(s_Irr!V8=".",s_Irr!AT8=".",s_Irr!BR8="."),s_dir!AV8*1000)))))))),".")</f>
        <v>16048.416497096001</v>
      </c>
      <c r="BV8" s="76">
        <f>IFERROR(IF(AND(s_Irr!W8&lt;&gt;".",s_Irr!AU8&lt;&gt;".",s_Irr!BS8&lt;&gt;"."),s_dir!AW8/((1/1000)*(s_Irr!W8+s_Irr!AU8+s_Irr!BS8)),IF(AND(s_Irr!W8&lt;&gt;".",s_Irr!AU8&lt;&gt;".",s_Irr!BS8="."),s_dir!AW8/((1/1000)*(s_Irr!W8+s_Irr!AU8)),IF(AND(s_Irr!W8&lt;&gt;".",s_Irr!AU8=".",s_Irr!BS8&lt;&gt;"."),s_dir!AW8/((1/1000)*(s_Irr!W8+s_Irr!BS8)),IF(AND(s_Irr!W8=".",s_Irr!AU8&lt;&gt;".",s_Irr!BS8&lt;&gt;"."),s_dir!AW8/((1/1000)*(s_Irr!AU8+s_Irr!BS8)),IF(AND(s_Irr!W8=".",s_Irr!AU8=".",s_Irr!BS8&lt;&gt;"."),s_dir!AW8/((1/1000)*(s_Irr!BS8)),IF(AND(s_Irr!W8=".",s_Irr!AU8&lt;&gt;".",s_Irr!BS8="."),s_dir!AW8/((1/1000)*(s_Irr!AU8)),IF(AND(s_Irr!W8&lt;&gt;".",s_Irr!AU8=".",s_Irr!BS8="."),s_dir!AW8/((1/1000)*(s_Irr!W8)),IF(AND(s_Irr!W8=".",s_Irr!AU8=".",s_Irr!BS8="."),s_dir!AW8*1000)))))))),".")</f>
        <v>16048.416497096001</v>
      </c>
      <c r="BW8" s="76">
        <f>IFERROR(IF(AND(s_Irr!X8&lt;&gt;".",s_Irr!AV8&lt;&gt;".",s_Irr!BT8&lt;&gt;"."),s_dir!AX8/((1/1000)*(s_Irr!X8+s_Irr!AV8+s_Irr!BT8)),IF(AND(s_Irr!X8&lt;&gt;".",s_Irr!AV8&lt;&gt;".",s_Irr!BT8="."),s_dir!AX8/((1/1000)*(s_Irr!X8+s_Irr!AV8)),IF(AND(s_Irr!X8&lt;&gt;".",s_Irr!AV8=".",s_Irr!BT8&lt;&gt;"."),s_dir!AX8/((1/1000)*(s_Irr!X8+s_Irr!BT8)),IF(AND(s_Irr!X8=".",s_Irr!AV8&lt;&gt;".",s_Irr!BT8&lt;&gt;"."),s_dir!AX8/((1/1000)*(s_Irr!AV8+s_Irr!BT8)),IF(AND(s_Irr!X8=".",s_Irr!AV8=".",s_Irr!BT8&lt;&gt;"."),s_dir!AX8/((1/1000)*(s_Irr!BT8)),IF(AND(s_Irr!X8=".",s_Irr!AV8&lt;&gt;".",s_Irr!BT8="."),s_dir!AX8/((1/1000)*(s_Irr!AV8)),IF(AND(s_Irr!X8&lt;&gt;".",s_Irr!AV8=".",s_Irr!BT8="."),s_dir!AX8/((1/1000)*(s_Irr!X8)),IF(AND(s_Irr!X8=".",s_Irr!AV8=".",s_Irr!BT8="."),s_dir!AX8*1000)))))))),".")</f>
        <v>16048.416497096001</v>
      </c>
      <c r="BX8" s="76">
        <f>IFERROR(IF(AND(s_Irr!Y8&lt;&gt;".",s_Irr!AW8&lt;&gt;".",s_Irr!BU8&lt;&gt;"."),s_dir!AY8/((1/1000)*(s_Irr!Y8+s_Irr!AW8+s_Irr!BU8)),IF(AND(s_Irr!Y8&lt;&gt;".",s_Irr!AW8&lt;&gt;".",s_Irr!BU8="."),s_dir!AY8/((1/1000)*(s_Irr!Y8+s_Irr!AW8)),IF(AND(s_Irr!Y8&lt;&gt;".",s_Irr!AW8=".",s_Irr!BU8&lt;&gt;"."),s_dir!AY8/((1/1000)*(s_Irr!Y8+s_Irr!BU8)),IF(AND(s_Irr!Y8=".",s_Irr!AW8&lt;&gt;".",s_Irr!BU8&lt;&gt;"."),s_dir!AY8/((1/1000)*(s_Irr!AW8+s_Irr!BU8)),IF(AND(s_Irr!Y8=".",s_Irr!AW8=".",s_Irr!BU8&lt;&gt;"."),s_dir!AY8/((1/1000)*(s_Irr!BU8)),IF(AND(s_Irr!Y8=".",s_Irr!AW8&lt;&gt;".",s_Irr!BU8="."),s_dir!AY8/((1/1000)*(s_Irr!AW8)),IF(AND(s_Irr!Y8&lt;&gt;".",s_Irr!AW8=".",s_Irr!BU8="."),s_dir!AY8/((1/1000)*(s_Irr!Y8)),IF(AND(s_Irr!Y8=".",s_Irr!AW8=".",s_Irr!BU8="."),s_dir!AY8*1000)))))))),".")</f>
        <v>16048.416497096001</v>
      </c>
      <c r="BY8" s="76">
        <f>IFERROR(IF(AND(s_Irr!Z8&lt;&gt;".",s_Irr!AX8&lt;&gt;".",s_Irr!BV8&lt;&gt;"."),s_dir!AZ8/((1/1000)*(s_Irr!Z8+s_Irr!AX8+s_Irr!BV8)),IF(AND(s_Irr!Z8&lt;&gt;".",s_Irr!AX8&lt;&gt;".",s_Irr!BV8="."),s_dir!AZ8/((1/1000)*(s_Irr!Z8+s_Irr!AX8)),IF(AND(s_Irr!Z8&lt;&gt;".",s_Irr!AX8=".",s_Irr!BV8&lt;&gt;"."),s_dir!AZ8/((1/1000)*(s_Irr!Z8+s_Irr!BV8)),IF(AND(s_Irr!Z8=".",s_Irr!AX8&lt;&gt;".",s_Irr!BV8&lt;&gt;"."),s_dir!AZ8/((1/1000)*(s_Irr!AX8+s_Irr!BV8)),IF(AND(s_Irr!Z8=".",s_Irr!AX8=".",s_Irr!BV8&lt;&gt;"."),s_dir!AZ8/((1/1000)*(s_Irr!BV8)),IF(AND(s_Irr!Z8=".",s_Irr!AX8&lt;&gt;".",s_Irr!BV8="."),s_dir!AZ8/((1/1000)*(s_Irr!AX8)),IF(AND(s_Irr!Z8&lt;&gt;".",s_Irr!AX8=".",s_Irr!BV8="."),s_dir!AZ8/((1/1000)*(s_Irr!Z8)),IF(AND(s_Irr!Z8=".",s_Irr!AX8=".",s_Irr!BV8="."),s_dir!AZ8*1000)))))))),".")</f>
        <v>16048.416497096001</v>
      </c>
      <c r="BZ8" s="93">
        <f t="shared" ref="BZ8:BZ9" si="9">SUM(CA8:CB8,CW8:CX8)</f>
        <v>1736.1784239519495</v>
      </c>
      <c r="CA8" s="93">
        <f>IFERROR(s_C*s_IFAP_far_adj*s_CF_apple*(1/1000)*(s_Irr!C8+s_Irr!AA8+s_Irr!AY8),".")</f>
        <v>434.04460598798738</v>
      </c>
      <c r="CB8" s="93">
        <f>IFERROR(s_C*s_IFAS_far_adj*s_CF_asparagus*(1/1000)*(s_Irr!D8+s_Irr!AB8+s_Irr!AZ8),".")</f>
        <v>434.04460598798738</v>
      </c>
      <c r="CC8" s="93">
        <f>IFERROR(s_C*s_IFBT_far_adj*s_CF_beet*(1/1000)*(s_Irr!E8+s_Irr!AC8+s_Irr!BA8),".")</f>
        <v>434.04460598798738</v>
      </c>
      <c r="CD8" s="93">
        <f>IFERROR(s_C*s_IFBE_far_adj*s_CF_berries*(1/1000)*(s_Irr!F8+s_Irr!AD8+s_Irr!BB8),".")</f>
        <v>434.04460598798738</v>
      </c>
      <c r="CE8" s="93">
        <f>IFERROR(s_C*s_IFBR_far_adj*s_CF_broccoli*(1/1000)*(s_Irr!G8+s_Irr!AE8+s_Irr!BC8),".")</f>
        <v>434.04460598798738</v>
      </c>
      <c r="CF8" s="93">
        <f>IFERROR(s_C*s_IFCB_far_adj*s_CF_cabbage*(1/1000)*(s_Irr!H8+s_Irr!AF8+s_Irr!BD8),".")</f>
        <v>434.04460598798738</v>
      </c>
      <c r="CG8" s="93">
        <f>IFERROR(s_C*s_IFCR_far_adj*s_CF_carrot*(1/1000)*(s_Irr!I8+s_Irr!AG8+s_Irr!BE8),".")</f>
        <v>434.04460598798738</v>
      </c>
      <c r="CH8" s="93">
        <f>IFERROR(s_C*s_IFCI_far_adj*s_CF_citrus*(1/1000)*(s_Irr!J8+s_Irr!AH8+s_Irr!BF8),".")</f>
        <v>434.04460598798738</v>
      </c>
      <c r="CI8" s="93">
        <f>IFERROR(s_C*s_IFCO_far_adj*s_CF_corn*(1/1000)*(s_Irr!K8+s_Irr!AI8+s_Irr!BG8),".")</f>
        <v>434.04460598798738</v>
      </c>
      <c r="CJ8" s="93">
        <f>IFERROR(s_C*s_IFCU_far_adj*s_CF_cucumber*(1/1000)*(s_Irr!L8+s_Irr!AJ8+s_Irr!BH8),".")</f>
        <v>434.04460598798738</v>
      </c>
      <c r="CK8" s="93">
        <f>IFERROR(s_C*s_IFLE_far_adj*s_CF_lettuce*(1/1000)*(s_Irr!M8+s_Irr!AK8+s_Irr!BI8),".")</f>
        <v>434.04460598798738</v>
      </c>
      <c r="CL8" s="93">
        <f>IFERROR(s_C*s_IFLI_far_adj*s_CF_lima_bean*(1/1000)*(s_Irr!N8+s_Irr!AL8+s_Irr!BJ8),".")</f>
        <v>434.04460598798738</v>
      </c>
      <c r="CM8" s="93">
        <f>IFERROR(s_C*s_IFOK_far_adj*s_CF_okra*(1/1000)*(s_Irr!O8+s_Irr!AM8+s_Irr!BK8),".")</f>
        <v>434.04460598798738</v>
      </c>
      <c r="CN8" s="93">
        <f>IFERROR(s_C*s_IFON_far_adj*s_CF_onion*(1/1000)*(s_Irr!P8+s_Irr!AN8+s_Irr!BL8),".")</f>
        <v>434.04460598798738</v>
      </c>
      <c r="CO8" s="93">
        <f>IFERROR(s_C*s_IFPC_far_adj*s_CF_peach*(1/1000)*(s_Irr!Q8+s_Irr!AO8+s_Irr!BM8),".")</f>
        <v>434.04460598798738</v>
      </c>
      <c r="CP8" s="93">
        <f>IFERROR(s_C*s_IFPR_far_adj*s_CF_pear*(1/1000)*(s_Irr!R8+s_Irr!AP8+s_Irr!BN8),".")</f>
        <v>434.04460598798738</v>
      </c>
      <c r="CQ8" s="93">
        <f>IFERROR(s_C*s_IFPE_far_adj*s_CF_peas*(1/1000)*(s_Irr!S8+s_Irr!AQ8+s_Irr!BO8),".")</f>
        <v>434.04460598798738</v>
      </c>
      <c r="CR8" s="93">
        <f>IFERROR(s_C*s_IFPT_far_adj*s_CF_potato*(1/1000)*(s_Irr!T8+s_Irr!AR8+s_Irr!BP8),".")</f>
        <v>434.04460598798738</v>
      </c>
      <c r="CS8" s="93">
        <f>IFERROR(s_C*s_IFPU_far_adj*s_CF_pumpkin*(1/1000)*(s_Irr!U8+s_Irr!AS8+s_Irr!BQ8),".")</f>
        <v>434.04460598798738</v>
      </c>
      <c r="CT8" s="93">
        <f>IFERROR(s_C*s_IFSN_far_adj*s_CF_snap_bean*(1/1000)*(s_Irr!V8+s_Irr!AT8+s_Irr!BR8),".")</f>
        <v>434.04460598798738</v>
      </c>
      <c r="CU8" s="93">
        <f>IFERROR(s_C*s_IFST_far_adj*s_CF_strawberry*(1/1000)*(s_Irr!W8+s_Irr!AU8+s_Irr!BS8),".")</f>
        <v>434.04460598798738</v>
      </c>
      <c r="CV8" s="93">
        <f>IFERROR(s_C*s_IFTO_far_adj*s_CF_tomato*(1/1000)*(s_Irr!X8+s_Irr!AV8+s_Irr!BT8),".")</f>
        <v>434.04460598798738</v>
      </c>
      <c r="CW8" s="93">
        <f>IFERROR(s_C*s_IFRI_far_adj*s_CF_rice*(1/1000)*(s_Irr!Y8+s_Irr!AW8+s_Irr!BU8),".")</f>
        <v>434.04460598798738</v>
      </c>
      <c r="CX8" s="93">
        <f>IFERROR(s_C*s_IFCG_far_adj*s_CF_cereal*(1/1000)*(s_Irr!Z8+s_Irr!AX8+s_Irr!BV8),".")</f>
        <v>434.04460598798738</v>
      </c>
    </row>
    <row r="9" spans="1:102" ht="15" customHeight="1" x14ac:dyDescent="0.25">
      <c r="A9" s="92" t="s">
        <v>19</v>
      </c>
      <c r="B9" s="90" t="s">
        <v>1074</v>
      </c>
      <c r="C9" s="76">
        <f t="shared" si="6"/>
        <v>10855.623432484743</v>
      </c>
      <c r="D9" s="76">
        <f>IFERROR(IF(AND(s_Irr!C9&lt;&gt;".",s_Irr!AA9&lt;&gt;".",s_Irr!AY9&lt;&gt;"."),s_dir!D9/((1/1000)*(s_Irr!C9+s_Irr!AA9+s_Irr!AY9)),IF(AND(s_Irr!C9&lt;&gt;".",s_Irr!AA9&lt;&gt;".",s_Irr!AY9="."),s_dir!D9/((1/1000)*(s_Irr!C9+s_Irr!AA9)),IF(AND(s_Irr!C9&lt;&gt;".",s_Irr!AA9=".",s_Irr!AY9&lt;&gt;"."),s_dir!D9/((1/1000)*(s_Irr!C9+s_Irr!AY9)),IF(AND(s_Irr!C9=".",s_Irr!AA9&lt;&gt;".",s_Irr!AY9&lt;&gt;"."),s_dir!D9/((1/1000)*(s_Irr!AA9+s_Irr!AY9)),IF(AND(s_Irr!C9=".",s_Irr!AA9=".",s_Irr!AY9&lt;&gt;"."),s_dir!D9/((1/1000)*(s_Irr!AY9)),IF(AND(s_Irr!C9=".",s_Irr!AA9&lt;&gt;".",s_Irr!AY9="."),s_dir!D9/((1/1000)*(s_Irr!AA9)),IF(AND(s_Irr!C9&lt;&gt;".",s_Irr!AA9=".",s_Irr!AY9="."),s_dir!D9/((1/1000)*(s_Irr!C9)),IF(AND(s_Irr!C9=".",s_Irr!AA9=".",s_Irr!AY9="."),s_dir!D9*1000)))))))),".")</f>
        <v>43422.493729938971</v>
      </c>
      <c r="E9" s="76">
        <f>IFERROR(IF(AND(s_Irr!D9&lt;&gt;".",s_Irr!AB9&lt;&gt;".",s_Irr!AZ9&lt;&gt;"."),s_dir!E9/((1/1000)*(s_Irr!D9+s_Irr!AB9+s_Irr!AZ9)),IF(AND(s_Irr!D9&lt;&gt;".",s_Irr!AB9&lt;&gt;".",s_Irr!AZ9="."),s_dir!E9/((1/1000)*(s_Irr!D9+s_Irr!AB9)),IF(AND(s_Irr!D9&lt;&gt;".",s_Irr!AB9=".",s_Irr!AZ9&lt;&gt;"."),s_dir!E9/((1/1000)*(s_Irr!D9+s_Irr!AZ9)),IF(AND(s_Irr!D9=".",s_Irr!AB9&lt;&gt;".",s_Irr!AZ9&lt;&gt;"."),s_dir!E9/((1/1000)*(s_Irr!AB9+s_Irr!AZ9)),IF(AND(s_Irr!D9=".",s_Irr!AB9=".",s_Irr!AZ9&lt;&gt;"."),s_dir!E9/((1/1000)*(s_Irr!AZ9)),IF(AND(s_Irr!D9=".",s_Irr!AB9&lt;&gt;".",s_Irr!AZ9="."),s_dir!E9/((1/1000)*(s_Irr!AB9)),IF(AND(s_Irr!D9&lt;&gt;".",s_Irr!AB9=".",s_Irr!AZ9="."),s_dir!E9/((1/1000)*(s_Irr!D9)),IF(AND(s_Irr!D9=".",s_Irr!AB9=".",s_Irr!AZ9="."),s_dir!E9*1000)))))))),".")</f>
        <v>43422.493729938971</v>
      </c>
      <c r="F9" s="76">
        <f>IFERROR(IF(AND(s_Irr!E9&lt;&gt;".",s_Irr!AC9&lt;&gt;".",s_Irr!BA9&lt;&gt;"."),s_dir!F9/((1/1000)*(s_Irr!E9+s_Irr!AC9+s_Irr!BA9)),IF(AND(s_Irr!E9&lt;&gt;".",s_Irr!AC9&lt;&gt;".",s_Irr!BA9="."),s_dir!F9/((1/1000)*(s_Irr!E9+s_Irr!AC9)),IF(AND(s_Irr!E9&lt;&gt;".",s_Irr!AC9=".",s_Irr!BA9&lt;&gt;"."),s_dir!F9/((1/1000)*(s_Irr!E9+s_Irr!BA9)),IF(AND(s_Irr!E9=".",s_Irr!AC9&lt;&gt;".",s_Irr!BA9&lt;&gt;"."),s_dir!F9/((1/1000)*(s_Irr!AC9+s_Irr!BA9)),IF(AND(s_Irr!E9=".",s_Irr!AC9=".",s_Irr!BA9&lt;&gt;"."),s_dir!F9/((1/1000)*(s_Irr!BA9)),IF(AND(s_Irr!E9=".",s_Irr!AC9&lt;&gt;".",s_Irr!BA9="."),s_dir!F9/((1/1000)*(s_Irr!AC9)),IF(AND(s_Irr!E9&lt;&gt;".",s_Irr!AC9=".",s_Irr!BA9="."),s_dir!F9/((1/1000)*(s_Irr!E9)),IF(AND(s_Irr!E9=".",s_Irr!AC9=".",s_Irr!BA9="."),s_dir!F9*1000)))))))),".")</f>
        <v>43422.493729938971</v>
      </c>
      <c r="G9" s="76">
        <f>IFERROR(IF(AND(s_Irr!F9&lt;&gt;".",s_Irr!AD9&lt;&gt;".",s_Irr!BB9&lt;&gt;"."),s_dir!G9/((1/1000)*(s_Irr!F9+s_Irr!AD9+s_Irr!BB9)),IF(AND(s_Irr!F9&lt;&gt;".",s_Irr!AD9&lt;&gt;".",s_Irr!BB9="."),s_dir!G9/((1/1000)*(s_Irr!F9+s_Irr!AD9)),IF(AND(s_Irr!F9&lt;&gt;".",s_Irr!AD9=".",s_Irr!BB9&lt;&gt;"."),s_dir!G9/((1/1000)*(s_Irr!F9+s_Irr!BB9)),IF(AND(s_Irr!F9=".",s_Irr!AD9&lt;&gt;".",s_Irr!BB9&lt;&gt;"."),s_dir!G9/((1/1000)*(s_Irr!AD9+s_Irr!BB9)),IF(AND(s_Irr!F9=".",s_Irr!AD9=".",s_Irr!BB9&lt;&gt;"."),s_dir!G9/((1/1000)*(s_Irr!BB9)),IF(AND(s_Irr!F9=".",s_Irr!AD9&lt;&gt;".",s_Irr!BB9="."),s_dir!G9/((1/1000)*(s_Irr!AD9)),IF(AND(s_Irr!F9&lt;&gt;".",s_Irr!AD9=".",s_Irr!BB9="."),s_dir!G9/((1/1000)*(s_Irr!F9)),IF(AND(s_Irr!F9=".",s_Irr!AD9=".",s_Irr!BB9="."),s_dir!G9*1000)))))))),".")</f>
        <v>43422.493729938971</v>
      </c>
      <c r="H9" s="76">
        <f>IFERROR(IF(AND(s_Irr!G9&lt;&gt;".",s_Irr!AE9&lt;&gt;".",s_Irr!BC9&lt;&gt;"."),s_dir!H9/((1/1000)*(s_Irr!G9+s_Irr!AE9+s_Irr!BC9)),IF(AND(s_Irr!G9&lt;&gt;".",s_Irr!AE9&lt;&gt;".",s_Irr!BC9="."),s_dir!H9/((1/1000)*(s_Irr!G9+s_Irr!AE9)),IF(AND(s_Irr!G9&lt;&gt;".",s_Irr!AE9=".",s_Irr!BC9&lt;&gt;"."),s_dir!H9/((1/1000)*(s_Irr!G9+s_Irr!BC9)),IF(AND(s_Irr!G9=".",s_Irr!AE9&lt;&gt;".",s_Irr!BC9&lt;&gt;"."),s_dir!H9/((1/1000)*(s_Irr!AE9+s_Irr!BC9)),IF(AND(s_Irr!G9=".",s_Irr!AE9=".",s_Irr!BC9&lt;&gt;"."),s_dir!H9/((1/1000)*(s_Irr!BC9)),IF(AND(s_Irr!G9=".",s_Irr!AE9&lt;&gt;".",s_Irr!BC9="."),s_dir!H9/((1/1000)*(s_Irr!AE9)),IF(AND(s_Irr!G9&lt;&gt;".",s_Irr!AE9=".",s_Irr!BC9="."),s_dir!H9/((1/1000)*(s_Irr!G9)),IF(AND(s_Irr!G9=".",s_Irr!AE9=".",s_Irr!BC9="."),s_dir!H9*1000)))))))),".")</f>
        <v>43422.493729938971</v>
      </c>
      <c r="I9" s="76">
        <f>IFERROR(IF(AND(s_Irr!H9&lt;&gt;".",s_Irr!AF9&lt;&gt;".",s_Irr!BD9&lt;&gt;"."),s_dir!I9/((1/1000)*(s_Irr!H9+s_Irr!AF9+s_Irr!BD9)),IF(AND(s_Irr!H9&lt;&gt;".",s_Irr!AF9&lt;&gt;".",s_Irr!BD9="."),s_dir!I9/((1/1000)*(s_Irr!H9+s_Irr!AF9)),IF(AND(s_Irr!H9&lt;&gt;".",s_Irr!AF9=".",s_Irr!BD9&lt;&gt;"."),s_dir!I9/((1/1000)*(s_Irr!H9+s_Irr!BD9)),IF(AND(s_Irr!H9=".",s_Irr!AF9&lt;&gt;".",s_Irr!BD9&lt;&gt;"."),s_dir!I9/((1/1000)*(s_Irr!AF9+s_Irr!BD9)),IF(AND(s_Irr!H9=".",s_Irr!AF9=".",s_Irr!BD9&lt;&gt;"."),s_dir!I9/((1/1000)*(s_Irr!BD9)),IF(AND(s_Irr!H9=".",s_Irr!AF9&lt;&gt;".",s_Irr!BD9="."),s_dir!I9/((1/1000)*(s_Irr!AF9)),IF(AND(s_Irr!H9&lt;&gt;".",s_Irr!AF9=".",s_Irr!BD9="."),s_dir!I9/((1/1000)*(s_Irr!H9)),IF(AND(s_Irr!H9=".",s_Irr!AF9=".",s_Irr!BD9="."),s_dir!I9*1000)))))))),".")</f>
        <v>43422.493729938971</v>
      </c>
      <c r="J9" s="76">
        <f>IFERROR(IF(AND(s_Irr!I9&lt;&gt;".",s_Irr!AG9&lt;&gt;".",s_Irr!BE9&lt;&gt;"."),s_dir!J9/((1/1000)*(s_Irr!I9+s_Irr!AG9+s_Irr!BE9)),IF(AND(s_Irr!I9&lt;&gt;".",s_Irr!AG9&lt;&gt;".",s_Irr!BE9="."),s_dir!J9/((1/1000)*(s_Irr!I9+s_Irr!AG9)),IF(AND(s_Irr!I9&lt;&gt;".",s_Irr!AG9=".",s_Irr!BE9&lt;&gt;"."),s_dir!J9/((1/1000)*(s_Irr!I9+s_Irr!BE9)),IF(AND(s_Irr!I9=".",s_Irr!AG9&lt;&gt;".",s_Irr!BE9&lt;&gt;"."),s_dir!J9/((1/1000)*(s_Irr!AG9+s_Irr!BE9)),IF(AND(s_Irr!I9=".",s_Irr!AG9=".",s_Irr!BE9&lt;&gt;"."),s_dir!J9/((1/1000)*(s_Irr!BE9)),IF(AND(s_Irr!I9=".",s_Irr!AG9&lt;&gt;".",s_Irr!BE9="."),s_dir!J9/((1/1000)*(s_Irr!AG9)),IF(AND(s_Irr!I9&lt;&gt;".",s_Irr!AG9=".",s_Irr!BE9="."),s_dir!J9/((1/1000)*(s_Irr!I9)),IF(AND(s_Irr!I9=".",s_Irr!AG9=".",s_Irr!BE9="."),s_dir!J9*1000)))))))),".")</f>
        <v>43422.493729938971</v>
      </c>
      <c r="K9" s="76">
        <f>IFERROR(IF(AND(s_Irr!J9&lt;&gt;".",s_Irr!AH9&lt;&gt;".",s_Irr!BF9&lt;&gt;"."),s_dir!K9/((1/1000)*(s_Irr!J9+s_Irr!AH9+s_Irr!BF9)),IF(AND(s_Irr!J9&lt;&gt;".",s_Irr!AH9&lt;&gt;".",s_Irr!BF9="."),s_dir!K9/((1/1000)*(s_Irr!J9+s_Irr!AH9)),IF(AND(s_Irr!J9&lt;&gt;".",s_Irr!AH9=".",s_Irr!BF9&lt;&gt;"."),s_dir!K9/((1/1000)*(s_Irr!J9+s_Irr!BF9)),IF(AND(s_Irr!J9=".",s_Irr!AH9&lt;&gt;".",s_Irr!BF9&lt;&gt;"."),s_dir!K9/((1/1000)*(s_Irr!AH9+s_Irr!BF9)),IF(AND(s_Irr!J9=".",s_Irr!AH9=".",s_Irr!BF9&lt;&gt;"."),s_dir!K9/((1/1000)*(s_Irr!BF9)),IF(AND(s_Irr!J9=".",s_Irr!AH9&lt;&gt;".",s_Irr!BF9="."),s_dir!K9/((1/1000)*(s_Irr!AH9)),IF(AND(s_Irr!J9&lt;&gt;".",s_Irr!AH9=".",s_Irr!BF9="."),s_dir!K9/((1/1000)*(s_Irr!J9)),IF(AND(s_Irr!J9=".",s_Irr!AH9=".",s_Irr!BF9="."),s_dir!K9*1000)))))))),".")</f>
        <v>43422.493729938971</v>
      </c>
      <c r="L9" s="76">
        <f>IFERROR(IF(AND(s_Irr!K9&lt;&gt;".",s_Irr!AI9&lt;&gt;".",s_Irr!BG9&lt;&gt;"."),s_dir!L9/((1/1000)*(s_Irr!K9+s_Irr!AI9+s_Irr!BG9)),IF(AND(s_Irr!K9&lt;&gt;".",s_Irr!AI9&lt;&gt;".",s_Irr!BG9="."),s_dir!L9/((1/1000)*(s_Irr!K9+s_Irr!AI9)),IF(AND(s_Irr!K9&lt;&gt;".",s_Irr!AI9=".",s_Irr!BG9&lt;&gt;"."),s_dir!L9/((1/1000)*(s_Irr!K9+s_Irr!BG9)),IF(AND(s_Irr!K9=".",s_Irr!AI9&lt;&gt;".",s_Irr!BG9&lt;&gt;"."),s_dir!L9/((1/1000)*(s_Irr!AI9+s_Irr!BG9)),IF(AND(s_Irr!K9=".",s_Irr!AI9=".",s_Irr!BG9&lt;&gt;"."),s_dir!L9/((1/1000)*(s_Irr!BG9)),IF(AND(s_Irr!K9=".",s_Irr!AI9&lt;&gt;".",s_Irr!BG9="."),s_dir!L9/((1/1000)*(s_Irr!AI9)),IF(AND(s_Irr!K9&lt;&gt;".",s_Irr!AI9=".",s_Irr!BG9="."),s_dir!L9/((1/1000)*(s_Irr!K9)),IF(AND(s_Irr!K9=".",s_Irr!AI9=".",s_Irr!BG9="."),s_dir!L9*1000)))))))),".")</f>
        <v>43422.493729938971</v>
      </c>
      <c r="M9" s="76">
        <f>IFERROR(IF(AND(s_Irr!L9&lt;&gt;".",s_Irr!AJ9&lt;&gt;".",s_Irr!BH9&lt;&gt;"."),s_dir!M9/((1/1000)*(s_Irr!L9+s_Irr!AJ9+s_Irr!BH9)),IF(AND(s_Irr!L9&lt;&gt;".",s_Irr!AJ9&lt;&gt;".",s_Irr!BH9="."),s_dir!M9/((1/1000)*(s_Irr!L9+s_Irr!AJ9)),IF(AND(s_Irr!L9&lt;&gt;".",s_Irr!AJ9=".",s_Irr!BH9&lt;&gt;"."),s_dir!M9/((1/1000)*(s_Irr!L9+s_Irr!BH9)),IF(AND(s_Irr!L9=".",s_Irr!AJ9&lt;&gt;".",s_Irr!BH9&lt;&gt;"."),s_dir!M9/((1/1000)*(s_Irr!AJ9+s_Irr!BH9)),IF(AND(s_Irr!L9=".",s_Irr!AJ9=".",s_Irr!BH9&lt;&gt;"."),s_dir!M9/((1/1000)*(s_Irr!BH9)),IF(AND(s_Irr!L9=".",s_Irr!AJ9&lt;&gt;".",s_Irr!BH9="."),s_dir!M9/((1/1000)*(s_Irr!AJ9)),IF(AND(s_Irr!L9&lt;&gt;".",s_Irr!AJ9=".",s_Irr!BH9="."),s_dir!M9/((1/1000)*(s_Irr!L9)),IF(AND(s_Irr!L9=".",s_Irr!AJ9=".",s_Irr!BH9="."),s_dir!M9*1000)))))))),".")</f>
        <v>43422.493729938971</v>
      </c>
      <c r="N9" s="76">
        <f>IFERROR(IF(AND(s_Irr!M9&lt;&gt;".",s_Irr!AK9&lt;&gt;".",s_Irr!BI9&lt;&gt;"."),s_dir!N9/((1/1000)*(s_Irr!M9+s_Irr!AK9+s_Irr!BI9)),IF(AND(s_Irr!M9&lt;&gt;".",s_Irr!AK9&lt;&gt;".",s_Irr!BI9="."),s_dir!N9/((1/1000)*(s_Irr!M9+s_Irr!AK9)),IF(AND(s_Irr!M9&lt;&gt;".",s_Irr!AK9=".",s_Irr!BI9&lt;&gt;"."),s_dir!N9/((1/1000)*(s_Irr!M9+s_Irr!BI9)),IF(AND(s_Irr!M9=".",s_Irr!AK9&lt;&gt;".",s_Irr!BI9&lt;&gt;"."),s_dir!N9/((1/1000)*(s_Irr!AK9+s_Irr!BI9)),IF(AND(s_Irr!M9=".",s_Irr!AK9=".",s_Irr!BI9&lt;&gt;"."),s_dir!N9/((1/1000)*(s_Irr!BI9)),IF(AND(s_Irr!M9=".",s_Irr!AK9&lt;&gt;".",s_Irr!BI9="."),s_dir!N9/((1/1000)*(s_Irr!AK9)),IF(AND(s_Irr!M9&lt;&gt;".",s_Irr!AK9=".",s_Irr!BI9="."),s_dir!N9/((1/1000)*(s_Irr!M9)),IF(AND(s_Irr!M9=".",s_Irr!AK9=".",s_Irr!BI9="."),s_dir!N9*1000)))))))),".")</f>
        <v>43422.493729938971</v>
      </c>
      <c r="O9" s="76">
        <f>IFERROR(IF(AND(s_Irr!N9&lt;&gt;".",s_Irr!AL9&lt;&gt;".",s_Irr!BJ9&lt;&gt;"."),s_dir!O9/((1/1000)*(s_Irr!N9+s_Irr!AL9+s_Irr!BJ9)),IF(AND(s_Irr!N9&lt;&gt;".",s_Irr!AL9&lt;&gt;".",s_Irr!BJ9="."),s_dir!O9/((1/1000)*(s_Irr!N9+s_Irr!AL9)),IF(AND(s_Irr!N9&lt;&gt;".",s_Irr!AL9=".",s_Irr!BJ9&lt;&gt;"."),s_dir!O9/((1/1000)*(s_Irr!N9+s_Irr!BJ9)),IF(AND(s_Irr!N9=".",s_Irr!AL9&lt;&gt;".",s_Irr!BJ9&lt;&gt;"."),s_dir!O9/((1/1000)*(s_Irr!AL9+s_Irr!BJ9)),IF(AND(s_Irr!N9=".",s_Irr!AL9=".",s_Irr!BJ9&lt;&gt;"."),s_dir!O9/((1/1000)*(s_Irr!BJ9)),IF(AND(s_Irr!N9=".",s_Irr!AL9&lt;&gt;".",s_Irr!BJ9="."),s_dir!O9/((1/1000)*(s_Irr!AL9)),IF(AND(s_Irr!N9&lt;&gt;".",s_Irr!AL9=".",s_Irr!BJ9="."),s_dir!O9/((1/1000)*(s_Irr!N9)),IF(AND(s_Irr!N9=".",s_Irr!AL9=".",s_Irr!BJ9="."),s_dir!O9*1000)))))))),".")</f>
        <v>43422.493729938971</v>
      </c>
      <c r="P9" s="76">
        <f>IFERROR(IF(AND(s_Irr!O9&lt;&gt;".",s_Irr!AM9&lt;&gt;".",s_Irr!BK9&lt;&gt;"."),s_dir!P9/((1/1000)*(s_Irr!O9+s_Irr!AM9+s_Irr!BK9)),IF(AND(s_Irr!O9&lt;&gt;".",s_Irr!AM9&lt;&gt;".",s_Irr!BK9="."),s_dir!P9/((1/1000)*(s_Irr!O9+s_Irr!AM9)),IF(AND(s_Irr!O9&lt;&gt;".",s_Irr!AM9=".",s_Irr!BK9&lt;&gt;"."),s_dir!P9/((1/1000)*(s_Irr!O9+s_Irr!BK9)),IF(AND(s_Irr!O9=".",s_Irr!AM9&lt;&gt;".",s_Irr!BK9&lt;&gt;"."),s_dir!P9/((1/1000)*(s_Irr!AM9+s_Irr!BK9)),IF(AND(s_Irr!O9=".",s_Irr!AM9=".",s_Irr!BK9&lt;&gt;"."),s_dir!P9/((1/1000)*(s_Irr!BK9)),IF(AND(s_Irr!O9=".",s_Irr!AM9&lt;&gt;".",s_Irr!BK9="."),s_dir!P9/((1/1000)*(s_Irr!AM9)),IF(AND(s_Irr!O9&lt;&gt;".",s_Irr!AM9=".",s_Irr!BK9="."),s_dir!P9/((1/1000)*(s_Irr!O9)),IF(AND(s_Irr!O9=".",s_Irr!AM9=".",s_Irr!BK9="."),s_dir!P9*1000)))))))),".")</f>
        <v>43422.493729938971</v>
      </c>
      <c r="Q9" s="76">
        <f>IFERROR(IF(AND(s_Irr!P9&lt;&gt;".",s_Irr!AN9&lt;&gt;".",s_Irr!BL9&lt;&gt;"."),s_dir!Q9/((1/1000)*(s_Irr!P9+s_Irr!AN9+s_Irr!BL9)),IF(AND(s_Irr!P9&lt;&gt;".",s_Irr!AN9&lt;&gt;".",s_Irr!BL9="."),s_dir!Q9/((1/1000)*(s_Irr!P9+s_Irr!AN9)),IF(AND(s_Irr!P9&lt;&gt;".",s_Irr!AN9=".",s_Irr!BL9&lt;&gt;"."),s_dir!Q9/((1/1000)*(s_Irr!P9+s_Irr!BL9)),IF(AND(s_Irr!P9=".",s_Irr!AN9&lt;&gt;".",s_Irr!BL9&lt;&gt;"."),s_dir!Q9/((1/1000)*(s_Irr!AN9+s_Irr!BL9)),IF(AND(s_Irr!P9=".",s_Irr!AN9=".",s_Irr!BL9&lt;&gt;"."),s_dir!Q9/((1/1000)*(s_Irr!BL9)),IF(AND(s_Irr!P9=".",s_Irr!AN9&lt;&gt;".",s_Irr!BL9="."),s_dir!Q9/((1/1000)*(s_Irr!AN9)),IF(AND(s_Irr!P9&lt;&gt;".",s_Irr!AN9=".",s_Irr!BL9="."),s_dir!Q9/((1/1000)*(s_Irr!P9)),IF(AND(s_Irr!P9=".",s_Irr!AN9=".",s_Irr!BL9="."),s_dir!Q9*1000)))))))),".")</f>
        <v>43422.493729938971</v>
      </c>
      <c r="R9" s="76">
        <f>IFERROR(IF(AND(s_Irr!Q9&lt;&gt;".",s_Irr!AO9&lt;&gt;".",s_Irr!BM9&lt;&gt;"."),s_dir!R9/((1/1000)*(s_Irr!Q9+s_Irr!AO9+s_Irr!BM9)),IF(AND(s_Irr!Q9&lt;&gt;".",s_Irr!AO9&lt;&gt;".",s_Irr!BM9="."),s_dir!R9/((1/1000)*(s_Irr!Q9+s_Irr!AO9)),IF(AND(s_Irr!Q9&lt;&gt;".",s_Irr!AO9=".",s_Irr!BM9&lt;&gt;"."),s_dir!R9/((1/1000)*(s_Irr!Q9+s_Irr!BM9)),IF(AND(s_Irr!Q9=".",s_Irr!AO9&lt;&gt;".",s_Irr!BM9&lt;&gt;"."),s_dir!R9/((1/1000)*(s_Irr!AO9+s_Irr!BM9)),IF(AND(s_Irr!Q9=".",s_Irr!AO9=".",s_Irr!BM9&lt;&gt;"."),s_dir!R9/((1/1000)*(s_Irr!BM9)),IF(AND(s_Irr!Q9=".",s_Irr!AO9&lt;&gt;".",s_Irr!BM9="."),s_dir!R9/((1/1000)*(s_Irr!AO9)),IF(AND(s_Irr!Q9&lt;&gt;".",s_Irr!AO9=".",s_Irr!BM9="."),s_dir!R9/((1/1000)*(s_Irr!Q9)),IF(AND(s_Irr!Q9=".",s_Irr!AO9=".",s_Irr!BM9="."),s_dir!R9*1000)))))))),".")</f>
        <v>43422.493729938971</v>
      </c>
      <c r="S9" s="76">
        <f>IFERROR(IF(AND(s_Irr!R9&lt;&gt;".",s_Irr!AP9&lt;&gt;".",s_Irr!BN9&lt;&gt;"."),s_dir!S9/((1/1000)*(s_Irr!R9+s_Irr!AP9+s_Irr!BN9)),IF(AND(s_Irr!R9&lt;&gt;".",s_Irr!AP9&lt;&gt;".",s_Irr!BN9="."),s_dir!S9/((1/1000)*(s_Irr!R9+s_Irr!AP9)),IF(AND(s_Irr!R9&lt;&gt;".",s_Irr!AP9=".",s_Irr!BN9&lt;&gt;"."),s_dir!S9/((1/1000)*(s_Irr!R9+s_Irr!BN9)),IF(AND(s_Irr!R9=".",s_Irr!AP9&lt;&gt;".",s_Irr!BN9&lt;&gt;"."),s_dir!S9/((1/1000)*(s_Irr!AP9+s_Irr!BN9)),IF(AND(s_Irr!R9=".",s_Irr!AP9=".",s_Irr!BN9&lt;&gt;"."),s_dir!S9/((1/1000)*(s_Irr!BN9)),IF(AND(s_Irr!R9=".",s_Irr!AP9&lt;&gt;".",s_Irr!BN9="."),s_dir!S9/((1/1000)*(s_Irr!AP9)),IF(AND(s_Irr!R9&lt;&gt;".",s_Irr!AP9=".",s_Irr!BN9="."),s_dir!S9/((1/1000)*(s_Irr!R9)),IF(AND(s_Irr!R9=".",s_Irr!AP9=".",s_Irr!BN9="."),s_dir!S9*1000)))))))),".")</f>
        <v>43422.493729938971</v>
      </c>
      <c r="T9" s="76">
        <f>IFERROR(IF(AND(s_Irr!S9&lt;&gt;".",s_Irr!AQ9&lt;&gt;".",s_Irr!BO9&lt;&gt;"."),s_dir!T9/((1/1000)*(s_Irr!S9+s_Irr!AQ9+s_Irr!BO9)),IF(AND(s_Irr!S9&lt;&gt;".",s_Irr!AQ9&lt;&gt;".",s_Irr!BO9="."),s_dir!T9/((1/1000)*(s_Irr!S9+s_Irr!AQ9)),IF(AND(s_Irr!S9&lt;&gt;".",s_Irr!AQ9=".",s_Irr!BO9&lt;&gt;"."),s_dir!T9/((1/1000)*(s_Irr!S9+s_Irr!BO9)),IF(AND(s_Irr!S9=".",s_Irr!AQ9&lt;&gt;".",s_Irr!BO9&lt;&gt;"."),s_dir!T9/((1/1000)*(s_Irr!AQ9+s_Irr!BO9)),IF(AND(s_Irr!S9=".",s_Irr!AQ9=".",s_Irr!BO9&lt;&gt;"."),s_dir!T9/((1/1000)*(s_Irr!BO9)),IF(AND(s_Irr!S9=".",s_Irr!AQ9&lt;&gt;".",s_Irr!BO9="."),s_dir!T9/((1/1000)*(s_Irr!AQ9)),IF(AND(s_Irr!S9&lt;&gt;".",s_Irr!AQ9=".",s_Irr!BO9="."),s_dir!T9/((1/1000)*(s_Irr!S9)),IF(AND(s_Irr!S9=".",s_Irr!AQ9=".",s_Irr!BO9="."),s_dir!T9*1000)))))))),".")</f>
        <v>43422.493729938971</v>
      </c>
      <c r="U9" s="76">
        <f>IFERROR(IF(AND(s_Irr!T9&lt;&gt;".",s_Irr!AR9&lt;&gt;".",s_Irr!BP9&lt;&gt;"."),s_dir!U9/((1/1000)*(s_Irr!T9+s_Irr!AR9+s_Irr!BP9)),IF(AND(s_Irr!T9&lt;&gt;".",s_Irr!AR9&lt;&gt;".",s_Irr!BP9="."),s_dir!U9/((1/1000)*(s_Irr!T9+s_Irr!AR9)),IF(AND(s_Irr!T9&lt;&gt;".",s_Irr!AR9=".",s_Irr!BP9&lt;&gt;"."),s_dir!U9/((1/1000)*(s_Irr!T9+s_Irr!BP9)),IF(AND(s_Irr!T9=".",s_Irr!AR9&lt;&gt;".",s_Irr!BP9&lt;&gt;"."),s_dir!U9/((1/1000)*(s_Irr!AR9+s_Irr!BP9)),IF(AND(s_Irr!T9=".",s_Irr!AR9=".",s_Irr!BP9&lt;&gt;"."),s_dir!U9/((1/1000)*(s_Irr!BP9)),IF(AND(s_Irr!T9=".",s_Irr!AR9&lt;&gt;".",s_Irr!BP9="."),s_dir!U9/((1/1000)*(s_Irr!AR9)),IF(AND(s_Irr!T9&lt;&gt;".",s_Irr!AR9=".",s_Irr!BP9="."),s_dir!U9/((1/1000)*(s_Irr!T9)),IF(AND(s_Irr!T9=".",s_Irr!AR9=".",s_Irr!BP9="."),s_dir!U9*1000)))))))),".")</f>
        <v>43422.493729938971</v>
      </c>
      <c r="V9" s="76">
        <f>IFERROR(IF(AND(s_Irr!U9&lt;&gt;".",s_Irr!AS9&lt;&gt;".",s_Irr!BQ9&lt;&gt;"."),s_dir!V9/((1/1000)*(s_Irr!U9+s_Irr!AS9+s_Irr!BQ9)),IF(AND(s_Irr!U9&lt;&gt;".",s_Irr!AS9&lt;&gt;".",s_Irr!BQ9="."),s_dir!V9/((1/1000)*(s_Irr!U9+s_Irr!AS9)),IF(AND(s_Irr!U9&lt;&gt;".",s_Irr!AS9=".",s_Irr!BQ9&lt;&gt;"."),s_dir!V9/((1/1000)*(s_Irr!U9+s_Irr!BQ9)),IF(AND(s_Irr!U9=".",s_Irr!AS9&lt;&gt;".",s_Irr!BQ9&lt;&gt;"."),s_dir!V9/((1/1000)*(s_Irr!AS9+s_Irr!BQ9)),IF(AND(s_Irr!U9=".",s_Irr!AS9=".",s_Irr!BQ9&lt;&gt;"."),s_dir!V9/((1/1000)*(s_Irr!BQ9)),IF(AND(s_Irr!U9=".",s_Irr!AS9&lt;&gt;".",s_Irr!BQ9="."),s_dir!V9/((1/1000)*(s_Irr!AS9)),IF(AND(s_Irr!U9&lt;&gt;".",s_Irr!AS9=".",s_Irr!BQ9="."),s_dir!V9/((1/1000)*(s_Irr!U9)),IF(AND(s_Irr!U9=".",s_Irr!AS9=".",s_Irr!BQ9="."),s_dir!V9*1000)))))))),".")</f>
        <v>43422.493729938971</v>
      </c>
      <c r="W9" s="76">
        <f>IFERROR(IF(AND(s_Irr!V9&lt;&gt;".",s_Irr!AT9&lt;&gt;".",s_Irr!BR9&lt;&gt;"."),s_dir!W9/((1/1000)*(s_Irr!V9+s_Irr!AT9+s_Irr!BR9)),IF(AND(s_Irr!V9&lt;&gt;".",s_Irr!AT9&lt;&gt;".",s_Irr!BR9="."),s_dir!W9/((1/1000)*(s_Irr!V9+s_Irr!AT9)),IF(AND(s_Irr!V9&lt;&gt;".",s_Irr!AT9=".",s_Irr!BR9&lt;&gt;"."),s_dir!W9/((1/1000)*(s_Irr!V9+s_Irr!BR9)),IF(AND(s_Irr!V9=".",s_Irr!AT9&lt;&gt;".",s_Irr!BR9&lt;&gt;"."),s_dir!W9/((1/1000)*(s_Irr!AT9+s_Irr!BR9)),IF(AND(s_Irr!V9=".",s_Irr!AT9=".",s_Irr!BR9&lt;&gt;"."),s_dir!W9/((1/1000)*(s_Irr!BR9)),IF(AND(s_Irr!V9=".",s_Irr!AT9&lt;&gt;".",s_Irr!BR9="."),s_dir!W9/((1/1000)*(s_Irr!AT9)),IF(AND(s_Irr!V9&lt;&gt;".",s_Irr!AT9=".",s_Irr!BR9="."),s_dir!W9/((1/1000)*(s_Irr!V9)),IF(AND(s_Irr!V9=".",s_Irr!AT9=".",s_Irr!BR9="."),s_dir!W9*1000)))))))),".")</f>
        <v>43422.493729938971</v>
      </c>
      <c r="X9" s="76">
        <f>IFERROR(IF(AND(s_Irr!W9&lt;&gt;".",s_Irr!AU9&lt;&gt;".",s_Irr!BS9&lt;&gt;"."),s_dir!X9/((1/1000)*(s_Irr!W9+s_Irr!AU9+s_Irr!BS9)),IF(AND(s_Irr!W9&lt;&gt;".",s_Irr!AU9&lt;&gt;".",s_Irr!BS9="."),s_dir!X9/((1/1000)*(s_Irr!W9+s_Irr!AU9)),IF(AND(s_Irr!W9&lt;&gt;".",s_Irr!AU9=".",s_Irr!BS9&lt;&gt;"."),s_dir!X9/((1/1000)*(s_Irr!W9+s_Irr!BS9)),IF(AND(s_Irr!W9=".",s_Irr!AU9&lt;&gt;".",s_Irr!BS9&lt;&gt;"."),s_dir!X9/((1/1000)*(s_Irr!AU9+s_Irr!BS9)),IF(AND(s_Irr!W9=".",s_Irr!AU9=".",s_Irr!BS9&lt;&gt;"."),s_dir!X9/((1/1000)*(s_Irr!BS9)),IF(AND(s_Irr!W9=".",s_Irr!AU9&lt;&gt;".",s_Irr!BS9="."),s_dir!X9/((1/1000)*(s_Irr!AU9)),IF(AND(s_Irr!W9&lt;&gt;".",s_Irr!AU9=".",s_Irr!BS9="."),s_dir!X9/((1/1000)*(s_Irr!W9)),IF(AND(s_Irr!W9=".",s_Irr!AU9=".",s_Irr!BS9="."),s_dir!X9*1000)))))))),".")</f>
        <v>43422.493729938971</v>
      </c>
      <c r="Y9" s="76">
        <f>IFERROR(IF(AND(s_Irr!X9&lt;&gt;".",s_Irr!AV9&lt;&gt;".",s_Irr!BT9&lt;&gt;"."),s_dir!Y9/((1/1000)*(s_Irr!X9+s_Irr!AV9+s_Irr!BT9)),IF(AND(s_Irr!X9&lt;&gt;".",s_Irr!AV9&lt;&gt;".",s_Irr!BT9="."),s_dir!Y9/((1/1000)*(s_Irr!X9+s_Irr!AV9)),IF(AND(s_Irr!X9&lt;&gt;".",s_Irr!AV9=".",s_Irr!BT9&lt;&gt;"."),s_dir!Y9/((1/1000)*(s_Irr!X9+s_Irr!BT9)),IF(AND(s_Irr!X9=".",s_Irr!AV9&lt;&gt;".",s_Irr!BT9&lt;&gt;"."),s_dir!Y9/((1/1000)*(s_Irr!AV9+s_Irr!BT9)),IF(AND(s_Irr!X9=".",s_Irr!AV9=".",s_Irr!BT9&lt;&gt;"."),s_dir!Y9/((1/1000)*(s_Irr!BT9)),IF(AND(s_Irr!X9=".",s_Irr!AV9&lt;&gt;".",s_Irr!BT9="."),s_dir!Y9/((1/1000)*(s_Irr!AV9)),IF(AND(s_Irr!X9&lt;&gt;".",s_Irr!AV9=".",s_Irr!BT9="."),s_dir!Y9/((1/1000)*(s_Irr!X9)),IF(AND(s_Irr!X9=".",s_Irr!AV9=".",s_Irr!BT9="."),s_dir!Y9*1000)))))))),".")</f>
        <v>43422.493729938971</v>
      </c>
      <c r="Z9" s="76">
        <f>IFERROR(IF(AND(s_Irr!Y9&lt;&gt;".",s_Irr!AW9&lt;&gt;".",s_Irr!BU9&lt;&gt;"."),s_dir!Z9/((1/1000)*(s_Irr!Y9+s_Irr!AW9+s_Irr!BU9)),IF(AND(s_Irr!Y9&lt;&gt;".",s_Irr!AW9&lt;&gt;".",s_Irr!BU9="."),s_dir!Z9/((1/1000)*(s_Irr!Y9+s_Irr!AW9)),IF(AND(s_Irr!Y9&lt;&gt;".",s_Irr!AW9=".",s_Irr!BU9&lt;&gt;"."),s_dir!Z9/((1/1000)*(s_Irr!Y9+s_Irr!BU9)),IF(AND(s_Irr!Y9=".",s_Irr!AW9&lt;&gt;".",s_Irr!BU9&lt;&gt;"."),s_dir!Z9/((1/1000)*(s_Irr!AW9+s_Irr!BU9)),IF(AND(s_Irr!Y9=".",s_Irr!AW9=".",s_Irr!BU9&lt;&gt;"."),s_dir!Z9/((1/1000)*(s_Irr!BU9)),IF(AND(s_Irr!Y9=".",s_Irr!AW9&lt;&gt;".",s_Irr!BU9="."),s_dir!Z9/((1/1000)*(s_Irr!AW9)),IF(AND(s_Irr!Y9&lt;&gt;".",s_Irr!AW9=".",s_Irr!BU9="."),s_dir!Z9/((1/1000)*(s_Irr!Y9)),IF(AND(s_Irr!Y9=".",s_Irr!AW9=".",s_Irr!BU9="."),s_dir!Z9*1000)))))))),".")</f>
        <v>43422.493729938971</v>
      </c>
      <c r="AA9" s="76">
        <f>IFERROR(IF(AND(s_Irr!Z9&lt;&gt;".",s_Irr!AX9&lt;&gt;".",s_Irr!BV9&lt;&gt;"."),s_dir!AA9/((1/1000)*(s_Irr!Z9+s_Irr!AX9+s_Irr!BV9)),IF(AND(s_Irr!Z9&lt;&gt;".",s_Irr!AX9&lt;&gt;".",s_Irr!BV9="."),s_dir!AA9/((1/1000)*(s_Irr!Z9+s_Irr!AX9)),IF(AND(s_Irr!Z9&lt;&gt;".",s_Irr!AX9=".",s_Irr!BV9&lt;&gt;"."),s_dir!AA9/((1/1000)*(s_Irr!Z9+s_Irr!BV9)),IF(AND(s_Irr!Z9=".",s_Irr!AX9&lt;&gt;".",s_Irr!BV9&lt;&gt;"."),s_dir!AA9/((1/1000)*(s_Irr!AX9+s_Irr!BV9)),IF(AND(s_Irr!Z9=".",s_Irr!AX9=".",s_Irr!BV9&lt;&gt;"."),s_dir!AA9/((1/1000)*(s_Irr!BV9)),IF(AND(s_Irr!Z9=".",s_Irr!AX9&lt;&gt;".",s_Irr!BV9="."),s_dir!AA9/((1/1000)*(s_Irr!AX9)),IF(AND(s_Irr!Z9&lt;&gt;".",s_Irr!AX9=".",s_Irr!BV9="."),s_dir!AA9/((1/1000)*(s_Irr!Z9)),IF(AND(s_Irr!Z9=".",s_Irr!AX9=".",s_Irr!BV9="."),s_dir!AA9*1000)))))))),".")</f>
        <v>43422.493729938971</v>
      </c>
      <c r="AB9" s="93">
        <f t="shared" si="8"/>
        <v>1736.1784239519495</v>
      </c>
      <c r="AC9" s="93">
        <f>IFERROR(s_C*s_IFAP_res_adj*s_CF_apple*0.001*(s_Irr!C9+s_Irr!AA9+s_Irr!AY9),".")</f>
        <v>434.04460598798738</v>
      </c>
      <c r="AD9" s="93">
        <f>IFERROR(s_C*s_IFAS_res_adj*s_CF_asparagus*0.001*(s_Irr!D9+s_Irr!AB9+s_Irr!AZ9),".")</f>
        <v>434.04460598798738</v>
      </c>
      <c r="AE9" s="93">
        <f>IFERROR(s_C*s_IFBT_res_adj*s_CF_beet*0.001*(s_Irr!E9+s_Irr!AC9+s_Irr!BA9),".")</f>
        <v>434.04460598798738</v>
      </c>
      <c r="AF9" s="93">
        <f>IFERROR(s_C*s_IFBE_res_adj*s_CF_berries*0.001*(s_Irr!F9+s_Irr!AD9+s_Irr!BB9),".")</f>
        <v>434.04460598798738</v>
      </c>
      <c r="AG9" s="93">
        <f>IFERROR(s_C*s_IFBR_res_adj*s_CF_broccoli*0.001*(s_Irr!G9+s_Irr!AE9+s_Irr!BC9),".")</f>
        <v>434.04460598798738</v>
      </c>
      <c r="AH9" s="93">
        <f>IFERROR(s_C*s_IFCB_res_adj*s_CF_cabbage*0.001*(s_Irr!H9+s_Irr!AF9+s_Irr!BD9),".")</f>
        <v>434.04460598798738</v>
      </c>
      <c r="AI9" s="93">
        <f>IFERROR(s_C*s_IFCR_res_adj*s_CF_carrot*0.001*(s_Irr!I9+s_Irr!AG9+s_Irr!BE9),".")</f>
        <v>434.04460598798738</v>
      </c>
      <c r="AJ9" s="93">
        <f>IFERROR(s_C*s_IFCI_res_adj*s_CF_citrus*0.001*(s_Irr!J9+s_Irr!AH9+s_Irr!BF9),".")</f>
        <v>434.04460598798738</v>
      </c>
      <c r="AK9" s="93">
        <f>IFERROR(s_C*s_IFCO_res_adj*s_CF_corn*0.001*(s_Irr!K9+s_Irr!AI9+s_Irr!BG9),".")</f>
        <v>434.04460598798738</v>
      </c>
      <c r="AL9" s="93">
        <f>IFERROR(s_C*s_IFCU_res_adj*s_CF_cucumber*0.001*(s_Irr!L9+s_Irr!AJ9+s_Irr!BH9),".")</f>
        <v>434.04460598798738</v>
      </c>
      <c r="AM9" s="93">
        <f>IFERROR(s_C*s_IFLE_res_adj*s_CF_lettuce*0.001*(s_Irr!M9+s_Irr!AK9+s_Irr!BI9),".")</f>
        <v>434.04460598798738</v>
      </c>
      <c r="AN9" s="93">
        <f>IFERROR(s_C*s_IFLI_res_adj*s_CF_lima_bean*0.001*(s_Irr!N9+s_Irr!AL9+s_Irr!BJ9),".")</f>
        <v>434.04460598798738</v>
      </c>
      <c r="AO9" s="93">
        <f>IFERROR(s_C*s_IFOK_res_adj*s_CF_okra*0.001*(s_Irr!O9+s_Irr!AM9+s_Irr!BK9),".")</f>
        <v>434.04460598798738</v>
      </c>
      <c r="AP9" s="93">
        <f>IFERROR(s_C*s_IFON_res_adj*s_CF_onion*0.001*(s_Irr!P9+s_Irr!AN9+s_Irr!BL9),".")</f>
        <v>434.04460598798738</v>
      </c>
      <c r="AQ9" s="93">
        <f>IFERROR(s_C*s_IFPC_res_adj*s_CF_peach*0.001*(s_Irr!Q9+s_Irr!AO9+s_Irr!BM9),".")</f>
        <v>434.04460598798738</v>
      </c>
      <c r="AR9" s="93">
        <f>IFERROR(s_C*s_IFPR_res_adj*s_CF_pear*0.001*(s_Irr!R9+s_Irr!AP9+s_Irr!BN9),".")</f>
        <v>434.04460598798738</v>
      </c>
      <c r="AS9" s="93">
        <f>IFERROR(s_C*s_IFPE_res_adj*s_CF_peas*0.001*(s_Irr!S9+s_Irr!AQ9+s_Irr!BO9),".")</f>
        <v>434.04460598798738</v>
      </c>
      <c r="AT9" s="93">
        <f>IFERROR(s_C*s_IFPT_res_adj*s_CF_potato*0.001*(s_Irr!T9+s_Irr!AR9+s_Irr!BP9),".")</f>
        <v>434.04460598798738</v>
      </c>
      <c r="AU9" s="93">
        <f>IFERROR(s_C*s_IFPU_res_adj*s_CF_pumpkin*0.001*(s_Irr!U9+s_Irr!AS9+s_Irr!BQ9),".")</f>
        <v>434.04460598798738</v>
      </c>
      <c r="AV9" s="93">
        <f>IFERROR(s_C*s_IFSN_res_adj*s_CF_snap_bean*0.001*(s_Irr!V9+s_Irr!AT9+s_Irr!BR9),".")</f>
        <v>434.04460598798738</v>
      </c>
      <c r="AW9" s="93">
        <f>IFERROR(s_C*s_IFST_res_adj*s_CF_strawberry*0.001*(s_Irr!W9+s_Irr!AU9+s_Irr!BS9),".")</f>
        <v>434.04460598798738</v>
      </c>
      <c r="AX9" s="93">
        <f>IFERROR(s_C*s_IFTO_res_adj*s_CF_tomato*0.001*(s_Irr!X9+s_Irr!AV9+s_Irr!BT9),".")</f>
        <v>434.04460598798738</v>
      </c>
      <c r="AY9" s="93">
        <f>IFERROR(s_C*s_IFRI_res_adj*s_CF_rice*0.001*(s_Irr!Y9+s_Irr!AW9+s_Irr!BU9),".")</f>
        <v>434.04460598798738</v>
      </c>
      <c r="AZ9" s="93">
        <f>IFERROR(s_C*s_IFCG_res_adj*s_CF_cereal*0.001*(s_Irr!Z9+s_Irr!AX9+s_Irr!BV9),".")</f>
        <v>434.04460598798738</v>
      </c>
      <c r="BA9" s="76">
        <f t="shared" si="7"/>
        <v>10855.623432484743</v>
      </c>
      <c r="BB9" s="76">
        <f>IFERROR(IF(AND(s_Irr!C9&lt;&gt;".",s_Irr!AA9&lt;&gt;".",s_Irr!AY9&lt;&gt;"."),s_dir!AC9/((1/1000)*(s_Irr!C9+s_Irr!AA9+s_Irr!AY9)),IF(AND(s_Irr!C9&lt;&gt;".",s_Irr!AA9&lt;&gt;".",s_Irr!AY9="."),s_dir!AC9/((1/1000)*(s_Irr!C9+s_Irr!AA9)),IF(AND(s_Irr!C9&lt;&gt;".",s_Irr!AA9=".",s_Irr!AY9&lt;&gt;"."),s_dir!AC9/((1/1000)*(s_Irr!C9+s_Irr!AY9)),IF(AND(s_Irr!C9=".",s_Irr!AA9&lt;&gt;".",s_Irr!AY9&lt;&gt;"."),s_dir!AC9/((1/1000)*(s_Irr!AA9+s_Irr!AY9)),IF(AND(s_Irr!C9=".",s_Irr!AA9=".",s_Irr!AY9&lt;&gt;"."),s_dir!AC9/((1/1000)*(s_Irr!AY9)),IF(AND(s_Irr!C9=".",s_Irr!AA9&lt;&gt;".",s_Irr!AY9="."),s_dir!AC9/((1/1000)*(s_Irr!AA9)),IF(AND(s_Irr!C9&lt;&gt;".",s_Irr!AA9=".",s_Irr!AY9="."),s_dir!AC9/((1/1000)*(s_Irr!C9)),IF(AND(s_Irr!C9=".",s_Irr!AA9=".",s_Irr!AY9="."),s_dir!AC9*1000)))))))),".")</f>
        <v>43422.493729938971</v>
      </c>
      <c r="BC9" s="76">
        <f>IFERROR(IF(AND(s_Irr!D9&lt;&gt;".",s_Irr!AB9&lt;&gt;".",s_Irr!AZ9&lt;&gt;"."),s_dir!AD9/((1/1000)*(s_Irr!D9+s_Irr!AB9+s_Irr!AZ9)),IF(AND(s_Irr!D9&lt;&gt;".",s_Irr!AB9&lt;&gt;".",s_Irr!AZ9="."),s_dir!AD9/((1/1000)*(s_Irr!D9+s_Irr!AB9)),IF(AND(s_Irr!D9&lt;&gt;".",s_Irr!AB9=".",s_Irr!AZ9&lt;&gt;"."),s_dir!AD9/((1/1000)*(s_Irr!D9+s_Irr!AZ9)),IF(AND(s_Irr!D9=".",s_Irr!AB9&lt;&gt;".",s_Irr!AZ9&lt;&gt;"."),s_dir!AD9/((1/1000)*(s_Irr!AB9+s_Irr!AZ9)),IF(AND(s_Irr!D9=".",s_Irr!AB9=".",s_Irr!AZ9&lt;&gt;"."),s_dir!AD9/((1/1000)*(s_Irr!AZ9)),IF(AND(s_Irr!D9=".",s_Irr!AB9&lt;&gt;".",s_Irr!AZ9="."),s_dir!AD9/((1/1000)*(s_Irr!AB9)),IF(AND(s_Irr!D9&lt;&gt;".",s_Irr!AB9=".",s_Irr!AZ9="."),s_dir!AD9/((1/1000)*(s_Irr!D9)),IF(AND(s_Irr!D9=".",s_Irr!AB9=".",s_Irr!AZ9="."),s_dir!AD9*1000)))))))),".")</f>
        <v>43422.493729938971</v>
      </c>
      <c r="BD9" s="76">
        <f>IFERROR(IF(AND(s_Irr!E9&lt;&gt;".",s_Irr!AC9&lt;&gt;".",s_Irr!BA9&lt;&gt;"."),s_dir!AE9/((1/1000)*(s_Irr!E9+s_Irr!AC9+s_Irr!BA9)),IF(AND(s_Irr!E9&lt;&gt;".",s_Irr!AC9&lt;&gt;".",s_Irr!BA9="."),s_dir!AE9/((1/1000)*(s_Irr!E9+s_Irr!AC9)),IF(AND(s_Irr!E9&lt;&gt;".",s_Irr!AC9=".",s_Irr!BA9&lt;&gt;"."),s_dir!AE9/((1/1000)*(s_Irr!E9+s_Irr!BA9)),IF(AND(s_Irr!E9=".",s_Irr!AC9&lt;&gt;".",s_Irr!BA9&lt;&gt;"."),s_dir!AE9/((1/1000)*(s_Irr!AC9+s_Irr!BA9)),IF(AND(s_Irr!E9=".",s_Irr!AC9=".",s_Irr!BA9&lt;&gt;"."),s_dir!AE9/((1/1000)*(s_Irr!BA9)),IF(AND(s_Irr!E9=".",s_Irr!AC9&lt;&gt;".",s_Irr!BA9="."),s_dir!AE9/((1/1000)*(s_Irr!AC9)),IF(AND(s_Irr!E9&lt;&gt;".",s_Irr!AC9=".",s_Irr!BA9="."),s_dir!AE9/((1/1000)*(s_Irr!E9)),IF(AND(s_Irr!E9=".",s_Irr!AC9=".",s_Irr!BA9="."),s_dir!AE9*1000)))))))),".")</f>
        <v>43422.493729938971</v>
      </c>
      <c r="BE9" s="76">
        <f>IFERROR(IF(AND(s_Irr!F9&lt;&gt;".",s_Irr!AD9&lt;&gt;".",s_Irr!BB9&lt;&gt;"."),s_dir!AF9/((1/1000)*(s_Irr!F9+s_Irr!AD9+s_Irr!BB9)),IF(AND(s_Irr!F9&lt;&gt;".",s_Irr!AD9&lt;&gt;".",s_Irr!BB9="."),s_dir!AF9/((1/1000)*(s_Irr!F9+s_Irr!AD9)),IF(AND(s_Irr!F9&lt;&gt;".",s_Irr!AD9=".",s_Irr!BB9&lt;&gt;"."),s_dir!AF9/((1/1000)*(s_Irr!F9+s_Irr!BB9)),IF(AND(s_Irr!F9=".",s_Irr!AD9&lt;&gt;".",s_Irr!BB9&lt;&gt;"."),s_dir!AF9/((1/1000)*(s_Irr!AD9+s_Irr!BB9)),IF(AND(s_Irr!F9=".",s_Irr!AD9=".",s_Irr!BB9&lt;&gt;"."),s_dir!AF9/((1/1000)*(s_Irr!BB9)),IF(AND(s_Irr!F9=".",s_Irr!AD9&lt;&gt;".",s_Irr!BB9="."),s_dir!AF9/((1/1000)*(s_Irr!AD9)),IF(AND(s_Irr!F9&lt;&gt;".",s_Irr!AD9=".",s_Irr!BB9="."),s_dir!AF9/((1/1000)*(s_Irr!F9)),IF(AND(s_Irr!F9=".",s_Irr!AD9=".",s_Irr!BB9="."),s_dir!AF9*1000)))))))),".")</f>
        <v>43422.493729938971</v>
      </c>
      <c r="BF9" s="76">
        <f>IFERROR(IF(AND(s_Irr!G9&lt;&gt;".",s_Irr!AE9&lt;&gt;".",s_Irr!BC9&lt;&gt;"."),s_dir!AG9/((1/1000)*(s_Irr!G9+s_Irr!AE9+s_Irr!BC9)),IF(AND(s_Irr!G9&lt;&gt;".",s_Irr!AE9&lt;&gt;".",s_Irr!BC9="."),s_dir!AG9/((1/1000)*(s_Irr!G9+s_Irr!AE9)),IF(AND(s_Irr!G9&lt;&gt;".",s_Irr!AE9=".",s_Irr!BC9&lt;&gt;"."),s_dir!AG9/((1/1000)*(s_Irr!G9+s_Irr!BC9)),IF(AND(s_Irr!G9=".",s_Irr!AE9&lt;&gt;".",s_Irr!BC9&lt;&gt;"."),s_dir!AG9/((1/1000)*(s_Irr!AE9+s_Irr!BC9)),IF(AND(s_Irr!G9=".",s_Irr!AE9=".",s_Irr!BC9&lt;&gt;"."),s_dir!AG9/((1/1000)*(s_Irr!BC9)),IF(AND(s_Irr!G9=".",s_Irr!AE9&lt;&gt;".",s_Irr!BC9="."),s_dir!AG9/((1/1000)*(s_Irr!AE9)),IF(AND(s_Irr!G9&lt;&gt;".",s_Irr!AE9=".",s_Irr!BC9="."),s_dir!AG9/((1/1000)*(s_Irr!G9)),IF(AND(s_Irr!G9=".",s_Irr!AE9=".",s_Irr!BC9="."),s_dir!AG9*1000)))))))),".")</f>
        <v>43422.493729938971</v>
      </c>
      <c r="BG9" s="76">
        <f>IFERROR(IF(AND(s_Irr!H9&lt;&gt;".",s_Irr!AF9&lt;&gt;".",s_Irr!BD9&lt;&gt;"."),s_dir!AH9/((1/1000)*(s_Irr!H9+s_Irr!AF9+s_Irr!BD9)),IF(AND(s_Irr!H9&lt;&gt;".",s_Irr!AF9&lt;&gt;".",s_Irr!BD9="."),s_dir!AH9/((1/1000)*(s_Irr!H9+s_Irr!AF9)),IF(AND(s_Irr!H9&lt;&gt;".",s_Irr!AF9=".",s_Irr!BD9&lt;&gt;"."),s_dir!AH9/((1/1000)*(s_Irr!H9+s_Irr!BD9)),IF(AND(s_Irr!H9=".",s_Irr!AF9&lt;&gt;".",s_Irr!BD9&lt;&gt;"."),s_dir!AH9/((1/1000)*(s_Irr!AF9+s_Irr!BD9)),IF(AND(s_Irr!H9=".",s_Irr!AF9=".",s_Irr!BD9&lt;&gt;"."),s_dir!AH9/((1/1000)*(s_Irr!BD9)),IF(AND(s_Irr!H9=".",s_Irr!AF9&lt;&gt;".",s_Irr!BD9="."),s_dir!AH9/((1/1000)*(s_Irr!AF9)),IF(AND(s_Irr!H9&lt;&gt;".",s_Irr!AF9=".",s_Irr!BD9="."),s_dir!AH9/((1/1000)*(s_Irr!H9)),IF(AND(s_Irr!H9=".",s_Irr!AF9=".",s_Irr!BD9="."),s_dir!AH9*1000)))))))),".")</f>
        <v>43422.493729938971</v>
      </c>
      <c r="BH9" s="76">
        <f>IFERROR(IF(AND(s_Irr!I9&lt;&gt;".",s_Irr!AG9&lt;&gt;".",s_Irr!BE9&lt;&gt;"."),s_dir!AI9/((1/1000)*(s_Irr!I9+s_Irr!AG9+s_Irr!BE9)),IF(AND(s_Irr!I9&lt;&gt;".",s_Irr!AG9&lt;&gt;".",s_Irr!BE9="."),s_dir!AI9/((1/1000)*(s_Irr!I9+s_Irr!AG9)),IF(AND(s_Irr!I9&lt;&gt;".",s_Irr!AG9=".",s_Irr!BE9&lt;&gt;"."),s_dir!AI9/((1/1000)*(s_Irr!I9+s_Irr!BE9)),IF(AND(s_Irr!I9=".",s_Irr!AG9&lt;&gt;".",s_Irr!BE9&lt;&gt;"."),s_dir!AI9/((1/1000)*(s_Irr!AG9+s_Irr!BE9)),IF(AND(s_Irr!I9=".",s_Irr!AG9=".",s_Irr!BE9&lt;&gt;"."),s_dir!AI9/((1/1000)*(s_Irr!BE9)),IF(AND(s_Irr!I9=".",s_Irr!AG9&lt;&gt;".",s_Irr!BE9="."),s_dir!AI9/((1/1000)*(s_Irr!AG9)),IF(AND(s_Irr!I9&lt;&gt;".",s_Irr!AG9=".",s_Irr!BE9="."),s_dir!AI9/((1/1000)*(s_Irr!I9)),IF(AND(s_Irr!I9=".",s_Irr!AG9=".",s_Irr!BE9="."),s_dir!AI9*1000)))))))),".")</f>
        <v>43422.493729938971</v>
      </c>
      <c r="BI9" s="76">
        <f>IFERROR(IF(AND(s_Irr!J9&lt;&gt;".",s_Irr!AH9&lt;&gt;".",s_Irr!BF9&lt;&gt;"."),s_dir!AJ9/((1/1000)*(s_Irr!J9+s_Irr!AH9+s_Irr!BF9)),IF(AND(s_Irr!J9&lt;&gt;".",s_Irr!AH9&lt;&gt;".",s_Irr!BF9="."),s_dir!AJ9/((1/1000)*(s_Irr!J9+s_Irr!AH9)),IF(AND(s_Irr!J9&lt;&gt;".",s_Irr!AH9=".",s_Irr!BF9&lt;&gt;"."),s_dir!AJ9/((1/1000)*(s_Irr!J9+s_Irr!BF9)),IF(AND(s_Irr!J9=".",s_Irr!AH9&lt;&gt;".",s_Irr!BF9&lt;&gt;"."),s_dir!AJ9/((1/1000)*(s_Irr!AH9+s_Irr!BF9)),IF(AND(s_Irr!J9=".",s_Irr!AH9=".",s_Irr!BF9&lt;&gt;"."),s_dir!AJ9/((1/1000)*(s_Irr!BF9)),IF(AND(s_Irr!J9=".",s_Irr!AH9&lt;&gt;".",s_Irr!BF9="."),s_dir!AJ9/((1/1000)*(s_Irr!AH9)),IF(AND(s_Irr!J9&lt;&gt;".",s_Irr!AH9=".",s_Irr!BF9="."),s_dir!AJ9/((1/1000)*(s_Irr!J9)),IF(AND(s_Irr!J9=".",s_Irr!AH9=".",s_Irr!BF9="."),s_dir!AJ9*1000)))))))),".")</f>
        <v>43422.493729938971</v>
      </c>
      <c r="BJ9" s="76">
        <f>IFERROR(IF(AND(s_Irr!K9&lt;&gt;".",s_Irr!AI9&lt;&gt;".",s_Irr!BG9&lt;&gt;"."),s_dir!AK9/((1/1000)*(s_Irr!K9+s_Irr!AI9+s_Irr!BG9)),IF(AND(s_Irr!K9&lt;&gt;".",s_Irr!AI9&lt;&gt;".",s_Irr!BG9="."),s_dir!AK9/((1/1000)*(s_Irr!K9+s_Irr!AI9)),IF(AND(s_Irr!K9&lt;&gt;".",s_Irr!AI9=".",s_Irr!BG9&lt;&gt;"."),s_dir!AK9/((1/1000)*(s_Irr!K9+s_Irr!BG9)),IF(AND(s_Irr!K9=".",s_Irr!AI9&lt;&gt;".",s_Irr!BG9&lt;&gt;"."),s_dir!AK9/((1/1000)*(s_Irr!AI9+s_Irr!BG9)),IF(AND(s_Irr!K9=".",s_Irr!AI9=".",s_Irr!BG9&lt;&gt;"."),s_dir!AK9/((1/1000)*(s_Irr!BG9)),IF(AND(s_Irr!K9=".",s_Irr!AI9&lt;&gt;".",s_Irr!BG9="."),s_dir!AK9/((1/1000)*(s_Irr!AI9)),IF(AND(s_Irr!K9&lt;&gt;".",s_Irr!AI9=".",s_Irr!BG9="."),s_dir!AK9/((1/1000)*(s_Irr!K9)),IF(AND(s_Irr!K9=".",s_Irr!AI9=".",s_Irr!BG9="."),s_dir!AK9*1000)))))))),".")</f>
        <v>43422.493729938971</v>
      </c>
      <c r="BK9" s="76">
        <f>IFERROR(IF(AND(s_Irr!L9&lt;&gt;".",s_Irr!AJ9&lt;&gt;".",s_Irr!BH9&lt;&gt;"."),s_dir!AL9/((1/1000)*(s_Irr!L9+s_Irr!AJ9+s_Irr!BH9)),IF(AND(s_Irr!L9&lt;&gt;".",s_Irr!AJ9&lt;&gt;".",s_Irr!BH9="."),s_dir!AL9/((1/1000)*(s_Irr!L9+s_Irr!AJ9)),IF(AND(s_Irr!L9&lt;&gt;".",s_Irr!AJ9=".",s_Irr!BH9&lt;&gt;"."),s_dir!AL9/((1/1000)*(s_Irr!L9+s_Irr!BH9)),IF(AND(s_Irr!L9=".",s_Irr!AJ9&lt;&gt;".",s_Irr!BH9&lt;&gt;"."),s_dir!AL9/((1/1000)*(s_Irr!AJ9+s_Irr!BH9)),IF(AND(s_Irr!L9=".",s_Irr!AJ9=".",s_Irr!BH9&lt;&gt;"."),s_dir!AL9/((1/1000)*(s_Irr!BH9)),IF(AND(s_Irr!L9=".",s_Irr!AJ9&lt;&gt;".",s_Irr!BH9="."),s_dir!AL9/((1/1000)*(s_Irr!AJ9)),IF(AND(s_Irr!L9&lt;&gt;".",s_Irr!AJ9=".",s_Irr!BH9="."),s_dir!AL9/((1/1000)*(s_Irr!L9)),IF(AND(s_Irr!L9=".",s_Irr!AJ9=".",s_Irr!BH9="."),s_dir!AL9*1000)))))))),".")</f>
        <v>43422.493729938971</v>
      </c>
      <c r="BL9" s="76">
        <f>IFERROR(IF(AND(s_Irr!M9&lt;&gt;".",s_Irr!AK9&lt;&gt;".",s_Irr!BI9&lt;&gt;"."),s_dir!AM9/((1/1000)*(s_Irr!M9+s_Irr!AK9+s_Irr!BI9)),IF(AND(s_Irr!M9&lt;&gt;".",s_Irr!AK9&lt;&gt;".",s_Irr!BI9="."),s_dir!AM9/((1/1000)*(s_Irr!M9+s_Irr!AK9)),IF(AND(s_Irr!M9&lt;&gt;".",s_Irr!AK9=".",s_Irr!BI9&lt;&gt;"."),s_dir!AM9/((1/1000)*(s_Irr!M9+s_Irr!BI9)),IF(AND(s_Irr!M9=".",s_Irr!AK9&lt;&gt;".",s_Irr!BI9&lt;&gt;"."),s_dir!AM9/((1/1000)*(s_Irr!AK9+s_Irr!BI9)),IF(AND(s_Irr!M9=".",s_Irr!AK9=".",s_Irr!BI9&lt;&gt;"."),s_dir!AM9/((1/1000)*(s_Irr!BI9)),IF(AND(s_Irr!M9=".",s_Irr!AK9&lt;&gt;".",s_Irr!BI9="."),s_dir!AM9/((1/1000)*(s_Irr!AK9)),IF(AND(s_Irr!M9&lt;&gt;".",s_Irr!AK9=".",s_Irr!BI9="."),s_dir!AM9/((1/1000)*(s_Irr!M9)),IF(AND(s_Irr!M9=".",s_Irr!AK9=".",s_Irr!BI9="."),s_dir!AM9*1000)))))))),".")</f>
        <v>43422.493729938971</v>
      </c>
      <c r="BM9" s="76">
        <f>IFERROR(IF(AND(s_Irr!N9&lt;&gt;".",s_Irr!AL9&lt;&gt;".",s_Irr!BJ9&lt;&gt;"."),s_dir!AN9/((1/1000)*(s_Irr!N9+s_Irr!AL9+s_Irr!BJ9)),IF(AND(s_Irr!N9&lt;&gt;".",s_Irr!AL9&lt;&gt;".",s_Irr!BJ9="."),s_dir!AN9/((1/1000)*(s_Irr!N9+s_Irr!AL9)),IF(AND(s_Irr!N9&lt;&gt;".",s_Irr!AL9=".",s_Irr!BJ9&lt;&gt;"."),s_dir!AN9/((1/1000)*(s_Irr!N9+s_Irr!BJ9)),IF(AND(s_Irr!N9=".",s_Irr!AL9&lt;&gt;".",s_Irr!BJ9&lt;&gt;"."),s_dir!AN9/((1/1000)*(s_Irr!AL9+s_Irr!BJ9)),IF(AND(s_Irr!N9=".",s_Irr!AL9=".",s_Irr!BJ9&lt;&gt;"."),s_dir!AN9/((1/1000)*(s_Irr!BJ9)),IF(AND(s_Irr!N9=".",s_Irr!AL9&lt;&gt;".",s_Irr!BJ9="."),s_dir!AN9/((1/1000)*(s_Irr!AL9)),IF(AND(s_Irr!N9&lt;&gt;".",s_Irr!AL9=".",s_Irr!BJ9="."),s_dir!AN9/((1/1000)*(s_Irr!N9)),IF(AND(s_Irr!N9=".",s_Irr!AL9=".",s_Irr!BJ9="."),s_dir!AN9*1000)))))))),".")</f>
        <v>43422.493729938971</v>
      </c>
      <c r="BN9" s="76">
        <f>IFERROR(IF(AND(s_Irr!O9&lt;&gt;".",s_Irr!AM9&lt;&gt;".",s_Irr!BK9&lt;&gt;"."),s_dir!AO9/((1/1000)*(s_Irr!O9+s_Irr!AM9+s_Irr!BK9)),IF(AND(s_Irr!O9&lt;&gt;".",s_Irr!AM9&lt;&gt;".",s_Irr!BK9="."),s_dir!AO9/((1/1000)*(s_Irr!O9+s_Irr!AM9)),IF(AND(s_Irr!O9&lt;&gt;".",s_Irr!AM9=".",s_Irr!BK9&lt;&gt;"."),s_dir!AO9/((1/1000)*(s_Irr!O9+s_Irr!BK9)),IF(AND(s_Irr!O9=".",s_Irr!AM9&lt;&gt;".",s_Irr!BK9&lt;&gt;"."),s_dir!AO9/((1/1000)*(s_Irr!AM9+s_Irr!BK9)),IF(AND(s_Irr!O9=".",s_Irr!AM9=".",s_Irr!BK9&lt;&gt;"."),s_dir!AO9/((1/1000)*(s_Irr!BK9)),IF(AND(s_Irr!O9=".",s_Irr!AM9&lt;&gt;".",s_Irr!BK9="."),s_dir!AO9/((1/1000)*(s_Irr!AM9)),IF(AND(s_Irr!O9&lt;&gt;".",s_Irr!AM9=".",s_Irr!BK9="."),s_dir!AO9/((1/1000)*(s_Irr!O9)),IF(AND(s_Irr!O9=".",s_Irr!AM9=".",s_Irr!BK9="."),s_dir!AO9*1000)))))))),".")</f>
        <v>43422.493729938971</v>
      </c>
      <c r="BO9" s="76">
        <f>IFERROR(IF(AND(s_Irr!P9&lt;&gt;".",s_Irr!AN9&lt;&gt;".",s_Irr!BL9&lt;&gt;"."),s_dir!AP9/((1/1000)*(s_Irr!P9+s_Irr!AN9+s_Irr!BL9)),IF(AND(s_Irr!P9&lt;&gt;".",s_Irr!AN9&lt;&gt;".",s_Irr!BL9="."),s_dir!AP9/((1/1000)*(s_Irr!P9+s_Irr!AN9)),IF(AND(s_Irr!P9&lt;&gt;".",s_Irr!AN9=".",s_Irr!BL9&lt;&gt;"."),s_dir!AP9/((1/1000)*(s_Irr!P9+s_Irr!BL9)),IF(AND(s_Irr!P9=".",s_Irr!AN9&lt;&gt;".",s_Irr!BL9&lt;&gt;"."),s_dir!AP9/((1/1000)*(s_Irr!AN9+s_Irr!BL9)),IF(AND(s_Irr!P9=".",s_Irr!AN9=".",s_Irr!BL9&lt;&gt;"."),s_dir!AP9/((1/1000)*(s_Irr!BL9)),IF(AND(s_Irr!P9=".",s_Irr!AN9&lt;&gt;".",s_Irr!BL9="."),s_dir!AP9/((1/1000)*(s_Irr!AN9)),IF(AND(s_Irr!P9&lt;&gt;".",s_Irr!AN9=".",s_Irr!BL9="."),s_dir!AP9/((1/1000)*(s_Irr!P9)),IF(AND(s_Irr!P9=".",s_Irr!AN9=".",s_Irr!BL9="."),s_dir!AP9*1000)))))))),".")</f>
        <v>43422.493729938971</v>
      </c>
      <c r="BP9" s="76">
        <f>IFERROR(IF(AND(s_Irr!Q9&lt;&gt;".",s_Irr!AO9&lt;&gt;".",s_Irr!BM9&lt;&gt;"."),s_dir!AQ9/((1/1000)*(s_Irr!Q9+s_Irr!AO9+s_Irr!BM9)),IF(AND(s_Irr!Q9&lt;&gt;".",s_Irr!AO9&lt;&gt;".",s_Irr!BM9="."),s_dir!AQ9/((1/1000)*(s_Irr!Q9+s_Irr!AO9)),IF(AND(s_Irr!Q9&lt;&gt;".",s_Irr!AO9=".",s_Irr!BM9&lt;&gt;"."),s_dir!AQ9/((1/1000)*(s_Irr!Q9+s_Irr!BM9)),IF(AND(s_Irr!Q9=".",s_Irr!AO9&lt;&gt;".",s_Irr!BM9&lt;&gt;"."),s_dir!AQ9/((1/1000)*(s_Irr!AO9+s_Irr!BM9)),IF(AND(s_Irr!Q9=".",s_Irr!AO9=".",s_Irr!BM9&lt;&gt;"."),s_dir!AQ9/((1/1000)*(s_Irr!BM9)),IF(AND(s_Irr!Q9=".",s_Irr!AO9&lt;&gt;".",s_Irr!BM9="."),s_dir!AQ9/((1/1000)*(s_Irr!AO9)),IF(AND(s_Irr!Q9&lt;&gt;".",s_Irr!AO9=".",s_Irr!BM9="."),s_dir!AQ9/((1/1000)*(s_Irr!Q9)),IF(AND(s_Irr!Q9=".",s_Irr!AO9=".",s_Irr!BM9="."),s_dir!AQ9*1000)))))))),".")</f>
        <v>43422.493729938971</v>
      </c>
      <c r="BQ9" s="76">
        <f>IFERROR(IF(AND(s_Irr!R9&lt;&gt;".",s_Irr!AP9&lt;&gt;".",s_Irr!BN9&lt;&gt;"."),s_dir!AR9/((1/1000)*(s_Irr!R9+s_Irr!AP9+s_Irr!BN9)),IF(AND(s_Irr!R9&lt;&gt;".",s_Irr!AP9&lt;&gt;".",s_Irr!BN9="."),s_dir!AR9/((1/1000)*(s_Irr!R9+s_Irr!AP9)),IF(AND(s_Irr!R9&lt;&gt;".",s_Irr!AP9=".",s_Irr!BN9&lt;&gt;"."),s_dir!AR9/((1/1000)*(s_Irr!R9+s_Irr!BN9)),IF(AND(s_Irr!R9=".",s_Irr!AP9&lt;&gt;".",s_Irr!BN9&lt;&gt;"."),s_dir!AR9/((1/1000)*(s_Irr!AP9+s_Irr!BN9)),IF(AND(s_Irr!R9=".",s_Irr!AP9=".",s_Irr!BN9&lt;&gt;"."),s_dir!AR9/((1/1000)*(s_Irr!BN9)),IF(AND(s_Irr!R9=".",s_Irr!AP9&lt;&gt;".",s_Irr!BN9="."),s_dir!AR9/((1/1000)*(s_Irr!AP9)),IF(AND(s_Irr!R9&lt;&gt;".",s_Irr!AP9=".",s_Irr!BN9="."),s_dir!AR9/((1/1000)*(s_Irr!R9)),IF(AND(s_Irr!R9=".",s_Irr!AP9=".",s_Irr!BN9="."),s_dir!AR9*1000)))))))),".")</f>
        <v>43422.493729938971</v>
      </c>
      <c r="BR9" s="76">
        <f>IFERROR(IF(AND(s_Irr!S9&lt;&gt;".",s_Irr!AQ9&lt;&gt;".",s_Irr!BO9&lt;&gt;"."),s_dir!AS9/((1/1000)*(s_Irr!S9+s_Irr!AQ9+s_Irr!BO9)),IF(AND(s_Irr!S9&lt;&gt;".",s_Irr!AQ9&lt;&gt;".",s_Irr!BO9="."),s_dir!AS9/((1/1000)*(s_Irr!S9+s_Irr!AQ9)),IF(AND(s_Irr!S9&lt;&gt;".",s_Irr!AQ9=".",s_Irr!BO9&lt;&gt;"."),s_dir!AS9/((1/1000)*(s_Irr!S9+s_Irr!BO9)),IF(AND(s_Irr!S9=".",s_Irr!AQ9&lt;&gt;".",s_Irr!BO9&lt;&gt;"."),s_dir!AS9/((1/1000)*(s_Irr!AQ9+s_Irr!BO9)),IF(AND(s_Irr!S9=".",s_Irr!AQ9=".",s_Irr!BO9&lt;&gt;"."),s_dir!AS9/((1/1000)*(s_Irr!BO9)),IF(AND(s_Irr!S9=".",s_Irr!AQ9&lt;&gt;".",s_Irr!BO9="."),s_dir!AS9/((1/1000)*(s_Irr!AQ9)),IF(AND(s_Irr!S9&lt;&gt;".",s_Irr!AQ9=".",s_Irr!BO9="."),s_dir!AS9/((1/1000)*(s_Irr!S9)),IF(AND(s_Irr!S9=".",s_Irr!AQ9=".",s_Irr!BO9="."),s_dir!AS9*1000)))))))),".")</f>
        <v>43422.493729938971</v>
      </c>
      <c r="BS9" s="76">
        <f>IFERROR(IF(AND(s_Irr!T9&lt;&gt;".",s_Irr!AR9&lt;&gt;".",s_Irr!BP9&lt;&gt;"."),s_dir!AT9/((1/1000)*(s_Irr!T9+s_Irr!AR9+s_Irr!BP9)),IF(AND(s_Irr!T9&lt;&gt;".",s_Irr!AR9&lt;&gt;".",s_Irr!BP9="."),s_dir!AT9/((1/1000)*(s_Irr!T9+s_Irr!AR9)),IF(AND(s_Irr!T9&lt;&gt;".",s_Irr!AR9=".",s_Irr!BP9&lt;&gt;"."),s_dir!AT9/((1/1000)*(s_Irr!T9+s_Irr!BP9)),IF(AND(s_Irr!T9=".",s_Irr!AR9&lt;&gt;".",s_Irr!BP9&lt;&gt;"."),s_dir!AT9/((1/1000)*(s_Irr!AR9+s_Irr!BP9)),IF(AND(s_Irr!T9=".",s_Irr!AR9=".",s_Irr!BP9&lt;&gt;"."),s_dir!AT9/((1/1000)*(s_Irr!BP9)),IF(AND(s_Irr!T9=".",s_Irr!AR9&lt;&gt;".",s_Irr!BP9="."),s_dir!AT9/((1/1000)*(s_Irr!AR9)),IF(AND(s_Irr!T9&lt;&gt;".",s_Irr!AR9=".",s_Irr!BP9="."),s_dir!AT9/((1/1000)*(s_Irr!T9)),IF(AND(s_Irr!T9=".",s_Irr!AR9=".",s_Irr!BP9="."),s_dir!AT9*1000)))))))),".")</f>
        <v>43422.493729938971</v>
      </c>
      <c r="BT9" s="76">
        <f>IFERROR(IF(AND(s_Irr!U9&lt;&gt;".",s_Irr!AS9&lt;&gt;".",s_Irr!BQ9&lt;&gt;"."),s_dir!AU9/((1/1000)*(s_Irr!U9+s_Irr!AS9+s_Irr!BQ9)),IF(AND(s_Irr!U9&lt;&gt;".",s_Irr!AS9&lt;&gt;".",s_Irr!BQ9="."),s_dir!AU9/((1/1000)*(s_Irr!U9+s_Irr!AS9)),IF(AND(s_Irr!U9&lt;&gt;".",s_Irr!AS9=".",s_Irr!BQ9&lt;&gt;"."),s_dir!AU9/((1/1000)*(s_Irr!U9+s_Irr!BQ9)),IF(AND(s_Irr!U9=".",s_Irr!AS9&lt;&gt;".",s_Irr!BQ9&lt;&gt;"."),s_dir!AU9/((1/1000)*(s_Irr!AS9+s_Irr!BQ9)),IF(AND(s_Irr!U9=".",s_Irr!AS9=".",s_Irr!BQ9&lt;&gt;"."),s_dir!AU9/((1/1000)*(s_Irr!BQ9)),IF(AND(s_Irr!U9=".",s_Irr!AS9&lt;&gt;".",s_Irr!BQ9="."),s_dir!AU9/((1/1000)*(s_Irr!AS9)),IF(AND(s_Irr!U9&lt;&gt;".",s_Irr!AS9=".",s_Irr!BQ9="."),s_dir!AU9/((1/1000)*(s_Irr!U9)),IF(AND(s_Irr!U9=".",s_Irr!AS9=".",s_Irr!BQ9="."),s_dir!AU9*1000)))))))),".")</f>
        <v>43422.493729938971</v>
      </c>
      <c r="BU9" s="76">
        <f>IFERROR(IF(AND(s_Irr!V9&lt;&gt;".",s_Irr!AT9&lt;&gt;".",s_Irr!BR9&lt;&gt;"."),s_dir!AV9/((1/1000)*(s_Irr!V9+s_Irr!AT9+s_Irr!BR9)),IF(AND(s_Irr!V9&lt;&gt;".",s_Irr!AT9&lt;&gt;".",s_Irr!BR9="."),s_dir!AV9/((1/1000)*(s_Irr!V9+s_Irr!AT9)),IF(AND(s_Irr!V9&lt;&gt;".",s_Irr!AT9=".",s_Irr!BR9&lt;&gt;"."),s_dir!AV9/((1/1000)*(s_Irr!V9+s_Irr!BR9)),IF(AND(s_Irr!V9=".",s_Irr!AT9&lt;&gt;".",s_Irr!BR9&lt;&gt;"."),s_dir!AV9/((1/1000)*(s_Irr!AT9+s_Irr!BR9)),IF(AND(s_Irr!V9=".",s_Irr!AT9=".",s_Irr!BR9&lt;&gt;"."),s_dir!AV9/((1/1000)*(s_Irr!BR9)),IF(AND(s_Irr!V9=".",s_Irr!AT9&lt;&gt;".",s_Irr!BR9="."),s_dir!AV9/((1/1000)*(s_Irr!AT9)),IF(AND(s_Irr!V9&lt;&gt;".",s_Irr!AT9=".",s_Irr!BR9="."),s_dir!AV9/((1/1000)*(s_Irr!V9)),IF(AND(s_Irr!V9=".",s_Irr!AT9=".",s_Irr!BR9="."),s_dir!AV9*1000)))))))),".")</f>
        <v>43422.493729938971</v>
      </c>
      <c r="BV9" s="76">
        <f>IFERROR(IF(AND(s_Irr!W9&lt;&gt;".",s_Irr!AU9&lt;&gt;".",s_Irr!BS9&lt;&gt;"."),s_dir!AW9/((1/1000)*(s_Irr!W9+s_Irr!AU9+s_Irr!BS9)),IF(AND(s_Irr!W9&lt;&gt;".",s_Irr!AU9&lt;&gt;".",s_Irr!BS9="."),s_dir!AW9/((1/1000)*(s_Irr!W9+s_Irr!AU9)),IF(AND(s_Irr!W9&lt;&gt;".",s_Irr!AU9=".",s_Irr!BS9&lt;&gt;"."),s_dir!AW9/((1/1000)*(s_Irr!W9+s_Irr!BS9)),IF(AND(s_Irr!W9=".",s_Irr!AU9&lt;&gt;".",s_Irr!BS9&lt;&gt;"."),s_dir!AW9/((1/1000)*(s_Irr!AU9+s_Irr!BS9)),IF(AND(s_Irr!W9=".",s_Irr!AU9=".",s_Irr!BS9&lt;&gt;"."),s_dir!AW9/((1/1000)*(s_Irr!BS9)),IF(AND(s_Irr!W9=".",s_Irr!AU9&lt;&gt;".",s_Irr!BS9="."),s_dir!AW9/((1/1000)*(s_Irr!AU9)),IF(AND(s_Irr!W9&lt;&gt;".",s_Irr!AU9=".",s_Irr!BS9="."),s_dir!AW9/((1/1000)*(s_Irr!W9)),IF(AND(s_Irr!W9=".",s_Irr!AU9=".",s_Irr!BS9="."),s_dir!AW9*1000)))))))),".")</f>
        <v>43422.493729938971</v>
      </c>
      <c r="BW9" s="76">
        <f>IFERROR(IF(AND(s_Irr!X9&lt;&gt;".",s_Irr!AV9&lt;&gt;".",s_Irr!BT9&lt;&gt;"."),s_dir!AX9/((1/1000)*(s_Irr!X9+s_Irr!AV9+s_Irr!BT9)),IF(AND(s_Irr!X9&lt;&gt;".",s_Irr!AV9&lt;&gt;".",s_Irr!BT9="."),s_dir!AX9/((1/1000)*(s_Irr!X9+s_Irr!AV9)),IF(AND(s_Irr!X9&lt;&gt;".",s_Irr!AV9=".",s_Irr!BT9&lt;&gt;"."),s_dir!AX9/((1/1000)*(s_Irr!X9+s_Irr!BT9)),IF(AND(s_Irr!X9=".",s_Irr!AV9&lt;&gt;".",s_Irr!BT9&lt;&gt;"."),s_dir!AX9/((1/1000)*(s_Irr!AV9+s_Irr!BT9)),IF(AND(s_Irr!X9=".",s_Irr!AV9=".",s_Irr!BT9&lt;&gt;"."),s_dir!AX9/((1/1000)*(s_Irr!BT9)),IF(AND(s_Irr!X9=".",s_Irr!AV9&lt;&gt;".",s_Irr!BT9="."),s_dir!AX9/((1/1000)*(s_Irr!AV9)),IF(AND(s_Irr!X9&lt;&gt;".",s_Irr!AV9=".",s_Irr!BT9="."),s_dir!AX9/((1/1000)*(s_Irr!X9)),IF(AND(s_Irr!X9=".",s_Irr!AV9=".",s_Irr!BT9="."),s_dir!AX9*1000)))))))),".")</f>
        <v>43422.493729938971</v>
      </c>
      <c r="BX9" s="76">
        <f>IFERROR(IF(AND(s_Irr!Y9&lt;&gt;".",s_Irr!AW9&lt;&gt;".",s_Irr!BU9&lt;&gt;"."),s_dir!AY9/((1/1000)*(s_Irr!Y9+s_Irr!AW9+s_Irr!BU9)),IF(AND(s_Irr!Y9&lt;&gt;".",s_Irr!AW9&lt;&gt;".",s_Irr!BU9="."),s_dir!AY9/((1/1000)*(s_Irr!Y9+s_Irr!AW9)),IF(AND(s_Irr!Y9&lt;&gt;".",s_Irr!AW9=".",s_Irr!BU9&lt;&gt;"."),s_dir!AY9/((1/1000)*(s_Irr!Y9+s_Irr!BU9)),IF(AND(s_Irr!Y9=".",s_Irr!AW9&lt;&gt;".",s_Irr!BU9&lt;&gt;"."),s_dir!AY9/((1/1000)*(s_Irr!AW9+s_Irr!BU9)),IF(AND(s_Irr!Y9=".",s_Irr!AW9=".",s_Irr!BU9&lt;&gt;"."),s_dir!AY9/((1/1000)*(s_Irr!BU9)),IF(AND(s_Irr!Y9=".",s_Irr!AW9&lt;&gt;".",s_Irr!BU9="."),s_dir!AY9/((1/1000)*(s_Irr!AW9)),IF(AND(s_Irr!Y9&lt;&gt;".",s_Irr!AW9=".",s_Irr!BU9="."),s_dir!AY9/((1/1000)*(s_Irr!Y9)),IF(AND(s_Irr!Y9=".",s_Irr!AW9=".",s_Irr!BU9="."),s_dir!AY9*1000)))))))),".")</f>
        <v>43422.493729938971</v>
      </c>
      <c r="BY9" s="76">
        <f>IFERROR(IF(AND(s_Irr!Z9&lt;&gt;".",s_Irr!AX9&lt;&gt;".",s_Irr!BV9&lt;&gt;"."),s_dir!AZ9/((1/1000)*(s_Irr!Z9+s_Irr!AX9+s_Irr!BV9)),IF(AND(s_Irr!Z9&lt;&gt;".",s_Irr!AX9&lt;&gt;".",s_Irr!BV9="."),s_dir!AZ9/((1/1000)*(s_Irr!Z9+s_Irr!AX9)),IF(AND(s_Irr!Z9&lt;&gt;".",s_Irr!AX9=".",s_Irr!BV9&lt;&gt;"."),s_dir!AZ9/((1/1000)*(s_Irr!Z9+s_Irr!BV9)),IF(AND(s_Irr!Z9=".",s_Irr!AX9&lt;&gt;".",s_Irr!BV9&lt;&gt;"."),s_dir!AZ9/((1/1000)*(s_Irr!AX9+s_Irr!BV9)),IF(AND(s_Irr!Z9=".",s_Irr!AX9=".",s_Irr!BV9&lt;&gt;"."),s_dir!AZ9/((1/1000)*(s_Irr!BV9)),IF(AND(s_Irr!Z9=".",s_Irr!AX9&lt;&gt;".",s_Irr!BV9="."),s_dir!AZ9/((1/1000)*(s_Irr!AX9)),IF(AND(s_Irr!Z9&lt;&gt;".",s_Irr!AX9=".",s_Irr!BV9="."),s_dir!AZ9/((1/1000)*(s_Irr!Z9)),IF(AND(s_Irr!Z9=".",s_Irr!AX9=".",s_Irr!BV9="."),s_dir!AZ9*1000)))))))),".")</f>
        <v>43422.493729938971</v>
      </c>
      <c r="BZ9" s="93">
        <f t="shared" si="9"/>
        <v>1736.1784239519495</v>
      </c>
      <c r="CA9" s="93">
        <f>IFERROR(s_C*s_IFAP_far_adj*s_CF_apple*(1/1000)*(s_Irr!C9+s_Irr!AA9+s_Irr!AY9),".")</f>
        <v>434.04460598798738</v>
      </c>
      <c r="CB9" s="93">
        <f>IFERROR(s_C*s_IFAS_far_adj*s_CF_asparagus*(1/1000)*(s_Irr!D9+s_Irr!AB9+s_Irr!AZ9),".")</f>
        <v>434.04460598798738</v>
      </c>
      <c r="CC9" s="93">
        <f>IFERROR(s_C*s_IFBT_far_adj*s_CF_beet*(1/1000)*(s_Irr!E9+s_Irr!AC9+s_Irr!BA9),".")</f>
        <v>434.04460598798738</v>
      </c>
      <c r="CD9" s="93">
        <f>IFERROR(s_C*s_IFBE_far_adj*s_CF_berries*(1/1000)*(s_Irr!F9+s_Irr!AD9+s_Irr!BB9),".")</f>
        <v>434.04460598798738</v>
      </c>
      <c r="CE9" s="93">
        <f>IFERROR(s_C*s_IFBR_far_adj*s_CF_broccoli*(1/1000)*(s_Irr!G9+s_Irr!AE9+s_Irr!BC9),".")</f>
        <v>434.04460598798738</v>
      </c>
      <c r="CF9" s="93">
        <f>IFERROR(s_C*s_IFCB_far_adj*s_CF_cabbage*(1/1000)*(s_Irr!H9+s_Irr!AF9+s_Irr!BD9),".")</f>
        <v>434.04460598798738</v>
      </c>
      <c r="CG9" s="93">
        <f>IFERROR(s_C*s_IFCR_far_adj*s_CF_carrot*(1/1000)*(s_Irr!I9+s_Irr!AG9+s_Irr!BE9),".")</f>
        <v>434.04460598798738</v>
      </c>
      <c r="CH9" s="93">
        <f>IFERROR(s_C*s_IFCI_far_adj*s_CF_citrus*(1/1000)*(s_Irr!J9+s_Irr!AH9+s_Irr!BF9),".")</f>
        <v>434.04460598798738</v>
      </c>
      <c r="CI9" s="93">
        <f>IFERROR(s_C*s_IFCO_far_adj*s_CF_corn*(1/1000)*(s_Irr!K9+s_Irr!AI9+s_Irr!BG9),".")</f>
        <v>434.04460598798738</v>
      </c>
      <c r="CJ9" s="93">
        <f>IFERROR(s_C*s_IFCU_far_adj*s_CF_cucumber*(1/1000)*(s_Irr!L9+s_Irr!AJ9+s_Irr!BH9),".")</f>
        <v>434.04460598798738</v>
      </c>
      <c r="CK9" s="93">
        <f>IFERROR(s_C*s_IFLE_far_adj*s_CF_lettuce*(1/1000)*(s_Irr!M9+s_Irr!AK9+s_Irr!BI9),".")</f>
        <v>434.04460598798738</v>
      </c>
      <c r="CL9" s="93">
        <f>IFERROR(s_C*s_IFLI_far_adj*s_CF_lima_bean*(1/1000)*(s_Irr!N9+s_Irr!AL9+s_Irr!BJ9),".")</f>
        <v>434.04460598798738</v>
      </c>
      <c r="CM9" s="93">
        <f>IFERROR(s_C*s_IFOK_far_adj*s_CF_okra*(1/1000)*(s_Irr!O9+s_Irr!AM9+s_Irr!BK9),".")</f>
        <v>434.04460598798738</v>
      </c>
      <c r="CN9" s="93">
        <f>IFERROR(s_C*s_IFON_far_adj*s_CF_onion*(1/1000)*(s_Irr!P9+s_Irr!AN9+s_Irr!BL9),".")</f>
        <v>434.04460598798738</v>
      </c>
      <c r="CO9" s="93">
        <f>IFERROR(s_C*s_IFPC_far_adj*s_CF_peach*(1/1000)*(s_Irr!Q9+s_Irr!AO9+s_Irr!BM9),".")</f>
        <v>434.04460598798738</v>
      </c>
      <c r="CP9" s="93">
        <f>IFERROR(s_C*s_IFPR_far_adj*s_CF_pear*(1/1000)*(s_Irr!R9+s_Irr!AP9+s_Irr!BN9),".")</f>
        <v>434.04460598798738</v>
      </c>
      <c r="CQ9" s="93">
        <f>IFERROR(s_C*s_IFPE_far_adj*s_CF_peas*(1/1000)*(s_Irr!S9+s_Irr!AQ9+s_Irr!BO9),".")</f>
        <v>434.04460598798738</v>
      </c>
      <c r="CR9" s="93">
        <f>IFERROR(s_C*s_IFPT_far_adj*s_CF_potato*(1/1000)*(s_Irr!T9+s_Irr!AR9+s_Irr!BP9),".")</f>
        <v>434.04460598798738</v>
      </c>
      <c r="CS9" s="93">
        <f>IFERROR(s_C*s_IFPU_far_adj*s_CF_pumpkin*(1/1000)*(s_Irr!U9+s_Irr!AS9+s_Irr!BQ9),".")</f>
        <v>434.04460598798738</v>
      </c>
      <c r="CT9" s="93">
        <f>IFERROR(s_C*s_IFSN_far_adj*s_CF_snap_bean*(1/1000)*(s_Irr!V9+s_Irr!AT9+s_Irr!BR9),".")</f>
        <v>434.04460598798738</v>
      </c>
      <c r="CU9" s="93">
        <f>IFERROR(s_C*s_IFST_far_adj*s_CF_strawberry*(1/1000)*(s_Irr!W9+s_Irr!AU9+s_Irr!BS9),".")</f>
        <v>434.04460598798738</v>
      </c>
      <c r="CV9" s="93">
        <f>IFERROR(s_C*s_IFTO_far_adj*s_CF_tomato*(1/1000)*(s_Irr!X9+s_Irr!AV9+s_Irr!BT9),".")</f>
        <v>434.04460598798738</v>
      </c>
      <c r="CW9" s="93">
        <f>IFERROR(s_C*s_IFRI_far_adj*s_CF_rice*(1/1000)*(s_Irr!Y9+s_Irr!AW9+s_Irr!BU9),".")</f>
        <v>434.04460598798738</v>
      </c>
      <c r="CX9" s="93">
        <f>IFERROR(s_C*s_IFCG_far_adj*s_CF_cereal*(1/1000)*(s_Irr!Z9+s_Irr!AX9+s_Irr!BV9),".")</f>
        <v>434.04460598798738</v>
      </c>
    </row>
    <row r="10" spans="1:102" x14ac:dyDescent="0.25">
      <c r="A10" s="94" t="s">
        <v>20</v>
      </c>
      <c r="B10" s="90" t="s">
        <v>351</v>
      </c>
      <c r="C10" s="76">
        <f t="shared" ref="C10" si="10">IFERROR(1/SUM(1/D10,1/E10,1/Z10,1/AA10),".")</f>
        <v>147.95247322402815</v>
      </c>
      <c r="D10" s="76">
        <f>IFERROR(IF(AND(s_Irr!C10&lt;&gt;".",s_Irr!AA10&lt;&gt;".",s_Irr!AY10&lt;&gt;"."),s_dir!D10/((1/1000)*(s_Irr!C10+s_Irr!AA10+s_Irr!AY10)),IF(AND(s_Irr!C10&lt;&gt;".",s_Irr!AA10&lt;&gt;".",s_Irr!AY10="."),s_dir!D10/((1/1000)*(s_Irr!C10+s_Irr!AA10)),IF(AND(s_Irr!C10&lt;&gt;".",s_Irr!AA10=".",s_Irr!AY10&lt;&gt;"."),s_dir!D10/((1/1000)*(s_Irr!C10+s_Irr!AY10)),IF(AND(s_Irr!C10=".",s_Irr!AA10&lt;&gt;".",s_Irr!AY10&lt;&gt;"."),s_dir!D10/((1/1000)*(s_Irr!AA10+s_Irr!AY10)),IF(AND(s_Irr!C10=".",s_Irr!AA10=".",s_Irr!AY10&lt;&gt;"."),s_dir!D10/((1/1000)*(s_Irr!AY10)),IF(AND(s_Irr!C10=".",s_Irr!AA10&lt;&gt;".",s_Irr!AY10="."),s_dir!D10/((1/1000)*(s_Irr!AA10)),IF(AND(s_Irr!C10&lt;&gt;".",s_Irr!AA10=".",s_Irr!AY10="."),s_dir!D10/((1/1000)*(s_Irr!C10)),IF(AND(s_Irr!C10=".",s_Irr!AA10=".",s_Irr!AY10="."),s_dir!D10*1000)))))))),".")</f>
        <v>757.29602934818149</v>
      </c>
      <c r="E10" s="76">
        <f>IFERROR(IF(AND(s_Irr!D10&lt;&gt;".",s_Irr!AB10&lt;&gt;".",s_Irr!AZ10&lt;&gt;"."),s_dir!E10/((1/1000)*(s_Irr!D10+s_Irr!AB10+s_Irr!AZ10)),IF(AND(s_Irr!D10&lt;&gt;".",s_Irr!AB10&lt;&gt;".",s_Irr!AZ10="."),s_dir!E10/((1/1000)*(s_Irr!D10+s_Irr!AB10)),IF(AND(s_Irr!D10&lt;&gt;".",s_Irr!AB10=".",s_Irr!AZ10&lt;&gt;"."),s_dir!E10/((1/1000)*(s_Irr!D10+s_Irr!AZ10)),IF(AND(s_Irr!D10=".",s_Irr!AB10&lt;&gt;".",s_Irr!AZ10&lt;&gt;"."),s_dir!E10/((1/1000)*(s_Irr!AB10+s_Irr!AZ10)),IF(AND(s_Irr!D10=".",s_Irr!AB10=".",s_Irr!AZ10&lt;&gt;"."),s_dir!E10/((1/1000)*(s_Irr!AZ10)),IF(AND(s_Irr!D10=".",s_Irr!AB10&lt;&gt;".",s_Irr!AZ10="."),s_dir!E10/((1/1000)*(s_Irr!AB10)),IF(AND(s_Irr!D10&lt;&gt;".",s_Irr!AB10=".",s_Irr!AZ10="."),s_dir!E10/((1/1000)*(s_Irr!D10)),IF(AND(s_Irr!D10=".",s_Irr!AB10=".",s_Irr!AZ10="."),s_dir!E10*1000)))))))),".")</f>
        <v>411.98882257752092</v>
      </c>
      <c r="F10" s="76">
        <f>IFERROR(IF(AND(s_Irr!E10&lt;&gt;".",s_Irr!AC10&lt;&gt;".",s_Irr!BA10&lt;&gt;"."),s_dir!F10/((1/1000)*(s_Irr!E10+s_Irr!AC10+s_Irr!BA10)),IF(AND(s_Irr!E10&lt;&gt;".",s_Irr!AC10&lt;&gt;".",s_Irr!BA10="."),s_dir!F10/((1/1000)*(s_Irr!E10+s_Irr!AC10)),IF(AND(s_Irr!E10&lt;&gt;".",s_Irr!AC10=".",s_Irr!BA10&lt;&gt;"."),s_dir!F10/((1/1000)*(s_Irr!E10+s_Irr!BA10)),IF(AND(s_Irr!E10=".",s_Irr!AC10&lt;&gt;".",s_Irr!BA10&lt;&gt;"."),s_dir!F10/((1/1000)*(s_Irr!AC10+s_Irr!BA10)),IF(AND(s_Irr!E10=".",s_Irr!AC10=".",s_Irr!BA10&lt;&gt;"."),s_dir!F10/((1/1000)*(s_Irr!BA10)),IF(AND(s_Irr!E10=".",s_Irr!AC10&lt;&gt;".",s_Irr!BA10="."),s_dir!F10/((1/1000)*(s_Irr!AC10)),IF(AND(s_Irr!E10&lt;&gt;".",s_Irr!AC10=".",s_Irr!BA10="."),s_dir!F10/((1/1000)*(s_Irr!E10)),IF(AND(s_Irr!E10=".",s_Irr!AC10=".",s_Irr!BA10="."),s_dir!F10*1000)))))))),".")</f>
        <v>485.5097819812799</v>
      </c>
      <c r="G10" s="76">
        <f>IFERROR(IF(AND(s_Irr!F10&lt;&gt;".",s_Irr!AD10&lt;&gt;".",s_Irr!BB10&lt;&gt;"."),s_dir!G10/((1/1000)*(s_Irr!F10+s_Irr!AD10+s_Irr!BB10)),IF(AND(s_Irr!F10&lt;&gt;".",s_Irr!AD10&lt;&gt;".",s_Irr!BB10="."),s_dir!G10/((1/1000)*(s_Irr!F10+s_Irr!AD10)),IF(AND(s_Irr!F10&lt;&gt;".",s_Irr!AD10=".",s_Irr!BB10&lt;&gt;"."),s_dir!G10/((1/1000)*(s_Irr!F10+s_Irr!BB10)),IF(AND(s_Irr!F10=".",s_Irr!AD10&lt;&gt;".",s_Irr!BB10&lt;&gt;"."),s_dir!G10/((1/1000)*(s_Irr!AD10+s_Irr!BB10)),IF(AND(s_Irr!F10=".",s_Irr!AD10=".",s_Irr!BB10&lt;&gt;"."),s_dir!G10/((1/1000)*(s_Irr!BB10)),IF(AND(s_Irr!F10=".",s_Irr!AD10&lt;&gt;".",s_Irr!BB10="."),s_dir!G10/((1/1000)*(s_Irr!AD10)),IF(AND(s_Irr!F10&lt;&gt;".",s_Irr!AD10=".",s_Irr!BB10="."),s_dir!G10/((1/1000)*(s_Irr!F10)),IF(AND(s_Irr!F10=".",s_Irr!AD10=".",s_Irr!BB10="."),s_dir!G10*1000)))))))),".")</f>
        <v>803.25564999684684</v>
      </c>
      <c r="H10" s="76">
        <f>IFERROR(IF(AND(s_Irr!G10&lt;&gt;".",s_Irr!AE10&lt;&gt;".",s_Irr!BC10&lt;&gt;"."),s_dir!H10/((1/1000)*(s_Irr!G10+s_Irr!AE10+s_Irr!BC10)),IF(AND(s_Irr!G10&lt;&gt;".",s_Irr!AE10&lt;&gt;".",s_Irr!BC10="."),s_dir!H10/((1/1000)*(s_Irr!G10+s_Irr!AE10)),IF(AND(s_Irr!G10&lt;&gt;".",s_Irr!AE10=".",s_Irr!BC10&lt;&gt;"."),s_dir!H10/((1/1000)*(s_Irr!G10+s_Irr!BC10)),IF(AND(s_Irr!G10=".",s_Irr!AE10&lt;&gt;".",s_Irr!BC10&lt;&gt;"."),s_dir!H10/((1/1000)*(s_Irr!AE10+s_Irr!BC10)),IF(AND(s_Irr!G10=".",s_Irr!AE10=".",s_Irr!BC10&lt;&gt;"."),s_dir!H10/((1/1000)*(s_Irr!BC10)),IF(AND(s_Irr!G10=".",s_Irr!AE10&lt;&gt;".",s_Irr!BC10="."),s_dir!H10/((1/1000)*(s_Irr!AE10)),IF(AND(s_Irr!G10&lt;&gt;".",s_Irr!AE10=".",s_Irr!BC10="."),s_dir!H10/((1/1000)*(s_Irr!G10)),IF(AND(s_Irr!G10=".",s_Irr!AE10=".",s_Irr!BC10="."),s_dir!H10*1000)))))))),".")</f>
        <v>613.16919749809892</v>
      </c>
      <c r="I10" s="76">
        <f>IFERROR(IF(AND(s_Irr!H10&lt;&gt;".",s_Irr!AF10&lt;&gt;".",s_Irr!BD10&lt;&gt;"."),s_dir!I10/((1/1000)*(s_Irr!H10+s_Irr!AF10+s_Irr!BD10)),IF(AND(s_Irr!H10&lt;&gt;".",s_Irr!AF10&lt;&gt;".",s_Irr!BD10="."),s_dir!I10/((1/1000)*(s_Irr!H10+s_Irr!AF10)),IF(AND(s_Irr!H10&lt;&gt;".",s_Irr!AF10=".",s_Irr!BD10&lt;&gt;"."),s_dir!I10/((1/1000)*(s_Irr!H10+s_Irr!BD10)),IF(AND(s_Irr!H10=".",s_Irr!AF10&lt;&gt;".",s_Irr!BD10&lt;&gt;"."),s_dir!I10/((1/1000)*(s_Irr!AF10+s_Irr!BD10)),IF(AND(s_Irr!H10=".",s_Irr!AF10=".",s_Irr!BD10&lt;&gt;"."),s_dir!I10/((1/1000)*(s_Irr!BD10)),IF(AND(s_Irr!H10=".",s_Irr!AF10&lt;&gt;".",s_Irr!BD10="."),s_dir!I10/((1/1000)*(s_Irr!AF10)),IF(AND(s_Irr!H10&lt;&gt;".",s_Irr!AF10=".",s_Irr!BD10="."),s_dir!I10/((1/1000)*(s_Irr!H10)),IF(AND(s_Irr!H10=".",s_Irr!AF10=".",s_Irr!BD10="."),s_dir!I10*1000)))))))),".")</f>
        <v>411.98882257752092</v>
      </c>
      <c r="J10" s="76">
        <f>IFERROR(IF(AND(s_Irr!I10&lt;&gt;".",s_Irr!AG10&lt;&gt;".",s_Irr!BE10&lt;&gt;"."),s_dir!J10/((1/1000)*(s_Irr!I10+s_Irr!AG10+s_Irr!BE10)),IF(AND(s_Irr!I10&lt;&gt;".",s_Irr!AG10&lt;&gt;".",s_Irr!BE10="."),s_dir!J10/((1/1000)*(s_Irr!I10+s_Irr!AG10)),IF(AND(s_Irr!I10&lt;&gt;".",s_Irr!AG10=".",s_Irr!BE10&lt;&gt;"."),s_dir!J10/((1/1000)*(s_Irr!I10+s_Irr!BE10)),IF(AND(s_Irr!I10=".",s_Irr!AG10&lt;&gt;".",s_Irr!BE10&lt;&gt;"."),s_dir!J10/((1/1000)*(s_Irr!AG10+s_Irr!BE10)),IF(AND(s_Irr!I10=".",s_Irr!AG10=".",s_Irr!BE10&lt;&gt;"."),s_dir!J10/((1/1000)*(s_Irr!BE10)),IF(AND(s_Irr!I10=".",s_Irr!AG10&lt;&gt;".",s_Irr!BE10="."),s_dir!J10/((1/1000)*(s_Irr!AG10)),IF(AND(s_Irr!I10&lt;&gt;".",s_Irr!AG10=".",s_Irr!BE10="."),s_dir!J10/((1/1000)*(s_Irr!I10)),IF(AND(s_Irr!I10=".",s_Irr!AG10=".",s_Irr!BE10="."),s_dir!J10*1000)))))))),".")</f>
        <v>485.5097819812799</v>
      </c>
      <c r="K10" s="76">
        <f>IFERROR(IF(AND(s_Irr!J10&lt;&gt;".",s_Irr!AH10&lt;&gt;".",s_Irr!BF10&lt;&gt;"."),s_dir!K10/((1/1000)*(s_Irr!J10+s_Irr!AH10+s_Irr!BF10)),IF(AND(s_Irr!J10&lt;&gt;".",s_Irr!AH10&lt;&gt;".",s_Irr!BF10="."),s_dir!K10/((1/1000)*(s_Irr!J10+s_Irr!AH10)),IF(AND(s_Irr!J10&lt;&gt;".",s_Irr!AH10=".",s_Irr!BF10&lt;&gt;"."),s_dir!K10/((1/1000)*(s_Irr!J10+s_Irr!BF10)),IF(AND(s_Irr!J10=".",s_Irr!AH10&lt;&gt;".",s_Irr!BF10&lt;&gt;"."),s_dir!K10/((1/1000)*(s_Irr!AH10+s_Irr!BF10)),IF(AND(s_Irr!J10=".",s_Irr!AH10=".",s_Irr!BF10&lt;&gt;"."),s_dir!K10/((1/1000)*(s_Irr!BF10)),IF(AND(s_Irr!J10=".",s_Irr!AH10&lt;&gt;".",s_Irr!BF10="."),s_dir!K10/((1/1000)*(s_Irr!AH10)),IF(AND(s_Irr!J10&lt;&gt;".",s_Irr!AH10=".",s_Irr!BF10="."),s_dir!K10/((1/1000)*(s_Irr!J10)),IF(AND(s_Irr!J10=".",s_Irr!AH10=".",s_Irr!BF10="."),s_dir!K10*1000)))))))),".")</f>
        <v>757.29602934818149</v>
      </c>
      <c r="L10" s="76">
        <f>IFERROR(IF(AND(s_Irr!K10&lt;&gt;".",s_Irr!AI10&lt;&gt;".",s_Irr!BG10&lt;&gt;"."),s_dir!L10/((1/1000)*(s_Irr!K10+s_Irr!AI10+s_Irr!BG10)),IF(AND(s_Irr!K10&lt;&gt;".",s_Irr!AI10&lt;&gt;".",s_Irr!BG10="."),s_dir!L10/((1/1000)*(s_Irr!K10+s_Irr!AI10)),IF(AND(s_Irr!K10&lt;&gt;".",s_Irr!AI10=".",s_Irr!BG10&lt;&gt;"."),s_dir!L10/((1/1000)*(s_Irr!K10+s_Irr!BG10)),IF(AND(s_Irr!K10=".",s_Irr!AI10&lt;&gt;".",s_Irr!BG10&lt;&gt;"."),s_dir!L10/((1/1000)*(s_Irr!AI10+s_Irr!BG10)),IF(AND(s_Irr!K10=".",s_Irr!AI10=".",s_Irr!BG10&lt;&gt;"."),s_dir!L10/((1/1000)*(s_Irr!BG10)),IF(AND(s_Irr!K10=".",s_Irr!AI10&lt;&gt;".",s_Irr!BG10="."),s_dir!L10/((1/1000)*(s_Irr!AI10)),IF(AND(s_Irr!K10&lt;&gt;".",s_Irr!AI10=".",s_Irr!BG10="."),s_dir!L10/((1/1000)*(s_Irr!K10)),IF(AND(s_Irr!K10=".",s_Irr!AI10=".",s_Irr!BG10="."),s_dir!L10*1000)))))))),".")</f>
        <v>533.07434586472266</v>
      </c>
      <c r="M10" s="76">
        <f>IFERROR(IF(AND(s_Irr!L10&lt;&gt;".",s_Irr!AJ10&lt;&gt;".",s_Irr!BH10&lt;&gt;"."),s_dir!M10/((1/1000)*(s_Irr!L10+s_Irr!AJ10+s_Irr!BH10)),IF(AND(s_Irr!L10&lt;&gt;".",s_Irr!AJ10&lt;&gt;".",s_Irr!BH10="."),s_dir!M10/((1/1000)*(s_Irr!L10+s_Irr!AJ10)),IF(AND(s_Irr!L10&lt;&gt;".",s_Irr!AJ10=".",s_Irr!BH10&lt;&gt;"."),s_dir!M10/((1/1000)*(s_Irr!L10+s_Irr!BH10)),IF(AND(s_Irr!L10=".",s_Irr!AJ10&lt;&gt;".",s_Irr!BH10&lt;&gt;"."),s_dir!M10/((1/1000)*(s_Irr!AJ10+s_Irr!BH10)),IF(AND(s_Irr!L10=".",s_Irr!AJ10=".",s_Irr!BH10&lt;&gt;"."),s_dir!M10/((1/1000)*(s_Irr!BH10)),IF(AND(s_Irr!L10=".",s_Irr!AJ10&lt;&gt;".",s_Irr!BH10="."),s_dir!M10/((1/1000)*(s_Irr!AJ10)),IF(AND(s_Irr!L10&lt;&gt;".",s_Irr!AJ10=".",s_Irr!BH10="."),s_dir!M10/((1/1000)*(s_Irr!L10)),IF(AND(s_Irr!L10=".",s_Irr!AJ10=".",s_Irr!BH10="."),s_dir!M10*1000)))))))),".")</f>
        <v>613.16919749809892</v>
      </c>
      <c r="N10" s="76">
        <f>IFERROR(IF(AND(s_Irr!M10&lt;&gt;".",s_Irr!AK10&lt;&gt;".",s_Irr!BI10&lt;&gt;"."),s_dir!N10/((1/1000)*(s_Irr!M10+s_Irr!AK10+s_Irr!BI10)),IF(AND(s_Irr!M10&lt;&gt;".",s_Irr!AK10&lt;&gt;".",s_Irr!BI10="."),s_dir!N10/((1/1000)*(s_Irr!M10+s_Irr!AK10)),IF(AND(s_Irr!M10&lt;&gt;".",s_Irr!AK10=".",s_Irr!BI10&lt;&gt;"."),s_dir!N10/((1/1000)*(s_Irr!M10+s_Irr!BI10)),IF(AND(s_Irr!M10=".",s_Irr!AK10&lt;&gt;".",s_Irr!BI10&lt;&gt;"."),s_dir!N10/((1/1000)*(s_Irr!AK10+s_Irr!BI10)),IF(AND(s_Irr!M10=".",s_Irr!AK10=".",s_Irr!BI10&lt;&gt;"."),s_dir!N10/((1/1000)*(s_Irr!BI10)),IF(AND(s_Irr!M10=".",s_Irr!AK10&lt;&gt;".",s_Irr!BI10="."),s_dir!N10/((1/1000)*(s_Irr!AK10)),IF(AND(s_Irr!M10&lt;&gt;".",s_Irr!AK10=".",s_Irr!BI10="."),s_dir!N10/((1/1000)*(s_Irr!M10)),IF(AND(s_Irr!M10=".",s_Irr!AK10=".",s_Irr!BI10="."),s_dir!N10*1000)))))))),".")</f>
        <v>411.98882257752092</v>
      </c>
      <c r="O10" s="76">
        <f>IFERROR(IF(AND(s_Irr!N10&lt;&gt;".",s_Irr!AL10&lt;&gt;".",s_Irr!BJ10&lt;&gt;"."),s_dir!O10/((1/1000)*(s_Irr!N10+s_Irr!AL10+s_Irr!BJ10)),IF(AND(s_Irr!N10&lt;&gt;".",s_Irr!AL10&lt;&gt;".",s_Irr!BJ10="."),s_dir!O10/((1/1000)*(s_Irr!N10+s_Irr!AL10)),IF(AND(s_Irr!N10&lt;&gt;".",s_Irr!AL10=".",s_Irr!BJ10&lt;&gt;"."),s_dir!O10/((1/1000)*(s_Irr!N10+s_Irr!BJ10)),IF(AND(s_Irr!N10=".",s_Irr!AL10&lt;&gt;".",s_Irr!BJ10&lt;&gt;"."),s_dir!O10/((1/1000)*(s_Irr!AL10+s_Irr!BJ10)),IF(AND(s_Irr!N10=".",s_Irr!AL10=".",s_Irr!BJ10&lt;&gt;"."),s_dir!O10/((1/1000)*(s_Irr!BJ10)),IF(AND(s_Irr!N10=".",s_Irr!AL10&lt;&gt;".",s_Irr!BJ10="."),s_dir!O10/((1/1000)*(s_Irr!AL10)),IF(AND(s_Irr!N10&lt;&gt;".",s_Irr!AL10=".",s_Irr!BJ10="."),s_dir!O10/((1/1000)*(s_Irr!N10)),IF(AND(s_Irr!N10=".",s_Irr!AL10=".",s_Irr!BJ10="."),s_dir!O10*1000)))))))),".")</f>
        <v>495.33130869436241</v>
      </c>
      <c r="P10" s="76">
        <f>IFERROR(IF(AND(s_Irr!O10&lt;&gt;".",s_Irr!AM10&lt;&gt;".",s_Irr!BK10&lt;&gt;"."),s_dir!P10/((1/1000)*(s_Irr!O10+s_Irr!AM10+s_Irr!BK10)),IF(AND(s_Irr!O10&lt;&gt;".",s_Irr!AM10&lt;&gt;".",s_Irr!BK10="."),s_dir!P10/((1/1000)*(s_Irr!O10+s_Irr!AM10)),IF(AND(s_Irr!O10&lt;&gt;".",s_Irr!AM10=".",s_Irr!BK10&lt;&gt;"."),s_dir!P10/((1/1000)*(s_Irr!O10+s_Irr!BK10)),IF(AND(s_Irr!O10=".",s_Irr!AM10&lt;&gt;".",s_Irr!BK10&lt;&gt;"."),s_dir!P10/((1/1000)*(s_Irr!AM10+s_Irr!BK10)),IF(AND(s_Irr!O10=".",s_Irr!AM10=".",s_Irr!BK10&lt;&gt;"."),s_dir!P10/((1/1000)*(s_Irr!BK10)),IF(AND(s_Irr!O10=".",s_Irr!AM10&lt;&gt;".",s_Irr!BK10="."),s_dir!P10/((1/1000)*(s_Irr!AM10)),IF(AND(s_Irr!O10&lt;&gt;".",s_Irr!AM10=".",s_Irr!BK10="."),s_dir!P10/((1/1000)*(s_Irr!O10)),IF(AND(s_Irr!O10=".",s_Irr!AM10=".",s_Irr!BK10="."),s_dir!P10*1000)))))))),".")</f>
        <v>613.16919749809892</v>
      </c>
      <c r="Q10" s="76">
        <f>IFERROR(IF(AND(s_Irr!P10&lt;&gt;".",s_Irr!AN10&lt;&gt;".",s_Irr!BL10&lt;&gt;"."),s_dir!Q10/((1/1000)*(s_Irr!P10+s_Irr!AN10+s_Irr!BL10)),IF(AND(s_Irr!P10&lt;&gt;".",s_Irr!AN10&lt;&gt;".",s_Irr!BL10="."),s_dir!Q10/((1/1000)*(s_Irr!P10+s_Irr!AN10)),IF(AND(s_Irr!P10&lt;&gt;".",s_Irr!AN10=".",s_Irr!BL10&lt;&gt;"."),s_dir!Q10/((1/1000)*(s_Irr!P10+s_Irr!BL10)),IF(AND(s_Irr!P10=".",s_Irr!AN10&lt;&gt;".",s_Irr!BL10&lt;&gt;"."),s_dir!Q10/((1/1000)*(s_Irr!AN10+s_Irr!BL10)),IF(AND(s_Irr!P10=".",s_Irr!AN10=".",s_Irr!BL10&lt;&gt;"."),s_dir!Q10/((1/1000)*(s_Irr!BL10)),IF(AND(s_Irr!P10=".",s_Irr!AN10&lt;&gt;".",s_Irr!BL10="."),s_dir!Q10/((1/1000)*(s_Irr!AN10)),IF(AND(s_Irr!P10&lt;&gt;".",s_Irr!AN10=".",s_Irr!BL10="."),s_dir!Q10/((1/1000)*(s_Irr!P10)),IF(AND(s_Irr!P10=".",s_Irr!AN10=".",s_Irr!BL10="."),s_dir!Q10*1000)))))))),".")</f>
        <v>613.16919749809892</v>
      </c>
      <c r="R10" s="76">
        <f>IFERROR(IF(AND(s_Irr!Q10&lt;&gt;".",s_Irr!AO10&lt;&gt;".",s_Irr!BM10&lt;&gt;"."),s_dir!R10/((1/1000)*(s_Irr!Q10+s_Irr!AO10+s_Irr!BM10)),IF(AND(s_Irr!Q10&lt;&gt;".",s_Irr!AO10&lt;&gt;".",s_Irr!BM10="."),s_dir!R10/((1/1000)*(s_Irr!Q10+s_Irr!AO10)),IF(AND(s_Irr!Q10&lt;&gt;".",s_Irr!AO10=".",s_Irr!BM10&lt;&gt;"."),s_dir!R10/((1/1000)*(s_Irr!Q10+s_Irr!BM10)),IF(AND(s_Irr!Q10=".",s_Irr!AO10&lt;&gt;".",s_Irr!BM10&lt;&gt;"."),s_dir!R10/((1/1000)*(s_Irr!AO10+s_Irr!BM10)),IF(AND(s_Irr!Q10=".",s_Irr!AO10=".",s_Irr!BM10&lt;&gt;"."),s_dir!R10/((1/1000)*(s_Irr!BM10)),IF(AND(s_Irr!Q10=".",s_Irr!AO10&lt;&gt;".",s_Irr!BM10="."),s_dir!R10/((1/1000)*(s_Irr!AO10)),IF(AND(s_Irr!Q10&lt;&gt;".",s_Irr!AO10=".",s_Irr!BM10="."),s_dir!R10/((1/1000)*(s_Irr!Q10)),IF(AND(s_Irr!Q10=".",s_Irr!AO10=".",s_Irr!BM10="."),s_dir!R10*1000)))))))),".")</f>
        <v>757.29602934818149</v>
      </c>
      <c r="S10" s="76">
        <f>IFERROR(IF(AND(s_Irr!R10&lt;&gt;".",s_Irr!AP10&lt;&gt;".",s_Irr!BN10&lt;&gt;"."),s_dir!S10/((1/1000)*(s_Irr!R10+s_Irr!AP10+s_Irr!BN10)),IF(AND(s_Irr!R10&lt;&gt;".",s_Irr!AP10&lt;&gt;".",s_Irr!BN10="."),s_dir!S10/((1/1000)*(s_Irr!R10+s_Irr!AP10)),IF(AND(s_Irr!R10&lt;&gt;".",s_Irr!AP10=".",s_Irr!BN10&lt;&gt;"."),s_dir!S10/((1/1000)*(s_Irr!R10+s_Irr!BN10)),IF(AND(s_Irr!R10=".",s_Irr!AP10&lt;&gt;".",s_Irr!BN10&lt;&gt;"."),s_dir!S10/((1/1000)*(s_Irr!AP10+s_Irr!BN10)),IF(AND(s_Irr!R10=".",s_Irr!AP10=".",s_Irr!BN10&lt;&gt;"."),s_dir!S10/((1/1000)*(s_Irr!BN10)),IF(AND(s_Irr!R10=".",s_Irr!AP10&lt;&gt;".",s_Irr!BN10="."),s_dir!S10/((1/1000)*(s_Irr!AP10)),IF(AND(s_Irr!R10&lt;&gt;".",s_Irr!AP10=".",s_Irr!BN10="."),s_dir!S10/((1/1000)*(s_Irr!R10)),IF(AND(s_Irr!R10=".",s_Irr!AP10=".",s_Irr!BN10="."),s_dir!S10*1000)))))))),".")</f>
        <v>757.29602934818149</v>
      </c>
      <c r="T10" s="76">
        <f>IFERROR(IF(AND(s_Irr!S10&lt;&gt;".",s_Irr!AQ10&lt;&gt;".",s_Irr!BO10&lt;&gt;"."),s_dir!T10/((1/1000)*(s_Irr!S10+s_Irr!AQ10+s_Irr!BO10)),IF(AND(s_Irr!S10&lt;&gt;".",s_Irr!AQ10&lt;&gt;".",s_Irr!BO10="."),s_dir!T10/((1/1000)*(s_Irr!S10+s_Irr!AQ10)),IF(AND(s_Irr!S10&lt;&gt;".",s_Irr!AQ10=".",s_Irr!BO10&lt;&gt;"."),s_dir!T10/((1/1000)*(s_Irr!S10+s_Irr!BO10)),IF(AND(s_Irr!S10=".",s_Irr!AQ10&lt;&gt;".",s_Irr!BO10&lt;&gt;"."),s_dir!T10/((1/1000)*(s_Irr!AQ10+s_Irr!BO10)),IF(AND(s_Irr!S10=".",s_Irr!AQ10=".",s_Irr!BO10&lt;&gt;"."),s_dir!T10/((1/1000)*(s_Irr!BO10)),IF(AND(s_Irr!S10=".",s_Irr!AQ10&lt;&gt;".",s_Irr!BO10="."),s_dir!T10/((1/1000)*(s_Irr!AQ10)),IF(AND(s_Irr!S10&lt;&gt;".",s_Irr!AQ10=".",s_Irr!BO10="."),s_dir!T10/((1/1000)*(s_Irr!S10)),IF(AND(s_Irr!S10=".",s_Irr!AQ10=".",s_Irr!BO10="."),s_dir!T10*1000)))))))),".")</f>
        <v>495.33130869436241</v>
      </c>
      <c r="U10" s="76">
        <f>IFERROR(IF(AND(s_Irr!T10&lt;&gt;".",s_Irr!AR10&lt;&gt;".",s_Irr!BP10&lt;&gt;"."),s_dir!U10/((1/1000)*(s_Irr!T10+s_Irr!AR10+s_Irr!BP10)),IF(AND(s_Irr!T10&lt;&gt;".",s_Irr!AR10&lt;&gt;".",s_Irr!BP10="."),s_dir!U10/((1/1000)*(s_Irr!T10+s_Irr!AR10)),IF(AND(s_Irr!T10&lt;&gt;".",s_Irr!AR10=".",s_Irr!BP10&lt;&gt;"."),s_dir!U10/((1/1000)*(s_Irr!T10+s_Irr!BP10)),IF(AND(s_Irr!T10=".",s_Irr!AR10&lt;&gt;".",s_Irr!BP10&lt;&gt;"."),s_dir!U10/((1/1000)*(s_Irr!AR10+s_Irr!BP10)),IF(AND(s_Irr!T10=".",s_Irr!AR10=".",s_Irr!BP10&lt;&gt;"."),s_dir!U10/((1/1000)*(s_Irr!BP10)),IF(AND(s_Irr!T10=".",s_Irr!AR10&lt;&gt;".",s_Irr!BP10="."),s_dir!U10/((1/1000)*(s_Irr!AR10)),IF(AND(s_Irr!T10&lt;&gt;".",s_Irr!AR10=".",s_Irr!BP10="."),s_dir!U10/((1/1000)*(s_Irr!T10)),IF(AND(s_Irr!T10=".",s_Irr!AR10=".",s_Irr!BP10="."),s_dir!U10*1000)))))))),".")</f>
        <v>426.3355284017905</v>
      </c>
      <c r="V10" s="76">
        <f>IFERROR(IF(AND(s_Irr!U10&lt;&gt;".",s_Irr!AS10&lt;&gt;".",s_Irr!BQ10&lt;&gt;"."),s_dir!V10/((1/1000)*(s_Irr!U10+s_Irr!AS10+s_Irr!BQ10)),IF(AND(s_Irr!U10&lt;&gt;".",s_Irr!AS10&lt;&gt;".",s_Irr!BQ10="."),s_dir!V10/((1/1000)*(s_Irr!U10+s_Irr!AS10)),IF(AND(s_Irr!U10&lt;&gt;".",s_Irr!AS10=".",s_Irr!BQ10&lt;&gt;"."),s_dir!V10/((1/1000)*(s_Irr!U10+s_Irr!BQ10)),IF(AND(s_Irr!U10=".",s_Irr!AS10&lt;&gt;".",s_Irr!BQ10&lt;&gt;"."),s_dir!V10/((1/1000)*(s_Irr!AS10+s_Irr!BQ10)),IF(AND(s_Irr!U10=".",s_Irr!AS10=".",s_Irr!BQ10&lt;&gt;"."),s_dir!V10/((1/1000)*(s_Irr!BQ10)),IF(AND(s_Irr!U10=".",s_Irr!AS10&lt;&gt;".",s_Irr!BQ10="."),s_dir!V10/((1/1000)*(s_Irr!AS10)),IF(AND(s_Irr!U10&lt;&gt;".",s_Irr!AS10=".",s_Irr!BQ10="."),s_dir!V10/((1/1000)*(s_Irr!U10)),IF(AND(s_Irr!U10=".",s_Irr!AS10=".",s_Irr!BQ10="."),s_dir!V10*1000)))))))),".")</f>
        <v>613.16919749809892</v>
      </c>
      <c r="W10" s="76">
        <f>IFERROR(IF(AND(s_Irr!V10&lt;&gt;".",s_Irr!AT10&lt;&gt;".",s_Irr!BR10&lt;&gt;"."),s_dir!W10/((1/1000)*(s_Irr!V10+s_Irr!AT10+s_Irr!BR10)),IF(AND(s_Irr!V10&lt;&gt;".",s_Irr!AT10&lt;&gt;".",s_Irr!BR10="."),s_dir!W10/((1/1000)*(s_Irr!V10+s_Irr!AT10)),IF(AND(s_Irr!V10&lt;&gt;".",s_Irr!AT10=".",s_Irr!BR10&lt;&gt;"."),s_dir!W10/((1/1000)*(s_Irr!V10+s_Irr!BR10)),IF(AND(s_Irr!V10=".",s_Irr!AT10&lt;&gt;".",s_Irr!BR10&lt;&gt;"."),s_dir!W10/((1/1000)*(s_Irr!AT10+s_Irr!BR10)),IF(AND(s_Irr!V10=".",s_Irr!AT10=".",s_Irr!BR10&lt;&gt;"."),s_dir!W10/((1/1000)*(s_Irr!BR10)),IF(AND(s_Irr!V10=".",s_Irr!AT10&lt;&gt;".",s_Irr!BR10="."),s_dir!W10/((1/1000)*(s_Irr!AT10)),IF(AND(s_Irr!V10&lt;&gt;".",s_Irr!AT10=".",s_Irr!BR10="."),s_dir!W10/((1/1000)*(s_Irr!V10)),IF(AND(s_Irr!V10=".",s_Irr!AT10=".",s_Irr!BR10="."),s_dir!W10*1000)))))))),".")</f>
        <v>495.33130869436241</v>
      </c>
      <c r="X10" s="76">
        <f>IFERROR(IF(AND(s_Irr!W10&lt;&gt;".",s_Irr!AU10&lt;&gt;".",s_Irr!BS10&lt;&gt;"."),s_dir!X10/((1/1000)*(s_Irr!W10+s_Irr!AU10+s_Irr!BS10)),IF(AND(s_Irr!W10&lt;&gt;".",s_Irr!AU10&lt;&gt;".",s_Irr!BS10="."),s_dir!X10/((1/1000)*(s_Irr!W10+s_Irr!AU10)),IF(AND(s_Irr!W10&lt;&gt;".",s_Irr!AU10=".",s_Irr!BS10&lt;&gt;"."),s_dir!X10/((1/1000)*(s_Irr!W10+s_Irr!BS10)),IF(AND(s_Irr!W10=".",s_Irr!AU10&lt;&gt;".",s_Irr!BS10&lt;&gt;"."),s_dir!X10/((1/1000)*(s_Irr!AU10+s_Irr!BS10)),IF(AND(s_Irr!W10=".",s_Irr!AU10=".",s_Irr!BS10&lt;&gt;"."),s_dir!X10/((1/1000)*(s_Irr!BS10)),IF(AND(s_Irr!W10=".",s_Irr!AU10&lt;&gt;".",s_Irr!BS10="."),s_dir!X10/((1/1000)*(s_Irr!AU10)),IF(AND(s_Irr!W10&lt;&gt;".",s_Irr!AU10=".",s_Irr!BS10="."),s_dir!X10/((1/1000)*(s_Irr!W10)),IF(AND(s_Irr!W10=".",s_Irr!AU10=".",s_Irr!BS10="."),s_dir!X10*1000)))))))),".")</f>
        <v>792.85187204389069</v>
      </c>
      <c r="Y10" s="76">
        <f>IFERROR(IF(AND(s_Irr!X10&lt;&gt;".",s_Irr!AV10&lt;&gt;".",s_Irr!BT10&lt;&gt;"."),s_dir!Y10/((1/1000)*(s_Irr!X10+s_Irr!AV10+s_Irr!BT10)),IF(AND(s_Irr!X10&lt;&gt;".",s_Irr!AV10&lt;&gt;".",s_Irr!BT10="."),s_dir!Y10/((1/1000)*(s_Irr!X10+s_Irr!AV10)),IF(AND(s_Irr!X10&lt;&gt;".",s_Irr!AV10=".",s_Irr!BT10&lt;&gt;"."),s_dir!Y10/((1/1000)*(s_Irr!X10+s_Irr!BT10)),IF(AND(s_Irr!X10=".",s_Irr!AV10&lt;&gt;".",s_Irr!BT10&lt;&gt;"."),s_dir!Y10/((1/1000)*(s_Irr!AV10+s_Irr!BT10)),IF(AND(s_Irr!X10=".",s_Irr!AV10=".",s_Irr!BT10&lt;&gt;"."),s_dir!Y10/((1/1000)*(s_Irr!BT10)),IF(AND(s_Irr!X10=".",s_Irr!AV10&lt;&gt;".",s_Irr!BT10="."),s_dir!Y10/((1/1000)*(s_Irr!AV10)),IF(AND(s_Irr!X10&lt;&gt;".",s_Irr!AV10=".",s_Irr!BT10="."),s_dir!Y10/((1/1000)*(s_Irr!X10)),IF(AND(s_Irr!X10=".",s_Irr!AV10=".",s_Irr!BT10="."),s_dir!Y10*1000)))))))),".")</f>
        <v>613.16919749809892</v>
      </c>
      <c r="Z10" s="76">
        <f>IFERROR(IF(AND(s_Irr!Y10&lt;&gt;".",s_Irr!AW10&lt;&gt;".",s_Irr!BU10&lt;&gt;"."),s_dir!Z10/((1/1000)*(s_Irr!Y10+s_Irr!AW10+s_Irr!BU10)),IF(AND(s_Irr!Y10&lt;&gt;".",s_Irr!AW10&lt;&gt;".",s_Irr!BU10="."),s_dir!Z10/((1/1000)*(s_Irr!Y10+s_Irr!AW10)),IF(AND(s_Irr!Y10&lt;&gt;".",s_Irr!AW10=".",s_Irr!BU10&lt;&gt;"."),s_dir!Z10/((1/1000)*(s_Irr!Y10+s_Irr!BU10)),IF(AND(s_Irr!Y10=".",s_Irr!AW10&lt;&gt;".",s_Irr!BU10&lt;&gt;"."),s_dir!Z10/((1/1000)*(s_Irr!AW10+s_Irr!BU10)),IF(AND(s_Irr!Y10=".",s_Irr!AW10=".",s_Irr!BU10&lt;&gt;"."),s_dir!Z10/((1/1000)*(s_Irr!BU10)),IF(AND(s_Irr!Y10=".",s_Irr!AW10&lt;&gt;".",s_Irr!BU10="."),s_dir!Z10/((1/1000)*(s_Irr!AW10)),IF(AND(s_Irr!Y10&lt;&gt;".",s_Irr!AW10=".",s_Irr!BU10="."),s_dir!Z10/((1/1000)*(s_Irr!Y10)),IF(AND(s_Irr!Y10=".",s_Irr!AW10=".",s_Irr!BU10="."),s_dir!Z10*1000)))))))),".")</f>
        <v>821.72084519019847</v>
      </c>
      <c r="AA10" s="76">
        <f>IFERROR(IF(AND(s_Irr!Z10&lt;&gt;".",s_Irr!AX10&lt;&gt;".",s_Irr!BV10&lt;&gt;"."),s_dir!AA10/((1/1000)*(s_Irr!Z10+s_Irr!AX10+s_Irr!BV10)),IF(AND(s_Irr!Z10&lt;&gt;".",s_Irr!AX10&lt;&gt;".",s_Irr!BV10="."),s_dir!AA10/((1/1000)*(s_Irr!Z10+s_Irr!AX10)),IF(AND(s_Irr!Z10&lt;&gt;".",s_Irr!AX10=".",s_Irr!BV10&lt;&gt;"."),s_dir!AA10/((1/1000)*(s_Irr!Z10+s_Irr!BV10)),IF(AND(s_Irr!Z10=".",s_Irr!AX10&lt;&gt;".",s_Irr!BV10&lt;&gt;"."),s_dir!AA10/((1/1000)*(s_Irr!AX10+s_Irr!BV10)),IF(AND(s_Irr!Z10=".",s_Irr!AX10=".",s_Irr!BV10&lt;&gt;"."),s_dir!AA10/((1/1000)*(s_Irr!BV10)),IF(AND(s_Irr!Z10=".",s_Irr!AX10&lt;&gt;".",s_Irr!BV10="."),s_dir!AA10/((1/1000)*(s_Irr!AX10)),IF(AND(s_Irr!Z10&lt;&gt;".",s_Irr!AX10=".",s_Irr!BV10="."),s_dir!AA10/((1/1000)*(s_Irr!Z10)),IF(AND(s_Irr!Z10=".",s_Irr!AX10=".",s_Irr!BV10="."),s_dir!AA10*1000)))))))),".")</f>
        <v>557.34182423975233</v>
      </c>
      <c r="AB10" s="93">
        <f>SUM(AC10:AD10,AY10:AZ10)</f>
        <v>904.32529165997414</v>
      </c>
      <c r="AC10" s="93">
        <f>IFERROR(s_C*s_IFAP_res_adj*s_CF_apple*0.001*(s_Irr!C10+s_Irr!AA10+s_Irr!AY10),".")</f>
        <v>176.67749244016957</v>
      </c>
      <c r="AD10" s="93">
        <f>IFERROR(s_C*s_IFAS_res_adj*s_CF_asparagus*0.001*(s_Irr!D10+s_Irr!AB10+s_Irr!AZ10),".")</f>
        <v>324.7592074538822</v>
      </c>
      <c r="AE10" s="93">
        <f>IFERROR(s_C*s_IFBT_res_adj*s_CF_beet*0.001*(s_Irr!E10+s_Irr!AC10+s_Irr!BA10),".")</f>
        <v>275.58077811353479</v>
      </c>
      <c r="AF10" s="93">
        <f>IFERROR(s_C*s_IFBE_res_adj*s_CF_berries*0.001*(s_Irr!F10+s_Irr!AD10+s_Irr!BB10),".")</f>
        <v>166.56859307576485</v>
      </c>
      <c r="AG10" s="93">
        <f>IFERROR(s_C*s_IFBR_res_adj*s_CF_broccoli*0.001*(s_Irr!G10+s_Irr!AE10+s_Irr!BC10),".")</f>
        <v>218.20594388312955</v>
      </c>
      <c r="AH10" s="93">
        <f>IFERROR(s_C*s_IFCB_res_adj*s_CF_cabbage*0.001*(s_Irr!H10+s_Irr!AF10+s_Irr!BD10),".")</f>
        <v>324.7592074538822</v>
      </c>
      <c r="AI10" s="93">
        <f>IFERROR(s_C*s_IFCR_res_adj*s_CF_carrot*0.001*(s_Irr!I10+s_Irr!AG10+s_Irr!BE10),".")</f>
        <v>275.58077811353479</v>
      </c>
      <c r="AJ10" s="93">
        <f>IFERROR(s_C*s_IFCI_res_adj*s_CF_citrus*0.001*(s_Irr!J10+s_Irr!AH10+s_Irr!BF10),".")</f>
        <v>176.67749244016957</v>
      </c>
      <c r="AK10" s="93">
        <f>IFERROR(s_C*s_IFCO_res_adj*s_CF_corn*0.001*(s_Irr!K10+s_Irr!AI10+s_Irr!BG10),".")</f>
        <v>250.99156344336112</v>
      </c>
      <c r="AL10" s="93">
        <f>IFERROR(s_C*s_IFCU_res_adj*s_CF_cucumber*0.001*(s_Irr!L10+s_Irr!AJ10+s_Irr!BH10),".")</f>
        <v>218.20594388312955</v>
      </c>
      <c r="AM10" s="93">
        <f>IFERROR(s_C*s_IFLE_res_adj*s_CF_lettuce*0.001*(s_Irr!M10+s_Irr!AK10+s_Irr!BI10),".")</f>
        <v>324.7592074538822</v>
      </c>
      <c r="AN10" s="93">
        <f>IFERROR(s_C*s_IFLI_res_adj*s_CF_lima_bean*0.001*(s_Irr!N10+s_Irr!AL10+s_Irr!BJ10),".")</f>
        <v>270.11650818682961</v>
      </c>
      <c r="AO10" s="93">
        <f>IFERROR(s_C*s_IFOK_res_adj*s_CF_okra*0.001*(s_Irr!O10+s_Irr!AM10+s_Irr!BK10),".")</f>
        <v>218.20594388312955</v>
      </c>
      <c r="AP10" s="93">
        <f>IFERROR(s_C*s_IFON_res_adj*s_CF_onion*0.001*(s_Irr!P10+s_Irr!AN10+s_Irr!BL10),".")</f>
        <v>218.20594388312955</v>
      </c>
      <c r="AQ10" s="93">
        <f>IFERROR(s_C*s_IFPC_res_adj*s_CF_peach*0.001*(s_Irr!Q10+s_Irr!AO10+s_Irr!BM10),".")</f>
        <v>176.67749244016957</v>
      </c>
      <c r="AR10" s="93">
        <f>IFERROR(s_C*s_IFPR_res_adj*s_CF_pear*0.001*(s_Irr!R10+s_Irr!AP10+s_Irr!BN10),".")</f>
        <v>176.67749244016957</v>
      </c>
      <c r="AS10" s="93">
        <f>IFERROR(s_C*s_IFPE_res_adj*s_CF_peas*0.001*(s_Irr!S10+s_Irr!AQ10+s_Irr!BO10),".")</f>
        <v>270.11650818682961</v>
      </c>
      <c r="AT10" s="93">
        <f>IFERROR(s_C*s_IFPT_res_adj*s_CF_potato*0.001*(s_Irr!T10+s_Irr!AR10+s_Irr!BP10),".")</f>
        <v>313.83066760047166</v>
      </c>
      <c r="AU10" s="93">
        <f>IFERROR(s_C*s_IFPU_res_adj*s_CF_pumpkin*0.001*(s_Irr!U10+s_Irr!AS10+s_Irr!BQ10),".")</f>
        <v>218.20594388312955</v>
      </c>
      <c r="AV10" s="93">
        <f>IFERROR(s_C*s_IFSN_res_adj*s_CF_snap_bean*0.001*(s_Irr!V10+s_Irr!AT10+s_Irr!BR10),".")</f>
        <v>270.11650818682961</v>
      </c>
      <c r="AW10" s="93">
        <f>IFERROR(s_C*s_IFST_res_adj*s_CF_strawberry*0.001*(s_Irr!W10+s_Irr!AU10+s_Irr!BS10),".")</f>
        <v>168.75430104644695</v>
      </c>
      <c r="AX10" s="93">
        <f>IFERROR(s_C*s_IFTO_res_adj*s_CF_tomato*0.001*(s_Irr!X10+s_Irr!AV10+s_Irr!BT10),".")</f>
        <v>218.20594388312955</v>
      </c>
      <c r="AY10" s="93">
        <f>IFERROR(s_C*s_IFRI_res_adj*s_CF_rice*0.001*(s_Irr!Y10+s_Irr!AW10+s_Irr!BU10),".")</f>
        <v>162.82556817597174</v>
      </c>
      <c r="AZ10" s="93">
        <f>IFERROR(s_C*s_IFCG_res_adj*s_CF_cereal*0.001*(s_Irr!Z10+s_Irr!AX10+s_Irr!BV10),".")</f>
        <v>240.06302358995057</v>
      </c>
      <c r="BA10" s="76">
        <f t="shared" ref="BA10" si="11">IFERROR(1/SUM(1/BB10,1/BC10,1/BX10,1/BY10),".")</f>
        <v>147.95247322402815</v>
      </c>
      <c r="BB10" s="76">
        <f>IFERROR(IF(AND(s_Irr!C10&lt;&gt;".",s_Irr!AA10&lt;&gt;".",s_Irr!AY10&lt;&gt;"."),s_dir!AC10/((1/1000)*(s_Irr!C10+s_Irr!AA10+s_Irr!AY10)),IF(AND(s_Irr!C10&lt;&gt;".",s_Irr!AA10&lt;&gt;".",s_Irr!AY10="."),s_dir!AC10/((1/1000)*(s_Irr!C10+s_Irr!AA10)),IF(AND(s_Irr!C10&lt;&gt;".",s_Irr!AA10=".",s_Irr!AY10&lt;&gt;"."),s_dir!AC10/((1/1000)*(s_Irr!C10+s_Irr!AY10)),IF(AND(s_Irr!C10=".",s_Irr!AA10&lt;&gt;".",s_Irr!AY10&lt;&gt;"."),s_dir!AC10/((1/1000)*(s_Irr!AA10+s_Irr!AY10)),IF(AND(s_Irr!C10=".",s_Irr!AA10=".",s_Irr!AY10&lt;&gt;"."),s_dir!AC10/((1/1000)*(s_Irr!AY10)),IF(AND(s_Irr!C10=".",s_Irr!AA10&lt;&gt;".",s_Irr!AY10="."),s_dir!AC10/((1/1000)*(s_Irr!AA10)),IF(AND(s_Irr!C10&lt;&gt;".",s_Irr!AA10=".",s_Irr!AY10="."),s_dir!AC10/((1/1000)*(s_Irr!C10)),IF(AND(s_Irr!C10=".",s_Irr!AA10=".",s_Irr!AY10="."),s_dir!AC10*1000)))))))),".")</f>
        <v>757.29602934818149</v>
      </c>
      <c r="BC10" s="76">
        <f>IFERROR(IF(AND(s_Irr!D10&lt;&gt;".",s_Irr!AB10&lt;&gt;".",s_Irr!AZ10&lt;&gt;"."),s_dir!AD10/((1/1000)*(s_Irr!D10+s_Irr!AB10+s_Irr!AZ10)),IF(AND(s_Irr!D10&lt;&gt;".",s_Irr!AB10&lt;&gt;".",s_Irr!AZ10="."),s_dir!AD10/((1/1000)*(s_Irr!D10+s_Irr!AB10)),IF(AND(s_Irr!D10&lt;&gt;".",s_Irr!AB10=".",s_Irr!AZ10&lt;&gt;"."),s_dir!AD10/((1/1000)*(s_Irr!D10+s_Irr!AZ10)),IF(AND(s_Irr!D10=".",s_Irr!AB10&lt;&gt;".",s_Irr!AZ10&lt;&gt;"."),s_dir!AD10/((1/1000)*(s_Irr!AB10+s_Irr!AZ10)),IF(AND(s_Irr!D10=".",s_Irr!AB10=".",s_Irr!AZ10&lt;&gt;"."),s_dir!AD10/((1/1000)*(s_Irr!AZ10)),IF(AND(s_Irr!D10=".",s_Irr!AB10&lt;&gt;".",s_Irr!AZ10="."),s_dir!AD10/((1/1000)*(s_Irr!AB10)),IF(AND(s_Irr!D10&lt;&gt;".",s_Irr!AB10=".",s_Irr!AZ10="."),s_dir!AD10/((1/1000)*(s_Irr!D10)),IF(AND(s_Irr!D10=".",s_Irr!AB10=".",s_Irr!AZ10="."),s_dir!AD10*1000)))))))),".")</f>
        <v>411.98882257752092</v>
      </c>
      <c r="BD10" s="76">
        <f>IFERROR(IF(AND(s_Irr!E10&lt;&gt;".",s_Irr!AC10&lt;&gt;".",s_Irr!BA10&lt;&gt;"."),s_dir!AE10/((1/1000)*(s_Irr!E10+s_Irr!AC10+s_Irr!BA10)),IF(AND(s_Irr!E10&lt;&gt;".",s_Irr!AC10&lt;&gt;".",s_Irr!BA10="."),s_dir!AE10/((1/1000)*(s_Irr!E10+s_Irr!AC10)),IF(AND(s_Irr!E10&lt;&gt;".",s_Irr!AC10=".",s_Irr!BA10&lt;&gt;"."),s_dir!AE10/((1/1000)*(s_Irr!E10+s_Irr!BA10)),IF(AND(s_Irr!E10=".",s_Irr!AC10&lt;&gt;".",s_Irr!BA10&lt;&gt;"."),s_dir!AE10/((1/1000)*(s_Irr!AC10+s_Irr!BA10)),IF(AND(s_Irr!E10=".",s_Irr!AC10=".",s_Irr!BA10&lt;&gt;"."),s_dir!AE10/((1/1000)*(s_Irr!BA10)),IF(AND(s_Irr!E10=".",s_Irr!AC10&lt;&gt;".",s_Irr!BA10="."),s_dir!AE10/((1/1000)*(s_Irr!AC10)),IF(AND(s_Irr!E10&lt;&gt;".",s_Irr!AC10=".",s_Irr!BA10="."),s_dir!AE10/((1/1000)*(s_Irr!E10)),IF(AND(s_Irr!E10=".",s_Irr!AC10=".",s_Irr!BA10="."),s_dir!AE10*1000)))))))),".")</f>
        <v>485.5097819812799</v>
      </c>
      <c r="BE10" s="76">
        <f>IFERROR(IF(AND(s_Irr!F10&lt;&gt;".",s_Irr!AD10&lt;&gt;".",s_Irr!BB10&lt;&gt;"."),s_dir!AF10/((1/1000)*(s_Irr!F10+s_Irr!AD10+s_Irr!BB10)),IF(AND(s_Irr!F10&lt;&gt;".",s_Irr!AD10&lt;&gt;".",s_Irr!BB10="."),s_dir!AF10/((1/1000)*(s_Irr!F10+s_Irr!AD10)),IF(AND(s_Irr!F10&lt;&gt;".",s_Irr!AD10=".",s_Irr!BB10&lt;&gt;"."),s_dir!AF10/((1/1000)*(s_Irr!F10+s_Irr!BB10)),IF(AND(s_Irr!F10=".",s_Irr!AD10&lt;&gt;".",s_Irr!BB10&lt;&gt;"."),s_dir!AF10/((1/1000)*(s_Irr!AD10+s_Irr!BB10)),IF(AND(s_Irr!F10=".",s_Irr!AD10=".",s_Irr!BB10&lt;&gt;"."),s_dir!AF10/((1/1000)*(s_Irr!BB10)),IF(AND(s_Irr!F10=".",s_Irr!AD10&lt;&gt;".",s_Irr!BB10="."),s_dir!AF10/((1/1000)*(s_Irr!AD10)),IF(AND(s_Irr!F10&lt;&gt;".",s_Irr!AD10=".",s_Irr!BB10="."),s_dir!AF10/((1/1000)*(s_Irr!F10)),IF(AND(s_Irr!F10=".",s_Irr!AD10=".",s_Irr!BB10="."),s_dir!AF10*1000)))))))),".")</f>
        <v>803.25564999684684</v>
      </c>
      <c r="BF10" s="76">
        <f>IFERROR(IF(AND(s_Irr!G10&lt;&gt;".",s_Irr!AE10&lt;&gt;".",s_Irr!BC10&lt;&gt;"."),s_dir!AG10/((1/1000)*(s_Irr!G10+s_Irr!AE10+s_Irr!BC10)),IF(AND(s_Irr!G10&lt;&gt;".",s_Irr!AE10&lt;&gt;".",s_Irr!BC10="."),s_dir!AG10/((1/1000)*(s_Irr!G10+s_Irr!AE10)),IF(AND(s_Irr!G10&lt;&gt;".",s_Irr!AE10=".",s_Irr!BC10&lt;&gt;"."),s_dir!AG10/((1/1000)*(s_Irr!G10+s_Irr!BC10)),IF(AND(s_Irr!G10=".",s_Irr!AE10&lt;&gt;".",s_Irr!BC10&lt;&gt;"."),s_dir!AG10/((1/1000)*(s_Irr!AE10+s_Irr!BC10)),IF(AND(s_Irr!G10=".",s_Irr!AE10=".",s_Irr!BC10&lt;&gt;"."),s_dir!AG10/((1/1000)*(s_Irr!BC10)),IF(AND(s_Irr!G10=".",s_Irr!AE10&lt;&gt;".",s_Irr!BC10="."),s_dir!AG10/((1/1000)*(s_Irr!AE10)),IF(AND(s_Irr!G10&lt;&gt;".",s_Irr!AE10=".",s_Irr!BC10="."),s_dir!AG10/((1/1000)*(s_Irr!G10)),IF(AND(s_Irr!G10=".",s_Irr!AE10=".",s_Irr!BC10="."),s_dir!AG10*1000)))))))),".")</f>
        <v>613.16919749809892</v>
      </c>
      <c r="BG10" s="76">
        <f>IFERROR(IF(AND(s_Irr!H10&lt;&gt;".",s_Irr!AF10&lt;&gt;".",s_Irr!BD10&lt;&gt;"."),s_dir!AH10/((1/1000)*(s_Irr!H10+s_Irr!AF10+s_Irr!BD10)),IF(AND(s_Irr!H10&lt;&gt;".",s_Irr!AF10&lt;&gt;".",s_Irr!BD10="."),s_dir!AH10/((1/1000)*(s_Irr!H10+s_Irr!AF10)),IF(AND(s_Irr!H10&lt;&gt;".",s_Irr!AF10=".",s_Irr!BD10&lt;&gt;"."),s_dir!AH10/((1/1000)*(s_Irr!H10+s_Irr!BD10)),IF(AND(s_Irr!H10=".",s_Irr!AF10&lt;&gt;".",s_Irr!BD10&lt;&gt;"."),s_dir!AH10/((1/1000)*(s_Irr!AF10+s_Irr!BD10)),IF(AND(s_Irr!H10=".",s_Irr!AF10=".",s_Irr!BD10&lt;&gt;"."),s_dir!AH10/((1/1000)*(s_Irr!BD10)),IF(AND(s_Irr!H10=".",s_Irr!AF10&lt;&gt;".",s_Irr!BD10="."),s_dir!AH10/((1/1000)*(s_Irr!AF10)),IF(AND(s_Irr!H10&lt;&gt;".",s_Irr!AF10=".",s_Irr!BD10="."),s_dir!AH10/((1/1000)*(s_Irr!H10)),IF(AND(s_Irr!H10=".",s_Irr!AF10=".",s_Irr!BD10="."),s_dir!AH10*1000)))))))),".")</f>
        <v>411.98882257752092</v>
      </c>
      <c r="BH10" s="76">
        <f>IFERROR(IF(AND(s_Irr!I10&lt;&gt;".",s_Irr!AG10&lt;&gt;".",s_Irr!BE10&lt;&gt;"."),s_dir!AI10/((1/1000)*(s_Irr!I10+s_Irr!AG10+s_Irr!BE10)),IF(AND(s_Irr!I10&lt;&gt;".",s_Irr!AG10&lt;&gt;".",s_Irr!BE10="."),s_dir!AI10/((1/1000)*(s_Irr!I10+s_Irr!AG10)),IF(AND(s_Irr!I10&lt;&gt;".",s_Irr!AG10=".",s_Irr!BE10&lt;&gt;"."),s_dir!AI10/((1/1000)*(s_Irr!I10+s_Irr!BE10)),IF(AND(s_Irr!I10=".",s_Irr!AG10&lt;&gt;".",s_Irr!BE10&lt;&gt;"."),s_dir!AI10/((1/1000)*(s_Irr!AG10+s_Irr!BE10)),IF(AND(s_Irr!I10=".",s_Irr!AG10=".",s_Irr!BE10&lt;&gt;"."),s_dir!AI10/((1/1000)*(s_Irr!BE10)),IF(AND(s_Irr!I10=".",s_Irr!AG10&lt;&gt;".",s_Irr!BE10="."),s_dir!AI10/((1/1000)*(s_Irr!AG10)),IF(AND(s_Irr!I10&lt;&gt;".",s_Irr!AG10=".",s_Irr!BE10="."),s_dir!AI10/((1/1000)*(s_Irr!I10)),IF(AND(s_Irr!I10=".",s_Irr!AG10=".",s_Irr!BE10="."),s_dir!AI10*1000)))))))),".")</f>
        <v>485.5097819812799</v>
      </c>
      <c r="BI10" s="76">
        <f>IFERROR(IF(AND(s_Irr!J10&lt;&gt;".",s_Irr!AH10&lt;&gt;".",s_Irr!BF10&lt;&gt;"."),s_dir!AJ10/((1/1000)*(s_Irr!J10+s_Irr!AH10+s_Irr!BF10)),IF(AND(s_Irr!J10&lt;&gt;".",s_Irr!AH10&lt;&gt;".",s_Irr!BF10="."),s_dir!AJ10/((1/1000)*(s_Irr!J10+s_Irr!AH10)),IF(AND(s_Irr!J10&lt;&gt;".",s_Irr!AH10=".",s_Irr!BF10&lt;&gt;"."),s_dir!AJ10/((1/1000)*(s_Irr!J10+s_Irr!BF10)),IF(AND(s_Irr!J10=".",s_Irr!AH10&lt;&gt;".",s_Irr!BF10&lt;&gt;"."),s_dir!AJ10/((1/1000)*(s_Irr!AH10+s_Irr!BF10)),IF(AND(s_Irr!J10=".",s_Irr!AH10=".",s_Irr!BF10&lt;&gt;"."),s_dir!AJ10/((1/1000)*(s_Irr!BF10)),IF(AND(s_Irr!J10=".",s_Irr!AH10&lt;&gt;".",s_Irr!BF10="."),s_dir!AJ10/((1/1000)*(s_Irr!AH10)),IF(AND(s_Irr!J10&lt;&gt;".",s_Irr!AH10=".",s_Irr!BF10="."),s_dir!AJ10/((1/1000)*(s_Irr!J10)),IF(AND(s_Irr!J10=".",s_Irr!AH10=".",s_Irr!BF10="."),s_dir!AJ10*1000)))))))),".")</f>
        <v>757.29602934818149</v>
      </c>
      <c r="BJ10" s="76">
        <f>IFERROR(IF(AND(s_Irr!K10&lt;&gt;".",s_Irr!AI10&lt;&gt;".",s_Irr!BG10&lt;&gt;"."),s_dir!AK10/((1/1000)*(s_Irr!K10+s_Irr!AI10+s_Irr!BG10)),IF(AND(s_Irr!K10&lt;&gt;".",s_Irr!AI10&lt;&gt;".",s_Irr!BG10="."),s_dir!AK10/((1/1000)*(s_Irr!K10+s_Irr!AI10)),IF(AND(s_Irr!K10&lt;&gt;".",s_Irr!AI10=".",s_Irr!BG10&lt;&gt;"."),s_dir!AK10/((1/1000)*(s_Irr!K10+s_Irr!BG10)),IF(AND(s_Irr!K10=".",s_Irr!AI10&lt;&gt;".",s_Irr!BG10&lt;&gt;"."),s_dir!AK10/((1/1000)*(s_Irr!AI10+s_Irr!BG10)),IF(AND(s_Irr!K10=".",s_Irr!AI10=".",s_Irr!BG10&lt;&gt;"."),s_dir!AK10/((1/1000)*(s_Irr!BG10)),IF(AND(s_Irr!K10=".",s_Irr!AI10&lt;&gt;".",s_Irr!BG10="."),s_dir!AK10/((1/1000)*(s_Irr!AI10)),IF(AND(s_Irr!K10&lt;&gt;".",s_Irr!AI10=".",s_Irr!BG10="."),s_dir!AK10/((1/1000)*(s_Irr!K10)),IF(AND(s_Irr!K10=".",s_Irr!AI10=".",s_Irr!BG10="."),s_dir!AK10*1000)))))))),".")</f>
        <v>533.07434586472266</v>
      </c>
      <c r="BK10" s="76">
        <f>IFERROR(IF(AND(s_Irr!L10&lt;&gt;".",s_Irr!AJ10&lt;&gt;".",s_Irr!BH10&lt;&gt;"."),s_dir!AL10/((1/1000)*(s_Irr!L10+s_Irr!AJ10+s_Irr!BH10)),IF(AND(s_Irr!L10&lt;&gt;".",s_Irr!AJ10&lt;&gt;".",s_Irr!BH10="."),s_dir!AL10/((1/1000)*(s_Irr!L10+s_Irr!AJ10)),IF(AND(s_Irr!L10&lt;&gt;".",s_Irr!AJ10=".",s_Irr!BH10&lt;&gt;"."),s_dir!AL10/((1/1000)*(s_Irr!L10+s_Irr!BH10)),IF(AND(s_Irr!L10=".",s_Irr!AJ10&lt;&gt;".",s_Irr!BH10&lt;&gt;"."),s_dir!AL10/((1/1000)*(s_Irr!AJ10+s_Irr!BH10)),IF(AND(s_Irr!L10=".",s_Irr!AJ10=".",s_Irr!BH10&lt;&gt;"."),s_dir!AL10/((1/1000)*(s_Irr!BH10)),IF(AND(s_Irr!L10=".",s_Irr!AJ10&lt;&gt;".",s_Irr!BH10="."),s_dir!AL10/((1/1000)*(s_Irr!AJ10)),IF(AND(s_Irr!L10&lt;&gt;".",s_Irr!AJ10=".",s_Irr!BH10="."),s_dir!AL10/((1/1000)*(s_Irr!L10)),IF(AND(s_Irr!L10=".",s_Irr!AJ10=".",s_Irr!BH10="."),s_dir!AL10*1000)))))))),".")</f>
        <v>613.16919749809892</v>
      </c>
      <c r="BL10" s="76">
        <f>IFERROR(IF(AND(s_Irr!M10&lt;&gt;".",s_Irr!AK10&lt;&gt;".",s_Irr!BI10&lt;&gt;"."),s_dir!AM10/((1/1000)*(s_Irr!M10+s_Irr!AK10+s_Irr!BI10)),IF(AND(s_Irr!M10&lt;&gt;".",s_Irr!AK10&lt;&gt;".",s_Irr!BI10="."),s_dir!AM10/((1/1000)*(s_Irr!M10+s_Irr!AK10)),IF(AND(s_Irr!M10&lt;&gt;".",s_Irr!AK10=".",s_Irr!BI10&lt;&gt;"."),s_dir!AM10/((1/1000)*(s_Irr!M10+s_Irr!BI10)),IF(AND(s_Irr!M10=".",s_Irr!AK10&lt;&gt;".",s_Irr!BI10&lt;&gt;"."),s_dir!AM10/((1/1000)*(s_Irr!AK10+s_Irr!BI10)),IF(AND(s_Irr!M10=".",s_Irr!AK10=".",s_Irr!BI10&lt;&gt;"."),s_dir!AM10/((1/1000)*(s_Irr!BI10)),IF(AND(s_Irr!M10=".",s_Irr!AK10&lt;&gt;".",s_Irr!BI10="."),s_dir!AM10/((1/1000)*(s_Irr!AK10)),IF(AND(s_Irr!M10&lt;&gt;".",s_Irr!AK10=".",s_Irr!BI10="."),s_dir!AM10/((1/1000)*(s_Irr!M10)),IF(AND(s_Irr!M10=".",s_Irr!AK10=".",s_Irr!BI10="."),s_dir!AM10*1000)))))))),".")</f>
        <v>411.98882257752092</v>
      </c>
      <c r="BM10" s="76">
        <f>IFERROR(IF(AND(s_Irr!N10&lt;&gt;".",s_Irr!AL10&lt;&gt;".",s_Irr!BJ10&lt;&gt;"."),s_dir!AN10/((1/1000)*(s_Irr!N10+s_Irr!AL10+s_Irr!BJ10)),IF(AND(s_Irr!N10&lt;&gt;".",s_Irr!AL10&lt;&gt;".",s_Irr!BJ10="."),s_dir!AN10/((1/1000)*(s_Irr!N10+s_Irr!AL10)),IF(AND(s_Irr!N10&lt;&gt;".",s_Irr!AL10=".",s_Irr!BJ10&lt;&gt;"."),s_dir!AN10/((1/1000)*(s_Irr!N10+s_Irr!BJ10)),IF(AND(s_Irr!N10=".",s_Irr!AL10&lt;&gt;".",s_Irr!BJ10&lt;&gt;"."),s_dir!AN10/((1/1000)*(s_Irr!AL10+s_Irr!BJ10)),IF(AND(s_Irr!N10=".",s_Irr!AL10=".",s_Irr!BJ10&lt;&gt;"."),s_dir!AN10/((1/1000)*(s_Irr!BJ10)),IF(AND(s_Irr!N10=".",s_Irr!AL10&lt;&gt;".",s_Irr!BJ10="."),s_dir!AN10/((1/1000)*(s_Irr!AL10)),IF(AND(s_Irr!N10&lt;&gt;".",s_Irr!AL10=".",s_Irr!BJ10="."),s_dir!AN10/((1/1000)*(s_Irr!N10)),IF(AND(s_Irr!N10=".",s_Irr!AL10=".",s_Irr!BJ10="."),s_dir!AN10*1000)))))))),".")</f>
        <v>495.33130869436241</v>
      </c>
      <c r="BN10" s="76">
        <f>IFERROR(IF(AND(s_Irr!O10&lt;&gt;".",s_Irr!AM10&lt;&gt;".",s_Irr!BK10&lt;&gt;"."),s_dir!AO10/((1/1000)*(s_Irr!O10+s_Irr!AM10+s_Irr!BK10)),IF(AND(s_Irr!O10&lt;&gt;".",s_Irr!AM10&lt;&gt;".",s_Irr!BK10="."),s_dir!AO10/((1/1000)*(s_Irr!O10+s_Irr!AM10)),IF(AND(s_Irr!O10&lt;&gt;".",s_Irr!AM10=".",s_Irr!BK10&lt;&gt;"."),s_dir!AO10/((1/1000)*(s_Irr!O10+s_Irr!BK10)),IF(AND(s_Irr!O10=".",s_Irr!AM10&lt;&gt;".",s_Irr!BK10&lt;&gt;"."),s_dir!AO10/((1/1000)*(s_Irr!AM10+s_Irr!BK10)),IF(AND(s_Irr!O10=".",s_Irr!AM10=".",s_Irr!BK10&lt;&gt;"."),s_dir!AO10/((1/1000)*(s_Irr!BK10)),IF(AND(s_Irr!O10=".",s_Irr!AM10&lt;&gt;".",s_Irr!BK10="."),s_dir!AO10/((1/1000)*(s_Irr!AM10)),IF(AND(s_Irr!O10&lt;&gt;".",s_Irr!AM10=".",s_Irr!BK10="."),s_dir!AO10/((1/1000)*(s_Irr!O10)),IF(AND(s_Irr!O10=".",s_Irr!AM10=".",s_Irr!BK10="."),s_dir!AO10*1000)))))))),".")</f>
        <v>613.16919749809892</v>
      </c>
      <c r="BO10" s="76">
        <f>IFERROR(IF(AND(s_Irr!P10&lt;&gt;".",s_Irr!AN10&lt;&gt;".",s_Irr!BL10&lt;&gt;"."),s_dir!AP10/((1/1000)*(s_Irr!P10+s_Irr!AN10+s_Irr!BL10)),IF(AND(s_Irr!P10&lt;&gt;".",s_Irr!AN10&lt;&gt;".",s_Irr!BL10="."),s_dir!AP10/((1/1000)*(s_Irr!P10+s_Irr!AN10)),IF(AND(s_Irr!P10&lt;&gt;".",s_Irr!AN10=".",s_Irr!BL10&lt;&gt;"."),s_dir!AP10/((1/1000)*(s_Irr!P10+s_Irr!BL10)),IF(AND(s_Irr!P10=".",s_Irr!AN10&lt;&gt;".",s_Irr!BL10&lt;&gt;"."),s_dir!AP10/((1/1000)*(s_Irr!AN10+s_Irr!BL10)),IF(AND(s_Irr!P10=".",s_Irr!AN10=".",s_Irr!BL10&lt;&gt;"."),s_dir!AP10/((1/1000)*(s_Irr!BL10)),IF(AND(s_Irr!P10=".",s_Irr!AN10&lt;&gt;".",s_Irr!BL10="."),s_dir!AP10/((1/1000)*(s_Irr!AN10)),IF(AND(s_Irr!P10&lt;&gt;".",s_Irr!AN10=".",s_Irr!BL10="."),s_dir!AP10/((1/1000)*(s_Irr!P10)),IF(AND(s_Irr!P10=".",s_Irr!AN10=".",s_Irr!BL10="."),s_dir!AP10*1000)))))))),".")</f>
        <v>613.16919749809892</v>
      </c>
      <c r="BP10" s="76">
        <f>IFERROR(IF(AND(s_Irr!Q10&lt;&gt;".",s_Irr!AO10&lt;&gt;".",s_Irr!BM10&lt;&gt;"."),s_dir!AQ10/((1/1000)*(s_Irr!Q10+s_Irr!AO10+s_Irr!BM10)),IF(AND(s_Irr!Q10&lt;&gt;".",s_Irr!AO10&lt;&gt;".",s_Irr!BM10="."),s_dir!AQ10/((1/1000)*(s_Irr!Q10+s_Irr!AO10)),IF(AND(s_Irr!Q10&lt;&gt;".",s_Irr!AO10=".",s_Irr!BM10&lt;&gt;"."),s_dir!AQ10/((1/1000)*(s_Irr!Q10+s_Irr!BM10)),IF(AND(s_Irr!Q10=".",s_Irr!AO10&lt;&gt;".",s_Irr!BM10&lt;&gt;"."),s_dir!AQ10/((1/1000)*(s_Irr!AO10+s_Irr!BM10)),IF(AND(s_Irr!Q10=".",s_Irr!AO10=".",s_Irr!BM10&lt;&gt;"."),s_dir!AQ10/((1/1000)*(s_Irr!BM10)),IF(AND(s_Irr!Q10=".",s_Irr!AO10&lt;&gt;".",s_Irr!BM10="."),s_dir!AQ10/((1/1000)*(s_Irr!AO10)),IF(AND(s_Irr!Q10&lt;&gt;".",s_Irr!AO10=".",s_Irr!BM10="."),s_dir!AQ10/((1/1000)*(s_Irr!Q10)),IF(AND(s_Irr!Q10=".",s_Irr!AO10=".",s_Irr!BM10="."),s_dir!AQ10*1000)))))))),".")</f>
        <v>757.29602934818149</v>
      </c>
      <c r="BQ10" s="76">
        <f>IFERROR(IF(AND(s_Irr!R10&lt;&gt;".",s_Irr!AP10&lt;&gt;".",s_Irr!BN10&lt;&gt;"."),s_dir!AR10/((1/1000)*(s_Irr!R10+s_Irr!AP10+s_Irr!BN10)),IF(AND(s_Irr!R10&lt;&gt;".",s_Irr!AP10&lt;&gt;".",s_Irr!BN10="."),s_dir!AR10/((1/1000)*(s_Irr!R10+s_Irr!AP10)),IF(AND(s_Irr!R10&lt;&gt;".",s_Irr!AP10=".",s_Irr!BN10&lt;&gt;"."),s_dir!AR10/((1/1000)*(s_Irr!R10+s_Irr!BN10)),IF(AND(s_Irr!R10=".",s_Irr!AP10&lt;&gt;".",s_Irr!BN10&lt;&gt;"."),s_dir!AR10/((1/1000)*(s_Irr!AP10+s_Irr!BN10)),IF(AND(s_Irr!R10=".",s_Irr!AP10=".",s_Irr!BN10&lt;&gt;"."),s_dir!AR10/((1/1000)*(s_Irr!BN10)),IF(AND(s_Irr!R10=".",s_Irr!AP10&lt;&gt;".",s_Irr!BN10="."),s_dir!AR10/((1/1000)*(s_Irr!AP10)),IF(AND(s_Irr!R10&lt;&gt;".",s_Irr!AP10=".",s_Irr!BN10="."),s_dir!AR10/((1/1000)*(s_Irr!R10)),IF(AND(s_Irr!R10=".",s_Irr!AP10=".",s_Irr!BN10="."),s_dir!AR10*1000)))))))),".")</f>
        <v>757.29602934818149</v>
      </c>
      <c r="BR10" s="76">
        <f>IFERROR(IF(AND(s_Irr!S10&lt;&gt;".",s_Irr!AQ10&lt;&gt;".",s_Irr!BO10&lt;&gt;"."),s_dir!AS10/((1/1000)*(s_Irr!S10+s_Irr!AQ10+s_Irr!BO10)),IF(AND(s_Irr!S10&lt;&gt;".",s_Irr!AQ10&lt;&gt;".",s_Irr!BO10="."),s_dir!AS10/((1/1000)*(s_Irr!S10+s_Irr!AQ10)),IF(AND(s_Irr!S10&lt;&gt;".",s_Irr!AQ10=".",s_Irr!BO10&lt;&gt;"."),s_dir!AS10/((1/1000)*(s_Irr!S10+s_Irr!BO10)),IF(AND(s_Irr!S10=".",s_Irr!AQ10&lt;&gt;".",s_Irr!BO10&lt;&gt;"."),s_dir!AS10/((1/1000)*(s_Irr!AQ10+s_Irr!BO10)),IF(AND(s_Irr!S10=".",s_Irr!AQ10=".",s_Irr!BO10&lt;&gt;"."),s_dir!AS10/((1/1000)*(s_Irr!BO10)),IF(AND(s_Irr!S10=".",s_Irr!AQ10&lt;&gt;".",s_Irr!BO10="."),s_dir!AS10/((1/1000)*(s_Irr!AQ10)),IF(AND(s_Irr!S10&lt;&gt;".",s_Irr!AQ10=".",s_Irr!BO10="."),s_dir!AS10/((1/1000)*(s_Irr!S10)),IF(AND(s_Irr!S10=".",s_Irr!AQ10=".",s_Irr!BO10="."),s_dir!AS10*1000)))))))),".")</f>
        <v>495.33130869436241</v>
      </c>
      <c r="BS10" s="76">
        <f>IFERROR(IF(AND(s_Irr!T10&lt;&gt;".",s_Irr!AR10&lt;&gt;".",s_Irr!BP10&lt;&gt;"."),s_dir!AT10/((1/1000)*(s_Irr!T10+s_Irr!AR10+s_Irr!BP10)),IF(AND(s_Irr!T10&lt;&gt;".",s_Irr!AR10&lt;&gt;".",s_Irr!BP10="."),s_dir!AT10/((1/1000)*(s_Irr!T10+s_Irr!AR10)),IF(AND(s_Irr!T10&lt;&gt;".",s_Irr!AR10=".",s_Irr!BP10&lt;&gt;"."),s_dir!AT10/((1/1000)*(s_Irr!T10+s_Irr!BP10)),IF(AND(s_Irr!T10=".",s_Irr!AR10&lt;&gt;".",s_Irr!BP10&lt;&gt;"."),s_dir!AT10/((1/1000)*(s_Irr!AR10+s_Irr!BP10)),IF(AND(s_Irr!T10=".",s_Irr!AR10=".",s_Irr!BP10&lt;&gt;"."),s_dir!AT10/((1/1000)*(s_Irr!BP10)),IF(AND(s_Irr!T10=".",s_Irr!AR10&lt;&gt;".",s_Irr!BP10="."),s_dir!AT10/((1/1000)*(s_Irr!AR10)),IF(AND(s_Irr!T10&lt;&gt;".",s_Irr!AR10=".",s_Irr!BP10="."),s_dir!AT10/((1/1000)*(s_Irr!T10)),IF(AND(s_Irr!T10=".",s_Irr!AR10=".",s_Irr!BP10="."),s_dir!AT10*1000)))))))),".")</f>
        <v>426.3355284017905</v>
      </c>
      <c r="BT10" s="76">
        <f>IFERROR(IF(AND(s_Irr!U10&lt;&gt;".",s_Irr!AS10&lt;&gt;".",s_Irr!BQ10&lt;&gt;"."),s_dir!AU10/((1/1000)*(s_Irr!U10+s_Irr!AS10+s_Irr!BQ10)),IF(AND(s_Irr!U10&lt;&gt;".",s_Irr!AS10&lt;&gt;".",s_Irr!BQ10="."),s_dir!AU10/((1/1000)*(s_Irr!U10+s_Irr!AS10)),IF(AND(s_Irr!U10&lt;&gt;".",s_Irr!AS10=".",s_Irr!BQ10&lt;&gt;"."),s_dir!AU10/((1/1000)*(s_Irr!U10+s_Irr!BQ10)),IF(AND(s_Irr!U10=".",s_Irr!AS10&lt;&gt;".",s_Irr!BQ10&lt;&gt;"."),s_dir!AU10/((1/1000)*(s_Irr!AS10+s_Irr!BQ10)),IF(AND(s_Irr!U10=".",s_Irr!AS10=".",s_Irr!BQ10&lt;&gt;"."),s_dir!AU10/((1/1000)*(s_Irr!BQ10)),IF(AND(s_Irr!U10=".",s_Irr!AS10&lt;&gt;".",s_Irr!BQ10="."),s_dir!AU10/((1/1000)*(s_Irr!AS10)),IF(AND(s_Irr!U10&lt;&gt;".",s_Irr!AS10=".",s_Irr!BQ10="."),s_dir!AU10/((1/1000)*(s_Irr!U10)),IF(AND(s_Irr!U10=".",s_Irr!AS10=".",s_Irr!BQ10="."),s_dir!AU10*1000)))))))),".")</f>
        <v>613.16919749809892</v>
      </c>
      <c r="BU10" s="76">
        <f>IFERROR(IF(AND(s_Irr!V10&lt;&gt;".",s_Irr!AT10&lt;&gt;".",s_Irr!BR10&lt;&gt;"."),s_dir!AV10/((1/1000)*(s_Irr!V10+s_Irr!AT10+s_Irr!BR10)),IF(AND(s_Irr!V10&lt;&gt;".",s_Irr!AT10&lt;&gt;".",s_Irr!BR10="."),s_dir!AV10/((1/1000)*(s_Irr!V10+s_Irr!AT10)),IF(AND(s_Irr!V10&lt;&gt;".",s_Irr!AT10=".",s_Irr!BR10&lt;&gt;"."),s_dir!AV10/((1/1000)*(s_Irr!V10+s_Irr!BR10)),IF(AND(s_Irr!V10=".",s_Irr!AT10&lt;&gt;".",s_Irr!BR10&lt;&gt;"."),s_dir!AV10/((1/1000)*(s_Irr!AT10+s_Irr!BR10)),IF(AND(s_Irr!V10=".",s_Irr!AT10=".",s_Irr!BR10&lt;&gt;"."),s_dir!AV10/((1/1000)*(s_Irr!BR10)),IF(AND(s_Irr!V10=".",s_Irr!AT10&lt;&gt;".",s_Irr!BR10="."),s_dir!AV10/((1/1000)*(s_Irr!AT10)),IF(AND(s_Irr!V10&lt;&gt;".",s_Irr!AT10=".",s_Irr!BR10="."),s_dir!AV10/((1/1000)*(s_Irr!V10)),IF(AND(s_Irr!V10=".",s_Irr!AT10=".",s_Irr!BR10="."),s_dir!AV10*1000)))))))),".")</f>
        <v>495.33130869436241</v>
      </c>
      <c r="BV10" s="76">
        <f>IFERROR(IF(AND(s_Irr!W10&lt;&gt;".",s_Irr!AU10&lt;&gt;".",s_Irr!BS10&lt;&gt;"."),s_dir!AW10/((1/1000)*(s_Irr!W10+s_Irr!AU10+s_Irr!BS10)),IF(AND(s_Irr!W10&lt;&gt;".",s_Irr!AU10&lt;&gt;".",s_Irr!BS10="."),s_dir!AW10/((1/1000)*(s_Irr!W10+s_Irr!AU10)),IF(AND(s_Irr!W10&lt;&gt;".",s_Irr!AU10=".",s_Irr!BS10&lt;&gt;"."),s_dir!AW10/((1/1000)*(s_Irr!W10+s_Irr!BS10)),IF(AND(s_Irr!W10=".",s_Irr!AU10&lt;&gt;".",s_Irr!BS10&lt;&gt;"."),s_dir!AW10/((1/1000)*(s_Irr!AU10+s_Irr!BS10)),IF(AND(s_Irr!W10=".",s_Irr!AU10=".",s_Irr!BS10&lt;&gt;"."),s_dir!AW10/((1/1000)*(s_Irr!BS10)),IF(AND(s_Irr!W10=".",s_Irr!AU10&lt;&gt;".",s_Irr!BS10="."),s_dir!AW10/((1/1000)*(s_Irr!AU10)),IF(AND(s_Irr!W10&lt;&gt;".",s_Irr!AU10=".",s_Irr!BS10="."),s_dir!AW10/((1/1000)*(s_Irr!W10)),IF(AND(s_Irr!W10=".",s_Irr!AU10=".",s_Irr!BS10="."),s_dir!AW10*1000)))))))),".")</f>
        <v>792.85187204389069</v>
      </c>
      <c r="BW10" s="76">
        <f>IFERROR(IF(AND(s_Irr!X10&lt;&gt;".",s_Irr!AV10&lt;&gt;".",s_Irr!BT10&lt;&gt;"."),s_dir!AX10/((1/1000)*(s_Irr!X10+s_Irr!AV10+s_Irr!BT10)),IF(AND(s_Irr!X10&lt;&gt;".",s_Irr!AV10&lt;&gt;".",s_Irr!BT10="."),s_dir!AX10/((1/1000)*(s_Irr!X10+s_Irr!AV10)),IF(AND(s_Irr!X10&lt;&gt;".",s_Irr!AV10=".",s_Irr!BT10&lt;&gt;"."),s_dir!AX10/((1/1000)*(s_Irr!X10+s_Irr!BT10)),IF(AND(s_Irr!X10=".",s_Irr!AV10&lt;&gt;".",s_Irr!BT10&lt;&gt;"."),s_dir!AX10/((1/1000)*(s_Irr!AV10+s_Irr!BT10)),IF(AND(s_Irr!X10=".",s_Irr!AV10=".",s_Irr!BT10&lt;&gt;"."),s_dir!AX10/((1/1000)*(s_Irr!BT10)),IF(AND(s_Irr!X10=".",s_Irr!AV10&lt;&gt;".",s_Irr!BT10="."),s_dir!AX10/((1/1000)*(s_Irr!AV10)),IF(AND(s_Irr!X10&lt;&gt;".",s_Irr!AV10=".",s_Irr!BT10="."),s_dir!AX10/((1/1000)*(s_Irr!X10)),IF(AND(s_Irr!X10=".",s_Irr!AV10=".",s_Irr!BT10="."),s_dir!AX10*1000)))))))),".")</f>
        <v>613.16919749809892</v>
      </c>
      <c r="BX10" s="76">
        <f>IFERROR(IF(AND(s_Irr!Y10&lt;&gt;".",s_Irr!AW10&lt;&gt;".",s_Irr!BU10&lt;&gt;"."),s_dir!AY10/((1/1000)*(s_Irr!Y10+s_Irr!AW10+s_Irr!BU10)),IF(AND(s_Irr!Y10&lt;&gt;".",s_Irr!AW10&lt;&gt;".",s_Irr!BU10="."),s_dir!AY10/((1/1000)*(s_Irr!Y10+s_Irr!AW10)),IF(AND(s_Irr!Y10&lt;&gt;".",s_Irr!AW10=".",s_Irr!BU10&lt;&gt;"."),s_dir!AY10/((1/1000)*(s_Irr!Y10+s_Irr!BU10)),IF(AND(s_Irr!Y10=".",s_Irr!AW10&lt;&gt;".",s_Irr!BU10&lt;&gt;"."),s_dir!AY10/((1/1000)*(s_Irr!AW10+s_Irr!BU10)),IF(AND(s_Irr!Y10=".",s_Irr!AW10=".",s_Irr!BU10&lt;&gt;"."),s_dir!AY10/((1/1000)*(s_Irr!BU10)),IF(AND(s_Irr!Y10=".",s_Irr!AW10&lt;&gt;".",s_Irr!BU10="."),s_dir!AY10/((1/1000)*(s_Irr!AW10)),IF(AND(s_Irr!Y10&lt;&gt;".",s_Irr!AW10=".",s_Irr!BU10="."),s_dir!AY10/((1/1000)*(s_Irr!Y10)),IF(AND(s_Irr!Y10=".",s_Irr!AW10=".",s_Irr!BU10="."),s_dir!AY10*1000)))))))),".")</f>
        <v>821.72084519019847</v>
      </c>
      <c r="BY10" s="76">
        <f>IFERROR(IF(AND(s_Irr!Z10&lt;&gt;".",s_Irr!AX10&lt;&gt;".",s_Irr!BV10&lt;&gt;"."),s_dir!AZ10/((1/1000)*(s_Irr!Z10+s_Irr!AX10+s_Irr!BV10)),IF(AND(s_Irr!Z10&lt;&gt;".",s_Irr!AX10&lt;&gt;".",s_Irr!BV10="."),s_dir!AZ10/((1/1000)*(s_Irr!Z10+s_Irr!AX10)),IF(AND(s_Irr!Z10&lt;&gt;".",s_Irr!AX10=".",s_Irr!BV10&lt;&gt;"."),s_dir!AZ10/((1/1000)*(s_Irr!Z10+s_Irr!BV10)),IF(AND(s_Irr!Z10=".",s_Irr!AX10&lt;&gt;".",s_Irr!BV10&lt;&gt;"."),s_dir!AZ10/((1/1000)*(s_Irr!AX10+s_Irr!BV10)),IF(AND(s_Irr!Z10=".",s_Irr!AX10=".",s_Irr!BV10&lt;&gt;"."),s_dir!AZ10/((1/1000)*(s_Irr!BV10)),IF(AND(s_Irr!Z10=".",s_Irr!AX10&lt;&gt;".",s_Irr!BV10="."),s_dir!AZ10/((1/1000)*(s_Irr!AX10)),IF(AND(s_Irr!Z10&lt;&gt;".",s_Irr!AX10=".",s_Irr!BV10="."),s_dir!AZ10/((1/1000)*(s_Irr!Z10)),IF(AND(s_Irr!Z10=".",s_Irr!AX10=".",s_Irr!BV10="."),s_dir!AZ10*1000)))))))),".")</f>
        <v>557.34182423975233</v>
      </c>
      <c r="BZ10" s="93">
        <f>SUM(CA10:CB10,CW10:CX10)</f>
        <v>904.32529165997414</v>
      </c>
      <c r="CA10" s="93">
        <f>IFERROR(s_C*s_IFAP_far_adj*s_CF_apple*(1/1000)*(s_Irr!C10+s_Irr!AA10+s_Irr!AY10),".")</f>
        <v>176.67749244016957</v>
      </c>
      <c r="CB10" s="93">
        <f>IFERROR(s_C*s_IFAS_far_adj*s_CF_asparagus*(1/1000)*(s_Irr!D10+s_Irr!AB10+s_Irr!AZ10),".")</f>
        <v>324.7592074538822</v>
      </c>
      <c r="CC10" s="93">
        <f>IFERROR(s_C*s_IFBT_far_adj*s_CF_beet*(1/1000)*(s_Irr!E10+s_Irr!AC10+s_Irr!BA10),".")</f>
        <v>275.58077811353479</v>
      </c>
      <c r="CD10" s="93">
        <f>IFERROR(s_C*s_IFBE_far_adj*s_CF_berries*(1/1000)*(s_Irr!F10+s_Irr!AD10+s_Irr!BB10),".")</f>
        <v>166.56859307576485</v>
      </c>
      <c r="CE10" s="93">
        <f>IFERROR(s_C*s_IFBR_far_adj*s_CF_broccoli*(1/1000)*(s_Irr!G10+s_Irr!AE10+s_Irr!BC10),".")</f>
        <v>218.20594388312955</v>
      </c>
      <c r="CF10" s="93">
        <f>IFERROR(s_C*s_IFCB_far_adj*s_CF_cabbage*(1/1000)*(s_Irr!H10+s_Irr!AF10+s_Irr!BD10),".")</f>
        <v>324.7592074538822</v>
      </c>
      <c r="CG10" s="93">
        <f>IFERROR(s_C*s_IFCR_far_adj*s_CF_carrot*(1/1000)*(s_Irr!I10+s_Irr!AG10+s_Irr!BE10),".")</f>
        <v>275.58077811353479</v>
      </c>
      <c r="CH10" s="93">
        <f>IFERROR(s_C*s_IFCI_far_adj*s_CF_citrus*(1/1000)*(s_Irr!J10+s_Irr!AH10+s_Irr!BF10),".")</f>
        <v>176.67749244016957</v>
      </c>
      <c r="CI10" s="93">
        <f>IFERROR(s_C*s_IFCO_far_adj*s_CF_corn*(1/1000)*(s_Irr!K10+s_Irr!AI10+s_Irr!BG10),".")</f>
        <v>250.99156344336112</v>
      </c>
      <c r="CJ10" s="93">
        <f>IFERROR(s_C*s_IFCU_far_adj*s_CF_cucumber*(1/1000)*(s_Irr!L10+s_Irr!AJ10+s_Irr!BH10),".")</f>
        <v>218.20594388312955</v>
      </c>
      <c r="CK10" s="93">
        <f>IFERROR(s_C*s_IFLE_far_adj*s_CF_lettuce*(1/1000)*(s_Irr!M10+s_Irr!AK10+s_Irr!BI10),".")</f>
        <v>324.7592074538822</v>
      </c>
      <c r="CL10" s="93">
        <f>IFERROR(s_C*s_IFLI_far_adj*s_CF_lima_bean*(1/1000)*(s_Irr!N10+s_Irr!AL10+s_Irr!BJ10),".")</f>
        <v>270.11650818682961</v>
      </c>
      <c r="CM10" s="93">
        <f>IFERROR(s_C*s_IFOK_far_adj*s_CF_okra*(1/1000)*(s_Irr!O10+s_Irr!AM10+s_Irr!BK10),".")</f>
        <v>218.20594388312955</v>
      </c>
      <c r="CN10" s="93">
        <f>IFERROR(s_C*s_IFON_far_adj*s_CF_onion*(1/1000)*(s_Irr!P10+s_Irr!AN10+s_Irr!BL10),".")</f>
        <v>218.20594388312955</v>
      </c>
      <c r="CO10" s="93">
        <f>IFERROR(s_C*s_IFPC_far_adj*s_CF_peach*(1/1000)*(s_Irr!Q10+s_Irr!AO10+s_Irr!BM10),".")</f>
        <v>176.67749244016957</v>
      </c>
      <c r="CP10" s="93">
        <f>IFERROR(s_C*s_IFPR_far_adj*s_CF_pear*(1/1000)*(s_Irr!R10+s_Irr!AP10+s_Irr!BN10),".")</f>
        <v>176.67749244016957</v>
      </c>
      <c r="CQ10" s="93">
        <f>IFERROR(s_C*s_IFPE_far_adj*s_CF_peas*(1/1000)*(s_Irr!S10+s_Irr!AQ10+s_Irr!BO10),".")</f>
        <v>270.11650818682961</v>
      </c>
      <c r="CR10" s="93">
        <f>IFERROR(s_C*s_IFPT_far_adj*s_CF_potato*(1/1000)*(s_Irr!T10+s_Irr!AR10+s_Irr!BP10),".")</f>
        <v>313.83066760047166</v>
      </c>
      <c r="CS10" s="93">
        <f>IFERROR(s_C*s_IFPU_far_adj*s_CF_pumpkin*(1/1000)*(s_Irr!U10+s_Irr!AS10+s_Irr!BQ10),".")</f>
        <v>218.20594388312955</v>
      </c>
      <c r="CT10" s="93">
        <f>IFERROR(s_C*s_IFSN_far_adj*s_CF_snap_bean*(1/1000)*(s_Irr!V10+s_Irr!AT10+s_Irr!BR10),".")</f>
        <v>270.11650818682961</v>
      </c>
      <c r="CU10" s="93">
        <f>IFERROR(s_C*s_IFST_far_adj*s_CF_strawberry*(1/1000)*(s_Irr!W10+s_Irr!AU10+s_Irr!BS10),".")</f>
        <v>168.75430104644695</v>
      </c>
      <c r="CV10" s="93">
        <f>IFERROR(s_C*s_IFTO_far_adj*s_CF_tomato*(1/1000)*(s_Irr!X10+s_Irr!AV10+s_Irr!BT10),".")</f>
        <v>218.20594388312955</v>
      </c>
      <c r="CW10" s="93">
        <f>IFERROR(s_C*s_IFRI_far_adj*s_CF_rice*(1/1000)*(s_Irr!Y10+s_Irr!AW10+s_Irr!BU10),".")</f>
        <v>162.82556817597174</v>
      </c>
      <c r="CX10" s="93">
        <f>IFERROR(s_C*s_IFCG_far_adj*s_CF_cereal*(1/1000)*(s_Irr!Z10+s_Irr!AX10+s_Irr!BV10),".")</f>
        <v>240.06302358995057</v>
      </c>
    </row>
    <row r="11" spans="1:102" ht="15" customHeight="1" x14ac:dyDescent="0.25">
      <c r="A11" s="92" t="s">
        <v>21</v>
      </c>
      <c r="B11" s="90" t="s">
        <v>1074</v>
      </c>
      <c r="C11" s="76" t="str">
        <f t="shared" ref="C11" si="12">IFERROR(1/SUM(1/D11,1/E11,1/Z11,1/AA11),".")</f>
        <v>.</v>
      </c>
      <c r="D11" s="76" t="str">
        <f>IFERROR(IF(AND(s_Irr!C11&lt;&gt;".",s_Irr!AA11&lt;&gt;".",s_Irr!AY11&lt;&gt;"."),s_dir!D11/((1/1000)*(s_Irr!C11+s_Irr!AA11+s_Irr!AY11)),IF(AND(s_Irr!C11&lt;&gt;".",s_Irr!AA11&lt;&gt;".",s_Irr!AY11="."),s_dir!D11/((1/1000)*(s_Irr!C11+s_Irr!AA11)),IF(AND(s_Irr!C11&lt;&gt;".",s_Irr!AA11=".",s_Irr!AY11&lt;&gt;"."),s_dir!D11/((1/1000)*(s_Irr!C11+s_Irr!AY11)),IF(AND(s_Irr!C11=".",s_Irr!AA11&lt;&gt;".",s_Irr!AY11&lt;&gt;"."),s_dir!D11/((1/1000)*(s_Irr!AA11+s_Irr!AY11)),IF(AND(s_Irr!C11=".",s_Irr!AA11=".",s_Irr!AY11&lt;&gt;"."),s_dir!D11/((1/1000)*(s_Irr!AY11)),IF(AND(s_Irr!C11=".",s_Irr!AA11&lt;&gt;".",s_Irr!AY11="."),s_dir!D11/((1/1000)*(s_Irr!AA11)),IF(AND(s_Irr!C11&lt;&gt;".",s_Irr!AA11=".",s_Irr!AY11="."),s_dir!D11/((1/1000)*(s_Irr!C11)),IF(AND(s_Irr!C11=".",s_Irr!AA11=".",s_Irr!AY11="."),s_dir!D11*1000)))))))),".")</f>
        <v>.</v>
      </c>
      <c r="E11" s="76" t="str">
        <f>IFERROR(IF(AND(s_Irr!D11&lt;&gt;".",s_Irr!AB11&lt;&gt;".",s_Irr!AZ11&lt;&gt;"."),s_dir!E11/((1/1000)*(s_Irr!D11+s_Irr!AB11+s_Irr!AZ11)),IF(AND(s_Irr!D11&lt;&gt;".",s_Irr!AB11&lt;&gt;".",s_Irr!AZ11="."),s_dir!E11/((1/1000)*(s_Irr!D11+s_Irr!AB11)),IF(AND(s_Irr!D11&lt;&gt;".",s_Irr!AB11=".",s_Irr!AZ11&lt;&gt;"."),s_dir!E11/((1/1000)*(s_Irr!D11+s_Irr!AZ11)),IF(AND(s_Irr!D11=".",s_Irr!AB11&lt;&gt;".",s_Irr!AZ11&lt;&gt;"."),s_dir!E11/((1/1000)*(s_Irr!AB11+s_Irr!AZ11)),IF(AND(s_Irr!D11=".",s_Irr!AB11=".",s_Irr!AZ11&lt;&gt;"."),s_dir!E11/((1/1000)*(s_Irr!AZ11)),IF(AND(s_Irr!D11=".",s_Irr!AB11&lt;&gt;".",s_Irr!AZ11="."),s_dir!E11/((1/1000)*(s_Irr!AB11)),IF(AND(s_Irr!D11&lt;&gt;".",s_Irr!AB11=".",s_Irr!AZ11="."),s_dir!E11/((1/1000)*(s_Irr!D11)),IF(AND(s_Irr!D11=".",s_Irr!AB11=".",s_Irr!AZ11="."),s_dir!E11*1000)))))))),".")</f>
        <v>.</v>
      </c>
      <c r="F11" s="76" t="str">
        <f>IFERROR(IF(AND(s_Irr!E11&lt;&gt;".",s_Irr!AC11&lt;&gt;".",s_Irr!BA11&lt;&gt;"."),s_dir!F11/((1/1000)*(s_Irr!E11+s_Irr!AC11+s_Irr!BA11)),IF(AND(s_Irr!E11&lt;&gt;".",s_Irr!AC11&lt;&gt;".",s_Irr!BA11="."),s_dir!F11/((1/1000)*(s_Irr!E11+s_Irr!AC11)),IF(AND(s_Irr!E11&lt;&gt;".",s_Irr!AC11=".",s_Irr!BA11&lt;&gt;"."),s_dir!F11/((1/1000)*(s_Irr!E11+s_Irr!BA11)),IF(AND(s_Irr!E11=".",s_Irr!AC11&lt;&gt;".",s_Irr!BA11&lt;&gt;"."),s_dir!F11/((1/1000)*(s_Irr!AC11+s_Irr!BA11)),IF(AND(s_Irr!E11=".",s_Irr!AC11=".",s_Irr!BA11&lt;&gt;"."),s_dir!F11/((1/1000)*(s_Irr!BA11)),IF(AND(s_Irr!E11=".",s_Irr!AC11&lt;&gt;".",s_Irr!BA11="."),s_dir!F11/((1/1000)*(s_Irr!AC11)),IF(AND(s_Irr!E11&lt;&gt;".",s_Irr!AC11=".",s_Irr!BA11="."),s_dir!F11/((1/1000)*(s_Irr!E11)),IF(AND(s_Irr!E11=".",s_Irr!AC11=".",s_Irr!BA11="."),s_dir!F11*1000)))))))),".")</f>
        <v>.</v>
      </c>
      <c r="G11" s="76" t="str">
        <f>IFERROR(IF(AND(s_Irr!F11&lt;&gt;".",s_Irr!AD11&lt;&gt;".",s_Irr!BB11&lt;&gt;"."),s_dir!G11/((1/1000)*(s_Irr!F11+s_Irr!AD11+s_Irr!BB11)),IF(AND(s_Irr!F11&lt;&gt;".",s_Irr!AD11&lt;&gt;".",s_Irr!BB11="."),s_dir!G11/((1/1000)*(s_Irr!F11+s_Irr!AD11)),IF(AND(s_Irr!F11&lt;&gt;".",s_Irr!AD11=".",s_Irr!BB11&lt;&gt;"."),s_dir!G11/((1/1000)*(s_Irr!F11+s_Irr!BB11)),IF(AND(s_Irr!F11=".",s_Irr!AD11&lt;&gt;".",s_Irr!BB11&lt;&gt;"."),s_dir!G11/((1/1000)*(s_Irr!AD11+s_Irr!BB11)),IF(AND(s_Irr!F11=".",s_Irr!AD11=".",s_Irr!BB11&lt;&gt;"."),s_dir!G11/((1/1000)*(s_Irr!BB11)),IF(AND(s_Irr!F11=".",s_Irr!AD11&lt;&gt;".",s_Irr!BB11="."),s_dir!G11/((1/1000)*(s_Irr!AD11)),IF(AND(s_Irr!F11&lt;&gt;".",s_Irr!AD11=".",s_Irr!BB11="."),s_dir!G11/((1/1000)*(s_Irr!F11)),IF(AND(s_Irr!F11=".",s_Irr!AD11=".",s_Irr!BB11="."),s_dir!G11*1000)))))))),".")</f>
        <v>.</v>
      </c>
      <c r="H11" s="76" t="str">
        <f>IFERROR(IF(AND(s_Irr!G11&lt;&gt;".",s_Irr!AE11&lt;&gt;".",s_Irr!BC11&lt;&gt;"."),s_dir!H11/((1/1000)*(s_Irr!G11+s_Irr!AE11+s_Irr!BC11)),IF(AND(s_Irr!G11&lt;&gt;".",s_Irr!AE11&lt;&gt;".",s_Irr!BC11="."),s_dir!H11/((1/1000)*(s_Irr!G11+s_Irr!AE11)),IF(AND(s_Irr!G11&lt;&gt;".",s_Irr!AE11=".",s_Irr!BC11&lt;&gt;"."),s_dir!H11/((1/1000)*(s_Irr!G11+s_Irr!BC11)),IF(AND(s_Irr!G11=".",s_Irr!AE11&lt;&gt;".",s_Irr!BC11&lt;&gt;"."),s_dir!H11/((1/1000)*(s_Irr!AE11+s_Irr!BC11)),IF(AND(s_Irr!G11=".",s_Irr!AE11=".",s_Irr!BC11&lt;&gt;"."),s_dir!H11/((1/1000)*(s_Irr!BC11)),IF(AND(s_Irr!G11=".",s_Irr!AE11&lt;&gt;".",s_Irr!BC11="."),s_dir!H11/((1/1000)*(s_Irr!AE11)),IF(AND(s_Irr!G11&lt;&gt;".",s_Irr!AE11=".",s_Irr!BC11="."),s_dir!H11/((1/1000)*(s_Irr!G11)),IF(AND(s_Irr!G11=".",s_Irr!AE11=".",s_Irr!BC11="."),s_dir!H11*1000)))))))),".")</f>
        <v>.</v>
      </c>
      <c r="I11" s="76" t="str">
        <f>IFERROR(IF(AND(s_Irr!H11&lt;&gt;".",s_Irr!AF11&lt;&gt;".",s_Irr!BD11&lt;&gt;"."),s_dir!I11/((1/1000)*(s_Irr!H11+s_Irr!AF11+s_Irr!BD11)),IF(AND(s_Irr!H11&lt;&gt;".",s_Irr!AF11&lt;&gt;".",s_Irr!BD11="."),s_dir!I11/((1/1000)*(s_Irr!H11+s_Irr!AF11)),IF(AND(s_Irr!H11&lt;&gt;".",s_Irr!AF11=".",s_Irr!BD11&lt;&gt;"."),s_dir!I11/((1/1000)*(s_Irr!H11+s_Irr!BD11)),IF(AND(s_Irr!H11=".",s_Irr!AF11&lt;&gt;".",s_Irr!BD11&lt;&gt;"."),s_dir!I11/((1/1000)*(s_Irr!AF11+s_Irr!BD11)),IF(AND(s_Irr!H11=".",s_Irr!AF11=".",s_Irr!BD11&lt;&gt;"."),s_dir!I11/((1/1000)*(s_Irr!BD11)),IF(AND(s_Irr!H11=".",s_Irr!AF11&lt;&gt;".",s_Irr!BD11="."),s_dir!I11/((1/1000)*(s_Irr!AF11)),IF(AND(s_Irr!H11&lt;&gt;".",s_Irr!AF11=".",s_Irr!BD11="."),s_dir!I11/((1/1000)*(s_Irr!H11)),IF(AND(s_Irr!H11=".",s_Irr!AF11=".",s_Irr!BD11="."),s_dir!I11*1000)))))))),".")</f>
        <v>.</v>
      </c>
      <c r="J11" s="76" t="str">
        <f>IFERROR(IF(AND(s_Irr!I11&lt;&gt;".",s_Irr!AG11&lt;&gt;".",s_Irr!BE11&lt;&gt;"."),s_dir!J11/((1/1000)*(s_Irr!I11+s_Irr!AG11+s_Irr!BE11)),IF(AND(s_Irr!I11&lt;&gt;".",s_Irr!AG11&lt;&gt;".",s_Irr!BE11="."),s_dir!J11/((1/1000)*(s_Irr!I11+s_Irr!AG11)),IF(AND(s_Irr!I11&lt;&gt;".",s_Irr!AG11=".",s_Irr!BE11&lt;&gt;"."),s_dir!J11/((1/1000)*(s_Irr!I11+s_Irr!BE11)),IF(AND(s_Irr!I11=".",s_Irr!AG11&lt;&gt;".",s_Irr!BE11&lt;&gt;"."),s_dir!J11/((1/1000)*(s_Irr!AG11+s_Irr!BE11)),IF(AND(s_Irr!I11=".",s_Irr!AG11=".",s_Irr!BE11&lt;&gt;"."),s_dir!J11/((1/1000)*(s_Irr!BE11)),IF(AND(s_Irr!I11=".",s_Irr!AG11&lt;&gt;".",s_Irr!BE11="."),s_dir!J11/((1/1000)*(s_Irr!AG11)),IF(AND(s_Irr!I11&lt;&gt;".",s_Irr!AG11=".",s_Irr!BE11="."),s_dir!J11/((1/1000)*(s_Irr!I11)),IF(AND(s_Irr!I11=".",s_Irr!AG11=".",s_Irr!BE11="."),s_dir!J11*1000)))))))),".")</f>
        <v>.</v>
      </c>
      <c r="K11" s="76" t="str">
        <f>IFERROR(IF(AND(s_Irr!J11&lt;&gt;".",s_Irr!AH11&lt;&gt;".",s_Irr!BF11&lt;&gt;"."),s_dir!K11/((1/1000)*(s_Irr!J11+s_Irr!AH11+s_Irr!BF11)),IF(AND(s_Irr!J11&lt;&gt;".",s_Irr!AH11&lt;&gt;".",s_Irr!BF11="."),s_dir!K11/((1/1000)*(s_Irr!J11+s_Irr!AH11)),IF(AND(s_Irr!J11&lt;&gt;".",s_Irr!AH11=".",s_Irr!BF11&lt;&gt;"."),s_dir!K11/((1/1000)*(s_Irr!J11+s_Irr!BF11)),IF(AND(s_Irr!J11=".",s_Irr!AH11&lt;&gt;".",s_Irr!BF11&lt;&gt;"."),s_dir!K11/((1/1000)*(s_Irr!AH11+s_Irr!BF11)),IF(AND(s_Irr!J11=".",s_Irr!AH11=".",s_Irr!BF11&lt;&gt;"."),s_dir!K11/((1/1000)*(s_Irr!BF11)),IF(AND(s_Irr!J11=".",s_Irr!AH11&lt;&gt;".",s_Irr!BF11="."),s_dir!K11/((1/1000)*(s_Irr!AH11)),IF(AND(s_Irr!J11&lt;&gt;".",s_Irr!AH11=".",s_Irr!BF11="."),s_dir!K11/((1/1000)*(s_Irr!J11)),IF(AND(s_Irr!J11=".",s_Irr!AH11=".",s_Irr!BF11="."),s_dir!K11*1000)))))))),".")</f>
        <v>.</v>
      </c>
      <c r="L11" s="76" t="str">
        <f>IFERROR(IF(AND(s_Irr!K11&lt;&gt;".",s_Irr!AI11&lt;&gt;".",s_Irr!BG11&lt;&gt;"."),s_dir!L11/((1/1000)*(s_Irr!K11+s_Irr!AI11+s_Irr!BG11)),IF(AND(s_Irr!K11&lt;&gt;".",s_Irr!AI11&lt;&gt;".",s_Irr!BG11="."),s_dir!L11/((1/1000)*(s_Irr!K11+s_Irr!AI11)),IF(AND(s_Irr!K11&lt;&gt;".",s_Irr!AI11=".",s_Irr!BG11&lt;&gt;"."),s_dir!L11/((1/1000)*(s_Irr!K11+s_Irr!BG11)),IF(AND(s_Irr!K11=".",s_Irr!AI11&lt;&gt;".",s_Irr!BG11&lt;&gt;"."),s_dir!L11/((1/1000)*(s_Irr!AI11+s_Irr!BG11)),IF(AND(s_Irr!K11=".",s_Irr!AI11=".",s_Irr!BG11&lt;&gt;"."),s_dir!L11/((1/1000)*(s_Irr!BG11)),IF(AND(s_Irr!K11=".",s_Irr!AI11&lt;&gt;".",s_Irr!BG11="."),s_dir!L11/((1/1000)*(s_Irr!AI11)),IF(AND(s_Irr!K11&lt;&gt;".",s_Irr!AI11=".",s_Irr!BG11="."),s_dir!L11/((1/1000)*(s_Irr!K11)),IF(AND(s_Irr!K11=".",s_Irr!AI11=".",s_Irr!BG11="."),s_dir!L11*1000)))))))),".")</f>
        <v>.</v>
      </c>
      <c r="M11" s="76" t="str">
        <f>IFERROR(IF(AND(s_Irr!L11&lt;&gt;".",s_Irr!AJ11&lt;&gt;".",s_Irr!BH11&lt;&gt;"."),s_dir!M11/((1/1000)*(s_Irr!L11+s_Irr!AJ11+s_Irr!BH11)),IF(AND(s_Irr!L11&lt;&gt;".",s_Irr!AJ11&lt;&gt;".",s_Irr!BH11="."),s_dir!M11/((1/1000)*(s_Irr!L11+s_Irr!AJ11)),IF(AND(s_Irr!L11&lt;&gt;".",s_Irr!AJ11=".",s_Irr!BH11&lt;&gt;"."),s_dir!M11/((1/1000)*(s_Irr!L11+s_Irr!BH11)),IF(AND(s_Irr!L11=".",s_Irr!AJ11&lt;&gt;".",s_Irr!BH11&lt;&gt;"."),s_dir!M11/((1/1000)*(s_Irr!AJ11+s_Irr!BH11)),IF(AND(s_Irr!L11=".",s_Irr!AJ11=".",s_Irr!BH11&lt;&gt;"."),s_dir!M11/((1/1000)*(s_Irr!BH11)),IF(AND(s_Irr!L11=".",s_Irr!AJ11&lt;&gt;".",s_Irr!BH11="."),s_dir!M11/((1/1000)*(s_Irr!AJ11)),IF(AND(s_Irr!L11&lt;&gt;".",s_Irr!AJ11=".",s_Irr!BH11="."),s_dir!M11/((1/1000)*(s_Irr!L11)),IF(AND(s_Irr!L11=".",s_Irr!AJ11=".",s_Irr!BH11="."),s_dir!M11*1000)))))))),".")</f>
        <v>.</v>
      </c>
      <c r="N11" s="76" t="str">
        <f>IFERROR(IF(AND(s_Irr!M11&lt;&gt;".",s_Irr!AK11&lt;&gt;".",s_Irr!BI11&lt;&gt;"."),s_dir!N11/((1/1000)*(s_Irr!M11+s_Irr!AK11+s_Irr!BI11)),IF(AND(s_Irr!M11&lt;&gt;".",s_Irr!AK11&lt;&gt;".",s_Irr!BI11="."),s_dir!N11/((1/1000)*(s_Irr!M11+s_Irr!AK11)),IF(AND(s_Irr!M11&lt;&gt;".",s_Irr!AK11=".",s_Irr!BI11&lt;&gt;"."),s_dir!N11/((1/1000)*(s_Irr!M11+s_Irr!BI11)),IF(AND(s_Irr!M11=".",s_Irr!AK11&lt;&gt;".",s_Irr!BI11&lt;&gt;"."),s_dir!N11/((1/1000)*(s_Irr!AK11+s_Irr!BI11)),IF(AND(s_Irr!M11=".",s_Irr!AK11=".",s_Irr!BI11&lt;&gt;"."),s_dir!N11/((1/1000)*(s_Irr!BI11)),IF(AND(s_Irr!M11=".",s_Irr!AK11&lt;&gt;".",s_Irr!BI11="."),s_dir!N11/((1/1000)*(s_Irr!AK11)),IF(AND(s_Irr!M11&lt;&gt;".",s_Irr!AK11=".",s_Irr!BI11="."),s_dir!N11/((1/1000)*(s_Irr!M11)),IF(AND(s_Irr!M11=".",s_Irr!AK11=".",s_Irr!BI11="."),s_dir!N11*1000)))))))),".")</f>
        <v>.</v>
      </c>
      <c r="O11" s="76" t="str">
        <f>IFERROR(IF(AND(s_Irr!N11&lt;&gt;".",s_Irr!AL11&lt;&gt;".",s_Irr!BJ11&lt;&gt;"."),s_dir!O11/((1/1000)*(s_Irr!N11+s_Irr!AL11+s_Irr!BJ11)),IF(AND(s_Irr!N11&lt;&gt;".",s_Irr!AL11&lt;&gt;".",s_Irr!BJ11="."),s_dir!O11/((1/1000)*(s_Irr!N11+s_Irr!AL11)),IF(AND(s_Irr!N11&lt;&gt;".",s_Irr!AL11=".",s_Irr!BJ11&lt;&gt;"."),s_dir!O11/((1/1000)*(s_Irr!N11+s_Irr!BJ11)),IF(AND(s_Irr!N11=".",s_Irr!AL11&lt;&gt;".",s_Irr!BJ11&lt;&gt;"."),s_dir!O11/((1/1000)*(s_Irr!AL11+s_Irr!BJ11)),IF(AND(s_Irr!N11=".",s_Irr!AL11=".",s_Irr!BJ11&lt;&gt;"."),s_dir!O11/((1/1000)*(s_Irr!BJ11)),IF(AND(s_Irr!N11=".",s_Irr!AL11&lt;&gt;".",s_Irr!BJ11="."),s_dir!O11/((1/1000)*(s_Irr!AL11)),IF(AND(s_Irr!N11&lt;&gt;".",s_Irr!AL11=".",s_Irr!BJ11="."),s_dir!O11/((1/1000)*(s_Irr!N11)),IF(AND(s_Irr!N11=".",s_Irr!AL11=".",s_Irr!BJ11="."),s_dir!O11*1000)))))))),".")</f>
        <v>.</v>
      </c>
      <c r="P11" s="76" t="str">
        <f>IFERROR(IF(AND(s_Irr!O11&lt;&gt;".",s_Irr!AM11&lt;&gt;".",s_Irr!BK11&lt;&gt;"."),s_dir!P11/((1/1000)*(s_Irr!O11+s_Irr!AM11+s_Irr!BK11)),IF(AND(s_Irr!O11&lt;&gt;".",s_Irr!AM11&lt;&gt;".",s_Irr!BK11="."),s_dir!P11/((1/1000)*(s_Irr!O11+s_Irr!AM11)),IF(AND(s_Irr!O11&lt;&gt;".",s_Irr!AM11=".",s_Irr!BK11&lt;&gt;"."),s_dir!P11/((1/1000)*(s_Irr!O11+s_Irr!BK11)),IF(AND(s_Irr!O11=".",s_Irr!AM11&lt;&gt;".",s_Irr!BK11&lt;&gt;"."),s_dir!P11/((1/1000)*(s_Irr!AM11+s_Irr!BK11)),IF(AND(s_Irr!O11=".",s_Irr!AM11=".",s_Irr!BK11&lt;&gt;"."),s_dir!P11/((1/1000)*(s_Irr!BK11)),IF(AND(s_Irr!O11=".",s_Irr!AM11&lt;&gt;".",s_Irr!BK11="."),s_dir!P11/((1/1000)*(s_Irr!AM11)),IF(AND(s_Irr!O11&lt;&gt;".",s_Irr!AM11=".",s_Irr!BK11="."),s_dir!P11/((1/1000)*(s_Irr!O11)),IF(AND(s_Irr!O11=".",s_Irr!AM11=".",s_Irr!BK11="."),s_dir!P11*1000)))))))),".")</f>
        <v>.</v>
      </c>
      <c r="Q11" s="76" t="str">
        <f>IFERROR(IF(AND(s_Irr!P11&lt;&gt;".",s_Irr!AN11&lt;&gt;".",s_Irr!BL11&lt;&gt;"."),s_dir!Q11/((1/1000)*(s_Irr!P11+s_Irr!AN11+s_Irr!BL11)),IF(AND(s_Irr!P11&lt;&gt;".",s_Irr!AN11&lt;&gt;".",s_Irr!BL11="."),s_dir!Q11/((1/1000)*(s_Irr!P11+s_Irr!AN11)),IF(AND(s_Irr!P11&lt;&gt;".",s_Irr!AN11=".",s_Irr!BL11&lt;&gt;"."),s_dir!Q11/((1/1000)*(s_Irr!P11+s_Irr!BL11)),IF(AND(s_Irr!P11=".",s_Irr!AN11&lt;&gt;".",s_Irr!BL11&lt;&gt;"."),s_dir!Q11/((1/1000)*(s_Irr!AN11+s_Irr!BL11)),IF(AND(s_Irr!P11=".",s_Irr!AN11=".",s_Irr!BL11&lt;&gt;"."),s_dir!Q11/((1/1000)*(s_Irr!BL11)),IF(AND(s_Irr!P11=".",s_Irr!AN11&lt;&gt;".",s_Irr!BL11="."),s_dir!Q11/((1/1000)*(s_Irr!AN11)),IF(AND(s_Irr!P11&lt;&gt;".",s_Irr!AN11=".",s_Irr!BL11="."),s_dir!Q11/((1/1000)*(s_Irr!P11)),IF(AND(s_Irr!P11=".",s_Irr!AN11=".",s_Irr!BL11="."),s_dir!Q11*1000)))))))),".")</f>
        <v>.</v>
      </c>
      <c r="R11" s="76" t="str">
        <f>IFERROR(IF(AND(s_Irr!Q11&lt;&gt;".",s_Irr!AO11&lt;&gt;".",s_Irr!BM11&lt;&gt;"."),s_dir!R11/((1/1000)*(s_Irr!Q11+s_Irr!AO11+s_Irr!BM11)),IF(AND(s_Irr!Q11&lt;&gt;".",s_Irr!AO11&lt;&gt;".",s_Irr!BM11="."),s_dir!R11/((1/1000)*(s_Irr!Q11+s_Irr!AO11)),IF(AND(s_Irr!Q11&lt;&gt;".",s_Irr!AO11=".",s_Irr!BM11&lt;&gt;"."),s_dir!R11/((1/1000)*(s_Irr!Q11+s_Irr!BM11)),IF(AND(s_Irr!Q11=".",s_Irr!AO11&lt;&gt;".",s_Irr!BM11&lt;&gt;"."),s_dir!R11/((1/1000)*(s_Irr!AO11+s_Irr!BM11)),IF(AND(s_Irr!Q11=".",s_Irr!AO11=".",s_Irr!BM11&lt;&gt;"."),s_dir!R11/((1/1000)*(s_Irr!BM11)),IF(AND(s_Irr!Q11=".",s_Irr!AO11&lt;&gt;".",s_Irr!BM11="."),s_dir!R11/((1/1000)*(s_Irr!AO11)),IF(AND(s_Irr!Q11&lt;&gt;".",s_Irr!AO11=".",s_Irr!BM11="."),s_dir!R11/((1/1000)*(s_Irr!Q11)),IF(AND(s_Irr!Q11=".",s_Irr!AO11=".",s_Irr!BM11="."),s_dir!R11*1000)))))))),".")</f>
        <v>.</v>
      </c>
      <c r="S11" s="76" t="str">
        <f>IFERROR(IF(AND(s_Irr!R11&lt;&gt;".",s_Irr!AP11&lt;&gt;".",s_Irr!BN11&lt;&gt;"."),s_dir!S11/((1/1000)*(s_Irr!R11+s_Irr!AP11+s_Irr!BN11)),IF(AND(s_Irr!R11&lt;&gt;".",s_Irr!AP11&lt;&gt;".",s_Irr!BN11="."),s_dir!S11/((1/1000)*(s_Irr!R11+s_Irr!AP11)),IF(AND(s_Irr!R11&lt;&gt;".",s_Irr!AP11=".",s_Irr!BN11&lt;&gt;"."),s_dir!S11/((1/1000)*(s_Irr!R11+s_Irr!BN11)),IF(AND(s_Irr!R11=".",s_Irr!AP11&lt;&gt;".",s_Irr!BN11&lt;&gt;"."),s_dir!S11/((1/1000)*(s_Irr!AP11+s_Irr!BN11)),IF(AND(s_Irr!R11=".",s_Irr!AP11=".",s_Irr!BN11&lt;&gt;"."),s_dir!S11/((1/1000)*(s_Irr!BN11)),IF(AND(s_Irr!R11=".",s_Irr!AP11&lt;&gt;".",s_Irr!BN11="."),s_dir!S11/((1/1000)*(s_Irr!AP11)),IF(AND(s_Irr!R11&lt;&gt;".",s_Irr!AP11=".",s_Irr!BN11="."),s_dir!S11/((1/1000)*(s_Irr!R11)),IF(AND(s_Irr!R11=".",s_Irr!AP11=".",s_Irr!BN11="."),s_dir!S11*1000)))))))),".")</f>
        <v>.</v>
      </c>
      <c r="T11" s="76" t="str">
        <f>IFERROR(IF(AND(s_Irr!S11&lt;&gt;".",s_Irr!AQ11&lt;&gt;".",s_Irr!BO11&lt;&gt;"."),s_dir!T11/((1/1000)*(s_Irr!S11+s_Irr!AQ11+s_Irr!BO11)),IF(AND(s_Irr!S11&lt;&gt;".",s_Irr!AQ11&lt;&gt;".",s_Irr!BO11="."),s_dir!T11/((1/1000)*(s_Irr!S11+s_Irr!AQ11)),IF(AND(s_Irr!S11&lt;&gt;".",s_Irr!AQ11=".",s_Irr!BO11&lt;&gt;"."),s_dir!T11/((1/1000)*(s_Irr!S11+s_Irr!BO11)),IF(AND(s_Irr!S11=".",s_Irr!AQ11&lt;&gt;".",s_Irr!BO11&lt;&gt;"."),s_dir!T11/((1/1000)*(s_Irr!AQ11+s_Irr!BO11)),IF(AND(s_Irr!S11=".",s_Irr!AQ11=".",s_Irr!BO11&lt;&gt;"."),s_dir!T11/((1/1000)*(s_Irr!BO11)),IF(AND(s_Irr!S11=".",s_Irr!AQ11&lt;&gt;".",s_Irr!BO11="."),s_dir!T11/((1/1000)*(s_Irr!AQ11)),IF(AND(s_Irr!S11&lt;&gt;".",s_Irr!AQ11=".",s_Irr!BO11="."),s_dir!T11/((1/1000)*(s_Irr!S11)),IF(AND(s_Irr!S11=".",s_Irr!AQ11=".",s_Irr!BO11="."),s_dir!T11*1000)))))))),".")</f>
        <v>.</v>
      </c>
      <c r="U11" s="76" t="str">
        <f>IFERROR(IF(AND(s_Irr!T11&lt;&gt;".",s_Irr!AR11&lt;&gt;".",s_Irr!BP11&lt;&gt;"."),s_dir!U11/((1/1000)*(s_Irr!T11+s_Irr!AR11+s_Irr!BP11)),IF(AND(s_Irr!T11&lt;&gt;".",s_Irr!AR11&lt;&gt;".",s_Irr!BP11="."),s_dir!U11/((1/1000)*(s_Irr!T11+s_Irr!AR11)),IF(AND(s_Irr!T11&lt;&gt;".",s_Irr!AR11=".",s_Irr!BP11&lt;&gt;"."),s_dir!U11/((1/1000)*(s_Irr!T11+s_Irr!BP11)),IF(AND(s_Irr!T11=".",s_Irr!AR11&lt;&gt;".",s_Irr!BP11&lt;&gt;"."),s_dir!U11/((1/1000)*(s_Irr!AR11+s_Irr!BP11)),IF(AND(s_Irr!T11=".",s_Irr!AR11=".",s_Irr!BP11&lt;&gt;"."),s_dir!U11/((1/1000)*(s_Irr!BP11)),IF(AND(s_Irr!T11=".",s_Irr!AR11&lt;&gt;".",s_Irr!BP11="."),s_dir!U11/((1/1000)*(s_Irr!AR11)),IF(AND(s_Irr!T11&lt;&gt;".",s_Irr!AR11=".",s_Irr!BP11="."),s_dir!U11/((1/1000)*(s_Irr!T11)),IF(AND(s_Irr!T11=".",s_Irr!AR11=".",s_Irr!BP11="."),s_dir!U11*1000)))))))),".")</f>
        <v>.</v>
      </c>
      <c r="V11" s="76" t="str">
        <f>IFERROR(IF(AND(s_Irr!U11&lt;&gt;".",s_Irr!AS11&lt;&gt;".",s_Irr!BQ11&lt;&gt;"."),s_dir!V11/((1/1000)*(s_Irr!U11+s_Irr!AS11+s_Irr!BQ11)),IF(AND(s_Irr!U11&lt;&gt;".",s_Irr!AS11&lt;&gt;".",s_Irr!BQ11="."),s_dir!V11/((1/1000)*(s_Irr!U11+s_Irr!AS11)),IF(AND(s_Irr!U11&lt;&gt;".",s_Irr!AS11=".",s_Irr!BQ11&lt;&gt;"."),s_dir!V11/((1/1000)*(s_Irr!U11+s_Irr!BQ11)),IF(AND(s_Irr!U11=".",s_Irr!AS11&lt;&gt;".",s_Irr!BQ11&lt;&gt;"."),s_dir!V11/((1/1000)*(s_Irr!AS11+s_Irr!BQ11)),IF(AND(s_Irr!U11=".",s_Irr!AS11=".",s_Irr!BQ11&lt;&gt;"."),s_dir!V11/((1/1000)*(s_Irr!BQ11)),IF(AND(s_Irr!U11=".",s_Irr!AS11&lt;&gt;".",s_Irr!BQ11="."),s_dir!V11/((1/1000)*(s_Irr!AS11)),IF(AND(s_Irr!U11&lt;&gt;".",s_Irr!AS11=".",s_Irr!BQ11="."),s_dir!V11/((1/1000)*(s_Irr!U11)),IF(AND(s_Irr!U11=".",s_Irr!AS11=".",s_Irr!BQ11="."),s_dir!V11*1000)))))))),".")</f>
        <v>.</v>
      </c>
      <c r="W11" s="76" t="str">
        <f>IFERROR(IF(AND(s_Irr!V11&lt;&gt;".",s_Irr!AT11&lt;&gt;".",s_Irr!BR11&lt;&gt;"."),s_dir!W11/((1/1000)*(s_Irr!V11+s_Irr!AT11+s_Irr!BR11)),IF(AND(s_Irr!V11&lt;&gt;".",s_Irr!AT11&lt;&gt;".",s_Irr!BR11="."),s_dir!W11/((1/1000)*(s_Irr!V11+s_Irr!AT11)),IF(AND(s_Irr!V11&lt;&gt;".",s_Irr!AT11=".",s_Irr!BR11&lt;&gt;"."),s_dir!W11/((1/1000)*(s_Irr!V11+s_Irr!BR11)),IF(AND(s_Irr!V11=".",s_Irr!AT11&lt;&gt;".",s_Irr!BR11&lt;&gt;"."),s_dir!W11/((1/1000)*(s_Irr!AT11+s_Irr!BR11)),IF(AND(s_Irr!V11=".",s_Irr!AT11=".",s_Irr!BR11&lt;&gt;"."),s_dir!W11/((1/1000)*(s_Irr!BR11)),IF(AND(s_Irr!V11=".",s_Irr!AT11&lt;&gt;".",s_Irr!BR11="."),s_dir!W11/((1/1000)*(s_Irr!AT11)),IF(AND(s_Irr!V11&lt;&gt;".",s_Irr!AT11=".",s_Irr!BR11="."),s_dir!W11/((1/1000)*(s_Irr!V11)),IF(AND(s_Irr!V11=".",s_Irr!AT11=".",s_Irr!BR11="."),s_dir!W11*1000)))))))),".")</f>
        <v>.</v>
      </c>
      <c r="X11" s="76" t="str">
        <f>IFERROR(IF(AND(s_Irr!W11&lt;&gt;".",s_Irr!AU11&lt;&gt;".",s_Irr!BS11&lt;&gt;"."),s_dir!X11/((1/1000)*(s_Irr!W11+s_Irr!AU11+s_Irr!BS11)),IF(AND(s_Irr!W11&lt;&gt;".",s_Irr!AU11&lt;&gt;".",s_Irr!BS11="."),s_dir!X11/((1/1000)*(s_Irr!W11+s_Irr!AU11)),IF(AND(s_Irr!W11&lt;&gt;".",s_Irr!AU11=".",s_Irr!BS11&lt;&gt;"."),s_dir!X11/((1/1000)*(s_Irr!W11+s_Irr!BS11)),IF(AND(s_Irr!W11=".",s_Irr!AU11&lt;&gt;".",s_Irr!BS11&lt;&gt;"."),s_dir!X11/((1/1000)*(s_Irr!AU11+s_Irr!BS11)),IF(AND(s_Irr!W11=".",s_Irr!AU11=".",s_Irr!BS11&lt;&gt;"."),s_dir!X11/((1/1000)*(s_Irr!BS11)),IF(AND(s_Irr!W11=".",s_Irr!AU11&lt;&gt;".",s_Irr!BS11="."),s_dir!X11/((1/1000)*(s_Irr!AU11)),IF(AND(s_Irr!W11&lt;&gt;".",s_Irr!AU11=".",s_Irr!BS11="."),s_dir!X11/((1/1000)*(s_Irr!W11)),IF(AND(s_Irr!W11=".",s_Irr!AU11=".",s_Irr!BS11="."),s_dir!X11*1000)))))))),".")</f>
        <v>.</v>
      </c>
      <c r="Y11" s="76" t="str">
        <f>IFERROR(IF(AND(s_Irr!X11&lt;&gt;".",s_Irr!AV11&lt;&gt;".",s_Irr!BT11&lt;&gt;"."),s_dir!Y11/((1/1000)*(s_Irr!X11+s_Irr!AV11+s_Irr!BT11)),IF(AND(s_Irr!X11&lt;&gt;".",s_Irr!AV11&lt;&gt;".",s_Irr!BT11="."),s_dir!Y11/((1/1000)*(s_Irr!X11+s_Irr!AV11)),IF(AND(s_Irr!X11&lt;&gt;".",s_Irr!AV11=".",s_Irr!BT11&lt;&gt;"."),s_dir!Y11/((1/1000)*(s_Irr!X11+s_Irr!BT11)),IF(AND(s_Irr!X11=".",s_Irr!AV11&lt;&gt;".",s_Irr!BT11&lt;&gt;"."),s_dir!Y11/((1/1000)*(s_Irr!AV11+s_Irr!BT11)),IF(AND(s_Irr!X11=".",s_Irr!AV11=".",s_Irr!BT11&lt;&gt;"."),s_dir!Y11/((1/1000)*(s_Irr!BT11)),IF(AND(s_Irr!X11=".",s_Irr!AV11&lt;&gt;".",s_Irr!BT11="."),s_dir!Y11/((1/1000)*(s_Irr!AV11)),IF(AND(s_Irr!X11&lt;&gt;".",s_Irr!AV11=".",s_Irr!BT11="."),s_dir!Y11/((1/1000)*(s_Irr!X11)),IF(AND(s_Irr!X11=".",s_Irr!AV11=".",s_Irr!BT11="."),s_dir!Y11*1000)))))))),".")</f>
        <v>.</v>
      </c>
      <c r="Z11" s="76" t="str">
        <f>IFERROR(IF(AND(s_Irr!Y11&lt;&gt;".",s_Irr!AW11&lt;&gt;".",s_Irr!BU11&lt;&gt;"."),s_dir!Z11/((1/1000)*(s_Irr!Y11+s_Irr!AW11+s_Irr!BU11)),IF(AND(s_Irr!Y11&lt;&gt;".",s_Irr!AW11&lt;&gt;".",s_Irr!BU11="."),s_dir!Z11/((1/1000)*(s_Irr!Y11+s_Irr!AW11)),IF(AND(s_Irr!Y11&lt;&gt;".",s_Irr!AW11=".",s_Irr!BU11&lt;&gt;"."),s_dir!Z11/((1/1000)*(s_Irr!Y11+s_Irr!BU11)),IF(AND(s_Irr!Y11=".",s_Irr!AW11&lt;&gt;".",s_Irr!BU11&lt;&gt;"."),s_dir!Z11/((1/1000)*(s_Irr!AW11+s_Irr!BU11)),IF(AND(s_Irr!Y11=".",s_Irr!AW11=".",s_Irr!BU11&lt;&gt;"."),s_dir!Z11/((1/1000)*(s_Irr!BU11)),IF(AND(s_Irr!Y11=".",s_Irr!AW11&lt;&gt;".",s_Irr!BU11="."),s_dir!Z11/((1/1000)*(s_Irr!AW11)),IF(AND(s_Irr!Y11&lt;&gt;".",s_Irr!AW11=".",s_Irr!BU11="."),s_dir!Z11/((1/1000)*(s_Irr!Y11)),IF(AND(s_Irr!Y11=".",s_Irr!AW11=".",s_Irr!BU11="."),s_dir!Z11*1000)))))))),".")</f>
        <v>.</v>
      </c>
      <c r="AA11" s="76" t="str">
        <f>IFERROR(IF(AND(s_Irr!Z11&lt;&gt;".",s_Irr!AX11&lt;&gt;".",s_Irr!BV11&lt;&gt;"."),s_dir!AA11/((1/1000)*(s_Irr!Z11+s_Irr!AX11+s_Irr!BV11)),IF(AND(s_Irr!Z11&lt;&gt;".",s_Irr!AX11&lt;&gt;".",s_Irr!BV11="."),s_dir!AA11/((1/1000)*(s_Irr!Z11+s_Irr!AX11)),IF(AND(s_Irr!Z11&lt;&gt;".",s_Irr!AX11=".",s_Irr!BV11&lt;&gt;"."),s_dir!AA11/((1/1000)*(s_Irr!Z11+s_Irr!BV11)),IF(AND(s_Irr!Z11=".",s_Irr!AX11&lt;&gt;".",s_Irr!BV11&lt;&gt;"."),s_dir!AA11/((1/1000)*(s_Irr!AX11+s_Irr!BV11)),IF(AND(s_Irr!Z11=".",s_Irr!AX11=".",s_Irr!BV11&lt;&gt;"."),s_dir!AA11/((1/1000)*(s_Irr!BV11)),IF(AND(s_Irr!Z11=".",s_Irr!AX11&lt;&gt;".",s_Irr!BV11="."),s_dir!AA11/((1/1000)*(s_Irr!AX11)),IF(AND(s_Irr!Z11&lt;&gt;".",s_Irr!AX11=".",s_Irr!BV11="."),s_dir!AA11/((1/1000)*(s_Irr!Z11)),IF(AND(s_Irr!Z11=".",s_Irr!AX11=".",s_Irr!BV11="."),s_dir!AA11*1000)))))))),".")</f>
        <v>.</v>
      </c>
      <c r="AB11" s="93">
        <f>SUM(AC11:AD11,AY11:AZ11)</f>
        <v>971.18063421321278</v>
      </c>
      <c r="AC11" s="93">
        <f>IFERROR(s_C*s_IFAP_res_adj*s_CF_apple*0.001*(s_Irr!C11+s_Irr!AA11+s_Irr!AY11),".")</f>
        <v>242.7951585533032</v>
      </c>
      <c r="AD11" s="93">
        <f>IFERROR(s_C*s_IFAS_res_adj*s_CF_asparagus*0.001*(s_Irr!D11+s_Irr!AB11+s_Irr!AZ11),".")</f>
        <v>242.7951585533032</v>
      </c>
      <c r="AE11" s="93">
        <f>IFERROR(s_C*s_IFBT_res_adj*s_CF_beet*0.001*(s_Irr!E11+s_Irr!AC11+s_Irr!BA11),".")</f>
        <v>242.7951585533032</v>
      </c>
      <c r="AF11" s="93">
        <f>IFERROR(s_C*s_IFBE_res_adj*s_CF_berries*0.001*(s_Irr!F11+s_Irr!AD11+s_Irr!BB11),".")</f>
        <v>242.7951585533032</v>
      </c>
      <c r="AG11" s="93">
        <f>IFERROR(s_C*s_IFBR_res_adj*s_CF_broccoli*0.001*(s_Irr!G11+s_Irr!AE11+s_Irr!BC11),".")</f>
        <v>242.7951585533032</v>
      </c>
      <c r="AH11" s="93">
        <f>IFERROR(s_C*s_IFCB_res_adj*s_CF_cabbage*0.001*(s_Irr!H11+s_Irr!AF11+s_Irr!BD11),".")</f>
        <v>242.7951585533032</v>
      </c>
      <c r="AI11" s="93">
        <f>IFERROR(s_C*s_IFCR_res_adj*s_CF_carrot*0.001*(s_Irr!I11+s_Irr!AG11+s_Irr!BE11),".")</f>
        <v>242.7951585533032</v>
      </c>
      <c r="AJ11" s="93">
        <f>IFERROR(s_C*s_IFCI_res_adj*s_CF_citrus*0.001*(s_Irr!J11+s_Irr!AH11+s_Irr!BF11),".")</f>
        <v>242.7951585533032</v>
      </c>
      <c r="AK11" s="93">
        <f>IFERROR(s_C*s_IFCO_res_adj*s_CF_corn*0.001*(s_Irr!K11+s_Irr!AI11+s_Irr!BG11),".")</f>
        <v>242.7951585533032</v>
      </c>
      <c r="AL11" s="93">
        <f>IFERROR(s_C*s_IFCU_res_adj*s_CF_cucumber*0.001*(s_Irr!L11+s_Irr!AJ11+s_Irr!BH11),".")</f>
        <v>242.7951585533032</v>
      </c>
      <c r="AM11" s="93">
        <f>IFERROR(s_C*s_IFLE_res_adj*s_CF_lettuce*0.001*(s_Irr!M11+s_Irr!AK11+s_Irr!BI11),".")</f>
        <v>242.7951585533032</v>
      </c>
      <c r="AN11" s="93">
        <f>IFERROR(s_C*s_IFLI_res_adj*s_CF_lima_bean*0.001*(s_Irr!N11+s_Irr!AL11+s_Irr!BJ11),".")</f>
        <v>242.7951585533032</v>
      </c>
      <c r="AO11" s="93">
        <f>IFERROR(s_C*s_IFOK_res_adj*s_CF_okra*0.001*(s_Irr!O11+s_Irr!AM11+s_Irr!BK11),".")</f>
        <v>242.7951585533032</v>
      </c>
      <c r="AP11" s="93">
        <f>IFERROR(s_C*s_IFON_res_adj*s_CF_onion*0.001*(s_Irr!P11+s_Irr!AN11+s_Irr!BL11),".")</f>
        <v>242.7951585533032</v>
      </c>
      <c r="AQ11" s="93">
        <f>IFERROR(s_C*s_IFPC_res_adj*s_CF_peach*0.001*(s_Irr!Q11+s_Irr!AO11+s_Irr!BM11),".")</f>
        <v>242.7951585533032</v>
      </c>
      <c r="AR11" s="93">
        <f>IFERROR(s_C*s_IFPR_res_adj*s_CF_pear*0.001*(s_Irr!R11+s_Irr!AP11+s_Irr!BN11),".")</f>
        <v>242.7951585533032</v>
      </c>
      <c r="AS11" s="93">
        <f>IFERROR(s_C*s_IFPE_res_adj*s_CF_peas*0.001*(s_Irr!S11+s_Irr!AQ11+s_Irr!BO11),".")</f>
        <v>242.7951585533032</v>
      </c>
      <c r="AT11" s="93">
        <f>IFERROR(s_C*s_IFPT_res_adj*s_CF_potato*0.001*(s_Irr!T11+s_Irr!AR11+s_Irr!BP11),".")</f>
        <v>242.7951585533032</v>
      </c>
      <c r="AU11" s="93">
        <f>IFERROR(s_C*s_IFPU_res_adj*s_CF_pumpkin*0.001*(s_Irr!U11+s_Irr!AS11+s_Irr!BQ11),".")</f>
        <v>242.7951585533032</v>
      </c>
      <c r="AV11" s="93">
        <f>IFERROR(s_C*s_IFSN_res_adj*s_CF_snap_bean*0.001*(s_Irr!V11+s_Irr!AT11+s_Irr!BR11),".")</f>
        <v>242.7951585533032</v>
      </c>
      <c r="AW11" s="93">
        <f>IFERROR(s_C*s_IFST_res_adj*s_CF_strawberry*0.001*(s_Irr!W11+s_Irr!AU11+s_Irr!BS11),".")</f>
        <v>242.7951585533032</v>
      </c>
      <c r="AX11" s="93">
        <f>IFERROR(s_C*s_IFTO_res_adj*s_CF_tomato*0.001*(s_Irr!X11+s_Irr!AV11+s_Irr!BT11),".")</f>
        <v>242.7951585533032</v>
      </c>
      <c r="AY11" s="93">
        <f>IFERROR(s_C*s_IFRI_res_adj*s_CF_rice*0.001*(s_Irr!Y11+s_Irr!AW11+s_Irr!BU11),".")</f>
        <v>242.7951585533032</v>
      </c>
      <c r="AZ11" s="93">
        <f>IFERROR(s_C*s_IFCG_res_adj*s_CF_cereal*0.001*(s_Irr!Z11+s_Irr!AX11+s_Irr!BV11),".")</f>
        <v>242.7951585533032</v>
      </c>
      <c r="BA11" s="76" t="str">
        <f t="shared" ref="BA11" si="13">IFERROR(1/SUM(1/BB11,1/BC11,1/BX11,1/BY11),".")</f>
        <v>.</v>
      </c>
      <c r="BB11" s="76" t="str">
        <f>IFERROR(IF(AND(s_Irr!C11&lt;&gt;".",s_Irr!AA11&lt;&gt;".",s_Irr!AY11&lt;&gt;"."),s_dir!AC11/((1/1000)*(s_Irr!C11+s_Irr!AA11+s_Irr!AY11)),IF(AND(s_Irr!C11&lt;&gt;".",s_Irr!AA11&lt;&gt;".",s_Irr!AY11="."),s_dir!AC11/((1/1000)*(s_Irr!C11+s_Irr!AA11)),IF(AND(s_Irr!C11&lt;&gt;".",s_Irr!AA11=".",s_Irr!AY11&lt;&gt;"."),s_dir!AC11/((1/1000)*(s_Irr!C11+s_Irr!AY11)),IF(AND(s_Irr!C11=".",s_Irr!AA11&lt;&gt;".",s_Irr!AY11&lt;&gt;"."),s_dir!AC11/((1/1000)*(s_Irr!AA11+s_Irr!AY11)),IF(AND(s_Irr!C11=".",s_Irr!AA11=".",s_Irr!AY11&lt;&gt;"."),s_dir!AC11/((1/1000)*(s_Irr!AY11)),IF(AND(s_Irr!C11=".",s_Irr!AA11&lt;&gt;".",s_Irr!AY11="."),s_dir!AC11/((1/1000)*(s_Irr!AA11)),IF(AND(s_Irr!C11&lt;&gt;".",s_Irr!AA11=".",s_Irr!AY11="."),s_dir!AC11/((1/1000)*(s_Irr!C11)),IF(AND(s_Irr!C11=".",s_Irr!AA11=".",s_Irr!AY11="."),s_dir!AC11*1000)))))))),".")</f>
        <v>.</v>
      </c>
      <c r="BC11" s="76" t="str">
        <f>IFERROR(IF(AND(s_Irr!D11&lt;&gt;".",s_Irr!AB11&lt;&gt;".",s_Irr!AZ11&lt;&gt;"."),s_dir!AD11/((1/1000)*(s_Irr!D11+s_Irr!AB11+s_Irr!AZ11)),IF(AND(s_Irr!D11&lt;&gt;".",s_Irr!AB11&lt;&gt;".",s_Irr!AZ11="."),s_dir!AD11/((1/1000)*(s_Irr!D11+s_Irr!AB11)),IF(AND(s_Irr!D11&lt;&gt;".",s_Irr!AB11=".",s_Irr!AZ11&lt;&gt;"."),s_dir!AD11/((1/1000)*(s_Irr!D11+s_Irr!AZ11)),IF(AND(s_Irr!D11=".",s_Irr!AB11&lt;&gt;".",s_Irr!AZ11&lt;&gt;"."),s_dir!AD11/((1/1000)*(s_Irr!AB11+s_Irr!AZ11)),IF(AND(s_Irr!D11=".",s_Irr!AB11=".",s_Irr!AZ11&lt;&gt;"."),s_dir!AD11/((1/1000)*(s_Irr!AZ11)),IF(AND(s_Irr!D11=".",s_Irr!AB11&lt;&gt;".",s_Irr!AZ11="."),s_dir!AD11/((1/1000)*(s_Irr!AB11)),IF(AND(s_Irr!D11&lt;&gt;".",s_Irr!AB11=".",s_Irr!AZ11="."),s_dir!AD11/((1/1000)*(s_Irr!D11)),IF(AND(s_Irr!D11=".",s_Irr!AB11=".",s_Irr!AZ11="."),s_dir!AD11*1000)))))))),".")</f>
        <v>.</v>
      </c>
      <c r="BD11" s="76" t="str">
        <f>IFERROR(IF(AND(s_Irr!E11&lt;&gt;".",s_Irr!AC11&lt;&gt;".",s_Irr!BA11&lt;&gt;"."),s_dir!AE11/((1/1000)*(s_Irr!E11+s_Irr!AC11+s_Irr!BA11)),IF(AND(s_Irr!E11&lt;&gt;".",s_Irr!AC11&lt;&gt;".",s_Irr!BA11="."),s_dir!AE11/((1/1000)*(s_Irr!E11+s_Irr!AC11)),IF(AND(s_Irr!E11&lt;&gt;".",s_Irr!AC11=".",s_Irr!BA11&lt;&gt;"."),s_dir!AE11/((1/1000)*(s_Irr!E11+s_Irr!BA11)),IF(AND(s_Irr!E11=".",s_Irr!AC11&lt;&gt;".",s_Irr!BA11&lt;&gt;"."),s_dir!AE11/((1/1000)*(s_Irr!AC11+s_Irr!BA11)),IF(AND(s_Irr!E11=".",s_Irr!AC11=".",s_Irr!BA11&lt;&gt;"."),s_dir!AE11/((1/1000)*(s_Irr!BA11)),IF(AND(s_Irr!E11=".",s_Irr!AC11&lt;&gt;".",s_Irr!BA11="."),s_dir!AE11/((1/1000)*(s_Irr!AC11)),IF(AND(s_Irr!E11&lt;&gt;".",s_Irr!AC11=".",s_Irr!BA11="."),s_dir!AE11/((1/1000)*(s_Irr!E11)),IF(AND(s_Irr!E11=".",s_Irr!AC11=".",s_Irr!BA11="."),s_dir!AE11*1000)))))))),".")</f>
        <v>.</v>
      </c>
      <c r="BE11" s="76" t="str">
        <f>IFERROR(IF(AND(s_Irr!F11&lt;&gt;".",s_Irr!AD11&lt;&gt;".",s_Irr!BB11&lt;&gt;"."),s_dir!AF11/((1/1000)*(s_Irr!F11+s_Irr!AD11+s_Irr!BB11)),IF(AND(s_Irr!F11&lt;&gt;".",s_Irr!AD11&lt;&gt;".",s_Irr!BB11="."),s_dir!AF11/((1/1000)*(s_Irr!F11+s_Irr!AD11)),IF(AND(s_Irr!F11&lt;&gt;".",s_Irr!AD11=".",s_Irr!BB11&lt;&gt;"."),s_dir!AF11/((1/1000)*(s_Irr!F11+s_Irr!BB11)),IF(AND(s_Irr!F11=".",s_Irr!AD11&lt;&gt;".",s_Irr!BB11&lt;&gt;"."),s_dir!AF11/((1/1000)*(s_Irr!AD11+s_Irr!BB11)),IF(AND(s_Irr!F11=".",s_Irr!AD11=".",s_Irr!BB11&lt;&gt;"."),s_dir!AF11/((1/1000)*(s_Irr!BB11)),IF(AND(s_Irr!F11=".",s_Irr!AD11&lt;&gt;".",s_Irr!BB11="."),s_dir!AF11/((1/1000)*(s_Irr!AD11)),IF(AND(s_Irr!F11&lt;&gt;".",s_Irr!AD11=".",s_Irr!BB11="."),s_dir!AF11/((1/1000)*(s_Irr!F11)),IF(AND(s_Irr!F11=".",s_Irr!AD11=".",s_Irr!BB11="."),s_dir!AF11*1000)))))))),".")</f>
        <v>.</v>
      </c>
      <c r="BF11" s="76" t="str">
        <f>IFERROR(IF(AND(s_Irr!G11&lt;&gt;".",s_Irr!AE11&lt;&gt;".",s_Irr!BC11&lt;&gt;"."),s_dir!AG11/((1/1000)*(s_Irr!G11+s_Irr!AE11+s_Irr!BC11)),IF(AND(s_Irr!G11&lt;&gt;".",s_Irr!AE11&lt;&gt;".",s_Irr!BC11="."),s_dir!AG11/((1/1000)*(s_Irr!G11+s_Irr!AE11)),IF(AND(s_Irr!G11&lt;&gt;".",s_Irr!AE11=".",s_Irr!BC11&lt;&gt;"."),s_dir!AG11/((1/1000)*(s_Irr!G11+s_Irr!BC11)),IF(AND(s_Irr!G11=".",s_Irr!AE11&lt;&gt;".",s_Irr!BC11&lt;&gt;"."),s_dir!AG11/((1/1000)*(s_Irr!AE11+s_Irr!BC11)),IF(AND(s_Irr!G11=".",s_Irr!AE11=".",s_Irr!BC11&lt;&gt;"."),s_dir!AG11/((1/1000)*(s_Irr!BC11)),IF(AND(s_Irr!G11=".",s_Irr!AE11&lt;&gt;".",s_Irr!BC11="."),s_dir!AG11/((1/1000)*(s_Irr!AE11)),IF(AND(s_Irr!G11&lt;&gt;".",s_Irr!AE11=".",s_Irr!BC11="."),s_dir!AG11/((1/1000)*(s_Irr!G11)),IF(AND(s_Irr!G11=".",s_Irr!AE11=".",s_Irr!BC11="."),s_dir!AG11*1000)))))))),".")</f>
        <v>.</v>
      </c>
      <c r="BG11" s="76" t="str">
        <f>IFERROR(IF(AND(s_Irr!H11&lt;&gt;".",s_Irr!AF11&lt;&gt;".",s_Irr!BD11&lt;&gt;"."),s_dir!AH11/((1/1000)*(s_Irr!H11+s_Irr!AF11+s_Irr!BD11)),IF(AND(s_Irr!H11&lt;&gt;".",s_Irr!AF11&lt;&gt;".",s_Irr!BD11="."),s_dir!AH11/((1/1000)*(s_Irr!H11+s_Irr!AF11)),IF(AND(s_Irr!H11&lt;&gt;".",s_Irr!AF11=".",s_Irr!BD11&lt;&gt;"."),s_dir!AH11/((1/1000)*(s_Irr!H11+s_Irr!BD11)),IF(AND(s_Irr!H11=".",s_Irr!AF11&lt;&gt;".",s_Irr!BD11&lt;&gt;"."),s_dir!AH11/((1/1000)*(s_Irr!AF11+s_Irr!BD11)),IF(AND(s_Irr!H11=".",s_Irr!AF11=".",s_Irr!BD11&lt;&gt;"."),s_dir!AH11/((1/1000)*(s_Irr!BD11)),IF(AND(s_Irr!H11=".",s_Irr!AF11&lt;&gt;".",s_Irr!BD11="."),s_dir!AH11/((1/1000)*(s_Irr!AF11)),IF(AND(s_Irr!H11&lt;&gt;".",s_Irr!AF11=".",s_Irr!BD11="."),s_dir!AH11/((1/1000)*(s_Irr!H11)),IF(AND(s_Irr!H11=".",s_Irr!AF11=".",s_Irr!BD11="."),s_dir!AH11*1000)))))))),".")</f>
        <v>.</v>
      </c>
      <c r="BH11" s="76" t="str">
        <f>IFERROR(IF(AND(s_Irr!I11&lt;&gt;".",s_Irr!AG11&lt;&gt;".",s_Irr!BE11&lt;&gt;"."),s_dir!AI11/((1/1000)*(s_Irr!I11+s_Irr!AG11+s_Irr!BE11)),IF(AND(s_Irr!I11&lt;&gt;".",s_Irr!AG11&lt;&gt;".",s_Irr!BE11="."),s_dir!AI11/((1/1000)*(s_Irr!I11+s_Irr!AG11)),IF(AND(s_Irr!I11&lt;&gt;".",s_Irr!AG11=".",s_Irr!BE11&lt;&gt;"."),s_dir!AI11/((1/1000)*(s_Irr!I11+s_Irr!BE11)),IF(AND(s_Irr!I11=".",s_Irr!AG11&lt;&gt;".",s_Irr!BE11&lt;&gt;"."),s_dir!AI11/((1/1000)*(s_Irr!AG11+s_Irr!BE11)),IF(AND(s_Irr!I11=".",s_Irr!AG11=".",s_Irr!BE11&lt;&gt;"."),s_dir!AI11/((1/1000)*(s_Irr!BE11)),IF(AND(s_Irr!I11=".",s_Irr!AG11&lt;&gt;".",s_Irr!BE11="."),s_dir!AI11/((1/1000)*(s_Irr!AG11)),IF(AND(s_Irr!I11&lt;&gt;".",s_Irr!AG11=".",s_Irr!BE11="."),s_dir!AI11/((1/1000)*(s_Irr!I11)),IF(AND(s_Irr!I11=".",s_Irr!AG11=".",s_Irr!BE11="."),s_dir!AI11*1000)))))))),".")</f>
        <v>.</v>
      </c>
      <c r="BI11" s="76" t="str">
        <f>IFERROR(IF(AND(s_Irr!J11&lt;&gt;".",s_Irr!AH11&lt;&gt;".",s_Irr!BF11&lt;&gt;"."),s_dir!AJ11/((1/1000)*(s_Irr!J11+s_Irr!AH11+s_Irr!BF11)),IF(AND(s_Irr!J11&lt;&gt;".",s_Irr!AH11&lt;&gt;".",s_Irr!BF11="."),s_dir!AJ11/((1/1000)*(s_Irr!J11+s_Irr!AH11)),IF(AND(s_Irr!J11&lt;&gt;".",s_Irr!AH11=".",s_Irr!BF11&lt;&gt;"."),s_dir!AJ11/((1/1000)*(s_Irr!J11+s_Irr!BF11)),IF(AND(s_Irr!J11=".",s_Irr!AH11&lt;&gt;".",s_Irr!BF11&lt;&gt;"."),s_dir!AJ11/((1/1000)*(s_Irr!AH11+s_Irr!BF11)),IF(AND(s_Irr!J11=".",s_Irr!AH11=".",s_Irr!BF11&lt;&gt;"."),s_dir!AJ11/((1/1000)*(s_Irr!BF11)),IF(AND(s_Irr!J11=".",s_Irr!AH11&lt;&gt;".",s_Irr!BF11="."),s_dir!AJ11/((1/1000)*(s_Irr!AH11)),IF(AND(s_Irr!J11&lt;&gt;".",s_Irr!AH11=".",s_Irr!BF11="."),s_dir!AJ11/((1/1000)*(s_Irr!J11)),IF(AND(s_Irr!J11=".",s_Irr!AH11=".",s_Irr!BF11="."),s_dir!AJ11*1000)))))))),".")</f>
        <v>.</v>
      </c>
      <c r="BJ11" s="76" t="str">
        <f>IFERROR(IF(AND(s_Irr!K11&lt;&gt;".",s_Irr!AI11&lt;&gt;".",s_Irr!BG11&lt;&gt;"."),s_dir!AK11/((1/1000)*(s_Irr!K11+s_Irr!AI11+s_Irr!BG11)),IF(AND(s_Irr!K11&lt;&gt;".",s_Irr!AI11&lt;&gt;".",s_Irr!BG11="."),s_dir!AK11/((1/1000)*(s_Irr!K11+s_Irr!AI11)),IF(AND(s_Irr!K11&lt;&gt;".",s_Irr!AI11=".",s_Irr!BG11&lt;&gt;"."),s_dir!AK11/((1/1000)*(s_Irr!K11+s_Irr!BG11)),IF(AND(s_Irr!K11=".",s_Irr!AI11&lt;&gt;".",s_Irr!BG11&lt;&gt;"."),s_dir!AK11/((1/1000)*(s_Irr!AI11+s_Irr!BG11)),IF(AND(s_Irr!K11=".",s_Irr!AI11=".",s_Irr!BG11&lt;&gt;"."),s_dir!AK11/((1/1000)*(s_Irr!BG11)),IF(AND(s_Irr!K11=".",s_Irr!AI11&lt;&gt;".",s_Irr!BG11="."),s_dir!AK11/((1/1000)*(s_Irr!AI11)),IF(AND(s_Irr!K11&lt;&gt;".",s_Irr!AI11=".",s_Irr!BG11="."),s_dir!AK11/((1/1000)*(s_Irr!K11)),IF(AND(s_Irr!K11=".",s_Irr!AI11=".",s_Irr!BG11="."),s_dir!AK11*1000)))))))),".")</f>
        <v>.</v>
      </c>
      <c r="BK11" s="76" t="str">
        <f>IFERROR(IF(AND(s_Irr!L11&lt;&gt;".",s_Irr!AJ11&lt;&gt;".",s_Irr!BH11&lt;&gt;"."),s_dir!AL11/((1/1000)*(s_Irr!L11+s_Irr!AJ11+s_Irr!BH11)),IF(AND(s_Irr!L11&lt;&gt;".",s_Irr!AJ11&lt;&gt;".",s_Irr!BH11="."),s_dir!AL11/((1/1000)*(s_Irr!L11+s_Irr!AJ11)),IF(AND(s_Irr!L11&lt;&gt;".",s_Irr!AJ11=".",s_Irr!BH11&lt;&gt;"."),s_dir!AL11/((1/1000)*(s_Irr!L11+s_Irr!BH11)),IF(AND(s_Irr!L11=".",s_Irr!AJ11&lt;&gt;".",s_Irr!BH11&lt;&gt;"."),s_dir!AL11/((1/1000)*(s_Irr!AJ11+s_Irr!BH11)),IF(AND(s_Irr!L11=".",s_Irr!AJ11=".",s_Irr!BH11&lt;&gt;"."),s_dir!AL11/((1/1000)*(s_Irr!BH11)),IF(AND(s_Irr!L11=".",s_Irr!AJ11&lt;&gt;".",s_Irr!BH11="."),s_dir!AL11/((1/1000)*(s_Irr!AJ11)),IF(AND(s_Irr!L11&lt;&gt;".",s_Irr!AJ11=".",s_Irr!BH11="."),s_dir!AL11/((1/1000)*(s_Irr!L11)),IF(AND(s_Irr!L11=".",s_Irr!AJ11=".",s_Irr!BH11="."),s_dir!AL11*1000)))))))),".")</f>
        <v>.</v>
      </c>
      <c r="BL11" s="76" t="str">
        <f>IFERROR(IF(AND(s_Irr!M11&lt;&gt;".",s_Irr!AK11&lt;&gt;".",s_Irr!BI11&lt;&gt;"."),s_dir!AM11/((1/1000)*(s_Irr!M11+s_Irr!AK11+s_Irr!BI11)),IF(AND(s_Irr!M11&lt;&gt;".",s_Irr!AK11&lt;&gt;".",s_Irr!BI11="."),s_dir!AM11/((1/1000)*(s_Irr!M11+s_Irr!AK11)),IF(AND(s_Irr!M11&lt;&gt;".",s_Irr!AK11=".",s_Irr!BI11&lt;&gt;"."),s_dir!AM11/((1/1000)*(s_Irr!M11+s_Irr!BI11)),IF(AND(s_Irr!M11=".",s_Irr!AK11&lt;&gt;".",s_Irr!BI11&lt;&gt;"."),s_dir!AM11/((1/1000)*(s_Irr!AK11+s_Irr!BI11)),IF(AND(s_Irr!M11=".",s_Irr!AK11=".",s_Irr!BI11&lt;&gt;"."),s_dir!AM11/((1/1000)*(s_Irr!BI11)),IF(AND(s_Irr!M11=".",s_Irr!AK11&lt;&gt;".",s_Irr!BI11="."),s_dir!AM11/((1/1000)*(s_Irr!AK11)),IF(AND(s_Irr!M11&lt;&gt;".",s_Irr!AK11=".",s_Irr!BI11="."),s_dir!AM11/((1/1000)*(s_Irr!M11)),IF(AND(s_Irr!M11=".",s_Irr!AK11=".",s_Irr!BI11="."),s_dir!AM11*1000)))))))),".")</f>
        <v>.</v>
      </c>
      <c r="BM11" s="76" t="str">
        <f>IFERROR(IF(AND(s_Irr!N11&lt;&gt;".",s_Irr!AL11&lt;&gt;".",s_Irr!BJ11&lt;&gt;"."),s_dir!AN11/((1/1000)*(s_Irr!N11+s_Irr!AL11+s_Irr!BJ11)),IF(AND(s_Irr!N11&lt;&gt;".",s_Irr!AL11&lt;&gt;".",s_Irr!BJ11="."),s_dir!AN11/((1/1000)*(s_Irr!N11+s_Irr!AL11)),IF(AND(s_Irr!N11&lt;&gt;".",s_Irr!AL11=".",s_Irr!BJ11&lt;&gt;"."),s_dir!AN11/((1/1000)*(s_Irr!N11+s_Irr!BJ11)),IF(AND(s_Irr!N11=".",s_Irr!AL11&lt;&gt;".",s_Irr!BJ11&lt;&gt;"."),s_dir!AN11/((1/1000)*(s_Irr!AL11+s_Irr!BJ11)),IF(AND(s_Irr!N11=".",s_Irr!AL11=".",s_Irr!BJ11&lt;&gt;"."),s_dir!AN11/((1/1000)*(s_Irr!BJ11)),IF(AND(s_Irr!N11=".",s_Irr!AL11&lt;&gt;".",s_Irr!BJ11="."),s_dir!AN11/((1/1000)*(s_Irr!AL11)),IF(AND(s_Irr!N11&lt;&gt;".",s_Irr!AL11=".",s_Irr!BJ11="."),s_dir!AN11/((1/1000)*(s_Irr!N11)),IF(AND(s_Irr!N11=".",s_Irr!AL11=".",s_Irr!BJ11="."),s_dir!AN11*1000)))))))),".")</f>
        <v>.</v>
      </c>
      <c r="BN11" s="76" t="str">
        <f>IFERROR(IF(AND(s_Irr!O11&lt;&gt;".",s_Irr!AM11&lt;&gt;".",s_Irr!BK11&lt;&gt;"."),s_dir!AO11/((1/1000)*(s_Irr!O11+s_Irr!AM11+s_Irr!BK11)),IF(AND(s_Irr!O11&lt;&gt;".",s_Irr!AM11&lt;&gt;".",s_Irr!BK11="."),s_dir!AO11/((1/1000)*(s_Irr!O11+s_Irr!AM11)),IF(AND(s_Irr!O11&lt;&gt;".",s_Irr!AM11=".",s_Irr!BK11&lt;&gt;"."),s_dir!AO11/((1/1000)*(s_Irr!O11+s_Irr!BK11)),IF(AND(s_Irr!O11=".",s_Irr!AM11&lt;&gt;".",s_Irr!BK11&lt;&gt;"."),s_dir!AO11/((1/1000)*(s_Irr!AM11+s_Irr!BK11)),IF(AND(s_Irr!O11=".",s_Irr!AM11=".",s_Irr!BK11&lt;&gt;"."),s_dir!AO11/((1/1000)*(s_Irr!BK11)),IF(AND(s_Irr!O11=".",s_Irr!AM11&lt;&gt;".",s_Irr!BK11="."),s_dir!AO11/((1/1000)*(s_Irr!AM11)),IF(AND(s_Irr!O11&lt;&gt;".",s_Irr!AM11=".",s_Irr!BK11="."),s_dir!AO11/((1/1000)*(s_Irr!O11)),IF(AND(s_Irr!O11=".",s_Irr!AM11=".",s_Irr!BK11="."),s_dir!AO11*1000)))))))),".")</f>
        <v>.</v>
      </c>
      <c r="BO11" s="76" t="str">
        <f>IFERROR(IF(AND(s_Irr!P11&lt;&gt;".",s_Irr!AN11&lt;&gt;".",s_Irr!BL11&lt;&gt;"."),s_dir!AP11/((1/1000)*(s_Irr!P11+s_Irr!AN11+s_Irr!BL11)),IF(AND(s_Irr!P11&lt;&gt;".",s_Irr!AN11&lt;&gt;".",s_Irr!BL11="."),s_dir!AP11/((1/1000)*(s_Irr!P11+s_Irr!AN11)),IF(AND(s_Irr!P11&lt;&gt;".",s_Irr!AN11=".",s_Irr!BL11&lt;&gt;"."),s_dir!AP11/((1/1000)*(s_Irr!P11+s_Irr!BL11)),IF(AND(s_Irr!P11=".",s_Irr!AN11&lt;&gt;".",s_Irr!BL11&lt;&gt;"."),s_dir!AP11/((1/1000)*(s_Irr!AN11+s_Irr!BL11)),IF(AND(s_Irr!P11=".",s_Irr!AN11=".",s_Irr!BL11&lt;&gt;"."),s_dir!AP11/((1/1000)*(s_Irr!BL11)),IF(AND(s_Irr!P11=".",s_Irr!AN11&lt;&gt;".",s_Irr!BL11="."),s_dir!AP11/((1/1000)*(s_Irr!AN11)),IF(AND(s_Irr!P11&lt;&gt;".",s_Irr!AN11=".",s_Irr!BL11="."),s_dir!AP11/((1/1000)*(s_Irr!P11)),IF(AND(s_Irr!P11=".",s_Irr!AN11=".",s_Irr!BL11="."),s_dir!AP11*1000)))))))),".")</f>
        <v>.</v>
      </c>
      <c r="BP11" s="76" t="str">
        <f>IFERROR(IF(AND(s_Irr!Q11&lt;&gt;".",s_Irr!AO11&lt;&gt;".",s_Irr!BM11&lt;&gt;"."),s_dir!AQ11/((1/1000)*(s_Irr!Q11+s_Irr!AO11+s_Irr!BM11)),IF(AND(s_Irr!Q11&lt;&gt;".",s_Irr!AO11&lt;&gt;".",s_Irr!BM11="."),s_dir!AQ11/((1/1000)*(s_Irr!Q11+s_Irr!AO11)),IF(AND(s_Irr!Q11&lt;&gt;".",s_Irr!AO11=".",s_Irr!BM11&lt;&gt;"."),s_dir!AQ11/((1/1000)*(s_Irr!Q11+s_Irr!BM11)),IF(AND(s_Irr!Q11=".",s_Irr!AO11&lt;&gt;".",s_Irr!BM11&lt;&gt;"."),s_dir!AQ11/((1/1000)*(s_Irr!AO11+s_Irr!BM11)),IF(AND(s_Irr!Q11=".",s_Irr!AO11=".",s_Irr!BM11&lt;&gt;"."),s_dir!AQ11/((1/1000)*(s_Irr!BM11)),IF(AND(s_Irr!Q11=".",s_Irr!AO11&lt;&gt;".",s_Irr!BM11="."),s_dir!AQ11/((1/1000)*(s_Irr!AO11)),IF(AND(s_Irr!Q11&lt;&gt;".",s_Irr!AO11=".",s_Irr!BM11="."),s_dir!AQ11/((1/1000)*(s_Irr!Q11)),IF(AND(s_Irr!Q11=".",s_Irr!AO11=".",s_Irr!BM11="."),s_dir!AQ11*1000)))))))),".")</f>
        <v>.</v>
      </c>
      <c r="BQ11" s="76" t="str">
        <f>IFERROR(IF(AND(s_Irr!R11&lt;&gt;".",s_Irr!AP11&lt;&gt;".",s_Irr!BN11&lt;&gt;"."),s_dir!AR11/((1/1000)*(s_Irr!R11+s_Irr!AP11+s_Irr!BN11)),IF(AND(s_Irr!R11&lt;&gt;".",s_Irr!AP11&lt;&gt;".",s_Irr!BN11="."),s_dir!AR11/((1/1000)*(s_Irr!R11+s_Irr!AP11)),IF(AND(s_Irr!R11&lt;&gt;".",s_Irr!AP11=".",s_Irr!BN11&lt;&gt;"."),s_dir!AR11/((1/1000)*(s_Irr!R11+s_Irr!BN11)),IF(AND(s_Irr!R11=".",s_Irr!AP11&lt;&gt;".",s_Irr!BN11&lt;&gt;"."),s_dir!AR11/((1/1000)*(s_Irr!AP11+s_Irr!BN11)),IF(AND(s_Irr!R11=".",s_Irr!AP11=".",s_Irr!BN11&lt;&gt;"."),s_dir!AR11/((1/1000)*(s_Irr!BN11)),IF(AND(s_Irr!R11=".",s_Irr!AP11&lt;&gt;".",s_Irr!BN11="."),s_dir!AR11/((1/1000)*(s_Irr!AP11)),IF(AND(s_Irr!R11&lt;&gt;".",s_Irr!AP11=".",s_Irr!BN11="."),s_dir!AR11/((1/1000)*(s_Irr!R11)),IF(AND(s_Irr!R11=".",s_Irr!AP11=".",s_Irr!BN11="."),s_dir!AR11*1000)))))))),".")</f>
        <v>.</v>
      </c>
      <c r="BR11" s="76" t="str">
        <f>IFERROR(IF(AND(s_Irr!S11&lt;&gt;".",s_Irr!AQ11&lt;&gt;".",s_Irr!BO11&lt;&gt;"."),s_dir!AS11/((1/1000)*(s_Irr!S11+s_Irr!AQ11+s_Irr!BO11)),IF(AND(s_Irr!S11&lt;&gt;".",s_Irr!AQ11&lt;&gt;".",s_Irr!BO11="."),s_dir!AS11/((1/1000)*(s_Irr!S11+s_Irr!AQ11)),IF(AND(s_Irr!S11&lt;&gt;".",s_Irr!AQ11=".",s_Irr!BO11&lt;&gt;"."),s_dir!AS11/((1/1000)*(s_Irr!S11+s_Irr!BO11)),IF(AND(s_Irr!S11=".",s_Irr!AQ11&lt;&gt;".",s_Irr!BO11&lt;&gt;"."),s_dir!AS11/((1/1000)*(s_Irr!AQ11+s_Irr!BO11)),IF(AND(s_Irr!S11=".",s_Irr!AQ11=".",s_Irr!BO11&lt;&gt;"."),s_dir!AS11/((1/1000)*(s_Irr!BO11)),IF(AND(s_Irr!S11=".",s_Irr!AQ11&lt;&gt;".",s_Irr!BO11="."),s_dir!AS11/((1/1000)*(s_Irr!AQ11)),IF(AND(s_Irr!S11&lt;&gt;".",s_Irr!AQ11=".",s_Irr!BO11="."),s_dir!AS11/((1/1000)*(s_Irr!S11)),IF(AND(s_Irr!S11=".",s_Irr!AQ11=".",s_Irr!BO11="."),s_dir!AS11*1000)))))))),".")</f>
        <v>.</v>
      </c>
      <c r="BS11" s="76" t="str">
        <f>IFERROR(IF(AND(s_Irr!T11&lt;&gt;".",s_Irr!AR11&lt;&gt;".",s_Irr!BP11&lt;&gt;"."),s_dir!AT11/((1/1000)*(s_Irr!T11+s_Irr!AR11+s_Irr!BP11)),IF(AND(s_Irr!T11&lt;&gt;".",s_Irr!AR11&lt;&gt;".",s_Irr!BP11="."),s_dir!AT11/((1/1000)*(s_Irr!T11+s_Irr!AR11)),IF(AND(s_Irr!T11&lt;&gt;".",s_Irr!AR11=".",s_Irr!BP11&lt;&gt;"."),s_dir!AT11/((1/1000)*(s_Irr!T11+s_Irr!BP11)),IF(AND(s_Irr!T11=".",s_Irr!AR11&lt;&gt;".",s_Irr!BP11&lt;&gt;"."),s_dir!AT11/((1/1000)*(s_Irr!AR11+s_Irr!BP11)),IF(AND(s_Irr!T11=".",s_Irr!AR11=".",s_Irr!BP11&lt;&gt;"."),s_dir!AT11/((1/1000)*(s_Irr!BP11)),IF(AND(s_Irr!T11=".",s_Irr!AR11&lt;&gt;".",s_Irr!BP11="."),s_dir!AT11/((1/1000)*(s_Irr!AR11)),IF(AND(s_Irr!T11&lt;&gt;".",s_Irr!AR11=".",s_Irr!BP11="."),s_dir!AT11/((1/1000)*(s_Irr!T11)),IF(AND(s_Irr!T11=".",s_Irr!AR11=".",s_Irr!BP11="."),s_dir!AT11*1000)))))))),".")</f>
        <v>.</v>
      </c>
      <c r="BT11" s="76" t="str">
        <f>IFERROR(IF(AND(s_Irr!U11&lt;&gt;".",s_Irr!AS11&lt;&gt;".",s_Irr!BQ11&lt;&gt;"."),s_dir!AU11/((1/1000)*(s_Irr!U11+s_Irr!AS11+s_Irr!BQ11)),IF(AND(s_Irr!U11&lt;&gt;".",s_Irr!AS11&lt;&gt;".",s_Irr!BQ11="."),s_dir!AU11/((1/1000)*(s_Irr!U11+s_Irr!AS11)),IF(AND(s_Irr!U11&lt;&gt;".",s_Irr!AS11=".",s_Irr!BQ11&lt;&gt;"."),s_dir!AU11/((1/1000)*(s_Irr!U11+s_Irr!BQ11)),IF(AND(s_Irr!U11=".",s_Irr!AS11&lt;&gt;".",s_Irr!BQ11&lt;&gt;"."),s_dir!AU11/((1/1000)*(s_Irr!AS11+s_Irr!BQ11)),IF(AND(s_Irr!U11=".",s_Irr!AS11=".",s_Irr!BQ11&lt;&gt;"."),s_dir!AU11/((1/1000)*(s_Irr!BQ11)),IF(AND(s_Irr!U11=".",s_Irr!AS11&lt;&gt;".",s_Irr!BQ11="."),s_dir!AU11/((1/1000)*(s_Irr!AS11)),IF(AND(s_Irr!U11&lt;&gt;".",s_Irr!AS11=".",s_Irr!BQ11="."),s_dir!AU11/((1/1000)*(s_Irr!U11)),IF(AND(s_Irr!U11=".",s_Irr!AS11=".",s_Irr!BQ11="."),s_dir!AU11*1000)))))))),".")</f>
        <v>.</v>
      </c>
      <c r="BU11" s="76" t="str">
        <f>IFERROR(IF(AND(s_Irr!V11&lt;&gt;".",s_Irr!AT11&lt;&gt;".",s_Irr!BR11&lt;&gt;"."),s_dir!AV11/((1/1000)*(s_Irr!V11+s_Irr!AT11+s_Irr!BR11)),IF(AND(s_Irr!V11&lt;&gt;".",s_Irr!AT11&lt;&gt;".",s_Irr!BR11="."),s_dir!AV11/((1/1000)*(s_Irr!V11+s_Irr!AT11)),IF(AND(s_Irr!V11&lt;&gt;".",s_Irr!AT11=".",s_Irr!BR11&lt;&gt;"."),s_dir!AV11/((1/1000)*(s_Irr!V11+s_Irr!BR11)),IF(AND(s_Irr!V11=".",s_Irr!AT11&lt;&gt;".",s_Irr!BR11&lt;&gt;"."),s_dir!AV11/((1/1000)*(s_Irr!AT11+s_Irr!BR11)),IF(AND(s_Irr!V11=".",s_Irr!AT11=".",s_Irr!BR11&lt;&gt;"."),s_dir!AV11/((1/1000)*(s_Irr!BR11)),IF(AND(s_Irr!V11=".",s_Irr!AT11&lt;&gt;".",s_Irr!BR11="."),s_dir!AV11/((1/1000)*(s_Irr!AT11)),IF(AND(s_Irr!V11&lt;&gt;".",s_Irr!AT11=".",s_Irr!BR11="."),s_dir!AV11/((1/1000)*(s_Irr!V11)),IF(AND(s_Irr!V11=".",s_Irr!AT11=".",s_Irr!BR11="."),s_dir!AV11*1000)))))))),".")</f>
        <v>.</v>
      </c>
      <c r="BV11" s="76" t="str">
        <f>IFERROR(IF(AND(s_Irr!W11&lt;&gt;".",s_Irr!AU11&lt;&gt;".",s_Irr!BS11&lt;&gt;"."),s_dir!AW11/((1/1000)*(s_Irr!W11+s_Irr!AU11+s_Irr!BS11)),IF(AND(s_Irr!W11&lt;&gt;".",s_Irr!AU11&lt;&gt;".",s_Irr!BS11="."),s_dir!AW11/((1/1000)*(s_Irr!W11+s_Irr!AU11)),IF(AND(s_Irr!W11&lt;&gt;".",s_Irr!AU11=".",s_Irr!BS11&lt;&gt;"."),s_dir!AW11/((1/1000)*(s_Irr!W11+s_Irr!BS11)),IF(AND(s_Irr!W11=".",s_Irr!AU11&lt;&gt;".",s_Irr!BS11&lt;&gt;"."),s_dir!AW11/((1/1000)*(s_Irr!AU11+s_Irr!BS11)),IF(AND(s_Irr!W11=".",s_Irr!AU11=".",s_Irr!BS11&lt;&gt;"."),s_dir!AW11/((1/1000)*(s_Irr!BS11)),IF(AND(s_Irr!W11=".",s_Irr!AU11&lt;&gt;".",s_Irr!BS11="."),s_dir!AW11/((1/1000)*(s_Irr!AU11)),IF(AND(s_Irr!W11&lt;&gt;".",s_Irr!AU11=".",s_Irr!BS11="."),s_dir!AW11/((1/1000)*(s_Irr!W11)),IF(AND(s_Irr!W11=".",s_Irr!AU11=".",s_Irr!BS11="."),s_dir!AW11*1000)))))))),".")</f>
        <v>.</v>
      </c>
      <c r="BW11" s="76" t="str">
        <f>IFERROR(IF(AND(s_Irr!X11&lt;&gt;".",s_Irr!AV11&lt;&gt;".",s_Irr!BT11&lt;&gt;"."),s_dir!AX11/((1/1000)*(s_Irr!X11+s_Irr!AV11+s_Irr!BT11)),IF(AND(s_Irr!X11&lt;&gt;".",s_Irr!AV11&lt;&gt;".",s_Irr!BT11="."),s_dir!AX11/((1/1000)*(s_Irr!X11+s_Irr!AV11)),IF(AND(s_Irr!X11&lt;&gt;".",s_Irr!AV11=".",s_Irr!BT11&lt;&gt;"."),s_dir!AX11/((1/1000)*(s_Irr!X11+s_Irr!BT11)),IF(AND(s_Irr!X11=".",s_Irr!AV11&lt;&gt;".",s_Irr!BT11&lt;&gt;"."),s_dir!AX11/((1/1000)*(s_Irr!AV11+s_Irr!BT11)),IF(AND(s_Irr!X11=".",s_Irr!AV11=".",s_Irr!BT11&lt;&gt;"."),s_dir!AX11/((1/1000)*(s_Irr!BT11)),IF(AND(s_Irr!X11=".",s_Irr!AV11&lt;&gt;".",s_Irr!BT11="."),s_dir!AX11/((1/1000)*(s_Irr!AV11)),IF(AND(s_Irr!X11&lt;&gt;".",s_Irr!AV11=".",s_Irr!BT11="."),s_dir!AX11/((1/1000)*(s_Irr!X11)),IF(AND(s_Irr!X11=".",s_Irr!AV11=".",s_Irr!BT11="."),s_dir!AX11*1000)))))))),".")</f>
        <v>.</v>
      </c>
      <c r="BX11" s="76" t="str">
        <f>IFERROR(IF(AND(s_Irr!Y11&lt;&gt;".",s_Irr!AW11&lt;&gt;".",s_Irr!BU11&lt;&gt;"."),s_dir!AY11/((1/1000)*(s_Irr!Y11+s_Irr!AW11+s_Irr!BU11)),IF(AND(s_Irr!Y11&lt;&gt;".",s_Irr!AW11&lt;&gt;".",s_Irr!BU11="."),s_dir!AY11/((1/1000)*(s_Irr!Y11+s_Irr!AW11)),IF(AND(s_Irr!Y11&lt;&gt;".",s_Irr!AW11=".",s_Irr!BU11&lt;&gt;"."),s_dir!AY11/((1/1000)*(s_Irr!Y11+s_Irr!BU11)),IF(AND(s_Irr!Y11=".",s_Irr!AW11&lt;&gt;".",s_Irr!BU11&lt;&gt;"."),s_dir!AY11/((1/1000)*(s_Irr!AW11+s_Irr!BU11)),IF(AND(s_Irr!Y11=".",s_Irr!AW11=".",s_Irr!BU11&lt;&gt;"."),s_dir!AY11/((1/1000)*(s_Irr!BU11)),IF(AND(s_Irr!Y11=".",s_Irr!AW11&lt;&gt;".",s_Irr!BU11="."),s_dir!AY11/((1/1000)*(s_Irr!AW11)),IF(AND(s_Irr!Y11&lt;&gt;".",s_Irr!AW11=".",s_Irr!BU11="."),s_dir!AY11/((1/1000)*(s_Irr!Y11)),IF(AND(s_Irr!Y11=".",s_Irr!AW11=".",s_Irr!BU11="."),s_dir!AY11*1000)))))))),".")</f>
        <v>.</v>
      </c>
      <c r="BY11" s="76" t="str">
        <f>IFERROR(IF(AND(s_Irr!Z11&lt;&gt;".",s_Irr!AX11&lt;&gt;".",s_Irr!BV11&lt;&gt;"."),s_dir!AZ11/((1/1000)*(s_Irr!Z11+s_Irr!AX11+s_Irr!BV11)),IF(AND(s_Irr!Z11&lt;&gt;".",s_Irr!AX11&lt;&gt;".",s_Irr!BV11="."),s_dir!AZ11/((1/1000)*(s_Irr!Z11+s_Irr!AX11)),IF(AND(s_Irr!Z11&lt;&gt;".",s_Irr!AX11=".",s_Irr!BV11&lt;&gt;"."),s_dir!AZ11/((1/1000)*(s_Irr!Z11+s_Irr!BV11)),IF(AND(s_Irr!Z11=".",s_Irr!AX11&lt;&gt;".",s_Irr!BV11&lt;&gt;"."),s_dir!AZ11/((1/1000)*(s_Irr!AX11+s_Irr!BV11)),IF(AND(s_Irr!Z11=".",s_Irr!AX11=".",s_Irr!BV11&lt;&gt;"."),s_dir!AZ11/((1/1000)*(s_Irr!BV11)),IF(AND(s_Irr!Z11=".",s_Irr!AX11&lt;&gt;".",s_Irr!BV11="."),s_dir!AZ11/((1/1000)*(s_Irr!AX11)),IF(AND(s_Irr!Z11&lt;&gt;".",s_Irr!AX11=".",s_Irr!BV11="."),s_dir!AZ11/((1/1000)*(s_Irr!Z11)),IF(AND(s_Irr!Z11=".",s_Irr!AX11=".",s_Irr!BV11="."),s_dir!AZ11*1000)))))))),".")</f>
        <v>.</v>
      </c>
      <c r="BZ11" s="93">
        <f>SUM(CA11:CB11,CW11:CX11)</f>
        <v>971.18063421321278</v>
      </c>
      <c r="CA11" s="93">
        <f>IFERROR(s_C*s_IFAP_far_adj*s_CF_apple*(1/1000)*(s_Irr!C11+s_Irr!AA11+s_Irr!AY11),".")</f>
        <v>242.7951585533032</v>
      </c>
      <c r="CB11" s="93">
        <f>IFERROR(s_C*s_IFAS_far_adj*s_CF_asparagus*(1/1000)*(s_Irr!D11+s_Irr!AB11+s_Irr!AZ11),".")</f>
        <v>242.7951585533032</v>
      </c>
      <c r="CC11" s="93">
        <f>IFERROR(s_C*s_IFBT_far_adj*s_CF_beet*(1/1000)*(s_Irr!E11+s_Irr!AC11+s_Irr!BA11),".")</f>
        <v>242.7951585533032</v>
      </c>
      <c r="CD11" s="93">
        <f>IFERROR(s_C*s_IFBE_far_adj*s_CF_berries*(1/1000)*(s_Irr!F11+s_Irr!AD11+s_Irr!BB11),".")</f>
        <v>242.7951585533032</v>
      </c>
      <c r="CE11" s="93">
        <f>IFERROR(s_C*s_IFBR_far_adj*s_CF_broccoli*(1/1000)*(s_Irr!G11+s_Irr!AE11+s_Irr!BC11),".")</f>
        <v>242.7951585533032</v>
      </c>
      <c r="CF11" s="93">
        <f>IFERROR(s_C*s_IFCB_far_adj*s_CF_cabbage*(1/1000)*(s_Irr!H11+s_Irr!AF11+s_Irr!BD11),".")</f>
        <v>242.7951585533032</v>
      </c>
      <c r="CG11" s="93">
        <f>IFERROR(s_C*s_IFCR_far_adj*s_CF_carrot*(1/1000)*(s_Irr!I11+s_Irr!AG11+s_Irr!BE11),".")</f>
        <v>242.7951585533032</v>
      </c>
      <c r="CH11" s="93">
        <f>IFERROR(s_C*s_IFCI_far_adj*s_CF_citrus*(1/1000)*(s_Irr!J11+s_Irr!AH11+s_Irr!BF11),".")</f>
        <v>242.7951585533032</v>
      </c>
      <c r="CI11" s="93">
        <f>IFERROR(s_C*s_IFCO_far_adj*s_CF_corn*(1/1000)*(s_Irr!K11+s_Irr!AI11+s_Irr!BG11),".")</f>
        <v>242.7951585533032</v>
      </c>
      <c r="CJ11" s="93">
        <f>IFERROR(s_C*s_IFCU_far_adj*s_CF_cucumber*(1/1000)*(s_Irr!L11+s_Irr!AJ11+s_Irr!BH11),".")</f>
        <v>242.7951585533032</v>
      </c>
      <c r="CK11" s="93">
        <f>IFERROR(s_C*s_IFLE_far_adj*s_CF_lettuce*(1/1000)*(s_Irr!M11+s_Irr!AK11+s_Irr!BI11),".")</f>
        <v>242.7951585533032</v>
      </c>
      <c r="CL11" s="93">
        <f>IFERROR(s_C*s_IFLI_far_adj*s_CF_lima_bean*(1/1000)*(s_Irr!N11+s_Irr!AL11+s_Irr!BJ11),".")</f>
        <v>242.7951585533032</v>
      </c>
      <c r="CM11" s="93">
        <f>IFERROR(s_C*s_IFOK_far_adj*s_CF_okra*(1/1000)*(s_Irr!O11+s_Irr!AM11+s_Irr!BK11),".")</f>
        <v>242.7951585533032</v>
      </c>
      <c r="CN11" s="93">
        <f>IFERROR(s_C*s_IFON_far_adj*s_CF_onion*(1/1000)*(s_Irr!P11+s_Irr!AN11+s_Irr!BL11),".")</f>
        <v>242.7951585533032</v>
      </c>
      <c r="CO11" s="93">
        <f>IFERROR(s_C*s_IFPC_far_adj*s_CF_peach*(1/1000)*(s_Irr!Q11+s_Irr!AO11+s_Irr!BM11),".")</f>
        <v>242.7951585533032</v>
      </c>
      <c r="CP11" s="93">
        <f>IFERROR(s_C*s_IFPR_far_adj*s_CF_pear*(1/1000)*(s_Irr!R11+s_Irr!AP11+s_Irr!BN11),".")</f>
        <v>242.7951585533032</v>
      </c>
      <c r="CQ11" s="93">
        <f>IFERROR(s_C*s_IFPE_far_adj*s_CF_peas*(1/1000)*(s_Irr!S11+s_Irr!AQ11+s_Irr!BO11),".")</f>
        <v>242.7951585533032</v>
      </c>
      <c r="CR11" s="93">
        <f>IFERROR(s_C*s_IFPT_far_adj*s_CF_potato*(1/1000)*(s_Irr!T11+s_Irr!AR11+s_Irr!BP11),".")</f>
        <v>242.7951585533032</v>
      </c>
      <c r="CS11" s="93">
        <f>IFERROR(s_C*s_IFPU_far_adj*s_CF_pumpkin*(1/1000)*(s_Irr!U11+s_Irr!AS11+s_Irr!BQ11),".")</f>
        <v>242.7951585533032</v>
      </c>
      <c r="CT11" s="93">
        <f>IFERROR(s_C*s_IFSN_far_adj*s_CF_snap_bean*(1/1000)*(s_Irr!V11+s_Irr!AT11+s_Irr!BR11),".")</f>
        <v>242.7951585533032</v>
      </c>
      <c r="CU11" s="93">
        <f>IFERROR(s_C*s_IFST_far_adj*s_CF_strawberry*(1/1000)*(s_Irr!W11+s_Irr!AU11+s_Irr!BS11),".")</f>
        <v>242.7951585533032</v>
      </c>
      <c r="CV11" s="93">
        <f>IFERROR(s_C*s_IFTO_far_adj*s_CF_tomato*(1/1000)*(s_Irr!X11+s_Irr!AV11+s_Irr!BT11),".")</f>
        <v>242.7951585533032</v>
      </c>
      <c r="CW11" s="93">
        <f>IFERROR(s_C*s_IFRI_far_adj*s_CF_rice*(1/1000)*(s_Irr!Y11+s_Irr!AW11+s_Irr!BU11),".")</f>
        <v>242.7951585533032</v>
      </c>
      <c r="CX11" s="93">
        <f>IFERROR(s_C*s_IFCG_far_adj*s_CF_cereal*(1/1000)*(s_Irr!Z11+s_Irr!AX11+s_Irr!BV11),".")</f>
        <v>242.7951585533032</v>
      </c>
    </row>
    <row r="12" spans="1:102" ht="15" customHeight="1" x14ac:dyDescent="0.25">
      <c r="A12" s="92" t="s">
        <v>22</v>
      </c>
      <c r="B12" s="90" t="s">
        <v>1074</v>
      </c>
      <c r="C12" s="76" t="str">
        <f t="shared" ref="C12" si="14">IFERROR(1/SUM(1/D12,1/E12,1/Z12,1/AA12),".")</f>
        <v>.</v>
      </c>
      <c r="D12" s="76" t="str">
        <f>IFERROR(IF(AND(s_Irr!C12&lt;&gt;".",s_Irr!AA12&lt;&gt;".",s_Irr!AY12&lt;&gt;"."),s_dir!D12/((1/1000)*(s_Irr!C12+s_Irr!AA12+s_Irr!AY12)),IF(AND(s_Irr!C12&lt;&gt;".",s_Irr!AA12&lt;&gt;".",s_Irr!AY12="."),s_dir!D12/((1/1000)*(s_Irr!C12+s_Irr!AA12)),IF(AND(s_Irr!C12&lt;&gt;".",s_Irr!AA12=".",s_Irr!AY12&lt;&gt;"."),s_dir!D12/((1/1000)*(s_Irr!C12+s_Irr!AY12)),IF(AND(s_Irr!C12=".",s_Irr!AA12&lt;&gt;".",s_Irr!AY12&lt;&gt;"."),s_dir!D12/((1/1000)*(s_Irr!AA12+s_Irr!AY12)),IF(AND(s_Irr!C12=".",s_Irr!AA12=".",s_Irr!AY12&lt;&gt;"."),s_dir!D12/((1/1000)*(s_Irr!AY12)),IF(AND(s_Irr!C12=".",s_Irr!AA12&lt;&gt;".",s_Irr!AY12="."),s_dir!D12/((1/1000)*(s_Irr!AA12)),IF(AND(s_Irr!C12&lt;&gt;".",s_Irr!AA12=".",s_Irr!AY12="."),s_dir!D12/((1/1000)*(s_Irr!C12)),IF(AND(s_Irr!C12=".",s_Irr!AA12=".",s_Irr!AY12="."),s_dir!D12*1000)))))))),".")</f>
        <v>.</v>
      </c>
      <c r="E12" s="76" t="str">
        <f>IFERROR(IF(AND(s_Irr!D12&lt;&gt;".",s_Irr!AB12&lt;&gt;".",s_Irr!AZ12&lt;&gt;"."),s_dir!E12/((1/1000)*(s_Irr!D12+s_Irr!AB12+s_Irr!AZ12)),IF(AND(s_Irr!D12&lt;&gt;".",s_Irr!AB12&lt;&gt;".",s_Irr!AZ12="."),s_dir!E12/((1/1000)*(s_Irr!D12+s_Irr!AB12)),IF(AND(s_Irr!D12&lt;&gt;".",s_Irr!AB12=".",s_Irr!AZ12&lt;&gt;"."),s_dir!E12/((1/1000)*(s_Irr!D12+s_Irr!AZ12)),IF(AND(s_Irr!D12=".",s_Irr!AB12&lt;&gt;".",s_Irr!AZ12&lt;&gt;"."),s_dir!E12/((1/1000)*(s_Irr!AB12+s_Irr!AZ12)),IF(AND(s_Irr!D12=".",s_Irr!AB12=".",s_Irr!AZ12&lt;&gt;"."),s_dir!E12/((1/1000)*(s_Irr!AZ12)),IF(AND(s_Irr!D12=".",s_Irr!AB12&lt;&gt;".",s_Irr!AZ12="."),s_dir!E12/((1/1000)*(s_Irr!AB12)),IF(AND(s_Irr!D12&lt;&gt;".",s_Irr!AB12=".",s_Irr!AZ12="."),s_dir!E12/((1/1000)*(s_Irr!D12)),IF(AND(s_Irr!D12=".",s_Irr!AB12=".",s_Irr!AZ12="."),s_dir!E12*1000)))))))),".")</f>
        <v>.</v>
      </c>
      <c r="F12" s="76" t="str">
        <f>IFERROR(IF(AND(s_Irr!E12&lt;&gt;".",s_Irr!AC12&lt;&gt;".",s_Irr!BA12&lt;&gt;"."),s_dir!F12/((1/1000)*(s_Irr!E12+s_Irr!AC12+s_Irr!BA12)),IF(AND(s_Irr!E12&lt;&gt;".",s_Irr!AC12&lt;&gt;".",s_Irr!BA12="."),s_dir!F12/((1/1000)*(s_Irr!E12+s_Irr!AC12)),IF(AND(s_Irr!E12&lt;&gt;".",s_Irr!AC12=".",s_Irr!BA12&lt;&gt;"."),s_dir!F12/((1/1000)*(s_Irr!E12+s_Irr!BA12)),IF(AND(s_Irr!E12=".",s_Irr!AC12&lt;&gt;".",s_Irr!BA12&lt;&gt;"."),s_dir!F12/((1/1000)*(s_Irr!AC12+s_Irr!BA12)),IF(AND(s_Irr!E12=".",s_Irr!AC12=".",s_Irr!BA12&lt;&gt;"."),s_dir!F12/((1/1000)*(s_Irr!BA12)),IF(AND(s_Irr!E12=".",s_Irr!AC12&lt;&gt;".",s_Irr!BA12="."),s_dir!F12/((1/1000)*(s_Irr!AC12)),IF(AND(s_Irr!E12&lt;&gt;".",s_Irr!AC12=".",s_Irr!BA12="."),s_dir!F12/((1/1000)*(s_Irr!E12)),IF(AND(s_Irr!E12=".",s_Irr!AC12=".",s_Irr!BA12="."),s_dir!F12*1000)))))))),".")</f>
        <v>.</v>
      </c>
      <c r="G12" s="76" t="str">
        <f>IFERROR(IF(AND(s_Irr!F12&lt;&gt;".",s_Irr!AD12&lt;&gt;".",s_Irr!BB12&lt;&gt;"."),s_dir!G12/((1/1000)*(s_Irr!F12+s_Irr!AD12+s_Irr!BB12)),IF(AND(s_Irr!F12&lt;&gt;".",s_Irr!AD12&lt;&gt;".",s_Irr!BB12="."),s_dir!G12/((1/1000)*(s_Irr!F12+s_Irr!AD12)),IF(AND(s_Irr!F12&lt;&gt;".",s_Irr!AD12=".",s_Irr!BB12&lt;&gt;"."),s_dir!G12/((1/1000)*(s_Irr!F12+s_Irr!BB12)),IF(AND(s_Irr!F12=".",s_Irr!AD12&lt;&gt;".",s_Irr!BB12&lt;&gt;"."),s_dir!G12/((1/1000)*(s_Irr!AD12+s_Irr!BB12)),IF(AND(s_Irr!F12=".",s_Irr!AD12=".",s_Irr!BB12&lt;&gt;"."),s_dir!G12/((1/1000)*(s_Irr!BB12)),IF(AND(s_Irr!F12=".",s_Irr!AD12&lt;&gt;".",s_Irr!BB12="."),s_dir!G12/((1/1000)*(s_Irr!AD12)),IF(AND(s_Irr!F12&lt;&gt;".",s_Irr!AD12=".",s_Irr!BB12="."),s_dir!G12/((1/1000)*(s_Irr!F12)),IF(AND(s_Irr!F12=".",s_Irr!AD12=".",s_Irr!BB12="."),s_dir!G12*1000)))))))),".")</f>
        <v>.</v>
      </c>
      <c r="H12" s="76" t="str">
        <f>IFERROR(IF(AND(s_Irr!G12&lt;&gt;".",s_Irr!AE12&lt;&gt;".",s_Irr!BC12&lt;&gt;"."),s_dir!H12/((1/1000)*(s_Irr!G12+s_Irr!AE12+s_Irr!BC12)),IF(AND(s_Irr!G12&lt;&gt;".",s_Irr!AE12&lt;&gt;".",s_Irr!BC12="."),s_dir!H12/((1/1000)*(s_Irr!G12+s_Irr!AE12)),IF(AND(s_Irr!G12&lt;&gt;".",s_Irr!AE12=".",s_Irr!BC12&lt;&gt;"."),s_dir!H12/((1/1000)*(s_Irr!G12+s_Irr!BC12)),IF(AND(s_Irr!G12=".",s_Irr!AE12&lt;&gt;".",s_Irr!BC12&lt;&gt;"."),s_dir!H12/((1/1000)*(s_Irr!AE12+s_Irr!BC12)),IF(AND(s_Irr!G12=".",s_Irr!AE12=".",s_Irr!BC12&lt;&gt;"."),s_dir!H12/((1/1000)*(s_Irr!BC12)),IF(AND(s_Irr!G12=".",s_Irr!AE12&lt;&gt;".",s_Irr!BC12="."),s_dir!H12/((1/1000)*(s_Irr!AE12)),IF(AND(s_Irr!G12&lt;&gt;".",s_Irr!AE12=".",s_Irr!BC12="."),s_dir!H12/((1/1000)*(s_Irr!G12)),IF(AND(s_Irr!G12=".",s_Irr!AE12=".",s_Irr!BC12="."),s_dir!H12*1000)))))))),".")</f>
        <v>.</v>
      </c>
      <c r="I12" s="76" t="str">
        <f>IFERROR(IF(AND(s_Irr!H12&lt;&gt;".",s_Irr!AF12&lt;&gt;".",s_Irr!BD12&lt;&gt;"."),s_dir!I12/((1/1000)*(s_Irr!H12+s_Irr!AF12+s_Irr!BD12)),IF(AND(s_Irr!H12&lt;&gt;".",s_Irr!AF12&lt;&gt;".",s_Irr!BD12="."),s_dir!I12/((1/1000)*(s_Irr!H12+s_Irr!AF12)),IF(AND(s_Irr!H12&lt;&gt;".",s_Irr!AF12=".",s_Irr!BD12&lt;&gt;"."),s_dir!I12/((1/1000)*(s_Irr!H12+s_Irr!BD12)),IF(AND(s_Irr!H12=".",s_Irr!AF12&lt;&gt;".",s_Irr!BD12&lt;&gt;"."),s_dir!I12/((1/1000)*(s_Irr!AF12+s_Irr!BD12)),IF(AND(s_Irr!H12=".",s_Irr!AF12=".",s_Irr!BD12&lt;&gt;"."),s_dir!I12/((1/1000)*(s_Irr!BD12)),IF(AND(s_Irr!H12=".",s_Irr!AF12&lt;&gt;".",s_Irr!BD12="."),s_dir!I12/((1/1000)*(s_Irr!AF12)),IF(AND(s_Irr!H12&lt;&gt;".",s_Irr!AF12=".",s_Irr!BD12="."),s_dir!I12/((1/1000)*(s_Irr!H12)),IF(AND(s_Irr!H12=".",s_Irr!AF12=".",s_Irr!BD12="."),s_dir!I12*1000)))))))),".")</f>
        <v>.</v>
      </c>
      <c r="J12" s="76" t="str">
        <f>IFERROR(IF(AND(s_Irr!I12&lt;&gt;".",s_Irr!AG12&lt;&gt;".",s_Irr!BE12&lt;&gt;"."),s_dir!J12/((1/1000)*(s_Irr!I12+s_Irr!AG12+s_Irr!BE12)),IF(AND(s_Irr!I12&lt;&gt;".",s_Irr!AG12&lt;&gt;".",s_Irr!BE12="."),s_dir!J12/((1/1000)*(s_Irr!I12+s_Irr!AG12)),IF(AND(s_Irr!I12&lt;&gt;".",s_Irr!AG12=".",s_Irr!BE12&lt;&gt;"."),s_dir!J12/((1/1000)*(s_Irr!I12+s_Irr!BE12)),IF(AND(s_Irr!I12=".",s_Irr!AG12&lt;&gt;".",s_Irr!BE12&lt;&gt;"."),s_dir!J12/((1/1000)*(s_Irr!AG12+s_Irr!BE12)),IF(AND(s_Irr!I12=".",s_Irr!AG12=".",s_Irr!BE12&lt;&gt;"."),s_dir!J12/((1/1000)*(s_Irr!BE12)),IF(AND(s_Irr!I12=".",s_Irr!AG12&lt;&gt;".",s_Irr!BE12="."),s_dir!J12/((1/1000)*(s_Irr!AG12)),IF(AND(s_Irr!I12&lt;&gt;".",s_Irr!AG12=".",s_Irr!BE12="."),s_dir!J12/((1/1000)*(s_Irr!I12)),IF(AND(s_Irr!I12=".",s_Irr!AG12=".",s_Irr!BE12="."),s_dir!J12*1000)))))))),".")</f>
        <v>.</v>
      </c>
      <c r="K12" s="76" t="str">
        <f>IFERROR(IF(AND(s_Irr!J12&lt;&gt;".",s_Irr!AH12&lt;&gt;".",s_Irr!BF12&lt;&gt;"."),s_dir!K12/((1/1000)*(s_Irr!J12+s_Irr!AH12+s_Irr!BF12)),IF(AND(s_Irr!J12&lt;&gt;".",s_Irr!AH12&lt;&gt;".",s_Irr!BF12="."),s_dir!K12/((1/1000)*(s_Irr!J12+s_Irr!AH12)),IF(AND(s_Irr!J12&lt;&gt;".",s_Irr!AH12=".",s_Irr!BF12&lt;&gt;"."),s_dir!K12/((1/1000)*(s_Irr!J12+s_Irr!BF12)),IF(AND(s_Irr!J12=".",s_Irr!AH12&lt;&gt;".",s_Irr!BF12&lt;&gt;"."),s_dir!K12/((1/1000)*(s_Irr!AH12+s_Irr!BF12)),IF(AND(s_Irr!J12=".",s_Irr!AH12=".",s_Irr!BF12&lt;&gt;"."),s_dir!K12/((1/1000)*(s_Irr!BF12)),IF(AND(s_Irr!J12=".",s_Irr!AH12&lt;&gt;".",s_Irr!BF12="."),s_dir!K12/((1/1000)*(s_Irr!AH12)),IF(AND(s_Irr!J12&lt;&gt;".",s_Irr!AH12=".",s_Irr!BF12="."),s_dir!K12/((1/1000)*(s_Irr!J12)),IF(AND(s_Irr!J12=".",s_Irr!AH12=".",s_Irr!BF12="."),s_dir!K12*1000)))))))),".")</f>
        <v>.</v>
      </c>
      <c r="L12" s="76" t="str">
        <f>IFERROR(IF(AND(s_Irr!K12&lt;&gt;".",s_Irr!AI12&lt;&gt;".",s_Irr!BG12&lt;&gt;"."),s_dir!L12/((1/1000)*(s_Irr!K12+s_Irr!AI12+s_Irr!BG12)),IF(AND(s_Irr!K12&lt;&gt;".",s_Irr!AI12&lt;&gt;".",s_Irr!BG12="."),s_dir!L12/((1/1000)*(s_Irr!K12+s_Irr!AI12)),IF(AND(s_Irr!K12&lt;&gt;".",s_Irr!AI12=".",s_Irr!BG12&lt;&gt;"."),s_dir!L12/((1/1000)*(s_Irr!K12+s_Irr!BG12)),IF(AND(s_Irr!K12=".",s_Irr!AI12&lt;&gt;".",s_Irr!BG12&lt;&gt;"."),s_dir!L12/((1/1000)*(s_Irr!AI12+s_Irr!BG12)),IF(AND(s_Irr!K12=".",s_Irr!AI12=".",s_Irr!BG12&lt;&gt;"."),s_dir!L12/((1/1000)*(s_Irr!BG12)),IF(AND(s_Irr!K12=".",s_Irr!AI12&lt;&gt;".",s_Irr!BG12="."),s_dir!L12/((1/1000)*(s_Irr!AI12)),IF(AND(s_Irr!K12&lt;&gt;".",s_Irr!AI12=".",s_Irr!BG12="."),s_dir!L12/((1/1000)*(s_Irr!K12)),IF(AND(s_Irr!K12=".",s_Irr!AI12=".",s_Irr!BG12="."),s_dir!L12*1000)))))))),".")</f>
        <v>.</v>
      </c>
      <c r="M12" s="76" t="str">
        <f>IFERROR(IF(AND(s_Irr!L12&lt;&gt;".",s_Irr!AJ12&lt;&gt;".",s_Irr!BH12&lt;&gt;"."),s_dir!M12/((1/1000)*(s_Irr!L12+s_Irr!AJ12+s_Irr!BH12)),IF(AND(s_Irr!L12&lt;&gt;".",s_Irr!AJ12&lt;&gt;".",s_Irr!BH12="."),s_dir!M12/((1/1000)*(s_Irr!L12+s_Irr!AJ12)),IF(AND(s_Irr!L12&lt;&gt;".",s_Irr!AJ12=".",s_Irr!BH12&lt;&gt;"."),s_dir!M12/((1/1000)*(s_Irr!L12+s_Irr!BH12)),IF(AND(s_Irr!L12=".",s_Irr!AJ12&lt;&gt;".",s_Irr!BH12&lt;&gt;"."),s_dir!M12/((1/1000)*(s_Irr!AJ12+s_Irr!BH12)),IF(AND(s_Irr!L12=".",s_Irr!AJ12=".",s_Irr!BH12&lt;&gt;"."),s_dir!M12/((1/1000)*(s_Irr!BH12)),IF(AND(s_Irr!L12=".",s_Irr!AJ12&lt;&gt;".",s_Irr!BH12="."),s_dir!M12/((1/1000)*(s_Irr!AJ12)),IF(AND(s_Irr!L12&lt;&gt;".",s_Irr!AJ12=".",s_Irr!BH12="."),s_dir!M12/((1/1000)*(s_Irr!L12)),IF(AND(s_Irr!L12=".",s_Irr!AJ12=".",s_Irr!BH12="."),s_dir!M12*1000)))))))),".")</f>
        <v>.</v>
      </c>
      <c r="N12" s="76" t="str">
        <f>IFERROR(IF(AND(s_Irr!M12&lt;&gt;".",s_Irr!AK12&lt;&gt;".",s_Irr!BI12&lt;&gt;"."),s_dir!N12/((1/1000)*(s_Irr!M12+s_Irr!AK12+s_Irr!BI12)),IF(AND(s_Irr!M12&lt;&gt;".",s_Irr!AK12&lt;&gt;".",s_Irr!BI12="."),s_dir!N12/((1/1000)*(s_Irr!M12+s_Irr!AK12)),IF(AND(s_Irr!M12&lt;&gt;".",s_Irr!AK12=".",s_Irr!BI12&lt;&gt;"."),s_dir!N12/((1/1000)*(s_Irr!M12+s_Irr!BI12)),IF(AND(s_Irr!M12=".",s_Irr!AK12&lt;&gt;".",s_Irr!BI12&lt;&gt;"."),s_dir!N12/((1/1000)*(s_Irr!AK12+s_Irr!BI12)),IF(AND(s_Irr!M12=".",s_Irr!AK12=".",s_Irr!BI12&lt;&gt;"."),s_dir!N12/((1/1000)*(s_Irr!BI12)),IF(AND(s_Irr!M12=".",s_Irr!AK12&lt;&gt;".",s_Irr!BI12="."),s_dir!N12/((1/1000)*(s_Irr!AK12)),IF(AND(s_Irr!M12&lt;&gt;".",s_Irr!AK12=".",s_Irr!BI12="."),s_dir!N12/((1/1000)*(s_Irr!M12)),IF(AND(s_Irr!M12=".",s_Irr!AK12=".",s_Irr!BI12="."),s_dir!N12*1000)))))))),".")</f>
        <v>.</v>
      </c>
      <c r="O12" s="76" t="str">
        <f>IFERROR(IF(AND(s_Irr!N12&lt;&gt;".",s_Irr!AL12&lt;&gt;".",s_Irr!BJ12&lt;&gt;"."),s_dir!O12/((1/1000)*(s_Irr!N12+s_Irr!AL12+s_Irr!BJ12)),IF(AND(s_Irr!N12&lt;&gt;".",s_Irr!AL12&lt;&gt;".",s_Irr!BJ12="."),s_dir!O12/((1/1000)*(s_Irr!N12+s_Irr!AL12)),IF(AND(s_Irr!N12&lt;&gt;".",s_Irr!AL12=".",s_Irr!BJ12&lt;&gt;"."),s_dir!O12/((1/1000)*(s_Irr!N12+s_Irr!BJ12)),IF(AND(s_Irr!N12=".",s_Irr!AL12&lt;&gt;".",s_Irr!BJ12&lt;&gt;"."),s_dir!O12/((1/1000)*(s_Irr!AL12+s_Irr!BJ12)),IF(AND(s_Irr!N12=".",s_Irr!AL12=".",s_Irr!BJ12&lt;&gt;"."),s_dir!O12/((1/1000)*(s_Irr!BJ12)),IF(AND(s_Irr!N12=".",s_Irr!AL12&lt;&gt;".",s_Irr!BJ12="."),s_dir!O12/((1/1000)*(s_Irr!AL12)),IF(AND(s_Irr!N12&lt;&gt;".",s_Irr!AL12=".",s_Irr!BJ12="."),s_dir!O12/((1/1000)*(s_Irr!N12)),IF(AND(s_Irr!N12=".",s_Irr!AL12=".",s_Irr!BJ12="."),s_dir!O12*1000)))))))),".")</f>
        <v>.</v>
      </c>
      <c r="P12" s="76" t="str">
        <f>IFERROR(IF(AND(s_Irr!O12&lt;&gt;".",s_Irr!AM12&lt;&gt;".",s_Irr!BK12&lt;&gt;"."),s_dir!P12/((1/1000)*(s_Irr!O12+s_Irr!AM12+s_Irr!BK12)),IF(AND(s_Irr!O12&lt;&gt;".",s_Irr!AM12&lt;&gt;".",s_Irr!BK12="."),s_dir!P12/((1/1000)*(s_Irr!O12+s_Irr!AM12)),IF(AND(s_Irr!O12&lt;&gt;".",s_Irr!AM12=".",s_Irr!BK12&lt;&gt;"."),s_dir!P12/((1/1000)*(s_Irr!O12+s_Irr!BK12)),IF(AND(s_Irr!O12=".",s_Irr!AM12&lt;&gt;".",s_Irr!BK12&lt;&gt;"."),s_dir!P12/((1/1000)*(s_Irr!AM12+s_Irr!BK12)),IF(AND(s_Irr!O12=".",s_Irr!AM12=".",s_Irr!BK12&lt;&gt;"."),s_dir!P12/((1/1000)*(s_Irr!BK12)),IF(AND(s_Irr!O12=".",s_Irr!AM12&lt;&gt;".",s_Irr!BK12="."),s_dir!P12/((1/1000)*(s_Irr!AM12)),IF(AND(s_Irr!O12&lt;&gt;".",s_Irr!AM12=".",s_Irr!BK12="."),s_dir!P12/((1/1000)*(s_Irr!O12)),IF(AND(s_Irr!O12=".",s_Irr!AM12=".",s_Irr!BK12="."),s_dir!P12*1000)))))))),".")</f>
        <v>.</v>
      </c>
      <c r="Q12" s="76" t="str">
        <f>IFERROR(IF(AND(s_Irr!P12&lt;&gt;".",s_Irr!AN12&lt;&gt;".",s_Irr!BL12&lt;&gt;"."),s_dir!Q12/((1/1000)*(s_Irr!P12+s_Irr!AN12+s_Irr!BL12)),IF(AND(s_Irr!P12&lt;&gt;".",s_Irr!AN12&lt;&gt;".",s_Irr!BL12="."),s_dir!Q12/((1/1000)*(s_Irr!P12+s_Irr!AN12)),IF(AND(s_Irr!P12&lt;&gt;".",s_Irr!AN12=".",s_Irr!BL12&lt;&gt;"."),s_dir!Q12/((1/1000)*(s_Irr!P12+s_Irr!BL12)),IF(AND(s_Irr!P12=".",s_Irr!AN12&lt;&gt;".",s_Irr!BL12&lt;&gt;"."),s_dir!Q12/((1/1000)*(s_Irr!AN12+s_Irr!BL12)),IF(AND(s_Irr!P12=".",s_Irr!AN12=".",s_Irr!BL12&lt;&gt;"."),s_dir!Q12/((1/1000)*(s_Irr!BL12)),IF(AND(s_Irr!P12=".",s_Irr!AN12&lt;&gt;".",s_Irr!BL12="."),s_dir!Q12/((1/1000)*(s_Irr!AN12)),IF(AND(s_Irr!P12&lt;&gt;".",s_Irr!AN12=".",s_Irr!BL12="."),s_dir!Q12/((1/1000)*(s_Irr!P12)),IF(AND(s_Irr!P12=".",s_Irr!AN12=".",s_Irr!BL12="."),s_dir!Q12*1000)))))))),".")</f>
        <v>.</v>
      </c>
      <c r="R12" s="76" t="str">
        <f>IFERROR(IF(AND(s_Irr!Q12&lt;&gt;".",s_Irr!AO12&lt;&gt;".",s_Irr!BM12&lt;&gt;"."),s_dir!R12/((1/1000)*(s_Irr!Q12+s_Irr!AO12+s_Irr!BM12)),IF(AND(s_Irr!Q12&lt;&gt;".",s_Irr!AO12&lt;&gt;".",s_Irr!BM12="."),s_dir!R12/((1/1000)*(s_Irr!Q12+s_Irr!AO12)),IF(AND(s_Irr!Q12&lt;&gt;".",s_Irr!AO12=".",s_Irr!BM12&lt;&gt;"."),s_dir!R12/((1/1000)*(s_Irr!Q12+s_Irr!BM12)),IF(AND(s_Irr!Q12=".",s_Irr!AO12&lt;&gt;".",s_Irr!BM12&lt;&gt;"."),s_dir!R12/((1/1000)*(s_Irr!AO12+s_Irr!BM12)),IF(AND(s_Irr!Q12=".",s_Irr!AO12=".",s_Irr!BM12&lt;&gt;"."),s_dir!R12/((1/1000)*(s_Irr!BM12)),IF(AND(s_Irr!Q12=".",s_Irr!AO12&lt;&gt;".",s_Irr!BM12="."),s_dir!R12/((1/1000)*(s_Irr!AO12)),IF(AND(s_Irr!Q12&lt;&gt;".",s_Irr!AO12=".",s_Irr!BM12="."),s_dir!R12/((1/1000)*(s_Irr!Q12)),IF(AND(s_Irr!Q12=".",s_Irr!AO12=".",s_Irr!BM12="."),s_dir!R12*1000)))))))),".")</f>
        <v>.</v>
      </c>
      <c r="S12" s="76" t="str">
        <f>IFERROR(IF(AND(s_Irr!R12&lt;&gt;".",s_Irr!AP12&lt;&gt;".",s_Irr!BN12&lt;&gt;"."),s_dir!S12/((1/1000)*(s_Irr!R12+s_Irr!AP12+s_Irr!BN12)),IF(AND(s_Irr!R12&lt;&gt;".",s_Irr!AP12&lt;&gt;".",s_Irr!BN12="."),s_dir!S12/((1/1000)*(s_Irr!R12+s_Irr!AP12)),IF(AND(s_Irr!R12&lt;&gt;".",s_Irr!AP12=".",s_Irr!BN12&lt;&gt;"."),s_dir!S12/((1/1000)*(s_Irr!R12+s_Irr!BN12)),IF(AND(s_Irr!R12=".",s_Irr!AP12&lt;&gt;".",s_Irr!BN12&lt;&gt;"."),s_dir!S12/((1/1000)*(s_Irr!AP12+s_Irr!BN12)),IF(AND(s_Irr!R12=".",s_Irr!AP12=".",s_Irr!BN12&lt;&gt;"."),s_dir!S12/((1/1000)*(s_Irr!BN12)),IF(AND(s_Irr!R12=".",s_Irr!AP12&lt;&gt;".",s_Irr!BN12="."),s_dir!S12/((1/1000)*(s_Irr!AP12)),IF(AND(s_Irr!R12&lt;&gt;".",s_Irr!AP12=".",s_Irr!BN12="."),s_dir!S12/((1/1000)*(s_Irr!R12)),IF(AND(s_Irr!R12=".",s_Irr!AP12=".",s_Irr!BN12="."),s_dir!S12*1000)))))))),".")</f>
        <v>.</v>
      </c>
      <c r="T12" s="76" t="str">
        <f>IFERROR(IF(AND(s_Irr!S12&lt;&gt;".",s_Irr!AQ12&lt;&gt;".",s_Irr!BO12&lt;&gt;"."),s_dir!T12/((1/1000)*(s_Irr!S12+s_Irr!AQ12+s_Irr!BO12)),IF(AND(s_Irr!S12&lt;&gt;".",s_Irr!AQ12&lt;&gt;".",s_Irr!BO12="."),s_dir!T12/((1/1000)*(s_Irr!S12+s_Irr!AQ12)),IF(AND(s_Irr!S12&lt;&gt;".",s_Irr!AQ12=".",s_Irr!BO12&lt;&gt;"."),s_dir!T12/((1/1000)*(s_Irr!S12+s_Irr!BO12)),IF(AND(s_Irr!S12=".",s_Irr!AQ12&lt;&gt;".",s_Irr!BO12&lt;&gt;"."),s_dir!T12/((1/1000)*(s_Irr!AQ12+s_Irr!BO12)),IF(AND(s_Irr!S12=".",s_Irr!AQ12=".",s_Irr!BO12&lt;&gt;"."),s_dir!T12/((1/1000)*(s_Irr!BO12)),IF(AND(s_Irr!S12=".",s_Irr!AQ12&lt;&gt;".",s_Irr!BO12="."),s_dir!T12/((1/1000)*(s_Irr!AQ12)),IF(AND(s_Irr!S12&lt;&gt;".",s_Irr!AQ12=".",s_Irr!BO12="."),s_dir!T12/((1/1000)*(s_Irr!S12)),IF(AND(s_Irr!S12=".",s_Irr!AQ12=".",s_Irr!BO12="."),s_dir!T12*1000)))))))),".")</f>
        <v>.</v>
      </c>
      <c r="U12" s="76" t="str">
        <f>IFERROR(IF(AND(s_Irr!T12&lt;&gt;".",s_Irr!AR12&lt;&gt;".",s_Irr!BP12&lt;&gt;"."),s_dir!U12/((1/1000)*(s_Irr!T12+s_Irr!AR12+s_Irr!BP12)),IF(AND(s_Irr!T12&lt;&gt;".",s_Irr!AR12&lt;&gt;".",s_Irr!BP12="."),s_dir!U12/((1/1000)*(s_Irr!T12+s_Irr!AR12)),IF(AND(s_Irr!T12&lt;&gt;".",s_Irr!AR12=".",s_Irr!BP12&lt;&gt;"."),s_dir!U12/((1/1000)*(s_Irr!T12+s_Irr!BP12)),IF(AND(s_Irr!T12=".",s_Irr!AR12&lt;&gt;".",s_Irr!BP12&lt;&gt;"."),s_dir!U12/((1/1000)*(s_Irr!AR12+s_Irr!BP12)),IF(AND(s_Irr!T12=".",s_Irr!AR12=".",s_Irr!BP12&lt;&gt;"."),s_dir!U12/((1/1000)*(s_Irr!BP12)),IF(AND(s_Irr!T12=".",s_Irr!AR12&lt;&gt;".",s_Irr!BP12="."),s_dir!U12/((1/1000)*(s_Irr!AR12)),IF(AND(s_Irr!T12&lt;&gt;".",s_Irr!AR12=".",s_Irr!BP12="."),s_dir!U12/((1/1000)*(s_Irr!T12)),IF(AND(s_Irr!T12=".",s_Irr!AR12=".",s_Irr!BP12="."),s_dir!U12*1000)))))))),".")</f>
        <v>.</v>
      </c>
      <c r="V12" s="76" t="str">
        <f>IFERROR(IF(AND(s_Irr!U12&lt;&gt;".",s_Irr!AS12&lt;&gt;".",s_Irr!BQ12&lt;&gt;"."),s_dir!V12/((1/1000)*(s_Irr!U12+s_Irr!AS12+s_Irr!BQ12)),IF(AND(s_Irr!U12&lt;&gt;".",s_Irr!AS12&lt;&gt;".",s_Irr!BQ12="."),s_dir!V12/((1/1000)*(s_Irr!U12+s_Irr!AS12)),IF(AND(s_Irr!U12&lt;&gt;".",s_Irr!AS12=".",s_Irr!BQ12&lt;&gt;"."),s_dir!V12/((1/1000)*(s_Irr!U12+s_Irr!BQ12)),IF(AND(s_Irr!U12=".",s_Irr!AS12&lt;&gt;".",s_Irr!BQ12&lt;&gt;"."),s_dir!V12/((1/1000)*(s_Irr!AS12+s_Irr!BQ12)),IF(AND(s_Irr!U12=".",s_Irr!AS12=".",s_Irr!BQ12&lt;&gt;"."),s_dir!V12/((1/1000)*(s_Irr!BQ12)),IF(AND(s_Irr!U12=".",s_Irr!AS12&lt;&gt;".",s_Irr!BQ12="."),s_dir!V12/((1/1000)*(s_Irr!AS12)),IF(AND(s_Irr!U12&lt;&gt;".",s_Irr!AS12=".",s_Irr!BQ12="."),s_dir!V12/((1/1000)*(s_Irr!U12)),IF(AND(s_Irr!U12=".",s_Irr!AS12=".",s_Irr!BQ12="."),s_dir!V12*1000)))))))),".")</f>
        <v>.</v>
      </c>
      <c r="W12" s="76" t="str">
        <f>IFERROR(IF(AND(s_Irr!V12&lt;&gt;".",s_Irr!AT12&lt;&gt;".",s_Irr!BR12&lt;&gt;"."),s_dir!W12/((1/1000)*(s_Irr!V12+s_Irr!AT12+s_Irr!BR12)),IF(AND(s_Irr!V12&lt;&gt;".",s_Irr!AT12&lt;&gt;".",s_Irr!BR12="."),s_dir!W12/((1/1000)*(s_Irr!V12+s_Irr!AT12)),IF(AND(s_Irr!V12&lt;&gt;".",s_Irr!AT12=".",s_Irr!BR12&lt;&gt;"."),s_dir!W12/((1/1000)*(s_Irr!V12+s_Irr!BR12)),IF(AND(s_Irr!V12=".",s_Irr!AT12&lt;&gt;".",s_Irr!BR12&lt;&gt;"."),s_dir!W12/((1/1000)*(s_Irr!AT12+s_Irr!BR12)),IF(AND(s_Irr!V12=".",s_Irr!AT12=".",s_Irr!BR12&lt;&gt;"."),s_dir!W12/((1/1000)*(s_Irr!BR12)),IF(AND(s_Irr!V12=".",s_Irr!AT12&lt;&gt;".",s_Irr!BR12="."),s_dir!W12/((1/1000)*(s_Irr!AT12)),IF(AND(s_Irr!V12&lt;&gt;".",s_Irr!AT12=".",s_Irr!BR12="."),s_dir!W12/((1/1000)*(s_Irr!V12)),IF(AND(s_Irr!V12=".",s_Irr!AT12=".",s_Irr!BR12="."),s_dir!W12*1000)))))))),".")</f>
        <v>.</v>
      </c>
      <c r="X12" s="76" t="str">
        <f>IFERROR(IF(AND(s_Irr!W12&lt;&gt;".",s_Irr!AU12&lt;&gt;".",s_Irr!BS12&lt;&gt;"."),s_dir!X12/((1/1000)*(s_Irr!W12+s_Irr!AU12+s_Irr!BS12)),IF(AND(s_Irr!W12&lt;&gt;".",s_Irr!AU12&lt;&gt;".",s_Irr!BS12="."),s_dir!X12/((1/1000)*(s_Irr!W12+s_Irr!AU12)),IF(AND(s_Irr!W12&lt;&gt;".",s_Irr!AU12=".",s_Irr!BS12&lt;&gt;"."),s_dir!X12/((1/1000)*(s_Irr!W12+s_Irr!BS12)),IF(AND(s_Irr!W12=".",s_Irr!AU12&lt;&gt;".",s_Irr!BS12&lt;&gt;"."),s_dir!X12/((1/1000)*(s_Irr!AU12+s_Irr!BS12)),IF(AND(s_Irr!W12=".",s_Irr!AU12=".",s_Irr!BS12&lt;&gt;"."),s_dir!X12/((1/1000)*(s_Irr!BS12)),IF(AND(s_Irr!W12=".",s_Irr!AU12&lt;&gt;".",s_Irr!BS12="."),s_dir!X12/((1/1000)*(s_Irr!AU12)),IF(AND(s_Irr!W12&lt;&gt;".",s_Irr!AU12=".",s_Irr!BS12="."),s_dir!X12/((1/1000)*(s_Irr!W12)),IF(AND(s_Irr!W12=".",s_Irr!AU12=".",s_Irr!BS12="."),s_dir!X12*1000)))))))),".")</f>
        <v>.</v>
      </c>
      <c r="Y12" s="76" t="str">
        <f>IFERROR(IF(AND(s_Irr!X12&lt;&gt;".",s_Irr!AV12&lt;&gt;".",s_Irr!BT12&lt;&gt;"."),s_dir!Y12/((1/1000)*(s_Irr!X12+s_Irr!AV12+s_Irr!BT12)),IF(AND(s_Irr!X12&lt;&gt;".",s_Irr!AV12&lt;&gt;".",s_Irr!BT12="."),s_dir!Y12/((1/1000)*(s_Irr!X12+s_Irr!AV12)),IF(AND(s_Irr!X12&lt;&gt;".",s_Irr!AV12=".",s_Irr!BT12&lt;&gt;"."),s_dir!Y12/((1/1000)*(s_Irr!X12+s_Irr!BT12)),IF(AND(s_Irr!X12=".",s_Irr!AV12&lt;&gt;".",s_Irr!BT12&lt;&gt;"."),s_dir!Y12/((1/1000)*(s_Irr!AV12+s_Irr!BT12)),IF(AND(s_Irr!X12=".",s_Irr!AV12=".",s_Irr!BT12&lt;&gt;"."),s_dir!Y12/((1/1000)*(s_Irr!BT12)),IF(AND(s_Irr!X12=".",s_Irr!AV12&lt;&gt;".",s_Irr!BT12="."),s_dir!Y12/((1/1000)*(s_Irr!AV12)),IF(AND(s_Irr!X12&lt;&gt;".",s_Irr!AV12=".",s_Irr!BT12="."),s_dir!Y12/((1/1000)*(s_Irr!X12)),IF(AND(s_Irr!X12=".",s_Irr!AV12=".",s_Irr!BT12="."),s_dir!Y12*1000)))))))),".")</f>
        <v>.</v>
      </c>
      <c r="Z12" s="76" t="str">
        <f>IFERROR(IF(AND(s_Irr!Y12&lt;&gt;".",s_Irr!AW12&lt;&gt;".",s_Irr!BU12&lt;&gt;"."),s_dir!Z12/((1/1000)*(s_Irr!Y12+s_Irr!AW12+s_Irr!BU12)),IF(AND(s_Irr!Y12&lt;&gt;".",s_Irr!AW12&lt;&gt;".",s_Irr!BU12="."),s_dir!Z12/((1/1000)*(s_Irr!Y12+s_Irr!AW12)),IF(AND(s_Irr!Y12&lt;&gt;".",s_Irr!AW12=".",s_Irr!BU12&lt;&gt;"."),s_dir!Z12/((1/1000)*(s_Irr!Y12+s_Irr!BU12)),IF(AND(s_Irr!Y12=".",s_Irr!AW12&lt;&gt;".",s_Irr!BU12&lt;&gt;"."),s_dir!Z12/((1/1000)*(s_Irr!AW12+s_Irr!BU12)),IF(AND(s_Irr!Y12=".",s_Irr!AW12=".",s_Irr!BU12&lt;&gt;"."),s_dir!Z12/((1/1000)*(s_Irr!BU12)),IF(AND(s_Irr!Y12=".",s_Irr!AW12&lt;&gt;".",s_Irr!BU12="."),s_dir!Z12/((1/1000)*(s_Irr!AW12)),IF(AND(s_Irr!Y12&lt;&gt;".",s_Irr!AW12=".",s_Irr!BU12="."),s_dir!Z12/((1/1000)*(s_Irr!Y12)),IF(AND(s_Irr!Y12=".",s_Irr!AW12=".",s_Irr!BU12="."),s_dir!Z12*1000)))))))),".")</f>
        <v>.</v>
      </c>
      <c r="AA12" s="76" t="str">
        <f>IFERROR(IF(AND(s_Irr!Z12&lt;&gt;".",s_Irr!AX12&lt;&gt;".",s_Irr!BV12&lt;&gt;"."),s_dir!AA12/((1/1000)*(s_Irr!Z12+s_Irr!AX12+s_Irr!BV12)),IF(AND(s_Irr!Z12&lt;&gt;".",s_Irr!AX12&lt;&gt;".",s_Irr!BV12="."),s_dir!AA12/((1/1000)*(s_Irr!Z12+s_Irr!AX12)),IF(AND(s_Irr!Z12&lt;&gt;".",s_Irr!AX12=".",s_Irr!BV12&lt;&gt;"."),s_dir!AA12/((1/1000)*(s_Irr!Z12+s_Irr!BV12)),IF(AND(s_Irr!Z12=".",s_Irr!AX12&lt;&gt;".",s_Irr!BV12&lt;&gt;"."),s_dir!AA12/((1/1000)*(s_Irr!AX12+s_Irr!BV12)),IF(AND(s_Irr!Z12=".",s_Irr!AX12=".",s_Irr!BV12&lt;&gt;"."),s_dir!AA12/((1/1000)*(s_Irr!BV12)),IF(AND(s_Irr!Z12=".",s_Irr!AX12&lt;&gt;".",s_Irr!BV12="."),s_dir!AA12/((1/1000)*(s_Irr!AX12)),IF(AND(s_Irr!Z12&lt;&gt;".",s_Irr!AX12=".",s_Irr!BV12="."),s_dir!AA12/((1/1000)*(s_Irr!Z12)),IF(AND(s_Irr!Z12=".",s_Irr!AX12=".",s_Irr!BV12="."),s_dir!AA12*1000)))))))),".")</f>
        <v>.</v>
      </c>
      <c r="AB12" s="93">
        <f>SUM(AC12:AD12,AY12:AZ12)</f>
        <v>3921.8863946340543</v>
      </c>
      <c r="AC12" s="93">
        <f>IFERROR(s_C*s_IFAP_res_adj*s_CF_apple*0.001*(s_Irr!C12+s_Irr!AA12+s_Irr!AY12),".")</f>
        <v>980.47159865851359</v>
      </c>
      <c r="AD12" s="93">
        <f>IFERROR(s_C*s_IFAS_res_adj*s_CF_asparagus*0.001*(s_Irr!D12+s_Irr!AB12+s_Irr!AZ12),".")</f>
        <v>980.47159865851359</v>
      </c>
      <c r="AE12" s="93">
        <f>IFERROR(s_C*s_IFBT_res_adj*s_CF_beet*0.001*(s_Irr!E12+s_Irr!AC12+s_Irr!BA12),".")</f>
        <v>980.47159865851359</v>
      </c>
      <c r="AF12" s="93">
        <f>IFERROR(s_C*s_IFBE_res_adj*s_CF_berries*0.001*(s_Irr!F12+s_Irr!AD12+s_Irr!BB12),".")</f>
        <v>980.47159865851359</v>
      </c>
      <c r="AG12" s="93">
        <f>IFERROR(s_C*s_IFBR_res_adj*s_CF_broccoli*0.001*(s_Irr!G12+s_Irr!AE12+s_Irr!BC12),".")</f>
        <v>980.47159865851359</v>
      </c>
      <c r="AH12" s="93">
        <f>IFERROR(s_C*s_IFCB_res_adj*s_CF_cabbage*0.001*(s_Irr!H12+s_Irr!AF12+s_Irr!BD12),".")</f>
        <v>980.47159865851359</v>
      </c>
      <c r="AI12" s="93">
        <f>IFERROR(s_C*s_IFCR_res_adj*s_CF_carrot*0.001*(s_Irr!I12+s_Irr!AG12+s_Irr!BE12),".")</f>
        <v>980.47159865851359</v>
      </c>
      <c r="AJ12" s="93">
        <f>IFERROR(s_C*s_IFCI_res_adj*s_CF_citrus*0.001*(s_Irr!J12+s_Irr!AH12+s_Irr!BF12),".")</f>
        <v>980.47159865851359</v>
      </c>
      <c r="AK12" s="93">
        <f>IFERROR(s_C*s_IFCO_res_adj*s_CF_corn*0.001*(s_Irr!K12+s_Irr!AI12+s_Irr!BG12),".")</f>
        <v>980.47159865851359</v>
      </c>
      <c r="AL12" s="93">
        <f>IFERROR(s_C*s_IFCU_res_adj*s_CF_cucumber*0.001*(s_Irr!L12+s_Irr!AJ12+s_Irr!BH12),".")</f>
        <v>980.47159865851359</v>
      </c>
      <c r="AM12" s="93">
        <f>IFERROR(s_C*s_IFLE_res_adj*s_CF_lettuce*0.001*(s_Irr!M12+s_Irr!AK12+s_Irr!BI12),".")</f>
        <v>980.47159865851359</v>
      </c>
      <c r="AN12" s="93">
        <f>IFERROR(s_C*s_IFLI_res_adj*s_CF_lima_bean*0.001*(s_Irr!N12+s_Irr!AL12+s_Irr!BJ12),".")</f>
        <v>980.47159865851359</v>
      </c>
      <c r="AO12" s="93">
        <f>IFERROR(s_C*s_IFOK_res_adj*s_CF_okra*0.001*(s_Irr!O12+s_Irr!AM12+s_Irr!BK12),".")</f>
        <v>980.47159865851359</v>
      </c>
      <c r="AP12" s="93">
        <f>IFERROR(s_C*s_IFON_res_adj*s_CF_onion*0.001*(s_Irr!P12+s_Irr!AN12+s_Irr!BL12),".")</f>
        <v>980.47159865851359</v>
      </c>
      <c r="AQ12" s="93">
        <f>IFERROR(s_C*s_IFPC_res_adj*s_CF_peach*0.001*(s_Irr!Q12+s_Irr!AO12+s_Irr!BM12),".")</f>
        <v>980.47159865851359</v>
      </c>
      <c r="AR12" s="93">
        <f>IFERROR(s_C*s_IFPR_res_adj*s_CF_pear*0.001*(s_Irr!R12+s_Irr!AP12+s_Irr!BN12),".")</f>
        <v>980.47159865851359</v>
      </c>
      <c r="AS12" s="93">
        <f>IFERROR(s_C*s_IFPE_res_adj*s_CF_peas*0.001*(s_Irr!S12+s_Irr!AQ12+s_Irr!BO12),".")</f>
        <v>980.47159865851359</v>
      </c>
      <c r="AT12" s="93">
        <f>IFERROR(s_C*s_IFPT_res_adj*s_CF_potato*0.001*(s_Irr!T12+s_Irr!AR12+s_Irr!BP12),".")</f>
        <v>980.47159865851359</v>
      </c>
      <c r="AU12" s="93">
        <f>IFERROR(s_C*s_IFPU_res_adj*s_CF_pumpkin*0.001*(s_Irr!U12+s_Irr!AS12+s_Irr!BQ12),".")</f>
        <v>980.47159865851359</v>
      </c>
      <c r="AV12" s="93">
        <f>IFERROR(s_C*s_IFSN_res_adj*s_CF_snap_bean*0.001*(s_Irr!V12+s_Irr!AT12+s_Irr!BR12),".")</f>
        <v>980.47159865851359</v>
      </c>
      <c r="AW12" s="93">
        <f>IFERROR(s_C*s_IFST_res_adj*s_CF_strawberry*0.001*(s_Irr!W12+s_Irr!AU12+s_Irr!BS12),".")</f>
        <v>980.47159865851359</v>
      </c>
      <c r="AX12" s="93">
        <f>IFERROR(s_C*s_IFTO_res_adj*s_CF_tomato*0.001*(s_Irr!X12+s_Irr!AV12+s_Irr!BT12),".")</f>
        <v>980.47159865851359</v>
      </c>
      <c r="AY12" s="93">
        <f>IFERROR(s_C*s_IFRI_res_adj*s_CF_rice*0.001*(s_Irr!Y12+s_Irr!AW12+s_Irr!BU12),".")</f>
        <v>980.47159865851359</v>
      </c>
      <c r="AZ12" s="93">
        <f>IFERROR(s_C*s_IFCG_res_adj*s_CF_cereal*0.001*(s_Irr!Z12+s_Irr!AX12+s_Irr!BV12),".")</f>
        <v>980.47159865851359</v>
      </c>
      <c r="BA12" s="76" t="str">
        <f t="shared" ref="BA12" si="15">IFERROR(1/SUM(1/BB12,1/BC12,1/BX12,1/BY12),".")</f>
        <v>.</v>
      </c>
      <c r="BB12" s="76" t="str">
        <f>IFERROR(IF(AND(s_Irr!C12&lt;&gt;".",s_Irr!AA12&lt;&gt;".",s_Irr!AY12&lt;&gt;"."),s_dir!AC12/((1/1000)*(s_Irr!C12+s_Irr!AA12+s_Irr!AY12)),IF(AND(s_Irr!C12&lt;&gt;".",s_Irr!AA12&lt;&gt;".",s_Irr!AY12="."),s_dir!AC12/((1/1000)*(s_Irr!C12+s_Irr!AA12)),IF(AND(s_Irr!C12&lt;&gt;".",s_Irr!AA12=".",s_Irr!AY12&lt;&gt;"."),s_dir!AC12/((1/1000)*(s_Irr!C12+s_Irr!AY12)),IF(AND(s_Irr!C12=".",s_Irr!AA12&lt;&gt;".",s_Irr!AY12&lt;&gt;"."),s_dir!AC12/((1/1000)*(s_Irr!AA12+s_Irr!AY12)),IF(AND(s_Irr!C12=".",s_Irr!AA12=".",s_Irr!AY12&lt;&gt;"."),s_dir!AC12/((1/1000)*(s_Irr!AY12)),IF(AND(s_Irr!C12=".",s_Irr!AA12&lt;&gt;".",s_Irr!AY12="."),s_dir!AC12/((1/1000)*(s_Irr!AA12)),IF(AND(s_Irr!C12&lt;&gt;".",s_Irr!AA12=".",s_Irr!AY12="."),s_dir!AC12/((1/1000)*(s_Irr!C12)),IF(AND(s_Irr!C12=".",s_Irr!AA12=".",s_Irr!AY12="."),s_dir!AC12*1000)))))))),".")</f>
        <v>.</v>
      </c>
      <c r="BC12" s="76" t="str">
        <f>IFERROR(IF(AND(s_Irr!D12&lt;&gt;".",s_Irr!AB12&lt;&gt;".",s_Irr!AZ12&lt;&gt;"."),s_dir!AD12/((1/1000)*(s_Irr!D12+s_Irr!AB12+s_Irr!AZ12)),IF(AND(s_Irr!D12&lt;&gt;".",s_Irr!AB12&lt;&gt;".",s_Irr!AZ12="."),s_dir!AD12/((1/1000)*(s_Irr!D12+s_Irr!AB12)),IF(AND(s_Irr!D12&lt;&gt;".",s_Irr!AB12=".",s_Irr!AZ12&lt;&gt;"."),s_dir!AD12/((1/1000)*(s_Irr!D12+s_Irr!AZ12)),IF(AND(s_Irr!D12=".",s_Irr!AB12&lt;&gt;".",s_Irr!AZ12&lt;&gt;"."),s_dir!AD12/((1/1000)*(s_Irr!AB12+s_Irr!AZ12)),IF(AND(s_Irr!D12=".",s_Irr!AB12=".",s_Irr!AZ12&lt;&gt;"."),s_dir!AD12/((1/1000)*(s_Irr!AZ12)),IF(AND(s_Irr!D12=".",s_Irr!AB12&lt;&gt;".",s_Irr!AZ12="."),s_dir!AD12/((1/1000)*(s_Irr!AB12)),IF(AND(s_Irr!D12&lt;&gt;".",s_Irr!AB12=".",s_Irr!AZ12="."),s_dir!AD12/((1/1000)*(s_Irr!D12)),IF(AND(s_Irr!D12=".",s_Irr!AB12=".",s_Irr!AZ12="."),s_dir!AD12*1000)))))))),".")</f>
        <v>.</v>
      </c>
      <c r="BD12" s="76" t="str">
        <f>IFERROR(IF(AND(s_Irr!E12&lt;&gt;".",s_Irr!AC12&lt;&gt;".",s_Irr!BA12&lt;&gt;"."),s_dir!AE12/((1/1000)*(s_Irr!E12+s_Irr!AC12+s_Irr!BA12)),IF(AND(s_Irr!E12&lt;&gt;".",s_Irr!AC12&lt;&gt;".",s_Irr!BA12="."),s_dir!AE12/((1/1000)*(s_Irr!E12+s_Irr!AC12)),IF(AND(s_Irr!E12&lt;&gt;".",s_Irr!AC12=".",s_Irr!BA12&lt;&gt;"."),s_dir!AE12/((1/1000)*(s_Irr!E12+s_Irr!BA12)),IF(AND(s_Irr!E12=".",s_Irr!AC12&lt;&gt;".",s_Irr!BA12&lt;&gt;"."),s_dir!AE12/((1/1000)*(s_Irr!AC12+s_Irr!BA12)),IF(AND(s_Irr!E12=".",s_Irr!AC12=".",s_Irr!BA12&lt;&gt;"."),s_dir!AE12/((1/1000)*(s_Irr!BA12)),IF(AND(s_Irr!E12=".",s_Irr!AC12&lt;&gt;".",s_Irr!BA12="."),s_dir!AE12/((1/1000)*(s_Irr!AC12)),IF(AND(s_Irr!E12&lt;&gt;".",s_Irr!AC12=".",s_Irr!BA12="."),s_dir!AE12/((1/1000)*(s_Irr!E12)),IF(AND(s_Irr!E12=".",s_Irr!AC12=".",s_Irr!BA12="."),s_dir!AE12*1000)))))))),".")</f>
        <v>.</v>
      </c>
      <c r="BE12" s="76" t="str">
        <f>IFERROR(IF(AND(s_Irr!F12&lt;&gt;".",s_Irr!AD12&lt;&gt;".",s_Irr!BB12&lt;&gt;"."),s_dir!AF12/((1/1000)*(s_Irr!F12+s_Irr!AD12+s_Irr!BB12)),IF(AND(s_Irr!F12&lt;&gt;".",s_Irr!AD12&lt;&gt;".",s_Irr!BB12="."),s_dir!AF12/((1/1000)*(s_Irr!F12+s_Irr!AD12)),IF(AND(s_Irr!F12&lt;&gt;".",s_Irr!AD12=".",s_Irr!BB12&lt;&gt;"."),s_dir!AF12/((1/1000)*(s_Irr!F12+s_Irr!BB12)),IF(AND(s_Irr!F12=".",s_Irr!AD12&lt;&gt;".",s_Irr!BB12&lt;&gt;"."),s_dir!AF12/((1/1000)*(s_Irr!AD12+s_Irr!BB12)),IF(AND(s_Irr!F12=".",s_Irr!AD12=".",s_Irr!BB12&lt;&gt;"."),s_dir!AF12/((1/1000)*(s_Irr!BB12)),IF(AND(s_Irr!F12=".",s_Irr!AD12&lt;&gt;".",s_Irr!BB12="."),s_dir!AF12/((1/1000)*(s_Irr!AD12)),IF(AND(s_Irr!F12&lt;&gt;".",s_Irr!AD12=".",s_Irr!BB12="."),s_dir!AF12/((1/1000)*(s_Irr!F12)),IF(AND(s_Irr!F12=".",s_Irr!AD12=".",s_Irr!BB12="."),s_dir!AF12*1000)))))))),".")</f>
        <v>.</v>
      </c>
      <c r="BF12" s="76" t="str">
        <f>IFERROR(IF(AND(s_Irr!G12&lt;&gt;".",s_Irr!AE12&lt;&gt;".",s_Irr!BC12&lt;&gt;"."),s_dir!AG12/((1/1000)*(s_Irr!G12+s_Irr!AE12+s_Irr!BC12)),IF(AND(s_Irr!G12&lt;&gt;".",s_Irr!AE12&lt;&gt;".",s_Irr!BC12="."),s_dir!AG12/((1/1000)*(s_Irr!G12+s_Irr!AE12)),IF(AND(s_Irr!G12&lt;&gt;".",s_Irr!AE12=".",s_Irr!BC12&lt;&gt;"."),s_dir!AG12/((1/1000)*(s_Irr!G12+s_Irr!BC12)),IF(AND(s_Irr!G12=".",s_Irr!AE12&lt;&gt;".",s_Irr!BC12&lt;&gt;"."),s_dir!AG12/((1/1000)*(s_Irr!AE12+s_Irr!BC12)),IF(AND(s_Irr!G12=".",s_Irr!AE12=".",s_Irr!BC12&lt;&gt;"."),s_dir!AG12/((1/1000)*(s_Irr!BC12)),IF(AND(s_Irr!G12=".",s_Irr!AE12&lt;&gt;".",s_Irr!BC12="."),s_dir!AG12/((1/1000)*(s_Irr!AE12)),IF(AND(s_Irr!G12&lt;&gt;".",s_Irr!AE12=".",s_Irr!BC12="."),s_dir!AG12/((1/1000)*(s_Irr!G12)),IF(AND(s_Irr!G12=".",s_Irr!AE12=".",s_Irr!BC12="."),s_dir!AG12*1000)))))))),".")</f>
        <v>.</v>
      </c>
      <c r="BG12" s="76" t="str">
        <f>IFERROR(IF(AND(s_Irr!H12&lt;&gt;".",s_Irr!AF12&lt;&gt;".",s_Irr!BD12&lt;&gt;"."),s_dir!AH12/((1/1000)*(s_Irr!H12+s_Irr!AF12+s_Irr!BD12)),IF(AND(s_Irr!H12&lt;&gt;".",s_Irr!AF12&lt;&gt;".",s_Irr!BD12="."),s_dir!AH12/((1/1000)*(s_Irr!H12+s_Irr!AF12)),IF(AND(s_Irr!H12&lt;&gt;".",s_Irr!AF12=".",s_Irr!BD12&lt;&gt;"."),s_dir!AH12/((1/1000)*(s_Irr!H12+s_Irr!BD12)),IF(AND(s_Irr!H12=".",s_Irr!AF12&lt;&gt;".",s_Irr!BD12&lt;&gt;"."),s_dir!AH12/((1/1000)*(s_Irr!AF12+s_Irr!BD12)),IF(AND(s_Irr!H12=".",s_Irr!AF12=".",s_Irr!BD12&lt;&gt;"."),s_dir!AH12/((1/1000)*(s_Irr!BD12)),IF(AND(s_Irr!H12=".",s_Irr!AF12&lt;&gt;".",s_Irr!BD12="."),s_dir!AH12/((1/1000)*(s_Irr!AF12)),IF(AND(s_Irr!H12&lt;&gt;".",s_Irr!AF12=".",s_Irr!BD12="."),s_dir!AH12/((1/1000)*(s_Irr!H12)),IF(AND(s_Irr!H12=".",s_Irr!AF12=".",s_Irr!BD12="."),s_dir!AH12*1000)))))))),".")</f>
        <v>.</v>
      </c>
      <c r="BH12" s="76" t="str">
        <f>IFERROR(IF(AND(s_Irr!I12&lt;&gt;".",s_Irr!AG12&lt;&gt;".",s_Irr!BE12&lt;&gt;"."),s_dir!AI12/((1/1000)*(s_Irr!I12+s_Irr!AG12+s_Irr!BE12)),IF(AND(s_Irr!I12&lt;&gt;".",s_Irr!AG12&lt;&gt;".",s_Irr!BE12="."),s_dir!AI12/((1/1000)*(s_Irr!I12+s_Irr!AG12)),IF(AND(s_Irr!I12&lt;&gt;".",s_Irr!AG12=".",s_Irr!BE12&lt;&gt;"."),s_dir!AI12/((1/1000)*(s_Irr!I12+s_Irr!BE12)),IF(AND(s_Irr!I12=".",s_Irr!AG12&lt;&gt;".",s_Irr!BE12&lt;&gt;"."),s_dir!AI12/((1/1000)*(s_Irr!AG12+s_Irr!BE12)),IF(AND(s_Irr!I12=".",s_Irr!AG12=".",s_Irr!BE12&lt;&gt;"."),s_dir!AI12/((1/1000)*(s_Irr!BE12)),IF(AND(s_Irr!I12=".",s_Irr!AG12&lt;&gt;".",s_Irr!BE12="."),s_dir!AI12/((1/1000)*(s_Irr!AG12)),IF(AND(s_Irr!I12&lt;&gt;".",s_Irr!AG12=".",s_Irr!BE12="."),s_dir!AI12/((1/1000)*(s_Irr!I12)),IF(AND(s_Irr!I12=".",s_Irr!AG12=".",s_Irr!BE12="."),s_dir!AI12*1000)))))))),".")</f>
        <v>.</v>
      </c>
      <c r="BI12" s="76" t="str">
        <f>IFERROR(IF(AND(s_Irr!J12&lt;&gt;".",s_Irr!AH12&lt;&gt;".",s_Irr!BF12&lt;&gt;"."),s_dir!AJ12/((1/1000)*(s_Irr!J12+s_Irr!AH12+s_Irr!BF12)),IF(AND(s_Irr!J12&lt;&gt;".",s_Irr!AH12&lt;&gt;".",s_Irr!BF12="."),s_dir!AJ12/((1/1000)*(s_Irr!J12+s_Irr!AH12)),IF(AND(s_Irr!J12&lt;&gt;".",s_Irr!AH12=".",s_Irr!BF12&lt;&gt;"."),s_dir!AJ12/((1/1000)*(s_Irr!J12+s_Irr!BF12)),IF(AND(s_Irr!J12=".",s_Irr!AH12&lt;&gt;".",s_Irr!BF12&lt;&gt;"."),s_dir!AJ12/((1/1000)*(s_Irr!AH12+s_Irr!BF12)),IF(AND(s_Irr!J12=".",s_Irr!AH12=".",s_Irr!BF12&lt;&gt;"."),s_dir!AJ12/((1/1000)*(s_Irr!BF12)),IF(AND(s_Irr!J12=".",s_Irr!AH12&lt;&gt;".",s_Irr!BF12="."),s_dir!AJ12/((1/1000)*(s_Irr!AH12)),IF(AND(s_Irr!J12&lt;&gt;".",s_Irr!AH12=".",s_Irr!BF12="."),s_dir!AJ12/((1/1000)*(s_Irr!J12)),IF(AND(s_Irr!J12=".",s_Irr!AH12=".",s_Irr!BF12="."),s_dir!AJ12*1000)))))))),".")</f>
        <v>.</v>
      </c>
      <c r="BJ12" s="76" t="str">
        <f>IFERROR(IF(AND(s_Irr!K12&lt;&gt;".",s_Irr!AI12&lt;&gt;".",s_Irr!BG12&lt;&gt;"."),s_dir!AK12/((1/1000)*(s_Irr!K12+s_Irr!AI12+s_Irr!BG12)),IF(AND(s_Irr!K12&lt;&gt;".",s_Irr!AI12&lt;&gt;".",s_Irr!BG12="."),s_dir!AK12/((1/1000)*(s_Irr!K12+s_Irr!AI12)),IF(AND(s_Irr!K12&lt;&gt;".",s_Irr!AI12=".",s_Irr!BG12&lt;&gt;"."),s_dir!AK12/((1/1000)*(s_Irr!K12+s_Irr!BG12)),IF(AND(s_Irr!K12=".",s_Irr!AI12&lt;&gt;".",s_Irr!BG12&lt;&gt;"."),s_dir!AK12/((1/1000)*(s_Irr!AI12+s_Irr!BG12)),IF(AND(s_Irr!K12=".",s_Irr!AI12=".",s_Irr!BG12&lt;&gt;"."),s_dir!AK12/((1/1000)*(s_Irr!BG12)),IF(AND(s_Irr!K12=".",s_Irr!AI12&lt;&gt;".",s_Irr!BG12="."),s_dir!AK12/((1/1000)*(s_Irr!AI12)),IF(AND(s_Irr!K12&lt;&gt;".",s_Irr!AI12=".",s_Irr!BG12="."),s_dir!AK12/((1/1000)*(s_Irr!K12)),IF(AND(s_Irr!K12=".",s_Irr!AI12=".",s_Irr!BG12="."),s_dir!AK12*1000)))))))),".")</f>
        <v>.</v>
      </c>
      <c r="BK12" s="76" t="str">
        <f>IFERROR(IF(AND(s_Irr!L12&lt;&gt;".",s_Irr!AJ12&lt;&gt;".",s_Irr!BH12&lt;&gt;"."),s_dir!AL12/((1/1000)*(s_Irr!L12+s_Irr!AJ12+s_Irr!BH12)),IF(AND(s_Irr!L12&lt;&gt;".",s_Irr!AJ12&lt;&gt;".",s_Irr!BH12="."),s_dir!AL12/((1/1000)*(s_Irr!L12+s_Irr!AJ12)),IF(AND(s_Irr!L12&lt;&gt;".",s_Irr!AJ12=".",s_Irr!BH12&lt;&gt;"."),s_dir!AL12/((1/1000)*(s_Irr!L12+s_Irr!BH12)),IF(AND(s_Irr!L12=".",s_Irr!AJ12&lt;&gt;".",s_Irr!BH12&lt;&gt;"."),s_dir!AL12/((1/1000)*(s_Irr!AJ12+s_Irr!BH12)),IF(AND(s_Irr!L12=".",s_Irr!AJ12=".",s_Irr!BH12&lt;&gt;"."),s_dir!AL12/((1/1000)*(s_Irr!BH12)),IF(AND(s_Irr!L12=".",s_Irr!AJ12&lt;&gt;".",s_Irr!BH12="."),s_dir!AL12/((1/1000)*(s_Irr!AJ12)),IF(AND(s_Irr!L12&lt;&gt;".",s_Irr!AJ12=".",s_Irr!BH12="."),s_dir!AL12/((1/1000)*(s_Irr!L12)),IF(AND(s_Irr!L12=".",s_Irr!AJ12=".",s_Irr!BH12="."),s_dir!AL12*1000)))))))),".")</f>
        <v>.</v>
      </c>
      <c r="BL12" s="76" t="str">
        <f>IFERROR(IF(AND(s_Irr!M12&lt;&gt;".",s_Irr!AK12&lt;&gt;".",s_Irr!BI12&lt;&gt;"."),s_dir!AM12/((1/1000)*(s_Irr!M12+s_Irr!AK12+s_Irr!BI12)),IF(AND(s_Irr!M12&lt;&gt;".",s_Irr!AK12&lt;&gt;".",s_Irr!BI12="."),s_dir!AM12/((1/1000)*(s_Irr!M12+s_Irr!AK12)),IF(AND(s_Irr!M12&lt;&gt;".",s_Irr!AK12=".",s_Irr!BI12&lt;&gt;"."),s_dir!AM12/((1/1000)*(s_Irr!M12+s_Irr!BI12)),IF(AND(s_Irr!M12=".",s_Irr!AK12&lt;&gt;".",s_Irr!BI12&lt;&gt;"."),s_dir!AM12/((1/1000)*(s_Irr!AK12+s_Irr!BI12)),IF(AND(s_Irr!M12=".",s_Irr!AK12=".",s_Irr!BI12&lt;&gt;"."),s_dir!AM12/((1/1000)*(s_Irr!BI12)),IF(AND(s_Irr!M12=".",s_Irr!AK12&lt;&gt;".",s_Irr!BI12="."),s_dir!AM12/((1/1000)*(s_Irr!AK12)),IF(AND(s_Irr!M12&lt;&gt;".",s_Irr!AK12=".",s_Irr!BI12="."),s_dir!AM12/((1/1000)*(s_Irr!M12)),IF(AND(s_Irr!M12=".",s_Irr!AK12=".",s_Irr!BI12="."),s_dir!AM12*1000)))))))),".")</f>
        <v>.</v>
      </c>
      <c r="BM12" s="76" t="str">
        <f>IFERROR(IF(AND(s_Irr!N12&lt;&gt;".",s_Irr!AL12&lt;&gt;".",s_Irr!BJ12&lt;&gt;"."),s_dir!AN12/((1/1000)*(s_Irr!N12+s_Irr!AL12+s_Irr!BJ12)),IF(AND(s_Irr!N12&lt;&gt;".",s_Irr!AL12&lt;&gt;".",s_Irr!BJ12="."),s_dir!AN12/((1/1000)*(s_Irr!N12+s_Irr!AL12)),IF(AND(s_Irr!N12&lt;&gt;".",s_Irr!AL12=".",s_Irr!BJ12&lt;&gt;"."),s_dir!AN12/((1/1000)*(s_Irr!N12+s_Irr!BJ12)),IF(AND(s_Irr!N12=".",s_Irr!AL12&lt;&gt;".",s_Irr!BJ12&lt;&gt;"."),s_dir!AN12/((1/1000)*(s_Irr!AL12+s_Irr!BJ12)),IF(AND(s_Irr!N12=".",s_Irr!AL12=".",s_Irr!BJ12&lt;&gt;"."),s_dir!AN12/((1/1000)*(s_Irr!BJ12)),IF(AND(s_Irr!N12=".",s_Irr!AL12&lt;&gt;".",s_Irr!BJ12="."),s_dir!AN12/((1/1000)*(s_Irr!AL12)),IF(AND(s_Irr!N12&lt;&gt;".",s_Irr!AL12=".",s_Irr!BJ12="."),s_dir!AN12/((1/1000)*(s_Irr!N12)),IF(AND(s_Irr!N12=".",s_Irr!AL12=".",s_Irr!BJ12="."),s_dir!AN12*1000)))))))),".")</f>
        <v>.</v>
      </c>
      <c r="BN12" s="76" t="str">
        <f>IFERROR(IF(AND(s_Irr!O12&lt;&gt;".",s_Irr!AM12&lt;&gt;".",s_Irr!BK12&lt;&gt;"."),s_dir!AO12/((1/1000)*(s_Irr!O12+s_Irr!AM12+s_Irr!BK12)),IF(AND(s_Irr!O12&lt;&gt;".",s_Irr!AM12&lt;&gt;".",s_Irr!BK12="."),s_dir!AO12/((1/1000)*(s_Irr!O12+s_Irr!AM12)),IF(AND(s_Irr!O12&lt;&gt;".",s_Irr!AM12=".",s_Irr!BK12&lt;&gt;"."),s_dir!AO12/((1/1000)*(s_Irr!O12+s_Irr!BK12)),IF(AND(s_Irr!O12=".",s_Irr!AM12&lt;&gt;".",s_Irr!BK12&lt;&gt;"."),s_dir!AO12/((1/1000)*(s_Irr!AM12+s_Irr!BK12)),IF(AND(s_Irr!O12=".",s_Irr!AM12=".",s_Irr!BK12&lt;&gt;"."),s_dir!AO12/((1/1000)*(s_Irr!BK12)),IF(AND(s_Irr!O12=".",s_Irr!AM12&lt;&gt;".",s_Irr!BK12="."),s_dir!AO12/((1/1000)*(s_Irr!AM12)),IF(AND(s_Irr!O12&lt;&gt;".",s_Irr!AM12=".",s_Irr!BK12="."),s_dir!AO12/((1/1000)*(s_Irr!O12)),IF(AND(s_Irr!O12=".",s_Irr!AM12=".",s_Irr!BK12="."),s_dir!AO12*1000)))))))),".")</f>
        <v>.</v>
      </c>
      <c r="BO12" s="76" t="str">
        <f>IFERROR(IF(AND(s_Irr!P12&lt;&gt;".",s_Irr!AN12&lt;&gt;".",s_Irr!BL12&lt;&gt;"."),s_dir!AP12/((1/1000)*(s_Irr!P12+s_Irr!AN12+s_Irr!BL12)),IF(AND(s_Irr!P12&lt;&gt;".",s_Irr!AN12&lt;&gt;".",s_Irr!BL12="."),s_dir!AP12/((1/1000)*(s_Irr!P12+s_Irr!AN12)),IF(AND(s_Irr!P12&lt;&gt;".",s_Irr!AN12=".",s_Irr!BL12&lt;&gt;"."),s_dir!AP12/((1/1000)*(s_Irr!P12+s_Irr!BL12)),IF(AND(s_Irr!P12=".",s_Irr!AN12&lt;&gt;".",s_Irr!BL12&lt;&gt;"."),s_dir!AP12/((1/1000)*(s_Irr!AN12+s_Irr!BL12)),IF(AND(s_Irr!P12=".",s_Irr!AN12=".",s_Irr!BL12&lt;&gt;"."),s_dir!AP12/((1/1000)*(s_Irr!BL12)),IF(AND(s_Irr!P12=".",s_Irr!AN12&lt;&gt;".",s_Irr!BL12="."),s_dir!AP12/((1/1000)*(s_Irr!AN12)),IF(AND(s_Irr!P12&lt;&gt;".",s_Irr!AN12=".",s_Irr!BL12="."),s_dir!AP12/((1/1000)*(s_Irr!P12)),IF(AND(s_Irr!P12=".",s_Irr!AN12=".",s_Irr!BL12="."),s_dir!AP12*1000)))))))),".")</f>
        <v>.</v>
      </c>
      <c r="BP12" s="76" t="str">
        <f>IFERROR(IF(AND(s_Irr!Q12&lt;&gt;".",s_Irr!AO12&lt;&gt;".",s_Irr!BM12&lt;&gt;"."),s_dir!AQ12/((1/1000)*(s_Irr!Q12+s_Irr!AO12+s_Irr!BM12)),IF(AND(s_Irr!Q12&lt;&gt;".",s_Irr!AO12&lt;&gt;".",s_Irr!BM12="."),s_dir!AQ12/((1/1000)*(s_Irr!Q12+s_Irr!AO12)),IF(AND(s_Irr!Q12&lt;&gt;".",s_Irr!AO12=".",s_Irr!BM12&lt;&gt;"."),s_dir!AQ12/((1/1000)*(s_Irr!Q12+s_Irr!BM12)),IF(AND(s_Irr!Q12=".",s_Irr!AO12&lt;&gt;".",s_Irr!BM12&lt;&gt;"."),s_dir!AQ12/((1/1000)*(s_Irr!AO12+s_Irr!BM12)),IF(AND(s_Irr!Q12=".",s_Irr!AO12=".",s_Irr!BM12&lt;&gt;"."),s_dir!AQ12/((1/1000)*(s_Irr!BM12)),IF(AND(s_Irr!Q12=".",s_Irr!AO12&lt;&gt;".",s_Irr!BM12="."),s_dir!AQ12/((1/1000)*(s_Irr!AO12)),IF(AND(s_Irr!Q12&lt;&gt;".",s_Irr!AO12=".",s_Irr!BM12="."),s_dir!AQ12/((1/1000)*(s_Irr!Q12)),IF(AND(s_Irr!Q12=".",s_Irr!AO12=".",s_Irr!BM12="."),s_dir!AQ12*1000)))))))),".")</f>
        <v>.</v>
      </c>
      <c r="BQ12" s="76" t="str">
        <f>IFERROR(IF(AND(s_Irr!R12&lt;&gt;".",s_Irr!AP12&lt;&gt;".",s_Irr!BN12&lt;&gt;"."),s_dir!AR12/((1/1000)*(s_Irr!R12+s_Irr!AP12+s_Irr!BN12)),IF(AND(s_Irr!R12&lt;&gt;".",s_Irr!AP12&lt;&gt;".",s_Irr!BN12="."),s_dir!AR12/((1/1000)*(s_Irr!R12+s_Irr!AP12)),IF(AND(s_Irr!R12&lt;&gt;".",s_Irr!AP12=".",s_Irr!BN12&lt;&gt;"."),s_dir!AR12/((1/1000)*(s_Irr!R12+s_Irr!BN12)),IF(AND(s_Irr!R12=".",s_Irr!AP12&lt;&gt;".",s_Irr!BN12&lt;&gt;"."),s_dir!AR12/((1/1000)*(s_Irr!AP12+s_Irr!BN12)),IF(AND(s_Irr!R12=".",s_Irr!AP12=".",s_Irr!BN12&lt;&gt;"."),s_dir!AR12/((1/1000)*(s_Irr!BN12)),IF(AND(s_Irr!R12=".",s_Irr!AP12&lt;&gt;".",s_Irr!BN12="."),s_dir!AR12/((1/1000)*(s_Irr!AP12)),IF(AND(s_Irr!R12&lt;&gt;".",s_Irr!AP12=".",s_Irr!BN12="."),s_dir!AR12/((1/1000)*(s_Irr!R12)),IF(AND(s_Irr!R12=".",s_Irr!AP12=".",s_Irr!BN12="."),s_dir!AR12*1000)))))))),".")</f>
        <v>.</v>
      </c>
      <c r="BR12" s="76" t="str">
        <f>IFERROR(IF(AND(s_Irr!S12&lt;&gt;".",s_Irr!AQ12&lt;&gt;".",s_Irr!BO12&lt;&gt;"."),s_dir!AS12/((1/1000)*(s_Irr!S12+s_Irr!AQ12+s_Irr!BO12)),IF(AND(s_Irr!S12&lt;&gt;".",s_Irr!AQ12&lt;&gt;".",s_Irr!BO12="."),s_dir!AS12/((1/1000)*(s_Irr!S12+s_Irr!AQ12)),IF(AND(s_Irr!S12&lt;&gt;".",s_Irr!AQ12=".",s_Irr!BO12&lt;&gt;"."),s_dir!AS12/((1/1000)*(s_Irr!S12+s_Irr!BO12)),IF(AND(s_Irr!S12=".",s_Irr!AQ12&lt;&gt;".",s_Irr!BO12&lt;&gt;"."),s_dir!AS12/((1/1000)*(s_Irr!AQ12+s_Irr!BO12)),IF(AND(s_Irr!S12=".",s_Irr!AQ12=".",s_Irr!BO12&lt;&gt;"."),s_dir!AS12/((1/1000)*(s_Irr!BO12)),IF(AND(s_Irr!S12=".",s_Irr!AQ12&lt;&gt;".",s_Irr!BO12="."),s_dir!AS12/((1/1000)*(s_Irr!AQ12)),IF(AND(s_Irr!S12&lt;&gt;".",s_Irr!AQ12=".",s_Irr!BO12="."),s_dir!AS12/((1/1000)*(s_Irr!S12)),IF(AND(s_Irr!S12=".",s_Irr!AQ12=".",s_Irr!BO12="."),s_dir!AS12*1000)))))))),".")</f>
        <v>.</v>
      </c>
      <c r="BS12" s="76" t="str">
        <f>IFERROR(IF(AND(s_Irr!T12&lt;&gt;".",s_Irr!AR12&lt;&gt;".",s_Irr!BP12&lt;&gt;"."),s_dir!AT12/((1/1000)*(s_Irr!T12+s_Irr!AR12+s_Irr!BP12)),IF(AND(s_Irr!T12&lt;&gt;".",s_Irr!AR12&lt;&gt;".",s_Irr!BP12="."),s_dir!AT12/((1/1000)*(s_Irr!T12+s_Irr!AR12)),IF(AND(s_Irr!T12&lt;&gt;".",s_Irr!AR12=".",s_Irr!BP12&lt;&gt;"."),s_dir!AT12/((1/1000)*(s_Irr!T12+s_Irr!BP12)),IF(AND(s_Irr!T12=".",s_Irr!AR12&lt;&gt;".",s_Irr!BP12&lt;&gt;"."),s_dir!AT12/((1/1000)*(s_Irr!AR12+s_Irr!BP12)),IF(AND(s_Irr!T12=".",s_Irr!AR12=".",s_Irr!BP12&lt;&gt;"."),s_dir!AT12/((1/1000)*(s_Irr!BP12)),IF(AND(s_Irr!T12=".",s_Irr!AR12&lt;&gt;".",s_Irr!BP12="."),s_dir!AT12/((1/1000)*(s_Irr!AR12)),IF(AND(s_Irr!T12&lt;&gt;".",s_Irr!AR12=".",s_Irr!BP12="."),s_dir!AT12/((1/1000)*(s_Irr!T12)),IF(AND(s_Irr!T12=".",s_Irr!AR12=".",s_Irr!BP12="."),s_dir!AT12*1000)))))))),".")</f>
        <v>.</v>
      </c>
      <c r="BT12" s="76" t="str">
        <f>IFERROR(IF(AND(s_Irr!U12&lt;&gt;".",s_Irr!AS12&lt;&gt;".",s_Irr!BQ12&lt;&gt;"."),s_dir!AU12/((1/1000)*(s_Irr!U12+s_Irr!AS12+s_Irr!BQ12)),IF(AND(s_Irr!U12&lt;&gt;".",s_Irr!AS12&lt;&gt;".",s_Irr!BQ12="."),s_dir!AU12/((1/1000)*(s_Irr!U12+s_Irr!AS12)),IF(AND(s_Irr!U12&lt;&gt;".",s_Irr!AS12=".",s_Irr!BQ12&lt;&gt;"."),s_dir!AU12/((1/1000)*(s_Irr!U12+s_Irr!BQ12)),IF(AND(s_Irr!U12=".",s_Irr!AS12&lt;&gt;".",s_Irr!BQ12&lt;&gt;"."),s_dir!AU12/((1/1000)*(s_Irr!AS12+s_Irr!BQ12)),IF(AND(s_Irr!U12=".",s_Irr!AS12=".",s_Irr!BQ12&lt;&gt;"."),s_dir!AU12/((1/1000)*(s_Irr!BQ12)),IF(AND(s_Irr!U12=".",s_Irr!AS12&lt;&gt;".",s_Irr!BQ12="."),s_dir!AU12/((1/1000)*(s_Irr!AS12)),IF(AND(s_Irr!U12&lt;&gt;".",s_Irr!AS12=".",s_Irr!BQ12="."),s_dir!AU12/((1/1000)*(s_Irr!U12)),IF(AND(s_Irr!U12=".",s_Irr!AS12=".",s_Irr!BQ12="."),s_dir!AU12*1000)))))))),".")</f>
        <v>.</v>
      </c>
      <c r="BU12" s="76" t="str">
        <f>IFERROR(IF(AND(s_Irr!V12&lt;&gt;".",s_Irr!AT12&lt;&gt;".",s_Irr!BR12&lt;&gt;"."),s_dir!AV12/((1/1000)*(s_Irr!V12+s_Irr!AT12+s_Irr!BR12)),IF(AND(s_Irr!V12&lt;&gt;".",s_Irr!AT12&lt;&gt;".",s_Irr!BR12="."),s_dir!AV12/((1/1000)*(s_Irr!V12+s_Irr!AT12)),IF(AND(s_Irr!V12&lt;&gt;".",s_Irr!AT12=".",s_Irr!BR12&lt;&gt;"."),s_dir!AV12/((1/1000)*(s_Irr!V12+s_Irr!BR12)),IF(AND(s_Irr!V12=".",s_Irr!AT12&lt;&gt;".",s_Irr!BR12&lt;&gt;"."),s_dir!AV12/((1/1000)*(s_Irr!AT12+s_Irr!BR12)),IF(AND(s_Irr!V12=".",s_Irr!AT12=".",s_Irr!BR12&lt;&gt;"."),s_dir!AV12/((1/1000)*(s_Irr!BR12)),IF(AND(s_Irr!V12=".",s_Irr!AT12&lt;&gt;".",s_Irr!BR12="."),s_dir!AV12/((1/1000)*(s_Irr!AT12)),IF(AND(s_Irr!V12&lt;&gt;".",s_Irr!AT12=".",s_Irr!BR12="."),s_dir!AV12/((1/1000)*(s_Irr!V12)),IF(AND(s_Irr!V12=".",s_Irr!AT12=".",s_Irr!BR12="."),s_dir!AV12*1000)))))))),".")</f>
        <v>.</v>
      </c>
      <c r="BV12" s="76" t="str">
        <f>IFERROR(IF(AND(s_Irr!W12&lt;&gt;".",s_Irr!AU12&lt;&gt;".",s_Irr!BS12&lt;&gt;"."),s_dir!AW12/((1/1000)*(s_Irr!W12+s_Irr!AU12+s_Irr!BS12)),IF(AND(s_Irr!W12&lt;&gt;".",s_Irr!AU12&lt;&gt;".",s_Irr!BS12="."),s_dir!AW12/((1/1000)*(s_Irr!W12+s_Irr!AU12)),IF(AND(s_Irr!W12&lt;&gt;".",s_Irr!AU12=".",s_Irr!BS12&lt;&gt;"."),s_dir!AW12/((1/1000)*(s_Irr!W12+s_Irr!BS12)),IF(AND(s_Irr!W12=".",s_Irr!AU12&lt;&gt;".",s_Irr!BS12&lt;&gt;"."),s_dir!AW12/((1/1000)*(s_Irr!AU12+s_Irr!BS12)),IF(AND(s_Irr!W12=".",s_Irr!AU12=".",s_Irr!BS12&lt;&gt;"."),s_dir!AW12/((1/1000)*(s_Irr!BS12)),IF(AND(s_Irr!W12=".",s_Irr!AU12&lt;&gt;".",s_Irr!BS12="."),s_dir!AW12/((1/1000)*(s_Irr!AU12)),IF(AND(s_Irr!W12&lt;&gt;".",s_Irr!AU12=".",s_Irr!BS12="."),s_dir!AW12/((1/1000)*(s_Irr!W12)),IF(AND(s_Irr!W12=".",s_Irr!AU12=".",s_Irr!BS12="."),s_dir!AW12*1000)))))))),".")</f>
        <v>.</v>
      </c>
      <c r="BW12" s="76" t="str">
        <f>IFERROR(IF(AND(s_Irr!X12&lt;&gt;".",s_Irr!AV12&lt;&gt;".",s_Irr!BT12&lt;&gt;"."),s_dir!AX12/((1/1000)*(s_Irr!X12+s_Irr!AV12+s_Irr!BT12)),IF(AND(s_Irr!X12&lt;&gt;".",s_Irr!AV12&lt;&gt;".",s_Irr!BT12="."),s_dir!AX12/((1/1000)*(s_Irr!X12+s_Irr!AV12)),IF(AND(s_Irr!X12&lt;&gt;".",s_Irr!AV12=".",s_Irr!BT12&lt;&gt;"."),s_dir!AX12/((1/1000)*(s_Irr!X12+s_Irr!BT12)),IF(AND(s_Irr!X12=".",s_Irr!AV12&lt;&gt;".",s_Irr!BT12&lt;&gt;"."),s_dir!AX12/((1/1000)*(s_Irr!AV12+s_Irr!BT12)),IF(AND(s_Irr!X12=".",s_Irr!AV12=".",s_Irr!BT12&lt;&gt;"."),s_dir!AX12/((1/1000)*(s_Irr!BT12)),IF(AND(s_Irr!X12=".",s_Irr!AV12&lt;&gt;".",s_Irr!BT12="."),s_dir!AX12/((1/1000)*(s_Irr!AV12)),IF(AND(s_Irr!X12&lt;&gt;".",s_Irr!AV12=".",s_Irr!BT12="."),s_dir!AX12/((1/1000)*(s_Irr!X12)),IF(AND(s_Irr!X12=".",s_Irr!AV12=".",s_Irr!BT12="."),s_dir!AX12*1000)))))))),".")</f>
        <v>.</v>
      </c>
      <c r="BX12" s="76" t="str">
        <f>IFERROR(IF(AND(s_Irr!Y12&lt;&gt;".",s_Irr!AW12&lt;&gt;".",s_Irr!BU12&lt;&gt;"."),s_dir!AY12/((1/1000)*(s_Irr!Y12+s_Irr!AW12+s_Irr!BU12)),IF(AND(s_Irr!Y12&lt;&gt;".",s_Irr!AW12&lt;&gt;".",s_Irr!BU12="."),s_dir!AY12/((1/1000)*(s_Irr!Y12+s_Irr!AW12)),IF(AND(s_Irr!Y12&lt;&gt;".",s_Irr!AW12=".",s_Irr!BU12&lt;&gt;"."),s_dir!AY12/((1/1000)*(s_Irr!Y12+s_Irr!BU12)),IF(AND(s_Irr!Y12=".",s_Irr!AW12&lt;&gt;".",s_Irr!BU12&lt;&gt;"."),s_dir!AY12/((1/1000)*(s_Irr!AW12+s_Irr!BU12)),IF(AND(s_Irr!Y12=".",s_Irr!AW12=".",s_Irr!BU12&lt;&gt;"."),s_dir!AY12/((1/1000)*(s_Irr!BU12)),IF(AND(s_Irr!Y12=".",s_Irr!AW12&lt;&gt;".",s_Irr!BU12="."),s_dir!AY12/((1/1000)*(s_Irr!AW12)),IF(AND(s_Irr!Y12&lt;&gt;".",s_Irr!AW12=".",s_Irr!BU12="."),s_dir!AY12/((1/1000)*(s_Irr!Y12)),IF(AND(s_Irr!Y12=".",s_Irr!AW12=".",s_Irr!BU12="."),s_dir!AY12*1000)))))))),".")</f>
        <v>.</v>
      </c>
      <c r="BY12" s="76" t="str">
        <f>IFERROR(IF(AND(s_Irr!Z12&lt;&gt;".",s_Irr!AX12&lt;&gt;".",s_Irr!BV12&lt;&gt;"."),s_dir!AZ12/((1/1000)*(s_Irr!Z12+s_Irr!AX12+s_Irr!BV12)),IF(AND(s_Irr!Z12&lt;&gt;".",s_Irr!AX12&lt;&gt;".",s_Irr!BV12="."),s_dir!AZ12/((1/1000)*(s_Irr!Z12+s_Irr!AX12)),IF(AND(s_Irr!Z12&lt;&gt;".",s_Irr!AX12=".",s_Irr!BV12&lt;&gt;"."),s_dir!AZ12/((1/1000)*(s_Irr!Z12+s_Irr!BV12)),IF(AND(s_Irr!Z12=".",s_Irr!AX12&lt;&gt;".",s_Irr!BV12&lt;&gt;"."),s_dir!AZ12/((1/1000)*(s_Irr!AX12+s_Irr!BV12)),IF(AND(s_Irr!Z12=".",s_Irr!AX12=".",s_Irr!BV12&lt;&gt;"."),s_dir!AZ12/((1/1000)*(s_Irr!BV12)),IF(AND(s_Irr!Z12=".",s_Irr!AX12&lt;&gt;".",s_Irr!BV12="."),s_dir!AZ12/((1/1000)*(s_Irr!AX12)),IF(AND(s_Irr!Z12&lt;&gt;".",s_Irr!AX12=".",s_Irr!BV12="."),s_dir!AZ12/((1/1000)*(s_Irr!Z12)),IF(AND(s_Irr!Z12=".",s_Irr!AX12=".",s_Irr!BV12="."),s_dir!AZ12*1000)))))))),".")</f>
        <v>.</v>
      </c>
      <c r="BZ12" s="93">
        <f>SUM(CA12:CB12,CW12:CX12)</f>
        <v>3921.8863946340543</v>
      </c>
      <c r="CA12" s="93">
        <f>IFERROR(s_C*s_IFAP_far_adj*s_CF_apple*(1/1000)*(s_Irr!C12+s_Irr!AA12+s_Irr!AY12),".")</f>
        <v>980.47159865851359</v>
      </c>
      <c r="CB12" s="93">
        <f>IFERROR(s_C*s_IFAS_far_adj*s_CF_asparagus*(1/1000)*(s_Irr!D12+s_Irr!AB12+s_Irr!AZ12),".")</f>
        <v>980.47159865851359</v>
      </c>
      <c r="CC12" s="93">
        <f>IFERROR(s_C*s_IFBT_far_adj*s_CF_beet*(1/1000)*(s_Irr!E12+s_Irr!AC12+s_Irr!BA12),".")</f>
        <v>980.47159865851359</v>
      </c>
      <c r="CD12" s="93">
        <f>IFERROR(s_C*s_IFBE_far_adj*s_CF_berries*(1/1000)*(s_Irr!F12+s_Irr!AD12+s_Irr!BB12),".")</f>
        <v>980.47159865851359</v>
      </c>
      <c r="CE12" s="93">
        <f>IFERROR(s_C*s_IFBR_far_adj*s_CF_broccoli*(1/1000)*(s_Irr!G12+s_Irr!AE12+s_Irr!BC12),".")</f>
        <v>980.47159865851359</v>
      </c>
      <c r="CF12" s="93">
        <f>IFERROR(s_C*s_IFCB_far_adj*s_CF_cabbage*(1/1000)*(s_Irr!H12+s_Irr!AF12+s_Irr!BD12),".")</f>
        <v>980.47159865851359</v>
      </c>
      <c r="CG12" s="93">
        <f>IFERROR(s_C*s_IFCR_far_adj*s_CF_carrot*(1/1000)*(s_Irr!I12+s_Irr!AG12+s_Irr!BE12),".")</f>
        <v>980.47159865851359</v>
      </c>
      <c r="CH12" s="93">
        <f>IFERROR(s_C*s_IFCI_far_adj*s_CF_citrus*(1/1000)*(s_Irr!J12+s_Irr!AH12+s_Irr!BF12),".")</f>
        <v>980.47159865851359</v>
      </c>
      <c r="CI12" s="93">
        <f>IFERROR(s_C*s_IFCO_far_adj*s_CF_corn*(1/1000)*(s_Irr!K12+s_Irr!AI12+s_Irr!BG12),".")</f>
        <v>980.47159865851359</v>
      </c>
      <c r="CJ12" s="93">
        <f>IFERROR(s_C*s_IFCU_far_adj*s_CF_cucumber*(1/1000)*(s_Irr!L12+s_Irr!AJ12+s_Irr!BH12),".")</f>
        <v>980.47159865851359</v>
      </c>
      <c r="CK12" s="93">
        <f>IFERROR(s_C*s_IFLE_far_adj*s_CF_lettuce*(1/1000)*(s_Irr!M12+s_Irr!AK12+s_Irr!BI12),".")</f>
        <v>980.47159865851359</v>
      </c>
      <c r="CL12" s="93">
        <f>IFERROR(s_C*s_IFLI_far_adj*s_CF_lima_bean*(1/1000)*(s_Irr!N12+s_Irr!AL12+s_Irr!BJ12),".")</f>
        <v>980.47159865851359</v>
      </c>
      <c r="CM12" s="93">
        <f>IFERROR(s_C*s_IFOK_far_adj*s_CF_okra*(1/1000)*(s_Irr!O12+s_Irr!AM12+s_Irr!BK12),".")</f>
        <v>980.47159865851359</v>
      </c>
      <c r="CN12" s="93">
        <f>IFERROR(s_C*s_IFON_far_adj*s_CF_onion*(1/1000)*(s_Irr!P12+s_Irr!AN12+s_Irr!BL12),".")</f>
        <v>980.47159865851359</v>
      </c>
      <c r="CO12" s="93">
        <f>IFERROR(s_C*s_IFPC_far_adj*s_CF_peach*(1/1000)*(s_Irr!Q12+s_Irr!AO12+s_Irr!BM12),".")</f>
        <v>980.47159865851359</v>
      </c>
      <c r="CP12" s="93">
        <f>IFERROR(s_C*s_IFPR_far_adj*s_CF_pear*(1/1000)*(s_Irr!R12+s_Irr!AP12+s_Irr!BN12),".")</f>
        <v>980.47159865851359</v>
      </c>
      <c r="CQ12" s="93">
        <f>IFERROR(s_C*s_IFPE_far_adj*s_CF_peas*(1/1000)*(s_Irr!S12+s_Irr!AQ12+s_Irr!BO12),".")</f>
        <v>980.47159865851359</v>
      </c>
      <c r="CR12" s="93">
        <f>IFERROR(s_C*s_IFPT_far_adj*s_CF_potato*(1/1000)*(s_Irr!T12+s_Irr!AR12+s_Irr!BP12),".")</f>
        <v>980.47159865851359</v>
      </c>
      <c r="CS12" s="93">
        <f>IFERROR(s_C*s_IFPU_far_adj*s_CF_pumpkin*(1/1000)*(s_Irr!U12+s_Irr!AS12+s_Irr!BQ12),".")</f>
        <v>980.47159865851359</v>
      </c>
      <c r="CT12" s="93">
        <f>IFERROR(s_C*s_IFSN_far_adj*s_CF_snap_bean*(1/1000)*(s_Irr!V12+s_Irr!AT12+s_Irr!BR12),".")</f>
        <v>980.47159865851359</v>
      </c>
      <c r="CU12" s="93">
        <f>IFERROR(s_C*s_IFST_far_adj*s_CF_strawberry*(1/1000)*(s_Irr!W12+s_Irr!AU12+s_Irr!BS12),".")</f>
        <v>980.47159865851359</v>
      </c>
      <c r="CV12" s="93">
        <f>IFERROR(s_C*s_IFTO_far_adj*s_CF_tomato*(1/1000)*(s_Irr!X12+s_Irr!AV12+s_Irr!BT12),".")</f>
        <v>980.47159865851359</v>
      </c>
      <c r="CW12" s="93">
        <f>IFERROR(s_C*s_IFRI_far_adj*s_CF_rice*(1/1000)*(s_Irr!Y12+s_Irr!AW12+s_Irr!BU12),".")</f>
        <v>980.47159865851359</v>
      </c>
      <c r="CX12" s="93">
        <f>IFERROR(s_C*s_IFCG_far_adj*s_CF_cereal*(1/1000)*(s_Irr!Z12+s_Irr!AX12+s_Irr!BV12),".")</f>
        <v>980.47159865851359</v>
      </c>
    </row>
    <row r="13" spans="1:102" ht="15" customHeight="1" x14ac:dyDescent="0.25">
      <c r="A13" s="92" t="s">
        <v>23</v>
      </c>
      <c r="B13" s="90" t="s">
        <v>1074</v>
      </c>
      <c r="C13" s="76">
        <f t="shared" ref="C13:C14" si="16">IFERROR(1/SUM(1/D13,1/E13,1/Z13,1/AA13),".")</f>
        <v>77.296496739585933</v>
      </c>
      <c r="D13" s="76">
        <f>IFERROR(IF(AND(s_Irr!C13&lt;&gt;".",s_Irr!AA13&lt;&gt;".",s_Irr!AY13&lt;&gt;"."),s_dir!D13/((1/1000)*(s_Irr!C13+s_Irr!AA13+s_Irr!AY13)),IF(AND(s_Irr!C13&lt;&gt;".",s_Irr!AA13&lt;&gt;".",s_Irr!AY13="."),s_dir!D13/((1/1000)*(s_Irr!C13+s_Irr!AA13)),IF(AND(s_Irr!C13&lt;&gt;".",s_Irr!AA13=".",s_Irr!AY13&lt;&gt;"."),s_dir!D13/((1/1000)*(s_Irr!C13+s_Irr!AY13)),IF(AND(s_Irr!C13=".",s_Irr!AA13&lt;&gt;".",s_Irr!AY13&lt;&gt;"."),s_dir!D13/((1/1000)*(s_Irr!AA13+s_Irr!AY13)),IF(AND(s_Irr!C13=".",s_Irr!AA13=".",s_Irr!AY13&lt;&gt;"."),s_dir!D13/((1/1000)*(s_Irr!AY13)),IF(AND(s_Irr!C13=".",s_Irr!AA13&lt;&gt;".",s_Irr!AY13="."),s_dir!D13/((1/1000)*(s_Irr!AA13)),IF(AND(s_Irr!C13&lt;&gt;".",s_Irr!AA13=".",s_Irr!AY13="."),s_dir!D13/((1/1000)*(s_Irr!C13)),IF(AND(s_Irr!C13=".",s_Irr!AA13=".",s_Irr!AY13="."),s_dir!D13*1000)))))))),".")</f>
        <v>373.20077559362721</v>
      </c>
      <c r="E13" s="76">
        <f>IFERROR(IF(AND(s_Irr!D13&lt;&gt;".",s_Irr!AB13&lt;&gt;".",s_Irr!AZ13&lt;&gt;"."),s_dir!E13/((1/1000)*(s_Irr!D13+s_Irr!AB13+s_Irr!AZ13)),IF(AND(s_Irr!D13&lt;&gt;".",s_Irr!AB13&lt;&gt;".",s_Irr!AZ13="."),s_dir!E13/((1/1000)*(s_Irr!D13+s_Irr!AB13)),IF(AND(s_Irr!D13&lt;&gt;".",s_Irr!AB13=".",s_Irr!AZ13&lt;&gt;"."),s_dir!E13/((1/1000)*(s_Irr!D13+s_Irr!AZ13)),IF(AND(s_Irr!D13=".",s_Irr!AB13&lt;&gt;".",s_Irr!AZ13&lt;&gt;"."),s_dir!E13/((1/1000)*(s_Irr!AB13+s_Irr!AZ13)),IF(AND(s_Irr!D13=".",s_Irr!AB13=".",s_Irr!AZ13&lt;&gt;"."),s_dir!E13/((1/1000)*(s_Irr!AZ13)),IF(AND(s_Irr!D13=".",s_Irr!AB13&lt;&gt;".",s_Irr!AZ13="."),s_dir!E13/((1/1000)*(s_Irr!AB13)),IF(AND(s_Irr!D13&lt;&gt;".",s_Irr!AB13=".",s_Irr!AZ13="."),s_dir!E13/((1/1000)*(s_Irr!D13)),IF(AND(s_Irr!D13=".",s_Irr!AB13=".",s_Irr!AZ13="."),s_dir!E13*1000)))))))),".")</f>
        <v>257.15475630694687</v>
      </c>
      <c r="F13" s="76">
        <f>IFERROR(IF(AND(s_Irr!E13&lt;&gt;".",s_Irr!AC13&lt;&gt;".",s_Irr!BA13&lt;&gt;"."),s_dir!F13/((1/1000)*(s_Irr!E13+s_Irr!AC13+s_Irr!BA13)),IF(AND(s_Irr!E13&lt;&gt;".",s_Irr!AC13&lt;&gt;".",s_Irr!BA13="."),s_dir!F13/((1/1000)*(s_Irr!E13+s_Irr!AC13)),IF(AND(s_Irr!E13&lt;&gt;".",s_Irr!AC13=".",s_Irr!BA13&lt;&gt;"."),s_dir!F13/((1/1000)*(s_Irr!E13+s_Irr!BA13)),IF(AND(s_Irr!E13=".",s_Irr!AC13&lt;&gt;".",s_Irr!BA13&lt;&gt;"."),s_dir!F13/((1/1000)*(s_Irr!AC13+s_Irr!BA13)),IF(AND(s_Irr!E13=".",s_Irr!AC13=".",s_Irr!BA13&lt;&gt;"."),s_dir!F13/((1/1000)*(s_Irr!BA13)),IF(AND(s_Irr!E13=".",s_Irr!AC13&lt;&gt;".",s_Irr!BA13="."),s_dir!F13/((1/1000)*(s_Irr!AC13)),IF(AND(s_Irr!E13&lt;&gt;".",s_Irr!AC13=".",s_Irr!BA13="."),s_dir!F13/((1/1000)*(s_Irr!E13)),IF(AND(s_Irr!E13=".",s_Irr!AC13=".",s_Irr!BA13="."),s_dir!F13*1000)))))))),".")</f>
        <v>273.05472032326338</v>
      </c>
      <c r="G13" s="76">
        <f>IFERROR(IF(AND(s_Irr!F13&lt;&gt;".",s_Irr!AD13&lt;&gt;".",s_Irr!BB13&lt;&gt;"."),s_dir!G13/((1/1000)*(s_Irr!F13+s_Irr!AD13+s_Irr!BB13)),IF(AND(s_Irr!F13&lt;&gt;".",s_Irr!AD13&lt;&gt;".",s_Irr!BB13="."),s_dir!G13/((1/1000)*(s_Irr!F13+s_Irr!AD13)),IF(AND(s_Irr!F13&lt;&gt;".",s_Irr!AD13=".",s_Irr!BB13&lt;&gt;"."),s_dir!G13/((1/1000)*(s_Irr!F13+s_Irr!BB13)),IF(AND(s_Irr!F13=".",s_Irr!AD13&lt;&gt;".",s_Irr!BB13&lt;&gt;"."),s_dir!G13/((1/1000)*(s_Irr!AD13+s_Irr!BB13)),IF(AND(s_Irr!F13=".",s_Irr!AD13=".",s_Irr!BB13&lt;&gt;"."),s_dir!G13/((1/1000)*(s_Irr!BB13)),IF(AND(s_Irr!F13=".",s_Irr!AD13&lt;&gt;".",s_Irr!BB13="."),s_dir!G13/((1/1000)*(s_Irr!AD13)),IF(AND(s_Irr!F13&lt;&gt;".",s_Irr!AD13=".",s_Irr!BB13="."),s_dir!G13/((1/1000)*(s_Irr!F13)),IF(AND(s_Irr!F13=".",s_Irr!AD13=".",s_Irr!BB13="."),s_dir!G13*1000)))))))),".")</f>
        <v>373.20077559362721</v>
      </c>
      <c r="H13" s="76">
        <f>IFERROR(IF(AND(s_Irr!G13&lt;&gt;".",s_Irr!AE13&lt;&gt;".",s_Irr!BC13&lt;&gt;"."),s_dir!H13/((1/1000)*(s_Irr!G13+s_Irr!AE13+s_Irr!BC13)),IF(AND(s_Irr!G13&lt;&gt;".",s_Irr!AE13&lt;&gt;".",s_Irr!BC13="."),s_dir!H13/((1/1000)*(s_Irr!G13+s_Irr!AE13)),IF(AND(s_Irr!G13&lt;&gt;".",s_Irr!AE13=".",s_Irr!BC13&lt;&gt;"."),s_dir!H13/((1/1000)*(s_Irr!G13+s_Irr!BC13)),IF(AND(s_Irr!G13=".",s_Irr!AE13&lt;&gt;".",s_Irr!BC13&lt;&gt;"."),s_dir!H13/((1/1000)*(s_Irr!AE13+s_Irr!BC13)),IF(AND(s_Irr!G13=".",s_Irr!AE13=".",s_Irr!BC13&lt;&gt;"."),s_dir!H13/((1/1000)*(s_Irr!BC13)),IF(AND(s_Irr!G13=".",s_Irr!AE13&lt;&gt;".",s_Irr!BC13="."),s_dir!H13/((1/1000)*(s_Irr!AE13)),IF(AND(s_Irr!G13&lt;&gt;".",s_Irr!AE13=".",s_Irr!BC13="."),s_dir!H13/((1/1000)*(s_Irr!G13)),IF(AND(s_Irr!G13=".",s_Irr!AE13=".",s_Irr!BC13="."),s_dir!H13*1000)))))))),".")</f>
        <v>287.26402437450986</v>
      </c>
      <c r="I13" s="76">
        <f>IFERROR(IF(AND(s_Irr!H13&lt;&gt;".",s_Irr!AF13&lt;&gt;".",s_Irr!BD13&lt;&gt;"."),s_dir!I13/((1/1000)*(s_Irr!H13+s_Irr!AF13+s_Irr!BD13)),IF(AND(s_Irr!H13&lt;&gt;".",s_Irr!AF13&lt;&gt;".",s_Irr!BD13="."),s_dir!I13/((1/1000)*(s_Irr!H13+s_Irr!AF13)),IF(AND(s_Irr!H13&lt;&gt;".",s_Irr!AF13=".",s_Irr!BD13&lt;&gt;"."),s_dir!I13/((1/1000)*(s_Irr!H13+s_Irr!BD13)),IF(AND(s_Irr!H13=".",s_Irr!AF13&lt;&gt;".",s_Irr!BD13&lt;&gt;"."),s_dir!I13/((1/1000)*(s_Irr!AF13+s_Irr!BD13)),IF(AND(s_Irr!H13=".",s_Irr!AF13=".",s_Irr!BD13&lt;&gt;"."),s_dir!I13/((1/1000)*(s_Irr!BD13)),IF(AND(s_Irr!H13=".",s_Irr!AF13&lt;&gt;".",s_Irr!BD13="."),s_dir!I13/((1/1000)*(s_Irr!AF13)),IF(AND(s_Irr!H13&lt;&gt;".",s_Irr!AF13=".",s_Irr!BD13="."),s_dir!I13/((1/1000)*(s_Irr!H13)),IF(AND(s_Irr!H13=".",s_Irr!AF13=".",s_Irr!BD13="."),s_dir!I13*1000)))))))),".")</f>
        <v>257.15475630694687</v>
      </c>
      <c r="J13" s="76">
        <f>IFERROR(IF(AND(s_Irr!I13&lt;&gt;".",s_Irr!AG13&lt;&gt;".",s_Irr!BE13&lt;&gt;"."),s_dir!J13/((1/1000)*(s_Irr!I13+s_Irr!AG13+s_Irr!BE13)),IF(AND(s_Irr!I13&lt;&gt;".",s_Irr!AG13&lt;&gt;".",s_Irr!BE13="."),s_dir!J13/((1/1000)*(s_Irr!I13+s_Irr!AG13)),IF(AND(s_Irr!I13&lt;&gt;".",s_Irr!AG13=".",s_Irr!BE13&lt;&gt;"."),s_dir!J13/((1/1000)*(s_Irr!I13+s_Irr!BE13)),IF(AND(s_Irr!I13=".",s_Irr!AG13&lt;&gt;".",s_Irr!BE13&lt;&gt;"."),s_dir!J13/((1/1000)*(s_Irr!AG13+s_Irr!BE13)),IF(AND(s_Irr!I13=".",s_Irr!AG13=".",s_Irr!BE13&lt;&gt;"."),s_dir!J13/((1/1000)*(s_Irr!BE13)),IF(AND(s_Irr!I13=".",s_Irr!AG13&lt;&gt;".",s_Irr!BE13="."),s_dir!J13/((1/1000)*(s_Irr!AG13)),IF(AND(s_Irr!I13&lt;&gt;".",s_Irr!AG13=".",s_Irr!BE13="."),s_dir!J13/((1/1000)*(s_Irr!I13)),IF(AND(s_Irr!I13=".",s_Irr!AG13=".",s_Irr!BE13="."),s_dir!J13*1000)))))))),".")</f>
        <v>273.05472032326338</v>
      </c>
      <c r="K13" s="76">
        <f>IFERROR(IF(AND(s_Irr!J13&lt;&gt;".",s_Irr!AH13&lt;&gt;".",s_Irr!BF13&lt;&gt;"."),s_dir!K13/((1/1000)*(s_Irr!J13+s_Irr!AH13+s_Irr!BF13)),IF(AND(s_Irr!J13&lt;&gt;".",s_Irr!AH13&lt;&gt;".",s_Irr!BF13="."),s_dir!K13/((1/1000)*(s_Irr!J13+s_Irr!AH13)),IF(AND(s_Irr!J13&lt;&gt;".",s_Irr!AH13=".",s_Irr!BF13&lt;&gt;"."),s_dir!K13/((1/1000)*(s_Irr!J13+s_Irr!BF13)),IF(AND(s_Irr!J13=".",s_Irr!AH13&lt;&gt;".",s_Irr!BF13&lt;&gt;"."),s_dir!K13/((1/1000)*(s_Irr!AH13+s_Irr!BF13)),IF(AND(s_Irr!J13=".",s_Irr!AH13=".",s_Irr!BF13&lt;&gt;"."),s_dir!K13/((1/1000)*(s_Irr!BF13)),IF(AND(s_Irr!J13=".",s_Irr!AH13&lt;&gt;".",s_Irr!BF13="."),s_dir!K13/((1/1000)*(s_Irr!AH13)),IF(AND(s_Irr!J13&lt;&gt;".",s_Irr!AH13=".",s_Irr!BF13="."),s_dir!K13/((1/1000)*(s_Irr!J13)),IF(AND(s_Irr!J13=".",s_Irr!AH13=".",s_Irr!BF13="."),s_dir!K13*1000)))))))),".")</f>
        <v>373.20077559362721</v>
      </c>
      <c r="L13" s="76">
        <f>IFERROR(IF(AND(s_Irr!K13&lt;&gt;".",s_Irr!AI13&lt;&gt;".",s_Irr!BG13&lt;&gt;"."),s_dir!L13/((1/1000)*(s_Irr!K13+s_Irr!AI13+s_Irr!BG13)),IF(AND(s_Irr!K13&lt;&gt;".",s_Irr!AI13&lt;&gt;".",s_Irr!BG13="."),s_dir!L13/((1/1000)*(s_Irr!K13+s_Irr!AI13)),IF(AND(s_Irr!K13&lt;&gt;".",s_Irr!AI13=".",s_Irr!BG13&lt;&gt;"."),s_dir!L13/((1/1000)*(s_Irr!K13+s_Irr!BG13)),IF(AND(s_Irr!K13=".",s_Irr!AI13&lt;&gt;".",s_Irr!BG13&lt;&gt;"."),s_dir!L13/((1/1000)*(s_Irr!AI13+s_Irr!BG13)),IF(AND(s_Irr!K13=".",s_Irr!AI13=".",s_Irr!BG13&lt;&gt;"."),s_dir!L13/((1/1000)*(s_Irr!BG13)),IF(AND(s_Irr!K13=".",s_Irr!AI13&lt;&gt;".",s_Irr!BG13="."),s_dir!L13/((1/1000)*(s_Irr!AI13)),IF(AND(s_Irr!K13&lt;&gt;".",s_Irr!AI13=".",s_Irr!BG13="."),s_dir!L13/((1/1000)*(s_Irr!K13)),IF(AND(s_Irr!K13=".",s_Irr!AI13=".",s_Irr!BG13="."),s_dir!L13*1000)))))))),".")</f>
        <v>346.82262408886493</v>
      </c>
      <c r="M13" s="76">
        <f>IFERROR(IF(AND(s_Irr!L13&lt;&gt;".",s_Irr!AJ13&lt;&gt;".",s_Irr!BH13&lt;&gt;"."),s_dir!M13/((1/1000)*(s_Irr!L13+s_Irr!AJ13+s_Irr!BH13)),IF(AND(s_Irr!L13&lt;&gt;".",s_Irr!AJ13&lt;&gt;".",s_Irr!BH13="."),s_dir!M13/((1/1000)*(s_Irr!L13+s_Irr!AJ13)),IF(AND(s_Irr!L13&lt;&gt;".",s_Irr!AJ13=".",s_Irr!BH13&lt;&gt;"."),s_dir!M13/((1/1000)*(s_Irr!L13+s_Irr!BH13)),IF(AND(s_Irr!L13=".",s_Irr!AJ13&lt;&gt;".",s_Irr!BH13&lt;&gt;"."),s_dir!M13/((1/1000)*(s_Irr!AJ13+s_Irr!BH13)),IF(AND(s_Irr!L13=".",s_Irr!AJ13=".",s_Irr!BH13&lt;&gt;"."),s_dir!M13/((1/1000)*(s_Irr!BH13)),IF(AND(s_Irr!L13=".",s_Irr!AJ13&lt;&gt;".",s_Irr!BH13="."),s_dir!M13/((1/1000)*(s_Irr!AJ13)),IF(AND(s_Irr!L13&lt;&gt;".",s_Irr!AJ13=".",s_Irr!BH13="."),s_dir!M13/((1/1000)*(s_Irr!L13)),IF(AND(s_Irr!L13=".",s_Irr!AJ13=".",s_Irr!BH13="."),s_dir!M13*1000)))))))),".")</f>
        <v>287.26402437450986</v>
      </c>
      <c r="N13" s="76">
        <f>IFERROR(IF(AND(s_Irr!M13&lt;&gt;".",s_Irr!AK13&lt;&gt;".",s_Irr!BI13&lt;&gt;"."),s_dir!N13/((1/1000)*(s_Irr!M13+s_Irr!AK13+s_Irr!BI13)),IF(AND(s_Irr!M13&lt;&gt;".",s_Irr!AK13&lt;&gt;".",s_Irr!BI13="."),s_dir!N13/((1/1000)*(s_Irr!M13+s_Irr!AK13)),IF(AND(s_Irr!M13&lt;&gt;".",s_Irr!AK13=".",s_Irr!BI13&lt;&gt;"."),s_dir!N13/((1/1000)*(s_Irr!M13+s_Irr!BI13)),IF(AND(s_Irr!M13=".",s_Irr!AK13&lt;&gt;".",s_Irr!BI13&lt;&gt;"."),s_dir!N13/((1/1000)*(s_Irr!AK13+s_Irr!BI13)),IF(AND(s_Irr!M13=".",s_Irr!AK13=".",s_Irr!BI13&lt;&gt;"."),s_dir!N13/((1/1000)*(s_Irr!BI13)),IF(AND(s_Irr!M13=".",s_Irr!AK13&lt;&gt;".",s_Irr!BI13="."),s_dir!N13/((1/1000)*(s_Irr!AK13)),IF(AND(s_Irr!M13&lt;&gt;".",s_Irr!AK13=".",s_Irr!BI13="."),s_dir!N13/((1/1000)*(s_Irr!M13)),IF(AND(s_Irr!M13=".",s_Irr!AK13=".",s_Irr!BI13="."),s_dir!N13*1000)))))))),".")</f>
        <v>257.15475630694687</v>
      </c>
      <c r="O13" s="76">
        <f>IFERROR(IF(AND(s_Irr!N13&lt;&gt;".",s_Irr!AL13&lt;&gt;".",s_Irr!BJ13&lt;&gt;"."),s_dir!O13/((1/1000)*(s_Irr!N13+s_Irr!AL13+s_Irr!BJ13)),IF(AND(s_Irr!N13&lt;&gt;".",s_Irr!AL13&lt;&gt;".",s_Irr!BJ13="."),s_dir!O13/((1/1000)*(s_Irr!N13+s_Irr!AL13)),IF(AND(s_Irr!N13&lt;&gt;".",s_Irr!AL13=".",s_Irr!BJ13&lt;&gt;"."),s_dir!O13/((1/1000)*(s_Irr!N13+s_Irr!BJ13)),IF(AND(s_Irr!N13=".",s_Irr!AL13&lt;&gt;".",s_Irr!BJ13&lt;&gt;"."),s_dir!O13/((1/1000)*(s_Irr!AL13+s_Irr!BJ13)),IF(AND(s_Irr!N13=".",s_Irr!AL13=".",s_Irr!BJ13&lt;&gt;"."),s_dir!O13/((1/1000)*(s_Irr!BJ13)),IF(AND(s_Irr!N13=".",s_Irr!AL13&lt;&gt;".",s_Irr!BJ13="."),s_dir!O13/((1/1000)*(s_Irr!AL13)),IF(AND(s_Irr!N13&lt;&gt;".",s_Irr!AL13=".",s_Irr!BJ13="."),s_dir!O13/((1/1000)*(s_Irr!N13)),IF(AND(s_Irr!N13=".",s_Irr!AL13=".",s_Irr!BJ13="."),s_dir!O13*1000)))))))),".")</f>
        <v>291.05046741870416</v>
      </c>
      <c r="P13" s="76">
        <f>IFERROR(IF(AND(s_Irr!O13&lt;&gt;".",s_Irr!AM13&lt;&gt;".",s_Irr!BK13&lt;&gt;"."),s_dir!P13/((1/1000)*(s_Irr!O13+s_Irr!AM13+s_Irr!BK13)),IF(AND(s_Irr!O13&lt;&gt;".",s_Irr!AM13&lt;&gt;".",s_Irr!BK13="."),s_dir!P13/((1/1000)*(s_Irr!O13+s_Irr!AM13)),IF(AND(s_Irr!O13&lt;&gt;".",s_Irr!AM13=".",s_Irr!BK13&lt;&gt;"."),s_dir!P13/((1/1000)*(s_Irr!O13+s_Irr!BK13)),IF(AND(s_Irr!O13=".",s_Irr!AM13&lt;&gt;".",s_Irr!BK13&lt;&gt;"."),s_dir!P13/((1/1000)*(s_Irr!AM13+s_Irr!BK13)),IF(AND(s_Irr!O13=".",s_Irr!AM13=".",s_Irr!BK13&lt;&gt;"."),s_dir!P13/((1/1000)*(s_Irr!BK13)),IF(AND(s_Irr!O13=".",s_Irr!AM13&lt;&gt;".",s_Irr!BK13="."),s_dir!P13/((1/1000)*(s_Irr!AM13)),IF(AND(s_Irr!O13&lt;&gt;".",s_Irr!AM13=".",s_Irr!BK13="."),s_dir!P13/((1/1000)*(s_Irr!O13)),IF(AND(s_Irr!O13=".",s_Irr!AM13=".",s_Irr!BK13="."),s_dir!P13*1000)))))))),".")</f>
        <v>287.26402437450986</v>
      </c>
      <c r="Q13" s="76">
        <f>IFERROR(IF(AND(s_Irr!P13&lt;&gt;".",s_Irr!AN13&lt;&gt;".",s_Irr!BL13&lt;&gt;"."),s_dir!Q13/((1/1000)*(s_Irr!P13+s_Irr!AN13+s_Irr!BL13)),IF(AND(s_Irr!P13&lt;&gt;".",s_Irr!AN13&lt;&gt;".",s_Irr!BL13="."),s_dir!Q13/((1/1000)*(s_Irr!P13+s_Irr!AN13)),IF(AND(s_Irr!P13&lt;&gt;".",s_Irr!AN13=".",s_Irr!BL13&lt;&gt;"."),s_dir!Q13/((1/1000)*(s_Irr!P13+s_Irr!BL13)),IF(AND(s_Irr!P13=".",s_Irr!AN13&lt;&gt;".",s_Irr!BL13&lt;&gt;"."),s_dir!Q13/((1/1000)*(s_Irr!AN13+s_Irr!BL13)),IF(AND(s_Irr!P13=".",s_Irr!AN13=".",s_Irr!BL13&lt;&gt;"."),s_dir!Q13/((1/1000)*(s_Irr!BL13)),IF(AND(s_Irr!P13=".",s_Irr!AN13&lt;&gt;".",s_Irr!BL13="."),s_dir!Q13/((1/1000)*(s_Irr!AN13)),IF(AND(s_Irr!P13&lt;&gt;".",s_Irr!AN13=".",s_Irr!BL13="."),s_dir!Q13/((1/1000)*(s_Irr!P13)),IF(AND(s_Irr!P13=".",s_Irr!AN13=".",s_Irr!BL13="."),s_dir!Q13*1000)))))))),".")</f>
        <v>287.26402437450986</v>
      </c>
      <c r="R13" s="76">
        <f>IFERROR(IF(AND(s_Irr!Q13&lt;&gt;".",s_Irr!AO13&lt;&gt;".",s_Irr!BM13&lt;&gt;"."),s_dir!R13/((1/1000)*(s_Irr!Q13+s_Irr!AO13+s_Irr!BM13)),IF(AND(s_Irr!Q13&lt;&gt;".",s_Irr!AO13&lt;&gt;".",s_Irr!BM13="."),s_dir!R13/((1/1000)*(s_Irr!Q13+s_Irr!AO13)),IF(AND(s_Irr!Q13&lt;&gt;".",s_Irr!AO13=".",s_Irr!BM13&lt;&gt;"."),s_dir!R13/((1/1000)*(s_Irr!Q13+s_Irr!BM13)),IF(AND(s_Irr!Q13=".",s_Irr!AO13&lt;&gt;".",s_Irr!BM13&lt;&gt;"."),s_dir!R13/((1/1000)*(s_Irr!AO13+s_Irr!BM13)),IF(AND(s_Irr!Q13=".",s_Irr!AO13=".",s_Irr!BM13&lt;&gt;"."),s_dir!R13/((1/1000)*(s_Irr!BM13)),IF(AND(s_Irr!Q13=".",s_Irr!AO13&lt;&gt;".",s_Irr!BM13="."),s_dir!R13/((1/1000)*(s_Irr!AO13)),IF(AND(s_Irr!Q13&lt;&gt;".",s_Irr!AO13=".",s_Irr!BM13="."),s_dir!R13/((1/1000)*(s_Irr!Q13)),IF(AND(s_Irr!Q13=".",s_Irr!AO13=".",s_Irr!BM13="."),s_dir!R13*1000)))))))),".")</f>
        <v>373.20077559362721</v>
      </c>
      <c r="S13" s="76">
        <f>IFERROR(IF(AND(s_Irr!R13&lt;&gt;".",s_Irr!AP13&lt;&gt;".",s_Irr!BN13&lt;&gt;"."),s_dir!S13/((1/1000)*(s_Irr!R13+s_Irr!AP13+s_Irr!BN13)),IF(AND(s_Irr!R13&lt;&gt;".",s_Irr!AP13&lt;&gt;".",s_Irr!BN13="."),s_dir!S13/((1/1000)*(s_Irr!R13+s_Irr!AP13)),IF(AND(s_Irr!R13&lt;&gt;".",s_Irr!AP13=".",s_Irr!BN13&lt;&gt;"."),s_dir!S13/((1/1000)*(s_Irr!R13+s_Irr!BN13)),IF(AND(s_Irr!R13=".",s_Irr!AP13&lt;&gt;".",s_Irr!BN13&lt;&gt;"."),s_dir!S13/((1/1000)*(s_Irr!AP13+s_Irr!BN13)),IF(AND(s_Irr!R13=".",s_Irr!AP13=".",s_Irr!BN13&lt;&gt;"."),s_dir!S13/((1/1000)*(s_Irr!BN13)),IF(AND(s_Irr!R13=".",s_Irr!AP13&lt;&gt;".",s_Irr!BN13="."),s_dir!S13/((1/1000)*(s_Irr!AP13)),IF(AND(s_Irr!R13&lt;&gt;".",s_Irr!AP13=".",s_Irr!BN13="."),s_dir!S13/((1/1000)*(s_Irr!R13)),IF(AND(s_Irr!R13=".",s_Irr!AP13=".",s_Irr!BN13="."),s_dir!S13*1000)))))))),".")</f>
        <v>373.20077559362721</v>
      </c>
      <c r="T13" s="76">
        <f>IFERROR(IF(AND(s_Irr!S13&lt;&gt;".",s_Irr!AQ13&lt;&gt;".",s_Irr!BO13&lt;&gt;"."),s_dir!T13/((1/1000)*(s_Irr!S13+s_Irr!AQ13+s_Irr!BO13)),IF(AND(s_Irr!S13&lt;&gt;".",s_Irr!AQ13&lt;&gt;".",s_Irr!BO13="."),s_dir!T13/((1/1000)*(s_Irr!S13+s_Irr!AQ13)),IF(AND(s_Irr!S13&lt;&gt;".",s_Irr!AQ13=".",s_Irr!BO13&lt;&gt;"."),s_dir!T13/((1/1000)*(s_Irr!S13+s_Irr!BO13)),IF(AND(s_Irr!S13=".",s_Irr!AQ13&lt;&gt;".",s_Irr!BO13&lt;&gt;"."),s_dir!T13/((1/1000)*(s_Irr!AQ13+s_Irr!BO13)),IF(AND(s_Irr!S13=".",s_Irr!AQ13=".",s_Irr!BO13&lt;&gt;"."),s_dir!T13/((1/1000)*(s_Irr!BO13)),IF(AND(s_Irr!S13=".",s_Irr!AQ13&lt;&gt;".",s_Irr!BO13="."),s_dir!T13/((1/1000)*(s_Irr!AQ13)),IF(AND(s_Irr!S13&lt;&gt;".",s_Irr!AQ13=".",s_Irr!BO13="."),s_dir!T13/((1/1000)*(s_Irr!S13)),IF(AND(s_Irr!S13=".",s_Irr!AQ13=".",s_Irr!BO13="."),s_dir!T13*1000)))))))),".")</f>
        <v>291.05046741870416</v>
      </c>
      <c r="U13" s="76">
        <f>IFERROR(IF(AND(s_Irr!T13&lt;&gt;".",s_Irr!AR13&lt;&gt;".",s_Irr!BP13&lt;&gt;"."),s_dir!U13/((1/1000)*(s_Irr!T13+s_Irr!AR13+s_Irr!BP13)),IF(AND(s_Irr!T13&lt;&gt;".",s_Irr!AR13&lt;&gt;".",s_Irr!BP13="."),s_dir!U13/((1/1000)*(s_Irr!T13+s_Irr!AR13)),IF(AND(s_Irr!T13&lt;&gt;".",s_Irr!AR13=".",s_Irr!BP13&lt;&gt;"."),s_dir!U13/((1/1000)*(s_Irr!T13+s_Irr!BP13)),IF(AND(s_Irr!T13=".",s_Irr!AR13&lt;&gt;".",s_Irr!BP13&lt;&gt;"."),s_dir!U13/((1/1000)*(s_Irr!AR13+s_Irr!BP13)),IF(AND(s_Irr!T13=".",s_Irr!AR13=".",s_Irr!BP13&lt;&gt;"."),s_dir!U13/((1/1000)*(s_Irr!BP13)),IF(AND(s_Irr!T13=".",s_Irr!AR13&lt;&gt;".",s_Irr!BP13="."),s_dir!U13/((1/1000)*(s_Irr!AR13)),IF(AND(s_Irr!T13&lt;&gt;".",s_Irr!AR13=".",s_Irr!BP13="."),s_dir!U13/((1/1000)*(s_Irr!T13)),IF(AND(s_Irr!T13=".",s_Irr!AR13=".",s_Irr!BP13="."),s_dir!U13*1000)))))))),".")</f>
        <v>341.98821984013955</v>
      </c>
      <c r="V13" s="76">
        <f>IFERROR(IF(AND(s_Irr!U13&lt;&gt;".",s_Irr!AS13&lt;&gt;".",s_Irr!BQ13&lt;&gt;"."),s_dir!V13/((1/1000)*(s_Irr!U13+s_Irr!AS13+s_Irr!BQ13)),IF(AND(s_Irr!U13&lt;&gt;".",s_Irr!AS13&lt;&gt;".",s_Irr!BQ13="."),s_dir!V13/((1/1000)*(s_Irr!U13+s_Irr!AS13)),IF(AND(s_Irr!U13&lt;&gt;".",s_Irr!AS13=".",s_Irr!BQ13&lt;&gt;"."),s_dir!V13/((1/1000)*(s_Irr!U13+s_Irr!BQ13)),IF(AND(s_Irr!U13=".",s_Irr!AS13&lt;&gt;".",s_Irr!BQ13&lt;&gt;"."),s_dir!V13/((1/1000)*(s_Irr!AS13+s_Irr!BQ13)),IF(AND(s_Irr!U13=".",s_Irr!AS13=".",s_Irr!BQ13&lt;&gt;"."),s_dir!V13/((1/1000)*(s_Irr!BQ13)),IF(AND(s_Irr!U13=".",s_Irr!AS13&lt;&gt;".",s_Irr!BQ13="."),s_dir!V13/((1/1000)*(s_Irr!AS13)),IF(AND(s_Irr!U13&lt;&gt;".",s_Irr!AS13=".",s_Irr!BQ13="."),s_dir!V13/((1/1000)*(s_Irr!U13)),IF(AND(s_Irr!U13=".",s_Irr!AS13=".",s_Irr!BQ13="."),s_dir!V13*1000)))))))),".")</f>
        <v>287.26402437450986</v>
      </c>
      <c r="W13" s="76">
        <f>IFERROR(IF(AND(s_Irr!V13&lt;&gt;".",s_Irr!AT13&lt;&gt;".",s_Irr!BR13&lt;&gt;"."),s_dir!W13/((1/1000)*(s_Irr!V13+s_Irr!AT13+s_Irr!BR13)),IF(AND(s_Irr!V13&lt;&gt;".",s_Irr!AT13&lt;&gt;".",s_Irr!BR13="."),s_dir!W13/((1/1000)*(s_Irr!V13+s_Irr!AT13)),IF(AND(s_Irr!V13&lt;&gt;".",s_Irr!AT13=".",s_Irr!BR13&lt;&gt;"."),s_dir!W13/((1/1000)*(s_Irr!V13+s_Irr!BR13)),IF(AND(s_Irr!V13=".",s_Irr!AT13&lt;&gt;".",s_Irr!BR13&lt;&gt;"."),s_dir!W13/((1/1000)*(s_Irr!AT13+s_Irr!BR13)),IF(AND(s_Irr!V13=".",s_Irr!AT13=".",s_Irr!BR13&lt;&gt;"."),s_dir!W13/((1/1000)*(s_Irr!BR13)),IF(AND(s_Irr!V13=".",s_Irr!AT13&lt;&gt;".",s_Irr!BR13="."),s_dir!W13/((1/1000)*(s_Irr!AT13)),IF(AND(s_Irr!V13&lt;&gt;".",s_Irr!AT13=".",s_Irr!BR13="."),s_dir!W13/((1/1000)*(s_Irr!V13)),IF(AND(s_Irr!V13=".",s_Irr!AT13=".",s_Irr!BR13="."),s_dir!W13*1000)))))))),".")</f>
        <v>291.05046741870416</v>
      </c>
      <c r="X13" s="76">
        <f>IFERROR(IF(AND(s_Irr!W13&lt;&gt;".",s_Irr!AU13&lt;&gt;".",s_Irr!BS13&lt;&gt;"."),s_dir!X13/((1/1000)*(s_Irr!W13+s_Irr!AU13+s_Irr!BS13)),IF(AND(s_Irr!W13&lt;&gt;".",s_Irr!AU13&lt;&gt;".",s_Irr!BS13="."),s_dir!X13/((1/1000)*(s_Irr!W13+s_Irr!AU13)),IF(AND(s_Irr!W13&lt;&gt;".",s_Irr!AU13=".",s_Irr!BS13&lt;&gt;"."),s_dir!X13/((1/1000)*(s_Irr!W13+s_Irr!BS13)),IF(AND(s_Irr!W13=".",s_Irr!AU13&lt;&gt;".",s_Irr!BS13&lt;&gt;"."),s_dir!X13/((1/1000)*(s_Irr!AU13+s_Irr!BS13)),IF(AND(s_Irr!W13=".",s_Irr!AU13=".",s_Irr!BS13&lt;&gt;"."),s_dir!X13/((1/1000)*(s_Irr!BS13)),IF(AND(s_Irr!W13=".",s_Irr!AU13&lt;&gt;".",s_Irr!BS13="."),s_dir!X13/((1/1000)*(s_Irr!AU13)),IF(AND(s_Irr!W13&lt;&gt;".",s_Irr!AU13=".",s_Irr!BS13="."),s_dir!X13/((1/1000)*(s_Irr!W13)),IF(AND(s_Irr!W13=".",s_Irr!AU13=".",s_Irr!BS13="."),s_dir!X13*1000)))))))),".")</f>
        <v>373.20077559362721</v>
      </c>
      <c r="Y13" s="76">
        <f>IFERROR(IF(AND(s_Irr!X13&lt;&gt;".",s_Irr!AV13&lt;&gt;".",s_Irr!BT13&lt;&gt;"."),s_dir!Y13/((1/1000)*(s_Irr!X13+s_Irr!AV13+s_Irr!BT13)),IF(AND(s_Irr!X13&lt;&gt;".",s_Irr!AV13&lt;&gt;".",s_Irr!BT13="."),s_dir!Y13/((1/1000)*(s_Irr!X13+s_Irr!AV13)),IF(AND(s_Irr!X13&lt;&gt;".",s_Irr!AV13=".",s_Irr!BT13&lt;&gt;"."),s_dir!Y13/((1/1000)*(s_Irr!X13+s_Irr!BT13)),IF(AND(s_Irr!X13=".",s_Irr!AV13&lt;&gt;".",s_Irr!BT13&lt;&gt;"."),s_dir!Y13/((1/1000)*(s_Irr!AV13+s_Irr!BT13)),IF(AND(s_Irr!X13=".",s_Irr!AV13=".",s_Irr!BT13&lt;&gt;"."),s_dir!Y13/((1/1000)*(s_Irr!BT13)),IF(AND(s_Irr!X13=".",s_Irr!AV13&lt;&gt;".",s_Irr!BT13="."),s_dir!Y13/((1/1000)*(s_Irr!AV13)),IF(AND(s_Irr!X13&lt;&gt;".",s_Irr!AV13=".",s_Irr!BT13="."),s_dir!Y13/((1/1000)*(s_Irr!X13)),IF(AND(s_Irr!X13=".",s_Irr!AV13=".",s_Irr!BT13="."),s_dir!Y13*1000)))))))),".")</f>
        <v>287.26402437450986</v>
      </c>
      <c r="Z13" s="76">
        <f>IFERROR(IF(AND(s_Irr!Y13&lt;&gt;".",s_Irr!AW13&lt;&gt;".",s_Irr!BU13&lt;&gt;"."),s_dir!Z13/((1/1000)*(s_Irr!Y13+s_Irr!AW13+s_Irr!BU13)),IF(AND(s_Irr!Y13&lt;&gt;".",s_Irr!AW13&lt;&gt;".",s_Irr!BU13="."),s_dir!Z13/((1/1000)*(s_Irr!Y13+s_Irr!AW13)),IF(AND(s_Irr!Y13&lt;&gt;".",s_Irr!AW13=".",s_Irr!BU13&lt;&gt;"."),s_dir!Z13/((1/1000)*(s_Irr!Y13+s_Irr!BU13)),IF(AND(s_Irr!Y13=".",s_Irr!AW13&lt;&gt;".",s_Irr!BU13&lt;&gt;"."),s_dir!Z13/((1/1000)*(s_Irr!AW13+s_Irr!BU13)),IF(AND(s_Irr!Y13=".",s_Irr!AW13=".",s_Irr!BU13&lt;&gt;"."),s_dir!Z13/((1/1000)*(s_Irr!BU13)),IF(AND(s_Irr!Y13=".",s_Irr!AW13&lt;&gt;".",s_Irr!BU13="."),s_dir!Z13/((1/1000)*(s_Irr!AW13)),IF(AND(s_Irr!Y13&lt;&gt;".",s_Irr!AW13=".",s_Irr!BU13="."),s_dir!Z13/((1/1000)*(s_Irr!Y13)),IF(AND(s_Irr!Y13=".",s_Irr!AW13=".",s_Irr!BU13="."),s_dir!Z13*1000)))))))),".")</f>
        <v>279.9792031830936</v>
      </c>
      <c r="AA13" s="76">
        <f>IFERROR(IF(AND(s_Irr!Z13&lt;&gt;".",s_Irr!AX13&lt;&gt;".",s_Irr!BV13&lt;&gt;"."),s_dir!AA13/((1/1000)*(s_Irr!Z13+s_Irr!AX13+s_Irr!BV13)),IF(AND(s_Irr!Z13&lt;&gt;".",s_Irr!AX13&lt;&gt;".",s_Irr!BV13="."),s_dir!AA13/((1/1000)*(s_Irr!Z13+s_Irr!AX13)),IF(AND(s_Irr!Z13&lt;&gt;".",s_Irr!AX13=".",s_Irr!BV13&lt;&gt;"."),s_dir!AA13/((1/1000)*(s_Irr!Z13+s_Irr!BV13)),IF(AND(s_Irr!Z13=".",s_Irr!AX13&lt;&gt;".",s_Irr!BV13&lt;&gt;"."),s_dir!AA13/((1/1000)*(s_Irr!AX13+s_Irr!BV13)),IF(AND(s_Irr!Z13=".",s_Irr!AX13=".",s_Irr!BV13&lt;&gt;"."),s_dir!AA13/((1/1000)*(s_Irr!BV13)),IF(AND(s_Irr!Z13=".",s_Irr!AX13&lt;&gt;".",s_Irr!BV13="."),s_dir!AA13/((1/1000)*(s_Irr!AX13)),IF(AND(s_Irr!Z13&lt;&gt;".",s_Irr!AX13=".",s_Irr!BV13="."),s_dir!AA13/((1/1000)*(s_Irr!Z13)),IF(AND(s_Irr!Z13=".",s_Irr!AX13=".",s_Irr!BV13="."),s_dir!AA13*1000)))))))),".")</f>
        <v>357.49124587693291</v>
      </c>
      <c r="AB13" s="93">
        <f>SUM(AC13:AD13,AY13:AZ13)</f>
        <v>780.47761377119934</v>
      </c>
      <c r="AC13" s="93">
        <f>IFERROR(s_C*s_IFAP_res_adj*s_CF_apple*0.001*(s_Irr!C13+s_Irr!AA13+s_Irr!AY13),".")</f>
        <v>161.6507501417301</v>
      </c>
      <c r="AD13" s="93">
        <f>IFERROR(s_C*s_IFAS_res_adj*s_CF_asparagus*0.001*(s_Irr!D13+s_Irr!AB13+s_Irr!AZ13),".")</f>
        <v>234.59875366324536</v>
      </c>
      <c r="AE13" s="93">
        <f>IFERROR(s_C*s_IFBT_res_adj*s_CF_beet*0.001*(s_Irr!E13+s_Irr!AC13+s_Irr!BA13),".")</f>
        <v>220.9380788464822</v>
      </c>
      <c r="AF13" s="93">
        <f>IFERROR(s_C*s_IFBE_res_adj*s_CF_berries*0.001*(s_Irr!F13+s_Irr!AD13+s_Irr!BB13),".")</f>
        <v>161.6507501417301</v>
      </c>
      <c r="AG13" s="93">
        <f>IFERROR(s_C*s_IFBR_res_adj*s_CF_broccoli*0.001*(s_Irr!G13+s_Irr!AE13+s_Irr!BC13),".")</f>
        <v>210.00953899307169</v>
      </c>
      <c r="AH13" s="93">
        <f>IFERROR(s_C*s_IFCB_res_adj*s_CF_cabbage*0.001*(s_Irr!H13+s_Irr!AF13+s_Irr!BD13),".")</f>
        <v>234.59875366324536</v>
      </c>
      <c r="AI13" s="93">
        <f>IFERROR(s_C*s_IFCR_res_adj*s_CF_carrot*0.001*(s_Irr!I13+s_Irr!AG13+s_Irr!BE13),".")</f>
        <v>220.9380788464822</v>
      </c>
      <c r="AJ13" s="93">
        <f>IFERROR(s_C*s_IFCI_res_adj*s_CF_citrus*0.001*(s_Irr!J13+s_Irr!AH13+s_Irr!BF13),".")</f>
        <v>161.6507501417301</v>
      </c>
      <c r="AK13" s="93">
        <f>IFERROR(s_C*s_IFCO_res_adj*s_CF_corn*0.001*(s_Irr!K13+s_Irr!AI13+s_Irr!BG13),".")</f>
        <v>173.94535747681692</v>
      </c>
      <c r="AL13" s="93">
        <f>IFERROR(s_C*s_IFCU_res_adj*s_CF_cucumber*0.001*(s_Irr!L13+s_Irr!AJ13+s_Irr!BH13),".")</f>
        <v>210.00953899307169</v>
      </c>
      <c r="AM13" s="93">
        <f>IFERROR(s_C*s_IFLE_res_adj*s_CF_lettuce*0.001*(s_Irr!M13+s_Irr!AK13+s_Irr!BI13),".")</f>
        <v>234.59875366324536</v>
      </c>
      <c r="AN13" s="93">
        <f>IFERROR(s_C*s_IFLI_res_adj*s_CF_lima_bean*0.001*(s_Irr!N13+s_Irr!AL13+s_Irr!BJ13),".")</f>
        <v>207.27740402971904</v>
      </c>
      <c r="AO13" s="93">
        <f>IFERROR(s_C*s_IFOK_res_adj*s_CF_okra*0.001*(s_Irr!O13+s_Irr!AM13+s_Irr!BK13),".")</f>
        <v>210.00953899307169</v>
      </c>
      <c r="AP13" s="93">
        <f>IFERROR(s_C*s_IFON_res_adj*s_CF_onion*0.001*(s_Irr!P13+s_Irr!AN13+s_Irr!BL13),".")</f>
        <v>210.00953899307169</v>
      </c>
      <c r="AQ13" s="93">
        <f>IFERROR(s_C*s_IFPC_res_adj*s_CF_peach*0.001*(s_Irr!Q13+s_Irr!AO13+s_Irr!BM13),".")</f>
        <v>161.6507501417301</v>
      </c>
      <c r="AR13" s="93">
        <f>IFERROR(s_C*s_IFPR_res_adj*s_CF_pear*0.001*(s_Irr!R13+s_Irr!AP13+s_Irr!BN13),".")</f>
        <v>161.6507501417301</v>
      </c>
      <c r="AS13" s="93">
        <f>IFERROR(s_C*s_IFPE_res_adj*s_CF_peas*0.001*(s_Irr!S13+s_Irr!AQ13+s_Irr!BO13),".")</f>
        <v>207.27740402971904</v>
      </c>
      <c r="AT13" s="93">
        <f>IFERROR(s_C*s_IFPT_res_adj*s_CF_potato*0.001*(s_Irr!T13+s_Irr!AR13+s_Irr!BP13),".")</f>
        <v>176.4042789438343</v>
      </c>
      <c r="AU13" s="93">
        <f>IFERROR(s_C*s_IFPU_res_adj*s_CF_pumpkin*0.001*(s_Irr!U13+s_Irr!AS13+s_Irr!BQ13),".")</f>
        <v>210.00953899307169</v>
      </c>
      <c r="AV13" s="93">
        <f>IFERROR(s_C*s_IFSN_res_adj*s_CF_snap_bean*0.001*(s_Irr!V13+s_Irr!AT13+s_Irr!BR13),".")</f>
        <v>207.27740402971904</v>
      </c>
      <c r="AW13" s="93">
        <f>IFERROR(s_C*s_IFST_res_adj*s_CF_strawberry*0.001*(s_Irr!W13+s_Irr!AU13+s_Irr!BS13),".")</f>
        <v>161.6507501417301</v>
      </c>
      <c r="AX13" s="93">
        <f>IFERROR(s_C*s_IFTO_res_adj*s_CF_tomato*0.001*(s_Irr!X13+s_Irr!AV13+s_Irr!BT13),".")</f>
        <v>210.00953899307169</v>
      </c>
      <c r="AY13" s="93">
        <f>IFERROR(s_C*s_IFRI_res_adj*s_CF_rice*0.001*(s_Irr!Y13+s_Irr!AW13+s_Irr!BU13),".")</f>
        <v>215.47380891977696</v>
      </c>
      <c r="AZ13" s="93">
        <f>IFERROR(s_C*s_IFCG_res_adj*s_CF_cereal*0.001*(s_Irr!Z13+s_Irr!AX13+s_Irr!BV13),".")</f>
        <v>168.75430104644695</v>
      </c>
      <c r="BA13" s="76">
        <f t="shared" ref="BA13:BA14" si="17">IFERROR(1/SUM(1/BB13,1/BC13,1/BX13,1/BY13),".")</f>
        <v>77.296496739585933</v>
      </c>
      <c r="BB13" s="76">
        <f>IFERROR(IF(AND(s_Irr!C13&lt;&gt;".",s_Irr!AA13&lt;&gt;".",s_Irr!AY13&lt;&gt;"."),s_dir!AC13/((1/1000)*(s_Irr!C13+s_Irr!AA13+s_Irr!AY13)),IF(AND(s_Irr!C13&lt;&gt;".",s_Irr!AA13&lt;&gt;".",s_Irr!AY13="."),s_dir!AC13/((1/1000)*(s_Irr!C13+s_Irr!AA13)),IF(AND(s_Irr!C13&lt;&gt;".",s_Irr!AA13=".",s_Irr!AY13&lt;&gt;"."),s_dir!AC13/((1/1000)*(s_Irr!C13+s_Irr!AY13)),IF(AND(s_Irr!C13=".",s_Irr!AA13&lt;&gt;".",s_Irr!AY13&lt;&gt;"."),s_dir!AC13/((1/1000)*(s_Irr!AA13+s_Irr!AY13)),IF(AND(s_Irr!C13=".",s_Irr!AA13=".",s_Irr!AY13&lt;&gt;"."),s_dir!AC13/((1/1000)*(s_Irr!AY13)),IF(AND(s_Irr!C13=".",s_Irr!AA13&lt;&gt;".",s_Irr!AY13="."),s_dir!AC13/((1/1000)*(s_Irr!AA13)),IF(AND(s_Irr!C13&lt;&gt;".",s_Irr!AA13=".",s_Irr!AY13="."),s_dir!AC13/((1/1000)*(s_Irr!C13)),IF(AND(s_Irr!C13=".",s_Irr!AA13=".",s_Irr!AY13="."),s_dir!AC13*1000)))))))),".")</f>
        <v>373.20077559362721</v>
      </c>
      <c r="BC13" s="76">
        <f>IFERROR(IF(AND(s_Irr!D13&lt;&gt;".",s_Irr!AB13&lt;&gt;".",s_Irr!AZ13&lt;&gt;"."),s_dir!AD13/((1/1000)*(s_Irr!D13+s_Irr!AB13+s_Irr!AZ13)),IF(AND(s_Irr!D13&lt;&gt;".",s_Irr!AB13&lt;&gt;".",s_Irr!AZ13="."),s_dir!AD13/((1/1000)*(s_Irr!D13+s_Irr!AB13)),IF(AND(s_Irr!D13&lt;&gt;".",s_Irr!AB13=".",s_Irr!AZ13&lt;&gt;"."),s_dir!AD13/((1/1000)*(s_Irr!D13+s_Irr!AZ13)),IF(AND(s_Irr!D13=".",s_Irr!AB13&lt;&gt;".",s_Irr!AZ13&lt;&gt;"."),s_dir!AD13/((1/1000)*(s_Irr!AB13+s_Irr!AZ13)),IF(AND(s_Irr!D13=".",s_Irr!AB13=".",s_Irr!AZ13&lt;&gt;"."),s_dir!AD13/((1/1000)*(s_Irr!AZ13)),IF(AND(s_Irr!D13=".",s_Irr!AB13&lt;&gt;".",s_Irr!AZ13="."),s_dir!AD13/((1/1000)*(s_Irr!AB13)),IF(AND(s_Irr!D13&lt;&gt;".",s_Irr!AB13=".",s_Irr!AZ13="."),s_dir!AD13/((1/1000)*(s_Irr!D13)),IF(AND(s_Irr!D13=".",s_Irr!AB13=".",s_Irr!AZ13="."),s_dir!AD13*1000)))))))),".")</f>
        <v>257.15475630694687</v>
      </c>
      <c r="BD13" s="76">
        <f>IFERROR(IF(AND(s_Irr!E13&lt;&gt;".",s_Irr!AC13&lt;&gt;".",s_Irr!BA13&lt;&gt;"."),s_dir!AE13/((1/1000)*(s_Irr!E13+s_Irr!AC13+s_Irr!BA13)),IF(AND(s_Irr!E13&lt;&gt;".",s_Irr!AC13&lt;&gt;".",s_Irr!BA13="."),s_dir!AE13/((1/1000)*(s_Irr!E13+s_Irr!AC13)),IF(AND(s_Irr!E13&lt;&gt;".",s_Irr!AC13=".",s_Irr!BA13&lt;&gt;"."),s_dir!AE13/((1/1000)*(s_Irr!E13+s_Irr!BA13)),IF(AND(s_Irr!E13=".",s_Irr!AC13&lt;&gt;".",s_Irr!BA13&lt;&gt;"."),s_dir!AE13/((1/1000)*(s_Irr!AC13+s_Irr!BA13)),IF(AND(s_Irr!E13=".",s_Irr!AC13=".",s_Irr!BA13&lt;&gt;"."),s_dir!AE13/((1/1000)*(s_Irr!BA13)),IF(AND(s_Irr!E13=".",s_Irr!AC13&lt;&gt;".",s_Irr!BA13="."),s_dir!AE13/((1/1000)*(s_Irr!AC13)),IF(AND(s_Irr!E13&lt;&gt;".",s_Irr!AC13=".",s_Irr!BA13="."),s_dir!AE13/((1/1000)*(s_Irr!E13)),IF(AND(s_Irr!E13=".",s_Irr!AC13=".",s_Irr!BA13="."),s_dir!AE13*1000)))))))),".")</f>
        <v>273.05472032326338</v>
      </c>
      <c r="BE13" s="76">
        <f>IFERROR(IF(AND(s_Irr!F13&lt;&gt;".",s_Irr!AD13&lt;&gt;".",s_Irr!BB13&lt;&gt;"."),s_dir!AF13/((1/1000)*(s_Irr!F13+s_Irr!AD13+s_Irr!BB13)),IF(AND(s_Irr!F13&lt;&gt;".",s_Irr!AD13&lt;&gt;".",s_Irr!BB13="."),s_dir!AF13/((1/1000)*(s_Irr!F13+s_Irr!AD13)),IF(AND(s_Irr!F13&lt;&gt;".",s_Irr!AD13=".",s_Irr!BB13&lt;&gt;"."),s_dir!AF13/((1/1000)*(s_Irr!F13+s_Irr!BB13)),IF(AND(s_Irr!F13=".",s_Irr!AD13&lt;&gt;".",s_Irr!BB13&lt;&gt;"."),s_dir!AF13/((1/1000)*(s_Irr!AD13+s_Irr!BB13)),IF(AND(s_Irr!F13=".",s_Irr!AD13=".",s_Irr!BB13&lt;&gt;"."),s_dir!AF13/((1/1000)*(s_Irr!BB13)),IF(AND(s_Irr!F13=".",s_Irr!AD13&lt;&gt;".",s_Irr!BB13="."),s_dir!AF13/((1/1000)*(s_Irr!AD13)),IF(AND(s_Irr!F13&lt;&gt;".",s_Irr!AD13=".",s_Irr!BB13="."),s_dir!AF13/((1/1000)*(s_Irr!F13)),IF(AND(s_Irr!F13=".",s_Irr!AD13=".",s_Irr!BB13="."),s_dir!AF13*1000)))))))),".")</f>
        <v>373.20077559362721</v>
      </c>
      <c r="BF13" s="76">
        <f>IFERROR(IF(AND(s_Irr!G13&lt;&gt;".",s_Irr!AE13&lt;&gt;".",s_Irr!BC13&lt;&gt;"."),s_dir!AG13/((1/1000)*(s_Irr!G13+s_Irr!AE13+s_Irr!BC13)),IF(AND(s_Irr!G13&lt;&gt;".",s_Irr!AE13&lt;&gt;".",s_Irr!BC13="."),s_dir!AG13/((1/1000)*(s_Irr!G13+s_Irr!AE13)),IF(AND(s_Irr!G13&lt;&gt;".",s_Irr!AE13=".",s_Irr!BC13&lt;&gt;"."),s_dir!AG13/((1/1000)*(s_Irr!G13+s_Irr!BC13)),IF(AND(s_Irr!G13=".",s_Irr!AE13&lt;&gt;".",s_Irr!BC13&lt;&gt;"."),s_dir!AG13/((1/1000)*(s_Irr!AE13+s_Irr!BC13)),IF(AND(s_Irr!G13=".",s_Irr!AE13=".",s_Irr!BC13&lt;&gt;"."),s_dir!AG13/((1/1000)*(s_Irr!BC13)),IF(AND(s_Irr!G13=".",s_Irr!AE13&lt;&gt;".",s_Irr!BC13="."),s_dir!AG13/((1/1000)*(s_Irr!AE13)),IF(AND(s_Irr!G13&lt;&gt;".",s_Irr!AE13=".",s_Irr!BC13="."),s_dir!AG13/((1/1000)*(s_Irr!G13)),IF(AND(s_Irr!G13=".",s_Irr!AE13=".",s_Irr!BC13="."),s_dir!AG13*1000)))))))),".")</f>
        <v>287.26402437450986</v>
      </c>
      <c r="BG13" s="76">
        <f>IFERROR(IF(AND(s_Irr!H13&lt;&gt;".",s_Irr!AF13&lt;&gt;".",s_Irr!BD13&lt;&gt;"."),s_dir!AH13/((1/1000)*(s_Irr!H13+s_Irr!AF13+s_Irr!BD13)),IF(AND(s_Irr!H13&lt;&gt;".",s_Irr!AF13&lt;&gt;".",s_Irr!BD13="."),s_dir!AH13/((1/1000)*(s_Irr!H13+s_Irr!AF13)),IF(AND(s_Irr!H13&lt;&gt;".",s_Irr!AF13=".",s_Irr!BD13&lt;&gt;"."),s_dir!AH13/((1/1000)*(s_Irr!H13+s_Irr!BD13)),IF(AND(s_Irr!H13=".",s_Irr!AF13&lt;&gt;".",s_Irr!BD13&lt;&gt;"."),s_dir!AH13/((1/1000)*(s_Irr!AF13+s_Irr!BD13)),IF(AND(s_Irr!H13=".",s_Irr!AF13=".",s_Irr!BD13&lt;&gt;"."),s_dir!AH13/((1/1000)*(s_Irr!BD13)),IF(AND(s_Irr!H13=".",s_Irr!AF13&lt;&gt;".",s_Irr!BD13="."),s_dir!AH13/((1/1000)*(s_Irr!AF13)),IF(AND(s_Irr!H13&lt;&gt;".",s_Irr!AF13=".",s_Irr!BD13="."),s_dir!AH13/((1/1000)*(s_Irr!H13)),IF(AND(s_Irr!H13=".",s_Irr!AF13=".",s_Irr!BD13="."),s_dir!AH13*1000)))))))),".")</f>
        <v>257.15475630694687</v>
      </c>
      <c r="BH13" s="76">
        <f>IFERROR(IF(AND(s_Irr!I13&lt;&gt;".",s_Irr!AG13&lt;&gt;".",s_Irr!BE13&lt;&gt;"."),s_dir!AI13/((1/1000)*(s_Irr!I13+s_Irr!AG13+s_Irr!BE13)),IF(AND(s_Irr!I13&lt;&gt;".",s_Irr!AG13&lt;&gt;".",s_Irr!BE13="."),s_dir!AI13/((1/1000)*(s_Irr!I13+s_Irr!AG13)),IF(AND(s_Irr!I13&lt;&gt;".",s_Irr!AG13=".",s_Irr!BE13&lt;&gt;"."),s_dir!AI13/((1/1000)*(s_Irr!I13+s_Irr!BE13)),IF(AND(s_Irr!I13=".",s_Irr!AG13&lt;&gt;".",s_Irr!BE13&lt;&gt;"."),s_dir!AI13/((1/1000)*(s_Irr!AG13+s_Irr!BE13)),IF(AND(s_Irr!I13=".",s_Irr!AG13=".",s_Irr!BE13&lt;&gt;"."),s_dir!AI13/((1/1000)*(s_Irr!BE13)),IF(AND(s_Irr!I13=".",s_Irr!AG13&lt;&gt;".",s_Irr!BE13="."),s_dir!AI13/((1/1000)*(s_Irr!AG13)),IF(AND(s_Irr!I13&lt;&gt;".",s_Irr!AG13=".",s_Irr!BE13="."),s_dir!AI13/((1/1000)*(s_Irr!I13)),IF(AND(s_Irr!I13=".",s_Irr!AG13=".",s_Irr!BE13="."),s_dir!AI13*1000)))))))),".")</f>
        <v>273.05472032326338</v>
      </c>
      <c r="BI13" s="76">
        <f>IFERROR(IF(AND(s_Irr!J13&lt;&gt;".",s_Irr!AH13&lt;&gt;".",s_Irr!BF13&lt;&gt;"."),s_dir!AJ13/((1/1000)*(s_Irr!J13+s_Irr!AH13+s_Irr!BF13)),IF(AND(s_Irr!J13&lt;&gt;".",s_Irr!AH13&lt;&gt;".",s_Irr!BF13="."),s_dir!AJ13/((1/1000)*(s_Irr!J13+s_Irr!AH13)),IF(AND(s_Irr!J13&lt;&gt;".",s_Irr!AH13=".",s_Irr!BF13&lt;&gt;"."),s_dir!AJ13/((1/1000)*(s_Irr!J13+s_Irr!BF13)),IF(AND(s_Irr!J13=".",s_Irr!AH13&lt;&gt;".",s_Irr!BF13&lt;&gt;"."),s_dir!AJ13/((1/1000)*(s_Irr!AH13+s_Irr!BF13)),IF(AND(s_Irr!J13=".",s_Irr!AH13=".",s_Irr!BF13&lt;&gt;"."),s_dir!AJ13/((1/1000)*(s_Irr!BF13)),IF(AND(s_Irr!J13=".",s_Irr!AH13&lt;&gt;".",s_Irr!BF13="."),s_dir!AJ13/((1/1000)*(s_Irr!AH13)),IF(AND(s_Irr!J13&lt;&gt;".",s_Irr!AH13=".",s_Irr!BF13="."),s_dir!AJ13/((1/1000)*(s_Irr!J13)),IF(AND(s_Irr!J13=".",s_Irr!AH13=".",s_Irr!BF13="."),s_dir!AJ13*1000)))))))),".")</f>
        <v>373.20077559362721</v>
      </c>
      <c r="BJ13" s="76">
        <f>IFERROR(IF(AND(s_Irr!K13&lt;&gt;".",s_Irr!AI13&lt;&gt;".",s_Irr!BG13&lt;&gt;"."),s_dir!AK13/((1/1000)*(s_Irr!K13+s_Irr!AI13+s_Irr!BG13)),IF(AND(s_Irr!K13&lt;&gt;".",s_Irr!AI13&lt;&gt;".",s_Irr!BG13="."),s_dir!AK13/((1/1000)*(s_Irr!K13+s_Irr!AI13)),IF(AND(s_Irr!K13&lt;&gt;".",s_Irr!AI13=".",s_Irr!BG13&lt;&gt;"."),s_dir!AK13/((1/1000)*(s_Irr!K13+s_Irr!BG13)),IF(AND(s_Irr!K13=".",s_Irr!AI13&lt;&gt;".",s_Irr!BG13&lt;&gt;"."),s_dir!AK13/((1/1000)*(s_Irr!AI13+s_Irr!BG13)),IF(AND(s_Irr!K13=".",s_Irr!AI13=".",s_Irr!BG13&lt;&gt;"."),s_dir!AK13/((1/1000)*(s_Irr!BG13)),IF(AND(s_Irr!K13=".",s_Irr!AI13&lt;&gt;".",s_Irr!BG13="."),s_dir!AK13/((1/1000)*(s_Irr!AI13)),IF(AND(s_Irr!K13&lt;&gt;".",s_Irr!AI13=".",s_Irr!BG13="."),s_dir!AK13/((1/1000)*(s_Irr!K13)),IF(AND(s_Irr!K13=".",s_Irr!AI13=".",s_Irr!BG13="."),s_dir!AK13*1000)))))))),".")</f>
        <v>346.82262408886493</v>
      </c>
      <c r="BK13" s="76">
        <f>IFERROR(IF(AND(s_Irr!L13&lt;&gt;".",s_Irr!AJ13&lt;&gt;".",s_Irr!BH13&lt;&gt;"."),s_dir!AL13/((1/1000)*(s_Irr!L13+s_Irr!AJ13+s_Irr!BH13)),IF(AND(s_Irr!L13&lt;&gt;".",s_Irr!AJ13&lt;&gt;".",s_Irr!BH13="."),s_dir!AL13/((1/1000)*(s_Irr!L13+s_Irr!AJ13)),IF(AND(s_Irr!L13&lt;&gt;".",s_Irr!AJ13=".",s_Irr!BH13&lt;&gt;"."),s_dir!AL13/((1/1000)*(s_Irr!L13+s_Irr!BH13)),IF(AND(s_Irr!L13=".",s_Irr!AJ13&lt;&gt;".",s_Irr!BH13&lt;&gt;"."),s_dir!AL13/((1/1000)*(s_Irr!AJ13+s_Irr!BH13)),IF(AND(s_Irr!L13=".",s_Irr!AJ13=".",s_Irr!BH13&lt;&gt;"."),s_dir!AL13/((1/1000)*(s_Irr!BH13)),IF(AND(s_Irr!L13=".",s_Irr!AJ13&lt;&gt;".",s_Irr!BH13="."),s_dir!AL13/((1/1000)*(s_Irr!AJ13)),IF(AND(s_Irr!L13&lt;&gt;".",s_Irr!AJ13=".",s_Irr!BH13="."),s_dir!AL13/((1/1000)*(s_Irr!L13)),IF(AND(s_Irr!L13=".",s_Irr!AJ13=".",s_Irr!BH13="."),s_dir!AL13*1000)))))))),".")</f>
        <v>287.26402437450986</v>
      </c>
      <c r="BL13" s="76">
        <f>IFERROR(IF(AND(s_Irr!M13&lt;&gt;".",s_Irr!AK13&lt;&gt;".",s_Irr!BI13&lt;&gt;"."),s_dir!AM13/((1/1000)*(s_Irr!M13+s_Irr!AK13+s_Irr!BI13)),IF(AND(s_Irr!M13&lt;&gt;".",s_Irr!AK13&lt;&gt;".",s_Irr!BI13="."),s_dir!AM13/((1/1000)*(s_Irr!M13+s_Irr!AK13)),IF(AND(s_Irr!M13&lt;&gt;".",s_Irr!AK13=".",s_Irr!BI13&lt;&gt;"."),s_dir!AM13/((1/1000)*(s_Irr!M13+s_Irr!BI13)),IF(AND(s_Irr!M13=".",s_Irr!AK13&lt;&gt;".",s_Irr!BI13&lt;&gt;"."),s_dir!AM13/((1/1000)*(s_Irr!AK13+s_Irr!BI13)),IF(AND(s_Irr!M13=".",s_Irr!AK13=".",s_Irr!BI13&lt;&gt;"."),s_dir!AM13/((1/1000)*(s_Irr!BI13)),IF(AND(s_Irr!M13=".",s_Irr!AK13&lt;&gt;".",s_Irr!BI13="."),s_dir!AM13/((1/1000)*(s_Irr!AK13)),IF(AND(s_Irr!M13&lt;&gt;".",s_Irr!AK13=".",s_Irr!BI13="."),s_dir!AM13/((1/1000)*(s_Irr!M13)),IF(AND(s_Irr!M13=".",s_Irr!AK13=".",s_Irr!BI13="."),s_dir!AM13*1000)))))))),".")</f>
        <v>257.15475630694687</v>
      </c>
      <c r="BM13" s="76">
        <f>IFERROR(IF(AND(s_Irr!N13&lt;&gt;".",s_Irr!AL13&lt;&gt;".",s_Irr!BJ13&lt;&gt;"."),s_dir!AN13/((1/1000)*(s_Irr!N13+s_Irr!AL13+s_Irr!BJ13)),IF(AND(s_Irr!N13&lt;&gt;".",s_Irr!AL13&lt;&gt;".",s_Irr!BJ13="."),s_dir!AN13/((1/1000)*(s_Irr!N13+s_Irr!AL13)),IF(AND(s_Irr!N13&lt;&gt;".",s_Irr!AL13=".",s_Irr!BJ13&lt;&gt;"."),s_dir!AN13/((1/1000)*(s_Irr!N13+s_Irr!BJ13)),IF(AND(s_Irr!N13=".",s_Irr!AL13&lt;&gt;".",s_Irr!BJ13&lt;&gt;"."),s_dir!AN13/((1/1000)*(s_Irr!AL13+s_Irr!BJ13)),IF(AND(s_Irr!N13=".",s_Irr!AL13=".",s_Irr!BJ13&lt;&gt;"."),s_dir!AN13/((1/1000)*(s_Irr!BJ13)),IF(AND(s_Irr!N13=".",s_Irr!AL13&lt;&gt;".",s_Irr!BJ13="."),s_dir!AN13/((1/1000)*(s_Irr!AL13)),IF(AND(s_Irr!N13&lt;&gt;".",s_Irr!AL13=".",s_Irr!BJ13="."),s_dir!AN13/((1/1000)*(s_Irr!N13)),IF(AND(s_Irr!N13=".",s_Irr!AL13=".",s_Irr!BJ13="."),s_dir!AN13*1000)))))))),".")</f>
        <v>291.05046741870416</v>
      </c>
      <c r="BN13" s="76">
        <f>IFERROR(IF(AND(s_Irr!O13&lt;&gt;".",s_Irr!AM13&lt;&gt;".",s_Irr!BK13&lt;&gt;"."),s_dir!AO13/((1/1000)*(s_Irr!O13+s_Irr!AM13+s_Irr!BK13)),IF(AND(s_Irr!O13&lt;&gt;".",s_Irr!AM13&lt;&gt;".",s_Irr!BK13="."),s_dir!AO13/((1/1000)*(s_Irr!O13+s_Irr!AM13)),IF(AND(s_Irr!O13&lt;&gt;".",s_Irr!AM13=".",s_Irr!BK13&lt;&gt;"."),s_dir!AO13/((1/1000)*(s_Irr!O13+s_Irr!BK13)),IF(AND(s_Irr!O13=".",s_Irr!AM13&lt;&gt;".",s_Irr!BK13&lt;&gt;"."),s_dir!AO13/((1/1000)*(s_Irr!AM13+s_Irr!BK13)),IF(AND(s_Irr!O13=".",s_Irr!AM13=".",s_Irr!BK13&lt;&gt;"."),s_dir!AO13/((1/1000)*(s_Irr!BK13)),IF(AND(s_Irr!O13=".",s_Irr!AM13&lt;&gt;".",s_Irr!BK13="."),s_dir!AO13/((1/1000)*(s_Irr!AM13)),IF(AND(s_Irr!O13&lt;&gt;".",s_Irr!AM13=".",s_Irr!BK13="."),s_dir!AO13/((1/1000)*(s_Irr!O13)),IF(AND(s_Irr!O13=".",s_Irr!AM13=".",s_Irr!BK13="."),s_dir!AO13*1000)))))))),".")</f>
        <v>287.26402437450986</v>
      </c>
      <c r="BO13" s="76">
        <f>IFERROR(IF(AND(s_Irr!P13&lt;&gt;".",s_Irr!AN13&lt;&gt;".",s_Irr!BL13&lt;&gt;"."),s_dir!AP13/((1/1000)*(s_Irr!P13+s_Irr!AN13+s_Irr!BL13)),IF(AND(s_Irr!P13&lt;&gt;".",s_Irr!AN13&lt;&gt;".",s_Irr!BL13="."),s_dir!AP13/((1/1000)*(s_Irr!P13+s_Irr!AN13)),IF(AND(s_Irr!P13&lt;&gt;".",s_Irr!AN13=".",s_Irr!BL13&lt;&gt;"."),s_dir!AP13/((1/1000)*(s_Irr!P13+s_Irr!BL13)),IF(AND(s_Irr!P13=".",s_Irr!AN13&lt;&gt;".",s_Irr!BL13&lt;&gt;"."),s_dir!AP13/((1/1000)*(s_Irr!AN13+s_Irr!BL13)),IF(AND(s_Irr!P13=".",s_Irr!AN13=".",s_Irr!BL13&lt;&gt;"."),s_dir!AP13/((1/1000)*(s_Irr!BL13)),IF(AND(s_Irr!P13=".",s_Irr!AN13&lt;&gt;".",s_Irr!BL13="."),s_dir!AP13/((1/1000)*(s_Irr!AN13)),IF(AND(s_Irr!P13&lt;&gt;".",s_Irr!AN13=".",s_Irr!BL13="."),s_dir!AP13/((1/1000)*(s_Irr!P13)),IF(AND(s_Irr!P13=".",s_Irr!AN13=".",s_Irr!BL13="."),s_dir!AP13*1000)))))))),".")</f>
        <v>287.26402437450986</v>
      </c>
      <c r="BP13" s="76">
        <f>IFERROR(IF(AND(s_Irr!Q13&lt;&gt;".",s_Irr!AO13&lt;&gt;".",s_Irr!BM13&lt;&gt;"."),s_dir!AQ13/((1/1000)*(s_Irr!Q13+s_Irr!AO13+s_Irr!BM13)),IF(AND(s_Irr!Q13&lt;&gt;".",s_Irr!AO13&lt;&gt;".",s_Irr!BM13="."),s_dir!AQ13/((1/1000)*(s_Irr!Q13+s_Irr!AO13)),IF(AND(s_Irr!Q13&lt;&gt;".",s_Irr!AO13=".",s_Irr!BM13&lt;&gt;"."),s_dir!AQ13/((1/1000)*(s_Irr!Q13+s_Irr!BM13)),IF(AND(s_Irr!Q13=".",s_Irr!AO13&lt;&gt;".",s_Irr!BM13&lt;&gt;"."),s_dir!AQ13/((1/1000)*(s_Irr!AO13+s_Irr!BM13)),IF(AND(s_Irr!Q13=".",s_Irr!AO13=".",s_Irr!BM13&lt;&gt;"."),s_dir!AQ13/((1/1000)*(s_Irr!BM13)),IF(AND(s_Irr!Q13=".",s_Irr!AO13&lt;&gt;".",s_Irr!BM13="."),s_dir!AQ13/((1/1000)*(s_Irr!AO13)),IF(AND(s_Irr!Q13&lt;&gt;".",s_Irr!AO13=".",s_Irr!BM13="."),s_dir!AQ13/((1/1000)*(s_Irr!Q13)),IF(AND(s_Irr!Q13=".",s_Irr!AO13=".",s_Irr!BM13="."),s_dir!AQ13*1000)))))))),".")</f>
        <v>373.20077559362721</v>
      </c>
      <c r="BQ13" s="76">
        <f>IFERROR(IF(AND(s_Irr!R13&lt;&gt;".",s_Irr!AP13&lt;&gt;".",s_Irr!BN13&lt;&gt;"."),s_dir!AR13/((1/1000)*(s_Irr!R13+s_Irr!AP13+s_Irr!BN13)),IF(AND(s_Irr!R13&lt;&gt;".",s_Irr!AP13&lt;&gt;".",s_Irr!BN13="."),s_dir!AR13/((1/1000)*(s_Irr!R13+s_Irr!AP13)),IF(AND(s_Irr!R13&lt;&gt;".",s_Irr!AP13=".",s_Irr!BN13&lt;&gt;"."),s_dir!AR13/((1/1000)*(s_Irr!R13+s_Irr!BN13)),IF(AND(s_Irr!R13=".",s_Irr!AP13&lt;&gt;".",s_Irr!BN13&lt;&gt;"."),s_dir!AR13/((1/1000)*(s_Irr!AP13+s_Irr!BN13)),IF(AND(s_Irr!R13=".",s_Irr!AP13=".",s_Irr!BN13&lt;&gt;"."),s_dir!AR13/((1/1000)*(s_Irr!BN13)),IF(AND(s_Irr!R13=".",s_Irr!AP13&lt;&gt;".",s_Irr!BN13="."),s_dir!AR13/((1/1000)*(s_Irr!AP13)),IF(AND(s_Irr!R13&lt;&gt;".",s_Irr!AP13=".",s_Irr!BN13="."),s_dir!AR13/((1/1000)*(s_Irr!R13)),IF(AND(s_Irr!R13=".",s_Irr!AP13=".",s_Irr!BN13="."),s_dir!AR13*1000)))))))),".")</f>
        <v>373.20077559362721</v>
      </c>
      <c r="BR13" s="76">
        <f>IFERROR(IF(AND(s_Irr!S13&lt;&gt;".",s_Irr!AQ13&lt;&gt;".",s_Irr!BO13&lt;&gt;"."),s_dir!AS13/((1/1000)*(s_Irr!S13+s_Irr!AQ13+s_Irr!BO13)),IF(AND(s_Irr!S13&lt;&gt;".",s_Irr!AQ13&lt;&gt;".",s_Irr!BO13="."),s_dir!AS13/((1/1000)*(s_Irr!S13+s_Irr!AQ13)),IF(AND(s_Irr!S13&lt;&gt;".",s_Irr!AQ13=".",s_Irr!BO13&lt;&gt;"."),s_dir!AS13/((1/1000)*(s_Irr!S13+s_Irr!BO13)),IF(AND(s_Irr!S13=".",s_Irr!AQ13&lt;&gt;".",s_Irr!BO13&lt;&gt;"."),s_dir!AS13/((1/1000)*(s_Irr!AQ13+s_Irr!BO13)),IF(AND(s_Irr!S13=".",s_Irr!AQ13=".",s_Irr!BO13&lt;&gt;"."),s_dir!AS13/((1/1000)*(s_Irr!BO13)),IF(AND(s_Irr!S13=".",s_Irr!AQ13&lt;&gt;".",s_Irr!BO13="."),s_dir!AS13/((1/1000)*(s_Irr!AQ13)),IF(AND(s_Irr!S13&lt;&gt;".",s_Irr!AQ13=".",s_Irr!BO13="."),s_dir!AS13/((1/1000)*(s_Irr!S13)),IF(AND(s_Irr!S13=".",s_Irr!AQ13=".",s_Irr!BO13="."),s_dir!AS13*1000)))))))),".")</f>
        <v>291.05046741870416</v>
      </c>
      <c r="BS13" s="76">
        <f>IFERROR(IF(AND(s_Irr!T13&lt;&gt;".",s_Irr!AR13&lt;&gt;".",s_Irr!BP13&lt;&gt;"."),s_dir!AT13/((1/1000)*(s_Irr!T13+s_Irr!AR13+s_Irr!BP13)),IF(AND(s_Irr!T13&lt;&gt;".",s_Irr!AR13&lt;&gt;".",s_Irr!BP13="."),s_dir!AT13/((1/1000)*(s_Irr!T13+s_Irr!AR13)),IF(AND(s_Irr!T13&lt;&gt;".",s_Irr!AR13=".",s_Irr!BP13&lt;&gt;"."),s_dir!AT13/((1/1000)*(s_Irr!T13+s_Irr!BP13)),IF(AND(s_Irr!T13=".",s_Irr!AR13&lt;&gt;".",s_Irr!BP13&lt;&gt;"."),s_dir!AT13/((1/1000)*(s_Irr!AR13+s_Irr!BP13)),IF(AND(s_Irr!T13=".",s_Irr!AR13=".",s_Irr!BP13&lt;&gt;"."),s_dir!AT13/((1/1000)*(s_Irr!BP13)),IF(AND(s_Irr!T13=".",s_Irr!AR13&lt;&gt;".",s_Irr!BP13="."),s_dir!AT13/((1/1000)*(s_Irr!AR13)),IF(AND(s_Irr!T13&lt;&gt;".",s_Irr!AR13=".",s_Irr!BP13="."),s_dir!AT13/((1/1000)*(s_Irr!T13)),IF(AND(s_Irr!T13=".",s_Irr!AR13=".",s_Irr!BP13="."),s_dir!AT13*1000)))))))),".")</f>
        <v>341.98821984013955</v>
      </c>
      <c r="BT13" s="76">
        <f>IFERROR(IF(AND(s_Irr!U13&lt;&gt;".",s_Irr!AS13&lt;&gt;".",s_Irr!BQ13&lt;&gt;"."),s_dir!AU13/((1/1000)*(s_Irr!U13+s_Irr!AS13+s_Irr!BQ13)),IF(AND(s_Irr!U13&lt;&gt;".",s_Irr!AS13&lt;&gt;".",s_Irr!BQ13="."),s_dir!AU13/((1/1000)*(s_Irr!U13+s_Irr!AS13)),IF(AND(s_Irr!U13&lt;&gt;".",s_Irr!AS13=".",s_Irr!BQ13&lt;&gt;"."),s_dir!AU13/((1/1000)*(s_Irr!U13+s_Irr!BQ13)),IF(AND(s_Irr!U13=".",s_Irr!AS13&lt;&gt;".",s_Irr!BQ13&lt;&gt;"."),s_dir!AU13/((1/1000)*(s_Irr!AS13+s_Irr!BQ13)),IF(AND(s_Irr!U13=".",s_Irr!AS13=".",s_Irr!BQ13&lt;&gt;"."),s_dir!AU13/((1/1000)*(s_Irr!BQ13)),IF(AND(s_Irr!U13=".",s_Irr!AS13&lt;&gt;".",s_Irr!BQ13="."),s_dir!AU13/((1/1000)*(s_Irr!AS13)),IF(AND(s_Irr!U13&lt;&gt;".",s_Irr!AS13=".",s_Irr!BQ13="."),s_dir!AU13/((1/1000)*(s_Irr!U13)),IF(AND(s_Irr!U13=".",s_Irr!AS13=".",s_Irr!BQ13="."),s_dir!AU13*1000)))))))),".")</f>
        <v>287.26402437450986</v>
      </c>
      <c r="BU13" s="76">
        <f>IFERROR(IF(AND(s_Irr!V13&lt;&gt;".",s_Irr!AT13&lt;&gt;".",s_Irr!BR13&lt;&gt;"."),s_dir!AV13/((1/1000)*(s_Irr!V13+s_Irr!AT13+s_Irr!BR13)),IF(AND(s_Irr!V13&lt;&gt;".",s_Irr!AT13&lt;&gt;".",s_Irr!BR13="."),s_dir!AV13/((1/1000)*(s_Irr!V13+s_Irr!AT13)),IF(AND(s_Irr!V13&lt;&gt;".",s_Irr!AT13=".",s_Irr!BR13&lt;&gt;"."),s_dir!AV13/((1/1000)*(s_Irr!V13+s_Irr!BR13)),IF(AND(s_Irr!V13=".",s_Irr!AT13&lt;&gt;".",s_Irr!BR13&lt;&gt;"."),s_dir!AV13/((1/1000)*(s_Irr!AT13+s_Irr!BR13)),IF(AND(s_Irr!V13=".",s_Irr!AT13=".",s_Irr!BR13&lt;&gt;"."),s_dir!AV13/((1/1000)*(s_Irr!BR13)),IF(AND(s_Irr!V13=".",s_Irr!AT13&lt;&gt;".",s_Irr!BR13="."),s_dir!AV13/((1/1000)*(s_Irr!AT13)),IF(AND(s_Irr!V13&lt;&gt;".",s_Irr!AT13=".",s_Irr!BR13="."),s_dir!AV13/((1/1000)*(s_Irr!V13)),IF(AND(s_Irr!V13=".",s_Irr!AT13=".",s_Irr!BR13="."),s_dir!AV13*1000)))))))),".")</f>
        <v>291.05046741870416</v>
      </c>
      <c r="BV13" s="76">
        <f>IFERROR(IF(AND(s_Irr!W13&lt;&gt;".",s_Irr!AU13&lt;&gt;".",s_Irr!BS13&lt;&gt;"."),s_dir!AW13/((1/1000)*(s_Irr!W13+s_Irr!AU13+s_Irr!BS13)),IF(AND(s_Irr!W13&lt;&gt;".",s_Irr!AU13&lt;&gt;".",s_Irr!BS13="."),s_dir!AW13/((1/1000)*(s_Irr!W13+s_Irr!AU13)),IF(AND(s_Irr!W13&lt;&gt;".",s_Irr!AU13=".",s_Irr!BS13&lt;&gt;"."),s_dir!AW13/((1/1000)*(s_Irr!W13+s_Irr!BS13)),IF(AND(s_Irr!W13=".",s_Irr!AU13&lt;&gt;".",s_Irr!BS13&lt;&gt;"."),s_dir!AW13/((1/1000)*(s_Irr!AU13+s_Irr!BS13)),IF(AND(s_Irr!W13=".",s_Irr!AU13=".",s_Irr!BS13&lt;&gt;"."),s_dir!AW13/((1/1000)*(s_Irr!BS13)),IF(AND(s_Irr!W13=".",s_Irr!AU13&lt;&gt;".",s_Irr!BS13="."),s_dir!AW13/((1/1000)*(s_Irr!AU13)),IF(AND(s_Irr!W13&lt;&gt;".",s_Irr!AU13=".",s_Irr!BS13="."),s_dir!AW13/((1/1000)*(s_Irr!W13)),IF(AND(s_Irr!W13=".",s_Irr!AU13=".",s_Irr!BS13="."),s_dir!AW13*1000)))))))),".")</f>
        <v>373.20077559362721</v>
      </c>
      <c r="BW13" s="76">
        <f>IFERROR(IF(AND(s_Irr!X13&lt;&gt;".",s_Irr!AV13&lt;&gt;".",s_Irr!BT13&lt;&gt;"."),s_dir!AX13/((1/1000)*(s_Irr!X13+s_Irr!AV13+s_Irr!BT13)),IF(AND(s_Irr!X13&lt;&gt;".",s_Irr!AV13&lt;&gt;".",s_Irr!BT13="."),s_dir!AX13/((1/1000)*(s_Irr!X13+s_Irr!AV13)),IF(AND(s_Irr!X13&lt;&gt;".",s_Irr!AV13=".",s_Irr!BT13&lt;&gt;"."),s_dir!AX13/((1/1000)*(s_Irr!X13+s_Irr!BT13)),IF(AND(s_Irr!X13=".",s_Irr!AV13&lt;&gt;".",s_Irr!BT13&lt;&gt;"."),s_dir!AX13/((1/1000)*(s_Irr!AV13+s_Irr!BT13)),IF(AND(s_Irr!X13=".",s_Irr!AV13=".",s_Irr!BT13&lt;&gt;"."),s_dir!AX13/((1/1000)*(s_Irr!BT13)),IF(AND(s_Irr!X13=".",s_Irr!AV13&lt;&gt;".",s_Irr!BT13="."),s_dir!AX13/((1/1000)*(s_Irr!AV13)),IF(AND(s_Irr!X13&lt;&gt;".",s_Irr!AV13=".",s_Irr!BT13="."),s_dir!AX13/((1/1000)*(s_Irr!X13)),IF(AND(s_Irr!X13=".",s_Irr!AV13=".",s_Irr!BT13="."),s_dir!AX13*1000)))))))),".")</f>
        <v>287.26402437450986</v>
      </c>
      <c r="BX13" s="76">
        <f>IFERROR(IF(AND(s_Irr!Y13&lt;&gt;".",s_Irr!AW13&lt;&gt;".",s_Irr!BU13&lt;&gt;"."),s_dir!AY13/((1/1000)*(s_Irr!Y13+s_Irr!AW13+s_Irr!BU13)),IF(AND(s_Irr!Y13&lt;&gt;".",s_Irr!AW13&lt;&gt;".",s_Irr!BU13="."),s_dir!AY13/((1/1000)*(s_Irr!Y13+s_Irr!AW13)),IF(AND(s_Irr!Y13&lt;&gt;".",s_Irr!AW13=".",s_Irr!BU13&lt;&gt;"."),s_dir!AY13/((1/1000)*(s_Irr!Y13+s_Irr!BU13)),IF(AND(s_Irr!Y13=".",s_Irr!AW13&lt;&gt;".",s_Irr!BU13&lt;&gt;"."),s_dir!AY13/((1/1000)*(s_Irr!AW13+s_Irr!BU13)),IF(AND(s_Irr!Y13=".",s_Irr!AW13=".",s_Irr!BU13&lt;&gt;"."),s_dir!AY13/((1/1000)*(s_Irr!BU13)),IF(AND(s_Irr!Y13=".",s_Irr!AW13&lt;&gt;".",s_Irr!BU13="."),s_dir!AY13/((1/1000)*(s_Irr!AW13)),IF(AND(s_Irr!Y13&lt;&gt;".",s_Irr!AW13=".",s_Irr!BU13="."),s_dir!AY13/((1/1000)*(s_Irr!Y13)),IF(AND(s_Irr!Y13=".",s_Irr!AW13=".",s_Irr!BU13="."),s_dir!AY13*1000)))))))),".")</f>
        <v>279.9792031830936</v>
      </c>
      <c r="BY13" s="76">
        <f>IFERROR(IF(AND(s_Irr!Z13&lt;&gt;".",s_Irr!AX13&lt;&gt;".",s_Irr!BV13&lt;&gt;"."),s_dir!AZ13/((1/1000)*(s_Irr!Z13+s_Irr!AX13+s_Irr!BV13)),IF(AND(s_Irr!Z13&lt;&gt;".",s_Irr!AX13&lt;&gt;".",s_Irr!BV13="."),s_dir!AZ13/((1/1000)*(s_Irr!Z13+s_Irr!AX13)),IF(AND(s_Irr!Z13&lt;&gt;".",s_Irr!AX13=".",s_Irr!BV13&lt;&gt;"."),s_dir!AZ13/((1/1000)*(s_Irr!Z13+s_Irr!BV13)),IF(AND(s_Irr!Z13=".",s_Irr!AX13&lt;&gt;".",s_Irr!BV13&lt;&gt;"."),s_dir!AZ13/((1/1000)*(s_Irr!AX13+s_Irr!BV13)),IF(AND(s_Irr!Z13=".",s_Irr!AX13=".",s_Irr!BV13&lt;&gt;"."),s_dir!AZ13/((1/1000)*(s_Irr!BV13)),IF(AND(s_Irr!Z13=".",s_Irr!AX13&lt;&gt;".",s_Irr!BV13="."),s_dir!AZ13/((1/1000)*(s_Irr!AX13)),IF(AND(s_Irr!Z13&lt;&gt;".",s_Irr!AX13=".",s_Irr!BV13="."),s_dir!AZ13/((1/1000)*(s_Irr!Z13)),IF(AND(s_Irr!Z13=".",s_Irr!AX13=".",s_Irr!BV13="."),s_dir!AZ13*1000)))))))),".")</f>
        <v>357.49124587693291</v>
      </c>
      <c r="BZ13" s="93">
        <f>SUM(CA13:CB13,CW13:CX13)</f>
        <v>780.47761377119934</v>
      </c>
      <c r="CA13" s="93">
        <f>IFERROR(s_C*s_IFAP_far_adj*s_CF_apple*(1/1000)*(s_Irr!C13+s_Irr!AA13+s_Irr!AY13),".")</f>
        <v>161.6507501417301</v>
      </c>
      <c r="CB13" s="93">
        <f>IFERROR(s_C*s_IFAS_far_adj*s_CF_asparagus*(1/1000)*(s_Irr!D13+s_Irr!AB13+s_Irr!AZ13),".")</f>
        <v>234.59875366324536</v>
      </c>
      <c r="CC13" s="93">
        <f>IFERROR(s_C*s_IFBT_far_adj*s_CF_beet*(1/1000)*(s_Irr!E13+s_Irr!AC13+s_Irr!BA13),".")</f>
        <v>220.9380788464822</v>
      </c>
      <c r="CD13" s="93">
        <f>IFERROR(s_C*s_IFBE_far_adj*s_CF_berries*(1/1000)*(s_Irr!F13+s_Irr!AD13+s_Irr!BB13),".")</f>
        <v>161.6507501417301</v>
      </c>
      <c r="CE13" s="93">
        <f>IFERROR(s_C*s_IFBR_far_adj*s_CF_broccoli*(1/1000)*(s_Irr!G13+s_Irr!AE13+s_Irr!BC13),".")</f>
        <v>210.00953899307169</v>
      </c>
      <c r="CF13" s="93">
        <f>IFERROR(s_C*s_IFCB_far_adj*s_CF_cabbage*(1/1000)*(s_Irr!H13+s_Irr!AF13+s_Irr!BD13),".")</f>
        <v>234.59875366324536</v>
      </c>
      <c r="CG13" s="93">
        <f>IFERROR(s_C*s_IFCR_far_adj*s_CF_carrot*(1/1000)*(s_Irr!I13+s_Irr!AG13+s_Irr!BE13),".")</f>
        <v>220.9380788464822</v>
      </c>
      <c r="CH13" s="93">
        <f>IFERROR(s_C*s_IFCI_far_adj*s_CF_citrus*(1/1000)*(s_Irr!J13+s_Irr!AH13+s_Irr!BF13),".")</f>
        <v>161.6507501417301</v>
      </c>
      <c r="CI13" s="93">
        <f>IFERROR(s_C*s_IFCO_far_adj*s_CF_corn*(1/1000)*(s_Irr!K13+s_Irr!AI13+s_Irr!BG13),".")</f>
        <v>173.94535747681692</v>
      </c>
      <c r="CJ13" s="93">
        <f>IFERROR(s_C*s_IFCU_far_adj*s_CF_cucumber*(1/1000)*(s_Irr!L13+s_Irr!AJ13+s_Irr!BH13),".")</f>
        <v>210.00953899307169</v>
      </c>
      <c r="CK13" s="93">
        <f>IFERROR(s_C*s_IFLE_far_adj*s_CF_lettuce*(1/1000)*(s_Irr!M13+s_Irr!AK13+s_Irr!BI13),".")</f>
        <v>234.59875366324536</v>
      </c>
      <c r="CL13" s="93">
        <f>IFERROR(s_C*s_IFLI_far_adj*s_CF_lima_bean*(1/1000)*(s_Irr!N13+s_Irr!AL13+s_Irr!BJ13),".")</f>
        <v>207.27740402971904</v>
      </c>
      <c r="CM13" s="93">
        <f>IFERROR(s_C*s_IFOK_far_adj*s_CF_okra*(1/1000)*(s_Irr!O13+s_Irr!AM13+s_Irr!BK13),".")</f>
        <v>210.00953899307169</v>
      </c>
      <c r="CN13" s="93">
        <f>IFERROR(s_C*s_IFON_far_adj*s_CF_onion*(1/1000)*(s_Irr!P13+s_Irr!AN13+s_Irr!BL13),".")</f>
        <v>210.00953899307169</v>
      </c>
      <c r="CO13" s="93">
        <f>IFERROR(s_C*s_IFPC_far_adj*s_CF_peach*(1/1000)*(s_Irr!Q13+s_Irr!AO13+s_Irr!BM13),".")</f>
        <v>161.6507501417301</v>
      </c>
      <c r="CP13" s="93">
        <f>IFERROR(s_C*s_IFPR_far_adj*s_CF_pear*(1/1000)*(s_Irr!R13+s_Irr!AP13+s_Irr!BN13),".")</f>
        <v>161.6507501417301</v>
      </c>
      <c r="CQ13" s="93">
        <f>IFERROR(s_C*s_IFPE_far_adj*s_CF_peas*(1/1000)*(s_Irr!S13+s_Irr!AQ13+s_Irr!BO13),".")</f>
        <v>207.27740402971904</v>
      </c>
      <c r="CR13" s="93">
        <f>IFERROR(s_C*s_IFPT_far_adj*s_CF_potato*(1/1000)*(s_Irr!T13+s_Irr!AR13+s_Irr!BP13),".")</f>
        <v>176.4042789438343</v>
      </c>
      <c r="CS13" s="93">
        <f>IFERROR(s_C*s_IFPU_far_adj*s_CF_pumpkin*(1/1000)*(s_Irr!U13+s_Irr!AS13+s_Irr!BQ13),".")</f>
        <v>210.00953899307169</v>
      </c>
      <c r="CT13" s="93">
        <f>IFERROR(s_C*s_IFSN_far_adj*s_CF_snap_bean*(1/1000)*(s_Irr!V13+s_Irr!AT13+s_Irr!BR13),".")</f>
        <v>207.27740402971904</v>
      </c>
      <c r="CU13" s="93">
        <f>IFERROR(s_C*s_IFST_far_adj*s_CF_strawberry*(1/1000)*(s_Irr!W13+s_Irr!AU13+s_Irr!BS13),".")</f>
        <v>161.6507501417301</v>
      </c>
      <c r="CV13" s="93">
        <f>IFERROR(s_C*s_IFTO_far_adj*s_CF_tomato*(1/1000)*(s_Irr!X13+s_Irr!AV13+s_Irr!BT13),".")</f>
        <v>210.00953899307169</v>
      </c>
      <c r="CW13" s="93">
        <f>IFERROR(s_C*s_IFRI_far_adj*s_CF_rice*(1/1000)*(s_Irr!Y13+s_Irr!AW13+s_Irr!BU13),".")</f>
        <v>215.47380891977696</v>
      </c>
      <c r="CX13" s="93">
        <f>IFERROR(s_C*s_IFCG_far_adj*s_CF_cereal*(1/1000)*(s_Irr!Z13+s_Irr!AX13+s_Irr!BV13),".")</f>
        <v>168.75430104644695</v>
      </c>
    </row>
    <row r="14" spans="1:102" ht="15" customHeight="1" x14ac:dyDescent="0.25">
      <c r="A14" s="92" t="s">
        <v>24</v>
      </c>
      <c r="B14" s="90" t="s">
        <v>1074</v>
      </c>
      <c r="C14" s="76">
        <f t="shared" si="16"/>
        <v>741.9643243530362</v>
      </c>
      <c r="D14" s="76">
        <f>IFERROR(IF(AND(s_Irr!C14&lt;&gt;".",s_Irr!AA14&lt;&gt;".",s_Irr!AY14&lt;&gt;"."),s_dir!D14/((1/1000)*(s_Irr!C14+s_Irr!AA14+s_Irr!AY14)),IF(AND(s_Irr!C14&lt;&gt;".",s_Irr!AA14&lt;&gt;".",s_Irr!AY14="."),s_dir!D14/((1/1000)*(s_Irr!C14+s_Irr!AA14)),IF(AND(s_Irr!C14&lt;&gt;".",s_Irr!AA14=".",s_Irr!AY14&lt;&gt;"."),s_dir!D14/((1/1000)*(s_Irr!C14+s_Irr!AY14)),IF(AND(s_Irr!C14=".",s_Irr!AA14&lt;&gt;".",s_Irr!AY14&lt;&gt;"."),s_dir!D14/((1/1000)*(s_Irr!AA14+s_Irr!AY14)),IF(AND(s_Irr!C14=".",s_Irr!AA14=".",s_Irr!AY14&lt;&gt;"."),s_dir!D14/((1/1000)*(s_Irr!AY14)),IF(AND(s_Irr!C14=".",s_Irr!AA14&lt;&gt;".",s_Irr!AY14="."),s_dir!D14/((1/1000)*(s_Irr!AA14)),IF(AND(s_Irr!C14&lt;&gt;".",s_Irr!AA14=".",s_Irr!AY14="."),s_dir!D14/((1/1000)*(s_Irr!C14)),IF(AND(s_Irr!C14=".",s_Irr!AA14=".",s_Irr!AY14="."),s_dir!D14*1000)))))))),".")</f>
        <v>2967.8572974121444</v>
      </c>
      <c r="E14" s="76">
        <f>IFERROR(IF(AND(s_Irr!D14&lt;&gt;".",s_Irr!AB14&lt;&gt;".",s_Irr!AZ14&lt;&gt;"."),s_dir!E14/((1/1000)*(s_Irr!D14+s_Irr!AB14+s_Irr!AZ14)),IF(AND(s_Irr!D14&lt;&gt;".",s_Irr!AB14&lt;&gt;".",s_Irr!AZ14="."),s_dir!E14/((1/1000)*(s_Irr!D14+s_Irr!AB14)),IF(AND(s_Irr!D14&lt;&gt;".",s_Irr!AB14=".",s_Irr!AZ14&lt;&gt;"."),s_dir!E14/((1/1000)*(s_Irr!D14+s_Irr!AZ14)),IF(AND(s_Irr!D14=".",s_Irr!AB14&lt;&gt;".",s_Irr!AZ14&lt;&gt;"."),s_dir!E14/((1/1000)*(s_Irr!AB14+s_Irr!AZ14)),IF(AND(s_Irr!D14=".",s_Irr!AB14=".",s_Irr!AZ14&lt;&gt;"."),s_dir!E14/((1/1000)*(s_Irr!AZ14)),IF(AND(s_Irr!D14=".",s_Irr!AB14&lt;&gt;".",s_Irr!AZ14="."),s_dir!E14/((1/1000)*(s_Irr!AB14)),IF(AND(s_Irr!D14&lt;&gt;".",s_Irr!AB14=".",s_Irr!AZ14="."),s_dir!E14/((1/1000)*(s_Irr!D14)),IF(AND(s_Irr!D14=".",s_Irr!AB14=".",s_Irr!AZ14="."),s_dir!E14*1000)))))))),".")</f>
        <v>2967.8572974121444</v>
      </c>
      <c r="F14" s="76">
        <f>IFERROR(IF(AND(s_Irr!E14&lt;&gt;".",s_Irr!AC14&lt;&gt;".",s_Irr!BA14&lt;&gt;"."),s_dir!F14/((1/1000)*(s_Irr!E14+s_Irr!AC14+s_Irr!BA14)),IF(AND(s_Irr!E14&lt;&gt;".",s_Irr!AC14&lt;&gt;".",s_Irr!BA14="."),s_dir!F14/((1/1000)*(s_Irr!E14+s_Irr!AC14)),IF(AND(s_Irr!E14&lt;&gt;".",s_Irr!AC14=".",s_Irr!BA14&lt;&gt;"."),s_dir!F14/((1/1000)*(s_Irr!E14+s_Irr!BA14)),IF(AND(s_Irr!E14=".",s_Irr!AC14&lt;&gt;".",s_Irr!BA14&lt;&gt;"."),s_dir!F14/((1/1000)*(s_Irr!AC14+s_Irr!BA14)),IF(AND(s_Irr!E14=".",s_Irr!AC14=".",s_Irr!BA14&lt;&gt;"."),s_dir!F14/((1/1000)*(s_Irr!BA14)),IF(AND(s_Irr!E14=".",s_Irr!AC14&lt;&gt;".",s_Irr!BA14="."),s_dir!F14/((1/1000)*(s_Irr!AC14)),IF(AND(s_Irr!E14&lt;&gt;".",s_Irr!AC14=".",s_Irr!BA14="."),s_dir!F14/((1/1000)*(s_Irr!E14)),IF(AND(s_Irr!E14=".",s_Irr!AC14=".",s_Irr!BA14="."),s_dir!F14*1000)))))))),".")</f>
        <v>2967.8572974121444</v>
      </c>
      <c r="G14" s="76">
        <f>IFERROR(IF(AND(s_Irr!F14&lt;&gt;".",s_Irr!AD14&lt;&gt;".",s_Irr!BB14&lt;&gt;"."),s_dir!G14/((1/1000)*(s_Irr!F14+s_Irr!AD14+s_Irr!BB14)),IF(AND(s_Irr!F14&lt;&gt;".",s_Irr!AD14&lt;&gt;".",s_Irr!BB14="."),s_dir!G14/((1/1000)*(s_Irr!F14+s_Irr!AD14)),IF(AND(s_Irr!F14&lt;&gt;".",s_Irr!AD14=".",s_Irr!BB14&lt;&gt;"."),s_dir!G14/((1/1000)*(s_Irr!F14+s_Irr!BB14)),IF(AND(s_Irr!F14=".",s_Irr!AD14&lt;&gt;".",s_Irr!BB14&lt;&gt;"."),s_dir!G14/((1/1000)*(s_Irr!AD14+s_Irr!BB14)),IF(AND(s_Irr!F14=".",s_Irr!AD14=".",s_Irr!BB14&lt;&gt;"."),s_dir!G14/((1/1000)*(s_Irr!BB14)),IF(AND(s_Irr!F14=".",s_Irr!AD14&lt;&gt;".",s_Irr!BB14="."),s_dir!G14/((1/1000)*(s_Irr!AD14)),IF(AND(s_Irr!F14&lt;&gt;".",s_Irr!AD14=".",s_Irr!BB14="."),s_dir!G14/((1/1000)*(s_Irr!F14)),IF(AND(s_Irr!F14=".",s_Irr!AD14=".",s_Irr!BB14="."),s_dir!G14*1000)))))))),".")</f>
        <v>2967.8572974121444</v>
      </c>
      <c r="H14" s="76">
        <f>IFERROR(IF(AND(s_Irr!G14&lt;&gt;".",s_Irr!AE14&lt;&gt;".",s_Irr!BC14&lt;&gt;"."),s_dir!H14/((1/1000)*(s_Irr!G14+s_Irr!AE14+s_Irr!BC14)),IF(AND(s_Irr!G14&lt;&gt;".",s_Irr!AE14&lt;&gt;".",s_Irr!BC14="."),s_dir!H14/((1/1000)*(s_Irr!G14+s_Irr!AE14)),IF(AND(s_Irr!G14&lt;&gt;".",s_Irr!AE14=".",s_Irr!BC14&lt;&gt;"."),s_dir!H14/((1/1000)*(s_Irr!G14+s_Irr!BC14)),IF(AND(s_Irr!G14=".",s_Irr!AE14&lt;&gt;".",s_Irr!BC14&lt;&gt;"."),s_dir!H14/((1/1000)*(s_Irr!AE14+s_Irr!BC14)),IF(AND(s_Irr!G14=".",s_Irr!AE14=".",s_Irr!BC14&lt;&gt;"."),s_dir!H14/((1/1000)*(s_Irr!BC14)),IF(AND(s_Irr!G14=".",s_Irr!AE14&lt;&gt;".",s_Irr!BC14="."),s_dir!H14/((1/1000)*(s_Irr!AE14)),IF(AND(s_Irr!G14&lt;&gt;".",s_Irr!AE14=".",s_Irr!BC14="."),s_dir!H14/((1/1000)*(s_Irr!G14)),IF(AND(s_Irr!G14=".",s_Irr!AE14=".",s_Irr!BC14="."),s_dir!H14*1000)))))))),".")</f>
        <v>2967.8572974121444</v>
      </c>
      <c r="I14" s="76">
        <f>IFERROR(IF(AND(s_Irr!H14&lt;&gt;".",s_Irr!AF14&lt;&gt;".",s_Irr!BD14&lt;&gt;"."),s_dir!I14/((1/1000)*(s_Irr!H14+s_Irr!AF14+s_Irr!BD14)),IF(AND(s_Irr!H14&lt;&gt;".",s_Irr!AF14&lt;&gt;".",s_Irr!BD14="."),s_dir!I14/((1/1000)*(s_Irr!H14+s_Irr!AF14)),IF(AND(s_Irr!H14&lt;&gt;".",s_Irr!AF14=".",s_Irr!BD14&lt;&gt;"."),s_dir!I14/((1/1000)*(s_Irr!H14+s_Irr!BD14)),IF(AND(s_Irr!H14=".",s_Irr!AF14&lt;&gt;".",s_Irr!BD14&lt;&gt;"."),s_dir!I14/((1/1000)*(s_Irr!AF14+s_Irr!BD14)),IF(AND(s_Irr!H14=".",s_Irr!AF14=".",s_Irr!BD14&lt;&gt;"."),s_dir!I14/((1/1000)*(s_Irr!BD14)),IF(AND(s_Irr!H14=".",s_Irr!AF14&lt;&gt;".",s_Irr!BD14="."),s_dir!I14/((1/1000)*(s_Irr!AF14)),IF(AND(s_Irr!H14&lt;&gt;".",s_Irr!AF14=".",s_Irr!BD14="."),s_dir!I14/((1/1000)*(s_Irr!H14)),IF(AND(s_Irr!H14=".",s_Irr!AF14=".",s_Irr!BD14="."),s_dir!I14*1000)))))))),".")</f>
        <v>2967.8572974121444</v>
      </c>
      <c r="J14" s="76">
        <f>IFERROR(IF(AND(s_Irr!I14&lt;&gt;".",s_Irr!AG14&lt;&gt;".",s_Irr!BE14&lt;&gt;"."),s_dir!J14/((1/1000)*(s_Irr!I14+s_Irr!AG14+s_Irr!BE14)),IF(AND(s_Irr!I14&lt;&gt;".",s_Irr!AG14&lt;&gt;".",s_Irr!BE14="."),s_dir!J14/((1/1000)*(s_Irr!I14+s_Irr!AG14)),IF(AND(s_Irr!I14&lt;&gt;".",s_Irr!AG14=".",s_Irr!BE14&lt;&gt;"."),s_dir!J14/((1/1000)*(s_Irr!I14+s_Irr!BE14)),IF(AND(s_Irr!I14=".",s_Irr!AG14&lt;&gt;".",s_Irr!BE14&lt;&gt;"."),s_dir!J14/((1/1000)*(s_Irr!AG14+s_Irr!BE14)),IF(AND(s_Irr!I14=".",s_Irr!AG14=".",s_Irr!BE14&lt;&gt;"."),s_dir!J14/((1/1000)*(s_Irr!BE14)),IF(AND(s_Irr!I14=".",s_Irr!AG14&lt;&gt;".",s_Irr!BE14="."),s_dir!J14/((1/1000)*(s_Irr!AG14)),IF(AND(s_Irr!I14&lt;&gt;".",s_Irr!AG14=".",s_Irr!BE14="."),s_dir!J14/((1/1000)*(s_Irr!I14)),IF(AND(s_Irr!I14=".",s_Irr!AG14=".",s_Irr!BE14="."),s_dir!J14*1000)))))))),".")</f>
        <v>2967.8572974121444</v>
      </c>
      <c r="K14" s="76">
        <f>IFERROR(IF(AND(s_Irr!J14&lt;&gt;".",s_Irr!AH14&lt;&gt;".",s_Irr!BF14&lt;&gt;"."),s_dir!K14/((1/1000)*(s_Irr!J14+s_Irr!AH14+s_Irr!BF14)),IF(AND(s_Irr!J14&lt;&gt;".",s_Irr!AH14&lt;&gt;".",s_Irr!BF14="."),s_dir!K14/((1/1000)*(s_Irr!J14+s_Irr!AH14)),IF(AND(s_Irr!J14&lt;&gt;".",s_Irr!AH14=".",s_Irr!BF14&lt;&gt;"."),s_dir!K14/((1/1000)*(s_Irr!J14+s_Irr!BF14)),IF(AND(s_Irr!J14=".",s_Irr!AH14&lt;&gt;".",s_Irr!BF14&lt;&gt;"."),s_dir!K14/((1/1000)*(s_Irr!AH14+s_Irr!BF14)),IF(AND(s_Irr!J14=".",s_Irr!AH14=".",s_Irr!BF14&lt;&gt;"."),s_dir!K14/((1/1000)*(s_Irr!BF14)),IF(AND(s_Irr!J14=".",s_Irr!AH14&lt;&gt;".",s_Irr!BF14="."),s_dir!K14/((1/1000)*(s_Irr!AH14)),IF(AND(s_Irr!J14&lt;&gt;".",s_Irr!AH14=".",s_Irr!BF14="."),s_dir!K14/((1/1000)*(s_Irr!J14)),IF(AND(s_Irr!J14=".",s_Irr!AH14=".",s_Irr!BF14="."),s_dir!K14*1000)))))))),".")</f>
        <v>2967.8572974121444</v>
      </c>
      <c r="L14" s="76">
        <f>IFERROR(IF(AND(s_Irr!K14&lt;&gt;".",s_Irr!AI14&lt;&gt;".",s_Irr!BG14&lt;&gt;"."),s_dir!L14/((1/1000)*(s_Irr!K14+s_Irr!AI14+s_Irr!BG14)),IF(AND(s_Irr!K14&lt;&gt;".",s_Irr!AI14&lt;&gt;".",s_Irr!BG14="."),s_dir!L14/((1/1000)*(s_Irr!K14+s_Irr!AI14)),IF(AND(s_Irr!K14&lt;&gt;".",s_Irr!AI14=".",s_Irr!BG14&lt;&gt;"."),s_dir!L14/((1/1000)*(s_Irr!K14+s_Irr!BG14)),IF(AND(s_Irr!K14=".",s_Irr!AI14&lt;&gt;".",s_Irr!BG14&lt;&gt;"."),s_dir!L14/((1/1000)*(s_Irr!AI14+s_Irr!BG14)),IF(AND(s_Irr!K14=".",s_Irr!AI14=".",s_Irr!BG14&lt;&gt;"."),s_dir!L14/((1/1000)*(s_Irr!BG14)),IF(AND(s_Irr!K14=".",s_Irr!AI14&lt;&gt;".",s_Irr!BG14="."),s_dir!L14/((1/1000)*(s_Irr!AI14)),IF(AND(s_Irr!K14&lt;&gt;".",s_Irr!AI14=".",s_Irr!BG14="."),s_dir!L14/((1/1000)*(s_Irr!K14)),IF(AND(s_Irr!K14=".",s_Irr!AI14=".",s_Irr!BG14="."),s_dir!L14*1000)))))))),".")</f>
        <v>2967.8572974121444</v>
      </c>
      <c r="M14" s="76">
        <f>IFERROR(IF(AND(s_Irr!L14&lt;&gt;".",s_Irr!AJ14&lt;&gt;".",s_Irr!BH14&lt;&gt;"."),s_dir!M14/((1/1000)*(s_Irr!L14+s_Irr!AJ14+s_Irr!BH14)),IF(AND(s_Irr!L14&lt;&gt;".",s_Irr!AJ14&lt;&gt;".",s_Irr!BH14="."),s_dir!M14/((1/1000)*(s_Irr!L14+s_Irr!AJ14)),IF(AND(s_Irr!L14&lt;&gt;".",s_Irr!AJ14=".",s_Irr!BH14&lt;&gt;"."),s_dir!M14/((1/1000)*(s_Irr!L14+s_Irr!BH14)),IF(AND(s_Irr!L14=".",s_Irr!AJ14&lt;&gt;".",s_Irr!BH14&lt;&gt;"."),s_dir!M14/((1/1000)*(s_Irr!AJ14+s_Irr!BH14)),IF(AND(s_Irr!L14=".",s_Irr!AJ14=".",s_Irr!BH14&lt;&gt;"."),s_dir!M14/((1/1000)*(s_Irr!BH14)),IF(AND(s_Irr!L14=".",s_Irr!AJ14&lt;&gt;".",s_Irr!BH14="."),s_dir!M14/((1/1000)*(s_Irr!AJ14)),IF(AND(s_Irr!L14&lt;&gt;".",s_Irr!AJ14=".",s_Irr!BH14="."),s_dir!M14/((1/1000)*(s_Irr!L14)),IF(AND(s_Irr!L14=".",s_Irr!AJ14=".",s_Irr!BH14="."),s_dir!M14*1000)))))))),".")</f>
        <v>2967.8572974121444</v>
      </c>
      <c r="N14" s="76">
        <f>IFERROR(IF(AND(s_Irr!M14&lt;&gt;".",s_Irr!AK14&lt;&gt;".",s_Irr!BI14&lt;&gt;"."),s_dir!N14/((1/1000)*(s_Irr!M14+s_Irr!AK14+s_Irr!BI14)),IF(AND(s_Irr!M14&lt;&gt;".",s_Irr!AK14&lt;&gt;".",s_Irr!BI14="."),s_dir!N14/((1/1000)*(s_Irr!M14+s_Irr!AK14)),IF(AND(s_Irr!M14&lt;&gt;".",s_Irr!AK14=".",s_Irr!BI14&lt;&gt;"."),s_dir!N14/((1/1000)*(s_Irr!M14+s_Irr!BI14)),IF(AND(s_Irr!M14=".",s_Irr!AK14&lt;&gt;".",s_Irr!BI14&lt;&gt;"."),s_dir!N14/((1/1000)*(s_Irr!AK14+s_Irr!BI14)),IF(AND(s_Irr!M14=".",s_Irr!AK14=".",s_Irr!BI14&lt;&gt;"."),s_dir!N14/((1/1000)*(s_Irr!BI14)),IF(AND(s_Irr!M14=".",s_Irr!AK14&lt;&gt;".",s_Irr!BI14="."),s_dir!N14/((1/1000)*(s_Irr!AK14)),IF(AND(s_Irr!M14&lt;&gt;".",s_Irr!AK14=".",s_Irr!BI14="."),s_dir!N14/((1/1000)*(s_Irr!M14)),IF(AND(s_Irr!M14=".",s_Irr!AK14=".",s_Irr!BI14="."),s_dir!N14*1000)))))))),".")</f>
        <v>2967.8572974121444</v>
      </c>
      <c r="O14" s="76">
        <f>IFERROR(IF(AND(s_Irr!N14&lt;&gt;".",s_Irr!AL14&lt;&gt;".",s_Irr!BJ14&lt;&gt;"."),s_dir!O14/((1/1000)*(s_Irr!N14+s_Irr!AL14+s_Irr!BJ14)),IF(AND(s_Irr!N14&lt;&gt;".",s_Irr!AL14&lt;&gt;".",s_Irr!BJ14="."),s_dir!O14/((1/1000)*(s_Irr!N14+s_Irr!AL14)),IF(AND(s_Irr!N14&lt;&gt;".",s_Irr!AL14=".",s_Irr!BJ14&lt;&gt;"."),s_dir!O14/((1/1000)*(s_Irr!N14+s_Irr!BJ14)),IF(AND(s_Irr!N14=".",s_Irr!AL14&lt;&gt;".",s_Irr!BJ14&lt;&gt;"."),s_dir!O14/((1/1000)*(s_Irr!AL14+s_Irr!BJ14)),IF(AND(s_Irr!N14=".",s_Irr!AL14=".",s_Irr!BJ14&lt;&gt;"."),s_dir!O14/((1/1000)*(s_Irr!BJ14)),IF(AND(s_Irr!N14=".",s_Irr!AL14&lt;&gt;".",s_Irr!BJ14="."),s_dir!O14/((1/1000)*(s_Irr!AL14)),IF(AND(s_Irr!N14&lt;&gt;".",s_Irr!AL14=".",s_Irr!BJ14="."),s_dir!O14/((1/1000)*(s_Irr!N14)),IF(AND(s_Irr!N14=".",s_Irr!AL14=".",s_Irr!BJ14="."),s_dir!O14*1000)))))))),".")</f>
        <v>2967.8572974121444</v>
      </c>
      <c r="P14" s="76">
        <f>IFERROR(IF(AND(s_Irr!O14&lt;&gt;".",s_Irr!AM14&lt;&gt;".",s_Irr!BK14&lt;&gt;"."),s_dir!P14/((1/1000)*(s_Irr!O14+s_Irr!AM14+s_Irr!BK14)),IF(AND(s_Irr!O14&lt;&gt;".",s_Irr!AM14&lt;&gt;".",s_Irr!BK14="."),s_dir!P14/((1/1000)*(s_Irr!O14+s_Irr!AM14)),IF(AND(s_Irr!O14&lt;&gt;".",s_Irr!AM14=".",s_Irr!BK14&lt;&gt;"."),s_dir!P14/((1/1000)*(s_Irr!O14+s_Irr!BK14)),IF(AND(s_Irr!O14=".",s_Irr!AM14&lt;&gt;".",s_Irr!BK14&lt;&gt;"."),s_dir!P14/((1/1000)*(s_Irr!AM14+s_Irr!BK14)),IF(AND(s_Irr!O14=".",s_Irr!AM14=".",s_Irr!BK14&lt;&gt;"."),s_dir!P14/((1/1000)*(s_Irr!BK14)),IF(AND(s_Irr!O14=".",s_Irr!AM14&lt;&gt;".",s_Irr!BK14="."),s_dir!P14/((1/1000)*(s_Irr!AM14)),IF(AND(s_Irr!O14&lt;&gt;".",s_Irr!AM14=".",s_Irr!BK14="."),s_dir!P14/((1/1000)*(s_Irr!O14)),IF(AND(s_Irr!O14=".",s_Irr!AM14=".",s_Irr!BK14="."),s_dir!P14*1000)))))))),".")</f>
        <v>2967.8572974121444</v>
      </c>
      <c r="Q14" s="76">
        <f>IFERROR(IF(AND(s_Irr!P14&lt;&gt;".",s_Irr!AN14&lt;&gt;".",s_Irr!BL14&lt;&gt;"."),s_dir!Q14/((1/1000)*(s_Irr!P14+s_Irr!AN14+s_Irr!BL14)),IF(AND(s_Irr!P14&lt;&gt;".",s_Irr!AN14&lt;&gt;".",s_Irr!BL14="."),s_dir!Q14/((1/1000)*(s_Irr!P14+s_Irr!AN14)),IF(AND(s_Irr!P14&lt;&gt;".",s_Irr!AN14=".",s_Irr!BL14&lt;&gt;"."),s_dir!Q14/((1/1000)*(s_Irr!P14+s_Irr!BL14)),IF(AND(s_Irr!P14=".",s_Irr!AN14&lt;&gt;".",s_Irr!BL14&lt;&gt;"."),s_dir!Q14/((1/1000)*(s_Irr!AN14+s_Irr!BL14)),IF(AND(s_Irr!P14=".",s_Irr!AN14=".",s_Irr!BL14&lt;&gt;"."),s_dir!Q14/((1/1000)*(s_Irr!BL14)),IF(AND(s_Irr!P14=".",s_Irr!AN14&lt;&gt;".",s_Irr!BL14="."),s_dir!Q14/((1/1000)*(s_Irr!AN14)),IF(AND(s_Irr!P14&lt;&gt;".",s_Irr!AN14=".",s_Irr!BL14="."),s_dir!Q14/((1/1000)*(s_Irr!P14)),IF(AND(s_Irr!P14=".",s_Irr!AN14=".",s_Irr!BL14="."),s_dir!Q14*1000)))))))),".")</f>
        <v>2967.8572974121444</v>
      </c>
      <c r="R14" s="76">
        <f>IFERROR(IF(AND(s_Irr!Q14&lt;&gt;".",s_Irr!AO14&lt;&gt;".",s_Irr!BM14&lt;&gt;"."),s_dir!R14/((1/1000)*(s_Irr!Q14+s_Irr!AO14+s_Irr!BM14)),IF(AND(s_Irr!Q14&lt;&gt;".",s_Irr!AO14&lt;&gt;".",s_Irr!BM14="."),s_dir!R14/((1/1000)*(s_Irr!Q14+s_Irr!AO14)),IF(AND(s_Irr!Q14&lt;&gt;".",s_Irr!AO14=".",s_Irr!BM14&lt;&gt;"."),s_dir!R14/((1/1000)*(s_Irr!Q14+s_Irr!BM14)),IF(AND(s_Irr!Q14=".",s_Irr!AO14&lt;&gt;".",s_Irr!BM14&lt;&gt;"."),s_dir!R14/((1/1000)*(s_Irr!AO14+s_Irr!BM14)),IF(AND(s_Irr!Q14=".",s_Irr!AO14=".",s_Irr!BM14&lt;&gt;"."),s_dir!R14/((1/1000)*(s_Irr!BM14)),IF(AND(s_Irr!Q14=".",s_Irr!AO14&lt;&gt;".",s_Irr!BM14="."),s_dir!R14/((1/1000)*(s_Irr!AO14)),IF(AND(s_Irr!Q14&lt;&gt;".",s_Irr!AO14=".",s_Irr!BM14="."),s_dir!R14/((1/1000)*(s_Irr!Q14)),IF(AND(s_Irr!Q14=".",s_Irr!AO14=".",s_Irr!BM14="."),s_dir!R14*1000)))))))),".")</f>
        <v>2967.8572974121444</v>
      </c>
      <c r="S14" s="76">
        <f>IFERROR(IF(AND(s_Irr!R14&lt;&gt;".",s_Irr!AP14&lt;&gt;".",s_Irr!BN14&lt;&gt;"."),s_dir!S14/((1/1000)*(s_Irr!R14+s_Irr!AP14+s_Irr!BN14)),IF(AND(s_Irr!R14&lt;&gt;".",s_Irr!AP14&lt;&gt;".",s_Irr!BN14="."),s_dir!S14/((1/1000)*(s_Irr!R14+s_Irr!AP14)),IF(AND(s_Irr!R14&lt;&gt;".",s_Irr!AP14=".",s_Irr!BN14&lt;&gt;"."),s_dir!S14/((1/1000)*(s_Irr!R14+s_Irr!BN14)),IF(AND(s_Irr!R14=".",s_Irr!AP14&lt;&gt;".",s_Irr!BN14&lt;&gt;"."),s_dir!S14/((1/1000)*(s_Irr!AP14+s_Irr!BN14)),IF(AND(s_Irr!R14=".",s_Irr!AP14=".",s_Irr!BN14&lt;&gt;"."),s_dir!S14/((1/1000)*(s_Irr!BN14)),IF(AND(s_Irr!R14=".",s_Irr!AP14&lt;&gt;".",s_Irr!BN14="."),s_dir!S14/((1/1000)*(s_Irr!AP14)),IF(AND(s_Irr!R14&lt;&gt;".",s_Irr!AP14=".",s_Irr!BN14="."),s_dir!S14/((1/1000)*(s_Irr!R14)),IF(AND(s_Irr!R14=".",s_Irr!AP14=".",s_Irr!BN14="."),s_dir!S14*1000)))))))),".")</f>
        <v>2967.8572974121444</v>
      </c>
      <c r="T14" s="76">
        <f>IFERROR(IF(AND(s_Irr!S14&lt;&gt;".",s_Irr!AQ14&lt;&gt;".",s_Irr!BO14&lt;&gt;"."),s_dir!T14/((1/1000)*(s_Irr!S14+s_Irr!AQ14+s_Irr!BO14)),IF(AND(s_Irr!S14&lt;&gt;".",s_Irr!AQ14&lt;&gt;".",s_Irr!BO14="."),s_dir!T14/((1/1000)*(s_Irr!S14+s_Irr!AQ14)),IF(AND(s_Irr!S14&lt;&gt;".",s_Irr!AQ14=".",s_Irr!BO14&lt;&gt;"."),s_dir!T14/((1/1000)*(s_Irr!S14+s_Irr!BO14)),IF(AND(s_Irr!S14=".",s_Irr!AQ14&lt;&gt;".",s_Irr!BO14&lt;&gt;"."),s_dir!T14/((1/1000)*(s_Irr!AQ14+s_Irr!BO14)),IF(AND(s_Irr!S14=".",s_Irr!AQ14=".",s_Irr!BO14&lt;&gt;"."),s_dir!T14/((1/1000)*(s_Irr!BO14)),IF(AND(s_Irr!S14=".",s_Irr!AQ14&lt;&gt;".",s_Irr!BO14="."),s_dir!T14/((1/1000)*(s_Irr!AQ14)),IF(AND(s_Irr!S14&lt;&gt;".",s_Irr!AQ14=".",s_Irr!BO14="."),s_dir!T14/((1/1000)*(s_Irr!S14)),IF(AND(s_Irr!S14=".",s_Irr!AQ14=".",s_Irr!BO14="."),s_dir!T14*1000)))))))),".")</f>
        <v>2967.8572974121444</v>
      </c>
      <c r="U14" s="76">
        <f>IFERROR(IF(AND(s_Irr!T14&lt;&gt;".",s_Irr!AR14&lt;&gt;".",s_Irr!BP14&lt;&gt;"."),s_dir!U14/((1/1000)*(s_Irr!T14+s_Irr!AR14+s_Irr!BP14)),IF(AND(s_Irr!T14&lt;&gt;".",s_Irr!AR14&lt;&gt;".",s_Irr!BP14="."),s_dir!U14/((1/1000)*(s_Irr!T14+s_Irr!AR14)),IF(AND(s_Irr!T14&lt;&gt;".",s_Irr!AR14=".",s_Irr!BP14&lt;&gt;"."),s_dir!U14/((1/1000)*(s_Irr!T14+s_Irr!BP14)),IF(AND(s_Irr!T14=".",s_Irr!AR14&lt;&gt;".",s_Irr!BP14&lt;&gt;"."),s_dir!U14/((1/1000)*(s_Irr!AR14+s_Irr!BP14)),IF(AND(s_Irr!T14=".",s_Irr!AR14=".",s_Irr!BP14&lt;&gt;"."),s_dir!U14/((1/1000)*(s_Irr!BP14)),IF(AND(s_Irr!T14=".",s_Irr!AR14&lt;&gt;".",s_Irr!BP14="."),s_dir!U14/((1/1000)*(s_Irr!AR14)),IF(AND(s_Irr!T14&lt;&gt;".",s_Irr!AR14=".",s_Irr!BP14="."),s_dir!U14/((1/1000)*(s_Irr!T14)),IF(AND(s_Irr!T14=".",s_Irr!AR14=".",s_Irr!BP14="."),s_dir!U14*1000)))))))),".")</f>
        <v>2967.8572974121444</v>
      </c>
      <c r="V14" s="76">
        <f>IFERROR(IF(AND(s_Irr!U14&lt;&gt;".",s_Irr!AS14&lt;&gt;".",s_Irr!BQ14&lt;&gt;"."),s_dir!V14/((1/1000)*(s_Irr!U14+s_Irr!AS14+s_Irr!BQ14)),IF(AND(s_Irr!U14&lt;&gt;".",s_Irr!AS14&lt;&gt;".",s_Irr!BQ14="."),s_dir!V14/((1/1000)*(s_Irr!U14+s_Irr!AS14)),IF(AND(s_Irr!U14&lt;&gt;".",s_Irr!AS14=".",s_Irr!BQ14&lt;&gt;"."),s_dir!V14/((1/1000)*(s_Irr!U14+s_Irr!BQ14)),IF(AND(s_Irr!U14=".",s_Irr!AS14&lt;&gt;".",s_Irr!BQ14&lt;&gt;"."),s_dir!V14/((1/1000)*(s_Irr!AS14+s_Irr!BQ14)),IF(AND(s_Irr!U14=".",s_Irr!AS14=".",s_Irr!BQ14&lt;&gt;"."),s_dir!V14/((1/1000)*(s_Irr!BQ14)),IF(AND(s_Irr!U14=".",s_Irr!AS14&lt;&gt;".",s_Irr!BQ14="."),s_dir!V14/((1/1000)*(s_Irr!AS14)),IF(AND(s_Irr!U14&lt;&gt;".",s_Irr!AS14=".",s_Irr!BQ14="."),s_dir!V14/((1/1000)*(s_Irr!U14)),IF(AND(s_Irr!U14=".",s_Irr!AS14=".",s_Irr!BQ14="."),s_dir!V14*1000)))))))),".")</f>
        <v>2967.8572974121444</v>
      </c>
      <c r="W14" s="76">
        <f>IFERROR(IF(AND(s_Irr!V14&lt;&gt;".",s_Irr!AT14&lt;&gt;".",s_Irr!BR14&lt;&gt;"."),s_dir!W14/((1/1000)*(s_Irr!V14+s_Irr!AT14+s_Irr!BR14)),IF(AND(s_Irr!V14&lt;&gt;".",s_Irr!AT14&lt;&gt;".",s_Irr!BR14="."),s_dir!W14/((1/1000)*(s_Irr!V14+s_Irr!AT14)),IF(AND(s_Irr!V14&lt;&gt;".",s_Irr!AT14=".",s_Irr!BR14&lt;&gt;"."),s_dir!W14/((1/1000)*(s_Irr!V14+s_Irr!BR14)),IF(AND(s_Irr!V14=".",s_Irr!AT14&lt;&gt;".",s_Irr!BR14&lt;&gt;"."),s_dir!W14/((1/1000)*(s_Irr!AT14+s_Irr!BR14)),IF(AND(s_Irr!V14=".",s_Irr!AT14=".",s_Irr!BR14&lt;&gt;"."),s_dir!W14/((1/1000)*(s_Irr!BR14)),IF(AND(s_Irr!V14=".",s_Irr!AT14&lt;&gt;".",s_Irr!BR14="."),s_dir!W14/((1/1000)*(s_Irr!AT14)),IF(AND(s_Irr!V14&lt;&gt;".",s_Irr!AT14=".",s_Irr!BR14="."),s_dir!W14/((1/1000)*(s_Irr!V14)),IF(AND(s_Irr!V14=".",s_Irr!AT14=".",s_Irr!BR14="."),s_dir!W14*1000)))))))),".")</f>
        <v>2967.8572974121444</v>
      </c>
      <c r="X14" s="76">
        <f>IFERROR(IF(AND(s_Irr!W14&lt;&gt;".",s_Irr!AU14&lt;&gt;".",s_Irr!BS14&lt;&gt;"."),s_dir!X14/((1/1000)*(s_Irr!W14+s_Irr!AU14+s_Irr!BS14)),IF(AND(s_Irr!W14&lt;&gt;".",s_Irr!AU14&lt;&gt;".",s_Irr!BS14="."),s_dir!X14/((1/1000)*(s_Irr!W14+s_Irr!AU14)),IF(AND(s_Irr!W14&lt;&gt;".",s_Irr!AU14=".",s_Irr!BS14&lt;&gt;"."),s_dir!X14/((1/1000)*(s_Irr!W14+s_Irr!BS14)),IF(AND(s_Irr!W14=".",s_Irr!AU14&lt;&gt;".",s_Irr!BS14&lt;&gt;"."),s_dir!X14/((1/1000)*(s_Irr!AU14+s_Irr!BS14)),IF(AND(s_Irr!W14=".",s_Irr!AU14=".",s_Irr!BS14&lt;&gt;"."),s_dir!X14/((1/1000)*(s_Irr!BS14)),IF(AND(s_Irr!W14=".",s_Irr!AU14&lt;&gt;".",s_Irr!BS14="."),s_dir!X14/((1/1000)*(s_Irr!AU14)),IF(AND(s_Irr!W14&lt;&gt;".",s_Irr!AU14=".",s_Irr!BS14="."),s_dir!X14/((1/1000)*(s_Irr!W14)),IF(AND(s_Irr!W14=".",s_Irr!AU14=".",s_Irr!BS14="."),s_dir!X14*1000)))))))),".")</f>
        <v>2967.8572974121444</v>
      </c>
      <c r="Y14" s="76">
        <f>IFERROR(IF(AND(s_Irr!X14&lt;&gt;".",s_Irr!AV14&lt;&gt;".",s_Irr!BT14&lt;&gt;"."),s_dir!Y14/((1/1000)*(s_Irr!X14+s_Irr!AV14+s_Irr!BT14)),IF(AND(s_Irr!X14&lt;&gt;".",s_Irr!AV14&lt;&gt;".",s_Irr!BT14="."),s_dir!Y14/((1/1000)*(s_Irr!X14+s_Irr!AV14)),IF(AND(s_Irr!X14&lt;&gt;".",s_Irr!AV14=".",s_Irr!BT14&lt;&gt;"."),s_dir!Y14/((1/1000)*(s_Irr!X14+s_Irr!BT14)),IF(AND(s_Irr!X14=".",s_Irr!AV14&lt;&gt;".",s_Irr!BT14&lt;&gt;"."),s_dir!Y14/((1/1000)*(s_Irr!AV14+s_Irr!BT14)),IF(AND(s_Irr!X14=".",s_Irr!AV14=".",s_Irr!BT14&lt;&gt;"."),s_dir!Y14/((1/1000)*(s_Irr!BT14)),IF(AND(s_Irr!X14=".",s_Irr!AV14&lt;&gt;".",s_Irr!BT14="."),s_dir!Y14/((1/1000)*(s_Irr!AV14)),IF(AND(s_Irr!X14&lt;&gt;".",s_Irr!AV14=".",s_Irr!BT14="."),s_dir!Y14/((1/1000)*(s_Irr!X14)),IF(AND(s_Irr!X14=".",s_Irr!AV14=".",s_Irr!BT14="."),s_dir!Y14*1000)))))))),".")</f>
        <v>2967.8572974121444</v>
      </c>
      <c r="Z14" s="76">
        <f>IFERROR(IF(AND(s_Irr!Y14&lt;&gt;".",s_Irr!AW14&lt;&gt;".",s_Irr!BU14&lt;&gt;"."),s_dir!Z14/((1/1000)*(s_Irr!Y14+s_Irr!AW14+s_Irr!BU14)),IF(AND(s_Irr!Y14&lt;&gt;".",s_Irr!AW14&lt;&gt;".",s_Irr!BU14="."),s_dir!Z14/((1/1000)*(s_Irr!Y14+s_Irr!AW14)),IF(AND(s_Irr!Y14&lt;&gt;".",s_Irr!AW14=".",s_Irr!BU14&lt;&gt;"."),s_dir!Z14/((1/1000)*(s_Irr!Y14+s_Irr!BU14)),IF(AND(s_Irr!Y14=".",s_Irr!AW14&lt;&gt;".",s_Irr!BU14&lt;&gt;"."),s_dir!Z14/((1/1000)*(s_Irr!AW14+s_Irr!BU14)),IF(AND(s_Irr!Y14=".",s_Irr!AW14=".",s_Irr!BU14&lt;&gt;"."),s_dir!Z14/((1/1000)*(s_Irr!BU14)),IF(AND(s_Irr!Y14=".",s_Irr!AW14&lt;&gt;".",s_Irr!BU14="."),s_dir!Z14/((1/1000)*(s_Irr!AW14)),IF(AND(s_Irr!Y14&lt;&gt;".",s_Irr!AW14=".",s_Irr!BU14="."),s_dir!Z14/((1/1000)*(s_Irr!Y14)),IF(AND(s_Irr!Y14=".",s_Irr!AW14=".",s_Irr!BU14="."),s_dir!Z14*1000)))))))),".")</f>
        <v>2967.8572974121444</v>
      </c>
      <c r="AA14" s="76">
        <f>IFERROR(IF(AND(s_Irr!Z14&lt;&gt;".",s_Irr!AX14&lt;&gt;".",s_Irr!BV14&lt;&gt;"."),s_dir!AA14/((1/1000)*(s_Irr!Z14+s_Irr!AX14+s_Irr!BV14)),IF(AND(s_Irr!Z14&lt;&gt;".",s_Irr!AX14&lt;&gt;".",s_Irr!BV14="."),s_dir!AA14/((1/1000)*(s_Irr!Z14+s_Irr!AX14)),IF(AND(s_Irr!Z14&lt;&gt;".",s_Irr!AX14=".",s_Irr!BV14&lt;&gt;"."),s_dir!AA14/((1/1000)*(s_Irr!Z14+s_Irr!BV14)),IF(AND(s_Irr!Z14=".",s_Irr!AX14&lt;&gt;".",s_Irr!BV14&lt;&gt;"."),s_dir!AA14/((1/1000)*(s_Irr!AX14+s_Irr!BV14)),IF(AND(s_Irr!Z14=".",s_Irr!AX14=".",s_Irr!BV14&lt;&gt;"."),s_dir!AA14/((1/1000)*(s_Irr!BV14)),IF(AND(s_Irr!Z14=".",s_Irr!AX14&lt;&gt;".",s_Irr!BV14="."),s_dir!AA14/((1/1000)*(s_Irr!AX14)),IF(AND(s_Irr!Z14&lt;&gt;".",s_Irr!AX14=".",s_Irr!BV14="."),s_dir!AA14/((1/1000)*(s_Irr!Z14)),IF(AND(s_Irr!Z14=".",s_Irr!AX14=".",s_Irr!BV14="."),s_dir!AA14*1000)))))))),".")</f>
        <v>2967.8572974121444</v>
      </c>
      <c r="AB14" s="93">
        <f>SUM(AC14:AD14,AY14:AZ14)</f>
        <v>752.60983714500253</v>
      </c>
      <c r="AC14" s="93">
        <f>IFERROR(s_C*s_IFAP_res_adj*s_CF_apple*0.001*(s_Irr!C14+s_Irr!AA14+s_Irr!AY14),".")</f>
        <v>188.15245928625063</v>
      </c>
      <c r="AD14" s="93">
        <f>IFERROR(s_C*s_IFAS_res_adj*s_CF_asparagus*0.001*(s_Irr!D14+s_Irr!AB14+s_Irr!AZ14),".")</f>
        <v>188.15245928625063</v>
      </c>
      <c r="AE14" s="93">
        <f>IFERROR(s_C*s_IFBT_res_adj*s_CF_beet*0.001*(s_Irr!E14+s_Irr!AC14+s_Irr!BA14),".")</f>
        <v>188.15245928625063</v>
      </c>
      <c r="AF14" s="93">
        <f>IFERROR(s_C*s_IFBE_res_adj*s_CF_berries*0.001*(s_Irr!F14+s_Irr!AD14+s_Irr!BB14),".")</f>
        <v>188.15245928625063</v>
      </c>
      <c r="AG14" s="93">
        <f>IFERROR(s_C*s_IFBR_res_adj*s_CF_broccoli*0.001*(s_Irr!G14+s_Irr!AE14+s_Irr!BC14),".")</f>
        <v>188.15245928625063</v>
      </c>
      <c r="AH14" s="93">
        <f>IFERROR(s_C*s_IFCB_res_adj*s_CF_cabbage*0.001*(s_Irr!H14+s_Irr!AF14+s_Irr!BD14),".")</f>
        <v>188.15245928625063</v>
      </c>
      <c r="AI14" s="93">
        <f>IFERROR(s_C*s_IFCR_res_adj*s_CF_carrot*0.001*(s_Irr!I14+s_Irr!AG14+s_Irr!BE14),".")</f>
        <v>188.15245928625063</v>
      </c>
      <c r="AJ14" s="93">
        <f>IFERROR(s_C*s_IFCI_res_adj*s_CF_citrus*0.001*(s_Irr!J14+s_Irr!AH14+s_Irr!BF14),".")</f>
        <v>188.15245928625063</v>
      </c>
      <c r="AK14" s="93">
        <f>IFERROR(s_C*s_IFCO_res_adj*s_CF_corn*0.001*(s_Irr!K14+s_Irr!AI14+s_Irr!BG14),".")</f>
        <v>188.15245928625063</v>
      </c>
      <c r="AL14" s="93">
        <f>IFERROR(s_C*s_IFCU_res_adj*s_CF_cucumber*0.001*(s_Irr!L14+s_Irr!AJ14+s_Irr!BH14),".")</f>
        <v>188.15245928625063</v>
      </c>
      <c r="AM14" s="93">
        <f>IFERROR(s_C*s_IFLE_res_adj*s_CF_lettuce*0.001*(s_Irr!M14+s_Irr!AK14+s_Irr!BI14),".")</f>
        <v>188.15245928625063</v>
      </c>
      <c r="AN14" s="93">
        <f>IFERROR(s_C*s_IFLI_res_adj*s_CF_lima_bean*0.001*(s_Irr!N14+s_Irr!AL14+s_Irr!BJ14),".")</f>
        <v>188.15245928625063</v>
      </c>
      <c r="AO14" s="93">
        <f>IFERROR(s_C*s_IFOK_res_adj*s_CF_okra*0.001*(s_Irr!O14+s_Irr!AM14+s_Irr!BK14),".")</f>
        <v>188.15245928625063</v>
      </c>
      <c r="AP14" s="93">
        <f>IFERROR(s_C*s_IFON_res_adj*s_CF_onion*0.001*(s_Irr!P14+s_Irr!AN14+s_Irr!BL14),".")</f>
        <v>188.15245928625063</v>
      </c>
      <c r="AQ14" s="93">
        <f>IFERROR(s_C*s_IFPC_res_adj*s_CF_peach*0.001*(s_Irr!Q14+s_Irr!AO14+s_Irr!BM14),".")</f>
        <v>188.15245928625063</v>
      </c>
      <c r="AR14" s="93">
        <f>IFERROR(s_C*s_IFPR_res_adj*s_CF_pear*0.001*(s_Irr!R14+s_Irr!AP14+s_Irr!BN14),".")</f>
        <v>188.15245928625063</v>
      </c>
      <c r="AS14" s="93">
        <f>IFERROR(s_C*s_IFPE_res_adj*s_CF_peas*0.001*(s_Irr!S14+s_Irr!AQ14+s_Irr!BO14),".")</f>
        <v>188.15245928625063</v>
      </c>
      <c r="AT14" s="93">
        <f>IFERROR(s_C*s_IFPT_res_adj*s_CF_potato*0.001*(s_Irr!T14+s_Irr!AR14+s_Irr!BP14),".")</f>
        <v>188.15245928625063</v>
      </c>
      <c r="AU14" s="93">
        <f>IFERROR(s_C*s_IFPU_res_adj*s_CF_pumpkin*0.001*(s_Irr!U14+s_Irr!AS14+s_Irr!BQ14),".")</f>
        <v>188.15245928625063</v>
      </c>
      <c r="AV14" s="93">
        <f>IFERROR(s_C*s_IFSN_res_adj*s_CF_snap_bean*0.001*(s_Irr!V14+s_Irr!AT14+s_Irr!BR14),".")</f>
        <v>188.15245928625063</v>
      </c>
      <c r="AW14" s="93">
        <f>IFERROR(s_C*s_IFST_res_adj*s_CF_strawberry*0.001*(s_Irr!W14+s_Irr!AU14+s_Irr!BS14),".")</f>
        <v>188.15245928625063</v>
      </c>
      <c r="AX14" s="93">
        <f>IFERROR(s_C*s_IFTO_res_adj*s_CF_tomato*0.001*(s_Irr!X14+s_Irr!AV14+s_Irr!BT14),".")</f>
        <v>188.15245928625063</v>
      </c>
      <c r="AY14" s="93">
        <f>IFERROR(s_C*s_IFRI_res_adj*s_CF_rice*0.001*(s_Irr!Y14+s_Irr!AW14+s_Irr!BU14),".")</f>
        <v>188.15245928625063</v>
      </c>
      <c r="AZ14" s="93">
        <f>IFERROR(s_C*s_IFCG_res_adj*s_CF_cereal*0.001*(s_Irr!Z14+s_Irr!AX14+s_Irr!BV14),".")</f>
        <v>188.15245928625063</v>
      </c>
      <c r="BA14" s="76">
        <f t="shared" si="17"/>
        <v>741.9643243530362</v>
      </c>
      <c r="BB14" s="76">
        <f>IFERROR(IF(AND(s_Irr!C14&lt;&gt;".",s_Irr!AA14&lt;&gt;".",s_Irr!AY14&lt;&gt;"."),s_dir!AC14/((1/1000)*(s_Irr!C14+s_Irr!AA14+s_Irr!AY14)),IF(AND(s_Irr!C14&lt;&gt;".",s_Irr!AA14&lt;&gt;".",s_Irr!AY14="."),s_dir!AC14/((1/1000)*(s_Irr!C14+s_Irr!AA14)),IF(AND(s_Irr!C14&lt;&gt;".",s_Irr!AA14=".",s_Irr!AY14&lt;&gt;"."),s_dir!AC14/((1/1000)*(s_Irr!C14+s_Irr!AY14)),IF(AND(s_Irr!C14=".",s_Irr!AA14&lt;&gt;".",s_Irr!AY14&lt;&gt;"."),s_dir!AC14/((1/1000)*(s_Irr!AA14+s_Irr!AY14)),IF(AND(s_Irr!C14=".",s_Irr!AA14=".",s_Irr!AY14&lt;&gt;"."),s_dir!AC14/((1/1000)*(s_Irr!AY14)),IF(AND(s_Irr!C14=".",s_Irr!AA14&lt;&gt;".",s_Irr!AY14="."),s_dir!AC14/((1/1000)*(s_Irr!AA14)),IF(AND(s_Irr!C14&lt;&gt;".",s_Irr!AA14=".",s_Irr!AY14="."),s_dir!AC14/((1/1000)*(s_Irr!C14)),IF(AND(s_Irr!C14=".",s_Irr!AA14=".",s_Irr!AY14="."),s_dir!AC14*1000)))))))),".")</f>
        <v>2967.8572974121444</v>
      </c>
      <c r="BC14" s="76">
        <f>IFERROR(IF(AND(s_Irr!D14&lt;&gt;".",s_Irr!AB14&lt;&gt;".",s_Irr!AZ14&lt;&gt;"."),s_dir!AD14/((1/1000)*(s_Irr!D14+s_Irr!AB14+s_Irr!AZ14)),IF(AND(s_Irr!D14&lt;&gt;".",s_Irr!AB14&lt;&gt;".",s_Irr!AZ14="."),s_dir!AD14/((1/1000)*(s_Irr!D14+s_Irr!AB14)),IF(AND(s_Irr!D14&lt;&gt;".",s_Irr!AB14=".",s_Irr!AZ14&lt;&gt;"."),s_dir!AD14/((1/1000)*(s_Irr!D14+s_Irr!AZ14)),IF(AND(s_Irr!D14=".",s_Irr!AB14&lt;&gt;".",s_Irr!AZ14&lt;&gt;"."),s_dir!AD14/((1/1000)*(s_Irr!AB14+s_Irr!AZ14)),IF(AND(s_Irr!D14=".",s_Irr!AB14=".",s_Irr!AZ14&lt;&gt;"."),s_dir!AD14/((1/1000)*(s_Irr!AZ14)),IF(AND(s_Irr!D14=".",s_Irr!AB14&lt;&gt;".",s_Irr!AZ14="."),s_dir!AD14/((1/1000)*(s_Irr!AB14)),IF(AND(s_Irr!D14&lt;&gt;".",s_Irr!AB14=".",s_Irr!AZ14="."),s_dir!AD14/((1/1000)*(s_Irr!D14)),IF(AND(s_Irr!D14=".",s_Irr!AB14=".",s_Irr!AZ14="."),s_dir!AD14*1000)))))))),".")</f>
        <v>2967.8572974121444</v>
      </c>
      <c r="BD14" s="76">
        <f>IFERROR(IF(AND(s_Irr!E14&lt;&gt;".",s_Irr!AC14&lt;&gt;".",s_Irr!BA14&lt;&gt;"."),s_dir!AE14/((1/1000)*(s_Irr!E14+s_Irr!AC14+s_Irr!BA14)),IF(AND(s_Irr!E14&lt;&gt;".",s_Irr!AC14&lt;&gt;".",s_Irr!BA14="."),s_dir!AE14/((1/1000)*(s_Irr!E14+s_Irr!AC14)),IF(AND(s_Irr!E14&lt;&gt;".",s_Irr!AC14=".",s_Irr!BA14&lt;&gt;"."),s_dir!AE14/((1/1000)*(s_Irr!E14+s_Irr!BA14)),IF(AND(s_Irr!E14=".",s_Irr!AC14&lt;&gt;".",s_Irr!BA14&lt;&gt;"."),s_dir!AE14/((1/1000)*(s_Irr!AC14+s_Irr!BA14)),IF(AND(s_Irr!E14=".",s_Irr!AC14=".",s_Irr!BA14&lt;&gt;"."),s_dir!AE14/((1/1000)*(s_Irr!BA14)),IF(AND(s_Irr!E14=".",s_Irr!AC14&lt;&gt;".",s_Irr!BA14="."),s_dir!AE14/((1/1000)*(s_Irr!AC14)),IF(AND(s_Irr!E14&lt;&gt;".",s_Irr!AC14=".",s_Irr!BA14="."),s_dir!AE14/((1/1000)*(s_Irr!E14)),IF(AND(s_Irr!E14=".",s_Irr!AC14=".",s_Irr!BA14="."),s_dir!AE14*1000)))))))),".")</f>
        <v>2967.8572974121444</v>
      </c>
      <c r="BE14" s="76">
        <f>IFERROR(IF(AND(s_Irr!F14&lt;&gt;".",s_Irr!AD14&lt;&gt;".",s_Irr!BB14&lt;&gt;"."),s_dir!AF14/((1/1000)*(s_Irr!F14+s_Irr!AD14+s_Irr!BB14)),IF(AND(s_Irr!F14&lt;&gt;".",s_Irr!AD14&lt;&gt;".",s_Irr!BB14="."),s_dir!AF14/((1/1000)*(s_Irr!F14+s_Irr!AD14)),IF(AND(s_Irr!F14&lt;&gt;".",s_Irr!AD14=".",s_Irr!BB14&lt;&gt;"."),s_dir!AF14/((1/1000)*(s_Irr!F14+s_Irr!BB14)),IF(AND(s_Irr!F14=".",s_Irr!AD14&lt;&gt;".",s_Irr!BB14&lt;&gt;"."),s_dir!AF14/((1/1000)*(s_Irr!AD14+s_Irr!BB14)),IF(AND(s_Irr!F14=".",s_Irr!AD14=".",s_Irr!BB14&lt;&gt;"."),s_dir!AF14/((1/1000)*(s_Irr!BB14)),IF(AND(s_Irr!F14=".",s_Irr!AD14&lt;&gt;".",s_Irr!BB14="."),s_dir!AF14/((1/1000)*(s_Irr!AD14)),IF(AND(s_Irr!F14&lt;&gt;".",s_Irr!AD14=".",s_Irr!BB14="."),s_dir!AF14/((1/1000)*(s_Irr!F14)),IF(AND(s_Irr!F14=".",s_Irr!AD14=".",s_Irr!BB14="."),s_dir!AF14*1000)))))))),".")</f>
        <v>2967.8572974121444</v>
      </c>
      <c r="BF14" s="76">
        <f>IFERROR(IF(AND(s_Irr!G14&lt;&gt;".",s_Irr!AE14&lt;&gt;".",s_Irr!BC14&lt;&gt;"."),s_dir!AG14/((1/1000)*(s_Irr!G14+s_Irr!AE14+s_Irr!BC14)),IF(AND(s_Irr!G14&lt;&gt;".",s_Irr!AE14&lt;&gt;".",s_Irr!BC14="."),s_dir!AG14/((1/1000)*(s_Irr!G14+s_Irr!AE14)),IF(AND(s_Irr!G14&lt;&gt;".",s_Irr!AE14=".",s_Irr!BC14&lt;&gt;"."),s_dir!AG14/((1/1000)*(s_Irr!G14+s_Irr!BC14)),IF(AND(s_Irr!G14=".",s_Irr!AE14&lt;&gt;".",s_Irr!BC14&lt;&gt;"."),s_dir!AG14/((1/1000)*(s_Irr!AE14+s_Irr!BC14)),IF(AND(s_Irr!G14=".",s_Irr!AE14=".",s_Irr!BC14&lt;&gt;"."),s_dir!AG14/((1/1000)*(s_Irr!BC14)),IF(AND(s_Irr!G14=".",s_Irr!AE14&lt;&gt;".",s_Irr!BC14="."),s_dir!AG14/((1/1000)*(s_Irr!AE14)),IF(AND(s_Irr!G14&lt;&gt;".",s_Irr!AE14=".",s_Irr!BC14="."),s_dir!AG14/((1/1000)*(s_Irr!G14)),IF(AND(s_Irr!G14=".",s_Irr!AE14=".",s_Irr!BC14="."),s_dir!AG14*1000)))))))),".")</f>
        <v>2967.8572974121444</v>
      </c>
      <c r="BG14" s="76">
        <f>IFERROR(IF(AND(s_Irr!H14&lt;&gt;".",s_Irr!AF14&lt;&gt;".",s_Irr!BD14&lt;&gt;"."),s_dir!AH14/((1/1000)*(s_Irr!H14+s_Irr!AF14+s_Irr!BD14)),IF(AND(s_Irr!H14&lt;&gt;".",s_Irr!AF14&lt;&gt;".",s_Irr!BD14="."),s_dir!AH14/((1/1000)*(s_Irr!H14+s_Irr!AF14)),IF(AND(s_Irr!H14&lt;&gt;".",s_Irr!AF14=".",s_Irr!BD14&lt;&gt;"."),s_dir!AH14/((1/1000)*(s_Irr!H14+s_Irr!BD14)),IF(AND(s_Irr!H14=".",s_Irr!AF14&lt;&gt;".",s_Irr!BD14&lt;&gt;"."),s_dir!AH14/((1/1000)*(s_Irr!AF14+s_Irr!BD14)),IF(AND(s_Irr!H14=".",s_Irr!AF14=".",s_Irr!BD14&lt;&gt;"."),s_dir!AH14/((1/1000)*(s_Irr!BD14)),IF(AND(s_Irr!H14=".",s_Irr!AF14&lt;&gt;".",s_Irr!BD14="."),s_dir!AH14/((1/1000)*(s_Irr!AF14)),IF(AND(s_Irr!H14&lt;&gt;".",s_Irr!AF14=".",s_Irr!BD14="."),s_dir!AH14/((1/1000)*(s_Irr!H14)),IF(AND(s_Irr!H14=".",s_Irr!AF14=".",s_Irr!BD14="."),s_dir!AH14*1000)))))))),".")</f>
        <v>2967.8572974121444</v>
      </c>
      <c r="BH14" s="76">
        <f>IFERROR(IF(AND(s_Irr!I14&lt;&gt;".",s_Irr!AG14&lt;&gt;".",s_Irr!BE14&lt;&gt;"."),s_dir!AI14/((1/1000)*(s_Irr!I14+s_Irr!AG14+s_Irr!BE14)),IF(AND(s_Irr!I14&lt;&gt;".",s_Irr!AG14&lt;&gt;".",s_Irr!BE14="."),s_dir!AI14/((1/1000)*(s_Irr!I14+s_Irr!AG14)),IF(AND(s_Irr!I14&lt;&gt;".",s_Irr!AG14=".",s_Irr!BE14&lt;&gt;"."),s_dir!AI14/((1/1000)*(s_Irr!I14+s_Irr!BE14)),IF(AND(s_Irr!I14=".",s_Irr!AG14&lt;&gt;".",s_Irr!BE14&lt;&gt;"."),s_dir!AI14/((1/1000)*(s_Irr!AG14+s_Irr!BE14)),IF(AND(s_Irr!I14=".",s_Irr!AG14=".",s_Irr!BE14&lt;&gt;"."),s_dir!AI14/((1/1000)*(s_Irr!BE14)),IF(AND(s_Irr!I14=".",s_Irr!AG14&lt;&gt;".",s_Irr!BE14="."),s_dir!AI14/((1/1000)*(s_Irr!AG14)),IF(AND(s_Irr!I14&lt;&gt;".",s_Irr!AG14=".",s_Irr!BE14="."),s_dir!AI14/((1/1000)*(s_Irr!I14)),IF(AND(s_Irr!I14=".",s_Irr!AG14=".",s_Irr!BE14="."),s_dir!AI14*1000)))))))),".")</f>
        <v>2967.8572974121444</v>
      </c>
      <c r="BI14" s="76">
        <f>IFERROR(IF(AND(s_Irr!J14&lt;&gt;".",s_Irr!AH14&lt;&gt;".",s_Irr!BF14&lt;&gt;"."),s_dir!AJ14/((1/1000)*(s_Irr!J14+s_Irr!AH14+s_Irr!BF14)),IF(AND(s_Irr!J14&lt;&gt;".",s_Irr!AH14&lt;&gt;".",s_Irr!BF14="."),s_dir!AJ14/((1/1000)*(s_Irr!J14+s_Irr!AH14)),IF(AND(s_Irr!J14&lt;&gt;".",s_Irr!AH14=".",s_Irr!BF14&lt;&gt;"."),s_dir!AJ14/((1/1000)*(s_Irr!J14+s_Irr!BF14)),IF(AND(s_Irr!J14=".",s_Irr!AH14&lt;&gt;".",s_Irr!BF14&lt;&gt;"."),s_dir!AJ14/((1/1000)*(s_Irr!AH14+s_Irr!BF14)),IF(AND(s_Irr!J14=".",s_Irr!AH14=".",s_Irr!BF14&lt;&gt;"."),s_dir!AJ14/((1/1000)*(s_Irr!BF14)),IF(AND(s_Irr!J14=".",s_Irr!AH14&lt;&gt;".",s_Irr!BF14="."),s_dir!AJ14/((1/1000)*(s_Irr!AH14)),IF(AND(s_Irr!J14&lt;&gt;".",s_Irr!AH14=".",s_Irr!BF14="."),s_dir!AJ14/((1/1000)*(s_Irr!J14)),IF(AND(s_Irr!J14=".",s_Irr!AH14=".",s_Irr!BF14="."),s_dir!AJ14*1000)))))))),".")</f>
        <v>2967.8572974121444</v>
      </c>
      <c r="BJ14" s="76">
        <f>IFERROR(IF(AND(s_Irr!K14&lt;&gt;".",s_Irr!AI14&lt;&gt;".",s_Irr!BG14&lt;&gt;"."),s_dir!AK14/((1/1000)*(s_Irr!K14+s_Irr!AI14+s_Irr!BG14)),IF(AND(s_Irr!K14&lt;&gt;".",s_Irr!AI14&lt;&gt;".",s_Irr!BG14="."),s_dir!AK14/((1/1000)*(s_Irr!K14+s_Irr!AI14)),IF(AND(s_Irr!K14&lt;&gt;".",s_Irr!AI14=".",s_Irr!BG14&lt;&gt;"."),s_dir!AK14/((1/1000)*(s_Irr!K14+s_Irr!BG14)),IF(AND(s_Irr!K14=".",s_Irr!AI14&lt;&gt;".",s_Irr!BG14&lt;&gt;"."),s_dir!AK14/((1/1000)*(s_Irr!AI14+s_Irr!BG14)),IF(AND(s_Irr!K14=".",s_Irr!AI14=".",s_Irr!BG14&lt;&gt;"."),s_dir!AK14/((1/1000)*(s_Irr!BG14)),IF(AND(s_Irr!K14=".",s_Irr!AI14&lt;&gt;".",s_Irr!BG14="."),s_dir!AK14/((1/1000)*(s_Irr!AI14)),IF(AND(s_Irr!K14&lt;&gt;".",s_Irr!AI14=".",s_Irr!BG14="."),s_dir!AK14/((1/1000)*(s_Irr!K14)),IF(AND(s_Irr!K14=".",s_Irr!AI14=".",s_Irr!BG14="."),s_dir!AK14*1000)))))))),".")</f>
        <v>2967.8572974121444</v>
      </c>
      <c r="BK14" s="76">
        <f>IFERROR(IF(AND(s_Irr!L14&lt;&gt;".",s_Irr!AJ14&lt;&gt;".",s_Irr!BH14&lt;&gt;"."),s_dir!AL14/((1/1000)*(s_Irr!L14+s_Irr!AJ14+s_Irr!BH14)),IF(AND(s_Irr!L14&lt;&gt;".",s_Irr!AJ14&lt;&gt;".",s_Irr!BH14="."),s_dir!AL14/((1/1000)*(s_Irr!L14+s_Irr!AJ14)),IF(AND(s_Irr!L14&lt;&gt;".",s_Irr!AJ14=".",s_Irr!BH14&lt;&gt;"."),s_dir!AL14/((1/1000)*(s_Irr!L14+s_Irr!BH14)),IF(AND(s_Irr!L14=".",s_Irr!AJ14&lt;&gt;".",s_Irr!BH14&lt;&gt;"."),s_dir!AL14/((1/1000)*(s_Irr!AJ14+s_Irr!BH14)),IF(AND(s_Irr!L14=".",s_Irr!AJ14=".",s_Irr!BH14&lt;&gt;"."),s_dir!AL14/((1/1000)*(s_Irr!BH14)),IF(AND(s_Irr!L14=".",s_Irr!AJ14&lt;&gt;".",s_Irr!BH14="."),s_dir!AL14/((1/1000)*(s_Irr!AJ14)),IF(AND(s_Irr!L14&lt;&gt;".",s_Irr!AJ14=".",s_Irr!BH14="."),s_dir!AL14/((1/1000)*(s_Irr!L14)),IF(AND(s_Irr!L14=".",s_Irr!AJ14=".",s_Irr!BH14="."),s_dir!AL14*1000)))))))),".")</f>
        <v>2967.8572974121444</v>
      </c>
      <c r="BL14" s="76">
        <f>IFERROR(IF(AND(s_Irr!M14&lt;&gt;".",s_Irr!AK14&lt;&gt;".",s_Irr!BI14&lt;&gt;"."),s_dir!AM14/((1/1000)*(s_Irr!M14+s_Irr!AK14+s_Irr!BI14)),IF(AND(s_Irr!M14&lt;&gt;".",s_Irr!AK14&lt;&gt;".",s_Irr!BI14="."),s_dir!AM14/((1/1000)*(s_Irr!M14+s_Irr!AK14)),IF(AND(s_Irr!M14&lt;&gt;".",s_Irr!AK14=".",s_Irr!BI14&lt;&gt;"."),s_dir!AM14/((1/1000)*(s_Irr!M14+s_Irr!BI14)),IF(AND(s_Irr!M14=".",s_Irr!AK14&lt;&gt;".",s_Irr!BI14&lt;&gt;"."),s_dir!AM14/((1/1000)*(s_Irr!AK14+s_Irr!BI14)),IF(AND(s_Irr!M14=".",s_Irr!AK14=".",s_Irr!BI14&lt;&gt;"."),s_dir!AM14/((1/1000)*(s_Irr!BI14)),IF(AND(s_Irr!M14=".",s_Irr!AK14&lt;&gt;".",s_Irr!BI14="."),s_dir!AM14/((1/1000)*(s_Irr!AK14)),IF(AND(s_Irr!M14&lt;&gt;".",s_Irr!AK14=".",s_Irr!BI14="."),s_dir!AM14/((1/1000)*(s_Irr!M14)),IF(AND(s_Irr!M14=".",s_Irr!AK14=".",s_Irr!BI14="."),s_dir!AM14*1000)))))))),".")</f>
        <v>2967.8572974121444</v>
      </c>
      <c r="BM14" s="76">
        <f>IFERROR(IF(AND(s_Irr!N14&lt;&gt;".",s_Irr!AL14&lt;&gt;".",s_Irr!BJ14&lt;&gt;"."),s_dir!AN14/((1/1000)*(s_Irr!N14+s_Irr!AL14+s_Irr!BJ14)),IF(AND(s_Irr!N14&lt;&gt;".",s_Irr!AL14&lt;&gt;".",s_Irr!BJ14="."),s_dir!AN14/((1/1000)*(s_Irr!N14+s_Irr!AL14)),IF(AND(s_Irr!N14&lt;&gt;".",s_Irr!AL14=".",s_Irr!BJ14&lt;&gt;"."),s_dir!AN14/((1/1000)*(s_Irr!N14+s_Irr!BJ14)),IF(AND(s_Irr!N14=".",s_Irr!AL14&lt;&gt;".",s_Irr!BJ14&lt;&gt;"."),s_dir!AN14/((1/1000)*(s_Irr!AL14+s_Irr!BJ14)),IF(AND(s_Irr!N14=".",s_Irr!AL14=".",s_Irr!BJ14&lt;&gt;"."),s_dir!AN14/((1/1000)*(s_Irr!BJ14)),IF(AND(s_Irr!N14=".",s_Irr!AL14&lt;&gt;".",s_Irr!BJ14="."),s_dir!AN14/((1/1000)*(s_Irr!AL14)),IF(AND(s_Irr!N14&lt;&gt;".",s_Irr!AL14=".",s_Irr!BJ14="."),s_dir!AN14/((1/1000)*(s_Irr!N14)),IF(AND(s_Irr!N14=".",s_Irr!AL14=".",s_Irr!BJ14="."),s_dir!AN14*1000)))))))),".")</f>
        <v>2967.8572974121444</v>
      </c>
      <c r="BN14" s="76">
        <f>IFERROR(IF(AND(s_Irr!O14&lt;&gt;".",s_Irr!AM14&lt;&gt;".",s_Irr!BK14&lt;&gt;"."),s_dir!AO14/((1/1000)*(s_Irr!O14+s_Irr!AM14+s_Irr!BK14)),IF(AND(s_Irr!O14&lt;&gt;".",s_Irr!AM14&lt;&gt;".",s_Irr!BK14="."),s_dir!AO14/((1/1000)*(s_Irr!O14+s_Irr!AM14)),IF(AND(s_Irr!O14&lt;&gt;".",s_Irr!AM14=".",s_Irr!BK14&lt;&gt;"."),s_dir!AO14/((1/1000)*(s_Irr!O14+s_Irr!BK14)),IF(AND(s_Irr!O14=".",s_Irr!AM14&lt;&gt;".",s_Irr!BK14&lt;&gt;"."),s_dir!AO14/((1/1000)*(s_Irr!AM14+s_Irr!BK14)),IF(AND(s_Irr!O14=".",s_Irr!AM14=".",s_Irr!BK14&lt;&gt;"."),s_dir!AO14/((1/1000)*(s_Irr!BK14)),IF(AND(s_Irr!O14=".",s_Irr!AM14&lt;&gt;".",s_Irr!BK14="."),s_dir!AO14/((1/1000)*(s_Irr!AM14)),IF(AND(s_Irr!O14&lt;&gt;".",s_Irr!AM14=".",s_Irr!BK14="."),s_dir!AO14/((1/1000)*(s_Irr!O14)),IF(AND(s_Irr!O14=".",s_Irr!AM14=".",s_Irr!BK14="."),s_dir!AO14*1000)))))))),".")</f>
        <v>2967.8572974121444</v>
      </c>
      <c r="BO14" s="76">
        <f>IFERROR(IF(AND(s_Irr!P14&lt;&gt;".",s_Irr!AN14&lt;&gt;".",s_Irr!BL14&lt;&gt;"."),s_dir!AP14/((1/1000)*(s_Irr!P14+s_Irr!AN14+s_Irr!BL14)),IF(AND(s_Irr!P14&lt;&gt;".",s_Irr!AN14&lt;&gt;".",s_Irr!BL14="."),s_dir!AP14/((1/1000)*(s_Irr!P14+s_Irr!AN14)),IF(AND(s_Irr!P14&lt;&gt;".",s_Irr!AN14=".",s_Irr!BL14&lt;&gt;"."),s_dir!AP14/((1/1000)*(s_Irr!P14+s_Irr!BL14)),IF(AND(s_Irr!P14=".",s_Irr!AN14&lt;&gt;".",s_Irr!BL14&lt;&gt;"."),s_dir!AP14/((1/1000)*(s_Irr!AN14+s_Irr!BL14)),IF(AND(s_Irr!P14=".",s_Irr!AN14=".",s_Irr!BL14&lt;&gt;"."),s_dir!AP14/((1/1000)*(s_Irr!BL14)),IF(AND(s_Irr!P14=".",s_Irr!AN14&lt;&gt;".",s_Irr!BL14="."),s_dir!AP14/((1/1000)*(s_Irr!AN14)),IF(AND(s_Irr!P14&lt;&gt;".",s_Irr!AN14=".",s_Irr!BL14="."),s_dir!AP14/((1/1000)*(s_Irr!P14)),IF(AND(s_Irr!P14=".",s_Irr!AN14=".",s_Irr!BL14="."),s_dir!AP14*1000)))))))),".")</f>
        <v>2967.8572974121444</v>
      </c>
      <c r="BP14" s="76">
        <f>IFERROR(IF(AND(s_Irr!Q14&lt;&gt;".",s_Irr!AO14&lt;&gt;".",s_Irr!BM14&lt;&gt;"."),s_dir!AQ14/((1/1000)*(s_Irr!Q14+s_Irr!AO14+s_Irr!BM14)),IF(AND(s_Irr!Q14&lt;&gt;".",s_Irr!AO14&lt;&gt;".",s_Irr!BM14="."),s_dir!AQ14/((1/1000)*(s_Irr!Q14+s_Irr!AO14)),IF(AND(s_Irr!Q14&lt;&gt;".",s_Irr!AO14=".",s_Irr!BM14&lt;&gt;"."),s_dir!AQ14/((1/1000)*(s_Irr!Q14+s_Irr!BM14)),IF(AND(s_Irr!Q14=".",s_Irr!AO14&lt;&gt;".",s_Irr!BM14&lt;&gt;"."),s_dir!AQ14/((1/1000)*(s_Irr!AO14+s_Irr!BM14)),IF(AND(s_Irr!Q14=".",s_Irr!AO14=".",s_Irr!BM14&lt;&gt;"."),s_dir!AQ14/((1/1000)*(s_Irr!BM14)),IF(AND(s_Irr!Q14=".",s_Irr!AO14&lt;&gt;".",s_Irr!BM14="."),s_dir!AQ14/((1/1000)*(s_Irr!AO14)),IF(AND(s_Irr!Q14&lt;&gt;".",s_Irr!AO14=".",s_Irr!BM14="."),s_dir!AQ14/((1/1000)*(s_Irr!Q14)),IF(AND(s_Irr!Q14=".",s_Irr!AO14=".",s_Irr!BM14="."),s_dir!AQ14*1000)))))))),".")</f>
        <v>2967.8572974121444</v>
      </c>
      <c r="BQ14" s="76">
        <f>IFERROR(IF(AND(s_Irr!R14&lt;&gt;".",s_Irr!AP14&lt;&gt;".",s_Irr!BN14&lt;&gt;"."),s_dir!AR14/((1/1000)*(s_Irr!R14+s_Irr!AP14+s_Irr!BN14)),IF(AND(s_Irr!R14&lt;&gt;".",s_Irr!AP14&lt;&gt;".",s_Irr!BN14="."),s_dir!AR14/((1/1000)*(s_Irr!R14+s_Irr!AP14)),IF(AND(s_Irr!R14&lt;&gt;".",s_Irr!AP14=".",s_Irr!BN14&lt;&gt;"."),s_dir!AR14/((1/1000)*(s_Irr!R14+s_Irr!BN14)),IF(AND(s_Irr!R14=".",s_Irr!AP14&lt;&gt;".",s_Irr!BN14&lt;&gt;"."),s_dir!AR14/((1/1000)*(s_Irr!AP14+s_Irr!BN14)),IF(AND(s_Irr!R14=".",s_Irr!AP14=".",s_Irr!BN14&lt;&gt;"."),s_dir!AR14/((1/1000)*(s_Irr!BN14)),IF(AND(s_Irr!R14=".",s_Irr!AP14&lt;&gt;".",s_Irr!BN14="."),s_dir!AR14/((1/1000)*(s_Irr!AP14)),IF(AND(s_Irr!R14&lt;&gt;".",s_Irr!AP14=".",s_Irr!BN14="."),s_dir!AR14/((1/1000)*(s_Irr!R14)),IF(AND(s_Irr!R14=".",s_Irr!AP14=".",s_Irr!BN14="."),s_dir!AR14*1000)))))))),".")</f>
        <v>2967.8572974121444</v>
      </c>
      <c r="BR14" s="76">
        <f>IFERROR(IF(AND(s_Irr!S14&lt;&gt;".",s_Irr!AQ14&lt;&gt;".",s_Irr!BO14&lt;&gt;"."),s_dir!AS14/((1/1000)*(s_Irr!S14+s_Irr!AQ14+s_Irr!BO14)),IF(AND(s_Irr!S14&lt;&gt;".",s_Irr!AQ14&lt;&gt;".",s_Irr!BO14="."),s_dir!AS14/((1/1000)*(s_Irr!S14+s_Irr!AQ14)),IF(AND(s_Irr!S14&lt;&gt;".",s_Irr!AQ14=".",s_Irr!BO14&lt;&gt;"."),s_dir!AS14/((1/1000)*(s_Irr!S14+s_Irr!BO14)),IF(AND(s_Irr!S14=".",s_Irr!AQ14&lt;&gt;".",s_Irr!BO14&lt;&gt;"."),s_dir!AS14/((1/1000)*(s_Irr!AQ14+s_Irr!BO14)),IF(AND(s_Irr!S14=".",s_Irr!AQ14=".",s_Irr!BO14&lt;&gt;"."),s_dir!AS14/((1/1000)*(s_Irr!BO14)),IF(AND(s_Irr!S14=".",s_Irr!AQ14&lt;&gt;".",s_Irr!BO14="."),s_dir!AS14/((1/1000)*(s_Irr!AQ14)),IF(AND(s_Irr!S14&lt;&gt;".",s_Irr!AQ14=".",s_Irr!BO14="."),s_dir!AS14/((1/1000)*(s_Irr!S14)),IF(AND(s_Irr!S14=".",s_Irr!AQ14=".",s_Irr!BO14="."),s_dir!AS14*1000)))))))),".")</f>
        <v>2967.8572974121444</v>
      </c>
      <c r="BS14" s="76">
        <f>IFERROR(IF(AND(s_Irr!T14&lt;&gt;".",s_Irr!AR14&lt;&gt;".",s_Irr!BP14&lt;&gt;"."),s_dir!AT14/((1/1000)*(s_Irr!T14+s_Irr!AR14+s_Irr!BP14)),IF(AND(s_Irr!T14&lt;&gt;".",s_Irr!AR14&lt;&gt;".",s_Irr!BP14="."),s_dir!AT14/((1/1000)*(s_Irr!T14+s_Irr!AR14)),IF(AND(s_Irr!T14&lt;&gt;".",s_Irr!AR14=".",s_Irr!BP14&lt;&gt;"."),s_dir!AT14/((1/1000)*(s_Irr!T14+s_Irr!BP14)),IF(AND(s_Irr!T14=".",s_Irr!AR14&lt;&gt;".",s_Irr!BP14&lt;&gt;"."),s_dir!AT14/((1/1000)*(s_Irr!AR14+s_Irr!BP14)),IF(AND(s_Irr!T14=".",s_Irr!AR14=".",s_Irr!BP14&lt;&gt;"."),s_dir!AT14/((1/1000)*(s_Irr!BP14)),IF(AND(s_Irr!T14=".",s_Irr!AR14&lt;&gt;".",s_Irr!BP14="."),s_dir!AT14/((1/1000)*(s_Irr!AR14)),IF(AND(s_Irr!T14&lt;&gt;".",s_Irr!AR14=".",s_Irr!BP14="."),s_dir!AT14/((1/1000)*(s_Irr!T14)),IF(AND(s_Irr!T14=".",s_Irr!AR14=".",s_Irr!BP14="."),s_dir!AT14*1000)))))))),".")</f>
        <v>2967.8572974121444</v>
      </c>
      <c r="BT14" s="76">
        <f>IFERROR(IF(AND(s_Irr!U14&lt;&gt;".",s_Irr!AS14&lt;&gt;".",s_Irr!BQ14&lt;&gt;"."),s_dir!AU14/((1/1000)*(s_Irr!U14+s_Irr!AS14+s_Irr!BQ14)),IF(AND(s_Irr!U14&lt;&gt;".",s_Irr!AS14&lt;&gt;".",s_Irr!BQ14="."),s_dir!AU14/((1/1000)*(s_Irr!U14+s_Irr!AS14)),IF(AND(s_Irr!U14&lt;&gt;".",s_Irr!AS14=".",s_Irr!BQ14&lt;&gt;"."),s_dir!AU14/((1/1000)*(s_Irr!U14+s_Irr!BQ14)),IF(AND(s_Irr!U14=".",s_Irr!AS14&lt;&gt;".",s_Irr!BQ14&lt;&gt;"."),s_dir!AU14/((1/1000)*(s_Irr!AS14+s_Irr!BQ14)),IF(AND(s_Irr!U14=".",s_Irr!AS14=".",s_Irr!BQ14&lt;&gt;"."),s_dir!AU14/((1/1000)*(s_Irr!BQ14)),IF(AND(s_Irr!U14=".",s_Irr!AS14&lt;&gt;".",s_Irr!BQ14="."),s_dir!AU14/((1/1000)*(s_Irr!AS14)),IF(AND(s_Irr!U14&lt;&gt;".",s_Irr!AS14=".",s_Irr!BQ14="."),s_dir!AU14/((1/1000)*(s_Irr!U14)),IF(AND(s_Irr!U14=".",s_Irr!AS14=".",s_Irr!BQ14="."),s_dir!AU14*1000)))))))),".")</f>
        <v>2967.8572974121444</v>
      </c>
      <c r="BU14" s="76">
        <f>IFERROR(IF(AND(s_Irr!V14&lt;&gt;".",s_Irr!AT14&lt;&gt;".",s_Irr!BR14&lt;&gt;"."),s_dir!AV14/((1/1000)*(s_Irr!V14+s_Irr!AT14+s_Irr!BR14)),IF(AND(s_Irr!V14&lt;&gt;".",s_Irr!AT14&lt;&gt;".",s_Irr!BR14="."),s_dir!AV14/((1/1000)*(s_Irr!V14+s_Irr!AT14)),IF(AND(s_Irr!V14&lt;&gt;".",s_Irr!AT14=".",s_Irr!BR14&lt;&gt;"."),s_dir!AV14/((1/1000)*(s_Irr!V14+s_Irr!BR14)),IF(AND(s_Irr!V14=".",s_Irr!AT14&lt;&gt;".",s_Irr!BR14&lt;&gt;"."),s_dir!AV14/((1/1000)*(s_Irr!AT14+s_Irr!BR14)),IF(AND(s_Irr!V14=".",s_Irr!AT14=".",s_Irr!BR14&lt;&gt;"."),s_dir!AV14/((1/1000)*(s_Irr!BR14)),IF(AND(s_Irr!V14=".",s_Irr!AT14&lt;&gt;".",s_Irr!BR14="."),s_dir!AV14/((1/1000)*(s_Irr!AT14)),IF(AND(s_Irr!V14&lt;&gt;".",s_Irr!AT14=".",s_Irr!BR14="."),s_dir!AV14/((1/1000)*(s_Irr!V14)),IF(AND(s_Irr!V14=".",s_Irr!AT14=".",s_Irr!BR14="."),s_dir!AV14*1000)))))))),".")</f>
        <v>2967.8572974121444</v>
      </c>
      <c r="BV14" s="76">
        <f>IFERROR(IF(AND(s_Irr!W14&lt;&gt;".",s_Irr!AU14&lt;&gt;".",s_Irr!BS14&lt;&gt;"."),s_dir!AW14/((1/1000)*(s_Irr!W14+s_Irr!AU14+s_Irr!BS14)),IF(AND(s_Irr!W14&lt;&gt;".",s_Irr!AU14&lt;&gt;".",s_Irr!BS14="."),s_dir!AW14/((1/1000)*(s_Irr!W14+s_Irr!AU14)),IF(AND(s_Irr!W14&lt;&gt;".",s_Irr!AU14=".",s_Irr!BS14&lt;&gt;"."),s_dir!AW14/((1/1000)*(s_Irr!W14+s_Irr!BS14)),IF(AND(s_Irr!W14=".",s_Irr!AU14&lt;&gt;".",s_Irr!BS14&lt;&gt;"."),s_dir!AW14/((1/1000)*(s_Irr!AU14+s_Irr!BS14)),IF(AND(s_Irr!W14=".",s_Irr!AU14=".",s_Irr!BS14&lt;&gt;"."),s_dir!AW14/((1/1000)*(s_Irr!BS14)),IF(AND(s_Irr!W14=".",s_Irr!AU14&lt;&gt;".",s_Irr!BS14="."),s_dir!AW14/((1/1000)*(s_Irr!AU14)),IF(AND(s_Irr!W14&lt;&gt;".",s_Irr!AU14=".",s_Irr!BS14="."),s_dir!AW14/((1/1000)*(s_Irr!W14)),IF(AND(s_Irr!W14=".",s_Irr!AU14=".",s_Irr!BS14="."),s_dir!AW14*1000)))))))),".")</f>
        <v>2967.8572974121444</v>
      </c>
      <c r="BW14" s="76">
        <f>IFERROR(IF(AND(s_Irr!X14&lt;&gt;".",s_Irr!AV14&lt;&gt;".",s_Irr!BT14&lt;&gt;"."),s_dir!AX14/((1/1000)*(s_Irr!X14+s_Irr!AV14+s_Irr!BT14)),IF(AND(s_Irr!X14&lt;&gt;".",s_Irr!AV14&lt;&gt;".",s_Irr!BT14="."),s_dir!AX14/((1/1000)*(s_Irr!X14+s_Irr!AV14)),IF(AND(s_Irr!X14&lt;&gt;".",s_Irr!AV14=".",s_Irr!BT14&lt;&gt;"."),s_dir!AX14/((1/1000)*(s_Irr!X14+s_Irr!BT14)),IF(AND(s_Irr!X14=".",s_Irr!AV14&lt;&gt;".",s_Irr!BT14&lt;&gt;"."),s_dir!AX14/((1/1000)*(s_Irr!AV14+s_Irr!BT14)),IF(AND(s_Irr!X14=".",s_Irr!AV14=".",s_Irr!BT14&lt;&gt;"."),s_dir!AX14/((1/1000)*(s_Irr!BT14)),IF(AND(s_Irr!X14=".",s_Irr!AV14&lt;&gt;".",s_Irr!BT14="."),s_dir!AX14/((1/1000)*(s_Irr!AV14)),IF(AND(s_Irr!X14&lt;&gt;".",s_Irr!AV14=".",s_Irr!BT14="."),s_dir!AX14/((1/1000)*(s_Irr!X14)),IF(AND(s_Irr!X14=".",s_Irr!AV14=".",s_Irr!BT14="."),s_dir!AX14*1000)))))))),".")</f>
        <v>2967.8572974121444</v>
      </c>
      <c r="BX14" s="76">
        <f>IFERROR(IF(AND(s_Irr!Y14&lt;&gt;".",s_Irr!AW14&lt;&gt;".",s_Irr!BU14&lt;&gt;"."),s_dir!AY14/((1/1000)*(s_Irr!Y14+s_Irr!AW14+s_Irr!BU14)),IF(AND(s_Irr!Y14&lt;&gt;".",s_Irr!AW14&lt;&gt;".",s_Irr!BU14="."),s_dir!AY14/((1/1000)*(s_Irr!Y14+s_Irr!AW14)),IF(AND(s_Irr!Y14&lt;&gt;".",s_Irr!AW14=".",s_Irr!BU14&lt;&gt;"."),s_dir!AY14/((1/1000)*(s_Irr!Y14+s_Irr!BU14)),IF(AND(s_Irr!Y14=".",s_Irr!AW14&lt;&gt;".",s_Irr!BU14&lt;&gt;"."),s_dir!AY14/((1/1000)*(s_Irr!AW14+s_Irr!BU14)),IF(AND(s_Irr!Y14=".",s_Irr!AW14=".",s_Irr!BU14&lt;&gt;"."),s_dir!AY14/((1/1000)*(s_Irr!BU14)),IF(AND(s_Irr!Y14=".",s_Irr!AW14&lt;&gt;".",s_Irr!BU14="."),s_dir!AY14/((1/1000)*(s_Irr!AW14)),IF(AND(s_Irr!Y14&lt;&gt;".",s_Irr!AW14=".",s_Irr!BU14="."),s_dir!AY14/((1/1000)*(s_Irr!Y14)),IF(AND(s_Irr!Y14=".",s_Irr!AW14=".",s_Irr!BU14="."),s_dir!AY14*1000)))))))),".")</f>
        <v>2967.8572974121444</v>
      </c>
      <c r="BY14" s="76">
        <f>IFERROR(IF(AND(s_Irr!Z14&lt;&gt;".",s_Irr!AX14&lt;&gt;".",s_Irr!BV14&lt;&gt;"."),s_dir!AZ14/((1/1000)*(s_Irr!Z14+s_Irr!AX14+s_Irr!BV14)),IF(AND(s_Irr!Z14&lt;&gt;".",s_Irr!AX14&lt;&gt;".",s_Irr!BV14="."),s_dir!AZ14/((1/1000)*(s_Irr!Z14+s_Irr!AX14)),IF(AND(s_Irr!Z14&lt;&gt;".",s_Irr!AX14=".",s_Irr!BV14&lt;&gt;"."),s_dir!AZ14/((1/1000)*(s_Irr!Z14+s_Irr!BV14)),IF(AND(s_Irr!Z14=".",s_Irr!AX14&lt;&gt;".",s_Irr!BV14&lt;&gt;"."),s_dir!AZ14/((1/1000)*(s_Irr!AX14+s_Irr!BV14)),IF(AND(s_Irr!Z14=".",s_Irr!AX14=".",s_Irr!BV14&lt;&gt;"."),s_dir!AZ14/((1/1000)*(s_Irr!BV14)),IF(AND(s_Irr!Z14=".",s_Irr!AX14&lt;&gt;".",s_Irr!BV14="."),s_dir!AZ14/((1/1000)*(s_Irr!AX14)),IF(AND(s_Irr!Z14&lt;&gt;".",s_Irr!AX14=".",s_Irr!BV14="."),s_dir!AZ14/((1/1000)*(s_Irr!Z14)),IF(AND(s_Irr!Z14=".",s_Irr!AX14=".",s_Irr!BV14="."),s_dir!AZ14*1000)))))))),".")</f>
        <v>2967.8572974121444</v>
      </c>
      <c r="BZ14" s="93">
        <f>SUM(CA14:CB14,CW14:CX14)</f>
        <v>752.60983714500253</v>
      </c>
      <c r="CA14" s="93">
        <f>IFERROR(s_C*s_IFAP_far_adj*s_CF_apple*(1/1000)*(s_Irr!C14+s_Irr!AA14+s_Irr!AY14),".")</f>
        <v>188.15245928625063</v>
      </c>
      <c r="CB14" s="93">
        <f>IFERROR(s_C*s_IFAS_far_adj*s_CF_asparagus*(1/1000)*(s_Irr!D14+s_Irr!AB14+s_Irr!AZ14),".")</f>
        <v>188.15245928625063</v>
      </c>
      <c r="CC14" s="93">
        <f>IFERROR(s_C*s_IFBT_far_adj*s_CF_beet*(1/1000)*(s_Irr!E14+s_Irr!AC14+s_Irr!BA14),".")</f>
        <v>188.15245928625063</v>
      </c>
      <c r="CD14" s="93">
        <f>IFERROR(s_C*s_IFBE_far_adj*s_CF_berries*(1/1000)*(s_Irr!F14+s_Irr!AD14+s_Irr!BB14),".")</f>
        <v>188.15245928625063</v>
      </c>
      <c r="CE14" s="93">
        <f>IFERROR(s_C*s_IFBR_far_adj*s_CF_broccoli*(1/1000)*(s_Irr!G14+s_Irr!AE14+s_Irr!BC14),".")</f>
        <v>188.15245928625063</v>
      </c>
      <c r="CF14" s="93">
        <f>IFERROR(s_C*s_IFCB_far_adj*s_CF_cabbage*(1/1000)*(s_Irr!H14+s_Irr!AF14+s_Irr!BD14),".")</f>
        <v>188.15245928625063</v>
      </c>
      <c r="CG14" s="93">
        <f>IFERROR(s_C*s_IFCR_far_adj*s_CF_carrot*(1/1000)*(s_Irr!I14+s_Irr!AG14+s_Irr!BE14),".")</f>
        <v>188.15245928625063</v>
      </c>
      <c r="CH14" s="93">
        <f>IFERROR(s_C*s_IFCI_far_adj*s_CF_citrus*(1/1000)*(s_Irr!J14+s_Irr!AH14+s_Irr!BF14),".")</f>
        <v>188.15245928625063</v>
      </c>
      <c r="CI14" s="93">
        <f>IFERROR(s_C*s_IFCO_far_adj*s_CF_corn*(1/1000)*(s_Irr!K14+s_Irr!AI14+s_Irr!BG14),".")</f>
        <v>188.15245928625063</v>
      </c>
      <c r="CJ14" s="93">
        <f>IFERROR(s_C*s_IFCU_far_adj*s_CF_cucumber*(1/1000)*(s_Irr!L14+s_Irr!AJ14+s_Irr!BH14),".")</f>
        <v>188.15245928625063</v>
      </c>
      <c r="CK14" s="93">
        <f>IFERROR(s_C*s_IFLE_far_adj*s_CF_lettuce*(1/1000)*(s_Irr!M14+s_Irr!AK14+s_Irr!BI14),".")</f>
        <v>188.15245928625063</v>
      </c>
      <c r="CL14" s="93">
        <f>IFERROR(s_C*s_IFLI_far_adj*s_CF_lima_bean*(1/1000)*(s_Irr!N14+s_Irr!AL14+s_Irr!BJ14),".")</f>
        <v>188.15245928625063</v>
      </c>
      <c r="CM14" s="93">
        <f>IFERROR(s_C*s_IFOK_far_adj*s_CF_okra*(1/1000)*(s_Irr!O14+s_Irr!AM14+s_Irr!BK14),".")</f>
        <v>188.15245928625063</v>
      </c>
      <c r="CN14" s="93">
        <f>IFERROR(s_C*s_IFON_far_adj*s_CF_onion*(1/1000)*(s_Irr!P14+s_Irr!AN14+s_Irr!BL14),".")</f>
        <v>188.15245928625063</v>
      </c>
      <c r="CO14" s="93">
        <f>IFERROR(s_C*s_IFPC_far_adj*s_CF_peach*(1/1000)*(s_Irr!Q14+s_Irr!AO14+s_Irr!BM14),".")</f>
        <v>188.15245928625063</v>
      </c>
      <c r="CP14" s="93">
        <f>IFERROR(s_C*s_IFPR_far_adj*s_CF_pear*(1/1000)*(s_Irr!R14+s_Irr!AP14+s_Irr!BN14),".")</f>
        <v>188.15245928625063</v>
      </c>
      <c r="CQ14" s="93">
        <f>IFERROR(s_C*s_IFPE_far_adj*s_CF_peas*(1/1000)*(s_Irr!S14+s_Irr!AQ14+s_Irr!BO14),".")</f>
        <v>188.15245928625063</v>
      </c>
      <c r="CR14" s="93">
        <f>IFERROR(s_C*s_IFPT_far_adj*s_CF_potato*(1/1000)*(s_Irr!T14+s_Irr!AR14+s_Irr!BP14),".")</f>
        <v>188.15245928625063</v>
      </c>
      <c r="CS14" s="93">
        <f>IFERROR(s_C*s_IFPU_far_adj*s_CF_pumpkin*(1/1000)*(s_Irr!U14+s_Irr!AS14+s_Irr!BQ14),".")</f>
        <v>188.15245928625063</v>
      </c>
      <c r="CT14" s="93">
        <f>IFERROR(s_C*s_IFSN_far_adj*s_CF_snap_bean*(1/1000)*(s_Irr!V14+s_Irr!AT14+s_Irr!BR14),".")</f>
        <v>188.15245928625063</v>
      </c>
      <c r="CU14" s="93">
        <f>IFERROR(s_C*s_IFST_far_adj*s_CF_strawberry*(1/1000)*(s_Irr!W14+s_Irr!AU14+s_Irr!BS14),".")</f>
        <v>188.15245928625063</v>
      </c>
      <c r="CV14" s="93">
        <f>IFERROR(s_C*s_IFTO_far_adj*s_CF_tomato*(1/1000)*(s_Irr!X14+s_Irr!AV14+s_Irr!BT14),".")</f>
        <v>188.15245928625063</v>
      </c>
      <c r="CW14" s="93">
        <f>IFERROR(s_C*s_IFRI_far_adj*s_CF_rice*(1/1000)*(s_Irr!Y14+s_Irr!AW14+s_Irr!BU14),".")</f>
        <v>188.15245928625063</v>
      </c>
      <c r="CX14" s="93">
        <f>IFERROR(s_C*s_IFCG_far_adj*s_CF_cereal*(1/1000)*(s_Irr!Z14+s_Irr!AX14+s_Irr!BV14),".")</f>
        <v>188.15245928625063</v>
      </c>
    </row>
    <row r="15" spans="1:102" ht="15" customHeight="1" x14ac:dyDescent="0.25">
      <c r="A15" s="92" t="s">
        <v>25</v>
      </c>
      <c r="B15" s="90" t="s">
        <v>1074</v>
      </c>
      <c r="C15" s="76">
        <f t="shared" ref="C15:C21" si="18">IFERROR(1/SUM(1/D15,1/E15,1/Z15,1/AA15),".")</f>
        <v>15591.938022441453</v>
      </c>
      <c r="D15" s="76">
        <f>IFERROR(IF(AND(s_Irr!C15&lt;&gt;".",s_Irr!AA15&lt;&gt;".",s_Irr!AY15&lt;&gt;"."),s_dir!D15/((1/1000)*(s_Irr!C15+s_Irr!AA15+s_Irr!AY15)),IF(AND(s_Irr!C15&lt;&gt;".",s_Irr!AA15&lt;&gt;".",s_Irr!AY15="."),s_dir!D15/((1/1000)*(s_Irr!C15+s_Irr!AA15)),IF(AND(s_Irr!C15&lt;&gt;".",s_Irr!AA15=".",s_Irr!AY15&lt;&gt;"."),s_dir!D15/((1/1000)*(s_Irr!C15+s_Irr!AY15)),IF(AND(s_Irr!C15=".",s_Irr!AA15&lt;&gt;".",s_Irr!AY15&lt;&gt;"."),s_dir!D15/((1/1000)*(s_Irr!AA15+s_Irr!AY15)),IF(AND(s_Irr!C15=".",s_Irr!AA15=".",s_Irr!AY15&lt;&gt;"."),s_dir!D15/((1/1000)*(s_Irr!AY15)),IF(AND(s_Irr!C15=".",s_Irr!AA15&lt;&gt;".",s_Irr!AY15="."),s_dir!D15/((1/1000)*(s_Irr!AA15)),IF(AND(s_Irr!C15&lt;&gt;".",s_Irr!AA15=".",s_Irr!AY15="."),s_dir!D15/((1/1000)*(s_Irr!C15)),IF(AND(s_Irr!C15=".",s_Irr!AA15=".",s_Irr!AY15="."),s_dir!D15*1000)))))))),".")</f>
        <v>76244.31698235021</v>
      </c>
      <c r="E15" s="76">
        <f>IFERROR(IF(AND(s_Irr!D15&lt;&gt;".",s_Irr!AB15&lt;&gt;".",s_Irr!AZ15&lt;&gt;"."),s_dir!E15/((1/1000)*(s_Irr!D15+s_Irr!AB15+s_Irr!AZ15)),IF(AND(s_Irr!D15&lt;&gt;".",s_Irr!AB15&lt;&gt;".",s_Irr!AZ15="."),s_dir!E15/((1/1000)*(s_Irr!D15+s_Irr!AB15)),IF(AND(s_Irr!D15&lt;&gt;".",s_Irr!AB15=".",s_Irr!AZ15&lt;&gt;"."),s_dir!E15/((1/1000)*(s_Irr!D15+s_Irr!AZ15)),IF(AND(s_Irr!D15=".",s_Irr!AB15&lt;&gt;".",s_Irr!AZ15&lt;&gt;"."),s_dir!E15/((1/1000)*(s_Irr!AB15+s_Irr!AZ15)),IF(AND(s_Irr!D15=".",s_Irr!AB15=".",s_Irr!AZ15&lt;&gt;"."),s_dir!E15/((1/1000)*(s_Irr!AZ15)),IF(AND(s_Irr!D15=".",s_Irr!AB15&lt;&gt;".",s_Irr!AZ15="."),s_dir!E15/((1/1000)*(s_Irr!AB15)),IF(AND(s_Irr!D15&lt;&gt;".",s_Irr!AB15=".",s_Irr!AZ15="."),s_dir!E15/((1/1000)*(s_Irr!D15)),IF(AND(s_Irr!D15=".",s_Irr!AB15=".",s_Irr!AZ15="."),s_dir!E15*1000)))))))),".")</f>
        <v>37810.9743064137</v>
      </c>
      <c r="F15" s="76">
        <f>IFERROR(IF(AND(s_Irr!E15&lt;&gt;".",s_Irr!AC15&lt;&gt;".",s_Irr!BA15&lt;&gt;"."),s_dir!F15/((1/1000)*(s_Irr!E15+s_Irr!AC15+s_Irr!BA15)),IF(AND(s_Irr!E15&lt;&gt;".",s_Irr!AC15&lt;&gt;".",s_Irr!BA15="."),s_dir!F15/((1/1000)*(s_Irr!E15+s_Irr!AC15)),IF(AND(s_Irr!E15&lt;&gt;".",s_Irr!AC15=".",s_Irr!BA15&lt;&gt;"."),s_dir!F15/((1/1000)*(s_Irr!E15+s_Irr!BA15)),IF(AND(s_Irr!E15=".",s_Irr!AC15&lt;&gt;".",s_Irr!BA15&lt;&gt;"."),s_dir!F15/((1/1000)*(s_Irr!AC15+s_Irr!BA15)),IF(AND(s_Irr!E15=".",s_Irr!AC15=".",s_Irr!BA15&lt;&gt;"."),s_dir!F15/((1/1000)*(s_Irr!BA15)),IF(AND(s_Irr!E15=".",s_Irr!AC15&lt;&gt;".",s_Irr!BA15="."),s_dir!F15/((1/1000)*(s_Irr!AC15)),IF(AND(s_Irr!E15&lt;&gt;".",s_Irr!AC15=".",s_Irr!BA15="."),s_dir!F15/((1/1000)*(s_Irr!E15)),IF(AND(s_Irr!E15=".",s_Irr!AC15=".",s_Irr!BA15="."),s_dir!F15*1000)))))))),".")</f>
        <v>71083.360409571105</v>
      </c>
      <c r="G15" s="76">
        <f>IFERROR(IF(AND(s_Irr!F15&lt;&gt;".",s_Irr!AD15&lt;&gt;".",s_Irr!BB15&lt;&gt;"."),s_dir!G15/((1/1000)*(s_Irr!F15+s_Irr!AD15+s_Irr!BB15)),IF(AND(s_Irr!F15&lt;&gt;".",s_Irr!AD15&lt;&gt;".",s_Irr!BB15="."),s_dir!G15/((1/1000)*(s_Irr!F15+s_Irr!AD15)),IF(AND(s_Irr!F15&lt;&gt;".",s_Irr!AD15=".",s_Irr!BB15&lt;&gt;"."),s_dir!G15/((1/1000)*(s_Irr!F15+s_Irr!BB15)),IF(AND(s_Irr!F15=".",s_Irr!AD15&lt;&gt;".",s_Irr!BB15&lt;&gt;"."),s_dir!G15/((1/1000)*(s_Irr!AD15+s_Irr!BB15)),IF(AND(s_Irr!F15=".",s_Irr!AD15=".",s_Irr!BB15&lt;&gt;"."),s_dir!G15/((1/1000)*(s_Irr!BB15)),IF(AND(s_Irr!F15=".",s_Irr!AD15&lt;&gt;".",s_Irr!BB15="."),s_dir!G15/((1/1000)*(s_Irr!AD15)),IF(AND(s_Irr!F15&lt;&gt;".",s_Irr!AD15=".",s_Irr!BB15="."),s_dir!G15/((1/1000)*(s_Irr!F15)),IF(AND(s_Irr!F15=".",s_Irr!AD15=".",s_Irr!BB15="."),s_dir!G15*1000)))))))),".")</f>
        <v>76244.31698235021</v>
      </c>
      <c r="H15" s="76">
        <f>IFERROR(IF(AND(s_Irr!G15&lt;&gt;".",s_Irr!AE15&lt;&gt;".",s_Irr!BC15&lt;&gt;"."),s_dir!H15/((1/1000)*(s_Irr!G15+s_Irr!AE15+s_Irr!BC15)),IF(AND(s_Irr!G15&lt;&gt;".",s_Irr!AE15&lt;&gt;".",s_Irr!BC15="."),s_dir!H15/((1/1000)*(s_Irr!G15+s_Irr!AE15)),IF(AND(s_Irr!G15&lt;&gt;".",s_Irr!AE15=".",s_Irr!BC15&lt;&gt;"."),s_dir!H15/((1/1000)*(s_Irr!G15+s_Irr!BC15)),IF(AND(s_Irr!G15=".",s_Irr!AE15&lt;&gt;".",s_Irr!BC15&lt;&gt;"."),s_dir!H15/((1/1000)*(s_Irr!AE15+s_Irr!BC15)),IF(AND(s_Irr!G15=".",s_Irr!AE15=".",s_Irr!BC15&lt;&gt;"."),s_dir!H15/((1/1000)*(s_Irr!BC15)),IF(AND(s_Irr!G15=".",s_Irr!AE15&lt;&gt;".",s_Irr!BC15="."),s_dir!H15/((1/1000)*(s_Irr!AE15)),IF(AND(s_Irr!G15&lt;&gt;".",s_Irr!AE15=".",s_Irr!BC15="."),s_dir!H15/((1/1000)*(s_Irr!G15)),IF(AND(s_Irr!G15=".",s_Irr!AE15=".",s_Irr!BC15="."),s_dir!H15*1000)))))))),".")</f>
        <v>71083.360409571105</v>
      </c>
      <c r="I15" s="76">
        <f>IFERROR(IF(AND(s_Irr!H15&lt;&gt;".",s_Irr!AF15&lt;&gt;".",s_Irr!BD15&lt;&gt;"."),s_dir!I15/((1/1000)*(s_Irr!H15+s_Irr!AF15+s_Irr!BD15)),IF(AND(s_Irr!H15&lt;&gt;".",s_Irr!AF15&lt;&gt;".",s_Irr!BD15="."),s_dir!I15/((1/1000)*(s_Irr!H15+s_Irr!AF15)),IF(AND(s_Irr!H15&lt;&gt;".",s_Irr!AF15=".",s_Irr!BD15&lt;&gt;"."),s_dir!I15/((1/1000)*(s_Irr!H15+s_Irr!BD15)),IF(AND(s_Irr!H15=".",s_Irr!AF15&lt;&gt;".",s_Irr!BD15&lt;&gt;"."),s_dir!I15/((1/1000)*(s_Irr!AF15+s_Irr!BD15)),IF(AND(s_Irr!H15=".",s_Irr!AF15=".",s_Irr!BD15&lt;&gt;"."),s_dir!I15/((1/1000)*(s_Irr!BD15)),IF(AND(s_Irr!H15=".",s_Irr!AF15&lt;&gt;".",s_Irr!BD15="."),s_dir!I15/((1/1000)*(s_Irr!AF15)),IF(AND(s_Irr!H15&lt;&gt;".",s_Irr!AF15=".",s_Irr!BD15="."),s_dir!I15/((1/1000)*(s_Irr!H15)),IF(AND(s_Irr!H15=".",s_Irr!AF15=".",s_Irr!BD15="."),s_dir!I15*1000)))))))),".")</f>
        <v>37810.9743064137</v>
      </c>
      <c r="J15" s="76">
        <f>IFERROR(IF(AND(s_Irr!I15&lt;&gt;".",s_Irr!AG15&lt;&gt;".",s_Irr!BE15&lt;&gt;"."),s_dir!J15/((1/1000)*(s_Irr!I15+s_Irr!AG15+s_Irr!BE15)),IF(AND(s_Irr!I15&lt;&gt;".",s_Irr!AG15&lt;&gt;".",s_Irr!BE15="."),s_dir!J15/((1/1000)*(s_Irr!I15+s_Irr!AG15)),IF(AND(s_Irr!I15&lt;&gt;".",s_Irr!AG15=".",s_Irr!BE15&lt;&gt;"."),s_dir!J15/((1/1000)*(s_Irr!I15+s_Irr!BE15)),IF(AND(s_Irr!I15=".",s_Irr!AG15&lt;&gt;".",s_Irr!BE15&lt;&gt;"."),s_dir!J15/((1/1000)*(s_Irr!AG15+s_Irr!BE15)),IF(AND(s_Irr!I15=".",s_Irr!AG15=".",s_Irr!BE15&lt;&gt;"."),s_dir!J15/((1/1000)*(s_Irr!BE15)),IF(AND(s_Irr!I15=".",s_Irr!AG15&lt;&gt;".",s_Irr!BE15="."),s_dir!J15/((1/1000)*(s_Irr!AG15)),IF(AND(s_Irr!I15&lt;&gt;".",s_Irr!AG15=".",s_Irr!BE15="."),s_dir!J15/((1/1000)*(s_Irr!I15)),IF(AND(s_Irr!I15=".",s_Irr!AG15=".",s_Irr!BE15="."),s_dir!J15*1000)))))))),".")</f>
        <v>71083.360409571105</v>
      </c>
      <c r="K15" s="76">
        <f>IFERROR(IF(AND(s_Irr!J15&lt;&gt;".",s_Irr!AH15&lt;&gt;".",s_Irr!BF15&lt;&gt;"."),s_dir!K15/((1/1000)*(s_Irr!J15+s_Irr!AH15+s_Irr!BF15)),IF(AND(s_Irr!J15&lt;&gt;".",s_Irr!AH15&lt;&gt;".",s_Irr!BF15="."),s_dir!K15/((1/1000)*(s_Irr!J15+s_Irr!AH15)),IF(AND(s_Irr!J15&lt;&gt;".",s_Irr!AH15=".",s_Irr!BF15&lt;&gt;"."),s_dir!K15/((1/1000)*(s_Irr!J15+s_Irr!BF15)),IF(AND(s_Irr!J15=".",s_Irr!AH15&lt;&gt;".",s_Irr!BF15&lt;&gt;"."),s_dir!K15/((1/1000)*(s_Irr!AH15+s_Irr!BF15)),IF(AND(s_Irr!J15=".",s_Irr!AH15=".",s_Irr!BF15&lt;&gt;"."),s_dir!K15/((1/1000)*(s_Irr!BF15)),IF(AND(s_Irr!J15=".",s_Irr!AH15&lt;&gt;".",s_Irr!BF15="."),s_dir!K15/((1/1000)*(s_Irr!AH15)),IF(AND(s_Irr!J15&lt;&gt;".",s_Irr!AH15=".",s_Irr!BF15="."),s_dir!K15/((1/1000)*(s_Irr!J15)),IF(AND(s_Irr!J15=".",s_Irr!AH15=".",s_Irr!BF15="."),s_dir!K15*1000)))))))),".")</f>
        <v>76244.31698235021</v>
      </c>
      <c r="L15" s="76">
        <f>IFERROR(IF(AND(s_Irr!K15&lt;&gt;".",s_Irr!AI15&lt;&gt;".",s_Irr!BG15&lt;&gt;"."),s_dir!L15/((1/1000)*(s_Irr!K15+s_Irr!AI15+s_Irr!BG15)),IF(AND(s_Irr!K15&lt;&gt;".",s_Irr!AI15&lt;&gt;".",s_Irr!BG15="."),s_dir!L15/((1/1000)*(s_Irr!K15+s_Irr!AI15)),IF(AND(s_Irr!K15&lt;&gt;".",s_Irr!AI15=".",s_Irr!BG15&lt;&gt;"."),s_dir!L15/((1/1000)*(s_Irr!K15+s_Irr!BG15)),IF(AND(s_Irr!K15=".",s_Irr!AI15&lt;&gt;".",s_Irr!BG15&lt;&gt;"."),s_dir!L15/((1/1000)*(s_Irr!AI15+s_Irr!BG15)),IF(AND(s_Irr!K15=".",s_Irr!AI15=".",s_Irr!BG15&lt;&gt;"."),s_dir!L15/((1/1000)*(s_Irr!BG15)),IF(AND(s_Irr!K15=".",s_Irr!AI15&lt;&gt;".",s_Irr!BG15="."),s_dir!L15/((1/1000)*(s_Irr!AI15)),IF(AND(s_Irr!K15&lt;&gt;".",s_Irr!AI15=".",s_Irr!BG15="."),s_dir!L15/((1/1000)*(s_Irr!K15)),IF(AND(s_Irr!K15=".",s_Irr!AI15=".",s_Irr!BG15="."),s_dir!L15*1000)))))))),".")</f>
        <v>87414.444293269669</v>
      </c>
      <c r="M15" s="76">
        <f>IFERROR(IF(AND(s_Irr!L15&lt;&gt;".",s_Irr!AJ15&lt;&gt;".",s_Irr!BH15&lt;&gt;"."),s_dir!M15/((1/1000)*(s_Irr!L15+s_Irr!AJ15+s_Irr!BH15)),IF(AND(s_Irr!L15&lt;&gt;".",s_Irr!AJ15&lt;&gt;".",s_Irr!BH15="."),s_dir!M15/((1/1000)*(s_Irr!L15+s_Irr!AJ15)),IF(AND(s_Irr!L15&lt;&gt;".",s_Irr!AJ15=".",s_Irr!BH15&lt;&gt;"."),s_dir!M15/((1/1000)*(s_Irr!L15+s_Irr!BH15)),IF(AND(s_Irr!L15=".",s_Irr!AJ15&lt;&gt;".",s_Irr!BH15&lt;&gt;"."),s_dir!M15/((1/1000)*(s_Irr!AJ15+s_Irr!BH15)),IF(AND(s_Irr!L15=".",s_Irr!AJ15=".",s_Irr!BH15&lt;&gt;"."),s_dir!M15/((1/1000)*(s_Irr!BH15)),IF(AND(s_Irr!L15=".",s_Irr!AJ15&lt;&gt;".",s_Irr!BH15="."),s_dir!M15/((1/1000)*(s_Irr!AJ15)),IF(AND(s_Irr!L15&lt;&gt;".",s_Irr!AJ15=".",s_Irr!BH15="."),s_dir!M15/((1/1000)*(s_Irr!L15)),IF(AND(s_Irr!L15=".",s_Irr!AJ15=".",s_Irr!BH15="."),s_dir!M15*1000)))))))),".")</f>
        <v>71083.360409571105</v>
      </c>
      <c r="N15" s="76">
        <f>IFERROR(IF(AND(s_Irr!M15&lt;&gt;".",s_Irr!AK15&lt;&gt;".",s_Irr!BI15&lt;&gt;"."),s_dir!N15/((1/1000)*(s_Irr!M15+s_Irr!AK15+s_Irr!BI15)),IF(AND(s_Irr!M15&lt;&gt;".",s_Irr!AK15&lt;&gt;".",s_Irr!BI15="."),s_dir!N15/((1/1000)*(s_Irr!M15+s_Irr!AK15)),IF(AND(s_Irr!M15&lt;&gt;".",s_Irr!AK15=".",s_Irr!BI15&lt;&gt;"."),s_dir!N15/((1/1000)*(s_Irr!M15+s_Irr!BI15)),IF(AND(s_Irr!M15=".",s_Irr!AK15&lt;&gt;".",s_Irr!BI15&lt;&gt;"."),s_dir!N15/((1/1000)*(s_Irr!AK15+s_Irr!BI15)),IF(AND(s_Irr!M15=".",s_Irr!AK15=".",s_Irr!BI15&lt;&gt;"."),s_dir!N15/((1/1000)*(s_Irr!BI15)),IF(AND(s_Irr!M15=".",s_Irr!AK15&lt;&gt;".",s_Irr!BI15="."),s_dir!N15/((1/1000)*(s_Irr!AK15)),IF(AND(s_Irr!M15&lt;&gt;".",s_Irr!AK15=".",s_Irr!BI15="."),s_dir!N15/((1/1000)*(s_Irr!M15)),IF(AND(s_Irr!M15=".",s_Irr!AK15=".",s_Irr!BI15="."),s_dir!N15*1000)))))))),".")</f>
        <v>37810.9743064137</v>
      </c>
      <c r="O15" s="76">
        <f>IFERROR(IF(AND(s_Irr!N15&lt;&gt;".",s_Irr!AL15&lt;&gt;".",s_Irr!BJ15&lt;&gt;"."),s_dir!O15/((1/1000)*(s_Irr!N15+s_Irr!AL15+s_Irr!BJ15)),IF(AND(s_Irr!N15&lt;&gt;".",s_Irr!AL15&lt;&gt;".",s_Irr!BJ15="."),s_dir!O15/((1/1000)*(s_Irr!N15+s_Irr!AL15)),IF(AND(s_Irr!N15&lt;&gt;".",s_Irr!AL15=".",s_Irr!BJ15&lt;&gt;"."),s_dir!O15/((1/1000)*(s_Irr!N15+s_Irr!BJ15)),IF(AND(s_Irr!N15=".",s_Irr!AL15&lt;&gt;".",s_Irr!BJ15&lt;&gt;"."),s_dir!O15/((1/1000)*(s_Irr!AL15+s_Irr!BJ15)),IF(AND(s_Irr!N15=".",s_Irr!AL15=".",s_Irr!BJ15&lt;&gt;"."),s_dir!O15/((1/1000)*(s_Irr!BJ15)),IF(AND(s_Irr!N15=".",s_Irr!AL15&lt;&gt;".",s_Irr!BJ15="."),s_dir!O15/((1/1000)*(s_Irr!AL15)),IF(AND(s_Irr!N15&lt;&gt;".",s_Irr!AL15=".",s_Irr!BJ15="."),s_dir!O15/((1/1000)*(s_Irr!N15)),IF(AND(s_Irr!N15=".",s_Irr!AL15=".",s_Irr!BJ15="."),s_dir!O15*1000)))))))),".")</f>
        <v>81828.983765468161</v>
      </c>
      <c r="P15" s="76">
        <f>IFERROR(IF(AND(s_Irr!O15&lt;&gt;".",s_Irr!AM15&lt;&gt;".",s_Irr!BK15&lt;&gt;"."),s_dir!P15/((1/1000)*(s_Irr!O15+s_Irr!AM15+s_Irr!BK15)),IF(AND(s_Irr!O15&lt;&gt;".",s_Irr!AM15&lt;&gt;".",s_Irr!BK15="."),s_dir!P15/((1/1000)*(s_Irr!O15+s_Irr!AM15)),IF(AND(s_Irr!O15&lt;&gt;".",s_Irr!AM15=".",s_Irr!BK15&lt;&gt;"."),s_dir!P15/((1/1000)*(s_Irr!O15+s_Irr!BK15)),IF(AND(s_Irr!O15=".",s_Irr!AM15&lt;&gt;".",s_Irr!BK15&lt;&gt;"."),s_dir!P15/((1/1000)*(s_Irr!AM15+s_Irr!BK15)),IF(AND(s_Irr!O15=".",s_Irr!AM15=".",s_Irr!BK15&lt;&gt;"."),s_dir!P15/((1/1000)*(s_Irr!BK15)),IF(AND(s_Irr!O15=".",s_Irr!AM15&lt;&gt;".",s_Irr!BK15="."),s_dir!P15/((1/1000)*(s_Irr!AM15)),IF(AND(s_Irr!O15&lt;&gt;".",s_Irr!AM15=".",s_Irr!BK15="."),s_dir!P15/((1/1000)*(s_Irr!O15)),IF(AND(s_Irr!O15=".",s_Irr!AM15=".",s_Irr!BK15="."),s_dir!P15*1000)))))))),".")</f>
        <v>71083.360409571105</v>
      </c>
      <c r="Q15" s="76">
        <f>IFERROR(IF(AND(s_Irr!P15&lt;&gt;".",s_Irr!AN15&lt;&gt;".",s_Irr!BL15&lt;&gt;"."),s_dir!Q15/((1/1000)*(s_Irr!P15+s_Irr!AN15+s_Irr!BL15)),IF(AND(s_Irr!P15&lt;&gt;".",s_Irr!AN15&lt;&gt;".",s_Irr!BL15="."),s_dir!Q15/((1/1000)*(s_Irr!P15+s_Irr!AN15)),IF(AND(s_Irr!P15&lt;&gt;".",s_Irr!AN15=".",s_Irr!BL15&lt;&gt;"."),s_dir!Q15/((1/1000)*(s_Irr!P15+s_Irr!BL15)),IF(AND(s_Irr!P15=".",s_Irr!AN15&lt;&gt;".",s_Irr!BL15&lt;&gt;"."),s_dir!Q15/((1/1000)*(s_Irr!AN15+s_Irr!BL15)),IF(AND(s_Irr!P15=".",s_Irr!AN15=".",s_Irr!BL15&lt;&gt;"."),s_dir!Q15/((1/1000)*(s_Irr!BL15)),IF(AND(s_Irr!P15=".",s_Irr!AN15&lt;&gt;".",s_Irr!BL15="."),s_dir!Q15/((1/1000)*(s_Irr!AN15)),IF(AND(s_Irr!P15&lt;&gt;".",s_Irr!AN15=".",s_Irr!BL15="."),s_dir!Q15/((1/1000)*(s_Irr!P15)),IF(AND(s_Irr!P15=".",s_Irr!AN15=".",s_Irr!BL15="."),s_dir!Q15*1000)))))))),".")</f>
        <v>71083.360409571105</v>
      </c>
      <c r="R15" s="76">
        <f>IFERROR(IF(AND(s_Irr!Q15&lt;&gt;".",s_Irr!AO15&lt;&gt;".",s_Irr!BM15&lt;&gt;"."),s_dir!R15/((1/1000)*(s_Irr!Q15+s_Irr!AO15+s_Irr!BM15)),IF(AND(s_Irr!Q15&lt;&gt;".",s_Irr!AO15&lt;&gt;".",s_Irr!BM15="."),s_dir!R15/((1/1000)*(s_Irr!Q15+s_Irr!AO15)),IF(AND(s_Irr!Q15&lt;&gt;".",s_Irr!AO15=".",s_Irr!BM15&lt;&gt;"."),s_dir!R15/((1/1000)*(s_Irr!Q15+s_Irr!BM15)),IF(AND(s_Irr!Q15=".",s_Irr!AO15&lt;&gt;".",s_Irr!BM15&lt;&gt;"."),s_dir!R15/((1/1000)*(s_Irr!AO15+s_Irr!BM15)),IF(AND(s_Irr!Q15=".",s_Irr!AO15=".",s_Irr!BM15&lt;&gt;"."),s_dir!R15/((1/1000)*(s_Irr!BM15)),IF(AND(s_Irr!Q15=".",s_Irr!AO15&lt;&gt;".",s_Irr!BM15="."),s_dir!R15/((1/1000)*(s_Irr!AO15)),IF(AND(s_Irr!Q15&lt;&gt;".",s_Irr!AO15=".",s_Irr!BM15="."),s_dir!R15/((1/1000)*(s_Irr!Q15)),IF(AND(s_Irr!Q15=".",s_Irr!AO15=".",s_Irr!BM15="."),s_dir!R15*1000)))))))),".")</f>
        <v>76244.31698235021</v>
      </c>
      <c r="S15" s="76">
        <f>IFERROR(IF(AND(s_Irr!R15&lt;&gt;".",s_Irr!AP15&lt;&gt;".",s_Irr!BN15&lt;&gt;"."),s_dir!S15/((1/1000)*(s_Irr!R15+s_Irr!AP15+s_Irr!BN15)),IF(AND(s_Irr!R15&lt;&gt;".",s_Irr!AP15&lt;&gt;".",s_Irr!BN15="."),s_dir!S15/((1/1000)*(s_Irr!R15+s_Irr!AP15)),IF(AND(s_Irr!R15&lt;&gt;".",s_Irr!AP15=".",s_Irr!BN15&lt;&gt;"."),s_dir!S15/((1/1000)*(s_Irr!R15+s_Irr!BN15)),IF(AND(s_Irr!R15=".",s_Irr!AP15&lt;&gt;".",s_Irr!BN15&lt;&gt;"."),s_dir!S15/((1/1000)*(s_Irr!AP15+s_Irr!BN15)),IF(AND(s_Irr!R15=".",s_Irr!AP15=".",s_Irr!BN15&lt;&gt;"."),s_dir!S15/((1/1000)*(s_Irr!BN15)),IF(AND(s_Irr!R15=".",s_Irr!AP15&lt;&gt;".",s_Irr!BN15="."),s_dir!S15/((1/1000)*(s_Irr!AP15)),IF(AND(s_Irr!R15&lt;&gt;".",s_Irr!AP15=".",s_Irr!BN15="."),s_dir!S15/((1/1000)*(s_Irr!R15)),IF(AND(s_Irr!R15=".",s_Irr!AP15=".",s_Irr!BN15="."),s_dir!S15*1000)))))))),".")</f>
        <v>76244.31698235021</v>
      </c>
      <c r="T15" s="76">
        <f>IFERROR(IF(AND(s_Irr!S15&lt;&gt;".",s_Irr!AQ15&lt;&gt;".",s_Irr!BO15&lt;&gt;"."),s_dir!T15/((1/1000)*(s_Irr!S15+s_Irr!AQ15+s_Irr!BO15)),IF(AND(s_Irr!S15&lt;&gt;".",s_Irr!AQ15&lt;&gt;".",s_Irr!BO15="."),s_dir!T15/((1/1000)*(s_Irr!S15+s_Irr!AQ15)),IF(AND(s_Irr!S15&lt;&gt;".",s_Irr!AQ15=".",s_Irr!BO15&lt;&gt;"."),s_dir!T15/((1/1000)*(s_Irr!S15+s_Irr!BO15)),IF(AND(s_Irr!S15=".",s_Irr!AQ15&lt;&gt;".",s_Irr!BO15&lt;&gt;"."),s_dir!T15/((1/1000)*(s_Irr!AQ15+s_Irr!BO15)),IF(AND(s_Irr!S15=".",s_Irr!AQ15=".",s_Irr!BO15&lt;&gt;"."),s_dir!T15/((1/1000)*(s_Irr!BO15)),IF(AND(s_Irr!S15=".",s_Irr!AQ15&lt;&gt;".",s_Irr!BO15="."),s_dir!T15/((1/1000)*(s_Irr!AQ15)),IF(AND(s_Irr!S15&lt;&gt;".",s_Irr!AQ15=".",s_Irr!BO15="."),s_dir!T15/((1/1000)*(s_Irr!S15)),IF(AND(s_Irr!S15=".",s_Irr!AQ15=".",s_Irr!BO15="."),s_dir!T15*1000)))))))),".")</f>
        <v>81828.983765468161</v>
      </c>
      <c r="U15" s="76">
        <f>IFERROR(IF(AND(s_Irr!T15&lt;&gt;".",s_Irr!AR15&lt;&gt;".",s_Irr!BP15&lt;&gt;"."),s_dir!U15/((1/1000)*(s_Irr!T15+s_Irr!AR15+s_Irr!BP15)),IF(AND(s_Irr!T15&lt;&gt;".",s_Irr!AR15&lt;&gt;".",s_Irr!BP15="."),s_dir!U15/((1/1000)*(s_Irr!T15+s_Irr!AR15)),IF(AND(s_Irr!T15&lt;&gt;".",s_Irr!AR15=".",s_Irr!BP15&lt;&gt;"."),s_dir!U15/((1/1000)*(s_Irr!T15+s_Irr!BP15)),IF(AND(s_Irr!T15=".",s_Irr!AR15&lt;&gt;".",s_Irr!BP15&lt;&gt;"."),s_dir!U15/((1/1000)*(s_Irr!AR15+s_Irr!BP15)),IF(AND(s_Irr!T15=".",s_Irr!AR15=".",s_Irr!BP15&lt;&gt;"."),s_dir!U15/((1/1000)*(s_Irr!BP15)),IF(AND(s_Irr!T15=".",s_Irr!AR15&lt;&gt;".",s_Irr!BP15="."),s_dir!U15/((1/1000)*(s_Irr!AR15)),IF(AND(s_Irr!T15&lt;&gt;".",s_Irr!AR15=".",s_Irr!BP15="."),s_dir!U15/((1/1000)*(s_Irr!T15)),IF(AND(s_Irr!T15=".",s_Irr!AR15=".",s_Irr!BP15="."),s_dir!U15*1000)))))))),".")</f>
        <v>86980.025347629256</v>
      </c>
      <c r="V15" s="76">
        <f>IFERROR(IF(AND(s_Irr!U15&lt;&gt;".",s_Irr!AS15&lt;&gt;".",s_Irr!BQ15&lt;&gt;"."),s_dir!V15/((1/1000)*(s_Irr!U15+s_Irr!AS15+s_Irr!BQ15)),IF(AND(s_Irr!U15&lt;&gt;".",s_Irr!AS15&lt;&gt;".",s_Irr!BQ15="."),s_dir!V15/((1/1000)*(s_Irr!U15+s_Irr!AS15)),IF(AND(s_Irr!U15&lt;&gt;".",s_Irr!AS15=".",s_Irr!BQ15&lt;&gt;"."),s_dir!V15/((1/1000)*(s_Irr!U15+s_Irr!BQ15)),IF(AND(s_Irr!U15=".",s_Irr!AS15&lt;&gt;".",s_Irr!BQ15&lt;&gt;"."),s_dir!V15/((1/1000)*(s_Irr!AS15+s_Irr!BQ15)),IF(AND(s_Irr!U15=".",s_Irr!AS15=".",s_Irr!BQ15&lt;&gt;"."),s_dir!V15/((1/1000)*(s_Irr!BQ15)),IF(AND(s_Irr!U15=".",s_Irr!AS15&lt;&gt;".",s_Irr!BQ15="."),s_dir!V15/((1/1000)*(s_Irr!AS15)),IF(AND(s_Irr!U15&lt;&gt;".",s_Irr!AS15=".",s_Irr!BQ15="."),s_dir!V15/((1/1000)*(s_Irr!U15)),IF(AND(s_Irr!U15=".",s_Irr!AS15=".",s_Irr!BQ15="."),s_dir!V15*1000)))))))),".")</f>
        <v>71083.360409571105</v>
      </c>
      <c r="W15" s="76">
        <f>IFERROR(IF(AND(s_Irr!V15&lt;&gt;".",s_Irr!AT15&lt;&gt;".",s_Irr!BR15&lt;&gt;"."),s_dir!W15/((1/1000)*(s_Irr!V15+s_Irr!AT15+s_Irr!BR15)),IF(AND(s_Irr!V15&lt;&gt;".",s_Irr!AT15&lt;&gt;".",s_Irr!BR15="."),s_dir!W15/((1/1000)*(s_Irr!V15+s_Irr!AT15)),IF(AND(s_Irr!V15&lt;&gt;".",s_Irr!AT15=".",s_Irr!BR15&lt;&gt;"."),s_dir!W15/((1/1000)*(s_Irr!V15+s_Irr!BR15)),IF(AND(s_Irr!V15=".",s_Irr!AT15&lt;&gt;".",s_Irr!BR15&lt;&gt;"."),s_dir!W15/((1/1000)*(s_Irr!AT15+s_Irr!BR15)),IF(AND(s_Irr!V15=".",s_Irr!AT15=".",s_Irr!BR15&lt;&gt;"."),s_dir!W15/((1/1000)*(s_Irr!BR15)),IF(AND(s_Irr!V15=".",s_Irr!AT15&lt;&gt;".",s_Irr!BR15="."),s_dir!W15/((1/1000)*(s_Irr!AT15)),IF(AND(s_Irr!V15&lt;&gt;".",s_Irr!AT15=".",s_Irr!BR15="."),s_dir!W15/((1/1000)*(s_Irr!V15)),IF(AND(s_Irr!V15=".",s_Irr!AT15=".",s_Irr!BR15="."),s_dir!W15*1000)))))))),".")</f>
        <v>81828.983765468161</v>
      </c>
      <c r="X15" s="76">
        <f>IFERROR(IF(AND(s_Irr!W15&lt;&gt;".",s_Irr!AU15&lt;&gt;".",s_Irr!BS15&lt;&gt;"."),s_dir!X15/((1/1000)*(s_Irr!W15+s_Irr!AU15+s_Irr!BS15)),IF(AND(s_Irr!W15&lt;&gt;".",s_Irr!AU15&lt;&gt;".",s_Irr!BS15="."),s_dir!X15/((1/1000)*(s_Irr!W15+s_Irr!AU15)),IF(AND(s_Irr!W15&lt;&gt;".",s_Irr!AU15=".",s_Irr!BS15&lt;&gt;"."),s_dir!X15/((1/1000)*(s_Irr!W15+s_Irr!BS15)),IF(AND(s_Irr!W15=".",s_Irr!AU15&lt;&gt;".",s_Irr!BS15&lt;&gt;"."),s_dir!X15/((1/1000)*(s_Irr!AU15+s_Irr!BS15)),IF(AND(s_Irr!W15=".",s_Irr!AU15=".",s_Irr!BS15&lt;&gt;"."),s_dir!X15/((1/1000)*(s_Irr!BS15)),IF(AND(s_Irr!W15=".",s_Irr!AU15&lt;&gt;".",s_Irr!BS15="."),s_dir!X15/((1/1000)*(s_Irr!AU15)),IF(AND(s_Irr!W15&lt;&gt;".",s_Irr!AU15=".",s_Irr!BS15="."),s_dir!X15/((1/1000)*(s_Irr!W15)),IF(AND(s_Irr!W15=".",s_Irr!AU15=".",s_Irr!BS15="."),s_dir!X15*1000)))))))),".")</f>
        <v>76244.31698235021</v>
      </c>
      <c r="Y15" s="76">
        <f>IFERROR(IF(AND(s_Irr!X15&lt;&gt;".",s_Irr!AV15&lt;&gt;".",s_Irr!BT15&lt;&gt;"."),s_dir!Y15/((1/1000)*(s_Irr!X15+s_Irr!AV15+s_Irr!BT15)),IF(AND(s_Irr!X15&lt;&gt;".",s_Irr!AV15&lt;&gt;".",s_Irr!BT15="."),s_dir!Y15/((1/1000)*(s_Irr!X15+s_Irr!AV15)),IF(AND(s_Irr!X15&lt;&gt;".",s_Irr!AV15=".",s_Irr!BT15&lt;&gt;"."),s_dir!Y15/((1/1000)*(s_Irr!X15+s_Irr!BT15)),IF(AND(s_Irr!X15=".",s_Irr!AV15&lt;&gt;".",s_Irr!BT15&lt;&gt;"."),s_dir!Y15/((1/1000)*(s_Irr!AV15+s_Irr!BT15)),IF(AND(s_Irr!X15=".",s_Irr!AV15=".",s_Irr!BT15&lt;&gt;"."),s_dir!Y15/((1/1000)*(s_Irr!BT15)),IF(AND(s_Irr!X15=".",s_Irr!AV15&lt;&gt;".",s_Irr!BT15="."),s_dir!Y15/((1/1000)*(s_Irr!AV15)),IF(AND(s_Irr!X15&lt;&gt;".",s_Irr!AV15=".",s_Irr!BT15="."),s_dir!Y15/((1/1000)*(s_Irr!X15)),IF(AND(s_Irr!X15=".",s_Irr!AV15=".",s_Irr!BT15="."),s_dir!Y15*1000)))))))),".")</f>
        <v>71083.360409571105</v>
      </c>
      <c r="Z15" s="76">
        <f>IFERROR(IF(AND(s_Irr!Y15&lt;&gt;".",s_Irr!AW15&lt;&gt;".",s_Irr!BU15&lt;&gt;"."),s_dir!Z15/((1/1000)*(s_Irr!Y15+s_Irr!AW15+s_Irr!BU15)),IF(AND(s_Irr!Y15&lt;&gt;".",s_Irr!AW15&lt;&gt;".",s_Irr!BU15="."),s_dir!Z15/((1/1000)*(s_Irr!Y15+s_Irr!AW15)),IF(AND(s_Irr!Y15&lt;&gt;".",s_Irr!AW15=".",s_Irr!BU15&lt;&gt;"."),s_dir!Z15/((1/1000)*(s_Irr!Y15+s_Irr!BU15)),IF(AND(s_Irr!Y15=".",s_Irr!AW15&lt;&gt;".",s_Irr!BU15&lt;&gt;"."),s_dir!Z15/((1/1000)*(s_Irr!AW15+s_Irr!BU15)),IF(AND(s_Irr!Y15=".",s_Irr!AW15=".",s_Irr!BU15&lt;&gt;"."),s_dir!Z15/((1/1000)*(s_Irr!BU15)),IF(AND(s_Irr!Y15=".",s_Irr!AW15&lt;&gt;".",s_Irr!BU15="."),s_dir!Z15/((1/1000)*(s_Irr!AW15)),IF(AND(s_Irr!Y15&lt;&gt;".",s_Irr!AW15=".",s_Irr!BU15="."),s_dir!Z15/((1/1000)*(s_Irr!Y15)),IF(AND(s_Irr!Y15=".",s_Irr!AW15=".",s_Irr!BU15="."),s_dir!Z15*1000)))))))),".")</f>
        <v>88759.135071209021</v>
      </c>
      <c r="AA15" s="76">
        <f>IFERROR(IF(AND(s_Irr!Z15&lt;&gt;".",s_Irr!AX15&lt;&gt;".",s_Irr!BV15&lt;&gt;"."),s_dir!AA15/((1/1000)*(s_Irr!Z15+s_Irr!AX15+s_Irr!BV15)),IF(AND(s_Irr!Z15&lt;&gt;".",s_Irr!AX15&lt;&gt;".",s_Irr!BV15="."),s_dir!AA15/((1/1000)*(s_Irr!Z15+s_Irr!AX15)),IF(AND(s_Irr!Z15&lt;&gt;".",s_Irr!AX15=".",s_Irr!BV15&lt;&gt;"."),s_dir!AA15/((1/1000)*(s_Irr!Z15+s_Irr!BV15)),IF(AND(s_Irr!Z15=".",s_Irr!AX15&lt;&gt;".",s_Irr!BV15&lt;&gt;"."),s_dir!AA15/((1/1000)*(s_Irr!AX15+s_Irr!BV15)),IF(AND(s_Irr!Z15=".",s_Irr!AX15=".",s_Irr!BV15&lt;&gt;"."),s_dir!AA15/((1/1000)*(s_Irr!BV15)),IF(AND(s_Irr!Z15=".",s_Irr!AX15&lt;&gt;".",s_Irr!BV15="."),s_dir!AA15/((1/1000)*(s_Irr!AX15)),IF(AND(s_Irr!Z15&lt;&gt;".",s_Irr!AX15=".",s_Irr!BV15="."),s_dir!AA15/((1/1000)*(s_Irr!Z15)),IF(AND(s_Irr!Z15=".",s_Irr!AX15=".",s_Irr!BV15="."),s_dir!AA15*1000)))))))),".")</f>
        <v>75153.030569199269</v>
      </c>
      <c r="AB15" s="93">
        <f t="shared" ref="AB15:AB16" si="19">SUM(AC15:AD15,AY15:AZ15)</f>
        <v>920.06238904888528</v>
      </c>
      <c r="AC15" s="93">
        <f>IFERROR(s_C*s_IFAP_res_adj*s_CF_apple*0.001*(s_Irr!C15+s_Irr!AA15+s_Irr!AY15),".")</f>
        <v>188.15245928625063</v>
      </c>
      <c r="AD15" s="93">
        <f>IFERROR(s_C*s_IFAS_res_adj*s_CF_asparagus*0.001*(s_Irr!D15+s_Irr!AB15+s_Irr!AZ15),".")</f>
        <v>379.40190672093479</v>
      </c>
      <c r="AE15" s="93">
        <f>IFERROR(s_C*s_IFBT_res_adj*s_CF_beet*0.001*(s_Irr!E15+s_Irr!AC15+s_Irr!BA15),".")</f>
        <v>201.81313410301377</v>
      </c>
      <c r="AF15" s="93">
        <f>IFERROR(s_C*s_IFBE_res_adj*s_CF_berries*0.001*(s_Irr!F15+s_Irr!AD15+s_Irr!BB15),".")</f>
        <v>188.15245928625063</v>
      </c>
      <c r="AG15" s="93">
        <f>IFERROR(s_C*s_IFBR_res_adj*s_CF_broccoli*0.001*(s_Irr!G15+s_Irr!AE15+s_Irr!BC15),".")</f>
        <v>201.81313410301377</v>
      </c>
      <c r="AH15" s="93">
        <f>IFERROR(s_C*s_IFCB_res_adj*s_CF_cabbage*0.001*(s_Irr!H15+s_Irr!AF15+s_Irr!BD15),".")</f>
        <v>379.40190672093479</v>
      </c>
      <c r="AI15" s="93">
        <f>IFERROR(s_C*s_IFCR_res_adj*s_CF_carrot*0.001*(s_Irr!I15+s_Irr!AG15+s_Irr!BE15),".")</f>
        <v>201.81313410301377</v>
      </c>
      <c r="AJ15" s="93">
        <f>IFERROR(s_C*s_IFCI_res_adj*s_CF_citrus*0.001*(s_Irr!J15+s_Irr!AH15+s_Irr!BF15),".")</f>
        <v>188.15245928625063</v>
      </c>
      <c r="AK15" s="93">
        <f>IFERROR(s_C*s_IFCO_res_adj*s_CF_corn*0.001*(s_Irr!K15+s_Irr!AI15+s_Irr!BG15),".")</f>
        <v>164.10967160874748</v>
      </c>
      <c r="AL15" s="93">
        <f>IFERROR(s_C*s_IFCU_res_adj*s_CF_cucumber*0.001*(s_Irr!L15+s_Irr!AJ15+s_Irr!BH15),".")</f>
        <v>201.81313410301377</v>
      </c>
      <c r="AM15" s="93">
        <f>IFERROR(s_C*s_IFLE_res_adj*s_CF_lettuce*0.001*(s_Irr!M15+s_Irr!AK15+s_Irr!BI15),".")</f>
        <v>379.40190672093479</v>
      </c>
      <c r="AN15" s="93">
        <f>IFERROR(s_C*s_IFLI_res_adj*s_CF_lima_bean*0.001*(s_Irr!N15+s_Irr!AL15+s_Irr!BJ15),".")</f>
        <v>175.31142495849323</v>
      </c>
      <c r="AO15" s="93">
        <f>IFERROR(s_C*s_IFOK_res_adj*s_CF_okra*0.001*(s_Irr!O15+s_Irr!AM15+s_Irr!BK15),".")</f>
        <v>201.81313410301377</v>
      </c>
      <c r="AP15" s="93">
        <f>IFERROR(s_C*s_IFON_res_adj*s_CF_onion*0.001*(s_Irr!P15+s_Irr!AN15+s_Irr!BL15),".")</f>
        <v>201.81313410301377</v>
      </c>
      <c r="AQ15" s="93">
        <f>IFERROR(s_C*s_IFPC_res_adj*s_CF_peach*0.001*(s_Irr!Q15+s_Irr!AO15+s_Irr!BM15),".")</f>
        <v>188.15245928625063</v>
      </c>
      <c r="AR15" s="93">
        <f>IFERROR(s_C*s_IFPR_res_adj*s_CF_pear*0.001*(s_Irr!R15+s_Irr!AP15+s_Irr!BN15),".")</f>
        <v>188.15245928625063</v>
      </c>
      <c r="AS15" s="93">
        <f>IFERROR(s_C*s_IFPE_res_adj*s_CF_peas*0.001*(s_Irr!S15+s_Irr!AQ15+s_Irr!BO15),".")</f>
        <v>175.31142495849323</v>
      </c>
      <c r="AT15" s="93">
        <f>IFERROR(s_C*s_IFPT_res_adj*s_CF_potato*0.001*(s_Irr!T15+s_Irr!AR15+s_Irr!BP15),".")</f>
        <v>164.92931209775327</v>
      </c>
      <c r="AU15" s="93">
        <f>IFERROR(s_C*s_IFPU_res_adj*s_CF_pumpkin*0.001*(s_Irr!U15+s_Irr!AS15+s_Irr!BQ15),".")</f>
        <v>201.81313410301377</v>
      </c>
      <c r="AV15" s="93">
        <f>IFERROR(s_C*s_IFSN_res_adj*s_CF_snap_bean*0.001*(s_Irr!V15+s_Irr!AT15+s_Irr!BR15),".")</f>
        <v>175.31142495849323</v>
      </c>
      <c r="AW15" s="93">
        <f>IFERROR(s_C*s_IFST_res_adj*s_CF_strawberry*0.001*(s_Irr!W15+s_Irr!AU15+s_Irr!BS15),".")</f>
        <v>188.15245928625063</v>
      </c>
      <c r="AX15" s="93">
        <f>IFERROR(s_C*s_IFTO_res_adj*s_CF_tomato*0.001*(s_Irr!X15+s_Irr!AV15+s_Irr!BT15),".")</f>
        <v>201.81313410301377</v>
      </c>
      <c r="AY15" s="93">
        <f>IFERROR(s_C*s_IFRI_res_adj*s_CF_rice*0.001*(s_Irr!Y15+s_Irr!AW15+s_Irr!BU15),".")</f>
        <v>161.62342879209658</v>
      </c>
      <c r="AZ15" s="93">
        <f>IFERROR(s_C*s_IFCG_res_adj*s_CF_cereal*0.001*(s_Irr!Z15+s_Irr!AX15+s_Irr!BV15),".")</f>
        <v>190.88459424960325</v>
      </c>
      <c r="BA15" s="76">
        <f t="shared" ref="BA15:BA20" si="20">IFERROR(1/SUM(1/BB15,1/BC15,1/BX15,1/BY15),".")</f>
        <v>15591.938022441453</v>
      </c>
      <c r="BB15" s="76">
        <f>IFERROR(IF(AND(s_Irr!C15&lt;&gt;".",s_Irr!AA15&lt;&gt;".",s_Irr!AY15&lt;&gt;"."),s_dir!AC15/((1/1000)*(s_Irr!C15+s_Irr!AA15+s_Irr!AY15)),IF(AND(s_Irr!C15&lt;&gt;".",s_Irr!AA15&lt;&gt;".",s_Irr!AY15="."),s_dir!AC15/((1/1000)*(s_Irr!C15+s_Irr!AA15)),IF(AND(s_Irr!C15&lt;&gt;".",s_Irr!AA15=".",s_Irr!AY15&lt;&gt;"."),s_dir!AC15/((1/1000)*(s_Irr!C15+s_Irr!AY15)),IF(AND(s_Irr!C15=".",s_Irr!AA15&lt;&gt;".",s_Irr!AY15&lt;&gt;"."),s_dir!AC15/((1/1000)*(s_Irr!AA15+s_Irr!AY15)),IF(AND(s_Irr!C15=".",s_Irr!AA15=".",s_Irr!AY15&lt;&gt;"."),s_dir!AC15/((1/1000)*(s_Irr!AY15)),IF(AND(s_Irr!C15=".",s_Irr!AA15&lt;&gt;".",s_Irr!AY15="."),s_dir!AC15/((1/1000)*(s_Irr!AA15)),IF(AND(s_Irr!C15&lt;&gt;".",s_Irr!AA15=".",s_Irr!AY15="."),s_dir!AC15/((1/1000)*(s_Irr!C15)),IF(AND(s_Irr!C15=".",s_Irr!AA15=".",s_Irr!AY15="."),s_dir!AC15*1000)))))))),".")</f>
        <v>76244.31698235021</v>
      </c>
      <c r="BC15" s="76">
        <f>IFERROR(IF(AND(s_Irr!D15&lt;&gt;".",s_Irr!AB15&lt;&gt;".",s_Irr!AZ15&lt;&gt;"."),s_dir!AD15/((1/1000)*(s_Irr!D15+s_Irr!AB15+s_Irr!AZ15)),IF(AND(s_Irr!D15&lt;&gt;".",s_Irr!AB15&lt;&gt;".",s_Irr!AZ15="."),s_dir!AD15/((1/1000)*(s_Irr!D15+s_Irr!AB15)),IF(AND(s_Irr!D15&lt;&gt;".",s_Irr!AB15=".",s_Irr!AZ15&lt;&gt;"."),s_dir!AD15/((1/1000)*(s_Irr!D15+s_Irr!AZ15)),IF(AND(s_Irr!D15=".",s_Irr!AB15&lt;&gt;".",s_Irr!AZ15&lt;&gt;"."),s_dir!AD15/((1/1000)*(s_Irr!AB15+s_Irr!AZ15)),IF(AND(s_Irr!D15=".",s_Irr!AB15=".",s_Irr!AZ15&lt;&gt;"."),s_dir!AD15/((1/1000)*(s_Irr!AZ15)),IF(AND(s_Irr!D15=".",s_Irr!AB15&lt;&gt;".",s_Irr!AZ15="."),s_dir!AD15/((1/1000)*(s_Irr!AB15)),IF(AND(s_Irr!D15&lt;&gt;".",s_Irr!AB15=".",s_Irr!AZ15="."),s_dir!AD15/((1/1000)*(s_Irr!D15)),IF(AND(s_Irr!D15=".",s_Irr!AB15=".",s_Irr!AZ15="."),s_dir!AD15*1000)))))))),".")</f>
        <v>37810.9743064137</v>
      </c>
      <c r="BD15" s="76">
        <f>IFERROR(IF(AND(s_Irr!E15&lt;&gt;".",s_Irr!AC15&lt;&gt;".",s_Irr!BA15&lt;&gt;"."),s_dir!AE15/((1/1000)*(s_Irr!E15+s_Irr!AC15+s_Irr!BA15)),IF(AND(s_Irr!E15&lt;&gt;".",s_Irr!AC15&lt;&gt;".",s_Irr!BA15="."),s_dir!AE15/((1/1000)*(s_Irr!E15+s_Irr!AC15)),IF(AND(s_Irr!E15&lt;&gt;".",s_Irr!AC15=".",s_Irr!BA15&lt;&gt;"."),s_dir!AE15/((1/1000)*(s_Irr!E15+s_Irr!BA15)),IF(AND(s_Irr!E15=".",s_Irr!AC15&lt;&gt;".",s_Irr!BA15&lt;&gt;"."),s_dir!AE15/((1/1000)*(s_Irr!AC15+s_Irr!BA15)),IF(AND(s_Irr!E15=".",s_Irr!AC15=".",s_Irr!BA15&lt;&gt;"."),s_dir!AE15/((1/1000)*(s_Irr!BA15)),IF(AND(s_Irr!E15=".",s_Irr!AC15&lt;&gt;".",s_Irr!BA15="."),s_dir!AE15/((1/1000)*(s_Irr!AC15)),IF(AND(s_Irr!E15&lt;&gt;".",s_Irr!AC15=".",s_Irr!BA15="."),s_dir!AE15/((1/1000)*(s_Irr!E15)),IF(AND(s_Irr!E15=".",s_Irr!AC15=".",s_Irr!BA15="."),s_dir!AE15*1000)))))))),".")</f>
        <v>71083.360409571105</v>
      </c>
      <c r="BE15" s="76">
        <f>IFERROR(IF(AND(s_Irr!F15&lt;&gt;".",s_Irr!AD15&lt;&gt;".",s_Irr!BB15&lt;&gt;"."),s_dir!AF15/((1/1000)*(s_Irr!F15+s_Irr!AD15+s_Irr!BB15)),IF(AND(s_Irr!F15&lt;&gt;".",s_Irr!AD15&lt;&gt;".",s_Irr!BB15="."),s_dir!AF15/((1/1000)*(s_Irr!F15+s_Irr!AD15)),IF(AND(s_Irr!F15&lt;&gt;".",s_Irr!AD15=".",s_Irr!BB15&lt;&gt;"."),s_dir!AF15/((1/1000)*(s_Irr!F15+s_Irr!BB15)),IF(AND(s_Irr!F15=".",s_Irr!AD15&lt;&gt;".",s_Irr!BB15&lt;&gt;"."),s_dir!AF15/((1/1000)*(s_Irr!AD15+s_Irr!BB15)),IF(AND(s_Irr!F15=".",s_Irr!AD15=".",s_Irr!BB15&lt;&gt;"."),s_dir!AF15/((1/1000)*(s_Irr!BB15)),IF(AND(s_Irr!F15=".",s_Irr!AD15&lt;&gt;".",s_Irr!BB15="."),s_dir!AF15/((1/1000)*(s_Irr!AD15)),IF(AND(s_Irr!F15&lt;&gt;".",s_Irr!AD15=".",s_Irr!BB15="."),s_dir!AF15/((1/1000)*(s_Irr!F15)),IF(AND(s_Irr!F15=".",s_Irr!AD15=".",s_Irr!BB15="."),s_dir!AF15*1000)))))))),".")</f>
        <v>76244.31698235021</v>
      </c>
      <c r="BF15" s="76">
        <f>IFERROR(IF(AND(s_Irr!G15&lt;&gt;".",s_Irr!AE15&lt;&gt;".",s_Irr!BC15&lt;&gt;"."),s_dir!AG15/((1/1000)*(s_Irr!G15+s_Irr!AE15+s_Irr!BC15)),IF(AND(s_Irr!G15&lt;&gt;".",s_Irr!AE15&lt;&gt;".",s_Irr!BC15="."),s_dir!AG15/((1/1000)*(s_Irr!G15+s_Irr!AE15)),IF(AND(s_Irr!G15&lt;&gt;".",s_Irr!AE15=".",s_Irr!BC15&lt;&gt;"."),s_dir!AG15/((1/1000)*(s_Irr!G15+s_Irr!BC15)),IF(AND(s_Irr!G15=".",s_Irr!AE15&lt;&gt;".",s_Irr!BC15&lt;&gt;"."),s_dir!AG15/((1/1000)*(s_Irr!AE15+s_Irr!BC15)),IF(AND(s_Irr!G15=".",s_Irr!AE15=".",s_Irr!BC15&lt;&gt;"."),s_dir!AG15/((1/1000)*(s_Irr!BC15)),IF(AND(s_Irr!G15=".",s_Irr!AE15&lt;&gt;".",s_Irr!BC15="."),s_dir!AG15/((1/1000)*(s_Irr!AE15)),IF(AND(s_Irr!G15&lt;&gt;".",s_Irr!AE15=".",s_Irr!BC15="."),s_dir!AG15/((1/1000)*(s_Irr!G15)),IF(AND(s_Irr!G15=".",s_Irr!AE15=".",s_Irr!BC15="."),s_dir!AG15*1000)))))))),".")</f>
        <v>71083.360409571105</v>
      </c>
      <c r="BG15" s="76">
        <f>IFERROR(IF(AND(s_Irr!H15&lt;&gt;".",s_Irr!AF15&lt;&gt;".",s_Irr!BD15&lt;&gt;"."),s_dir!AH15/((1/1000)*(s_Irr!H15+s_Irr!AF15+s_Irr!BD15)),IF(AND(s_Irr!H15&lt;&gt;".",s_Irr!AF15&lt;&gt;".",s_Irr!BD15="."),s_dir!AH15/((1/1000)*(s_Irr!H15+s_Irr!AF15)),IF(AND(s_Irr!H15&lt;&gt;".",s_Irr!AF15=".",s_Irr!BD15&lt;&gt;"."),s_dir!AH15/((1/1000)*(s_Irr!H15+s_Irr!BD15)),IF(AND(s_Irr!H15=".",s_Irr!AF15&lt;&gt;".",s_Irr!BD15&lt;&gt;"."),s_dir!AH15/((1/1000)*(s_Irr!AF15+s_Irr!BD15)),IF(AND(s_Irr!H15=".",s_Irr!AF15=".",s_Irr!BD15&lt;&gt;"."),s_dir!AH15/((1/1000)*(s_Irr!BD15)),IF(AND(s_Irr!H15=".",s_Irr!AF15&lt;&gt;".",s_Irr!BD15="."),s_dir!AH15/((1/1000)*(s_Irr!AF15)),IF(AND(s_Irr!H15&lt;&gt;".",s_Irr!AF15=".",s_Irr!BD15="."),s_dir!AH15/((1/1000)*(s_Irr!H15)),IF(AND(s_Irr!H15=".",s_Irr!AF15=".",s_Irr!BD15="."),s_dir!AH15*1000)))))))),".")</f>
        <v>37810.9743064137</v>
      </c>
      <c r="BH15" s="76">
        <f>IFERROR(IF(AND(s_Irr!I15&lt;&gt;".",s_Irr!AG15&lt;&gt;".",s_Irr!BE15&lt;&gt;"."),s_dir!AI15/((1/1000)*(s_Irr!I15+s_Irr!AG15+s_Irr!BE15)),IF(AND(s_Irr!I15&lt;&gt;".",s_Irr!AG15&lt;&gt;".",s_Irr!BE15="."),s_dir!AI15/((1/1000)*(s_Irr!I15+s_Irr!AG15)),IF(AND(s_Irr!I15&lt;&gt;".",s_Irr!AG15=".",s_Irr!BE15&lt;&gt;"."),s_dir!AI15/((1/1000)*(s_Irr!I15+s_Irr!BE15)),IF(AND(s_Irr!I15=".",s_Irr!AG15&lt;&gt;".",s_Irr!BE15&lt;&gt;"."),s_dir!AI15/((1/1000)*(s_Irr!AG15+s_Irr!BE15)),IF(AND(s_Irr!I15=".",s_Irr!AG15=".",s_Irr!BE15&lt;&gt;"."),s_dir!AI15/((1/1000)*(s_Irr!BE15)),IF(AND(s_Irr!I15=".",s_Irr!AG15&lt;&gt;".",s_Irr!BE15="."),s_dir!AI15/((1/1000)*(s_Irr!AG15)),IF(AND(s_Irr!I15&lt;&gt;".",s_Irr!AG15=".",s_Irr!BE15="."),s_dir!AI15/((1/1000)*(s_Irr!I15)),IF(AND(s_Irr!I15=".",s_Irr!AG15=".",s_Irr!BE15="."),s_dir!AI15*1000)))))))),".")</f>
        <v>71083.360409571105</v>
      </c>
      <c r="BI15" s="76">
        <f>IFERROR(IF(AND(s_Irr!J15&lt;&gt;".",s_Irr!AH15&lt;&gt;".",s_Irr!BF15&lt;&gt;"."),s_dir!AJ15/((1/1000)*(s_Irr!J15+s_Irr!AH15+s_Irr!BF15)),IF(AND(s_Irr!J15&lt;&gt;".",s_Irr!AH15&lt;&gt;".",s_Irr!BF15="."),s_dir!AJ15/((1/1000)*(s_Irr!J15+s_Irr!AH15)),IF(AND(s_Irr!J15&lt;&gt;".",s_Irr!AH15=".",s_Irr!BF15&lt;&gt;"."),s_dir!AJ15/((1/1000)*(s_Irr!J15+s_Irr!BF15)),IF(AND(s_Irr!J15=".",s_Irr!AH15&lt;&gt;".",s_Irr!BF15&lt;&gt;"."),s_dir!AJ15/((1/1000)*(s_Irr!AH15+s_Irr!BF15)),IF(AND(s_Irr!J15=".",s_Irr!AH15=".",s_Irr!BF15&lt;&gt;"."),s_dir!AJ15/((1/1000)*(s_Irr!BF15)),IF(AND(s_Irr!J15=".",s_Irr!AH15&lt;&gt;".",s_Irr!BF15="."),s_dir!AJ15/((1/1000)*(s_Irr!AH15)),IF(AND(s_Irr!J15&lt;&gt;".",s_Irr!AH15=".",s_Irr!BF15="."),s_dir!AJ15/((1/1000)*(s_Irr!J15)),IF(AND(s_Irr!J15=".",s_Irr!AH15=".",s_Irr!BF15="."),s_dir!AJ15*1000)))))))),".")</f>
        <v>76244.31698235021</v>
      </c>
      <c r="BJ15" s="76">
        <f>IFERROR(IF(AND(s_Irr!K15&lt;&gt;".",s_Irr!AI15&lt;&gt;".",s_Irr!BG15&lt;&gt;"."),s_dir!AK15/((1/1000)*(s_Irr!K15+s_Irr!AI15+s_Irr!BG15)),IF(AND(s_Irr!K15&lt;&gt;".",s_Irr!AI15&lt;&gt;".",s_Irr!BG15="."),s_dir!AK15/((1/1000)*(s_Irr!K15+s_Irr!AI15)),IF(AND(s_Irr!K15&lt;&gt;".",s_Irr!AI15=".",s_Irr!BG15&lt;&gt;"."),s_dir!AK15/((1/1000)*(s_Irr!K15+s_Irr!BG15)),IF(AND(s_Irr!K15=".",s_Irr!AI15&lt;&gt;".",s_Irr!BG15&lt;&gt;"."),s_dir!AK15/((1/1000)*(s_Irr!AI15+s_Irr!BG15)),IF(AND(s_Irr!K15=".",s_Irr!AI15=".",s_Irr!BG15&lt;&gt;"."),s_dir!AK15/((1/1000)*(s_Irr!BG15)),IF(AND(s_Irr!K15=".",s_Irr!AI15&lt;&gt;".",s_Irr!BG15="."),s_dir!AK15/((1/1000)*(s_Irr!AI15)),IF(AND(s_Irr!K15&lt;&gt;".",s_Irr!AI15=".",s_Irr!BG15="."),s_dir!AK15/((1/1000)*(s_Irr!K15)),IF(AND(s_Irr!K15=".",s_Irr!AI15=".",s_Irr!BG15="."),s_dir!AK15*1000)))))))),".")</f>
        <v>87414.444293269669</v>
      </c>
      <c r="BK15" s="76">
        <f>IFERROR(IF(AND(s_Irr!L15&lt;&gt;".",s_Irr!AJ15&lt;&gt;".",s_Irr!BH15&lt;&gt;"."),s_dir!AL15/((1/1000)*(s_Irr!L15+s_Irr!AJ15+s_Irr!BH15)),IF(AND(s_Irr!L15&lt;&gt;".",s_Irr!AJ15&lt;&gt;".",s_Irr!BH15="."),s_dir!AL15/((1/1000)*(s_Irr!L15+s_Irr!AJ15)),IF(AND(s_Irr!L15&lt;&gt;".",s_Irr!AJ15=".",s_Irr!BH15&lt;&gt;"."),s_dir!AL15/((1/1000)*(s_Irr!L15+s_Irr!BH15)),IF(AND(s_Irr!L15=".",s_Irr!AJ15&lt;&gt;".",s_Irr!BH15&lt;&gt;"."),s_dir!AL15/((1/1000)*(s_Irr!AJ15+s_Irr!BH15)),IF(AND(s_Irr!L15=".",s_Irr!AJ15=".",s_Irr!BH15&lt;&gt;"."),s_dir!AL15/((1/1000)*(s_Irr!BH15)),IF(AND(s_Irr!L15=".",s_Irr!AJ15&lt;&gt;".",s_Irr!BH15="."),s_dir!AL15/((1/1000)*(s_Irr!AJ15)),IF(AND(s_Irr!L15&lt;&gt;".",s_Irr!AJ15=".",s_Irr!BH15="."),s_dir!AL15/((1/1000)*(s_Irr!L15)),IF(AND(s_Irr!L15=".",s_Irr!AJ15=".",s_Irr!BH15="."),s_dir!AL15*1000)))))))),".")</f>
        <v>71083.360409571105</v>
      </c>
      <c r="BL15" s="76">
        <f>IFERROR(IF(AND(s_Irr!M15&lt;&gt;".",s_Irr!AK15&lt;&gt;".",s_Irr!BI15&lt;&gt;"."),s_dir!AM15/((1/1000)*(s_Irr!M15+s_Irr!AK15+s_Irr!BI15)),IF(AND(s_Irr!M15&lt;&gt;".",s_Irr!AK15&lt;&gt;".",s_Irr!BI15="."),s_dir!AM15/((1/1000)*(s_Irr!M15+s_Irr!AK15)),IF(AND(s_Irr!M15&lt;&gt;".",s_Irr!AK15=".",s_Irr!BI15&lt;&gt;"."),s_dir!AM15/((1/1000)*(s_Irr!M15+s_Irr!BI15)),IF(AND(s_Irr!M15=".",s_Irr!AK15&lt;&gt;".",s_Irr!BI15&lt;&gt;"."),s_dir!AM15/((1/1000)*(s_Irr!AK15+s_Irr!BI15)),IF(AND(s_Irr!M15=".",s_Irr!AK15=".",s_Irr!BI15&lt;&gt;"."),s_dir!AM15/((1/1000)*(s_Irr!BI15)),IF(AND(s_Irr!M15=".",s_Irr!AK15&lt;&gt;".",s_Irr!BI15="."),s_dir!AM15/((1/1000)*(s_Irr!AK15)),IF(AND(s_Irr!M15&lt;&gt;".",s_Irr!AK15=".",s_Irr!BI15="."),s_dir!AM15/((1/1000)*(s_Irr!M15)),IF(AND(s_Irr!M15=".",s_Irr!AK15=".",s_Irr!BI15="."),s_dir!AM15*1000)))))))),".")</f>
        <v>37810.9743064137</v>
      </c>
      <c r="BM15" s="76">
        <f>IFERROR(IF(AND(s_Irr!N15&lt;&gt;".",s_Irr!AL15&lt;&gt;".",s_Irr!BJ15&lt;&gt;"."),s_dir!AN15/((1/1000)*(s_Irr!N15+s_Irr!AL15+s_Irr!BJ15)),IF(AND(s_Irr!N15&lt;&gt;".",s_Irr!AL15&lt;&gt;".",s_Irr!BJ15="."),s_dir!AN15/((1/1000)*(s_Irr!N15+s_Irr!AL15)),IF(AND(s_Irr!N15&lt;&gt;".",s_Irr!AL15=".",s_Irr!BJ15&lt;&gt;"."),s_dir!AN15/((1/1000)*(s_Irr!N15+s_Irr!BJ15)),IF(AND(s_Irr!N15=".",s_Irr!AL15&lt;&gt;".",s_Irr!BJ15&lt;&gt;"."),s_dir!AN15/((1/1000)*(s_Irr!AL15+s_Irr!BJ15)),IF(AND(s_Irr!N15=".",s_Irr!AL15=".",s_Irr!BJ15&lt;&gt;"."),s_dir!AN15/((1/1000)*(s_Irr!BJ15)),IF(AND(s_Irr!N15=".",s_Irr!AL15&lt;&gt;".",s_Irr!BJ15="."),s_dir!AN15/((1/1000)*(s_Irr!AL15)),IF(AND(s_Irr!N15&lt;&gt;".",s_Irr!AL15=".",s_Irr!BJ15="."),s_dir!AN15/((1/1000)*(s_Irr!N15)),IF(AND(s_Irr!N15=".",s_Irr!AL15=".",s_Irr!BJ15="."),s_dir!AN15*1000)))))))),".")</f>
        <v>81828.983765468161</v>
      </c>
      <c r="BN15" s="76">
        <f>IFERROR(IF(AND(s_Irr!O15&lt;&gt;".",s_Irr!AM15&lt;&gt;".",s_Irr!BK15&lt;&gt;"."),s_dir!AO15/((1/1000)*(s_Irr!O15+s_Irr!AM15+s_Irr!BK15)),IF(AND(s_Irr!O15&lt;&gt;".",s_Irr!AM15&lt;&gt;".",s_Irr!BK15="."),s_dir!AO15/((1/1000)*(s_Irr!O15+s_Irr!AM15)),IF(AND(s_Irr!O15&lt;&gt;".",s_Irr!AM15=".",s_Irr!BK15&lt;&gt;"."),s_dir!AO15/((1/1000)*(s_Irr!O15+s_Irr!BK15)),IF(AND(s_Irr!O15=".",s_Irr!AM15&lt;&gt;".",s_Irr!BK15&lt;&gt;"."),s_dir!AO15/((1/1000)*(s_Irr!AM15+s_Irr!BK15)),IF(AND(s_Irr!O15=".",s_Irr!AM15=".",s_Irr!BK15&lt;&gt;"."),s_dir!AO15/((1/1000)*(s_Irr!BK15)),IF(AND(s_Irr!O15=".",s_Irr!AM15&lt;&gt;".",s_Irr!BK15="."),s_dir!AO15/((1/1000)*(s_Irr!AM15)),IF(AND(s_Irr!O15&lt;&gt;".",s_Irr!AM15=".",s_Irr!BK15="."),s_dir!AO15/((1/1000)*(s_Irr!O15)),IF(AND(s_Irr!O15=".",s_Irr!AM15=".",s_Irr!BK15="."),s_dir!AO15*1000)))))))),".")</f>
        <v>71083.360409571105</v>
      </c>
      <c r="BO15" s="76">
        <f>IFERROR(IF(AND(s_Irr!P15&lt;&gt;".",s_Irr!AN15&lt;&gt;".",s_Irr!BL15&lt;&gt;"."),s_dir!AP15/((1/1000)*(s_Irr!P15+s_Irr!AN15+s_Irr!BL15)),IF(AND(s_Irr!P15&lt;&gt;".",s_Irr!AN15&lt;&gt;".",s_Irr!BL15="."),s_dir!AP15/((1/1000)*(s_Irr!P15+s_Irr!AN15)),IF(AND(s_Irr!P15&lt;&gt;".",s_Irr!AN15=".",s_Irr!BL15&lt;&gt;"."),s_dir!AP15/((1/1000)*(s_Irr!P15+s_Irr!BL15)),IF(AND(s_Irr!P15=".",s_Irr!AN15&lt;&gt;".",s_Irr!BL15&lt;&gt;"."),s_dir!AP15/((1/1000)*(s_Irr!AN15+s_Irr!BL15)),IF(AND(s_Irr!P15=".",s_Irr!AN15=".",s_Irr!BL15&lt;&gt;"."),s_dir!AP15/((1/1000)*(s_Irr!BL15)),IF(AND(s_Irr!P15=".",s_Irr!AN15&lt;&gt;".",s_Irr!BL15="."),s_dir!AP15/((1/1000)*(s_Irr!AN15)),IF(AND(s_Irr!P15&lt;&gt;".",s_Irr!AN15=".",s_Irr!BL15="."),s_dir!AP15/((1/1000)*(s_Irr!P15)),IF(AND(s_Irr!P15=".",s_Irr!AN15=".",s_Irr!BL15="."),s_dir!AP15*1000)))))))),".")</f>
        <v>71083.360409571105</v>
      </c>
      <c r="BP15" s="76">
        <f>IFERROR(IF(AND(s_Irr!Q15&lt;&gt;".",s_Irr!AO15&lt;&gt;".",s_Irr!BM15&lt;&gt;"."),s_dir!AQ15/((1/1000)*(s_Irr!Q15+s_Irr!AO15+s_Irr!BM15)),IF(AND(s_Irr!Q15&lt;&gt;".",s_Irr!AO15&lt;&gt;".",s_Irr!BM15="."),s_dir!AQ15/((1/1000)*(s_Irr!Q15+s_Irr!AO15)),IF(AND(s_Irr!Q15&lt;&gt;".",s_Irr!AO15=".",s_Irr!BM15&lt;&gt;"."),s_dir!AQ15/((1/1000)*(s_Irr!Q15+s_Irr!BM15)),IF(AND(s_Irr!Q15=".",s_Irr!AO15&lt;&gt;".",s_Irr!BM15&lt;&gt;"."),s_dir!AQ15/((1/1000)*(s_Irr!AO15+s_Irr!BM15)),IF(AND(s_Irr!Q15=".",s_Irr!AO15=".",s_Irr!BM15&lt;&gt;"."),s_dir!AQ15/((1/1000)*(s_Irr!BM15)),IF(AND(s_Irr!Q15=".",s_Irr!AO15&lt;&gt;".",s_Irr!BM15="."),s_dir!AQ15/((1/1000)*(s_Irr!AO15)),IF(AND(s_Irr!Q15&lt;&gt;".",s_Irr!AO15=".",s_Irr!BM15="."),s_dir!AQ15/((1/1000)*(s_Irr!Q15)),IF(AND(s_Irr!Q15=".",s_Irr!AO15=".",s_Irr!BM15="."),s_dir!AQ15*1000)))))))),".")</f>
        <v>76244.31698235021</v>
      </c>
      <c r="BQ15" s="76">
        <f>IFERROR(IF(AND(s_Irr!R15&lt;&gt;".",s_Irr!AP15&lt;&gt;".",s_Irr!BN15&lt;&gt;"."),s_dir!AR15/((1/1000)*(s_Irr!R15+s_Irr!AP15+s_Irr!BN15)),IF(AND(s_Irr!R15&lt;&gt;".",s_Irr!AP15&lt;&gt;".",s_Irr!BN15="."),s_dir!AR15/((1/1000)*(s_Irr!R15+s_Irr!AP15)),IF(AND(s_Irr!R15&lt;&gt;".",s_Irr!AP15=".",s_Irr!BN15&lt;&gt;"."),s_dir!AR15/((1/1000)*(s_Irr!R15+s_Irr!BN15)),IF(AND(s_Irr!R15=".",s_Irr!AP15&lt;&gt;".",s_Irr!BN15&lt;&gt;"."),s_dir!AR15/((1/1000)*(s_Irr!AP15+s_Irr!BN15)),IF(AND(s_Irr!R15=".",s_Irr!AP15=".",s_Irr!BN15&lt;&gt;"."),s_dir!AR15/((1/1000)*(s_Irr!BN15)),IF(AND(s_Irr!R15=".",s_Irr!AP15&lt;&gt;".",s_Irr!BN15="."),s_dir!AR15/((1/1000)*(s_Irr!AP15)),IF(AND(s_Irr!R15&lt;&gt;".",s_Irr!AP15=".",s_Irr!BN15="."),s_dir!AR15/((1/1000)*(s_Irr!R15)),IF(AND(s_Irr!R15=".",s_Irr!AP15=".",s_Irr!BN15="."),s_dir!AR15*1000)))))))),".")</f>
        <v>76244.31698235021</v>
      </c>
      <c r="BR15" s="76">
        <f>IFERROR(IF(AND(s_Irr!S15&lt;&gt;".",s_Irr!AQ15&lt;&gt;".",s_Irr!BO15&lt;&gt;"."),s_dir!AS15/((1/1000)*(s_Irr!S15+s_Irr!AQ15+s_Irr!BO15)),IF(AND(s_Irr!S15&lt;&gt;".",s_Irr!AQ15&lt;&gt;".",s_Irr!BO15="."),s_dir!AS15/((1/1000)*(s_Irr!S15+s_Irr!AQ15)),IF(AND(s_Irr!S15&lt;&gt;".",s_Irr!AQ15=".",s_Irr!BO15&lt;&gt;"."),s_dir!AS15/((1/1000)*(s_Irr!S15+s_Irr!BO15)),IF(AND(s_Irr!S15=".",s_Irr!AQ15&lt;&gt;".",s_Irr!BO15&lt;&gt;"."),s_dir!AS15/((1/1000)*(s_Irr!AQ15+s_Irr!BO15)),IF(AND(s_Irr!S15=".",s_Irr!AQ15=".",s_Irr!BO15&lt;&gt;"."),s_dir!AS15/((1/1000)*(s_Irr!BO15)),IF(AND(s_Irr!S15=".",s_Irr!AQ15&lt;&gt;".",s_Irr!BO15="."),s_dir!AS15/((1/1000)*(s_Irr!AQ15)),IF(AND(s_Irr!S15&lt;&gt;".",s_Irr!AQ15=".",s_Irr!BO15="."),s_dir!AS15/((1/1000)*(s_Irr!S15)),IF(AND(s_Irr!S15=".",s_Irr!AQ15=".",s_Irr!BO15="."),s_dir!AS15*1000)))))))),".")</f>
        <v>81828.983765468161</v>
      </c>
      <c r="BS15" s="76">
        <f>IFERROR(IF(AND(s_Irr!T15&lt;&gt;".",s_Irr!AR15&lt;&gt;".",s_Irr!BP15&lt;&gt;"."),s_dir!AT15/((1/1000)*(s_Irr!T15+s_Irr!AR15+s_Irr!BP15)),IF(AND(s_Irr!T15&lt;&gt;".",s_Irr!AR15&lt;&gt;".",s_Irr!BP15="."),s_dir!AT15/((1/1000)*(s_Irr!T15+s_Irr!AR15)),IF(AND(s_Irr!T15&lt;&gt;".",s_Irr!AR15=".",s_Irr!BP15&lt;&gt;"."),s_dir!AT15/((1/1000)*(s_Irr!T15+s_Irr!BP15)),IF(AND(s_Irr!T15=".",s_Irr!AR15&lt;&gt;".",s_Irr!BP15&lt;&gt;"."),s_dir!AT15/((1/1000)*(s_Irr!AR15+s_Irr!BP15)),IF(AND(s_Irr!T15=".",s_Irr!AR15=".",s_Irr!BP15&lt;&gt;"."),s_dir!AT15/((1/1000)*(s_Irr!BP15)),IF(AND(s_Irr!T15=".",s_Irr!AR15&lt;&gt;".",s_Irr!BP15="."),s_dir!AT15/((1/1000)*(s_Irr!AR15)),IF(AND(s_Irr!T15&lt;&gt;".",s_Irr!AR15=".",s_Irr!BP15="."),s_dir!AT15/((1/1000)*(s_Irr!T15)),IF(AND(s_Irr!T15=".",s_Irr!AR15=".",s_Irr!BP15="."),s_dir!AT15*1000)))))))),".")</f>
        <v>86980.025347629256</v>
      </c>
      <c r="BT15" s="76">
        <f>IFERROR(IF(AND(s_Irr!U15&lt;&gt;".",s_Irr!AS15&lt;&gt;".",s_Irr!BQ15&lt;&gt;"."),s_dir!AU15/((1/1000)*(s_Irr!U15+s_Irr!AS15+s_Irr!BQ15)),IF(AND(s_Irr!U15&lt;&gt;".",s_Irr!AS15&lt;&gt;".",s_Irr!BQ15="."),s_dir!AU15/((1/1000)*(s_Irr!U15+s_Irr!AS15)),IF(AND(s_Irr!U15&lt;&gt;".",s_Irr!AS15=".",s_Irr!BQ15&lt;&gt;"."),s_dir!AU15/((1/1000)*(s_Irr!U15+s_Irr!BQ15)),IF(AND(s_Irr!U15=".",s_Irr!AS15&lt;&gt;".",s_Irr!BQ15&lt;&gt;"."),s_dir!AU15/((1/1000)*(s_Irr!AS15+s_Irr!BQ15)),IF(AND(s_Irr!U15=".",s_Irr!AS15=".",s_Irr!BQ15&lt;&gt;"."),s_dir!AU15/((1/1000)*(s_Irr!BQ15)),IF(AND(s_Irr!U15=".",s_Irr!AS15&lt;&gt;".",s_Irr!BQ15="."),s_dir!AU15/((1/1000)*(s_Irr!AS15)),IF(AND(s_Irr!U15&lt;&gt;".",s_Irr!AS15=".",s_Irr!BQ15="."),s_dir!AU15/((1/1000)*(s_Irr!U15)),IF(AND(s_Irr!U15=".",s_Irr!AS15=".",s_Irr!BQ15="."),s_dir!AU15*1000)))))))),".")</f>
        <v>71083.360409571105</v>
      </c>
      <c r="BU15" s="76">
        <f>IFERROR(IF(AND(s_Irr!V15&lt;&gt;".",s_Irr!AT15&lt;&gt;".",s_Irr!BR15&lt;&gt;"."),s_dir!AV15/((1/1000)*(s_Irr!V15+s_Irr!AT15+s_Irr!BR15)),IF(AND(s_Irr!V15&lt;&gt;".",s_Irr!AT15&lt;&gt;".",s_Irr!BR15="."),s_dir!AV15/((1/1000)*(s_Irr!V15+s_Irr!AT15)),IF(AND(s_Irr!V15&lt;&gt;".",s_Irr!AT15=".",s_Irr!BR15&lt;&gt;"."),s_dir!AV15/((1/1000)*(s_Irr!V15+s_Irr!BR15)),IF(AND(s_Irr!V15=".",s_Irr!AT15&lt;&gt;".",s_Irr!BR15&lt;&gt;"."),s_dir!AV15/((1/1000)*(s_Irr!AT15+s_Irr!BR15)),IF(AND(s_Irr!V15=".",s_Irr!AT15=".",s_Irr!BR15&lt;&gt;"."),s_dir!AV15/((1/1000)*(s_Irr!BR15)),IF(AND(s_Irr!V15=".",s_Irr!AT15&lt;&gt;".",s_Irr!BR15="."),s_dir!AV15/((1/1000)*(s_Irr!AT15)),IF(AND(s_Irr!V15&lt;&gt;".",s_Irr!AT15=".",s_Irr!BR15="."),s_dir!AV15/((1/1000)*(s_Irr!V15)),IF(AND(s_Irr!V15=".",s_Irr!AT15=".",s_Irr!BR15="."),s_dir!AV15*1000)))))))),".")</f>
        <v>81828.983765468161</v>
      </c>
      <c r="BV15" s="76">
        <f>IFERROR(IF(AND(s_Irr!W15&lt;&gt;".",s_Irr!AU15&lt;&gt;".",s_Irr!BS15&lt;&gt;"."),s_dir!AW15/((1/1000)*(s_Irr!W15+s_Irr!AU15+s_Irr!BS15)),IF(AND(s_Irr!W15&lt;&gt;".",s_Irr!AU15&lt;&gt;".",s_Irr!BS15="."),s_dir!AW15/((1/1000)*(s_Irr!W15+s_Irr!AU15)),IF(AND(s_Irr!W15&lt;&gt;".",s_Irr!AU15=".",s_Irr!BS15&lt;&gt;"."),s_dir!AW15/((1/1000)*(s_Irr!W15+s_Irr!BS15)),IF(AND(s_Irr!W15=".",s_Irr!AU15&lt;&gt;".",s_Irr!BS15&lt;&gt;"."),s_dir!AW15/((1/1000)*(s_Irr!AU15+s_Irr!BS15)),IF(AND(s_Irr!W15=".",s_Irr!AU15=".",s_Irr!BS15&lt;&gt;"."),s_dir!AW15/((1/1000)*(s_Irr!BS15)),IF(AND(s_Irr!W15=".",s_Irr!AU15&lt;&gt;".",s_Irr!BS15="."),s_dir!AW15/((1/1000)*(s_Irr!AU15)),IF(AND(s_Irr!W15&lt;&gt;".",s_Irr!AU15=".",s_Irr!BS15="."),s_dir!AW15/((1/1000)*(s_Irr!W15)),IF(AND(s_Irr!W15=".",s_Irr!AU15=".",s_Irr!BS15="."),s_dir!AW15*1000)))))))),".")</f>
        <v>76244.31698235021</v>
      </c>
      <c r="BW15" s="76">
        <f>IFERROR(IF(AND(s_Irr!X15&lt;&gt;".",s_Irr!AV15&lt;&gt;".",s_Irr!BT15&lt;&gt;"."),s_dir!AX15/((1/1000)*(s_Irr!X15+s_Irr!AV15+s_Irr!BT15)),IF(AND(s_Irr!X15&lt;&gt;".",s_Irr!AV15&lt;&gt;".",s_Irr!BT15="."),s_dir!AX15/((1/1000)*(s_Irr!X15+s_Irr!AV15)),IF(AND(s_Irr!X15&lt;&gt;".",s_Irr!AV15=".",s_Irr!BT15&lt;&gt;"."),s_dir!AX15/((1/1000)*(s_Irr!X15+s_Irr!BT15)),IF(AND(s_Irr!X15=".",s_Irr!AV15&lt;&gt;".",s_Irr!BT15&lt;&gt;"."),s_dir!AX15/((1/1000)*(s_Irr!AV15+s_Irr!BT15)),IF(AND(s_Irr!X15=".",s_Irr!AV15=".",s_Irr!BT15&lt;&gt;"."),s_dir!AX15/((1/1000)*(s_Irr!BT15)),IF(AND(s_Irr!X15=".",s_Irr!AV15&lt;&gt;".",s_Irr!BT15="."),s_dir!AX15/((1/1000)*(s_Irr!AV15)),IF(AND(s_Irr!X15&lt;&gt;".",s_Irr!AV15=".",s_Irr!BT15="."),s_dir!AX15/((1/1000)*(s_Irr!X15)),IF(AND(s_Irr!X15=".",s_Irr!AV15=".",s_Irr!BT15="."),s_dir!AX15*1000)))))))),".")</f>
        <v>71083.360409571105</v>
      </c>
      <c r="BX15" s="76">
        <f>IFERROR(IF(AND(s_Irr!Y15&lt;&gt;".",s_Irr!AW15&lt;&gt;".",s_Irr!BU15&lt;&gt;"."),s_dir!AY15/((1/1000)*(s_Irr!Y15+s_Irr!AW15+s_Irr!BU15)),IF(AND(s_Irr!Y15&lt;&gt;".",s_Irr!AW15&lt;&gt;".",s_Irr!BU15="."),s_dir!AY15/((1/1000)*(s_Irr!Y15+s_Irr!AW15)),IF(AND(s_Irr!Y15&lt;&gt;".",s_Irr!AW15=".",s_Irr!BU15&lt;&gt;"."),s_dir!AY15/((1/1000)*(s_Irr!Y15+s_Irr!BU15)),IF(AND(s_Irr!Y15=".",s_Irr!AW15&lt;&gt;".",s_Irr!BU15&lt;&gt;"."),s_dir!AY15/((1/1000)*(s_Irr!AW15+s_Irr!BU15)),IF(AND(s_Irr!Y15=".",s_Irr!AW15=".",s_Irr!BU15&lt;&gt;"."),s_dir!AY15/((1/1000)*(s_Irr!BU15)),IF(AND(s_Irr!Y15=".",s_Irr!AW15&lt;&gt;".",s_Irr!BU15="."),s_dir!AY15/((1/1000)*(s_Irr!AW15)),IF(AND(s_Irr!Y15&lt;&gt;".",s_Irr!AW15=".",s_Irr!BU15="."),s_dir!AY15/((1/1000)*(s_Irr!Y15)),IF(AND(s_Irr!Y15=".",s_Irr!AW15=".",s_Irr!BU15="."),s_dir!AY15*1000)))))))),".")</f>
        <v>88759.135071209021</v>
      </c>
      <c r="BY15" s="76">
        <f>IFERROR(IF(AND(s_Irr!Z15&lt;&gt;".",s_Irr!AX15&lt;&gt;".",s_Irr!BV15&lt;&gt;"."),s_dir!AZ15/((1/1000)*(s_Irr!Z15+s_Irr!AX15+s_Irr!BV15)),IF(AND(s_Irr!Z15&lt;&gt;".",s_Irr!AX15&lt;&gt;".",s_Irr!BV15="."),s_dir!AZ15/((1/1000)*(s_Irr!Z15+s_Irr!AX15)),IF(AND(s_Irr!Z15&lt;&gt;".",s_Irr!AX15=".",s_Irr!BV15&lt;&gt;"."),s_dir!AZ15/((1/1000)*(s_Irr!Z15+s_Irr!BV15)),IF(AND(s_Irr!Z15=".",s_Irr!AX15&lt;&gt;".",s_Irr!BV15&lt;&gt;"."),s_dir!AZ15/((1/1000)*(s_Irr!AX15+s_Irr!BV15)),IF(AND(s_Irr!Z15=".",s_Irr!AX15=".",s_Irr!BV15&lt;&gt;"."),s_dir!AZ15/((1/1000)*(s_Irr!BV15)),IF(AND(s_Irr!Z15=".",s_Irr!AX15&lt;&gt;".",s_Irr!BV15="."),s_dir!AZ15/((1/1000)*(s_Irr!AX15)),IF(AND(s_Irr!Z15&lt;&gt;".",s_Irr!AX15=".",s_Irr!BV15="."),s_dir!AZ15/((1/1000)*(s_Irr!Z15)),IF(AND(s_Irr!Z15=".",s_Irr!AX15=".",s_Irr!BV15="."),s_dir!AZ15*1000)))))))),".")</f>
        <v>75153.030569199269</v>
      </c>
      <c r="BZ15" s="93">
        <f t="shared" ref="BZ15:BZ16" si="21">SUM(CA15:CB15,CW15:CX15)</f>
        <v>920.06238904888528</v>
      </c>
      <c r="CA15" s="93">
        <f>IFERROR(s_C*s_IFAP_far_adj*s_CF_apple*(1/1000)*(s_Irr!C15+s_Irr!AA15+s_Irr!AY15),".")</f>
        <v>188.15245928625063</v>
      </c>
      <c r="CB15" s="93">
        <f>IFERROR(s_C*s_IFAS_far_adj*s_CF_asparagus*(1/1000)*(s_Irr!D15+s_Irr!AB15+s_Irr!AZ15),".")</f>
        <v>379.40190672093479</v>
      </c>
      <c r="CC15" s="93">
        <f>IFERROR(s_C*s_IFBT_far_adj*s_CF_beet*(1/1000)*(s_Irr!E15+s_Irr!AC15+s_Irr!BA15),".")</f>
        <v>201.81313410301377</v>
      </c>
      <c r="CD15" s="93">
        <f>IFERROR(s_C*s_IFBE_far_adj*s_CF_berries*(1/1000)*(s_Irr!F15+s_Irr!AD15+s_Irr!BB15),".")</f>
        <v>188.15245928625063</v>
      </c>
      <c r="CE15" s="93">
        <f>IFERROR(s_C*s_IFBR_far_adj*s_CF_broccoli*(1/1000)*(s_Irr!G15+s_Irr!AE15+s_Irr!BC15),".")</f>
        <v>201.81313410301377</v>
      </c>
      <c r="CF15" s="93">
        <f>IFERROR(s_C*s_IFCB_far_adj*s_CF_cabbage*(1/1000)*(s_Irr!H15+s_Irr!AF15+s_Irr!BD15),".")</f>
        <v>379.40190672093479</v>
      </c>
      <c r="CG15" s="93">
        <f>IFERROR(s_C*s_IFCR_far_adj*s_CF_carrot*(1/1000)*(s_Irr!I15+s_Irr!AG15+s_Irr!BE15),".")</f>
        <v>201.81313410301377</v>
      </c>
      <c r="CH15" s="93">
        <f>IFERROR(s_C*s_IFCI_far_adj*s_CF_citrus*(1/1000)*(s_Irr!J15+s_Irr!AH15+s_Irr!BF15),".")</f>
        <v>188.15245928625063</v>
      </c>
      <c r="CI15" s="93">
        <f>IFERROR(s_C*s_IFCO_far_adj*s_CF_corn*(1/1000)*(s_Irr!K15+s_Irr!AI15+s_Irr!BG15),".")</f>
        <v>164.10967160874748</v>
      </c>
      <c r="CJ15" s="93">
        <f>IFERROR(s_C*s_IFCU_far_adj*s_CF_cucumber*(1/1000)*(s_Irr!L15+s_Irr!AJ15+s_Irr!BH15),".")</f>
        <v>201.81313410301377</v>
      </c>
      <c r="CK15" s="93">
        <f>IFERROR(s_C*s_IFLE_far_adj*s_CF_lettuce*(1/1000)*(s_Irr!M15+s_Irr!AK15+s_Irr!BI15),".")</f>
        <v>379.40190672093479</v>
      </c>
      <c r="CL15" s="93">
        <f>IFERROR(s_C*s_IFLI_far_adj*s_CF_lima_bean*(1/1000)*(s_Irr!N15+s_Irr!AL15+s_Irr!BJ15),".")</f>
        <v>175.31142495849323</v>
      </c>
      <c r="CM15" s="93">
        <f>IFERROR(s_C*s_IFOK_far_adj*s_CF_okra*(1/1000)*(s_Irr!O15+s_Irr!AM15+s_Irr!BK15),".")</f>
        <v>201.81313410301377</v>
      </c>
      <c r="CN15" s="93">
        <f>IFERROR(s_C*s_IFON_far_adj*s_CF_onion*(1/1000)*(s_Irr!P15+s_Irr!AN15+s_Irr!BL15),".")</f>
        <v>201.81313410301377</v>
      </c>
      <c r="CO15" s="93">
        <f>IFERROR(s_C*s_IFPC_far_adj*s_CF_peach*(1/1000)*(s_Irr!Q15+s_Irr!AO15+s_Irr!BM15),".")</f>
        <v>188.15245928625063</v>
      </c>
      <c r="CP15" s="93">
        <f>IFERROR(s_C*s_IFPR_far_adj*s_CF_pear*(1/1000)*(s_Irr!R15+s_Irr!AP15+s_Irr!BN15),".")</f>
        <v>188.15245928625063</v>
      </c>
      <c r="CQ15" s="93">
        <f>IFERROR(s_C*s_IFPE_far_adj*s_CF_peas*(1/1000)*(s_Irr!S15+s_Irr!AQ15+s_Irr!BO15),".")</f>
        <v>175.31142495849323</v>
      </c>
      <c r="CR15" s="93">
        <f>IFERROR(s_C*s_IFPT_far_adj*s_CF_potato*(1/1000)*(s_Irr!T15+s_Irr!AR15+s_Irr!BP15),".")</f>
        <v>164.92931209775327</v>
      </c>
      <c r="CS15" s="93">
        <f>IFERROR(s_C*s_IFPU_far_adj*s_CF_pumpkin*(1/1000)*(s_Irr!U15+s_Irr!AS15+s_Irr!BQ15),".")</f>
        <v>201.81313410301377</v>
      </c>
      <c r="CT15" s="93">
        <f>IFERROR(s_C*s_IFSN_far_adj*s_CF_snap_bean*(1/1000)*(s_Irr!V15+s_Irr!AT15+s_Irr!BR15),".")</f>
        <v>175.31142495849323</v>
      </c>
      <c r="CU15" s="93">
        <f>IFERROR(s_C*s_IFST_far_adj*s_CF_strawberry*(1/1000)*(s_Irr!W15+s_Irr!AU15+s_Irr!BS15),".")</f>
        <v>188.15245928625063</v>
      </c>
      <c r="CV15" s="93">
        <f>IFERROR(s_C*s_IFTO_far_adj*s_CF_tomato*(1/1000)*(s_Irr!X15+s_Irr!AV15+s_Irr!BT15),".")</f>
        <v>201.81313410301377</v>
      </c>
      <c r="CW15" s="93">
        <f>IFERROR(s_C*s_IFRI_far_adj*s_CF_rice*(1/1000)*(s_Irr!Y15+s_Irr!AW15+s_Irr!BU15),".")</f>
        <v>161.62342879209658</v>
      </c>
      <c r="CX15" s="93">
        <f>IFERROR(s_C*s_IFCG_far_adj*s_CF_cereal*(1/1000)*(s_Irr!Z15+s_Irr!AX15+s_Irr!BV15),".")</f>
        <v>190.88459424960325</v>
      </c>
    </row>
    <row r="16" spans="1:102" ht="15" customHeight="1" x14ac:dyDescent="0.25">
      <c r="A16" s="92" t="s">
        <v>26</v>
      </c>
      <c r="B16" s="90" t="s">
        <v>1074</v>
      </c>
      <c r="C16" s="76">
        <f t="shared" si="18"/>
        <v>4.6187439047609571</v>
      </c>
      <c r="D16" s="76">
        <f>IFERROR(IF(AND(s_Irr!C16&lt;&gt;".",s_Irr!AA16&lt;&gt;".",s_Irr!AY16&lt;&gt;"."),s_dir!D16/((1/1000)*(s_Irr!C16+s_Irr!AA16+s_Irr!AY16)),IF(AND(s_Irr!C16&lt;&gt;".",s_Irr!AA16&lt;&gt;".",s_Irr!AY16="."),s_dir!D16/((1/1000)*(s_Irr!C16+s_Irr!AA16)),IF(AND(s_Irr!C16&lt;&gt;".",s_Irr!AA16=".",s_Irr!AY16&lt;&gt;"."),s_dir!D16/((1/1000)*(s_Irr!C16+s_Irr!AY16)),IF(AND(s_Irr!C16=".",s_Irr!AA16&lt;&gt;".",s_Irr!AY16&lt;&gt;"."),s_dir!D16/((1/1000)*(s_Irr!AA16+s_Irr!AY16)),IF(AND(s_Irr!C16=".",s_Irr!AA16=".",s_Irr!AY16&lt;&gt;"."),s_dir!D16/((1/1000)*(s_Irr!AY16)),IF(AND(s_Irr!C16=".",s_Irr!AA16&lt;&gt;".",s_Irr!AY16="."),s_dir!D16/((1/1000)*(s_Irr!AA16)),IF(AND(s_Irr!C16&lt;&gt;".",s_Irr!AA16=".",s_Irr!AY16="."),s_dir!D16/((1/1000)*(s_Irr!C16)),IF(AND(s_Irr!C16=".",s_Irr!AA16=".",s_Irr!AY16="."),s_dir!D16*1000)))))))),".")</f>
        <v>22.585580690998075</v>
      </c>
      <c r="E16" s="76">
        <f>IFERROR(IF(AND(s_Irr!D16&lt;&gt;".",s_Irr!AB16&lt;&gt;".",s_Irr!AZ16&lt;&gt;"."),s_dir!E16/((1/1000)*(s_Irr!D16+s_Irr!AB16+s_Irr!AZ16)),IF(AND(s_Irr!D16&lt;&gt;".",s_Irr!AB16&lt;&gt;".",s_Irr!AZ16="."),s_dir!E16/((1/1000)*(s_Irr!D16+s_Irr!AB16)),IF(AND(s_Irr!D16&lt;&gt;".",s_Irr!AB16=".",s_Irr!AZ16&lt;&gt;"."),s_dir!E16/((1/1000)*(s_Irr!D16+s_Irr!AZ16)),IF(AND(s_Irr!D16=".",s_Irr!AB16&lt;&gt;".",s_Irr!AZ16&lt;&gt;"."),s_dir!E16/((1/1000)*(s_Irr!AB16+s_Irr!AZ16)),IF(AND(s_Irr!D16=".",s_Irr!AB16=".",s_Irr!AZ16&lt;&gt;"."),s_dir!E16/((1/1000)*(s_Irr!AZ16)),IF(AND(s_Irr!D16=".",s_Irr!AB16&lt;&gt;".",s_Irr!AZ16="."),s_dir!E16/((1/1000)*(s_Irr!AB16)),IF(AND(s_Irr!D16&lt;&gt;".",s_Irr!AB16=".",s_Irr!AZ16="."),s_dir!E16/((1/1000)*(s_Irr!D16)),IF(AND(s_Irr!D16=".",s_Irr!AB16=".",s_Irr!AZ16="."),s_dir!E16*1000)))))))),".")</f>
        <v>11.200609370013114</v>
      </c>
      <c r="F16" s="76">
        <f>IFERROR(IF(AND(s_Irr!E16&lt;&gt;".",s_Irr!AC16&lt;&gt;".",s_Irr!BA16&lt;&gt;"."),s_dir!F16/((1/1000)*(s_Irr!E16+s_Irr!AC16+s_Irr!BA16)),IF(AND(s_Irr!E16&lt;&gt;".",s_Irr!AC16&lt;&gt;".",s_Irr!BA16="."),s_dir!F16/((1/1000)*(s_Irr!E16+s_Irr!AC16)),IF(AND(s_Irr!E16&lt;&gt;".",s_Irr!AC16=".",s_Irr!BA16&lt;&gt;"."),s_dir!F16/((1/1000)*(s_Irr!E16+s_Irr!BA16)),IF(AND(s_Irr!E16=".",s_Irr!AC16&lt;&gt;".",s_Irr!BA16&lt;&gt;"."),s_dir!F16/((1/1000)*(s_Irr!AC16+s_Irr!BA16)),IF(AND(s_Irr!E16=".",s_Irr!AC16=".",s_Irr!BA16&lt;&gt;"."),s_dir!F16/((1/1000)*(s_Irr!BA16)),IF(AND(s_Irr!E16=".",s_Irr!AC16&lt;&gt;".",s_Irr!BA16="."),s_dir!F16/((1/1000)*(s_Irr!AC16)),IF(AND(s_Irr!E16&lt;&gt;".",s_Irr!AC16=".",s_Irr!BA16="."),s_dir!F16/((1/1000)*(s_Irr!E16)),IF(AND(s_Irr!E16=".",s_Irr!AC16=".",s_Irr!BA16="."),s_dir!F16*1000)))))))),".")</f>
        <v>21.056769026986153</v>
      </c>
      <c r="G16" s="76">
        <f>IFERROR(IF(AND(s_Irr!F16&lt;&gt;".",s_Irr!AD16&lt;&gt;".",s_Irr!BB16&lt;&gt;"."),s_dir!G16/((1/1000)*(s_Irr!F16+s_Irr!AD16+s_Irr!BB16)),IF(AND(s_Irr!F16&lt;&gt;".",s_Irr!AD16&lt;&gt;".",s_Irr!BB16="."),s_dir!G16/((1/1000)*(s_Irr!F16+s_Irr!AD16)),IF(AND(s_Irr!F16&lt;&gt;".",s_Irr!AD16=".",s_Irr!BB16&lt;&gt;"."),s_dir!G16/((1/1000)*(s_Irr!F16+s_Irr!BB16)),IF(AND(s_Irr!F16=".",s_Irr!AD16&lt;&gt;".",s_Irr!BB16&lt;&gt;"."),s_dir!G16/((1/1000)*(s_Irr!AD16+s_Irr!BB16)),IF(AND(s_Irr!F16=".",s_Irr!AD16=".",s_Irr!BB16&lt;&gt;"."),s_dir!G16/((1/1000)*(s_Irr!BB16)),IF(AND(s_Irr!F16=".",s_Irr!AD16&lt;&gt;".",s_Irr!BB16="."),s_dir!G16/((1/1000)*(s_Irr!AD16)),IF(AND(s_Irr!F16&lt;&gt;".",s_Irr!AD16=".",s_Irr!BB16="."),s_dir!G16/((1/1000)*(s_Irr!F16)),IF(AND(s_Irr!F16=".",s_Irr!AD16=".",s_Irr!BB16="."),s_dir!G16*1000)))))))),".")</f>
        <v>22.585580690998075</v>
      </c>
      <c r="H16" s="76">
        <f>IFERROR(IF(AND(s_Irr!G16&lt;&gt;".",s_Irr!AE16&lt;&gt;".",s_Irr!BC16&lt;&gt;"."),s_dir!H16/((1/1000)*(s_Irr!G16+s_Irr!AE16+s_Irr!BC16)),IF(AND(s_Irr!G16&lt;&gt;".",s_Irr!AE16&lt;&gt;".",s_Irr!BC16="."),s_dir!H16/((1/1000)*(s_Irr!G16+s_Irr!AE16)),IF(AND(s_Irr!G16&lt;&gt;".",s_Irr!AE16=".",s_Irr!BC16&lt;&gt;"."),s_dir!H16/((1/1000)*(s_Irr!G16+s_Irr!BC16)),IF(AND(s_Irr!G16=".",s_Irr!AE16&lt;&gt;".",s_Irr!BC16&lt;&gt;"."),s_dir!H16/((1/1000)*(s_Irr!AE16+s_Irr!BC16)),IF(AND(s_Irr!G16=".",s_Irr!AE16=".",s_Irr!BC16&lt;&gt;"."),s_dir!H16/((1/1000)*(s_Irr!BC16)),IF(AND(s_Irr!G16=".",s_Irr!AE16&lt;&gt;".",s_Irr!BC16="."),s_dir!H16/((1/1000)*(s_Irr!AE16)),IF(AND(s_Irr!G16&lt;&gt;".",s_Irr!AE16=".",s_Irr!BC16="."),s_dir!H16/((1/1000)*(s_Irr!G16)),IF(AND(s_Irr!G16=".",s_Irr!AE16=".",s_Irr!BC16="."),s_dir!H16*1000)))))))),".")</f>
        <v>21.056769026986153</v>
      </c>
      <c r="I16" s="76">
        <f>IFERROR(IF(AND(s_Irr!H16&lt;&gt;".",s_Irr!AF16&lt;&gt;".",s_Irr!BD16&lt;&gt;"."),s_dir!I16/((1/1000)*(s_Irr!H16+s_Irr!AF16+s_Irr!BD16)),IF(AND(s_Irr!H16&lt;&gt;".",s_Irr!AF16&lt;&gt;".",s_Irr!BD16="."),s_dir!I16/((1/1000)*(s_Irr!H16+s_Irr!AF16)),IF(AND(s_Irr!H16&lt;&gt;".",s_Irr!AF16=".",s_Irr!BD16&lt;&gt;"."),s_dir!I16/((1/1000)*(s_Irr!H16+s_Irr!BD16)),IF(AND(s_Irr!H16=".",s_Irr!AF16&lt;&gt;".",s_Irr!BD16&lt;&gt;"."),s_dir!I16/((1/1000)*(s_Irr!AF16+s_Irr!BD16)),IF(AND(s_Irr!H16=".",s_Irr!AF16=".",s_Irr!BD16&lt;&gt;"."),s_dir!I16/((1/1000)*(s_Irr!BD16)),IF(AND(s_Irr!H16=".",s_Irr!AF16&lt;&gt;".",s_Irr!BD16="."),s_dir!I16/((1/1000)*(s_Irr!AF16)),IF(AND(s_Irr!H16&lt;&gt;".",s_Irr!AF16=".",s_Irr!BD16="."),s_dir!I16/((1/1000)*(s_Irr!H16)),IF(AND(s_Irr!H16=".",s_Irr!AF16=".",s_Irr!BD16="."),s_dir!I16*1000)))))))),".")</f>
        <v>11.200609370013114</v>
      </c>
      <c r="J16" s="76">
        <f>IFERROR(IF(AND(s_Irr!I16&lt;&gt;".",s_Irr!AG16&lt;&gt;".",s_Irr!BE16&lt;&gt;"."),s_dir!J16/((1/1000)*(s_Irr!I16+s_Irr!AG16+s_Irr!BE16)),IF(AND(s_Irr!I16&lt;&gt;".",s_Irr!AG16&lt;&gt;".",s_Irr!BE16="."),s_dir!J16/((1/1000)*(s_Irr!I16+s_Irr!AG16)),IF(AND(s_Irr!I16&lt;&gt;".",s_Irr!AG16=".",s_Irr!BE16&lt;&gt;"."),s_dir!J16/((1/1000)*(s_Irr!I16+s_Irr!BE16)),IF(AND(s_Irr!I16=".",s_Irr!AG16&lt;&gt;".",s_Irr!BE16&lt;&gt;"."),s_dir!J16/((1/1000)*(s_Irr!AG16+s_Irr!BE16)),IF(AND(s_Irr!I16=".",s_Irr!AG16=".",s_Irr!BE16&lt;&gt;"."),s_dir!J16/((1/1000)*(s_Irr!BE16)),IF(AND(s_Irr!I16=".",s_Irr!AG16&lt;&gt;".",s_Irr!BE16="."),s_dir!J16/((1/1000)*(s_Irr!AG16)),IF(AND(s_Irr!I16&lt;&gt;".",s_Irr!AG16=".",s_Irr!BE16="."),s_dir!J16/((1/1000)*(s_Irr!I16)),IF(AND(s_Irr!I16=".",s_Irr!AG16=".",s_Irr!BE16="."),s_dir!J16*1000)))))))),".")</f>
        <v>21.056769026986153</v>
      </c>
      <c r="K16" s="76">
        <f>IFERROR(IF(AND(s_Irr!J16&lt;&gt;".",s_Irr!AH16&lt;&gt;".",s_Irr!BF16&lt;&gt;"."),s_dir!K16/((1/1000)*(s_Irr!J16+s_Irr!AH16+s_Irr!BF16)),IF(AND(s_Irr!J16&lt;&gt;".",s_Irr!AH16&lt;&gt;".",s_Irr!BF16="."),s_dir!K16/((1/1000)*(s_Irr!J16+s_Irr!AH16)),IF(AND(s_Irr!J16&lt;&gt;".",s_Irr!AH16=".",s_Irr!BF16&lt;&gt;"."),s_dir!K16/((1/1000)*(s_Irr!J16+s_Irr!BF16)),IF(AND(s_Irr!J16=".",s_Irr!AH16&lt;&gt;".",s_Irr!BF16&lt;&gt;"."),s_dir!K16/((1/1000)*(s_Irr!AH16+s_Irr!BF16)),IF(AND(s_Irr!J16=".",s_Irr!AH16=".",s_Irr!BF16&lt;&gt;"."),s_dir!K16/((1/1000)*(s_Irr!BF16)),IF(AND(s_Irr!J16=".",s_Irr!AH16&lt;&gt;".",s_Irr!BF16="."),s_dir!K16/((1/1000)*(s_Irr!AH16)),IF(AND(s_Irr!J16&lt;&gt;".",s_Irr!AH16=".",s_Irr!BF16="."),s_dir!K16/((1/1000)*(s_Irr!J16)),IF(AND(s_Irr!J16=".",s_Irr!AH16=".",s_Irr!BF16="."),s_dir!K16*1000)))))))),".")</f>
        <v>22.585580690998075</v>
      </c>
      <c r="L16" s="76">
        <f>IFERROR(IF(AND(s_Irr!K16&lt;&gt;".",s_Irr!AI16&lt;&gt;".",s_Irr!BG16&lt;&gt;"."),s_dir!L16/((1/1000)*(s_Irr!K16+s_Irr!AI16+s_Irr!BG16)),IF(AND(s_Irr!K16&lt;&gt;".",s_Irr!AI16&lt;&gt;".",s_Irr!BG16="."),s_dir!L16/((1/1000)*(s_Irr!K16+s_Irr!AI16)),IF(AND(s_Irr!K16&lt;&gt;".",s_Irr!AI16=".",s_Irr!BG16&lt;&gt;"."),s_dir!L16/((1/1000)*(s_Irr!K16+s_Irr!BG16)),IF(AND(s_Irr!K16=".",s_Irr!AI16&lt;&gt;".",s_Irr!BG16&lt;&gt;"."),s_dir!L16/((1/1000)*(s_Irr!AI16+s_Irr!BG16)),IF(AND(s_Irr!K16=".",s_Irr!AI16=".",s_Irr!BG16&lt;&gt;"."),s_dir!L16/((1/1000)*(s_Irr!BG16)),IF(AND(s_Irr!K16=".",s_Irr!AI16&lt;&gt;".",s_Irr!BG16="."),s_dir!L16/((1/1000)*(s_Irr!AI16)),IF(AND(s_Irr!K16&lt;&gt;".",s_Irr!AI16=".",s_Irr!BG16="."),s_dir!L16/((1/1000)*(s_Irr!K16)),IF(AND(s_Irr!K16=".",s_Irr!AI16=".",s_Irr!BG16="."),s_dir!L16*1000)))))))),".")</f>
        <v>25.894467460459119</v>
      </c>
      <c r="M16" s="76">
        <f>IFERROR(IF(AND(s_Irr!L16&lt;&gt;".",s_Irr!AJ16&lt;&gt;".",s_Irr!BH16&lt;&gt;"."),s_dir!M16/((1/1000)*(s_Irr!L16+s_Irr!AJ16+s_Irr!BH16)),IF(AND(s_Irr!L16&lt;&gt;".",s_Irr!AJ16&lt;&gt;".",s_Irr!BH16="."),s_dir!M16/((1/1000)*(s_Irr!L16+s_Irr!AJ16)),IF(AND(s_Irr!L16&lt;&gt;".",s_Irr!AJ16=".",s_Irr!BH16&lt;&gt;"."),s_dir!M16/((1/1000)*(s_Irr!L16+s_Irr!BH16)),IF(AND(s_Irr!L16=".",s_Irr!AJ16&lt;&gt;".",s_Irr!BH16&lt;&gt;"."),s_dir!M16/((1/1000)*(s_Irr!AJ16+s_Irr!BH16)),IF(AND(s_Irr!L16=".",s_Irr!AJ16=".",s_Irr!BH16&lt;&gt;"."),s_dir!M16/((1/1000)*(s_Irr!BH16)),IF(AND(s_Irr!L16=".",s_Irr!AJ16&lt;&gt;".",s_Irr!BH16="."),s_dir!M16/((1/1000)*(s_Irr!AJ16)),IF(AND(s_Irr!L16&lt;&gt;".",s_Irr!AJ16=".",s_Irr!BH16="."),s_dir!M16/((1/1000)*(s_Irr!L16)),IF(AND(s_Irr!L16=".",s_Irr!AJ16=".",s_Irr!BH16="."),s_dir!M16*1000)))))))),".")</f>
        <v>21.056769026986153</v>
      </c>
      <c r="N16" s="76">
        <f>IFERROR(IF(AND(s_Irr!M16&lt;&gt;".",s_Irr!AK16&lt;&gt;".",s_Irr!BI16&lt;&gt;"."),s_dir!N16/((1/1000)*(s_Irr!M16+s_Irr!AK16+s_Irr!BI16)),IF(AND(s_Irr!M16&lt;&gt;".",s_Irr!AK16&lt;&gt;".",s_Irr!BI16="."),s_dir!N16/((1/1000)*(s_Irr!M16+s_Irr!AK16)),IF(AND(s_Irr!M16&lt;&gt;".",s_Irr!AK16=".",s_Irr!BI16&lt;&gt;"."),s_dir!N16/((1/1000)*(s_Irr!M16+s_Irr!BI16)),IF(AND(s_Irr!M16=".",s_Irr!AK16&lt;&gt;".",s_Irr!BI16&lt;&gt;"."),s_dir!N16/((1/1000)*(s_Irr!AK16+s_Irr!BI16)),IF(AND(s_Irr!M16=".",s_Irr!AK16=".",s_Irr!BI16&lt;&gt;"."),s_dir!N16/((1/1000)*(s_Irr!BI16)),IF(AND(s_Irr!M16=".",s_Irr!AK16&lt;&gt;".",s_Irr!BI16="."),s_dir!N16/((1/1000)*(s_Irr!AK16)),IF(AND(s_Irr!M16&lt;&gt;".",s_Irr!AK16=".",s_Irr!BI16="."),s_dir!N16/((1/1000)*(s_Irr!M16)),IF(AND(s_Irr!M16=".",s_Irr!AK16=".",s_Irr!BI16="."),s_dir!N16*1000)))))))),".")</f>
        <v>11.200609370013114</v>
      </c>
      <c r="O16" s="76">
        <f>IFERROR(IF(AND(s_Irr!N16&lt;&gt;".",s_Irr!AL16&lt;&gt;".",s_Irr!BJ16&lt;&gt;"."),s_dir!O16/((1/1000)*(s_Irr!N16+s_Irr!AL16+s_Irr!BJ16)),IF(AND(s_Irr!N16&lt;&gt;".",s_Irr!AL16&lt;&gt;".",s_Irr!BJ16="."),s_dir!O16/((1/1000)*(s_Irr!N16+s_Irr!AL16)),IF(AND(s_Irr!N16&lt;&gt;".",s_Irr!AL16=".",s_Irr!BJ16&lt;&gt;"."),s_dir!O16/((1/1000)*(s_Irr!N16+s_Irr!BJ16)),IF(AND(s_Irr!N16=".",s_Irr!AL16&lt;&gt;".",s_Irr!BJ16&lt;&gt;"."),s_dir!O16/((1/1000)*(s_Irr!AL16+s_Irr!BJ16)),IF(AND(s_Irr!N16=".",s_Irr!AL16=".",s_Irr!BJ16&lt;&gt;"."),s_dir!O16/((1/1000)*(s_Irr!BJ16)),IF(AND(s_Irr!N16=".",s_Irr!AL16&lt;&gt;".",s_Irr!BJ16="."),s_dir!O16/((1/1000)*(s_Irr!AL16)),IF(AND(s_Irr!N16&lt;&gt;".",s_Irr!AL16=".",s_Irr!BJ16="."),s_dir!O16/((1/1000)*(s_Irr!N16)),IF(AND(s_Irr!N16=".",s_Irr!AL16=".",s_Irr!BJ16="."),s_dir!O16*1000)))))))),".")</f>
        <v>24.239906511657544</v>
      </c>
      <c r="P16" s="76">
        <f>IFERROR(IF(AND(s_Irr!O16&lt;&gt;".",s_Irr!AM16&lt;&gt;".",s_Irr!BK16&lt;&gt;"."),s_dir!P16/((1/1000)*(s_Irr!O16+s_Irr!AM16+s_Irr!BK16)),IF(AND(s_Irr!O16&lt;&gt;".",s_Irr!AM16&lt;&gt;".",s_Irr!BK16="."),s_dir!P16/((1/1000)*(s_Irr!O16+s_Irr!AM16)),IF(AND(s_Irr!O16&lt;&gt;".",s_Irr!AM16=".",s_Irr!BK16&lt;&gt;"."),s_dir!P16/((1/1000)*(s_Irr!O16+s_Irr!BK16)),IF(AND(s_Irr!O16=".",s_Irr!AM16&lt;&gt;".",s_Irr!BK16&lt;&gt;"."),s_dir!P16/((1/1000)*(s_Irr!AM16+s_Irr!BK16)),IF(AND(s_Irr!O16=".",s_Irr!AM16=".",s_Irr!BK16&lt;&gt;"."),s_dir!P16/((1/1000)*(s_Irr!BK16)),IF(AND(s_Irr!O16=".",s_Irr!AM16&lt;&gt;".",s_Irr!BK16="."),s_dir!P16/((1/1000)*(s_Irr!AM16)),IF(AND(s_Irr!O16&lt;&gt;".",s_Irr!AM16=".",s_Irr!BK16="."),s_dir!P16/((1/1000)*(s_Irr!O16)),IF(AND(s_Irr!O16=".",s_Irr!AM16=".",s_Irr!BK16="."),s_dir!P16*1000)))))))),".")</f>
        <v>21.056769026986153</v>
      </c>
      <c r="Q16" s="76">
        <f>IFERROR(IF(AND(s_Irr!P16&lt;&gt;".",s_Irr!AN16&lt;&gt;".",s_Irr!BL16&lt;&gt;"."),s_dir!Q16/((1/1000)*(s_Irr!P16+s_Irr!AN16+s_Irr!BL16)),IF(AND(s_Irr!P16&lt;&gt;".",s_Irr!AN16&lt;&gt;".",s_Irr!BL16="."),s_dir!Q16/((1/1000)*(s_Irr!P16+s_Irr!AN16)),IF(AND(s_Irr!P16&lt;&gt;".",s_Irr!AN16=".",s_Irr!BL16&lt;&gt;"."),s_dir!Q16/((1/1000)*(s_Irr!P16+s_Irr!BL16)),IF(AND(s_Irr!P16=".",s_Irr!AN16&lt;&gt;".",s_Irr!BL16&lt;&gt;"."),s_dir!Q16/((1/1000)*(s_Irr!AN16+s_Irr!BL16)),IF(AND(s_Irr!P16=".",s_Irr!AN16=".",s_Irr!BL16&lt;&gt;"."),s_dir!Q16/((1/1000)*(s_Irr!BL16)),IF(AND(s_Irr!P16=".",s_Irr!AN16&lt;&gt;".",s_Irr!BL16="."),s_dir!Q16/((1/1000)*(s_Irr!AN16)),IF(AND(s_Irr!P16&lt;&gt;".",s_Irr!AN16=".",s_Irr!BL16="."),s_dir!Q16/((1/1000)*(s_Irr!P16)),IF(AND(s_Irr!P16=".",s_Irr!AN16=".",s_Irr!BL16="."),s_dir!Q16*1000)))))))),".")</f>
        <v>21.056769026986153</v>
      </c>
      <c r="R16" s="76">
        <f>IFERROR(IF(AND(s_Irr!Q16&lt;&gt;".",s_Irr!AO16&lt;&gt;".",s_Irr!BM16&lt;&gt;"."),s_dir!R16/((1/1000)*(s_Irr!Q16+s_Irr!AO16+s_Irr!BM16)),IF(AND(s_Irr!Q16&lt;&gt;".",s_Irr!AO16&lt;&gt;".",s_Irr!BM16="."),s_dir!R16/((1/1000)*(s_Irr!Q16+s_Irr!AO16)),IF(AND(s_Irr!Q16&lt;&gt;".",s_Irr!AO16=".",s_Irr!BM16&lt;&gt;"."),s_dir!R16/((1/1000)*(s_Irr!Q16+s_Irr!BM16)),IF(AND(s_Irr!Q16=".",s_Irr!AO16&lt;&gt;".",s_Irr!BM16&lt;&gt;"."),s_dir!R16/((1/1000)*(s_Irr!AO16+s_Irr!BM16)),IF(AND(s_Irr!Q16=".",s_Irr!AO16=".",s_Irr!BM16&lt;&gt;"."),s_dir!R16/((1/1000)*(s_Irr!BM16)),IF(AND(s_Irr!Q16=".",s_Irr!AO16&lt;&gt;".",s_Irr!BM16="."),s_dir!R16/((1/1000)*(s_Irr!AO16)),IF(AND(s_Irr!Q16&lt;&gt;".",s_Irr!AO16=".",s_Irr!BM16="."),s_dir!R16/((1/1000)*(s_Irr!Q16)),IF(AND(s_Irr!Q16=".",s_Irr!AO16=".",s_Irr!BM16="."),s_dir!R16*1000)))))))),".")</f>
        <v>22.585580690998075</v>
      </c>
      <c r="S16" s="76">
        <f>IFERROR(IF(AND(s_Irr!R16&lt;&gt;".",s_Irr!AP16&lt;&gt;".",s_Irr!BN16&lt;&gt;"."),s_dir!S16/((1/1000)*(s_Irr!R16+s_Irr!AP16+s_Irr!BN16)),IF(AND(s_Irr!R16&lt;&gt;".",s_Irr!AP16&lt;&gt;".",s_Irr!BN16="."),s_dir!S16/((1/1000)*(s_Irr!R16+s_Irr!AP16)),IF(AND(s_Irr!R16&lt;&gt;".",s_Irr!AP16=".",s_Irr!BN16&lt;&gt;"."),s_dir!S16/((1/1000)*(s_Irr!R16+s_Irr!BN16)),IF(AND(s_Irr!R16=".",s_Irr!AP16&lt;&gt;".",s_Irr!BN16&lt;&gt;"."),s_dir!S16/((1/1000)*(s_Irr!AP16+s_Irr!BN16)),IF(AND(s_Irr!R16=".",s_Irr!AP16=".",s_Irr!BN16&lt;&gt;"."),s_dir!S16/((1/1000)*(s_Irr!BN16)),IF(AND(s_Irr!R16=".",s_Irr!AP16&lt;&gt;".",s_Irr!BN16="."),s_dir!S16/((1/1000)*(s_Irr!AP16)),IF(AND(s_Irr!R16&lt;&gt;".",s_Irr!AP16=".",s_Irr!BN16="."),s_dir!S16/((1/1000)*(s_Irr!R16)),IF(AND(s_Irr!R16=".",s_Irr!AP16=".",s_Irr!BN16="."),s_dir!S16*1000)))))))),".")</f>
        <v>22.585580690998075</v>
      </c>
      <c r="T16" s="76">
        <f>IFERROR(IF(AND(s_Irr!S16&lt;&gt;".",s_Irr!AQ16&lt;&gt;".",s_Irr!BO16&lt;&gt;"."),s_dir!T16/((1/1000)*(s_Irr!S16+s_Irr!AQ16+s_Irr!BO16)),IF(AND(s_Irr!S16&lt;&gt;".",s_Irr!AQ16&lt;&gt;".",s_Irr!BO16="."),s_dir!T16/((1/1000)*(s_Irr!S16+s_Irr!AQ16)),IF(AND(s_Irr!S16&lt;&gt;".",s_Irr!AQ16=".",s_Irr!BO16&lt;&gt;"."),s_dir!T16/((1/1000)*(s_Irr!S16+s_Irr!BO16)),IF(AND(s_Irr!S16=".",s_Irr!AQ16&lt;&gt;".",s_Irr!BO16&lt;&gt;"."),s_dir!T16/((1/1000)*(s_Irr!AQ16+s_Irr!BO16)),IF(AND(s_Irr!S16=".",s_Irr!AQ16=".",s_Irr!BO16&lt;&gt;"."),s_dir!T16/((1/1000)*(s_Irr!BO16)),IF(AND(s_Irr!S16=".",s_Irr!AQ16&lt;&gt;".",s_Irr!BO16="."),s_dir!T16/((1/1000)*(s_Irr!AQ16)),IF(AND(s_Irr!S16&lt;&gt;".",s_Irr!AQ16=".",s_Irr!BO16="."),s_dir!T16/((1/1000)*(s_Irr!S16)),IF(AND(s_Irr!S16=".",s_Irr!AQ16=".",s_Irr!BO16="."),s_dir!T16*1000)))))))),".")</f>
        <v>24.239906511657544</v>
      </c>
      <c r="U16" s="76">
        <f>IFERROR(IF(AND(s_Irr!T16&lt;&gt;".",s_Irr!AR16&lt;&gt;".",s_Irr!BP16&lt;&gt;"."),s_dir!U16/((1/1000)*(s_Irr!T16+s_Irr!AR16+s_Irr!BP16)),IF(AND(s_Irr!T16&lt;&gt;".",s_Irr!AR16&lt;&gt;".",s_Irr!BP16="."),s_dir!U16/((1/1000)*(s_Irr!T16+s_Irr!AR16)),IF(AND(s_Irr!T16&lt;&gt;".",s_Irr!AR16=".",s_Irr!BP16&lt;&gt;"."),s_dir!U16/((1/1000)*(s_Irr!T16+s_Irr!BP16)),IF(AND(s_Irr!T16=".",s_Irr!AR16&lt;&gt;".",s_Irr!BP16&lt;&gt;"."),s_dir!U16/((1/1000)*(s_Irr!AR16+s_Irr!BP16)),IF(AND(s_Irr!T16=".",s_Irr!AR16=".",s_Irr!BP16&lt;&gt;"."),s_dir!U16/((1/1000)*(s_Irr!BP16)),IF(AND(s_Irr!T16=".",s_Irr!AR16&lt;&gt;".",s_Irr!BP16="."),s_dir!U16/((1/1000)*(s_Irr!AR16)),IF(AND(s_Irr!T16&lt;&gt;".",s_Irr!AR16=".",s_Irr!BP16="."),s_dir!U16/((1/1000)*(s_Irr!T16)),IF(AND(s_Irr!T16=".",s_Irr!AR16=".",s_Irr!BP16="."),s_dir!U16*1000)))))))),".")</f>
        <v>25.765781093542998</v>
      </c>
      <c r="V16" s="76">
        <f>IFERROR(IF(AND(s_Irr!U16&lt;&gt;".",s_Irr!AS16&lt;&gt;".",s_Irr!BQ16&lt;&gt;"."),s_dir!V16/((1/1000)*(s_Irr!U16+s_Irr!AS16+s_Irr!BQ16)),IF(AND(s_Irr!U16&lt;&gt;".",s_Irr!AS16&lt;&gt;".",s_Irr!BQ16="."),s_dir!V16/((1/1000)*(s_Irr!U16+s_Irr!AS16)),IF(AND(s_Irr!U16&lt;&gt;".",s_Irr!AS16=".",s_Irr!BQ16&lt;&gt;"."),s_dir!V16/((1/1000)*(s_Irr!U16+s_Irr!BQ16)),IF(AND(s_Irr!U16=".",s_Irr!AS16&lt;&gt;".",s_Irr!BQ16&lt;&gt;"."),s_dir!V16/((1/1000)*(s_Irr!AS16+s_Irr!BQ16)),IF(AND(s_Irr!U16=".",s_Irr!AS16=".",s_Irr!BQ16&lt;&gt;"."),s_dir!V16/((1/1000)*(s_Irr!BQ16)),IF(AND(s_Irr!U16=".",s_Irr!AS16&lt;&gt;".",s_Irr!BQ16="."),s_dir!V16/((1/1000)*(s_Irr!AS16)),IF(AND(s_Irr!U16&lt;&gt;".",s_Irr!AS16=".",s_Irr!BQ16="."),s_dir!V16/((1/1000)*(s_Irr!U16)),IF(AND(s_Irr!U16=".",s_Irr!AS16=".",s_Irr!BQ16="."),s_dir!V16*1000)))))))),".")</f>
        <v>21.056769026986153</v>
      </c>
      <c r="W16" s="76">
        <f>IFERROR(IF(AND(s_Irr!V16&lt;&gt;".",s_Irr!AT16&lt;&gt;".",s_Irr!BR16&lt;&gt;"."),s_dir!W16/((1/1000)*(s_Irr!V16+s_Irr!AT16+s_Irr!BR16)),IF(AND(s_Irr!V16&lt;&gt;".",s_Irr!AT16&lt;&gt;".",s_Irr!BR16="."),s_dir!W16/((1/1000)*(s_Irr!V16+s_Irr!AT16)),IF(AND(s_Irr!V16&lt;&gt;".",s_Irr!AT16=".",s_Irr!BR16&lt;&gt;"."),s_dir!W16/((1/1000)*(s_Irr!V16+s_Irr!BR16)),IF(AND(s_Irr!V16=".",s_Irr!AT16&lt;&gt;".",s_Irr!BR16&lt;&gt;"."),s_dir!W16/((1/1000)*(s_Irr!AT16+s_Irr!BR16)),IF(AND(s_Irr!V16=".",s_Irr!AT16=".",s_Irr!BR16&lt;&gt;"."),s_dir!W16/((1/1000)*(s_Irr!BR16)),IF(AND(s_Irr!V16=".",s_Irr!AT16&lt;&gt;".",s_Irr!BR16="."),s_dir!W16/((1/1000)*(s_Irr!AT16)),IF(AND(s_Irr!V16&lt;&gt;".",s_Irr!AT16=".",s_Irr!BR16="."),s_dir!W16/((1/1000)*(s_Irr!V16)),IF(AND(s_Irr!V16=".",s_Irr!AT16=".",s_Irr!BR16="."),s_dir!W16*1000)))))))),".")</f>
        <v>24.239906511657544</v>
      </c>
      <c r="X16" s="76">
        <f>IFERROR(IF(AND(s_Irr!W16&lt;&gt;".",s_Irr!AU16&lt;&gt;".",s_Irr!BS16&lt;&gt;"."),s_dir!X16/((1/1000)*(s_Irr!W16+s_Irr!AU16+s_Irr!BS16)),IF(AND(s_Irr!W16&lt;&gt;".",s_Irr!AU16&lt;&gt;".",s_Irr!BS16="."),s_dir!X16/((1/1000)*(s_Irr!W16+s_Irr!AU16)),IF(AND(s_Irr!W16&lt;&gt;".",s_Irr!AU16=".",s_Irr!BS16&lt;&gt;"."),s_dir!X16/((1/1000)*(s_Irr!W16+s_Irr!BS16)),IF(AND(s_Irr!W16=".",s_Irr!AU16&lt;&gt;".",s_Irr!BS16&lt;&gt;"."),s_dir!X16/((1/1000)*(s_Irr!AU16+s_Irr!BS16)),IF(AND(s_Irr!W16=".",s_Irr!AU16=".",s_Irr!BS16&lt;&gt;"."),s_dir!X16/((1/1000)*(s_Irr!BS16)),IF(AND(s_Irr!W16=".",s_Irr!AU16&lt;&gt;".",s_Irr!BS16="."),s_dir!X16/((1/1000)*(s_Irr!AU16)),IF(AND(s_Irr!W16&lt;&gt;".",s_Irr!AU16=".",s_Irr!BS16="."),s_dir!X16/((1/1000)*(s_Irr!W16)),IF(AND(s_Irr!W16=".",s_Irr!AU16=".",s_Irr!BS16="."),s_dir!X16*1000)))))))),".")</f>
        <v>22.585580690998075</v>
      </c>
      <c r="Y16" s="76">
        <f>IFERROR(IF(AND(s_Irr!X16&lt;&gt;".",s_Irr!AV16&lt;&gt;".",s_Irr!BT16&lt;&gt;"."),s_dir!Y16/((1/1000)*(s_Irr!X16+s_Irr!AV16+s_Irr!BT16)),IF(AND(s_Irr!X16&lt;&gt;".",s_Irr!AV16&lt;&gt;".",s_Irr!BT16="."),s_dir!Y16/((1/1000)*(s_Irr!X16+s_Irr!AV16)),IF(AND(s_Irr!X16&lt;&gt;".",s_Irr!AV16=".",s_Irr!BT16&lt;&gt;"."),s_dir!Y16/((1/1000)*(s_Irr!X16+s_Irr!BT16)),IF(AND(s_Irr!X16=".",s_Irr!AV16&lt;&gt;".",s_Irr!BT16&lt;&gt;"."),s_dir!Y16/((1/1000)*(s_Irr!AV16+s_Irr!BT16)),IF(AND(s_Irr!X16=".",s_Irr!AV16=".",s_Irr!BT16&lt;&gt;"."),s_dir!Y16/((1/1000)*(s_Irr!BT16)),IF(AND(s_Irr!X16=".",s_Irr!AV16&lt;&gt;".",s_Irr!BT16="."),s_dir!Y16/((1/1000)*(s_Irr!AV16)),IF(AND(s_Irr!X16&lt;&gt;".",s_Irr!AV16=".",s_Irr!BT16="."),s_dir!Y16/((1/1000)*(s_Irr!X16)),IF(AND(s_Irr!X16=".",s_Irr!AV16=".",s_Irr!BT16="."),s_dir!Y16*1000)))))))),".")</f>
        <v>21.056769026986153</v>
      </c>
      <c r="Z16" s="76">
        <f>IFERROR(IF(AND(s_Irr!Y16&lt;&gt;".",s_Irr!AW16&lt;&gt;".",s_Irr!BU16&lt;&gt;"."),s_dir!Z16/((1/1000)*(s_Irr!Y16+s_Irr!AW16+s_Irr!BU16)),IF(AND(s_Irr!Y16&lt;&gt;".",s_Irr!AW16&lt;&gt;".",s_Irr!BU16="."),s_dir!Z16/((1/1000)*(s_Irr!Y16+s_Irr!AW16)),IF(AND(s_Irr!Y16&lt;&gt;".",s_Irr!AW16=".",s_Irr!BU16&lt;&gt;"."),s_dir!Z16/((1/1000)*(s_Irr!Y16+s_Irr!BU16)),IF(AND(s_Irr!Y16=".",s_Irr!AW16&lt;&gt;".",s_Irr!BU16&lt;&gt;"."),s_dir!Z16/((1/1000)*(s_Irr!AW16+s_Irr!BU16)),IF(AND(s_Irr!Y16=".",s_Irr!AW16=".",s_Irr!BU16&lt;&gt;"."),s_dir!Z16/((1/1000)*(s_Irr!BU16)),IF(AND(s_Irr!Y16=".",s_Irr!AW16&lt;&gt;".",s_Irr!BU16="."),s_dir!Z16/((1/1000)*(s_Irr!AW16)),IF(AND(s_Irr!Y16&lt;&gt;".",s_Irr!AW16=".",s_Irr!BU16="."),s_dir!Z16/((1/1000)*(s_Irr!Y16)),IF(AND(s_Irr!Y16=".",s_Irr!AW16=".",s_Irr!BU16="."),s_dir!Z16*1000)))))))),".")</f>
        <v>26.292800389018513</v>
      </c>
      <c r="AA16" s="76">
        <f>IFERROR(IF(AND(s_Irr!Z16&lt;&gt;".",s_Irr!AX16&lt;&gt;".",s_Irr!BV16&lt;&gt;"."),s_dir!AA16/((1/1000)*(s_Irr!Z16+s_Irr!AX16+s_Irr!BV16)),IF(AND(s_Irr!Z16&lt;&gt;".",s_Irr!AX16&lt;&gt;".",s_Irr!BV16="."),s_dir!AA16/((1/1000)*(s_Irr!Z16+s_Irr!AX16)),IF(AND(s_Irr!Z16&lt;&gt;".",s_Irr!AX16=".",s_Irr!BV16&lt;&gt;"."),s_dir!AA16/((1/1000)*(s_Irr!Z16+s_Irr!BV16)),IF(AND(s_Irr!Z16=".",s_Irr!AX16&lt;&gt;".",s_Irr!BV16&lt;&gt;"."),s_dir!AA16/((1/1000)*(s_Irr!AX16+s_Irr!BV16)),IF(AND(s_Irr!Z16=".",s_Irr!AX16=".",s_Irr!BV16&lt;&gt;"."),s_dir!AA16/((1/1000)*(s_Irr!BV16)),IF(AND(s_Irr!Z16=".",s_Irr!AX16&lt;&gt;".",s_Irr!BV16="."),s_dir!AA16/((1/1000)*(s_Irr!AX16)),IF(AND(s_Irr!Z16&lt;&gt;".",s_Irr!AX16=".",s_Irr!BV16="."),s_dir!AA16/((1/1000)*(s_Irr!Z16)),IF(AND(s_Irr!Z16=".",s_Irr!AX16=".",s_Irr!BV16="."),s_dir!AA16*1000)))))))),".")</f>
        <v>22.262312828989213</v>
      </c>
      <c r="AB16" s="93">
        <f t="shared" si="19"/>
        <v>920.06238904888528</v>
      </c>
      <c r="AC16" s="93">
        <f>IFERROR(s_C*s_IFAP_res_adj*s_CF_apple*0.001*(s_Irr!C16+s_Irr!AA16+s_Irr!AY16),".")</f>
        <v>188.15245928625063</v>
      </c>
      <c r="AD16" s="93">
        <f>IFERROR(s_C*s_IFAS_res_adj*s_CF_asparagus*0.001*(s_Irr!D16+s_Irr!AB16+s_Irr!AZ16),".")</f>
        <v>379.40190672093479</v>
      </c>
      <c r="AE16" s="93">
        <f>IFERROR(s_C*s_IFBT_res_adj*s_CF_beet*0.001*(s_Irr!E16+s_Irr!AC16+s_Irr!BA16),".")</f>
        <v>201.81313410301377</v>
      </c>
      <c r="AF16" s="93">
        <f>IFERROR(s_C*s_IFBE_res_adj*s_CF_berries*0.001*(s_Irr!F16+s_Irr!AD16+s_Irr!BB16),".")</f>
        <v>188.15245928625063</v>
      </c>
      <c r="AG16" s="93">
        <f>IFERROR(s_C*s_IFBR_res_adj*s_CF_broccoli*0.001*(s_Irr!G16+s_Irr!AE16+s_Irr!BC16),".")</f>
        <v>201.81313410301377</v>
      </c>
      <c r="AH16" s="93">
        <f>IFERROR(s_C*s_IFCB_res_adj*s_CF_cabbage*0.001*(s_Irr!H16+s_Irr!AF16+s_Irr!BD16),".")</f>
        <v>379.40190672093479</v>
      </c>
      <c r="AI16" s="93">
        <f>IFERROR(s_C*s_IFCR_res_adj*s_CF_carrot*0.001*(s_Irr!I16+s_Irr!AG16+s_Irr!BE16),".")</f>
        <v>201.81313410301377</v>
      </c>
      <c r="AJ16" s="93">
        <f>IFERROR(s_C*s_IFCI_res_adj*s_CF_citrus*0.001*(s_Irr!J16+s_Irr!AH16+s_Irr!BF16),".")</f>
        <v>188.15245928625063</v>
      </c>
      <c r="AK16" s="93">
        <f>IFERROR(s_C*s_IFCO_res_adj*s_CF_corn*0.001*(s_Irr!K16+s_Irr!AI16+s_Irr!BG16),".")</f>
        <v>164.10967160874748</v>
      </c>
      <c r="AL16" s="93">
        <f>IFERROR(s_C*s_IFCU_res_adj*s_CF_cucumber*0.001*(s_Irr!L16+s_Irr!AJ16+s_Irr!BH16),".")</f>
        <v>201.81313410301377</v>
      </c>
      <c r="AM16" s="93">
        <f>IFERROR(s_C*s_IFLE_res_adj*s_CF_lettuce*0.001*(s_Irr!M16+s_Irr!AK16+s_Irr!BI16),".")</f>
        <v>379.40190672093479</v>
      </c>
      <c r="AN16" s="93">
        <f>IFERROR(s_C*s_IFLI_res_adj*s_CF_lima_bean*0.001*(s_Irr!N16+s_Irr!AL16+s_Irr!BJ16),".")</f>
        <v>175.31142495849323</v>
      </c>
      <c r="AO16" s="93">
        <f>IFERROR(s_C*s_IFOK_res_adj*s_CF_okra*0.001*(s_Irr!O16+s_Irr!AM16+s_Irr!BK16),".")</f>
        <v>201.81313410301377</v>
      </c>
      <c r="AP16" s="93">
        <f>IFERROR(s_C*s_IFON_res_adj*s_CF_onion*0.001*(s_Irr!P16+s_Irr!AN16+s_Irr!BL16),".")</f>
        <v>201.81313410301377</v>
      </c>
      <c r="AQ16" s="93">
        <f>IFERROR(s_C*s_IFPC_res_adj*s_CF_peach*0.001*(s_Irr!Q16+s_Irr!AO16+s_Irr!BM16),".")</f>
        <v>188.15245928625063</v>
      </c>
      <c r="AR16" s="93">
        <f>IFERROR(s_C*s_IFPR_res_adj*s_CF_pear*0.001*(s_Irr!R16+s_Irr!AP16+s_Irr!BN16),".")</f>
        <v>188.15245928625063</v>
      </c>
      <c r="AS16" s="93">
        <f>IFERROR(s_C*s_IFPE_res_adj*s_CF_peas*0.001*(s_Irr!S16+s_Irr!AQ16+s_Irr!BO16),".")</f>
        <v>175.31142495849323</v>
      </c>
      <c r="AT16" s="93">
        <f>IFERROR(s_C*s_IFPT_res_adj*s_CF_potato*0.001*(s_Irr!T16+s_Irr!AR16+s_Irr!BP16),".")</f>
        <v>164.92931209775327</v>
      </c>
      <c r="AU16" s="93">
        <f>IFERROR(s_C*s_IFPU_res_adj*s_CF_pumpkin*0.001*(s_Irr!U16+s_Irr!AS16+s_Irr!BQ16),".")</f>
        <v>201.81313410301377</v>
      </c>
      <c r="AV16" s="93">
        <f>IFERROR(s_C*s_IFSN_res_adj*s_CF_snap_bean*0.001*(s_Irr!V16+s_Irr!AT16+s_Irr!BR16),".")</f>
        <v>175.31142495849323</v>
      </c>
      <c r="AW16" s="93">
        <f>IFERROR(s_C*s_IFST_res_adj*s_CF_strawberry*0.001*(s_Irr!W16+s_Irr!AU16+s_Irr!BS16),".")</f>
        <v>188.15245928625063</v>
      </c>
      <c r="AX16" s="93">
        <f>IFERROR(s_C*s_IFTO_res_adj*s_CF_tomato*0.001*(s_Irr!X16+s_Irr!AV16+s_Irr!BT16),".")</f>
        <v>201.81313410301377</v>
      </c>
      <c r="AY16" s="93">
        <f>IFERROR(s_C*s_IFRI_res_adj*s_CF_rice*0.001*(s_Irr!Y16+s_Irr!AW16+s_Irr!BU16),".")</f>
        <v>161.62342879209658</v>
      </c>
      <c r="AZ16" s="93">
        <f>IFERROR(s_C*s_IFCG_res_adj*s_CF_cereal*0.001*(s_Irr!Z16+s_Irr!AX16+s_Irr!BV16),".")</f>
        <v>190.88459424960325</v>
      </c>
      <c r="BA16" s="76">
        <f t="shared" si="20"/>
        <v>4.6187439047609571</v>
      </c>
      <c r="BB16" s="76">
        <f>IFERROR(IF(AND(s_Irr!C16&lt;&gt;".",s_Irr!AA16&lt;&gt;".",s_Irr!AY16&lt;&gt;"."),s_dir!AC16/((1/1000)*(s_Irr!C16+s_Irr!AA16+s_Irr!AY16)),IF(AND(s_Irr!C16&lt;&gt;".",s_Irr!AA16&lt;&gt;".",s_Irr!AY16="."),s_dir!AC16/((1/1000)*(s_Irr!C16+s_Irr!AA16)),IF(AND(s_Irr!C16&lt;&gt;".",s_Irr!AA16=".",s_Irr!AY16&lt;&gt;"."),s_dir!AC16/((1/1000)*(s_Irr!C16+s_Irr!AY16)),IF(AND(s_Irr!C16=".",s_Irr!AA16&lt;&gt;".",s_Irr!AY16&lt;&gt;"."),s_dir!AC16/((1/1000)*(s_Irr!AA16+s_Irr!AY16)),IF(AND(s_Irr!C16=".",s_Irr!AA16=".",s_Irr!AY16&lt;&gt;"."),s_dir!AC16/((1/1000)*(s_Irr!AY16)),IF(AND(s_Irr!C16=".",s_Irr!AA16&lt;&gt;".",s_Irr!AY16="."),s_dir!AC16/((1/1000)*(s_Irr!AA16)),IF(AND(s_Irr!C16&lt;&gt;".",s_Irr!AA16=".",s_Irr!AY16="."),s_dir!AC16/((1/1000)*(s_Irr!C16)),IF(AND(s_Irr!C16=".",s_Irr!AA16=".",s_Irr!AY16="."),s_dir!AC16*1000)))))))),".")</f>
        <v>22.585580690998075</v>
      </c>
      <c r="BC16" s="76">
        <f>IFERROR(IF(AND(s_Irr!D16&lt;&gt;".",s_Irr!AB16&lt;&gt;".",s_Irr!AZ16&lt;&gt;"."),s_dir!AD16/((1/1000)*(s_Irr!D16+s_Irr!AB16+s_Irr!AZ16)),IF(AND(s_Irr!D16&lt;&gt;".",s_Irr!AB16&lt;&gt;".",s_Irr!AZ16="."),s_dir!AD16/((1/1000)*(s_Irr!D16+s_Irr!AB16)),IF(AND(s_Irr!D16&lt;&gt;".",s_Irr!AB16=".",s_Irr!AZ16&lt;&gt;"."),s_dir!AD16/((1/1000)*(s_Irr!D16+s_Irr!AZ16)),IF(AND(s_Irr!D16=".",s_Irr!AB16&lt;&gt;".",s_Irr!AZ16&lt;&gt;"."),s_dir!AD16/((1/1000)*(s_Irr!AB16+s_Irr!AZ16)),IF(AND(s_Irr!D16=".",s_Irr!AB16=".",s_Irr!AZ16&lt;&gt;"."),s_dir!AD16/((1/1000)*(s_Irr!AZ16)),IF(AND(s_Irr!D16=".",s_Irr!AB16&lt;&gt;".",s_Irr!AZ16="."),s_dir!AD16/((1/1000)*(s_Irr!AB16)),IF(AND(s_Irr!D16&lt;&gt;".",s_Irr!AB16=".",s_Irr!AZ16="."),s_dir!AD16/((1/1000)*(s_Irr!D16)),IF(AND(s_Irr!D16=".",s_Irr!AB16=".",s_Irr!AZ16="."),s_dir!AD16*1000)))))))),".")</f>
        <v>11.200609370013114</v>
      </c>
      <c r="BD16" s="76">
        <f>IFERROR(IF(AND(s_Irr!E16&lt;&gt;".",s_Irr!AC16&lt;&gt;".",s_Irr!BA16&lt;&gt;"."),s_dir!AE16/((1/1000)*(s_Irr!E16+s_Irr!AC16+s_Irr!BA16)),IF(AND(s_Irr!E16&lt;&gt;".",s_Irr!AC16&lt;&gt;".",s_Irr!BA16="."),s_dir!AE16/((1/1000)*(s_Irr!E16+s_Irr!AC16)),IF(AND(s_Irr!E16&lt;&gt;".",s_Irr!AC16=".",s_Irr!BA16&lt;&gt;"."),s_dir!AE16/((1/1000)*(s_Irr!E16+s_Irr!BA16)),IF(AND(s_Irr!E16=".",s_Irr!AC16&lt;&gt;".",s_Irr!BA16&lt;&gt;"."),s_dir!AE16/((1/1000)*(s_Irr!AC16+s_Irr!BA16)),IF(AND(s_Irr!E16=".",s_Irr!AC16=".",s_Irr!BA16&lt;&gt;"."),s_dir!AE16/((1/1000)*(s_Irr!BA16)),IF(AND(s_Irr!E16=".",s_Irr!AC16&lt;&gt;".",s_Irr!BA16="."),s_dir!AE16/((1/1000)*(s_Irr!AC16)),IF(AND(s_Irr!E16&lt;&gt;".",s_Irr!AC16=".",s_Irr!BA16="."),s_dir!AE16/((1/1000)*(s_Irr!E16)),IF(AND(s_Irr!E16=".",s_Irr!AC16=".",s_Irr!BA16="."),s_dir!AE16*1000)))))))),".")</f>
        <v>21.056769026986153</v>
      </c>
      <c r="BE16" s="76">
        <f>IFERROR(IF(AND(s_Irr!F16&lt;&gt;".",s_Irr!AD16&lt;&gt;".",s_Irr!BB16&lt;&gt;"."),s_dir!AF16/((1/1000)*(s_Irr!F16+s_Irr!AD16+s_Irr!BB16)),IF(AND(s_Irr!F16&lt;&gt;".",s_Irr!AD16&lt;&gt;".",s_Irr!BB16="."),s_dir!AF16/((1/1000)*(s_Irr!F16+s_Irr!AD16)),IF(AND(s_Irr!F16&lt;&gt;".",s_Irr!AD16=".",s_Irr!BB16&lt;&gt;"."),s_dir!AF16/((1/1000)*(s_Irr!F16+s_Irr!BB16)),IF(AND(s_Irr!F16=".",s_Irr!AD16&lt;&gt;".",s_Irr!BB16&lt;&gt;"."),s_dir!AF16/((1/1000)*(s_Irr!AD16+s_Irr!BB16)),IF(AND(s_Irr!F16=".",s_Irr!AD16=".",s_Irr!BB16&lt;&gt;"."),s_dir!AF16/((1/1000)*(s_Irr!BB16)),IF(AND(s_Irr!F16=".",s_Irr!AD16&lt;&gt;".",s_Irr!BB16="."),s_dir!AF16/((1/1000)*(s_Irr!AD16)),IF(AND(s_Irr!F16&lt;&gt;".",s_Irr!AD16=".",s_Irr!BB16="."),s_dir!AF16/((1/1000)*(s_Irr!F16)),IF(AND(s_Irr!F16=".",s_Irr!AD16=".",s_Irr!BB16="."),s_dir!AF16*1000)))))))),".")</f>
        <v>22.585580690998075</v>
      </c>
      <c r="BF16" s="76">
        <f>IFERROR(IF(AND(s_Irr!G16&lt;&gt;".",s_Irr!AE16&lt;&gt;".",s_Irr!BC16&lt;&gt;"."),s_dir!AG16/((1/1000)*(s_Irr!G16+s_Irr!AE16+s_Irr!BC16)),IF(AND(s_Irr!G16&lt;&gt;".",s_Irr!AE16&lt;&gt;".",s_Irr!BC16="."),s_dir!AG16/((1/1000)*(s_Irr!G16+s_Irr!AE16)),IF(AND(s_Irr!G16&lt;&gt;".",s_Irr!AE16=".",s_Irr!BC16&lt;&gt;"."),s_dir!AG16/((1/1000)*(s_Irr!G16+s_Irr!BC16)),IF(AND(s_Irr!G16=".",s_Irr!AE16&lt;&gt;".",s_Irr!BC16&lt;&gt;"."),s_dir!AG16/((1/1000)*(s_Irr!AE16+s_Irr!BC16)),IF(AND(s_Irr!G16=".",s_Irr!AE16=".",s_Irr!BC16&lt;&gt;"."),s_dir!AG16/((1/1000)*(s_Irr!BC16)),IF(AND(s_Irr!G16=".",s_Irr!AE16&lt;&gt;".",s_Irr!BC16="."),s_dir!AG16/((1/1000)*(s_Irr!AE16)),IF(AND(s_Irr!G16&lt;&gt;".",s_Irr!AE16=".",s_Irr!BC16="."),s_dir!AG16/((1/1000)*(s_Irr!G16)),IF(AND(s_Irr!G16=".",s_Irr!AE16=".",s_Irr!BC16="."),s_dir!AG16*1000)))))))),".")</f>
        <v>21.056769026986153</v>
      </c>
      <c r="BG16" s="76">
        <f>IFERROR(IF(AND(s_Irr!H16&lt;&gt;".",s_Irr!AF16&lt;&gt;".",s_Irr!BD16&lt;&gt;"."),s_dir!AH16/((1/1000)*(s_Irr!H16+s_Irr!AF16+s_Irr!BD16)),IF(AND(s_Irr!H16&lt;&gt;".",s_Irr!AF16&lt;&gt;".",s_Irr!BD16="."),s_dir!AH16/((1/1000)*(s_Irr!H16+s_Irr!AF16)),IF(AND(s_Irr!H16&lt;&gt;".",s_Irr!AF16=".",s_Irr!BD16&lt;&gt;"."),s_dir!AH16/((1/1000)*(s_Irr!H16+s_Irr!BD16)),IF(AND(s_Irr!H16=".",s_Irr!AF16&lt;&gt;".",s_Irr!BD16&lt;&gt;"."),s_dir!AH16/((1/1000)*(s_Irr!AF16+s_Irr!BD16)),IF(AND(s_Irr!H16=".",s_Irr!AF16=".",s_Irr!BD16&lt;&gt;"."),s_dir!AH16/((1/1000)*(s_Irr!BD16)),IF(AND(s_Irr!H16=".",s_Irr!AF16&lt;&gt;".",s_Irr!BD16="."),s_dir!AH16/((1/1000)*(s_Irr!AF16)),IF(AND(s_Irr!H16&lt;&gt;".",s_Irr!AF16=".",s_Irr!BD16="."),s_dir!AH16/((1/1000)*(s_Irr!H16)),IF(AND(s_Irr!H16=".",s_Irr!AF16=".",s_Irr!BD16="."),s_dir!AH16*1000)))))))),".")</f>
        <v>11.200609370013114</v>
      </c>
      <c r="BH16" s="76">
        <f>IFERROR(IF(AND(s_Irr!I16&lt;&gt;".",s_Irr!AG16&lt;&gt;".",s_Irr!BE16&lt;&gt;"."),s_dir!AI16/((1/1000)*(s_Irr!I16+s_Irr!AG16+s_Irr!BE16)),IF(AND(s_Irr!I16&lt;&gt;".",s_Irr!AG16&lt;&gt;".",s_Irr!BE16="."),s_dir!AI16/((1/1000)*(s_Irr!I16+s_Irr!AG16)),IF(AND(s_Irr!I16&lt;&gt;".",s_Irr!AG16=".",s_Irr!BE16&lt;&gt;"."),s_dir!AI16/((1/1000)*(s_Irr!I16+s_Irr!BE16)),IF(AND(s_Irr!I16=".",s_Irr!AG16&lt;&gt;".",s_Irr!BE16&lt;&gt;"."),s_dir!AI16/((1/1000)*(s_Irr!AG16+s_Irr!BE16)),IF(AND(s_Irr!I16=".",s_Irr!AG16=".",s_Irr!BE16&lt;&gt;"."),s_dir!AI16/((1/1000)*(s_Irr!BE16)),IF(AND(s_Irr!I16=".",s_Irr!AG16&lt;&gt;".",s_Irr!BE16="."),s_dir!AI16/((1/1000)*(s_Irr!AG16)),IF(AND(s_Irr!I16&lt;&gt;".",s_Irr!AG16=".",s_Irr!BE16="."),s_dir!AI16/((1/1000)*(s_Irr!I16)),IF(AND(s_Irr!I16=".",s_Irr!AG16=".",s_Irr!BE16="."),s_dir!AI16*1000)))))))),".")</f>
        <v>21.056769026986153</v>
      </c>
      <c r="BI16" s="76">
        <f>IFERROR(IF(AND(s_Irr!J16&lt;&gt;".",s_Irr!AH16&lt;&gt;".",s_Irr!BF16&lt;&gt;"."),s_dir!AJ16/((1/1000)*(s_Irr!J16+s_Irr!AH16+s_Irr!BF16)),IF(AND(s_Irr!J16&lt;&gt;".",s_Irr!AH16&lt;&gt;".",s_Irr!BF16="."),s_dir!AJ16/((1/1000)*(s_Irr!J16+s_Irr!AH16)),IF(AND(s_Irr!J16&lt;&gt;".",s_Irr!AH16=".",s_Irr!BF16&lt;&gt;"."),s_dir!AJ16/((1/1000)*(s_Irr!J16+s_Irr!BF16)),IF(AND(s_Irr!J16=".",s_Irr!AH16&lt;&gt;".",s_Irr!BF16&lt;&gt;"."),s_dir!AJ16/((1/1000)*(s_Irr!AH16+s_Irr!BF16)),IF(AND(s_Irr!J16=".",s_Irr!AH16=".",s_Irr!BF16&lt;&gt;"."),s_dir!AJ16/((1/1000)*(s_Irr!BF16)),IF(AND(s_Irr!J16=".",s_Irr!AH16&lt;&gt;".",s_Irr!BF16="."),s_dir!AJ16/((1/1000)*(s_Irr!AH16)),IF(AND(s_Irr!J16&lt;&gt;".",s_Irr!AH16=".",s_Irr!BF16="."),s_dir!AJ16/((1/1000)*(s_Irr!J16)),IF(AND(s_Irr!J16=".",s_Irr!AH16=".",s_Irr!BF16="."),s_dir!AJ16*1000)))))))),".")</f>
        <v>22.585580690998075</v>
      </c>
      <c r="BJ16" s="76">
        <f>IFERROR(IF(AND(s_Irr!K16&lt;&gt;".",s_Irr!AI16&lt;&gt;".",s_Irr!BG16&lt;&gt;"."),s_dir!AK16/((1/1000)*(s_Irr!K16+s_Irr!AI16+s_Irr!BG16)),IF(AND(s_Irr!K16&lt;&gt;".",s_Irr!AI16&lt;&gt;".",s_Irr!BG16="."),s_dir!AK16/((1/1000)*(s_Irr!K16+s_Irr!AI16)),IF(AND(s_Irr!K16&lt;&gt;".",s_Irr!AI16=".",s_Irr!BG16&lt;&gt;"."),s_dir!AK16/((1/1000)*(s_Irr!K16+s_Irr!BG16)),IF(AND(s_Irr!K16=".",s_Irr!AI16&lt;&gt;".",s_Irr!BG16&lt;&gt;"."),s_dir!AK16/((1/1000)*(s_Irr!AI16+s_Irr!BG16)),IF(AND(s_Irr!K16=".",s_Irr!AI16=".",s_Irr!BG16&lt;&gt;"."),s_dir!AK16/((1/1000)*(s_Irr!BG16)),IF(AND(s_Irr!K16=".",s_Irr!AI16&lt;&gt;".",s_Irr!BG16="."),s_dir!AK16/((1/1000)*(s_Irr!AI16)),IF(AND(s_Irr!K16&lt;&gt;".",s_Irr!AI16=".",s_Irr!BG16="."),s_dir!AK16/((1/1000)*(s_Irr!K16)),IF(AND(s_Irr!K16=".",s_Irr!AI16=".",s_Irr!BG16="."),s_dir!AK16*1000)))))))),".")</f>
        <v>25.894467460459119</v>
      </c>
      <c r="BK16" s="76">
        <f>IFERROR(IF(AND(s_Irr!L16&lt;&gt;".",s_Irr!AJ16&lt;&gt;".",s_Irr!BH16&lt;&gt;"."),s_dir!AL16/((1/1000)*(s_Irr!L16+s_Irr!AJ16+s_Irr!BH16)),IF(AND(s_Irr!L16&lt;&gt;".",s_Irr!AJ16&lt;&gt;".",s_Irr!BH16="."),s_dir!AL16/((1/1000)*(s_Irr!L16+s_Irr!AJ16)),IF(AND(s_Irr!L16&lt;&gt;".",s_Irr!AJ16=".",s_Irr!BH16&lt;&gt;"."),s_dir!AL16/((1/1000)*(s_Irr!L16+s_Irr!BH16)),IF(AND(s_Irr!L16=".",s_Irr!AJ16&lt;&gt;".",s_Irr!BH16&lt;&gt;"."),s_dir!AL16/((1/1000)*(s_Irr!AJ16+s_Irr!BH16)),IF(AND(s_Irr!L16=".",s_Irr!AJ16=".",s_Irr!BH16&lt;&gt;"."),s_dir!AL16/((1/1000)*(s_Irr!BH16)),IF(AND(s_Irr!L16=".",s_Irr!AJ16&lt;&gt;".",s_Irr!BH16="."),s_dir!AL16/((1/1000)*(s_Irr!AJ16)),IF(AND(s_Irr!L16&lt;&gt;".",s_Irr!AJ16=".",s_Irr!BH16="."),s_dir!AL16/((1/1000)*(s_Irr!L16)),IF(AND(s_Irr!L16=".",s_Irr!AJ16=".",s_Irr!BH16="."),s_dir!AL16*1000)))))))),".")</f>
        <v>21.056769026986153</v>
      </c>
      <c r="BL16" s="76">
        <f>IFERROR(IF(AND(s_Irr!M16&lt;&gt;".",s_Irr!AK16&lt;&gt;".",s_Irr!BI16&lt;&gt;"."),s_dir!AM16/((1/1000)*(s_Irr!M16+s_Irr!AK16+s_Irr!BI16)),IF(AND(s_Irr!M16&lt;&gt;".",s_Irr!AK16&lt;&gt;".",s_Irr!BI16="."),s_dir!AM16/((1/1000)*(s_Irr!M16+s_Irr!AK16)),IF(AND(s_Irr!M16&lt;&gt;".",s_Irr!AK16=".",s_Irr!BI16&lt;&gt;"."),s_dir!AM16/((1/1000)*(s_Irr!M16+s_Irr!BI16)),IF(AND(s_Irr!M16=".",s_Irr!AK16&lt;&gt;".",s_Irr!BI16&lt;&gt;"."),s_dir!AM16/((1/1000)*(s_Irr!AK16+s_Irr!BI16)),IF(AND(s_Irr!M16=".",s_Irr!AK16=".",s_Irr!BI16&lt;&gt;"."),s_dir!AM16/((1/1000)*(s_Irr!BI16)),IF(AND(s_Irr!M16=".",s_Irr!AK16&lt;&gt;".",s_Irr!BI16="."),s_dir!AM16/((1/1000)*(s_Irr!AK16)),IF(AND(s_Irr!M16&lt;&gt;".",s_Irr!AK16=".",s_Irr!BI16="."),s_dir!AM16/((1/1000)*(s_Irr!M16)),IF(AND(s_Irr!M16=".",s_Irr!AK16=".",s_Irr!BI16="."),s_dir!AM16*1000)))))))),".")</f>
        <v>11.200609370013114</v>
      </c>
      <c r="BM16" s="76">
        <f>IFERROR(IF(AND(s_Irr!N16&lt;&gt;".",s_Irr!AL16&lt;&gt;".",s_Irr!BJ16&lt;&gt;"."),s_dir!AN16/((1/1000)*(s_Irr!N16+s_Irr!AL16+s_Irr!BJ16)),IF(AND(s_Irr!N16&lt;&gt;".",s_Irr!AL16&lt;&gt;".",s_Irr!BJ16="."),s_dir!AN16/((1/1000)*(s_Irr!N16+s_Irr!AL16)),IF(AND(s_Irr!N16&lt;&gt;".",s_Irr!AL16=".",s_Irr!BJ16&lt;&gt;"."),s_dir!AN16/((1/1000)*(s_Irr!N16+s_Irr!BJ16)),IF(AND(s_Irr!N16=".",s_Irr!AL16&lt;&gt;".",s_Irr!BJ16&lt;&gt;"."),s_dir!AN16/((1/1000)*(s_Irr!AL16+s_Irr!BJ16)),IF(AND(s_Irr!N16=".",s_Irr!AL16=".",s_Irr!BJ16&lt;&gt;"."),s_dir!AN16/((1/1000)*(s_Irr!BJ16)),IF(AND(s_Irr!N16=".",s_Irr!AL16&lt;&gt;".",s_Irr!BJ16="."),s_dir!AN16/((1/1000)*(s_Irr!AL16)),IF(AND(s_Irr!N16&lt;&gt;".",s_Irr!AL16=".",s_Irr!BJ16="."),s_dir!AN16/((1/1000)*(s_Irr!N16)),IF(AND(s_Irr!N16=".",s_Irr!AL16=".",s_Irr!BJ16="."),s_dir!AN16*1000)))))))),".")</f>
        <v>24.239906511657544</v>
      </c>
      <c r="BN16" s="76">
        <f>IFERROR(IF(AND(s_Irr!O16&lt;&gt;".",s_Irr!AM16&lt;&gt;".",s_Irr!BK16&lt;&gt;"."),s_dir!AO16/((1/1000)*(s_Irr!O16+s_Irr!AM16+s_Irr!BK16)),IF(AND(s_Irr!O16&lt;&gt;".",s_Irr!AM16&lt;&gt;".",s_Irr!BK16="."),s_dir!AO16/((1/1000)*(s_Irr!O16+s_Irr!AM16)),IF(AND(s_Irr!O16&lt;&gt;".",s_Irr!AM16=".",s_Irr!BK16&lt;&gt;"."),s_dir!AO16/((1/1000)*(s_Irr!O16+s_Irr!BK16)),IF(AND(s_Irr!O16=".",s_Irr!AM16&lt;&gt;".",s_Irr!BK16&lt;&gt;"."),s_dir!AO16/((1/1000)*(s_Irr!AM16+s_Irr!BK16)),IF(AND(s_Irr!O16=".",s_Irr!AM16=".",s_Irr!BK16&lt;&gt;"."),s_dir!AO16/((1/1000)*(s_Irr!BK16)),IF(AND(s_Irr!O16=".",s_Irr!AM16&lt;&gt;".",s_Irr!BK16="."),s_dir!AO16/((1/1000)*(s_Irr!AM16)),IF(AND(s_Irr!O16&lt;&gt;".",s_Irr!AM16=".",s_Irr!BK16="."),s_dir!AO16/((1/1000)*(s_Irr!O16)),IF(AND(s_Irr!O16=".",s_Irr!AM16=".",s_Irr!BK16="."),s_dir!AO16*1000)))))))),".")</f>
        <v>21.056769026986153</v>
      </c>
      <c r="BO16" s="76">
        <f>IFERROR(IF(AND(s_Irr!P16&lt;&gt;".",s_Irr!AN16&lt;&gt;".",s_Irr!BL16&lt;&gt;"."),s_dir!AP16/((1/1000)*(s_Irr!P16+s_Irr!AN16+s_Irr!BL16)),IF(AND(s_Irr!P16&lt;&gt;".",s_Irr!AN16&lt;&gt;".",s_Irr!BL16="."),s_dir!AP16/((1/1000)*(s_Irr!P16+s_Irr!AN16)),IF(AND(s_Irr!P16&lt;&gt;".",s_Irr!AN16=".",s_Irr!BL16&lt;&gt;"."),s_dir!AP16/((1/1000)*(s_Irr!P16+s_Irr!BL16)),IF(AND(s_Irr!P16=".",s_Irr!AN16&lt;&gt;".",s_Irr!BL16&lt;&gt;"."),s_dir!AP16/((1/1000)*(s_Irr!AN16+s_Irr!BL16)),IF(AND(s_Irr!P16=".",s_Irr!AN16=".",s_Irr!BL16&lt;&gt;"."),s_dir!AP16/((1/1000)*(s_Irr!BL16)),IF(AND(s_Irr!P16=".",s_Irr!AN16&lt;&gt;".",s_Irr!BL16="."),s_dir!AP16/((1/1000)*(s_Irr!AN16)),IF(AND(s_Irr!P16&lt;&gt;".",s_Irr!AN16=".",s_Irr!BL16="."),s_dir!AP16/((1/1000)*(s_Irr!P16)),IF(AND(s_Irr!P16=".",s_Irr!AN16=".",s_Irr!BL16="."),s_dir!AP16*1000)))))))),".")</f>
        <v>21.056769026986153</v>
      </c>
      <c r="BP16" s="76">
        <f>IFERROR(IF(AND(s_Irr!Q16&lt;&gt;".",s_Irr!AO16&lt;&gt;".",s_Irr!BM16&lt;&gt;"."),s_dir!AQ16/((1/1000)*(s_Irr!Q16+s_Irr!AO16+s_Irr!BM16)),IF(AND(s_Irr!Q16&lt;&gt;".",s_Irr!AO16&lt;&gt;".",s_Irr!BM16="."),s_dir!AQ16/((1/1000)*(s_Irr!Q16+s_Irr!AO16)),IF(AND(s_Irr!Q16&lt;&gt;".",s_Irr!AO16=".",s_Irr!BM16&lt;&gt;"."),s_dir!AQ16/((1/1000)*(s_Irr!Q16+s_Irr!BM16)),IF(AND(s_Irr!Q16=".",s_Irr!AO16&lt;&gt;".",s_Irr!BM16&lt;&gt;"."),s_dir!AQ16/((1/1000)*(s_Irr!AO16+s_Irr!BM16)),IF(AND(s_Irr!Q16=".",s_Irr!AO16=".",s_Irr!BM16&lt;&gt;"."),s_dir!AQ16/((1/1000)*(s_Irr!BM16)),IF(AND(s_Irr!Q16=".",s_Irr!AO16&lt;&gt;".",s_Irr!BM16="."),s_dir!AQ16/((1/1000)*(s_Irr!AO16)),IF(AND(s_Irr!Q16&lt;&gt;".",s_Irr!AO16=".",s_Irr!BM16="."),s_dir!AQ16/((1/1000)*(s_Irr!Q16)),IF(AND(s_Irr!Q16=".",s_Irr!AO16=".",s_Irr!BM16="."),s_dir!AQ16*1000)))))))),".")</f>
        <v>22.585580690998075</v>
      </c>
      <c r="BQ16" s="76">
        <f>IFERROR(IF(AND(s_Irr!R16&lt;&gt;".",s_Irr!AP16&lt;&gt;".",s_Irr!BN16&lt;&gt;"."),s_dir!AR16/((1/1000)*(s_Irr!R16+s_Irr!AP16+s_Irr!BN16)),IF(AND(s_Irr!R16&lt;&gt;".",s_Irr!AP16&lt;&gt;".",s_Irr!BN16="."),s_dir!AR16/((1/1000)*(s_Irr!R16+s_Irr!AP16)),IF(AND(s_Irr!R16&lt;&gt;".",s_Irr!AP16=".",s_Irr!BN16&lt;&gt;"."),s_dir!AR16/((1/1000)*(s_Irr!R16+s_Irr!BN16)),IF(AND(s_Irr!R16=".",s_Irr!AP16&lt;&gt;".",s_Irr!BN16&lt;&gt;"."),s_dir!AR16/((1/1000)*(s_Irr!AP16+s_Irr!BN16)),IF(AND(s_Irr!R16=".",s_Irr!AP16=".",s_Irr!BN16&lt;&gt;"."),s_dir!AR16/((1/1000)*(s_Irr!BN16)),IF(AND(s_Irr!R16=".",s_Irr!AP16&lt;&gt;".",s_Irr!BN16="."),s_dir!AR16/((1/1000)*(s_Irr!AP16)),IF(AND(s_Irr!R16&lt;&gt;".",s_Irr!AP16=".",s_Irr!BN16="."),s_dir!AR16/((1/1000)*(s_Irr!R16)),IF(AND(s_Irr!R16=".",s_Irr!AP16=".",s_Irr!BN16="."),s_dir!AR16*1000)))))))),".")</f>
        <v>22.585580690998075</v>
      </c>
      <c r="BR16" s="76">
        <f>IFERROR(IF(AND(s_Irr!S16&lt;&gt;".",s_Irr!AQ16&lt;&gt;".",s_Irr!BO16&lt;&gt;"."),s_dir!AS16/((1/1000)*(s_Irr!S16+s_Irr!AQ16+s_Irr!BO16)),IF(AND(s_Irr!S16&lt;&gt;".",s_Irr!AQ16&lt;&gt;".",s_Irr!BO16="."),s_dir!AS16/((1/1000)*(s_Irr!S16+s_Irr!AQ16)),IF(AND(s_Irr!S16&lt;&gt;".",s_Irr!AQ16=".",s_Irr!BO16&lt;&gt;"."),s_dir!AS16/((1/1000)*(s_Irr!S16+s_Irr!BO16)),IF(AND(s_Irr!S16=".",s_Irr!AQ16&lt;&gt;".",s_Irr!BO16&lt;&gt;"."),s_dir!AS16/((1/1000)*(s_Irr!AQ16+s_Irr!BO16)),IF(AND(s_Irr!S16=".",s_Irr!AQ16=".",s_Irr!BO16&lt;&gt;"."),s_dir!AS16/((1/1000)*(s_Irr!BO16)),IF(AND(s_Irr!S16=".",s_Irr!AQ16&lt;&gt;".",s_Irr!BO16="."),s_dir!AS16/((1/1000)*(s_Irr!AQ16)),IF(AND(s_Irr!S16&lt;&gt;".",s_Irr!AQ16=".",s_Irr!BO16="."),s_dir!AS16/((1/1000)*(s_Irr!S16)),IF(AND(s_Irr!S16=".",s_Irr!AQ16=".",s_Irr!BO16="."),s_dir!AS16*1000)))))))),".")</f>
        <v>24.239906511657544</v>
      </c>
      <c r="BS16" s="76">
        <f>IFERROR(IF(AND(s_Irr!T16&lt;&gt;".",s_Irr!AR16&lt;&gt;".",s_Irr!BP16&lt;&gt;"."),s_dir!AT16/((1/1000)*(s_Irr!T16+s_Irr!AR16+s_Irr!BP16)),IF(AND(s_Irr!T16&lt;&gt;".",s_Irr!AR16&lt;&gt;".",s_Irr!BP16="."),s_dir!AT16/((1/1000)*(s_Irr!T16+s_Irr!AR16)),IF(AND(s_Irr!T16&lt;&gt;".",s_Irr!AR16=".",s_Irr!BP16&lt;&gt;"."),s_dir!AT16/((1/1000)*(s_Irr!T16+s_Irr!BP16)),IF(AND(s_Irr!T16=".",s_Irr!AR16&lt;&gt;".",s_Irr!BP16&lt;&gt;"."),s_dir!AT16/((1/1000)*(s_Irr!AR16+s_Irr!BP16)),IF(AND(s_Irr!T16=".",s_Irr!AR16=".",s_Irr!BP16&lt;&gt;"."),s_dir!AT16/((1/1000)*(s_Irr!BP16)),IF(AND(s_Irr!T16=".",s_Irr!AR16&lt;&gt;".",s_Irr!BP16="."),s_dir!AT16/((1/1000)*(s_Irr!AR16)),IF(AND(s_Irr!T16&lt;&gt;".",s_Irr!AR16=".",s_Irr!BP16="."),s_dir!AT16/((1/1000)*(s_Irr!T16)),IF(AND(s_Irr!T16=".",s_Irr!AR16=".",s_Irr!BP16="."),s_dir!AT16*1000)))))))),".")</f>
        <v>25.765781093542998</v>
      </c>
      <c r="BT16" s="76">
        <f>IFERROR(IF(AND(s_Irr!U16&lt;&gt;".",s_Irr!AS16&lt;&gt;".",s_Irr!BQ16&lt;&gt;"."),s_dir!AU16/((1/1000)*(s_Irr!U16+s_Irr!AS16+s_Irr!BQ16)),IF(AND(s_Irr!U16&lt;&gt;".",s_Irr!AS16&lt;&gt;".",s_Irr!BQ16="."),s_dir!AU16/((1/1000)*(s_Irr!U16+s_Irr!AS16)),IF(AND(s_Irr!U16&lt;&gt;".",s_Irr!AS16=".",s_Irr!BQ16&lt;&gt;"."),s_dir!AU16/((1/1000)*(s_Irr!U16+s_Irr!BQ16)),IF(AND(s_Irr!U16=".",s_Irr!AS16&lt;&gt;".",s_Irr!BQ16&lt;&gt;"."),s_dir!AU16/((1/1000)*(s_Irr!AS16+s_Irr!BQ16)),IF(AND(s_Irr!U16=".",s_Irr!AS16=".",s_Irr!BQ16&lt;&gt;"."),s_dir!AU16/((1/1000)*(s_Irr!BQ16)),IF(AND(s_Irr!U16=".",s_Irr!AS16&lt;&gt;".",s_Irr!BQ16="."),s_dir!AU16/((1/1000)*(s_Irr!AS16)),IF(AND(s_Irr!U16&lt;&gt;".",s_Irr!AS16=".",s_Irr!BQ16="."),s_dir!AU16/((1/1000)*(s_Irr!U16)),IF(AND(s_Irr!U16=".",s_Irr!AS16=".",s_Irr!BQ16="."),s_dir!AU16*1000)))))))),".")</f>
        <v>21.056769026986153</v>
      </c>
      <c r="BU16" s="76">
        <f>IFERROR(IF(AND(s_Irr!V16&lt;&gt;".",s_Irr!AT16&lt;&gt;".",s_Irr!BR16&lt;&gt;"."),s_dir!AV16/((1/1000)*(s_Irr!V16+s_Irr!AT16+s_Irr!BR16)),IF(AND(s_Irr!V16&lt;&gt;".",s_Irr!AT16&lt;&gt;".",s_Irr!BR16="."),s_dir!AV16/((1/1000)*(s_Irr!V16+s_Irr!AT16)),IF(AND(s_Irr!V16&lt;&gt;".",s_Irr!AT16=".",s_Irr!BR16&lt;&gt;"."),s_dir!AV16/((1/1000)*(s_Irr!V16+s_Irr!BR16)),IF(AND(s_Irr!V16=".",s_Irr!AT16&lt;&gt;".",s_Irr!BR16&lt;&gt;"."),s_dir!AV16/((1/1000)*(s_Irr!AT16+s_Irr!BR16)),IF(AND(s_Irr!V16=".",s_Irr!AT16=".",s_Irr!BR16&lt;&gt;"."),s_dir!AV16/((1/1000)*(s_Irr!BR16)),IF(AND(s_Irr!V16=".",s_Irr!AT16&lt;&gt;".",s_Irr!BR16="."),s_dir!AV16/((1/1000)*(s_Irr!AT16)),IF(AND(s_Irr!V16&lt;&gt;".",s_Irr!AT16=".",s_Irr!BR16="."),s_dir!AV16/((1/1000)*(s_Irr!V16)),IF(AND(s_Irr!V16=".",s_Irr!AT16=".",s_Irr!BR16="."),s_dir!AV16*1000)))))))),".")</f>
        <v>24.239906511657544</v>
      </c>
      <c r="BV16" s="76">
        <f>IFERROR(IF(AND(s_Irr!W16&lt;&gt;".",s_Irr!AU16&lt;&gt;".",s_Irr!BS16&lt;&gt;"."),s_dir!AW16/((1/1000)*(s_Irr!W16+s_Irr!AU16+s_Irr!BS16)),IF(AND(s_Irr!W16&lt;&gt;".",s_Irr!AU16&lt;&gt;".",s_Irr!BS16="."),s_dir!AW16/((1/1000)*(s_Irr!W16+s_Irr!AU16)),IF(AND(s_Irr!W16&lt;&gt;".",s_Irr!AU16=".",s_Irr!BS16&lt;&gt;"."),s_dir!AW16/((1/1000)*(s_Irr!W16+s_Irr!BS16)),IF(AND(s_Irr!W16=".",s_Irr!AU16&lt;&gt;".",s_Irr!BS16&lt;&gt;"."),s_dir!AW16/((1/1000)*(s_Irr!AU16+s_Irr!BS16)),IF(AND(s_Irr!W16=".",s_Irr!AU16=".",s_Irr!BS16&lt;&gt;"."),s_dir!AW16/((1/1000)*(s_Irr!BS16)),IF(AND(s_Irr!W16=".",s_Irr!AU16&lt;&gt;".",s_Irr!BS16="."),s_dir!AW16/((1/1000)*(s_Irr!AU16)),IF(AND(s_Irr!W16&lt;&gt;".",s_Irr!AU16=".",s_Irr!BS16="."),s_dir!AW16/((1/1000)*(s_Irr!W16)),IF(AND(s_Irr!W16=".",s_Irr!AU16=".",s_Irr!BS16="."),s_dir!AW16*1000)))))))),".")</f>
        <v>22.585580690998075</v>
      </c>
      <c r="BW16" s="76">
        <f>IFERROR(IF(AND(s_Irr!X16&lt;&gt;".",s_Irr!AV16&lt;&gt;".",s_Irr!BT16&lt;&gt;"."),s_dir!AX16/((1/1000)*(s_Irr!X16+s_Irr!AV16+s_Irr!BT16)),IF(AND(s_Irr!X16&lt;&gt;".",s_Irr!AV16&lt;&gt;".",s_Irr!BT16="."),s_dir!AX16/((1/1000)*(s_Irr!X16+s_Irr!AV16)),IF(AND(s_Irr!X16&lt;&gt;".",s_Irr!AV16=".",s_Irr!BT16&lt;&gt;"."),s_dir!AX16/((1/1000)*(s_Irr!X16+s_Irr!BT16)),IF(AND(s_Irr!X16=".",s_Irr!AV16&lt;&gt;".",s_Irr!BT16&lt;&gt;"."),s_dir!AX16/((1/1000)*(s_Irr!AV16+s_Irr!BT16)),IF(AND(s_Irr!X16=".",s_Irr!AV16=".",s_Irr!BT16&lt;&gt;"."),s_dir!AX16/((1/1000)*(s_Irr!BT16)),IF(AND(s_Irr!X16=".",s_Irr!AV16&lt;&gt;".",s_Irr!BT16="."),s_dir!AX16/((1/1000)*(s_Irr!AV16)),IF(AND(s_Irr!X16&lt;&gt;".",s_Irr!AV16=".",s_Irr!BT16="."),s_dir!AX16/((1/1000)*(s_Irr!X16)),IF(AND(s_Irr!X16=".",s_Irr!AV16=".",s_Irr!BT16="."),s_dir!AX16*1000)))))))),".")</f>
        <v>21.056769026986153</v>
      </c>
      <c r="BX16" s="76">
        <f>IFERROR(IF(AND(s_Irr!Y16&lt;&gt;".",s_Irr!AW16&lt;&gt;".",s_Irr!BU16&lt;&gt;"."),s_dir!AY16/((1/1000)*(s_Irr!Y16+s_Irr!AW16+s_Irr!BU16)),IF(AND(s_Irr!Y16&lt;&gt;".",s_Irr!AW16&lt;&gt;".",s_Irr!BU16="."),s_dir!AY16/((1/1000)*(s_Irr!Y16+s_Irr!AW16)),IF(AND(s_Irr!Y16&lt;&gt;".",s_Irr!AW16=".",s_Irr!BU16&lt;&gt;"."),s_dir!AY16/((1/1000)*(s_Irr!Y16+s_Irr!BU16)),IF(AND(s_Irr!Y16=".",s_Irr!AW16&lt;&gt;".",s_Irr!BU16&lt;&gt;"."),s_dir!AY16/((1/1000)*(s_Irr!AW16+s_Irr!BU16)),IF(AND(s_Irr!Y16=".",s_Irr!AW16=".",s_Irr!BU16&lt;&gt;"."),s_dir!AY16/((1/1000)*(s_Irr!BU16)),IF(AND(s_Irr!Y16=".",s_Irr!AW16&lt;&gt;".",s_Irr!BU16="."),s_dir!AY16/((1/1000)*(s_Irr!AW16)),IF(AND(s_Irr!Y16&lt;&gt;".",s_Irr!AW16=".",s_Irr!BU16="."),s_dir!AY16/((1/1000)*(s_Irr!Y16)),IF(AND(s_Irr!Y16=".",s_Irr!AW16=".",s_Irr!BU16="."),s_dir!AY16*1000)))))))),".")</f>
        <v>26.292800389018513</v>
      </c>
      <c r="BY16" s="76">
        <f>IFERROR(IF(AND(s_Irr!Z16&lt;&gt;".",s_Irr!AX16&lt;&gt;".",s_Irr!BV16&lt;&gt;"."),s_dir!AZ16/((1/1000)*(s_Irr!Z16+s_Irr!AX16+s_Irr!BV16)),IF(AND(s_Irr!Z16&lt;&gt;".",s_Irr!AX16&lt;&gt;".",s_Irr!BV16="."),s_dir!AZ16/((1/1000)*(s_Irr!Z16+s_Irr!AX16)),IF(AND(s_Irr!Z16&lt;&gt;".",s_Irr!AX16=".",s_Irr!BV16&lt;&gt;"."),s_dir!AZ16/((1/1000)*(s_Irr!Z16+s_Irr!BV16)),IF(AND(s_Irr!Z16=".",s_Irr!AX16&lt;&gt;".",s_Irr!BV16&lt;&gt;"."),s_dir!AZ16/((1/1000)*(s_Irr!AX16+s_Irr!BV16)),IF(AND(s_Irr!Z16=".",s_Irr!AX16=".",s_Irr!BV16&lt;&gt;"."),s_dir!AZ16/((1/1000)*(s_Irr!BV16)),IF(AND(s_Irr!Z16=".",s_Irr!AX16&lt;&gt;".",s_Irr!BV16="."),s_dir!AZ16/((1/1000)*(s_Irr!AX16)),IF(AND(s_Irr!Z16&lt;&gt;".",s_Irr!AX16=".",s_Irr!BV16="."),s_dir!AZ16/((1/1000)*(s_Irr!Z16)),IF(AND(s_Irr!Z16=".",s_Irr!AX16=".",s_Irr!BV16="."),s_dir!AZ16*1000)))))))),".")</f>
        <v>22.262312828989213</v>
      </c>
      <c r="BZ16" s="93">
        <f t="shared" si="21"/>
        <v>920.06238904888528</v>
      </c>
      <c r="CA16" s="93">
        <f>IFERROR(s_C*s_IFAP_far_adj*s_CF_apple*(1/1000)*(s_Irr!C16+s_Irr!AA16+s_Irr!AY16),".")</f>
        <v>188.15245928625063</v>
      </c>
      <c r="CB16" s="93">
        <f>IFERROR(s_C*s_IFAS_far_adj*s_CF_asparagus*(1/1000)*(s_Irr!D16+s_Irr!AB16+s_Irr!AZ16),".")</f>
        <v>379.40190672093479</v>
      </c>
      <c r="CC16" s="93">
        <f>IFERROR(s_C*s_IFBT_far_adj*s_CF_beet*(1/1000)*(s_Irr!E16+s_Irr!AC16+s_Irr!BA16),".")</f>
        <v>201.81313410301377</v>
      </c>
      <c r="CD16" s="93">
        <f>IFERROR(s_C*s_IFBE_far_adj*s_CF_berries*(1/1000)*(s_Irr!F16+s_Irr!AD16+s_Irr!BB16),".")</f>
        <v>188.15245928625063</v>
      </c>
      <c r="CE16" s="93">
        <f>IFERROR(s_C*s_IFBR_far_adj*s_CF_broccoli*(1/1000)*(s_Irr!G16+s_Irr!AE16+s_Irr!BC16),".")</f>
        <v>201.81313410301377</v>
      </c>
      <c r="CF16" s="93">
        <f>IFERROR(s_C*s_IFCB_far_adj*s_CF_cabbage*(1/1000)*(s_Irr!H16+s_Irr!AF16+s_Irr!BD16),".")</f>
        <v>379.40190672093479</v>
      </c>
      <c r="CG16" s="93">
        <f>IFERROR(s_C*s_IFCR_far_adj*s_CF_carrot*(1/1000)*(s_Irr!I16+s_Irr!AG16+s_Irr!BE16),".")</f>
        <v>201.81313410301377</v>
      </c>
      <c r="CH16" s="93">
        <f>IFERROR(s_C*s_IFCI_far_adj*s_CF_citrus*(1/1000)*(s_Irr!J16+s_Irr!AH16+s_Irr!BF16),".")</f>
        <v>188.15245928625063</v>
      </c>
      <c r="CI16" s="93">
        <f>IFERROR(s_C*s_IFCO_far_adj*s_CF_corn*(1/1000)*(s_Irr!K16+s_Irr!AI16+s_Irr!BG16),".")</f>
        <v>164.10967160874748</v>
      </c>
      <c r="CJ16" s="93">
        <f>IFERROR(s_C*s_IFCU_far_adj*s_CF_cucumber*(1/1000)*(s_Irr!L16+s_Irr!AJ16+s_Irr!BH16),".")</f>
        <v>201.81313410301377</v>
      </c>
      <c r="CK16" s="93">
        <f>IFERROR(s_C*s_IFLE_far_adj*s_CF_lettuce*(1/1000)*(s_Irr!M16+s_Irr!AK16+s_Irr!BI16),".")</f>
        <v>379.40190672093479</v>
      </c>
      <c r="CL16" s="93">
        <f>IFERROR(s_C*s_IFLI_far_adj*s_CF_lima_bean*(1/1000)*(s_Irr!N16+s_Irr!AL16+s_Irr!BJ16),".")</f>
        <v>175.31142495849323</v>
      </c>
      <c r="CM16" s="93">
        <f>IFERROR(s_C*s_IFOK_far_adj*s_CF_okra*(1/1000)*(s_Irr!O16+s_Irr!AM16+s_Irr!BK16),".")</f>
        <v>201.81313410301377</v>
      </c>
      <c r="CN16" s="93">
        <f>IFERROR(s_C*s_IFON_far_adj*s_CF_onion*(1/1000)*(s_Irr!P16+s_Irr!AN16+s_Irr!BL16),".")</f>
        <v>201.81313410301377</v>
      </c>
      <c r="CO16" s="93">
        <f>IFERROR(s_C*s_IFPC_far_adj*s_CF_peach*(1/1000)*(s_Irr!Q16+s_Irr!AO16+s_Irr!BM16),".")</f>
        <v>188.15245928625063</v>
      </c>
      <c r="CP16" s="93">
        <f>IFERROR(s_C*s_IFPR_far_adj*s_CF_pear*(1/1000)*(s_Irr!R16+s_Irr!AP16+s_Irr!BN16),".")</f>
        <v>188.15245928625063</v>
      </c>
      <c r="CQ16" s="93">
        <f>IFERROR(s_C*s_IFPE_far_adj*s_CF_peas*(1/1000)*(s_Irr!S16+s_Irr!AQ16+s_Irr!BO16),".")</f>
        <v>175.31142495849323</v>
      </c>
      <c r="CR16" s="93">
        <f>IFERROR(s_C*s_IFPT_far_adj*s_CF_potato*(1/1000)*(s_Irr!T16+s_Irr!AR16+s_Irr!BP16),".")</f>
        <v>164.92931209775327</v>
      </c>
      <c r="CS16" s="93">
        <f>IFERROR(s_C*s_IFPU_far_adj*s_CF_pumpkin*(1/1000)*(s_Irr!U16+s_Irr!AS16+s_Irr!BQ16),".")</f>
        <v>201.81313410301377</v>
      </c>
      <c r="CT16" s="93">
        <f>IFERROR(s_C*s_IFSN_far_adj*s_CF_snap_bean*(1/1000)*(s_Irr!V16+s_Irr!AT16+s_Irr!BR16),".")</f>
        <v>175.31142495849323</v>
      </c>
      <c r="CU16" s="93">
        <f>IFERROR(s_C*s_IFST_far_adj*s_CF_strawberry*(1/1000)*(s_Irr!W16+s_Irr!AU16+s_Irr!BS16),".")</f>
        <v>188.15245928625063</v>
      </c>
      <c r="CV16" s="93">
        <f>IFERROR(s_C*s_IFTO_far_adj*s_CF_tomato*(1/1000)*(s_Irr!X16+s_Irr!AV16+s_Irr!BT16),".")</f>
        <v>201.81313410301377</v>
      </c>
      <c r="CW16" s="93">
        <f>IFERROR(s_C*s_IFRI_far_adj*s_CF_rice*(1/1000)*(s_Irr!Y16+s_Irr!AW16+s_Irr!BU16),".")</f>
        <v>161.62342879209658</v>
      </c>
      <c r="CX16" s="93">
        <f>IFERROR(s_C*s_IFCG_far_adj*s_CF_cereal*(1/1000)*(s_Irr!Z16+s_Irr!AX16+s_Irr!BV16),".")</f>
        <v>190.88459424960325</v>
      </c>
    </row>
    <row r="17" spans="1:102" ht="15" customHeight="1" x14ac:dyDescent="0.25">
      <c r="A17" s="92" t="s">
        <v>27</v>
      </c>
      <c r="B17" s="90" t="s">
        <v>1074</v>
      </c>
      <c r="C17" s="76">
        <f t="shared" si="18"/>
        <v>11211.912684839575</v>
      </c>
      <c r="D17" s="76">
        <f>IFERROR(IF(AND(s_Irr!C17&lt;&gt;".",s_Irr!AA17&lt;&gt;".",s_Irr!AY17&lt;&gt;"."),s_dir!D17/((1/1000)*(s_Irr!C17+s_Irr!AA17+s_Irr!AY17)),IF(AND(s_Irr!C17&lt;&gt;".",s_Irr!AA17&lt;&gt;".",s_Irr!AY17="."),s_dir!D17/((1/1000)*(s_Irr!C17+s_Irr!AA17)),IF(AND(s_Irr!C17&lt;&gt;".",s_Irr!AA17=".",s_Irr!AY17&lt;&gt;"."),s_dir!D17/((1/1000)*(s_Irr!C17+s_Irr!AY17)),IF(AND(s_Irr!C17=".",s_Irr!AA17&lt;&gt;".",s_Irr!AY17&lt;&gt;"."),s_dir!D17/((1/1000)*(s_Irr!AA17+s_Irr!AY17)),IF(AND(s_Irr!C17=".",s_Irr!AA17=".",s_Irr!AY17&lt;&gt;"."),s_dir!D17/((1/1000)*(s_Irr!AY17)),IF(AND(s_Irr!C17=".",s_Irr!AA17&lt;&gt;".",s_Irr!AY17="."),s_dir!D17/((1/1000)*(s_Irr!AA17)),IF(AND(s_Irr!C17&lt;&gt;".",s_Irr!AA17=".",s_Irr!AY17="."),s_dir!D17/((1/1000)*(s_Irr!C17)),IF(AND(s_Irr!C17=".",s_Irr!AA17=".",s_Irr!AY17="."),s_dir!D17*1000)))))))),".")</f>
        <v>54826.066104865553</v>
      </c>
      <c r="E17" s="76">
        <f>IFERROR(IF(AND(s_Irr!D17&lt;&gt;".",s_Irr!AB17&lt;&gt;".",s_Irr!AZ17&lt;&gt;"."),s_dir!E17/((1/1000)*(s_Irr!D17+s_Irr!AB17+s_Irr!AZ17)),IF(AND(s_Irr!D17&lt;&gt;".",s_Irr!AB17&lt;&gt;".",s_Irr!AZ17="."),s_dir!E17/((1/1000)*(s_Irr!D17+s_Irr!AB17)),IF(AND(s_Irr!D17&lt;&gt;".",s_Irr!AB17=".",s_Irr!AZ17&lt;&gt;"."),s_dir!E17/((1/1000)*(s_Irr!D17+s_Irr!AZ17)),IF(AND(s_Irr!D17=".",s_Irr!AB17&lt;&gt;".",s_Irr!AZ17&lt;&gt;"."),s_dir!E17/((1/1000)*(s_Irr!AB17+s_Irr!AZ17)),IF(AND(s_Irr!D17=".",s_Irr!AB17=".",s_Irr!AZ17&lt;&gt;"."),s_dir!E17/((1/1000)*(s_Irr!AZ17)),IF(AND(s_Irr!D17=".",s_Irr!AB17&lt;&gt;".",s_Irr!AZ17="."),s_dir!E17/((1/1000)*(s_Irr!AB17)),IF(AND(s_Irr!D17&lt;&gt;".",s_Irr!AB17=".",s_Irr!AZ17="."),s_dir!E17/((1/1000)*(s_Irr!D17)),IF(AND(s_Irr!D17=".",s_Irr!AB17=".",s_Irr!AZ17="."),s_dir!E17*1000)))))))),".")</f>
        <v>27189.265493619616</v>
      </c>
      <c r="F17" s="76">
        <f>IFERROR(IF(AND(s_Irr!E17&lt;&gt;".",s_Irr!AC17&lt;&gt;".",s_Irr!BA17&lt;&gt;"."),s_dir!F17/((1/1000)*(s_Irr!E17+s_Irr!AC17+s_Irr!BA17)),IF(AND(s_Irr!E17&lt;&gt;".",s_Irr!AC17&lt;&gt;".",s_Irr!BA17="."),s_dir!F17/((1/1000)*(s_Irr!E17+s_Irr!AC17)),IF(AND(s_Irr!E17&lt;&gt;".",s_Irr!AC17=".",s_Irr!BA17&lt;&gt;"."),s_dir!F17/((1/1000)*(s_Irr!E17+s_Irr!BA17)),IF(AND(s_Irr!E17=".",s_Irr!AC17&lt;&gt;".",s_Irr!BA17&lt;&gt;"."),s_dir!F17/((1/1000)*(s_Irr!AC17+s_Irr!BA17)),IF(AND(s_Irr!E17=".",s_Irr!AC17=".",s_Irr!BA17&lt;&gt;"."),s_dir!F17/((1/1000)*(s_Irr!BA17)),IF(AND(s_Irr!E17=".",s_Irr!AC17&lt;&gt;".",s_Irr!BA17="."),s_dir!F17/((1/1000)*(s_Irr!AC17)),IF(AND(s_Irr!E17&lt;&gt;".",s_Irr!AC17=".",s_Irr!BA17="."),s_dir!F17/((1/1000)*(s_Irr!E17)),IF(AND(s_Irr!E17=".",s_Irr!AC17=".",s_Irr!BA17="."),s_dir!F17*1000)))))))),".")</f>
        <v>51114.904966271723</v>
      </c>
      <c r="G17" s="76">
        <f>IFERROR(IF(AND(s_Irr!F17&lt;&gt;".",s_Irr!AD17&lt;&gt;".",s_Irr!BB17&lt;&gt;"."),s_dir!G17/((1/1000)*(s_Irr!F17+s_Irr!AD17+s_Irr!BB17)),IF(AND(s_Irr!F17&lt;&gt;".",s_Irr!AD17&lt;&gt;".",s_Irr!BB17="."),s_dir!G17/((1/1000)*(s_Irr!F17+s_Irr!AD17)),IF(AND(s_Irr!F17&lt;&gt;".",s_Irr!AD17=".",s_Irr!BB17&lt;&gt;"."),s_dir!G17/((1/1000)*(s_Irr!F17+s_Irr!BB17)),IF(AND(s_Irr!F17=".",s_Irr!AD17&lt;&gt;".",s_Irr!BB17&lt;&gt;"."),s_dir!G17/((1/1000)*(s_Irr!AD17+s_Irr!BB17)),IF(AND(s_Irr!F17=".",s_Irr!AD17=".",s_Irr!BB17&lt;&gt;"."),s_dir!G17/((1/1000)*(s_Irr!BB17)),IF(AND(s_Irr!F17=".",s_Irr!AD17&lt;&gt;".",s_Irr!BB17="."),s_dir!G17/((1/1000)*(s_Irr!AD17)),IF(AND(s_Irr!F17&lt;&gt;".",s_Irr!AD17=".",s_Irr!BB17="."),s_dir!G17/((1/1000)*(s_Irr!F17)),IF(AND(s_Irr!F17=".",s_Irr!AD17=".",s_Irr!BB17="."),s_dir!G17*1000)))))))),".")</f>
        <v>54826.066104865553</v>
      </c>
      <c r="H17" s="76">
        <f>IFERROR(IF(AND(s_Irr!G17&lt;&gt;".",s_Irr!AE17&lt;&gt;".",s_Irr!BC17&lt;&gt;"."),s_dir!H17/((1/1000)*(s_Irr!G17+s_Irr!AE17+s_Irr!BC17)),IF(AND(s_Irr!G17&lt;&gt;".",s_Irr!AE17&lt;&gt;".",s_Irr!BC17="."),s_dir!H17/((1/1000)*(s_Irr!G17+s_Irr!AE17)),IF(AND(s_Irr!G17&lt;&gt;".",s_Irr!AE17=".",s_Irr!BC17&lt;&gt;"."),s_dir!H17/((1/1000)*(s_Irr!G17+s_Irr!BC17)),IF(AND(s_Irr!G17=".",s_Irr!AE17&lt;&gt;".",s_Irr!BC17&lt;&gt;"."),s_dir!H17/((1/1000)*(s_Irr!AE17+s_Irr!BC17)),IF(AND(s_Irr!G17=".",s_Irr!AE17=".",s_Irr!BC17&lt;&gt;"."),s_dir!H17/((1/1000)*(s_Irr!BC17)),IF(AND(s_Irr!G17=".",s_Irr!AE17&lt;&gt;".",s_Irr!BC17="."),s_dir!H17/((1/1000)*(s_Irr!AE17)),IF(AND(s_Irr!G17&lt;&gt;".",s_Irr!AE17=".",s_Irr!BC17="."),s_dir!H17/((1/1000)*(s_Irr!G17)),IF(AND(s_Irr!G17=".",s_Irr!AE17=".",s_Irr!BC17="."),s_dir!H17*1000)))))))),".")</f>
        <v>51114.904966271723</v>
      </c>
      <c r="I17" s="76">
        <f>IFERROR(IF(AND(s_Irr!H17&lt;&gt;".",s_Irr!AF17&lt;&gt;".",s_Irr!BD17&lt;&gt;"."),s_dir!I17/((1/1000)*(s_Irr!H17+s_Irr!AF17+s_Irr!BD17)),IF(AND(s_Irr!H17&lt;&gt;".",s_Irr!AF17&lt;&gt;".",s_Irr!BD17="."),s_dir!I17/((1/1000)*(s_Irr!H17+s_Irr!AF17)),IF(AND(s_Irr!H17&lt;&gt;".",s_Irr!AF17=".",s_Irr!BD17&lt;&gt;"."),s_dir!I17/((1/1000)*(s_Irr!H17+s_Irr!BD17)),IF(AND(s_Irr!H17=".",s_Irr!AF17&lt;&gt;".",s_Irr!BD17&lt;&gt;"."),s_dir!I17/((1/1000)*(s_Irr!AF17+s_Irr!BD17)),IF(AND(s_Irr!H17=".",s_Irr!AF17=".",s_Irr!BD17&lt;&gt;"."),s_dir!I17/((1/1000)*(s_Irr!BD17)),IF(AND(s_Irr!H17=".",s_Irr!AF17&lt;&gt;".",s_Irr!BD17="."),s_dir!I17/((1/1000)*(s_Irr!AF17)),IF(AND(s_Irr!H17&lt;&gt;".",s_Irr!AF17=".",s_Irr!BD17="."),s_dir!I17/((1/1000)*(s_Irr!H17)),IF(AND(s_Irr!H17=".",s_Irr!AF17=".",s_Irr!BD17="."),s_dir!I17*1000)))))))),".")</f>
        <v>27189.265493619616</v>
      </c>
      <c r="J17" s="76">
        <f>IFERROR(IF(AND(s_Irr!I17&lt;&gt;".",s_Irr!AG17&lt;&gt;".",s_Irr!BE17&lt;&gt;"."),s_dir!J17/((1/1000)*(s_Irr!I17+s_Irr!AG17+s_Irr!BE17)),IF(AND(s_Irr!I17&lt;&gt;".",s_Irr!AG17&lt;&gt;".",s_Irr!BE17="."),s_dir!J17/((1/1000)*(s_Irr!I17+s_Irr!AG17)),IF(AND(s_Irr!I17&lt;&gt;".",s_Irr!AG17=".",s_Irr!BE17&lt;&gt;"."),s_dir!J17/((1/1000)*(s_Irr!I17+s_Irr!BE17)),IF(AND(s_Irr!I17=".",s_Irr!AG17&lt;&gt;".",s_Irr!BE17&lt;&gt;"."),s_dir!J17/((1/1000)*(s_Irr!AG17+s_Irr!BE17)),IF(AND(s_Irr!I17=".",s_Irr!AG17=".",s_Irr!BE17&lt;&gt;"."),s_dir!J17/((1/1000)*(s_Irr!BE17)),IF(AND(s_Irr!I17=".",s_Irr!AG17&lt;&gt;".",s_Irr!BE17="."),s_dir!J17/((1/1000)*(s_Irr!AG17)),IF(AND(s_Irr!I17&lt;&gt;".",s_Irr!AG17=".",s_Irr!BE17="."),s_dir!J17/((1/1000)*(s_Irr!I17)),IF(AND(s_Irr!I17=".",s_Irr!AG17=".",s_Irr!BE17="."),s_dir!J17*1000)))))))),".")</f>
        <v>51114.904966271723</v>
      </c>
      <c r="K17" s="76">
        <f>IFERROR(IF(AND(s_Irr!J17&lt;&gt;".",s_Irr!AH17&lt;&gt;".",s_Irr!BF17&lt;&gt;"."),s_dir!K17/((1/1000)*(s_Irr!J17+s_Irr!AH17+s_Irr!BF17)),IF(AND(s_Irr!J17&lt;&gt;".",s_Irr!AH17&lt;&gt;".",s_Irr!BF17="."),s_dir!K17/((1/1000)*(s_Irr!J17+s_Irr!AH17)),IF(AND(s_Irr!J17&lt;&gt;".",s_Irr!AH17=".",s_Irr!BF17&lt;&gt;"."),s_dir!K17/((1/1000)*(s_Irr!J17+s_Irr!BF17)),IF(AND(s_Irr!J17=".",s_Irr!AH17&lt;&gt;".",s_Irr!BF17&lt;&gt;"."),s_dir!K17/((1/1000)*(s_Irr!AH17+s_Irr!BF17)),IF(AND(s_Irr!J17=".",s_Irr!AH17=".",s_Irr!BF17&lt;&gt;"."),s_dir!K17/((1/1000)*(s_Irr!BF17)),IF(AND(s_Irr!J17=".",s_Irr!AH17&lt;&gt;".",s_Irr!BF17="."),s_dir!K17/((1/1000)*(s_Irr!AH17)),IF(AND(s_Irr!J17&lt;&gt;".",s_Irr!AH17=".",s_Irr!BF17="."),s_dir!K17/((1/1000)*(s_Irr!J17)),IF(AND(s_Irr!J17=".",s_Irr!AH17=".",s_Irr!BF17="."),s_dir!K17*1000)))))))),".")</f>
        <v>54826.066104865553</v>
      </c>
      <c r="L17" s="76">
        <f>IFERROR(IF(AND(s_Irr!K17&lt;&gt;".",s_Irr!AI17&lt;&gt;".",s_Irr!BG17&lt;&gt;"."),s_dir!L17/((1/1000)*(s_Irr!K17+s_Irr!AI17+s_Irr!BG17)),IF(AND(s_Irr!K17&lt;&gt;".",s_Irr!AI17&lt;&gt;".",s_Irr!BG17="."),s_dir!L17/((1/1000)*(s_Irr!K17+s_Irr!AI17)),IF(AND(s_Irr!K17&lt;&gt;".",s_Irr!AI17=".",s_Irr!BG17&lt;&gt;"."),s_dir!L17/((1/1000)*(s_Irr!K17+s_Irr!BG17)),IF(AND(s_Irr!K17=".",s_Irr!AI17&lt;&gt;".",s_Irr!BG17&lt;&gt;"."),s_dir!L17/((1/1000)*(s_Irr!AI17+s_Irr!BG17)),IF(AND(s_Irr!K17=".",s_Irr!AI17=".",s_Irr!BG17&lt;&gt;"."),s_dir!L17/((1/1000)*(s_Irr!BG17)),IF(AND(s_Irr!K17=".",s_Irr!AI17&lt;&gt;".",s_Irr!BG17="."),s_dir!L17/((1/1000)*(s_Irr!AI17)),IF(AND(s_Irr!K17&lt;&gt;".",s_Irr!AI17=".",s_Irr!BG17="."),s_dir!L17/((1/1000)*(s_Irr!K17)),IF(AND(s_Irr!K17=".",s_Irr!AI17=".",s_Irr!BG17="."),s_dir!L17*1000)))))))),".")</f>
        <v>62858.32559103817</v>
      </c>
      <c r="M17" s="76">
        <f>IFERROR(IF(AND(s_Irr!L17&lt;&gt;".",s_Irr!AJ17&lt;&gt;".",s_Irr!BH17&lt;&gt;"."),s_dir!M17/((1/1000)*(s_Irr!L17+s_Irr!AJ17+s_Irr!BH17)),IF(AND(s_Irr!L17&lt;&gt;".",s_Irr!AJ17&lt;&gt;".",s_Irr!BH17="."),s_dir!M17/((1/1000)*(s_Irr!L17+s_Irr!AJ17)),IF(AND(s_Irr!L17&lt;&gt;".",s_Irr!AJ17=".",s_Irr!BH17&lt;&gt;"."),s_dir!M17/((1/1000)*(s_Irr!L17+s_Irr!BH17)),IF(AND(s_Irr!L17=".",s_Irr!AJ17&lt;&gt;".",s_Irr!BH17&lt;&gt;"."),s_dir!M17/((1/1000)*(s_Irr!AJ17+s_Irr!BH17)),IF(AND(s_Irr!L17=".",s_Irr!AJ17=".",s_Irr!BH17&lt;&gt;"."),s_dir!M17/((1/1000)*(s_Irr!BH17)),IF(AND(s_Irr!L17=".",s_Irr!AJ17&lt;&gt;".",s_Irr!BH17="."),s_dir!M17/((1/1000)*(s_Irr!AJ17)),IF(AND(s_Irr!L17&lt;&gt;".",s_Irr!AJ17=".",s_Irr!BH17="."),s_dir!M17/((1/1000)*(s_Irr!L17)),IF(AND(s_Irr!L17=".",s_Irr!AJ17=".",s_Irr!BH17="."),s_dir!M17*1000)))))))),".")</f>
        <v>51114.904966271723</v>
      </c>
      <c r="N17" s="76">
        <f>IFERROR(IF(AND(s_Irr!M17&lt;&gt;".",s_Irr!AK17&lt;&gt;".",s_Irr!BI17&lt;&gt;"."),s_dir!N17/((1/1000)*(s_Irr!M17+s_Irr!AK17+s_Irr!BI17)),IF(AND(s_Irr!M17&lt;&gt;".",s_Irr!AK17&lt;&gt;".",s_Irr!BI17="."),s_dir!N17/((1/1000)*(s_Irr!M17+s_Irr!AK17)),IF(AND(s_Irr!M17&lt;&gt;".",s_Irr!AK17=".",s_Irr!BI17&lt;&gt;"."),s_dir!N17/((1/1000)*(s_Irr!M17+s_Irr!BI17)),IF(AND(s_Irr!M17=".",s_Irr!AK17&lt;&gt;".",s_Irr!BI17&lt;&gt;"."),s_dir!N17/((1/1000)*(s_Irr!AK17+s_Irr!BI17)),IF(AND(s_Irr!M17=".",s_Irr!AK17=".",s_Irr!BI17&lt;&gt;"."),s_dir!N17/((1/1000)*(s_Irr!BI17)),IF(AND(s_Irr!M17=".",s_Irr!AK17&lt;&gt;".",s_Irr!BI17="."),s_dir!N17/((1/1000)*(s_Irr!AK17)),IF(AND(s_Irr!M17&lt;&gt;".",s_Irr!AK17=".",s_Irr!BI17="."),s_dir!N17/((1/1000)*(s_Irr!M17)),IF(AND(s_Irr!M17=".",s_Irr!AK17=".",s_Irr!BI17="."),s_dir!N17*1000)))))))),".")</f>
        <v>27189.265493619616</v>
      </c>
      <c r="O17" s="76">
        <f>IFERROR(IF(AND(s_Irr!N17&lt;&gt;".",s_Irr!AL17&lt;&gt;".",s_Irr!BJ17&lt;&gt;"."),s_dir!O17/((1/1000)*(s_Irr!N17+s_Irr!AL17+s_Irr!BJ17)),IF(AND(s_Irr!N17&lt;&gt;".",s_Irr!AL17&lt;&gt;".",s_Irr!BJ17="."),s_dir!O17/((1/1000)*(s_Irr!N17+s_Irr!AL17)),IF(AND(s_Irr!N17&lt;&gt;".",s_Irr!AL17=".",s_Irr!BJ17&lt;&gt;"."),s_dir!O17/((1/1000)*(s_Irr!N17+s_Irr!BJ17)),IF(AND(s_Irr!N17=".",s_Irr!AL17&lt;&gt;".",s_Irr!BJ17&lt;&gt;"."),s_dir!O17/((1/1000)*(s_Irr!AL17+s_Irr!BJ17)),IF(AND(s_Irr!N17=".",s_Irr!AL17=".",s_Irr!BJ17&lt;&gt;"."),s_dir!O17/((1/1000)*(s_Irr!BJ17)),IF(AND(s_Irr!N17=".",s_Irr!AL17&lt;&gt;".",s_Irr!BJ17="."),s_dir!O17/((1/1000)*(s_Irr!AL17)),IF(AND(s_Irr!N17&lt;&gt;".",s_Irr!AL17=".",s_Irr!BJ17="."),s_dir!O17/((1/1000)*(s_Irr!N17)),IF(AND(s_Irr!N17=".",s_Irr!AL17=".",s_Irr!BJ17="."),s_dir!O17*1000)))))))),".")</f>
        <v>58841.910463412969</v>
      </c>
      <c r="P17" s="76">
        <f>IFERROR(IF(AND(s_Irr!O17&lt;&gt;".",s_Irr!AM17&lt;&gt;".",s_Irr!BK17&lt;&gt;"."),s_dir!P17/((1/1000)*(s_Irr!O17+s_Irr!AM17+s_Irr!BK17)),IF(AND(s_Irr!O17&lt;&gt;".",s_Irr!AM17&lt;&gt;".",s_Irr!BK17="."),s_dir!P17/((1/1000)*(s_Irr!O17+s_Irr!AM17)),IF(AND(s_Irr!O17&lt;&gt;".",s_Irr!AM17=".",s_Irr!BK17&lt;&gt;"."),s_dir!P17/((1/1000)*(s_Irr!O17+s_Irr!BK17)),IF(AND(s_Irr!O17=".",s_Irr!AM17&lt;&gt;".",s_Irr!BK17&lt;&gt;"."),s_dir!P17/((1/1000)*(s_Irr!AM17+s_Irr!BK17)),IF(AND(s_Irr!O17=".",s_Irr!AM17=".",s_Irr!BK17&lt;&gt;"."),s_dir!P17/((1/1000)*(s_Irr!BK17)),IF(AND(s_Irr!O17=".",s_Irr!AM17&lt;&gt;".",s_Irr!BK17="."),s_dir!P17/((1/1000)*(s_Irr!AM17)),IF(AND(s_Irr!O17&lt;&gt;".",s_Irr!AM17=".",s_Irr!BK17="."),s_dir!P17/((1/1000)*(s_Irr!O17)),IF(AND(s_Irr!O17=".",s_Irr!AM17=".",s_Irr!BK17="."),s_dir!P17*1000)))))))),".")</f>
        <v>51114.904966271723</v>
      </c>
      <c r="Q17" s="76">
        <f>IFERROR(IF(AND(s_Irr!P17&lt;&gt;".",s_Irr!AN17&lt;&gt;".",s_Irr!BL17&lt;&gt;"."),s_dir!Q17/((1/1000)*(s_Irr!P17+s_Irr!AN17+s_Irr!BL17)),IF(AND(s_Irr!P17&lt;&gt;".",s_Irr!AN17&lt;&gt;".",s_Irr!BL17="."),s_dir!Q17/((1/1000)*(s_Irr!P17+s_Irr!AN17)),IF(AND(s_Irr!P17&lt;&gt;".",s_Irr!AN17=".",s_Irr!BL17&lt;&gt;"."),s_dir!Q17/((1/1000)*(s_Irr!P17+s_Irr!BL17)),IF(AND(s_Irr!P17=".",s_Irr!AN17&lt;&gt;".",s_Irr!BL17&lt;&gt;"."),s_dir!Q17/((1/1000)*(s_Irr!AN17+s_Irr!BL17)),IF(AND(s_Irr!P17=".",s_Irr!AN17=".",s_Irr!BL17&lt;&gt;"."),s_dir!Q17/((1/1000)*(s_Irr!BL17)),IF(AND(s_Irr!P17=".",s_Irr!AN17&lt;&gt;".",s_Irr!BL17="."),s_dir!Q17/((1/1000)*(s_Irr!AN17)),IF(AND(s_Irr!P17&lt;&gt;".",s_Irr!AN17=".",s_Irr!BL17="."),s_dir!Q17/((1/1000)*(s_Irr!P17)),IF(AND(s_Irr!P17=".",s_Irr!AN17=".",s_Irr!BL17="."),s_dir!Q17*1000)))))))),".")</f>
        <v>51114.904966271723</v>
      </c>
      <c r="R17" s="76">
        <f>IFERROR(IF(AND(s_Irr!Q17&lt;&gt;".",s_Irr!AO17&lt;&gt;".",s_Irr!BM17&lt;&gt;"."),s_dir!R17/((1/1000)*(s_Irr!Q17+s_Irr!AO17+s_Irr!BM17)),IF(AND(s_Irr!Q17&lt;&gt;".",s_Irr!AO17&lt;&gt;".",s_Irr!BM17="."),s_dir!R17/((1/1000)*(s_Irr!Q17+s_Irr!AO17)),IF(AND(s_Irr!Q17&lt;&gt;".",s_Irr!AO17=".",s_Irr!BM17&lt;&gt;"."),s_dir!R17/((1/1000)*(s_Irr!Q17+s_Irr!BM17)),IF(AND(s_Irr!Q17=".",s_Irr!AO17&lt;&gt;".",s_Irr!BM17&lt;&gt;"."),s_dir!R17/((1/1000)*(s_Irr!AO17+s_Irr!BM17)),IF(AND(s_Irr!Q17=".",s_Irr!AO17=".",s_Irr!BM17&lt;&gt;"."),s_dir!R17/((1/1000)*(s_Irr!BM17)),IF(AND(s_Irr!Q17=".",s_Irr!AO17&lt;&gt;".",s_Irr!BM17="."),s_dir!R17/((1/1000)*(s_Irr!AO17)),IF(AND(s_Irr!Q17&lt;&gt;".",s_Irr!AO17=".",s_Irr!BM17="."),s_dir!R17/((1/1000)*(s_Irr!Q17)),IF(AND(s_Irr!Q17=".",s_Irr!AO17=".",s_Irr!BM17="."),s_dir!R17*1000)))))))),".")</f>
        <v>54826.066104865553</v>
      </c>
      <c r="S17" s="76">
        <f>IFERROR(IF(AND(s_Irr!R17&lt;&gt;".",s_Irr!AP17&lt;&gt;".",s_Irr!BN17&lt;&gt;"."),s_dir!S17/((1/1000)*(s_Irr!R17+s_Irr!AP17+s_Irr!BN17)),IF(AND(s_Irr!R17&lt;&gt;".",s_Irr!AP17&lt;&gt;".",s_Irr!BN17="."),s_dir!S17/((1/1000)*(s_Irr!R17+s_Irr!AP17)),IF(AND(s_Irr!R17&lt;&gt;".",s_Irr!AP17=".",s_Irr!BN17&lt;&gt;"."),s_dir!S17/((1/1000)*(s_Irr!R17+s_Irr!BN17)),IF(AND(s_Irr!R17=".",s_Irr!AP17&lt;&gt;".",s_Irr!BN17&lt;&gt;"."),s_dir!S17/((1/1000)*(s_Irr!AP17+s_Irr!BN17)),IF(AND(s_Irr!R17=".",s_Irr!AP17=".",s_Irr!BN17&lt;&gt;"."),s_dir!S17/((1/1000)*(s_Irr!BN17)),IF(AND(s_Irr!R17=".",s_Irr!AP17&lt;&gt;".",s_Irr!BN17="."),s_dir!S17/((1/1000)*(s_Irr!AP17)),IF(AND(s_Irr!R17&lt;&gt;".",s_Irr!AP17=".",s_Irr!BN17="."),s_dir!S17/((1/1000)*(s_Irr!R17)),IF(AND(s_Irr!R17=".",s_Irr!AP17=".",s_Irr!BN17="."),s_dir!S17*1000)))))))),".")</f>
        <v>54826.066104865553</v>
      </c>
      <c r="T17" s="76">
        <f>IFERROR(IF(AND(s_Irr!S17&lt;&gt;".",s_Irr!AQ17&lt;&gt;".",s_Irr!BO17&lt;&gt;"."),s_dir!T17/((1/1000)*(s_Irr!S17+s_Irr!AQ17+s_Irr!BO17)),IF(AND(s_Irr!S17&lt;&gt;".",s_Irr!AQ17&lt;&gt;".",s_Irr!BO17="."),s_dir!T17/((1/1000)*(s_Irr!S17+s_Irr!AQ17)),IF(AND(s_Irr!S17&lt;&gt;".",s_Irr!AQ17=".",s_Irr!BO17&lt;&gt;"."),s_dir!T17/((1/1000)*(s_Irr!S17+s_Irr!BO17)),IF(AND(s_Irr!S17=".",s_Irr!AQ17&lt;&gt;".",s_Irr!BO17&lt;&gt;"."),s_dir!T17/((1/1000)*(s_Irr!AQ17+s_Irr!BO17)),IF(AND(s_Irr!S17=".",s_Irr!AQ17=".",s_Irr!BO17&lt;&gt;"."),s_dir!T17/((1/1000)*(s_Irr!BO17)),IF(AND(s_Irr!S17=".",s_Irr!AQ17&lt;&gt;".",s_Irr!BO17="."),s_dir!T17/((1/1000)*(s_Irr!AQ17)),IF(AND(s_Irr!S17&lt;&gt;".",s_Irr!AQ17=".",s_Irr!BO17="."),s_dir!T17/((1/1000)*(s_Irr!S17)),IF(AND(s_Irr!S17=".",s_Irr!AQ17=".",s_Irr!BO17="."),s_dir!T17*1000)))))))),".")</f>
        <v>58841.910463412969</v>
      </c>
      <c r="U17" s="76">
        <f>IFERROR(IF(AND(s_Irr!T17&lt;&gt;".",s_Irr!AR17&lt;&gt;".",s_Irr!BP17&lt;&gt;"."),s_dir!U17/((1/1000)*(s_Irr!T17+s_Irr!AR17+s_Irr!BP17)),IF(AND(s_Irr!T17&lt;&gt;".",s_Irr!AR17&lt;&gt;".",s_Irr!BP17="."),s_dir!U17/((1/1000)*(s_Irr!T17+s_Irr!AR17)),IF(AND(s_Irr!T17&lt;&gt;".",s_Irr!AR17=".",s_Irr!BP17&lt;&gt;"."),s_dir!U17/((1/1000)*(s_Irr!T17+s_Irr!BP17)),IF(AND(s_Irr!T17=".",s_Irr!AR17&lt;&gt;".",s_Irr!BP17&lt;&gt;"."),s_dir!U17/((1/1000)*(s_Irr!AR17+s_Irr!BP17)),IF(AND(s_Irr!T17=".",s_Irr!AR17=".",s_Irr!BP17&lt;&gt;"."),s_dir!U17/((1/1000)*(s_Irr!BP17)),IF(AND(s_Irr!T17=".",s_Irr!AR17&lt;&gt;".",s_Irr!BP17="."),s_dir!U17/((1/1000)*(s_Irr!AR17)),IF(AND(s_Irr!T17&lt;&gt;".",s_Irr!AR17=".",s_Irr!BP17="."),s_dir!U17/((1/1000)*(s_Irr!T17)),IF(AND(s_Irr!T17=".",s_Irr!AR17=".",s_Irr!BP17="."),s_dir!U17*1000)))))))),".")</f>
        <v>62545.94189119598</v>
      </c>
      <c r="V17" s="76">
        <f>IFERROR(IF(AND(s_Irr!U17&lt;&gt;".",s_Irr!AS17&lt;&gt;".",s_Irr!BQ17&lt;&gt;"."),s_dir!V17/((1/1000)*(s_Irr!U17+s_Irr!AS17+s_Irr!BQ17)),IF(AND(s_Irr!U17&lt;&gt;".",s_Irr!AS17&lt;&gt;".",s_Irr!BQ17="."),s_dir!V17/((1/1000)*(s_Irr!U17+s_Irr!AS17)),IF(AND(s_Irr!U17&lt;&gt;".",s_Irr!AS17=".",s_Irr!BQ17&lt;&gt;"."),s_dir!V17/((1/1000)*(s_Irr!U17+s_Irr!BQ17)),IF(AND(s_Irr!U17=".",s_Irr!AS17&lt;&gt;".",s_Irr!BQ17&lt;&gt;"."),s_dir!V17/((1/1000)*(s_Irr!AS17+s_Irr!BQ17)),IF(AND(s_Irr!U17=".",s_Irr!AS17=".",s_Irr!BQ17&lt;&gt;"."),s_dir!V17/((1/1000)*(s_Irr!BQ17)),IF(AND(s_Irr!U17=".",s_Irr!AS17&lt;&gt;".",s_Irr!BQ17="."),s_dir!V17/((1/1000)*(s_Irr!AS17)),IF(AND(s_Irr!U17&lt;&gt;".",s_Irr!AS17=".",s_Irr!BQ17="."),s_dir!V17/((1/1000)*(s_Irr!U17)),IF(AND(s_Irr!U17=".",s_Irr!AS17=".",s_Irr!BQ17="."),s_dir!V17*1000)))))))),".")</f>
        <v>51114.904966271723</v>
      </c>
      <c r="W17" s="76">
        <f>IFERROR(IF(AND(s_Irr!V17&lt;&gt;".",s_Irr!AT17&lt;&gt;".",s_Irr!BR17&lt;&gt;"."),s_dir!W17/((1/1000)*(s_Irr!V17+s_Irr!AT17+s_Irr!BR17)),IF(AND(s_Irr!V17&lt;&gt;".",s_Irr!AT17&lt;&gt;".",s_Irr!BR17="."),s_dir!W17/((1/1000)*(s_Irr!V17+s_Irr!AT17)),IF(AND(s_Irr!V17&lt;&gt;".",s_Irr!AT17=".",s_Irr!BR17&lt;&gt;"."),s_dir!W17/((1/1000)*(s_Irr!V17+s_Irr!BR17)),IF(AND(s_Irr!V17=".",s_Irr!AT17&lt;&gt;".",s_Irr!BR17&lt;&gt;"."),s_dir!W17/((1/1000)*(s_Irr!AT17+s_Irr!BR17)),IF(AND(s_Irr!V17=".",s_Irr!AT17=".",s_Irr!BR17&lt;&gt;"."),s_dir!W17/((1/1000)*(s_Irr!BR17)),IF(AND(s_Irr!V17=".",s_Irr!AT17&lt;&gt;".",s_Irr!BR17="."),s_dir!W17/((1/1000)*(s_Irr!AT17)),IF(AND(s_Irr!V17&lt;&gt;".",s_Irr!AT17=".",s_Irr!BR17="."),s_dir!W17/((1/1000)*(s_Irr!V17)),IF(AND(s_Irr!V17=".",s_Irr!AT17=".",s_Irr!BR17="."),s_dir!W17*1000)))))))),".")</f>
        <v>58841.910463412969</v>
      </c>
      <c r="X17" s="76">
        <f>IFERROR(IF(AND(s_Irr!W17&lt;&gt;".",s_Irr!AU17&lt;&gt;".",s_Irr!BS17&lt;&gt;"."),s_dir!X17/((1/1000)*(s_Irr!W17+s_Irr!AU17+s_Irr!BS17)),IF(AND(s_Irr!W17&lt;&gt;".",s_Irr!AU17&lt;&gt;".",s_Irr!BS17="."),s_dir!X17/((1/1000)*(s_Irr!W17+s_Irr!AU17)),IF(AND(s_Irr!W17&lt;&gt;".",s_Irr!AU17=".",s_Irr!BS17&lt;&gt;"."),s_dir!X17/((1/1000)*(s_Irr!W17+s_Irr!BS17)),IF(AND(s_Irr!W17=".",s_Irr!AU17&lt;&gt;".",s_Irr!BS17&lt;&gt;"."),s_dir!X17/((1/1000)*(s_Irr!AU17+s_Irr!BS17)),IF(AND(s_Irr!W17=".",s_Irr!AU17=".",s_Irr!BS17&lt;&gt;"."),s_dir!X17/((1/1000)*(s_Irr!BS17)),IF(AND(s_Irr!W17=".",s_Irr!AU17&lt;&gt;".",s_Irr!BS17="."),s_dir!X17/((1/1000)*(s_Irr!AU17)),IF(AND(s_Irr!W17&lt;&gt;".",s_Irr!AU17=".",s_Irr!BS17="."),s_dir!X17/((1/1000)*(s_Irr!W17)),IF(AND(s_Irr!W17=".",s_Irr!AU17=".",s_Irr!BS17="."),s_dir!X17*1000)))))))),".")</f>
        <v>54826.066104865553</v>
      </c>
      <c r="Y17" s="76">
        <f>IFERROR(IF(AND(s_Irr!X17&lt;&gt;".",s_Irr!AV17&lt;&gt;".",s_Irr!BT17&lt;&gt;"."),s_dir!Y17/((1/1000)*(s_Irr!X17+s_Irr!AV17+s_Irr!BT17)),IF(AND(s_Irr!X17&lt;&gt;".",s_Irr!AV17&lt;&gt;".",s_Irr!BT17="."),s_dir!Y17/((1/1000)*(s_Irr!X17+s_Irr!AV17)),IF(AND(s_Irr!X17&lt;&gt;".",s_Irr!AV17=".",s_Irr!BT17&lt;&gt;"."),s_dir!Y17/((1/1000)*(s_Irr!X17+s_Irr!BT17)),IF(AND(s_Irr!X17=".",s_Irr!AV17&lt;&gt;".",s_Irr!BT17&lt;&gt;"."),s_dir!Y17/((1/1000)*(s_Irr!AV17+s_Irr!BT17)),IF(AND(s_Irr!X17=".",s_Irr!AV17=".",s_Irr!BT17&lt;&gt;"."),s_dir!Y17/((1/1000)*(s_Irr!BT17)),IF(AND(s_Irr!X17=".",s_Irr!AV17&lt;&gt;".",s_Irr!BT17="."),s_dir!Y17/((1/1000)*(s_Irr!AV17)),IF(AND(s_Irr!X17&lt;&gt;".",s_Irr!AV17=".",s_Irr!BT17="."),s_dir!Y17/((1/1000)*(s_Irr!X17)),IF(AND(s_Irr!X17=".",s_Irr!AV17=".",s_Irr!BT17="."),s_dir!Y17*1000)))))))),".")</f>
        <v>51114.904966271723</v>
      </c>
      <c r="Z17" s="76">
        <f>IFERROR(IF(AND(s_Irr!Y17&lt;&gt;".",s_Irr!AW17&lt;&gt;".",s_Irr!BU17&lt;&gt;"."),s_dir!Z17/((1/1000)*(s_Irr!Y17+s_Irr!AW17+s_Irr!BU17)),IF(AND(s_Irr!Y17&lt;&gt;".",s_Irr!AW17&lt;&gt;".",s_Irr!BU17="."),s_dir!Z17/((1/1000)*(s_Irr!Y17+s_Irr!AW17)),IF(AND(s_Irr!Y17&lt;&gt;".",s_Irr!AW17=".",s_Irr!BU17&lt;&gt;"."),s_dir!Z17/((1/1000)*(s_Irr!Y17+s_Irr!BU17)),IF(AND(s_Irr!Y17=".",s_Irr!AW17&lt;&gt;".",s_Irr!BU17&lt;&gt;"."),s_dir!Z17/((1/1000)*(s_Irr!AW17+s_Irr!BU17)),IF(AND(s_Irr!Y17=".",s_Irr!AW17=".",s_Irr!BU17&lt;&gt;"."),s_dir!Z17/((1/1000)*(s_Irr!BU17)),IF(AND(s_Irr!Y17=".",s_Irr!AW17&lt;&gt;".",s_Irr!BU17="."),s_dir!Z17/((1/1000)*(s_Irr!AW17)),IF(AND(s_Irr!Y17&lt;&gt;".",s_Irr!AW17=".",s_Irr!BU17="."),s_dir!Z17/((1/1000)*(s_Irr!Y17)),IF(AND(s_Irr!Y17=".",s_Irr!AW17=".",s_Irr!BU17="."),s_dir!Z17*1000)))))))),".")</f>
        <v>63825.271173342655</v>
      </c>
      <c r="AA17" s="76">
        <f>IFERROR(IF(AND(s_Irr!Z17&lt;&gt;".",s_Irr!AX17&lt;&gt;".",s_Irr!BV17&lt;&gt;"."),s_dir!AA17/((1/1000)*(s_Irr!Z17+s_Irr!AX17+s_Irr!BV17)),IF(AND(s_Irr!Z17&lt;&gt;".",s_Irr!AX17&lt;&gt;".",s_Irr!BV17="."),s_dir!AA17/((1/1000)*(s_Irr!Z17+s_Irr!AX17)),IF(AND(s_Irr!Z17&lt;&gt;".",s_Irr!AX17=".",s_Irr!BV17&lt;&gt;"."),s_dir!AA17/((1/1000)*(s_Irr!Z17+s_Irr!BV17)),IF(AND(s_Irr!Z17=".",s_Irr!AX17&lt;&gt;".",s_Irr!BV17&lt;&gt;"."),s_dir!AA17/((1/1000)*(s_Irr!AX17+s_Irr!BV17)),IF(AND(s_Irr!Z17=".",s_Irr!AX17=".",s_Irr!BV17&lt;&gt;"."),s_dir!AA17/((1/1000)*(s_Irr!BV17)),IF(AND(s_Irr!Z17=".",s_Irr!AX17&lt;&gt;".",s_Irr!BV17="."),s_dir!AA17/((1/1000)*(s_Irr!AX17)),IF(AND(s_Irr!Z17&lt;&gt;".",s_Irr!AX17=".",s_Irr!BV17="."),s_dir!AA17/((1/1000)*(s_Irr!Z17)),IF(AND(s_Irr!Z17=".",s_Irr!AX17=".",s_Irr!BV17="."),s_dir!AA17*1000)))))))),".")</f>
        <v>54041.339539073051</v>
      </c>
      <c r="AB17" s="93">
        <f>SUM(AC17:AD17,AY17:AZ17)</f>
        <v>920.06238904888528</v>
      </c>
      <c r="AC17" s="93">
        <f>IFERROR(s_C*s_IFAP_res_adj*s_CF_apple*0.001*(s_Irr!C17+s_Irr!AA17+s_Irr!AY17),".")</f>
        <v>188.15245928625063</v>
      </c>
      <c r="AD17" s="93">
        <f>IFERROR(s_C*s_IFAS_res_adj*s_CF_asparagus*0.001*(s_Irr!D17+s_Irr!AB17+s_Irr!AZ17),".")</f>
        <v>379.40190672093479</v>
      </c>
      <c r="AE17" s="93">
        <f>IFERROR(s_C*s_IFBT_res_adj*s_CF_beet*0.001*(s_Irr!E17+s_Irr!AC17+s_Irr!BA17),".")</f>
        <v>201.81313410301377</v>
      </c>
      <c r="AF17" s="93">
        <f>IFERROR(s_C*s_IFBE_res_adj*s_CF_berries*0.001*(s_Irr!F17+s_Irr!AD17+s_Irr!BB17),".")</f>
        <v>188.15245928625063</v>
      </c>
      <c r="AG17" s="93">
        <f>IFERROR(s_C*s_IFBR_res_adj*s_CF_broccoli*0.001*(s_Irr!G17+s_Irr!AE17+s_Irr!BC17),".")</f>
        <v>201.81313410301377</v>
      </c>
      <c r="AH17" s="93">
        <f>IFERROR(s_C*s_IFCB_res_adj*s_CF_cabbage*0.001*(s_Irr!H17+s_Irr!AF17+s_Irr!BD17),".")</f>
        <v>379.40190672093479</v>
      </c>
      <c r="AI17" s="93">
        <f>IFERROR(s_C*s_IFCR_res_adj*s_CF_carrot*0.001*(s_Irr!I17+s_Irr!AG17+s_Irr!BE17),".")</f>
        <v>201.81313410301377</v>
      </c>
      <c r="AJ17" s="93">
        <f>IFERROR(s_C*s_IFCI_res_adj*s_CF_citrus*0.001*(s_Irr!J17+s_Irr!AH17+s_Irr!BF17),".")</f>
        <v>188.15245928625063</v>
      </c>
      <c r="AK17" s="93">
        <f>IFERROR(s_C*s_IFCO_res_adj*s_CF_corn*0.001*(s_Irr!K17+s_Irr!AI17+s_Irr!BG17),".")</f>
        <v>164.10967160874748</v>
      </c>
      <c r="AL17" s="93">
        <f>IFERROR(s_C*s_IFCU_res_adj*s_CF_cucumber*0.001*(s_Irr!L17+s_Irr!AJ17+s_Irr!BH17),".")</f>
        <v>201.81313410301377</v>
      </c>
      <c r="AM17" s="93">
        <f>IFERROR(s_C*s_IFLE_res_adj*s_CF_lettuce*0.001*(s_Irr!M17+s_Irr!AK17+s_Irr!BI17),".")</f>
        <v>379.40190672093479</v>
      </c>
      <c r="AN17" s="93">
        <f>IFERROR(s_C*s_IFLI_res_adj*s_CF_lima_bean*0.001*(s_Irr!N17+s_Irr!AL17+s_Irr!BJ17),".")</f>
        <v>175.31142495849323</v>
      </c>
      <c r="AO17" s="93">
        <f>IFERROR(s_C*s_IFOK_res_adj*s_CF_okra*0.001*(s_Irr!O17+s_Irr!AM17+s_Irr!BK17),".")</f>
        <v>201.81313410301377</v>
      </c>
      <c r="AP17" s="93">
        <f>IFERROR(s_C*s_IFON_res_adj*s_CF_onion*0.001*(s_Irr!P17+s_Irr!AN17+s_Irr!BL17),".")</f>
        <v>201.81313410301377</v>
      </c>
      <c r="AQ17" s="93">
        <f>IFERROR(s_C*s_IFPC_res_adj*s_CF_peach*0.001*(s_Irr!Q17+s_Irr!AO17+s_Irr!BM17),".")</f>
        <v>188.15245928625063</v>
      </c>
      <c r="AR17" s="93">
        <f>IFERROR(s_C*s_IFPR_res_adj*s_CF_pear*0.001*(s_Irr!R17+s_Irr!AP17+s_Irr!BN17),".")</f>
        <v>188.15245928625063</v>
      </c>
      <c r="AS17" s="93">
        <f>IFERROR(s_C*s_IFPE_res_adj*s_CF_peas*0.001*(s_Irr!S17+s_Irr!AQ17+s_Irr!BO17),".")</f>
        <v>175.31142495849323</v>
      </c>
      <c r="AT17" s="93">
        <f>IFERROR(s_C*s_IFPT_res_adj*s_CF_potato*0.001*(s_Irr!T17+s_Irr!AR17+s_Irr!BP17),".")</f>
        <v>164.92931209775327</v>
      </c>
      <c r="AU17" s="93">
        <f>IFERROR(s_C*s_IFPU_res_adj*s_CF_pumpkin*0.001*(s_Irr!U17+s_Irr!AS17+s_Irr!BQ17),".")</f>
        <v>201.81313410301377</v>
      </c>
      <c r="AV17" s="93">
        <f>IFERROR(s_C*s_IFSN_res_adj*s_CF_snap_bean*0.001*(s_Irr!V17+s_Irr!AT17+s_Irr!BR17),".")</f>
        <v>175.31142495849323</v>
      </c>
      <c r="AW17" s="93">
        <f>IFERROR(s_C*s_IFST_res_adj*s_CF_strawberry*0.001*(s_Irr!W17+s_Irr!AU17+s_Irr!BS17),".")</f>
        <v>188.15245928625063</v>
      </c>
      <c r="AX17" s="93">
        <f>IFERROR(s_C*s_IFTO_res_adj*s_CF_tomato*0.001*(s_Irr!X17+s_Irr!AV17+s_Irr!BT17),".")</f>
        <v>201.81313410301377</v>
      </c>
      <c r="AY17" s="93">
        <f>IFERROR(s_C*s_IFRI_res_adj*s_CF_rice*0.001*(s_Irr!Y17+s_Irr!AW17+s_Irr!BU17),".")</f>
        <v>161.62342879209658</v>
      </c>
      <c r="AZ17" s="93">
        <f>IFERROR(s_C*s_IFCG_res_adj*s_CF_cereal*0.001*(s_Irr!Z17+s_Irr!AX17+s_Irr!BV17),".")</f>
        <v>190.88459424960325</v>
      </c>
      <c r="BA17" s="76">
        <f t="shared" si="20"/>
        <v>11211.912684839575</v>
      </c>
      <c r="BB17" s="76">
        <f>IFERROR(IF(AND(s_Irr!C17&lt;&gt;".",s_Irr!AA17&lt;&gt;".",s_Irr!AY17&lt;&gt;"."),s_dir!AC17/((1/1000)*(s_Irr!C17+s_Irr!AA17+s_Irr!AY17)),IF(AND(s_Irr!C17&lt;&gt;".",s_Irr!AA17&lt;&gt;".",s_Irr!AY17="."),s_dir!AC17/((1/1000)*(s_Irr!C17+s_Irr!AA17)),IF(AND(s_Irr!C17&lt;&gt;".",s_Irr!AA17=".",s_Irr!AY17&lt;&gt;"."),s_dir!AC17/((1/1000)*(s_Irr!C17+s_Irr!AY17)),IF(AND(s_Irr!C17=".",s_Irr!AA17&lt;&gt;".",s_Irr!AY17&lt;&gt;"."),s_dir!AC17/((1/1000)*(s_Irr!AA17+s_Irr!AY17)),IF(AND(s_Irr!C17=".",s_Irr!AA17=".",s_Irr!AY17&lt;&gt;"."),s_dir!AC17/((1/1000)*(s_Irr!AY17)),IF(AND(s_Irr!C17=".",s_Irr!AA17&lt;&gt;".",s_Irr!AY17="."),s_dir!AC17/((1/1000)*(s_Irr!AA17)),IF(AND(s_Irr!C17&lt;&gt;".",s_Irr!AA17=".",s_Irr!AY17="."),s_dir!AC17/((1/1000)*(s_Irr!C17)),IF(AND(s_Irr!C17=".",s_Irr!AA17=".",s_Irr!AY17="."),s_dir!AC17*1000)))))))),".")</f>
        <v>54826.066104865553</v>
      </c>
      <c r="BC17" s="76">
        <f>IFERROR(IF(AND(s_Irr!D17&lt;&gt;".",s_Irr!AB17&lt;&gt;".",s_Irr!AZ17&lt;&gt;"."),s_dir!AD17/((1/1000)*(s_Irr!D17+s_Irr!AB17+s_Irr!AZ17)),IF(AND(s_Irr!D17&lt;&gt;".",s_Irr!AB17&lt;&gt;".",s_Irr!AZ17="."),s_dir!AD17/((1/1000)*(s_Irr!D17+s_Irr!AB17)),IF(AND(s_Irr!D17&lt;&gt;".",s_Irr!AB17=".",s_Irr!AZ17&lt;&gt;"."),s_dir!AD17/((1/1000)*(s_Irr!D17+s_Irr!AZ17)),IF(AND(s_Irr!D17=".",s_Irr!AB17&lt;&gt;".",s_Irr!AZ17&lt;&gt;"."),s_dir!AD17/((1/1000)*(s_Irr!AB17+s_Irr!AZ17)),IF(AND(s_Irr!D17=".",s_Irr!AB17=".",s_Irr!AZ17&lt;&gt;"."),s_dir!AD17/((1/1000)*(s_Irr!AZ17)),IF(AND(s_Irr!D17=".",s_Irr!AB17&lt;&gt;".",s_Irr!AZ17="."),s_dir!AD17/((1/1000)*(s_Irr!AB17)),IF(AND(s_Irr!D17&lt;&gt;".",s_Irr!AB17=".",s_Irr!AZ17="."),s_dir!AD17/((1/1000)*(s_Irr!D17)),IF(AND(s_Irr!D17=".",s_Irr!AB17=".",s_Irr!AZ17="."),s_dir!AD17*1000)))))))),".")</f>
        <v>27189.265493619616</v>
      </c>
      <c r="BD17" s="76">
        <f>IFERROR(IF(AND(s_Irr!E17&lt;&gt;".",s_Irr!AC17&lt;&gt;".",s_Irr!BA17&lt;&gt;"."),s_dir!AE17/((1/1000)*(s_Irr!E17+s_Irr!AC17+s_Irr!BA17)),IF(AND(s_Irr!E17&lt;&gt;".",s_Irr!AC17&lt;&gt;".",s_Irr!BA17="."),s_dir!AE17/((1/1000)*(s_Irr!E17+s_Irr!AC17)),IF(AND(s_Irr!E17&lt;&gt;".",s_Irr!AC17=".",s_Irr!BA17&lt;&gt;"."),s_dir!AE17/((1/1000)*(s_Irr!E17+s_Irr!BA17)),IF(AND(s_Irr!E17=".",s_Irr!AC17&lt;&gt;".",s_Irr!BA17&lt;&gt;"."),s_dir!AE17/((1/1000)*(s_Irr!AC17+s_Irr!BA17)),IF(AND(s_Irr!E17=".",s_Irr!AC17=".",s_Irr!BA17&lt;&gt;"."),s_dir!AE17/((1/1000)*(s_Irr!BA17)),IF(AND(s_Irr!E17=".",s_Irr!AC17&lt;&gt;".",s_Irr!BA17="."),s_dir!AE17/((1/1000)*(s_Irr!AC17)),IF(AND(s_Irr!E17&lt;&gt;".",s_Irr!AC17=".",s_Irr!BA17="."),s_dir!AE17/((1/1000)*(s_Irr!E17)),IF(AND(s_Irr!E17=".",s_Irr!AC17=".",s_Irr!BA17="."),s_dir!AE17*1000)))))))),".")</f>
        <v>51114.904966271723</v>
      </c>
      <c r="BE17" s="76">
        <f>IFERROR(IF(AND(s_Irr!F17&lt;&gt;".",s_Irr!AD17&lt;&gt;".",s_Irr!BB17&lt;&gt;"."),s_dir!AF17/((1/1000)*(s_Irr!F17+s_Irr!AD17+s_Irr!BB17)),IF(AND(s_Irr!F17&lt;&gt;".",s_Irr!AD17&lt;&gt;".",s_Irr!BB17="."),s_dir!AF17/((1/1000)*(s_Irr!F17+s_Irr!AD17)),IF(AND(s_Irr!F17&lt;&gt;".",s_Irr!AD17=".",s_Irr!BB17&lt;&gt;"."),s_dir!AF17/((1/1000)*(s_Irr!F17+s_Irr!BB17)),IF(AND(s_Irr!F17=".",s_Irr!AD17&lt;&gt;".",s_Irr!BB17&lt;&gt;"."),s_dir!AF17/((1/1000)*(s_Irr!AD17+s_Irr!BB17)),IF(AND(s_Irr!F17=".",s_Irr!AD17=".",s_Irr!BB17&lt;&gt;"."),s_dir!AF17/((1/1000)*(s_Irr!BB17)),IF(AND(s_Irr!F17=".",s_Irr!AD17&lt;&gt;".",s_Irr!BB17="."),s_dir!AF17/((1/1000)*(s_Irr!AD17)),IF(AND(s_Irr!F17&lt;&gt;".",s_Irr!AD17=".",s_Irr!BB17="."),s_dir!AF17/((1/1000)*(s_Irr!F17)),IF(AND(s_Irr!F17=".",s_Irr!AD17=".",s_Irr!BB17="."),s_dir!AF17*1000)))))))),".")</f>
        <v>54826.066104865553</v>
      </c>
      <c r="BF17" s="76">
        <f>IFERROR(IF(AND(s_Irr!G17&lt;&gt;".",s_Irr!AE17&lt;&gt;".",s_Irr!BC17&lt;&gt;"."),s_dir!AG17/((1/1000)*(s_Irr!G17+s_Irr!AE17+s_Irr!BC17)),IF(AND(s_Irr!G17&lt;&gt;".",s_Irr!AE17&lt;&gt;".",s_Irr!BC17="."),s_dir!AG17/((1/1000)*(s_Irr!G17+s_Irr!AE17)),IF(AND(s_Irr!G17&lt;&gt;".",s_Irr!AE17=".",s_Irr!BC17&lt;&gt;"."),s_dir!AG17/((1/1000)*(s_Irr!G17+s_Irr!BC17)),IF(AND(s_Irr!G17=".",s_Irr!AE17&lt;&gt;".",s_Irr!BC17&lt;&gt;"."),s_dir!AG17/((1/1000)*(s_Irr!AE17+s_Irr!BC17)),IF(AND(s_Irr!G17=".",s_Irr!AE17=".",s_Irr!BC17&lt;&gt;"."),s_dir!AG17/((1/1000)*(s_Irr!BC17)),IF(AND(s_Irr!G17=".",s_Irr!AE17&lt;&gt;".",s_Irr!BC17="."),s_dir!AG17/((1/1000)*(s_Irr!AE17)),IF(AND(s_Irr!G17&lt;&gt;".",s_Irr!AE17=".",s_Irr!BC17="."),s_dir!AG17/((1/1000)*(s_Irr!G17)),IF(AND(s_Irr!G17=".",s_Irr!AE17=".",s_Irr!BC17="."),s_dir!AG17*1000)))))))),".")</f>
        <v>51114.904966271723</v>
      </c>
      <c r="BG17" s="76">
        <f>IFERROR(IF(AND(s_Irr!H17&lt;&gt;".",s_Irr!AF17&lt;&gt;".",s_Irr!BD17&lt;&gt;"."),s_dir!AH17/((1/1000)*(s_Irr!H17+s_Irr!AF17+s_Irr!BD17)),IF(AND(s_Irr!H17&lt;&gt;".",s_Irr!AF17&lt;&gt;".",s_Irr!BD17="."),s_dir!AH17/((1/1000)*(s_Irr!H17+s_Irr!AF17)),IF(AND(s_Irr!H17&lt;&gt;".",s_Irr!AF17=".",s_Irr!BD17&lt;&gt;"."),s_dir!AH17/((1/1000)*(s_Irr!H17+s_Irr!BD17)),IF(AND(s_Irr!H17=".",s_Irr!AF17&lt;&gt;".",s_Irr!BD17&lt;&gt;"."),s_dir!AH17/((1/1000)*(s_Irr!AF17+s_Irr!BD17)),IF(AND(s_Irr!H17=".",s_Irr!AF17=".",s_Irr!BD17&lt;&gt;"."),s_dir!AH17/((1/1000)*(s_Irr!BD17)),IF(AND(s_Irr!H17=".",s_Irr!AF17&lt;&gt;".",s_Irr!BD17="."),s_dir!AH17/((1/1000)*(s_Irr!AF17)),IF(AND(s_Irr!H17&lt;&gt;".",s_Irr!AF17=".",s_Irr!BD17="."),s_dir!AH17/((1/1000)*(s_Irr!H17)),IF(AND(s_Irr!H17=".",s_Irr!AF17=".",s_Irr!BD17="."),s_dir!AH17*1000)))))))),".")</f>
        <v>27189.265493619616</v>
      </c>
      <c r="BH17" s="76">
        <f>IFERROR(IF(AND(s_Irr!I17&lt;&gt;".",s_Irr!AG17&lt;&gt;".",s_Irr!BE17&lt;&gt;"."),s_dir!AI17/((1/1000)*(s_Irr!I17+s_Irr!AG17+s_Irr!BE17)),IF(AND(s_Irr!I17&lt;&gt;".",s_Irr!AG17&lt;&gt;".",s_Irr!BE17="."),s_dir!AI17/((1/1000)*(s_Irr!I17+s_Irr!AG17)),IF(AND(s_Irr!I17&lt;&gt;".",s_Irr!AG17=".",s_Irr!BE17&lt;&gt;"."),s_dir!AI17/((1/1000)*(s_Irr!I17+s_Irr!BE17)),IF(AND(s_Irr!I17=".",s_Irr!AG17&lt;&gt;".",s_Irr!BE17&lt;&gt;"."),s_dir!AI17/((1/1000)*(s_Irr!AG17+s_Irr!BE17)),IF(AND(s_Irr!I17=".",s_Irr!AG17=".",s_Irr!BE17&lt;&gt;"."),s_dir!AI17/((1/1000)*(s_Irr!BE17)),IF(AND(s_Irr!I17=".",s_Irr!AG17&lt;&gt;".",s_Irr!BE17="."),s_dir!AI17/((1/1000)*(s_Irr!AG17)),IF(AND(s_Irr!I17&lt;&gt;".",s_Irr!AG17=".",s_Irr!BE17="."),s_dir!AI17/((1/1000)*(s_Irr!I17)),IF(AND(s_Irr!I17=".",s_Irr!AG17=".",s_Irr!BE17="."),s_dir!AI17*1000)))))))),".")</f>
        <v>51114.904966271723</v>
      </c>
      <c r="BI17" s="76">
        <f>IFERROR(IF(AND(s_Irr!J17&lt;&gt;".",s_Irr!AH17&lt;&gt;".",s_Irr!BF17&lt;&gt;"."),s_dir!AJ17/((1/1000)*(s_Irr!J17+s_Irr!AH17+s_Irr!BF17)),IF(AND(s_Irr!J17&lt;&gt;".",s_Irr!AH17&lt;&gt;".",s_Irr!BF17="."),s_dir!AJ17/((1/1000)*(s_Irr!J17+s_Irr!AH17)),IF(AND(s_Irr!J17&lt;&gt;".",s_Irr!AH17=".",s_Irr!BF17&lt;&gt;"."),s_dir!AJ17/((1/1000)*(s_Irr!J17+s_Irr!BF17)),IF(AND(s_Irr!J17=".",s_Irr!AH17&lt;&gt;".",s_Irr!BF17&lt;&gt;"."),s_dir!AJ17/((1/1000)*(s_Irr!AH17+s_Irr!BF17)),IF(AND(s_Irr!J17=".",s_Irr!AH17=".",s_Irr!BF17&lt;&gt;"."),s_dir!AJ17/((1/1000)*(s_Irr!BF17)),IF(AND(s_Irr!J17=".",s_Irr!AH17&lt;&gt;".",s_Irr!BF17="."),s_dir!AJ17/((1/1000)*(s_Irr!AH17)),IF(AND(s_Irr!J17&lt;&gt;".",s_Irr!AH17=".",s_Irr!BF17="."),s_dir!AJ17/((1/1000)*(s_Irr!J17)),IF(AND(s_Irr!J17=".",s_Irr!AH17=".",s_Irr!BF17="."),s_dir!AJ17*1000)))))))),".")</f>
        <v>54826.066104865553</v>
      </c>
      <c r="BJ17" s="76">
        <f>IFERROR(IF(AND(s_Irr!K17&lt;&gt;".",s_Irr!AI17&lt;&gt;".",s_Irr!BG17&lt;&gt;"."),s_dir!AK17/((1/1000)*(s_Irr!K17+s_Irr!AI17+s_Irr!BG17)),IF(AND(s_Irr!K17&lt;&gt;".",s_Irr!AI17&lt;&gt;".",s_Irr!BG17="."),s_dir!AK17/((1/1000)*(s_Irr!K17+s_Irr!AI17)),IF(AND(s_Irr!K17&lt;&gt;".",s_Irr!AI17=".",s_Irr!BG17&lt;&gt;"."),s_dir!AK17/((1/1000)*(s_Irr!K17+s_Irr!BG17)),IF(AND(s_Irr!K17=".",s_Irr!AI17&lt;&gt;".",s_Irr!BG17&lt;&gt;"."),s_dir!AK17/((1/1000)*(s_Irr!AI17+s_Irr!BG17)),IF(AND(s_Irr!K17=".",s_Irr!AI17=".",s_Irr!BG17&lt;&gt;"."),s_dir!AK17/((1/1000)*(s_Irr!BG17)),IF(AND(s_Irr!K17=".",s_Irr!AI17&lt;&gt;".",s_Irr!BG17="."),s_dir!AK17/((1/1000)*(s_Irr!AI17)),IF(AND(s_Irr!K17&lt;&gt;".",s_Irr!AI17=".",s_Irr!BG17="."),s_dir!AK17/((1/1000)*(s_Irr!K17)),IF(AND(s_Irr!K17=".",s_Irr!AI17=".",s_Irr!BG17="."),s_dir!AK17*1000)))))))),".")</f>
        <v>62858.32559103817</v>
      </c>
      <c r="BK17" s="76">
        <f>IFERROR(IF(AND(s_Irr!L17&lt;&gt;".",s_Irr!AJ17&lt;&gt;".",s_Irr!BH17&lt;&gt;"."),s_dir!AL17/((1/1000)*(s_Irr!L17+s_Irr!AJ17+s_Irr!BH17)),IF(AND(s_Irr!L17&lt;&gt;".",s_Irr!AJ17&lt;&gt;".",s_Irr!BH17="."),s_dir!AL17/((1/1000)*(s_Irr!L17+s_Irr!AJ17)),IF(AND(s_Irr!L17&lt;&gt;".",s_Irr!AJ17=".",s_Irr!BH17&lt;&gt;"."),s_dir!AL17/((1/1000)*(s_Irr!L17+s_Irr!BH17)),IF(AND(s_Irr!L17=".",s_Irr!AJ17&lt;&gt;".",s_Irr!BH17&lt;&gt;"."),s_dir!AL17/((1/1000)*(s_Irr!AJ17+s_Irr!BH17)),IF(AND(s_Irr!L17=".",s_Irr!AJ17=".",s_Irr!BH17&lt;&gt;"."),s_dir!AL17/((1/1000)*(s_Irr!BH17)),IF(AND(s_Irr!L17=".",s_Irr!AJ17&lt;&gt;".",s_Irr!BH17="."),s_dir!AL17/((1/1000)*(s_Irr!AJ17)),IF(AND(s_Irr!L17&lt;&gt;".",s_Irr!AJ17=".",s_Irr!BH17="."),s_dir!AL17/((1/1000)*(s_Irr!L17)),IF(AND(s_Irr!L17=".",s_Irr!AJ17=".",s_Irr!BH17="."),s_dir!AL17*1000)))))))),".")</f>
        <v>51114.904966271723</v>
      </c>
      <c r="BL17" s="76">
        <f>IFERROR(IF(AND(s_Irr!M17&lt;&gt;".",s_Irr!AK17&lt;&gt;".",s_Irr!BI17&lt;&gt;"."),s_dir!AM17/((1/1000)*(s_Irr!M17+s_Irr!AK17+s_Irr!BI17)),IF(AND(s_Irr!M17&lt;&gt;".",s_Irr!AK17&lt;&gt;".",s_Irr!BI17="."),s_dir!AM17/((1/1000)*(s_Irr!M17+s_Irr!AK17)),IF(AND(s_Irr!M17&lt;&gt;".",s_Irr!AK17=".",s_Irr!BI17&lt;&gt;"."),s_dir!AM17/((1/1000)*(s_Irr!M17+s_Irr!BI17)),IF(AND(s_Irr!M17=".",s_Irr!AK17&lt;&gt;".",s_Irr!BI17&lt;&gt;"."),s_dir!AM17/((1/1000)*(s_Irr!AK17+s_Irr!BI17)),IF(AND(s_Irr!M17=".",s_Irr!AK17=".",s_Irr!BI17&lt;&gt;"."),s_dir!AM17/((1/1000)*(s_Irr!BI17)),IF(AND(s_Irr!M17=".",s_Irr!AK17&lt;&gt;".",s_Irr!BI17="."),s_dir!AM17/((1/1000)*(s_Irr!AK17)),IF(AND(s_Irr!M17&lt;&gt;".",s_Irr!AK17=".",s_Irr!BI17="."),s_dir!AM17/((1/1000)*(s_Irr!M17)),IF(AND(s_Irr!M17=".",s_Irr!AK17=".",s_Irr!BI17="."),s_dir!AM17*1000)))))))),".")</f>
        <v>27189.265493619616</v>
      </c>
      <c r="BM17" s="76">
        <f>IFERROR(IF(AND(s_Irr!N17&lt;&gt;".",s_Irr!AL17&lt;&gt;".",s_Irr!BJ17&lt;&gt;"."),s_dir!AN17/((1/1000)*(s_Irr!N17+s_Irr!AL17+s_Irr!BJ17)),IF(AND(s_Irr!N17&lt;&gt;".",s_Irr!AL17&lt;&gt;".",s_Irr!BJ17="."),s_dir!AN17/((1/1000)*(s_Irr!N17+s_Irr!AL17)),IF(AND(s_Irr!N17&lt;&gt;".",s_Irr!AL17=".",s_Irr!BJ17&lt;&gt;"."),s_dir!AN17/((1/1000)*(s_Irr!N17+s_Irr!BJ17)),IF(AND(s_Irr!N17=".",s_Irr!AL17&lt;&gt;".",s_Irr!BJ17&lt;&gt;"."),s_dir!AN17/((1/1000)*(s_Irr!AL17+s_Irr!BJ17)),IF(AND(s_Irr!N17=".",s_Irr!AL17=".",s_Irr!BJ17&lt;&gt;"."),s_dir!AN17/((1/1000)*(s_Irr!BJ17)),IF(AND(s_Irr!N17=".",s_Irr!AL17&lt;&gt;".",s_Irr!BJ17="."),s_dir!AN17/((1/1000)*(s_Irr!AL17)),IF(AND(s_Irr!N17&lt;&gt;".",s_Irr!AL17=".",s_Irr!BJ17="."),s_dir!AN17/((1/1000)*(s_Irr!N17)),IF(AND(s_Irr!N17=".",s_Irr!AL17=".",s_Irr!BJ17="."),s_dir!AN17*1000)))))))),".")</f>
        <v>58841.910463412969</v>
      </c>
      <c r="BN17" s="76">
        <f>IFERROR(IF(AND(s_Irr!O17&lt;&gt;".",s_Irr!AM17&lt;&gt;".",s_Irr!BK17&lt;&gt;"."),s_dir!AO17/((1/1000)*(s_Irr!O17+s_Irr!AM17+s_Irr!BK17)),IF(AND(s_Irr!O17&lt;&gt;".",s_Irr!AM17&lt;&gt;".",s_Irr!BK17="."),s_dir!AO17/((1/1000)*(s_Irr!O17+s_Irr!AM17)),IF(AND(s_Irr!O17&lt;&gt;".",s_Irr!AM17=".",s_Irr!BK17&lt;&gt;"."),s_dir!AO17/((1/1000)*(s_Irr!O17+s_Irr!BK17)),IF(AND(s_Irr!O17=".",s_Irr!AM17&lt;&gt;".",s_Irr!BK17&lt;&gt;"."),s_dir!AO17/((1/1000)*(s_Irr!AM17+s_Irr!BK17)),IF(AND(s_Irr!O17=".",s_Irr!AM17=".",s_Irr!BK17&lt;&gt;"."),s_dir!AO17/((1/1000)*(s_Irr!BK17)),IF(AND(s_Irr!O17=".",s_Irr!AM17&lt;&gt;".",s_Irr!BK17="."),s_dir!AO17/((1/1000)*(s_Irr!AM17)),IF(AND(s_Irr!O17&lt;&gt;".",s_Irr!AM17=".",s_Irr!BK17="."),s_dir!AO17/((1/1000)*(s_Irr!O17)),IF(AND(s_Irr!O17=".",s_Irr!AM17=".",s_Irr!BK17="."),s_dir!AO17*1000)))))))),".")</f>
        <v>51114.904966271723</v>
      </c>
      <c r="BO17" s="76">
        <f>IFERROR(IF(AND(s_Irr!P17&lt;&gt;".",s_Irr!AN17&lt;&gt;".",s_Irr!BL17&lt;&gt;"."),s_dir!AP17/((1/1000)*(s_Irr!P17+s_Irr!AN17+s_Irr!BL17)),IF(AND(s_Irr!P17&lt;&gt;".",s_Irr!AN17&lt;&gt;".",s_Irr!BL17="."),s_dir!AP17/((1/1000)*(s_Irr!P17+s_Irr!AN17)),IF(AND(s_Irr!P17&lt;&gt;".",s_Irr!AN17=".",s_Irr!BL17&lt;&gt;"."),s_dir!AP17/((1/1000)*(s_Irr!P17+s_Irr!BL17)),IF(AND(s_Irr!P17=".",s_Irr!AN17&lt;&gt;".",s_Irr!BL17&lt;&gt;"."),s_dir!AP17/((1/1000)*(s_Irr!AN17+s_Irr!BL17)),IF(AND(s_Irr!P17=".",s_Irr!AN17=".",s_Irr!BL17&lt;&gt;"."),s_dir!AP17/((1/1000)*(s_Irr!BL17)),IF(AND(s_Irr!P17=".",s_Irr!AN17&lt;&gt;".",s_Irr!BL17="."),s_dir!AP17/((1/1000)*(s_Irr!AN17)),IF(AND(s_Irr!P17&lt;&gt;".",s_Irr!AN17=".",s_Irr!BL17="."),s_dir!AP17/((1/1000)*(s_Irr!P17)),IF(AND(s_Irr!P17=".",s_Irr!AN17=".",s_Irr!BL17="."),s_dir!AP17*1000)))))))),".")</f>
        <v>51114.904966271723</v>
      </c>
      <c r="BP17" s="76">
        <f>IFERROR(IF(AND(s_Irr!Q17&lt;&gt;".",s_Irr!AO17&lt;&gt;".",s_Irr!BM17&lt;&gt;"."),s_dir!AQ17/((1/1000)*(s_Irr!Q17+s_Irr!AO17+s_Irr!BM17)),IF(AND(s_Irr!Q17&lt;&gt;".",s_Irr!AO17&lt;&gt;".",s_Irr!BM17="."),s_dir!AQ17/((1/1000)*(s_Irr!Q17+s_Irr!AO17)),IF(AND(s_Irr!Q17&lt;&gt;".",s_Irr!AO17=".",s_Irr!BM17&lt;&gt;"."),s_dir!AQ17/((1/1000)*(s_Irr!Q17+s_Irr!BM17)),IF(AND(s_Irr!Q17=".",s_Irr!AO17&lt;&gt;".",s_Irr!BM17&lt;&gt;"."),s_dir!AQ17/((1/1000)*(s_Irr!AO17+s_Irr!BM17)),IF(AND(s_Irr!Q17=".",s_Irr!AO17=".",s_Irr!BM17&lt;&gt;"."),s_dir!AQ17/((1/1000)*(s_Irr!BM17)),IF(AND(s_Irr!Q17=".",s_Irr!AO17&lt;&gt;".",s_Irr!BM17="."),s_dir!AQ17/((1/1000)*(s_Irr!AO17)),IF(AND(s_Irr!Q17&lt;&gt;".",s_Irr!AO17=".",s_Irr!BM17="."),s_dir!AQ17/((1/1000)*(s_Irr!Q17)),IF(AND(s_Irr!Q17=".",s_Irr!AO17=".",s_Irr!BM17="."),s_dir!AQ17*1000)))))))),".")</f>
        <v>54826.066104865553</v>
      </c>
      <c r="BQ17" s="76">
        <f>IFERROR(IF(AND(s_Irr!R17&lt;&gt;".",s_Irr!AP17&lt;&gt;".",s_Irr!BN17&lt;&gt;"."),s_dir!AR17/((1/1000)*(s_Irr!R17+s_Irr!AP17+s_Irr!BN17)),IF(AND(s_Irr!R17&lt;&gt;".",s_Irr!AP17&lt;&gt;".",s_Irr!BN17="."),s_dir!AR17/((1/1000)*(s_Irr!R17+s_Irr!AP17)),IF(AND(s_Irr!R17&lt;&gt;".",s_Irr!AP17=".",s_Irr!BN17&lt;&gt;"."),s_dir!AR17/((1/1000)*(s_Irr!R17+s_Irr!BN17)),IF(AND(s_Irr!R17=".",s_Irr!AP17&lt;&gt;".",s_Irr!BN17&lt;&gt;"."),s_dir!AR17/((1/1000)*(s_Irr!AP17+s_Irr!BN17)),IF(AND(s_Irr!R17=".",s_Irr!AP17=".",s_Irr!BN17&lt;&gt;"."),s_dir!AR17/((1/1000)*(s_Irr!BN17)),IF(AND(s_Irr!R17=".",s_Irr!AP17&lt;&gt;".",s_Irr!BN17="."),s_dir!AR17/((1/1000)*(s_Irr!AP17)),IF(AND(s_Irr!R17&lt;&gt;".",s_Irr!AP17=".",s_Irr!BN17="."),s_dir!AR17/((1/1000)*(s_Irr!R17)),IF(AND(s_Irr!R17=".",s_Irr!AP17=".",s_Irr!BN17="."),s_dir!AR17*1000)))))))),".")</f>
        <v>54826.066104865553</v>
      </c>
      <c r="BR17" s="76">
        <f>IFERROR(IF(AND(s_Irr!S17&lt;&gt;".",s_Irr!AQ17&lt;&gt;".",s_Irr!BO17&lt;&gt;"."),s_dir!AS17/((1/1000)*(s_Irr!S17+s_Irr!AQ17+s_Irr!BO17)),IF(AND(s_Irr!S17&lt;&gt;".",s_Irr!AQ17&lt;&gt;".",s_Irr!BO17="."),s_dir!AS17/((1/1000)*(s_Irr!S17+s_Irr!AQ17)),IF(AND(s_Irr!S17&lt;&gt;".",s_Irr!AQ17=".",s_Irr!BO17&lt;&gt;"."),s_dir!AS17/((1/1000)*(s_Irr!S17+s_Irr!BO17)),IF(AND(s_Irr!S17=".",s_Irr!AQ17&lt;&gt;".",s_Irr!BO17&lt;&gt;"."),s_dir!AS17/((1/1000)*(s_Irr!AQ17+s_Irr!BO17)),IF(AND(s_Irr!S17=".",s_Irr!AQ17=".",s_Irr!BO17&lt;&gt;"."),s_dir!AS17/((1/1000)*(s_Irr!BO17)),IF(AND(s_Irr!S17=".",s_Irr!AQ17&lt;&gt;".",s_Irr!BO17="."),s_dir!AS17/((1/1000)*(s_Irr!AQ17)),IF(AND(s_Irr!S17&lt;&gt;".",s_Irr!AQ17=".",s_Irr!BO17="."),s_dir!AS17/((1/1000)*(s_Irr!S17)),IF(AND(s_Irr!S17=".",s_Irr!AQ17=".",s_Irr!BO17="."),s_dir!AS17*1000)))))))),".")</f>
        <v>58841.910463412969</v>
      </c>
      <c r="BS17" s="76">
        <f>IFERROR(IF(AND(s_Irr!T17&lt;&gt;".",s_Irr!AR17&lt;&gt;".",s_Irr!BP17&lt;&gt;"."),s_dir!AT17/((1/1000)*(s_Irr!T17+s_Irr!AR17+s_Irr!BP17)),IF(AND(s_Irr!T17&lt;&gt;".",s_Irr!AR17&lt;&gt;".",s_Irr!BP17="."),s_dir!AT17/((1/1000)*(s_Irr!T17+s_Irr!AR17)),IF(AND(s_Irr!T17&lt;&gt;".",s_Irr!AR17=".",s_Irr!BP17&lt;&gt;"."),s_dir!AT17/((1/1000)*(s_Irr!T17+s_Irr!BP17)),IF(AND(s_Irr!T17=".",s_Irr!AR17&lt;&gt;".",s_Irr!BP17&lt;&gt;"."),s_dir!AT17/((1/1000)*(s_Irr!AR17+s_Irr!BP17)),IF(AND(s_Irr!T17=".",s_Irr!AR17=".",s_Irr!BP17&lt;&gt;"."),s_dir!AT17/((1/1000)*(s_Irr!BP17)),IF(AND(s_Irr!T17=".",s_Irr!AR17&lt;&gt;".",s_Irr!BP17="."),s_dir!AT17/((1/1000)*(s_Irr!AR17)),IF(AND(s_Irr!T17&lt;&gt;".",s_Irr!AR17=".",s_Irr!BP17="."),s_dir!AT17/((1/1000)*(s_Irr!T17)),IF(AND(s_Irr!T17=".",s_Irr!AR17=".",s_Irr!BP17="."),s_dir!AT17*1000)))))))),".")</f>
        <v>62545.94189119598</v>
      </c>
      <c r="BT17" s="76">
        <f>IFERROR(IF(AND(s_Irr!U17&lt;&gt;".",s_Irr!AS17&lt;&gt;".",s_Irr!BQ17&lt;&gt;"."),s_dir!AU17/((1/1000)*(s_Irr!U17+s_Irr!AS17+s_Irr!BQ17)),IF(AND(s_Irr!U17&lt;&gt;".",s_Irr!AS17&lt;&gt;".",s_Irr!BQ17="."),s_dir!AU17/((1/1000)*(s_Irr!U17+s_Irr!AS17)),IF(AND(s_Irr!U17&lt;&gt;".",s_Irr!AS17=".",s_Irr!BQ17&lt;&gt;"."),s_dir!AU17/((1/1000)*(s_Irr!U17+s_Irr!BQ17)),IF(AND(s_Irr!U17=".",s_Irr!AS17&lt;&gt;".",s_Irr!BQ17&lt;&gt;"."),s_dir!AU17/((1/1000)*(s_Irr!AS17+s_Irr!BQ17)),IF(AND(s_Irr!U17=".",s_Irr!AS17=".",s_Irr!BQ17&lt;&gt;"."),s_dir!AU17/((1/1000)*(s_Irr!BQ17)),IF(AND(s_Irr!U17=".",s_Irr!AS17&lt;&gt;".",s_Irr!BQ17="."),s_dir!AU17/((1/1000)*(s_Irr!AS17)),IF(AND(s_Irr!U17&lt;&gt;".",s_Irr!AS17=".",s_Irr!BQ17="."),s_dir!AU17/((1/1000)*(s_Irr!U17)),IF(AND(s_Irr!U17=".",s_Irr!AS17=".",s_Irr!BQ17="."),s_dir!AU17*1000)))))))),".")</f>
        <v>51114.904966271723</v>
      </c>
      <c r="BU17" s="76">
        <f>IFERROR(IF(AND(s_Irr!V17&lt;&gt;".",s_Irr!AT17&lt;&gt;".",s_Irr!BR17&lt;&gt;"."),s_dir!AV17/((1/1000)*(s_Irr!V17+s_Irr!AT17+s_Irr!BR17)),IF(AND(s_Irr!V17&lt;&gt;".",s_Irr!AT17&lt;&gt;".",s_Irr!BR17="."),s_dir!AV17/((1/1000)*(s_Irr!V17+s_Irr!AT17)),IF(AND(s_Irr!V17&lt;&gt;".",s_Irr!AT17=".",s_Irr!BR17&lt;&gt;"."),s_dir!AV17/((1/1000)*(s_Irr!V17+s_Irr!BR17)),IF(AND(s_Irr!V17=".",s_Irr!AT17&lt;&gt;".",s_Irr!BR17&lt;&gt;"."),s_dir!AV17/((1/1000)*(s_Irr!AT17+s_Irr!BR17)),IF(AND(s_Irr!V17=".",s_Irr!AT17=".",s_Irr!BR17&lt;&gt;"."),s_dir!AV17/((1/1000)*(s_Irr!BR17)),IF(AND(s_Irr!V17=".",s_Irr!AT17&lt;&gt;".",s_Irr!BR17="."),s_dir!AV17/((1/1000)*(s_Irr!AT17)),IF(AND(s_Irr!V17&lt;&gt;".",s_Irr!AT17=".",s_Irr!BR17="."),s_dir!AV17/((1/1000)*(s_Irr!V17)),IF(AND(s_Irr!V17=".",s_Irr!AT17=".",s_Irr!BR17="."),s_dir!AV17*1000)))))))),".")</f>
        <v>58841.910463412969</v>
      </c>
      <c r="BV17" s="76">
        <f>IFERROR(IF(AND(s_Irr!W17&lt;&gt;".",s_Irr!AU17&lt;&gt;".",s_Irr!BS17&lt;&gt;"."),s_dir!AW17/((1/1000)*(s_Irr!W17+s_Irr!AU17+s_Irr!BS17)),IF(AND(s_Irr!W17&lt;&gt;".",s_Irr!AU17&lt;&gt;".",s_Irr!BS17="."),s_dir!AW17/((1/1000)*(s_Irr!W17+s_Irr!AU17)),IF(AND(s_Irr!W17&lt;&gt;".",s_Irr!AU17=".",s_Irr!BS17&lt;&gt;"."),s_dir!AW17/((1/1000)*(s_Irr!W17+s_Irr!BS17)),IF(AND(s_Irr!W17=".",s_Irr!AU17&lt;&gt;".",s_Irr!BS17&lt;&gt;"."),s_dir!AW17/((1/1000)*(s_Irr!AU17+s_Irr!BS17)),IF(AND(s_Irr!W17=".",s_Irr!AU17=".",s_Irr!BS17&lt;&gt;"."),s_dir!AW17/((1/1000)*(s_Irr!BS17)),IF(AND(s_Irr!W17=".",s_Irr!AU17&lt;&gt;".",s_Irr!BS17="."),s_dir!AW17/((1/1000)*(s_Irr!AU17)),IF(AND(s_Irr!W17&lt;&gt;".",s_Irr!AU17=".",s_Irr!BS17="."),s_dir!AW17/((1/1000)*(s_Irr!W17)),IF(AND(s_Irr!W17=".",s_Irr!AU17=".",s_Irr!BS17="."),s_dir!AW17*1000)))))))),".")</f>
        <v>54826.066104865553</v>
      </c>
      <c r="BW17" s="76">
        <f>IFERROR(IF(AND(s_Irr!X17&lt;&gt;".",s_Irr!AV17&lt;&gt;".",s_Irr!BT17&lt;&gt;"."),s_dir!AX17/((1/1000)*(s_Irr!X17+s_Irr!AV17+s_Irr!BT17)),IF(AND(s_Irr!X17&lt;&gt;".",s_Irr!AV17&lt;&gt;".",s_Irr!BT17="."),s_dir!AX17/((1/1000)*(s_Irr!X17+s_Irr!AV17)),IF(AND(s_Irr!X17&lt;&gt;".",s_Irr!AV17=".",s_Irr!BT17&lt;&gt;"."),s_dir!AX17/((1/1000)*(s_Irr!X17+s_Irr!BT17)),IF(AND(s_Irr!X17=".",s_Irr!AV17&lt;&gt;".",s_Irr!BT17&lt;&gt;"."),s_dir!AX17/((1/1000)*(s_Irr!AV17+s_Irr!BT17)),IF(AND(s_Irr!X17=".",s_Irr!AV17=".",s_Irr!BT17&lt;&gt;"."),s_dir!AX17/((1/1000)*(s_Irr!BT17)),IF(AND(s_Irr!X17=".",s_Irr!AV17&lt;&gt;".",s_Irr!BT17="."),s_dir!AX17/((1/1000)*(s_Irr!AV17)),IF(AND(s_Irr!X17&lt;&gt;".",s_Irr!AV17=".",s_Irr!BT17="."),s_dir!AX17/((1/1000)*(s_Irr!X17)),IF(AND(s_Irr!X17=".",s_Irr!AV17=".",s_Irr!BT17="."),s_dir!AX17*1000)))))))),".")</f>
        <v>51114.904966271723</v>
      </c>
      <c r="BX17" s="76">
        <f>IFERROR(IF(AND(s_Irr!Y17&lt;&gt;".",s_Irr!AW17&lt;&gt;".",s_Irr!BU17&lt;&gt;"."),s_dir!AY17/((1/1000)*(s_Irr!Y17+s_Irr!AW17+s_Irr!BU17)),IF(AND(s_Irr!Y17&lt;&gt;".",s_Irr!AW17&lt;&gt;".",s_Irr!BU17="."),s_dir!AY17/((1/1000)*(s_Irr!Y17+s_Irr!AW17)),IF(AND(s_Irr!Y17&lt;&gt;".",s_Irr!AW17=".",s_Irr!BU17&lt;&gt;"."),s_dir!AY17/((1/1000)*(s_Irr!Y17+s_Irr!BU17)),IF(AND(s_Irr!Y17=".",s_Irr!AW17&lt;&gt;".",s_Irr!BU17&lt;&gt;"."),s_dir!AY17/((1/1000)*(s_Irr!AW17+s_Irr!BU17)),IF(AND(s_Irr!Y17=".",s_Irr!AW17=".",s_Irr!BU17&lt;&gt;"."),s_dir!AY17/((1/1000)*(s_Irr!BU17)),IF(AND(s_Irr!Y17=".",s_Irr!AW17&lt;&gt;".",s_Irr!BU17="."),s_dir!AY17/((1/1000)*(s_Irr!AW17)),IF(AND(s_Irr!Y17&lt;&gt;".",s_Irr!AW17=".",s_Irr!BU17="."),s_dir!AY17/((1/1000)*(s_Irr!Y17)),IF(AND(s_Irr!Y17=".",s_Irr!AW17=".",s_Irr!BU17="."),s_dir!AY17*1000)))))))),".")</f>
        <v>63825.271173342655</v>
      </c>
      <c r="BY17" s="76">
        <f>IFERROR(IF(AND(s_Irr!Z17&lt;&gt;".",s_Irr!AX17&lt;&gt;".",s_Irr!BV17&lt;&gt;"."),s_dir!AZ17/((1/1000)*(s_Irr!Z17+s_Irr!AX17+s_Irr!BV17)),IF(AND(s_Irr!Z17&lt;&gt;".",s_Irr!AX17&lt;&gt;".",s_Irr!BV17="."),s_dir!AZ17/((1/1000)*(s_Irr!Z17+s_Irr!AX17)),IF(AND(s_Irr!Z17&lt;&gt;".",s_Irr!AX17=".",s_Irr!BV17&lt;&gt;"."),s_dir!AZ17/((1/1000)*(s_Irr!Z17+s_Irr!BV17)),IF(AND(s_Irr!Z17=".",s_Irr!AX17&lt;&gt;".",s_Irr!BV17&lt;&gt;"."),s_dir!AZ17/((1/1000)*(s_Irr!AX17+s_Irr!BV17)),IF(AND(s_Irr!Z17=".",s_Irr!AX17=".",s_Irr!BV17&lt;&gt;"."),s_dir!AZ17/((1/1000)*(s_Irr!BV17)),IF(AND(s_Irr!Z17=".",s_Irr!AX17&lt;&gt;".",s_Irr!BV17="."),s_dir!AZ17/((1/1000)*(s_Irr!AX17)),IF(AND(s_Irr!Z17&lt;&gt;".",s_Irr!AX17=".",s_Irr!BV17="."),s_dir!AZ17/((1/1000)*(s_Irr!Z17)),IF(AND(s_Irr!Z17=".",s_Irr!AX17=".",s_Irr!BV17="."),s_dir!AZ17*1000)))))))),".")</f>
        <v>54041.339539073051</v>
      </c>
      <c r="BZ17" s="93">
        <f>SUM(CA17:CB17,CW17:CX17)</f>
        <v>920.06238904888528</v>
      </c>
      <c r="CA17" s="93">
        <f>IFERROR(s_C*s_IFAP_far_adj*s_CF_apple*(1/1000)*(s_Irr!C17+s_Irr!AA17+s_Irr!AY17),".")</f>
        <v>188.15245928625063</v>
      </c>
      <c r="CB17" s="93">
        <f>IFERROR(s_C*s_IFAS_far_adj*s_CF_asparagus*(1/1000)*(s_Irr!D17+s_Irr!AB17+s_Irr!AZ17),".")</f>
        <v>379.40190672093479</v>
      </c>
      <c r="CC17" s="93">
        <f>IFERROR(s_C*s_IFBT_far_adj*s_CF_beet*(1/1000)*(s_Irr!E17+s_Irr!AC17+s_Irr!BA17),".")</f>
        <v>201.81313410301377</v>
      </c>
      <c r="CD17" s="93">
        <f>IFERROR(s_C*s_IFBE_far_adj*s_CF_berries*(1/1000)*(s_Irr!F17+s_Irr!AD17+s_Irr!BB17),".")</f>
        <v>188.15245928625063</v>
      </c>
      <c r="CE17" s="93">
        <f>IFERROR(s_C*s_IFBR_far_adj*s_CF_broccoli*(1/1000)*(s_Irr!G17+s_Irr!AE17+s_Irr!BC17),".")</f>
        <v>201.81313410301377</v>
      </c>
      <c r="CF17" s="93">
        <f>IFERROR(s_C*s_IFCB_far_adj*s_CF_cabbage*(1/1000)*(s_Irr!H17+s_Irr!AF17+s_Irr!BD17),".")</f>
        <v>379.40190672093479</v>
      </c>
      <c r="CG17" s="93">
        <f>IFERROR(s_C*s_IFCR_far_adj*s_CF_carrot*(1/1000)*(s_Irr!I17+s_Irr!AG17+s_Irr!BE17),".")</f>
        <v>201.81313410301377</v>
      </c>
      <c r="CH17" s="93">
        <f>IFERROR(s_C*s_IFCI_far_adj*s_CF_citrus*(1/1000)*(s_Irr!J17+s_Irr!AH17+s_Irr!BF17),".")</f>
        <v>188.15245928625063</v>
      </c>
      <c r="CI17" s="93">
        <f>IFERROR(s_C*s_IFCO_far_adj*s_CF_corn*(1/1000)*(s_Irr!K17+s_Irr!AI17+s_Irr!BG17),".")</f>
        <v>164.10967160874748</v>
      </c>
      <c r="CJ17" s="93">
        <f>IFERROR(s_C*s_IFCU_far_adj*s_CF_cucumber*(1/1000)*(s_Irr!L17+s_Irr!AJ17+s_Irr!BH17),".")</f>
        <v>201.81313410301377</v>
      </c>
      <c r="CK17" s="93">
        <f>IFERROR(s_C*s_IFLE_far_adj*s_CF_lettuce*(1/1000)*(s_Irr!M17+s_Irr!AK17+s_Irr!BI17),".")</f>
        <v>379.40190672093479</v>
      </c>
      <c r="CL17" s="93">
        <f>IFERROR(s_C*s_IFLI_far_adj*s_CF_lima_bean*(1/1000)*(s_Irr!N17+s_Irr!AL17+s_Irr!BJ17),".")</f>
        <v>175.31142495849323</v>
      </c>
      <c r="CM17" s="93">
        <f>IFERROR(s_C*s_IFOK_far_adj*s_CF_okra*(1/1000)*(s_Irr!O17+s_Irr!AM17+s_Irr!BK17),".")</f>
        <v>201.81313410301377</v>
      </c>
      <c r="CN17" s="93">
        <f>IFERROR(s_C*s_IFON_far_adj*s_CF_onion*(1/1000)*(s_Irr!P17+s_Irr!AN17+s_Irr!BL17),".")</f>
        <v>201.81313410301377</v>
      </c>
      <c r="CO17" s="93">
        <f>IFERROR(s_C*s_IFPC_far_adj*s_CF_peach*(1/1000)*(s_Irr!Q17+s_Irr!AO17+s_Irr!BM17),".")</f>
        <v>188.15245928625063</v>
      </c>
      <c r="CP17" s="93">
        <f>IFERROR(s_C*s_IFPR_far_adj*s_CF_pear*(1/1000)*(s_Irr!R17+s_Irr!AP17+s_Irr!BN17),".")</f>
        <v>188.15245928625063</v>
      </c>
      <c r="CQ17" s="93">
        <f>IFERROR(s_C*s_IFPE_far_adj*s_CF_peas*(1/1000)*(s_Irr!S17+s_Irr!AQ17+s_Irr!BO17),".")</f>
        <v>175.31142495849323</v>
      </c>
      <c r="CR17" s="93">
        <f>IFERROR(s_C*s_IFPT_far_adj*s_CF_potato*(1/1000)*(s_Irr!T17+s_Irr!AR17+s_Irr!BP17),".")</f>
        <v>164.92931209775327</v>
      </c>
      <c r="CS17" s="93">
        <f>IFERROR(s_C*s_IFPU_far_adj*s_CF_pumpkin*(1/1000)*(s_Irr!U17+s_Irr!AS17+s_Irr!BQ17),".")</f>
        <v>201.81313410301377</v>
      </c>
      <c r="CT17" s="93">
        <f>IFERROR(s_C*s_IFSN_far_adj*s_CF_snap_bean*(1/1000)*(s_Irr!V17+s_Irr!AT17+s_Irr!BR17),".")</f>
        <v>175.31142495849323</v>
      </c>
      <c r="CU17" s="93">
        <f>IFERROR(s_C*s_IFST_far_adj*s_CF_strawberry*(1/1000)*(s_Irr!W17+s_Irr!AU17+s_Irr!BS17),".")</f>
        <v>188.15245928625063</v>
      </c>
      <c r="CV17" s="93">
        <f>IFERROR(s_C*s_IFTO_far_adj*s_CF_tomato*(1/1000)*(s_Irr!X17+s_Irr!AV17+s_Irr!BT17),".")</f>
        <v>201.81313410301377</v>
      </c>
      <c r="CW17" s="93">
        <f>IFERROR(s_C*s_IFRI_far_adj*s_CF_rice*(1/1000)*(s_Irr!Y17+s_Irr!AW17+s_Irr!BU17),".")</f>
        <v>161.62342879209658</v>
      </c>
      <c r="CX17" s="93">
        <f>IFERROR(s_C*s_IFCG_far_adj*s_CF_cereal*(1/1000)*(s_Irr!Z17+s_Irr!AX17+s_Irr!BV17),".")</f>
        <v>190.88459424960325</v>
      </c>
    </row>
    <row r="18" spans="1:102" ht="15" customHeight="1" x14ac:dyDescent="0.25">
      <c r="A18" s="92" t="s">
        <v>28</v>
      </c>
      <c r="B18" s="90" t="s">
        <v>1074</v>
      </c>
      <c r="C18" s="76">
        <f t="shared" si="18"/>
        <v>3.1687672904104303</v>
      </c>
      <c r="D18" s="76">
        <f>IFERROR(IF(AND(s_Irr!C18&lt;&gt;".",s_Irr!AA18&lt;&gt;".",s_Irr!AY18&lt;&gt;"."),s_dir!D18/((1/1000)*(s_Irr!C18+s_Irr!AA18+s_Irr!AY18)),IF(AND(s_Irr!C18&lt;&gt;".",s_Irr!AA18&lt;&gt;".",s_Irr!AY18="."),s_dir!D18/((1/1000)*(s_Irr!C18+s_Irr!AA18)),IF(AND(s_Irr!C18&lt;&gt;".",s_Irr!AA18=".",s_Irr!AY18&lt;&gt;"."),s_dir!D18/((1/1000)*(s_Irr!C18+s_Irr!AY18)),IF(AND(s_Irr!C18=".",s_Irr!AA18&lt;&gt;".",s_Irr!AY18&lt;&gt;"."),s_dir!D18/((1/1000)*(s_Irr!AA18+s_Irr!AY18)),IF(AND(s_Irr!C18=".",s_Irr!AA18=".",s_Irr!AY18&lt;&gt;"."),s_dir!D18/((1/1000)*(s_Irr!AY18)),IF(AND(s_Irr!C18=".",s_Irr!AA18&lt;&gt;".",s_Irr!AY18="."),s_dir!D18/((1/1000)*(s_Irr!AA18)),IF(AND(s_Irr!C18&lt;&gt;".",s_Irr!AA18=".",s_Irr!AY18="."),s_dir!D18/((1/1000)*(s_Irr!C18)),IF(AND(s_Irr!C18=".",s_Irr!AA18=".",s_Irr!AY18="."),s_dir!D18*1000)))))))),".")</f>
        <v>13.750164876323494</v>
      </c>
      <c r="E18" s="76">
        <f>IFERROR(IF(AND(s_Irr!D18&lt;&gt;".",s_Irr!AB18&lt;&gt;".",s_Irr!AZ18&lt;&gt;"."),s_dir!E18/((1/1000)*(s_Irr!D18+s_Irr!AB18+s_Irr!AZ18)),IF(AND(s_Irr!D18&lt;&gt;".",s_Irr!AB18&lt;&gt;".",s_Irr!AZ18="."),s_dir!E18/((1/1000)*(s_Irr!D18+s_Irr!AB18)),IF(AND(s_Irr!D18&lt;&gt;".",s_Irr!AB18=".",s_Irr!AZ18&lt;&gt;"."),s_dir!E18/((1/1000)*(s_Irr!D18+s_Irr!AZ18)),IF(AND(s_Irr!D18=".",s_Irr!AB18&lt;&gt;".",s_Irr!AZ18&lt;&gt;"."),s_dir!E18/((1/1000)*(s_Irr!AB18+s_Irr!AZ18)),IF(AND(s_Irr!D18=".",s_Irr!AB18=".",s_Irr!AZ18&lt;&gt;"."),s_dir!E18/((1/1000)*(s_Irr!AZ18)),IF(AND(s_Irr!D18=".",s_Irr!AB18&lt;&gt;".",s_Irr!AZ18="."),s_dir!E18/((1/1000)*(s_Irr!AB18)),IF(AND(s_Irr!D18&lt;&gt;".",s_Irr!AB18=".",s_Irr!AZ18="."),s_dir!E18/((1/1000)*(s_Irr!D18)),IF(AND(s_Irr!D18=".",s_Irr!AB18=".",s_Irr!AZ18="."),s_dir!E18*1000)))))))),".")</f>
        <v>12.256178488151772</v>
      </c>
      <c r="F18" s="76">
        <f>IFERROR(IF(AND(s_Irr!E18&lt;&gt;".",s_Irr!AC18&lt;&gt;".",s_Irr!BA18&lt;&gt;"."),s_dir!F18/((1/1000)*(s_Irr!E18+s_Irr!AC18+s_Irr!BA18)),IF(AND(s_Irr!E18&lt;&gt;".",s_Irr!AC18&lt;&gt;".",s_Irr!BA18="."),s_dir!F18/((1/1000)*(s_Irr!E18+s_Irr!AC18)),IF(AND(s_Irr!E18&lt;&gt;".",s_Irr!AC18=".",s_Irr!BA18&lt;&gt;"."),s_dir!F18/((1/1000)*(s_Irr!E18+s_Irr!BA18)),IF(AND(s_Irr!E18=".",s_Irr!AC18&lt;&gt;".",s_Irr!BA18&lt;&gt;"."),s_dir!F18/((1/1000)*(s_Irr!AC18+s_Irr!BA18)),IF(AND(s_Irr!E18=".",s_Irr!AC18=".",s_Irr!BA18&lt;&gt;"."),s_dir!F18/((1/1000)*(s_Irr!BA18)),IF(AND(s_Irr!E18=".",s_Irr!AC18&lt;&gt;".",s_Irr!BA18="."),s_dir!F18/((1/1000)*(s_Irr!AC18)),IF(AND(s_Irr!E18&lt;&gt;".",s_Irr!AC18=".",s_Irr!BA18="."),s_dir!F18/((1/1000)*(s_Irr!E18)),IF(AND(s_Irr!E18=".",s_Irr!AC18=".",s_Irr!BA18="."),s_dir!F18*1000)))))))),".")</f>
        <v>12.559425117268693</v>
      </c>
      <c r="G18" s="76">
        <f>IFERROR(IF(AND(s_Irr!F18&lt;&gt;".",s_Irr!AD18&lt;&gt;".",s_Irr!BB18&lt;&gt;"."),s_dir!G18/((1/1000)*(s_Irr!F18+s_Irr!AD18+s_Irr!BB18)),IF(AND(s_Irr!F18&lt;&gt;".",s_Irr!AD18&lt;&gt;".",s_Irr!BB18="."),s_dir!G18/((1/1000)*(s_Irr!F18+s_Irr!AD18)),IF(AND(s_Irr!F18&lt;&gt;".",s_Irr!AD18=".",s_Irr!BB18&lt;&gt;"."),s_dir!G18/((1/1000)*(s_Irr!F18+s_Irr!BB18)),IF(AND(s_Irr!F18=".",s_Irr!AD18&lt;&gt;".",s_Irr!BB18&lt;&gt;"."),s_dir!G18/((1/1000)*(s_Irr!AD18+s_Irr!BB18)),IF(AND(s_Irr!F18=".",s_Irr!AD18=".",s_Irr!BB18&lt;&gt;"."),s_dir!G18/((1/1000)*(s_Irr!BB18)),IF(AND(s_Irr!F18=".",s_Irr!AD18&lt;&gt;".",s_Irr!BB18="."),s_dir!G18/((1/1000)*(s_Irr!AD18)),IF(AND(s_Irr!F18&lt;&gt;".",s_Irr!AD18=".",s_Irr!BB18="."),s_dir!G18/((1/1000)*(s_Irr!F18)),IF(AND(s_Irr!F18=".",s_Irr!AD18=".",s_Irr!BB18="."),s_dir!G18*1000)))))))),".")</f>
        <v>13.750164876323494</v>
      </c>
      <c r="H18" s="76">
        <f>IFERROR(IF(AND(s_Irr!G18&lt;&gt;".",s_Irr!AE18&lt;&gt;".",s_Irr!BC18&lt;&gt;"."),s_dir!H18/((1/1000)*(s_Irr!G18+s_Irr!AE18+s_Irr!BC18)),IF(AND(s_Irr!G18&lt;&gt;".",s_Irr!AE18&lt;&gt;".",s_Irr!BC18="."),s_dir!H18/((1/1000)*(s_Irr!G18+s_Irr!AE18)),IF(AND(s_Irr!G18&lt;&gt;".",s_Irr!AE18=".",s_Irr!BC18&lt;&gt;"."),s_dir!H18/((1/1000)*(s_Irr!G18+s_Irr!BC18)),IF(AND(s_Irr!G18=".",s_Irr!AE18&lt;&gt;".",s_Irr!BC18&lt;&gt;"."),s_dir!H18/((1/1000)*(s_Irr!AE18+s_Irr!BC18)),IF(AND(s_Irr!G18=".",s_Irr!AE18=".",s_Irr!BC18&lt;&gt;"."),s_dir!H18/((1/1000)*(s_Irr!BC18)),IF(AND(s_Irr!G18=".",s_Irr!AE18&lt;&gt;".",s_Irr!BC18="."),s_dir!H18/((1/1000)*(s_Irr!AE18)),IF(AND(s_Irr!G18&lt;&gt;".",s_Irr!AE18=".",s_Irr!BC18="."),s_dir!H18/((1/1000)*(s_Irr!G18)),IF(AND(s_Irr!G18=".",s_Irr!AE18=".",s_Irr!BC18="."),s_dir!H18*1000)))))))),".")</f>
        <v>13.750164876323494</v>
      </c>
      <c r="I18" s="76">
        <f>IFERROR(IF(AND(s_Irr!H18&lt;&gt;".",s_Irr!AF18&lt;&gt;".",s_Irr!BD18&lt;&gt;"."),s_dir!I18/((1/1000)*(s_Irr!H18+s_Irr!AF18+s_Irr!BD18)),IF(AND(s_Irr!H18&lt;&gt;".",s_Irr!AF18&lt;&gt;".",s_Irr!BD18="."),s_dir!I18/((1/1000)*(s_Irr!H18+s_Irr!AF18)),IF(AND(s_Irr!H18&lt;&gt;".",s_Irr!AF18=".",s_Irr!BD18&lt;&gt;"."),s_dir!I18/((1/1000)*(s_Irr!H18+s_Irr!BD18)),IF(AND(s_Irr!H18=".",s_Irr!AF18&lt;&gt;".",s_Irr!BD18&lt;&gt;"."),s_dir!I18/((1/1000)*(s_Irr!AF18+s_Irr!BD18)),IF(AND(s_Irr!H18=".",s_Irr!AF18=".",s_Irr!BD18&lt;&gt;"."),s_dir!I18/((1/1000)*(s_Irr!BD18)),IF(AND(s_Irr!H18=".",s_Irr!AF18&lt;&gt;".",s_Irr!BD18="."),s_dir!I18/((1/1000)*(s_Irr!AF18)),IF(AND(s_Irr!H18&lt;&gt;".",s_Irr!AF18=".",s_Irr!BD18="."),s_dir!I18/((1/1000)*(s_Irr!H18)),IF(AND(s_Irr!H18=".",s_Irr!AF18=".",s_Irr!BD18="."),s_dir!I18*1000)))))))),".")</f>
        <v>12.256178488151772</v>
      </c>
      <c r="J18" s="76">
        <f>IFERROR(IF(AND(s_Irr!I18&lt;&gt;".",s_Irr!AG18&lt;&gt;".",s_Irr!BE18&lt;&gt;"."),s_dir!J18/((1/1000)*(s_Irr!I18+s_Irr!AG18+s_Irr!BE18)),IF(AND(s_Irr!I18&lt;&gt;".",s_Irr!AG18&lt;&gt;".",s_Irr!BE18="."),s_dir!J18/((1/1000)*(s_Irr!I18+s_Irr!AG18)),IF(AND(s_Irr!I18&lt;&gt;".",s_Irr!AG18=".",s_Irr!BE18&lt;&gt;"."),s_dir!J18/((1/1000)*(s_Irr!I18+s_Irr!BE18)),IF(AND(s_Irr!I18=".",s_Irr!AG18&lt;&gt;".",s_Irr!BE18&lt;&gt;"."),s_dir!J18/((1/1000)*(s_Irr!AG18+s_Irr!BE18)),IF(AND(s_Irr!I18=".",s_Irr!AG18=".",s_Irr!BE18&lt;&gt;"."),s_dir!J18/((1/1000)*(s_Irr!BE18)),IF(AND(s_Irr!I18=".",s_Irr!AG18&lt;&gt;".",s_Irr!BE18="."),s_dir!J18/((1/1000)*(s_Irr!AG18)),IF(AND(s_Irr!I18&lt;&gt;".",s_Irr!AG18=".",s_Irr!BE18="."),s_dir!J18/((1/1000)*(s_Irr!I18)),IF(AND(s_Irr!I18=".",s_Irr!AG18=".",s_Irr!BE18="."),s_dir!J18*1000)))))))),".")</f>
        <v>12.559425117268693</v>
      </c>
      <c r="K18" s="76">
        <f>IFERROR(IF(AND(s_Irr!J18&lt;&gt;".",s_Irr!AH18&lt;&gt;".",s_Irr!BF18&lt;&gt;"."),s_dir!K18/((1/1000)*(s_Irr!J18+s_Irr!AH18+s_Irr!BF18)),IF(AND(s_Irr!J18&lt;&gt;".",s_Irr!AH18&lt;&gt;".",s_Irr!BF18="."),s_dir!K18/((1/1000)*(s_Irr!J18+s_Irr!AH18)),IF(AND(s_Irr!J18&lt;&gt;".",s_Irr!AH18=".",s_Irr!BF18&lt;&gt;"."),s_dir!K18/((1/1000)*(s_Irr!J18+s_Irr!BF18)),IF(AND(s_Irr!J18=".",s_Irr!AH18&lt;&gt;".",s_Irr!BF18&lt;&gt;"."),s_dir!K18/((1/1000)*(s_Irr!AH18+s_Irr!BF18)),IF(AND(s_Irr!J18=".",s_Irr!AH18=".",s_Irr!BF18&lt;&gt;"."),s_dir!K18/((1/1000)*(s_Irr!BF18)),IF(AND(s_Irr!J18=".",s_Irr!AH18&lt;&gt;".",s_Irr!BF18="."),s_dir!K18/((1/1000)*(s_Irr!AH18)),IF(AND(s_Irr!J18&lt;&gt;".",s_Irr!AH18=".",s_Irr!BF18="."),s_dir!K18/((1/1000)*(s_Irr!J18)),IF(AND(s_Irr!J18=".",s_Irr!AH18=".",s_Irr!BF18="."),s_dir!K18*1000)))))))),".")</f>
        <v>13.750164876323494</v>
      </c>
      <c r="L18" s="76">
        <f>IFERROR(IF(AND(s_Irr!K18&lt;&gt;".",s_Irr!AI18&lt;&gt;".",s_Irr!BG18&lt;&gt;"."),s_dir!L18/((1/1000)*(s_Irr!K18+s_Irr!AI18+s_Irr!BG18)),IF(AND(s_Irr!K18&lt;&gt;".",s_Irr!AI18&lt;&gt;".",s_Irr!BG18="."),s_dir!L18/((1/1000)*(s_Irr!K18+s_Irr!AI18)),IF(AND(s_Irr!K18&lt;&gt;".",s_Irr!AI18=".",s_Irr!BG18&lt;&gt;"."),s_dir!L18/((1/1000)*(s_Irr!K18+s_Irr!BG18)),IF(AND(s_Irr!K18=".",s_Irr!AI18&lt;&gt;".",s_Irr!BG18&lt;&gt;"."),s_dir!L18/((1/1000)*(s_Irr!AI18+s_Irr!BG18)),IF(AND(s_Irr!K18=".",s_Irr!AI18=".",s_Irr!BG18&lt;&gt;"."),s_dir!L18/((1/1000)*(s_Irr!BG18)),IF(AND(s_Irr!K18=".",s_Irr!AI18&lt;&gt;".",s_Irr!BG18="."),s_dir!L18/((1/1000)*(s_Irr!AI18)),IF(AND(s_Irr!K18&lt;&gt;".",s_Irr!AI18=".",s_Irr!BG18="."),s_dir!L18/((1/1000)*(s_Irr!K18)),IF(AND(s_Irr!K18=".",s_Irr!AI18=".",s_Irr!BG18="."),s_dir!L18*1000)))))))),".")</f>
        <v>13.740859521066643</v>
      </c>
      <c r="M18" s="76">
        <f>IFERROR(IF(AND(s_Irr!L18&lt;&gt;".",s_Irr!AJ18&lt;&gt;".",s_Irr!BH18&lt;&gt;"."),s_dir!M18/((1/1000)*(s_Irr!L18+s_Irr!AJ18+s_Irr!BH18)),IF(AND(s_Irr!L18&lt;&gt;".",s_Irr!AJ18&lt;&gt;".",s_Irr!BH18="."),s_dir!M18/((1/1000)*(s_Irr!L18+s_Irr!AJ18)),IF(AND(s_Irr!L18&lt;&gt;".",s_Irr!AJ18=".",s_Irr!BH18&lt;&gt;"."),s_dir!M18/((1/1000)*(s_Irr!L18+s_Irr!BH18)),IF(AND(s_Irr!L18=".",s_Irr!AJ18&lt;&gt;".",s_Irr!BH18&lt;&gt;"."),s_dir!M18/((1/1000)*(s_Irr!AJ18+s_Irr!BH18)),IF(AND(s_Irr!L18=".",s_Irr!AJ18=".",s_Irr!BH18&lt;&gt;"."),s_dir!M18/((1/1000)*(s_Irr!BH18)),IF(AND(s_Irr!L18=".",s_Irr!AJ18&lt;&gt;".",s_Irr!BH18="."),s_dir!M18/((1/1000)*(s_Irr!AJ18)),IF(AND(s_Irr!L18&lt;&gt;".",s_Irr!AJ18=".",s_Irr!BH18="."),s_dir!M18/((1/1000)*(s_Irr!L18)),IF(AND(s_Irr!L18=".",s_Irr!AJ18=".",s_Irr!BH18="."),s_dir!M18*1000)))))))),".")</f>
        <v>13.750164876323494</v>
      </c>
      <c r="N18" s="76">
        <f>IFERROR(IF(AND(s_Irr!M18&lt;&gt;".",s_Irr!AK18&lt;&gt;".",s_Irr!BI18&lt;&gt;"."),s_dir!N18/((1/1000)*(s_Irr!M18+s_Irr!AK18+s_Irr!BI18)),IF(AND(s_Irr!M18&lt;&gt;".",s_Irr!AK18&lt;&gt;".",s_Irr!BI18="."),s_dir!N18/((1/1000)*(s_Irr!M18+s_Irr!AK18)),IF(AND(s_Irr!M18&lt;&gt;".",s_Irr!AK18=".",s_Irr!BI18&lt;&gt;"."),s_dir!N18/((1/1000)*(s_Irr!M18+s_Irr!BI18)),IF(AND(s_Irr!M18=".",s_Irr!AK18&lt;&gt;".",s_Irr!BI18&lt;&gt;"."),s_dir!N18/((1/1000)*(s_Irr!AK18+s_Irr!BI18)),IF(AND(s_Irr!M18=".",s_Irr!AK18=".",s_Irr!BI18&lt;&gt;"."),s_dir!N18/((1/1000)*(s_Irr!BI18)),IF(AND(s_Irr!M18=".",s_Irr!AK18&lt;&gt;".",s_Irr!BI18="."),s_dir!N18/((1/1000)*(s_Irr!AK18)),IF(AND(s_Irr!M18&lt;&gt;".",s_Irr!AK18=".",s_Irr!BI18="."),s_dir!N18/((1/1000)*(s_Irr!M18)),IF(AND(s_Irr!M18=".",s_Irr!AK18=".",s_Irr!BI18="."),s_dir!N18*1000)))))))),".")</f>
        <v>12.256178488151772</v>
      </c>
      <c r="O18" s="76">
        <f>IFERROR(IF(AND(s_Irr!N18&lt;&gt;".",s_Irr!AL18&lt;&gt;".",s_Irr!BJ18&lt;&gt;"."),s_dir!O18/((1/1000)*(s_Irr!N18+s_Irr!AL18+s_Irr!BJ18)),IF(AND(s_Irr!N18&lt;&gt;".",s_Irr!AL18&lt;&gt;".",s_Irr!BJ18="."),s_dir!O18/((1/1000)*(s_Irr!N18+s_Irr!AL18)),IF(AND(s_Irr!N18&lt;&gt;".",s_Irr!AL18=".",s_Irr!BJ18&lt;&gt;"."),s_dir!O18/((1/1000)*(s_Irr!N18+s_Irr!BJ18)),IF(AND(s_Irr!N18=".",s_Irr!AL18&lt;&gt;".",s_Irr!BJ18&lt;&gt;"."),s_dir!O18/((1/1000)*(s_Irr!AL18+s_Irr!BJ18)),IF(AND(s_Irr!N18=".",s_Irr!AL18=".",s_Irr!BJ18&lt;&gt;"."),s_dir!O18/((1/1000)*(s_Irr!BJ18)),IF(AND(s_Irr!N18=".",s_Irr!AL18&lt;&gt;".",s_Irr!BJ18="."),s_dir!O18/((1/1000)*(s_Irr!AL18)),IF(AND(s_Irr!N18&lt;&gt;".",s_Irr!AL18=".",s_Irr!BJ18="."),s_dir!O18/((1/1000)*(s_Irr!N18)),IF(AND(s_Irr!N18=".",s_Irr!AL18=".",s_Irr!BJ18="."),s_dir!O18*1000)))))))),".")</f>
        <v>13.733888765706299</v>
      </c>
      <c r="P18" s="76">
        <f>IFERROR(IF(AND(s_Irr!O18&lt;&gt;".",s_Irr!AM18&lt;&gt;".",s_Irr!BK18&lt;&gt;"."),s_dir!P18/((1/1000)*(s_Irr!O18+s_Irr!AM18+s_Irr!BK18)),IF(AND(s_Irr!O18&lt;&gt;".",s_Irr!AM18&lt;&gt;".",s_Irr!BK18="."),s_dir!P18/((1/1000)*(s_Irr!O18+s_Irr!AM18)),IF(AND(s_Irr!O18&lt;&gt;".",s_Irr!AM18=".",s_Irr!BK18&lt;&gt;"."),s_dir!P18/((1/1000)*(s_Irr!O18+s_Irr!BK18)),IF(AND(s_Irr!O18=".",s_Irr!AM18&lt;&gt;".",s_Irr!BK18&lt;&gt;"."),s_dir!P18/((1/1000)*(s_Irr!AM18+s_Irr!BK18)),IF(AND(s_Irr!O18=".",s_Irr!AM18=".",s_Irr!BK18&lt;&gt;"."),s_dir!P18/((1/1000)*(s_Irr!BK18)),IF(AND(s_Irr!O18=".",s_Irr!AM18&lt;&gt;".",s_Irr!BK18="."),s_dir!P18/((1/1000)*(s_Irr!AM18)),IF(AND(s_Irr!O18&lt;&gt;".",s_Irr!AM18=".",s_Irr!BK18="."),s_dir!P18/((1/1000)*(s_Irr!O18)),IF(AND(s_Irr!O18=".",s_Irr!AM18=".",s_Irr!BK18="."),s_dir!P18*1000)))))))),".")</f>
        <v>13.750164876323494</v>
      </c>
      <c r="Q18" s="76">
        <f>IFERROR(IF(AND(s_Irr!P18&lt;&gt;".",s_Irr!AN18&lt;&gt;".",s_Irr!BL18&lt;&gt;"."),s_dir!Q18/((1/1000)*(s_Irr!P18+s_Irr!AN18+s_Irr!BL18)),IF(AND(s_Irr!P18&lt;&gt;".",s_Irr!AN18&lt;&gt;".",s_Irr!BL18="."),s_dir!Q18/((1/1000)*(s_Irr!P18+s_Irr!AN18)),IF(AND(s_Irr!P18&lt;&gt;".",s_Irr!AN18=".",s_Irr!BL18&lt;&gt;"."),s_dir!Q18/((1/1000)*(s_Irr!P18+s_Irr!BL18)),IF(AND(s_Irr!P18=".",s_Irr!AN18&lt;&gt;".",s_Irr!BL18&lt;&gt;"."),s_dir!Q18/((1/1000)*(s_Irr!AN18+s_Irr!BL18)),IF(AND(s_Irr!P18=".",s_Irr!AN18=".",s_Irr!BL18&lt;&gt;"."),s_dir!Q18/((1/1000)*(s_Irr!BL18)),IF(AND(s_Irr!P18=".",s_Irr!AN18&lt;&gt;".",s_Irr!BL18="."),s_dir!Q18/((1/1000)*(s_Irr!AN18)),IF(AND(s_Irr!P18&lt;&gt;".",s_Irr!AN18=".",s_Irr!BL18="."),s_dir!Q18/((1/1000)*(s_Irr!P18)),IF(AND(s_Irr!P18=".",s_Irr!AN18=".",s_Irr!BL18="."),s_dir!Q18*1000)))))))),".")</f>
        <v>13.750164876323494</v>
      </c>
      <c r="R18" s="76">
        <f>IFERROR(IF(AND(s_Irr!Q18&lt;&gt;".",s_Irr!AO18&lt;&gt;".",s_Irr!BM18&lt;&gt;"."),s_dir!R18/((1/1000)*(s_Irr!Q18+s_Irr!AO18+s_Irr!BM18)),IF(AND(s_Irr!Q18&lt;&gt;".",s_Irr!AO18&lt;&gt;".",s_Irr!BM18="."),s_dir!R18/((1/1000)*(s_Irr!Q18+s_Irr!AO18)),IF(AND(s_Irr!Q18&lt;&gt;".",s_Irr!AO18=".",s_Irr!BM18&lt;&gt;"."),s_dir!R18/((1/1000)*(s_Irr!Q18+s_Irr!BM18)),IF(AND(s_Irr!Q18=".",s_Irr!AO18&lt;&gt;".",s_Irr!BM18&lt;&gt;"."),s_dir!R18/((1/1000)*(s_Irr!AO18+s_Irr!BM18)),IF(AND(s_Irr!Q18=".",s_Irr!AO18=".",s_Irr!BM18&lt;&gt;"."),s_dir!R18/((1/1000)*(s_Irr!BM18)),IF(AND(s_Irr!Q18=".",s_Irr!AO18&lt;&gt;".",s_Irr!BM18="."),s_dir!R18/((1/1000)*(s_Irr!AO18)),IF(AND(s_Irr!Q18&lt;&gt;".",s_Irr!AO18=".",s_Irr!BM18="."),s_dir!R18/((1/1000)*(s_Irr!Q18)),IF(AND(s_Irr!Q18=".",s_Irr!AO18=".",s_Irr!BM18="."),s_dir!R18*1000)))))))),".")</f>
        <v>13.750164876323494</v>
      </c>
      <c r="S18" s="76">
        <f>IFERROR(IF(AND(s_Irr!R18&lt;&gt;".",s_Irr!AP18&lt;&gt;".",s_Irr!BN18&lt;&gt;"."),s_dir!S18/((1/1000)*(s_Irr!R18+s_Irr!AP18+s_Irr!BN18)),IF(AND(s_Irr!R18&lt;&gt;".",s_Irr!AP18&lt;&gt;".",s_Irr!BN18="."),s_dir!S18/((1/1000)*(s_Irr!R18+s_Irr!AP18)),IF(AND(s_Irr!R18&lt;&gt;".",s_Irr!AP18=".",s_Irr!BN18&lt;&gt;"."),s_dir!S18/((1/1000)*(s_Irr!R18+s_Irr!BN18)),IF(AND(s_Irr!R18=".",s_Irr!AP18&lt;&gt;".",s_Irr!BN18&lt;&gt;"."),s_dir!S18/((1/1000)*(s_Irr!AP18+s_Irr!BN18)),IF(AND(s_Irr!R18=".",s_Irr!AP18=".",s_Irr!BN18&lt;&gt;"."),s_dir!S18/((1/1000)*(s_Irr!BN18)),IF(AND(s_Irr!R18=".",s_Irr!AP18&lt;&gt;".",s_Irr!BN18="."),s_dir!S18/((1/1000)*(s_Irr!AP18)),IF(AND(s_Irr!R18&lt;&gt;".",s_Irr!AP18=".",s_Irr!BN18="."),s_dir!S18/((1/1000)*(s_Irr!R18)),IF(AND(s_Irr!R18=".",s_Irr!AP18=".",s_Irr!BN18="."),s_dir!S18*1000)))))))),".")</f>
        <v>13.750164876323494</v>
      </c>
      <c r="T18" s="76">
        <f>IFERROR(IF(AND(s_Irr!S18&lt;&gt;".",s_Irr!AQ18&lt;&gt;".",s_Irr!BO18&lt;&gt;"."),s_dir!T18/((1/1000)*(s_Irr!S18+s_Irr!AQ18+s_Irr!BO18)),IF(AND(s_Irr!S18&lt;&gt;".",s_Irr!AQ18&lt;&gt;".",s_Irr!BO18="."),s_dir!T18/((1/1000)*(s_Irr!S18+s_Irr!AQ18)),IF(AND(s_Irr!S18&lt;&gt;".",s_Irr!AQ18=".",s_Irr!BO18&lt;&gt;"."),s_dir!T18/((1/1000)*(s_Irr!S18+s_Irr!BO18)),IF(AND(s_Irr!S18=".",s_Irr!AQ18&lt;&gt;".",s_Irr!BO18&lt;&gt;"."),s_dir!T18/((1/1000)*(s_Irr!AQ18+s_Irr!BO18)),IF(AND(s_Irr!S18=".",s_Irr!AQ18=".",s_Irr!BO18&lt;&gt;"."),s_dir!T18/((1/1000)*(s_Irr!BO18)),IF(AND(s_Irr!S18=".",s_Irr!AQ18&lt;&gt;".",s_Irr!BO18="."),s_dir!T18/((1/1000)*(s_Irr!AQ18)),IF(AND(s_Irr!S18&lt;&gt;".",s_Irr!AQ18=".",s_Irr!BO18="."),s_dir!T18/((1/1000)*(s_Irr!S18)),IF(AND(s_Irr!S18=".",s_Irr!AQ18=".",s_Irr!BO18="."),s_dir!T18*1000)))))))),".")</f>
        <v>13.733888765706299</v>
      </c>
      <c r="U18" s="76">
        <f>IFERROR(IF(AND(s_Irr!T18&lt;&gt;".",s_Irr!AR18&lt;&gt;".",s_Irr!BP18&lt;&gt;"."),s_dir!U18/((1/1000)*(s_Irr!T18+s_Irr!AR18+s_Irr!BP18)),IF(AND(s_Irr!T18&lt;&gt;".",s_Irr!AR18&lt;&gt;".",s_Irr!BP18="."),s_dir!U18/((1/1000)*(s_Irr!T18+s_Irr!AR18)),IF(AND(s_Irr!T18&lt;&gt;".",s_Irr!AR18=".",s_Irr!BP18&lt;&gt;"."),s_dir!U18/((1/1000)*(s_Irr!T18+s_Irr!BP18)),IF(AND(s_Irr!T18=".",s_Irr!AR18&lt;&gt;".",s_Irr!BP18&lt;&gt;"."),s_dir!U18/((1/1000)*(s_Irr!AR18+s_Irr!BP18)),IF(AND(s_Irr!T18=".",s_Irr!AR18=".",s_Irr!BP18&lt;&gt;"."),s_dir!U18/((1/1000)*(s_Irr!BP18)),IF(AND(s_Irr!T18=".",s_Irr!AR18&lt;&gt;".",s_Irr!BP18="."),s_dir!U18/((1/1000)*(s_Irr!AR18)),IF(AND(s_Irr!T18&lt;&gt;".",s_Irr!AR18=".",s_Irr!BP18="."),s_dir!U18/((1/1000)*(s_Irr!T18)),IF(AND(s_Irr!T18=".",s_Irr!AR18=".",s_Irr!BP18="."),s_dir!U18*1000)))))))),".")</f>
        <v>13.191818448996667</v>
      </c>
      <c r="V18" s="76">
        <f>IFERROR(IF(AND(s_Irr!U18&lt;&gt;".",s_Irr!AS18&lt;&gt;".",s_Irr!BQ18&lt;&gt;"."),s_dir!V18/((1/1000)*(s_Irr!U18+s_Irr!AS18+s_Irr!BQ18)),IF(AND(s_Irr!U18&lt;&gt;".",s_Irr!AS18&lt;&gt;".",s_Irr!BQ18="."),s_dir!V18/((1/1000)*(s_Irr!U18+s_Irr!AS18)),IF(AND(s_Irr!U18&lt;&gt;".",s_Irr!AS18=".",s_Irr!BQ18&lt;&gt;"."),s_dir!V18/((1/1000)*(s_Irr!U18+s_Irr!BQ18)),IF(AND(s_Irr!U18=".",s_Irr!AS18&lt;&gt;".",s_Irr!BQ18&lt;&gt;"."),s_dir!V18/((1/1000)*(s_Irr!AS18+s_Irr!BQ18)),IF(AND(s_Irr!U18=".",s_Irr!AS18=".",s_Irr!BQ18&lt;&gt;"."),s_dir!V18/((1/1000)*(s_Irr!BQ18)),IF(AND(s_Irr!U18=".",s_Irr!AS18&lt;&gt;".",s_Irr!BQ18="."),s_dir!V18/((1/1000)*(s_Irr!AS18)),IF(AND(s_Irr!U18&lt;&gt;".",s_Irr!AS18=".",s_Irr!BQ18="."),s_dir!V18/((1/1000)*(s_Irr!U18)),IF(AND(s_Irr!U18=".",s_Irr!AS18=".",s_Irr!BQ18="."),s_dir!V18*1000)))))))),".")</f>
        <v>13.750164876323494</v>
      </c>
      <c r="W18" s="76">
        <f>IFERROR(IF(AND(s_Irr!V18&lt;&gt;".",s_Irr!AT18&lt;&gt;".",s_Irr!BR18&lt;&gt;"."),s_dir!W18/((1/1000)*(s_Irr!V18+s_Irr!AT18+s_Irr!BR18)),IF(AND(s_Irr!V18&lt;&gt;".",s_Irr!AT18&lt;&gt;".",s_Irr!BR18="."),s_dir!W18/((1/1000)*(s_Irr!V18+s_Irr!AT18)),IF(AND(s_Irr!V18&lt;&gt;".",s_Irr!AT18=".",s_Irr!BR18&lt;&gt;"."),s_dir!W18/((1/1000)*(s_Irr!V18+s_Irr!BR18)),IF(AND(s_Irr!V18=".",s_Irr!AT18&lt;&gt;".",s_Irr!BR18&lt;&gt;"."),s_dir!W18/((1/1000)*(s_Irr!AT18+s_Irr!BR18)),IF(AND(s_Irr!V18=".",s_Irr!AT18=".",s_Irr!BR18&lt;&gt;"."),s_dir!W18/((1/1000)*(s_Irr!BR18)),IF(AND(s_Irr!V18=".",s_Irr!AT18&lt;&gt;".",s_Irr!BR18="."),s_dir!W18/((1/1000)*(s_Irr!AT18)),IF(AND(s_Irr!V18&lt;&gt;".",s_Irr!AT18=".",s_Irr!BR18="."),s_dir!W18/((1/1000)*(s_Irr!V18)),IF(AND(s_Irr!V18=".",s_Irr!AT18=".",s_Irr!BR18="."),s_dir!W18*1000)))))))),".")</f>
        <v>13.733888765706299</v>
      </c>
      <c r="X18" s="76">
        <f>IFERROR(IF(AND(s_Irr!W18&lt;&gt;".",s_Irr!AU18&lt;&gt;".",s_Irr!BS18&lt;&gt;"."),s_dir!X18/((1/1000)*(s_Irr!W18+s_Irr!AU18+s_Irr!BS18)),IF(AND(s_Irr!W18&lt;&gt;".",s_Irr!AU18&lt;&gt;".",s_Irr!BS18="."),s_dir!X18/((1/1000)*(s_Irr!W18+s_Irr!AU18)),IF(AND(s_Irr!W18&lt;&gt;".",s_Irr!AU18=".",s_Irr!BS18&lt;&gt;"."),s_dir!X18/((1/1000)*(s_Irr!W18+s_Irr!BS18)),IF(AND(s_Irr!W18=".",s_Irr!AU18&lt;&gt;".",s_Irr!BS18&lt;&gt;"."),s_dir!X18/((1/1000)*(s_Irr!AU18+s_Irr!BS18)),IF(AND(s_Irr!W18=".",s_Irr!AU18=".",s_Irr!BS18&lt;&gt;"."),s_dir!X18/((1/1000)*(s_Irr!BS18)),IF(AND(s_Irr!W18=".",s_Irr!AU18&lt;&gt;".",s_Irr!BS18="."),s_dir!X18/((1/1000)*(s_Irr!AU18)),IF(AND(s_Irr!W18&lt;&gt;".",s_Irr!AU18=".",s_Irr!BS18="."),s_dir!X18/((1/1000)*(s_Irr!W18)),IF(AND(s_Irr!W18=".",s_Irr!AU18=".",s_Irr!BS18="."),s_dir!X18*1000)))))))),".")</f>
        <v>13.750164876323494</v>
      </c>
      <c r="Y18" s="76">
        <f>IFERROR(IF(AND(s_Irr!X18&lt;&gt;".",s_Irr!AV18&lt;&gt;".",s_Irr!BT18&lt;&gt;"."),s_dir!Y18/((1/1000)*(s_Irr!X18+s_Irr!AV18+s_Irr!BT18)),IF(AND(s_Irr!X18&lt;&gt;".",s_Irr!AV18&lt;&gt;".",s_Irr!BT18="."),s_dir!Y18/((1/1000)*(s_Irr!X18+s_Irr!AV18)),IF(AND(s_Irr!X18&lt;&gt;".",s_Irr!AV18=".",s_Irr!BT18&lt;&gt;"."),s_dir!Y18/((1/1000)*(s_Irr!X18+s_Irr!BT18)),IF(AND(s_Irr!X18=".",s_Irr!AV18&lt;&gt;".",s_Irr!BT18&lt;&gt;"."),s_dir!Y18/((1/1000)*(s_Irr!AV18+s_Irr!BT18)),IF(AND(s_Irr!X18=".",s_Irr!AV18=".",s_Irr!BT18&lt;&gt;"."),s_dir!Y18/((1/1000)*(s_Irr!BT18)),IF(AND(s_Irr!X18=".",s_Irr!AV18&lt;&gt;".",s_Irr!BT18="."),s_dir!Y18/((1/1000)*(s_Irr!AV18)),IF(AND(s_Irr!X18&lt;&gt;".",s_Irr!AV18=".",s_Irr!BT18="."),s_dir!Y18/((1/1000)*(s_Irr!X18)),IF(AND(s_Irr!X18=".",s_Irr!AV18=".",s_Irr!BT18="."),s_dir!Y18*1000)))))))),".")</f>
        <v>13.750164876323494</v>
      </c>
      <c r="Z18" s="76">
        <f>IFERROR(IF(AND(s_Irr!Y18&lt;&gt;".",s_Irr!AW18&lt;&gt;".",s_Irr!BU18&lt;&gt;"."),s_dir!Z18/((1/1000)*(s_Irr!Y18+s_Irr!AW18+s_Irr!BU18)),IF(AND(s_Irr!Y18&lt;&gt;".",s_Irr!AW18&lt;&gt;".",s_Irr!BU18="."),s_dir!Z18/((1/1000)*(s_Irr!Y18+s_Irr!AW18)),IF(AND(s_Irr!Y18&lt;&gt;".",s_Irr!AW18=".",s_Irr!BU18&lt;&gt;"."),s_dir!Z18/((1/1000)*(s_Irr!Y18+s_Irr!BU18)),IF(AND(s_Irr!Y18=".",s_Irr!AW18&lt;&gt;".",s_Irr!BU18&lt;&gt;"."),s_dir!Z18/((1/1000)*(s_Irr!AW18+s_Irr!BU18)),IF(AND(s_Irr!Y18=".",s_Irr!AW18=".",s_Irr!BU18&lt;&gt;"."),s_dir!Z18/((1/1000)*(s_Irr!BU18)),IF(AND(s_Irr!Y18=".",s_Irr!AW18&lt;&gt;".",s_Irr!BU18="."),s_dir!Z18/((1/1000)*(s_Irr!AW18)),IF(AND(s_Irr!Y18&lt;&gt;".",s_Irr!AW18=".",s_Irr!BU18="."),s_dir!Z18/((1/1000)*(s_Irr!Y18)),IF(AND(s_Irr!Y18=".",s_Irr!AW18=".",s_Irr!BU18="."),s_dir!Z18*1000)))))))),".")</f>
        <v>11.301148827714259</v>
      </c>
      <c r="AA18" s="76">
        <f>IFERROR(IF(AND(s_Irr!Z18&lt;&gt;".",s_Irr!AX18&lt;&gt;".",s_Irr!BV18&lt;&gt;"."),s_dir!AA18/((1/1000)*(s_Irr!Z18+s_Irr!AX18+s_Irr!BV18)),IF(AND(s_Irr!Z18&lt;&gt;".",s_Irr!AX18&lt;&gt;".",s_Irr!BV18="."),s_dir!AA18/((1/1000)*(s_Irr!Z18+s_Irr!AX18)),IF(AND(s_Irr!Z18&lt;&gt;".",s_Irr!AX18=".",s_Irr!BV18&lt;&gt;"."),s_dir!AA18/((1/1000)*(s_Irr!Z18+s_Irr!BV18)),IF(AND(s_Irr!Z18=".",s_Irr!AX18&lt;&gt;".",s_Irr!BV18&lt;&gt;"."),s_dir!AA18/((1/1000)*(s_Irr!AX18+s_Irr!BV18)),IF(AND(s_Irr!Z18=".",s_Irr!AX18=".",s_Irr!BV18&lt;&gt;"."),s_dir!AA18/((1/1000)*(s_Irr!BV18)),IF(AND(s_Irr!Z18=".",s_Irr!AX18&lt;&gt;".",s_Irr!BV18="."),s_dir!AA18/((1/1000)*(s_Irr!AX18)),IF(AND(s_Irr!Z18&lt;&gt;".",s_Irr!AX18=".",s_Irr!BV18="."),s_dir!AA18/((1/1000)*(s_Irr!Z18)),IF(AND(s_Irr!Z18=".",s_Irr!AX18=".",s_Irr!BV18="."),s_dir!AA18*1000)))))))),".")</f>
        <v>13.740859521066643</v>
      </c>
      <c r="AB18" s="93">
        <f>SUM(AC18:AD18,AY18:AZ18)</f>
        <v>700.26213124716605</v>
      </c>
      <c r="AC18" s="93">
        <f>IFERROR(s_C*s_IFAP_res_adj*s_CF_apple*0.001*(s_Irr!C18+s_Irr!AA18+s_Irr!AY18),".")</f>
        <v>161.37753664539483</v>
      </c>
      <c r="AD18" s="93">
        <f>IFERROR(s_C*s_IFAS_res_adj*s_CF_asparagus*0.001*(s_Irr!D18+s_Irr!AB18+s_Irr!AZ18),".")</f>
        <v>181.04890838153378</v>
      </c>
      <c r="AE18" s="93">
        <f>IFERROR(s_C*s_IFBT_res_adj*s_CF_beet*0.001*(s_Irr!E18+s_Irr!AC18+s_Irr!BA18),".")</f>
        <v>176.67749244016957</v>
      </c>
      <c r="AF18" s="93">
        <f>IFERROR(s_C*s_IFBE_res_adj*s_CF_berries*0.001*(s_Irr!F18+s_Irr!AD18+s_Irr!BB18),".")</f>
        <v>161.37753664539483</v>
      </c>
      <c r="AG18" s="93">
        <f>IFERROR(s_C*s_IFBR_res_adj*s_CF_broccoli*0.001*(s_Irr!G18+s_Irr!AE18+s_Irr!BC18),".")</f>
        <v>161.37753664539483</v>
      </c>
      <c r="AH18" s="93">
        <f>IFERROR(s_C*s_IFCB_res_adj*s_CF_cabbage*0.001*(s_Irr!H18+s_Irr!AF18+s_Irr!BD18),".")</f>
        <v>181.04890838153378</v>
      </c>
      <c r="AI18" s="93">
        <f>IFERROR(s_C*s_IFCR_res_adj*s_CF_carrot*0.001*(s_Irr!I18+s_Irr!AG18+s_Irr!BE18),".")</f>
        <v>176.67749244016957</v>
      </c>
      <c r="AJ18" s="93">
        <f>IFERROR(s_C*s_IFCI_res_adj*s_CF_citrus*0.001*(s_Irr!J18+s_Irr!AH18+s_Irr!BF18),".")</f>
        <v>161.37753664539483</v>
      </c>
      <c r="AK18" s="93">
        <f>IFERROR(s_C*s_IFCO_res_adj*s_CF_corn*0.001*(s_Irr!K18+s_Irr!AI18+s_Irr!BG18),".")</f>
        <v>161.48682204392892</v>
      </c>
      <c r="AL18" s="93">
        <f>IFERROR(s_C*s_IFCU_res_adj*s_CF_cucumber*0.001*(s_Irr!L18+s_Irr!AJ18+s_Irr!BH18),".")</f>
        <v>161.37753664539483</v>
      </c>
      <c r="AM18" s="93">
        <f>IFERROR(s_C*s_IFLE_res_adj*s_CF_lettuce*0.001*(s_Irr!M18+s_Irr!AK18+s_Irr!BI18),".")</f>
        <v>181.04890838153378</v>
      </c>
      <c r="AN18" s="93">
        <f>IFERROR(s_C*s_IFLI_res_adj*s_CF_lima_bean*0.001*(s_Irr!N18+s_Irr!AL18+s_Irr!BJ18),".")</f>
        <v>161.56878609282953</v>
      </c>
      <c r="AO18" s="93">
        <f>IFERROR(s_C*s_IFOK_res_adj*s_CF_okra*0.001*(s_Irr!O18+s_Irr!AM18+s_Irr!BK18),".")</f>
        <v>161.37753664539483</v>
      </c>
      <c r="AP18" s="93">
        <f>IFERROR(s_C*s_IFON_res_adj*s_CF_onion*0.001*(s_Irr!P18+s_Irr!AN18+s_Irr!BL18),".")</f>
        <v>161.37753664539483</v>
      </c>
      <c r="AQ18" s="93">
        <f>IFERROR(s_C*s_IFPC_res_adj*s_CF_peach*0.001*(s_Irr!Q18+s_Irr!AO18+s_Irr!BM18),".")</f>
        <v>161.37753664539483</v>
      </c>
      <c r="AR18" s="93">
        <f>IFERROR(s_C*s_IFPR_res_adj*s_CF_pear*0.001*(s_Irr!R18+s_Irr!AP18+s_Irr!BN18),".")</f>
        <v>161.37753664539483</v>
      </c>
      <c r="AS18" s="93">
        <f>IFERROR(s_C*s_IFPE_res_adj*s_CF_peas*0.001*(s_Irr!S18+s_Irr!AQ18+s_Irr!BO18),".")</f>
        <v>161.56878609282953</v>
      </c>
      <c r="AT18" s="93">
        <f>IFERROR(s_C*s_IFPT_res_adj*s_CF_potato*0.001*(s_Irr!T18+s_Irr!AR18+s_Irr!BP18),".")</f>
        <v>168.20787405377641</v>
      </c>
      <c r="AU18" s="93">
        <f>IFERROR(s_C*s_IFPU_res_adj*s_CF_pumpkin*0.001*(s_Irr!U18+s_Irr!AS18+s_Irr!BQ18),".")</f>
        <v>161.37753664539483</v>
      </c>
      <c r="AV18" s="93">
        <f>IFERROR(s_C*s_IFSN_res_adj*s_CF_snap_bean*0.001*(s_Irr!V18+s_Irr!AT18+s_Irr!BR18),".")</f>
        <v>161.56878609282953</v>
      </c>
      <c r="AW18" s="93">
        <f>IFERROR(s_C*s_IFST_res_adj*s_CF_strawberry*0.001*(s_Irr!W18+s_Irr!AU18+s_Irr!BS18),".")</f>
        <v>161.37753664539483</v>
      </c>
      <c r="AX18" s="93">
        <f>IFERROR(s_C*s_IFTO_res_adj*s_CF_tomato*0.001*(s_Irr!X18+s_Irr!AV18+s_Irr!BT18),".")</f>
        <v>161.37753664539483</v>
      </c>
      <c r="AY18" s="93">
        <f>IFERROR(s_C*s_IFRI_res_adj*s_CF_rice*0.001*(s_Irr!Y18+s_Irr!AW18+s_Irr!BU18),".")</f>
        <v>196.34886417630852</v>
      </c>
      <c r="AZ18" s="93">
        <f>IFERROR(s_C*s_IFCG_res_adj*s_CF_cereal*0.001*(s_Irr!Z18+s_Irr!AX18+s_Irr!BV18),".")</f>
        <v>161.48682204392892</v>
      </c>
      <c r="BA18" s="76">
        <f t="shared" si="20"/>
        <v>3.1687672904104303</v>
      </c>
      <c r="BB18" s="76">
        <f>IFERROR(IF(AND(s_Irr!C18&lt;&gt;".",s_Irr!AA18&lt;&gt;".",s_Irr!AY18&lt;&gt;"."),s_dir!AC18/((1/1000)*(s_Irr!C18+s_Irr!AA18+s_Irr!AY18)),IF(AND(s_Irr!C18&lt;&gt;".",s_Irr!AA18&lt;&gt;".",s_Irr!AY18="."),s_dir!AC18/((1/1000)*(s_Irr!C18+s_Irr!AA18)),IF(AND(s_Irr!C18&lt;&gt;".",s_Irr!AA18=".",s_Irr!AY18&lt;&gt;"."),s_dir!AC18/((1/1000)*(s_Irr!C18+s_Irr!AY18)),IF(AND(s_Irr!C18=".",s_Irr!AA18&lt;&gt;".",s_Irr!AY18&lt;&gt;"."),s_dir!AC18/((1/1000)*(s_Irr!AA18+s_Irr!AY18)),IF(AND(s_Irr!C18=".",s_Irr!AA18=".",s_Irr!AY18&lt;&gt;"."),s_dir!AC18/((1/1000)*(s_Irr!AY18)),IF(AND(s_Irr!C18=".",s_Irr!AA18&lt;&gt;".",s_Irr!AY18="."),s_dir!AC18/((1/1000)*(s_Irr!AA18)),IF(AND(s_Irr!C18&lt;&gt;".",s_Irr!AA18=".",s_Irr!AY18="."),s_dir!AC18/((1/1000)*(s_Irr!C18)),IF(AND(s_Irr!C18=".",s_Irr!AA18=".",s_Irr!AY18="."),s_dir!AC18*1000)))))))),".")</f>
        <v>13.750164876323494</v>
      </c>
      <c r="BC18" s="76">
        <f>IFERROR(IF(AND(s_Irr!D18&lt;&gt;".",s_Irr!AB18&lt;&gt;".",s_Irr!AZ18&lt;&gt;"."),s_dir!AD18/((1/1000)*(s_Irr!D18+s_Irr!AB18+s_Irr!AZ18)),IF(AND(s_Irr!D18&lt;&gt;".",s_Irr!AB18&lt;&gt;".",s_Irr!AZ18="."),s_dir!AD18/((1/1000)*(s_Irr!D18+s_Irr!AB18)),IF(AND(s_Irr!D18&lt;&gt;".",s_Irr!AB18=".",s_Irr!AZ18&lt;&gt;"."),s_dir!AD18/((1/1000)*(s_Irr!D18+s_Irr!AZ18)),IF(AND(s_Irr!D18=".",s_Irr!AB18&lt;&gt;".",s_Irr!AZ18&lt;&gt;"."),s_dir!AD18/((1/1000)*(s_Irr!AB18+s_Irr!AZ18)),IF(AND(s_Irr!D18=".",s_Irr!AB18=".",s_Irr!AZ18&lt;&gt;"."),s_dir!AD18/((1/1000)*(s_Irr!AZ18)),IF(AND(s_Irr!D18=".",s_Irr!AB18&lt;&gt;".",s_Irr!AZ18="."),s_dir!AD18/((1/1000)*(s_Irr!AB18)),IF(AND(s_Irr!D18&lt;&gt;".",s_Irr!AB18=".",s_Irr!AZ18="."),s_dir!AD18/((1/1000)*(s_Irr!D18)),IF(AND(s_Irr!D18=".",s_Irr!AB18=".",s_Irr!AZ18="."),s_dir!AD18*1000)))))))),".")</f>
        <v>12.256178488151772</v>
      </c>
      <c r="BD18" s="76">
        <f>IFERROR(IF(AND(s_Irr!E18&lt;&gt;".",s_Irr!AC18&lt;&gt;".",s_Irr!BA18&lt;&gt;"."),s_dir!AE18/((1/1000)*(s_Irr!E18+s_Irr!AC18+s_Irr!BA18)),IF(AND(s_Irr!E18&lt;&gt;".",s_Irr!AC18&lt;&gt;".",s_Irr!BA18="."),s_dir!AE18/((1/1000)*(s_Irr!E18+s_Irr!AC18)),IF(AND(s_Irr!E18&lt;&gt;".",s_Irr!AC18=".",s_Irr!BA18&lt;&gt;"."),s_dir!AE18/((1/1000)*(s_Irr!E18+s_Irr!BA18)),IF(AND(s_Irr!E18=".",s_Irr!AC18&lt;&gt;".",s_Irr!BA18&lt;&gt;"."),s_dir!AE18/((1/1000)*(s_Irr!AC18+s_Irr!BA18)),IF(AND(s_Irr!E18=".",s_Irr!AC18=".",s_Irr!BA18&lt;&gt;"."),s_dir!AE18/((1/1000)*(s_Irr!BA18)),IF(AND(s_Irr!E18=".",s_Irr!AC18&lt;&gt;".",s_Irr!BA18="."),s_dir!AE18/((1/1000)*(s_Irr!AC18)),IF(AND(s_Irr!E18&lt;&gt;".",s_Irr!AC18=".",s_Irr!BA18="."),s_dir!AE18/((1/1000)*(s_Irr!E18)),IF(AND(s_Irr!E18=".",s_Irr!AC18=".",s_Irr!BA18="."),s_dir!AE18*1000)))))))),".")</f>
        <v>12.559425117268693</v>
      </c>
      <c r="BE18" s="76">
        <f>IFERROR(IF(AND(s_Irr!F18&lt;&gt;".",s_Irr!AD18&lt;&gt;".",s_Irr!BB18&lt;&gt;"."),s_dir!AF18/((1/1000)*(s_Irr!F18+s_Irr!AD18+s_Irr!BB18)),IF(AND(s_Irr!F18&lt;&gt;".",s_Irr!AD18&lt;&gt;".",s_Irr!BB18="."),s_dir!AF18/((1/1000)*(s_Irr!F18+s_Irr!AD18)),IF(AND(s_Irr!F18&lt;&gt;".",s_Irr!AD18=".",s_Irr!BB18&lt;&gt;"."),s_dir!AF18/((1/1000)*(s_Irr!F18+s_Irr!BB18)),IF(AND(s_Irr!F18=".",s_Irr!AD18&lt;&gt;".",s_Irr!BB18&lt;&gt;"."),s_dir!AF18/((1/1000)*(s_Irr!AD18+s_Irr!BB18)),IF(AND(s_Irr!F18=".",s_Irr!AD18=".",s_Irr!BB18&lt;&gt;"."),s_dir!AF18/((1/1000)*(s_Irr!BB18)),IF(AND(s_Irr!F18=".",s_Irr!AD18&lt;&gt;".",s_Irr!BB18="."),s_dir!AF18/((1/1000)*(s_Irr!AD18)),IF(AND(s_Irr!F18&lt;&gt;".",s_Irr!AD18=".",s_Irr!BB18="."),s_dir!AF18/((1/1000)*(s_Irr!F18)),IF(AND(s_Irr!F18=".",s_Irr!AD18=".",s_Irr!BB18="."),s_dir!AF18*1000)))))))),".")</f>
        <v>13.750164876323494</v>
      </c>
      <c r="BF18" s="76">
        <f>IFERROR(IF(AND(s_Irr!G18&lt;&gt;".",s_Irr!AE18&lt;&gt;".",s_Irr!BC18&lt;&gt;"."),s_dir!AG18/((1/1000)*(s_Irr!G18+s_Irr!AE18+s_Irr!BC18)),IF(AND(s_Irr!G18&lt;&gt;".",s_Irr!AE18&lt;&gt;".",s_Irr!BC18="."),s_dir!AG18/((1/1000)*(s_Irr!G18+s_Irr!AE18)),IF(AND(s_Irr!G18&lt;&gt;".",s_Irr!AE18=".",s_Irr!BC18&lt;&gt;"."),s_dir!AG18/((1/1000)*(s_Irr!G18+s_Irr!BC18)),IF(AND(s_Irr!G18=".",s_Irr!AE18&lt;&gt;".",s_Irr!BC18&lt;&gt;"."),s_dir!AG18/((1/1000)*(s_Irr!AE18+s_Irr!BC18)),IF(AND(s_Irr!G18=".",s_Irr!AE18=".",s_Irr!BC18&lt;&gt;"."),s_dir!AG18/((1/1000)*(s_Irr!BC18)),IF(AND(s_Irr!G18=".",s_Irr!AE18&lt;&gt;".",s_Irr!BC18="."),s_dir!AG18/((1/1000)*(s_Irr!AE18)),IF(AND(s_Irr!G18&lt;&gt;".",s_Irr!AE18=".",s_Irr!BC18="."),s_dir!AG18/((1/1000)*(s_Irr!G18)),IF(AND(s_Irr!G18=".",s_Irr!AE18=".",s_Irr!BC18="."),s_dir!AG18*1000)))))))),".")</f>
        <v>13.750164876323494</v>
      </c>
      <c r="BG18" s="76">
        <f>IFERROR(IF(AND(s_Irr!H18&lt;&gt;".",s_Irr!AF18&lt;&gt;".",s_Irr!BD18&lt;&gt;"."),s_dir!AH18/((1/1000)*(s_Irr!H18+s_Irr!AF18+s_Irr!BD18)),IF(AND(s_Irr!H18&lt;&gt;".",s_Irr!AF18&lt;&gt;".",s_Irr!BD18="."),s_dir!AH18/((1/1000)*(s_Irr!H18+s_Irr!AF18)),IF(AND(s_Irr!H18&lt;&gt;".",s_Irr!AF18=".",s_Irr!BD18&lt;&gt;"."),s_dir!AH18/((1/1000)*(s_Irr!H18+s_Irr!BD18)),IF(AND(s_Irr!H18=".",s_Irr!AF18&lt;&gt;".",s_Irr!BD18&lt;&gt;"."),s_dir!AH18/((1/1000)*(s_Irr!AF18+s_Irr!BD18)),IF(AND(s_Irr!H18=".",s_Irr!AF18=".",s_Irr!BD18&lt;&gt;"."),s_dir!AH18/((1/1000)*(s_Irr!BD18)),IF(AND(s_Irr!H18=".",s_Irr!AF18&lt;&gt;".",s_Irr!BD18="."),s_dir!AH18/((1/1000)*(s_Irr!AF18)),IF(AND(s_Irr!H18&lt;&gt;".",s_Irr!AF18=".",s_Irr!BD18="."),s_dir!AH18/((1/1000)*(s_Irr!H18)),IF(AND(s_Irr!H18=".",s_Irr!AF18=".",s_Irr!BD18="."),s_dir!AH18*1000)))))))),".")</f>
        <v>12.256178488151772</v>
      </c>
      <c r="BH18" s="76">
        <f>IFERROR(IF(AND(s_Irr!I18&lt;&gt;".",s_Irr!AG18&lt;&gt;".",s_Irr!BE18&lt;&gt;"."),s_dir!AI18/((1/1000)*(s_Irr!I18+s_Irr!AG18+s_Irr!BE18)),IF(AND(s_Irr!I18&lt;&gt;".",s_Irr!AG18&lt;&gt;".",s_Irr!BE18="."),s_dir!AI18/((1/1000)*(s_Irr!I18+s_Irr!AG18)),IF(AND(s_Irr!I18&lt;&gt;".",s_Irr!AG18=".",s_Irr!BE18&lt;&gt;"."),s_dir!AI18/((1/1000)*(s_Irr!I18+s_Irr!BE18)),IF(AND(s_Irr!I18=".",s_Irr!AG18&lt;&gt;".",s_Irr!BE18&lt;&gt;"."),s_dir!AI18/((1/1000)*(s_Irr!AG18+s_Irr!BE18)),IF(AND(s_Irr!I18=".",s_Irr!AG18=".",s_Irr!BE18&lt;&gt;"."),s_dir!AI18/((1/1000)*(s_Irr!BE18)),IF(AND(s_Irr!I18=".",s_Irr!AG18&lt;&gt;".",s_Irr!BE18="."),s_dir!AI18/((1/1000)*(s_Irr!AG18)),IF(AND(s_Irr!I18&lt;&gt;".",s_Irr!AG18=".",s_Irr!BE18="."),s_dir!AI18/((1/1000)*(s_Irr!I18)),IF(AND(s_Irr!I18=".",s_Irr!AG18=".",s_Irr!BE18="."),s_dir!AI18*1000)))))))),".")</f>
        <v>12.559425117268693</v>
      </c>
      <c r="BI18" s="76">
        <f>IFERROR(IF(AND(s_Irr!J18&lt;&gt;".",s_Irr!AH18&lt;&gt;".",s_Irr!BF18&lt;&gt;"."),s_dir!AJ18/((1/1000)*(s_Irr!J18+s_Irr!AH18+s_Irr!BF18)),IF(AND(s_Irr!J18&lt;&gt;".",s_Irr!AH18&lt;&gt;".",s_Irr!BF18="."),s_dir!AJ18/((1/1000)*(s_Irr!J18+s_Irr!AH18)),IF(AND(s_Irr!J18&lt;&gt;".",s_Irr!AH18=".",s_Irr!BF18&lt;&gt;"."),s_dir!AJ18/((1/1000)*(s_Irr!J18+s_Irr!BF18)),IF(AND(s_Irr!J18=".",s_Irr!AH18&lt;&gt;".",s_Irr!BF18&lt;&gt;"."),s_dir!AJ18/((1/1000)*(s_Irr!AH18+s_Irr!BF18)),IF(AND(s_Irr!J18=".",s_Irr!AH18=".",s_Irr!BF18&lt;&gt;"."),s_dir!AJ18/((1/1000)*(s_Irr!BF18)),IF(AND(s_Irr!J18=".",s_Irr!AH18&lt;&gt;".",s_Irr!BF18="."),s_dir!AJ18/((1/1000)*(s_Irr!AH18)),IF(AND(s_Irr!J18&lt;&gt;".",s_Irr!AH18=".",s_Irr!BF18="."),s_dir!AJ18/((1/1000)*(s_Irr!J18)),IF(AND(s_Irr!J18=".",s_Irr!AH18=".",s_Irr!BF18="."),s_dir!AJ18*1000)))))))),".")</f>
        <v>13.750164876323494</v>
      </c>
      <c r="BJ18" s="76">
        <f>IFERROR(IF(AND(s_Irr!K18&lt;&gt;".",s_Irr!AI18&lt;&gt;".",s_Irr!BG18&lt;&gt;"."),s_dir!AK18/((1/1000)*(s_Irr!K18+s_Irr!AI18+s_Irr!BG18)),IF(AND(s_Irr!K18&lt;&gt;".",s_Irr!AI18&lt;&gt;".",s_Irr!BG18="."),s_dir!AK18/((1/1000)*(s_Irr!K18+s_Irr!AI18)),IF(AND(s_Irr!K18&lt;&gt;".",s_Irr!AI18=".",s_Irr!BG18&lt;&gt;"."),s_dir!AK18/((1/1000)*(s_Irr!K18+s_Irr!BG18)),IF(AND(s_Irr!K18=".",s_Irr!AI18&lt;&gt;".",s_Irr!BG18&lt;&gt;"."),s_dir!AK18/((1/1000)*(s_Irr!AI18+s_Irr!BG18)),IF(AND(s_Irr!K18=".",s_Irr!AI18=".",s_Irr!BG18&lt;&gt;"."),s_dir!AK18/((1/1000)*(s_Irr!BG18)),IF(AND(s_Irr!K18=".",s_Irr!AI18&lt;&gt;".",s_Irr!BG18="."),s_dir!AK18/((1/1000)*(s_Irr!AI18)),IF(AND(s_Irr!K18&lt;&gt;".",s_Irr!AI18=".",s_Irr!BG18="."),s_dir!AK18/((1/1000)*(s_Irr!K18)),IF(AND(s_Irr!K18=".",s_Irr!AI18=".",s_Irr!BG18="."),s_dir!AK18*1000)))))))),".")</f>
        <v>13.740859521066643</v>
      </c>
      <c r="BK18" s="76">
        <f>IFERROR(IF(AND(s_Irr!L18&lt;&gt;".",s_Irr!AJ18&lt;&gt;".",s_Irr!BH18&lt;&gt;"."),s_dir!AL18/((1/1000)*(s_Irr!L18+s_Irr!AJ18+s_Irr!BH18)),IF(AND(s_Irr!L18&lt;&gt;".",s_Irr!AJ18&lt;&gt;".",s_Irr!BH18="."),s_dir!AL18/((1/1000)*(s_Irr!L18+s_Irr!AJ18)),IF(AND(s_Irr!L18&lt;&gt;".",s_Irr!AJ18=".",s_Irr!BH18&lt;&gt;"."),s_dir!AL18/((1/1000)*(s_Irr!L18+s_Irr!BH18)),IF(AND(s_Irr!L18=".",s_Irr!AJ18&lt;&gt;".",s_Irr!BH18&lt;&gt;"."),s_dir!AL18/((1/1000)*(s_Irr!AJ18+s_Irr!BH18)),IF(AND(s_Irr!L18=".",s_Irr!AJ18=".",s_Irr!BH18&lt;&gt;"."),s_dir!AL18/((1/1000)*(s_Irr!BH18)),IF(AND(s_Irr!L18=".",s_Irr!AJ18&lt;&gt;".",s_Irr!BH18="."),s_dir!AL18/((1/1000)*(s_Irr!AJ18)),IF(AND(s_Irr!L18&lt;&gt;".",s_Irr!AJ18=".",s_Irr!BH18="."),s_dir!AL18/((1/1000)*(s_Irr!L18)),IF(AND(s_Irr!L18=".",s_Irr!AJ18=".",s_Irr!BH18="."),s_dir!AL18*1000)))))))),".")</f>
        <v>13.750164876323494</v>
      </c>
      <c r="BL18" s="76">
        <f>IFERROR(IF(AND(s_Irr!M18&lt;&gt;".",s_Irr!AK18&lt;&gt;".",s_Irr!BI18&lt;&gt;"."),s_dir!AM18/((1/1000)*(s_Irr!M18+s_Irr!AK18+s_Irr!BI18)),IF(AND(s_Irr!M18&lt;&gt;".",s_Irr!AK18&lt;&gt;".",s_Irr!BI18="."),s_dir!AM18/((1/1000)*(s_Irr!M18+s_Irr!AK18)),IF(AND(s_Irr!M18&lt;&gt;".",s_Irr!AK18=".",s_Irr!BI18&lt;&gt;"."),s_dir!AM18/((1/1000)*(s_Irr!M18+s_Irr!BI18)),IF(AND(s_Irr!M18=".",s_Irr!AK18&lt;&gt;".",s_Irr!BI18&lt;&gt;"."),s_dir!AM18/((1/1000)*(s_Irr!AK18+s_Irr!BI18)),IF(AND(s_Irr!M18=".",s_Irr!AK18=".",s_Irr!BI18&lt;&gt;"."),s_dir!AM18/((1/1000)*(s_Irr!BI18)),IF(AND(s_Irr!M18=".",s_Irr!AK18&lt;&gt;".",s_Irr!BI18="."),s_dir!AM18/((1/1000)*(s_Irr!AK18)),IF(AND(s_Irr!M18&lt;&gt;".",s_Irr!AK18=".",s_Irr!BI18="."),s_dir!AM18/((1/1000)*(s_Irr!M18)),IF(AND(s_Irr!M18=".",s_Irr!AK18=".",s_Irr!BI18="."),s_dir!AM18*1000)))))))),".")</f>
        <v>12.256178488151772</v>
      </c>
      <c r="BM18" s="76">
        <f>IFERROR(IF(AND(s_Irr!N18&lt;&gt;".",s_Irr!AL18&lt;&gt;".",s_Irr!BJ18&lt;&gt;"."),s_dir!AN18/((1/1000)*(s_Irr!N18+s_Irr!AL18+s_Irr!BJ18)),IF(AND(s_Irr!N18&lt;&gt;".",s_Irr!AL18&lt;&gt;".",s_Irr!BJ18="."),s_dir!AN18/((1/1000)*(s_Irr!N18+s_Irr!AL18)),IF(AND(s_Irr!N18&lt;&gt;".",s_Irr!AL18=".",s_Irr!BJ18&lt;&gt;"."),s_dir!AN18/((1/1000)*(s_Irr!N18+s_Irr!BJ18)),IF(AND(s_Irr!N18=".",s_Irr!AL18&lt;&gt;".",s_Irr!BJ18&lt;&gt;"."),s_dir!AN18/((1/1000)*(s_Irr!AL18+s_Irr!BJ18)),IF(AND(s_Irr!N18=".",s_Irr!AL18=".",s_Irr!BJ18&lt;&gt;"."),s_dir!AN18/((1/1000)*(s_Irr!BJ18)),IF(AND(s_Irr!N18=".",s_Irr!AL18&lt;&gt;".",s_Irr!BJ18="."),s_dir!AN18/((1/1000)*(s_Irr!AL18)),IF(AND(s_Irr!N18&lt;&gt;".",s_Irr!AL18=".",s_Irr!BJ18="."),s_dir!AN18/((1/1000)*(s_Irr!N18)),IF(AND(s_Irr!N18=".",s_Irr!AL18=".",s_Irr!BJ18="."),s_dir!AN18*1000)))))))),".")</f>
        <v>13.733888765706299</v>
      </c>
      <c r="BN18" s="76">
        <f>IFERROR(IF(AND(s_Irr!O18&lt;&gt;".",s_Irr!AM18&lt;&gt;".",s_Irr!BK18&lt;&gt;"."),s_dir!AO18/((1/1000)*(s_Irr!O18+s_Irr!AM18+s_Irr!BK18)),IF(AND(s_Irr!O18&lt;&gt;".",s_Irr!AM18&lt;&gt;".",s_Irr!BK18="."),s_dir!AO18/((1/1000)*(s_Irr!O18+s_Irr!AM18)),IF(AND(s_Irr!O18&lt;&gt;".",s_Irr!AM18=".",s_Irr!BK18&lt;&gt;"."),s_dir!AO18/((1/1000)*(s_Irr!O18+s_Irr!BK18)),IF(AND(s_Irr!O18=".",s_Irr!AM18&lt;&gt;".",s_Irr!BK18&lt;&gt;"."),s_dir!AO18/((1/1000)*(s_Irr!AM18+s_Irr!BK18)),IF(AND(s_Irr!O18=".",s_Irr!AM18=".",s_Irr!BK18&lt;&gt;"."),s_dir!AO18/((1/1000)*(s_Irr!BK18)),IF(AND(s_Irr!O18=".",s_Irr!AM18&lt;&gt;".",s_Irr!BK18="."),s_dir!AO18/((1/1000)*(s_Irr!AM18)),IF(AND(s_Irr!O18&lt;&gt;".",s_Irr!AM18=".",s_Irr!BK18="."),s_dir!AO18/((1/1000)*(s_Irr!O18)),IF(AND(s_Irr!O18=".",s_Irr!AM18=".",s_Irr!BK18="."),s_dir!AO18*1000)))))))),".")</f>
        <v>13.750164876323494</v>
      </c>
      <c r="BO18" s="76">
        <f>IFERROR(IF(AND(s_Irr!P18&lt;&gt;".",s_Irr!AN18&lt;&gt;".",s_Irr!BL18&lt;&gt;"."),s_dir!AP18/((1/1000)*(s_Irr!P18+s_Irr!AN18+s_Irr!BL18)),IF(AND(s_Irr!P18&lt;&gt;".",s_Irr!AN18&lt;&gt;".",s_Irr!BL18="."),s_dir!AP18/((1/1000)*(s_Irr!P18+s_Irr!AN18)),IF(AND(s_Irr!P18&lt;&gt;".",s_Irr!AN18=".",s_Irr!BL18&lt;&gt;"."),s_dir!AP18/((1/1000)*(s_Irr!P18+s_Irr!BL18)),IF(AND(s_Irr!P18=".",s_Irr!AN18&lt;&gt;".",s_Irr!BL18&lt;&gt;"."),s_dir!AP18/((1/1000)*(s_Irr!AN18+s_Irr!BL18)),IF(AND(s_Irr!P18=".",s_Irr!AN18=".",s_Irr!BL18&lt;&gt;"."),s_dir!AP18/((1/1000)*(s_Irr!BL18)),IF(AND(s_Irr!P18=".",s_Irr!AN18&lt;&gt;".",s_Irr!BL18="."),s_dir!AP18/((1/1000)*(s_Irr!AN18)),IF(AND(s_Irr!P18&lt;&gt;".",s_Irr!AN18=".",s_Irr!BL18="."),s_dir!AP18/((1/1000)*(s_Irr!P18)),IF(AND(s_Irr!P18=".",s_Irr!AN18=".",s_Irr!BL18="."),s_dir!AP18*1000)))))))),".")</f>
        <v>13.750164876323494</v>
      </c>
      <c r="BP18" s="76">
        <f>IFERROR(IF(AND(s_Irr!Q18&lt;&gt;".",s_Irr!AO18&lt;&gt;".",s_Irr!BM18&lt;&gt;"."),s_dir!AQ18/((1/1000)*(s_Irr!Q18+s_Irr!AO18+s_Irr!BM18)),IF(AND(s_Irr!Q18&lt;&gt;".",s_Irr!AO18&lt;&gt;".",s_Irr!BM18="."),s_dir!AQ18/((1/1000)*(s_Irr!Q18+s_Irr!AO18)),IF(AND(s_Irr!Q18&lt;&gt;".",s_Irr!AO18=".",s_Irr!BM18&lt;&gt;"."),s_dir!AQ18/((1/1000)*(s_Irr!Q18+s_Irr!BM18)),IF(AND(s_Irr!Q18=".",s_Irr!AO18&lt;&gt;".",s_Irr!BM18&lt;&gt;"."),s_dir!AQ18/((1/1000)*(s_Irr!AO18+s_Irr!BM18)),IF(AND(s_Irr!Q18=".",s_Irr!AO18=".",s_Irr!BM18&lt;&gt;"."),s_dir!AQ18/((1/1000)*(s_Irr!BM18)),IF(AND(s_Irr!Q18=".",s_Irr!AO18&lt;&gt;".",s_Irr!BM18="."),s_dir!AQ18/((1/1000)*(s_Irr!AO18)),IF(AND(s_Irr!Q18&lt;&gt;".",s_Irr!AO18=".",s_Irr!BM18="."),s_dir!AQ18/((1/1000)*(s_Irr!Q18)),IF(AND(s_Irr!Q18=".",s_Irr!AO18=".",s_Irr!BM18="."),s_dir!AQ18*1000)))))))),".")</f>
        <v>13.750164876323494</v>
      </c>
      <c r="BQ18" s="76">
        <f>IFERROR(IF(AND(s_Irr!R18&lt;&gt;".",s_Irr!AP18&lt;&gt;".",s_Irr!BN18&lt;&gt;"."),s_dir!AR18/((1/1000)*(s_Irr!R18+s_Irr!AP18+s_Irr!BN18)),IF(AND(s_Irr!R18&lt;&gt;".",s_Irr!AP18&lt;&gt;".",s_Irr!BN18="."),s_dir!AR18/((1/1000)*(s_Irr!R18+s_Irr!AP18)),IF(AND(s_Irr!R18&lt;&gt;".",s_Irr!AP18=".",s_Irr!BN18&lt;&gt;"."),s_dir!AR18/((1/1000)*(s_Irr!R18+s_Irr!BN18)),IF(AND(s_Irr!R18=".",s_Irr!AP18&lt;&gt;".",s_Irr!BN18&lt;&gt;"."),s_dir!AR18/((1/1000)*(s_Irr!AP18+s_Irr!BN18)),IF(AND(s_Irr!R18=".",s_Irr!AP18=".",s_Irr!BN18&lt;&gt;"."),s_dir!AR18/((1/1000)*(s_Irr!BN18)),IF(AND(s_Irr!R18=".",s_Irr!AP18&lt;&gt;".",s_Irr!BN18="."),s_dir!AR18/((1/1000)*(s_Irr!AP18)),IF(AND(s_Irr!R18&lt;&gt;".",s_Irr!AP18=".",s_Irr!BN18="."),s_dir!AR18/((1/1000)*(s_Irr!R18)),IF(AND(s_Irr!R18=".",s_Irr!AP18=".",s_Irr!BN18="."),s_dir!AR18*1000)))))))),".")</f>
        <v>13.750164876323494</v>
      </c>
      <c r="BR18" s="76">
        <f>IFERROR(IF(AND(s_Irr!S18&lt;&gt;".",s_Irr!AQ18&lt;&gt;".",s_Irr!BO18&lt;&gt;"."),s_dir!AS18/((1/1000)*(s_Irr!S18+s_Irr!AQ18+s_Irr!BO18)),IF(AND(s_Irr!S18&lt;&gt;".",s_Irr!AQ18&lt;&gt;".",s_Irr!BO18="."),s_dir!AS18/((1/1000)*(s_Irr!S18+s_Irr!AQ18)),IF(AND(s_Irr!S18&lt;&gt;".",s_Irr!AQ18=".",s_Irr!BO18&lt;&gt;"."),s_dir!AS18/((1/1000)*(s_Irr!S18+s_Irr!BO18)),IF(AND(s_Irr!S18=".",s_Irr!AQ18&lt;&gt;".",s_Irr!BO18&lt;&gt;"."),s_dir!AS18/((1/1000)*(s_Irr!AQ18+s_Irr!BO18)),IF(AND(s_Irr!S18=".",s_Irr!AQ18=".",s_Irr!BO18&lt;&gt;"."),s_dir!AS18/((1/1000)*(s_Irr!BO18)),IF(AND(s_Irr!S18=".",s_Irr!AQ18&lt;&gt;".",s_Irr!BO18="."),s_dir!AS18/((1/1000)*(s_Irr!AQ18)),IF(AND(s_Irr!S18&lt;&gt;".",s_Irr!AQ18=".",s_Irr!BO18="."),s_dir!AS18/((1/1000)*(s_Irr!S18)),IF(AND(s_Irr!S18=".",s_Irr!AQ18=".",s_Irr!BO18="."),s_dir!AS18*1000)))))))),".")</f>
        <v>13.733888765706299</v>
      </c>
      <c r="BS18" s="76">
        <f>IFERROR(IF(AND(s_Irr!T18&lt;&gt;".",s_Irr!AR18&lt;&gt;".",s_Irr!BP18&lt;&gt;"."),s_dir!AT18/((1/1000)*(s_Irr!T18+s_Irr!AR18+s_Irr!BP18)),IF(AND(s_Irr!T18&lt;&gt;".",s_Irr!AR18&lt;&gt;".",s_Irr!BP18="."),s_dir!AT18/((1/1000)*(s_Irr!T18+s_Irr!AR18)),IF(AND(s_Irr!T18&lt;&gt;".",s_Irr!AR18=".",s_Irr!BP18&lt;&gt;"."),s_dir!AT18/((1/1000)*(s_Irr!T18+s_Irr!BP18)),IF(AND(s_Irr!T18=".",s_Irr!AR18&lt;&gt;".",s_Irr!BP18&lt;&gt;"."),s_dir!AT18/((1/1000)*(s_Irr!AR18+s_Irr!BP18)),IF(AND(s_Irr!T18=".",s_Irr!AR18=".",s_Irr!BP18&lt;&gt;"."),s_dir!AT18/((1/1000)*(s_Irr!BP18)),IF(AND(s_Irr!T18=".",s_Irr!AR18&lt;&gt;".",s_Irr!BP18="."),s_dir!AT18/((1/1000)*(s_Irr!AR18)),IF(AND(s_Irr!T18&lt;&gt;".",s_Irr!AR18=".",s_Irr!BP18="."),s_dir!AT18/((1/1000)*(s_Irr!T18)),IF(AND(s_Irr!T18=".",s_Irr!AR18=".",s_Irr!BP18="."),s_dir!AT18*1000)))))))),".")</f>
        <v>13.191818448996667</v>
      </c>
      <c r="BT18" s="76">
        <f>IFERROR(IF(AND(s_Irr!U18&lt;&gt;".",s_Irr!AS18&lt;&gt;".",s_Irr!BQ18&lt;&gt;"."),s_dir!AU18/((1/1000)*(s_Irr!U18+s_Irr!AS18+s_Irr!BQ18)),IF(AND(s_Irr!U18&lt;&gt;".",s_Irr!AS18&lt;&gt;".",s_Irr!BQ18="."),s_dir!AU18/((1/1000)*(s_Irr!U18+s_Irr!AS18)),IF(AND(s_Irr!U18&lt;&gt;".",s_Irr!AS18=".",s_Irr!BQ18&lt;&gt;"."),s_dir!AU18/((1/1000)*(s_Irr!U18+s_Irr!BQ18)),IF(AND(s_Irr!U18=".",s_Irr!AS18&lt;&gt;".",s_Irr!BQ18&lt;&gt;"."),s_dir!AU18/((1/1000)*(s_Irr!AS18+s_Irr!BQ18)),IF(AND(s_Irr!U18=".",s_Irr!AS18=".",s_Irr!BQ18&lt;&gt;"."),s_dir!AU18/((1/1000)*(s_Irr!BQ18)),IF(AND(s_Irr!U18=".",s_Irr!AS18&lt;&gt;".",s_Irr!BQ18="."),s_dir!AU18/((1/1000)*(s_Irr!AS18)),IF(AND(s_Irr!U18&lt;&gt;".",s_Irr!AS18=".",s_Irr!BQ18="."),s_dir!AU18/((1/1000)*(s_Irr!U18)),IF(AND(s_Irr!U18=".",s_Irr!AS18=".",s_Irr!BQ18="."),s_dir!AU18*1000)))))))),".")</f>
        <v>13.750164876323494</v>
      </c>
      <c r="BU18" s="76">
        <f>IFERROR(IF(AND(s_Irr!V18&lt;&gt;".",s_Irr!AT18&lt;&gt;".",s_Irr!BR18&lt;&gt;"."),s_dir!AV18/((1/1000)*(s_Irr!V18+s_Irr!AT18+s_Irr!BR18)),IF(AND(s_Irr!V18&lt;&gt;".",s_Irr!AT18&lt;&gt;".",s_Irr!BR18="."),s_dir!AV18/((1/1000)*(s_Irr!V18+s_Irr!AT18)),IF(AND(s_Irr!V18&lt;&gt;".",s_Irr!AT18=".",s_Irr!BR18&lt;&gt;"."),s_dir!AV18/((1/1000)*(s_Irr!V18+s_Irr!BR18)),IF(AND(s_Irr!V18=".",s_Irr!AT18&lt;&gt;".",s_Irr!BR18&lt;&gt;"."),s_dir!AV18/((1/1000)*(s_Irr!AT18+s_Irr!BR18)),IF(AND(s_Irr!V18=".",s_Irr!AT18=".",s_Irr!BR18&lt;&gt;"."),s_dir!AV18/((1/1000)*(s_Irr!BR18)),IF(AND(s_Irr!V18=".",s_Irr!AT18&lt;&gt;".",s_Irr!BR18="."),s_dir!AV18/((1/1000)*(s_Irr!AT18)),IF(AND(s_Irr!V18&lt;&gt;".",s_Irr!AT18=".",s_Irr!BR18="."),s_dir!AV18/((1/1000)*(s_Irr!V18)),IF(AND(s_Irr!V18=".",s_Irr!AT18=".",s_Irr!BR18="."),s_dir!AV18*1000)))))))),".")</f>
        <v>13.733888765706299</v>
      </c>
      <c r="BV18" s="76">
        <f>IFERROR(IF(AND(s_Irr!W18&lt;&gt;".",s_Irr!AU18&lt;&gt;".",s_Irr!BS18&lt;&gt;"."),s_dir!AW18/((1/1000)*(s_Irr!W18+s_Irr!AU18+s_Irr!BS18)),IF(AND(s_Irr!W18&lt;&gt;".",s_Irr!AU18&lt;&gt;".",s_Irr!BS18="."),s_dir!AW18/((1/1000)*(s_Irr!W18+s_Irr!AU18)),IF(AND(s_Irr!W18&lt;&gt;".",s_Irr!AU18=".",s_Irr!BS18&lt;&gt;"."),s_dir!AW18/((1/1000)*(s_Irr!W18+s_Irr!BS18)),IF(AND(s_Irr!W18=".",s_Irr!AU18&lt;&gt;".",s_Irr!BS18&lt;&gt;"."),s_dir!AW18/((1/1000)*(s_Irr!AU18+s_Irr!BS18)),IF(AND(s_Irr!W18=".",s_Irr!AU18=".",s_Irr!BS18&lt;&gt;"."),s_dir!AW18/((1/1000)*(s_Irr!BS18)),IF(AND(s_Irr!W18=".",s_Irr!AU18&lt;&gt;".",s_Irr!BS18="."),s_dir!AW18/((1/1000)*(s_Irr!AU18)),IF(AND(s_Irr!W18&lt;&gt;".",s_Irr!AU18=".",s_Irr!BS18="."),s_dir!AW18/((1/1000)*(s_Irr!W18)),IF(AND(s_Irr!W18=".",s_Irr!AU18=".",s_Irr!BS18="."),s_dir!AW18*1000)))))))),".")</f>
        <v>13.750164876323494</v>
      </c>
      <c r="BW18" s="76">
        <f>IFERROR(IF(AND(s_Irr!X18&lt;&gt;".",s_Irr!AV18&lt;&gt;".",s_Irr!BT18&lt;&gt;"."),s_dir!AX18/((1/1000)*(s_Irr!X18+s_Irr!AV18+s_Irr!BT18)),IF(AND(s_Irr!X18&lt;&gt;".",s_Irr!AV18&lt;&gt;".",s_Irr!BT18="."),s_dir!AX18/((1/1000)*(s_Irr!X18+s_Irr!AV18)),IF(AND(s_Irr!X18&lt;&gt;".",s_Irr!AV18=".",s_Irr!BT18&lt;&gt;"."),s_dir!AX18/((1/1000)*(s_Irr!X18+s_Irr!BT18)),IF(AND(s_Irr!X18=".",s_Irr!AV18&lt;&gt;".",s_Irr!BT18&lt;&gt;"."),s_dir!AX18/((1/1000)*(s_Irr!AV18+s_Irr!BT18)),IF(AND(s_Irr!X18=".",s_Irr!AV18=".",s_Irr!BT18&lt;&gt;"."),s_dir!AX18/((1/1000)*(s_Irr!BT18)),IF(AND(s_Irr!X18=".",s_Irr!AV18&lt;&gt;".",s_Irr!BT18="."),s_dir!AX18/((1/1000)*(s_Irr!AV18)),IF(AND(s_Irr!X18&lt;&gt;".",s_Irr!AV18=".",s_Irr!BT18="."),s_dir!AX18/((1/1000)*(s_Irr!X18)),IF(AND(s_Irr!X18=".",s_Irr!AV18=".",s_Irr!BT18="."),s_dir!AX18*1000)))))))),".")</f>
        <v>13.750164876323494</v>
      </c>
      <c r="BX18" s="76">
        <f>IFERROR(IF(AND(s_Irr!Y18&lt;&gt;".",s_Irr!AW18&lt;&gt;".",s_Irr!BU18&lt;&gt;"."),s_dir!AY18/((1/1000)*(s_Irr!Y18+s_Irr!AW18+s_Irr!BU18)),IF(AND(s_Irr!Y18&lt;&gt;".",s_Irr!AW18&lt;&gt;".",s_Irr!BU18="."),s_dir!AY18/((1/1000)*(s_Irr!Y18+s_Irr!AW18)),IF(AND(s_Irr!Y18&lt;&gt;".",s_Irr!AW18=".",s_Irr!BU18&lt;&gt;"."),s_dir!AY18/((1/1000)*(s_Irr!Y18+s_Irr!BU18)),IF(AND(s_Irr!Y18=".",s_Irr!AW18&lt;&gt;".",s_Irr!BU18&lt;&gt;"."),s_dir!AY18/((1/1000)*(s_Irr!AW18+s_Irr!BU18)),IF(AND(s_Irr!Y18=".",s_Irr!AW18=".",s_Irr!BU18&lt;&gt;"."),s_dir!AY18/((1/1000)*(s_Irr!BU18)),IF(AND(s_Irr!Y18=".",s_Irr!AW18&lt;&gt;".",s_Irr!BU18="."),s_dir!AY18/((1/1000)*(s_Irr!AW18)),IF(AND(s_Irr!Y18&lt;&gt;".",s_Irr!AW18=".",s_Irr!BU18="."),s_dir!AY18/((1/1000)*(s_Irr!Y18)),IF(AND(s_Irr!Y18=".",s_Irr!AW18=".",s_Irr!BU18="."),s_dir!AY18*1000)))))))),".")</f>
        <v>11.301148827714259</v>
      </c>
      <c r="BY18" s="76">
        <f>IFERROR(IF(AND(s_Irr!Z18&lt;&gt;".",s_Irr!AX18&lt;&gt;".",s_Irr!BV18&lt;&gt;"."),s_dir!AZ18/((1/1000)*(s_Irr!Z18+s_Irr!AX18+s_Irr!BV18)),IF(AND(s_Irr!Z18&lt;&gt;".",s_Irr!AX18&lt;&gt;".",s_Irr!BV18="."),s_dir!AZ18/((1/1000)*(s_Irr!Z18+s_Irr!AX18)),IF(AND(s_Irr!Z18&lt;&gt;".",s_Irr!AX18=".",s_Irr!BV18&lt;&gt;"."),s_dir!AZ18/((1/1000)*(s_Irr!Z18+s_Irr!BV18)),IF(AND(s_Irr!Z18=".",s_Irr!AX18&lt;&gt;".",s_Irr!BV18&lt;&gt;"."),s_dir!AZ18/((1/1000)*(s_Irr!AX18+s_Irr!BV18)),IF(AND(s_Irr!Z18=".",s_Irr!AX18=".",s_Irr!BV18&lt;&gt;"."),s_dir!AZ18/((1/1000)*(s_Irr!BV18)),IF(AND(s_Irr!Z18=".",s_Irr!AX18&lt;&gt;".",s_Irr!BV18="."),s_dir!AZ18/((1/1000)*(s_Irr!AX18)),IF(AND(s_Irr!Z18&lt;&gt;".",s_Irr!AX18=".",s_Irr!BV18="."),s_dir!AZ18/((1/1000)*(s_Irr!Z18)),IF(AND(s_Irr!Z18=".",s_Irr!AX18=".",s_Irr!BV18="."),s_dir!AZ18*1000)))))))),".")</f>
        <v>13.740859521066643</v>
      </c>
      <c r="BZ18" s="93">
        <f>SUM(CA18:CB18,CW18:CX18)</f>
        <v>700.26213124716605</v>
      </c>
      <c r="CA18" s="93">
        <f>IFERROR(s_C*s_IFAP_far_adj*s_CF_apple*(1/1000)*(s_Irr!C18+s_Irr!AA18+s_Irr!AY18),".")</f>
        <v>161.37753664539483</v>
      </c>
      <c r="CB18" s="93">
        <f>IFERROR(s_C*s_IFAS_far_adj*s_CF_asparagus*(1/1000)*(s_Irr!D18+s_Irr!AB18+s_Irr!AZ18),".")</f>
        <v>181.04890838153378</v>
      </c>
      <c r="CC18" s="93">
        <f>IFERROR(s_C*s_IFBT_far_adj*s_CF_beet*(1/1000)*(s_Irr!E18+s_Irr!AC18+s_Irr!BA18),".")</f>
        <v>176.67749244016957</v>
      </c>
      <c r="CD18" s="93">
        <f>IFERROR(s_C*s_IFBE_far_adj*s_CF_berries*(1/1000)*(s_Irr!F18+s_Irr!AD18+s_Irr!BB18),".")</f>
        <v>161.37753664539483</v>
      </c>
      <c r="CE18" s="93">
        <f>IFERROR(s_C*s_IFBR_far_adj*s_CF_broccoli*(1/1000)*(s_Irr!G18+s_Irr!AE18+s_Irr!BC18),".")</f>
        <v>161.37753664539483</v>
      </c>
      <c r="CF18" s="93">
        <f>IFERROR(s_C*s_IFCB_far_adj*s_CF_cabbage*(1/1000)*(s_Irr!H18+s_Irr!AF18+s_Irr!BD18),".")</f>
        <v>181.04890838153378</v>
      </c>
      <c r="CG18" s="93">
        <f>IFERROR(s_C*s_IFCR_far_adj*s_CF_carrot*(1/1000)*(s_Irr!I18+s_Irr!AG18+s_Irr!BE18),".")</f>
        <v>176.67749244016957</v>
      </c>
      <c r="CH18" s="93">
        <f>IFERROR(s_C*s_IFCI_far_adj*s_CF_citrus*(1/1000)*(s_Irr!J18+s_Irr!AH18+s_Irr!BF18),".")</f>
        <v>161.37753664539483</v>
      </c>
      <c r="CI18" s="93">
        <f>IFERROR(s_C*s_IFCO_far_adj*s_CF_corn*(1/1000)*(s_Irr!K18+s_Irr!AI18+s_Irr!BG18),".")</f>
        <v>161.48682204392892</v>
      </c>
      <c r="CJ18" s="93">
        <f>IFERROR(s_C*s_IFCU_far_adj*s_CF_cucumber*(1/1000)*(s_Irr!L18+s_Irr!AJ18+s_Irr!BH18),".")</f>
        <v>161.37753664539483</v>
      </c>
      <c r="CK18" s="93">
        <f>IFERROR(s_C*s_IFLE_far_adj*s_CF_lettuce*(1/1000)*(s_Irr!M18+s_Irr!AK18+s_Irr!BI18),".")</f>
        <v>181.04890838153378</v>
      </c>
      <c r="CL18" s="93">
        <f>IFERROR(s_C*s_IFLI_far_adj*s_CF_lima_bean*(1/1000)*(s_Irr!N18+s_Irr!AL18+s_Irr!BJ18),".")</f>
        <v>161.56878609282953</v>
      </c>
      <c r="CM18" s="93">
        <f>IFERROR(s_C*s_IFOK_far_adj*s_CF_okra*(1/1000)*(s_Irr!O18+s_Irr!AM18+s_Irr!BK18),".")</f>
        <v>161.37753664539483</v>
      </c>
      <c r="CN18" s="93">
        <f>IFERROR(s_C*s_IFON_far_adj*s_CF_onion*(1/1000)*(s_Irr!P18+s_Irr!AN18+s_Irr!BL18),".")</f>
        <v>161.37753664539483</v>
      </c>
      <c r="CO18" s="93">
        <f>IFERROR(s_C*s_IFPC_far_adj*s_CF_peach*(1/1000)*(s_Irr!Q18+s_Irr!AO18+s_Irr!BM18),".")</f>
        <v>161.37753664539483</v>
      </c>
      <c r="CP18" s="93">
        <f>IFERROR(s_C*s_IFPR_far_adj*s_CF_pear*(1/1000)*(s_Irr!R18+s_Irr!AP18+s_Irr!BN18),".")</f>
        <v>161.37753664539483</v>
      </c>
      <c r="CQ18" s="93">
        <f>IFERROR(s_C*s_IFPE_far_adj*s_CF_peas*(1/1000)*(s_Irr!S18+s_Irr!AQ18+s_Irr!BO18),".")</f>
        <v>161.56878609282953</v>
      </c>
      <c r="CR18" s="93">
        <f>IFERROR(s_C*s_IFPT_far_adj*s_CF_potato*(1/1000)*(s_Irr!T18+s_Irr!AR18+s_Irr!BP18),".")</f>
        <v>168.20787405377641</v>
      </c>
      <c r="CS18" s="93">
        <f>IFERROR(s_C*s_IFPU_far_adj*s_CF_pumpkin*(1/1000)*(s_Irr!U18+s_Irr!AS18+s_Irr!BQ18),".")</f>
        <v>161.37753664539483</v>
      </c>
      <c r="CT18" s="93">
        <f>IFERROR(s_C*s_IFSN_far_adj*s_CF_snap_bean*(1/1000)*(s_Irr!V18+s_Irr!AT18+s_Irr!BR18),".")</f>
        <v>161.56878609282953</v>
      </c>
      <c r="CU18" s="93">
        <f>IFERROR(s_C*s_IFST_far_adj*s_CF_strawberry*(1/1000)*(s_Irr!W18+s_Irr!AU18+s_Irr!BS18),".")</f>
        <v>161.37753664539483</v>
      </c>
      <c r="CV18" s="93">
        <f>IFERROR(s_C*s_IFTO_far_adj*s_CF_tomato*(1/1000)*(s_Irr!X18+s_Irr!AV18+s_Irr!BT18),".")</f>
        <v>161.37753664539483</v>
      </c>
      <c r="CW18" s="93">
        <f>IFERROR(s_C*s_IFRI_far_adj*s_CF_rice*(1/1000)*(s_Irr!Y18+s_Irr!AW18+s_Irr!BU18),".")</f>
        <v>196.34886417630852</v>
      </c>
      <c r="CX18" s="93">
        <f>IFERROR(s_C*s_IFCG_far_adj*s_CF_cereal*(1/1000)*(s_Irr!Z18+s_Irr!AX18+s_Irr!BV18),".")</f>
        <v>161.48682204392892</v>
      </c>
    </row>
    <row r="19" spans="1:102" ht="15" customHeight="1" x14ac:dyDescent="0.25">
      <c r="A19" s="92" t="s">
        <v>29</v>
      </c>
      <c r="B19" s="90" t="s">
        <v>1074</v>
      </c>
      <c r="C19" s="76" t="str">
        <f t="shared" si="18"/>
        <v>.</v>
      </c>
      <c r="D19" s="76" t="str">
        <f>IFERROR(IF(AND(s_Irr!C19&lt;&gt;".",s_Irr!AA19&lt;&gt;".",s_Irr!AY19&lt;&gt;"."),s_dir!D19/((1/1000)*(s_Irr!C19+s_Irr!AA19+s_Irr!AY19)),IF(AND(s_Irr!C19&lt;&gt;".",s_Irr!AA19&lt;&gt;".",s_Irr!AY19="."),s_dir!D19/((1/1000)*(s_Irr!C19+s_Irr!AA19)),IF(AND(s_Irr!C19&lt;&gt;".",s_Irr!AA19=".",s_Irr!AY19&lt;&gt;"."),s_dir!D19/((1/1000)*(s_Irr!C19+s_Irr!AY19)),IF(AND(s_Irr!C19=".",s_Irr!AA19&lt;&gt;".",s_Irr!AY19&lt;&gt;"."),s_dir!D19/((1/1000)*(s_Irr!AA19+s_Irr!AY19)),IF(AND(s_Irr!C19=".",s_Irr!AA19=".",s_Irr!AY19&lt;&gt;"."),s_dir!D19/((1/1000)*(s_Irr!AY19)),IF(AND(s_Irr!C19=".",s_Irr!AA19&lt;&gt;".",s_Irr!AY19="."),s_dir!D19/((1/1000)*(s_Irr!AA19)),IF(AND(s_Irr!C19&lt;&gt;".",s_Irr!AA19=".",s_Irr!AY19="."),s_dir!D19/((1/1000)*(s_Irr!C19)),IF(AND(s_Irr!C19=".",s_Irr!AA19=".",s_Irr!AY19="."),s_dir!D19*1000)))))))),".")</f>
        <v>.</v>
      </c>
      <c r="E19" s="76" t="str">
        <f>IFERROR(IF(AND(s_Irr!D19&lt;&gt;".",s_Irr!AB19&lt;&gt;".",s_Irr!AZ19&lt;&gt;"."),s_dir!E19/((1/1000)*(s_Irr!D19+s_Irr!AB19+s_Irr!AZ19)),IF(AND(s_Irr!D19&lt;&gt;".",s_Irr!AB19&lt;&gt;".",s_Irr!AZ19="."),s_dir!E19/((1/1000)*(s_Irr!D19+s_Irr!AB19)),IF(AND(s_Irr!D19&lt;&gt;".",s_Irr!AB19=".",s_Irr!AZ19&lt;&gt;"."),s_dir!E19/((1/1000)*(s_Irr!D19+s_Irr!AZ19)),IF(AND(s_Irr!D19=".",s_Irr!AB19&lt;&gt;".",s_Irr!AZ19&lt;&gt;"."),s_dir!E19/((1/1000)*(s_Irr!AB19+s_Irr!AZ19)),IF(AND(s_Irr!D19=".",s_Irr!AB19=".",s_Irr!AZ19&lt;&gt;"."),s_dir!E19/((1/1000)*(s_Irr!AZ19)),IF(AND(s_Irr!D19=".",s_Irr!AB19&lt;&gt;".",s_Irr!AZ19="."),s_dir!E19/((1/1000)*(s_Irr!AB19)),IF(AND(s_Irr!D19&lt;&gt;".",s_Irr!AB19=".",s_Irr!AZ19="."),s_dir!E19/((1/1000)*(s_Irr!D19)),IF(AND(s_Irr!D19=".",s_Irr!AB19=".",s_Irr!AZ19="."),s_dir!E19*1000)))))))),".")</f>
        <v>.</v>
      </c>
      <c r="F19" s="76" t="str">
        <f>IFERROR(IF(AND(s_Irr!E19&lt;&gt;".",s_Irr!AC19&lt;&gt;".",s_Irr!BA19&lt;&gt;"."),s_dir!F19/((1/1000)*(s_Irr!E19+s_Irr!AC19+s_Irr!BA19)),IF(AND(s_Irr!E19&lt;&gt;".",s_Irr!AC19&lt;&gt;".",s_Irr!BA19="."),s_dir!F19/((1/1000)*(s_Irr!E19+s_Irr!AC19)),IF(AND(s_Irr!E19&lt;&gt;".",s_Irr!AC19=".",s_Irr!BA19&lt;&gt;"."),s_dir!F19/((1/1000)*(s_Irr!E19+s_Irr!BA19)),IF(AND(s_Irr!E19=".",s_Irr!AC19&lt;&gt;".",s_Irr!BA19&lt;&gt;"."),s_dir!F19/((1/1000)*(s_Irr!AC19+s_Irr!BA19)),IF(AND(s_Irr!E19=".",s_Irr!AC19=".",s_Irr!BA19&lt;&gt;"."),s_dir!F19/((1/1000)*(s_Irr!BA19)),IF(AND(s_Irr!E19=".",s_Irr!AC19&lt;&gt;".",s_Irr!BA19="."),s_dir!F19/((1/1000)*(s_Irr!AC19)),IF(AND(s_Irr!E19&lt;&gt;".",s_Irr!AC19=".",s_Irr!BA19="."),s_dir!F19/((1/1000)*(s_Irr!E19)),IF(AND(s_Irr!E19=".",s_Irr!AC19=".",s_Irr!BA19="."),s_dir!F19*1000)))))))),".")</f>
        <v>.</v>
      </c>
      <c r="G19" s="76" t="str">
        <f>IFERROR(IF(AND(s_Irr!F19&lt;&gt;".",s_Irr!AD19&lt;&gt;".",s_Irr!BB19&lt;&gt;"."),s_dir!G19/((1/1000)*(s_Irr!F19+s_Irr!AD19+s_Irr!BB19)),IF(AND(s_Irr!F19&lt;&gt;".",s_Irr!AD19&lt;&gt;".",s_Irr!BB19="."),s_dir!G19/((1/1000)*(s_Irr!F19+s_Irr!AD19)),IF(AND(s_Irr!F19&lt;&gt;".",s_Irr!AD19=".",s_Irr!BB19&lt;&gt;"."),s_dir!G19/((1/1000)*(s_Irr!F19+s_Irr!BB19)),IF(AND(s_Irr!F19=".",s_Irr!AD19&lt;&gt;".",s_Irr!BB19&lt;&gt;"."),s_dir!G19/((1/1000)*(s_Irr!AD19+s_Irr!BB19)),IF(AND(s_Irr!F19=".",s_Irr!AD19=".",s_Irr!BB19&lt;&gt;"."),s_dir!G19/((1/1000)*(s_Irr!BB19)),IF(AND(s_Irr!F19=".",s_Irr!AD19&lt;&gt;".",s_Irr!BB19="."),s_dir!G19/((1/1000)*(s_Irr!AD19)),IF(AND(s_Irr!F19&lt;&gt;".",s_Irr!AD19=".",s_Irr!BB19="."),s_dir!G19/((1/1000)*(s_Irr!F19)),IF(AND(s_Irr!F19=".",s_Irr!AD19=".",s_Irr!BB19="."),s_dir!G19*1000)))))))),".")</f>
        <v>.</v>
      </c>
      <c r="H19" s="76" t="str">
        <f>IFERROR(IF(AND(s_Irr!G19&lt;&gt;".",s_Irr!AE19&lt;&gt;".",s_Irr!BC19&lt;&gt;"."),s_dir!H19/((1/1000)*(s_Irr!G19+s_Irr!AE19+s_Irr!BC19)),IF(AND(s_Irr!G19&lt;&gt;".",s_Irr!AE19&lt;&gt;".",s_Irr!BC19="."),s_dir!H19/((1/1000)*(s_Irr!G19+s_Irr!AE19)),IF(AND(s_Irr!G19&lt;&gt;".",s_Irr!AE19=".",s_Irr!BC19&lt;&gt;"."),s_dir!H19/((1/1000)*(s_Irr!G19+s_Irr!BC19)),IF(AND(s_Irr!G19=".",s_Irr!AE19&lt;&gt;".",s_Irr!BC19&lt;&gt;"."),s_dir!H19/((1/1000)*(s_Irr!AE19+s_Irr!BC19)),IF(AND(s_Irr!G19=".",s_Irr!AE19=".",s_Irr!BC19&lt;&gt;"."),s_dir!H19/((1/1000)*(s_Irr!BC19)),IF(AND(s_Irr!G19=".",s_Irr!AE19&lt;&gt;".",s_Irr!BC19="."),s_dir!H19/((1/1000)*(s_Irr!AE19)),IF(AND(s_Irr!G19&lt;&gt;".",s_Irr!AE19=".",s_Irr!BC19="."),s_dir!H19/((1/1000)*(s_Irr!G19)),IF(AND(s_Irr!G19=".",s_Irr!AE19=".",s_Irr!BC19="."),s_dir!H19*1000)))))))),".")</f>
        <v>.</v>
      </c>
      <c r="I19" s="76" t="str">
        <f>IFERROR(IF(AND(s_Irr!H19&lt;&gt;".",s_Irr!AF19&lt;&gt;".",s_Irr!BD19&lt;&gt;"."),s_dir!I19/((1/1000)*(s_Irr!H19+s_Irr!AF19+s_Irr!BD19)),IF(AND(s_Irr!H19&lt;&gt;".",s_Irr!AF19&lt;&gt;".",s_Irr!BD19="."),s_dir!I19/((1/1000)*(s_Irr!H19+s_Irr!AF19)),IF(AND(s_Irr!H19&lt;&gt;".",s_Irr!AF19=".",s_Irr!BD19&lt;&gt;"."),s_dir!I19/((1/1000)*(s_Irr!H19+s_Irr!BD19)),IF(AND(s_Irr!H19=".",s_Irr!AF19&lt;&gt;".",s_Irr!BD19&lt;&gt;"."),s_dir!I19/((1/1000)*(s_Irr!AF19+s_Irr!BD19)),IF(AND(s_Irr!H19=".",s_Irr!AF19=".",s_Irr!BD19&lt;&gt;"."),s_dir!I19/((1/1000)*(s_Irr!BD19)),IF(AND(s_Irr!H19=".",s_Irr!AF19&lt;&gt;".",s_Irr!BD19="."),s_dir!I19/((1/1000)*(s_Irr!AF19)),IF(AND(s_Irr!H19&lt;&gt;".",s_Irr!AF19=".",s_Irr!BD19="."),s_dir!I19/((1/1000)*(s_Irr!H19)),IF(AND(s_Irr!H19=".",s_Irr!AF19=".",s_Irr!BD19="."),s_dir!I19*1000)))))))),".")</f>
        <v>.</v>
      </c>
      <c r="J19" s="76" t="str">
        <f>IFERROR(IF(AND(s_Irr!I19&lt;&gt;".",s_Irr!AG19&lt;&gt;".",s_Irr!BE19&lt;&gt;"."),s_dir!J19/((1/1000)*(s_Irr!I19+s_Irr!AG19+s_Irr!BE19)),IF(AND(s_Irr!I19&lt;&gt;".",s_Irr!AG19&lt;&gt;".",s_Irr!BE19="."),s_dir!J19/((1/1000)*(s_Irr!I19+s_Irr!AG19)),IF(AND(s_Irr!I19&lt;&gt;".",s_Irr!AG19=".",s_Irr!BE19&lt;&gt;"."),s_dir!J19/((1/1000)*(s_Irr!I19+s_Irr!BE19)),IF(AND(s_Irr!I19=".",s_Irr!AG19&lt;&gt;".",s_Irr!BE19&lt;&gt;"."),s_dir!J19/((1/1000)*(s_Irr!AG19+s_Irr!BE19)),IF(AND(s_Irr!I19=".",s_Irr!AG19=".",s_Irr!BE19&lt;&gt;"."),s_dir!J19/((1/1000)*(s_Irr!BE19)),IF(AND(s_Irr!I19=".",s_Irr!AG19&lt;&gt;".",s_Irr!BE19="."),s_dir!J19/((1/1000)*(s_Irr!AG19)),IF(AND(s_Irr!I19&lt;&gt;".",s_Irr!AG19=".",s_Irr!BE19="."),s_dir!J19/((1/1000)*(s_Irr!I19)),IF(AND(s_Irr!I19=".",s_Irr!AG19=".",s_Irr!BE19="."),s_dir!J19*1000)))))))),".")</f>
        <v>.</v>
      </c>
      <c r="K19" s="76" t="str">
        <f>IFERROR(IF(AND(s_Irr!J19&lt;&gt;".",s_Irr!AH19&lt;&gt;".",s_Irr!BF19&lt;&gt;"."),s_dir!K19/((1/1000)*(s_Irr!J19+s_Irr!AH19+s_Irr!BF19)),IF(AND(s_Irr!J19&lt;&gt;".",s_Irr!AH19&lt;&gt;".",s_Irr!BF19="."),s_dir!K19/((1/1000)*(s_Irr!J19+s_Irr!AH19)),IF(AND(s_Irr!J19&lt;&gt;".",s_Irr!AH19=".",s_Irr!BF19&lt;&gt;"."),s_dir!K19/((1/1000)*(s_Irr!J19+s_Irr!BF19)),IF(AND(s_Irr!J19=".",s_Irr!AH19&lt;&gt;".",s_Irr!BF19&lt;&gt;"."),s_dir!K19/((1/1000)*(s_Irr!AH19+s_Irr!BF19)),IF(AND(s_Irr!J19=".",s_Irr!AH19=".",s_Irr!BF19&lt;&gt;"."),s_dir!K19/((1/1000)*(s_Irr!BF19)),IF(AND(s_Irr!J19=".",s_Irr!AH19&lt;&gt;".",s_Irr!BF19="."),s_dir!K19/((1/1000)*(s_Irr!AH19)),IF(AND(s_Irr!J19&lt;&gt;".",s_Irr!AH19=".",s_Irr!BF19="."),s_dir!K19/((1/1000)*(s_Irr!J19)),IF(AND(s_Irr!J19=".",s_Irr!AH19=".",s_Irr!BF19="."),s_dir!K19*1000)))))))),".")</f>
        <v>.</v>
      </c>
      <c r="L19" s="76" t="str">
        <f>IFERROR(IF(AND(s_Irr!K19&lt;&gt;".",s_Irr!AI19&lt;&gt;".",s_Irr!BG19&lt;&gt;"."),s_dir!L19/((1/1000)*(s_Irr!K19+s_Irr!AI19+s_Irr!BG19)),IF(AND(s_Irr!K19&lt;&gt;".",s_Irr!AI19&lt;&gt;".",s_Irr!BG19="."),s_dir!L19/((1/1000)*(s_Irr!K19+s_Irr!AI19)),IF(AND(s_Irr!K19&lt;&gt;".",s_Irr!AI19=".",s_Irr!BG19&lt;&gt;"."),s_dir!L19/((1/1000)*(s_Irr!K19+s_Irr!BG19)),IF(AND(s_Irr!K19=".",s_Irr!AI19&lt;&gt;".",s_Irr!BG19&lt;&gt;"."),s_dir!L19/((1/1000)*(s_Irr!AI19+s_Irr!BG19)),IF(AND(s_Irr!K19=".",s_Irr!AI19=".",s_Irr!BG19&lt;&gt;"."),s_dir!L19/((1/1000)*(s_Irr!BG19)),IF(AND(s_Irr!K19=".",s_Irr!AI19&lt;&gt;".",s_Irr!BG19="."),s_dir!L19/((1/1000)*(s_Irr!AI19)),IF(AND(s_Irr!K19&lt;&gt;".",s_Irr!AI19=".",s_Irr!BG19="."),s_dir!L19/((1/1000)*(s_Irr!K19)),IF(AND(s_Irr!K19=".",s_Irr!AI19=".",s_Irr!BG19="."),s_dir!L19*1000)))))))),".")</f>
        <v>.</v>
      </c>
      <c r="M19" s="76" t="str">
        <f>IFERROR(IF(AND(s_Irr!L19&lt;&gt;".",s_Irr!AJ19&lt;&gt;".",s_Irr!BH19&lt;&gt;"."),s_dir!M19/((1/1000)*(s_Irr!L19+s_Irr!AJ19+s_Irr!BH19)),IF(AND(s_Irr!L19&lt;&gt;".",s_Irr!AJ19&lt;&gt;".",s_Irr!BH19="."),s_dir!M19/((1/1000)*(s_Irr!L19+s_Irr!AJ19)),IF(AND(s_Irr!L19&lt;&gt;".",s_Irr!AJ19=".",s_Irr!BH19&lt;&gt;"."),s_dir!M19/((1/1000)*(s_Irr!L19+s_Irr!BH19)),IF(AND(s_Irr!L19=".",s_Irr!AJ19&lt;&gt;".",s_Irr!BH19&lt;&gt;"."),s_dir!M19/((1/1000)*(s_Irr!AJ19+s_Irr!BH19)),IF(AND(s_Irr!L19=".",s_Irr!AJ19=".",s_Irr!BH19&lt;&gt;"."),s_dir!M19/((1/1000)*(s_Irr!BH19)),IF(AND(s_Irr!L19=".",s_Irr!AJ19&lt;&gt;".",s_Irr!BH19="."),s_dir!M19/((1/1000)*(s_Irr!AJ19)),IF(AND(s_Irr!L19&lt;&gt;".",s_Irr!AJ19=".",s_Irr!BH19="."),s_dir!M19/((1/1000)*(s_Irr!L19)),IF(AND(s_Irr!L19=".",s_Irr!AJ19=".",s_Irr!BH19="."),s_dir!M19*1000)))))))),".")</f>
        <v>.</v>
      </c>
      <c r="N19" s="76" t="str">
        <f>IFERROR(IF(AND(s_Irr!M19&lt;&gt;".",s_Irr!AK19&lt;&gt;".",s_Irr!BI19&lt;&gt;"."),s_dir!N19/((1/1000)*(s_Irr!M19+s_Irr!AK19+s_Irr!BI19)),IF(AND(s_Irr!M19&lt;&gt;".",s_Irr!AK19&lt;&gt;".",s_Irr!BI19="."),s_dir!N19/((1/1000)*(s_Irr!M19+s_Irr!AK19)),IF(AND(s_Irr!M19&lt;&gt;".",s_Irr!AK19=".",s_Irr!BI19&lt;&gt;"."),s_dir!N19/((1/1000)*(s_Irr!M19+s_Irr!BI19)),IF(AND(s_Irr!M19=".",s_Irr!AK19&lt;&gt;".",s_Irr!BI19&lt;&gt;"."),s_dir!N19/((1/1000)*(s_Irr!AK19+s_Irr!BI19)),IF(AND(s_Irr!M19=".",s_Irr!AK19=".",s_Irr!BI19&lt;&gt;"."),s_dir!N19/((1/1000)*(s_Irr!BI19)),IF(AND(s_Irr!M19=".",s_Irr!AK19&lt;&gt;".",s_Irr!BI19="."),s_dir!N19/((1/1000)*(s_Irr!AK19)),IF(AND(s_Irr!M19&lt;&gt;".",s_Irr!AK19=".",s_Irr!BI19="."),s_dir!N19/((1/1000)*(s_Irr!M19)),IF(AND(s_Irr!M19=".",s_Irr!AK19=".",s_Irr!BI19="."),s_dir!N19*1000)))))))),".")</f>
        <v>.</v>
      </c>
      <c r="O19" s="76" t="str">
        <f>IFERROR(IF(AND(s_Irr!N19&lt;&gt;".",s_Irr!AL19&lt;&gt;".",s_Irr!BJ19&lt;&gt;"."),s_dir!O19/((1/1000)*(s_Irr!N19+s_Irr!AL19+s_Irr!BJ19)),IF(AND(s_Irr!N19&lt;&gt;".",s_Irr!AL19&lt;&gt;".",s_Irr!BJ19="."),s_dir!O19/((1/1000)*(s_Irr!N19+s_Irr!AL19)),IF(AND(s_Irr!N19&lt;&gt;".",s_Irr!AL19=".",s_Irr!BJ19&lt;&gt;"."),s_dir!O19/((1/1000)*(s_Irr!N19+s_Irr!BJ19)),IF(AND(s_Irr!N19=".",s_Irr!AL19&lt;&gt;".",s_Irr!BJ19&lt;&gt;"."),s_dir!O19/((1/1000)*(s_Irr!AL19+s_Irr!BJ19)),IF(AND(s_Irr!N19=".",s_Irr!AL19=".",s_Irr!BJ19&lt;&gt;"."),s_dir!O19/((1/1000)*(s_Irr!BJ19)),IF(AND(s_Irr!N19=".",s_Irr!AL19&lt;&gt;".",s_Irr!BJ19="."),s_dir!O19/((1/1000)*(s_Irr!AL19)),IF(AND(s_Irr!N19&lt;&gt;".",s_Irr!AL19=".",s_Irr!BJ19="."),s_dir!O19/((1/1000)*(s_Irr!N19)),IF(AND(s_Irr!N19=".",s_Irr!AL19=".",s_Irr!BJ19="."),s_dir!O19*1000)))))))),".")</f>
        <v>.</v>
      </c>
      <c r="P19" s="76" t="str">
        <f>IFERROR(IF(AND(s_Irr!O19&lt;&gt;".",s_Irr!AM19&lt;&gt;".",s_Irr!BK19&lt;&gt;"."),s_dir!P19/((1/1000)*(s_Irr!O19+s_Irr!AM19+s_Irr!BK19)),IF(AND(s_Irr!O19&lt;&gt;".",s_Irr!AM19&lt;&gt;".",s_Irr!BK19="."),s_dir!P19/((1/1000)*(s_Irr!O19+s_Irr!AM19)),IF(AND(s_Irr!O19&lt;&gt;".",s_Irr!AM19=".",s_Irr!BK19&lt;&gt;"."),s_dir!P19/((1/1000)*(s_Irr!O19+s_Irr!BK19)),IF(AND(s_Irr!O19=".",s_Irr!AM19&lt;&gt;".",s_Irr!BK19&lt;&gt;"."),s_dir!P19/((1/1000)*(s_Irr!AM19+s_Irr!BK19)),IF(AND(s_Irr!O19=".",s_Irr!AM19=".",s_Irr!BK19&lt;&gt;"."),s_dir!P19/((1/1000)*(s_Irr!BK19)),IF(AND(s_Irr!O19=".",s_Irr!AM19&lt;&gt;".",s_Irr!BK19="."),s_dir!P19/((1/1000)*(s_Irr!AM19)),IF(AND(s_Irr!O19&lt;&gt;".",s_Irr!AM19=".",s_Irr!BK19="."),s_dir!P19/((1/1000)*(s_Irr!O19)),IF(AND(s_Irr!O19=".",s_Irr!AM19=".",s_Irr!BK19="."),s_dir!P19*1000)))))))),".")</f>
        <v>.</v>
      </c>
      <c r="Q19" s="76" t="str">
        <f>IFERROR(IF(AND(s_Irr!P19&lt;&gt;".",s_Irr!AN19&lt;&gt;".",s_Irr!BL19&lt;&gt;"."),s_dir!Q19/((1/1000)*(s_Irr!P19+s_Irr!AN19+s_Irr!BL19)),IF(AND(s_Irr!P19&lt;&gt;".",s_Irr!AN19&lt;&gt;".",s_Irr!BL19="."),s_dir!Q19/((1/1000)*(s_Irr!P19+s_Irr!AN19)),IF(AND(s_Irr!P19&lt;&gt;".",s_Irr!AN19=".",s_Irr!BL19&lt;&gt;"."),s_dir!Q19/((1/1000)*(s_Irr!P19+s_Irr!BL19)),IF(AND(s_Irr!P19=".",s_Irr!AN19&lt;&gt;".",s_Irr!BL19&lt;&gt;"."),s_dir!Q19/((1/1000)*(s_Irr!AN19+s_Irr!BL19)),IF(AND(s_Irr!P19=".",s_Irr!AN19=".",s_Irr!BL19&lt;&gt;"."),s_dir!Q19/((1/1000)*(s_Irr!BL19)),IF(AND(s_Irr!P19=".",s_Irr!AN19&lt;&gt;".",s_Irr!BL19="."),s_dir!Q19/((1/1000)*(s_Irr!AN19)),IF(AND(s_Irr!P19&lt;&gt;".",s_Irr!AN19=".",s_Irr!BL19="."),s_dir!Q19/((1/1000)*(s_Irr!P19)),IF(AND(s_Irr!P19=".",s_Irr!AN19=".",s_Irr!BL19="."),s_dir!Q19*1000)))))))),".")</f>
        <v>.</v>
      </c>
      <c r="R19" s="76" t="str">
        <f>IFERROR(IF(AND(s_Irr!Q19&lt;&gt;".",s_Irr!AO19&lt;&gt;".",s_Irr!BM19&lt;&gt;"."),s_dir!R19/((1/1000)*(s_Irr!Q19+s_Irr!AO19+s_Irr!BM19)),IF(AND(s_Irr!Q19&lt;&gt;".",s_Irr!AO19&lt;&gt;".",s_Irr!BM19="."),s_dir!R19/((1/1000)*(s_Irr!Q19+s_Irr!AO19)),IF(AND(s_Irr!Q19&lt;&gt;".",s_Irr!AO19=".",s_Irr!BM19&lt;&gt;"."),s_dir!R19/((1/1000)*(s_Irr!Q19+s_Irr!BM19)),IF(AND(s_Irr!Q19=".",s_Irr!AO19&lt;&gt;".",s_Irr!BM19&lt;&gt;"."),s_dir!R19/((1/1000)*(s_Irr!AO19+s_Irr!BM19)),IF(AND(s_Irr!Q19=".",s_Irr!AO19=".",s_Irr!BM19&lt;&gt;"."),s_dir!R19/((1/1000)*(s_Irr!BM19)),IF(AND(s_Irr!Q19=".",s_Irr!AO19&lt;&gt;".",s_Irr!BM19="."),s_dir!R19/((1/1000)*(s_Irr!AO19)),IF(AND(s_Irr!Q19&lt;&gt;".",s_Irr!AO19=".",s_Irr!BM19="."),s_dir!R19/((1/1000)*(s_Irr!Q19)),IF(AND(s_Irr!Q19=".",s_Irr!AO19=".",s_Irr!BM19="."),s_dir!R19*1000)))))))),".")</f>
        <v>.</v>
      </c>
      <c r="S19" s="76" t="str">
        <f>IFERROR(IF(AND(s_Irr!R19&lt;&gt;".",s_Irr!AP19&lt;&gt;".",s_Irr!BN19&lt;&gt;"."),s_dir!S19/((1/1000)*(s_Irr!R19+s_Irr!AP19+s_Irr!BN19)),IF(AND(s_Irr!R19&lt;&gt;".",s_Irr!AP19&lt;&gt;".",s_Irr!BN19="."),s_dir!S19/((1/1000)*(s_Irr!R19+s_Irr!AP19)),IF(AND(s_Irr!R19&lt;&gt;".",s_Irr!AP19=".",s_Irr!BN19&lt;&gt;"."),s_dir!S19/((1/1000)*(s_Irr!R19+s_Irr!BN19)),IF(AND(s_Irr!R19=".",s_Irr!AP19&lt;&gt;".",s_Irr!BN19&lt;&gt;"."),s_dir!S19/((1/1000)*(s_Irr!AP19+s_Irr!BN19)),IF(AND(s_Irr!R19=".",s_Irr!AP19=".",s_Irr!BN19&lt;&gt;"."),s_dir!S19/((1/1000)*(s_Irr!BN19)),IF(AND(s_Irr!R19=".",s_Irr!AP19&lt;&gt;".",s_Irr!BN19="."),s_dir!S19/((1/1000)*(s_Irr!AP19)),IF(AND(s_Irr!R19&lt;&gt;".",s_Irr!AP19=".",s_Irr!BN19="."),s_dir!S19/((1/1000)*(s_Irr!R19)),IF(AND(s_Irr!R19=".",s_Irr!AP19=".",s_Irr!BN19="."),s_dir!S19*1000)))))))),".")</f>
        <v>.</v>
      </c>
      <c r="T19" s="76" t="str">
        <f>IFERROR(IF(AND(s_Irr!S19&lt;&gt;".",s_Irr!AQ19&lt;&gt;".",s_Irr!BO19&lt;&gt;"."),s_dir!T19/((1/1000)*(s_Irr!S19+s_Irr!AQ19+s_Irr!BO19)),IF(AND(s_Irr!S19&lt;&gt;".",s_Irr!AQ19&lt;&gt;".",s_Irr!BO19="."),s_dir!T19/((1/1000)*(s_Irr!S19+s_Irr!AQ19)),IF(AND(s_Irr!S19&lt;&gt;".",s_Irr!AQ19=".",s_Irr!BO19&lt;&gt;"."),s_dir!T19/((1/1000)*(s_Irr!S19+s_Irr!BO19)),IF(AND(s_Irr!S19=".",s_Irr!AQ19&lt;&gt;".",s_Irr!BO19&lt;&gt;"."),s_dir!T19/((1/1000)*(s_Irr!AQ19+s_Irr!BO19)),IF(AND(s_Irr!S19=".",s_Irr!AQ19=".",s_Irr!BO19&lt;&gt;"."),s_dir!T19/((1/1000)*(s_Irr!BO19)),IF(AND(s_Irr!S19=".",s_Irr!AQ19&lt;&gt;".",s_Irr!BO19="."),s_dir!T19/((1/1000)*(s_Irr!AQ19)),IF(AND(s_Irr!S19&lt;&gt;".",s_Irr!AQ19=".",s_Irr!BO19="."),s_dir!T19/((1/1000)*(s_Irr!S19)),IF(AND(s_Irr!S19=".",s_Irr!AQ19=".",s_Irr!BO19="."),s_dir!T19*1000)))))))),".")</f>
        <v>.</v>
      </c>
      <c r="U19" s="76" t="str">
        <f>IFERROR(IF(AND(s_Irr!T19&lt;&gt;".",s_Irr!AR19&lt;&gt;".",s_Irr!BP19&lt;&gt;"."),s_dir!U19/((1/1000)*(s_Irr!T19+s_Irr!AR19+s_Irr!BP19)),IF(AND(s_Irr!T19&lt;&gt;".",s_Irr!AR19&lt;&gt;".",s_Irr!BP19="."),s_dir!U19/((1/1000)*(s_Irr!T19+s_Irr!AR19)),IF(AND(s_Irr!T19&lt;&gt;".",s_Irr!AR19=".",s_Irr!BP19&lt;&gt;"."),s_dir!U19/((1/1000)*(s_Irr!T19+s_Irr!BP19)),IF(AND(s_Irr!T19=".",s_Irr!AR19&lt;&gt;".",s_Irr!BP19&lt;&gt;"."),s_dir!U19/((1/1000)*(s_Irr!AR19+s_Irr!BP19)),IF(AND(s_Irr!T19=".",s_Irr!AR19=".",s_Irr!BP19&lt;&gt;"."),s_dir!U19/((1/1000)*(s_Irr!BP19)),IF(AND(s_Irr!T19=".",s_Irr!AR19&lt;&gt;".",s_Irr!BP19="."),s_dir!U19/((1/1000)*(s_Irr!AR19)),IF(AND(s_Irr!T19&lt;&gt;".",s_Irr!AR19=".",s_Irr!BP19="."),s_dir!U19/((1/1000)*(s_Irr!T19)),IF(AND(s_Irr!T19=".",s_Irr!AR19=".",s_Irr!BP19="."),s_dir!U19*1000)))))))),".")</f>
        <v>.</v>
      </c>
      <c r="V19" s="76" t="str">
        <f>IFERROR(IF(AND(s_Irr!U19&lt;&gt;".",s_Irr!AS19&lt;&gt;".",s_Irr!BQ19&lt;&gt;"."),s_dir!V19/((1/1000)*(s_Irr!U19+s_Irr!AS19+s_Irr!BQ19)),IF(AND(s_Irr!U19&lt;&gt;".",s_Irr!AS19&lt;&gt;".",s_Irr!BQ19="."),s_dir!V19/((1/1000)*(s_Irr!U19+s_Irr!AS19)),IF(AND(s_Irr!U19&lt;&gt;".",s_Irr!AS19=".",s_Irr!BQ19&lt;&gt;"."),s_dir!V19/((1/1000)*(s_Irr!U19+s_Irr!BQ19)),IF(AND(s_Irr!U19=".",s_Irr!AS19&lt;&gt;".",s_Irr!BQ19&lt;&gt;"."),s_dir!V19/((1/1000)*(s_Irr!AS19+s_Irr!BQ19)),IF(AND(s_Irr!U19=".",s_Irr!AS19=".",s_Irr!BQ19&lt;&gt;"."),s_dir!V19/((1/1000)*(s_Irr!BQ19)),IF(AND(s_Irr!U19=".",s_Irr!AS19&lt;&gt;".",s_Irr!BQ19="."),s_dir!V19/((1/1000)*(s_Irr!AS19)),IF(AND(s_Irr!U19&lt;&gt;".",s_Irr!AS19=".",s_Irr!BQ19="."),s_dir!V19/((1/1000)*(s_Irr!U19)),IF(AND(s_Irr!U19=".",s_Irr!AS19=".",s_Irr!BQ19="."),s_dir!V19*1000)))))))),".")</f>
        <v>.</v>
      </c>
      <c r="W19" s="76" t="str">
        <f>IFERROR(IF(AND(s_Irr!V19&lt;&gt;".",s_Irr!AT19&lt;&gt;".",s_Irr!BR19&lt;&gt;"."),s_dir!W19/((1/1000)*(s_Irr!V19+s_Irr!AT19+s_Irr!BR19)),IF(AND(s_Irr!V19&lt;&gt;".",s_Irr!AT19&lt;&gt;".",s_Irr!BR19="."),s_dir!W19/((1/1000)*(s_Irr!V19+s_Irr!AT19)),IF(AND(s_Irr!V19&lt;&gt;".",s_Irr!AT19=".",s_Irr!BR19&lt;&gt;"."),s_dir!W19/((1/1000)*(s_Irr!V19+s_Irr!BR19)),IF(AND(s_Irr!V19=".",s_Irr!AT19&lt;&gt;".",s_Irr!BR19&lt;&gt;"."),s_dir!W19/((1/1000)*(s_Irr!AT19+s_Irr!BR19)),IF(AND(s_Irr!V19=".",s_Irr!AT19=".",s_Irr!BR19&lt;&gt;"."),s_dir!W19/((1/1000)*(s_Irr!BR19)),IF(AND(s_Irr!V19=".",s_Irr!AT19&lt;&gt;".",s_Irr!BR19="."),s_dir!W19/((1/1000)*(s_Irr!AT19)),IF(AND(s_Irr!V19&lt;&gt;".",s_Irr!AT19=".",s_Irr!BR19="."),s_dir!W19/((1/1000)*(s_Irr!V19)),IF(AND(s_Irr!V19=".",s_Irr!AT19=".",s_Irr!BR19="."),s_dir!W19*1000)))))))),".")</f>
        <v>.</v>
      </c>
      <c r="X19" s="76" t="str">
        <f>IFERROR(IF(AND(s_Irr!W19&lt;&gt;".",s_Irr!AU19&lt;&gt;".",s_Irr!BS19&lt;&gt;"."),s_dir!X19/((1/1000)*(s_Irr!W19+s_Irr!AU19+s_Irr!BS19)),IF(AND(s_Irr!W19&lt;&gt;".",s_Irr!AU19&lt;&gt;".",s_Irr!BS19="."),s_dir!X19/((1/1000)*(s_Irr!W19+s_Irr!AU19)),IF(AND(s_Irr!W19&lt;&gt;".",s_Irr!AU19=".",s_Irr!BS19&lt;&gt;"."),s_dir!X19/((1/1000)*(s_Irr!W19+s_Irr!BS19)),IF(AND(s_Irr!W19=".",s_Irr!AU19&lt;&gt;".",s_Irr!BS19&lt;&gt;"."),s_dir!X19/((1/1000)*(s_Irr!AU19+s_Irr!BS19)),IF(AND(s_Irr!W19=".",s_Irr!AU19=".",s_Irr!BS19&lt;&gt;"."),s_dir!X19/((1/1000)*(s_Irr!BS19)),IF(AND(s_Irr!W19=".",s_Irr!AU19&lt;&gt;".",s_Irr!BS19="."),s_dir!X19/((1/1000)*(s_Irr!AU19)),IF(AND(s_Irr!W19&lt;&gt;".",s_Irr!AU19=".",s_Irr!BS19="."),s_dir!X19/((1/1000)*(s_Irr!W19)),IF(AND(s_Irr!W19=".",s_Irr!AU19=".",s_Irr!BS19="."),s_dir!X19*1000)))))))),".")</f>
        <v>.</v>
      </c>
      <c r="Y19" s="76" t="str">
        <f>IFERROR(IF(AND(s_Irr!X19&lt;&gt;".",s_Irr!AV19&lt;&gt;".",s_Irr!BT19&lt;&gt;"."),s_dir!Y19/((1/1000)*(s_Irr!X19+s_Irr!AV19+s_Irr!BT19)),IF(AND(s_Irr!X19&lt;&gt;".",s_Irr!AV19&lt;&gt;".",s_Irr!BT19="."),s_dir!Y19/((1/1000)*(s_Irr!X19+s_Irr!AV19)),IF(AND(s_Irr!X19&lt;&gt;".",s_Irr!AV19=".",s_Irr!BT19&lt;&gt;"."),s_dir!Y19/((1/1000)*(s_Irr!X19+s_Irr!BT19)),IF(AND(s_Irr!X19=".",s_Irr!AV19&lt;&gt;".",s_Irr!BT19&lt;&gt;"."),s_dir!Y19/((1/1000)*(s_Irr!AV19+s_Irr!BT19)),IF(AND(s_Irr!X19=".",s_Irr!AV19=".",s_Irr!BT19&lt;&gt;"."),s_dir!Y19/((1/1000)*(s_Irr!BT19)),IF(AND(s_Irr!X19=".",s_Irr!AV19&lt;&gt;".",s_Irr!BT19="."),s_dir!Y19/((1/1000)*(s_Irr!AV19)),IF(AND(s_Irr!X19&lt;&gt;".",s_Irr!AV19=".",s_Irr!BT19="."),s_dir!Y19/((1/1000)*(s_Irr!X19)),IF(AND(s_Irr!X19=".",s_Irr!AV19=".",s_Irr!BT19="."),s_dir!Y19*1000)))))))),".")</f>
        <v>.</v>
      </c>
      <c r="Z19" s="76" t="str">
        <f>IFERROR(IF(AND(s_Irr!Y19&lt;&gt;".",s_Irr!AW19&lt;&gt;".",s_Irr!BU19&lt;&gt;"."),s_dir!Z19/((1/1000)*(s_Irr!Y19+s_Irr!AW19+s_Irr!BU19)),IF(AND(s_Irr!Y19&lt;&gt;".",s_Irr!AW19&lt;&gt;".",s_Irr!BU19="."),s_dir!Z19/((1/1000)*(s_Irr!Y19+s_Irr!AW19)),IF(AND(s_Irr!Y19&lt;&gt;".",s_Irr!AW19=".",s_Irr!BU19&lt;&gt;"."),s_dir!Z19/((1/1000)*(s_Irr!Y19+s_Irr!BU19)),IF(AND(s_Irr!Y19=".",s_Irr!AW19&lt;&gt;".",s_Irr!BU19&lt;&gt;"."),s_dir!Z19/((1/1000)*(s_Irr!AW19+s_Irr!BU19)),IF(AND(s_Irr!Y19=".",s_Irr!AW19=".",s_Irr!BU19&lt;&gt;"."),s_dir!Z19/((1/1000)*(s_Irr!BU19)),IF(AND(s_Irr!Y19=".",s_Irr!AW19&lt;&gt;".",s_Irr!BU19="."),s_dir!Z19/((1/1000)*(s_Irr!AW19)),IF(AND(s_Irr!Y19&lt;&gt;".",s_Irr!AW19=".",s_Irr!BU19="."),s_dir!Z19/((1/1000)*(s_Irr!Y19)),IF(AND(s_Irr!Y19=".",s_Irr!AW19=".",s_Irr!BU19="."),s_dir!Z19*1000)))))))),".")</f>
        <v>.</v>
      </c>
      <c r="AA19" s="76" t="str">
        <f>IFERROR(IF(AND(s_Irr!Z19&lt;&gt;".",s_Irr!AX19&lt;&gt;".",s_Irr!BV19&lt;&gt;"."),s_dir!AA19/((1/1000)*(s_Irr!Z19+s_Irr!AX19+s_Irr!BV19)),IF(AND(s_Irr!Z19&lt;&gt;".",s_Irr!AX19&lt;&gt;".",s_Irr!BV19="."),s_dir!AA19/((1/1000)*(s_Irr!Z19+s_Irr!AX19)),IF(AND(s_Irr!Z19&lt;&gt;".",s_Irr!AX19=".",s_Irr!BV19&lt;&gt;"."),s_dir!AA19/((1/1000)*(s_Irr!Z19+s_Irr!BV19)),IF(AND(s_Irr!Z19=".",s_Irr!AX19&lt;&gt;".",s_Irr!BV19&lt;&gt;"."),s_dir!AA19/((1/1000)*(s_Irr!AX19+s_Irr!BV19)),IF(AND(s_Irr!Z19=".",s_Irr!AX19=".",s_Irr!BV19&lt;&gt;"."),s_dir!AA19/((1/1000)*(s_Irr!BV19)),IF(AND(s_Irr!Z19=".",s_Irr!AX19&lt;&gt;".",s_Irr!BV19="."),s_dir!AA19/((1/1000)*(s_Irr!AX19)),IF(AND(s_Irr!Z19&lt;&gt;".",s_Irr!AX19=".",s_Irr!BV19="."),s_dir!AA19/((1/1000)*(s_Irr!Z19)),IF(AND(s_Irr!Z19=".",s_Irr!AX19=".",s_Irr!BV19="."),s_dir!AA19*1000)))))))),".")</f>
        <v>.</v>
      </c>
      <c r="AB19" s="93">
        <f t="shared" ref="AB19:AB20" si="22">SUM(AC19:AD19,AY19:AZ19)</f>
        <v>700.26213124716605</v>
      </c>
      <c r="AC19" s="93">
        <f>IFERROR(s_C*s_IFAP_res_adj*s_CF_apple*0.001*(s_Irr!C19+s_Irr!AA19+s_Irr!AY19),".")</f>
        <v>161.37753664539483</v>
      </c>
      <c r="AD19" s="93">
        <f>IFERROR(s_C*s_IFAS_res_adj*s_CF_asparagus*0.001*(s_Irr!D19+s_Irr!AB19+s_Irr!AZ19),".")</f>
        <v>181.04890838153378</v>
      </c>
      <c r="AE19" s="93">
        <f>IFERROR(s_C*s_IFBT_res_adj*s_CF_beet*0.001*(s_Irr!E19+s_Irr!AC19+s_Irr!BA19),".")</f>
        <v>176.67749244016957</v>
      </c>
      <c r="AF19" s="93">
        <f>IFERROR(s_C*s_IFBE_res_adj*s_CF_berries*0.001*(s_Irr!F19+s_Irr!AD19+s_Irr!BB19),".")</f>
        <v>161.37753664539483</v>
      </c>
      <c r="AG19" s="93">
        <f>IFERROR(s_C*s_IFBR_res_adj*s_CF_broccoli*0.001*(s_Irr!G19+s_Irr!AE19+s_Irr!BC19),".")</f>
        <v>161.37753664539483</v>
      </c>
      <c r="AH19" s="93">
        <f>IFERROR(s_C*s_IFCB_res_adj*s_CF_cabbage*0.001*(s_Irr!H19+s_Irr!AF19+s_Irr!BD19),".")</f>
        <v>181.04890838153378</v>
      </c>
      <c r="AI19" s="93">
        <f>IFERROR(s_C*s_IFCR_res_adj*s_CF_carrot*0.001*(s_Irr!I19+s_Irr!AG19+s_Irr!BE19),".")</f>
        <v>176.67749244016957</v>
      </c>
      <c r="AJ19" s="93">
        <f>IFERROR(s_C*s_IFCI_res_adj*s_CF_citrus*0.001*(s_Irr!J19+s_Irr!AH19+s_Irr!BF19),".")</f>
        <v>161.37753664539483</v>
      </c>
      <c r="AK19" s="93">
        <f>IFERROR(s_C*s_IFCO_res_adj*s_CF_corn*0.001*(s_Irr!K19+s_Irr!AI19+s_Irr!BG19),".")</f>
        <v>161.48682204392892</v>
      </c>
      <c r="AL19" s="93">
        <f>IFERROR(s_C*s_IFCU_res_adj*s_CF_cucumber*0.001*(s_Irr!L19+s_Irr!AJ19+s_Irr!BH19),".")</f>
        <v>161.37753664539483</v>
      </c>
      <c r="AM19" s="93">
        <f>IFERROR(s_C*s_IFLE_res_adj*s_CF_lettuce*0.001*(s_Irr!M19+s_Irr!AK19+s_Irr!BI19),".")</f>
        <v>181.04890838153378</v>
      </c>
      <c r="AN19" s="93">
        <f>IFERROR(s_C*s_IFLI_res_adj*s_CF_lima_bean*0.001*(s_Irr!N19+s_Irr!AL19+s_Irr!BJ19),".")</f>
        <v>161.56878609282953</v>
      </c>
      <c r="AO19" s="93">
        <f>IFERROR(s_C*s_IFOK_res_adj*s_CF_okra*0.001*(s_Irr!O19+s_Irr!AM19+s_Irr!BK19),".")</f>
        <v>161.37753664539483</v>
      </c>
      <c r="AP19" s="93">
        <f>IFERROR(s_C*s_IFON_res_adj*s_CF_onion*0.001*(s_Irr!P19+s_Irr!AN19+s_Irr!BL19),".")</f>
        <v>161.37753664539483</v>
      </c>
      <c r="AQ19" s="93">
        <f>IFERROR(s_C*s_IFPC_res_adj*s_CF_peach*0.001*(s_Irr!Q19+s_Irr!AO19+s_Irr!BM19),".")</f>
        <v>161.37753664539483</v>
      </c>
      <c r="AR19" s="93">
        <f>IFERROR(s_C*s_IFPR_res_adj*s_CF_pear*0.001*(s_Irr!R19+s_Irr!AP19+s_Irr!BN19),".")</f>
        <v>161.37753664539483</v>
      </c>
      <c r="AS19" s="93">
        <f>IFERROR(s_C*s_IFPE_res_adj*s_CF_peas*0.001*(s_Irr!S19+s_Irr!AQ19+s_Irr!BO19),".")</f>
        <v>161.56878609282953</v>
      </c>
      <c r="AT19" s="93">
        <f>IFERROR(s_C*s_IFPT_res_adj*s_CF_potato*0.001*(s_Irr!T19+s_Irr!AR19+s_Irr!BP19),".")</f>
        <v>168.20787405377641</v>
      </c>
      <c r="AU19" s="93">
        <f>IFERROR(s_C*s_IFPU_res_adj*s_CF_pumpkin*0.001*(s_Irr!U19+s_Irr!AS19+s_Irr!BQ19),".")</f>
        <v>161.37753664539483</v>
      </c>
      <c r="AV19" s="93">
        <f>IFERROR(s_C*s_IFSN_res_adj*s_CF_snap_bean*0.001*(s_Irr!V19+s_Irr!AT19+s_Irr!BR19),".")</f>
        <v>161.56878609282953</v>
      </c>
      <c r="AW19" s="93">
        <f>IFERROR(s_C*s_IFST_res_adj*s_CF_strawberry*0.001*(s_Irr!W19+s_Irr!AU19+s_Irr!BS19),".")</f>
        <v>161.37753664539483</v>
      </c>
      <c r="AX19" s="93">
        <f>IFERROR(s_C*s_IFTO_res_adj*s_CF_tomato*0.001*(s_Irr!X19+s_Irr!AV19+s_Irr!BT19),".")</f>
        <v>161.37753664539483</v>
      </c>
      <c r="AY19" s="93">
        <f>IFERROR(s_C*s_IFRI_res_adj*s_CF_rice*0.001*(s_Irr!Y19+s_Irr!AW19+s_Irr!BU19),".")</f>
        <v>196.34886417630852</v>
      </c>
      <c r="AZ19" s="93">
        <f>IFERROR(s_C*s_IFCG_res_adj*s_CF_cereal*0.001*(s_Irr!Z19+s_Irr!AX19+s_Irr!BV19),".")</f>
        <v>161.48682204392892</v>
      </c>
      <c r="BA19" s="76" t="str">
        <f t="shared" si="20"/>
        <v>.</v>
      </c>
      <c r="BB19" s="76" t="str">
        <f>IFERROR(IF(AND(s_Irr!C19&lt;&gt;".",s_Irr!AA19&lt;&gt;".",s_Irr!AY19&lt;&gt;"."),s_dir!AC19/((1/1000)*(s_Irr!C19+s_Irr!AA19+s_Irr!AY19)),IF(AND(s_Irr!C19&lt;&gt;".",s_Irr!AA19&lt;&gt;".",s_Irr!AY19="."),s_dir!AC19/((1/1000)*(s_Irr!C19+s_Irr!AA19)),IF(AND(s_Irr!C19&lt;&gt;".",s_Irr!AA19=".",s_Irr!AY19&lt;&gt;"."),s_dir!AC19/((1/1000)*(s_Irr!C19+s_Irr!AY19)),IF(AND(s_Irr!C19=".",s_Irr!AA19&lt;&gt;".",s_Irr!AY19&lt;&gt;"."),s_dir!AC19/((1/1000)*(s_Irr!AA19+s_Irr!AY19)),IF(AND(s_Irr!C19=".",s_Irr!AA19=".",s_Irr!AY19&lt;&gt;"."),s_dir!AC19/((1/1000)*(s_Irr!AY19)),IF(AND(s_Irr!C19=".",s_Irr!AA19&lt;&gt;".",s_Irr!AY19="."),s_dir!AC19/((1/1000)*(s_Irr!AA19)),IF(AND(s_Irr!C19&lt;&gt;".",s_Irr!AA19=".",s_Irr!AY19="."),s_dir!AC19/((1/1000)*(s_Irr!C19)),IF(AND(s_Irr!C19=".",s_Irr!AA19=".",s_Irr!AY19="."),s_dir!AC19*1000)))))))),".")</f>
        <v>.</v>
      </c>
      <c r="BC19" s="76" t="str">
        <f>IFERROR(IF(AND(s_Irr!D19&lt;&gt;".",s_Irr!AB19&lt;&gt;".",s_Irr!AZ19&lt;&gt;"."),s_dir!AD19/((1/1000)*(s_Irr!D19+s_Irr!AB19+s_Irr!AZ19)),IF(AND(s_Irr!D19&lt;&gt;".",s_Irr!AB19&lt;&gt;".",s_Irr!AZ19="."),s_dir!AD19/((1/1000)*(s_Irr!D19+s_Irr!AB19)),IF(AND(s_Irr!D19&lt;&gt;".",s_Irr!AB19=".",s_Irr!AZ19&lt;&gt;"."),s_dir!AD19/((1/1000)*(s_Irr!D19+s_Irr!AZ19)),IF(AND(s_Irr!D19=".",s_Irr!AB19&lt;&gt;".",s_Irr!AZ19&lt;&gt;"."),s_dir!AD19/((1/1000)*(s_Irr!AB19+s_Irr!AZ19)),IF(AND(s_Irr!D19=".",s_Irr!AB19=".",s_Irr!AZ19&lt;&gt;"."),s_dir!AD19/((1/1000)*(s_Irr!AZ19)),IF(AND(s_Irr!D19=".",s_Irr!AB19&lt;&gt;".",s_Irr!AZ19="."),s_dir!AD19/((1/1000)*(s_Irr!AB19)),IF(AND(s_Irr!D19&lt;&gt;".",s_Irr!AB19=".",s_Irr!AZ19="."),s_dir!AD19/((1/1000)*(s_Irr!D19)),IF(AND(s_Irr!D19=".",s_Irr!AB19=".",s_Irr!AZ19="."),s_dir!AD19*1000)))))))),".")</f>
        <v>.</v>
      </c>
      <c r="BD19" s="76" t="str">
        <f>IFERROR(IF(AND(s_Irr!E19&lt;&gt;".",s_Irr!AC19&lt;&gt;".",s_Irr!BA19&lt;&gt;"."),s_dir!AE19/((1/1000)*(s_Irr!E19+s_Irr!AC19+s_Irr!BA19)),IF(AND(s_Irr!E19&lt;&gt;".",s_Irr!AC19&lt;&gt;".",s_Irr!BA19="."),s_dir!AE19/((1/1000)*(s_Irr!E19+s_Irr!AC19)),IF(AND(s_Irr!E19&lt;&gt;".",s_Irr!AC19=".",s_Irr!BA19&lt;&gt;"."),s_dir!AE19/((1/1000)*(s_Irr!E19+s_Irr!BA19)),IF(AND(s_Irr!E19=".",s_Irr!AC19&lt;&gt;".",s_Irr!BA19&lt;&gt;"."),s_dir!AE19/((1/1000)*(s_Irr!AC19+s_Irr!BA19)),IF(AND(s_Irr!E19=".",s_Irr!AC19=".",s_Irr!BA19&lt;&gt;"."),s_dir!AE19/((1/1000)*(s_Irr!BA19)),IF(AND(s_Irr!E19=".",s_Irr!AC19&lt;&gt;".",s_Irr!BA19="."),s_dir!AE19/((1/1000)*(s_Irr!AC19)),IF(AND(s_Irr!E19&lt;&gt;".",s_Irr!AC19=".",s_Irr!BA19="."),s_dir!AE19/((1/1000)*(s_Irr!E19)),IF(AND(s_Irr!E19=".",s_Irr!AC19=".",s_Irr!BA19="."),s_dir!AE19*1000)))))))),".")</f>
        <v>.</v>
      </c>
      <c r="BE19" s="76" t="str">
        <f>IFERROR(IF(AND(s_Irr!F19&lt;&gt;".",s_Irr!AD19&lt;&gt;".",s_Irr!BB19&lt;&gt;"."),s_dir!AF19/((1/1000)*(s_Irr!F19+s_Irr!AD19+s_Irr!BB19)),IF(AND(s_Irr!F19&lt;&gt;".",s_Irr!AD19&lt;&gt;".",s_Irr!BB19="."),s_dir!AF19/((1/1000)*(s_Irr!F19+s_Irr!AD19)),IF(AND(s_Irr!F19&lt;&gt;".",s_Irr!AD19=".",s_Irr!BB19&lt;&gt;"."),s_dir!AF19/((1/1000)*(s_Irr!F19+s_Irr!BB19)),IF(AND(s_Irr!F19=".",s_Irr!AD19&lt;&gt;".",s_Irr!BB19&lt;&gt;"."),s_dir!AF19/((1/1000)*(s_Irr!AD19+s_Irr!BB19)),IF(AND(s_Irr!F19=".",s_Irr!AD19=".",s_Irr!BB19&lt;&gt;"."),s_dir!AF19/((1/1000)*(s_Irr!BB19)),IF(AND(s_Irr!F19=".",s_Irr!AD19&lt;&gt;".",s_Irr!BB19="."),s_dir!AF19/((1/1000)*(s_Irr!AD19)),IF(AND(s_Irr!F19&lt;&gt;".",s_Irr!AD19=".",s_Irr!BB19="."),s_dir!AF19/((1/1000)*(s_Irr!F19)),IF(AND(s_Irr!F19=".",s_Irr!AD19=".",s_Irr!BB19="."),s_dir!AF19*1000)))))))),".")</f>
        <v>.</v>
      </c>
      <c r="BF19" s="76" t="str">
        <f>IFERROR(IF(AND(s_Irr!G19&lt;&gt;".",s_Irr!AE19&lt;&gt;".",s_Irr!BC19&lt;&gt;"."),s_dir!AG19/((1/1000)*(s_Irr!G19+s_Irr!AE19+s_Irr!BC19)),IF(AND(s_Irr!G19&lt;&gt;".",s_Irr!AE19&lt;&gt;".",s_Irr!BC19="."),s_dir!AG19/((1/1000)*(s_Irr!G19+s_Irr!AE19)),IF(AND(s_Irr!G19&lt;&gt;".",s_Irr!AE19=".",s_Irr!BC19&lt;&gt;"."),s_dir!AG19/((1/1000)*(s_Irr!G19+s_Irr!BC19)),IF(AND(s_Irr!G19=".",s_Irr!AE19&lt;&gt;".",s_Irr!BC19&lt;&gt;"."),s_dir!AG19/((1/1000)*(s_Irr!AE19+s_Irr!BC19)),IF(AND(s_Irr!G19=".",s_Irr!AE19=".",s_Irr!BC19&lt;&gt;"."),s_dir!AG19/((1/1000)*(s_Irr!BC19)),IF(AND(s_Irr!G19=".",s_Irr!AE19&lt;&gt;".",s_Irr!BC19="."),s_dir!AG19/((1/1000)*(s_Irr!AE19)),IF(AND(s_Irr!G19&lt;&gt;".",s_Irr!AE19=".",s_Irr!BC19="."),s_dir!AG19/((1/1000)*(s_Irr!G19)),IF(AND(s_Irr!G19=".",s_Irr!AE19=".",s_Irr!BC19="."),s_dir!AG19*1000)))))))),".")</f>
        <v>.</v>
      </c>
      <c r="BG19" s="76" t="str">
        <f>IFERROR(IF(AND(s_Irr!H19&lt;&gt;".",s_Irr!AF19&lt;&gt;".",s_Irr!BD19&lt;&gt;"."),s_dir!AH19/((1/1000)*(s_Irr!H19+s_Irr!AF19+s_Irr!BD19)),IF(AND(s_Irr!H19&lt;&gt;".",s_Irr!AF19&lt;&gt;".",s_Irr!BD19="."),s_dir!AH19/((1/1000)*(s_Irr!H19+s_Irr!AF19)),IF(AND(s_Irr!H19&lt;&gt;".",s_Irr!AF19=".",s_Irr!BD19&lt;&gt;"."),s_dir!AH19/((1/1000)*(s_Irr!H19+s_Irr!BD19)),IF(AND(s_Irr!H19=".",s_Irr!AF19&lt;&gt;".",s_Irr!BD19&lt;&gt;"."),s_dir!AH19/((1/1000)*(s_Irr!AF19+s_Irr!BD19)),IF(AND(s_Irr!H19=".",s_Irr!AF19=".",s_Irr!BD19&lt;&gt;"."),s_dir!AH19/((1/1000)*(s_Irr!BD19)),IF(AND(s_Irr!H19=".",s_Irr!AF19&lt;&gt;".",s_Irr!BD19="."),s_dir!AH19/((1/1000)*(s_Irr!AF19)),IF(AND(s_Irr!H19&lt;&gt;".",s_Irr!AF19=".",s_Irr!BD19="."),s_dir!AH19/((1/1000)*(s_Irr!H19)),IF(AND(s_Irr!H19=".",s_Irr!AF19=".",s_Irr!BD19="."),s_dir!AH19*1000)))))))),".")</f>
        <v>.</v>
      </c>
      <c r="BH19" s="76" t="str">
        <f>IFERROR(IF(AND(s_Irr!I19&lt;&gt;".",s_Irr!AG19&lt;&gt;".",s_Irr!BE19&lt;&gt;"."),s_dir!AI19/((1/1000)*(s_Irr!I19+s_Irr!AG19+s_Irr!BE19)),IF(AND(s_Irr!I19&lt;&gt;".",s_Irr!AG19&lt;&gt;".",s_Irr!BE19="."),s_dir!AI19/((1/1000)*(s_Irr!I19+s_Irr!AG19)),IF(AND(s_Irr!I19&lt;&gt;".",s_Irr!AG19=".",s_Irr!BE19&lt;&gt;"."),s_dir!AI19/((1/1000)*(s_Irr!I19+s_Irr!BE19)),IF(AND(s_Irr!I19=".",s_Irr!AG19&lt;&gt;".",s_Irr!BE19&lt;&gt;"."),s_dir!AI19/((1/1000)*(s_Irr!AG19+s_Irr!BE19)),IF(AND(s_Irr!I19=".",s_Irr!AG19=".",s_Irr!BE19&lt;&gt;"."),s_dir!AI19/((1/1000)*(s_Irr!BE19)),IF(AND(s_Irr!I19=".",s_Irr!AG19&lt;&gt;".",s_Irr!BE19="."),s_dir!AI19/((1/1000)*(s_Irr!AG19)),IF(AND(s_Irr!I19&lt;&gt;".",s_Irr!AG19=".",s_Irr!BE19="."),s_dir!AI19/((1/1000)*(s_Irr!I19)),IF(AND(s_Irr!I19=".",s_Irr!AG19=".",s_Irr!BE19="."),s_dir!AI19*1000)))))))),".")</f>
        <v>.</v>
      </c>
      <c r="BI19" s="76" t="str">
        <f>IFERROR(IF(AND(s_Irr!J19&lt;&gt;".",s_Irr!AH19&lt;&gt;".",s_Irr!BF19&lt;&gt;"."),s_dir!AJ19/((1/1000)*(s_Irr!J19+s_Irr!AH19+s_Irr!BF19)),IF(AND(s_Irr!J19&lt;&gt;".",s_Irr!AH19&lt;&gt;".",s_Irr!BF19="."),s_dir!AJ19/((1/1000)*(s_Irr!J19+s_Irr!AH19)),IF(AND(s_Irr!J19&lt;&gt;".",s_Irr!AH19=".",s_Irr!BF19&lt;&gt;"."),s_dir!AJ19/((1/1000)*(s_Irr!J19+s_Irr!BF19)),IF(AND(s_Irr!J19=".",s_Irr!AH19&lt;&gt;".",s_Irr!BF19&lt;&gt;"."),s_dir!AJ19/((1/1000)*(s_Irr!AH19+s_Irr!BF19)),IF(AND(s_Irr!J19=".",s_Irr!AH19=".",s_Irr!BF19&lt;&gt;"."),s_dir!AJ19/((1/1000)*(s_Irr!BF19)),IF(AND(s_Irr!J19=".",s_Irr!AH19&lt;&gt;".",s_Irr!BF19="."),s_dir!AJ19/((1/1000)*(s_Irr!AH19)),IF(AND(s_Irr!J19&lt;&gt;".",s_Irr!AH19=".",s_Irr!BF19="."),s_dir!AJ19/((1/1000)*(s_Irr!J19)),IF(AND(s_Irr!J19=".",s_Irr!AH19=".",s_Irr!BF19="."),s_dir!AJ19*1000)))))))),".")</f>
        <v>.</v>
      </c>
      <c r="BJ19" s="76" t="str">
        <f>IFERROR(IF(AND(s_Irr!K19&lt;&gt;".",s_Irr!AI19&lt;&gt;".",s_Irr!BG19&lt;&gt;"."),s_dir!AK19/((1/1000)*(s_Irr!K19+s_Irr!AI19+s_Irr!BG19)),IF(AND(s_Irr!K19&lt;&gt;".",s_Irr!AI19&lt;&gt;".",s_Irr!BG19="."),s_dir!AK19/((1/1000)*(s_Irr!K19+s_Irr!AI19)),IF(AND(s_Irr!K19&lt;&gt;".",s_Irr!AI19=".",s_Irr!BG19&lt;&gt;"."),s_dir!AK19/((1/1000)*(s_Irr!K19+s_Irr!BG19)),IF(AND(s_Irr!K19=".",s_Irr!AI19&lt;&gt;".",s_Irr!BG19&lt;&gt;"."),s_dir!AK19/((1/1000)*(s_Irr!AI19+s_Irr!BG19)),IF(AND(s_Irr!K19=".",s_Irr!AI19=".",s_Irr!BG19&lt;&gt;"."),s_dir!AK19/((1/1000)*(s_Irr!BG19)),IF(AND(s_Irr!K19=".",s_Irr!AI19&lt;&gt;".",s_Irr!BG19="."),s_dir!AK19/((1/1000)*(s_Irr!AI19)),IF(AND(s_Irr!K19&lt;&gt;".",s_Irr!AI19=".",s_Irr!BG19="."),s_dir!AK19/((1/1000)*(s_Irr!K19)),IF(AND(s_Irr!K19=".",s_Irr!AI19=".",s_Irr!BG19="."),s_dir!AK19*1000)))))))),".")</f>
        <v>.</v>
      </c>
      <c r="BK19" s="76" t="str">
        <f>IFERROR(IF(AND(s_Irr!L19&lt;&gt;".",s_Irr!AJ19&lt;&gt;".",s_Irr!BH19&lt;&gt;"."),s_dir!AL19/((1/1000)*(s_Irr!L19+s_Irr!AJ19+s_Irr!BH19)),IF(AND(s_Irr!L19&lt;&gt;".",s_Irr!AJ19&lt;&gt;".",s_Irr!BH19="."),s_dir!AL19/((1/1000)*(s_Irr!L19+s_Irr!AJ19)),IF(AND(s_Irr!L19&lt;&gt;".",s_Irr!AJ19=".",s_Irr!BH19&lt;&gt;"."),s_dir!AL19/((1/1000)*(s_Irr!L19+s_Irr!BH19)),IF(AND(s_Irr!L19=".",s_Irr!AJ19&lt;&gt;".",s_Irr!BH19&lt;&gt;"."),s_dir!AL19/((1/1000)*(s_Irr!AJ19+s_Irr!BH19)),IF(AND(s_Irr!L19=".",s_Irr!AJ19=".",s_Irr!BH19&lt;&gt;"."),s_dir!AL19/((1/1000)*(s_Irr!BH19)),IF(AND(s_Irr!L19=".",s_Irr!AJ19&lt;&gt;".",s_Irr!BH19="."),s_dir!AL19/((1/1000)*(s_Irr!AJ19)),IF(AND(s_Irr!L19&lt;&gt;".",s_Irr!AJ19=".",s_Irr!BH19="."),s_dir!AL19/((1/1000)*(s_Irr!L19)),IF(AND(s_Irr!L19=".",s_Irr!AJ19=".",s_Irr!BH19="."),s_dir!AL19*1000)))))))),".")</f>
        <v>.</v>
      </c>
      <c r="BL19" s="76" t="str">
        <f>IFERROR(IF(AND(s_Irr!M19&lt;&gt;".",s_Irr!AK19&lt;&gt;".",s_Irr!BI19&lt;&gt;"."),s_dir!AM19/((1/1000)*(s_Irr!M19+s_Irr!AK19+s_Irr!BI19)),IF(AND(s_Irr!M19&lt;&gt;".",s_Irr!AK19&lt;&gt;".",s_Irr!BI19="."),s_dir!AM19/((1/1000)*(s_Irr!M19+s_Irr!AK19)),IF(AND(s_Irr!M19&lt;&gt;".",s_Irr!AK19=".",s_Irr!BI19&lt;&gt;"."),s_dir!AM19/((1/1000)*(s_Irr!M19+s_Irr!BI19)),IF(AND(s_Irr!M19=".",s_Irr!AK19&lt;&gt;".",s_Irr!BI19&lt;&gt;"."),s_dir!AM19/((1/1000)*(s_Irr!AK19+s_Irr!BI19)),IF(AND(s_Irr!M19=".",s_Irr!AK19=".",s_Irr!BI19&lt;&gt;"."),s_dir!AM19/((1/1000)*(s_Irr!BI19)),IF(AND(s_Irr!M19=".",s_Irr!AK19&lt;&gt;".",s_Irr!BI19="."),s_dir!AM19/((1/1000)*(s_Irr!AK19)),IF(AND(s_Irr!M19&lt;&gt;".",s_Irr!AK19=".",s_Irr!BI19="."),s_dir!AM19/((1/1000)*(s_Irr!M19)),IF(AND(s_Irr!M19=".",s_Irr!AK19=".",s_Irr!BI19="."),s_dir!AM19*1000)))))))),".")</f>
        <v>.</v>
      </c>
      <c r="BM19" s="76" t="str">
        <f>IFERROR(IF(AND(s_Irr!N19&lt;&gt;".",s_Irr!AL19&lt;&gt;".",s_Irr!BJ19&lt;&gt;"."),s_dir!AN19/((1/1000)*(s_Irr!N19+s_Irr!AL19+s_Irr!BJ19)),IF(AND(s_Irr!N19&lt;&gt;".",s_Irr!AL19&lt;&gt;".",s_Irr!BJ19="."),s_dir!AN19/((1/1000)*(s_Irr!N19+s_Irr!AL19)),IF(AND(s_Irr!N19&lt;&gt;".",s_Irr!AL19=".",s_Irr!BJ19&lt;&gt;"."),s_dir!AN19/((1/1000)*(s_Irr!N19+s_Irr!BJ19)),IF(AND(s_Irr!N19=".",s_Irr!AL19&lt;&gt;".",s_Irr!BJ19&lt;&gt;"."),s_dir!AN19/((1/1000)*(s_Irr!AL19+s_Irr!BJ19)),IF(AND(s_Irr!N19=".",s_Irr!AL19=".",s_Irr!BJ19&lt;&gt;"."),s_dir!AN19/((1/1000)*(s_Irr!BJ19)),IF(AND(s_Irr!N19=".",s_Irr!AL19&lt;&gt;".",s_Irr!BJ19="."),s_dir!AN19/((1/1000)*(s_Irr!AL19)),IF(AND(s_Irr!N19&lt;&gt;".",s_Irr!AL19=".",s_Irr!BJ19="."),s_dir!AN19/((1/1000)*(s_Irr!N19)),IF(AND(s_Irr!N19=".",s_Irr!AL19=".",s_Irr!BJ19="."),s_dir!AN19*1000)))))))),".")</f>
        <v>.</v>
      </c>
      <c r="BN19" s="76" t="str">
        <f>IFERROR(IF(AND(s_Irr!O19&lt;&gt;".",s_Irr!AM19&lt;&gt;".",s_Irr!BK19&lt;&gt;"."),s_dir!AO19/((1/1000)*(s_Irr!O19+s_Irr!AM19+s_Irr!BK19)),IF(AND(s_Irr!O19&lt;&gt;".",s_Irr!AM19&lt;&gt;".",s_Irr!BK19="."),s_dir!AO19/((1/1000)*(s_Irr!O19+s_Irr!AM19)),IF(AND(s_Irr!O19&lt;&gt;".",s_Irr!AM19=".",s_Irr!BK19&lt;&gt;"."),s_dir!AO19/((1/1000)*(s_Irr!O19+s_Irr!BK19)),IF(AND(s_Irr!O19=".",s_Irr!AM19&lt;&gt;".",s_Irr!BK19&lt;&gt;"."),s_dir!AO19/((1/1000)*(s_Irr!AM19+s_Irr!BK19)),IF(AND(s_Irr!O19=".",s_Irr!AM19=".",s_Irr!BK19&lt;&gt;"."),s_dir!AO19/((1/1000)*(s_Irr!BK19)),IF(AND(s_Irr!O19=".",s_Irr!AM19&lt;&gt;".",s_Irr!BK19="."),s_dir!AO19/((1/1000)*(s_Irr!AM19)),IF(AND(s_Irr!O19&lt;&gt;".",s_Irr!AM19=".",s_Irr!BK19="."),s_dir!AO19/((1/1000)*(s_Irr!O19)),IF(AND(s_Irr!O19=".",s_Irr!AM19=".",s_Irr!BK19="."),s_dir!AO19*1000)))))))),".")</f>
        <v>.</v>
      </c>
      <c r="BO19" s="76" t="str">
        <f>IFERROR(IF(AND(s_Irr!P19&lt;&gt;".",s_Irr!AN19&lt;&gt;".",s_Irr!BL19&lt;&gt;"."),s_dir!AP19/((1/1000)*(s_Irr!P19+s_Irr!AN19+s_Irr!BL19)),IF(AND(s_Irr!P19&lt;&gt;".",s_Irr!AN19&lt;&gt;".",s_Irr!BL19="."),s_dir!AP19/((1/1000)*(s_Irr!P19+s_Irr!AN19)),IF(AND(s_Irr!P19&lt;&gt;".",s_Irr!AN19=".",s_Irr!BL19&lt;&gt;"."),s_dir!AP19/((1/1000)*(s_Irr!P19+s_Irr!BL19)),IF(AND(s_Irr!P19=".",s_Irr!AN19&lt;&gt;".",s_Irr!BL19&lt;&gt;"."),s_dir!AP19/((1/1000)*(s_Irr!AN19+s_Irr!BL19)),IF(AND(s_Irr!P19=".",s_Irr!AN19=".",s_Irr!BL19&lt;&gt;"."),s_dir!AP19/((1/1000)*(s_Irr!BL19)),IF(AND(s_Irr!P19=".",s_Irr!AN19&lt;&gt;".",s_Irr!BL19="."),s_dir!AP19/((1/1000)*(s_Irr!AN19)),IF(AND(s_Irr!P19&lt;&gt;".",s_Irr!AN19=".",s_Irr!BL19="."),s_dir!AP19/((1/1000)*(s_Irr!P19)),IF(AND(s_Irr!P19=".",s_Irr!AN19=".",s_Irr!BL19="."),s_dir!AP19*1000)))))))),".")</f>
        <v>.</v>
      </c>
      <c r="BP19" s="76" t="str">
        <f>IFERROR(IF(AND(s_Irr!Q19&lt;&gt;".",s_Irr!AO19&lt;&gt;".",s_Irr!BM19&lt;&gt;"."),s_dir!AQ19/((1/1000)*(s_Irr!Q19+s_Irr!AO19+s_Irr!BM19)),IF(AND(s_Irr!Q19&lt;&gt;".",s_Irr!AO19&lt;&gt;".",s_Irr!BM19="."),s_dir!AQ19/((1/1000)*(s_Irr!Q19+s_Irr!AO19)),IF(AND(s_Irr!Q19&lt;&gt;".",s_Irr!AO19=".",s_Irr!BM19&lt;&gt;"."),s_dir!AQ19/((1/1000)*(s_Irr!Q19+s_Irr!BM19)),IF(AND(s_Irr!Q19=".",s_Irr!AO19&lt;&gt;".",s_Irr!BM19&lt;&gt;"."),s_dir!AQ19/((1/1000)*(s_Irr!AO19+s_Irr!BM19)),IF(AND(s_Irr!Q19=".",s_Irr!AO19=".",s_Irr!BM19&lt;&gt;"."),s_dir!AQ19/((1/1000)*(s_Irr!BM19)),IF(AND(s_Irr!Q19=".",s_Irr!AO19&lt;&gt;".",s_Irr!BM19="."),s_dir!AQ19/((1/1000)*(s_Irr!AO19)),IF(AND(s_Irr!Q19&lt;&gt;".",s_Irr!AO19=".",s_Irr!BM19="."),s_dir!AQ19/((1/1000)*(s_Irr!Q19)),IF(AND(s_Irr!Q19=".",s_Irr!AO19=".",s_Irr!BM19="."),s_dir!AQ19*1000)))))))),".")</f>
        <v>.</v>
      </c>
      <c r="BQ19" s="76" t="str">
        <f>IFERROR(IF(AND(s_Irr!R19&lt;&gt;".",s_Irr!AP19&lt;&gt;".",s_Irr!BN19&lt;&gt;"."),s_dir!AR19/((1/1000)*(s_Irr!R19+s_Irr!AP19+s_Irr!BN19)),IF(AND(s_Irr!R19&lt;&gt;".",s_Irr!AP19&lt;&gt;".",s_Irr!BN19="."),s_dir!AR19/((1/1000)*(s_Irr!R19+s_Irr!AP19)),IF(AND(s_Irr!R19&lt;&gt;".",s_Irr!AP19=".",s_Irr!BN19&lt;&gt;"."),s_dir!AR19/((1/1000)*(s_Irr!R19+s_Irr!BN19)),IF(AND(s_Irr!R19=".",s_Irr!AP19&lt;&gt;".",s_Irr!BN19&lt;&gt;"."),s_dir!AR19/((1/1000)*(s_Irr!AP19+s_Irr!BN19)),IF(AND(s_Irr!R19=".",s_Irr!AP19=".",s_Irr!BN19&lt;&gt;"."),s_dir!AR19/((1/1000)*(s_Irr!BN19)),IF(AND(s_Irr!R19=".",s_Irr!AP19&lt;&gt;".",s_Irr!BN19="."),s_dir!AR19/((1/1000)*(s_Irr!AP19)),IF(AND(s_Irr!R19&lt;&gt;".",s_Irr!AP19=".",s_Irr!BN19="."),s_dir!AR19/((1/1000)*(s_Irr!R19)),IF(AND(s_Irr!R19=".",s_Irr!AP19=".",s_Irr!BN19="."),s_dir!AR19*1000)))))))),".")</f>
        <v>.</v>
      </c>
      <c r="BR19" s="76" t="str">
        <f>IFERROR(IF(AND(s_Irr!S19&lt;&gt;".",s_Irr!AQ19&lt;&gt;".",s_Irr!BO19&lt;&gt;"."),s_dir!AS19/((1/1000)*(s_Irr!S19+s_Irr!AQ19+s_Irr!BO19)),IF(AND(s_Irr!S19&lt;&gt;".",s_Irr!AQ19&lt;&gt;".",s_Irr!BO19="."),s_dir!AS19/((1/1000)*(s_Irr!S19+s_Irr!AQ19)),IF(AND(s_Irr!S19&lt;&gt;".",s_Irr!AQ19=".",s_Irr!BO19&lt;&gt;"."),s_dir!AS19/((1/1000)*(s_Irr!S19+s_Irr!BO19)),IF(AND(s_Irr!S19=".",s_Irr!AQ19&lt;&gt;".",s_Irr!BO19&lt;&gt;"."),s_dir!AS19/((1/1000)*(s_Irr!AQ19+s_Irr!BO19)),IF(AND(s_Irr!S19=".",s_Irr!AQ19=".",s_Irr!BO19&lt;&gt;"."),s_dir!AS19/((1/1000)*(s_Irr!BO19)),IF(AND(s_Irr!S19=".",s_Irr!AQ19&lt;&gt;".",s_Irr!BO19="."),s_dir!AS19/((1/1000)*(s_Irr!AQ19)),IF(AND(s_Irr!S19&lt;&gt;".",s_Irr!AQ19=".",s_Irr!BO19="."),s_dir!AS19/((1/1000)*(s_Irr!S19)),IF(AND(s_Irr!S19=".",s_Irr!AQ19=".",s_Irr!BO19="."),s_dir!AS19*1000)))))))),".")</f>
        <v>.</v>
      </c>
      <c r="BS19" s="76" t="str">
        <f>IFERROR(IF(AND(s_Irr!T19&lt;&gt;".",s_Irr!AR19&lt;&gt;".",s_Irr!BP19&lt;&gt;"."),s_dir!AT19/((1/1000)*(s_Irr!T19+s_Irr!AR19+s_Irr!BP19)),IF(AND(s_Irr!T19&lt;&gt;".",s_Irr!AR19&lt;&gt;".",s_Irr!BP19="."),s_dir!AT19/((1/1000)*(s_Irr!T19+s_Irr!AR19)),IF(AND(s_Irr!T19&lt;&gt;".",s_Irr!AR19=".",s_Irr!BP19&lt;&gt;"."),s_dir!AT19/((1/1000)*(s_Irr!T19+s_Irr!BP19)),IF(AND(s_Irr!T19=".",s_Irr!AR19&lt;&gt;".",s_Irr!BP19&lt;&gt;"."),s_dir!AT19/((1/1000)*(s_Irr!AR19+s_Irr!BP19)),IF(AND(s_Irr!T19=".",s_Irr!AR19=".",s_Irr!BP19&lt;&gt;"."),s_dir!AT19/((1/1000)*(s_Irr!BP19)),IF(AND(s_Irr!T19=".",s_Irr!AR19&lt;&gt;".",s_Irr!BP19="."),s_dir!AT19/((1/1000)*(s_Irr!AR19)),IF(AND(s_Irr!T19&lt;&gt;".",s_Irr!AR19=".",s_Irr!BP19="."),s_dir!AT19/((1/1000)*(s_Irr!T19)),IF(AND(s_Irr!T19=".",s_Irr!AR19=".",s_Irr!BP19="."),s_dir!AT19*1000)))))))),".")</f>
        <v>.</v>
      </c>
      <c r="BT19" s="76" t="str">
        <f>IFERROR(IF(AND(s_Irr!U19&lt;&gt;".",s_Irr!AS19&lt;&gt;".",s_Irr!BQ19&lt;&gt;"."),s_dir!AU19/((1/1000)*(s_Irr!U19+s_Irr!AS19+s_Irr!BQ19)),IF(AND(s_Irr!U19&lt;&gt;".",s_Irr!AS19&lt;&gt;".",s_Irr!BQ19="."),s_dir!AU19/((1/1000)*(s_Irr!U19+s_Irr!AS19)),IF(AND(s_Irr!U19&lt;&gt;".",s_Irr!AS19=".",s_Irr!BQ19&lt;&gt;"."),s_dir!AU19/((1/1000)*(s_Irr!U19+s_Irr!BQ19)),IF(AND(s_Irr!U19=".",s_Irr!AS19&lt;&gt;".",s_Irr!BQ19&lt;&gt;"."),s_dir!AU19/((1/1000)*(s_Irr!AS19+s_Irr!BQ19)),IF(AND(s_Irr!U19=".",s_Irr!AS19=".",s_Irr!BQ19&lt;&gt;"."),s_dir!AU19/((1/1000)*(s_Irr!BQ19)),IF(AND(s_Irr!U19=".",s_Irr!AS19&lt;&gt;".",s_Irr!BQ19="."),s_dir!AU19/((1/1000)*(s_Irr!AS19)),IF(AND(s_Irr!U19&lt;&gt;".",s_Irr!AS19=".",s_Irr!BQ19="."),s_dir!AU19/((1/1000)*(s_Irr!U19)),IF(AND(s_Irr!U19=".",s_Irr!AS19=".",s_Irr!BQ19="."),s_dir!AU19*1000)))))))),".")</f>
        <v>.</v>
      </c>
      <c r="BU19" s="76" t="str">
        <f>IFERROR(IF(AND(s_Irr!V19&lt;&gt;".",s_Irr!AT19&lt;&gt;".",s_Irr!BR19&lt;&gt;"."),s_dir!AV19/((1/1000)*(s_Irr!V19+s_Irr!AT19+s_Irr!BR19)),IF(AND(s_Irr!V19&lt;&gt;".",s_Irr!AT19&lt;&gt;".",s_Irr!BR19="."),s_dir!AV19/((1/1000)*(s_Irr!V19+s_Irr!AT19)),IF(AND(s_Irr!V19&lt;&gt;".",s_Irr!AT19=".",s_Irr!BR19&lt;&gt;"."),s_dir!AV19/((1/1000)*(s_Irr!V19+s_Irr!BR19)),IF(AND(s_Irr!V19=".",s_Irr!AT19&lt;&gt;".",s_Irr!BR19&lt;&gt;"."),s_dir!AV19/((1/1000)*(s_Irr!AT19+s_Irr!BR19)),IF(AND(s_Irr!V19=".",s_Irr!AT19=".",s_Irr!BR19&lt;&gt;"."),s_dir!AV19/((1/1000)*(s_Irr!BR19)),IF(AND(s_Irr!V19=".",s_Irr!AT19&lt;&gt;".",s_Irr!BR19="."),s_dir!AV19/((1/1000)*(s_Irr!AT19)),IF(AND(s_Irr!V19&lt;&gt;".",s_Irr!AT19=".",s_Irr!BR19="."),s_dir!AV19/((1/1000)*(s_Irr!V19)),IF(AND(s_Irr!V19=".",s_Irr!AT19=".",s_Irr!BR19="."),s_dir!AV19*1000)))))))),".")</f>
        <v>.</v>
      </c>
      <c r="BV19" s="76" t="str">
        <f>IFERROR(IF(AND(s_Irr!W19&lt;&gt;".",s_Irr!AU19&lt;&gt;".",s_Irr!BS19&lt;&gt;"."),s_dir!AW19/((1/1000)*(s_Irr!W19+s_Irr!AU19+s_Irr!BS19)),IF(AND(s_Irr!W19&lt;&gt;".",s_Irr!AU19&lt;&gt;".",s_Irr!BS19="."),s_dir!AW19/((1/1000)*(s_Irr!W19+s_Irr!AU19)),IF(AND(s_Irr!W19&lt;&gt;".",s_Irr!AU19=".",s_Irr!BS19&lt;&gt;"."),s_dir!AW19/((1/1000)*(s_Irr!W19+s_Irr!BS19)),IF(AND(s_Irr!W19=".",s_Irr!AU19&lt;&gt;".",s_Irr!BS19&lt;&gt;"."),s_dir!AW19/((1/1000)*(s_Irr!AU19+s_Irr!BS19)),IF(AND(s_Irr!W19=".",s_Irr!AU19=".",s_Irr!BS19&lt;&gt;"."),s_dir!AW19/((1/1000)*(s_Irr!BS19)),IF(AND(s_Irr!W19=".",s_Irr!AU19&lt;&gt;".",s_Irr!BS19="."),s_dir!AW19/((1/1000)*(s_Irr!AU19)),IF(AND(s_Irr!W19&lt;&gt;".",s_Irr!AU19=".",s_Irr!BS19="."),s_dir!AW19/((1/1000)*(s_Irr!W19)),IF(AND(s_Irr!W19=".",s_Irr!AU19=".",s_Irr!BS19="."),s_dir!AW19*1000)))))))),".")</f>
        <v>.</v>
      </c>
      <c r="BW19" s="76" t="str">
        <f>IFERROR(IF(AND(s_Irr!X19&lt;&gt;".",s_Irr!AV19&lt;&gt;".",s_Irr!BT19&lt;&gt;"."),s_dir!AX19/((1/1000)*(s_Irr!X19+s_Irr!AV19+s_Irr!BT19)),IF(AND(s_Irr!X19&lt;&gt;".",s_Irr!AV19&lt;&gt;".",s_Irr!BT19="."),s_dir!AX19/((1/1000)*(s_Irr!X19+s_Irr!AV19)),IF(AND(s_Irr!X19&lt;&gt;".",s_Irr!AV19=".",s_Irr!BT19&lt;&gt;"."),s_dir!AX19/((1/1000)*(s_Irr!X19+s_Irr!BT19)),IF(AND(s_Irr!X19=".",s_Irr!AV19&lt;&gt;".",s_Irr!BT19&lt;&gt;"."),s_dir!AX19/((1/1000)*(s_Irr!AV19+s_Irr!BT19)),IF(AND(s_Irr!X19=".",s_Irr!AV19=".",s_Irr!BT19&lt;&gt;"."),s_dir!AX19/((1/1000)*(s_Irr!BT19)),IF(AND(s_Irr!X19=".",s_Irr!AV19&lt;&gt;".",s_Irr!BT19="."),s_dir!AX19/((1/1000)*(s_Irr!AV19)),IF(AND(s_Irr!X19&lt;&gt;".",s_Irr!AV19=".",s_Irr!BT19="."),s_dir!AX19/((1/1000)*(s_Irr!X19)),IF(AND(s_Irr!X19=".",s_Irr!AV19=".",s_Irr!BT19="."),s_dir!AX19*1000)))))))),".")</f>
        <v>.</v>
      </c>
      <c r="BX19" s="76" t="str">
        <f>IFERROR(IF(AND(s_Irr!Y19&lt;&gt;".",s_Irr!AW19&lt;&gt;".",s_Irr!BU19&lt;&gt;"."),s_dir!AY19/((1/1000)*(s_Irr!Y19+s_Irr!AW19+s_Irr!BU19)),IF(AND(s_Irr!Y19&lt;&gt;".",s_Irr!AW19&lt;&gt;".",s_Irr!BU19="."),s_dir!AY19/((1/1000)*(s_Irr!Y19+s_Irr!AW19)),IF(AND(s_Irr!Y19&lt;&gt;".",s_Irr!AW19=".",s_Irr!BU19&lt;&gt;"."),s_dir!AY19/((1/1000)*(s_Irr!Y19+s_Irr!BU19)),IF(AND(s_Irr!Y19=".",s_Irr!AW19&lt;&gt;".",s_Irr!BU19&lt;&gt;"."),s_dir!AY19/((1/1000)*(s_Irr!AW19+s_Irr!BU19)),IF(AND(s_Irr!Y19=".",s_Irr!AW19=".",s_Irr!BU19&lt;&gt;"."),s_dir!AY19/((1/1000)*(s_Irr!BU19)),IF(AND(s_Irr!Y19=".",s_Irr!AW19&lt;&gt;".",s_Irr!BU19="."),s_dir!AY19/((1/1000)*(s_Irr!AW19)),IF(AND(s_Irr!Y19&lt;&gt;".",s_Irr!AW19=".",s_Irr!BU19="."),s_dir!AY19/((1/1000)*(s_Irr!Y19)),IF(AND(s_Irr!Y19=".",s_Irr!AW19=".",s_Irr!BU19="."),s_dir!AY19*1000)))))))),".")</f>
        <v>.</v>
      </c>
      <c r="BY19" s="76" t="str">
        <f>IFERROR(IF(AND(s_Irr!Z19&lt;&gt;".",s_Irr!AX19&lt;&gt;".",s_Irr!BV19&lt;&gt;"."),s_dir!AZ19/((1/1000)*(s_Irr!Z19+s_Irr!AX19+s_Irr!BV19)),IF(AND(s_Irr!Z19&lt;&gt;".",s_Irr!AX19&lt;&gt;".",s_Irr!BV19="."),s_dir!AZ19/((1/1000)*(s_Irr!Z19+s_Irr!AX19)),IF(AND(s_Irr!Z19&lt;&gt;".",s_Irr!AX19=".",s_Irr!BV19&lt;&gt;"."),s_dir!AZ19/((1/1000)*(s_Irr!Z19+s_Irr!BV19)),IF(AND(s_Irr!Z19=".",s_Irr!AX19&lt;&gt;".",s_Irr!BV19&lt;&gt;"."),s_dir!AZ19/((1/1000)*(s_Irr!AX19+s_Irr!BV19)),IF(AND(s_Irr!Z19=".",s_Irr!AX19=".",s_Irr!BV19&lt;&gt;"."),s_dir!AZ19/((1/1000)*(s_Irr!BV19)),IF(AND(s_Irr!Z19=".",s_Irr!AX19&lt;&gt;".",s_Irr!BV19="."),s_dir!AZ19/((1/1000)*(s_Irr!AX19)),IF(AND(s_Irr!Z19&lt;&gt;".",s_Irr!AX19=".",s_Irr!BV19="."),s_dir!AZ19/((1/1000)*(s_Irr!Z19)),IF(AND(s_Irr!Z19=".",s_Irr!AX19=".",s_Irr!BV19="."),s_dir!AZ19*1000)))))))),".")</f>
        <v>.</v>
      </c>
      <c r="BZ19" s="93">
        <f t="shared" ref="BZ19:BZ20" si="23">SUM(CA19:CB19,CW19:CX19)</f>
        <v>700.26213124716605</v>
      </c>
      <c r="CA19" s="93">
        <f>IFERROR(s_C*s_IFAP_far_adj*s_CF_apple*(1/1000)*(s_Irr!C19+s_Irr!AA19+s_Irr!AY19),".")</f>
        <v>161.37753664539483</v>
      </c>
      <c r="CB19" s="93">
        <f>IFERROR(s_C*s_IFAS_far_adj*s_CF_asparagus*(1/1000)*(s_Irr!D19+s_Irr!AB19+s_Irr!AZ19),".")</f>
        <v>181.04890838153378</v>
      </c>
      <c r="CC19" s="93">
        <f>IFERROR(s_C*s_IFBT_far_adj*s_CF_beet*(1/1000)*(s_Irr!E19+s_Irr!AC19+s_Irr!BA19),".")</f>
        <v>176.67749244016957</v>
      </c>
      <c r="CD19" s="93">
        <f>IFERROR(s_C*s_IFBE_far_adj*s_CF_berries*(1/1000)*(s_Irr!F19+s_Irr!AD19+s_Irr!BB19),".")</f>
        <v>161.37753664539483</v>
      </c>
      <c r="CE19" s="93">
        <f>IFERROR(s_C*s_IFBR_far_adj*s_CF_broccoli*(1/1000)*(s_Irr!G19+s_Irr!AE19+s_Irr!BC19),".")</f>
        <v>161.37753664539483</v>
      </c>
      <c r="CF19" s="93">
        <f>IFERROR(s_C*s_IFCB_far_adj*s_CF_cabbage*(1/1000)*(s_Irr!H19+s_Irr!AF19+s_Irr!BD19),".")</f>
        <v>181.04890838153378</v>
      </c>
      <c r="CG19" s="93">
        <f>IFERROR(s_C*s_IFCR_far_adj*s_CF_carrot*(1/1000)*(s_Irr!I19+s_Irr!AG19+s_Irr!BE19),".")</f>
        <v>176.67749244016957</v>
      </c>
      <c r="CH19" s="93">
        <f>IFERROR(s_C*s_IFCI_far_adj*s_CF_citrus*(1/1000)*(s_Irr!J19+s_Irr!AH19+s_Irr!BF19),".")</f>
        <v>161.37753664539483</v>
      </c>
      <c r="CI19" s="93">
        <f>IFERROR(s_C*s_IFCO_far_adj*s_CF_corn*(1/1000)*(s_Irr!K19+s_Irr!AI19+s_Irr!BG19),".")</f>
        <v>161.48682204392892</v>
      </c>
      <c r="CJ19" s="93">
        <f>IFERROR(s_C*s_IFCU_far_adj*s_CF_cucumber*(1/1000)*(s_Irr!L19+s_Irr!AJ19+s_Irr!BH19),".")</f>
        <v>161.37753664539483</v>
      </c>
      <c r="CK19" s="93">
        <f>IFERROR(s_C*s_IFLE_far_adj*s_CF_lettuce*(1/1000)*(s_Irr!M19+s_Irr!AK19+s_Irr!BI19),".")</f>
        <v>181.04890838153378</v>
      </c>
      <c r="CL19" s="93">
        <f>IFERROR(s_C*s_IFLI_far_adj*s_CF_lima_bean*(1/1000)*(s_Irr!N19+s_Irr!AL19+s_Irr!BJ19),".")</f>
        <v>161.56878609282953</v>
      </c>
      <c r="CM19" s="93">
        <f>IFERROR(s_C*s_IFOK_far_adj*s_CF_okra*(1/1000)*(s_Irr!O19+s_Irr!AM19+s_Irr!BK19),".")</f>
        <v>161.37753664539483</v>
      </c>
      <c r="CN19" s="93">
        <f>IFERROR(s_C*s_IFON_far_adj*s_CF_onion*(1/1000)*(s_Irr!P19+s_Irr!AN19+s_Irr!BL19),".")</f>
        <v>161.37753664539483</v>
      </c>
      <c r="CO19" s="93">
        <f>IFERROR(s_C*s_IFPC_far_adj*s_CF_peach*(1/1000)*(s_Irr!Q19+s_Irr!AO19+s_Irr!BM19),".")</f>
        <v>161.37753664539483</v>
      </c>
      <c r="CP19" s="93">
        <f>IFERROR(s_C*s_IFPR_far_adj*s_CF_pear*(1/1000)*(s_Irr!R19+s_Irr!AP19+s_Irr!BN19),".")</f>
        <v>161.37753664539483</v>
      </c>
      <c r="CQ19" s="93">
        <f>IFERROR(s_C*s_IFPE_far_adj*s_CF_peas*(1/1000)*(s_Irr!S19+s_Irr!AQ19+s_Irr!BO19),".")</f>
        <v>161.56878609282953</v>
      </c>
      <c r="CR19" s="93">
        <f>IFERROR(s_C*s_IFPT_far_adj*s_CF_potato*(1/1000)*(s_Irr!T19+s_Irr!AR19+s_Irr!BP19),".")</f>
        <v>168.20787405377641</v>
      </c>
      <c r="CS19" s="93">
        <f>IFERROR(s_C*s_IFPU_far_adj*s_CF_pumpkin*(1/1000)*(s_Irr!U19+s_Irr!AS19+s_Irr!BQ19),".")</f>
        <v>161.37753664539483</v>
      </c>
      <c r="CT19" s="93">
        <f>IFERROR(s_C*s_IFSN_far_adj*s_CF_snap_bean*(1/1000)*(s_Irr!V19+s_Irr!AT19+s_Irr!BR19),".")</f>
        <v>161.56878609282953</v>
      </c>
      <c r="CU19" s="93">
        <f>IFERROR(s_C*s_IFST_far_adj*s_CF_strawberry*(1/1000)*(s_Irr!W19+s_Irr!AU19+s_Irr!BS19),".")</f>
        <v>161.37753664539483</v>
      </c>
      <c r="CV19" s="93">
        <f>IFERROR(s_C*s_IFTO_far_adj*s_CF_tomato*(1/1000)*(s_Irr!X19+s_Irr!AV19+s_Irr!BT19),".")</f>
        <v>161.37753664539483</v>
      </c>
      <c r="CW19" s="93">
        <f>IFERROR(s_C*s_IFRI_far_adj*s_CF_rice*(1/1000)*(s_Irr!Y19+s_Irr!AW19+s_Irr!BU19),".")</f>
        <v>196.34886417630852</v>
      </c>
      <c r="CX19" s="93">
        <f>IFERROR(s_C*s_IFCG_far_adj*s_CF_cereal*(1/1000)*(s_Irr!Z19+s_Irr!AX19+s_Irr!BV19),".")</f>
        <v>161.48682204392892</v>
      </c>
    </row>
    <row r="20" spans="1:102" ht="15" customHeight="1" x14ac:dyDescent="0.25">
      <c r="A20" s="92" t="s">
        <v>30</v>
      </c>
      <c r="B20" s="90" t="s">
        <v>1074</v>
      </c>
      <c r="C20" s="76" t="str">
        <f t="shared" si="18"/>
        <v>.</v>
      </c>
      <c r="D20" s="76" t="str">
        <f>IFERROR(IF(AND(s_Irr!C20&lt;&gt;".",s_Irr!AA20&lt;&gt;".",s_Irr!AY20&lt;&gt;"."),s_dir!D20/((1/1000)*(s_Irr!C20+s_Irr!AA20+s_Irr!AY20)),IF(AND(s_Irr!C20&lt;&gt;".",s_Irr!AA20&lt;&gt;".",s_Irr!AY20="."),s_dir!D20/((1/1000)*(s_Irr!C20+s_Irr!AA20)),IF(AND(s_Irr!C20&lt;&gt;".",s_Irr!AA20=".",s_Irr!AY20&lt;&gt;"."),s_dir!D20/((1/1000)*(s_Irr!C20+s_Irr!AY20)),IF(AND(s_Irr!C20=".",s_Irr!AA20&lt;&gt;".",s_Irr!AY20&lt;&gt;"."),s_dir!D20/((1/1000)*(s_Irr!AA20+s_Irr!AY20)),IF(AND(s_Irr!C20=".",s_Irr!AA20=".",s_Irr!AY20&lt;&gt;"."),s_dir!D20/((1/1000)*(s_Irr!AY20)),IF(AND(s_Irr!C20=".",s_Irr!AA20&lt;&gt;".",s_Irr!AY20="."),s_dir!D20/((1/1000)*(s_Irr!AA20)),IF(AND(s_Irr!C20&lt;&gt;".",s_Irr!AA20=".",s_Irr!AY20="."),s_dir!D20/((1/1000)*(s_Irr!C20)),IF(AND(s_Irr!C20=".",s_Irr!AA20=".",s_Irr!AY20="."),s_dir!D20*1000)))))))),".")</f>
        <v>.</v>
      </c>
      <c r="E20" s="76" t="str">
        <f>IFERROR(IF(AND(s_Irr!D20&lt;&gt;".",s_Irr!AB20&lt;&gt;".",s_Irr!AZ20&lt;&gt;"."),s_dir!E20/((1/1000)*(s_Irr!D20+s_Irr!AB20+s_Irr!AZ20)),IF(AND(s_Irr!D20&lt;&gt;".",s_Irr!AB20&lt;&gt;".",s_Irr!AZ20="."),s_dir!E20/((1/1000)*(s_Irr!D20+s_Irr!AB20)),IF(AND(s_Irr!D20&lt;&gt;".",s_Irr!AB20=".",s_Irr!AZ20&lt;&gt;"."),s_dir!E20/((1/1000)*(s_Irr!D20+s_Irr!AZ20)),IF(AND(s_Irr!D20=".",s_Irr!AB20&lt;&gt;".",s_Irr!AZ20&lt;&gt;"."),s_dir!E20/((1/1000)*(s_Irr!AB20+s_Irr!AZ20)),IF(AND(s_Irr!D20=".",s_Irr!AB20=".",s_Irr!AZ20&lt;&gt;"."),s_dir!E20/((1/1000)*(s_Irr!AZ20)),IF(AND(s_Irr!D20=".",s_Irr!AB20&lt;&gt;".",s_Irr!AZ20="."),s_dir!E20/((1/1000)*(s_Irr!AB20)),IF(AND(s_Irr!D20&lt;&gt;".",s_Irr!AB20=".",s_Irr!AZ20="."),s_dir!E20/((1/1000)*(s_Irr!D20)),IF(AND(s_Irr!D20=".",s_Irr!AB20=".",s_Irr!AZ20="."),s_dir!E20*1000)))))))),".")</f>
        <v>.</v>
      </c>
      <c r="F20" s="76" t="str">
        <f>IFERROR(IF(AND(s_Irr!E20&lt;&gt;".",s_Irr!AC20&lt;&gt;".",s_Irr!BA20&lt;&gt;"."),s_dir!F20/((1/1000)*(s_Irr!E20+s_Irr!AC20+s_Irr!BA20)),IF(AND(s_Irr!E20&lt;&gt;".",s_Irr!AC20&lt;&gt;".",s_Irr!BA20="."),s_dir!F20/((1/1000)*(s_Irr!E20+s_Irr!AC20)),IF(AND(s_Irr!E20&lt;&gt;".",s_Irr!AC20=".",s_Irr!BA20&lt;&gt;"."),s_dir!F20/((1/1000)*(s_Irr!E20+s_Irr!BA20)),IF(AND(s_Irr!E20=".",s_Irr!AC20&lt;&gt;".",s_Irr!BA20&lt;&gt;"."),s_dir!F20/((1/1000)*(s_Irr!AC20+s_Irr!BA20)),IF(AND(s_Irr!E20=".",s_Irr!AC20=".",s_Irr!BA20&lt;&gt;"."),s_dir!F20/((1/1000)*(s_Irr!BA20)),IF(AND(s_Irr!E20=".",s_Irr!AC20&lt;&gt;".",s_Irr!BA20="."),s_dir!F20/((1/1000)*(s_Irr!AC20)),IF(AND(s_Irr!E20&lt;&gt;".",s_Irr!AC20=".",s_Irr!BA20="."),s_dir!F20/((1/1000)*(s_Irr!E20)),IF(AND(s_Irr!E20=".",s_Irr!AC20=".",s_Irr!BA20="."),s_dir!F20*1000)))))))),".")</f>
        <v>.</v>
      </c>
      <c r="G20" s="76" t="str">
        <f>IFERROR(IF(AND(s_Irr!F20&lt;&gt;".",s_Irr!AD20&lt;&gt;".",s_Irr!BB20&lt;&gt;"."),s_dir!G20/((1/1000)*(s_Irr!F20+s_Irr!AD20+s_Irr!BB20)),IF(AND(s_Irr!F20&lt;&gt;".",s_Irr!AD20&lt;&gt;".",s_Irr!BB20="."),s_dir!G20/((1/1000)*(s_Irr!F20+s_Irr!AD20)),IF(AND(s_Irr!F20&lt;&gt;".",s_Irr!AD20=".",s_Irr!BB20&lt;&gt;"."),s_dir!G20/((1/1000)*(s_Irr!F20+s_Irr!BB20)),IF(AND(s_Irr!F20=".",s_Irr!AD20&lt;&gt;".",s_Irr!BB20&lt;&gt;"."),s_dir!G20/((1/1000)*(s_Irr!AD20+s_Irr!BB20)),IF(AND(s_Irr!F20=".",s_Irr!AD20=".",s_Irr!BB20&lt;&gt;"."),s_dir!G20/((1/1000)*(s_Irr!BB20)),IF(AND(s_Irr!F20=".",s_Irr!AD20&lt;&gt;".",s_Irr!BB20="."),s_dir!G20/((1/1000)*(s_Irr!AD20)),IF(AND(s_Irr!F20&lt;&gt;".",s_Irr!AD20=".",s_Irr!BB20="."),s_dir!G20/((1/1000)*(s_Irr!F20)),IF(AND(s_Irr!F20=".",s_Irr!AD20=".",s_Irr!BB20="."),s_dir!G20*1000)))))))),".")</f>
        <v>.</v>
      </c>
      <c r="H20" s="76" t="str">
        <f>IFERROR(IF(AND(s_Irr!G20&lt;&gt;".",s_Irr!AE20&lt;&gt;".",s_Irr!BC20&lt;&gt;"."),s_dir!H20/((1/1000)*(s_Irr!G20+s_Irr!AE20+s_Irr!BC20)),IF(AND(s_Irr!G20&lt;&gt;".",s_Irr!AE20&lt;&gt;".",s_Irr!BC20="."),s_dir!H20/((1/1000)*(s_Irr!G20+s_Irr!AE20)),IF(AND(s_Irr!G20&lt;&gt;".",s_Irr!AE20=".",s_Irr!BC20&lt;&gt;"."),s_dir!H20/((1/1000)*(s_Irr!G20+s_Irr!BC20)),IF(AND(s_Irr!G20=".",s_Irr!AE20&lt;&gt;".",s_Irr!BC20&lt;&gt;"."),s_dir!H20/((1/1000)*(s_Irr!AE20+s_Irr!BC20)),IF(AND(s_Irr!G20=".",s_Irr!AE20=".",s_Irr!BC20&lt;&gt;"."),s_dir!H20/((1/1000)*(s_Irr!BC20)),IF(AND(s_Irr!G20=".",s_Irr!AE20&lt;&gt;".",s_Irr!BC20="."),s_dir!H20/((1/1000)*(s_Irr!AE20)),IF(AND(s_Irr!G20&lt;&gt;".",s_Irr!AE20=".",s_Irr!BC20="."),s_dir!H20/((1/1000)*(s_Irr!G20)),IF(AND(s_Irr!G20=".",s_Irr!AE20=".",s_Irr!BC20="."),s_dir!H20*1000)))))))),".")</f>
        <v>.</v>
      </c>
      <c r="I20" s="76" t="str">
        <f>IFERROR(IF(AND(s_Irr!H20&lt;&gt;".",s_Irr!AF20&lt;&gt;".",s_Irr!BD20&lt;&gt;"."),s_dir!I20/((1/1000)*(s_Irr!H20+s_Irr!AF20+s_Irr!BD20)),IF(AND(s_Irr!H20&lt;&gt;".",s_Irr!AF20&lt;&gt;".",s_Irr!BD20="."),s_dir!I20/((1/1000)*(s_Irr!H20+s_Irr!AF20)),IF(AND(s_Irr!H20&lt;&gt;".",s_Irr!AF20=".",s_Irr!BD20&lt;&gt;"."),s_dir!I20/((1/1000)*(s_Irr!H20+s_Irr!BD20)),IF(AND(s_Irr!H20=".",s_Irr!AF20&lt;&gt;".",s_Irr!BD20&lt;&gt;"."),s_dir!I20/((1/1000)*(s_Irr!AF20+s_Irr!BD20)),IF(AND(s_Irr!H20=".",s_Irr!AF20=".",s_Irr!BD20&lt;&gt;"."),s_dir!I20/((1/1000)*(s_Irr!BD20)),IF(AND(s_Irr!H20=".",s_Irr!AF20&lt;&gt;".",s_Irr!BD20="."),s_dir!I20/((1/1000)*(s_Irr!AF20)),IF(AND(s_Irr!H20&lt;&gt;".",s_Irr!AF20=".",s_Irr!BD20="."),s_dir!I20/((1/1000)*(s_Irr!H20)),IF(AND(s_Irr!H20=".",s_Irr!AF20=".",s_Irr!BD20="."),s_dir!I20*1000)))))))),".")</f>
        <v>.</v>
      </c>
      <c r="J20" s="76" t="str">
        <f>IFERROR(IF(AND(s_Irr!I20&lt;&gt;".",s_Irr!AG20&lt;&gt;".",s_Irr!BE20&lt;&gt;"."),s_dir!J20/((1/1000)*(s_Irr!I20+s_Irr!AG20+s_Irr!BE20)),IF(AND(s_Irr!I20&lt;&gt;".",s_Irr!AG20&lt;&gt;".",s_Irr!BE20="."),s_dir!J20/((1/1000)*(s_Irr!I20+s_Irr!AG20)),IF(AND(s_Irr!I20&lt;&gt;".",s_Irr!AG20=".",s_Irr!BE20&lt;&gt;"."),s_dir!J20/((1/1000)*(s_Irr!I20+s_Irr!BE20)),IF(AND(s_Irr!I20=".",s_Irr!AG20&lt;&gt;".",s_Irr!BE20&lt;&gt;"."),s_dir!J20/((1/1000)*(s_Irr!AG20+s_Irr!BE20)),IF(AND(s_Irr!I20=".",s_Irr!AG20=".",s_Irr!BE20&lt;&gt;"."),s_dir!J20/((1/1000)*(s_Irr!BE20)),IF(AND(s_Irr!I20=".",s_Irr!AG20&lt;&gt;".",s_Irr!BE20="."),s_dir!J20/((1/1000)*(s_Irr!AG20)),IF(AND(s_Irr!I20&lt;&gt;".",s_Irr!AG20=".",s_Irr!BE20="."),s_dir!J20/((1/1000)*(s_Irr!I20)),IF(AND(s_Irr!I20=".",s_Irr!AG20=".",s_Irr!BE20="."),s_dir!J20*1000)))))))),".")</f>
        <v>.</v>
      </c>
      <c r="K20" s="76" t="str">
        <f>IFERROR(IF(AND(s_Irr!J20&lt;&gt;".",s_Irr!AH20&lt;&gt;".",s_Irr!BF20&lt;&gt;"."),s_dir!K20/((1/1000)*(s_Irr!J20+s_Irr!AH20+s_Irr!BF20)),IF(AND(s_Irr!J20&lt;&gt;".",s_Irr!AH20&lt;&gt;".",s_Irr!BF20="."),s_dir!K20/((1/1000)*(s_Irr!J20+s_Irr!AH20)),IF(AND(s_Irr!J20&lt;&gt;".",s_Irr!AH20=".",s_Irr!BF20&lt;&gt;"."),s_dir!K20/((1/1000)*(s_Irr!J20+s_Irr!BF20)),IF(AND(s_Irr!J20=".",s_Irr!AH20&lt;&gt;".",s_Irr!BF20&lt;&gt;"."),s_dir!K20/((1/1000)*(s_Irr!AH20+s_Irr!BF20)),IF(AND(s_Irr!J20=".",s_Irr!AH20=".",s_Irr!BF20&lt;&gt;"."),s_dir!K20/((1/1000)*(s_Irr!BF20)),IF(AND(s_Irr!J20=".",s_Irr!AH20&lt;&gt;".",s_Irr!BF20="."),s_dir!K20/((1/1000)*(s_Irr!AH20)),IF(AND(s_Irr!J20&lt;&gt;".",s_Irr!AH20=".",s_Irr!BF20="."),s_dir!K20/((1/1000)*(s_Irr!J20)),IF(AND(s_Irr!J20=".",s_Irr!AH20=".",s_Irr!BF20="."),s_dir!K20*1000)))))))),".")</f>
        <v>.</v>
      </c>
      <c r="L20" s="76" t="str">
        <f>IFERROR(IF(AND(s_Irr!K20&lt;&gt;".",s_Irr!AI20&lt;&gt;".",s_Irr!BG20&lt;&gt;"."),s_dir!L20/((1/1000)*(s_Irr!K20+s_Irr!AI20+s_Irr!BG20)),IF(AND(s_Irr!K20&lt;&gt;".",s_Irr!AI20&lt;&gt;".",s_Irr!BG20="."),s_dir!L20/((1/1000)*(s_Irr!K20+s_Irr!AI20)),IF(AND(s_Irr!K20&lt;&gt;".",s_Irr!AI20=".",s_Irr!BG20&lt;&gt;"."),s_dir!L20/((1/1000)*(s_Irr!K20+s_Irr!BG20)),IF(AND(s_Irr!K20=".",s_Irr!AI20&lt;&gt;".",s_Irr!BG20&lt;&gt;"."),s_dir!L20/((1/1000)*(s_Irr!AI20+s_Irr!BG20)),IF(AND(s_Irr!K20=".",s_Irr!AI20=".",s_Irr!BG20&lt;&gt;"."),s_dir!L20/((1/1000)*(s_Irr!BG20)),IF(AND(s_Irr!K20=".",s_Irr!AI20&lt;&gt;".",s_Irr!BG20="."),s_dir!L20/((1/1000)*(s_Irr!AI20)),IF(AND(s_Irr!K20&lt;&gt;".",s_Irr!AI20=".",s_Irr!BG20="."),s_dir!L20/((1/1000)*(s_Irr!K20)),IF(AND(s_Irr!K20=".",s_Irr!AI20=".",s_Irr!BG20="."),s_dir!L20*1000)))))))),".")</f>
        <v>.</v>
      </c>
      <c r="M20" s="76" t="str">
        <f>IFERROR(IF(AND(s_Irr!L20&lt;&gt;".",s_Irr!AJ20&lt;&gt;".",s_Irr!BH20&lt;&gt;"."),s_dir!M20/((1/1000)*(s_Irr!L20+s_Irr!AJ20+s_Irr!BH20)),IF(AND(s_Irr!L20&lt;&gt;".",s_Irr!AJ20&lt;&gt;".",s_Irr!BH20="."),s_dir!M20/((1/1000)*(s_Irr!L20+s_Irr!AJ20)),IF(AND(s_Irr!L20&lt;&gt;".",s_Irr!AJ20=".",s_Irr!BH20&lt;&gt;"."),s_dir!M20/((1/1000)*(s_Irr!L20+s_Irr!BH20)),IF(AND(s_Irr!L20=".",s_Irr!AJ20&lt;&gt;".",s_Irr!BH20&lt;&gt;"."),s_dir!M20/((1/1000)*(s_Irr!AJ20+s_Irr!BH20)),IF(AND(s_Irr!L20=".",s_Irr!AJ20=".",s_Irr!BH20&lt;&gt;"."),s_dir!M20/((1/1000)*(s_Irr!BH20)),IF(AND(s_Irr!L20=".",s_Irr!AJ20&lt;&gt;".",s_Irr!BH20="."),s_dir!M20/((1/1000)*(s_Irr!AJ20)),IF(AND(s_Irr!L20&lt;&gt;".",s_Irr!AJ20=".",s_Irr!BH20="."),s_dir!M20/((1/1000)*(s_Irr!L20)),IF(AND(s_Irr!L20=".",s_Irr!AJ20=".",s_Irr!BH20="."),s_dir!M20*1000)))))))),".")</f>
        <v>.</v>
      </c>
      <c r="N20" s="76" t="str">
        <f>IFERROR(IF(AND(s_Irr!M20&lt;&gt;".",s_Irr!AK20&lt;&gt;".",s_Irr!BI20&lt;&gt;"."),s_dir!N20/((1/1000)*(s_Irr!M20+s_Irr!AK20+s_Irr!BI20)),IF(AND(s_Irr!M20&lt;&gt;".",s_Irr!AK20&lt;&gt;".",s_Irr!BI20="."),s_dir!N20/((1/1000)*(s_Irr!M20+s_Irr!AK20)),IF(AND(s_Irr!M20&lt;&gt;".",s_Irr!AK20=".",s_Irr!BI20&lt;&gt;"."),s_dir!N20/((1/1000)*(s_Irr!M20+s_Irr!BI20)),IF(AND(s_Irr!M20=".",s_Irr!AK20&lt;&gt;".",s_Irr!BI20&lt;&gt;"."),s_dir!N20/((1/1000)*(s_Irr!AK20+s_Irr!BI20)),IF(AND(s_Irr!M20=".",s_Irr!AK20=".",s_Irr!BI20&lt;&gt;"."),s_dir!N20/((1/1000)*(s_Irr!BI20)),IF(AND(s_Irr!M20=".",s_Irr!AK20&lt;&gt;".",s_Irr!BI20="."),s_dir!N20/((1/1000)*(s_Irr!AK20)),IF(AND(s_Irr!M20&lt;&gt;".",s_Irr!AK20=".",s_Irr!BI20="."),s_dir!N20/((1/1000)*(s_Irr!M20)),IF(AND(s_Irr!M20=".",s_Irr!AK20=".",s_Irr!BI20="."),s_dir!N20*1000)))))))),".")</f>
        <v>.</v>
      </c>
      <c r="O20" s="76" t="str">
        <f>IFERROR(IF(AND(s_Irr!N20&lt;&gt;".",s_Irr!AL20&lt;&gt;".",s_Irr!BJ20&lt;&gt;"."),s_dir!O20/((1/1000)*(s_Irr!N20+s_Irr!AL20+s_Irr!BJ20)),IF(AND(s_Irr!N20&lt;&gt;".",s_Irr!AL20&lt;&gt;".",s_Irr!BJ20="."),s_dir!O20/((1/1000)*(s_Irr!N20+s_Irr!AL20)),IF(AND(s_Irr!N20&lt;&gt;".",s_Irr!AL20=".",s_Irr!BJ20&lt;&gt;"."),s_dir!O20/((1/1000)*(s_Irr!N20+s_Irr!BJ20)),IF(AND(s_Irr!N20=".",s_Irr!AL20&lt;&gt;".",s_Irr!BJ20&lt;&gt;"."),s_dir!O20/((1/1000)*(s_Irr!AL20+s_Irr!BJ20)),IF(AND(s_Irr!N20=".",s_Irr!AL20=".",s_Irr!BJ20&lt;&gt;"."),s_dir!O20/((1/1000)*(s_Irr!BJ20)),IF(AND(s_Irr!N20=".",s_Irr!AL20&lt;&gt;".",s_Irr!BJ20="."),s_dir!O20/((1/1000)*(s_Irr!AL20)),IF(AND(s_Irr!N20&lt;&gt;".",s_Irr!AL20=".",s_Irr!BJ20="."),s_dir!O20/((1/1000)*(s_Irr!N20)),IF(AND(s_Irr!N20=".",s_Irr!AL20=".",s_Irr!BJ20="."),s_dir!O20*1000)))))))),".")</f>
        <v>.</v>
      </c>
      <c r="P20" s="76" t="str">
        <f>IFERROR(IF(AND(s_Irr!O20&lt;&gt;".",s_Irr!AM20&lt;&gt;".",s_Irr!BK20&lt;&gt;"."),s_dir!P20/((1/1000)*(s_Irr!O20+s_Irr!AM20+s_Irr!BK20)),IF(AND(s_Irr!O20&lt;&gt;".",s_Irr!AM20&lt;&gt;".",s_Irr!BK20="."),s_dir!P20/((1/1000)*(s_Irr!O20+s_Irr!AM20)),IF(AND(s_Irr!O20&lt;&gt;".",s_Irr!AM20=".",s_Irr!BK20&lt;&gt;"."),s_dir!P20/((1/1000)*(s_Irr!O20+s_Irr!BK20)),IF(AND(s_Irr!O20=".",s_Irr!AM20&lt;&gt;".",s_Irr!BK20&lt;&gt;"."),s_dir!P20/((1/1000)*(s_Irr!AM20+s_Irr!BK20)),IF(AND(s_Irr!O20=".",s_Irr!AM20=".",s_Irr!BK20&lt;&gt;"."),s_dir!P20/((1/1000)*(s_Irr!BK20)),IF(AND(s_Irr!O20=".",s_Irr!AM20&lt;&gt;".",s_Irr!BK20="."),s_dir!P20/((1/1000)*(s_Irr!AM20)),IF(AND(s_Irr!O20&lt;&gt;".",s_Irr!AM20=".",s_Irr!BK20="."),s_dir!P20/((1/1000)*(s_Irr!O20)),IF(AND(s_Irr!O20=".",s_Irr!AM20=".",s_Irr!BK20="."),s_dir!P20*1000)))))))),".")</f>
        <v>.</v>
      </c>
      <c r="Q20" s="76" t="str">
        <f>IFERROR(IF(AND(s_Irr!P20&lt;&gt;".",s_Irr!AN20&lt;&gt;".",s_Irr!BL20&lt;&gt;"."),s_dir!Q20/((1/1000)*(s_Irr!P20+s_Irr!AN20+s_Irr!BL20)),IF(AND(s_Irr!P20&lt;&gt;".",s_Irr!AN20&lt;&gt;".",s_Irr!BL20="."),s_dir!Q20/((1/1000)*(s_Irr!P20+s_Irr!AN20)),IF(AND(s_Irr!P20&lt;&gt;".",s_Irr!AN20=".",s_Irr!BL20&lt;&gt;"."),s_dir!Q20/((1/1000)*(s_Irr!P20+s_Irr!BL20)),IF(AND(s_Irr!P20=".",s_Irr!AN20&lt;&gt;".",s_Irr!BL20&lt;&gt;"."),s_dir!Q20/((1/1000)*(s_Irr!AN20+s_Irr!BL20)),IF(AND(s_Irr!P20=".",s_Irr!AN20=".",s_Irr!BL20&lt;&gt;"."),s_dir!Q20/((1/1000)*(s_Irr!BL20)),IF(AND(s_Irr!P20=".",s_Irr!AN20&lt;&gt;".",s_Irr!BL20="."),s_dir!Q20/((1/1000)*(s_Irr!AN20)),IF(AND(s_Irr!P20&lt;&gt;".",s_Irr!AN20=".",s_Irr!BL20="."),s_dir!Q20/((1/1000)*(s_Irr!P20)),IF(AND(s_Irr!P20=".",s_Irr!AN20=".",s_Irr!BL20="."),s_dir!Q20*1000)))))))),".")</f>
        <v>.</v>
      </c>
      <c r="R20" s="76" t="str">
        <f>IFERROR(IF(AND(s_Irr!Q20&lt;&gt;".",s_Irr!AO20&lt;&gt;".",s_Irr!BM20&lt;&gt;"."),s_dir!R20/((1/1000)*(s_Irr!Q20+s_Irr!AO20+s_Irr!BM20)),IF(AND(s_Irr!Q20&lt;&gt;".",s_Irr!AO20&lt;&gt;".",s_Irr!BM20="."),s_dir!R20/((1/1000)*(s_Irr!Q20+s_Irr!AO20)),IF(AND(s_Irr!Q20&lt;&gt;".",s_Irr!AO20=".",s_Irr!BM20&lt;&gt;"."),s_dir!R20/((1/1000)*(s_Irr!Q20+s_Irr!BM20)),IF(AND(s_Irr!Q20=".",s_Irr!AO20&lt;&gt;".",s_Irr!BM20&lt;&gt;"."),s_dir!R20/((1/1000)*(s_Irr!AO20+s_Irr!BM20)),IF(AND(s_Irr!Q20=".",s_Irr!AO20=".",s_Irr!BM20&lt;&gt;"."),s_dir!R20/((1/1000)*(s_Irr!BM20)),IF(AND(s_Irr!Q20=".",s_Irr!AO20&lt;&gt;".",s_Irr!BM20="."),s_dir!R20/((1/1000)*(s_Irr!AO20)),IF(AND(s_Irr!Q20&lt;&gt;".",s_Irr!AO20=".",s_Irr!BM20="."),s_dir!R20/((1/1000)*(s_Irr!Q20)),IF(AND(s_Irr!Q20=".",s_Irr!AO20=".",s_Irr!BM20="."),s_dir!R20*1000)))))))),".")</f>
        <v>.</v>
      </c>
      <c r="S20" s="76" t="str">
        <f>IFERROR(IF(AND(s_Irr!R20&lt;&gt;".",s_Irr!AP20&lt;&gt;".",s_Irr!BN20&lt;&gt;"."),s_dir!S20/((1/1000)*(s_Irr!R20+s_Irr!AP20+s_Irr!BN20)),IF(AND(s_Irr!R20&lt;&gt;".",s_Irr!AP20&lt;&gt;".",s_Irr!BN20="."),s_dir!S20/((1/1000)*(s_Irr!R20+s_Irr!AP20)),IF(AND(s_Irr!R20&lt;&gt;".",s_Irr!AP20=".",s_Irr!BN20&lt;&gt;"."),s_dir!S20/((1/1000)*(s_Irr!R20+s_Irr!BN20)),IF(AND(s_Irr!R20=".",s_Irr!AP20&lt;&gt;".",s_Irr!BN20&lt;&gt;"."),s_dir!S20/((1/1000)*(s_Irr!AP20+s_Irr!BN20)),IF(AND(s_Irr!R20=".",s_Irr!AP20=".",s_Irr!BN20&lt;&gt;"."),s_dir!S20/((1/1000)*(s_Irr!BN20)),IF(AND(s_Irr!R20=".",s_Irr!AP20&lt;&gt;".",s_Irr!BN20="."),s_dir!S20/((1/1000)*(s_Irr!AP20)),IF(AND(s_Irr!R20&lt;&gt;".",s_Irr!AP20=".",s_Irr!BN20="."),s_dir!S20/((1/1000)*(s_Irr!R20)),IF(AND(s_Irr!R20=".",s_Irr!AP20=".",s_Irr!BN20="."),s_dir!S20*1000)))))))),".")</f>
        <v>.</v>
      </c>
      <c r="T20" s="76" t="str">
        <f>IFERROR(IF(AND(s_Irr!S20&lt;&gt;".",s_Irr!AQ20&lt;&gt;".",s_Irr!BO20&lt;&gt;"."),s_dir!T20/((1/1000)*(s_Irr!S20+s_Irr!AQ20+s_Irr!BO20)),IF(AND(s_Irr!S20&lt;&gt;".",s_Irr!AQ20&lt;&gt;".",s_Irr!BO20="."),s_dir!T20/((1/1000)*(s_Irr!S20+s_Irr!AQ20)),IF(AND(s_Irr!S20&lt;&gt;".",s_Irr!AQ20=".",s_Irr!BO20&lt;&gt;"."),s_dir!T20/((1/1000)*(s_Irr!S20+s_Irr!BO20)),IF(AND(s_Irr!S20=".",s_Irr!AQ20&lt;&gt;".",s_Irr!BO20&lt;&gt;"."),s_dir!T20/((1/1000)*(s_Irr!AQ20+s_Irr!BO20)),IF(AND(s_Irr!S20=".",s_Irr!AQ20=".",s_Irr!BO20&lt;&gt;"."),s_dir!T20/((1/1000)*(s_Irr!BO20)),IF(AND(s_Irr!S20=".",s_Irr!AQ20&lt;&gt;".",s_Irr!BO20="."),s_dir!T20/((1/1000)*(s_Irr!AQ20)),IF(AND(s_Irr!S20&lt;&gt;".",s_Irr!AQ20=".",s_Irr!BO20="."),s_dir!T20/((1/1000)*(s_Irr!S20)),IF(AND(s_Irr!S20=".",s_Irr!AQ20=".",s_Irr!BO20="."),s_dir!T20*1000)))))))),".")</f>
        <v>.</v>
      </c>
      <c r="U20" s="76" t="str">
        <f>IFERROR(IF(AND(s_Irr!T20&lt;&gt;".",s_Irr!AR20&lt;&gt;".",s_Irr!BP20&lt;&gt;"."),s_dir!U20/((1/1000)*(s_Irr!T20+s_Irr!AR20+s_Irr!BP20)),IF(AND(s_Irr!T20&lt;&gt;".",s_Irr!AR20&lt;&gt;".",s_Irr!BP20="."),s_dir!U20/((1/1000)*(s_Irr!T20+s_Irr!AR20)),IF(AND(s_Irr!T20&lt;&gt;".",s_Irr!AR20=".",s_Irr!BP20&lt;&gt;"."),s_dir!U20/((1/1000)*(s_Irr!T20+s_Irr!BP20)),IF(AND(s_Irr!T20=".",s_Irr!AR20&lt;&gt;".",s_Irr!BP20&lt;&gt;"."),s_dir!U20/((1/1000)*(s_Irr!AR20+s_Irr!BP20)),IF(AND(s_Irr!T20=".",s_Irr!AR20=".",s_Irr!BP20&lt;&gt;"."),s_dir!U20/((1/1000)*(s_Irr!BP20)),IF(AND(s_Irr!T20=".",s_Irr!AR20&lt;&gt;".",s_Irr!BP20="."),s_dir!U20/((1/1000)*(s_Irr!AR20)),IF(AND(s_Irr!T20&lt;&gt;".",s_Irr!AR20=".",s_Irr!BP20="."),s_dir!U20/((1/1000)*(s_Irr!T20)),IF(AND(s_Irr!T20=".",s_Irr!AR20=".",s_Irr!BP20="."),s_dir!U20*1000)))))))),".")</f>
        <v>.</v>
      </c>
      <c r="V20" s="76" t="str">
        <f>IFERROR(IF(AND(s_Irr!U20&lt;&gt;".",s_Irr!AS20&lt;&gt;".",s_Irr!BQ20&lt;&gt;"."),s_dir!V20/((1/1000)*(s_Irr!U20+s_Irr!AS20+s_Irr!BQ20)),IF(AND(s_Irr!U20&lt;&gt;".",s_Irr!AS20&lt;&gt;".",s_Irr!BQ20="."),s_dir!V20/((1/1000)*(s_Irr!U20+s_Irr!AS20)),IF(AND(s_Irr!U20&lt;&gt;".",s_Irr!AS20=".",s_Irr!BQ20&lt;&gt;"."),s_dir!V20/((1/1000)*(s_Irr!U20+s_Irr!BQ20)),IF(AND(s_Irr!U20=".",s_Irr!AS20&lt;&gt;".",s_Irr!BQ20&lt;&gt;"."),s_dir!V20/((1/1000)*(s_Irr!AS20+s_Irr!BQ20)),IF(AND(s_Irr!U20=".",s_Irr!AS20=".",s_Irr!BQ20&lt;&gt;"."),s_dir!V20/((1/1000)*(s_Irr!BQ20)),IF(AND(s_Irr!U20=".",s_Irr!AS20&lt;&gt;".",s_Irr!BQ20="."),s_dir!V20/((1/1000)*(s_Irr!AS20)),IF(AND(s_Irr!U20&lt;&gt;".",s_Irr!AS20=".",s_Irr!BQ20="."),s_dir!V20/((1/1000)*(s_Irr!U20)),IF(AND(s_Irr!U20=".",s_Irr!AS20=".",s_Irr!BQ20="."),s_dir!V20*1000)))))))),".")</f>
        <v>.</v>
      </c>
      <c r="W20" s="76" t="str">
        <f>IFERROR(IF(AND(s_Irr!V20&lt;&gt;".",s_Irr!AT20&lt;&gt;".",s_Irr!BR20&lt;&gt;"."),s_dir!W20/((1/1000)*(s_Irr!V20+s_Irr!AT20+s_Irr!BR20)),IF(AND(s_Irr!V20&lt;&gt;".",s_Irr!AT20&lt;&gt;".",s_Irr!BR20="."),s_dir!W20/((1/1000)*(s_Irr!V20+s_Irr!AT20)),IF(AND(s_Irr!V20&lt;&gt;".",s_Irr!AT20=".",s_Irr!BR20&lt;&gt;"."),s_dir!W20/((1/1000)*(s_Irr!V20+s_Irr!BR20)),IF(AND(s_Irr!V20=".",s_Irr!AT20&lt;&gt;".",s_Irr!BR20&lt;&gt;"."),s_dir!W20/((1/1000)*(s_Irr!AT20+s_Irr!BR20)),IF(AND(s_Irr!V20=".",s_Irr!AT20=".",s_Irr!BR20&lt;&gt;"."),s_dir!W20/((1/1000)*(s_Irr!BR20)),IF(AND(s_Irr!V20=".",s_Irr!AT20&lt;&gt;".",s_Irr!BR20="."),s_dir!W20/((1/1000)*(s_Irr!AT20)),IF(AND(s_Irr!V20&lt;&gt;".",s_Irr!AT20=".",s_Irr!BR20="."),s_dir!W20/((1/1000)*(s_Irr!V20)),IF(AND(s_Irr!V20=".",s_Irr!AT20=".",s_Irr!BR20="."),s_dir!W20*1000)))))))),".")</f>
        <v>.</v>
      </c>
      <c r="X20" s="76" t="str">
        <f>IFERROR(IF(AND(s_Irr!W20&lt;&gt;".",s_Irr!AU20&lt;&gt;".",s_Irr!BS20&lt;&gt;"."),s_dir!X20/((1/1000)*(s_Irr!W20+s_Irr!AU20+s_Irr!BS20)),IF(AND(s_Irr!W20&lt;&gt;".",s_Irr!AU20&lt;&gt;".",s_Irr!BS20="."),s_dir!X20/((1/1000)*(s_Irr!W20+s_Irr!AU20)),IF(AND(s_Irr!W20&lt;&gt;".",s_Irr!AU20=".",s_Irr!BS20&lt;&gt;"."),s_dir!X20/((1/1000)*(s_Irr!W20+s_Irr!BS20)),IF(AND(s_Irr!W20=".",s_Irr!AU20&lt;&gt;".",s_Irr!BS20&lt;&gt;"."),s_dir!X20/((1/1000)*(s_Irr!AU20+s_Irr!BS20)),IF(AND(s_Irr!W20=".",s_Irr!AU20=".",s_Irr!BS20&lt;&gt;"."),s_dir!X20/((1/1000)*(s_Irr!BS20)),IF(AND(s_Irr!W20=".",s_Irr!AU20&lt;&gt;".",s_Irr!BS20="."),s_dir!X20/((1/1000)*(s_Irr!AU20)),IF(AND(s_Irr!W20&lt;&gt;".",s_Irr!AU20=".",s_Irr!BS20="."),s_dir!X20/((1/1000)*(s_Irr!W20)),IF(AND(s_Irr!W20=".",s_Irr!AU20=".",s_Irr!BS20="."),s_dir!X20*1000)))))))),".")</f>
        <v>.</v>
      </c>
      <c r="Y20" s="76" t="str">
        <f>IFERROR(IF(AND(s_Irr!X20&lt;&gt;".",s_Irr!AV20&lt;&gt;".",s_Irr!BT20&lt;&gt;"."),s_dir!Y20/((1/1000)*(s_Irr!X20+s_Irr!AV20+s_Irr!BT20)),IF(AND(s_Irr!X20&lt;&gt;".",s_Irr!AV20&lt;&gt;".",s_Irr!BT20="."),s_dir!Y20/((1/1000)*(s_Irr!X20+s_Irr!AV20)),IF(AND(s_Irr!X20&lt;&gt;".",s_Irr!AV20=".",s_Irr!BT20&lt;&gt;"."),s_dir!Y20/((1/1000)*(s_Irr!X20+s_Irr!BT20)),IF(AND(s_Irr!X20=".",s_Irr!AV20&lt;&gt;".",s_Irr!BT20&lt;&gt;"."),s_dir!Y20/((1/1000)*(s_Irr!AV20+s_Irr!BT20)),IF(AND(s_Irr!X20=".",s_Irr!AV20=".",s_Irr!BT20&lt;&gt;"."),s_dir!Y20/((1/1000)*(s_Irr!BT20)),IF(AND(s_Irr!X20=".",s_Irr!AV20&lt;&gt;".",s_Irr!BT20="."),s_dir!Y20/((1/1000)*(s_Irr!AV20)),IF(AND(s_Irr!X20&lt;&gt;".",s_Irr!AV20=".",s_Irr!BT20="."),s_dir!Y20/((1/1000)*(s_Irr!X20)),IF(AND(s_Irr!X20=".",s_Irr!AV20=".",s_Irr!BT20="."),s_dir!Y20*1000)))))))),".")</f>
        <v>.</v>
      </c>
      <c r="Z20" s="76" t="str">
        <f>IFERROR(IF(AND(s_Irr!Y20&lt;&gt;".",s_Irr!AW20&lt;&gt;".",s_Irr!BU20&lt;&gt;"."),s_dir!Z20/((1/1000)*(s_Irr!Y20+s_Irr!AW20+s_Irr!BU20)),IF(AND(s_Irr!Y20&lt;&gt;".",s_Irr!AW20&lt;&gt;".",s_Irr!BU20="."),s_dir!Z20/((1/1000)*(s_Irr!Y20+s_Irr!AW20)),IF(AND(s_Irr!Y20&lt;&gt;".",s_Irr!AW20=".",s_Irr!BU20&lt;&gt;"."),s_dir!Z20/((1/1000)*(s_Irr!Y20+s_Irr!BU20)),IF(AND(s_Irr!Y20=".",s_Irr!AW20&lt;&gt;".",s_Irr!BU20&lt;&gt;"."),s_dir!Z20/((1/1000)*(s_Irr!AW20+s_Irr!BU20)),IF(AND(s_Irr!Y20=".",s_Irr!AW20=".",s_Irr!BU20&lt;&gt;"."),s_dir!Z20/((1/1000)*(s_Irr!BU20)),IF(AND(s_Irr!Y20=".",s_Irr!AW20&lt;&gt;".",s_Irr!BU20="."),s_dir!Z20/((1/1000)*(s_Irr!AW20)),IF(AND(s_Irr!Y20&lt;&gt;".",s_Irr!AW20=".",s_Irr!BU20="."),s_dir!Z20/((1/1000)*(s_Irr!Y20)),IF(AND(s_Irr!Y20=".",s_Irr!AW20=".",s_Irr!BU20="."),s_dir!Z20*1000)))))))),".")</f>
        <v>.</v>
      </c>
      <c r="AA20" s="76" t="str">
        <f>IFERROR(IF(AND(s_Irr!Z20&lt;&gt;".",s_Irr!AX20&lt;&gt;".",s_Irr!BV20&lt;&gt;"."),s_dir!AA20/((1/1000)*(s_Irr!Z20+s_Irr!AX20+s_Irr!BV20)),IF(AND(s_Irr!Z20&lt;&gt;".",s_Irr!AX20&lt;&gt;".",s_Irr!BV20="."),s_dir!AA20/((1/1000)*(s_Irr!Z20+s_Irr!AX20)),IF(AND(s_Irr!Z20&lt;&gt;".",s_Irr!AX20=".",s_Irr!BV20&lt;&gt;"."),s_dir!AA20/((1/1000)*(s_Irr!Z20+s_Irr!BV20)),IF(AND(s_Irr!Z20=".",s_Irr!AX20&lt;&gt;".",s_Irr!BV20&lt;&gt;"."),s_dir!AA20/((1/1000)*(s_Irr!AX20+s_Irr!BV20)),IF(AND(s_Irr!Z20=".",s_Irr!AX20=".",s_Irr!BV20&lt;&gt;"."),s_dir!AA20/((1/1000)*(s_Irr!BV20)),IF(AND(s_Irr!Z20=".",s_Irr!AX20&lt;&gt;".",s_Irr!BV20="."),s_dir!AA20/((1/1000)*(s_Irr!AX20)),IF(AND(s_Irr!Z20&lt;&gt;".",s_Irr!AX20=".",s_Irr!BV20="."),s_dir!AA20/((1/1000)*(s_Irr!Z20)),IF(AND(s_Irr!Z20=".",s_Irr!AX20=".",s_Irr!BV20="."),s_dir!AA20*1000)))))))),".")</f>
        <v>.</v>
      </c>
      <c r="AB20" s="93">
        <f t="shared" si="22"/>
        <v>700.26213124716605</v>
      </c>
      <c r="AC20" s="93">
        <f>IFERROR(s_C*s_IFAP_res_adj*s_CF_apple*0.001*(s_Irr!C20+s_Irr!AA20+s_Irr!AY20),".")</f>
        <v>161.37753664539483</v>
      </c>
      <c r="AD20" s="93">
        <f>IFERROR(s_C*s_IFAS_res_adj*s_CF_asparagus*0.001*(s_Irr!D20+s_Irr!AB20+s_Irr!AZ20),".")</f>
        <v>181.04890838153378</v>
      </c>
      <c r="AE20" s="93">
        <f>IFERROR(s_C*s_IFBT_res_adj*s_CF_beet*0.001*(s_Irr!E20+s_Irr!AC20+s_Irr!BA20),".")</f>
        <v>176.67749244016957</v>
      </c>
      <c r="AF20" s="93">
        <f>IFERROR(s_C*s_IFBE_res_adj*s_CF_berries*0.001*(s_Irr!F20+s_Irr!AD20+s_Irr!BB20),".")</f>
        <v>161.37753664539483</v>
      </c>
      <c r="AG20" s="93">
        <f>IFERROR(s_C*s_IFBR_res_adj*s_CF_broccoli*0.001*(s_Irr!G20+s_Irr!AE20+s_Irr!BC20),".")</f>
        <v>161.37753664539483</v>
      </c>
      <c r="AH20" s="93">
        <f>IFERROR(s_C*s_IFCB_res_adj*s_CF_cabbage*0.001*(s_Irr!H20+s_Irr!AF20+s_Irr!BD20),".")</f>
        <v>181.04890838153378</v>
      </c>
      <c r="AI20" s="93">
        <f>IFERROR(s_C*s_IFCR_res_adj*s_CF_carrot*0.001*(s_Irr!I20+s_Irr!AG20+s_Irr!BE20),".")</f>
        <v>176.67749244016957</v>
      </c>
      <c r="AJ20" s="93">
        <f>IFERROR(s_C*s_IFCI_res_adj*s_CF_citrus*0.001*(s_Irr!J20+s_Irr!AH20+s_Irr!BF20),".")</f>
        <v>161.37753664539483</v>
      </c>
      <c r="AK20" s="93">
        <f>IFERROR(s_C*s_IFCO_res_adj*s_CF_corn*0.001*(s_Irr!K20+s_Irr!AI20+s_Irr!BG20),".")</f>
        <v>161.48682204392892</v>
      </c>
      <c r="AL20" s="93">
        <f>IFERROR(s_C*s_IFCU_res_adj*s_CF_cucumber*0.001*(s_Irr!L20+s_Irr!AJ20+s_Irr!BH20),".")</f>
        <v>161.37753664539483</v>
      </c>
      <c r="AM20" s="93">
        <f>IFERROR(s_C*s_IFLE_res_adj*s_CF_lettuce*0.001*(s_Irr!M20+s_Irr!AK20+s_Irr!BI20),".")</f>
        <v>181.04890838153378</v>
      </c>
      <c r="AN20" s="93">
        <f>IFERROR(s_C*s_IFLI_res_adj*s_CF_lima_bean*0.001*(s_Irr!N20+s_Irr!AL20+s_Irr!BJ20),".")</f>
        <v>161.56878609282953</v>
      </c>
      <c r="AO20" s="93">
        <f>IFERROR(s_C*s_IFOK_res_adj*s_CF_okra*0.001*(s_Irr!O20+s_Irr!AM20+s_Irr!BK20),".")</f>
        <v>161.37753664539483</v>
      </c>
      <c r="AP20" s="93">
        <f>IFERROR(s_C*s_IFON_res_adj*s_CF_onion*0.001*(s_Irr!P20+s_Irr!AN20+s_Irr!BL20),".")</f>
        <v>161.37753664539483</v>
      </c>
      <c r="AQ20" s="93">
        <f>IFERROR(s_C*s_IFPC_res_adj*s_CF_peach*0.001*(s_Irr!Q20+s_Irr!AO20+s_Irr!BM20),".")</f>
        <v>161.37753664539483</v>
      </c>
      <c r="AR20" s="93">
        <f>IFERROR(s_C*s_IFPR_res_adj*s_CF_pear*0.001*(s_Irr!R20+s_Irr!AP20+s_Irr!BN20),".")</f>
        <v>161.37753664539483</v>
      </c>
      <c r="AS20" s="93">
        <f>IFERROR(s_C*s_IFPE_res_adj*s_CF_peas*0.001*(s_Irr!S20+s_Irr!AQ20+s_Irr!BO20),".")</f>
        <v>161.56878609282953</v>
      </c>
      <c r="AT20" s="93">
        <f>IFERROR(s_C*s_IFPT_res_adj*s_CF_potato*0.001*(s_Irr!T20+s_Irr!AR20+s_Irr!BP20),".")</f>
        <v>168.20787405377641</v>
      </c>
      <c r="AU20" s="93">
        <f>IFERROR(s_C*s_IFPU_res_adj*s_CF_pumpkin*0.001*(s_Irr!U20+s_Irr!AS20+s_Irr!BQ20),".")</f>
        <v>161.37753664539483</v>
      </c>
      <c r="AV20" s="93">
        <f>IFERROR(s_C*s_IFSN_res_adj*s_CF_snap_bean*0.001*(s_Irr!V20+s_Irr!AT20+s_Irr!BR20),".")</f>
        <v>161.56878609282953</v>
      </c>
      <c r="AW20" s="93">
        <f>IFERROR(s_C*s_IFST_res_adj*s_CF_strawberry*0.001*(s_Irr!W20+s_Irr!AU20+s_Irr!BS20),".")</f>
        <v>161.37753664539483</v>
      </c>
      <c r="AX20" s="93">
        <f>IFERROR(s_C*s_IFTO_res_adj*s_CF_tomato*0.001*(s_Irr!X20+s_Irr!AV20+s_Irr!BT20),".")</f>
        <v>161.37753664539483</v>
      </c>
      <c r="AY20" s="93">
        <f>IFERROR(s_C*s_IFRI_res_adj*s_CF_rice*0.001*(s_Irr!Y20+s_Irr!AW20+s_Irr!BU20),".")</f>
        <v>196.34886417630852</v>
      </c>
      <c r="AZ20" s="93">
        <f>IFERROR(s_C*s_IFCG_res_adj*s_CF_cereal*0.001*(s_Irr!Z20+s_Irr!AX20+s_Irr!BV20),".")</f>
        <v>161.48682204392892</v>
      </c>
      <c r="BA20" s="76" t="str">
        <f t="shared" si="20"/>
        <v>.</v>
      </c>
      <c r="BB20" s="76" t="str">
        <f>IFERROR(IF(AND(s_Irr!C20&lt;&gt;".",s_Irr!AA20&lt;&gt;".",s_Irr!AY20&lt;&gt;"."),s_dir!AC20/((1/1000)*(s_Irr!C20+s_Irr!AA20+s_Irr!AY20)),IF(AND(s_Irr!C20&lt;&gt;".",s_Irr!AA20&lt;&gt;".",s_Irr!AY20="."),s_dir!AC20/((1/1000)*(s_Irr!C20+s_Irr!AA20)),IF(AND(s_Irr!C20&lt;&gt;".",s_Irr!AA20=".",s_Irr!AY20&lt;&gt;"."),s_dir!AC20/((1/1000)*(s_Irr!C20+s_Irr!AY20)),IF(AND(s_Irr!C20=".",s_Irr!AA20&lt;&gt;".",s_Irr!AY20&lt;&gt;"."),s_dir!AC20/((1/1000)*(s_Irr!AA20+s_Irr!AY20)),IF(AND(s_Irr!C20=".",s_Irr!AA20=".",s_Irr!AY20&lt;&gt;"."),s_dir!AC20/((1/1000)*(s_Irr!AY20)),IF(AND(s_Irr!C20=".",s_Irr!AA20&lt;&gt;".",s_Irr!AY20="."),s_dir!AC20/((1/1000)*(s_Irr!AA20)),IF(AND(s_Irr!C20&lt;&gt;".",s_Irr!AA20=".",s_Irr!AY20="."),s_dir!AC20/((1/1000)*(s_Irr!C20)),IF(AND(s_Irr!C20=".",s_Irr!AA20=".",s_Irr!AY20="."),s_dir!AC20*1000)))))))),".")</f>
        <v>.</v>
      </c>
      <c r="BC20" s="76" t="str">
        <f>IFERROR(IF(AND(s_Irr!D20&lt;&gt;".",s_Irr!AB20&lt;&gt;".",s_Irr!AZ20&lt;&gt;"."),s_dir!AD20/((1/1000)*(s_Irr!D20+s_Irr!AB20+s_Irr!AZ20)),IF(AND(s_Irr!D20&lt;&gt;".",s_Irr!AB20&lt;&gt;".",s_Irr!AZ20="."),s_dir!AD20/((1/1000)*(s_Irr!D20+s_Irr!AB20)),IF(AND(s_Irr!D20&lt;&gt;".",s_Irr!AB20=".",s_Irr!AZ20&lt;&gt;"."),s_dir!AD20/((1/1000)*(s_Irr!D20+s_Irr!AZ20)),IF(AND(s_Irr!D20=".",s_Irr!AB20&lt;&gt;".",s_Irr!AZ20&lt;&gt;"."),s_dir!AD20/((1/1000)*(s_Irr!AB20+s_Irr!AZ20)),IF(AND(s_Irr!D20=".",s_Irr!AB20=".",s_Irr!AZ20&lt;&gt;"."),s_dir!AD20/((1/1000)*(s_Irr!AZ20)),IF(AND(s_Irr!D20=".",s_Irr!AB20&lt;&gt;".",s_Irr!AZ20="."),s_dir!AD20/((1/1000)*(s_Irr!AB20)),IF(AND(s_Irr!D20&lt;&gt;".",s_Irr!AB20=".",s_Irr!AZ20="."),s_dir!AD20/((1/1000)*(s_Irr!D20)),IF(AND(s_Irr!D20=".",s_Irr!AB20=".",s_Irr!AZ20="."),s_dir!AD20*1000)))))))),".")</f>
        <v>.</v>
      </c>
      <c r="BD20" s="76" t="str">
        <f>IFERROR(IF(AND(s_Irr!E20&lt;&gt;".",s_Irr!AC20&lt;&gt;".",s_Irr!BA20&lt;&gt;"."),s_dir!AE20/((1/1000)*(s_Irr!E20+s_Irr!AC20+s_Irr!BA20)),IF(AND(s_Irr!E20&lt;&gt;".",s_Irr!AC20&lt;&gt;".",s_Irr!BA20="."),s_dir!AE20/((1/1000)*(s_Irr!E20+s_Irr!AC20)),IF(AND(s_Irr!E20&lt;&gt;".",s_Irr!AC20=".",s_Irr!BA20&lt;&gt;"."),s_dir!AE20/((1/1000)*(s_Irr!E20+s_Irr!BA20)),IF(AND(s_Irr!E20=".",s_Irr!AC20&lt;&gt;".",s_Irr!BA20&lt;&gt;"."),s_dir!AE20/((1/1000)*(s_Irr!AC20+s_Irr!BA20)),IF(AND(s_Irr!E20=".",s_Irr!AC20=".",s_Irr!BA20&lt;&gt;"."),s_dir!AE20/((1/1000)*(s_Irr!BA20)),IF(AND(s_Irr!E20=".",s_Irr!AC20&lt;&gt;".",s_Irr!BA20="."),s_dir!AE20/((1/1000)*(s_Irr!AC20)),IF(AND(s_Irr!E20&lt;&gt;".",s_Irr!AC20=".",s_Irr!BA20="."),s_dir!AE20/((1/1000)*(s_Irr!E20)),IF(AND(s_Irr!E20=".",s_Irr!AC20=".",s_Irr!BA20="."),s_dir!AE20*1000)))))))),".")</f>
        <v>.</v>
      </c>
      <c r="BE20" s="76" t="str">
        <f>IFERROR(IF(AND(s_Irr!F20&lt;&gt;".",s_Irr!AD20&lt;&gt;".",s_Irr!BB20&lt;&gt;"."),s_dir!AF20/((1/1000)*(s_Irr!F20+s_Irr!AD20+s_Irr!BB20)),IF(AND(s_Irr!F20&lt;&gt;".",s_Irr!AD20&lt;&gt;".",s_Irr!BB20="."),s_dir!AF20/((1/1000)*(s_Irr!F20+s_Irr!AD20)),IF(AND(s_Irr!F20&lt;&gt;".",s_Irr!AD20=".",s_Irr!BB20&lt;&gt;"."),s_dir!AF20/((1/1000)*(s_Irr!F20+s_Irr!BB20)),IF(AND(s_Irr!F20=".",s_Irr!AD20&lt;&gt;".",s_Irr!BB20&lt;&gt;"."),s_dir!AF20/((1/1000)*(s_Irr!AD20+s_Irr!BB20)),IF(AND(s_Irr!F20=".",s_Irr!AD20=".",s_Irr!BB20&lt;&gt;"."),s_dir!AF20/((1/1000)*(s_Irr!BB20)),IF(AND(s_Irr!F20=".",s_Irr!AD20&lt;&gt;".",s_Irr!BB20="."),s_dir!AF20/((1/1000)*(s_Irr!AD20)),IF(AND(s_Irr!F20&lt;&gt;".",s_Irr!AD20=".",s_Irr!BB20="."),s_dir!AF20/((1/1000)*(s_Irr!F20)),IF(AND(s_Irr!F20=".",s_Irr!AD20=".",s_Irr!BB20="."),s_dir!AF20*1000)))))))),".")</f>
        <v>.</v>
      </c>
      <c r="BF20" s="76" t="str">
        <f>IFERROR(IF(AND(s_Irr!G20&lt;&gt;".",s_Irr!AE20&lt;&gt;".",s_Irr!BC20&lt;&gt;"."),s_dir!AG20/((1/1000)*(s_Irr!G20+s_Irr!AE20+s_Irr!BC20)),IF(AND(s_Irr!G20&lt;&gt;".",s_Irr!AE20&lt;&gt;".",s_Irr!BC20="."),s_dir!AG20/((1/1000)*(s_Irr!G20+s_Irr!AE20)),IF(AND(s_Irr!G20&lt;&gt;".",s_Irr!AE20=".",s_Irr!BC20&lt;&gt;"."),s_dir!AG20/((1/1000)*(s_Irr!G20+s_Irr!BC20)),IF(AND(s_Irr!G20=".",s_Irr!AE20&lt;&gt;".",s_Irr!BC20&lt;&gt;"."),s_dir!AG20/((1/1000)*(s_Irr!AE20+s_Irr!BC20)),IF(AND(s_Irr!G20=".",s_Irr!AE20=".",s_Irr!BC20&lt;&gt;"."),s_dir!AG20/((1/1000)*(s_Irr!BC20)),IF(AND(s_Irr!G20=".",s_Irr!AE20&lt;&gt;".",s_Irr!BC20="."),s_dir!AG20/((1/1000)*(s_Irr!AE20)),IF(AND(s_Irr!G20&lt;&gt;".",s_Irr!AE20=".",s_Irr!BC20="."),s_dir!AG20/((1/1000)*(s_Irr!G20)),IF(AND(s_Irr!G20=".",s_Irr!AE20=".",s_Irr!BC20="."),s_dir!AG20*1000)))))))),".")</f>
        <v>.</v>
      </c>
      <c r="BG20" s="76" t="str">
        <f>IFERROR(IF(AND(s_Irr!H20&lt;&gt;".",s_Irr!AF20&lt;&gt;".",s_Irr!BD20&lt;&gt;"."),s_dir!AH20/((1/1000)*(s_Irr!H20+s_Irr!AF20+s_Irr!BD20)),IF(AND(s_Irr!H20&lt;&gt;".",s_Irr!AF20&lt;&gt;".",s_Irr!BD20="."),s_dir!AH20/((1/1000)*(s_Irr!H20+s_Irr!AF20)),IF(AND(s_Irr!H20&lt;&gt;".",s_Irr!AF20=".",s_Irr!BD20&lt;&gt;"."),s_dir!AH20/((1/1000)*(s_Irr!H20+s_Irr!BD20)),IF(AND(s_Irr!H20=".",s_Irr!AF20&lt;&gt;".",s_Irr!BD20&lt;&gt;"."),s_dir!AH20/((1/1000)*(s_Irr!AF20+s_Irr!BD20)),IF(AND(s_Irr!H20=".",s_Irr!AF20=".",s_Irr!BD20&lt;&gt;"."),s_dir!AH20/((1/1000)*(s_Irr!BD20)),IF(AND(s_Irr!H20=".",s_Irr!AF20&lt;&gt;".",s_Irr!BD20="."),s_dir!AH20/((1/1000)*(s_Irr!AF20)),IF(AND(s_Irr!H20&lt;&gt;".",s_Irr!AF20=".",s_Irr!BD20="."),s_dir!AH20/((1/1000)*(s_Irr!H20)),IF(AND(s_Irr!H20=".",s_Irr!AF20=".",s_Irr!BD20="."),s_dir!AH20*1000)))))))),".")</f>
        <v>.</v>
      </c>
      <c r="BH20" s="76" t="str">
        <f>IFERROR(IF(AND(s_Irr!I20&lt;&gt;".",s_Irr!AG20&lt;&gt;".",s_Irr!BE20&lt;&gt;"."),s_dir!AI20/((1/1000)*(s_Irr!I20+s_Irr!AG20+s_Irr!BE20)),IF(AND(s_Irr!I20&lt;&gt;".",s_Irr!AG20&lt;&gt;".",s_Irr!BE20="."),s_dir!AI20/((1/1000)*(s_Irr!I20+s_Irr!AG20)),IF(AND(s_Irr!I20&lt;&gt;".",s_Irr!AG20=".",s_Irr!BE20&lt;&gt;"."),s_dir!AI20/((1/1000)*(s_Irr!I20+s_Irr!BE20)),IF(AND(s_Irr!I20=".",s_Irr!AG20&lt;&gt;".",s_Irr!BE20&lt;&gt;"."),s_dir!AI20/((1/1000)*(s_Irr!AG20+s_Irr!BE20)),IF(AND(s_Irr!I20=".",s_Irr!AG20=".",s_Irr!BE20&lt;&gt;"."),s_dir!AI20/((1/1000)*(s_Irr!BE20)),IF(AND(s_Irr!I20=".",s_Irr!AG20&lt;&gt;".",s_Irr!BE20="."),s_dir!AI20/((1/1000)*(s_Irr!AG20)),IF(AND(s_Irr!I20&lt;&gt;".",s_Irr!AG20=".",s_Irr!BE20="."),s_dir!AI20/((1/1000)*(s_Irr!I20)),IF(AND(s_Irr!I20=".",s_Irr!AG20=".",s_Irr!BE20="."),s_dir!AI20*1000)))))))),".")</f>
        <v>.</v>
      </c>
      <c r="BI20" s="76" t="str">
        <f>IFERROR(IF(AND(s_Irr!J20&lt;&gt;".",s_Irr!AH20&lt;&gt;".",s_Irr!BF20&lt;&gt;"."),s_dir!AJ20/((1/1000)*(s_Irr!J20+s_Irr!AH20+s_Irr!BF20)),IF(AND(s_Irr!J20&lt;&gt;".",s_Irr!AH20&lt;&gt;".",s_Irr!BF20="."),s_dir!AJ20/((1/1000)*(s_Irr!J20+s_Irr!AH20)),IF(AND(s_Irr!J20&lt;&gt;".",s_Irr!AH20=".",s_Irr!BF20&lt;&gt;"."),s_dir!AJ20/((1/1000)*(s_Irr!J20+s_Irr!BF20)),IF(AND(s_Irr!J20=".",s_Irr!AH20&lt;&gt;".",s_Irr!BF20&lt;&gt;"."),s_dir!AJ20/((1/1000)*(s_Irr!AH20+s_Irr!BF20)),IF(AND(s_Irr!J20=".",s_Irr!AH20=".",s_Irr!BF20&lt;&gt;"."),s_dir!AJ20/((1/1000)*(s_Irr!BF20)),IF(AND(s_Irr!J20=".",s_Irr!AH20&lt;&gt;".",s_Irr!BF20="."),s_dir!AJ20/((1/1000)*(s_Irr!AH20)),IF(AND(s_Irr!J20&lt;&gt;".",s_Irr!AH20=".",s_Irr!BF20="."),s_dir!AJ20/((1/1000)*(s_Irr!J20)),IF(AND(s_Irr!J20=".",s_Irr!AH20=".",s_Irr!BF20="."),s_dir!AJ20*1000)))))))),".")</f>
        <v>.</v>
      </c>
      <c r="BJ20" s="76" t="str">
        <f>IFERROR(IF(AND(s_Irr!K20&lt;&gt;".",s_Irr!AI20&lt;&gt;".",s_Irr!BG20&lt;&gt;"."),s_dir!AK20/((1/1000)*(s_Irr!K20+s_Irr!AI20+s_Irr!BG20)),IF(AND(s_Irr!K20&lt;&gt;".",s_Irr!AI20&lt;&gt;".",s_Irr!BG20="."),s_dir!AK20/((1/1000)*(s_Irr!K20+s_Irr!AI20)),IF(AND(s_Irr!K20&lt;&gt;".",s_Irr!AI20=".",s_Irr!BG20&lt;&gt;"."),s_dir!AK20/((1/1000)*(s_Irr!K20+s_Irr!BG20)),IF(AND(s_Irr!K20=".",s_Irr!AI20&lt;&gt;".",s_Irr!BG20&lt;&gt;"."),s_dir!AK20/((1/1000)*(s_Irr!AI20+s_Irr!BG20)),IF(AND(s_Irr!K20=".",s_Irr!AI20=".",s_Irr!BG20&lt;&gt;"."),s_dir!AK20/((1/1000)*(s_Irr!BG20)),IF(AND(s_Irr!K20=".",s_Irr!AI20&lt;&gt;".",s_Irr!BG20="."),s_dir!AK20/((1/1000)*(s_Irr!AI20)),IF(AND(s_Irr!K20&lt;&gt;".",s_Irr!AI20=".",s_Irr!BG20="."),s_dir!AK20/((1/1000)*(s_Irr!K20)),IF(AND(s_Irr!K20=".",s_Irr!AI20=".",s_Irr!BG20="."),s_dir!AK20*1000)))))))),".")</f>
        <v>.</v>
      </c>
      <c r="BK20" s="76" t="str">
        <f>IFERROR(IF(AND(s_Irr!L20&lt;&gt;".",s_Irr!AJ20&lt;&gt;".",s_Irr!BH20&lt;&gt;"."),s_dir!AL20/((1/1000)*(s_Irr!L20+s_Irr!AJ20+s_Irr!BH20)),IF(AND(s_Irr!L20&lt;&gt;".",s_Irr!AJ20&lt;&gt;".",s_Irr!BH20="."),s_dir!AL20/((1/1000)*(s_Irr!L20+s_Irr!AJ20)),IF(AND(s_Irr!L20&lt;&gt;".",s_Irr!AJ20=".",s_Irr!BH20&lt;&gt;"."),s_dir!AL20/((1/1000)*(s_Irr!L20+s_Irr!BH20)),IF(AND(s_Irr!L20=".",s_Irr!AJ20&lt;&gt;".",s_Irr!BH20&lt;&gt;"."),s_dir!AL20/((1/1000)*(s_Irr!AJ20+s_Irr!BH20)),IF(AND(s_Irr!L20=".",s_Irr!AJ20=".",s_Irr!BH20&lt;&gt;"."),s_dir!AL20/((1/1000)*(s_Irr!BH20)),IF(AND(s_Irr!L20=".",s_Irr!AJ20&lt;&gt;".",s_Irr!BH20="."),s_dir!AL20/((1/1000)*(s_Irr!AJ20)),IF(AND(s_Irr!L20&lt;&gt;".",s_Irr!AJ20=".",s_Irr!BH20="."),s_dir!AL20/((1/1000)*(s_Irr!L20)),IF(AND(s_Irr!L20=".",s_Irr!AJ20=".",s_Irr!BH20="."),s_dir!AL20*1000)))))))),".")</f>
        <v>.</v>
      </c>
      <c r="BL20" s="76" t="str">
        <f>IFERROR(IF(AND(s_Irr!M20&lt;&gt;".",s_Irr!AK20&lt;&gt;".",s_Irr!BI20&lt;&gt;"."),s_dir!AM20/((1/1000)*(s_Irr!M20+s_Irr!AK20+s_Irr!BI20)),IF(AND(s_Irr!M20&lt;&gt;".",s_Irr!AK20&lt;&gt;".",s_Irr!BI20="."),s_dir!AM20/((1/1000)*(s_Irr!M20+s_Irr!AK20)),IF(AND(s_Irr!M20&lt;&gt;".",s_Irr!AK20=".",s_Irr!BI20&lt;&gt;"."),s_dir!AM20/((1/1000)*(s_Irr!M20+s_Irr!BI20)),IF(AND(s_Irr!M20=".",s_Irr!AK20&lt;&gt;".",s_Irr!BI20&lt;&gt;"."),s_dir!AM20/((1/1000)*(s_Irr!AK20+s_Irr!BI20)),IF(AND(s_Irr!M20=".",s_Irr!AK20=".",s_Irr!BI20&lt;&gt;"."),s_dir!AM20/((1/1000)*(s_Irr!BI20)),IF(AND(s_Irr!M20=".",s_Irr!AK20&lt;&gt;".",s_Irr!BI20="."),s_dir!AM20/((1/1000)*(s_Irr!AK20)),IF(AND(s_Irr!M20&lt;&gt;".",s_Irr!AK20=".",s_Irr!BI20="."),s_dir!AM20/((1/1000)*(s_Irr!M20)),IF(AND(s_Irr!M20=".",s_Irr!AK20=".",s_Irr!BI20="."),s_dir!AM20*1000)))))))),".")</f>
        <v>.</v>
      </c>
      <c r="BM20" s="76" t="str">
        <f>IFERROR(IF(AND(s_Irr!N20&lt;&gt;".",s_Irr!AL20&lt;&gt;".",s_Irr!BJ20&lt;&gt;"."),s_dir!AN20/((1/1000)*(s_Irr!N20+s_Irr!AL20+s_Irr!BJ20)),IF(AND(s_Irr!N20&lt;&gt;".",s_Irr!AL20&lt;&gt;".",s_Irr!BJ20="."),s_dir!AN20/((1/1000)*(s_Irr!N20+s_Irr!AL20)),IF(AND(s_Irr!N20&lt;&gt;".",s_Irr!AL20=".",s_Irr!BJ20&lt;&gt;"."),s_dir!AN20/((1/1000)*(s_Irr!N20+s_Irr!BJ20)),IF(AND(s_Irr!N20=".",s_Irr!AL20&lt;&gt;".",s_Irr!BJ20&lt;&gt;"."),s_dir!AN20/((1/1000)*(s_Irr!AL20+s_Irr!BJ20)),IF(AND(s_Irr!N20=".",s_Irr!AL20=".",s_Irr!BJ20&lt;&gt;"."),s_dir!AN20/((1/1000)*(s_Irr!BJ20)),IF(AND(s_Irr!N20=".",s_Irr!AL20&lt;&gt;".",s_Irr!BJ20="."),s_dir!AN20/((1/1000)*(s_Irr!AL20)),IF(AND(s_Irr!N20&lt;&gt;".",s_Irr!AL20=".",s_Irr!BJ20="."),s_dir!AN20/((1/1000)*(s_Irr!N20)),IF(AND(s_Irr!N20=".",s_Irr!AL20=".",s_Irr!BJ20="."),s_dir!AN20*1000)))))))),".")</f>
        <v>.</v>
      </c>
      <c r="BN20" s="76" t="str">
        <f>IFERROR(IF(AND(s_Irr!O20&lt;&gt;".",s_Irr!AM20&lt;&gt;".",s_Irr!BK20&lt;&gt;"."),s_dir!AO20/((1/1000)*(s_Irr!O20+s_Irr!AM20+s_Irr!BK20)),IF(AND(s_Irr!O20&lt;&gt;".",s_Irr!AM20&lt;&gt;".",s_Irr!BK20="."),s_dir!AO20/((1/1000)*(s_Irr!O20+s_Irr!AM20)),IF(AND(s_Irr!O20&lt;&gt;".",s_Irr!AM20=".",s_Irr!BK20&lt;&gt;"."),s_dir!AO20/((1/1000)*(s_Irr!O20+s_Irr!BK20)),IF(AND(s_Irr!O20=".",s_Irr!AM20&lt;&gt;".",s_Irr!BK20&lt;&gt;"."),s_dir!AO20/((1/1000)*(s_Irr!AM20+s_Irr!BK20)),IF(AND(s_Irr!O20=".",s_Irr!AM20=".",s_Irr!BK20&lt;&gt;"."),s_dir!AO20/((1/1000)*(s_Irr!BK20)),IF(AND(s_Irr!O20=".",s_Irr!AM20&lt;&gt;".",s_Irr!BK20="."),s_dir!AO20/((1/1000)*(s_Irr!AM20)),IF(AND(s_Irr!O20&lt;&gt;".",s_Irr!AM20=".",s_Irr!BK20="."),s_dir!AO20/((1/1000)*(s_Irr!O20)),IF(AND(s_Irr!O20=".",s_Irr!AM20=".",s_Irr!BK20="."),s_dir!AO20*1000)))))))),".")</f>
        <v>.</v>
      </c>
      <c r="BO20" s="76" t="str">
        <f>IFERROR(IF(AND(s_Irr!P20&lt;&gt;".",s_Irr!AN20&lt;&gt;".",s_Irr!BL20&lt;&gt;"."),s_dir!AP20/((1/1000)*(s_Irr!P20+s_Irr!AN20+s_Irr!BL20)),IF(AND(s_Irr!P20&lt;&gt;".",s_Irr!AN20&lt;&gt;".",s_Irr!BL20="."),s_dir!AP20/((1/1000)*(s_Irr!P20+s_Irr!AN20)),IF(AND(s_Irr!P20&lt;&gt;".",s_Irr!AN20=".",s_Irr!BL20&lt;&gt;"."),s_dir!AP20/((1/1000)*(s_Irr!P20+s_Irr!BL20)),IF(AND(s_Irr!P20=".",s_Irr!AN20&lt;&gt;".",s_Irr!BL20&lt;&gt;"."),s_dir!AP20/((1/1000)*(s_Irr!AN20+s_Irr!BL20)),IF(AND(s_Irr!P20=".",s_Irr!AN20=".",s_Irr!BL20&lt;&gt;"."),s_dir!AP20/((1/1000)*(s_Irr!BL20)),IF(AND(s_Irr!P20=".",s_Irr!AN20&lt;&gt;".",s_Irr!BL20="."),s_dir!AP20/((1/1000)*(s_Irr!AN20)),IF(AND(s_Irr!P20&lt;&gt;".",s_Irr!AN20=".",s_Irr!BL20="."),s_dir!AP20/((1/1000)*(s_Irr!P20)),IF(AND(s_Irr!P20=".",s_Irr!AN20=".",s_Irr!BL20="."),s_dir!AP20*1000)))))))),".")</f>
        <v>.</v>
      </c>
      <c r="BP20" s="76" t="str">
        <f>IFERROR(IF(AND(s_Irr!Q20&lt;&gt;".",s_Irr!AO20&lt;&gt;".",s_Irr!BM20&lt;&gt;"."),s_dir!AQ20/((1/1000)*(s_Irr!Q20+s_Irr!AO20+s_Irr!BM20)),IF(AND(s_Irr!Q20&lt;&gt;".",s_Irr!AO20&lt;&gt;".",s_Irr!BM20="."),s_dir!AQ20/((1/1000)*(s_Irr!Q20+s_Irr!AO20)),IF(AND(s_Irr!Q20&lt;&gt;".",s_Irr!AO20=".",s_Irr!BM20&lt;&gt;"."),s_dir!AQ20/((1/1000)*(s_Irr!Q20+s_Irr!BM20)),IF(AND(s_Irr!Q20=".",s_Irr!AO20&lt;&gt;".",s_Irr!BM20&lt;&gt;"."),s_dir!AQ20/((1/1000)*(s_Irr!AO20+s_Irr!BM20)),IF(AND(s_Irr!Q20=".",s_Irr!AO20=".",s_Irr!BM20&lt;&gt;"."),s_dir!AQ20/((1/1000)*(s_Irr!BM20)),IF(AND(s_Irr!Q20=".",s_Irr!AO20&lt;&gt;".",s_Irr!BM20="."),s_dir!AQ20/((1/1000)*(s_Irr!AO20)),IF(AND(s_Irr!Q20&lt;&gt;".",s_Irr!AO20=".",s_Irr!BM20="."),s_dir!AQ20/((1/1000)*(s_Irr!Q20)),IF(AND(s_Irr!Q20=".",s_Irr!AO20=".",s_Irr!BM20="."),s_dir!AQ20*1000)))))))),".")</f>
        <v>.</v>
      </c>
      <c r="BQ20" s="76" t="str">
        <f>IFERROR(IF(AND(s_Irr!R20&lt;&gt;".",s_Irr!AP20&lt;&gt;".",s_Irr!BN20&lt;&gt;"."),s_dir!AR20/((1/1000)*(s_Irr!R20+s_Irr!AP20+s_Irr!BN20)),IF(AND(s_Irr!R20&lt;&gt;".",s_Irr!AP20&lt;&gt;".",s_Irr!BN20="."),s_dir!AR20/((1/1000)*(s_Irr!R20+s_Irr!AP20)),IF(AND(s_Irr!R20&lt;&gt;".",s_Irr!AP20=".",s_Irr!BN20&lt;&gt;"."),s_dir!AR20/((1/1000)*(s_Irr!R20+s_Irr!BN20)),IF(AND(s_Irr!R20=".",s_Irr!AP20&lt;&gt;".",s_Irr!BN20&lt;&gt;"."),s_dir!AR20/((1/1000)*(s_Irr!AP20+s_Irr!BN20)),IF(AND(s_Irr!R20=".",s_Irr!AP20=".",s_Irr!BN20&lt;&gt;"."),s_dir!AR20/((1/1000)*(s_Irr!BN20)),IF(AND(s_Irr!R20=".",s_Irr!AP20&lt;&gt;".",s_Irr!BN20="."),s_dir!AR20/((1/1000)*(s_Irr!AP20)),IF(AND(s_Irr!R20&lt;&gt;".",s_Irr!AP20=".",s_Irr!BN20="."),s_dir!AR20/((1/1000)*(s_Irr!R20)),IF(AND(s_Irr!R20=".",s_Irr!AP20=".",s_Irr!BN20="."),s_dir!AR20*1000)))))))),".")</f>
        <v>.</v>
      </c>
      <c r="BR20" s="76" t="str">
        <f>IFERROR(IF(AND(s_Irr!S20&lt;&gt;".",s_Irr!AQ20&lt;&gt;".",s_Irr!BO20&lt;&gt;"."),s_dir!AS20/((1/1000)*(s_Irr!S20+s_Irr!AQ20+s_Irr!BO20)),IF(AND(s_Irr!S20&lt;&gt;".",s_Irr!AQ20&lt;&gt;".",s_Irr!BO20="."),s_dir!AS20/((1/1000)*(s_Irr!S20+s_Irr!AQ20)),IF(AND(s_Irr!S20&lt;&gt;".",s_Irr!AQ20=".",s_Irr!BO20&lt;&gt;"."),s_dir!AS20/((1/1000)*(s_Irr!S20+s_Irr!BO20)),IF(AND(s_Irr!S20=".",s_Irr!AQ20&lt;&gt;".",s_Irr!BO20&lt;&gt;"."),s_dir!AS20/((1/1000)*(s_Irr!AQ20+s_Irr!BO20)),IF(AND(s_Irr!S20=".",s_Irr!AQ20=".",s_Irr!BO20&lt;&gt;"."),s_dir!AS20/((1/1000)*(s_Irr!BO20)),IF(AND(s_Irr!S20=".",s_Irr!AQ20&lt;&gt;".",s_Irr!BO20="."),s_dir!AS20/((1/1000)*(s_Irr!AQ20)),IF(AND(s_Irr!S20&lt;&gt;".",s_Irr!AQ20=".",s_Irr!BO20="."),s_dir!AS20/((1/1000)*(s_Irr!S20)),IF(AND(s_Irr!S20=".",s_Irr!AQ20=".",s_Irr!BO20="."),s_dir!AS20*1000)))))))),".")</f>
        <v>.</v>
      </c>
      <c r="BS20" s="76" t="str">
        <f>IFERROR(IF(AND(s_Irr!T20&lt;&gt;".",s_Irr!AR20&lt;&gt;".",s_Irr!BP20&lt;&gt;"."),s_dir!AT20/((1/1000)*(s_Irr!T20+s_Irr!AR20+s_Irr!BP20)),IF(AND(s_Irr!T20&lt;&gt;".",s_Irr!AR20&lt;&gt;".",s_Irr!BP20="."),s_dir!AT20/((1/1000)*(s_Irr!T20+s_Irr!AR20)),IF(AND(s_Irr!T20&lt;&gt;".",s_Irr!AR20=".",s_Irr!BP20&lt;&gt;"."),s_dir!AT20/((1/1000)*(s_Irr!T20+s_Irr!BP20)),IF(AND(s_Irr!T20=".",s_Irr!AR20&lt;&gt;".",s_Irr!BP20&lt;&gt;"."),s_dir!AT20/((1/1000)*(s_Irr!AR20+s_Irr!BP20)),IF(AND(s_Irr!T20=".",s_Irr!AR20=".",s_Irr!BP20&lt;&gt;"."),s_dir!AT20/((1/1000)*(s_Irr!BP20)),IF(AND(s_Irr!T20=".",s_Irr!AR20&lt;&gt;".",s_Irr!BP20="."),s_dir!AT20/((1/1000)*(s_Irr!AR20)),IF(AND(s_Irr!T20&lt;&gt;".",s_Irr!AR20=".",s_Irr!BP20="."),s_dir!AT20/((1/1000)*(s_Irr!T20)),IF(AND(s_Irr!T20=".",s_Irr!AR20=".",s_Irr!BP20="."),s_dir!AT20*1000)))))))),".")</f>
        <v>.</v>
      </c>
      <c r="BT20" s="76" t="str">
        <f>IFERROR(IF(AND(s_Irr!U20&lt;&gt;".",s_Irr!AS20&lt;&gt;".",s_Irr!BQ20&lt;&gt;"."),s_dir!AU20/((1/1000)*(s_Irr!U20+s_Irr!AS20+s_Irr!BQ20)),IF(AND(s_Irr!U20&lt;&gt;".",s_Irr!AS20&lt;&gt;".",s_Irr!BQ20="."),s_dir!AU20/((1/1000)*(s_Irr!U20+s_Irr!AS20)),IF(AND(s_Irr!U20&lt;&gt;".",s_Irr!AS20=".",s_Irr!BQ20&lt;&gt;"."),s_dir!AU20/((1/1000)*(s_Irr!U20+s_Irr!BQ20)),IF(AND(s_Irr!U20=".",s_Irr!AS20&lt;&gt;".",s_Irr!BQ20&lt;&gt;"."),s_dir!AU20/((1/1000)*(s_Irr!AS20+s_Irr!BQ20)),IF(AND(s_Irr!U20=".",s_Irr!AS20=".",s_Irr!BQ20&lt;&gt;"."),s_dir!AU20/((1/1000)*(s_Irr!BQ20)),IF(AND(s_Irr!U20=".",s_Irr!AS20&lt;&gt;".",s_Irr!BQ20="."),s_dir!AU20/((1/1000)*(s_Irr!AS20)),IF(AND(s_Irr!U20&lt;&gt;".",s_Irr!AS20=".",s_Irr!BQ20="."),s_dir!AU20/((1/1000)*(s_Irr!U20)),IF(AND(s_Irr!U20=".",s_Irr!AS20=".",s_Irr!BQ20="."),s_dir!AU20*1000)))))))),".")</f>
        <v>.</v>
      </c>
      <c r="BU20" s="76" t="str">
        <f>IFERROR(IF(AND(s_Irr!V20&lt;&gt;".",s_Irr!AT20&lt;&gt;".",s_Irr!BR20&lt;&gt;"."),s_dir!AV20/((1/1000)*(s_Irr!V20+s_Irr!AT20+s_Irr!BR20)),IF(AND(s_Irr!V20&lt;&gt;".",s_Irr!AT20&lt;&gt;".",s_Irr!BR20="."),s_dir!AV20/((1/1000)*(s_Irr!V20+s_Irr!AT20)),IF(AND(s_Irr!V20&lt;&gt;".",s_Irr!AT20=".",s_Irr!BR20&lt;&gt;"."),s_dir!AV20/((1/1000)*(s_Irr!V20+s_Irr!BR20)),IF(AND(s_Irr!V20=".",s_Irr!AT20&lt;&gt;".",s_Irr!BR20&lt;&gt;"."),s_dir!AV20/((1/1000)*(s_Irr!AT20+s_Irr!BR20)),IF(AND(s_Irr!V20=".",s_Irr!AT20=".",s_Irr!BR20&lt;&gt;"."),s_dir!AV20/((1/1000)*(s_Irr!BR20)),IF(AND(s_Irr!V20=".",s_Irr!AT20&lt;&gt;".",s_Irr!BR20="."),s_dir!AV20/((1/1000)*(s_Irr!AT20)),IF(AND(s_Irr!V20&lt;&gt;".",s_Irr!AT20=".",s_Irr!BR20="."),s_dir!AV20/((1/1000)*(s_Irr!V20)),IF(AND(s_Irr!V20=".",s_Irr!AT20=".",s_Irr!BR20="."),s_dir!AV20*1000)))))))),".")</f>
        <v>.</v>
      </c>
      <c r="BV20" s="76" t="str">
        <f>IFERROR(IF(AND(s_Irr!W20&lt;&gt;".",s_Irr!AU20&lt;&gt;".",s_Irr!BS20&lt;&gt;"."),s_dir!AW20/((1/1000)*(s_Irr!W20+s_Irr!AU20+s_Irr!BS20)),IF(AND(s_Irr!W20&lt;&gt;".",s_Irr!AU20&lt;&gt;".",s_Irr!BS20="."),s_dir!AW20/((1/1000)*(s_Irr!W20+s_Irr!AU20)),IF(AND(s_Irr!W20&lt;&gt;".",s_Irr!AU20=".",s_Irr!BS20&lt;&gt;"."),s_dir!AW20/((1/1000)*(s_Irr!W20+s_Irr!BS20)),IF(AND(s_Irr!W20=".",s_Irr!AU20&lt;&gt;".",s_Irr!BS20&lt;&gt;"."),s_dir!AW20/((1/1000)*(s_Irr!AU20+s_Irr!BS20)),IF(AND(s_Irr!W20=".",s_Irr!AU20=".",s_Irr!BS20&lt;&gt;"."),s_dir!AW20/((1/1000)*(s_Irr!BS20)),IF(AND(s_Irr!W20=".",s_Irr!AU20&lt;&gt;".",s_Irr!BS20="."),s_dir!AW20/((1/1000)*(s_Irr!AU20)),IF(AND(s_Irr!W20&lt;&gt;".",s_Irr!AU20=".",s_Irr!BS20="."),s_dir!AW20/((1/1000)*(s_Irr!W20)),IF(AND(s_Irr!W20=".",s_Irr!AU20=".",s_Irr!BS20="."),s_dir!AW20*1000)))))))),".")</f>
        <v>.</v>
      </c>
      <c r="BW20" s="76" t="str">
        <f>IFERROR(IF(AND(s_Irr!X20&lt;&gt;".",s_Irr!AV20&lt;&gt;".",s_Irr!BT20&lt;&gt;"."),s_dir!AX20/((1/1000)*(s_Irr!X20+s_Irr!AV20+s_Irr!BT20)),IF(AND(s_Irr!X20&lt;&gt;".",s_Irr!AV20&lt;&gt;".",s_Irr!BT20="."),s_dir!AX20/((1/1000)*(s_Irr!X20+s_Irr!AV20)),IF(AND(s_Irr!X20&lt;&gt;".",s_Irr!AV20=".",s_Irr!BT20&lt;&gt;"."),s_dir!AX20/((1/1000)*(s_Irr!X20+s_Irr!BT20)),IF(AND(s_Irr!X20=".",s_Irr!AV20&lt;&gt;".",s_Irr!BT20&lt;&gt;"."),s_dir!AX20/((1/1000)*(s_Irr!AV20+s_Irr!BT20)),IF(AND(s_Irr!X20=".",s_Irr!AV20=".",s_Irr!BT20&lt;&gt;"."),s_dir!AX20/((1/1000)*(s_Irr!BT20)),IF(AND(s_Irr!X20=".",s_Irr!AV20&lt;&gt;".",s_Irr!BT20="."),s_dir!AX20/((1/1000)*(s_Irr!AV20)),IF(AND(s_Irr!X20&lt;&gt;".",s_Irr!AV20=".",s_Irr!BT20="."),s_dir!AX20/((1/1000)*(s_Irr!X20)),IF(AND(s_Irr!X20=".",s_Irr!AV20=".",s_Irr!BT20="."),s_dir!AX20*1000)))))))),".")</f>
        <v>.</v>
      </c>
      <c r="BX20" s="76" t="str">
        <f>IFERROR(IF(AND(s_Irr!Y20&lt;&gt;".",s_Irr!AW20&lt;&gt;".",s_Irr!BU20&lt;&gt;"."),s_dir!AY20/((1/1000)*(s_Irr!Y20+s_Irr!AW20+s_Irr!BU20)),IF(AND(s_Irr!Y20&lt;&gt;".",s_Irr!AW20&lt;&gt;".",s_Irr!BU20="."),s_dir!AY20/((1/1000)*(s_Irr!Y20+s_Irr!AW20)),IF(AND(s_Irr!Y20&lt;&gt;".",s_Irr!AW20=".",s_Irr!BU20&lt;&gt;"."),s_dir!AY20/((1/1000)*(s_Irr!Y20+s_Irr!BU20)),IF(AND(s_Irr!Y20=".",s_Irr!AW20&lt;&gt;".",s_Irr!BU20&lt;&gt;"."),s_dir!AY20/((1/1000)*(s_Irr!AW20+s_Irr!BU20)),IF(AND(s_Irr!Y20=".",s_Irr!AW20=".",s_Irr!BU20&lt;&gt;"."),s_dir!AY20/((1/1000)*(s_Irr!BU20)),IF(AND(s_Irr!Y20=".",s_Irr!AW20&lt;&gt;".",s_Irr!BU20="."),s_dir!AY20/((1/1000)*(s_Irr!AW20)),IF(AND(s_Irr!Y20&lt;&gt;".",s_Irr!AW20=".",s_Irr!BU20="."),s_dir!AY20/((1/1000)*(s_Irr!Y20)),IF(AND(s_Irr!Y20=".",s_Irr!AW20=".",s_Irr!BU20="."),s_dir!AY20*1000)))))))),".")</f>
        <v>.</v>
      </c>
      <c r="BY20" s="76" t="str">
        <f>IFERROR(IF(AND(s_Irr!Z20&lt;&gt;".",s_Irr!AX20&lt;&gt;".",s_Irr!BV20&lt;&gt;"."),s_dir!AZ20/((1/1000)*(s_Irr!Z20+s_Irr!AX20+s_Irr!BV20)),IF(AND(s_Irr!Z20&lt;&gt;".",s_Irr!AX20&lt;&gt;".",s_Irr!BV20="."),s_dir!AZ20/((1/1000)*(s_Irr!Z20+s_Irr!AX20)),IF(AND(s_Irr!Z20&lt;&gt;".",s_Irr!AX20=".",s_Irr!BV20&lt;&gt;"."),s_dir!AZ20/((1/1000)*(s_Irr!Z20+s_Irr!BV20)),IF(AND(s_Irr!Z20=".",s_Irr!AX20&lt;&gt;".",s_Irr!BV20&lt;&gt;"."),s_dir!AZ20/((1/1000)*(s_Irr!AX20+s_Irr!BV20)),IF(AND(s_Irr!Z20=".",s_Irr!AX20=".",s_Irr!BV20&lt;&gt;"."),s_dir!AZ20/((1/1000)*(s_Irr!BV20)),IF(AND(s_Irr!Z20=".",s_Irr!AX20&lt;&gt;".",s_Irr!BV20="."),s_dir!AZ20/((1/1000)*(s_Irr!AX20)),IF(AND(s_Irr!Z20&lt;&gt;".",s_Irr!AX20=".",s_Irr!BV20="."),s_dir!AZ20/((1/1000)*(s_Irr!Z20)),IF(AND(s_Irr!Z20=".",s_Irr!AX20=".",s_Irr!BV20="."),s_dir!AZ20*1000)))))))),".")</f>
        <v>.</v>
      </c>
      <c r="BZ20" s="93">
        <f t="shared" si="23"/>
        <v>700.26213124716605</v>
      </c>
      <c r="CA20" s="93">
        <f>IFERROR(s_C*s_IFAP_far_adj*s_CF_apple*(1/1000)*(s_Irr!C20+s_Irr!AA20+s_Irr!AY20),".")</f>
        <v>161.37753664539483</v>
      </c>
      <c r="CB20" s="93">
        <f>IFERROR(s_C*s_IFAS_far_adj*s_CF_asparagus*(1/1000)*(s_Irr!D20+s_Irr!AB20+s_Irr!AZ20),".")</f>
        <v>181.04890838153378</v>
      </c>
      <c r="CC20" s="93">
        <f>IFERROR(s_C*s_IFBT_far_adj*s_CF_beet*(1/1000)*(s_Irr!E20+s_Irr!AC20+s_Irr!BA20),".")</f>
        <v>176.67749244016957</v>
      </c>
      <c r="CD20" s="93">
        <f>IFERROR(s_C*s_IFBE_far_adj*s_CF_berries*(1/1000)*(s_Irr!F20+s_Irr!AD20+s_Irr!BB20),".")</f>
        <v>161.37753664539483</v>
      </c>
      <c r="CE20" s="93">
        <f>IFERROR(s_C*s_IFBR_far_adj*s_CF_broccoli*(1/1000)*(s_Irr!G20+s_Irr!AE20+s_Irr!BC20),".")</f>
        <v>161.37753664539483</v>
      </c>
      <c r="CF20" s="93">
        <f>IFERROR(s_C*s_IFCB_far_adj*s_CF_cabbage*(1/1000)*(s_Irr!H20+s_Irr!AF20+s_Irr!BD20),".")</f>
        <v>181.04890838153378</v>
      </c>
      <c r="CG20" s="93">
        <f>IFERROR(s_C*s_IFCR_far_adj*s_CF_carrot*(1/1000)*(s_Irr!I20+s_Irr!AG20+s_Irr!BE20),".")</f>
        <v>176.67749244016957</v>
      </c>
      <c r="CH20" s="93">
        <f>IFERROR(s_C*s_IFCI_far_adj*s_CF_citrus*(1/1000)*(s_Irr!J20+s_Irr!AH20+s_Irr!BF20),".")</f>
        <v>161.37753664539483</v>
      </c>
      <c r="CI20" s="93">
        <f>IFERROR(s_C*s_IFCO_far_adj*s_CF_corn*(1/1000)*(s_Irr!K20+s_Irr!AI20+s_Irr!BG20),".")</f>
        <v>161.48682204392892</v>
      </c>
      <c r="CJ20" s="93">
        <f>IFERROR(s_C*s_IFCU_far_adj*s_CF_cucumber*(1/1000)*(s_Irr!L20+s_Irr!AJ20+s_Irr!BH20),".")</f>
        <v>161.37753664539483</v>
      </c>
      <c r="CK20" s="93">
        <f>IFERROR(s_C*s_IFLE_far_adj*s_CF_lettuce*(1/1000)*(s_Irr!M20+s_Irr!AK20+s_Irr!BI20),".")</f>
        <v>181.04890838153378</v>
      </c>
      <c r="CL20" s="93">
        <f>IFERROR(s_C*s_IFLI_far_adj*s_CF_lima_bean*(1/1000)*(s_Irr!N20+s_Irr!AL20+s_Irr!BJ20),".")</f>
        <v>161.56878609282953</v>
      </c>
      <c r="CM20" s="93">
        <f>IFERROR(s_C*s_IFOK_far_adj*s_CF_okra*(1/1000)*(s_Irr!O20+s_Irr!AM20+s_Irr!BK20),".")</f>
        <v>161.37753664539483</v>
      </c>
      <c r="CN20" s="93">
        <f>IFERROR(s_C*s_IFON_far_adj*s_CF_onion*(1/1000)*(s_Irr!P20+s_Irr!AN20+s_Irr!BL20),".")</f>
        <v>161.37753664539483</v>
      </c>
      <c r="CO20" s="93">
        <f>IFERROR(s_C*s_IFPC_far_adj*s_CF_peach*(1/1000)*(s_Irr!Q20+s_Irr!AO20+s_Irr!BM20),".")</f>
        <v>161.37753664539483</v>
      </c>
      <c r="CP20" s="93">
        <f>IFERROR(s_C*s_IFPR_far_adj*s_CF_pear*(1/1000)*(s_Irr!R20+s_Irr!AP20+s_Irr!BN20),".")</f>
        <v>161.37753664539483</v>
      </c>
      <c r="CQ20" s="93">
        <f>IFERROR(s_C*s_IFPE_far_adj*s_CF_peas*(1/1000)*(s_Irr!S20+s_Irr!AQ20+s_Irr!BO20),".")</f>
        <v>161.56878609282953</v>
      </c>
      <c r="CR20" s="93">
        <f>IFERROR(s_C*s_IFPT_far_adj*s_CF_potato*(1/1000)*(s_Irr!T20+s_Irr!AR20+s_Irr!BP20),".")</f>
        <v>168.20787405377641</v>
      </c>
      <c r="CS20" s="93">
        <f>IFERROR(s_C*s_IFPU_far_adj*s_CF_pumpkin*(1/1000)*(s_Irr!U20+s_Irr!AS20+s_Irr!BQ20),".")</f>
        <v>161.37753664539483</v>
      </c>
      <c r="CT20" s="93">
        <f>IFERROR(s_C*s_IFSN_far_adj*s_CF_snap_bean*(1/1000)*(s_Irr!V20+s_Irr!AT20+s_Irr!BR20),".")</f>
        <v>161.56878609282953</v>
      </c>
      <c r="CU20" s="93">
        <f>IFERROR(s_C*s_IFST_far_adj*s_CF_strawberry*(1/1000)*(s_Irr!W20+s_Irr!AU20+s_Irr!BS20),".")</f>
        <v>161.37753664539483</v>
      </c>
      <c r="CV20" s="93">
        <f>IFERROR(s_C*s_IFTO_far_adj*s_CF_tomato*(1/1000)*(s_Irr!X20+s_Irr!AV20+s_Irr!BT20),".")</f>
        <v>161.37753664539483</v>
      </c>
      <c r="CW20" s="93">
        <f>IFERROR(s_C*s_IFRI_far_adj*s_CF_rice*(1/1000)*(s_Irr!Y20+s_Irr!AW20+s_Irr!BU20),".")</f>
        <v>196.34886417630852</v>
      </c>
      <c r="CX20" s="93">
        <f>IFERROR(s_C*s_IFCG_far_adj*s_CF_cereal*(1/1000)*(s_Irr!Z20+s_Irr!AX20+s_Irr!BV20),".")</f>
        <v>161.48682204392892</v>
      </c>
    </row>
    <row r="21" spans="1:102" ht="15" customHeight="1" x14ac:dyDescent="0.25">
      <c r="A21" s="92" t="s">
        <v>31</v>
      </c>
      <c r="B21" s="90" t="s">
        <v>1074</v>
      </c>
      <c r="C21" s="76" t="str">
        <f t="shared" si="18"/>
        <v>.</v>
      </c>
      <c r="D21" s="76" t="str">
        <f>IFERROR(IF(AND(s_Irr!C21&lt;&gt;".",s_Irr!AA21&lt;&gt;".",s_Irr!AY21&lt;&gt;"."),s_dir!D21/((1/1000)*(s_Irr!C21+s_Irr!AA21+s_Irr!AY21)),IF(AND(s_Irr!C21&lt;&gt;".",s_Irr!AA21&lt;&gt;".",s_Irr!AY21="."),s_dir!D21/((1/1000)*(s_Irr!C21+s_Irr!AA21)),IF(AND(s_Irr!C21&lt;&gt;".",s_Irr!AA21=".",s_Irr!AY21&lt;&gt;"."),s_dir!D21/((1/1000)*(s_Irr!C21+s_Irr!AY21)),IF(AND(s_Irr!C21=".",s_Irr!AA21&lt;&gt;".",s_Irr!AY21&lt;&gt;"."),s_dir!D21/((1/1000)*(s_Irr!AA21+s_Irr!AY21)),IF(AND(s_Irr!C21=".",s_Irr!AA21=".",s_Irr!AY21&lt;&gt;"."),s_dir!D21/((1/1000)*(s_Irr!AY21)),IF(AND(s_Irr!C21=".",s_Irr!AA21&lt;&gt;".",s_Irr!AY21="."),s_dir!D21/((1/1000)*(s_Irr!AA21)),IF(AND(s_Irr!C21&lt;&gt;".",s_Irr!AA21=".",s_Irr!AY21="."),s_dir!D21/((1/1000)*(s_Irr!C21)),IF(AND(s_Irr!C21=".",s_Irr!AA21=".",s_Irr!AY21="."),s_dir!D21*1000)))))))),".")</f>
        <v>.</v>
      </c>
      <c r="E21" s="76" t="str">
        <f>IFERROR(IF(AND(s_Irr!D21&lt;&gt;".",s_Irr!AB21&lt;&gt;".",s_Irr!AZ21&lt;&gt;"."),s_dir!E21/((1/1000)*(s_Irr!D21+s_Irr!AB21+s_Irr!AZ21)),IF(AND(s_Irr!D21&lt;&gt;".",s_Irr!AB21&lt;&gt;".",s_Irr!AZ21="."),s_dir!E21/((1/1000)*(s_Irr!D21+s_Irr!AB21)),IF(AND(s_Irr!D21&lt;&gt;".",s_Irr!AB21=".",s_Irr!AZ21&lt;&gt;"."),s_dir!E21/((1/1000)*(s_Irr!D21+s_Irr!AZ21)),IF(AND(s_Irr!D21=".",s_Irr!AB21&lt;&gt;".",s_Irr!AZ21&lt;&gt;"."),s_dir!E21/((1/1000)*(s_Irr!AB21+s_Irr!AZ21)),IF(AND(s_Irr!D21=".",s_Irr!AB21=".",s_Irr!AZ21&lt;&gt;"."),s_dir!E21/((1/1000)*(s_Irr!AZ21)),IF(AND(s_Irr!D21=".",s_Irr!AB21&lt;&gt;".",s_Irr!AZ21="."),s_dir!E21/((1/1000)*(s_Irr!AB21)),IF(AND(s_Irr!D21&lt;&gt;".",s_Irr!AB21=".",s_Irr!AZ21="."),s_dir!E21/((1/1000)*(s_Irr!D21)),IF(AND(s_Irr!D21=".",s_Irr!AB21=".",s_Irr!AZ21="."),s_dir!E21*1000)))))))),".")</f>
        <v>.</v>
      </c>
      <c r="F21" s="76" t="str">
        <f>IFERROR(IF(AND(s_Irr!E21&lt;&gt;".",s_Irr!AC21&lt;&gt;".",s_Irr!BA21&lt;&gt;"."),s_dir!F21/((1/1000)*(s_Irr!E21+s_Irr!AC21+s_Irr!BA21)),IF(AND(s_Irr!E21&lt;&gt;".",s_Irr!AC21&lt;&gt;".",s_Irr!BA21="."),s_dir!F21/((1/1000)*(s_Irr!E21+s_Irr!AC21)),IF(AND(s_Irr!E21&lt;&gt;".",s_Irr!AC21=".",s_Irr!BA21&lt;&gt;"."),s_dir!F21/((1/1000)*(s_Irr!E21+s_Irr!BA21)),IF(AND(s_Irr!E21=".",s_Irr!AC21&lt;&gt;".",s_Irr!BA21&lt;&gt;"."),s_dir!F21/((1/1000)*(s_Irr!AC21+s_Irr!BA21)),IF(AND(s_Irr!E21=".",s_Irr!AC21=".",s_Irr!BA21&lt;&gt;"."),s_dir!F21/((1/1000)*(s_Irr!BA21)),IF(AND(s_Irr!E21=".",s_Irr!AC21&lt;&gt;".",s_Irr!BA21="."),s_dir!F21/((1/1000)*(s_Irr!AC21)),IF(AND(s_Irr!E21&lt;&gt;".",s_Irr!AC21=".",s_Irr!BA21="."),s_dir!F21/((1/1000)*(s_Irr!E21)),IF(AND(s_Irr!E21=".",s_Irr!AC21=".",s_Irr!BA21="."),s_dir!F21*1000)))))))),".")</f>
        <v>.</v>
      </c>
      <c r="G21" s="76" t="str">
        <f>IFERROR(IF(AND(s_Irr!F21&lt;&gt;".",s_Irr!AD21&lt;&gt;".",s_Irr!BB21&lt;&gt;"."),s_dir!G21/((1/1000)*(s_Irr!F21+s_Irr!AD21+s_Irr!BB21)),IF(AND(s_Irr!F21&lt;&gt;".",s_Irr!AD21&lt;&gt;".",s_Irr!BB21="."),s_dir!G21/((1/1000)*(s_Irr!F21+s_Irr!AD21)),IF(AND(s_Irr!F21&lt;&gt;".",s_Irr!AD21=".",s_Irr!BB21&lt;&gt;"."),s_dir!G21/((1/1000)*(s_Irr!F21+s_Irr!BB21)),IF(AND(s_Irr!F21=".",s_Irr!AD21&lt;&gt;".",s_Irr!BB21&lt;&gt;"."),s_dir!G21/((1/1000)*(s_Irr!AD21+s_Irr!BB21)),IF(AND(s_Irr!F21=".",s_Irr!AD21=".",s_Irr!BB21&lt;&gt;"."),s_dir!G21/((1/1000)*(s_Irr!BB21)),IF(AND(s_Irr!F21=".",s_Irr!AD21&lt;&gt;".",s_Irr!BB21="."),s_dir!G21/((1/1000)*(s_Irr!AD21)),IF(AND(s_Irr!F21&lt;&gt;".",s_Irr!AD21=".",s_Irr!BB21="."),s_dir!G21/((1/1000)*(s_Irr!F21)),IF(AND(s_Irr!F21=".",s_Irr!AD21=".",s_Irr!BB21="."),s_dir!G21*1000)))))))),".")</f>
        <v>.</v>
      </c>
      <c r="H21" s="76" t="str">
        <f>IFERROR(IF(AND(s_Irr!G21&lt;&gt;".",s_Irr!AE21&lt;&gt;".",s_Irr!BC21&lt;&gt;"."),s_dir!H21/((1/1000)*(s_Irr!G21+s_Irr!AE21+s_Irr!BC21)),IF(AND(s_Irr!G21&lt;&gt;".",s_Irr!AE21&lt;&gt;".",s_Irr!BC21="."),s_dir!H21/((1/1000)*(s_Irr!G21+s_Irr!AE21)),IF(AND(s_Irr!G21&lt;&gt;".",s_Irr!AE21=".",s_Irr!BC21&lt;&gt;"."),s_dir!H21/((1/1000)*(s_Irr!G21+s_Irr!BC21)),IF(AND(s_Irr!G21=".",s_Irr!AE21&lt;&gt;".",s_Irr!BC21&lt;&gt;"."),s_dir!H21/((1/1000)*(s_Irr!AE21+s_Irr!BC21)),IF(AND(s_Irr!G21=".",s_Irr!AE21=".",s_Irr!BC21&lt;&gt;"."),s_dir!H21/((1/1000)*(s_Irr!BC21)),IF(AND(s_Irr!G21=".",s_Irr!AE21&lt;&gt;".",s_Irr!BC21="."),s_dir!H21/((1/1000)*(s_Irr!AE21)),IF(AND(s_Irr!G21&lt;&gt;".",s_Irr!AE21=".",s_Irr!BC21="."),s_dir!H21/((1/1000)*(s_Irr!G21)),IF(AND(s_Irr!G21=".",s_Irr!AE21=".",s_Irr!BC21="."),s_dir!H21*1000)))))))),".")</f>
        <v>.</v>
      </c>
      <c r="I21" s="76" t="str">
        <f>IFERROR(IF(AND(s_Irr!H21&lt;&gt;".",s_Irr!AF21&lt;&gt;".",s_Irr!BD21&lt;&gt;"."),s_dir!I21/((1/1000)*(s_Irr!H21+s_Irr!AF21+s_Irr!BD21)),IF(AND(s_Irr!H21&lt;&gt;".",s_Irr!AF21&lt;&gt;".",s_Irr!BD21="."),s_dir!I21/((1/1000)*(s_Irr!H21+s_Irr!AF21)),IF(AND(s_Irr!H21&lt;&gt;".",s_Irr!AF21=".",s_Irr!BD21&lt;&gt;"."),s_dir!I21/((1/1000)*(s_Irr!H21+s_Irr!BD21)),IF(AND(s_Irr!H21=".",s_Irr!AF21&lt;&gt;".",s_Irr!BD21&lt;&gt;"."),s_dir!I21/((1/1000)*(s_Irr!AF21+s_Irr!BD21)),IF(AND(s_Irr!H21=".",s_Irr!AF21=".",s_Irr!BD21&lt;&gt;"."),s_dir!I21/((1/1000)*(s_Irr!BD21)),IF(AND(s_Irr!H21=".",s_Irr!AF21&lt;&gt;".",s_Irr!BD21="."),s_dir!I21/((1/1000)*(s_Irr!AF21)),IF(AND(s_Irr!H21&lt;&gt;".",s_Irr!AF21=".",s_Irr!BD21="."),s_dir!I21/((1/1000)*(s_Irr!H21)),IF(AND(s_Irr!H21=".",s_Irr!AF21=".",s_Irr!BD21="."),s_dir!I21*1000)))))))),".")</f>
        <v>.</v>
      </c>
      <c r="J21" s="76" t="str">
        <f>IFERROR(IF(AND(s_Irr!I21&lt;&gt;".",s_Irr!AG21&lt;&gt;".",s_Irr!BE21&lt;&gt;"."),s_dir!J21/((1/1000)*(s_Irr!I21+s_Irr!AG21+s_Irr!BE21)),IF(AND(s_Irr!I21&lt;&gt;".",s_Irr!AG21&lt;&gt;".",s_Irr!BE21="."),s_dir!J21/((1/1000)*(s_Irr!I21+s_Irr!AG21)),IF(AND(s_Irr!I21&lt;&gt;".",s_Irr!AG21=".",s_Irr!BE21&lt;&gt;"."),s_dir!J21/((1/1000)*(s_Irr!I21+s_Irr!BE21)),IF(AND(s_Irr!I21=".",s_Irr!AG21&lt;&gt;".",s_Irr!BE21&lt;&gt;"."),s_dir!J21/((1/1000)*(s_Irr!AG21+s_Irr!BE21)),IF(AND(s_Irr!I21=".",s_Irr!AG21=".",s_Irr!BE21&lt;&gt;"."),s_dir!J21/((1/1000)*(s_Irr!BE21)),IF(AND(s_Irr!I21=".",s_Irr!AG21&lt;&gt;".",s_Irr!BE21="."),s_dir!J21/((1/1000)*(s_Irr!AG21)),IF(AND(s_Irr!I21&lt;&gt;".",s_Irr!AG21=".",s_Irr!BE21="."),s_dir!J21/((1/1000)*(s_Irr!I21)),IF(AND(s_Irr!I21=".",s_Irr!AG21=".",s_Irr!BE21="."),s_dir!J21*1000)))))))),".")</f>
        <v>.</v>
      </c>
      <c r="K21" s="76" t="str">
        <f>IFERROR(IF(AND(s_Irr!J21&lt;&gt;".",s_Irr!AH21&lt;&gt;".",s_Irr!BF21&lt;&gt;"."),s_dir!K21/((1/1000)*(s_Irr!J21+s_Irr!AH21+s_Irr!BF21)),IF(AND(s_Irr!J21&lt;&gt;".",s_Irr!AH21&lt;&gt;".",s_Irr!BF21="."),s_dir!K21/((1/1000)*(s_Irr!J21+s_Irr!AH21)),IF(AND(s_Irr!J21&lt;&gt;".",s_Irr!AH21=".",s_Irr!BF21&lt;&gt;"."),s_dir!K21/((1/1000)*(s_Irr!J21+s_Irr!BF21)),IF(AND(s_Irr!J21=".",s_Irr!AH21&lt;&gt;".",s_Irr!BF21&lt;&gt;"."),s_dir!K21/((1/1000)*(s_Irr!AH21+s_Irr!BF21)),IF(AND(s_Irr!J21=".",s_Irr!AH21=".",s_Irr!BF21&lt;&gt;"."),s_dir!K21/((1/1000)*(s_Irr!BF21)),IF(AND(s_Irr!J21=".",s_Irr!AH21&lt;&gt;".",s_Irr!BF21="."),s_dir!K21/((1/1000)*(s_Irr!AH21)),IF(AND(s_Irr!J21&lt;&gt;".",s_Irr!AH21=".",s_Irr!BF21="."),s_dir!K21/((1/1000)*(s_Irr!J21)),IF(AND(s_Irr!J21=".",s_Irr!AH21=".",s_Irr!BF21="."),s_dir!K21*1000)))))))),".")</f>
        <v>.</v>
      </c>
      <c r="L21" s="76" t="str">
        <f>IFERROR(IF(AND(s_Irr!K21&lt;&gt;".",s_Irr!AI21&lt;&gt;".",s_Irr!BG21&lt;&gt;"."),s_dir!L21/((1/1000)*(s_Irr!K21+s_Irr!AI21+s_Irr!BG21)),IF(AND(s_Irr!K21&lt;&gt;".",s_Irr!AI21&lt;&gt;".",s_Irr!BG21="."),s_dir!L21/((1/1000)*(s_Irr!K21+s_Irr!AI21)),IF(AND(s_Irr!K21&lt;&gt;".",s_Irr!AI21=".",s_Irr!BG21&lt;&gt;"."),s_dir!L21/((1/1000)*(s_Irr!K21+s_Irr!BG21)),IF(AND(s_Irr!K21=".",s_Irr!AI21&lt;&gt;".",s_Irr!BG21&lt;&gt;"."),s_dir!L21/((1/1000)*(s_Irr!AI21+s_Irr!BG21)),IF(AND(s_Irr!K21=".",s_Irr!AI21=".",s_Irr!BG21&lt;&gt;"."),s_dir!L21/((1/1000)*(s_Irr!BG21)),IF(AND(s_Irr!K21=".",s_Irr!AI21&lt;&gt;".",s_Irr!BG21="."),s_dir!L21/((1/1000)*(s_Irr!AI21)),IF(AND(s_Irr!K21&lt;&gt;".",s_Irr!AI21=".",s_Irr!BG21="."),s_dir!L21/((1/1000)*(s_Irr!K21)),IF(AND(s_Irr!K21=".",s_Irr!AI21=".",s_Irr!BG21="."),s_dir!L21*1000)))))))),".")</f>
        <v>.</v>
      </c>
      <c r="M21" s="76" t="str">
        <f>IFERROR(IF(AND(s_Irr!L21&lt;&gt;".",s_Irr!AJ21&lt;&gt;".",s_Irr!BH21&lt;&gt;"."),s_dir!M21/((1/1000)*(s_Irr!L21+s_Irr!AJ21+s_Irr!BH21)),IF(AND(s_Irr!L21&lt;&gt;".",s_Irr!AJ21&lt;&gt;".",s_Irr!BH21="."),s_dir!M21/((1/1000)*(s_Irr!L21+s_Irr!AJ21)),IF(AND(s_Irr!L21&lt;&gt;".",s_Irr!AJ21=".",s_Irr!BH21&lt;&gt;"."),s_dir!M21/((1/1000)*(s_Irr!L21+s_Irr!BH21)),IF(AND(s_Irr!L21=".",s_Irr!AJ21&lt;&gt;".",s_Irr!BH21&lt;&gt;"."),s_dir!M21/((1/1000)*(s_Irr!AJ21+s_Irr!BH21)),IF(AND(s_Irr!L21=".",s_Irr!AJ21=".",s_Irr!BH21&lt;&gt;"."),s_dir!M21/((1/1000)*(s_Irr!BH21)),IF(AND(s_Irr!L21=".",s_Irr!AJ21&lt;&gt;".",s_Irr!BH21="."),s_dir!M21/((1/1000)*(s_Irr!AJ21)),IF(AND(s_Irr!L21&lt;&gt;".",s_Irr!AJ21=".",s_Irr!BH21="."),s_dir!M21/((1/1000)*(s_Irr!L21)),IF(AND(s_Irr!L21=".",s_Irr!AJ21=".",s_Irr!BH21="."),s_dir!M21*1000)))))))),".")</f>
        <v>.</v>
      </c>
      <c r="N21" s="76" t="str">
        <f>IFERROR(IF(AND(s_Irr!M21&lt;&gt;".",s_Irr!AK21&lt;&gt;".",s_Irr!BI21&lt;&gt;"."),s_dir!N21/((1/1000)*(s_Irr!M21+s_Irr!AK21+s_Irr!BI21)),IF(AND(s_Irr!M21&lt;&gt;".",s_Irr!AK21&lt;&gt;".",s_Irr!BI21="."),s_dir!N21/((1/1000)*(s_Irr!M21+s_Irr!AK21)),IF(AND(s_Irr!M21&lt;&gt;".",s_Irr!AK21=".",s_Irr!BI21&lt;&gt;"."),s_dir!N21/((1/1000)*(s_Irr!M21+s_Irr!BI21)),IF(AND(s_Irr!M21=".",s_Irr!AK21&lt;&gt;".",s_Irr!BI21&lt;&gt;"."),s_dir!N21/((1/1000)*(s_Irr!AK21+s_Irr!BI21)),IF(AND(s_Irr!M21=".",s_Irr!AK21=".",s_Irr!BI21&lt;&gt;"."),s_dir!N21/((1/1000)*(s_Irr!BI21)),IF(AND(s_Irr!M21=".",s_Irr!AK21&lt;&gt;".",s_Irr!BI21="."),s_dir!N21/((1/1000)*(s_Irr!AK21)),IF(AND(s_Irr!M21&lt;&gt;".",s_Irr!AK21=".",s_Irr!BI21="."),s_dir!N21/((1/1000)*(s_Irr!M21)),IF(AND(s_Irr!M21=".",s_Irr!AK21=".",s_Irr!BI21="."),s_dir!N21*1000)))))))),".")</f>
        <v>.</v>
      </c>
      <c r="O21" s="76" t="str">
        <f>IFERROR(IF(AND(s_Irr!N21&lt;&gt;".",s_Irr!AL21&lt;&gt;".",s_Irr!BJ21&lt;&gt;"."),s_dir!O21/((1/1000)*(s_Irr!N21+s_Irr!AL21+s_Irr!BJ21)),IF(AND(s_Irr!N21&lt;&gt;".",s_Irr!AL21&lt;&gt;".",s_Irr!BJ21="."),s_dir!O21/((1/1000)*(s_Irr!N21+s_Irr!AL21)),IF(AND(s_Irr!N21&lt;&gt;".",s_Irr!AL21=".",s_Irr!BJ21&lt;&gt;"."),s_dir!O21/((1/1000)*(s_Irr!N21+s_Irr!BJ21)),IF(AND(s_Irr!N21=".",s_Irr!AL21&lt;&gt;".",s_Irr!BJ21&lt;&gt;"."),s_dir!O21/((1/1000)*(s_Irr!AL21+s_Irr!BJ21)),IF(AND(s_Irr!N21=".",s_Irr!AL21=".",s_Irr!BJ21&lt;&gt;"."),s_dir!O21/((1/1000)*(s_Irr!BJ21)),IF(AND(s_Irr!N21=".",s_Irr!AL21&lt;&gt;".",s_Irr!BJ21="."),s_dir!O21/((1/1000)*(s_Irr!AL21)),IF(AND(s_Irr!N21&lt;&gt;".",s_Irr!AL21=".",s_Irr!BJ21="."),s_dir!O21/((1/1000)*(s_Irr!N21)),IF(AND(s_Irr!N21=".",s_Irr!AL21=".",s_Irr!BJ21="."),s_dir!O21*1000)))))))),".")</f>
        <v>.</v>
      </c>
      <c r="P21" s="76" t="str">
        <f>IFERROR(IF(AND(s_Irr!O21&lt;&gt;".",s_Irr!AM21&lt;&gt;".",s_Irr!BK21&lt;&gt;"."),s_dir!P21/((1/1000)*(s_Irr!O21+s_Irr!AM21+s_Irr!BK21)),IF(AND(s_Irr!O21&lt;&gt;".",s_Irr!AM21&lt;&gt;".",s_Irr!BK21="."),s_dir!P21/((1/1000)*(s_Irr!O21+s_Irr!AM21)),IF(AND(s_Irr!O21&lt;&gt;".",s_Irr!AM21=".",s_Irr!BK21&lt;&gt;"."),s_dir!P21/((1/1000)*(s_Irr!O21+s_Irr!BK21)),IF(AND(s_Irr!O21=".",s_Irr!AM21&lt;&gt;".",s_Irr!BK21&lt;&gt;"."),s_dir!P21/((1/1000)*(s_Irr!AM21+s_Irr!BK21)),IF(AND(s_Irr!O21=".",s_Irr!AM21=".",s_Irr!BK21&lt;&gt;"."),s_dir!P21/((1/1000)*(s_Irr!BK21)),IF(AND(s_Irr!O21=".",s_Irr!AM21&lt;&gt;".",s_Irr!BK21="."),s_dir!P21/((1/1000)*(s_Irr!AM21)),IF(AND(s_Irr!O21&lt;&gt;".",s_Irr!AM21=".",s_Irr!BK21="."),s_dir!P21/((1/1000)*(s_Irr!O21)),IF(AND(s_Irr!O21=".",s_Irr!AM21=".",s_Irr!BK21="."),s_dir!P21*1000)))))))),".")</f>
        <v>.</v>
      </c>
      <c r="Q21" s="76" t="str">
        <f>IFERROR(IF(AND(s_Irr!P21&lt;&gt;".",s_Irr!AN21&lt;&gt;".",s_Irr!BL21&lt;&gt;"."),s_dir!Q21/((1/1000)*(s_Irr!P21+s_Irr!AN21+s_Irr!BL21)),IF(AND(s_Irr!P21&lt;&gt;".",s_Irr!AN21&lt;&gt;".",s_Irr!BL21="."),s_dir!Q21/((1/1000)*(s_Irr!P21+s_Irr!AN21)),IF(AND(s_Irr!P21&lt;&gt;".",s_Irr!AN21=".",s_Irr!BL21&lt;&gt;"."),s_dir!Q21/((1/1000)*(s_Irr!P21+s_Irr!BL21)),IF(AND(s_Irr!P21=".",s_Irr!AN21&lt;&gt;".",s_Irr!BL21&lt;&gt;"."),s_dir!Q21/((1/1000)*(s_Irr!AN21+s_Irr!BL21)),IF(AND(s_Irr!P21=".",s_Irr!AN21=".",s_Irr!BL21&lt;&gt;"."),s_dir!Q21/((1/1000)*(s_Irr!BL21)),IF(AND(s_Irr!P21=".",s_Irr!AN21&lt;&gt;".",s_Irr!BL21="."),s_dir!Q21/((1/1000)*(s_Irr!AN21)),IF(AND(s_Irr!P21&lt;&gt;".",s_Irr!AN21=".",s_Irr!BL21="."),s_dir!Q21/((1/1000)*(s_Irr!P21)),IF(AND(s_Irr!P21=".",s_Irr!AN21=".",s_Irr!BL21="."),s_dir!Q21*1000)))))))),".")</f>
        <v>.</v>
      </c>
      <c r="R21" s="76" t="str">
        <f>IFERROR(IF(AND(s_Irr!Q21&lt;&gt;".",s_Irr!AO21&lt;&gt;".",s_Irr!BM21&lt;&gt;"."),s_dir!R21/((1/1000)*(s_Irr!Q21+s_Irr!AO21+s_Irr!BM21)),IF(AND(s_Irr!Q21&lt;&gt;".",s_Irr!AO21&lt;&gt;".",s_Irr!BM21="."),s_dir!R21/((1/1000)*(s_Irr!Q21+s_Irr!AO21)),IF(AND(s_Irr!Q21&lt;&gt;".",s_Irr!AO21=".",s_Irr!BM21&lt;&gt;"."),s_dir!R21/((1/1000)*(s_Irr!Q21+s_Irr!BM21)),IF(AND(s_Irr!Q21=".",s_Irr!AO21&lt;&gt;".",s_Irr!BM21&lt;&gt;"."),s_dir!R21/((1/1000)*(s_Irr!AO21+s_Irr!BM21)),IF(AND(s_Irr!Q21=".",s_Irr!AO21=".",s_Irr!BM21&lt;&gt;"."),s_dir!R21/((1/1000)*(s_Irr!BM21)),IF(AND(s_Irr!Q21=".",s_Irr!AO21&lt;&gt;".",s_Irr!BM21="."),s_dir!R21/((1/1000)*(s_Irr!AO21)),IF(AND(s_Irr!Q21&lt;&gt;".",s_Irr!AO21=".",s_Irr!BM21="."),s_dir!R21/((1/1000)*(s_Irr!Q21)),IF(AND(s_Irr!Q21=".",s_Irr!AO21=".",s_Irr!BM21="."),s_dir!R21*1000)))))))),".")</f>
        <v>.</v>
      </c>
      <c r="S21" s="76" t="str">
        <f>IFERROR(IF(AND(s_Irr!R21&lt;&gt;".",s_Irr!AP21&lt;&gt;".",s_Irr!BN21&lt;&gt;"."),s_dir!S21/((1/1000)*(s_Irr!R21+s_Irr!AP21+s_Irr!BN21)),IF(AND(s_Irr!R21&lt;&gt;".",s_Irr!AP21&lt;&gt;".",s_Irr!BN21="."),s_dir!S21/((1/1000)*(s_Irr!R21+s_Irr!AP21)),IF(AND(s_Irr!R21&lt;&gt;".",s_Irr!AP21=".",s_Irr!BN21&lt;&gt;"."),s_dir!S21/((1/1000)*(s_Irr!R21+s_Irr!BN21)),IF(AND(s_Irr!R21=".",s_Irr!AP21&lt;&gt;".",s_Irr!BN21&lt;&gt;"."),s_dir!S21/((1/1000)*(s_Irr!AP21+s_Irr!BN21)),IF(AND(s_Irr!R21=".",s_Irr!AP21=".",s_Irr!BN21&lt;&gt;"."),s_dir!S21/((1/1000)*(s_Irr!BN21)),IF(AND(s_Irr!R21=".",s_Irr!AP21&lt;&gt;".",s_Irr!BN21="."),s_dir!S21/((1/1000)*(s_Irr!AP21)),IF(AND(s_Irr!R21&lt;&gt;".",s_Irr!AP21=".",s_Irr!BN21="."),s_dir!S21/((1/1000)*(s_Irr!R21)),IF(AND(s_Irr!R21=".",s_Irr!AP21=".",s_Irr!BN21="."),s_dir!S21*1000)))))))),".")</f>
        <v>.</v>
      </c>
      <c r="T21" s="76" t="str">
        <f>IFERROR(IF(AND(s_Irr!S21&lt;&gt;".",s_Irr!AQ21&lt;&gt;".",s_Irr!BO21&lt;&gt;"."),s_dir!T21/((1/1000)*(s_Irr!S21+s_Irr!AQ21+s_Irr!BO21)),IF(AND(s_Irr!S21&lt;&gt;".",s_Irr!AQ21&lt;&gt;".",s_Irr!BO21="."),s_dir!T21/((1/1000)*(s_Irr!S21+s_Irr!AQ21)),IF(AND(s_Irr!S21&lt;&gt;".",s_Irr!AQ21=".",s_Irr!BO21&lt;&gt;"."),s_dir!T21/((1/1000)*(s_Irr!S21+s_Irr!BO21)),IF(AND(s_Irr!S21=".",s_Irr!AQ21&lt;&gt;".",s_Irr!BO21&lt;&gt;"."),s_dir!T21/((1/1000)*(s_Irr!AQ21+s_Irr!BO21)),IF(AND(s_Irr!S21=".",s_Irr!AQ21=".",s_Irr!BO21&lt;&gt;"."),s_dir!T21/((1/1000)*(s_Irr!BO21)),IF(AND(s_Irr!S21=".",s_Irr!AQ21&lt;&gt;".",s_Irr!BO21="."),s_dir!T21/((1/1000)*(s_Irr!AQ21)),IF(AND(s_Irr!S21&lt;&gt;".",s_Irr!AQ21=".",s_Irr!BO21="."),s_dir!T21/((1/1000)*(s_Irr!S21)),IF(AND(s_Irr!S21=".",s_Irr!AQ21=".",s_Irr!BO21="."),s_dir!T21*1000)))))))),".")</f>
        <v>.</v>
      </c>
      <c r="U21" s="76" t="str">
        <f>IFERROR(IF(AND(s_Irr!T21&lt;&gt;".",s_Irr!AR21&lt;&gt;".",s_Irr!BP21&lt;&gt;"."),s_dir!U21/((1/1000)*(s_Irr!T21+s_Irr!AR21+s_Irr!BP21)),IF(AND(s_Irr!T21&lt;&gt;".",s_Irr!AR21&lt;&gt;".",s_Irr!BP21="."),s_dir!U21/((1/1000)*(s_Irr!T21+s_Irr!AR21)),IF(AND(s_Irr!T21&lt;&gt;".",s_Irr!AR21=".",s_Irr!BP21&lt;&gt;"."),s_dir!U21/((1/1000)*(s_Irr!T21+s_Irr!BP21)),IF(AND(s_Irr!T21=".",s_Irr!AR21&lt;&gt;".",s_Irr!BP21&lt;&gt;"."),s_dir!U21/((1/1000)*(s_Irr!AR21+s_Irr!BP21)),IF(AND(s_Irr!T21=".",s_Irr!AR21=".",s_Irr!BP21&lt;&gt;"."),s_dir!U21/((1/1000)*(s_Irr!BP21)),IF(AND(s_Irr!T21=".",s_Irr!AR21&lt;&gt;".",s_Irr!BP21="."),s_dir!U21/((1/1000)*(s_Irr!AR21)),IF(AND(s_Irr!T21&lt;&gt;".",s_Irr!AR21=".",s_Irr!BP21="."),s_dir!U21/((1/1000)*(s_Irr!T21)),IF(AND(s_Irr!T21=".",s_Irr!AR21=".",s_Irr!BP21="."),s_dir!U21*1000)))))))),".")</f>
        <v>.</v>
      </c>
      <c r="V21" s="76" t="str">
        <f>IFERROR(IF(AND(s_Irr!U21&lt;&gt;".",s_Irr!AS21&lt;&gt;".",s_Irr!BQ21&lt;&gt;"."),s_dir!V21/((1/1000)*(s_Irr!U21+s_Irr!AS21+s_Irr!BQ21)),IF(AND(s_Irr!U21&lt;&gt;".",s_Irr!AS21&lt;&gt;".",s_Irr!BQ21="."),s_dir!V21/((1/1000)*(s_Irr!U21+s_Irr!AS21)),IF(AND(s_Irr!U21&lt;&gt;".",s_Irr!AS21=".",s_Irr!BQ21&lt;&gt;"."),s_dir!V21/((1/1000)*(s_Irr!U21+s_Irr!BQ21)),IF(AND(s_Irr!U21=".",s_Irr!AS21&lt;&gt;".",s_Irr!BQ21&lt;&gt;"."),s_dir!V21/((1/1000)*(s_Irr!AS21+s_Irr!BQ21)),IF(AND(s_Irr!U21=".",s_Irr!AS21=".",s_Irr!BQ21&lt;&gt;"."),s_dir!V21/((1/1000)*(s_Irr!BQ21)),IF(AND(s_Irr!U21=".",s_Irr!AS21&lt;&gt;".",s_Irr!BQ21="."),s_dir!V21/((1/1000)*(s_Irr!AS21)),IF(AND(s_Irr!U21&lt;&gt;".",s_Irr!AS21=".",s_Irr!BQ21="."),s_dir!V21/((1/1000)*(s_Irr!U21)),IF(AND(s_Irr!U21=".",s_Irr!AS21=".",s_Irr!BQ21="."),s_dir!V21*1000)))))))),".")</f>
        <v>.</v>
      </c>
      <c r="W21" s="76" t="str">
        <f>IFERROR(IF(AND(s_Irr!V21&lt;&gt;".",s_Irr!AT21&lt;&gt;".",s_Irr!BR21&lt;&gt;"."),s_dir!W21/((1/1000)*(s_Irr!V21+s_Irr!AT21+s_Irr!BR21)),IF(AND(s_Irr!V21&lt;&gt;".",s_Irr!AT21&lt;&gt;".",s_Irr!BR21="."),s_dir!W21/((1/1000)*(s_Irr!V21+s_Irr!AT21)),IF(AND(s_Irr!V21&lt;&gt;".",s_Irr!AT21=".",s_Irr!BR21&lt;&gt;"."),s_dir!W21/((1/1000)*(s_Irr!V21+s_Irr!BR21)),IF(AND(s_Irr!V21=".",s_Irr!AT21&lt;&gt;".",s_Irr!BR21&lt;&gt;"."),s_dir!W21/((1/1000)*(s_Irr!AT21+s_Irr!BR21)),IF(AND(s_Irr!V21=".",s_Irr!AT21=".",s_Irr!BR21&lt;&gt;"."),s_dir!W21/((1/1000)*(s_Irr!BR21)),IF(AND(s_Irr!V21=".",s_Irr!AT21&lt;&gt;".",s_Irr!BR21="."),s_dir!W21/((1/1000)*(s_Irr!AT21)),IF(AND(s_Irr!V21&lt;&gt;".",s_Irr!AT21=".",s_Irr!BR21="."),s_dir!W21/((1/1000)*(s_Irr!V21)),IF(AND(s_Irr!V21=".",s_Irr!AT21=".",s_Irr!BR21="."),s_dir!W21*1000)))))))),".")</f>
        <v>.</v>
      </c>
      <c r="X21" s="76" t="str">
        <f>IFERROR(IF(AND(s_Irr!W21&lt;&gt;".",s_Irr!AU21&lt;&gt;".",s_Irr!BS21&lt;&gt;"."),s_dir!X21/((1/1000)*(s_Irr!W21+s_Irr!AU21+s_Irr!BS21)),IF(AND(s_Irr!W21&lt;&gt;".",s_Irr!AU21&lt;&gt;".",s_Irr!BS21="."),s_dir!X21/((1/1000)*(s_Irr!W21+s_Irr!AU21)),IF(AND(s_Irr!W21&lt;&gt;".",s_Irr!AU21=".",s_Irr!BS21&lt;&gt;"."),s_dir!X21/((1/1000)*(s_Irr!W21+s_Irr!BS21)),IF(AND(s_Irr!W21=".",s_Irr!AU21&lt;&gt;".",s_Irr!BS21&lt;&gt;"."),s_dir!X21/((1/1000)*(s_Irr!AU21+s_Irr!BS21)),IF(AND(s_Irr!W21=".",s_Irr!AU21=".",s_Irr!BS21&lt;&gt;"."),s_dir!X21/((1/1000)*(s_Irr!BS21)),IF(AND(s_Irr!W21=".",s_Irr!AU21&lt;&gt;".",s_Irr!BS21="."),s_dir!X21/((1/1000)*(s_Irr!AU21)),IF(AND(s_Irr!W21&lt;&gt;".",s_Irr!AU21=".",s_Irr!BS21="."),s_dir!X21/((1/1000)*(s_Irr!W21)),IF(AND(s_Irr!W21=".",s_Irr!AU21=".",s_Irr!BS21="."),s_dir!X21*1000)))))))),".")</f>
        <v>.</v>
      </c>
      <c r="Y21" s="76" t="str">
        <f>IFERROR(IF(AND(s_Irr!X21&lt;&gt;".",s_Irr!AV21&lt;&gt;".",s_Irr!BT21&lt;&gt;"."),s_dir!Y21/((1/1000)*(s_Irr!X21+s_Irr!AV21+s_Irr!BT21)),IF(AND(s_Irr!X21&lt;&gt;".",s_Irr!AV21&lt;&gt;".",s_Irr!BT21="."),s_dir!Y21/((1/1000)*(s_Irr!X21+s_Irr!AV21)),IF(AND(s_Irr!X21&lt;&gt;".",s_Irr!AV21=".",s_Irr!BT21&lt;&gt;"."),s_dir!Y21/((1/1000)*(s_Irr!X21+s_Irr!BT21)),IF(AND(s_Irr!X21=".",s_Irr!AV21&lt;&gt;".",s_Irr!BT21&lt;&gt;"."),s_dir!Y21/((1/1000)*(s_Irr!AV21+s_Irr!BT21)),IF(AND(s_Irr!X21=".",s_Irr!AV21=".",s_Irr!BT21&lt;&gt;"."),s_dir!Y21/((1/1000)*(s_Irr!BT21)),IF(AND(s_Irr!X21=".",s_Irr!AV21&lt;&gt;".",s_Irr!BT21="."),s_dir!Y21/((1/1000)*(s_Irr!AV21)),IF(AND(s_Irr!X21&lt;&gt;".",s_Irr!AV21=".",s_Irr!BT21="."),s_dir!Y21/((1/1000)*(s_Irr!X21)),IF(AND(s_Irr!X21=".",s_Irr!AV21=".",s_Irr!BT21="."),s_dir!Y21*1000)))))))),".")</f>
        <v>.</v>
      </c>
      <c r="Z21" s="76" t="str">
        <f>IFERROR(IF(AND(s_Irr!Y21&lt;&gt;".",s_Irr!AW21&lt;&gt;".",s_Irr!BU21&lt;&gt;"."),s_dir!Z21/((1/1000)*(s_Irr!Y21+s_Irr!AW21+s_Irr!BU21)),IF(AND(s_Irr!Y21&lt;&gt;".",s_Irr!AW21&lt;&gt;".",s_Irr!BU21="."),s_dir!Z21/((1/1000)*(s_Irr!Y21+s_Irr!AW21)),IF(AND(s_Irr!Y21&lt;&gt;".",s_Irr!AW21=".",s_Irr!BU21&lt;&gt;"."),s_dir!Z21/((1/1000)*(s_Irr!Y21+s_Irr!BU21)),IF(AND(s_Irr!Y21=".",s_Irr!AW21&lt;&gt;".",s_Irr!BU21&lt;&gt;"."),s_dir!Z21/((1/1000)*(s_Irr!AW21+s_Irr!BU21)),IF(AND(s_Irr!Y21=".",s_Irr!AW21=".",s_Irr!BU21&lt;&gt;"."),s_dir!Z21/((1/1000)*(s_Irr!BU21)),IF(AND(s_Irr!Y21=".",s_Irr!AW21&lt;&gt;".",s_Irr!BU21="."),s_dir!Z21/((1/1000)*(s_Irr!AW21)),IF(AND(s_Irr!Y21&lt;&gt;".",s_Irr!AW21=".",s_Irr!BU21="."),s_dir!Z21/((1/1000)*(s_Irr!Y21)),IF(AND(s_Irr!Y21=".",s_Irr!AW21=".",s_Irr!BU21="."),s_dir!Z21*1000)))))))),".")</f>
        <v>.</v>
      </c>
      <c r="AA21" s="76" t="str">
        <f>IFERROR(IF(AND(s_Irr!Z21&lt;&gt;".",s_Irr!AX21&lt;&gt;".",s_Irr!BV21&lt;&gt;"."),s_dir!AA21/((1/1000)*(s_Irr!Z21+s_Irr!AX21+s_Irr!BV21)),IF(AND(s_Irr!Z21&lt;&gt;".",s_Irr!AX21&lt;&gt;".",s_Irr!BV21="."),s_dir!AA21/((1/1000)*(s_Irr!Z21+s_Irr!AX21)),IF(AND(s_Irr!Z21&lt;&gt;".",s_Irr!AX21=".",s_Irr!BV21&lt;&gt;"."),s_dir!AA21/((1/1000)*(s_Irr!Z21+s_Irr!BV21)),IF(AND(s_Irr!Z21=".",s_Irr!AX21&lt;&gt;".",s_Irr!BV21&lt;&gt;"."),s_dir!AA21/((1/1000)*(s_Irr!AX21+s_Irr!BV21)),IF(AND(s_Irr!Z21=".",s_Irr!AX21=".",s_Irr!BV21&lt;&gt;"."),s_dir!AA21/((1/1000)*(s_Irr!BV21)),IF(AND(s_Irr!Z21=".",s_Irr!AX21&lt;&gt;".",s_Irr!BV21="."),s_dir!AA21/((1/1000)*(s_Irr!AX21)),IF(AND(s_Irr!Z21&lt;&gt;".",s_Irr!AX21=".",s_Irr!BV21="."),s_dir!AA21/((1/1000)*(s_Irr!Z21)),IF(AND(s_Irr!Z21=".",s_Irr!AX21=".",s_Irr!BV21="."),s_dir!AA21*1000)))))))),".")</f>
        <v>.</v>
      </c>
      <c r="AB21" s="93">
        <f>SUM(AC21:AD21,AY21:AZ21)</f>
        <v>700.26213124716605</v>
      </c>
      <c r="AC21" s="93">
        <f>IFERROR(s_C*s_IFAP_res_adj*s_CF_apple*0.001*(s_Irr!C21+s_Irr!AA21+s_Irr!AY21),".")</f>
        <v>161.37753664539483</v>
      </c>
      <c r="AD21" s="93">
        <f>IFERROR(s_C*s_IFAS_res_adj*s_CF_asparagus*0.001*(s_Irr!D21+s_Irr!AB21+s_Irr!AZ21),".")</f>
        <v>181.04890838153378</v>
      </c>
      <c r="AE21" s="93">
        <f>IFERROR(s_C*s_IFBT_res_adj*s_CF_beet*0.001*(s_Irr!E21+s_Irr!AC21+s_Irr!BA21),".")</f>
        <v>176.67749244016957</v>
      </c>
      <c r="AF21" s="93">
        <f>IFERROR(s_C*s_IFBE_res_adj*s_CF_berries*0.001*(s_Irr!F21+s_Irr!AD21+s_Irr!BB21),".")</f>
        <v>161.37753664539483</v>
      </c>
      <c r="AG21" s="93">
        <f>IFERROR(s_C*s_IFBR_res_adj*s_CF_broccoli*0.001*(s_Irr!G21+s_Irr!AE21+s_Irr!BC21),".")</f>
        <v>161.37753664539483</v>
      </c>
      <c r="AH21" s="93">
        <f>IFERROR(s_C*s_IFCB_res_adj*s_CF_cabbage*0.001*(s_Irr!H21+s_Irr!AF21+s_Irr!BD21),".")</f>
        <v>181.04890838153378</v>
      </c>
      <c r="AI21" s="93">
        <f>IFERROR(s_C*s_IFCR_res_adj*s_CF_carrot*0.001*(s_Irr!I21+s_Irr!AG21+s_Irr!BE21),".")</f>
        <v>176.67749244016957</v>
      </c>
      <c r="AJ21" s="93">
        <f>IFERROR(s_C*s_IFCI_res_adj*s_CF_citrus*0.001*(s_Irr!J21+s_Irr!AH21+s_Irr!BF21),".")</f>
        <v>161.37753664539483</v>
      </c>
      <c r="AK21" s="93">
        <f>IFERROR(s_C*s_IFCO_res_adj*s_CF_corn*0.001*(s_Irr!K21+s_Irr!AI21+s_Irr!BG21),".")</f>
        <v>161.48682204392892</v>
      </c>
      <c r="AL21" s="93">
        <f>IFERROR(s_C*s_IFCU_res_adj*s_CF_cucumber*0.001*(s_Irr!L21+s_Irr!AJ21+s_Irr!BH21),".")</f>
        <v>161.37753664539483</v>
      </c>
      <c r="AM21" s="93">
        <f>IFERROR(s_C*s_IFLE_res_adj*s_CF_lettuce*0.001*(s_Irr!M21+s_Irr!AK21+s_Irr!BI21),".")</f>
        <v>181.04890838153378</v>
      </c>
      <c r="AN21" s="93">
        <f>IFERROR(s_C*s_IFLI_res_adj*s_CF_lima_bean*0.001*(s_Irr!N21+s_Irr!AL21+s_Irr!BJ21),".")</f>
        <v>161.56878609282953</v>
      </c>
      <c r="AO21" s="93">
        <f>IFERROR(s_C*s_IFOK_res_adj*s_CF_okra*0.001*(s_Irr!O21+s_Irr!AM21+s_Irr!BK21),".")</f>
        <v>161.37753664539483</v>
      </c>
      <c r="AP21" s="93">
        <f>IFERROR(s_C*s_IFON_res_adj*s_CF_onion*0.001*(s_Irr!P21+s_Irr!AN21+s_Irr!BL21),".")</f>
        <v>161.37753664539483</v>
      </c>
      <c r="AQ21" s="93">
        <f>IFERROR(s_C*s_IFPC_res_adj*s_CF_peach*0.001*(s_Irr!Q21+s_Irr!AO21+s_Irr!BM21),".")</f>
        <v>161.37753664539483</v>
      </c>
      <c r="AR21" s="93">
        <f>IFERROR(s_C*s_IFPR_res_adj*s_CF_pear*0.001*(s_Irr!R21+s_Irr!AP21+s_Irr!BN21),".")</f>
        <v>161.37753664539483</v>
      </c>
      <c r="AS21" s="93">
        <f>IFERROR(s_C*s_IFPE_res_adj*s_CF_peas*0.001*(s_Irr!S21+s_Irr!AQ21+s_Irr!BO21),".")</f>
        <v>161.56878609282953</v>
      </c>
      <c r="AT21" s="93">
        <f>IFERROR(s_C*s_IFPT_res_adj*s_CF_potato*0.001*(s_Irr!T21+s_Irr!AR21+s_Irr!BP21),".")</f>
        <v>168.20787405377641</v>
      </c>
      <c r="AU21" s="93">
        <f>IFERROR(s_C*s_IFPU_res_adj*s_CF_pumpkin*0.001*(s_Irr!U21+s_Irr!AS21+s_Irr!BQ21),".")</f>
        <v>161.37753664539483</v>
      </c>
      <c r="AV21" s="93">
        <f>IFERROR(s_C*s_IFSN_res_adj*s_CF_snap_bean*0.001*(s_Irr!V21+s_Irr!AT21+s_Irr!BR21),".")</f>
        <v>161.56878609282953</v>
      </c>
      <c r="AW21" s="93">
        <f>IFERROR(s_C*s_IFST_res_adj*s_CF_strawberry*0.001*(s_Irr!W21+s_Irr!AU21+s_Irr!BS21),".")</f>
        <v>161.37753664539483</v>
      </c>
      <c r="AX21" s="93">
        <f>IFERROR(s_C*s_IFTO_res_adj*s_CF_tomato*0.001*(s_Irr!X21+s_Irr!AV21+s_Irr!BT21),".")</f>
        <v>161.37753664539483</v>
      </c>
      <c r="AY21" s="93">
        <f>IFERROR(s_C*s_IFRI_res_adj*s_CF_rice*0.001*(s_Irr!Y21+s_Irr!AW21+s_Irr!BU21),".")</f>
        <v>196.34886417630852</v>
      </c>
      <c r="AZ21" s="93">
        <f>IFERROR(s_C*s_IFCG_res_adj*s_CF_cereal*0.001*(s_Irr!Z21+s_Irr!AX21+s_Irr!BV21),".")</f>
        <v>161.48682204392892</v>
      </c>
      <c r="BA21" s="76" t="str">
        <f>IFERROR(1/SUM(1/BB21,1/BC21,1/BX21,1/BY21),".")</f>
        <v>.</v>
      </c>
      <c r="BB21" s="76" t="str">
        <f>IFERROR(IF(AND(s_Irr!C21&lt;&gt;".",s_Irr!AA21&lt;&gt;".",s_Irr!AY21&lt;&gt;"."),s_dir!AC21/((1/1000)*(s_Irr!C21+s_Irr!AA21+s_Irr!AY21)),IF(AND(s_Irr!C21&lt;&gt;".",s_Irr!AA21&lt;&gt;".",s_Irr!AY21="."),s_dir!AC21/((1/1000)*(s_Irr!C21+s_Irr!AA21)),IF(AND(s_Irr!C21&lt;&gt;".",s_Irr!AA21=".",s_Irr!AY21&lt;&gt;"."),s_dir!AC21/((1/1000)*(s_Irr!C21+s_Irr!AY21)),IF(AND(s_Irr!C21=".",s_Irr!AA21&lt;&gt;".",s_Irr!AY21&lt;&gt;"."),s_dir!AC21/((1/1000)*(s_Irr!AA21+s_Irr!AY21)),IF(AND(s_Irr!C21=".",s_Irr!AA21=".",s_Irr!AY21&lt;&gt;"."),s_dir!AC21/((1/1000)*(s_Irr!AY21)),IF(AND(s_Irr!C21=".",s_Irr!AA21&lt;&gt;".",s_Irr!AY21="."),s_dir!AC21/((1/1000)*(s_Irr!AA21)),IF(AND(s_Irr!C21&lt;&gt;".",s_Irr!AA21=".",s_Irr!AY21="."),s_dir!AC21/((1/1000)*(s_Irr!C21)),IF(AND(s_Irr!C21=".",s_Irr!AA21=".",s_Irr!AY21="."),s_dir!AC21*1000)))))))),".")</f>
        <v>.</v>
      </c>
      <c r="BC21" s="76" t="str">
        <f>IFERROR(IF(AND(s_Irr!D21&lt;&gt;".",s_Irr!AB21&lt;&gt;".",s_Irr!AZ21&lt;&gt;"."),s_dir!AD21/((1/1000)*(s_Irr!D21+s_Irr!AB21+s_Irr!AZ21)),IF(AND(s_Irr!D21&lt;&gt;".",s_Irr!AB21&lt;&gt;".",s_Irr!AZ21="."),s_dir!AD21/((1/1000)*(s_Irr!D21+s_Irr!AB21)),IF(AND(s_Irr!D21&lt;&gt;".",s_Irr!AB21=".",s_Irr!AZ21&lt;&gt;"."),s_dir!AD21/((1/1000)*(s_Irr!D21+s_Irr!AZ21)),IF(AND(s_Irr!D21=".",s_Irr!AB21&lt;&gt;".",s_Irr!AZ21&lt;&gt;"."),s_dir!AD21/((1/1000)*(s_Irr!AB21+s_Irr!AZ21)),IF(AND(s_Irr!D21=".",s_Irr!AB21=".",s_Irr!AZ21&lt;&gt;"."),s_dir!AD21/((1/1000)*(s_Irr!AZ21)),IF(AND(s_Irr!D21=".",s_Irr!AB21&lt;&gt;".",s_Irr!AZ21="."),s_dir!AD21/((1/1000)*(s_Irr!AB21)),IF(AND(s_Irr!D21&lt;&gt;".",s_Irr!AB21=".",s_Irr!AZ21="."),s_dir!AD21/((1/1000)*(s_Irr!D21)),IF(AND(s_Irr!D21=".",s_Irr!AB21=".",s_Irr!AZ21="."),s_dir!AD21*1000)))))))),".")</f>
        <v>.</v>
      </c>
      <c r="BD21" s="76" t="str">
        <f>IFERROR(IF(AND(s_Irr!E21&lt;&gt;".",s_Irr!AC21&lt;&gt;".",s_Irr!BA21&lt;&gt;"."),s_dir!AE21/((1/1000)*(s_Irr!E21+s_Irr!AC21+s_Irr!BA21)),IF(AND(s_Irr!E21&lt;&gt;".",s_Irr!AC21&lt;&gt;".",s_Irr!BA21="."),s_dir!AE21/((1/1000)*(s_Irr!E21+s_Irr!AC21)),IF(AND(s_Irr!E21&lt;&gt;".",s_Irr!AC21=".",s_Irr!BA21&lt;&gt;"."),s_dir!AE21/((1/1000)*(s_Irr!E21+s_Irr!BA21)),IF(AND(s_Irr!E21=".",s_Irr!AC21&lt;&gt;".",s_Irr!BA21&lt;&gt;"."),s_dir!AE21/((1/1000)*(s_Irr!AC21+s_Irr!BA21)),IF(AND(s_Irr!E21=".",s_Irr!AC21=".",s_Irr!BA21&lt;&gt;"."),s_dir!AE21/((1/1000)*(s_Irr!BA21)),IF(AND(s_Irr!E21=".",s_Irr!AC21&lt;&gt;".",s_Irr!BA21="."),s_dir!AE21/((1/1000)*(s_Irr!AC21)),IF(AND(s_Irr!E21&lt;&gt;".",s_Irr!AC21=".",s_Irr!BA21="."),s_dir!AE21/((1/1000)*(s_Irr!E21)),IF(AND(s_Irr!E21=".",s_Irr!AC21=".",s_Irr!BA21="."),s_dir!AE21*1000)))))))),".")</f>
        <v>.</v>
      </c>
      <c r="BE21" s="76" t="str">
        <f>IFERROR(IF(AND(s_Irr!F21&lt;&gt;".",s_Irr!AD21&lt;&gt;".",s_Irr!BB21&lt;&gt;"."),s_dir!AF21/((1/1000)*(s_Irr!F21+s_Irr!AD21+s_Irr!BB21)),IF(AND(s_Irr!F21&lt;&gt;".",s_Irr!AD21&lt;&gt;".",s_Irr!BB21="."),s_dir!AF21/((1/1000)*(s_Irr!F21+s_Irr!AD21)),IF(AND(s_Irr!F21&lt;&gt;".",s_Irr!AD21=".",s_Irr!BB21&lt;&gt;"."),s_dir!AF21/((1/1000)*(s_Irr!F21+s_Irr!BB21)),IF(AND(s_Irr!F21=".",s_Irr!AD21&lt;&gt;".",s_Irr!BB21&lt;&gt;"."),s_dir!AF21/((1/1000)*(s_Irr!AD21+s_Irr!BB21)),IF(AND(s_Irr!F21=".",s_Irr!AD21=".",s_Irr!BB21&lt;&gt;"."),s_dir!AF21/((1/1000)*(s_Irr!BB21)),IF(AND(s_Irr!F21=".",s_Irr!AD21&lt;&gt;".",s_Irr!BB21="."),s_dir!AF21/((1/1000)*(s_Irr!AD21)),IF(AND(s_Irr!F21&lt;&gt;".",s_Irr!AD21=".",s_Irr!BB21="."),s_dir!AF21/((1/1000)*(s_Irr!F21)),IF(AND(s_Irr!F21=".",s_Irr!AD21=".",s_Irr!BB21="."),s_dir!AF21*1000)))))))),".")</f>
        <v>.</v>
      </c>
      <c r="BF21" s="76" t="str">
        <f>IFERROR(IF(AND(s_Irr!G21&lt;&gt;".",s_Irr!AE21&lt;&gt;".",s_Irr!BC21&lt;&gt;"."),s_dir!AG21/((1/1000)*(s_Irr!G21+s_Irr!AE21+s_Irr!BC21)),IF(AND(s_Irr!G21&lt;&gt;".",s_Irr!AE21&lt;&gt;".",s_Irr!BC21="."),s_dir!AG21/((1/1000)*(s_Irr!G21+s_Irr!AE21)),IF(AND(s_Irr!G21&lt;&gt;".",s_Irr!AE21=".",s_Irr!BC21&lt;&gt;"."),s_dir!AG21/((1/1000)*(s_Irr!G21+s_Irr!BC21)),IF(AND(s_Irr!G21=".",s_Irr!AE21&lt;&gt;".",s_Irr!BC21&lt;&gt;"."),s_dir!AG21/((1/1000)*(s_Irr!AE21+s_Irr!BC21)),IF(AND(s_Irr!G21=".",s_Irr!AE21=".",s_Irr!BC21&lt;&gt;"."),s_dir!AG21/((1/1000)*(s_Irr!BC21)),IF(AND(s_Irr!G21=".",s_Irr!AE21&lt;&gt;".",s_Irr!BC21="."),s_dir!AG21/((1/1000)*(s_Irr!AE21)),IF(AND(s_Irr!G21&lt;&gt;".",s_Irr!AE21=".",s_Irr!BC21="."),s_dir!AG21/((1/1000)*(s_Irr!G21)),IF(AND(s_Irr!G21=".",s_Irr!AE21=".",s_Irr!BC21="."),s_dir!AG21*1000)))))))),".")</f>
        <v>.</v>
      </c>
      <c r="BG21" s="76" t="str">
        <f>IFERROR(IF(AND(s_Irr!H21&lt;&gt;".",s_Irr!AF21&lt;&gt;".",s_Irr!BD21&lt;&gt;"."),s_dir!AH21/((1/1000)*(s_Irr!H21+s_Irr!AF21+s_Irr!BD21)),IF(AND(s_Irr!H21&lt;&gt;".",s_Irr!AF21&lt;&gt;".",s_Irr!BD21="."),s_dir!AH21/((1/1000)*(s_Irr!H21+s_Irr!AF21)),IF(AND(s_Irr!H21&lt;&gt;".",s_Irr!AF21=".",s_Irr!BD21&lt;&gt;"."),s_dir!AH21/((1/1000)*(s_Irr!H21+s_Irr!BD21)),IF(AND(s_Irr!H21=".",s_Irr!AF21&lt;&gt;".",s_Irr!BD21&lt;&gt;"."),s_dir!AH21/((1/1000)*(s_Irr!AF21+s_Irr!BD21)),IF(AND(s_Irr!H21=".",s_Irr!AF21=".",s_Irr!BD21&lt;&gt;"."),s_dir!AH21/((1/1000)*(s_Irr!BD21)),IF(AND(s_Irr!H21=".",s_Irr!AF21&lt;&gt;".",s_Irr!BD21="."),s_dir!AH21/((1/1000)*(s_Irr!AF21)),IF(AND(s_Irr!H21&lt;&gt;".",s_Irr!AF21=".",s_Irr!BD21="."),s_dir!AH21/((1/1000)*(s_Irr!H21)),IF(AND(s_Irr!H21=".",s_Irr!AF21=".",s_Irr!BD21="."),s_dir!AH21*1000)))))))),".")</f>
        <v>.</v>
      </c>
      <c r="BH21" s="76" t="str">
        <f>IFERROR(IF(AND(s_Irr!I21&lt;&gt;".",s_Irr!AG21&lt;&gt;".",s_Irr!BE21&lt;&gt;"."),s_dir!AI21/((1/1000)*(s_Irr!I21+s_Irr!AG21+s_Irr!BE21)),IF(AND(s_Irr!I21&lt;&gt;".",s_Irr!AG21&lt;&gt;".",s_Irr!BE21="."),s_dir!AI21/((1/1000)*(s_Irr!I21+s_Irr!AG21)),IF(AND(s_Irr!I21&lt;&gt;".",s_Irr!AG21=".",s_Irr!BE21&lt;&gt;"."),s_dir!AI21/((1/1000)*(s_Irr!I21+s_Irr!BE21)),IF(AND(s_Irr!I21=".",s_Irr!AG21&lt;&gt;".",s_Irr!BE21&lt;&gt;"."),s_dir!AI21/((1/1000)*(s_Irr!AG21+s_Irr!BE21)),IF(AND(s_Irr!I21=".",s_Irr!AG21=".",s_Irr!BE21&lt;&gt;"."),s_dir!AI21/((1/1000)*(s_Irr!BE21)),IF(AND(s_Irr!I21=".",s_Irr!AG21&lt;&gt;".",s_Irr!BE21="."),s_dir!AI21/((1/1000)*(s_Irr!AG21)),IF(AND(s_Irr!I21&lt;&gt;".",s_Irr!AG21=".",s_Irr!BE21="."),s_dir!AI21/((1/1000)*(s_Irr!I21)),IF(AND(s_Irr!I21=".",s_Irr!AG21=".",s_Irr!BE21="."),s_dir!AI21*1000)))))))),".")</f>
        <v>.</v>
      </c>
      <c r="BI21" s="76" t="str">
        <f>IFERROR(IF(AND(s_Irr!J21&lt;&gt;".",s_Irr!AH21&lt;&gt;".",s_Irr!BF21&lt;&gt;"."),s_dir!AJ21/((1/1000)*(s_Irr!J21+s_Irr!AH21+s_Irr!BF21)),IF(AND(s_Irr!J21&lt;&gt;".",s_Irr!AH21&lt;&gt;".",s_Irr!BF21="."),s_dir!AJ21/((1/1000)*(s_Irr!J21+s_Irr!AH21)),IF(AND(s_Irr!J21&lt;&gt;".",s_Irr!AH21=".",s_Irr!BF21&lt;&gt;"."),s_dir!AJ21/((1/1000)*(s_Irr!J21+s_Irr!BF21)),IF(AND(s_Irr!J21=".",s_Irr!AH21&lt;&gt;".",s_Irr!BF21&lt;&gt;"."),s_dir!AJ21/((1/1000)*(s_Irr!AH21+s_Irr!BF21)),IF(AND(s_Irr!J21=".",s_Irr!AH21=".",s_Irr!BF21&lt;&gt;"."),s_dir!AJ21/((1/1000)*(s_Irr!BF21)),IF(AND(s_Irr!J21=".",s_Irr!AH21&lt;&gt;".",s_Irr!BF21="."),s_dir!AJ21/((1/1000)*(s_Irr!AH21)),IF(AND(s_Irr!J21&lt;&gt;".",s_Irr!AH21=".",s_Irr!BF21="."),s_dir!AJ21/((1/1000)*(s_Irr!J21)),IF(AND(s_Irr!J21=".",s_Irr!AH21=".",s_Irr!BF21="."),s_dir!AJ21*1000)))))))),".")</f>
        <v>.</v>
      </c>
      <c r="BJ21" s="76" t="str">
        <f>IFERROR(IF(AND(s_Irr!K21&lt;&gt;".",s_Irr!AI21&lt;&gt;".",s_Irr!BG21&lt;&gt;"."),s_dir!AK21/((1/1000)*(s_Irr!K21+s_Irr!AI21+s_Irr!BG21)),IF(AND(s_Irr!K21&lt;&gt;".",s_Irr!AI21&lt;&gt;".",s_Irr!BG21="."),s_dir!AK21/((1/1000)*(s_Irr!K21+s_Irr!AI21)),IF(AND(s_Irr!K21&lt;&gt;".",s_Irr!AI21=".",s_Irr!BG21&lt;&gt;"."),s_dir!AK21/((1/1000)*(s_Irr!K21+s_Irr!BG21)),IF(AND(s_Irr!K21=".",s_Irr!AI21&lt;&gt;".",s_Irr!BG21&lt;&gt;"."),s_dir!AK21/((1/1000)*(s_Irr!AI21+s_Irr!BG21)),IF(AND(s_Irr!K21=".",s_Irr!AI21=".",s_Irr!BG21&lt;&gt;"."),s_dir!AK21/((1/1000)*(s_Irr!BG21)),IF(AND(s_Irr!K21=".",s_Irr!AI21&lt;&gt;".",s_Irr!BG21="."),s_dir!AK21/((1/1000)*(s_Irr!AI21)),IF(AND(s_Irr!K21&lt;&gt;".",s_Irr!AI21=".",s_Irr!BG21="."),s_dir!AK21/((1/1000)*(s_Irr!K21)),IF(AND(s_Irr!K21=".",s_Irr!AI21=".",s_Irr!BG21="."),s_dir!AK21*1000)))))))),".")</f>
        <v>.</v>
      </c>
      <c r="BK21" s="76" t="str">
        <f>IFERROR(IF(AND(s_Irr!L21&lt;&gt;".",s_Irr!AJ21&lt;&gt;".",s_Irr!BH21&lt;&gt;"."),s_dir!AL21/((1/1000)*(s_Irr!L21+s_Irr!AJ21+s_Irr!BH21)),IF(AND(s_Irr!L21&lt;&gt;".",s_Irr!AJ21&lt;&gt;".",s_Irr!BH21="."),s_dir!AL21/((1/1000)*(s_Irr!L21+s_Irr!AJ21)),IF(AND(s_Irr!L21&lt;&gt;".",s_Irr!AJ21=".",s_Irr!BH21&lt;&gt;"."),s_dir!AL21/((1/1000)*(s_Irr!L21+s_Irr!BH21)),IF(AND(s_Irr!L21=".",s_Irr!AJ21&lt;&gt;".",s_Irr!BH21&lt;&gt;"."),s_dir!AL21/((1/1000)*(s_Irr!AJ21+s_Irr!BH21)),IF(AND(s_Irr!L21=".",s_Irr!AJ21=".",s_Irr!BH21&lt;&gt;"."),s_dir!AL21/((1/1000)*(s_Irr!BH21)),IF(AND(s_Irr!L21=".",s_Irr!AJ21&lt;&gt;".",s_Irr!BH21="."),s_dir!AL21/((1/1000)*(s_Irr!AJ21)),IF(AND(s_Irr!L21&lt;&gt;".",s_Irr!AJ21=".",s_Irr!BH21="."),s_dir!AL21/((1/1000)*(s_Irr!L21)),IF(AND(s_Irr!L21=".",s_Irr!AJ21=".",s_Irr!BH21="."),s_dir!AL21*1000)))))))),".")</f>
        <v>.</v>
      </c>
      <c r="BL21" s="76" t="str">
        <f>IFERROR(IF(AND(s_Irr!M21&lt;&gt;".",s_Irr!AK21&lt;&gt;".",s_Irr!BI21&lt;&gt;"."),s_dir!AM21/((1/1000)*(s_Irr!M21+s_Irr!AK21+s_Irr!BI21)),IF(AND(s_Irr!M21&lt;&gt;".",s_Irr!AK21&lt;&gt;".",s_Irr!BI21="."),s_dir!AM21/((1/1000)*(s_Irr!M21+s_Irr!AK21)),IF(AND(s_Irr!M21&lt;&gt;".",s_Irr!AK21=".",s_Irr!BI21&lt;&gt;"."),s_dir!AM21/((1/1000)*(s_Irr!M21+s_Irr!BI21)),IF(AND(s_Irr!M21=".",s_Irr!AK21&lt;&gt;".",s_Irr!BI21&lt;&gt;"."),s_dir!AM21/((1/1000)*(s_Irr!AK21+s_Irr!BI21)),IF(AND(s_Irr!M21=".",s_Irr!AK21=".",s_Irr!BI21&lt;&gt;"."),s_dir!AM21/((1/1000)*(s_Irr!BI21)),IF(AND(s_Irr!M21=".",s_Irr!AK21&lt;&gt;".",s_Irr!BI21="."),s_dir!AM21/((1/1000)*(s_Irr!AK21)),IF(AND(s_Irr!M21&lt;&gt;".",s_Irr!AK21=".",s_Irr!BI21="."),s_dir!AM21/((1/1000)*(s_Irr!M21)),IF(AND(s_Irr!M21=".",s_Irr!AK21=".",s_Irr!BI21="."),s_dir!AM21*1000)))))))),".")</f>
        <v>.</v>
      </c>
      <c r="BM21" s="76" t="str">
        <f>IFERROR(IF(AND(s_Irr!N21&lt;&gt;".",s_Irr!AL21&lt;&gt;".",s_Irr!BJ21&lt;&gt;"."),s_dir!AN21/((1/1000)*(s_Irr!N21+s_Irr!AL21+s_Irr!BJ21)),IF(AND(s_Irr!N21&lt;&gt;".",s_Irr!AL21&lt;&gt;".",s_Irr!BJ21="."),s_dir!AN21/((1/1000)*(s_Irr!N21+s_Irr!AL21)),IF(AND(s_Irr!N21&lt;&gt;".",s_Irr!AL21=".",s_Irr!BJ21&lt;&gt;"."),s_dir!AN21/((1/1000)*(s_Irr!N21+s_Irr!BJ21)),IF(AND(s_Irr!N21=".",s_Irr!AL21&lt;&gt;".",s_Irr!BJ21&lt;&gt;"."),s_dir!AN21/((1/1000)*(s_Irr!AL21+s_Irr!BJ21)),IF(AND(s_Irr!N21=".",s_Irr!AL21=".",s_Irr!BJ21&lt;&gt;"."),s_dir!AN21/((1/1000)*(s_Irr!BJ21)),IF(AND(s_Irr!N21=".",s_Irr!AL21&lt;&gt;".",s_Irr!BJ21="."),s_dir!AN21/((1/1000)*(s_Irr!AL21)),IF(AND(s_Irr!N21&lt;&gt;".",s_Irr!AL21=".",s_Irr!BJ21="."),s_dir!AN21/((1/1000)*(s_Irr!N21)),IF(AND(s_Irr!N21=".",s_Irr!AL21=".",s_Irr!BJ21="."),s_dir!AN21*1000)))))))),".")</f>
        <v>.</v>
      </c>
      <c r="BN21" s="76" t="str">
        <f>IFERROR(IF(AND(s_Irr!O21&lt;&gt;".",s_Irr!AM21&lt;&gt;".",s_Irr!BK21&lt;&gt;"."),s_dir!AO21/((1/1000)*(s_Irr!O21+s_Irr!AM21+s_Irr!BK21)),IF(AND(s_Irr!O21&lt;&gt;".",s_Irr!AM21&lt;&gt;".",s_Irr!BK21="."),s_dir!AO21/((1/1000)*(s_Irr!O21+s_Irr!AM21)),IF(AND(s_Irr!O21&lt;&gt;".",s_Irr!AM21=".",s_Irr!BK21&lt;&gt;"."),s_dir!AO21/((1/1000)*(s_Irr!O21+s_Irr!BK21)),IF(AND(s_Irr!O21=".",s_Irr!AM21&lt;&gt;".",s_Irr!BK21&lt;&gt;"."),s_dir!AO21/((1/1000)*(s_Irr!AM21+s_Irr!BK21)),IF(AND(s_Irr!O21=".",s_Irr!AM21=".",s_Irr!BK21&lt;&gt;"."),s_dir!AO21/((1/1000)*(s_Irr!BK21)),IF(AND(s_Irr!O21=".",s_Irr!AM21&lt;&gt;".",s_Irr!BK21="."),s_dir!AO21/((1/1000)*(s_Irr!AM21)),IF(AND(s_Irr!O21&lt;&gt;".",s_Irr!AM21=".",s_Irr!BK21="."),s_dir!AO21/((1/1000)*(s_Irr!O21)),IF(AND(s_Irr!O21=".",s_Irr!AM21=".",s_Irr!BK21="."),s_dir!AO21*1000)))))))),".")</f>
        <v>.</v>
      </c>
      <c r="BO21" s="76" t="str">
        <f>IFERROR(IF(AND(s_Irr!P21&lt;&gt;".",s_Irr!AN21&lt;&gt;".",s_Irr!BL21&lt;&gt;"."),s_dir!AP21/((1/1000)*(s_Irr!P21+s_Irr!AN21+s_Irr!BL21)),IF(AND(s_Irr!P21&lt;&gt;".",s_Irr!AN21&lt;&gt;".",s_Irr!BL21="."),s_dir!AP21/((1/1000)*(s_Irr!P21+s_Irr!AN21)),IF(AND(s_Irr!P21&lt;&gt;".",s_Irr!AN21=".",s_Irr!BL21&lt;&gt;"."),s_dir!AP21/((1/1000)*(s_Irr!P21+s_Irr!BL21)),IF(AND(s_Irr!P21=".",s_Irr!AN21&lt;&gt;".",s_Irr!BL21&lt;&gt;"."),s_dir!AP21/((1/1000)*(s_Irr!AN21+s_Irr!BL21)),IF(AND(s_Irr!P21=".",s_Irr!AN21=".",s_Irr!BL21&lt;&gt;"."),s_dir!AP21/((1/1000)*(s_Irr!BL21)),IF(AND(s_Irr!P21=".",s_Irr!AN21&lt;&gt;".",s_Irr!BL21="."),s_dir!AP21/((1/1000)*(s_Irr!AN21)),IF(AND(s_Irr!P21&lt;&gt;".",s_Irr!AN21=".",s_Irr!BL21="."),s_dir!AP21/((1/1000)*(s_Irr!P21)),IF(AND(s_Irr!P21=".",s_Irr!AN21=".",s_Irr!BL21="."),s_dir!AP21*1000)))))))),".")</f>
        <v>.</v>
      </c>
      <c r="BP21" s="76" t="str">
        <f>IFERROR(IF(AND(s_Irr!Q21&lt;&gt;".",s_Irr!AO21&lt;&gt;".",s_Irr!BM21&lt;&gt;"."),s_dir!AQ21/((1/1000)*(s_Irr!Q21+s_Irr!AO21+s_Irr!BM21)),IF(AND(s_Irr!Q21&lt;&gt;".",s_Irr!AO21&lt;&gt;".",s_Irr!BM21="."),s_dir!AQ21/((1/1000)*(s_Irr!Q21+s_Irr!AO21)),IF(AND(s_Irr!Q21&lt;&gt;".",s_Irr!AO21=".",s_Irr!BM21&lt;&gt;"."),s_dir!AQ21/((1/1000)*(s_Irr!Q21+s_Irr!BM21)),IF(AND(s_Irr!Q21=".",s_Irr!AO21&lt;&gt;".",s_Irr!BM21&lt;&gt;"."),s_dir!AQ21/((1/1000)*(s_Irr!AO21+s_Irr!BM21)),IF(AND(s_Irr!Q21=".",s_Irr!AO21=".",s_Irr!BM21&lt;&gt;"."),s_dir!AQ21/((1/1000)*(s_Irr!BM21)),IF(AND(s_Irr!Q21=".",s_Irr!AO21&lt;&gt;".",s_Irr!BM21="."),s_dir!AQ21/((1/1000)*(s_Irr!AO21)),IF(AND(s_Irr!Q21&lt;&gt;".",s_Irr!AO21=".",s_Irr!BM21="."),s_dir!AQ21/((1/1000)*(s_Irr!Q21)),IF(AND(s_Irr!Q21=".",s_Irr!AO21=".",s_Irr!BM21="."),s_dir!AQ21*1000)))))))),".")</f>
        <v>.</v>
      </c>
      <c r="BQ21" s="76" t="str">
        <f>IFERROR(IF(AND(s_Irr!R21&lt;&gt;".",s_Irr!AP21&lt;&gt;".",s_Irr!BN21&lt;&gt;"."),s_dir!AR21/((1/1000)*(s_Irr!R21+s_Irr!AP21+s_Irr!BN21)),IF(AND(s_Irr!R21&lt;&gt;".",s_Irr!AP21&lt;&gt;".",s_Irr!BN21="."),s_dir!AR21/((1/1000)*(s_Irr!R21+s_Irr!AP21)),IF(AND(s_Irr!R21&lt;&gt;".",s_Irr!AP21=".",s_Irr!BN21&lt;&gt;"."),s_dir!AR21/((1/1000)*(s_Irr!R21+s_Irr!BN21)),IF(AND(s_Irr!R21=".",s_Irr!AP21&lt;&gt;".",s_Irr!BN21&lt;&gt;"."),s_dir!AR21/((1/1000)*(s_Irr!AP21+s_Irr!BN21)),IF(AND(s_Irr!R21=".",s_Irr!AP21=".",s_Irr!BN21&lt;&gt;"."),s_dir!AR21/((1/1000)*(s_Irr!BN21)),IF(AND(s_Irr!R21=".",s_Irr!AP21&lt;&gt;".",s_Irr!BN21="."),s_dir!AR21/((1/1000)*(s_Irr!AP21)),IF(AND(s_Irr!R21&lt;&gt;".",s_Irr!AP21=".",s_Irr!BN21="."),s_dir!AR21/((1/1000)*(s_Irr!R21)),IF(AND(s_Irr!R21=".",s_Irr!AP21=".",s_Irr!BN21="."),s_dir!AR21*1000)))))))),".")</f>
        <v>.</v>
      </c>
      <c r="BR21" s="76" t="str">
        <f>IFERROR(IF(AND(s_Irr!S21&lt;&gt;".",s_Irr!AQ21&lt;&gt;".",s_Irr!BO21&lt;&gt;"."),s_dir!AS21/((1/1000)*(s_Irr!S21+s_Irr!AQ21+s_Irr!BO21)),IF(AND(s_Irr!S21&lt;&gt;".",s_Irr!AQ21&lt;&gt;".",s_Irr!BO21="."),s_dir!AS21/((1/1000)*(s_Irr!S21+s_Irr!AQ21)),IF(AND(s_Irr!S21&lt;&gt;".",s_Irr!AQ21=".",s_Irr!BO21&lt;&gt;"."),s_dir!AS21/((1/1000)*(s_Irr!S21+s_Irr!BO21)),IF(AND(s_Irr!S21=".",s_Irr!AQ21&lt;&gt;".",s_Irr!BO21&lt;&gt;"."),s_dir!AS21/((1/1000)*(s_Irr!AQ21+s_Irr!BO21)),IF(AND(s_Irr!S21=".",s_Irr!AQ21=".",s_Irr!BO21&lt;&gt;"."),s_dir!AS21/((1/1000)*(s_Irr!BO21)),IF(AND(s_Irr!S21=".",s_Irr!AQ21&lt;&gt;".",s_Irr!BO21="."),s_dir!AS21/((1/1000)*(s_Irr!AQ21)),IF(AND(s_Irr!S21&lt;&gt;".",s_Irr!AQ21=".",s_Irr!BO21="."),s_dir!AS21/((1/1000)*(s_Irr!S21)),IF(AND(s_Irr!S21=".",s_Irr!AQ21=".",s_Irr!BO21="."),s_dir!AS21*1000)))))))),".")</f>
        <v>.</v>
      </c>
      <c r="BS21" s="76" t="str">
        <f>IFERROR(IF(AND(s_Irr!T21&lt;&gt;".",s_Irr!AR21&lt;&gt;".",s_Irr!BP21&lt;&gt;"."),s_dir!AT21/((1/1000)*(s_Irr!T21+s_Irr!AR21+s_Irr!BP21)),IF(AND(s_Irr!T21&lt;&gt;".",s_Irr!AR21&lt;&gt;".",s_Irr!BP21="."),s_dir!AT21/((1/1000)*(s_Irr!T21+s_Irr!AR21)),IF(AND(s_Irr!T21&lt;&gt;".",s_Irr!AR21=".",s_Irr!BP21&lt;&gt;"."),s_dir!AT21/((1/1000)*(s_Irr!T21+s_Irr!BP21)),IF(AND(s_Irr!T21=".",s_Irr!AR21&lt;&gt;".",s_Irr!BP21&lt;&gt;"."),s_dir!AT21/((1/1000)*(s_Irr!AR21+s_Irr!BP21)),IF(AND(s_Irr!T21=".",s_Irr!AR21=".",s_Irr!BP21&lt;&gt;"."),s_dir!AT21/((1/1000)*(s_Irr!BP21)),IF(AND(s_Irr!T21=".",s_Irr!AR21&lt;&gt;".",s_Irr!BP21="."),s_dir!AT21/((1/1000)*(s_Irr!AR21)),IF(AND(s_Irr!T21&lt;&gt;".",s_Irr!AR21=".",s_Irr!BP21="."),s_dir!AT21/((1/1000)*(s_Irr!T21)),IF(AND(s_Irr!T21=".",s_Irr!AR21=".",s_Irr!BP21="."),s_dir!AT21*1000)))))))),".")</f>
        <v>.</v>
      </c>
      <c r="BT21" s="76" t="str">
        <f>IFERROR(IF(AND(s_Irr!U21&lt;&gt;".",s_Irr!AS21&lt;&gt;".",s_Irr!BQ21&lt;&gt;"."),s_dir!AU21/((1/1000)*(s_Irr!U21+s_Irr!AS21+s_Irr!BQ21)),IF(AND(s_Irr!U21&lt;&gt;".",s_Irr!AS21&lt;&gt;".",s_Irr!BQ21="."),s_dir!AU21/((1/1000)*(s_Irr!U21+s_Irr!AS21)),IF(AND(s_Irr!U21&lt;&gt;".",s_Irr!AS21=".",s_Irr!BQ21&lt;&gt;"."),s_dir!AU21/((1/1000)*(s_Irr!U21+s_Irr!BQ21)),IF(AND(s_Irr!U21=".",s_Irr!AS21&lt;&gt;".",s_Irr!BQ21&lt;&gt;"."),s_dir!AU21/((1/1000)*(s_Irr!AS21+s_Irr!BQ21)),IF(AND(s_Irr!U21=".",s_Irr!AS21=".",s_Irr!BQ21&lt;&gt;"."),s_dir!AU21/((1/1000)*(s_Irr!BQ21)),IF(AND(s_Irr!U21=".",s_Irr!AS21&lt;&gt;".",s_Irr!BQ21="."),s_dir!AU21/((1/1000)*(s_Irr!AS21)),IF(AND(s_Irr!U21&lt;&gt;".",s_Irr!AS21=".",s_Irr!BQ21="."),s_dir!AU21/((1/1000)*(s_Irr!U21)),IF(AND(s_Irr!U21=".",s_Irr!AS21=".",s_Irr!BQ21="."),s_dir!AU21*1000)))))))),".")</f>
        <v>.</v>
      </c>
      <c r="BU21" s="76" t="str">
        <f>IFERROR(IF(AND(s_Irr!V21&lt;&gt;".",s_Irr!AT21&lt;&gt;".",s_Irr!BR21&lt;&gt;"."),s_dir!AV21/((1/1000)*(s_Irr!V21+s_Irr!AT21+s_Irr!BR21)),IF(AND(s_Irr!V21&lt;&gt;".",s_Irr!AT21&lt;&gt;".",s_Irr!BR21="."),s_dir!AV21/((1/1000)*(s_Irr!V21+s_Irr!AT21)),IF(AND(s_Irr!V21&lt;&gt;".",s_Irr!AT21=".",s_Irr!BR21&lt;&gt;"."),s_dir!AV21/((1/1000)*(s_Irr!V21+s_Irr!BR21)),IF(AND(s_Irr!V21=".",s_Irr!AT21&lt;&gt;".",s_Irr!BR21&lt;&gt;"."),s_dir!AV21/((1/1000)*(s_Irr!AT21+s_Irr!BR21)),IF(AND(s_Irr!V21=".",s_Irr!AT21=".",s_Irr!BR21&lt;&gt;"."),s_dir!AV21/((1/1000)*(s_Irr!BR21)),IF(AND(s_Irr!V21=".",s_Irr!AT21&lt;&gt;".",s_Irr!BR21="."),s_dir!AV21/((1/1000)*(s_Irr!AT21)),IF(AND(s_Irr!V21&lt;&gt;".",s_Irr!AT21=".",s_Irr!BR21="."),s_dir!AV21/((1/1000)*(s_Irr!V21)),IF(AND(s_Irr!V21=".",s_Irr!AT21=".",s_Irr!BR21="."),s_dir!AV21*1000)))))))),".")</f>
        <v>.</v>
      </c>
      <c r="BV21" s="76" t="str">
        <f>IFERROR(IF(AND(s_Irr!W21&lt;&gt;".",s_Irr!AU21&lt;&gt;".",s_Irr!BS21&lt;&gt;"."),s_dir!AW21/((1/1000)*(s_Irr!W21+s_Irr!AU21+s_Irr!BS21)),IF(AND(s_Irr!W21&lt;&gt;".",s_Irr!AU21&lt;&gt;".",s_Irr!BS21="."),s_dir!AW21/((1/1000)*(s_Irr!W21+s_Irr!AU21)),IF(AND(s_Irr!W21&lt;&gt;".",s_Irr!AU21=".",s_Irr!BS21&lt;&gt;"."),s_dir!AW21/((1/1000)*(s_Irr!W21+s_Irr!BS21)),IF(AND(s_Irr!W21=".",s_Irr!AU21&lt;&gt;".",s_Irr!BS21&lt;&gt;"."),s_dir!AW21/((1/1000)*(s_Irr!AU21+s_Irr!BS21)),IF(AND(s_Irr!W21=".",s_Irr!AU21=".",s_Irr!BS21&lt;&gt;"."),s_dir!AW21/((1/1000)*(s_Irr!BS21)),IF(AND(s_Irr!W21=".",s_Irr!AU21&lt;&gt;".",s_Irr!BS21="."),s_dir!AW21/((1/1000)*(s_Irr!AU21)),IF(AND(s_Irr!W21&lt;&gt;".",s_Irr!AU21=".",s_Irr!BS21="."),s_dir!AW21/((1/1000)*(s_Irr!W21)),IF(AND(s_Irr!W21=".",s_Irr!AU21=".",s_Irr!BS21="."),s_dir!AW21*1000)))))))),".")</f>
        <v>.</v>
      </c>
      <c r="BW21" s="76" t="str">
        <f>IFERROR(IF(AND(s_Irr!X21&lt;&gt;".",s_Irr!AV21&lt;&gt;".",s_Irr!BT21&lt;&gt;"."),s_dir!AX21/((1/1000)*(s_Irr!X21+s_Irr!AV21+s_Irr!BT21)),IF(AND(s_Irr!X21&lt;&gt;".",s_Irr!AV21&lt;&gt;".",s_Irr!BT21="."),s_dir!AX21/((1/1000)*(s_Irr!X21+s_Irr!AV21)),IF(AND(s_Irr!X21&lt;&gt;".",s_Irr!AV21=".",s_Irr!BT21&lt;&gt;"."),s_dir!AX21/((1/1000)*(s_Irr!X21+s_Irr!BT21)),IF(AND(s_Irr!X21=".",s_Irr!AV21&lt;&gt;".",s_Irr!BT21&lt;&gt;"."),s_dir!AX21/((1/1000)*(s_Irr!AV21+s_Irr!BT21)),IF(AND(s_Irr!X21=".",s_Irr!AV21=".",s_Irr!BT21&lt;&gt;"."),s_dir!AX21/((1/1000)*(s_Irr!BT21)),IF(AND(s_Irr!X21=".",s_Irr!AV21&lt;&gt;".",s_Irr!BT21="."),s_dir!AX21/((1/1000)*(s_Irr!AV21)),IF(AND(s_Irr!X21&lt;&gt;".",s_Irr!AV21=".",s_Irr!BT21="."),s_dir!AX21/((1/1000)*(s_Irr!X21)),IF(AND(s_Irr!X21=".",s_Irr!AV21=".",s_Irr!BT21="."),s_dir!AX21*1000)))))))),".")</f>
        <v>.</v>
      </c>
      <c r="BX21" s="76" t="str">
        <f>IFERROR(IF(AND(s_Irr!Y21&lt;&gt;".",s_Irr!AW21&lt;&gt;".",s_Irr!BU21&lt;&gt;"."),s_dir!AY21/((1/1000)*(s_Irr!Y21+s_Irr!AW21+s_Irr!BU21)),IF(AND(s_Irr!Y21&lt;&gt;".",s_Irr!AW21&lt;&gt;".",s_Irr!BU21="."),s_dir!AY21/((1/1000)*(s_Irr!Y21+s_Irr!AW21)),IF(AND(s_Irr!Y21&lt;&gt;".",s_Irr!AW21=".",s_Irr!BU21&lt;&gt;"."),s_dir!AY21/((1/1000)*(s_Irr!Y21+s_Irr!BU21)),IF(AND(s_Irr!Y21=".",s_Irr!AW21&lt;&gt;".",s_Irr!BU21&lt;&gt;"."),s_dir!AY21/((1/1000)*(s_Irr!AW21+s_Irr!BU21)),IF(AND(s_Irr!Y21=".",s_Irr!AW21=".",s_Irr!BU21&lt;&gt;"."),s_dir!AY21/((1/1000)*(s_Irr!BU21)),IF(AND(s_Irr!Y21=".",s_Irr!AW21&lt;&gt;".",s_Irr!BU21="."),s_dir!AY21/((1/1000)*(s_Irr!AW21)),IF(AND(s_Irr!Y21&lt;&gt;".",s_Irr!AW21=".",s_Irr!BU21="."),s_dir!AY21/((1/1000)*(s_Irr!Y21)),IF(AND(s_Irr!Y21=".",s_Irr!AW21=".",s_Irr!BU21="."),s_dir!AY21*1000)))))))),".")</f>
        <v>.</v>
      </c>
      <c r="BY21" s="76" t="str">
        <f>IFERROR(IF(AND(s_Irr!Z21&lt;&gt;".",s_Irr!AX21&lt;&gt;".",s_Irr!BV21&lt;&gt;"."),s_dir!AZ21/((1/1000)*(s_Irr!Z21+s_Irr!AX21+s_Irr!BV21)),IF(AND(s_Irr!Z21&lt;&gt;".",s_Irr!AX21&lt;&gt;".",s_Irr!BV21="."),s_dir!AZ21/((1/1000)*(s_Irr!Z21+s_Irr!AX21)),IF(AND(s_Irr!Z21&lt;&gt;".",s_Irr!AX21=".",s_Irr!BV21&lt;&gt;"."),s_dir!AZ21/((1/1000)*(s_Irr!Z21+s_Irr!BV21)),IF(AND(s_Irr!Z21=".",s_Irr!AX21&lt;&gt;".",s_Irr!BV21&lt;&gt;"."),s_dir!AZ21/((1/1000)*(s_Irr!AX21+s_Irr!BV21)),IF(AND(s_Irr!Z21=".",s_Irr!AX21=".",s_Irr!BV21&lt;&gt;"."),s_dir!AZ21/((1/1000)*(s_Irr!BV21)),IF(AND(s_Irr!Z21=".",s_Irr!AX21&lt;&gt;".",s_Irr!BV21="."),s_dir!AZ21/((1/1000)*(s_Irr!AX21)),IF(AND(s_Irr!Z21&lt;&gt;".",s_Irr!AX21=".",s_Irr!BV21="."),s_dir!AZ21/((1/1000)*(s_Irr!Z21)),IF(AND(s_Irr!Z21=".",s_Irr!AX21=".",s_Irr!BV21="."),s_dir!AZ21*1000)))))))),".")</f>
        <v>.</v>
      </c>
      <c r="BZ21" s="93">
        <f>SUM(CA21:CB21,CW21:CX21)</f>
        <v>700.26213124716605</v>
      </c>
      <c r="CA21" s="93">
        <f>IFERROR(s_C*s_IFAP_far_adj*s_CF_apple*(1/1000)*(s_Irr!C21+s_Irr!AA21+s_Irr!AY21),".")</f>
        <v>161.37753664539483</v>
      </c>
      <c r="CB21" s="93">
        <f>IFERROR(s_C*s_IFAS_far_adj*s_CF_asparagus*(1/1000)*(s_Irr!D21+s_Irr!AB21+s_Irr!AZ21),".")</f>
        <v>181.04890838153378</v>
      </c>
      <c r="CC21" s="93">
        <f>IFERROR(s_C*s_IFBT_far_adj*s_CF_beet*(1/1000)*(s_Irr!E21+s_Irr!AC21+s_Irr!BA21),".")</f>
        <v>176.67749244016957</v>
      </c>
      <c r="CD21" s="93">
        <f>IFERROR(s_C*s_IFBE_far_adj*s_CF_berries*(1/1000)*(s_Irr!F21+s_Irr!AD21+s_Irr!BB21),".")</f>
        <v>161.37753664539483</v>
      </c>
      <c r="CE21" s="93">
        <f>IFERROR(s_C*s_IFBR_far_adj*s_CF_broccoli*(1/1000)*(s_Irr!G21+s_Irr!AE21+s_Irr!BC21),".")</f>
        <v>161.37753664539483</v>
      </c>
      <c r="CF21" s="93">
        <f>IFERROR(s_C*s_IFCB_far_adj*s_CF_cabbage*(1/1000)*(s_Irr!H21+s_Irr!AF21+s_Irr!BD21),".")</f>
        <v>181.04890838153378</v>
      </c>
      <c r="CG21" s="93">
        <f>IFERROR(s_C*s_IFCR_far_adj*s_CF_carrot*(1/1000)*(s_Irr!I21+s_Irr!AG21+s_Irr!BE21),".")</f>
        <v>176.67749244016957</v>
      </c>
      <c r="CH21" s="93">
        <f>IFERROR(s_C*s_IFCI_far_adj*s_CF_citrus*(1/1000)*(s_Irr!J21+s_Irr!AH21+s_Irr!BF21),".")</f>
        <v>161.37753664539483</v>
      </c>
      <c r="CI21" s="93">
        <f>IFERROR(s_C*s_IFCO_far_adj*s_CF_corn*(1/1000)*(s_Irr!K21+s_Irr!AI21+s_Irr!BG21),".")</f>
        <v>161.48682204392892</v>
      </c>
      <c r="CJ21" s="93">
        <f>IFERROR(s_C*s_IFCU_far_adj*s_CF_cucumber*(1/1000)*(s_Irr!L21+s_Irr!AJ21+s_Irr!BH21),".")</f>
        <v>161.37753664539483</v>
      </c>
      <c r="CK21" s="93">
        <f>IFERROR(s_C*s_IFLE_far_adj*s_CF_lettuce*(1/1000)*(s_Irr!M21+s_Irr!AK21+s_Irr!BI21),".")</f>
        <v>181.04890838153378</v>
      </c>
      <c r="CL21" s="93">
        <f>IFERROR(s_C*s_IFLI_far_adj*s_CF_lima_bean*(1/1000)*(s_Irr!N21+s_Irr!AL21+s_Irr!BJ21),".")</f>
        <v>161.56878609282953</v>
      </c>
      <c r="CM21" s="93">
        <f>IFERROR(s_C*s_IFOK_far_adj*s_CF_okra*(1/1000)*(s_Irr!O21+s_Irr!AM21+s_Irr!BK21),".")</f>
        <v>161.37753664539483</v>
      </c>
      <c r="CN21" s="93">
        <f>IFERROR(s_C*s_IFON_far_adj*s_CF_onion*(1/1000)*(s_Irr!P21+s_Irr!AN21+s_Irr!BL21),".")</f>
        <v>161.37753664539483</v>
      </c>
      <c r="CO21" s="93">
        <f>IFERROR(s_C*s_IFPC_far_adj*s_CF_peach*(1/1000)*(s_Irr!Q21+s_Irr!AO21+s_Irr!BM21),".")</f>
        <v>161.37753664539483</v>
      </c>
      <c r="CP21" s="93">
        <f>IFERROR(s_C*s_IFPR_far_adj*s_CF_pear*(1/1000)*(s_Irr!R21+s_Irr!AP21+s_Irr!BN21),".")</f>
        <v>161.37753664539483</v>
      </c>
      <c r="CQ21" s="93">
        <f>IFERROR(s_C*s_IFPE_far_adj*s_CF_peas*(1/1000)*(s_Irr!S21+s_Irr!AQ21+s_Irr!BO21),".")</f>
        <v>161.56878609282953</v>
      </c>
      <c r="CR21" s="93">
        <f>IFERROR(s_C*s_IFPT_far_adj*s_CF_potato*(1/1000)*(s_Irr!T21+s_Irr!AR21+s_Irr!BP21),".")</f>
        <v>168.20787405377641</v>
      </c>
      <c r="CS21" s="93">
        <f>IFERROR(s_C*s_IFPU_far_adj*s_CF_pumpkin*(1/1000)*(s_Irr!U21+s_Irr!AS21+s_Irr!BQ21),".")</f>
        <v>161.37753664539483</v>
      </c>
      <c r="CT21" s="93">
        <f>IFERROR(s_C*s_IFSN_far_adj*s_CF_snap_bean*(1/1000)*(s_Irr!V21+s_Irr!AT21+s_Irr!BR21),".")</f>
        <v>161.56878609282953</v>
      </c>
      <c r="CU21" s="93">
        <f>IFERROR(s_C*s_IFST_far_adj*s_CF_strawberry*(1/1000)*(s_Irr!W21+s_Irr!AU21+s_Irr!BS21),".")</f>
        <v>161.37753664539483</v>
      </c>
      <c r="CV21" s="93">
        <f>IFERROR(s_C*s_IFTO_far_adj*s_CF_tomato*(1/1000)*(s_Irr!X21+s_Irr!AV21+s_Irr!BT21),".")</f>
        <v>161.37753664539483</v>
      </c>
      <c r="CW21" s="93">
        <f>IFERROR(s_C*s_IFRI_far_adj*s_CF_rice*(1/1000)*(s_Irr!Y21+s_Irr!AW21+s_Irr!BU21),".")</f>
        <v>196.34886417630852</v>
      </c>
      <c r="CX21" s="93">
        <f>IFERROR(s_C*s_IFCG_far_adj*s_CF_cereal*(1/1000)*(s_Irr!Z21+s_Irr!AX21+s_Irr!BV21),".")</f>
        <v>161.48682204392892</v>
      </c>
    </row>
    <row r="22" spans="1:102" ht="15" customHeight="1" x14ac:dyDescent="0.25">
      <c r="A22" s="92" t="s">
        <v>32</v>
      </c>
      <c r="B22" s="90" t="s">
        <v>1074</v>
      </c>
      <c r="C22" s="76">
        <f t="shared" ref="C22:C23" si="24">IFERROR(1/SUM(1/D22,1/E22,1/Z22,1/AA22),".")</f>
        <v>33.635892775043871</v>
      </c>
      <c r="D22" s="76">
        <f>IFERROR(IF(AND(s_Irr!C22&lt;&gt;".",s_Irr!AA22&lt;&gt;".",s_Irr!AY22&lt;&gt;"."),s_dir!D22/((1/1000)*(s_Irr!C22+s_Irr!AA22+s_Irr!AY22)),IF(AND(s_Irr!C22&lt;&gt;".",s_Irr!AA22&lt;&gt;".",s_Irr!AY22="."),s_dir!D22/((1/1000)*(s_Irr!C22+s_Irr!AA22)),IF(AND(s_Irr!C22&lt;&gt;".",s_Irr!AA22=".",s_Irr!AY22&lt;&gt;"."),s_dir!D22/((1/1000)*(s_Irr!C22+s_Irr!AY22)),IF(AND(s_Irr!C22=".",s_Irr!AA22&lt;&gt;".",s_Irr!AY22&lt;&gt;"."),s_dir!D22/((1/1000)*(s_Irr!AA22+s_Irr!AY22)),IF(AND(s_Irr!C22=".",s_Irr!AA22=".",s_Irr!AY22&lt;&gt;"."),s_dir!D22/((1/1000)*(s_Irr!AY22)),IF(AND(s_Irr!C22=".",s_Irr!AA22&lt;&gt;".",s_Irr!AY22="."),s_dir!D22/((1/1000)*(s_Irr!AA22)),IF(AND(s_Irr!C22&lt;&gt;".",s_Irr!AA22=".",s_Irr!AY22="."),s_dir!D22/((1/1000)*(s_Irr!C22)),IF(AND(s_Irr!C22=".",s_Irr!AA22=".",s_Irr!AY22="."),s_dir!D22*1000)))))))),".")</f>
        <v>173.0654134876479</v>
      </c>
      <c r="E22" s="76">
        <f>IFERROR(IF(AND(s_Irr!D22&lt;&gt;".",s_Irr!AB22&lt;&gt;".",s_Irr!AZ22&lt;&gt;"."),s_dir!E22/((1/1000)*(s_Irr!D22+s_Irr!AB22+s_Irr!AZ22)),IF(AND(s_Irr!D22&lt;&gt;".",s_Irr!AB22&lt;&gt;".",s_Irr!AZ22="."),s_dir!E22/((1/1000)*(s_Irr!D22+s_Irr!AB22)),IF(AND(s_Irr!D22&lt;&gt;".",s_Irr!AB22=".",s_Irr!AZ22&lt;&gt;"."),s_dir!E22/((1/1000)*(s_Irr!D22+s_Irr!AZ22)),IF(AND(s_Irr!D22=".",s_Irr!AB22&lt;&gt;".",s_Irr!AZ22&lt;&gt;"."),s_dir!E22/((1/1000)*(s_Irr!AB22+s_Irr!AZ22)),IF(AND(s_Irr!D22=".",s_Irr!AB22=".",s_Irr!AZ22&lt;&gt;"."),s_dir!E22/((1/1000)*(s_Irr!AZ22)),IF(AND(s_Irr!D22=".",s_Irr!AB22&lt;&gt;".",s_Irr!AZ22="."),s_dir!E22/((1/1000)*(s_Irr!AB22)),IF(AND(s_Irr!D22&lt;&gt;".",s_Irr!AB22=".",s_Irr!AZ22="."),s_dir!E22/((1/1000)*(s_Irr!D22)),IF(AND(s_Irr!D22=".",s_Irr!AB22=".",s_Irr!AZ22="."),s_dir!E22*1000)))))))),".")</f>
        <v>79.526815022000989</v>
      </c>
      <c r="F22" s="76">
        <f>IFERROR(IF(AND(s_Irr!E22&lt;&gt;".",s_Irr!AC22&lt;&gt;".",s_Irr!BA22&lt;&gt;"."),s_dir!F22/((1/1000)*(s_Irr!E22+s_Irr!AC22+s_Irr!BA22)),IF(AND(s_Irr!E22&lt;&gt;".",s_Irr!AC22&lt;&gt;".",s_Irr!BA22="."),s_dir!F22/((1/1000)*(s_Irr!E22+s_Irr!AC22)),IF(AND(s_Irr!E22&lt;&gt;".",s_Irr!AC22=".",s_Irr!BA22&lt;&gt;"."),s_dir!F22/((1/1000)*(s_Irr!E22+s_Irr!BA22)),IF(AND(s_Irr!E22=".",s_Irr!AC22&lt;&gt;".",s_Irr!BA22&lt;&gt;"."),s_dir!F22/((1/1000)*(s_Irr!AC22+s_Irr!BA22)),IF(AND(s_Irr!E22=".",s_Irr!AC22=".",s_Irr!BA22&lt;&gt;"."),s_dir!F22/((1/1000)*(s_Irr!BA22)),IF(AND(s_Irr!E22=".",s_Irr!AC22&lt;&gt;".",s_Irr!BA22="."),s_dir!F22/((1/1000)*(s_Irr!AC22)),IF(AND(s_Irr!E22&lt;&gt;".",s_Irr!AC22=".",s_Irr!BA22="."),s_dir!F22/((1/1000)*(s_Irr!E22)),IF(AND(s_Irr!E22=".",s_Irr!AC22=".",s_Irr!BA22="."),s_dir!F22*1000)))))))),".")</f>
        <v>92.48645660660182</v>
      </c>
      <c r="G22" s="76">
        <f>IFERROR(IF(AND(s_Irr!F22&lt;&gt;".",s_Irr!AD22&lt;&gt;".",s_Irr!BB22&lt;&gt;"."),s_dir!G22/((1/1000)*(s_Irr!F22+s_Irr!AD22+s_Irr!BB22)),IF(AND(s_Irr!F22&lt;&gt;".",s_Irr!AD22&lt;&gt;".",s_Irr!BB22="."),s_dir!G22/((1/1000)*(s_Irr!F22+s_Irr!AD22)),IF(AND(s_Irr!F22&lt;&gt;".",s_Irr!AD22=".",s_Irr!BB22&lt;&gt;"."),s_dir!G22/((1/1000)*(s_Irr!F22+s_Irr!BB22)),IF(AND(s_Irr!F22=".",s_Irr!AD22&lt;&gt;".",s_Irr!BB22&lt;&gt;"."),s_dir!G22/((1/1000)*(s_Irr!AD22+s_Irr!BB22)),IF(AND(s_Irr!F22=".",s_Irr!AD22=".",s_Irr!BB22&lt;&gt;"."),s_dir!G22/((1/1000)*(s_Irr!BB22)),IF(AND(s_Irr!F22=".",s_Irr!AD22&lt;&gt;".",s_Irr!BB22="."),s_dir!G22/((1/1000)*(s_Irr!AD22)),IF(AND(s_Irr!F22&lt;&gt;".",s_Irr!AD22=".",s_Irr!BB22="."),s_dir!G22/((1/1000)*(s_Irr!F22)),IF(AND(s_Irr!F22=".",s_Irr!AD22=".",s_Irr!BB22="."),s_dir!G22*1000)))))))),".")</f>
        <v>173.0654134876479</v>
      </c>
      <c r="H22" s="76">
        <f>IFERROR(IF(AND(s_Irr!G22&lt;&gt;".",s_Irr!AE22&lt;&gt;".",s_Irr!BC22&lt;&gt;"."),s_dir!H22/((1/1000)*(s_Irr!G22+s_Irr!AE22+s_Irr!BC22)),IF(AND(s_Irr!G22&lt;&gt;".",s_Irr!AE22&lt;&gt;".",s_Irr!BC22="."),s_dir!H22/((1/1000)*(s_Irr!G22+s_Irr!AE22)),IF(AND(s_Irr!G22&lt;&gt;".",s_Irr!AE22=".",s_Irr!BC22&lt;&gt;"."),s_dir!H22/((1/1000)*(s_Irr!G22+s_Irr!BC22)),IF(AND(s_Irr!G22=".",s_Irr!AE22&lt;&gt;".",s_Irr!BC22&lt;&gt;"."),s_dir!H22/((1/1000)*(s_Irr!AE22+s_Irr!BC22)),IF(AND(s_Irr!G22=".",s_Irr!AE22=".",s_Irr!BC22&lt;&gt;"."),s_dir!H22/((1/1000)*(s_Irr!BC22)),IF(AND(s_Irr!G22=".",s_Irr!AE22&lt;&gt;".",s_Irr!BC22="."),s_dir!H22/((1/1000)*(s_Irr!AE22)),IF(AND(s_Irr!G22&lt;&gt;".",s_Irr!AE22=".",s_Irr!BC22="."),s_dir!H22/((1/1000)*(s_Irr!G22)),IF(AND(s_Irr!G22=".",s_Irr!AE22=".",s_Irr!BC22="."),s_dir!H22*1000)))))))),".")</f>
        <v>157.09711976334876</v>
      </c>
      <c r="I22" s="76">
        <f>IFERROR(IF(AND(s_Irr!H22&lt;&gt;".",s_Irr!AF22&lt;&gt;".",s_Irr!BD22&lt;&gt;"."),s_dir!I22/((1/1000)*(s_Irr!H22+s_Irr!AF22+s_Irr!BD22)),IF(AND(s_Irr!H22&lt;&gt;".",s_Irr!AF22&lt;&gt;".",s_Irr!BD22="."),s_dir!I22/((1/1000)*(s_Irr!H22+s_Irr!AF22)),IF(AND(s_Irr!H22&lt;&gt;".",s_Irr!AF22=".",s_Irr!BD22&lt;&gt;"."),s_dir!I22/((1/1000)*(s_Irr!H22+s_Irr!BD22)),IF(AND(s_Irr!H22=".",s_Irr!AF22&lt;&gt;".",s_Irr!BD22&lt;&gt;"."),s_dir!I22/((1/1000)*(s_Irr!AF22+s_Irr!BD22)),IF(AND(s_Irr!H22=".",s_Irr!AF22=".",s_Irr!BD22&lt;&gt;"."),s_dir!I22/((1/1000)*(s_Irr!BD22)),IF(AND(s_Irr!H22=".",s_Irr!AF22&lt;&gt;".",s_Irr!BD22="."),s_dir!I22/((1/1000)*(s_Irr!AF22)),IF(AND(s_Irr!H22&lt;&gt;".",s_Irr!AF22=".",s_Irr!BD22="."),s_dir!I22/((1/1000)*(s_Irr!H22)),IF(AND(s_Irr!H22=".",s_Irr!AF22=".",s_Irr!BD22="."),s_dir!I22*1000)))))))),".")</f>
        <v>79.526815022000989</v>
      </c>
      <c r="J22" s="76">
        <f>IFERROR(IF(AND(s_Irr!I22&lt;&gt;".",s_Irr!AG22&lt;&gt;".",s_Irr!BE22&lt;&gt;"."),s_dir!J22/((1/1000)*(s_Irr!I22+s_Irr!AG22+s_Irr!BE22)),IF(AND(s_Irr!I22&lt;&gt;".",s_Irr!AG22&lt;&gt;".",s_Irr!BE22="."),s_dir!J22/((1/1000)*(s_Irr!I22+s_Irr!AG22)),IF(AND(s_Irr!I22&lt;&gt;".",s_Irr!AG22=".",s_Irr!BE22&lt;&gt;"."),s_dir!J22/((1/1000)*(s_Irr!I22+s_Irr!BE22)),IF(AND(s_Irr!I22=".",s_Irr!AG22&lt;&gt;".",s_Irr!BE22&lt;&gt;"."),s_dir!J22/((1/1000)*(s_Irr!AG22+s_Irr!BE22)),IF(AND(s_Irr!I22=".",s_Irr!AG22=".",s_Irr!BE22&lt;&gt;"."),s_dir!J22/((1/1000)*(s_Irr!BE22)),IF(AND(s_Irr!I22=".",s_Irr!AG22&lt;&gt;".",s_Irr!BE22="."),s_dir!J22/((1/1000)*(s_Irr!AG22)),IF(AND(s_Irr!I22&lt;&gt;".",s_Irr!AG22=".",s_Irr!BE22="."),s_dir!J22/((1/1000)*(s_Irr!I22)),IF(AND(s_Irr!I22=".",s_Irr!AG22=".",s_Irr!BE22="."),s_dir!J22*1000)))))))),".")</f>
        <v>92.48645660660182</v>
      </c>
      <c r="K22" s="76">
        <f>IFERROR(IF(AND(s_Irr!J22&lt;&gt;".",s_Irr!AH22&lt;&gt;".",s_Irr!BF22&lt;&gt;"."),s_dir!K22/((1/1000)*(s_Irr!J22+s_Irr!AH22+s_Irr!BF22)),IF(AND(s_Irr!J22&lt;&gt;".",s_Irr!AH22&lt;&gt;".",s_Irr!BF22="."),s_dir!K22/((1/1000)*(s_Irr!J22+s_Irr!AH22)),IF(AND(s_Irr!J22&lt;&gt;".",s_Irr!AH22=".",s_Irr!BF22&lt;&gt;"."),s_dir!K22/((1/1000)*(s_Irr!J22+s_Irr!BF22)),IF(AND(s_Irr!J22=".",s_Irr!AH22&lt;&gt;".",s_Irr!BF22&lt;&gt;"."),s_dir!K22/((1/1000)*(s_Irr!AH22+s_Irr!BF22)),IF(AND(s_Irr!J22=".",s_Irr!AH22=".",s_Irr!BF22&lt;&gt;"."),s_dir!K22/((1/1000)*(s_Irr!BF22)),IF(AND(s_Irr!J22=".",s_Irr!AH22&lt;&gt;".",s_Irr!BF22="."),s_dir!K22/((1/1000)*(s_Irr!AH22)),IF(AND(s_Irr!J22&lt;&gt;".",s_Irr!AH22=".",s_Irr!BF22="."),s_dir!K22/((1/1000)*(s_Irr!J22)),IF(AND(s_Irr!J22=".",s_Irr!AH22=".",s_Irr!BF22="."),s_dir!K22*1000)))))))),".")</f>
        <v>173.0654134876479</v>
      </c>
      <c r="L22" s="76">
        <f>IFERROR(IF(AND(s_Irr!K22&lt;&gt;".",s_Irr!AI22&lt;&gt;".",s_Irr!BG22&lt;&gt;"."),s_dir!L22/((1/1000)*(s_Irr!K22+s_Irr!AI22+s_Irr!BG22)),IF(AND(s_Irr!K22&lt;&gt;".",s_Irr!AI22&lt;&gt;".",s_Irr!BG22="."),s_dir!L22/((1/1000)*(s_Irr!K22+s_Irr!AI22)),IF(AND(s_Irr!K22&lt;&gt;".",s_Irr!AI22=".",s_Irr!BG22&lt;&gt;"."),s_dir!L22/((1/1000)*(s_Irr!K22+s_Irr!BG22)),IF(AND(s_Irr!K22=".",s_Irr!AI22&lt;&gt;".",s_Irr!BG22&lt;&gt;"."),s_dir!L22/((1/1000)*(s_Irr!AI22+s_Irr!BG22)),IF(AND(s_Irr!K22=".",s_Irr!AI22=".",s_Irr!BG22&lt;&gt;"."),s_dir!L22/((1/1000)*(s_Irr!BG22)),IF(AND(s_Irr!K22=".",s_Irr!AI22&lt;&gt;".",s_Irr!BG22="."),s_dir!L22/((1/1000)*(s_Irr!AI22)),IF(AND(s_Irr!K22&lt;&gt;".",s_Irr!AI22=".",s_Irr!BG22="."),s_dir!L22/((1/1000)*(s_Irr!K22)),IF(AND(s_Irr!K22=".",s_Irr!AI22=".",s_Irr!BG22="."),s_dir!L22*1000)))))))),".")</f>
        <v>194.53388372422677</v>
      </c>
      <c r="M22" s="76">
        <f>IFERROR(IF(AND(s_Irr!L22&lt;&gt;".",s_Irr!AJ22&lt;&gt;".",s_Irr!BH22&lt;&gt;"."),s_dir!M22/((1/1000)*(s_Irr!L22+s_Irr!AJ22+s_Irr!BH22)),IF(AND(s_Irr!L22&lt;&gt;".",s_Irr!AJ22&lt;&gt;".",s_Irr!BH22="."),s_dir!M22/((1/1000)*(s_Irr!L22+s_Irr!AJ22)),IF(AND(s_Irr!L22&lt;&gt;".",s_Irr!AJ22=".",s_Irr!BH22&lt;&gt;"."),s_dir!M22/((1/1000)*(s_Irr!L22+s_Irr!BH22)),IF(AND(s_Irr!L22=".",s_Irr!AJ22&lt;&gt;".",s_Irr!BH22&lt;&gt;"."),s_dir!M22/((1/1000)*(s_Irr!AJ22+s_Irr!BH22)),IF(AND(s_Irr!L22=".",s_Irr!AJ22=".",s_Irr!BH22&lt;&gt;"."),s_dir!M22/((1/1000)*(s_Irr!BH22)),IF(AND(s_Irr!L22=".",s_Irr!AJ22&lt;&gt;".",s_Irr!BH22="."),s_dir!M22/((1/1000)*(s_Irr!AJ22)),IF(AND(s_Irr!L22&lt;&gt;".",s_Irr!AJ22=".",s_Irr!BH22="."),s_dir!M22/((1/1000)*(s_Irr!L22)),IF(AND(s_Irr!L22=".",s_Irr!AJ22=".",s_Irr!BH22="."),s_dir!M22*1000)))))))),".")</f>
        <v>157.09711976334876</v>
      </c>
      <c r="N22" s="76">
        <f>IFERROR(IF(AND(s_Irr!M22&lt;&gt;".",s_Irr!AK22&lt;&gt;".",s_Irr!BI22&lt;&gt;"."),s_dir!N22/((1/1000)*(s_Irr!M22+s_Irr!AK22+s_Irr!BI22)),IF(AND(s_Irr!M22&lt;&gt;".",s_Irr!AK22&lt;&gt;".",s_Irr!BI22="."),s_dir!N22/((1/1000)*(s_Irr!M22+s_Irr!AK22)),IF(AND(s_Irr!M22&lt;&gt;".",s_Irr!AK22=".",s_Irr!BI22&lt;&gt;"."),s_dir!N22/((1/1000)*(s_Irr!M22+s_Irr!BI22)),IF(AND(s_Irr!M22=".",s_Irr!AK22&lt;&gt;".",s_Irr!BI22&lt;&gt;"."),s_dir!N22/((1/1000)*(s_Irr!AK22+s_Irr!BI22)),IF(AND(s_Irr!M22=".",s_Irr!AK22=".",s_Irr!BI22&lt;&gt;"."),s_dir!N22/((1/1000)*(s_Irr!BI22)),IF(AND(s_Irr!M22=".",s_Irr!AK22&lt;&gt;".",s_Irr!BI22="."),s_dir!N22/((1/1000)*(s_Irr!AK22)),IF(AND(s_Irr!M22&lt;&gt;".",s_Irr!AK22=".",s_Irr!BI22="."),s_dir!N22/((1/1000)*(s_Irr!M22)),IF(AND(s_Irr!M22=".",s_Irr!AK22=".",s_Irr!BI22="."),s_dir!N22*1000)))))))),".")</f>
        <v>79.526815022000989</v>
      </c>
      <c r="O22" s="76">
        <f>IFERROR(IF(AND(s_Irr!N22&lt;&gt;".",s_Irr!AL22&lt;&gt;".",s_Irr!BJ22&lt;&gt;"."),s_dir!O22/((1/1000)*(s_Irr!N22+s_Irr!AL22+s_Irr!BJ22)),IF(AND(s_Irr!N22&lt;&gt;".",s_Irr!AL22&lt;&gt;".",s_Irr!BJ22="."),s_dir!O22/((1/1000)*(s_Irr!N22+s_Irr!AL22)),IF(AND(s_Irr!N22&lt;&gt;".",s_Irr!AL22=".",s_Irr!BJ22&lt;&gt;"."),s_dir!O22/((1/1000)*(s_Irr!N22+s_Irr!BJ22)),IF(AND(s_Irr!N22=".",s_Irr!AL22&lt;&gt;".",s_Irr!BJ22&lt;&gt;"."),s_dir!O22/((1/1000)*(s_Irr!AL22+s_Irr!BJ22)),IF(AND(s_Irr!N22=".",s_Irr!AL22=".",s_Irr!BJ22&lt;&gt;"."),s_dir!O22/((1/1000)*(s_Irr!BJ22)),IF(AND(s_Irr!N22=".",s_Irr!AL22&lt;&gt;".",s_Irr!BJ22="."),s_dir!O22/((1/1000)*(s_Irr!AL22)),IF(AND(s_Irr!N22&lt;&gt;".",s_Irr!AL22=".",s_Irr!BJ22="."),s_dir!O22/((1/1000)*(s_Irr!N22)),IF(AND(s_Irr!N22=".",s_Irr!AL22=".",s_Irr!BJ22="."),s_dir!O22*1000)))))))),".")</f>
        <v>163.56499769347212</v>
      </c>
      <c r="P22" s="76">
        <f>IFERROR(IF(AND(s_Irr!O22&lt;&gt;".",s_Irr!AM22&lt;&gt;".",s_Irr!BK22&lt;&gt;"."),s_dir!P22/((1/1000)*(s_Irr!O22+s_Irr!AM22+s_Irr!BK22)),IF(AND(s_Irr!O22&lt;&gt;".",s_Irr!AM22&lt;&gt;".",s_Irr!BK22="."),s_dir!P22/((1/1000)*(s_Irr!O22+s_Irr!AM22)),IF(AND(s_Irr!O22&lt;&gt;".",s_Irr!AM22=".",s_Irr!BK22&lt;&gt;"."),s_dir!P22/((1/1000)*(s_Irr!O22+s_Irr!BK22)),IF(AND(s_Irr!O22=".",s_Irr!AM22&lt;&gt;".",s_Irr!BK22&lt;&gt;"."),s_dir!P22/((1/1000)*(s_Irr!AM22+s_Irr!BK22)),IF(AND(s_Irr!O22=".",s_Irr!AM22=".",s_Irr!BK22&lt;&gt;"."),s_dir!P22/((1/1000)*(s_Irr!BK22)),IF(AND(s_Irr!O22=".",s_Irr!AM22&lt;&gt;".",s_Irr!BK22="."),s_dir!P22/((1/1000)*(s_Irr!AM22)),IF(AND(s_Irr!O22&lt;&gt;".",s_Irr!AM22=".",s_Irr!BK22="."),s_dir!P22/((1/1000)*(s_Irr!O22)),IF(AND(s_Irr!O22=".",s_Irr!AM22=".",s_Irr!BK22="."),s_dir!P22*1000)))))))),".")</f>
        <v>157.09711976334876</v>
      </c>
      <c r="Q22" s="76">
        <f>IFERROR(IF(AND(s_Irr!P22&lt;&gt;".",s_Irr!AN22&lt;&gt;".",s_Irr!BL22&lt;&gt;"."),s_dir!Q22/((1/1000)*(s_Irr!P22+s_Irr!AN22+s_Irr!BL22)),IF(AND(s_Irr!P22&lt;&gt;".",s_Irr!AN22&lt;&gt;".",s_Irr!BL22="."),s_dir!Q22/((1/1000)*(s_Irr!P22+s_Irr!AN22)),IF(AND(s_Irr!P22&lt;&gt;".",s_Irr!AN22=".",s_Irr!BL22&lt;&gt;"."),s_dir!Q22/((1/1000)*(s_Irr!P22+s_Irr!BL22)),IF(AND(s_Irr!P22=".",s_Irr!AN22&lt;&gt;".",s_Irr!BL22&lt;&gt;"."),s_dir!Q22/((1/1000)*(s_Irr!AN22+s_Irr!BL22)),IF(AND(s_Irr!P22=".",s_Irr!AN22=".",s_Irr!BL22&lt;&gt;"."),s_dir!Q22/((1/1000)*(s_Irr!BL22)),IF(AND(s_Irr!P22=".",s_Irr!AN22&lt;&gt;".",s_Irr!BL22="."),s_dir!Q22/((1/1000)*(s_Irr!AN22)),IF(AND(s_Irr!P22&lt;&gt;".",s_Irr!AN22=".",s_Irr!BL22="."),s_dir!Q22/((1/1000)*(s_Irr!P22)),IF(AND(s_Irr!P22=".",s_Irr!AN22=".",s_Irr!BL22="."),s_dir!Q22*1000)))))))),".")</f>
        <v>157.09711976334876</v>
      </c>
      <c r="R22" s="76">
        <f>IFERROR(IF(AND(s_Irr!Q22&lt;&gt;".",s_Irr!AO22&lt;&gt;".",s_Irr!BM22&lt;&gt;"."),s_dir!R22/((1/1000)*(s_Irr!Q22+s_Irr!AO22+s_Irr!BM22)),IF(AND(s_Irr!Q22&lt;&gt;".",s_Irr!AO22&lt;&gt;".",s_Irr!BM22="."),s_dir!R22/((1/1000)*(s_Irr!Q22+s_Irr!AO22)),IF(AND(s_Irr!Q22&lt;&gt;".",s_Irr!AO22=".",s_Irr!BM22&lt;&gt;"."),s_dir!R22/((1/1000)*(s_Irr!Q22+s_Irr!BM22)),IF(AND(s_Irr!Q22=".",s_Irr!AO22&lt;&gt;".",s_Irr!BM22&lt;&gt;"."),s_dir!R22/((1/1000)*(s_Irr!AO22+s_Irr!BM22)),IF(AND(s_Irr!Q22=".",s_Irr!AO22=".",s_Irr!BM22&lt;&gt;"."),s_dir!R22/((1/1000)*(s_Irr!BM22)),IF(AND(s_Irr!Q22=".",s_Irr!AO22&lt;&gt;".",s_Irr!BM22="."),s_dir!R22/((1/1000)*(s_Irr!AO22)),IF(AND(s_Irr!Q22&lt;&gt;".",s_Irr!AO22=".",s_Irr!BM22="."),s_dir!R22/((1/1000)*(s_Irr!Q22)),IF(AND(s_Irr!Q22=".",s_Irr!AO22=".",s_Irr!BM22="."),s_dir!R22*1000)))))))),".")</f>
        <v>173.0654134876479</v>
      </c>
      <c r="S22" s="76">
        <f>IFERROR(IF(AND(s_Irr!R22&lt;&gt;".",s_Irr!AP22&lt;&gt;".",s_Irr!BN22&lt;&gt;"."),s_dir!S22/((1/1000)*(s_Irr!R22+s_Irr!AP22+s_Irr!BN22)),IF(AND(s_Irr!R22&lt;&gt;".",s_Irr!AP22&lt;&gt;".",s_Irr!BN22="."),s_dir!S22/((1/1000)*(s_Irr!R22+s_Irr!AP22)),IF(AND(s_Irr!R22&lt;&gt;".",s_Irr!AP22=".",s_Irr!BN22&lt;&gt;"."),s_dir!S22/((1/1000)*(s_Irr!R22+s_Irr!BN22)),IF(AND(s_Irr!R22=".",s_Irr!AP22&lt;&gt;".",s_Irr!BN22&lt;&gt;"."),s_dir!S22/((1/1000)*(s_Irr!AP22+s_Irr!BN22)),IF(AND(s_Irr!R22=".",s_Irr!AP22=".",s_Irr!BN22&lt;&gt;"."),s_dir!S22/((1/1000)*(s_Irr!BN22)),IF(AND(s_Irr!R22=".",s_Irr!AP22&lt;&gt;".",s_Irr!BN22="."),s_dir!S22/((1/1000)*(s_Irr!AP22)),IF(AND(s_Irr!R22&lt;&gt;".",s_Irr!AP22=".",s_Irr!BN22="."),s_dir!S22/((1/1000)*(s_Irr!R22)),IF(AND(s_Irr!R22=".",s_Irr!AP22=".",s_Irr!BN22="."),s_dir!S22*1000)))))))),".")</f>
        <v>173.0654134876479</v>
      </c>
      <c r="T22" s="76">
        <f>IFERROR(IF(AND(s_Irr!S22&lt;&gt;".",s_Irr!AQ22&lt;&gt;".",s_Irr!BO22&lt;&gt;"."),s_dir!T22/((1/1000)*(s_Irr!S22+s_Irr!AQ22+s_Irr!BO22)),IF(AND(s_Irr!S22&lt;&gt;".",s_Irr!AQ22&lt;&gt;".",s_Irr!BO22="."),s_dir!T22/((1/1000)*(s_Irr!S22+s_Irr!AQ22)),IF(AND(s_Irr!S22&lt;&gt;".",s_Irr!AQ22=".",s_Irr!BO22&lt;&gt;"."),s_dir!T22/((1/1000)*(s_Irr!S22+s_Irr!BO22)),IF(AND(s_Irr!S22=".",s_Irr!AQ22&lt;&gt;".",s_Irr!BO22&lt;&gt;"."),s_dir!T22/((1/1000)*(s_Irr!AQ22+s_Irr!BO22)),IF(AND(s_Irr!S22=".",s_Irr!AQ22=".",s_Irr!BO22&lt;&gt;"."),s_dir!T22/((1/1000)*(s_Irr!BO22)),IF(AND(s_Irr!S22=".",s_Irr!AQ22&lt;&gt;".",s_Irr!BO22="."),s_dir!T22/((1/1000)*(s_Irr!AQ22)),IF(AND(s_Irr!S22&lt;&gt;".",s_Irr!AQ22=".",s_Irr!BO22="."),s_dir!T22/((1/1000)*(s_Irr!S22)),IF(AND(s_Irr!S22=".",s_Irr!AQ22=".",s_Irr!BO22="."),s_dir!T22*1000)))))))),".")</f>
        <v>163.56499769347212</v>
      </c>
      <c r="U22" s="76">
        <f>IFERROR(IF(AND(s_Irr!T22&lt;&gt;".",s_Irr!AR22&lt;&gt;".",s_Irr!BP22&lt;&gt;"."),s_dir!U22/((1/1000)*(s_Irr!T22+s_Irr!AR22+s_Irr!BP22)),IF(AND(s_Irr!T22&lt;&gt;".",s_Irr!AR22&lt;&gt;".",s_Irr!BP22="."),s_dir!U22/((1/1000)*(s_Irr!T22+s_Irr!AR22)),IF(AND(s_Irr!T22&lt;&gt;".",s_Irr!AR22=".",s_Irr!BP22&lt;&gt;"."),s_dir!U22/((1/1000)*(s_Irr!T22+s_Irr!BP22)),IF(AND(s_Irr!T22=".",s_Irr!AR22&lt;&gt;".",s_Irr!BP22&lt;&gt;"."),s_dir!U22/((1/1000)*(s_Irr!AR22+s_Irr!BP22)),IF(AND(s_Irr!T22=".",s_Irr!AR22=".",s_Irr!BP22&lt;&gt;"."),s_dir!U22/((1/1000)*(s_Irr!BP22)),IF(AND(s_Irr!T22=".",s_Irr!AR22&lt;&gt;".",s_Irr!BP22="."),s_dir!U22/((1/1000)*(s_Irr!AR22)),IF(AND(s_Irr!T22&lt;&gt;".",s_Irr!AR22=".",s_Irr!BP22="."),s_dir!U22/((1/1000)*(s_Irr!T22)),IF(AND(s_Irr!T22=".",s_Irr!AR22=".",s_Irr!BP22="."),s_dir!U22*1000)))))))),".")</f>
        <v>170.58832481008602</v>
      </c>
      <c r="V22" s="76">
        <f>IFERROR(IF(AND(s_Irr!U22&lt;&gt;".",s_Irr!AS22&lt;&gt;".",s_Irr!BQ22&lt;&gt;"."),s_dir!V22/((1/1000)*(s_Irr!U22+s_Irr!AS22+s_Irr!BQ22)),IF(AND(s_Irr!U22&lt;&gt;".",s_Irr!AS22&lt;&gt;".",s_Irr!BQ22="."),s_dir!V22/((1/1000)*(s_Irr!U22+s_Irr!AS22)),IF(AND(s_Irr!U22&lt;&gt;".",s_Irr!AS22=".",s_Irr!BQ22&lt;&gt;"."),s_dir!V22/((1/1000)*(s_Irr!U22+s_Irr!BQ22)),IF(AND(s_Irr!U22=".",s_Irr!AS22&lt;&gt;".",s_Irr!BQ22&lt;&gt;"."),s_dir!V22/((1/1000)*(s_Irr!AS22+s_Irr!BQ22)),IF(AND(s_Irr!U22=".",s_Irr!AS22=".",s_Irr!BQ22&lt;&gt;"."),s_dir!V22/((1/1000)*(s_Irr!BQ22)),IF(AND(s_Irr!U22=".",s_Irr!AS22&lt;&gt;".",s_Irr!BQ22="."),s_dir!V22/((1/1000)*(s_Irr!AS22)),IF(AND(s_Irr!U22&lt;&gt;".",s_Irr!AS22=".",s_Irr!BQ22="."),s_dir!V22/((1/1000)*(s_Irr!U22)),IF(AND(s_Irr!U22=".",s_Irr!AS22=".",s_Irr!BQ22="."),s_dir!V22*1000)))))))),".")</f>
        <v>157.09711976334876</v>
      </c>
      <c r="W22" s="76">
        <f>IFERROR(IF(AND(s_Irr!V22&lt;&gt;".",s_Irr!AT22&lt;&gt;".",s_Irr!BR22&lt;&gt;"."),s_dir!W22/((1/1000)*(s_Irr!V22+s_Irr!AT22+s_Irr!BR22)),IF(AND(s_Irr!V22&lt;&gt;".",s_Irr!AT22&lt;&gt;".",s_Irr!BR22="."),s_dir!W22/((1/1000)*(s_Irr!V22+s_Irr!AT22)),IF(AND(s_Irr!V22&lt;&gt;".",s_Irr!AT22=".",s_Irr!BR22&lt;&gt;"."),s_dir!W22/((1/1000)*(s_Irr!V22+s_Irr!BR22)),IF(AND(s_Irr!V22=".",s_Irr!AT22&lt;&gt;".",s_Irr!BR22&lt;&gt;"."),s_dir!W22/((1/1000)*(s_Irr!AT22+s_Irr!BR22)),IF(AND(s_Irr!V22=".",s_Irr!AT22=".",s_Irr!BR22&lt;&gt;"."),s_dir!W22/((1/1000)*(s_Irr!BR22)),IF(AND(s_Irr!V22=".",s_Irr!AT22&lt;&gt;".",s_Irr!BR22="."),s_dir!W22/((1/1000)*(s_Irr!AT22)),IF(AND(s_Irr!V22&lt;&gt;".",s_Irr!AT22=".",s_Irr!BR22="."),s_dir!W22/((1/1000)*(s_Irr!V22)),IF(AND(s_Irr!V22=".",s_Irr!AT22=".",s_Irr!BR22="."),s_dir!W22*1000)))))))),".")</f>
        <v>163.56499769347212</v>
      </c>
      <c r="X22" s="76">
        <f>IFERROR(IF(AND(s_Irr!W22&lt;&gt;".",s_Irr!AU22&lt;&gt;".",s_Irr!BS22&lt;&gt;"."),s_dir!X22/((1/1000)*(s_Irr!W22+s_Irr!AU22+s_Irr!BS22)),IF(AND(s_Irr!W22&lt;&gt;".",s_Irr!AU22&lt;&gt;".",s_Irr!BS22="."),s_dir!X22/((1/1000)*(s_Irr!W22+s_Irr!AU22)),IF(AND(s_Irr!W22&lt;&gt;".",s_Irr!AU22=".",s_Irr!BS22&lt;&gt;"."),s_dir!X22/((1/1000)*(s_Irr!W22+s_Irr!BS22)),IF(AND(s_Irr!W22=".",s_Irr!AU22&lt;&gt;".",s_Irr!BS22&lt;&gt;"."),s_dir!X22/((1/1000)*(s_Irr!AU22+s_Irr!BS22)),IF(AND(s_Irr!W22=".",s_Irr!AU22=".",s_Irr!BS22&lt;&gt;"."),s_dir!X22/((1/1000)*(s_Irr!BS22)),IF(AND(s_Irr!W22=".",s_Irr!AU22&lt;&gt;".",s_Irr!BS22="."),s_dir!X22/((1/1000)*(s_Irr!AU22)),IF(AND(s_Irr!W22&lt;&gt;".",s_Irr!AU22=".",s_Irr!BS22="."),s_dir!X22/((1/1000)*(s_Irr!W22)),IF(AND(s_Irr!W22=".",s_Irr!AU22=".",s_Irr!BS22="."),s_dir!X22*1000)))))))),".")</f>
        <v>173.0654134876479</v>
      </c>
      <c r="Y22" s="76">
        <f>IFERROR(IF(AND(s_Irr!X22&lt;&gt;".",s_Irr!AV22&lt;&gt;".",s_Irr!BT22&lt;&gt;"."),s_dir!Y22/((1/1000)*(s_Irr!X22+s_Irr!AV22+s_Irr!BT22)),IF(AND(s_Irr!X22&lt;&gt;".",s_Irr!AV22&lt;&gt;".",s_Irr!BT22="."),s_dir!Y22/((1/1000)*(s_Irr!X22+s_Irr!AV22)),IF(AND(s_Irr!X22&lt;&gt;".",s_Irr!AV22=".",s_Irr!BT22&lt;&gt;"."),s_dir!Y22/((1/1000)*(s_Irr!X22+s_Irr!BT22)),IF(AND(s_Irr!X22=".",s_Irr!AV22&lt;&gt;".",s_Irr!BT22&lt;&gt;"."),s_dir!Y22/((1/1000)*(s_Irr!AV22+s_Irr!BT22)),IF(AND(s_Irr!X22=".",s_Irr!AV22=".",s_Irr!BT22&lt;&gt;"."),s_dir!Y22/((1/1000)*(s_Irr!BT22)),IF(AND(s_Irr!X22=".",s_Irr!AV22&lt;&gt;".",s_Irr!BT22="."),s_dir!Y22/((1/1000)*(s_Irr!AV22)),IF(AND(s_Irr!X22&lt;&gt;".",s_Irr!AV22=".",s_Irr!BT22="."),s_dir!Y22/((1/1000)*(s_Irr!X22)),IF(AND(s_Irr!X22=".",s_Irr!AV22=".",s_Irr!BT22="."),s_dir!Y22*1000)))))))),".")</f>
        <v>157.09711976334876</v>
      </c>
      <c r="Z22" s="76">
        <f>IFERROR(IF(AND(s_Irr!Y22&lt;&gt;".",s_Irr!AW22&lt;&gt;".",s_Irr!BU22&lt;&gt;"."),s_dir!Z22/((1/1000)*(s_Irr!Y22+s_Irr!AW22+s_Irr!BU22)),IF(AND(s_Irr!Y22&lt;&gt;".",s_Irr!AW22&lt;&gt;".",s_Irr!BU22="."),s_dir!Z22/((1/1000)*(s_Irr!Y22+s_Irr!AW22)),IF(AND(s_Irr!Y22&lt;&gt;".",s_Irr!AW22=".",s_Irr!BU22&lt;&gt;"."),s_dir!Z22/((1/1000)*(s_Irr!Y22+s_Irr!BU22)),IF(AND(s_Irr!Y22=".",s_Irr!AW22&lt;&gt;".",s_Irr!BU22&lt;&gt;"."),s_dir!Z22/((1/1000)*(s_Irr!AW22+s_Irr!BU22)),IF(AND(s_Irr!Y22=".",s_Irr!AW22=".",s_Irr!BU22&lt;&gt;"."),s_dir!Z22/((1/1000)*(s_Irr!BU22)),IF(AND(s_Irr!Y22=".",s_Irr!AW22&lt;&gt;".",s_Irr!BU22="."),s_dir!Z22/((1/1000)*(s_Irr!AW22)),IF(AND(s_Irr!Y22&lt;&gt;".",s_Irr!AW22=".",s_Irr!BU22="."),s_dir!Z22/((1/1000)*(s_Irr!Y22)),IF(AND(s_Irr!Y22=".",s_Irr!AW22=".",s_Irr!BU22="."),s_dir!Z22*1000)))))))),".")</f>
        <v>199.5163826734057</v>
      </c>
      <c r="AA22" s="76">
        <f>IFERROR(IF(AND(s_Irr!Z22&lt;&gt;".",s_Irr!AX22&lt;&gt;".",s_Irr!BV22&lt;&gt;"."),s_dir!AA22/((1/1000)*(s_Irr!Z22+s_Irr!AX22+s_Irr!BV22)),IF(AND(s_Irr!Z22&lt;&gt;".",s_Irr!AX22&lt;&gt;".",s_Irr!BV22="."),s_dir!AA22/((1/1000)*(s_Irr!Z22+s_Irr!AX22)),IF(AND(s_Irr!Z22&lt;&gt;".",s_Irr!AX22=".",s_Irr!BV22&lt;&gt;"."),s_dir!AA22/((1/1000)*(s_Irr!Z22+s_Irr!BV22)),IF(AND(s_Irr!Z22=".",s_Irr!AX22&lt;&gt;".",s_Irr!BV22&lt;&gt;"."),s_dir!AA22/((1/1000)*(s_Irr!AX22+s_Irr!BV22)),IF(AND(s_Irr!Z22=".",s_Irr!AX22=".",s_Irr!BV22&lt;&gt;"."),s_dir!AA22/((1/1000)*(s_Irr!BV22)),IF(AND(s_Irr!Z22=".",s_Irr!AX22&lt;&gt;".",s_Irr!BV22="."),s_dir!AA22/((1/1000)*(s_Irr!AX22)),IF(AND(s_Irr!Z22&lt;&gt;".",s_Irr!AX22=".",s_Irr!BV22="."),s_dir!AA22/((1/1000)*(s_Irr!Z22)),IF(AND(s_Irr!Z22=".",s_Irr!AX22=".",s_Irr!BV22="."),s_dir!AA22*1000)))))))),".")</f>
        <v>157.09711976334876</v>
      </c>
      <c r="AB22" s="93">
        <f t="shared" ref="AB22:AB23" si="25">SUM(AC22:AD22,AY22:AZ22)</f>
        <v>968.09332170462449</v>
      </c>
      <c r="AC22" s="93">
        <f>IFERROR(s_C*s_IFAP_res_adj*s_CF_apple*0.001*(s_Irr!C22+s_Irr!AA22+s_Irr!AY22),".")</f>
        <v>188.15245928625063</v>
      </c>
      <c r="AD22" s="93">
        <f>IFERROR(s_C*s_IFAS_res_adj*s_CF_asparagus*0.001*(s_Irr!D22+s_Irr!AB22+s_Irr!AZ22),".")</f>
        <v>409.45539131781368</v>
      </c>
      <c r="AE22" s="93">
        <f>IFERROR(s_C*s_IFBT_res_adj*s_CF_beet*0.001*(s_Irr!E22+s_Irr!AC22+s_Irr!BA22),".")</f>
        <v>352.08055708740847</v>
      </c>
      <c r="AF22" s="93">
        <f>IFERROR(s_C*s_IFBE_res_adj*s_CF_berries*0.001*(s_Irr!F22+s_Irr!AD22+s_Irr!BB22),".")</f>
        <v>188.15245928625063</v>
      </c>
      <c r="AG22" s="93">
        <f>IFERROR(s_C*s_IFBR_res_adj*s_CF_broccoli*0.001*(s_Irr!G22+s_Irr!AE22+s_Irr!BC22),".")</f>
        <v>207.27740402971904</v>
      </c>
      <c r="AH22" s="93">
        <f>IFERROR(s_C*s_IFCB_res_adj*s_CF_cabbage*0.001*(s_Irr!H22+s_Irr!AF22+s_Irr!BD22),".")</f>
        <v>409.45539131781368</v>
      </c>
      <c r="AI22" s="93">
        <f>IFERROR(s_C*s_IFCR_res_adj*s_CF_carrot*0.001*(s_Irr!I22+s_Irr!AG22+s_Irr!BE22),".")</f>
        <v>352.08055708740847</v>
      </c>
      <c r="AJ22" s="93">
        <f>IFERROR(s_C*s_IFCI_res_adj*s_CF_citrus*0.001*(s_Irr!J22+s_Irr!AH22+s_Irr!BF22),".")</f>
        <v>188.15245928625063</v>
      </c>
      <c r="AK22" s="93">
        <f>IFERROR(s_C*s_IFCO_res_adj*s_CF_corn*0.001*(s_Irr!K22+s_Irr!AI22+s_Irr!BG22),".")</f>
        <v>167.38823356477062</v>
      </c>
      <c r="AL22" s="93">
        <f>IFERROR(s_C*s_IFCU_res_adj*s_CF_cucumber*0.001*(s_Irr!L22+s_Irr!AJ22+s_Irr!BH22),".")</f>
        <v>207.27740402971904</v>
      </c>
      <c r="AM22" s="93">
        <f>IFERROR(s_C*s_IFLE_res_adj*s_CF_lettuce*0.001*(s_Irr!M22+s_Irr!AK22+s_Irr!BI22),".")</f>
        <v>409.45539131781368</v>
      </c>
      <c r="AN22" s="93">
        <f>IFERROR(s_C*s_IFLI_res_adj*s_CF_lima_bean*0.001*(s_Irr!N22+s_Irr!AL22+s_Irr!BJ22),".")</f>
        <v>199.08099913966115</v>
      </c>
      <c r="AO22" s="93">
        <f>IFERROR(s_C*s_IFOK_res_adj*s_CF_okra*0.001*(s_Irr!O22+s_Irr!AM22+s_Irr!BK22),".")</f>
        <v>207.27740402971904</v>
      </c>
      <c r="AP22" s="93">
        <f>IFERROR(s_C*s_IFON_res_adj*s_CF_onion*0.001*(s_Irr!P22+s_Irr!AN22+s_Irr!BL22),".")</f>
        <v>207.27740402971904</v>
      </c>
      <c r="AQ22" s="93">
        <f>IFERROR(s_C*s_IFPC_res_adj*s_CF_peach*0.001*(s_Irr!Q22+s_Irr!AO22+s_Irr!BM22),".")</f>
        <v>188.15245928625063</v>
      </c>
      <c r="AR22" s="93">
        <f>IFERROR(s_C*s_IFPR_res_adj*s_CF_pear*0.001*(s_Irr!R22+s_Irr!AP22+s_Irr!BN22),".")</f>
        <v>188.15245928625063</v>
      </c>
      <c r="AS22" s="93">
        <f>IFERROR(s_C*s_IFPE_res_adj*s_CF_peas*0.001*(s_Irr!S22+s_Irr!AQ22+s_Irr!BO22),".")</f>
        <v>199.08099913966115</v>
      </c>
      <c r="AT22" s="93">
        <f>IFERROR(s_C*s_IFPT_res_adj*s_CF_potato*0.001*(s_Irr!T22+s_Irr!AR22+s_Irr!BP22),".")</f>
        <v>190.88459424960325</v>
      </c>
      <c r="AU22" s="93">
        <f>IFERROR(s_C*s_IFPU_res_adj*s_CF_pumpkin*0.001*(s_Irr!U22+s_Irr!AS22+s_Irr!BQ22),".")</f>
        <v>207.27740402971904</v>
      </c>
      <c r="AV22" s="93">
        <f>IFERROR(s_C*s_IFSN_res_adj*s_CF_snap_bean*0.001*(s_Irr!V22+s_Irr!AT22+s_Irr!BR22),".")</f>
        <v>199.08099913966115</v>
      </c>
      <c r="AW22" s="93">
        <f>IFERROR(s_C*s_IFST_res_adj*s_CF_strawberry*0.001*(s_Irr!W22+s_Irr!AU22+s_Irr!BS22),".")</f>
        <v>188.15245928625063</v>
      </c>
      <c r="AX22" s="93">
        <f>IFERROR(s_C*s_IFTO_res_adj*s_CF_tomato*0.001*(s_Irr!X22+s_Irr!AV22+s_Irr!BT22),".")</f>
        <v>207.27740402971904</v>
      </c>
      <c r="AY22" s="93">
        <f>IFERROR(s_C*s_IFRI_res_adj*s_CF_rice*0.001*(s_Irr!Y22+s_Irr!AW22+s_Irr!BU22),".")</f>
        <v>163.20806707084111</v>
      </c>
      <c r="AZ22" s="93">
        <f>IFERROR(s_C*s_IFCG_res_adj*s_CF_cereal*0.001*(s_Irr!Z22+s_Irr!AX22+s_Irr!BV22),".")</f>
        <v>207.27740402971904</v>
      </c>
      <c r="BA22" s="76">
        <f t="shared" ref="BA22:BA23" si="26">IFERROR(1/SUM(1/BB22,1/BC22,1/BX22,1/BY22),".")</f>
        <v>33.635892775043871</v>
      </c>
      <c r="BB22" s="76">
        <f>IFERROR(IF(AND(s_Irr!C22&lt;&gt;".",s_Irr!AA22&lt;&gt;".",s_Irr!AY22&lt;&gt;"."),s_dir!AC22/((1/1000)*(s_Irr!C22+s_Irr!AA22+s_Irr!AY22)),IF(AND(s_Irr!C22&lt;&gt;".",s_Irr!AA22&lt;&gt;".",s_Irr!AY22="."),s_dir!AC22/((1/1000)*(s_Irr!C22+s_Irr!AA22)),IF(AND(s_Irr!C22&lt;&gt;".",s_Irr!AA22=".",s_Irr!AY22&lt;&gt;"."),s_dir!AC22/((1/1000)*(s_Irr!C22+s_Irr!AY22)),IF(AND(s_Irr!C22=".",s_Irr!AA22&lt;&gt;".",s_Irr!AY22&lt;&gt;"."),s_dir!AC22/((1/1000)*(s_Irr!AA22+s_Irr!AY22)),IF(AND(s_Irr!C22=".",s_Irr!AA22=".",s_Irr!AY22&lt;&gt;"."),s_dir!AC22/((1/1000)*(s_Irr!AY22)),IF(AND(s_Irr!C22=".",s_Irr!AA22&lt;&gt;".",s_Irr!AY22="."),s_dir!AC22/((1/1000)*(s_Irr!AA22)),IF(AND(s_Irr!C22&lt;&gt;".",s_Irr!AA22=".",s_Irr!AY22="."),s_dir!AC22/((1/1000)*(s_Irr!C22)),IF(AND(s_Irr!C22=".",s_Irr!AA22=".",s_Irr!AY22="."),s_dir!AC22*1000)))))))),".")</f>
        <v>173.0654134876479</v>
      </c>
      <c r="BC22" s="76">
        <f>IFERROR(IF(AND(s_Irr!D22&lt;&gt;".",s_Irr!AB22&lt;&gt;".",s_Irr!AZ22&lt;&gt;"."),s_dir!AD22/((1/1000)*(s_Irr!D22+s_Irr!AB22+s_Irr!AZ22)),IF(AND(s_Irr!D22&lt;&gt;".",s_Irr!AB22&lt;&gt;".",s_Irr!AZ22="."),s_dir!AD22/((1/1000)*(s_Irr!D22+s_Irr!AB22)),IF(AND(s_Irr!D22&lt;&gt;".",s_Irr!AB22=".",s_Irr!AZ22&lt;&gt;"."),s_dir!AD22/((1/1000)*(s_Irr!D22+s_Irr!AZ22)),IF(AND(s_Irr!D22=".",s_Irr!AB22&lt;&gt;".",s_Irr!AZ22&lt;&gt;"."),s_dir!AD22/((1/1000)*(s_Irr!AB22+s_Irr!AZ22)),IF(AND(s_Irr!D22=".",s_Irr!AB22=".",s_Irr!AZ22&lt;&gt;"."),s_dir!AD22/((1/1000)*(s_Irr!AZ22)),IF(AND(s_Irr!D22=".",s_Irr!AB22&lt;&gt;".",s_Irr!AZ22="."),s_dir!AD22/((1/1000)*(s_Irr!AB22)),IF(AND(s_Irr!D22&lt;&gt;".",s_Irr!AB22=".",s_Irr!AZ22="."),s_dir!AD22/((1/1000)*(s_Irr!D22)),IF(AND(s_Irr!D22=".",s_Irr!AB22=".",s_Irr!AZ22="."),s_dir!AD22*1000)))))))),".")</f>
        <v>79.526815022000989</v>
      </c>
      <c r="BD22" s="76">
        <f>IFERROR(IF(AND(s_Irr!E22&lt;&gt;".",s_Irr!AC22&lt;&gt;".",s_Irr!BA22&lt;&gt;"."),s_dir!AE22/((1/1000)*(s_Irr!E22+s_Irr!AC22+s_Irr!BA22)),IF(AND(s_Irr!E22&lt;&gt;".",s_Irr!AC22&lt;&gt;".",s_Irr!BA22="."),s_dir!AE22/((1/1000)*(s_Irr!E22+s_Irr!AC22)),IF(AND(s_Irr!E22&lt;&gt;".",s_Irr!AC22=".",s_Irr!BA22&lt;&gt;"."),s_dir!AE22/((1/1000)*(s_Irr!E22+s_Irr!BA22)),IF(AND(s_Irr!E22=".",s_Irr!AC22&lt;&gt;".",s_Irr!BA22&lt;&gt;"."),s_dir!AE22/((1/1000)*(s_Irr!AC22+s_Irr!BA22)),IF(AND(s_Irr!E22=".",s_Irr!AC22=".",s_Irr!BA22&lt;&gt;"."),s_dir!AE22/((1/1000)*(s_Irr!BA22)),IF(AND(s_Irr!E22=".",s_Irr!AC22&lt;&gt;".",s_Irr!BA22="."),s_dir!AE22/((1/1000)*(s_Irr!AC22)),IF(AND(s_Irr!E22&lt;&gt;".",s_Irr!AC22=".",s_Irr!BA22="."),s_dir!AE22/((1/1000)*(s_Irr!E22)),IF(AND(s_Irr!E22=".",s_Irr!AC22=".",s_Irr!BA22="."),s_dir!AE22*1000)))))))),".")</f>
        <v>92.48645660660182</v>
      </c>
      <c r="BE22" s="76">
        <f>IFERROR(IF(AND(s_Irr!F22&lt;&gt;".",s_Irr!AD22&lt;&gt;".",s_Irr!BB22&lt;&gt;"."),s_dir!AF22/((1/1000)*(s_Irr!F22+s_Irr!AD22+s_Irr!BB22)),IF(AND(s_Irr!F22&lt;&gt;".",s_Irr!AD22&lt;&gt;".",s_Irr!BB22="."),s_dir!AF22/((1/1000)*(s_Irr!F22+s_Irr!AD22)),IF(AND(s_Irr!F22&lt;&gt;".",s_Irr!AD22=".",s_Irr!BB22&lt;&gt;"."),s_dir!AF22/((1/1000)*(s_Irr!F22+s_Irr!BB22)),IF(AND(s_Irr!F22=".",s_Irr!AD22&lt;&gt;".",s_Irr!BB22&lt;&gt;"."),s_dir!AF22/((1/1000)*(s_Irr!AD22+s_Irr!BB22)),IF(AND(s_Irr!F22=".",s_Irr!AD22=".",s_Irr!BB22&lt;&gt;"."),s_dir!AF22/((1/1000)*(s_Irr!BB22)),IF(AND(s_Irr!F22=".",s_Irr!AD22&lt;&gt;".",s_Irr!BB22="."),s_dir!AF22/((1/1000)*(s_Irr!AD22)),IF(AND(s_Irr!F22&lt;&gt;".",s_Irr!AD22=".",s_Irr!BB22="."),s_dir!AF22/((1/1000)*(s_Irr!F22)),IF(AND(s_Irr!F22=".",s_Irr!AD22=".",s_Irr!BB22="."),s_dir!AF22*1000)))))))),".")</f>
        <v>173.0654134876479</v>
      </c>
      <c r="BF22" s="76">
        <f>IFERROR(IF(AND(s_Irr!G22&lt;&gt;".",s_Irr!AE22&lt;&gt;".",s_Irr!BC22&lt;&gt;"."),s_dir!AG22/((1/1000)*(s_Irr!G22+s_Irr!AE22+s_Irr!BC22)),IF(AND(s_Irr!G22&lt;&gt;".",s_Irr!AE22&lt;&gt;".",s_Irr!BC22="."),s_dir!AG22/((1/1000)*(s_Irr!G22+s_Irr!AE22)),IF(AND(s_Irr!G22&lt;&gt;".",s_Irr!AE22=".",s_Irr!BC22&lt;&gt;"."),s_dir!AG22/((1/1000)*(s_Irr!G22+s_Irr!BC22)),IF(AND(s_Irr!G22=".",s_Irr!AE22&lt;&gt;".",s_Irr!BC22&lt;&gt;"."),s_dir!AG22/((1/1000)*(s_Irr!AE22+s_Irr!BC22)),IF(AND(s_Irr!G22=".",s_Irr!AE22=".",s_Irr!BC22&lt;&gt;"."),s_dir!AG22/((1/1000)*(s_Irr!BC22)),IF(AND(s_Irr!G22=".",s_Irr!AE22&lt;&gt;".",s_Irr!BC22="."),s_dir!AG22/((1/1000)*(s_Irr!AE22)),IF(AND(s_Irr!G22&lt;&gt;".",s_Irr!AE22=".",s_Irr!BC22="."),s_dir!AG22/((1/1000)*(s_Irr!G22)),IF(AND(s_Irr!G22=".",s_Irr!AE22=".",s_Irr!BC22="."),s_dir!AG22*1000)))))))),".")</f>
        <v>157.09711976334876</v>
      </c>
      <c r="BG22" s="76">
        <f>IFERROR(IF(AND(s_Irr!H22&lt;&gt;".",s_Irr!AF22&lt;&gt;".",s_Irr!BD22&lt;&gt;"."),s_dir!AH22/((1/1000)*(s_Irr!H22+s_Irr!AF22+s_Irr!BD22)),IF(AND(s_Irr!H22&lt;&gt;".",s_Irr!AF22&lt;&gt;".",s_Irr!BD22="."),s_dir!AH22/((1/1000)*(s_Irr!H22+s_Irr!AF22)),IF(AND(s_Irr!H22&lt;&gt;".",s_Irr!AF22=".",s_Irr!BD22&lt;&gt;"."),s_dir!AH22/((1/1000)*(s_Irr!H22+s_Irr!BD22)),IF(AND(s_Irr!H22=".",s_Irr!AF22&lt;&gt;".",s_Irr!BD22&lt;&gt;"."),s_dir!AH22/((1/1000)*(s_Irr!AF22+s_Irr!BD22)),IF(AND(s_Irr!H22=".",s_Irr!AF22=".",s_Irr!BD22&lt;&gt;"."),s_dir!AH22/((1/1000)*(s_Irr!BD22)),IF(AND(s_Irr!H22=".",s_Irr!AF22&lt;&gt;".",s_Irr!BD22="."),s_dir!AH22/((1/1000)*(s_Irr!AF22)),IF(AND(s_Irr!H22&lt;&gt;".",s_Irr!AF22=".",s_Irr!BD22="."),s_dir!AH22/((1/1000)*(s_Irr!H22)),IF(AND(s_Irr!H22=".",s_Irr!AF22=".",s_Irr!BD22="."),s_dir!AH22*1000)))))))),".")</f>
        <v>79.526815022000989</v>
      </c>
      <c r="BH22" s="76">
        <f>IFERROR(IF(AND(s_Irr!I22&lt;&gt;".",s_Irr!AG22&lt;&gt;".",s_Irr!BE22&lt;&gt;"."),s_dir!AI22/((1/1000)*(s_Irr!I22+s_Irr!AG22+s_Irr!BE22)),IF(AND(s_Irr!I22&lt;&gt;".",s_Irr!AG22&lt;&gt;".",s_Irr!BE22="."),s_dir!AI22/((1/1000)*(s_Irr!I22+s_Irr!AG22)),IF(AND(s_Irr!I22&lt;&gt;".",s_Irr!AG22=".",s_Irr!BE22&lt;&gt;"."),s_dir!AI22/((1/1000)*(s_Irr!I22+s_Irr!BE22)),IF(AND(s_Irr!I22=".",s_Irr!AG22&lt;&gt;".",s_Irr!BE22&lt;&gt;"."),s_dir!AI22/((1/1000)*(s_Irr!AG22+s_Irr!BE22)),IF(AND(s_Irr!I22=".",s_Irr!AG22=".",s_Irr!BE22&lt;&gt;"."),s_dir!AI22/((1/1000)*(s_Irr!BE22)),IF(AND(s_Irr!I22=".",s_Irr!AG22&lt;&gt;".",s_Irr!BE22="."),s_dir!AI22/((1/1000)*(s_Irr!AG22)),IF(AND(s_Irr!I22&lt;&gt;".",s_Irr!AG22=".",s_Irr!BE22="."),s_dir!AI22/((1/1000)*(s_Irr!I22)),IF(AND(s_Irr!I22=".",s_Irr!AG22=".",s_Irr!BE22="."),s_dir!AI22*1000)))))))),".")</f>
        <v>92.48645660660182</v>
      </c>
      <c r="BI22" s="76">
        <f>IFERROR(IF(AND(s_Irr!J22&lt;&gt;".",s_Irr!AH22&lt;&gt;".",s_Irr!BF22&lt;&gt;"."),s_dir!AJ22/((1/1000)*(s_Irr!J22+s_Irr!AH22+s_Irr!BF22)),IF(AND(s_Irr!J22&lt;&gt;".",s_Irr!AH22&lt;&gt;".",s_Irr!BF22="."),s_dir!AJ22/((1/1000)*(s_Irr!J22+s_Irr!AH22)),IF(AND(s_Irr!J22&lt;&gt;".",s_Irr!AH22=".",s_Irr!BF22&lt;&gt;"."),s_dir!AJ22/((1/1000)*(s_Irr!J22+s_Irr!BF22)),IF(AND(s_Irr!J22=".",s_Irr!AH22&lt;&gt;".",s_Irr!BF22&lt;&gt;"."),s_dir!AJ22/((1/1000)*(s_Irr!AH22+s_Irr!BF22)),IF(AND(s_Irr!J22=".",s_Irr!AH22=".",s_Irr!BF22&lt;&gt;"."),s_dir!AJ22/((1/1000)*(s_Irr!BF22)),IF(AND(s_Irr!J22=".",s_Irr!AH22&lt;&gt;".",s_Irr!BF22="."),s_dir!AJ22/((1/1000)*(s_Irr!AH22)),IF(AND(s_Irr!J22&lt;&gt;".",s_Irr!AH22=".",s_Irr!BF22="."),s_dir!AJ22/((1/1000)*(s_Irr!J22)),IF(AND(s_Irr!J22=".",s_Irr!AH22=".",s_Irr!BF22="."),s_dir!AJ22*1000)))))))),".")</f>
        <v>173.0654134876479</v>
      </c>
      <c r="BJ22" s="76">
        <f>IFERROR(IF(AND(s_Irr!K22&lt;&gt;".",s_Irr!AI22&lt;&gt;".",s_Irr!BG22&lt;&gt;"."),s_dir!AK22/((1/1000)*(s_Irr!K22+s_Irr!AI22+s_Irr!BG22)),IF(AND(s_Irr!K22&lt;&gt;".",s_Irr!AI22&lt;&gt;".",s_Irr!BG22="."),s_dir!AK22/((1/1000)*(s_Irr!K22+s_Irr!AI22)),IF(AND(s_Irr!K22&lt;&gt;".",s_Irr!AI22=".",s_Irr!BG22&lt;&gt;"."),s_dir!AK22/((1/1000)*(s_Irr!K22+s_Irr!BG22)),IF(AND(s_Irr!K22=".",s_Irr!AI22&lt;&gt;".",s_Irr!BG22&lt;&gt;"."),s_dir!AK22/((1/1000)*(s_Irr!AI22+s_Irr!BG22)),IF(AND(s_Irr!K22=".",s_Irr!AI22=".",s_Irr!BG22&lt;&gt;"."),s_dir!AK22/((1/1000)*(s_Irr!BG22)),IF(AND(s_Irr!K22=".",s_Irr!AI22&lt;&gt;".",s_Irr!BG22="."),s_dir!AK22/((1/1000)*(s_Irr!AI22)),IF(AND(s_Irr!K22&lt;&gt;".",s_Irr!AI22=".",s_Irr!BG22="."),s_dir!AK22/((1/1000)*(s_Irr!K22)),IF(AND(s_Irr!K22=".",s_Irr!AI22=".",s_Irr!BG22="."),s_dir!AK22*1000)))))))),".")</f>
        <v>194.53388372422677</v>
      </c>
      <c r="BK22" s="76">
        <f>IFERROR(IF(AND(s_Irr!L22&lt;&gt;".",s_Irr!AJ22&lt;&gt;".",s_Irr!BH22&lt;&gt;"."),s_dir!AL22/((1/1000)*(s_Irr!L22+s_Irr!AJ22+s_Irr!BH22)),IF(AND(s_Irr!L22&lt;&gt;".",s_Irr!AJ22&lt;&gt;".",s_Irr!BH22="."),s_dir!AL22/((1/1000)*(s_Irr!L22+s_Irr!AJ22)),IF(AND(s_Irr!L22&lt;&gt;".",s_Irr!AJ22=".",s_Irr!BH22&lt;&gt;"."),s_dir!AL22/((1/1000)*(s_Irr!L22+s_Irr!BH22)),IF(AND(s_Irr!L22=".",s_Irr!AJ22&lt;&gt;".",s_Irr!BH22&lt;&gt;"."),s_dir!AL22/((1/1000)*(s_Irr!AJ22+s_Irr!BH22)),IF(AND(s_Irr!L22=".",s_Irr!AJ22=".",s_Irr!BH22&lt;&gt;"."),s_dir!AL22/((1/1000)*(s_Irr!BH22)),IF(AND(s_Irr!L22=".",s_Irr!AJ22&lt;&gt;".",s_Irr!BH22="."),s_dir!AL22/((1/1000)*(s_Irr!AJ22)),IF(AND(s_Irr!L22&lt;&gt;".",s_Irr!AJ22=".",s_Irr!BH22="."),s_dir!AL22/((1/1000)*(s_Irr!L22)),IF(AND(s_Irr!L22=".",s_Irr!AJ22=".",s_Irr!BH22="."),s_dir!AL22*1000)))))))),".")</f>
        <v>157.09711976334876</v>
      </c>
      <c r="BL22" s="76">
        <f>IFERROR(IF(AND(s_Irr!M22&lt;&gt;".",s_Irr!AK22&lt;&gt;".",s_Irr!BI22&lt;&gt;"."),s_dir!AM22/((1/1000)*(s_Irr!M22+s_Irr!AK22+s_Irr!BI22)),IF(AND(s_Irr!M22&lt;&gt;".",s_Irr!AK22&lt;&gt;".",s_Irr!BI22="."),s_dir!AM22/((1/1000)*(s_Irr!M22+s_Irr!AK22)),IF(AND(s_Irr!M22&lt;&gt;".",s_Irr!AK22=".",s_Irr!BI22&lt;&gt;"."),s_dir!AM22/((1/1000)*(s_Irr!M22+s_Irr!BI22)),IF(AND(s_Irr!M22=".",s_Irr!AK22&lt;&gt;".",s_Irr!BI22&lt;&gt;"."),s_dir!AM22/((1/1000)*(s_Irr!AK22+s_Irr!BI22)),IF(AND(s_Irr!M22=".",s_Irr!AK22=".",s_Irr!BI22&lt;&gt;"."),s_dir!AM22/((1/1000)*(s_Irr!BI22)),IF(AND(s_Irr!M22=".",s_Irr!AK22&lt;&gt;".",s_Irr!BI22="."),s_dir!AM22/((1/1000)*(s_Irr!AK22)),IF(AND(s_Irr!M22&lt;&gt;".",s_Irr!AK22=".",s_Irr!BI22="."),s_dir!AM22/((1/1000)*(s_Irr!M22)),IF(AND(s_Irr!M22=".",s_Irr!AK22=".",s_Irr!BI22="."),s_dir!AM22*1000)))))))),".")</f>
        <v>79.526815022000989</v>
      </c>
      <c r="BM22" s="76">
        <f>IFERROR(IF(AND(s_Irr!N22&lt;&gt;".",s_Irr!AL22&lt;&gt;".",s_Irr!BJ22&lt;&gt;"."),s_dir!AN22/((1/1000)*(s_Irr!N22+s_Irr!AL22+s_Irr!BJ22)),IF(AND(s_Irr!N22&lt;&gt;".",s_Irr!AL22&lt;&gt;".",s_Irr!BJ22="."),s_dir!AN22/((1/1000)*(s_Irr!N22+s_Irr!AL22)),IF(AND(s_Irr!N22&lt;&gt;".",s_Irr!AL22=".",s_Irr!BJ22&lt;&gt;"."),s_dir!AN22/((1/1000)*(s_Irr!N22+s_Irr!BJ22)),IF(AND(s_Irr!N22=".",s_Irr!AL22&lt;&gt;".",s_Irr!BJ22&lt;&gt;"."),s_dir!AN22/((1/1000)*(s_Irr!AL22+s_Irr!BJ22)),IF(AND(s_Irr!N22=".",s_Irr!AL22=".",s_Irr!BJ22&lt;&gt;"."),s_dir!AN22/((1/1000)*(s_Irr!BJ22)),IF(AND(s_Irr!N22=".",s_Irr!AL22&lt;&gt;".",s_Irr!BJ22="."),s_dir!AN22/((1/1000)*(s_Irr!AL22)),IF(AND(s_Irr!N22&lt;&gt;".",s_Irr!AL22=".",s_Irr!BJ22="."),s_dir!AN22/((1/1000)*(s_Irr!N22)),IF(AND(s_Irr!N22=".",s_Irr!AL22=".",s_Irr!BJ22="."),s_dir!AN22*1000)))))))),".")</f>
        <v>163.56499769347212</v>
      </c>
      <c r="BN22" s="76">
        <f>IFERROR(IF(AND(s_Irr!O22&lt;&gt;".",s_Irr!AM22&lt;&gt;".",s_Irr!BK22&lt;&gt;"."),s_dir!AO22/((1/1000)*(s_Irr!O22+s_Irr!AM22+s_Irr!BK22)),IF(AND(s_Irr!O22&lt;&gt;".",s_Irr!AM22&lt;&gt;".",s_Irr!BK22="."),s_dir!AO22/((1/1000)*(s_Irr!O22+s_Irr!AM22)),IF(AND(s_Irr!O22&lt;&gt;".",s_Irr!AM22=".",s_Irr!BK22&lt;&gt;"."),s_dir!AO22/((1/1000)*(s_Irr!O22+s_Irr!BK22)),IF(AND(s_Irr!O22=".",s_Irr!AM22&lt;&gt;".",s_Irr!BK22&lt;&gt;"."),s_dir!AO22/((1/1000)*(s_Irr!AM22+s_Irr!BK22)),IF(AND(s_Irr!O22=".",s_Irr!AM22=".",s_Irr!BK22&lt;&gt;"."),s_dir!AO22/((1/1000)*(s_Irr!BK22)),IF(AND(s_Irr!O22=".",s_Irr!AM22&lt;&gt;".",s_Irr!BK22="."),s_dir!AO22/((1/1000)*(s_Irr!AM22)),IF(AND(s_Irr!O22&lt;&gt;".",s_Irr!AM22=".",s_Irr!BK22="."),s_dir!AO22/((1/1000)*(s_Irr!O22)),IF(AND(s_Irr!O22=".",s_Irr!AM22=".",s_Irr!BK22="."),s_dir!AO22*1000)))))))),".")</f>
        <v>157.09711976334876</v>
      </c>
      <c r="BO22" s="76">
        <f>IFERROR(IF(AND(s_Irr!P22&lt;&gt;".",s_Irr!AN22&lt;&gt;".",s_Irr!BL22&lt;&gt;"."),s_dir!AP22/((1/1000)*(s_Irr!P22+s_Irr!AN22+s_Irr!BL22)),IF(AND(s_Irr!P22&lt;&gt;".",s_Irr!AN22&lt;&gt;".",s_Irr!BL22="."),s_dir!AP22/((1/1000)*(s_Irr!P22+s_Irr!AN22)),IF(AND(s_Irr!P22&lt;&gt;".",s_Irr!AN22=".",s_Irr!BL22&lt;&gt;"."),s_dir!AP22/((1/1000)*(s_Irr!P22+s_Irr!BL22)),IF(AND(s_Irr!P22=".",s_Irr!AN22&lt;&gt;".",s_Irr!BL22&lt;&gt;"."),s_dir!AP22/((1/1000)*(s_Irr!AN22+s_Irr!BL22)),IF(AND(s_Irr!P22=".",s_Irr!AN22=".",s_Irr!BL22&lt;&gt;"."),s_dir!AP22/((1/1000)*(s_Irr!BL22)),IF(AND(s_Irr!P22=".",s_Irr!AN22&lt;&gt;".",s_Irr!BL22="."),s_dir!AP22/((1/1000)*(s_Irr!AN22)),IF(AND(s_Irr!P22&lt;&gt;".",s_Irr!AN22=".",s_Irr!BL22="."),s_dir!AP22/((1/1000)*(s_Irr!P22)),IF(AND(s_Irr!P22=".",s_Irr!AN22=".",s_Irr!BL22="."),s_dir!AP22*1000)))))))),".")</f>
        <v>157.09711976334876</v>
      </c>
      <c r="BP22" s="76">
        <f>IFERROR(IF(AND(s_Irr!Q22&lt;&gt;".",s_Irr!AO22&lt;&gt;".",s_Irr!BM22&lt;&gt;"."),s_dir!AQ22/((1/1000)*(s_Irr!Q22+s_Irr!AO22+s_Irr!BM22)),IF(AND(s_Irr!Q22&lt;&gt;".",s_Irr!AO22&lt;&gt;".",s_Irr!BM22="."),s_dir!AQ22/((1/1000)*(s_Irr!Q22+s_Irr!AO22)),IF(AND(s_Irr!Q22&lt;&gt;".",s_Irr!AO22=".",s_Irr!BM22&lt;&gt;"."),s_dir!AQ22/((1/1000)*(s_Irr!Q22+s_Irr!BM22)),IF(AND(s_Irr!Q22=".",s_Irr!AO22&lt;&gt;".",s_Irr!BM22&lt;&gt;"."),s_dir!AQ22/((1/1000)*(s_Irr!AO22+s_Irr!BM22)),IF(AND(s_Irr!Q22=".",s_Irr!AO22=".",s_Irr!BM22&lt;&gt;"."),s_dir!AQ22/((1/1000)*(s_Irr!BM22)),IF(AND(s_Irr!Q22=".",s_Irr!AO22&lt;&gt;".",s_Irr!BM22="."),s_dir!AQ22/((1/1000)*(s_Irr!AO22)),IF(AND(s_Irr!Q22&lt;&gt;".",s_Irr!AO22=".",s_Irr!BM22="."),s_dir!AQ22/((1/1000)*(s_Irr!Q22)),IF(AND(s_Irr!Q22=".",s_Irr!AO22=".",s_Irr!BM22="."),s_dir!AQ22*1000)))))))),".")</f>
        <v>173.0654134876479</v>
      </c>
      <c r="BQ22" s="76">
        <f>IFERROR(IF(AND(s_Irr!R22&lt;&gt;".",s_Irr!AP22&lt;&gt;".",s_Irr!BN22&lt;&gt;"."),s_dir!AR22/((1/1000)*(s_Irr!R22+s_Irr!AP22+s_Irr!BN22)),IF(AND(s_Irr!R22&lt;&gt;".",s_Irr!AP22&lt;&gt;".",s_Irr!BN22="."),s_dir!AR22/((1/1000)*(s_Irr!R22+s_Irr!AP22)),IF(AND(s_Irr!R22&lt;&gt;".",s_Irr!AP22=".",s_Irr!BN22&lt;&gt;"."),s_dir!AR22/((1/1000)*(s_Irr!R22+s_Irr!BN22)),IF(AND(s_Irr!R22=".",s_Irr!AP22&lt;&gt;".",s_Irr!BN22&lt;&gt;"."),s_dir!AR22/((1/1000)*(s_Irr!AP22+s_Irr!BN22)),IF(AND(s_Irr!R22=".",s_Irr!AP22=".",s_Irr!BN22&lt;&gt;"."),s_dir!AR22/((1/1000)*(s_Irr!BN22)),IF(AND(s_Irr!R22=".",s_Irr!AP22&lt;&gt;".",s_Irr!BN22="."),s_dir!AR22/((1/1000)*(s_Irr!AP22)),IF(AND(s_Irr!R22&lt;&gt;".",s_Irr!AP22=".",s_Irr!BN22="."),s_dir!AR22/((1/1000)*(s_Irr!R22)),IF(AND(s_Irr!R22=".",s_Irr!AP22=".",s_Irr!BN22="."),s_dir!AR22*1000)))))))),".")</f>
        <v>173.0654134876479</v>
      </c>
      <c r="BR22" s="76">
        <f>IFERROR(IF(AND(s_Irr!S22&lt;&gt;".",s_Irr!AQ22&lt;&gt;".",s_Irr!BO22&lt;&gt;"."),s_dir!AS22/((1/1000)*(s_Irr!S22+s_Irr!AQ22+s_Irr!BO22)),IF(AND(s_Irr!S22&lt;&gt;".",s_Irr!AQ22&lt;&gt;".",s_Irr!BO22="."),s_dir!AS22/((1/1000)*(s_Irr!S22+s_Irr!AQ22)),IF(AND(s_Irr!S22&lt;&gt;".",s_Irr!AQ22=".",s_Irr!BO22&lt;&gt;"."),s_dir!AS22/((1/1000)*(s_Irr!S22+s_Irr!BO22)),IF(AND(s_Irr!S22=".",s_Irr!AQ22&lt;&gt;".",s_Irr!BO22&lt;&gt;"."),s_dir!AS22/((1/1000)*(s_Irr!AQ22+s_Irr!BO22)),IF(AND(s_Irr!S22=".",s_Irr!AQ22=".",s_Irr!BO22&lt;&gt;"."),s_dir!AS22/((1/1000)*(s_Irr!BO22)),IF(AND(s_Irr!S22=".",s_Irr!AQ22&lt;&gt;".",s_Irr!BO22="."),s_dir!AS22/((1/1000)*(s_Irr!AQ22)),IF(AND(s_Irr!S22&lt;&gt;".",s_Irr!AQ22=".",s_Irr!BO22="."),s_dir!AS22/((1/1000)*(s_Irr!S22)),IF(AND(s_Irr!S22=".",s_Irr!AQ22=".",s_Irr!BO22="."),s_dir!AS22*1000)))))))),".")</f>
        <v>163.56499769347212</v>
      </c>
      <c r="BS22" s="76">
        <f>IFERROR(IF(AND(s_Irr!T22&lt;&gt;".",s_Irr!AR22&lt;&gt;".",s_Irr!BP22&lt;&gt;"."),s_dir!AT22/((1/1000)*(s_Irr!T22+s_Irr!AR22+s_Irr!BP22)),IF(AND(s_Irr!T22&lt;&gt;".",s_Irr!AR22&lt;&gt;".",s_Irr!BP22="."),s_dir!AT22/((1/1000)*(s_Irr!T22+s_Irr!AR22)),IF(AND(s_Irr!T22&lt;&gt;".",s_Irr!AR22=".",s_Irr!BP22&lt;&gt;"."),s_dir!AT22/((1/1000)*(s_Irr!T22+s_Irr!BP22)),IF(AND(s_Irr!T22=".",s_Irr!AR22&lt;&gt;".",s_Irr!BP22&lt;&gt;"."),s_dir!AT22/((1/1000)*(s_Irr!AR22+s_Irr!BP22)),IF(AND(s_Irr!T22=".",s_Irr!AR22=".",s_Irr!BP22&lt;&gt;"."),s_dir!AT22/((1/1000)*(s_Irr!BP22)),IF(AND(s_Irr!T22=".",s_Irr!AR22&lt;&gt;".",s_Irr!BP22="."),s_dir!AT22/((1/1000)*(s_Irr!AR22)),IF(AND(s_Irr!T22&lt;&gt;".",s_Irr!AR22=".",s_Irr!BP22="."),s_dir!AT22/((1/1000)*(s_Irr!T22)),IF(AND(s_Irr!T22=".",s_Irr!AR22=".",s_Irr!BP22="."),s_dir!AT22*1000)))))))),".")</f>
        <v>170.58832481008602</v>
      </c>
      <c r="BT22" s="76">
        <f>IFERROR(IF(AND(s_Irr!U22&lt;&gt;".",s_Irr!AS22&lt;&gt;".",s_Irr!BQ22&lt;&gt;"."),s_dir!AU22/((1/1000)*(s_Irr!U22+s_Irr!AS22+s_Irr!BQ22)),IF(AND(s_Irr!U22&lt;&gt;".",s_Irr!AS22&lt;&gt;".",s_Irr!BQ22="."),s_dir!AU22/((1/1000)*(s_Irr!U22+s_Irr!AS22)),IF(AND(s_Irr!U22&lt;&gt;".",s_Irr!AS22=".",s_Irr!BQ22&lt;&gt;"."),s_dir!AU22/((1/1000)*(s_Irr!U22+s_Irr!BQ22)),IF(AND(s_Irr!U22=".",s_Irr!AS22&lt;&gt;".",s_Irr!BQ22&lt;&gt;"."),s_dir!AU22/((1/1000)*(s_Irr!AS22+s_Irr!BQ22)),IF(AND(s_Irr!U22=".",s_Irr!AS22=".",s_Irr!BQ22&lt;&gt;"."),s_dir!AU22/((1/1000)*(s_Irr!BQ22)),IF(AND(s_Irr!U22=".",s_Irr!AS22&lt;&gt;".",s_Irr!BQ22="."),s_dir!AU22/((1/1000)*(s_Irr!AS22)),IF(AND(s_Irr!U22&lt;&gt;".",s_Irr!AS22=".",s_Irr!BQ22="."),s_dir!AU22/((1/1000)*(s_Irr!U22)),IF(AND(s_Irr!U22=".",s_Irr!AS22=".",s_Irr!BQ22="."),s_dir!AU22*1000)))))))),".")</f>
        <v>157.09711976334876</v>
      </c>
      <c r="BU22" s="76">
        <f>IFERROR(IF(AND(s_Irr!V22&lt;&gt;".",s_Irr!AT22&lt;&gt;".",s_Irr!BR22&lt;&gt;"."),s_dir!AV22/((1/1000)*(s_Irr!V22+s_Irr!AT22+s_Irr!BR22)),IF(AND(s_Irr!V22&lt;&gt;".",s_Irr!AT22&lt;&gt;".",s_Irr!BR22="."),s_dir!AV22/((1/1000)*(s_Irr!V22+s_Irr!AT22)),IF(AND(s_Irr!V22&lt;&gt;".",s_Irr!AT22=".",s_Irr!BR22&lt;&gt;"."),s_dir!AV22/((1/1000)*(s_Irr!V22+s_Irr!BR22)),IF(AND(s_Irr!V22=".",s_Irr!AT22&lt;&gt;".",s_Irr!BR22&lt;&gt;"."),s_dir!AV22/((1/1000)*(s_Irr!AT22+s_Irr!BR22)),IF(AND(s_Irr!V22=".",s_Irr!AT22=".",s_Irr!BR22&lt;&gt;"."),s_dir!AV22/((1/1000)*(s_Irr!BR22)),IF(AND(s_Irr!V22=".",s_Irr!AT22&lt;&gt;".",s_Irr!BR22="."),s_dir!AV22/((1/1000)*(s_Irr!AT22)),IF(AND(s_Irr!V22&lt;&gt;".",s_Irr!AT22=".",s_Irr!BR22="."),s_dir!AV22/((1/1000)*(s_Irr!V22)),IF(AND(s_Irr!V22=".",s_Irr!AT22=".",s_Irr!BR22="."),s_dir!AV22*1000)))))))),".")</f>
        <v>163.56499769347212</v>
      </c>
      <c r="BV22" s="76">
        <f>IFERROR(IF(AND(s_Irr!W22&lt;&gt;".",s_Irr!AU22&lt;&gt;".",s_Irr!BS22&lt;&gt;"."),s_dir!AW22/((1/1000)*(s_Irr!W22+s_Irr!AU22+s_Irr!BS22)),IF(AND(s_Irr!W22&lt;&gt;".",s_Irr!AU22&lt;&gt;".",s_Irr!BS22="."),s_dir!AW22/((1/1000)*(s_Irr!W22+s_Irr!AU22)),IF(AND(s_Irr!W22&lt;&gt;".",s_Irr!AU22=".",s_Irr!BS22&lt;&gt;"."),s_dir!AW22/((1/1000)*(s_Irr!W22+s_Irr!BS22)),IF(AND(s_Irr!W22=".",s_Irr!AU22&lt;&gt;".",s_Irr!BS22&lt;&gt;"."),s_dir!AW22/((1/1000)*(s_Irr!AU22+s_Irr!BS22)),IF(AND(s_Irr!W22=".",s_Irr!AU22=".",s_Irr!BS22&lt;&gt;"."),s_dir!AW22/((1/1000)*(s_Irr!BS22)),IF(AND(s_Irr!W22=".",s_Irr!AU22&lt;&gt;".",s_Irr!BS22="."),s_dir!AW22/((1/1000)*(s_Irr!AU22)),IF(AND(s_Irr!W22&lt;&gt;".",s_Irr!AU22=".",s_Irr!BS22="."),s_dir!AW22/((1/1000)*(s_Irr!W22)),IF(AND(s_Irr!W22=".",s_Irr!AU22=".",s_Irr!BS22="."),s_dir!AW22*1000)))))))),".")</f>
        <v>173.0654134876479</v>
      </c>
      <c r="BW22" s="76">
        <f>IFERROR(IF(AND(s_Irr!X22&lt;&gt;".",s_Irr!AV22&lt;&gt;".",s_Irr!BT22&lt;&gt;"."),s_dir!AX22/((1/1000)*(s_Irr!X22+s_Irr!AV22+s_Irr!BT22)),IF(AND(s_Irr!X22&lt;&gt;".",s_Irr!AV22&lt;&gt;".",s_Irr!BT22="."),s_dir!AX22/((1/1000)*(s_Irr!X22+s_Irr!AV22)),IF(AND(s_Irr!X22&lt;&gt;".",s_Irr!AV22=".",s_Irr!BT22&lt;&gt;"."),s_dir!AX22/((1/1000)*(s_Irr!X22+s_Irr!BT22)),IF(AND(s_Irr!X22=".",s_Irr!AV22&lt;&gt;".",s_Irr!BT22&lt;&gt;"."),s_dir!AX22/((1/1000)*(s_Irr!AV22+s_Irr!BT22)),IF(AND(s_Irr!X22=".",s_Irr!AV22=".",s_Irr!BT22&lt;&gt;"."),s_dir!AX22/((1/1000)*(s_Irr!BT22)),IF(AND(s_Irr!X22=".",s_Irr!AV22&lt;&gt;".",s_Irr!BT22="."),s_dir!AX22/((1/1000)*(s_Irr!AV22)),IF(AND(s_Irr!X22&lt;&gt;".",s_Irr!AV22=".",s_Irr!BT22="."),s_dir!AX22/((1/1000)*(s_Irr!X22)),IF(AND(s_Irr!X22=".",s_Irr!AV22=".",s_Irr!BT22="."),s_dir!AX22*1000)))))))),".")</f>
        <v>157.09711976334876</v>
      </c>
      <c r="BX22" s="76">
        <f>IFERROR(IF(AND(s_Irr!Y22&lt;&gt;".",s_Irr!AW22&lt;&gt;".",s_Irr!BU22&lt;&gt;"."),s_dir!AY22/((1/1000)*(s_Irr!Y22+s_Irr!AW22+s_Irr!BU22)),IF(AND(s_Irr!Y22&lt;&gt;".",s_Irr!AW22&lt;&gt;".",s_Irr!BU22="."),s_dir!AY22/((1/1000)*(s_Irr!Y22+s_Irr!AW22)),IF(AND(s_Irr!Y22&lt;&gt;".",s_Irr!AW22=".",s_Irr!BU22&lt;&gt;"."),s_dir!AY22/((1/1000)*(s_Irr!Y22+s_Irr!BU22)),IF(AND(s_Irr!Y22=".",s_Irr!AW22&lt;&gt;".",s_Irr!BU22&lt;&gt;"."),s_dir!AY22/((1/1000)*(s_Irr!AW22+s_Irr!BU22)),IF(AND(s_Irr!Y22=".",s_Irr!AW22=".",s_Irr!BU22&lt;&gt;"."),s_dir!AY22/((1/1000)*(s_Irr!BU22)),IF(AND(s_Irr!Y22=".",s_Irr!AW22&lt;&gt;".",s_Irr!BU22="."),s_dir!AY22/((1/1000)*(s_Irr!AW22)),IF(AND(s_Irr!Y22&lt;&gt;".",s_Irr!AW22=".",s_Irr!BU22="."),s_dir!AY22/((1/1000)*(s_Irr!Y22)),IF(AND(s_Irr!Y22=".",s_Irr!AW22=".",s_Irr!BU22="."),s_dir!AY22*1000)))))))),".")</f>
        <v>199.5163826734057</v>
      </c>
      <c r="BY22" s="76">
        <f>IFERROR(IF(AND(s_Irr!Z22&lt;&gt;".",s_Irr!AX22&lt;&gt;".",s_Irr!BV22&lt;&gt;"."),s_dir!AZ22/((1/1000)*(s_Irr!Z22+s_Irr!AX22+s_Irr!BV22)),IF(AND(s_Irr!Z22&lt;&gt;".",s_Irr!AX22&lt;&gt;".",s_Irr!BV22="."),s_dir!AZ22/((1/1000)*(s_Irr!Z22+s_Irr!AX22)),IF(AND(s_Irr!Z22&lt;&gt;".",s_Irr!AX22=".",s_Irr!BV22&lt;&gt;"."),s_dir!AZ22/((1/1000)*(s_Irr!Z22+s_Irr!BV22)),IF(AND(s_Irr!Z22=".",s_Irr!AX22&lt;&gt;".",s_Irr!BV22&lt;&gt;"."),s_dir!AZ22/((1/1000)*(s_Irr!AX22+s_Irr!BV22)),IF(AND(s_Irr!Z22=".",s_Irr!AX22=".",s_Irr!BV22&lt;&gt;"."),s_dir!AZ22/((1/1000)*(s_Irr!BV22)),IF(AND(s_Irr!Z22=".",s_Irr!AX22&lt;&gt;".",s_Irr!BV22="."),s_dir!AZ22/((1/1000)*(s_Irr!AX22)),IF(AND(s_Irr!Z22&lt;&gt;".",s_Irr!AX22=".",s_Irr!BV22="."),s_dir!AZ22/((1/1000)*(s_Irr!Z22)),IF(AND(s_Irr!Z22=".",s_Irr!AX22=".",s_Irr!BV22="."),s_dir!AZ22*1000)))))))),".")</f>
        <v>157.09711976334876</v>
      </c>
      <c r="BZ22" s="93">
        <f t="shared" ref="BZ22:BZ23" si="27">SUM(CA22:CB22,CW22:CX22)</f>
        <v>968.09332170462449</v>
      </c>
      <c r="CA22" s="93">
        <f>IFERROR(s_C*s_IFAP_far_adj*s_CF_apple*(1/1000)*(s_Irr!C22+s_Irr!AA22+s_Irr!AY22),".")</f>
        <v>188.15245928625063</v>
      </c>
      <c r="CB22" s="93">
        <f>IFERROR(s_C*s_IFAS_far_adj*s_CF_asparagus*(1/1000)*(s_Irr!D22+s_Irr!AB22+s_Irr!AZ22),".")</f>
        <v>409.45539131781368</v>
      </c>
      <c r="CC22" s="93">
        <f>IFERROR(s_C*s_IFBT_far_adj*s_CF_beet*(1/1000)*(s_Irr!E22+s_Irr!AC22+s_Irr!BA22),".")</f>
        <v>352.08055708740847</v>
      </c>
      <c r="CD22" s="93">
        <f>IFERROR(s_C*s_IFBE_far_adj*s_CF_berries*(1/1000)*(s_Irr!F22+s_Irr!AD22+s_Irr!BB22),".")</f>
        <v>188.15245928625063</v>
      </c>
      <c r="CE22" s="93">
        <f>IFERROR(s_C*s_IFBR_far_adj*s_CF_broccoli*(1/1000)*(s_Irr!G22+s_Irr!AE22+s_Irr!BC22),".")</f>
        <v>207.27740402971904</v>
      </c>
      <c r="CF22" s="93">
        <f>IFERROR(s_C*s_IFCB_far_adj*s_CF_cabbage*(1/1000)*(s_Irr!H22+s_Irr!AF22+s_Irr!BD22),".")</f>
        <v>409.45539131781368</v>
      </c>
      <c r="CG22" s="93">
        <f>IFERROR(s_C*s_IFCR_far_adj*s_CF_carrot*(1/1000)*(s_Irr!I22+s_Irr!AG22+s_Irr!BE22),".")</f>
        <v>352.08055708740847</v>
      </c>
      <c r="CH22" s="93">
        <f>IFERROR(s_C*s_IFCI_far_adj*s_CF_citrus*(1/1000)*(s_Irr!J22+s_Irr!AH22+s_Irr!BF22),".")</f>
        <v>188.15245928625063</v>
      </c>
      <c r="CI22" s="93">
        <f>IFERROR(s_C*s_IFCO_far_adj*s_CF_corn*(1/1000)*(s_Irr!K22+s_Irr!AI22+s_Irr!BG22),".")</f>
        <v>167.38823356477062</v>
      </c>
      <c r="CJ22" s="93">
        <f>IFERROR(s_C*s_IFCU_far_adj*s_CF_cucumber*(1/1000)*(s_Irr!L22+s_Irr!AJ22+s_Irr!BH22),".")</f>
        <v>207.27740402971904</v>
      </c>
      <c r="CK22" s="93">
        <f>IFERROR(s_C*s_IFLE_far_adj*s_CF_lettuce*(1/1000)*(s_Irr!M22+s_Irr!AK22+s_Irr!BI22),".")</f>
        <v>409.45539131781368</v>
      </c>
      <c r="CL22" s="93">
        <f>IFERROR(s_C*s_IFLI_far_adj*s_CF_lima_bean*(1/1000)*(s_Irr!N22+s_Irr!AL22+s_Irr!BJ22),".")</f>
        <v>199.08099913966115</v>
      </c>
      <c r="CM22" s="93">
        <f>IFERROR(s_C*s_IFOK_far_adj*s_CF_okra*(1/1000)*(s_Irr!O22+s_Irr!AM22+s_Irr!BK22),".")</f>
        <v>207.27740402971904</v>
      </c>
      <c r="CN22" s="93">
        <f>IFERROR(s_C*s_IFON_far_adj*s_CF_onion*(1/1000)*(s_Irr!P22+s_Irr!AN22+s_Irr!BL22),".")</f>
        <v>207.27740402971904</v>
      </c>
      <c r="CO22" s="93">
        <f>IFERROR(s_C*s_IFPC_far_adj*s_CF_peach*(1/1000)*(s_Irr!Q22+s_Irr!AO22+s_Irr!BM22),".")</f>
        <v>188.15245928625063</v>
      </c>
      <c r="CP22" s="93">
        <f>IFERROR(s_C*s_IFPR_far_adj*s_CF_pear*(1/1000)*(s_Irr!R22+s_Irr!AP22+s_Irr!BN22),".")</f>
        <v>188.15245928625063</v>
      </c>
      <c r="CQ22" s="93">
        <f>IFERROR(s_C*s_IFPE_far_adj*s_CF_peas*(1/1000)*(s_Irr!S22+s_Irr!AQ22+s_Irr!BO22),".")</f>
        <v>199.08099913966115</v>
      </c>
      <c r="CR22" s="93">
        <f>IFERROR(s_C*s_IFPT_far_adj*s_CF_potato*(1/1000)*(s_Irr!T22+s_Irr!AR22+s_Irr!BP22),".")</f>
        <v>190.88459424960325</v>
      </c>
      <c r="CS22" s="93">
        <f>IFERROR(s_C*s_IFPU_far_adj*s_CF_pumpkin*(1/1000)*(s_Irr!U22+s_Irr!AS22+s_Irr!BQ22),".")</f>
        <v>207.27740402971904</v>
      </c>
      <c r="CT22" s="93">
        <f>IFERROR(s_C*s_IFSN_far_adj*s_CF_snap_bean*(1/1000)*(s_Irr!V22+s_Irr!AT22+s_Irr!BR22),".")</f>
        <v>199.08099913966115</v>
      </c>
      <c r="CU22" s="93">
        <f>IFERROR(s_C*s_IFST_far_adj*s_CF_strawberry*(1/1000)*(s_Irr!W22+s_Irr!AU22+s_Irr!BS22),".")</f>
        <v>188.15245928625063</v>
      </c>
      <c r="CV22" s="93">
        <f>IFERROR(s_C*s_IFTO_far_adj*s_CF_tomato*(1/1000)*(s_Irr!X22+s_Irr!AV22+s_Irr!BT22),".")</f>
        <v>207.27740402971904</v>
      </c>
      <c r="CW22" s="93">
        <f>IFERROR(s_C*s_IFRI_far_adj*s_CF_rice*(1/1000)*(s_Irr!Y22+s_Irr!AW22+s_Irr!BU22),".")</f>
        <v>163.20806707084111</v>
      </c>
      <c r="CX22" s="93">
        <f>IFERROR(s_C*s_IFCG_far_adj*s_CF_cereal*(1/1000)*(s_Irr!Z22+s_Irr!AX22+s_Irr!BV22),".")</f>
        <v>207.27740402971904</v>
      </c>
    </row>
    <row r="23" spans="1:102" x14ac:dyDescent="0.25">
      <c r="A23" s="94" t="s">
        <v>33</v>
      </c>
      <c r="B23" s="90" t="s">
        <v>351</v>
      </c>
      <c r="C23" s="76">
        <f t="shared" si="24"/>
        <v>10.042370864491518</v>
      </c>
      <c r="D23" s="76">
        <f>IFERROR(IF(AND(s_Irr!C23&lt;&gt;".",s_Irr!AA23&lt;&gt;".",s_Irr!AY23&lt;&gt;"."),s_dir!D23/((1/1000)*(s_Irr!C23+s_Irr!AA23+s_Irr!AY23)),IF(AND(s_Irr!C23&lt;&gt;".",s_Irr!AA23&lt;&gt;".",s_Irr!AY23="."),s_dir!D23/((1/1000)*(s_Irr!C23+s_Irr!AA23)),IF(AND(s_Irr!C23&lt;&gt;".",s_Irr!AA23=".",s_Irr!AY23&lt;&gt;"."),s_dir!D23/((1/1000)*(s_Irr!C23+s_Irr!AY23)),IF(AND(s_Irr!C23=".",s_Irr!AA23&lt;&gt;".",s_Irr!AY23&lt;&gt;"."),s_dir!D23/((1/1000)*(s_Irr!AA23+s_Irr!AY23)),IF(AND(s_Irr!C23=".",s_Irr!AA23=".",s_Irr!AY23&lt;&gt;"."),s_dir!D23/((1/1000)*(s_Irr!AY23)),IF(AND(s_Irr!C23=".",s_Irr!AA23&lt;&gt;".",s_Irr!AY23="."),s_dir!D23/((1/1000)*(s_Irr!AA23)),IF(AND(s_Irr!C23&lt;&gt;".",s_Irr!AA23=".",s_Irr!AY23="."),s_dir!D23/((1/1000)*(s_Irr!C23)),IF(AND(s_Irr!C23=".",s_Irr!AA23=".",s_Irr!AY23="."),s_dir!D23*1000)))))))),".")</f>
        <v>51.670609062858908</v>
      </c>
      <c r="E23" s="76">
        <f>IFERROR(IF(AND(s_Irr!D23&lt;&gt;".",s_Irr!AB23&lt;&gt;".",s_Irr!AZ23&lt;&gt;"."),s_dir!E23/((1/1000)*(s_Irr!D23+s_Irr!AB23+s_Irr!AZ23)),IF(AND(s_Irr!D23&lt;&gt;".",s_Irr!AB23&lt;&gt;".",s_Irr!AZ23="."),s_dir!E23/((1/1000)*(s_Irr!D23+s_Irr!AB23)),IF(AND(s_Irr!D23&lt;&gt;".",s_Irr!AB23=".",s_Irr!AZ23&lt;&gt;"."),s_dir!E23/((1/1000)*(s_Irr!D23+s_Irr!AZ23)),IF(AND(s_Irr!D23=".",s_Irr!AB23&lt;&gt;".",s_Irr!AZ23&lt;&gt;"."),s_dir!E23/((1/1000)*(s_Irr!AB23+s_Irr!AZ23)),IF(AND(s_Irr!D23=".",s_Irr!AB23=".",s_Irr!AZ23&lt;&gt;"."),s_dir!E23/((1/1000)*(s_Irr!AZ23)),IF(AND(s_Irr!D23=".",s_Irr!AB23&lt;&gt;".",s_Irr!AZ23="."),s_dir!E23/((1/1000)*(s_Irr!AB23)),IF(AND(s_Irr!D23&lt;&gt;".",s_Irr!AB23=".",s_Irr!AZ23="."),s_dir!E23/((1/1000)*(s_Irr!D23)),IF(AND(s_Irr!D23=".",s_Irr!AB23=".",s_Irr!AZ23="."),s_dir!E23*1000)))))))),".")</f>
        <v>23.743617434626199</v>
      </c>
      <c r="F23" s="76">
        <f>IFERROR(IF(AND(s_Irr!E23&lt;&gt;".",s_Irr!AC23&lt;&gt;".",s_Irr!BA23&lt;&gt;"."),s_dir!F23/((1/1000)*(s_Irr!E23+s_Irr!AC23+s_Irr!BA23)),IF(AND(s_Irr!E23&lt;&gt;".",s_Irr!AC23&lt;&gt;".",s_Irr!BA23="."),s_dir!F23/((1/1000)*(s_Irr!E23+s_Irr!AC23)),IF(AND(s_Irr!E23&lt;&gt;".",s_Irr!AC23=".",s_Irr!BA23&lt;&gt;"."),s_dir!F23/((1/1000)*(s_Irr!E23+s_Irr!BA23)),IF(AND(s_Irr!E23=".",s_Irr!AC23&lt;&gt;".",s_Irr!BA23&lt;&gt;"."),s_dir!F23/((1/1000)*(s_Irr!AC23+s_Irr!BA23)),IF(AND(s_Irr!E23=".",s_Irr!AC23=".",s_Irr!BA23&lt;&gt;"."),s_dir!F23/((1/1000)*(s_Irr!BA23)),IF(AND(s_Irr!E23=".",s_Irr!AC23&lt;&gt;".",s_Irr!BA23="."),s_dir!F23/((1/1000)*(s_Irr!AC23)),IF(AND(s_Irr!E23&lt;&gt;".",s_Irr!AC23=".",s_Irr!BA23="."),s_dir!F23/((1/1000)*(s_Irr!E23)),IF(AND(s_Irr!E23=".",s_Irr!AC23=".",s_Irr!BA23="."),s_dir!F23*1000)))))))),".")</f>
        <v>27.612862943697667</v>
      </c>
      <c r="G23" s="76">
        <f>IFERROR(IF(AND(s_Irr!F23&lt;&gt;".",s_Irr!AD23&lt;&gt;".",s_Irr!BB23&lt;&gt;"."),s_dir!G23/((1/1000)*(s_Irr!F23+s_Irr!AD23+s_Irr!BB23)),IF(AND(s_Irr!F23&lt;&gt;".",s_Irr!AD23&lt;&gt;".",s_Irr!BB23="."),s_dir!G23/((1/1000)*(s_Irr!F23+s_Irr!AD23)),IF(AND(s_Irr!F23&lt;&gt;".",s_Irr!AD23=".",s_Irr!BB23&lt;&gt;"."),s_dir!G23/((1/1000)*(s_Irr!F23+s_Irr!BB23)),IF(AND(s_Irr!F23=".",s_Irr!AD23&lt;&gt;".",s_Irr!BB23&lt;&gt;"."),s_dir!G23/((1/1000)*(s_Irr!AD23+s_Irr!BB23)),IF(AND(s_Irr!F23=".",s_Irr!AD23=".",s_Irr!BB23&lt;&gt;"."),s_dir!G23/((1/1000)*(s_Irr!BB23)),IF(AND(s_Irr!F23=".",s_Irr!AD23&lt;&gt;".",s_Irr!BB23="."),s_dir!G23/((1/1000)*(s_Irr!AD23)),IF(AND(s_Irr!F23&lt;&gt;".",s_Irr!AD23=".",s_Irr!BB23="."),s_dir!G23/((1/1000)*(s_Irr!F23)),IF(AND(s_Irr!F23=".",s_Irr!AD23=".",s_Irr!BB23="."),s_dir!G23*1000)))))))),".")</f>
        <v>51.670609062858908</v>
      </c>
      <c r="H23" s="76">
        <f>IFERROR(IF(AND(s_Irr!G23&lt;&gt;".",s_Irr!AE23&lt;&gt;".",s_Irr!BC23&lt;&gt;"."),s_dir!H23/((1/1000)*(s_Irr!G23+s_Irr!AE23+s_Irr!BC23)),IF(AND(s_Irr!G23&lt;&gt;".",s_Irr!AE23&lt;&gt;".",s_Irr!BC23="."),s_dir!H23/((1/1000)*(s_Irr!G23+s_Irr!AE23)),IF(AND(s_Irr!G23&lt;&gt;".",s_Irr!AE23=".",s_Irr!BC23&lt;&gt;"."),s_dir!H23/((1/1000)*(s_Irr!G23+s_Irr!BC23)),IF(AND(s_Irr!G23=".",s_Irr!AE23&lt;&gt;".",s_Irr!BC23&lt;&gt;"."),s_dir!H23/((1/1000)*(s_Irr!AE23+s_Irr!BC23)),IF(AND(s_Irr!G23=".",s_Irr!AE23=".",s_Irr!BC23&lt;&gt;"."),s_dir!H23/((1/1000)*(s_Irr!BC23)),IF(AND(s_Irr!G23=".",s_Irr!AE23&lt;&gt;".",s_Irr!BC23="."),s_dir!H23/((1/1000)*(s_Irr!AE23)),IF(AND(s_Irr!G23&lt;&gt;".",s_Irr!AE23=".",s_Irr!BC23="."),s_dir!H23/((1/1000)*(s_Irr!G23)),IF(AND(s_Irr!G23=".",s_Irr!AE23=".",s_Irr!BC23="."),s_dir!H23*1000)))))))),".")</f>
        <v>46.903096907762404</v>
      </c>
      <c r="I23" s="76">
        <f>IFERROR(IF(AND(s_Irr!H23&lt;&gt;".",s_Irr!AF23&lt;&gt;".",s_Irr!BD23&lt;&gt;"."),s_dir!I23/((1/1000)*(s_Irr!H23+s_Irr!AF23+s_Irr!BD23)),IF(AND(s_Irr!H23&lt;&gt;".",s_Irr!AF23&lt;&gt;".",s_Irr!BD23="."),s_dir!I23/((1/1000)*(s_Irr!H23+s_Irr!AF23)),IF(AND(s_Irr!H23&lt;&gt;".",s_Irr!AF23=".",s_Irr!BD23&lt;&gt;"."),s_dir!I23/((1/1000)*(s_Irr!H23+s_Irr!BD23)),IF(AND(s_Irr!H23=".",s_Irr!AF23&lt;&gt;".",s_Irr!BD23&lt;&gt;"."),s_dir!I23/((1/1000)*(s_Irr!AF23+s_Irr!BD23)),IF(AND(s_Irr!H23=".",s_Irr!AF23=".",s_Irr!BD23&lt;&gt;"."),s_dir!I23/((1/1000)*(s_Irr!BD23)),IF(AND(s_Irr!H23=".",s_Irr!AF23&lt;&gt;".",s_Irr!BD23="."),s_dir!I23/((1/1000)*(s_Irr!AF23)),IF(AND(s_Irr!H23&lt;&gt;".",s_Irr!AF23=".",s_Irr!BD23="."),s_dir!I23/((1/1000)*(s_Irr!H23)),IF(AND(s_Irr!H23=".",s_Irr!AF23=".",s_Irr!BD23="."),s_dir!I23*1000)))))))),".")</f>
        <v>23.743617434626199</v>
      </c>
      <c r="J23" s="76">
        <f>IFERROR(IF(AND(s_Irr!I23&lt;&gt;".",s_Irr!AG23&lt;&gt;".",s_Irr!BE23&lt;&gt;"."),s_dir!J23/((1/1000)*(s_Irr!I23+s_Irr!AG23+s_Irr!BE23)),IF(AND(s_Irr!I23&lt;&gt;".",s_Irr!AG23&lt;&gt;".",s_Irr!BE23="."),s_dir!J23/((1/1000)*(s_Irr!I23+s_Irr!AG23)),IF(AND(s_Irr!I23&lt;&gt;".",s_Irr!AG23=".",s_Irr!BE23&lt;&gt;"."),s_dir!J23/((1/1000)*(s_Irr!I23+s_Irr!BE23)),IF(AND(s_Irr!I23=".",s_Irr!AG23&lt;&gt;".",s_Irr!BE23&lt;&gt;"."),s_dir!J23/((1/1000)*(s_Irr!AG23+s_Irr!BE23)),IF(AND(s_Irr!I23=".",s_Irr!AG23=".",s_Irr!BE23&lt;&gt;"."),s_dir!J23/((1/1000)*(s_Irr!BE23)),IF(AND(s_Irr!I23=".",s_Irr!AG23&lt;&gt;".",s_Irr!BE23="."),s_dir!J23/((1/1000)*(s_Irr!AG23)),IF(AND(s_Irr!I23&lt;&gt;".",s_Irr!AG23=".",s_Irr!BE23="."),s_dir!J23/((1/1000)*(s_Irr!I23)),IF(AND(s_Irr!I23=".",s_Irr!AG23=".",s_Irr!BE23="."),s_dir!J23*1000)))))))),".")</f>
        <v>27.612862943697667</v>
      </c>
      <c r="K23" s="76">
        <f>IFERROR(IF(AND(s_Irr!J23&lt;&gt;".",s_Irr!AH23&lt;&gt;".",s_Irr!BF23&lt;&gt;"."),s_dir!K23/((1/1000)*(s_Irr!J23+s_Irr!AH23+s_Irr!BF23)),IF(AND(s_Irr!J23&lt;&gt;".",s_Irr!AH23&lt;&gt;".",s_Irr!BF23="."),s_dir!K23/((1/1000)*(s_Irr!J23+s_Irr!AH23)),IF(AND(s_Irr!J23&lt;&gt;".",s_Irr!AH23=".",s_Irr!BF23&lt;&gt;"."),s_dir!K23/((1/1000)*(s_Irr!J23+s_Irr!BF23)),IF(AND(s_Irr!J23=".",s_Irr!AH23&lt;&gt;".",s_Irr!BF23&lt;&gt;"."),s_dir!K23/((1/1000)*(s_Irr!AH23+s_Irr!BF23)),IF(AND(s_Irr!J23=".",s_Irr!AH23=".",s_Irr!BF23&lt;&gt;"."),s_dir!K23/((1/1000)*(s_Irr!BF23)),IF(AND(s_Irr!J23=".",s_Irr!AH23&lt;&gt;".",s_Irr!BF23="."),s_dir!K23/((1/1000)*(s_Irr!AH23)),IF(AND(s_Irr!J23&lt;&gt;".",s_Irr!AH23=".",s_Irr!BF23="."),s_dir!K23/((1/1000)*(s_Irr!J23)),IF(AND(s_Irr!J23=".",s_Irr!AH23=".",s_Irr!BF23="."),s_dir!K23*1000)))))))),".")</f>
        <v>51.670609062858908</v>
      </c>
      <c r="L23" s="76">
        <f>IFERROR(IF(AND(s_Irr!K23&lt;&gt;".",s_Irr!AI23&lt;&gt;".",s_Irr!BG23&lt;&gt;"."),s_dir!L23/((1/1000)*(s_Irr!K23+s_Irr!AI23+s_Irr!BG23)),IF(AND(s_Irr!K23&lt;&gt;".",s_Irr!AI23&lt;&gt;".",s_Irr!BG23="."),s_dir!L23/((1/1000)*(s_Irr!K23+s_Irr!AI23)),IF(AND(s_Irr!K23&lt;&gt;".",s_Irr!AI23=".",s_Irr!BG23&lt;&gt;"."),s_dir!L23/((1/1000)*(s_Irr!K23+s_Irr!BG23)),IF(AND(s_Irr!K23=".",s_Irr!AI23&lt;&gt;".",s_Irr!BG23&lt;&gt;"."),s_dir!L23/((1/1000)*(s_Irr!AI23+s_Irr!BG23)),IF(AND(s_Irr!K23=".",s_Irr!AI23=".",s_Irr!BG23&lt;&gt;"."),s_dir!L23/((1/1000)*(s_Irr!BG23)),IF(AND(s_Irr!K23=".",s_Irr!AI23&lt;&gt;".",s_Irr!BG23="."),s_dir!L23/((1/1000)*(s_Irr!AI23)),IF(AND(s_Irr!K23&lt;&gt;".",s_Irr!AI23=".",s_Irr!BG23="."),s_dir!L23/((1/1000)*(s_Irr!K23)),IF(AND(s_Irr!K23=".",s_Irr!AI23=".",s_Irr!BG23="."),s_dir!L23*1000)))))))),".")</f>
        <v>58.080260248600084</v>
      </c>
      <c r="M23" s="76">
        <f>IFERROR(IF(AND(s_Irr!L23&lt;&gt;".",s_Irr!AJ23&lt;&gt;".",s_Irr!BH23&lt;&gt;"."),s_dir!M23/((1/1000)*(s_Irr!L23+s_Irr!AJ23+s_Irr!BH23)),IF(AND(s_Irr!L23&lt;&gt;".",s_Irr!AJ23&lt;&gt;".",s_Irr!BH23="."),s_dir!M23/((1/1000)*(s_Irr!L23+s_Irr!AJ23)),IF(AND(s_Irr!L23&lt;&gt;".",s_Irr!AJ23=".",s_Irr!BH23&lt;&gt;"."),s_dir!M23/((1/1000)*(s_Irr!L23+s_Irr!BH23)),IF(AND(s_Irr!L23=".",s_Irr!AJ23&lt;&gt;".",s_Irr!BH23&lt;&gt;"."),s_dir!M23/((1/1000)*(s_Irr!AJ23+s_Irr!BH23)),IF(AND(s_Irr!L23=".",s_Irr!AJ23=".",s_Irr!BH23&lt;&gt;"."),s_dir!M23/((1/1000)*(s_Irr!BH23)),IF(AND(s_Irr!L23=".",s_Irr!AJ23&lt;&gt;".",s_Irr!BH23="."),s_dir!M23/((1/1000)*(s_Irr!AJ23)),IF(AND(s_Irr!L23&lt;&gt;".",s_Irr!AJ23=".",s_Irr!BH23="."),s_dir!M23/((1/1000)*(s_Irr!L23)),IF(AND(s_Irr!L23=".",s_Irr!AJ23=".",s_Irr!BH23="."),s_dir!M23*1000)))))))),".")</f>
        <v>46.903096907762404</v>
      </c>
      <c r="N23" s="76">
        <f>IFERROR(IF(AND(s_Irr!M23&lt;&gt;".",s_Irr!AK23&lt;&gt;".",s_Irr!BI23&lt;&gt;"."),s_dir!N23/((1/1000)*(s_Irr!M23+s_Irr!AK23+s_Irr!BI23)),IF(AND(s_Irr!M23&lt;&gt;".",s_Irr!AK23&lt;&gt;".",s_Irr!BI23="."),s_dir!N23/((1/1000)*(s_Irr!M23+s_Irr!AK23)),IF(AND(s_Irr!M23&lt;&gt;".",s_Irr!AK23=".",s_Irr!BI23&lt;&gt;"."),s_dir!N23/((1/1000)*(s_Irr!M23+s_Irr!BI23)),IF(AND(s_Irr!M23=".",s_Irr!AK23&lt;&gt;".",s_Irr!BI23&lt;&gt;"."),s_dir!N23/((1/1000)*(s_Irr!AK23+s_Irr!BI23)),IF(AND(s_Irr!M23=".",s_Irr!AK23=".",s_Irr!BI23&lt;&gt;"."),s_dir!N23/((1/1000)*(s_Irr!BI23)),IF(AND(s_Irr!M23=".",s_Irr!AK23&lt;&gt;".",s_Irr!BI23="."),s_dir!N23/((1/1000)*(s_Irr!AK23)),IF(AND(s_Irr!M23&lt;&gt;".",s_Irr!AK23=".",s_Irr!BI23="."),s_dir!N23/((1/1000)*(s_Irr!M23)),IF(AND(s_Irr!M23=".",s_Irr!AK23=".",s_Irr!BI23="."),s_dir!N23*1000)))))))),".")</f>
        <v>23.743617434626199</v>
      </c>
      <c r="O23" s="76">
        <f>IFERROR(IF(AND(s_Irr!N23&lt;&gt;".",s_Irr!AL23&lt;&gt;".",s_Irr!BJ23&lt;&gt;"."),s_dir!O23/((1/1000)*(s_Irr!N23+s_Irr!AL23+s_Irr!BJ23)),IF(AND(s_Irr!N23&lt;&gt;".",s_Irr!AL23&lt;&gt;".",s_Irr!BJ23="."),s_dir!O23/((1/1000)*(s_Irr!N23+s_Irr!AL23)),IF(AND(s_Irr!N23&lt;&gt;".",s_Irr!AL23=".",s_Irr!BJ23&lt;&gt;"."),s_dir!O23/((1/1000)*(s_Irr!N23+s_Irr!BJ23)),IF(AND(s_Irr!N23=".",s_Irr!AL23&lt;&gt;".",s_Irr!BJ23&lt;&gt;"."),s_dir!O23/((1/1000)*(s_Irr!AL23+s_Irr!BJ23)),IF(AND(s_Irr!N23=".",s_Irr!AL23=".",s_Irr!BJ23&lt;&gt;"."),s_dir!O23/((1/1000)*(s_Irr!BJ23)),IF(AND(s_Irr!N23=".",s_Irr!AL23&lt;&gt;".",s_Irr!BJ23="."),s_dir!O23/((1/1000)*(s_Irr!AL23)),IF(AND(s_Irr!N23&lt;&gt;".",s_Irr!AL23=".",s_Irr!BJ23="."),s_dir!O23/((1/1000)*(s_Irr!N23)),IF(AND(s_Irr!N23=".",s_Irr!AL23=".",s_Irr!BJ23="."),s_dir!O23*1000)))))))),".")</f>
        <v>48.834153987619381</v>
      </c>
      <c r="P23" s="76">
        <f>IFERROR(IF(AND(s_Irr!O23&lt;&gt;".",s_Irr!AM23&lt;&gt;".",s_Irr!BK23&lt;&gt;"."),s_dir!P23/((1/1000)*(s_Irr!O23+s_Irr!AM23+s_Irr!BK23)),IF(AND(s_Irr!O23&lt;&gt;".",s_Irr!AM23&lt;&gt;".",s_Irr!BK23="."),s_dir!P23/((1/1000)*(s_Irr!O23+s_Irr!AM23)),IF(AND(s_Irr!O23&lt;&gt;".",s_Irr!AM23=".",s_Irr!BK23&lt;&gt;"."),s_dir!P23/((1/1000)*(s_Irr!O23+s_Irr!BK23)),IF(AND(s_Irr!O23=".",s_Irr!AM23&lt;&gt;".",s_Irr!BK23&lt;&gt;"."),s_dir!P23/((1/1000)*(s_Irr!AM23+s_Irr!BK23)),IF(AND(s_Irr!O23=".",s_Irr!AM23=".",s_Irr!BK23&lt;&gt;"."),s_dir!P23/((1/1000)*(s_Irr!BK23)),IF(AND(s_Irr!O23=".",s_Irr!AM23&lt;&gt;".",s_Irr!BK23="."),s_dir!P23/((1/1000)*(s_Irr!AM23)),IF(AND(s_Irr!O23&lt;&gt;".",s_Irr!AM23=".",s_Irr!BK23="."),s_dir!P23/((1/1000)*(s_Irr!O23)),IF(AND(s_Irr!O23=".",s_Irr!AM23=".",s_Irr!BK23="."),s_dir!P23*1000)))))))),".")</f>
        <v>46.903096907762404</v>
      </c>
      <c r="Q23" s="76">
        <f>IFERROR(IF(AND(s_Irr!P23&lt;&gt;".",s_Irr!AN23&lt;&gt;".",s_Irr!BL23&lt;&gt;"."),s_dir!Q23/((1/1000)*(s_Irr!P23+s_Irr!AN23+s_Irr!BL23)),IF(AND(s_Irr!P23&lt;&gt;".",s_Irr!AN23&lt;&gt;".",s_Irr!BL23="."),s_dir!Q23/((1/1000)*(s_Irr!P23+s_Irr!AN23)),IF(AND(s_Irr!P23&lt;&gt;".",s_Irr!AN23=".",s_Irr!BL23&lt;&gt;"."),s_dir!Q23/((1/1000)*(s_Irr!P23+s_Irr!BL23)),IF(AND(s_Irr!P23=".",s_Irr!AN23&lt;&gt;".",s_Irr!BL23&lt;&gt;"."),s_dir!Q23/((1/1000)*(s_Irr!AN23+s_Irr!BL23)),IF(AND(s_Irr!P23=".",s_Irr!AN23=".",s_Irr!BL23&lt;&gt;"."),s_dir!Q23/((1/1000)*(s_Irr!BL23)),IF(AND(s_Irr!P23=".",s_Irr!AN23&lt;&gt;".",s_Irr!BL23="."),s_dir!Q23/((1/1000)*(s_Irr!AN23)),IF(AND(s_Irr!P23&lt;&gt;".",s_Irr!AN23=".",s_Irr!BL23="."),s_dir!Q23/((1/1000)*(s_Irr!P23)),IF(AND(s_Irr!P23=".",s_Irr!AN23=".",s_Irr!BL23="."),s_dir!Q23*1000)))))))),".")</f>
        <v>46.903096907762404</v>
      </c>
      <c r="R23" s="76">
        <f>IFERROR(IF(AND(s_Irr!Q23&lt;&gt;".",s_Irr!AO23&lt;&gt;".",s_Irr!BM23&lt;&gt;"."),s_dir!R23/((1/1000)*(s_Irr!Q23+s_Irr!AO23+s_Irr!BM23)),IF(AND(s_Irr!Q23&lt;&gt;".",s_Irr!AO23&lt;&gt;".",s_Irr!BM23="."),s_dir!R23/((1/1000)*(s_Irr!Q23+s_Irr!AO23)),IF(AND(s_Irr!Q23&lt;&gt;".",s_Irr!AO23=".",s_Irr!BM23&lt;&gt;"."),s_dir!R23/((1/1000)*(s_Irr!Q23+s_Irr!BM23)),IF(AND(s_Irr!Q23=".",s_Irr!AO23&lt;&gt;".",s_Irr!BM23&lt;&gt;"."),s_dir!R23/((1/1000)*(s_Irr!AO23+s_Irr!BM23)),IF(AND(s_Irr!Q23=".",s_Irr!AO23=".",s_Irr!BM23&lt;&gt;"."),s_dir!R23/((1/1000)*(s_Irr!BM23)),IF(AND(s_Irr!Q23=".",s_Irr!AO23&lt;&gt;".",s_Irr!BM23="."),s_dir!R23/((1/1000)*(s_Irr!AO23)),IF(AND(s_Irr!Q23&lt;&gt;".",s_Irr!AO23=".",s_Irr!BM23="."),s_dir!R23/((1/1000)*(s_Irr!Q23)),IF(AND(s_Irr!Q23=".",s_Irr!AO23=".",s_Irr!BM23="."),s_dir!R23*1000)))))))),".")</f>
        <v>51.670609062858908</v>
      </c>
      <c r="S23" s="76">
        <f>IFERROR(IF(AND(s_Irr!R23&lt;&gt;".",s_Irr!AP23&lt;&gt;".",s_Irr!BN23&lt;&gt;"."),s_dir!S23/((1/1000)*(s_Irr!R23+s_Irr!AP23+s_Irr!BN23)),IF(AND(s_Irr!R23&lt;&gt;".",s_Irr!AP23&lt;&gt;".",s_Irr!BN23="."),s_dir!S23/((1/1000)*(s_Irr!R23+s_Irr!AP23)),IF(AND(s_Irr!R23&lt;&gt;".",s_Irr!AP23=".",s_Irr!BN23&lt;&gt;"."),s_dir!S23/((1/1000)*(s_Irr!R23+s_Irr!BN23)),IF(AND(s_Irr!R23=".",s_Irr!AP23&lt;&gt;".",s_Irr!BN23&lt;&gt;"."),s_dir!S23/((1/1000)*(s_Irr!AP23+s_Irr!BN23)),IF(AND(s_Irr!R23=".",s_Irr!AP23=".",s_Irr!BN23&lt;&gt;"."),s_dir!S23/((1/1000)*(s_Irr!BN23)),IF(AND(s_Irr!R23=".",s_Irr!AP23&lt;&gt;".",s_Irr!BN23="."),s_dir!S23/((1/1000)*(s_Irr!AP23)),IF(AND(s_Irr!R23&lt;&gt;".",s_Irr!AP23=".",s_Irr!BN23="."),s_dir!S23/((1/1000)*(s_Irr!R23)),IF(AND(s_Irr!R23=".",s_Irr!AP23=".",s_Irr!BN23="."),s_dir!S23*1000)))))))),".")</f>
        <v>51.670609062858908</v>
      </c>
      <c r="T23" s="76">
        <f>IFERROR(IF(AND(s_Irr!S23&lt;&gt;".",s_Irr!AQ23&lt;&gt;".",s_Irr!BO23&lt;&gt;"."),s_dir!T23/((1/1000)*(s_Irr!S23+s_Irr!AQ23+s_Irr!BO23)),IF(AND(s_Irr!S23&lt;&gt;".",s_Irr!AQ23&lt;&gt;".",s_Irr!BO23="."),s_dir!T23/((1/1000)*(s_Irr!S23+s_Irr!AQ23)),IF(AND(s_Irr!S23&lt;&gt;".",s_Irr!AQ23=".",s_Irr!BO23&lt;&gt;"."),s_dir!T23/((1/1000)*(s_Irr!S23+s_Irr!BO23)),IF(AND(s_Irr!S23=".",s_Irr!AQ23&lt;&gt;".",s_Irr!BO23&lt;&gt;"."),s_dir!T23/((1/1000)*(s_Irr!AQ23+s_Irr!BO23)),IF(AND(s_Irr!S23=".",s_Irr!AQ23=".",s_Irr!BO23&lt;&gt;"."),s_dir!T23/((1/1000)*(s_Irr!BO23)),IF(AND(s_Irr!S23=".",s_Irr!AQ23&lt;&gt;".",s_Irr!BO23="."),s_dir!T23/((1/1000)*(s_Irr!AQ23)),IF(AND(s_Irr!S23&lt;&gt;".",s_Irr!AQ23=".",s_Irr!BO23="."),s_dir!T23/((1/1000)*(s_Irr!S23)),IF(AND(s_Irr!S23=".",s_Irr!AQ23=".",s_Irr!BO23="."),s_dir!T23*1000)))))))),".")</f>
        <v>48.834153987619381</v>
      </c>
      <c r="U23" s="76">
        <f>IFERROR(IF(AND(s_Irr!T23&lt;&gt;".",s_Irr!AR23&lt;&gt;".",s_Irr!BP23&lt;&gt;"."),s_dir!U23/((1/1000)*(s_Irr!T23+s_Irr!AR23+s_Irr!BP23)),IF(AND(s_Irr!T23&lt;&gt;".",s_Irr!AR23&lt;&gt;".",s_Irr!BP23="."),s_dir!U23/((1/1000)*(s_Irr!T23+s_Irr!AR23)),IF(AND(s_Irr!T23&lt;&gt;".",s_Irr!AR23=".",s_Irr!BP23&lt;&gt;"."),s_dir!U23/((1/1000)*(s_Irr!T23+s_Irr!BP23)),IF(AND(s_Irr!T23=".",s_Irr!AR23&lt;&gt;".",s_Irr!BP23&lt;&gt;"."),s_dir!U23/((1/1000)*(s_Irr!AR23+s_Irr!BP23)),IF(AND(s_Irr!T23=".",s_Irr!AR23=".",s_Irr!BP23&lt;&gt;"."),s_dir!U23/((1/1000)*(s_Irr!BP23)),IF(AND(s_Irr!T23=".",s_Irr!AR23&lt;&gt;".",s_Irr!BP23="."),s_dir!U23/((1/1000)*(s_Irr!AR23)),IF(AND(s_Irr!T23&lt;&gt;".",s_Irr!AR23=".",s_Irr!BP23="."),s_dir!U23/((1/1000)*(s_Irr!T23)),IF(AND(s_Irr!T23=".",s_Irr!AR23=".",s_Irr!BP23="."),s_dir!U23*1000)))))))),".")</f>
        <v>50.931046615960938</v>
      </c>
      <c r="V23" s="76">
        <f>IFERROR(IF(AND(s_Irr!U23&lt;&gt;".",s_Irr!AS23&lt;&gt;".",s_Irr!BQ23&lt;&gt;"."),s_dir!V23/((1/1000)*(s_Irr!U23+s_Irr!AS23+s_Irr!BQ23)),IF(AND(s_Irr!U23&lt;&gt;".",s_Irr!AS23&lt;&gt;".",s_Irr!BQ23="."),s_dir!V23/((1/1000)*(s_Irr!U23+s_Irr!AS23)),IF(AND(s_Irr!U23&lt;&gt;".",s_Irr!AS23=".",s_Irr!BQ23&lt;&gt;"."),s_dir!V23/((1/1000)*(s_Irr!U23+s_Irr!BQ23)),IF(AND(s_Irr!U23=".",s_Irr!AS23&lt;&gt;".",s_Irr!BQ23&lt;&gt;"."),s_dir!V23/((1/1000)*(s_Irr!AS23+s_Irr!BQ23)),IF(AND(s_Irr!U23=".",s_Irr!AS23=".",s_Irr!BQ23&lt;&gt;"."),s_dir!V23/((1/1000)*(s_Irr!BQ23)),IF(AND(s_Irr!U23=".",s_Irr!AS23&lt;&gt;".",s_Irr!BQ23="."),s_dir!V23/((1/1000)*(s_Irr!AS23)),IF(AND(s_Irr!U23&lt;&gt;".",s_Irr!AS23=".",s_Irr!BQ23="."),s_dir!V23/((1/1000)*(s_Irr!U23)),IF(AND(s_Irr!U23=".",s_Irr!AS23=".",s_Irr!BQ23="."),s_dir!V23*1000)))))))),".")</f>
        <v>46.903096907762404</v>
      </c>
      <c r="W23" s="76">
        <f>IFERROR(IF(AND(s_Irr!V23&lt;&gt;".",s_Irr!AT23&lt;&gt;".",s_Irr!BR23&lt;&gt;"."),s_dir!W23/((1/1000)*(s_Irr!V23+s_Irr!AT23+s_Irr!BR23)),IF(AND(s_Irr!V23&lt;&gt;".",s_Irr!AT23&lt;&gt;".",s_Irr!BR23="."),s_dir!W23/((1/1000)*(s_Irr!V23+s_Irr!AT23)),IF(AND(s_Irr!V23&lt;&gt;".",s_Irr!AT23=".",s_Irr!BR23&lt;&gt;"."),s_dir!W23/((1/1000)*(s_Irr!V23+s_Irr!BR23)),IF(AND(s_Irr!V23=".",s_Irr!AT23&lt;&gt;".",s_Irr!BR23&lt;&gt;"."),s_dir!W23/((1/1000)*(s_Irr!AT23+s_Irr!BR23)),IF(AND(s_Irr!V23=".",s_Irr!AT23=".",s_Irr!BR23&lt;&gt;"."),s_dir!W23/((1/1000)*(s_Irr!BR23)),IF(AND(s_Irr!V23=".",s_Irr!AT23&lt;&gt;".",s_Irr!BR23="."),s_dir!W23/((1/1000)*(s_Irr!AT23)),IF(AND(s_Irr!V23&lt;&gt;".",s_Irr!AT23=".",s_Irr!BR23="."),s_dir!W23/((1/1000)*(s_Irr!V23)),IF(AND(s_Irr!V23=".",s_Irr!AT23=".",s_Irr!BR23="."),s_dir!W23*1000)))))))),".")</f>
        <v>48.834153987619381</v>
      </c>
      <c r="X23" s="76">
        <f>IFERROR(IF(AND(s_Irr!W23&lt;&gt;".",s_Irr!AU23&lt;&gt;".",s_Irr!BS23&lt;&gt;"."),s_dir!X23/((1/1000)*(s_Irr!W23+s_Irr!AU23+s_Irr!BS23)),IF(AND(s_Irr!W23&lt;&gt;".",s_Irr!AU23&lt;&gt;".",s_Irr!BS23="."),s_dir!X23/((1/1000)*(s_Irr!W23+s_Irr!AU23)),IF(AND(s_Irr!W23&lt;&gt;".",s_Irr!AU23=".",s_Irr!BS23&lt;&gt;"."),s_dir!X23/((1/1000)*(s_Irr!W23+s_Irr!BS23)),IF(AND(s_Irr!W23=".",s_Irr!AU23&lt;&gt;".",s_Irr!BS23&lt;&gt;"."),s_dir!X23/((1/1000)*(s_Irr!AU23+s_Irr!BS23)),IF(AND(s_Irr!W23=".",s_Irr!AU23=".",s_Irr!BS23&lt;&gt;"."),s_dir!X23/((1/1000)*(s_Irr!BS23)),IF(AND(s_Irr!W23=".",s_Irr!AU23&lt;&gt;".",s_Irr!BS23="."),s_dir!X23/((1/1000)*(s_Irr!AU23)),IF(AND(s_Irr!W23&lt;&gt;".",s_Irr!AU23=".",s_Irr!BS23="."),s_dir!X23/((1/1000)*(s_Irr!W23)),IF(AND(s_Irr!W23=".",s_Irr!AU23=".",s_Irr!BS23="."),s_dir!X23*1000)))))))),".")</f>
        <v>51.670609062858908</v>
      </c>
      <c r="Y23" s="76">
        <f>IFERROR(IF(AND(s_Irr!X23&lt;&gt;".",s_Irr!AV23&lt;&gt;".",s_Irr!BT23&lt;&gt;"."),s_dir!Y23/((1/1000)*(s_Irr!X23+s_Irr!AV23+s_Irr!BT23)),IF(AND(s_Irr!X23&lt;&gt;".",s_Irr!AV23&lt;&gt;".",s_Irr!BT23="."),s_dir!Y23/((1/1000)*(s_Irr!X23+s_Irr!AV23)),IF(AND(s_Irr!X23&lt;&gt;".",s_Irr!AV23=".",s_Irr!BT23&lt;&gt;"."),s_dir!Y23/((1/1000)*(s_Irr!X23+s_Irr!BT23)),IF(AND(s_Irr!X23=".",s_Irr!AV23&lt;&gt;".",s_Irr!BT23&lt;&gt;"."),s_dir!Y23/((1/1000)*(s_Irr!AV23+s_Irr!BT23)),IF(AND(s_Irr!X23=".",s_Irr!AV23=".",s_Irr!BT23&lt;&gt;"."),s_dir!Y23/((1/1000)*(s_Irr!BT23)),IF(AND(s_Irr!X23=".",s_Irr!AV23&lt;&gt;".",s_Irr!BT23="."),s_dir!Y23/((1/1000)*(s_Irr!AV23)),IF(AND(s_Irr!X23&lt;&gt;".",s_Irr!AV23=".",s_Irr!BT23="."),s_dir!Y23/((1/1000)*(s_Irr!X23)),IF(AND(s_Irr!X23=".",s_Irr!AV23=".",s_Irr!BT23="."),s_dir!Y23*1000)))))))),".")</f>
        <v>46.903096907762404</v>
      </c>
      <c r="Z23" s="76">
        <f>IFERROR(IF(AND(s_Irr!Y23&lt;&gt;".",s_Irr!AW23&lt;&gt;".",s_Irr!BU23&lt;&gt;"."),s_dir!Z23/((1/1000)*(s_Irr!Y23+s_Irr!AW23+s_Irr!BU23)),IF(AND(s_Irr!Y23&lt;&gt;".",s_Irr!AW23&lt;&gt;".",s_Irr!BU23="."),s_dir!Z23/((1/1000)*(s_Irr!Y23+s_Irr!AW23)),IF(AND(s_Irr!Y23&lt;&gt;".",s_Irr!AW23=".",s_Irr!BU23&lt;&gt;"."),s_dir!Z23/((1/1000)*(s_Irr!Y23+s_Irr!BU23)),IF(AND(s_Irr!Y23=".",s_Irr!AW23&lt;&gt;".",s_Irr!BU23&lt;&gt;"."),s_dir!Z23/((1/1000)*(s_Irr!AW23+s_Irr!BU23)),IF(AND(s_Irr!Y23=".",s_Irr!AW23=".",s_Irr!BU23&lt;&gt;"."),s_dir!Z23/((1/1000)*(s_Irr!BU23)),IF(AND(s_Irr!Y23=".",s_Irr!AW23&lt;&gt;".",s_Irr!BU23="."),s_dir!Z23/((1/1000)*(s_Irr!AW23)),IF(AND(s_Irr!Y23&lt;&gt;".",s_Irr!AW23=".",s_Irr!BU23="."),s_dir!Z23/((1/1000)*(s_Irr!Y23)),IF(AND(s_Irr!Y23=".",s_Irr!AW23=".",s_Irr!BU23="."),s_dir!Z23*1000)))))))),".")</f>
        <v>59.567840870117536</v>
      </c>
      <c r="AA23" s="76">
        <f>IFERROR(IF(AND(s_Irr!Z23&lt;&gt;".",s_Irr!AX23&lt;&gt;".",s_Irr!BV23&lt;&gt;"."),s_dir!AA23/((1/1000)*(s_Irr!Z23+s_Irr!AX23+s_Irr!BV23)),IF(AND(s_Irr!Z23&lt;&gt;".",s_Irr!AX23&lt;&gt;".",s_Irr!BV23="."),s_dir!AA23/((1/1000)*(s_Irr!Z23+s_Irr!AX23)),IF(AND(s_Irr!Z23&lt;&gt;".",s_Irr!AX23=".",s_Irr!BV23&lt;&gt;"."),s_dir!AA23/((1/1000)*(s_Irr!Z23+s_Irr!BV23)),IF(AND(s_Irr!Z23=".",s_Irr!AX23&lt;&gt;".",s_Irr!BV23&lt;&gt;"."),s_dir!AA23/((1/1000)*(s_Irr!AX23+s_Irr!BV23)),IF(AND(s_Irr!Z23=".",s_Irr!AX23=".",s_Irr!BV23&lt;&gt;"."),s_dir!AA23/((1/1000)*(s_Irr!BV23)),IF(AND(s_Irr!Z23=".",s_Irr!AX23&lt;&gt;".",s_Irr!BV23="."),s_dir!AA23/((1/1000)*(s_Irr!AX23)),IF(AND(s_Irr!Z23&lt;&gt;".",s_Irr!AX23=".",s_Irr!BV23="."),s_dir!AA23/((1/1000)*(s_Irr!Z23)),IF(AND(s_Irr!Z23=".",s_Irr!AX23=".",s_Irr!BV23="."),s_dir!AA23*1000)))))))),".")</f>
        <v>46.903096907762404</v>
      </c>
      <c r="AB23" s="93">
        <f t="shared" si="25"/>
        <v>968.09332170462449</v>
      </c>
      <c r="AC23" s="93">
        <f>IFERROR(s_C*s_IFAP_res_adj*s_CF_apple*0.001*(s_Irr!C23+s_Irr!AA23+s_Irr!AY23),".")</f>
        <v>188.15245928625063</v>
      </c>
      <c r="AD23" s="93">
        <f>IFERROR(s_C*s_IFAS_res_adj*s_CF_asparagus*0.001*(s_Irr!D23+s_Irr!AB23+s_Irr!AZ23),".")</f>
        <v>409.45539131781368</v>
      </c>
      <c r="AE23" s="93">
        <f>IFERROR(s_C*s_IFBT_res_adj*s_CF_beet*0.001*(s_Irr!E23+s_Irr!AC23+s_Irr!BA23),".")</f>
        <v>352.08055708740847</v>
      </c>
      <c r="AF23" s="93">
        <f>IFERROR(s_C*s_IFBE_res_adj*s_CF_berries*0.001*(s_Irr!F23+s_Irr!AD23+s_Irr!BB23),".")</f>
        <v>188.15245928625063</v>
      </c>
      <c r="AG23" s="93">
        <f>IFERROR(s_C*s_IFBR_res_adj*s_CF_broccoli*0.001*(s_Irr!G23+s_Irr!AE23+s_Irr!BC23),".")</f>
        <v>207.27740402971904</v>
      </c>
      <c r="AH23" s="93">
        <f>IFERROR(s_C*s_IFCB_res_adj*s_CF_cabbage*0.001*(s_Irr!H23+s_Irr!AF23+s_Irr!BD23),".")</f>
        <v>409.45539131781368</v>
      </c>
      <c r="AI23" s="93">
        <f>IFERROR(s_C*s_IFCR_res_adj*s_CF_carrot*0.001*(s_Irr!I23+s_Irr!AG23+s_Irr!BE23),".")</f>
        <v>352.08055708740847</v>
      </c>
      <c r="AJ23" s="93">
        <f>IFERROR(s_C*s_IFCI_res_adj*s_CF_citrus*0.001*(s_Irr!J23+s_Irr!AH23+s_Irr!BF23),".")</f>
        <v>188.15245928625063</v>
      </c>
      <c r="AK23" s="93">
        <f>IFERROR(s_C*s_IFCO_res_adj*s_CF_corn*0.001*(s_Irr!K23+s_Irr!AI23+s_Irr!BG23),".")</f>
        <v>167.38823356477062</v>
      </c>
      <c r="AL23" s="93">
        <f>IFERROR(s_C*s_IFCU_res_adj*s_CF_cucumber*0.001*(s_Irr!L23+s_Irr!AJ23+s_Irr!BH23),".")</f>
        <v>207.27740402971904</v>
      </c>
      <c r="AM23" s="93">
        <f>IFERROR(s_C*s_IFLE_res_adj*s_CF_lettuce*0.001*(s_Irr!M23+s_Irr!AK23+s_Irr!BI23),".")</f>
        <v>409.45539131781368</v>
      </c>
      <c r="AN23" s="93">
        <f>IFERROR(s_C*s_IFLI_res_adj*s_CF_lima_bean*0.001*(s_Irr!N23+s_Irr!AL23+s_Irr!BJ23),".")</f>
        <v>199.08099913966115</v>
      </c>
      <c r="AO23" s="93">
        <f>IFERROR(s_C*s_IFOK_res_adj*s_CF_okra*0.001*(s_Irr!O23+s_Irr!AM23+s_Irr!BK23),".")</f>
        <v>207.27740402971904</v>
      </c>
      <c r="AP23" s="93">
        <f>IFERROR(s_C*s_IFON_res_adj*s_CF_onion*0.001*(s_Irr!P23+s_Irr!AN23+s_Irr!BL23),".")</f>
        <v>207.27740402971904</v>
      </c>
      <c r="AQ23" s="93">
        <f>IFERROR(s_C*s_IFPC_res_adj*s_CF_peach*0.001*(s_Irr!Q23+s_Irr!AO23+s_Irr!BM23),".")</f>
        <v>188.15245928625063</v>
      </c>
      <c r="AR23" s="93">
        <f>IFERROR(s_C*s_IFPR_res_adj*s_CF_pear*0.001*(s_Irr!R23+s_Irr!AP23+s_Irr!BN23),".")</f>
        <v>188.15245928625063</v>
      </c>
      <c r="AS23" s="93">
        <f>IFERROR(s_C*s_IFPE_res_adj*s_CF_peas*0.001*(s_Irr!S23+s_Irr!AQ23+s_Irr!BO23),".")</f>
        <v>199.08099913966115</v>
      </c>
      <c r="AT23" s="93">
        <f>IFERROR(s_C*s_IFPT_res_adj*s_CF_potato*0.001*(s_Irr!T23+s_Irr!AR23+s_Irr!BP23),".")</f>
        <v>190.88459424960325</v>
      </c>
      <c r="AU23" s="93">
        <f>IFERROR(s_C*s_IFPU_res_adj*s_CF_pumpkin*0.001*(s_Irr!U23+s_Irr!AS23+s_Irr!BQ23),".")</f>
        <v>207.27740402971904</v>
      </c>
      <c r="AV23" s="93">
        <f>IFERROR(s_C*s_IFSN_res_adj*s_CF_snap_bean*0.001*(s_Irr!V23+s_Irr!AT23+s_Irr!BR23),".")</f>
        <v>199.08099913966115</v>
      </c>
      <c r="AW23" s="93">
        <f>IFERROR(s_C*s_IFST_res_adj*s_CF_strawberry*0.001*(s_Irr!W23+s_Irr!AU23+s_Irr!BS23),".")</f>
        <v>188.15245928625063</v>
      </c>
      <c r="AX23" s="93">
        <f>IFERROR(s_C*s_IFTO_res_adj*s_CF_tomato*0.001*(s_Irr!X23+s_Irr!AV23+s_Irr!BT23),".")</f>
        <v>207.27740402971904</v>
      </c>
      <c r="AY23" s="93">
        <f>IFERROR(s_C*s_IFRI_res_adj*s_CF_rice*0.001*(s_Irr!Y23+s_Irr!AW23+s_Irr!BU23),".")</f>
        <v>163.20806707084111</v>
      </c>
      <c r="AZ23" s="93">
        <f>IFERROR(s_C*s_IFCG_res_adj*s_CF_cereal*0.001*(s_Irr!Z23+s_Irr!AX23+s_Irr!BV23),".")</f>
        <v>207.27740402971904</v>
      </c>
      <c r="BA23" s="76">
        <f t="shared" si="26"/>
        <v>10.042370864491518</v>
      </c>
      <c r="BB23" s="76">
        <f>IFERROR(IF(AND(s_Irr!C23&lt;&gt;".",s_Irr!AA23&lt;&gt;".",s_Irr!AY23&lt;&gt;"."),s_dir!AC23/((1/1000)*(s_Irr!C23+s_Irr!AA23+s_Irr!AY23)),IF(AND(s_Irr!C23&lt;&gt;".",s_Irr!AA23&lt;&gt;".",s_Irr!AY23="."),s_dir!AC23/((1/1000)*(s_Irr!C23+s_Irr!AA23)),IF(AND(s_Irr!C23&lt;&gt;".",s_Irr!AA23=".",s_Irr!AY23&lt;&gt;"."),s_dir!AC23/((1/1000)*(s_Irr!C23+s_Irr!AY23)),IF(AND(s_Irr!C23=".",s_Irr!AA23&lt;&gt;".",s_Irr!AY23&lt;&gt;"."),s_dir!AC23/((1/1000)*(s_Irr!AA23+s_Irr!AY23)),IF(AND(s_Irr!C23=".",s_Irr!AA23=".",s_Irr!AY23&lt;&gt;"."),s_dir!AC23/((1/1000)*(s_Irr!AY23)),IF(AND(s_Irr!C23=".",s_Irr!AA23&lt;&gt;".",s_Irr!AY23="."),s_dir!AC23/((1/1000)*(s_Irr!AA23)),IF(AND(s_Irr!C23&lt;&gt;".",s_Irr!AA23=".",s_Irr!AY23="."),s_dir!AC23/((1/1000)*(s_Irr!C23)),IF(AND(s_Irr!C23=".",s_Irr!AA23=".",s_Irr!AY23="."),s_dir!AC23*1000)))))))),".")</f>
        <v>51.670609062858908</v>
      </c>
      <c r="BC23" s="76">
        <f>IFERROR(IF(AND(s_Irr!D23&lt;&gt;".",s_Irr!AB23&lt;&gt;".",s_Irr!AZ23&lt;&gt;"."),s_dir!AD23/((1/1000)*(s_Irr!D23+s_Irr!AB23+s_Irr!AZ23)),IF(AND(s_Irr!D23&lt;&gt;".",s_Irr!AB23&lt;&gt;".",s_Irr!AZ23="."),s_dir!AD23/((1/1000)*(s_Irr!D23+s_Irr!AB23)),IF(AND(s_Irr!D23&lt;&gt;".",s_Irr!AB23=".",s_Irr!AZ23&lt;&gt;"."),s_dir!AD23/((1/1000)*(s_Irr!D23+s_Irr!AZ23)),IF(AND(s_Irr!D23=".",s_Irr!AB23&lt;&gt;".",s_Irr!AZ23&lt;&gt;"."),s_dir!AD23/((1/1000)*(s_Irr!AB23+s_Irr!AZ23)),IF(AND(s_Irr!D23=".",s_Irr!AB23=".",s_Irr!AZ23&lt;&gt;"."),s_dir!AD23/((1/1000)*(s_Irr!AZ23)),IF(AND(s_Irr!D23=".",s_Irr!AB23&lt;&gt;".",s_Irr!AZ23="."),s_dir!AD23/((1/1000)*(s_Irr!AB23)),IF(AND(s_Irr!D23&lt;&gt;".",s_Irr!AB23=".",s_Irr!AZ23="."),s_dir!AD23/((1/1000)*(s_Irr!D23)),IF(AND(s_Irr!D23=".",s_Irr!AB23=".",s_Irr!AZ23="."),s_dir!AD23*1000)))))))),".")</f>
        <v>23.743617434626199</v>
      </c>
      <c r="BD23" s="76">
        <f>IFERROR(IF(AND(s_Irr!E23&lt;&gt;".",s_Irr!AC23&lt;&gt;".",s_Irr!BA23&lt;&gt;"."),s_dir!AE23/((1/1000)*(s_Irr!E23+s_Irr!AC23+s_Irr!BA23)),IF(AND(s_Irr!E23&lt;&gt;".",s_Irr!AC23&lt;&gt;".",s_Irr!BA23="."),s_dir!AE23/((1/1000)*(s_Irr!E23+s_Irr!AC23)),IF(AND(s_Irr!E23&lt;&gt;".",s_Irr!AC23=".",s_Irr!BA23&lt;&gt;"."),s_dir!AE23/((1/1000)*(s_Irr!E23+s_Irr!BA23)),IF(AND(s_Irr!E23=".",s_Irr!AC23&lt;&gt;".",s_Irr!BA23&lt;&gt;"."),s_dir!AE23/((1/1000)*(s_Irr!AC23+s_Irr!BA23)),IF(AND(s_Irr!E23=".",s_Irr!AC23=".",s_Irr!BA23&lt;&gt;"."),s_dir!AE23/((1/1000)*(s_Irr!BA23)),IF(AND(s_Irr!E23=".",s_Irr!AC23&lt;&gt;".",s_Irr!BA23="."),s_dir!AE23/((1/1000)*(s_Irr!AC23)),IF(AND(s_Irr!E23&lt;&gt;".",s_Irr!AC23=".",s_Irr!BA23="."),s_dir!AE23/((1/1000)*(s_Irr!E23)),IF(AND(s_Irr!E23=".",s_Irr!AC23=".",s_Irr!BA23="."),s_dir!AE23*1000)))))))),".")</f>
        <v>27.612862943697667</v>
      </c>
      <c r="BE23" s="76">
        <f>IFERROR(IF(AND(s_Irr!F23&lt;&gt;".",s_Irr!AD23&lt;&gt;".",s_Irr!BB23&lt;&gt;"."),s_dir!AF23/((1/1000)*(s_Irr!F23+s_Irr!AD23+s_Irr!BB23)),IF(AND(s_Irr!F23&lt;&gt;".",s_Irr!AD23&lt;&gt;".",s_Irr!BB23="."),s_dir!AF23/((1/1000)*(s_Irr!F23+s_Irr!AD23)),IF(AND(s_Irr!F23&lt;&gt;".",s_Irr!AD23=".",s_Irr!BB23&lt;&gt;"."),s_dir!AF23/((1/1000)*(s_Irr!F23+s_Irr!BB23)),IF(AND(s_Irr!F23=".",s_Irr!AD23&lt;&gt;".",s_Irr!BB23&lt;&gt;"."),s_dir!AF23/((1/1000)*(s_Irr!AD23+s_Irr!BB23)),IF(AND(s_Irr!F23=".",s_Irr!AD23=".",s_Irr!BB23&lt;&gt;"."),s_dir!AF23/((1/1000)*(s_Irr!BB23)),IF(AND(s_Irr!F23=".",s_Irr!AD23&lt;&gt;".",s_Irr!BB23="."),s_dir!AF23/((1/1000)*(s_Irr!AD23)),IF(AND(s_Irr!F23&lt;&gt;".",s_Irr!AD23=".",s_Irr!BB23="."),s_dir!AF23/((1/1000)*(s_Irr!F23)),IF(AND(s_Irr!F23=".",s_Irr!AD23=".",s_Irr!BB23="."),s_dir!AF23*1000)))))))),".")</f>
        <v>51.670609062858908</v>
      </c>
      <c r="BF23" s="76">
        <f>IFERROR(IF(AND(s_Irr!G23&lt;&gt;".",s_Irr!AE23&lt;&gt;".",s_Irr!BC23&lt;&gt;"."),s_dir!AG23/((1/1000)*(s_Irr!G23+s_Irr!AE23+s_Irr!BC23)),IF(AND(s_Irr!G23&lt;&gt;".",s_Irr!AE23&lt;&gt;".",s_Irr!BC23="."),s_dir!AG23/((1/1000)*(s_Irr!G23+s_Irr!AE23)),IF(AND(s_Irr!G23&lt;&gt;".",s_Irr!AE23=".",s_Irr!BC23&lt;&gt;"."),s_dir!AG23/((1/1000)*(s_Irr!G23+s_Irr!BC23)),IF(AND(s_Irr!G23=".",s_Irr!AE23&lt;&gt;".",s_Irr!BC23&lt;&gt;"."),s_dir!AG23/((1/1000)*(s_Irr!AE23+s_Irr!BC23)),IF(AND(s_Irr!G23=".",s_Irr!AE23=".",s_Irr!BC23&lt;&gt;"."),s_dir!AG23/((1/1000)*(s_Irr!BC23)),IF(AND(s_Irr!G23=".",s_Irr!AE23&lt;&gt;".",s_Irr!BC23="."),s_dir!AG23/((1/1000)*(s_Irr!AE23)),IF(AND(s_Irr!G23&lt;&gt;".",s_Irr!AE23=".",s_Irr!BC23="."),s_dir!AG23/((1/1000)*(s_Irr!G23)),IF(AND(s_Irr!G23=".",s_Irr!AE23=".",s_Irr!BC23="."),s_dir!AG23*1000)))))))),".")</f>
        <v>46.903096907762404</v>
      </c>
      <c r="BG23" s="76">
        <f>IFERROR(IF(AND(s_Irr!H23&lt;&gt;".",s_Irr!AF23&lt;&gt;".",s_Irr!BD23&lt;&gt;"."),s_dir!AH23/((1/1000)*(s_Irr!H23+s_Irr!AF23+s_Irr!BD23)),IF(AND(s_Irr!H23&lt;&gt;".",s_Irr!AF23&lt;&gt;".",s_Irr!BD23="."),s_dir!AH23/((1/1000)*(s_Irr!H23+s_Irr!AF23)),IF(AND(s_Irr!H23&lt;&gt;".",s_Irr!AF23=".",s_Irr!BD23&lt;&gt;"."),s_dir!AH23/((1/1000)*(s_Irr!H23+s_Irr!BD23)),IF(AND(s_Irr!H23=".",s_Irr!AF23&lt;&gt;".",s_Irr!BD23&lt;&gt;"."),s_dir!AH23/((1/1000)*(s_Irr!AF23+s_Irr!BD23)),IF(AND(s_Irr!H23=".",s_Irr!AF23=".",s_Irr!BD23&lt;&gt;"."),s_dir!AH23/((1/1000)*(s_Irr!BD23)),IF(AND(s_Irr!H23=".",s_Irr!AF23&lt;&gt;".",s_Irr!BD23="."),s_dir!AH23/((1/1000)*(s_Irr!AF23)),IF(AND(s_Irr!H23&lt;&gt;".",s_Irr!AF23=".",s_Irr!BD23="."),s_dir!AH23/((1/1000)*(s_Irr!H23)),IF(AND(s_Irr!H23=".",s_Irr!AF23=".",s_Irr!BD23="."),s_dir!AH23*1000)))))))),".")</f>
        <v>23.743617434626199</v>
      </c>
      <c r="BH23" s="76">
        <f>IFERROR(IF(AND(s_Irr!I23&lt;&gt;".",s_Irr!AG23&lt;&gt;".",s_Irr!BE23&lt;&gt;"."),s_dir!AI23/((1/1000)*(s_Irr!I23+s_Irr!AG23+s_Irr!BE23)),IF(AND(s_Irr!I23&lt;&gt;".",s_Irr!AG23&lt;&gt;".",s_Irr!BE23="."),s_dir!AI23/((1/1000)*(s_Irr!I23+s_Irr!AG23)),IF(AND(s_Irr!I23&lt;&gt;".",s_Irr!AG23=".",s_Irr!BE23&lt;&gt;"."),s_dir!AI23/((1/1000)*(s_Irr!I23+s_Irr!BE23)),IF(AND(s_Irr!I23=".",s_Irr!AG23&lt;&gt;".",s_Irr!BE23&lt;&gt;"."),s_dir!AI23/((1/1000)*(s_Irr!AG23+s_Irr!BE23)),IF(AND(s_Irr!I23=".",s_Irr!AG23=".",s_Irr!BE23&lt;&gt;"."),s_dir!AI23/((1/1000)*(s_Irr!BE23)),IF(AND(s_Irr!I23=".",s_Irr!AG23&lt;&gt;".",s_Irr!BE23="."),s_dir!AI23/((1/1000)*(s_Irr!AG23)),IF(AND(s_Irr!I23&lt;&gt;".",s_Irr!AG23=".",s_Irr!BE23="."),s_dir!AI23/((1/1000)*(s_Irr!I23)),IF(AND(s_Irr!I23=".",s_Irr!AG23=".",s_Irr!BE23="."),s_dir!AI23*1000)))))))),".")</f>
        <v>27.612862943697667</v>
      </c>
      <c r="BI23" s="76">
        <f>IFERROR(IF(AND(s_Irr!J23&lt;&gt;".",s_Irr!AH23&lt;&gt;".",s_Irr!BF23&lt;&gt;"."),s_dir!AJ23/((1/1000)*(s_Irr!J23+s_Irr!AH23+s_Irr!BF23)),IF(AND(s_Irr!J23&lt;&gt;".",s_Irr!AH23&lt;&gt;".",s_Irr!BF23="."),s_dir!AJ23/((1/1000)*(s_Irr!J23+s_Irr!AH23)),IF(AND(s_Irr!J23&lt;&gt;".",s_Irr!AH23=".",s_Irr!BF23&lt;&gt;"."),s_dir!AJ23/((1/1000)*(s_Irr!J23+s_Irr!BF23)),IF(AND(s_Irr!J23=".",s_Irr!AH23&lt;&gt;".",s_Irr!BF23&lt;&gt;"."),s_dir!AJ23/((1/1000)*(s_Irr!AH23+s_Irr!BF23)),IF(AND(s_Irr!J23=".",s_Irr!AH23=".",s_Irr!BF23&lt;&gt;"."),s_dir!AJ23/((1/1000)*(s_Irr!BF23)),IF(AND(s_Irr!J23=".",s_Irr!AH23&lt;&gt;".",s_Irr!BF23="."),s_dir!AJ23/((1/1000)*(s_Irr!AH23)),IF(AND(s_Irr!J23&lt;&gt;".",s_Irr!AH23=".",s_Irr!BF23="."),s_dir!AJ23/((1/1000)*(s_Irr!J23)),IF(AND(s_Irr!J23=".",s_Irr!AH23=".",s_Irr!BF23="."),s_dir!AJ23*1000)))))))),".")</f>
        <v>51.670609062858908</v>
      </c>
      <c r="BJ23" s="76">
        <f>IFERROR(IF(AND(s_Irr!K23&lt;&gt;".",s_Irr!AI23&lt;&gt;".",s_Irr!BG23&lt;&gt;"."),s_dir!AK23/((1/1000)*(s_Irr!K23+s_Irr!AI23+s_Irr!BG23)),IF(AND(s_Irr!K23&lt;&gt;".",s_Irr!AI23&lt;&gt;".",s_Irr!BG23="."),s_dir!AK23/((1/1000)*(s_Irr!K23+s_Irr!AI23)),IF(AND(s_Irr!K23&lt;&gt;".",s_Irr!AI23=".",s_Irr!BG23&lt;&gt;"."),s_dir!AK23/((1/1000)*(s_Irr!K23+s_Irr!BG23)),IF(AND(s_Irr!K23=".",s_Irr!AI23&lt;&gt;".",s_Irr!BG23&lt;&gt;"."),s_dir!AK23/((1/1000)*(s_Irr!AI23+s_Irr!BG23)),IF(AND(s_Irr!K23=".",s_Irr!AI23=".",s_Irr!BG23&lt;&gt;"."),s_dir!AK23/((1/1000)*(s_Irr!BG23)),IF(AND(s_Irr!K23=".",s_Irr!AI23&lt;&gt;".",s_Irr!BG23="."),s_dir!AK23/((1/1000)*(s_Irr!AI23)),IF(AND(s_Irr!K23&lt;&gt;".",s_Irr!AI23=".",s_Irr!BG23="."),s_dir!AK23/((1/1000)*(s_Irr!K23)),IF(AND(s_Irr!K23=".",s_Irr!AI23=".",s_Irr!BG23="."),s_dir!AK23*1000)))))))),".")</f>
        <v>58.080260248600084</v>
      </c>
      <c r="BK23" s="76">
        <f>IFERROR(IF(AND(s_Irr!L23&lt;&gt;".",s_Irr!AJ23&lt;&gt;".",s_Irr!BH23&lt;&gt;"."),s_dir!AL23/((1/1000)*(s_Irr!L23+s_Irr!AJ23+s_Irr!BH23)),IF(AND(s_Irr!L23&lt;&gt;".",s_Irr!AJ23&lt;&gt;".",s_Irr!BH23="."),s_dir!AL23/((1/1000)*(s_Irr!L23+s_Irr!AJ23)),IF(AND(s_Irr!L23&lt;&gt;".",s_Irr!AJ23=".",s_Irr!BH23&lt;&gt;"."),s_dir!AL23/((1/1000)*(s_Irr!L23+s_Irr!BH23)),IF(AND(s_Irr!L23=".",s_Irr!AJ23&lt;&gt;".",s_Irr!BH23&lt;&gt;"."),s_dir!AL23/((1/1000)*(s_Irr!AJ23+s_Irr!BH23)),IF(AND(s_Irr!L23=".",s_Irr!AJ23=".",s_Irr!BH23&lt;&gt;"."),s_dir!AL23/((1/1000)*(s_Irr!BH23)),IF(AND(s_Irr!L23=".",s_Irr!AJ23&lt;&gt;".",s_Irr!BH23="."),s_dir!AL23/((1/1000)*(s_Irr!AJ23)),IF(AND(s_Irr!L23&lt;&gt;".",s_Irr!AJ23=".",s_Irr!BH23="."),s_dir!AL23/((1/1000)*(s_Irr!L23)),IF(AND(s_Irr!L23=".",s_Irr!AJ23=".",s_Irr!BH23="."),s_dir!AL23*1000)))))))),".")</f>
        <v>46.903096907762404</v>
      </c>
      <c r="BL23" s="76">
        <f>IFERROR(IF(AND(s_Irr!M23&lt;&gt;".",s_Irr!AK23&lt;&gt;".",s_Irr!BI23&lt;&gt;"."),s_dir!AM23/((1/1000)*(s_Irr!M23+s_Irr!AK23+s_Irr!BI23)),IF(AND(s_Irr!M23&lt;&gt;".",s_Irr!AK23&lt;&gt;".",s_Irr!BI23="."),s_dir!AM23/((1/1000)*(s_Irr!M23+s_Irr!AK23)),IF(AND(s_Irr!M23&lt;&gt;".",s_Irr!AK23=".",s_Irr!BI23&lt;&gt;"."),s_dir!AM23/((1/1000)*(s_Irr!M23+s_Irr!BI23)),IF(AND(s_Irr!M23=".",s_Irr!AK23&lt;&gt;".",s_Irr!BI23&lt;&gt;"."),s_dir!AM23/((1/1000)*(s_Irr!AK23+s_Irr!BI23)),IF(AND(s_Irr!M23=".",s_Irr!AK23=".",s_Irr!BI23&lt;&gt;"."),s_dir!AM23/((1/1000)*(s_Irr!BI23)),IF(AND(s_Irr!M23=".",s_Irr!AK23&lt;&gt;".",s_Irr!BI23="."),s_dir!AM23/((1/1000)*(s_Irr!AK23)),IF(AND(s_Irr!M23&lt;&gt;".",s_Irr!AK23=".",s_Irr!BI23="."),s_dir!AM23/((1/1000)*(s_Irr!M23)),IF(AND(s_Irr!M23=".",s_Irr!AK23=".",s_Irr!BI23="."),s_dir!AM23*1000)))))))),".")</f>
        <v>23.743617434626199</v>
      </c>
      <c r="BM23" s="76">
        <f>IFERROR(IF(AND(s_Irr!N23&lt;&gt;".",s_Irr!AL23&lt;&gt;".",s_Irr!BJ23&lt;&gt;"."),s_dir!AN23/((1/1000)*(s_Irr!N23+s_Irr!AL23+s_Irr!BJ23)),IF(AND(s_Irr!N23&lt;&gt;".",s_Irr!AL23&lt;&gt;".",s_Irr!BJ23="."),s_dir!AN23/((1/1000)*(s_Irr!N23+s_Irr!AL23)),IF(AND(s_Irr!N23&lt;&gt;".",s_Irr!AL23=".",s_Irr!BJ23&lt;&gt;"."),s_dir!AN23/((1/1000)*(s_Irr!N23+s_Irr!BJ23)),IF(AND(s_Irr!N23=".",s_Irr!AL23&lt;&gt;".",s_Irr!BJ23&lt;&gt;"."),s_dir!AN23/((1/1000)*(s_Irr!AL23+s_Irr!BJ23)),IF(AND(s_Irr!N23=".",s_Irr!AL23=".",s_Irr!BJ23&lt;&gt;"."),s_dir!AN23/((1/1000)*(s_Irr!BJ23)),IF(AND(s_Irr!N23=".",s_Irr!AL23&lt;&gt;".",s_Irr!BJ23="."),s_dir!AN23/((1/1000)*(s_Irr!AL23)),IF(AND(s_Irr!N23&lt;&gt;".",s_Irr!AL23=".",s_Irr!BJ23="."),s_dir!AN23/((1/1000)*(s_Irr!N23)),IF(AND(s_Irr!N23=".",s_Irr!AL23=".",s_Irr!BJ23="."),s_dir!AN23*1000)))))))),".")</f>
        <v>48.834153987619381</v>
      </c>
      <c r="BN23" s="76">
        <f>IFERROR(IF(AND(s_Irr!O23&lt;&gt;".",s_Irr!AM23&lt;&gt;".",s_Irr!BK23&lt;&gt;"."),s_dir!AO23/((1/1000)*(s_Irr!O23+s_Irr!AM23+s_Irr!BK23)),IF(AND(s_Irr!O23&lt;&gt;".",s_Irr!AM23&lt;&gt;".",s_Irr!BK23="."),s_dir!AO23/((1/1000)*(s_Irr!O23+s_Irr!AM23)),IF(AND(s_Irr!O23&lt;&gt;".",s_Irr!AM23=".",s_Irr!BK23&lt;&gt;"."),s_dir!AO23/((1/1000)*(s_Irr!O23+s_Irr!BK23)),IF(AND(s_Irr!O23=".",s_Irr!AM23&lt;&gt;".",s_Irr!BK23&lt;&gt;"."),s_dir!AO23/((1/1000)*(s_Irr!AM23+s_Irr!BK23)),IF(AND(s_Irr!O23=".",s_Irr!AM23=".",s_Irr!BK23&lt;&gt;"."),s_dir!AO23/((1/1000)*(s_Irr!BK23)),IF(AND(s_Irr!O23=".",s_Irr!AM23&lt;&gt;".",s_Irr!BK23="."),s_dir!AO23/((1/1000)*(s_Irr!AM23)),IF(AND(s_Irr!O23&lt;&gt;".",s_Irr!AM23=".",s_Irr!BK23="."),s_dir!AO23/((1/1000)*(s_Irr!O23)),IF(AND(s_Irr!O23=".",s_Irr!AM23=".",s_Irr!BK23="."),s_dir!AO23*1000)))))))),".")</f>
        <v>46.903096907762404</v>
      </c>
      <c r="BO23" s="76">
        <f>IFERROR(IF(AND(s_Irr!P23&lt;&gt;".",s_Irr!AN23&lt;&gt;".",s_Irr!BL23&lt;&gt;"."),s_dir!AP23/((1/1000)*(s_Irr!P23+s_Irr!AN23+s_Irr!BL23)),IF(AND(s_Irr!P23&lt;&gt;".",s_Irr!AN23&lt;&gt;".",s_Irr!BL23="."),s_dir!AP23/((1/1000)*(s_Irr!P23+s_Irr!AN23)),IF(AND(s_Irr!P23&lt;&gt;".",s_Irr!AN23=".",s_Irr!BL23&lt;&gt;"."),s_dir!AP23/((1/1000)*(s_Irr!P23+s_Irr!BL23)),IF(AND(s_Irr!P23=".",s_Irr!AN23&lt;&gt;".",s_Irr!BL23&lt;&gt;"."),s_dir!AP23/((1/1000)*(s_Irr!AN23+s_Irr!BL23)),IF(AND(s_Irr!P23=".",s_Irr!AN23=".",s_Irr!BL23&lt;&gt;"."),s_dir!AP23/((1/1000)*(s_Irr!BL23)),IF(AND(s_Irr!P23=".",s_Irr!AN23&lt;&gt;".",s_Irr!BL23="."),s_dir!AP23/((1/1000)*(s_Irr!AN23)),IF(AND(s_Irr!P23&lt;&gt;".",s_Irr!AN23=".",s_Irr!BL23="."),s_dir!AP23/((1/1000)*(s_Irr!P23)),IF(AND(s_Irr!P23=".",s_Irr!AN23=".",s_Irr!BL23="."),s_dir!AP23*1000)))))))),".")</f>
        <v>46.903096907762404</v>
      </c>
      <c r="BP23" s="76">
        <f>IFERROR(IF(AND(s_Irr!Q23&lt;&gt;".",s_Irr!AO23&lt;&gt;".",s_Irr!BM23&lt;&gt;"."),s_dir!AQ23/((1/1000)*(s_Irr!Q23+s_Irr!AO23+s_Irr!BM23)),IF(AND(s_Irr!Q23&lt;&gt;".",s_Irr!AO23&lt;&gt;".",s_Irr!BM23="."),s_dir!AQ23/((1/1000)*(s_Irr!Q23+s_Irr!AO23)),IF(AND(s_Irr!Q23&lt;&gt;".",s_Irr!AO23=".",s_Irr!BM23&lt;&gt;"."),s_dir!AQ23/((1/1000)*(s_Irr!Q23+s_Irr!BM23)),IF(AND(s_Irr!Q23=".",s_Irr!AO23&lt;&gt;".",s_Irr!BM23&lt;&gt;"."),s_dir!AQ23/((1/1000)*(s_Irr!AO23+s_Irr!BM23)),IF(AND(s_Irr!Q23=".",s_Irr!AO23=".",s_Irr!BM23&lt;&gt;"."),s_dir!AQ23/((1/1000)*(s_Irr!BM23)),IF(AND(s_Irr!Q23=".",s_Irr!AO23&lt;&gt;".",s_Irr!BM23="."),s_dir!AQ23/((1/1000)*(s_Irr!AO23)),IF(AND(s_Irr!Q23&lt;&gt;".",s_Irr!AO23=".",s_Irr!BM23="."),s_dir!AQ23/((1/1000)*(s_Irr!Q23)),IF(AND(s_Irr!Q23=".",s_Irr!AO23=".",s_Irr!BM23="."),s_dir!AQ23*1000)))))))),".")</f>
        <v>51.670609062858908</v>
      </c>
      <c r="BQ23" s="76">
        <f>IFERROR(IF(AND(s_Irr!R23&lt;&gt;".",s_Irr!AP23&lt;&gt;".",s_Irr!BN23&lt;&gt;"."),s_dir!AR23/((1/1000)*(s_Irr!R23+s_Irr!AP23+s_Irr!BN23)),IF(AND(s_Irr!R23&lt;&gt;".",s_Irr!AP23&lt;&gt;".",s_Irr!BN23="."),s_dir!AR23/((1/1000)*(s_Irr!R23+s_Irr!AP23)),IF(AND(s_Irr!R23&lt;&gt;".",s_Irr!AP23=".",s_Irr!BN23&lt;&gt;"."),s_dir!AR23/((1/1000)*(s_Irr!R23+s_Irr!BN23)),IF(AND(s_Irr!R23=".",s_Irr!AP23&lt;&gt;".",s_Irr!BN23&lt;&gt;"."),s_dir!AR23/((1/1000)*(s_Irr!AP23+s_Irr!BN23)),IF(AND(s_Irr!R23=".",s_Irr!AP23=".",s_Irr!BN23&lt;&gt;"."),s_dir!AR23/((1/1000)*(s_Irr!BN23)),IF(AND(s_Irr!R23=".",s_Irr!AP23&lt;&gt;".",s_Irr!BN23="."),s_dir!AR23/((1/1000)*(s_Irr!AP23)),IF(AND(s_Irr!R23&lt;&gt;".",s_Irr!AP23=".",s_Irr!BN23="."),s_dir!AR23/((1/1000)*(s_Irr!R23)),IF(AND(s_Irr!R23=".",s_Irr!AP23=".",s_Irr!BN23="."),s_dir!AR23*1000)))))))),".")</f>
        <v>51.670609062858908</v>
      </c>
      <c r="BR23" s="76">
        <f>IFERROR(IF(AND(s_Irr!S23&lt;&gt;".",s_Irr!AQ23&lt;&gt;".",s_Irr!BO23&lt;&gt;"."),s_dir!AS23/((1/1000)*(s_Irr!S23+s_Irr!AQ23+s_Irr!BO23)),IF(AND(s_Irr!S23&lt;&gt;".",s_Irr!AQ23&lt;&gt;".",s_Irr!BO23="."),s_dir!AS23/((1/1000)*(s_Irr!S23+s_Irr!AQ23)),IF(AND(s_Irr!S23&lt;&gt;".",s_Irr!AQ23=".",s_Irr!BO23&lt;&gt;"."),s_dir!AS23/((1/1000)*(s_Irr!S23+s_Irr!BO23)),IF(AND(s_Irr!S23=".",s_Irr!AQ23&lt;&gt;".",s_Irr!BO23&lt;&gt;"."),s_dir!AS23/((1/1000)*(s_Irr!AQ23+s_Irr!BO23)),IF(AND(s_Irr!S23=".",s_Irr!AQ23=".",s_Irr!BO23&lt;&gt;"."),s_dir!AS23/((1/1000)*(s_Irr!BO23)),IF(AND(s_Irr!S23=".",s_Irr!AQ23&lt;&gt;".",s_Irr!BO23="."),s_dir!AS23/((1/1000)*(s_Irr!AQ23)),IF(AND(s_Irr!S23&lt;&gt;".",s_Irr!AQ23=".",s_Irr!BO23="."),s_dir!AS23/((1/1000)*(s_Irr!S23)),IF(AND(s_Irr!S23=".",s_Irr!AQ23=".",s_Irr!BO23="."),s_dir!AS23*1000)))))))),".")</f>
        <v>48.834153987619381</v>
      </c>
      <c r="BS23" s="76">
        <f>IFERROR(IF(AND(s_Irr!T23&lt;&gt;".",s_Irr!AR23&lt;&gt;".",s_Irr!BP23&lt;&gt;"."),s_dir!AT23/((1/1000)*(s_Irr!T23+s_Irr!AR23+s_Irr!BP23)),IF(AND(s_Irr!T23&lt;&gt;".",s_Irr!AR23&lt;&gt;".",s_Irr!BP23="."),s_dir!AT23/((1/1000)*(s_Irr!T23+s_Irr!AR23)),IF(AND(s_Irr!T23&lt;&gt;".",s_Irr!AR23=".",s_Irr!BP23&lt;&gt;"."),s_dir!AT23/((1/1000)*(s_Irr!T23+s_Irr!BP23)),IF(AND(s_Irr!T23=".",s_Irr!AR23&lt;&gt;".",s_Irr!BP23&lt;&gt;"."),s_dir!AT23/((1/1000)*(s_Irr!AR23+s_Irr!BP23)),IF(AND(s_Irr!T23=".",s_Irr!AR23=".",s_Irr!BP23&lt;&gt;"."),s_dir!AT23/((1/1000)*(s_Irr!BP23)),IF(AND(s_Irr!T23=".",s_Irr!AR23&lt;&gt;".",s_Irr!BP23="."),s_dir!AT23/((1/1000)*(s_Irr!AR23)),IF(AND(s_Irr!T23&lt;&gt;".",s_Irr!AR23=".",s_Irr!BP23="."),s_dir!AT23/((1/1000)*(s_Irr!T23)),IF(AND(s_Irr!T23=".",s_Irr!AR23=".",s_Irr!BP23="."),s_dir!AT23*1000)))))))),".")</f>
        <v>50.931046615960938</v>
      </c>
      <c r="BT23" s="76">
        <f>IFERROR(IF(AND(s_Irr!U23&lt;&gt;".",s_Irr!AS23&lt;&gt;".",s_Irr!BQ23&lt;&gt;"."),s_dir!AU23/((1/1000)*(s_Irr!U23+s_Irr!AS23+s_Irr!BQ23)),IF(AND(s_Irr!U23&lt;&gt;".",s_Irr!AS23&lt;&gt;".",s_Irr!BQ23="."),s_dir!AU23/((1/1000)*(s_Irr!U23+s_Irr!AS23)),IF(AND(s_Irr!U23&lt;&gt;".",s_Irr!AS23=".",s_Irr!BQ23&lt;&gt;"."),s_dir!AU23/((1/1000)*(s_Irr!U23+s_Irr!BQ23)),IF(AND(s_Irr!U23=".",s_Irr!AS23&lt;&gt;".",s_Irr!BQ23&lt;&gt;"."),s_dir!AU23/((1/1000)*(s_Irr!AS23+s_Irr!BQ23)),IF(AND(s_Irr!U23=".",s_Irr!AS23=".",s_Irr!BQ23&lt;&gt;"."),s_dir!AU23/((1/1000)*(s_Irr!BQ23)),IF(AND(s_Irr!U23=".",s_Irr!AS23&lt;&gt;".",s_Irr!BQ23="."),s_dir!AU23/((1/1000)*(s_Irr!AS23)),IF(AND(s_Irr!U23&lt;&gt;".",s_Irr!AS23=".",s_Irr!BQ23="."),s_dir!AU23/((1/1000)*(s_Irr!U23)),IF(AND(s_Irr!U23=".",s_Irr!AS23=".",s_Irr!BQ23="."),s_dir!AU23*1000)))))))),".")</f>
        <v>46.903096907762404</v>
      </c>
      <c r="BU23" s="76">
        <f>IFERROR(IF(AND(s_Irr!V23&lt;&gt;".",s_Irr!AT23&lt;&gt;".",s_Irr!BR23&lt;&gt;"."),s_dir!AV23/((1/1000)*(s_Irr!V23+s_Irr!AT23+s_Irr!BR23)),IF(AND(s_Irr!V23&lt;&gt;".",s_Irr!AT23&lt;&gt;".",s_Irr!BR23="."),s_dir!AV23/((1/1000)*(s_Irr!V23+s_Irr!AT23)),IF(AND(s_Irr!V23&lt;&gt;".",s_Irr!AT23=".",s_Irr!BR23&lt;&gt;"."),s_dir!AV23/((1/1000)*(s_Irr!V23+s_Irr!BR23)),IF(AND(s_Irr!V23=".",s_Irr!AT23&lt;&gt;".",s_Irr!BR23&lt;&gt;"."),s_dir!AV23/((1/1000)*(s_Irr!AT23+s_Irr!BR23)),IF(AND(s_Irr!V23=".",s_Irr!AT23=".",s_Irr!BR23&lt;&gt;"."),s_dir!AV23/((1/1000)*(s_Irr!BR23)),IF(AND(s_Irr!V23=".",s_Irr!AT23&lt;&gt;".",s_Irr!BR23="."),s_dir!AV23/((1/1000)*(s_Irr!AT23)),IF(AND(s_Irr!V23&lt;&gt;".",s_Irr!AT23=".",s_Irr!BR23="."),s_dir!AV23/((1/1000)*(s_Irr!V23)),IF(AND(s_Irr!V23=".",s_Irr!AT23=".",s_Irr!BR23="."),s_dir!AV23*1000)))))))),".")</f>
        <v>48.834153987619381</v>
      </c>
      <c r="BV23" s="76">
        <f>IFERROR(IF(AND(s_Irr!W23&lt;&gt;".",s_Irr!AU23&lt;&gt;".",s_Irr!BS23&lt;&gt;"."),s_dir!AW23/((1/1000)*(s_Irr!W23+s_Irr!AU23+s_Irr!BS23)),IF(AND(s_Irr!W23&lt;&gt;".",s_Irr!AU23&lt;&gt;".",s_Irr!BS23="."),s_dir!AW23/((1/1000)*(s_Irr!W23+s_Irr!AU23)),IF(AND(s_Irr!W23&lt;&gt;".",s_Irr!AU23=".",s_Irr!BS23&lt;&gt;"."),s_dir!AW23/((1/1000)*(s_Irr!W23+s_Irr!BS23)),IF(AND(s_Irr!W23=".",s_Irr!AU23&lt;&gt;".",s_Irr!BS23&lt;&gt;"."),s_dir!AW23/((1/1000)*(s_Irr!AU23+s_Irr!BS23)),IF(AND(s_Irr!W23=".",s_Irr!AU23=".",s_Irr!BS23&lt;&gt;"."),s_dir!AW23/((1/1000)*(s_Irr!BS23)),IF(AND(s_Irr!W23=".",s_Irr!AU23&lt;&gt;".",s_Irr!BS23="."),s_dir!AW23/((1/1000)*(s_Irr!AU23)),IF(AND(s_Irr!W23&lt;&gt;".",s_Irr!AU23=".",s_Irr!BS23="."),s_dir!AW23/((1/1000)*(s_Irr!W23)),IF(AND(s_Irr!W23=".",s_Irr!AU23=".",s_Irr!BS23="."),s_dir!AW23*1000)))))))),".")</f>
        <v>51.670609062858908</v>
      </c>
      <c r="BW23" s="76">
        <f>IFERROR(IF(AND(s_Irr!X23&lt;&gt;".",s_Irr!AV23&lt;&gt;".",s_Irr!BT23&lt;&gt;"."),s_dir!AX23/((1/1000)*(s_Irr!X23+s_Irr!AV23+s_Irr!BT23)),IF(AND(s_Irr!X23&lt;&gt;".",s_Irr!AV23&lt;&gt;".",s_Irr!BT23="."),s_dir!AX23/((1/1000)*(s_Irr!X23+s_Irr!AV23)),IF(AND(s_Irr!X23&lt;&gt;".",s_Irr!AV23=".",s_Irr!BT23&lt;&gt;"."),s_dir!AX23/((1/1000)*(s_Irr!X23+s_Irr!BT23)),IF(AND(s_Irr!X23=".",s_Irr!AV23&lt;&gt;".",s_Irr!BT23&lt;&gt;"."),s_dir!AX23/((1/1000)*(s_Irr!AV23+s_Irr!BT23)),IF(AND(s_Irr!X23=".",s_Irr!AV23=".",s_Irr!BT23&lt;&gt;"."),s_dir!AX23/((1/1000)*(s_Irr!BT23)),IF(AND(s_Irr!X23=".",s_Irr!AV23&lt;&gt;".",s_Irr!BT23="."),s_dir!AX23/((1/1000)*(s_Irr!AV23)),IF(AND(s_Irr!X23&lt;&gt;".",s_Irr!AV23=".",s_Irr!BT23="."),s_dir!AX23/((1/1000)*(s_Irr!X23)),IF(AND(s_Irr!X23=".",s_Irr!AV23=".",s_Irr!BT23="."),s_dir!AX23*1000)))))))),".")</f>
        <v>46.903096907762404</v>
      </c>
      <c r="BX23" s="76">
        <f>IFERROR(IF(AND(s_Irr!Y23&lt;&gt;".",s_Irr!AW23&lt;&gt;".",s_Irr!BU23&lt;&gt;"."),s_dir!AY23/((1/1000)*(s_Irr!Y23+s_Irr!AW23+s_Irr!BU23)),IF(AND(s_Irr!Y23&lt;&gt;".",s_Irr!AW23&lt;&gt;".",s_Irr!BU23="."),s_dir!AY23/((1/1000)*(s_Irr!Y23+s_Irr!AW23)),IF(AND(s_Irr!Y23&lt;&gt;".",s_Irr!AW23=".",s_Irr!BU23&lt;&gt;"."),s_dir!AY23/((1/1000)*(s_Irr!Y23+s_Irr!BU23)),IF(AND(s_Irr!Y23=".",s_Irr!AW23&lt;&gt;".",s_Irr!BU23&lt;&gt;"."),s_dir!AY23/((1/1000)*(s_Irr!AW23+s_Irr!BU23)),IF(AND(s_Irr!Y23=".",s_Irr!AW23=".",s_Irr!BU23&lt;&gt;"."),s_dir!AY23/((1/1000)*(s_Irr!BU23)),IF(AND(s_Irr!Y23=".",s_Irr!AW23&lt;&gt;".",s_Irr!BU23="."),s_dir!AY23/((1/1000)*(s_Irr!AW23)),IF(AND(s_Irr!Y23&lt;&gt;".",s_Irr!AW23=".",s_Irr!BU23="."),s_dir!AY23/((1/1000)*(s_Irr!Y23)),IF(AND(s_Irr!Y23=".",s_Irr!AW23=".",s_Irr!BU23="."),s_dir!AY23*1000)))))))),".")</f>
        <v>59.567840870117536</v>
      </c>
      <c r="BY23" s="76">
        <f>IFERROR(IF(AND(s_Irr!Z23&lt;&gt;".",s_Irr!AX23&lt;&gt;".",s_Irr!BV23&lt;&gt;"."),s_dir!AZ23/((1/1000)*(s_Irr!Z23+s_Irr!AX23+s_Irr!BV23)),IF(AND(s_Irr!Z23&lt;&gt;".",s_Irr!AX23&lt;&gt;".",s_Irr!BV23="."),s_dir!AZ23/((1/1000)*(s_Irr!Z23+s_Irr!AX23)),IF(AND(s_Irr!Z23&lt;&gt;".",s_Irr!AX23=".",s_Irr!BV23&lt;&gt;"."),s_dir!AZ23/((1/1000)*(s_Irr!Z23+s_Irr!BV23)),IF(AND(s_Irr!Z23=".",s_Irr!AX23&lt;&gt;".",s_Irr!BV23&lt;&gt;"."),s_dir!AZ23/((1/1000)*(s_Irr!AX23+s_Irr!BV23)),IF(AND(s_Irr!Z23=".",s_Irr!AX23=".",s_Irr!BV23&lt;&gt;"."),s_dir!AZ23/((1/1000)*(s_Irr!BV23)),IF(AND(s_Irr!Z23=".",s_Irr!AX23&lt;&gt;".",s_Irr!BV23="."),s_dir!AZ23/((1/1000)*(s_Irr!AX23)),IF(AND(s_Irr!Z23&lt;&gt;".",s_Irr!AX23=".",s_Irr!BV23="."),s_dir!AZ23/((1/1000)*(s_Irr!Z23)),IF(AND(s_Irr!Z23=".",s_Irr!AX23=".",s_Irr!BV23="."),s_dir!AZ23*1000)))))))),".")</f>
        <v>46.903096907762404</v>
      </c>
      <c r="BZ23" s="93">
        <f t="shared" si="27"/>
        <v>968.09332170462449</v>
      </c>
      <c r="CA23" s="93">
        <f>IFERROR(s_C*s_IFAP_far_adj*s_CF_apple*(1/1000)*(s_Irr!C23+s_Irr!AA23+s_Irr!AY23),".")</f>
        <v>188.15245928625063</v>
      </c>
      <c r="CB23" s="93">
        <f>IFERROR(s_C*s_IFAS_far_adj*s_CF_asparagus*(1/1000)*(s_Irr!D23+s_Irr!AB23+s_Irr!AZ23),".")</f>
        <v>409.45539131781368</v>
      </c>
      <c r="CC23" s="93">
        <f>IFERROR(s_C*s_IFBT_far_adj*s_CF_beet*(1/1000)*(s_Irr!E23+s_Irr!AC23+s_Irr!BA23),".")</f>
        <v>352.08055708740847</v>
      </c>
      <c r="CD23" s="93">
        <f>IFERROR(s_C*s_IFBE_far_adj*s_CF_berries*(1/1000)*(s_Irr!F23+s_Irr!AD23+s_Irr!BB23),".")</f>
        <v>188.15245928625063</v>
      </c>
      <c r="CE23" s="93">
        <f>IFERROR(s_C*s_IFBR_far_adj*s_CF_broccoli*(1/1000)*(s_Irr!G23+s_Irr!AE23+s_Irr!BC23),".")</f>
        <v>207.27740402971904</v>
      </c>
      <c r="CF23" s="93">
        <f>IFERROR(s_C*s_IFCB_far_adj*s_CF_cabbage*(1/1000)*(s_Irr!H23+s_Irr!AF23+s_Irr!BD23),".")</f>
        <v>409.45539131781368</v>
      </c>
      <c r="CG23" s="93">
        <f>IFERROR(s_C*s_IFCR_far_adj*s_CF_carrot*(1/1000)*(s_Irr!I23+s_Irr!AG23+s_Irr!BE23),".")</f>
        <v>352.08055708740847</v>
      </c>
      <c r="CH23" s="93">
        <f>IFERROR(s_C*s_IFCI_far_adj*s_CF_citrus*(1/1000)*(s_Irr!J23+s_Irr!AH23+s_Irr!BF23),".")</f>
        <v>188.15245928625063</v>
      </c>
      <c r="CI23" s="93">
        <f>IFERROR(s_C*s_IFCO_far_adj*s_CF_corn*(1/1000)*(s_Irr!K23+s_Irr!AI23+s_Irr!BG23),".")</f>
        <v>167.38823356477062</v>
      </c>
      <c r="CJ23" s="93">
        <f>IFERROR(s_C*s_IFCU_far_adj*s_CF_cucumber*(1/1000)*(s_Irr!L23+s_Irr!AJ23+s_Irr!BH23),".")</f>
        <v>207.27740402971904</v>
      </c>
      <c r="CK23" s="93">
        <f>IFERROR(s_C*s_IFLE_far_adj*s_CF_lettuce*(1/1000)*(s_Irr!M23+s_Irr!AK23+s_Irr!BI23),".")</f>
        <v>409.45539131781368</v>
      </c>
      <c r="CL23" s="93">
        <f>IFERROR(s_C*s_IFLI_far_adj*s_CF_lima_bean*(1/1000)*(s_Irr!N23+s_Irr!AL23+s_Irr!BJ23),".")</f>
        <v>199.08099913966115</v>
      </c>
      <c r="CM23" s="93">
        <f>IFERROR(s_C*s_IFOK_far_adj*s_CF_okra*(1/1000)*(s_Irr!O23+s_Irr!AM23+s_Irr!BK23),".")</f>
        <v>207.27740402971904</v>
      </c>
      <c r="CN23" s="93">
        <f>IFERROR(s_C*s_IFON_far_adj*s_CF_onion*(1/1000)*(s_Irr!P23+s_Irr!AN23+s_Irr!BL23),".")</f>
        <v>207.27740402971904</v>
      </c>
      <c r="CO23" s="93">
        <f>IFERROR(s_C*s_IFPC_far_adj*s_CF_peach*(1/1000)*(s_Irr!Q23+s_Irr!AO23+s_Irr!BM23),".")</f>
        <v>188.15245928625063</v>
      </c>
      <c r="CP23" s="93">
        <f>IFERROR(s_C*s_IFPR_far_adj*s_CF_pear*(1/1000)*(s_Irr!R23+s_Irr!AP23+s_Irr!BN23),".")</f>
        <v>188.15245928625063</v>
      </c>
      <c r="CQ23" s="93">
        <f>IFERROR(s_C*s_IFPE_far_adj*s_CF_peas*(1/1000)*(s_Irr!S23+s_Irr!AQ23+s_Irr!BO23),".")</f>
        <v>199.08099913966115</v>
      </c>
      <c r="CR23" s="93">
        <f>IFERROR(s_C*s_IFPT_far_adj*s_CF_potato*(1/1000)*(s_Irr!T23+s_Irr!AR23+s_Irr!BP23),".")</f>
        <v>190.88459424960325</v>
      </c>
      <c r="CS23" s="93">
        <f>IFERROR(s_C*s_IFPU_far_adj*s_CF_pumpkin*(1/1000)*(s_Irr!U23+s_Irr!AS23+s_Irr!BQ23),".")</f>
        <v>207.27740402971904</v>
      </c>
      <c r="CT23" s="93">
        <f>IFERROR(s_C*s_IFSN_far_adj*s_CF_snap_bean*(1/1000)*(s_Irr!V23+s_Irr!AT23+s_Irr!BR23),".")</f>
        <v>199.08099913966115</v>
      </c>
      <c r="CU23" s="93">
        <f>IFERROR(s_C*s_IFST_far_adj*s_CF_strawberry*(1/1000)*(s_Irr!W23+s_Irr!AU23+s_Irr!BS23),".")</f>
        <v>188.15245928625063</v>
      </c>
      <c r="CV23" s="93">
        <f>IFERROR(s_C*s_IFTO_far_adj*s_CF_tomato*(1/1000)*(s_Irr!X23+s_Irr!AV23+s_Irr!BT23),".")</f>
        <v>207.27740402971904</v>
      </c>
      <c r="CW23" s="93">
        <f>IFERROR(s_C*s_IFRI_far_adj*s_CF_rice*(1/1000)*(s_Irr!Y23+s_Irr!AW23+s_Irr!BU23),".")</f>
        <v>163.20806707084111</v>
      </c>
      <c r="CX23" s="93">
        <f>IFERROR(s_C*s_IFCG_far_adj*s_CF_cereal*(1/1000)*(s_Irr!Z23+s_Irr!AX23+s_Irr!BV23),".")</f>
        <v>207.27740402971904</v>
      </c>
    </row>
    <row r="24" spans="1:102" ht="15" customHeight="1" x14ac:dyDescent="0.25">
      <c r="A24" s="92" t="s">
        <v>34</v>
      </c>
      <c r="B24" s="90" t="s">
        <v>1074</v>
      </c>
      <c r="C24" s="76" t="str">
        <f t="shared" ref="C24:C25" si="28">IFERROR(1/SUM(1/D24,1/E24,1/Z24,1/AA24),".")</f>
        <v>.</v>
      </c>
      <c r="D24" s="76" t="str">
        <f>IFERROR(IF(AND(s_Irr!C24&lt;&gt;".",s_Irr!AA24&lt;&gt;".",s_Irr!AY24&lt;&gt;"."),s_dir!D24/((1/1000)*(s_Irr!C24+s_Irr!AA24+s_Irr!AY24)),IF(AND(s_Irr!C24&lt;&gt;".",s_Irr!AA24&lt;&gt;".",s_Irr!AY24="."),s_dir!D24/((1/1000)*(s_Irr!C24+s_Irr!AA24)),IF(AND(s_Irr!C24&lt;&gt;".",s_Irr!AA24=".",s_Irr!AY24&lt;&gt;"."),s_dir!D24/((1/1000)*(s_Irr!C24+s_Irr!AY24)),IF(AND(s_Irr!C24=".",s_Irr!AA24&lt;&gt;".",s_Irr!AY24&lt;&gt;"."),s_dir!D24/((1/1000)*(s_Irr!AA24+s_Irr!AY24)),IF(AND(s_Irr!C24=".",s_Irr!AA24=".",s_Irr!AY24&lt;&gt;"."),s_dir!D24/((1/1000)*(s_Irr!AY24)),IF(AND(s_Irr!C24=".",s_Irr!AA24&lt;&gt;".",s_Irr!AY24="."),s_dir!D24/((1/1000)*(s_Irr!AA24)),IF(AND(s_Irr!C24&lt;&gt;".",s_Irr!AA24=".",s_Irr!AY24="."),s_dir!D24/((1/1000)*(s_Irr!C24)),IF(AND(s_Irr!C24=".",s_Irr!AA24=".",s_Irr!AY24="."),s_dir!D24*1000)))))))),".")</f>
        <v>.</v>
      </c>
      <c r="E24" s="76" t="str">
        <f>IFERROR(IF(AND(s_Irr!D24&lt;&gt;".",s_Irr!AB24&lt;&gt;".",s_Irr!AZ24&lt;&gt;"."),s_dir!E24/((1/1000)*(s_Irr!D24+s_Irr!AB24+s_Irr!AZ24)),IF(AND(s_Irr!D24&lt;&gt;".",s_Irr!AB24&lt;&gt;".",s_Irr!AZ24="."),s_dir!E24/((1/1000)*(s_Irr!D24+s_Irr!AB24)),IF(AND(s_Irr!D24&lt;&gt;".",s_Irr!AB24=".",s_Irr!AZ24&lt;&gt;"."),s_dir!E24/((1/1000)*(s_Irr!D24+s_Irr!AZ24)),IF(AND(s_Irr!D24=".",s_Irr!AB24&lt;&gt;".",s_Irr!AZ24&lt;&gt;"."),s_dir!E24/((1/1000)*(s_Irr!AB24+s_Irr!AZ24)),IF(AND(s_Irr!D24=".",s_Irr!AB24=".",s_Irr!AZ24&lt;&gt;"."),s_dir!E24/((1/1000)*(s_Irr!AZ24)),IF(AND(s_Irr!D24=".",s_Irr!AB24&lt;&gt;".",s_Irr!AZ24="."),s_dir!E24/((1/1000)*(s_Irr!AB24)),IF(AND(s_Irr!D24&lt;&gt;".",s_Irr!AB24=".",s_Irr!AZ24="."),s_dir!E24/((1/1000)*(s_Irr!D24)),IF(AND(s_Irr!D24=".",s_Irr!AB24=".",s_Irr!AZ24="."),s_dir!E24*1000)))))))),".")</f>
        <v>.</v>
      </c>
      <c r="F24" s="76" t="str">
        <f>IFERROR(IF(AND(s_Irr!E24&lt;&gt;".",s_Irr!AC24&lt;&gt;".",s_Irr!BA24&lt;&gt;"."),s_dir!F24/((1/1000)*(s_Irr!E24+s_Irr!AC24+s_Irr!BA24)),IF(AND(s_Irr!E24&lt;&gt;".",s_Irr!AC24&lt;&gt;".",s_Irr!BA24="."),s_dir!F24/((1/1000)*(s_Irr!E24+s_Irr!AC24)),IF(AND(s_Irr!E24&lt;&gt;".",s_Irr!AC24=".",s_Irr!BA24&lt;&gt;"."),s_dir!F24/((1/1000)*(s_Irr!E24+s_Irr!BA24)),IF(AND(s_Irr!E24=".",s_Irr!AC24&lt;&gt;".",s_Irr!BA24&lt;&gt;"."),s_dir!F24/((1/1000)*(s_Irr!AC24+s_Irr!BA24)),IF(AND(s_Irr!E24=".",s_Irr!AC24=".",s_Irr!BA24&lt;&gt;"."),s_dir!F24/((1/1000)*(s_Irr!BA24)),IF(AND(s_Irr!E24=".",s_Irr!AC24&lt;&gt;".",s_Irr!BA24="."),s_dir!F24/((1/1000)*(s_Irr!AC24)),IF(AND(s_Irr!E24&lt;&gt;".",s_Irr!AC24=".",s_Irr!BA24="."),s_dir!F24/((1/1000)*(s_Irr!E24)),IF(AND(s_Irr!E24=".",s_Irr!AC24=".",s_Irr!BA24="."),s_dir!F24*1000)))))))),".")</f>
        <v>.</v>
      </c>
      <c r="G24" s="76" t="str">
        <f>IFERROR(IF(AND(s_Irr!F24&lt;&gt;".",s_Irr!AD24&lt;&gt;".",s_Irr!BB24&lt;&gt;"."),s_dir!G24/((1/1000)*(s_Irr!F24+s_Irr!AD24+s_Irr!BB24)),IF(AND(s_Irr!F24&lt;&gt;".",s_Irr!AD24&lt;&gt;".",s_Irr!BB24="."),s_dir!G24/((1/1000)*(s_Irr!F24+s_Irr!AD24)),IF(AND(s_Irr!F24&lt;&gt;".",s_Irr!AD24=".",s_Irr!BB24&lt;&gt;"."),s_dir!G24/((1/1000)*(s_Irr!F24+s_Irr!BB24)),IF(AND(s_Irr!F24=".",s_Irr!AD24&lt;&gt;".",s_Irr!BB24&lt;&gt;"."),s_dir!G24/((1/1000)*(s_Irr!AD24+s_Irr!BB24)),IF(AND(s_Irr!F24=".",s_Irr!AD24=".",s_Irr!BB24&lt;&gt;"."),s_dir!G24/((1/1000)*(s_Irr!BB24)),IF(AND(s_Irr!F24=".",s_Irr!AD24&lt;&gt;".",s_Irr!BB24="."),s_dir!G24/((1/1000)*(s_Irr!AD24)),IF(AND(s_Irr!F24&lt;&gt;".",s_Irr!AD24=".",s_Irr!BB24="."),s_dir!G24/((1/1000)*(s_Irr!F24)),IF(AND(s_Irr!F24=".",s_Irr!AD24=".",s_Irr!BB24="."),s_dir!G24*1000)))))))),".")</f>
        <v>.</v>
      </c>
      <c r="H24" s="76" t="str">
        <f>IFERROR(IF(AND(s_Irr!G24&lt;&gt;".",s_Irr!AE24&lt;&gt;".",s_Irr!BC24&lt;&gt;"."),s_dir!H24/((1/1000)*(s_Irr!G24+s_Irr!AE24+s_Irr!BC24)),IF(AND(s_Irr!G24&lt;&gt;".",s_Irr!AE24&lt;&gt;".",s_Irr!BC24="."),s_dir!H24/((1/1000)*(s_Irr!G24+s_Irr!AE24)),IF(AND(s_Irr!G24&lt;&gt;".",s_Irr!AE24=".",s_Irr!BC24&lt;&gt;"."),s_dir!H24/((1/1000)*(s_Irr!G24+s_Irr!BC24)),IF(AND(s_Irr!G24=".",s_Irr!AE24&lt;&gt;".",s_Irr!BC24&lt;&gt;"."),s_dir!H24/((1/1000)*(s_Irr!AE24+s_Irr!BC24)),IF(AND(s_Irr!G24=".",s_Irr!AE24=".",s_Irr!BC24&lt;&gt;"."),s_dir!H24/((1/1000)*(s_Irr!BC24)),IF(AND(s_Irr!G24=".",s_Irr!AE24&lt;&gt;".",s_Irr!BC24="."),s_dir!H24/((1/1000)*(s_Irr!AE24)),IF(AND(s_Irr!G24&lt;&gt;".",s_Irr!AE24=".",s_Irr!BC24="."),s_dir!H24/((1/1000)*(s_Irr!G24)),IF(AND(s_Irr!G24=".",s_Irr!AE24=".",s_Irr!BC24="."),s_dir!H24*1000)))))))),".")</f>
        <v>.</v>
      </c>
      <c r="I24" s="76" t="str">
        <f>IFERROR(IF(AND(s_Irr!H24&lt;&gt;".",s_Irr!AF24&lt;&gt;".",s_Irr!BD24&lt;&gt;"."),s_dir!I24/((1/1000)*(s_Irr!H24+s_Irr!AF24+s_Irr!BD24)),IF(AND(s_Irr!H24&lt;&gt;".",s_Irr!AF24&lt;&gt;".",s_Irr!BD24="."),s_dir!I24/((1/1000)*(s_Irr!H24+s_Irr!AF24)),IF(AND(s_Irr!H24&lt;&gt;".",s_Irr!AF24=".",s_Irr!BD24&lt;&gt;"."),s_dir!I24/((1/1000)*(s_Irr!H24+s_Irr!BD24)),IF(AND(s_Irr!H24=".",s_Irr!AF24&lt;&gt;".",s_Irr!BD24&lt;&gt;"."),s_dir!I24/((1/1000)*(s_Irr!AF24+s_Irr!BD24)),IF(AND(s_Irr!H24=".",s_Irr!AF24=".",s_Irr!BD24&lt;&gt;"."),s_dir!I24/((1/1000)*(s_Irr!BD24)),IF(AND(s_Irr!H24=".",s_Irr!AF24&lt;&gt;".",s_Irr!BD24="."),s_dir!I24/((1/1000)*(s_Irr!AF24)),IF(AND(s_Irr!H24&lt;&gt;".",s_Irr!AF24=".",s_Irr!BD24="."),s_dir!I24/((1/1000)*(s_Irr!H24)),IF(AND(s_Irr!H24=".",s_Irr!AF24=".",s_Irr!BD24="."),s_dir!I24*1000)))))))),".")</f>
        <v>.</v>
      </c>
      <c r="J24" s="76" t="str">
        <f>IFERROR(IF(AND(s_Irr!I24&lt;&gt;".",s_Irr!AG24&lt;&gt;".",s_Irr!BE24&lt;&gt;"."),s_dir!J24/((1/1000)*(s_Irr!I24+s_Irr!AG24+s_Irr!BE24)),IF(AND(s_Irr!I24&lt;&gt;".",s_Irr!AG24&lt;&gt;".",s_Irr!BE24="."),s_dir!J24/((1/1000)*(s_Irr!I24+s_Irr!AG24)),IF(AND(s_Irr!I24&lt;&gt;".",s_Irr!AG24=".",s_Irr!BE24&lt;&gt;"."),s_dir!J24/((1/1000)*(s_Irr!I24+s_Irr!BE24)),IF(AND(s_Irr!I24=".",s_Irr!AG24&lt;&gt;".",s_Irr!BE24&lt;&gt;"."),s_dir!J24/((1/1000)*(s_Irr!AG24+s_Irr!BE24)),IF(AND(s_Irr!I24=".",s_Irr!AG24=".",s_Irr!BE24&lt;&gt;"."),s_dir!J24/((1/1000)*(s_Irr!BE24)),IF(AND(s_Irr!I24=".",s_Irr!AG24&lt;&gt;".",s_Irr!BE24="."),s_dir!J24/((1/1000)*(s_Irr!AG24)),IF(AND(s_Irr!I24&lt;&gt;".",s_Irr!AG24=".",s_Irr!BE24="."),s_dir!J24/((1/1000)*(s_Irr!I24)),IF(AND(s_Irr!I24=".",s_Irr!AG24=".",s_Irr!BE24="."),s_dir!J24*1000)))))))),".")</f>
        <v>.</v>
      </c>
      <c r="K24" s="76" t="str">
        <f>IFERROR(IF(AND(s_Irr!J24&lt;&gt;".",s_Irr!AH24&lt;&gt;".",s_Irr!BF24&lt;&gt;"."),s_dir!K24/((1/1000)*(s_Irr!J24+s_Irr!AH24+s_Irr!BF24)),IF(AND(s_Irr!J24&lt;&gt;".",s_Irr!AH24&lt;&gt;".",s_Irr!BF24="."),s_dir!K24/((1/1000)*(s_Irr!J24+s_Irr!AH24)),IF(AND(s_Irr!J24&lt;&gt;".",s_Irr!AH24=".",s_Irr!BF24&lt;&gt;"."),s_dir!K24/((1/1000)*(s_Irr!J24+s_Irr!BF24)),IF(AND(s_Irr!J24=".",s_Irr!AH24&lt;&gt;".",s_Irr!BF24&lt;&gt;"."),s_dir!K24/((1/1000)*(s_Irr!AH24+s_Irr!BF24)),IF(AND(s_Irr!J24=".",s_Irr!AH24=".",s_Irr!BF24&lt;&gt;"."),s_dir!K24/((1/1000)*(s_Irr!BF24)),IF(AND(s_Irr!J24=".",s_Irr!AH24&lt;&gt;".",s_Irr!BF24="."),s_dir!K24/((1/1000)*(s_Irr!AH24)),IF(AND(s_Irr!J24&lt;&gt;".",s_Irr!AH24=".",s_Irr!BF24="."),s_dir!K24/((1/1000)*(s_Irr!J24)),IF(AND(s_Irr!J24=".",s_Irr!AH24=".",s_Irr!BF24="."),s_dir!K24*1000)))))))),".")</f>
        <v>.</v>
      </c>
      <c r="L24" s="76" t="str">
        <f>IFERROR(IF(AND(s_Irr!K24&lt;&gt;".",s_Irr!AI24&lt;&gt;".",s_Irr!BG24&lt;&gt;"."),s_dir!L24/((1/1000)*(s_Irr!K24+s_Irr!AI24+s_Irr!BG24)),IF(AND(s_Irr!K24&lt;&gt;".",s_Irr!AI24&lt;&gt;".",s_Irr!BG24="."),s_dir!L24/((1/1000)*(s_Irr!K24+s_Irr!AI24)),IF(AND(s_Irr!K24&lt;&gt;".",s_Irr!AI24=".",s_Irr!BG24&lt;&gt;"."),s_dir!L24/((1/1000)*(s_Irr!K24+s_Irr!BG24)),IF(AND(s_Irr!K24=".",s_Irr!AI24&lt;&gt;".",s_Irr!BG24&lt;&gt;"."),s_dir!L24/((1/1000)*(s_Irr!AI24+s_Irr!BG24)),IF(AND(s_Irr!K24=".",s_Irr!AI24=".",s_Irr!BG24&lt;&gt;"."),s_dir!L24/((1/1000)*(s_Irr!BG24)),IF(AND(s_Irr!K24=".",s_Irr!AI24&lt;&gt;".",s_Irr!BG24="."),s_dir!L24/((1/1000)*(s_Irr!AI24)),IF(AND(s_Irr!K24&lt;&gt;".",s_Irr!AI24=".",s_Irr!BG24="."),s_dir!L24/((1/1000)*(s_Irr!K24)),IF(AND(s_Irr!K24=".",s_Irr!AI24=".",s_Irr!BG24="."),s_dir!L24*1000)))))))),".")</f>
        <v>.</v>
      </c>
      <c r="M24" s="76" t="str">
        <f>IFERROR(IF(AND(s_Irr!L24&lt;&gt;".",s_Irr!AJ24&lt;&gt;".",s_Irr!BH24&lt;&gt;"."),s_dir!M24/((1/1000)*(s_Irr!L24+s_Irr!AJ24+s_Irr!BH24)),IF(AND(s_Irr!L24&lt;&gt;".",s_Irr!AJ24&lt;&gt;".",s_Irr!BH24="."),s_dir!M24/((1/1000)*(s_Irr!L24+s_Irr!AJ24)),IF(AND(s_Irr!L24&lt;&gt;".",s_Irr!AJ24=".",s_Irr!BH24&lt;&gt;"."),s_dir!M24/((1/1000)*(s_Irr!L24+s_Irr!BH24)),IF(AND(s_Irr!L24=".",s_Irr!AJ24&lt;&gt;".",s_Irr!BH24&lt;&gt;"."),s_dir!M24/((1/1000)*(s_Irr!AJ24+s_Irr!BH24)),IF(AND(s_Irr!L24=".",s_Irr!AJ24=".",s_Irr!BH24&lt;&gt;"."),s_dir!M24/((1/1000)*(s_Irr!BH24)),IF(AND(s_Irr!L24=".",s_Irr!AJ24&lt;&gt;".",s_Irr!BH24="."),s_dir!M24/((1/1000)*(s_Irr!AJ24)),IF(AND(s_Irr!L24&lt;&gt;".",s_Irr!AJ24=".",s_Irr!BH24="."),s_dir!M24/((1/1000)*(s_Irr!L24)),IF(AND(s_Irr!L24=".",s_Irr!AJ24=".",s_Irr!BH24="."),s_dir!M24*1000)))))))),".")</f>
        <v>.</v>
      </c>
      <c r="N24" s="76" t="str">
        <f>IFERROR(IF(AND(s_Irr!M24&lt;&gt;".",s_Irr!AK24&lt;&gt;".",s_Irr!BI24&lt;&gt;"."),s_dir!N24/((1/1000)*(s_Irr!M24+s_Irr!AK24+s_Irr!BI24)),IF(AND(s_Irr!M24&lt;&gt;".",s_Irr!AK24&lt;&gt;".",s_Irr!BI24="."),s_dir!N24/((1/1000)*(s_Irr!M24+s_Irr!AK24)),IF(AND(s_Irr!M24&lt;&gt;".",s_Irr!AK24=".",s_Irr!BI24&lt;&gt;"."),s_dir!N24/((1/1000)*(s_Irr!M24+s_Irr!BI24)),IF(AND(s_Irr!M24=".",s_Irr!AK24&lt;&gt;".",s_Irr!BI24&lt;&gt;"."),s_dir!N24/((1/1000)*(s_Irr!AK24+s_Irr!BI24)),IF(AND(s_Irr!M24=".",s_Irr!AK24=".",s_Irr!BI24&lt;&gt;"."),s_dir!N24/((1/1000)*(s_Irr!BI24)),IF(AND(s_Irr!M24=".",s_Irr!AK24&lt;&gt;".",s_Irr!BI24="."),s_dir!N24/((1/1000)*(s_Irr!AK24)),IF(AND(s_Irr!M24&lt;&gt;".",s_Irr!AK24=".",s_Irr!BI24="."),s_dir!N24/((1/1000)*(s_Irr!M24)),IF(AND(s_Irr!M24=".",s_Irr!AK24=".",s_Irr!BI24="."),s_dir!N24*1000)))))))),".")</f>
        <v>.</v>
      </c>
      <c r="O24" s="76" t="str">
        <f>IFERROR(IF(AND(s_Irr!N24&lt;&gt;".",s_Irr!AL24&lt;&gt;".",s_Irr!BJ24&lt;&gt;"."),s_dir!O24/((1/1000)*(s_Irr!N24+s_Irr!AL24+s_Irr!BJ24)),IF(AND(s_Irr!N24&lt;&gt;".",s_Irr!AL24&lt;&gt;".",s_Irr!BJ24="."),s_dir!O24/((1/1000)*(s_Irr!N24+s_Irr!AL24)),IF(AND(s_Irr!N24&lt;&gt;".",s_Irr!AL24=".",s_Irr!BJ24&lt;&gt;"."),s_dir!O24/((1/1000)*(s_Irr!N24+s_Irr!BJ24)),IF(AND(s_Irr!N24=".",s_Irr!AL24&lt;&gt;".",s_Irr!BJ24&lt;&gt;"."),s_dir!O24/((1/1000)*(s_Irr!AL24+s_Irr!BJ24)),IF(AND(s_Irr!N24=".",s_Irr!AL24=".",s_Irr!BJ24&lt;&gt;"."),s_dir!O24/((1/1000)*(s_Irr!BJ24)),IF(AND(s_Irr!N24=".",s_Irr!AL24&lt;&gt;".",s_Irr!BJ24="."),s_dir!O24/((1/1000)*(s_Irr!AL24)),IF(AND(s_Irr!N24&lt;&gt;".",s_Irr!AL24=".",s_Irr!BJ24="."),s_dir!O24/((1/1000)*(s_Irr!N24)),IF(AND(s_Irr!N24=".",s_Irr!AL24=".",s_Irr!BJ24="."),s_dir!O24*1000)))))))),".")</f>
        <v>.</v>
      </c>
      <c r="P24" s="76" t="str">
        <f>IFERROR(IF(AND(s_Irr!O24&lt;&gt;".",s_Irr!AM24&lt;&gt;".",s_Irr!BK24&lt;&gt;"."),s_dir!P24/((1/1000)*(s_Irr!O24+s_Irr!AM24+s_Irr!BK24)),IF(AND(s_Irr!O24&lt;&gt;".",s_Irr!AM24&lt;&gt;".",s_Irr!BK24="."),s_dir!P24/((1/1000)*(s_Irr!O24+s_Irr!AM24)),IF(AND(s_Irr!O24&lt;&gt;".",s_Irr!AM24=".",s_Irr!BK24&lt;&gt;"."),s_dir!P24/((1/1000)*(s_Irr!O24+s_Irr!BK24)),IF(AND(s_Irr!O24=".",s_Irr!AM24&lt;&gt;".",s_Irr!BK24&lt;&gt;"."),s_dir!P24/((1/1000)*(s_Irr!AM24+s_Irr!BK24)),IF(AND(s_Irr!O24=".",s_Irr!AM24=".",s_Irr!BK24&lt;&gt;"."),s_dir!P24/((1/1000)*(s_Irr!BK24)),IF(AND(s_Irr!O24=".",s_Irr!AM24&lt;&gt;".",s_Irr!BK24="."),s_dir!P24/((1/1000)*(s_Irr!AM24)),IF(AND(s_Irr!O24&lt;&gt;".",s_Irr!AM24=".",s_Irr!BK24="."),s_dir!P24/((1/1000)*(s_Irr!O24)),IF(AND(s_Irr!O24=".",s_Irr!AM24=".",s_Irr!BK24="."),s_dir!P24*1000)))))))),".")</f>
        <v>.</v>
      </c>
      <c r="Q24" s="76" t="str">
        <f>IFERROR(IF(AND(s_Irr!P24&lt;&gt;".",s_Irr!AN24&lt;&gt;".",s_Irr!BL24&lt;&gt;"."),s_dir!Q24/((1/1000)*(s_Irr!P24+s_Irr!AN24+s_Irr!BL24)),IF(AND(s_Irr!P24&lt;&gt;".",s_Irr!AN24&lt;&gt;".",s_Irr!BL24="."),s_dir!Q24/((1/1000)*(s_Irr!P24+s_Irr!AN24)),IF(AND(s_Irr!P24&lt;&gt;".",s_Irr!AN24=".",s_Irr!BL24&lt;&gt;"."),s_dir!Q24/((1/1000)*(s_Irr!P24+s_Irr!BL24)),IF(AND(s_Irr!P24=".",s_Irr!AN24&lt;&gt;".",s_Irr!BL24&lt;&gt;"."),s_dir!Q24/((1/1000)*(s_Irr!AN24+s_Irr!BL24)),IF(AND(s_Irr!P24=".",s_Irr!AN24=".",s_Irr!BL24&lt;&gt;"."),s_dir!Q24/((1/1000)*(s_Irr!BL24)),IF(AND(s_Irr!P24=".",s_Irr!AN24&lt;&gt;".",s_Irr!BL24="."),s_dir!Q24/((1/1000)*(s_Irr!AN24)),IF(AND(s_Irr!P24&lt;&gt;".",s_Irr!AN24=".",s_Irr!BL24="."),s_dir!Q24/((1/1000)*(s_Irr!P24)),IF(AND(s_Irr!P24=".",s_Irr!AN24=".",s_Irr!BL24="."),s_dir!Q24*1000)))))))),".")</f>
        <v>.</v>
      </c>
      <c r="R24" s="76" t="str">
        <f>IFERROR(IF(AND(s_Irr!Q24&lt;&gt;".",s_Irr!AO24&lt;&gt;".",s_Irr!BM24&lt;&gt;"."),s_dir!R24/((1/1000)*(s_Irr!Q24+s_Irr!AO24+s_Irr!BM24)),IF(AND(s_Irr!Q24&lt;&gt;".",s_Irr!AO24&lt;&gt;".",s_Irr!BM24="."),s_dir!R24/((1/1000)*(s_Irr!Q24+s_Irr!AO24)),IF(AND(s_Irr!Q24&lt;&gt;".",s_Irr!AO24=".",s_Irr!BM24&lt;&gt;"."),s_dir!R24/((1/1000)*(s_Irr!Q24+s_Irr!BM24)),IF(AND(s_Irr!Q24=".",s_Irr!AO24&lt;&gt;".",s_Irr!BM24&lt;&gt;"."),s_dir!R24/((1/1000)*(s_Irr!AO24+s_Irr!BM24)),IF(AND(s_Irr!Q24=".",s_Irr!AO24=".",s_Irr!BM24&lt;&gt;"."),s_dir!R24/((1/1000)*(s_Irr!BM24)),IF(AND(s_Irr!Q24=".",s_Irr!AO24&lt;&gt;".",s_Irr!BM24="."),s_dir!R24/((1/1000)*(s_Irr!AO24)),IF(AND(s_Irr!Q24&lt;&gt;".",s_Irr!AO24=".",s_Irr!BM24="."),s_dir!R24/((1/1000)*(s_Irr!Q24)),IF(AND(s_Irr!Q24=".",s_Irr!AO24=".",s_Irr!BM24="."),s_dir!R24*1000)))))))),".")</f>
        <v>.</v>
      </c>
      <c r="S24" s="76" t="str">
        <f>IFERROR(IF(AND(s_Irr!R24&lt;&gt;".",s_Irr!AP24&lt;&gt;".",s_Irr!BN24&lt;&gt;"."),s_dir!S24/((1/1000)*(s_Irr!R24+s_Irr!AP24+s_Irr!BN24)),IF(AND(s_Irr!R24&lt;&gt;".",s_Irr!AP24&lt;&gt;".",s_Irr!BN24="."),s_dir!S24/((1/1000)*(s_Irr!R24+s_Irr!AP24)),IF(AND(s_Irr!R24&lt;&gt;".",s_Irr!AP24=".",s_Irr!BN24&lt;&gt;"."),s_dir!S24/((1/1000)*(s_Irr!R24+s_Irr!BN24)),IF(AND(s_Irr!R24=".",s_Irr!AP24&lt;&gt;".",s_Irr!BN24&lt;&gt;"."),s_dir!S24/((1/1000)*(s_Irr!AP24+s_Irr!BN24)),IF(AND(s_Irr!R24=".",s_Irr!AP24=".",s_Irr!BN24&lt;&gt;"."),s_dir!S24/((1/1000)*(s_Irr!BN24)),IF(AND(s_Irr!R24=".",s_Irr!AP24&lt;&gt;".",s_Irr!BN24="."),s_dir!S24/((1/1000)*(s_Irr!AP24)),IF(AND(s_Irr!R24&lt;&gt;".",s_Irr!AP24=".",s_Irr!BN24="."),s_dir!S24/((1/1000)*(s_Irr!R24)),IF(AND(s_Irr!R24=".",s_Irr!AP24=".",s_Irr!BN24="."),s_dir!S24*1000)))))))),".")</f>
        <v>.</v>
      </c>
      <c r="T24" s="76" t="str">
        <f>IFERROR(IF(AND(s_Irr!S24&lt;&gt;".",s_Irr!AQ24&lt;&gt;".",s_Irr!BO24&lt;&gt;"."),s_dir!T24/((1/1000)*(s_Irr!S24+s_Irr!AQ24+s_Irr!BO24)),IF(AND(s_Irr!S24&lt;&gt;".",s_Irr!AQ24&lt;&gt;".",s_Irr!BO24="."),s_dir!T24/((1/1000)*(s_Irr!S24+s_Irr!AQ24)),IF(AND(s_Irr!S24&lt;&gt;".",s_Irr!AQ24=".",s_Irr!BO24&lt;&gt;"."),s_dir!T24/((1/1000)*(s_Irr!S24+s_Irr!BO24)),IF(AND(s_Irr!S24=".",s_Irr!AQ24&lt;&gt;".",s_Irr!BO24&lt;&gt;"."),s_dir!T24/((1/1000)*(s_Irr!AQ24+s_Irr!BO24)),IF(AND(s_Irr!S24=".",s_Irr!AQ24=".",s_Irr!BO24&lt;&gt;"."),s_dir!T24/((1/1000)*(s_Irr!BO24)),IF(AND(s_Irr!S24=".",s_Irr!AQ24&lt;&gt;".",s_Irr!BO24="."),s_dir!T24/((1/1000)*(s_Irr!AQ24)),IF(AND(s_Irr!S24&lt;&gt;".",s_Irr!AQ24=".",s_Irr!BO24="."),s_dir!T24/((1/1000)*(s_Irr!S24)),IF(AND(s_Irr!S24=".",s_Irr!AQ24=".",s_Irr!BO24="."),s_dir!T24*1000)))))))),".")</f>
        <v>.</v>
      </c>
      <c r="U24" s="76" t="str">
        <f>IFERROR(IF(AND(s_Irr!T24&lt;&gt;".",s_Irr!AR24&lt;&gt;".",s_Irr!BP24&lt;&gt;"."),s_dir!U24/((1/1000)*(s_Irr!T24+s_Irr!AR24+s_Irr!BP24)),IF(AND(s_Irr!T24&lt;&gt;".",s_Irr!AR24&lt;&gt;".",s_Irr!BP24="."),s_dir!U24/((1/1000)*(s_Irr!T24+s_Irr!AR24)),IF(AND(s_Irr!T24&lt;&gt;".",s_Irr!AR24=".",s_Irr!BP24&lt;&gt;"."),s_dir!U24/((1/1000)*(s_Irr!T24+s_Irr!BP24)),IF(AND(s_Irr!T24=".",s_Irr!AR24&lt;&gt;".",s_Irr!BP24&lt;&gt;"."),s_dir!U24/((1/1000)*(s_Irr!AR24+s_Irr!BP24)),IF(AND(s_Irr!T24=".",s_Irr!AR24=".",s_Irr!BP24&lt;&gt;"."),s_dir!U24/((1/1000)*(s_Irr!BP24)),IF(AND(s_Irr!T24=".",s_Irr!AR24&lt;&gt;".",s_Irr!BP24="."),s_dir!U24/((1/1000)*(s_Irr!AR24)),IF(AND(s_Irr!T24&lt;&gt;".",s_Irr!AR24=".",s_Irr!BP24="."),s_dir!U24/((1/1000)*(s_Irr!T24)),IF(AND(s_Irr!T24=".",s_Irr!AR24=".",s_Irr!BP24="."),s_dir!U24*1000)))))))),".")</f>
        <v>.</v>
      </c>
      <c r="V24" s="76" t="str">
        <f>IFERROR(IF(AND(s_Irr!U24&lt;&gt;".",s_Irr!AS24&lt;&gt;".",s_Irr!BQ24&lt;&gt;"."),s_dir!V24/((1/1000)*(s_Irr!U24+s_Irr!AS24+s_Irr!BQ24)),IF(AND(s_Irr!U24&lt;&gt;".",s_Irr!AS24&lt;&gt;".",s_Irr!BQ24="."),s_dir!V24/((1/1000)*(s_Irr!U24+s_Irr!AS24)),IF(AND(s_Irr!U24&lt;&gt;".",s_Irr!AS24=".",s_Irr!BQ24&lt;&gt;"."),s_dir!V24/((1/1000)*(s_Irr!U24+s_Irr!BQ24)),IF(AND(s_Irr!U24=".",s_Irr!AS24&lt;&gt;".",s_Irr!BQ24&lt;&gt;"."),s_dir!V24/((1/1000)*(s_Irr!AS24+s_Irr!BQ24)),IF(AND(s_Irr!U24=".",s_Irr!AS24=".",s_Irr!BQ24&lt;&gt;"."),s_dir!V24/((1/1000)*(s_Irr!BQ24)),IF(AND(s_Irr!U24=".",s_Irr!AS24&lt;&gt;".",s_Irr!BQ24="."),s_dir!V24/((1/1000)*(s_Irr!AS24)),IF(AND(s_Irr!U24&lt;&gt;".",s_Irr!AS24=".",s_Irr!BQ24="."),s_dir!V24/((1/1000)*(s_Irr!U24)),IF(AND(s_Irr!U24=".",s_Irr!AS24=".",s_Irr!BQ24="."),s_dir!V24*1000)))))))),".")</f>
        <v>.</v>
      </c>
      <c r="W24" s="76" t="str">
        <f>IFERROR(IF(AND(s_Irr!V24&lt;&gt;".",s_Irr!AT24&lt;&gt;".",s_Irr!BR24&lt;&gt;"."),s_dir!W24/((1/1000)*(s_Irr!V24+s_Irr!AT24+s_Irr!BR24)),IF(AND(s_Irr!V24&lt;&gt;".",s_Irr!AT24&lt;&gt;".",s_Irr!BR24="."),s_dir!W24/((1/1000)*(s_Irr!V24+s_Irr!AT24)),IF(AND(s_Irr!V24&lt;&gt;".",s_Irr!AT24=".",s_Irr!BR24&lt;&gt;"."),s_dir!W24/((1/1000)*(s_Irr!V24+s_Irr!BR24)),IF(AND(s_Irr!V24=".",s_Irr!AT24&lt;&gt;".",s_Irr!BR24&lt;&gt;"."),s_dir!W24/((1/1000)*(s_Irr!AT24+s_Irr!BR24)),IF(AND(s_Irr!V24=".",s_Irr!AT24=".",s_Irr!BR24&lt;&gt;"."),s_dir!W24/((1/1000)*(s_Irr!BR24)),IF(AND(s_Irr!V24=".",s_Irr!AT24&lt;&gt;".",s_Irr!BR24="."),s_dir!W24/((1/1000)*(s_Irr!AT24)),IF(AND(s_Irr!V24&lt;&gt;".",s_Irr!AT24=".",s_Irr!BR24="."),s_dir!W24/((1/1000)*(s_Irr!V24)),IF(AND(s_Irr!V24=".",s_Irr!AT24=".",s_Irr!BR24="."),s_dir!W24*1000)))))))),".")</f>
        <v>.</v>
      </c>
      <c r="X24" s="76" t="str">
        <f>IFERROR(IF(AND(s_Irr!W24&lt;&gt;".",s_Irr!AU24&lt;&gt;".",s_Irr!BS24&lt;&gt;"."),s_dir!X24/((1/1000)*(s_Irr!W24+s_Irr!AU24+s_Irr!BS24)),IF(AND(s_Irr!W24&lt;&gt;".",s_Irr!AU24&lt;&gt;".",s_Irr!BS24="."),s_dir!X24/((1/1000)*(s_Irr!W24+s_Irr!AU24)),IF(AND(s_Irr!W24&lt;&gt;".",s_Irr!AU24=".",s_Irr!BS24&lt;&gt;"."),s_dir!X24/((1/1000)*(s_Irr!W24+s_Irr!BS24)),IF(AND(s_Irr!W24=".",s_Irr!AU24&lt;&gt;".",s_Irr!BS24&lt;&gt;"."),s_dir!X24/((1/1000)*(s_Irr!AU24+s_Irr!BS24)),IF(AND(s_Irr!W24=".",s_Irr!AU24=".",s_Irr!BS24&lt;&gt;"."),s_dir!X24/((1/1000)*(s_Irr!BS24)),IF(AND(s_Irr!W24=".",s_Irr!AU24&lt;&gt;".",s_Irr!BS24="."),s_dir!X24/((1/1000)*(s_Irr!AU24)),IF(AND(s_Irr!W24&lt;&gt;".",s_Irr!AU24=".",s_Irr!BS24="."),s_dir!X24/((1/1000)*(s_Irr!W24)),IF(AND(s_Irr!W24=".",s_Irr!AU24=".",s_Irr!BS24="."),s_dir!X24*1000)))))))),".")</f>
        <v>.</v>
      </c>
      <c r="Y24" s="76" t="str">
        <f>IFERROR(IF(AND(s_Irr!X24&lt;&gt;".",s_Irr!AV24&lt;&gt;".",s_Irr!BT24&lt;&gt;"."),s_dir!Y24/((1/1000)*(s_Irr!X24+s_Irr!AV24+s_Irr!BT24)),IF(AND(s_Irr!X24&lt;&gt;".",s_Irr!AV24&lt;&gt;".",s_Irr!BT24="."),s_dir!Y24/((1/1000)*(s_Irr!X24+s_Irr!AV24)),IF(AND(s_Irr!X24&lt;&gt;".",s_Irr!AV24=".",s_Irr!BT24&lt;&gt;"."),s_dir!Y24/((1/1000)*(s_Irr!X24+s_Irr!BT24)),IF(AND(s_Irr!X24=".",s_Irr!AV24&lt;&gt;".",s_Irr!BT24&lt;&gt;"."),s_dir!Y24/((1/1000)*(s_Irr!AV24+s_Irr!BT24)),IF(AND(s_Irr!X24=".",s_Irr!AV24=".",s_Irr!BT24&lt;&gt;"."),s_dir!Y24/((1/1000)*(s_Irr!BT24)),IF(AND(s_Irr!X24=".",s_Irr!AV24&lt;&gt;".",s_Irr!BT24="."),s_dir!Y24/((1/1000)*(s_Irr!AV24)),IF(AND(s_Irr!X24&lt;&gt;".",s_Irr!AV24=".",s_Irr!BT24="."),s_dir!Y24/((1/1000)*(s_Irr!X24)),IF(AND(s_Irr!X24=".",s_Irr!AV24=".",s_Irr!BT24="."),s_dir!Y24*1000)))))))),".")</f>
        <v>.</v>
      </c>
      <c r="Z24" s="76" t="str">
        <f>IFERROR(IF(AND(s_Irr!Y24&lt;&gt;".",s_Irr!AW24&lt;&gt;".",s_Irr!BU24&lt;&gt;"."),s_dir!Z24/((1/1000)*(s_Irr!Y24+s_Irr!AW24+s_Irr!BU24)),IF(AND(s_Irr!Y24&lt;&gt;".",s_Irr!AW24&lt;&gt;".",s_Irr!BU24="."),s_dir!Z24/((1/1000)*(s_Irr!Y24+s_Irr!AW24)),IF(AND(s_Irr!Y24&lt;&gt;".",s_Irr!AW24=".",s_Irr!BU24&lt;&gt;"."),s_dir!Z24/((1/1000)*(s_Irr!Y24+s_Irr!BU24)),IF(AND(s_Irr!Y24=".",s_Irr!AW24&lt;&gt;".",s_Irr!BU24&lt;&gt;"."),s_dir!Z24/((1/1000)*(s_Irr!AW24+s_Irr!BU24)),IF(AND(s_Irr!Y24=".",s_Irr!AW24=".",s_Irr!BU24&lt;&gt;"."),s_dir!Z24/((1/1000)*(s_Irr!BU24)),IF(AND(s_Irr!Y24=".",s_Irr!AW24&lt;&gt;".",s_Irr!BU24="."),s_dir!Z24/((1/1000)*(s_Irr!AW24)),IF(AND(s_Irr!Y24&lt;&gt;".",s_Irr!AW24=".",s_Irr!BU24="."),s_dir!Z24/((1/1000)*(s_Irr!Y24)),IF(AND(s_Irr!Y24=".",s_Irr!AW24=".",s_Irr!BU24="."),s_dir!Z24*1000)))))))),".")</f>
        <v>.</v>
      </c>
      <c r="AA24" s="76" t="str">
        <f>IFERROR(IF(AND(s_Irr!Z24&lt;&gt;".",s_Irr!AX24&lt;&gt;".",s_Irr!BV24&lt;&gt;"."),s_dir!AA24/((1/1000)*(s_Irr!Z24+s_Irr!AX24+s_Irr!BV24)),IF(AND(s_Irr!Z24&lt;&gt;".",s_Irr!AX24&lt;&gt;".",s_Irr!BV24="."),s_dir!AA24/((1/1000)*(s_Irr!Z24+s_Irr!AX24)),IF(AND(s_Irr!Z24&lt;&gt;".",s_Irr!AX24=".",s_Irr!BV24&lt;&gt;"."),s_dir!AA24/((1/1000)*(s_Irr!Z24+s_Irr!BV24)),IF(AND(s_Irr!Z24=".",s_Irr!AX24&lt;&gt;".",s_Irr!BV24&lt;&gt;"."),s_dir!AA24/((1/1000)*(s_Irr!AX24+s_Irr!BV24)),IF(AND(s_Irr!Z24=".",s_Irr!AX24=".",s_Irr!BV24&lt;&gt;"."),s_dir!AA24/((1/1000)*(s_Irr!BV24)),IF(AND(s_Irr!Z24=".",s_Irr!AX24&lt;&gt;".",s_Irr!BV24="."),s_dir!AA24/((1/1000)*(s_Irr!AX24)),IF(AND(s_Irr!Z24&lt;&gt;".",s_Irr!AX24=".",s_Irr!BV24="."),s_dir!AA24/((1/1000)*(s_Irr!Z24)),IF(AND(s_Irr!Z24=".",s_Irr!AX24=".",s_Irr!BV24="."),s_dir!AA24*1000)))))))),".")</f>
        <v>.</v>
      </c>
      <c r="AB24" s="93">
        <f>SUM(AC24:AD24,AY24:AZ24)</f>
        <v>0</v>
      </c>
      <c r="AC24" s="93" t="str">
        <f>IFERROR(s_C*s_IFAP_res_adj*s_CF_apple*0.001*(s_Irr!C24+s_Irr!AA24+s_Irr!AY24),".")</f>
        <v>.</v>
      </c>
      <c r="AD24" s="93" t="str">
        <f>IFERROR(s_C*s_IFAS_res_adj*s_CF_asparagus*0.001*(s_Irr!D24+s_Irr!AB24+s_Irr!AZ24),".")</f>
        <v>.</v>
      </c>
      <c r="AE24" s="93" t="str">
        <f>IFERROR(s_C*s_IFBT_res_adj*s_CF_beet*0.001*(s_Irr!E24+s_Irr!AC24+s_Irr!BA24),".")</f>
        <v>.</v>
      </c>
      <c r="AF24" s="93" t="str">
        <f>IFERROR(s_C*s_IFBE_res_adj*s_CF_berries*0.001*(s_Irr!F24+s_Irr!AD24+s_Irr!BB24),".")</f>
        <v>.</v>
      </c>
      <c r="AG24" s="93" t="str">
        <f>IFERROR(s_C*s_IFBR_res_adj*s_CF_broccoli*0.001*(s_Irr!G24+s_Irr!AE24+s_Irr!BC24),".")</f>
        <v>.</v>
      </c>
      <c r="AH24" s="93" t="str">
        <f>IFERROR(s_C*s_IFCB_res_adj*s_CF_cabbage*0.001*(s_Irr!H24+s_Irr!AF24+s_Irr!BD24),".")</f>
        <v>.</v>
      </c>
      <c r="AI24" s="93" t="str">
        <f>IFERROR(s_C*s_IFCR_res_adj*s_CF_carrot*0.001*(s_Irr!I24+s_Irr!AG24+s_Irr!BE24),".")</f>
        <v>.</v>
      </c>
      <c r="AJ24" s="93" t="str">
        <f>IFERROR(s_C*s_IFCI_res_adj*s_CF_citrus*0.001*(s_Irr!J24+s_Irr!AH24+s_Irr!BF24),".")</f>
        <v>.</v>
      </c>
      <c r="AK24" s="93" t="str">
        <f>IFERROR(s_C*s_IFCO_res_adj*s_CF_corn*0.001*(s_Irr!K24+s_Irr!AI24+s_Irr!BG24),".")</f>
        <v>.</v>
      </c>
      <c r="AL24" s="93" t="str">
        <f>IFERROR(s_C*s_IFCU_res_adj*s_CF_cucumber*0.001*(s_Irr!L24+s_Irr!AJ24+s_Irr!BH24),".")</f>
        <v>.</v>
      </c>
      <c r="AM24" s="93" t="str">
        <f>IFERROR(s_C*s_IFLE_res_adj*s_CF_lettuce*0.001*(s_Irr!M24+s_Irr!AK24+s_Irr!BI24),".")</f>
        <v>.</v>
      </c>
      <c r="AN24" s="93" t="str">
        <f>IFERROR(s_C*s_IFLI_res_adj*s_CF_lima_bean*0.001*(s_Irr!N24+s_Irr!AL24+s_Irr!BJ24),".")</f>
        <v>.</v>
      </c>
      <c r="AO24" s="93" t="str">
        <f>IFERROR(s_C*s_IFOK_res_adj*s_CF_okra*0.001*(s_Irr!O24+s_Irr!AM24+s_Irr!BK24),".")</f>
        <v>.</v>
      </c>
      <c r="AP24" s="93" t="str">
        <f>IFERROR(s_C*s_IFON_res_adj*s_CF_onion*0.001*(s_Irr!P24+s_Irr!AN24+s_Irr!BL24),".")</f>
        <v>.</v>
      </c>
      <c r="AQ24" s="93" t="str">
        <f>IFERROR(s_C*s_IFPC_res_adj*s_CF_peach*0.001*(s_Irr!Q24+s_Irr!AO24+s_Irr!BM24),".")</f>
        <v>.</v>
      </c>
      <c r="AR24" s="93" t="str">
        <f>IFERROR(s_C*s_IFPR_res_adj*s_CF_pear*0.001*(s_Irr!R24+s_Irr!AP24+s_Irr!BN24),".")</f>
        <v>.</v>
      </c>
      <c r="AS24" s="93" t="str">
        <f>IFERROR(s_C*s_IFPE_res_adj*s_CF_peas*0.001*(s_Irr!S24+s_Irr!AQ24+s_Irr!BO24),".")</f>
        <v>.</v>
      </c>
      <c r="AT24" s="93" t="str">
        <f>IFERROR(s_C*s_IFPT_res_adj*s_CF_potato*0.001*(s_Irr!T24+s_Irr!AR24+s_Irr!BP24),".")</f>
        <v>.</v>
      </c>
      <c r="AU24" s="93" t="str">
        <f>IFERROR(s_C*s_IFPU_res_adj*s_CF_pumpkin*0.001*(s_Irr!U24+s_Irr!AS24+s_Irr!BQ24),".")</f>
        <v>.</v>
      </c>
      <c r="AV24" s="93" t="str">
        <f>IFERROR(s_C*s_IFSN_res_adj*s_CF_snap_bean*0.001*(s_Irr!V24+s_Irr!AT24+s_Irr!BR24),".")</f>
        <v>.</v>
      </c>
      <c r="AW24" s="93" t="str">
        <f>IFERROR(s_C*s_IFST_res_adj*s_CF_strawberry*0.001*(s_Irr!W24+s_Irr!AU24+s_Irr!BS24),".")</f>
        <v>.</v>
      </c>
      <c r="AX24" s="93" t="str">
        <f>IFERROR(s_C*s_IFTO_res_adj*s_CF_tomato*0.001*(s_Irr!X24+s_Irr!AV24+s_Irr!BT24),".")</f>
        <v>.</v>
      </c>
      <c r="AY24" s="93" t="str">
        <f>IFERROR(s_C*s_IFRI_res_adj*s_CF_rice*0.001*(s_Irr!Y24+s_Irr!AW24+s_Irr!BU24),".")</f>
        <v>.</v>
      </c>
      <c r="AZ24" s="93" t="str">
        <f>IFERROR(s_C*s_IFCG_res_adj*s_CF_cereal*0.001*(s_Irr!Z24+s_Irr!AX24+s_Irr!BV24),".")</f>
        <v>.</v>
      </c>
      <c r="BA24" s="76" t="str">
        <f t="shared" ref="BA24:BA25" si="29">IFERROR(1/SUM(1/BB24,1/BC24,1/BX24,1/BY24),".")</f>
        <v>.</v>
      </c>
      <c r="BB24" s="76" t="str">
        <f>IFERROR(IF(AND(s_Irr!C24&lt;&gt;".",s_Irr!AA24&lt;&gt;".",s_Irr!AY24&lt;&gt;"."),s_dir!AC24/((1/1000)*(s_Irr!C24+s_Irr!AA24+s_Irr!AY24)),IF(AND(s_Irr!C24&lt;&gt;".",s_Irr!AA24&lt;&gt;".",s_Irr!AY24="."),s_dir!AC24/((1/1000)*(s_Irr!C24+s_Irr!AA24)),IF(AND(s_Irr!C24&lt;&gt;".",s_Irr!AA24=".",s_Irr!AY24&lt;&gt;"."),s_dir!AC24/((1/1000)*(s_Irr!C24+s_Irr!AY24)),IF(AND(s_Irr!C24=".",s_Irr!AA24&lt;&gt;".",s_Irr!AY24&lt;&gt;"."),s_dir!AC24/((1/1000)*(s_Irr!AA24+s_Irr!AY24)),IF(AND(s_Irr!C24=".",s_Irr!AA24=".",s_Irr!AY24&lt;&gt;"."),s_dir!AC24/((1/1000)*(s_Irr!AY24)),IF(AND(s_Irr!C24=".",s_Irr!AA24&lt;&gt;".",s_Irr!AY24="."),s_dir!AC24/((1/1000)*(s_Irr!AA24)),IF(AND(s_Irr!C24&lt;&gt;".",s_Irr!AA24=".",s_Irr!AY24="."),s_dir!AC24/((1/1000)*(s_Irr!C24)),IF(AND(s_Irr!C24=".",s_Irr!AA24=".",s_Irr!AY24="."),s_dir!AC24*1000)))))))),".")</f>
        <v>.</v>
      </c>
      <c r="BC24" s="76" t="str">
        <f>IFERROR(IF(AND(s_Irr!D24&lt;&gt;".",s_Irr!AB24&lt;&gt;".",s_Irr!AZ24&lt;&gt;"."),s_dir!AD24/((1/1000)*(s_Irr!D24+s_Irr!AB24+s_Irr!AZ24)),IF(AND(s_Irr!D24&lt;&gt;".",s_Irr!AB24&lt;&gt;".",s_Irr!AZ24="."),s_dir!AD24/((1/1000)*(s_Irr!D24+s_Irr!AB24)),IF(AND(s_Irr!D24&lt;&gt;".",s_Irr!AB24=".",s_Irr!AZ24&lt;&gt;"."),s_dir!AD24/((1/1000)*(s_Irr!D24+s_Irr!AZ24)),IF(AND(s_Irr!D24=".",s_Irr!AB24&lt;&gt;".",s_Irr!AZ24&lt;&gt;"."),s_dir!AD24/((1/1000)*(s_Irr!AB24+s_Irr!AZ24)),IF(AND(s_Irr!D24=".",s_Irr!AB24=".",s_Irr!AZ24&lt;&gt;"."),s_dir!AD24/((1/1000)*(s_Irr!AZ24)),IF(AND(s_Irr!D24=".",s_Irr!AB24&lt;&gt;".",s_Irr!AZ24="."),s_dir!AD24/((1/1000)*(s_Irr!AB24)),IF(AND(s_Irr!D24&lt;&gt;".",s_Irr!AB24=".",s_Irr!AZ24="."),s_dir!AD24/((1/1000)*(s_Irr!D24)),IF(AND(s_Irr!D24=".",s_Irr!AB24=".",s_Irr!AZ24="."),s_dir!AD24*1000)))))))),".")</f>
        <v>.</v>
      </c>
      <c r="BD24" s="76" t="str">
        <f>IFERROR(IF(AND(s_Irr!E24&lt;&gt;".",s_Irr!AC24&lt;&gt;".",s_Irr!BA24&lt;&gt;"."),s_dir!AE24/((1/1000)*(s_Irr!E24+s_Irr!AC24+s_Irr!BA24)),IF(AND(s_Irr!E24&lt;&gt;".",s_Irr!AC24&lt;&gt;".",s_Irr!BA24="."),s_dir!AE24/((1/1000)*(s_Irr!E24+s_Irr!AC24)),IF(AND(s_Irr!E24&lt;&gt;".",s_Irr!AC24=".",s_Irr!BA24&lt;&gt;"."),s_dir!AE24/((1/1000)*(s_Irr!E24+s_Irr!BA24)),IF(AND(s_Irr!E24=".",s_Irr!AC24&lt;&gt;".",s_Irr!BA24&lt;&gt;"."),s_dir!AE24/((1/1000)*(s_Irr!AC24+s_Irr!BA24)),IF(AND(s_Irr!E24=".",s_Irr!AC24=".",s_Irr!BA24&lt;&gt;"."),s_dir!AE24/((1/1000)*(s_Irr!BA24)),IF(AND(s_Irr!E24=".",s_Irr!AC24&lt;&gt;".",s_Irr!BA24="."),s_dir!AE24/((1/1000)*(s_Irr!AC24)),IF(AND(s_Irr!E24&lt;&gt;".",s_Irr!AC24=".",s_Irr!BA24="."),s_dir!AE24/((1/1000)*(s_Irr!E24)),IF(AND(s_Irr!E24=".",s_Irr!AC24=".",s_Irr!BA24="."),s_dir!AE24*1000)))))))),".")</f>
        <v>.</v>
      </c>
      <c r="BE24" s="76" t="str">
        <f>IFERROR(IF(AND(s_Irr!F24&lt;&gt;".",s_Irr!AD24&lt;&gt;".",s_Irr!BB24&lt;&gt;"."),s_dir!AF24/((1/1000)*(s_Irr!F24+s_Irr!AD24+s_Irr!BB24)),IF(AND(s_Irr!F24&lt;&gt;".",s_Irr!AD24&lt;&gt;".",s_Irr!BB24="."),s_dir!AF24/((1/1000)*(s_Irr!F24+s_Irr!AD24)),IF(AND(s_Irr!F24&lt;&gt;".",s_Irr!AD24=".",s_Irr!BB24&lt;&gt;"."),s_dir!AF24/((1/1000)*(s_Irr!F24+s_Irr!BB24)),IF(AND(s_Irr!F24=".",s_Irr!AD24&lt;&gt;".",s_Irr!BB24&lt;&gt;"."),s_dir!AF24/((1/1000)*(s_Irr!AD24+s_Irr!BB24)),IF(AND(s_Irr!F24=".",s_Irr!AD24=".",s_Irr!BB24&lt;&gt;"."),s_dir!AF24/((1/1000)*(s_Irr!BB24)),IF(AND(s_Irr!F24=".",s_Irr!AD24&lt;&gt;".",s_Irr!BB24="."),s_dir!AF24/((1/1000)*(s_Irr!AD24)),IF(AND(s_Irr!F24&lt;&gt;".",s_Irr!AD24=".",s_Irr!BB24="."),s_dir!AF24/((1/1000)*(s_Irr!F24)),IF(AND(s_Irr!F24=".",s_Irr!AD24=".",s_Irr!BB24="."),s_dir!AF24*1000)))))))),".")</f>
        <v>.</v>
      </c>
      <c r="BF24" s="76" t="str">
        <f>IFERROR(IF(AND(s_Irr!G24&lt;&gt;".",s_Irr!AE24&lt;&gt;".",s_Irr!BC24&lt;&gt;"."),s_dir!AG24/((1/1000)*(s_Irr!G24+s_Irr!AE24+s_Irr!BC24)),IF(AND(s_Irr!G24&lt;&gt;".",s_Irr!AE24&lt;&gt;".",s_Irr!BC24="."),s_dir!AG24/((1/1000)*(s_Irr!G24+s_Irr!AE24)),IF(AND(s_Irr!G24&lt;&gt;".",s_Irr!AE24=".",s_Irr!BC24&lt;&gt;"."),s_dir!AG24/((1/1000)*(s_Irr!G24+s_Irr!BC24)),IF(AND(s_Irr!G24=".",s_Irr!AE24&lt;&gt;".",s_Irr!BC24&lt;&gt;"."),s_dir!AG24/((1/1000)*(s_Irr!AE24+s_Irr!BC24)),IF(AND(s_Irr!G24=".",s_Irr!AE24=".",s_Irr!BC24&lt;&gt;"."),s_dir!AG24/((1/1000)*(s_Irr!BC24)),IF(AND(s_Irr!G24=".",s_Irr!AE24&lt;&gt;".",s_Irr!BC24="."),s_dir!AG24/((1/1000)*(s_Irr!AE24)),IF(AND(s_Irr!G24&lt;&gt;".",s_Irr!AE24=".",s_Irr!BC24="."),s_dir!AG24/((1/1000)*(s_Irr!G24)),IF(AND(s_Irr!G24=".",s_Irr!AE24=".",s_Irr!BC24="."),s_dir!AG24*1000)))))))),".")</f>
        <v>.</v>
      </c>
      <c r="BG24" s="76" t="str">
        <f>IFERROR(IF(AND(s_Irr!H24&lt;&gt;".",s_Irr!AF24&lt;&gt;".",s_Irr!BD24&lt;&gt;"."),s_dir!AH24/((1/1000)*(s_Irr!H24+s_Irr!AF24+s_Irr!BD24)),IF(AND(s_Irr!H24&lt;&gt;".",s_Irr!AF24&lt;&gt;".",s_Irr!BD24="."),s_dir!AH24/((1/1000)*(s_Irr!H24+s_Irr!AF24)),IF(AND(s_Irr!H24&lt;&gt;".",s_Irr!AF24=".",s_Irr!BD24&lt;&gt;"."),s_dir!AH24/((1/1000)*(s_Irr!H24+s_Irr!BD24)),IF(AND(s_Irr!H24=".",s_Irr!AF24&lt;&gt;".",s_Irr!BD24&lt;&gt;"."),s_dir!AH24/((1/1000)*(s_Irr!AF24+s_Irr!BD24)),IF(AND(s_Irr!H24=".",s_Irr!AF24=".",s_Irr!BD24&lt;&gt;"."),s_dir!AH24/((1/1000)*(s_Irr!BD24)),IF(AND(s_Irr!H24=".",s_Irr!AF24&lt;&gt;".",s_Irr!BD24="."),s_dir!AH24/((1/1000)*(s_Irr!AF24)),IF(AND(s_Irr!H24&lt;&gt;".",s_Irr!AF24=".",s_Irr!BD24="."),s_dir!AH24/((1/1000)*(s_Irr!H24)),IF(AND(s_Irr!H24=".",s_Irr!AF24=".",s_Irr!BD24="."),s_dir!AH24*1000)))))))),".")</f>
        <v>.</v>
      </c>
      <c r="BH24" s="76" t="str">
        <f>IFERROR(IF(AND(s_Irr!I24&lt;&gt;".",s_Irr!AG24&lt;&gt;".",s_Irr!BE24&lt;&gt;"."),s_dir!AI24/((1/1000)*(s_Irr!I24+s_Irr!AG24+s_Irr!BE24)),IF(AND(s_Irr!I24&lt;&gt;".",s_Irr!AG24&lt;&gt;".",s_Irr!BE24="."),s_dir!AI24/((1/1000)*(s_Irr!I24+s_Irr!AG24)),IF(AND(s_Irr!I24&lt;&gt;".",s_Irr!AG24=".",s_Irr!BE24&lt;&gt;"."),s_dir!AI24/((1/1000)*(s_Irr!I24+s_Irr!BE24)),IF(AND(s_Irr!I24=".",s_Irr!AG24&lt;&gt;".",s_Irr!BE24&lt;&gt;"."),s_dir!AI24/((1/1000)*(s_Irr!AG24+s_Irr!BE24)),IF(AND(s_Irr!I24=".",s_Irr!AG24=".",s_Irr!BE24&lt;&gt;"."),s_dir!AI24/((1/1000)*(s_Irr!BE24)),IF(AND(s_Irr!I24=".",s_Irr!AG24&lt;&gt;".",s_Irr!BE24="."),s_dir!AI24/((1/1000)*(s_Irr!AG24)),IF(AND(s_Irr!I24&lt;&gt;".",s_Irr!AG24=".",s_Irr!BE24="."),s_dir!AI24/((1/1000)*(s_Irr!I24)),IF(AND(s_Irr!I24=".",s_Irr!AG24=".",s_Irr!BE24="."),s_dir!AI24*1000)))))))),".")</f>
        <v>.</v>
      </c>
      <c r="BI24" s="76" t="str">
        <f>IFERROR(IF(AND(s_Irr!J24&lt;&gt;".",s_Irr!AH24&lt;&gt;".",s_Irr!BF24&lt;&gt;"."),s_dir!AJ24/((1/1000)*(s_Irr!J24+s_Irr!AH24+s_Irr!BF24)),IF(AND(s_Irr!J24&lt;&gt;".",s_Irr!AH24&lt;&gt;".",s_Irr!BF24="."),s_dir!AJ24/((1/1000)*(s_Irr!J24+s_Irr!AH24)),IF(AND(s_Irr!J24&lt;&gt;".",s_Irr!AH24=".",s_Irr!BF24&lt;&gt;"."),s_dir!AJ24/((1/1000)*(s_Irr!J24+s_Irr!BF24)),IF(AND(s_Irr!J24=".",s_Irr!AH24&lt;&gt;".",s_Irr!BF24&lt;&gt;"."),s_dir!AJ24/((1/1000)*(s_Irr!AH24+s_Irr!BF24)),IF(AND(s_Irr!J24=".",s_Irr!AH24=".",s_Irr!BF24&lt;&gt;"."),s_dir!AJ24/((1/1000)*(s_Irr!BF24)),IF(AND(s_Irr!J24=".",s_Irr!AH24&lt;&gt;".",s_Irr!BF24="."),s_dir!AJ24/((1/1000)*(s_Irr!AH24)),IF(AND(s_Irr!J24&lt;&gt;".",s_Irr!AH24=".",s_Irr!BF24="."),s_dir!AJ24/((1/1000)*(s_Irr!J24)),IF(AND(s_Irr!J24=".",s_Irr!AH24=".",s_Irr!BF24="."),s_dir!AJ24*1000)))))))),".")</f>
        <v>.</v>
      </c>
      <c r="BJ24" s="76" t="str">
        <f>IFERROR(IF(AND(s_Irr!K24&lt;&gt;".",s_Irr!AI24&lt;&gt;".",s_Irr!BG24&lt;&gt;"."),s_dir!AK24/((1/1000)*(s_Irr!K24+s_Irr!AI24+s_Irr!BG24)),IF(AND(s_Irr!K24&lt;&gt;".",s_Irr!AI24&lt;&gt;".",s_Irr!BG24="."),s_dir!AK24/((1/1000)*(s_Irr!K24+s_Irr!AI24)),IF(AND(s_Irr!K24&lt;&gt;".",s_Irr!AI24=".",s_Irr!BG24&lt;&gt;"."),s_dir!AK24/((1/1000)*(s_Irr!K24+s_Irr!BG24)),IF(AND(s_Irr!K24=".",s_Irr!AI24&lt;&gt;".",s_Irr!BG24&lt;&gt;"."),s_dir!AK24/((1/1000)*(s_Irr!AI24+s_Irr!BG24)),IF(AND(s_Irr!K24=".",s_Irr!AI24=".",s_Irr!BG24&lt;&gt;"."),s_dir!AK24/((1/1000)*(s_Irr!BG24)),IF(AND(s_Irr!K24=".",s_Irr!AI24&lt;&gt;".",s_Irr!BG24="."),s_dir!AK24/((1/1000)*(s_Irr!AI24)),IF(AND(s_Irr!K24&lt;&gt;".",s_Irr!AI24=".",s_Irr!BG24="."),s_dir!AK24/((1/1000)*(s_Irr!K24)),IF(AND(s_Irr!K24=".",s_Irr!AI24=".",s_Irr!BG24="."),s_dir!AK24*1000)))))))),".")</f>
        <v>.</v>
      </c>
      <c r="BK24" s="76" t="str">
        <f>IFERROR(IF(AND(s_Irr!L24&lt;&gt;".",s_Irr!AJ24&lt;&gt;".",s_Irr!BH24&lt;&gt;"."),s_dir!AL24/((1/1000)*(s_Irr!L24+s_Irr!AJ24+s_Irr!BH24)),IF(AND(s_Irr!L24&lt;&gt;".",s_Irr!AJ24&lt;&gt;".",s_Irr!BH24="."),s_dir!AL24/((1/1000)*(s_Irr!L24+s_Irr!AJ24)),IF(AND(s_Irr!L24&lt;&gt;".",s_Irr!AJ24=".",s_Irr!BH24&lt;&gt;"."),s_dir!AL24/((1/1000)*(s_Irr!L24+s_Irr!BH24)),IF(AND(s_Irr!L24=".",s_Irr!AJ24&lt;&gt;".",s_Irr!BH24&lt;&gt;"."),s_dir!AL24/((1/1000)*(s_Irr!AJ24+s_Irr!BH24)),IF(AND(s_Irr!L24=".",s_Irr!AJ24=".",s_Irr!BH24&lt;&gt;"."),s_dir!AL24/((1/1000)*(s_Irr!BH24)),IF(AND(s_Irr!L24=".",s_Irr!AJ24&lt;&gt;".",s_Irr!BH24="."),s_dir!AL24/((1/1000)*(s_Irr!AJ24)),IF(AND(s_Irr!L24&lt;&gt;".",s_Irr!AJ24=".",s_Irr!BH24="."),s_dir!AL24/((1/1000)*(s_Irr!L24)),IF(AND(s_Irr!L24=".",s_Irr!AJ24=".",s_Irr!BH24="."),s_dir!AL24*1000)))))))),".")</f>
        <v>.</v>
      </c>
      <c r="BL24" s="76" t="str">
        <f>IFERROR(IF(AND(s_Irr!M24&lt;&gt;".",s_Irr!AK24&lt;&gt;".",s_Irr!BI24&lt;&gt;"."),s_dir!AM24/((1/1000)*(s_Irr!M24+s_Irr!AK24+s_Irr!BI24)),IF(AND(s_Irr!M24&lt;&gt;".",s_Irr!AK24&lt;&gt;".",s_Irr!BI24="."),s_dir!AM24/((1/1000)*(s_Irr!M24+s_Irr!AK24)),IF(AND(s_Irr!M24&lt;&gt;".",s_Irr!AK24=".",s_Irr!BI24&lt;&gt;"."),s_dir!AM24/((1/1000)*(s_Irr!M24+s_Irr!BI24)),IF(AND(s_Irr!M24=".",s_Irr!AK24&lt;&gt;".",s_Irr!BI24&lt;&gt;"."),s_dir!AM24/((1/1000)*(s_Irr!AK24+s_Irr!BI24)),IF(AND(s_Irr!M24=".",s_Irr!AK24=".",s_Irr!BI24&lt;&gt;"."),s_dir!AM24/((1/1000)*(s_Irr!BI24)),IF(AND(s_Irr!M24=".",s_Irr!AK24&lt;&gt;".",s_Irr!BI24="."),s_dir!AM24/((1/1000)*(s_Irr!AK24)),IF(AND(s_Irr!M24&lt;&gt;".",s_Irr!AK24=".",s_Irr!BI24="."),s_dir!AM24/((1/1000)*(s_Irr!M24)),IF(AND(s_Irr!M24=".",s_Irr!AK24=".",s_Irr!BI24="."),s_dir!AM24*1000)))))))),".")</f>
        <v>.</v>
      </c>
      <c r="BM24" s="76" t="str">
        <f>IFERROR(IF(AND(s_Irr!N24&lt;&gt;".",s_Irr!AL24&lt;&gt;".",s_Irr!BJ24&lt;&gt;"."),s_dir!AN24/((1/1000)*(s_Irr!N24+s_Irr!AL24+s_Irr!BJ24)),IF(AND(s_Irr!N24&lt;&gt;".",s_Irr!AL24&lt;&gt;".",s_Irr!BJ24="."),s_dir!AN24/((1/1000)*(s_Irr!N24+s_Irr!AL24)),IF(AND(s_Irr!N24&lt;&gt;".",s_Irr!AL24=".",s_Irr!BJ24&lt;&gt;"."),s_dir!AN24/((1/1000)*(s_Irr!N24+s_Irr!BJ24)),IF(AND(s_Irr!N24=".",s_Irr!AL24&lt;&gt;".",s_Irr!BJ24&lt;&gt;"."),s_dir!AN24/((1/1000)*(s_Irr!AL24+s_Irr!BJ24)),IF(AND(s_Irr!N24=".",s_Irr!AL24=".",s_Irr!BJ24&lt;&gt;"."),s_dir!AN24/((1/1000)*(s_Irr!BJ24)),IF(AND(s_Irr!N24=".",s_Irr!AL24&lt;&gt;".",s_Irr!BJ24="."),s_dir!AN24/((1/1000)*(s_Irr!AL24)),IF(AND(s_Irr!N24&lt;&gt;".",s_Irr!AL24=".",s_Irr!BJ24="."),s_dir!AN24/((1/1000)*(s_Irr!N24)),IF(AND(s_Irr!N24=".",s_Irr!AL24=".",s_Irr!BJ24="."),s_dir!AN24*1000)))))))),".")</f>
        <v>.</v>
      </c>
      <c r="BN24" s="76" t="str">
        <f>IFERROR(IF(AND(s_Irr!O24&lt;&gt;".",s_Irr!AM24&lt;&gt;".",s_Irr!BK24&lt;&gt;"."),s_dir!AO24/((1/1000)*(s_Irr!O24+s_Irr!AM24+s_Irr!BK24)),IF(AND(s_Irr!O24&lt;&gt;".",s_Irr!AM24&lt;&gt;".",s_Irr!BK24="."),s_dir!AO24/((1/1000)*(s_Irr!O24+s_Irr!AM24)),IF(AND(s_Irr!O24&lt;&gt;".",s_Irr!AM24=".",s_Irr!BK24&lt;&gt;"."),s_dir!AO24/((1/1000)*(s_Irr!O24+s_Irr!BK24)),IF(AND(s_Irr!O24=".",s_Irr!AM24&lt;&gt;".",s_Irr!BK24&lt;&gt;"."),s_dir!AO24/((1/1000)*(s_Irr!AM24+s_Irr!BK24)),IF(AND(s_Irr!O24=".",s_Irr!AM24=".",s_Irr!BK24&lt;&gt;"."),s_dir!AO24/((1/1000)*(s_Irr!BK24)),IF(AND(s_Irr!O24=".",s_Irr!AM24&lt;&gt;".",s_Irr!BK24="."),s_dir!AO24/((1/1000)*(s_Irr!AM24)),IF(AND(s_Irr!O24&lt;&gt;".",s_Irr!AM24=".",s_Irr!BK24="."),s_dir!AO24/((1/1000)*(s_Irr!O24)),IF(AND(s_Irr!O24=".",s_Irr!AM24=".",s_Irr!BK24="."),s_dir!AO24*1000)))))))),".")</f>
        <v>.</v>
      </c>
      <c r="BO24" s="76" t="str">
        <f>IFERROR(IF(AND(s_Irr!P24&lt;&gt;".",s_Irr!AN24&lt;&gt;".",s_Irr!BL24&lt;&gt;"."),s_dir!AP24/((1/1000)*(s_Irr!P24+s_Irr!AN24+s_Irr!BL24)),IF(AND(s_Irr!P24&lt;&gt;".",s_Irr!AN24&lt;&gt;".",s_Irr!BL24="."),s_dir!AP24/((1/1000)*(s_Irr!P24+s_Irr!AN24)),IF(AND(s_Irr!P24&lt;&gt;".",s_Irr!AN24=".",s_Irr!BL24&lt;&gt;"."),s_dir!AP24/((1/1000)*(s_Irr!P24+s_Irr!BL24)),IF(AND(s_Irr!P24=".",s_Irr!AN24&lt;&gt;".",s_Irr!BL24&lt;&gt;"."),s_dir!AP24/((1/1000)*(s_Irr!AN24+s_Irr!BL24)),IF(AND(s_Irr!P24=".",s_Irr!AN24=".",s_Irr!BL24&lt;&gt;"."),s_dir!AP24/((1/1000)*(s_Irr!BL24)),IF(AND(s_Irr!P24=".",s_Irr!AN24&lt;&gt;".",s_Irr!BL24="."),s_dir!AP24/((1/1000)*(s_Irr!AN24)),IF(AND(s_Irr!P24&lt;&gt;".",s_Irr!AN24=".",s_Irr!BL24="."),s_dir!AP24/((1/1000)*(s_Irr!P24)),IF(AND(s_Irr!P24=".",s_Irr!AN24=".",s_Irr!BL24="."),s_dir!AP24*1000)))))))),".")</f>
        <v>.</v>
      </c>
      <c r="BP24" s="76" t="str">
        <f>IFERROR(IF(AND(s_Irr!Q24&lt;&gt;".",s_Irr!AO24&lt;&gt;".",s_Irr!BM24&lt;&gt;"."),s_dir!AQ24/((1/1000)*(s_Irr!Q24+s_Irr!AO24+s_Irr!BM24)),IF(AND(s_Irr!Q24&lt;&gt;".",s_Irr!AO24&lt;&gt;".",s_Irr!BM24="."),s_dir!AQ24/((1/1000)*(s_Irr!Q24+s_Irr!AO24)),IF(AND(s_Irr!Q24&lt;&gt;".",s_Irr!AO24=".",s_Irr!BM24&lt;&gt;"."),s_dir!AQ24/((1/1000)*(s_Irr!Q24+s_Irr!BM24)),IF(AND(s_Irr!Q24=".",s_Irr!AO24&lt;&gt;".",s_Irr!BM24&lt;&gt;"."),s_dir!AQ24/((1/1000)*(s_Irr!AO24+s_Irr!BM24)),IF(AND(s_Irr!Q24=".",s_Irr!AO24=".",s_Irr!BM24&lt;&gt;"."),s_dir!AQ24/((1/1000)*(s_Irr!BM24)),IF(AND(s_Irr!Q24=".",s_Irr!AO24&lt;&gt;".",s_Irr!BM24="."),s_dir!AQ24/((1/1000)*(s_Irr!AO24)),IF(AND(s_Irr!Q24&lt;&gt;".",s_Irr!AO24=".",s_Irr!BM24="."),s_dir!AQ24/((1/1000)*(s_Irr!Q24)),IF(AND(s_Irr!Q24=".",s_Irr!AO24=".",s_Irr!BM24="."),s_dir!AQ24*1000)))))))),".")</f>
        <v>.</v>
      </c>
      <c r="BQ24" s="76" t="str">
        <f>IFERROR(IF(AND(s_Irr!R24&lt;&gt;".",s_Irr!AP24&lt;&gt;".",s_Irr!BN24&lt;&gt;"."),s_dir!AR24/((1/1000)*(s_Irr!R24+s_Irr!AP24+s_Irr!BN24)),IF(AND(s_Irr!R24&lt;&gt;".",s_Irr!AP24&lt;&gt;".",s_Irr!BN24="."),s_dir!AR24/((1/1000)*(s_Irr!R24+s_Irr!AP24)),IF(AND(s_Irr!R24&lt;&gt;".",s_Irr!AP24=".",s_Irr!BN24&lt;&gt;"."),s_dir!AR24/((1/1000)*(s_Irr!R24+s_Irr!BN24)),IF(AND(s_Irr!R24=".",s_Irr!AP24&lt;&gt;".",s_Irr!BN24&lt;&gt;"."),s_dir!AR24/((1/1000)*(s_Irr!AP24+s_Irr!BN24)),IF(AND(s_Irr!R24=".",s_Irr!AP24=".",s_Irr!BN24&lt;&gt;"."),s_dir!AR24/((1/1000)*(s_Irr!BN24)),IF(AND(s_Irr!R24=".",s_Irr!AP24&lt;&gt;".",s_Irr!BN24="."),s_dir!AR24/((1/1000)*(s_Irr!AP24)),IF(AND(s_Irr!R24&lt;&gt;".",s_Irr!AP24=".",s_Irr!BN24="."),s_dir!AR24/((1/1000)*(s_Irr!R24)),IF(AND(s_Irr!R24=".",s_Irr!AP24=".",s_Irr!BN24="."),s_dir!AR24*1000)))))))),".")</f>
        <v>.</v>
      </c>
      <c r="BR24" s="76" t="str">
        <f>IFERROR(IF(AND(s_Irr!S24&lt;&gt;".",s_Irr!AQ24&lt;&gt;".",s_Irr!BO24&lt;&gt;"."),s_dir!AS24/((1/1000)*(s_Irr!S24+s_Irr!AQ24+s_Irr!BO24)),IF(AND(s_Irr!S24&lt;&gt;".",s_Irr!AQ24&lt;&gt;".",s_Irr!BO24="."),s_dir!AS24/((1/1000)*(s_Irr!S24+s_Irr!AQ24)),IF(AND(s_Irr!S24&lt;&gt;".",s_Irr!AQ24=".",s_Irr!BO24&lt;&gt;"."),s_dir!AS24/((1/1000)*(s_Irr!S24+s_Irr!BO24)),IF(AND(s_Irr!S24=".",s_Irr!AQ24&lt;&gt;".",s_Irr!BO24&lt;&gt;"."),s_dir!AS24/((1/1000)*(s_Irr!AQ24+s_Irr!BO24)),IF(AND(s_Irr!S24=".",s_Irr!AQ24=".",s_Irr!BO24&lt;&gt;"."),s_dir!AS24/((1/1000)*(s_Irr!BO24)),IF(AND(s_Irr!S24=".",s_Irr!AQ24&lt;&gt;".",s_Irr!BO24="."),s_dir!AS24/((1/1000)*(s_Irr!AQ24)),IF(AND(s_Irr!S24&lt;&gt;".",s_Irr!AQ24=".",s_Irr!BO24="."),s_dir!AS24/((1/1000)*(s_Irr!S24)),IF(AND(s_Irr!S24=".",s_Irr!AQ24=".",s_Irr!BO24="."),s_dir!AS24*1000)))))))),".")</f>
        <v>.</v>
      </c>
      <c r="BS24" s="76" t="str">
        <f>IFERROR(IF(AND(s_Irr!T24&lt;&gt;".",s_Irr!AR24&lt;&gt;".",s_Irr!BP24&lt;&gt;"."),s_dir!AT24/((1/1000)*(s_Irr!T24+s_Irr!AR24+s_Irr!BP24)),IF(AND(s_Irr!T24&lt;&gt;".",s_Irr!AR24&lt;&gt;".",s_Irr!BP24="."),s_dir!AT24/((1/1000)*(s_Irr!T24+s_Irr!AR24)),IF(AND(s_Irr!T24&lt;&gt;".",s_Irr!AR24=".",s_Irr!BP24&lt;&gt;"."),s_dir!AT24/((1/1000)*(s_Irr!T24+s_Irr!BP24)),IF(AND(s_Irr!T24=".",s_Irr!AR24&lt;&gt;".",s_Irr!BP24&lt;&gt;"."),s_dir!AT24/((1/1000)*(s_Irr!AR24+s_Irr!BP24)),IF(AND(s_Irr!T24=".",s_Irr!AR24=".",s_Irr!BP24&lt;&gt;"."),s_dir!AT24/((1/1000)*(s_Irr!BP24)),IF(AND(s_Irr!T24=".",s_Irr!AR24&lt;&gt;".",s_Irr!BP24="."),s_dir!AT24/((1/1000)*(s_Irr!AR24)),IF(AND(s_Irr!T24&lt;&gt;".",s_Irr!AR24=".",s_Irr!BP24="."),s_dir!AT24/((1/1000)*(s_Irr!T24)),IF(AND(s_Irr!T24=".",s_Irr!AR24=".",s_Irr!BP24="."),s_dir!AT24*1000)))))))),".")</f>
        <v>.</v>
      </c>
      <c r="BT24" s="76" t="str">
        <f>IFERROR(IF(AND(s_Irr!U24&lt;&gt;".",s_Irr!AS24&lt;&gt;".",s_Irr!BQ24&lt;&gt;"."),s_dir!AU24/((1/1000)*(s_Irr!U24+s_Irr!AS24+s_Irr!BQ24)),IF(AND(s_Irr!U24&lt;&gt;".",s_Irr!AS24&lt;&gt;".",s_Irr!BQ24="."),s_dir!AU24/((1/1000)*(s_Irr!U24+s_Irr!AS24)),IF(AND(s_Irr!U24&lt;&gt;".",s_Irr!AS24=".",s_Irr!BQ24&lt;&gt;"."),s_dir!AU24/((1/1000)*(s_Irr!U24+s_Irr!BQ24)),IF(AND(s_Irr!U24=".",s_Irr!AS24&lt;&gt;".",s_Irr!BQ24&lt;&gt;"."),s_dir!AU24/((1/1000)*(s_Irr!AS24+s_Irr!BQ24)),IF(AND(s_Irr!U24=".",s_Irr!AS24=".",s_Irr!BQ24&lt;&gt;"."),s_dir!AU24/((1/1000)*(s_Irr!BQ24)),IF(AND(s_Irr!U24=".",s_Irr!AS24&lt;&gt;".",s_Irr!BQ24="."),s_dir!AU24/((1/1000)*(s_Irr!AS24)),IF(AND(s_Irr!U24&lt;&gt;".",s_Irr!AS24=".",s_Irr!BQ24="."),s_dir!AU24/((1/1000)*(s_Irr!U24)),IF(AND(s_Irr!U24=".",s_Irr!AS24=".",s_Irr!BQ24="."),s_dir!AU24*1000)))))))),".")</f>
        <v>.</v>
      </c>
      <c r="BU24" s="76" t="str">
        <f>IFERROR(IF(AND(s_Irr!V24&lt;&gt;".",s_Irr!AT24&lt;&gt;".",s_Irr!BR24&lt;&gt;"."),s_dir!AV24/((1/1000)*(s_Irr!V24+s_Irr!AT24+s_Irr!BR24)),IF(AND(s_Irr!V24&lt;&gt;".",s_Irr!AT24&lt;&gt;".",s_Irr!BR24="."),s_dir!AV24/((1/1000)*(s_Irr!V24+s_Irr!AT24)),IF(AND(s_Irr!V24&lt;&gt;".",s_Irr!AT24=".",s_Irr!BR24&lt;&gt;"."),s_dir!AV24/((1/1000)*(s_Irr!V24+s_Irr!BR24)),IF(AND(s_Irr!V24=".",s_Irr!AT24&lt;&gt;".",s_Irr!BR24&lt;&gt;"."),s_dir!AV24/((1/1000)*(s_Irr!AT24+s_Irr!BR24)),IF(AND(s_Irr!V24=".",s_Irr!AT24=".",s_Irr!BR24&lt;&gt;"."),s_dir!AV24/((1/1000)*(s_Irr!BR24)),IF(AND(s_Irr!V24=".",s_Irr!AT24&lt;&gt;".",s_Irr!BR24="."),s_dir!AV24/((1/1000)*(s_Irr!AT24)),IF(AND(s_Irr!V24&lt;&gt;".",s_Irr!AT24=".",s_Irr!BR24="."),s_dir!AV24/((1/1000)*(s_Irr!V24)),IF(AND(s_Irr!V24=".",s_Irr!AT24=".",s_Irr!BR24="."),s_dir!AV24*1000)))))))),".")</f>
        <v>.</v>
      </c>
      <c r="BV24" s="76" t="str">
        <f>IFERROR(IF(AND(s_Irr!W24&lt;&gt;".",s_Irr!AU24&lt;&gt;".",s_Irr!BS24&lt;&gt;"."),s_dir!AW24/((1/1000)*(s_Irr!W24+s_Irr!AU24+s_Irr!BS24)),IF(AND(s_Irr!W24&lt;&gt;".",s_Irr!AU24&lt;&gt;".",s_Irr!BS24="."),s_dir!AW24/((1/1000)*(s_Irr!W24+s_Irr!AU24)),IF(AND(s_Irr!W24&lt;&gt;".",s_Irr!AU24=".",s_Irr!BS24&lt;&gt;"."),s_dir!AW24/((1/1000)*(s_Irr!W24+s_Irr!BS24)),IF(AND(s_Irr!W24=".",s_Irr!AU24&lt;&gt;".",s_Irr!BS24&lt;&gt;"."),s_dir!AW24/((1/1000)*(s_Irr!AU24+s_Irr!BS24)),IF(AND(s_Irr!W24=".",s_Irr!AU24=".",s_Irr!BS24&lt;&gt;"."),s_dir!AW24/((1/1000)*(s_Irr!BS24)),IF(AND(s_Irr!W24=".",s_Irr!AU24&lt;&gt;".",s_Irr!BS24="."),s_dir!AW24/((1/1000)*(s_Irr!AU24)),IF(AND(s_Irr!W24&lt;&gt;".",s_Irr!AU24=".",s_Irr!BS24="."),s_dir!AW24/((1/1000)*(s_Irr!W24)),IF(AND(s_Irr!W24=".",s_Irr!AU24=".",s_Irr!BS24="."),s_dir!AW24*1000)))))))),".")</f>
        <v>.</v>
      </c>
      <c r="BW24" s="76" t="str">
        <f>IFERROR(IF(AND(s_Irr!X24&lt;&gt;".",s_Irr!AV24&lt;&gt;".",s_Irr!BT24&lt;&gt;"."),s_dir!AX24/((1/1000)*(s_Irr!X24+s_Irr!AV24+s_Irr!BT24)),IF(AND(s_Irr!X24&lt;&gt;".",s_Irr!AV24&lt;&gt;".",s_Irr!BT24="."),s_dir!AX24/((1/1000)*(s_Irr!X24+s_Irr!AV24)),IF(AND(s_Irr!X24&lt;&gt;".",s_Irr!AV24=".",s_Irr!BT24&lt;&gt;"."),s_dir!AX24/((1/1000)*(s_Irr!X24+s_Irr!BT24)),IF(AND(s_Irr!X24=".",s_Irr!AV24&lt;&gt;".",s_Irr!BT24&lt;&gt;"."),s_dir!AX24/((1/1000)*(s_Irr!AV24+s_Irr!BT24)),IF(AND(s_Irr!X24=".",s_Irr!AV24=".",s_Irr!BT24&lt;&gt;"."),s_dir!AX24/((1/1000)*(s_Irr!BT24)),IF(AND(s_Irr!X24=".",s_Irr!AV24&lt;&gt;".",s_Irr!BT24="."),s_dir!AX24/((1/1000)*(s_Irr!AV24)),IF(AND(s_Irr!X24&lt;&gt;".",s_Irr!AV24=".",s_Irr!BT24="."),s_dir!AX24/((1/1000)*(s_Irr!X24)),IF(AND(s_Irr!X24=".",s_Irr!AV24=".",s_Irr!BT24="."),s_dir!AX24*1000)))))))),".")</f>
        <v>.</v>
      </c>
      <c r="BX24" s="76" t="str">
        <f>IFERROR(IF(AND(s_Irr!Y24&lt;&gt;".",s_Irr!AW24&lt;&gt;".",s_Irr!BU24&lt;&gt;"."),s_dir!AY24/((1/1000)*(s_Irr!Y24+s_Irr!AW24+s_Irr!BU24)),IF(AND(s_Irr!Y24&lt;&gt;".",s_Irr!AW24&lt;&gt;".",s_Irr!BU24="."),s_dir!AY24/((1/1000)*(s_Irr!Y24+s_Irr!AW24)),IF(AND(s_Irr!Y24&lt;&gt;".",s_Irr!AW24=".",s_Irr!BU24&lt;&gt;"."),s_dir!AY24/((1/1000)*(s_Irr!Y24+s_Irr!BU24)),IF(AND(s_Irr!Y24=".",s_Irr!AW24&lt;&gt;".",s_Irr!BU24&lt;&gt;"."),s_dir!AY24/((1/1000)*(s_Irr!AW24+s_Irr!BU24)),IF(AND(s_Irr!Y24=".",s_Irr!AW24=".",s_Irr!BU24&lt;&gt;"."),s_dir!AY24/((1/1000)*(s_Irr!BU24)),IF(AND(s_Irr!Y24=".",s_Irr!AW24&lt;&gt;".",s_Irr!BU24="."),s_dir!AY24/((1/1000)*(s_Irr!AW24)),IF(AND(s_Irr!Y24&lt;&gt;".",s_Irr!AW24=".",s_Irr!BU24="."),s_dir!AY24/((1/1000)*(s_Irr!Y24)),IF(AND(s_Irr!Y24=".",s_Irr!AW24=".",s_Irr!BU24="."),s_dir!AY24*1000)))))))),".")</f>
        <v>.</v>
      </c>
      <c r="BY24" s="76" t="str">
        <f>IFERROR(IF(AND(s_Irr!Z24&lt;&gt;".",s_Irr!AX24&lt;&gt;".",s_Irr!BV24&lt;&gt;"."),s_dir!AZ24/((1/1000)*(s_Irr!Z24+s_Irr!AX24+s_Irr!BV24)),IF(AND(s_Irr!Z24&lt;&gt;".",s_Irr!AX24&lt;&gt;".",s_Irr!BV24="."),s_dir!AZ24/((1/1000)*(s_Irr!Z24+s_Irr!AX24)),IF(AND(s_Irr!Z24&lt;&gt;".",s_Irr!AX24=".",s_Irr!BV24&lt;&gt;"."),s_dir!AZ24/((1/1000)*(s_Irr!Z24+s_Irr!BV24)),IF(AND(s_Irr!Z24=".",s_Irr!AX24&lt;&gt;".",s_Irr!BV24&lt;&gt;"."),s_dir!AZ24/((1/1000)*(s_Irr!AX24+s_Irr!BV24)),IF(AND(s_Irr!Z24=".",s_Irr!AX24=".",s_Irr!BV24&lt;&gt;"."),s_dir!AZ24/((1/1000)*(s_Irr!BV24)),IF(AND(s_Irr!Z24=".",s_Irr!AX24&lt;&gt;".",s_Irr!BV24="."),s_dir!AZ24/((1/1000)*(s_Irr!AX24)),IF(AND(s_Irr!Z24&lt;&gt;".",s_Irr!AX24=".",s_Irr!BV24="."),s_dir!AZ24/((1/1000)*(s_Irr!Z24)),IF(AND(s_Irr!Z24=".",s_Irr!AX24=".",s_Irr!BV24="."),s_dir!AZ24*1000)))))))),".")</f>
        <v>.</v>
      </c>
      <c r="BZ24" s="93">
        <f>SUM(CA24:CB24,CW24:CX24)</f>
        <v>0</v>
      </c>
      <c r="CA24" s="93" t="str">
        <f>IFERROR(s_C*s_IFAP_far_adj*s_CF_apple*(1/1000)*(s_Irr!C24+s_Irr!AA24+s_Irr!AY24),".")</f>
        <v>.</v>
      </c>
      <c r="CB24" s="93" t="str">
        <f>IFERROR(s_C*s_IFAS_far_adj*s_CF_asparagus*(1/1000)*(s_Irr!D24+s_Irr!AB24+s_Irr!AZ24),".")</f>
        <v>.</v>
      </c>
      <c r="CC24" s="93" t="str">
        <f>IFERROR(s_C*s_IFBT_far_adj*s_CF_beet*(1/1000)*(s_Irr!E24+s_Irr!AC24+s_Irr!BA24),".")</f>
        <v>.</v>
      </c>
      <c r="CD24" s="93" t="str">
        <f>IFERROR(s_C*s_IFBE_far_adj*s_CF_berries*(1/1000)*(s_Irr!F24+s_Irr!AD24+s_Irr!BB24),".")</f>
        <v>.</v>
      </c>
      <c r="CE24" s="93" t="str">
        <f>IFERROR(s_C*s_IFBR_far_adj*s_CF_broccoli*(1/1000)*(s_Irr!G24+s_Irr!AE24+s_Irr!BC24),".")</f>
        <v>.</v>
      </c>
      <c r="CF24" s="93" t="str">
        <f>IFERROR(s_C*s_IFCB_far_adj*s_CF_cabbage*(1/1000)*(s_Irr!H24+s_Irr!AF24+s_Irr!BD24),".")</f>
        <v>.</v>
      </c>
      <c r="CG24" s="93" t="str">
        <f>IFERROR(s_C*s_IFCR_far_adj*s_CF_carrot*(1/1000)*(s_Irr!I24+s_Irr!AG24+s_Irr!BE24),".")</f>
        <v>.</v>
      </c>
      <c r="CH24" s="93" t="str">
        <f>IFERROR(s_C*s_IFCI_far_adj*s_CF_citrus*(1/1000)*(s_Irr!J24+s_Irr!AH24+s_Irr!BF24),".")</f>
        <v>.</v>
      </c>
      <c r="CI24" s="93" t="str">
        <f>IFERROR(s_C*s_IFCO_far_adj*s_CF_corn*(1/1000)*(s_Irr!K24+s_Irr!AI24+s_Irr!BG24),".")</f>
        <v>.</v>
      </c>
      <c r="CJ24" s="93" t="str">
        <f>IFERROR(s_C*s_IFCU_far_adj*s_CF_cucumber*(1/1000)*(s_Irr!L24+s_Irr!AJ24+s_Irr!BH24),".")</f>
        <v>.</v>
      </c>
      <c r="CK24" s="93" t="str">
        <f>IFERROR(s_C*s_IFLE_far_adj*s_CF_lettuce*(1/1000)*(s_Irr!M24+s_Irr!AK24+s_Irr!BI24),".")</f>
        <v>.</v>
      </c>
      <c r="CL24" s="93" t="str">
        <f>IFERROR(s_C*s_IFLI_far_adj*s_CF_lima_bean*(1/1000)*(s_Irr!N24+s_Irr!AL24+s_Irr!BJ24),".")</f>
        <v>.</v>
      </c>
      <c r="CM24" s="93" t="str">
        <f>IFERROR(s_C*s_IFOK_far_adj*s_CF_okra*(1/1000)*(s_Irr!O24+s_Irr!AM24+s_Irr!BK24),".")</f>
        <v>.</v>
      </c>
      <c r="CN24" s="93" t="str">
        <f>IFERROR(s_C*s_IFON_far_adj*s_CF_onion*(1/1000)*(s_Irr!P24+s_Irr!AN24+s_Irr!BL24),".")</f>
        <v>.</v>
      </c>
      <c r="CO24" s="93" t="str">
        <f>IFERROR(s_C*s_IFPC_far_adj*s_CF_peach*(1/1000)*(s_Irr!Q24+s_Irr!AO24+s_Irr!BM24),".")</f>
        <v>.</v>
      </c>
      <c r="CP24" s="93" t="str">
        <f>IFERROR(s_C*s_IFPR_far_adj*s_CF_pear*(1/1000)*(s_Irr!R24+s_Irr!AP24+s_Irr!BN24),".")</f>
        <v>.</v>
      </c>
      <c r="CQ24" s="93" t="str">
        <f>IFERROR(s_C*s_IFPE_far_adj*s_CF_peas*(1/1000)*(s_Irr!S24+s_Irr!AQ24+s_Irr!BO24),".")</f>
        <v>.</v>
      </c>
      <c r="CR24" s="93" t="str">
        <f>IFERROR(s_C*s_IFPT_far_adj*s_CF_potato*(1/1000)*(s_Irr!T24+s_Irr!AR24+s_Irr!BP24),".")</f>
        <v>.</v>
      </c>
      <c r="CS24" s="93" t="str">
        <f>IFERROR(s_C*s_IFPU_far_adj*s_CF_pumpkin*(1/1000)*(s_Irr!U24+s_Irr!AS24+s_Irr!BQ24),".")</f>
        <v>.</v>
      </c>
      <c r="CT24" s="93" t="str">
        <f>IFERROR(s_C*s_IFSN_far_adj*s_CF_snap_bean*(1/1000)*(s_Irr!V24+s_Irr!AT24+s_Irr!BR24),".")</f>
        <v>.</v>
      </c>
      <c r="CU24" s="93" t="str">
        <f>IFERROR(s_C*s_IFST_far_adj*s_CF_strawberry*(1/1000)*(s_Irr!W24+s_Irr!AU24+s_Irr!BS24),".")</f>
        <v>.</v>
      </c>
      <c r="CV24" s="93" t="str">
        <f>IFERROR(s_C*s_IFTO_far_adj*s_CF_tomato*(1/1000)*(s_Irr!X24+s_Irr!AV24+s_Irr!BT24),".")</f>
        <v>.</v>
      </c>
      <c r="CW24" s="93" t="str">
        <f>IFERROR(s_C*s_IFRI_far_adj*s_CF_rice*(1/1000)*(s_Irr!Y24+s_Irr!AW24+s_Irr!BU24),".")</f>
        <v>.</v>
      </c>
      <c r="CX24" s="93" t="str">
        <f>IFERROR(s_C*s_IFCG_far_adj*s_CF_cereal*(1/1000)*(s_Irr!Z24+s_Irr!AX24+s_Irr!BV24),".")</f>
        <v>.</v>
      </c>
    </row>
    <row r="25" spans="1:102" x14ac:dyDescent="0.25">
      <c r="A25" s="94" t="s">
        <v>35</v>
      </c>
      <c r="B25" s="90" t="s">
        <v>351</v>
      </c>
      <c r="C25" s="76" t="str">
        <f t="shared" si="28"/>
        <v>.</v>
      </c>
      <c r="D25" s="76" t="str">
        <f>IFERROR(IF(AND(s_Irr!C25&lt;&gt;".",s_Irr!AA25&lt;&gt;".",s_Irr!AY25&lt;&gt;"."),s_dir!D25/((1/1000)*(s_Irr!C25+s_Irr!AA25+s_Irr!AY25)),IF(AND(s_Irr!C25&lt;&gt;".",s_Irr!AA25&lt;&gt;".",s_Irr!AY25="."),s_dir!D25/((1/1000)*(s_Irr!C25+s_Irr!AA25)),IF(AND(s_Irr!C25&lt;&gt;".",s_Irr!AA25=".",s_Irr!AY25&lt;&gt;"."),s_dir!D25/((1/1000)*(s_Irr!C25+s_Irr!AY25)),IF(AND(s_Irr!C25=".",s_Irr!AA25&lt;&gt;".",s_Irr!AY25&lt;&gt;"."),s_dir!D25/((1/1000)*(s_Irr!AA25+s_Irr!AY25)),IF(AND(s_Irr!C25=".",s_Irr!AA25=".",s_Irr!AY25&lt;&gt;"."),s_dir!D25/((1/1000)*(s_Irr!AY25)),IF(AND(s_Irr!C25=".",s_Irr!AA25&lt;&gt;".",s_Irr!AY25="."),s_dir!D25/((1/1000)*(s_Irr!AA25)),IF(AND(s_Irr!C25&lt;&gt;".",s_Irr!AA25=".",s_Irr!AY25="."),s_dir!D25/((1/1000)*(s_Irr!C25)),IF(AND(s_Irr!C25=".",s_Irr!AA25=".",s_Irr!AY25="."),s_dir!D25*1000)))))))),".")</f>
        <v>.</v>
      </c>
      <c r="E25" s="76" t="str">
        <f>IFERROR(IF(AND(s_Irr!D25&lt;&gt;".",s_Irr!AB25&lt;&gt;".",s_Irr!AZ25&lt;&gt;"."),s_dir!E25/((1/1000)*(s_Irr!D25+s_Irr!AB25+s_Irr!AZ25)),IF(AND(s_Irr!D25&lt;&gt;".",s_Irr!AB25&lt;&gt;".",s_Irr!AZ25="."),s_dir!E25/((1/1000)*(s_Irr!D25+s_Irr!AB25)),IF(AND(s_Irr!D25&lt;&gt;".",s_Irr!AB25=".",s_Irr!AZ25&lt;&gt;"."),s_dir!E25/((1/1000)*(s_Irr!D25+s_Irr!AZ25)),IF(AND(s_Irr!D25=".",s_Irr!AB25&lt;&gt;".",s_Irr!AZ25&lt;&gt;"."),s_dir!E25/((1/1000)*(s_Irr!AB25+s_Irr!AZ25)),IF(AND(s_Irr!D25=".",s_Irr!AB25=".",s_Irr!AZ25&lt;&gt;"."),s_dir!E25/((1/1000)*(s_Irr!AZ25)),IF(AND(s_Irr!D25=".",s_Irr!AB25&lt;&gt;".",s_Irr!AZ25="."),s_dir!E25/((1/1000)*(s_Irr!AB25)),IF(AND(s_Irr!D25&lt;&gt;".",s_Irr!AB25=".",s_Irr!AZ25="."),s_dir!E25/((1/1000)*(s_Irr!D25)),IF(AND(s_Irr!D25=".",s_Irr!AB25=".",s_Irr!AZ25="."),s_dir!E25*1000)))))))),".")</f>
        <v>.</v>
      </c>
      <c r="F25" s="76" t="str">
        <f>IFERROR(IF(AND(s_Irr!E25&lt;&gt;".",s_Irr!AC25&lt;&gt;".",s_Irr!BA25&lt;&gt;"."),s_dir!F25/((1/1000)*(s_Irr!E25+s_Irr!AC25+s_Irr!BA25)),IF(AND(s_Irr!E25&lt;&gt;".",s_Irr!AC25&lt;&gt;".",s_Irr!BA25="."),s_dir!F25/((1/1000)*(s_Irr!E25+s_Irr!AC25)),IF(AND(s_Irr!E25&lt;&gt;".",s_Irr!AC25=".",s_Irr!BA25&lt;&gt;"."),s_dir!F25/((1/1000)*(s_Irr!E25+s_Irr!BA25)),IF(AND(s_Irr!E25=".",s_Irr!AC25&lt;&gt;".",s_Irr!BA25&lt;&gt;"."),s_dir!F25/((1/1000)*(s_Irr!AC25+s_Irr!BA25)),IF(AND(s_Irr!E25=".",s_Irr!AC25=".",s_Irr!BA25&lt;&gt;"."),s_dir!F25/((1/1000)*(s_Irr!BA25)),IF(AND(s_Irr!E25=".",s_Irr!AC25&lt;&gt;".",s_Irr!BA25="."),s_dir!F25/((1/1000)*(s_Irr!AC25)),IF(AND(s_Irr!E25&lt;&gt;".",s_Irr!AC25=".",s_Irr!BA25="."),s_dir!F25/((1/1000)*(s_Irr!E25)),IF(AND(s_Irr!E25=".",s_Irr!AC25=".",s_Irr!BA25="."),s_dir!F25*1000)))))))),".")</f>
        <v>.</v>
      </c>
      <c r="G25" s="76" t="str">
        <f>IFERROR(IF(AND(s_Irr!F25&lt;&gt;".",s_Irr!AD25&lt;&gt;".",s_Irr!BB25&lt;&gt;"."),s_dir!G25/((1/1000)*(s_Irr!F25+s_Irr!AD25+s_Irr!BB25)),IF(AND(s_Irr!F25&lt;&gt;".",s_Irr!AD25&lt;&gt;".",s_Irr!BB25="."),s_dir!G25/((1/1000)*(s_Irr!F25+s_Irr!AD25)),IF(AND(s_Irr!F25&lt;&gt;".",s_Irr!AD25=".",s_Irr!BB25&lt;&gt;"."),s_dir!G25/((1/1000)*(s_Irr!F25+s_Irr!BB25)),IF(AND(s_Irr!F25=".",s_Irr!AD25&lt;&gt;".",s_Irr!BB25&lt;&gt;"."),s_dir!G25/((1/1000)*(s_Irr!AD25+s_Irr!BB25)),IF(AND(s_Irr!F25=".",s_Irr!AD25=".",s_Irr!BB25&lt;&gt;"."),s_dir!G25/((1/1000)*(s_Irr!BB25)),IF(AND(s_Irr!F25=".",s_Irr!AD25&lt;&gt;".",s_Irr!BB25="."),s_dir!G25/((1/1000)*(s_Irr!AD25)),IF(AND(s_Irr!F25&lt;&gt;".",s_Irr!AD25=".",s_Irr!BB25="."),s_dir!G25/((1/1000)*(s_Irr!F25)),IF(AND(s_Irr!F25=".",s_Irr!AD25=".",s_Irr!BB25="."),s_dir!G25*1000)))))))),".")</f>
        <v>.</v>
      </c>
      <c r="H25" s="76" t="str">
        <f>IFERROR(IF(AND(s_Irr!G25&lt;&gt;".",s_Irr!AE25&lt;&gt;".",s_Irr!BC25&lt;&gt;"."),s_dir!H25/((1/1000)*(s_Irr!G25+s_Irr!AE25+s_Irr!BC25)),IF(AND(s_Irr!G25&lt;&gt;".",s_Irr!AE25&lt;&gt;".",s_Irr!BC25="."),s_dir!H25/((1/1000)*(s_Irr!G25+s_Irr!AE25)),IF(AND(s_Irr!G25&lt;&gt;".",s_Irr!AE25=".",s_Irr!BC25&lt;&gt;"."),s_dir!H25/((1/1000)*(s_Irr!G25+s_Irr!BC25)),IF(AND(s_Irr!G25=".",s_Irr!AE25&lt;&gt;".",s_Irr!BC25&lt;&gt;"."),s_dir!H25/((1/1000)*(s_Irr!AE25+s_Irr!BC25)),IF(AND(s_Irr!G25=".",s_Irr!AE25=".",s_Irr!BC25&lt;&gt;"."),s_dir!H25/((1/1000)*(s_Irr!BC25)),IF(AND(s_Irr!G25=".",s_Irr!AE25&lt;&gt;".",s_Irr!BC25="."),s_dir!H25/((1/1000)*(s_Irr!AE25)),IF(AND(s_Irr!G25&lt;&gt;".",s_Irr!AE25=".",s_Irr!BC25="."),s_dir!H25/((1/1000)*(s_Irr!G25)),IF(AND(s_Irr!G25=".",s_Irr!AE25=".",s_Irr!BC25="."),s_dir!H25*1000)))))))),".")</f>
        <v>.</v>
      </c>
      <c r="I25" s="76" t="str">
        <f>IFERROR(IF(AND(s_Irr!H25&lt;&gt;".",s_Irr!AF25&lt;&gt;".",s_Irr!BD25&lt;&gt;"."),s_dir!I25/((1/1000)*(s_Irr!H25+s_Irr!AF25+s_Irr!BD25)),IF(AND(s_Irr!H25&lt;&gt;".",s_Irr!AF25&lt;&gt;".",s_Irr!BD25="."),s_dir!I25/((1/1000)*(s_Irr!H25+s_Irr!AF25)),IF(AND(s_Irr!H25&lt;&gt;".",s_Irr!AF25=".",s_Irr!BD25&lt;&gt;"."),s_dir!I25/((1/1000)*(s_Irr!H25+s_Irr!BD25)),IF(AND(s_Irr!H25=".",s_Irr!AF25&lt;&gt;".",s_Irr!BD25&lt;&gt;"."),s_dir!I25/((1/1000)*(s_Irr!AF25+s_Irr!BD25)),IF(AND(s_Irr!H25=".",s_Irr!AF25=".",s_Irr!BD25&lt;&gt;"."),s_dir!I25/((1/1000)*(s_Irr!BD25)),IF(AND(s_Irr!H25=".",s_Irr!AF25&lt;&gt;".",s_Irr!BD25="."),s_dir!I25/((1/1000)*(s_Irr!AF25)),IF(AND(s_Irr!H25&lt;&gt;".",s_Irr!AF25=".",s_Irr!BD25="."),s_dir!I25/((1/1000)*(s_Irr!H25)),IF(AND(s_Irr!H25=".",s_Irr!AF25=".",s_Irr!BD25="."),s_dir!I25*1000)))))))),".")</f>
        <v>.</v>
      </c>
      <c r="J25" s="76" t="str">
        <f>IFERROR(IF(AND(s_Irr!I25&lt;&gt;".",s_Irr!AG25&lt;&gt;".",s_Irr!BE25&lt;&gt;"."),s_dir!J25/((1/1000)*(s_Irr!I25+s_Irr!AG25+s_Irr!BE25)),IF(AND(s_Irr!I25&lt;&gt;".",s_Irr!AG25&lt;&gt;".",s_Irr!BE25="."),s_dir!J25/((1/1000)*(s_Irr!I25+s_Irr!AG25)),IF(AND(s_Irr!I25&lt;&gt;".",s_Irr!AG25=".",s_Irr!BE25&lt;&gt;"."),s_dir!J25/((1/1000)*(s_Irr!I25+s_Irr!BE25)),IF(AND(s_Irr!I25=".",s_Irr!AG25&lt;&gt;".",s_Irr!BE25&lt;&gt;"."),s_dir!J25/((1/1000)*(s_Irr!AG25+s_Irr!BE25)),IF(AND(s_Irr!I25=".",s_Irr!AG25=".",s_Irr!BE25&lt;&gt;"."),s_dir!J25/((1/1000)*(s_Irr!BE25)),IF(AND(s_Irr!I25=".",s_Irr!AG25&lt;&gt;".",s_Irr!BE25="."),s_dir!J25/((1/1000)*(s_Irr!AG25)),IF(AND(s_Irr!I25&lt;&gt;".",s_Irr!AG25=".",s_Irr!BE25="."),s_dir!J25/((1/1000)*(s_Irr!I25)),IF(AND(s_Irr!I25=".",s_Irr!AG25=".",s_Irr!BE25="."),s_dir!J25*1000)))))))),".")</f>
        <v>.</v>
      </c>
      <c r="K25" s="76" t="str">
        <f>IFERROR(IF(AND(s_Irr!J25&lt;&gt;".",s_Irr!AH25&lt;&gt;".",s_Irr!BF25&lt;&gt;"."),s_dir!K25/((1/1000)*(s_Irr!J25+s_Irr!AH25+s_Irr!BF25)),IF(AND(s_Irr!J25&lt;&gt;".",s_Irr!AH25&lt;&gt;".",s_Irr!BF25="."),s_dir!K25/((1/1000)*(s_Irr!J25+s_Irr!AH25)),IF(AND(s_Irr!J25&lt;&gt;".",s_Irr!AH25=".",s_Irr!BF25&lt;&gt;"."),s_dir!K25/((1/1000)*(s_Irr!J25+s_Irr!BF25)),IF(AND(s_Irr!J25=".",s_Irr!AH25&lt;&gt;".",s_Irr!BF25&lt;&gt;"."),s_dir!K25/((1/1000)*(s_Irr!AH25+s_Irr!BF25)),IF(AND(s_Irr!J25=".",s_Irr!AH25=".",s_Irr!BF25&lt;&gt;"."),s_dir!K25/((1/1000)*(s_Irr!BF25)),IF(AND(s_Irr!J25=".",s_Irr!AH25&lt;&gt;".",s_Irr!BF25="."),s_dir!K25/((1/1000)*(s_Irr!AH25)),IF(AND(s_Irr!J25&lt;&gt;".",s_Irr!AH25=".",s_Irr!BF25="."),s_dir!K25/((1/1000)*(s_Irr!J25)),IF(AND(s_Irr!J25=".",s_Irr!AH25=".",s_Irr!BF25="."),s_dir!K25*1000)))))))),".")</f>
        <v>.</v>
      </c>
      <c r="L25" s="76" t="str">
        <f>IFERROR(IF(AND(s_Irr!K25&lt;&gt;".",s_Irr!AI25&lt;&gt;".",s_Irr!BG25&lt;&gt;"."),s_dir!L25/((1/1000)*(s_Irr!K25+s_Irr!AI25+s_Irr!BG25)),IF(AND(s_Irr!K25&lt;&gt;".",s_Irr!AI25&lt;&gt;".",s_Irr!BG25="."),s_dir!L25/((1/1000)*(s_Irr!K25+s_Irr!AI25)),IF(AND(s_Irr!K25&lt;&gt;".",s_Irr!AI25=".",s_Irr!BG25&lt;&gt;"."),s_dir!L25/((1/1000)*(s_Irr!K25+s_Irr!BG25)),IF(AND(s_Irr!K25=".",s_Irr!AI25&lt;&gt;".",s_Irr!BG25&lt;&gt;"."),s_dir!L25/((1/1000)*(s_Irr!AI25+s_Irr!BG25)),IF(AND(s_Irr!K25=".",s_Irr!AI25=".",s_Irr!BG25&lt;&gt;"."),s_dir!L25/((1/1000)*(s_Irr!BG25)),IF(AND(s_Irr!K25=".",s_Irr!AI25&lt;&gt;".",s_Irr!BG25="."),s_dir!L25/((1/1000)*(s_Irr!AI25)),IF(AND(s_Irr!K25&lt;&gt;".",s_Irr!AI25=".",s_Irr!BG25="."),s_dir!L25/((1/1000)*(s_Irr!K25)),IF(AND(s_Irr!K25=".",s_Irr!AI25=".",s_Irr!BG25="."),s_dir!L25*1000)))))))),".")</f>
        <v>.</v>
      </c>
      <c r="M25" s="76" t="str">
        <f>IFERROR(IF(AND(s_Irr!L25&lt;&gt;".",s_Irr!AJ25&lt;&gt;".",s_Irr!BH25&lt;&gt;"."),s_dir!M25/((1/1000)*(s_Irr!L25+s_Irr!AJ25+s_Irr!BH25)),IF(AND(s_Irr!L25&lt;&gt;".",s_Irr!AJ25&lt;&gt;".",s_Irr!BH25="."),s_dir!M25/((1/1000)*(s_Irr!L25+s_Irr!AJ25)),IF(AND(s_Irr!L25&lt;&gt;".",s_Irr!AJ25=".",s_Irr!BH25&lt;&gt;"."),s_dir!M25/((1/1000)*(s_Irr!L25+s_Irr!BH25)),IF(AND(s_Irr!L25=".",s_Irr!AJ25&lt;&gt;".",s_Irr!BH25&lt;&gt;"."),s_dir!M25/((1/1000)*(s_Irr!AJ25+s_Irr!BH25)),IF(AND(s_Irr!L25=".",s_Irr!AJ25=".",s_Irr!BH25&lt;&gt;"."),s_dir!M25/((1/1000)*(s_Irr!BH25)),IF(AND(s_Irr!L25=".",s_Irr!AJ25&lt;&gt;".",s_Irr!BH25="."),s_dir!M25/((1/1000)*(s_Irr!AJ25)),IF(AND(s_Irr!L25&lt;&gt;".",s_Irr!AJ25=".",s_Irr!BH25="."),s_dir!M25/((1/1000)*(s_Irr!L25)),IF(AND(s_Irr!L25=".",s_Irr!AJ25=".",s_Irr!BH25="."),s_dir!M25*1000)))))))),".")</f>
        <v>.</v>
      </c>
      <c r="N25" s="76" t="str">
        <f>IFERROR(IF(AND(s_Irr!M25&lt;&gt;".",s_Irr!AK25&lt;&gt;".",s_Irr!BI25&lt;&gt;"."),s_dir!N25/((1/1000)*(s_Irr!M25+s_Irr!AK25+s_Irr!BI25)),IF(AND(s_Irr!M25&lt;&gt;".",s_Irr!AK25&lt;&gt;".",s_Irr!BI25="."),s_dir!N25/((1/1000)*(s_Irr!M25+s_Irr!AK25)),IF(AND(s_Irr!M25&lt;&gt;".",s_Irr!AK25=".",s_Irr!BI25&lt;&gt;"."),s_dir!N25/((1/1000)*(s_Irr!M25+s_Irr!BI25)),IF(AND(s_Irr!M25=".",s_Irr!AK25&lt;&gt;".",s_Irr!BI25&lt;&gt;"."),s_dir!N25/((1/1000)*(s_Irr!AK25+s_Irr!BI25)),IF(AND(s_Irr!M25=".",s_Irr!AK25=".",s_Irr!BI25&lt;&gt;"."),s_dir!N25/((1/1000)*(s_Irr!BI25)),IF(AND(s_Irr!M25=".",s_Irr!AK25&lt;&gt;".",s_Irr!BI25="."),s_dir!N25/((1/1000)*(s_Irr!AK25)),IF(AND(s_Irr!M25&lt;&gt;".",s_Irr!AK25=".",s_Irr!BI25="."),s_dir!N25/((1/1000)*(s_Irr!M25)),IF(AND(s_Irr!M25=".",s_Irr!AK25=".",s_Irr!BI25="."),s_dir!N25*1000)))))))),".")</f>
        <v>.</v>
      </c>
      <c r="O25" s="76" t="str">
        <f>IFERROR(IF(AND(s_Irr!N25&lt;&gt;".",s_Irr!AL25&lt;&gt;".",s_Irr!BJ25&lt;&gt;"."),s_dir!O25/((1/1000)*(s_Irr!N25+s_Irr!AL25+s_Irr!BJ25)),IF(AND(s_Irr!N25&lt;&gt;".",s_Irr!AL25&lt;&gt;".",s_Irr!BJ25="."),s_dir!O25/((1/1000)*(s_Irr!N25+s_Irr!AL25)),IF(AND(s_Irr!N25&lt;&gt;".",s_Irr!AL25=".",s_Irr!BJ25&lt;&gt;"."),s_dir!O25/((1/1000)*(s_Irr!N25+s_Irr!BJ25)),IF(AND(s_Irr!N25=".",s_Irr!AL25&lt;&gt;".",s_Irr!BJ25&lt;&gt;"."),s_dir!O25/((1/1000)*(s_Irr!AL25+s_Irr!BJ25)),IF(AND(s_Irr!N25=".",s_Irr!AL25=".",s_Irr!BJ25&lt;&gt;"."),s_dir!O25/((1/1000)*(s_Irr!BJ25)),IF(AND(s_Irr!N25=".",s_Irr!AL25&lt;&gt;".",s_Irr!BJ25="."),s_dir!O25/((1/1000)*(s_Irr!AL25)),IF(AND(s_Irr!N25&lt;&gt;".",s_Irr!AL25=".",s_Irr!BJ25="."),s_dir!O25/((1/1000)*(s_Irr!N25)),IF(AND(s_Irr!N25=".",s_Irr!AL25=".",s_Irr!BJ25="."),s_dir!O25*1000)))))))),".")</f>
        <v>.</v>
      </c>
      <c r="P25" s="76" t="str">
        <f>IFERROR(IF(AND(s_Irr!O25&lt;&gt;".",s_Irr!AM25&lt;&gt;".",s_Irr!BK25&lt;&gt;"."),s_dir!P25/((1/1000)*(s_Irr!O25+s_Irr!AM25+s_Irr!BK25)),IF(AND(s_Irr!O25&lt;&gt;".",s_Irr!AM25&lt;&gt;".",s_Irr!BK25="."),s_dir!P25/((1/1000)*(s_Irr!O25+s_Irr!AM25)),IF(AND(s_Irr!O25&lt;&gt;".",s_Irr!AM25=".",s_Irr!BK25&lt;&gt;"."),s_dir!P25/((1/1000)*(s_Irr!O25+s_Irr!BK25)),IF(AND(s_Irr!O25=".",s_Irr!AM25&lt;&gt;".",s_Irr!BK25&lt;&gt;"."),s_dir!P25/((1/1000)*(s_Irr!AM25+s_Irr!BK25)),IF(AND(s_Irr!O25=".",s_Irr!AM25=".",s_Irr!BK25&lt;&gt;"."),s_dir!P25/((1/1000)*(s_Irr!BK25)),IF(AND(s_Irr!O25=".",s_Irr!AM25&lt;&gt;".",s_Irr!BK25="."),s_dir!P25/((1/1000)*(s_Irr!AM25)),IF(AND(s_Irr!O25&lt;&gt;".",s_Irr!AM25=".",s_Irr!BK25="."),s_dir!P25/((1/1000)*(s_Irr!O25)),IF(AND(s_Irr!O25=".",s_Irr!AM25=".",s_Irr!BK25="."),s_dir!P25*1000)))))))),".")</f>
        <v>.</v>
      </c>
      <c r="Q25" s="76" t="str">
        <f>IFERROR(IF(AND(s_Irr!P25&lt;&gt;".",s_Irr!AN25&lt;&gt;".",s_Irr!BL25&lt;&gt;"."),s_dir!Q25/((1/1000)*(s_Irr!P25+s_Irr!AN25+s_Irr!BL25)),IF(AND(s_Irr!P25&lt;&gt;".",s_Irr!AN25&lt;&gt;".",s_Irr!BL25="."),s_dir!Q25/((1/1000)*(s_Irr!P25+s_Irr!AN25)),IF(AND(s_Irr!P25&lt;&gt;".",s_Irr!AN25=".",s_Irr!BL25&lt;&gt;"."),s_dir!Q25/((1/1000)*(s_Irr!P25+s_Irr!BL25)),IF(AND(s_Irr!P25=".",s_Irr!AN25&lt;&gt;".",s_Irr!BL25&lt;&gt;"."),s_dir!Q25/((1/1000)*(s_Irr!AN25+s_Irr!BL25)),IF(AND(s_Irr!P25=".",s_Irr!AN25=".",s_Irr!BL25&lt;&gt;"."),s_dir!Q25/((1/1000)*(s_Irr!BL25)),IF(AND(s_Irr!P25=".",s_Irr!AN25&lt;&gt;".",s_Irr!BL25="."),s_dir!Q25/((1/1000)*(s_Irr!AN25)),IF(AND(s_Irr!P25&lt;&gt;".",s_Irr!AN25=".",s_Irr!BL25="."),s_dir!Q25/((1/1000)*(s_Irr!P25)),IF(AND(s_Irr!P25=".",s_Irr!AN25=".",s_Irr!BL25="."),s_dir!Q25*1000)))))))),".")</f>
        <v>.</v>
      </c>
      <c r="R25" s="76" t="str">
        <f>IFERROR(IF(AND(s_Irr!Q25&lt;&gt;".",s_Irr!AO25&lt;&gt;".",s_Irr!BM25&lt;&gt;"."),s_dir!R25/((1/1000)*(s_Irr!Q25+s_Irr!AO25+s_Irr!BM25)),IF(AND(s_Irr!Q25&lt;&gt;".",s_Irr!AO25&lt;&gt;".",s_Irr!BM25="."),s_dir!R25/((1/1000)*(s_Irr!Q25+s_Irr!AO25)),IF(AND(s_Irr!Q25&lt;&gt;".",s_Irr!AO25=".",s_Irr!BM25&lt;&gt;"."),s_dir!R25/((1/1000)*(s_Irr!Q25+s_Irr!BM25)),IF(AND(s_Irr!Q25=".",s_Irr!AO25&lt;&gt;".",s_Irr!BM25&lt;&gt;"."),s_dir!R25/((1/1000)*(s_Irr!AO25+s_Irr!BM25)),IF(AND(s_Irr!Q25=".",s_Irr!AO25=".",s_Irr!BM25&lt;&gt;"."),s_dir!R25/((1/1000)*(s_Irr!BM25)),IF(AND(s_Irr!Q25=".",s_Irr!AO25&lt;&gt;".",s_Irr!BM25="."),s_dir!R25/((1/1000)*(s_Irr!AO25)),IF(AND(s_Irr!Q25&lt;&gt;".",s_Irr!AO25=".",s_Irr!BM25="."),s_dir!R25/((1/1000)*(s_Irr!Q25)),IF(AND(s_Irr!Q25=".",s_Irr!AO25=".",s_Irr!BM25="."),s_dir!R25*1000)))))))),".")</f>
        <v>.</v>
      </c>
      <c r="S25" s="76" t="str">
        <f>IFERROR(IF(AND(s_Irr!R25&lt;&gt;".",s_Irr!AP25&lt;&gt;".",s_Irr!BN25&lt;&gt;"."),s_dir!S25/((1/1000)*(s_Irr!R25+s_Irr!AP25+s_Irr!BN25)),IF(AND(s_Irr!R25&lt;&gt;".",s_Irr!AP25&lt;&gt;".",s_Irr!BN25="."),s_dir!S25/((1/1000)*(s_Irr!R25+s_Irr!AP25)),IF(AND(s_Irr!R25&lt;&gt;".",s_Irr!AP25=".",s_Irr!BN25&lt;&gt;"."),s_dir!S25/((1/1000)*(s_Irr!R25+s_Irr!BN25)),IF(AND(s_Irr!R25=".",s_Irr!AP25&lt;&gt;".",s_Irr!BN25&lt;&gt;"."),s_dir!S25/((1/1000)*(s_Irr!AP25+s_Irr!BN25)),IF(AND(s_Irr!R25=".",s_Irr!AP25=".",s_Irr!BN25&lt;&gt;"."),s_dir!S25/((1/1000)*(s_Irr!BN25)),IF(AND(s_Irr!R25=".",s_Irr!AP25&lt;&gt;".",s_Irr!BN25="."),s_dir!S25/((1/1000)*(s_Irr!AP25)),IF(AND(s_Irr!R25&lt;&gt;".",s_Irr!AP25=".",s_Irr!BN25="."),s_dir!S25/((1/1000)*(s_Irr!R25)),IF(AND(s_Irr!R25=".",s_Irr!AP25=".",s_Irr!BN25="."),s_dir!S25*1000)))))))),".")</f>
        <v>.</v>
      </c>
      <c r="T25" s="76" t="str">
        <f>IFERROR(IF(AND(s_Irr!S25&lt;&gt;".",s_Irr!AQ25&lt;&gt;".",s_Irr!BO25&lt;&gt;"."),s_dir!T25/((1/1000)*(s_Irr!S25+s_Irr!AQ25+s_Irr!BO25)),IF(AND(s_Irr!S25&lt;&gt;".",s_Irr!AQ25&lt;&gt;".",s_Irr!BO25="."),s_dir!T25/((1/1000)*(s_Irr!S25+s_Irr!AQ25)),IF(AND(s_Irr!S25&lt;&gt;".",s_Irr!AQ25=".",s_Irr!BO25&lt;&gt;"."),s_dir!T25/((1/1000)*(s_Irr!S25+s_Irr!BO25)),IF(AND(s_Irr!S25=".",s_Irr!AQ25&lt;&gt;".",s_Irr!BO25&lt;&gt;"."),s_dir!T25/((1/1000)*(s_Irr!AQ25+s_Irr!BO25)),IF(AND(s_Irr!S25=".",s_Irr!AQ25=".",s_Irr!BO25&lt;&gt;"."),s_dir!T25/((1/1000)*(s_Irr!BO25)),IF(AND(s_Irr!S25=".",s_Irr!AQ25&lt;&gt;".",s_Irr!BO25="."),s_dir!T25/((1/1000)*(s_Irr!AQ25)),IF(AND(s_Irr!S25&lt;&gt;".",s_Irr!AQ25=".",s_Irr!BO25="."),s_dir!T25/((1/1000)*(s_Irr!S25)),IF(AND(s_Irr!S25=".",s_Irr!AQ25=".",s_Irr!BO25="."),s_dir!T25*1000)))))))),".")</f>
        <v>.</v>
      </c>
      <c r="U25" s="76" t="str">
        <f>IFERROR(IF(AND(s_Irr!T25&lt;&gt;".",s_Irr!AR25&lt;&gt;".",s_Irr!BP25&lt;&gt;"."),s_dir!U25/((1/1000)*(s_Irr!T25+s_Irr!AR25+s_Irr!BP25)),IF(AND(s_Irr!T25&lt;&gt;".",s_Irr!AR25&lt;&gt;".",s_Irr!BP25="."),s_dir!U25/((1/1000)*(s_Irr!T25+s_Irr!AR25)),IF(AND(s_Irr!T25&lt;&gt;".",s_Irr!AR25=".",s_Irr!BP25&lt;&gt;"."),s_dir!U25/((1/1000)*(s_Irr!T25+s_Irr!BP25)),IF(AND(s_Irr!T25=".",s_Irr!AR25&lt;&gt;".",s_Irr!BP25&lt;&gt;"."),s_dir!U25/((1/1000)*(s_Irr!AR25+s_Irr!BP25)),IF(AND(s_Irr!T25=".",s_Irr!AR25=".",s_Irr!BP25&lt;&gt;"."),s_dir!U25/((1/1000)*(s_Irr!BP25)),IF(AND(s_Irr!T25=".",s_Irr!AR25&lt;&gt;".",s_Irr!BP25="."),s_dir!U25/((1/1000)*(s_Irr!AR25)),IF(AND(s_Irr!T25&lt;&gt;".",s_Irr!AR25=".",s_Irr!BP25="."),s_dir!U25/((1/1000)*(s_Irr!T25)),IF(AND(s_Irr!T25=".",s_Irr!AR25=".",s_Irr!BP25="."),s_dir!U25*1000)))))))),".")</f>
        <v>.</v>
      </c>
      <c r="V25" s="76" t="str">
        <f>IFERROR(IF(AND(s_Irr!U25&lt;&gt;".",s_Irr!AS25&lt;&gt;".",s_Irr!BQ25&lt;&gt;"."),s_dir!V25/((1/1000)*(s_Irr!U25+s_Irr!AS25+s_Irr!BQ25)),IF(AND(s_Irr!U25&lt;&gt;".",s_Irr!AS25&lt;&gt;".",s_Irr!BQ25="."),s_dir!V25/((1/1000)*(s_Irr!U25+s_Irr!AS25)),IF(AND(s_Irr!U25&lt;&gt;".",s_Irr!AS25=".",s_Irr!BQ25&lt;&gt;"."),s_dir!V25/((1/1000)*(s_Irr!U25+s_Irr!BQ25)),IF(AND(s_Irr!U25=".",s_Irr!AS25&lt;&gt;".",s_Irr!BQ25&lt;&gt;"."),s_dir!V25/((1/1000)*(s_Irr!AS25+s_Irr!BQ25)),IF(AND(s_Irr!U25=".",s_Irr!AS25=".",s_Irr!BQ25&lt;&gt;"."),s_dir!V25/((1/1000)*(s_Irr!BQ25)),IF(AND(s_Irr!U25=".",s_Irr!AS25&lt;&gt;".",s_Irr!BQ25="."),s_dir!V25/((1/1000)*(s_Irr!AS25)),IF(AND(s_Irr!U25&lt;&gt;".",s_Irr!AS25=".",s_Irr!BQ25="."),s_dir!V25/((1/1000)*(s_Irr!U25)),IF(AND(s_Irr!U25=".",s_Irr!AS25=".",s_Irr!BQ25="."),s_dir!V25*1000)))))))),".")</f>
        <v>.</v>
      </c>
      <c r="W25" s="76" t="str">
        <f>IFERROR(IF(AND(s_Irr!V25&lt;&gt;".",s_Irr!AT25&lt;&gt;".",s_Irr!BR25&lt;&gt;"."),s_dir!W25/((1/1000)*(s_Irr!V25+s_Irr!AT25+s_Irr!BR25)),IF(AND(s_Irr!V25&lt;&gt;".",s_Irr!AT25&lt;&gt;".",s_Irr!BR25="."),s_dir!W25/((1/1000)*(s_Irr!V25+s_Irr!AT25)),IF(AND(s_Irr!V25&lt;&gt;".",s_Irr!AT25=".",s_Irr!BR25&lt;&gt;"."),s_dir!W25/((1/1000)*(s_Irr!V25+s_Irr!BR25)),IF(AND(s_Irr!V25=".",s_Irr!AT25&lt;&gt;".",s_Irr!BR25&lt;&gt;"."),s_dir!W25/((1/1000)*(s_Irr!AT25+s_Irr!BR25)),IF(AND(s_Irr!V25=".",s_Irr!AT25=".",s_Irr!BR25&lt;&gt;"."),s_dir!W25/((1/1000)*(s_Irr!BR25)),IF(AND(s_Irr!V25=".",s_Irr!AT25&lt;&gt;".",s_Irr!BR25="."),s_dir!W25/((1/1000)*(s_Irr!AT25)),IF(AND(s_Irr!V25&lt;&gt;".",s_Irr!AT25=".",s_Irr!BR25="."),s_dir!W25/((1/1000)*(s_Irr!V25)),IF(AND(s_Irr!V25=".",s_Irr!AT25=".",s_Irr!BR25="."),s_dir!W25*1000)))))))),".")</f>
        <v>.</v>
      </c>
      <c r="X25" s="76" t="str">
        <f>IFERROR(IF(AND(s_Irr!W25&lt;&gt;".",s_Irr!AU25&lt;&gt;".",s_Irr!BS25&lt;&gt;"."),s_dir!X25/((1/1000)*(s_Irr!W25+s_Irr!AU25+s_Irr!BS25)),IF(AND(s_Irr!W25&lt;&gt;".",s_Irr!AU25&lt;&gt;".",s_Irr!BS25="."),s_dir!X25/((1/1000)*(s_Irr!W25+s_Irr!AU25)),IF(AND(s_Irr!W25&lt;&gt;".",s_Irr!AU25=".",s_Irr!BS25&lt;&gt;"."),s_dir!X25/((1/1000)*(s_Irr!W25+s_Irr!BS25)),IF(AND(s_Irr!W25=".",s_Irr!AU25&lt;&gt;".",s_Irr!BS25&lt;&gt;"."),s_dir!X25/((1/1000)*(s_Irr!AU25+s_Irr!BS25)),IF(AND(s_Irr!W25=".",s_Irr!AU25=".",s_Irr!BS25&lt;&gt;"."),s_dir!X25/((1/1000)*(s_Irr!BS25)),IF(AND(s_Irr!W25=".",s_Irr!AU25&lt;&gt;".",s_Irr!BS25="."),s_dir!X25/((1/1000)*(s_Irr!AU25)),IF(AND(s_Irr!W25&lt;&gt;".",s_Irr!AU25=".",s_Irr!BS25="."),s_dir!X25/((1/1000)*(s_Irr!W25)),IF(AND(s_Irr!W25=".",s_Irr!AU25=".",s_Irr!BS25="."),s_dir!X25*1000)))))))),".")</f>
        <v>.</v>
      </c>
      <c r="Y25" s="76" t="str">
        <f>IFERROR(IF(AND(s_Irr!X25&lt;&gt;".",s_Irr!AV25&lt;&gt;".",s_Irr!BT25&lt;&gt;"."),s_dir!Y25/((1/1000)*(s_Irr!X25+s_Irr!AV25+s_Irr!BT25)),IF(AND(s_Irr!X25&lt;&gt;".",s_Irr!AV25&lt;&gt;".",s_Irr!BT25="."),s_dir!Y25/((1/1000)*(s_Irr!X25+s_Irr!AV25)),IF(AND(s_Irr!X25&lt;&gt;".",s_Irr!AV25=".",s_Irr!BT25&lt;&gt;"."),s_dir!Y25/((1/1000)*(s_Irr!X25+s_Irr!BT25)),IF(AND(s_Irr!X25=".",s_Irr!AV25&lt;&gt;".",s_Irr!BT25&lt;&gt;"."),s_dir!Y25/((1/1000)*(s_Irr!AV25+s_Irr!BT25)),IF(AND(s_Irr!X25=".",s_Irr!AV25=".",s_Irr!BT25&lt;&gt;"."),s_dir!Y25/((1/1000)*(s_Irr!BT25)),IF(AND(s_Irr!X25=".",s_Irr!AV25&lt;&gt;".",s_Irr!BT25="."),s_dir!Y25/((1/1000)*(s_Irr!AV25)),IF(AND(s_Irr!X25&lt;&gt;".",s_Irr!AV25=".",s_Irr!BT25="."),s_dir!Y25/((1/1000)*(s_Irr!X25)),IF(AND(s_Irr!X25=".",s_Irr!AV25=".",s_Irr!BT25="."),s_dir!Y25*1000)))))))),".")</f>
        <v>.</v>
      </c>
      <c r="Z25" s="76" t="str">
        <f>IFERROR(IF(AND(s_Irr!Y25&lt;&gt;".",s_Irr!AW25&lt;&gt;".",s_Irr!BU25&lt;&gt;"."),s_dir!Z25/((1/1000)*(s_Irr!Y25+s_Irr!AW25+s_Irr!BU25)),IF(AND(s_Irr!Y25&lt;&gt;".",s_Irr!AW25&lt;&gt;".",s_Irr!BU25="."),s_dir!Z25/((1/1000)*(s_Irr!Y25+s_Irr!AW25)),IF(AND(s_Irr!Y25&lt;&gt;".",s_Irr!AW25=".",s_Irr!BU25&lt;&gt;"."),s_dir!Z25/((1/1000)*(s_Irr!Y25+s_Irr!BU25)),IF(AND(s_Irr!Y25=".",s_Irr!AW25&lt;&gt;".",s_Irr!BU25&lt;&gt;"."),s_dir!Z25/((1/1000)*(s_Irr!AW25+s_Irr!BU25)),IF(AND(s_Irr!Y25=".",s_Irr!AW25=".",s_Irr!BU25&lt;&gt;"."),s_dir!Z25/((1/1000)*(s_Irr!BU25)),IF(AND(s_Irr!Y25=".",s_Irr!AW25&lt;&gt;".",s_Irr!BU25="."),s_dir!Z25/((1/1000)*(s_Irr!AW25)),IF(AND(s_Irr!Y25&lt;&gt;".",s_Irr!AW25=".",s_Irr!BU25="."),s_dir!Z25/((1/1000)*(s_Irr!Y25)),IF(AND(s_Irr!Y25=".",s_Irr!AW25=".",s_Irr!BU25="."),s_dir!Z25*1000)))))))),".")</f>
        <v>.</v>
      </c>
      <c r="AA25" s="76" t="str">
        <f>IFERROR(IF(AND(s_Irr!Z25&lt;&gt;".",s_Irr!AX25&lt;&gt;".",s_Irr!BV25&lt;&gt;"."),s_dir!AA25/((1/1000)*(s_Irr!Z25+s_Irr!AX25+s_Irr!BV25)),IF(AND(s_Irr!Z25&lt;&gt;".",s_Irr!AX25&lt;&gt;".",s_Irr!BV25="."),s_dir!AA25/((1/1000)*(s_Irr!Z25+s_Irr!AX25)),IF(AND(s_Irr!Z25&lt;&gt;".",s_Irr!AX25=".",s_Irr!BV25&lt;&gt;"."),s_dir!AA25/((1/1000)*(s_Irr!Z25+s_Irr!BV25)),IF(AND(s_Irr!Z25=".",s_Irr!AX25&lt;&gt;".",s_Irr!BV25&lt;&gt;"."),s_dir!AA25/((1/1000)*(s_Irr!AX25+s_Irr!BV25)),IF(AND(s_Irr!Z25=".",s_Irr!AX25=".",s_Irr!BV25&lt;&gt;"."),s_dir!AA25/((1/1000)*(s_Irr!BV25)),IF(AND(s_Irr!Z25=".",s_Irr!AX25&lt;&gt;".",s_Irr!BV25="."),s_dir!AA25/((1/1000)*(s_Irr!AX25)),IF(AND(s_Irr!Z25&lt;&gt;".",s_Irr!AX25=".",s_Irr!BV25="."),s_dir!AA25/((1/1000)*(s_Irr!Z25)),IF(AND(s_Irr!Z25=".",s_Irr!AX25=".",s_Irr!BV25="."),s_dir!AA25*1000)))))))),".")</f>
        <v>.</v>
      </c>
      <c r="AB25" s="93">
        <f>SUM(AC25:AD25,AY25:AZ25)</f>
        <v>0</v>
      </c>
      <c r="AC25" s="93" t="str">
        <f>IFERROR(s_C*s_IFAP_res_adj*s_CF_apple*0.001*(s_Irr!C25+s_Irr!AA25+s_Irr!AY25),".")</f>
        <v>.</v>
      </c>
      <c r="AD25" s="93" t="str">
        <f>IFERROR(s_C*s_IFAS_res_adj*s_CF_asparagus*0.001*(s_Irr!D25+s_Irr!AB25+s_Irr!AZ25),".")</f>
        <v>.</v>
      </c>
      <c r="AE25" s="93" t="str">
        <f>IFERROR(s_C*s_IFBT_res_adj*s_CF_beet*0.001*(s_Irr!E25+s_Irr!AC25+s_Irr!BA25),".")</f>
        <v>.</v>
      </c>
      <c r="AF25" s="93" t="str">
        <f>IFERROR(s_C*s_IFBE_res_adj*s_CF_berries*0.001*(s_Irr!F25+s_Irr!AD25+s_Irr!BB25),".")</f>
        <v>.</v>
      </c>
      <c r="AG25" s="93" t="str">
        <f>IFERROR(s_C*s_IFBR_res_adj*s_CF_broccoli*0.001*(s_Irr!G25+s_Irr!AE25+s_Irr!BC25),".")</f>
        <v>.</v>
      </c>
      <c r="AH25" s="93" t="str">
        <f>IFERROR(s_C*s_IFCB_res_adj*s_CF_cabbage*0.001*(s_Irr!H25+s_Irr!AF25+s_Irr!BD25),".")</f>
        <v>.</v>
      </c>
      <c r="AI25" s="93" t="str">
        <f>IFERROR(s_C*s_IFCR_res_adj*s_CF_carrot*0.001*(s_Irr!I25+s_Irr!AG25+s_Irr!BE25),".")</f>
        <v>.</v>
      </c>
      <c r="AJ25" s="93" t="str">
        <f>IFERROR(s_C*s_IFCI_res_adj*s_CF_citrus*0.001*(s_Irr!J25+s_Irr!AH25+s_Irr!BF25),".")</f>
        <v>.</v>
      </c>
      <c r="AK25" s="93" t="str">
        <f>IFERROR(s_C*s_IFCO_res_adj*s_CF_corn*0.001*(s_Irr!K25+s_Irr!AI25+s_Irr!BG25),".")</f>
        <v>.</v>
      </c>
      <c r="AL25" s="93" t="str">
        <f>IFERROR(s_C*s_IFCU_res_adj*s_CF_cucumber*0.001*(s_Irr!L25+s_Irr!AJ25+s_Irr!BH25),".")</f>
        <v>.</v>
      </c>
      <c r="AM25" s="93" t="str">
        <f>IFERROR(s_C*s_IFLE_res_adj*s_CF_lettuce*0.001*(s_Irr!M25+s_Irr!AK25+s_Irr!BI25),".")</f>
        <v>.</v>
      </c>
      <c r="AN25" s="93" t="str">
        <f>IFERROR(s_C*s_IFLI_res_adj*s_CF_lima_bean*0.001*(s_Irr!N25+s_Irr!AL25+s_Irr!BJ25),".")</f>
        <v>.</v>
      </c>
      <c r="AO25" s="93" t="str">
        <f>IFERROR(s_C*s_IFOK_res_adj*s_CF_okra*0.001*(s_Irr!O25+s_Irr!AM25+s_Irr!BK25),".")</f>
        <v>.</v>
      </c>
      <c r="AP25" s="93" t="str">
        <f>IFERROR(s_C*s_IFON_res_adj*s_CF_onion*0.001*(s_Irr!P25+s_Irr!AN25+s_Irr!BL25),".")</f>
        <v>.</v>
      </c>
      <c r="AQ25" s="93" t="str">
        <f>IFERROR(s_C*s_IFPC_res_adj*s_CF_peach*0.001*(s_Irr!Q25+s_Irr!AO25+s_Irr!BM25),".")</f>
        <v>.</v>
      </c>
      <c r="AR25" s="93" t="str">
        <f>IFERROR(s_C*s_IFPR_res_adj*s_CF_pear*0.001*(s_Irr!R25+s_Irr!AP25+s_Irr!BN25),".")</f>
        <v>.</v>
      </c>
      <c r="AS25" s="93" t="str">
        <f>IFERROR(s_C*s_IFPE_res_adj*s_CF_peas*0.001*(s_Irr!S25+s_Irr!AQ25+s_Irr!BO25),".")</f>
        <v>.</v>
      </c>
      <c r="AT25" s="93" t="str">
        <f>IFERROR(s_C*s_IFPT_res_adj*s_CF_potato*0.001*(s_Irr!T25+s_Irr!AR25+s_Irr!BP25),".")</f>
        <v>.</v>
      </c>
      <c r="AU25" s="93" t="str">
        <f>IFERROR(s_C*s_IFPU_res_adj*s_CF_pumpkin*0.001*(s_Irr!U25+s_Irr!AS25+s_Irr!BQ25),".")</f>
        <v>.</v>
      </c>
      <c r="AV25" s="93" t="str">
        <f>IFERROR(s_C*s_IFSN_res_adj*s_CF_snap_bean*0.001*(s_Irr!V25+s_Irr!AT25+s_Irr!BR25),".")</f>
        <v>.</v>
      </c>
      <c r="AW25" s="93" t="str">
        <f>IFERROR(s_C*s_IFST_res_adj*s_CF_strawberry*0.001*(s_Irr!W25+s_Irr!AU25+s_Irr!BS25),".")</f>
        <v>.</v>
      </c>
      <c r="AX25" s="93" t="str">
        <f>IFERROR(s_C*s_IFTO_res_adj*s_CF_tomato*0.001*(s_Irr!X25+s_Irr!AV25+s_Irr!BT25),".")</f>
        <v>.</v>
      </c>
      <c r="AY25" s="93" t="str">
        <f>IFERROR(s_C*s_IFRI_res_adj*s_CF_rice*0.001*(s_Irr!Y25+s_Irr!AW25+s_Irr!BU25),".")</f>
        <v>.</v>
      </c>
      <c r="AZ25" s="93" t="str">
        <f>IFERROR(s_C*s_IFCG_res_adj*s_CF_cereal*0.001*(s_Irr!Z25+s_Irr!AX25+s_Irr!BV25),".")</f>
        <v>.</v>
      </c>
      <c r="BA25" s="76" t="str">
        <f t="shared" si="29"/>
        <v>.</v>
      </c>
      <c r="BB25" s="76" t="str">
        <f>IFERROR(IF(AND(s_Irr!C25&lt;&gt;".",s_Irr!AA25&lt;&gt;".",s_Irr!AY25&lt;&gt;"."),s_dir!AC25/((1/1000)*(s_Irr!C25+s_Irr!AA25+s_Irr!AY25)),IF(AND(s_Irr!C25&lt;&gt;".",s_Irr!AA25&lt;&gt;".",s_Irr!AY25="."),s_dir!AC25/((1/1000)*(s_Irr!C25+s_Irr!AA25)),IF(AND(s_Irr!C25&lt;&gt;".",s_Irr!AA25=".",s_Irr!AY25&lt;&gt;"."),s_dir!AC25/((1/1000)*(s_Irr!C25+s_Irr!AY25)),IF(AND(s_Irr!C25=".",s_Irr!AA25&lt;&gt;".",s_Irr!AY25&lt;&gt;"."),s_dir!AC25/((1/1000)*(s_Irr!AA25+s_Irr!AY25)),IF(AND(s_Irr!C25=".",s_Irr!AA25=".",s_Irr!AY25&lt;&gt;"."),s_dir!AC25/((1/1000)*(s_Irr!AY25)),IF(AND(s_Irr!C25=".",s_Irr!AA25&lt;&gt;".",s_Irr!AY25="."),s_dir!AC25/((1/1000)*(s_Irr!AA25)),IF(AND(s_Irr!C25&lt;&gt;".",s_Irr!AA25=".",s_Irr!AY25="."),s_dir!AC25/((1/1000)*(s_Irr!C25)),IF(AND(s_Irr!C25=".",s_Irr!AA25=".",s_Irr!AY25="."),s_dir!AC25*1000)))))))),".")</f>
        <v>.</v>
      </c>
      <c r="BC25" s="76" t="str">
        <f>IFERROR(IF(AND(s_Irr!D25&lt;&gt;".",s_Irr!AB25&lt;&gt;".",s_Irr!AZ25&lt;&gt;"."),s_dir!AD25/((1/1000)*(s_Irr!D25+s_Irr!AB25+s_Irr!AZ25)),IF(AND(s_Irr!D25&lt;&gt;".",s_Irr!AB25&lt;&gt;".",s_Irr!AZ25="."),s_dir!AD25/((1/1000)*(s_Irr!D25+s_Irr!AB25)),IF(AND(s_Irr!D25&lt;&gt;".",s_Irr!AB25=".",s_Irr!AZ25&lt;&gt;"."),s_dir!AD25/((1/1000)*(s_Irr!D25+s_Irr!AZ25)),IF(AND(s_Irr!D25=".",s_Irr!AB25&lt;&gt;".",s_Irr!AZ25&lt;&gt;"."),s_dir!AD25/((1/1000)*(s_Irr!AB25+s_Irr!AZ25)),IF(AND(s_Irr!D25=".",s_Irr!AB25=".",s_Irr!AZ25&lt;&gt;"."),s_dir!AD25/((1/1000)*(s_Irr!AZ25)),IF(AND(s_Irr!D25=".",s_Irr!AB25&lt;&gt;".",s_Irr!AZ25="."),s_dir!AD25/((1/1000)*(s_Irr!AB25)),IF(AND(s_Irr!D25&lt;&gt;".",s_Irr!AB25=".",s_Irr!AZ25="."),s_dir!AD25/((1/1000)*(s_Irr!D25)),IF(AND(s_Irr!D25=".",s_Irr!AB25=".",s_Irr!AZ25="."),s_dir!AD25*1000)))))))),".")</f>
        <v>.</v>
      </c>
      <c r="BD25" s="76" t="str">
        <f>IFERROR(IF(AND(s_Irr!E25&lt;&gt;".",s_Irr!AC25&lt;&gt;".",s_Irr!BA25&lt;&gt;"."),s_dir!AE25/((1/1000)*(s_Irr!E25+s_Irr!AC25+s_Irr!BA25)),IF(AND(s_Irr!E25&lt;&gt;".",s_Irr!AC25&lt;&gt;".",s_Irr!BA25="."),s_dir!AE25/((1/1000)*(s_Irr!E25+s_Irr!AC25)),IF(AND(s_Irr!E25&lt;&gt;".",s_Irr!AC25=".",s_Irr!BA25&lt;&gt;"."),s_dir!AE25/((1/1000)*(s_Irr!E25+s_Irr!BA25)),IF(AND(s_Irr!E25=".",s_Irr!AC25&lt;&gt;".",s_Irr!BA25&lt;&gt;"."),s_dir!AE25/((1/1000)*(s_Irr!AC25+s_Irr!BA25)),IF(AND(s_Irr!E25=".",s_Irr!AC25=".",s_Irr!BA25&lt;&gt;"."),s_dir!AE25/((1/1000)*(s_Irr!BA25)),IF(AND(s_Irr!E25=".",s_Irr!AC25&lt;&gt;".",s_Irr!BA25="."),s_dir!AE25/((1/1000)*(s_Irr!AC25)),IF(AND(s_Irr!E25&lt;&gt;".",s_Irr!AC25=".",s_Irr!BA25="."),s_dir!AE25/((1/1000)*(s_Irr!E25)),IF(AND(s_Irr!E25=".",s_Irr!AC25=".",s_Irr!BA25="."),s_dir!AE25*1000)))))))),".")</f>
        <v>.</v>
      </c>
      <c r="BE25" s="76" t="str">
        <f>IFERROR(IF(AND(s_Irr!F25&lt;&gt;".",s_Irr!AD25&lt;&gt;".",s_Irr!BB25&lt;&gt;"."),s_dir!AF25/((1/1000)*(s_Irr!F25+s_Irr!AD25+s_Irr!BB25)),IF(AND(s_Irr!F25&lt;&gt;".",s_Irr!AD25&lt;&gt;".",s_Irr!BB25="."),s_dir!AF25/((1/1000)*(s_Irr!F25+s_Irr!AD25)),IF(AND(s_Irr!F25&lt;&gt;".",s_Irr!AD25=".",s_Irr!BB25&lt;&gt;"."),s_dir!AF25/((1/1000)*(s_Irr!F25+s_Irr!BB25)),IF(AND(s_Irr!F25=".",s_Irr!AD25&lt;&gt;".",s_Irr!BB25&lt;&gt;"."),s_dir!AF25/((1/1000)*(s_Irr!AD25+s_Irr!BB25)),IF(AND(s_Irr!F25=".",s_Irr!AD25=".",s_Irr!BB25&lt;&gt;"."),s_dir!AF25/((1/1000)*(s_Irr!BB25)),IF(AND(s_Irr!F25=".",s_Irr!AD25&lt;&gt;".",s_Irr!BB25="."),s_dir!AF25/((1/1000)*(s_Irr!AD25)),IF(AND(s_Irr!F25&lt;&gt;".",s_Irr!AD25=".",s_Irr!BB25="."),s_dir!AF25/((1/1000)*(s_Irr!F25)),IF(AND(s_Irr!F25=".",s_Irr!AD25=".",s_Irr!BB25="."),s_dir!AF25*1000)))))))),".")</f>
        <v>.</v>
      </c>
      <c r="BF25" s="76" t="str">
        <f>IFERROR(IF(AND(s_Irr!G25&lt;&gt;".",s_Irr!AE25&lt;&gt;".",s_Irr!BC25&lt;&gt;"."),s_dir!AG25/((1/1000)*(s_Irr!G25+s_Irr!AE25+s_Irr!BC25)),IF(AND(s_Irr!G25&lt;&gt;".",s_Irr!AE25&lt;&gt;".",s_Irr!BC25="."),s_dir!AG25/((1/1000)*(s_Irr!G25+s_Irr!AE25)),IF(AND(s_Irr!G25&lt;&gt;".",s_Irr!AE25=".",s_Irr!BC25&lt;&gt;"."),s_dir!AG25/((1/1000)*(s_Irr!G25+s_Irr!BC25)),IF(AND(s_Irr!G25=".",s_Irr!AE25&lt;&gt;".",s_Irr!BC25&lt;&gt;"."),s_dir!AG25/((1/1000)*(s_Irr!AE25+s_Irr!BC25)),IF(AND(s_Irr!G25=".",s_Irr!AE25=".",s_Irr!BC25&lt;&gt;"."),s_dir!AG25/((1/1000)*(s_Irr!BC25)),IF(AND(s_Irr!G25=".",s_Irr!AE25&lt;&gt;".",s_Irr!BC25="."),s_dir!AG25/((1/1000)*(s_Irr!AE25)),IF(AND(s_Irr!G25&lt;&gt;".",s_Irr!AE25=".",s_Irr!BC25="."),s_dir!AG25/((1/1000)*(s_Irr!G25)),IF(AND(s_Irr!G25=".",s_Irr!AE25=".",s_Irr!BC25="."),s_dir!AG25*1000)))))))),".")</f>
        <v>.</v>
      </c>
      <c r="BG25" s="76" t="str">
        <f>IFERROR(IF(AND(s_Irr!H25&lt;&gt;".",s_Irr!AF25&lt;&gt;".",s_Irr!BD25&lt;&gt;"."),s_dir!AH25/((1/1000)*(s_Irr!H25+s_Irr!AF25+s_Irr!BD25)),IF(AND(s_Irr!H25&lt;&gt;".",s_Irr!AF25&lt;&gt;".",s_Irr!BD25="."),s_dir!AH25/((1/1000)*(s_Irr!H25+s_Irr!AF25)),IF(AND(s_Irr!H25&lt;&gt;".",s_Irr!AF25=".",s_Irr!BD25&lt;&gt;"."),s_dir!AH25/((1/1000)*(s_Irr!H25+s_Irr!BD25)),IF(AND(s_Irr!H25=".",s_Irr!AF25&lt;&gt;".",s_Irr!BD25&lt;&gt;"."),s_dir!AH25/((1/1000)*(s_Irr!AF25+s_Irr!BD25)),IF(AND(s_Irr!H25=".",s_Irr!AF25=".",s_Irr!BD25&lt;&gt;"."),s_dir!AH25/((1/1000)*(s_Irr!BD25)),IF(AND(s_Irr!H25=".",s_Irr!AF25&lt;&gt;".",s_Irr!BD25="."),s_dir!AH25/((1/1000)*(s_Irr!AF25)),IF(AND(s_Irr!H25&lt;&gt;".",s_Irr!AF25=".",s_Irr!BD25="."),s_dir!AH25/((1/1000)*(s_Irr!H25)),IF(AND(s_Irr!H25=".",s_Irr!AF25=".",s_Irr!BD25="."),s_dir!AH25*1000)))))))),".")</f>
        <v>.</v>
      </c>
      <c r="BH25" s="76" t="str">
        <f>IFERROR(IF(AND(s_Irr!I25&lt;&gt;".",s_Irr!AG25&lt;&gt;".",s_Irr!BE25&lt;&gt;"."),s_dir!AI25/((1/1000)*(s_Irr!I25+s_Irr!AG25+s_Irr!BE25)),IF(AND(s_Irr!I25&lt;&gt;".",s_Irr!AG25&lt;&gt;".",s_Irr!BE25="."),s_dir!AI25/((1/1000)*(s_Irr!I25+s_Irr!AG25)),IF(AND(s_Irr!I25&lt;&gt;".",s_Irr!AG25=".",s_Irr!BE25&lt;&gt;"."),s_dir!AI25/((1/1000)*(s_Irr!I25+s_Irr!BE25)),IF(AND(s_Irr!I25=".",s_Irr!AG25&lt;&gt;".",s_Irr!BE25&lt;&gt;"."),s_dir!AI25/((1/1000)*(s_Irr!AG25+s_Irr!BE25)),IF(AND(s_Irr!I25=".",s_Irr!AG25=".",s_Irr!BE25&lt;&gt;"."),s_dir!AI25/((1/1000)*(s_Irr!BE25)),IF(AND(s_Irr!I25=".",s_Irr!AG25&lt;&gt;".",s_Irr!BE25="."),s_dir!AI25/((1/1000)*(s_Irr!AG25)),IF(AND(s_Irr!I25&lt;&gt;".",s_Irr!AG25=".",s_Irr!BE25="."),s_dir!AI25/((1/1000)*(s_Irr!I25)),IF(AND(s_Irr!I25=".",s_Irr!AG25=".",s_Irr!BE25="."),s_dir!AI25*1000)))))))),".")</f>
        <v>.</v>
      </c>
      <c r="BI25" s="76" t="str">
        <f>IFERROR(IF(AND(s_Irr!J25&lt;&gt;".",s_Irr!AH25&lt;&gt;".",s_Irr!BF25&lt;&gt;"."),s_dir!AJ25/((1/1000)*(s_Irr!J25+s_Irr!AH25+s_Irr!BF25)),IF(AND(s_Irr!J25&lt;&gt;".",s_Irr!AH25&lt;&gt;".",s_Irr!BF25="."),s_dir!AJ25/((1/1000)*(s_Irr!J25+s_Irr!AH25)),IF(AND(s_Irr!J25&lt;&gt;".",s_Irr!AH25=".",s_Irr!BF25&lt;&gt;"."),s_dir!AJ25/((1/1000)*(s_Irr!J25+s_Irr!BF25)),IF(AND(s_Irr!J25=".",s_Irr!AH25&lt;&gt;".",s_Irr!BF25&lt;&gt;"."),s_dir!AJ25/((1/1000)*(s_Irr!AH25+s_Irr!BF25)),IF(AND(s_Irr!J25=".",s_Irr!AH25=".",s_Irr!BF25&lt;&gt;"."),s_dir!AJ25/((1/1000)*(s_Irr!BF25)),IF(AND(s_Irr!J25=".",s_Irr!AH25&lt;&gt;".",s_Irr!BF25="."),s_dir!AJ25/((1/1000)*(s_Irr!AH25)),IF(AND(s_Irr!J25&lt;&gt;".",s_Irr!AH25=".",s_Irr!BF25="."),s_dir!AJ25/((1/1000)*(s_Irr!J25)),IF(AND(s_Irr!J25=".",s_Irr!AH25=".",s_Irr!BF25="."),s_dir!AJ25*1000)))))))),".")</f>
        <v>.</v>
      </c>
      <c r="BJ25" s="76" t="str">
        <f>IFERROR(IF(AND(s_Irr!K25&lt;&gt;".",s_Irr!AI25&lt;&gt;".",s_Irr!BG25&lt;&gt;"."),s_dir!AK25/((1/1000)*(s_Irr!K25+s_Irr!AI25+s_Irr!BG25)),IF(AND(s_Irr!K25&lt;&gt;".",s_Irr!AI25&lt;&gt;".",s_Irr!BG25="."),s_dir!AK25/((1/1000)*(s_Irr!K25+s_Irr!AI25)),IF(AND(s_Irr!K25&lt;&gt;".",s_Irr!AI25=".",s_Irr!BG25&lt;&gt;"."),s_dir!AK25/((1/1000)*(s_Irr!K25+s_Irr!BG25)),IF(AND(s_Irr!K25=".",s_Irr!AI25&lt;&gt;".",s_Irr!BG25&lt;&gt;"."),s_dir!AK25/((1/1000)*(s_Irr!AI25+s_Irr!BG25)),IF(AND(s_Irr!K25=".",s_Irr!AI25=".",s_Irr!BG25&lt;&gt;"."),s_dir!AK25/((1/1000)*(s_Irr!BG25)),IF(AND(s_Irr!K25=".",s_Irr!AI25&lt;&gt;".",s_Irr!BG25="."),s_dir!AK25/((1/1000)*(s_Irr!AI25)),IF(AND(s_Irr!K25&lt;&gt;".",s_Irr!AI25=".",s_Irr!BG25="."),s_dir!AK25/((1/1000)*(s_Irr!K25)),IF(AND(s_Irr!K25=".",s_Irr!AI25=".",s_Irr!BG25="."),s_dir!AK25*1000)))))))),".")</f>
        <v>.</v>
      </c>
      <c r="BK25" s="76" t="str">
        <f>IFERROR(IF(AND(s_Irr!L25&lt;&gt;".",s_Irr!AJ25&lt;&gt;".",s_Irr!BH25&lt;&gt;"."),s_dir!AL25/((1/1000)*(s_Irr!L25+s_Irr!AJ25+s_Irr!BH25)),IF(AND(s_Irr!L25&lt;&gt;".",s_Irr!AJ25&lt;&gt;".",s_Irr!BH25="."),s_dir!AL25/((1/1000)*(s_Irr!L25+s_Irr!AJ25)),IF(AND(s_Irr!L25&lt;&gt;".",s_Irr!AJ25=".",s_Irr!BH25&lt;&gt;"."),s_dir!AL25/((1/1000)*(s_Irr!L25+s_Irr!BH25)),IF(AND(s_Irr!L25=".",s_Irr!AJ25&lt;&gt;".",s_Irr!BH25&lt;&gt;"."),s_dir!AL25/((1/1000)*(s_Irr!AJ25+s_Irr!BH25)),IF(AND(s_Irr!L25=".",s_Irr!AJ25=".",s_Irr!BH25&lt;&gt;"."),s_dir!AL25/((1/1000)*(s_Irr!BH25)),IF(AND(s_Irr!L25=".",s_Irr!AJ25&lt;&gt;".",s_Irr!BH25="."),s_dir!AL25/((1/1000)*(s_Irr!AJ25)),IF(AND(s_Irr!L25&lt;&gt;".",s_Irr!AJ25=".",s_Irr!BH25="."),s_dir!AL25/((1/1000)*(s_Irr!L25)),IF(AND(s_Irr!L25=".",s_Irr!AJ25=".",s_Irr!BH25="."),s_dir!AL25*1000)))))))),".")</f>
        <v>.</v>
      </c>
      <c r="BL25" s="76" t="str">
        <f>IFERROR(IF(AND(s_Irr!M25&lt;&gt;".",s_Irr!AK25&lt;&gt;".",s_Irr!BI25&lt;&gt;"."),s_dir!AM25/((1/1000)*(s_Irr!M25+s_Irr!AK25+s_Irr!BI25)),IF(AND(s_Irr!M25&lt;&gt;".",s_Irr!AK25&lt;&gt;".",s_Irr!BI25="."),s_dir!AM25/((1/1000)*(s_Irr!M25+s_Irr!AK25)),IF(AND(s_Irr!M25&lt;&gt;".",s_Irr!AK25=".",s_Irr!BI25&lt;&gt;"."),s_dir!AM25/((1/1000)*(s_Irr!M25+s_Irr!BI25)),IF(AND(s_Irr!M25=".",s_Irr!AK25&lt;&gt;".",s_Irr!BI25&lt;&gt;"."),s_dir!AM25/((1/1000)*(s_Irr!AK25+s_Irr!BI25)),IF(AND(s_Irr!M25=".",s_Irr!AK25=".",s_Irr!BI25&lt;&gt;"."),s_dir!AM25/((1/1000)*(s_Irr!BI25)),IF(AND(s_Irr!M25=".",s_Irr!AK25&lt;&gt;".",s_Irr!BI25="."),s_dir!AM25/((1/1000)*(s_Irr!AK25)),IF(AND(s_Irr!M25&lt;&gt;".",s_Irr!AK25=".",s_Irr!BI25="."),s_dir!AM25/((1/1000)*(s_Irr!M25)),IF(AND(s_Irr!M25=".",s_Irr!AK25=".",s_Irr!BI25="."),s_dir!AM25*1000)))))))),".")</f>
        <v>.</v>
      </c>
      <c r="BM25" s="76" t="str">
        <f>IFERROR(IF(AND(s_Irr!N25&lt;&gt;".",s_Irr!AL25&lt;&gt;".",s_Irr!BJ25&lt;&gt;"."),s_dir!AN25/((1/1000)*(s_Irr!N25+s_Irr!AL25+s_Irr!BJ25)),IF(AND(s_Irr!N25&lt;&gt;".",s_Irr!AL25&lt;&gt;".",s_Irr!BJ25="."),s_dir!AN25/((1/1000)*(s_Irr!N25+s_Irr!AL25)),IF(AND(s_Irr!N25&lt;&gt;".",s_Irr!AL25=".",s_Irr!BJ25&lt;&gt;"."),s_dir!AN25/((1/1000)*(s_Irr!N25+s_Irr!BJ25)),IF(AND(s_Irr!N25=".",s_Irr!AL25&lt;&gt;".",s_Irr!BJ25&lt;&gt;"."),s_dir!AN25/((1/1000)*(s_Irr!AL25+s_Irr!BJ25)),IF(AND(s_Irr!N25=".",s_Irr!AL25=".",s_Irr!BJ25&lt;&gt;"."),s_dir!AN25/((1/1000)*(s_Irr!BJ25)),IF(AND(s_Irr!N25=".",s_Irr!AL25&lt;&gt;".",s_Irr!BJ25="."),s_dir!AN25/((1/1000)*(s_Irr!AL25)),IF(AND(s_Irr!N25&lt;&gt;".",s_Irr!AL25=".",s_Irr!BJ25="."),s_dir!AN25/((1/1000)*(s_Irr!N25)),IF(AND(s_Irr!N25=".",s_Irr!AL25=".",s_Irr!BJ25="."),s_dir!AN25*1000)))))))),".")</f>
        <v>.</v>
      </c>
      <c r="BN25" s="76" t="str">
        <f>IFERROR(IF(AND(s_Irr!O25&lt;&gt;".",s_Irr!AM25&lt;&gt;".",s_Irr!BK25&lt;&gt;"."),s_dir!AO25/((1/1000)*(s_Irr!O25+s_Irr!AM25+s_Irr!BK25)),IF(AND(s_Irr!O25&lt;&gt;".",s_Irr!AM25&lt;&gt;".",s_Irr!BK25="."),s_dir!AO25/((1/1000)*(s_Irr!O25+s_Irr!AM25)),IF(AND(s_Irr!O25&lt;&gt;".",s_Irr!AM25=".",s_Irr!BK25&lt;&gt;"."),s_dir!AO25/((1/1000)*(s_Irr!O25+s_Irr!BK25)),IF(AND(s_Irr!O25=".",s_Irr!AM25&lt;&gt;".",s_Irr!BK25&lt;&gt;"."),s_dir!AO25/((1/1000)*(s_Irr!AM25+s_Irr!BK25)),IF(AND(s_Irr!O25=".",s_Irr!AM25=".",s_Irr!BK25&lt;&gt;"."),s_dir!AO25/((1/1000)*(s_Irr!BK25)),IF(AND(s_Irr!O25=".",s_Irr!AM25&lt;&gt;".",s_Irr!BK25="."),s_dir!AO25/((1/1000)*(s_Irr!AM25)),IF(AND(s_Irr!O25&lt;&gt;".",s_Irr!AM25=".",s_Irr!BK25="."),s_dir!AO25/((1/1000)*(s_Irr!O25)),IF(AND(s_Irr!O25=".",s_Irr!AM25=".",s_Irr!BK25="."),s_dir!AO25*1000)))))))),".")</f>
        <v>.</v>
      </c>
      <c r="BO25" s="76" t="str">
        <f>IFERROR(IF(AND(s_Irr!P25&lt;&gt;".",s_Irr!AN25&lt;&gt;".",s_Irr!BL25&lt;&gt;"."),s_dir!AP25/((1/1000)*(s_Irr!P25+s_Irr!AN25+s_Irr!BL25)),IF(AND(s_Irr!P25&lt;&gt;".",s_Irr!AN25&lt;&gt;".",s_Irr!BL25="."),s_dir!AP25/((1/1000)*(s_Irr!P25+s_Irr!AN25)),IF(AND(s_Irr!P25&lt;&gt;".",s_Irr!AN25=".",s_Irr!BL25&lt;&gt;"."),s_dir!AP25/((1/1000)*(s_Irr!P25+s_Irr!BL25)),IF(AND(s_Irr!P25=".",s_Irr!AN25&lt;&gt;".",s_Irr!BL25&lt;&gt;"."),s_dir!AP25/((1/1000)*(s_Irr!AN25+s_Irr!BL25)),IF(AND(s_Irr!P25=".",s_Irr!AN25=".",s_Irr!BL25&lt;&gt;"."),s_dir!AP25/((1/1000)*(s_Irr!BL25)),IF(AND(s_Irr!P25=".",s_Irr!AN25&lt;&gt;".",s_Irr!BL25="."),s_dir!AP25/((1/1000)*(s_Irr!AN25)),IF(AND(s_Irr!P25&lt;&gt;".",s_Irr!AN25=".",s_Irr!BL25="."),s_dir!AP25/((1/1000)*(s_Irr!P25)),IF(AND(s_Irr!P25=".",s_Irr!AN25=".",s_Irr!BL25="."),s_dir!AP25*1000)))))))),".")</f>
        <v>.</v>
      </c>
      <c r="BP25" s="76" t="str">
        <f>IFERROR(IF(AND(s_Irr!Q25&lt;&gt;".",s_Irr!AO25&lt;&gt;".",s_Irr!BM25&lt;&gt;"."),s_dir!AQ25/((1/1000)*(s_Irr!Q25+s_Irr!AO25+s_Irr!BM25)),IF(AND(s_Irr!Q25&lt;&gt;".",s_Irr!AO25&lt;&gt;".",s_Irr!BM25="."),s_dir!AQ25/((1/1000)*(s_Irr!Q25+s_Irr!AO25)),IF(AND(s_Irr!Q25&lt;&gt;".",s_Irr!AO25=".",s_Irr!BM25&lt;&gt;"."),s_dir!AQ25/((1/1000)*(s_Irr!Q25+s_Irr!BM25)),IF(AND(s_Irr!Q25=".",s_Irr!AO25&lt;&gt;".",s_Irr!BM25&lt;&gt;"."),s_dir!AQ25/((1/1000)*(s_Irr!AO25+s_Irr!BM25)),IF(AND(s_Irr!Q25=".",s_Irr!AO25=".",s_Irr!BM25&lt;&gt;"."),s_dir!AQ25/((1/1000)*(s_Irr!BM25)),IF(AND(s_Irr!Q25=".",s_Irr!AO25&lt;&gt;".",s_Irr!BM25="."),s_dir!AQ25/((1/1000)*(s_Irr!AO25)),IF(AND(s_Irr!Q25&lt;&gt;".",s_Irr!AO25=".",s_Irr!BM25="."),s_dir!AQ25/((1/1000)*(s_Irr!Q25)),IF(AND(s_Irr!Q25=".",s_Irr!AO25=".",s_Irr!BM25="."),s_dir!AQ25*1000)))))))),".")</f>
        <v>.</v>
      </c>
      <c r="BQ25" s="76" t="str">
        <f>IFERROR(IF(AND(s_Irr!R25&lt;&gt;".",s_Irr!AP25&lt;&gt;".",s_Irr!BN25&lt;&gt;"."),s_dir!AR25/((1/1000)*(s_Irr!R25+s_Irr!AP25+s_Irr!BN25)),IF(AND(s_Irr!R25&lt;&gt;".",s_Irr!AP25&lt;&gt;".",s_Irr!BN25="."),s_dir!AR25/((1/1000)*(s_Irr!R25+s_Irr!AP25)),IF(AND(s_Irr!R25&lt;&gt;".",s_Irr!AP25=".",s_Irr!BN25&lt;&gt;"."),s_dir!AR25/((1/1000)*(s_Irr!R25+s_Irr!BN25)),IF(AND(s_Irr!R25=".",s_Irr!AP25&lt;&gt;".",s_Irr!BN25&lt;&gt;"."),s_dir!AR25/((1/1000)*(s_Irr!AP25+s_Irr!BN25)),IF(AND(s_Irr!R25=".",s_Irr!AP25=".",s_Irr!BN25&lt;&gt;"."),s_dir!AR25/((1/1000)*(s_Irr!BN25)),IF(AND(s_Irr!R25=".",s_Irr!AP25&lt;&gt;".",s_Irr!BN25="."),s_dir!AR25/((1/1000)*(s_Irr!AP25)),IF(AND(s_Irr!R25&lt;&gt;".",s_Irr!AP25=".",s_Irr!BN25="."),s_dir!AR25/((1/1000)*(s_Irr!R25)),IF(AND(s_Irr!R25=".",s_Irr!AP25=".",s_Irr!BN25="."),s_dir!AR25*1000)))))))),".")</f>
        <v>.</v>
      </c>
      <c r="BR25" s="76" t="str">
        <f>IFERROR(IF(AND(s_Irr!S25&lt;&gt;".",s_Irr!AQ25&lt;&gt;".",s_Irr!BO25&lt;&gt;"."),s_dir!AS25/((1/1000)*(s_Irr!S25+s_Irr!AQ25+s_Irr!BO25)),IF(AND(s_Irr!S25&lt;&gt;".",s_Irr!AQ25&lt;&gt;".",s_Irr!BO25="."),s_dir!AS25/((1/1000)*(s_Irr!S25+s_Irr!AQ25)),IF(AND(s_Irr!S25&lt;&gt;".",s_Irr!AQ25=".",s_Irr!BO25&lt;&gt;"."),s_dir!AS25/((1/1000)*(s_Irr!S25+s_Irr!BO25)),IF(AND(s_Irr!S25=".",s_Irr!AQ25&lt;&gt;".",s_Irr!BO25&lt;&gt;"."),s_dir!AS25/((1/1000)*(s_Irr!AQ25+s_Irr!BO25)),IF(AND(s_Irr!S25=".",s_Irr!AQ25=".",s_Irr!BO25&lt;&gt;"."),s_dir!AS25/((1/1000)*(s_Irr!BO25)),IF(AND(s_Irr!S25=".",s_Irr!AQ25&lt;&gt;".",s_Irr!BO25="."),s_dir!AS25/((1/1000)*(s_Irr!AQ25)),IF(AND(s_Irr!S25&lt;&gt;".",s_Irr!AQ25=".",s_Irr!BO25="."),s_dir!AS25/((1/1000)*(s_Irr!S25)),IF(AND(s_Irr!S25=".",s_Irr!AQ25=".",s_Irr!BO25="."),s_dir!AS25*1000)))))))),".")</f>
        <v>.</v>
      </c>
      <c r="BS25" s="76" t="str">
        <f>IFERROR(IF(AND(s_Irr!T25&lt;&gt;".",s_Irr!AR25&lt;&gt;".",s_Irr!BP25&lt;&gt;"."),s_dir!AT25/((1/1000)*(s_Irr!T25+s_Irr!AR25+s_Irr!BP25)),IF(AND(s_Irr!T25&lt;&gt;".",s_Irr!AR25&lt;&gt;".",s_Irr!BP25="."),s_dir!AT25/((1/1000)*(s_Irr!T25+s_Irr!AR25)),IF(AND(s_Irr!T25&lt;&gt;".",s_Irr!AR25=".",s_Irr!BP25&lt;&gt;"."),s_dir!AT25/((1/1000)*(s_Irr!T25+s_Irr!BP25)),IF(AND(s_Irr!T25=".",s_Irr!AR25&lt;&gt;".",s_Irr!BP25&lt;&gt;"."),s_dir!AT25/((1/1000)*(s_Irr!AR25+s_Irr!BP25)),IF(AND(s_Irr!T25=".",s_Irr!AR25=".",s_Irr!BP25&lt;&gt;"."),s_dir!AT25/((1/1000)*(s_Irr!BP25)),IF(AND(s_Irr!T25=".",s_Irr!AR25&lt;&gt;".",s_Irr!BP25="."),s_dir!AT25/((1/1000)*(s_Irr!AR25)),IF(AND(s_Irr!T25&lt;&gt;".",s_Irr!AR25=".",s_Irr!BP25="."),s_dir!AT25/((1/1000)*(s_Irr!T25)),IF(AND(s_Irr!T25=".",s_Irr!AR25=".",s_Irr!BP25="."),s_dir!AT25*1000)))))))),".")</f>
        <v>.</v>
      </c>
      <c r="BT25" s="76" t="str">
        <f>IFERROR(IF(AND(s_Irr!U25&lt;&gt;".",s_Irr!AS25&lt;&gt;".",s_Irr!BQ25&lt;&gt;"."),s_dir!AU25/((1/1000)*(s_Irr!U25+s_Irr!AS25+s_Irr!BQ25)),IF(AND(s_Irr!U25&lt;&gt;".",s_Irr!AS25&lt;&gt;".",s_Irr!BQ25="."),s_dir!AU25/((1/1000)*(s_Irr!U25+s_Irr!AS25)),IF(AND(s_Irr!U25&lt;&gt;".",s_Irr!AS25=".",s_Irr!BQ25&lt;&gt;"."),s_dir!AU25/((1/1000)*(s_Irr!U25+s_Irr!BQ25)),IF(AND(s_Irr!U25=".",s_Irr!AS25&lt;&gt;".",s_Irr!BQ25&lt;&gt;"."),s_dir!AU25/((1/1000)*(s_Irr!AS25+s_Irr!BQ25)),IF(AND(s_Irr!U25=".",s_Irr!AS25=".",s_Irr!BQ25&lt;&gt;"."),s_dir!AU25/((1/1000)*(s_Irr!BQ25)),IF(AND(s_Irr!U25=".",s_Irr!AS25&lt;&gt;".",s_Irr!BQ25="."),s_dir!AU25/((1/1000)*(s_Irr!AS25)),IF(AND(s_Irr!U25&lt;&gt;".",s_Irr!AS25=".",s_Irr!BQ25="."),s_dir!AU25/((1/1000)*(s_Irr!U25)),IF(AND(s_Irr!U25=".",s_Irr!AS25=".",s_Irr!BQ25="."),s_dir!AU25*1000)))))))),".")</f>
        <v>.</v>
      </c>
      <c r="BU25" s="76" t="str">
        <f>IFERROR(IF(AND(s_Irr!V25&lt;&gt;".",s_Irr!AT25&lt;&gt;".",s_Irr!BR25&lt;&gt;"."),s_dir!AV25/((1/1000)*(s_Irr!V25+s_Irr!AT25+s_Irr!BR25)),IF(AND(s_Irr!V25&lt;&gt;".",s_Irr!AT25&lt;&gt;".",s_Irr!BR25="."),s_dir!AV25/((1/1000)*(s_Irr!V25+s_Irr!AT25)),IF(AND(s_Irr!V25&lt;&gt;".",s_Irr!AT25=".",s_Irr!BR25&lt;&gt;"."),s_dir!AV25/((1/1000)*(s_Irr!V25+s_Irr!BR25)),IF(AND(s_Irr!V25=".",s_Irr!AT25&lt;&gt;".",s_Irr!BR25&lt;&gt;"."),s_dir!AV25/((1/1000)*(s_Irr!AT25+s_Irr!BR25)),IF(AND(s_Irr!V25=".",s_Irr!AT25=".",s_Irr!BR25&lt;&gt;"."),s_dir!AV25/((1/1000)*(s_Irr!BR25)),IF(AND(s_Irr!V25=".",s_Irr!AT25&lt;&gt;".",s_Irr!BR25="."),s_dir!AV25/((1/1000)*(s_Irr!AT25)),IF(AND(s_Irr!V25&lt;&gt;".",s_Irr!AT25=".",s_Irr!BR25="."),s_dir!AV25/((1/1000)*(s_Irr!V25)),IF(AND(s_Irr!V25=".",s_Irr!AT25=".",s_Irr!BR25="."),s_dir!AV25*1000)))))))),".")</f>
        <v>.</v>
      </c>
      <c r="BV25" s="76" t="str">
        <f>IFERROR(IF(AND(s_Irr!W25&lt;&gt;".",s_Irr!AU25&lt;&gt;".",s_Irr!BS25&lt;&gt;"."),s_dir!AW25/((1/1000)*(s_Irr!W25+s_Irr!AU25+s_Irr!BS25)),IF(AND(s_Irr!W25&lt;&gt;".",s_Irr!AU25&lt;&gt;".",s_Irr!BS25="."),s_dir!AW25/((1/1000)*(s_Irr!W25+s_Irr!AU25)),IF(AND(s_Irr!W25&lt;&gt;".",s_Irr!AU25=".",s_Irr!BS25&lt;&gt;"."),s_dir!AW25/((1/1000)*(s_Irr!W25+s_Irr!BS25)),IF(AND(s_Irr!W25=".",s_Irr!AU25&lt;&gt;".",s_Irr!BS25&lt;&gt;"."),s_dir!AW25/((1/1000)*(s_Irr!AU25+s_Irr!BS25)),IF(AND(s_Irr!W25=".",s_Irr!AU25=".",s_Irr!BS25&lt;&gt;"."),s_dir!AW25/((1/1000)*(s_Irr!BS25)),IF(AND(s_Irr!W25=".",s_Irr!AU25&lt;&gt;".",s_Irr!BS25="."),s_dir!AW25/((1/1000)*(s_Irr!AU25)),IF(AND(s_Irr!W25&lt;&gt;".",s_Irr!AU25=".",s_Irr!BS25="."),s_dir!AW25/((1/1000)*(s_Irr!W25)),IF(AND(s_Irr!W25=".",s_Irr!AU25=".",s_Irr!BS25="."),s_dir!AW25*1000)))))))),".")</f>
        <v>.</v>
      </c>
      <c r="BW25" s="76" t="str">
        <f>IFERROR(IF(AND(s_Irr!X25&lt;&gt;".",s_Irr!AV25&lt;&gt;".",s_Irr!BT25&lt;&gt;"."),s_dir!AX25/((1/1000)*(s_Irr!X25+s_Irr!AV25+s_Irr!BT25)),IF(AND(s_Irr!X25&lt;&gt;".",s_Irr!AV25&lt;&gt;".",s_Irr!BT25="."),s_dir!AX25/((1/1000)*(s_Irr!X25+s_Irr!AV25)),IF(AND(s_Irr!X25&lt;&gt;".",s_Irr!AV25=".",s_Irr!BT25&lt;&gt;"."),s_dir!AX25/((1/1000)*(s_Irr!X25+s_Irr!BT25)),IF(AND(s_Irr!X25=".",s_Irr!AV25&lt;&gt;".",s_Irr!BT25&lt;&gt;"."),s_dir!AX25/((1/1000)*(s_Irr!AV25+s_Irr!BT25)),IF(AND(s_Irr!X25=".",s_Irr!AV25=".",s_Irr!BT25&lt;&gt;"."),s_dir!AX25/((1/1000)*(s_Irr!BT25)),IF(AND(s_Irr!X25=".",s_Irr!AV25&lt;&gt;".",s_Irr!BT25="."),s_dir!AX25/((1/1000)*(s_Irr!AV25)),IF(AND(s_Irr!X25&lt;&gt;".",s_Irr!AV25=".",s_Irr!BT25="."),s_dir!AX25/((1/1000)*(s_Irr!X25)),IF(AND(s_Irr!X25=".",s_Irr!AV25=".",s_Irr!BT25="."),s_dir!AX25*1000)))))))),".")</f>
        <v>.</v>
      </c>
      <c r="BX25" s="76" t="str">
        <f>IFERROR(IF(AND(s_Irr!Y25&lt;&gt;".",s_Irr!AW25&lt;&gt;".",s_Irr!BU25&lt;&gt;"."),s_dir!AY25/((1/1000)*(s_Irr!Y25+s_Irr!AW25+s_Irr!BU25)),IF(AND(s_Irr!Y25&lt;&gt;".",s_Irr!AW25&lt;&gt;".",s_Irr!BU25="."),s_dir!AY25/((1/1000)*(s_Irr!Y25+s_Irr!AW25)),IF(AND(s_Irr!Y25&lt;&gt;".",s_Irr!AW25=".",s_Irr!BU25&lt;&gt;"."),s_dir!AY25/((1/1000)*(s_Irr!Y25+s_Irr!BU25)),IF(AND(s_Irr!Y25=".",s_Irr!AW25&lt;&gt;".",s_Irr!BU25&lt;&gt;"."),s_dir!AY25/((1/1000)*(s_Irr!AW25+s_Irr!BU25)),IF(AND(s_Irr!Y25=".",s_Irr!AW25=".",s_Irr!BU25&lt;&gt;"."),s_dir!AY25/((1/1000)*(s_Irr!BU25)),IF(AND(s_Irr!Y25=".",s_Irr!AW25&lt;&gt;".",s_Irr!BU25="."),s_dir!AY25/((1/1000)*(s_Irr!AW25)),IF(AND(s_Irr!Y25&lt;&gt;".",s_Irr!AW25=".",s_Irr!BU25="."),s_dir!AY25/((1/1000)*(s_Irr!Y25)),IF(AND(s_Irr!Y25=".",s_Irr!AW25=".",s_Irr!BU25="."),s_dir!AY25*1000)))))))),".")</f>
        <v>.</v>
      </c>
      <c r="BY25" s="76" t="str">
        <f>IFERROR(IF(AND(s_Irr!Z25&lt;&gt;".",s_Irr!AX25&lt;&gt;".",s_Irr!BV25&lt;&gt;"."),s_dir!AZ25/((1/1000)*(s_Irr!Z25+s_Irr!AX25+s_Irr!BV25)),IF(AND(s_Irr!Z25&lt;&gt;".",s_Irr!AX25&lt;&gt;".",s_Irr!BV25="."),s_dir!AZ25/((1/1000)*(s_Irr!Z25+s_Irr!AX25)),IF(AND(s_Irr!Z25&lt;&gt;".",s_Irr!AX25=".",s_Irr!BV25&lt;&gt;"."),s_dir!AZ25/((1/1000)*(s_Irr!Z25+s_Irr!BV25)),IF(AND(s_Irr!Z25=".",s_Irr!AX25&lt;&gt;".",s_Irr!BV25&lt;&gt;"."),s_dir!AZ25/((1/1000)*(s_Irr!AX25+s_Irr!BV25)),IF(AND(s_Irr!Z25=".",s_Irr!AX25=".",s_Irr!BV25&lt;&gt;"."),s_dir!AZ25/((1/1000)*(s_Irr!BV25)),IF(AND(s_Irr!Z25=".",s_Irr!AX25&lt;&gt;".",s_Irr!BV25="."),s_dir!AZ25/((1/1000)*(s_Irr!AX25)),IF(AND(s_Irr!Z25&lt;&gt;".",s_Irr!AX25=".",s_Irr!BV25="."),s_dir!AZ25/((1/1000)*(s_Irr!Z25)),IF(AND(s_Irr!Z25=".",s_Irr!AX25=".",s_Irr!BV25="."),s_dir!AZ25*1000)))))))),".")</f>
        <v>.</v>
      </c>
      <c r="BZ25" s="93">
        <f>SUM(CA25:CB25,CW25:CX25)</f>
        <v>0</v>
      </c>
      <c r="CA25" s="93" t="str">
        <f>IFERROR(s_C*s_IFAP_far_adj*s_CF_apple*(1/1000)*(s_Irr!C25+s_Irr!AA25+s_Irr!AY25),".")</f>
        <v>.</v>
      </c>
      <c r="CB25" s="93" t="str">
        <f>IFERROR(s_C*s_IFAS_far_adj*s_CF_asparagus*(1/1000)*(s_Irr!D25+s_Irr!AB25+s_Irr!AZ25),".")</f>
        <v>.</v>
      </c>
      <c r="CC25" s="93" t="str">
        <f>IFERROR(s_C*s_IFBT_far_adj*s_CF_beet*(1/1000)*(s_Irr!E25+s_Irr!AC25+s_Irr!BA25),".")</f>
        <v>.</v>
      </c>
      <c r="CD25" s="93" t="str">
        <f>IFERROR(s_C*s_IFBE_far_adj*s_CF_berries*(1/1000)*(s_Irr!F25+s_Irr!AD25+s_Irr!BB25),".")</f>
        <v>.</v>
      </c>
      <c r="CE25" s="93" t="str">
        <f>IFERROR(s_C*s_IFBR_far_adj*s_CF_broccoli*(1/1000)*(s_Irr!G25+s_Irr!AE25+s_Irr!BC25),".")</f>
        <v>.</v>
      </c>
      <c r="CF25" s="93" t="str">
        <f>IFERROR(s_C*s_IFCB_far_adj*s_CF_cabbage*(1/1000)*(s_Irr!H25+s_Irr!AF25+s_Irr!BD25),".")</f>
        <v>.</v>
      </c>
      <c r="CG25" s="93" t="str">
        <f>IFERROR(s_C*s_IFCR_far_adj*s_CF_carrot*(1/1000)*(s_Irr!I25+s_Irr!AG25+s_Irr!BE25),".")</f>
        <v>.</v>
      </c>
      <c r="CH25" s="93" t="str">
        <f>IFERROR(s_C*s_IFCI_far_adj*s_CF_citrus*(1/1000)*(s_Irr!J25+s_Irr!AH25+s_Irr!BF25),".")</f>
        <v>.</v>
      </c>
      <c r="CI25" s="93" t="str">
        <f>IFERROR(s_C*s_IFCO_far_adj*s_CF_corn*(1/1000)*(s_Irr!K25+s_Irr!AI25+s_Irr!BG25),".")</f>
        <v>.</v>
      </c>
      <c r="CJ25" s="93" t="str">
        <f>IFERROR(s_C*s_IFCU_far_adj*s_CF_cucumber*(1/1000)*(s_Irr!L25+s_Irr!AJ25+s_Irr!BH25),".")</f>
        <v>.</v>
      </c>
      <c r="CK25" s="93" t="str">
        <f>IFERROR(s_C*s_IFLE_far_adj*s_CF_lettuce*(1/1000)*(s_Irr!M25+s_Irr!AK25+s_Irr!BI25),".")</f>
        <v>.</v>
      </c>
      <c r="CL25" s="93" t="str">
        <f>IFERROR(s_C*s_IFLI_far_adj*s_CF_lima_bean*(1/1000)*(s_Irr!N25+s_Irr!AL25+s_Irr!BJ25),".")</f>
        <v>.</v>
      </c>
      <c r="CM25" s="93" t="str">
        <f>IFERROR(s_C*s_IFOK_far_adj*s_CF_okra*(1/1000)*(s_Irr!O25+s_Irr!AM25+s_Irr!BK25),".")</f>
        <v>.</v>
      </c>
      <c r="CN25" s="93" t="str">
        <f>IFERROR(s_C*s_IFON_far_adj*s_CF_onion*(1/1000)*(s_Irr!P25+s_Irr!AN25+s_Irr!BL25),".")</f>
        <v>.</v>
      </c>
      <c r="CO25" s="93" t="str">
        <f>IFERROR(s_C*s_IFPC_far_adj*s_CF_peach*(1/1000)*(s_Irr!Q25+s_Irr!AO25+s_Irr!BM25),".")</f>
        <v>.</v>
      </c>
      <c r="CP25" s="93" t="str">
        <f>IFERROR(s_C*s_IFPR_far_adj*s_CF_pear*(1/1000)*(s_Irr!R25+s_Irr!AP25+s_Irr!BN25),".")</f>
        <v>.</v>
      </c>
      <c r="CQ25" s="93" t="str">
        <f>IFERROR(s_C*s_IFPE_far_adj*s_CF_peas*(1/1000)*(s_Irr!S25+s_Irr!AQ25+s_Irr!BO25),".")</f>
        <v>.</v>
      </c>
      <c r="CR25" s="93" t="str">
        <f>IFERROR(s_C*s_IFPT_far_adj*s_CF_potato*(1/1000)*(s_Irr!T25+s_Irr!AR25+s_Irr!BP25),".")</f>
        <v>.</v>
      </c>
      <c r="CS25" s="93" t="str">
        <f>IFERROR(s_C*s_IFPU_far_adj*s_CF_pumpkin*(1/1000)*(s_Irr!U25+s_Irr!AS25+s_Irr!BQ25),".")</f>
        <v>.</v>
      </c>
      <c r="CT25" s="93" t="str">
        <f>IFERROR(s_C*s_IFSN_far_adj*s_CF_snap_bean*(1/1000)*(s_Irr!V25+s_Irr!AT25+s_Irr!BR25),".")</f>
        <v>.</v>
      </c>
      <c r="CU25" s="93" t="str">
        <f>IFERROR(s_C*s_IFST_far_adj*s_CF_strawberry*(1/1000)*(s_Irr!W25+s_Irr!AU25+s_Irr!BS25),".")</f>
        <v>.</v>
      </c>
      <c r="CV25" s="93" t="str">
        <f>IFERROR(s_C*s_IFTO_far_adj*s_CF_tomato*(1/1000)*(s_Irr!X25+s_Irr!AV25+s_Irr!BT25),".")</f>
        <v>.</v>
      </c>
      <c r="CW25" s="93" t="str">
        <f>IFERROR(s_C*s_IFRI_far_adj*s_CF_rice*(1/1000)*(s_Irr!Y25+s_Irr!AW25+s_Irr!BU25),".")</f>
        <v>.</v>
      </c>
      <c r="CX25" s="93" t="str">
        <f>IFERROR(s_C*s_IFCG_far_adj*s_CF_cereal*(1/1000)*(s_Irr!Z25+s_Irr!AX25+s_Irr!BV25),".")</f>
        <v>.</v>
      </c>
    </row>
    <row r="26" spans="1:102" ht="15" customHeight="1" x14ac:dyDescent="0.25">
      <c r="A26" s="92" t="s">
        <v>36</v>
      </c>
      <c r="B26" s="90" t="s">
        <v>1074</v>
      </c>
      <c r="C26" s="76">
        <f t="shared" ref="C26:C29" si="30">IFERROR(1/SUM(1/D26,1/E26,1/Z26,1/AA26),".")</f>
        <v>26.316338563956215</v>
      </c>
      <c r="D26" s="76">
        <f>IFERROR(IF(AND(s_Irr!C26&lt;&gt;".",s_Irr!AA26&lt;&gt;".",s_Irr!AY26&lt;&gt;"."),s_dir!D26/((1/1000)*(s_Irr!C26+s_Irr!AA26+s_Irr!AY26)),IF(AND(s_Irr!C26&lt;&gt;".",s_Irr!AA26&lt;&gt;".",s_Irr!AY26="."),s_dir!D26/((1/1000)*(s_Irr!C26+s_Irr!AA26)),IF(AND(s_Irr!C26&lt;&gt;".",s_Irr!AA26=".",s_Irr!AY26&lt;&gt;"."),s_dir!D26/((1/1000)*(s_Irr!C26+s_Irr!AY26)),IF(AND(s_Irr!C26=".",s_Irr!AA26&lt;&gt;".",s_Irr!AY26&lt;&gt;"."),s_dir!D26/((1/1000)*(s_Irr!AA26+s_Irr!AY26)),IF(AND(s_Irr!C26=".",s_Irr!AA26=".",s_Irr!AY26&lt;&gt;"."),s_dir!D26/((1/1000)*(s_Irr!AY26)),IF(AND(s_Irr!C26=".",s_Irr!AA26&lt;&gt;".",s_Irr!AY26="."),s_dir!D26/((1/1000)*(s_Irr!AA26)),IF(AND(s_Irr!C26&lt;&gt;".",s_Irr!AA26=".",s_Irr!AY26="."),s_dir!D26/((1/1000)*(s_Irr!C26)),IF(AND(s_Irr!C26=".",s_Irr!AA26=".",s_Irr!AY26="."),s_dir!D26*1000)))))))),".")</f>
        <v>106.13419543011562</v>
      </c>
      <c r="E26" s="76">
        <f>IFERROR(IF(AND(s_Irr!D26&lt;&gt;".",s_Irr!AB26&lt;&gt;".",s_Irr!AZ26&lt;&gt;"."),s_dir!E26/((1/1000)*(s_Irr!D26+s_Irr!AB26+s_Irr!AZ26)),IF(AND(s_Irr!D26&lt;&gt;".",s_Irr!AB26&lt;&gt;".",s_Irr!AZ26="."),s_dir!E26/((1/1000)*(s_Irr!D26+s_Irr!AB26)),IF(AND(s_Irr!D26&lt;&gt;".",s_Irr!AB26=".",s_Irr!AZ26&lt;&gt;"."),s_dir!E26/((1/1000)*(s_Irr!D26+s_Irr!AZ26)),IF(AND(s_Irr!D26=".",s_Irr!AB26&lt;&gt;".",s_Irr!AZ26&lt;&gt;"."),s_dir!E26/((1/1000)*(s_Irr!AB26+s_Irr!AZ26)),IF(AND(s_Irr!D26=".",s_Irr!AB26=".",s_Irr!AZ26&lt;&gt;"."),s_dir!E26/((1/1000)*(s_Irr!AZ26)),IF(AND(s_Irr!D26=".",s_Irr!AB26&lt;&gt;".",s_Irr!AZ26="."),s_dir!E26/((1/1000)*(s_Irr!AB26)),IF(AND(s_Irr!D26&lt;&gt;".",s_Irr!AB26=".",s_Irr!AZ26="."),s_dir!E26/((1/1000)*(s_Irr!D26)),IF(AND(s_Irr!D26=".",s_Irr!AB26=".",s_Irr!AZ26="."),s_dir!E26*1000)))))))),".")</f>
        <v>104.89733315192358</v>
      </c>
      <c r="F26" s="76">
        <f>IFERROR(IF(AND(s_Irr!E26&lt;&gt;".",s_Irr!AC26&lt;&gt;".",s_Irr!BA26&lt;&gt;"."),s_dir!F26/((1/1000)*(s_Irr!E26+s_Irr!AC26+s_Irr!BA26)),IF(AND(s_Irr!E26&lt;&gt;".",s_Irr!AC26&lt;&gt;".",s_Irr!BA26="."),s_dir!F26/((1/1000)*(s_Irr!E26+s_Irr!AC26)),IF(AND(s_Irr!E26&lt;&gt;".",s_Irr!AC26=".",s_Irr!BA26&lt;&gt;"."),s_dir!F26/((1/1000)*(s_Irr!E26+s_Irr!BA26)),IF(AND(s_Irr!E26=".",s_Irr!AC26&lt;&gt;".",s_Irr!BA26&lt;&gt;"."),s_dir!F26/((1/1000)*(s_Irr!AC26+s_Irr!BA26)),IF(AND(s_Irr!E26=".",s_Irr!AC26=".",s_Irr!BA26&lt;&gt;"."),s_dir!F26/((1/1000)*(s_Irr!BA26)),IF(AND(s_Irr!E26=".",s_Irr!AC26&lt;&gt;".",s_Irr!BA26="."),s_dir!F26/((1/1000)*(s_Irr!AC26)),IF(AND(s_Irr!E26&lt;&gt;".",s_Irr!AC26=".",s_Irr!BA26="."),s_dir!F26/((1/1000)*(s_Irr!E26)),IF(AND(s_Irr!E26=".",s_Irr!AC26=".",s_Irr!BA26="."),s_dir!F26*1000)))))))),".")</f>
        <v>105.60055794957333</v>
      </c>
      <c r="G26" s="76">
        <f>IFERROR(IF(AND(s_Irr!F26&lt;&gt;".",s_Irr!AD26&lt;&gt;".",s_Irr!BB26&lt;&gt;"."),s_dir!G26/((1/1000)*(s_Irr!F26+s_Irr!AD26+s_Irr!BB26)),IF(AND(s_Irr!F26&lt;&gt;".",s_Irr!AD26&lt;&gt;".",s_Irr!BB26="."),s_dir!G26/((1/1000)*(s_Irr!F26+s_Irr!AD26)),IF(AND(s_Irr!F26&lt;&gt;".",s_Irr!AD26=".",s_Irr!BB26&lt;&gt;"."),s_dir!G26/((1/1000)*(s_Irr!F26+s_Irr!BB26)),IF(AND(s_Irr!F26=".",s_Irr!AD26&lt;&gt;".",s_Irr!BB26&lt;&gt;"."),s_dir!G26/((1/1000)*(s_Irr!AD26+s_Irr!BB26)),IF(AND(s_Irr!F26=".",s_Irr!AD26=".",s_Irr!BB26&lt;&gt;"."),s_dir!G26/((1/1000)*(s_Irr!BB26)),IF(AND(s_Irr!F26=".",s_Irr!AD26&lt;&gt;".",s_Irr!BB26="."),s_dir!G26/((1/1000)*(s_Irr!AD26)),IF(AND(s_Irr!F26&lt;&gt;".",s_Irr!AD26=".",s_Irr!BB26="."),s_dir!G26/((1/1000)*(s_Irr!F26)),IF(AND(s_Irr!F26=".",s_Irr!AD26=".",s_Irr!BB26="."),s_dir!G26*1000)))))))),".")</f>
        <v>106.13419543011562</v>
      </c>
      <c r="H26" s="76">
        <f>IFERROR(IF(AND(s_Irr!G26&lt;&gt;".",s_Irr!AE26&lt;&gt;".",s_Irr!BC26&lt;&gt;"."),s_dir!H26/((1/1000)*(s_Irr!G26+s_Irr!AE26+s_Irr!BC26)),IF(AND(s_Irr!G26&lt;&gt;".",s_Irr!AE26&lt;&gt;".",s_Irr!BC26="."),s_dir!H26/((1/1000)*(s_Irr!G26+s_Irr!AE26)),IF(AND(s_Irr!G26&lt;&gt;".",s_Irr!AE26=".",s_Irr!BC26&lt;&gt;"."),s_dir!H26/((1/1000)*(s_Irr!G26+s_Irr!BC26)),IF(AND(s_Irr!G26=".",s_Irr!AE26&lt;&gt;".",s_Irr!BC26&lt;&gt;"."),s_dir!H26/((1/1000)*(s_Irr!AE26+s_Irr!BC26)),IF(AND(s_Irr!G26=".",s_Irr!AE26=".",s_Irr!BC26&lt;&gt;"."),s_dir!H26/((1/1000)*(s_Irr!BC26)),IF(AND(s_Irr!G26=".",s_Irr!AE26&lt;&gt;".",s_Irr!BC26="."),s_dir!H26/((1/1000)*(s_Irr!AE26)),IF(AND(s_Irr!G26&lt;&gt;".",s_Irr!AE26=".",s_Irr!BC26="."),s_dir!H26/((1/1000)*(s_Irr!G26)),IF(AND(s_Irr!G26=".",s_Irr!AE26=".",s_Irr!BC26="."),s_dir!H26*1000)))))))),".")</f>
        <v>105.63596677700924</v>
      </c>
      <c r="I26" s="76">
        <f>IFERROR(IF(AND(s_Irr!H26&lt;&gt;".",s_Irr!AF26&lt;&gt;".",s_Irr!BD26&lt;&gt;"."),s_dir!I26/((1/1000)*(s_Irr!H26+s_Irr!AF26+s_Irr!BD26)),IF(AND(s_Irr!H26&lt;&gt;".",s_Irr!AF26&lt;&gt;".",s_Irr!BD26="."),s_dir!I26/((1/1000)*(s_Irr!H26+s_Irr!AF26)),IF(AND(s_Irr!H26&lt;&gt;".",s_Irr!AF26=".",s_Irr!BD26&lt;&gt;"."),s_dir!I26/((1/1000)*(s_Irr!H26+s_Irr!BD26)),IF(AND(s_Irr!H26=".",s_Irr!AF26&lt;&gt;".",s_Irr!BD26&lt;&gt;"."),s_dir!I26/((1/1000)*(s_Irr!AF26+s_Irr!BD26)),IF(AND(s_Irr!H26=".",s_Irr!AF26=".",s_Irr!BD26&lt;&gt;"."),s_dir!I26/((1/1000)*(s_Irr!BD26)),IF(AND(s_Irr!H26=".",s_Irr!AF26&lt;&gt;".",s_Irr!BD26="."),s_dir!I26/((1/1000)*(s_Irr!AF26)),IF(AND(s_Irr!H26&lt;&gt;".",s_Irr!AF26=".",s_Irr!BD26="."),s_dir!I26/((1/1000)*(s_Irr!H26)),IF(AND(s_Irr!H26=".",s_Irr!AF26=".",s_Irr!BD26="."),s_dir!I26*1000)))))))),".")</f>
        <v>104.89733315192358</v>
      </c>
      <c r="J26" s="76">
        <f>IFERROR(IF(AND(s_Irr!I26&lt;&gt;".",s_Irr!AG26&lt;&gt;".",s_Irr!BE26&lt;&gt;"."),s_dir!J26/((1/1000)*(s_Irr!I26+s_Irr!AG26+s_Irr!BE26)),IF(AND(s_Irr!I26&lt;&gt;".",s_Irr!AG26&lt;&gt;".",s_Irr!BE26="."),s_dir!J26/((1/1000)*(s_Irr!I26+s_Irr!AG26)),IF(AND(s_Irr!I26&lt;&gt;".",s_Irr!AG26=".",s_Irr!BE26&lt;&gt;"."),s_dir!J26/((1/1000)*(s_Irr!I26+s_Irr!BE26)),IF(AND(s_Irr!I26=".",s_Irr!AG26&lt;&gt;".",s_Irr!BE26&lt;&gt;"."),s_dir!J26/((1/1000)*(s_Irr!AG26+s_Irr!BE26)),IF(AND(s_Irr!I26=".",s_Irr!AG26=".",s_Irr!BE26&lt;&gt;"."),s_dir!J26/((1/1000)*(s_Irr!BE26)),IF(AND(s_Irr!I26=".",s_Irr!AG26&lt;&gt;".",s_Irr!BE26="."),s_dir!J26/((1/1000)*(s_Irr!AG26)),IF(AND(s_Irr!I26&lt;&gt;".",s_Irr!AG26=".",s_Irr!BE26="."),s_dir!J26/((1/1000)*(s_Irr!I26)),IF(AND(s_Irr!I26=".",s_Irr!AG26=".",s_Irr!BE26="."),s_dir!J26*1000)))))))),".")</f>
        <v>105.60055794957333</v>
      </c>
      <c r="K26" s="76">
        <f>IFERROR(IF(AND(s_Irr!J26&lt;&gt;".",s_Irr!AH26&lt;&gt;".",s_Irr!BF26&lt;&gt;"."),s_dir!K26/((1/1000)*(s_Irr!J26+s_Irr!AH26+s_Irr!BF26)),IF(AND(s_Irr!J26&lt;&gt;".",s_Irr!AH26&lt;&gt;".",s_Irr!BF26="."),s_dir!K26/((1/1000)*(s_Irr!J26+s_Irr!AH26)),IF(AND(s_Irr!J26&lt;&gt;".",s_Irr!AH26=".",s_Irr!BF26&lt;&gt;"."),s_dir!K26/((1/1000)*(s_Irr!J26+s_Irr!BF26)),IF(AND(s_Irr!J26=".",s_Irr!AH26&lt;&gt;".",s_Irr!BF26&lt;&gt;"."),s_dir!K26/((1/1000)*(s_Irr!AH26+s_Irr!BF26)),IF(AND(s_Irr!J26=".",s_Irr!AH26=".",s_Irr!BF26&lt;&gt;"."),s_dir!K26/((1/1000)*(s_Irr!BF26)),IF(AND(s_Irr!J26=".",s_Irr!AH26&lt;&gt;".",s_Irr!BF26="."),s_dir!K26/((1/1000)*(s_Irr!AH26)),IF(AND(s_Irr!J26&lt;&gt;".",s_Irr!AH26=".",s_Irr!BF26="."),s_dir!K26/((1/1000)*(s_Irr!J26)),IF(AND(s_Irr!J26=".",s_Irr!AH26=".",s_Irr!BF26="."),s_dir!K26*1000)))))))),".")</f>
        <v>106.13419543011562</v>
      </c>
      <c r="L26" s="76">
        <f>IFERROR(IF(AND(s_Irr!K26&lt;&gt;".",s_Irr!AI26&lt;&gt;".",s_Irr!BG26&lt;&gt;"."),s_dir!L26/((1/1000)*(s_Irr!K26+s_Irr!AI26+s_Irr!BG26)),IF(AND(s_Irr!K26&lt;&gt;".",s_Irr!AI26&lt;&gt;".",s_Irr!BG26="."),s_dir!L26/((1/1000)*(s_Irr!K26+s_Irr!AI26)),IF(AND(s_Irr!K26&lt;&gt;".",s_Irr!AI26=".",s_Irr!BG26&lt;&gt;"."),s_dir!L26/((1/1000)*(s_Irr!K26+s_Irr!BG26)),IF(AND(s_Irr!K26=".",s_Irr!AI26&lt;&gt;".",s_Irr!BG26&lt;&gt;"."),s_dir!L26/((1/1000)*(s_Irr!AI26+s_Irr!BG26)),IF(AND(s_Irr!K26=".",s_Irr!AI26=".",s_Irr!BG26&lt;&gt;"."),s_dir!L26/((1/1000)*(s_Irr!BG26)),IF(AND(s_Irr!K26=".",s_Irr!AI26&lt;&gt;".",s_Irr!BG26="."),s_dir!L26/((1/1000)*(s_Irr!AI26)),IF(AND(s_Irr!K26&lt;&gt;".",s_Irr!AI26=".",s_Irr!BG26="."),s_dir!L26/((1/1000)*(s_Irr!K26)),IF(AND(s_Irr!K26=".",s_Irr!AI26=".",s_Irr!BG26="."),s_dir!L26*1000)))))))),".")</f>
        <v>105.88449501582424</v>
      </c>
      <c r="M26" s="76">
        <f>IFERROR(IF(AND(s_Irr!L26&lt;&gt;".",s_Irr!AJ26&lt;&gt;".",s_Irr!BH26&lt;&gt;"."),s_dir!M26/((1/1000)*(s_Irr!L26+s_Irr!AJ26+s_Irr!BH26)),IF(AND(s_Irr!L26&lt;&gt;".",s_Irr!AJ26&lt;&gt;".",s_Irr!BH26="."),s_dir!M26/((1/1000)*(s_Irr!L26+s_Irr!AJ26)),IF(AND(s_Irr!L26&lt;&gt;".",s_Irr!AJ26=".",s_Irr!BH26&lt;&gt;"."),s_dir!M26/((1/1000)*(s_Irr!L26+s_Irr!BH26)),IF(AND(s_Irr!L26=".",s_Irr!AJ26&lt;&gt;".",s_Irr!BH26&lt;&gt;"."),s_dir!M26/((1/1000)*(s_Irr!AJ26+s_Irr!BH26)),IF(AND(s_Irr!L26=".",s_Irr!AJ26=".",s_Irr!BH26&lt;&gt;"."),s_dir!M26/((1/1000)*(s_Irr!BH26)),IF(AND(s_Irr!L26=".",s_Irr!AJ26&lt;&gt;".",s_Irr!BH26="."),s_dir!M26/((1/1000)*(s_Irr!AJ26)),IF(AND(s_Irr!L26&lt;&gt;".",s_Irr!AJ26=".",s_Irr!BH26="."),s_dir!M26/((1/1000)*(s_Irr!L26)),IF(AND(s_Irr!L26=".",s_Irr!AJ26=".",s_Irr!BH26="."),s_dir!M26*1000)))))))),".")</f>
        <v>105.63596677700924</v>
      </c>
      <c r="N26" s="76">
        <f>IFERROR(IF(AND(s_Irr!M26&lt;&gt;".",s_Irr!AK26&lt;&gt;".",s_Irr!BI26&lt;&gt;"."),s_dir!N26/((1/1000)*(s_Irr!M26+s_Irr!AK26+s_Irr!BI26)),IF(AND(s_Irr!M26&lt;&gt;".",s_Irr!AK26&lt;&gt;".",s_Irr!BI26="."),s_dir!N26/((1/1000)*(s_Irr!M26+s_Irr!AK26)),IF(AND(s_Irr!M26&lt;&gt;".",s_Irr!AK26=".",s_Irr!BI26&lt;&gt;"."),s_dir!N26/((1/1000)*(s_Irr!M26+s_Irr!BI26)),IF(AND(s_Irr!M26=".",s_Irr!AK26&lt;&gt;".",s_Irr!BI26&lt;&gt;"."),s_dir!N26/((1/1000)*(s_Irr!AK26+s_Irr!BI26)),IF(AND(s_Irr!M26=".",s_Irr!AK26=".",s_Irr!BI26&lt;&gt;"."),s_dir!N26/((1/1000)*(s_Irr!BI26)),IF(AND(s_Irr!M26=".",s_Irr!AK26&lt;&gt;".",s_Irr!BI26="."),s_dir!N26/((1/1000)*(s_Irr!AK26)),IF(AND(s_Irr!M26&lt;&gt;".",s_Irr!AK26=".",s_Irr!BI26="."),s_dir!N26/((1/1000)*(s_Irr!M26)),IF(AND(s_Irr!M26=".",s_Irr!AK26=".",s_Irr!BI26="."),s_dir!N26*1000)))))))),".")</f>
        <v>104.89733315192358</v>
      </c>
      <c r="O26" s="76">
        <f>IFERROR(IF(AND(s_Irr!N26&lt;&gt;".",s_Irr!AL26&lt;&gt;".",s_Irr!BJ26&lt;&gt;"."),s_dir!O26/((1/1000)*(s_Irr!N26+s_Irr!AL26+s_Irr!BJ26)),IF(AND(s_Irr!N26&lt;&gt;".",s_Irr!AL26&lt;&gt;".",s_Irr!BJ26="."),s_dir!O26/((1/1000)*(s_Irr!N26+s_Irr!AL26)),IF(AND(s_Irr!N26&lt;&gt;".",s_Irr!AL26=".",s_Irr!BJ26&lt;&gt;"."),s_dir!O26/((1/1000)*(s_Irr!N26+s_Irr!BJ26)),IF(AND(s_Irr!N26=".",s_Irr!AL26&lt;&gt;".",s_Irr!BJ26&lt;&gt;"."),s_dir!O26/((1/1000)*(s_Irr!AL26+s_Irr!BJ26)),IF(AND(s_Irr!N26=".",s_Irr!AL26=".",s_Irr!BJ26&lt;&gt;"."),s_dir!O26/((1/1000)*(s_Irr!BJ26)),IF(AND(s_Irr!N26=".",s_Irr!AL26&lt;&gt;".",s_Irr!BJ26="."),s_dir!O26/((1/1000)*(s_Irr!AL26)),IF(AND(s_Irr!N26&lt;&gt;".",s_Irr!AL26=".",s_Irr!BJ26="."),s_dir!O26/((1/1000)*(s_Irr!N26)),IF(AND(s_Irr!N26=".",s_Irr!AL26=".",s_Irr!BJ26="."),s_dir!O26*1000)))))))),".")</f>
        <v>106.08058910510783</v>
      </c>
      <c r="P26" s="76">
        <f>IFERROR(IF(AND(s_Irr!O26&lt;&gt;".",s_Irr!AM26&lt;&gt;".",s_Irr!BK26&lt;&gt;"."),s_dir!P26/((1/1000)*(s_Irr!O26+s_Irr!AM26+s_Irr!BK26)),IF(AND(s_Irr!O26&lt;&gt;".",s_Irr!AM26&lt;&gt;".",s_Irr!BK26="."),s_dir!P26/((1/1000)*(s_Irr!O26+s_Irr!AM26)),IF(AND(s_Irr!O26&lt;&gt;".",s_Irr!AM26=".",s_Irr!BK26&lt;&gt;"."),s_dir!P26/((1/1000)*(s_Irr!O26+s_Irr!BK26)),IF(AND(s_Irr!O26=".",s_Irr!AM26&lt;&gt;".",s_Irr!BK26&lt;&gt;"."),s_dir!P26/((1/1000)*(s_Irr!AM26+s_Irr!BK26)),IF(AND(s_Irr!O26=".",s_Irr!AM26=".",s_Irr!BK26&lt;&gt;"."),s_dir!P26/((1/1000)*(s_Irr!BK26)),IF(AND(s_Irr!O26=".",s_Irr!AM26&lt;&gt;".",s_Irr!BK26="."),s_dir!P26/((1/1000)*(s_Irr!AM26)),IF(AND(s_Irr!O26&lt;&gt;".",s_Irr!AM26=".",s_Irr!BK26="."),s_dir!P26/((1/1000)*(s_Irr!O26)),IF(AND(s_Irr!O26=".",s_Irr!AM26=".",s_Irr!BK26="."),s_dir!P26*1000)))))))),".")</f>
        <v>105.63596677700924</v>
      </c>
      <c r="Q26" s="76">
        <f>IFERROR(IF(AND(s_Irr!P26&lt;&gt;".",s_Irr!AN26&lt;&gt;".",s_Irr!BL26&lt;&gt;"."),s_dir!Q26/((1/1000)*(s_Irr!P26+s_Irr!AN26+s_Irr!BL26)),IF(AND(s_Irr!P26&lt;&gt;".",s_Irr!AN26&lt;&gt;".",s_Irr!BL26="."),s_dir!Q26/((1/1000)*(s_Irr!P26+s_Irr!AN26)),IF(AND(s_Irr!P26&lt;&gt;".",s_Irr!AN26=".",s_Irr!BL26&lt;&gt;"."),s_dir!Q26/((1/1000)*(s_Irr!P26+s_Irr!BL26)),IF(AND(s_Irr!P26=".",s_Irr!AN26&lt;&gt;".",s_Irr!BL26&lt;&gt;"."),s_dir!Q26/((1/1000)*(s_Irr!AN26+s_Irr!BL26)),IF(AND(s_Irr!P26=".",s_Irr!AN26=".",s_Irr!BL26&lt;&gt;"."),s_dir!Q26/((1/1000)*(s_Irr!BL26)),IF(AND(s_Irr!P26=".",s_Irr!AN26&lt;&gt;".",s_Irr!BL26="."),s_dir!Q26/((1/1000)*(s_Irr!AN26)),IF(AND(s_Irr!P26&lt;&gt;".",s_Irr!AN26=".",s_Irr!BL26="."),s_dir!Q26/((1/1000)*(s_Irr!P26)),IF(AND(s_Irr!P26=".",s_Irr!AN26=".",s_Irr!BL26="."),s_dir!Q26*1000)))))))),".")</f>
        <v>105.63596677700924</v>
      </c>
      <c r="R26" s="76">
        <f>IFERROR(IF(AND(s_Irr!Q26&lt;&gt;".",s_Irr!AO26&lt;&gt;".",s_Irr!BM26&lt;&gt;"."),s_dir!R26/((1/1000)*(s_Irr!Q26+s_Irr!AO26+s_Irr!BM26)),IF(AND(s_Irr!Q26&lt;&gt;".",s_Irr!AO26&lt;&gt;".",s_Irr!BM26="."),s_dir!R26/((1/1000)*(s_Irr!Q26+s_Irr!AO26)),IF(AND(s_Irr!Q26&lt;&gt;".",s_Irr!AO26=".",s_Irr!BM26&lt;&gt;"."),s_dir!R26/((1/1000)*(s_Irr!Q26+s_Irr!BM26)),IF(AND(s_Irr!Q26=".",s_Irr!AO26&lt;&gt;".",s_Irr!BM26&lt;&gt;"."),s_dir!R26/((1/1000)*(s_Irr!AO26+s_Irr!BM26)),IF(AND(s_Irr!Q26=".",s_Irr!AO26=".",s_Irr!BM26&lt;&gt;"."),s_dir!R26/((1/1000)*(s_Irr!BM26)),IF(AND(s_Irr!Q26=".",s_Irr!AO26&lt;&gt;".",s_Irr!BM26="."),s_dir!R26/((1/1000)*(s_Irr!AO26)),IF(AND(s_Irr!Q26&lt;&gt;".",s_Irr!AO26=".",s_Irr!BM26="."),s_dir!R26/((1/1000)*(s_Irr!Q26)),IF(AND(s_Irr!Q26=".",s_Irr!AO26=".",s_Irr!BM26="."),s_dir!R26*1000)))))))),".")</f>
        <v>106.13419543011562</v>
      </c>
      <c r="S26" s="76">
        <f>IFERROR(IF(AND(s_Irr!R26&lt;&gt;".",s_Irr!AP26&lt;&gt;".",s_Irr!BN26&lt;&gt;"."),s_dir!S26/((1/1000)*(s_Irr!R26+s_Irr!AP26+s_Irr!BN26)),IF(AND(s_Irr!R26&lt;&gt;".",s_Irr!AP26&lt;&gt;".",s_Irr!BN26="."),s_dir!S26/((1/1000)*(s_Irr!R26+s_Irr!AP26)),IF(AND(s_Irr!R26&lt;&gt;".",s_Irr!AP26=".",s_Irr!BN26&lt;&gt;"."),s_dir!S26/((1/1000)*(s_Irr!R26+s_Irr!BN26)),IF(AND(s_Irr!R26=".",s_Irr!AP26&lt;&gt;".",s_Irr!BN26&lt;&gt;"."),s_dir!S26/((1/1000)*(s_Irr!AP26+s_Irr!BN26)),IF(AND(s_Irr!R26=".",s_Irr!AP26=".",s_Irr!BN26&lt;&gt;"."),s_dir!S26/((1/1000)*(s_Irr!BN26)),IF(AND(s_Irr!R26=".",s_Irr!AP26&lt;&gt;".",s_Irr!BN26="."),s_dir!S26/((1/1000)*(s_Irr!AP26)),IF(AND(s_Irr!R26&lt;&gt;".",s_Irr!AP26=".",s_Irr!BN26="."),s_dir!S26/((1/1000)*(s_Irr!R26)),IF(AND(s_Irr!R26=".",s_Irr!AP26=".",s_Irr!BN26="."),s_dir!S26*1000)))))))),".")</f>
        <v>106.13419543011562</v>
      </c>
      <c r="T26" s="76">
        <f>IFERROR(IF(AND(s_Irr!S26&lt;&gt;".",s_Irr!AQ26&lt;&gt;".",s_Irr!BO26&lt;&gt;"."),s_dir!T26/((1/1000)*(s_Irr!S26+s_Irr!AQ26+s_Irr!BO26)),IF(AND(s_Irr!S26&lt;&gt;".",s_Irr!AQ26&lt;&gt;".",s_Irr!BO26="."),s_dir!T26/((1/1000)*(s_Irr!S26+s_Irr!AQ26)),IF(AND(s_Irr!S26&lt;&gt;".",s_Irr!AQ26=".",s_Irr!BO26&lt;&gt;"."),s_dir!T26/((1/1000)*(s_Irr!S26+s_Irr!BO26)),IF(AND(s_Irr!S26=".",s_Irr!AQ26&lt;&gt;".",s_Irr!BO26&lt;&gt;"."),s_dir!T26/((1/1000)*(s_Irr!AQ26+s_Irr!BO26)),IF(AND(s_Irr!S26=".",s_Irr!AQ26=".",s_Irr!BO26&lt;&gt;"."),s_dir!T26/((1/1000)*(s_Irr!BO26)),IF(AND(s_Irr!S26=".",s_Irr!AQ26&lt;&gt;".",s_Irr!BO26="."),s_dir!T26/((1/1000)*(s_Irr!AQ26)),IF(AND(s_Irr!S26&lt;&gt;".",s_Irr!AQ26=".",s_Irr!BO26="."),s_dir!T26/((1/1000)*(s_Irr!S26)),IF(AND(s_Irr!S26=".",s_Irr!AQ26=".",s_Irr!BO26="."),s_dir!T26*1000)))))))),".")</f>
        <v>106.08058910510783</v>
      </c>
      <c r="U26" s="76">
        <f>IFERROR(IF(AND(s_Irr!T26&lt;&gt;".",s_Irr!AR26&lt;&gt;".",s_Irr!BP26&lt;&gt;"."),s_dir!U26/((1/1000)*(s_Irr!T26+s_Irr!AR26+s_Irr!BP26)),IF(AND(s_Irr!T26&lt;&gt;".",s_Irr!AR26&lt;&gt;".",s_Irr!BP26="."),s_dir!U26/((1/1000)*(s_Irr!T26+s_Irr!AR26)),IF(AND(s_Irr!T26&lt;&gt;".",s_Irr!AR26=".",s_Irr!BP26&lt;&gt;"."),s_dir!U26/((1/1000)*(s_Irr!T26+s_Irr!BP26)),IF(AND(s_Irr!T26=".",s_Irr!AR26&lt;&gt;".",s_Irr!BP26&lt;&gt;"."),s_dir!U26/((1/1000)*(s_Irr!AR26+s_Irr!BP26)),IF(AND(s_Irr!T26=".",s_Irr!AR26=".",s_Irr!BP26&lt;&gt;"."),s_dir!U26/((1/1000)*(s_Irr!BP26)),IF(AND(s_Irr!T26=".",s_Irr!AR26&lt;&gt;".",s_Irr!BP26="."),s_dir!U26/((1/1000)*(s_Irr!AR26)),IF(AND(s_Irr!T26&lt;&gt;".",s_Irr!AR26=".",s_Irr!BP26="."),s_dir!U26/((1/1000)*(s_Irr!T26)),IF(AND(s_Irr!T26=".",s_Irr!AR26=".",s_Irr!BP26="."),s_dir!U26*1000)))))))),".")</f>
        <v>106.67325362650963</v>
      </c>
      <c r="V26" s="76">
        <f>IFERROR(IF(AND(s_Irr!U26&lt;&gt;".",s_Irr!AS26&lt;&gt;".",s_Irr!BQ26&lt;&gt;"."),s_dir!V26/((1/1000)*(s_Irr!U26+s_Irr!AS26+s_Irr!BQ26)),IF(AND(s_Irr!U26&lt;&gt;".",s_Irr!AS26&lt;&gt;".",s_Irr!BQ26="."),s_dir!V26/((1/1000)*(s_Irr!U26+s_Irr!AS26)),IF(AND(s_Irr!U26&lt;&gt;".",s_Irr!AS26=".",s_Irr!BQ26&lt;&gt;"."),s_dir!V26/((1/1000)*(s_Irr!U26+s_Irr!BQ26)),IF(AND(s_Irr!U26=".",s_Irr!AS26&lt;&gt;".",s_Irr!BQ26&lt;&gt;"."),s_dir!V26/((1/1000)*(s_Irr!AS26+s_Irr!BQ26)),IF(AND(s_Irr!U26=".",s_Irr!AS26=".",s_Irr!BQ26&lt;&gt;"."),s_dir!V26/((1/1000)*(s_Irr!BQ26)),IF(AND(s_Irr!U26=".",s_Irr!AS26&lt;&gt;".",s_Irr!BQ26="."),s_dir!V26/((1/1000)*(s_Irr!AS26)),IF(AND(s_Irr!U26&lt;&gt;".",s_Irr!AS26=".",s_Irr!BQ26="."),s_dir!V26/((1/1000)*(s_Irr!U26)),IF(AND(s_Irr!U26=".",s_Irr!AS26=".",s_Irr!BQ26="."),s_dir!V26*1000)))))))),".")</f>
        <v>105.63596677700924</v>
      </c>
      <c r="W26" s="76">
        <f>IFERROR(IF(AND(s_Irr!V26&lt;&gt;".",s_Irr!AT26&lt;&gt;".",s_Irr!BR26&lt;&gt;"."),s_dir!W26/((1/1000)*(s_Irr!V26+s_Irr!AT26+s_Irr!BR26)),IF(AND(s_Irr!V26&lt;&gt;".",s_Irr!AT26&lt;&gt;".",s_Irr!BR26="."),s_dir!W26/((1/1000)*(s_Irr!V26+s_Irr!AT26)),IF(AND(s_Irr!V26&lt;&gt;".",s_Irr!AT26=".",s_Irr!BR26&lt;&gt;"."),s_dir!W26/((1/1000)*(s_Irr!V26+s_Irr!BR26)),IF(AND(s_Irr!V26=".",s_Irr!AT26&lt;&gt;".",s_Irr!BR26&lt;&gt;"."),s_dir!W26/((1/1000)*(s_Irr!AT26+s_Irr!BR26)),IF(AND(s_Irr!V26=".",s_Irr!AT26=".",s_Irr!BR26&lt;&gt;"."),s_dir!W26/((1/1000)*(s_Irr!BR26)),IF(AND(s_Irr!V26=".",s_Irr!AT26&lt;&gt;".",s_Irr!BR26="."),s_dir!W26/((1/1000)*(s_Irr!AT26)),IF(AND(s_Irr!V26&lt;&gt;".",s_Irr!AT26=".",s_Irr!BR26="."),s_dir!W26/((1/1000)*(s_Irr!V26)),IF(AND(s_Irr!V26=".",s_Irr!AT26=".",s_Irr!BR26="."),s_dir!W26*1000)))))))),".")</f>
        <v>106.08058910510783</v>
      </c>
      <c r="X26" s="76">
        <f>IFERROR(IF(AND(s_Irr!W26&lt;&gt;".",s_Irr!AU26&lt;&gt;".",s_Irr!BS26&lt;&gt;"."),s_dir!X26/((1/1000)*(s_Irr!W26+s_Irr!AU26+s_Irr!BS26)),IF(AND(s_Irr!W26&lt;&gt;".",s_Irr!AU26&lt;&gt;".",s_Irr!BS26="."),s_dir!X26/((1/1000)*(s_Irr!W26+s_Irr!AU26)),IF(AND(s_Irr!W26&lt;&gt;".",s_Irr!AU26=".",s_Irr!BS26&lt;&gt;"."),s_dir!X26/((1/1000)*(s_Irr!W26+s_Irr!BS26)),IF(AND(s_Irr!W26=".",s_Irr!AU26&lt;&gt;".",s_Irr!BS26&lt;&gt;"."),s_dir!X26/((1/1000)*(s_Irr!AU26+s_Irr!BS26)),IF(AND(s_Irr!W26=".",s_Irr!AU26=".",s_Irr!BS26&lt;&gt;"."),s_dir!X26/((1/1000)*(s_Irr!BS26)),IF(AND(s_Irr!W26=".",s_Irr!AU26&lt;&gt;".",s_Irr!BS26="."),s_dir!X26/((1/1000)*(s_Irr!AU26)),IF(AND(s_Irr!W26&lt;&gt;".",s_Irr!AU26=".",s_Irr!BS26="."),s_dir!X26/((1/1000)*(s_Irr!W26)),IF(AND(s_Irr!W26=".",s_Irr!AU26=".",s_Irr!BS26="."),s_dir!X26*1000)))))))),".")</f>
        <v>106.13419543011562</v>
      </c>
      <c r="Y26" s="76">
        <f>IFERROR(IF(AND(s_Irr!X26&lt;&gt;".",s_Irr!AV26&lt;&gt;".",s_Irr!BT26&lt;&gt;"."),s_dir!Y26/((1/1000)*(s_Irr!X26+s_Irr!AV26+s_Irr!BT26)),IF(AND(s_Irr!X26&lt;&gt;".",s_Irr!AV26&lt;&gt;".",s_Irr!BT26="."),s_dir!Y26/((1/1000)*(s_Irr!X26+s_Irr!AV26)),IF(AND(s_Irr!X26&lt;&gt;".",s_Irr!AV26=".",s_Irr!BT26&lt;&gt;"."),s_dir!Y26/((1/1000)*(s_Irr!X26+s_Irr!BT26)),IF(AND(s_Irr!X26=".",s_Irr!AV26&lt;&gt;".",s_Irr!BT26&lt;&gt;"."),s_dir!Y26/((1/1000)*(s_Irr!AV26+s_Irr!BT26)),IF(AND(s_Irr!X26=".",s_Irr!AV26=".",s_Irr!BT26&lt;&gt;"."),s_dir!Y26/((1/1000)*(s_Irr!BT26)),IF(AND(s_Irr!X26=".",s_Irr!AV26&lt;&gt;".",s_Irr!BT26="."),s_dir!Y26/((1/1000)*(s_Irr!AV26)),IF(AND(s_Irr!X26&lt;&gt;".",s_Irr!AV26=".",s_Irr!BT26="."),s_dir!Y26/((1/1000)*(s_Irr!X26)),IF(AND(s_Irr!X26=".",s_Irr!AV26=".",s_Irr!BT26="."),s_dir!Y26*1000)))))))),".")</f>
        <v>105.63596677700924</v>
      </c>
      <c r="Z26" s="76">
        <f>IFERROR(IF(AND(s_Irr!Y26&lt;&gt;".",s_Irr!AW26&lt;&gt;".",s_Irr!BU26&lt;&gt;"."),s_dir!Z26/((1/1000)*(s_Irr!Y26+s_Irr!AW26+s_Irr!BU26)),IF(AND(s_Irr!Y26&lt;&gt;".",s_Irr!AW26&lt;&gt;".",s_Irr!BU26="."),s_dir!Z26/((1/1000)*(s_Irr!Y26+s_Irr!AW26)),IF(AND(s_Irr!Y26&lt;&gt;".",s_Irr!AW26=".",s_Irr!BU26&lt;&gt;"."),s_dir!Z26/((1/1000)*(s_Irr!Y26+s_Irr!BU26)),IF(AND(s_Irr!Y26=".",s_Irr!AW26&lt;&gt;".",s_Irr!BU26&lt;&gt;"."),s_dir!Z26/((1/1000)*(s_Irr!AW26+s_Irr!BU26)),IF(AND(s_Irr!Y26=".",s_Irr!AW26=".",s_Irr!BU26&lt;&gt;"."),s_dir!Z26/((1/1000)*(s_Irr!BU26)),IF(AND(s_Irr!Y26=".",s_Irr!AW26&lt;&gt;".",s_Irr!BU26="."),s_dir!Z26/((1/1000)*(s_Irr!AW26)),IF(AND(s_Irr!Y26&lt;&gt;".",s_Irr!AW26=".",s_Irr!BU26="."),s_dir!Z26/((1/1000)*(s_Irr!Y26)),IF(AND(s_Irr!Y26=".",s_Irr!AW26=".",s_Irr!BU26="."),s_dir!Z26*1000)))))))),".")</f>
        <v>106.74554205864287</v>
      </c>
      <c r="AA26" s="76">
        <f>IFERROR(IF(AND(s_Irr!Z26&lt;&gt;".",s_Irr!AX26&lt;&gt;".",s_Irr!BV26&lt;&gt;"."),s_dir!AA26/((1/1000)*(s_Irr!Z26+s_Irr!AX26+s_Irr!BV26)),IF(AND(s_Irr!Z26&lt;&gt;".",s_Irr!AX26&lt;&gt;".",s_Irr!BV26="."),s_dir!AA26/((1/1000)*(s_Irr!Z26+s_Irr!AX26)),IF(AND(s_Irr!Z26&lt;&gt;".",s_Irr!AX26=".",s_Irr!BV26&lt;&gt;"."),s_dir!AA26/((1/1000)*(s_Irr!Z26+s_Irr!BV26)),IF(AND(s_Irr!Z26=".",s_Irr!AX26&lt;&gt;".",s_Irr!BV26&lt;&gt;"."),s_dir!AA26/((1/1000)*(s_Irr!AX26+s_Irr!BV26)),IF(AND(s_Irr!Z26=".",s_Irr!AX26=".",s_Irr!BV26&lt;&gt;"."),s_dir!AA26/((1/1000)*(s_Irr!BV26)),IF(AND(s_Irr!Z26=".",s_Irr!AX26&lt;&gt;".",s_Irr!BV26="."),s_dir!AA26/((1/1000)*(s_Irr!AX26)),IF(AND(s_Irr!Z26&lt;&gt;".",s_Irr!AX26=".",s_Irr!BV26="."),s_dir!AA26/((1/1000)*(s_Irr!Z26)),IF(AND(s_Irr!Z26=".",s_Irr!AX26=".",s_Irr!BV26="."),s_dir!AA26*1000)))))))),".")</f>
        <v>103.348816114244</v>
      </c>
      <c r="AB26" s="93">
        <f>SUM(AC26:AD26,AY26:AZ26)</f>
        <v>654.14369306577362</v>
      </c>
      <c r="AC26" s="93">
        <f>IFERROR(s_C*s_IFAP_res_adj*s_CF_apple*0.001*(s_Irr!C26+s_Irr!AA26+s_Irr!AY26),".")</f>
        <v>162.19717713440062</v>
      </c>
      <c r="AD26" s="93">
        <f>IFERROR(s_C*s_IFAS_res_adj*s_CF_asparagus*0.001*(s_Irr!D26+s_Irr!AB26+s_Irr!AZ26),".")</f>
        <v>164.10967160874748</v>
      </c>
      <c r="AE26" s="93">
        <f>IFERROR(s_C*s_IFBT_res_adj*s_CF_beet*0.001*(s_Irr!E26+s_Irr!AC26+s_Irr!BA26),".")</f>
        <v>163.01681762340641</v>
      </c>
      <c r="AF26" s="93">
        <f>IFERROR(s_C*s_IFBE_res_adj*s_CF_berries*0.001*(s_Irr!F26+s_Irr!AD26+s_Irr!BB26),".")</f>
        <v>162.19717713440062</v>
      </c>
      <c r="AG26" s="93">
        <f>IFERROR(s_C*s_IFBR_res_adj*s_CF_broccoli*0.001*(s_Irr!G26+s_Irr!AE26+s_Irr!BC26),".")</f>
        <v>162.96217492413936</v>
      </c>
      <c r="AH26" s="93">
        <f>IFERROR(s_C*s_IFCB_res_adj*s_CF_cabbage*0.001*(s_Irr!H26+s_Irr!AF26+s_Irr!BD26),".")</f>
        <v>164.10967160874748</v>
      </c>
      <c r="AI26" s="93">
        <f>IFERROR(s_C*s_IFCR_res_adj*s_CF_carrot*0.001*(s_Irr!I26+s_Irr!AG26+s_Irr!BE26),".")</f>
        <v>163.01681762340641</v>
      </c>
      <c r="AJ26" s="93">
        <f>IFERROR(s_C*s_IFCI_res_adj*s_CF_citrus*0.001*(s_Irr!J26+s_Irr!AH26+s_Irr!BF26),".")</f>
        <v>162.19717713440062</v>
      </c>
      <c r="AK26" s="93">
        <f>IFERROR(s_C*s_IFCO_res_adj*s_CF_corn*0.001*(s_Irr!K26+s_Irr!AI26+s_Irr!BG26),".")</f>
        <v>162.57967602926999</v>
      </c>
      <c r="AL26" s="93">
        <f>IFERROR(s_C*s_IFCU_res_adj*s_CF_cucumber*0.001*(s_Irr!L26+s_Irr!AJ26+s_Irr!BH26),".")</f>
        <v>162.96217492413936</v>
      </c>
      <c r="AM26" s="93">
        <f>IFERROR(s_C*s_IFLE_res_adj*s_CF_lettuce*0.001*(s_Irr!M26+s_Irr!AK26+s_Irr!BI26),".")</f>
        <v>164.10967160874748</v>
      </c>
      <c r="AN26" s="93">
        <f>IFERROR(s_C*s_IFLI_res_adj*s_CF_lima_bean*0.001*(s_Irr!N26+s_Irr!AL26+s_Irr!BJ26),".")</f>
        <v>162.27914118330122</v>
      </c>
      <c r="AO26" s="93">
        <f>IFERROR(s_C*s_IFOK_res_adj*s_CF_okra*0.001*(s_Irr!O26+s_Irr!AM26+s_Irr!BK26),".")</f>
        <v>162.96217492413936</v>
      </c>
      <c r="AP26" s="93">
        <f>IFERROR(s_C*s_IFON_res_adj*s_CF_onion*0.001*(s_Irr!P26+s_Irr!AN26+s_Irr!BL26),".")</f>
        <v>162.96217492413936</v>
      </c>
      <c r="AQ26" s="93">
        <f>IFERROR(s_C*s_IFPC_res_adj*s_CF_peach*0.001*(s_Irr!Q26+s_Irr!AO26+s_Irr!BM26),".")</f>
        <v>162.19717713440062</v>
      </c>
      <c r="AR26" s="93">
        <f>IFERROR(s_C*s_IFPR_res_adj*s_CF_pear*0.001*(s_Irr!R26+s_Irr!AP26+s_Irr!BN26),".")</f>
        <v>162.19717713440062</v>
      </c>
      <c r="AS26" s="93">
        <f>IFERROR(s_C*s_IFPE_res_adj*s_CF_peas*0.001*(s_Irr!S26+s_Irr!AQ26+s_Irr!BO26),".")</f>
        <v>162.27914118330122</v>
      </c>
      <c r="AT26" s="93">
        <f>IFERROR(s_C*s_IFPT_res_adj*s_CF_potato*0.001*(s_Irr!T26+s_Irr!AR26+s_Irr!BP26),".")</f>
        <v>161.37753664539483</v>
      </c>
      <c r="AU26" s="93">
        <f>IFERROR(s_C*s_IFPU_res_adj*s_CF_pumpkin*0.001*(s_Irr!U26+s_Irr!AS26+s_Irr!BQ26),".")</f>
        <v>162.96217492413936</v>
      </c>
      <c r="AV26" s="93">
        <f>IFERROR(s_C*s_IFSN_res_adj*s_CF_snap_bean*0.001*(s_Irr!V26+s_Irr!AT26+s_Irr!BR26),".")</f>
        <v>162.27914118330122</v>
      </c>
      <c r="AW26" s="93">
        <f>IFERROR(s_C*s_IFST_res_adj*s_CF_strawberry*0.001*(s_Irr!W26+s_Irr!AU26+s_Irr!BS26),".")</f>
        <v>162.19717713440062</v>
      </c>
      <c r="AX26" s="93">
        <f>IFERROR(s_C*s_IFTO_res_adj*s_CF_tomato*0.001*(s_Irr!X26+s_Irr!AV26+s_Irr!BT26),".")</f>
        <v>162.96217492413936</v>
      </c>
      <c r="AY26" s="93">
        <f>IFERROR(s_C*s_IFRI_res_adj*s_CF_rice*0.001*(s_Irr!Y26+s_Irr!AW26+s_Irr!BU26),".")</f>
        <v>161.26825124686073</v>
      </c>
      <c r="AZ26" s="93">
        <f>IFERROR(s_C*s_IFCG_res_adj*s_CF_cereal*0.001*(s_Irr!Z26+s_Irr!AX26+s_Irr!BV26),".")</f>
        <v>166.56859307576485</v>
      </c>
      <c r="BA26" s="76">
        <f t="shared" ref="BA26:BA29" si="31">IFERROR(1/SUM(1/BB26,1/BC26,1/BX26,1/BY26),".")</f>
        <v>26.316338563956215</v>
      </c>
      <c r="BB26" s="76">
        <f>IFERROR(IF(AND(s_Irr!C26&lt;&gt;".",s_Irr!AA26&lt;&gt;".",s_Irr!AY26&lt;&gt;"."),s_dir!AC26/((1/1000)*(s_Irr!C26+s_Irr!AA26+s_Irr!AY26)),IF(AND(s_Irr!C26&lt;&gt;".",s_Irr!AA26&lt;&gt;".",s_Irr!AY26="."),s_dir!AC26/((1/1000)*(s_Irr!C26+s_Irr!AA26)),IF(AND(s_Irr!C26&lt;&gt;".",s_Irr!AA26=".",s_Irr!AY26&lt;&gt;"."),s_dir!AC26/((1/1000)*(s_Irr!C26+s_Irr!AY26)),IF(AND(s_Irr!C26=".",s_Irr!AA26&lt;&gt;".",s_Irr!AY26&lt;&gt;"."),s_dir!AC26/((1/1000)*(s_Irr!AA26+s_Irr!AY26)),IF(AND(s_Irr!C26=".",s_Irr!AA26=".",s_Irr!AY26&lt;&gt;"."),s_dir!AC26/((1/1000)*(s_Irr!AY26)),IF(AND(s_Irr!C26=".",s_Irr!AA26&lt;&gt;".",s_Irr!AY26="."),s_dir!AC26/((1/1000)*(s_Irr!AA26)),IF(AND(s_Irr!C26&lt;&gt;".",s_Irr!AA26=".",s_Irr!AY26="."),s_dir!AC26/((1/1000)*(s_Irr!C26)),IF(AND(s_Irr!C26=".",s_Irr!AA26=".",s_Irr!AY26="."),s_dir!AC26*1000)))))))),".")</f>
        <v>106.13419543011562</v>
      </c>
      <c r="BC26" s="76">
        <f>IFERROR(IF(AND(s_Irr!D26&lt;&gt;".",s_Irr!AB26&lt;&gt;".",s_Irr!AZ26&lt;&gt;"."),s_dir!AD26/((1/1000)*(s_Irr!D26+s_Irr!AB26+s_Irr!AZ26)),IF(AND(s_Irr!D26&lt;&gt;".",s_Irr!AB26&lt;&gt;".",s_Irr!AZ26="."),s_dir!AD26/((1/1000)*(s_Irr!D26+s_Irr!AB26)),IF(AND(s_Irr!D26&lt;&gt;".",s_Irr!AB26=".",s_Irr!AZ26&lt;&gt;"."),s_dir!AD26/((1/1000)*(s_Irr!D26+s_Irr!AZ26)),IF(AND(s_Irr!D26=".",s_Irr!AB26&lt;&gt;".",s_Irr!AZ26&lt;&gt;"."),s_dir!AD26/((1/1000)*(s_Irr!AB26+s_Irr!AZ26)),IF(AND(s_Irr!D26=".",s_Irr!AB26=".",s_Irr!AZ26&lt;&gt;"."),s_dir!AD26/((1/1000)*(s_Irr!AZ26)),IF(AND(s_Irr!D26=".",s_Irr!AB26&lt;&gt;".",s_Irr!AZ26="."),s_dir!AD26/((1/1000)*(s_Irr!AB26)),IF(AND(s_Irr!D26&lt;&gt;".",s_Irr!AB26=".",s_Irr!AZ26="."),s_dir!AD26/((1/1000)*(s_Irr!D26)),IF(AND(s_Irr!D26=".",s_Irr!AB26=".",s_Irr!AZ26="."),s_dir!AD26*1000)))))))),".")</f>
        <v>104.89733315192358</v>
      </c>
      <c r="BD26" s="76">
        <f>IFERROR(IF(AND(s_Irr!E26&lt;&gt;".",s_Irr!AC26&lt;&gt;".",s_Irr!BA26&lt;&gt;"."),s_dir!AE26/((1/1000)*(s_Irr!E26+s_Irr!AC26+s_Irr!BA26)),IF(AND(s_Irr!E26&lt;&gt;".",s_Irr!AC26&lt;&gt;".",s_Irr!BA26="."),s_dir!AE26/((1/1000)*(s_Irr!E26+s_Irr!AC26)),IF(AND(s_Irr!E26&lt;&gt;".",s_Irr!AC26=".",s_Irr!BA26&lt;&gt;"."),s_dir!AE26/((1/1000)*(s_Irr!E26+s_Irr!BA26)),IF(AND(s_Irr!E26=".",s_Irr!AC26&lt;&gt;".",s_Irr!BA26&lt;&gt;"."),s_dir!AE26/((1/1000)*(s_Irr!AC26+s_Irr!BA26)),IF(AND(s_Irr!E26=".",s_Irr!AC26=".",s_Irr!BA26&lt;&gt;"."),s_dir!AE26/((1/1000)*(s_Irr!BA26)),IF(AND(s_Irr!E26=".",s_Irr!AC26&lt;&gt;".",s_Irr!BA26="."),s_dir!AE26/((1/1000)*(s_Irr!AC26)),IF(AND(s_Irr!E26&lt;&gt;".",s_Irr!AC26=".",s_Irr!BA26="."),s_dir!AE26/((1/1000)*(s_Irr!E26)),IF(AND(s_Irr!E26=".",s_Irr!AC26=".",s_Irr!BA26="."),s_dir!AE26*1000)))))))),".")</f>
        <v>105.60055794957333</v>
      </c>
      <c r="BE26" s="76">
        <f>IFERROR(IF(AND(s_Irr!F26&lt;&gt;".",s_Irr!AD26&lt;&gt;".",s_Irr!BB26&lt;&gt;"."),s_dir!AF26/((1/1000)*(s_Irr!F26+s_Irr!AD26+s_Irr!BB26)),IF(AND(s_Irr!F26&lt;&gt;".",s_Irr!AD26&lt;&gt;".",s_Irr!BB26="."),s_dir!AF26/((1/1000)*(s_Irr!F26+s_Irr!AD26)),IF(AND(s_Irr!F26&lt;&gt;".",s_Irr!AD26=".",s_Irr!BB26&lt;&gt;"."),s_dir!AF26/((1/1000)*(s_Irr!F26+s_Irr!BB26)),IF(AND(s_Irr!F26=".",s_Irr!AD26&lt;&gt;".",s_Irr!BB26&lt;&gt;"."),s_dir!AF26/((1/1000)*(s_Irr!AD26+s_Irr!BB26)),IF(AND(s_Irr!F26=".",s_Irr!AD26=".",s_Irr!BB26&lt;&gt;"."),s_dir!AF26/((1/1000)*(s_Irr!BB26)),IF(AND(s_Irr!F26=".",s_Irr!AD26&lt;&gt;".",s_Irr!BB26="."),s_dir!AF26/((1/1000)*(s_Irr!AD26)),IF(AND(s_Irr!F26&lt;&gt;".",s_Irr!AD26=".",s_Irr!BB26="."),s_dir!AF26/((1/1000)*(s_Irr!F26)),IF(AND(s_Irr!F26=".",s_Irr!AD26=".",s_Irr!BB26="."),s_dir!AF26*1000)))))))),".")</f>
        <v>106.13419543011562</v>
      </c>
      <c r="BF26" s="76">
        <f>IFERROR(IF(AND(s_Irr!G26&lt;&gt;".",s_Irr!AE26&lt;&gt;".",s_Irr!BC26&lt;&gt;"."),s_dir!AG26/((1/1000)*(s_Irr!G26+s_Irr!AE26+s_Irr!BC26)),IF(AND(s_Irr!G26&lt;&gt;".",s_Irr!AE26&lt;&gt;".",s_Irr!BC26="."),s_dir!AG26/((1/1000)*(s_Irr!G26+s_Irr!AE26)),IF(AND(s_Irr!G26&lt;&gt;".",s_Irr!AE26=".",s_Irr!BC26&lt;&gt;"."),s_dir!AG26/((1/1000)*(s_Irr!G26+s_Irr!BC26)),IF(AND(s_Irr!G26=".",s_Irr!AE26&lt;&gt;".",s_Irr!BC26&lt;&gt;"."),s_dir!AG26/((1/1000)*(s_Irr!AE26+s_Irr!BC26)),IF(AND(s_Irr!G26=".",s_Irr!AE26=".",s_Irr!BC26&lt;&gt;"."),s_dir!AG26/((1/1000)*(s_Irr!BC26)),IF(AND(s_Irr!G26=".",s_Irr!AE26&lt;&gt;".",s_Irr!BC26="."),s_dir!AG26/((1/1000)*(s_Irr!AE26)),IF(AND(s_Irr!G26&lt;&gt;".",s_Irr!AE26=".",s_Irr!BC26="."),s_dir!AG26/((1/1000)*(s_Irr!G26)),IF(AND(s_Irr!G26=".",s_Irr!AE26=".",s_Irr!BC26="."),s_dir!AG26*1000)))))))),".")</f>
        <v>105.63596677700924</v>
      </c>
      <c r="BG26" s="76">
        <f>IFERROR(IF(AND(s_Irr!H26&lt;&gt;".",s_Irr!AF26&lt;&gt;".",s_Irr!BD26&lt;&gt;"."),s_dir!AH26/((1/1000)*(s_Irr!H26+s_Irr!AF26+s_Irr!BD26)),IF(AND(s_Irr!H26&lt;&gt;".",s_Irr!AF26&lt;&gt;".",s_Irr!BD26="."),s_dir!AH26/((1/1000)*(s_Irr!H26+s_Irr!AF26)),IF(AND(s_Irr!H26&lt;&gt;".",s_Irr!AF26=".",s_Irr!BD26&lt;&gt;"."),s_dir!AH26/((1/1000)*(s_Irr!H26+s_Irr!BD26)),IF(AND(s_Irr!H26=".",s_Irr!AF26&lt;&gt;".",s_Irr!BD26&lt;&gt;"."),s_dir!AH26/((1/1000)*(s_Irr!AF26+s_Irr!BD26)),IF(AND(s_Irr!H26=".",s_Irr!AF26=".",s_Irr!BD26&lt;&gt;"."),s_dir!AH26/((1/1000)*(s_Irr!BD26)),IF(AND(s_Irr!H26=".",s_Irr!AF26&lt;&gt;".",s_Irr!BD26="."),s_dir!AH26/((1/1000)*(s_Irr!AF26)),IF(AND(s_Irr!H26&lt;&gt;".",s_Irr!AF26=".",s_Irr!BD26="."),s_dir!AH26/((1/1000)*(s_Irr!H26)),IF(AND(s_Irr!H26=".",s_Irr!AF26=".",s_Irr!BD26="."),s_dir!AH26*1000)))))))),".")</f>
        <v>104.89733315192358</v>
      </c>
      <c r="BH26" s="76">
        <f>IFERROR(IF(AND(s_Irr!I26&lt;&gt;".",s_Irr!AG26&lt;&gt;".",s_Irr!BE26&lt;&gt;"."),s_dir!AI26/((1/1000)*(s_Irr!I26+s_Irr!AG26+s_Irr!BE26)),IF(AND(s_Irr!I26&lt;&gt;".",s_Irr!AG26&lt;&gt;".",s_Irr!BE26="."),s_dir!AI26/((1/1000)*(s_Irr!I26+s_Irr!AG26)),IF(AND(s_Irr!I26&lt;&gt;".",s_Irr!AG26=".",s_Irr!BE26&lt;&gt;"."),s_dir!AI26/((1/1000)*(s_Irr!I26+s_Irr!BE26)),IF(AND(s_Irr!I26=".",s_Irr!AG26&lt;&gt;".",s_Irr!BE26&lt;&gt;"."),s_dir!AI26/((1/1000)*(s_Irr!AG26+s_Irr!BE26)),IF(AND(s_Irr!I26=".",s_Irr!AG26=".",s_Irr!BE26&lt;&gt;"."),s_dir!AI26/((1/1000)*(s_Irr!BE26)),IF(AND(s_Irr!I26=".",s_Irr!AG26&lt;&gt;".",s_Irr!BE26="."),s_dir!AI26/((1/1000)*(s_Irr!AG26)),IF(AND(s_Irr!I26&lt;&gt;".",s_Irr!AG26=".",s_Irr!BE26="."),s_dir!AI26/((1/1000)*(s_Irr!I26)),IF(AND(s_Irr!I26=".",s_Irr!AG26=".",s_Irr!BE26="."),s_dir!AI26*1000)))))))),".")</f>
        <v>105.60055794957333</v>
      </c>
      <c r="BI26" s="76">
        <f>IFERROR(IF(AND(s_Irr!J26&lt;&gt;".",s_Irr!AH26&lt;&gt;".",s_Irr!BF26&lt;&gt;"."),s_dir!AJ26/((1/1000)*(s_Irr!J26+s_Irr!AH26+s_Irr!BF26)),IF(AND(s_Irr!J26&lt;&gt;".",s_Irr!AH26&lt;&gt;".",s_Irr!BF26="."),s_dir!AJ26/((1/1000)*(s_Irr!J26+s_Irr!AH26)),IF(AND(s_Irr!J26&lt;&gt;".",s_Irr!AH26=".",s_Irr!BF26&lt;&gt;"."),s_dir!AJ26/((1/1000)*(s_Irr!J26+s_Irr!BF26)),IF(AND(s_Irr!J26=".",s_Irr!AH26&lt;&gt;".",s_Irr!BF26&lt;&gt;"."),s_dir!AJ26/((1/1000)*(s_Irr!AH26+s_Irr!BF26)),IF(AND(s_Irr!J26=".",s_Irr!AH26=".",s_Irr!BF26&lt;&gt;"."),s_dir!AJ26/((1/1000)*(s_Irr!BF26)),IF(AND(s_Irr!J26=".",s_Irr!AH26&lt;&gt;".",s_Irr!BF26="."),s_dir!AJ26/((1/1000)*(s_Irr!AH26)),IF(AND(s_Irr!J26&lt;&gt;".",s_Irr!AH26=".",s_Irr!BF26="."),s_dir!AJ26/((1/1000)*(s_Irr!J26)),IF(AND(s_Irr!J26=".",s_Irr!AH26=".",s_Irr!BF26="."),s_dir!AJ26*1000)))))))),".")</f>
        <v>106.13419543011562</v>
      </c>
      <c r="BJ26" s="76">
        <f>IFERROR(IF(AND(s_Irr!K26&lt;&gt;".",s_Irr!AI26&lt;&gt;".",s_Irr!BG26&lt;&gt;"."),s_dir!AK26/((1/1000)*(s_Irr!K26+s_Irr!AI26+s_Irr!BG26)),IF(AND(s_Irr!K26&lt;&gt;".",s_Irr!AI26&lt;&gt;".",s_Irr!BG26="."),s_dir!AK26/((1/1000)*(s_Irr!K26+s_Irr!AI26)),IF(AND(s_Irr!K26&lt;&gt;".",s_Irr!AI26=".",s_Irr!BG26&lt;&gt;"."),s_dir!AK26/((1/1000)*(s_Irr!K26+s_Irr!BG26)),IF(AND(s_Irr!K26=".",s_Irr!AI26&lt;&gt;".",s_Irr!BG26&lt;&gt;"."),s_dir!AK26/((1/1000)*(s_Irr!AI26+s_Irr!BG26)),IF(AND(s_Irr!K26=".",s_Irr!AI26=".",s_Irr!BG26&lt;&gt;"."),s_dir!AK26/((1/1000)*(s_Irr!BG26)),IF(AND(s_Irr!K26=".",s_Irr!AI26&lt;&gt;".",s_Irr!BG26="."),s_dir!AK26/((1/1000)*(s_Irr!AI26)),IF(AND(s_Irr!K26&lt;&gt;".",s_Irr!AI26=".",s_Irr!BG26="."),s_dir!AK26/((1/1000)*(s_Irr!K26)),IF(AND(s_Irr!K26=".",s_Irr!AI26=".",s_Irr!BG26="."),s_dir!AK26*1000)))))))),".")</f>
        <v>105.88449501582424</v>
      </c>
      <c r="BK26" s="76">
        <f>IFERROR(IF(AND(s_Irr!L26&lt;&gt;".",s_Irr!AJ26&lt;&gt;".",s_Irr!BH26&lt;&gt;"."),s_dir!AL26/((1/1000)*(s_Irr!L26+s_Irr!AJ26+s_Irr!BH26)),IF(AND(s_Irr!L26&lt;&gt;".",s_Irr!AJ26&lt;&gt;".",s_Irr!BH26="."),s_dir!AL26/((1/1000)*(s_Irr!L26+s_Irr!AJ26)),IF(AND(s_Irr!L26&lt;&gt;".",s_Irr!AJ26=".",s_Irr!BH26&lt;&gt;"."),s_dir!AL26/((1/1000)*(s_Irr!L26+s_Irr!BH26)),IF(AND(s_Irr!L26=".",s_Irr!AJ26&lt;&gt;".",s_Irr!BH26&lt;&gt;"."),s_dir!AL26/((1/1000)*(s_Irr!AJ26+s_Irr!BH26)),IF(AND(s_Irr!L26=".",s_Irr!AJ26=".",s_Irr!BH26&lt;&gt;"."),s_dir!AL26/((1/1000)*(s_Irr!BH26)),IF(AND(s_Irr!L26=".",s_Irr!AJ26&lt;&gt;".",s_Irr!BH26="."),s_dir!AL26/((1/1000)*(s_Irr!AJ26)),IF(AND(s_Irr!L26&lt;&gt;".",s_Irr!AJ26=".",s_Irr!BH26="."),s_dir!AL26/((1/1000)*(s_Irr!L26)),IF(AND(s_Irr!L26=".",s_Irr!AJ26=".",s_Irr!BH26="."),s_dir!AL26*1000)))))))),".")</f>
        <v>105.63596677700924</v>
      </c>
      <c r="BL26" s="76">
        <f>IFERROR(IF(AND(s_Irr!M26&lt;&gt;".",s_Irr!AK26&lt;&gt;".",s_Irr!BI26&lt;&gt;"."),s_dir!AM26/((1/1000)*(s_Irr!M26+s_Irr!AK26+s_Irr!BI26)),IF(AND(s_Irr!M26&lt;&gt;".",s_Irr!AK26&lt;&gt;".",s_Irr!BI26="."),s_dir!AM26/((1/1000)*(s_Irr!M26+s_Irr!AK26)),IF(AND(s_Irr!M26&lt;&gt;".",s_Irr!AK26=".",s_Irr!BI26&lt;&gt;"."),s_dir!AM26/((1/1000)*(s_Irr!M26+s_Irr!BI26)),IF(AND(s_Irr!M26=".",s_Irr!AK26&lt;&gt;".",s_Irr!BI26&lt;&gt;"."),s_dir!AM26/((1/1000)*(s_Irr!AK26+s_Irr!BI26)),IF(AND(s_Irr!M26=".",s_Irr!AK26=".",s_Irr!BI26&lt;&gt;"."),s_dir!AM26/((1/1000)*(s_Irr!BI26)),IF(AND(s_Irr!M26=".",s_Irr!AK26&lt;&gt;".",s_Irr!BI26="."),s_dir!AM26/((1/1000)*(s_Irr!AK26)),IF(AND(s_Irr!M26&lt;&gt;".",s_Irr!AK26=".",s_Irr!BI26="."),s_dir!AM26/((1/1000)*(s_Irr!M26)),IF(AND(s_Irr!M26=".",s_Irr!AK26=".",s_Irr!BI26="."),s_dir!AM26*1000)))))))),".")</f>
        <v>104.89733315192358</v>
      </c>
      <c r="BM26" s="76">
        <f>IFERROR(IF(AND(s_Irr!N26&lt;&gt;".",s_Irr!AL26&lt;&gt;".",s_Irr!BJ26&lt;&gt;"."),s_dir!AN26/((1/1000)*(s_Irr!N26+s_Irr!AL26+s_Irr!BJ26)),IF(AND(s_Irr!N26&lt;&gt;".",s_Irr!AL26&lt;&gt;".",s_Irr!BJ26="."),s_dir!AN26/((1/1000)*(s_Irr!N26+s_Irr!AL26)),IF(AND(s_Irr!N26&lt;&gt;".",s_Irr!AL26=".",s_Irr!BJ26&lt;&gt;"."),s_dir!AN26/((1/1000)*(s_Irr!N26+s_Irr!BJ26)),IF(AND(s_Irr!N26=".",s_Irr!AL26&lt;&gt;".",s_Irr!BJ26&lt;&gt;"."),s_dir!AN26/((1/1000)*(s_Irr!AL26+s_Irr!BJ26)),IF(AND(s_Irr!N26=".",s_Irr!AL26=".",s_Irr!BJ26&lt;&gt;"."),s_dir!AN26/((1/1000)*(s_Irr!BJ26)),IF(AND(s_Irr!N26=".",s_Irr!AL26&lt;&gt;".",s_Irr!BJ26="."),s_dir!AN26/((1/1000)*(s_Irr!AL26)),IF(AND(s_Irr!N26&lt;&gt;".",s_Irr!AL26=".",s_Irr!BJ26="."),s_dir!AN26/((1/1000)*(s_Irr!N26)),IF(AND(s_Irr!N26=".",s_Irr!AL26=".",s_Irr!BJ26="."),s_dir!AN26*1000)))))))),".")</f>
        <v>106.08058910510783</v>
      </c>
      <c r="BN26" s="76">
        <f>IFERROR(IF(AND(s_Irr!O26&lt;&gt;".",s_Irr!AM26&lt;&gt;".",s_Irr!BK26&lt;&gt;"."),s_dir!AO26/((1/1000)*(s_Irr!O26+s_Irr!AM26+s_Irr!BK26)),IF(AND(s_Irr!O26&lt;&gt;".",s_Irr!AM26&lt;&gt;".",s_Irr!BK26="."),s_dir!AO26/((1/1000)*(s_Irr!O26+s_Irr!AM26)),IF(AND(s_Irr!O26&lt;&gt;".",s_Irr!AM26=".",s_Irr!BK26&lt;&gt;"."),s_dir!AO26/((1/1000)*(s_Irr!O26+s_Irr!BK26)),IF(AND(s_Irr!O26=".",s_Irr!AM26&lt;&gt;".",s_Irr!BK26&lt;&gt;"."),s_dir!AO26/((1/1000)*(s_Irr!AM26+s_Irr!BK26)),IF(AND(s_Irr!O26=".",s_Irr!AM26=".",s_Irr!BK26&lt;&gt;"."),s_dir!AO26/((1/1000)*(s_Irr!BK26)),IF(AND(s_Irr!O26=".",s_Irr!AM26&lt;&gt;".",s_Irr!BK26="."),s_dir!AO26/((1/1000)*(s_Irr!AM26)),IF(AND(s_Irr!O26&lt;&gt;".",s_Irr!AM26=".",s_Irr!BK26="."),s_dir!AO26/((1/1000)*(s_Irr!O26)),IF(AND(s_Irr!O26=".",s_Irr!AM26=".",s_Irr!BK26="."),s_dir!AO26*1000)))))))),".")</f>
        <v>105.63596677700924</v>
      </c>
      <c r="BO26" s="76">
        <f>IFERROR(IF(AND(s_Irr!P26&lt;&gt;".",s_Irr!AN26&lt;&gt;".",s_Irr!BL26&lt;&gt;"."),s_dir!AP26/((1/1000)*(s_Irr!P26+s_Irr!AN26+s_Irr!BL26)),IF(AND(s_Irr!P26&lt;&gt;".",s_Irr!AN26&lt;&gt;".",s_Irr!BL26="."),s_dir!AP26/((1/1000)*(s_Irr!P26+s_Irr!AN26)),IF(AND(s_Irr!P26&lt;&gt;".",s_Irr!AN26=".",s_Irr!BL26&lt;&gt;"."),s_dir!AP26/((1/1000)*(s_Irr!P26+s_Irr!BL26)),IF(AND(s_Irr!P26=".",s_Irr!AN26&lt;&gt;".",s_Irr!BL26&lt;&gt;"."),s_dir!AP26/((1/1000)*(s_Irr!AN26+s_Irr!BL26)),IF(AND(s_Irr!P26=".",s_Irr!AN26=".",s_Irr!BL26&lt;&gt;"."),s_dir!AP26/((1/1000)*(s_Irr!BL26)),IF(AND(s_Irr!P26=".",s_Irr!AN26&lt;&gt;".",s_Irr!BL26="."),s_dir!AP26/((1/1000)*(s_Irr!AN26)),IF(AND(s_Irr!P26&lt;&gt;".",s_Irr!AN26=".",s_Irr!BL26="."),s_dir!AP26/((1/1000)*(s_Irr!P26)),IF(AND(s_Irr!P26=".",s_Irr!AN26=".",s_Irr!BL26="."),s_dir!AP26*1000)))))))),".")</f>
        <v>105.63596677700924</v>
      </c>
      <c r="BP26" s="76">
        <f>IFERROR(IF(AND(s_Irr!Q26&lt;&gt;".",s_Irr!AO26&lt;&gt;".",s_Irr!BM26&lt;&gt;"."),s_dir!AQ26/((1/1000)*(s_Irr!Q26+s_Irr!AO26+s_Irr!BM26)),IF(AND(s_Irr!Q26&lt;&gt;".",s_Irr!AO26&lt;&gt;".",s_Irr!BM26="."),s_dir!AQ26/((1/1000)*(s_Irr!Q26+s_Irr!AO26)),IF(AND(s_Irr!Q26&lt;&gt;".",s_Irr!AO26=".",s_Irr!BM26&lt;&gt;"."),s_dir!AQ26/((1/1000)*(s_Irr!Q26+s_Irr!BM26)),IF(AND(s_Irr!Q26=".",s_Irr!AO26&lt;&gt;".",s_Irr!BM26&lt;&gt;"."),s_dir!AQ26/((1/1000)*(s_Irr!AO26+s_Irr!BM26)),IF(AND(s_Irr!Q26=".",s_Irr!AO26=".",s_Irr!BM26&lt;&gt;"."),s_dir!AQ26/((1/1000)*(s_Irr!BM26)),IF(AND(s_Irr!Q26=".",s_Irr!AO26&lt;&gt;".",s_Irr!BM26="."),s_dir!AQ26/((1/1000)*(s_Irr!AO26)),IF(AND(s_Irr!Q26&lt;&gt;".",s_Irr!AO26=".",s_Irr!BM26="."),s_dir!AQ26/((1/1000)*(s_Irr!Q26)),IF(AND(s_Irr!Q26=".",s_Irr!AO26=".",s_Irr!BM26="."),s_dir!AQ26*1000)))))))),".")</f>
        <v>106.13419543011562</v>
      </c>
      <c r="BQ26" s="76">
        <f>IFERROR(IF(AND(s_Irr!R26&lt;&gt;".",s_Irr!AP26&lt;&gt;".",s_Irr!BN26&lt;&gt;"."),s_dir!AR26/((1/1000)*(s_Irr!R26+s_Irr!AP26+s_Irr!BN26)),IF(AND(s_Irr!R26&lt;&gt;".",s_Irr!AP26&lt;&gt;".",s_Irr!BN26="."),s_dir!AR26/((1/1000)*(s_Irr!R26+s_Irr!AP26)),IF(AND(s_Irr!R26&lt;&gt;".",s_Irr!AP26=".",s_Irr!BN26&lt;&gt;"."),s_dir!AR26/((1/1000)*(s_Irr!R26+s_Irr!BN26)),IF(AND(s_Irr!R26=".",s_Irr!AP26&lt;&gt;".",s_Irr!BN26&lt;&gt;"."),s_dir!AR26/((1/1000)*(s_Irr!AP26+s_Irr!BN26)),IF(AND(s_Irr!R26=".",s_Irr!AP26=".",s_Irr!BN26&lt;&gt;"."),s_dir!AR26/((1/1000)*(s_Irr!BN26)),IF(AND(s_Irr!R26=".",s_Irr!AP26&lt;&gt;".",s_Irr!BN26="."),s_dir!AR26/((1/1000)*(s_Irr!AP26)),IF(AND(s_Irr!R26&lt;&gt;".",s_Irr!AP26=".",s_Irr!BN26="."),s_dir!AR26/((1/1000)*(s_Irr!R26)),IF(AND(s_Irr!R26=".",s_Irr!AP26=".",s_Irr!BN26="."),s_dir!AR26*1000)))))))),".")</f>
        <v>106.13419543011562</v>
      </c>
      <c r="BR26" s="76">
        <f>IFERROR(IF(AND(s_Irr!S26&lt;&gt;".",s_Irr!AQ26&lt;&gt;".",s_Irr!BO26&lt;&gt;"."),s_dir!AS26/((1/1000)*(s_Irr!S26+s_Irr!AQ26+s_Irr!BO26)),IF(AND(s_Irr!S26&lt;&gt;".",s_Irr!AQ26&lt;&gt;".",s_Irr!BO26="."),s_dir!AS26/((1/1000)*(s_Irr!S26+s_Irr!AQ26)),IF(AND(s_Irr!S26&lt;&gt;".",s_Irr!AQ26=".",s_Irr!BO26&lt;&gt;"."),s_dir!AS26/((1/1000)*(s_Irr!S26+s_Irr!BO26)),IF(AND(s_Irr!S26=".",s_Irr!AQ26&lt;&gt;".",s_Irr!BO26&lt;&gt;"."),s_dir!AS26/((1/1000)*(s_Irr!AQ26+s_Irr!BO26)),IF(AND(s_Irr!S26=".",s_Irr!AQ26=".",s_Irr!BO26&lt;&gt;"."),s_dir!AS26/((1/1000)*(s_Irr!BO26)),IF(AND(s_Irr!S26=".",s_Irr!AQ26&lt;&gt;".",s_Irr!BO26="."),s_dir!AS26/((1/1000)*(s_Irr!AQ26)),IF(AND(s_Irr!S26&lt;&gt;".",s_Irr!AQ26=".",s_Irr!BO26="."),s_dir!AS26/((1/1000)*(s_Irr!S26)),IF(AND(s_Irr!S26=".",s_Irr!AQ26=".",s_Irr!BO26="."),s_dir!AS26*1000)))))))),".")</f>
        <v>106.08058910510783</v>
      </c>
      <c r="BS26" s="76">
        <f>IFERROR(IF(AND(s_Irr!T26&lt;&gt;".",s_Irr!AR26&lt;&gt;".",s_Irr!BP26&lt;&gt;"."),s_dir!AT26/((1/1000)*(s_Irr!T26+s_Irr!AR26+s_Irr!BP26)),IF(AND(s_Irr!T26&lt;&gt;".",s_Irr!AR26&lt;&gt;".",s_Irr!BP26="."),s_dir!AT26/((1/1000)*(s_Irr!T26+s_Irr!AR26)),IF(AND(s_Irr!T26&lt;&gt;".",s_Irr!AR26=".",s_Irr!BP26&lt;&gt;"."),s_dir!AT26/((1/1000)*(s_Irr!T26+s_Irr!BP26)),IF(AND(s_Irr!T26=".",s_Irr!AR26&lt;&gt;".",s_Irr!BP26&lt;&gt;"."),s_dir!AT26/((1/1000)*(s_Irr!AR26+s_Irr!BP26)),IF(AND(s_Irr!T26=".",s_Irr!AR26=".",s_Irr!BP26&lt;&gt;"."),s_dir!AT26/((1/1000)*(s_Irr!BP26)),IF(AND(s_Irr!T26=".",s_Irr!AR26&lt;&gt;".",s_Irr!BP26="."),s_dir!AT26/((1/1000)*(s_Irr!AR26)),IF(AND(s_Irr!T26&lt;&gt;".",s_Irr!AR26=".",s_Irr!BP26="."),s_dir!AT26/((1/1000)*(s_Irr!T26)),IF(AND(s_Irr!T26=".",s_Irr!AR26=".",s_Irr!BP26="."),s_dir!AT26*1000)))))))),".")</f>
        <v>106.67325362650963</v>
      </c>
      <c r="BT26" s="76">
        <f>IFERROR(IF(AND(s_Irr!U26&lt;&gt;".",s_Irr!AS26&lt;&gt;".",s_Irr!BQ26&lt;&gt;"."),s_dir!AU26/((1/1000)*(s_Irr!U26+s_Irr!AS26+s_Irr!BQ26)),IF(AND(s_Irr!U26&lt;&gt;".",s_Irr!AS26&lt;&gt;".",s_Irr!BQ26="."),s_dir!AU26/((1/1000)*(s_Irr!U26+s_Irr!AS26)),IF(AND(s_Irr!U26&lt;&gt;".",s_Irr!AS26=".",s_Irr!BQ26&lt;&gt;"."),s_dir!AU26/((1/1000)*(s_Irr!U26+s_Irr!BQ26)),IF(AND(s_Irr!U26=".",s_Irr!AS26&lt;&gt;".",s_Irr!BQ26&lt;&gt;"."),s_dir!AU26/((1/1000)*(s_Irr!AS26+s_Irr!BQ26)),IF(AND(s_Irr!U26=".",s_Irr!AS26=".",s_Irr!BQ26&lt;&gt;"."),s_dir!AU26/((1/1000)*(s_Irr!BQ26)),IF(AND(s_Irr!U26=".",s_Irr!AS26&lt;&gt;".",s_Irr!BQ26="."),s_dir!AU26/((1/1000)*(s_Irr!AS26)),IF(AND(s_Irr!U26&lt;&gt;".",s_Irr!AS26=".",s_Irr!BQ26="."),s_dir!AU26/((1/1000)*(s_Irr!U26)),IF(AND(s_Irr!U26=".",s_Irr!AS26=".",s_Irr!BQ26="."),s_dir!AU26*1000)))))))),".")</f>
        <v>105.63596677700924</v>
      </c>
      <c r="BU26" s="76">
        <f>IFERROR(IF(AND(s_Irr!V26&lt;&gt;".",s_Irr!AT26&lt;&gt;".",s_Irr!BR26&lt;&gt;"."),s_dir!AV26/((1/1000)*(s_Irr!V26+s_Irr!AT26+s_Irr!BR26)),IF(AND(s_Irr!V26&lt;&gt;".",s_Irr!AT26&lt;&gt;".",s_Irr!BR26="."),s_dir!AV26/((1/1000)*(s_Irr!V26+s_Irr!AT26)),IF(AND(s_Irr!V26&lt;&gt;".",s_Irr!AT26=".",s_Irr!BR26&lt;&gt;"."),s_dir!AV26/((1/1000)*(s_Irr!V26+s_Irr!BR26)),IF(AND(s_Irr!V26=".",s_Irr!AT26&lt;&gt;".",s_Irr!BR26&lt;&gt;"."),s_dir!AV26/((1/1000)*(s_Irr!AT26+s_Irr!BR26)),IF(AND(s_Irr!V26=".",s_Irr!AT26=".",s_Irr!BR26&lt;&gt;"."),s_dir!AV26/((1/1000)*(s_Irr!BR26)),IF(AND(s_Irr!V26=".",s_Irr!AT26&lt;&gt;".",s_Irr!BR26="."),s_dir!AV26/((1/1000)*(s_Irr!AT26)),IF(AND(s_Irr!V26&lt;&gt;".",s_Irr!AT26=".",s_Irr!BR26="."),s_dir!AV26/((1/1000)*(s_Irr!V26)),IF(AND(s_Irr!V26=".",s_Irr!AT26=".",s_Irr!BR26="."),s_dir!AV26*1000)))))))),".")</f>
        <v>106.08058910510783</v>
      </c>
      <c r="BV26" s="76">
        <f>IFERROR(IF(AND(s_Irr!W26&lt;&gt;".",s_Irr!AU26&lt;&gt;".",s_Irr!BS26&lt;&gt;"."),s_dir!AW26/((1/1000)*(s_Irr!W26+s_Irr!AU26+s_Irr!BS26)),IF(AND(s_Irr!W26&lt;&gt;".",s_Irr!AU26&lt;&gt;".",s_Irr!BS26="."),s_dir!AW26/((1/1000)*(s_Irr!W26+s_Irr!AU26)),IF(AND(s_Irr!W26&lt;&gt;".",s_Irr!AU26=".",s_Irr!BS26&lt;&gt;"."),s_dir!AW26/((1/1000)*(s_Irr!W26+s_Irr!BS26)),IF(AND(s_Irr!W26=".",s_Irr!AU26&lt;&gt;".",s_Irr!BS26&lt;&gt;"."),s_dir!AW26/((1/1000)*(s_Irr!AU26+s_Irr!BS26)),IF(AND(s_Irr!W26=".",s_Irr!AU26=".",s_Irr!BS26&lt;&gt;"."),s_dir!AW26/((1/1000)*(s_Irr!BS26)),IF(AND(s_Irr!W26=".",s_Irr!AU26&lt;&gt;".",s_Irr!BS26="."),s_dir!AW26/((1/1000)*(s_Irr!AU26)),IF(AND(s_Irr!W26&lt;&gt;".",s_Irr!AU26=".",s_Irr!BS26="."),s_dir!AW26/((1/1000)*(s_Irr!W26)),IF(AND(s_Irr!W26=".",s_Irr!AU26=".",s_Irr!BS26="."),s_dir!AW26*1000)))))))),".")</f>
        <v>106.13419543011562</v>
      </c>
      <c r="BW26" s="76">
        <f>IFERROR(IF(AND(s_Irr!X26&lt;&gt;".",s_Irr!AV26&lt;&gt;".",s_Irr!BT26&lt;&gt;"."),s_dir!AX26/((1/1000)*(s_Irr!X26+s_Irr!AV26+s_Irr!BT26)),IF(AND(s_Irr!X26&lt;&gt;".",s_Irr!AV26&lt;&gt;".",s_Irr!BT26="."),s_dir!AX26/((1/1000)*(s_Irr!X26+s_Irr!AV26)),IF(AND(s_Irr!X26&lt;&gt;".",s_Irr!AV26=".",s_Irr!BT26&lt;&gt;"."),s_dir!AX26/((1/1000)*(s_Irr!X26+s_Irr!BT26)),IF(AND(s_Irr!X26=".",s_Irr!AV26&lt;&gt;".",s_Irr!BT26&lt;&gt;"."),s_dir!AX26/((1/1000)*(s_Irr!AV26+s_Irr!BT26)),IF(AND(s_Irr!X26=".",s_Irr!AV26=".",s_Irr!BT26&lt;&gt;"."),s_dir!AX26/((1/1000)*(s_Irr!BT26)),IF(AND(s_Irr!X26=".",s_Irr!AV26&lt;&gt;".",s_Irr!BT26="."),s_dir!AX26/((1/1000)*(s_Irr!AV26)),IF(AND(s_Irr!X26&lt;&gt;".",s_Irr!AV26=".",s_Irr!BT26="."),s_dir!AX26/((1/1000)*(s_Irr!X26)),IF(AND(s_Irr!X26=".",s_Irr!AV26=".",s_Irr!BT26="."),s_dir!AX26*1000)))))))),".")</f>
        <v>105.63596677700924</v>
      </c>
      <c r="BX26" s="76">
        <f>IFERROR(IF(AND(s_Irr!Y26&lt;&gt;".",s_Irr!AW26&lt;&gt;".",s_Irr!BU26&lt;&gt;"."),s_dir!AY26/((1/1000)*(s_Irr!Y26+s_Irr!AW26+s_Irr!BU26)),IF(AND(s_Irr!Y26&lt;&gt;".",s_Irr!AW26&lt;&gt;".",s_Irr!BU26="."),s_dir!AY26/((1/1000)*(s_Irr!Y26+s_Irr!AW26)),IF(AND(s_Irr!Y26&lt;&gt;".",s_Irr!AW26=".",s_Irr!BU26&lt;&gt;"."),s_dir!AY26/((1/1000)*(s_Irr!Y26+s_Irr!BU26)),IF(AND(s_Irr!Y26=".",s_Irr!AW26&lt;&gt;".",s_Irr!BU26&lt;&gt;"."),s_dir!AY26/((1/1000)*(s_Irr!AW26+s_Irr!BU26)),IF(AND(s_Irr!Y26=".",s_Irr!AW26=".",s_Irr!BU26&lt;&gt;"."),s_dir!AY26/((1/1000)*(s_Irr!BU26)),IF(AND(s_Irr!Y26=".",s_Irr!AW26&lt;&gt;".",s_Irr!BU26="."),s_dir!AY26/((1/1000)*(s_Irr!AW26)),IF(AND(s_Irr!Y26&lt;&gt;".",s_Irr!AW26=".",s_Irr!BU26="."),s_dir!AY26/((1/1000)*(s_Irr!Y26)),IF(AND(s_Irr!Y26=".",s_Irr!AW26=".",s_Irr!BU26="."),s_dir!AY26*1000)))))))),".")</f>
        <v>106.74554205864287</v>
      </c>
      <c r="BY26" s="76">
        <f>IFERROR(IF(AND(s_Irr!Z26&lt;&gt;".",s_Irr!AX26&lt;&gt;".",s_Irr!BV26&lt;&gt;"."),s_dir!AZ26/((1/1000)*(s_Irr!Z26+s_Irr!AX26+s_Irr!BV26)),IF(AND(s_Irr!Z26&lt;&gt;".",s_Irr!AX26&lt;&gt;".",s_Irr!BV26="."),s_dir!AZ26/((1/1000)*(s_Irr!Z26+s_Irr!AX26)),IF(AND(s_Irr!Z26&lt;&gt;".",s_Irr!AX26=".",s_Irr!BV26&lt;&gt;"."),s_dir!AZ26/((1/1000)*(s_Irr!Z26+s_Irr!BV26)),IF(AND(s_Irr!Z26=".",s_Irr!AX26&lt;&gt;".",s_Irr!BV26&lt;&gt;"."),s_dir!AZ26/((1/1000)*(s_Irr!AX26+s_Irr!BV26)),IF(AND(s_Irr!Z26=".",s_Irr!AX26=".",s_Irr!BV26&lt;&gt;"."),s_dir!AZ26/((1/1000)*(s_Irr!BV26)),IF(AND(s_Irr!Z26=".",s_Irr!AX26&lt;&gt;".",s_Irr!BV26="."),s_dir!AZ26/((1/1000)*(s_Irr!AX26)),IF(AND(s_Irr!Z26&lt;&gt;".",s_Irr!AX26=".",s_Irr!BV26="."),s_dir!AZ26/((1/1000)*(s_Irr!Z26)),IF(AND(s_Irr!Z26=".",s_Irr!AX26=".",s_Irr!BV26="."),s_dir!AZ26*1000)))))))),".")</f>
        <v>103.348816114244</v>
      </c>
      <c r="BZ26" s="93">
        <f>SUM(CA26:CB26,CW26:CX26)</f>
        <v>654.14369306577362</v>
      </c>
      <c r="CA26" s="93">
        <f>IFERROR(s_C*s_IFAP_far_adj*s_CF_apple*(1/1000)*(s_Irr!C26+s_Irr!AA26+s_Irr!AY26),".")</f>
        <v>162.19717713440062</v>
      </c>
      <c r="CB26" s="93">
        <f>IFERROR(s_C*s_IFAS_far_adj*s_CF_asparagus*(1/1000)*(s_Irr!D26+s_Irr!AB26+s_Irr!AZ26),".")</f>
        <v>164.10967160874748</v>
      </c>
      <c r="CC26" s="93">
        <f>IFERROR(s_C*s_IFBT_far_adj*s_CF_beet*(1/1000)*(s_Irr!E26+s_Irr!AC26+s_Irr!BA26),".")</f>
        <v>163.01681762340641</v>
      </c>
      <c r="CD26" s="93">
        <f>IFERROR(s_C*s_IFBE_far_adj*s_CF_berries*(1/1000)*(s_Irr!F26+s_Irr!AD26+s_Irr!BB26),".")</f>
        <v>162.19717713440062</v>
      </c>
      <c r="CE26" s="93">
        <f>IFERROR(s_C*s_IFBR_far_adj*s_CF_broccoli*(1/1000)*(s_Irr!G26+s_Irr!AE26+s_Irr!BC26),".")</f>
        <v>162.96217492413936</v>
      </c>
      <c r="CF26" s="93">
        <f>IFERROR(s_C*s_IFCB_far_adj*s_CF_cabbage*(1/1000)*(s_Irr!H26+s_Irr!AF26+s_Irr!BD26),".")</f>
        <v>164.10967160874748</v>
      </c>
      <c r="CG26" s="93">
        <f>IFERROR(s_C*s_IFCR_far_adj*s_CF_carrot*(1/1000)*(s_Irr!I26+s_Irr!AG26+s_Irr!BE26),".")</f>
        <v>163.01681762340641</v>
      </c>
      <c r="CH26" s="93">
        <f>IFERROR(s_C*s_IFCI_far_adj*s_CF_citrus*(1/1000)*(s_Irr!J26+s_Irr!AH26+s_Irr!BF26),".")</f>
        <v>162.19717713440062</v>
      </c>
      <c r="CI26" s="93">
        <f>IFERROR(s_C*s_IFCO_far_adj*s_CF_corn*(1/1000)*(s_Irr!K26+s_Irr!AI26+s_Irr!BG26),".")</f>
        <v>162.57967602926999</v>
      </c>
      <c r="CJ26" s="93">
        <f>IFERROR(s_C*s_IFCU_far_adj*s_CF_cucumber*(1/1000)*(s_Irr!L26+s_Irr!AJ26+s_Irr!BH26),".")</f>
        <v>162.96217492413936</v>
      </c>
      <c r="CK26" s="93">
        <f>IFERROR(s_C*s_IFLE_far_adj*s_CF_lettuce*(1/1000)*(s_Irr!M26+s_Irr!AK26+s_Irr!BI26),".")</f>
        <v>164.10967160874748</v>
      </c>
      <c r="CL26" s="93">
        <f>IFERROR(s_C*s_IFLI_far_adj*s_CF_lima_bean*(1/1000)*(s_Irr!N26+s_Irr!AL26+s_Irr!BJ26),".")</f>
        <v>162.27914118330122</v>
      </c>
      <c r="CM26" s="93">
        <f>IFERROR(s_C*s_IFOK_far_adj*s_CF_okra*(1/1000)*(s_Irr!O26+s_Irr!AM26+s_Irr!BK26),".")</f>
        <v>162.96217492413936</v>
      </c>
      <c r="CN26" s="93">
        <f>IFERROR(s_C*s_IFON_far_adj*s_CF_onion*(1/1000)*(s_Irr!P26+s_Irr!AN26+s_Irr!BL26),".")</f>
        <v>162.96217492413936</v>
      </c>
      <c r="CO26" s="93">
        <f>IFERROR(s_C*s_IFPC_far_adj*s_CF_peach*(1/1000)*(s_Irr!Q26+s_Irr!AO26+s_Irr!BM26),".")</f>
        <v>162.19717713440062</v>
      </c>
      <c r="CP26" s="93">
        <f>IFERROR(s_C*s_IFPR_far_adj*s_CF_pear*(1/1000)*(s_Irr!R26+s_Irr!AP26+s_Irr!BN26),".")</f>
        <v>162.19717713440062</v>
      </c>
      <c r="CQ26" s="93">
        <f>IFERROR(s_C*s_IFPE_far_adj*s_CF_peas*(1/1000)*(s_Irr!S26+s_Irr!AQ26+s_Irr!BO26),".")</f>
        <v>162.27914118330122</v>
      </c>
      <c r="CR26" s="93">
        <f>IFERROR(s_C*s_IFPT_far_adj*s_CF_potato*(1/1000)*(s_Irr!T26+s_Irr!AR26+s_Irr!BP26),".")</f>
        <v>161.37753664539483</v>
      </c>
      <c r="CS26" s="93">
        <f>IFERROR(s_C*s_IFPU_far_adj*s_CF_pumpkin*(1/1000)*(s_Irr!U26+s_Irr!AS26+s_Irr!BQ26),".")</f>
        <v>162.96217492413936</v>
      </c>
      <c r="CT26" s="93">
        <f>IFERROR(s_C*s_IFSN_far_adj*s_CF_snap_bean*(1/1000)*(s_Irr!V26+s_Irr!AT26+s_Irr!BR26),".")</f>
        <v>162.27914118330122</v>
      </c>
      <c r="CU26" s="93">
        <f>IFERROR(s_C*s_IFST_far_adj*s_CF_strawberry*(1/1000)*(s_Irr!W26+s_Irr!AU26+s_Irr!BS26),".")</f>
        <v>162.19717713440062</v>
      </c>
      <c r="CV26" s="93">
        <f>IFERROR(s_C*s_IFTO_far_adj*s_CF_tomato*(1/1000)*(s_Irr!X26+s_Irr!AV26+s_Irr!BT26),".")</f>
        <v>162.96217492413936</v>
      </c>
      <c r="CW26" s="93">
        <f>IFERROR(s_C*s_IFRI_far_adj*s_CF_rice*(1/1000)*(s_Irr!Y26+s_Irr!AW26+s_Irr!BU26),".")</f>
        <v>161.26825124686073</v>
      </c>
      <c r="CX26" s="93">
        <f>IFERROR(s_C*s_IFCG_far_adj*s_CF_cereal*(1/1000)*(s_Irr!Z26+s_Irr!AX26+s_Irr!BV26),".")</f>
        <v>166.56859307576485</v>
      </c>
    </row>
    <row r="27" spans="1:102" ht="15" customHeight="1" x14ac:dyDescent="0.25">
      <c r="A27" s="92" t="s">
        <v>37</v>
      </c>
      <c r="B27" s="90" t="s">
        <v>1074</v>
      </c>
      <c r="C27" s="76" t="str">
        <f t="shared" si="30"/>
        <v>.</v>
      </c>
      <c r="D27" s="76" t="str">
        <f>IFERROR(IF(AND(s_Irr!C27&lt;&gt;".",s_Irr!AA27&lt;&gt;".",s_Irr!AY27&lt;&gt;"."),s_dir!D27/((1/1000)*(s_Irr!C27+s_Irr!AA27+s_Irr!AY27)),IF(AND(s_Irr!C27&lt;&gt;".",s_Irr!AA27&lt;&gt;".",s_Irr!AY27="."),s_dir!D27/((1/1000)*(s_Irr!C27+s_Irr!AA27)),IF(AND(s_Irr!C27&lt;&gt;".",s_Irr!AA27=".",s_Irr!AY27&lt;&gt;"."),s_dir!D27/((1/1000)*(s_Irr!C27+s_Irr!AY27)),IF(AND(s_Irr!C27=".",s_Irr!AA27&lt;&gt;".",s_Irr!AY27&lt;&gt;"."),s_dir!D27/((1/1000)*(s_Irr!AA27+s_Irr!AY27)),IF(AND(s_Irr!C27=".",s_Irr!AA27=".",s_Irr!AY27&lt;&gt;"."),s_dir!D27/((1/1000)*(s_Irr!AY27)),IF(AND(s_Irr!C27=".",s_Irr!AA27&lt;&gt;".",s_Irr!AY27="."),s_dir!D27/((1/1000)*(s_Irr!AA27)),IF(AND(s_Irr!C27&lt;&gt;".",s_Irr!AA27=".",s_Irr!AY27="."),s_dir!D27/((1/1000)*(s_Irr!C27)),IF(AND(s_Irr!C27=".",s_Irr!AA27=".",s_Irr!AY27="."),s_dir!D27*1000)))))))),".")</f>
        <v>.</v>
      </c>
      <c r="E27" s="76" t="str">
        <f>IFERROR(IF(AND(s_Irr!D27&lt;&gt;".",s_Irr!AB27&lt;&gt;".",s_Irr!AZ27&lt;&gt;"."),s_dir!E27/((1/1000)*(s_Irr!D27+s_Irr!AB27+s_Irr!AZ27)),IF(AND(s_Irr!D27&lt;&gt;".",s_Irr!AB27&lt;&gt;".",s_Irr!AZ27="."),s_dir!E27/((1/1000)*(s_Irr!D27+s_Irr!AB27)),IF(AND(s_Irr!D27&lt;&gt;".",s_Irr!AB27=".",s_Irr!AZ27&lt;&gt;"."),s_dir!E27/((1/1000)*(s_Irr!D27+s_Irr!AZ27)),IF(AND(s_Irr!D27=".",s_Irr!AB27&lt;&gt;".",s_Irr!AZ27&lt;&gt;"."),s_dir!E27/((1/1000)*(s_Irr!AB27+s_Irr!AZ27)),IF(AND(s_Irr!D27=".",s_Irr!AB27=".",s_Irr!AZ27&lt;&gt;"."),s_dir!E27/((1/1000)*(s_Irr!AZ27)),IF(AND(s_Irr!D27=".",s_Irr!AB27&lt;&gt;".",s_Irr!AZ27="."),s_dir!E27/((1/1000)*(s_Irr!AB27)),IF(AND(s_Irr!D27&lt;&gt;".",s_Irr!AB27=".",s_Irr!AZ27="."),s_dir!E27/((1/1000)*(s_Irr!D27)),IF(AND(s_Irr!D27=".",s_Irr!AB27=".",s_Irr!AZ27="."),s_dir!E27*1000)))))))),".")</f>
        <v>.</v>
      </c>
      <c r="F27" s="76" t="str">
        <f>IFERROR(IF(AND(s_Irr!E27&lt;&gt;".",s_Irr!AC27&lt;&gt;".",s_Irr!BA27&lt;&gt;"."),s_dir!F27/((1/1000)*(s_Irr!E27+s_Irr!AC27+s_Irr!BA27)),IF(AND(s_Irr!E27&lt;&gt;".",s_Irr!AC27&lt;&gt;".",s_Irr!BA27="."),s_dir!F27/((1/1000)*(s_Irr!E27+s_Irr!AC27)),IF(AND(s_Irr!E27&lt;&gt;".",s_Irr!AC27=".",s_Irr!BA27&lt;&gt;"."),s_dir!F27/((1/1000)*(s_Irr!E27+s_Irr!BA27)),IF(AND(s_Irr!E27=".",s_Irr!AC27&lt;&gt;".",s_Irr!BA27&lt;&gt;"."),s_dir!F27/((1/1000)*(s_Irr!AC27+s_Irr!BA27)),IF(AND(s_Irr!E27=".",s_Irr!AC27=".",s_Irr!BA27&lt;&gt;"."),s_dir!F27/((1/1000)*(s_Irr!BA27)),IF(AND(s_Irr!E27=".",s_Irr!AC27&lt;&gt;".",s_Irr!BA27="."),s_dir!F27/((1/1000)*(s_Irr!AC27)),IF(AND(s_Irr!E27&lt;&gt;".",s_Irr!AC27=".",s_Irr!BA27="."),s_dir!F27/((1/1000)*(s_Irr!E27)),IF(AND(s_Irr!E27=".",s_Irr!AC27=".",s_Irr!BA27="."),s_dir!F27*1000)))))))),".")</f>
        <v>.</v>
      </c>
      <c r="G27" s="76" t="str">
        <f>IFERROR(IF(AND(s_Irr!F27&lt;&gt;".",s_Irr!AD27&lt;&gt;".",s_Irr!BB27&lt;&gt;"."),s_dir!G27/((1/1000)*(s_Irr!F27+s_Irr!AD27+s_Irr!BB27)),IF(AND(s_Irr!F27&lt;&gt;".",s_Irr!AD27&lt;&gt;".",s_Irr!BB27="."),s_dir!G27/((1/1000)*(s_Irr!F27+s_Irr!AD27)),IF(AND(s_Irr!F27&lt;&gt;".",s_Irr!AD27=".",s_Irr!BB27&lt;&gt;"."),s_dir!G27/((1/1000)*(s_Irr!F27+s_Irr!BB27)),IF(AND(s_Irr!F27=".",s_Irr!AD27&lt;&gt;".",s_Irr!BB27&lt;&gt;"."),s_dir!G27/((1/1000)*(s_Irr!AD27+s_Irr!BB27)),IF(AND(s_Irr!F27=".",s_Irr!AD27=".",s_Irr!BB27&lt;&gt;"."),s_dir!G27/((1/1000)*(s_Irr!BB27)),IF(AND(s_Irr!F27=".",s_Irr!AD27&lt;&gt;".",s_Irr!BB27="."),s_dir!G27/((1/1000)*(s_Irr!AD27)),IF(AND(s_Irr!F27&lt;&gt;".",s_Irr!AD27=".",s_Irr!BB27="."),s_dir!G27/((1/1000)*(s_Irr!F27)),IF(AND(s_Irr!F27=".",s_Irr!AD27=".",s_Irr!BB27="."),s_dir!G27*1000)))))))),".")</f>
        <v>.</v>
      </c>
      <c r="H27" s="76" t="str">
        <f>IFERROR(IF(AND(s_Irr!G27&lt;&gt;".",s_Irr!AE27&lt;&gt;".",s_Irr!BC27&lt;&gt;"."),s_dir!H27/((1/1000)*(s_Irr!G27+s_Irr!AE27+s_Irr!BC27)),IF(AND(s_Irr!G27&lt;&gt;".",s_Irr!AE27&lt;&gt;".",s_Irr!BC27="."),s_dir!H27/((1/1000)*(s_Irr!G27+s_Irr!AE27)),IF(AND(s_Irr!G27&lt;&gt;".",s_Irr!AE27=".",s_Irr!BC27&lt;&gt;"."),s_dir!H27/((1/1000)*(s_Irr!G27+s_Irr!BC27)),IF(AND(s_Irr!G27=".",s_Irr!AE27&lt;&gt;".",s_Irr!BC27&lt;&gt;"."),s_dir!H27/((1/1000)*(s_Irr!AE27+s_Irr!BC27)),IF(AND(s_Irr!G27=".",s_Irr!AE27=".",s_Irr!BC27&lt;&gt;"."),s_dir!H27/((1/1000)*(s_Irr!BC27)),IF(AND(s_Irr!G27=".",s_Irr!AE27&lt;&gt;".",s_Irr!BC27="."),s_dir!H27/((1/1000)*(s_Irr!AE27)),IF(AND(s_Irr!G27&lt;&gt;".",s_Irr!AE27=".",s_Irr!BC27="."),s_dir!H27/((1/1000)*(s_Irr!G27)),IF(AND(s_Irr!G27=".",s_Irr!AE27=".",s_Irr!BC27="."),s_dir!H27*1000)))))))),".")</f>
        <v>.</v>
      </c>
      <c r="I27" s="76" t="str">
        <f>IFERROR(IF(AND(s_Irr!H27&lt;&gt;".",s_Irr!AF27&lt;&gt;".",s_Irr!BD27&lt;&gt;"."),s_dir!I27/((1/1000)*(s_Irr!H27+s_Irr!AF27+s_Irr!BD27)),IF(AND(s_Irr!H27&lt;&gt;".",s_Irr!AF27&lt;&gt;".",s_Irr!BD27="."),s_dir!I27/((1/1000)*(s_Irr!H27+s_Irr!AF27)),IF(AND(s_Irr!H27&lt;&gt;".",s_Irr!AF27=".",s_Irr!BD27&lt;&gt;"."),s_dir!I27/((1/1000)*(s_Irr!H27+s_Irr!BD27)),IF(AND(s_Irr!H27=".",s_Irr!AF27&lt;&gt;".",s_Irr!BD27&lt;&gt;"."),s_dir!I27/((1/1000)*(s_Irr!AF27+s_Irr!BD27)),IF(AND(s_Irr!H27=".",s_Irr!AF27=".",s_Irr!BD27&lt;&gt;"."),s_dir!I27/((1/1000)*(s_Irr!BD27)),IF(AND(s_Irr!H27=".",s_Irr!AF27&lt;&gt;".",s_Irr!BD27="."),s_dir!I27/((1/1000)*(s_Irr!AF27)),IF(AND(s_Irr!H27&lt;&gt;".",s_Irr!AF27=".",s_Irr!BD27="."),s_dir!I27/((1/1000)*(s_Irr!H27)),IF(AND(s_Irr!H27=".",s_Irr!AF27=".",s_Irr!BD27="."),s_dir!I27*1000)))))))),".")</f>
        <v>.</v>
      </c>
      <c r="J27" s="76" t="str">
        <f>IFERROR(IF(AND(s_Irr!I27&lt;&gt;".",s_Irr!AG27&lt;&gt;".",s_Irr!BE27&lt;&gt;"."),s_dir!J27/((1/1000)*(s_Irr!I27+s_Irr!AG27+s_Irr!BE27)),IF(AND(s_Irr!I27&lt;&gt;".",s_Irr!AG27&lt;&gt;".",s_Irr!BE27="."),s_dir!J27/((1/1000)*(s_Irr!I27+s_Irr!AG27)),IF(AND(s_Irr!I27&lt;&gt;".",s_Irr!AG27=".",s_Irr!BE27&lt;&gt;"."),s_dir!J27/((1/1000)*(s_Irr!I27+s_Irr!BE27)),IF(AND(s_Irr!I27=".",s_Irr!AG27&lt;&gt;".",s_Irr!BE27&lt;&gt;"."),s_dir!J27/((1/1000)*(s_Irr!AG27+s_Irr!BE27)),IF(AND(s_Irr!I27=".",s_Irr!AG27=".",s_Irr!BE27&lt;&gt;"."),s_dir!J27/((1/1000)*(s_Irr!BE27)),IF(AND(s_Irr!I27=".",s_Irr!AG27&lt;&gt;".",s_Irr!BE27="."),s_dir!J27/((1/1000)*(s_Irr!AG27)),IF(AND(s_Irr!I27&lt;&gt;".",s_Irr!AG27=".",s_Irr!BE27="."),s_dir!J27/((1/1000)*(s_Irr!I27)),IF(AND(s_Irr!I27=".",s_Irr!AG27=".",s_Irr!BE27="."),s_dir!J27*1000)))))))),".")</f>
        <v>.</v>
      </c>
      <c r="K27" s="76" t="str">
        <f>IFERROR(IF(AND(s_Irr!J27&lt;&gt;".",s_Irr!AH27&lt;&gt;".",s_Irr!BF27&lt;&gt;"."),s_dir!K27/((1/1000)*(s_Irr!J27+s_Irr!AH27+s_Irr!BF27)),IF(AND(s_Irr!J27&lt;&gt;".",s_Irr!AH27&lt;&gt;".",s_Irr!BF27="."),s_dir!K27/((1/1000)*(s_Irr!J27+s_Irr!AH27)),IF(AND(s_Irr!J27&lt;&gt;".",s_Irr!AH27=".",s_Irr!BF27&lt;&gt;"."),s_dir!K27/((1/1000)*(s_Irr!J27+s_Irr!BF27)),IF(AND(s_Irr!J27=".",s_Irr!AH27&lt;&gt;".",s_Irr!BF27&lt;&gt;"."),s_dir!K27/((1/1000)*(s_Irr!AH27+s_Irr!BF27)),IF(AND(s_Irr!J27=".",s_Irr!AH27=".",s_Irr!BF27&lt;&gt;"."),s_dir!K27/((1/1000)*(s_Irr!BF27)),IF(AND(s_Irr!J27=".",s_Irr!AH27&lt;&gt;".",s_Irr!BF27="."),s_dir!K27/((1/1000)*(s_Irr!AH27)),IF(AND(s_Irr!J27&lt;&gt;".",s_Irr!AH27=".",s_Irr!BF27="."),s_dir!K27/((1/1000)*(s_Irr!J27)),IF(AND(s_Irr!J27=".",s_Irr!AH27=".",s_Irr!BF27="."),s_dir!K27*1000)))))))),".")</f>
        <v>.</v>
      </c>
      <c r="L27" s="76" t="str">
        <f>IFERROR(IF(AND(s_Irr!K27&lt;&gt;".",s_Irr!AI27&lt;&gt;".",s_Irr!BG27&lt;&gt;"."),s_dir!L27/((1/1000)*(s_Irr!K27+s_Irr!AI27+s_Irr!BG27)),IF(AND(s_Irr!K27&lt;&gt;".",s_Irr!AI27&lt;&gt;".",s_Irr!BG27="."),s_dir!L27/((1/1000)*(s_Irr!K27+s_Irr!AI27)),IF(AND(s_Irr!K27&lt;&gt;".",s_Irr!AI27=".",s_Irr!BG27&lt;&gt;"."),s_dir!L27/((1/1000)*(s_Irr!K27+s_Irr!BG27)),IF(AND(s_Irr!K27=".",s_Irr!AI27&lt;&gt;".",s_Irr!BG27&lt;&gt;"."),s_dir!L27/((1/1000)*(s_Irr!AI27+s_Irr!BG27)),IF(AND(s_Irr!K27=".",s_Irr!AI27=".",s_Irr!BG27&lt;&gt;"."),s_dir!L27/((1/1000)*(s_Irr!BG27)),IF(AND(s_Irr!K27=".",s_Irr!AI27&lt;&gt;".",s_Irr!BG27="."),s_dir!L27/((1/1000)*(s_Irr!AI27)),IF(AND(s_Irr!K27&lt;&gt;".",s_Irr!AI27=".",s_Irr!BG27="."),s_dir!L27/((1/1000)*(s_Irr!K27)),IF(AND(s_Irr!K27=".",s_Irr!AI27=".",s_Irr!BG27="."),s_dir!L27*1000)))))))),".")</f>
        <v>.</v>
      </c>
      <c r="M27" s="76" t="str">
        <f>IFERROR(IF(AND(s_Irr!L27&lt;&gt;".",s_Irr!AJ27&lt;&gt;".",s_Irr!BH27&lt;&gt;"."),s_dir!M27/((1/1000)*(s_Irr!L27+s_Irr!AJ27+s_Irr!BH27)),IF(AND(s_Irr!L27&lt;&gt;".",s_Irr!AJ27&lt;&gt;".",s_Irr!BH27="."),s_dir!M27/((1/1000)*(s_Irr!L27+s_Irr!AJ27)),IF(AND(s_Irr!L27&lt;&gt;".",s_Irr!AJ27=".",s_Irr!BH27&lt;&gt;"."),s_dir!M27/((1/1000)*(s_Irr!L27+s_Irr!BH27)),IF(AND(s_Irr!L27=".",s_Irr!AJ27&lt;&gt;".",s_Irr!BH27&lt;&gt;"."),s_dir!M27/((1/1000)*(s_Irr!AJ27+s_Irr!BH27)),IF(AND(s_Irr!L27=".",s_Irr!AJ27=".",s_Irr!BH27&lt;&gt;"."),s_dir!M27/((1/1000)*(s_Irr!BH27)),IF(AND(s_Irr!L27=".",s_Irr!AJ27&lt;&gt;".",s_Irr!BH27="."),s_dir!M27/((1/1000)*(s_Irr!AJ27)),IF(AND(s_Irr!L27&lt;&gt;".",s_Irr!AJ27=".",s_Irr!BH27="."),s_dir!M27/((1/1000)*(s_Irr!L27)),IF(AND(s_Irr!L27=".",s_Irr!AJ27=".",s_Irr!BH27="."),s_dir!M27*1000)))))))),".")</f>
        <v>.</v>
      </c>
      <c r="N27" s="76" t="str">
        <f>IFERROR(IF(AND(s_Irr!M27&lt;&gt;".",s_Irr!AK27&lt;&gt;".",s_Irr!BI27&lt;&gt;"."),s_dir!N27/((1/1000)*(s_Irr!M27+s_Irr!AK27+s_Irr!BI27)),IF(AND(s_Irr!M27&lt;&gt;".",s_Irr!AK27&lt;&gt;".",s_Irr!BI27="."),s_dir!N27/((1/1000)*(s_Irr!M27+s_Irr!AK27)),IF(AND(s_Irr!M27&lt;&gt;".",s_Irr!AK27=".",s_Irr!BI27&lt;&gt;"."),s_dir!N27/((1/1000)*(s_Irr!M27+s_Irr!BI27)),IF(AND(s_Irr!M27=".",s_Irr!AK27&lt;&gt;".",s_Irr!BI27&lt;&gt;"."),s_dir!N27/((1/1000)*(s_Irr!AK27+s_Irr!BI27)),IF(AND(s_Irr!M27=".",s_Irr!AK27=".",s_Irr!BI27&lt;&gt;"."),s_dir!N27/((1/1000)*(s_Irr!BI27)),IF(AND(s_Irr!M27=".",s_Irr!AK27&lt;&gt;".",s_Irr!BI27="."),s_dir!N27/((1/1000)*(s_Irr!AK27)),IF(AND(s_Irr!M27&lt;&gt;".",s_Irr!AK27=".",s_Irr!BI27="."),s_dir!N27/((1/1000)*(s_Irr!M27)),IF(AND(s_Irr!M27=".",s_Irr!AK27=".",s_Irr!BI27="."),s_dir!N27*1000)))))))),".")</f>
        <v>.</v>
      </c>
      <c r="O27" s="76" t="str">
        <f>IFERROR(IF(AND(s_Irr!N27&lt;&gt;".",s_Irr!AL27&lt;&gt;".",s_Irr!BJ27&lt;&gt;"."),s_dir!O27/((1/1000)*(s_Irr!N27+s_Irr!AL27+s_Irr!BJ27)),IF(AND(s_Irr!N27&lt;&gt;".",s_Irr!AL27&lt;&gt;".",s_Irr!BJ27="."),s_dir!O27/((1/1000)*(s_Irr!N27+s_Irr!AL27)),IF(AND(s_Irr!N27&lt;&gt;".",s_Irr!AL27=".",s_Irr!BJ27&lt;&gt;"."),s_dir!O27/((1/1000)*(s_Irr!N27+s_Irr!BJ27)),IF(AND(s_Irr!N27=".",s_Irr!AL27&lt;&gt;".",s_Irr!BJ27&lt;&gt;"."),s_dir!O27/((1/1000)*(s_Irr!AL27+s_Irr!BJ27)),IF(AND(s_Irr!N27=".",s_Irr!AL27=".",s_Irr!BJ27&lt;&gt;"."),s_dir!O27/((1/1000)*(s_Irr!BJ27)),IF(AND(s_Irr!N27=".",s_Irr!AL27&lt;&gt;".",s_Irr!BJ27="."),s_dir!O27/((1/1000)*(s_Irr!AL27)),IF(AND(s_Irr!N27&lt;&gt;".",s_Irr!AL27=".",s_Irr!BJ27="."),s_dir!O27/((1/1000)*(s_Irr!N27)),IF(AND(s_Irr!N27=".",s_Irr!AL27=".",s_Irr!BJ27="."),s_dir!O27*1000)))))))),".")</f>
        <v>.</v>
      </c>
      <c r="P27" s="76" t="str">
        <f>IFERROR(IF(AND(s_Irr!O27&lt;&gt;".",s_Irr!AM27&lt;&gt;".",s_Irr!BK27&lt;&gt;"."),s_dir!P27/((1/1000)*(s_Irr!O27+s_Irr!AM27+s_Irr!BK27)),IF(AND(s_Irr!O27&lt;&gt;".",s_Irr!AM27&lt;&gt;".",s_Irr!BK27="."),s_dir!P27/((1/1000)*(s_Irr!O27+s_Irr!AM27)),IF(AND(s_Irr!O27&lt;&gt;".",s_Irr!AM27=".",s_Irr!BK27&lt;&gt;"."),s_dir!P27/((1/1000)*(s_Irr!O27+s_Irr!BK27)),IF(AND(s_Irr!O27=".",s_Irr!AM27&lt;&gt;".",s_Irr!BK27&lt;&gt;"."),s_dir!P27/((1/1000)*(s_Irr!AM27+s_Irr!BK27)),IF(AND(s_Irr!O27=".",s_Irr!AM27=".",s_Irr!BK27&lt;&gt;"."),s_dir!P27/((1/1000)*(s_Irr!BK27)),IF(AND(s_Irr!O27=".",s_Irr!AM27&lt;&gt;".",s_Irr!BK27="."),s_dir!P27/((1/1000)*(s_Irr!AM27)),IF(AND(s_Irr!O27&lt;&gt;".",s_Irr!AM27=".",s_Irr!BK27="."),s_dir!P27/((1/1000)*(s_Irr!O27)),IF(AND(s_Irr!O27=".",s_Irr!AM27=".",s_Irr!BK27="."),s_dir!P27*1000)))))))),".")</f>
        <v>.</v>
      </c>
      <c r="Q27" s="76" t="str">
        <f>IFERROR(IF(AND(s_Irr!P27&lt;&gt;".",s_Irr!AN27&lt;&gt;".",s_Irr!BL27&lt;&gt;"."),s_dir!Q27/((1/1000)*(s_Irr!P27+s_Irr!AN27+s_Irr!BL27)),IF(AND(s_Irr!P27&lt;&gt;".",s_Irr!AN27&lt;&gt;".",s_Irr!BL27="."),s_dir!Q27/((1/1000)*(s_Irr!P27+s_Irr!AN27)),IF(AND(s_Irr!P27&lt;&gt;".",s_Irr!AN27=".",s_Irr!BL27&lt;&gt;"."),s_dir!Q27/((1/1000)*(s_Irr!P27+s_Irr!BL27)),IF(AND(s_Irr!P27=".",s_Irr!AN27&lt;&gt;".",s_Irr!BL27&lt;&gt;"."),s_dir!Q27/((1/1000)*(s_Irr!AN27+s_Irr!BL27)),IF(AND(s_Irr!P27=".",s_Irr!AN27=".",s_Irr!BL27&lt;&gt;"."),s_dir!Q27/((1/1000)*(s_Irr!BL27)),IF(AND(s_Irr!P27=".",s_Irr!AN27&lt;&gt;".",s_Irr!BL27="."),s_dir!Q27/((1/1000)*(s_Irr!AN27)),IF(AND(s_Irr!P27&lt;&gt;".",s_Irr!AN27=".",s_Irr!BL27="."),s_dir!Q27/((1/1000)*(s_Irr!P27)),IF(AND(s_Irr!P27=".",s_Irr!AN27=".",s_Irr!BL27="."),s_dir!Q27*1000)))))))),".")</f>
        <v>.</v>
      </c>
      <c r="R27" s="76" t="str">
        <f>IFERROR(IF(AND(s_Irr!Q27&lt;&gt;".",s_Irr!AO27&lt;&gt;".",s_Irr!BM27&lt;&gt;"."),s_dir!R27/((1/1000)*(s_Irr!Q27+s_Irr!AO27+s_Irr!BM27)),IF(AND(s_Irr!Q27&lt;&gt;".",s_Irr!AO27&lt;&gt;".",s_Irr!BM27="."),s_dir!R27/((1/1000)*(s_Irr!Q27+s_Irr!AO27)),IF(AND(s_Irr!Q27&lt;&gt;".",s_Irr!AO27=".",s_Irr!BM27&lt;&gt;"."),s_dir!R27/((1/1000)*(s_Irr!Q27+s_Irr!BM27)),IF(AND(s_Irr!Q27=".",s_Irr!AO27&lt;&gt;".",s_Irr!BM27&lt;&gt;"."),s_dir!R27/((1/1000)*(s_Irr!AO27+s_Irr!BM27)),IF(AND(s_Irr!Q27=".",s_Irr!AO27=".",s_Irr!BM27&lt;&gt;"."),s_dir!R27/((1/1000)*(s_Irr!BM27)),IF(AND(s_Irr!Q27=".",s_Irr!AO27&lt;&gt;".",s_Irr!BM27="."),s_dir!R27/((1/1000)*(s_Irr!AO27)),IF(AND(s_Irr!Q27&lt;&gt;".",s_Irr!AO27=".",s_Irr!BM27="."),s_dir!R27/((1/1000)*(s_Irr!Q27)),IF(AND(s_Irr!Q27=".",s_Irr!AO27=".",s_Irr!BM27="."),s_dir!R27*1000)))))))),".")</f>
        <v>.</v>
      </c>
      <c r="S27" s="76" t="str">
        <f>IFERROR(IF(AND(s_Irr!R27&lt;&gt;".",s_Irr!AP27&lt;&gt;".",s_Irr!BN27&lt;&gt;"."),s_dir!S27/((1/1000)*(s_Irr!R27+s_Irr!AP27+s_Irr!BN27)),IF(AND(s_Irr!R27&lt;&gt;".",s_Irr!AP27&lt;&gt;".",s_Irr!BN27="."),s_dir!S27/((1/1000)*(s_Irr!R27+s_Irr!AP27)),IF(AND(s_Irr!R27&lt;&gt;".",s_Irr!AP27=".",s_Irr!BN27&lt;&gt;"."),s_dir!S27/((1/1000)*(s_Irr!R27+s_Irr!BN27)),IF(AND(s_Irr!R27=".",s_Irr!AP27&lt;&gt;".",s_Irr!BN27&lt;&gt;"."),s_dir!S27/((1/1000)*(s_Irr!AP27+s_Irr!BN27)),IF(AND(s_Irr!R27=".",s_Irr!AP27=".",s_Irr!BN27&lt;&gt;"."),s_dir!S27/((1/1000)*(s_Irr!BN27)),IF(AND(s_Irr!R27=".",s_Irr!AP27&lt;&gt;".",s_Irr!BN27="."),s_dir!S27/((1/1000)*(s_Irr!AP27)),IF(AND(s_Irr!R27&lt;&gt;".",s_Irr!AP27=".",s_Irr!BN27="."),s_dir!S27/((1/1000)*(s_Irr!R27)),IF(AND(s_Irr!R27=".",s_Irr!AP27=".",s_Irr!BN27="."),s_dir!S27*1000)))))))),".")</f>
        <v>.</v>
      </c>
      <c r="T27" s="76" t="str">
        <f>IFERROR(IF(AND(s_Irr!S27&lt;&gt;".",s_Irr!AQ27&lt;&gt;".",s_Irr!BO27&lt;&gt;"."),s_dir!T27/((1/1000)*(s_Irr!S27+s_Irr!AQ27+s_Irr!BO27)),IF(AND(s_Irr!S27&lt;&gt;".",s_Irr!AQ27&lt;&gt;".",s_Irr!BO27="."),s_dir!T27/((1/1000)*(s_Irr!S27+s_Irr!AQ27)),IF(AND(s_Irr!S27&lt;&gt;".",s_Irr!AQ27=".",s_Irr!BO27&lt;&gt;"."),s_dir!T27/((1/1000)*(s_Irr!S27+s_Irr!BO27)),IF(AND(s_Irr!S27=".",s_Irr!AQ27&lt;&gt;".",s_Irr!BO27&lt;&gt;"."),s_dir!T27/((1/1000)*(s_Irr!AQ27+s_Irr!BO27)),IF(AND(s_Irr!S27=".",s_Irr!AQ27=".",s_Irr!BO27&lt;&gt;"."),s_dir!T27/((1/1000)*(s_Irr!BO27)),IF(AND(s_Irr!S27=".",s_Irr!AQ27&lt;&gt;".",s_Irr!BO27="."),s_dir!T27/((1/1000)*(s_Irr!AQ27)),IF(AND(s_Irr!S27&lt;&gt;".",s_Irr!AQ27=".",s_Irr!BO27="."),s_dir!T27/((1/1000)*(s_Irr!S27)),IF(AND(s_Irr!S27=".",s_Irr!AQ27=".",s_Irr!BO27="."),s_dir!T27*1000)))))))),".")</f>
        <v>.</v>
      </c>
      <c r="U27" s="76" t="str">
        <f>IFERROR(IF(AND(s_Irr!T27&lt;&gt;".",s_Irr!AR27&lt;&gt;".",s_Irr!BP27&lt;&gt;"."),s_dir!U27/((1/1000)*(s_Irr!T27+s_Irr!AR27+s_Irr!BP27)),IF(AND(s_Irr!T27&lt;&gt;".",s_Irr!AR27&lt;&gt;".",s_Irr!BP27="."),s_dir!U27/((1/1000)*(s_Irr!T27+s_Irr!AR27)),IF(AND(s_Irr!T27&lt;&gt;".",s_Irr!AR27=".",s_Irr!BP27&lt;&gt;"."),s_dir!U27/((1/1000)*(s_Irr!T27+s_Irr!BP27)),IF(AND(s_Irr!T27=".",s_Irr!AR27&lt;&gt;".",s_Irr!BP27&lt;&gt;"."),s_dir!U27/((1/1000)*(s_Irr!AR27+s_Irr!BP27)),IF(AND(s_Irr!T27=".",s_Irr!AR27=".",s_Irr!BP27&lt;&gt;"."),s_dir!U27/((1/1000)*(s_Irr!BP27)),IF(AND(s_Irr!T27=".",s_Irr!AR27&lt;&gt;".",s_Irr!BP27="."),s_dir!U27/((1/1000)*(s_Irr!AR27)),IF(AND(s_Irr!T27&lt;&gt;".",s_Irr!AR27=".",s_Irr!BP27="."),s_dir!U27/((1/1000)*(s_Irr!T27)),IF(AND(s_Irr!T27=".",s_Irr!AR27=".",s_Irr!BP27="."),s_dir!U27*1000)))))))),".")</f>
        <v>.</v>
      </c>
      <c r="V27" s="76" t="str">
        <f>IFERROR(IF(AND(s_Irr!U27&lt;&gt;".",s_Irr!AS27&lt;&gt;".",s_Irr!BQ27&lt;&gt;"."),s_dir!V27/((1/1000)*(s_Irr!U27+s_Irr!AS27+s_Irr!BQ27)),IF(AND(s_Irr!U27&lt;&gt;".",s_Irr!AS27&lt;&gt;".",s_Irr!BQ27="."),s_dir!V27/((1/1000)*(s_Irr!U27+s_Irr!AS27)),IF(AND(s_Irr!U27&lt;&gt;".",s_Irr!AS27=".",s_Irr!BQ27&lt;&gt;"."),s_dir!V27/((1/1000)*(s_Irr!U27+s_Irr!BQ27)),IF(AND(s_Irr!U27=".",s_Irr!AS27&lt;&gt;".",s_Irr!BQ27&lt;&gt;"."),s_dir!V27/((1/1000)*(s_Irr!AS27+s_Irr!BQ27)),IF(AND(s_Irr!U27=".",s_Irr!AS27=".",s_Irr!BQ27&lt;&gt;"."),s_dir!V27/((1/1000)*(s_Irr!BQ27)),IF(AND(s_Irr!U27=".",s_Irr!AS27&lt;&gt;".",s_Irr!BQ27="."),s_dir!V27/((1/1000)*(s_Irr!AS27)),IF(AND(s_Irr!U27&lt;&gt;".",s_Irr!AS27=".",s_Irr!BQ27="."),s_dir!V27/((1/1000)*(s_Irr!U27)),IF(AND(s_Irr!U27=".",s_Irr!AS27=".",s_Irr!BQ27="."),s_dir!V27*1000)))))))),".")</f>
        <v>.</v>
      </c>
      <c r="W27" s="76" t="str">
        <f>IFERROR(IF(AND(s_Irr!V27&lt;&gt;".",s_Irr!AT27&lt;&gt;".",s_Irr!BR27&lt;&gt;"."),s_dir!W27/((1/1000)*(s_Irr!V27+s_Irr!AT27+s_Irr!BR27)),IF(AND(s_Irr!V27&lt;&gt;".",s_Irr!AT27&lt;&gt;".",s_Irr!BR27="."),s_dir!W27/((1/1000)*(s_Irr!V27+s_Irr!AT27)),IF(AND(s_Irr!V27&lt;&gt;".",s_Irr!AT27=".",s_Irr!BR27&lt;&gt;"."),s_dir!W27/((1/1000)*(s_Irr!V27+s_Irr!BR27)),IF(AND(s_Irr!V27=".",s_Irr!AT27&lt;&gt;".",s_Irr!BR27&lt;&gt;"."),s_dir!W27/((1/1000)*(s_Irr!AT27+s_Irr!BR27)),IF(AND(s_Irr!V27=".",s_Irr!AT27=".",s_Irr!BR27&lt;&gt;"."),s_dir!W27/((1/1000)*(s_Irr!BR27)),IF(AND(s_Irr!V27=".",s_Irr!AT27&lt;&gt;".",s_Irr!BR27="."),s_dir!W27/((1/1000)*(s_Irr!AT27)),IF(AND(s_Irr!V27&lt;&gt;".",s_Irr!AT27=".",s_Irr!BR27="."),s_dir!W27/((1/1000)*(s_Irr!V27)),IF(AND(s_Irr!V27=".",s_Irr!AT27=".",s_Irr!BR27="."),s_dir!W27*1000)))))))),".")</f>
        <v>.</v>
      </c>
      <c r="X27" s="76" t="str">
        <f>IFERROR(IF(AND(s_Irr!W27&lt;&gt;".",s_Irr!AU27&lt;&gt;".",s_Irr!BS27&lt;&gt;"."),s_dir!X27/((1/1000)*(s_Irr!W27+s_Irr!AU27+s_Irr!BS27)),IF(AND(s_Irr!W27&lt;&gt;".",s_Irr!AU27&lt;&gt;".",s_Irr!BS27="."),s_dir!X27/((1/1000)*(s_Irr!W27+s_Irr!AU27)),IF(AND(s_Irr!W27&lt;&gt;".",s_Irr!AU27=".",s_Irr!BS27&lt;&gt;"."),s_dir!X27/((1/1000)*(s_Irr!W27+s_Irr!BS27)),IF(AND(s_Irr!W27=".",s_Irr!AU27&lt;&gt;".",s_Irr!BS27&lt;&gt;"."),s_dir!X27/((1/1000)*(s_Irr!AU27+s_Irr!BS27)),IF(AND(s_Irr!W27=".",s_Irr!AU27=".",s_Irr!BS27&lt;&gt;"."),s_dir!X27/((1/1000)*(s_Irr!BS27)),IF(AND(s_Irr!W27=".",s_Irr!AU27&lt;&gt;".",s_Irr!BS27="."),s_dir!X27/((1/1000)*(s_Irr!AU27)),IF(AND(s_Irr!W27&lt;&gt;".",s_Irr!AU27=".",s_Irr!BS27="."),s_dir!X27/((1/1000)*(s_Irr!W27)),IF(AND(s_Irr!W27=".",s_Irr!AU27=".",s_Irr!BS27="."),s_dir!X27*1000)))))))),".")</f>
        <v>.</v>
      </c>
      <c r="Y27" s="76" t="str">
        <f>IFERROR(IF(AND(s_Irr!X27&lt;&gt;".",s_Irr!AV27&lt;&gt;".",s_Irr!BT27&lt;&gt;"."),s_dir!Y27/((1/1000)*(s_Irr!X27+s_Irr!AV27+s_Irr!BT27)),IF(AND(s_Irr!X27&lt;&gt;".",s_Irr!AV27&lt;&gt;".",s_Irr!BT27="."),s_dir!Y27/((1/1000)*(s_Irr!X27+s_Irr!AV27)),IF(AND(s_Irr!X27&lt;&gt;".",s_Irr!AV27=".",s_Irr!BT27&lt;&gt;"."),s_dir!Y27/((1/1000)*(s_Irr!X27+s_Irr!BT27)),IF(AND(s_Irr!X27=".",s_Irr!AV27&lt;&gt;".",s_Irr!BT27&lt;&gt;"."),s_dir!Y27/((1/1000)*(s_Irr!AV27+s_Irr!BT27)),IF(AND(s_Irr!X27=".",s_Irr!AV27=".",s_Irr!BT27&lt;&gt;"."),s_dir!Y27/((1/1000)*(s_Irr!BT27)),IF(AND(s_Irr!X27=".",s_Irr!AV27&lt;&gt;".",s_Irr!BT27="."),s_dir!Y27/((1/1000)*(s_Irr!AV27)),IF(AND(s_Irr!X27&lt;&gt;".",s_Irr!AV27=".",s_Irr!BT27="."),s_dir!Y27/((1/1000)*(s_Irr!X27)),IF(AND(s_Irr!X27=".",s_Irr!AV27=".",s_Irr!BT27="."),s_dir!Y27*1000)))))))),".")</f>
        <v>.</v>
      </c>
      <c r="Z27" s="76" t="str">
        <f>IFERROR(IF(AND(s_Irr!Y27&lt;&gt;".",s_Irr!AW27&lt;&gt;".",s_Irr!BU27&lt;&gt;"."),s_dir!Z27/((1/1000)*(s_Irr!Y27+s_Irr!AW27+s_Irr!BU27)),IF(AND(s_Irr!Y27&lt;&gt;".",s_Irr!AW27&lt;&gt;".",s_Irr!BU27="."),s_dir!Z27/((1/1000)*(s_Irr!Y27+s_Irr!AW27)),IF(AND(s_Irr!Y27&lt;&gt;".",s_Irr!AW27=".",s_Irr!BU27&lt;&gt;"."),s_dir!Z27/((1/1000)*(s_Irr!Y27+s_Irr!BU27)),IF(AND(s_Irr!Y27=".",s_Irr!AW27&lt;&gt;".",s_Irr!BU27&lt;&gt;"."),s_dir!Z27/((1/1000)*(s_Irr!AW27+s_Irr!BU27)),IF(AND(s_Irr!Y27=".",s_Irr!AW27=".",s_Irr!BU27&lt;&gt;"."),s_dir!Z27/((1/1000)*(s_Irr!BU27)),IF(AND(s_Irr!Y27=".",s_Irr!AW27&lt;&gt;".",s_Irr!BU27="."),s_dir!Z27/((1/1000)*(s_Irr!AW27)),IF(AND(s_Irr!Y27&lt;&gt;".",s_Irr!AW27=".",s_Irr!BU27="."),s_dir!Z27/((1/1000)*(s_Irr!Y27)),IF(AND(s_Irr!Y27=".",s_Irr!AW27=".",s_Irr!BU27="."),s_dir!Z27*1000)))))))),".")</f>
        <v>.</v>
      </c>
      <c r="AA27" s="76" t="str">
        <f>IFERROR(IF(AND(s_Irr!Z27&lt;&gt;".",s_Irr!AX27&lt;&gt;".",s_Irr!BV27&lt;&gt;"."),s_dir!AA27/((1/1000)*(s_Irr!Z27+s_Irr!AX27+s_Irr!BV27)),IF(AND(s_Irr!Z27&lt;&gt;".",s_Irr!AX27&lt;&gt;".",s_Irr!BV27="."),s_dir!AA27/((1/1000)*(s_Irr!Z27+s_Irr!AX27)),IF(AND(s_Irr!Z27&lt;&gt;".",s_Irr!AX27=".",s_Irr!BV27&lt;&gt;"."),s_dir!AA27/((1/1000)*(s_Irr!Z27+s_Irr!BV27)),IF(AND(s_Irr!Z27=".",s_Irr!AX27&lt;&gt;".",s_Irr!BV27&lt;&gt;"."),s_dir!AA27/((1/1000)*(s_Irr!AX27+s_Irr!BV27)),IF(AND(s_Irr!Z27=".",s_Irr!AX27=".",s_Irr!BV27&lt;&gt;"."),s_dir!AA27/((1/1000)*(s_Irr!BV27)),IF(AND(s_Irr!Z27=".",s_Irr!AX27&lt;&gt;".",s_Irr!BV27="."),s_dir!AA27/((1/1000)*(s_Irr!AX27)),IF(AND(s_Irr!Z27&lt;&gt;".",s_Irr!AX27=".",s_Irr!BV27="."),s_dir!AA27/((1/1000)*(s_Irr!Z27)),IF(AND(s_Irr!Z27=".",s_Irr!AX27=".",s_Irr!BV27="."),s_dir!AA27*1000)))))))),".")</f>
        <v>.</v>
      </c>
      <c r="AB27" s="93">
        <f>SUM(AC27:AD27,AY27:AZ27)</f>
        <v>1738.5827027196997</v>
      </c>
      <c r="AC27" s="93">
        <f>IFERROR(s_C*s_IFAP_res_adj*s_CF_apple*0.001*(s_Irr!C27+s_Irr!AA27+s_Irr!AY27),".")</f>
        <v>161.04968044979253</v>
      </c>
      <c r="AD27" s="93">
        <f>IFERROR(s_C*s_IFAS_res_adj*s_CF_asparagus*0.001*(s_Irr!D27+s_Irr!AB27+s_Irr!AZ27),".")</f>
        <v>163.01681762340641</v>
      </c>
      <c r="AE27" s="93">
        <f>IFERROR(s_C*s_IFBT_res_adj*s_CF_beet*0.001*(s_Irr!E27+s_Irr!AC27+s_Irr!BA27),".")</f>
        <v>161.04968044979253</v>
      </c>
      <c r="AF27" s="93">
        <f>IFERROR(s_C*s_IFBE_res_adj*s_CF_berries*0.001*(s_Irr!F27+s_Irr!AD27+s_Irr!BB27),".")</f>
        <v>161.04968044979253</v>
      </c>
      <c r="AG27" s="93">
        <f>IFERROR(s_C*s_IFBR_res_adj*s_CF_broccoli*0.001*(s_Irr!G27+s_Irr!AE27+s_Irr!BC27),".")</f>
        <v>161.04968044979253</v>
      </c>
      <c r="AH27" s="93">
        <f>IFERROR(s_C*s_IFCB_res_adj*s_CF_cabbage*0.001*(s_Irr!H27+s_Irr!AF27+s_Irr!BD27),".")</f>
        <v>163.01681762340641</v>
      </c>
      <c r="AI27" s="93">
        <f>IFERROR(s_C*s_IFCR_res_adj*s_CF_carrot*0.001*(s_Irr!I27+s_Irr!AG27+s_Irr!BE27),".")</f>
        <v>161.04968044979253</v>
      </c>
      <c r="AJ27" s="93">
        <f>IFERROR(s_C*s_IFCI_res_adj*s_CF_citrus*0.001*(s_Irr!J27+s_Irr!AH27+s_Irr!BF27),".")</f>
        <v>161.04968044979253</v>
      </c>
      <c r="AK27" s="93">
        <f>IFERROR(s_C*s_IFCO_res_adj*s_CF_corn*0.001*(s_Irr!K27+s_Irr!AI27+s_Irr!BG27),".")</f>
        <v>161.04968044979253</v>
      </c>
      <c r="AL27" s="93">
        <f>IFERROR(s_C*s_IFCU_res_adj*s_CF_cucumber*0.001*(s_Irr!L27+s_Irr!AJ27+s_Irr!BH27),".")</f>
        <v>161.04968044979253</v>
      </c>
      <c r="AM27" s="93">
        <f>IFERROR(s_C*s_IFLE_res_adj*s_CF_lettuce*0.001*(s_Irr!M27+s_Irr!AK27+s_Irr!BI27),".")</f>
        <v>163.01681762340641</v>
      </c>
      <c r="AN27" s="93">
        <f>IFERROR(s_C*s_IFLI_res_adj*s_CF_lima_bean*0.001*(s_Irr!N27+s_Irr!AL27+s_Irr!BJ27),".")</f>
        <v>161.04968044979253</v>
      </c>
      <c r="AO27" s="93">
        <f>IFERROR(s_C*s_IFOK_res_adj*s_CF_okra*0.001*(s_Irr!O27+s_Irr!AM27+s_Irr!BK27),".")</f>
        <v>161.04968044979253</v>
      </c>
      <c r="AP27" s="93">
        <f>IFERROR(s_C*s_IFON_res_adj*s_CF_onion*0.001*(s_Irr!P27+s_Irr!AN27+s_Irr!BL27),".")</f>
        <v>161.04968044979253</v>
      </c>
      <c r="AQ27" s="93">
        <f>IFERROR(s_C*s_IFPC_res_adj*s_CF_peach*0.001*(s_Irr!Q27+s_Irr!AO27+s_Irr!BM27),".")</f>
        <v>161.04968044979253</v>
      </c>
      <c r="AR27" s="93">
        <f>IFERROR(s_C*s_IFPR_res_adj*s_CF_pear*0.001*(s_Irr!R27+s_Irr!AP27+s_Irr!BN27),".")</f>
        <v>161.04968044979253</v>
      </c>
      <c r="AS27" s="93">
        <f>IFERROR(s_C*s_IFPE_res_adj*s_CF_peas*0.001*(s_Irr!S27+s_Irr!AQ27+s_Irr!BO27),".")</f>
        <v>161.04968044979253</v>
      </c>
      <c r="AT27" s="93">
        <f>IFERROR(s_C*s_IFPT_res_adj*s_CF_potato*0.001*(s_Irr!T27+s_Irr!AR27+s_Irr!BP27),".")</f>
        <v>161.04968044979253</v>
      </c>
      <c r="AU27" s="93">
        <f>IFERROR(s_C*s_IFPU_res_adj*s_CF_pumpkin*0.001*(s_Irr!U27+s_Irr!AS27+s_Irr!BQ27),".")</f>
        <v>161.04968044979253</v>
      </c>
      <c r="AV27" s="93">
        <f>IFERROR(s_C*s_IFSN_res_adj*s_CF_snap_bean*0.001*(s_Irr!V27+s_Irr!AT27+s_Irr!BR27),".")</f>
        <v>161.04968044979253</v>
      </c>
      <c r="AW27" s="93">
        <f>IFERROR(s_C*s_IFST_res_adj*s_CF_strawberry*0.001*(s_Irr!W27+s_Irr!AU27+s_Irr!BS27),".")</f>
        <v>161.04968044979253</v>
      </c>
      <c r="AX27" s="93">
        <f>IFERROR(s_C*s_IFTO_res_adj*s_CF_tomato*0.001*(s_Irr!X27+s_Irr!AV27+s_Irr!BT27),".")</f>
        <v>161.04968044979253</v>
      </c>
      <c r="AY27" s="93">
        <f>IFERROR(s_C*s_IFRI_res_adj*s_CF_rice*0.001*(s_Irr!Y27+s_Irr!AW27+s_Irr!BU27),".")</f>
        <v>707.25810232325045</v>
      </c>
      <c r="AZ27" s="93">
        <f>IFERROR(s_C*s_IFCG_res_adj*s_CF_cereal*0.001*(s_Irr!Z27+s_Irr!AX27+s_Irr!BV27),".")</f>
        <v>707.25810232325045</v>
      </c>
      <c r="BA27" s="76" t="str">
        <f t="shared" si="31"/>
        <v>.</v>
      </c>
      <c r="BB27" s="76" t="str">
        <f>IFERROR(IF(AND(s_Irr!C27&lt;&gt;".",s_Irr!AA27&lt;&gt;".",s_Irr!AY27&lt;&gt;"."),s_dir!AC27/((1/1000)*(s_Irr!C27+s_Irr!AA27+s_Irr!AY27)),IF(AND(s_Irr!C27&lt;&gt;".",s_Irr!AA27&lt;&gt;".",s_Irr!AY27="."),s_dir!AC27/((1/1000)*(s_Irr!C27+s_Irr!AA27)),IF(AND(s_Irr!C27&lt;&gt;".",s_Irr!AA27=".",s_Irr!AY27&lt;&gt;"."),s_dir!AC27/((1/1000)*(s_Irr!C27+s_Irr!AY27)),IF(AND(s_Irr!C27=".",s_Irr!AA27&lt;&gt;".",s_Irr!AY27&lt;&gt;"."),s_dir!AC27/((1/1000)*(s_Irr!AA27+s_Irr!AY27)),IF(AND(s_Irr!C27=".",s_Irr!AA27=".",s_Irr!AY27&lt;&gt;"."),s_dir!AC27/((1/1000)*(s_Irr!AY27)),IF(AND(s_Irr!C27=".",s_Irr!AA27&lt;&gt;".",s_Irr!AY27="."),s_dir!AC27/((1/1000)*(s_Irr!AA27)),IF(AND(s_Irr!C27&lt;&gt;".",s_Irr!AA27=".",s_Irr!AY27="."),s_dir!AC27/((1/1000)*(s_Irr!C27)),IF(AND(s_Irr!C27=".",s_Irr!AA27=".",s_Irr!AY27="."),s_dir!AC27*1000)))))))),".")</f>
        <v>.</v>
      </c>
      <c r="BC27" s="76" t="str">
        <f>IFERROR(IF(AND(s_Irr!D27&lt;&gt;".",s_Irr!AB27&lt;&gt;".",s_Irr!AZ27&lt;&gt;"."),s_dir!AD27/((1/1000)*(s_Irr!D27+s_Irr!AB27+s_Irr!AZ27)),IF(AND(s_Irr!D27&lt;&gt;".",s_Irr!AB27&lt;&gt;".",s_Irr!AZ27="."),s_dir!AD27/((1/1000)*(s_Irr!D27+s_Irr!AB27)),IF(AND(s_Irr!D27&lt;&gt;".",s_Irr!AB27=".",s_Irr!AZ27&lt;&gt;"."),s_dir!AD27/((1/1000)*(s_Irr!D27+s_Irr!AZ27)),IF(AND(s_Irr!D27=".",s_Irr!AB27&lt;&gt;".",s_Irr!AZ27&lt;&gt;"."),s_dir!AD27/((1/1000)*(s_Irr!AB27+s_Irr!AZ27)),IF(AND(s_Irr!D27=".",s_Irr!AB27=".",s_Irr!AZ27&lt;&gt;"."),s_dir!AD27/((1/1000)*(s_Irr!AZ27)),IF(AND(s_Irr!D27=".",s_Irr!AB27&lt;&gt;".",s_Irr!AZ27="."),s_dir!AD27/((1/1000)*(s_Irr!AB27)),IF(AND(s_Irr!D27&lt;&gt;".",s_Irr!AB27=".",s_Irr!AZ27="."),s_dir!AD27/((1/1000)*(s_Irr!D27)),IF(AND(s_Irr!D27=".",s_Irr!AB27=".",s_Irr!AZ27="."),s_dir!AD27*1000)))))))),".")</f>
        <v>.</v>
      </c>
      <c r="BD27" s="76" t="str">
        <f>IFERROR(IF(AND(s_Irr!E27&lt;&gt;".",s_Irr!AC27&lt;&gt;".",s_Irr!BA27&lt;&gt;"."),s_dir!AE27/((1/1000)*(s_Irr!E27+s_Irr!AC27+s_Irr!BA27)),IF(AND(s_Irr!E27&lt;&gt;".",s_Irr!AC27&lt;&gt;".",s_Irr!BA27="."),s_dir!AE27/((1/1000)*(s_Irr!E27+s_Irr!AC27)),IF(AND(s_Irr!E27&lt;&gt;".",s_Irr!AC27=".",s_Irr!BA27&lt;&gt;"."),s_dir!AE27/((1/1000)*(s_Irr!E27+s_Irr!BA27)),IF(AND(s_Irr!E27=".",s_Irr!AC27&lt;&gt;".",s_Irr!BA27&lt;&gt;"."),s_dir!AE27/((1/1000)*(s_Irr!AC27+s_Irr!BA27)),IF(AND(s_Irr!E27=".",s_Irr!AC27=".",s_Irr!BA27&lt;&gt;"."),s_dir!AE27/((1/1000)*(s_Irr!BA27)),IF(AND(s_Irr!E27=".",s_Irr!AC27&lt;&gt;".",s_Irr!BA27="."),s_dir!AE27/((1/1000)*(s_Irr!AC27)),IF(AND(s_Irr!E27&lt;&gt;".",s_Irr!AC27=".",s_Irr!BA27="."),s_dir!AE27/((1/1000)*(s_Irr!E27)),IF(AND(s_Irr!E27=".",s_Irr!AC27=".",s_Irr!BA27="."),s_dir!AE27*1000)))))))),".")</f>
        <v>.</v>
      </c>
      <c r="BE27" s="76" t="str">
        <f>IFERROR(IF(AND(s_Irr!F27&lt;&gt;".",s_Irr!AD27&lt;&gt;".",s_Irr!BB27&lt;&gt;"."),s_dir!AF27/((1/1000)*(s_Irr!F27+s_Irr!AD27+s_Irr!BB27)),IF(AND(s_Irr!F27&lt;&gt;".",s_Irr!AD27&lt;&gt;".",s_Irr!BB27="."),s_dir!AF27/((1/1000)*(s_Irr!F27+s_Irr!AD27)),IF(AND(s_Irr!F27&lt;&gt;".",s_Irr!AD27=".",s_Irr!BB27&lt;&gt;"."),s_dir!AF27/((1/1000)*(s_Irr!F27+s_Irr!BB27)),IF(AND(s_Irr!F27=".",s_Irr!AD27&lt;&gt;".",s_Irr!BB27&lt;&gt;"."),s_dir!AF27/((1/1000)*(s_Irr!AD27+s_Irr!BB27)),IF(AND(s_Irr!F27=".",s_Irr!AD27=".",s_Irr!BB27&lt;&gt;"."),s_dir!AF27/((1/1000)*(s_Irr!BB27)),IF(AND(s_Irr!F27=".",s_Irr!AD27&lt;&gt;".",s_Irr!BB27="."),s_dir!AF27/((1/1000)*(s_Irr!AD27)),IF(AND(s_Irr!F27&lt;&gt;".",s_Irr!AD27=".",s_Irr!BB27="."),s_dir!AF27/((1/1000)*(s_Irr!F27)),IF(AND(s_Irr!F27=".",s_Irr!AD27=".",s_Irr!BB27="."),s_dir!AF27*1000)))))))),".")</f>
        <v>.</v>
      </c>
      <c r="BF27" s="76" t="str">
        <f>IFERROR(IF(AND(s_Irr!G27&lt;&gt;".",s_Irr!AE27&lt;&gt;".",s_Irr!BC27&lt;&gt;"."),s_dir!AG27/((1/1000)*(s_Irr!G27+s_Irr!AE27+s_Irr!BC27)),IF(AND(s_Irr!G27&lt;&gt;".",s_Irr!AE27&lt;&gt;".",s_Irr!BC27="."),s_dir!AG27/((1/1000)*(s_Irr!G27+s_Irr!AE27)),IF(AND(s_Irr!G27&lt;&gt;".",s_Irr!AE27=".",s_Irr!BC27&lt;&gt;"."),s_dir!AG27/((1/1000)*(s_Irr!G27+s_Irr!BC27)),IF(AND(s_Irr!G27=".",s_Irr!AE27&lt;&gt;".",s_Irr!BC27&lt;&gt;"."),s_dir!AG27/((1/1000)*(s_Irr!AE27+s_Irr!BC27)),IF(AND(s_Irr!G27=".",s_Irr!AE27=".",s_Irr!BC27&lt;&gt;"."),s_dir!AG27/((1/1000)*(s_Irr!BC27)),IF(AND(s_Irr!G27=".",s_Irr!AE27&lt;&gt;".",s_Irr!BC27="."),s_dir!AG27/((1/1000)*(s_Irr!AE27)),IF(AND(s_Irr!G27&lt;&gt;".",s_Irr!AE27=".",s_Irr!BC27="."),s_dir!AG27/((1/1000)*(s_Irr!G27)),IF(AND(s_Irr!G27=".",s_Irr!AE27=".",s_Irr!BC27="."),s_dir!AG27*1000)))))))),".")</f>
        <v>.</v>
      </c>
      <c r="BG27" s="76" t="str">
        <f>IFERROR(IF(AND(s_Irr!H27&lt;&gt;".",s_Irr!AF27&lt;&gt;".",s_Irr!BD27&lt;&gt;"."),s_dir!AH27/((1/1000)*(s_Irr!H27+s_Irr!AF27+s_Irr!BD27)),IF(AND(s_Irr!H27&lt;&gt;".",s_Irr!AF27&lt;&gt;".",s_Irr!BD27="."),s_dir!AH27/((1/1000)*(s_Irr!H27+s_Irr!AF27)),IF(AND(s_Irr!H27&lt;&gt;".",s_Irr!AF27=".",s_Irr!BD27&lt;&gt;"."),s_dir!AH27/((1/1000)*(s_Irr!H27+s_Irr!BD27)),IF(AND(s_Irr!H27=".",s_Irr!AF27&lt;&gt;".",s_Irr!BD27&lt;&gt;"."),s_dir!AH27/((1/1000)*(s_Irr!AF27+s_Irr!BD27)),IF(AND(s_Irr!H27=".",s_Irr!AF27=".",s_Irr!BD27&lt;&gt;"."),s_dir!AH27/((1/1000)*(s_Irr!BD27)),IF(AND(s_Irr!H27=".",s_Irr!AF27&lt;&gt;".",s_Irr!BD27="."),s_dir!AH27/((1/1000)*(s_Irr!AF27)),IF(AND(s_Irr!H27&lt;&gt;".",s_Irr!AF27=".",s_Irr!BD27="."),s_dir!AH27/((1/1000)*(s_Irr!H27)),IF(AND(s_Irr!H27=".",s_Irr!AF27=".",s_Irr!BD27="."),s_dir!AH27*1000)))))))),".")</f>
        <v>.</v>
      </c>
      <c r="BH27" s="76" t="str">
        <f>IFERROR(IF(AND(s_Irr!I27&lt;&gt;".",s_Irr!AG27&lt;&gt;".",s_Irr!BE27&lt;&gt;"."),s_dir!AI27/((1/1000)*(s_Irr!I27+s_Irr!AG27+s_Irr!BE27)),IF(AND(s_Irr!I27&lt;&gt;".",s_Irr!AG27&lt;&gt;".",s_Irr!BE27="."),s_dir!AI27/((1/1000)*(s_Irr!I27+s_Irr!AG27)),IF(AND(s_Irr!I27&lt;&gt;".",s_Irr!AG27=".",s_Irr!BE27&lt;&gt;"."),s_dir!AI27/((1/1000)*(s_Irr!I27+s_Irr!BE27)),IF(AND(s_Irr!I27=".",s_Irr!AG27&lt;&gt;".",s_Irr!BE27&lt;&gt;"."),s_dir!AI27/((1/1000)*(s_Irr!AG27+s_Irr!BE27)),IF(AND(s_Irr!I27=".",s_Irr!AG27=".",s_Irr!BE27&lt;&gt;"."),s_dir!AI27/((1/1000)*(s_Irr!BE27)),IF(AND(s_Irr!I27=".",s_Irr!AG27&lt;&gt;".",s_Irr!BE27="."),s_dir!AI27/((1/1000)*(s_Irr!AG27)),IF(AND(s_Irr!I27&lt;&gt;".",s_Irr!AG27=".",s_Irr!BE27="."),s_dir!AI27/((1/1000)*(s_Irr!I27)),IF(AND(s_Irr!I27=".",s_Irr!AG27=".",s_Irr!BE27="."),s_dir!AI27*1000)))))))),".")</f>
        <v>.</v>
      </c>
      <c r="BI27" s="76" t="str">
        <f>IFERROR(IF(AND(s_Irr!J27&lt;&gt;".",s_Irr!AH27&lt;&gt;".",s_Irr!BF27&lt;&gt;"."),s_dir!AJ27/((1/1000)*(s_Irr!J27+s_Irr!AH27+s_Irr!BF27)),IF(AND(s_Irr!J27&lt;&gt;".",s_Irr!AH27&lt;&gt;".",s_Irr!BF27="."),s_dir!AJ27/((1/1000)*(s_Irr!J27+s_Irr!AH27)),IF(AND(s_Irr!J27&lt;&gt;".",s_Irr!AH27=".",s_Irr!BF27&lt;&gt;"."),s_dir!AJ27/((1/1000)*(s_Irr!J27+s_Irr!BF27)),IF(AND(s_Irr!J27=".",s_Irr!AH27&lt;&gt;".",s_Irr!BF27&lt;&gt;"."),s_dir!AJ27/((1/1000)*(s_Irr!AH27+s_Irr!BF27)),IF(AND(s_Irr!J27=".",s_Irr!AH27=".",s_Irr!BF27&lt;&gt;"."),s_dir!AJ27/((1/1000)*(s_Irr!BF27)),IF(AND(s_Irr!J27=".",s_Irr!AH27&lt;&gt;".",s_Irr!BF27="."),s_dir!AJ27/((1/1000)*(s_Irr!AH27)),IF(AND(s_Irr!J27&lt;&gt;".",s_Irr!AH27=".",s_Irr!BF27="."),s_dir!AJ27/((1/1000)*(s_Irr!J27)),IF(AND(s_Irr!J27=".",s_Irr!AH27=".",s_Irr!BF27="."),s_dir!AJ27*1000)))))))),".")</f>
        <v>.</v>
      </c>
      <c r="BJ27" s="76" t="str">
        <f>IFERROR(IF(AND(s_Irr!K27&lt;&gt;".",s_Irr!AI27&lt;&gt;".",s_Irr!BG27&lt;&gt;"."),s_dir!AK27/((1/1000)*(s_Irr!K27+s_Irr!AI27+s_Irr!BG27)),IF(AND(s_Irr!K27&lt;&gt;".",s_Irr!AI27&lt;&gt;".",s_Irr!BG27="."),s_dir!AK27/((1/1000)*(s_Irr!K27+s_Irr!AI27)),IF(AND(s_Irr!K27&lt;&gt;".",s_Irr!AI27=".",s_Irr!BG27&lt;&gt;"."),s_dir!AK27/((1/1000)*(s_Irr!K27+s_Irr!BG27)),IF(AND(s_Irr!K27=".",s_Irr!AI27&lt;&gt;".",s_Irr!BG27&lt;&gt;"."),s_dir!AK27/((1/1000)*(s_Irr!AI27+s_Irr!BG27)),IF(AND(s_Irr!K27=".",s_Irr!AI27=".",s_Irr!BG27&lt;&gt;"."),s_dir!AK27/((1/1000)*(s_Irr!BG27)),IF(AND(s_Irr!K27=".",s_Irr!AI27&lt;&gt;".",s_Irr!BG27="."),s_dir!AK27/((1/1000)*(s_Irr!AI27)),IF(AND(s_Irr!K27&lt;&gt;".",s_Irr!AI27=".",s_Irr!BG27="."),s_dir!AK27/((1/1000)*(s_Irr!K27)),IF(AND(s_Irr!K27=".",s_Irr!AI27=".",s_Irr!BG27="."),s_dir!AK27*1000)))))))),".")</f>
        <v>.</v>
      </c>
      <c r="BK27" s="76" t="str">
        <f>IFERROR(IF(AND(s_Irr!L27&lt;&gt;".",s_Irr!AJ27&lt;&gt;".",s_Irr!BH27&lt;&gt;"."),s_dir!AL27/((1/1000)*(s_Irr!L27+s_Irr!AJ27+s_Irr!BH27)),IF(AND(s_Irr!L27&lt;&gt;".",s_Irr!AJ27&lt;&gt;".",s_Irr!BH27="."),s_dir!AL27/((1/1000)*(s_Irr!L27+s_Irr!AJ27)),IF(AND(s_Irr!L27&lt;&gt;".",s_Irr!AJ27=".",s_Irr!BH27&lt;&gt;"."),s_dir!AL27/((1/1000)*(s_Irr!L27+s_Irr!BH27)),IF(AND(s_Irr!L27=".",s_Irr!AJ27&lt;&gt;".",s_Irr!BH27&lt;&gt;"."),s_dir!AL27/((1/1000)*(s_Irr!AJ27+s_Irr!BH27)),IF(AND(s_Irr!L27=".",s_Irr!AJ27=".",s_Irr!BH27&lt;&gt;"."),s_dir!AL27/((1/1000)*(s_Irr!BH27)),IF(AND(s_Irr!L27=".",s_Irr!AJ27&lt;&gt;".",s_Irr!BH27="."),s_dir!AL27/((1/1000)*(s_Irr!AJ27)),IF(AND(s_Irr!L27&lt;&gt;".",s_Irr!AJ27=".",s_Irr!BH27="."),s_dir!AL27/((1/1000)*(s_Irr!L27)),IF(AND(s_Irr!L27=".",s_Irr!AJ27=".",s_Irr!BH27="."),s_dir!AL27*1000)))))))),".")</f>
        <v>.</v>
      </c>
      <c r="BL27" s="76" t="str">
        <f>IFERROR(IF(AND(s_Irr!M27&lt;&gt;".",s_Irr!AK27&lt;&gt;".",s_Irr!BI27&lt;&gt;"."),s_dir!AM27/((1/1000)*(s_Irr!M27+s_Irr!AK27+s_Irr!BI27)),IF(AND(s_Irr!M27&lt;&gt;".",s_Irr!AK27&lt;&gt;".",s_Irr!BI27="."),s_dir!AM27/((1/1000)*(s_Irr!M27+s_Irr!AK27)),IF(AND(s_Irr!M27&lt;&gt;".",s_Irr!AK27=".",s_Irr!BI27&lt;&gt;"."),s_dir!AM27/((1/1000)*(s_Irr!M27+s_Irr!BI27)),IF(AND(s_Irr!M27=".",s_Irr!AK27&lt;&gt;".",s_Irr!BI27&lt;&gt;"."),s_dir!AM27/((1/1000)*(s_Irr!AK27+s_Irr!BI27)),IF(AND(s_Irr!M27=".",s_Irr!AK27=".",s_Irr!BI27&lt;&gt;"."),s_dir!AM27/((1/1000)*(s_Irr!BI27)),IF(AND(s_Irr!M27=".",s_Irr!AK27&lt;&gt;".",s_Irr!BI27="."),s_dir!AM27/((1/1000)*(s_Irr!AK27)),IF(AND(s_Irr!M27&lt;&gt;".",s_Irr!AK27=".",s_Irr!BI27="."),s_dir!AM27/((1/1000)*(s_Irr!M27)),IF(AND(s_Irr!M27=".",s_Irr!AK27=".",s_Irr!BI27="."),s_dir!AM27*1000)))))))),".")</f>
        <v>.</v>
      </c>
      <c r="BM27" s="76" t="str">
        <f>IFERROR(IF(AND(s_Irr!N27&lt;&gt;".",s_Irr!AL27&lt;&gt;".",s_Irr!BJ27&lt;&gt;"."),s_dir!AN27/((1/1000)*(s_Irr!N27+s_Irr!AL27+s_Irr!BJ27)),IF(AND(s_Irr!N27&lt;&gt;".",s_Irr!AL27&lt;&gt;".",s_Irr!BJ27="."),s_dir!AN27/((1/1000)*(s_Irr!N27+s_Irr!AL27)),IF(AND(s_Irr!N27&lt;&gt;".",s_Irr!AL27=".",s_Irr!BJ27&lt;&gt;"."),s_dir!AN27/((1/1000)*(s_Irr!N27+s_Irr!BJ27)),IF(AND(s_Irr!N27=".",s_Irr!AL27&lt;&gt;".",s_Irr!BJ27&lt;&gt;"."),s_dir!AN27/((1/1000)*(s_Irr!AL27+s_Irr!BJ27)),IF(AND(s_Irr!N27=".",s_Irr!AL27=".",s_Irr!BJ27&lt;&gt;"."),s_dir!AN27/((1/1000)*(s_Irr!BJ27)),IF(AND(s_Irr!N27=".",s_Irr!AL27&lt;&gt;".",s_Irr!BJ27="."),s_dir!AN27/((1/1000)*(s_Irr!AL27)),IF(AND(s_Irr!N27&lt;&gt;".",s_Irr!AL27=".",s_Irr!BJ27="."),s_dir!AN27/((1/1000)*(s_Irr!N27)),IF(AND(s_Irr!N27=".",s_Irr!AL27=".",s_Irr!BJ27="."),s_dir!AN27*1000)))))))),".")</f>
        <v>.</v>
      </c>
      <c r="BN27" s="76" t="str">
        <f>IFERROR(IF(AND(s_Irr!O27&lt;&gt;".",s_Irr!AM27&lt;&gt;".",s_Irr!BK27&lt;&gt;"."),s_dir!AO27/((1/1000)*(s_Irr!O27+s_Irr!AM27+s_Irr!BK27)),IF(AND(s_Irr!O27&lt;&gt;".",s_Irr!AM27&lt;&gt;".",s_Irr!BK27="."),s_dir!AO27/((1/1000)*(s_Irr!O27+s_Irr!AM27)),IF(AND(s_Irr!O27&lt;&gt;".",s_Irr!AM27=".",s_Irr!BK27&lt;&gt;"."),s_dir!AO27/((1/1000)*(s_Irr!O27+s_Irr!BK27)),IF(AND(s_Irr!O27=".",s_Irr!AM27&lt;&gt;".",s_Irr!BK27&lt;&gt;"."),s_dir!AO27/((1/1000)*(s_Irr!AM27+s_Irr!BK27)),IF(AND(s_Irr!O27=".",s_Irr!AM27=".",s_Irr!BK27&lt;&gt;"."),s_dir!AO27/((1/1000)*(s_Irr!BK27)),IF(AND(s_Irr!O27=".",s_Irr!AM27&lt;&gt;".",s_Irr!BK27="."),s_dir!AO27/((1/1000)*(s_Irr!AM27)),IF(AND(s_Irr!O27&lt;&gt;".",s_Irr!AM27=".",s_Irr!BK27="."),s_dir!AO27/((1/1000)*(s_Irr!O27)),IF(AND(s_Irr!O27=".",s_Irr!AM27=".",s_Irr!BK27="."),s_dir!AO27*1000)))))))),".")</f>
        <v>.</v>
      </c>
      <c r="BO27" s="76" t="str">
        <f>IFERROR(IF(AND(s_Irr!P27&lt;&gt;".",s_Irr!AN27&lt;&gt;".",s_Irr!BL27&lt;&gt;"."),s_dir!AP27/((1/1000)*(s_Irr!P27+s_Irr!AN27+s_Irr!BL27)),IF(AND(s_Irr!P27&lt;&gt;".",s_Irr!AN27&lt;&gt;".",s_Irr!BL27="."),s_dir!AP27/((1/1000)*(s_Irr!P27+s_Irr!AN27)),IF(AND(s_Irr!P27&lt;&gt;".",s_Irr!AN27=".",s_Irr!BL27&lt;&gt;"."),s_dir!AP27/((1/1000)*(s_Irr!P27+s_Irr!BL27)),IF(AND(s_Irr!P27=".",s_Irr!AN27&lt;&gt;".",s_Irr!BL27&lt;&gt;"."),s_dir!AP27/((1/1000)*(s_Irr!AN27+s_Irr!BL27)),IF(AND(s_Irr!P27=".",s_Irr!AN27=".",s_Irr!BL27&lt;&gt;"."),s_dir!AP27/((1/1000)*(s_Irr!BL27)),IF(AND(s_Irr!P27=".",s_Irr!AN27&lt;&gt;".",s_Irr!BL27="."),s_dir!AP27/((1/1000)*(s_Irr!AN27)),IF(AND(s_Irr!P27&lt;&gt;".",s_Irr!AN27=".",s_Irr!BL27="."),s_dir!AP27/((1/1000)*(s_Irr!P27)),IF(AND(s_Irr!P27=".",s_Irr!AN27=".",s_Irr!BL27="."),s_dir!AP27*1000)))))))),".")</f>
        <v>.</v>
      </c>
      <c r="BP27" s="76" t="str">
        <f>IFERROR(IF(AND(s_Irr!Q27&lt;&gt;".",s_Irr!AO27&lt;&gt;".",s_Irr!BM27&lt;&gt;"."),s_dir!AQ27/((1/1000)*(s_Irr!Q27+s_Irr!AO27+s_Irr!BM27)),IF(AND(s_Irr!Q27&lt;&gt;".",s_Irr!AO27&lt;&gt;".",s_Irr!BM27="."),s_dir!AQ27/((1/1000)*(s_Irr!Q27+s_Irr!AO27)),IF(AND(s_Irr!Q27&lt;&gt;".",s_Irr!AO27=".",s_Irr!BM27&lt;&gt;"."),s_dir!AQ27/((1/1000)*(s_Irr!Q27+s_Irr!BM27)),IF(AND(s_Irr!Q27=".",s_Irr!AO27&lt;&gt;".",s_Irr!BM27&lt;&gt;"."),s_dir!AQ27/((1/1000)*(s_Irr!AO27+s_Irr!BM27)),IF(AND(s_Irr!Q27=".",s_Irr!AO27=".",s_Irr!BM27&lt;&gt;"."),s_dir!AQ27/((1/1000)*(s_Irr!BM27)),IF(AND(s_Irr!Q27=".",s_Irr!AO27&lt;&gt;".",s_Irr!BM27="."),s_dir!AQ27/((1/1000)*(s_Irr!AO27)),IF(AND(s_Irr!Q27&lt;&gt;".",s_Irr!AO27=".",s_Irr!BM27="."),s_dir!AQ27/((1/1000)*(s_Irr!Q27)),IF(AND(s_Irr!Q27=".",s_Irr!AO27=".",s_Irr!BM27="."),s_dir!AQ27*1000)))))))),".")</f>
        <v>.</v>
      </c>
      <c r="BQ27" s="76" t="str">
        <f>IFERROR(IF(AND(s_Irr!R27&lt;&gt;".",s_Irr!AP27&lt;&gt;".",s_Irr!BN27&lt;&gt;"."),s_dir!AR27/((1/1000)*(s_Irr!R27+s_Irr!AP27+s_Irr!BN27)),IF(AND(s_Irr!R27&lt;&gt;".",s_Irr!AP27&lt;&gt;".",s_Irr!BN27="."),s_dir!AR27/((1/1000)*(s_Irr!R27+s_Irr!AP27)),IF(AND(s_Irr!R27&lt;&gt;".",s_Irr!AP27=".",s_Irr!BN27&lt;&gt;"."),s_dir!AR27/((1/1000)*(s_Irr!R27+s_Irr!BN27)),IF(AND(s_Irr!R27=".",s_Irr!AP27&lt;&gt;".",s_Irr!BN27&lt;&gt;"."),s_dir!AR27/((1/1000)*(s_Irr!AP27+s_Irr!BN27)),IF(AND(s_Irr!R27=".",s_Irr!AP27=".",s_Irr!BN27&lt;&gt;"."),s_dir!AR27/((1/1000)*(s_Irr!BN27)),IF(AND(s_Irr!R27=".",s_Irr!AP27&lt;&gt;".",s_Irr!BN27="."),s_dir!AR27/((1/1000)*(s_Irr!AP27)),IF(AND(s_Irr!R27&lt;&gt;".",s_Irr!AP27=".",s_Irr!BN27="."),s_dir!AR27/((1/1000)*(s_Irr!R27)),IF(AND(s_Irr!R27=".",s_Irr!AP27=".",s_Irr!BN27="."),s_dir!AR27*1000)))))))),".")</f>
        <v>.</v>
      </c>
      <c r="BR27" s="76" t="str">
        <f>IFERROR(IF(AND(s_Irr!S27&lt;&gt;".",s_Irr!AQ27&lt;&gt;".",s_Irr!BO27&lt;&gt;"."),s_dir!AS27/((1/1000)*(s_Irr!S27+s_Irr!AQ27+s_Irr!BO27)),IF(AND(s_Irr!S27&lt;&gt;".",s_Irr!AQ27&lt;&gt;".",s_Irr!BO27="."),s_dir!AS27/((1/1000)*(s_Irr!S27+s_Irr!AQ27)),IF(AND(s_Irr!S27&lt;&gt;".",s_Irr!AQ27=".",s_Irr!BO27&lt;&gt;"."),s_dir!AS27/((1/1000)*(s_Irr!S27+s_Irr!BO27)),IF(AND(s_Irr!S27=".",s_Irr!AQ27&lt;&gt;".",s_Irr!BO27&lt;&gt;"."),s_dir!AS27/((1/1000)*(s_Irr!AQ27+s_Irr!BO27)),IF(AND(s_Irr!S27=".",s_Irr!AQ27=".",s_Irr!BO27&lt;&gt;"."),s_dir!AS27/((1/1000)*(s_Irr!BO27)),IF(AND(s_Irr!S27=".",s_Irr!AQ27&lt;&gt;".",s_Irr!BO27="."),s_dir!AS27/((1/1000)*(s_Irr!AQ27)),IF(AND(s_Irr!S27&lt;&gt;".",s_Irr!AQ27=".",s_Irr!BO27="."),s_dir!AS27/((1/1000)*(s_Irr!S27)),IF(AND(s_Irr!S27=".",s_Irr!AQ27=".",s_Irr!BO27="."),s_dir!AS27*1000)))))))),".")</f>
        <v>.</v>
      </c>
      <c r="BS27" s="76" t="str">
        <f>IFERROR(IF(AND(s_Irr!T27&lt;&gt;".",s_Irr!AR27&lt;&gt;".",s_Irr!BP27&lt;&gt;"."),s_dir!AT27/((1/1000)*(s_Irr!T27+s_Irr!AR27+s_Irr!BP27)),IF(AND(s_Irr!T27&lt;&gt;".",s_Irr!AR27&lt;&gt;".",s_Irr!BP27="."),s_dir!AT27/((1/1000)*(s_Irr!T27+s_Irr!AR27)),IF(AND(s_Irr!T27&lt;&gt;".",s_Irr!AR27=".",s_Irr!BP27&lt;&gt;"."),s_dir!AT27/((1/1000)*(s_Irr!T27+s_Irr!BP27)),IF(AND(s_Irr!T27=".",s_Irr!AR27&lt;&gt;".",s_Irr!BP27&lt;&gt;"."),s_dir!AT27/((1/1000)*(s_Irr!AR27+s_Irr!BP27)),IF(AND(s_Irr!T27=".",s_Irr!AR27=".",s_Irr!BP27&lt;&gt;"."),s_dir!AT27/((1/1000)*(s_Irr!BP27)),IF(AND(s_Irr!T27=".",s_Irr!AR27&lt;&gt;".",s_Irr!BP27="."),s_dir!AT27/((1/1000)*(s_Irr!AR27)),IF(AND(s_Irr!T27&lt;&gt;".",s_Irr!AR27=".",s_Irr!BP27="."),s_dir!AT27/((1/1000)*(s_Irr!T27)),IF(AND(s_Irr!T27=".",s_Irr!AR27=".",s_Irr!BP27="."),s_dir!AT27*1000)))))))),".")</f>
        <v>.</v>
      </c>
      <c r="BT27" s="76" t="str">
        <f>IFERROR(IF(AND(s_Irr!U27&lt;&gt;".",s_Irr!AS27&lt;&gt;".",s_Irr!BQ27&lt;&gt;"."),s_dir!AU27/((1/1000)*(s_Irr!U27+s_Irr!AS27+s_Irr!BQ27)),IF(AND(s_Irr!U27&lt;&gt;".",s_Irr!AS27&lt;&gt;".",s_Irr!BQ27="."),s_dir!AU27/((1/1000)*(s_Irr!U27+s_Irr!AS27)),IF(AND(s_Irr!U27&lt;&gt;".",s_Irr!AS27=".",s_Irr!BQ27&lt;&gt;"."),s_dir!AU27/((1/1000)*(s_Irr!U27+s_Irr!BQ27)),IF(AND(s_Irr!U27=".",s_Irr!AS27&lt;&gt;".",s_Irr!BQ27&lt;&gt;"."),s_dir!AU27/((1/1000)*(s_Irr!AS27+s_Irr!BQ27)),IF(AND(s_Irr!U27=".",s_Irr!AS27=".",s_Irr!BQ27&lt;&gt;"."),s_dir!AU27/((1/1000)*(s_Irr!BQ27)),IF(AND(s_Irr!U27=".",s_Irr!AS27&lt;&gt;".",s_Irr!BQ27="."),s_dir!AU27/((1/1000)*(s_Irr!AS27)),IF(AND(s_Irr!U27&lt;&gt;".",s_Irr!AS27=".",s_Irr!BQ27="."),s_dir!AU27/((1/1000)*(s_Irr!U27)),IF(AND(s_Irr!U27=".",s_Irr!AS27=".",s_Irr!BQ27="."),s_dir!AU27*1000)))))))),".")</f>
        <v>.</v>
      </c>
      <c r="BU27" s="76" t="str">
        <f>IFERROR(IF(AND(s_Irr!V27&lt;&gt;".",s_Irr!AT27&lt;&gt;".",s_Irr!BR27&lt;&gt;"."),s_dir!AV27/((1/1000)*(s_Irr!V27+s_Irr!AT27+s_Irr!BR27)),IF(AND(s_Irr!V27&lt;&gt;".",s_Irr!AT27&lt;&gt;".",s_Irr!BR27="."),s_dir!AV27/((1/1000)*(s_Irr!V27+s_Irr!AT27)),IF(AND(s_Irr!V27&lt;&gt;".",s_Irr!AT27=".",s_Irr!BR27&lt;&gt;"."),s_dir!AV27/((1/1000)*(s_Irr!V27+s_Irr!BR27)),IF(AND(s_Irr!V27=".",s_Irr!AT27&lt;&gt;".",s_Irr!BR27&lt;&gt;"."),s_dir!AV27/((1/1000)*(s_Irr!AT27+s_Irr!BR27)),IF(AND(s_Irr!V27=".",s_Irr!AT27=".",s_Irr!BR27&lt;&gt;"."),s_dir!AV27/((1/1000)*(s_Irr!BR27)),IF(AND(s_Irr!V27=".",s_Irr!AT27&lt;&gt;".",s_Irr!BR27="."),s_dir!AV27/((1/1000)*(s_Irr!AT27)),IF(AND(s_Irr!V27&lt;&gt;".",s_Irr!AT27=".",s_Irr!BR27="."),s_dir!AV27/((1/1000)*(s_Irr!V27)),IF(AND(s_Irr!V27=".",s_Irr!AT27=".",s_Irr!BR27="."),s_dir!AV27*1000)))))))),".")</f>
        <v>.</v>
      </c>
      <c r="BV27" s="76" t="str">
        <f>IFERROR(IF(AND(s_Irr!W27&lt;&gt;".",s_Irr!AU27&lt;&gt;".",s_Irr!BS27&lt;&gt;"."),s_dir!AW27/((1/1000)*(s_Irr!W27+s_Irr!AU27+s_Irr!BS27)),IF(AND(s_Irr!W27&lt;&gt;".",s_Irr!AU27&lt;&gt;".",s_Irr!BS27="."),s_dir!AW27/((1/1000)*(s_Irr!W27+s_Irr!AU27)),IF(AND(s_Irr!W27&lt;&gt;".",s_Irr!AU27=".",s_Irr!BS27&lt;&gt;"."),s_dir!AW27/((1/1000)*(s_Irr!W27+s_Irr!BS27)),IF(AND(s_Irr!W27=".",s_Irr!AU27&lt;&gt;".",s_Irr!BS27&lt;&gt;"."),s_dir!AW27/((1/1000)*(s_Irr!AU27+s_Irr!BS27)),IF(AND(s_Irr!W27=".",s_Irr!AU27=".",s_Irr!BS27&lt;&gt;"."),s_dir!AW27/((1/1000)*(s_Irr!BS27)),IF(AND(s_Irr!W27=".",s_Irr!AU27&lt;&gt;".",s_Irr!BS27="."),s_dir!AW27/((1/1000)*(s_Irr!AU27)),IF(AND(s_Irr!W27&lt;&gt;".",s_Irr!AU27=".",s_Irr!BS27="."),s_dir!AW27/((1/1000)*(s_Irr!W27)),IF(AND(s_Irr!W27=".",s_Irr!AU27=".",s_Irr!BS27="."),s_dir!AW27*1000)))))))),".")</f>
        <v>.</v>
      </c>
      <c r="BW27" s="76" t="str">
        <f>IFERROR(IF(AND(s_Irr!X27&lt;&gt;".",s_Irr!AV27&lt;&gt;".",s_Irr!BT27&lt;&gt;"."),s_dir!AX27/((1/1000)*(s_Irr!X27+s_Irr!AV27+s_Irr!BT27)),IF(AND(s_Irr!X27&lt;&gt;".",s_Irr!AV27&lt;&gt;".",s_Irr!BT27="."),s_dir!AX27/((1/1000)*(s_Irr!X27+s_Irr!AV27)),IF(AND(s_Irr!X27&lt;&gt;".",s_Irr!AV27=".",s_Irr!BT27&lt;&gt;"."),s_dir!AX27/((1/1000)*(s_Irr!X27+s_Irr!BT27)),IF(AND(s_Irr!X27=".",s_Irr!AV27&lt;&gt;".",s_Irr!BT27&lt;&gt;"."),s_dir!AX27/((1/1000)*(s_Irr!AV27+s_Irr!BT27)),IF(AND(s_Irr!X27=".",s_Irr!AV27=".",s_Irr!BT27&lt;&gt;"."),s_dir!AX27/((1/1000)*(s_Irr!BT27)),IF(AND(s_Irr!X27=".",s_Irr!AV27&lt;&gt;".",s_Irr!BT27="."),s_dir!AX27/((1/1000)*(s_Irr!AV27)),IF(AND(s_Irr!X27&lt;&gt;".",s_Irr!AV27=".",s_Irr!BT27="."),s_dir!AX27/((1/1000)*(s_Irr!X27)),IF(AND(s_Irr!X27=".",s_Irr!AV27=".",s_Irr!BT27="."),s_dir!AX27*1000)))))))),".")</f>
        <v>.</v>
      </c>
      <c r="BX27" s="76" t="str">
        <f>IFERROR(IF(AND(s_Irr!Y27&lt;&gt;".",s_Irr!AW27&lt;&gt;".",s_Irr!BU27&lt;&gt;"."),s_dir!AY27/((1/1000)*(s_Irr!Y27+s_Irr!AW27+s_Irr!BU27)),IF(AND(s_Irr!Y27&lt;&gt;".",s_Irr!AW27&lt;&gt;".",s_Irr!BU27="."),s_dir!AY27/((1/1000)*(s_Irr!Y27+s_Irr!AW27)),IF(AND(s_Irr!Y27&lt;&gt;".",s_Irr!AW27=".",s_Irr!BU27&lt;&gt;"."),s_dir!AY27/((1/1000)*(s_Irr!Y27+s_Irr!BU27)),IF(AND(s_Irr!Y27=".",s_Irr!AW27&lt;&gt;".",s_Irr!BU27&lt;&gt;"."),s_dir!AY27/((1/1000)*(s_Irr!AW27+s_Irr!BU27)),IF(AND(s_Irr!Y27=".",s_Irr!AW27=".",s_Irr!BU27&lt;&gt;"."),s_dir!AY27/((1/1000)*(s_Irr!BU27)),IF(AND(s_Irr!Y27=".",s_Irr!AW27&lt;&gt;".",s_Irr!BU27="."),s_dir!AY27/((1/1000)*(s_Irr!AW27)),IF(AND(s_Irr!Y27&lt;&gt;".",s_Irr!AW27=".",s_Irr!BU27="."),s_dir!AY27/((1/1000)*(s_Irr!Y27)),IF(AND(s_Irr!Y27=".",s_Irr!AW27=".",s_Irr!BU27="."),s_dir!AY27*1000)))))))),".")</f>
        <v>.</v>
      </c>
      <c r="BY27" s="76" t="str">
        <f>IFERROR(IF(AND(s_Irr!Z27&lt;&gt;".",s_Irr!AX27&lt;&gt;".",s_Irr!BV27&lt;&gt;"."),s_dir!AZ27/((1/1000)*(s_Irr!Z27+s_Irr!AX27+s_Irr!BV27)),IF(AND(s_Irr!Z27&lt;&gt;".",s_Irr!AX27&lt;&gt;".",s_Irr!BV27="."),s_dir!AZ27/((1/1000)*(s_Irr!Z27+s_Irr!AX27)),IF(AND(s_Irr!Z27&lt;&gt;".",s_Irr!AX27=".",s_Irr!BV27&lt;&gt;"."),s_dir!AZ27/((1/1000)*(s_Irr!Z27+s_Irr!BV27)),IF(AND(s_Irr!Z27=".",s_Irr!AX27&lt;&gt;".",s_Irr!BV27&lt;&gt;"."),s_dir!AZ27/((1/1000)*(s_Irr!AX27+s_Irr!BV27)),IF(AND(s_Irr!Z27=".",s_Irr!AX27=".",s_Irr!BV27&lt;&gt;"."),s_dir!AZ27/((1/1000)*(s_Irr!BV27)),IF(AND(s_Irr!Z27=".",s_Irr!AX27&lt;&gt;".",s_Irr!BV27="."),s_dir!AZ27/((1/1000)*(s_Irr!AX27)),IF(AND(s_Irr!Z27&lt;&gt;".",s_Irr!AX27=".",s_Irr!BV27="."),s_dir!AZ27/((1/1000)*(s_Irr!Z27)),IF(AND(s_Irr!Z27=".",s_Irr!AX27=".",s_Irr!BV27="."),s_dir!AZ27*1000)))))))),".")</f>
        <v>.</v>
      </c>
      <c r="BZ27" s="93">
        <f>SUM(CA27:CB27,CW27:CX27)</f>
        <v>1738.5827027196997</v>
      </c>
      <c r="CA27" s="93">
        <f>IFERROR(s_C*s_IFAP_far_adj*s_CF_apple*(1/1000)*(s_Irr!C27+s_Irr!AA27+s_Irr!AY27),".")</f>
        <v>161.04968044979253</v>
      </c>
      <c r="CB27" s="93">
        <f>IFERROR(s_C*s_IFAS_far_adj*s_CF_asparagus*(1/1000)*(s_Irr!D27+s_Irr!AB27+s_Irr!AZ27),".")</f>
        <v>163.01681762340641</v>
      </c>
      <c r="CC27" s="93">
        <f>IFERROR(s_C*s_IFBT_far_adj*s_CF_beet*(1/1000)*(s_Irr!E27+s_Irr!AC27+s_Irr!BA27),".")</f>
        <v>161.04968044979253</v>
      </c>
      <c r="CD27" s="93">
        <f>IFERROR(s_C*s_IFBE_far_adj*s_CF_berries*(1/1000)*(s_Irr!F27+s_Irr!AD27+s_Irr!BB27),".")</f>
        <v>161.04968044979253</v>
      </c>
      <c r="CE27" s="93">
        <f>IFERROR(s_C*s_IFBR_far_adj*s_CF_broccoli*(1/1000)*(s_Irr!G27+s_Irr!AE27+s_Irr!BC27),".")</f>
        <v>161.04968044979253</v>
      </c>
      <c r="CF27" s="93">
        <f>IFERROR(s_C*s_IFCB_far_adj*s_CF_cabbage*(1/1000)*(s_Irr!H27+s_Irr!AF27+s_Irr!BD27),".")</f>
        <v>163.01681762340641</v>
      </c>
      <c r="CG27" s="93">
        <f>IFERROR(s_C*s_IFCR_far_adj*s_CF_carrot*(1/1000)*(s_Irr!I27+s_Irr!AG27+s_Irr!BE27),".")</f>
        <v>161.04968044979253</v>
      </c>
      <c r="CH27" s="93">
        <f>IFERROR(s_C*s_IFCI_far_adj*s_CF_citrus*(1/1000)*(s_Irr!J27+s_Irr!AH27+s_Irr!BF27),".")</f>
        <v>161.04968044979253</v>
      </c>
      <c r="CI27" s="93">
        <f>IFERROR(s_C*s_IFCO_far_adj*s_CF_corn*(1/1000)*(s_Irr!K27+s_Irr!AI27+s_Irr!BG27),".")</f>
        <v>161.04968044979253</v>
      </c>
      <c r="CJ27" s="93">
        <f>IFERROR(s_C*s_IFCU_far_adj*s_CF_cucumber*(1/1000)*(s_Irr!L27+s_Irr!AJ27+s_Irr!BH27),".")</f>
        <v>161.04968044979253</v>
      </c>
      <c r="CK27" s="93">
        <f>IFERROR(s_C*s_IFLE_far_adj*s_CF_lettuce*(1/1000)*(s_Irr!M27+s_Irr!AK27+s_Irr!BI27),".")</f>
        <v>163.01681762340641</v>
      </c>
      <c r="CL27" s="93">
        <f>IFERROR(s_C*s_IFLI_far_adj*s_CF_lima_bean*(1/1000)*(s_Irr!N27+s_Irr!AL27+s_Irr!BJ27),".")</f>
        <v>161.04968044979253</v>
      </c>
      <c r="CM27" s="93">
        <f>IFERROR(s_C*s_IFOK_far_adj*s_CF_okra*(1/1000)*(s_Irr!O27+s_Irr!AM27+s_Irr!BK27),".")</f>
        <v>161.04968044979253</v>
      </c>
      <c r="CN27" s="93">
        <f>IFERROR(s_C*s_IFON_far_adj*s_CF_onion*(1/1000)*(s_Irr!P27+s_Irr!AN27+s_Irr!BL27),".")</f>
        <v>161.04968044979253</v>
      </c>
      <c r="CO27" s="93">
        <f>IFERROR(s_C*s_IFPC_far_adj*s_CF_peach*(1/1000)*(s_Irr!Q27+s_Irr!AO27+s_Irr!BM27),".")</f>
        <v>161.04968044979253</v>
      </c>
      <c r="CP27" s="93">
        <f>IFERROR(s_C*s_IFPR_far_adj*s_CF_pear*(1/1000)*(s_Irr!R27+s_Irr!AP27+s_Irr!BN27),".")</f>
        <v>161.04968044979253</v>
      </c>
      <c r="CQ27" s="93">
        <f>IFERROR(s_C*s_IFPE_far_adj*s_CF_peas*(1/1000)*(s_Irr!S27+s_Irr!AQ27+s_Irr!BO27),".")</f>
        <v>161.04968044979253</v>
      </c>
      <c r="CR27" s="93">
        <f>IFERROR(s_C*s_IFPT_far_adj*s_CF_potato*(1/1000)*(s_Irr!T27+s_Irr!AR27+s_Irr!BP27),".")</f>
        <v>161.04968044979253</v>
      </c>
      <c r="CS27" s="93">
        <f>IFERROR(s_C*s_IFPU_far_adj*s_CF_pumpkin*(1/1000)*(s_Irr!U27+s_Irr!AS27+s_Irr!BQ27),".")</f>
        <v>161.04968044979253</v>
      </c>
      <c r="CT27" s="93">
        <f>IFERROR(s_C*s_IFSN_far_adj*s_CF_snap_bean*(1/1000)*(s_Irr!V27+s_Irr!AT27+s_Irr!BR27),".")</f>
        <v>161.04968044979253</v>
      </c>
      <c r="CU27" s="93">
        <f>IFERROR(s_C*s_IFST_far_adj*s_CF_strawberry*(1/1000)*(s_Irr!W27+s_Irr!AU27+s_Irr!BS27),".")</f>
        <v>161.04968044979253</v>
      </c>
      <c r="CV27" s="93">
        <f>IFERROR(s_C*s_IFTO_far_adj*s_CF_tomato*(1/1000)*(s_Irr!X27+s_Irr!AV27+s_Irr!BT27),".")</f>
        <v>161.04968044979253</v>
      </c>
      <c r="CW27" s="93">
        <f>IFERROR(s_C*s_IFRI_far_adj*s_CF_rice*(1/1000)*(s_Irr!Y27+s_Irr!AW27+s_Irr!BU27),".")</f>
        <v>707.25810232325045</v>
      </c>
      <c r="CX27" s="93">
        <f>IFERROR(s_C*s_IFCG_far_adj*s_CF_cereal*(1/1000)*(s_Irr!Z27+s_Irr!AX27+s_Irr!BV27),".")</f>
        <v>707.25810232325045</v>
      </c>
    </row>
    <row r="28" spans="1:102" ht="15" customHeight="1" x14ac:dyDescent="0.25">
      <c r="A28" s="92" t="s">
        <v>38</v>
      </c>
      <c r="B28" s="90" t="s">
        <v>1074</v>
      </c>
      <c r="C28" s="76" t="str">
        <f t="shared" si="30"/>
        <v>.</v>
      </c>
      <c r="D28" s="76" t="str">
        <f>IFERROR(IF(AND(s_Irr!C28&lt;&gt;".",s_Irr!AA28&lt;&gt;".",s_Irr!AY28&lt;&gt;"."),s_dir!D28/((1/1000)*(s_Irr!C28+s_Irr!AA28+s_Irr!AY28)),IF(AND(s_Irr!C28&lt;&gt;".",s_Irr!AA28&lt;&gt;".",s_Irr!AY28="."),s_dir!D28/((1/1000)*(s_Irr!C28+s_Irr!AA28)),IF(AND(s_Irr!C28&lt;&gt;".",s_Irr!AA28=".",s_Irr!AY28&lt;&gt;"."),s_dir!D28/((1/1000)*(s_Irr!C28+s_Irr!AY28)),IF(AND(s_Irr!C28=".",s_Irr!AA28&lt;&gt;".",s_Irr!AY28&lt;&gt;"."),s_dir!D28/((1/1000)*(s_Irr!AA28+s_Irr!AY28)),IF(AND(s_Irr!C28=".",s_Irr!AA28=".",s_Irr!AY28&lt;&gt;"."),s_dir!D28/((1/1000)*(s_Irr!AY28)),IF(AND(s_Irr!C28=".",s_Irr!AA28&lt;&gt;".",s_Irr!AY28="."),s_dir!D28/((1/1000)*(s_Irr!AA28)),IF(AND(s_Irr!C28&lt;&gt;".",s_Irr!AA28=".",s_Irr!AY28="."),s_dir!D28/((1/1000)*(s_Irr!C28)),IF(AND(s_Irr!C28=".",s_Irr!AA28=".",s_Irr!AY28="."),s_dir!D28*1000)))))))),".")</f>
        <v>.</v>
      </c>
      <c r="E28" s="76" t="str">
        <f>IFERROR(IF(AND(s_Irr!D28&lt;&gt;".",s_Irr!AB28&lt;&gt;".",s_Irr!AZ28&lt;&gt;"."),s_dir!E28/((1/1000)*(s_Irr!D28+s_Irr!AB28+s_Irr!AZ28)),IF(AND(s_Irr!D28&lt;&gt;".",s_Irr!AB28&lt;&gt;".",s_Irr!AZ28="."),s_dir!E28/((1/1000)*(s_Irr!D28+s_Irr!AB28)),IF(AND(s_Irr!D28&lt;&gt;".",s_Irr!AB28=".",s_Irr!AZ28&lt;&gt;"."),s_dir!E28/((1/1000)*(s_Irr!D28+s_Irr!AZ28)),IF(AND(s_Irr!D28=".",s_Irr!AB28&lt;&gt;".",s_Irr!AZ28&lt;&gt;"."),s_dir!E28/((1/1000)*(s_Irr!AB28+s_Irr!AZ28)),IF(AND(s_Irr!D28=".",s_Irr!AB28=".",s_Irr!AZ28&lt;&gt;"."),s_dir!E28/((1/1000)*(s_Irr!AZ28)),IF(AND(s_Irr!D28=".",s_Irr!AB28&lt;&gt;".",s_Irr!AZ28="."),s_dir!E28/((1/1000)*(s_Irr!AB28)),IF(AND(s_Irr!D28&lt;&gt;".",s_Irr!AB28=".",s_Irr!AZ28="."),s_dir!E28/((1/1000)*(s_Irr!D28)),IF(AND(s_Irr!D28=".",s_Irr!AB28=".",s_Irr!AZ28="."),s_dir!E28*1000)))))))),".")</f>
        <v>.</v>
      </c>
      <c r="F28" s="76" t="str">
        <f>IFERROR(IF(AND(s_Irr!E28&lt;&gt;".",s_Irr!AC28&lt;&gt;".",s_Irr!BA28&lt;&gt;"."),s_dir!F28/((1/1000)*(s_Irr!E28+s_Irr!AC28+s_Irr!BA28)),IF(AND(s_Irr!E28&lt;&gt;".",s_Irr!AC28&lt;&gt;".",s_Irr!BA28="."),s_dir!F28/((1/1000)*(s_Irr!E28+s_Irr!AC28)),IF(AND(s_Irr!E28&lt;&gt;".",s_Irr!AC28=".",s_Irr!BA28&lt;&gt;"."),s_dir!F28/((1/1000)*(s_Irr!E28+s_Irr!BA28)),IF(AND(s_Irr!E28=".",s_Irr!AC28&lt;&gt;".",s_Irr!BA28&lt;&gt;"."),s_dir!F28/((1/1000)*(s_Irr!AC28+s_Irr!BA28)),IF(AND(s_Irr!E28=".",s_Irr!AC28=".",s_Irr!BA28&lt;&gt;"."),s_dir!F28/((1/1000)*(s_Irr!BA28)),IF(AND(s_Irr!E28=".",s_Irr!AC28&lt;&gt;".",s_Irr!BA28="."),s_dir!F28/((1/1000)*(s_Irr!AC28)),IF(AND(s_Irr!E28&lt;&gt;".",s_Irr!AC28=".",s_Irr!BA28="."),s_dir!F28/((1/1000)*(s_Irr!E28)),IF(AND(s_Irr!E28=".",s_Irr!AC28=".",s_Irr!BA28="."),s_dir!F28*1000)))))))),".")</f>
        <v>.</v>
      </c>
      <c r="G28" s="76" t="str">
        <f>IFERROR(IF(AND(s_Irr!F28&lt;&gt;".",s_Irr!AD28&lt;&gt;".",s_Irr!BB28&lt;&gt;"."),s_dir!G28/((1/1000)*(s_Irr!F28+s_Irr!AD28+s_Irr!BB28)),IF(AND(s_Irr!F28&lt;&gt;".",s_Irr!AD28&lt;&gt;".",s_Irr!BB28="."),s_dir!G28/((1/1000)*(s_Irr!F28+s_Irr!AD28)),IF(AND(s_Irr!F28&lt;&gt;".",s_Irr!AD28=".",s_Irr!BB28&lt;&gt;"."),s_dir!G28/((1/1000)*(s_Irr!F28+s_Irr!BB28)),IF(AND(s_Irr!F28=".",s_Irr!AD28&lt;&gt;".",s_Irr!BB28&lt;&gt;"."),s_dir!G28/((1/1000)*(s_Irr!AD28+s_Irr!BB28)),IF(AND(s_Irr!F28=".",s_Irr!AD28=".",s_Irr!BB28&lt;&gt;"."),s_dir!G28/((1/1000)*(s_Irr!BB28)),IF(AND(s_Irr!F28=".",s_Irr!AD28&lt;&gt;".",s_Irr!BB28="."),s_dir!G28/((1/1000)*(s_Irr!AD28)),IF(AND(s_Irr!F28&lt;&gt;".",s_Irr!AD28=".",s_Irr!BB28="."),s_dir!G28/((1/1000)*(s_Irr!F28)),IF(AND(s_Irr!F28=".",s_Irr!AD28=".",s_Irr!BB28="."),s_dir!G28*1000)))))))),".")</f>
        <v>.</v>
      </c>
      <c r="H28" s="76" t="str">
        <f>IFERROR(IF(AND(s_Irr!G28&lt;&gt;".",s_Irr!AE28&lt;&gt;".",s_Irr!BC28&lt;&gt;"."),s_dir!H28/((1/1000)*(s_Irr!G28+s_Irr!AE28+s_Irr!BC28)),IF(AND(s_Irr!G28&lt;&gt;".",s_Irr!AE28&lt;&gt;".",s_Irr!BC28="."),s_dir!H28/((1/1000)*(s_Irr!G28+s_Irr!AE28)),IF(AND(s_Irr!G28&lt;&gt;".",s_Irr!AE28=".",s_Irr!BC28&lt;&gt;"."),s_dir!H28/((1/1000)*(s_Irr!G28+s_Irr!BC28)),IF(AND(s_Irr!G28=".",s_Irr!AE28&lt;&gt;".",s_Irr!BC28&lt;&gt;"."),s_dir!H28/((1/1000)*(s_Irr!AE28+s_Irr!BC28)),IF(AND(s_Irr!G28=".",s_Irr!AE28=".",s_Irr!BC28&lt;&gt;"."),s_dir!H28/((1/1000)*(s_Irr!BC28)),IF(AND(s_Irr!G28=".",s_Irr!AE28&lt;&gt;".",s_Irr!BC28="."),s_dir!H28/((1/1000)*(s_Irr!AE28)),IF(AND(s_Irr!G28&lt;&gt;".",s_Irr!AE28=".",s_Irr!BC28="."),s_dir!H28/((1/1000)*(s_Irr!G28)),IF(AND(s_Irr!G28=".",s_Irr!AE28=".",s_Irr!BC28="."),s_dir!H28*1000)))))))),".")</f>
        <v>.</v>
      </c>
      <c r="I28" s="76" t="str">
        <f>IFERROR(IF(AND(s_Irr!H28&lt;&gt;".",s_Irr!AF28&lt;&gt;".",s_Irr!BD28&lt;&gt;"."),s_dir!I28/((1/1000)*(s_Irr!H28+s_Irr!AF28+s_Irr!BD28)),IF(AND(s_Irr!H28&lt;&gt;".",s_Irr!AF28&lt;&gt;".",s_Irr!BD28="."),s_dir!I28/((1/1000)*(s_Irr!H28+s_Irr!AF28)),IF(AND(s_Irr!H28&lt;&gt;".",s_Irr!AF28=".",s_Irr!BD28&lt;&gt;"."),s_dir!I28/((1/1000)*(s_Irr!H28+s_Irr!BD28)),IF(AND(s_Irr!H28=".",s_Irr!AF28&lt;&gt;".",s_Irr!BD28&lt;&gt;"."),s_dir!I28/((1/1000)*(s_Irr!AF28+s_Irr!BD28)),IF(AND(s_Irr!H28=".",s_Irr!AF28=".",s_Irr!BD28&lt;&gt;"."),s_dir!I28/((1/1000)*(s_Irr!BD28)),IF(AND(s_Irr!H28=".",s_Irr!AF28&lt;&gt;".",s_Irr!BD28="."),s_dir!I28/((1/1000)*(s_Irr!AF28)),IF(AND(s_Irr!H28&lt;&gt;".",s_Irr!AF28=".",s_Irr!BD28="."),s_dir!I28/((1/1000)*(s_Irr!H28)),IF(AND(s_Irr!H28=".",s_Irr!AF28=".",s_Irr!BD28="."),s_dir!I28*1000)))))))),".")</f>
        <v>.</v>
      </c>
      <c r="J28" s="76" t="str">
        <f>IFERROR(IF(AND(s_Irr!I28&lt;&gt;".",s_Irr!AG28&lt;&gt;".",s_Irr!BE28&lt;&gt;"."),s_dir!J28/((1/1000)*(s_Irr!I28+s_Irr!AG28+s_Irr!BE28)),IF(AND(s_Irr!I28&lt;&gt;".",s_Irr!AG28&lt;&gt;".",s_Irr!BE28="."),s_dir!J28/((1/1000)*(s_Irr!I28+s_Irr!AG28)),IF(AND(s_Irr!I28&lt;&gt;".",s_Irr!AG28=".",s_Irr!BE28&lt;&gt;"."),s_dir!J28/((1/1000)*(s_Irr!I28+s_Irr!BE28)),IF(AND(s_Irr!I28=".",s_Irr!AG28&lt;&gt;".",s_Irr!BE28&lt;&gt;"."),s_dir!J28/((1/1000)*(s_Irr!AG28+s_Irr!BE28)),IF(AND(s_Irr!I28=".",s_Irr!AG28=".",s_Irr!BE28&lt;&gt;"."),s_dir!J28/((1/1000)*(s_Irr!BE28)),IF(AND(s_Irr!I28=".",s_Irr!AG28&lt;&gt;".",s_Irr!BE28="."),s_dir!J28/((1/1000)*(s_Irr!AG28)),IF(AND(s_Irr!I28&lt;&gt;".",s_Irr!AG28=".",s_Irr!BE28="."),s_dir!J28/((1/1000)*(s_Irr!I28)),IF(AND(s_Irr!I28=".",s_Irr!AG28=".",s_Irr!BE28="."),s_dir!J28*1000)))))))),".")</f>
        <v>.</v>
      </c>
      <c r="K28" s="76" t="str">
        <f>IFERROR(IF(AND(s_Irr!J28&lt;&gt;".",s_Irr!AH28&lt;&gt;".",s_Irr!BF28&lt;&gt;"."),s_dir!K28/((1/1000)*(s_Irr!J28+s_Irr!AH28+s_Irr!BF28)),IF(AND(s_Irr!J28&lt;&gt;".",s_Irr!AH28&lt;&gt;".",s_Irr!BF28="."),s_dir!K28/((1/1000)*(s_Irr!J28+s_Irr!AH28)),IF(AND(s_Irr!J28&lt;&gt;".",s_Irr!AH28=".",s_Irr!BF28&lt;&gt;"."),s_dir!K28/((1/1000)*(s_Irr!J28+s_Irr!BF28)),IF(AND(s_Irr!J28=".",s_Irr!AH28&lt;&gt;".",s_Irr!BF28&lt;&gt;"."),s_dir!K28/((1/1000)*(s_Irr!AH28+s_Irr!BF28)),IF(AND(s_Irr!J28=".",s_Irr!AH28=".",s_Irr!BF28&lt;&gt;"."),s_dir!K28/((1/1000)*(s_Irr!BF28)),IF(AND(s_Irr!J28=".",s_Irr!AH28&lt;&gt;".",s_Irr!BF28="."),s_dir!K28/((1/1000)*(s_Irr!AH28)),IF(AND(s_Irr!J28&lt;&gt;".",s_Irr!AH28=".",s_Irr!BF28="."),s_dir!K28/((1/1000)*(s_Irr!J28)),IF(AND(s_Irr!J28=".",s_Irr!AH28=".",s_Irr!BF28="."),s_dir!K28*1000)))))))),".")</f>
        <v>.</v>
      </c>
      <c r="L28" s="76" t="str">
        <f>IFERROR(IF(AND(s_Irr!K28&lt;&gt;".",s_Irr!AI28&lt;&gt;".",s_Irr!BG28&lt;&gt;"."),s_dir!L28/((1/1000)*(s_Irr!K28+s_Irr!AI28+s_Irr!BG28)),IF(AND(s_Irr!K28&lt;&gt;".",s_Irr!AI28&lt;&gt;".",s_Irr!BG28="."),s_dir!L28/((1/1000)*(s_Irr!K28+s_Irr!AI28)),IF(AND(s_Irr!K28&lt;&gt;".",s_Irr!AI28=".",s_Irr!BG28&lt;&gt;"."),s_dir!L28/((1/1000)*(s_Irr!K28+s_Irr!BG28)),IF(AND(s_Irr!K28=".",s_Irr!AI28&lt;&gt;".",s_Irr!BG28&lt;&gt;"."),s_dir!L28/((1/1000)*(s_Irr!AI28+s_Irr!BG28)),IF(AND(s_Irr!K28=".",s_Irr!AI28=".",s_Irr!BG28&lt;&gt;"."),s_dir!L28/((1/1000)*(s_Irr!BG28)),IF(AND(s_Irr!K28=".",s_Irr!AI28&lt;&gt;".",s_Irr!BG28="."),s_dir!L28/((1/1000)*(s_Irr!AI28)),IF(AND(s_Irr!K28&lt;&gt;".",s_Irr!AI28=".",s_Irr!BG28="."),s_dir!L28/((1/1000)*(s_Irr!K28)),IF(AND(s_Irr!K28=".",s_Irr!AI28=".",s_Irr!BG28="."),s_dir!L28*1000)))))))),".")</f>
        <v>.</v>
      </c>
      <c r="M28" s="76" t="str">
        <f>IFERROR(IF(AND(s_Irr!L28&lt;&gt;".",s_Irr!AJ28&lt;&gt;".",s_Irr!BH28&lt;&gt;"."),s_dir!M28/((1/1000)*(s_Irr!L28+s_Irr!AJ28+s_Irr!BH28)),IF(AND(s_Irr!L28&lt;&gt;".",s_Irr!AJ28&lt;&gt;".",s_Irr!BH28="."),s_dir!M28/((1/1000)*(s_Irr!L28+s_Irr!AJ28)),IF(AND(s_Irr!L28&lt;&gt;".",s_Irr!AJ28=".",s_Irr!BH28&lt;&gt;"."),s_dir!M28/((1/1000)*(s_Irr!L28+s_Irr!BH28)),IF(AND(s_Irr!L28=".",s_Irr!AJ28&lt;&gt;".",s_Irr!BH28&lt;&gt;"."),s_dir!M28/((1/1000)*(s_Irr!AJ28+s_Irr!BH28)),IF(AND(s_Irr!L28=".",s_Irr!AJ28=".",s_Irr!BH28&lt;&gt;"."),s_dir!M28/((1/1000)*(s_Irr!BH28)),IF(AND(s_Irr!L28=".",s_Irr!AJ28&lt;&gt;".",s_Irr!BH28="."),s_dir!M28/((1/1000)*(s_Irr!AJ28)),IF(AND(s_Irr!L28&lt;&gt;".",s_Irr!AJ28=".",s_Irr!BH28="."),s_dir!M28/((1/1000)*(s_Irr!L28)),IF(AND(s_Irr!L28=".",s_Irr!AJ28=".",s_Irr!BH28="."),s_dir!M28*1000)))))))),".")</f>
        <v>.</v>
      </c>
      <c r="N28" s="76" t="str">
        <f>IFERROR(IF(AND(s_Irr!M28&lt;&gt;".",s_Irr!AK28&lt;&gt;".",s_Irr!BI28&lt;&gt;"."),s_dir!N28/((1/1000)*(s_Irr!M28+s_Irr!AK28+s_Irr!BI28)),IF(AND(s_Irr!M28&lt;&gt;".",s_Irr!AK28&lt;&gt;".",s_Irr!BI28="."),s_dir!N28/((1/1000)*(s_Irr!M28+s_Irr!AK28)),IF(AND(s_Irr!M28&lt;&gt;".",s_Irr!AK28=".",s_Irr!BI28&lt;&gt;"."),s_dir!N28/((1/1000)*(s_Irr!M28+s_Irr!BI28)),IF(AND(s_Irr!M28=".",s_Irr!AK28&lt;&gt;".",s_Irr!BI28&lt;&gt;"."),s_dir!N28/((1/1000)*(s_Irr!AK28+s_Irr!BI28)),IF(AND(s_Irr!M28=".",s_Irr!AK28=".",s_Irr!BI28&lt;&gt;"."),s_dir!N28/((1/1000)*(s_Irr!BI28)),IF(AND(s_Irr!M28=".",s_Irr!AK28&lt;&gt;".",s_Irr!BI28="."),s_dir!N28/((1/1000)*(s_Irr!AK28)),IF(AND(s_Irr!M28&lt;&gt;".",s_Irr!AK28=".",s_Irr!BI28="."),s_dir!N28/((1/1000)*(s_Irr!M28)),IF(AND(s_Irr!M28=".",s_Irr!AK28=".",s_Irr!BI28="."),s_dir!N28*1000)))))))),".")</f>
        <v>.</v>
      </c>
      <c r="O28" s="76" t="str">
        <f>IFERROR(IF(AND(s_Irr!N28&lt;&gt;".",s_Irr!AL28&lt;&gt;".",s_Irr!BJ28&lt;&gt;"."),s_dir!O28/((1/1000)*(s_Irr!N28+s_Irr!AL28+s_Irr!BJ28)),IF(AND(s_Irr!N28&lt;&gt;".",s_Irr!AL28&lt;&gt;".",s_Irr!BJ28="."),s_dir!O28/((1/1000)*(s_Irr!N28+s_Irr!AL28)),IF(AND(s_Irr!N28&lt;&gt;".",s_Irr!AL28=".",s_Irr!BJ28&lt;&gt;"."),s_dir!O28/((1/1000)*(s_Irr!N28+s_Irr!BJ28)),IF(AND(s_Irr!N28=".",s_Irr!AL28&lt;&gt;".",s_Irr!BJ28&lt;&gt;"."),s_dir!O28/((1/1000)*(s_Irr!AL28+s_Irr!BJ28)),IF(AND(s_Irr!N28=".",s_Irr!AL28=".",s_Irr!BJ28&lt;&gt;"."),s_dir!O28/((1/1000)*(s_Irr!BJ28)),IF(AND(s_Irr!N28=".",s_Irr!AL28&lt;&gt;".",s_Irr!BJ28="."),s_dir!O28/((1/1000)*(s_Irr!AL28)),IF(AND(s_Irr!N28&lt;&gt;".",s_Irr!AL28=".",s_Irr!BJ28="."),s_dir!O28/((1/1000)*(s_Irr!N28)),IF(AND(s_Irr!N28=".",s_Irr!AL28=".",s_Irr!BJ28="."),s_dir!O28*1000)))))))),".")</f>
        <v>.</v>
      </c>
      <c r="P28" s="76" t="str">
        <f>IFERROR(IF(AND(s_Irr!O28&lt;&gt;".",s_Irr!AM28&lt;&gt;".",s_Irr!BK28&lt;&gt;"."),s_dir!P28/((1/1000)*(s_Irr!O28+s_Irr!AM28+s_Irr!BK28)),IF(AND(s_Irr!O28&lt;&gt;".",s_Irr!AM28&lt;&gt;".",s_Irr!BK28="."),s_dir!P28/((1/1000)*(s_Irr!O28+s_Irr!AM28)),IF(AND(s_Irr!O28&lt;&gt;".",s_Irr!AM28=".",s_Irr!BK28&lt;&gt;"."),s_dir!P28/((1/1000)*(s_Irr!O28+s_Irr!BK28)),IF(AND(s_Irr!O28=".",s_Irr!AM28&lt;&gt;".",s_Irr!BK28&lt;&gt;"."),s_dir!P28/((1/1000)*(s_Irr!AM28+s_Irr!BK28)),IF(AND(s_Irr!O28=".",s_Irr!AM28=".",s_Irr!BK28&lt;&gt;"."),s_dir!P28/((1/1000)*(s_Irr!BK28)),IF(AND(s_Irr!O28=".",s_Irr!AM28&lt;&gt;".",s_Irr!BK28="."),s_dir!P28/((1/1000)*(s_Irr!AM28)),IF(AND(s_Irr!O28&lt;&gt;".",s_Irr!AM28=".",s_Irr!BK28="."),s_dir!P28/((1/1000)*(s_Irr!O28)),IF(AND(s_Irr!O28=".",s_Irr!AM28=".",s_Irr!BK28="."),s_dir!P28*1000)))))))),".")</f>
        <v>.</v>
      </c>
      <c r="Q28" s="76" t="str">
        <f>IFERROR(IF(AND(s_Irr!P28&lt;&gt;".",s_Irr!AN28&lt;&gt;".",s_Irr!BL28&lt;&gt;"."),s_dir!Q28/((1/1000)*(s_Irr!P28+s_Irr!AN28+s_Irr!BL28)),IF(AND(s_Irr!P28&lt;&gt;".",s_Irr!AN28&lt;&gt;".",s_Irr!BL28="."),s_dir!Q28/((1/1000)*(s_Irr!P28+s_Irr!AN28)),IF(AND(s_Irr!P28&lt;&gt;".",s_Irr!AN28=".",s_Irr!BL28&lt;&gt;"."),s_dir!Q28/((1/1000)*(s_Irr!P28+s_Irr!BL28)),IF(AND(s_Irr!P28=".",s_Irr!AN28&lt;&gt;".",s_Irr!BL28&lt;&gt;"."),s_dir!Q28/((1/1000)*(s_Irr!AN28+s_Irr!BL28)),IF(AND(s_Irr!P28=".",s_Irr!AN28=".",s_Irr!BL28&lt;&gt;"."),s_dir!Q28/((1/1000)*(s_Irr!BL28)),IF(AND(s_Irr!P28=".",s_Irr!AN28&lt;&gt;".",s_Irr!BL28="."),s_dir!Q28/((1/1000)*(s_Irr!AN28)),IF(AND(s_Irr!P28&lt;&gt;".",s_Irr!AN28=".",s_Irr!BL28="."),s_dir!Q28/((1/1000)*(s_Irr!P28)),IF(AND(s_Irr!P28=".",s_Irr!AN28=".",s_Irr!BL28="."),s_dir!Q28*1000)))))))),".")</f>
        <v>.</v>
      </c>
      <c r="R28" s="76" t="str">
        <f>IFERROR(IF(AND(s_Irr!Q28&lt;&gt;".",s_Irr!AO28&lt;&gt;".",s_Irr!BM28&lt;&gt;"."),s_dir!R28/((1/1000)*(s_Irr!Q28+s_Irr!AO28+s_Irr!BM28)),IF(AND(s_Irr!Q28&lt;&gt;".",s_Irr!AO28&lt;&gt;".",s_Irr!BM28="."),s_dir!R28/((1/1000)*(s_Irr!Q28+s_Irr!AO28)),IF(AND(s_Irr!Q28&lt;&gt;".",s_Irr!AO28=".",s_Irr!BM28&lt;&gt;"."),s_dir!R28/((1/1000)*(s_Irr!Q28+s_Irr!BM28)),IF(AND(s_Irr!Q28=".",s_Irr!AO28&lt;&gt;".",s_Irr!BM28&lt;&gt;"."),s_dir!R28/((1/1000)*(s_Irr!AO28+s_Irr!BM28)),IF(AND(s_Irr!Q28=".",s_Irr!AO28=".",s_Irr!BM28&lt;&gt;"."),s_dir!R28/((1/1000)*(s_Irr!BM28)),IF(AND(s_Irr!Q28=".",s_Irr!AO28&lt;&gt;".",s_Irr!BM28="."),s_dir!R28/((1/1000)*(s_Irr!AO28)),IF(AND(s_Irr!Q28&lt;&gt;".",s_Irr!AO28=".",s_Irr!BM28="."),s_dir!R28/((1/1000)*(s_Irr!Q28)),IF(AND(s_Irr!Q28=".",s_Irr!AO28=".",s_Irr!BM28="."),s_dir!R28*1000)))))))),".")</f>
        <v>.</v>
      </c>
      <c r="S28" s="76" t="str">
        <f>IFERROR(IF(AND(s_Irr!R28&lt;&gt;".",s_Irr!AP28&lt;&gt;".",s_Irr!BN28&lt;&gt;"."),s_dir!S28/((1/1000)*(s_Irr!R28+s_Irr!AP28+s_Irr!BN28)),IF(AND(s_Irr!R28&lt;&gt;".",s_Irr!AP28&lt;&gt;".",s_Irr!BN28="."),s_dir!S28/((1/1000)*(s_Irr!R28+s_Irr!AP28)),IF(AND(s_Irr!R28&lt;&gt;".",s_Irr!AP28=".",s_Irr!BN28&lt;&gt;"."),s_dir!S28/((1/1000)*(s_Irr!R28+s_Irr!BN28)),IF(AND(s_Irr!R28=".",s_Irr!AP28&lt;&gt;".",s_Irr!BN28&lt;&gt;"."),s_dir!S28/((1/1000)*(s_Irr!AP28+s_Irr!BN28)),IF(AND(s_Irr!R28=".",s_Irr!AP28=".",s_Irr!BN28&lt;&gt;"."),s_dir!S28/((1/1000)*(s_Irr!BN28)),IF(AND(s_Irr!R28=".",s_Irr!AP28&lt;&gt;".",s_Irr!BN28="."),s_dir!S28/((1/1000)*(s_Irr!AP28)),IF(AND(s_Irr!R28&lt;&gt;".",s_Irr!AP28=".",s_Irr!BN28="."),s_dir!S28/((1/1000)*(s_Irr!R28)),IF(AND(s_Irr!R28=".",s_Irr!AP28=".",s_Irr!BN28="."),s_dir!S28*1000)))))))),".")</f>
        <v>.</v>
      </c>
      <c r="T28" s="76" t="str">
        <f>IFERROR(IF(AND(s_Irr!S28&lt;&gt;".",s_Irr!AQ28&lt;&gt;".",s_Irr!BO28&lt;&gt;"."),s_dir!T28/((1/1000)*(s_Irr!S28+s_Irr!AQ28+s_Irr!BO28)),IF(AND(s_Irr!S28&lt;&gt;".",s_Irr!AQ28&lt;&gt;".",s_Irr!BO28="."),s_dir!T28/((1/1000)*(s_Irr!S28+s_Irr!AQ28)),IF(AND(s_Irr!S28&lt;&gt;".",s_Irr!AQ28=".",s_Irr!BO28&lt;&gt;"."),s_dir!T28/((1/1000)*(s_Irr!S28+s_Irr!BO28)),IF(AND(s_Irr!S28=".",s_Irr!AQ28&lt;&gt;".",s_Irr!BO28&lt;&gt;"."),s_dir!T28/((1/1000)*(s_Irr!AQ28+s_Irr!BO28)),IF(AND(s_Irr!S28=".",s_Irr!AQ28=".",s_Irr!BO28&lt;&gt;"."),s_dir!T28/((1/1000)*(s_Irr!BO28)),IF(AND(s_Irr!S28=".",s_Irr!AQ28&lt;&gt;".",s_Irr!BO28="."),s_dir!T28/((1/1000)*(s_Irr!AQ28)),IF(AND(s_Irr!S28&lt;&gt;".",s_Irr!AQ28=".",s_Irr!BO28="."),s_dir!T28/((1/1000)*(s_Irr!S28)),IF(AND(s_Irr!S28=".",s_Irr!AQ28=".",s_Irr!BO28="."),s_dir!T28*1000)))))))),".")</f>
        <v>.</v>
      </c>
      <c r="U28" s="76" t="str">
        <f>IFERROR(IF(AND(s_Irr!T28&lt;&gt;".",s_Irr!AR28&lt;&gt;".",s_Irr!BP28&lt;&gt;"."),s_dir!U28/((1/1000)*(s_Irr!T28+s_Irr!AR28+s_Irr!BP28)),IF(AND(s_Irr!T28&lt;&gt;".",s_Irr!AR28&lt;&gt;".",s_Irr!BP28="."),s_dir!U28/((1/1000)*(s_Irr!T28+s_Irr!AR28)),IF(AND(s_Irr!T28&lt;&gt;".",s_Irr!AR28=".",s_Irr!BP28&lt;&gt;"."),s_dir!U28/((1/1000)*(s_Irr!T28+s_Irr!BP28)),IF(AND(s_Irr!T28=".",s_Irr!AR28&lt;&gt;".",s_Irr!BP28&lt;&gt;"."),s_dir!U28/((1/1000)*(s_Irr!AR28+s_Irr!BP28)),IF(AND(s_Irr!T28=".",s_Irr!AR28=".",s_Irr!BP28&lt;&gt;"."),s_dir!U28/((1/1000)*(s_Irr!BP28)),IF(AND(s_Irr!T28=".",s_Irr!AR28&lt;&gt;".",s_Irr!BP28="."),s_dir!U28/((1/1000)*(s_Irr!AR28)),IF(AND(s_Irr!T28&lt;&gt;".",s_Irr!AR28=".",s_Irr!BP28="."),s_dir!U28/((1/1000)*(s_Irr!T28)),IF(AND(s_Irr!T28=".",s_Irr!AR28=".",s_Irr!BP28="."),s_dir!U28*1000)))))))),".")</f>
        <v>.</v>
      </c>
      <c r="V28" s="76" t="str">
        <f>IFERROR(IF(AND(s_Irr!U28&lt;&gt;".",s_Irr!AS28&lt;&gt;".",s_Irr!BQ28&lt;&gt;"."),s_dir!V28/((1/1000)*(s_Irr!U28+s_Irr!AS28+s_Irr!BQ28)),IF(AND(s_Irr!U28&lt;&gt;".",s_Irr!AS28&lt;&gt;".",s_Irr!BQ28="."),s_dir!V28/((1/1000)*(s_Irr!U28+s_Irr!AS28)),IF(AND(s_Irr!U28&lt;&gt;".",s_Irr!AS28=".",s_Irr!BQ28&lt;&gt;"."),s_dir!V28/((1/1000)*(s_Irr!U28+s_Irr!BQ28)),IF(AND(s_Irr!U28=".",s_Irr!AS28&lt;&gt;".",s_Irr!BQ28&lt;&gt;"."),s_dir!V28/((1/1000)*(s_Irr!AS28+s_Irr!BQ28)),IF(AND(s_Irr!U28=".",s_Irr!AS28=".",s_Irr!BQ28&lt;&gt;"."),s_dir!V28/((1/1000)*(s_Irr!BQ28)),IF(AND(s_Irr!U28=".",s_Irr!AS28&lt;&gt;".",s_Irr!BQ28="."),s_dir!V28/((1/1000)*(s_Irr!AS28)),IF(AND(s_Irr!U28&lt;&gt;".",s_Irr!AS28=".",s_Irr!BQ28="."),s_dir!V28/((1/1000)*(s_Irr!U28)),IF(AND(s_Irr!U28=".",s_Irr!AS28=".",s_Irr!BQ28="."),s_dir!V28*1000)))))))),".")</f>
        <v>.</v>
      </c>
      <c r="W28" s="76" t="str">
        <f>IFERROR(IF(AND(s_Irr!V28&lt;&gt;".",s_Irr!AT28&lt;&gt;".",s_Irr!BR28&lt;&gt;"."),s_dir!W28/((1/1000)*(s_Irr!V28+s_Irr!AT28+s_Irr!BR28)),IF(AND(s_Irr!V28&lt;&gt;".",s_Irr!AT28&lt;&gt;".",s_Irr!BR28="."),s_dir!W28/((1/1000)*(s_Irr!V28+s_Irr!AT28)),IF(AND(s_Irr!V28&lt;&gt;".",s_Irr!AT28=".",s_Irr!BR28&lt;&gt;"."),s_dir!W28/((1/1000)*(s_Irr!V28+s_Irr!BR28)),IF(AND(s_Irr!V28=".",s_Irr!AT28&lt;&gt;".",s_Irr!BR28&lt;&gt;"."),s_dir!W28/((1/1000)*(s_Irr!AT28+s_Irr!BR28)),IF(AND(s_Irr!V28=".",s_Irr!AT28=".",s_Irr!BR28&lt;&gt;"."),s_dir!W28/((1/1000)*(s_Irr!BR28)),IF(AND(s_Irr!V28=".",s_Irr!AT28&lt;&gt;".",s_Irr!BR28="."),s_dir!W28/((1/1000)*(s_Irr!AT28)),IF(AND(s_Irr!V28&lt;&gt;".",s_Irr!AT28=".",s_Irr!BR28="."),s_dir!W28/((1/1000)*(s_Irr!V28)),IF(AND(s_Irr!V28=".",s_Irr!AT28=".",s_Irr!BR28="."),s_dir!W28*1000)))))))),".")</f>
        <v>.</v>
      </c>
      <c r="X28" s="76" t="str">
        <f>IFERROR(IF(AND(s_Irr!W28&lt;&gt;".",s_Irr!AU28&lt;&gt;".",s_Irr!BS28&lt;&gt;"."),s_dir!X28/((1/1000)*(s_Irr!W28+s_Irr!AU28+s_Irr!BS28)),IF(AND(s_Irr!W28&lt;&gt;".",s_Irr!AU28&lt;&gt;".",s_Irr!BS28="."),s_dir!X28/((1/1000)*(s_Irr!W28+s_Irr!AU28)),IF(AND(s_Irr!W28&lt;&gt;".",s_Irr!AU28=".",s_Irr!BS28&lt;&gt;"."),s_dir!X28/((1/1000)*(s_Irr!W28+s_Irr!BS28)),IF(AND(s_Irr!W28=".",s_Irr!AU28&lt;&gt;".",s_Irr!BS28&lt;&gt;"."),s_dir!X28/((1/1000)*(s_Irr!AU28+s_Irr!BS28)),IF(AND(s_Irr!W28=".",s_Irr!AU28=".",s_Irr!BS28&lt;&gt;"."),s_dir!X28/((1/1000)*(s_Irr!BS28)),IF(AND(s_Irr!W28=".",s_Irr!AU28&lt;&gt;".",s_Irr!BS28="."),s_dir!X28/((1/1000)*(s_Irr!AU28)),IF(AND(s_Irr!W28&lt;&gt;".",s_Irr!AU28=".",s_Irr!BS28="."),s_dir!X28/((1/1000)*(s_Irr!W28)),IF(AND(s_Irr!W28=".",s_Irr!AU28=".",s_Irr!BS28="."),s_dir!X28*1000)))))))),".")</f>
        <v>.</v>
      </c>
      <c r="Y28" s="76" t="str">
        <f>IFERROR(IF(AND(s_Irr!X28&lt;&gt;".",s_Irr!AV28&lt;&gt;".",s_Irr!BT28&lt;&gt;"."),s_dir!Y28/((1/1000)*(s_Irr!X28+s_Irr!AV28+s_Irr!BT28)),IF(AND(s_Irr!X28&lt;&gt;".",s_Irr!AV28&lt;&gt;".",s_Irr!BT28="."),s_dir!Y28/((1/1000)*(s_Irr!X28+s_Irr!AV28)),IF(AND(s_Irr!X28&lt;&gt;".",s_Irr!AV28=".",s_Irr!BT28&lt;&gt;"."),s_dir!Y28/((1/1000)*(s_Irr!X28+s_Irr!BT28)),IF(AND(s_Irr!X28=".",s_Irr!AV28&lt;&gt;".",s_Irr!BT28&lt;&gt;"."),s_dir!Y28/((1/1000)*(s_Irr!AV28+s_Irr!BT28)),IF(AND(s_Irr!X28=".",s_Irr!AV28=".",s_Irr!BT28&lt;&gt;"."),s_dir!Y28/((1/1000)*(s_Irr!BT28)),IF(AND(s_Irr!X28=".",s_Irr!AV28&lt;&gt;".",s_Irr!BT28="."),s_dir!Y28/((1/1000)*(s_Irr!AV28)),IF(AND(s_Irr!X28&lt;&gt;".",s_Irr!AV28=".",s_Irr!BT28="."),s_dir!Y28/((1/1000)*(s_Irr!X28)),IF(AND(s_Irr!X28=".",s_Irr!AV28=".",s_Irr!BT28="."),s_dir!Y28*1000)))))))),".")</f>
        <v>.</v>
      </c>
      <c r="Z28" s="76" t="str">
        <f>IFERROR(IF(AND(s_Irr!Y28&lt;&gt;".",s_Irr!AW28&lt;&gt;".",s_Irr!BU28&lt;&gt;"."),s_dir!Z28/((1/1000)*(s_Irr!Y28+s_Irr!AW28+s_Irr!BU28)),IF(AND(s_Irr!Y28&lt;&gt;".",s_Irr!AW28&lt;&gt;".",s_Irr!BU28="."),s_dir!Z28/((1/1000)*(s_Irr!Y28+s_Irr!AW28)),IF(AND(s_Irr!Y28&lt;&gt;".",s_Irr!AW28=".",s_Irr!BU28&lt;&gt;"."),s_dir!Z28/((1/1000)*(s_Irr!Y28+s_Irr!BU28)),IF(AND(s_Irr!Y28=".",s_Irr!AW28&lt;&gt;".",s_Irr!BU28&lt;&gt;"."),s_dir!Z28/((1/1000)*(s_Irr!AW28+s_Irr!BU28)),IF(AND(s_Irr!Y28=".",s_Irr!AW28=".",s_Irr!BU28&lt;&gt;"."),s_dir!Z28/((1/1000)*(s_Irr!BU28)),IF(AND(s_Irr!Y28=".",s_Irr!AW28&lt;&gt;".",s_Irr!BU28="."),s_dir!Z28/((1/1000)*(s_Irr!AW28)),IF(AND(s_Irr!Y28&lt;&gt;".",s_Irr!AW28=".",s_Irr!BU28="."),s_dir!Z28/((1/1000)*(s_Irr!Y28)),IF(AND(s_Irr!Y28=".",s_Irr!AW28=".",s_Irr!BU28="."),s_dir!Z28*1000)))))))),".")</f>
        <v>.</v>
      </c>
      <c r="AA28" s="76" t="str">
        <f>IFERROR(IF(AND(s_Irr!Z28&lt;&gt;".",s_Irr!AX28&lt;&gt;".",s_Irr!BV28&lt;&gt;"."),s_dir!AA28/((1/1000)*(s_Irr!Z28+s_Irr!AX28+s_Irr!BV28)),IF(AND(s_Irr!Z28&lt;&gt;".",s_Irr!AX28&lt;&gt;".",s_Irr!BV28="."),s_dir!AA28/((1/1000)*(s_Irr!Z28+s_Irr!AX28)),IF(AND(s_Irr!Z28&lt;&gt;".",s_Irr!AX28=".",s_Irr!BV28&lt;&gt;"."),s_dir!AA28/((1/1000)*(s_Irr!Z28+s_Irr!BV28)),IF(AND(s_Irr!Z28=".",s_Irr!AX28&lt;&gt;".",s_Irr!BV28&lt;&gt;"."),s_dir!AA28/((1/1000)*(s_Irr!AX28+s_Irr!BV28)),IF(AND(s_Irr!Z28=".",s_Irr!AX28=".",s_Irr!BV28&lt;&gt;"."),s_dir!AA28/((1/1000)*(s_Irr!BV28)),IF(AND(s_Irr!Z28=".",s_Irr!AX28&lt;&gt;".",s_Irr!BV28="."),s_dir!AA28/((1/1000)*(s_Irr!AX28)),IF(AND(s_Irr!Z28&lt;&gt;".",s_Irr!AX28=".",s_Irr!BV28="."),s_dir!AA28/((1/1000)*(s_Irr!Z28)),IF(AND(s_Irr!Z28=".",s_Irr!AX28=".",s_Irr!BV28="."),s_dir!AA28*1000)))))))),".")</f>
        <v>.</v>
      </c>
      <c r="AB28" s="93">
        <f t="shared" ref="AB28:AB29" si="32">SUM(AC28:AD28,AY28:AZ28)</f>
        <v>1738.5827027196997</v>
      </c>
      <c r="AC28" s="93">
        <f>IFERROR(s_C*s_IFAP_res_adj*s_CF_apple*0.001*(s_Irr!C28+s_Irr!AA28+s_Irr!AY28),".")</f>
        <v>161.04968044979253</v>
      </c>
      <c r="AD28" s="93">
        <f>IFERROR(s_C*s_IFAS_res_adj*s_CF_asparagus*0.001*(s_Irr!D28+s_Irr!AB28+s_Irr!AZ28),".")</f>
        <v>163.01681762340641</v>
      </c>
      <c r="AE28" s="93">
        <f>IFERROR(s_C*s_IFBT_res_adj*s_CF_beet*0.001*(s_Irr!E28+s_Irr!AC28+s_Irr!BA28),".")</f>
        <v>161.04968044979253</v>
      </c>
      <c r="AF28" s="93">
        <f>IFERROR(s_C*s_IFBE_res_adj*s_CF_berries*0.001*(s_Irr!F28+s_Irr!AD28+s_Irr!BB28),".")</f>
        <v>161.04968044979253</v>
      </c>
      <c r="AG28" s="93">
        <f>IFERROR(s_C*s_IFBR_res_adj*s_CF_broccoli*0.001*(s_Irr!G28+s_Irr!AE28+s_Irr!BC28),".")</f>
        <v>161.04968044979253</v>
      </c>
      <c r="AH28" s="93">
        <f>IFERROR(s_C*s_IFCB_res_adj*s_CF_cabbage*0.001*(s_Irr!H28+s_Irr!AF28+s_Irr!BD28),".")</f>
        <v>163.01681762340641</v>
      </c>
      <c r="AI28" s="93">
        <f>IFERROR(s_C*s_IFCR_res_adj*s_CF_carrot*0.001*(s_Irr!I28+s_Irr!AG28+s_Irr!BE28),".")</f>
        <v>161.04968044979253</v>
      </c>
      <c r="AJ28" s="93">
        <f>IFERROR(s_C*s_IFCI_res_adj*s_CF_citrus*0.001*(s_Irr!J28+s_Irr!AH28+s_Irr!BF28),".")</f>
        <v>161.04968044979253</v>
      </c>
      <c r="AK28" s="93">
        <f>IFERROR(s_C*s_IFCO_res_adj*s_CF_corn*0.001*(s_Irr!K28+s_Irr!AI28+s_Irr!BG28),".")</f>
        <v>161.04968044979253</v>
      </c>
      <c r="AL28" s="93">
        <f>IFERROR(s_C*s_IFCU_res_adj*s_CF_cucumber*0.001*(s_Irr!L28+s_Irr!AJ28+s_Irr!BH28),".")</f>
        <v>161.04968044979253</v>
      </c>
      <c r="AM28" s="93">
        <f>IFERROR(s_C*s_IFLE_res_adj*s_CF_lettuce*0.001*(s_Irr!M28+s_Irr!AK28+s_Irr!BI28),".")</f>
        <v>163.01681762340641</v>
      </c>
      <c r="AN28" s="93">
        <f>IFERROR(s_C*s_IFLI_res_adj*s_CF_lima_bean*0.001*(s_Irr!N28+s_Irr!AL28+s_Irr!BJ28),".")</f>
        <v>161.04968044979253</v>
      </c>
      <c r="AO28" s="93">
        <f>IFERROR(s_C*s_IFOK_res_adj*s_CF_okra*0.001*(s_Irr!O28+s_Irr!AM28+s_Irr!BK28),".")</f>
        <v>161.04968044979253</v>
      </c>
      <c r="AP28" s="93">
        <f>IFERROR(s_C*s_IFON_res_adj*s_CF_onion*0.001*(s_Irr!P28+s_Irr!AN28+s_Irr!BL28),".")</f>
        <v>161.04968044979253</v>
      </c>
      <c r="AQ28" s="93">
        <f>IFERROR(s_C*s_IFPC_res_adj*s_CF_peach*0.001*(s_Irr!Q28+s_Irr!AO28+s_Irr!BM28),".")</f>
        <v>161.04968044979253</v>
      </c>
      <c r="AR28" s="93">
        <f>IFERROR(s_C*s_IFPR_res_adj*s_CF_pear*0.001*(s_Irr!R28+s_Irr!AP28+s_Irr!BN28),".")</f>
        <v>161.04968044979253</v>
      </c>
      <c r="AS28" s="93">
        <f>IFERROR(s_C*s_IFPE_res_adj*s_CF_peas*0.001*(s_Irr!S28+s_Irr!AQ28+s_Irr!BO28),".")</f>
        <v>161.04968044979253</v>
      </c>
      <c r="AT28" s="93">
        <f>IFERROR(s_C*s_IFPT_res_adj*s_CF_potato*0.001*(s_Irr!T28+s_Irr!AR28+s_Irr!BP28),".")</f>
        <v>161.04968044979253</v>
      </c>
      <c r="AU28" s="93">
        <f>IFERROR(s_C*s_IFPU_res_adj*s_CF_pumpkin*0.001*(s_Irr!U28+s_Irr!AS28+s_Irr!BQ28),".")</f>
        <v>161.04968044979253</v>
      </c>
      <c r="AV28" s="93">
        <f>IFERROR(s_C*s_IFSN_res_adj*s_CF_snap_bean*0.001*(s_Irr!V28+s_Irr!AT28+s_Irr!BR28),".")</f>
        <v>161.04968044979253</v>
      </c>
      <c r="AW28" s="93">
        <f>IFERROR(s_C*s_IFST_res_adj*s_CF_strawberry*0.001*(s_Irr!W28+s_Irr!AU28+s_Irr!BS28),".")</f>
        <v>161.04968044979253</v>
      </c>
      <c r="AX28" s="93">
        <f>IFERROR(s_C*s_IFTO_res_adj*s_CF_tomato*0.001*(s_Irr!X28+s_Irr!AV28+s_Irr!BT28),".")</f>
        <v>161.04968044979253</v>
      </c>
      <c r="AY28" s="93">
        <f>IFERROR(s_C*s_IFRI_res_adj*s_CF_rice*0.001*(s_Irr!Y28+s_Irr!AW28+s_Irr!BU28),".")</f>
        <v>707.25810232325045</v>
      </c>
      <c r="AZ28" s="93">
        <f>IFERROR(s_C*s_IFCG_res_adj*s_CF_cereal*0.001*(s_Irr!Z28+s_Irr!AX28+s_Irr!BV28),".")</f>
        <v>707.25810232325045</v>
      </c>
      <c r="BA28" s="76" t="str">
        <f t="shared" si="31"/>
        <v>.</v>
      </c>
      <c r="BB28" s="76" t="str">
        <f>IFERROR(IF(AND(s_Irr!C28&lt;&gt;".",s_Irr!AA28&lt;&gt;".",s_Irr!AY28&lt;&gt;"."),s_dir!AC28/((1/1000)*(s_Irr!C28+s_Irr!AA28+s_Irr!AY28)),IF(AND(s_Irr!C28&lt;&gt;".",s_Irr!AA28&lt;&gt;".",s_Irr!AY28="."),s_dir!AC28/((1/1000)*(s_Irr!C28+s_Irr!AA28)),IF(AND(s_Irr!C28&lt;&gt;".",s_Irr!AA28=".",s_Irr!AY28&lt;&gt;"."),s_dir!AC28/((1/1000)*(s_Irr!C28+s_Irr!AY28)),IF(AND(s_Irr!C28=".",s_Irr!AA28&lt;&gt;".",s_Irr!AY28&lt;&gt;"."),s_dir!AC28/((1/1000)*(s_Irr!AA28+s_Irr!AY28)),IF(AND(s_Irr!C28=".",s_Irr!AA28=".",s_Irr!AY28&lt;&gt;"."),s_dir!AC28/((1/1000)*(s_Irr!AY28)),IF(AND(s_Irr!C28=".",s_Irr!AA28&lt;&gt;".",s_Irr!AY28="."),s_dir!AC28/((1/1000)*(s_Irr!AA28)),IF(AND(s_Irr!C28&lt;&gt;".",s_Irr!AA28=".",s_Irr!AY28="."),s_dir!AC28/((1/1000)*(s_Irr!C28)),IF(AND(s_Irr!C28=".",s_Irr!AA28=".",s_Irr!AY28="."),s_dir!AC28*1000)))))))),".")</f>
        <v>.</v>
      </c>
      <c r="BC28" s="76" t="str">
        <f>IFERROR(IF(AND(s_Irr!D28&lt;&gt;".",s_Irr!AB28&lt;&gt;".",s_Irr!AZ28&lt;&gt;"."),s_dir!AD28/((1/1000)*(s_Irr!D28+s_Irr!AB28+s_Irr!AZ28)),IF(AND(s_Irr!D28&lt;&gt;".",s_Irr!AB28&lt;&gt;".",s_Irr!AZ28="."),s_dir!AD28/((1/1000)*(s_Irr!D28+s_Irr!AB28)),IF(AND(s_Irr!D28&lt;&gt;".",s_Irr!AB28=".",s_Irr!AZ28&lt;&gt;"."),s_dir!AD28/((1/1000)*(s_Irr!D28+s_Irr!AZ28)),IF(AND(s_Irr!D28=".",s_Irr!AB28&lt;&gt;".",s_Irr!AZ28&lt;&gt;"."),s_dir!AD28/((1/1000)*(s_Irr!AB28+s_Irr!AZ28)),IF(AND(s_Irr!D28=".",s_Irr!AB28=".",s_Irr!AZ28&lt;&gt;"."),s_dir!AD28/((1/1000)*(s_Irr!AZ28)),IF(AND(s_Irr!D28=".",s_Irr!AB28&lt;&gt;".",s_Irr!AZ28="."),s_dir!AD28/((1/1000)*(s_Irr!AB28)),IF(AND(s_Irr!D28&lt;&gt;".",s_Irr!AB28=".",s_Irr!AZ28="."),s_dir!AD28/((1/1000)*(s_Irr!D28)),IF(AND(s_Irr!D28=".",s_Irr!AB28=".",s_Irr!AZ28="."),s_dir!AD28*1000)))))))),".")</f>
        <v>.</v>
      </c>
      <c r="BD28" s="76" t="str">
        <f>IFERROR(IF(AND(s_Irr!E28&lt;&gt;".",s_Irr!AC28&lt;&gt;".",s_Irr!BA28&lt;&gt;"."),s_dir!AE28/((1/1000)*(s_Irr!E28+s_Irr!AC28+s_Irr!BA28)),IF(AND(s_Irr!E28&lt;&gt;".",s_Irr!AC28&lt;&gt;".",s_Irr!BA28="."),s_dir!AE28/((1/1000)*(s_Irr!E28+s_Irr!AC28)),IF(AND(s_Irr!E28&lt;&gt;".",s_Irr!AC28=".",s_Irr!BA28&lt;&gt;"."),s_dir!AE28/((1/1000)*(s_Irr!E28+s_Irr!BA28)),IF(AND(s_Irr!E28=".",s_Irr!AC28&lt;&gt;".",s_Irr!BA28&lt;&gt;"."),s_dir!AE28/((1/1000)*(s_Irr!AC28+s_Irr!BA28)),IF(AND(s_Irr!E28=".",s_Irr!AC28=".",s_Irr!BA28&lt;&gt;"."),s_dir!AE28/((1/1000)*(s_Irr!BA28)),IF(AND(s_Irr!E28=".",s_Irr!AC28&lt;&gt;".",s_Irr!BA28="."),s_dir!AE28/((1/1000)*(s_Irr!AC28)),IF(AND(s_Irr!E28&lt;&gt;".",s_Irr!AC28=".",s_Irr!BA28="."),s_dir!AE28/((1/1000)*(s_Irr!E28)),IF(AND(s_Irr!E28=".",s_Irr!AC28=".",s_Irr!BA28="."),s_dir!AE28*1000)))))))),".")</f>
        <v>.</v>
      </c>
      <c r="BE28" s="76" t="str">
        <f>IFERROR(IF(AND(s_Irr!F28&lt;&gt;".",s_Irr!AD28&lt;&gt;".",s_Irr!BB28&lt;&gt;"."),s_dir!AF28/((1/1000)*(s_Irr!F28+s_Irr!AD28+s_Irr!BB28)),IF(AND(s_Irr!F28&lt;&gt;".",s_Irr!AD28&lt;&gt;".",s_Irr!BB28="."),s_dir!AF28/((1/1000)*(s_Irr!F28+s_Irr!AD28)),IF(AND(s_Irr!F28&lt;&gt;".",s_Irr!AD28=".",s_Irr!BB28&lt;&gt;"."),s_dir!AF28/((1/1000)*(s_Irr!F28+s_Irr!BB28)),IF(AND(s_Irr!F28=".",s_Irr!AD28&lt;&gt;".",s_Irr!BB28&lt;&gt;"."),s_dir!AF28/((1/1000)*(s_Irr!AD28+s_Irr!BB28)),IF(AND(s_Irr!F28=".",s_Irr!AD28=".",s_Irr!BB28&lt;&gt;"."),s_dir!AF28/((1/1000)*(s_Irr!BB28)),IF(AND(s_Irr!F28=".",s_Irr!AD28&lt;&gt;".",s_Irr!BB28="."),s_dir!AF28/((1/1000)*(s_Irr!AD28)),IF(AND(s_Irr!F28&lt;&gt;".",s_Irr!AD28=".",s_Irr!BB28="."),s_dir!AF28/((1/1000)*(s_Irr!F28)),IF(AND(s_Irr!F28=".",s_Irr!AD28=".",s_Irr!BB28="."),s_dir!AF28*1000)))))))),".")</f>
        <v>.</v>
      </c>
      <c r="BF28" s="76" t="str">
        <f>IFERROR(IF(AND(s_Irr!G28&lt;&gt;".",s_Irr!AE28&lt;&gt;".",s_Irr!BC28&lt;&gt;"."),s_dir!AG28/((1/1000)*(s_Irr!G28+s_Irr!AE28+s_Irr!BC28)),IF(AND(s_Irr!G28&lt;&gt;".",s_Irr!AE28&lt;&gt;".",s_Irr!BC28="."),s_dir!AG28/((1/1000)*(s_Irr!G28+s_Irr!AE28)),IF(AND(s_Irr!G28&lt;&gt;".",s_Irr!AE28=".",s_Irr!BC28&lt;&gt;"."),s_dir!AG28/((1/1000)*(s_Irr!G28+s_Irr!BC28)),IF(AND(s_Irr!G28=".",s_Irr!AE28&lt;&gt;".",s_Irr!BC28&lt;&gt;"."),s_dir!AG28/((1/1000)*(s_Irr!AE28+s_Irr!BC28)),IF(AND(s_Irr!G28=".",s_Irr!AE28=".",s_Irr!BC28&lt;&gt;"."),s_dir!AG28/((1/1000)*(s_Irr!BC28)),IF(AND(s_Irr!G28=".",s_Irr!AE28&lt;&gt;".",s_Irr!BC28="."),s_dir!AG28/((1/1000)*(s_Irr!AE28)),IF(AND(s_Irr!G28&lt;&gt;".",s_Irr!AE28=".",s_Irr!BC28="."),s_dir!AG28/((1/1000)*(s_Irr!G28)),IF(AND(s_Irr!G28=".",s_Irr!AE28=".",s_Irr!BC28="."),s_dir!AG28*1000)))))))),".")</f>
        <v>.</v>
      </c>
      <c r="BG28" s="76" t="str">
        <f>IFERROR(IF(AND(s_Irr!H28&lt;&gt;".",s_Irr!AF28&lt;&gt;".",s_Irr!BD28&lt;&gt;"."),s_dir!AH28/((1/1000)*(s_Irr!H28+s_Irr!AF28+s_Irr!BD28)),IF(AND(s_Irr!H28&lt;&gt;".",s_Irr!AF28&lt;&gt;".",s_Irr!BD28="."),s_dir!AH28/((1/1000)*(s_Irr!H28+s_Irr!AF28)),IF(AND(s_Irr!H28&lt;&gt;".",s_Irr!AF28=".",s_Irr!BD28&lt;&gt;"."),s_dir!AH28/((1/1000)*(s_Irr!H28+s_Irr!BD28)),IF(AND(s_Irr!H28=".",s_Irr!AF28&lt;&gt;".",s_Irr!BD28&lt;&gt;"."),s_dir!AH28/((1/1000)*(s_Irr!AF28+s_Irr!BD28)),IF(AND(s_Irr!H28=".",s_Irr!AF28=".",s_Irr!BD28&lt;&gt;"."),s_dir!AH28/((1/1000)*(s_Irr!BD28)),IF(AND(s_Irr!H28=".",s_Irr!AF28&lt;&gt;".",s_Irr!BD28="."),s_dir!AH28/((1/1000)*(s_Irr!AF28)),IF(AND(s_Irr!H28&lt;&gt;".",s_Irr!AF28=".",s_Irr!BD28="."),s_dir!AH28/((1/1000)*(s_Irr!H28)),IF(AND(s_Irr!H28=".",s_Irr!AF28=".",s_Irr!BD28="."),s_dir!AH28*1000)))))))),".")</f>
        <v>.</v>
      </c>
      <c r="BH28" s="76" t="str">
        <f>IFERROR(IF(AND(s_Irr!I28&lt;&gt;".",s_Irr!AG28&lt;&gt;".",s_Irr!BE28&lt;&gt;"."),s_dir!AI28/((1/1000)*(s_Irr!I28+s_Irr!AG28+s_Irr!BE28)),IF(AND(s_Irr!I28&lt;&gt;".",s_Irr!AG28&lt;&gt;".",s_Irr!BE28="."),s_dir!AI28/((1/1000)*(s_Irr!I28+s_Irr!AG28)),IF(AND(s_Irr!I28&lt;&gt;".",s_Irr!AG28=".",s_Irr!BE28&lt;&gt;"."),s_dir!AI28/((1/1000)*(s_Irr!I28+s_Irr!BE28)),IF(AND(s_Irr!I28=".",s_Irr!AG28&lt;&gt;".",s_Irr!BE28&lt;&gt;"."),s_dir!AI28/((1/1000)*(s_Irr!AG28+s_Irr!BE28)),IF(AND(s_Irr!I28=".",s_Irr!AG28=".",s_Irr!BE28&lt;&gt;"."),s_dir!AI28/((1/1000)*(s_Irr!BE28)),IF(AND(s_Irr!I28=".",s_Irr!AG28&lt;&gt;".",s_Irr!BE28="."),s_dir!AI28/((1/1000)*(s_Irr!AG28)),IF(AND(s_Irr!I28&lt;&gt;".",s_Irr!AG28=".",s_Irr!BE28="."),s_dir!AI28/((1/1000)*(s_Irr!I28)),IF(AND(s_Irr!I28=".",s_Irr!AG28=".",s_Irr!BE28="."),s_dir!AI28*1000)))))))),".")</f>
        <v>.</v>
      </c>
      <c r="BI28" s="76" t="str">
        <f>IFERROR(IF(AND(s_Irr!J28&lt;&gt;".",s_Irr!AH28&lt;&gt;".",s_Irr!BF28&lt;&gt;"."),s_dir!AJ28/((1/1000)*(s_Irr!J28+s_Irr!AH28+s_Irr!BF28)),IF(AND(s_Irr!J28&lt;&gt;".",s_Irr!AH28&lt;&gt;".",s_Irr!BF28="."),s_dir!AJ28/((1/1000)*(s_Irr!J28+s_Irr!AH28)),IF(AND(s_Irr!J28&lt;&gt;".",s_Irr!AH28=".",s_Irr!BF28&lt;&gt;"."),s_dir!AJ28/((1/1000)*(s_Irr!J28+s_Irr!BF28)),IF(AND(s_Irr!J28=".",s_Irr!AH28&lt;&gt;".",s_Irr!BF28&lt;&gt;"."),s_dir!AJ28/((1/1000)*(s_Irr!AH28+s_Irr!BF28)),IF(AND(s_Irr!J28=".",s_Irr!AH28=".",s_Irr!BF28&lt;&gt;"."),s_dir!AJ28/((1/1000)*(s_Irr!BF28)),IF(AND(s_Irr!J28=".",s_Irr!AH28&lt;&gt;".",s_Irr!BF28="."),s_dir!AJ28/((1/1000)*(s_Irr!AH28)),IF(AND(s_Irr!J28&lt;&gt;".",s_Irr!AH28=".",s_Irr!BF28="."),s_dir!AJ28/((1/1000)*(s_Irr!J28)),IF(AND(s_Irr!J28=".",s_Irr!AH28=".",s_Irr!BF28="."),s_dir!AJ28*1000)))))))),".")</f>
        <v>.</v>
      </c>
      <c r="BJ28" s="76" t="str">
        <f>IFERROR(IF(AND(s_Irr!K28&lt;&gt;".",s_Irr!AI28&lt;&gt;".",s_Irr!BG28&lt;&gt;"."),s_dir!AK28/((1/1000)*(s_Irr!K28+s_Irr!AI28+s_Irr!BG28)),IF(AND(s_Irr!K28&lt;&gt;".",s_Irr!AI28&lt;&gt;".",s_Irr!BG28="."),s_dir!AK28/((1/1000)*(s_Irr!K28+s_Irr!AI28)),IF(AND(s_Irr!K28&lt;&gt;".",s_Irr!AI28=".",s_Irr!BG28&lt;&gt;"."),s_dir!AK28/((1/1000)*(s_Irr!K28+s_Irr!BG28)),IF(AND(s_Irr!K28=".",s_Irr!AI28&lt;&gt;".",s_Irr!BG28&lt;&gt;"."),s_dir!AK28/((1/1000)*(s_Irr!AI28+s_Irr!BG28)),IF(AND(s_Irr!K28=".",s_Irr!AI28=".",s_Irr!BG28&lt;&gt;"."),s_dir!AK28/((1/1000)*(s_Irr!BG28)),IF(AND(s_Irr!K28=".",s_Irr!AI28&lt;&gt;".",s_Irr!BG28="."),s_dir!AK28/((1/1000)*(s_Irr!AI28)),IF(AND(s_Irr!K28&lt;&gt;".",s_Irr!AI28=".",s_Irr!BG28="."),s_dir!AK28/((1/1000)*(s_Irr!K28)),IF(AND(s_Irr!K28=".",s_Irr!AI28=".",s_Irr!BG28="."),s_dir!AK28*1000)))))))),".")</f>
        <v>.</v>
      </c>
      <c r="BK28" s="76" t="str">
        <f>IFERROR(IF(AND(s_Irr!L28&lt;&gt;".",s_Irr!AJ28&lt;&gt;".",s_Irr!BH28&lt;&gt;"."),s_dir!AL28/((1/1000)*(s_Irr!L28+s_Irr!AJ28+s_Irr!BH28)),IF(AND(s_Irr!L28&lt;&gt;".",s_Irr!AJ28&lt;&gt;".",s_Irr!BH28="."),s_dir!AL28/((1/1000)*(s_Irr!L28+s_Irr!AJ28)),IF(AND(s_Irr!L28&lt;&gt;".",s_Irr!AJ28=".",s_Irr!BH28&lt;&gt;"."),s_dir!AL28/((1/1000)*(s_Irr!L28+s_Irr!BH28)),IF(AND(s_Irr!L28=".",s_Irr!AJ28&lt;&gt;".",s_Irr!BH28&lt;&gt;"."),s_dir!AL28/((1/1000)*(s_Irr!AJ28+s_Irr!BH28)),IF(AND(s_Irr!L28=".",s_Irr!AJ28=".",s_Irr!BH28&lt;&gt;"."),s_dir!AL28/((1/1000)*(s_Irr!BH28)),IF(AND(s_Irr!L28=".",s_Irr!AJ28&lt;&gt;".",s_Irr!BH28="."),s_dir!AL28/((1/1000)*(s_Irr!AJ28)),IF(AND(s_Irr!L28&lt;&gt;".",s_Irr!AJ28=".",s_Irr!BH28="."),s_dir!AL28/((1/1000)*(s_Irr!L28)),IF(AND(s_Irr!L28=".",s_Irr!AJ28=".",s_Irr!BH28="."),s_dir!AL28*1000)))))))),".")</f>
        <v>.</v>
      </c>
      <c r="BL28" s="76" t="str">
        <f>IFERROR(IF(AND(s_Irr!M28&lt;&gt;".",s_Irr!AK28&lt;&gt;".",s_Irr!BI28&lt;&gt;"."),s_dir!AM28/((1/1000)*(s_Irr!M28+s_Irr!AK28+s_Irr!BI28)),IF(AND(s_Irr!M28&lt;&gt;".",s_Irr!AK28&lt;&gt;".",s_Irr!BI28="."),s_dir!AM28/((1/1000)*(s_Irr!M28+s_Irr!AK28)),IF(AND(s_Irr!M28&lt;&gt;".",s_Irr!AK28=".",s_Irr!BI28&lt;&gt;"."),s_dir!AM28/((1/1000)*(s_Irr!M28+s_Irr!BI28)),IF(AND(s_Irr!M28=".",s_Irr!AK28&lt;&gt;".",s_Irr!BI28&lt;&gt;"."),s_dir!AM28/((1/1000)*(s_Irr!AK28+s_Irr!BI28)),IF(AND(s_Irr!M28=".",s_Irr!AK28=".",s_Irr!BI28&lt;&gt;"."),s_dir!AM28/((1/1000)*(s_Irr!BI28)),IF(AND(s_Irr!M28=".",s_Irr!AK28&lt;&gt;".",s_Irr!BI28="."),s_dir!AM28/((1/1000)*(s_Irr!AK28)),IF(AND(s_Irr!M28&lt;&gt;".",s_Irr!AK28=".",s_Irr!BI28="."),s_dir!AM28/((1/1000)*(s_Irr!M28)),IF(AND(s_Irr!M28=".",s_Irr!AK28=".",s_Irr!BI28="."),s_dir!AM28*1000)))))))),".")</f>
        <v>.</v>
      </c>
      <c r="BM28" s="76" t="str">
        <f>IFERROR(IF(AND(s_Irr!N28&lt;&gt;".",s_Irr!AL28&lt;&gt;".",s_Irr!BJ28&lt;&gt;"."),s_dir!AN28/((1/1000)*(s_Irr!N28+s_Irr!AL28+s_Irr!BJ28)),IF(AND(s_Irr!N28&lt;&gt;".",s_Irr!AL28&lt;&gt;".",s_Irr!BJ28="."),s_dir!AN28/((1/1000)*(s_Irr!N28+s_Irr!AL28)),IF(AND(s_Irr!N28&lt;&gt;".",s_Irr!AL28=".",s_Irr!BJ28&lt;&gt;"."),s_dir!AN28/((1/1000)*(s_Irr!N28+s_Irr!BJ28)),IF(AND(s_Irr!N28=".",s_Irr!AL28&lt;&gt;".",s_Irr!BJ28&lt;&gt;"."),s_dir!AN28/((1/1000)*(s_Irr!AL28+s_Irr!BJ28)),IF(AND(s_Irr!N28=".",s_Irr!AL28=".",s_Irr!BJ28&lt;&gt;"."),s_dir!AN28/((1/1000)*(s_Irr!BJ28)),IF(AND(s_Irr!N28=".",s_Irr!AL28&lt;&gt;".",s_Irr!BJ28="."),s_dir!AN28/((1/1000)*(s_Irr!AL28)),IF(AND(s_Irr!N28&lt;&gt;".",s_Irr!AL28=".",s_Irr!BJ28="."),s_dir!AN28/((1/1000)*(s_Irr!N28)),IF(AND(s_Irr!N28=".",s_Irr!AL28=".",s_Irr!BJ28="."),s_dir!AN28*1000)))))))),".")</f>
        <v>.</v>
      </c>
      <c r="BN28" s="76" t="str">
        <f>IFERROR(IF(AND(s_Irr!O28&lt;&gt;".",s_Irr!AM28&lt;&gt;".",s_Irr!BK28&lt;&gt;"."),s_dir!AO28/((1/1000)*(s_Irr!O28+s_Irr!AM28+s_Irr!BK28)),IF(AND(s_Irr!O28&lt;&gt;".",s_Irr!AM28&lt;&gt;".",s_Irr!BK28="."),s_dir!AO28/((1/1000)*(s_Irr!O28+s_Irr!AM28)),IF(AND(s_Irr!O28&lt;&gt;".",s_Irr!AM28=".",s_Irr!BK28&lt;&gt;"."),s_dir!AO28/((1/1000)*(s_Irr!O28+s_Irr!BK28)),IF(AND(s_Irr!O28=".",s_Irr!AM28&lt;&gt;".",s_Irr!BK28&lt;&gt;"."),s_dir!AO28/((1/1000)*(s_Irr!AM28+s_Irr!BK28)),IF(AND(s_Irr!O28=".",s_Irr!AM28=".",s_Irr!BK28&lt;&gt;"."),s_dir!AO28/((1/1000)*(s_Irr!BK28)),IF(AND(s_Irr!O28=".",s_Irr!AM28&lt;&gt;".",s_Irr!BK28="."),s_dir!AO28/((1/1000)*(s_Irr!AM28)),IF(AND(s_Irr!O28&lt;&gt;".",s_Irr!AM28=".",s_Irr!BK28="."),s_dir!AO28/((1/1000)*(s_Irr!O28)),IF(AND(s_Irr!O28=".",s_Irr!AM28=".",s_Irr!BK28="."),s_dir!AO28*1000)))))))),".")</f>
        <v>.</v>
      </c>
      <c r="BO28" s="76" t="str">
        <f>IFERROR(IF(AND(s_Irr!P28&lt;&gt;".",s_Irr!AN28&lt;&gt;".",s_Irr!BL28&lt;&gt;"."),s_dir!AP28/((1/1000)*(s_Irr!P28+s_Irr!AN28+s_Irr!BL28)),IF(AND(s_Irr!P28&lt;&gt;".",s_Irr!AN28&lt;&gt;".",s_Irr!BL28="."),s_dir!AP28/((1/1000)*(s_Irr!P28+s_Irr!AN28)),IF(AND(s_Irr!P28&lt;&gt;".",s_Irr!AN28=".",s_Irr!BL28&lt;&gt;"."),s_dir!AP28/((1/1000)*(s_Irr!P28+s_Irr!BL28)),IF(AND(s_Irr!P28=".",s_Irr!AN28&lt;&gt;".",s_Irr!BL28&lt;&gt;"."),s_dir!AP28/((1/1000)*(s_Irr!AN28+s_Irr!BL28)),IF(AND(s_Irr!P28=".",s_Irr!AN28=".",s_Irr!BL28&lt;&gt;"."),s_dir!AP28/((1/1000)*(s_Irr!BL28)),IF(AND(s_Irr!P28=".",s_Irr!AN28&lt;&gt;".",s_Irr!BL28="."),s_dir!AP28/((1/1000)*(s_Irr!AN28)),IF(AND(s_Irr!P28&lt;&gt;".",s_Irr!AN28=".",s_Irr!BL28="."),s_dir!AP28/((1/1000)*(s_Irr!P28)),IF(AND(s_Irr!P28=".",s_Irr!AN28=".",s_Irr!BL28="."),s_dir!AP28*1000)))))))),".")</f>
        <v>.</v>
      </c>
      <c r="BP28" s="76" t="str">
        <f>IFERROR(IF(AND(s_Irr!Q28&lt;&gt;".",s_Irr!AO28&lt;&gt;".",s_Irr!BM28&lt;&gt;"."),s_dir!AQ28/((1/1000)*(s_Irr!Q28+s_Irr!AO28+s_Irr!BM28)),IF(AND(s_Irr!Q28&lt;&gt;".",s_Irr!AO28&lt;&gt;".",s_Irr!BM28="."),s_dir!AQ28/((1/1000)*(s_Irr!Q28+s_Irr!AO28)),IF(AND(s_Irr!Q28&lt;&gt;".",s_Irr!AO28=".",s_Irr!BM28&lt;&gt;"."),s_dir!AQ28/((1/1000)*(s_Irr!Q28+s_Irr!BM28)),IF(AND(s_Irr!Q28=".",s_Irr!AO28&lt;&gt;".",s_Irr!BM28&lt;&gt;"."),s_dir!AQ28/((1/1000)*(s_Irr!AO28+s_Irr!BM28)),IF(AND(s_Irr!Q28=".",s_Irr!AO28=".",s_Irr!BM28&lt;&gt;"."),s_dir!AQ28/((1/1000)*(s_Irr!BM28)),IF(AND(s_Irr!Q28=".",s_Irr!AO28&lt;&gt;".",s_Irr!BM28="."),s_dir!AQ28/((1/1000)*(s_Irr!AO28)),IF(AND(s_Irr!Q28&lt;&gt;".",s_Irr!AO28=".",s_Irr!BM28="."),s_dir!AQ28/((1/1000)*(s_Irr!Q28)),IF(AND(s_Irr!Q28=".",s_Irr!AO28=".",s_Irr!BM28="."),s_dir!AQ28*1000)))))))),".")</f>
        <v>.</v>
      </c>
      <c r="BQ28" s="76" t="str">
        <f>IFERROR(IF(AND(s_Irr!R28&lt;&gt;".",s_Irr!AP28&lt;&gt;".",s_Irr!BN28&lt;&gt;"."),s_dir!AR28/((1/1000)*(s_Irr!R28+s_Irr!AP28+s_Irr!BN28)),IF(AND(s_Irr!R28&lt;&gt;".",s_Irr!AP28&lt;&gt;".",s_Irr!BN28="."),s_dir!AR28/((1/1000)*(s_Irr!R28+s_Irr!AP28)),IF(AND(s_Irr!R28&lt;&gt;".",s_Irr!AP28=".",s_Irr!BN28&lt;&gt;"."),s_dir!AR28/((1/1000)*(s_Irr!R28+s_Irr!BN28)),IF(AND(s_Irr!R28=".",s_Irr!AP28&lt;&gt;".",s_Irr!BN28&lt;&gt;"."),s_dir!AR28/((1/1000)*(s_Irr!AP28+s_Irr!BN28)),IF(AND(s_Irr!R28=".",s_Irr!AP28=".",s_Irr!BN28&lt;&gt;"."),s_dir!AR28/((1/1000)*(s_Irr!BN28)),IF(AND(s_Irr!R28=".",s_Irr!AP28&lt;&gt;".",s_Irr!BN28="."),s_dir!AR28/((1/1000)*(s_Irr!AP28)),IF(AND(s_Irr!R28&lt;&gt;".",s_Irr!AP28=".",s_Irr!BN28="."),s_dir!AR28/((1/1000)*(s_Irr!R28)),IF(AND(s_Irr!R28=".",s_Irr!AP28=".",s_Irr!BN28="."),s_dir!AR28*1000)))))))),".")</f>
        <v>.</v>
      </c>
      <c r="BR28" s="76" t="str">
        <f>IFERROR(IF(AND(s_Irr!S28&lt;&gt;".",s_Irr!AQ28&lt;&gt;".",s_Irr!BO28&lt;&gt;"."),s_dir!AS28/((1/1000)*(s_Irr!S28+s_Irr!AQ28+s_Irr!BO28)),IF(AND(s_Irr!S28&lt;&gt;".",s_Irr!AQ28&lt;&gt;".",s_Irr!BO28="."),s_dir!AS28/((1/1000)*(s_Irr!S28+s_Irr!AQ28)),IF(AND(s_Irr!S28&lt;&gt;".",s_Irr!AQ28=".",s_Irr!BO28&lt;&gt;"."),s_dir!AS28/((1/1000)*(s_Irr!S28+s_Irr!BO28)),IF(AND(s_Irr!S28=".",s_Irr!AQ28&lt;&gt;".",s_Irr!BO28&lt;&gt;"."),s_dir!AS28/((1/1000)*(s_Irr!AQ28+s_Irr!BO28)),IF(AND(s_Irr!S28=".",s_Irr!AQ28=".",s_Irr!BO28&lt;&gt;"."),s_dir!AS28/((1/1000)*(s_Irr!BO28)),IF(AND(s_Irr!S28=".",s_Irr!AQ28&lt;&gt;".",s_Irr!BO28="."),s_dir!AS28/((1/1000)*(s_Irr!AQ28)),IF(AND(s_Irr!S28&lt;&gt;".",s_Irr!AQ28=".",s_Irr!BO28="."),s_dir!AS28/((1/1000)*(s_Irr!S28)),IF(AND(s_Irr!S28=".",s_Irr!AQ28=".",s_Irr!BO28="."),s_dir!AS28*1000)))))))),".")</f>
        <v>.</v>
      </c>
      <c r="BS28" s="76" t="str">
        <f>IFERROR(IF(AND(s_Irr!T28&lt;&gt;".",s_Irr!AR28&lt;&gt;".",s_Irr!BP28&lt;&gt;"."),s_dir!AT28/((1/1000)*(s_Irr!T28+s_Irr!AR28+s_Irr!BP28)),IF(AND(s_Irr!T28&lt;&gt;".",s_Irr!AR28&lt;&gt;".",s_Irr!BP28="."),s_dir!AT28/((1/1000)*(s_Irr!T28+s_Irr!AR28)),IF(AND(s_Irr!T28&lt;&gt;".",s_Irr!AR28=".",s_Irr!BP28&lt;&gt;"."),s_dir!AT28/((1/1000)*(s_Irr!T28+s_Irr!BP28)),IF(AND(s_Irr!T28=".",s_Irr!AR28&lt;&gt;".",s_Irr!BP28&lt;&gt;"."),s_dir!AT28/((1/1000)*(s_Irr!AR28+s_Irr!BP28)),IF(AND(s_Irr!T28=".",s_Irr!AR28=".",s_Irr!BP28&lt;&gt;"."),s_dir!AT28/((1/1000)*(s_Irr!BP28)),IF(AND(s_Irr!T28=".",s_Irr!AR28&lt;&gt;".",s_Irr!BP28="."),s_dir!AT28/((1/1000)*(s_Irr!AR28)),IF(AND(s_Irr!T28&lt;&gt;".",s_Irr!AR28=".",s_Irr!BP28="."),s_dir!AT28/((1/1000)*(s_Irr!T28)),IF(AND(s_Irr!T28=".",s_Irr!AR28=".",s_Irr!BP28="."),s_dir!AT28*1000)))))))),".")</f>
        <v>.</v>
      </c>
      <c r="BT28" s="76" t="str">
        <f>IFERROR(IF(AND(s_Irr!U28&lt;&gt;".",s_Irr!AS28&lt;&gt;".",s_Irr!BQ28&lt;&gt;"."),s_dir!AU28/((1/1000)*(s_Irr!U28+s_Irr!AS28+s_Irr!BQ28)),IF(AND(s_Irr!U28&lt;&gt;".",s_Irr!AS28&lt;&gt;".",s_Irr!BQ28="."),s_dir!AU28/((1/1000)*(s_Irr!U28+s_Irr!AS28)),IF(AND(s_Irr!U28&lt;&gt;".",s_Irr!AS28=".",s_Irr!BQ28&lt;&gt;"."),s_dir!AU28/((1/1000)*(s_Irr!U28+s_Irr!BQ28)),IF(AND(s_Irr!U28=".",s_Irr!AS28&lt;&gt;".",s_Irr!BQ28&lt;&gt;"."),s_dir!AU28/((1/1000)*(s_Irr!AS28+s_Irr!BQ28)),IF(AND(s_Irr!U28=".",s_Irr!AS28=".",s_Irr!BQ28&lt;&gt;"."),s_dir!AU28/((1/1000)*(s_Irr!BQ28)),IF(AND(s_Irr!U28=".",s_Irr!AS28&lt;&gt;".",s_Irr!BQ28="."),s_dir!AU28/((1/1000)*(s_Irr!AS28)),IF(AND(s_Irr!U28&lt;&gt;".",s_Irr!AS28=".",s_Irr!BQ28="."),s_dir!AU28/((1/1000)*(s_Irr!U28)),IF(AND(s_Irr!U28=".",s_Irr!AS28=".",s_Irr!BQ28="."),s_dir!AU28*1000)))))))),".")</f>
        <v>.</v>
      </c>
      <c r="BU28" s="76" t="str">
        <f>IFERROR(IF(AND(s_Irr!V28&lt;&gt;".",s_Irr!AT28&lt;&gt;".",s_Irr!BR28&lt;&gt;"."),s_dir!AV28/((1/1000)*(s_Irr!V28+s_Irr!AT28+s_Irr!BR28)),IF(AND(s_Irr!V28&lt;&gt;".",s_Irr!AT28&lt;&gt;".",s_Irr!BR28="."),s_dir!AV28/((1/1000)*(s_Irr!V28+s_Irr!AT28)),IF(AND(s_Irr!V28&lt;&gt;".",s_Irr!AT28=".",s_Irr!BR28&lt;&gt;"."),s_dir!AV28/((1/1000)*(s_Irr!V28+s_Irr!BR28)),IF(AND(s_Irr!V28=".",s_Irr!AT28&lt;&gt;".",s_Irr!BR28&lt;&gt;"."),s_dir!AV28/((1/1000)*(s_Irr!AT28+s_Irr!BR28)),IF(AND(s_Irr!V28=".",s_Irr!AT28=".",s_Irr!BR28&lt;&gt;"."),s_dir!AV28/((1/1000)*(s_Irr!BR28)),IF(AND(s_Irr!V28=".",s_Irr!AT28&lt;&gt;".",s_Irr!BR28="."),s_dir!AV28/((1/1000)*(s_Irr!AT28)),IF(AND(s_Irr!V28&lt;&gt;".",s_Irr!AT28=".",s_Irr!BR28="."),s_dir!AV28/((1/1000)*(s_Irr!V28)),IF(AND(s_Irr!V28=".",s_Irr!AT28=".",s_Irr!BR28="."),s_dir!AV28*1000)))))))),".")</f>
        <v>.</v>
      </c>
      <c r="BV28" s="76" t="str">
        <f>IFERROR(IF(AND(s_Irr!W28&lt;&gt;".",s_Irr!AU28&lt;&gt;".",s_Irr!BS28&lt;&gt;"."),s_dir!AW28/((1/1000)*(s_Irr!W28+s_Irr!AU28+s_Irr!BS28)),IF(AND(s_Irr!W28&lt;&gt;".",s_Irr!AU28&lt;&gt;".",s_Irr!BS28="."),s_dir!AW28/((1/1000)*(s_Irr!W28+s_Irr!AU28)),IF(AND(s_Irr!W28&lt;&gt;".",s_Irr!AU28=".",s_Irr!BS28&lt;&gt;"."),s_dir!AW28/((1/1000)*(s_Irr!W28+s_Irr!BS28)),IF(AND(s_Irr!W28=".",s_Irr!AU28&lt;&gt;".",s_Irr!BS28&lt;&gt;"."),s_dir!AW28/((1/1000)*(s_Irr!AU28+s_Irr!BS28)),IF(AND(s_Irr!W28=".",s_Irr!AU28=".",s_Irr!BS28&lt;&gt;"."),s_dir!AW28/((1/1000)*(s_Irr!BS28)),IF(AND(s_Irr!W28=".",s_Irr!AU28&lt;&gt;".",s_Irr!BS28="."),s_dir!AW28/((1/1000)*(s_Irr!AU28)),IF(AND(s_Irr!W28&lt;&gt;".",s_Irr!AU28=".",s_Irr!BS28="."),s_dir!AW28/((1/1000)*(s_Irr!W28)),IF(AND(s_Irr!W28=".",s_Irr!AU28=".",s_Irr!BS28="."),s_dir!AW28*1000)))))))),".")</f>
        <v>.</v>
      </c>
      <c r="BW28" s="76" t="str">
        <f>IFERROR(IF(AND(s_Irr!X28&lt;&gt;".",s_Irr!AV28&lt;&gt;".",s_Irr!BT28&lt;&gt;"."),s_dir!AX28/((1/1000)*(s_Irr!X28+s_Irr!AV28+s_Irr!BT28)),IF(AND(s_Irr!X28&lt;&gt;".",s_Irr!AV28&lt;&gt;".",s_Irr!BT28="."),s_dir!AX28/((1/1000)*(s_Irr!X28+s_Irr!AV28)),IF(AND(s_Irr!X28&lt;&gt;".",s_Irr!AV28=".",s_Irr!BT28&lt;&gt;"."),s_dir!AX28/((1/1000)*(s_Irr!X28+s_Irr!BT28)),IF(AND(s_Irr!X28=".",s_Irr!AV28&lt;&gt;".",s_Irr!BT28&lt;&gt;"."),s_dir!AX28/((1/1000)*(s_Irr!AV28+s_Irr!BT28)),IF(AND(s_Irr!X28=".",s_Irr!AV28=".",s_Irr!BT28&lt;&gt;"."),s_dir!AX28/((1/1000)*(s_Irr!BT28)),IF(AND(s_Irr!X28=".",s_Irr!AV28&lt;&gt;".",s_Irr!BT28="."),s_dir!AX28/((1/1000)*(s_Irr!AV28)),IF(AND(s_Irr!X28&lt;&gt;".",s_Irr!AV28=".",s_Irr!BT28="."),s_dir!AX28/((1/1000)*(s_Irr!X28)),IF(AND(s_Irr!X28=".",s_Irr!AV28=".",s_Irr!BT28="."),s_dir!AX28*1000)))))))),".")</f>
        <v>.</v>
      </c>
      <c r="BX28" s="76" t="str">
        <f>IFERROR(IF(AND(s_Irr!Y28&lt;&gt;".",s_Irr!AW28&lt;&gt;".",s_Irr!BU28&lt;&gt;"."),s_dir!AY28/((1/1000)*(s_Irr!Y28+s_Irr!AW28+s_Irr!BU28)),IF(AND(s_Irr!Y28&lt;&gt;".",s_Irr!AW28&lt;&gt;".",s_Irr!BU28="."),s_dir!AY28/((1/1000)*(s_Irr!Y28+s_Irr!AW28)),IF(AND(s_Irr!Y28&lt;&gt;".",s_Irr!AW28=".",s_Irr!BU28&lt;&gt;"."),s_dir!AY28/((1/1000)*(s_Irr!Y28+s_Irr!BU28)),IF(AND(s_Irr!Y28=".",s_Irr!AW28&lt;&gt;".",s_Irr!BU28&lt;&gt;"."),s_dir!AY28/((1/1000)*(s_Irr!AW28+s_Irr!BU28)),IF(AND(s_Irr!Y28=".",s_Irr!AW28=".",s_Irr!BU28&lt;&gt;"."),s_dir!AY28/((1/1000)*(s_Irr!BU28)),IF(AND(s_Irr!Y28=".",s_Irr!AW28&lt;&gt;".",s_Irr!BU28="."),s_dir!AY28/((1/1000)*(s_Irr!AW28)),IF(AND(s_Irr!Y28&lt;&gt;".",s_Irr!AW28=".",s_Irr!BU28="."),s_dir!AY28/((1/1000)*(s_Irr!Y28)),IF(AND(s_Irr!Y28=".",s_Irr!AW28=".",s_Irr!BU28="."),s_dir!AY28*1000)))))))),".")</f>
        <v>.</v>
      </c>
      <c r="BY28" s="76" t="str">
        <f>IFERROR(IF(AND(s_Irr!Z28&lt;&gt;".",s_Irr!AX28&lt;&gt;".",s_Irr!BV28&lt;&gt;"."),s_dir!AZ28/((1/1000)*(s_Irr!Z28+s_Irr!AX28+s_Irr!BV28)),IF(AND(s_Irr!Z28&lt;&gt;".",s_Irr!AX28&lt;&gt;".",s_Irr!BV28="."),s_dir!AZ28/((1/1000)*(s_Irr!Z28+s_Irr!AX28)),IF(AND(s_Irr!Z28&lt;&gt;".",s_Irr!AX28=".",s_Irr!BV28&lt;&gt;"."),s_dir!AZ28/((1/1000)*(s_Irr!Z28+s_Irr!BV28)),IF(AND(s_Irr!Z28=".",s_Irr!AX28&lt;&gt;".",s_Irr!BV28&lt;&gt;"."),s_dir!AZ28/((1/1000)*(s_Irr!AX28+s_Irr!BV28)),IF(AND(s_Irr!Z28=".",s_Irr!AX28=".",s_Irr!BV28&lt;&gt;"."),s_dir!AZ28/((1/1000)*(s_Irr!BV28)),IF(AND(s_Irr!Z28=".",s_Irr!AX28&lt;&gt;".",s_Irr!BV28="."),s_dir!AZ28/((1/1000)*(s_Irr!AX28)),IF(AND(s_Irr!Z28&lt;&gt;".",s_Irr!AX28=".",s_Irr!BV28="."),s_dir!AZ28/((1/1000)*(s_Irr!Z28)),IF(AND(s_Irr!Z28=".",s_Irr!AX28=".",s_Irr!BV28="."),s_dir!AZ28*1000)))))))),".")</f>
        <v>.</v>
      </c>
      <c r="BZ28" s="93">
        <f t="shared" ref="BZ28:BZ29" si="33">SUM(CA28:CB28,CW28:CX28)</f>
        <v>1738.5827027196997</v>
      </c>
      <c r="CA28" s="93">
        <f>IFERROR(s_C*s_IFAP_far_adj*s_CF_apple*(1/1000)*(s_Irr!C28+s_Irr!AA28+s_Irr!AY28),".")</f>
        <v>161.04968044979253</v>
      </c>
      <c r="CB28" s="93">
        <f>IFERROR(s_C*s_IFAS_far_adj*s_CF_asparagus*(1/1000)*(s_Irr!D28+s_Irr!AB28+s_Irr!AZ28),".")</f>
        <v>163.01681762340641</v>
      </c>
      <c r="CC28" s="93">
        <f>IFERROR(s_C*s_IFBT_far_adj*s_CF_beet*(1/1000)*(s_Irr!E28+s_Irr!AC28+s_Irr!BA28),".")</f>
        <v>161.04968044979253</v>
      </c>
      <c r="CD28" s="93">
        <f>IFERROR(s_C*s_IFBE_far_adj*s_CF_berries*(1/1000)*(s_Irr!F28+s_Irr!AD28+s_Irr!BB28),".")</f>
        <v>161.04968044979253</v>
      </c>
      <c r="CE28" s="93">
        <f>IFERROR(s_C*s_IFBR_far_adj*s_CF_broccoli*(1/1000)*(s_Irr!G28+s_Irr!AE28+s_Irr!BC28),".")</f>
        <v>161.04968044979253</v>
      </c>
      <c r="CF28" s="93">
        <f>IFERROR(s_C*s_IFCB_far_adj*s_CF_cabbage*(1/1000)*(s_Irr!H28+s_Irr!AF28+s_Irr!BD28),".")</f>
        <v>163.01681762340641</v>
      </c>
      <c r="CG28" s="93">
        <f>IFERROR(s_C*s_IFCR_far_adj*s_CF_carrot*(1/1000)*(s_Irr!I28+s_Irr!AG28+s_Irr!BE28),".")</f>
        <v>161.04968044979253</v>
      </c>
      <c r="CH28" s="93">
        <f>IFERROR(s_C*s_IFCI_far_adj*s_CF_citrus*(1/1000)*(s_Irr!J28+s_Irr!AH28+s_Irr!BF28),".")</f>
        <v>161.04968044979253</v>
      </c>
      <c r="CI28" s="93">
        <f>IFERROR(s_C*s_IFCO_far_adj*s_CF_corn*(1/1000)*(s_Irr!K28+s_Irr!AI28+s_Irr!BG28),".")</f>
        <v>161.04968044979253</v>
      </c>
      <c r="CJ28" s="93">
        <f>IFERROR(s_C*s_IFCU_far_adj*s_CF_cucumber*(1/1000)*(s_Irr!L28+s_Irr!AJ28+s_Irr!BH28),".")</f>
        <v>161.04968044979253</v>
      </c>
      <c r="CK28" s="93">
        <f>IFERROR(s_C*s_IFLE_far_adj*s_CF_lettuce*(1/1000)*(s_Irr!M28+s_Irr!AK28+s_Irr!BI28),".")</f>
        <v>163.01681762340641</v>
      </c>
      <c r="CL28" s="93">
        <f>IFERROR(s_C*s_IFLI_far_adj*s_CF_lima_bean*(1/1000)*(s_Irr!N28+s_Irr!AL28+s_Irr!BJ28),".")</f>
        <v>161.04968044979253</v>
      </c>
      <c r="CM28" s="93">
        <f>IFERROR(s_C*s_IFOK_far_adj*s_CF_okra*(1/1000)*(s_Irr!O28+s_Irr!AM28+s_Irr!BK28),".")</f>
        <v>161.04968044979253</v>
      </c>
      <c r="CN28" s="93">
        <f>IFERROR(s_C*s_IFON_far_adj*s_CF_onion*(1/1000)*(s_Irr!P28+s_Irr!AN28+s_Irr!BL28),".")</f>
        <v>161.04968044979253</v>
      </c>
      <c r="CO28" s="93">
        <f>IFERROR(s_C*s_IFPC_far_adj*s_CF_peach*(1/1000)*(s_Irr!Q28+s_Irr!AO28+s_Irr!BM28),".")</f>
        <v>161.04968044979253</v>
      </c>
      <c r="CP28" s="93">
        <f>IFERROR(s_C*s_IFPR_far_adj*s_CF_pear*(1/1000)*(s_Irr!R28+s_Irr!AP28+s_Irr!BN28),".")</f>
        <v>161.04968044979253</v>
      </c>
      <c r="CQ28" s="93">
        <f>IFERROR(s_C*s_IFPE_far_adj*s_CF_peas*(1/1000)*(s_Irr!S28+s_Irr!AQ28+s_Irr!BO28),".")</f>
        <v>161.04968044979253</v>
      </c>
      <c r="CR28" s="93">
        <f>IFERROR(s_C*s_IFPT_far_adj*s_CF_potato*(1/1000)*(s_Irr!T28+s_Irr!AR28+s_Irr!BP28),".")</f>
        <v>161.04968044979253</v>
      </c>
      <c r="CS28" s="93">
        <f>IFERROR(s_C*s_IFPU_far_adj*s_CF_pumpkin*(1/1000)*(s_Irr!U28+s_Irr!AS28+s_Irr!BQ28),".")</f>
        <v>161.04968044979253</v>
      </c>
      <c r="CT28" s="93">
        <f>IFERROR(s_C*s_IFSN_far_adj*s_CF_snap_bean*(1/1000)*(s_Irr!V28+s_Irr!AT28+s_Irr!BR28),".")</f>
        <v>161.04968044979253</v>
      </c>
      <c r="CU28" s="93">
        <f>IFERROR(s_C*s_IFST_far_adj*s_CF_strawberry*(1/1000)*(s_Irr!W28+s_Irr!AU28+s_Irr!BS28),".")</f>
        <v>161.04968044979253</v>
      </c>
      <c r="CV28" s="93">
        <f>IFERROR(s_C*s_IFTO_far_adj*s_CF_tomato*(1/1000)*(s_Irr!X28+s_Irr!AV28+s_Irr!BT28),".")</f>
        <v>161.04968044979253</v>
      </c>
      <c r="CW28" s="93">
        <f>IFERROR(s_C*s_IFRI_far_adj*s_CF_rice*(1/1000)*(s_Irr!Y28+s_Irr!AW28+s_Irr!BU28),".")</f>
        <v>707.25810232325045</v>
      </c>
      <c r="CX28" s="93">
        <f>IFERROR(s_C*s_IFCG_far_adj*s_CF_cereal*(1/1000)*(s_Irr!Z28+s_Irr!AX28+s_Irr!BV28),".")</f>
        <v>707.25810232325045</v>
      </c>
    </row>
    <row r="29" spans="1:102" ht="15" customHeight="1" x14ac:dyDescent="0.25">
      <c r="A29" s="92" t="s">
        <v>39</v>
      </c>
      <c r="B29" s="90" t="s">
        <v>1074</v>
      </c>
      <c r="C29" s="76" t="str">
        <f t="shared" si="30"/>
        <v>.</v>
      </c>
      <c r="D29" s="76" t="str">
        <f>IFERROR(IF(AND(s_Irr!C29&lt;&gt;".",s_Irr!AA29&lt;&gt;".",s_Irr!AY29&lt;&gt;"."),s_dir!D29/((1/1000)*(s_Irr!C29+s_Irr!AA29+s_Irr!AY29)),IF(AND(s_Irr!C29&lt;&gt;".",s_Irr!AA29&lt;&gt;".",s_Irr!AY29="."),s_dir!D29/((1/1000)*(s_Irr!C29+s_Irr!AA29)),IF(AND(s_Irr!C29&lt;&gt;".",s_Irr!AA29=".",s_Irr!AY29&lt;&gt;"."),s_dir!D29/((1/1000)*(s_Irr!C29+s_Irr!AY29)),IF(AND(s_Irr!C29=".",s_Irr!AA29&lt;&gt;".",s_Irr!AY29&lt;&gt;"."),s_dir!D29/((1/1000)*(s_Irr!AA29+s_Irr!AY29)),IF(AND(s_Irr!C29=".",s_Irr!AA29=".",s_Irr!AY29&lt;&gt;"."),s_dir!D29/((1/1000)*(s_Irr!AY29)),IF(AND(s_Irr!C29=".",s_Irr!AA29&lt;&gt;".",s_Irr!AY29="."),s_dir!D29/((1/1000)*(s_Irr!AA29)),IF(AND(s_Irr!C29&lt;&gt;".",s_Irr!AA29=".",s_Irr!AY29="."),s_dir!D29/((1/1000)*(s_Irr!C29)),IF(AND(s_Irr!C29=".",s_Irr!AA29=".",s_Irr!AY29="."),s_dir!D29*1000)))))))),".")</f>
        <v>.</v>
      </c>
      <c r="E29" s="76" t="str">
        <f>IFERROR(IF(AND(s_Irr!D29&lt;&gt;".",s_Irr!AB29&lt;&gt;".",s_Irr!AZ29&lt;&gt;"."),s_dir!E29/((1/1000)*(s_Irr!D29+s_Irr!AB29+s_Irr!AZ29)),IF(AND(s_Irr!D29&lt;&gt;".",s_Irr!AB29&lt;&gt;".",s_Irr!AZ29="."),s_dir!E29/((1/1000)*(s_Irr!D29+s_Irr!AB29)),IF(AND(s_Irr!D29&lt;&gt;".",s_Irr!AB29=".",s_Irr!AZ29&lt;&gt;"."),s_dir!E29/((1/1000)*(s_Irr!D29+s_Irr!AZ29)),IF(AND(s_Irr!D29=".",s_Irr!AB29&lt;&gt;".",s_Irr!AZ29&lt;&gt;"."),s_dir!E29/((1/1000)*(s_Irr!AB29+s_Irr!AZ29)),IF(AND(s_Irr!D29=".",s_Irr!AB29=".",s_Irr!AZ29&lt;&gt;"."),s_dir!E29/((1/1000)*(s_Irr!AZ29)),IF(AND(s_Irr!D29=".",s_Irr!AB29&lt;&gt;".",s_Irr!AZ29="."),s_dir!E29/((1/1000)*(s_Irr!AB29)),IF(AND(s_Irr!D29&lt;&gt;".",s_Irr!AB29=".",s_Irr!AZ29="."),s_dir!E29/((1/1000)*(s_Irr!D29)),IF(AND(s_Irr!D29=".",s_Irr!AB29=".",s_Irr!AZ29="."),s_dir!E29*1000)))))))),".")</f>
        <v>.</v>
      </c>
      <c r="F29" s="76" t="str">
        <f>IFERROR(IF(AND(s_Irr!E29&lt;&gt;".",s_Irr!AC29&lt;&gt;".",s_Irr!BA29&lt;&gt;"."),s_dir!F29/((1/1000)*(s_Irr!E29+s_Irr!AC29+s_Irr!BA29)),IF(AND(s_Irr!E29&lt;&gt;".",s_Irr!AC29&lt;&gt;".",s_Irr!BA29="."),s_dir!F29/((1/1000)*(s_Irr!E29+s_Irr!AC29)),IF(AND(s_Irr!E29&lt;&gt;".",s_Irr!AC29=".",s_Irr!BA29&lt;&gt;"."),s_dir!F29/((1/1000)*(s_Irr!E29+s_Irr!BA29)),IF(AND(s_Irr!E29=".",s_Irr!AC29&lt;&gt;".",s_Irr!BA29&lt;&gt;"."),s_dir!F29/((1/1000)*(s_Irr!AC29+s_Irr!BA29)),IF(AND(s_Irr!E29=".",s_Irr!AC29=".",s_Irr!BA29&lt;&gt;"."),s_dir!F29/((1/1000)*(s_Irr!BA29)),IF(AND(s_Irr!E29=".",s_Irr!AC29&lt;&gt;".",s_Irr!BA29="."),s_dir!F29/((1/1000)*(s_Irr!AC29)),IF(AND(s_Irr!E29&lt;&gt;".",s_Irr!AC29=".",s_Irr!BA29="."),s_dir!F29/((1/1000)*(s_Irr!E29)),IF(AND(s_Irr!E29=".",s_Irr!AC29=".",s_Irr!BA29="."),s_dir!F29*1000)))))))),".")</f>
        <v>.</v>
      </c>
      <c r="G29" s="76" t="str">
        <f>IFERROR(IF(AND(s_Irr!F29&lt;&gt;".",s_Irr!AD29&lt;&gt;".",s_Irr!BB29&lt;&gt;"."),s_dir!G29/((1/1000)*(s_Irr!F29+s_Irr!AD29+s_Irr!BB29)),IF(AND(s_Irr!F29&lt;&gt;".",s_Irr!AD29&lt;&gt;".",s_Irr!BB29="."),s_dir!G29/((1/1000)*(s_Irr!F29+s_Irr!AD29)),IF(AND(s_Irr!F29&lt;&gt;".",s_Irr!AD29=".",s_Irr!BB29&lt;&gt;"."),s_dir!G29/((1/1000)*(s_Irr!F29+s_Irr!BB29)),IF(AND(s_Irr!F29=".",s_Irr!AD29&lt;&gt;".",s_Irr!BB29&lt;&gt;"."),s_dir!G29/((1/1000)*(s_Irr!AD29+s_Irr!BB29)),IF(AND(s_Irr!F29=".",s_Irr!AD29=".",s_Irr!BB29&lt;&gt;"."),s_dir!G29/((1/1000)*(s_Irr!BB29)),IF(AND(s_Irr!F29=".",s_Irr!AD29&lt;&gt;".",s_Irr!BB29="."),s_dir!G29/((1/1000)*(s_Irr!AD29)),IF(AND(s_Irr!F29&lt;&gt;".",s_Irr!AD29=".",s_Irr!BB29="."),s_dir!G29/((1/1000)*(s_Irr!F29)),IF(AND(s_Irr!F29=".",s_Irr!AD29=".",s_Irr!BB29="."),s_dir!G29*1000)))))))),".")</f>
        <v>.</v>
      </c>
      <c r="H29" s="76" t="str">
        <f>IFERROR(IF(AND(s_Irr!G29&lt;&gt;".",s_Irr!AE29&lt;&gt;".",s_Irr!BC29&lt;&gt;"."),s_dir!H29/((1/1000)*(s_Irr!G29+s_Irr!AE29+s_Irr!BC29)),IF(AND(s_Irr!G29&lt;&gt;".",s_Irr!AE29&lt;&gt;".",s_Irr!BC29="."),s_dir!H29/((1/1000)*(s_Irr!G29+s_Irr!AE29)),IF(AND(s_Irr!G29&lt;&gt;".",s_Irr!AE29=".",s_Irr!BC29&lt;&gt;"."),s_dir!H29/((1/1000)*(s_Irr!G29+s_Irr!BC29)),IF(AND(s_Irr!G29=".",s_Irr!AE29&lt;&gt;".",s_Irr!BC29&lt;&gt;"."),s_dir!H29/((1/1000)*(s_Irr!AE29+s_Irr!BC29)),IF(AND(s_Irr!G29=".",s_Irr!AE29=".",s_Irr!BC29&lt;&gt;"."),s_dir!H29/((1/1000)*(s_Irr!BC29)),IF(AND(s_Irr!G29=".",s_Irr!AE29&lt;&gt;".",s_Irr!BC29="."),s_dir!H29/((1/1000)*(s_Irr!AE29)),IF(AND(s_Irr!G29&lt;&gt;".",s_Irr!AE29=".",s_Irr!BC29="."),s_dir!H29/((1/1000)*(s_Irr!G29)),IF(AND(s_Irr!G29=".",s_Irr!AE29=".",s_Irr!BC29="."),s_dir!H29*1000)))))))),".")</f>
        <v>.</v>
      </c>
      <c r="I29" s="76" t="str">
        <f>IFERROR(IF(AND(s_Irr!H29&lt;&gt;".",s_Irr!AF29&lt;&gt;".",s_Irr!BD29&lt;&gt;"."),s_dir!I29/((1/1000)*(s_Irr!H29+s_Irr!AF29+s_Irr!BD29)),IF(AND(s_Irr!H29&lt;&gt;".",s_Irr!AF29&lt;&gt;".",s_Irr!BD29="."),s_dir!I29/((1/1000)*(s_Irr!H29+s_Irr!AF29)),IF(AND(s_Irr!H29&lt;&gt;".",s_Irr!AF29=".",s_Irr!BD29&lt;&gt;"."),s_dir!I29/((1/1000)*(s_Irr!H29+s_Irr!BD29)),IF(AND(s_Irr!H29=".",s_Irr!AF29&lt;&gt;".",s_Irr!BD29&lt;&gt;"."),s_dir!I29/((1/1000)*(s_Irr!AF29+s_Irr!BD29)),IF(AND(s_Irr!H29=".",s_Irr!AF29=".",s_Irr!BD29&lt;&gt;"."),s_dir!I29/((1/1000)*(s_Irr!BD29)),IF(AND(s_Irr!H29=".",s_Irr!AF29&lt;&gt;".",s_Irr!BD29="."),s_dir!I29/((1/1000)*(s_Irr!AF29)),IF(AND(s_Irr!H29&lt;&gt;".",s_Irr!AF29=".",s_Irr!BD29="."),s_dir!I29/((1/1000)*(s_Irr!H29)),IF(AND(s_Irr!H29=".",s_Irr!AF29=".",s_Irr!BD29="."),s_dir!I29*1000)))))))),".")</f>
        <v>.</v>
      </c>
      <c r="J29" s="76" t="str">
        <f>IFERROR(IF(AND(s_Irr!I29&lt;&gt;".",s_Irr!AG29&lt;&gt;".",s_Irr!BE29&lt;&gt;"."),s_dir!J29/((1/1000)*(s_Irr!I29+s_Irr!AG29+s_Irr!BE29)),IF(AND(s_Irr!I29&lt;&gt;".",s_Irr!AG29&lt;&gt;".",s_Irr!BE29="."),s_dir!J29/((1/1000)*(s_Irr!I29+s_Irr!AG29)),IF(AND(s_Irr!I29&lt;&gt;".",s_Irr!AG29=".",s_Irr!BE29&lt;&gt;"."),s_dir!J29/((1/1000)*(s_Irr!I29+s_Irr!BE29)),IF(AND(s_Irr!I29=".",s_Irr!AG29&lt;&gt;".",s_Irr!BE29&lt;&gt;"."),s_dir!J29/((1/1000)*(s_Irr!AG29+s_Irr!BE29)),IF(AND(s_Irr!I29=".",s_Irr!AG29=".",s_Irr!BE29&lt;&gt;"."),s_dir!J29/((1/1000)*(s_Irr!BE29)),IF(AND(s_Irr!I29=".",s_Irr!AG29&lt;&gt;".",s_Irr!BE29="."),s_dir!J29/((1/1000)*(s_Irr!AG29)),IF(AND(s_Irr!I29&lt;&gt;".",s_Irr!AG29=".",s_Irr!BE29="."),s_dir!J29/((1/1000)*(s_Irr!I29)),IF(AND(s_Irr!I29=".",s_Irr!AG29=".",s_Irr!BE29="."),s_dir!J29*1000)))))))),".")</f>
        <v>.</v>
      </c>
      <c r="K29" s="76" t="str">
        <f>IFERROR(IF(AND(s_Irr!J29&lt;&gt;".",s_Irr!AH29&lt;&gt;".",s_Irr!BF29&lt;&gt;"."),s_dir!K29/((1/1000)*(s_Irr!J29+s_Irr!AH29+s_Irr!BF29)),IF(AND(s_Irr!J29&lt;&gt;".",s_Irr!AH29&lt;&gt;".",s_Irr!BF29="."),s_dir!K29/((1/1000)*(s_Irr!J29+s_Irr!AH29)),IF(AND(s_Irr!J29&lt;&gt;".",s_Irr!AH29=".",s_Irr!BF29&lt;&gt;"."),s_dir!K29/((1/1000)*(s_Irr!J29+s_Irr!BF29)),IF(AND(s_Irr!J29=".",s_Irr!AH29&lt;&gt;".",s_Irr!BF29&lt;&gt;"."),s_dir!K29/((1/1000)*(s_Irr!AH29+s_Irr!BF29)),IF(AND(s_Irr!J29=".",s_Irr!AH29=".",s_Irr!BF29&lt;&gt;"."),s_dir!K29/((1/1000)*(s_Irr!BF29)),IF(AND(s_Irr!J29=".",s_Irr!AH29&lt;&gt;".",s_Irr!BF29="."),s_dir!K29/((1/1000)*(s_Irr!AH29)),IF(AND(s_Irr!J29&lt;&gt;".",s_Irr!AH29=".",s_Irr!BF29="."),s_dir!K29/((1/1000)*(s_Irr!J29)),IF(AND(s_Irr!J29=".",s_Irr!AH29=".",s_Irr!BF29="."),s_dir!K29*1000)))))))),".")</f>
        <v>.</v>
      </c>
      <c r="L29" s="76" t="str">
        <f>IFERROR(IF(AND(s_Irr!K29&lt;&gt;".",s_Irr!AI29&lt;&gt;".",s_Irr!BG29&lt;&gt;"."),s_dir!L29/((1/1000)*(s_Irr!K29+s_Irr!AI29+s_Irr!BG29)),IF(AND(s_Irr!K29&lt;&gt;".",s_Irr!AI29&lt;&gt;".",s_Irr!BG29="."),s_dir!L29/((1/1000)*(s_Irr!K29+s_Irr!AI29)),IF(AND(s_Irr!K29&lt;&gt;".",s_Irr!AI29=".",s_Irr!BG29&lt;&gt;"."),s_dir!L29/((1/1000)*(s_Irr!K29+s_Irr!BG29)),IF(AND(s_Irr!K29=".",s_Irr!AI29&lt;&gt;".",s_Irr!BG29&lt;&gt;"."),s_dir!L29/((1/1000)*(s_Irr!AI29+s_Irr!BG29)),IF(AND(s_Irr!K29=".",s_Irr!AI29=".",s_Irr!BG29&lt;&gt;"."),s_dir!L29/((1/1000)*(s_Irr!BG29)),IF(AND(s_Irr!K29=".",s_Irr!AI29&lt;&gt;".",s_Irr!BG29="."),s_dir!L29/((1/1000)*(s_Irr!AI29)),IF(AND(s_Irr!K29&lt;&gt;".",s_Irr!AI29=".",s_Irr!BG29="."),s_dir!L29/((1/1000)*(s_Irr!K29)),IF(AND(s_Irr!K29=".",s_Irr!AI29=".",s_Irr!BG29="."),s_dir!L29*1000)))))))),".")</f>
        <v>.</v>
      </c>
      <c r="M29" s="76" t="str">
        <f>IFERROR(IF(AND(s_Irr!L29&lt;&gt;".",s_Irr!AJ29&lt;&gt;".",s_Irr!BH29&lt;&gt;"."),s_dir!M29/((1/1000)*(s_Irr!L29+s_Irr!AJ29+s_Irr!BH29)),IF(AND(s_Irr!L29&lt;&gt;".",s_Irr!AJ29&lt;&gt;".",s_Irr!BH29="."),s_dir!M29/((1/1000)*(s_Irr!L29+s_Irr!AJ29)),IF(AND(s_Irr!L29&lt;&gt;".",s_Irr!AJ29=".",s_Irr!BH29&lt;&gt;"."),s_dir!M29/((1/1000)*(s_Irr!L29+s_Irr!BH29)),IF(AND(s_Irr!L29=".",s_Irr!AJ29&lt;&gt;".",s_Irr!BH29&lt;&gt;"."),s_dir!M29/((1/1000)*(s_Irr!AJ29+s_Irr!BH29)),IF(AND(s_Irr!L29=".",s_Irr!AJ29=".",s_Irr!BH29&lt;&gt;"."),s_dir!M29/((1/1000)*(s_Irr!BH29)),IF(AND(s_Irr!L29=".",s_Irr!AJ29&lt;&gt;".",s_Irr!BH29="."),s_dir!M29/((1/1000)*(s_Irr!AJ29)),IF(AND(s_Irr!L29&lt;&gt;".",s_Irr!AJ29=".",s_Irr!BH29="."),s_dir!M29/((1/1000)*(s_Irr!L29)),IF(AND(s_Irr!L29=".",s_Irr!AJ29=".",s_Irr!BH29="."),s_dir!M29*1000)))))))),".")</f>
        <v>.</v>
      </c>
      <c r="N29" s="76" t="str">
        <f>IFERROR(IF(AND(s_Irr!M29&lt;&gt;".",s_Irr!AK29&lt;&gt;".",s_Irr!BI29&lt;&gt;"."),s_dir!N29/((1/1000)*(s_Irr!M29+s_Irr!AK29+s_Irr!BI29)),IF(AND(s_Irr!M29&lt;&gt;".",s_Irr!AK29&lt;&gt;".",s_Irr!BI29="."),s_dir!N29/((1/1000)*(s_Irr!M29+s_Irr!AK29)),IF(AND(s_Irr!M29&lt;&gt;".",s_Irr!AK29=".",s_Irr!BI29&lt;&gt;"."),s_dir!N29/((1/1000)*(s_Irr!M29+s_Irr!BI29)),IF(AND(s_Irr!M29=".",s_Irr!AK29&lt;&gt;".",s_Irr!BI29&lt;&gt;"."),s_dir!N29/((1/1000)*(s_Irr!AK29+s_Irr!BI29)),IF(AND(s_Irr!M29=".",s_Irr!AK29=".",s_Irr!BI29&lt;&gt;"."),s_dir!N29/((1/1000)*(s_Irr!BI29)),IF(AND(s_Irr!M29=".",s_Irr!AK29&lt;&gt;".",s_Irr!BI29="."),s_dir!N29/((1/1000)*(s_Irr!AK29)),IF(AND(s_Irr!M29&lt;&gt;".",s_Irr!AK29=".",s_Irr!BI29="."),s_dir!N29/((1/1000)*(s_Irr!M29)),IF(AND(s_Irr!M29=".",s_Irr!AK29=".",s_Irr!BI29="."),s_dir!N29*1000)))))))),".")</f>
        <v>.</v>
      </c>
      <c r="O29" s="76" t="str">
        <f>IFERROR(IF(AND(s_Irr!N29&lt;&gt;".",s_Irr!AL29&lt;&gt;".",s_Irr!BJ29&lt;&gt;"."),s_dir!O29/((1/1000)*(s_Irr!N29+s_Irr!AL29+s_Irr!BJ29)),IF(AND(s_Irr!N29&lt;&gt;".",s_Irr!AL29&lt;&gt;".",s_Irr!BJ29="."),s_dir!O29/((1/1000)*(s_Irr!N29+s_Irr!AL29)),IF(AND(s_Irr!N29&lt;&gt;".",s_Irr!AL29=".",s_Irr!BJ29&lt;&gt;"."),s_dir!O29/((1/1000)*(s_Irr!N29+s_Irr!BJ29)),IF(AND(s_Irr!N29=".",s_Irr!AL29&lt;&gt;".",s_Irr!BJ29&lt;&gt;"."),s_dir!O29/((1/1000)*(s_Irr!AL29+s_Irr!BJ29)),IF(AND(s_Irr!N29=".",s_Irr!AL29=".",s_Irr!BJ29&lt;&gt;"."),s_dir!O29/((1/1000)*(s_Irr!BJ29)),IF(AND(s_Irr!N29=".",s_Irr!AL29&lt;&gt;".",s_Irr!BJ29="."),s_dir!O29/((1/1000)*(s_Irr!AL29)),IF(AND(s_Irr!N29&lt;&gt;".",s_Irr!AL29=".",s_Irr!BJ29="."),s_dir!O29/((1/1000)*(s_Irr!N29)),IF(AND(s_Irr!N29=".",s_Irr!AL29=".",s_Irr!BJ29="."),s_dir!O29*1000)))))))),".")</f>
        <v>.</v>
      </c>
      <c r="P29" s="76" t="str">
        <f>IFERROR(IF(AND(s_Irr!O29&lt;&gt;".",s_Irr!AM29&lt;&gt;".",s_Irr!BK29&lt;&gt;"."),s_dir!P29/((1/1000)*(s_Irr!O29+s_Irr!AM29+s_Irr!BK29)),IF(AND(s_Irr!O29&lt;&gt;".",s_Irr!AM29&lt;&gt;".",s_Irr!BK29="."),s_dir!P29/((1/1000)*(s_Irr!O29+s_Irr!AM29)),IF(AND(s_Irr!O29&lt;&gt;".",s_Irr!AM29=".",s_Irr!BK29&lt;&gt;"."),s_dir!P29/((1/1000)*(s_Irr!O29+s_Irr!BK29)),IF(AND(s_Irr!O29=".",s_Irr!AM29&lt;&gt;".",s_Irr!BK29&lt;&gt;"."),s_dir!P29/((1/1000)*(s_Irr!AM29+s_Irr!BK29)),IF(AND(s_Irr!O29=".",s_Irr!AM29=".",s_Irr!BK29&lt;&gt;"."),s_dir!P29/((1/1000)*(s_Irr!BK29)),IF(AND(s_Irr!O29=".",s_Irr!AM29&lt;&gt;".",s_Irr!BK29="."),s_dir!P29/((1/1000)*(s_Irr!AM29)),IF(AND(s_Irr!O29&lt;&gt;".",s_Irr!AM29=".",s_Irr!BK29="."),s_dir!P29/((1/1000)*(s_Irr!O29)),IF(AND(s_Irr!O29=".",s_Irr!AM29=".",s_Irr!BK29="."),s_dir!P29*1000)))))))),".")</f>
        <v>.</v>
      </c>
      <c r="Q29" s="76" t="str">
        <f>IFERROR(IF(AND(s_Irr!P29&lt;&gt;".",s_Irr!AN29&lt;&gt;".",s_Irr!BL29&lt;&gt;"."),s_dir!Q29/((1/1000)*(s_Irr!P29+s_Irr!AN29+s_Irr!BL29)),IF(AND(s_Irr!P29&lt;&gt;".",s_Irr!AN29&lt;&gt;".",s_Irr!BL29="."),s_dir!Q29/((1/1000)*(s_Irr!P29+s_Irr!AN29)),IF(AND(s_Irr!P29&lt;&gt;".",s_Irr!AN29=".",s_Irr!BL29&lt;&gt;"."),s_dir!Q29/((1/1000)*(s_Irr!P29+s_Irr!BL29)),IF(AND(s_Irr!P29=".",s_Irr!AN29&lt;&gt;".",s_Irr!BL29&lt;&gt;"."),s_dir!Q29/((1/1000)*(s_Irr!AN29+s_Irr!BL29)),IF(AND(s_Irr!P29=".",s_Irr!AN29=".",s_Irr!BL29&lt;&gt;"."),s_dir!Q29/((1/1000)*(s_Irr!BL29)),IF(AND(s_Irr!P29=".",s_Irr!AN29&lt;&gt;".",s_Irr!BL29="."),s_dir!Q29/((1/1000)*(s_Irr!AN29)),IF(AND(s_Irr!P29&lt;&gt;".",s_Irr!AN29=".",s_Irr!BL29="."),s_dir!Q29/((1/1000)*(s_Irr!P29)),IF(AND(s_Irr!P29=".",s_Irr!AN29=".",s_Irr!BL29="."),s_dir!Q29*1000)))))))),".")</f>
        <v>.</v>
      </c>
      <c r="R29" s="76" t="str">
        <f>IFERROR(IF(AND(s_Irr!Q29&lt;&gt;".",s_Irr!AO29&lt;&gt;".",s_Irr!BM29&lt;&gt;"."),s_dir!R29/((1/1000)*(s_Irr!Q29+s_Irr!AO29+s_Irr!BM29)),IF(AND(s_Irr!Q29&lt;&gt;".",s_Irr!AO29&lt;&gt;".",s_Irr!BM29="."),s_dir!R29/((1/1000)*(s_Irr!Q29+s_Irr!AO29)),IF(AND(s_Irr!Q29&lt;&gt;".",s_Irr!AO29=".",s_Irr!BM29&lt;&gt;"."),s_dir!R29/((1/1000)*(s_Irr!Q29+s_Irr!BM29)),IF(AND(s_Irr!Q29=".",s_Irr!AO29&lt;&gt;".",s_Irr!BM29&lt;&gt;"."),s_dir!R29/((1/1000)*(s_Irr!AO29+s_Irr!BM29)),IF(AND(s_Irr!Q29=".",s_Irr!AO29=".",s_Irr!BM29&lt;&gt;"."),s_dir!R29/((1/1000)*(s_Irr!BM29)),IF(AND(s_Irr!Q29=".",s_Irr!AO29&lt;&gt;".",s_Irr!BM29="."),s_dir!R29/((1/1000)*(s_Irr!AO29)),IF(AND(s_Irr!Q29&lt;&gt;".",s_Irr!AO29=".",s_Irr!BM29="."),s_dir!R29/((1/1000)*(s_Irr!Q29)),IF(AND(s_Irr!Q29=".",s_Irr!AO29=".",s_Irr!BM29="."),s_dir!R29*1000)))))))),".")</f>
        <v>.</v>
      </c>
      <c r="S29" s="76" t="str">
        <f>IFERROR(IF(AND(s_Irr!R29&lt;&gt;".",s_Irr!AP29&lt;&gt;".",s_Irr!BN29&lt;&gt;"."),s_dir!S29/((1/1000)*(s_Irr!R29+s_Irr!AP29+s_Irr!BN29)),IF(AND(s_Irr!R29&lt;&gt;".",s_Irr!AP29&lt;&gt;".",s_Irr!BN29="."),s_dir!S29/((1/1000)*(s_Irr!R29+s_Irr!AP29)),IF(AND(s_Irr!R29&lt;&gt;".",s_Irr!AP29=".",s_Irr!BN29&lt;&gt;"."),s_dir!S29/((1/1000)*(s_Irr!R29+s_Irr!BN29)),IF(AND(s_Irr!R29=".",s_Irr!AP29&lt;&gt;".",s_Irr!BN29&lt;&gt;"."),s_dir!S29/((1/1000)*(s_Irr!AP29+s_Irr!BN29)),IF(AND(s_Irr!R29=".",s_Irr!AP29=".",s_Irr!BN29&lt;&gt;"."),s_dir!S29/((1/1000)*(s_Irr!BN29)),IF(AND(s_Irr!R29=".",s_Irr!AP29&lt;&gt;".",s_Irr!BN29="."),s_dir!S29/((1/1000)*(s_Irr!AP29)),IF(AND(s_Irr!R29&lt;&gt;".",s_Irr!AP29=".",s_Irr!BN29="."),s_dir!S29/((1/1000)*(s_Irr!R29)),IF(AND(s_Irr!R29=".",s_Irr!AP29=".",s_Irr!BN29="."),s_dir!S29*1000)))))))),".")</f>
        <v>.</v>
      </c>
      <c r="T29" s="76" t="str">
        <f>IFERROR(IF(AND(s_Irr!S29&lt;&gt;".",s_Irr!AQ29&lt;&gt;".",s_Irr!BO29&lt;&gt;"."),s_dir!T29/((1/1000)*(s_Irr!S29+s_Irr!AQ29+s_Irr!BO29)),IF(AND(s_Irr!S29&lt;&gt;".",s_Irr!AQ29&lt;&gt;".",s_Irr!BO29="."),s_dir!T29/((1/1000)*(s_Irr!S29+s_Irr!AQ29)),IF(AND(s_Irr!S29&lt;&gt;".",s_Irr!AQ29=".",s_Irr!BO29&lt;&gt;"."),s_dir!T29/((1/1000)*(s_Irr!S29+s_Irr!BO29)),IF(AND(s_Irr!S29=".",s_Irr!AQ29&lt;&gt;".",s_Irr!BO29&lt;&gt;"."),s_dir!T29/((1/1000)*(s_Irr!AQ29+s_Irr!BO29)),IF(AND(s_Irr!S29=".",s_Irr!AQ29=".",s_Irr!BO29&lt;&gt;"."),s_dir!T29/((1/1000)*(s_Irr!BO29)),IF(AND(s_Irr!S29=".",s_Irr!AQ29&lt;&gt;".",s_Irr!BO29="."),s_dir!T29/((1/1000)*(s_Irr!AQ29)),IF(AND(s_Irr!S29&lt;&gt;".",s_Irr!AQ29=".",s_Irr!BO29="."),s_dir!T29/((1/1000)*(s_Irr!S29)),IF(AND(s_Irr!S29=".",s_Irr!AQ29=".",s_Irr!BO29="."),s_dir!T29*1000)))))))),".")</f>
        <v>.</v>
      </c>
      <c r="U29" s="76" t="str">
        <f>IFERROR(IF(AND(s_Irr!T29&lt;&gt;".",s_Irr!AR29&lt;&gt;".",s_Irr!BP29&lt;&gt;"."),s_dir!U29/((1/1000)*(s_Irr!T29+s_Irr!AR29+s_Irr!BP29)),IF(AND(s_Irr!T29&lt;&gt;".",s_Irr!AR29&lt;&gt;".",s_Irr!BP29="."),s_dir!U29/((1/1000)*(s_Irr!T29+s_Irr!AR29)),IF(AND(s_Irr!T29&lt;&gt;".",s_Irr!AR29=".",s_Irr!BP29&lt;&gt;"."),s_dir!U29/((1/1000)*(s_Irr!T29+s_Irr!BP29)),IF(AND(s_Irr!T29=".",s_Irr!AR29&lt;&gt;".",s_Irr!BP29&lt;&gt;"."),s_dir!U29/((1/1000)*(s_Irr!AR29+s_Irr!BP29)),IF(AND(s_Irr!T29=".",s_Irr!AR29=".",s_Irr!BP29&lt;&gt;"."),s_dir!U29/((1/1000)*(s_Irr!BP29)),IF(AND(s_Irr!T29=".",s_Irr!AR29&lt;&gt;".",s_Irr!BP29="."),s_dir!U29/((1/1000)*(s_Irr!AR29)),IF(AND(s_Irr!T29&lt;&gt;".",s_Irr!AR29=".",s_Irr!BP29="."),s_dir!U29/((1/1000)*(s_Irr!T29)),IF(AND(s_Irr!T29=".",s_Irr!AR29=".",s_Irr!BP29="."),s_dir!U29*1000)))))))),".")</f>
        <v>.</v>
      </c>
      <c r="V29" s="76" t="str">
        <f>IFERROR(IF(AND(s_Irr!U29&lt;&gt;".",s_Irr!AS29&lt;&gt;".",s_Irr!BQ29&lt;&gt;"."),s_dir!V29/((1/1000)*(s_Irr!U29+s_Irr!AS29+s_Irr!BQ29)),IF(AND(s_Irr!U29&lt;&gt;".",s_Irr!AS29&lt;&gt;".",s_Irr!BQ29="."),s_dir!V29/((1/1000)*(s_Irr!U29+s_Irr!AS29)),IF(AND(s_Irr!U29&lt;&gt;".",s_Irr!AS29=".",s_Irr!BQ29&lt;&gt;"."),s_dir!V29/((1/1000)*(s_Irr!U29+s_Irr!BQ29)),IF(AND(s_Irr!U29=".",s_Irr!AS29&lt;&gt;".",s_Irr!BQ29&lt;&gt;"."),s_dir!V29/((1/1000)*(s_Irr!AS29+s_Irr!BQ29)),IF(AND(s_Irr!U29=".",s_Irr!AS29=".",s_Irr!BQ29&lt;&gt;"."),s_dir!V29/((1/1000)*(s_Irr!BQ29)),IF(AND(s_Irr!U29=".",s_Irr!AS29&lt;&gt;".",s_Irr!BQ29="."),s_dir!V29/((1/1000)*(s_Irr!AS29)),IF(AND(s_Irr!U29&lt;&gt;".",s_Irr!AS29=".",s_Irr!BQ29="."),s_dir!V29/((1/1000)*(s_Irr!U29)),IF(AND(s_Irr!U29=".",s_Irr!AS29=".",s_Irr!BQ29="."),s_dir!V29*1000)))))))),".")</f>
        <v>.</v>
      </c>
      <c r="W29" s="76" t="str">
        <f>IFERROR(IF(AND(s_Irr!V29&lt;&gt;".",s_Irr!AT29&lt;&gt;".",s_Irr!BR29&lt;&gt;"."),s_dir!W29/((1/1000)*(s_Irr!V29+s_Irr!AT29+s_Irr!BR29)),IF(AND(s_Irr!V29&lt;&gt;".",s_Irr!AT29&lt;&gt;".",s_Irr!BR29="."),s_dir!W29/((1/1000)*(s_Irr!V29+s_Irr!AT29)),IF(AND(s_Irr!V29&lt;&gt;".",s_Irr!AT29=".",s_Irr!BR29&lt;&gt;"."),s_dir!W29/((1/1000)*(s_Irr!V29+s_Irr!BR29)),IF(AND(s_Irr!V29=".",s_Irr!AT29&lt;&gt;".",s_Irr!BR29&lt;&gt;"."),s_dir!W29/((1/1000)*(s_Irr!AT29+s_Irr!BR29)),IF(AND(s_Irr!V29=".",s_Irr!AT29=".",s_Irr!BR29&lt;&gt;"."),s_dir!W29/((1/1000)*(s_Irr!BR29)),IF(AND(s_Irr!V29=".",s_Irr!AT29&lt;&gt;".",s_Irr!BR29="."),s_dir!W29/((1/1000)*(s_Irr!AT29)),IF(AND(s_Irr!V29&lt;&gt;".",s_Irr!AT29=".",s_Irr!BR29="."),s_dir!W29/((1/1000)*(s_Irr!V29)),IF(AND(s_Irr!V29=".",s_Irr!AT29=".",s_Irr!BR29="."),s_dir!W29*1000)))))))),".")</f>
        <v>.</v>
      </c>
      <c r="X29" s="76" t="str">
        <f>IFERROR(IF(AND(s_Irr!W29&lt;&gt;".",s_Irr!AU29&lt;&gt;".",s_Irr!BS29&lt;&gt;"."),s_dir!X29/((1/1000)*(s_Irr!W29+s_Irr!AU29+s_Irr!BS29)),IF(AND(s_Irr!W29&lt;&gt;".",s_Irr!AU29&lt;&gt;".",s_Irr!BS29="."),s_dir!X29/((1/1000)*(s_Irr!W29+s_Irr!AU29)),IF(AND(s_Irr!W29&lt;&gt;".",s_Irr!AU29=".",s_Irr!BS29&lt;&gt;"."),s_dir!X29/((1/1000)*(s_Irr!W29+s_Irr!BS29)),IF(AND(s_Irr!W29=".",s_Irr!AU29&lt;&gt;".",s_Irr!BS29&lt;&gt;"."),s_dir!X29/((1/1000)*(s_Irr!AU29+s_Irr!BS29)),IF(AND(s_Irr!W29=".",s_Irr!AU29=".",s_Irr!BS29&lt;&gt;"."),s_dir!X29/((1/1000)*(s_Irr!BS29)),IF(AND(s_Irr!W29=".",s_Irr!AU29&lt;&gt;".",s_Irr!BS29="."),s_dir!X29/((1/1000)*(s_Irr!AU29)),IF(AND(s_Irr!W29&lt;&gt;".",s_Irr!AU29=".",s_Irr!BS29="."),s_dir!X29/((1/1000)*(s_Irr!W29)),IF(AND(s_Irr!W29=".",s_Irr!AU29=".",s_Irr!BS29="."),s_dir!X29*1000)))))))),".")</f>
        <v>.</v>
      </c>
      <c r="Y29" s="76" t="str">
        <f>IFERROR(IF(AND(s_Irr!X29&lt;&gt;".",s_Irr!AV29&lt;&gt;".",s_Irr!BT29&lt;&gt;"."),s_dir!Y29/((1/1000)*(s_Irr!X29+s_Irr!AV29+s_Irr!BT29)),IF(AND(s_Irr!X29&lt;&gt;".",s_Irr!AV29&lt;&gt;".",s_Irr!BT29="."),s_dir!Y29/((1/1000)*(s_Irr!X29+s_Irr!AV29)),IF(AND(s_Irr!X29&lt;&gt;".",s_Irr!AV29=".",s_Irr!BT29&lt;&gt;"."),s_dir!Y29/((1/1000)*(s_Irr!X29+s_Irr!BT29)),IF(AND(s_Irr!X29=".",s_Irr!AV29&lt;&gt;".",s_Irr!BT29&lt;&gt;"."),s_dir!Y29/((1/1000)*(s_Irr!AV29+s_Irr!BT29)),IF(AND(s_Irr!X29=".",s_Irr!AV29=".",s_Irr!BT29&lt;&gt;"."),s_dir!Y29/((1/1000)*(s_Irr!BT29)),IF(AND(s_Irr!X29=".",s_Irr!AV29&lt;&gt;".",s_Irr!BT29="."),s_dir!Y29/((1/1000)*(s_Irr!AV29)),IF(AND(s_Irr!X29&lt;&gt;".",s_Irr!AV29=".",s_Irr!BT29="."),s_dir!Y29/((1/1000)*(s_Irr!X29)),IF(AND(s_Irr!X29=".",s_Irr!AV29=".",s_Irr!BT29="."),s_dir!Y29*1000)))))))),".")</f>
        <v>.</v>
      </c>
      <c r="Z29" s="76" t="str">
        <f>IFERROR(IF(AND(s_Irr!Y29&lt;&gt;".",s_Irr!AW29&lt;&gt;".",s_Irr!BU29&lt;&gt;"."),s_dir!Z29/((1/1000)*(s_Irr!Y29+s_Irr!AW29+s_Irr!BU29)),IF(AND(s_Irr!Y29&lt;&gt;".",s_Irr!AW29&lt;&gt;".",s_Irr!BU29="."),s_dir!Z29/((1/1000)*(s_Irr!Y29+s_Irr!AW29)),IF(AND(s_Irr!Y29&lt;&gt;".",s_Irr!AW29=".",s_Irr!BU29&lt;&gt;"."),s_dir!Z29/((1/1000)*(s_Irr!Y29+s_Irr!BU29)),IF(AND(s_Irr!Y29=".",s_Irr!AW29&lt;&gt;".",s_Irr!BU29&lt;&gt;"."),s_dir!Z29/((1/1000)*(s_Irr!AW29+s_Irr!BU29)),IF(AND(s_Irr!Y29=".",s_Irr!AW29=".",s_Irr!BU29&lt;&gt;"."),s_dir!Z29/((1/1000)*(s_Irr!BU29)),IF(AND(s_Irr!Y29=".",s_Irr!AW29&lt;&gt;".",s_Irr!BU29="."),s_dir!Z29/((1/1000)*(s_Irr!AW29)),IF(AND(s_Irr!Y29&lt;&gt;".",s_Irr!AW29=".",s_Irr!BU29="."),s_dir!Z29/((1/1000)*(s_Irr!Y29)),IF(AND(s_Irr!Y29=".",s_Irr!AW29=".",s_Irr!BU29="."),s_dir!Z29*1000)))))))),".")</f>
        <v>.</v>
      </c>
      <c r="AA29" s="76" t="str">
        <f>IFERROR(IF(AND(s_Irr!Z29&lt;&gt;".",s_Irr!AX29&lt;&gt;".",s_Irr!BV29&lt;&gt;"."),s_dir!AA29/((1/1000)*(s_Irr!Z29+s_Irr!AX29+s_Irr!BV29)),IF(AND(s_Irr!Z29&lt;&gt;".",s_Irr!AX29&lt;&gt;".",s_Irr!BV29="."),s_dir!AA29/((1/1000)*(s_Irr!Z29+s_Irr!AX29)),IF(AND(s_Irr!Z29&lt;&gt;".",s_Irr!AX29=".",s_Irr!BV29&lt;&gt;"."),s_dir!AA29/((1/1000)*(s_Irr!Z29+s_Irr!BV29)),IF(AND(s_Irr!Z29=".",s_Irr!AX29&lt;&gt;".",s_Irr!BV29&lt;&gt;"."),s_dir!AA29/((1/1000)*(s_Irr!AX29+s_Irr!BV29)),IF(AND(s_Irr!Z29=".",s_Irr!AX29=".",s_Irr!BV29&lt;&gt;"."),s_dir!AA29/((1/1000)*(s_Irr!BV29)),IF(AND(s_Irr!Z29=".",s_Irr!AX29&lt;&gt;".",s_Irr!BV29="."),s_dir!AA29/((1/1000)*(s_Irr!AX29)),IF(AND(s_Irr!Z29&lt;&gt;".",s_Irr!AX29=".",s_Irr!BV29="."),s_dir!AA29/((1/1000)*(s_Irr!Z29)),IF(AND(s_Irr!Z29=".",s_Irr!AX29=".",s_Irr!BV29="."),s_dir!AA29*1000)))))))),".")</f>
        <v>.</v>
      </c>
      <c r="AB29" s="93">
        <f t="shared" si="32"/>
        <v>1738.5827027196997</v>
      </c>
      <c r="AC29" s="93">
        <f>IFERROR(s_C*s_IFAP_res_adj*s_CF_apple*0.001*(s_Irr!C29+s_Irr!AA29+s_Irr!AY29),".")</f>
        <v>161.04968044979253</v>
      </c>
      <c r="AD29" s="93">
        <f>IFERROR(s_C*s_IFAS_res_adj*s_CF_asparagus*0.001*(s_Irr!D29+s_Irr!AB29+s_Irr!AZ29),".")</f>
        <v>163.01681762340641</v>
      </c>
      <c r="AE29" s="93">
        <f>IFERROR(s_C*s_IFBT_res_adj*s_CF_beet*0.001*(s_Irr!E29+s_Irr!AC29+s_Irr!BA29),".")</f>
        <v>161.04968044979253</v>
      </c>
      <c r="AF29" s="93">
        <f>IFERROR(s_C*s_IFBE_res_adj*s_CF_berries*0.001*(s_Irr!F29+s_Irr!AD29+s_Irr!BB29),".")</f>
        <v>161.04968044979253</v>
      </c>
      <c r="AG29" s="93">
        <f>IFERROR(s_C*s_IFBR_res_adj*s_CF_broccoli*0.001*(s_Irr!G29+s_Irr!AE29+s_Irr!BC29),".")</f>
        <v>161.04968044979253</v>
      </c>
      <c r="AH29" s="93">
        <f>IFERROR(s_C*s_IFCB_res_adj*s_CF_cabbage*0.001*(s_Irr!H29+s_Irr!AF29+s_Irr!BD29),".")</f>
        <v>163.01681762340641</v>
      </c>
      <c r="AI29" s="93">
        <f>IFERROR(s_C*s_IFCR_res_adj*s_CF_carrot*0.001*(s_Irr!I29+s_Irr!AG29+s_Irr!BE29),".")</f>
        <v>161.04968044979253</v>
      </c>
      <c r="AJ29" s="93">
        <f>IFERROR(s_C*s_IFCI_res_adj*s_CF_citrus*0.001*(s_Irr!J29+s_Irr!AH29+s_Irr!BF29),".")</f>
        <v>161.04968044979253</v>
      </c>
      <c r="AK29" s="93">
        <f>IFERROR(s_C*s_IFCO_res_adj*s_CF_corn*0.001*(s_Irr!K29+s_Irr!AI29+s_Irr!BG29),".")</f>
        <v>161.04968044979253</v>
      </c>
      <c r="AL29" s="93">
        <f>IFERROR(s_C*s_IFCU_res_adj*s_CF_cucumber*0.001*(s_Irr!L29+s_Irr!AJ29+s_Irr!BH29),".")</f>
        <v>161.04968044979253</v>
      </c>
      <c r="AM29" s="93">
        <f>IFERROR(s_C*s_IFLE_res_adj*s_CF_lettuce*0.001*(s_Irr!M29+s_Irr!AK29+s_Irr!BI29),".")</f>
        <v>163.01681762340641</v>
      </c>
      <c r="AN29" s="93">
        <f>IFERROR(s_C*s_IFLI_res_adj*s_CF_lima_bean*0.001*(s_Irr!N29+s_Irr!AL29+s_Irr!BJ29),".")</f>
        <v>161.04968044979253</v>
      </c>
      <c r="AO29" s="93">
        <f>IFERROR(s_C*s_IFOK_res_adj*s_CF_okra*0.001*(s_Irr!O29+s_Irr!AM29+s_Irr!BK29),".")</f>
        <v>161.04968044979253</v>
      </c>
      <c r="AP29" s="93">
        <f>IFERROR(s_C*s_IFON_res_adj*s_CF_onion*0.001*(s_Irr!P29+s_Irr!AN29+s_Irr!BL29),".")</f>
        <v>161.04968044979253</v>
      </c>
      <c r="AQ29" s="93">
        <f>IFERROR(s_C*s_IFPC_res_adj*s_CF_peach*0.001*(s_Irr!Q29+s_Irr!AO29+s_Irr!BM29),".")</f>
        <v>161.04968044979253</v>
      </c>
      <c r="AR29" s="93">
        <f>IFERROR(s_C*s_IFPR_res_adj*s_CF_pear*0.001*(s_Irr!R29+s_Irr!AP29+s_Irr!BN29),".")</f>
        <v>161.04968044979253</v>
      </c>
      <c r="AS29" s="93">
        <f>IFERROR(s_C*s_IFPE_res_adj*s_CF_peas*0.001*(s_Irr!S29+s_Irr!AQ29+s_Irr!BO29),".")</f>
        <v>161.04968044979253</v>
      </c>
      <c r="AT29" s="93">
        <f>IFERROR(s_C*s_IFPT_res_adj*s_CF_potato*0.001*(s_Irr!T29+s_Irr!AR29+s_Irr!BP29),".")</f>
        <v>161.04968044979253</v>
      </c>
      <c r="AU29" s="93">
        <f>IFERROR(s_C*s_IFPU_res_adj*s_CF_pumpkin*0.001*(s_Irr!U29+s_Irr!AS29+s_Irr!BQ29),".")</f>
        <v>161.04968044979253</v>
      </c>
      <c r="AV29" s="93">
        <f>IFERROR(s_C*s_IFSN_res_adj*s_CF_snap_bean*0.001*(s_Irr!V29+s_Irr!AT29+s_Irr!BR29),".")</f>
        <v>161.04968044979253</v>
      </c>
      <c r="AW29" s="93">
        <f>IFERROR(s_C*s_IFST_res_adj*s_CF_strawberry*0.001*(s_Irr!W29+s_Irr!AU29+s_Irr!BS29),".")</f>
        <v>161.04968044979253</v>
      </c>
      <c r="AX29" s="93">
        <f>IFERROR(s_C*s_IFTO_res_adj*s_CF_tomato*0.001*(s_Irr!X29+s_Irr!AV29+s_Irr!BT29),".")</f>
        <v>161.04968044979253</v>
      </c>
      <c r="AY29" s="93">
        <f>IFERROR(s_C*s_IFRI_res_adj*s_CF_rice*0.001*(s_Irr!Y29+s_Irr!AW29+s_Irr!BU29),".")</f>
        <v>707.25810232325045</v>
      </c>
      <c r="AZ29" s="93">
        <f>IFERROR(s_C*s_IFCG_res_adj*s_CF_cereal*0.001*(s_Irr!Z29+s_Irr!AX29+s_Irr!BV29),".")</f>
        <v>707.25810232325045</v>
      </c>
      <c r="BA29" s="76" t="str">
        <f t="shared" si="31"/>
        <v>.</v>
      </c>
      <c r="BB29" s="76" t="str">
        <f>IFERROR(IF(AND(s_Irr!C29&lt;&gt;".",s_Irr!AA29&lt;&gt;".",s_Irr!AY29&lt;&gt;"."),s_dir!AC29/((1/1000)*(s_Irr!C29+s_Irr!AA29+s_Irr!AY29)),IF(AND(s_Irr!C29&lt;&gt;".",s_Irr!AA29&lt;&gt;".",s_Irr!AY29="."),s_dir!AC29/((1/1000)*(s_Irr!C29+s_Irr!AA29)),IF(AND(s_Irr!C29&lt;&gt;".",s_Irr!AA29=".",s_Irr!AY29&lt;&gt;"."),s_dir!AC29/((1/1000)*(s_Irr!C29+s_Irr!AY29)),IF(AND(s_Irr!C29=".",s_Irr!AA29&lt;&gt;".",s_Irr!AY29&lt;&gt;"."),s_dir!AC29/((1/1000)*(s_Irr!AA29+s_Irr!AY29)),IF(AND(s_Irr!C29=".",s_Irr!AA29=".",s_Irr!AY29&lt;&gt;"."),s_dir!AC29/((1/1000)*(s_Irr!AY29)),IF(AND(s_Irr!C29=".",s_Irr!AA29&lt;&gt;".",s_Irr!AY29="."),s_dir!AC29/((1/1000)*(s_Irr!AA29)),IF(AND(s_Irr!C29&lt;&gt;".",s_Irr!AA29=".",s_Irr!AY29="."),s_dir!AC29/((1/1000)*(s_Irr!C29)),IF(AND(s_Irr!C29=".",s_Irr!AA29=".",s_Irr!AY29="."),s_dir!AC29*1000)))))))),".")</f>
        <v>.</v>
      </c>
      <c r="BC29" s="76" t="str">
        <f>IFERROR(IF(AND(s_Irr!D29&lt;&gt;".",s_Irr!AB29&lt;&gt;".",s_Irr!AZ29&lt;&gt;"."),s_dir!AD29/((1/1000)*(s_Irr!D29+s_Irr!AB29+s_Irr!AZ29)),IF(AND(s_Irr!D29&lt;&gt;".",s_Irr!AB29&lt;&gt;".",s_Irr!AZ29="."),s_dir!AD29/((1/1000)*(s_Irr!D29+s_Irr!AB29)),IF(AND(s_Irr!D29&lt;&gt;".",s_Irr!AB29=".",s_Irr!AZ29&lt;&gt;"."),s_dir!AD29/((1/1000)*(s_Irr!D29+s_Irr!AZ29)),IF(AND(s_Irr!D29=".",s_Irr!AB29&lt;&gt;".",s_Irr!AZ29&lt;&gt;"."),s_dir!AD29/((1/1000)*(s_Irr!AB29+s_Irr!AZ29)),IF(AND(s_Irr!D29=".",s_Irr!AB29=".",s_Irr!AZ29&lt;&gt;"."),s_dir!AD29/((1/1000)*(s_Irr!AZ29)),IF(AND(s_Irr!D29=".",s_Irr!AB29&lt;&gt;".",s_Irr!AZ29="."),s_dir!AD29/((1/1000)*(s_Irr!AB29)),IF(AND(s_Irr!D29&lt;&gt;".",s_Irr!AB29=".",s_Irr!AZ29="."),s_dir!AD29/((1/1000)*(s_Irr!D29)),IF(AND(s_Irr!D29=".",s_Irr!AB29=".",s_Irr!AZ29="."),s_dir!AD29*1000)))))))),".")</f>
        <v>.</v>
      </c>
      <c r="BD29" s="76" t="str">
        <f>IFERROR(IF(AND(s_Irr!E29&lt;&gt;".",s_Irr!AC29&lt;&gt;".",s_Irr!BA29&lt;&gt;"."),s_dir!AE29/((1/1000)*(s_Irr!E29+s_Irr!AC29+s_Irr!BA29)),IF(AND(s_Irr!E29&lt;&gt;".",s_Irr!AC29&lt;&gt;".",s_Irr!BA29="."),s_dir!AE29/((1/1000)*(s_Irr!E29+s_Irr!AC29)),IF(AND(s_Irr!E29&lt;&gt;".",s_Irr!AC29=".",s_Irr!BA29&lt;&gt;"."),s_dir!AE29/((1/1000)*(s_Irr!E29+s_Irr!BA29)),IF(AND(s_Irr!E29=".",s_Irr!AC29&lt;&gt;".",s_Irr!BA29&lt;&gt;"."),s_dir!AE29/((1/1000)*(s_Irr!AC29+s_Irr!BA29)),IF(AND(s_Irr!E29=".",s_Irr!AC29=".",s_Irr!BA29&lt;&gt;"."),s_dir!AE29/((1/1000)*(s_Irr!BA29)),IF(AND(s_Irr!E29=".",s_Irr!AC29&lt;&gt;".",s_Irr!BA29="."),s_dir!AE29/((1/1000)*(s_Irr!AC29)),IF(AND(s_Irr!E29&lt;&gt;".",s_Irr!AC29=".",s_Irr!BA29="."),s_dir!AE29/((1/1000)*(s_Irr!E29)),IF(AND(s_Irr!E29=".",s_Irr!AC29=".",s_Irr!BA29="."),s_dir!AE29*1000)))))))),".")</f>
        <v>.</v>
      </c>
      <c r="BE29" s="76" t="str">
        <f>IFERROR(IF(AND(s_Irr!F29&lt;&gt;".",s_Irr!AD29&lt;&gt;".",s_Irr!BB29&lt;&gt;"."),s_dir!AF29/((1/1000)*(s_Irr!F29+s_Irr!AD29+s_Irr!BB29)),IF(AND(s_Irr!F29&lt;&gt;".",s_Irr!AD29&lt;&gt;".",s_Irr!BB29="."),s_dir!AF29/((1/1000)*(s_Irr!F29+s_Irr!AD29)),IF(AND(s_Irr!F29&lt;&gt;".",s_Irr!AD29=".",s_Irr!BB29&lt;&gt;"."),s_dir!AF29/((1/1000)*(s_Irr!F29+s_Irr!BB29)),IF(AND(s_Irr!F29=".",s_Irr!AD29&lt;&gt;".",s_Irr!BB29&lt;&gt;"."),s_dir!AF29/((1/1000)*(s_Irr!AD29+s_Irr!BB29)),IF(AND(s_Irr!F29=".",s_Irr!AD29=".",s_Irr!BB29&lt;&gt;"."),s_dir!AF29/((1/1000)*(s_Irr!BB29)),IF(AND(s_Irr!F29=".",s_Irr!AD29&lt;&gt;".",s_Irr!BB29="."),s_dir!AF29/((1/1000)*(s_Irr!AD29)),IF(AND(s_Irr!F29&lt;&gt;".",s_Irr!AD29=".",s_Irr!BB29="."),s_dir!AF29/((1/1000)*(s_Irr!F29)),IF(AND(s_Irr!F29=".",s_Irr!AD29=".",s_Irr!BB29="."),s_dir!AF29*1000)))))))),".")</f>
        <v>.</v>
      </c>
      <c r="BF29" s="76" t="str">
        <f>IFERROR(IF(AND(s_Irr!G29&lt;&gt;".",s_Irr!AE29&lt;&gt;".",s_Irr!BC29&lt;&gt;"."),s_dir!AG29/((1/1000)*(s_Irr!G29+s_Irr!AE29+s_Irr!BC29)),IF(AND(s_Irr!G29&lt;&gt;".",s_Irr!AE29&lt;&gt;".",s_Irr!BC29="."),s_dir!AG29/((1/1000)*(s_Irr!G29+s_Irr!AE29)),IF(AND(s_Irr!G29&lt;&gt;".",s_Irr!AE29=".",s_Irr!BC29&lt;&gt;"."),s_dir!AG29/((1/1000)*(s_Irr!G29+s_Irr!BC29)),IF(AND(s_Irr!G29=".",s_Irr!AE29&lt;&gt;".",s_Irr!BC29&lt;&gt;"."),s_dir!AG29/((1/1000)*(s_Irr!AE29+s_Irr!BC29)),IF(AND(s_Irr!G29=".",s_Irr!AE29=".",s_Irr!BC29&lt;&gt;"."),s_dir!AG29/((1/1000)*(s_Irr!BC29)),IF(AND(s_Irr!G29=".",s_Irr!AE29&lt;&gt;".",s_Irr!BC29="."),s_dir!AG29/((1/1000)*(s_Irr!AE29)),IF(AND(s_Irr!G29&lt;&gt;".",s_Irr!AE29=".",s_Irr!BC29="."),s_dir!AG29/((1/1000)*(s_Irr!G29)),IF(AND(s_Irr!G29=".",s_Irr!AE29=".",s_Irr!BC29="."),s_dir!AG29*1000)))))))),".")</f>
        <v>.</v>
      </c>
      <c r="BG29" s="76" t="str">
        <f>IFERROR(IF(AND(s_Irr!H29&lt;&gt;".",s_Irr!AF29&lt;&gt;".",s_Irr!BD29&lt;&gt;"."),s_dir!AH29/((1/1000)*(s_Irr!H29+s_Irr!AF29+s_Irr!BD29)),IF(AND(s_Irr!H29&lt;&gt;".",s_Irr!AF29&lt;&gt;".",s_Irr!BD29="."),s_dir!AH29/((1/1000)*(s_Irr!H29+s_Irr!AF29)),IF(AND(s_Irr!H29&lt;&gt;".",s_Irr!AF29=".",s_Irr!BD29&lt;&gt;"."),s_dir!AH29/((1/1000)*(s_Irr!H29+s_Irr!BD29)),IF(AND(s_Irr!H29=".",s_Irr!AF29&lt;&gt;".",s_Irr!BD29&lt;&gt;"."),s_dir!AH29/((1/1000)*(s_Irr!AF29+s_Irr!BD29)),IF(AND(s_Irr!H29=".",s_Irr!AF29=".",s_Irr!BD29&lt;&gt;"."),s_dir!AH29/((1/1000)*(s_Irr!BD29)),IF(AND(s_Irr!H29=".",s_Irr!AF29&lt;&gt;".",s_Irr!BD29="."),s_dir!AH29/((1/1000)*(s_Irr!AF29)),IF(AND(s_Irr!H29&lt;&gt;".",s_Irr!AF29=".",s_Irr!BD29="."),s_dir!AH29/((1/1000)*(s_Irr!H29)),IF(AND(s_Irr!H29=".",s_Irr!AF29=".",s_Irr!BD29="."),s_dir!AH29*1000)))))))),".")</f>
        <v>.</v>
      </c>
      <c r="BH29" s="76" t="str">
        <f>IFERROR(IF(AND(s_Irr!I29&lt;&gt;".",s_Irr!AG29&lt;&gt;".",s_Irr!BE29&lt;&gt;"."),s_dir!AI29/((1/1000)*(s_Irr!I29+s_Irr!AG29+s_Irr!BE29)),IF(AND(s_Irr!I29&lt;&gt;".",s_Irr!AG29&lt;&gt;".",s_Irr!BE29="."),s_dir!AI29/((1/1000)*(s_Irr!I29+s_Irr!AG29)),IF(AND(s_Irr!I29&lt;&gt;".",s_Irr!AG29=".",s_Irr!BE29&lt;&gt;"."),s_dir!AI29/((1/1000)*(s_Irr!I29+s_Irr!BE29)),IF(AND(s_Irr!I29=".",s_Irr!AG29&lt;&gt;".",s_Irr!BE29&lt;&gt;"."),s_dir!AI29/((1/1000)*(s_Irr!AG29+s_Irr!BE29)),IF(AND(s_Irr!I29=".",s_Irr!AG29=".",s_Irr!BE29&lt;&gt;"."),s_dir!AI29/((1/1000)*(s_Irr!BE29)),IF(AND(s_Irr!I29=".",s_Irr!AG29&lt;&gt;".",s_Irr!BE29="."),s_dir!AI29/((1/1000)*(s_Irr!AG29)),IF(AND(s_Irr!I29&lt;&gt;".",s_Irr!AG29=".",s_Irr!BE29="."),s_dir!AI29/((1/1000)*(s_Irr!I29)),IF(AND(s_Irr!I29=".",s_Irr!AG29=".",s_Irr!BE29="."),s_dir!AI29*1000)))))))),".")</f>
        <v>.</v>
      </c>
      <c r="BI29" s="76" t="str">
        <f>IFERROR(IF(AND(s_Irr!J29&lt;&gt;".",s_Irr!AH29&lt;&gt;".",s_Irr!BF29&lt;&gt;"."),s_dir!AJ29/((1/1000)*(s_Irr!J29+s_Irr!AH29+s_Irr!BF29)),IF(AND(s_Irr!J29&lt;&gt;".",s_Irr!AH29&lt;&gt;".",s_Irr!BF29="."),s_dir!AJ29/((1/1000)*(s_Irr!J29+s_Irr!AH29)),IF(AND(s_Irr!J29&lt;&gt;".",s_Irr!AH29=".",s_Irr!BF29&lt;&gt;"."),s_dir!AJ29/((1/1000)*(s_Irr!J29+s_Irr!BF29)),IF(AND(s_Irr!J29=".",s_Irr!AH29&lt;&gt;".",s_Irr!BF29&lt;&gt;"."),s_dir!AJ29/((1/1000)*(s_Irr!AH29+s_Irr!BF29)),IF(AND(s_Irr!J29=".",s_Irr!AH29=".",s_Irr!BF29&lt;&gt;"."),s_dir!AJ29/((1/1000)*(s_Irr!BF29)),IF(AND(s_Irr!J29=".",s_Irr!AH29&lt;&gt;".",s_Irr!BF29="."),s_dir!AJ29/((1/1000)*(s_Irr!AH29)),IF(AND(s_Irr!J29&lt;&gt;".",s_Irr!AH29=".",s_Irr!BF29="."),s_dir!AJ29/((1/1000)*(s_Irr!J29)),IF(AND(s_Irr!J29=".",s_Irr!AH29=".",s_Irr!BF29="."),s_dir!AJ29*1000)))))))),".")</f>
        <v>.</v>
      </c>
      <c r="BJ29" s="76" t="str">
        <f>IFERROR(IF(AND(s_Irr!K29&lt;&gt;".",s_Irr!AI29&lt;&gt;".",s_Irr!BG29&lt;&gt;"."),s_dir!AK29/((1/1000)*(s_Irr!K29+s_Irr!AI29+s_Irr!BG29)),IF(AND(s_Irr!K29&lt;&gt;".",s_Irr!AI29&lt;&gt;".",s_Irr!BG29="."),s_dir!AK29/((1/1000)*(s_Irr!K29+s_Irr!AI29)),IF(AND(s_Irr!K29&lt;&gt;".",s_Irr!AI29=".",s_Irr!BG29&lt;&gt;"."),s_dir!AK29/((1/1000)*(s_Irr!K29+s_Irr!BG29)),IF(AND(s_Irr!K29=".",s_Irr!AI29&lt;&gt;".",s_Irr!BG29&lt;&gt;"."),s_dir!AK29/((1/1000)*(s_Irr!AI29+s_Irr!BG29)),IF(AND(s_Irr!K29=".",s_Irr!AI29=".",s_Irr!BG29&lt;&gt;"."),s_dir!AK29/((1/1000)*(s_Irr!BG29)),IF(AND(s_Irr!K29=".",s_Irr!AI29&lt;&gt;".",s_Irr!BG29="."),s_dir!AK29/((1/1000)*(s_Irr!AI29)),IF(AND(s_Irr!K29&lt;&gt;".",s_Irr!AI29=".",s_Irr!BG29="."),s_dir!AK29/((1/1000)*(s_Irr!K29)),IF(AND(s_Irr!K29=".",s_Irr!AI29=".",s_Irr!BG29="."),s_dir!AK29*1000)))))))),".")</f>
        <v>.</v>
      </c>
      <c r="BK29" s="76" t="str">
        <f>IFERROR(IF(AND(s_Irr!L29&lt;&gt;".",s_Irr!AJ29&lt;&gt;".",s_Irr!BH29&lt;&gt;"."),s_dir!AL29/((1/1000)*(s_Irr!L29+s_Irr!AJ29+s_Irr!BH29)),IF(AND(s_Irr!L29&lt;&gt;".",s_Irr!AJ29&lt;&gt;".",s_Irr!BH29="."),s_dir!AL29/((1/1000)*(s_Irr!L29+s_Irr!AJ29)),IF(AND(s_Irr!L29&lt;&gt;".",s_Irr!AJ29=".",s_Irr!BH29&lt;&gt;"."),s_dir!AL29/((1/1000)*(s_Irr!L29+s_Irr!BH29)),IF(AND(s_Irr!L29=".",s_Irr!AJ29&lt;&gt;".",s_Irr!BH29&lt;&gt;"."),s_dir!AL29/((1/1000)*(s_Irr!AJ29+s_Irr!BH29)),IF(AND(s_Irr!L29=".",s_Irr!AJ29=".",s_Irr!BH29&lt;&gt;"."),s_dir!AL29/((1/1000)*(s_Irr!BH29)),IF(AND(s_Irr!L29=".",s_Irr!AJ29&lt;&gt;".",s_Irr!BH29="."),s_dir!AL29/((1/1000)*(s_Irr!AJ29)),IF(AND(s_Irr!L29&lt;&gt;".",s_Irr!AJ29=".",s_Irr!BH29="."),s_dir!AL29/((1/1000)*(s_Irr!L29)),IF(AND(s_Irr!L29=".",s_Irr!AJ29=".",s_Irr!BH29="."),s_dir!AL29*1000)))))))),".")</f>
        <v>.</v>
      </c>
      <c r="BL29" s="76" t="str">
        <f>IFERROR(IF(AND(s_Irr!M29&lt;&gt;".",s_Irr!AK29&lt;&gt;".",s_Irr!BI29&lt;&gt;"."),s_dir!AM29/((1/1000)*(s_Irr!M29+s_Irr!AK29+s_Irr!BI29)),IF(AND(s_Irr!M29&lt;&gt;".",s_Irr!AK29&lt;&gt;".",s_Irr!BI29="."),s_dir!AM29/((1/1000)*(s_Irr!M29+s_Irr!AK29)),IF(AND(s_Irr!M29&lt;&gt;".",s_Irr!AK29=".",s_Irr!BI29&lt;&gt;"."),s_dir!AM29/((1/1000)*(s_Irr!M29+s_Irr!BI29)),IF(AND(s_Irr!M29=".",s_Irr!AK29&lt;&gt;".",s_Irr!BI29&lt;&gt;"."),s_dir!AM29/((1/1000)*(s_Irr!AK29+s_Irr!BI29)),IF(AND(s_Irr!M29=".",s_Irr!AK29=".",s_Irr!BI29&lt;&gt;"."),s_dir!AM29/((1/1000)*(s_Irr!BI29)),IF(AND(s_Irr!M29=".",s_Irr!AK29&lt;&gt;".",s_Irr!BI29="."),s_dir!AM29/((1/1000)*(s_Irr!AK29)),IF(AND(s_Irr!M29&lt;&gt;".",s_Irr!AK29=".",s_Irr!BI29="."),s_dir!AM29/((1/1000)*(s_Irr!M29)),IF(AND(s_Irr!M29=".",s_Irr!AK29=".",s_Irr!BI29="."),s_dir!AM29*1000)))))))),".")</f>
        <v>.</v>
      </c>
      <c r="BM29" s="76" t="str">
        <f>IFERROR(IF(AND(s_Irr!N29&lt;&gt;".",s_Irr!AL29&lt;&gt;".",s_Irr!BJ29&lt;&gt;"."),s_dir!AN29/((1/1000)*(s_Irr!N29+s_Irr!AL29+s_Irr!BJ29)),IF(AND(s_Irr!N29&lt;&gt;".",s_Irr!AL29&lt;&gt;".",s_Irr!BJ29="."),s_dir!AN29/((1/1000)*(s_Irr!N29+s_Irr!AL29)),IF(AND(s_Irr!N29&lt;&gt;".",s_Irr!AL29=".",s_Irr!BJ29&lt;&gt;"."),s_dir!AN29/((1/1000)*(s_Irr!N29+s_Irr!BJ29)),IF(AND(s_Irr!N29=".",s_Irr!AL29&lt;&gt;".",s_Irr!BJ29&lt;&gt;"."),s_dir!AN29/((1/1000)*(s_Irr!AL29+s_Irr!BJ29)),IF(AND(s_Irr!N29=".",s_Irr!AL29=".",s_Irr!BJ29&lt;&gt;"."),s_dir!AN29/((1/1000)*(s_Irr!BJ29)),IF(AND(s_Irr!N29=".",s_Irr!AL29&lt;&gt;".",s_Irr!BJ29="."),s_dir!AN29/((1/1000)*(s_Irr!AL29)),IF(AND(s_Irr!N29&lt;&gt;".",s_Irr!AL29=".",s_Irr!BJ29="."),s_dir!AN29/((1/1000)*(s_Irr!N29)),IF(AND(s_Irr!N29=".",s_Irr!AL29=".",s_Irr!BJ29="."),s_dir!AN29*1000)))))))),".")</f>
        <v>.</v>
      </c>
      <c r="BN29" s="76" t="str">
        <f>IFERROR(IF(AND(s_Irr!O29&lt;&gt;".",s_Irr!AM29&lt;&gt;".",s_Irr!BK29&lt;&gt;"."),s_dir!AO29/((1/1000)*(s_Irr!O29+s_Irr!AM29+s_Irr!BK29)),IF(AND(s_Irr!O29&lt;&gt;".",s_Irr!AM29&lt;&gt;".",s_Irr!BK29="."),s_dir!AO29/((1/1000)*(s_Irr!O29+s_Irr!AM29)),IF(AND(s_Irr!O29&lt;&gt;".",s_Irr!AM29=".",s_Irr!BK29&lt;&gt;"."),s_dir!AO29/((1/1000)*(s_Irr!O29+s_Irr!BK29)),IF(AND(s_Irr!O29=".",s_Irr!AM29&lt;&gt;".",s_Irr!BK29&lt;&gt;"."),s_dir!AO29/((1/1000)*(s_Irr!AM29+s_Irr!BK29)),IF(AND(s_Irr!O29=".",s_Irr!AM29=".",s_Irr!BK29&lt;&gt;"."),s_dir!AO29/((1/1000)*(s_Irr!BK29)),IF(AND(s_Irr!O29=".",s_Irr!AM29&lt;&gt;".",s_Irr!BK29="."),s_dir!AO29/((1/1000)*(s_Irr!AM29)),IF(AND(s_Irr!O29&lt;&gt;".",s_Irr!AM29=".",s_Irr!BK29="."),s_dir!AO29/((1/1000)*(s_Irr!O29)),IF(AND(s_Irr!O29=".",s_Irr!AM29=".",s_Irr!BK29="."),s_dir!AO29*1000)))))))),".")</f>
        <v>.</v>
      </c>
      <c r="BO29" s="76" t="str">
        <f>IFERROR(IF(AND(s_Irr!P29&lt;&gt;".",s_Irr!AN29&lt;&gt;".",s_Irr!BL29&lt;&gt;"."),s_dir!AP29/((1/1000)*(s_Irr!P29+s_Irr!AN29+s_Irr!BL29)),IF(AND(s_Irr!P29&lt;&gt;".",s_Irr!AN29&lt;&gt;".",s_Irr!BL29="."),s_dir!AP29/((1/1000)*(s_Irr!P29+s_Irr!AN29)),IF(AND(s_Irr!P29&lt;&gt;".",s_Irr!AN29=".",s_Irr!BL29&lt;&gt;"."),s_dir!AP29/((1/1000)*(s_Irr!P29+s_Irr!BL29)),IF(AND(s_Irr!P29=".",s_Irr!AN29&lt;&gt;".",s_Irr!BL29&lt;&gt;"."),s_dir!AP29/((1/1000)*(s_Irr!AN29+s_Irr!BL29)),IF(AND(s_Irr!P29=".",s_Irr!AN29=".",s_Irr!BL29&lt;&gt;"."),s_dir!AP29/((1/1000)*(s_Irr!BL29)),IF(AND(s_Irr!P29=".",s_Irr!AN29&lt;&gt;".",s_Irr!BL29="."),s_dir!AP29/((1/1000)*(s_Irr!AN29)),IF(AND(s_Irr!P29&lt;&gt;".",s_Irr!AN29=".",s_Irr!BL29="."),s_dir!AP29/((1/1000)*(s_Irr!P29)),IF(AND(s_Irr!P29=".",s_Irr!AN29=".",s_Irr!BL29="."),s_dir!AP29*1000)))))))),".")</f>
        <v>.</v>
      </c>
      <c r="BP29" s="76" t="str">
        <f>IFERROR(IF(AND(s_Irr!Q29&lt;&gt;".",s_Irr!AO29&lt;&gt;".",s_Irr!BM29&lt;&gt;"."),s_dir!AQ29/((1/1000)*(s_Irr!Q29+s_Irr!AO29+s_Irr!BM29)),IF(AND(s_Irr!Q29&lt;&gt;".",s_Irr!AO29&lt;&gt;".",s_Irr!BM29="."),s_dir!AQ29/((1/1000)*(s_Irr!Q29+s_Irr!AO29)),IF(AND(s_Irr!Q29&lt;&gt;".",s_Irr!AO29=".",s_Irr!BM29&lt;&gt;"."),s_dir!AQ29/((1/1000)*(s_Irr!Q29+s_Irr!BM29)),IF(AND(s_Irr!Q29=".",s_Irr!AO29&lt;&gt;".",s_Irr!BM29&lt;&gt;"."),s_dir!AQ29/((1/1000)*(s_Irr!AO29+s_Irr!BM29)),IF(AND(s_Irr!Q29=".",s_Irr!AO29=".",s_Irr!BM29&lt;&gt;"."),s_dir!AQ29/((1/1000)*(s_Irr!BM29)),IF(AND(s_Irr!Q29=".",s_Irr!AO29&lt;&gt;".",s_Irr!BM29="."),s_dir!AQ29/((1/1000)*(s_Irr!AO29)),IF(AND(s_Irr!Q29&lt;&gt;".",s_Irr!AO29=".",s_Irr!BM29="."),s_dir!AQ29/((1/1000)*(s_Irr!Q29)),IF(AND(s_Irr!Q29=".",s_Irr!AO29=".",s_Irr!BM29="."),s_dir!AQ29*1000)))))))),".")</f>
        <v>.</v>
      </c>
      <c r="BQ29" s="76" t="str">
        <f>IFERROR(IF(AND(s_Irr!R29&lt;&gt;".",s_Irr!AP29&lt;&gt;".",s_Irr!BN29&lt;&gt;"."),s_dir!AR29/((1/1000)*(s_Irr!R29+s_Irr!AP29+s_Irr!BN29)),IF(AND(s_Irr!R29&lt;&gt;".",s_Irr!AP29&lt;&gt;".",s_Irr!BN29="."),s_dir!AR29/((1/1000)*(s_Irr!R29+s_Irr!AP29)),IF(AND(s_Irr!R29&lt;&gt;".",s_Irr!AP29=".",s_Irr!BN29&lt;&gt;"."),s_dir!AR29/((1/1000)*(s_Irr!R29+s_Irr!BN29)),IF(AND(s_Irr!R29=".",s_Irr!AP29&lt;&gt;".",s_Irr!BN29&lt;&gt;"."),s_dir!AR29/((1/1000)*(s_Irr!AP29+s_Irr!BN29)),IF(AND(s_Irr!R29=".",s_Irr!AP29=".",s_Irr!BN29&lt;&gt;"."),s_dir!AR29/((1/1000)*(s_Irr!BN29)),IF(AND(s_Irr!R29=".",s_Irr!AP29&lt;&gt;".",s_Irr!BN29="."),s_dir!AR29/((1/1000)*(s_Irr!AP29)),IF(AND(s_Irr!R29&lt;&gt;".",s_Irr!AP29=".",s_Irr!BN29="."),s_dir!AR29/((1/1000)*(s_Irr!R29)),IF(AND(s_Irr!R29=".",s_Irr!AP29=".",s_Irr!BN29="."),s_dir!AR29*1000)))))))),".")</f>
        <v>.</v>
      </c>
      <c r="BR29" s="76" t="str">
        <f>IFERROR(IF(AND(s_Irr!S29&lt;&gt;".",s_Irr!AQ29&lt;&gt;".",s_Irr!BO29&lt;&gt;"."),s_dir!AS29/((1/1000)*(s_Irr!S29+s_Irr!AQ29+s_Irr!BO29)),IF(AND(s_Irr!S29&lt;&gt;".",s_Irr!AQ29&lt;&gt;".",s_Irr!BO29="."),s_dir!AS29/((1/1000)*(s_Irr!S29+s_Irr!AQ29)),IF(AND(s_Irr!S29&lt;&gt;".",s_Irr!AQ29=".",s_Irr!BO29&lt;&gt;"."),s_dir!AS29/((1/1000)*(s_Irr!S29+s_Irr!BO29)),IF(AND(s_Irr!S29=".",s_Irr!AQ29&lt;&gt;".",s_Irr!BO29&lt;&gt;"."),s_dir!AS29/((1/1000)*(s_Irr!AQ29+s_Irr!BO29)),IF(AND(s_Irr!S29=".",s_Irr!AQ29=".",s_Irr!BO29&lt;&gt;"."),s_dir!AS29/((1/1000)*(s_Irr!BO29)),IF(AND(s_Irr!S29=".",s_Irr!AQ29&lt;&gt;".",s_Irr!BO29="."),s_dir!AS29/((1/1000)*(s_Irr!AQ29)),IF(AND(s_Irr!S29&lt;&gt;".",s_Irr!AQ29=".",s_Irr!BO29="."),s_dir!AS29/((1/1000)*(s_Irr!S29)),IF(AND(s_Irr!S29=".",s_Irr!AQ29=".",s_Irr!BO29="."),s_dir!AS29*1000)))))))),".")</f>
        <v>.</v>
      </c>
      <c r="BS29" s="76" t="str">
        <f>IFERROR(IF(AND(s_Irr!T29&lt;&gt;".",s_Irr!AR29&lt;&gt;".",s_Irr!BP29&lt;&gt;"."),s_dir!AT29/((1/1000)*(s_Irr!T29+s_Irr!AR29+s_Irr!BP29)),IF(AND(s_Irr!T29&lt;&gt;".",s_Irr!AR29&lt;&gt;".",s_Irr!BP29="."),s_dir!AT29/((1/1000)*(s_Irr!T29+s_Irr!AR29)),IF(AND(s_Irr!T29&lt;&gt;".",s_Irr!AR29=".",s_Irr!BP29&lt;&gt;"."),s_dir!AT29/((1/1000)*(s_Irr!T29+s_Irr!BP29)),IF(AND(s_Irr!T29=".",s_Irr!AR29&lt;&gt;".",s_Irr!BP29&lt;&gt;"."),s_dir!AT29/((1/1000)*(s_Irr!AR29+s_Irr!BP29)),IF(AND(s_Irr!T29=".",s_Irr!AR29=".",s_Irr!BP29&lt;&gt;"."),s_dir!AT29/((1/1000)*(s_Irr!BP29)),IF(AND(s_Irr!T29=".",s_Irr!AR29&lt;&gt;".",s_Irr!BP29="."),s_dir!AT29/((1/1000)*(s_Irr!AR29)),IF(AND(s_Irr!T29&lt;&gt;".",s_Irr!AR29=".",s_Irr!BP29="."),s_dir!AT29/((1/1000)*(s_Irr!T29)),IF(AND(s_Irr!T29=".",s_Irr!AR29=".",s_Irr!BP29="."),s_dir!AT29*1000)))))))),".")</f>
        <v>.</v>
      </c>
      <c r="BT29" s="76" t="str">
        <f>IFERROR(IF(AND(s_Irr!U29&lt;&gt;".",s_Irr!AS29&lt;&gt;".",s_Irr!BQ29&lt;&gt;"."),s_dir!AU29/((1/1000)*(s_Irr!U29+s_Irr!AS29+s_Irr!BQ29)),IF(AND(s_Irr!U29&lt;&gt;".",s_Irr!AS29&lt;&gt;".",s_Irr!BQ29="."),s_dir!AU29/((1/1000)*(s_Irr!U29+s_Irr!AS29)),IF(AND(s_Irr!U29&lt;&gt;".",s_Irr!AS29=".",s_Irr!BQ29&lt;&gt;"."),s_dir!AU29/((1/1000)*(s_Irr!U29+s_Irr!BQ29)),IF(AND(s_Irr!U29=".",s_Irr!AS29&lt;&gt;".",s_Irr!BQ29&lt;&gt;"."),s_dir!AU29/((1/1000)*(s_Irr!AS29+s_Irr!BQ29)),IF(AND(s_Irr!U29=".",s_Irr!AS29=".",s_Irr!BQ29&lt;&gt;"."),s_dir!AU29/((1/1000)*(s_Irr!BQ29)),IF(AND(s_Irr!U29=".",s_Irr!AS29&lt;&gt;".",s_Irr!BQ29="."),s_dir!AU29/((1/1000)*(s_Irr!AS29)),IF(AND(s_Irr!U29&lt;&gt;".",s_Irr!AS29=".",s_Irr!BQ29="."),s_dir!AU29/((1/1000)*(s_Irr!U29)),IF(AND(s_Irr!U29=".",s_Irr!AS29=".",s_Irr!BQ29="."),s_dir!AU29*1000)))))))),".")</f>
        <v>.</v>
      </c>
      <c r="BU29" s="76" t="str">
        <f>IFERROR(IF(AND(s_Irr!V29&lt;&gt;".",s_Irr!AT29&lt;&gt;".",s_Irr!BR29&lt;&gt;"."),s_dir!AV29/((1/1000)*(s_Irr!V29+s_Irr!AT29+s_Irr!BR29)),IF(AND(s_Irr!V29&lt;&gt;".",s_Irr!AT29&lt;&gt;".",s_Irr!BR29="."),s_dir!AV29/((1/1000)*(s_Irr!V29+s_Irr!AT29)),IF(AND(s_Irr!V29&lt;&gt;".",s_Irr!AT29=".",s_Irr!BR29&lt;&gt;"."),s_dir!AV29/((1/1000)*(s_Irr!V29+s_Irr!BR29)),IF(AND(s_Irr!V29=".",s_Irr!AT29&lt;&gt;".",s_Irr!BR29&lt;&gt;"."),s_dir!AV29/((1/1000)*(s_Irr!AT29+s_Irr!BR29)),IF(AND(s_Irr!V29=".",s_Irr!AT29=".",s_Irr!BR29&lt;&gt;"."),s_dir!AV29/((1/1000)*(s_Irr!BR29)),IF(AND(s_Irr!V29=".",s_Irr!AT29&lt;&gt;".",s_Irr!BR29="."),s_dir!AV29/((1/1000)*(s_Irr!AT29)),IF(AND(s_Irr!V29&lt;&gt;".",s_Irr!AT29=".",s_Irr!BR29="."),s_dir!AV29/((1/1000)*(s_Irr!V29)),IF(AND(s_Irr!V29=".",s_Irr!AT29=".",s_Irr!BR29="."),s_dir!AV29*1000)))))))),".")</f>
        <v>.</v>
      </c>
      <c r="BV29" s="76" t="str">
        <f>IFERROR(IF(AND(s_Irr!W29&lt;&gt;".",s_Irr!AU29&lt;&gt;".",s_Irr!BS29&lt;&gt;"."),s_dir!AW29/((1/1000)*(s_Irr!W29+s_Irr!AU29+s_Irr!BS29)),IF(AND(s_Irr!W29&lt;&gt;".",s_Irr!AU29&lt;&gt;".",s_Irr!BS29="."),s_dir!AW29/((1/1000)*(s_Irr!W29+s_Irr!AU29)),IF(AND(s_Irr!W29&lt;&gt;".",s_Irr!AU29=".",s_Irr!BS29&lt;&gt;"."),s_dir!AW29/((1/1000)*(s_Irr!W29+s_Irr!BS29)),IF(AND(s_Irr!W29=".",s_Irr!AU29&lt;&gt;".",s_Irr!BS29&lt;&gt;"."),s_dir!AW29/((1/1000)*(s_Irr!AU29+s_Irr!BS29)),IF(AND(s_Irr!W29=".",s_Irr!AU29=".",s_Irr!BS29&lt;&gt;"."),s_dir!AW29/((1/1000)*(s_Irr!BS29)),IF(AND(s_Irr!W29=".",s_Irr!AU29&lt;&gt;".",s_Irr!BS29="."),s_dir!AW29/((1/1000)*(s_Irr!AU29)),IF(AND(s_Irr!W29&lt;&gt;".",s_Irr!AU29=".",s_Irr!BS29="."),s_dir!AW29/((1/1000)*(s_Irr!W29)),IF(AND(s_Irr!W29=".",s_Irr!AU29=".",s_Irr!BS29="."),s_dir!AW29*1000)))))))),".")</f>
        <v>.</v>
      </c>
      <c r="BW29" s="76" t="str">
        <f>IFERROR(IF(AND(s_Irr!X29&lt;&gt;".",s_Irr!AV29&lt;&gt;".",s_Irr!BT29&lt;&gt;"."),s_dir!AX29/((1/1000)*(s_Irr!X29+s_Irr!AV29+s_Irr!BT29)),IF(AND(s_Irr!X29&lt;&gt;".",s_Irr!AV29&lt;&gt;".",s_Irr!BT29="."),s_dir!AX29/((1/1000)*(s_Irr!X29+s_Irr!AV29)),IF(AND(s_Irr!X29&lt;&gt;".",s_Irr!AV29=".",s_Irr!BT29&lt;&gt;"."),s_dir!AX29/((1/1000)*(s_Irr!X29+s_Irr!BT29)),IF(AND(s_Irr!X29=".",s_Irr!AV29&lt;&gt;".",s_Irr!BT29&lt;&gt;"."),s_dir!AX29/((1/1000)*(s_Irr!AV29+s_Irr!BT29)),IF(AND(s_Irr!X29=".",s_Irr!AV29=".",s_Irr!BT29&lt;&gt;"."),s_dir!AX29/((1/1000)*(s_Irr!BT29)),IF(AND(s_Irr!X29=".",s_Irr!AV29&lt;&gt;".",s_Irr!BT29="."),s_dir!AX29/((1/1000)*(s_Irr!AV29)),IF(AND(s_Irr!X29&lt;&gt;".",s_Irr!AV29=".",s_Irr!BT29="."),s_dir!AX29/((1/1000)*(s_Irr!X29)),IF(AND(s_Irr!X29=".",s_Irr!AV29=".",s_Irr!BT29="."),s_dir!AX29*1000)))))))),".")</f>
        <v>.</v>
      </c>
      <c r="BX29" s="76" t="str">
        <f>IFERROR(IF(AND(s_Irr!Y29&lt;&gt;".",s_Irr!AW29&lt;&gt;".",s_Irr!BU29&lt;&gt;"."),s_dir!AY29/((1/1000)*(s_Irr!Y29+s_Irr!AW29+s_Irr!BU29)),IF(AND(s_Irr!Y29&lt;&gt;".",s_Irr!AW29&lt;&gt;".",s_Irr!BU29="."),s_dir!AY29/((1/1000)*(s_Irr!Y29+s_Irr!AW29)),IF(AND(s_Irr!Y29&lt;&gt;".",s_Irr!AW29=".",s_Irr!BU29&lt;&gt;"."),s_dir!AY29/((1/1000)*(s_Irr!Y29+s_Irr!BU29)),IF(AND(s_Irr!Y29=".",s_Irr!AW29&lt;&gt;".",s_Irr!BU29&lt;&gt;"."),s_dir!AY29/((1/1000)*(s_Irr!AW29+s_Irr!BU29)),IF(AND(s_Irr!Y29=".",s_Irr!AW29=".",s_Irr!BU29&lt;&gt;"."),s_dir!AY29/((1/1000)*(s_Irr!BU29)),IF(AND(s_Irr!Y29=".",s_Irr!AW29&lt;&gt;".",s_Irr!BU29="."),s_dir!AY29/((1/1000)*(s_Irr!AW29)),IF(AND(s_Irr!Y29&lt;&gt;".",s_Irr!AW29=".",s_Irr!BU29="."),s_dir!AY29/((1/1000)*(s_Irr!Y29)),IF(AND(s_Irr!Y29=".",s_Irr!AW29=".",s_Irr!BU29="."),s_dir!AY29*1000)))))))),".")</f>
        <v>.</v>
      </c>
      <c r="BY29" s="76" t="str">
        <f>IFERROR(IF(AND(s_Irr!Z29&lt;&gt;".",s_Irr!AX29&lt;&gt;".",s_Irr!BV29&lt;&gt;"."),s_dir!AZ29/((1/1000)*(s_Irr!Z29+s_Irr!AX29+s_Irr!BV29)),IF(AND(s_Irr!Z29&lt;&gt;".",s_Irr!AX29&lt;&gt;".",s_Irr!BV29="."),s_dir!AZ29/((1/1000)*(s_Irr!Z29+s_Irr!AX29)),IF(AND(s_Irr!Z29&lt;&gt;".",s_Irr!AX29=".",s_Irr!BV29&lt;&gt;"."),s_dir!AZ29/((1/1000)*(s_Irr!Z29+s_Irr!BV29)),IF(AND(s_Irr!Z29=".",s_Irr!AX29&lt;&gt;".",s_Irr!BV29&lt;&gt;"."),s_dir!AZ29/((1/1000)*(s_Irr!AX29+s_Irr!BV29)),IF(AND(s_Irr!Z29=".",s_Irr!AX29=".",s_Irr!BV29&lt;&gt;"."),s_dir!AZ29/((1/1000)*(s_Irr!BV29)),IF(AND(s_Irr!Z29=".",s_Irr!AX29&lt;&gt;".",s_Irr!BV29="."),s_dir!AZ29/((1/1000)*(s_Irr!AX29)),IF(AND(s_Irr!Z29&lt;&gt;".",s_Irr!AX29=".",s_Irr!BV29="."),s_dir!AZ29/((1/1000)*(s_Irr!Z29)),IF(AND(s_Irr!Z29=".",s_Irr!AX29=".",s_Irr!BV29="."),s_dir!AZ29*1000)))))))),".")</f>
        <v>.</v>
      </c>
      <c r="BZ29" s="93">
        <f t="shared" si="33"/>
        <v>1738.5827027196997</v>
      </c>
      <c r="CA29" s="93">
        <f>IFERROR(s_C*s_IFAP_far_adj*s_CF_apple*(1/1000)*(s_Irr!C29+s_Irr!AA29+s_Irr!AY29),".")</f>
        <v>161.04968044979253</v>
      </c>
      <c r="CB29" s="93">
        <f>IFERROR(s_C*s_IFAS_far_adj*s_CF_asparagus*(1/1000)*(s_Irr!D29+s_Irr!AB29+s_Irr!AZ29),".")</f>
        <v>163.01681762340641</v>
      </c>
      <c r="CC29" s="93">
        <f>IFERROR(s_C*s_IFBT_far_adj*s_CF_beet*(1/1000)*(s_Irr!E29+s_Irr!AC29+s_Irr!BA29),".")</f>
        <v>161.04968044979253</v>
      </c>
      <c r="CD29" s="93">
        <f>IFERROR(s_C*s_IFBE_far_adj*s_CF_berries*(1/1000)*(s_Irr!F29+s_Irr!AD29+s_Irr!BB29),".")</f>
        <v>161.04968044979253</v>
      </c>
      <c r="CE29" s="93">
        <f>IFERROR(s_C*s_IFBR_far_adj*s_CF_broccoli*(1/1000)*(s_Irr!G29+s_Irr!AE29+s_Irr!BC29),".")</f>
        <v>161.04968044979253</v>
      </c>
      <c r="CF29" s="93">
        <f>IFERROR(s_C*s_IFCB_far_adj*s_CF_cabbage*(1/1000)*(s_Irr!H29+s_Irr!AF29+s_Irr!BD29),".")</f>
        <v>163.01681762340641</v>
      </c>
      <c r="CG29" s="93">
        <f>IFERROR(s_C*s_IFCR_far_adj*s_CF_carrot*(1/1000)*(s_Irr!I29+s_Irr!AG29+s_Irr!BE29),".")</f>
        <v>161.04968044979253</v>
      </c>
      <c r="CH29" s="93">
        <f>IFERROR(s_C*s_IFCI_far_adj*s_CF_citrus*(1/1000)*(s_Irr!J29+s_Irr!AH29+s_Irr!BF29),".")</f>
        <v>161.04968044979253</v>
      </c>
      <c r="CI29" s="93">
        <f>IFERROR(s_C*s_IFCO_far_adj*s_CF_corn*(1/1000)*(s_Irr!K29+s_Irr!AI29+s_Irr!BG29),".")</f>
        <v>161.04968044979253</v>
      </c>
      <c r="CJ29" s="93">
        <f>IFERROR(s_C*s_IFCU_far_adj*s_CF_cucumber*(1/1000)*(s_Irr!L29+s_Irr!AJ29+s_Irr!BH29),".")</f>
        <v>161.04968044979253</v>
      </c>
      <c r="CK29" s="93">
        <f>IFERROR(s_C*s_IFLE_far_adj*s_CF_lettuce*(1/1000)*(s_Irr!M29+s_Irr!AK29+s_Irr!BI29),".")</f>
        <v>163.01681762340641</v>
      </c>
      <c r="CL29" s="93">
        <f>IFERROR(s_C*s_IFLI_far_adj*s_CF_lima_bean*(1/1000)*(s_Irr!N29+s_Irr!AL29+s_Irr!BJ29),".")</f>
        <v>161.04968044979253</v>
      </c>
      <c r="CM29" s="93">
        <f>IFERROR(s_C*s_IFOK_far_adj*s_CF_okra*(1/1000)*(s_Irr!O29+s_Irr!AM29+s_Irr!BK29),".")</f>
        <v>161.04968044979253</v>
      </c>
      <c r="CN29" s="93">
        <f>IFERROR(s_C*s_IFON_far_adj*s_CF_onion*(1/1000)*(s_Irr!P29+s_Irr!AN29+s_Irr!BL29),".")</f>
        <v>161.04968044979253</v>
      </c>
      <c r="CO29" s="93">
        <f>IFERROR(s_C*s_IFPC_far_adj*s_CF_peach*(1/1000)*(s_Irr!Q29+s_Irr!AO29+s_Irr!BM29),".")</f>
        <v>161.04968044979253</v>
      </c>
      <c r="CP29" s="93">
        <f>IFERROR(s_C*s_IFPR_far_adj*s_CF_pear*(1/1000)*(s_Irr!R29+s_Irr!AP29+s_Irr!BN29),".")</f>
        <v>161.04968044979253</v>
      </c>
      <c r="CQ29" s="93">
        <f>IFERROR(s_C*s_IFPE_far_adj*s_CF_peas*(1/1000)*(s_Irr!S29+s_Irr!AQ29+s_Irr!BO29),".")</f>
        <v>161.04968044979253</v>
      </c>
      <c r="CR29" s="93">
        <f>IFERROR(s_C*s_IFPT_far_adj*s_CF_potato*(1/1000)*(s_Irr!T29+s_Irr!AR29+s_Irr!BP29),".")</f>
        <v>161.04968044979253</v>
      </c>
      <c r="CS29" s="93">
        <f>IFERROR(s_C*s_IFPU_far_adj*s_CF_pumpkin*(1/1000)*(s_Irr!U29+s_Irr!AS29+s_Irr!BQ29),".")</f>
        <v>161.04968044979253</v>
      </c>
      <c r="CT29" s="93">
        <f>IFERROR(s_C*s_IFSN_far_adj*s_CF_snap_bean*(1/1000)*(s_Irr!V29+s_Irr!AT29+s_Irr!BR29),".")</f>
        <v>161.04968044979253</v>
      </c>
      <c r="CU29" s="93">
        <f>IFERROR(s_C*s_IFST_far_adj*s_CF_strawberry*(1/1000)*(s_Irr!W29+s_Irr!AU29+s_Irr!BS29),".")</f>
        <v>161.04968044979253</v>
      </c>
      <c r="CV29" s="93">
        <f>IFERROR(s_C*s_IFTO_far_adj*s_CF_tomato*(1/1000)*(s_Irr!X29+s_Irr!AV29+s_Irr!BT29),".")</f>
        <v>161.04968044979253</v>
      </c>
      <c r="CW29" s="93">
        <f>IFERROR(s_C*s_IFRI_far_adj*s_CF_rice*(1/1000)*(s_Irr!Y29+s_Irr!AW29+s_Irr!BU29),".")</f>
        <v>707.25810232325045</v>
      </c>
      <c r="CX29" s="93">
        <f>IFERROR(s_C*s_IFCG_far_adj*s_CF_cereal*(1/1000)*(s_Irr!Z29+s_Irr!AX29+s_Irr!BV29),".")</f>
        <v>707.25810232325045</v>
      </c>
    </row>
    <row r="30" spans="1:102" ht="15" customHeight="1" x14ac:dyDescent="0.25">
      <c r="A30" s="92" t="s">
        <v>40</v>
      </c>
      <c r="B30" s="90" t="s">
        <v>1074</v>
      </c>
      <c r="C30" s="76">
        <f t="shared" ref="C30" si="34">IFERROR(1/SUM(1/D30,1/E30,1/Z30,1/AA30),".")</f>
        <v>71.805822354410395</v>
      </c>
      <c r="D30" s="76">
        <f>IFERROR(IF(AND(s_Irr!C30&lt;&gt;".",s_Irr!AA30&lt;&gt;".",s_Irr!AY30&lt;&gt;"."),s_dir!D30/((1/1000)*(s_Irr!C30+s_Irr!AA30+s_Irr!AY30)),IF(AND(s_Irr!C30&lt;&gt;".",s_Irr!AA30&lt;&gt;".",s_Irr!AY30="."),s_dir!D30/((1/1000)*(s_Irr!C30+s_Irr!AA30)),IF(AND(s_Irr!C30&lt;&gt;".",s_Irr!AA30=".",s_Irr!AY30&lt;&gt;"."),s_dir!D30/((1/1000)*(s_Irr!C30+s_Irr!AY30)),IF(AND(s_Irr!C30=".",s_Irr!AA30&lt;&gt;".",s_Irr!AY30&lt;&gt;"."),s_dir!D30/((1/1000)*(s_Irr!AA30+s_Irr!AY30)),IF(AND(s_Irr!C30=".",s_Irr!AA30=".",s_Irr!AY30&lt;&gt;"."),s_dir!D30/((1/1000)*(s_Irr!AY30)),IF(AND(s_Irr!C30=".",s_Irr!AA30&lt;&gt;".",s_Irr!AY30="."),s_dir!D30/((1/1000)*(s_Irr!AA30)),IF(AND(s_Irr!C30&lt;&gt;".",s_Irr!AA30=".",s_Irr!AY30="."),s_dir!D30/((1/1000)*(s_Irr!C30)),IF(AND(s_Irr!C30=".",s_Irr!AA30=".",s_Irr!AY30="."),s_dir!D30*1000)))))))),".")</f>
        <v>315.34160363577968</v>
      </c>
      <c r="E30" s="76">
        <f>IFERROR(IF(AND(s_Irr!D30&lt;&gt;".",s_Irr!AB30&lt;&gt;".",s_Irr!AZ30&lt;&gt;"."),s_dir!E30/((1/1000)*(s_Irr!D30+s_Irr!AB30+s_Irr!AZ30)),IF(AND(s_Irr!D30&lt;&gt;".",s_Irr!AB30&lt;&gt;".",s_Irr!AZ30="."),s_dir!E30/((1/1000)*(s_Irr!D30+s_Irr!AB30)),IF(AND(s_Irr!D30&lt;&gt;".",s_Irr!AB30=".",s_Irr!AZ30&lt;&gt;"."),s_dir!E30/((1/1000)*(s_Irr!D30+s_Irr!AZ30)),IF(AND(s_Irr!D30=".",s_Irr!AB30&lt;&gt;".",s_Irr!AZ30&lt;&gt;"."),s_dir!E30/((1/1000)*(s_Irr!AB30+s_Irr!AZ30)),IF(AND(s_Irr!D30=".",s_Irr!AB30=".",s_Irr!AZ30&lt;&gt;"."),s_dir!E30/((1/1000)*(s_Irr!AZ30)),IF(AND(s_Irr!D30=".",s_Irr!AB30&lt;&gt;".",s_Irr!AZ30="."),s_dir!E30/((1/1000)*(s_Irr!AB30)),IF(AND(s_Irr!D30&lt;&gt;".",s_Irr!AB30=".",s_Irr!AZ30="."),s_dir!E30/((1/1000)*(s_Irr!D30)),IF(AND(s_Irr!D30=".",s_Irr!AB30=".",s_Irr!AZ30="."),s_dir!E30*1000)))))))),".")</f>
        <v>239.37153249241592</v>
      </c>
      <c r="F30" s="76">
        <f>IFERROR(IF(AND(s_Irr!E30&lt;&gt;".",s_Irr!AC30&lt;&gt;".",s_Irr!BA30&lt;&gt;"."),s_dir!F30/((1/1000)*(s_Irr!E30+s_Irr!AC30+s_Irr!BA30)),IF(AND(s_Irr!E30&lt;&gt;".",s_Irr!AC30&lt;&gt;".",s_Irr!BA30="."),s_dir!F30/((1/1000)*(s_Irr!E30+s_Irr!AC30)),IF(AND(s_Irr!E30&lt;&gt;".",s_Irr!AC30=".",s_Irr!BA30&lt;&gt;"."),s_dir!F30/((1/1000)*(s_Irr!E30+s_Irr!BA30)),IF(AND(s_Irr!E30=".",s_Irr!AC30&lt;&gt;".",s_Irr!BA30&lt;&gt;"."),s_dir!F30/((1/1000)*(s_Irr!AC30+s_Irr!BA30)),IF(AND(s_Irr!E30=".",s_Irr!AC30=".",s_Irr!BA30&lt;&gt;"."),s_dir!F30/((1/1000)*(s_Irr!BA30)),IF(AND(s_Irr!E30=".",s_Irr!AC30&lt;&gt;".",s_Irr!BA30="."),s_dir!F30/((1/1000)*(s_Irr!AC30)),IF(AND(s_Irr!E30&lt;&gt;".",s_Irr!AC30=".",s_Irr!BA30="."),s_dir!F30/((1/1000)*(s_Irr!E30)),IF(AND(s_Irr!E30=".",s_Irr!AC30=".",s_Irr!BA30="."),s_dir!F30*1000)))))))),".")</f>
        <v>280.65079463235151</v>
      </c>
      <c r="G30" s="76">
        <f>IFERROR(IF(AND(s_Irr!F30&lt;&gt;".",s_Irr!AD30&lt;&gt;".",s_Irr!BB30&lt;&gt;"."),s_dir!G30/((1/1000)*(s_Irr!F30+s_Irr!AD30+s_Irr!BB30)),IF(AND(s_Irr!F30&lt;&gt;".",s_Irr!AD30&lt;&gt;".",s_Irr!BB30="."),s_dir!G30/((1/1000)*(s_Irr!F30+s_Irr!AD30)),IF(AND(s_Irr!F30&lt;&gt;".",s_Irr!AD30=".",s_Irr!BB30&lt;&gt;"."),s_dir!G30/((1/1000)*(s_Irr!F30+s_Irr!BB30)),IF(AND(s_Irr!F30=".",s_Irr!AD30&lt;&gt;".",s_Irr!BB30&lt;&gt;"."),s_dir!G30/((1/1000)*(s_Irr!AD30+s_Irr!BB30)),IF(AND(s_Irr!F30=".",s_Irr!AD30=".",s_Irr!BB30&lt;&gt;"."),s_dir!G30/((1/1000)*(s_Irr!BB30)),IF(AND(s_Irr!F30=".",s_Irr!AD30&lt;&gt;".",s_Irr!BB30="."),s_dir!G30/((1/1000)*(s_Irr!AD30)),IF(AND(s_Irr!F30&lt;&gt;".",s_Irr!AD30=".",s_Irr!BB30="."),s_dir!G30/((1/1000)*(s_Irr!F30)),IF(AND(s_Irr!F30=".",s_Irr!AD30=".",s_Irr!BB30="."),s_dir!G30*1000)))))))),".")</f>
        <v>315.34160363577968</v>
      </c>
      <c r="H30" s="76">
        <f>IFERROR(IF(AND(s_Irr!G30&lt;&gt;".",s_Irr!AE30&lt;&gt;".",s_Irr!BC30&lt;&gt;"."),s_dir!H30/((1/1000)*(s_Irr!G30+s_Irr!AE30+s_Irr!BC30)),IF(AND(s_Irr!G30&lt;&gt;".",s_Irr!AE30&lt;&gt;".",s_Irr!BC30="."),s_dir!H30/((1/1000)*(s_Irr!G30+s_Irr!AE30)),IF(AND(s_Irr!G30&lt;&gt;".",s_Irr!AE30=".",s_Irr!BC30&lt;&gt;"."),s_dir!H30/((1/1000)*(s_Irr!G30+s_Irr!BC30)),IF(AND(s_Irr!G30=".",s_Irr!AE30&lt;&gt;".",s_Irr!BC30&lt;&gt;"."),s_dir!H30/((1/1000)*(s_Irr!AE30+s_Irr!BC30)),IF(AND(s_Irr!G30=".",s_Irr!AE30=".",s_Irr!BC30&lt;&gt;"."),s_dir!H30/((1/1000)*(s_Irr!BC30)),IF(AND(s_Irr!G30=".",s_Irr!AE30&lt;&gt;".",s_Irr!BC30="."),s_dir!H30/((1/1000)*(s_Irr!AE30)),IF(AND(s_Irr!G30&lt;&gt;".",s_Irr!AE30=".",s_Irr!BC30="."),s_dir!H30/((1/1000)*(s_Irr!G30)),IF(AND(s_Irr!G30=".",s_Irr!AE30=".",s_Irr!BC30="."),s_dir!H30*1000)))))))),".")</f>
        <v>255.57452483135864</v>
      </c>
      <c r="I30" s="76">
        <f>IFERROR(IF(AND(s_Irr!H30&lt;&gt;".",s_Irr!AF30&lt;&gt;".",s_Irr!BD30&lt;&gt;"."),s_dir!I30/((1/1000)*(s_Irr!H30+s_Irr!AF30+s_Irr!BD30)),IF(AND(s_Irr!H30&lt;&gt;".",s_Irr!AF30&lt;&gt;".",s_Irr!BD30="."),s_dir!I30/((1/1000)*(s_Irr!H30+s_Irr!AF30)),IF(AND(s_Irr!H30&lt;&gt;".",s_Irr!AF30=".",s_Irr!BD30&lt;&gt;"."),s_dir!I30/((1/1000)*(s_Irr!H30+s_Irr!BD30)),IF(AND(s_Irr!H30=".",s_Irr!AF30&lt;&gt;".",s_Irr!BD30&lt;&gt;"."),s_dir!I30/((1/1000)*(s_Irr!AF30+s_Irr!BD30)),IF(AND(s_Irr!H30=".",s_Irr!AF30=".",s_Irr!BD30&lt;&gt;"."),s_dir!I30/((1/1000)*(s_Irr!BD30)),IF(AND(s_Irr!H30=".",s_Irr!AF30&lt;&gt;".",s_Irr!BD30="."),s_dir!I30/((1/1000)*(s_Irr!AF30)),IF(AND(s_Irr!H30&lt;&gt;".",s_Irr!AF30=".",s_Irr!BD30="."),s_dir!I30/((1/1000)*(s_Irr!H30)),IF(AND(s_Irr!H30=".",s_Irr!AF30=".",s_Irr!BD30="."),s_dir!I30*1000)))))))),".")</f>
        <v>239.37153249241592</v>
      </c>
      <c r="J30" s="76">
        <f>IFERROR(IF(AND(s_Irr!I30&lt;&gt;".",s_Irr!AG30&lt;&gt;".",s_Irr!BE30&lt;&gt;"."),s_dir!J30/((1/1000)*(s_Irr!I30+s_Irr!AG30+s_Irr!BE30)),IF(AND(s_Irr!I30&lt;&gt;".",s_Irr!AG30&lt;&gt;".",s_Irr!BE30="."),s_dir!J30/((1/1000)*(s_Irr!I30+s_Irr!AG30)),IF(AND(s_Irr!I30&lt;&gt;".",s_Irr!AG30=".",s_Irr!BE30&lt;&gt;"."),s_dir!J30/((1/1000)*(s_Irr!I30+s_Irr!BE30)),IF(AND(s_Irr!I30=".",s_Irr!AG30&lt;&gt;".",s_Irr!BE30&lt;&gt;"."),s_dir!J30/((1/1000)*(s_Irr!AG30+s_Irr!BE30)),IF(AND(s_Irr!I30=".",s_Irr!AG30=".",s_Irr!BE30&lt;&gt;"."),s_dir!J30/((1/1000)*(s_Irr!BE30)),IF(AND(s_Irr!I30=".",s_Irr!AG30&lt;&gt;".",s_Irr!BE30="."),s_dir!J30/((1/1000)*(s_Irr!AG30)),IF(AND(s_Irr!I30&lt;&gt;".",s_Irr!AG30=".",s_Irr!BE30="."),s_dir!J30/((1/1000)*(s_Irr!I30)),IF(AND(s_Irr!I30=".",s_Irr!AG30=".",s_Irr!BE30="."),s_dir!J30*1000)))))))),".")</f>
        <v>280.65079463235151</v>
      </c>
      <c r="K30" s="76">
        <f>IFERROR(IF(AND(s_Irr!J30&lt;&gt;".",s_Irr!AH30&lt;&gt;".",s_Irr!BF30&lt;&gt;"."),s_dir!K30/((1/1000)*(s_Irr!J30+s_Irr!AH30+s_Irr!BF30)),IF(AND(s_Irr!J30&lt;&gt;".",s_Irr!AH30&lt;&gt;".",s_Irr!BF30="."),s_dir!K30/((1/1000)*(s_Irr!J30+s_Irr!AH30)),IF(AND(s_Irr!J30&lt;&gt;".",s_Irr!AH30=".",s_Irr!BF30&lt;&gt;"."),s_dir!K30/((1/1000)*(s_Irr!J30+s_Irr!BF30)),IF(AND(s_Irr!J30=".",s_Irr!AH30&lt;&gt;".",s_Irr!BF30&lt;&gt;"."),s_dir!K30/((1/1000)*(s_Irr!AH30+s_Irr!BF30)),IF(AND(s_Irr!J30=".",s_Irr!AH30=".",s_Irr!BF30&lt;&gt;"."),s_dir!K30/((1/1000)*(s_Irr!BF30)),IF(AND(s_Irr!J30=".",s_Irr!AH30&lt;&gt;".",s_Irr!BF30="."),s_dir!K30/((1/1000)*(s_Irr!AH30)),IF(AND(s_Irr!J30&lt;&gt;".",s_Irr!AH30=".",s_Irr!BF30="."),s_dir!K30/((1/1000)*(s_Irr!J30)),IF(AND(s_Irr!J30=".",s_Irr!AH30=".",s_Irr!BF30="."),s_dir!K30*1000)))))))),".")</f>
        <v>315.34160363577968</v>
      </c>
      <c r="L30" s="76">
        <f>IFERROR(IF(AND(s_Irr!K30&lt;&gt;".",s_Irr!AI30&lt;&gt;".",s_Irr!BG30&lt;&gt;"."),s_dir!L30/((1/1000)*(s_Irr!K30+s_Irr!AI30+s_Irr!BG30)),IF(AND(s_Irr!K30&lt;&gt;".",s_Irr!AI30&lt;&gt;".",s_Irr!BG30="."),s_dir!L30/((1/1000)*(s_Irr!K30+s_Irr!AI30)),IF(AND(s_Irr!K30&lt;&gt;".",s_Irr!AI30=".",s_Irr!BG30&lt;&gt;"."),s_dir!L30/((1/1000)*(s_Irr!K30+s_Irr!BG30)),IF(AND(s_Irr!K30=".",s_Irr!AI30&lt;&gt;".",s_Irr!BG30&lt;&gt;"."),s_dir!L30/((1/1000)*(s_Irr!AI30+s_Irr!BG30)),IF(AND(s_Irr!K30=".",s_Irr!AI30=".",s_Irr!BG30&lt;&gt;"."),s_dir!L30/((1/1000)*(s_Irr!BG30)),IF(AND(s_Irr!K30=".",s_Irr!AI30&lt;&gt;".",s_Irr!BG30="."),s_dir!L30/((1/1000)*(s_Irr!AI30)),IF(AND(s_Irr!K30&lt;&gt;".",s_Irr!AI30=".",s_Irr!BG30="."),s_dir!L30/((1/1000)*(s_Irr!K30)),IF(AND(s_Irr!K30=".",s_Irr!AI30=".",s_Irr!BG30="."),s_dir!L30*1000)))))))),".")</f>
        <v>255.57452483135864</v>
      </c>
      <c r="M30" s="76">
        <f>IFERROR(IF(AND(s_Irr!L30&lt;&gt;".",s_Irr!AJ30&lt;&gt;".",s_Irr!BH30&lt;&gt;"."),s_dir!M30/((1/1000)*(s_Irr!L30+s_Irr!AJ30+s_Irr!BH30)),IF(AND(s_Irr!L30&lt;&gt;".",s_Irr!AJ30&lt;&gt;".",s_Irr!BH30="."),s_dir!M30/((1/1000)*(s_Irr!L30+s_Irr!AJ30)),IF(AND(s_Irr!L30&lt;&gt;".",s_Irr!AJ30=".",s_Irr!BH30&lt;&gt;"."),s_dir!M30/((1/1000)*(s_Irr!L30+s_Irr!BH30)),IF(AND(s_Irr!L30=".",s_Irr!AJ30&lt;&gt;".",s_Irr!BH30&lt;&gt;"."),s_dir!M30/((1/1000)*(s_Irr!AJ30+s_Irr!BH30)),IF(AND(s_Irr!L30=".",s_Irr!AJ30=".",s_Irr!BH30&lt;&gt;"."),s_dir!M30/((1/1000)*(s_Irr!BH30)),IF(AND(s_Irr!L30=".",s_Irr!AJ30&lt;&gt;".",s_Irr!BH30="."),s_dir!M30/((1/1000)*(s_Irr!AJ30)),IF(AND(s_Irr!L30&lt;&gt;".",s_Irr!AJ30=".",s_Irr!BH30="."),s_dir!M30/((1/1000)*(s_Irr!L30)),IF(AND(s_Irr!L30=".",s_Irr!AJ30=".",s_Irr!BH30="."),s_dir!M30*1000)))))))),".")</f>
        <v>255.57452483135864</v>
      </c>
      <c r="N30" s="76">
        <f>IFERROR(IF(AND(s_Irr!M30&lt;&gt;".",s_Irr!AK30&lt;&gt;".",s_Irr!BI30&lt;&gt;"."),s_dir!N30/((1/1000)*(s_Irr!M30+s_Irr!AK30+s_Irr!BI30)),IF(AND(s_Irr!M30&lt;&gt;".",s_Irr!AK30&lt;&gt;".",s_Irr!BI30="."),s_dir!N30/((1/1000)*(s_Irr!M30+s_Irr!AK30)),IF(AND(s_Irr!M30&lt;&gt;".",s_Irr!AK30=".",s_Irr!BI30&lt;&gt;"."),s_dir!N30/((1/1000)*(s_Irr!M30+s_Irr!BI30)),IF(AND(s_Irr!M30=".",s_Irr!AK30&lt;&gt;".",s_Irr!BI30&lt;&gt;"."),s_dir!N30/((1/1000)*(s_Irr!AK30+s_Irr!BI30)),IF(AND(s_Irr!M30=".",s_Irr!AK30=".",s_Irr!BI30&lt;&gt;"."),s_dir!N30/((1/1000)*(s_Irr!BI30)),IF(AND(s_Irr!M30=".",s_Irr!AK30&lt;&gt;".",s_Irr!BI30="."),s_dir!N30/((1/1000)*(s_Irr!AK30)),IF(AND(s_Irr!M30&lt;&gt;".",s_Irr!AK30=".",s_Irr!BI30="."),s_dir!N30/((1/1000)*(s_Irr!M30)),IF(AND(s_Irr!M30=".",s_Irr!AK30=".",s_Irr!BI30="."),s_dir!N30*1000)))))))),".")</f>
        <v>239.37153249241592</v>
      </c>
      <c r="O30" s="76">
        <f>IFERROR(IF(AND(s_Irr!N30&lt;&gt;".",s_Irr!AL30&lt;&gt;".",s_Irr!BJ30&lt;&gt;"."),s_dir!O30/((1/1000)*(s_Irr!N30+s_Irr!AL30+s_Irr!BJ30)),IF(AND(s_Irr!N30&lt;&gt;".",s_Irr!AL30&lt;&gt;".",s_Irr!BJ30="."),s_dir!O30/((1/1000)*(s_Irr!N30+s_Irr!AL30)),IF(AND(s_Irr!N30&lt;&gt;".",s_Irr!AL30=".",s_Irr!BJ30&lt;&gt;"."),s_dir!O30/((1/1000)*(s_Irr!N30+s_Irr!BJ30)),IF(AND(s_Irr!N30=".",s_Irr!AL30&lt;&gt;".",s_Irr!BJ30&lt;&gt;"."),s_dir!O30/((1/1000)*(s_Irr!AL30+s_Irr!BJ30)),IF(AND(s_Irr!N30=".",s_Irr!AL30=".",s_Irr!BJ30&lt;&gt;"."),s_dir!O30/((1/1000)*(s_Irr!BJ30)),IF(AND(s_Irr!N30=".",s_Irr!AL30&lt;&gt;".",s_Irr!BJ30="."),s_dir!O30/((1/1000)*(s_Irr!AL30)),IF(AND(s_Irr!N30&lt;&gt;".",s_Irr!AL30=".",s_Irr!BJ30="."),s_dir!O30/((1/1000)*(s_Irr!N30)),IF(AND(s_Irr!N30=".",s_Irr!AL30=".",s_Irr!BJ30="."),s_dir!O30*1000)))))))),".")</f>
        <v>309.14491345318555</v>
      </c>
      <c r="P30" s="76">
        <f>IFERROR(IF(AND(s_Irr!O30&lt;&gt;".",s_Irr!AM30&lt;&gt;".",s_Irr!BK30&lt;&gt;"."),s_dir!P30/((1/1000)*(s_Irr!O30+s_Irr!AM30+s_Irr!BK30)),IF(AND(s_Irr!O30&lt;&gt;".",s_Irr!AM30&lt;&gt;".",s_Irr!BK30="."),s_dir!P30/((1/1000)*(s_Irr!O30+s_Irr!AM30)),IF(AND(s_Irr!O30&lt;&gt;".",s_Irr!AM30=".",s_Irr!BK30&lt;&gt;"."),s_dir!P30/((1/1000)*(s_Irr!O30+s_Irr!BK30)),IF(AND(s_Irr!O30=".",s_Irr!AM30&lt;&gt;".",s_Irr!BK30&lt;&gt;"."),s_dir!P30/((1/1000)*(s_Irr!AM30+s_Irr!BK30)),IF(AND(s_Irr!O30=".",s_Irr!AM30=".",s_Irr!BK30&lt;&gt;"."),s_dir!P30/((1/1000)*(s_Irr!BK30)),IF(AND(s_Irr!O30=".",s_Irr!AM30&lt;&gt;".",s_Irr!BK30="."),s_dir!P30/((1/1000)*(s_Irr!AM30)),IF(AND(s_Irr!O30&lt;&gt;".",s_Irr!AM30=".",s_Irr!BK30="."),s_dir!P30/((1/1000)*(s_Irr!O30)),IF(AND(s_Irr!O30=".",s_Irr!AM30=".",s_Irr!BK30="."),s_dir!P30*1000)))))))),".")</f>
        <v>255.57452483135864</v>
      </c>
      <c r="Q30" s="76">
        <f>IFERROR(IF(AND(s_Irr!P30&lt;&gt;".",s_Irr!AN30&lt;&gt;".",s_Irr!BL30&lt;&gt;"."),s_dir!Q30/((1/1000)*(s_Irr!P30+s_Irr!AN30+s_Irr!BL30)),IF(AND(s_Irr!P30&lt;&gt;".",s_Irr!AN30&lt;&gt;".",s_Irr!BL30="."),s_dir!Q30/((1/1000)*(s_Irr!P30+s_Irr!AN30)),IF(AND(s_Irr!P30&lt;&gt;".",s_Irr!AN30=".",s_Irr!BL30&lt;&gt;"."),s_dir!Q30/((1/1000)*(s_Irr!P30+s_Irr!BL30)),IF(AND(s_Irr!P30=".",s_Irr!AN30&lt;&gt;".",s_Irr!BL30&lt;&gt;"."),s_dir!Q30/((1/1000)*(s_Irr!AN30+s_Irr!BL30)),IF(AND(s_Irr!P30=".",s_Irr!AN30=".",s_Irr!BL30&lt;&gt;"."),s_dir!Q30/((1/1000)*(s_Irr!BL30)),IF(AND(s_Irr!P30=".",s_Irr!AN30&lt;&gt;".",s_Irr!BL30="."),s_dir!Q30/((1/1000)*(s_Irr!AN30)),IF(AND(s_Irr!P30&lt;&gt;".",s_Irr!AN30=".",s_Irr!BL30="."),s_dir!Q30/((1/1000)*(s_Irr!P30)),IF(AND(s_Irr!P30=".",s_Irr!AN30=".",s_Irr!BL30="."),s_dir!Q30*1000)))))))),".")</f>
        <v>255.57452483135864</v>
      </c>
      <c r="R30" s="76">
        <f>IFERROR(IF(AND(s_Irr!Q30&lt;&gt;".",s_Irr!AO30&lt;&gt;".",s_Irr!BM30&lt;&gt;"."),s_dir!R30/((1/1000)*(s_Irr!Q30+s_Irr!AO30+s_Irr!BM30)),IF(AND(s_Irr!Q30&lt;&gt;".",s_Irr!AO30&lt;&gt;".",s_Irr!BM30="."),s_dir!R30/((1/1000)*(s_Irr!Q30+s_Irr!AO30)),IF(AND(s_Irr!Q30&lt;&gt;".",s_Irr!AO30=".",s_Irr!BM30&lt;&gt;"."),s_dir!R30/((1/1000)*(s_Irr!Q30+s_Irr!BM30)),IF(AND(s_Irr!Q30=".",s_Irr!AO30&lt;&gt;".",s_Irr!BM30&lt;&gt;"."),s_dir!R30/((1/1000)*(s_Irr!AO30+s_Irr!BM30)),IF(AND(s_Irr!Q30=".",s_Irr!AO30=".",s_Irr!BM30&lt;&gt;"."),s_dir!R30/((1/1000)*(s_Irr!BM30)),IF(AND(s_Irr!Q30=".",s_Irr!AO30&lt;&gt;".",s_Irr!BM30="."),s_dir!R30/((1/1000)*(s_Irr!AO30)),IF(AND(s_Irr!Q30&lt;&gt;".",s_Irr!AO30=".",s_Irr!BM30="."),s_dir!R30/((1/1000)*(s_Irr!Q30)),IF(AND(s_Irr!Q30=".",s_Irr!AO30=".",s_Irr!BM30="."),s_dir!R30*1000)))))))),".")</f>
        <v>315.34160363577968</v>
      </c>
      <c r="S30" s="76">
        <f>IFERROR(IF(AND(s_Irr!R30&lt;&gt;".",s_Irr!AP30&lt;&gt;".",s_Irr!BN30&lt;&gt;"."),s_dir!S30/((1/1000)*(s_Irr!R30+s_Irr!AP30+s_Irr!BN30)),IF(AND(s_Irr!R30&lt;&gt;".",s_Irr!AP30&lt;&gt;".",s_Irr!BN30="."),s_dir!S30/((1/1000)*(s_Irr!R30+s_Irr!AP30)),IF(AND(s_Irr!R30&lt;&gt;".",s_Irr!AP30=".",s_Irr!BN30&lt;&gt;"."),s_dir!S30/((1/1000)*(s_Irr!R30+s_Irr!BN30)),IF(AND(s_Irr!R30=".",s_Irr!AP30&lt;&gt;".",s_Irr!BN30&lt;&gt;"."),s_dir!S30/((1/1000)*(s_Irr!AP30+s_Irr!BN30)),IF(AND(s_Irr!R30=".",s_Irr!AP30=".",s_Irr!BN30&lt;&gt;"."),s_dir!S30/((1/1000)*(s_Irr!BN30)),IF(AND(s_Irr!R30=".",s_Irr!AP30&lt;&gt;".",s_Irr!BN30="."),s_dir!S30/((1/1000)*(s_Irr!AP30)),IF(AND(s_Irr!R30&lt;&gt;".",s_Irr!AP30=".",s_Irr!BN30="."),s_dir!S30/((1/1000)*(s_Irr!R30)),IF(AND(s_Irr!R30=".",s_Irr!AP30=".",s_Irr!BN30="."),s_dir!S30*1000)))))))),".")</f>
        <v>315.34160363577968</v>
      </c>
      <c r="T30" s="76">
        <f>IFERROR(IF(AND(s_Irr!S30&lt;&gt;".",s_Irr!AQ30&lt;&gt;".",s_Irr!BO30&lt;&gt;"."),s_dir!T30/((1/1000)*(s_Irr!S30+s_Irr!AQ30+s_Irr!BO30)),IF(AND(s_Irr!S30&lt;&gt;".",s_Irr!AQ30&lt;&gt;".",s_Irr!BO30="."),s_dir!T30/((1/1000)*(s_Irr!S30+s_Irr!AQ30)),IF(AND(s_Irr!S30&lt;&gt;".",s_Irr!AQ30=".",s_Irr!BO30&lt;&gt;"."),s_dir!T30/((1/1000)*(s_Irr!S30+s_Irr!BO30)),IF(AND(s_Irr!S30=".",s_Irr!AQ30&lt;&gt;".",s_Irr!BO30&lt;&gt;"."),s_dir!T30/((1/1000)*(s_Irr!AQ30+s_Irr!BO30)),IF(AND(s_Irr!S30=".",s_Irr!AQ30=".",s_Irr!BO30&lt;&gt;"."),s_dir!T30/((1/1000)*(s_Irr!BO30)),IF(AND(s_Irr!S30=".",s_Irr!AQ30&lt;&gt;".",s_Irr!BO30="."),s_dir!T30/((1/1000)*(s_Irr!AQ30)),IF(AND(s_Irr!S30&lt;&gt;".",s_Irr!AQ30=".",s_Irr!BO30="."),s_dir!T30/((1/1000)*(s_Irr!S30)),IF(AND(s_Irr!S30=".",s_Irr!AQ30=".",s_Irr!BO30="."),s_dir!T30*1000)))))))),".")</f>
        <v>309.14491345318555</v>
      </c>
      <c r="U30" s="76">
        <f>IFERROR(IF(AND(s_Irr!T30&lt;&gt;".",s_Irr!AR30&lt;&gt;".",s_Irr!BP30&lt;&gt;"."),s_dir!U30/((1/1000)*(s_Irr!T30+s_Irr!AR30+s_Irr!BP30)),IF(AND(s_Irr!T30&lt;&gt;".",s_Irr!AR30&lt;&gt;".",s_Irr!BP30="."),s_dir!U30/((1/1000)*(s_Irr!T30+s_Irr!AR30)),IF(AND(s_Irr!T30&lt;&gt;".",s_Irr!AR30=".",s_Irr!BP30&lt;&gt;"."),s_dir!U30/((1/1000)*(s_Irr!T30+s_Irr!BP30)),IF(AND(s_Irr!T30=".",s_Irr!AR30&lt;&gt;".",s_Irr!BP30&lt;&gt;"."),s_dir!U30/((1/1000)*(s_Irr!AR30+s_Irr!BP30)),IF(AND(s_Irr!T30=".",s_Irr!AR30=".",s_Irr!BP30&lt;&gt;"."),s_dir!U30/((1/1000)*(s_Irr!BP30)),IF(AND(s_Irr!T30=".",s_Irr!AR30&lt;&gt;".",s_Irr!BP30="."),s_dir!U30/((1/1000)*(s_Irr!AR30)),IF(AND(s_Irr!T30&lt;&gt;".",s_Irr!AR30=".",s_Irr!BP30="."),s_dir!U30/((1/1000)*(s_Irr!T30)),IF(AND(s_Irr!T30=".",s_Irr!AR30=".",s_Irr!BP30="."),s_dir!U30*1000)))))))),".")</f>
        <v>295.59154323465725</v>
      </c>
      <c r="V30" s="76">
        <f>IFERROR(IF(AND(s_Irr!U30&lt;&gt;".",s_Irr!AS30&lt;&gt;".",s_Irr!BQ30&lt;&gt;"."),s_dir!V30/((1/1000)*(s_Irr!U30+s_Irr!AS30+s_Irr!BQ30)),IF(AND(s_Irr!U30&lt;&gt;".",s_Irr!AS30&lt;&gt;".",s_Irr!BQ30="."),s_dir!V30/((1/1000)*(s_Irr!U30+s_Irr!AS30)),IF(AND(s_Irr!U30&lt;&gt;".",s_Irr!AS30=".",s_Irr!BQ30&lt;&gt;"."),s_dir!V30/((1/1000)*(s_Irr!U30+s_Irr!BQ30)),IF(AND(s_Irr!U30=".",s_Irr!AS30&lt;&gt;".",s_Irr!BQ30&lt;&gt;"."),s_dir!V30/((1/1000)*(s_Irr!AS30+s_Irr!BQ30)),IF(AND(s_Irr!U30=".",s_Irr!AS30=".",s_Irr!BQ30&lt;&gt;"."),s_dir!V30/((1/1000)*(s_Irr!BQ30)),IF(AND(s_Irr!U30=".",s_Irr!AS30&lt;&gt;".",s_Irr!BQ30="."),s_dir!V30/((1/1000)*(s_Irr!AS30)),IF(AND(s_Irr!U30&lt;&gt;".",s_Irr!AS30=".",s_Irr!BQ30="."),s_dir!V30/((1/1000)*(s_Irr!U30)),IF(AND(s_Irr!U30=".",s_Irr!AS30=".",s_Irr!BQ30="."),s_dir!V30*1000)))))))),".")</f>
        <v>255.57452483135864</v>
      </c>
      <c r="W30" s="76">
        <f>IFERROR(IF(AND(s_Irr!V30&lt;&gt;".",s_Irr!AT30&lt;&gt;".",s_Irr!BR30&lt;&gt;"."),s_dir!W30/((1/1000)*(s_Irr!V30+s_Irr!AT30+s_Irr!BR30)),IF(AND(s_Irr!V30&lt;&gt;".",s_Irr!AT30&lt;&gt;".",s_Irr!BR30="."),s_dir!W30/((1/1000)*(s_Irr!V30+s_Irr!AT30)),IF(AND(s_Irr!V30&lt;&gt;".",s_Irr!AT30=".",s_Irr!BR30&lt;&gt;"."),s_dir!W30/((1/1000)*(s_Irr!V30+s_Irr!BR30)),IF(AND(s_Irr!V30=".",s_Irr!AT30&lt;&gt;".",s_Irr!BR30&lt;&gt;"."),s_dir!W30/((1/1000)*(s_Irr!AT30+s_Irr!BR30)),IF(AND(s_Irr!V30=".",s_Irr!AT30=".",s_Irr!BR30&lt;&gt;"."),s_dir!W30/((1/1000)*(s_Irr!BR30)),IF(AND(s_Irr!V30=".",s_Irr!AT30&lt;&gt;".",s_Irr!BR30="."),s_dir!W30/((1/1000)*(s_Irr!AT30)),IF(AND(s_Irr!V30&lt;&gt;".",s_Irr!AT30=".",s_Irr!BR30="."),s_dir!W30/((1/1000)*(s_Irr!V30)),IF(AND(s_Irr!V30=".",s_Irr!AT30=".",s_Irr!BR30="."),s_dir!W30*1000)))))))),".")</f>
        <v>309.14491345318555</v>
      </c>
      <c r="X30" s="76">
        <f>IFERROR(IF(AND(s_Irr!W30&lt;&gt;".",s_Irr!AU30&lt;&gt;".",s_Irr!BS30&lt;&gt;"."),s_dir!X30/((1/1000)*(s_Irr!W30+s_Irr!AU30+s_Irr!BS30)),IF(AND(s_Irr!W30&lt;&gt;".",s_Irr!AU30&lt;&gt;".",s_Irr!BS30="."),s_dir!X30/((1/1000)*(s_Irr!W30+s_Irr!AU30)),IF(AND(s_Irr!W30&lt;&gt;".",s_Irr!AU30=".",s_Irr!BS30&lt;&gt;"."),s_dir!X30/((1/1000)*(s_Irr!W30+s_Irr!BS30)),IF(AND(s_Irr!W30=".",s_Irr!AU30&lt;&gt;".",s_Irr!BS30&lt;&gt;"."),s_dir!X30/((1/1000)*(s_Irr!AU30+s_Irr!BS30)),IF(AND(s_Irr!W30=".",s_Irr!AU30=".",s_Irr!BS30&lt;&gt;"."),s_dir!X30/((1/1000)*(s_Irr!BS30)),IF(AND(s_Irr!W30=".",s_Irr!AU30&lt;&gt;".",s_Irr!BS30="."),s_dir!X30/((1/1000)*(s_Irr!AU30)),IF(AND(s_Irr!W30&lt;&gt;".",s_Irr!AU30=".",s_Irr!BS30="."),s_dir!X30/((1/1000)*(s_Irr!W30)),IF(AND(s_Irr!W30=".",s_Irr!AU30=".",s_Irr!BS30="."),s_dir!X30*1000)))))))),".")</f>
        <v>315.34160363577968</v>
      </c>
      <c r="Y30" s="76">
        <f>IFERROR(IF(AND(s_Irr!X30&lt;&gt;".",s_Irr!AV30&lt;&gt;".",s_Irr!BT30&lt;&gt;"."),s_dir!Y30/((1/1000)*(s_Irr!X30+s_Irr!AV30+s_Irr!BT30)),IF(AND(s_Irr!X30&lt;&gt;".",s_Irr!AV30&lt;&gt;".",s_Irr!BT30="."),s_dir!Y30/((1/1000)*(s_Irr!X30+s_Irr!AV30)),IF(AND(s_Irr!X30&lt;&gt;".",s_Irr!AV30=".",s_Irr!BT30&lt;&gt;"."),s_dir!Y30/((1/1000)*(s_Irr!X30+s_Irr!BT30)),IF(AND(s_Irr!X30=".",s_Irr!AV30&lt;&gt;".",s_Irr!BT30&lt;&gt;"."),s_dir!Y30/((1/1000)*(s_Irr!AV30+s_Irr!BT30)),IF(AND(s_Irr!X30=".",s_Irr!AV30=".",s_Irr!BT30&lt;&gt;"."),s_dir!Y30/((1/1000)*(s_Irr!BT30)),IF(AND(s_Irr!X30=".",s_Irr!AV30&lt;&gt;".",s_Irr!BT30="."),s_dir!Y30/((1/1000)*(s_Irr!AV30)),IF(AND(s_Irr!X30&lt;&gt;".",s_Irr!AV30=".",s_Irr!BT30="."),s_dir!Y30/((1/1000)*(s_Irr!X30)),IF(AND(s_Irr!X30=".",s_Irr!AV30=".",s_Irr!BT30="."),s_dir!Y30*1000)))))))),".")</f>
        <v>255.57452483135864</v>
      </c>
      <c r="Z30" s="76">
        <f>IFERROR(IF(AND(s_Irr!Y30&lt;&gt;".",s_Irr!AW30&lt;&gt;".",s_Irr!BU30&lt;&gt;"."),s_dir!Z30/((1/1000)*(s_Irr!Y30+s_Irr!AW30+s_Irr!BU30)),IF(AND(s_Irr!Y30&lt;&gt;".",s_Irr!AW30&lt;&gt;".",s_Irr!BU30="."),s_dir!Z30/((1/1000)*(s_Irr!Y30+s_Irr!AW30)),IF(AND(s_Irr!Y30&lt;&gt;".",s_Irr!AW30=".",s_Irr!BU30&lt;&gt;"."),s_dir!Z30/((1/1000)*(s_Irr!Y30+s_Irr!BU30)),IF(AND(s_Irr!Y30=".",s_Irr!AW30&lt;&gt;".",s_Irr!BU30&lt;&gt;"."),s_dir!Z30/((1/1000)*(s_Irr!AW30+s_Irr!BU30)),IF(AND(s_Irr!Y30=".",s_Irr!AW30=".",s_Irr!BU30&lt;&gt;"."),s_dir!Z30/((1/1000)*(s_Irr!BU30)),IF(AND(s_Irr!Y30=".",s_Irr!AW30&lt;&gt;".",s_Irr!BU30="."),s_dir!Z30/((1/1000)*(s_Irr!AW30)),IF(AND(s_Irr!Y30&lt;&gt;".",s_Irr!AW30=".",s_Irr!BU30="."),s_dir!Z30/((1/1000)*(s_Irr!Y30)),IF(AND(s_Irr!Y30=".",s_Irr!AW30=".",s_Irr!BU30="."),s_dir!Z30*1000)))))))),".")</f>
        <v>319.38010440520924</v>
      </c>
      <c r="AA30" s="76">
        <f>IFERROR(IF(AND(s_Irr!Z30&lt;&gt;".",s_Irr!AX30&lt;&gt;".",s_Irr!BV30&lt;&gt;"."),s_dir!AA30/((1/1000)*(s_Irr!Z30+s_Irr!AX30+s_Irr!BV30)),IF(AND(s_Irr!Z30&lt;&gt;".",s_Irr!AX30&lt;&gt;".",s_Irr!BV30="."),s_dir!AA30/((1/1000)*(s_Irr!Z30+s_Irr!AX30)),IF(AND(s_Irr!Z30&lt;&gt;".",s_Irr!AX30=".",s_Irr!BV30&lt;&gt;"."),s_dir!AA30/((1/1000)*(s_Irr!Z30+s_Irr!BV30)),IF(AND(s_Irr!Z30=".",s_Irr!AX30&lt;&gt;".",s_Irr!BV30&lt;&gt;"."),s_dir!AA30/((1/1000)*(s_Irr!AX30+s_Irr!BV30)),IF(AND(s_Irr!Z30=".",s_Irr!AX30=".",s_Irr!BV30&lt;&gt;"."),s_dir!AA30/((1/1000)*(s_Irr!BV30)),IF(AND(s_Irr!Z30=".",s_Irr!AX30&lt;&gt;".",s_Irr!BV30="."),s_dir!AA30/((1/1000)*(s_Irr!AX30)),IF(AND(s_Irr!Z30&lt;&gt;".",s_Irr!AX30=".",s_Irr!BV30="."),s_dir!AA30/((1/1000)*(s_Irr!Z30)),IF(AND(s_Irr!Z30=".",s_Irr!AX30=".",s_Irr!BV30="."),s_dir!AA30*1000)))))))),".")</f>
        <v>290.14004242106466</v>
      </c>
      <c r="AB30" s="93">
        <f>SUM(AC30:AD30,AY30:AZ30)</f>
        <v>718.30241841018358</v>
      </c>
      <c r="AC30" s="93">
        <f>IFERROR(s_C*s_IFAP_res_adj*s_CF_apple*0.001*(s_Irr!C30+s_Irr!AA30+s_Irr!AY30),".")</f>
        <v>163.56324461607693</v>
      </c>
      <c r="AD30" s="93">
        <f>IFERROR(s_C*s_IFAS_res_adj*s_CF_asparagus*0.001*(s_Irr!D30+s_Irr!AB30+s_Irr!AZ30),".")</f>
        <v>215.47380891977696</v>
      </c>
      <c r="AE30" s="93">
        <f>IFERROR(s_C*s_IFBT_res_adj*s_CF_beet*0.001*(s_Irr!E30+s_Irr!AC30+s_Irr!BA30),".")</f>
        <v>183.7810433448864</v>
      </c>
      <c r="AF30" s="93">
        <f>IFERROR(s_C*s_IFBE_res_adj*s_CF_berries*0.001*(s_Irr!F30+s_Irr!AD30+s_Irr!BB30),".")</f>
        <v>163.56324461607693</v>
      </c>
      <c r="AG30" s="93">
        <f>IFERROR(s_C*s_IFBR_res_adj*s_CF_broccoli*0.001*(s_Irr!G30+s_Irr!AE30+s_Irr!BC30),".")</f>
        <v>201.81313410301377</v>
      </c>
      <c r="AH30" s="93">
        <f>IFERROR(s_C*s_IFCB_res_adj*s_CF_cabbage*0.001*(s_Irr!H30+s_Irr!AF30+s_Irr!BD30),".")</f>
        <v>215.47380891977696</v>
      </c>
      <c r="AI30" s="93">
        <f>IFERROR(s_C*s_IFCR_res_adj*s_CF_carrot*0.001*(s_Irr!I30+s_Irr!AG30+s_Irr!BE30),".")</f>
        <v>183.7810433448864</v>
      </c>
      <c r="AJ30" s="93">
        <f>IFERROR(s_C*s_IFCI_res_adj*s_CF_citrus*0.001*(s_Irr!J30+s_Irr!AH30+s_Irr!BF30),".")</f>
        <v>163.56324461607693</v>
      </c>
      <c r="AK30" s="93">
        <f>IFERROR(s_C*s_IFCO_res_adj*s_CF_corn*0.001*(s_Irr!K30+s_Irr!AI30+s_Irr!BG30),".")</f>
        <v>201.81313410301377</v>
      </c>
      <c r="AL30" s="93">
        <f>IFERROR(s_C*s_IFCU_res_adj*s_CF_cucumber*0.001*(s_Irr!L30+s_Irr!AJ30+s_Irr!BH30),".")</f>
        <v>201.81313410301377</v>
      </c>
      <c r="AM30" s="93">
        <f>IFERROR(s_C*s_IFLE_res_adj*s_CF_lettuce*0.001*(s_Irr!M30+s_Irr!AK30+s_Irr!BI30),".")</f>
        <v>215.47380891977696</v>
      </c>
      <c r="AN30" s="93">
        <f>IFERROR(s_C*s_IFLI_res_adj*s_CF_lima_bean*0.001*(s_Irr!N30+s_Irr!AL30+s_Irr!BJ30),".")</f>
        <v>166.8418065721001</v>
      </c>
      <c r="AO30" s="93">
        <f>IFERROR(s_C*s_IFOK_res_adj*s_CF_okra*0.001*(s_Irr!O30+s_Irr!AM30+s_Irr!BK30),".")</f>
        <v>201.81313410301377</v>
      </c>
      <c r="AP30" s="93">
        <f>IFERROR(s_C*s_IFON_res_adj*s_CF_onion*0.001*(s_Irr!P30+s_Irr!AN30+s_Irr!BL30),".")</f>
        <v>201.81313410301377</v>
      </c>
      <c r="AQ30" s="93">
        <f>IFERROR(s_C*s_IFPC_res_adj*s_CF_peach*0.001*(s_Irr!Q30+s_Irr!AO30+s_Irr!BM30),".")</f>
        <v>163.56324461607693</v>
      </c>
      <c r="AR30" s="93">
        <f>IFERROR(s_C*s_IFPR_res_adj*s_CF_pear*0.001*(s_Irr!R30+s_Irr!AP30+s_Irr!BN30),".")</f>
        <v>163.56324461607693</v>
      </c>
      <c r="AS30" s="93">
        <f>IFERROR(s_C*s_IFPE_res_adj*s_CF_peas*0.001*(s_Irr!S30+s_Irr!AQ30+s_Irr!BO30),".")</f>
        <v>166.8418065721001</v>
      </c>
      <c r="AT30" s="93">
        <f>IFERROR(s_C*s_IFPT_res_adj*s_CF_potato*0.001*(s_Irr!T30+s_Irr!AR30+s_Irr!BP30),".")</f>
        <v>174.49178446948747</v>
      </c>
      <c r="AU30" s="93">
        <f>IFERROR(s_C*s_IFPU_res_adj*s_CF_pumpkin*0.001*(s_Irr!U30+s_Irr!AS30+s_Irr!BQ30),".")</f>
        <v>201.81313410301377</v>
      </c>
      <c r="AV30" s="93">
        <f>IFERROR(s_C*s_IFSN_res_adj*s_CF_snap_bean*0.001*(s_Irr!V30+s_Irr!AT30+s_Irr!BR30),".")</f>
        <v>166.8418065721001</v>
      </c>
      <c r="AW30" s="93">
        <f>IFERROR(s_C*s_IFST_res_adj*s_CF_strawberry*0.001*(s_Irr!W30+s_Irr!AU30+s_Irr!BS30),".")</f>
        <v>163.56324461607693</v>
      </c>
      <c r="AX30" s="93">
        <f>IFERROR(s_C*s_IFTO_res_adj*s_CF_tomato*0.001*(s_Irr!X30+s_Irr!AV30+s_Irr!BT30),".")</f>
        <v>201.81313410301377</v>
      </c>
      <c r="AY30" s="93">
        <f>IFERROR(s_C*s_IFRI_res_adj*s_CF_rice*0.001*(s_Irr!Y30+s_Irr!AW30+s_Irr!BU30),".")</f>
        <v>161.495018448819</v>
      </c>
      <c r="AZ30" s="93">
        <f>IFERROR(s_C*s_IFCG_res_adj*s_CF_cereal*0.001*(s_Irr!Z30+s_Irr!AX30+s_Irr!BV30),".")</f>
        <v>177.77034642551061</v>
      </c>
      <c r="BA30" s="76">
        <f>IFERROR(1/SUM(1/BB30,1/BC30,1/BX30,1/BY30),".")</f>
        <v>71.805822354410395</v>
      </c>
      <c r="BB30" s="76">
        <f>IFERROR(IF(AND(s_Irr!C30&lt;&gt;".",s_Irr!AA30&lt;&gt;".",s_Irr!AY30&lt;&gt;"."),s_dir!AC30/((1/1000)*(s_Irr!C30+s_Irr!AA30+s_Irr!AY30)),IF(AND(s_Irr!C30&lt;&gt;".",s_Irr!AA30&lt;&gt;".",s_Irr!AY30="."),s_dir!AC30/((1/1000)*(s_Irr!C30+s_Irr!AA30)),IF(AND(s_Irr!C30&lt;&gt;".",s_Irr!AA30=".",s_Irr!AY30&lt;&gt;"."),s_dir!AC30/((1/1000)*(s_Irr!C30+s_Irr!AY30)),IF(AND(s_Irr!C30=".",s_Irr!AA30&lt;&gt;".",s_Irr!AY30&lt;&gt;"."),s_dir!AC30/((1/1000)*(s_Irr!AA30+s_Irr!AY30)),IF(AND(s_Irr!C30=".",s_Irr!AA30=".",s_Irr!AY30&lt;&gt;"."),s_dir!AC30/((1/1000)*(s_Irr!AY30)),IF(AND(s_Irr!C30=".",s_Irr!AA30&lt;&gt;".",s_Irr!AY30="."),s_dir!AC30/((1/1000)*(s_Irr!AA30)),IF(AND(s_Irr!C30&lt;&gt;".",s_Irr!AA30=".",s_Irr!AY30="."),s_dir!AC30/((1/1000)*(s_Irr!C30)),IF(AND(s_Irr!C30=".",s_Irr!AA30=".",s_Irr!AY30="."),s_dir!AC30*1000)))))))),".")</f>
        <v>315.34160363577968</v>
      </c>
      <c r="BC30" s="76">
        <f>IFERROR(IF(AND(s_Irr!D30&lt;&gt;".",s_Irr!AB30&lt;&gt;".",s_Irr!AZ30&lt;&gt;"."),s_dir!AD30/((1/1000)*(s_Irr!D30+s_Irr!AB30+s_Irr!AZ30)),IF(AND(s_Irr!D30&lt;&gt;".",s_Irr!AB30&lt;&gt;".",s_Irr!AZ30="."),s_dir!AD30/((1/1000)*(s_Irr!D30+s_Irr!AB30)),IF(AND(s_Irr!D30&lt;&gt;".",s_Irr!AB30=".",s_Irr!AZ30&lt;&gt;"."),s_dir!AD30/((1/1000)*(s_Irr!D30+s_Irr!AZ30)),IF(AND(s_Irr!D30=".",s_Irr!AB30&lt;&gt;".",s_Irr!AZ30&lt;&gt;"."),s_dir!AD30/((1/1000)*(s_Irr!AB30+s_Irr!AZ30)),IF(AND(s_Irr!D30=".",s_Irr!AB30=".",s_Irr!AZ30&lt;&gt;"."),s_dir!AD30/((1/1000)*(s_Irr!AZ30)),IF(AND(s_Irr!D30=".",s_Irr!AB30&lt;&gt;".",s_Irr!AZ30="."),s_dir!AD30/((1/1000)*(s_Irr!AB30)),IF(AND(s_Irr!D30&lt;&gt;".",s_Irr!AB30=".",s_Irr!AZ30="."),s_dir!AD30/((1/1000)*(s_Irr!D30)),IF(AND(s_Irr!D30=".",s_Irr!AB30=".",s_Irr!AZ30="."),s_dir!AD30*1000)))))))),".")</f>
        <v>239.37153249241592</v>
      </c>
      <c r="BD30" s="76">
        <f>IFERROR(IF(AND(s_Irr!E30&lt;&gt;".",s_Irr!AC30&lt;&gt;".",s_Irr!BA30&lt;&gt;"."),s_dir!AE30/((1/1000)*(s_Irr!E30+s_Irr!AC30+s_Irr!BA30)),IF(AND(s_Irr!E30&lt;&gt;".",s_Irr!AC30&lt;&gt;".",s_Irr!BA30="."),s_dir!AE30/((1/1000)*(s_Irr!E30+s_Irr!AC30)),IF(AND(s_Irr!E30&lt;&gt;".",s_Irr!AC30=".",s_Irr!BA30&lt;&gt;"."),s_dir!AE30/((1/1000)*(s_Irr!E30+s_Irr!BA30)),IF(AND(s_Irr!E30=".",s_Irr!AC30&lt;&gt;".",s_Irr!BA30&lt;&gt;"."),s_dir!AE30/((1/1000)*(s_Irr!AC30+s_Irr!BA30)),IF(AND(s_Irr!E30=".",s_Irr!AC30=".",s_Irr!BA30&lt;&gt;"."),s_dir!AE30/((1/1000)*(s_Irr!BA30)),IF(AND(s_Irr!E30=".",s_Irr!AC30&lt;&gt;".",s_Irr!BA30="."),s_dir!AE30/((1/1000)*(s_Irr!AC30)),IF(AND(s_Irr!E30&lt;&gt;".",s_Irr!AC30=".",s_Irr!BA30="."),s_dir!AE30/((1/1000)*(s_Irr!E30)),IF(AND(s_Irr!E30=".",s_Irr!AC30=".",s_Irr!BA30="."),s_dir!AE30*1000)))))))),".")</f>
        <v>280.65079463235151</v>
      </c>
      <c r="BE30" s="76">
        <f>IFERROR(IF(AND(s_Irr!F30&lt;&gt;".",s_Irr!AD30&lt;&gt;".",s_Irr!BB30&lt;&gt;"."),s_dir!AF30/((1/1000)*(s_Irr!F30+s_Irr!AD30+s_Irr!BB30)),IF(AND(s_Irr!F30&lt;&gt;".",s_Irr!AD30&lt;&gt;".",s_Irr!BB30="."),s_dir!AF30/((1/1000)*(s_Irr!F30+s_Irr!AD30)),IF(AND(s_Irr!F30&lt;&gt;".",s_Irr!AD30=".",s_Irr!BB30&lt;&gt;"."),s_dir!AF30/((1/1000)*(s_Irr!F30+s_Irr!BB30)),IF(AND(s_Irr!F30=".",s_Irr!AD30&lt;&gt;".",s_Irr!BB30&lt;&gt;"."),s_dir!AF30/((1/1000)*(s_Irr!AD30+s_Irr!BB30)),IF(AND(s_Irr!F30=".",s_Irr!AD30=".",s_Irr!BB30&lt;&gt;"."),s_dir!AF30/((1/1000)*(s_Irr!BB30)),IF(AND(s_Irr!F30=".",s_Irr!AD30&lt;&gt;".",s_Irr!BB30="."),s_dir!AF30/((1/1000)*(s_Irr!AD30)),IF(AND(s_Irr!F30&lt;&gt;".",s_Irr!AD30=".",s_Irr!BB30="."),s_dir!AF30/((1/1000)*(s_Irr!F30)),IF(AND(s_Irr!F30=".",s_Irr!AD30=".",s_Irr!BB30="."),s_dir!AF30*1000)))))))),".")</f>
        <v>315.34160363577968</v>
      </c>
      <c r="BF30" s="76">
        <f>IFERROR(IF(AND(s_Irr!G30&lt;&gt;".",s_Irr!AE30&lt;&gt;".",s_Irr!BC30&lt;&gt;"."),s_dir!AG30/((1/1000)*(s_Irr!G30+s_Irr!AE30+s_Irr!BC30)),IF(AND(s_Irr!G30&lt;&gt;".",s_Irr!AE30&lt;&gt;".",s_Irr!BC30="."),s_dir!AG30/((1/1000)*(s_Irr!G30+s_Irr!AE30)),IF(AND(s_Irr!G30&lt;&gt;".",s_Irr!AE30=".",s_Irr!BC30&lt;&gt;"."),s_dir!AG30/((1/1000)*(s_Irr!G30+s_Irr!BC30)),IF(AND(s_Irr!G30=".",s_Irr!AE30&lt;&gt;".",s_Irr!BC30&lt;&gt;"."),s_dir!AG30/((1/1000)*(s_Irr!AE30+s_Irr!BC30)),IF(AND(s_Irr!G30=".",s_Irr!AE30=".",s_Irr!BC30&lt;&gt;"."),s_dir!AG30/((1/1000)*(s_Irr!BC30)),IF(AND(s_Irr!G30=".",s_Irr!AE30&lt;&gt;".",s_Irr!BC30="."),s_dir!AG30/((1/1000)*(s_Irr!AE30)),IF(AND(s_Irr!G30&lt;&gt;".",s_Irr!AE30=".",s_Irr!BC30="."),s_dir!AG30/((1/1000)*(s_Irr!G30)),IF(AND(s_Irr!G30=".",s_Irr!AE30=".",s_Irr!BC30="."),s_dir!AG30*1000)))))))),".")</f>
        <v>255.57452483135864</v>
      </c>
      <c r="BG30" s="76">
        <f>IFERROR(IF(AND(s_Irr!H30&lt;&gt;".",s_Irr!AF30&lt;&gt;".",s_Irr!BD30&lt;&gt;"."),s_dir!AH30/((1/1000)*(s_Irr!H30+s_Irr!AF30+s_Irr!BD30)),IF(AND(s_Irr!H30&lt;&gt;".",s_Irr!AF30&lt;&gt;".",s_Irr!BD30="."),s_dir!AH30/((1/1000)*(s_Irr!H30+s_Irr!AF30)),IF(AND(s_Irr!H30&lt;&gt;".",s_Irr!AF30=".",s_Irr!BD30&lt;&gt;"."),s_dir!AH30/((1/1000)*(s_Irr!H30+s_Irr!BD30)),IF(AND(s_Irr!H30=".",s_Irr!AF30&lt;&gt;".",s_Irr!BD30&lt;&gt;"."),s_dir!AH30/((1/1000)*(s_Irr!AF30+s_Irr!BD30)),IF(AND(s_Irr!H30=".",s_Irr!AF30=".",s_Irr!BD30&lt;&gt;"."),s_dir!AH30/((1/1000)*(s_Irr!BD30)),IF(AND(s_Irr!H30=".",s_Irr!AF30&lt;&gt;".",s_Irr!BD30="."),s_dir!AH30/((1/1000)*(s_Irr!AF30)),IF(AND(s_Irr!H30&lt;&gt;".",s_Irr!AF30=".",s_Irr!BD30="."),s_dir!AH30/((1/1000)*(s_Irr!H30)),IF(AND(s_Irr!H30=".",s_Irr!AF30=".",s_Irr!BD30="."),s_dir!AH30*1000)))))))),".")</f>
        <v>239.37153249241592</v>
      </c>
      <c r="BH30" s="76">
        <f>IFERROR(IF(AND(s_Irr!I30&lt;&gt;".",s_Irr!AG30&lt;&gt;".",s_Irr!BE30&lt;&gt;"."),s_dir!AI30/((1/1000)*(s_Irr!I30+s_Irr!AG30+s_Irr!BE30)),IF(AND(s_Irr!I30&lt;&gt;".",s_Irr!AG30&lt;&gt;".",s_Irr!BE30="."),s_dir!AI30/((1/1000)*(s_Irr!I30+s_Irr!AG30)),IF(AND(s_Irr!I30&lt;&gt;".",s_Irr!AG30=".",s_Irr!BE30&lt;&gt;"."),s_dir!AI30/((1/1000)*(s_Irr!I30+s_Irr!BE30)),IF(AND(s_Irr!I30=".",s_Irr!AG30&lt;&gt;".",s_Irr!BE30&lt;&gt;"."),s_dir!AI30/((1/1000)*(s_Irr!AG30+s_Irr!BE30)),IF(AND(s_Irr!I30=".",s_Irr!AG30=".",s_Irr!BE30&lt;&gt;"."),s_dir!AI30/((1/1000)*(s_Irr!BE30)),IF(AND(s_Irr!I30=".",s_Irr!AG30&lt;&gt;".",s_Irr!BE30="."),s_dir!AI30/((1/1000)*(s_Irr!AG30)),IF(AND(s_Irr!I30&lt;&gt;".",s_Irr!AG30=".",s_Irr!BE30="."),s_dir!AI30/((1/1000)*(s_Irr!I30)),IF(AND(s_Irr!I30=".",s_Irr!AG30=".",s_Irr!BE30="."),s_dir!AI30*1000)))))))),".")</f>
        <v>280.65079463235151</v>
      </c>
      <c r="BI30" s="76">
        <f>IFERROR(IF(AND(s_Irr!J30&lt;&gt;".",s_Irr!AH30&lt;&gt;".",s_Irr!BF30&lt;&gt;"."),s_dir!AJ30/((1/1000)*(s_Irr!J30+s_Irr!AH30+s_Irr!BF30)),IF(AND(s_Irr!J30&lt;&gt;".",s_Irr!AH30&lt;&gt;".",s_Irr!BF30="."),s_dir!AJ30/((1/1000)*(s_Irr!J30+s_Irr!AH30)),IF(AND(s_Irr!J30&lt;&gt;".",s_Irr!AH30=".",s_Irr!BF30&lt;&gt;"."),s_dir!AJ30/((1/1000)*(s_Irr!J30+s_Irr!BF30)),IF(AND(s_Irr!J30=".",s_Irr!AH30&lt;&gt;".",s_Irr!BF30&lt;&gt;"."),s_dir!AJ30/((1/1000)*(s_Irr!AH30+s_Irr!BF30)),IF(AND(s_Irr!J30=".",s_Irr!AH30=".",s_Irr!BF30&lt;&gt;"."),s_dir!AJ30/((1/1000)*(s_Irr!BF30)),IF(AND(s_Irr!J30=".",s_Irr!AH30&lt;&gt;".",s_Irr!BF30="."),s_dir!AJ30/((1/1000)*(s_Irr!AH30)),IF(AND(s_Irr!J30&lt;&gt;".",s_Irr!AH30=".",s_Irr!BF30="."),s_dir!AJ30/((1/1000)*(s_Irr!J30)),IF(AND(s_Irr!J30=".",s_Irr!AH30=".",s_Irr!BF30="."),s_dir!AJ30*1000)))))))),".")</f>
        <v>315.34160363577968</v>
      </c>
      <c r="BJ30" s="76">
        <f>IFERROR(IF(AND(s_Irr!K30&lt;&gt;".",s_Irr!AI30&lt;&gt;".",s_Irr!BG30&lt;&gt;"."),s_dir!AK30/((1/1000)*(s_Irr!K30+s_Irr!AI30+s_Irr!BG30)),IF(AND(s_Irr!K30&lt;&gt;".",s_Irr!AI30&lt;&gt;".",s_Irr!BG30="."),s_dir!AK30/((1/1000)*(s_Irr!K30+s_Irr!AI30)),IF(AND(s_Irr!K30&lt;&gt;".",s_Irr!AI30=".",s_Irr!BG30&lt;&gt;"."),s_dir!AK30/((1/1000)*(s_Irr!K30+s_Irr!BG30)),IF(AND(s_Irr!K30=".",s_Irr!AI30&lt;&gt;".",s_Irr!BG30&lt;&gt;"."),s_dir!AK30/((1/1000)*(s_Irr!AI30+s_Irr!BG30)),IF(AND(s_Irr!K30=".",s_Irr!AI30=".",s_Irr!BG30&lt;&gt;"."),s_dir!AK30/((1/1000)*(s_Irr!BG30)),IF(AND(s_Irr!K30=".",s_Irr!AI30&lt;&gt;".",s_Irr!BG30="."),s_dir!AK30/((1/1000)*(s_Irr!AI30)),IF(AND(s_Irr!K30&lt;&gt;".",s_Irr!AI30=".",s_Irr!BG30="."),s_dir!AK30/((1/1000)*(s_Irr!K30)),IF(AND(s_Irr!K30=".",s_Irr!AI30=".",s_Irr!BG30="."),s_dir!AK30*1000)))))))),".")</f>
        <v>255.57452483135864</v>
      </c>
      <c r="BK30" s="76">
        <f>IFERROR(IF(AND(s_Irr!L30&lt;&gt;".",s_Irr!AJ30&lt;&gt;".",s_Irr!BH30&lt;&gt;"."),s_dir!AL30/((1/1000)*(s_Irr!L30+s_Irr!AJ30+s_Irr!BH30)),IF(AND(s_Irr!L30&lt;&gt;".",s_Irr!AJ30&lt;&gt;".",s_Irr!BH30="."),s_dir!AL30/((1/1000)*(s_Irr!L30+s_Irr!AJ30)),IF(AND(s_Irr!L30&lt;&gt;".",s_Irr!AJ30=".",s_Irr!BH30&lt;&gt;"."),s_dir!AL30/((1/1000)*(s_Irr!L30+s_Irr!BH30)),IF(AND(s_Irr!L30=".",s_Irr!AJ30&lt;&gt;".",s_Irr!BH30&lt;&gt;"."),s_dir!AL30/((1/1000)*(s_Irr!AJ30+s_Irr!BH30)),IF(AND(s_Irr!L30=".",s_Irr!AJ30=".",s_Irr!BH30&lt;&gt;"."),s_dir!AL30/((1/1000)*(s_Irr!BH30)),IF(AND(s_Irr!L30=".",s_Irr!AJ30&lt;&gt;".",s_Irr!BH30="."),s_dir!AL30/((1/1000)*(s_Irr!AJ30)),IF(AND(s_Irr!L30&lt;&gt;".",s_Irr!AJ30=".",s_Irr!BH30="."),s_dir!AL30/((1/1000)*(s_Irr!L30)),IF(AND(s_Irr!L30=".",s_Irr!AJ30=".",s_Irr!BH30="."),s_dir!AL30*1000)))))))),".")</f>
        <v>255.57452483135864</v>
      </c>
      <c r="BL30" s="76">
        <f>IFERROR(IF(AND(s_Irr!M30&lt;&gt;".",s_Irr!AK30&lt;&gt;".",s_Irr!BI30&lt;&gt;"."),s_dir!AM30/((1/1000)*(s_Irr!M30+s_Irr!AK30+s_Irr!BI30)),IF(AND(s_Irr!M30&lt;&gt;".",s_Irr!AK30&lt;&gt;".",s_Irr!BI30="."),s_dir!AM30/((1/1000)*(s_Irr!M30+s_Irr!AK30)),IF(AND(s_Irr!M30&lt;&gt;".",s_Irr!AK30=".",s_Irr!BI30&lt;&gt;"."),s_dir!AM30/((1/1000)*(s_Irr!M30+s_Irr!BI30)),IF(AND(s_Irr!M30=".",s_Irr!AK30&lt;&gt;".",s_Irr!BI30&lt;&gt;"."),s_dir!AM30/((1/1000)*(s_Irr!AK30+s_Irr!BI30)),IF(AND(s_Irr!M30=".",s_Irr!AK30=".",s_Irr!BI30&lt;&gt;"."),s_dir!AM30/((1/1000)*(s_Irr!BI30)),IF(AND(s_Irr!M30=".",s_Irr!AK30&lt;&gt;".",s_Irr!BI30="."),s_dir!AM30/((1/1000)*(s_Irr!AK30)),IF(AND(s_Irr!M30&lt;&gt;".",s_Irr!AK30=".",s_Irr!BI30="."),s_dir!AM30/((1/1000)*(s_Irr!M30)),IF(AND(s_Irr!M30=".",s_Irr!AK30=".",s_Irr!BI30="."),s_dir!AM30*1000)))))))),".")</f>
        <v>239.37153249241592</v>
      </c>
      <c r="BM30" s="76">
        <f>IFERROR(IF(AND(s_Irr!N30&lt;&gt;".",s_Irr!AL30&lt;&gt;".",s_Irr!BJ30&lt;&gt;"."),s_dir!AN30/((1/1000)*(s_Irr!N30+s_Irr!AL30+s_Irr!BJ30)),IF(AND(s_Irr!N30&lt;&gt;".",s_Irr!AL30&lt;&gt;".",s_Irr!BJ30="."),s_dir!AN30/((1/1000)*(s_Irr!N30+s_Irr!AL30)),IF(AND(s_Irr!N30&lt;&gt;".",s_Irr!AL30=".",s_Irr!BJ30&lt;&gt;"."),s_dir!AN30/((1/1000)*(s_Irr!N30+s_Irr!BJ30)),IF(AND(s_Irr!N30=".",s_Irr!AL30&lt;&gt;".",s_Irr!BJ30&lt;&gt;"."),s_dir!AN30/((1/1000)*(s_Irr!AL30+s_Irr!BJ30)),IF(AND(s_Irr!N30=".",s_Irr!AL30=".",s_Irr!BJ30&lt;&gt;"."),s_dir!AN30/((1/1000)*(s_Irr!BJ30)),IF(AND(s_Irr!N30=".",s_Irr!AL30&lt;&gt;".",s_Irr!BJ30="."),s_dir!AN30/((1/1000)*(s_Irr!AL30)),IF(AND(s_Irr!N30&lt;&gt;".",s_Irr!AL30=".",s_Irr!BJ30="."),s_dir!AN30/((1/1000)*(s_Irr!N30)),IF(AND(s_Irr!N30=".",s_Irr!AL30=".",s_Irr!BJ30="."),s_dir!AN30*1000)))))))),".")</f>
        <v>309.14491345318555</v>
      </c>
      <c r="BN30" s="76">
        <f>IFERROR(IF(AND(s_Irr!O30&lt;&gt;".",s_Irr!AM30&lt;&gt;".",s_Irr!BK30&lt;&gt;"."),s_dir!AO30/((1/1000)*(s_Irr!O30+s_Irr!AM30+s_Irr!BK30)),IF(AND(s_Irr!O30&lt;&gt;".",s_Irr!AM30&lt;&gt;".",s_Irr!BK30="."),s_dir!AO30/((1/1000)*(s_Irr!O30+s_Irr!AM30)),IF(AND(s_Irr!O30&lt;&gt;".",s_Irr!AM30=".",s_Irr!BK30&lt;&gt;"."),s_dir!AO30/((1/1000)*(s_Irr!O30+s_Irr!BK30)),IF(AND(s_Irr!O30=".",s_Irr!AM30&lt;&gt;".",s_Irr!BK30&lt;&gt;"."),s_dir!AO30/((1/1000)*(s_Irr!AM30+s_Irr!BK30)),IF(AND(s_Irr!O30=".",s_Irr!AM30=".",s_Irr!BK30&lt;&gt;"."),s_dir!AO30/((1/1000)*(s_Irr!BK30)),IF(AND(s_Irr!O30=".",s_Irr!AM30&lt;&gt;".",s_Irr!BK30="."),s_dir!AO30/((1/1000)*(s_Irr!AM30)),IF(AND(s_Irr!O30&lt;&gt;".",s_Irr!AM30=".",s_Irr!BK30="."),s_dir!AO30/((1/1000)*(s_Irr!O30)),IF(AND(s_Irr!O30=".",s_Irr!AM30=".",s_Irr!BK30="."),s_dir!AO30*1000)))))))),".")</f>
        <v>255.57452483135864</v>
      </c>
      <c r="BO30" s="76">
        <f>IFERROR(IF(AND(s_Irr!P30&lt;&gt;".",s_Irr!AN30&lt;&gt;".",s_Irr!BL30&lt;&gt;"."),s_dir!AP30/((1/1000)*(s_Irr!P30+s_Irr!AN30+s_Irr!BL30)),IF(AND(s_Irr!P30&lt;&gt;".",s_Irr!AN30&lt;&gt;".",s_Irr!BL30="."),s_dir!AP30/((1/1000)*(s_Irr!P30+s_Irr!AN30)),IF(AND(s_Irr!P30&lt;&gt;".",s_Irr!AN30=".",s_Irr!BL30&lt;&gt;"."),s_dir!AP30/((1/1000)*(s_Irr!P30+s_Irr!BL30)),IF(AND(s_Irr!P30=".",s_Irr!AN30&lt;&gt;".",s_Irr!BL30&lt;&gt;"."),s_dir!AP30/((1/1000)*(s_Irr!AN30+s_Irr!BL30)),IF(AND(s_Irr!P30=".",s_Irr!AN30=".",s_Irr!BL30&lt;&gt;"."),s_dir!AP30/((1/1000)*(s_Irr!BL30)),IF(AND(s_Irr!P30=".",s_Irr!AN30&lt;&gt;".",s_Irr!BL30="."),s_dir!AP30/((1/1000)*(s_Irr!AN30)),IF(AND(s_Irr!P30&lt;&gt;".",s_Irr!AN30=".",s_Irr!BL30="."),s_dir!AP30/((1/1000)*(s_Irr!P30)),IF(AND(s_Irr!P30=".",s_Irr!AN30=".",s_Irr!BL30="."),s_dir!AP30*1000)))))))),".")</f>
        <v>255.57452483135864</v>
      </c>
      <c r="BP30" s="76">
        <f>IFERROR(IF(AND(s_Irr!Q30&lt;&gt;".",s_Irr!AO30&lt;&gt;".",s_Irr!BM30&lt;&gt;"."),s_dir!AQ30/((1/1000)*(s_Irr!Q30+s_Irr!AO30+s_Irr!BM30)),IF(AND(s_Irr!Q30&lt;&gt;".",s_Irr!AO30&lt;&gt;".",s_Irr!BM30="."),s_dir!AQ30/((1/1000)*(s_Irr!Q30+s_Irr!AO30)),IF(AND(s_Irr!Q30&lt;&gt;".",s_Irr!AO30=".",s_Irr!BM30&lt;&gt;"."),s_dir!AQ30/((1/1000)*(s_Irr!Q30+s_Irr!BM30)),IF(AND(s_Irr!Q30=".",s_Irr!AO30&lt;&gt;".",s_Irr!BM30&lt;&gt;"."),s_dir!AQ30/((1/1000)*(s_Irr!AO30+s_Irr!BM30)),IF(AND(s_Irr!Q30=".",s_Irr!AO30=".",s_Irr!BM30&lt;&gt;"."),s_dir!AQ30/((1/1000)*(s_Irr!BM30)),IF(AND(s_Irr!Q30=".",s_Irr!AO30&lt;&gt;".",s_Irr!BM30="."),s_dir!AQ30/((1/1000)*(s_Irr!AO30)),IF(AND(s_Irr!Q30&lt;&gt;".",s_Irr!AO30=".",s_Irr!BM30="."),s_dir!AQ30/((1/1000)*(s_Irr!Q30)),IF(AND(s_Irr!Q30=".",s_Irr!AO30=".",s_Irr!BM30="."),s_dir!AQ30*1000)))))))),".")</f>
        <v>315.34160363577968</v>
      </c>
      <c r="BQ30" s="76">
        <f>IFERROR(IF(AND(s_Irr!R30&lt;&gt;".",s_Irr!AP30&lt;&gt;".",s_Irr!BN30&lt;&gt;"."),s_dir!AR30/((1/1000)*(s_Irr!R30+s_Irr!AP30+s_Irr!BN30)),IF(AND(s_Irr!R30&lt;&gt;".",s_Irr!AP30&lt;&gt;".",s_Irr!BN30="."),s_dir!AR30/((1/1000)*(s_Irr!R30+s_Irr!AP30)),IF(AND(s_Irr!R30&lt;&gt;".",s_Irr!AP30=".",s_Irr!BN30&lt;&gt;"."),s_dir!AR30/((1/1000)*(s_Irr!R30+s_Irr!BN30)),IF(AND(s_Irr!R30=".",s_Irr!AP30&lt;&gt;".",s_Irr!BN30&lt;&gt;"."),s_dir!AR30/((1/1000)*(s_Irr!AP30+s_Irr!BN30)),IF(AND(s_Irr!R30=".",s_Irr!AP30=".",s_Irr!BN30&lt;&gt;"."),s_dir!AR30/((1/1000)*(s_Irr!BN30)),IF(AND(s_Irr!R30=".",s_Irr!AP30&lt;&gt;".",s_Irr!BN30="."),s_dir!AR30/((1/1000)*(s_Irr!AP30)),IF(AND(s_Irr!R30&lt;&gt;".",s_Irr!AP30=".",s_Irr!BN30="."),s_dir!AR30/((1/1000)*(s_Irr!R30)),IF(AND(s_Irr!R30=".",s_Irr!AP30=".",s_Irr!BN30="."),s_dir!AR30*1000)))))))),".")</f>
        <v>315.34160363577968</v>
      </c>
      <c r="BR30" s="76">
        <f>IFERROR(IF(AND(s_Irr!S30&lt;&gt;".",s_Irr!AQ30&lt;&gt;".",s_Irr!BO30&lt;&gt;"."),s_dir!AS30/((1/1000)*(s_Irr!S30+s_Irr!AQ30+s_Irr!BO30)),IF(AND(s_Irr!S30&lt;&gt;".",s_Irr!AQ30&lt;&gt;".",s_Irr!BO30="."),s_dir!AS30/((1/1000)*(s_Irr!S30+s_Irr!AQ30)),IF(AND(s_Irr!S30&lt;&gt;".",s_Irr!AQ30=".",s_Irr!BO30&lt;&gt;"."),s_dir!AS30/((1/1000)*(s_Irr!S30+s_Irr!BO30)),IF(AND(s_Irr!S30=".",s_Irr!AQ30&lt;&gt;".",s_Irr!BO30&lt;&gt;"."),s_dir!AS30/((1/1000)*(s_Irr!AQ30+s_Irr!BO30)),IF(AND(s_Irr!S30=".",s_Irr!AQ30=".",s_Irr!BO30&lt;&gt;"."),s_dir!AS30/((1/1000)*(s_Irr!BO30)),IF(AND(s_Irr!S30=".",s_Irr!AQ30&lt;&gt;".",s_Irr!BO30="."),s_dir!AS30/((1/1000)*(s_Irr!AQ30)),IF(AND(s_Irr!S30&lt;&gt;".",s_Irr!AQ30=".",s_Irr!BO30="."),s_dir!AS30/((1/1000)*(s_Irr!S30)),IF(AND(s_Irr!S30=".",s_Irr!AQ30=".",s_Irr!BO30="."),s_dir!AS30*1000)))))))),".")</f>
        <v>309.14491345318555</v>
      </c>
      <c r="BS30" s="76">
        <f>IFERROR(IF(AND(s_Irr!T30&lt;&gt;".",s_Irr!AR30&lt;&gt;".",s_Irr!BP30&lt;&gt;"."),s_dir!AT30/((1/1000)*(s_Irr!T30+s_Irr!AR30+s_Irr!BP30)),IF(AND(s_Irr!T30&lt;&gt;".",s_Irr!AR30&lt;&gt;".",s_Irr!BP30="."),s_dir!AT30/((1/1000)*(s_Irr!T30+s_Irr!AR30)),IF(AND(s_Irr!T30&lt;&gt;".",s_Irr!AR30=".",s_Irr!BP30&lt;&gt;"."),s_dir!AT30/((1/1000)*(s_Irr!T30+s_Irr!BP30)),IF(AND(s_Irr!T30=".",s_Irr!AR30&lt;&gt;".",s_Irr!BP30&lt;&gt;"."),s_dir!AT30/((1/1000)*(s_Irr!AR30+s_Irr!BP30)),IF(AND(s_Irr!T30=".",s_Irr!AR30=".",s_Irr!BP30&lt;&gt;"."),s_dir!AT30/((1/1000)*(s_Irr!BP30)),IF(AND(s_Irr!T30=".",s_Irr!AR30&lt;&gt;".",s_Irr!BP30="."),s_dir!AT30/((1/1000)*(s_Irr!AR30)),IF(AND(s_Irr!T30&lt;&gt;".",s_Irr!AR30=".",s_Irr!BP30="."),s_dir!AT30/((1/1000)*(s_Irr!T30)),IF(AND(s_Irr!T30=".",s_Irr!AR30=".",s_Irr!BP30="."),s_dir!AT30*1000)))))))),".")</f>
        <v>295.59154323465725</v>
      </c>
      <c r="BT30" s="76">
        <f>IFERROR(IF(AND(s_Irr!U30&lt;&gt;".",s_Irr!AS30&lt;&gt;".",s_Irr!BQ30&lt;&gt;"."),s_dir!AU30/((1/1000)*(s_Irr!U30+s_Irr!AS30+s_Irr!BQ30)),IF(AND(s_Irr!U30&lt;&gt;".",s_Irr!AS30&lt;&gt;".",s_Irr!BQ30="."),s_dir!AU30/((1/1000)*(s_Irr!U30+s_Irr!AS30)),IF(AND(s_Irr!U30&lt;&gt;".",s_Irr!AS30=".",s_Irr!BQ30&lt;&gt;"."),s_dir!AU30/((1/1000)*(s_Irr!U30+s_Irr!BQ30)),IF(AND(s_Irr!U30=".",s_Irr!AS30&lt;&gt;".",s_Irr!BQ30&lt;&gt;"."),s_dir!AU30/((1/1000)*(s_Irr!AS30+s_Irr!BQ30)),IF(AND(s_Irr!U30=".",s_Irr!AS30=".",s_Irr!BQ30&lt;&gt;"."),s_dir!AU30/((1/1000)*(s_Irr!BQ30)),IF(AND(s_Irr!U30=".",s_Irr!AS30&lt;&gt;".",s_Irr!BQ30="."),s_dir!AU30/((1/1000)*(s_Irr!AS30)),IF(AND(s_Irr!U30&lt;&gt;".",s_Irr!AS30=".",s_Irr!BQ30="."),s_dir!AU30/((1/1000)*(s_Irr!U30)),IF(AND(s_Irr!U30=".",s_Irr!AS30=".",s_Irr!BQ30="."),s_dir!AU30*1000)))))))),".")</f>
        <v>255.57452483135864</v>
      </c>
      <c r="BU30" s="76">
        <f>IFERROR(IF(AND(s_Irr!V30&lt;&gt;".",s_Irr!AT30&lt;&gt;".",s_Irr!BR30&lt;&gt;"."),s_dir!AV30/((1/1000)*(s_Irr!V30+s_Irr!AT30+s_Irr!BR30)),IF(AND(s_Irr!V30&lt;&gt;".",s_Irr!AT30&lt;&gt;".",s_Irr!BR30="."),s_dir!AV30/((1/1000)*(s_Irr!V30+s_Irr!AT30)),IF(AND(s_Irr!V30&lt;&gt;".",s_Irr!AT30=".",s_Irr!BR30&lt;&gt;"."),s_dir!AV30/((1/1000)*(s_Irr!V30+s_Irr!BR30)),IF(AND(s_Irr!V30=".",s_Irr!AT30&lt;&gt;".",s_Irr!BR30&lt;&gt;"."),s_dir!AV30/((1/1000)*(s_Irr!AT30+s_Irr!BR30)),IF(AND(s_Irr!V30=".",s_Irr!AT30=".",s_Irr!BR30&lt;&gt;"."),s_dir!AV30/((1/1000)*(s_Irr!BR30)),IF(AND(s_Irr!V30=".",s_Irr!AT30&lt;&gt;".",s_Irr!BR30="."),s_dir!AV30/((1/1000)*(s_Irr!AT30)),IF(AND(s_Irr!V30&lt;&gt;".",s_Irr!AT30=".",s_Irr!BR30="."),s_dir!AV30/((1/1000)*(s_Irr!V30)),IF(AND(s_Irr!V30=".",s_Irr!AT30=".",s_Irr!BR30="."),s_dir!AV30*1000)))))))),".")</f>
        <v>309.14491345318555</v>
      </c>
      <c r="BV30" s="76">
        <f>IFERROR(IF(AND(s_Irr!W30&lt;&gt;".",s_Irr!AU30&lt;&gt;".",s_Irr!BS30&lt;&gt;"."),s_dir!AW30/((1/1000)*(s_Irr!W30+s_Irr!AU30+s_Irr!BS30)),IF(AND(s_Irr!W30&lt;&gt;".",s_Irr!AU30&lt;&gt;".",s_Irr!BS30="."),s_dir!AW30/((1/1000)*(s_Irr!W30+s_Irr!AU30)),IF(AND(s_Irr!W30&lt;&gt;".",s_Irr!AU30=".",s_Irr!BS30&lt;&gt;"."),s_dir!AW30/((1/1000)*(s_Irr!W30+s_Irr!BS30)),IF(AND(s_Irr!W30=".",s_Irr!AU30&lt;&gt;".",s_Irr!BS30&lt;&gt;"."),s_dir!AW30/((1/1000)*(s_Irr!AU30+s_Irr!BS30)),IF(AND(s_Irr!W30=".",s_Irr!AU30=".",s_Irr!BS30&lt;&gt;"."),s_dir!AW30/((1/1000)*(s_Irr!BS30)),IF(AND(s_Irr!W30=".",s_Irr!AU30&lt;&gt;".",s_Irr!BS30="."),s_dir!AW30/((1/1000)*(s_Irr!AU30)),IF(AND(s_Irr!W30&lt;&gt;".",s_Irr!AU30=".",s_Irr!BS30="."),s_dir!AW30/((1/1000)*(s_Irr!W30)),IF(AND(s_Irr!W30=".",s_Irr!AU30=".",s_Irr!BS30="."),s_dir!AW30*1000)))))))),".")</f>
        <v>315.34160363577968</v>
      </c>
      <c r="BW30" s="76">
        <f>IFERROR(IF(AND(s_Irr!X30&lt;&gt;".",s_Irr!AV30&lt;&gt;".",s_Irr!BT30&lt;&gt;"."),s_dir!AX30/((1/1000)*(s_Irr!X30+s_Irr!AV30+s_Irr!BT30)),IF(AND(s_Irr!X30&lt;&gt;".",s_Irr!AV30&lt;&gt;".",s_Irr!BT30="."),s_dir!AX30/((1/1000)*(s_Irr!X30+s_Irr!AV30)),IF(AND(s_Irr!X30&lt;&gt;".",s_Irr!AV30=".",s_Irr!BT30&lt;&gt;"."),s_dir!AX30/((1/1000)*(s_Irr!X30+s_Irr!BT30)),IF(AND(s_Irr!X30=".",s_Irr!AV30&lt;&gt;".",s_Irr!BT30&lt;&gt;"."),s_dir!AX30/((1/1000)*(s_Irr!AV30+s_Irr!BT30)),IF(AND(s_Irr!X30=".",s_Irr!AV30=".",s_Irr!BT30&lt;&gt;"."),s_dir!AX30/((1/1000)*(s_Irr!BT30)),IF(AND(s_Irr!X30=".",s_Irr!AV30&lt;&gt;".",s_Irr!BT30="."),s_dir!AX30/((1/1000)*(s_Irr!AV30)),IF(AND(s_Irr!X30&lt;&gt;".",s_Irr!AV30=".",s_Irr!BT30="."),s_dir!AX30/((1/1000)*(s_Irr!X30)),IF(AND(s_Irr!X30=".",s_Irr!AV30=".",s_Irr!BT30="."),s_dir!AX30*1000)))))))),".")</f>
        <v>255.57452483135864</v>
      </c>
      <c r="BX30" s="76">
        <f>IFERROR(IF(AND(s_Irr!Y30&lt;&gt;".",s_Irr!AW30&lt;&gt;".",s_Irr!BU30&lt;&gt;"."),s_dir!AY30/((1/1000)*(s_Irr!Y30+s_Irr!AW30+s_Irr!BU30)),IF(AND(s_Irr!Y30&lt;&gt;".",s_Irr!AW30&lt;&gt;".",s_Irr!BU30="."),s_dir!AY30/((1/1000)*(s_Irr!Y30+s_Irr!AW30)),IF(AND(s_Irr!Y30&lt;&gt;".",s_Irr!AW30=".",s_Irr!BU30&lt;&gt;"."),s_dir!AY30/((1/1000)*(s_Irr!Y30+s_Irr!BU30)),IF(AND(s_Irr!Y30=".",s_Irr!AW30&lt;&gt;".",s_Irr!BU30&lt;&gt;"."),s_dir!AY30/((1/1000)*(s_Irr!AW30+s_Irr!BU30)),IF(AND(s_Irr!Y30=".",s_Irr!AW30=".",s_Irr!BU30&lt;&gt;"."),s_dir!AY30/((1/1000)*(s_Irr!BU30)),IF(AND(s_Irr!Y30=".",s_Irr!AW30&lt;&gt;".",s_Irr!BU30="."),s_dir!AY30/((1/1000)*(s_Irr!AW30)),IF(AND(s_Irr!Y30&lt;&gt;".",s_Irr!AW30=".",s_Irr!BU30="."),s_dir!AY30/((1/1000)*(s_Irr!Y30)),IF(AND(s_Irr!Y30=".",s_Irr!AW30=".",s_Irr!BU30="."),s_dir!AY30*1000)))))))),".")</f>
        <v>319.38010440520924</v>
      </c>
      <c r="BY30" s="76">
        <f>IFERROR(IF(AND(s_Irr!Z30&lt;&gt;".",s_Irr!AX30&lt;&gt;".",s_Irr!BV30&lt;&gt;"."),s_dir!AZ30/((1/1000)*(s_Irr!Z30+s_Irr!AX30+s_Irr!BV30)),IF(AND(s_Irr!Z30&lt;&gt;".",s_Irr!AX30&lt;&gt;".",s_Irr!BV30="."),s_dir!AZ30/((1/1000)*(s_Irr!Z30+s_Irr!AX30)),IF(AND(s_Irr!Z30&lt;&gt;".",s_Irr!AX30=".",s_Irr!BV30&lt;&gt;"."),s_dir!AZ30/((1/1000)*(s_Irr!Z30+s_Irr!BV30)),IF(AND(s_Irr!Z30=".",s_Irr!AX30&lt;&gt;".",s_Irr!BV30&lt;&gt;"."),s_dir!AZ30/((1/1000)*(s_Irr!AX30+s_Irr!BV30)),IF(AND(s_Irr!Z30=".",s_Irr!AX30=".",s_Irr!BV30&lt;&gt;"."),s_dir!AZ30/((1/1000)*(s_Irr!BV30)),IF(AND(s_Irr!Z30=".",s_Irr!AX30&lt;&gt;".",s_Irr!BV30="."),s_dir!AZ30/((1/1000)*(s_Irr!AX30)),IF(AND(s_Irr!Z30&lt;&gt;".",s_Irr!AX30=".",s_Irr!BV30="."),s_dir!AZ30/((1/1000)*(s_Irr!Z30)),IF(AND(s_Irr!Z30=".",s_Irr!AX30=".",s_Irr!BV30="."),s_dir!AZ30*1000)))))))),".")</f>
        <v>290.14004242106466</v>
      </c>
      <c r="BZ30" s="93">
        <f>SUM(CA30:CB30,CW30:CX30)</f>
        <v>718.30241841018358</v>
      </c>
      <c r="CA30" s="93">
        <f>IFERROR(s_C*s_IFAP_far_adj*s_CF_apple*(1/1000)*(s_Irr!C30+s_Irr!AA30+s_Irr!AY30),".")</f>
        <v>163.56324461607693</v>
      </c>
      <c r="CB30" s="93">
        <f>IFERROR(s_C*s_IFAS_far_adj*s_CF_asparagus*(1/1000)*(s_Irr!D30+s_Irr!AB30+s_Irr!AZ30),".")</f>
        <v>215.47380891977696</v>
      </c>
      <c r="CC30" s="93">
        <f>IFERROR(s_C*s_IFBT_far_adj*s_CF_beet*(1/1000)*(s_Irr!E30+s_Irr!AC30+s_Irr!BA30),".")</f>
        <v>183.7810433448864</v>
      </c>
      <c r="CD30" s="93">
        <f>IFERROR(s_C*s_IFBE_far_adj*s_CF_berries*(1/1000)*(s_Irr!F30+s_Irr!AD30+s_Irr!BB30),".")</f>
        <v>163.56324461607693</v>
      </c>
      <c r="CE30" s="93">
        <f>IFERROR(s_C*s_IFBR_far_adj*s_CF_broccoli*(1/1000)*(s_Irr!G30+s_Irr!AE30+s_Irr!BC30),".")</f>
        <v>201.81313410301377</v>
      </c>
      <c r="CF30" s="93">
        <f>IFERROR(s_C*s_IFCB_far_adj*s_CF_cabbage*(1/1000)*(s_Irr!H30+s_Irr!AF30+s_Irr!BD30),".")</f>
        <v>215.47380891977696</v>
      </c>
      <c r="CG30" s="93">
        <f>IFERROR(s_C*s_IFCR_far_adj*s_CF_carrot*(1/1000)*(s_Irr!I30+s_Irr!AG30+s_Irr!BE30),".")</f>
        <v>183.7810433448864</v>
      </c>
      <c r="CH30" s="93">
        <f>IFERROR(s_C*s_IFCI_far_adj*s_CF_citrus*(1/1000)*(s_Irr!J30+s_Irr!AH30+s_Irr!BF30),".")</f>
        <v>163.56324461607693</v>
      </c>
      <c r="CI30" s="93">
        <f>IFERROR(s_C*s_IFCO_far_adj*s_CF_corn*(1/1000)*(s_Irr!K30+s_Irr!AI30+s_Irr!BG30),".")</f>
        <v>201.81313410301377</v>
      </c>
      <c r="CJ30" s="93">
        <f>IFERROR(s_C*s_IFCU_far_adj*s_CF_cucumber*(1/1000)*(s_Irr!L30+s_Irr!AJ30+s_Irr!BH30),".")</f>
        <v>201.81313410301377</v>
      </c>
      <c r="CK30" s="93">
        <f>IFERROR(s_C*s_IFLE_far_adj*s_CF_lettuce*(1/1000)*(s_Irr!M30+s_Irr!AK30+s_Irr!BI30),".")</f>
        <v>215.47380891977696</v>
      </c>
      <c r="CL30" s="93">
        <f>IFERROR(s_C*s_IFLI_far_adj*s_CF_lima_bean*(1/1000)*(s_Irr!N30+s_Irr!AL30+s_Irr!BJ30),".")</f>
        <v>166.8418065721001</v>
      </c>
      <c r="CM30" s="93">
        <f>IFERROR(s_C*s_IFOK_far_adj*s_CF_okra*(1/1000)*(s_Irr!O30+s_Irr!AM30+s_Irr!BK30),".")</f>
        <v>201.81313410301377</v>
      </c>
      <c r="CN30" s="93">
        <f>IFERROR(s_C*s_IFON_far_adj*s_CF_onion*(1/1000)*(s_Irr!P30+s_Irr!AN30+s_Irr!BL30),".")</f>
        <v>201.81313410301377</v>
      </c>
      <c r="CO30" s="93">
        <f>IFERROR(s_C*s_IFPC_far_adj*s_CF_peach*(1/1000)*(s_Irr!Q30+s_Irr!AO30+s_Irr!BM30),".")</f>
        <v>163.56324461607693</v>
      </c>
      <c r="CP30" s="93">
        <f>IFERROR(s_C*s_IFPR_far_adj*s_CF_pear*(1/1000)*(s_Irr!R30+s_Irr!AP30+s_Irr!BN30),".")</f>
        <v>163.56324461607693</v>
      </c>
      <c r="CQ30" s="93">
        <f>IFERROR(s_C*s_IFPE_far_adj*s_CF_peas*(1/1000)*(s_Irr!S30+s_Irr!AQ30+s_Irr!BO30),".")</f>
        <v>166.8418065721001</v>
      </c>
      <c r="CR30" s="93">
        <f>IFERROR(s_C*s_IFPT_far_adj*s_CF_potato*(1/1000)*(s_Irr!T30+s_Irr!AR30+s_Irr!BP30),".")</f>
        <v>174.49178446948747</v>
      </c>
      <c r="CS30" s="93">
        <f>IFERROR(s_C*s_IFPU_far_adj*s_CF_pumpkin*(1/1000)*(s_Irr!U30+s_Irr!AS30+s_Irr!BQ30),".")</f>
        <v>201.81313410301377</v>
      </c>
      <c r="CT30" s="93">
        <f>IFERROR(s_C*s_IFSN_far_adj*s_CF_snap_bean*(1/1000)*(s_Irr!V30+s_Irr!AT30+s_Irr!BR30),".")</f>
        <v>166.8418065721001</v>
      </c>
      <c r="CU30" s="93">
        <f>IFERROR(s_C*s_IFST_far_adj*s_CF_strawberry*(1/1000)*(s_Irr!W30+s_Irr!AU30+s_Irr!BS30),".")</f>
        <v>163.56324461607693</v>
      </c>
      <c r="CV30" s="93">
        <f>IFERROR(s_C*s_IFTO_far_adj*s_CF_tomato*(1/1000)*(s_Irr!X30+s_Irr!AV30+s_Irr!BT30),".")</f>
        <v>201.81313410301377</v>
      </c>
      <c r="CW30" s="93">
        <f>IFERROR(s_C*s_IFRI_far_adj*s_CF_rice*(1/1000)*(s_Irr!Y30+s_Irr!AW30+s_Irr!BU30),".")</f>
        <v>161.495018448819</v>
      </c>
      <c r="CX30" s="93">
        <f>IFERROR(s_C*s_IFCG_far_adj*s_CF_cereal*(1/1000)*(s_Irr!Z30+s_Irr!AX30+s_Irr!BV30),".")</f>
        <v>177.77034642551061</v>
      </c>
    </row>
    <row r="31" spans="1:102" x14ac:dyDescent="0.25">
      <c r="A31" s="95" t="s">
        <v>13</v>
      </c>
      <c r="B31" s="95" t="s">
        <v>1074</v>
      </c>
      <c r="C31" s="96">
        <f t="shared" ref="C31:C58" si="35">IFERROR(1/SUM(1/D31,1/E31,1/Z31,1/AA31),".")</f>
        <v>6.7081296395604291</v>
      </c>
      <c r="D31" s="96">
        <f>IFERROR(1/SUM(D32:D44),0)</f>
        <v>28.86331865763562</v>
      </c>
      <c r="E31" s="96">
        <f>IFERROR(1/SUM(E32:E44),0)</f>
        <v>22.831174105561722</v>
      </c>
      <c r="F31" s="96">
        <f t="shared" ref="F31:AA31" si="36">IFERROR(1/SUM(F32:F44),0)</f>
        <v>24.301209458999928</v>
      </c>
      <c r="G31" s="96">
        <f t="shared" si="36"/>
        <v>28.81663585159086</v>
      </c>
      <c r="H31" s="96">
        <f t="shared" si="36"/>
        <v>27.140013704165884</v>
      </c>
      <c r="I31" s="96">
        <f t="shared" si="36"/>
        <v>22.831174105561722</v>
      </c>
      <c r="J31" s="96">
        <f t="shared" si="36"/>
        <v>24.301209458999928</v>
      </c>
      <c r="K31" s="96">
        <f t="shared" si="36"/>
        <v>28.86331865763562</v>
      </c>
      <c r="L31" s="96">
        <f t="shared" si="36"/>
        <v>28.591282465876787</v>
      </c>
      <c r="M31" s="96">
        <f t="shared" si="36"/>
        <v>27.140013704165884</v>
      </c>
      <c r="N31" s="96">
        <f t="shared" si="36"/>
        <v>22.831174105561722</v>
      </c>
      <c r="O31" s="96">
        <f t="shared" si="36"/>
        <v>27.908890055603468</v>
      </c>
      <c r="P31" s="96">
        <f t="shared" si="36"/>
        <v>27.140013704165884</v>
      </c>
      <c r="Q31" s="96">
        <f t="shared" si="36"/>
        <v>27.140013704165884</v>
      </c>
      <c r="R31" s="96">
        <f t="shared" si="36"/>
        <v>28.86331865763562</v>
      </c>
      <c r="S31" s="96">
        <f t="shared" si="36"/>
        <v>28.86331865763562</v>
      </c>
      <c r="T31" s="96">
        <f t="shared" si="36"/>
        <v>27.908890055603468</v>
      </c>
      <c r="U31" s="96">
        <f t="shared" si="36"/>
        <v>28.449320420284891</v>
      </c>
      <c r="V31" s="96">
        <f t="shared" si="36"/>
        <v>27.140013704165884</v>
      </c>
      <c r="W31" s="96">
        <f t="shared" si="36"/>
        <v>27.908890055603468</v>
      </c>
      <c r="X31" s="96">
        <f t="shared" si="36"/>
        <v>28.858515924901184</v>
      </c>
      <c r="Y31" s="96">
        <f t="shared" si="36"/>
        <v>27.140013704165884</v>
      </c>
      <c r="Z31" s="96">
        <f t="shared" si="36"/>
        <v>28.779468007209651</v>
      </c>
      <c r="AA31" s="96">
        <f t="shared" si="36"/>
        <v>27.870646990939065</v>
      </c>
      <c r="AB31" s="47">
        <f>IFERROR(IF(SUM(AC32:AD44,AY32:AZ44)&gt;0.01,1-EXP(-SUM(AC32:AD44,AY32:AZ44)),SUM(AC32:AD44,AY32:AZ44)),".")</f>
        <v>7.453646234426917E-7</v>
      </c>
      <c r="AC31" s="97">
        <f>IFERROR(IF(SUM(AC32:AC44)&gt;0.01,1-EXP(-(SUM(AC32:AC44))),SUM(AC32:AC44)),".")</f>
        <v>1.7323034374387029E-7</v>
      </c>
      <c r="AD31" s="97">
        <f>IFERROR(IF(SUM(AD32:AD44)&gt;0.01,1-EXP(-(SUM(AD32:AD44))),SUM(AD32:AD44)),".")</f>
        <v>2.189989182680196E-7</v>
      </c>
      <c r="AE31" s="97">
        <f t="shared" ref="AE31:AX31" si="37">IFERROR(IF(SUM(AE32:AE44)&gt;0.01,1-EXP(-(SUM(AE32:AE44))),SUM(AE32:AE44)),".")</f>
        <v>2.057511678957628E-7</v>
      </c>
      <c r="AF31" s="97">
        <f t="shared" si="37"/>
        <v>1.7351097588823558E-7</v>
      </c>
      <c r="AG31" s="97">
        <f t="shared" si="37"/>
        <v>1.8422991757400762E-7</v>
      </c>
      <c r="AH31" s="97">
        <f t="shared" si="37"/>
        <v>2.189989182680196E-7</v>
      </c>
      <c r="AI31" s="97">
        <f t="shared" si="37"/>
        <v>2.057511678957628E-7</v>
      </c>
      <c r="AJ31" s="97">
        <f t="shared" si="37"/>
        <v>1.7323034374387029E-7</v>
      </c>
      <c r="AK31" s="97">
        <f t="shared" si="37"/>
        <v>1.7487856784629894E-7</v>
      </c>
      <c r="AL31" s="97">
        <f t="shared" si="37"/>
        <v>1.8422991757400762E-7</v>
      </c>
      <c r="AM31" s="97">
        <f t="shared" si="37"/>
        <v>2.189989182680196E-7</v>
      </c>
      <c r="AN31" s="97">
        <f t="shared" si="37"/>
        <v>1.7915447322757749E-7</v>
      </c>
      <c r="AO31" s="97">
        <f t="shared" si="37"/>
        <v>1.8422991757400762E-7</v>
      </c>
      <c r="AP31" s="97">
        <f t="shared" si="37"/>
        <v>1.8422991757400762E-7</v>
      </c>
      <c r="AQ31" s="97">
        <f t="shared" si="37"/>
        <v>1.7323034374387029E-7</v>
      </c>
      <c r="AR31" s="97">
        <f t="shared" si="37"/>
        <v>1.7323034374387029E-7</v>
      </c>
      <c r="AS31" s="97">
        <f t="shared" si="37"/>
        <v>1.7915447322757749E-7</v>
      </c>
      <c r="AT31" s="97">
        <f t="shared" si="37"/>
        <v>1.757512111376311E-7</v>
      </c>
      <c r="AU31" s="97">
        <f t="shared" si="37"/>
        <v>1.8422991757400762E-7</v>
      </c>
      <c r="AV31" s="97">
        <f t="shared" si="37"/>
        <v>1.7915447322757749E-7</v>
      </c>
      <c r="AW31" s="97">
        <f t="shared" si="37"/>
        <v>1.7325917331396763E-7</v>
      </c>
      <c r="AX31" s="97">
        <f t="shared" si="37"/>
        <v>1.8422991757400762E-7</v>
      </c>
      <c r="AY31" s="97">
        <f>IFERROR(IF(SUM(AY32:AY44)&gt;0.01,1-EXP(-(SUM(AY32:AY44))),SUM(AY32:AY44)),".")</f>
        <v>1.7373505792181204E-7</v>
      </c>
      <c r="AZ31" s="97">
        <f>IFERROR(IF(SUM(AZ32:AZ44)&gt;0.01,1-EXP(-(SUM(AZ32:AZ44))),SUM(AZ32:AZ44)),".")</f>
        <v>1.7940030350898987E-7</v>
      </c>
      <c r="BA31" s="98">
        <f>IFERROR(1/SUM(1/BB31,1/BC31,1/BX31,1/BY31),".")</f>
        <v>6.7081296395604291</v>
      </c>
      <c r="BB31" s="98">
        <f>IFERROR(1/SUM(BB32:BB44),0)</f>
        <v>28.86331865763562</v>
      </c>
      <c r="BC31" s="98">
        <f>IFERROR(1/SUM(BC32:BC44),0)</f>
        <v>22.831174105561722</v>
      </c>
      <c r="BD31" s="98">
        <f t="shared" ref="BD31:BY31" si="38">IFERROR(1/SUM(BD32:BD44),0)</f>
        <v>24.301209458999928</v>
      </c>
      <c r="BE31" s="98">
        <f t="shared" si="38"/>
        <v>28.81663585159086</v>
      </c>
      <c r="BF31" s="98">
        <f t="shared" si="38"/>
        <v>27.140013704165884</v>
      </c>
      <c r="BG31" s="98">
        <f t="shared" si="38"/>
        <v>22.831174105561722</v>
      </c>
      <c r="BH31" s="98">
        <f t="shared" si="38"/>
        <v>24.301209458999928</v>
      </c>
      <c r="BI31" s="98">
        <f t="shared" si="38"/>
        <v>28.86331865763562</v>
      </c>
      <c r="BJ31" s="98">
        <f t="shared" si="38"/>
        <v>28.591282465876787</v>
      </c>
      <c r="BK31" s="98">
        <f t="shared" si="38"/>
        <v>27.140013704165884</v>
      </c>
      <c r="BL31" s="98">
        <f t="shared" si="38"/>
        <v>22.831174105561722</v>
      </c>
      <c r="BM31" s="98">
        <f t="shared" si="38"/>
        <v>27.908890055603468</v>
      </c>
      <c r="BN31" s="98">
        <f t="shared" si="38"/>
        <v>27.140013704165884</v>
      </c>
      <c r="BO31" s="98">
        <f t="shared" si="38"/>
        <v>27.140013704165884</v>
      </c>
      <c r="BP31" s="98">
        <f t="shared" si="38"/>
        <v>28.86331865763562</v>
      </c>
      <c r="BQ31" s="98">
        <f t="shared" si="38"/>
        <v>28.86331865763562</v>
      </c>
      <c r="BR31" s="98">
        <f t="shared" si="38"/>
        <v>27.908890055603468</v>
      </c>
      <c r="BS31" s="98">
        <f t="shared" si="38"/>
        <v>28.449320420284891</v>
      </c>
      <c r="BT31" s="98">
        <f t="shared" si="38"/>
        <v>27.140013704165884</v>
      </c>
      <c r="BU31" s="98">
        <f t="shared" si="38"/>
        <v>27.908890055603468</v>
      </c>
      <c r="BV31" s="98">
        <f t="shared" si="38"/>
        <v>28.858515924901184</v>
      </c>
      <c r="BW31" s="98">
        <f t="shared" si="38"/>
        <v>27.140013704165884</v>
      </c>
      <c r="BX31" s="98">
        <f t="shared" si="38"/>
        <v>28.779468007209651</v>
      </c>
      <c r="BY31" s="98">
        <f t="shared" si="38"/>
        <v>27.870646990939065</v>
      </c>
      <c r="BZ31" s="47">
        <f>IFERROR(IF(SUM(CA32:CB44,CW32:CX44)&gt;0.01,1-EXP(-SUM(CA32:CB44,CW32:CX44)),SUM(CA32:CB44,CW32:CX44)),".")</f>
        <v>7.453646234426917E-7</v>
      </c>
      <c r="CA31" s="97">
        <f>IFERROR(IF(SUM(CA32:CA44)&gt;0.01,1-EXP(-(SUM(CA32:CA44))),SUM(CA32:CA44)),".")</f>
        <v>1.7323034374387029E-7</v>
      </c>
      <c r="CB31" s="97">
        <f>IFERROR(IF(SUM(CB32:CB44)&gt;0.01,1-EXP(-(SUM(CB32:CB44))),SUM(CB32:CB44)),".")</f>
        <v>2.189989182680196E-7</v>
      </c>
      <c r="CC31" s="97">
        <f t="shared" ref="CC31" si="39">IFERROR(IF(SUM(CC32:CC44)&gt;0.01,1-EXP(-(SUM(CC32:CC44))),SUM(CC32:CC44)),".")</f>
        <v>2.057511678957628E-7</v>
      </c>
      <c r="CD31" s="97">
        <f t="shared" ref="CD31" si="40">IFERROR(IF(SUM(CD32:CD44)&gt;0.01,1-EXP(-(SUM(CD32:CD44))),SUM(CD32:CD44)),".")</f>
        <v>1.7351097588823558E-7</v>
      </c>
      <c r="CE31" s="97">
        <f t="shared" ref="CE31" si="41">IFERROR(IF(SUM(CE32:CE44)&gt;0.01,1-EXP(-(SUM(CE32:CE44))),SUM(CE32:CE44)),".")</f>
        <v>1.8422991757400762E-7</v>
      </c>
      <c r="CF31" s="97">
        <f t="shared" ref="CF31" si="42">IFERROR(IF(SUM(CF32:CF44)&gt;0.01,1-EXP(-(SUM(CF32:CF44))),SUM(CF32:CF44)),".")</f>
        <v>2.189989182680196E-7</v>
      </c>
      <c r="CG31" s="97">
        <f t="shared" ref="CG31" si="43">IFERROR(IF(SUM(CG32:CG44)&gt;0.01,1-EXP(-(SUM(CG32:CG44))),SUM(CG32:CG44)),".")</f>
        <v>2.057511678957628E-7</v>
      </c>
      <c r="CH31" s="97">
        <f t="shared" ref="CH31" si="44">IFERROR(IF(SUM(CH32:CH44)&gt;0.01,1-EXP(-(SUM(CH32:CH44))),SUM(CH32:CH44)),".")</f>
        <v>1.7323034374387029E-7</v>
      </c>
      <c r="CI31" s="97">
        <f t="shared" ref="CI31" si="45">IFERROR(IF(SUM(CI32:CI44)&gt;0.01,1-EXP(-(SUM(CI32:CI44))),SUM(CI32:CI44)),".")</f>
        <v>1.7487856784629894E-7</v>
      </c>
      <c r="CJ31" s="97">
        <f t="shared" ref="CJ31" si="46">IFERROR(IF(SUM(CJ32:CJ44)&gt;0.01,1-EXP(-(SUM(CJ32:CJ44))),SUM(CJ32:CJ44)),".")</f>
        <v>1.8422991757400762E-7</v>
      </c>
      <c r="CK31" s="97">
        <f t="shared" ref="CK31" si="47">IFERROR(IF(SUM(CK32:CK44)&gt;0.01,1-EXP(-(SUM(CK32:CK44))),SUM(CK32:CK44)),".")</f>
        <v>2.189989182680196E-7</v>
      </c>
      <c r="CL31" s="97">
        <f t="shared" ref="CL31" si="48">IFERROR(IF(SUM(CL32:CL44)&gt;0.01,1-EXP(-(SUM(CL32:CL44))),SUM(CL32:CL44)),".")</f>
        <v>1.7915447322757749E-7</v>
      </c>
      <c r="CM31" s="97">
        <f t="shared" ref="CM31" si="49">IFERROR(IF(SUM(CM32:CM44)&gt;0.01,1-EXP(-(SUM(CM32:CM44))),SUM(CM32:CM44)),".")</f>
        <v>1.8422991757400762E-7</v>
      </c>
      <c r="CN31" s="97">
        <f t="shared" ref="CN31" si="50">IFERROR(IF(SUM(CN32:CN44)&gt;0.01,1-EXP(-(SUM(CN32:CN44))),SUM(CN32:CN44)),".")</f>
        <v>1.8422991757400762E-7</v>
      </c>
      <c r="CO31" s="97">
        <f t="shared" ref="CO31" si="51">IFERROR(IF(SUM(CO32:CO44)&gt;0.01,1-EXP(-(SUM(CO32:CO44))),SUM(CO32:CO44)),".")</f>
        <v>1.7323034374387029E-7</v>
      </c>
      <c r="CP31" s="97">
        <f t="shared" ref="CP31" si="52">IFERROR(IF(SUM(CP32:CP44)&gt;0.01,1-EXP(-(SUM(CP32:CP44))),SUM(CP32:CP44)),".")</f>
        <v>1.7323034374387029E-7</v>
      </c>
      <c r="CQ31" s="97">
        <f t="shared" ref="CQ31" si="53">IFERROR(IF(SUM(CQ32:CQ44)&gt;0.01,1-EXP(-(SUM(CQ32:CQ44))),SUM(CQ32:CQ44)),".")</f>
        <v>1.7915447322757749E-7</v>
      </c>
      <c r="CR31" s="97">
        <f t="shared" ref="CR31" si="54">IFERROR(IF(SUM(CR32:CR44)&gt;0.01,1-EXP(-(SUM(CR32:CR44))),SUM(CR32:CR44)),".")</f>
        <v>1.757512111376311E-7</v>
      </c>
      <c r="CS31" s="97">
        <f t="shared" ref="CS31" si="55">IFERROR(IF(SUM(CS32:CS44)&gt;0.01,1-EXP(-(SUM(CS32:CS44))),SUM(CS32:CS44)),".")</f>
        <v>1.8422991757400762E-7</v>
      </c>
      <c r="CT31" s="97">
        <f t="shared" ref="CT31" si="56">IFERROR(IF(SUM(CT32:CT44)&gt;0.01,1-EXP(-(SUM(CT32:CT44))),SUM(CT32:CT44)),".")</f>
        <v>1.7915447322757749E-7</v>
      </c>
      <c r="CU31" s="97">
        <f t="shared" ref="CU31" si="57">IFERROR(IF(SUM(CU32:CU44)&gt;0.01,1-EXP(-(SUM(CU32:CU44))),SUM(CU32:CU44)),".")</f>
        <v>1.7325917331396763E-7</v>
      </c>
      <c r="CV31" s="97">
        <f t="shared" ref="CV31" si="58">IFERROR(IF(SUM(CV32:CV44)&gt;0.01,1-EXP(-(SUM(CV32:CV44))),SUM(CV32:CV44)),".")</f>
        <v>1.8422991757400762E-7</v>
      </c>
      <c r="CW31" s="97">
        <f>IFERROR(IF(SUM(CW32:CW44)&gt;0.01,1-EXP(-(SUM(CW32:CW44))),SUM(CW32:CW44)),".")</f>
        <v>1.7373505792181204E-7</v>
      </c>
      <c r="CX31" s="97">
        <f>IFERROR(IF(SUM(CX32:CX44)&gt;0.01,1-EXP(-(SUM(CX32:CX44))),SUM(CX32:CX44)),".")</f>
        <v>1.7940030350898987E-7</v>
      </c>
    </row>
    <row r="32" spans="1:102" x14ac:dyDescent="0.25">
      <c r="A32" s="99" t="s">
        <v>1102</v>
      </c>
      <c r="B32" s="90">
        <v>1</v>
      </c>
      <c r="C32" s="100">
        <f>IFERROR(1/SUM(1/D32,1/E32,1/Z32,1/AA32),".")</f>
        <v>1.0800968627332698E-3</v>
      </c>
      <c r="D32" s="100">
        <f t="shared" ref="D32:AA32" si="59">IFERROR($B32/D3,0)</f>
        <v>4.2987048371186188E-3</v>
      </c>
      <c r="E32" s="100">
        <f t="shared" si="59"/>
        <v>4.3161485516838485E-3</v>
      </c>
      <c r="F32" s="100">
        <f t="shared" si="59"/>
        <v>4.3453430530482487E-3</v>
      </c>
      <c r="G32" s="100">
        <f t="shared" si="59"/>
        <v>4.3548312659916801E-3</v>
      </c>
      <c r="H32" s="100">
        <f t="shared" si="59"/>
        <v>4.3227173144908381E-3</v>
      </c>
      <c r="I32" s="100">
        <f t="shared" si="59"/>
        <v>4.3161485516838485E-3</v>
      </c>
      <c r="J32" s="100">
        <f t="shared" si="59"/>
        <v>4.3453430530482487E-3</v>
      </c>
      <c r="K32" s="100">
        <f t="shared" si="59"/>
        <v>4.2987048371186188E-3</v>
      </c>
      <c r="L32" s="100">
        <f t="shared" si="59"/>
        <v>4.3000915759334284E-3</v>
      </c>
      <c r="M32" s="100">
        <f t="shared" si="59"/>
        <v>4.3227173144908381E-3</v>
      </c>
      <c r="N32" s="100">
        <f t="shared" si="59"/>
        <v>4.3161485516838485E-3</v>
      </c>
      <c r="O32" s="100">
        <f t="shared" si="59"/>
        <v>4.3241770395590576E-3</v>
      </c>
      <c r="P32" s="100">
        <f t="shared" si="59"/>
        <v>4.3227173144908381E-3</v>
      </c>
      <c r="Q32" s="100">
        <f t="shared" si="59"/>
        <v>4.3227173144908381E-3</v>
      </c>
      <c r="R32" s="100">
        <f t="shared" si="59"/>
        <v>4.2987048371186188E-3</v>
      </c>
      <c r="S32" s="100">
        <f t="shared" si="59"/>
        <v>4.2987048371186188E-3</v>
      </c>
      <c r="T32" s="100">
        <f t="shared" si="59"/>
        <v>4.3241770395590576E-3</v>
      </c>
      <c r="U32" s="100">
        <f t="shared" si="59"/>
        <v>4.3117693764791881E-3</v>
      </c>
      <c r="V32" s="100">
        <f t="shared" si="59"/>
        <v>4.3227173144908381E-3</v>
      </c>
      <c r="W32" s="100">
        <f t="shared" si="59"/>
        <v>4.3241770395590576E-3</v>
      </c>
      <c r="X32" s="100">
        <f t="shared" si="59"/>
        <v>4.3044707511380878E-3</v>
      </c>
      <c r="Y32" s="100">
        <f t="shared" si="59"/>
        <v>4.3227173144908381E-3</v>
      </c>
      <c r="Z32" s="100">
        <f t="shared" si="59"/>
        <v>4.3694285166738797E-3</v>
      </c>
      <c r="AA32" s="100">
        <f t="shared" si="59"/>
        <v>4.2980479608379198E-3</v>
      </c>
      <c r="AB32" s="49">
        <f t="shared" ref="AB32:AB76" si="60">SUM(AC32:AD32,AY32:AZ32)</f>
        <v>8.6411649331571329E-8</v>
      </c>
      <c r="AC32" s="101">
        <f>IFERROR(s_RadSpec!$E$3*(AC3/$B32),".")</f>
        <v>2.1493524185593095E-8</v>
      </c>
      <c r="AD32" s="101">
        <f>IFERROR(s_RadSpec!$E$3*(AD3/$B32),".")</f>
        <v>2.1580742758419243E-8</v>
      </c>
      <c r="AE32" s="101">
        <f>IFERROR(s_RadSpec!$E$3*(AE3/$B32),".")</f>
        <v>2.1726715265241245E-8</v>
      </c>
      <c r="AF32" s="101">
        <f>IFERROR(s_RadSpec!$E$3*(AF3/$B32),".")</f>
        <v>2.1774156329958396E-8</v>
      </c>
      <c r="AG32" s="101">
        <f>IFERROR(s_RadSpec!$E$3*(AG3/$B32),".")</f>
        <v>2.1613586572454195E-8</v>
      </c>
      <c r="AH32" s="101">
        <f>IFERROR(s_RadSpec!$E$3*(AH3/$B32),".")</f>
        <v>2.1580742758419243E-8</v>
      </c>
      <c r="AI32" s="101">
        <f>IFERROR(s_RadSpec!$E$3*(AI3/$B32),".")</f>
        <v>2.1726715265241245E-8</v>
      </c>
      <c r="AJ32" s="101">
        <f>IFERROR(s_RadSpec!$E$3*(AJ3/$B32),".")</f>
        <v>2.1493524185593095E-8</v>
      </c>
      <c r="AK32" s="101">
        <f>IFERROR(s_RadSpec!$E$3*(AK3/$B32),".")</f>
        <v>2.1500457879667136E-8</v>
      </c>
      <c r="AL32" s="101">
        <f>IFERROR(s_RadSpec!$E$3*(AL3/$B32),".")</f>
        <v>2.1613586572454195E-8</v>
      </c>
      <c r="AM32" s="101">
        <f>IFERROR(s_RadSpec!$E$3*(AM3/$B32),".")</f>
        <v>2.1580742758419243E-8</v>
      </c>
      <c r="AN32" s="101">
        <f>IFERROR(s_RadSpec!$E$3*(AN3/$B32),".")</f>
        <v>2.1620885197795291E-8</v>
      </c>
      <c r="AO32" s="101">
        <f>IFERROR(s_RadSpec!$E$3*(AO3/$B32),".")</f>
        <v>2.1613586572454195E-8</v>
      </c>
      <c r="AP32" s="101">
        <f>IFERROR(s_RadSpec!$E$3*(AP3/$B32),".")</f>
        <v>2.1613586572454195E-8</v>
      </c>
      <c r="AQ32" s="101">
        <f>IFERROR(s_RadSpec!$E$3*(AQ3/$B32),".")</f>
        <v>2.1493524185593095E-8</v>
      </c>
      <c r="AR32" s="101">
        <f>IFERROR(s_RadSpec!$E$3*(AR3/$B32),".")</f>
        <v>2.1493524185593095E-8</v>
      </c>
      <c r="AS32" s="101">
        <f>IFERROR(s_RadSpec!$E$3*(AS3/$B32),".")</f>
        <v>2.1620885197795291E-8</v>
      </c>
      <c r="AT32" s="101">
        <f>IFERROR(s_RadSpec!$E$3*(AT3/$B32),".")</f>
        <v>2.1558846882395939E-8</v>
      </c>
      <c r="AU32" s="101">
        <f>IFERROR(s_RadSpec!$E$3*(AU3/$B32),".")</f>
        <v>2.1613586572454195E-8</v>
      </c>
      <c r="AV32" s="101">
        <f>IFERROR(s_RadSpec!$E$3*(AV3/$B32),".")</f>
        <v>2.1620885197795291E-8</v>
      </c>
      <c r="AW32" s="101">
        <f>IFERROR(s_RadSpec!$E$3*(AW3/$B32),".")</f>
        <v>2.1522353755690435E-8</v>
      </c>
      <c r="AX32" s="101">
        <f>IFERROR(s_RadSpec!$E$3*(AX3/$B32),".")</f>
        <v>2.1613586572454195E-8</v>
      </c>
      <c r="AY32" s="101">
        <f>IFERROR(s_RadSpec!$E$3*(AY3/$B32),".")</f>
        <v>2.1847142583369398E-8</v>
      </c>
      <c r="AZ32" s="101">
        <f>IFERROR(s_RadSpec!$E$3*(AZ3/$B32),".")</f>
        <v>2.1490239804189597E-8</v>
      </c>
      <c r="BA32" s="100">
        <f t="shared" ref="BA32:BA58" si="61">IFERROR(1/SUM(1/BB32,1/BC32,1/BX32,1/BY32),".")</f>
        <v>1.0800968627332698E-3</v>
      </c>
      <c r="BB32" s="100">
        <f t="shared" ref="BB32:BY32" si="62">IFERROR($B32/BB3,0)</f>
        <v>4.2987048371186188E-3</v>
      </c>
      <c r="BC32" s="100">
        <f t="shared" si="62"/>
        <v>4.3161485516838485E-3</v>
      </c>
      <c r="BD32" s="100">
        <f t="shared" si="62"/>
        <v>4.3453430530482487E-3</v>
      </c>
      <c r="BE32" s="100">
        <f t="shared" si="62"/>
        <v>4.3548312659916801E-3</v>
      </c>
      <c r="BF32" s="100">
        <f t="shared" si="62"/>
        <v>4.3227173144908381E-3</v>
      </c>
      <c r="BG32" s="100">
        <f t="shared" si="62"/>
        <v>4.3161485516838485E-3</v>
      </c>
      <c r="BH32" s="100">
        <f t="shared" si="62"/>
        <v>4.3453430530482487E-3</v>
      </c>
      <c r="BI32" s="100">
        <f t="shared" si="62"/>
        <v>4.2987048371186188E-3</v>
      </c>
      <c r="BJ32" s="100">
        <f t="shared" si="62"/>
        <v>4.3000915759334284E-3</v>
      </c>
      <c r="BK32" s="100">
        <f t="shared" si="62"/>
        <v>4.3227173144908381E-3</v>
      </c>
      <c r="BL32" s="100">
        <f t="shared" si="62"/>
        <v>4.3161485516838485E-3</v>
      </c>
      <c r="BM32" s="100">
        <f t="shared" si="62"/>
        <v>4.3241770395590576E-3</v>
      </c>
      <c r="BN32" s="100">
        <f t="shared" si="62"/>
        <v>4.3227173144908381E-3</v>
      </c>
      <c r="BO32" s="100">
        <f t="shared" si="62"/>
        <v>4.3227173144908381E-3</v>
      </c>
      <c r="BP32" s="100">
        <f t="shared" si="62"/>
        <v>4.2987048371186188E-3</v>
      </c>
      <c r="BQ32" s="100">
        <f t="shared" si="62"/>
        <v>4.2987048371186188E-3</v>
      </c>
      <c r="BR32" s="100">
        <f t="shared" si="62"/>
        <v>4.3241770395590576E-3</v>
      </c>
      <c r="BS32" s="100">
        <f t="shared" si="62"/>
        <v>4.3117693764791881E-3</v>
      </c>
      <c r="BT32" s="100">
        <f t="shared" si="62"/>
        <v>4.3227173144908381E-3</v>
      </c>
      <c r="BU32" s="100">
        <f t="shared" si="62"/>
        <v>4.3241770395590576E-3</v>
      </c>
      <c r="BV32" s="100">
        <f t="shared" si="62"/>
        <v>4.3044707511380878E-3</v>
      </c>
      <c r="BW32" s="100">
        <f t="shared" si="62"/>
        <v>4.3227173144908381E-3</v>
      </c>
      <c r="BX32" s="100">
        <f t="shared" si="62"/>
        <v>4.3694285166738797E-3</v>
      </c>
      <c r="BY32" s="100">
        <f t="shared" si="62"/>
        <v>4.2980479608379198E-3</v>
      </c>
      <c r="BZ32" s="49">
        <f t="shared" ref="BZ32:BZ44" si="63">SUM(CA32:CB32,CW32:CX32)</f>
        <v>8.6411649331571329E-8</v>
      </c>
      <c r="CA32" s="101">
        <f>IFERROR(s_RadSpec!$E$3*(CA3/$B32),".")</f>
        <v>2.1493524185593095E-8</v>
      </c>
      <c r="CB32" s="101">
        <f>IFERROR(s_RadSpec!$E$3*(CB3/$B32),".")</f>
        <v>2.1580742758419243E-8</v>
      </c>
      <c r="CC32" s="101">
        <f>IFERROR(s_RadSpec!$E$3*(CC3/$B32),".")</f>
        <v>2.1726715265241245E-8</v>
      </c>
      <c r="CD32" s="101">
        <f>IFERROR(s_RadSpec!$E$3*(CD3/$B32),".")</f>
        <v>2.1774156329958396E-8</v>
      </c>
      <c r="CE32" s="101">
        <f>IFERROR(s_RadSpec!$E$3*(CE3/$B32),".")</f>
        <v>2.1613586572454195E-8</v>
      </c>
      <c r="CF32" s="101">
        <f>IFERROR(s_RadSpec!$E$3*(CF3/$B32),".")</f>
        <v>2.1580742758419243E-8</v>
      </c>
      <c r="CG32" s="101">
        <f>IFERROR(s_RadSpec!$E$3*(CG3/$B32),".")</f>
        <v>2.1726715265241245E-8</v>
      </c>
      <c r="CH32" s="101">
        <f>IFERROR(s_RadSpec!$E$3*(CH3/$B32),".")</f>
        <v>2.1493524185593095E-8</v>
      </c>
      <c r="CI32" s="101">
        <f>IFERROR(s_RadSpec!$E$3*(CI3/$B32),".")</f>
        <v>2.1500457879667136E-8</v>
      </c>
      <c r="CJ32" s="101">
        <f>IFERROR(s_RadSpec!$E$3*(CJ3/$B32),".")</f>
        <v>2.1613586572454195E-8</v>
      </c>
      <c r="CK32" s="101">
        <f>IFERROR(s_RadSpec!$E$3*(CK3/$B32),".")</f>
        <v>2.1580742758419243E-8</v>
      </c>
      <c r="CL32" s="101">
        <f>IFERROR(s_RadSpec!$E$3*(CL3/$B32),".")</f>
        <v>2.1620885197795291E-8</v>
      </c>
      <c r="CM32" s="101">
        <f>IFERROR(s_RadSpec!$E$3*(CM3/$B32),".")</f>
        <v>2.1613586572454195E-8</v>
      </c>
      <c r="CN32" s="101">
        <f>IFERROR(s_RadSpec!$E$3*(CN3/$B32),".")</f>
        <v>2.1613586572454195E-8</v>
      </c>
      <c r="CO32" s="101">
        <f>IFERROR(s_RadSpec!$E$3*(CO3/$B32),".")</f>
        <v>2.1493524185593095E-8</v>
      </c>
      <c r="CP32" s="101">
        <f>IFERROR(s_RadSpec!$E$3*(CP3/$B32),".")</f>
        <v>2.1493524185593095E-8</v>
      </c>
      <c r="CQ32" s="101">
        <f>IFERROR(s_RadSpec!$E$3*(CQ3/$B32),".")</f>
        <v>2.1620885197795291E-8</v>
      </c>
      <c r="CR32" s="101">
        <f>IFERROR(s_RadSpec!$E$3*(CR3/$B32),".")</f>
        <v>2.1558846882395939E-8</v>
      </c>
      <c r="CS32" s="101">
        <f>IFERROR(s_RadSpec!$E$3*(CS3/$B32),".")</f>
        <v>2.1613586572454195E-8</v>
      </c>
      <c r="CT32" s="101">
        <f>IFERROR(s_RadSpec!$E$3*(CT3/$B32),".")</f>
        <v>2.1620885197795291E-8</v>
      </c>
      <c r="CU32" s="101">
        <f>IFERROR(s_RadSpec!$E$3*(CU3/$B32),".")</f>
        <v>2.1522353755690435E-8</v>
      </c>
      <c r="CV32" s="101">
        <f>IFERROR(s_RadSpec!$E$3*(CV3/$B32),".")</f>
        <v>2.1613586572454195E-8</v>
      </c>
      <c r="CW32" s="101">
        <f>IFERROR(s_RadSpec!$E$3*(CW3/$B32),".")</f>
        <v>2.1847142583369398E-8</v>
      </c>
      <c r="CX32" s="101">
        <f>IFERROR(s_RadSpec!$E$3*(CX3/$B32),".")</f>
        <v>2.1490239804189597E-8</v>
      </c>
    </row>
    <row r="33" spans="1:102" x14ac:dyDescent="0.25">
      <c r="A33" s="99" t="s">
        <v>1078</v>
      </c>
      <c r="B33" s="90">
        <v>1</v>
      </c>
      <c r="C33" s="100">
        <f>IFERROR(1/SUM(1/D33,1/E33,1/Z33,1/AA33),".")</f>
        <v>7.887517806208108E-4</v>
      </c>
      <c r="D33" s="100">
        <f t="shared" ref="D33:AA33" si="64">IFERROR($B33/D13,0)</f>
        <v>2.6795228343493185E-3</v>
      </c>
      <c r="E33" s="100">
        <f t="shared" si="64"/>
        <v>3.8887089407219559E-3</v>
      </c>
      <c r="F33" s="100">
        <f t="shared" si="64"/>
        <v>3.6622695949592898E-3</v>
      </c>
      <c r="G33" s="100">
        <f t="shared" si="64"/>
        <v>2.6795228343493185E-3</v>
      </c>
      <c r="H33" s="100">
        <f t="shared" si="64"/>
        <v>3.4811181183491565E-3</v>
      </c>
      <c r="I33" s="100">
        <f t="shared" si="64"/>
        <v>3.8887089407219559E-3</v>
      </c>
      <c r="J33" s="100">
        <f t="shared" si="64"/>
        <v>3.6622695949592898E-3</v>
      </c>
      <c r="K33" s="100">
        <f t="shared" si="64"/>
        <v>2.6795228343493185E-3</v>
      </c>
      <c r="L33" s="100">
        <f t="shared" si="64"/>
        <v>2.8833182455357182E-3</v>
      </c>
      <c r="M33" s="100">
        <f t="shared" si="64"/>
        <v>3.4811181183491565E-3</v>
      </c>
      <c r="N33" s="100">
        <f t="shared" si="64"/>
        <v>3.8887089407219559E-3</v>
      </c>
      <c r="O33" s="100">
        <f t="shared" si="64"/>
        <v>3.4358302491966234E-3</v>
      </c>
      <c r="P33" s="100">
        <f t="shared" si="64"/>
        <v>3.4811181183491565E-3</v>
      </c>
      <c r="Q33" s="100">
        <f t="shared" si="64"/>
        <v>3.4811181183491565E-3</v>
      </c>
      <c r="R33" s="100">
        <f t="shared" si="64"/>
        <v>2.6795228343493185E-3</v>
      </c>
      <c r="S33" s="100">
        <f t="shared" si="64"/>
        <v>2.6795228343493185E-3</v>
      </c>
      <c r="T33" s="100">
        <f t="shared" si="64"/>
        <v>3.4358302491966234E-3</v>
      </c>
      <c r="U33" s="100">
        <f t="shared" si="64"/>
        <v>2.9240773277729986E-3</v>
      </c>
      <c r="V33" s="100">
        <f t="shared" si="64"/>
        <v>3.4811181183491565E-3</v>
      </c>
      <c r="W33" s="100">
        <f t="shared" si="64"/>
        <v>3.4358302491966234E-3</v>
      </c>
      <c r="X33" s="100">
        <f t="shared" si="64"/>
        <v>2.6795228343493185E-3</v>
      </c>
      <c r="Y33" s="100">
        <f t="shared" si="64"/>
        <v>3.4811181183491565E-3</v>
      </c>
      <c r="Z33" s="100">
        <f t="shared" si="64"/>
        <v>3.5716938566542232E-3</v>
      </c>
      <c r="AA33" s="100">
        <f t="shared" si="64"/>
        <v>2.7972712941459047E-3</v>
      </c>
      <c r="AB33" s="49">
        <f t="shared" si="60"/>
        <v>6.4685984629357003E-8</v>
      </c>
      <c r="AC33" s="101">
        <f>IFERROR(s_RadSpec!$E$13*(AC13/$B33),".")</f>
        <v>1.339761417174659E-8</v>
      </c>
      <c r="AD33" s="101">
        <f>IFERROR(s_RadSpec!$E$13*(AD13/$B33),".")</f>
        <v>1.9443544703609777E-8</v>
      </c>
      <c r="AE33" s="101">
        <f>IFERROR(s_RadSpec!$E$13*(AE13/$B33),".")</f>
        <v>1.8311347974796445E-8</v>
      </c>
      <c r="AF33" s="101">
        <f>IFERROR(s_RadSpec!$E$13*(AF13/$B33),".")</f>
        <v>1.339761417174659E-8</v>
      </c>
      <c r="AG33" s="101">
        <f>IFERROR(s_RadSpec!$E$13*(AG13/$B33),".")</f>
        <v>1.7405590591745782E-8</v>
      </c>
      <c r="AH33" s="101">
        <f>IFERROR(s_RadSpec!$E$13*(AH13/$B33),".")</f>
        <v>1.9443544703609777E-8</v>
      </c>
      <c r="AI33" s="101">
        <f>IFERROR(s_RadSpec!$E$13*(AI13/$B33),".")</f>
        <v>1.8311347974796445E-8</v>
      </c>
      <c r="AJ33" s="101">
        <f>IFERROR(s_RadSpec!$E$13*(AJ13/$B33),".")</f>
        <v>1.339761417174659E-8</v>
      </c>
      <c r="AK33" s="101">
        <f>IFERROR(s_RadSpec!$E$13*(AK13/$B33),".")</f>
        <v>1.4416591227678586E-8</v>
      </c>
      <c r="AL33" s="101">
        <f>IFERROR(s_RadSpec!$E$13*(AL13/$B33),".")</f>
        <v>1.7405590591745782E-8</v>
      </c>
      <c r="AM33" s="101">
        <f>IFERROR(s_RadSpec!$E$13*(AM13/$B33),".")</f>
        <v>1.9443544703609777E-8</v>
      </c>
      <c r="AN33" s="101">
        <f>IFERROR(s_RadSpec!$E$13*(AN13/$B33),".")</f>
        <v>1.7179151245983116E-8</v>
      </c>
      <c r="AO33" s="101">
        <f>IFERROR(s_RadSpec!$E$13*(AO13/$B33),".")</f>
        <v>1.7405590591745782E-8</v>
      </c>
      <c r="AP33" s="101">
        <f>IFERROR(s_RadSpec!$E$13*(AP13/$B33),".")</f>
        <v>1.7405590591745782E-8</v>
      </c>
      <c r="AQ33" s="101">
        <f>IFERROR(s_RadSpec!$E$13*(AQ13/$B33),".")</f>
        <v>1.339761417174659E-8</v>
      </c>
      <c r="AR33" s="101">
        <f>IFERROR(s_RadSpec!$E$13*(AR13/$B33),".")</f>
        <v>1.339761417174659E-8</v>
      </c>
      <c r="AS33" s="101">
        <f>IFERROR(s_RadSpec!$E$13*(AS13/$B33),".")</f>
        <v>1.7179151245983116E-8</v>
      </c>
      <c r="AT33" s="101">
        <f>IFERROR(s_RadSpec!$E$13*(AT13/$B33),".")</f>
        <v>1.4620386638864987E-8</v>
      </c>
      <c r="AU33" s="101">
        <f>IFERROR(s_RadSpec!$E$13*(AU13/$B33),".")</f>
        <v>1.7405590591745782E-8</v>
      </c>
      <c r="AV33" s="101">
        <f>IFERROR(s_RadSpec!$E$13*(AV13/$B33),".")</f>
        <v>1.7179151245983116E-8</v>
      </c>
      <c r="AW33" s="101">
        <f>IFERROR(s_RadSpec!$E$13*(AW13/$B33),".")</f>
        <v>1.339761417174659E-8</v>
      </c>
      <c r="AX33" s="101">
        <f>IFERROR(s_RadSpec!$E$13*(AX13/$B33),".")</f>
        <v>1.7405590591745782E-8</v>
      </c>
      <c r="AY33" s="101">
        <f>IFERROR(s_RadSpec!$E$13*(AY13/$B33),".")</f>
        <v>1.7858469283271115E-8</v>
      </c>
      <c r="AZ33" s="101">
        <f>IFERROR(s_RadSpec!$E$13*(AZ13/$B33),".")</f>
        <v>1.3986356470729524E-8</v>
      </c>
      <c r="BA33" s="100">
        <f t="shared" si="61"/>
        <v>7.887517806208108E-4</v>
      </c>
      <c r="BB33" s="100">
        <f t="shared" ref="BB33:BY33" si="65">IFERROR($B33/BB13,0)</f>
        <v>2.6795228343493185E-3</v>
      </c>
      <c r="BC33" s="100">
        <f t="shared" si="65"/>
        <v>3.8887089407219559E-3</v>
      </c>
      <c r="BD33" s="100">
        <f t="shared" si="65"/>
        <v>3.6622695949592898E-3</v>
      </c>
      <c r="BE33" s="100">
        <f t="shared" si="65"/>
        <v>2.6795228343493185E-3</v>
      </c>
      <c r="BF33" s="100">
        <f t="shared" si="65"/>
        <v>3.4811181183491565E-3</v>
      </c>
      <c r="BG33" s="100">
        <f t="shared" si="65"/>
        <v>3.8887089407219559E-3</v>
      </c>
      <c r="BH33" s="100">
        <f t="shared" si="65"/>
        <v>3.6622695949592898E-3</v>
      </c>
      <c r="BI33" s="100">
        <f t="shared" si="65"/>
        <v>2.6795228343493185E-3</v>
      </c>
      <c r="BJ33" s="100">
        <f t="shared" si="65"/>
        <v>2.8833182455357182E-3</v>
      </c>
      <c r="BK33" s="100">
        <f t="shared" si="65"/>
        <v>3.4811181183491565E-3</v>
      </c>
      <c r="BL33" s="100">
        <f t="shared" si="65"/>
        <v>3.8887089407219559E-3</v>
      </c>
      <c r="BM33" s="100">
        <f t="shared" si="65"/>
        <v>3.4358302491966234E-3</v>
      </c>
      <c r="BN33" s="100">
        <f t="shared" si="65"/>
        <v>3.4811181183491565E-3</v>
      </c>
      <c r="BO33" s="100">
        <f t="shared" si="65"/>
        <v>3.4811181183491565E-3</v>
      </c>
      <c r="BP33" s="100">
        <f t="shared" si="65"/>
        <v>2.6795228343493185E-3</v>
      </c>
      <c r="BQ33" s="100">
        <f t="shared" si="65"/>
        <v>2.6795228343493185E-3</v>
      </c>
      <c r="BR33" s="100">
        <f t="shared" si="65"/>
        <v>3.4358302491966234E-3</v>
      </c>
      <c r="BS33" s="100">
        <f t="shared" si="65"/>
        <v>2.9240773277729986E-3</v>
      </c>
      <c r="BT33" s="100">
        <f t="shared" si="65"/>
        <v>3.4811181183491565E-3</v>
      </c>
      <c r="BU33" s="100">
        <f t="shared" si="65"/>
        <v>3.4358302491966234E-3</v>
      </c>
      <c r="BV33" s="100">
        <f t="shared" si="65"/>
        <v>2.6795228343493185E-3</v>
      </c>
      <c r="BW33" s="100">
        <f t="shared" si="65"/>
        <v>3.4811181183491565E-3</v>
      </c>
      <c r="BX33" s="100">
        <f t="shared" si="65"/>
        <v>3.5716938566542232E-3</v>
      </c>
      <c r="BY33" s="100">
        <f t="shared" si="65"/>
        <v>2.7972712941459047E-3</v>
      </c>
      <c r="BZ33" s="49">
        <f t="shared" si="63"/>
        <v>6.4685984629357003E-8</v>
      </c>
      <c r="CA33" s="101">
        <f>IFERROR(s_RadSpec!$E$13*(CA13/$B33),".")</f>
        <v>1.339761417174659E-8</v>
      </c>
      <c r="CB33" s="101">
        <f>IFERROR(s_RadSpec!$E$13*(CB13/$B33),".")</f>
        <v>1.9443544703609777E-8</v>
      </c>
      <c r="CC33" s="101">
        <f>IFERROR(s_RadSpec!$E$13*(CC13/$B33),".")</f>
        <v>1.8311347974796445E-8</v>
      </c>
      <c r="CD33" s="101">
        <f>IFERROR(s_RadSpec!$E$13*(CD13/$B33),".")</f>
        <v>1.339761417174659E-8</v>
      </c>
      <c r="CE33" s="101">
        <f>IFERROR(s_RadSpec!$E$13*(CE13/$B33),".")</f>
        <v>1.7405590591745782E-8</v>
      </c>
      <c r="CF33" s="101">
        <f>IFERROR(s_RadSpec!$E$13*(CF13/$B33),".")</f>
        <v>1.9443544703609777E-8</v>
      </c>
      <c r="CG33" s="101">
        <f>IFERROR(s_RadSpec!$E$13*(CG13/$B33),".")</f>
        <v>1.8311347974796445E-8</v>
      </c>
      <c r="CH33" s="101">
        <f>IFERROR(s_RadSpec!$E$13*(CH13/$B33),".")</f>
        <v>1.339761417174659E-8</v>
      </c>
      <c r="CI33" s="101">
        <f>IFERROR(s_RadSpec!$E$13*(CI13/$B33),".")</f>
        <v>1.4416591227678586E-8</v>
      </c>
      <c r="CJ33" s="101">
        <f>IFERROR(s_RadSpec!$E$13*(CJ13/$B33),".")</f>
        <v>1.7405590591745782E-8</v>
      </c>
      <c r="CK33" s="101">
        <f>IFERROR(s_RadSpec!$E$13*(CK13/$B33),".")</f>
        <v>1.9443544703609777E-8</v>
      </c>
      <c r="CL33" s="101">
        <f>IFERROR(s_RadSpec!$E$13*(CL13/$B33),".")</f>
        <v>1.7179151245983116E-8</v>
      </c>
      <c r="CM33" s="101">
        <f>IFERROR(s_RadSpec!$E$13*(CM13/$B33),".")</f>
        <v>1.7405590591745782E-8</v>
      </c>
      <c r="CN33" s="101">
        <f>IFERROR(s_RadSpec!$E$13*(CN13/$B33),".")</f>
        <v>1.7405590591745782E-8</v>
      </c>
      <c r="CO33" s="101">
        <f>IFERROR(s_RadSpec!$E$13*(CO13/$B33),".")</f>
        <v>1.339761417174659E-8</v>
      </c>
      <c r="CP33" s="101">
        <f>IFERROR(s_RadSpec!$E$13*(CP13/$B33),".")</f>
        <v>1.339761417174659E-8</v>
      </c>
      <c r="CQ33" s="101">
        <f>IFERROR(s_RadSpec!$E$13*(CQ13/$B33),".")</f>
        <v>1.7179151245983116E-8</v>
      </c>
      <c r="CR33" s="101">
        <f>IFERROR(s_RadSpec!$E$13*(CR13/$B33),".")</f>
        <v>1.4620386638864987E-8</v>
      </c>
      <c r="CS33" s="101">
        <f>IFERROR(s_RadSpec!$E$13*(CS13/$B33),".")</f>
        <v>1.7405590591745782E-8</v>
      </c>
      <c r="CT33" s="101">
        <f>IFERROR(s_RadSpec!$E$13*(CT13/$B33),".")</f>
        <v>1.7179151245983116E-8</v>
      </c>
      <c r="CU33" s="101">
        <f>IFERROR(s_RadSpec!$E$13*(CU13/$B33),".")</f>
        <v>1.339761417174659E-8</v>
      </c>
      <c r="CV33" s="101">
        <f>IFERROR(s_RadSpec!$E$13*(CV13/$B33),".")</f>
        <v>1.7405590591745782E-8</v>
      </c>
      <c r="CW33" s="101">
        <f>IFERROR(s_RadSpec!$E$13*(CW13/$B33),".")</f>
        <v>1.7858469283271115E-8</v>
      </c>
      <c r="CX33" s="101">
        <f>IFERROR(s_RadSpec!$E$13*(CX13/$B33),".")</f>
        <v>1.3986356470729524E-8</v>
      </c>
    </row>
    <row r="34" spans="1:102" x14ac:dyDescent="0.25">
      <c r="A34" s="99" t="s">
        <v>1079</v>
      </c>
      <c r="B34" s="90">
        <v>1</v>
      </c>
      <c r="C34" s="100">
        <f>IFERROR(1/SUM(1/D34,1/E34,1/Z34,1/AA34),".")</f>
        <v>8.4235856022454387E-5</v>
      </c>
      <c r="D34" s="100">
        <f t="shared" ref="D34:AA34" si="66">IFERROR($B34/D14,0)</f>
        <v>3.3694342408981755E-4</v>
      </c>
      <c r="E34" s="100">
        <f t="shared" si="66"/>
        <v>3.3694342408981755E-4</v>
      </c>
      <c r="F34" s="100">
        <f t="shared" si="66"/>
        <v>3.3694342408981755E-4</v>
      </c>
      <c r="G34" s="100">
        <f t="shared" si="66"/>
        <v>3.3694342408981755E-4</v>
      </c>
      <c r="H34" s="100">
        <f t="shared" si="66"/>
        <v>3.3694342408981755E-4</v>
      </c>
      <c r="I34" s="100">
        <f t="shared" si="66"/>
        <v>3.3694342408981755E-4</v>
      </c>
      <c r="J34" s="100">
        <f t="shared" si="66"/>
        <v>3.3694342408981755E-4</v>
      </c>
      <c r="K34" s="100">
        <f t="shared" si="66"/>
        <v>3.3694342408981755E-4</v>
      </c>
      <c r="L34" s="100">
        <f t="shared" si="66"/>
        <v>3.3694342408981755E-4</v>
      </c>
      <c r="M34" s="100">
        <f t="shared" si="66"/>
        <v>3.3694342408981755E-4</v>
      </c>
      <c r="N34" s="100">
        <f t="shared" si="66"/>
        <v>3.3694342408981755E-4</v>
      </c>
      <c r="O34" s="100">
        <f t="shared" si="66"/>
        <v>3.3694342408981755E-4</v>
      </c>
      <c r="P34" s="100">
        <f t="shared" si="66"/>
        <v>3.3694342408981755E-4</v>
      </c>
      <c r="Q34" s="100">
        <f t="shared" si="66"/>
        <v>3.3694342408981755E-4</v>
      </c>
      <c r="R34" s="100">
        <f t="shared" si="66"/>
        <v>3.3694342408981755E-4</v>
      </c>
      <c r="S34" s="100">
        <f t="shared" si="66"/>
        <v>3.3694342408981755E-4</v>
      </c>
      <c r="T34" s="100">
        <f t="shared" si="66"/>
        <v>3.3694342408981755E-4</v>
      </c>
      <c r="U34" s="100">
        <f t="shared" si="66"/>
        <v>3.3694342408981755E-4</v>
      </c>
      <c r="V34" s="100">
        <f t="shared" si="66"/>
        <v>3.3694342408981755E-4</v>
      </c>
      <c r="W34" s="100">
        <f t="shared" si="66"/>
        <v>3.3694342408981755E-4</v>
      </c>
      <c r="X34" s="100">
        <f t="shared" si="66"/>
        <v>3.3694342408981755E-4</v>
      </c>
      <c r="Y34" s="100">
        <f t="shared" si="66"/>
        <v>3.3694342408981755E-4</v>
      </c>
      <c r="Z34" s="100">
        <f t="shared" si="66"/>
        <v>3.3694342408981755E-4</v>
      </c>
      <c r="AA34" s="100">
        <f t="shared" si="66"/>
        <v>3.3694342408981755E-4</v>
      </c>
      <c r="AB34" s="49">
        <f t="shared" si="60"/>
        <v>6.7388684817963523E-9</v>
      </c>
      <c r="AC34" s="101">
        <f>IFERROR(s_RadSpec!$E$14*(AC14/$B34),".")</f>
        <v>1.6847171204490881E-9</v>
      </c>
      <c r="AD34" s="101">
        <f>IFERROR(s_RadSpec!$E$14*(AD14/$B34),".")</f>
        <v>1.6847171204490881E-9</v>
      </c>
      <c r="AE34" s="101">
        <f>IFERROR(s_RadSpec!$E$14*(AE14/$B34),".")</f>
        <v>1.6847171204490881E-9</v>
      </c>
      <c r="AF34" s="101">
        <f>IFERROR(s_RadSpec!$E$14*(AF14/$B34),".")</f>
        <v>1.6847171204490881E-9</v>
      </c>
      <c r="AG34" s="101">
        <f>IFERROR(s_RadSpec!$E$14*(AG14/$B34),".")</f>
        <v>1.6847171204490881E-9</v>
      </c>
      <c r="AH34" s="101">
        <f>IFERROR(s_RadSpec!$E$14*(AH14/$B34),".")</f>
        <v>1.6847171204490881E-9</v>
      </c>
      <c r="AI34" s="101">
        <f>IFERROR(s_RadSpec!$E$14*(AI14/$B34),".")</f>
        <v>1.6847171204490881E-9</v>
      </c>
      <c r="AJ34" s="101">
        <f>IFERROR(s_RadSpec!$E$14*(AJ14/$B34),".")</f>
        <v>1.6847171204490881E-9</v>
      </c>
      <c r="AK34" s="101">
        <f>IFERROR(s_RadSpec!$E$14*(AK14/$B34),".")</f>
        <v>1.6847171204490881E-9</v>
      </c>
      <c r="AL34" s="101">
        <f>IFERROR(s_RadSpec!$E$14*(AL14/$B34),".")</f>
        <v>1.6847171204490881E-9</v>
      </c>
      <c r="AM34" s="101">
        <f>IFERROR(s_RadSpec!$E$14*(AM14/$B34),".")</f>
        <v>1.6847171204490881E-9</v>
      </c>
      <c r="AN34" s="101">
        <f>IFERROR(s_RadSpec!$E$14*(AN14/$B34),".")</f>
        <v>1.6847171204490881E-9</v>
      </c>
      <c r="AO34" s="101">
        <f>IFERROR(s_RadSpec!$E$14*(AO14/$B34),".")</f>
        <v>1.6847171204490881E-9</v>
      </c>
      <c r="AP34" s="101">
        <f>IFERROR(s_RadSpec!$E$14*(AP14/$B34),".")</f>
        <v>1.6847171204490881E-9</v>
      </c>
      <c r="AQ34" s="101">
        <f>IFERROR(s_RadSpec!$E$14*(AQ14/$B34),".")</f>
        <v>1.6847171204490881E-9</v>
      </c>
      <c r="AR34" s="101">
        <f>IFERROR(s_RadSpec!$E$14*(AR14/$B34),".")</f>
        <v>1.6847171204490881E-9</v>
      </c>
      <c r="AS34" s="101">
        <f>IFERROR(s_RadSpec!$E$14*(AS14/$B34),".")</f>
        <v>1.6847171204490881E-9</v>
      </c>
      <c r="AT34" s="101">
        <f>IFERROR(s_RadSpec!$E$14*(AT14/$B34),".")</f>
        <v>1.6847171204490881E-9</v>
      </c>
      <c r="AU34" s="101">
        <f>IFERROR(s_RadSpec!$E$14*(AU14/$B34),".")</f>
        <v>1.6847171204490881E-9</v>
      </c>
      <c r="AV34" s="101">
        <f>IFERROR(s_RadSpec!$E$14*(AV14/$B34),".")</f>
        <v>1.6847171204490881E-9</v>
      </c>
      <c r="AW34" s="101">
        <f>IFERROR(s_RadSpec!$E$14*(AW14/$B34),".")</f>
        <v>1.6847171204490881E-9</v>
      </c>
      <c r="AX34" s="101">
        <f>IFERROR(s_RadSpec!$E$14*(AX14/$B34),".")</f>
        <v>1.6847171204490881E-9</v>
      </c>
      <c r="AY34" s="101">
        <f>IFERROR(s_RadSpec!$E$14*(AY14/$B34),".")</f>
        <v>1.6847171204490881E-9</v>
      </c>
      <c r="AZ34" s="101">
        <f>IFERROR(s_RadSpec!$E$14*(AZ14/$B34),".")</f>
        <v>1.6847171204490881E-9</v>
      </c>
      <c r="BA34" s="100">
        <f>IFERROR(1/SUM(1/BB34,1/BC34,1/BX34,1/BY34),".")</f>
        <v>8.4235856022454387E-5</v>
      </c>
      <c r="BB34" s="100">
        <f t="shared" ref="BB34:BY34" si="67">IFERROR($B34/BB14,0)</f>
        <v>3.3694342408981755E-4</v>
      </c>
      <c r="BC34" s="100">
        <f t="shared" si="67"/>
        <v>3.3694342408981755E-4</v>
      </c>
      <c r="BD34" s="100">
        <f t="shared" si="67"/>
        <v>3.3694342408981755E-4</v>
      </c>
      <c r="BE34" s="100">
        <f t="shared" si="67"/>
        <v>3.3694342408981755E-4</v>
      </c>
      <c r="BF34" s="100">
        <f t="shared" si="67"/>
        <v>3.3694342408981755E-4</v>
      </c>
      <c r="BG34" s="100">
        <f t="shared" si="67"/>
        <v>3.3694342408981755E-4</v>
      </c>
      <c r="BH34" s="100">
        <f t="shared" si="67"/>
        <v>3.3694342408981755E-4</v>
      </c>
      <c r="BI34" s="100">
        <f t="shared" si="67"/>
        <v>3.3694342408981755E-4</v>
      </c>
      <c r="BJ34" s="100">
        <f t="shared" si="67"/>
        <v>3.3694342408981755E-4</v>
      </c>
      <c r="BK34" s="100">
        <f t="shared" si="67"/>
        <v>3.3694342408981755E-4</v>
      </c>
      <c r="BL34" s="100">
        <f t="shared" si="67"/>
        <v>3.3694342408981755E-4</v>
      </c>
      <c r="BM34" s="100">
        <f t="shared" si="67"/>
        <v>3.3694342408981755E-4</v>
      </c>
      <c r="BN34" s="100">
        <f t="shared" si="67"/>
        <v>3.3694342408981755E-4</v>
      </c>
      <c r="BO34" s="100">
        <f t="shared" si="67"/>
        <v>3.3694342408981755E-4</v>
      </c>
      <c r="BP34" s="100">
        <f t="shared" si="67"/>
        <v>3.3694342408981755E-4</v>
      </c>
      <c r="BQ34" s="100">
        <f t="shared" si="67"/>
        <v>3.3694342408981755E-4</v>
      </c>
      <c r="BR34" s="100">
        <f t="shared" si="67"/>
        <v>3.3694342408981755E-4</v>
      </c>
      <c r="BS34" s="100">
        <f t="shared" si="67"/>
        <v>3.3694342408981755E-4</v>
      </c>
      <c r="BT34" s="100">
        <f t="shared" si="67"/>
        <v>3.3694342408981755E-4</v>
      </c>
      <c r="BU34" s="100">
        <f t="shared" si="67"/>
        <v>3.3694342408981755E-4</v>
      </c>
      <c r="BV34" s="100">
        <f t="shared" si="67"/>
        <v>3.3694342408981755E-4</v>
      </c>
      <c r="BW34" s="100">
        <f t="shared" si="67"/>
        <v>3.3694342408981755E-4</v>
      </c>
      <c r="BX34" s="100">
        <f t="shared" si="67"/>
        <v>3.3694342408981755E-4</v>
      </c>
      <c r="BY34" s="100">
        <f t="shared" si="67"/>
        <v>3.3694342408981755E-4</v>
      </c>
      <c r="BZ34" s="49">
        <f t="shared" si="63"/>
        <v>6.7388684817963523E-9</v>
      </c>
      <c r="CA34" s="101">
        <f>IFERROR(s_RadSpec!$E$14*(CA14/$B34),".")</f>
        <v>1.6847171204490881E-9</v>
      </c>
      <c r="CB34" s="101">
        <f>IFERROR(s_RadSpec!$E$14*(CB14/$B34),".")</f>
        <v>1.6847171204490881E-9</v>
      </c>
      <c r="CC34" s="101">
        <f>IFERROR(s_RadSpec!$E$14*(CC14/$B34),".")</f>
        <v>1.6847171204490881E-9</v>
      </c>
      <c r="CD34" s="101">
        <f>IFERROR(s_RadSpec!$E$14*(CD14/$B34),".")</f>
        <v>1.6847171204490881E-9</v>
      </c>
      <c r="CE34" s="101">
        <f>IFERROR(s_RadSpec!$E$14*(CE14/$B34),".")</f>
        <v>1.6847171204490881E-9</v>
      </c>
      <c r="CF34" s="101">
        <f>IFERROR(s_RadSpec!$E$14*(CF14/$B34),".")</f>
        <v>1.6847171204490881E-9</v>
      </c>
      <c r="CG34" s="101">
        <f>IFERROR(s_RadSpec!$E$14*(CG14/$B34),".")</f>
        <v>1.6847171204490881E-9</v>
      </c>
      <c r="CH34" s="101">
        <f>IFERROR(s_RadSpec!$E$14*(CH14/$B34),".")</f>
        <v>1.6847171204490881E-9</v>
      </c>
      <c r="CI34" s="101">
        <f>IFERROR(s_RadSpec!$E$14*(CI14/$B34),".")</f>
        <v>1.6847171204490881E-9</v>
      </c>
      <c r="CJ34" s="101">
        <f>IFERROR(s_RadSpec!$E$14*(CJ14/$B34),".")</f>
        <v>1.6847171204490881E-9</v>
      </c>
      <c r="CK34" s="101">
        <f>IFERROR(s_RadSpec!$E$14*(CK14/$B34),".")</f>
        <v>1.6847171204490881E-9</v>
      </c>
      <c r="CL34" s="101">
        <f>IFERROR(s_RadSpec!$E$14*(CL14/$B34),".")</f>
        <v>1.6847171204490881E-9</v>
      </c>
      <c r="CM34" s="101">
        <f>IFERROR(s_RadSpec!$E$14*(CM14/$B34),".")</f>
        <v>1.6847171204490881E-9</v>
      </c>
      <c r="CN34" s="101">
        <f>IFERROR(s_RadSpec!$E$14*(CN14/$B34),".")</f>
        <v>1.6847171204490881E-9</v>
      </c>
      <c r="CO34" s="101">
        <f>IFERROR(s_RadSpec!$E$14*(CO14/$B34),".")</f>
        <v>1.6847171204490881E-9</v>
      </c>
      <c r="CP34" s="101">
        <f>IFERROR(s_RadSpec!$E$14*(CP14/$B34),".")</f>
        <v>1.6847171204490881E-9</v>
      </c>
      <c r="CQ34" s="101">
        <f>IFERROR(s_RadSpec!$E$14*(CQ14/$B34),".")</f>
        <v>1.6847171204490881E-9</v>
      </c>
      <c r="CR34" s="101">
        <f>IFERROR(s_RadSpec!$E$14*(CR14/$B34),".")</f>
        <v>1.6847171204490881E-9</v>
      </c>
      <c r="CS34" s="101">
        <f>IFERROR(s_RadSpec!$E$14*(CS14/$B34),".")</f>
        <v>1.6847171204490881E-9</v>
      </c>
      <c r="CT34" s="101">
        <f>IFERROR(s_RadSpec!$E$14*(CT14/$B34),".")</f>
        <v>1.6847171204490881E-9</v>
      </c>
      <c r="CU34" s="101">
        <f>IFERROR(s_RadSpec!$E$14*(CU14/$B34),".")</f>
        <v>1.6847171204490881E-9</v>
      </c>
      <c r="CV34" s="101">
        <f>IFERROR(s_RadSpec!$E$14*(CV14/$B34),".")</f>
        <v>1.6847171204490881E-9</v>
      </c>
      <c r="CW34" s="101">
        <f>IFERROR(s_RadSpec!$E$14*(CW14/$B34),".")</f>
        <v>1.6847171204490881E-9</v>
      </c>
      <c r="CX34" s="101">
        <f>IFERROR(s_RadSpec!$E$14*(CX14/$B34),".")</f>
        <v>1.6847171204490881E-9</v>
      </c>
    </row>
    <row r="35" spans="1:102" x14ac:dyDescent="0.25">
      <c r="A35" s="99" t="s">
        <v>1080</v>
      </c>
      <c r="B35" s="90">
        <v>1</v>
      </c>
      <c r="C35" s="100">
        <f t="shared" si="35"/>
        <v>8.5893438595253393E-4</v>
      </c>
      <c r="D35" s="100">
        <f t="shared" ref="D35:AA35" si="68">IFERROR($B35/D30,0)</f>
        <v>3.1711641866165002E-3</v>
      </c>
      <c r="E35" s="100">
        <f t="shared" si="68"/>
        <v>4.1776062073366361E-3</v>
      </c>
      <c r="F35" s="100">
        <f t="shared" si="68"/>
        <v>3.563146868370658E-3</v>
      </c>
      <c r="G35" s="100">
        <f t="shared" si="68"/>
        <v>3.1711641866165002E-3</v>
      </c>
      <c r="H35" s="100">
        <f t="shared" si="68"/>
        <v>3.9127530439892312E-3</v>
      </c>
      <c r="I35" s="100">
        <f t="shared" si="68"/>
        <v>4.1776062073366361E-3</v>
      </c>
      <c r="J35" s="100">
        <f t="shared" si="68"/>
        <v>3.563146868370658E-3</v>
      </c>
      <c r="K35" s="100">
        <f t="shared" si="68"/>
        <v>3.1711641866165002E-3</v>
      </c>
      <c r="L35" s="100">
        <f t="shared" si="68"/>
        <v>3.9127530439892312E-3</v>
      </c>
      <c r="M35" s="100">
        <f t="shared" si="68"/>
        <v>3.9127530439892312E-3</v>
      </c>
      <c r="N35" s="100">
        <f t="shared" si="68"/>
        <v>4.1776062073366361E-3</v>
      </c>
      <c r="O35" s="100">
        <f t="shared" si="68"/>
        <v>3.2347289458198769E-3</v>
      </c>
      <c r="P35" s="100">
        <f t="shared" si="68"/>
        <v>3.9127530439892312E-3</v>
      </c>
      <c r="Q35" s="100">
        <f t="shared" si="68"/>
        <v>3.9127530439892312E-3</v>
      </c>
      <c r="R35" s="100">
        <f t="shared" si="68"/>
        <v>3.1711641866165002E-3</v>
      </c>
      <c r="S35" s="100">
        <f t="shared" si="68"/>
        <v>3.1711641866165002E-3</v>
      </c>
      <c r="T35" s="100">
        <f t="shared" si="68"/>
        <v>3.2347289458198769E-3</v>
      </c>
      <c r="U35" s="100">
        <f t="shared" si="68"/>
        <v>3.3830467172944237E-3</v>
      </c>
      <c r="V35" s="100">
        <f t="shared" si="68"/>
        <v>3.9127530439892312E-3</v>
      </c>
      <c r="W35" s="100">
        <f t="shared" si="68"/>
        <v>3.2347289458198769E-3</v>
      </c>
      <c r="X35" s="100">
        <f t="shared" si="68"/>
        <v>3.1711641866165002E-3</v>
      </c>
      <c r="Y35" s="100">
        <f t="shared" si="68"/>
        <v>3.9127530439892312E-3</v>
      </c>
      <c r="Z35" s="100">
        <f t="shared" si="68"/>
        <v>3.1310654176857034E-3</v>
      </c>
      <c r="AA35" s="100">
        <f t="shared" si="68"/>
        <v>3.4466114764978E-3</v>
      </c>
      <c r="AB35" s="49">
        <f t="shared" si="60"/>
        <v>6.9632236440683191E-8</v>
      </c>
      <c r="AC35" s="101">
        <f>IFERROR(s_RadSpec!$E$30*(AC30/$B35),".")</f>
        <v>1.5855820933082497E-8</v>
      </c>
      <c r="AD35" s="101">
        <f>IFERROR(s_RadSpec!$E$30*(AD30/$B35),".")</f>
        <v>2.0888031036683179E-8</v>
      </c>
      <c r="AE35" s="101">
        <f>IFERROR(s_RadSpec!$E$30*(AE30/$B35),".")</f>
        <v>1.7815734341853289E-8</v>
      </c>
      <c r="AF35" s="101">
        <f>IFERROR(s_RadSpec!$E$30*(AF30/$B35),".")</f>
        <v>1.5855820933082497E-8</v>
      </c>
      <c r="AG35" s="101">
        <f>IFERROR(s_RadSpec!$E$30*(AG30/$B35),".")</f>
        <v>1.9563765219946154E-8</v>
      </c>
      <c r="AH35" s="101">
        <f>IFERROR(s_RadSpec!$E$30*(AH30/$B35),".")</f>
        <v>2.0888031036683179E-8</v>
      </c>
      <c r="AI35" s="101">
        <f>IFERROR(s_RadSpec!$E$30*(AI30/$B35),".")</f>
        <v>1.7815734341853289E-8</v>
      </c>
      <c r="AJ35" s="101">
        <f>IFERROR(s_RadSpec!$E$30*(AJ30/$B35),".")</f>
        <v>1.5855820933082497E-8</v>
      </c>
      <c r="AK35" s="101">
        <f>IFERROR(s_RadSpec!$E$30*(AK30/$B35),".")</f>
        <v>1.9563765219946154E-8</v>
      </c>
      <c r="AL35" s="101">
        <f>IFERROR(s_RadSpec!$E$30*(AL30/$B35),".")</f>
        <v>1.9563765219946154E-8</v>
      </c>
      <c r="AM35" s="101">
        <f>IFERROR(s_RadSpec!$E$30*(AM30/$B35),".")</f>
        <v>2.0888031036683179E-8</v>
      </c>
      <c r="AN35" s="101">
        <f>IFERROR(s_RadSpec!$E$30*(AN30/$B35),".")</f>
        <v>1.6173644729099384E-8</v>
      </c>
      <c r="AO35" s="101">
        <f>IFERROR(s_RadSpec!$E$30*(AO30/$B35),".")</f>
        <v>1.9563765219946154E-8</v>
      </c>
      <c r="AP35" s="101">
        <f>IFERROR(s_RadSpec!$E$30*(AP30/$B35),".")</f>
        <v>1.9563765219946154E-8</v>
      </c>
      <c r="AQ35" s="101">
        <f>IFERROR(s_RadSpec!$E$30*(AQ30/$B35),".")</f>
        <v>1.5855820933082497E-8</v>
      </c>
      <c r="AR35" s="101">
        <f>IFERROR(s_RadSpec!$E$30*(AR30/$B35),".")</f>
        <v>1.5855820933082497E-8</v>
      </c>
      <c r="AS35" s="101">
        <f>IFERROR(s_RadSpec!$E$30*(AS30/$B35),".")</f>
        <v>1.6173644729099384E-8</v>
      </c>
      <c r="AT35" s="101">
        <f>IFERROR(s_RadSpec!$E$30*(AT30/$B35),".")</f>
        <v>1.6915233586472117E-8</v>
      </c>
      <c r="AU35" s="101">
        <f>IFERROR(s_RadSpec!$E$30*(AU30/$B35),".")</f>
        <v>1.9563765219946154E-8</v>
      </c>
      <c r="AV35" s="101">
        <f>IFERROR(s_RadSpec!$E$30*(AV30/$B35),".")</f>
        <v>1.6173644729099384E-8</v>
      </c>
      <c r="AW35" s="101">
        <f>IFERROR(s_RadSpec!$E$30*(AW30/$B35),".")</f>
        <v>1.5855820933082497E-8</v>
      </c>
      <c r="AX35" s="101">
        <f>IFERROR(s_RadSpec!$E$30*(AX30/$B35),".")</f>
        <v>1.9563765219946154E-8</v>
      </c>
      <c r="AY35" s="101">
        <f>IFERROR(s_RadSpec!$E$30*(AY30/$B35),".")</f>
        <v>1.5655327088428514E-8</v>
      </c>
      <c r="AZ35" s="101">
        <f>IFERROR(s_RadSpec!$E$30*(AZ30/$B35),".")</f>
        <v>1.7233057382488998E-8</v>
      </c>
      <c r="BA35" s="100">
        <f>IFERROR(1/SUM(1/BB35,1/BC35,1/BX35,1/BY35),".")</f>
        <v>8.5893438595253393E-4</v>
      </c>
      <c r="BB35" s="100">
        <f t="shared" ref="BB35:BY35" si="69">IFERROR($B35/BB30,0)</f>
        <v>3.1711641866165002E-3</v>
      </c>
      <c r="BC35" s="100">
        <f t="shared" si="69"/>
        <v>4.1776062073366361E-3</v>
      </c>
      <c r="BD35" s="100">
        <f t="shared" si="69"/>
        <v>3.563146868370658E-3</v>
      </c>
      <c r="BE35" s="100">
        <f t="shared" si="69"/>
        <v>3.1711641866165002E-3</v>
      </c>
      <c r="BF35" s="100">
        <f t="shared" si="69"/>
        <v>3.9127530439892312E-3</v>
      </c>
      <c r="BG35" s="100">
        <f t="shared" si="69"/>
        <v>4.1776062073366361E-3</v>
      </c>
      <c r="BH35" s="100">
        <f t="shared" si="69"/>
        <v>3.563146868370658E-3</v>
      </c>
      <c r="BI35" s="100">
        <f t="shared" si="69"/>
        <v>3.1711641866165002E-3</v>
      </c>
      <c r="BJ35" s="100">
        <f t="shared" si="69"/>
        <v>3.9127530439892312E-3</v>
      </c>
      <c r="BK35" s="100">
        <f t="shared" si="69"/>
        <v>3.9127530439892312E-3</v>
      </c>
      <c r="BL35" s="100">
        <f t="shared" si="69"/>
        <v>4.1776062073366361E-3</v>
      </c>
      <c r="BM35" s="100">
        <f t="shared" si="69"/>
        <v>3.2347289458198769E-3</v>
      </c>
      <c r="BN35" s="100">
        <f t="shared" si="69"/>
        <v>3.9127530439892312E-3</v>
      </c>
      <c r="BO35" s="100">
        <f t="shared" si="69"/>
        <v>3.9127530439892312E-3</v>
      </c>
      <c r="BP35" s="100">
        <f t="shared" si="69"/>
        <v>3.1711641866165002E-3</v>
      </c>
      <c r="BQ35" s="100">
        <f t="shared" si="69"/>
        <v>3.1711641866165002E-3</v>
      </c>
      <c r="BR35" s="100">
        <f t="shared" si="69"/>
        <v>3.2347289458198769E-3</v>
      </c>
      <c r="BS35" s="100">
        <f t="shared" si="69"/>
        <v>3.3830467172944237E-3</v>
      </c>
      <c r="BT35" s="100">
        <f t="shared" si="69"/>
        <v>3.9127530439892312E-3</v>
      </c>
      <c r="BU35" s="100">
        <f t="shared" si="69"/>
        <v>3.2347289458198769E-3</v>
      </c>
      <c r="BV35" s="100">
        <f t="shared" si="69"/>
        <v>3.1711641866165002E-3</v>
      </c>
      <c r="BW35" s="100">
        <f t="shared" si="69"/>
        <v>3.9127530439892312E-3</v>
      </c>
      <c r="BX35" s="100">
        <f t="shared" si="69"/>
        <v>3.1310654176857034E-3</v>
      </c>
      <c r="BY35" s="100">
        <f t="shared" si="69"/>
        <v>3.4466114764978E-3</v>
      </c>
      <c r="BZ35" s="49">
        <f t="shared" si="63"/>
        <v>6.9632236440683191E-8</v>
      </c>
      <c r="CA35" s="101">
        <f>IFERROR(s_RadSpec!$E$30*(CA30/$B35),".")</f>
        <v>1.5855820933082497E-8</v>
      </c>
      <c r="CB35" s="101">
        <f>IFERROR(s_RadSpec!$E$30*(CB30/$B35),".")</f>
        <v>2.0888031036683179E-8</v>
      </c>
      <c r="CC35" s="101">
        <f>IFERROR(s_RadSpec!$E$30*(CC30/$B35),".")</f>
        <v>1.7815734341853289E-8</v>
      </c>
      <c r="CD35" s="101">
        <f>IFERROR(s_RadSpec!$E$30*(CD30/$B35),".")</f>
        <v>1.5855820933082497E-8</v>
      </c>
      <c r="CE35" s="101">
        <f>IFERROR(s_RadSpec!$E$30*(CE30/$B35),".")</f>
        <v>1.9563765219946154E-8</v>
      </c>
      <c r="CF35" s="101">
        <f>IFERROR(s_RadSpec!$E$30*(CF30/$B35),".")</f>
        <v>2.0888031036683179E-8</v>
      </c>
      <c r="CG35" s="101">
        <f>IFERROR(s_RadSpec!$E$30*(CG30/$B35),".")</f>
        <v>1.7815734341853289E-8</v>
      </c>
      <c r="CH35" s="101">
        <f>IFERROR(s_RadSpec!$E$30*(CH30/$B35),".")</f>
        <v>1.5855820933082497E-8</v>
      </c>
      <c r="CI35" s="101">
        <f>IFERROR(s_RadSpec!$E$30*(CI30/$B35),".")</f>
        <v>1.9563765219946154E-8</v>
      </c>
      <c r="CJ35" s="101">
        <f>IFERROR(s_RadSpec!$E$30*(CJ30/$B35),".")</f>
        <v>1.9563765219946154E-8</v>
      </c>
      <c r="CK35" s="101">
        <f>IFERROR(s_RadSpec!$E$30*(CK30/$B35),".")</f>
        <v>2.0888031036683179E-8</v>
      </c>
      <c r="CL35" s="101">
        <f>IFERROR(s_RadSpec!$E$30*(CL30/$B35),".")</f>
        <v>1.6173644729099384E-8</v>
      </c>
      <c r="CM35" s="101">
        <f>IFERROR(s_RadSpec!$E$30*(CM30/$B35),".")</f>
        <v>1.9563765219946154E-8</v>
      </c>
      <c r="CN35" s="101">
        <f>IFERROR(s_RadSpec!$E$30*(CN30/$B35),".")</f>
        <v>1.9563765219946154E-8</v>
      </c>
      <c r="CO35" s="101">
        <f>IFERROR(s_RadSpec!$E$30*(CO30/$B35),".")</f>
        <v>1.5855820933082497E-8</v>
      </c>
      <c r="CP35" s="101">
        <f>IFERROR(s_RadSpec!$E$30*(CP30/$B35),".")</f>
        <v>1.5855820933082497E-8</v>
      </c>
      <c r="CQ35" s="101">
        <f>IFERROR(s_RadSpec!$E$30*(CQ30/$B35),".")</f>
        <v>1.6173644729099384E-8</v>
      </c>
      <c r="CR35" s="101">
        <f>IFERROR(s_RadSpec!$E$30*(CR30/$B35),".")</f>
        <v>1.6915233586472117E-8</v>
      </c>
      <c r="CS35" s="101">
        <f>IFERROR(s_RadSpec!$E$30*(CS30/$B35),".")</f>
        <v>1.9563765219946154E-8</v>
      </c>
      <c r="CT35" s="101">
        <f>IFERROR(s_RadSpec!$E$30*(CT30/$B35),".")</f>
        <v>1.6173644729099384E-8</v>
      </c>
      <c r="CU35" s="101">
        <f>IFERROR(s_RadSpec!$E$30*(CU30/$B35),".")</f>
        <v>1.5855820933082497E-8</v>
      </c>
      <c r="CV35" s="101">
        <f>IFERROR(s_RadSpec!$E$30*(CV30/$B35),".")</f>
        <v>1.9563765219946154E-8</v>
      </c>
      <c r="CW35" s="101">
        <f>IFERROR(s_RadSpec!$E$30*(CW30/$B35),".")</f>
        <v>1.5655327088428514E-8</v>
      </c>
      <c r="CX35" s="101">
        <f>IFERROR(s_RadSpec!$E$30*(CX30/$B35),".")</f>
        <v>1.7233057382488998E-8</v>
      </c>
    </row>
    <row r="36" spans="1:102" x14ac:dyDescent="0.25">
      <c r="A36" s="99" t="s">
        <v>1081</v>
      </c>
      <c r="B36" s="90">
        <v>1</v>
      </c>
      <c r="C36" s="100">
        <f>IFERROR(1/SUM(1/D36,1/E36,1/Z36,1/AA36),".")</f>
        <v>2.3745868669003229E-3</v>
      </c>
      <c r="D36" s="100">
        <f t="shared" ref="D36:AA36" si="70">IFERROR($B36/D26,0)</f>
        <v>9.4220340197373326E-3</v>
      </c>
      <c r="E36" s="100">
        <f t="shared" si="70"/>
        <v>9.5331308237521419E-3</v>
      </c>
      <c r="F36" s="100">
        <f t="shared" si="70"/>
        <v>9.4696469357436804E-3</v>
      </c>
      <c r="G36" s="100">
        <f t="shared" si="70"/>
        <v>9.4220340197373326E-3</v>
      </c>
      <c r="H36" s="100">
        <f t="shared" si="70"/>
        <v>9.4664727413432577E-3</v>
      </c>
      <c r="I36" s="100">
        <f t="shared" si="70"/>
        <v>9.5331308237521419E-3</v>
      </c>
      <c r="J36" s="100">
        <f t="shared" si="70"/>
        <v>9.4696469357436804E-3</v>
      </c>
      <c r="K36" s="100">
        <f t="shared" si="70"/>
        <v>9.4220340197373326E-3</v>
      </c>
      <c r="L36" s="100">
        <f t="shared" si="70"/>
        <v>9.4442533805402934E-3</v>
      </c>
      <c r="M36" s="100">
        <f t="shared" si="70"/>
        <v>9.4664727413432577E-3</v>
      </c>
      <c r="N36" s="100">
        <f t="shared" si="70"/>
        <v>9.5331308237521419E-3</v>
      </c>
      <c r="O36" s="100">
        <f t="shared" si="70"/>
        <v>9.4267953113379675E-3</v>
      </c>
      <c r="P36" s="100">
        <f t="shared" si="70"/>
        <v>9.4664727413432577E-3</v>
      </c>
      <c r="Q36" s="100">
        <f t="shared" si="70"/>
        <v>9.4664727413432577E-3</v>
      </c>
      <c r="R36" s="100">
        <f t="shared" si="70"/>
        <v>9.4220340197373326E-3</v>
      </c>
      <c r="S36" s="100">
        <f t="shared" si="70"/>
        <v>9.4220340197373326E-3</v>
      </c>
      <c r="T36" s="100">
        <f t="shared" si="70"/>
        <v>9.4267953113379675E-3</v>
      </c>
      <c r="U36" s="100">
        <f t="shared" si="70"/>
        <v>9.3744211037309882E-3</v>
      </c>
      <c r="V36" s="100">
        <f t="shared" si="70"/>
        <v>9.4664727413432577E-3</v>
      </c>
      <c r="W36" s="100">
        <f t="shared" si="70"/>
        <v>9.4267953113379675E-3</v>
      </c>
      <c r="X36" s="100">
        <f t="shared" si="70"/>
        <v>9.4220340197373326E-3</v>
      </c>
      <c r="Y36" s="100">
        <f t="shared" si="70"/>
        <v>9.4664727413432577E-3</v>
      </c>
      <c r="Z36" s="100">
        <f t="shared" si="70"/>
        <v>9.368072714930141E-3</v>
      </c>
      <c r="AA36" s="100">
        <f t="shared" si="70"/>
        <v>9.6759695717711803E-3</v>
      </c>
      <c r="AB36" s="49">
        <f t="shared" si="60"/>
        <v>1.8999603565095398E-7</v>
      </c>
      <c r="AC36" s="101">
        <f>IFERROR(s_RadSpec!$E$26*(AC26/$B36),".")</f>
        <v>4.7110170098686661E-8</v>
      </c>
      <c r="AD36" s="101">
        <f>IFERROR(s_RadSpec!$E$26*(AD26/$B36),".")</f>
        <v>4.766565411876071E-8</v>
      </c>
      <c r="AE36" s="101">
        <f>IFERROR(s_RadSpec!$E$26*(AE26/$B36),".")</f>
        <v>4.7348234678718392E-8</v>
      </c>
      <c r="AF36" s="101">
        <f>IFERROR(s_RadSpec!$E$26*(AF26/$B36),".")</f>
        <v>4.7110170098686661E-8</v>
      </c>
      <c r="AG36" s="101">
        <f>IFERROR(s_RadSpec!$E$26*(AG26/$B36),".")</f>
        <v>4.7332363706716278E-8</v>
      </c>
      <c r="AH36" s="101">
        <f>IFERROR(s_RadSpec!$E$26*(AH26/$B36),".")</f>
        <v>4.766565411876071E-8</v>
      </c>
      <c r="AI36" s="101">
        <f>IFERROR(s_RadSpec!$E$26*(AI26/$B36),".")</f>
        <v>4.7348234678718392E-8</v>
      </c>
      <c r="AJ36" s="101">
        <f>IFERROR(s_RadSpec!$E$26*(AJ26/$B36),".")</f>
        <v>4.7110170098686661E-8</v>
      </c>
      <c r="AK36" s="101">
        <f>IFERROR(s_RadSpec!$E$26*(AK26/$B36),".")</f>
        <v>4.722126690270147E-8</v>
      </c>
      <c r="AL36" s="101">
        <f>IFERROR(s_RadSpec!$E$26*(AL26/$B36),".")</f>
        <v>4.7332363706716278E-8</v>
      </c>
      <c r="AM36" s="101">
        <f>IFERROR(s_RadSpec!$E$26*(AM26/$B36),".")</f>
        <v>4.766565411876071E-8</v>
      </c>
      <c r="AN36" s="101">
        <f>IFERROR(s_RadSpec!$E$26*(AN26/$B36),".")</f>
        <v>4.7133976556689842E-8</v>
      </c>
      <c r="AO36" s="101">
        <f>IFERROR(s_RadSpec!$E$26*(AO26/$B36),".")</f>
        <v>4.7332363706716278E-8</v>
      </c>
      <c r="AP36" s="101">
        <f>IFERROR(s_RadSpec!$E$26*(AP26/$B36),".")</f>
        <v>4.7332363706716278E-8</v>
      </c>
      <c r="AQ36" s="101">
        <f>IFERROR(s_RadSpec!$E$26*(AQ26/$B36),".")</f>
        <v>4.7110170098686661E-8</v>
      </c>
      <c r="AR36" s="101">
        <f>IFERROR(s_RadSpec!$E$26*(AR26/$B36),".")</f>
        <v>4.7110170098686661E-8</v>
      </c>
      <c r="AS36" s="101">
        <f>IFERROR(s_RadSpec!$E$26*(AS26/$B36),".")</f>
        <v>4.7133976556689842E-8</v>
      </c>
      <c r="AT36" s="101">
        <f>IFERROR(s_RadSpec!$E$26*(AT26/$B36),".")</f>
        <v>4.6872105518654931E-8</v>
      </c>
      <c r="AU36" s="101">
        <f>IFERROR(s_RadSpec!$E$26*(AU26/$B36),".")</f>
        <v>4.7332363706716278E-8</v>
      </c>
      <c r="AV36" s="101">
        <f>IFERROR(s_RadSpec!$E$26*(AV26/$B36),".")</f>
        <v>4.7133976556689842E-8</v>
      </c>
      <c r="AW36" s="101">
        <f>IFERROR(s_RadSpec!$E$26*(AW26/$B36),".")</f>
        <v>4.7110170098686661E-8</v>
      </c>
      <c r="AX36" s="101">
        <f>IFERROR(s_RadSpec!$E$26*(AX26/$B36),".")</f>
        <v>4.7332363706716278E-8</v>
      </c>
      <c r="AY36" s="101">
        <f>IFERROR(s_RadSpec!$E$26*(AY26/$B36),".")</f>
        <v>4.6840363574650704E-8</v>
      </c>
      <c r="AZ36" s="101">
        <f>IFERROR(s_RadSpec!$E$26*(AZ26/$B36),".")</f>
        <v>4.8379847858855901E-8</v>
      </c>
      <c r="BA36" s="100">
        <f t="shared" si="61"/>
        <v>2.3745868669003229E-3</v>
      </c>
      <c r="BB36" s="100">
        <f t="shared" ref="BB36:BY36" si="71">IFERROR($B36/BB26,0)</f>
        <v>9.4220340197373326E-3</v>
      </c>
      <c r="BC36" s="100">
        <f t="shared" si="71"/>
        <v>9.5331308237521419E-3</v>
      </c>
      <c r="BD36" s="100">
        <f t="shared" si="71"/>
        <v>9.4696469357436804E-3</v>
      </c>
      <c r="BE36" s="100">
        <f t="shared" si="71"/>
        <v>9.4220340197373326E-3</v>
      </c>
      <c r="BF36" s="100">
        <f t="shared" si="71"/>
        <v>9.4664727413432577E-3</v>
      </c>
      <c r="BG36" s="100">
        <f t="shared" si="71"/>
        <v>9.5331308237521419E-3</v>
      </c>
      <c r="BH36" s="100">
        <f t="shared" si="71"/>
        <v>9.4696469357436804E-3</v>
      </c>
      <c r="BI36" s="100">
        <f t="shared" si="71"/>
        <v>9.4220340197373326E-3</v>
      </c>
      <c r="BJ36" s="100">
        <f t="shared" si="71"/>
        <v>9.4442533805402934E-3</v>
      </c>
      <c r="BK36" s="100">
        <f t="shared" si="71"/>
        <v>9.4664727413432577E-3</v>
      </c>
      <c r="BL36" s="100">
        <f t="shared" si="71"/>
        <v>9.5331308237521419E-3</v>
      </c>
      <c r="BM36" s="100">
        <f t="shared" si="71"/>
        <v>9.4267953113379675E-3</v>
      </c>
      <c r="BN36" s="100">
        <f t="shared" si="71"/>
        <v>9.4664727413432577E-3</v>
      </c>
      <c r="BO36" s="100">
        <f t="shared" si="71"/>
        <v>9.4664727413432577E-3</v>
      </c>
      <c r="BP36" s="100">
        <f t="shared" si="71"/>
        <v>9.4220340197373326E-3</v>
      </c>
      <c r="BQ36" s="100">
        <f t="shared" si="71"/>
        <v>9.4220340197373326E-3</v>
      </c>
      <c r="BR36" s="100">
        <f t="shared" si="71"/>
        <v>9.4267953113379675E-3</v>
      </c>
      <c r="BS36" s="100">
        <f t="shared" si="71"/>
        <v>9.3744211037309882E-3</v>
      </c>
      <c r="BT36" s="100">
        <f t="shared" si="71"/>
        <v>9.4664727413432577E-3</v>
      </c>
      <c r="BU36" s="100">
        <f t="shared" si="71"/>
        <v>9.4267953113379675E-3</v>
      </c>
      <c r="BV36" s="100">
        <f t="shared" si="71"/>
        <v>9.4220340197373326E-3</v>
      </c>
      <c r="BW36" s="100">
        <f t="shared" si="71"/>
        <v>9.4664727413432577E-3</v>
      </c>
      <c r="BX36" s="100">
        <f t="shared" si="71"/>
        <v>9.368072714930141E-3</v>
      </c>
      <c r="BY36" s="100">
        <f t="shared" si="71"/>
        <v>9.6759695717711803E-3</v>
      </c>
      <c r="BZ36" s="49">
        <f t="shared" si="63"/>
        <v>1.8999603565095398E-7</v>
      </c>
      <c r="CA36" s="101">
        <f>IFERROR(s_RadSpec!$E$26*(CA26/$B36),".")</f>
        <v>4.7110170098686661E-8</v>
      </c>
      <c r="CB36" s="101">
        <f>IFERROR(s_RadSpec!$E$26*(CB26/$B36),".")</f>
        <v>4.766565411876071E-8</v>
      </c>
      <c r="CC36" s="101">
        <f>IFERROR(s_RadSpec!$E$26*(CC26/$B36),".")</f>
        <v>4.7348234678718392E-8</v>
      </c>
      <c r="CD36" s="101">
        <f>IFERROR(s_RadSpec!$E$26*(CD26/$B36),".")</f>
        <v>4.7110170098686661E-8</v>
      </c>
      <c r="CE36" s="101">
        <f>IFERROR(s_RadSpec!$E$26*(CE26/$B36),".")</f>
        <v>4.7332363706716278E-8</v>
      </c>
      <c r="CF36" s="101">
        <f>IFERROR(s_RadSpec!$E$26*(CF26/$B36),".")</f>
        <v>4.766565411876071E-8</v>
      </c>
      <c r="CG36" s="101">
        <f>IFERROR(s_RadSpec!$E$26*(CG26/$B36),".")</f>
        <v>4.7348234678718392E-8</v>
      </c>
      <c r="CH36" s="101">
        <f>IFERROR(s_RadSpec!$E$26*(CH26/$B36),".")</f>
        <v>4.7110170098686661E-8</v>
      </c>
      <c r="CI36" s="101">
        <f>IFERROR(s_RadSpec!$E$26*(CI26/$B36),".")</f>
        <v>4.722126690270147E-8</v>
      </c>
      <c r="CJ36" s="101">
        <f>IFERROR(s_RadSpec!$E$26*(CJ26/$B36),".")</f>
        <v>4.7332363706716278E-8</v>
      </c>
      <c r="CK36" s="101">
        <f>IFERROR(s_RadSpec!$E$26*(CK26/$B36),".")</f>
        <v>4.766565411876071E-8</v>
      </c>
      <c r="CL36" s="101">
        <f>IFERROR(s_RadSpec!$E$26*(CL26/$B36),".")</f>
        <v>4.7133976556689842E-8</v>
      </c>
      <c r="CM36" s="101">
        <f>IFERROR(s_RadSpec!$E$26*(CM26/$B36),".")</f>
        <v>4.7332363706716278E-8</v>
      </c>
      <c r="CN36" s="101">
        <f>IFERROR(s_RadSpec!$E$26*(CN26/$B36),".")</f>
        <v>4.7332363706716278E-8</v>
      </c>
      <c r="CO36" s="101">
        <f>IFERROR(s_RadSpec!$E$26*(CO26/$B36),".")</f>
        <v>4.7110170098686661E-8</v>
      </c>
      <c r="CP36" s="101">
        <f>IFERROR(s_RadSpec!$E$26*(CP26/$B36),".")</f>
        <v>4.7110170098686661E-8</v>
      </c>
      <c r="CQ36" s="101">
        <f>IFERROR(s_RadSpec!$E$26*(CQ26/$B36),".")</f>
        <v>4.7133976556689842E-8</v>
      </c>
      <c r="CR36" s="101">
        <f>IFERROR(s_RadSpec!$E$26*(CR26/$B36),".")</f>
        <v>4.6872105518654931E-8</v>
      </c>
      <c r="CS36" s="101">
        <f>IFERROR(s_RadSpec!$E$26*(CS26/$B36),".")</f>
        <v>4.7332363706716278E-8</v>
      </c>
      <c r="CT36" s="101">
        <f>IFERROR(s_RadSpec!$E$26*(CT26/$B36),".")</f>
        <v>4.7133976556689842E-8</v>
      </c>
      <c r="CU36" s="101">
        <f>IFERROR(s_RadSpec!$E$26*(CU26/$B36),".")</f>
        <v>4.7110170098686661E-8</v>
      </c>
      <c r="CV36" s="101">
        <f>IFERROR(s_RadSpec!$E$26*(CV26/$B36),".")</f>
        <v>4.7332363706716278E-8</v>
      </c>
      <c r="CW36" s="101">
        <f>IFERROR(s_RadSpec!$E$26*(CW26/$B36),".")</f>
        <v>4.6840363574650704E-8</v>
      </c>
      <c r="CX36" s="101">
        <f>IFERROR(s_RadSpec!$E$26*(CX26/$B36),".")</f>
        <v>4.8379847858855901E-8</v>
      </c>
    </row>
    <row r="37" spans="1:102" x14ac:dyDescent="0.25">
      <c r="A37" s="99" t="s">
        <v>1082</v>
      </c>
      <c r="B37" s="90">
        <v>1</v>
      </c>
      <c r="C37" s="100">
        <f t="shared" si="35"/>
        <v>1.6414816033435806E-3</v>
      </c>
      <c r="D37" s="100">
        <f t="shared" ref="D37:AA37" si="72">IFERROR($B37/D22,0)</f>
        <v>5.7781620246807573E-3</v>
      </c>
      <c r="E37" s="100">
        <f t="shared" si="72"/>
        <v>1.257437506737006E-2</v>
      </c>
      <c r="F37" s="100">
        <f t="shared" si="72"/>
        <v>1.0812393908154316E-2</v>
      </c>
      <c r="G37" s="100">
        <f t="shared" si="72"/>
        <v>5.7781620246807573E-3</v>
      </c>
      <c r="H37" s="100">
        <f t="shared" si="72"/>
        <v>6.3654890777526726E-3</v>
      </c>
      <c r="I37" s="100">
        <f t="shared" si="72"/>
        <v>1.257437506737006E-2</v>
      </c>
      <c r="J37" s="100">
        <f t="shared" si="72"/>
        <v>1.0812393908154316E-2</v>
      </c>
      <c r="K37" s="100">
        <f t="shared" si="72"/>
        <v>5.7781620246807573E-3</v>
      </c>
      <c r="L37" s="100">
        <f t="shared" si="72"/>
        <v>5.1404926527741064E-3</v>
      </c>
      <c r="M37" s="100">
        <f t="shared" si="72"/>
        <v>6.3654890777526726E-3</v>
      </c>
      <c r="N37" s="100">
        <f t="shared" si="72"/>
        <v>1.257437506737006E-2</v>
      </c>
      <c r="O37" s="100">
        <f t="shared" si="72"/>
        <v>6.1137774835789945E-3</v>
      </c>
      <c r="P37" s="100">
        <f t="shared" si="72"/>
        <v>6.3654890777526726E-3</v>
      </c>
      <c r="Q37" s="100">
        <f t="shared" si="72"/>
        <v>6.3654890777526726E-3</v>
      </c>
      <c r="R37" s="100">
        <f t="shared" si="72"/>
        <v>5.7781620246807573E-3</v>
      </c>
      <c r="S37" s="100">
        <f t="shared" si="72"/>
        <v>5.7781620246807573E-3</v>
      </c>
      <c r="T37" s="100">
        <f t="shared" si="72"/>
        <v>6.1137774835789945E-3</v>
      </c>
      <c r="U37" s="100">
        <f t="shared" si="72"/>
        <v>5.8620658894053173E-3</v>
      </c>
      <c r="V37" s="100">
        <f t="shared" si="72"/>
        <v>6.3654890777526726E-3</v>
      </c>
      <c r="W37" s="100">
        <f t="shared" si="72"/>
        <v>6.1137774835789945E-3</v>
      </c>
      <c r="X37" s="100">
        <f t="shared" si="72"/>
        <v>5.7781620246807573E-3</v>
      </c>
      <c r="Y37" s="100">
        <f t="shared" si="72"/>
        <v>6.3654890777526726E-3</v>
      </c>
      <c r="Z37" s="100">
        <f t="shared" si="72"/>
        <v>5.0121197397455311E-3</v>
      </c>
      <c r="AA37" s="100">
        <f t="shared" si="72"/>
        <v>6.3654890777526726E-3</v>
      </c>
      <c r="AB37" s="49">
        <f t="shared" si="60"/>
        <v>1.4865072954774507E-7</v>
      </c>
      <c r="AC37" s="101">
        <f>IFERROR(s_RadSpec!$E$22*(AC22/$B37),".")</f>
        <v>2.8890810123403786E-8</v>
      </c>
      <c r="AD37" s="101">
        <f>IFERROR(s_RadSpec!$E$22*(AD22/$B37),".")</f>
        <v>6.2871875336850291E-8</v>
      </c>
      <c r="AE37" s="101">
        <f>IFERROR(s_RadSpec!$E$22*(AE22/$B37),".")</f>
        <v>5.4061969540771573E-8</v>
      </c>
      <c r="AF37" s="101">
        <f>IFERROR(s_RadSpec!$E$22*(AF22/$B37),".")</f>
        <v>2.8890810123403786E-8</v>
      </c>
      <c r="AG37" s="101">
        <f>IFERROR(s_RadSpec!$E$22*(AG22/$B37),".")</f>
        <v>3.1827445388763358E-8</v>
      </c>
      <c r="AH37" s="101">
        <f>IFERROR(s_RadSpec!$E$22*(AH22/$B37),".")</f>
        <v>6.2871875336850291E-8</v>
      </c>
      <c r="AI37" s="101">
        <f>IFERROR(s_RadSpec!$E$22*(AI22/$B37),".")</f>
        <v>5.4061969540771573E-8</v>
      </c>
      <c r="AJ37" s="101">
        <f>IFERROR(s_RadSpec!$E$22*(AJ22/$B37),".")</f>
        <v>2.8890810123403786E-8</v>
      </c>
      <c r="AK37" s="101">
        <f>IFERROR(s_RadSpec!$E$22*(AK22/$B37),".")</f>
        <v>2.5702463263870529E-8</v>
      </c>
      <c r="AL37" s="101">
        <f>IFERROR(s_RadSpec!$E$22*(AL22/$B37),".")</f>
        <v>3.1827445388763358E-8</v>
      </c>
      <c r="AM37" s="101">
        <f>IFERROR(s_RadSpec!$E$22*(AM22/$B37),".")</f>
        <v>6.2871875336850291E-8</v>
      </c>
      <c r="AN37" s="101">
        <f>IFERROR(s_RadSpec!$E$22*(AN22/$B37),".")</f>
        <v>3.0568887417894968E-8</v>
      </c>
      <c r="AO37" s="101">
        <f>IFERROR(s_RadSpec!$E$22*(AO22/$B37),".")</f>
        <v>3.1827445388763358E-8</v>
      </c>
      <c r="AP37" s="101">
        <f>IFERROR(s_RadSpec!$E$22*(AP22/$B37),".")</f>
        <v>3.1827445388763358E-8</v>
      </c>
      <c r="AQ37" s="101">
        <f>IFERROR(s_RadSpec!$E$22*(AQ22/$B37),".")</f>
        <v>2.8890810123403786E-8</v>
      </c>
      <c r="AR37" s="101">
        <f>IFERROR(s_RadSpec!$E$22*(AR22/$B37),".")</f>
        <v>2.8890810123403786E-8</v>
      </c>
      <c r="AS37" s="101">
        <f>IFERROR(s_RadSpec!$E$22*(AS22/$B37),".")</f>
        <v>3.0568887417894968E-8</v>
      </c>
      <c r="AT37" s="101">
        <f>IFERROR(s_RadSpec!$E$22*(AT22/$B37),".")</f>
        <v>2.9310329447026579E-8</v>
      </c>
      <c r="AU37" s="101">
        <f>IFERROR(s_RadSpec!$E$22*(AU22/$B37),".")</f>
        <v>3.1827445388763358E-8</v>
      </c>
      <c r="AV37" s="101">
        <f>IFERROR(s_RadSpec!$E$22*(AV22/$B37),".")</f>
        <v>3.0568887417894968E-8</v>
      </c>
      <c r="AW37" s="101">
        <f>IFERROR(s_RadSpec!$E$22*(AW22/$B37),".")</f>
        <v>2.8890810123403786E-8</v>
      </c>
      <c r="AX37" s="101">
        <f>IFERROR(s_RadSpec!$E$22*(AX22/$B37),".")</f>
        <v>3.1827445388763358E-8</v>
      </c>
      <c r="AY37" s="101">
        <f>IFERROR(s_RadSpec!$E$22*(AY22/$B37),".")</f>
        <v>2.5060598698727652E-8</v>
      </c>
      <c r="AZ37" s="101">
        <f>IFERROR(s_RadSpec!$E$22*(AZ22/$B37),".")</f>
        <v>3.1827445388763358E-8</v>
      </c>
      <c r="BA37" s="100">
        <f t="shared" si="61"/>
        <v>1.6414816033435806E-3</v>
      </c>
      <c r="BB37" s="100">
        <f t="shared" ref="BB37:BY37" si="73">IFERROR($B37/BB22,0)</f>
        <v>5.7781620246807573E-3</v>
      </c>
      <c r="BC37" s="100">
        <f t="shared" si="73"/>
        <v>1.257437506737006E-2</v>
      </c>
      <c r="BD37" s="100">
        <f t="shared" si="73"/>
        <v>1.0812393908154316E-2</v>
      </c>
      <c r="BE37" s="100">
        <f t="shared" si="73"/>
        <v>5.7781620246807573E-3</v>
      </c>
      <c r="BF37" s="100">
        <f t="shared" si="73"/>
        <v>6.3654890777526726E-3</v>
      </c>
      <c r="BG37" s="100">
        <f t="shared" si="73"/>
        <v>1.257437506737006E-2</v>
      </c>
      <c r="BH37" s="100">
        <f t="shared" si="73"/>
        <v>1.0812393908154316E-2</v>
      </c>
      <c r="BI37" s="100">
        <f t="shared" si="73"/>
        <v>5.7781620246807573E-3</v>
      </c>
      <c r="BJ37" s="100">
        <f t="shared" si="73"/>
        <v>5.1404926527741064E-3</v>
      </c>
      <c r="BK37" s="100">
        <f t="shared" si="73"/>
        <v>6.3654890777526726E-3</v>
      </c>
      <c r="BL37" s="100">
        <f t="shared" si="73"/>
        <v>1.257437506737006E-2</v>
      </c>
      <c r="BM37" s="100">
        <f t="shared" si="73"/>
        <v>6.1137774835789945E-3</v>
      </c>
      <c r="BN37" s="100">
        <f t="shared" si="73"/>
        <v>6.3654890777526726E-3</v>
      </c>
      <c r="BO37" s="100">
        <f t="shared" si="73"/>
        <v>6.3654890777526726E-3</v>
      </c>
      <c r="BP37" s="100">
        <f t="shared" si="73"/>
        <v>5.7781620246807573E-3</v>
      </c>
      <c r="BQ37" s="100">
        <f t="shared" si="73"/>
        <v>5.7781620246807573E-3</v>
      </c>
      <c r="BR37" s="100">
        <f t="shared" si="73"/>
        <v>6.1137774835789945E-3</v>
      </c>
      <c r="BS37" s="100">
        <f t="shared" si="73"/>
        <v>5.8620658894053173E-3</v>
      </c>
      <c r="BT37" s="100">
        <f t="shared" si="73"/>
        <v>6.3654890777526726E-3</v>
      </c>
      <c r="BU37" s="100">
        <f t="shared" si="73"/>
        <v>6.1137774835789945E-3</v>
      </c>
      <c r="BV37" s="100">
        <f t="shared" si="73"/>
        <v>5.7781620246807573E-3</v>
      </c>
      <c r="BW37" s="100">
        <f t="shared" si="73"/>
        <v>6.3654890777526726E-3</v>
      </c>
      <c r="BX37" s="100">
        <f t="shared" si="73"/>
        <v>5.0121197397455311E-3</v>
      </c>
      <c r="BY37" s="100">
        <f t="shared" si="73"/>
        <v>6.3654890777526726E-3</v>
      </c>
      <c r="BZ37" s="49">
        <f t="shared" si="63"/>
        <v>1.4865072954774507E-7</v>
      </c>
      <c r="CA37" s="101">
        <f>IFERROR(s_RadSpec!$E$22*(CA22/$B37),".")</f>
        <v>2.8890810123403786E-8</v>
      </c>
      <c r="CB37" s="101">
        <f>IFERROR(s_RadSpec!$E$22*(CB22/$B37),".")</f>
        <v>6.2871875336850291E-8</v>
      </c>
      <c r="CC37" s="101">
        <f>IFERROR(s_RadSpec!$E$22*(CC22/$B37),".")</f>
        <v>5.4061969540771573E-8</v>
      </c>
      <c r="CD37" s="101">
        <f>IFERROR(s_RadSpec!$E$22*(CD22/$B37),".")</f>
        <v>2.8890810123403786E-8</v>
      </c>
      <c r="CE37" s="101">
        <f>IFERROR(s_RadSpec!$E$22*(CE22/$B37),".")</f>
        <v>3.1827445388763358E-8</v>
      </c>
      <c r="CF37" s="101">
        <f>IFERROR(s_RadSpec!$E$22*(CF22/$B37),".")</f>
        <v>6.2871875336850291E-8</v>
      </c>
      <c r="CG37" s="101">
        <f>IFERROR(s_RadSpec!$E$22*(CG22/$B37),".")</f>
        <v>5.4061969540771573E-8</v>
      </c>
      <c r="CH37" s="101">
        <f>IFERROR(s_RadSpec!$E$22*(CH22/$B37),".")</f>
        <v>2.8890810123403786E-8</v>
      </c>
      <c r="CI37" s="101">
        <f>IFERROR(s_RadSpec!$E$22*(CI22/$B37),".")</f>
        <v>2.5702463263870529E-8</v>
      </c>
      <c r="CJ37" s="101">
        <f>IFERROR(s_RadSpec!$E$22*(CJ22/$B37),".")</f>
        <v>3.1827445388763358E-8</v>
      </c>
      <c r="CK37" s="101">
        <f>IFERROR(s_RadSpec!$E$22*(CK22/$B37),".")</f>
        <v>6.2871875336850291E-8</v>
      </c>
      <c r="CL37" s="101">
        <f>IFERROR(s_RadSpec!$E$22*(CL22/$B37),".")</f>
        <v>3.0568887417894968E-8</v>
      </c>
      <c r="CM37" s="101">
        <f>IFERROR(s_RadSpec!$E$22*(CM22/$B37),".")</f>
        <v>3.1827445388763358E-8</v>
      </c>
      <c r="CN37" s="101">
        <f>IFERROR(s_RadSpec!$E$22*(CN22/$B37),".")</f>
        <v>3.1827445388763358E-8</v>
      </c>
      <c r="CO37" s="101">
        <f>IFERROR(s_RadSpec!$E$22*(CO22/$B37),".")</f>
        <v>2.8890810123403786E-8</v>
      </c>
      <c r="CP37" s="101">
        <f>IFERROR(s_RadSpec!$E$22*(CP22/$B37),".")</f>
        <v>2.8890810123403786E-8</v>
      </c>
      <c r="CQ37" s="101">
        <f>IFERROR(s_RadSpec!$E$22*(CQ22/$B37),".")</f>
        <v>3.0568887417894968E-8</v>
      </c>
      <c r="CR37" s="101">
        <f>IFERROR(s_RadSpec!$E$22*(CR22/$B37),".")</f>
        <v>2.9310329447026579E-8</v>
      </c>
      <c r="CS37" s="101">
        <f>IFERROR(s_RadSpec!$E$22*(CS22/$B37),".")</f>
        <v>3.1827445388763358E-8</v>
      </c>
      <c r="CT37" s="101">
        <f>IFERROR(s_RadSpec!$E$22*(CT22/$B37),".")</f>
        <v>3.0568887417894968E-8</v>
      </c>
      <c r="CU37" s="101">
        <f>IFERROR(s_RadSpec!$E$22*(CU22/$B37),".")</f>
        <v>2.8890810123403786E-8</v>
      </c>
      <c r="CV37" s="101">
        <f>IFERROR(s_RadSpec!$E$22*(CV22/$B37),".")</f>
        <v>3.1827445388763358E-8</v>
      </c>
      <c r="CW37" s="101">
        <f>IFERROR(s_RadSpec!$E$22*(CW22/$B37),".")</f>
        <v>2.5060598698727652E-8</v>
      </c>
      <c r="CX37" s="101">
        <f>IFERROR(s_RadSpec!$E$22*(CX22/$B37),".")</f>
        <v>3.1827445388763358E-8</v>
      </c>
    </row>
    <row r="38" spans="1:102" x14ac:dyDescent="0.25">
      <c r="A38" s="99" t="s">
        <v>1083</v>
      </c>
      <c r="B38" s="90">
        <v>1</v>
      </c>
      <c r="C38" s="100">
        <f t="shared" si="35"/>
        <v>2.2210252986417092E-3</v>
      </c>
      <c r="D38" s="100">
        <f t="shared" ref="D38:AA38" si="74">IFERROR($B38/D2,0)</f>
        <v>8.8841011945668368E-3</v>
      </c>
      <c r="E38" s="100">
        <f t="shared" si="74"/>
        <v>8.8841011945668368E-3</v>
      </c>
      <c r="F38" s="100">
        <f t="shared" si="74"/>
        <v>8.8841011945668368E-3</v>
      </c>
      <c r="G38" s="100">
        <f t="shared" si="74"/>
        <v>8.8841011945668368E-3</v>
      </c>
      <c r="H38" s="100">
        <f t="shared" si="74"/>
        <v>8.8841011945668368E-3</v>
      </c>
      <c r="I38" s="100">
        <f t="shared" si="74"/>
        <v>8.8841011945668368E-3</v>
      </c>
      <c r="J38" s="100">
        <f t="shared" si="74"/>
        <v>8.8841011945668368E-3</v>
      </c>
      <c r="K38" s="100">
        <f t="shared" si="74"/>
        <v>8.8841011945668368E-3</v>
      </c>
      <c r="L38" s="100">
        <f t="shared" si="74"/>
        <v>8.8841011945668368E-3</v>
      </c>
      <c r="M38" s="100">
        <f t="shared" si="74"/>
        <v>8.8841011945668368E-3</v>
      </c>
      <c r="N38" s="100">
        <f t="shared" si="74"/>
        <v>8.8841011945668368E-3</v>
      </c>
      <c r="O38" s="100">
        <f t="shared" si="74"/>
        <v>8.8841011945668368E-3</v>
      </c>
      <c r="P38" s="100">
        <f t="shared" si="74"/>
        <v>8.8841011945668368E-3</v>
      </c>
      <c r="Q38" s="100">
        <f t="shared" si="74"/>
        <v>8.8841011945668368E-3</v>
      </c>
      <c r="R38" s="100">
        <f t="shared" si="74"/>
        <v>8.8841011945668368E-3</v>
      </c>
      <c r="S38" s="100">
        <f t="shared" si="74"/>
        <v>8.8841011945668368E-3</v>
      </c>
      <c r="T38" s="100">
        <f t="shared" si="74"/>
        <v>8.8841011945668368E-3</v>
      </c>
      <c r="U38" s="100">
        <f t="shared" si="74"/>
        <v>8.8841011945668368E-3</v>
      </c>
      <c r="V38" s="100">
        <f t="shared" si="74"/>
        <v>8.8841011945668368E-3</v>
      </c>
      <c r="W38" s="100">
        <f t="shared" si="74"/>
        <v>8.8841011945668368E-3</v>
      </c>
      <c r="X38" s="100">
        <f t="shared" si="74"/>
        <v>8.8841011945668368E-3</v>
      </c>
      <c r="Y38" s="100">
        <f t="shared" si="74"/>
        <v>8.8841011945668368E-3</v>
      </c>
      <c r="Z38" s="100">
        <f t="shared" si="74"/>
        <v>8.8841011945668368E-3</v>
      </c>
      <c r="AA38" s="100">
        <f t="shared" si="74"/>
        <v>8.8841011945668368E-3</v>
      </c>
      <c r="AB38" s="49">
        <f t="shared" si="60"/>
        <v>1.7768202389133668E-7</v>
      </c>
      <c r="AC38" s="101">
        <f>IFERROR(s_RadSpec!$E$2*(AC2/$B38),".")</f>
        <v>4.442050597283417E-8</v>
      </c>
      <c r="AD38" s="101">
        <f>IFERROR(s_RadSpec!$E$2*(AD2/$B38),".")</f>
        <v>4.442050597283417E-8</v>
      </c>
      <c r="AE38" s="101">
        <f>IFERROR(s_RadSpec!$E$2*(AE2/$B38),".")</f>
        <v>4.442050597283417E-8</v>
      </c>
      <c r="AF38" s="101">
        <f>IFERROR(s_RadSpec!$E$2*(AF2/$B38),".")</f>
        <v>4.442050597283417E-8</v>
      </c>
      <c r="AG38" s="101">
        <f>IFERROR(s_RadSpec!$E$2*(AG2/$B38),".")</f>
        <v>4.442050597283417E-8</v>
      </c>
      <c r="AH38" s="101">
        <f>IFERROR(s_RadSpec!$E$2*(AH2/$B38),".")</f>
        <v>4.442050597283417E-8</v>
      </c>
      <c r="AI38" s="101">
        <f>IFERROR(s_RadSpec!$E$2*(AI2/$B38),".")</f>
        <v>4.442050597283417E-8</v>
      </c>
      <c r="AJ38" s="101">
        <f>IFERROR(s_RadSpec!$E$2*(AJ2/$B38),".")</f>
        <v>4.442050597283417E-8</v>
      </c>
      <c r="AK38" s="101">
        <f>IFERROR(s_RadSpec!$E$2*(AK2/$B38),".")</f>
        <v>4.442050597283417E-8</v>
      </c>
      <c r="AL38" s="101">
        <f>IFERROR(s_RadSpec!$E$2*(AL2/$B38),".")</f>
        <v>4.442050597283417E-8</v>
      </c>
      <c r="AM38" s="101">
        <f>IFERROR(s_RadSpec!$E$2*(AM2/$B38),".")</f>
        <v>4.442050597283417E-8</v>
      </c>
      <c r="AN38" s="101">
        <f>IFERROR(s_RadSpec!$E$2*(AN2/$B38),".")</f>
        <v>4.442050597283417E-8</v>
      </c>
      <c r="AO38" s="101">
        <f>IFERROR(s_RadSpec!$E$2*(AO2/$B38),".")</f>
        <v>4.442050597283417E-8</v>
      </c>
      <c r="AP38" s="101">
        <f>IFERROR(s_RadSpec!$E$2*(AP2/$B38),".")</f>
        <v>4.442050597283417E-8</v>
      </c>
      <c r="AQ38" s="101">
        <f>IFERROR(s_RadSpec!$E$2*(AQ2/$B38),".")</f>
        <v>4.442050597283417E-8</v>
      </c>
      <c r="AR38" s="101">
        <f>IFERROR(s_RadSpec!$E$2*(AR2/$B38),".")</f>
        <v>4.442050597283417E-8</v>
      </c>
      <c r="AS38" s="101">
        <f>IFERROR(s_RadSpec!$E$2*(AS2/$B38),".")</f>
        <v>4.442050597283417E-8</v>
      </c>
      <c r="AT38" s="101">
        <f>IFERROR(s_RadSpec!$E$2*(AT2/$B38),".")</f>
        <v>4.442050597283417E-8</v>
      </c>
      <c r="AU38" s="101">
        <f>IFERROR(s_RadSpec!$E$2*(AU2/$B38),".")</f>
        <v>4.442050597283417E-8</v>
      </c>
      <c r="AV38" s="101">
        <f>IFERROR(s_RadSpec!$E$2*(AV2/$B38),".")</f>
        <v>4.442050597283417E-8</v>
      </c>
      <c r="AW38" s="101">
        <f>IFERROR(s_RadSpec!$E$2*(AW2/$B38),".")</f>
        <v>4.442050597283417E-8</v>
      </c>
      <c r="AX38" s="101">
        <f>IFERROR(s_RadSpec!$E$2*(AX2/$B38),".")</f>
        <v>4.442050597283417E-8</v>
      </c>
      <c r="AY38" s="101">
        <f>IFERROR(s_RadSpec!$E$2*(AY2/$B38),".")</f>
        <v>4.442050597283417E-8</v>
      </c>
      <c r="AZ38" s="101">
        <f>IFERROR(s_RadSpec!$E$2*(AZ2/$B38),".")</f>
        <v>4.442050597283417E-8</v>
      </c>
      <c r="BA38" s="100">
        <f t="shared" si="61"/>
        <v>2.2210252986417092E-3</v>
      </c>
      <c r="BB38" s="100">
        <f t="shared" ref="BB38:BY38" si="75">IFERROR($B38/BB2,0)</f>
        <v>8.8841011945668368E-3</v>
      </c>
      <c r="BC38" s="100">
        <f t="shared" si="75"/>
        <v>8.8841011945668368E-3</v>
      </c>
      <c r="BD38" s="100">
        <f t="shared" si="75"/>
        <v>8.8841011945668368E-3</v>
      </c>
      <c r="BE38" s="100">
        <f t="shared" si="75"/>
        <v>8.8841011945668368E-3</v>
      </c>
      <c r="BF38" s="100">
        <f t="shared" si="75"/>
        <v>8.8841011945668368E-3</v>
      </c>
      <c r="BG38" s="100">
        <f t="shared" si="75"/>
        <v>8.8841011945668368E-3</v>
      </c>
      <c r="BH38" s="100">
        <f t="shared" si="75"/>
        <v>8.8841011945668368E-3</v>
      </c>
      <c r="BI38" s="100">
        <f t="shared" si="75"/>
        <v>8.8841011945668368E-3</v>
      </c>
      <c r="BJ38" s="100">
        <f t="shared" si="75"/>
        <v>8.8841011945668368E-3</v>
      </c>
      <c r="BK38" s="100">
        <f t="shared" si="75"/>
        <v>8.8841011945668368E-3</v>
      </c>
      <c r="BL38" s="100">
        <f t="shared" si="75"/>
        <v>8.8841011945668368E-3</v>
      </c>
      <c r="BM38" s="100">
        <f t="shared" si="75"/>
        <v>8.8841011945668368E-3</v>
      </c>
      <c r="BN38" s="100">
        <f t="shared" si="75"/>
        <v>8.8841011945668368E-3</v>
      </c>
      <c r="BO38" s="100">
        <f t="shared" si="75"/>
        <v>8.8841011945668368E-3</v>
      </c>
      <c r="BP38" s="100">
        <f t="shared" si="75"/>
        <v>8.8841011945668368E-3</v>
      </c>
      <c r="BQ38" s="100">
        <f t="shared" si="75"/>
        <v>8.8841011945668368E-3</v>
      </c>
      <c r="BR38" s="100">
        <f t="shared" si="75"/>
        <v>8.8841011945668368E-3</v>
      </c>
      <c r="BS38" s="100">
        <f t="shared" si="75"/>
        <v>8.8841011945668368E-3</v>
      </c>
      <c r="BT38" s="100">
        <f t="shared" si="75"/>
        <v>8.8841011945668368E-3</v>
      </c>
      <c r="BU38" s="100">
        <f t="shared" si="75"/>
        <v>8.8841011945668368E-3</v>
      </c>
      <c r="BV38" s="100">
        <f t="shared" si="75"/>
        <v>8.8841011945668368E-3</v>
      </c>
      <c r="BW38" s="100">
        <f t="shared" si="75"/>
        <v>8.8841011945668368E-3</v>
      </c>
      <c r="BX38" s="100">
        <f t="shared" si="75"/>
        <v>8.8841011945668368E-3</v>
      </c>
      <c r="BY38" s="100">
        <f t="shared" si="75"/>
        <v>8.8841011945668368E-3</v>
      </c>
      <c r="BZ38" s="49">
        <f t="shared" si="63"/>
        <v>1.7768202389133668E-7</v>
      </c>
      <c r="CA38" s="101">
        <f>IFERROR(s_RadSpec!$E$2*(CA2/$B38),".")</f>
        <v>4.442050597283417E-8</v>
      </c>
      <c r="CB38" s="101">
        <f>IFERROR(s_RadSpec!$E$2*(CB2/$B38),".")</f>
        <v>4.442050597283417E-8</v>
      </c>
      <c r="CC38" s="101">
        <f>IFERROR(s_RadSpec!$E$2*(CC2/$B38),".")</f>
        <v>4.442050597283417E-8</v>
      </c>
      <c r="CD38" s="101">
        <f>IFERROR(s_RadSpec!$E$2*(CD2/$B38),".")</f>
        <v>4.442050597283417E-8</v>
      </c>
      <c r="CE38" s="101">
        <f>IFERROR(s_RadSpec!$E$2*(CE2/$B38),".")</f>
        <v>4.442050597283417E-8</v>
      </c>
      <c r="CF38" s="101">
        <f>IFERROR(s_RadSpec!$E$2*(CF2/$B38),".")</f>
        <v>4.442050597283417E-8</v>
      </c>
      <c r="CG38" s="101">
        <f>IFERROR(s_RadSpec!$E$2*(CG2/$B38),".")</f>
        <v>4.442050597283417E-8</v>
      </c>
      <c r="CH38" s="101">
        <f>IFERROR(s_RadSpec!$E$2*(CH2/$B38),".")</f>
        <v>4.442050597283417E-8</v>
      </c>
      <c r="CI38" s="101">
        <f>IFERROR(s_RadSpec!$E$2*(CI2/$B38),".")</f>
        <v>4.442050597283417E-8</v>
      </c>
      <c r="CJ38" s="101">
        <f>IFERROR(s_RadSpec!$E$2*(CJ2/$B38),".")</f>
        <v>4.442050597283417E-8</v>
      </c>
      <c r="CK38" s="101">
        <f>IFERROR(s_RadSpec!$E$2*(CK2/$B38),".")</f>
        <v>4.442050597283417E-8</v>
      </c>
      <c r="CL38" s="101">
        <f>IFERROR(s_RadSpec!$E$2*(CL2/$B38),".")</f>
        <v>4.442050597283417E-8</v>
      </c>
      <c r="CM38" s="101">
        <f>IFERROR(s_RadSpec!$E$2*(CM2/$B38),".")</f>
        <v>4.442050597283417E-8</v>
      </c>
      <c r="CN38" s="101">
        <f>IFERROR(s_RadSpec!$E$2*(CN2/$B38),".")</f>
        <v>4.442050597283417E-8</v>
      </c>
      <c r="CO38" s="101">
        <f>IFERROR(s_RadSpec!$E$2*(CO2/$B38),".")</f>
        <v>4.442050597283417E-8</v>
      </c>
      <c r="CP38" s="101">
        <f>IFERROR(s_RadSpec!$E$2*(CP2/$B38),".")</f>
        <v>4.442050597283417E-8</v>
      </c>
      <c r="CQ38" s="101">
        <f>IFERROR(s_RadSpec!$E$2*(CQ2/$B38),".")</f>
        <v>4.442050597283417E-8</v>
      </c>
      <c r="CR38" s="101">
        <f>IFERROR(s_RadSpec!$E$2*(CR2/$B38),".")</f>
        <v>4.442050597283417E-8</v>
      </c>
      <c r="CS38" s="101">
        <f>IFERROR(s_RadSpec!$E$2*(CS2/$B38),".")</f>
        <v>4.442050597283417E-8</v>
      </c>
      <c r="CT38" s="101">
        <f>IFERROR(s_RadSpec!$E$2*(CT2/$B38),".")</f>
        <v>4.442050597283417E-8</v>
      </c>
      <c r="CU38" s="101">
        <f>IFERROR(s_RadSpec!$E$2*(CU2/$B38),".")</f>
        <v>4.442050597283417E-8</v>
      </c>
      <c r="CV38" s="101">
        <f>IFERROR(s_RadSpec!$E$2*(CV2/$B38),".")</f>
        <v>4.442050597283417E-8</v>
      </c>
      <c r="CW38" s="101">
        <f>IFERROR(s_RadSpec!$E$2*(CW2/$B38),".")</f>
        <v>4.442050597283417E-8</v>
      </c>
      <c r="CX38" s="101">
        <f>IFERROR(s_RadSpec!$E$2*(CX2/$B38),".")</f>
        <v>4.442050597283417E-8</v>
      </c>
    </row>
    <row r="39" spans="1:102" x14ac:dyDescent="0.25">
      <c r="A39" s="99" t="s">
        <v>1084</v>
      </c>
      <c r="B39" s="90">
        <v>1</v>
      </c>
      <c r="C39" s="100" t="str">
        <f t="shared" si="35"/>
        <v>.</v>
      </c>
      <c r="D39" s="100">
        <f t="shared" ref="D39:AA39" si="76">IFERROR($B39/D11,0)</f>
        <v>0</v>
      </c>
      <c r="E39" s="100">
        <f t="shared" si="76"/>
        <v>0</v>
      </c>
      <c r="F39" s="100">
        <f t="shared" si="76"/>
        <v>0</v>
      </c>
      <c r="G39" s="100">
        <f t="shared" si="76"/>
        <v>0</v>
      </c>
      <c r="H39" s="100">
        <f t="shared" si="76"/>
        <v>0</v>
      </c>
      <c r="I39" s="100">
        <f t="shared" si="76"/>
        <v>0</v>
      </c>
      <c r="J39" s="100">
        <f t="shared" si="76"/>
        <v>0</v>
      </c>
      <c r="K39" s="100">
        <f t="shared" si="76"/>
        <v>0</v>
      </c>
      <c r="L39" s="100">
        <f t="shared" si="76"/>
        <v>0</v>
      </c>
      <c r="M39" s="100">
        <f t="shared" si="76"/>
        <v>0</v>
      </c>
      <c r="N39" s="100">
        <f t="shared" si="76"/>
        <v>0</v>
      </c>
      <c r="O39" s="100">
        <f t="shared" si="76"/>
        <v>0</v>
      </c>
      <c r="P39" s="100">
        <f t="shared" si="76"/>
        <v>0</v>
      </c>
      <c r="Q39" s="100">
        <f t="shared" si="76"/>
        <v>0</v>
      </c>
      <c r="R39" s="100">
        <f t="shared" si="76"/>
        <v>0</v>
      </c>
      <c r="S39" s="100">
        <f t="shared" si="76"/>
        <v>0</v>
      </c>
      <c r="T39" s="100">
        <f t="shared" si="76"/>
        <v>0</v>
      </c>
      <c r="U39" s="100">
        <f t="shared" si="76"/>
        <v>0</v>
      </c>
      <c r="V39" s="100">
        <f t="shared" si="76"/>
        <v>0</v>
      </c>
      <c r="W39" s="100">
        <f t="shared" si="76"/>
        <v>0</v>
      </c>
      <c r="X39" s="100">
        <f t="shared" si="76"/>
        <v>0</v>
      </c>
      <c r="Y39" s="100">
        <f t="shared" si="76"/>
        <v>0</v>
      </c>
      <c r="Z39" s="100">
        <f t="shared" si="76"/>
        <v>0</v>
      </c>
      <c r="AA39" s="100">
        <f t="shared" si="76"/>
        <v>0</v>
      </c>
      <c r="AB39" s="49">
        <f t="shared" si="60"/>
        <v>0</v>
      </c>
      <c r="AC39" s="101">
        <f>IFERROR(s_RadSpec!$E$11*(AC11/$B39),".")</f>
        <v>0</v>
      </c>
      <c r="AD39" s="101">
        <f>IFERROR(s_RadSpec!$E$11*(AD11/$B39),".")</f>
        <v>0</v>
      </c>
      <c r="AE39" s="101">
        <f>IFERROR(s_RadSpec!$E$11*(AE11/$B39),".")</f>
        <v>0</v>
      </c>
      <c r="AF39" s="101">
        <f>IFERROR(s_RadSpec!$E$11*(AF11/$B39),".")</f>
        <v>0</v>
      </c>
      <c r="AG39" s="101">
        <f>IFERROR(s_RadSpec!$E$11*(AG11/$B39),".")</f>
        <v>0</v>
      </c>
      <c r="AH39" s="101">
        <f>IFERROR(s_RadSpec!$E$11*(AH11/$B39),".")</f>
        <v>0</v>
      </c>
      <c r="AI39" s="101">
        <f>IFERROR(s_RadSpec!$E$11*(AI11/$B39),".")</f>
        <v>0</v>
      </c>
      <c r="AJ39" s="101">
        <f>IFERROR(s_RadSpec!$E$11*(AJ11/$B39),".")</f>
        <v>0</v>
      </c>
      <c r="AK39" s="101">
        <f>IFERROR(s_RadSpec!$E$11*(AK11/$B39),".")</f>
        <v>0</v>
      </c>
      <c r="AL39" s="101">
        <f>IFERROR(s_RadSpec!$E$11*(AL11/$B39),".")</f>
        <v>0</v>
      </c>
      <c r="AM39" s="101">
        <f>IFERROR(s_RadSpec!$E$11*(AM11/$B39),".")</f>
        <v>0</v>
      </c>
      <c r="AN39" s="101">
        <f>IFERROR(s_RadSpec!$E$11*(AN11/$B39),".")</f>
        <v>0</v>
      </c>
      <c r="AO39" s="101">
        <f>IFERROR(s_RadSpec!$E$11*(AO11/$B39),".")</f>
        <v>0</v>
      </c>
      <c r="AP39" s="101">
        <f>IFERROR(s_RadSpec!$E$11*(AP11/$B39),".")</f>
        <v>0</v>
      </c>
      <c r="AQ39" s="101">
        <f>IFERROR(s_RadSpec!$E$11*(AQ11/$B39),".")</f>
        <v>0</v>
      </c>
      <c r="AR39" s="101">
        <f>IFERROR(s_RadSpec!$E$11*(AR11/$B39),".")</f>
        <v>0</v>
      </c>
      <c r="AS39" s="101">
        <f>IFERROR(s_RadSpec!$E$11*(AS11/$B39),".")</f>
        <v>0</v>
      </c>
      <c r="AT39" s="101">
        <f>IFERROR(s_RadSpec!$E$11*(AT11/$B39),".")</f>
        <v>0</v>
      </c>
      <c r="AU39" s="101">
        <f>IFERROR(s_RadSpec!$E$11*(AU11/$B39),".")</f>
        <v>0</v>
      </c>
      <c r="AV39" s="101">
        <f>IFERROR(s_RadSpec!$E$11*(AV11/$B39),".")</f>
        <v>0</v>
      </c>
      <c r="AW39" s="101">
        <f>IFERROR(s_RadSpec!$E$11*(AW11/$B39),".")</f>
        <v>0</v>
      </c>
      <c r="AX39" s="101">
        <f>IFERROR(s_RadSpec!$E$11*(AX11/$B39),".")</f>
        <v>0</v>
      </c>
      <c r="AY39" s="101">
        <f>IFERROR(s_RadSpec!$E$11*(AY11/$B39),".")</f>
        <v>0</v>
      </c>
      <c r="AZ39" s="101">
        <f>IFERROR(s_RadSpec!$E$11*(AZ11/$B39),".")</f>
        <v>0</v>
      </c>
      <c r="BA39" s="100" t="str">
        <f t="shared" si="61"/>
        <v>.</v>
      </c>
      <c r="BB39" s="100">
        <f t="shared" ref="BB39:BY39" si="77">IFERROR($B39/BB11,0)</f>
        <v>0</v>
      </c>
      <c r="BC39" s="100">
        <f t="shared" si="77"/>
        <v>0</v>
      </c>
      <c r="BD39" s="100">
        <f t="shared" si="77"/>
        <v>0</v>
      </c>
      <c r="BE39" s="100">
        <f t="shared" si="77"/>
        <v>0</v>
      </c>
      <c r="BF39" s="100">
        <f t="shared" si="77"/>
        <v>0</v>
      </c>
      <c r="BG39" s="100">
        <f t="shared" si="77"/>
        <v>0</v>
      </c>
      <c r="BH39" s="100">
        <f t="shared" si="77"/>
        <v>0</v>
      </c>
      <c r="BI39" s="100">
        <f t="shared" si="77"/>
        <v>0</v>
      </c>
      <c r="BJ39" s="100">
        <f t="shared" si="77"/>
        <v>0</v>
      </c>
      <c r="BK39" s="100">
        <f t="shared" si="77"/>
        <v>0</v>
      </c>
      <c r="BL39" s="100">
        <f t="shared" si="77"/>
        <v>0</v>
      </c>
      <c r="BM39" s="100">
        <f t="shared" si="77"/>
        <v>0</v>
      </c>
      <c r="BN39" s="100">
        <f t="shared" si="77"/>
        <v>0</v>
      </c>
      <c r="BO39" s="100">
        <f t="shared" si="77"/>
        <v>0</v>
      </c>
      <c r="BP39" s="100">
        <f t="shared" si="77"/>
        <v>0</v>
      </c>
      <c r="BQ39" s="100">
        <f t="shared" si="77"/>
        <v>0</v>
      </c>
      <c r="BR39" s="100">
        <f t="shared" si="77"/>
        <v>0</v>
      </c>
      <c r="BS39" s="100">
        <f t="shared" si="77"/>
        <v>0</v>
      </c>
      <c r="BT39" s="100">
        <f t="shared" si="77"/>
        <v>0</v>
      </c>
      <c r="BU39" s="100">
        <f t="shared" si="77"/>
        <v>0</v>
      </c>
      <c r="BV39" s="100">
        <f t="shared" si="77"/>
        <v>0</v>
      </c>
      <c r="BW39" s="100">
        <f t="shared" si="77"/>
        <v>0</v>
      </c>
      <c r="BX39" s="100">
        <f t="shared" si="77"/>
        <v>0</v>
      </c>
      <c r="BY39" s="100">
        <f t="shared" si="77"/>
        <v>0</v>
      </c>
      <c r="BZ39" s="49">
        <f t="shared" si="63"/>
        <v>0</v>
      </c>
      <c r="CA39" s="101">
        <f>IFERROR(s_RadSpec!$E$11*(CA11/$B39),".")</f>
        <v>0</v>
      </c>
      <c r="CB39" s="101">
        <f>IFERROR(s_RadSpec!$E$11*(CB11/$B39),".")</f>
        <v>0</v>
      </c>
      <c r="CC39" s="101">
        <f>IFERROR(s_RadSpec!$E$11*(CC11/$B39),".")</f>
        <v>0</v>
      </c>
      <c r="CD39" s="101">
        <f>IFERROR(s_RadSpec!$E$11*(CD11/$B39),".")</f>
        <v>0</v>
      </c>
      <c r="CE39" s="101">
        <f>IFERROR(s_RadSpec!$E$11*(CE11/$B39),".")</f>
        <v>0</v>
      </c>
      <c r="CF39" s="101">
        <f>IFERROR(s_RadSpec!$E$11*(CF11/$B39),".")</f>
        <v>0</v>
      </c>
      <c r="CG39" s="101">
        <f>IFERROR(s_RadSpec!$E$11*(CG11/$B39),".")</f>
        <v>0</v>
      </c>
      <c r="CH39" s="101">
        <f>IFERROR(s_RadSpec!$E$11*(CH11/$B39),".")</f>
        <v>0</v>
      </c>
      <c r="CI39" s="101">
        <f>IFERROR(s_RadSpec!$E$11*(CI11/$B39),".")</f>
        <v>0</v>
      </c>
      <c r="CJ39" s="101">
        <f>IFERROR(s_RadSpec!$E$11*(CJ11/$B39),".")</f>
        <v>0</v>
      </c>
      <c r="CK39" s="101">
        <f>IFERROR(s_RadSpec!$E$11*(CK11/$B39),".")</f>
        <v>0</v>
      </c>
      <c r="CL39" s="101">
        <f>IFERROR(s_RadSpec!$E$11*(CL11/$B39),".")</f>
        <v>0</v>
      </c>
      <c r="CM39" s="101">
        <f>IFERROR(s_RadSpec!$E$11*(CM11/$B39),".")</f>
        <v>0</v>
      </c>
      <c r="CN39" s="101">
        <f>IFERROR(s_RadSpec!$E$11*(CN11/$B39),".")</f>
        <v>0</v>
      </c>
      <c r="CO39" s="101">
        <f>IFERROR(s_RadSpec!$E$11*(CO11/$B39),".")</f>
        <v>0</v>
      </c>
      <c r="CP39" s="101">
        <f>IFERROR(s_RadSpec!$E$11*(CP11/$B39),".")</f>
        <v>0</v>
      </c>
      <c r="CQ39" s="101">
        <f>IFERROR(s_RadSpec!$E$11*(CQ11/$B39),".")</f>
        <v>0</v>
      </c>
      <c r="CR39" s="101">
        <f>IFERROR(s_RadSpec!$E$11*(CR11/$B39),".")</f>
        <v>0</v>
      </c>
      <c r="CS39" s="101">
        <f>IFERROR(s_RadSpec!$E$11*(CS11/$B39),".")</f>
        <v>0</v>
      </c>
      <c r="CT39" s="101">
        <f>IFERROR(s_RadSpec!$E$11*(CT11/$B39),".")</f>
        <v>0</v>
      </c>
      <c r="CU39" s="101">
        <f>IFERROR(s_RadSpec!$E$11*(CU11/$B39),".")</f>
        <v>0</v>
      </c>
      <c r="CV39" s="101">
        <f>IFERROR(s_RadSpec!$E$11*(CV11/$B39),".")</f>
        <v>0</v>
      </c>
      <c r="CW39" s="101">
        <f>IFERROR(s_RadSpec!$E$11*(CW11/$B39),".")</f>
        <v>0</v>
      </c>
      <c r="CX39" s="101">
        <f>IFERROR(s_RadSpec!$E$11*(CX11/$B39),".")</f>
        <v>0</v>
      </c>
    </row>
    <row r="40" spans="1:102" x14ac:dyDescent="0.25">
      <c r="A40" s="99" t="s">
        <v>1085</v>
      </c>
      <c r="B40" s="90">
        <v>1</v>
      </c>
      <c r="C40" s="100" t="str">
        <f t="shared" si="35"/>
        <v>.</v>
      </c>
      <c r="D40" s="100">
        <f t="shared" ref="D40:AA40" si="78">IFERROR($B40/D4,0)</f>
        <v>0</v>
      </c>
      <c r="E40" s="100">
        <f t="shared" si="78"/>
        <v>0</v>
      </c>
      <c r="F40" s="100">
        <f t="shared" si="78"/>
        <v>0</v>
      </c>
      <c r="G40" s="100">
        <f t="shared" si="78"/>
        <v>0</v>
      </c>
      <c r="H40" s="100">
        <f t="shared" si="78"/>
        <v>0</v>
      </c>
      <c r="I40" s="100">
        <f t="shared" si="78"/>
        <v>0</v>
      </c>
      <c r="J40" s="100">
        <f t="shared" si="78"/>
        <v>0</v>
      </c>
      <c r="K40" s="100">
        <f t="shared" si="78"/>
        <v>0</v>
      </c>
      <c r="L40" s="100">
        <f t="shared" si="78"/>
        <v>0</v>
      </c>
      <c r="M40" s="100">
        <f t="shared" si="78"/>
        <v>0</v>
      </c>
      <c r="N40" s="100">
        <f t="shared" si="78"/>
        <v>0</v>
      </c>
      <c r="O40" s="100">
        <f t="shared" si="78"/>
        <v>0</v>
      </c>
      <c r="P40" s="100">
        <f t="shared" si="78"/>
        <v>0</v>
      </c>
      <c r="Q40" s="100">
        <f t="shared" si="78"/>
        <v>0</v>
      </c>
      <c r="R40" s="100">
        <f t="shared" si="78"/>
        <v>0</v>
      </c>
      <c r="S40" s="100">
        <f t="shared" si="78"/>
        <v>0</v>
      </c>
      <c r="T40" s="100">
        <f t="shared" si="78"/>
        <v>0</v>
      </c>
      <c r="U40" s="100">
        <f t="shared" si="78"/>
        <v>0</v>
      </c>
      <c r="V40" s="100">
        <f t="shared" si="78"/>
        <v>0</v>
      </c>
      <c r="W40" s="100">
        <f t="shared" si="78"/>
        <v>0</v>
      </c>
      <c r="X40" s="100">
        <f t="shared" si="78"/>
        <v>0</v>
      </c>
      <c r="Y40" s="100">
        <f t="shared" si="78"/>
        <v>0</v>
      </c>
      <c r="Z40" s="100">
        <f t="shared" si="78"/>
        <v>0</v>
      </c>
      <c r="AA40" s="100">
        <f t="shared" si="78"/>
        <v>0</v>
      </c>
      <c r="AB40" s="49">
        <f t="shared" si="60"/>
        <v>0</v>
      </c>
      <c r="AC40" s="101">
        <f>IFERROR(s_RadSpec!$E$4*(AC4/$B40),".")</f>
        <v>0</v>
      </c>
      <c r="AD40" s="101">
        <f>IFERROR(s_RadSpec!$E$4*(AD4/$B40),".")</f>
        <v>0</v>
      </c>
      <c r="AE40" s="101">
        <f>IFERROR(s_RadSpec!$E$4*(AE4/$B40),".")</f>
        <v>0</v>
      </c>
      <c r="AF40" s="101">
        <f>IFERROR(s_RadSpec!$E$4*(AF4/$B40),".")</f>
        <v>0</v>
      </c>
      <c r="AG40" s="101">
        <f>IFERROR(s_RadSpec!$E$4*(AG4/$B40),".")</f>
        <v>0</v>
      </c>
      <c r="AH40" s="101">
        <f>IFERROR(s_RadSpec!$E$4*(AH4/$B40),".")</f>
        <v>0</v>
      </c>
      <c r="AI40" s="101">
        <f>IFERROR(s_RadSpec!$E$4*(AI4/$B40),".")</f>
        <v>0</v>
      </c>
      <c r="AJ40" s="101">
        <f>IFERROR(s_RadSpec!$E$4*(AJ4/$B40),".")</f>
        <v>0</v>
      </c>
      <c r="AK40" s="101">
        <f>IFERROR(s_RadSpec!$E$4*(AK4/$B40),".")</f>
        <v>0</v>
      </c>
      <c r="AL40" s="101">
        <f>IFERROR(s_RadSpec!$E$4*(AL4/$B40),".")</f>
        <v>0</v>
      </c>
      <c r="AM40" s="101">
        <f>IFERROR(s_RadSpec!$E$4*(AM4/$B40),".")</f>
        <v>0</v>
      </c>
      <c r="AN40" s="101">
        <f>IFERROR(s_RadSpec!$E$4*(AN4/$B40),".")</f>
        <v>0</v>
      </c>
      <c r="AO40" s="101">
        <f>IFERROR(s_RadSpec!$E$4*(AO4/$B40),".")</f>
        <v>0</v>
      </c>
      <c r="AP40" s="101">
        <f>IFERROR(s_RadSpec!$E$4*(AP4/$B40),".")</f>
        <v>0</v>
      </c>
      <c r="AQ40" s="101">
        <f>IFERROR(s_RadSpec!$E$4*(AQ4/$B40),".")</f>
        <v>0</v>
      </c>
      <c r="AR40" s="101">
        <f>IFERROR(s_RadSpec!$E$4*(AR4/$B40),".")</f>
        <v>0</v>
      </c>
      <c r="AS40" s="101">
        <f>IFERROR(s_RadSpec!$E$4*(AS4/$B40),".")</f>
        <v>0</v>
      </c>
      <c r="AT40" s="101">
        <f>IFERROR(s_RadSpec!$E$4*(AT4/$B40),".")</f>
        <v>0</v>
      </c>
      <c r="AU40" s="101">
        <f>IFERROR(s_RadSpec!$E$4*(AU4/$B40),".")</f>
        <v>0</v>
      </c>
      <c r="AV40" s="101">
        <f>IFERROR(s_RadSpec!$E$4*(AV4/$B40),".")</f>
        <v>0</v>
      </c>
      <c r="AW40" s="101">
        <f>IFERROR(s_RadSpec!$E$4*(AW4/$B40),".")</f>
        <v>0</v>
      </c>
      <c r="AX40" s="101">
        <f>IFERROR(s_RadSpec!$E$4*(AX4/$B40),".")</f>
        <v>0</v>
      </c>
      <c r="AY40" s="101">
        <f>IFERROR(s_RadSpec!$E$4*(AY4/$B40),".")</f>
        <v>0</v>
      </c>
      <c r="AZ40" s="101">
        <f>IFERROR(s_RadSpec!$E$4*(AZ4/$B40),".")</f>
        <v>0</v>
      </c>
      <c r="BA40" s="100" t="str">
        <f t="shared" si="61"/>
        <v>.</v>
      </c>
      <c r="BB40" s="100">
        <f t="shared" ref="BB40:BY40" si="79">IFERROR($B40/BB4,0)</f>
        <v>0</v>
      </c>
      <c r="BC40" s="100">
        <f t="shared" si="79"/>
        <v>0</v>
      </c>
      <c r="BD40" s="100">
        <f t="shared" si="79"/>
        <v>0</v>
      </c>
      <c r="BE40" s="100">
        <f t="shared" si="79"/>
        <v>0</v>
      </c>
      <c r="BF40" s="100">
        <f t="shared" si="79"/>
        <v>0</v>
      </c>
      <c r="BG40" s="100">
        <f t="shared" si="79"/>
        <v>0</v>
      </c>
      <c r="BH40" s="100">
        <f t="shared" si="79"/>
        <v>0</v>
      </c>
      <c r="BI40" s="100">
        <f t="shared" si="79"/>
        <v>0</v>
      </c>
      <c r="BJ40" s="100">
        <f t="shared" si="79"/>
        <v>0</v>
      </c>
      <c r="BK40" s="100">
        <f t="shared" si="79"/>
        <v>0</v>
      </c>
      <c r="BL40" s="100">
        <f t="shared" si="79"/>
        <v>0</v>
      </c>
      <c r="BM40" s="100">
        <f t="shared" si="79"/>
        <v>0</v>
      </c>
      <c r="BN40" s="100">
        <f t="shared" si="79"/>
        <v>0</v>
      </c>
      <c r="BO40" s="100">
        <f t="shared" si="79"/>
        <v>0</v>
      </c>
      <c r="BP40" s="100">
        <f t="shared" si="79"/>
        <v>0</v>
      </c>
      <c r="BQ40" s="100">
        <f t="shared" si="79"/>
        <v>0</v>
      </c>
      <c r="BR40" s="100">
        <f t="shared" si="79"/>
        <v>0</v>
      </c>
      <c r="BS40" s="100">
        <f t="shared" si="79"/>
        <v>0</v>
      </c>
      <c r="BT40" s="100">
        <f t="shared" si="79"/>
        <v>0</v>
      </c>
      <c r="BU40" s="100">
        <f t="shared" si="79"/>
        <v>0</v>
      </c>
      <c r="BV40" s="100">
        <f t="shared" si="79"/>
        <v>0</v>
      </c>
      <c r="BW40" s="100">
        <f t="shared" si="79"/>
        <v>0</v>
      </c>
      <c r="BX40" s="100">
        <f t="shared" si="79"/>
        <v>0</v>
      </c>
      <c r="BY40" s="100">
        <f t="shared" si="79"/>
        <v>0</v>
      </c>
      <c r="BZ40" s="49">
        <f t="shared" si="63"/>
        <v>0</v>
      </c>
      <c r="CA40" s="101">
        <f>IFERROR(s_RadSpec!$E$4*(CA4/$B40),".")</f>
        <v>0</v>
      </c>
      <c r="CB40" s="101">
        <f>IFERROR(s_RadSpec!$E$4*(CB4/$B40),".")</f>
        <v>0</v>
      </c>
      <c r="CC40" s="101">
        <f>IFERROR(s_RadSpec!$E$4*(CC4/$B40),".")</f>
        <v>0</v>
      </c>
      <c r="CD40" s="101">
        <f>IFERROR(s_RadSpec!$E$4*(CD4/$B40),".")</f>
        <v>0</v>
      </c>
      <c r="CE40" s="101">
        <f>IFERROR(s_RadSpec!$E$4*(CE4/$B40),".")</f>
        <v>0</v>
      </c>
      <c r="CF40" s="101">
        <f>IFERROR(s_RadSpec!$E$4*(CF4/$B40),".")</f>
        <v>0</v>
      </c>
      <c r="CG40" s="101">
        <f>IFERROR(s_RadSpec!$E$4*(CG4/$B40),".")</f>
        <v>0</v>
      </c>
      <c r="CH40" s="101">
        <f>IFERROR(s_RadSpec!$E$4*(CH4/$B40),".")</f>
        <v>0</v>
      </c>
      <c r="CI40" s="101">
        <f>IFERROR(s_RadSpec!$E$4*(CI4/$B40),".")</f>
        <v>0</v>
      </c>
      <c r="CJ40" s="101">
        <f>IFERROR(s_RadSpec!$E$4*(CJ4/$B40),".")</f>
        <v>0</v>
      </c>
      <c r="CK40" s="101">
        <f>IFERROR(s_RadSpec!$E$4*(CK4/$B40),".")</f>
        <v>0</v>
      </c>
      <c r="CL40" s="101">
        <f>IFERROR(s_RadSpec!$E$4*(CL4/$B40),".")</f>
        <v>0</v>
      </c>
      <c r="CM40" s="101">
        <f>IFERROR(s_RadSpec!$E$4*(CM4/$B40),".")</f>
        <v>0</v>
      </c>
      <c r="CN40" s="101">
        <f>IFERROR(s_RadSpec!$E$4*(CN4/$B40),".")</f>
        <v>0</v>
      </c>
      <c r="CO40" s="101">
        <f>IFERROR(s_RadSpec!$E$4*(CO4/$B40),".")</f>
        <v>0</v>
      </c>
      <c r="CP40" s="101">
        <f>IFERROR(s_RadSpec!$E$4*(CP4/$B40),".")</f>
        <v>0</v>
      </c>
      <c r="CQ40" s="101">
        <f>IFERROR(s_RadSpec!$E$4*(CQ4/$B40),".")</f>
        <v>0</v>
      </c>
      <c r="CR40" s="101">
        <f>IFERROR(s_RadSpec!$E$4*(CR4/$B40),".")</f>
        <v>0</v>
      </c>
      <c r="CS40" s="101">
        <f>IFERROR(s_RadSpec!$E$4*(CS4/$B40),".")</f>
        <v>0</v>
      </c>
      <c r="CT40" s="101">
        <f>IFERROR(s_RadSpec!$E$4*(CT4/$B40),".")</f>
        <v>0</v>
      </c>
      <c r="CU40" s="101">
        <f>IFERROR(s_RadSpec!$E$4*(CU4/$B40),".")</f>
        <v>0</v>
      </c>
      <c r="CV40" s="101">
        <f>IFERROR(s_RadSpec!$E$4*(CV4/$B40),".")</f>
        <v>0</v>
      </c>
      <c r="CW40" s="101">
        <f>IFERROR(s_RadSpec!$E$4*(CW4/$B40),".")</f>
        <v>0</v>
      </c>
      <c r="CX40" s="101">
        <f>IFERROR(s_RadSpec!$E$4*(CX4/$B40),".")</f>
        <v>0</v>
      </c>
    </row>
    <row r="41" spans="1:102" x14ac:dyDescent="0.25">
      <c r="A41" s="99" t="s">
        <v>1086</v>
      </c>
      <c r="B41" s="102">
        <v>0.99987999999999999</v>
      </c>
      <c r="C41" s="100">
        <f t="shared" si="35"/>
        <v>1.55759915655998E-5</v>
      </c>
      <c r="D41" s="100">
        <f t="shared" ref="D41:AA41" si="80">IFERROR($B41/D8,0)</f>
        <v>6.2303966262399198E-5</v>
      </c>
      <c r="E41" s="100">
        <f t="shared" si="80"/>
        <v>6.2303966262399198E-5</v>
      </c>
      <c r="F41" s="100">
        <f t="shared" si="80"/>
        <v>6.2303966262399198E-5</v>
      </c>
      <c r="G41" s="100">
        <f t="shared" si="80"/>
        <v>6.2303966262399198E-5</v>
      </c>
      <c r="H41" s="100">
        <f t="shared" si="80"/>
        <v>6.2303966262399198E-5</v>
      </c>
      <c r="I41" s="100">
        <f t="shared" si="80"/>
        <v>6.2303966262399198E-5</v>
      </c>
      <c r="J41" s="100">
        <f t="shared" si="80"/>
        <v>6.2303966262399198E-5</v>
      </c>
      <c r="K41" s="100">
        <f t="shared" si="80"/>
        <v>6.2303966262399198E-5</v>
      </c>
      <c r="L41" s="100">
        <f t="shared" si="80"/>
        <v>6.2303966262399198E-5</v>
      </c>
      <c r="M41" s="100">
        <f t="shared" si="80"/>
        <v>6.2303966262399198E-5</v>
      </c>
      <c r="N41" s="100">
        <f t="shared" si="80"/>
        <v>6.2303966262399198E-5</v>
      </c>
      <c r="O41" s="100">
        <f t="shared" si="80"/>
        <v>6.2303966262399198E-5</v>
      </c>
      <c r="P41" s="100">
        <f t="shared" si="80"/>
        <v>6.2303966262399198E-5</v>
      </c>
      <c r="Q41" s="100">
        <f t="shared" si="80"/>
        <v>6.2303966262399198E-5</v>
      </c>
      <c r="R41" s="100">
        <f t="shared" si="80"/>
        <v>6.2303966262399198E-5</v>
      </c>
      <c r="S41" s="100">
        <f t="shared" si="80"/>
        <v>6.2303966262399198E-5</v>
      </c>
      <c r="T41" s="100">
        <f t="shared" si="80"/>
        <v>6.2303966262399198E-5</v>
      </c>
      <c r="U41" s="100">
        <f t="shared" si="80"/>
        <v>6.2303966262399198E-5</v>
      </c>
      <c r="V41" s="100">
        <f t="shared" si="80"/>
        <v>6.2303966262399198E-5</v>
      </c>
      <c r="W41" s="100">
        <f t="shared" si="80"/>
        <v>6.2303966262399198E-5</v>
      </c>
      <c r="X41" s="100">
        <f t="shared" si="80"/>
        <v>6.2303966262399198E-5</v>
      </c>
      <c r="Y41" s="100">
        <f t="shared" si="80"/>
        <v>6.2303966262399198E-5</v>
      </c>
      <c r="Z41" s="100">
        <f t="shared" si="80"/>
        <v>6.2303966262399198E-5</v>
      </c>
      <c r="AA41" s="100">
        <f t="shared" si="80"/>
        <v>6.2303966262399198E-5</v>
      </c>
      <c r="AB41" s="49">
        <f t="shared" si="60"/>
        <v>1.2463784381252845E-9</v>
      </c>
      <c r="AC41" s="101">
        <f>IFERROR(s_RadSpec!$E$8*(AC8/$B41),".")</f>
        <v>3.1159460953132114E-10</v>
      </c>
      <c r="AD41" s="101">
        <f>IFERROR(s_RadSpec!$E$8*(AD8/$B41),".")</f>
        <v>3.1159460953132114E-10</v>
      </c>
      <c r="AE41" s="101">
        <f>IFERROR(s_RadSpec!$E$8*(AE8/$B41),".")</f>
        <v>3.1159460953132114E-10</v>
      </c>
      <c r="AF41" s="101">
        <f>IFERROR(s_RadSpec!$E$8*(AF8/$B41),".")</f>
        <v>3.1159460953132114E-10</v>
      </c>
      <c r="AG41" s="101">
        <f>IFERROR(s_RadSpec!$E$8*(AG8/$B41),".")</f>
        <v>3.1159460953132114E-10</v>
      </c>
      <c r="AH41" s="101">
        <f>IFERROR(s_RadSpec!$E$8*(AH8/$B41),".")</f>
        <v>3.1159460953132114E-10</v>
      </c>
      <c r="AI41" s="101">
        <f>IFERROR(s_RadSpec!$E$8*(AI8/$B41),".")</f>
        <v>3.1159460953132114E-10</v>
      </c>
      <c r="AJ41" s="101">
        <f>IFERROR(s_RadSpec!$E$8*(AJ8/$B41),".")</f>
        <v>3.1159460953132114E-10</v>
      </c>
      <c r="AK41" s="101">
        <f>IFERROR(s_RadSpec!$E$8*(AK8/$B41),".")</f>
        <v>3.1159460953132114E-10</v>
      </c>
      <c r="AL41" s="101">
        <f>IFERROR(s_RadSpec!$E$8*(AL8/$B41),".")</f>
        <v>3.1159460953132114E-10</v>
      </c>
      <c r="AM41" s="101">
        <f>IFERROR(s_RadSpec!$E$8*(AM8/$B41),".")</f>
        <v>3.1159460953132114E-10</v>
      </c>
      <c r="AN41" s="101">
        <f>IFERROR(s_RadSpec!$E$8*(AN8/$B41),".")</f>
        <v>3.1159460953132114E-10</v>
      </c>
      <c r="AO41" s="101">
        <f>IFERROR(s_RadSpec!$E$8*(AO8/$B41),".")</f>
        <v>3.1159460953132114E-10</v>
      </c>
      <c r="AP41" s="101">
        <f>IFERROR(s_RadSpec!$E$8*(AP8/$B41),".")</f>
        <v>3.1159460953132114E-10</v>
      </c>
      <c r="AQ41" s="101">
        <f>IFERROR(s_RadSpec!$E$8*(AQ8/$B41),".")</f>
        <v>3.1159460953132114E-10</v>
      </c>
      <c r="AR41" s="101">
        <f>IFERROR(s_RadSpec!$E$8*(AR8/$B41),".")</f>
        <v>3.1159460953132114E-10</v>
      </c>
      <c r="AS41" s="101">
        <f>IFERROR(s_RadSpec!$E$8*(AS8/$B41),".")</f>
        <v>3.1159460953132114E-10</v>
      </c>
      <c r="AT41" s="101">
        <f>IFERROR(s_RadSpec!$E$8*(AT8/$B41),".")</f>
        <v>3.1159460953132114E-10</v>
      </c>
      <c r="AU41" s="101">
        <f>IFERROR(s_RadSpec!$E$8*(AU8/$B41),".")</f>
        <v>3.1159460953132114E-10</v>
      </c>
      <c r="AV41" s="101">
        <f>IFERROR(s_RadSpec!$E$8*(AV8/$B41),".")</f>
        <v>3.1159460953132114E-10</v>
      </c>
      <c r="AW41" s="101">
        <f>IFERROR(s_RadSpec!$E$8*(AW8/$B41),".")</f>
        <v>3.1159460953132114E-10</v>
      </c>
      <c r="AX41" s="101">
        <f>IFERROR(s_RadSpec!$E$8*(AX8/$B41),".")</f>
        <v>3.1159460953132114E-10</v>
      </c>
      <c r="AY41" s="101">
        <f>IFERROR(s_RadSpec!$E$8*(AY8/$B41),".")</f>
        <v>3.1159460953132114E-10</v>
      </c>
      <c r="AZ41" s="101">
        <f>IFERROR(s_RadSpec!$E$8*(AZ8/$B41),".")</f>
        <v>3.1159460953132114E-10</v>
      </c>
      <c r="BA41" s="100">
        <f t="shared" si="61"/>
        <v>1.55759915655998E-5</v>
      </c>
      <c r="BB41" s="100">
        <f t="shared" ref="BB41:BY41" si="81">IFERROR($B41/BB8,0)</f>
        <v>6.2303966262399198E-5</v>
      </c>
      <c r="BC41" s="100">
        <f t="shared" si="81"/>
        <v>6.2303966262399198E-5</v>
      </c>
      <c r="BD41" s="100">
        <f t="shared" si="81"/>
        <v>6.2303966262399198E-5</v>
      </c>
      <c r="BE41" s="100">
        <f t="shared" si="81"/>
        <v>6.2303966262399198E-5</v>
      </c>
      <c r="BF41" s="100">
        <f t="shared" si="81"/>
        <v>6.2303966262399198E-5</v>
      </c>
      <c r="BG41" s="100">
        <f t="shared" si="81"/>
        <v>6.2303966262399198E-5</v>
      </c>
      <c r="BH41" s="100">
        <f t="shared" si="81"/>
        <v>6.2303966262399198E-5</v>
      </c>
      <c r="BI41" s="100">
        <f t="shared" si="81"/>
        <v>6.2303966262399198E-5</v>
      </c>
      <c r="BJ41" s="100">
        <f t="shared" si="81"/>
        <v>6.2303966262399198E-5</v>
      </c>
      <c r="BK41" s="100">
        <f t="shared" si="81"/>
        <v>6.2303966262399198E-5</v>
      </c>
      <c r="BL41" s="100">
        <f t="shared" si="81"/>
        <v>6.2303966262399198E-5</v>
      </c>
      <c r="BM41" s="100">
        <f t="shared" si="81"/>
        <v>6.2303966262399198E-5</v>
      </c>
      <c r="BN41" s="100">
        <f t="shared" si="81"/>
        <v>6.2303966262399198E-5</v>
      </c>
      <c r="BO41" s="100">
        <f t="shared" si="81"/>
        <v>6.2303966262399198E-5</v>
      </c>
      <c r="BP41" s="100">
        <f t="shared" si="81"/>
        <v>6.2303966262399198E-5</v>
      </c>
      <c r="BQ41" s="100">
        <f t="shared" si="81"/>
        <v>6.2303966262399198E-5</v>
      </c>
      <c r="BR41" s="100">
        <f t="shared" si="81"/>
        <v>6.2303966262399198E-5</v>
      </c>
      <c r="BS41" s="100">
        <f t="shared" si="81"/>
        <v>6.2303966262399198E-5</v>
      </c>
      <c r="BT41" s="100">
        <f t="shared" si="81"/>
        <v>6.2303966262399198E-5</v>
      </c>
      <c r="BU41" s="100">
        <f t="shared" si="81"/>
        <v>6.2303966262399198E-5</v>
      </c>
      <c r="BV41" s="100">
        <f t="shared" si="81"/>
        <v>6.2303966262399198E-5</v>
      </c>
      <c r="BW41" s="100">
        <f t="shared" si="81"/>
        <v>6.2303966262399198E-5</v>
      </c>
      <c r="BX41" s="100">
        <f t="shared" si="81"/>
        <v>6.2303966262399198E-5</v>
      </c>
      <c r="BY41" s="100">
        <f t="shared" si="81"/>
        <v>6.2303966262399198E-5</v>
      </c>
      <c r="BZ41" s="49">
        <f t="shared" si="63"/>
        <v>1.2463784381252845E-9</v>
      </c>
      <c r="CA41" s="101">
        <f>IFERROR(s_RadSpec!$E$8*(CA8/$B41),".")</f>
        <v>3.1159460953132114E-10</v>
      </c>
      <c r="CB41" s="101">
        <f>IFERROR(s_RadSpec!$E$8*(CB8/$B41),".")</f>
        <v>3.1159460953132114E-10</v>
      </c>
      <c r="CC41" s="101">
        <f>IFERROR(s_RadSpec!$E$8*(CC8/$B41),".")</f>
        <v>3.1159460953132114E-10</v>
      </c>
      <c r="CD41" s="101">
        <f>IFERROR(s_RadSpec!$E$8*(CD8/$B41),".")</f>
        <v>3.1159460953132114E-10</v>
      </c>
      <c r="CE41" s="101">
        <f>IFERROR(s_RadSpec!$E$8*(CE8/$B41),".")</f>
        <v>3.1159460953132114E-10</v>
      </c>
      <c r="CF41" s="101">
        <f>IFERROR(s_RadSpec!$E$8*(CF8/$B41),".")</f>
        <v>3.1159460953132114E-10</v>
      </c>
      <c r="CG41" s="101">
        <f>IFERROR(s_RadSpec!$E$8*(CG8/$B41),".")</f>
        <v>3.1159460953132114E-10</v>
      </c>
      <c r="CH41" s="101">
        <f>IFERROR(s_RadSpec!$E$8*(CH8/$B41),".")</f>
        <v>3.1159460953132114E-10</v>
      </c>
      <c r="CI41" s="101">
        <f>IFERROR(s_RadSpec!$E$8*(CI8/$B41),".")</f>
        <v>3.1159460953132114E-10</v>
      </c>
      <c r="CJ41" s="101">
        <f>IFERROR(s_RadSpec!$E$8*(CJ8/$B41),".")</f>
        <v>3.1159460953132114E-10</v>
      </c>
      <c r="CK41" s="101">
        <f>IFERROR(s_RadSpec!$E$8*(CK8/$B41),".")</f>
        <v>3.1159460953132114E-10</v>
      </c>
      <c r="CL41" s="101">
        <f>IFERROR(s_RadSpec!$E$8*(CL8/$B41),".")</f>
        <v>3.1159460953132114E-10</v>
      </c>
      <c r="CM41" s="101">
        <f>IFERROR(s_RadSpec!$E$8*(CM8/$B41),".")</f>
        <v>3.1159460953132114E-10</v>
      </c>
      <c r="CN41" s="101">
        <f>IFERROR(s_RadSpec!$E$8*(CN8/$B41),".")</f>
        <v>3.1159460953132114E-10</v>
      </c>
      <c r="CO41" s="101">
        <f>IFERROR(s_RadSpec!$E$8*(CO8/$B41),".")</f>
        <v>3.1159460953132114E-10</v>
      </c>
      <c r="CP41" s="101">
        <f>IFERROR(s_RadSpec!$E$8*(CP8/$B41),".")</f>
        <v>3.1159460953132114E-10</v>
      </c>
      <c r="CQ41" s="101">
        <f>IFERROR(s_RadSpec!$E$8*(CQ8/$B41),".")</f>
        <v>3.1159460953132114E-10</v>
      </c>
      <c r="CR41" s="101">
        <f>IFERROR(s_RadSpec!$E$8*(CR8/$B41),".")</f>
        <v>3.1159460953132114E-10</v>
      </c>
      <c r="CS41" s="101">
        <f>IFERROR(s_RadSpec!$E$8*(CS8/$B41),".")</f>
        <v>3.1159460953132114E-10</v>
      </c>
      <c r="CT41" s="101">
        <f>IFERROR(s_RadSpec!$E$8*(CT8/$B41),".")</f>
        <v>3.1159460953132114E-10</v>
      </c>
      <c r="CU41" s="101">
        <f>IFERROR(s_RadSpec!$E$8*(CU8/$B41),".")</f>
        <v>3.1159460953132114E-10</v>
      </c>
      <c r="CV41" s="101">
        <f>IFERROR(s_RadSpec!$E$8*(CV8/$B41),".")</f>
        <v>3.1159460953132114E-10</v>
      </c>
      <c r="CW41" s="101">
        <f>IFERROR(s_RadSpec!$E$8*(CW8/$B41),".")</f>
        <v>3.1159460953132114E-10</v>
      </c>
      <c r="CX41" s="101">
        <f>IFERROR(s_RadSpec!$E$8*(CX8/$B41),".")</f>
        <v>3.1159460953132114E-10</v>
      </c>
    </row>
    <row r="42" spans="1:102" x14ac:dyDescent="0.25">
      <c r="A42" s="99" t="s">
        <v>1087</v>
      </c>
      <c r="B42" s="90">
        <v>0.97898250799999997</v>
      </c>
      <c r="C42" s="100" t="str">
        <f t="shared" si="35"/>
        <v>.</v>
      </c>
      <c r="D42" s="100">
        <f t="shared" ref="D42:AA42" si="82">IFERROR($B42/D19,0)</f>
        <v>0</v>
      </c>
      <c r="E42" s="100">
        <f t="shared" si="82"/>
        <v>0</v>
      </c>
      <c r="F42" s="100">
        <f t="shared" si="82"/>
        <v>0</v>
      </c>
      <c r="G42" s="100">
        <f t="shared" si="82"/>
        <v>0</v>
      </c>
      <c r="H42" s="100">
        <f t="shared" si="82"/>
        <v>0</v>
      </c>
      <c r="I42" s="100">
        <f t="shared" si="82"/>
        <v>0</v>
      </c>
      <c r="J42" s="100">
        <f t="shared" si="82"/>
        <v>0</v>
      </c>
      <c r="K42" s="100">
        <f t="shared" si="82"/>
        <v>0</v>
      </c>
      <c r="L42" s="100">
        <f t="shared" si="82"/>
        <v>0</v>
      </c>
      <c r="M42" s="100">
        <f t="shared" si="82"/>
        <v>0</v>
      </c>
      <c r="N42" s="100">
        <f t="shared" si="82"/>
        <v>0</v>
      </c>
      <c r="O42" s="100">
        <f t="shared" si="82"/>
        <v>0</v>
      </c>
      <c r="P42" s="100">
        <f t="shared" si="82"/>
        <v>0</v>
      </c>
      <c r="Q42" s="100">
        <f t="shared" si="82"/>
        <v>0</v>
      </c>
      <c r="R42" s="100">
        <f t="shared" si="82"/>
        <v>0</v>
      </c>
      <c r="S42" s="100">
        <f t="shared" si="82"/>
        <v>0</v>
      </c>
      <c r="T42" s="100">
        <f t="shared" si="82"/>
        <v>0</v>
      </c>
      <c r="U42" s="100">
        <f t="shared" si="82"/>
        <v>0</v>
      </c>
      <c r="V42" s="100">
        <f t="shared" si="82"/>
        <v>0</v>
      </c>
      <c r="W42" s="100">
        <f t="shared" si="82"/>
        <v>0</v>
      </c>
      <c r="X42" s="100">
        <f t="shared" si="82"/>
        <v>0</v>
      </c>
      <c r="Y42" s="100">
        <f t="shared" si="82"/>
        <v>0</v>
      </c>
      <c r="Z42" s="100">
        <f t="shared" si="82"/>
        <v>0</v>
      </c>
      <c r="AA42" s="100">
        <f t="shared" si="82"/>
        <v>0</v>
      </c>
      <c r="AB42" s="49">
        <f t="shared" si="60"/>
        <v>0</v>
      </c>
      <c r="AC42" s="101">
        <f>IFERROR(s_RadSpec!$E$19*(AC19/$B42),".")</f>
        <v>0</v>
      </c>
      <c r="AD42" s="101">
        <f>IFERROR(s_RadSpec!$E$19*(AD19/$B42),".")</f>
        <v>0</v>
      </c>
      <c r="AE42" s="101">
        <f>IFERROR(s_RadSpec!$E$19*(AE19/$B42),".")</f>
        <v>0</v>
      </c>
      <c r="AF42" s="101">
        <f>IFERROR(s_RadSpec!$E$19*(AF19/$B42),".")</f>
        <v>0</v>
      </c>
      <c r="AG42" s="101">
        <f>IFERROR(s_RadSpec!$E$19*(AG19/$B42),".")</f>
        <v>0</v>
      </c>
      <c r="AH42" s="101">
        <f>IFERROR(s_RadSpec!$E$19*(AH19/$B42),".")</f>
        <v>0</v>
      </c>
      <c r="AI42" s="101">
        <f>IFERROR(s_RadSpec!$E$19*(AI19/$B42),".")</f>
        <v>0</v>
      </c>
      <c r="AJ42" s="101">
        <f>IFERROR(s_RadSpec!$E$19*(AJ19/$B42),".")</f>
        <v>0</v>
      </c>
      <c r="AK42" s="101">
        <f>IFERROR(s_RadSpec!$E$19*(AK19/$B42),".")</f>
        <v>0</v>
      </c>
      <c r="AL42" s="101">
        <f>IFERROR(s_RadSpec!$E$19*(AL19/$B42),".")</f>
        <v>0</v>
      </c>
      <c r="AM42" s="101">
        <f>IFERROR(s_RadSpec!$E$19*(AM19/$B42),".")</f>
        <v>0</v>
      </c>
      <c r="AN42" s="101">
        <f>IFERROR(s_RadSpec!$E$19*(AN19/$B42),".")</f>
        <v>0</v>
      </c>
      <c r="AO42" s="101">
        <f>IFERROR(s_RadSpec!$E$19*(AO19/$B42),".")</f>
        <v>0</v>
      </c>
      <c r="AP42" s="101">
        <f>IFERROR(s_RadSpec!$E$19*(AP19/$B42),".")</f>
        <v>0</v>
      </c>
      <c r="AQ42" s="101">
        <f>IFERROR(s_RadSpec!$E$19*(AQ19/$B42),".")</f>
        <v>0</v>
      </c>
      <c r="AR42" s="101">
        <f>IFERROR(s_RadSpec!$E$19*(AR19/$B42),".")</f>
        <v>0</v>
      </c>
      <c r="AS42" s="101">
        <f>IFERROR(s_RadSpec!$E$19*(AS19/$B42),".")</f>
        <v>0</v>
      </c>
      <c r="AT42" s="101">
        <f>IFERROR(s_RadSpec!$E$19*(AT19/$B42),".")</f>
        <v>0</v>
      </c>
      <c r="AU42" s="101">
        <f>IFERROR(s_RadSpec!$E$19*(AU19/$B42),".")</f>
        <v>0</v>
      </c>
      <c r="AV42" s="101">
        <f>IFERROR(s_RadSpec!$E$19*(AV19/$B42),".")</f>
        <v>0</v>
      </c>
      <c r="AW42" s="101">
        <f>IFERROR(s_RadSpec!$E$19*(AW19/$B42),".")</f>
        <v>0</v>
      </c>
      <c r="AX42" s="101">
        <f>IFERROR(s_RadSpec!$E$19*(AX19/$B42),".")</f>
        <v>0</v>
      </c>
      <c r="AY42" s="101">
        <f>IFERROR(s_RadSpec!$E$19*(AY19/$B42),".")</f>
        <v>0</v>
      </c>
      <c r="AZ42" s="101">
        <f>IFERROR(s_RadSpec!$E$19*(AZ19/$B42),".")</f>
        <v>0</v>
      </c>
      <c r="BA42" s="100" t="str">
        <f t="shared" si="61"/>
        <v>.</v>
      </c>
      <c r="BB42" s="100">
        <f t="shared" ref="BB42:BY42" si="83">IFERROR($B42/BB19,0)</f>
        <v>0</v>
      </c>
      <c r="BC42" s="100">
        <f t="shared" si="83"/>
        <v>0</v>
      </c>
      <c r="BD42" s="100">
        <f t="shared" si="83"/>
        <v>0</v>
      </c>
      <c r="BE42" s="100">
        <f t="shared" si="83"/>
        <v>0</v>
      </c>
      <c r="BF42" s="100">
        <f t="shared" si="83"/>
        <v>0</v>
      </c>
      <c r="BG42" s="100">
        <f t="shared" si="83"/>
        <v>0</v>
      </c>
      <c r="BH42" s="100">
        <f t="shared" si="83"/>
        <v>0</v>
      </c>
      <c r="BI42" s="100">
        <f t="shared" si="83"/>
        <v>0</v>
      </c>
      <c r="BJ42" s="100">
        <f t="shared" si="83"/>
        <v>0</v>
      </c>
      <c r="BK42" s="100">
        <f t="shared" si="83"/>
        <v>0</v>
      </c>
      <c r="BL42" s="100">
        <f t="shared" si="83"/>
        <v>0</v>
      </c>
      <c r="BM42" s="100">
        <f t="shared" si="83"/>
        <v>0</v>
      </c>
      <c r="BN42" s="100">
        <f t="shared" si="83"/>
        <v>0</v>
      </c>
      <c r="BO42" s="100">
        <f t="shared" si="83"/>
        <v>0</v>
      </c>
      <c r="BP42" s="100">
        <f t="shared" si="83"/>
        <v>0</v>
      </c>
      <c r="BQ42" s="100">
        <f t="shared" si="83"/>
        <v>0</v>
      </c>
      <c r="BR42" s="100">
        <f t="shared" si="83"/>
        <v>0</v>
      </c>
      <c r="BS42" s="100">
        <f t="shared" si="83"/>
        <v>0</v>
      </c>
      <c r="BT42" s="100">
        <f t="shared" si="83"/>
        <v>0</v>
      </c>
      <c r="BU42" s="100">
        <f t="shared" si="83"/>
        <v>0</v>
      </c>
      <c r="BV42" s="100">
        <f t="shared" si="83"/>
        <v>0</v>
      </c>
      <c r="BW42" s="100">
        <f t="shared" si="83"/>
        <v>0</v>
      </c>
      <c r="BX42" s="100">
        <f t="shared" si="83"/>
        <v>0</v>
      </c>
      <c r="BY42" s="100">
        <f t="shared" si="83"/>
        <v>0</v>
      </c>
      <c r="BZ42" s="49">
        <f t="shared" si="63"/>
        <v>0</v>
      </c>
      <c r="CA42" s="101">
        <f>IFERROR(s_RadSpec!$E$19*(CA19/$B42),".")</f>
        <v>0</v>
      </c>
      <c r="CB42" s="101">
        <f>IFERROR(s_RadSpec!$E$19*(CB19/$B42),".")</f>
        <v>0</v>
      </c>
      <c r="CC42" s="101">
        <f>IFERROR(s_RadSpec!$E$19*(CC19/$B42),".")</f>
        <v>0</v>
      </c>
      <c r="CD42" s="101">
        <f>IFERROR(s_RadSpec!$E$19*(CD19/$B42),".")</f>
        <v>0</v>
      </c>
      <c r="CE42" s="101">
        <f>IFERROR(s_RadSpec!$E$19*(CE19/$B42),".")</f>
        <v>0</v>
      </c>
      <c r="CF42" s="101">
        <f>IFERROR(s_RadSpec!$E$19*(CF19/$B42),".")</f>
        <v>0</v>
      </c>
      <c r="CG42" s="101">
        <f>IFERROR(s_RadSpec!$E$19*(CG19/$B42),".")</f>
        <v>0</v>
      </c>
      <c r="CH42" s="101">
        <f>IFERROR(s_RadSpec!$E$19*(CH19/$B42),".")</f>
        <v>0</v>
      </c>
      <c r="CI42" s="101">
        <f>IFERROR(s_RadSpec!$E$19*(CI19/$B42),".")</f>
        <v>0</v>
      </c>
      <c r="CJ42" s="101">
        <f>IFERROR(s_RadSpec!$E$19*(CJ19/$B42),".")</f>
        <v>0</v>
      </c>
      <c r="CK42" s="101">
        <f>IFERROR(s_RadSpec!$E$19*(CK19/$B42),".")</f>
        <v>0</v>
      </c>
      <c r="CL42" s="101">
        <f>IFERROR(s_RadSpec!$E$19*(CL19/$B42),".")</f>
        <v>0</v>
      </c>
      <c r="CM42" s="101">
        <f>IFERROR(s_RadSpec!$E$19*(CM19/$B42),".")</f>
        <v>0</v>
      </c>
      <c r="CN42" s="101">
        <f>IFERROR(s_RadSpec!$E$19*(CN19/$B42),".")</f>
        <v>0</v>
      </c>
      <c r="CO42" s="101">
        <f>IFERROR(s_RadSpec!$E$19*(CO19/$B42),".")</f>
        <v>0</v>
      </c>
      <c r="CP42" s="101">
        <f>IFERROR(s_RadSpec!$E$19*(CP19/$B42),".")</f>
        <v>0</v>
      </c>
      <c r="CQ42" s="101">
        <f>IFERROR(s_RadSpec!$E$19*(CQ19/$B42),".")</f>
        <v>0</v>
      </c>
      <c r="CR42" s="101">
        <f>IFERROR(s_RadSpec!$E$19*(CR19/$B42),".")</f>
        <v>0</v>
      </c>
      <c r="CS42" s="101">
        <f>IFERROR(s_RadSpec!$E$19*(CS19/$B42),".")</f>
        <v>0</v>
      </c>
      <c r="CT42" s="101">
        <f>IFERROR(s_RadSpec!$E$19*(CT19/$B42),".")</f>
        <v>0</v>
      </c>
      <c r="CU42" s="101">
        <f>IFERROR(s_RadSpec!$E$19*(CU19/$B42),".")</f>
        <v>0</v>
      </c>
      <c r="CV42" s="101">
        <f>IFERROR(s_RadSpec!$E$19*(CV19/$B42),".")</f>
        <v>0</v>
      </c>
      <c r="CW42" s="101">
        <f>IFERROR(s_RadSpec!$E$19*(CW19/$B42),".")</f>
        <v>0</v>
      </c>
      <c r="CX42" s="101">
        <f>IFERROR(s_RadSpec!$E$19*(CX19/$B42),".")</f>
        <v>0</v>
      </c>
    </row>
    <row r="43" spans="1:102" x14ac:dyDescent="0.25">
      <c r="A43" s="99" t="s">
        <v>1088</v>
      </c>
      <c r="B43" s="90">
        <v>2.0897492E-2</v>
      </c>
      <c r="C43" s="100" t="str">
        <f t="shared" si="35"/>
        <v>.</v>
      </c>
      <c r="D43" s="100">
        <f t="shared" ref="D43:AA43" si="84">IFERROR($B43/D28,0)</f>
        <v>0</v>
      </c>
      <c r="E43" s="100">
        <f t="shared" si="84"/>
        <v>0</v>
      </c>
      <c r="F43" s="100">
        <f t="shared" si="84"/>
        <v>0</v>
      </c>
      <c r="G43" s="100">
        <f t="shared" si="84"/>
        <v>0</v>
      </c>
      <c r="H43" s="100">
        <f t="shared" si="84"/>
        <v>0</v>
      </c>
      <c r="I43" s="100">
        <f t="shared" si="84"/>
        <v>0</v>
      </c>
      <c r="J43" s="100">
        <f t="shared" si="84"/>
        <v>0</v>
      </c>
      <c r="K43" s="100">
        <f t="shared" si="84"/>
        <v>0</v>
      </c>
      <c r="L43" s="100">
        <f t="shared" si="84"/>
        <v>0</v>
      </c>
      <c r="M43" s="100">
        <f t="shared" si="84"/>
        <v>0</v>
      </c>
      <c r="N43" s="100">
        <f t="shared" si="84"/>
        <v>0</v>
      </c>
      <c r="O43" s="100">
        <f t="shared" si="84"/>
        <v>0</v>
      </c>
      <c r="P43" s="100">
        <f t="shared" si="84"/>
        <v>0</v>
      </c>
      <c r="Q43" s="100">
        <f t="shared" si="84"/>
        <v>0</v>
      </c>
      <c r="R43" s="100">
        <f t="shared" si="84"/>
        <v>0</v>
      </c>
      <c r="S43" s="100">
        <f t="shared" si="84"/>
        <v>0</v>
      </c>
      <c r="T43" s="100">
        <f t="shared" si="84"/>
        <v>0</v>
      </c>
      <c r="U43" s="100">
        <f t="shared" si="84"/>
        <v>0</v>
      </c>
      <c r="V43" s="100">
        <f t="shared" si="84"/>
        <v>0</v>
      </c>
      <c r="W43" s="100">
        <f t="shared" si="84"/>
        <v>0</v>
      </c>
      <c r="X43" s="100">
        <f t="shared" si="84"/>
        <v>0</v>
      </c>
      <c r="Y43" s="100">
        <f t="shared" si="84"/>
        <v>0</v>
      </c>
      <c r="Z43" s="100">
        <f t="shared" si="84"/>
        <v>0</v>
      </c>
      <c r="AA43" s="100">
        <f t="shared" si="84"/>
        <v>0</v>
      </c>
      <c r="AB43" s="49">
        <f t="shared" si="60"/>
        <v>0</v>
      </c>
      <c r="AC43" s="101">
        <f>IFERROR(s_RadSpec!$E$28*(AC28/$B43),".")</f>
        <v>0</v>
      </c>
      <c r="AD43" s="101">
        <f>IFERROR(s_RadSpec!$E$28*(AD28/$B43),".")</f>
        <v>0</v>
      </c>
      <c r="AE43" s="101">
        <f>IFERROR(s_RadSpec!$E$28*(AE28/$B43),".")</f>
        <v>0</v>
      </c>
      <c r="AF43" s="101">
        <f>IFERROR(s_RadSpec!$E$28*(AF28/$B43),".")</f>
        <v>0</v>
      </c>
      <c r="AG43" s="101">
        <f>IFERROR(s_RadSpec!$E$28*(AG28/$B43),".")</f>
        <v>0</v>
      </c>
      <c r="AH43" s="101">
        <f>IFERROR(s_RadSpec!$E$28*(AH28/$B43),".")</f>
        <v>0</v>
      </c>
      <c r="AI43" s="101">
        <f>IFERROR(s_RadSpec!$E$28*(AI28/$B43),".")</f>
        <v>0</v>
      </c>
      <c r="AJ43" s="101">
        <f>IFERROR(s_RadSpec!$E$28*(AJ28/$B43),".")</f>
        <v>0</v>
      </c>
      <c r="AK43" s="101">
        <f>IFERROR(s_RadSpec!$E$28*(AK28/$B43),".")</f>
        <v>0</v>
      </c>
      <c r="AL43" s="101">
        <f>IFERROR(s_RadSpec!$E$28*(AL28/$B43),".")</f>
        <v>0</v>
      </c>
      <c r="AM43" s="101">
        <f>IFERROR(s_RadSpec!$E$28*(AM28/$B43),".")</f>
        <v>0</v>
      </c>
      <c r="AN43" s="101">
        <f>IFERROR(s_RadSpec!$E$28*(AN28/$B43),".")</f>
        <v>0</v>
      </c>
      <c r="AO43" s="101">
        <f>IFERROR(s_RadSpec!$E$28*(AO28/$B43),".")</f>
        <v>0</v>
      </c>
      <c r="AP43" s="101">
        <f>IFERROR(s_RadSpec!$E$28*(AP28/$B43),".")</f>
        <v>0</v>
      </c>
      <c r="AQ43" s="101">
        <f>IFERROR(s_RadSpec!$E$28*(AQ28/$B43),".")</f>
        <v>0</v>
      </c>
      <c r="AR43" s="101">
        <f>IFERROR(s_RadSpec!$E$28*(AR28/$B43),".")</f>
        <v>0</v>
      </c>
      <c r="AS43" s="101">
        <f>IFERROR(s_RadSpec!$E$28*(AS28/$B43),".")</f>
        <v>0</v>
      </c>
      <c r="AT43" s="101">
        <f>IFERROR(s_RadSpec!$E$28*(AT28/$B43),".")</f>
        <v>0</v>
      </c>
      <c r="AU43" s="101">
        <f>IFERROR(s_RadSpec!$E$28*(AU28/$B43),".")</f>
        <v>0</v>
      </c>
      <c r="AV43" s="101">
        <f>IFERROR(s_RadSpec!$E$28*(AV28/$B43),".")</f>
        <v>0</v>
      </c>
      <c r="AW43" s="101">
        <f>IFERROR(s_RadSpec!$E$28*(AW28/$B43),".")</f>
        <v>0</v>
      </c>
      <c r="AX43" s="101">
        <f>IFERROR(s_RadSpec!$E$28*(AX28/$B43),".")</f>
        <v>0</v>
      </c>
      <c r="AY43" s="101">
        <f>IFERROR(s_RadSpec!$E$28*(AY28/$B43),".")</f>
        <v>0</v>
      </c>
      <c r="AZ43" s="101">
        <f>IFERROR(s_RadSpec!$E$28*(AZ28/$B43),".")</f>
        <v>0</v>
      </c>
      <c r="BA43" s="100" t="str">
        <f t="shared" si="61"/>
        <v>.</v>
      </c>
      <c r="BB43" s="100">
        <f t="shared" ref="BB43:BY43" si="85">IFERROR($B43/BB28,0)</f>
        <v>0</v>
      </c>
      <c r="BC43" s="100">
        <f t="shared" si="85"/>
        <v>0</v>
      </c>
      <c r="BD43" s="100">
        <f t="shared" si="85"/>
        <v>0</v>
      </c>
      <c r="BE43" s="100">
        <f t="shared" si="85"/>
        <v>0</v>
      </c>
      <c r="BF43" s="100">
        <f t="shared" si="85"/>
        <v>0</v>
      </c>
      <c r="BG43" s="100">
        <f t="shared" si="85"/>
        <v>0</v>
      </c>
      <c r="BH43" s="100">
        <f t="shared" si="85"/>
        <v>0</v>
      </c>
      <c r="BI43" s="100">
        <f t="shared" si="85"/>
        <v>0</v>
      </c>
      <c r="BJ43" s="100">
        <f t="shared" si="85"/>
        <v>0</v>
      </c>
      <c r="BK43" s="100">
        <f t="shared" si="85"/>
        <v>0</v>
      </c>
      <c r="BL43" s="100">
        <f t="shared" si="85"/>
        <v>0</v>
      </c>
      <c r="BM43" s="100">
        <f t="shared" si="85"/>
        <v>0</v>
      </c>
      <c r="BN43" s="100">
        <f t="shared" si="85"/>
        <v>0</v>
      </c>
      <c r="BO43" s="100">
        <f t="shared" si="85"/>
        <v>0</v>
      </c>
      <c r="BP43" s="100">
        <f t="shared" si="85"/>
        <v>0</v>
      </c>
      <c r="BQ43" s="100">
        <f t="shared" si="85"/>
        <v>0</v>
      </c>
      <c r="BR43" s="100">
        <f t="shared" si="85"/>
        <v>0</v>
      </c>
      <c r="BS43" s="100">
        <f t="shared" si="85"/>
        <v>0</v>
      </c>
      <c r="BT43" s="100">
        <f t="shared" si="85"/>
        <v>0</v>
      </c>
      <c r="BU43" s="100">
        <f t="shared" si="85"/>
        <v>0</v>
      </c>
      <c r="BV43" s="100">
        <f t="shared" si="85"/>
        <v>0</v>
      </c>
      <c r="BW43" s="100">
        <f t="shared" si="85"/>
        <v>0</v>
      </c>
      <c r="BX43" s="100">
        <f t="shared" si="85"/>
        <v>0</v>
      </c>
      <c r="BY43" s="100">
        <f t="shared" si="85"/>
        <v>0</v>
      </c>
      <c r="BZ43" s="49">
        <f t="shared" si="63"/>
        <v>0</v>
      </c>
      <c r="CA43" s="101">
        <f>IFERROR(s_RadSpec!$E$28*(CA28/$B43),".")</f>
        <v>0</v>
      </c>
      <c r="CB43" s="101">
        <f>IFERROR(s_RadSpec!$E$28*(CB28/$B43),".")</f>
        <v>0</v>
      </c>
      <c r="CC43" s="101">
        <f>IFERROR(s_RadSpec!$E$28*(CC28/$B43),".")</f>
        <v>0</v>
      </c>
      <c r="CD43" s="101">
        <f>IFERROR(s_RadSpec!$E$28*(CD28/$B43),".")</f>
        <v>0</v>
      </c>
      <c r="CE43" s="101">
        <f>IFERROR(s_RadSpec!$E$28*(CE28/$B43),".")</f>
        <v>0</v>
      </c>
      <c r="CF43" s="101">
        <f>IFERROR(s_RadSpec!$E$28*(CF28/$B43),".")</f>
        <v>0</v>
      </c>
      <c r="CG43" s="101">
        <f>IFERROR(s_RadSpec!$E$28*(CG28/$B43),".")</f>
        <v>0</v>
      </c>
      <c r="CH43" s="101">
        <f>IFERROR(s_RadSpec!$E$28*(CH28/$B43),".")</f>
        <v>0</v>
      </c>
      <c r="CI43" s="101">
        <f>IFERROR(s_RadSpec!$E$28*(CI28/$B43),".")</f>
        <v>0</v>
      </c>
      <c r="CJ43" s="101">
        <f>IFERROR(s_RadSpec!$E$28*(CJ28/$B43),".")</f>
        <v>0</v>
      </c>
      <c r="CK43" s="101">
        <f>IFERROR(s_RadSpec!$E$28*(CK28/$B43),".")</f>
        <v>0</v>
      </c>
      <c r="CL43" s="101">
        <f>IFERROR(s_RadSpec!$E$28*(CL28/$B43),".")</f>
        <v>0</v>
      </c>
      <c r="CM43" s="101">
        <f>IFERROR(s_RadSpec!$E$28*(CM28/$B43),".")</f>
        <v>0</v>
      </c>
      <c r="CN43" s="101">
        <f>IFERROR(s_RadSpec!$E$28*(CN28/$B43),".")</f>
        <v>0</v>
      </c>
      <c r="CO43" s="101">
        <f>IFERROR(s_RadSpec!$E$28*(CO28/$B43),".")</f>
        <v>0</v>
      </c>
      <c r="CP43" s="101">
        <f>IFERROR(s_RadSpec!$E$28*(CP28/$B43),".")</f>
        <v>0</v>
      </c>
      <c r="CQ43" s="101">
        <f>IFERROR(s_RadSpec!$E$28*(CQ28/$B43),".")</f>
        <v>0</v>
      </c>
      <c r="CR43" s="101">
        <f>IFERROR(s_RadSpec!$E$28*(CR28/$B43),".")</f>
        <v>0</v>
      </c>
      <c r="CS43" s="101">
        <f>IFERROR(s_RadSpec!$E$28*(CS28/$B43),".")</f>
        <v>0</v>
      </c>
      <c r="CT43" s="101">
        <f>IFERROR(s_RadSpec!$E$28*(CT28/$B43),".")</f>
        <v>0</v>
      </c>
      <c r="CU43" s="101">
        <f>IFERROR(s_RadSpec!$E$28*(CU28/$B43),".")</f>
        <v>0</v>
      </c>
      <c r="CV43" s="101">
        <f>IFERROR(s_RadSpec!$E$28*(CV28/$B43),".")</f>
        <v>0</v>
      </c>
      <c r="CW43" s="101">
        <f>IFERROR(s_RadSpec!$E$28*(CW28/$B43),".")</f>
        <v>0</v>
      </c>
      <c r="CX43" s="101">
        <f>IFERROR(s_RadSpec!$E$28*(CX28/$B43),".")</f>
        <v>0</v>
      </c>
    </row>
    <row r="44" spans="1:102" x14ac:dyDescent="0.25">
      <c r="A44" s="99" t="s">
        <v>1089</v>
      </c>
      <c r="B44" s="90">
        <v>0.99987999999999999</v>
      </c>
      <c r="C44" s="100">
        <f t="shared" si="35"/>
        <v>3.5971117304381979E-6</v>
      </c>
      <c r="D44" s="100">
        <f t="shared" ref="D44:AA44" si="86">IFERROR($B44/D15,0)</f>
        <v>1.3114157744130124E-5</v>
      </c>
      <c r="E44" s="100">
        <f t="shared" si="86"/>
        <v>2.6444174431929278E-5</v>
      </c>
      <c r="F44" s="100">
        <f t="shared" si="86"/>
        <v>1.4066301793258636E-5</v>
      </c>
      <c r="G44" s="100">
        <f t="shared" si="86"/>
        <v>1.3114157744130124E-5</v>
      </c>
      <c r="H44" s="100">
        <f t="shared" si="86"/>
        <v>1.4066301793258636E-5</v>
      </c>
      <c r="I44" s="100">
        <f t="shared" si="86"/>
        <v>2.6444174431929278E-5</v>
      </c>
      <c r="J44" s="100">
        <f t="shared" si="86"/>
        <v>1.4066301793258636E-5</v>
      </c>
      <c r="K44" s="100">
        <f t="shared" si="86"/>
        <v>1.3114157744130124E-5</v>
      </c>
      <c r="L44" s="100">
        <f t="shared" si="86"/>
        <v>1.1438384217663945E-5</v>
      </c>
      <c r="M44" s="100">
        <f t="shared" si="86"/>
        <v>1.4066301793258636E-5</v>
      </c>
      <c r="N44" s="100">
        <f t="shared" si="86"/>
        <v>2.6444174431929278E-5</v>
      </c>
      <c r="O44" s="100">
        <f t="shared" si="86"/>
        <v>1.2219142337949325E-5</v>
      </c>
      <c r="P44" s="100">
        <f t="shared" si="86"/>
        <v>1.4066301793258636E-5</v>
      </c>
      <c r="Q44" s="100">
        <f t="shared" si="86"/>
        <v>1.4066301793258636E-5</v>
      </c>
      <c r="R44" s="100">
        <f t="shared" si="86"/>
        <v>1.3114157744130124E-5</v>
      </c>
      <c r="S44" s="100">
        <f t="shared" si="86"/>
        <v>1.3114157744130124E-5</v>
      </c>
      <c r="T44" s="100">
        <f t="shared" si="86"/>
        <v>1.2219142337949325E-5</v>
      </c>
      <c r="U44" s="100">
        <f t="shared" si="86"/>
        <v>1.1495512860611656E-5</v>
      </c>
      <c r="V44" s="100">
        <f t="shared" si="86"/>
        <v>1.4066301793258636E-5</v>
      </c>
      <c r="W44" s="100">
        <f t="shared" si="86"/>
        <v>1.2219142337949325E-5</v>
      </c>
      <c r="X44" s="100">
        <f t="shared" si="86"/>
        <v>1.3114157744130124E-5</v>
      </c>
      <c r="Y44" s="100">
        <f t="shared" si="86"/>
        <v>1.4066301793258636E-5</v>
      </c>
      <c r="Z44" s="100">
        <f t="shared" si="86"/>
        <v>1.1265094000722558E-5</v>
      </c>
      <c r="AA44" s="100">
        <f t="shared" si="86"/>
        <v>1.3304586553955829E-5</v>
      </c>
      <c r="AB44" s="49">
        <f t="shared" si="60"/>
        <v>3.2071703112283322E-10</v>
      </c>
      <c r="AC44" s="101">
        <f>IFERROR(s_RadSpec!$E$15*(AC15/$B44),".")</f>
        <v>6.5586528543054957E-11</v>
      </c>
      <c r="AD44" s="101">
        <f>IFERROR(s_RadSpec!$E$15*(AD15/$B44),".")</f>
        <v>1.3225261088182042E-10</v>
      </c>
      <c r="AE44" s="101">
        <f>IFERROR(s_RadSpec!$E$15*(AE15/$B44),".")</f>
        <v>7.0348391567252485E-11</v>
      </c>
      <c r="AF44" s="101">
        <f>IFERROR(s_RadSpec!$E$15*(AF15/$B44),".")</f>
        <v>6.5586528543054957E-11</v>
      </c>
      <c r="AG44" s="101">
        <f>IFERROR(s_RadSpec!$E$15*(AG15/$B44),".")</f>
        <v>7.0348391567252485E-11</v>
      </c>
      <c r="AH44" s="101">
        <f>IFERROR(s_RadSpec!$E$15*(AH15/$B44),".")</f>
        <v>1.3225261088182042E-10</v>
      </c>
      <c r="AI44" s="101">
        <f>IFERROR(s_RadSpec!$E$15*(AI15/$B44),".")</f>
        <v>7.0348391567252485E-11</v>
      </c>
      <c r="AJ44" s="101">
        <f>IFERROR(s_RadSpec!$E$15*(AJ15/$B44),".")</f>
        <v>6.5586528543054957E-11</v>
      </c>
      <c r="AK44" s="101">
        <f>IFERROR(s_RadSpec!$E$15*(AK15/$B44),".")</f>
        <v>5.7205649620467303E-11</v>
      </c>
      <c r="AL44" s="101">
        <f>IFERROR(s_RadSpec!$E$15*(AL15/$B44),".")</f>
        <v>7.0348391567252485E-11</v>
      </c>
      <c r="AM44" s="101">
        <f>IFERROR(s_RadSpec!$E$15*(AM15/$B44),".")</f>
        <v>1.3225261088182042E-10</v>
      </c>
      <c r="AN44" s="101">
        <f>IFERROR(s_RadSpec!$E$15*(AN15/$B44),".")</f>
        <v>6.1110377300309266E-11</v>
      </c>
      <c r="AO44" s="101">
        <f>IFERROR(s_RadSpec!$E$15*(AO15/$B44),".")</f>
        <v>7.0348391567252485E-11</v>
      </c>
      <c r="AP44" s="101">
        <f>IFERROR(s_RadSpec!$E$15*(AP15/$B44),".")</f>
        <v>7.0348391567252485E-11</v>
      </c>
      <c r="AQ44" s="101">
        <f>IFERROR(s_RadSpec!$E$15*(AQ15/$B44),".")</f>
        <v>6.5586528543054957E-11</v>
      </c>
      <c r="AR44" s="101">
        <f>IFERROR(s_RadSpec!$E$15*(AR15/$B44),".")</f>
        <v>6.5586528543054957E-11</v>
      </c>
      <c r="AS44" s="101">
        <f>IFERROR(s_RadSpec!$E$15*(AS15/$B44),".")</f>
        <v>6.1110377300309266E-11</v>
      </c>
      <c r="AT44" s="101">
        <f>IFERROR(s_RadSpec!$E$15*(AT15/$B44),".")</f>
        <v>5.749136140191916E-11</v>
      </c>
      <c r="AU44" s="101">
        <f>IFERROR(s_RadSpec!$E$15*(AU15/$B44),".")</f>
        <v>7.0348391567252485E-11</v>
      </c>
      <c r="AV44" s="101">
        <f>IFERROR(s_RadSpec!$E$15*(AV15/$B44),".")</f>
        <v>6.1110377300309266E-11</v>
      </c>
      <c r="AW44" s="101">
        <f>IFERROR(s_RadSpec!$E$15*(AW15/$B44),".")</f>
        <v>6.5586528543054957E-11</v>
      </c>
      <c r="AX44" s="101">
        <f>IFERROR(s_RadSpec!$E$15*(AX15/$B44),".")</f>
        <v>7.0348391567252485E-11</v>
      </c>
      <c r="AY44" s="101">
        <f>IFERROR(s_RadSpec!$E$15*(AY15/$B44),".")</f>
        <v>5.6338990550063354E-11</v>
      </c>
      <c r="AZ44" s="101">
        <f>IFERROR(s_RadSpec!$E$15*(AZ15/$B44),".")</f>
        <v>6.6538901147894468E-11</v>
      </c>
      <c r="BA44" s="100">
        <f t="shared" si="61"/>
        <v>3.5971117304381979E-6</v>
      </c>
      <c r="BB44" s="100">
        <f t="shared" ref="BB44:BY44" si="87">IFERROR($B44/BB15,0)</f>
        <v>1.3114157744130124E-5</v>
      </c>
      <c r="BC44" s="100">
        <f t="shared" si="87"/>
        <v>2.6444174431929278E-5</v>
      </c>
      <c r="BD44" s="100">
        <f t="shared" si="87"/>
        <v>1.4066301793258636E-5</v>
      </c>
      <c r="BE44" s="100">
        <f t="shared" si="87"/>
        <v>1.3114157744130124E-5</v>
      </c>
      <c r="BF44" s="100">
        <f t="shared" si="87"/>
        <v>1.4066301793258636E-5</v>
      </c>
      <c r="BG44" s="100">
        <f t="shared" si="87"/>
        <v>2.6444174431929278E-5</v>
      </c>
      <c r="BH44" s="100">
        <f t="shared" si="87"/>
        <v>1.4066301793258636E-5</v>
      </c>
      <c r="BI44" s="100">
        <f t="shared" si="87"/>
        <v>1.3114157744130124E-5</v>
      </c>
      <c r="BJ44" s="100">
        <f t="shared" si="87"/>
        <v>1.1438384217663945E-5</v>
      </c>
      <c r="BK44" s="100">
        <f t="shared" si="87"/>
        <v>1.4066301793258636E-5</v>
      </c>
      <c r="BL44" s="100">
        <f t="shared" si="87"/>
        <v>2.6444174431929278E-5</v>
      </c>
      <c r="BM44" s="100">
        <f t="shared" si="87"/>
        <v>1.2219142337949325E-5</v>
      </c>
      <c r="BN44" s="100">
        <f t="shared" si="87"/>
        <v>1.4066301793258636E-5</v>
      </c>
      <c r="BO44" s="100">
        <f t="shared" si="87"/>
        <v>1.4066301793258636E-5</v>
      </c>
      <c r="BP44" s="100">
        <f t="shared" si="87"/>
        <v>1.3114157744130124E-5</v>
      </c>
      <c r="BQ44" s="100">
        <f t="shared" si="87"/>
        <v>1.3114157744130124E-5</v>
      </c>
      <c r="BR44" s="100">
        <f t="shared" si="87"/>
        <v>1.2219142337949325E-5</v>
      </c>
      <c r="BS44" s="100">
        <f t="shared" si="87"/>
        <v>1.1495512860611656E-5</v>
      </c>
      <c r="BT44" s="100">
        <f t="shared" si="87"/>
        <v>1.4066301793258636E-5</v>
      </c>
      <c r="BU44" s="100">
        <f t="shared" si="87"/>
        <v>1.2219142337949325E-5</v>
      </c>
      <c r="BV44" s="100">
        <f t="shared" si="87"/>
        <v>1.3114157744130124E-5</v>
      </c>
      <c r="BW44" s="100">
        <f t="shared" si="87"/>
        <v>1.4066301793258636E-5</v>
      </c>
      <c r="BX44" s="100">
        <f t="shared" si="87"/>
        <v>1.1265094000722558E-5</v>
      </c>
      <c r="BY44" s="100">
        <f t="shared" si="87"/>
        <v>1.3304586553955829E-5</v>
      </c>
      <c r="BZ44" s="49">
        <f t="shared" si="63"/>
        <v>3.2071703112283322E-10</v>
      </c>
      <c r="CA44" s="101">
        <f>IFERROR(s_RadSpec!$E$15*(CA15/$B44),".")</f>
        <v>6.5586528543054957E-11</v>
      </c>
      <c r="CB44" s="101">
        <f>IFERROR(s_RadSpec!$E$15*(CB15/$B44),".")</f>
        <v>1.3225261088182042E-10</v>
      </c>
      <c r="CC44" s="101">
        <f>IFERROR(s_RadSpec!$E$15*(CC15/$B44),".")</f>
        <v>7.0348391567252485E-11</v>
      </c>
      <c r="CD44" s="101">
        <f>IFERROR(s_RadSpec!$E$15*(CD15/$B44),".")</f>
        <v>6.5586528543054957E-11</v>
      </c>
      <c r="CE44" s="101">
        <f>IFERROR(s_RadSpec!$E$15*(CE15/$B44),".")</f>
        <v>7.0348391567252485E-11</v>
      </c>
      <c r="CF44" s="101">
        <f>IFERROR(s_RadSpec!$E$15*(CF15/$B44),".")</f>
        <v>1.3225261088182042E-10</v>
      </c>
      <c r="CG44" s="101">
        <f>IFERROR(s_RadSpec!$E$15*(CG15/$B44),".")</f>
        <v>7.0348391567252485E-11</v>
      </c>
      <c r="CH44" s="101">
        <f>IFERROR(s_RadSpec!$E$15*(CH15/$B44),".")</f>
        <v>6.5586528543054957E-11</v>
      </c>
      <c r="CI44" s="101">
        <f>IFERROR(s_RadSpec!$E$15*(CI15/$B44),".")</f>
        <v>5.7205649620467303E-11</v>
      </c>
      <c r="CJ44" s="101">
        <f>IFERROR(s_RadSpec!$E$15*(CJ15/$B44),".")</f>
        <v>7.0348391567252485E-11</v>
      </c>
      <c r="CK44" s="101">
        <f>IFERROR(s_RadSpec!$E$15*(CK15/$B44),".")</f>
        <v>1.3225261088182042E-10</v>
      </c>
      <c r="CL44" s="101">
        <f>IFERROR(s_RadSpec!$E$15*(CL15/$B44),".")</f>
        <v>6.1110377300309266E-11</v>
      </c>
      <c r="CM44" s="101">
        <f>IFERROR(s_RadSpec!$E$15*(CM15/$B44),".")</f>
        <v>7.0348391567252485E-11</v>
      </c>
      <c r="CN44" s="101">
        <f>IFERROR(s_RadSpec!$E$15*(CN15/$B44),".")</f>
        <v>7.0348391567252485E-11</v>
      </c>
      <c r="CO44" s="101">
        <f>IFERROR(s_RadSpec!$E$15*(CO15/$B44),".")</f>
        <v>6.5586528543054957E-11</v>
      </c>
      <c r="CP44" s="101">
        <f>IFERROR(s_RadSpec!$E$15*(CP15/$B44),".")</f>
        <v>6.5586528543054957E-11</v>
      </c>
      <c r="CQ44" s="101">
        <f>IFERROR(s_RadSpec!$E$15*(CQ15/$B44),".")</f>
        <v>6.1110377300309266E-11</v>
      </c>
      <c r="CR44" s="101">
        <f>IFERROR(s_RadSpec!$E$15*(CR15/$B44),".")</f>
        <v>5.749136140191916E-11</v>
      </c>
      <c r="CS44" s="101">
        <f>IFERROR(s_RadSpec!$E$15*(CS15/$B44),".")</f>
        <v>7.0348391567252485E-11</v>
      </c>
      <c r="CT44" s="101">
        <f>IFERROR(s_RadSpec!$E$15*(CT15/$B44),".")</f>
        <v>6.1110377300309266E-11</v>
      </c>
      <c r="CU44" s="101">
        <f>IFERROR(s_RadSpec!$E$15*(CU15/$B44),".")</f>
        <v>6.5586528543054957E-11</v>
      </c>
      <c r="CV44" s="101">
        <f>IFERROR(s_RadSpec!$E$15*(CV15/$B44),".")</f>
        <v>7.0348391567252485E-11</v>
      </c>
      <c r="CW44" s="101">
        <f>IFERROR(s_RadSpec!$E$15*(CW15/$B44),".")</f>
        <v>5.6338990550063354E-11</v>
      </c>
      <c r="CX44" s="101">
        <f>IFERROR(s_RadSpec!$E$15*(CX15/$B44),".")</f>
        <v>6.6538901147894468E-11</v>
      </c>
    </row>
    <row r="45" spans="1:102" x14ac:dyDescent="0.25">
      <c r="A45" s="95" t="s">
        <v>20</v>
      </c>
      <c r="B45" s="95" t="s">
        <v>1074</v>
      </c>
      <c r="C45" s="96">
        <f t="shared" si="35"/>
        <v>147.95247322402815</v>
      </c>
      <c r="D45" s="96">
        <f>IFERROR(1/SUM(D46:D47),".")</f>
        <v>757.29602934818149</v>
      </c>
      <c r="E45" s="96">
        <f t="shared" ref="E45:AA45" si="88">IFERROR(1/SUM(E46:E47),".")</f>
        <v>411.98882257752092</v>
      </c>
      <c r="F45" s="96">
        <f t="shared" si="88"/>
        <v>485.50978198127984</v>
      </c>
      <c r="G45" s="96">
        <f t="shared" si="88"/>
        <v>803.25564999684684</v>
      </c>
      <c r="H45" s="96">
        <f t="shared" si="88"/>
        <v>613.16919749809892</v>
      </c>
      <c r="I45" s="96">
        <f t="shared" si="88"/>
        <v>411.98882257752092</v>
      </c>
      <c r="J45" s="96">
        <f t="shared" si="88"/>
        <v>485.50978198127984</v>
      </c>
      <c r="K45" s="96">
        <f t="shared" si="88"/>
        <v>757.29602934818149</v>
      </c>
      <c r="L45" s="96">
        <f t="shared" si="88"/>
        <v>533.07434586472266</v>
      </c>
      <c r="M45" s="96">
        <f t="shared" si="88"/>
        <v>613.16919749809892</v>
      </c>
      <c r="N45" s="96">
        <f t="shared" si="88"/>
        <v>411.98882257752092</v>
      </c>
      <c r="O45" s="96">
        <f t="shared" si="88"/>
        <v>495.33130869436241</v>
      </c>
      <c r="P45" s="96">
        <f t="shared" si="88"/>
        <v>613.16919749809892</v>
      </c>
      <c r="Q45" s="96">
        <f t="shared" si="88"/>
        <v>613.16919749809892</v>
      </c>
      <c r="R45" s="96">
        <f t="shared" si="88"/>
        <v>757.29602934818149</v>
      </c>
      <c r="S45" s="96">
        <f t="shared" si="88"/>
        <v>757.29602934818149</v>
      </c>
      <c r="T45" s="96">
        <f t="shared" si="88"/>
        <v>495.33130869436241</v>
      </c>
      <c r="U45" s="96">
        <f t="shared" si="88"/>
        <v>426.33552840179044</v>
      </c>
      <c r="V45" s="96">
        <f t="shared" si="88"/>
        <v>613.16919749809892</v>
      </c>
      <c r="W45" s="96">
        <f t="shared" si="88"/>
        <v>495.33130869436241</v>
      </c>
      <c r="X45" s="96">
        <f t="shared" si="88"/>
        <v>792.85187204389069</v>
      </c>
      <c r="Y45" s="96">
        <f t="shared" si="88"/>
        <v>613.16919749809892</v>
      </c>
      <c r="Z45" s="96">
        <f t="shared" si="88"/>
        <v>821.72084519019847</v>
      </c>
      <c r="AA45" s="96">
        <f t="shared" si="88"/>
        <v>557.34182423975233</v>
      </c>
      <c r="AB45" s="47">
        <f>IFERROR(IF(SUM(AC46:AD47,AY46:AZ47)&gt;0.01,1-EXP(-SUM(AC46:AD47,AY46:AZ47)),SUM(AC46:AD47,AY46:AZ47)),".")</f>
        <v>3.3794636149333234E-8</v>
      </c>
      <c r="AC45" s="97">
        <f>IFERROR(IF(SUM(AC46:AC47)&gt;0.01,1-EXP(-(SUM(AC46:AC47))),SUM(AC46:AC47)),".")</f>
        <v>6.6024378924891371E-9</v>
      </c>
      <c r="AD45" s="97">
        <f>IFERROR(IF(SUM(AD46:AD47)&gt;0.01,1-EXP(-(SUM(AD46:AD47))),SUM(AD46:AD47)),".")</f>
        <v>1.2136251582551579E-8</v>
      </c>
      <c r="AE45" s="97">
        <f t="shared" ref="AE45:AX45" si="89">IFERROR(IF(SUM(AE46:AE47)&gt;0.01,1-EXP(-(SUM(AE46:AE47))),SUM(AE46:AE47)),".")</f>
        <v>1.0298453678102795E-8</v>
      </c>
      <c r="AF45" s="97">
        <f t="shared" si="89"/>
        <v>6.224668323241333E-9</v>
      </c>
      <c r="AG45" s="97">
        <f t="shared" si="89"/>
        <v>8.1543561229125514E-9</v>
      </c>
      <c r="AH45" s="97">
        <f t="shared" si="89"/>
        <v>1.2136251582551579E-8</v>
      </c>
      <c r="AI45" s="97">
        <f t="shared" si="89"/>
        <v>1.0298453678102795E-8</v>
      </c>
      <c r="AJ45" s="97">
        <f t="shared" si="89"/>
        <v>6.6024378924891371E-9</v>
      </c>
      <c r="AK45" s="97">
        <f t="shared" si="89"/>
        <v>9.3795547258784056E-9</v>
      </c>
      <c r="AL45" s="97">
        <f t="shared" si="89"/>
        <v>8.1543561229125514E-9</v>
      </c>
      <c r="AM45" s="97">
        <f t="shared" si="89"/>
        <v>1.2136251582551579E-8</v>
      </c>
      <c r="AN45" s="97">
        <f t="shared" si="89"/>
        <v>1.0094253910941824E-8</v>
      </c>
      <c r="AO45" s="97">
        <f t="shared" si="89"/>
        <v>8.1543561229125514E-9</v>
      </c>
      <c r="AP45" s="97">
        <f t="shared" si="89"/>
        <v>8.1543561229125514E-9</v>
      </c>
      <c r="AQ45" s="97">
        <f t="shared" si="89"/>
        <v>6.6024378924891371E-9</v>
      </c>
      <c r="AR45" s="97">
        <f t="shared" si="89"/>
        <v>6.6024378924891371E-9</v>
      </c>
      <c r="AS45" s="97">
        <f t="shared" si="89"/>
        <v>1.0094253910941824E-8</v>
      </c>
      <c r="AT45" s="97">
        <f t="shared" si="89"/>
        <v>1.1727852048229626E-8</v>
      </c>
      <c r="AU45" s="97">
        <f t="shared" si="89"/>
        <v>8.1543561229125514E-9</v>
      </c>
      <c r="AV45" s="97">
        <f t="shared" si="89"/>
        <v>1.0094253910941824E-8</v>
      </c>
      <c r="AW45" s="97">
        <f t="shared" si="89"/>
        <v>6.3063482301057228E-9</v>
      </c>
      <c r="AX45" s="97">
        <f t="shared" si="89"/>
        <v>8.1543561229125514E-9</v>
      </c>
      <c r="AY45" s="97">
        <f>IFERROR(IF(SUM(AY46:AY47)&gt;0.01,1-EXP(-(SUM(AY46:AY47))),SUM(AY46:AY47)),".")</f>
        <v>6.0847914827360641E-9</v>
      </c>
      <c r="AZ45" s="97">
        <f>IFERROR(IF(SUM(AZ46:AZ47)&gt;0.01,1-EXP(-(SUM(AZ46:AZ47))),SUM(AZ46:AZ47)),".")</f>
        <v>8.9711551915564542E-9</v>
      </c>
      <c r="BA45" s="98">
        <f t="shared" si="61"/>
        <v>147.95247322402815</v>
      </c>
      <c r="BB45" s="98">
        <f>IFERROR(1/SUM(BB46:BB47),".")</f>
        <v>757.29602934818149</v>
      </c>
      <c r="BC45" s="98">
        <f t="shared" ref="BC45:BY45" si="90">IFERROR(1/SUM(BC46:BC47),".")</f>
        <v>411.98882257752092</v>
      </c>
      <c r="BD45" s="98">
        <f t="shared" si="90"/>
        <v>485.50978198127984</v>
      </c>
      <c r="BE45" s="98">
        <f t="shared" si="90"/>
        <v>803.25564999684684</v>
      </c>
      <c r="BF45" s="98">
        <f t="shared" si="90"/>
        <v>613.16919749809892</v>
      </c>
      <c r="BG45" s="98">
        <f t="shared" si="90"/>
        <v>411.98882257752092</v>
      </c>
      <c r="BH45" s="98">
        <f t="shared" si="90"/>
        <v>485.50978198127984</v>
      </c>
      <c r="BI45" s="98">
        <f t="shared" si="90"/>
        <v>757.29602934818149</v>
      </c>
      <c r="BJ45" s="98">
        <f t="shared" si="90"/>
        <v>533.07434586472266</v>
      </c>
      <c r="BK45" s="98">
        <f t="shared" si="90"/>
        <v>613.16919749809892</v>
      </c>
      <c r="BL45" s="98">
        <f t="shared" si="90"/>
        <v>411.98882257752092</v>
      </c>
      <c r="BM45" s="98">
        <f t="shared" si="90"/>
        <v>495.33130869436241</v>
      </c>
      <c r="BN45" s="98">
        <f t="shared" si="90"/>
        <v>613.16919749809892</v>
      </c>
      <c r="BO45" s="98">
        <f t="shared" si="90"/>
        <v>613.16919749809892</v>
      </c>
      <c r="BP45" s="98">
        <f t="shared" si="90"/>
        <v>757.29602934818149</v>
      </c>
      <c r="BQ45" s="98">
        <f t="shared" si="90"/>
        <v>757.29602934818149</v>
      </c>
      <c r="BR45" s="98">
        <f t="shared" si="90"/>
        <v>495.33130869436241</v>
      </c>
      <c r="BS45" s="98">
        <f t="shared" si="90"/>
        <v>426.33552840179044</v>
      </c>
      <c r="BT45" s="98">
        <f t="shared" si="90"/>
        <v>613.16919749809892</v>
      </c>
      <c r="BU45" s="98">
        <f t="shared" si="90"/>
        <v>495.33130869436241</v>
      </c>
      <c r="BV45" s="98">
        <f t="shared" si="90"/>
        <v>792.85187204389069</v>
      </c>
      <c r="BW45" s="98">
        <f t="shared" si="90"/>
        <v>613.16919749809892</v>
      </c>
      <c r="BX45" s="98">
        <f t="shared" si="90"/>
        <v>821.72084519019847</v>
      </c>
      <c r="BY45" s="98">
        <f t="shared" si="90"/>
        <v>557.34182423975233</v>
      </c>
      <c r="BZ45" s="47">
        <f>IFERROR(IF(SUM(CA46:CB47,CW46:CX47)&gt;0.01,1-EXP(-SUM(CA46:CB47,CW46:CX47)),SUM(CA46:CB47,CW46:CX47)),".")</f>
        <v>3.3794636149333234E-8</v>
      </c>
      <c r="CA45" s="97">
        <f>IFERROR(IF(SUM(CA46:CA47)&gt;0.01,1-EXP(-(SUM(CA46:CA47))),SUM(CA46:CA47)),".")</f>
        <v>6.6024378924891371E-9</v>
      </c>
      <c r="CB45" s="97">
        <f>IFERROR(IF(SUM(CB46:CB47)&gt;0.01,1-EXP(-(SUM(CB46:CB47))),SUM(CB46:CB47)),".")</f>
        <v>1.2136251582551579E-8</v>
      </c>
      <c r="CC45" s="97">
        <f t="shared" ref="CC45" si="91">IFERROR(IF(SUM(CC46:CC47)&gt;0.01,1-EXP(-(SUM(CC46:CC47))),SUM(CC46:CC47)),".")</f>
        <v>1.0298453678102795E-8</v>
      </c>
      <c r="CD45" s="97">
        <f t="shared" ref="CD45" si="92">IFERROR(IF(SUM(CD46:CD47)&gt;0.01,1-EXP(-(SUM(CD46:CD47))),SUM(CD46:CD47)),".")</f>
        <v>6.224668323241333E-9</v>
      </c>
      <c r="CE45" s="97">
        <f t="shared" ref="CE45" si="93">IFERROR(IF(SUM(CE46:CE47)&gt;0.01,1-EXP(-(SUM(CE46:CE47))),SUM(CE46:CE47)),".")</f>
        <v>8.1543561229125514E-9</v>
      </c>
      <c r="CF45" s="97">
        <f t="shared" ref="CF45" si="94">IFERROR(IF(SUM(CF46:CF47)&gt;0.01,1-EXP(-(SUM(CF46:CF47))),SUM(CF46:CF47)),".")</f>
        <v>1.2136251582551579E-8</v>
      </c>
      <c r="CG45" s="97">
        <f t="shared" ref="CG45" si="95">IFERROR(IF(SUM(CG46:CG47)&gt;0.01,1-EXP(-(SUM(CG46:CG47))),SUM(CG46:CG47)),".")</f>
        <v>1.0298453678102795E-8</v>
      </c>
      <c r="CH45" s="97">
        <f t="shared" ref="CH45" si="96">IFERROR(IF(SUM(CH46:CH47)&gt;0.01,1-EXP(-(SUM(CH46:CH47))),SUM(CH46:CH47)),".")</f>
        <v>6.6024378924891371E-9</v>
      </c>
      <c r="CI45" s="97">
        <f t="shared" ref="CI45" si="97">IFERROR(IF(SUM(CI46:CI47)&gt;0.01,1-EXP(-(SUM(CI46:CI47))),SUM(CI46:CI47)),".")</f>
        <v>9.3795547258784056E-9</v>
      </c>
      <c r="CJ45" s="97">
        <f t="shared" ref="CJ45" si="98">IFERROR(IF(SUM(CJ46:CJ47)&gt;0.01,1-EXP(-(SUM(CJ46:CJ47))),SUM(CJ46:CJ47)),".")</f>
        <v>8.1543561229125514E-9</v>
      </c>
      <c r="CK45" s="97">
        <f t="shared" ref="CK45" si="99">IFERROR(IF(SUM(CK46:CK47)&gt;0.01,1-EXP(-(SUM(CK46:CK47))),SUM(CK46:CK47)),".")</f>
        <v>1.2136251582551579E-8</v>
      </c>
      <c r="CL45" s="97">
        <f t="shared" ref="CL45" si="100">IFERROR(IF(SUM(CL46:CL47)&gt;0.01,1-EXP(-(SUM(CL46:CL47))),SUM(CL46:CL47)),".")</f>
        <v>1.0094253910941824E-8</v>
      </c>
      <c r="CM45" s="97">
        <f t="shared" ref="CM45" si="101">IFERROR(IF(SUM(CM46:CM47)&gt;0.01,1-EXP(-(SUM(CM46:CM47))),SUM(CM46:CM47)),".")</f>
        <v>8.1543561229125514E-9</v>
      </c>
      <c r="CN45" s="97">
        <f t="shared" ref="CN45" si="102">IFERROR(IF(SUM(CN46:CN47)&gt;0.01,1-EXP(-(SUM(CN46:CN47))),SUM(CN46:CN47)),".")</f>
        <v>8.1543561229125514E-9</v>
      </c>
      <c r="CO45" s="97">
        <f t="shared" ref="CO45" si="103">IFERROR(IF(SUM(CO46:CO47)&gt;0.01,1-EXP(-(SUM(CO46:CO47))),SUM(CO46:CO47)),".")</f>
        <v>6.6024378924891371E-9</v>
      </c>
      <c r="CP45" s="97">
        <f t="shared" ref="CP45" si="104">IFERROR(IF(SUM(CP46:CP47)&gt;0.01,1-EXP(-(SUM(CP46:CP47))),SUM(CP46:CP47)),".")</f>
        <v>6.6024378924891371E-9</v>
      </c>
      <c r="CQ45" s="97">
        <f t="shared" ref="CQ45" si="105">IFERROR(IF(SUM(CQ46:CQ47)&gt;0.01,1-EXP(-(SUM(CQ46:CQ47))),SUM(CQ46:CQ47)),".")</f>
        <v>1.0094253910941824E-8</v>
      </c>
      <c r="CR45" s="97">
        <f t="shared" ref="CR45" si="106">IFERROR(IF(SUM(CR46:CR47)&gt;0.01,1-EXP(-(SUM(CR46:CR47))),SUM(CR46:CR47)),".")</f>
        <v>1.1727852048229626E-8</v>
      </c>
      <c r="CS45" s="97">
        <f t="shared" ref="CS45" si="107">IFERROR(IF(SUM(CS46:CS47)&gt;0.01,1-EXP(-(SUM(CS46:CS47))),SUM(CS46:CS47)),".")</f>
        <v>8.1543561229125514E-9</v>
      </c>
      <c r="CT45" s="97">
        <f t="shared" ref="CT45" si="108">IFERROR(IF(SUM(CT46:CT47)&gt;0.01,1-EXP(-(SUM(CT46:CT47))),SUM(CT46:CT47)),".")</f>
        <v>1.0094253910941824E-8</v>
      </c>
      <c r="CU45" s="97">
        <f t="shared" ref="CU45" si="109">IFERROR(IF(SUM(CU46:CU47)&gt;0.01,1-EXP(-(SUM(CU46:CU47))),SUM(CU46:CU47)),".")</f>
        <v>6.3063482301057228E-9</v>
      </c>
      <c r="CV45" s="97">
        <f t="shared" ref="CV45" si="110">IFERROR(IF(SUM(CV46:CV47)&gt;0.01,1-EXP(-(SUM(CV46:CV47))),SUM(CV46:CV47)),".")</f>
        <v>8.1543561229125514E-9</v>
      </c>
      <c r="CW45" s="97">
        <f>IFERROR(IF(SUM(CW46:CW47)&gt;0.01,1-EXP(-(SUM(CW46:CW47))),SUM(CW46:CW47)),".")</f>
        <v>6.0847914827360641E-9</v>
      </c>
      <c r="CX45" s="97">
        <f>IFERROR(IF(SUM(CX46:CX47)&gt;0.01,1-EXP(-(SUM(CX46:CX47))),SUM(CX46:CX47)),".")</f>
        <v>8.9711551915564542E-9</v>
      </c>
    </row>
    <row r="46" spans="1:102" x14ac:dyDescent="0.25">
      <c r="A46" s="99" t="s">
        <v>1101</v>
      </c>
      <c r="B46" s="90">
        <v>1</v>
      </c>
      <c r="C46" s="100">
        <f t="shared" si="35"/>
        <v>3.9241115727733493E-4</v>
      </c>
      <c r="D46" s="100">
        <f t="shared" ref="D46:AA46" si="111">IFERROR($B46/D10,0)</f>
        <v>1.3204875784978277E-3</v>
      </c>
      <c r="E46" s="100">
        <f t="shared" si="111"/>
        <v>2.4272503165103159E-3</v>
      </c>
      <c r="F46" s="100">
        <f t="shared" si="111"/>
        <v>2.05969073562056E-3</v>
      </c>
      <c r="G46" s="100">
        <f t="shared" si="111"/>
        <v>1.2449336646482667E-3</v>
      </c>
      <c r="H46" s="100">
        <f t="shared" si="111"/>
        <v>1.6308712245825109E-3</v>
      </c>
      <c r="I46" s="100">
        <f t="shared" si="111"/>
        <v>2.4272503165103159E-3</v>
      </c>
      <c r="J46" s="100">
        <f t="shared" si="111"/>
        <v>2.05969073562056E-3</v>
      </c>
      <c r="K46" s="100">
        <f t="shared" si="111"/>
        <v>1.3204875784978277E-3</v>
      </c>
      <c r="L46" s="100">
        <f t="shared" si="111"/>
        <v>1.8759109451756814E-3</v>
      </c>
      <c r="M46" s="100">
        <f t="shared" si="111"/>
        <v>1.6308712245825109E-3</v>
      </c>
      <c r="N46" s="100">
        <f t="shared" si="111"/>
        <v>2.4272503165103159E-3</v>
      </c>
      <c r="O46" s="100">
        <f t="shared" si="111"/>
        <v>2.0188507821883648E-3</v>
      </c>
      <c r="P46" s="100">
        <f t="shared" si="111"/>
        <v>1.6308712245825109E-3</v>
      </c>
      <c r="Q46" s="100">
        <f t="shared" si="111"/>
        <v>1.6308712245825109E-3</v>
      </c>
      <c r="R46" s="100">
        <f t="shared" si="111"/>
        <v>1.3204875784978277E-3</v>
      </c>
      <c r="S46" s="100">
        <f t="shared" si="111"/>
        <v>1.3204875784978277E-3</v>
      </c>
      <c r="T46" s="100">
        <f t="shared" si="111"/>
        <v>2.0188507821883648E-3</v>
      </c>
      <c r="U46" s="100">
        <f t="shared" si="111"/>
        <v>2.3455704096459261E-3</v>
      </c>
      <c r="V46" s="100">
        <f t="shared" si="111"/>
        <v>1.6308712245825109E-3</v>
      </c>
      <c r="W46" s="100">
        <f t="shared" si="111"/>
        <v>2.0188507821883648E-3</v>
      </c>
      <c r="X46" s="100">
        <f t="shared" si="111"/>
        <v>1.2612696460211448E-3</v>
      </c>
      <c r="Y46" s="100">
        <f t="shared" si="111"/>
        <v>1.6308712245825109E-3</v>
      </c>
      <c r="Z46" s="100">
        <f t="shared" si="111"/>
        <v>1.216958296547213E-3</v>
      </c>
      <c r="AA46" s="100">
        <f t="shared" si="111"/>
        <v>1.7942310383112913E-3</v>
      </c>
      <c r="AB46" s="49">
        <f t="shared" si="60"/>
        <v>3.3794636149333234E-8</v>
      </c>
      <c r="AC46" s="101">
        <f>IFERROR(s_RadSpec!$E$10*(AC10/$B46),".")</f>
        <v>6.6024378924891371E-9</v>
      </c>
      <c r="AD46" s="101">
        <f>IFERROR(s_RadSpec!$E$10*(AD10/$B46),".")</f>
        <v>1.2136251582551579E-8</v>
      </c>
      <c r="AE46" s="101">
        <f>IFERROR(s_RadSpec!$E$10*(AE10/$B46),".")</f>
        <v>1.0298453678102795E-8</v>
      </c>
      <c r="AF46" s="101">
        <f>IFERROR(s_RadSpec!$E$10*(AF10/$B46),".")</f>
        <v>6.224668323241333E-9</v>
      </c>
      <c r="AG46" s="101">
        <f>IFERROR(s_RadSpec!$E$10*(AG10/$B46),".")</f>
        <v>8.1543561229125514E-9</v>
      </c>
      <c r="AH46" s="101">
        <f>IFERROR(s_RadSpec!$E$10*(AH10/$B46),".")</f>
        <v>1.2136251582551579E-8</v>
      </c>
      <c r="AI46" s="101">
        <f>IFERROR(s_RadSpec!$E$10*(AI10/$B46),".")</f>
        <v>1.0298453678102795E-8</v>
      </c>
      <c r="AJ46" s="101">
        <f>IFERROR(s_RadSpec!$E$10*(AJ10/$B46),".")</f>
        <v>6.6024378924891371E-9</v>
      </c>
      <c r="AK46" s="101">
        <f>IFERROR(s_RadSpec!$E$10*(AK10/$B46),".")</f>
        <v>9.3795547258784056E-9</v>
      </c>
      <c r="AL46" s="101">
        <f>IFERROR(s_RadSpec!$E$10*(AL10/$B46),".")</f>
        <v>8.1543561229125514E-9</v>
      </c>
      <c r="AM46" s="101">
        <f>IFERROR(s_RadSpec!$E$10*(AM10/$B46),".")</f>
        <v>1.2136251582551579E-8</v>
      </c>
      <c r="AN46" s="101">
        <f>IFERROR(s_RadSpec!$E$10*(AN10/$B46),".")</f>
        <v>1.0094253910941824E-8</v>
      </c>
      <c r="AO46" s="101">
        <f>IFERROR(s_RadSpec!$E$10*(AO10/$B46),".")</f>
        <v>8.1543561229125514E-9</v>
      </c>
      <c r="AP46" s="101">
        <f>IFERROR(s_RadSpec!$E$10*(AP10/$B46),".")</f>
        <v>8.1543561229125514E-9</v>
      </c>
      <c r="AQ46" s="101">
        <f>IFERROR(s_RadSpec!$E$10*(AQ10/$B46),".")</f>
        <v>6.6024378924891371E-9</v>
      </c>
      <c r="AR46" s="101">
        <f>IFERROR(s_RadSpec!$E$10*(AR10/$B46),".")</f>
        <v>6.6024378924891371E-9</v>
      </c>
      <c r="AS46" s="101">
        <f>IFERROR(s_RadSpec!$E$10*(AS10/$B46),".")</f>
        <v>1.0094253910941824E-8</v>
      </c>
      <c r="AT46" s="101">
        <f>IFERROR(s_RadSpec!$E$10*(AT10/$B46),".")</f>
        <v>1.1727852048229626E-8</v>
      </c>
      <c r="AU46" s="101">
        <f>IFERROR(s_RadSpec!$E$10*(AU10/$B46),".")</f>
        <v>8.1543561229125514E-9</v>
      </c>
      <c r="AV46" s="101">
        <f>IFERROR(s_RadSpec!$E$10*(AV10/$B46),".")</f>
        <v>1.0094253910941824E-8</v>
      </c>
      <c r="AW46" s="101">
        <f>IFERROR(s_RadSpec!$E$10*(AW10/$B46),".")</f>
        <v>6.3063482301057228E-9</v>
      </c>
      <c r="AX46" s="101">
        <f>IFERROR(s_RadSpec!$E$10*(AX10/$B46),".")</f>
        <v>8.1543561229125514E-9</v>
      </c>
      <c r="AY46" s="101">
        <f>IFERROR(s_RadSpec!$E$10*(AY10/$B46),".")</f>
        <v>6.0847914827360641E-9</v>
      </c>
      <c r="AZ46" s="101">
        <f>IFERROR(s_RadSpec!$E$10*(AZ10/$B46),".")</f>
        <v>8.9711551915564542E-9</v>
      </c>
      <c r="BA46" s="100">
        <f t="shared" si="61"/>
        <v>3.9241115727733493E-4</v>
      </c>
      <c r="BB46" s="100">
        <f t="shared" ref="BB46:BY46" si="112">IFERROR($B46/BB10,0)</f>
        <v>1.3204875784978277E-3</v>
      </c>
      <c r="BC46" s="100">
        <f t="shared" si="112"/>
        <v>2.4272503165103159E-3</v>
      </c>
      <c r="BD46" s="100">
        <f t="shared" si="112"/>
        <v>2.05969073562056E-3</v>
      </c>
      <c r="BE46" s="100">
        <f t="shared" si="112"/>
        <v>1.2449336646482667E-3</v>
      </c>
      <c r="BF46" s="100">
        <f t="shared" si="112"/>
        <v>1.6308712245825109E-3</v>
      </c>
      <c r="BG46" s="100">
        <f t="shared" si="112"/>
        <v>2.4272503165103159E-3</v>
      </c>
      <c r="BH46" s="100">
        <f t="shared" si="112"/>
        <v>2.05969073562056E-3</v>
      </c>
      <c r="BI46" s="100">
        <f t="shared" si="112"/>
        <v>1.3204875784978277E-3</v>
      </c>
      <c r="BJ46" s="100">
        <f t="shared" si="112"/>
        <v>1.8759109451756814E-3</v>
      </c>
      <c r="BK46" s="100">
        <f t="shared" si="112"/>
        <v>1.6308712245825109E-3</v>
      </c>
      <c r="BL46" s="100">
        <f t="shared" si="112"/>
        <v>2.4272503165103159E-3</v>
      </c>
      <c r="BM46" s="100">
        <f t="shared" si="112"/>
        <v>2.0188507821883648E-3</v>
      </c>
      <c r="BN46" s="100">
        <f t="shared" si="112"/>
        <v>1.6308712245825109E-3</v>
      </c>
      <c r="BO46" s="100">
        <f t="shared" si="112"/>
        <v>1.6308712245825109E-3</v>
      </c>
      <c r="BP46" s="100">
        <f t="shared" si="112"/>
        <v>1.3204875784978277E-3</v>
      </c>
      <c r="BQ46" s="100">
        <f t="shared" si="112"/>
        <v>1.3204875784978277E-3</v>
      </c>
      <c r="BR46" s="100">
        <f t="shared" si="112"/>
        <v>2.0188507821883648E-3</v>
      </c>
      <c r="BS46" s="100">
        <f t="shared" si="112"/>
        <v>2.3455704096459261E-3</v>
      </c>
      <c r="BT46" s="100">
        <f t="shared" si="112"/>
        <v>1.6308712245825109E-3</v>
      </c>
      <c r="BU46" s="100">
        <f t="shared" si="112"/>
        <v>2.0188507821883648E-3</v>
      </c>
      <c r="BV46" s="100">
        <f t="shared" si="112"/>
        <v>1.2612696460211448E-3</v>
      </c>
      <c r="BW46" s="100">
        <f t="shared" si="112"/>
        <v>1.6308712245825109E-3</v>
      </c>
      <c r="BX46" s="100">
        <f t="shared" si="112"/>
        <v>1.216958296547213E-3</v>
      </c>
      <c r="BY46" s="100">
        <f t="shared" si="112"/>
        <v>1.7942310383112913E-3</v>
      </c>
      <c r="BZ46" s="49">
        <f t="shared" ref="BZ46:BZ47" si="113">SUM(CA46:CB46,CW46:CX46)</f>
        <v>3.3794636149333234E-8</v>
      </c>
      <c r="CA46" s="101">
        <f>IFERROR(s_RadSpec!$E$10*(CA10/$B46),".")</f>
        <v>6.6024378924891371E-9</v>
      </c>
      <c r="CB46" s="101">
        <f>IFERROR(s_RadSpec!$E$10*(CB10/$B46),".")</f>
        <v>1.2136251582551579E-8</v>
      </c>
      <c r="CC46" s="101">
        <f>IFERROR(s_RadSpec!$E$10*(CC10/$B46),".")</f>
        <v>1.0298453678102795E-8</v>
      </c>
      <c r="CD46" s="101">
        <f>IFERROR(s_RadSpec!$E$10*(CD10/$B46),".")</f>
        <v>6.224668323241333E-9</v>
      </c>
      <c r="CE46" s="101">
        <f>IFERROR(s_RadSpec!$E$10*(CE10/$B46),".")</f>
        <v>8.1543561229125514E-9</v>
      </c>
      <c r="CF46" s="101">
        <f>IFERROR(s_RadSpec!$E$10*(CF10/$B46),".")</f>
        <v>1.2136251582551579E-8</v>
      </c>
      <c r="CG46" s="101">
        <f>IFERROR(s_RadSpec!$E$10*(CG10/$B46),".")</f>
        <v>1.0298453678102795E-8</v>
      </c>
      <c r="CH46" s="101">
        <f>IFERROR(s_RadSpec!$E$10*(CH10/$B46),".")</f>
        <v>6.6024378924891371E-9</v>
      </c>
      <c r="CI46" s="101">
        <f>IFERROR(s_RadSpec!$E$10*(CI10/$B46),".")</f>
        <v>9.3795547258784056E-9</v>
      </c>
      <c r="CJ46" s="101">
        <f>IFERROR(s_RadSpec!$E$10*(CJ10/$B46),".")</f>
        <v>8.1543561229125514E-9</v>
      </c>
      <c r="CK46" s="101">
        <f>IFERROR(s_RadSpec!$E$10*(CK10/$B46),".")</f>
        <v>1.2136251582551579E-8</v>
      </c>
      <c r="CL46" s="101">
        <f>IFERROR(s_RadSpec!$E$10*(CL10/$B46),".")</f>
        <v>1.0094253910941824E-8</v>
      </c>
      <c r="CM46" s="101">
        <f>IFERROR(s_RadSpec!$E$10*(CM10/$B46),".")</f>
        <v>8.1543561229125514E-9</v>
      </c>
      <c r="CN46" s="101">
        <f>IFERROR(s_RadSpec!$E$10*(CN10/$B46),".")</f>
        <v>8.1543561229125514E-9</v>
      </c>
      <c r="CO46" s="101">
        <f>IFERROR(s_RadSpec!$E$10*(CO10/$B46),".")</f>
        <v>6.6024378924891371E-9</v>
      </c>
      <c r="CP46" s="101">
        <f>IFERROR(s_RadSpec!$E$10*(CP10/$B46),".")</f>
        <v>6.6024378924891371E-9</v>
      </c>
      <c r="CQ46" s="101">
        <f>IFERROR(s_RadSpec!$E$10*(CQ10/$B46),".")</f>
        <v>1.0094253910941824E-8</v>
      </c>
      <c r="CR46" s="101">
        <f>IFERROR(s_RadSpec!$E$10*(CR10/$B46),".")</f>
        <v>1.1727852048229626E-8</v>
      </c>
      <c r="CS46" s="101">
        <f>IFERROR(s_RadSpec!$E$10*(CS10/$B46),".")</f>
        <v>8.1543561229125514E-9</v>
      </c>
      <c r="CT46" s="101">
        <f>IFERROR(s_RadSpec!$E$10*(CT10/$B46),".")</f>
        <v>1.0094253910941824E-8</v>
      </c>
      <c r="CU46" s="101">
        <f>IFERROR(s_RadSpec!$E$10*(CU10/$B46),".")</f>
        <v>6.3063482301057228E-9</v>
      </c>
      <c r="CV46" s="101">
        <f>IFERROR(s_RadSpec!$E$10*(CV10/$B46),".")</f>
        <v>8.1543561229125514E-9</v>
      </c>
      <c r="CW46" s="101">
        <f>IFERROR(s_RadSpec!$E$10*(CW10/$B46),".")</f>
        <v>6.0847914827360641E-9</v>
      </c>
      <c r="CX46" s="101">
        <f>IFERROR(s_RadSpec!$E$10*(CX10/$B46),".")</f>
        <v>8.9711551915564542E-9</v>
      </c>
    </row>
    <row r="47" spans="1:102" x14ac:dyDescent="0.25">
      <c r="A47" s="99" t="s">
        <v>1075</v>
      </c>
      <c r="B47" s="103">
        <v>0.94399</v>
      </c>
      <c r="C47" s="100" t="str">
        <f t="shared" si="35"/>
        <v>.</v>
      </c>
      <c r="D47" s="100">
        <f t="shared" ref="D47:AA47" si="114">IFERROR($B47/D6,0)</f>
        <v>0</v>
      </c>
      <c r="E47" s="100">
        <f t="shared" si="114"/>
        <v>0</v>
      </c>
      <c r="F47" s="100">
        <f t="shared" si="114"/>
        <v>0</v>
      </c>
      <c r="G47" s="100">
        <f t="shared" si="114"/>
        <v>0</v>
      </c>
      <c r="H47" s="100">
        <f t="shared" si="114"/>
        <v>0</v>
      </c>
      <c r="I47" s="100">
        <f t="shared" si="114"/>
        <v>0</v>
      </c>
      <c r="J47" s="100">
        <f t="shared" si="114"/>
        <v>0</v>
      </c>
      <c r="K47" s="100">
        <f t="shared" si="114"/>
        <v>0</v>
      </c>
      <c r="L47" s="100">
        <f t="shared" si="114"/>
        <v>0</v>
      </c>
      <c r="M47" s="100">
        <f t="shared" si="114"/>
        <v>0</v>
      </c>
      <c r="N47" s="100">
        <f t="shared" si="114"/>
        <v>0</v>
      </c>
      <c r="O47" s="100">
        <f t="shared" si="114"/>
        <v>0</v>
      </c>
      <c r="P47" s="100">
        <f t="shared" si="114"/>
        <v>0</v>
      </c>
      <c r="Q47" s="100">
        <f t="shared" si="114"/>
        <v>0</v>
      </c>
      <c r="R47" s="100">
        <f t="shared" si="114"/>
        <v>0</v>
      </c>
      <c r="S47" s="100">
        <f t="shared" si="114"/>
        <v>0</v>
      </c>
      <c r="T47" s="100">
        <f t="shared" si="114"/>
        <v>0</v>
      </c>
      <c r="U47" s="100">
        <f t="shared" si="114"/>
        <v>0</v>
      </c>
      <c r="V47" s="100">
        <f t="shared" si="114"/>
        <v>0</v>
      </c>
      <c r="W47" s="100">
        <f t="shared" si="114"/>
        <v>0</v>
      </c>
      <c r="X47" s="100">
        <f t="shared" si="114"/>
        <v>0</v>
      </c>
      <c r="Y47" s="100">
        <f t="shared" si="114"/>
        <v>0</v>
      </c>
      <c r="Z47" s="100">
        <f t="shared" si="114"/>
        <v>0</v>
      </c>
      <c r="AA47" s="100">
        <f t="shared" si="114"/>
        <v>0</v>
      </c>
      <c r="AB47" s="49">
        <f t="shared" si="60"/>
        <v>0</v>
      </c>
      <c r="AC47" s="101">
        <f>IFERROR(s_RadSpec!$E$6*(AC6/$B47),".")</f>
        <v>0</v>
      </c>
      <c r="AD47" s="101">
        <f>IFERROR(s_RadSpec!$E$6*(AD6/$B47),".")</f>
        <v>0</v>
      </c>
      <c r="AE47" s="101">
        <f>IFERROR(s_RadSpec!$E$6*(AE6/$B47),".")</f>
        <v>0</v>
      </c>
      <c r="AF47" s="101">
        <f>IFERROR(s_RadSpec!$E$6*(AF6/$B47),".")</f>
        <v>0</v>
      </c>
      <c r="AG47" s="101">
        <f>IFERROR(s_RadSpec!$E$6*(AG6/$B47),".")</f>
        <v>0</v>
      </c>
      <c r="AH47" s="101">
        <f>IFERROR(s_RadSpec!$E$6*(AH6/$B47),".")</f>
        <v>0</v>
      </c>
      <c r="AI47" s="101">
        <f>IFERROR(s_RadSpec!$E$6*(AI6/$B47),".")</f>
        <v>0</v>
      </c>
      <c r="AJ47" s="101">
        <f>IFERROR(s_RadSpec!$E$6*(AJ6/$B47),".")</f>
        <v>0</v>
      </c>
      <c r="AK47" s="101">
        <f>IFERROR(s_RadSpec!$E$6*(AK6/$B47),".")</f>
        <v>0</v>
      </c>
      <c r="AL47" s="101">
        <f>IFERROR(s_RadSpec!$E$6*(AL6/$B47),".")</f>
        <v>0</v>
      </c>
      <c r="AM47" s="101">
        <f>IFERROR(s_RadSpec!$E$6*(AM6/$B47),".")</f>
        <v>0</v>
      </c>
      <c r="AN47" s="101">
        <f>IFERROR(s_RadSpec!$E$6*(AN6/$B47),".")</f>
        <v>0</v>
      </c>
      <c r="AO47" s="101">
        <f>IFERROR(s_RadSpec!$E$6*(AO6/$B47),".")</f>
        <v>0</v>
      </c>
      <c r="AP47" s="101">
        <f>IFERROR(s_RadSpec!$E$6*(AP6/$B47),".")</f>
        <v>0</v>
      </c>
      <c r="AQ47" s="101">
        <f>IFERROR(s_RadSpec!$E$6*(AQ6/$B47),".")</f>
        <v>0</v>
      </c>
      <c r="AR47" s="101">
        <f>IFERROR(s_RadSpec!$E$6*(AR6/$B47),".")</f>
        <v>0</v>
      </c>
      <c r="AS47" s="101">
        <f>IFERROR(s_RadSpec!$E$6*(AS6/$B47),".")</f>
        <v>0</v>
      </c>
      <c r="AT47" s="101">
        <f>IFERROR(s_RadSpec!$E$6*(AT6/$B47),".")</f>
        <v>0</v>
      </c>
      <c r="AU47" s="101">
        <f>IFERROR(s_RadSpec!$E$6*(AU6/$B47),".")</f>
        <v>0</v>
      </c>
      <c r="AV47" s="101">
        <f>IFERROR(s_RadSpec!$E$6*(AV6/$B47),".")</f>
        <v>0</v>
      </c>
      <c r="AW47" s="101">
        <f>IFERROR(s_RadSpec!$E$6*(AW6/$B47),".")</f>
        <v>0</v>
      </c>
      <c r="AX47" s="101">
        <f>IFERROR(s_RadSpec!$E$6*(AX6/$B47),".")</f>
        <v>0</v>
      </c>
      <c r="AY47" s="101">
        <f>IFERROR(s_RadSpec!$E$6*(AY6/$B47),".")</f>
        <v>0</v>
      </c>
      <c r="AZ47" s="101">
        <f>IFERROR(s_RadSpec!$E$6*(AZ6/$B47),".")</f>
        <v>0</v>
      </c>
      <c r="BA47" s="100" t="str">
        <f t="shared" si="61"/>
        <v>.</v>
      </c>
      <c r="BB47" s="100">
        <f t="shared" ref="BB47:BY47" si="115">IFERROR($B47/BB6,0)</f>
        <v>0</v>
      </c>
      <c r="BC47" s="100">
        <f t="shared" si="115"/>
        <v>0</v>
      </c>
      <c r="BD47" s="100">
        <f t="shared" si="115"/>
        <v>0</v>
      </c>
      <c r="BE47" s="100">
        <f t="shared" si="115"/>
        <v>0</v>
      </c>
      <c r="BF47" s="100">
        <f t="shared" si="115"/>
        <v>0</v>
      </c>
      <c r="BG47" s="100">
        <f t="shared" si="115"/>
        <v>0</v>
      </c>
      <c r="BH47" s="100">
        <f t="shared" si="115"/>
        <v>0</v>
      </c>
      <c r="BI47" s="100">
        <f t="shared" si="115"/>
        <v>0</v>
      </c>
      <c r="BJ47" s="100">
        <f t="shared" si="115"/>
        <v>0</v>
      </c>
      <c r="BK47" s="100">
        <f t="shared" si="115"/>
        <v>0</v>
      </c>
      <c r="BL47" s="100">
        <f t="shared" si="115"/>
        <v>0</v>
      </c>
      <c r="BM47" s="100">
        <f t="shared" si="115"/>
        <v>0</v>
      </c>
      <c r="BN47" s="100">
        <f t="shared" si="115"/>
        <v>0</v>
      </c>
      <c r="BO47" s="100">
        <f t="shared" si="115"/>
        <v>0</v>
      </c>
      <c r="BP47" s="100">
        <f t="shared" si="115"/>
        <v>0</v>
      </c>
      <c r="BQ47" s="100">
        <f t="shared" si="115"/>
        <v>0</v>
      </c>
      <c r="BR47" s="100">
        <f t="shared" si="115"/>
        <v>0</v>
      </c>
      <c r="BS47" s="100">
        <f t="shared" si="115"/>
        <v>0</v>
      </c>
      <c r="BT47" s="100">
        <f t="shared" si="115"/>
        <v>0</v>
      </c>
      <c r="BU47" s="100">
        <f t="shared" si="115"/>
        <v>0</v>
      </c>
      <c r="BV47" s="100">
        <f t="shared" si="115"/>
        <v>0</v>
      </c>
      <c r="BW47" s="100">
        <f t="shared" si="115"/>
        <v>0</v>
      </c>
      <c r="BX47" s="100">
        <f t="shared" si="115"/>
        <v>0</v>
      </c>
      <c r="BY47" s="100">
        <f t="shared" si="115"/>
        <v>0</v>
      </c>
      <c r="BZ47" s="49">
        <f t="shared" si="113"/>
        <v>0</v>
      </c>
      <c r="CA47" s="101">
        <f>IFERROR(s_RadSpec!$E$6*(CA6/$B47),".")</f>
        <v>0</v>
      </c>
      <c r="CB47" s="101">
        <f>IFERROR(s_RadSpec!$E$6*(CB6/$B47),".")</f>
        <v>0</v>
      </c>
      <c r="CC47" s="101">
        <f>IFERROR(s_RadSpec!$E$6*(CC6/$B47),".")</f>
        <v>0</v>
      </c>
      <c r="CD47" s="101">
        <f>IFERROR(s_RadSpec!$E$6*(CD6/$B47),".")</f>
        <v>0</v>
      </c>
      <c r="CE47" s="101">
        <f>IFERROR(s_RadSpec!$E$6*(CE6/$B47),".")</f>
        <v>0</v>
      </c>
      <c r="CF47" s="101">
        <f>IFERROR(s_RadSpec!$E$6*(CF6/$B47),".")</f>
        <v>0</v>
      </c>
      <c r="CG47" s="101">
        <f>IFERROR(s_RadSpec!$E$6*(CG6/$B47),".")</f>
        <v>0</v>
      </c>
      <c r="CH47" s="101">
        <f>IFERROR(s_RadSpec!$E$6*(CH6/$B47),".")</f>
        <v>0</v>
      </c>
      <c r="CI47" s="101">
        <f>IFERROR(s_RadSpec!$E$6*(CI6/$B47),".")</f>
        <v>0</v>
      </c>
      <c r="CJ47" s="101">
        <f>IFERROR(s_RadSpec!$E$6*(CJ6/$B47),".")</f>
        <v>0</v>
      </c>
      <c r="CK47" s="101">
        <f>IFERROR(s_RadSpec!$E$6*(CK6/$B47),".")</f>
        <v>0</v>
      </c>
      <c r="CL47" s="101">
        <f>IFERROR(s_RadSpec!$E$6*(CL6/$B47),".")</f>
        <v>0</v>
      </c>
      <c r="CM47" s="101">
        <f>IFERROR(s_RadSpec!$E$6*(CM6/$B47),".")</f>
        <v>0</v>
      </c>
      <c r="CN47" s="101">
        <f>IFERROR(s_RadSpec!$E$6*(CN6/$B47),".")</f>
        <v>0</v>
      </c>
      <c r="CO47" s="101">
        <f>IFERROR(s_RadSpec!$E$6*(CO6/$B47),".")</f>
        <v>0</v>
      </c>
      <c r="CP47" s="101">
        <f>IFERROR(s_RadSpec!$E$6*(CP6/$B47),".")</f>
        <v>0</v>
      </c>
      <c r="CQ47" s="101">
        <f>IFERROR(s_RadSpec!$E$6*(CQ6/$B47),".")</f>
        <v>0</v>
      </c>
      <c r="CR47" s="101">
        <f>IFERROR(s_RadSpec!$E$6*(CR6/$B47),".")</f>
        <v>0</v>
      </c>
      <c r="CS47" s="101">
        <f>IFERROR(s_RadSpec!$E$6*(CS6/$B47),".")</f>
        <v>0</v>
      </c>
      <c r="CT47" s="101">
        <f>IFERROR(s_RadSpec!$E$6*(CT6/$B47),".")</f>
        <v>0</v>
      </c>
      <c r="CU47" s="101">
        <f>IFERROR(s_RadSpec!$E$6*(CU6/$B47),".")</f>
        <v>0</v>
      </c>
      <c r="CV47" s="101">
        <f>IFERROR(s_RadSpec!$E$6*(CV6/$B47),".")</f>
        <v>0</v>
      </c>
      <c r="CW47" s="101">
        <f>IFERROR(s_RadSpec!$E$6*(CW6/$B47),".")</f>
        <v>0</v>
      </c>
      <c r="CX47" s="101">
        <f>IFERROR(s_RadSpec!$E$6*(CX6/$B47),".")</f>
        <v>0</v>
      </c>
    </row>
    <row r="48" spans="1:102" x14ac:dyDescent="0.25">
      <c r="A48" s="95" t="s">
        <v>33</v>
      </c>
      <c r="B48" s="95" t="s">
        <v>1074</v>
      </c>
      <c r="C48" s="96">
        <f t="shared" si="35"/>
        <v>1.571410434304233</v>
      </c>
      <c r="D48" s="96">
        <f t="shared" ref="D48:AA48" si="116">IFERROR(1/SUM(D49:D62),0)</f>
        <v>7.2712643408083322</v>
      </c>
      <c r="E48" s="96">
        <f t="shared" si="116"/>
        <v>4.6689844110271785</v>
      </c>
      <c r="F48" s="96">
        <f t="shared" si="116"/>
        <v>6.0790147785863855</v>
      </c>
      <c r="G48" s="96">
        <f t="shared" si="116"/>
        <v>7.2712643408083322</v>
      </c>
      <c r="H48" s="96">
        <f t="shared" si="116"/>
        <v>7.0071776654139413</v>
      </c>
      <c r="I48" s="96">
        <f t="shared" si="116"/>
        <v>4.6689844110271785</v>
      </c>
      <c r="J48" s="96">
        <f t="shared" si="116"/>
        <v>6.0790147785863855</v>
      </c>
      <c r="K48" s="96">
        <f t="shared" si="116"/>
        <v>7.2712643408083322</v>
      </c>
      <c r="L48" s="96">
        <f t="shared" si="116"/>
        <v>7.7052865134610924</v>
      </c>
      <c r="M48" s="96">
        <f t="shared" si="116"/>
        <v>7.0071776654139413</v>
      </c>
      <c r="N48" s="96">
        <f t="shared" si="116"/>
        <v>4.6689844110271785</v>
      </c>
      <c r="O48" s="96">
        <f t="shared" si="116"/>
        <v>7.368384147622387</v>
      </c>
      <c r="P48" s="96">
        <f t="shared" si="116"/>
        <v>7.0071776654139413</v>
      </c>
      <c r="Q48" s="96">
        <f t="shared" si="116"/>
        <v>7.0071776654139413</v>
      </c>
      <c r="R48" s="96">
        <f t="shared" si="116"/>
        <v>7.2712643408083322</v>
      </c>
      <c r="S48" s="96">
        <f t="shared" si="116"/>
        <v>7.2712643408083322</v>
      </c>
      <c r="T48" s="96">
        <f t="shared" si="116"/>
        <v>7.368384147622387</v>
      </c>
      <c r="U48" s="96">
        <f t="shared" si="116"/>
        <v>7.384448359822863</v>
      </c>
      <c r="V48" s="96">
        <f t="shared" si="116"/>
        <v>7.0071776654139413</v>
      </c>
      <c r="W48" s="96">
        <f t="shared" si="116"/>
        <v>7.368384147622387</v>
      </c>
      <c r="X48" s="96">
        <f t="shared" si="116"/>
        <v>7.2712643408083322</v>
      </c>
      <c r="Y48" s="96">
        <f t="shared" si="116"/>
        <v>7.0071776654139413</v>
      </c>
      <c r="Z48" s="96">
        <f t="shared" si="116"/>
        <v>6.9215322626310893</v>
      </c>
      <c r="AA48" s="96">
        <f t="shared" si="116"/>
        <v>7.1333139256899987</v>
      </c>
      <c r="AB48" s="47">
        <f>IFERROR(IF(SUM(AC49:AD62,AY49:AZ62)&gt;0.01,1-EXP(-SUM(AC49:AD62,AY49:AZ62)),SUM(AC49:AD62,AY49:AZ62)),".")</f>
        <v>3.1818550847552659E-6</v>
      </c>
      <c r="AC48" s="97">
        <f>IFERROR(IF(SUM(AC49:AC62)&gt;0.01,1-EXP(-(SUM(AC49:AC62))),SUM(AC49:AC62)),".")</f>
        <v>6.8763835713529308E-7</v>
      </c>
      <c r="AD48" s="97">
        <f>IFERROR(IF(SUM(AD49:AD62)&gt;0.01,1-EXP(-(SUM(AD49:AD62))),SUM(AD49:AD62)),".")</f>
        <v>1.070896774014419E-6</v>
      </c>
      <c r="AE48" s="97">
        <f t="shared" ref="AE48:AX48" si="117">IFERROR(IF(SUM(AE49:AE62)&gt;0.01,1-EXP(-(SUM(AE49:AE62))),SUM(AE49:AE62)),".")</f>
        <v>7.2238343007157501E-7</v>
      </c>
      <c r="AF48" s="97">
        <f t="shared" si="117"/>
        <v>7.2238343007157501E-7</v>
      </c>
      <c r="AG48" s="97">
        <f t="shared" si="117"/>
        <v>7.2238343007157501E-7</v>
      </c>
      <c r="AH48" s="97">
        <f t="shared" si="117"/>
        <v>7.2238343007157501E-7</v>
      </c>
      <c r="AI48" s="97">
        <f t="shared" si="117"/>
        <v>7.2238343007157501E-7</v>
      </c>
      <c r="AJ48" s="97">
        <f t="shared" si="117"/>
        <v>7.2238343007157501E-7</v>
      </c>
      <c r="AK48" s="97">
        <f t="shared" si="117"/>
        <v>7.2238343007157501E-7</v>
      </c>
      <c r="AL48" s="97">
        <f t="shared" si="117"/>
        <v>7.2238343007157501E-7</v>
      </c>
      <c r="AM48" s="97">
        <f t="shared" si="117"/>
        <v>7.2238343007157501E-7</v>
      </c>
      <c r="AN48" s="97">
        <f t="shared" si="117"/>
        <v>7.2238343007157501E-7</v>
      </c>
      <c r="AO48" s="97">
        <f t="shared" si="117"/>
        <v>7.2238343007157501E-7</v>
      </c>
      <c r="AP48" s="97">
        <f t="shared" si="117"/>
        <v>7.2238343007157501E-7</v>
      </c>
      <c r="AQ48" s="97">
        <f t="shared" si="117"/>
        <v>7.2238343007157501E-7</v>
      </c>
      <c r="AR48" s="97">
        <f t="shared" si="117"/>
        <v>7.2238343007157501E-7</v>
      </c>
      <c r="AS48" s="97">
        <f t="shared" si="117"/>
        <v>7.2238343007157501E-7</v>
      </c>
      <c r="AT48" s="97">
        <f t="shared" si="117"/>
        <v>7.2238343007157501E-7</v>
      </c>
      <c r="AU48" s="97">
        <f t="shared" si="117"/>
        <v>7.2238343007157501E-7</v>
      </c>
      <c r="AV48" s="97">
        <f t="shared" si="117"/>
        <v>7.2238343007157501E-7</v>
      </c>
      <c r="AW48" s="97">
        <f t="shared" si="117"/>
        <v>7.2238343007157501E-7</v>
      </c>
      <c r="AX48" s="97">
        <f t="shared" si="117"/>
        <v>7.2238343007157501E-7</v>
      </c>
      <c r="AY48" s="97">
        <f>IFERROR(IF(SUM(AY49:AY62)&gt;0.01,1-EXP(-(SUM(AY49:AY62))),SUM(AY49:AY62)),".")</f>
        <v>7.2238343007157501E-7</v>
      </c>
      <c r="AZ48" s="97">
        <f>IFERROR(IF(SUM(AZ49:AZ62)&gt;0.01,1-EXP(-(SUM(AZ49:AZ62))),SUM(AZ49:AZ62)),".")</f>
        <v>7.0093652353397938E-7</v>
      </c>
      <c r="BA48" s="98">
        <f t="shared" si="61"/>
        <v>1.571410434304233</v>
      </c>
      <c r="BB48" s="98">
        <f t="shared" ref="BB48:BY48" si="118">IFERROR(1/SUM(BB49:BB62),0)</f>
        <v>7.2712643408083322</v>
      </c>
      <c r="BC48" s="98">
        <f t="shared" si="118"/>
        <v>4.6689844110271785</v>
      </c>
      <c r="BD48" s="98">
        <f t="shared" si="118"/>
        <v>6.0790147785863855</v>
      </c>
      <c r="BE48" s="98">
        <f t="shared" si="118"/>
        <v>7.2712643408083322</v>
      </c>
      <c r="BF48" s="98">
        <f t="shared" si="118"/>
        <v>7.0071776654139413</v>
      </c>
      <c r="BG48" s="98">
        <f t="shared" si="118"/>
        <v>4.6689844110271785</v>
      </c>
      <c r="BH48" s="98">
        <f t="shared" si="118"/>
        <v>6.0790147785863855</v>
      </c>
      <c r="BI48" s="98">
        <f t="shared" si="118"/>
        <v>7.2712643408083322</v>
      </c>
      <c r="BJ48" s="98">
        <f t="shared" si="118"/>
        <v>7.7052865134610924</v>
      </c>
      <c r="BK48" s="98">
        <f t="shared" si="118"/>
        <v>7.0071776654139413</v>
      </c>
      <c r="BL48" s="98">
        <f t="shared" si="118"/>
        <v>4.6689844110271785</v>
      </c>
      <c r="BM48" s="98">
        <f t="shared" si="118"/>
        <v>7.368384147622387</v>
      </c>
      <c r="BN48" s="98">
        <f t="shared" si="118"/>
        <v>7.0071776654139413</v>
      </c>
      <c r="BO48" s="98">
        <f t="shared" si="118"/>
        <v>7.0071776654139413</v>
      </c>
      <c r="BP48" s="98">
        <f t="shared" si="118"/>
        <v>7.2712643408083322</v>
      </c>
      <c r="BQ48" s="98">
        <f t="shared" si="118"/>
        <v>7.2712643408083322</v>
      </c>
      <c r="BR48" s="98">
        <f t="shared" si="118"/>
        <v>7.368384147622387</v>
      </c>
      <c r="BS48" s="98">
        <f t="shared" si="118"/>
        <v>7.384448359822863</v>
      </c>
      <c r="BT48" s="98">
        <f t="shared" si="118"/>
        <v>7.0071776654139413</v>
      </c>
      <c r="BU48" s="98">
        <f t="shared" si="118"/>
        <v>7.368384147622387</v>
      </c>
      <c r="BV48" s="98">
        <f t="shared" si="118"/>
        <v>7.2712643408083322</v>
      </c>
      <c r="BW48" s="98">
        <f t="shared" si="118"/>
        <v>7.0071776654139413</v>
      </c>
      <c r="BX48" s="98">
        <f t="shared" si="118"/>
        <v>6.9215322626310893</v>
      </c>
      <c r="BY48" s="98">
        <f t="shared" si="118"/>
        <v>7.1333139256899987</v>
      </c>
      <c r="BZ48" s="47">
        <f>IFERROR(IF(SUM(CA49:CB62,CW49:CX62)&gt;0.01,1-EXP(-SUM(CA49:CB62,CW49:CX62)),SUM(CA49:CB62,CW49:CX62)),".")</f>
        <v>3.1818550847552659E-6</v>
      </c>
      <c r="CA48" s="97">
        <f>IFERROR(IF(SUM(CA49:CA62)&gt;0.01,1-EXP(-(SUM(CA49:CA62))),SUM(CA49:CA62)),".")</f>
        <v>6.8763835713529308E-7</v>
      </c>
      <c r="CB48" s="97">
        <f>IFERROR(IF(SUM(CB49:CB62)&gt;0.01,1-EXP(-(SUM(CB49:CB62))),SUM(CB49:CB62)),".")</f>
        <v>1.070896774014419E-6</v>
      </c>
      <c r="CC48" s="97">
        <f t="shared" ref="CC48" si="119">IFERROR(IF(SUM(CC49:CC62)&gt;0.01,1-EXP(-(SUM(CC49:CC62))),SUM(CC49:CC62)),".")</f>
        <v>7.2238343007157501E-7</v>
      </c>
      <c r="CD48" s="97">
        <f t="shared" ref="CD48" si="120">IFERROR(IF(SUM(CD49:CD62)&gt;0.01,1-EXP(-(SUM(CD49:CD62))),SUM(CD49:CD62)),".")</f>
        <v>7.2238343007157501E-7</v>
      </c>
      <c r="CE48" s="97">
        <f t="shared" ref="CE48" si="121">IFERROR(IF(SUM(CE49:CE62)&gt;0.01,1-EXP(-(SUM(CE49:CE62))),SUM(CE49:CE62)),".")</f>
        <v>7.2238343007157501E-7</v>
      </c>
      <c r="CF48" s="97">
        <f t="shared" ref="CF48" si="122">IFERROR(IF(SUM(CF49:CF62)&gt;0.01,1-EXP(-(SUM(CF49:CF62))),SUM(CF49:CF62)),".")</f>
        <v>7.2238343007157501E-7</v>
      </c>
      <c r="CG48" s="97">
        <f t="shared" ref="CG48" si="123">IFERROR(IF(SUM(CG49:CG62)&gt;0.01,1-EXP(-(SUM(CG49:CG62))),SUM(CG49:CG62)),".")</f>
        <v>7.2238343007157501E-7</v>
      </c>
      <c r="CH48" s="97">
        <f t="shared" ref="CH48" si="124">IFERROR(IF(SUM(CH49:CH62)&gt;0.01,1-EXP(-(SUM(CH49:CH62))),SUM(CH49:CH62)),".")</f>
        <v>7.2238343007157501E-7</v>
      </c>
      <c r="CI48" s="97">
        <f t="shared" ref="CI48" si="125">IFERROR(IF(SUM(CI49:CI62)&gt;0.01,1-EXP(-(SUM(CI49:CI62))),SUM(CI49:CI62)),".")</f>
        <v>7.2238343007157501E-7</v>
      </c>
      <c r="CJ48" s="97">
        <f t="shared" ref="CJ48" si="126">IFERROR(IF(SUM(CJ49:CJ62)&gt;0.01,1-EXP(-(SUM(CJ49:CJ62))),SUM(CJ49:CJ62)),".")</f>
        <v>7.2238343007157501E-7</v>
      </c>
      <c r="CK48" s="97">
        <f t="shared" ref="CK48" si="127">IFERROR(IF(SUM(CK49:CK62)&gt;0.01,1-EXP(-(SUM(CK49:CK62))),SUM(CK49:CK62)),".")</f>
        <v>7.2238343007157501E-7</v>
      </c>
      <c r="CL48" s="97">
        <f t="shared" ref="CL48" si="128">IFERROR(IF(SUM(CL49:CL62)&gt;0.01,1-EXP(-(SUM(CL49:CL62))),SUM(CL49:CL62)),".")</f>
        <v>7.2238343007157501E-7</v>
      </c>
      <c r="CM48" s="97">
        <f t="shared" ref="CM48" si="129">IFERROR(IF(SUM(CM49:CM62)&gt;0.01,1-EXP(-(SUM(CM49:CM62))),SUM(CM49:CM62)),".")</f>
        <v>7.2238343007157501E-7</v>
      </c>
      <c r="CN48" s="97">
        <f t="shared" ref="CN48" si="130">IFERROR(IF(SUM(CN49:CN62)&gt;0.01,1-EXP(-(SUM(CN49:CN62))),SUM(CN49:CN62)),".")</f>
        <v>7.2238343007157501E-7</v>
      </c>
      <c r="CO48" s="97">
        <f t="shared" ref="CO48" si="131">IFERROR(IF(SUM(CO49:CO62)&gt;0.01,1-EXP(-(SUM(CO49:CO62))),SUM(CO49:CO62)),".")</f>
        <v>7.2238343007157501E-7</v>
      </c>
      <c r="CP48" s="97">
        <f t="shared" ref="CP48" si="132">IFERROR(IF(SUM(CP49:CP62)&gt;0.01,1-EXP(-(SUM(CP49:CP62))),SUM(CP49:CP62)),".")</f>
        <v>7.2238343007157501E-7</v>
      </c>
      <c r="CQ48" s="97">
        <f t="shared" ref="CQ48" si="133">IFERROR(IF(SUM(CQ49:CQ62)&gt;0.01,1-EXP(-(SUM(CQ49:CQ62))),SUM(CQ49:CQ62)),".")</f>
        <v>7.2238343007157501E-7</v>
      </c>
      <c r="CR48" s="97">
        <f t="shared" ref="CR48" si="134">IFERROR(IF(SUM(CR49:CR62)&gt;0.01,1-EXP(-(SUM(CR49:CR62))),SUM(CR49:CR62)),".")</f>
        <v>7.2238343007157501E-7</v>
      </c>
      <c r="CS48" s="97">
        <f t="shared" ref="CS48" si="135">IFERROR(IF(SUM(CS49:CS62)&gt;0.01,1-EXP(-(SUM(CS49:CS62))),SUM(CS49:CS62)),".")</f>
        <v>7.2238343007157501E-7</v>
      </c>
      <c r="CT48" s="97">
        <f t="shared" ref="CT48" si="136">IFERROR(IF(SUM(CT49:CT62)&gt;0.01,1-EXP(-(SUM(CT49:CT62))),SUM(CT49:CT62)),".")</f>
        <v>7.2238343007157501E-7</v>
      </c>
      <c r="CU48" s="97">
        <f t="shared" ref="CU48" si="137">IFERROR(IF(SUM(CU49:CU62)&gt;0.01,1-EXP(-(SUM(CU49:CU62))),SUM(CU49:CU62)),".")</f>
        <v>7.2238343007157501E-7</v>
      </c>
      <c r="CV48" s="97">
        <f t="shared" ref="CV48" si="138">IFERROR(IF(SUM(CV49:CV62)&gt;0.01,1-EXP(-(SUM(CV49:CV62))),SUM(CV49:CV62)),".")</f>
        <v>7.2238343007157501E-7</v>
      </c>
      <c r="CW48" s="97">
        <f>IFERROR(IF(SUM(CW49:CW62)&gt;0.01,1-EXP(-(SUM(CW49:CW62))),SUM(CW49:CW62)),".")</f>
        <v>7.2238343007157501E-7</v>
      </c>
      <c r="CX48" s="97">
        <f>IFERROR(IF(SUM(CX49:CX62)&gt;0.01,1-EXP(-(SUM(CX49:CX62))),SUM(CX49:CX62)),".")</f>
        <v>7.0093652353397938E-7</v>
      </c>
    </row>
    <row r="49" spans="1:102" x14ac:dyDescent="0.25">
      <c r="A49" s="99" t="s">
        <v>1103</v>
      </c>
      <c r="B49" s="90">
        <v>1</v>
      </c>
      <c r="C49" s="100">
        <f t="shared" si="35"/>
        <v>5.4979745268616299E-3</v>
      </c>
      <c r="D49" s="100">
        <f t="shared" ref="D49:AA49" si="139">IFERROR($B49/D23,0)</f>
        <v>1.9353361962183738E-2</v>
      </c>
      <c r="E49" s="100">
        <f t="shared" si="139"/>
        <v>4.2116581550950313E-2</v>
      </c>
      <c r="F49" s="100">
        <f t="shared" si="139"/>
        <v>3.6215006102010838E-2</v>
      </c>
      <c r="G49" s="100">
        <f t="shared" si="139"/>
        <v>1.9353361962183738E-2</v>
      </c>
      <c r="H49" s="100">
        <f t="shared" si="139"/>
        <v>2.1320553778496901E-2</v>
      </c>
      <c r="I49" s="100">
        <f t="shared" si="139"/>
        <v>4.2116581550950313E-2</v>
      </c>
      <c r="J49" s="100">
        <f t="shared" si="139"/>
        <v>3.6215006102010838E-2</v>
      </c>
      <c r="K49" s="100">
        <f t="shared" si="139"/>
        <v>1.9353361962183738E-2</v>
      </c>
      <c r="L49" s="100">
        <f t="shared" si="139"/>
        <v>1.7217553704472307E-2</v>
      </c>
      <c r="M49" s="100">
        <f t="shared" si="139"/>
        <v>2.1320553778496901E-2</v>
      </c>
      <c r="N49" s="100">
        <f t="shared" si="139"/>
        <v>4.2116581550950313E-2</v>
      </c>
      <c r="O49" s="100">
        <f t="shared" si="139"/>
        <v>2.0477471571505545E-2</v>
      </c>
      <c r="P49" s="100">
        <f t="shared" si="139"/>
        <v>2.1320553778496901E-2</v>
      </c>
      <c r="Q49" s="100">
        <f t="shared" si="139"/>
        <v>2.1320553778496901E-2</v>
      </c>
      <c r="R49" s="100">
        <f t="shared" si="139"/>
        <v>1.9353361962183738E-2</v>
      </c>
      <c r="S49" s="100">
        <f t="shared" si="139"/>
        <v>1.9353361962183738E-2</v>
      </c>
      <c r="T49" s="100">
        <f t="shared" si="139"/>
        <v>2.0477471571505545E-2</v>
      </c>
      <c r="U49" s="100">
        <f t="shared" si="139"/>
        <v>1.9634389364514192E-2</v>
      </c>
      <c r="V49" s="100">
        <f t="shared" si="139"/>
        <v>2.1320553778496901E-2</v>
      </c>
      <c r="W49" s="100">
        <f t="shared" si="139"/>
        <v>2.0477471571505545E-2</v>
      </c>
      <c r="X49" s="100">
        <f t="shared" si="139"/>
        <v>1.9353361962183738E-2</v>
      </c>
      <c r="Y49" s="100">
        <f t="shared" si="139"/>
        <v>2.1320553778496901E-2</v>
      </c>
      <c r="Z49" s="100">
        <f t="shared" si="139"/>
        <v>1.6787581778906716E-2</v>
      </c>
      <c r="AA49" s="100">
        <f t="shared" si="139"/>
        <v>2.1320553778496901E-2</v>
      </c>
      <c r="AB49" s="49">
        <f t="shared" si="60"/>
        <v>4.9789039535268834E-7</v>
      </c>
      <c r="AC49" s="101">
        <f>IFERROR(s_RadSpec!$E$23*($AC$23/$B49),".")</f>
        <v>9.6766809810918696E-8</v>
      </c>
      <c r="AD49" s="101">
        <f>IFERROR(s_RadSpec!$E$23*($AD$23/$B49),".")</f>
        <v>2.1058290775475157E-7</v>
      </c>
      <c r="AE49" s="101">
        <f>IFERROR(s_RadSpec!$E$23*($AY$23/$B49),".")</f>
        <v>8.393790889453358E-8</v>
      </c>
      <c r="AF49" s="101">
        <f>IFERROR(s_RadSpec!$E$23*($AY$23/$B49),".")</f>
        <v>8.393790889453358E-8</v>
      </c>
      <c r="AG49" s="101">
        <f>IFERROR(s_RadSpec!$E$23*($AY$23/$B49),".")</f>
        <v>8.393790889453358E-8</v>
      </c>
      <c r="AH49" s="101">
        <f>IFERROR(s_RadSpec!$E$23*($AY$23/$B49),".")</f>
        <v>8.393790889453358E-8</v>
      </c>
      <c r="AI49" s="101">
        <f>IFERROR(s_RadSpec!$E$23*($AY$23/$B49),".")</f>
        <v>8.393790889453358E-8</v>
      </c>
      <c r="AJ49" s="101">
        <f>IFERROR(s_RadSpec!$E$23*($AY$23/$B49),".")</f>
        <v>8.393790889453358E-8</v>
      </c>
      <c r="AK49" s="101">
        <f>IFERROR(s_RadSpec!$E$23*($AY$23/$B49),".")</f>
        <v>8.393790889453358E-8</v>
      </c>
      <c r="AL49" s="101">
        <f>IFERROR(s_RadSpec!$E$23*($AY$23/$B49),".")</f>
        <v>8.393790889453358E-8</v>
      </c>
      <c r="AM49" s="101">
        <f>IFERROR(s_RadSpec!$E$23*($AY$23/$B49),".")</f>
        <v>8.393790889453358E-8</v>
      </c>
      <c r="AN49" s="101">
        <f>IFERROR(s_RadSpec!$E$23*($AY$23/$B49),".")</f>
        <v>8.393790889453358E-8</v>
      </c>
      <c r="AO49" s="101">
        <f>IFERROR(s_RadSpec!$E$23*($AY$23/$B49),".")</f>
        <v>8.393790889453358E-8</v>
      </c>
      <c r="AP49" s="101">
        <f>IFERROR(s_RadSpec!$E$23*($AY$23/$B49),".")</f>
        <v>8.393790889453358E-8</v>
      </c>
      <c r="AQ49" s="101">
        <f>IFERROR(s_RadSpec!$E$23*($AY$23/$B49),".")</f>
        <v>8.393790889453358E-8</v>
      </c>
      <c r="AR49" s="101">
        <f>IFERROR(s_RadSpec!$E$23*($AY$23/$B49),".")</f>
        <v>8.393790889453358E-8</v>
      </c>
      <c r="AS49" s="101">
        <f>IFERROR(s_RadSpec!$E$23*($AY$23/$B49),".")</f>
        <v>8.393790889453358E-8</v>
      </c>
      <c r="AT49" s="101">
        <f>IFERROR(s_RadSpec!$E$23*($AY$23/$B49),".")</f>
        <v>8.393790889453358E-8</v>
      </c>
      <c r="AU49" s="101">
        <f>IFERROR(s_RadSpec!$E$23*($AY$23/$B49),".")</f>
        <v>8.393790889453358E-8</v>
      </c>
      <c r="AV49" s="101">
        <f>IFERROR(s_RadSpec!$E$23*($AY$23/$B49),".")</f>
        <v>8.393790889453358E-8</v>
      </c>
      <c r="AW49" s="101">
        <f>IFERROR(s_RadSpec!$E$23*($AY$23/$B49),".")</f>
        <v>8.393790889453358E-8</v>
      </c>
      <c r="AX49" s="101">
        <f>IFERROR(s_RadSpec!$E$23*($AY$23/$B49),".")</f>
        <v>8.393790889453358E-8</v>
      </c>
      <c r="AY49" s="101">
        <f>IFERROR(s_RadSpec!$E$23*($AY$23/$B49),".")</f>
        <v>8.393790889453358E-8</v>
      </c>
      <c r="AZ49" s="101">
        <f>IFERROR(s_RadSpec!$E$23*($AZ$23/$B49),".")</f>
        <v>1.0660276889248449E-7</v>
      </c>
      <c r="BA49" s="100">
        <f t="shared" si="61"/>
        <v>5.4979745268616299E-3</v>
      </c>
      <c r="BB49" s="100">
        <f t="shared" ref="BB49:BY49" si="140">IFERROR($B49/BB23,0)</f>
        <v>1.9353361962183738E-2</v>
      </c>
      <c r="BC49" s="100">
        <f t="shared" si="140"/>
        <v>4.2116581550950313E-2</v>
      </c>
      <c r="BD49" s="100">
        <f t="shared" si="140"/>
        <v>3.6215006102010838E-2</v>
      </c>
      <c r="BE49" s="100">
        <f t="shared" si="140"/>
        <v>1.9353361962183738E-2</v>
      </c>
      <c r="BF49" s="100">
        <f t="shared" si="140"/>
        <v>2.1320553778496901E-2</v>
      </c>
      <c r="BG49" s="100">
        <f t="shared" si="140"/>
        <v>4.2116581550950313E-2</v>
      </c>
      <c r="BH49" s="100">
        <f t="shared" si="140"/>
        <v>3.6215006102010838E-2</v>
      </c>
      <c r="BI49" s="100">
        <f t="shared" si="140"/>
        <v>1.9353361962183738E-2</v>
      </c>
      <c r="BJ49" s="100">
        <f t="shared" si="140"/>
        <v>1.7217553704472307E-2</v>
      </c>
      <c r="BK49" s="100">
        <f t="shared" si="140"/>
        <v>2.1320553778496901E-2</v>
      </c>
      <c r="BL49" s="100">
        <f t="shared" si="140"/>
        <v>4.2116581550950313E-2</v>
      </c>
      <c r="BM49" s="100">
        <f t="shared" si="140"/>
        <v>2.0477471571505545E-2</v>
      </c>
      <c r="BN49" s="100">
        <f t="shared" si="140"/>
        <v>2.1320553778496901E-2</v>
      </c>
      <c r="BO49" s="100">
        <f t="shared" si="140"/>
        <v>2.1320553778496901E-2</v>
      </c>
      <c r="BP49" s="100">
        <f t="shared" si="140"/>
        <v>1.9353361962183738E-2</v>
      </c>
      <c r="BQ49" s="100">
        <f t="shared" si="140"/>
        <v>1.9353361962183738E-2</v>
      </c>
      <c r="BR49" s="100">
        <f t="shared" si="140"/>
        <v>2.0477471571505545E-2</v>
      </c>
      <c r="BS49" s="100">
        <f t="shared" si="140"/>
        <v>1.9634389364514192E-2</v>
      </c>
      <c r="BT49" s="100">
        <f t="shared" si="140"/>
        <v>2.1320553778496901E-2</v>
      </c>
      <c r="BU49" s="100">
        <f t="shared" si="140"/>
        <v>2.0477471571505545E-2</v>
      </c>
      <c r="BV49" s="100">
        <f t="shared" si="140"/>
        <v>1.9353361962183738E-2</v>
      </c>
      <c r="BW49" s="100">
        <f t="shared" si="140"/>
        <v>2.1320553778496901E-2</v>
      </c>
      <c r="BX49" s="100">
        <f t="shared" si="140"/>
        <v>1.6787581778906716E-2</v>
      </c>
      <c r="BY49" s="100">
        <f t="shared" si="140"/>
        <v>2.1320553778496901E-2</v>
      </c>
      <c r="BZ49" s="49">
        <f t="shared" ref="BZ49:BZ62" si="141">SUM(CA49:CB49,CW49:CX49)</f>
        <v>4.9789039535268834E-7</v>
      </c>
      <c r="CA49" s="101">
        <f>IFERROR(s_RadSpec!$E$23*($AC$23/$B49),".")</f>
        <v>9.6766809810918696E-8</v>
      </c>
      <c r="CB49" s="101">
        <f>IFERROR(s_RadSpec!$E$23*($AD$23/$B49),".")</f>
        <v>2.1058290775475157E-7</v>
      </c>
      <c r="CC49" s="101">
        <f>IFERROR(s_RadSpec!$E$23*($AY$23/$B49),".")</f>
        <v>8.393790889453358E-8</v>
      </c>
      <c r="CD49" s="101">
        <f>IFERROR(s_RadSpec!$E$23*($AY$23/$B49),".")</f>
        <v>8.393790889453358E-8</v>
      </c>
      <c r="CE49" s="101">
        <f>IFERROR(s_RadSpec!$E$23*($AY$23/$B49),".")</f>
        <v>8.393790889453358E-8</v>
      </c>
      <c r="CF49" s="101">
        <f>IFERROR(s_RadSpec!$E$23*($AY$23/$B49),".")</f>
        <v>8.393790889453358E-8</v>
      </c>
      <c r="CG49" s="101">
        <f>IFERROR(s_RadSpec!$E$23*($AY$23/$B49),".")</f>
        <v>8.393790889453358E-8</v>
      </c>
      <c r="CH49" s="101">
        <f>IFERROR(s_RadSpec!$E$23*($AY$23/$B49),".")</f>
        <v>8.393790889453358E-8</v>
      </c>
      <c r="CI49" s="101">
        <f>IFERROR(s_RadSpec!$E$23*($AY$23/$B49),".")</f>
        <v>8.393790889453358E-8</v>
      </c>
      <c r="CJ49" s="101">
        <f>IFERROR(s_RadSpec!$E$23*($AY$23/$B49),".")</f>
        <v>8.393790889453358E-8</v>
      </c>
      <c r="CK49" s="101">
        <f>IFERROR(s_RadSpec!$E$23*($AY$23/$B49),".")</f>
        <v>8.393790889453358E-8</v>
      </c>
      <c r="CL49" s="101">
        <f>IFERROR(s_RadSpec!$E$23*($AY$23/$B49),".")</f>
        <v>8.393790889453358E-8</v>
      </c>
      <c r="CM49" s="101">
        <f>IFERROR(s_RadSpec!$E$23*($AY$23/$B49),".")</f>
        <v>8.393790889453358E-8</v>
      </c>
      <c r="CN49" s="101">
        <f>IFERROR(s_RadSpec!$E$23*($AY$23/$B49),".")</f>
        <v>8.393790889453358E-8</v>
      </c>
      <c r="CO49" s="101">
        <f>IFERROR(s_RadSpec!$E$23*($AY$23/$B49),".")</f>
        <v>8.393790889453358E-8</v>
      </c>
      <c r="CP49" s="101">
        <f>IFERROR(s_RadSpec!$E$23*($AY$23/$B49),".")</f>
        <v>8.393790889453358E-8</v>
      </c>
      <c r="CQ49" s="101">
        <f>IFERROR(s_RadSpec!$E$23*($AY$23/$B49),".")</f>
        <v>8.393790889453358E-8</v>
      </c>
      <c r="CR49" s="101">
        <f>IFERROR(s_RadSpec!$E$23*($AY$23/$B49),".")</f>
        <v>8.393790889453358E-8</v>
      </c>
      <c r="CS49" s="101">
        <f>IFERROR(s_RadSpec!$E$23*($AY$23/$B49),".")</f>
        <v>8.393790889453358E-8</v>
      </c>
      <c r="CT49" s="101">
        <f>IFERROR(s_RadSpec!$E$23*($AY$23/$B49),".")</f>
        <v>8.393790889453358E-8</v>
      </c>
      <c r="CU49" s="101">
        <f>IFERROR(s_RadSpec!$E$23*($AY$23/$B49),".")</f>
        <v>8.393790889453358E-8</v>
      </c>
      <c r="CV49" s="101">
        <f>IFERROR(s_RadSpec!$E$23*($AY$23/$B49),".")</f>
        <v>8.393790889453358E-8</v>
      </c>
      <c r="CW49" s="101">
        <f>IFERROR(s_RadSpec!$E$23*($AY$23/$B49),".")</f>
        <v>8.393790889453358E-8</v>
      </c>
      <c r="CX49" s="101">
        <f>IFERROR(s_RadSpec!$E$23*($AZ$23/$B49),".")</f>
        <v>1.0660276889248449E-7</v>
      </c>
    </row>
    <row r="50" spans="1:102" x14ac:dyDescent="0.25">
      <c r="A50" s="99" t="s">
        <v>1090</v>
      </c>
      <c r="B50" s="90">
        <v>1</v>
      </c>
      <c r="C50" s="100" t="str">
        <f t="shared" si="35"/>
        <v>.</v>
      </c>
      <c r="D50" s="100">
        <f t="shared" ref="D50:AA50" si="142">IFERROR($B50/D25,0)</f>
        <v>0</v>
      </c>
      <c r="E50" s="100">
        <f t="shared" si="142"/>
        <v>0</v>
      </c>
      <c r="F50" s="100">
        <f t="shared" si="142"/>
        <v>0</v>
      </c>
      <c r="G50" s="100">
        <f t="shared" si="142"/>
        <v>0</v>
      </c>
      <c r="H50" s="100">
        <f t="shared" si="142"/>
        <v>0</v>
      </c>
      <c r="I50" s="100">
        <f t="shared" si="142"/>
        <v>0</v>
      </c>
      <c r="J50" s="100">
        <f t="shared" si="142"/>
        <v>0</v>
      </c>
      <c r="K50" s="100">
        <f t="shared" si="142"/>
        <v>0</v>
      </c>
      <c r="L50" s="100">
        <f t="shared" si="142"/>
        <v>0</v>
      </c>
      <c r="M50" s="100">
        <f t="shared" si="142"/>
        <v>0</v>
      </c>
      <c r="N50" s="100">
        <f t="shared" si="142"/>
        <v>0</v>
      </c>
      <c r="O50" s="100">
        <f t="shared" si="142"/>
        <v>0</v>
      </c>
      <c r="P50" s="100">
        <f t="shared" si="142"/>
        <v>0</v>
      </c>
      <c r="Q50" s="100">
        <f t="shared" si="142"/>
        <v>0</v>
      </c>
      <c r="R50" s="100">
        <f t="shared" si="142"/>
        <v>0</v>
      </c>
      <c r="S50" s="100">
        <f t="shared" si="142"/>
        <v>0</v>
      </c>
      <c r="T50" s="100">
        <f t="shared" si="142"/>
        <v>0</v>
      </c>
      <c r="U50" s="100">
        <f t="shared" si="142"/>
        <v>0</v>
      </c>
      <c r="V50" s="100">
        <f t="shared" si="142"/>
        <v>0</v>
      </c>
      <c r="W50" s="100">
        <f t="shared" si="142"/>
        <v>0</v>
      </c>
      <c r="X50" s="100">
        <f t="shared" si="142"/>
        <v>0</v>
      </c>
      <c r="Y50" s="100">
        <f t="shared" si="142"/>
        <v>0</v>
      </c>
      <c r="Z50" s="100">
        <f t="shared" si="142"/>
        <v>0</v>
      </c>
      <c r="AA50" s="100">
        <f t="shared" si="142"/>
        <v>0</v>
      </c>
      <c r="AB50" s="49">
        <f t="shared" si="60"/>
        <v>0</v>
      </c>
      <c r="AC50" s="101" t="str">
        <f>IFERROR(s_RadSpec!$E$25*($AC$25/$B50),".")</f>
        <v>.</v>
      </c>
      <c r="AD50" s="101" t="str">
        <f>IFERROR(s_RadSpec!$E$25*($AD$25/$B50),".")</f>
        <v>.</v>
      </c>
      <c r="AE50" s="101" t="str">
        <f>IFERROR(s_RadSpec!$E$25*($AY$25/$B50),".")</f>
        <v>.</v>
      </c>
      <c r="AF50" s="101" t="str">
        <f>IFERROR(s_RadSpec!$E$25*($AY$25/$B50),".")</f>
        <v>.</v>
      </c>
      <c r="AG50" s="101" t="str">
        <f>IFERROR(s_RadSpec!$E$25*($AY$25/$B50),".")</f>
        <v>.</v>
      </c>
      <c r="AH50" s="101" t="str">
        <f>IFERROR(s_RadSpec!$E$25*($AY$25/$B50),".")</f>
        <v>.</v>
      </c>
      <c r="AI50" s="101" t="str">
        <f>IFERROR(s_RadSpec!$E$25*($AY$25/$B50),".")</f>
        <v>.</v>
      </c>
      <c r="AJ50" s="101" t="str">
        <f>IFERROR(s_RadSpec!$E$25*($AY$25/$B50),".")</f>
        <v>.</v>
      </c>
      <c r="AK50" s="101" t="str">
        <f>IFERROR(s_RadSpec!$E$25*($AY$25/$B50),".")</f>
        <v>.</v>
      </c>
      <c r="AL50" s="101" t="str">
        <f>IFERROR(s_RadSpec!$E$25*($AY$25/$B50),".")</f>
        <v>.</v>
      </c>
      <c r="AM50" s="101" t="str">
        <f>IFERROR(s_RadSpec!$E$25*($AY$25/$B50),".")</f>
        <v>.</v>
      </c>
      <c r="AN50" s="101" t="str">
        <f>IFERROR(s_RadSpec!$E$25*($AY$25/$B50),".")</f>
        <v>.</v>
      </c>
      <c r="AO50" s="101" t="str">
        <f>IFERROR(s_RadSpec!$E$25*($AY$25/$B50),".")</f>
        <v>.</v>
      </c>
      <c r="AP50" s="101" t="str">
        <f>IFERROR(s_RadSpec!$E$25*($AY$25/$B50),".")</f>
        <v>.</v>
      </c>
      <c r="AQ50" s="101" t="str">
        <f>IFERROR(s_RadSpec!$E$25*($AY$25/$B50),".")</f>
        <v>.</v>
      </c>
      <c r="AR50" s="101" t="str">
        <f>IFERROR(s_RadSpec!$E$25*($AY$25/$B50),".")</f>
        <v>.</v>
      </c>
      <c r="AS50" s="101" t="str">
        <f>IFERROR(s_RadSpec!$E$25*($AY$25/$B50),".")</f>
        <v>.</v>
      </c>
      <c r="AT50" s="101" t="str">
        <f>IFERROR(s_RadSpec!$E$25*($AY$25/$B50),".")</f>
        <v>.</v>
      </c>
      <c r="AU50" s="101" t="str">
        <f>IFERROR(s_RadSpec!$E$25*($AY$25/$B50),".")</f>
        <v>.</v>
      </c>
      <c r="AV50" s="101" t="str">
        <f>IFERROR(s_RadSpec!$E$25*($AY$25/$B50),".")</f>
        <v>.</v>
      </c>
      <c r="AW50" s="101" t="str">
        <f>IFERROR(s_RadSpec!$E$25*($AY$25/$B50),".")</f>
        <v>.</v>
      </c>
      <c r="AX50" s="101" t="str">
        <f>IFERROR(s_RadSpec!$E$25*($AY$25/$B50),".")</f>
        <v>.</v>
      </c>
      <c r="AY50" s="101" t="str">
        <f>IFERROR(s_RadSpec!$E$25*($AY$25/$B50),".")</f>
        <v>.</v>
      </c>
      <c r="AZ50" s="101" t="str">
        <f>IFERROR(s_RadSpec!$E$25*($AZ$25/$B50),".")</f>
        <v>.</v>
      </c>
      <c r="BA50" s="100" t="str">
        <f t="shared" si="61"/>
        <v>.</v>
      </c>
      <c r="BB50" s="100">
        <f t="shared" ref="BB50:BY50" si="143">IFERROR($B50/BB25,0)</f>
        <v>0</v>
      </c>
      <c r="BC50" s="100">
        <f t="shared" si="143"/>
        <v>0</v>
      </c>
      <c r="BD50" s="100">
        <f t="shared" si="143"/>
        <v>0</v>
      </c>
      <c r="BE50" s="100">
        <f t="shared" si="143"/>
        <v>0</v>
      </c>
      <c r="BF50" s="100">
        <f t="shared" si="143"/>
        <v>0</v>
      </c>
      <c r="BG50" s="100">
        <f t="shared" si="143"/>
        <v>0</v>
      </c>
      <c r="BH50" s="100">
        <f t="shared" si="143"/>
        <v>0</v>
      </c>
      <c r="BI50" s="100">
        <f t="shared" si="143"/>
        <v>0</v>
      </c>
      <c r="BJ50" s="100">
        <f t="shared" si="143"/>
        <v>0</v>
      </c>
      <c r="BK50" s="100">
        <f t="shared" si="143"/>
        <v>0</v>
      </c>
      <c r="BL50" s="100">
        <f t="shared" si="143"/>
        <v>0</v>
      </c>
      <c r="BM50" s="100">
        <f t="shared" si="143"/>
        <v>0</v>
      </c>
      <c r="BN50" s="100">
        <f t="shared" si="143"/>
        <v>0</v>
      </c>
      <c r="BO50" s="100">
        <f t="shared" si="143"/>
        <v>0</v>
      </c>
      <c r="BP50" s="100">
        <f t="shared" si="143"/>
        <v>0</v>
      </c>
      <c r="BQ50" s="100">
        <f t="shared" si="143"/>
        <v>0</v>
      </c>
      <c r="BR50" s="100">
        <f t="shared" si="143"/>
        <v>0</v>
      </c>
      <c r="BS50" s="100">
        <f t="shared" si="143"/>
        <v>0</v>
      </c>
      <c r="BT50" s="100">
        <f t="shared" si="143"/>
        <v>0</v>
      </c>
      <c r="BU50" s="100">
        <f t="shared" si="143"/>
        <v>0</v>
      </c>
      <c r="BV50" s="100">
        <f t="shared" si="143"/>
        <v>0</v>
      </c>
      <c r="BW50" s="100">
        <f t="shared" si="143"/>
        <v>0</v>
      </c>
      <c r="BX50" s="100">
        <f t="shared" si="143"/>
        <v>0</v>
      </c>
      <c r="BY50" s="100">
        <f t="shared" si="143"/>
        <v>0</v>
      </c>
      <c r="BZ50" s="49">
        <f t="shared" si="141"/>
        <v>0</v>
      </c>
      <c r="CA50" s="101" t="str">
        <f>IFERROR(s_RadSpec!$E$25*($AC$25/$B50),".")</f>
        <v>.</v>
      </c>
      <c r="CB50" s="101" t="str">
        <f>IFERROR(s_RadSpec!$E$25*($AD$25/$B50),".")</f>
        <v>.</v>
      </c>
      <c r="CC50" s="101" t="str">
        <f>IFERROR(s_RadSpec!$E$25*($AY$25/$B50),".")</f>
        <v>.</v>
      </c>
      <c r="CD50" s="101" t="str">
        <f>IFERROR(s_RadSpec!$E$25*($AY$25/$B50),".")</f>
        <v>.</v>
      </c>
      <c r="CE50" s="101" t="str">
        <f>IFERROR(s_RadSpec!$E$25*($AY$25/$B50),".")</f>
        <v>.</v>
      </c>
      <c r="CF50" s="101" t="str">
        <f>IFERROR(s_RadSpec!$E$25*($AY$25/$B50),".")</f>
        <v>.</v>
      </c>
      <c r="CG50" s="101" t="str">
        <f>IFERROR(s_RadSpec!$E$25*($AY$25/$B50),".")</f>
        <v>.</v>
      </c>
      <c r="CH50" s="101" t="str">
        <f>IFERROR(s_RadSpec!$E$25*($AY$25/$B50),".")</f>
        <v>.</v>
      </c>
      <c r="CI50" s="101" t="str">
        <f>IFERROR(s_RadSpec!$E$25*($AY$25/$B50),".")</f>
        <v>.</v>
      </c>
      <c r="CJ50" s="101" t="str">
        <f>IFERROR(s_RadSpec!$E$25*($AY$25/$B50),".")</f>
        <v>.</v>
      </c>
      <c r="CK50" s="101" t="str">
        <f>IFERROR(s_RadSpec!$E$25*($AY$25/$B50),".")</f>
        <v>.</v>
      </c>
      <c r="CL50" s="101" t="str">
        <f>IFERROR(s_RadSpec!$E$25*($AY$25/$B50),".")</f>
        <v>.</v>
      </c>
      <c r="CM50" s="101" t="str">
        <f>IFERROR(s_RadSpec!$E$25*($AY$25/$B50),".")</f>
        <v>.</v>
      </c>
      <c r="CN50" s="101" t="str">
        <f>IFERROR(s_RadSpec!$E$25*($AY$25/$B50),".")</f>
        <v>.</v>
      </c>
      <c r="CO50" s="101" t="str">
        <f>IFERROR(s_RadSpec!$E$25*($AY$25/$B50),".")</f>
        <v>.</v>
      </c>
      <c r="CP50" s="101" t="str">
        <f>IFERROR(s_RadSpec!$E$25*($AY$25/$B50),".")</f>
        <v>.</v>
      </c>
      <c r="CQ50" s="101" t="str">
        <f>IFERROR(s_RadSpec!$E$25*($AY$25/$B50),".")</f>
        <v>.</v>
      </c>
      <c r="CR50" s="101" t="str">
        <f>IFERROR(s_RadSpec!$E$25*($AY$25/$B50),".")</f>
        <v>.</v>
      </c>
      <c r="CS50" s="101" t="str">
        <f>IFERROR(s_RadSpec!$E$25*($AY$25/$B50),".")</f>
        <v>.</v>
      </c>
      <c r="CT50" s="101" t="str">
        <f>IFERROR(s_RadSpec!$E$25*($AY$25/$B50),".")</f>
        <v>.</v>
      </c>
      <c r="CU50" s="101" t="str">
        <f>IFERROR(s_RadSpec!$E$25*($AY$25/$B50),".")</f>
        <v>.</v>
      </c>
      <c r="CV50" s="101" t="str">
        <f>IFERROR(s_RadSpec!$E$25*($AY$25/$B50),".")</f>
        <v>.</v>
      </c>
      <c r="CW50" s="101" t="str">
        <f>IFERROR(s_RadSpec!$E$25*($AY$25/$B50),".")</f>
        <v>.</v>
      </c>
      <c r="CX50" s="101" t="str">
        <f>IFERROR(s_RadSpec!$E$25*($AZ$25/$B50),".")</f>
        <v>.</v>
      </c>
    </row>
    <row r="51" spans="1:102" x14ac:dyDescent="0.25">
      <c r="A51" s="99" t="s">
        <v>1076</v>
      </c>
      <c r="B51" s="90">
        <v>1</v>
      </c>
      <c r="C51" s="100" t="str">
        <f t="shared" si="35"/>
        <v>.</v>
      </c>
      <c r="D51" s="100">
        <f t="shared" ref="D51:AA51" si="144">IFERROR($B51/D21,0)</f>
        <v>0</v>
      </c>
      <c r="E51" s="100">
        <f t="shared" si="144"/>
        <v>0</v>
      </c>
      <c r="F51" s="100">
        <f t="shared" si="144"/>
        <v>0</v>
      </c>
      <c r="G51" s="100">
        <f t="shared" si="144"/>
        <v>0</v>
      </c>
      <c r="H51" s="100">
        <f t="shared" si="144"/>
        <v>0</v>
      </c>
      <c r="I51" s="100">
        <f t="shared" si="144"/>
        <v>0</v>
      </c>
      <c r="J51" s="100">
        <f t="shared" si="144"/>
        <v>0</v>
      </c>
      <c r="K51" s="100">
        <f t="shared" si="144"/>
        <v>0</v>
      </c>
      <c r="L51" s="100">
        <f t="shared" si="144"/>
        <v>0</v>
      </c>
      <c r="M51" s="100">
        <f t="shared" si="144"/>
        <v>0</v>
      </c>
      <c r="N51" s="100">
        <f t="shared" si="144"/>
        <v>0</v>
      </c>
      <c r="O51" s="100">
        <f t="shared" si="144"/>
        <v>0</v>
      </c>
      <c r="P51" s="100">
        <f t="shared" si="144"/>
        <v>0</v>
      </c>
      <c r="Q51" s="100">
        <f t="shared" si="144"/>
        <v>0</v>
      </c>
      <c r="R51" s="100">
        <f t="shared" si="144"/>
        <v>0</v>
      </c>
      <c r="S51" s="100">
        <f t="shared" si="144"/>
        <v>0</v>
      </c>
      <c r="T51" s="100">
        <f t="shared" si="144"/>
        <v>0</v>
      </c>
      <c r="U51" s="100">
        <f t="shared" si="144"/>
        <v>0</v>
      </c>
      <c r="V51" s="100">
        <f t="shared" si="144"/>
        <v>0</v>
      </c>
      <c r="W51" s="100">
        <f t="shared" si="144"/>
        <v>0</v>
      </c>
      <c r="X51" s="100">
        <f t="shared" si="144"/>
        <v>0</v>
      </c>
      <c r="Y51" s="100">
        <f t="shared" si="144"/>
        <v>0</v>
      </c>
      <c r="Z51" s="100">
        <f t="shared" si="144"/>
        <v>0</v>
      </c>
      <c r="AA51" s="100">
        <f t="shared" si="144"/>
        <v>0</v>
      </c>
      <c r="AB51" s="49">
        <f t="shared" si="60"/>
        <v>0</v>
      </c>
      <c r="AC51" s="101">
        <f>IFERROR(s_RadSpec!$E$21*($AC$21/$B51),".")</f>
        <v>0</v>
      </c>
      <c r="AD51" s="101">
        <f>IFERROR(s_RadSpec!$E$21*($AD$21/$B51),".")</f>
        <v>0</v>
      </c>
      <c r="AE51" s="101">
        <f>IFERROR(s_RadSpec!$E$21*($AY$21/$B51),".")</f>
        <v>0</v>
      </c>
      <c r="AF51" s="101">
        <f>IFERROR(s_RadSpec!$E$21*($AY$21/$B51),".")</f>
        <v>0</v>
      </c>
      <c r="AG51" s="101">
        <f>IFERROR(s_RadSpec!$E$21*($AY$21/$B51),".")</f>
        <v>0</v>
      </c>
      <c r="AH51" s="101">
        <f>IFERROR(s_RadSpec!$E$21*($AY$21/$B51),".")</f>
        <v>0</v>
      </c>
      <c r="AI51" s="101">
        <f>IFERROR(s_RadSpec!$E$21*($AY$21/$B51),".")</f>
        <v>0</v>
      </c>
      <c r="AJ51" s="101">
        <f>IFERROR(s_RadSpec!$E$21*($AY$21/$B51),".")</f>
        <v>0</v>
      </c>
      <c r="AK51" s="101">
        <f>IFERROR(s_RadSpec!$E$21*($AY$21/$B51),".")</f>
        <v>0</v>
      </c>
      <c r="AL51" s="101">
        <f>IFERROR(s_RadSpec!$E$21*($AY$21/$B51),".")</f>
        <v>0</v>
      </c>
      <c r="AM51" s="101">
        <f>IFERROR(s_RadSpec!$E$21*($AY$21/$B51),".")</f>
        <v>0</v>
      </c>
      <c r="AN51" s="101">
        <f>IFERROR(s_RadSpec!$E$21*($AY$21/$B51),".")</f>
        <v>0</v>
      </c>
      <c r="AO51" s="101">
        <f>IFERROR(s_RadSpec!$E$21*($AY$21/$B51),".")</f>
        <v>0</v>
      </c>
      <c r="AP51" s="101">
        <f>IFERROR(s_RadSpec!$E$21*($AY$21/$B51),".")</f>
        <v>0</v>
      </c>
      <c r="AQ51" s="101">
        <f>IFERROR(s_RadSpec!$E$21*($AY$21/$B51),".")</f>
        <v>0</v>
      </c>
      <c r="AR51" s="101">
        <f>IFERROR(s_RadSpec!$E$21*($AY$21/$B51),".")</f>
        <v>0</v>
      </c>
      <c r="AS51" s="101">
        <f>IFERROR(s_RadSpec!$E$21*($AY$21/$B51),".")</f>
        <v>0</v>
      </c>
      <c r="AT51" s="101">
        <f>IFERROR(s_RadSpec!$E$21*($AY$21/$B51),".")</f>
        <v>0</v>
      </c>
      <c r="AU51" s="101">
        <f>IFERROR(s_RadSpec!$E$21*($AY$21/$B51),".")</f>
        <v>0</v>
      </c>
      <c r="AV51" s="101">
        <f>IFERROR(s_RadSpec!$E$21*($AY$21/$B51),".")</f>
        <v>0</v>
      </c>
      <c r="AW51" s="101">
        <f>IFERROR(s_RadSpec!$E$21*($AY$21/$B51),".")</f>
        <v>0</v>
      </c>
      <c r="AX51" s="101">
        <f>IFERROR(s_RadSpec!$E$21*($AY$21/$B51),".")</f>
        <v>0</v>
      </c>
      <c r="AY51" s="101">
        <f>IFERROR(s_RadSpec!$E$21*($AY$21/$B51),".")</f>
        <v>0</v>
      </c>
      <c r="AZ51" s="101">
        <f>IFERROR(s_RadSpec!$E$21*($AZ$21/$B51),".")</f>
        <v>0</v>
      </c>
      <c r="BA51" s="100" t="str">
        <f t="shared" si="61"/>
        <v>.</v>
      </c>
      <c r="BB51" s="100">
        <f t="shared" ref="BB51:BY51" si="145">IFERROR($B51/BB21,0)</f>
        <v>0</v>
      </c>
      <c r="BC51" s="100">
        <f t="shared" si="145"/>
        <v>0</v>
      </c>
      <c r="BD51" s="100">
        <f t="shared" si="145"/>
        <v>0</v>
      </c>
      <c r="BE51" s="100">
        <f t="shared" si="145"/>
        <v>0</v>
      </c>
      <c r="BF51" s="100">
        <f t="shared" si="145"/>
        <v>0</v>
      </c>
      <c r="BG51" s="100">
        <f t="shared" si="145"/>
        <v>0</v>
      </c>
      <c r="BH51" s="100">
        <f t="shared" si="145"/>
        <v>0</v>
      </c>
      <c r="BI51" s="100">
        <f t="shared" si="145"/>
        <v>0</v>
      </c>
      <c r="BJ51" s="100">
        <f t="shared" si="145"/>
        <v>0</v>
      </c>
      <c r="BK51" s="100">
        <f t="shared" si="145"/>
        <v>0</v>
      </c>
      <c r="BL51" s="100">
        <f t="shared" si="145"/>
        <v>0</v>
      </c>
      <c r="BM51" s="100">
        <f t="shared" si="145"/>
        <v>0</v>
      </c>
      <c r="BN51" s="100">
        <f t="shared" si="145"/>
        <v>0</v>
      </c>
      <c r="BO51" s="100">
        <f t="shared" si="145"/>
        <v>0</v>
      </c>
      <c r="BP51" s="100">
        <f t="shared" si="145"/>
        <v>0</v>
      </c>
      <c r="BQ51" s="100">
        <f t="shared" si="145"/>
        <v>0</v>
      </c>
      <c r="BR51" s="100">
        <f t="shared" si="145"/>
        <v>0</v>
      </c>
      <c r="BS51" s="100">
        <f t="shared" si="145"/>
        <v>0</v>
      </c>
      <c r="BT51" s="100">
        <f t="shared" si="145"/>
        <v>0</v>
      </c>
      <c r="BU51" s="100">
        <f t="shared" si="145"/>
        <v>0</v>
      </c>
      <c r="BV51" s="100">
        <f t="shared" si="145"/>
        <v>0</v>
      </c>
      <c r="BW51" s="100">
        <f t="shared" si="145"/>
        <v>0</v>
      </c>
      <c r="BX51" s="100">
        <f t="shared" si="145"/>
        <v>0</v>
      </c>
      <c r="BY51" s="100">
        <f t="shared" si="145"/>
        <v>0</v>
      </c>
      <c r="BZ51" s="49">
        <f t="shared" si="141"/>
        <v>0</v>
      </c>
      <c r="CA51" s="101">
        <f>IFERROR(s_RadSpec!$E$21*($AC$21/$B51),".")</f>
        <v>0</v>
      </c>
      <c r="CB51" s="101">
        <f>IFERROR(s_RadSpec!$E$21*($AD$21/$B51),".")</f>
        <v>0</v>
      </c>
      <c r="CC51" s="101">
        <f>IFERROR(s_RadSpec!$E$21*($AY$21/$B51),".")</f>
        <v>0</v>
      </c>
      <c r="CD51" s="101">
        <f>IFERROR(s_RadSpec!$E$21*($AY$21/$B51),".")</f>
        <v>0</v>
      </c>
      <c r="CE51" s="101">
        <f>IFERROR(s_RadSpec!$E$21*($AY$21/$B51),".")</f>
        <v>0</v>
      </c>
      <c r="CF51" s="101">
        <f>IFERROR(s_RadSpec!$E$21*($AY$21/$B51),".")</f>
        <v>0</v>
      </c>
      <c r="CG51" s="101">
        <f>IFERROR(s_RadSpec!$E$21*($AY$21/$B51),".")</f>
        <v>0</v>
      </c>
      <c r="CH51" s="101">
        <f>IFERROR(s_RadSpec!$E$21*($AY$21/$B51),".")</f>
        <v>0</v>
      </c>
      <c r="CI51" s="101">
        <f>IFERROR(s_RadSpec!$E$21*($AY$21/$B51),".")</f>
        <v>0</v>
      </c>
      <c r="CJ51" s="101">
        <f>IFERROR(s_RadSpec!$E$21*($AY$21/$B51),".")</f>
        <v>0</v>
      </c>
      <c r="CK51" s="101">
        <f>IFERROR(s_RadSpec!$E$21*($AY$21/$B51),".")</f>
        <v>0</v>
      </c>
      <c r="CL51" s="101">
        <f>IFERROR(s_RadSpec!$E$21*($AY$21/$B51),".")</f>
        <v>0</v>
      </c>
      <c r="CM51" s="101">
        <f>IFERROR(s_RadSpec!$E$21*($AY$21/$B51),".")</f>
        <v>0</v>
      </c>
      <c r="CN51" s="101">
        <f>IFERROR(s_RadSpec!$E$21*($AY$21/$B51),".")</f>
        <v>0</v>
      </c>
      <c r="CO51" s="101">
        <f>IFERROR(s_RadSpec!$E$21*($AY$21/$B51),".")</f>
        <v>0</v>
      </c>
      <c r="CP51" s="101">
        <f>IFERROR(s_RadSpec!$E$21*($AY$21/$B51),".")</f>
        <v>0</v>
      </c>
      <c r="CQ51" s="101">
        <f>IFERROR(s_RadSpec!$E$21*($AY$21/$B51),".")</f>
        <v>0</v>
      </c>
      <c r="CR51" s="101">
        <f>IFERROR(s_RadSpec!$E$21*($AY$21/$B51),".")</f>
        <v>0</v>
      </c>
      <c r="CS51" s="101">
        <f>IFERROR(s_RadSpec!$E$21*($AY$21/$B51),".")</f>
        <v>0</v>
      </c>
      <c r="CT51" s="101">
        <f>IFERROR(s_RadSpec!$E$21*($AY$21/$B51),".")</f>
        <v>0</v>
      </c>
      <c r="CU51" s="101">
        <f>IFERROR(s_RadSpec!$E$21*($AY$21/$B51),".")</f>
        <v>0</v>
      </c>
      <c r="CV51" s="101">
        <f>IFERROR(s_RadSpec!$E$21*($AY$21/$B51),".")</f>
        <v>0</v>
      </c>
      <c r="CW51" s="101">
        <f>IFERROR(s_RadSpec!$E$21*($AY$21/$B51),".")</f>
        <v>0</v>
      </c>
      <c r="CX51" s="101">
        <f>IFERROR(s_RadSpec!$E$21*($AZ$21/$B51),".")</f>
        <v>0</v>
      </c>
    </row>
    <row r="52" spans="1:102" x14ac:dyDescent="0.25">
      <c r="A52" s="99" t="s">
        <v>1077</v>
      </c>
      <c r="B52" s="103">
        <v>0.99980000000000002</v>
      </c>
      <c r="C52" s="100">
        <f t="shared" si="35"/>
        <v>5.0019525948216401E-6</v>
      </c>
      <c r="D52" s="100">
        <f t="shared" ref="D52:AA52" si="146">IFERROR($B52/D17,0)</f>
        <v>1.8235851503328497E-5</v>
      </c>
      <c r="E52" s="100">
        <f t="shared" si="146"/>
        <v>3.6771864993359923E-5</v>
      </c>
      <c r="F52" s="100">
        <f t="shared" si="146"/>
        <v>1.9559852466902173E-5</v>
      </c>
      <c r="G52" s="100">
        <f t="shared" si="146"/>
        <v>1.8235851503328497E-5</v>
      </c>
      <c r="H52" s="100">
        <f t="shared" si="146"/>
        <v>1.9559852466902173E-5</v>
      </c>
      <c r="I52" s="100">
        <f t="shared" si="146"/>
        <v>3.6771864993359923E-5</v>
      </c>
      <c r="J52" s="100">
        <f t="shared" si="146"/>
        <v>1.9559852466902173E-5</v>
      </c>
      <c r="K52" s="100">
        <f t="shared" si="146"/>
        <v>1.8235851503328497E-5</v>
      </c>
      <c r="L52" s="100">
        <f t="shared" si="146"/>
        <v>1.5905609807438833E-5</v>
      </c>
      <c r="M52" s="100">
        <f t="shared" si="146"/>
        <v>1.9559852466902173E-5</v>
      </c>
      <c r="N52" s="100">
        <f t="shared" si="146"/>
        <v>3.6771864993359923E-5</v>
      </c>
      <c r="O52" s="100">
        <f t="shared" si="146"/>
        <v>1.6991290597569243E-5</v>
      </c>
      <c r="P52" s="100">
        <f t="shared" si="146"/>
        <v>1.9559852466902173E-5</v>
      </c>
      <c r="Q52" s="100">
        <f t="shared" si="146"/>
        <v>1.9559852466902173E-5</v>
      </c>
      <c r="R52" s="100">
        <f t="shared" si="146"/>
        <v>1.8235851503328497E-5</v>
      </c>
      <c r="S52" s="100">
        <f t="shared" si="146"/>
        <v>1.8235851503328497E-5</v>
      </c>
      <c r="T52" s="100">
        <f t="shared" si="146"/>
        <v>1.6991290597569243E-5</v>
      </c>
      <c r="U52" s="100">
        <f t="shared" si="146"/>
        <v>1.598504986525325E-5</v>
      </c>
      <c r="V52" s="100">
        <f t="shared" si="146"/>
        <v>1.9559852466902173E-5</v>
      </c>
      <c r="W52" s="100">
        <f t="shared" si="146"/>
        <v>1.6991290597569243E-5</v>
      </c>
      <c r="X52" s="100">
        <f t="shared" si="146"/>
        <v>1.8235851503328497E-5</v>
      </c>
      <c r="Y52" s="100">
        <f t="shared" si="146"/>
        <v>1.9559852466902173E-5</v>
      </c>
      <c r="Z52" s="100">
        <f t="shared" si="146"/>
        <v>1.5664641632068424E-5</v>
      </c>
      <c r="AA52" s="100">
        <f t="shared" si="146"/>
        <v>1.8500651696043232E-5</v>
      </c>
      <c r="AB52" s="49">
        <f t="shared" si="60"/>
        <v>4.4604344866172703E-10</v>
      </c>
      <c r="AC52" s="101">
        <f>IFERROR(s_RadSpec!$E$17*($AC$17/$B52),".")</f>
        <v>9.1215740164078492E-11</v>
      </c>
      <c r="AD52" s="101">
        <f>IFERROR(s_RadSpec!$E$17*($AD$17/$B52),".")</f>
        <v>1.8393289076579027E-10</v>
      </c>
      <c r="AE52" s="101">
        <f>IFERROR(s_RadSpec!$E$17*($AY$17/$B52),".")</f>
        <v>7.8354546844898195E-11</v>
      </c>
      <c r="AF52" s="101">
        <f>IFERROR(s_RadSpec!$E$17*($AY$17/$B52),".")</f>
        <v>7.8354546844898195E-11</v>
      </c>
      <c r="AG52" s="101">
        <f>IFERROR(s_RadSpec!$E$17*($AY$17/$B52),".")</f>
        <v>7.8354546844898195E-11</v>
      </c>
      <c r="AH52" s="101">
        <f>IFERROR(s_RadSpec!$E$17*($AY$17/$B52),".")</f>
        <v>7.8354546844898195E-11</v>
      </c>
      <c r="AI52" s="101">
        <f>IFERROR(s_RadSpec!$E$17*($AY$17/$B52),".")</f>
        <v>7.8354546844898195E-11</v>
      </c>
      <c r="AJ52" s="101">
        <f>IFERROR(s_RadSpec!$E$17*($AY$17/$B52),".")</f>
        <v>7.8354546844898195E-11</v>
      </c>
      <c r="AK52" s="101">
        <f>IFERROR(s_RadSpec!$E$17*($AY$17/$B52),".")</f>
        <v>7.8354546844898195E-11</v>
      </c>
      <c r="AL52" s="101">
        <f>IFERROR(s_RadSpec!$E$17*($AY$17/$B52),".")</f>
        <v>7.8354546844898195E-11</v>
      </c>
      <c r="AM52" s="101">
        <f>IFERROR(s_RadSpec!$E$17*($AY$17/$B52),".")</f>
        <v>7.8354546844898195E-11</v>
      </c>
      <c r="AN52" s="101">
        <f>IFERROR(s_RadSpec!$E$17*($AY$17/$B52),".")</f>
        <v>7.8354546844898195E-11</v>
      </c>
      <c r="AO52" s="101">
        <f>IFERROR(s_RadSpec!$E$17*($AY$17/$B52),".")</f>
        <v>7.8354546844898195E-11</v>
      </c>
      <c r="AP52" s="101">
        <f>IFERROR(s_RadSpec!$E$17*($AY$17/$B52),".")</f>
        <v>7.8354546844898195E-11</v>
      </c>
      <c r="AQ52" s="101">
        <f>IFERROR(s_RadSpec!$E$17*($AY$17/$B52),".")</f>
        <v>7.8354546844898195E-11</v>
      </c>
      <c r="AR52" s="101">
        <f>IFERROR(s_RadSpec!$E$17*($AY$17/$B52),".")</f>
        <v>7.8354546844898195E-11</v>
      </c>
      <c r="AS52" s="101">
        <f>IFERROR(s_RadSpec!$E$17*($AY$17/$B52),".")</f>
        <v>7.8354546844898195E-11</v>
      </c>
      <c r="AT52" s="101">
        <f>IFERROR(s_RadSpec!$E$17*($AY$17/$B52),".")</f>
        <v>7.8354546844898195E-11</v>
      </c>
      <c r="AU52" s="101">
        <f>IFERROR(s_RadSpec!$E$17*($AY$17/$B52),".")</f>
        <v>7.8354546844898195E-11</v>
      </c>
      <c r="AV52" s="101">
        <f>IFERROR(s_RadSpec!$E$17*($AY$17/$B52),".")</f>
        <v>7.8354546844898195E-11</v>
      </c>
      <c r="AW52" s="101">
        <f>IFERROR(s_RadSpec!$E$17*($AY$17/$B52),".")</f>
        <v>7.8354546844898195E-11</v>
      </c>
      <c r="AX52" s="101">
        <f>IFERROR(s_RadSpec!$E$17*($AY$17/$B52),".")</f>
        <v>7.8354546844898195E-11</v>
      </c>
      <c r="AY52" s="101">
        <f>IFERROR(s_RadSpec!$E$17*($AY$17/$B52),".")</f>
        <v>7.8354546844898195E-11</v>
      </c>
      <c r="AZ52" s="101">
        <f>IFERROR(s_RadSpec!$E$17*($AZ$17/$B52),".")</f>
        <v>9.2540270886960088E-11</v>
      </c>
      <c r="BA52" s="100">
        <f t="shared" si="61"/>
        <v>5.0019525948216401E-6</v>
      </c>
      <c r="BB52" s="100">
        <f t="shared" ref="BB52:BY52" si="147">IFERROR($B52/BB17,0)</f>
        <v>1.8235851503328497E-5</v>
      </c>
      <c r="BC52" s="100">
        <f t="shared" si="147"/>
        <v>3.6771864993359923E-5</v>
      </c>
      <c r="BD52" s="100">
        <f t="shared" si="147"/>
        <v>1.9559852466902173E-5</v>
      </c>
      <c r="BE52" s="100">
        <f t="shared" si="147"/>
        <v>1.8235851503328497E-5</v>
      </c>
      <c r="BF52" s="100">
        <f t="shared" si="147"/>
        <v>1.9559852466902173E-5</v>
      </c>
      <c r="BG52" s="100">
        <f t="shared" si="147"/>
        <v>3.6771864993359923E-5</v>
      </c>
      <c r="BH52" s="100">
        <f t="shared" si="147"/>
        <v>1.9559852466902173E-5</v>
      </c>
      <c r="BI52" s="100">
        <f t="shared" si="147"/>
        <v>1.8235851503328497E-5</v>
      </c>
      <c r="BJ52" s="100">
        <f t="shared" si="147"/>
        <v>1.5905609807438833E-5</v>
      </c>
      <c r="BK52" s="100">
        <f t="shared" si="147"/>
        <v>1.9559852466902173E-5</v>
      </c>
      <c r="BL52" s="100">
        <f t="shared" si="147"/>
        <v>3.6771864993359923E-5</v>
      </c>
      <c r="BM52" s="100">
        <f t="shared" si="147"/>
        <v>1.6991290597569243E-5</v>
      </c>
      <c r="BN52" s="100">
        <f t="shared" si="147"/>
        <v>1.9559852466902173E-5</v>
      </c>
      <c r="BO52" s="100">
        <f t="shared" si="147"/>
        <v>1.9559852466902173E-5</v>
      </c>
      <c r="BP52" s="100">
        <f t="shared" si="147"/>
        <v>1.8235851503328497E-5</v>
      </c>
      <c r="BQ52" s="100">
        <f t="shared" si="147"/>
        <v>1.8235851503328497E-5</v>
      </c>
      <c r="BR52" s="100">
        <f t="shared" si="147"/>
        <v>1.6991290597569243E-5</v>
      </c>
      <c r="BS52" s="100">
        <f t="shared" si="147"/>
        <v>1.598504986525325E-5</v>
      </c>
      <c r="BT52" s="100">
        <f t="shared" si="147"/>
        <v>1.9559852466902173E-5</v>
      </c>
      <c r="BU52" s="100">
        <f t="shared" si="147"/>
        <v>1.6991290597569243E-5</v>
      </c>
      <c r="BV52" s="100">
        <f t="shared" si="147"/>
        <v>1.8235851503328497E-5</v>
      </c>
      <c r="BW52" s="100">
        <f t="shared" si="147"/>
        <v>1.9559852466902173E-5</v>
      </c>
      <c r="BX52" s="100">
        <f t="shared" si="147"/>
        <v>1.5664641632068424E-5</v>
      </c>
      <c r="BY52" s="100">
        <f t="shared" si="147"/>
        <v>1.8500651696043232E-5</v>
      </c>
      <c r="BZ52" s="49">
        <f t="shared" si="141"/>
        <v>4.4604344866172703E-10</v>
      </c>
      <c r="CA52" s="101">
        <f>IFERROR(s_RadSpec!$E$17*($AC$17/$B52),".")</f>
        <v>9.1215740164078492E-11</v>
      </c>
      <c r="CB52" s="101">
        <f>IFERROR(s_RadSpec!$E$17*($AD$17/$B52),".")</f>
        <v>1.8393289076579027E-10</v>
      </c>
      <c r="CC52" s="101">
        <f>IFERROR(s_RadSpec!$E$17*($AY$17/$B52),".")</f>
        <v>7.8354546844898195E-11</v>
      </c>
      <c r="CD52" s="101">
        <f>IFERROR(s_RadSpec!$E$17*($AY$17/$B52),".")</f>
        <v>7.8354546844898195E-11</v>
      </c>
      <c r="CE52" s="101">
        <f>IFERROR(s_RadSpec!$E$17*($AY$17/$B52),".")</f>
        <v>7.8354546844898195E-11</v>
      </c>
      <c r="CF52" s="101">
        <f>IFERROR(s_RadSpec!$E$17*($AY$17/$B52),".")</f>
        <v>7.8354546844898195E-11</v>
      </c>
      <c r="CG52" s="101">
        <f>IFERROR(s_RadSpec!$E$17*($AY$17/$B52),".")</f>
        <v>7.8354546844898195E-11</v>
      </c>
      <c r="CH52" s="101">
        <f>IFERROR(s_RadSpec!$E$17*($AY$17/$B52),".")</f>
        <v>7.8354546844898195E-11</v>
      </c>
      <c r="CI52" s="101">
        <f>IFERROR(s_RadSpec!$E$17*($AY$17/$B52),".")</f>
        <v>7.8354546844898195E-11</v>
      </c>
      <c r="CJ52" s="101">
        <f>IFERROR(s_RadSpec!$E$17*($AY$17/$B52),".")</f>
        <v>7.8354546844898195E-11</v>
      </c>
      <c r="CK52" s="101">
        <f>IFERROR(s_RadSpec!$E$17*($AY$17/$B52),".")</f>
        <v>7.8354546844898195E-11</v>
      </c>
      <c r="CL52" s="101">
        <f>IFERROR(s_RadSpec!$E$17*($AY$17/$B52),".")</f>
        <v>7.8354546844898195E-11</v>
      </c>
      <c r="CM52" s="101">
        <f>IFERROR(s_RadSpec!$E$17*($AY$17/$B52),".")</f>
        <v>7.8354546844898195E-11</v>
      </c>
      <c r="CN52" s="101">
        <f>IFERROR(s_RadSpec!$E$17*($AY$17/$B52),".")</f>
        <v>7.8354546844898195E-11</v>
      </c>
      <c r="CO52" s="101">
        <f>IFERROR(s_RadSpec!$E$17*($AY$17/$B52),".")</f>
        <v>7.8354546844898195E-11</v>
      </c>
      <c r="CP52" s="101">
        <f>IFERROR(s_RadSpec!$E$17*($AY$17/$B52),".")</f>
        <v>7.8354546844898195E-11</v>
      </c>
      <c r="CQ52" s="101">
        <f>IFERROR(s_RadSpec!$E$17*($AY$17/$B52),".")</f>
        <v>7.8354546844898195E-11</v>
      </c>
      <c r="CR52" s="101">
        <f>IFERROR(s_RadSpec!$E$17*($AY$17/$B52),".")</f>
        <v>7.8354546844898195E-11</v>
      </c>
      <c r="CS52" s="101">
        <f>IFERROR(s_RadSpec!$E$17*($AY$17/$B52),".")</f>
        <v>7.8354546844898195E-11</v>
      </c>
      <c r="CT52" s="101">
        <f>IFERROR(s_RadSpec!$E$17*($AY$17/$B52),".")</f>
        <v>7.8354546844898195E-11</v>
      </c>
      <c r="CU52" s="101">
        <f>IFERROR(s_RadSpec!$E$17*($AY$17/$B52),".")</f>
        <v>7.8354546844898195E-11</v>
      </c>
      <c r="CV52" s="101">
        <f>IFERROR(s_RadSpec!$E$17*($AY$17/$B52),".")</f>
        <v>7.8354546844898195E-11</v>
      </c>
      <c r="CW52" s="101">
        <f>IFERROR(s_RadSpec!$E$17*($AY$17/$B52),".")</f>
        <v>7.8354546844898195E-11</v>
      </c>
      <c r="CX52" s="101">
        <f>IFERROR(s_RadSpec!$E$17*($AZ$17/$B52),".")</f>
        <v>9.2540270886960088E-11</v>
      </c>
    </row>
    <row r="53" spans="1:102" x14ac:dyDescent="0.25">
      <c r="A53" s="99" t="s">
        <v>1091</v>
      </c>
      <c r="B53" s="90">
        <v>2.0000000000000001E-4</v>
      </c>
      <c r="C53" s="100" t="str">
        <f t="shared" si="35"/>
        <v>.</v>
      </c>
      <c r="D53" s="100">
        <f t="shared" ref="D53:AA53" si="148">IFERROR($B53/D5,0)</f>
        <v>0</v>
      </c>
      <c r="E53" s="100">
        <f t="shared" si="148"/>
        <v>0</v>
      </c>
      <c r="F53" s="100">
        <f t="shared" si="148"/>
        <v>0</v>
      </c>
      <c r="G53" s="100">
        <f t="shared" si="148"/>
        <v>0</v>
      </c>
      <c r="H53" s="100">
        <f t="shared" si="148"/>
        <v>0</v>
      </c>
      <c r="I53" s="100">
        <f t="shared" si="148"/>
        <v>0</v>
      </c>
      <c r="J53" s="100">
        <f t="shared" si="148"/>
        <v>0</v>
      </c>
      <c r="K53" s="100">
        <f t="shared" si="148"/>
        <v>0</v>
      </c>
      <c r="L53" s="100">
        <f t="shared" si="148"/>
        <v>0</v>
      </c>
      <c r="M53" s="100">
        <f t="shared" si="148"/>
        <v>0</v>
      </c>
      <c r="N53" s="100">
        <f t="shared" si="148"/>
        <v>0</v>
      </c>
      <c r="O53" s="100">
        <f t="shared" si="148"/>
        <v>0</v>
      </c>
      <c r="P53" s="100">
        <f t="shared" si="148"/>
        <v>0</v>
      </c>
      <c r="Q53" s="100">
        <f t="shared" si="148"/>
        <v>0</v>
      </c>
      <c r="R53" s="100">
        <f t="shared" si="148"/>
        <v>0</v>
      </c>
      <c r="S53" s="100">
        <f t="shared" si="148"/>
        <v>0</v>
      </c>
      <c r="T53" s="100">
        <f t="shared" si="148"/>
        <v>0</v>
      </c>
      <c r="U53" s="100">
        <f t="shared" si="148"/>
        <v>0</v>
      </c>
      <c r="V53" s="100">
        <f t="shared" si="148"/>
        <v>0</v>
      </c>
      <c r="W53" s="100">
        <f t="shared" si="148"/>
        <v>0</v>
      </c>
      <c r="X53" s="100">
        <f t="shared" si="148"/>
        <v>0</v>
      </c>
      <c r="Y53" s="100">
        <f t="shared" si="148"/>
        <v>0</v>
      </c>
      <c r="Z53" s="100">
        <f t="shared" si="148"/>
        <v>0</v>
      </c>
      <c r="AA53" s="100">
        <f t="shared" si="148"/>
        <v>0</v>
      </c>
      <c r="AB53" s="49">
        <f t="shared" si="60"/>
        <v>0</v>
      </c>
      <c r="AC53" s="101">
        <f>IFERROR(s_RadSpec!$E$5*($AC$5/$B53),".")</f>
        <v>0</v>
      </c>
      <c r="AD53" s="101">
        <f>IFERROR(s_RadSpec!$E$5*($AD$5/$B53),".")</f>
        <v>0</v>
      </c>
      <c r="AE53" s="101">
        <f>IFERROR(s_RadSpec!$E$5*($AY$5/$B53),".")</f>
        <v>0</v>
      </c>
      <c r="AF53" s="101">
        <f>IFERROR(s_RadSpec!$E$5*($AY$5/$B53),".")</f>
        <v>0</v>
      </c>
      <c r="AG53" s="101">
        <f>IFERROR(s_RadSpec!$E$5*($AY$5/$B53),".")</f>
        <v>0</v>
      </c>
      <c r="AH53" s="101">
        <f>IFERROR(s_RadSpec!$E$5*($AY$5/$B53),".")</f>
        <v>0</v>
      </c>
      <c r="AI53" s="101">
        <f>IFERROR(s_RadSpec!$E$5*($AY$5/$B53),".")</f>
        <v>0</v>
      </c>
      <c r="AJ53" s="101">
        <f>IFERROR(s_RadSpec!$E$5*($AY$5/$B53),".")</f>
        <v>0</v>
      </c>
      <c r="AK53" s="101">
        <f>IFERROR(s_RadSpec!$E$5*($AY$5/$B53),".")</f>
        <v>0</v>
      </c>
      <c r="AL53" s="101">
        <f>IFERROR(s_RadSpec!$E$5*($AY$5/$B53),".")</f>
        <v>0</v>
      </c>
      <c r="AM53" s="101">
        <f>IFERROR(s_RadSpec!$E$5*($AY$5/$B53),".")</f>
        <v>0</v>
      </c>
      <c r="AN53" s="101">
        <f>IFERROR(s_RadSpec!$E$5*($AY$5/$B53),".")</f>
        <v>0</v>
      </c>
      <c r="AO53" s="101">
        <f>IFERROR(s_RadSpec!$E$5*($AY$5/$B53),".")</f>
        <v>0</v>
      </c>
      <c r="AP53" s="101">
        <f>IFERROR(s_RadSpec!$E$5*($AY$5/$B53),".")</f>
        <v>0</v>
      </c>
      <c r="AQ53" s="101">
        <f>IFERROR(s_RadSpec!$E$5*($AY$5/$B53),".")</f>
        <v>0</v>
      </c>
      <c r="AR53" s="101">
        <f>IFERROR(s_RadSpec!$E$5*($AY$5/$B53),".")</f>
        <v>0</v>
      </c>
      <c r="AS53" s="101">
        <f>IFERROR(s_RadSpec!$E$5*($AY$5/$B53),".")</f>
        <v>0</v>
      </c>
      <c r="AT53" s="101">
        <f>IFERROR(s_RadSpec!$E$5*($AY$5/$B53),".")</f>
        <v>0</v>
      </c>
      <c r="AU53" s="101">
        <f>IFERROR(s_RadSpec!$E$5*($AY$5/$B53),".")</f>
        <v>0</v>
      </c>
      <c r="AV53" s="101">
        <f>IFERROR(s_RadSpec!$E$5*($AY$5/$B53),".")</f>
        <v>0</v>
      </c>
      <c r="AW53" s="101">
        <f>IFERROR(s_RadSpec!$E$5*($AY$5/$B53),".")</f>
        <v>0</v>
      </c>
      <c r="AX53" s="101">
        <f>IFERROR(s_RadSpec!$E$5*($AY$5/$B53),".")</f>
        <v>0</v>
      </c>
      <c r="AY53" s="101">
        <f>IFERROR(s_RadSpec!$E$5*($AY$5/$B53),".")</f>
        <v>0</v>
      </c>
      <c r="AZ53" s="101">
        <f>IFERROR(s_RadSpec!$E$5*($AZ$5/$B53),".")</f>
        <v>0</v>
      </c>
      <c r="BA53" s="100" t="str">
        <f t="shared" si="61"/>
        <v>.</v>
      </c>
      <c r="BB53" s="100">
        <f t="shared" ref="BB53:BY53" si="149">IFERROR($B53/BB5,0)</f>
        <v>0</v>
      </c>
      <c r="BC53" s="100">
        <f t="shared" si="149"/>
        <v>0</v>
      </c>
      <c r="BD53" s="100">
        <f t="shared" si="149"/>
        <v>0</v>
      </c>
      <c r="BE53" s="100">
        <f t="shared" si="149"/>
        <v>0</v>
      </c>
      <c r="BF53" s="100">
        <f t="shared" si="149"/>
        <v>0</v>
      </c>
      <c r="BG53" s="100">
        <f t="shared" si="149"/>
        <v>0</v>
      </c>
      <c r="BH53" s="100">
        <f t="shared" si="149"/>
        <v>0</v>
      </c>
      <c r="BI53" s="100">
        <f t="shared" si="149"/>
        <v>0</v>
      </c>
      <c r="BJ53" s="100">
        <f t="shared" si="149"/>
        <v>0</v>
      </c>
      <c r="BK53" s="100">
        <f t="shared" si="149"/>
        <v>0</v>
      </c>
      <c r="BL53" s="100">
        <f t="shared" si="149"/>
        <v>0</v>
      </c>
      <c r="BM53" s="100">
        <f t="shared" si="149"/>
        <v>0</v>
      </c>
      <c r="BN53" s="100">
        <f t="shared" si="149"/>
        <v>0</v>
      </c>
      <c r="BO53" s="100">
        <f t="shared" si="149"/>
        <v>0</v>
      </c>
      <c r="BP53" s="100">
        <f t="shared" si="149"/>
        <v>0</v>
      </c>
      <c r="BQ53" s="100">
        <f t="shared" si="149"/>
        <v>0</v>
      </c>
      <c r="BR53" s="100">
        <f t="shared" si="149"/>
        <v>0</v>
      </c>
      <c r="BS53" s="100">
        <f t="shared" si="149"/>
        <v>0</v>
      </c>
      <c r="BT53" s="100">
        <f t="shared" si="149"/>
        <v>0</v>
      </c>
      <c r="BU53" s="100">
        <f t="shared" si="149"/>
        <v>0</v>
      </c>
      <c r="BV53" s="100">
        <f t="shared" si="149"/>
        <v>0</v>
      </c>
      <c r="BW53" s="100">
        <f t="shared" si="149"/>
        <v>0</v>
      </c>
      <c r="BX53" s="100">
        <f t="shared" si="149"/>
        <v>0</v>
      </c>
      <c r="BY53" s="100">
        <f t="shared" si="149"/>
        <v>0</v>
      </c>
      <c r="BZ53" s="49">
        <f t="shared" si="141"/>
        <v>0</v>
      </c>
      <c r="CA53" s="101">
        <f>IFERROR(s_RadSpec!$E$5*($AC$5/$B53),".")</f>
        <v>0</v>
      </c>
      <c r="CB53" s="101">
        <f>IFERROR(s_RadSpec!$E$5*($AD$5/$B53),".")</f>
        <v>0</v>
      </c>
      <c r="CC53" s="101">
        <f>IFERROR(s_RadSpec!$E$5*($AY$5/$B53),".")</f>
        <v>0</v>
      </c>
      <c r="CD53" s="101">
        <f>IFERROR(s_RadSpec!$E$5*($AY$5/$B53),".")</f>
        <v>0</v>
      </c>
      <c r="CE53" s="101">
        <f>IFERROR(s_RadSpec!$E$5*($AY$5/$B53),".")</f>
        <v>0</v>
      </c>
      <c r="CF53" s="101">
        <f>IFERROR(s_RadSpec!$E$5*($AY$5/$B53),".")</f>
        <v>0</v>
      </c>
      <c r="CG53" s="101">
        <f>IFERROR(s_RadSpec!$E$5*($AY$5/$B53),".")</f>
        <v>0</v>
      </c>
      <c r="CH53" s="101">
        <f>IFERROR(s_RadSpec!$E$5*($AY$5/$B53),".")</f>
        <v>0</v>
      </c>
      <c r="CI53" s="101">
        <f>IFERROR(s_RadSpec!$E$5*($AY$5/$B53),".")</f>
        <v>0</v>
      </c>
      <c r="CJ53" s="101">
        <f>IFERROR(s_RadSpec!$E$5*($AY$5/$B53),".")</f>
        <v>0</v>
      </c>
      <c r="CK53" s="101">
        <f>IFERROR(s_RadSpec!$E$5*($AY$5/$B53),".")</f>
        <v>0</v>
      </c>
      <c r="CL53" s="101">
        <f>IFERROR(s_RadSpec!$E$5*($AY$5/$B53),".")</f>
        <v>0</v>
      </c>
      <c r="CM53" s="101">
        <f>IFERROR(s_RadSpec!$E$5*($AY$5/$B53),".")</f>
        <v>0</v>
      </c>
      <c r="CN53" s="101">
        <f>IFERROR(s_RadSpec!$E$5*($AY$5/$B53),".")</f>
        <v>0</v>
      </c>
      <c r="CO53" s="101">
        <f>IFERROR(s_RadSpec!$E$5*($AY$5/$B53),".")</f>
        <v>0</v>
      </c>
      <c r="CP53" s="101">
        <f>IFERROR(s_RadSpec!$E$5*($AY$5/$B53),".")</f>
        <v>0</v>
      </c>
      <c r="CQ53" s="101">
        <f>IFERROR(s_RadSpec!$E$5*($AY$5/$B53),".")</f>
        <v>0</v>
      </c>
      <c r="CR53" s="101">
        <f>IFERROR(s_RadSpec!$E$5*($AY$5/$B53),".")</f>
        <v>0</v>
      </c>
      <c r="CS53" s="101">
        <f>IFERROR(s_RadSpec!$E$5*($AY$5/$B53),".")</f>
        <v>0</v>
      </c>
      <c r="CT53" s="101">
        <f>IFERROR(s_RadSpec!$E$5*($AY$5/$B53),".")</f>
        <v>0</v>
      </c>
      <c r="CU53" s="101">
        <f>IFERROR(s_RadSpec!$E$5*($AY$5/$B53),".")</f>
        <v>0</v>
      </c>
      <c r="CV53" s="101">
        <f>IFERROR(s_RadSpec!$E$5*($AY$5/$B53),".")</f>
        <v>0</v>
      </c>
      <c r="CW53" s="101">
        <f>IFERROR(s_RadSpec!$E$5*($AY$5/$B53),".")</f>
        <v>0</v>
      </c>
      <c r="CX53" s="101">
        <f>IFERROR(s_RadSpec!$E$5*($AZ$5/$B53),".")</f>
        <v>0</v>
      </c>
    </row>
    <row r="54" spans="1:102" x14ac:dyDescent="0.25">
      <c r="A54" s="99" t="s">
        <v>1092</v>
      </c>
      <c r="B54" s="90">
        <v>0.99999979999999999</v>
      </c>
      <c r="C54" s="100">
        <f t="shared" si="35"/>
        <v>5.7573835246507238E-6</v>
      </c>
      <c r="D54" s="100">
        <f t="shared" ref="D54:AA54" si="150">IFERROR($B54/D9,0)</f>
        <v>2.3029534098602895E-5</v>
      </c>
      <c r="E54" s="100">
        <f t="shared" si="150"/>
        <v>2.3029534098602895E-5</v>
      </c>
      <c r="F54" s="100">
        <f t="shared" si="150"/>
        <v>2.3029534098602895E-5</v>
      </c>
      <c r="G54" s="100">
        <f t="shared" si="150"/>
        <v>2.3029534098602895E-5</v>
      </c>
      <c r="H54" s="100">
        <f t="shared" si="150"/>
        <v>2.3029534098602895E-5</v>
      </c>
      <c r="I54" s="100">
        <f t="shared" si="150"/>
        <v>2.3029534098602895E-5</v>
      </c>
      <c r="J54" s="100">
        <f t="shared" si="150"/>
        <v>2.3029534098602895E-5</v>
      </c>
      <c r="K54" s="100">
        <f t="shared" si="150"/>
        <v>2.3029534098602895E-5</v>
      </c>
      <c r="L54" s="100">
        <f t="shared" si="150"/>
        <v>2.3029534098602895E-5</v>
      </c>
      <c r="M54" s="100">
        <f t="shared" si="150"/>
        <v>2.3029534098602895E-5</v>
      </c>
      <c r="N54" s="100">
        <f t="shared" si="150"/>
        <v>2.3029534098602895E-5</v>
      </c>
      <c r="O54" s="100">
        <f t="shared" si="150"/>
        <v>2.3029534098602895E-5</v>
      </c>
      <c r="P54" s="100">
        <f t="shared" si="150"/>
        <v>2.3029534098602895E-5</v>
      </c>
      <c r="Q54" s="100">
        <f t="shared" si="150"/>
        <v>2.3029534098602895E-5</v>
      </c>
      <c r="R54" s="100">
        <f t="shared" si="150"/>
        <v>2.3029534098602895E-5</v>
      </c>
      <c r="S54" s="100">
        <f t="shared" si="150"/>
        <v>2.3029534098602895E-5</v>
      </c>
      <c r="T54" s="100">
        <f t="shared" si="150"/>
        <v>2.3029534098602895E-5</v>
      </c>
      <c r="U54" s="100">
        <f t="shared" si="150"/>
        <v>2.3029534098602895E-5</v>
      </c>
      <c r="V54" s="100">
        <f t="shared" si="150"/>
        <v>2.3029534098602895E-5</v>
      </c>
      <c r="W54" s="100">
        <f t="shared" si="150"/>
        <v>2.3029534098602895E-5</v>
      </c>
      <c r="X54" s="100">
        <f t="shared" si="150"/>
        <v>2.3029534098602895E-5</v>
      </c>
      <c r="Y54" s="100">
        <f t="shared" si="150"/>
        <v>2.3029534098602895E-5</v>
      </c>
      <c r="Z54" s="100">
        <f t="shared" si="150"/>
        <v>2.3029534098602895E-5</v>
      </c>
      <c r="AA54" s="100">
        <f t="shared" si="150"/>
        <v>2.3029534098602895E-5</v>
      </c>
      <c r="AB54" s="49">
        <f t="shared" si="60"/>
        <v>4.6059086620838596E-10</v>
      </c>
      <c r="AC54" s="101">
        <f>IFERROR(s_RadSpec!$E$9*($AC$9/$B54),".")</f>
        <v>1.1514771655209649E-10</v>
      </c>
      <c r="AD54" s="101">
        <f>IFERROR(s_RadSpec!$E$9*($AD$9/$B54),".")</f>
        <v>1.1514771655209649E-10</v>
      </c>
      <c r="AE54" s="101">
        <f>IFERROR(s_RadSpec!$E$9*($AY$9/$B54),".")</f>
        <v>1.1514771655209649E-10</v>
      </c>
      <c r="AF54" s="101">
        <f>IFERROR(s_RadSpec!$E$9*($AY$9/$B54),".")</f>
        <v>1.1514771655209649E-10</v>
      </c>
      <c r="AG54" s="101">
        <f>IFERROR(s_RadSpec!$E$9*($AY$9/$B54),".")</f>
        <v>1.1514771655209649E-10</v>
      </c>
      <c r="AH54" s="101">
        <f>IFERROR(s_RadSpec!$E$9*($AY$9/$B54),".")</f>
        <v>1.1514771655209649E-10</v>
      </c>
      <c r="AI54" s="101">
        <f>IFERROR(s_RadSpec!$E$9*($AY$9/$B54),".")</f>
        <v>1.1514771655209649E-10</v>
      </c>
      <c r="AJ54" s="101">
        <f>IFERROR(s_RadSpec!$E$9*($AY$9/$B54),".")</f>
        <v>1.1514771655209649E-10</v>
      </c>
      <c r="AK54" s="101">
        <f>IFERROR(s_RadSpec!$E$9*($AY$9/$B54),".")</f>
        <v>1.1514771655209649E-10</v>
      </c>
      <c r="AL54" s="101">
        <f>IFERROR(s_RadSpec!$E$9*($AY$9/$B54),".")</f>
        <v>1.1514771655209649E-10</v>
      </c>
      <c r="AM54" s="101">
        <f>IFERROR(s_RadSpec!$E$9*($AY$9/$B54),".")</f>
        <v>1.1514771655209649E-10</v>
      </c>
      <c r="AN54" s="101">
        <f>IFERROR(s_RadSpec!$E$9*($AY$9/$B54),".")</f>
        <v>1.1514771655209649E-10</v>
      </c>
      <c r="AO54" s="101">
        <f>IFERROR(s_RadSpec!$E$9*($AY$9/$B54),".")</f>
        <v>1.1514771655209649E-10</v>
      </c>
      <c r="AP54" s="101">
        <f>IFERROR(s_RadSpec!$E$9*($AY$9/$B54),".")</f>
        <v>1.1514771655209649E-10</v>
      </c>
      <c r="AQ54" s="101">
        <f>IFERROR(s_RadSpec!$E$9*($AY$9/$B54),".")</f>
        <v>1.1514771655209649E-10</v>
      </c>
      <c r="AR54" s="101">
        <f>IFERROR(s_RadSpec!$E$9*($AY$9/$B54),".")</f>
        <v>1.1514771655209649E-10</v>
      </c>
      <c r="AS54" s="101">
        <f>IFERROR(s_RadSpec!$E$9*($AY$9/$B54),".")</f>
        <v>1.1514771655209649E-10</v>
      </c>
      <c r="AT54" s="101">
        <f>IFERROR(s_RadSpec!$E$9*($AY$9/$B54),".")</f>
        <v>1.1514771655209649E-10</v>
      </c>
      <c r="AU54" s="101">
        <f>IFERROR(s_RadSpec!$E$9*($AY$9/$B54),".")</f>
        <v>1.1514771655209649E-10</v>
      </c>
      <c r="AV54" s="101">
        <f>IFERROR(s_RadSpec!$E$9*($AY$9/$B54),".")</f>
        <v>1.1514771655209649E-10</v>
      </c>
      <c r="AW54" s="101">
        <f>IFERROR(s_RadSpec!$E$9*($AY$9/$B54),".")</f>
        <v>1.1514771655209649E-10</v>
      </c>
      <c r="AX54" s="101">
        <f>IFERROR(s_RadSpec!$E$9*($AY$9/$B54),".")</f>
        <v>1.1514771655209649E-10</v>
      </c>
      <c r="AY54" s="101">
        <f>IFERROR(s_RadSpec!$E$9*($AY$9/$B54),".")</f>
        <v>1.1514771655209649E-10</v>
      </c>
      <c r="AZ54" s="101">
        <f>IFERROR(s_RadSpec!$E$9*($AZ$9/$B54),".")</f>
        <v>1.1514771655209649E-10</v>
      </c>
      <c r="BA54" s="100">
        <f t="shared" si="61"/>
        <v>5.7573835246507238E-6</v>
      </c>
      <c r="BB54" s="100">
        <f t="shared" ref="BB54:BY54" si="151">IFERROR($B54/BB9,0)</f>
        <v>2.3029534098602895E-5</v>
      </c>
      <c r="BC54" s="100">
        <f t="shared" si="151"/>
        <v>2.3029534098602895E-5</v>
      </c>
      <c r="BD54" s="100">
        <f t="shared" si="151"/>
        <v>2.3029534098602895E-5</v>
      </c>
      <c r="BE54" s="100">
        <f t="shared" si="151"/>
        <v>2.3029534098602895E-5</v>
      </c>
      <c r="BF54" s="100">
        <f t="shared" si="151"/>
        <v>2.3029534098602895E-5</v>
      </c>
      <c r="BG54" s="100">
        <f t="shared" si="151"/>
        <v>2.3029534098602895E-5</v>
      </c>
      <c r="BH54" s="100">
        <f t="shared" si="151"/>
        <v>2.3029534098602895E-5</v>
      </c>
      <c r="BI54" s="100">
        <f t="shared" si="151"/>
        <v>2.3029534098602895E-5</v>
      </c>
      <c r="BJ54" s="100">
        <f t="shared" si="151"/>
        <v>2.3029534098602895E-5</v>
      </c>
      <c r="BK54" s="100">
        <f t="shared" si="151"/>
        <v>2.3029534098602895E-5</v>
      </c>
      <c r="BL54" s="100">
        <f t="shared" si="151"/>
        <v>2.3029534098602895E-5</v>
      </c>
      <c r="BM54" s="100">
        <f t="shared" si="151"/>
        <v>2.3029534098602895E-5</v>
      </c>
      <c r="BN54" s="100">
        <f t="shared" si="151"/>
        <v>2.3029534098602895E-5</v>
      </c>
      <c r="BO54" s="100">
        <f t="shared" si="151"/>
        <v>2.3029534098602895E-5</v>
      </c>
      <c r="BP54" s="100">
        <f t="shared" si="151"/>
        <v>2.3029534098602895E-5</v>
      </c>
      <c r="BQ54" s="100">
        <f t="shared" si="151"/>
        <v>2.3029534098602895E-5</v>
      </c>
      <c r="BR54" s="100">
        <f t="shared" si="151"/>
        <v>2.3029534098602895E-5</v>
      </c>
      <c r="BS54" s="100">
        <f t="shared" si="151"/>
        <v>2.3029534098602895E-5</v>
      </c>
      <c r="BT54" s="100">
        <f t="shared" si="151"/>
        <v>2.3029534098602895E-5</v>
      </c>
      <c r="BU54" s="100">
        <f t="shared" si="151"/>
        <v>2.3029534098602895E-5</v>
      </c>
      <c r="BV54" s="100">
        <f t="shared" si="151"/>
        <v>2.3029534098602895E-5</v>
      </c>
      <c r="BW54" s="100">
        <f t="shared" si="151"/>
        <v>2.3029534098602895E-5</v>
      </c>
      <c r="BX54" s="100">
        <f t="shared" si="151"/>
        <v>2.3029534098602895E-5</v>
      </c>
      <c r="BY54" s="100">
        <f t="shared" si="151"/>
        <v>2.3029534098602895E-5</v>
      </c>
      <c r="BZ54" s="49">
        <f t="shared" si="141"/>
        <v>4.6059086620838596E-10</v>
      </c>
      <c r="CA54" s="101">
        <f>IFERROR(s_RadSpec!$E$9*($AC$9/$B54),".")</f>
        <v>1.1514771655209649E-10</v>
      </c>
      <c r="CB54" s="101">
        <f>IFERROR(s_RadSpec!$E$9*($AD$9/$B54),".")</f>
        <v>1.1514771655209649E-10</v>
      </c>
      <c r="CC54" s="101">
        <f>IFERROR(s_RadSpec!$E$9*($AY$9/$B54),".")</f>
        <v>1.1514771655209649E-10</v>
      </c>
      <c r="CD54" s="101">
        <f>IFERROR(s_RadSpec!$E$9*($AY$9/$B54),".")</f>
        <v>1.1514771655209649E-10</v>
      </c>
      <c r="CE54" s="101">
        <f>IFERROR(s_RadSpec!$E$9*($AY$9/$B54),".")</f>
        <v>1.1514771655209649E-10</v>
      </c>
      <c r="CF54" s="101">
        <f>IFERROR(s_RadSpec!$E$9*($AY$9/$B54),".")</f>
        <v>1.1514771655209649E-10</v>
      </c>
      <c r="CG54" s="101">
        <f>IFERROR(s_RadSpec!$E$9*($AY$9/$B54),".")</f>
        <v>1.1514771655209649E-10</v>
      </c>
      <c r="CH54" s="101">
        <f>IFERROR(s_RadSpec!$E$9*($AY$9/$B54),".")</f>
        <v>1.1514771655209649E-10</v>
      </c>
      <c r="CI54" s="101">
        <f>IFERROR(s_RadSpec!$E$9*($AY$9/$B54),".")</f>
        <v>1.1514771655209649E-10</v>
      </c>
      <c r="CJ54" s="101">
        <f>IFERROR(s_RadSpec!$E$9*($AY$9/$B54),".")</f>
        <v>1.1514771655209649E-10</v>
      </c>
      <c r="CK54" s="101">
        <f>IFERROR(s_RadSpec!$E$9*($AY$9/$B54),".")</f>
        <v>1.1514771655209649E-10</v>
      </c>
      <c r="CL54" s="101">
        <f>IFERROR(s_RadSpec!$E$9*($AY$9/$B54),".")</f>
        <v>1.1514771655209649E-10</v>
      </c>
      <c r="CM54" s="101">
        <f>IFERROR(s_RadSpec!$E$9*($AY$9/$B54),".")</f>
        <v>1.1514771655209649E-10</v>
      </c>
      <c r="CN54" s="101">
        <f>IFERROR(s_RadSpec!$E$9*($AY$9/$B54),".")</f>
        <v>1.1514771655209649E-10</v>
      </c>
      <c r="CO54" s="101">
        <f>IFERROR(s_RadSpec!$E$9*($AY$9/$B54),".")</f>
        <v>1.1514771655209649E-10</v>
      </c>
      <c r="CP54" s="101">
        <f>IFERROR(s_RadSpec!$E$9*($AY$9/$B54),".")</f>
        <v>1.1514771655209649E-10</v>
      </c>
      <c r="CQ54" s="101">
        <f>IFERROR(s_RadSpec!$E$9*($AY$9/$B54),".")</f>
        <v>1.1514771655209649E-10</v>
      </c>
      <c r="CR54" s="101">
        <f>IFERROR(s_RadSpec!$E$9*($AY$9/$B54),".")</f>
        <v>1.1514771655209649E-10</v>
      </c>
      <c r="CS54" s="101">
        <f>IFERROR(s_RadSpec!$E$9*($AY$9/$B54),".")</f>
        <v>1.1514771655209649E-10</v>
      </c>
      <c r="CT54" s="101">
        <f>IFERROR(s_RadSpec!$E$9*($AY$9/$B54),".")</f>
        <v>1.1514771655209649E-10</v>
      </c>
      <c r="CU54" s="101">
        <f>IFERROR(s_RadSpec!$E$9*($AY$9/$B54),".")</f>
        <v>1.1514771655209649E-10</v>
      </c>
      <c r="CV54" s="101">
        <f>IFERROR(s_RadSpec!$E$9*($AY$9/$B54),".")</f>
        <v>1.1514771655209649E-10</v>
      </c>
      <c r="CW54" s="101">
        <f>IFERROR(s_RadSpec!$E$9*($AY$9/$B54),".")</f>
        <v>1.1514771655209649E-10</v>
      </c>
      <c r="CX54" s="101">
        <f>IFERROR(s_RadSpec!$E$9*($AZ$9/$B54),".")</f>
        <v>1.1514771655209649E-10</v>
      </c>
    </row>
    <row r="55" spans="1:102" x14ac:dyDescent="0.25">
      <c r="A55" s="99" t="s">
        <v>1093</v>
      </c>
      <c r="B55" s="90">
        <v>1.9999999999999999E-7</v>
      </c>
      <c r="C55" s="100" t="str">
        <f t="shared" si="35"/>
        <v>.</v>
      </c>
      <c r="D55" s="100">
        <f t="shared" ref="D55:AA55" si="152">IFERROR($B55/D24,0)</f>
        <v>0</v>
      </c>
      <c r="E55" s="100">
        <f t="shared" si="152"/>
        <v>0</v>
      </c>
      <c r="F55" s="100">
        <f t="shared" si="152"/>
        <v>0</v>
      </c>
      <c r="G55" s="100">
        <f t="shared" si="152"/>
        <v>0</v>
      </c>
      <c r="H55" s="100">
        <f t="shared" si="152"/>
        <v>0</v>
      </c>
      <c r="I55" s="100">
        <f t="shared" si="152"/>
        <v>0</v>
      </c>
      <c r="J55" s="100">
        <f t="shared" si="152"/>
        <v>0</v>
      </c>
      <c r="K55" s="100">
        <f t="shared" si="152"/>
        <v>0</v>
      </c>
      <c r="L55" s="100">
        <f t="shared" si="152"/>
        <v>0</v>
      </c>
      <c r="M55" s="100">
        <f t="shared" si="152"/>
        <v>0</v>
      </c>
      <c r="N55" s="100">
        <f t="shared" si="152"/>
        <v>0</v>
      </c>
      <c r="O55" s="100">
        <f t="shared" si="152"/>
        <v>0</v>
      </c>
      <c r="P55" s="100">
        <f t="shared" si="152"/>
        <v>0</v>
      </c>
      <c r="Q55" s="100">
        <f t="shared" si="152"/>
        <v>0</v>
      </c>
      <c r="R55" s="100">
        <f t="shared" si="152"/>
        <v>0</v>
      </c>
      <c r="S55" s="100">
        <f t="shared" si="152"/>
        <v>0</v>
      </c>
      <c r="T55" s="100">
        <f t="shared" si="152"/>
        <v>0</v>
      </c>
      <c r="U55" s="100">
        <f t="shared" si="152"/>
        <v>0</v>
      </c>
      <c r="V55" s="100">
        <f t="shared" si="152"/>
        <v>0</v>
      </c>
      <c r="W55" s="100">
        <f t="shared" si="152"/>
        <v>0</v>
      </c>
      <c r="X55" s="100">
        <f t="shared" si="152"/>
        <v>0</v>
      </c>
      <c r="Y55" s="100">
        <f t="shared" si="152"/>
        <v>0</v>
      </c>
      <c r="Z55" s="100">
        <f t="shared" si="152"/>
        <v>0</v>
      </c>
      <c r="AA55" s="100">
        <f t="shared" si="152"/>
        <v>0</v>
      </c>
      <c r="AB55" s="49">
        <f t="shared" si="60"/>
        <v>0</v>
      </c>
      <c r="AC55" s="101" t="str">
        <f>IFERROR(s_RadSpec!$E$24*($AC$24/$B55),".")</f>
        <v>.</v>
      </c>
      <c r="AD55" s="101" t="str">
        <f>IFERROR(s_RadSpec!$E$24*($AD$24/$B55),".")</f>
        <v>.</v>
      </c>
      <c r="AE55" s="101" t="str">
        <f>IFERROR(s_RadSpec!$E$24*($AY$24/$B55),".")</f>
        <v>.</v>
      </c>
      <c r="AF55" s="101" t="str">
        <f>IFERROR(s_RadSpec!$E$24*($AY$24/$B55),".")</f>
        <v>.</v>
      </c>
      <c r="AG55" s="101" t="str">
        <f>IFERROR(s_RadSpec!$E$24*($AY$24/$B55),".")</f>
        <v>.</v>
      </c>
      <c r="AH55" s="101" t="str">
        <f>IFERROR(s_RadSpec!$E$24*($AY$24/$B55),".")</f>
        <v>.</v>
      </c>
      <c r="AI55" s="101" t="str">
        <f>IFERROR(s_RadSpec!$E$24*($AY$24/$B55),".")</f>
        <v>.</v>
      </c>
      <c r="AJ55" s="101" t="str">
        <f>IFERROR(s_RadSpec!$E$24*($AY$24/$B55),".")</f>
        <v>.</v>
      </c>
      <c r="AK55" s="101" t="str">
        <f>IFERROR(s_RadSpec!$E$24*($AY$24/$B55),".")</f>
        <v>.</v>
      </c>
      <c r="AL55" s="101" t="str">
        <f>IFERROR(s_RadSpec!$E$24*($AY$24/$B55),".")</f>
        <v>.</v>
      </c>
      <c r="AM55" s="101" t="str">
        <f>IFERROR(s_RadSpec!$E$24*($AY$24/$B55),".")</f>
        <v>.</v>
      </c>
      <c r="AN55" s="101" t="str">
        <f>IFERROR(s_RadSpec!$E$24*($AY$24/$B55),".")</f>
        <v>.</v>
      </c>
      <c r="AO55" s="101" t="str">
        <f>IFERROR(s_RadSpec!$E$24*($AY$24/$B55),".")</f>
        <v>.</v>
      </c>
      <c r="AP55" s="101" t="str">
        <f>IFERROR(s_RadSpec!$E$24*($AY$24/$B55),".")</f>
        <v>.</v>
      </c>
      <c r="AQ55" s="101" t="str">
        <f>IFERROR(s_RadSpec!$E$24*($AY$24/$B55),".")</f>
        <v>.</v>
      </c>
      <c r="AR55" s="101" t="str">
        <f>IFERROR(s_RadSpec!$E$24*($AY$24/$B55),".")</f>
        <v>.</v>
      </c>
      <c r="AS55" s="101" t="str">
        <f>IFERROR(s_RadSpec!$E$24*($AY$24/$B55),".")</f>
        <v>.</v>
      </c>
      <c r="AT55" s="101" t="str">
        <f>IFERROR(s_RadSpec!$E$24*($AY$24/$B55),".")</f>
        <v>.</v>
      </c>
      <c r="AU55" s="101" t="str">
        <f>IFERROR(s_RadSpec!$E$24*($AY$24/$B55),".")</f>
        <v>.</v>
      </c>
      <c r="AV55" s="101" t="str">
        <f>IFERROR(s_RadSpec!$E$24*($AY$24/$B55),".")</f>
        <v>.</v>
      </c>
      <c r="AW55" s="101" t="str">
        <f>IFERROR(s_RadSpec!$E$24*($AY$24/$B55),".")</f>
        <v>.</v>
      </c>
      <c r="AX55" s="101" t="str">
        <f>IFERROR(s_RadSpec!$E$24*($AY$24/$B55),".")</f>
        <v>.</v>
      </c>
      <c r="AY55" s="101" t="str">
        <f>IFERROR(s_RadSpec!$E$24*($AY$24/$B55),".")</f>
        <v>.</v>
      </c>
      <c r="AZ55" s="101" t="str">
        <f>IFERROR(s_RadSpec!$E$24*($AZ$24/$B55),".")</f>
        <v>.</v>
      </c>
      <c r="BA55" s="100" t="str">
        <f t="shared" si="61"/>
        <v>.</v>
      </c>
      <c r="BB55" s="100">
        <f t="shared" ref="BB55:BY55" si="153">IFERROR($B55/BB24,0)</f>
        <v>0</v>
      </c>
      <c r="BC55" s="100">
        <f t="shared" si="153"/>
        <v>0</v>
      </c>
      <c r="BD55" s="100">
        <f t="shared" si="153"/>
        <v>0</v>
      </c>
      <c r="BE55" s="100">
        <f t="shared" si="153"/>
        <v>0</v>
      </c>
      <c r="BF55" s="100">
        <f t="shared" si="153"/>
        <v>0</v>
      </c>
      <c r="BG55" s="100">
        <f t="shared" si="153"/>
        <v>0</v>
      </c>
      <c r="BH55" s="100">
        <f t="shared" si="153"/>
        <v>0</v>
      </c>
      <c r="BI55" s="100">
        <f t="shared" si="153"/>
        <v>0</v>
      </c>
      <c r="BJ55" s="100">
        <f t="shared" si="153"/>
        <v>0</v>
      </c>
      <c r="BK55" s="100">
        <f t="shared" si="153"/>
        <v>0</v>
      </c>
      <c r="BL55" s="100">
        <f t="shared" si="153"/>
        <v>0</v>
      </c>
      <c r="BM55" s="100">
        <f t="shared" si="153"/>
        <v>0</v>
      </c>
      <c r="BN55" s="100">
        <f t="shared" si="153"/>
        <v>0</v>
      </c>
      <c r="BO55" s="100">
        <f t="shared" si="153"/>
        <v>0</v>
      </c>
      <c r="BP55" s="100">
        <f t="shared" si="153"/>
        <v>0</v>
      </c>
      <c r="BQ55" s="100">
        <f t="shared" si="153"/>
        <v>0</v>
      </c>
      <c r="BR55" s="100">
        <f t="shared" si="153"/>
        <v>0</v>
      </c>
      <c r="BS55" s="100">
        <f t="shared" si="153"/>
        <v>0</v>
      </c>
      <c r="BT55" s="100">
        <f t="shared" si="153"/>
        <v>0</v>
      </c>
      <c r="BU55" s="100">
        <f t="shared" si="153"/>
        <v>0</v>
      </c>
      <c r="BV55" s="100">
        <f t="shared" si="153"/>
        <v>0</v>
      </c>
      <c r="BW55" s="100">
        <f t="shared" si="153"/>
        <v>0</v>
      </c>
      <c r="BX55" s="100">
        <f t="shared" si="153"/>
        <v>0</v>
      </c>
      <c r="BY55" s="100">
        <f t="shared" si="153"/>
        <v>0</v>
      </c>
      <c r="BZ55" s="49">
        <f t="shared" si="141"/>
        <v>0</v>
      </c>
      <c r="CA55" s="101" t="str">
        <f>IFERROR(s_RadSpec!$E$24*($AC$24/$B55),".")</f>
        <v>.</v>
      </c>
      <c r="CB55" s="101" t="str">
        <f>IFERROR(s_RadSpec!$E$24*($AD$24/$B55),".")</f>
        <v>.</v>
      </c>
      <c r="CC55" s="101" t="str">
        <f>IFERROR(s_RadSpec!$E$24*($AY$24/$B55),".")</f>
        <v>.</v>
      </c>
      <c r="CD55" s="101" t="str">
        <f>IFERROR(s_RadSpec!$E$24*($AY$24/$B55),".")</f>
        <v>.</v>
      </c>
      <c r="CE55" s="101" t="str">
        <f>IFERROR(s_RadSpec!$E$24*($AY$24/$B55),".")</f>
        <v>.</v>
      </c>
      <c r="CF55" s="101" t="str">
        <f>IFERROR(s_RadSpec!$E$24*($AY$24/$B55),".")</f>
        <v>.</v>
      </c>
      <c r="CG55" s="101" t="str">
        <f>IFERROR(s_RadSpec!$E$24*($AY$24/$B55),".")</f>
        <v>.</v>
      </c>
      <c r="CH55" s="101" t="str">
        <f>IFERROR(s_RadSpec!$E$24*($AY$24/$B55),".")</f>
        <v>.</v>
      </c>
      <c r="CI55" s="101" t="str">
        <f>IFERROR(s_RadSpec!$E$24*($AY$24/$B55),".")</f>
        <v>.</v>
      </c>
      <c r="CJ55" s="101" t="str">
        <f>IFERROR(s_RadSpec!$E$24*($AY$24/$B55),".")</f>
        <v>.</v>
      </c>
      <c r="CK55" s="101" t="str">
        <f>IFERROR(s_RadSpec!$E$24*($AY$24/$B55),".")</f>
        <v>.</v>
      </c>
      <c r="CL55" s="101" t="str">
        <f>IFERROR(s_RadSpec!$E$24*($AY$24/$B55),".")</f>
        <v>.</v>
      </c>
      <c r="CM55" s="101" t="str">
        <f>IFERROR(s_RadSpec!$E$24*($AY$24/$B55),".")</f>
        <v>.</v>
      </c>
      <c r="CN55" s="101" t="str">
        <f>IFERROR(s_RadSpec!$E$24*($AY$24/$B55),".")</f>
        <v>.</v>
      </c>
      <c r="CO55" s="101" t="str">
        <f>IFERROR(s_RadSpec!$E$24*($AY$24/$B55),".")</f>
        <v>.</v>
      </c>
      <c r="CP55" s="101" t="str">
        <f>IFERROR(s_RadSpec!$E$24*($AY$24/$B55),".")</f>
        <v>.</v>
      </c>
      <c r="CQ55" s="101" t="str">
        <f>IFERROR(s_RadSpec!$E$24*($AY$24/$B55),".")</f>
        <v>.</v>
      </c>
      <c r="CR55" s="101" t="str">
        <f>IFERROR(s_RadSpec!$E$24*($AY$24/$B55),".")</f>
        <v>.</v>
      </c>
      <c r="CS55" s="101" t="str">
        <f>IFERROR(s_RadSpec!$E$24*($AY$24/$B55),".")</f>
        <v>.</v>
      </c>
      <c r="CT55" s="101" t="str">
        <f>IFERROR(s_RadSpec!$E$24*($AY$24/$B55),".")</f>
        <v>.</v>
      </c>
      <c r="CU55" s="101" t="str">
        <f>IFERROR(s_RadSpec!$E$24*($AY$24/$B55),".")</f>
        <v>.</v>
      </c>
      <c r="CV55" s="101" t="str">
        <f>IFERROR(s_RadSpec!$E$24*($AY$24/$B55),".")</f>
        <v>.</v>
      </c>
      <c r="CW55" s="101" t="str">
        <f>IFERROR(s_RadSpec!$E$24*($AY$24/$B55),".")</f>
        <v>.</v>
      </c>
      <c r="CX55" s="101" t="str">
        <f>IFERROR(s_RadSpec!$E$24*($AZ$24/$B55),".")</f>
        <v>.</v>
      </c>
    </row>
    <row r="56" spans="1:102" x14ac:dyDescent="0.25">
      <c r="A56" s="99" t="s">
        <v>1094</v>
      </c>
      <c r="B56" s="90">
        <v>0.99979000004200003</v>
      </c>
      <c r="C56" s="100" t="str">
        <f t="shared" si="35"/>
        <v>.</v>
      </c>
      <c r="D56" s="100">
        <f t="shared" ref="D56:AA56" si="154">IFERROR($B56/D20,0)</f>
        <v>0</v>
      </c>
      <c r="E56" s="100">
        <f t="shared" si="154"/>
        <v>0</v>
      </c>
      <c r="F56" s="100">
        <f t="shared" si="154"/>
        <v>0</v>
      </c>
      <c r="G56" s="100">
        <f t="shared" si="154"/>
        <v>0</v>
      </c>
      <c r="H56" s="100">
        <f t="shared" si="154"/>
        <v>0</v>
      </c>
      <c r="I56" s="100">
        <f t="shared" si="154"/>
        <v>0</v>
      </c>
      <c r="J56" s="100">
        <f t="shared" si="154"/>
        <v>0</v>
      </c>
      <c r="K56" s="100">
        <f t="shared" si="154"/>
        <v>0</v>
      </c>
      <c r="L56" s="100">
        <f t="shared" si="154"/>
        <v>0</v>
      </c>
      <c r="M56" s="100">
        <f t="shared" si="154"/>
        <v>0</v>
      </c>
      <c r="N56" s="100">
        <f t="shared" si="154"/>
        <v>0</v>
      </c>
      <c r="O56" s="100">
        <f t="shared" si="154"/>
        <v>0</v>
      </c>
      <c r="P56" s="100">
        <f t="shared" si="154"/>
        <v>0</v>
      </c>
      <c r="Q56" s="100">
        <f t="shared" si="154"/>
        <v>0</v>
      </c>
      <c r="R56" s="100">
        <f t="shared" si="154"/>
        <v>0</v>
      </c>
      <c r="S56" s="100">
        <f t="shared" si="154"/>
        <v>0</v>
      </c>
      <c r="T56" s="100">
        <f t="shared" si="154"/>
        <v>0</v>
      </c>
      <c r="U56" s="100">
        <f t="shared" si="154"/>
        <v>0</v>
      </c>
      <c r="V56" s="100">
        <f t="shared" si="154"/>
        <v>0</v>
      </c>
      <c r="W56" s="100">
        <f t="shared" si="154"/>
        <v>0</v>
      </c>
      <c r="X56" s="100">
        <f t="shared" si="154"/>
        <v>0</v>
      </c>
      <c r="Y56" s="100">
        <f t="shared" si="154"/>
        <v>0</v>
      </c>
      <c r="Z56" s="100">
        <f t="shared" si="154"/>
        <v>0</v>
      </c>
      <c r="AA56" s="100">
        <f t="shared" si="154"/>
        <v>0</v>
      </c>
      <c r="AB56" s="49">
        <f t="shared" si="60"/>
        <v>0</v>
      </c>
      <c r="AC56" s="101">
        <f>IFERROR(s_RadSpec!$E$20*($AC$20/$B56),".")</f>
        <v>0</v>
      </c>
      <c r="AD56" s="101">
        <f>IFERROR(s_RadSpec!$E$20*($AD$20/$B56),".")</f>
        <v>0</v>
      </c>
      <c r="AE56" s="101">
        <f>IFERROR(s_RadSpec!$E$20*($AY$20/$B56),".")</f>
        <v>0</v>
      </c>
      <c r="AF56" s="101">
        <f>IFERROR(s_RadSpec!$E$20*($AY$20/$B56),".")</f>
        <v>0</v>
      </c>
      <c r="AG56" s="101">
        <f>IFERROR(s_RadSpec!$E$20*($AY$20/$B56),".")</f>
        <v>0</v>
      </c>
      <c r="AH56" s="101">
        <f>IFERROR(s_RadSpec!$E$20*($AY$20/$B56),".")</f>
        <v>0</v>
      </c>
      <c r="AI56" s="101">
        <f>IFERROR(s_RadSpec!$E$20*($AY$20/$B56),".")</f>
        <v>0</v>
      </c>
      <c r="AJ56" s="101">
        <f>IFERROR(s_RadSpec!$E$20*($AY$20/$B56),".")</f>
        <v>0</v>
      </c>
      <c r="AK56" s="101">
        <f>IFERROR(s_RadSpec!$E$20*($AY$20/$B56),".")</f>
        <v>0</v>
      </c>
      <c r="AL56" s="101">
        <f>IFERROR(s_RadSpec!$E$20*($AY$20/$B56),".")</f>
        <v>0</v>
      </c>
      <c r="AM56" s="101">
        <f>IFERROR(s_RadSpec!$E$20*($AY$20/$B56),".")</f>
        <v>0</v>
      </c>
      <c r="AN56" s="101">
        <f>IFERROR(s_RadSpec!$E$20*($AY$20/$B56),".")</f>
        <v>0</v>
      </c>
      <c r="AO56" s="101">
        <f>IFERROR(s_RadSpec!$E$20*($AY$20/$B56),".")</f>
        <v>0</v>
      </c>
      <c r="AP56" s="101">
        <f>IFERROR(s_RadSpec!$E$20*($AY$20/$B56),".")</f>
        <v>0</v>
      </c>
      <c r="AQ56" s="101">
        <f>IFERROR(s_RadSpec!$E$20*($AY$20/$B56),".")</f>
        <v>0</v>
      </c>
      <c r="AR56" s="101">
        <f>IFERROR(s_RadSpec!$E$20*($AY$20/$B56),".")</f>
        <v>0</v>
      </c>
      <c r="AS56" s="101">
        <f>IFERROR(s_RadSpec!$E$20*($AY$20/$B56),".")</f>
        <v>0</v>
      </c>
      <c r="AT56" s="101">
        <f>IFERROR(s_RadSpec!$E$20*($AY$20/$B56),".")</f>
        <v>0</v>
      </c>
      <c r="AU56" s="101">
        <f>IFERROR(s_RadSpec!$E$20*($AY$20/$B56),".")</f>
        <v>0</v>
      </c>
      <c r="AV56" s="101">
        <f>IFERROR(s_RadSpec!$E$20*($AY$20/$B56),".")</f>
        <v>0</v>
      </c>
      <c r="AW56" s="101">
        <f>IFERROR(s_RadSpec!$E$20*($AY$20/$B56),".")</f>
        <v>0</v>
      </c>
      <c r="AX56" s="101">
        <f>IFERROR(s_RadSpec!$E$20*($AY$20/$B56),".")</f>
        <v>0</v>
      </c>
      <c r="AY56" s="101">
        <f>IFERROR(s_RadSpec!$E$20*($AY$20/$B56),".")</f>
        <v>0</v>
      </c>
      <c r="AZ56" s="101">
        <f>IFERROR(s_RadSpec!$E$20*($AZ$20/$B56),".")</f>
        <v>0</v>
      </c>
      <c r="BA56" s="100" t="str">
        <f t="shared" si="61"/>
        <v>.</v>
      </c>
      <c r="BB56" s="100">
        <f t="shared" ref="BB56:BY56" si="155">IFERROR($B56/BB20,0)</f>
        <v>0</v>
      </c>
      <c r="BC56" s="100">
        <f t="shared" si="155"/>
        <v>0</v>
      </c>
      <c r="BD56" s="100">
        <f t="shared" si="155"/>
        <v>0</v>
      </c>
      <c r="BE56" s="100">
        <f t="shared" si="155"/>
        <v>0</v>
      </c>
      <c r="BF56" s="100">
        <f t="shared" si="155"/>
        <v>0</v>
      </c>
      <c r="BG56" s="100">
        <f t="shared" si="155"/>
        <v>0</v>
      </c>
      <c r="BH56" s="100">
        <f t="shared" si="155"/>
        <v>0</v>
      </c>
      <c r="BI56" s="100">
        <f t="shared" si="155"/>
        <v>0</v>
      </c>
      <c r="BJ56" s="100">
        <f t="shared" si="155"/>
        <v>0</v>
      </c>
      <c r="BK56" s="100">
        <f t="shared" si="155"/>
        <v>0</v>
      </c>
      <c r="BL56" s="100">
        <f t="shared" si="155"/>
        <v>0</v>
      </c>
      <c r="BM56" s="100">
        <f t="shared" si="155"/>
        <v>0</v>
      </c>
      <c r="BN56" s="100">
        <f t="shared" si="155"/>
        <v>0</v>
      </c>
      <c r="BO56" s="100">
        <f t="shared" si="155"/>
        <v>0</v>
      </c>
      <c r="BP56" s="100">
        <f t="shared" si="155"/>
        <v>0</v>
      </c>
      <c r="BQ56" s="100">
        <f t="shared" si="155"/>
        <v>0</v>
      </c>
      <c r="BR56" s="100">
        <f t="shared" si="155"/>
        <v>0</v>
      </c>
      <c r="BS56" s="100">
        <f t="shared" si="155"/>
        <v>0</v>
      </c>
      <c r="BT56" s="100">
        <f t="shared" si="155"/>
        <v>0</v>
      </c>
      <c r="BU56" s="100">
        <f t="shared" si="155"/>
        <v>0</v>
      </c>
      <c r="BV56" s="100">
        <f t="shared" si="155"/>
        <v>0</v>
      </c>
      <c r="BW56" s="100">
        <f t="shared" si="155"/>
        <v>0</v>
      </c>
      <c r="BX56" s="100">
        <f t="shared" si="155"/>
        <v>0</v>
      </c>
      <c r="BY56" s="100">
        <f t="shared" si="155"/>
        <v>0</v>
      </c>
      <c r="BZ56" s="49">
        <f t="shared" si="141"/>
        <v>0</v>
      </c>
      <c r="CA56" s="101">
        <f>IFERROR(s_RadSpec!$E$20*($AC$20/$B56),".")</f>
        <v>0</v>
      </c>
      <c r="CB56" s="101">
        <f>IFERROR(s_RadSpec!$E$20*($AD$20/$B56),".")</f>
        <v>0</v>
      </c>
      <c r="CC56" s="101">
        <f>IFERROR(s_RadSpec!$E$20*($AY$20/$B56),".")</f>
        <v>0</v>
      </c>
      <c r="CD56" s="101">
        <f>IFERROR(s_RadSpec!$E$20*($AY$20/$B56),".")</f>
        <v>0</v>
      </c>
      <c r="CE56" s="101">
        <f>IFERROR(s_RadSpec!$E$20*($AY$20/$B56),".")</f>
        <v>0</v>
      </c>
      <c r="CF56" s="101">
        <f>IFERROR(s_RadSpec!$E$20*($AY$20/$B56),".")</f>
        <v>0</v>
      </c>
      <c r="CG56" s="101">
        <f>IFERROR(s_RadSpec!$E$20*($AY$20/$B56),".")</f>
        <v>0</v>
      </c>
      <c r="CH56" s="101">
        <f>IFERROR(s_RadSpec!$E$20*($AY$20/$B56),".")</f>
        <v>0</v>
      </c>
      <c r="CI56" s="101">
        <f>IFERROR(s_RadSpec!$E$20*($AY$20/$B56),".")</f>
        <v>0</v>
      </c>
      <c r="CJ56" s="101">
        <f>IFERROR(s_RadSpec!$E$20*($AY$20/$B56),".")</f>
        <v>0</v>
      </c>
      <c r="CK56" s="101">
        <f>IFERROR(s_RadSpec!$E$20*($AY$20/$B56),".")</f>
        <v>0</v>
      </c>
      <c r="CL56" s="101">
        <f>IFERROR(s_RadSpec!$E$20*($AY$20/$B56),".")</f>
        <v>0</v>
      </c>
      <c r="CM56" s="101">
        <f>IFERROR(s_RadSpec!$E$20*($AY$20/$B56),".")</f>
        <v>0</v>
      </c>
      <c r="CN56" s="101">
        <f>IFERROR(s_RadSpec!$E$20*($AY$20/$B56),".")</f>
        <v>0</v>
      </c>
      <c r="CO56" s="101">
        <f>IFERROR(s_RadSpec!$E$20*($AY$20/$B56),".")</f>
        <v>0</v>
      </c>
      <c r="CP56" s="101">
        <f>IFERROR(s_RadSpec!$E$20*($AY$20/$B56),".")</f>
        <v>0</v>
      </c>
      <c r="CQ56" s="101">
        <f>IFERROR(s_RadSpec!$E$20*($AY$20/$B56),".")</f>
        <v>0</v>
      </c>
      <c r="CR56" s="101">
        <f>IFERROR(s_RadSpec!$E$20*($AY$20/$B56),".")</f>
        <v>0</v>
      </c>
      <c r="CS56" s="101">
        <f>IFERROR(s_RadSpec!$E$20*($AY$20/$B56),".")</f>
        <v>0</v>
      </c>
      <c r="CT56" s="101">
        <f>IFERROR(s_RadSpec!$E$20*($AY$20/$B56),".")</f>
        <v>0</v>
      </c>
      <c r="CU56" s="101">
        <f>IFERROR(s_RadSpec!$E$20*($AY$20/$B56),".")</f>
        <v>0</v>
      </c>
      <c r="CV56" s="101">
        <f>IFERROR(s_RadSpec!$E$20*($AY$20/$B56),".")</f>
        <v>0</v>
      </c>
      <c r="CW56" s="101">
        <f>IFERROR(s_RadSpec!$E$20*($AY$20/$B56),".")</f>
        <v>0</v>
      </c>
      <c r="CX56" s="101">
        <f>IFERROR(s_RadSpec!$E$20*($AZ$20/$B56),".")</f>
        <v>0</v>
      </c>
    </row>
    <row r="57" spans="1:102" x14ac:dyDescent="0.25">
      <c r="A57" s="99" t="s">
        <v>1095</v>
      </c>
      <c r="B57" s="90">
        <v>2.0999995799999999E-4</v>
      </c>
      <c r="C57" s="100" t="str">
        <f t="shared" si="35"/>
        <v>.</v>
      </c>
      <c r="D57" s="100">
        <f t="shared" ref="D57:AA57" si="156">IFERROR($B57/D29,0)</f>
        <v>0</v>
      </c>
      <c r="E57" s="100">
        <f t="shared" si="156"/>
        <v>0</v>
      </c>
      <c r="F57" s="100">
        <f t="shared" si="156"/>
        <v>0</v>
      </c>
      <c r="G57" s="100">
        <f t="shared" si="156"/>
        <v>0</v>
      </c>
      <c r="H57" s="100">
        <f t="shared" si="156"/>
        <v>0</v>
      </c>
      <c r="I57" s="100">
        <f t="shared" si="156"/>
        <v>0</v>
      </c>
      <c r="J57" s="100">
        <f t="shared" si="156"/>
        <v>0</v>
      </c>
      <c r="K57" s="100">
        <f t="shared" si="156"/>
        <v>0</v>
      </c>
      <c r="L57" s="100">
        <f t="shared" si="156"/>
        <v>0</v>
      </c>
      <c r="M57" s="100">
        <f t="shared" si="156"/>
        <v>0</v>
      </c>
      <c r="N57" s="100">
        <f t="shared" si="156"/>
        <v>0</v>
      </c>
      <c r="O57" s="100">
        <f t="shared" si="156"/>
        <v>0</v>
      </c>
      <c r="P57" s="100">
        <f t="shared" si="156"/>
        <v>0</v>
      </c>
      <c r="Q57" s="100">
        <f t="shared" si="156"/>
        <v>0</v>
      </c>
      <c r="R57" s="100">
        <f t="shared" si="156"/>
        <v>0</v>
      </c>
      <c r="S57" s="100">
        <f t="shared" si="156"/>
        <v>0</v>
      </c>
      <c r="T57" s="100">
        <f t="shared" si="156"/>
        <v>0</v>
      </c>
      <c r="U57" s="100">
        <f t="shared" si="156"/>
        <v>0</v>
      </c>
      <c r="V57" s="100">
        <f t="shared" si="156"/>
        <v>0</v>
      </c>
      <c r="W57" s="100">
        <f t="shared" si="156"/>
        <v>0</v>
      </c>
      <c r="X57" s="100">
        <f t="shared" si="156"/>
        <v>0</v>
      </c>
      <c r="Y57" s="100">
        <f t="shared" si="156"/>
        <v>0</v>
      </c>
      <c r="Z57" s="100">
        <f t="shared" si="156"/>
        <v>0</v>
      </c>
      <c r="AA57" s="100">
        <f t="shared" si="156"/>
        <v>0</v>
      </c>
      <c r="AB57" s="49">
        <f t="shared" si="60"/>
        <v>0</v>
      </c>
      <c r="AC57" s="101">
        <f>IFERROR(s_RadSpec!$E$29*($AC$29/$B57),".")</f>
        <v>0</v>
      </c>
      <c r="AD57" s="101">
        <f>IFERROR(s_RadSpec!$E$29*($AD$29/$B57),".")</f>
        <v>0</v>
      </c>
      <c r="AE57" s="101">
        <f>IFERROR(s_RadSpec!$E$29*($AY$29/$B57),".")</f>
        <v>0</v>
      </c>
      <c r="AF57" s="101">
        <f>IFERROR(s_RadSpec!$E$29*($AY$29/$B57),".")</f>
        <v>0</v>
      </c>
      <c r="AG57" s="101">
        <f>IFERROR(s_RadSpec!$E$29*($AY$29/$B57),".")</f>
        <v>0</v>
      </c>
      <c r="AH57" s="101">
        <f>IFERROR(s_RadSpec!$E$29*($AY$29/$B57),".")</f>
        <v>0</v>
      </c>
      <c r="AI57" s="101">
        <f>IFERROR(s_RadSpec!$E$29*($AY$29/$B57),".")</f>
        <v>0</v>
      </c>
      <c r="AJ57" s="101">
        <f>IFERROR(s_RadSpec!$E$29*($AY$29/$B57),".")</f>
        <v>0</v>
      </c>
      <c r="AK57" s="101">
        <f>IFERROR(s_RadSpec!$E$29*($AY$29/$B57),".")</f>
        <v>0</v>
      </c>
      <c r="AL57" s="101">
        <f>IFERROR(s_RadSpec!$E$29*($AY$29/$B57),".")</f>
        <v>0</v>
      </c>
      <c r="AM57" s="101">
        <f>IFERROR(s_RadSpec!$E$29*($AY$29/$B57),".")</f>
        <v>0</v>
      </c>
      <c r="AN57" s="101">
        <f>IFERROR(s_RadSpec!$E$29*($AY$29/$B57),".")</f>
        <v>0</v>
      </c>
      <c r="AO57" s="101">
        <f>IFERROR(s_RadSpec!$E$29*($AY$29/$B57),".")</f>
        <v>0</v>
      </c>
      <c r="AP57" s="101">
        <f>IFERROR(s_RadSpec!$E$29*($AY$29/$B57),".")</f>
        <v>0</v>
      </c>
      <c r="AQ57" s="101">
        <f>IFERROR(s_RadSpec!$E$29*($AY$29/$B57),".")</f>
        <v>0</v>
      </c>
      <c r="AR57" s="101">
        <f>IFERROR(s_RadSpec!$E$29*($AY$29/$B57),".")</f>
        <v>0</v>
      </c>
      <c r="AS57" s="101">
        <f>IFERROR(s_RadSpec!$E$29*($AY$29/$B57),".")</f>
        <v>0</v>
      </c>
      <c r="AT57" s="101">
        <f>IFERROR(s_RadSpec!$E$29*($AY$29/$B57),".")</f>
        <v>0</v>
      </c>
      <c r="AU57" s="101">
        <f>IFERROR(s_RadSpec!$E$29*($AY$29/$B57),".")</f>
        <v>0</v>
      </c>
      <c r="AV57" s="101">
        <f>IFERROR(s_RadSpec!$E$29*($AY$29/$B57),".")</f>
        <v>0</v>
      </c>
      <c r="AW57" s="101">
        <f>IFERROR(s_RadSpec!$E$29*($AY$29/$B57),".")</f>
        <v>0</v>
      </c>
      <c r="AX57" s="101">
        <f>IFERROR(s_RadSpec!$E$29*($AY$29/$B57),".")</f>
        <v>0</v>
      </c>
      <c r="AY57" s="101">
        <f>IFERROR(s_RadSpec!$E$29*($AY$29/$B57),".")</f>
        <v>0</v>
      </c>
      <c r="AZ57" s="101">
        <f>IFERROR(s_RadSpec!$E$29*($AZ$29/$B57),".")</f>
        <v>0</v>
      </c>
      <c r="BA57" s="100" t="str">
        <f t="shared" si="61"/>
        <v>.</v>
      </c>
      <c r="BB57" s="100">
        <f t="shared" ref="BB57:BY57" si="157">IFERROR($B57/BB29,0)</f>
        <v>0</v>
      </c>
      <c r="BC57" s="100">
        <f t="shared" si="157"/>
        <v>0</v>
      </c>
      <c r="BD57" s="100">
        <f t="shared" si="157"/>
        <v>0</v>
      </c>
      <c r="BE57" s="100">
        <f t="shared" si="157"/>
        <v>0</v>
      </c>
      <c r="BF57" s="100">
        <f t="shared" si="157"/>
        <v>0</v>
      </c>
      <c r="BG57" s="100">
        <f t="shared" si="157"/>
        <v>0</v>
      </c>
      <c r="BH57" s="100">
        <f t="shared" si="157"/>
        <v>0</v>
      </c>
      <c r="BI57" s="100">
        <f t="shared" si="157"/>
        <v>0</v>
      </c>
      <c r="BJ57" s="100">
        <f t="shared" si="157"/>
        <v>0</v>
      </c>
      <c r="BK57" s="100">
        <f t="shared" si="157"/>
        <v>0</v>
      </c>
      <c r="BL57" s="100">
        <f t="shared" si="157"/>
        <v>0</v>
      </c>
      <c r="BM57" s="100">
        <f t="shared" si="157"/>
        <v>0</v>
      </c>
      <c r="BN57" s="100">
        <f t="shared" si="157"/>
        <v>0</v>
      </c>
      <c r="BO57" s="100">
        <f t="shared" si="157"/>
        <v>0</v>
      </c>
      <c r="BP57" s="100">
        <f t="shared" si="157"/>
        <v>0</v>
      </c>
      <c r="BQ57" s="100">
        <f t="shared" si="157"/>
        <v>0</v>
      </c>
      <c r="BR57" s="100">
        <f t="shared" si="157"/>
        <v>0</v>
      </c>
      <c r="BS57" s="100">
        <f t="shared" si="157"/>
        <v>0</v>
      </c>
      <c r="BT57" s="100">
        <f t="shared" si="157"/>
        <v>0</v>
      </c>
      <c r="BU57" s="100">
        <f t="shared" si="157"/>
        <v>0</v>
      </c>
      <c r="BV57" s="100">
        <f t="shared" si="157"/>
        <v>0</v>
      </c>
      <c r="BW57" s="100">
        <f t="shared" si="157"/>
        <v>0</v>
      </c>
      <c r="BX57" s="100">
        <f t="shared" si="157"/>
        <v>0</v>
      </c>
      <c r="BY57" s="100">
        <f t="shared" si="157"/>
        <v>0</v>
      </c>
      <c r="BZ57" s="49">
        <f t="shared" si="141"/>
        <v>0</v>
      </c>
      <c r="CA57" s="101">
        <f>IFERROR(s_RadSpec!$E$29*($AC$29/$B57),".")</f>
        <v>0</v>
      </c>
      <c r="CB57" s="101">
        <f>IFERROR(s_RadSpec!$E$29*($AD$29/$B57),".")</f>
        <v>0</v>
      </c>
      <c r="CC57" s="101">
        <f>IFERROR(s_RadSpec!$E$29*($AY$29/$B57),".")</f>
        <v>0</v>
      </c>
      <c r="CD57" s="101">
        <f>IFERROR(s_RadSpec!$E$29*($AY$29/$B57),".")</f>
        <v>0</v>
      </c>
      <c r="CE57" s="101">
        <f>IFERROR(s_RadSpec!$E$29*($AY$29/$B57),".")</f>
        <v>0</v>
      </c>
      <c r="CF57" s="101">
        <f>IFERROR(s_RadSpec!$E$29*($AY$29/$B57),".")</f>
        <v>0</v>
      </c>
      <c r="CG57" s="101">
        <f>IFERROR(s_RadSpec!$E$29*($AY$29/$B57),".")</f>
        <v>0</v>
      </c>
      <c r="CH57" s="101">
        <f>IFERROR(s_RadSpec!$E$29*($AY$29/$B57),".")</f>
        <v>0</v>
      </c>
      <c r="CI57" s="101">
        <f>IFERROR(s_RadSpec!$E$29*($AY$29/$B57),".")</f>
        <v>0</v>
      </c>
      <c r="CJ57" s="101">
        <f>IFERROR(s_RadSpec!$E$29*($AY$29/$B57),".")</f>
        <v>0</v>
      </c>
      <c r="CK57" s="101">
        <f>IFERROR(s_RadSpec!$E$29*($AY$29/$B57),".")</f>
        <v>0</v>
      </c>
      <c r="CL57" s="101">
        <f>IFERROR(s_RadSpec!$E$29*($AY$29/$B57),".")</f>
        <v>0</v>
      </c>
      <c r="CM57" s="101">
        <f>IFERROR(s_RadSpec!$E$29*($AY$29/$B57),".")</f>
        <v>0</v>
      </c>
      <c r="CN57" s="101">
        <f>IFERROR(s_RadSpec!$E$29*($AY$29/$B57),".")</f>
        <v>0</v>
      </c>
      <c r="CO57" s="101">
        <f>IFERROR(s_RadSpec!$E$29*($AY$29/$B57),".")</f>
        <v>0</v>
      </c>
      <c r="CP57" s="101">
        <f>IFERROR(s_RadSpec!$E$29*($AY$29/$B57),".")</f>
        <v>0</v>
      </c>
      <c r="CQ57" s="101">
        <f>IFERROR(s_RadSpec!$E$29*($AY$29/$B57),".")</f>
        <v>0</v>
      </c>
      <c r="CR57" s="101">
        <f>IFERROR(s_RadSpec!$E$29*($AY$29/$B57),".")</f>
        <v>0</v>
      </c>
      <c r="CS57" s="101">
        <f>IFERROR(s_RadSpec!$E$29*($AY$29/$B57),".")</f>
        <v>0</v>
      </c>
      <c r="CT57" s="101">
        <f>IFERROR(s_RadSpec!$E$29*($AY$29/$B57),".")</f>
        <v>0</v>
      </c>
      <c r="CU57" s="101">
        <f>IFERROR(s_RadSpec!$E$29*($AY$29/$B57),".")</f>
        <v>0</v>
      </c>
      <c r="CV57" s="101">
        <f>IFERROR(s_RadSpec!$E$29*($AY$29/$B57),".")</f>
        <v>0</v>
      </c>
      <c r="CW57" s="101">
        <f>IFERROR(s_RadSpec!$E$29*($AY$29/$B57),".")</f>
        <v>0</v>
      </c>
      <c r="CX57" s="101">
        <f>IFERROR(s_RadSpec!$E$29*($AZ$29/$B57),".")</f>
        <v>0</v>
      </c>
    </row>
    <row r="58" spans="1:102" x14ac:dyDescent="0.25">
      <c r="A58" s="99" t="s">
        <v>1096</v>
      </c>
      <c r="B58" s="90">
        <v>1</v>
      </c>
      <c r="C58" s="100">
        <f t="shared" si="35"/>
        <v>1.2144573381495242E-2</v>
      </c>
      <c r="D58" s="100">
        <f t="shared" ref="D58:AA58" si="158">IFERROR($B58/D16,0)</f>
        <v>4.4276036719240498E-2</v>
      </c>
      <c r="E58" s="100">
        <f t="shared" si="158"/>
        <v>8.9280856689570379E-2</v>
      </c>
      <c r="F58" s="100">
        <f t="shared" si="158"/>
        <v>4.749066671712121E-2</v>
      </c>
      <c r="G58" s="100">
        <f t="shared" si="158"/>
        <v>4.4276036719240498E-2</v>
      </c>
      <c r="H58" s="100">
        <f t="shared" si="158"/>
        <v>4.749066671712121E-2</v>
      </c>
      <c r="I58" s="100">
        <f t="shared" si="158"/>
        <v>8.9280856689570379E-2</v>
      </c>
      <c r="J58" s="100">
        <f t="shared" si="158"/>
        <v>4.749066671712121E-2</v>
      </c>
      <c r="K58" s="100">
        <f t="shared" si="158"/>
        <v>4.4276036719240498E-2</v>
      </c>
      <c r="L58" s="100">
        <f t="shared" si="158"/>
        <v>3.8618287922970465E-2</v>
      </c>
      <c r="M58" s="100">
        <f t="shared" si="158"/>
        <v>4.749066671712121E-2</v>
      </c>
      <c r="N58" s="100">
        <f t="shared" si="158"/>
        <v>8.9280856689570379E-2</v>
      </c>
      <c r="O58" s="100">
        <f t="shared" si="158"/>
        <v>4.1254284521232636E-2</v>
      </c>
      <c r="P58" s="100">
        <f t="shared" si="158"/>
        <v>4.749066671712121E-2</v>
      </c>
      <c r="Q58" s="100">
        <f t="shared" si="158"/>
        <v>4.749066671712121E-2</v>
      </c>
      <c r="R58" s="100">
        <f t="shared" si="158"/>
        <v>4.4276036719240498E-2</v>
      </c>
      <c r="S58" s="100">
        <f t="shared" si="158"/>
        <v>4.4276036719240498E-2</v>
      </c>
      <c r="T58" s="100">
        <f t="shared" si="158"/>
        <v>4.1254284521232636E-2</v>
      </c>
      <c r="U58" s="100">
        <f t="shared" si="158"/>
        <v>3.8811165722843301E-2</v>
      </c>
      <c r="V58" s="100">
        <f t="shared" si="158"/>
        <v>4.749066671712121E-2</v>
      </c>
      <c r="W58" s="100">
        <f t="shared" si="158"/>
        <v>4.1254284521232636E-2</v>
      </c>
      <c r="X58" s="100">
        <f t="shared" si="158"/>
        <v>4.4276036719240498E-2</v>
      </c>
      <c r="Y58" s="100">
        <f t="shared" si="158"/>
        <v>4.749066671712121E-2</v>
      </c>
      <c r="Z58" s="100">
        <f t="shared" si="158"/>
        <v>3.8033225263356174E-2</v>
      </c>
      <c r="AA58" s="100">
        <f t="shared" si="158"/>
        <v>4.4918962718816645E-2</v>
      </c>
      <c r="AB58" s="49">
        <f t="shared" si="60"/>
        <v>1.0825454069549184E-6</v>
      </c>
      <c r="AC58" s="101">
        <f>IFERROR(s_RadSpec!$E$16*($AC$16/$B58),".")</f>
        <v>2.213801835962025E-7</v>
      </c>
      <c r="AD58" s="101">
        <f>IFERROR(s_RadSpec!$E$16*($AD$16/$B58),".")</f>
        <v>4.4640428344785189E-7</v>
      </c>
      <c r="AE58" s="101">
        <f>IFERROR(s_RadSpec!$E$16*($AY$16/$B58),".")</f>
        <v>1.9016612631678084E-7</v>
      </c>
      <c r="AF58" s="101">
        <f>IFERROR(s_RadSpec!$E$16*($AY$16/$B58),".")</f>
        <v>1.9016612631678084E-7</v>
      </c>
      <c r="AG58" s="101">
        <f>IFERROR(s_RadSpec!$E$16*($AY$16/$B58),".")</f>
        <v>1.9016612631678084E-7</v>
      </c>
      <c r="AH58" s="101">
        <f>IFERROR(s_RadSpec!$E$16*($AY$16/$B58),".")</f>
        <v>1.9016612631678084E-7</v>
      </c>
      <c r="AI58" s="101">
        <f>IFERROR(s_RadSpec!$E$16*($AY$16/$B58),".")</f>
        <v>1.9016612631678084E-7</v>
      </c>
      <c r="AJ58" s="101">
        <f>IFERROR(s_RadSpec!$E$16*($AY$16/$B58),".")</f>
        <v>1.9016612631678084E-7</v>
      </c>
      <c r="AK58" s="101">
        <f>IFERROR(s_RadSpec!$E$16*($AY$16/$B58),".")</f>
        <v>1.9016612631678084E-7</v>
      </c>
      <c r="AL58" s="101">
        <f>IFERROR(s_RadSpec!$E$16*($AY$16/$B58),".")</f>
        <v>1.9016612631678084E-7</v>
      </c>
      <c r="AM58" s="101">
        <f>IFERROR(s_RadSpec!$E$16*($AY$16/$B58),".")</f>
        <v>1.9016612631678084E-7</v>
      </c>
      <c r="AN58" s="101">
        <f>IFERROR(s_RadSpec!$E$16*($AY$16/$B58),".")</f>
        <v>1.9016612631678084E-7</v>
      </c>
      <c r="AO58" s="101">
        <f>IFERROR(s_RadSpec!$E$16*($AY$16/$B58),".")</f>
        <v>1.9016612631678084E-7</v>
      </c>
      <c r="AP58" s="101">
        <f>IFERROR(s_RadSpec!$E$16*($AY$16/$B58),".")</f>
        <v>1.9016612631678084E-7</v>
      </c>
      <c r="AQ58" s="101">
        <f>IFERROR(s_RadSpec!$E$16*($AY$16/$B58),".")</f>
        <v>1.9016612631678084E-7</v>
      </c>
      <c r="AR58" s="101">
        <f>IFERROR(s_RadSpec!$E$16*($AY$16/$B58),".")</f>
        <v>1.9016612631678084E-7</v>
      </c>
      <c r="AS58" s="101">
        <f>IFERROR(s_RadSpec!$E$16*($AY$16/$B58),".")</f>
        <v>1.9016612631678084E-7</v>
      </c>
      <c r="AT58" s="101">
        <f>IFERROR(s_RadSpec!$E$16*($AY$16/$B58),".")</f>
        <v>1.9016612631678084E-7</v>
      </c>
      <c r="AU58" s="101">
        <f>IFERROR(s_RadSpec!$E$16*($AY$16/$B58),".")</f>
        <v>1.9016612631678084E-7</v>
      </c>
      <c r="AV58" s="101">
        <f>IFERROR(s_RadSpec!$E$16*($AY$16/$B58),".")</f>
        <v>1.9016612631678084E-7</v>
      </c>
      <c r="AW58" s="101">
        <f>IFERROR(s_RadSpec!$E$16*($AY$16/$B58),".")</f>
        <v>1.9016612631678084E-7</v>
      </c>
      <c r="AX58" s="101">
        <f>IFERROR(s_RadSpec!$E$16*($AY$16/$B58),".")</f>
        <v>1.9016612631678084E-7</v>
      </c>
      <c r="AY58" s="101">
        <f>IFERROR(s_RadSpec!$E$16*($AY$16/$B58),".")</f>
        <v>1.9016612631678084E-7</v>
      </c>
      <c r="AZ58" s="101">
        <f>IFERROR(s_RadSpec!$E$16*($AZ$16/$B58),".")</f>
        <v>2.245948135940832E-7</v>
      </c>
      <c r="BA58" s="100">
        <f t="shared" si="61"/>
        <v>1.2144573381495242E-2</v>
      </c>
      <c r="BB58" s="100">
        <f t="shared" ref="BB58:BY58" si="159">IFERROR($B58/BB16,0)</f>
        <v>4.4276036719240498E-2</v>
      </c>
      <c r="BC58" s="100">
        <f t="shared" si="159"/>
        <v>8.9280856689570379E-2</v>
      </c>
      <c r="BD58" s="100">
        <f t="shared" si="159"/>
        <v>4.749066671712121E-2</v>
      </c>
      <c r="BE58" s="100">
        <f t="shared" si="159"/>
        <v>4.4276036719240498E-2</v>
      </c>
      <c r="BF58" s="100">
        <f t="shared" si="159"/>
        <v>4.749066671712121E-2</v>
      </c>
      <c r="BG58" s="100">
        <f t="shared" si="159"/>
        <v>8.9280856689570379E-2</v>
      </c>
      <c r="BH58" s="100">
        <f t="shared" si="159"/>
        <v>4.749066671712121E-2</v>
      </c>
      <c r="BI58" s="100">
        <f t="shared" si="159"/>
        <v>4.4276036719240498E-2</v>
      </c>
      <c r="BJ58" s="100">
        <f t="shared" si="159"/>
        <v>3.8618287922970465E-2</v>
      </c>
      <c r="BK58" s="100">
        <f t="shared" si="159"/>
        <v>4.749066671712121E-2</v>
      </c>
      <c r="BL58" s="100">
        <f t="shared" si="159"/>
        <v>8.9280856689570379E-2</v>
      </c>
      <c r="BM58" s="100">
        <f t="shared" si="159"/>
        <v>4.1254284521232636E-2</v>
      </c>
      <c r="BN58" s="100">
        <f t="shared" si="159"/>
        <v>4.749066671712121E-2</v>
      </c>
      <c r="BO58" s="100">
        <f t="shared" si="159"/>
        <v>4.749066671712121E-2</v>
      </c>
      <c r="BP58" s="100">
        <f t="shared" si="159"/>
        <v>4.4276036719240498E-2</v>
      </c>
      <c r="BQ58" s="100">
        <f t="shared" si="159"/>
        <v>4.4276036719240498E-2</v>
      </c>
      <c r="BR58" s="100">
        <f t="shared" si="159"/>
        <v>4.1254284521232636E-2</v>
      </c>
      <c r="BS58" s="100">
        <f t="shared" si="159"/>
        <v>3.8811165722843301E-2</v>
      </c>
      <c r="BT58" s="100">
        <f t="shared" si="159"/>
        <v>4.749066671712121E-2</v>
      </c>
      <c r="BU58" s="100">
        <f t="shared" si="159"/>
        <v>4.1254284521232636E-2</v>
      </c>
      <c r="BV58" s="100">
        <f t="shared" si="159"/>
        <v>4.4276036719240498E-2</v>
      </c>
      <c r="BW58" s="100">
        <f t="shared" si="159"/>
        <v>4.749066671712121E-2</v>
      </c>
      <c r="BX58" s="100">
        <f t="shared" si="159"/>
        <v>3.8033225263356174E-2</v>
      </c>
      <c r="BY58" s="100">
        <f t="shared" si="159"/>
        <v>4.4918962718816645E-2</v>
      </c>
      <c r="BZ58" s="49">
        <f t="shared" si="141"/>
        <v>1.0825454069549184E-6</v>
      </c>
      <c r="CA58" s="101">
        <f>IFERROR(s_RadSpec!$E$16*($AC$16/$B58),".")</f>
        <v>2.213801835962025E-7</v>
      </c>
      <c r="CB58" s="101">
        <f>IFERROR(s_RadSpec!$E$16*($AD$16/$B58),".")</f>
        <v>4.4640428344785189E-7</v>
      </c>
      <c r="CC58" s="101">
        <f>IFERROR(s_RadSpec!$E$16*($AY$16/$B58),".")</f>
        <v>1.9016612631678084E-7</v>
      </c>
      <c r="CD58" s="101">
        <f>IFERROR(s_RadSpec!$E$16*($AY$16/$B58),".")</f>
        <v>1.9016612631678084E-7</v>
      </c>
      <c r="CE58" s="101">
        <f>IFERROR(s_RadSpec!$E$16*($AY$16/$B58),".")</f>
        <v>1.9016612631678084E-7</v>
      </c>
      <c r="CF58" s="101">
        <f>IFERROR(s_RadSpec!$E$16*($AY$16/$B58),".")</f>
        <v>1.9016612631678084E-7</v>
      </c>
      <c r="CG58" s="101">
        <f>IFERROR(s_RadSpec!$E$16*($AY$16/$B58),".")</f>
        <v>1.9016612631678084E-7</v>
      </c>
      <c r="CH58" s="101">
        <f>IFERROR(s_RadSpec!$E$16*($AY$16/$B58),".")</f>
        <v>1.9016612631678084E-7</v>
      </c>
      <c r="CI58" s="101">
        <f>IFERROR(s_RadSpec!$E$16*($AY$16/$B58),".")</f>
        <v>1.9016612631678084E-7</v>
      </c>
      <c r="CJ58" s="101">
        <f>IFERROR(s_RadSpec!$E$16*($AY$16/$B58),".")</f>
        <v>1.9016612631678084E-7</v>
      </c>
      <c r="CK58" s="101">
        <f>IFERROR(s_RadSpec!$E$16*($AY$16/$B58),".")</f>
        <v>1.9016612631678084E-7</v>
      </c>
      <c r="CL58" s="101">
        <f>IFERROR(s_RadSpec!$E$16*($AY$16/$B58),".")</f>
        <v>1.9016612631678084E-7</v>
      </c>
      <c r="CM58" s="101">
        <f>IFERROR(s_RadSpec!$E$16*($AY$16/$B58),".")</f>
        <v>1.9016612631678084E-7</v>
      </c>
      <c r="CN58" s="101">
        <f>IFERROR(s_RadSpec!$E$16*($AY$16/$B58),".")</f>
        <v>1.9016612631678084E-7</v>
      </c>
      <c r="CO58" s="101">
        <f>IFERROR(s_RadSpec!$E$16*($AY$16/$B58),".")</f>
        <v>1.9016612631678084E-7</v>
      </c>
      <c r="CP58" s="101">
        <f>IFERROR(s_RadSpec!$E$16*($AY$16/$B58),".")</f>
        <v>1.9016612631678084E-7</v>
      </c>
      <c r="CQ58" s="101">
        <f>IFERROR(s_RadSpec!$E$16*($AY$16/$B58),".")</f>
        <v>1.9016612631678084E-7</v>
      </c>
      <c r="CR58" s="101">
        <f>IFERROR(s_RadSpec!$E$16*($AY$16/$B58),".")</f>
        <v>1.9016612631678084E-7</v>
      </c>
      <c r="CS58" s="101">
        <f>IFERROR(s_RadSpec!$E$16*($AY$16/$B58),".")</f>
        <v>1.9016612631678084E-7</v>
      </c>
      <c r="CT58" s="101">
        <f>IFERROR(s_RadSpec!$E$16*($AY$16/$B58),".")</f>
        <v>1.9016612631678084E-7</v>
      </c>
      <c r="CU58" s="101">
        <f>IFERROR(s_RadSpec!$E$16*($AY$16/$B58),".")</f>
        <v>1.9016612631678084E-7</v>
      </c>
      <c r="CV58" s="101">
        <f>IFERROR(s_RadSpec!$E$16*($AY$16/$B58),".")</f>
        <v>1.9016612631678084E-7</v>
      </c>
      <c r="CW58" s="101">
        <f>IFERROR(s_RadSpec!$E$16*($AY$16/$B58),".")</f>
        <v>1.9016612631678084E-7</v>
      </c>
      <c r="CX58" s="101">
        <f>IFERROR(s_RadSpec!$E$16*($AZ$16/$B58),".")</f>
        <v>2.245948135940832E-7</v>
      </c>
    </row>
    <row r="59" spans="1:102" x14ac:dyDescent="0.25">
      <c r="A59" s="99" t="s">
        <v>1097</v>
      </c>
      <c r="B59" s="90">
        <v>1</v>
      </c>
      <c r="C59" s="100">
        <f t="shared" ref="C59:C76" si="160">IFERROR(1/SUM(1/D59,1/E59,1/Z59,1/AA59),".")</f>
        <v>2.826498474193774E-4</v>
      </c>
      <c r="D59" s="100">
        <f t="shared" ref="D59:AA59" si="161">IFERROR($B59/D7,0)</f>
        <v>1.1305993896775096E-3</v>
      </c>
      <c r="E59" s="100">
        <f t="shared" si="161"/>
        <v>1.1305993896775096E-3</v>
      </c>
      <c r="F59" s="100">
        <f t="shared" si="161"/>
        <v>1.1305993896775096E-3</v>
      </c>
      <c r="G59" s="100">
        <f t="shared" si="161"/>
        <v>1.1305993896775096E-3</v>
      </c>
      <c r="H59" s="100">
        <f t="shared" si="161"/>
        <v>1.1305993896775096E-3</v>
      </c>
      <c r="I59" s="100">
        <f t="shared" si="161"/>
        <v>1.1305993896775096E-3</v>
      </c>
      <c r="J59" s="100">
        <f t="shared" si="161"/>
        <v>1.1305993896775096E-3</v>
      </c>
      <c r="K59" s="100">
        <f t="shared" si="161"/>
        <v>1.1305993896775096E-3</v>
      </c>
      <c r="L59" s="100">
        <f t="shared" si="161"/>
        <v>1.1305993896775096E-3</v>
      </c>
      <c r="M59" s="100">
        <f t="shared" si="161"/>
        <v>1.1305993896775096E-3</v>
      </c>
      <c r="N59" s="100">
        <f t="shared" si="161"/>
        <v>1.1305993896775096E-3</v>
      </c>
      <c r="O59" s="100">
        <f t="shared" si="161"/>
        <v>1.1305993896775096E-3</v>
      </c>
      <c r="P59" s="100">
        <f t="shared" si="161"/>
        <v>1.1305993896775096E-3</v>
      </c>
      <c r="Q59" s="100">
        <f t="shared" si="161"/>
        <v>1.1305993896775096E-3</v>
      </c>
      <c r="R59" s="100">
        <f t="shared" si="161"/>
        <v>1.1305993896775096E-3</v>
      </c>
      <c r="S59" s="100">
        <f t="shared" si="161"/>
        <v>1.1305993896775096E-3</v>
      </c>
      <c r="T59" s="100">
        <f t="shared" si="161"/>
        <v>1.1305993896775096E-3</v>
      </c>
      <c r="U59" s="100">
        <f t="shared" si="161"/>
        <v>1.1305993896775096E-3</v>
      </c>
      <c r="V59" s="100">
        <f t="shared" si="161"/>
        <v>1.1305993896775096E-3</v>
      </c>
      <c r="W59" s="100">
        <f t="shared" si="161"/>
        <v>1.1305993896775096E-3</v>
      </c>
      <c r="X59" s="100">
        <f t="shared" si="161"/>
        <v>1.1305993896775096E-3</v>
      </c>
      <c r="Y59" s="100">
        <f t="shared" si="161"/>
        <v>1.1305993896775096E-3</v>
      </c>
      <c r="Z59" s="100">
        <f t="shared" si="161"/>
        <v>1.1305993896775096E-3</v>
      </c>
      <c r="AA59" s="100">
        <f t="shared" si="161"/>
        <v>1.1305993896775096E-3</v>
      </c>
      <c r="AB59" s="49">
        <f t="shared" si="60"/>
        <v>2.2611987793550189E-8</v>
      </c>
      <c r="AC59" s="101">
        <f>IFERROR(s_RadSpec!$E$7*($AC$7/$B59),".")</f>
        <v>5.6529969483875471E-9</v>
      </c>
      <c r="AD59" s="101">
        <f>IFERROR(s_RadSpec!$E$7*($AD$7/$B59),".")</f>
        <v>5.6529969483875471E-9</v>
      </c>
      <c r="AE59" s="101">
        <f>IFERROR(s_RadSpec!$E$7*($AY$7/$B59),".")</f>
        <v>5.6529969483875471E-9</v>
      </c>
      <c r="AF59" s="101">
        <f>IFERROR(s_RadSpec!$E$7*($AY$7/$B59),".")</f>
        <v>5.6529969483875471E-9</v>
      </c>
      <c r="AG59" s="101">
        <f>IFERROR(s_RadSpec!$E$7*($AY$7/$B59),".")</f>
        <v>5.6529969483875471E-9</v>
      </c>
      <c r="AH59" s="101">
        <f>IFERROR(s_RadSpec!$E$7*($AY$7/$B59),".")</f>
        <v>5.6529969483875471E-9</v>
      </c>
      <c r="AI59" s="101">
        <f>IFERROR(s_RadSpec!$E$7*($AY$7/$B59),".")</f>
        <v>5.6529969483875471E-9</v>
      </c>
      <c r="AJ59" s="101">
        <f>IFERROR(s_RadSpec!$E$7*($AY$7/$B59),".")</f>
        <v>5.6529969483875471E-9</v>
      </c>
      <c r="AK59" s="101">
        <f>IFERROR(s_RadSpec!$E$7*($AY$7/$B59),".")</f>
        <v>5.6529969483875471E-9</v>
      </c>
      <c r="AL59" s="101">
        <f>IFERROR(s_RadSpec!$E$7*($AY$7/$B59),".")</f>
        <v>5.6529969483875471E-9</v>
      </c>
      <c r="AM59" s="101">
        <f>IFERROR(s_RadSpec!$E$7*($AY$7/$B59),".")</f>
        <v>5.6529969483875471E-9</v>
      </c>
      <c r="AN59" s="101">
        <f>IFERROR(s_RadSpec!$E$7*($AY$7/$B59),".")</f>
        <v>5.6529969483875471E-9</v>
      </c>
      <c r="AO59" s="101">
        <f>IFERROR(s_RadSpec!$E$7*($AY$7/$B59),".")</f>
        <v>5.6529969483875471E-9</v>
      </c>
      <c r="AP59" s="101">
        <f>IFERROR(s_RadSpec!$E$7*($AY$7/$B59),".")</f>
        <v>5.6529969483875471E-9</v>
      </c>
      <c r="AQ59" s="101">
        <f>IFERROR(s_RadSpec!$E$7*($AY$7/$B59),".")</f>
        <v>5.6529969483875471E-9</v>
      </c>
      <c r="AR59" s="101">
        <f>IFERROR(s_RadSpec!$E$7*($AY$7/$B59),".")</f>
        <v>5.6529969483875471E-9</v>
      </c>
      <c r="AS59" s="101">
        <f>IFERROR(s_RadSpec!$E$7*($AY$7/$B59),".")</f>
        <v>5.6529969483875471E-9</v>
      </c>
      <c r="AT59" s="101">
        <f>IFERROR(s_RadSpec!$E$7*($AY$7/$B59),".")</f>
        <v>5.6529969483875471E-9</v>
      </c>
      <c r="AU59" s="101">
        <f>IFERROR(s_RadSpec!$E$7*($AY$7/$B59),".")</f>
        <v>5.6529969483875471E-9</v>
      </c>
      <c r="AV59" s="101">
        <f>IFERROR(s_RadSpec!$E$7*($AY$7/$B59),".")</f>
        <v>5.6529969483875471E-9</v>
      </c>
      <c r="AW59" s="101">
        <f>IFERROR(s_RadSpec!$E$7*($AY$7/$B59),".")</f>
        <v>5.6529969483875471E-9</v>
      </c>
      <c r="AX59" s="101">
        <f>IFERROR(s_RadSpec!$E$7*($AY$7/$B59),".")</f>
        <v>5.6529969483875471E-9</v>
      </c>
      <c r="AY59" s="101">
        <f>IFERROR(s_RadSpec!$E$7*($AY$7/$B59),".")</f>
        <v>5.6529969483875471E-9</v>
      </c>
      <c r="AZ59" s="101">
        <f>IFERROR(s_RadSpec!$E$7*($AZ$7/$B59),".")</f>
        <v>5.6529969483875471E-9</v>
      </c>
      <c r="BA59" s="100">
        <f t="shared" ref="BA59:BA76" si="162">IFERROR(1/SUM(1/BB59,1/BC59,1/BX59,1/BY59),".")</f>
        <v>2.826498474193774E-4</v>
      </c>
      <c r="BB59" s="100">
        <f t="shared" ref="BB59:BY59" si="163">IFERROR($B59/BB7,0)</f>
        <v>1.1305993896775096E-3</v>
      </c>
      <c r="BC59" s="100">
        <f t="shared" si="163"/>
        <v>1.1305993896775096E-3</v>
      </c>
      <c r="BD59" s="100">
        <f t="shared" si="163"/>
        <v>1.1305993896775096E-3</v>
      </c>
      <c r="BE59" s="100">
        <f t="shared" si="163"/>
        <v>1.1305993896775096E-3</v>
      </c>
      <c r="BF59" s="100">
        <f t="shared" si="163"/>
        <v>1.1305993896775096E-3</v>
      </c>
      <c r="BG59" s="100">
        <f t="shared" si="163"/>
        <v>1.1305993896775096E-3</v>
      </c>
      <c r="BH59" s="100">
        <f t="shared" si="163"/>
        <v>1.1305993896775096E-3</v>
      </c>
      <c r="BI59" s="100">
        <f t="shared" si="163"/>
        <v>1.1305993896775096E-3</v>
      </c>
      <c r="BJ59" s="100">
        <f t="shared" si="163"/>
        <v>1.1305993896775096E-3</v>
      </c>
      <c r="BK59" s="100">
        <f t="shared" si="163"/>
        <v>1.1305993896775096E-3</v>
      </c>
      <c r="BL59" s="100">
        <f t="shared" si="163"/>
        <v>1.1305993896775096E-3</v>
      </c>
      <c r="BM59" s="100">
        <f t="shared" si="163"/>
        <v>1.1305993896775096E-3</v>
      </c>
      <c r="BN59" s="100">
        <f t="shared" si="163"/>
        <v>1.1305993896775096E-3</v>
      </c>
      <c r="BO59" s="100">
        <f t="shared" si="163"/>
        <v>1.1305993896775096E-3</v>
      </c>
      <c r="BP59" s="100">
        <f t="shared" si="163"/>
        <v>1.1305993896775096E-3</v>
      </c>
      <c r="BQ59" s="100">
        <f t="shared" si="163"/>
        <v>1.1305993896775096E-3</v>
      </c>
      <c r="BR59" s="100">
        <f t="shared" si="163"/>
        <v>1.1305993896775096E-3</v>
      </c>
      <c r="BS59" s="100">
        <f t="shared" si="163"/>
        <v>1.1305993896775096E-3</v>
      </c>
      <c r="BT59" s="100">
        <f t="shared" si="163"/>
        <v>1.1305993896775096E-3</v>
      </c>
      <c r="BU59" s="100">
        <f t="shared" si="163"/>
        <v>1.1305993896775096E-3</v>
      </c>
      <c r="BV59" s="100">
        <f t="shared" si="163"/>
        <v>1.1305993896775096E-3</v>
      </c>
      <c r="BW59" s="100">
        <f t="shared" si="163"/>
        <v>1.1305993896775096E-3</v>
      </c>
      <c r="BX59" s="100">
        <f t="shared" si="163"/>
        <v>1.1305993896775096E-3</v>
      </c>
      <c r="BY59" s="100">
        <f t="shared" si="163"/>
        <v>1.1305993896775096E-3</v>
      </c>
      <c r="BZ59" s="49">
        <f t="shared" si="141"/>
        <v>2.2611987793550189E-8</v>
      </c>
      <c r="CA59" s="101">
        <f>IFERROR(s_RadSpec!$E$7*($AC$7/$B59),".")</f>
        <v>5.6529969483875471E-9</v>
      </c>
      <c r="CB59" s="101">
        <f>IFERROR(s_RadSpec!$E$7*($AD$7/$B59),".")</f>
        <v>5.6529969483875471E-9</v>
      </c>
      <c r="CC59" s="101">
        <f>IFERROR(s_RadSpec!$E$7*($AY$7/$B59),".")</f>
        <v>5.6529969483875471E-9</v>
      </c>
      <c r="CD59" s="101">
        <f>IFERROR(s_RadSpec!$E$7*($AY$7/$B59),".")</f>
        <v>5.6529969483875471E-9</v>
      </c>
      <c r="CE59" s="101">
        <f>IFERROR(s_RadSpec!$E$7*($AY$7/$B59),".")</f>
        <v>5.6529969483875471E-9</v>
      </c>
      <c r="CF59" s="101">
        <f>IFERROR(s_RadSpec!$E$7*($AY$7/$B59),".")</f>
        <v>5.6529969483875471E-9</v>
      </c>
      <c r="CG59" s="101">
        <f>IFERROR(s_RadSpec!$E$7*($AY$7/$B59),".")</f>
        <v>5.6529969483875471E-9</v>
      </c>
      <c r="CH59" s="101">
        <f>IFERROR(s_RadSpec!$E$7*($AY$7/$B59),".")</f>
        <v>5.6529969483875471E-9</v>
      </c>
      <c r="CI59" s="101">
        <f>IFERROR(s_RadSpec!$E$7*($AY$7/$B59),".")</f>
        <v>5.6529969483875471E-9</v>
      </c>
      <c r="CJ59" s="101">
        <f>IFERROR(s_RadSpec!$E$7*($AY$7/$B59),".")</f>
        <v>5.6529969483875471E-9</v>
      </c>
      <c r="CK59" s="101">
        <f>IFERROR(s_RadSpec!$E$7*($AY$7/$B59),".")</f>
        <v>5.6529969483875471E-9</v>
      </c>
      <c r="CL59" s="101">
        <f>IFERROR(s_RadSpec!$E$7*($AY$7/$B59),".")</f>
        <v>5.6529969483875471E-9</v>
      </c>
      <c r="CM59" s="101">
        <f>IFERROR(s_RadSpec!$E$7*($AY$7/$B59),".")</f>
        <v>5.6529969483875471E-9</v>
      </c>
      <c r="CN59" s="101">
        <f>IFERROR(s_RadSpec!$E$7*($AY$7/$B59),".")</f>
        <v>5.6529969483875471E-9</v>
      </c>
      <c r="CO59" s="101">
        <f>IFERROR(s_RadSpec!$E$7*($AY$7/$B59),".")</f>
        <v>5.6529969483875471E-9</v>
      </c>
      <c r="CP59" s="101">
        <f>IFERROR(s_RadSpec!$E$7*($AY$7/$B59),".")</f>
        <v>5.6529969483875471E-9</v>
      </c>
      <c r="CQ59" s="101">
        <f>IFERROR(s_RadSpec!$E$7*($AY$7/$B59),".")</f>
        <v>5.6529969483875471E-9</v>
      </c>
      <c r="CR59" s="101">
        <f>IFERROR(s_RadSpec!$E$7*($AY$7/$B59),".")</f>
        <v>5.6529969483875471E-9</v>
      </c>
      <c r="CS59" s="101">
        <f>IFERROR(s_RadSpec!$E$7*($AY$7/$B59),".")</f>
        <v>5.6529969483875471E-9</v>
      </c>
      <c r="CT59" s="101">
        <f>IFERROR(s_RadSpec!$E$7*($AY$7/$B59),".")</f>
        <v>5.6529969483875471E-9</v>
      </c>
      <c r="CU59" s="101">
        <f>IFERROR(s_RadSpec!$E$7*($AY$7/$B59),".")</f>
        <v>5.6529969483875471E-9</v>
      </c>
      <c r="CV59" s="101">
        <f>IFERROR(s_RadSpec!$E$7*($AY$7/$B59),".")</f>
        <v>5.6529969483875471E-9</v>
      </c>
      <c r="CW59" s="101">
        <f>IFERROR(s_RadSpec!$E$7*($AY$7/$B59),".")</f>
        <v>5.6529969483875471E-9</v>
      </c>
      <c r="CX59" s="101">
        <f>IFERROR(s_RadSpec!$E$7*($AZ$7/$B59),".")</f>
        <v>5.6529969483875471E-9</v>
      </c>
    </row>
    <row r="60" spans="1:102" x14ac:dyDescent="0.25">
      <c r="A60" s="99" t="s">
        <v>1098</v>
      </c>
      <c r="B60" s="104">
        <v>1.9000000000000001E-8</v>
      </c>
      <c r="C60" s="100" t="str">
        <f t="shared" si="160"/>
        <v>.</v>
      </c>
      <c r="D60" s="100">
        <f t="shared" ref="D60:AA60" si="164">IFERROR($B60/D12,0)</f>
        <v>0</v>
      </c>
      <c r="E60" s="100">
        <f t="shared" si="164"/>
        <v>0</v>
      </c>
      <c r="F60" s="100">
        <f t="shared" si="164"/>
        <v>0</v>
      </c>
      <c r="G60" s="100">
        <f t="shared" si="164"/>
        <v>0</v>
      </c>
      <c r="H60" s="100">
        <f t="shared" si="164"/>
        <v>0</v>
      </c>
      <c r="I60" s="100">
        <f t="shared" si="164"/>
        <v>0</v>
      </c>
      <c r="J60" s="100">
        <f t="shared" si="164"/>
        <v>0</v>
      </c>
      <c r="K60" s="100">
        <f t="shared" si="164"/>
        <v>0</v>
      </c>
      <c r="L60" s="100">
        <f t="shared" si="164"/>
        <v>0</v>
      </c>
      <c r="M60" s="100">
        <f t="shared" si="164"/>
        <v>0</v>
      </c>
      <c r="N60" s="100">
        <f t="shared" si="164"/>
        <v>0</v>
      </c>
      <c r="O60" s="100">
        <f t="shared" si="164"/>
        <v>0</v>
      </c>
      <c r="P60" s="100">
        <f t="shared" si="164"/>
        <v>0</v>
      </c>
      <c r="Q60" s="100">
        <f t="shared" si="164"/>
        <v>0</v>
      </c>
      <c r="R60" s="100">
        <f t="shared" si="164"/>
        <v>0</v>
      </c>
      <c r="S60" s="100">
        <f t="shared" si="164"/>
        <v>0</v>
      </c>
      <c r="T60" s="100">
        <f t="shared" si="164"/>
        <v>0</v>
      </c>
      <c r="U60" s="100">
        <f t="shared" si="164"/>
        <v>0</v>
      </c>
      <c r="V60" s="100">
        <f t="shared" si="164"/>
        <v>0</v>
      </c>
      <c r="W60" s="100">
        <f t="shared" si="164"/>
        <v>0</v>
      </c>
      <c r="X60" s="100">
        <f t="shared" si="164"/>
        <v>0</v>
      </c>
      <c r="Y60" s="100">
        <f t="shared" si="164"/>
        <v>0</v>
      </c>
      <c r="Z60" s="100">
        <f t="shared" si="164"/>
        <v>0</v>
      </c>
      <c r="AA60" s="100">
        <f t="shared" si="164"/>
        <v>0</v>
      </c>
      <c r="AB60" s="49">
        <f t="shared" si="60"/>
        <v>0</v>
      </c>
      <c r="AC60" s="101">
        <f>IFERROR(s_RadSpec!$E$12*($AC$12/$B60),".")</f>
        <v>0</v>
      </c>
      <c r="AD60" s="101">
        <f>IFERROR(s_RadSpec!$E$12*($AD$12/$B60),".")</f>
        <v>0</v>
      </c>
      <c r="AE60" s="101">
        <f>IFERROR(s_RadSpec!$E$12*($AY$12/$B60),".")</f>
        <v>0</v>
      </c>
      <c r="AF60" s="101">
        <f>IFERROR(s_RadSpec!$E$12*($AY$12/$B60),".")</f>
        <v>0</v>
      </c>
      <c r="AG60" s="101">
        <f>IFERROR(s_RadSpec!$E$12*($AY$12/$B60),".")</f>
        <v>0</v>
      </c>
      <c r="AH60" s="101">
        <f>IFERROR(s_RadSpec!$E$12*($AY$12/$B60),".")</f>
        <v>0</v>
      </c>
      <c r="AI60" s="101">
        <f>IFERROR(s_RadSpec!$E$12*($AY$12/$B60),".")</f>
        <v>0</v>
      </c>
      <c r="AJ60" s="101">
        <f>IFERROR(s_RadSpec!$E$12*($AY$12/$B60),".")</f>
        <v>0</v>
      </c>
      <c r="AK60" s="101">
        <f>IFERROR(s_RadSpec!$E$12*($AY$12/$B60),".")</f>
        <v>0</v>
      </c>
      <c r="AL60" s="101">
        <f>IFERROR(s_RadSpec!$E$12*($AY$12/$B60),".")</f>
        <v>0</v>
      </c>
      <c r="AM60" s="101">
        <f>IFERROR(s_RadSpec!$E$12*($AY$12/$B60),".")</f>
        <v>0</v>
      </c>
      <c r="AN60" s="101">
        <f>IFERROR(s_RadSpec!$E$12*($AY$12/$B60),".")</f>
        <v>0</v>
      </c>
      <c r="AO60" s="101">
        <f>IFERROR(s_RadSpec!$E$12*($AY$12/$B60),".")</f>
        <v>0</v>
      </c>
      <c r="AP60" s="101">
        <f>IFERROR(s_RadSpec!$E$12*($AY$12/$B60),".")</f>
        <v>0</v>
      </c>
      <c r="AQ60" s="101">
        <f>IFERROR(s_RadSpec!$E$12*($AY$12/$B60),".")</f>
        <v>0</v>
      </c>
      <c r="AR60" s="101">
        <f>IFERROR(s_RadSpec!$E$12*($AY$12/$B60),".")</f>
        <v>0</v>
      </c>
      <c r="AS60" s="101">
        <f>IFERROR(s_RadSpec!$E$12*($AY$12/$B60),".")</f>
        <v>0</v>
      </c>
      <c r="AT60" s="101">
        <f>IFERROR(s_RadSpec!$E$12*($AY$12/$B60),".")</f>
        <v>0</v>
      </c>
      <c r="AU60" s="101">
        <f>IFERROR(s_RadSpec!$E$12*($AY$12/$B60),".")</f>
        <v>0</v>
      </c>
      <c r="AV60" s="101">
        <f>IFERROR(s_RadSpec!$E$12*($AY$12/$B60),".")</f>
        <v>0</v>
      </c>
      <c r="AW60" s="101">
        <f>IFERROR(s_RadSpec!$E$12*($AY$12/$B60),".")</f>
        <v>0</v>
      </c>
      <c r="AX60" s="101">
        <f>IFERROR(s_RadSpec!$E$12*($AY$12/$B60),".")</f>
        <v>0</v>
      </c>
      <c r="AY60" s="101">
        <f>IFERROR(s_RadSpec!$E$12*($AY$12/$B60),".")</f>
        <v>0</v>
      </c>
      <c r="AZ60" s="101">
        <f>IFERROR(s_RadSpec!$E$12*($AZ$12/$B60),".")</f>
        <v>0</v>
      </c>
      <c r="BA60" s="100" t="str">
        <f t="shared" si="162"/>
        <v>.</v>
      </c>
      <c r="BB60" s="100">
        <f t="shared" ref="BB60:BY60" si="165">IFERROR($B60/BB12,0)</f>
        <v>0</v>
      </c>
      <c r="BC60" s="100">
        <f t="shared" si="165"/>
        <v>0</v>
      </c>
      <c r="BD60" s="100">
        <f t="shared" si="165"/>
        <v>0</v>
      </c>
      <c r="BE60" s="100">
        <f t="shared" si="165"/>
        <v>0</v>
      </c>
      <c r="BF60" s="100">
        <f t="shared" si="165"/>
        <v>0</v>
      </c>
      <c r="BG60" s="100">
        <f t="shared" si="165"/>
        <v>0</v>
      </c>
      <c r="BH60" s="100">
        <f t="shared" si="165"/>
        <v>0</v>
      </c>
      <c r="BI60" s="100">
        <f t="shared" si="165"/>
        <v>0</v>
      </c>
      <c r="BJ60" s="100">
        <f t="shared" si="165"/>
        <v>0</v>
      </c>
      <c r="BK60" s="100">
        <f t="shared" si="165"/>
        <v>0</v>
      </c>
      <c r="BL60" s="100">
        <f t="shared" si="165"/>
        <v>0</v>
      </c>
      <c r="BM60" s="100">
        <f t="shared" si="165"/>
        <v>0</v>
      </c>
      <c r="BN60" s="100">
        <f t="shared" si="165"/>
        <v>0</v>
      </c>
      <c r="BO60" s="100">
        <f t="shared" si="165"/>
        <v>0</v>
      </c>
      <c r="BP60" s="100">
        <f t="shared" si="165"/>
        <v>0</v>
      </c>
      <c r="BQ60" s="100">
        <f t="shared" si="165"/>
        <v>0</v>
      </c>
      <c r="BR60" s="100">
        <f t="shared" si="165"/>
        <v>0</v>
      </c>
      <c r="BS60" s="100">
        <f t="shared" si="165"/>
        <v>0</v>
      </c>
      <c r="BT60" s="100">
        <f t="shared" si="165"/>
        <v>0</v>
      </c>
      <c r="BU60" s="100">
        <f t="shared" si="165"/>
        <v>0</v>
      </c>
      <c r="BV60" s="100">
        <f t="shared" si="165"/>
        <v>0</v>
      </c>
      <c r="BW60" s="100">
        <f t="shared" si="165"/>
        <v>0</v>
      </c>
      <c r="BX60" s="100">
        <f t="shared" si="165"/>
        <v>0</v>
      </c>
      <c r="BY60" s="100">
        <f t="shared" si="165"/>
        <v>0</v>
      </c>
      <c r="BZ60" s="49">
        <f t="shared" si="141"/>
        <v>0</v>
      </c>
      <c r="CA60" s="101">
        <f>IFERROR(s_RadSpec!$E$12*($AC$12/$B60),".")</f>
        <v>0</v>
      </c>
      <c r="CB60" s="101">
        <f>IFERROR(s_RadSpec!$E$12*($AD$12/$B60),".")</f>
        <v>0</v>
      </c>
      <c r="CC60" s="101">
        <f>IFERROR(s_RadSpec!$E$12*($AY$12/$B60),".")</f>
        <v>0</v>
      </c>
      <c r="CD60" s="101">
        <f>IFERROR(s_RadSpec!$E$12*($AY$12/$B60),".")</f>
        <v>0</v>
      </c>
      <c r="CE60" s="101">
        <f>IFERROR(s_RadSpec!$E$12*($AY$12/$B60),".")</f>
        <v>0</v>
      </c>
      <c r="CF60" s="101">
        <f>IFERROR(s_RadSpec!$E$12*($AY$12/$B60),".")</f>
        <v>0</v>
      </c>
      <c r="CG60" s="101">
        <f>IFERROR(s_RadSpec!$E$12*($AY$12/$B60),".")</f>
        <v>0</v>
      </c>
      <c r="CH60" s="101">
        <f>IFERROR(s_RadSpec!$E$12*($AY$12/$B60),".")</f>
        <v>0</v>
      </c>
      <c r="CI60" s="101">
        <f>IFERROR(s_RadSpec!$E$12*($AY$12/$B60),".")</f>
        <v>0</v>
      </c>
      <c r="CJ60" s="101">
        <f>IFERROR(s_RadSpec!$E$12*($AY$12/$B60),".")</f>
        <v>0</v>
      </c>
      <c r="CK60" s="101">
        <f>IFERROR(s_RadSpec!$E$12*($AY$12/$B60),".")</f>
        <v>0</v>
      </c>
      <c r="CL60" s="101">
        <f>IFERROR(s_RadSpec!$E$12*($AY$12/$B60),".")</f>
        <v>0</v>
      </c>
      <c r="CM60" s="101">
        <f>IFERROR(s_RadSpec!$E$12*($AY$12/$B60),".")</f>
        <v>0</v>
      </c>
      <c r="CN60" s="101">
        <f>IFERROR(s_RadSpec!$E$12*($AY$12/$B60),".")</f>
        <v>0</v>
      </c>
      <c r="CO60" s="101">
        <f>IFERROR(s_RadSpec!$E$12*($AY$12/$B60),".")</f>
        <v>0</v>
      </c>
      <c r="CP60" s="101">
        <f>IFERROR(s_RadSpec!$E$12*($AY$12/$B60),".")</f>
        <v>0</v>
      </c>
      <c r="CQ60" s="101">
        <f>IFERROR(s_RadSpec!$E$12*($AY$12/$B60),".")</f>
        <v>0</v>
      </c>
      <c r="CR60" s="101">
        <f>IFERROR(s_RadSpec!$E$12*($AY$12/$B60),".")</f>
        <v>0</v>
      </c>
      <c r="CS60" s="101">
        <f>IFERROR(s_RadSpec!$E$12*($AY$12/$B60),".")</f>
        <v>0</v>
      </c>
      <c r="CT60" s="101">
        <f>IFERROR(s_RadSpec!$E$12*($AY$12/$B60),".")</f>
        <v>0</v>
      </c>
      <c r="CU60" s="101">
        <f>IFERROR(s_RadSpec!$E$12*($AY$12/$B60),".")</f>
        <v>0</v>
      </c>
      <c r="CV60" s="101">
        <f>IFERROR(s_RadSpec!$E$12*($AY$12/$B60),".")</f>
        <v>0</v>
      </c>
      <c r="CW60" s="101">
        <f>IFERROR(s_RadSpec!$E$12*($AY$12/$B60),".")</f>
        <v>0</v>
      </c>
      <c r="CX60" s="101">
        <f>IFERROR(s_RadSpec!$E$12*($AZ$12/$B60),".")</f>
        <v>0</v>
      </c>
    </row>
    <row r="61" spans="1:102" x14ac:dyDescent="0.25">
      <c r="A61" s="99" t="s">
        <v>1099</v>
      </c>
      <c r="B61" s="90">
        <v>1</v>
      </c>
      <c r="C61" s="100">
        <f t="shared" si="160"/>
        <v>1.958927108199502E-2</v>
      </c>
      <c r="D61" s="100">
        <f t="shared" ref="D61:AA61" si="166">IFERROR($B61/D18,0)</f>
        <v>7.2726400664613639E-2</v>
      </c>
      <c r="E61" s="100">
        <f t="shared" si="166"/>
        <v>8.1591501051222023E-2</v>
      </c>
      <c r="F61" s="100">
        <f t="shared" si="166"/>
        <v>7.9621478743086824E-2</v>
      </c>
      <c r="G61" s="100">
        <f t="shared" si="166"/>
        <v>7.2726400664613639E-2</v>
      </c>
      <c r="H61" s="100">
        <f t="shared" si="166"/>
        <v>7.2726400664613639E-2</v>
      </c>
      <c r="I61" s="100">
        <f t="shared" si="166"/>
        <v>8.1591501051222023E-2</v>
      </c>
      <c r="J61" s="100">
        <f t="shared" si="166"/>
        <v>7.9621478743086824E-2</v>
      </c>
      <c r="K61" s="100">
        <f t="shared" si="166"/>
        <v>7.2726400664613639E-2</v>
      </c>
      <c r="L61" s="100">
        <f t="shared" si="166"/>
        <v>7.2775651222317009E-2</v>
      </c>
      <c r="M61" s="100">
        <f t="shared" si="166"/>
        <v>7.2726400664613639E-2</v>
      </c>
      <c r="N61" s="100">
        <f t="shared" si="166"/>
        <v>8.1591501051222023E-2</v>
      </c>
      <c r="O61" s="100">
        <f t="shared" si="166"/>
        <v>7.2812589140594561E-2</v>
      </c>
      <c r="P61" s="100">
        <f t="shared" si="166"/>
        <v>7.2726400664613639E-2</v>
      </c>
      <c r="Q61" s="100">
        <f t="shared" si="166"/>
        <v>7.2726400664613639E-2</v>
      </c>
      <c r="R61" s="100">
        <f t="shared" si="166"/>
        <v>7.2726400664613639E-2</v>
      </c>
      <c r="S61" s="100">
        <f t="shared" si="166"/>
        <v>7.2726400664613639E-2</v>
      </c>
      <c r="T61" s="100">
        <f t="shared" si="166"/>
        <v>7.2812589140594561E-2</v>
      </c>
      <c r="U61" s="100">
        <f t="shared" si="166"/>
        <v>7.5804560521074885E-2</v>
      </c>
      <c r="V61" s="100">
        <f t="shared" si="166"/>
        <v>7.2726400664613639E-2</v>
      </c>
      <c r="W61" s="100">
        <f t="shared" si="166"/>
        <v>7.2812589140594561E-2</v>
      </c>
      <c r="X61" s="100">
        <f t="shared" si="166"/>
        <v>7.2726400664613639E-2</v>
      </c>
      <c r="Y61" s="100">
        <f t="shared" si="166"/>
        <v>7.2726400664613639E-2</v>
      </c>
      <c r="Z61" s="100">
        <f t="shared" si="166"/>
        <v>8.8486579129695209E-2</v>
      </c>
      <c r="AA61" s="100">
        <f t="shared" si="166"/>
        <v>7.2775651222317009E-2</v>
      </c>
      <c r="AB61" s="49">
        <f t="shared" si="60"/>
        <v>1.5779006603392393E-6</v>
      </c>
      <c r="AC61" s="101">
        <f>IFERROR(s_RadSpec!$E$18*($AC$18/$B61),".")</f>
        <v>3.6363200332306815E-7</v>
      </c>
      <c r="AD61" s="101">
        <f>IFERROR(s_RadSpec!$E$18*($AD$18/$B61),".")</f>
        <v>4.0795750525611006E-7</v>
      </c>
      <c r="AE61" s="101">
        <f>IFERROR(s_RadSpec!$E$18*($AY$18/$B61),".")</f>
        <v>4.4243289564847603E-7</v>
      </c>
      <c r="AF61" s="101">
        <f>IFERROR(s_RadSpec!$E$18*($AY$18/$B61),".")</f>
        <v>4.4243289564847603E-7</v>
      </c>
      <c r="AG61" s="101">
        <f>IFERROR(s_RadSpec!$E$18*($AY$18/$B61),".")</f>
        <v>4.4243289564847603E-7</v>
      </c>
      <c r="AH61" s="101">
        <f>IFERROR(s_RadSpec!$E$18*($AY$18/$B61),".")</f>
        <v>4.4243289564847603E-7</v>
      </c>
      <c r="AI61" s="101">
        <f>IFERROR(s_RadSpec!$E$18*($AY$18/$B61),".")</f>
        <v>4.4243289564847603E-7</v>
      </c>
      <c r="AJ61" s="101">
        <f>IFERROR(s_RadSpec!$E$18*($AY$18/$B61),".")</f>
        <v>4.4243289564847603E-7</v>
      </c>
      <c r="AK61" s="101">
        <f>IFERROR(s_RadSpec!$E$18*($AY$18/$B61),".")</f>
        <v>4.4243289564847603E-7</v>
      </c>
      <c r="AL61" s="101">
        <f>IFERROR(s_RadSpec!$E$18*($AY$18/$B61),".")</f>
        <v>4.4243289564847603E-7</v>
      </c>
      <c r="AM61" s="101">
        <f>IFERROR(s_RadSpec!$E$18*($AY$18/$B61),".")</f>
        <v>4.4243289564847603E-7</v>
      </c>
      <c r="AN61" s="101">
        <f>IFERROR(s_RadSpec!$E$18*($AY$18/$B61),".")</f>
        <v>4.4243289564847603E-7</v>
      </c>
      <c r="AO61" s="101">
        <f>IFERROR(s_RadSpec!$E$18*($AY$18/$B61),".")</f>
        <v>4.4243289564847603E-7</v>
      </c>
      <c r="AP61" s="101">
        <f>IFERROR(s_RadSpec!$E$18*($AY$18/$B61),".")</f>
        <v>4.4243289564847603E-7</v>
      </c>
      <c r="AQ61" s="101">
        <f>IFERROR(s_RadSpec!$E$18*($AY$18/$B61),".")</f>
        <v>4.4243289564847603E-7</v>
      </c>
      <c r="AR61" s="101">
        <f>IFERROR(s_RadSpec!$E$18*($AY$18/$B61),".")</f>
        <v>4.4243289564847603E-7</v>
      </c>
      <c r="AS61" s="101">
        <f>IFERROR(s_RadSpec!$E$18*($AY$18/$B61),".")</f>
        <v>4.4243289564847603E-7</v>
      </c>
      <c r="AT61" s="101">
        <f>IFERROR(s_RadSpec!$E$18*($AY$18/$B61),".")</f>
        <v>4.4243289564847603E-7</v>
      </c>
      <c r="AU61" s="101">
        <f>IFERROR(s_RadSpec!$E$18*($AY$18/$B61),".")</f>
        <v>4.4243289564847603E-7</v>
      </c>
      <c r="AV61" s="101">
        <f>IFERROR(s_RadSpec!$E$18*($AY$18/$B61),".")</f>
        <v>4.4243289564847603E-7</v>
      </c>
      <c r="AW61" s="101">
        <f>IFERROR(s_RadSpec!$E$18*($AY$18/$B61),".")</f>
        <v>4.4243289564847603E-7</v>
      </c>
      <c r="AX61" s="101">
        <f>IFERROR(s_RadSpec!$E$18*($AY$18/$B61),".")</f>
        <v>4.4243289564847603E-7</v>
      </c>
      <c r="AY61" s="101">
        <f>IFERROR(s_RadSpec!$E$18*($AY$18/$B61),".")</f>
        <v>4.4243289564847603E-7</v>
      </c>
      <c r="AZ61" s="101">
        <f>IFERROR(s_RadSpec!$E$18*($AZ$18/$B61),".")</f>
        <v>3.6387825611158508E-7</v>
      </c>
      <c r="BA61" s="100">
        <f t="shared" si="162"/>
        <v>1.958927108199502E-2</v>
      </c>
      <c r="BB61" s="100">
        <f t="shared" ref="BB61:BY61" si="167">IFERROR($B61/BB18,0)</f>
        <v>7.2726400664613639E-2</v>
      </c>
      <c r="BC61" s="100">
        <f t="shared" si="167"/>
        <v>8.1591501051222023E-2</v>
      </c>
      <c r="BD61" s="100">
        <f t="shared" si="167"/>
        <v>7.9621478743086824E-2</v>
      </c>
      <c r="BE61" s="100">
        <f t="shared" si="167"/>
        <v>7.2726400664613639E-2</v>
      </c>
      <c r="BF61" s="100">
        <f t="shared" si="167"/>
        <v>7.2726400664613639E-2</v>
      </c>
      <c r="BG61" s="100">
        <f t="shared" si="167"/>
        <v>8.1591501051222023E-2</v>
      </c>
      <c r="BH61" s="100">
        <f t="shared" si="167"/>
        <v>7.9621478743086824E-2</v>
      </c>
      <c r="BI61" s="100">
        <f t="shared" si="167"/>
        <v>7.2726400664613639E-2</v>
      </c>
      <c r="BJ61" s="100">
        <f t="shared" si="167"/>
        <v>7.2775651222317009E-2</v>
      </c>
      <c r="BK61" s="100">
        <f t="shared" si="167"/>
        <v>7.2726400664613639E-2</v>
      </c>
      <c r="BL61" s="100">
        <f t="shared" si="167"/>
        <v>8.1591501051222023E-2</v>
      </c>
      <c r="BM61" s="100">
        <f t="shared" si="167"/>
        <v>7.2812589140594561E-2</v>
      </c>
      <c r="BN61" s="100">
        <f t="shared" si="167"/>
        <v>7.2726400664613639E-2</v>
      </c>
      <c r="BO61" s="100">
        <f t="shared" si="167"/>
        <v>7.2726400664613639E-2</v>
      </c>
      <c r="BP61" s="100">
        <f t="shared" si="167"/>
        <v>7.2726400664613639E-2</v>
      </c>
      <c r="BQ61" s="100">
        <f t="shared" si="167"/>
        <v>7.2726400664613639E-2</v>
      </c>
      <c r="BR61" s="100">
        <f t="shared" si="167"/>
        <v>7.2812589140594561E-2</v>
      </c>
      <c r="BS61" s="100">
        <f t="shared" si="167"/>
        <v>7.5804560521074885E-2</v>
      </c>
      <c r="BT61" s="100">
        <f t="shared" si="167"/>
        <v>7.2726400664613639E-2</v>
      </c>
      <c r="BU61" s="100">
        <f t="shared" si="167"/>
        <v>7.2812589140594561E-2</v>
      </c>
      <c r="BV61" s="100">
        <f t="shared" si="167"/>
        <v>7.2726400664613639E-2</v>
      </c>
      <c r="BW61" s="100">
        <f t="shared" si="167"/>
        <v>7.2726400664613639E-2</v>
      </c>
      <c r="BX61" s="100">
        <f t="shared" si="167"/>
        <v>8.8486579129695209E-2</v>
      </c>
      <c r="BY61" s="100">
        <f t="shared" si="167"/>
        <v>7.2775651222317009E-2</v>
      </c>
      <c r="BZ61" s="49">
        <f t="shared" si="141"/>
        <v>1.5779006603392393E-6</v>
      </c>
      <c r="CA61" s="101">
        <f>IFERROR(s_RadSpec!$E$18*($AC$18/$B61),".")</f>
        <v>3.6363200332306815E-7</v>
      </c>
      <c r="CB61" s="101">
        <f>IFERROR(s_RadSpec!$E$18*($AD$18/$B61),".")</f>
        <v>4.0795750525611006E-7</v>
      </c>
      <c r="CC61" s="101">
        <f>IFERROR(s_RadSpec!$E$18*($AY$18/$B61),".")</f>
        <v>4.4243289564847603E-7</v>
      </c>
      <c r="CD61" s="101">
        <f>IFERROR(s_RadSpec!$E$18*($AY$18/$B61),".")</f>
        <v>4.4243289564847603E-7</v>
      </c>
      <c r="CE61" s="101">
        <f>IFERROR(s_RadSpec!$E$18*($AY$18/$B61),".")</f>
        <v>4.4243289564847603E-7</v>
      </c>
      <c r="CF61" s="101">
        <f>IFERROR(s_RadSpec!$E$18*($AY$18/$B61),".")</f>
        <v>4.4243289564847603E-7</v>
      </c>
      <c r="CG61" s="101">
        <f>IFERROR(s_RadSpec!$E$18*($AY$18/$B61),".")</f>
        <v>4.4243289564847603E-7</v>
      </c>
      <c r="CH61" s="101">
        <f>IFERROR(s_RadSpec!$E$18*($AY$18/$B61),".")</f>
        <v>4.4243289564847603E-7</v>
      </c>
      <c r="CI61" s="101">
        <f>IFERROR(s_RadSpec!$E$18*($AY$18/$B61),".")</f>
        <v>4.4243289564847603E-7</v>
      </c>
      <c r="CJ61" s="101">
        <f>IFERROR(s_RadSpec!$E$18*($AY$18/$B61),".")</f>
        <v>4.4243289564847603E-7</v>
      </c>
      <c r="CK61" s="101">
        <f>IFERROR(s_RadSpec!$E$18*($AY$18/$B61),".")</f>
        <v>4.4243289564847603E-7</v>
      </c>
      <c r="CL61" s="101">
        <f>IFERROR(s_RadSpec!$E$18*($AY$18/$B61),".")</f>
        <v>4.4243289564847603E-7</v>
      </c>
      <c r="CM61" s="101">
        <f>IFERROR(s_RadSpec!$E$18*($AY$18/$B61),".")</f>
        <v>4.4243289564847603E-7</v>
      </c>
      <c r="CN61" s="101">
        <f>IFERROR(s_RadSpec!$E$18*($AY$18/$B61),".")</f>
        <v>4.4243289564847603E-7</v>
      </c>
      <c r="CO61" s="101">
        <f>IFERROR(s_RadSpec!$E$18*($AY$18/$B61),".")</f>
        <v>4.4243289564847603E-7</v>
      </c>
      <c r="CP61" s="101">
        <f>IFERROR(s_RadSpec!$E$18*($AY$18/$B61),".")</f>
        <v>4.4243289564847603E-7</v>
      </c>
      <c r="CQ61" s="101">
        <f>IFERROR(s_RadSpec!$E$18*($AY$18/$B61),".")</f>
        <v>4.4243289564847603E-7</v>
      </c>
      <c r="CR61" s="101">
        <f>IFERROR(s_RadSpec!$E$18*($AY$18/$B61),".")</f>
        <v>4.4243289564847603E-7</v>
      </c>
      <c r="CS61" s="101">
        <f>IFERROR(s_RadSpec!$E$18*($AY$18/$B61),".")</f>
        <v>4.4243289564847603E-7</v>
      </c>
      <c r="CT61" s="101">
        <f>IFERROR(s_RadSpec!$E$18*($AY$18/$B61),".")</f>
        <v>4.4243289564847603E-7</v>
      </c>
      <c r="CU61" s="101">
        <f>IFERROR(s_RadSpec!$E$18*($AY$18/$B61),".")</f>
        <v>4.4243289564847603E-7</v>
      </c>
      <c r="CV61" s="101">
        <f>IFERROR(s_RadSpec!$E$18*($AY$18/$B61),".")</f>
        <v>4.4243289564847603E-7</v>
      </c>
      <c r="CW61" s="101">
        <f>IFERROR(s_RadSpec!$E$18*($AY$18/$B61),".")</f>
        <v>4.4243289564847603E-7</v>
      </c>
      <c r="CX61" s="101">
        <f>IFERROR(s_RadSpec!$E$18*($AZ$18/$B61),".")</f>
        <v>3.6387825611158508E-7</v>
      </c>
    </row>
    <row r="62" spans="1:102" x14ac:dyDescent="0.25">
      <c r="A62" s="99" t="s">
        <v>1100</v>
      </c>
      <c r="B62" s="90">
        <v>1.339E-6</v>
      </c>
      <c r="C62" s="100" t="str">
        <f t="shared" si="160"/>
        <v>.</v>
      </c>
      <c r="D62" s="100">
        <f t="shared" ref="D62:AA62" si="168">IFERROR($B62/D27,0)</f>
        <v>0</v>
      </c>
      <c r="E62" s="100">
        <f t="shared" si="168"/>
        <v>0</v>
      </c>
      <c r="F62" s="100">
        <f t="shared" si="168"/>
        <v>0</v>
      </c>
      <c r="G62" s="100">
        <f t="shared" si="168"/>
        <v>0</v>
      </c>
      <c r="H62" s="100">
        <f t="shared" si="168"/>
        <v>0</v>
      </c>
      <c r="I62" s="100">
        <f t="shared" si="168"/>
        <v>0</v>
      </c>
      <c r="J62" s="100">
        <f t="shared" si="168"/>
        <v>0</v>
      </c>
      <c r="K62" s="100">
        <f t="shared" si="168"/>
        <v>0</v>
      </c>
      <c r="L62" s="100">
        <f t="shared" si="168"/>
        <v>0</v>
      </c>
      <c r="M62" s="100">
        <f t="shared" si="168"/>
        <v>0</v>
      </c>
      <c r="N62" s="100">
        <f t="shared" si="168"/>
        <v>0</v>
      </c>
      <c r="O62" s="100">
        <f t="shared" si="168"/>
        <v>0</v>
      </c>
      <c r="P62" s="100">
        <f t="shared" si="168"/>
        <v>0</v>
      </c>
      <c r="Q62" s="100">
        <f t="shared" si="168"/>
        <v>0</v>
      </c>
      <c r="R62" s="100">
        <f t="shared" si="168"/>
        <v>0</v>
      </c>
      <c r="S62" s="100">
        <f t="shared" si="168"/>
        <v>0</v>
      </c>
      <c r="T62" s="100">
        <f t="shared" si="168"/>
        <v>0</v>
      </c>
      <c r="U62" s="100">
        <f t="shared" si="168"/>
        <v>0</v>
      </c>
      <c r="V62" s="100">
        <f t="shared" si="168"/>
        <v>0</v>
      </c>
      <c r="W62" s="100">
        <f t="shared" si="168"/>
        <v>0</v>
      </c>
      <c r="X62" s="100">
        <f t="shared" si="168"/>
        <v>0</v>
      </c>
      <c r="Y62" s="100">
        <f t="shared" si="168"/>
        <v>0</v>
      </c>
      <c r="Z62" s="100">
        <f t="shared" si="168"/>
        <v>0</v>
      </c>
      <c r="AA62" s="100">
        <f t="shared" si="168"/>
        <v>0</v>
      </c>
      <c r="AB62" s="49">
        <f t="shared" si="60"/>
        <v>0</v>
      </c>
      <c r="AC62" s="101">
        <f>IFERROR(s_RadSpec!$E$27*($AC$27/$B62),".")</f>
        <v>0</v>
      </c>
      <c r="AD62" s="101">
        <f>IFERROR(s_RadSpec!$E$27*($AD$27/$B62),".")</f>
        <v>0</v>
      </c>
      <c r="AE62" s="101">
        <f>IFERROR(s_RadSpec!$E$27*($AY$27/$B62),".")</f>
        <v>0</v>
      </c>
      <c r="AF62" s="101">
        <f>IFERROR(s_RadSpec!$E$27*($AY$27/$B62),".")</f>
        <v>0</v>
      </c>
      <c r="AG62" s="101">
        <f>IFERROR(s_RadSpec!$E$27*($AY$27/$B62),".")</f>
        <v>0</v>
      </c>
      <c r="AH62" s="101">
        <f>IFERROR(s_RadSpec!$E$27*($AY$27/$B62),".")</f>
        <v>0</v>
      </c>
      <c r="AI62" s="101">
        <f>IFERROR(s_RadSpec!$E$27*($AY$27/$B62),".")</f>
        <v>0</v>
      </c>
      <c r="AJ62" s="101">
        <f>IFERROR(s_RadSpec!$E$27*($AY$27/$B62),".")</f>
        <v>0</v>
      </c>
      <c r="AK62" s="101">
        <f>IFERROR(s_RadSpec!$E$27*($AY$27/$B62),".")</f>
        <v>0</v>
      </c>
      <c r="AL62" s="101">
        <f>IFERROR(s_RadSpec!$E$27*($AY$27/$B62),".")</f>
        <v>0</v>
      </c>
      <c r="AM62" s="101">
        <f>IFERROR(s_RadSpec!$E$27*($AY$27/$B62),".")</f>
        <v>0</v>
      </c>
      <c r="AN62" s="101">
        <f>IFERROR(s_RadSpec!$E$27*($AY$27/$B62),".")</f>
        <v>0</v>
      </c>
      <c r="AO62" s="101">
        <f>IFERROR(s_RadSpec!$E$27*($AY$27/$B62),".")</f>
        <v>0</v>
      </c>
      <c r="AP62" s="101">
        <f>IFERROR(s_RadSpec!$E$27*($AY$27/$B62),".")</f>
        <v>0</v>
      </c>
      <c r="AQ62" s="101">
        <f>IFERROR(s_RadSpec!$E$27*($AY$27/$B62),".")</f>
        <v>0</v>
      </c>
      <c r="AR62" s="101">
        <f>IFERROR(s_RadSpec!$E$27*($AY$27/$B62),".")</f>
        <v>0</v>
      </c>
      <c r="AS62" s="101">
        <f>IFERROR(s_RadSpec!$E$27*($AY$27/$B62),".")</f>
        <v>0</v>
      </c>
      <c r="AT62" s="101">
        <f>IFERROR(s_RadSpec!$E$27*($AY$27/$B62),".")</f>
        <v>0</v>
      </c>
      <c r="AU62" s="101">
        <f>IFERROR(s_RadSpec!$E$27*($AY$27/$B62),".")</f>
        <v>0</v>
      </c>
      <c r="AV62" s="101">
        <f>IFERROR(s_RadSpec!$E$27*($AY$27/$B62),".")</f>
        <v>0</v>
      </c>
      <c r="AW62" s="101">
        <f>IFERROR(s_RadSpec!$E$27*($AY$27/$B62),".")</f>
        <v>0</v>
      </c>
      <c r="AX62" s="101">
        <f>IFERROR(s_RadSpec!$E$27*($AY$27/$B62),".")</f>
        <v>0</v>
      </c>
      <c r="AY62" s="101">
        <f>IFERROR(s_RadSpec!$E$27*($AY$27/$B62),".")</f>
        <v>0</v>
      </c>
      <c r="AZ62" s="101">
        <f>IFERROR(s_RadSpec!$E$27*($AZ$27/$B62),".")</f>
        <v>0</v>
      </c>
      <c r="BA62" s="100" t="str">
        <f t="shared" si="162"/>
        <v>.</v>
      </c>
      <c r="BB62" s="100">
        <f t="shared" ref="BB62:BY62" si="169">IFERROR($B62/BB27,0)</f>
        <v>0</v>
      </c>
      <c r="BC62" s="100">
        <f t="shared" si="169"/>
        <v>0</v>
      </c>
      <c r="BD62" s="100">
        <f t="shared" si="169"/>
        <v>0</v>
      </c>
      <c r="BE62" s="100">
        <f t="shared" si="169"/>
        <v>0</v>
      </c>
      <c r="BF62" s="100">
        <f t="shared" si="169"/>
        <v>0</v>
      </c>
      <c r="BG62" s="100">
        <f t="shared" si="169"/>
        <v>0</v>
      </c>
      <c r="BH62" s="100">
        <f t="shared" si="169"/>
        <v>0</v>
      </c>
      <c r="BI62" s="100">
        <f t="shared" si="169"/>
        <v>0</v>
      </c>
      <c r="BJ62" s="100">
        <f t="shared" si="169"/>
        <v>0</v>
      </c>
      <c r="BK62" s="100">
        <f t="shared" si="169"/>
        <v>0</v>
      </c>
      <c r="BL62" s="100">
        <f t="shared" si="169"/>
        <v>0</v>
      </c>
      <c r="BM62" s="100">
        <f t="shared" si="169"/>
        <v>0</v>
      </c>
      <c r="BN62" s="100">
        <f t="shared" si="169"/>
        <v>0</v>
      </c>
      <c r="BO62" s="100">
        <f t="shared" si="169"/>
        <v>0</v>
      </c>
      <c r="BP62" s="100">
        <f t="shared" si="169"/>
        <v>0</v>
      </c>
      <c r="BQ62" s="100">
        <f t="shared" si="169"/>
        <v>0</v>
      </c>
      <c r="BR62" s="100">
        <f t="shared" si="169"/>
        <v>0</v>
      </c>
      <c r="BS62" s="100">
        <f t="shared" si="169"/>
        <v>0</v>
      </c>
      <c r="BT62" s="100">
        <f t="shared" si="169"/>
        <v>0</v>
      </c>
      <c r="BU62" s="100">
        <f t="shared" si="169"/>
        <v>0</v>
      </c>
      <c r="BV62" s="100">
        <f t="shared" si="169"/>
        <v>0</v>
      </c>
      <c r="BW62" s="100">
        <f t="shared" si="169"/>
        <v>0</v>
      </c>
      <c r="BX62" s="100">
        <f t="shared" si="169"/>
        <v>0</v>
      </c>
      <c r="BY62" s="100">
        <f t="shared" si="169"/>
        <v>0</v>
      </c>
      <c r="BZ62" s="49">
        <f t="shared" si="141"/>
        <v>0</v>
      </c>
      <c r="CA62" s="101">
        <f>IFERROR(s_RadSpec!$E$27*($AC$27/$B62),".")</f>
        <v>0</v>
      </c>
      <c r="CB62" s="101">
        <f>IFERROR(s_RadSpec!$E$27*($AD$27/$B62),".")</f>
        <v>0</v>
      </c>
      <c r="CC62" s="101">
        <f>IFERROR(s_RadSpec!$E$27*($AY$27/$B62),".")</f>
        <v>0</v>
      </c>
      <c r="CD62" s="101">
        <f>IFERROR(s_RadSpec!$E$27*($AY$27/$B62),".")</f>
        <v>0</v>
      </c>
      <c r="CE62" s="101">
        <f>IFERROR(s_RadSpec!$E$27*($AY$27/$B62),".")</f>
        <v>0</v>
      </c>
      <c r="CF62" s="101">
        <f>IFERROR(s_RadSpec!$E$27*($AY$27/$B62),".")</f>
        <v>0</v>
      </c>
      <c r="CG62" s="101">
        <f>IFERROR(s_RadSpec!$E$27*($AY$27/$B62),".")</f>
        <v>0</v>
      </c>
      <c r="CH62" s="101">
        <f>IFERROR(s_RadSpec!$E$27*($AY$27/$B62),".")</f>
        <v>0</v>
      </c>
      <c r="CI62" s="101">
        <f>IFERROR(s_RadSpec!$E$27*($AY$27/$B62),".")</f>
        <v>0</v>
      </c>
      <c r="CJ62" s="101">
        <f>IFERROR(s_RadSpec!$E$27*($AY$27/$B62),".")</f>
        <v>0</v>
      </c>
      <c r="CK62" s="101">
        <f>IFERROR(s_RadSpec!$E$27*($AY$27/$B62),".")</f>
        <v>0</v>
      </c>
      <c r="CL62" s="101">
        <f>IFERROR(s_RadSpec!$E$27*($AY$27/$B62),".")</f>
        <v>0</v>
      </c>
      <c r="CM62" s="101">
        <f>IFERROR(s_RadSpec!$E$27*($AY$27/$B62),".")</f>
        <v>0</v>
      </c>
      <c r="CN62" s="101">
        <f>IFERROR(s_RadSpec!$E$27*($AY$27/$B62),".")</f>
        <v>0</v>
      </c>
      <c r="CO62" s="101">
        <f>IFERROR(s_RadSpec!$E$27*($AY$27/$B62),".")</f>
        <v>0</v>
      </c>
      <c r="CP62" s="101">
        <f>IFERROR(s_RadSpec!$E$27*($AY$27/$B62),".")</f>
        <v>0</v>
      </c>
      <c r="CQ62" s="101">
        <f>IFERROR(s_RadSpec!$E$27*($AY$27/$B62),".")</f>
        <v>0</v>
      </c>
      <c r="CR62" s="101">
        <f>IFERROR(s_RadSpec!$E$27*($AY$27/$B62),".")</f>
        <v>0</v>
      </c>
      <c r="CS62" s="101">
        <f>IFERROR(s_RadSpec!$E$27*($AY$27/$B62),".")</f>
        <v>0</v>
      </c>
      <c r="CT62" s="101">
        <f>IFERROR(s_RadSpec!$E$27*($AY$27/$B62),".")</f>
        <v>0</v>
      </c>
      <c r="CU62" s="101">
        <f>IFERROR(s_RadSpec!$E$27*($AY$27/$B62),".")</f>
        <v>0</v>
      </c>
      <c r="CV62" s="101">
        <f>IFERROR(s_RadSpec!$E$27*($AY$27/$B62),".")</f>
        <v>0</v>
      </c>
      <c r="CW62" s="101">
        <f>IFERROR(s_RadSpec!$E$27*($AY$27/$B62),".")</f>
        <v>0</v>
      </c>
      <c r="CX62" s="101">
        <f>IFERROR(s_RadSpec!$E$27*($AZ$27/$B62),".")</f>
        <v>0</v>
      </c>
    </row>
    <row r="63" spans="1:102" x14ac:dyDescent="0.25">
      <c r="A63" s="95" t="s">
        <v>35</v>
      </c>
      <c r="B63" s="95" t="s">
        <v>1074</v>
      </c>
      <c r="C63" s="96">
        <f t="shared" si="160"/>
        <v>1.8629158395520797</v>
      </c>
      <c r="D63" s="96">
        <f t="shared" ref="D63:AA63" si="170">IFERROR(1/SUM(D64:D76),0)</f>
        <v>8.4620766251989323</v>
      </c>
      <c r="E63" s="96">
        <f t="shared" si="170"/>
        <v>5.8118328948456988</v>
      </c>
      <c r="F63" s="96">
        <f t="shared" si="170"/>
        <v>7.7951233159422175</v>
      </c>
      <c r="G63" s="96">
        <f t="shared" si="170"/>
        <v>8.4620766251989323</v>
      </c>
      <c r="H63" s="96">
        <f t="shared" si="170"/>
        <v>8.2378934821473262</v>
      </c>
      <c r="I63" s="96">
        <f t="shared" si="170"/>
        <v>5.8118328948456988</v>
      </c>
      <c r="J63" s="96">
        <f t="shared" si="170"/>
        <v>7.7951233159422175</v>
      </c>
      <c r="K63" s="96">
        <f t="shared" si="170"/>
        <v>8.4620766251989323</v>
      </c>
      <c r="L63" s="96">
        <f t="shared" si="170"/>
        <v>8.8838765126676016</v>
      </c>
      <c r="M63" s="96">
        <f t="shared" si="170"/>
        <v>8.2378934821473262</v>
      </c>
      <c r="N63" s="96">
        <f t="shared" si="170"/>
        <v>5.8118328948456988</v>
      </c>
      <c r="O63" s="96">
        <f t="shared" si="170"/>
        <v>8.6777312345432946</v>
      </c>
      <c r="P63" s="96">
        <f t="shared" si="170"/>
        <v>8.2378934821473262</v>
      </c>
      <c r="Q63" s="96">
        <f t="shared" si="170"/>
        <v>8.2378934821473262</v>
      </c>
      <c r="R63" s="96">
        <f t="shared" si="170"/>
        <v>8.4620766251989323</v>
      </c>
      <c r="S63" s="96">
        <f t="shared" si="170"/>
        <v>8.4620766251989323</v>
      </c>
      <c r="T63" s="96">
        <f t="shared" si="170"/>
        <v>8.6777312345432946</v>
      </c>
      <c r="U63" s="96">
        <f t="shared" si="170"/>
        <v>8.6366719493245832</v>
      </c>
      <c r="V63" s="96">
        <f t="shared" si="170"/>
        <v>8.2378934821473262</v>
      </c>
      <c r="W63" s="96">
        <f t="shared" si="170"/>
        <v>8.6777312345432946</v>
      </c>
      <c r="X63" s="96">
        <f t="shared" si="170"/>
        <v>8.4620766251989323</v>
      </c>
      <c r="Y63" s="96">
        <f t="shared" si="170"/>
        <v>8.2378934821473262</v>
      </c>
      <c r="Z63" s="96">
        <f t="shared" si="170"/>
        <v>7.8315221580257761</v>
      </c>
      <c r="AA63" s="96">
        <f t="shared" si="170"/>
        <v>8.412781997853747</v>
      </c>
      <c r="AB63" s="47">
        <f>IFERROR(IF(SUM(AC64:AD76,AY64:AZ76)&gt;0.01,1-EXP(-SUM(AC64:AD76,AY64:AZ76)),SUM(AC64:AD76,AY64:AZ76)),".")</f>
        <v>2.683964689402578E-6</v>
      </c>
      <c r="AC63" s="97">
        <f>IFERROR(IF(SUM(AC64:AC76)&gt;0.01,1-EXP(-(SUM(AC64:AC76))),SUM(AC64:AC76)),".")</f>
        <v>5.9087154732437439E-7</v>
      </c>
      <c r="AD63" s="97">
        <f>IFERROR(IF(SUM(AD64:AD76)&gt;0.01,1-EXP(-(SUM(AD64:AD76))),SUM(AD64:AD76)),".")</f>
        <v>8.6031386625966743E-7</v>
      </c>
      <c r="AE63" s="97">
        <f t="shared" ref="AE63:AX63" si="171">IFERROR(IF(SUM(AE64:AE76)&gt;0.01,1-EXP(-(SUM(AE64:AE76))),SUM(AE64:AE76)),".")</f>
        <v>6.3844552117704138E-7</v>
      </c>
      <c r="AF63" s="97">
        <f t="shared" si="171"/>
        <v>6.3844552117704138E-7</v>
      </c>
      <c r="AG63" s="97">
        <f t="shared" si="171"/>
        <v>6.3844552117704138E-7</v>
      </c>
      <c r="AH63" s="97">
        <f t="shared" si="171"/>
        <v>6.3844552117704138E-7</v>
      </c>
      <c r="AI63" s="97">
        <f t="shared" si="171"/>
        <v>6.3844552117704138E-7</v>
      </c>
      <c r="AJ63" s="97">
        <f t="shared" si="171"/>
        <v>6.3844552117704138E-7</v>
      </c>
      <c r="AK63" s="97">
        <f t="shared" si="171"/>
        <v>6.3844552117704138E-7</v>
      </c>
      <c r="AL63" s="97">
        <f t="shared" si="171"/>
        <v>6.3844552117704138E-7</v>
      </c>
      <c r="AM63" s="97">
        <f t="shared" si="171"/>
        <v>6.3844552117704138E-7</v>
      </c>
      <c r="AN63" s="97">
        <f t="shared" si="171"/>
        <v>6.3844552117704138E-7</v>
      </c>
      <c r="AO63" s="97">
        <f t="shared" si="171"/>
        <v>6.3844552117704138E-7</v>
      </c>
      <c r="AP63" s="97">
        <f t="shared" si="171"/>
        <v>6.3844552117704138E-7</v>
      </c>
      <c r="AQ63" s="97">
        <f t="shared" si="171"/>
        <v>6.3844552117704138E-7</v>
      </c>
      <c r="AR63" s="97">
        <f t="shared" si="171"/>
        <v>6.3844552117704138E-7</v>
      </c>
      <c r="AS63" s="97">
        <f t="shared" si="171"/>
        <v>6.3844552117704138E-7</v>
      </c>
      <c r="AT63" s="97">
        <f t="shared" si="171"/>
        <v>6.3844552117704138E-7</v>
      </c>
      <c r="AU63" s="97">
        <f t="shared" si="171"/>
        <v>6.3844552117704138E-7</v>
      </c>
      <c r="AV63" s="97">
        <f t="shared" si="171"/>
        <v>6.3844552117704138E-7</v>
      </c>
      <c r="AW63" s="97">
        <f t="shared" si="171"/>
        <v>6.3844552117704138E-7</v>
      </c>
      <c r="AX63" s="97">
        <f t="shared" si="171"/>
        <v>6.3844552117704138E-7</v>
      </c>
      <c r="AY63" s="97">
        <f>IFERROR(IF(SUM(AY64:AY76)&gt;0.01,1-EXP(-(SUM(AY64:AY76))),SUM(AY64:AY76)),".")</f>
        <v>6.3844552117704138E-7</v>
      </c>
      <c r="AZ63" s="97">
        <f>IFERROR(IF(SUM(AZ64:AZ76)&gt;0.01,1-EXP(-(SUM(AZ64:AZ76))),SUM(AZ64:AZ76)),".")</f>
        <v>5.9433375464149491E-7</v>
      </c>
      <c r="BA63" s="98">
        <f t="shared" si="162"/>
        <v>1.8629158395520797</v>
      </c>
      <c r="BB63" s="98">
        <f t="shared" ref="BB63:BY63" si="172">IFERROR(1/SUM(BB64:BB76),0)</f>
        <v>8.4620766251989323</v>
      </c>
      <c r="BC63" s="98">
        <f t="shared" si="172"/>
        <v>5.8118328948456988</v>
      </c>
      <c r="BD63" s="98">
        <f t="shared" si="172"/>
        <v>7.7951233159422175</v>
      </c>
      <c r="BE63" s="98">
        <f t="shared" si="172"/>
        <v>8.4620766251989323</v>
      </c>
      <c r="BF63" s="98">
        <f t="shared" si="172"/>
        <v>8.2378934821473262</v>
      </c>
      <c r="BG63" s="98">
        <f t="shared" si="172"/>
        <v>5.8118328948456988</v>
      </c>
      <c r="BH63" s="98">
        <f t="shared" si="172"/>
        <v>7.7951233159422175</v>
      </c>
      <c r="BI63" s="98">
        <f t="shared" si="172"/>
        <v>8.4620766251989323</v>
      </c>
      <c r="BJ63" s="98">
        <f t="shared" si="172"/>
        <v>8.8838765126676016</v>
      </c>
      <c r="BK63" s="98">
        <f t="shared" si="172"/>
        <v>8.2378934821473262</v>
      </c>
      <c r="BL63" s="98">
        <f t="shared" si="172"/>
        <v>5.8118328948456988</v>
      </c>
      <c r="BM63" s="98">
        <f t="shared" si="172"/>
        <v>8.6777312345432946</v>
      </c>
      <c r="BN63" s="98">
        <f t="shared" si="172"/>
        <v>8.2378934821473262</v>
      </c>
      <c r="BO63" s="98">
        <f t="shared" si="172"/>
        <v>8.2378934821473262</v>
      </c>
      <c r="BP63" s="98">
        <f t="shared" si="172"/>
        <v>8.4620766251989323</v>
      </c>
      <c r="BQ63" s="98">
        <f t="shared" si="172"/>
        <v>8.4620766251989323</v>
      </c>
      <c r="BR63" s="98">
        <f t="shared" si="172"/>
        <v>8.6777312345432946</v>
      </c>
      <c r="BS63" s="98">
        <f t="shared" si="172"/>
        <v>8.6366719493245832</v>
      </c>
      <c r="BT63" s="98">
        <f t="shared" si="172"/>
        <v>8.2378934821473262</v>
      </c>
      <c r="BU63" s="98">
        <f t="shared" si="172"/>
        <v>8.6777312345432946</v>
      </c>
      <c r="BV63" s="98">
        <f t="shared" si="172"/>
        <v>8.4620766251989323</v>
      </c>
      <c r="BW63" s="98">
        <f t="shared" si="172"/>
        <v>8.2378934821473262</v>
      </c>
      <c r="BX63" s="98">
        <f t="shared" si="172"/>
        <v>7.8315221580257761</v>
      </c>
      <c r="BY63" s="98">
        <f t="shared" si="172"/>
        <v>8.412781997853747</v>
      </c>
      <c r="BZ63" s="47">
        <f>IFERROR(IF(SUM(CA64:CB76,CW64:CX76)&gt;0.01,1-EXP(-SUM(CA64:CB76,CW64:CX76)),SUM(CA64:CB76,CW64:CX76)),".")</f>
        <v>2.683964689402578E-6</v>
      </c>
      <c r="CA63" s="97">
        <f>IFERROR(IF(SUM(CA64:CA76)&gt;0.01,1-EXP(-(SUM(CA64:CA76))),SUM(CA64:CA76)),".")</f>
        <v>5.9087154732437439E-7</v>
      </c>
      <c r="CB63" s="97">
        <f>IFERROR(IF(SUM(CB64:CB76)&gt;0.01,1-EXP(-(SUM(CB64:CB76))),SUM(CB64:CB76)),".")</f>
        <v>8.6031386625966743E-7</v>
      </c>
      <c r="CC63" s="97">
        <f t="shared" ref="CC63" si="173">IFERROR(IF(SUM(CC64:CC76)&gt;0.01,1-EXP(-(SUM(CC64:CC76))),SUM(CC64:CC76)),".")</f>
        <v>6.3844552117704138E-7</v>
      </c>
      <c r="CD63" s="97">
        <f t="shared" ref="CD63" si="174">IFERROR(IF(SUM(CD64:CD76)&gt;0.01,1-EXP(-(SUM(CD64:CD76))),SUM(CD64:CD76)),".")</f>
        <v>6.3844552117704138E-7</v>
      </c>
      <c r="CE63" s="97">
        <f t="shared" ref="CE63" si="175">IFERROR(IF(SUM(CE64:CE76)&gt;0.01,1-EXP(-(SUM(CE64:CE76))),SUM(CE64:CE76)),".")</f>
        <v>6.3844552117704138E-7</v>
      </c>
      <c r="CF63" s="97">
        <f t="shared" ref="CF63" si="176">IFERROR(IF(SUM(CF64:CF76)&gt;0.01,1-EXP(-(SUM(CF64:CF76))),SUM(CF64:CF76)),".")</f>
        <v>6.3844552117704138E-7</v>
      </c>
      <c r="CG63" s="97">
        <f t="shared" ref="CG63" si="177">IFERROR(IF(SUM(CG64:CG76)&gt;0.01,1-EXP(-(SUM(CG64:CG76))),SUM(CG64:CG76)),".")</f>
        <v>6.3844552117704138E-7</v>
      </c>
      <c r="CH63" s="97">
        <f t="shared" ref="CH63" si="178">IFERROR(IF(SUM(CH64:CH76)&gt;0.01,1-EXP(-(SUM(CH64:CH76))),SUM(CH64:CH76)),".")</f>
        <v>6.3844552117704138E-7</v>
      </c>
      <c r="CI63" s="97">
        <f t="shared" ref="CI63" si="179">IFERROR(IF(SUM(CI64:CI76)&gt;0.01,1-EXP(-(SUM(CI64:CI76))),SUM(CI64:CI76)),".")</f>
        <v>6.3844552117704138E-7</v>
      </c>
      <c r="CJ63" s="97">
        <f t="shared" ref="CJ63" si="180">IFERROR(IF(SUM(CJ64:CJ76)&gt;0.01,1-EXP(-(SUM(CJ64:CJ76))),SUM(CJ64:CJ76)),".")</f>
        <v>6.3844552117704138E-7</v>
      </c>
      <c r="CK63" s="97">
        <f t="shared" ref="CK63" si="181">IFERROR(IF(SUM(CK64:CK76)&gt;0.01,1-EXP(-(SUM(CK64:CK76))),SUM(CK64:CK76)),".")</f>
        <v>6.3844552117704138E-7</v>
      </c>
      <c r="CL63" s="97">
        <f t="shared" ref="CL63" si="182">IFERROR(IF(SUM(CL64:CL76)&gt;0.01,1-EXP(-(SUM(CL64:CL76))),SUM(CL64:CL76)),".")</f>
        <v>6.3844552117704138E-7</v>
      </c>
      <c r="CM63" s="97">
        <f t="shared" ref="CM63" si="183">IFERROR(IF(SUM(CM64:CM76)&gt;0.01,1-EXP(-(SUM(CM64:CM76))),SUM(CM64:CM76)),".")</f>
        <v>6.3844552117704138E-7</v>
      </c>
      <c r="CN63" s="97">
        <f t="shared" ref="CN63" si="184">IFERROR(IF(SUM(CN64:CN76)&gt;0.01,1-EXP(-(SUM(CN64:CN76))),SUM(CN64:CN76)),".")</f>
        <v>6.3844552117704138E-7</v>
      </c>
      <c r="CO63" s="97">
        <f t="shared" ref="CO63" si="185">IFERROR(IF(SUM(CO64:CO76)&gt;0.01,1-EXP(-(SUM(CO64:CO76))),SUM(CO64:CO76)),".")</f>
        <v>6.3844552117704138E-7</v>
      </c>
      <c r="CP63" s="97">
        <f t="shared" ref="CP63" si="186">IFERROR(IF(SUM(CP64:CP76)&gt;0.01,1-EXP(-(SUM(CP64:CP76))),SUM(CP64:CP76)),".")</f>
        <v>6.3844552117704138E-7</v>
      </c>
      <c r="CQ63" s="97">
        <f t="shared" ref="CQ63" si="187">IFERROR(IF(SUM(CQ64:CQ76)&gt;0.01,1-EXP(-(SUM(CQ64:CQ76))),SUM(CQ64:CQ76)),".")</f>
        <v>6.3844552117704138E-7</v>
      </c>
      <c r="CR63" s="97">
        <f t="shared" ref="CR63" si="188">IFERROR(IF(SUM(CR64:CR76)&gt;0.01,1-EXP(-(SUM(CR64:CR76))),SUM(CR64:CR76)),".")</f>
        <v>6.3844552117704138E-7</v>
      </c>
      <c r="CS63" s="97">
        <f t="shared" ref="CS63" si="189">IFERROR(IF(SUM(CS64:CS76)&gt;0.01,1-EXP(-(SUM(CS64:CS76))),SUM(CS64:CS76)),".")</f>
        <v>6.3844552117704138E-7</v>
      </c>
      <c r="CT63" s="97">
        <f t="shared" ref="CT63" si="190">IFERROR(IF(SUM(CT64:CT76)&gt;0.01,1-EXP(-(SUM(CT64:CT76))),SUM(CT64:CT76)),".")</f>
        <v>6.3844552117704138E-7</v>
      </c>
      <c r="CU63" s="97">
        <f t="shared" ref="CU63" si="191">IFERROR(IF(SUM(CU64:CU76)&gt;0.01,1-EXP(-(SUM(CU64:CU76))),SUM(CU64:CU76)),".")</f>
        <v>6.3844552117704138E-7</v>
      </c>
      <c r="CV63" s="97">
        <f t="shared" ref="CV63" si="192">IFERROR(IF(SUM(CV64:CV76)&gt;0.01,1-EXP(-(SUM(CV64:CV76))),SUM(CV64:CV76)),".")</f>
        <v>6.3844552117704138E-7</v>
      </c>
      <c r="CW63" s="97">
        <f>IFERROR(IF(SUM(CW64:CW76)&gt;0.01,1-EXP(-(SUM(CW64:CW76))),SUM(CW64:CW76)),".")</f>
        <v>6.3844552117704138E-7</v>
      </c>
      <c r="CX63" s="97">
        <f>IFERROR(IF(SUM(CX64:CX76)&gt;0.01,1-EXP(-(SUM(CX64:CX76))),SUM(CX64:CX76)),".")</f>
        <v>5.9433375464149491E-7</v>
      </c>
    </row>
    <row r="64" spans="1:102" x14ac:dyDescent="0.25">
      <c r="A64" s="99" t="s">
        <v>1090</v>
      </c>
      <c r="B64" s="90">
        <v>1</v>
      </c>
      <c r="C64" s="100" t="str">
        <f t="shared" si="160"/>
        <v>.</v>
      </c>
      <c r="D64" s="100">
        <f t="shared" ref="D64:AA64" si="193">IFERROR($B64/D25,0)</f>
        <v>0</v>
      </c>
      <c r="E64" s="100">
        <f t="shared" si="193"/>
        <v>0</v>
      </c>
      <c r="F64" s="100">
        <f t="shared" si="193"/>
        <v>0</v>
      </c>
      <c r="G64" s="100">
        <f t="shared" si="193"/>
        <v>0</v>
      </c>
      <c r="H64" s="100">
        <f t="shared" si="193"/>
        <v>0</v>
      </c>
      <c r="I64" s="100">
        <f t="shared" si="193"/>
        <v>0</v>
      </c>
      <c r="J64" s="100">
        <f t="shared" si="193"/>
        <v>0</v>
      </c>
      <c r="K64" s="100">
        <f t="shared" si="193"/>
        <v>0</v>
      </c>
      <c r="L64" s="100">
        <f t="shared" si="193"/>
        <v>0</v>
      </c>
      <c r="M64" s="100">
        <f t="shared" si="193"/>
        <v>0</v>
      </c>
      <c r="N64" s="100">
        <f t="shared" si="193"/>
        <v>0</v>
      </c>
      <c r="O64" s="100">
        <f t="shared" si="193"/>
        <v>0</v>
      </c>
      <c r="P64" s="100">
        <f t="shared" si="193"/>
        <v>0</v>
      </c>
      <c r="Q64" s="100">
        <f t="shared" si="193"/>
        <v>0</v>
      </c>
      <c r="R64" s="100">
        <f t="shared" si="193"/>
        <v>0</v>
      </c>
      <c r="S64" s="100">
        <f t="shared" si="193"/>
        <v>0</v>
      </c>
      <c r="T64" s="100">
        <f t="shared" si="193"/>
        <v>0</v>
      </c>
      <c r="U64" s="100">
        <f t="shared" si="193"/>
        <v>0</v>
      </c>
      <c r="V64" s="100">
        <f t="shared" si="193"/>
        <v>0</v>
      </c>
      <c r="W64" s="100">
        <f t="shared" si="193"/>
        <v>0</v>
      </c>
      <c r="X64" s="100">
        <f t="shared" si="193"/>
        <v>0</v>
      </c>
      <c r="Y64" s="100">
        <f t="shared" si="193"/>
        <v>0</v>
      </c>
      <c r="Z64" s="100">
        <f t="shared" si="193"/>
        <v>0</v>
      </c>
      <c r="AA64" s="100">
        <f t="shared" si="193"/>
        <v>0</v>
      </c>
      <c r="AB64" s="49">
        <f t="shared" si="60"/>
        <v>0</v>
      </c>
      <c r="AC64" s="101" t="str">
        <f>IFERROR(s_RadSpec!$E$25*($AC$25/$B64),".")</f>
        <v>.</v>
      </c>
      <c r="AD64" s="101" t="str">
        <f>IFERROR(s_RadSpec!$E$25*($AD$25/$B64),".")</f>
        <v>.</v>
      </c>
      <c r="AE64" s="101" t="str">
        <f>IFERROR(s_RadSpec!$E$25*($AY$25/$B64),".")</f>
        <v>.</v>
      </c>
      <c r="AF64" s="101" t="str">
        <f>IFERROR(s_RadSpec!$E$25*($AY$25/$B64),".")</f>
        <v>.</v>
      </c>
      <c r="AG64" s="101" t="str">
        <f>IFERROR(s_RadSpec!$E$25*($AY$25/$B64),".")</f>
        <v>.</v>
      </c>
      <c r="AH64" s="101" t="str">
        <f>IFERROR(s_RadSpec!$E$25*($AY$25/$B64),".")</f>
        <v>.</v>
      </c>
      <c r="AI64" s="101" t="str">
        <f>IFERROR(s_RadSpec!$E$25*($AY$25/$B64),".")</f>
        <v>.</v>
      </c>
      <c r="AJ64" s="101" t="str">
        <f>IFERROR(s_RadSpec!$E$25*($AY$25/$B64),".")</f>
        <v>.</v>
      </c>
      <c r="AK64" s="101" t="str">
        <f>IFERROR(s_RadSpec!$E$25*($AY$25/$B64),".")</f>
        <v>.</v>
      </c>
      <c r="AL64" s="101" t="str">
        <f>IFERROR(s_RadSpec!$E$25*($AY$25/$B64),".")</f>
        <v>.</v>
      </c>
      <c r="AM64" s="101" t="str">
        <f>IFERROR(s_RadSpec!$E$25*($AY$25/$B64),".")</f>
        <v>.</v>
      </c>
      <c r="AN64" s="101" t="str">
        <f>IFERROR(s_RadSpec!$E$25*($AY$25/$B64),".")</f>
        <v>.</v>
      </c>
      <c r="AO64" s="101" t="str">
        <f>IFERROR(s_RadSpec!$E$25*($AY$25/$B64),".")</f>
        <v>.</v>
      </c>
      <c r="AP64" s="101" t="str">
        <f>IFERROR(s_RadSpec!$E$25*($AY$25/$B64),".")</f>
        <v>.</v>
      </c>
      <c r="AQ64" s="101" t="str">
        <f>IFERROR(s_RadSpec!$E$25*($AY$25/$B64),".")</f>
        <v>.</v>
      </c>
      <c r="AR64" s="101" t="str">
        <f>IFERROR(s_RadSpec!$E$25*($AY$25/$B64),".")</f>
        <v>.</v>
      </c>
      <c r="AS64" s="101" t="str">
        <f>IFERROR(s_RadSpec!$E$25*($AY$25/$B64),".")</f>
        <v>.</v>
      </c>
      <c r="AT64" s="101" t="str">
        <f>IFERROR(s_RadSpec!$E$25*($AY$25/$B64),".")</f>
        <v>.</v>
      </c>
      <c r="AU64" s="101" t="str">
        <f>IFERROR(s_RadSpec!$E$25*($AY$25/$B64),".")</f>
        <v>.</v>
      </c>
      <c r="AV64" s="101" t="str">
        <f>IFERROR(s_RadSpec!$E$25*($AY$25/$B64),".")</f>
        <v>.</v>
      </c>
      <c r="AW64" s="101" t="str">
        <f>IFERROR(s_RadSpec!$E$25*($AY$25/$B64),".")</f>
        <v>.</v>
      </c>
      <c r="AX64" s="101" t="str">
        <f>IFERROR(s_RadSpec!$E$25*($AY$25/$B64),".")</f>
        <v>.</v>
      </c>
      <c r="AY64" s="101" t="str">
        <f>IFERROR(s_RadSpec!$E$25*($AY$25/$B64),".")</f>
        <v>.</v>
      </c>
      <c r="AZ64" s="101" t="str">
        <f>IFERROR(s_RadSpec!$E$25*($AZ$25/$B64),".")</f>
        <v>.</v>
      </c>
      <c r="BA64" s="100" t="str">
        <f t="shared" si="162"/>
        <v>.</v>
      </c>
      <c r="BB64" s="100">
        <f t="shared" ref="BB64:BY64" si="194">IFERROR($B64/BB25,0)</f>
        <v>0</v>
      </c>
      <c r="BC64" s="100">
        <f t="shared" si="194"/>
        <v>0</v>
      </c>
      <c r="BD64" s="100">
        <f t="shared" si="194"/>
        <v>0</v>
      </c>
      <c r="BE64" s="100">
        <f t="shared" si="194"/>
        <v>0</v>
      </c>
      <c r="BF64" s="100">
        <f t="shared" si="194"/>
        <v>0</v>
      </c>
      <c r="BG64" s="100">
        <f t="shared" si="194"/>
        <v>0</v>
      </c>
      <c r="BH64" s="100">
        <f t="shared" si="194"/>
        <v>0</v>
      </c>
      <c r="BI64" s="100">
        <f t="shared" si="194"/>
        <v>0</v>
      </c>
      <c r="BJ64" s="100">
        <f t="shared" si="194"/>
        <v>0</v>
      </c>
      <c r="BK64" s="100">
        <f t="shared" si="194"/>
        <v>0</v>
      </c>
      <c r="BL64" s="100">
        <f t="shared" si="194"/>
        <v>0</v>
      </c>
      <c r="BM64" s="100">
        <f t="shared" si="194"/>
        <v>0</v>
      </c>
      <c r="BN64" s="100">
        <f t="shared" si="194"/>
        <v>0</v>
      </c>
      <c r="BO64" s="100">
        <f t="shared" si="194"/>
        <v>0</v>
      </c>
      <c r="BP64" s="100">
        <f t="shared" si="194"/>
        <v>0</v>
      </c>
      <c r="BQ64" s="100">
        <f t="shared" si="194"/>
        <v>0</v>
      </c>
      <c r="BR64" s="100">
        <f t="shared" si="194"/>
        <v>0</v>
      </c>
      <c r="BS64" s="100">
        <f t="shared" si="194"/>
        <v>0</v>
      </c>
      <c r="BT64" s="100">
        <f t="shared" si="194"/>
        <v>0</v>
      </c>
      <c r="BU64" s="100">
        <f t="shared" si="194"/>
        <v>0</v>
      </c>
      <c r="BV64" s="100">
        <f t="shared" si="194"/>
        <v>0</v>
      </c>
      <c r="BW64" s="100">
        <f t="shared" si="194"/>
        <v>0</v>
      </c>
      <c r="BX64" s="100">
        <f t="shared" si="194"/>
        <v>0</v>
      </c>
      <c r="BY64" s="100">
        <f t="shared" si="194"/>
        <v>0</v>
      </c>
      <c r="BZ64" s="49">
        <f t="shared" ref="BZ64:BZ76" si="195">SUM(CA64:CB64,CW64:CX64)</f>
        <v>0</v>
      </c>
      <c r="CA64" s="101" t="str">
        <f>IFERROR(s_RadSpec!$E$25*($AC$25/$B64),".")</f>
        <v>.</v>
      </c>
      <c r="CB64" s="101" t="str">
        <f>IFERROR(s_RadSpec!$E$25*($AD$25/$B64),".")</f>
        <v>.</v>
      </c>
      <c r="CC64" s="101" t="str">
        <f>IFERROR(s_RadSpec!$E$25*($AY$25/$B64),".")</f>
        <v>.</v>
      </c>
      <c r="CD64" s="101" t="str">
        <f>IFERROR(s_RadSpec!$E$25*($AY$25/$B64),".")</f>
        <v>.</v>
      </c>
      <c r="CE64" s="101" t="str">
        <f>IFERROR(s_RadSpec!$E$25*($AY$25/$B64),".")</f>
        <v>.</v>
      </c>
      <c r="CF64" s="101" t="str">
        <f>IFERROR(s_RadSpec!$E$25*($AY$25/$B64),".")</f>
        <v>.</v>
      </c>
      <c r="CG64" s="101" t="str">
        <f>IFERROR(s_RadSpec!$E$25*($AY$25/$B64),".")</f>
        <v>.</v>
      </c>
      <c r="CH64" s="101" t="str">
        <f>IFERROR(s_RadSpec!$E$25*($AY$25/$B64),".")</f>
        <v>.</v>
      </c>
      <c r="CI64" s="101" t="str">
        <f>IFERROR(s_RadSpec!$E$25*($AY$25/$B64),".")</f>
        <v>.</v>
      </c>
      <c r="CJ64" s="101" t="str">
        <f>IFERROR(s_RadSpec!$E$25*($AY$25/$B64),".")</f>
        <v>.</v>
      </c>
      <c r="CK64" s="101" t="str">
        <f>IFERROR(s_RadSpec!$E$25*($AY$25/$B64),".")</f>
        <v>.</v>
      </c>
      <c r="CL64" s="101" t="str">
        <f>IFERROR(s_RadSpec!$E$25*($AY$25/$B64),".")</f>
        <v>.</v>
      </c>
      <c r="CM64" s="101" t="str">
        <f>IFERROR(s_RadSpec!$E$25*($AY$25/$B64),".")</f>
        <v>.</v>
      </c>
      <c r="CN64" s="101" t="str">
        <f>IFERROR(s_RadSpec!$E$25*($AY$25/$B64),".")</f>
        <v>.</v>
      </c>
      <c r="CO64" s="101" t="str">
        <f>IFERROR(s_RadSpec!$E$25*($AY$25/$B64),".")</f>
        <v>.</v>
      </c>
      <c r="CP64" s="101" t="str">
        <f>IFERROR(s_RadSpec!$E$25*($AY$25/$B64),".")</f>
        <v>.</v>
      </c>
      <c r="CQ64" s="101" t="str">
        <f>IFERROR(s_RadSpec!$E$25*($AY$25/$B64),".")</f>
        <v>.</v>
      </c>
      <c r="CR64" s="101" t="str">
        <f>IFERROR(s_RadSpec!$E$25*($AY$25/$B64),".")</f>
        <v>.</v>
      </c>
      <c r="CS64" s="101" t="str">
        <f>IFERROR(s_RadSpec!$E$25*($AY$25/$B64),".")</f>
        <v>.</v>
      </c>
      <c r="CT64" s="101" t="str">
        <f>IFERROR(s_RadSpec!$E$25*($AY$25/$B64),".")</f>
        <v>.</v>
      </c>
      <c r="CU64" s="101" t="str">
        <f>IFERROR(s_RadSpec!$E$25*($AY$25/$B64),".")</f>
        <v>.</v>
      </c>
      <c r="CV64" s="101" t="str">
        <f>IFERROR(s_RadSpec!$E$25*($AY$25/$B64),".")</f>
        <v>.</v>
      </c>
      <c r="CW64" s="101" t="str">
        <f>IFERROR(s_RadSpec!$E$25*($AY$25/$B64),".")</f>
        <v>.</v>
      </c>
      <c r="CX64" s="101" t="str">
        <f>IFERROR(s_RadSpec!$E$25*($AZ$25/$B64),".")</f>
        <v>.</v>
      </c>
    </row>
    <row r="65" spans="1:102" x14ac:dyDescent="0.25">
      <c r="A65" s="99" t="s">
        <v>1076</v>
      </c>
      <c r="B65" s="90">
        <v>1</v>
      </c>
      <c r="C65" s="100" t="str">
        <f t="shared" si="160"/>
        <v>.</v>
      </c>
      <c r="D65" s="100">
        <f t="shared" ref="D65:AA65" si="196">IFERROR($B65/D21,0)</f>
        <v>0</v>
      </c>
      <c r="E65" s="100">
        <f t="shared" si="196"/>
        <v>0</v>
      </c>
      <c r="F65" s="100">
        <f t="shared" si="196"/>
        <v>0</v>
      </c>
      <c r="G65" s="100">
        <f t="shared" si="196"/>
        <v>0</v>
      </c>
      <c r="H65" s="100">
        <f t="shared" si="196"/>
        <v>0</v>
      </c>
      <c r="I65" s="100">
        <f t="shared" si="196"/>
        <v>0</v>
      </c>
      <c r="J65" s="100">
        <f t="shared" si="196"/>
        <v>0</v>
      </c>
      <c r="K65" s="100">
        <f t="shared" si="196"/>
        <v>0</v>
      </c>
      <c r="L65" s="100">
        <f t="shared" si="196"/>
        <v>0</v>
      </c>
      <c r="M65" s="100">
        <f t="shared" si="196"/>
        <v>0</v>
      </c>
      <c r="N65" s="100">
        <f t="shared" si="196"/>
        <v>0</v>
      </c>
      <c r="O65" s="100">
        <f t="shared" si="196"/>
        <v>0</v>
      </c>
      <c r="P65" s="100">
        <f t="shared" si="196"/>
        <v>0</v>
      </c>
      <c r="Q65" s="100">
        <f t="shared" si="196"/>
        <v>0</v>
      </c>
      <c r="R65" s="100">
        <f t="shared" si="196"/>
        <v>0</v>
      </c>
      <c r="S65" s="100">
        <f t="shared" si="196"/>
        <v>0</v>
      </c>
      <c r="T65" s="100">
        <f t="shared" si="196"/>
        <v>0</v>
      </c>
      <c r="U65" s="100">
        <f t="shared" si="196"/>
        <v>0</v>
      </c>
      <c r="V65" s="100">
        <f t="shared" si="196"/>
        <v>0</v>
      </c>
      <c r="W65" s="100">
        <f t="shared" si="196"/>
        <v>0</v>
      </c>
      <c r="X65" s="100">
        <f t="shared" si="196"/>
        <v>0</v>
      </c>
      <c r="Y65" s="100">
        <f t="shared" si="196"/>
        <v>0</v>
      </c>
      <c r="Z65" s="100">
        <f t="shared" si="196"/>
        <v>0</v>
      </c>
      <c r="AA65" s="100">
        <f t="shared" si="196"/>
        <v>0</v>
      </c>
      <c r="AB65" s="49">
        <f t="shared" si="60"/>
        <v>0</v>
      </c>
      <c r="AC65" s="101">
        <f>IFERROR(s_RadSpec!$E$21*($AC$21/$B65),".")</f>
        <v>0</v>
      </c>
      <c r="AD65" s="101">
        <f>IFERROR(s_RadSpec!$E$21*($AD$21/$B65),".")</f>
        <v>0</v>
      </c>
      <c r="AE65" s="101">
        <f>IFERROR(s_RadSpec!$E$21*($AY$21/$B65),".")</f>
        <v>0</v>
      </c>
      <c r="AF65" s="101">
        <f>IFERROR(s_RadSpec!$E$21*($AY$21/$B65),".")</f>
        <v>0</v>
      </c>
      <c r="AG65" s="101">
        <f>IFERROR(s_RadSpec!$E$21*($AY$21/$B65),".")</f>
        <v>0</v>
      </c>
      <c r="AH65" s="101">
        <f>IFERROR(s_RadSpec!$E$21*($AY$21/$B65),".")</f>
        <v>0</v>
      </c>
      <c r="AI65" s="101">
        <f>IFERROR(s_RadSpec!$E$21*($AY$21/$B65),".")</f>
        <v>0</v>
      </c>
      <c r="AJ65" s="101">
        <f>IFERROR(s_RadSpec!$E$21*($AY$21/$B65),".")</f>
        <v>0</v>
      </c>
      <c r="AK65" s="101">
        <f>IFERROR(s_RadSpec!$E$21*($AY$21/$B65),".")</f>
        <v>0</v>
      </c>
      <c r="AL65" s="101">
        <f>IFERROR(s_RadSpec!$E$21*($AY$21/$B65),".")</f>
        <v>0</v>
      </c>
      <c r="AM65" s="101">
        <f>IFERROR(s_RadSpec!$E$21*($AY$21/$B65),".")</f>
        <v>0</v>
      </c>
      <c r="AN65" s="101">
        <f>IFERROR(s_RadSpec!$E$21*($AY$21/$B65),".")</f>
        <v>0</v>
      </c>
      <c r="AO65" s="101">
        <f>IFERROR(s_RadSpec!$E$21*($AY$21/$B65),".")</f>
        <v>0</v>
      </c>
      <c r="AP65" s="101">
        <f>IFERROR(s_RadSpec!$E$21*($AY$21/$B65),".")</f>
        <v>0</v>
      </c>
      <c r="AQ65" s="101">
        <f>IFERROR(s_RadSpec!$E$21*($AY$21/$B65),".")</f>
        <v>0</v>
      </c>
      <c r="AR65" s="101">
        <f>IFERROR(s_RadSpec!$E$21*($AY$21/$B65),".")</f>
        <v>0</v>
      </c>
      <c r="AS65" s="101">
        <f>IFERROR(s_RadSpec!$E$21*($AY$21/$B65),".")</f>
        <v>0</v>
      </c>
      <c r="AT65" s="101">
        <f>IFERROR(s_RadSpec!$E$21*($AY$21/$B65),".")</f>
        <v>0</v>
      </c>
      <c r="AU65" s="101">
        <f>IFERROR(s_RadSpec!$E$21*($AY$21/$B65),".")</f>
        <v>0</v>
      </c>
      <c r="AV65" s="101">
        <f>IFERROR(s_RadSpec!$E$21*($AY$21/$B65),".")</f>
        <v>0</v>
      </c>
      <c r="AW65" s="101">
        <f>IFERROR(s_RadSpec!$E$21*($AY$21/$B65),".")</f>
        <v>0</v>
      </c>
      <c r="AX65" s="101">
        <f>IFERROR(s_RadSpec!$E$21*($AY$21/$B65),".")</f>
        <v>0</v>
      </c>
      <c r="AY65" s="101">
        <f>IFERROR(s_RadSpec!$E$21*($AY$21/$B65),".")</f>
        <v>0</v>
      </c>
      <c r="AZ65" s="101">
        <f>IFERROR(s_RadSpec!$E$21*($AZ$21/$B65),".")</f>
        <v>0</v>
      </c>
      <c r="BA65" s="100" t="str">
        <f t="shared" si="162"/>
        <v>.</v>
      </c>
      <c r="BB65" s="100">
        <f t="shared" ref="BB65:BY65" si="197">IFERROR($B65/BB21,0)</f>
        <v>0</v>
      </c>
      <c r="BC65" s="100">
        <f t="shared" si="197"/>
        <v>0</v>
      </c>
      <c r="BD65" s="100">
        <f t="shared" si="197"/>
        <v>0</v>
      </c>
      <c r="BE65" s="100">
        <f t="shared" si="197"/>
        <v>0</v>
      </c>
      <c r="BF65" s="100">
        <f t="shared" si="197"/>
        <v>0</v>
      </c>
      <c r="BG65" s="100">
        <f t="shared" si="197"/>
        <v>0</v>
      </c>
      <c r="BH65" s="100">
        <f t="shared" si="197"/>
        <v>0</v>
      </c>
      <c r="BI65" s="100">
        <f t="shared" si="197"/>
        <v>0</v>
      </c>
      <c r="BJ65" s="100">
        <f t="shared" si="197"/>
        <v>0</v>
      </c>
      <c r="BK65" s="100">
        <f t="shared" si="197"/>
        <v>0</v>
      </c>
      <c r="BL65" s="100">
        <f t="shared" si="197"/>
        <v>0</v>
      </c>
      <c r="BM65" s="100">
        <f t="shared" si="197"/>
        <v>0</v>
      </c>
      <c r="BN65" s="100">
        <f t="shared" si="197"/>
        <v>0</v>
      </c>
      <c r="BO65" s="100">
        <f t="shared" si="197"/>
        <v>0</v>
      </c>
      <c r="BP65" s="100">
        <f t="shared" si="197"/>
        <v>0</v>
      </c>
      <c r="BQ65" s="100">
        <f t="shared" si="197"/>
        <v>0</v>
      </c>
      <c r="BR65" s="100">
        <f t="shared" si="197"/>
        <v>0</v>
      </c>
      <c r="BS65" s="100">
        <f t="shared" si="197"/>
        <v>0</v>
      </c>
      <c r="BT65" s="100">
        <f t="shared" si="197"/>
        <v>0</v>
      </c>
      <c r="BU65" s="100">
        <f t="shared" si="197"/>
        <v>0</v>
      </c>
      <c r="BV65" s="100">
        <f t="shared" si="197"/>
        <v>0</v>
      </c>
      <c r="BW65" s="100">
        <f t="shared" si="197"/>
        <v>0</v>
      </c>
      <c r="BX65" s="100">
        <f t="shared" si="197"/>
        <v>0</v>
      </c>
      <c r="BY65" s="100">
        <f t="shared" si="197"/>
        <v>0</v>
      </c>
      <c r="BZ65" s="49">
        <f t="shared" si="195"/>
        <v>0</v>
      </c>
      <c r="CA65" s="101">
        <f>IFERROR(s_RadSpec!$E$21*($AC$21/$B65),".")</f>
        <v>0</v>
      </c>
      <c r="CB65" s="101">
        <f>IFERROR(s_RadSpec!$E$21*($AD$21/$B65),".")</f>
        <v>0</v>
      </c>
      <c r="CC65" s="101">
        <f>IFERROR(s_RadSpec!$E$21*($AY$21/$B65),".")</f>
        <v>0</v>
      </c>
      <c r="CD65" s="101">
        <f>IFERROR(s_RadSpec!$E$21*($AY$21/$B65),".")</f>
        <v>0</v>
      </c>
      <c r="CE65" s="101">
        <f>IFERROR(s_RadSpec!$E$21*($AY$21/$B65),".")</f>
        <v>0</v>
      </c>
      <c r="CF65" s="101">
        <f>IFERROR(s_RadSpec!$E$21*($AY$21/$B65),".")</f>
        <v>0</v>
      </c>
      <c r="CG65" s="101">
        <f>IFERROR(s_RadSpec!$E$21*($AY$21/$B65),".")</f>
        <v>0</v>
      </c>
      <c r="CH65" s="101">
        <f>IFERROR(s_RadSpec!$E$21*($AY$21/$B65),".")</f>
        <v>0</v>
      </c>
      <c r="CI65" s="101">
        <f>IFERROR(s_RadSpec!$E$21*($AY$21/$B65),".")</f>
        <v>0</v>
      </c>
      <c r="CJ65" s="101">
        <f>IFERROR(s_RadSpec!$E$21*($AY$21/$B65),".")</f>
        <v>0</v>
      </c>
      <c r="CK65" s="101">
        <f>IFERROR(s_RadSpec!$E$21*($AY$21/$B65),".")</f>
        <v>0</v>
      </c>
      <c r="CL65" s="101">
        <f>IFERROR(s_RadSpec!$E$21*($AY$21/$B65),".")</f>
        <v>0</v>
      </c>
      <c r="CM65" s="101">
        <f>IFERROR(s_RadSpec!$E$21*($AY$21/$B65),".")</f>
        <v>0</v>
      </c>
      <c r="CN65" s="101">
        <f>IFERROR(s_RadSpec!$E$21*($AY$21/$B65),".")</f>
        <v>0</v>
      </c>
      <c r="CO65" s="101">
        <f>IFERROR(s_RadSpec!$E$21*($AY$21/$B65),".")</f>
        <v>0</v>
      </c>
      <c r="CP65" s="101">
        <f>IFERROR(s_RadSpec!$E$21*($AY$21/$B65),".")</f>
        <v>0</v>
      </c>
      <c r="CQ65" s="101">
        <f>IFERROR(s_RadSpec!$E$21*($AY$21/$B65),".")</f>
        <v>0</v>
      </c>
      <c r="CR65" s="101">
        <f>IFERROR(s_RadSpec!$E$21*($AY$21/$B65),".")</f>
        <v>0</v>
      </c>
      <c r="CS65" s="101">
        <f>IFERROR(s_RadSpec!$E$21*($AY$21/$B65),".")</f>
        <v>0</v>
      </c>
      <c r="CT65" s="101">
        <f>IFERROR(s_RadSpec!$E$21*($AY$21/$B65),".")</f>
        <v>0</v>
      </c>
      <c r="CU65" s="101">
        <f>IFERROR(s_RadSpec!$E$21*($AY$21/$B65),".")</f>
        <v>0</v>
      </c>
      <c r="CV65" s="101">
        <f>IFERROR(s_RadSpec!$E$21*($AY$21/$B65),".")</f>
        <v>0</v>
      </c>
      <c r="CW65" s="101">
        <f>IFERROR(s_RadSpec!$E$21*($AY$21/$B65),".")</f>
        <v>0</v>
      </c>
      <c r="CX65" s="101">
        <f>IFERROR(s_RadSpec!$E$21*($AZ$21/$B65),".")</f>
        <v>0</v>
      </c>
    </row>
    <row r="66" spans="1:102" x14ac:dyDescent="0.25">
      <c r="A66" s="99" t="s">
        <v>1077</v>
      </c>
      <c r="B66" s="103">
        <v>0.99980000000000002</v>
      </c>
      <c r="C66" s="100">
        <f t="shared" si="160"/>
        <v>5.0019525948216401E-6</v>
      </c>
      <c r="D66" s="100">
        <f t="shared" ref="D66:AA66" si="198">IFERROR($B66/D17,0)</f>
        <v>1.8235851503328497E-5</v>
      </c>
      <c r="E66" s="100">
        <f t="shared" si="198"/>
        <v>3.6771864993359923E-5</v>
      </c>
      <c r="F66" s="100">
        <f t="shared" si="198"/>
        <v>1.9559852466902173E-5</v>
      </c>
      <c r="G66" s="100">
        <f t="shared" si="198"/>
        <v>1.8235851503328497E-5</v>
      </c>
      <c r="H66" s="100">
        <f t="shared" si="198"/>
        <v>1.9559852466902173E-5</v>
      </c>
      <c r="I66" s="100">
        <f t="shared" si="198"/>
        <v>3.6771864993359923E-5</v>
      </c>
      <c r="J66" s="100">
        <f t="shared" si="198"/>
        <v>1.9559852466902173E-5</v>
      </c>
      <c r="K66" s="100">
        <f t="shared" si="198"/>
        <v>1.8235851503328497E-5</v>
      </c>
      <c r="L66" s="100">
        <f t="shared" si="198"/>
        <v>1.5905609807438833E-5</v>
      </c>
      <c r="M66" s="100">
        <f t="shared" si="198"/>
        <v>1.9559852466902173E-5</v>
      </c>
      <c r="N66" s="100">
        <f t="shared" si="198"/>
        <v>3.6771864993359923E-5</v>
      </c>
      <c r="O66" s="100">
        <f t="shared" si="198"/>
        <v>1.6991290597569243E-5</v>
      </c>
      <c r="P66" s="100">
        <f t="shared" si="198"/>
        <v>1.9559852466902173E-5</v>
      </c>
      <c r="Q66" s="100">
        <f t="shared" si="198"/>
        <v>1.9559852466902173E-5</v>
      </c>
      <c r="R66" s="100">
        <f t="shared" si="198"/>
        <v>1.8235851503328497E-5</v>
      </c>
      <c r="S66" s="100">
        <f t="shared" si="198"/>
        <v>1.8235851503328497E-5</v>
      </c>
      <c r="T66" s="100">
        <f t="shared" si="198"/>
        <v>1.6991290597569243E-5</v>
      </c>
      <c r="U66" s="100">
        <f t="shared" si="198"/>
        <v>1.598504986525325E-5</v>
      </c>
      <c r="V66" s="100">
        <f t="shared" si="198"/>
        <v>1.9559852466902173E-5</v>
      </c>
      <c r="W66" s="100">
        <f t="shared" si="198"/>
        <v>1.6991290597569243E-5</v>
      </c>
      <c r="X66" s="100">
        <f t="shared" si="198"/>
        <v>1.8235851503328497E-5</v>
      </c>
      <c r="Y66" s="100">
        <f t="shared" si="198"/>
        <v>1.9559852466902173E-5</v>
      </c>
      <c r="Z66" s="100">
        <f t="shared" si="198"/>
        <v>1.5664641632068424E-5</v>
      </c>
      <c r="AA66" s="100">
        <f t="shared" si="198"/>
        <v>1.8500651696043232E-5</v>
      </c>
      <c r="AB66" s="49">
        <f t="shared" si="60"/>
        <v>4.4604344866172703E-10</v>
      </c>
      <c r="AC66" s="101">
        <f>IFERROR(s_RadSpec!$E$17*($AC$17/$B66),".")</f>
        <v>9.1215740164078492E-11</v>
      </c>
      <c r="AD66" s="101">
        <f>IFERROR(s_RadSpec!$E$17*($AD$17/$B66),".")</f>
        <v>1.8393289076579027E-10</v>
      </c>
      <c r="AE66" s="101">
        <f>IFERROR(s_RadSpec!$E$17*($AY$17/$B66),".")</f>
        <v>7.8354546844898195E-11</v>
      </c>
      <c r="AF66" s="101">
        <f>IFERROR(s_RadSpec!$E$17*($AY$17/$B66),".")</f>
        <v>7.8354546844898195E-11</v>
      </c>
      <c r="AG66" s="101">
        <f>IFERROR(s_RadSpec!$E$17*($AY$17/$B66),".")</f>
        <v>7.8354546844898195E-11</v>
      </c>
      <c r="AH66" s="101">
        <f>IFERROR(s_RadSpec!$E$17*($AY$17/$B66),".")</f>
        <v>7.8354546844898195E-11</v>
      </c>
      <c r="AI66" s="101">
        <f>IFERROR(s_RadSpec!$E$17*($AY$17/$B66),".")</f>
        <v>7.8354546844898195E-11</v>
      </c>
      <c r="AJ66" s="101">
        <f>IFERROR(s_RadSpec!$E$17*($AY$17/$B66),".")</f>
        <v>7.8354546844898195E-11</v>
      </c>
      <c r="AK66" s="101">
        <f>IFERROR(s_RadSpec!$E$17*($AY$17/$B66),".")</f>
        <v>7.8354546844898195E-11</v>
      </c>
      <c r="AL66" s="101">
        <f>IFERROR(s_RadSpec!$E$17*($AY$17/$B66),".")</f>
        <v>7.8354546844898195E-11</v>
      </c>
      <c r="AM66" s="101">
        <f>IFERROR(s_RadSpec!$E$17*($AY$17/$B66),".")</f>
        <v>7.8354546844898195E-11</v>
      </c>
      <c r="AN66" s="101">
        <f>IFERROR(s_RadSpec!$E$17*($AY$17/$B66),".")</f>
        <v>7.8354546844898195E-11</v>
      </c>
      <c r="AO66" s="101">
        <f>IFERROR(s_RadSpec!$E$17*($AY$17/$B66),".")</f>
        <v>7.8354546844898195E-11</v>
      </c>
      <c r="AP66" s="101">
        <f>IFERROR(s_RadSpec!$E$17*($AY$17/$B66),".")</f>
        <v>7.8354546844898195E-11</v>
      </c>
      <c r="AQ66" s="101">
        <f>IFERROR(s_RadSpec!$E$17*($AY$17/$B66),".")</f>
        <v>7.8354546844898195E-11</v>
      </c>
      <c r="AR66" s="101">
        <f>IFERROR(s_RadSpec!$E$17*($AY$17/$B66),".")</f>
        <v>7.8354546844898195E-11</v>
      </c>
      <c r="AS66" s="101">
        <f>IFERROR(s_RadSpec!$E$17*($AY$17/$B66),".")</f>
        <v>7.8354546844898195E-11</v>
      </c>
      <c r="AT66" s="101">
        <f>IFERROR(s_RadSpec!$E$17*($AY$17/$B66),".")</f>
        <v>7.8354546844898195E-11</v>
      </c>
      <c r="AU66" s="101">
        <f>IFERROR(s_RadSpec!$E$17*($AY$17/$B66),".")</f>
        <v>7.8354546844898195E-11</v>
      </c>
      <c r="AV66" s="101">
        <f>IFERROR(s_RadSpec!$E$17*($AY$17/$B66),".")</f>
        <v>7.8354546844898195E-11</v>
      </c>
      <c r="AW66" s="101">
        <f>IFERROR(s_RadSpec!$E$17*($AY$17/$B66),".")</f>
        <v>7.8354546844898195E-11</v>
      </c>
      <c r="AX66" s="101">
        <f>IFERROR(s_RadSpec!$E$17*($AY$17/$B66),".")</f>
        <v>7.8354546844898195E-11</v>
      </c>
      <c r="AY66" s="101">
        <f>IFERROR(s_RadSpec!$E$17*($AY$17/$B66),".")</f>
        <v>7.8354546844898195E-11</v>
      </c>
      <c r="AZ66" s="101">
        <f>IFERROR(s_RadSpec!$E$17*($AZ$17/$B66),".")</f>
        <v>9.2540270886960088E-11</v>
      </c>
      <c r="BA66" s="100">
        <f t="shared" si="162"/>
        <v>5.0019525948216401E-6</v>
      </c>
      <c r="BB66" s="100">
        <f t="shared" ref="BB66:BY66" si="199">IFERROR($B66/BB17,0)</f>
        <v>1.8235851503328497E-5</v>
      </c>
      <c r="BC66" s="100">
        <f t="shared" si="199"/>
        <v>3.6771864993359923E-5</v>
      </c>
      <c r="BD66" s="100">
        <f t="shared" si="199"/>
        <v>1.9559852466902173E-5</v>
      </c>
      <c r="BE66" s="100">
        <f t="shared" si="199"/>
        <v>1.8235851503328497E-5</v>
      </c>
      <c r="BF66" s="100">
        <f t="shared" si="199"/>
        <v>1.9559852466902173E-5</v>
      </c>
      <c r="BG66" s="100">
        <f t="shared" si="199"/>
        <v>3.6771864993359923E-5</v>
      </c>
      <c r="BH66" s="100">
        <f t="shared" si="199"/>
        <v>1.9559852466902173E-5</v>
      </c>
      <c r="BI66" s="100">
        <f t="shared" si="199"/>
        <v>1.8235851503328497E-5</v>
      </c>
      <c r="BJ66" s="100">
        <f t="shared" si="199"/>
        <v>1.5905609807438833E-5</v>
      </c>
      <c r="BK66" s="100">
        <f t="shared" si="199"/>
        <v>1.9559852466902173E-5</v>
      </c>
      <c r="BL66" s="100">
        <f t="shared" si="199"/>
        <v>3.6771864993359923E-5</v>
      </c>
      <c r="BM66" s="100">
        <f t="shared" si="199"/>
        <v>1.6991290597569243E-5</v>
      </c>
      <c r="BN66" s="100">
        <f t="shared" si="199"/>
        <v>1.9559852466902173E-5</v>
      </c>
      <c r="BO66" s="100">
        <f t="shared" si="199"/>
        <v>1.9559852466902173E-5</v>
      </c>
      <c r="BP66" s="100">
        <f t="shared" si="199"/>
        <v>1.8235851503328497E-5</v>
      </c>
      <c r="BQ66" s="100">
        <f t="shared" si="199"/>
        <v>1.8235851503328497E-5</v>
      </c>
      <c r="BR66" s="100">
        <f t="shared" si="199"/>
        <v>1.6991290597569243E-5</v>
      </c>
      <c r="BS66" s="100">
        <f t="shared" si="199"/>
        <v>1.598504986525325E-5</v>
      </c>
      <c r="BT66" s="100">
        <f t="shared" si="199"/>
        <v>1.9559852466902173E-5</v>
      </c>
      <c r="BU66" s="100">
        <f t="shared" si="199"/>
        <v>1.6991290597569243E-5</v>
      </c>
      <c r="BV66" s="100">
        <f t="shared" si="199"/>
        <v>1.8235851503328497E-5</v>
      </c>
      <c r="BW66" s="100">
        <f t="shared" si="199"/>
        <v>1.9559852466902173E-5</v>
      </c>
      <c r="BX66" s="100">
        <f t="shared" si="199"/>
        <v>1.5664641632068424E-5</v>
      </c>
      <c r="BY66" s="100">
        <f t="shared" si="199"/>
        <v>1.8500651696043232E-5</v>
      </c>
      <c r="BZ66" s="49">
        <f t="shared" si="195"/>
        <v>4.4604344866172703E-10</v>
      </c>
      <c r="CA66" s="101">
        <f>IFERROR(s_RadSpec!$E$17*($AC$17/$B66),".")</f>
        <v>9.1215740164078492E-11</v>
      </c>
      <c r="CB66" s="101">
        <f>IFERROR(s_RadSpec!$E$17*($AD$17/$B66),".")</f>
        <v>1.8393289076579027E-10</v>
      </c>
      <c r="CC66" s="101">
        <f>IFERROR(s_RadSpec!$E$17*($AY$17/$B66),".")</f>
        <v>7.8354546844898195E-11</v>
      </c>
      <c r="CD66" s="101">
        <f>IFERROR(s_RadSpec!$E$17*($AY$17/$B66),".")</f>
        <v>7.8354546844898195E-11</v>
      </c>
      <c r="CE66" s="101">
        <f>IFERROR(s_RadSpec!$E$17*($AY$17/$B66),".")</f>
        <v>7.8354546844898195E-11</v>
      </c>
      <c r="CF66" s="101">
        <f>IFERROR(s_RadSpec!$E$17*($AY$17/$B66),".")</f>
        <v>7.8354546844898195E-11</v>
      </c>
      <c r="CG66" s="101">
        <f>IFERROR(s_RadSpec!$E$17*($AY$17/$B66),".")</f>
        <v>7.8354546844898195E-11</v>
      </c>
      <c r="CH66" s="101">
        <f>IFERROR(s_RadSpec!$E$17*($AY$17/$B66),".")</f>
        <v>7.8354546844898195E-11</v>
      </c>
      <c r="CI66" s="101">
        <f>IFERROR(s_RadSpec!$E$17*($AY$17/$B66),".")</f>
        <v>7.8354546844898195E-11</v>
      </c>
      <c r="CJ66" s="101">
        <f>IFERROR(s_RadSpec!$E$17*($AY$17/$B66),".")</f>
        <v>7.8354546844898195E-11</v>
      </c>
      <c r="CK66" s="101">
        <f>IFERROR(s_RadSpec!$E$17*($AY$17/$B66),".")</f>
        <v>7.8354546844898195E-11</v>
      </c>
      <c r="CL66" s="101">
        <f>IFERROR(s_RadSpec!$E$17*($AY$17/$B66),".")</f>
        <v>7.8354546844898195E-11</v>
      </c>
      <c r="CM66" s="101">
        <f>IFERROR(s_RadSpec!$E$17*($AY$17/$B66),".")</f>
        <v>7.8354546844898195E-11</v>
      </c>
      <c r="CN66" s="101">
        <f>IFERROR(s_RadSpec!$E$17*($AY$17/$B66),".")</f>
        <v>7.8354546844898195E-11</v>
      </c>
      <c r="CO66" s="101">
        <f>IFERROR(s_RadSpec!$E$17*($AY$17/$B66),".")</f>
        <v>7.8354546844898195E-11</v>
      </c>
      <c r="CP66" s="101">
        <f>IFERROR(s_RadSpec!$E$17*($AY$17/$B66),".")</f>
        <v>7.8354546844898195E-11</v>
      </c>
      <c r="CQ66" s="101">
        <f>IFERROR(s_RadSpec!$E$17*($AY$17/$B66),".")</f>
        <v>7.8354546844898195E-11</v>
      </c>
      <c r="CR66" s="101">
        <f>IFERROR(s_RadSpec!$E$17*($AY$17/$B66),".")</f>
        <v>7.8354546844898195E-11</v>
      </c>
      <c r="CS66" s="101">
        <f>IFERROR(s_RadSpec!$E$17*($AY$17/$B66),".")</f>
        <v>7.8354546844898195E-11</v>
      </c>
      <c r="CT66" s="101">
        <f>IFERROR(s_RadSpec!$E$17*($AY$17/$B66),".")</f>
        <v>7.8354546844898195E-11</v>
      </c>
      <c r="CU66" s="101">
        <f>IFERROR(s_RadSpec!$E$17*($AY$17/$B66),".")</f>
        <v>7.8354546844898195E-11</v>
      </c>
      <c r="CV66" s="101">
        <f>IFERROR(s_RadSpec!$E$17*($AY$17/$B66),".")</f>
        <v>7.8354546844898195E-11</v>
      </c>
      <c r="CW66" s="101">
        <f>IFERROR(s_RadSpec!$E$17*($AY$17/$B66),".")</f>
        <v>7.8354546844898195E-11</v>
      </c>
      <c r="CX66" s="101">
        <f>IFERROR(s_RadSpec!$E$17*($AZ$17/$B66),".")</f>
        <v>9.2540270886960088E-11</v>
      </c>
    </row>
    <row r="67" spans="1:102" x14ac:dyDescent="0.25">
      <c r="A67" s="99" t="s">
        <v>1091</v>
      </c>
      <c r="B67" s="90">
        <v>2.0000000000000001E-4</v>
      </c>
      <c r="C67" s="100" t="str">
        <f t="shared" si="160"/>
        <v>.</v>
      </c>
      <c r="D67" s="100">
        <f t="shared" ref="D67:AA67" si="200">IFERROR($B67/D5,0)</f>
        <v>0</v>
      </c>
      <c r="E67" s="100">
        <f t="shared" si="200"/>
        <v>0</v>
      </c>
      <c r="F67" s="100">
        <f t="shared" si="200"/>
        <v>0</v>
      </c>
      <c r="G67" s="100">
        <f t="shared" si="200"/>
        <v>0</v>
      </c>
      <c r="H67" s="100">
        <f t="shared" si="200"/>
        <v>0</v>
      </c>
      <c r="I67" s="100">
        <f t="shared" si="200"/>
        <v>0</v>
      </c>
      <c r="J67" s="100">
        <f t="shared" si="200"/>
        <v>0</v>
      </c>
      <c r="K67" s="100">
        <f t="shared" si="200"/>
        <v>0</v>
      </c>
      <c r="L67" s="100">
        <f t="shared" si="200"/>
        <v>0</v>
      </c>
      <c r="M67" s="100">
        <f t="shared" si="200"/>
        <v>0</v>
      </c>
      <c r="N67" s="100">
        <f t="shared" si="200"/>
        <v>0</v>
      </c>
      <c r="O67" s="100">
        <f t="shared" si="200"/>
        <v>0</v>
      </c>
      <c r="P67" s="100">
        <f t="shared" si="200"/>
        <v>0</v>
      </c>
      <c r="Q67" s="100">
        <f t="shared" si="200"/>
        <v>0</v>
      </c>
      <c r="R67" s="100">
        <f t="shared" si="200"/>
        <v>0</v>
      </c>
      <c r="S67" s="100">
        <f t="shared" si="200"/>
        <v>0</v>
      </c>
      <c r="T67" s="100">
        <f t="shared" si="200"/>
        <v>0</v>
      </c>
      <c r="U67" s="100">
        <f t="shared" si="200"/>
        <v>0</v>
      </c>
      <c r="V67" s="100">
        <f t="shared" si="200"/>
        <v>0</v>
      </c>
      <c r="W67" s="100">
        <f t="shared" si="200"/>
        <v>0</v>
      </c>
      <c r="X67" s="100">
        <f t="shared" si="200"/>
        <v>0</v>
      </c>
      <c r="Y67" s="100">
        <f t="shared" si="200"/>
        <v>0</v>
      </c>
      <c r="Z67" s="100">
        <f t="shared" si="200"/>
        <v>0</v>
      </c>
      <c r="AA67" s="100">
        <f t="shared" si="200"/>
        <v>0</v>
      </c>
      <c r="AB67" s="49">
        <f t="shared" si="60"/>
        <v>0</v>
      </c>
      <c r="AC67" s="101">
        <f>IFERROR(s_RadSpec!$E$5*($AC$5/$B67),".")</f>
        <v>0</v>
      </c>
      <c r="AD67" s="101">
        <f>IFERROR(s_RadSpec!$E$5*($AD$5/$B67),".")</f>
        <v>0</v>
      </c>
      <c r="AE67" s="101">
        <f>IFERROR(s_RadSpec!$E$5*($AY$5/$B67),".")</f>
        <v>0</v>
      </c>
      <c r="AF67" s="101">
        <f>IFERROR(s_RadSpec!$E$5*($AY$5/$B67),".")</f>
        <v>0</v>
      </c>
      <c r="AG67" s="101">
        <f>IFERROR(s_RadSpec!$E$5*($AY$5/$B67),".")</f>
        <v>0</v>
      </c>
      <c r="AH67" s="101">
        <f>IFERROR(s_RadSpec!$E$5*($AY$5/$B67),".")</f>
        <v>0</v>
      </c>
      <c r="AI67" s="101">
        <f>IFERROR(s_RadSpec!$E$5*($AY$5/$B67),".")</f>
        <v>0</v>
      </c>
      <c r="AJ67" s="101">
        <f>IFERROR(s_RadSpec!$E$5*($AY$5/$B67),".")</f>
        <v>0</v>
      </c>
      <c r="AK67" s="101">
        <f>IFERROR(s_RadSpec!$E$5*($AY$5/$B67),".")</f>
        <v>0</v>
      </c>
      <c r="AL67" s="101">
        <f>IFERROR(s_RadSpec!$E$5*($AY$5/$B67),".")</f>
        <v>0</v>
      </c>
      <c r="AM67" s="101">
        <f>IFERROR(s_RadSpec!$E$5*($AY$5/$B67),".")</f>
        <v>0</v>
      </c>
      <c r="AN67" s="101">
        <f>IFERROR(s_RadSpec!$E$5*($AY$5/$B67),".")</f>
        <v>0</v>
      </c>
      <c r="AO67" s="101">
        <f>IFERROR(s_RadSpec!$E$5*($AY$5/$B67),".")</f>
        <v>0</v>
      </c>
      <c r="AP67" s="101">
        <f>IFERROR(s_RadSpec!$E$5*($AY$5/$B67),".")</f>
        <v>0</v>
      </c>
      <c r="AQ67" s="101">
        <f>IFERROR(s_RadSpec!$E$5*($AY$5/$B67),".")</f>
        <v>0</v>
      </c>
      <c r="AR67" s="101">
        <f>IFERROR(s_RadSpec!$E$5*($AY$5/$B67),".")</f>
        <v>0</v>
      </c>
      <c r="AS67" s="101">
        <f>IFERROR(s_RadSpec!$E$5*($AY$5/$B67),".")</f>
        <v>0</v>
      </c>
      <c r="AT67" s="101">
        <f>IFERROR(s_RadSpec!$E$5*($AY$5/$B67),".")</f>
        <v>0</v>
      </c>
      <c r="AU67" s="101">
        <f>IFERROR(s_RadSpec!$E$5*($AY$5/$B67),".")</f>
        <v>0</v>
      </c>
      <c r="AV67" s="101">
        <f>IFERROR(s_RadSpec!$E$5*($AY$5/$B67),".")</f>
        <v>0</v>
      </c>
      <c r="AW67" s="101">
        <f>IFERROR(s_RadSpec!$E$5*($AY$5/$B67),".")</f>
        <v>0</v>
      </c>
      <c r="AX67" s="101">
        <f>IFERROR(s_RadSpec!$E$5*($AY$5/$B67),".")</f>
        <v>0</v>
      </c>
      <c r="AY67" s="101">
        <f>IFERROR(s_RadSpec!$E$5*($AY$5/$B67),".")</f>
        <v>0</v>
      </c>
      <c r="AZ67" s="101">
        <f>IFERROR(s_RadSpec!$E$5*($AZ$5/$B67),".")</f>
        <v>0</v>
      </c>
      <c r="BA67" s="100" t="str">
        <f t="shared" si="162"/>
        <v>.</v>
      </c>
      <c r="BB67" s="100">
        <f t="shared" ref="BB67:BY67" si="201">IFERROR($B67/BB5,0)</f>
        <v>0</v>
      </c>
      <c r="BC67" s="100">
        <f t="shared" si="201"/>
        <v>0</v>
      </c>
      <c r="BD67" s="100">
        <f t="shared" si="201"/>
        <v>0</v>
      </c>
      <c r="BE67" s="100">
        <f t="shared" si="201"/>
        <v>0</v>
      </c>
      <c r="BF67" s="100">
        <f t="shared" si="201"/>
        <v>0</v>
      </c>
      <c r="BG67" s="100">
        <f t="shared" si="201"/>
        <v>0</v>
      </c>
      <c r="BH67" s="100">
        <f t="shared" si="201"/>
        <v>0</v>
      </c>
      <c r="BI67" s="100">
        <f t="shared" si="201"/>
        <v>0</v>
      </c>
      <c r="BJ67" s="100">
        <f t="shared" si="201"/>
        <v>0</v>
      </c>
      <c r="BK67" s="100">
        <f t="shared" si="201"/>
        <v>0</v>
      </c>
      <c r="BL67" s="100">
        <f t="shared" si="201"/>
        <v>0</v>
      </c>
      <c r="BM67" s="100">
        <f t="shared" si="201"/>
        <v>0</v>
      </c>
      <c r="BN67" s="100">
        <f t="shared" si="201"/>
        <v>0</v>
      </c>
      <c r="BO67" s="100">
        <f t="shared" si="201"/>
        <v>0</v>
      </c>
      <c r="BP67" s="100">
        <f t="shared" si="201"/>
        <v>0</v>
      </c>
      <c r="BQ67" s="100">
        <f t="shared" si="201"/>
        <v>0</v>
      </c>
      <c r="BR67" s="100">
        <f t="shared" si="201"/>
        <v>0</v>
      </c>
      <c r="BS67" s="100">
        <f t="shared" si="201"/>
        <v>0</v>
      </c>
      <c r="BT67" s="100">
        <f t="shared" si="201"/>
        <v>0</v>
      </c>
      <c r="BU67" s="100">
        <f t="shared" si="201"/>
        <v>0</v>
      </c>
      <c r="BV67" s="100">
        <f t="shared" si="201"/>
        <v>0</v>
      </c>
      <c r="BW67" s="100">
        <f t="shared" si="201"/>
        <v>0</v>
      </c>
      <c r="BX67" s="100">
        <f t="shared" si="201"/>
        <v>0</v>
      </c>
      <c r="BY67" s="100">
        <f t="shared" si="201"/>
        <v>0</v>
      </c>
      <c r="BZ67" s="49">
        <f t="shared" si="195"/>
        <v>0</v>
      </c>
      <c r="CA67" s="101">
        <f>IFERROR(s_RadSpec!$E$5*($AC$5/$B67),".")</f>
        <v>0</v>
      </c>
      <c r="CB67" s="101">
        <f>IFERROR(s_RadSpec!$E$5*($AD$5/$B67),".")</f>
        <v>0</v>
      </c>
      <c r="CC67" s="101">
        <f>IFERROR(s_RadSpec!$E$5*($AY$5/$B67),".")</f>
        <v>0</v>
      </c>
      <c r="CD67" s="101">
        <f>IFERROR(s_RadSpec!$E$5*($AY$5/$B67),".")</f>
        <v>0</v>
      </c>
      <c r="CE67" s="101">
        <f>IFERROR(s_RadSpec!$E$5*($AY$5/$B67),".")</f>
        <v>0</v>
      </c>
      <c r="CF67" s="101">
        <f>IFERROR(s_RadSpec!$E$5*($AY$5/$B67),".")</f>
        <v>0</v>
      </c>
      <c r="CG67" s="101">
        <f>IFERROR(s_RadSpec!$E$5*($AY$5/$B67),".")</f>
        <v>0</v>
      </c>
      <c r="CH67" s="101">
        <f>IFERROR(s_RadSpec!$E$5*($AY$5/$B67),".")</f>
        <v>0</v>
      </c>
      <c r="CI67" s="101">
        <f>IFERROR(s_RadSpec!$E$5*($AY$5/$B67),".")</f>
        <v>0</v>
      </c>
      <c r="CJ67" s="101">
        <f>IFERROR(s_RadSpec!$E$5*($AY$5/$B67),".")</f>
        <v>0</v>
      </c>
      <c r="CK67" s="101">
        <f>IFERROR(s_RadSpec!$E$5*($AY$5/$B67),".")</f>
        <v>0</v>
      </c>
      <c r="CL67" s="101">
        <f>IFERROR(s_RadSpec!$E$5*($AY$5/$B67),".")</f>
        <v>0</v>
      </c>
      <c r="CM67" s="101">
        <f>IFERROR(s_RadSpec!$E$5*($AY$5/$B67),".")</f>
        <v>0</v>
      </c>
      <c r="CN67" s="101">
        <f>IFERROR(s_RadSpec!$E$5*($AY$5/$B67),".")</f>
        <v>0</v>
      </c>
      <c r="CO67" s="101">
        <f>IFERROR(s_RadSpec!$E$5*($AY$5/$B67),".")</f>
        <v>0</v>
      </c>
      <c r="CP67" s="101">
        <f>IFERROR(s_RadSpec!$E$5*($AY$5/$B67),".")</f>
        <v>0</v>
      </c>
      <c r="CQ67" s="101">
        <f>IFERROR(s_RadSpec!$E$5*($AY$5/$B67),".")</f>
        <v>0</v>
      </c>
      <c r="CR67" s="101">
        <f>IFERROR(s_RadSpec!$E$5*($AY$5/$B67),".")</f>
        <v>0</v>
      </c>
      <c r="CS67" s="101">
        <f>IFERROR(s_RadSpec!$E$5*($AY$5/$B67),".")</f>
        <v>0</v>
      </c>
      <c r="CT67" s="101">
        <f>IFERROR(s_RadSpec!$E$5*($AY$5/$B67),".")</f>
        <v>0</v>
      </c>
      <c r="CU67" s="101">
        <f>IFERROR(s_RadSpec!$E$5*($AY$5/$B67),".")</f>
        <v>0</v>
      </c>
      <c r="CV67" s="101">
        <f>IFERROR(s_RadSpec!$E$5*($AY$5/$B67),".")</f>
        <v>0</v>
      </c>
      <c r="CW67" s="101">
        <f>IFERROR(s_RadSpec!$E$5*($AY$5/$B67),".")</f>
        <v>0</v>
      </c>
      <c r="CX67" s="101">
        <f>IFERROR(s_RadSpec!$E$5*($AZ$5/$B67),".")</f>
        <v>0</v>
      </c>
    </row>
    <row r="68" spans="1:102" x14ac:dyDescent="0.25">
      <c r="A68" s="99" t="s">
        <v>1092</v>
      </c>
      <c r="B68" s="90">
        <v>0.99999979999999999</v>
      </c>
      <c r="C68" s="100">
        <f t="shared" si="160"/>
        <v>5.7573835246507238E-6</v>
      </c>
      <c r="D68" s="100">
        <f t="shared" ref="D68:AA68" si="202">IFERROR($B68/D9,0)</f>
        <v>2.3029534098602895E-5</v>
      </c>
      <c r="E68" s="100">
        <f t="shared" si="202"/>
        <v>2.3029534098602895E-5</v>
      </c>
      <c r="F68" s="100">
        <f t="shared" si="202"/>
        <v>2.3029534098602895E-5</v>
      </c>
      <c r="G68" s="100">
        <f t="shared" si="202"/>
        <v>2.3029534098602895E-5</v>
      </c>
      <c r="H68" s="100">
        <f t="shared" si="202"/>
        <v>2.3029534098602895E-5</v>
      </c>
      <c r="I68" s="100">
        <f t="shared" si="202"/>
        <v>2.3029534098602895E-5</v>
      </c>
      <c r="J68" s="100">
        <f t="shared" si="202"/>
        <v>2.3029534098602895E-5</v>
      </c>
      <c r="K68" s="100">
        <f t="shared" si="202"/>
        <v>2.3029534098602895E-5</v>
      </c>
      <c r="L68" s="100">
        <f t="shared" si="202"/>
        <v>2.3029534098602895E-5</v>
      </c>
      <c r="M68" s="100">
        <f t="shared" si="202"/>
        <v>2.3029534098602895E-5</v>
      </c>
      <c r="N68" s="100">
        <f t="shared" si="202"/>
        <v>2.3029534098602895E-5</v>
      </c>
      <c r="O68" s="100">
        <f t="shared" si="202"/>
        <v>2.3029534098602895E-5</v>
      </c>
      <c r="P68" s="100">
        <f t="shared" si="202"/>
        <v>2.3029534098602895E-5</v>
      </c>
      <c r="Q68" s="100">
        <f t="shared" si="202"/>
        <v>2.3029534098602895E-5</v>
      </c>
      <c r="R68" s="100">
        <f t="shared" si="202"/>
        <v>2.3029534098602895E-5</v>
      </c>
      <c r="S68" s="100">
        <f t="shared" si="202"/>
        <v>2.3029534098602895E-5</v>
      </c>
      <c r="T68" s="100">
        <f t="shared" si="202"/>
        <v>2.3029534098602895E-5</v>
      </c>
      <c r="U68" s="100">
        <f t="shared" si="202"/>
        <v>2.3029534098602895E-5</v>
      </c>
      <c r="V68" s="100">
        <f t="shared" si="202"/>
        <v>2.3029534098602895E-5</v>
      </c>
      <c r="W68" s="100">
        <f t="shared" si="202"/>
        <v>2.3029534098602895E-5</v>
      </c>
      <c r="X68" s="100">
        <f t="shared" si="202"/>
        <v>2.3029534098602895E-5</v>
      </c>
      <c r="Y68" s="100">
        <f t="shared" si="202"/>
        <v>2.3029534098602895E-5</v>
      </c>
      <c r="Z68" s="100">
        <f t="shared" si="202"/>
        <v>2.3029534098602895E-5</v>
      </c>
      <c r="AA68" s="100">
        <f t="shared" si="202"/>
        <v>2.3029534098602895E-5</v>
      </c>
      <c r="AB68" s="49">
        <f t="shared" si="60"/>
        <v>4.6059086620838596E-10</v>
      </c>
      <c r="AC68" s="101">
        <f>IFERROR(s_RadSpec!$E$9*($AC$9/$B68),".")</f>
        <v>1.1514771655209649E-10</v>
      </c>
      <c r="AD68" s="101">
        <f>IFERROR(s_RadSpec!$E$9*($AD$9/$B68),".")</f>
        <v>1.1514771655209649E-10</v>
      </c>
      <c r="AE68" s="101">
        <f>IFERROR(s_RadSpec!$E$9*($AY$9/$B68),".")</f>
        <v>1.1514771655209649E-10</v>
      </c>
      <c r="AF68" s="101">
        <f>IFERROR(s_RadSpec!$E$9*($AY$9/$B68),".")</f>
        <v>1.1514771655209649E-10</v>
      </c>
      <c r="AG68" s="101">
        <f>IFERROR(s_RadSpec!$E$9*($AY$9/$B68),".")</f>
        <v>1.1514771655209649E-10</v>
      </c>
      <c r="AH68" s="101">
        <f>IFERROR(s_RadSpec!$E$9*($AY$9/$B68),".")</f>
        <v>1.1514771655209649E-10</v>
      </c>
      <c r="AI68" s="101">
        <f>IFERROR(s_RadSpec!$E$9*($AY$9/$B68),".")</f>
        <v>1.1514771655209649E-10</v>
      </c>
      <c r="AJ68" s="101">
        <f>IFERROR(s_RadSpec!$E$9*($AY$9/$B68),".")</f>
        <v>1.1514771655209649E-10</v>
      </c>
      <c r="AK68" s="101">
        <f>IFERROR(s_RadSpec!$E$9*($AY$9/$B68),".")</f>
        <v>1.1514771655209649E-10</v>
      </c>
      <c r="AL68" s="101">
        <f>IFERROR(s_RadSpec!$E$9*($AY$9/$B68),".")</f>
        <v>1.1514771655209649E-10</v>
      </c>
      <c r="AM68" s="101">
        <f>IFERROR(s_RadSpec!$E$9*($AY$9/$B68),".")</f>
        <v>1.1514771655209649E-10</v>
      </c>
      <c r="AN68" s="101">
        <f>IFERROR(s_RadSpec!$E$9*($AY$9/$B68),".")</f>
        <v>1.1514771655209649E-10</v>
      </c>
      <c r="AO68" s="101">
        <f>IFERROR(s_RadSpec!$E$9*($AY$9/$B68),".")</f>
        <v>1.1514771655209649E-10</v>
      </c>
      <c r="AP68" s="101">
        <f>IFERROR(s_RadSpec!$E$9*($AY$9/$B68),".")</f>
        <v>1.1514771655209649E-10</v>
      </c>
      <c r="AQ68" s="101">
        <f>IFERROR(s_RadSpec!$E$9*($AY$9/$B68),".")</f>
        <v>1.1514771655209649E-10</v>
      </c>
      <c r="AR68" s="101">
        <f>IFERROR(s_RadSpec!$E$9*($AY$9/$B68),".")</f>
        <v>1.1514771655209649E-10</v>
      </c>
      <c r="AS68" s="101">
        <f>IFERROR(s_RadSpec!$E$9*($AY$9/$B68),".")</f>
        <v>1.1514771655209649E-10</v>
      </c>
      <c r="AT68" s="101">
        <f>IFERROR(s_RadSpec!$E$9*($AY$9/$B68),".")</f>
        <v>1.1514771655209649E-10</v>
      </c>
      <c r="AU68" s="101">
        <f>IFERROR(s_RadSpec!$E$9*($AY$9/$B68),".")</f>
        <v>1.1514771655209649E-10</v>
      </c>
      <c r="AV68" s="101">
        <f>IFERROR(s_RadSpec!$E$9*($AY$9/$B68),".")</f>
        <v>1.1514771655209649E-10</v>
      </c>
      <c r="AW68" s="101">
        <f>IFERROR(s_RadSpec!$E$9*($AY$9/$B68),".")</f>
        <v>1.1514771655209649E-10</v>
      </c>
      <c r="AX68" s="101">
        <f>IFERROR(s_RadSpec!$E$9*($AY$9/$B68),".")</f>
        <v>1.1514771655209649E-10</v>
      </c>
      <c r="AY68" s="101">
        <f>IFERROR(s_RadSpec!$E$9*($AY$9/$B68),".")</f>
        <v>1.1514771655209649E-10</v>
      </c>
      <c r="AZ68" s="101">
        <f>IFERROR(s_RadSpec!$E$9*($AZ$9/$B68),".")</f>
        <v>1.1514771655209649E-10</v>
      </c>
      <c r="BA68" s="100">
        <f t="shared" si="162"/>
        <v>5.7573835246507238E-6</v>
      </c>
      <c r="BB68" s="100">
        <f t="shared" ref="BB68:BY68" si="203">IFERROR($B68/BB9,0)</f>
        <v>2.3029534098602895E-5</v>
      </c>
      <c r="BC68" s="100">
        <f t="shared" si="203"/>
        <v>2.3029534098602895E-5</v>
      </c>
      <c r="BD68" s="100">
        <f t="shared" si="203"/>
        <v>2.3029534098602895E-5</v>
      </c>
      <c r="BE68" s="100">
        <f t="shared" si="203"/>
        <v>2.3029534098602895E-5</v>
      </c>
      <c r="BF68" s="100">
        <f t="shared" si="203"/>
        <v>2.3029534098602895E-5</v>
      </c>
      <c r="BG68" s="100">
        <f t="shared" si="203"/>
        <v>2.3029534098602895E-5</v>
      </c>
      <c r="BH68" s="100">
        <f t="shared" si="203"/>
        <v>2.3029534098602895E-5</v>
      </c>
      <c r="BI68" s="100">
        <f t="shared" si="203"/>
        <v>2.3029534098602895E-5</v>
      </c>
      <c r="BJ68" s="100">
        <f t="shared" si="203"/>
        <v>2.3029534098602895E-5</v>
      </c>
      <c r="BK68" s="100">
        <f t="shared" si="203"/>
        <v>2.3029534098602895E-5</v>
      </c>
      <c r="BL68" s="100">
        <f t="shared" si="203"/>
        <v>2.3029534098602895E-5</v>
      </c>
      <c r="BM68" s="100">
        <f t="shared" si="203"/>
        <v>2.3029534098602895E-5</v>
      </c>
      <c r="BN68" s="100">
        <f t="shared" si="203"/>
        <v>2.3029534098602895E-5</v>
      </c>
      <c r="BO68" s="100">
        <f t="shared" si="203"/>
        <v>2.3029534098602895E-5</v>
      </c>
      <c r="BP68" s="100">
        <f t="shared" si="203"/>
        <v>2.3029534098602895E-5</v>
      </c>
      <c r="BQ68" s="100">
        <f t="shared" si="203"/>
        <v>2.3029534098602895E-5</v>
      </c>
      <c r="BR68" s="100">
        <f t="shared" si="203"/>
        <v>2.3029534098602895E-5</v>
      </c>
      <c r="BS68" s="100">
        <f t="shared" si="203"/>
        <v>2.3029534098602895E-5</v>
      </c>
      <c r="BT68" s="100">
        <f t="shared" si="203"/>
        <v>2.3029534098602895E-5</v>
      </c>
      <c r="BU68" s="100">
        <f t="shared" si="203"/>
        <v>2.3029534098602895E-5</v>
      </c>
      <c r="BV68" s="100">
        <f t="shared" si="203"/>
        <v>2.3029534098602895E-5</v>
      </c>
      <c r="BW68" s="100">
        <f t="shared" si="203"/>
        <v>2.3029534098602895E-5</v>
      </c>
      <c r="BX68" s="100">
        <f t="shared" si="203"/>
        <v>2.3029534098602895E-5</v>
      </c>
      <c r="BY68" s="100">
        <f t="shared" si="203"/>
        <v>2.3029534098602895E-5</v>
      </c>
      <c r="BZ68" s="49">
        <f t="shared" si="195"/>
        <v>4.6059086620838596E-10</v>
      </c>
      <c r="CA68" s="101">
        <f>IFERROR(s_RadSpec!$E$9*($AC$9/$B68),".")</f>
        <v>1.1514771655209649E-10</v>
      </c>
      <c r="CB68" s="101">
        <f>IFERROR(s_RadSpec!$E$9*($AD$9/$B68),".")</f>
        <v>1.1514771655209649E-10</v>
      </c>
      <c r="CC68" s="101">
        <f>IFERROR(s_RadSpec!$E$9*($AY$9/$B68),".")</f>
        <v>1.1514771655209649E-10</v>
      </c>
      <c r="CD68" s="101">
        <f>IFERROR(s_RadSpec!$E$9*($AY$9/$B68),".")</f>
        <v>1.1514771655209649E-10</v>
      </c>
      <c r="CE68" s="101">
        <f>IFERROR(s_RadSpec!$E$9*($AY$9/$B68),".")</f>
        <v>1.1514771655209649E-10</v>
      </c>
      <c r="CF68" s="101">
        <f>IFERROR(s_RadSpec!$E$9*($AY$9/$B68),".")</f>
        <v>1.1514771655209649E-10</v>
      </c>
      <c r="CG68" s="101">
        <f>IFERROR(s_RadSpec!$E$9*($AY$9/$B68),".")</f>
        <v>1.1514771655209649E-10</v>
      </c>
      <c r="CH68" s="101">
        <f>IFERROR(s_RadSpec!$E$9*($AY$9/$B68),".")</f>
        <v>1.1514771655209649E-10</v>
      </c>
      <c r="CI68" s="101">
        <f>IFERROR(s_RadSpec!$E$9*($AY$9/$B68),".")</f>
        <v>1.1514771655209649E-10</v>
      </c>
      <c r="CJ68" s="101">
        <f>IFERROR(s_RadSpec!$E$9*($AY$9/$B68),".")</f>
        <v>1.1514771655209649E-10</v>
      </c>
      <c r="CK68" s="101">
        <f>IFERROR(s_RadSpec!$E$9*($AY$9/$B68),".")</f>
        <v>1.1514771655209649E-10</v>
      </c>
      <c r="CL68" s="101">
        <f>IFERROR(s_RadSpec!$E$9*($AY$9/$B68),".")</f>
        <v>1.1514771655209649E-10</v>
      </c>
      <c r="CM68" s="101">
        <f>IFERROR(s_RadSpec!$E$9*($AY$9/$B68),".")</f>
        <v>1.1514771655209649E-10</v>
      </c>
      <c r="CN68" s="101">
        <f>IFERROR(s_RadSpec!$E$9*($AY$9/$B68),".")</f>
        <v>1.1514771655209649E-10</v>
      </c>
      <c r="CO68" s="101">
        <f>IFERROR(s_RadSpec!$E$9*($AY$9/$B68),".")</f>
        <v>1.1514771655209649E-10</v>
      </c>
      <c r="CP68" s="101">
        <f>IFERROR(s_RadSpec!$E$9*($AY$9/$B68),".")</f>
        <v>1.1514771655209649E-10</v>
      </c>
      <c r="CQ68" s="101">
        <f>IFERROR(s_RadSpec!$E$9*($AY$9/$B68),".")</f>
        <v>1.1514771655209649E-10</v>
      </c>
      <c r="CR68" s="101">
        <f>IFERROR(s_RadSpec!$E$9*($AY$9/$B68),".")</f>
        <v>1.1514771655209649E-10</v>
      </c>
      <c r="CS68" s="101">
        <f>IFERROR(s_RadSpec!$E$9*($AY$9/$B68),".")</f>
        <v>1.1514771655209649E-10</v>
      </c>
      <c r="CT68" s="101">
        <f>IFERROR(s_RadSpec!$E$9*($AY$9/$B68),".")</f>
        <v>1.1514771655209649E-10</v>
      </c>
      <c r="CU68" s="101">
        <f>IFERROR(s_RadSpec!$E$9*($AY$9/$B68),".")</f>
        <v>1.1514771655209649E-10</v>
      </c>
      <c r="CV68" s="101">
        <f>IFERROR(s_RadSpec!$E$9*($AY$9/$B68),".")</f>
        <v>1.1514771655209649E-10</v>
      </c>
      <c r="CW68" s="101">
        <f>IFERROR(s_RadSpec!$E$9*($AY$9/$B68),".")</f>
        <v>1.1514771655209649E-10</v>
      </c>
      <c r="CX68" s="101">
        <f>IFERROR(s_RadSpec!$E$9*($AZ$9/$B68),".")</f>
        <v>1.1514771655209649E-10</v>
      </c>
    </row>
    <row r="69" spans="1:102" x14ac:dyDescent="0.25">
      <c r="A69" s="99" t="s">
        <v>1093</v>
      </c>
      <c r="B69" s="90">
        <v>1.9999999999999999E-7</v>
      </c>
      <c r="C69" s="100" t="str">
        <f t="shared" si="160"/>
        <v>.</v>
      </c>
      <c r="D69" s="100">
        <f t="shared" ref="D69:AA69" si="204">IFERROR($B69/D24,0)</f>
        <v>0</v>
      </c>
      <c r="E69" s="100">
        <f t="shared" si="204"/>
        <v>0</v>
      </c>
      <c r="F69" s="100">
        <f t="shared" si="204"/>
        <v>0</v>
      </c>
      <c r="G69" s="100">
        <f t="shared" si="204"/>
        <v>0</v>
      </c>
      <c r="H69" s="100">
        <f t="shared" si="204"/>
        <v>0</v>
      </c>
      <c r="I69" s="100">
        <f t="shared" si="204"/>
        <v>0</v>
      </c>
      <c r="J69" s="100">
        <f t="shared" si="204"/>
        <v>0</v>
      </c>
      <c r="K69" s="100">
        <f t="shared" si="204"/>
        <v>0</v>
      </c>
      <c r="L69" s="100">
        <f t="shared" si="204"/>
        <v>0</v>
      </c>
      <c r="M69" s="100">
        <f t="shared" si="204"/>
        <v>0</v>
      </c>
      <c r="N69" s="100">
        <f t="shared" si="204"/>
        <v>0</v>
      </c>
      <c r="O69" s="100">
        <f t="shared" si="204"/>
        <v>0</v>
      </c>
      <c r="P69" s="100">
        <f t="shared" si="204"/>
        <v>0</v>
      </c>
      <c r="Q69" s="100">
        <f t="shared" si="204"/>
        <v>0</v>
      </c>
      <c r="R69" s="100">
        <f t="shared" si="204"/>
        <v>0</v>
      </c>
      <c r="S69" s="100">
        <f t="shared" si="204"/>
        <v>0</v>
      </c>
      <c r="T69" s="100">
        <f t="shared" si="204"/>
        <v>0</v>
      </c>
      <c r="U69" s="100">
        <f t="shared" si="204"/>
        <v>0</v>
      </c>
      <c r="V69" s="100">
        <f t="shared" si="204"/>
        <v>0</v>
      </c>
      <c r="W69" s="100">
        <f t="shared" si="204"/>
        <v>0</v>
      </c>
      <c r="X69" s="100">
        <f t="shared" si="204"/>
        <v>0</v>
      </c>
      <c r="Y69" s="100">
        <f t="shared" si="204"/>
        <v>0</v>
      </c>
      <c r="Z69" s="100">
        <f t="shared" si="204"/>
        <v>0</v>
      </c>
      <c r="AA69" s="100">
        <f t="shared" si="204"/>
        <v>0</v>
      </c>
      <c r="AB69" s="49">
        <f t="shared" si="60"/>
        <v>0</v>
      </c>
      <c r="AC69" s="101" t="str">
        <f>IFERROR(s_RadSpec!$E$24*($AC$24/$B69),".")</f>
        <v>.</v>
      </c>
      <c r="AD69" s="101" t="str">
        <f>IFERROR(s_RadSpec!$E$24*($AD$24/$B69),".")</f>
        <v>.</v>
      </c>
      <c r="AE69" s="101" t="str">
        <f>IFERROR(s_RadSpec!$E$24*($AY$24/$B69),".")</f>
        <v>.</v>
      </c>
      <c r="AF69" s="101" t="str">
        <f>IFERROR(s_RadSpec!$E$24*($AY$24/$B69),".")</f>
        <v>.</v>
      </c>
      <c r="AG69" s="101" t="str">
        <f>IFERROR(s_RadSpec!$E$24*($AY$24/$B69),".")</f>
        <v>.</v>
      </c>
      <c r="AH69" s="101" t="str">
        <f>IFERROR(s_RadSpec!$E$24*($AY$24/$B69),".")</f>
        <v>.</v>
      </c>
      <c r="AI69" s="101" t="str">
        <f>IFERROR(s_RadSpec!$E$24*($AY$24/$B69),".")</f>
        <v>.</v>
      </c>
      <c r="AJ69" s="101" t="str">
        <f>IFERROR(s_RadSpec!$E$24*($AY$24/$B69),".")</f>
        <v>.</v>
      </c>
      <c r="AK69" s="101" t="str">
        <f>IFERROR(s_RadSpec!$E$24*($AY$24/$B69),".")</f>
        <v>.</v>
      </c>
      <c r="AL69" s="101" t="str">
        <f>IFERROR(s_RadSpec!$E$24*($AY$24/$B69),".")</f>
        <v>.</v>
      </c>
      <c r="AM69" s="101" t="str">
        <f>IFERROR(s_RadSpec!$E$24*($AY$24/$B69),".")</f>
        <v>.</v>
      </c>
      <c r="AN69" s="101" t="str">
        <f>IFERROR(s_RadSpec!$E$24*($AY$24/$B69),".")</f>
        <v>.</v>
      </c>
      <c r="AO69" s="101" t="str">
        <f>IFERROR(s_RadSpec!$E$24*($AY$24/$B69),".")</f>
        <v>.</v>
      </c>
      <c r="AP69" s="101" t="str">
        <f>IFERROR(s_RadSpec!$E$24*($AY$24/$B69),".")</f>
        <v>.</v>
      </c>
      <c r="AQ69" s="101" t="str">
        <f>IFERROR(s_RadSpec!$E$24*($AY$24/$B69),".")</f>
        <v>.</v>
      </c>
      <c r="AR69" s="101" t="str">
        <f>IFERROR(s_RadSpec!$E$24*($AY$24/$B69),".")</f>
        <v>.</v>
      </c>
      <c r="AS69" s="101" t="str">
        <f>IFERROR(s_RadSpec!$E$24*($AY$24/$B69),".")</f>
        <v>.</v>
      </c>
      <c r="AT69" s="101" t="str">
        <f>IFERROR(s_RadSpec!$E$24*($AY$24/$B69),".")</f>
        <v>.</v>
      </c>
      <c r="AU69" s="101" t="str">
        <f>IFERROR(s_RadSpec!$E$24*($AY$24/$B69),".")</f>
        <v>.</v>
      </c>
      <c r="AV69" s="101" t="str">
        <f>IFERROR(s_RadSpec!$E$24*($AY$24/$B69),".")</f>
        <v>.</v>
      </c>
      <c r="AW69" s="101" t="str">
        <f>IFERROR(s_RadSpec!$E$24*($AY$24/$B69),".")</f>
        <v>.</v>
      </c>
      <c r="AX69" s="101" t="str">
        <f>IFERROR(s_RadSpec!$E$24*($AY$24/$B69),".")</f>
        <v>.</v>
      </c>
      <c r="AY69" s="101" t="str">
        <f>IFERROR(s_RadSpec!$E$24*($AY$24/$B69),".")</f>
        <v>.</v>
      </c>
      <c r="AZ69" s="101" t="str">
        <f>IFERROR(s_RadSpec!$E$24*($AZ$24/$B69),".")</f>
        <v>.</v>
      </c>
      <c r="BA69" s="100" t="str">
        <f t="shared" si="162"/>
        <v>.</v>
      </c>
      <c r="BB69" s="100">
        <f t="shared" ref="BB69:BY69" si="205">IFERROR($B69/BB24,0)</f>
        <v>0</v>
      </c>
      <c r="BC69" s="100">
        <f t="shared" si="205"/>
        <v>0</v>
      </c>
      <c r="BD69" s="100">
        <f t="shared" si="205"/>
        <v>0</v>
      </c>
      <c r="BE69" s="100">
        <f t="shared" si="205"/>
        <v>0</v>
      </c>
      <c r="BF69" s="100">
        <f t="shared" si="205"/>
        <v>0</v>
      </c>
      <c r="BG69" s="100">
        <f t="shared" si="205"/>
        <v>0</v>
      </c>
      <c r="BH69" s="100">
        <f t="shared" si="205"/>
        <v>0</v>
      </c>
      <c r="BI69" s="100">
        <f t="shared" si="205"/>
        <v>0</v>
      </c>
      <c r="BJ69" s="100">
        <f t="shared" si="205"/>
        <v>0</v>
      </c>
      <c r="BK69" s="100">
        <f t="shared" si="205"/>
        <v>0</v>
      </c>
      <c r="BL69" s="100">
        <f t="shared" si="205"/>
        <v>0</v>
      </c>
      <c r="BM69" s="100">
        <f t="shared" si="205"/>
        <v>0</v>
      </c>
      <c r="BN69" s="100">
        <f t="shared" si="205"/>
        <v>0</v>
      </c>
      <c r="BO69" s="100">
        <f t="shared" si="205"/>
        <v>0</v>
      </c>
      <c r="BP69" s="100">
        <f t="shared" si="205"/>
        <v>0</v>
      </c>
      <c r="BQ69" s="100">
        <f t="shared" si="205"/>
        <v>0</v>
      </c>
      <c r="BR69" s="100">
        <f t="shared" si="205"/>
        <v>0</v>
      </c>
      <c r="BS69" s="100">
        <f t="shared" si="205"/>
        <v>0</v>
      </c>
      <c r="BT69" s="100">
        <f t="shared" si="205"/>
        <v>0</v>
      </c>
      <c r="BU69" s="100">
        <f t="shared" si="205"/>
        <v>0</v>
      </c>
      <c r="BV69" s="100">
        <f t="shared" si="205"/>
        <v>0</v>
      </c>
      <c r="BW69" s="100">
        <f t="shared" si="205"/>
        <v>0</v>
      </c>
      <c r="BX69" s="100">
        <f t="shared" si="205"/>
        <v>0</v>
      </c>
      <c r="BY69" s="100">
        <f t="shared" si="205"/>
        <v>0</v>
      </c>
      <c r="BZ69" s="49">
        <f t="shared" si="195"/>
        <v>0</v>
      </c>
      <c r="CA69" s="101" t="str">
        <f>IFERROR(s_RadSpec!$E$24*($AC$24/$B69),".")</f>
        <v>.</v>
      </c>
      <c r="CB69" s="101" t="str">
        <f>IFERROR(s_RadSpec!$E$24*($AD$24/$B69),".")</f>
        <v>.</v>
      </c>
      <c r="CC69" s="101" t="str">
        <f>IFERROR(s_RadSpec!$E$24*($AY$24/$B69),".")</f>
        <v>.</v>
      </c>
      <c r="CD69" s="101" t="str">
        <f>IFERROR(s_RadSpec!$E$24*($AY$24/$B69),".")</f>
        <v>.</v>
      </c>
      <c r="CE69" s="101" t="str">
        <f>IFERROR(s_RadSpec!$E$24*($AY$24/$B69),".")</f>
        <v>.</v>
      </c>
      <c r="CF69" s="101" t="str">
        <f>IFERROR(s_RadSpec!$E$24*($AY$24/$B69),".")</f>
        <v>.</v>
      </c>
      <c r="CG69" s="101" t="str">
        <f>IFERROR(s_RadSpec!$E$24*($AY$24/$B69),".")</f>
        <v>.</v>
      </c>
      <c r="CH69" s="101" t="str">
        <f>IFERROR(s_RadSpec!$E$24*($AY$24/$B69),".")</f>
        <v>.</v>
      </c>
      <c r="CI69" s="101" t="str">
        <f>IFERROR(s_RadSpec!$E$24*($AY$24/$B69),".")</f>
        <v>.</v>
      </c>
      <c r="CJ69" s="101" t="str">
        <f>IFERROR(s_RadSpec!$E$24*($AY$24/$B69),".")</f>
        <v>.</v>
      </c>
      <c r="CK69" s="101" t="str">
        <f>IFERROR(s_RadSpec!$E$24*($AY$24/$B69),".")</f>
        <v>.</v>
      </c>
      <c r="CL69" s="101" t="str">
        <f>IFERROR(s_RadSpec!$E$24*($AY$24/$B69),".")</f>
        <v>.</v>
      </c>
      <c r="CM69" s="101" t="str">
        <f>IFERROR(s_RadSpec!$E$24*($AY$24/$B69),".")</f>
        <v>.</v>
      </c>
      <c r="CN69" s="101" t="str">
        <f>IFERROR(s_RadSpec!$E$24*($AY$24/$B69),".")</f>
        <v>.</v>
      </c>
      <c r="CO69" s="101" t="str">
        <f>IFERROR(s_RadSpec!$E$24*($AY$24/$B69),".")</f>
        <v>.</v>
      </c>
      <c r="CP69" s="101" t="str">
        <f>IFERROR(s_RadSpec!$E$24*($AY$24/$B69),".")</f>
        <v>.</v>
      </c>
      <c r="CQ69" s="101" t="str">
        <f>IFERROR(s_RadSpec!$E$24*($AY$24/$B69),".")</f>
        <v>.</v>
      </c>
      <c r="CR69" s="101" t="str">
        <f>IFERROR(s_RadSpec!$E$24*($AY$24/$B69),".")</f>
        <v>.</v>
      </c>
      <c r="CS69" s="101" t="str">
        <f>IFERROR(s_RadSpec!$E$24*($AY$24/$B69),".")</f>
        <v>.</v>
      </c>
      <c r="CT69" s="101" t="str">
        <f>IFERROR(s_RadSpec!$E$24*($AY$24/$B69),".")</f>
        <v>.</v>
      </c>
      <c r="CU69" s="101" t="str">
        <f>IFERROR(s_RadSpec!$E$24*($AY$24/$B69),".")</f>
        <v>.</v>
      </c>
      <c r="CV69" s="101" t="str">
        <f>IFERROR(s_RadSpec!$E$24*($AY$24/$B69),".")</f>
        <v>.</v>
      </c>
      <c r="CW69" s="101" t="str">
        <f>IFERROR(s_RadSpec!$E$24*($AY$24/$B69),".")</f>
        <v>.</v>
      </c>
      <c r="CX69" s="101" t="str">
        <f>IFERROR(s_RadSpec!$E$24*($AZ$24/$B69),".")</f>
        <v>.</v>
      </c>
    </row>
    <row r="70" spans="1:102" x14ac:dyDescent="0.25">
      <c r="A70" s="99" t="s">
        <v>1094</v>
      </c>
      <c r="B70" s="90">
        <v>0.99979000004200003</v>
      </c>
      <c r="C70" s="100" t="str">
        <f t="shared" si="160"/>
        <v>.</v>
      </c>
      <c r="D70" s="100">
        <f t="shared" ref="D70:AA70" si="206">IFERROR($B70/D20,0)</f>
        <v>0</v>
      </c>
      <c r="E70" s="100">
        <f t="shared" si="206"/>
        <v>0</v>
      </c>
      <c r="F70" s="100">
        <f t="shared" si="206"/>
        <v>0</v>
      </c>
      <c r="G70" s="100">
        <f t="shared" si="206"/>
        <v>0</v>
      </c>
      <c r="H70" s="100">
        <f t="shared" si="206"/>
        <v>0</v>
      </c>
      <c r="I70" s="100">
        <f t="shared" si="206"/>
        <v>0</v>
      </c>
      <c r="J70" s="100">
        <f t="shared" si="206"/>
        <v>0</v>
      </c>
      <c r="K70" s="100">
        <f t="shared" si="206"/>
        <v>0</v>
      </c>
      <c r="L70" s="100">
        <f t="shared" si="206"/>
        <v>0</v>
      </c>
      <c r="M70" s="100">
        <f t="shared" si="206"/>
        <v>0</v>
      </c>
      <c r="N70" s="100">
        <f t="shared" si="206"/>
        <v>0</v>
      </c>
      <c r="O70" s="100">
        <f t="shared" si="206"/>
        <v>0</v>
      </c>
      <c r="P70" s="100">
        <f t="shared" si="206"/>
        <v>0</v>
      </c>
      <c r="Q70" s="100">
        <f t="shared" si="206"/>
        <v>0</v>
      </c>
      <c r="R70" s="100">
        <f t="shared" si="206"/>
        <v>0</v>
      </c>
      <c r="S70" s="100">
        <f t="shared" si="206"/>
        <v>0</v>
      </c>
      <c r="T70" s="100">
        <f t="shared" si="206"/>
        <v>0</v>
      </c>
      <c r="U70" s="100">
        <f t="shared" si="206"/>
        <v>0</v>
      </c>
      <c r="V70" s="100">
        <f t="shared" si="206"/>
        <v>0</v>
      </c>
      <c r="W70" s="100">
        <f t="shared" si="206"/>
        <v>0</v>
      </c>
      <c r="X70" s="100">
        <f t="shared" si="206"/>
        <v>0</v>
      </c>
      <c r="Y70" s="100">
        <f t="shared" si="206"/>
        <v>0</v>
      </c>
      <c r="Z70" s="100">
        <f t="shared" si="206"/>
        <v>0</v>
      </c>
      <c r="AA70" s="100">
        <f t="shared" si="206"/>
        <v>0</v>
      </c>
      <c r="AB70" s="49">
        <f t="shared" si="60"/>
        <v>0</v>
      </c>
      <c r="AC70" s="101">
        <f>IFERROR(s_RadSpec!$E$20*($AC$20/$B70),".")</f>
        <v>0</v>
      </c>
      <c r="AD70" s="101">
        <f>IFERROR(s_RadSpec!$E$20*($AD$20/$B70),".")</f>
        <v>0</v>
      </c>
      <c r="AE70" s="101">
        <f>IFERROR(s_RadSpec!$E$20*($AY$20/$B70),".")</f>
        <v>0</v>
      </c>
      <c r="AF70" s="101">
        <f>IFERROR(s_RadSpec!$E$20*($AY$20/$B70),".")</f>
        <v>0</v>
      </c>
      <c r="AG70" s="101">
        <f>IFERROR(s_RadSpec!$E$20*($AY$20/$B70),".")</f>
        <v>0</v>
      </c>
      <c r="AH70" s="101">
        <f>IFERROR(s_RadSpec!$E$20*($AY$20/$B70),".")</f>
        <v>0</v>
      </c>
      <c r="AI70" s="101">
        <f>IFERROR(s_RadSpec!$E$20*($AY$20/$B70),".")</f>
        <v>0</v>
      </c>
      <c r="AJ70" s="101">
        <f>IFERROR(s_RadSpec!$E$20*($AY$20/$B70),".")</f>
        <v>0</v>
      </c>
      <c r="AK70" s="101">
        <f>IFERROR(s_RadSpec!$E$20*($AY$20/$B70),".")</f>
        <v>0</v>
      </c>
      <c r="AL70" s="101">
        <f>IFERROR(s_RadSpec!$E$20*($AY$20/$B70),".")</f>
        <v>0</v>
      </c>
      <c r="AM70" s="101">
        <f>IFERROR(s_RadSpec!$E$20*($AY$20/$B70),".")</f>
        <v>0</v>
      </c>
      <c r="AN70" s="101">
        <f>IFERROR(s_RadSpec!$E$20*($AY$20/$B70),".")</f>
        <v>0</v>
      </c>
      <c r="AO70" s="101">
        <f>IFERROR(s_RadSpec!$E$20*($AY$20/$B70),".")</f>
        <v>0</v>
      </c>
      <c r="AP70" s="101">
        <f>IFERROR(s_RadSpec!$E$20*($AY$20/$B70),".")</f>
        <v>0</v>
      </c>
      <c r="AQ70" s="101">
        <f>IFERROR(s_RadSpec!$E$20*($AY$20/$B70),".")</f>
        <v>0</v>
      </c>
      <c r="AR70" s="101">
        <f>IFERROR(s_RadSpec!$E$20*($AY$20/$B70),".")</f>
        <v>0</v>
      </c>
      <c r="AS70" s="101">
        <f>IFERROR(s_RadSpec!$E$20*($AY$20/$B70),".")</f>
        <v>0</v>
      </c>
      <c r="AT70" s="101">
        <f>IFERROR(s_RadSpec!$E$20*($AY$20/$B70),".")</f>
        <v>0</v>
      </c>
      <c r="AU70" s="101">
        <f>IFERROR(s_RadSpec!$E$20*($AY$20/$B70),".")</f>
        <v>0</v>
      </c>
      <c r="AV70" s="101">
        <f>IFERROR(s_RadSpec!$E$20*($AY$20/$B70),".")</f>
        <v>0</v>
      </c>
      <c r="AW70" s="101">
        <f>IFERROR(s_RadSpec!$E$20*($AY$20/$B70),".")</f>
        <v>0</v>
      </c>
      <c r="AX70" s="101">
        <f>IFERROR(s_RadSpec!$E$20*($AY$20/$B70),".")</f>
        <v>0</v>
      </c>
      <c r="AY70" s="101">
        <f>IFERROR(s_RadSpec!$E$20*($AY$20/$B70),".")</f>
        <v>0</v>
      </c>
      <c r="AZ70" s="101">
        <f>IFERROR(s_RadSpec!$E$20*($AZ$20/$B70),".")</f>
        <v>0</v>
      </c>
      <c r="BA70" s="100" t="str">
        <f t="shared" si="162"/>
        <v>.</v>
      </c>
      <c r="BB70" s="100">
        <f t="shared" ref="BB70:BY70" si="207">IFERROR($B70/BB20,0)</f>
        <v>0</v>
      </c>
      <c r="BC70" s="100">
        <f t="shared" si="207"/>
        <v>0</v>
      </c>
      <c r="BD70" s="100">
        <f t="shared" si="207"/>
        <v>0</v>
      </c>
      <c r="BE70" s="100">
        <f t="shared" si="207"/>
        <v>0</v>
      </c>
      <c r="BF70" s="100">
        <f t="shared" si="207"/>
        <v>0</v>
      </c>
      <c r="BG70" s="100">
        <f t="shared" si="207"/>
        <v>0</v>
      </c>
      <c r="BH70" s="100">
        <f t="shared" si="207"/>
        <v>0</v>
      </c>
      <c r="BI70" s="100">
        <f t="shared" si="207"/>
        <v>0</v>
      </c>
      <c r="BJ70" s="100">
        <f t="shared" si="207"/>
        <v>0</v>
      </c>
      <c r="BK70" s="100">
        <f t="shared" si="207"/>
        <v>0</v>
      </c>
      <c r="BL70" s="100">
        <f t="shared" si="207"/>
        <v>0</v>
      </c>
      <c r="BM70" s="100">
        <f t="shared" si="207"/>
        <v>0</v>
      </c>
      <c r="BN70" s="100">
        <f t="shared" si="207"/>
        <v>0</v>
      </c>
      <c r="BO70" s="100">
        <f t="shared" si="207"/>
        <v>0</v>
      </c>
      <c r="BP70" s="100">
        <f t="shared" si="207"/>
        <v>0</v>
      </c>
      <c r="BQ70" s="100">
        <f t="shared" si="207"/>
        <v>0</v>
      </c>
      <c r="BR70" s="100">
        <f t="shared" si="207"/>
        <v>0</v>
      </c>
      <c r="BS70" s="100">
        <f t="shared" si="207"/>
        <v>0</v>
      </c>
      <c r="BT70" s="100">
        <f t="shared" si="207"/>
        <v>0</v>
      </c>
      <c r="BU70" s="100">
        <f t="shared" si="207"/>
        <v>0</v>
      </c>
      <c r="BV70" s="100">
        <f t="shared" si="207"/>
        <v>0</v>
      </c>
      <c r="BW70" s="100">
        <f t="shared" si="207"/>
        <v>0</v>
      </c>
      <c r="BX70" s="100">
        <f t="shared" si="207"/>
        <v>0</v>
      </c>
      <c r="BY70" s="100">
        <f t="shared" si="207"/>
        <v>0</v>
      </c>
      <c r="BZ70" s="49">
        <f t="shared" si="195"/>
        <v>0</v>
      </c>
      <c r="CA70" s="101">
        <f>IFERROR(s_RadSpec!$E$20*($AC$20/$B70),".")</f>
        <v>0</v>
      </c>
      <c r="CB70" s="101">
        <f>IFERROR(s_RadSpec!$E$20*($AD$20/$B70),".")</f>
        <v>0</v>
      </c>
      <c r="CC70" s="101">
        <f>IFERROR(s_RadSpec!$E$20*($AY$20/$B70),".")</f>
        <v>0</v>
      </c>
      <c r="CD70" s="101">
        <f>IFERROR(s_RadSpec!$E$20*($AY$20/$B70),".")</f>
        <v>0</v>
      </c>
      <c r="CE70" s="101">
        <f>IFERROR(s_RadSpec!$E$20*($AY$20/$B70),".")</f>
        <v>0</v>
      </c>
      <c r="CF70" s="101">
        <f>IFERROR(s_RadSpec!$E$20*($AY$20/$B70),".")</f>
        <v>0</v>
      </c>
      <c r="CG70" s="101">
        <f>IFERROR(s_RadSpec!$E$20*($AY$20/$B70),".")</f>
        <v>0</v>
      </c>
      <c r="CH70" s="101">
        <f>IFERROR(s_RadSpec!$E$20*($AY$20/$B70),".")</f>
        <v>0</v>
      </c>
      <c r="CI70" s="101">
        <f>IFERROR(s_RadSpec!$E$20*($AY$20/$B70),".")</f>
        <v>0</v>
      </c>
      <c r="CJ70" s="101">
        <f>IFERROR(s_RadSpec!$E$20*($AY$20/$B70),".")</f>
        <v>0</v>
      </c>
      <c r="CK70" s="101">
        <f>IFERROR(s_RadSpec!$E$20*($AY$20/$B70),".")</f>
        <v>0</v>
      </c>
      <c r="CL70" s="101">
        <f>IFERROR(s_RadSpec!$E$20*($AY$20/$B70),".")</f>
        <v>0</v>
      </c>
      <c r="CM70" s="101">
        <f>IFERROR(s_RadSpec!$E$20*($AY$20/$B70),".")</f>
        <v>0</v>
      </c>
      <c r="CN70" s="101">
        <f>IFERROR(s_RadSpec!$E$20*($AY$20/$B70),".")</f>
        <v>0</v>
      </c>
      <c r="CO70" s="101">
        <f>IFERROR(s_RadSpec!$E$20*($AY$20/$B70),".")</f>
        <v>0</v>
      </c>
      <c r="CP70" s="101">
        <f>IFERROR(s_RadSpec!$E$20*($AY$20/$B70),".")</f>
        <v>0</v>
      </c>
      <c r="CQ70" s="101">
        <f>IFERROR(s_RadSpec!$E$20*($AY$20/$B70),".")</f>
        <v>0</v>
      </c>
      <c r="CR70" s="101">
        <f>IFERROR(s_RadSpec!$E$20*($AY$20/$B70),".")</f>
        <v>0</v>
      </c>
      <c r="CS70" s="101">
        <f>IFERROR(s_RadSpec!$E$20*($AY$20/$B70),".")</f>
        <v>0</v>
      </c>
      <c r="CT70" s="101">
        <f>IFERROR(s_RadSpec!$E$20*($AY$20/$B70),".")</f>
        <v>0</v>
      </c>
      <c r="CU70" s="101">
        <f>IFERROR(s_RadSpec!$E$20*($AY$20/$B70),".")</f>
        <v>0</v>
      </c>
      <c r="CV70" s="101">
        <f>IFERROR(s_RadSpec!$E$20*($AY$20/$B70),".")</f>
        <v>0</v>
      </c>
      <c r="CW70" s="101">
        <f>IFERROR(s_RadSpec!$E$20*($AY$20/$B70),".")</f>
        <v>0</v>
      </c>
      <c r="CX70" s="101">
        <f>IFERROR(s_RadSpec!$E$20*($AZ$20/$B70),".")</f>
        <v>0</v>
      </c>
    </row>
    <row r="71" spans="1:102" x14ac:dyDescent="0.25">
      <c r="A71" s="99" t="s">
        <v>1095</v>
      </c>
      <c r="B71" s="90">
        <v>2.0999995799999999E-4</v>
      </c>
      <c r="C71" s="100" t="str">
        <f t="shared" si="160"/>
        <v>.</v>
      </c>
      <c r="D71" s="100">
        <f t="shared" ref="D71:AA71" si="208">IFERROR($B71/D29,0)</f>
        <v>0</v>
      </c>
      <c r="E71" s="100">
        <f t="shared" si="208"/>
        <v>0</v>
      </c>
      <c r="F71" s="100">
        <f t="shared" si="208"/>
        <v>0</v>
      </c>
      <c r="G71" s="100">
        <f t="shared" si="208"/>
        <v>0</v>
      </c>
      <c r="H71" s="100">
        <f t="shared" si="208"/>
        <v>0</v>
      </c>
      <c r="I71" s="100">
        <f t="shared" si="208"/>
        <v>0</v>
      </c>
      <c r="J71" s="100">
        <f t="shared" si="208"/>
        <v>0</v>
      </c>
      <c r="K71" s="100">
        <f t="shared" si="208"/>
        <v>0</v>
      </c>
      <c r="L71" s="100">
        <f t="shared" si="208"/>
        <v>0</v>
      </c>
      <c r="M71" s="100">
        <f t="shared" si="208"/>
        <v>0</v>
      </c>
      <c r="N71" s="100">
        <f t="shared" si="208"/>
        <v>0</v>
      </c>
      <c r="O71" s="100">
        <f t="shared" si="208"/>
        <v>0</v>
      </c>
      <c r="P71" s="100">
        <f t="shared" si="208"/>
        <v>0</v>
      </c>
      <c r="Q71" s="100">
        <f t="shared" si="208"/>
        <v>0</v>
      </c>
      <c r="R71" s="100">
        <f t="shared" si="208"/>
        <v>0</v>
      </c>
      <c r="S71" s="100">
        <f t="shared" si="208"/>
        <v>0</v>
      </c>
      <c r="T71" s="100">
        <f t="shared" si="208"/>
        <v>0</v>
      </c>
      <c r="U71" s="100">
        <f t="shared" si="208"/>
        <v>0</v>
      </c>
      <c r="V71" s="100">
        <f t="shared" si="208"/>
        <v>0</v>
      </c>
      <c r="W71" s="100">
        <f t="shared" si="208"/>
        <v>0</v>
      </c>
      <c r="X71" s="100">
        <f t="shared" si="208"/>
        <v>0</v>
      </c>
      <c r="Y71" s="100">
        <f t="shared" si="208"/>
        <v>0</v>
      </c>
      <c r="Z71" s="100">
        <f t="shared" si="208"/>
        <v>0</v>
      </c>
      <c r="AA71" s="100">
        <f t="shared" si="208"/>
        <v>0</v>
      </c>
      <c r="AB71" s="49">
        <f t="shared" si="60"/>
        <v>0</v>
      </c>
      <c r="AC71" s="101">
        <f>IFERROR(s_RadSpec!$E$29*($AC$29/$B71),".")</f>
        <v>0</v>
      </c>
      <c r="AD71" s="101">
        <f>IFERROR(s_RadSpec!$E$29*($AD$29/$B71),".")</f>
        <v>0</v>
      </c>
      <c r="AE71" s="101">
        <f>IFERROR(s_RadSpec!$E$29*($AY$29/$B71),".")</f>
        <v>0</v>
      </c>
      <c r="AF71" s="101">
        <f>IFERROR(s_RadSpec!$E$29*($AY$29/$B71),".")</f>
        <v>0</v>
      </c>
      <c r="AG71" s="101">
        <f>IFERROR(s_RadSpec!$E$29*($AY$29/$B71),".")</f>
        <v>0</v>
      </c>
      <c r="AH71" s="101">
        <f>IFERROR(s_RadSpec!$E$29*($AY$29/$B71),".")</f>
        <v>0</v>
      </c>
      <c r="AI71" s="101">
        <f>IFERROR(s_RadSpec!$E$29*($AY$29/$B71),".")</f>
        <v>0</v>
      </c>
      <c r="AJ71" s="101">
        <f>IFERROR(s_RadSpec!$E$29*($AY$29/$B71),".")</f>
        <v>0</v>
      </c>
      <c r="AK71" s="101">
        <f>IFERROR(s_RadSpec!$E$29*($AY$29/$B71),".")</f>
        <v>0</v>
      </c>
      <c r="AL71" s="101">
        <f>IFERROR(s_RadSpec!$E$29*($AY$29/$B71),".")</f>
        <v>0</v>
      </c>
      <c r="AM71" s="101">
        <f>IFERROR(s_RadSpec!$E$29*($AY$29/$B71),".")</f>
        <v>0</v>
      </c>
      <c r="AN71" s="101">
        <f>IFERROR(s_RadSpec!$E$29*($AY$29/$B71),".")</f>
        <v>0</v>
      </c>
      <c r="AO71" s="101">
        <f>IFERROR(s_RadSpec!$E$29*($AY$29/$B71),".")</f>
        <v>0</v>
      </c>
      <c r="AP71" s="101">
        <f>IFERROR(s_RadSpec!$E$29*($AY$29/$B71),".")</f>
        <v>0</v>
      </c>
      <c r="AQ71" s="101">
        <f>IFERROR(s_RadSpec!$E$29*($AY$29/$B71),".")</f>
        <v>0</v>
      </c>
      <c r="AR71" s="101">
        <f>IFERROR(s_RadSpec!$E$29*($AY$29/$B71),".")</f>
        <v>0</v>
      </c>
      <c r="AS71" s="101">
        <f>IFERROR(s_RadSpec!$E$29*($AY$29/$B71),".")</f>
        <v>0</v>
      </c>
      <c r="AT71" s="101">
        <f>IFERROR(s_RadSpec!$E$29*($AY$29/$B71),".")</f>
        <v>0</v>
      </c>
      <c r="AU71" s="101">
        <f>IFERROR(s_RadSpec!$E$29*($AY$29/$B71),".")</f>
        <v>0</v>
      </c>
      <c r="AV71" s="101">
        <f>IFERROR(s_RadSpec!$E$29*($AY$29/$B71),".")</f>
        <v>0</v>
      </c>
      <c r="AW71" s="101">
        <f>IFERROR(s_RadSpec!$E$29*($AY$29/$B71),".")</f>
        <v>0</v>
      </c>
      <c r="AX71" s="101">
        <f>IFERROR(s_RadSpec!$E$29*($AY$29/$B71),".")</f>
        <v>0</v>
      </c>
      <c r="AY71" s="101">
        <f>IFERROR(s_RadSpec!$E$29*($AY$29/$B71),".")</f>
        <v>0</v>
      </c>
      <c r="AZ71" s="101">
        <f>IFERROR(s_RadSpec!$E$29*($AZ$29/$B71),".")</f>
        <v>0</v>
      </c>
      <c r="BA71" s="100" t="str">
        <f t="shared" si="162"/>
        <v>.</v>
      </c>
      <c r="BB71" s="100">
        <f t="shared" ref="BB71:BY71" si="209">IFERROR($B71/BB29,0)</f>
        <v>0</v>
      </c>
      <c r="BC71" s="100">
        <f t="shared" si="209"/>
        <v>0</v>
      </c>
      <c r="BD71" s="100">
        <f t="shared" si="209"/>
        <v>0</v>
      </c>
      <c r="BE71" s="100">
        <f t="shared" si="209"/>
        <v>0</v>
      </c>
      <c r="BF71" s="100">
        <f t="shared" si="209"/>
        <v>0</v>
      </c>
      <c r="BG71" s="100">
        <f t="shared" si="209"/>
        <v>0</v>
      </c>
      <c r="BH71" s="100">
        <f t="shared" si="209"/>
        <v>0</v>
      </c>
      <c r="BI71" s="100">
        <f t="shared" si="209"/>
        <v>0</v>
      </c>
      <c r="BJ71" s="100">
        <f t="shared" si="209"/>
        <v>0</v>
      </c>
      <c r="BK71" s="100">
        <f t="shared" si="209"/>
        <v>0</v>
      </c>
      <c r="BL71" s="100">
        <f t="shared" si="209"/>
        <v>0</v>
      </c>
      <c r="BM71" s="100">
        <f t="shared" si="209"/>
        <v>0</v>
      </c>
      <c r="BN71" s="100">
        <f t="shared" si="209"/>
        <v>0</v>
      </c>
      <c r="BO71" s="100">
        <f t="shared" si="209"/>
        <v>0</v>
      </c>
      <c r="BP71" s="100">
        <f t="shared" si="209"/>
        <v>0</v>
      </c>
      <c r="BQ71" s="100">
        <f t="shared" si="209"/>
        <v>0</v>
      </c>
      <c r="BR71" s="100">
        <f t="shared" si="209"/>
        <v>0</v>
      </c>
      <c r="BS71" s="100">
        <f t="shared" si="209"/>
        <v>0</v>
      </c>
      <c r="BT71" s="100">
        <f t="shared" si="209"/>
        <v>0</v>
      </c>
      <c r="BU71" s="100">
        <f t="shared" si="209"/>
        <v>0</v>
      </c>
      <c r="BV71" s="100">
        <f t="shared" si="209"/>
        <v>0</v>
      </c>
      <c r="BW71" s="100">
        <f t="shared" si="209"/>
        <v>0</v>
      </c>
      <c r="BX71" s="100">
        <f t="shared" si="209"/>
        <v>0</v>
      </c>
      <c r="BY71" s="100">
        <f t="shared" si="209"/>
        <v>0</v>
      </c>
      <c r="BZ71" s="49">
        <f t="shared" si="195"/>
        <v>0</v>
      </c>
      <c r="CA71" s="101">
        <f>IFERROR(s_RadSpec!$E$29*($AC$29/$B71),".")</f>
        <v>0</v>
      </c>
      <c r="CB71" s="101">
        <f>IFERROR(s_RadSpec!$E$29*($AD$29/$B71),".")</f>
        <v>0</v>
      </c>
      <c r="CC71" s="101">
        <f>IFERROR(s_RadSpec!$E$29*($AY$29/$B71),".")</f>
        <v>0</v>
      </c>
      <c r="CD71" s="101">
        <f>IFERROR(s_RadSpec!$E$29*($AY$29/$B71),".")</f>
        <v>0</v>
      </c>
      <c r="CE71" s="101">
        <f>IFERROR(s_RadSpec!$E$29*($AY$29/$B71),".")</f>
        <v>0</v>
      </c>
      <c r="CF71" s="101">
        <f>IFERROR(s_RadSpec!$E$29*($AY$29/$B71),".")</f>
        <v>0</v>
      </c>
      <c r="CG71" s="101">
        <f>IFERROR(s_RadSpec!$E$29*($AY$29/$B71),".")</f>
        <v>0</v>
      </c>
      <c r="CH71" s="101">
        <f>IFERROR(s_RadSpec!$E$29*($AY$29/$B71),".")</f>
        <v>0</v>
      </c>
      <c r="CI71" s="101">
        <f>IFERROR(s_RadSpec!$E$29*($AY$29/$B71),".")</f>
        <v>0</v>
      </c>
      <c r="CJ71" s="101">
        <f>IFERROR(s_RadSpec!$E$29*($AY$29/$B71),".")</f>
        <v>0</v>
      </c>
      <c r="CK71" s="101">
        <f>IFERROR(s_RadSpec!$E$29*($AY$29/$B71),".")</f>
        <v>0</v>
      </c>
      <c r="CL71" s="101">
        <f>IFERROR(s_RadSpec!$E$29*($AY$29/$B71),".")</f>
        <v>0</v>
      </c>
      <c r="CM71" s="101">
        <f>IFERROR(s_RadSpec!$E$29*($AY$29/$B71),".")</f>
        <v>0</v>
      </c>
      <c r="CN71" s="101">
        <f>IFERROR(s_RadSpec!$E$29*($AY$29/$B71),".")</f>
        <v>0</v>
      </c>
      <c r="CO71" s="101">
        <f>IFERROR(s_RadSpec!$E$29*($AY$29/$B71),".")</f>
        <v>0</v>
      </c>
      <c r="CP71" s="101">
        <f>IFERROR(s_RadSpec!$E$29*($AY$29/$B71),".")</f>
        <v>0</v>
      </c>
      <c r="CQ71" s="101">
        <f>IFERROR(s_RadSpec!$E$29*($AY$29/$B71),".")</f>
        <v>0</v>
      </c>
      <c r="CR71" s="101">
        <f>IFERROR(s_RadSpec!$E$29*($AY$29/$B71),".")</f>
        <v>0</v>
      </c>
      <c r="CS71" s="101">
        <f>IFERROR(s_RadSpec!$E$29*($AY$29/$B71),".")</f>
        <v>0</v>
      </c>
      <c r="CT71" s="101">
        <f>IFERROR(s_RadSpec!$E$29*($AY$29/$B71),".")</f>
        <v>0</v>
      </c>
      <c r="CU71" s="101">
        <f>IFERROR(s_RadSpec!$E$29*($AY$29/$B71),".")</f>
        <v>0</v>
      </c>
      <c r="CV71" s="101">
        <f>IFERROR(s_RadSpec!$E$29*($AY$29/$B71),".")</f>
        <v>0</v>
      </c>
      <c r="CW71" s="101">
        <f>IFERROR(s_RadSpec!$E$29*($AY$29/$B71),".")</f>
        <v>0</v>
      </c>
      <c r="CX71" s="101">
        <f>IFERROR(s_RadSpec!$E$29*($AZ$29/$B71),".")</f>
        <v>0</v>
      </c>
    </row>
    <row r="72" spans="1:102" x14ac:dyDescent="0.25">
      <c r="A72" s="99" t="s">
        <v>1096</v>
      </c>
      <c r="B72" s="90">
        <v>1</v>
      </c>
      <c r="C72" s="100">
        <f t="shared" si="160"/>
        <v>1.2144573381495242E-2</v>
      </c>
      <c r="D72" s="100">
        <f t="shared" ref="D72:AA72" si="210">IFERROR($B72/D16,0)</f>
        <v>4.4276036719240498E-2</v>
      </c>
      <c r="E72" s="100">
        <f t="shared" si="210"/>
        <v>8.9280856689570379E-2</v>
      </c>
      <c r="F72" s="100">
        <f t="shared" si="210"/>
        <v>4.749066671712121E-2</v>
      </c>
      <c r="G72" s="100">
        <f t="shared" si="210"/>
        <v>4.4276036719240498E-2</v>
      </c>
      <c r="H72" s="100">
        <f t="shared" si="210"/>
        <v>4.749066671712121E-2</v>
      </c>
      <c r="I72" s="100">
        <f t="shared" si="210"/>
        <v>8.9280856689570379E-2</v>
      </c>
      <c r="J72" s="100">
        <f t="shared" si="210"/>
        <v>4.749066671712121E-2</v>
      </c>
      <c r="K72" s="100">
        <f t="shared" si="210"/>
        <v>4.4276036719240498E-2</v>
      </c>
      <c r="L72" s="100">
        <f t="shared" si="210"/>
        <v>3.8618287922970465E-2</v>
      </c>
      <c r="M72" s="100">
        <f t="shared" si="210"/>
        <v>4.749066671712121E-2</v>
      </c>
      <c r="N72" s="100">
        <f t="shared" si="210"/>
        <v>8.9280856689570379E-2</v>
      </c>
      <c r="O72" s="100">
        <f t="shared" si="210"/>
        <v>4.1254284521232636E-2</v>
      </c>
      <c r="P72" s="100">
        <f t="shared" si="210"/>
        <v>4.749066671712121E-2</v>
      </c>
      <c r="Q72" s="100">
        <f t="shared" si="210"/>
        <v>4.749066671712121E-2</v>
      </c>
      <c r="R72" s="100">
        <f t="shared" si="210"/>
        <v>4.4276036719240498E-2</v>
      </c>
      <c r="S72" s="100">
        <f t="shared" si="210"/>
        <v>4.4276036719240498E-2</v>
      </c>
      <c r="T72" s="100">
        <f t="shared" si="210"/>
        <v>4.1254284521232636E-2</v>
      </c>
      <c r="U72" s="100">
        <f t="shared" si="210"/>
        <v>3.8811165722843301E-2</v>
      </c>
      <c r="V72" s="100">
        <f t="shared" si="210"/>
        <v>4.749066671712121E-2</v>
      </c>
      <c r="W72" s="100">
        <f t="shared" si="210"/>
        <v>4.1254284521232636E-2</v>
      </c>
      <c r="X72" s="100">
        <f t="shared" si="210"/>
        <v>4.4276036719240498E-2</v>
      </c>
      <c r="Y72" s="100">
        <f t="shared" si="210"/>
        <v>4.749066671712121E-2</v>
      </c>
      <c r="Z72" s="100">
        <f t="shared" si="210"/>
        <v>3.8033225263356174E-2</v>
      </c>
      <c r="AA72" s="100">
        <f t="shared" si="210"/>
        <v>4.4918962718816645E-2</v>
      </c>
      <c r="AB72" s="49">
        <f t="shared" si="60"/>
        <v>1.0825454069549184E-6</v>
      </c>
      <c r="AC72" s="101">
        <f>IFERROR(s_RadSpec!$E$16*($AC$16/$B72),".")</f>
        <v>2.213801835962025E-7</v>
      </c>
      <c r="AD72" s="101">
        <f>IFERROR(s_RadSpec!$E$16*($AD$16/$B72),".")</f>
        <v>4.4640428344785189E-7</v>
      </c>
      <c r="AE72" s="101">
        <f>IFERROR(s_RadSpec!$E$16*($AY$16/$B72),".")</f>
        <v>1.9016612631678084E-7</v>
      </c>
      <c r="AF72" s="101">
        <f>IFERROR(s_RadSpec!$E$16*($AY$16/$B72),".")</f>
        <v>1.9016612631678084E-7</v>
      </c>
      <c r="AG72" s="101">
        <f>IFERROR(s_RadSpec!$E$16*($AY$16/$B72),".")</f>
        <v>1.9016612631678084E-7</v>
      </c>
      <c r="AH72" s="101">
        <f>IFERROR(s_RadSpec!$E$16*($AY$16/$B72),".")</f>
        <v>1.9016612631678084E-7</v>
      </c>
      <c r="AI72" s="101">
        <f>IFERROR(s_RadSpec!$E$16*($AY$16/$B72),".")</f>
        <v>1.9016612631678084E-7</v>
      </c>
      <c r="AJ72" s="101">
        <f>IFERROR(s_RadSpec!$E$16*($AY$16/$B72),".")</f>
        <v>1.9016612631678084E-7</v>
      </c>
      <c r="AK72" s="101">
        <f>IFERROR(s_RadSpec!$E$16*($AY$16/$B72),".")</f>
        <v>1.9016612631678084E-7</v>
      </c>
      <c r="AL72" s="101">
        <f>IFERROR(s_RadSpec!$E$16*($AY$16/$B72),".")</f>
        <v>1.9016612631678084E-7</v>
      </c>
      <c r="AM72" s="101">
        <f>IFERROR(s_RadSpec!$E$16*($AY$16/$B72),".")</f>
        <v>1.9016612631678084E-7</v>
      </c>
      <c r="AN72" s="101">
        <f>IFERROR(s_RadSpec!$E$16*($AY$16/$B72),".")</f>
        <v>1.9016612631678084E-7</v>
      </c>
      <c r="AO72" s="101">
        <f>IFERROR(s_RadSpec!$E$16*($AY$16/$B72),".")</f>
        <v>1.9016612631678084E-7</v>
      </c>
      <c r="AP72" s="101">
        <f>IFERROR(s_RadSpec!$E$16*($AY$16/$B72),".")</f>
        <v>1.9016612631678084E-7</v>
      </c>
      <c r="AQ72" s="101">
        <f>IFERROR(s_RadSpec!$E$16*($AY$16/$B72),".")</f>
        <v>1.9016612631678084E-7</v>
      </c>
      <c r="AR72" s="101">
        <f>IFERROR(s_RadSpec!$E$16*($AY$16/$B72),".")</f>
        <v>1.9016612631678084E-7</v>
      </c>
      <c r="AS72" s="101">
        <f>IFERROR(s_RadSpec!$E$16*($AY$16/$B72),".")</f>
        <v>1.9016612631678084E-7</v>
      </c>
      <c r="AT72" s="101">
        <f>IFERROR(s_RadSpec!$E$16*($AY$16/$B72),".")</f>
        <v>1.9016612631678084E-7</v>
      </c>
      <c r="AU72" s="101">
        <f>IFERROR(s_RadSpec!$E$16*($AY$16/$B72),".")</f>
        <v>1.9016612631678084E-7</v>
      </c>
      <c r="AV72" s="101">
        <f>IFERROR(s_RadSpec!$E$16*($AY$16/$B72),".")</f>
        <v>1.9016612631678084E-7</v>
      </c>
      <c r="AW72" s="101">
        <f>IFERROR(s_RadSpec!$E$16*($AY$16/$B72),".")</f>
        <v>1.9016612631678084E-7</v>
      </c>
      <c r="AX72" s="101">
        <f>IFERROR(s_RadSpec!$E$16*($AY$16/$B72),".")</f>
        <v>1.9016612631678084E-7</v>
      </c>
      <c r="AY72" s="101">
        <f>IFERROR(s_RadSpec!$E$16*($AY$16/$B72),".")</f>
        <v>1.9016612631678084E-7</v>
      </c>
      <c r="AZ72" s="101">
        <f>IFERROR(s_RadSpec!$E$16*($AZ$16/$B72),".")</f>
        <v>2.245948135940832E-7</v>
      </c>
      <c r="BA72" s="100">
        <f t="shared" si="162"/>
        <v>1.2144573381495242E-2</v>
      </c>
      <c r="BB72" s="100">
        <f t="shared" ref="BB72:BY72" si="211">IFERROR($B72/BB16,0)</f>
        <v>4.4276036719240498E-2</v>
      </c>
      <c r="BC72" s="100">
        <f t="shared" si="211"/>
        <v>8.9280856689570379E-2</v>
      </c>
      <c r="BD72" s="100">
        <f t="shared" si="211"/>
        <v>4.749066671712121E-2</v>
      </c>
      <c r="BE72" s="100">
        <f t="shared" si="211"/>
        <v>4.4276036719240498E-2</v>
      </c>
      <c r="BF72" s="100">
        <f t="shared" si="211"/>
        <v>4.749066671712121E-2</v>
      </c>
      <c r="BG72" s="100">
        <f t="shared" si="211"/>
        <v>8.9280856689570379E-2</v>
      </c>
      <c r="BH72" s="100">
        <f t="shared" si="211"/>
        <v>4.749066671712121E-2</v>
      </c>
      <c r="BI72" s="100">
        <f t="shared" si="211"/>
        <v>4.4276036719240498E-2</v>
      </c>
      <c r="BJ72" s="100">
        <f t="shared" si="211"/>
        <v>3.8618287922970465E-2</v>
      </c>
      <c r="BK72" s="100">
        <f t="shared" si="211"/>
        <v>4.749066671712121E-2</v>
      </c>
      <c r="BL72" s="100">
        <f t="shared" si="211"/>
        <v>8.9280856689570379E-2</v>
      </c>
      <c r="BM72" s="100">
        <f t="shared" si="211"/>
        <v>4.1254284521232636E-2</v>
      </c>
      <c r="BN72" s="100">
        <f t="shared" si="211"/>
        <v>4.749066671712121E-2</v>
      </c>
      <c r="BO72" s="100">
        <f t="shared" si="211"/>
        <v>4.749066671712121E-2</v>
      </c>
      <c r="BP72" s="100">
        <f t="shared" si="211"/>
        <v>4.4276036719240498E-2</v>
      </c>
      <c r="BQ72" s="100">
        <f t="shared" si="211"/>
        <v>4.4276036719240498E-2</v>
      </c>
      <c r="BR72" s="100">
        <f t="shared" si="211"/>
        <v>4.1254284521232636E-2</v>
      </c>
      <c r="BS72" s="100">
        <f t="shared" si="211"/>
        <v>3.8811165722843301E-2</v>
      </c>
      <c r="BT72" s="100">
        <f t="shared" si="211"/>
        <v>4.749066671712121E-2</v>
      </c>
      <c r="BU72" s="100">
        <f t="shared" si="211"/>
        <v>4.1254284521232636E-2</v>
      </c>
      <c r="BV72" s="100">
        <f t="shared" si="211"/>
        <v>4.4276036719240498E-2</v>
      </c>
      <c r="BW72" s="100">
        <f t="shared" si="211"/>
        <v>4.749066671712121E-2</v>
      </c>
      <c r="BX72" s="100">
        <f t="shared" si="211"/>
        <v>3.8033225263356174E-2</v>
      </c>
      <c r="BY72" s="100">
        <f t="shared" si="211"/>
        <v>4.4918962718816645E-2</v>
      </c>
      <c r="BZ72" s="49">
        <f t="shared" si="195"/>
        <v>1.0825454069549184E-6</v>
      </c>
      <c r="CA72" s="101">
        <f>IFERROR(s_RadSpec!$E$16*($AC$16/$B72),".")</f>
        <v>2.213801835962025E-7</v>
      </c>
      <c r="CB72" s="101">
        <f>IFERROR(s_RadSpec!$E$16*($AD$16/$B72),".")</f>
        <v>4.4640428344785189E-7</v>
      </c>
      <c r="CC72" s="101">
        <f>IFERROR(s_RadSpec!$E$16*($AY$16/$B72),".")</f>
        <v>1.9016612631678084E-7</v>
      </c>
      <c r="CD72" s="101">
        <f>IFERROR(s_RadSpec!$E$16*($AY$16/$B72),".")</f>
        <v>1.9016612631678084E-7</v>
      </c>
      <c r="CE72" s="101">
        <f>IFERROR(s_RadSpec!$E$16*($AY$16/$B72),".")</f>
        <v>1.9016612631678084E-7</v>
      </c>
      <c r="CF72" s="101">
        <f>IFERROR(s_RadSpec!$E$16*($AY$16/$B72),".")</f>
        <v>1.9016612631678084E-7</v>
      </c>
      <c r="CG72" s="101">
        <f>IFERROR(s_RadSpec!$E$16*($AY$16/$B72),".")</f>
        <v>1.9016612631678084E-7</v>
      </c>
      <c r="CH72" s="101">
        <f>IFERROR(s_RadSpec!$E$16*($AY$16/$B72),".")</f>
        <v>1.9016612631678084E-7</v>
      </c>
      <c r="CI72" s="101">
        <f>IFERROR(s_RadSpec!$E$16*($AY$16/$B72),".")</f>
        <v>1.9016612631678084E-7</v>
      </c>
      <c r="CJ72" s="101">
        <f>IFERROR(s_RadSpec!$E$16*($AY$16/$B72),".")</f>
        <v>1.9016612631678084E-7</v>
      </c>
      <c r="CK72" s="101">
        <f>IFERROR(s_RadSpec!$E$16*($AY$16/$B72),".")</f>
        <v>1.9016612631678084E-7</v>
      </c>
      <c r="CL72" s="101">
        <f>IFERROR(s_RadSpec!$E$16*($AY$16/$B72),".")</f>
        <v>1.9016612631678084E-7</v>
      </c>
      <c r="CM72" s="101">
        <f>IFERROR(s_RadSpec!$E$16*($AY$16/$B72),".")</f>
        <v>1.9016612631678084E-7</v>
      </c>
      <c r="CN72" s="101">
        <f>IFERROR(s_RadSpec!$E$16*($AY$16/$B72),".")</f>
        <v>1.9016612631678084E-7</v>
      </c>
      <c r="CO72" s="101">
        <f>IFERROR(s_RadSpec!$E$16*($AY$16/$B72),".")</f>
        <v>1.9016612631678084E-7</v>
      </c>
      <c r="CP72" s="101">
        <f>IFERROR(s_RadSpec!$E$16*($AY$16/$B72),".")</f>
        <v>1.9016612631678084E-7</v>
      </c>
      <c r="CQ72" s="101">
        <f>IFERROR(s_RadSpec!$E$16*($AY$16/$B72),".")</f>
        <v>1.9016612631678084E-7</v>
      </c>
      <c r="CR72" s="101">
        <f>IFERROR(s_RadSpec!$E$16*($AY$16/$B72),".")</f>
        <v>1.9016612631678084E-7</v>
      </c>
      <c r="CS72" s="101">
        <f>IFERROR(s_RadSpec!$E$16*($AY$16/$B72),".")</f>
        <v>1.9016612631678084E-7</v>
      </c>
      <c r="CT72" s="101">
        <f>IFERROR(s_RadSpec!$E$16*($AY$16/$B72),".")</f>
        <v>1.9016612631678084E-7</v>
      </c>
      <c r="CU72" s="101">
        <f>IFERROR(s_RadSpec!$E$16*($AY$16/$B72),".")</f>
        <v>1.9016612631678084E-7</v>
      </c>
      <c r="CV72" s="101">
        <f>IFERROR(s_RadSpec!$E$16*($AY$16/$B72),".")</f>
        <v>1.9016612631678084E-7</v>
      </c>
      <c r="CW72" s="101">
        <f>IFERROR(s_RadSpec!$E$16*($AY$16/$B72),".")</f>
        <v>1.9016612631678084E-7</v>
      </c>
      <c r="CX72" s="101">
        <f>IFERROR(s_RadSpec!$E$16*($AZ$16/$B72),".")</f>
        <v>2.245948135940832E-7</v>
      </c>
    </row>
    <row r="73" spans="1:102" x14ac:dyDescent="0.25">
      <c r="A73" s="99" t="s">
        <v>1097</v>
      </c>
      <c r="B73" s="90">
        <v>1</v>
      </c>
      <c r="C73" s="100">
        <f t="shared" si="160"/>
        <v>2.826498474193774E-4</v>
      </c>
      <c r="D73" s="100">
        <f t="shared" ref="D73:AA73" si="212">IFERROR($B73/D7,0)</f>
        <v>1.1305993896775096E-3</v>
      </c>
      <c r="E73" s="100">
        <f t="shared" si="212"/>
        <v>1.1305993896775096E-3</v>
      </c>
      <c r="F73" s="100">
        <f t="shared" si="212"/>
        <v>1.1305993896775096E-3</v>
      </c>
      <c r="G73" s="100">
        <f t="shared" si="212"/>
        <v>1.1305993896775096E-3</v>
      </c>
      <c r="H73" s="100">
        <f t="shared" si="212"/>
        <v>1.1305993896775096E-3</v>
      </c>
      <c r="I73" s="100">
        <f t="shared" si="212"/>
        <v>1.1305993896775096E-3</v>
      </c>
      <c r="J73" s="100">
        <f t="shared" si="212"/>
        <v>1.1305993896775096E-3</v>
      </c>
      <c r="K73" s="100">
        <f t="shared" si="212"/>
        <v>1.1305993896775096E-3</v>
      </c>
      <c r="L73" s="100">
        <f t="shared" si="212"/>
        <v>1.1305993896775096E-3</v>
      </c>
      <c r="M73" s="100">
        <f t="shared" si="212"/>
        <v>1.1305993896775096E-3</v>
      </c>
      <c r="N73" s="100">
        <f t="shared" si="212"/>
        <v>1.1305993896775096E-3</v>
      </c>
      <c r="O73" s="100">
        <f t="shared" si="212"/>
        <v>1.1305993896775096E-3</v>
      </c>
      <c r="P73" s="100">
        <f t="shared" si="212"/>
        <v>1.1305993896775096E-3</v>
      </c>
      <c r="Q73" s="100">
        <f t="shared" si="212"/>
        <v>1.1305993896775096E-3</v>
      </c>
      <c r="R73" s="100">
        <f t="shared" si="212"/>
        <v>1.1305993896775096E-3</v>
      </c>
      <c r="S73" s="100">
        <f t="shared" si="212"/>
        <v>1.1305993896775096E-3</v>
      </c>
      <c r="T73" s="100">
        <f t="shared" si="212"/>
        <v>1.1305993896775096E-3</v>
      </c>
      <c r="U73" s="100">
        <f t="shared" si="212"/>
        <v>1.1305993896775096E-3</v>
      </c>
      <c r="V73" s="100">
        <f t="shared" si="212"/>
        <v>1.1305993896775096E-3</v>
      </c>
      <c r="W73" s="100">
        <f t="shared" si="212"/>
        <v>1.1305993896775096E-3</v>
      </c>
      <c r="X73" s="100">
        <f t="shared" si="212"/>
        <v>1.1305993896775096E-3</v>
      </c>
      <c r="Y73" s="100">
        <f t="shared" si="212"/>
        <v>1.1305993896775096E-3</v>
      </c>
      <c r="Z73" s="100">
        <f t="shared" si="212"/>
        <v>1.1305993896775096E-3</v>
      </c>
      <c r="AA73" s="100">
        <f t="shared" si="212"/>
        <v>1.1305993896775096E-3</v>
      </c>
      <c r="AB73" s="49">
        <f t="shared" si="60"/>
        <v>2.2611987793550189E-8</v>
      </c>
      <c r="AC73" s="101">
        <f>IFERROR(s_RadSpec!$E$7*($AC$7/$B73),".")</f>
        <v>5.6529969483875471E-9</v>
      </c>
      <c r="AD73" s="101">
        <f>IFERROR(s_RadSpec!$E$7*($AD$7/$B73),".")</f>
        <v>5.6529969483875471E-9</v>
      </c>
      <c r="AE73" s="101">
        <f>IFERROR(s_RadSpec!$E$7*($AY$7/$B73),".")</f>
        <v>5.6529969483875471E-9</v>
      </c>
      <c r="AF73" s="101">
        <f>IFERROR(s_RadSpec!$E$7*($AY$7/$B73),".")</f>
        <v>5.6529969483875471E-9</v>
      </c>
      <c r="AG73" s="101">
        <f>IFERROR(s_RadSpec!$E$7*($AY$7/$B73),".")</f>
        <v>5.6529969483875471E-9</v>
      </c>
      <c r="AH73" s="101">
        <f>IFERROR(s_RadSpec!$E$7*($AY$7/$B73),".")</f>
        <v>5.6529969483875471E-9</v>
      </c>
      <c r="AI73" s="101">
        <f>IFERROR(s_RadSpec!$E$7*($AY$7/$B73),".")</f>
        <v>5.6529969483875471E-9</v>
      </c>
      <c r="AJ73" s="101">
        <f>IFERROR(s_RadSpec!$E$7*($AY$7/$B73),".")</f>
        <v>5.6529969483875471E-9</v>
      </c>
      <c r="AK73" s="101">
        <f>IFERROR(s_RadSpec!$E$7*($AY$7/$B73),".")</f>
        <v>5.6529969483875471E-9</v>
      </c>
      <c r="AL73" s="101">
        <f>IFERROR(s_RadSpec!$E$7*($AY$7/$B73),".")</f>
        <v>5.6529969483875471E-9</v>
      </c>
      <c r="AM73" s="101">
        <f>IFERROR(s_RadSpec!$E$7*($AY$7/$B73),".")</f>
        <v>5.6529969483875471E-9</v>
      </c>
      <c r="AN73" s="101">
        <f>IFERROR(s_RadSpec!$E$7*($AY$7/$B73),".")</f>
        <v>5.6529969483875471E-9</v>
      </c>
      <c r="AO73" s="101">
        <f>IFERROR(s_RadSpec!$E$7*($AY$7/$B73),".")</f>
        <v>5.6529969483875471E-9</v>
      </c>
      <c r="AP73" s="101">
        <f>IFERROR(s_RadSpec!$E$7*($AY$7/$B73),".")</f>
        <v>5.6529969483875471E-9</v>
      </c>
      <c r="AQ73" s="101">
        <f>IFERROR(s_RadSpec!$E$7*($AY$7/$B73),".")</f>
        <v>5.6529969483875471E-9</v>
      </c>
      <c r="AR73" s="101">
        <f>IFERROR(s_RadSpec!$E$7*($AY$7/$B73),".")</f>
        <v>5.6529969483875471E-9</v>
      </c>
      <c r="AS73" s="101">
        <f>IFERROR(s_RadSpec!$E$7*($AY$7/$B73),".")</f>
        <v>5.6529969483875471E-9</v>
      </c>
      <c r="AT73" s="101">
        <f>IFERROR(s_RadSpec!$E$7*($AY$7/$B73),".")</f>
        <v>5.6529969483875471E-9</v>
      </c>
      <c r="AU73" s="101">
        <f>IFERROR(s_RadSpec!$E$7*($AY$7/$B73),".")</f>
        <v>5.6529969483875471E-9</v>
      </c>
      <c r="AV73" s="101">
        <f>IFERROR(s_RadSpec!$E$7*($AY$7/$B73),".")</f>
        <v>5.6529969483875471E-9</v>
      </c>
      <c r="AW73" s="101">
        <f>IFERROR(s_RadSpec!$E$7*($AY$7/$B73),".")</f>
        <v>5.6529969483875471E-9</v>
      </c>
      <c r="AX73" s="101">
        <f>IFERROR(s_RadSpec!$E$7*($AY$7/$B73),".")</f>
        <v>5.6529969483875471E-9</v>
      </c>
      <c r="AY73" s="101">
        <f>IFERROR(s_RadSpec!$E$7*($AY$7/$B73),".")</f>
        <v>5.6529969483875471E-9</v>
      </c>
      <c r="AZ73" s="101">
        <f>IFERROR(s_RadSpec!$E$7*($AZ$7/$B73),".")</f>
        <v>5.6529969483875471E-9</v>
      </c>
      <c r="BA73" s="100">
        <f t="shared" si="162"/>
        <v>2.826498474193774E-4</v>
      </c>
      <c r="BB73" s="100">
        <f t="shared" ref="BB73:BY73" si="213">IFERROR($B73/BB7,0)</f>
        <v>1.1305993896775096E-3</v>
      </c>
      <c r="BC73" s="100">
        <f t="shared" si="213"/>
        <v>1.1305993896775096E-3</v>
      </c>
      <c r="BD73" s="100">
        <f t="shared" si="213"/>
        <v>1.1305993896775096E-3</v>
      </c>
      <c r="BE73" s="100">
        <f t="shared" si="213"/>
        <v>1.1305993896775096E-3</v>
      </c>
      <c r="BF73" s="100">
        <f t="shared" si="213"/>
        <v>1.1305993896775096E-3</v>
      </c>
      <c r="BG73" s="100">
        <f t="shared" si="213"/>
        <v>1.1305993896775096E-3</v>
      </c>
      <c r="BH73" s="100">
        <f t="shared" si="213"/>
        <v>1.1305993896775096E-3</v>
      </c>
      <c r="BI73" s="100">
        <f t="shared" si="213"/>
        <v>1.1305993896775096E-3</v>
      </c>
      <c r="BJ73" s="100">
        <f t="shared" si="213"/>
        <v>1.1305993896775096E-3</v>
      </c>
      <c r="BK73" s="100">
        <f t="shared" si="213"/>
        <v>1.1305993896775096E-3</v>
      </c>
      <c r="BL73" s="100">
        <f t="shared" si="213"/>
        <v>1.1305993896775096E-3</v>
      </c>
      <c r="BM73" s="100">
        <f t="shared" si="213"/>
        <v>1.1305993896775096E-3</v>
      </c>
      <c r="BN73" s="100">
        <f t="shared" si="213"/>
        <v>1.1305993896775096E-3</v>
      </c>
      <c r="BO73" s="100">
        <f t="shared" si="213"/>
        <v>1.1305993896775096E-3</v>
      </c>
      <c r="BP73" s="100">
        <f t="shared" si="213"/>
        <v>1.1305993896775096E-3</v>
      </c>
      <c r="BQ73" s="100">
        <f t="shared" si="213"/>
        <v>1.1305993896775096E-3</v>
      </c>
      <c r="BR73" s="100">
        <f t="shared" si="213"/>
        <v>1.1305993896775096E-3</v>
      </c>
      <c r="BS73" s="100">
        <f t="shared" si="213"/>
        <v>1.1305993896775096E-3</v>
      </c>
      <c r="BT73" s="100">
        <f t="shared" si="213"/>
        <v>1.1305993896775096E-3</v>
      </c>
      <c r="BU73" s="100">
        <f t="shared" si="213"/>
        <v>1.1305993896775096E-3</v>
      </c>
      <c r="BV73" s="100">
        <f t="shared" si="213"/>
        <v>1.1305993896775096E-3</v>
      </c>
      <c r="BW73" s="100">
        <f t="shared" si="213"/>
        <v>1.1305993896775096E-3</v>
      </c>
      <c r="BX73" s="100">
        <f t="shared" si="213"/>
        <v>1.1305993896775096E-3</v>
      </c>
      <c r="BY73" s="100">
        <f t="shared" si="213"/>
        <v>1.1305993896775096E-3</v>
      </c>
      <c r="BZ73" s="49">
        <f t="shared" si="195"/>
        <v>2.2611987793550189E-8</v>
      </c>
      <c r="CA73" s="101">
        <f>IFERROR(s_RadSpec!$E$7*($AC$7/$B73),".")</f>
        <v>5.6529969483875471E-9</v>
      </c>
      <c r="CB73" s="101">
        <f>IFERROR(s_RadSpec!$E$7*($AD$7/$B73),".")</f>
        <v>5.6529969483875471E-9</v>
      </c>
      <c r="CC73" s="101">
        <f>IFERROR(s_RadSpec!$E$7*($AY$7/$B73),".")</f>
        <v>5.6529969483875471E-9</v>
      </c>
      <c r="CD73" s="101">
        <f>IFERROR(s_RadSpec!$E$7*($AY$7/$B73),".")</f>
        <v>5.6529969483875471E-9</v>
      </c>
      <c r="CE73" s="101">
        <f>IFERROR(s_RadSpec!$E$7*($AY$7/$B73),".")</f>
        <v>5.6529969483875471E-9</v>
      </c>
      <c r="CF73" s="101">
        <f>IFERROR(s_RadSpec!$E$7*($AY$7/$B73),".")</f>
        <v>5.6529969483875471E-9</v>
      </c>
      <c r="CG73" s="101">
        <f>IFERROR(s_RadSpec!$E$7*($AY$7/$B73),".")</f>
        <v>5.6529969483875471E-9</v>
      </c>
      <c r="CH73" s="101">
        <f>IFERROR(s_RadSpec!$E$7*($AY$7/$B73),".")</f>
        <v>5.6529969483875471E-9</v>
      </c>
      <c r="CI73" s="101">
        <f>IFERROR(s_RadSpec!$E$7*($AY$7/$B73),".")</f>
        <v>5.6529969483875471E-9</v>
      </c>
      <c r="CJ73" s="101">
        <f>IFERROR(s_RadSpec!$E$7*($AY$7/$B73),".")</f>
        <v>5.6529969483875471E-9</v>
      </c>
      <c r="CK73" s="101">
        <f>IFERROR(s_RadSpec!$E$7*($AY$7/$B73),".")</f>
        <v>5.6529969483875471E-9</v>
      </c>
      <c r="CL73" s="101">
        <f>IFERROR(s_RadSpec!$E$7*($AY$7/$B73),".")</f>
        <v>5.6529969483875471E-9</v>
      </c>
      <c r="CM73" s="101">
        <f>IFERROR(s_RadSpec!$E$7*($AY$7/$B73),".")</f>
        <v>5.6529969483875471E-9</v>
      </c>
      <c r="CN73" s="101">
        <f>IFERROR(s_RadSpec!$E$7*($AY$7/$B73),".")</f>
        <v>5.6529969483875471E-9</v>
      </c>
      <c r="CO73" s="101">
        <f>IFERROR(s_RadSpec!$E$7*($AY$7/$B73),".")</f>
        <v>5.6529969483875471E-9</v>
      </c>
      <c r="CP73" s="101">
        <f>IFERROR(s_RadSpec!$E$7*($AY$7/$B73),".")</f>
        <v>5.6529969483875471E-9</v>
      </c>
      <c r="CQ73" s="101">
        <f>IFERROR(s_RadSpec!$E$7*($AY$7/$B73),".")</f>
        <v>5.6529969483875471E-9</v>
      </c>
      <c r="CR73" s="101">
        <f>IFERROR(s_RadSpec!$E$7*($AY$7/$B73),".")</f>
        <v>5.6529969483875471E-9</v>
      </c>
      <c r="CS73" s="101">
        <f>IFERROR(s_RadSpec!$E$7*($AY$7/$B73),".")</f>
        <v>5.6529969483875471E-9</v>
      </c>
      <c r="CT73" s="101">
        <f>IFERROR(s_RadSpec!$E$7*($AY$7/$B73),".")</f>
        <v>5.6529969483875471E-9</v>
      </c>
      <c r="CU73" s="101">
        <f>IFERROR(s_RadSpec!$E$7*($AY$7/$B73),".")</f>
        <v>5.6529969483875471E-9</v>
      </c>
      <c r="CV73" s="101">
        <f>IFERROR(s_RadSpec!$E$7*($AY$7/$B73),".")</f>
        <v>5.6529969483875471E-9</v>
      </c>
      <c r="CW73" s="101">
        <f>IFERROR(s_RadSpec!$E$7*($AY$7/$B73),".")</f>
        <v>5.6529969483875471E-9</v>
      </c>
      <c r="CX73" s="101">
        <f>IFERROR(s_RadSpec!$E$7*($AZ$7/$B73),".")</f>
        <v>5.6529969483875471E-9</v>
      </c>
    </row>
    <row r="74" spans="1:102" x14ac:dyDescent="0.25">
      <c r="A74" s="99" t="s">
        <v>1098</v>
      </c>
      <c r="B74" s="104">
        <v>1.9000000000000001E-8</v>
      </c>
      <c r="C74" s="100" t="str">
        <f t="shared" si="160"/>
        <v>.</v>
      </c>
      <c r="D74" s="100">
        <f t="shared" ref="D74:AA74" si="214">IFERROR($B74/D12,0)</f>
        <v>0</v>
      </c>
      <c r="E74" s="100">
        <f t="shared" si="214"/>
        <v>0</v>
      </c>
      <c r="F74" s="100">
        <f t="shared" si="214"/>
        <v>0</v>
      </c>
      <c r="G74" s="100">
        <f t="shared" si="214"/>
        <v>0</v>
      </c>
      <c r="H74" s="100">
        <f t="shared" si="214"/>
        <v>0</v>
      </c>
      <c r="I74" s="100">
        <f t="shared" si="214"/>
        <v>0</v>
      </c>
      <c r="J74" s="100">
        <f t="shared" si="214"/>
        <v>0</v>
      </c>
      <c r="K74" s="100">
        <f t="shared" si="214"/>
        <v>0</v>
      </c>
      <c r="L74" s="100">
        <f t="shared" si="214"/>
        <v>0</v>
      </c>
      <c r="M74" s="100">
        <f t="shared" si="214"/>
        <v>0</v>
      </c>
      <c r="N74" s="100">
        <f t="shared" si="214"/>
        <v>0</v>
      </c>
      <c r="O74" s="100">
        <f t="shared" si="214"/>
        <v>0</v>
      </c>
      <c r="P74" s="100">
        <f t="shared" si="214"/>
        <v>0</v>
      </c>
      <c r="Q74" s="100">
        <f t="shared" si="214"/>
        <v>0</v>
      </c>
      <c r="R74" s="100">
        <f t="shared" si="214"/>
        <v>0</v>
      </c>
      <c r="S74" s="100">
        <f t="shared" si="214"/>
        <v>0</v>
      </c>
      <c r="T74" s="100">
        <f t="shared" si="214"/>
        <v>0</v>
      </c>
      <c r="U74" s="100">
        <f t="shared" si="214"/>
        <v>0</v>
      </c>
      <c r="V74" s="100">
        <f t="shared" si="214"/>
        <v>0</v>
      </c>
      <c r="W74" s="100">
        <f t="shared" si="214"/>
        <v>0</v>
      </c>
      <c r="X74" s="100">
        <f t="shared" si="214"/>
        <v>0</v>
      </c>
      <c r="Y74" s="100">
        <f t="shared" si="214"/>
        <v>0</v>
      </c>
      <c r="Z74" s="100">
        <f t="shared" si="214"/>
        <v>0</v>
      </c>
      <c r="AA74" s="100">
        <f t="shared" si="214"/>
        <v>0</v>
      </c>
      <c r="AB74" s="49">
        <f t="shared" si="60"/>
        <v>0</v>
      </c>
      <c r="AC74" s="101">
        <f>IFERROR(s_RadSpec!$E$12*($AC$12/$B74),".")</f>
        <v>0</v>
      </c>
      <c r="AD74" s="101">
        <f>IFERROR(s_RadSpec!$E$12*($AD$12/$B74),".")</f>
        <v>0</v>
      </c>
      <c r="AE74" s="101">
        <f>IFERROR(s_RadSpec!$E$12*($AY$12/$B74),".")</f>
        <v>0</v>
      </c>
      <c r="AF74" s="101">
        <f>IFERROR(s_RadSpec!$E$12*($AY$12/$B74),".")</f>
        <v>0</v>
      </c>
      <c r="AG74" s="101">
        <f>IFERROR(s_RadSpec!$E$12*($AY$12/$B74),".")</f>
        <v>0</v>
      </c>
      <c r="AH74" s="101">
        <f>IFERROR(s_RadSpec!$E$12*($AY$12/$B74),".")</f>
        <v>0</v>
      </c>
      <c r="AI74" s="101">
        <f>IFERROR(s_RadSpec!$E$12*($AY$12/$B74),".")</f>
        <v>0</v>
      </c>
      <c r="AJ74" s="101">
        <f>IFERROR(s_RadSpec!$E$12*($AY$12/$B74),".")</f>
        <v>0</v>
      </c>
      <c r="AK74" s="101">
        <f>IFERROR(s_RadSpec!$E$12*($AY$12/$B74),".")</f>
        <v>0</v>
      </c>
      <c r="AL74" s="101">
        <f>IFERROR(s_RadSpec!$E$12*($AY$12/$B74),".")</f>
        <v>0</v>
      </c>
      <c r="AM74" s="101">
        <f>IFERROR(s_RadSpec!$E$12*($AY$12/$B74),".")</f>
        <v>0</v>
      </c>
      <c r="AN74" s="101">
        <f>IFERROR(s_RadSpec!$E$12*($AY$12/$B74),".")</f>
        <v>0</v>
      </c>
      <c r="AO74" s="101">
        <f>IFERROR(s_RadSpec!$E$12*($AY$12/$B74),".")</f>
        <v>0</v>
      </c>
      <c r="AP74" s="101">
        <f>IFERROR(s_RadSpec!$E$12*($AY$12/$B74),".")</f>
        <v>0</v>
      </c>
      <c r="AQ74" s="101">
        <f>IFERROR(s_RadSpec!$E$12*($AY$12/$B74),".")</f>
        <v>0</v>
      </c>
      <c r="AR74" s="101">
        <f>IFERROR(s_RadSpec!$E$12*($AY$12/$B74),".")</f>
        <v>0</v>
      </c>
      <c r="AS74" s="101">
        <f>IFERROR(s_RadSpec!$E$12*($AY$12/$B74),".")</f>
        <v>0</v>
      </c>
      <c r="AT74" s="101">
        <f>IFERROR(s_RadSpec!$E$12*($AY$12/$B74),".")</f>
        <v>0</v>
      </c>
      <c r="AU74" s="101">
        <f>IFERROR(s_RadSpec!$E$12*($AY$12/$B74),".")</f>
        <v>0</v>
      </c>
      <c r="AV74" s="101">
        <f>IFERROR(s_RadSpec!$E$12*($AY$12/$B74),".")</f>
        <v>0</v>
      </c>
      <c r="AW74" s="101">
        <f>IFERROR(s_RadSpec!$E$12*($AY$12/$B74),".")</f>
        <v>0</v>
      </c>
      <c r="AX74" s="101">
        <f>IFERROR(s_RadSpec!$E$12*($AY$12/$B74),".")</f>
        <v>0</v>
      </c>
      <c r="AY74" s="101">
        <f>IFERROR(s_RadSpec!$E$12*($AY$12/$B74),".")</f>
        <v>0</v>
      </c>
      <c r="AZ74" s="101">
        <f>IFERROR(s_RadSpec!$E$12*($AZ$12/$B74),".")</f>
        <v>0</v>
      </c>
      <c r="BA74" s="100" t="str">
        <f t="shared" si="162"/>
        <v>.</v>
      </c>
      <c r="BB74" s="100">
        <f t="shared" ref="BB74:BY74" si="215">IFERROR($B74/BB12,0)</f>
        <v>0</v>
      </c>
      <c r="BC74" s="100">
        <f t="shared" si="215"/>
        <v>0</v>
      </c>
      <c r="BD74" s="100">
        <f t="shared" si="215"/>
        <v>0</v>
      </c>
      <c r="BE74" s="100">
        <f t="shared" si="215"/>
        <v>0</v>
      </c>
      <c r="BF74" s="100">
        <f t="shared" si="215"/>
        <v>0</v>
      </c>
      <c r="BG74" s="100">
        <f t="shared" si="215"/>
        <v>0</v>
      </c>
      <c r="BH74" s="100">
        <f t="shared" si="215"/>
        <v>0</v>
      </c>
      <c r="BI74" s="100">
        <f t="shared" si="215"/>
        <v>0</v>
      </c>
      <c r="BJ74" s="100">
        <f t="shared" si="215"/>
        <v>0</v>
      </c>
      <c r="BK74" s="100">
        <f t="shared" si="215"/>
        <v>0</v>
      </c>
      <c r="BL74" s="100">
        <f t="shared" si="215"/>
        <v>0</v>
      </c>
      <c r="BM74" s="100">
        <f t="shared" si="215"/>
        <v>0</v>
      </c>
      <c r="BN74" s="100">
        <f t="shared" si="215"/>
        <v>0</v>
      </c>
      <c r="BO74" s="100">
        <f t="shared" si="215"/>
        <v>0</v>
      </c>
      <c r="BP74" s="100">
        <f t="shared" si="215"/>
        <v>0</v>
      </c>
      <c r="BQ74" s="100">
        <f t="shared" si="215"/>
        <v>0</v>
      </c>
      <c r="BR74" s="100">
        <f t="shared" si="215"/>
        <v>0</v>
      </c>
      <c r="BS74" s="100">
        <f t="shared" si="215"/>
        <v>0</v>
      </c>
      <c r="BT74" s="100">
        <f t="shared" si="215"/>
        <v>0</v>
      </c>
      <c r="BU74" s="100">
        <f t="shared" si="215"/>
        <v>0</v>
      </c>
      <c r="BV74" s="100">
        <f t="shared" si="215"/>
        <v>0</v>
      </c>
      <c r="BW74" s="100">
        <f t="shared" si="215"/>
        <v>0</v>
      </c>
      <c r="BX74" s="100">
        <f t="shared" si="215"/>
        <v>0</v>
      </c>
      <c r="BY74" s="100">
        <f t="shared" si="215"/>
        <v>0</v>
      </c>
      <c r="BZ74" s="49">
        <f t="shared" si="195"/>
        <v>0</v>
      </c>
      <c r="CA74" s="101">
        <f>IFERROR(s_RadSpec!$E$12*($AC$12/$B74),".")</f>
        <v>0</v>
      </c>
      <c r="CB74" s="101">
        <f>IFERROR(s_RadSpec!$E$12*($AD$12/$B74),".")</f>
        <v>0</v>
      </c>
      <c r="CC74" s="101">
        <f>IFERROR(s_RadSpec!$E$12*($AY$12/$B74),".")</f>
        <v>0</v>
      </c>
      <c r="CD74" s="101">
        <f>IFERROR(s_RadSpec!$E$12*($AY$12/$B74),".")</f>
        <v>0</v>
      </c>
      <c r="CE74" s="101">
        <f>IFERROR(s_RadSpec!$E$12*($AY$12/$B74),".")</f>
        <v>0</v>
      </c>
      <c r="CF74" s="101">
        <f>IFERROR(s_RadSpec!$E$12*($AY$12/$B74),".")</f>
        <v>0</v>
      </c>
      <c r="CG74" s="101">
        <f>IFERROR(s_RadSpec!$E$12*($AY$12/$B74),".")</f>
        <v>0</v>
      </c>
      <c r="CH74" s="101">
        <f>IFERROR(s_RadSpec!$E$12*($AY$12/$B74),".")</f>
        <v>0</v>
      </c>
      <c r="CI74" s="101">
        <f>IFERROR(s_RadSpec!$E$12*($AY$12/$B74),".")</f>
        <v>0</v>
      </c>
      <c r="CJ74" s="101">
        <f>IFERROR(s_RadSpec!$E$12*($AY$12/$B74),".")</f>
        <v>0</v>
      </c>
      <c r="CK74" s="101">
        <f>IFERROR(s_RadSpec!$E$12*($AY$12/$B74),".")</f>
        <v>0</v>
      </c>
      <c r="CL74" s="101">
        <f>IFERROR(s_RadSpec!$E$12*($AY$12/$B74),".")</f>
        <v>0</v>
      </c>
      <c r="CM74" s="101">
        <f>IFERROR(s_RadSpec!$E$12*($AY$12/$B74),".")</f>
        <v>0</v>
      </c>
      <c r="CN74" s="101">
        <f>IFERROR(s_RadSpec!$E$12*($AY$12/$B74),".")</f>
        <v>0</v>
      </c>
      <c r="CO74" s="101">
        <f>IFERROR(s_RadSpec!$E$12*($AY$12/$B74),".")</f>
        <v>0</v>
      </c>
      <c r="CP74" s="101">
        <f>IFERROR(s_RadSpec!$E$12*($AY$12/$B74),".")</f>
        <v>0</v>
      </c>
      <c r="CQ74" s="101">
        <f>IFERROR(s_RadSpec!$E$12*($AY$12/$B74),".")</f>
        <v>0</v>
      </c>
      <c r="CR74" s="101">
        <f>IFERROR(s_RadSpec!$E$12*($AY$12/$B74),".")</f>
        <v>0</v>
      </c>
      <c r="CS74" s="101">
        <f>IFERROR(s_RadSpec!$E$12*($AY$12/$B74),".")</f>
        <v>0</v>
      </c>
      <c r="CT74" s="101">
        <f>IFERROR(s_RadSpec!$E$12*($AY$12/$B74),".")</f>
        <v>0</v>
      </c>
      <c r="CU74" s="101">
        <f>IFERROR(s_RadSpec!$E$12*($AY$12/$B74),".")</f>
        <v>0</v>
      </c>
      <c r="CV74" s="101">
        <f>IFERROR(s_RadSpec!$E$12*($AY$12/$B74),".")</f>
        <v>0</v>
      </c>
      <c r="CW74" s="101">
        <f>IFERROR(s_RadSpec!$E$12*($AY$12/$B74),".")</f>
        <v>0</v>
      </c>
      <c r="CX74" s="101">
        <f>IFERROR(s_RadSpec!$E$12*($AZ$12/$B74),".")</f>
        <v>0</v>
      </c>
    </row>
    <row r="75" spans="1:102" x14ac:dyDescent="0.25">
      <c r="A75" s="99" t="s">
        <v>1099</v>
      </c>
      <c r="B75" s="90">
        <v>1</v>
      </c>
      <c r="C75" s="100">
        <f t="shared" si="160"/>
        <v>1.958927108199502E-2</v>
      </c>
      <c r="D75" s="100">
        <f t="shared" ref="D75:AA75" si="216">IFERROR($B75/D18,0)</f>
        <v>7.2726400664613639E-2</v>
      </c>
      <c r="E75" s="100">
        <f t="shared" si="216"/>
        <v>8.1591501051222023E-2</v>
      </c>
      <c r="F75" s="100">
        <f t="shared" si="216"/>
        <v>7.9621478743086824E-2</v>
      </c>
      <c r="G75" s="100">
        <f t="shared" si="216"/>
        <v>7.2726400664613639E-2</v>
      </c>
      <c r="H75" s="100">
        <f t="shared" si="216"/>
        <v>7.2726400664613639E-2</v>
      </c>
      <c r="I75" s="100">
        <f t="shared" si="216"/>
        <v>8.1591501051222023E-2</v>
      </c>
      <c r="J75" s="100">
        <f t="shared" si="216"/>
        <v>7.9621478743086824E-2</v>
      </c>
      <c r="K75" s="100">
        <f t="shared" si="216"/>
        <v>7.2726400664613639E-2</v>
      </c>
      <c r="L75" s="100">
        <f t="shared" si="216"/>
        <v>7.2775651222317009E-2</v>
      </c>
      <c r="M75" s="100">
        <f t="shared" si="216"/>
        <v>7.2726400664613639E-2</v>
      </c>
      <c r="N75" s="100">
        <f t="shared" si="216"/>
        <v>8.1591501051222023E-2</v>
      </c>
      <c r="O75" s="100">
        <f t="shared" si="216"/>
        <v>7.2812589140594561E-2</v>
      </c>
      <c r="P75" s="100">
        <f t="shared" si="216"/>
        <v>7.2726400664613639E-2</v>
      </c>
      <c r="Q75" s="100">
        <f t="shared" si="216"/>
        <v>7.2726400664613639E-2</v>
      </c>
      <c r="R75" s="100">
        <f t="shared" si="216"/>
        <v>7.2726400664613639E-2</v>
      </c>
      <c r="S75" s="100">
        <f t="shared" si="216"/>
        <v>7.2726400664613639E-2</v>
      </c>
      <c r="T75" s="100">
        <f t="shared" si="216"/>
        <v>7.2812589140594561E-2</v>
      </c>
      <c r="U75" s="100">
        <f t="shared" si="216"/>
        <v>7.5804560521074885E-2</v>
      </c>
      <c r="V75" s="100">
        <f t="shared" si="216"/>
        <v>7.2726400664613639E-2</v>
      </c>
      <c r="W75" s="100">
        <f t="shared" si="216"/>
        <v>7.2812589140594561E-2</v>
      </c>
      <c r="X75" s="100">
        <f t="shared" si="216"/>
        <v>7.2726400664613639E-2</v>
      </c>
      <c r="Y75" s="100">
        <f t="shared" si="216"/>
        <v>7.2726400664613639E-2</v>
      </c>
      <c r="Z75" s="100">
        <f t="shared" si="216"/>
        <v>8.8486579129695209E-2</v>
      </c>
      <c r="AA75" s="100">
        <f t="shared" si="216"/>
        <v>7.2775651222317009E-2</v>
      </c>
      <c r="AB75" s="49">
        <f t="shared" si="60"/>
        <v>1.5779006603392393E-6</v>
      </c>
      <c r="AC75" s="101">
        <f>IFERROR(s_RadSpec!$E$18*($AC$18/$B75),".")</f>
        <v>3.6363200332306815E-7</v>
      </c>
      <c r="AD75" s="101">
        <f>IFERROR(s_RadSpec!$E$18*($AD$18/$B75),".")</f>
        <v>4.0795750525611006E-7</v>
      </c>
      <c r="AE75" s="101">
        <f>IFERROR(s_RadSpec!$E$18*($AY$18/$B75),".")</f>
        <v>4.4243289564847603E-7</v>
      </c>
      <c r="AF75" s="101">
        <f>IFERROR(s_RadSpec!$E$18*($AY$18/$B75),".")</f>
        <v>4.4243289564847603E-7</v>
      </c>
      <c r="AG75" s="101">
        <f>IFERROR(s_RadSpec!$E$18*($AY$18/$B75),".")</f>
        <v>4.4243289564847603E-7</v>
      </c>
      <c r="AH75" s="101">
        <f>IFERROR(s_RadSpec!$E$18*($AY$18/$B75),".")</f>
        <v>4.4243289564847603E-7</v>
      </c>
      <c r="AI75" s="101">
        <f>IFERROR(s_RadSpec!$E$18*($AY$18/$B75),".")</f>
        <v>4.4243289564847603E-7</v>
      </c>
      <c r="AJ75" s="101">
        <f>IFERROR(s_RadSpec!$E$18*($AY$18/$B75),".")</f>
        <v>4.4243289564847603E-7</v>
      </c>
      <c r="AK75" s="101">
        <f>IFERROR(s_RadSpec!$E$18*($AY$18/$B75),".")</f>
        <v>4.4243289564847603E-7</v>
      </c>
      <c r="AL75" s="101">
        <f>IFERROR(s_RadSpec!$E$18*($AY$18/$B75),".")</f>
        <v>4.4243289564847603E-7</v>
      </c>
      <c r="AM75" s="101">
        <f>IFERROR(s_RadSpec!$E$18*($AY$18/$B75),".")</f>
        <v>4.4243289564847603E-7</v>
      </c>
      <c r="AN75" s="101">
        <f>IFERROR(s_RadSpec!$E$18*($AY$18/$B75),".")</f>
        <v>4.4243289564847603E-7</v>
      </c>
      <c r="AO75" s="101">
        <f>IFERROR(s_RadSpec!$E$18*($AY$18/$B75),".")</f>
        <v>4.4243289564847603E-7</v>
      </c>
      <c r="AP75" s="101">
        <f>IFERROR(s_RadSpec!$E$18*($AY$18/$B75),".")</f>
        <v>4.4243289564847603E-7</v>
      </c>
      <c r="AQ75" s="101">
        <f>IFERROR(s_RadSpec!$E$18*($AY$18/$B75),".")</f>
        <v>4.4243289564847603E-7</v>
      </c>
      <c r="AR75" s="101">
        <f>IFERROR(s_RadSpec!$E$18*($AY$18/$B75),".")</f>
        <v>4.4243289564847603E-7</v>
      </c>
      <c r="AS75" s="101">
        <f>IFERROR(s_RadSpec!$E$18*($AY$18/$B75),".")</f>
        <v>4.4243289564847603E-7</v>
      </c>
      <c r="AT75" s="101">
        <f>IFERROR(s_RadSpec!$E$18*($AY$18/$B75),".")</f>
        <v>4.4243289564847603E-7</v>
      </c>
      <c r="AU75" s="101">
        <f>IFERROR(s_RadSpec!$E$18*($AY$18/$B75),".")</f>
        <v>4.4243289564847603E-7</v>
      </c>
      <c r="AV75" s="101">
        <f>IFERROR(s_RadSpec!$E$18*($AY$18/$B75),".")</f>
        <v>4.4243289564847603E-7</v>
      </c>
      <c r="AW75" s="101">
        <f>IFERROR(s_RadSpec!$E$18*($AY$18/$B75),".")</f>
        <v>4.4243289564847603E-7</v>
      </c>
      <c r="AX75" s="101">
        <f>IFERROR(s_RadSpec!$E$18*($AY$18/$B75),".")</f>
        <v>4.4243289564847603E-7</v>
      </c>
      <c r="AY75" s="101">
        <f>IFERROR(s_RadSpec!$E$18*($AY$18/$B75),".")</f>
        <v>4.4243289564847603E-7</v>
      </c>
      <c r="AZ75" s="101">
        <f>IFERROR(s_RadSpec!$E$18*($AZ$18/$B75),".")</f>
        <v>3.6387825611158508E-7</v>
      </c>
      <c r="BA75" s="100">
        <f t="shared" si="162"/>
        <v>1.958927108199502E-2</v>
      </c>
      <c r="BB75" s="100">
        <f t="shared" ref="BB75:BY75" si="217">IFERROR($B75/BB18,0)</f>
        <v>7.2726400664613639E-2</v>
      </c>
      <c r="BC75" s="100">
        <f t="shared" si="217"/>
        <v>8.1591501051222023E-2</v>
      </c>
      <c r="BD75" s="100">
        <f t="shared" si="217"/>
        <v>7.9621478743086824E-2</v>
      </c>
      <c r="BE75" s="100">
        <f t="shared" si="217"/>
        <v>7.2726400664613639E-2</v>
      </c>
      <c r="BF75" s="100">
        <f t="shared" si="217"/>
        <v>7.2726400664613639E-2</v>
      </c>
      <c r="BG75" s="100">
        <f t="shared" si="217"/>
        <v>8.1591501051222023E-2</v>
      </c>
      <c r="BH75" s="100">
        <f t="shared" si="217"/>
        <v>7.9621478743086824E-2</v>
      </c>
      <c r="BI75" s="100">
        <f t="shared" si="217"/>
        <v>7.2726400664613639E-2</v>
      </c>
      <c r="BJ75" s="100">
        <f t="shared" si="217"/>
        <v>7.2775651222317009E-2</v>
      </c>
      <c r="BK75" s="100">
        <f t="shared" si="217"/>
        <v>7.2726400664613639E-2</v>
      </c>
      <c r="BL75" s="100">
        <f t="shared" si="217"/>
        <v>8.1591501051222023E-2</v>
      </c>
      <c r="BM75" s="100">
        <f t="shared" si="217"/>
        <v>7.2812589140594561E-2</v>
      </c>
      <c r="BN75" s="100">
        <f t="shared" si="217"/>
        <v>7.2726400664613639E-2</v>
      </c>
      <c r="BO75" s="100">
        <f t="shared" si="217"/>
        <v>7.2726400664613639E-2</v>
      </c>
      <c r="BP75" s="100">
        <f t="shared" si="217"/>
        <v>7.2726400664613639E-2</v>
      </c>
      <c r="BQ75" s="100">
        <f t="shared" si="217"/>
        <v>7.2726400664613639E-2</v>
      </c>
      <c r="BR75" s="100">
        <f t="shared" si="217"/>
        <v>7.2812589140594561E-2</v>
      </c>
      <c r="BS75" s="100">
        <f t="shared" si="217"/>
        <v>7.5804560521074885E-2</v>
      </c>
      <c r="BT75" s="100">
        <f t="shared" si="217"/>
        <v>7.2726400664613639E-2</v>
      </c>
      <c r="BU75" s="100">
        <f t="shared" si="217"/>
        <v>7.2812589140594561E-2</v>
      </c>
      <c r="BV75" s="100">
        <f t="shared" si="217"/>
        <v>7.2726400664613639E-2</v>
      </c>
      <c r="BW75" s="100">
        <f t="shared" si="217"/>
        <v>7.2726400664613639E-2</v>
      </c>
      <c r="BX75" s="100">
        <f t="shared" si="217"/>
        <v>8.8486579129695209E-2</v>
      </c>
      <c r="BY75" s="100">
        <f t="shared" si="217"/>
        <v>7.2775651222317009E-2</v>
      </c>
      <c r="BZ75" s="49">
        <f t="shared" si="195"/>
        <v>1.5779006603392393E-6</v>
      </c>
      <c r="CA75" s="101">
        <f>IFERROR(s_RadSpec!$E$18*($AC$18/$B75),".")</f>
        <v>3.6363200332306815E-7</v>
      </c>
      <c r="CB75" s="101">
        <f>IFERROR(s_RadSpec!$E$18*($AD$18/$B75),".")</f>
        <v>4.0795750525611006E-7</v>
      </c>
      <c r="CC75" s="101">
        <f>IFERROR(s_RadSpec!$E$18*($AY$18/$B75),".")</f>
        <v>4.4243289564847603E-7</v>
      </c>
      <c r="CD75" s="101">
        <f>IFERROR(s_RadSpec!$E$18*($AY$18/$B75),".")</f>
        <v>4.4243289564847603E-7</v>
      </c>
      <c r="CE75" s="101">
        <f>IFERROR(s_RadSpec!$E$18*($AY$18/$B75),".")</f>
        <v>4.4243289564847603E-7</v>
      </c>
      <c r="CF75" s="101">
        <f>IFERROR(s_RadSpec!$E$18*($AY$18/$B75),".")</f>
        <v>4.4243289564847603E-7</v>
      </c>
      <c r="CG75" s="101">
        <f>IFERROR(s_RadSpec!$E$18*($AY$18/$B75),".")</f>
        <v>4.4243289564847603E-7</v>
      </c>
      <c r="CH75" s="101">
        <f>IFERROR(s_RadSpec!$E$18*($AY$18/$B75),".")</f>
        <v>4.4243289564847603E-7</v>
      </c>
      <c r="CI75" s="101">
        <f>IFERROR(s_RadSpec!$E$18*($AY$18/$B75),".")</f>
        <v>4.4243289564847603E-7</v>
      </c>
      <c r="CJ75" s="101">
        <f>IFERROR(s_RadSpec!$E$18*($AY$18/$B75),".")</f>
        <v>4.4243289564847603E-7</v>
      </c>
      <c r="CK75" s="101">
        <f>IFERROR(s_RadSpec!$E$18*($AY$18/$B75),".")</f>
        <v>4.4243289564847603E-7</v>
      </c>
      <c r="CL75" s="101">
        <f>IFERROR(s_RadSpec!$E$18*($AY$18/$B75),".")</f>
        <v>4.4243289564847603E-7</v>
      </c>
      <c r="CM75" s="101">
        <f>IFERROR(s_RadSpec!$E$18*($AY$18/$B75),".")</f>
        <v>4.4243289564847603E-7</v>
      </c>
      <c r="CN75" s="101">
        <f>IFERROR(s_RadSpec!$E$18*($AY$18/$B75),".")</f>
        <v>4.4243289564847603E-7</v>
      </c>
      <c r="CO75" s="101">
        <f>IFERROR(s_RadSpec!$E$18*($AY$18/$B75),".")</f>
        <v>4.4243289564847603E-7</v>
      </c>
      <c r="CP75" s="101">
        <f>IFERROR(s_RadSpec!$E$18*($AY$18/$B75),".")</f>
        <v>4.4243289564847603E-7</v>
      </c>
      <c r="CQ75" s="101">
        <f>IFERROR(s_RadSpec!$E$18*($AY$18/$B75),".")</f>
        <v>4.4243289564847603E-7</v>
      </c>
      <c r="CR75" s="101">
        <f>IFERROR(s_RadSpec!$E$18*($AY$18/$B75),".")</f>
        <v>4.4243289564847603E-7</v>
      </c>
      <c r="CS75" s="101">
        <f>IFERROR(s_RadSpec!$E$18*($AY$18/$B75),".")</f>
        <v>4.4243289564847603E-7</v>
      </c>
      <c r="CT75" s="101">
        <f>IFERROR(s_RadSpec!$E$18*($AY$18/$B75),".")</f>
        <v>4.4243289564847603E-7</v>
      </c>
      <c r="CU75" s="101">
        <f>IFERROR(s_RadSpec!$E$18*($AY$18/$B75),".")</f>
        <v>4.4243289564847603E-7</v>
      </c>
      <c r="CV75" s="101">
        <f>IFERROR(s_RadSpec!$E$18*($AY$18/$B75),".")</f>
        <v>4.4243289564847603E-7</v>
      </c>
      <c r="CW75" s="101">
        <f>IFERROR(s_RadSpec!$E$18*($AY$18/$B75),".")</f>
        <v>4.4243289564847603E-7</v>
      </c>
      <c r="CX75" s="101">
        <f>IFERROR(s_RadSpec!$E$18*($AZ$18/$B75),".")</f>
        <v>3.6387825611158508E-7</v>
      </c>
    </row>
    <row r="76" spans="1:102" x14ac:dyDescent="0.25">
      <c r="A76" s="99" t="s">
        <v>1100</v>
      </c>
      <c r="B76" s="90">
        <v>1.339E-6</v>
      </c>
      <c r="C76" s="100" t="str">
        <f t="shared" si="160"/>
        <v>.</v>
      </c>
      <c r="D76" s="100">
        <f t="shared" ref="D76:AA76" si="218">IFERROR($B76/D27,0)</f>
        <v>0</v>
      </c>
      <c r="E76" s="100">
        <f t="shared" si="218"/>
        <v>0</v>
      </c>
      <c r="F76" s="100">
        <f t="shared" si="218"/>
        <v>0</v>
      </c>
      <c r="G76" s="100">
        <f t="shared" si="218"/>
        <v>0</v>
      </c>
      <c r="H76" s="100">
        <f t="shared" si="218"/>
        <v>0</v>
      </c>
      <c r="I76" s="100">
        <f t="shared" si="218"/>
        <v>0</v>
      </c>
      <c r="J76" s="100">
        <f t="shared" si="218"/>
        <v>0</v>
      </c>
      <c r="K76" s="100">
        <f t="shared" si="218"/>
        <v>0</v>
      </c>
      <c r="L76" s="100">
        <f t="shared" si="218"/>
        <v>0</v>
      </c>
      <c r="M76" s="100">
        <f t="shared" si="218"/>
        <v>0</v>
      </c>
      <c r="N76" s="100">
        <f t="shared" si="218"/>
        <v>0</v>
      </c>
      <c r="O76" s="100">
        <f t="shared" si="218"/>
        <v>0</v>
      </c>
      <c r="P76" s="100">
        <f t="shared" si="218"/>
        <v>0</v>
      </c>
      <c r="Q76" s="100">
        <f t="shared" si="218"/>
        <v>0</v>
      </c>
      <c r="R76" s="100">
        <f t="shared" si="218"/>
        <v>0</v>
      </c>
      <c r="S76" s="100">
        <f t="shared" si="218"/>
        <v>0</v>
      </c>
      <c r="T76" s="100">
        <f t="shared" si="218"/>
        <v>0</v>
      </c>
      <c r="U76" s="100">
        <f t="shared" si="218"/>
        <v>0</v>
      </c>
      <c r="V76" s="100">
        <f t="shared" si="218"/>
        <v>0</v>
      </c>
      <c r="W76" s="100">
        <f t="shared" si="218"/>
        <v>0</v>
      </c>
      <c r="X76" s="100">
        <f t="shared" si="218"/>
        <v>0</v>
      </c>
      <c r="Y76" s="100">
        <f t="shared" si="218"/>
        <v>0</v>
      </c>
      <c r="Z76" s="100">
        <f t="shared" si="218"/>
        <v>0</v>
      </c>
      <c r="AA76" s="100">
        <f t="shared" si="218"/>
        <v>0</v>
      </c>
      <c r="AB76" s="49">
        <f t="shared" si="60"/>
        <v>0</v>
      </c>
      <c r="AC76" s="101">
        <f>IFERROR(s_RadSpec!$E$27*($AC$27/$B76),".")</f>
        <v>0</v>
      </c>
      <c r="AD76" s="101">
        <f>IFERROR(s_RadSpec!$E$27*($AD$27/$B76),".")</f>
        <v>0</v>
      </c>
      <c r="AE76" s="101">
        <f>IFERROR(s_RadSpec!$E$27*($AY$27/$B76),".")</f>
        <v>0</v>
      </c>
      <c r="AF76" s="101">
        <f>IFERROR(s_RadSpec!$E$27*($AY$27/$B76),".")</f>
        <v>0</v>
      </c>
      <c r="AG76" s="101">
        <f>IFERROR(s_RadSpec!$E$27*($AY$27/$B76),".")</f>
        <v>0</v>
      </c>
      <c r="AH76" s="101">
        <f>IFERROR(s_RadSpec!$E$27*($AY$27/$B76),".")</f>
        <v>0</v>
      </c>
      <c r="AI76" s="101">
        <f>IFERROR(s_RadSpec!$E$27*($AY$27/$B76),".")</f>
        <v>0</v>
      </c>
      <c r="AJ76" s="101">
        <f>IFERROR(s_RadSpec!$E$27*($AY$27/$B76),".")</f>
        <v>0</v>
      </c>
      <c r="AK76" s="101">
        <f>IFERROR(s_RadSpec!$E$27*($AY$27/$B76),".")</f>
        <v>0</v>
      </c>
      <c r="AL76" s="101">
        <f>IFERROR(s_RadSpec!$E$27*($AY$27/$B76),".")</f>
        <v>0</v>
      </c>
      <c r="AM76" s="101">
        <f>IFERROR(s_RadSpec!$E$27*($AY$27/$B76),".")</f>
        <v>0</v>
      </c>
      <c r="AN76" s="101">
        <f>IFERROR(s_RadSpec!$E$27*($AY$27/$B76),".")</f>
        <v>0</v>
      </c>
      <c r="AO76" s="101">
        <f>IFERROR(s_RadSpec!$E$27*($AY$27/$B76),".")</f>
        <v>0</v>
      </c>
      <c r="AP76" s="101">
        <f>IFERROR(s_RadSpec!$E$27*($AY$27/$B76),".")</f>
        <v>0</v>
      </c>
      <c r="AQ76" s="101">
        <f>IFERROR(s_RadSpec!$E$27*($AY$27/$B76),".")</f>
        <v>0</v>
      </c>
      <c r="AR76" s="101">
        <f>IFERROR(s_RadSpec!$E$27*($AY$27/$B76),".")</f>
        <v>0</v>
      </c>
      <c r="AS76" s="101">
        <f>IFERROR(s_RadSpec!$E$27*($AY$27/$B76),".")</f>
        <v>0</v>
      </c>
      <c r="AT76" s="101">
        <f>IFERROR(s_RadSpec!$E$27*($AY$27/$B76),".")</f>
        <v>0</v>
      </c>
      <c r="AU76" s="101">
        <f>IFERROR(s_RadSpec!$E$27*($AY$27/$B76),".")</f>
        <v>0</v>
      </c>
      <c r="AV76" s="101">
        <f>IFERROR(s_RadSpec!$E$27*($AY$27/$B76),".")</f>
        <v>0</v>
      </c>
      <c r="AW76" s="101">
        <f>IFERROR(s_RadSpec!$E$27*($AY$27/$B76),".")</f>
        <v>0</v>
      </c>
      <c r="AX76" s="101">
        <f>IFERROR(s_RadSpec!$E$27*($AY$27/$B76),".")</f>
        <v>0</v>
      </c>
      <c r="AY76" s="101">
        <f>IFERROR(s_RadSpec!$E$27*($AY$27/$B76),".")</f>
        <v>0</v>
      </c>
      <c r="AZ76" s="101">
        <f>IFERROR(s_RadSpec!$E$27*($AZ$27/$B76),".")</f>
        <v>0</v>
      </c>
      <c r="BA76" s="100" t="str">
        <f t="shared" si="162"/>
        <v>.</v>
      </c>
      <c r="BB76" s="100">
        <f t="shared" ref="BB76:BY76" si="219">IFERROR($B76/BB27,0)</f>
        <v>0</v>
      </c>
      <c r="BC76" s="100">
        <f t="shared" si="219"/>
        <v>0</v>
      </c>
      <c r="BD76" s="100">
        <f t="shared" si="219"/>
        <v>0</v>
      </c>
      <c r="BE76" s="100">
        <f t="shared" si="219"/>
        <v>0</v>
      </c>
      <c r="BF76" s="100">
        <f t="shared" si="219"/>
        <v>0</v>
      </c>
      <c r="BG76" s="100">
        <f t="shared" si="219"/>
        <v>0</v>
      </c>
      <c r="BH76" s="100">
        <f t="shared" si="219"/>
        <v>0</v>
      </c>
      <c r="BI76" s="100">
        <f t="shared" si="219"/>
        <v>0</v>
      </c>
      <c r="BJ76" s="100">
        <f t="shared" si="219"/>
        <v>0</v>
      </c>
      <c r="BK76" s="100">
        <f t="shared" si="219"/>
        <v>0</v>
      </c>
      <c r="BL76" s="100">
        <f t="shared" si="219"/>
        <v>0</v>
      </c>
      <c r="BM76" s="100">
        <f t="shared" si="219"/>
        <v>0</v>
      </c>
      <c r="BN76" s="100">
        <f t="shared" si="219"/>
        <v>0</v>
      </c>
      <c r="BO76" s="100">
        <f t="shared" si="219"/>
        <v>0</v>
      </c>
      <c r="BP76" s="100">
        <f t="shared" si="219"/>
        <v>0</v>
      </c>
      <c r="BQ76" s="100">
        <f t="shared" si="219"/>
        <v>0</v>
      </c>
      <c r="BR76" s="100">
        <f t="shared" si="219"/>
        <v>0</v>
      </c>
      <c r="BS76" s="100">
        <f t="shared" si="219"/>
        <v>0</v>
      </c>
      <c r="BT76" s="100">
        <f t="shared" si="219"/>
        <v>0</v>
      </c>
      <c r="BU76" s="100">
        <f t="shared" si="219"/>
        <v>0</v>
      </c>
      <c r="BV76" s="100">
        <f t="shared" si="219"/>
        <v>0</v>
      </c>
      <c r="BW76" s="100">
        <f t="shared" si="219"/>
        <v>0</v>
      </c>
      <c r="BX76" s="100">
        <f t="shared" si="219"/>
        <v>0</v>
      </c>
      <c r="BY76" s="100">
        <f t="shared" si="219"/>
        <v>0</v>
      </c>
      <c r="BZ76" s="49">
        <f t="shared" si="195"/>
        <v>0</v>
      </c>
      <c r="CA76" s="101">
        <f>IFERROR(s_RadSpec!$E$27*($AC$27/$B76),".")</f>
        <v>0</v>
      </c>
      <c r="CB76" s="101">
        <f>IFERROR(s_RadSpec!$E$27*($AD$27/$B76),".")</f>
        <v>0</v>
      </c>
      <c r="CC76" s="101">
        <f>IFERROR(s_RadSpec!$E$27*($AY$27/$B76),".")</f>
        <v>0</v>
      </c>
      <c r="CD76" s="101">
        <f>IFERROR(s_RadSpec!$E$27*($AY$27/$B76),".")</f>
        <v>0</v>
      </c>
      <c r="CE76" s="101">
        <f>IFERROR(s_RadSpec!$E$27*($AY$27/$B76),".")</f>
        <v>0</v>
      </c>
      <c r="CF76" s="101">
        <f>IFERROR(s_RadSpec!$E$27*($AY$27/$B76),".")</f>
        <v>0</v>
      </c>
      <c r="CG76" s="101">
        <f>IFERROR(s_RadSpec!$E$27*($AY$27/$B76),".")</f>
        <v>0</v>
      </c>
      <c r="CH76" s="101">
        <f>IFERROR(s_RadSpec!$E$27*($AY$27/$B76),".")</f>
        <v>0</v>
      </c>
      <c r="CI76" s="101">
        <f>IFERROR(s_RadSpec!$E$27*($AY$27/$B76),".")</f>
        <v>0</v>
      </c>
      <c r="CJ76" s="101">
        <f>IFERROR(s_RadSpec!$E$27*($AY$27/$B76),".")</f>
        <v>0</v>
      </c>
      <c r="CK76" s="101">
        <f>IFERROR(s_RadSpec!$E$27*($AY$27/$B76),".")</f>
        <v>0</v>
      </c>
      <c r="CL76" s="101">
        <f>IFERROR(s_RadSpec!$E$27*($AY$27/$B76),".")</f>
        <v>0</v>
      </c>
      <c r="CM76" s="101">
        <f>IFERROR(s_RadSpec!$E$27*($AY$27/$B76),".")</f>
        <v>0</v>
      </c>
      <c r="CN76" s="101">
        <f>IFERROR(s_RadSpec!$E$27*($AY$27/$B76),".")</f>
        <v>0</v>
      </c>
      <c r="CO76" s="101">
        <f>IFERROR(s_RadSpec!$E$27*($AY$27/$B76),".")</f>
        <v>0</v>
      </c>
      <c r="CP76" s="101">
        <f>IFERROR(s_RadSpec!$E$27*($AY$27/$B76),".")</f>
        <v>0</v>
      </c>
      <c r="CQ76" s="101">
        <f>IFERROR(s_RadSpec!$E$27*($AY$27/$B76),".")</f>
        <v>0</v>
      </c>
      <c r="CR76" s="101">
        <f>IFERROR(s_RadSpec!$E$27*($AY$27/$B76),".")</f>
        <v>0</v>
      </c>
      <c r="CS76" s="101">
        <f>IFERROR(s_RadSpec!$E$27*($AY$27/$B76),".")</f>
        <v>0</v>
      </c>
      <c r="CT76" s="101">
        <f>IFERROR(s_RadSpec!$E$27*($AY$27/$B76),".")</f>
        <v>0</v>
      </c>
      <c r="CU76" s="101">
        <f>IFERROR(s_RadSpec!$E$27*($AY$27/$B76),".")</f>
        <v>0</v>
      </c>
      <c r="CV76" s="101">
        <f>IFERROR(s_RadSpec!$E$27*($AY$27/$B76),".")</f>
        <v>0</v>
      </c>
      <c r="CW76" s="101">
        <f>IFERROR(s_RadSpec!$E$27*($AY$27/$B76),".")</f>
        <v>0</v>
      </c>
      <c r="CX76" s="101">
        <f>IFERROR(s_RadSpec!$E$27*($AZ$27/$B76),".")</f>
        <v>0</v>
      </c>
    </row>
  </sheetData>
  <sheetProtection algorithmName="SHA-512" hashValue="KUVYO/GyO9MUa8oAKFf9zb6diPsHVXaA0vzjwRKuDAoa9iab+U71ShTOM6YWV+TV29ttLb/EVW7Lxk6FePfWkQ==" saltValue="9dSMF9ytsAF5qZjSMsiH6Q==" spinCount="100000" sheet="1" objects="1" scenarios="1" formatColumns="0" formatRows="0" autoFilter="0"/>
  <autoFilter ref="A1:CX76" xr:uid="{39D6BB68-1553-488F-8118-EF63F6CFFA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C30"/>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4" bestFit="1" customWidth="1"/>
    <col min="2" max="2" width="11.5703125" style="4" bestFit="1" customWidth="1"/>
    <col min="3" max="3" width="10.28515625" style="4" customWidth="1"/>
    <col min="4" max="4" width="9" style="4" bestFit="1" customWidth="1"/>
    <col min="5" max="5" width="9" style="5" bestFit="1" customWidth="1"/>
    <col min="6" max="6" width="8.7109375" style="5" bestFit="1" customWidth="1"/>
    <col min="7" max="8" width="9" style="5" bestFit="1" customWidth="1"/>
    <col min="9" max="9" width="9.85546875" style="5" bestFit="1" customWidth="1"/>
    <col min="10" max="10" width="11" style="5" bestFit="1" customWidth="1"/>
    <col min="11" max="11" width="9.7109375" style="5" customWidth="1"/>
    <col min="12" max="12" width="10.7109375" style="5" customWidth="1"/>
    <col min="13" max="14" width="10.7109375" style="5" bestFit="1" customWidth="1"/>
    <col min="15" max="15" width="11.85546875" style="5" bestFit="1" customWidth="1"/>
    <col min="16" max="16" width="9.7109375" style="5" customWidth="1"/>
    <col min="17" max="17" width="9.7109375" style="2" bestFit="1" customWidth="1"/>
    <col min="18" max="19" width="10.7109375" style="2" bestFit="1" customWidth="1"/>
    <col min="20" max="20" width="11.85546875" style="2" bestFit="1" customWidth="1"/>
    <col min="21" max="21" width="9.85546875" style="2" customWidth="1"/>
    <col min="22" max="22" width="9.7109375" style="2" customWidth="1"/>
    <col min="23" max="24" width="10.7109375" style="2" customWidth="1"/>
    <col min="25" max="25" width="11.85546875" style="2" bestFit="1" customWidth="1"/>
    <col min="26" max="26" width="10.42578125" style="2" customWidth="1"/>
    <col min="27" max="27" width="10.28515625" style="2" customWidth="1"/>
    <col min="28" max="29" width="11.28515625" style="2" customWidth="1"/>
    <col min="30" max="30" width="12.42578125" style="2" bestFit="1" customWidth="1"/>
    <col min="31" max="31" width="12.5703125" style="2" bestFit="1" customWidth="1"/>
    <col min="32" max="32" width="10.5703125" style="2" customWidth="1"/>
    <col min="33" max="33" width="11" style="2" bestFit="1" customWidth="1"/>
    <col min="34" max="34" width="10.5703125" style="2" bestFit="1" customWidth="1"/>
    <col min="35" max="35" width="10.28515625" style="2" bestFit="1" customWidth="1"/>
    <col min="36" max="36" width="14.5703125" style="2" bestFit="1" customWidth="1"/>
    <col min="37" max="37" width="10.28515625" style="2" bestFit="1" customWidth="1"/>
    <col min="38" max="38" width="12.42578125" style="2" bestFit="1" customWidth="1"/>
    <col min="39" max="39" width="11.7109375" style="2" bestFit="1" customWidth="1"/>
    <col min="40" max="40" width="16.28515625" style="2" bestFit="1" customWidth="1"/>
    <col min="41" max="41" width="11.5703125" style="2" bestFit="1" customWidth="1"/>
    <col min="42" max="42" width="16.140625" style="2" bestFit="1" customWidth="1"/>
    <col min="43" max="43" width="9.85546875" style="2" bestFit="1" customWidth="1"/>
    <col min="44" max="44" width="9.5703125" style="2" bestFit="1" customWidth="1"/>
    <col min="45" max="45" width="9" style="2" bestFit="1" customWidth="1"/>
    <col min="46" max="46" width="11.85546875" style="2" bestFit="1" customWidth="1"/>
    <col min="47" max="47" width="11.28515625" style="2" bestFit="1" customWidth="1"/>
    <col min="48" max="48" width="13.28515625" style="2" bestFit="1" customWidth="1"/>
    <col min="49" max="49" width="8.5703125" style="3" bestFit="1" customWidth="1"/>
    <col min="50" max="50" width="11.5703125" style="3" bestFit="1" customWidth="1"/>
    <col min="51" max="51" width="11.42578125" style="2" bestFit="1" customWidth="1"/>
    <col min="52" max="52" width="11" style="3" bestFit="1" customWidth="1"/>
    <col min="53" max="53" width="12.7109375" style="3" bestFit="1" customWidth="1"/>
    <col min="54" max="55" width="9" style="3" bestFit="1" customWidth="1"/>
    <col min="56" max="16384" width="9.140625" style="3"/>
  </cols>
  <sheetData>
    <row r="1" spans="1:55" s="9" customFormat="1" x14ac:dyDescent="0.25">
      <c r="A1" s="78" t="s">
        <v>51</v>
      </c>
      <c r="B1" s="79" t="s">
        <v>350</v>
      </c>
      <c r="C1" s="79" t="s">
        <v>362</v>
      </c>
      <c r="D1" s="166" t="s">
        <v>0</v>
      </c>
      <c r="E1" s="166" t="s">
        <v>1</v>
      </c>
      <c r="F1" s="166" t="s">
        <v>2</v>
      </c>
      <c r="G1" s="166" t="s">
        <v>3</v>
      </c>
      <c r="H1" s="166" t="s">
        <v>4</v>
      </c>
      <c r="I1" s="166" t="s">
        <v>5</v>
      </c>
      <c r="J1" s="166" t="s">
        <v>6</v>
      </c>
      <c r="K1" s="166" t="s">
        <v>7</v>
      </c>
      <c r="L1" s="166" t="s">
        <v>8</v>
      </c>
      <c r="M1" s="166" t="s">
        <v>9</v>
      </c>
      <c r="N1" s="166" t="s">
        <v>10</v>
      </c>
      <c r="O1" s="166" t="s">
        <v>11</v>
      </c>
      <c r="P1" s="166" t="s">
        <v>41</v>
      </c>
      <c r="Q1" s="166" t="s">
        <v>42</v>
      </c>
      <c r="R1" s="166" t="s">
        <v>43</v>
      </c>
      <c r="S1" s="166" t="s">
        <v>44</v>
      </c>
      <c r="T1" s="166" t="s">
        <v>45</v>
      </c>
      <c r="U1" s="166" t="s">
        <v>46</v>
      </c>
      <c r="V1" s="166" t="s">
        <v>47</v>
      </c>
      <c r="W1" s="166" t="s">
        <v>48</v>
      </c>
      <c r="X1" s="166" t="s">
        <v>49</v>
      </c>
      <c r="Y1" s="166" t="s">
        <v>50</v>
      </c>
      <c r="Z1" s="166" t="s">
        <v>363</v>
      </c>
      <c r="AA1" s="166" t="s">
        <v>364</v>
      </c>
      <c r="AB1" s="166" t="s">
        <v>365</v>
      </c>
      <c r="AC1" s="166" t="s">
        <v>366</v>
      </c>
      <c r="AD1" s="166" t="s">
        <v>367</v>
      </c>
      <c r="AE1" s="169" t="s">
        <v>337</v>
      </c>
      <c r="AF1" s="169" t="s">
        <v>338</v>
      </c>
      <c r="AG1" s="170" t="s">
        <v>339</v>
      </c>
      <c r="AH1" s="170" t="s">
        <v>340</v>
      </c>
      <c r="AI1" s="170" t="s">
        <v>341</v>
      </c>
      <c r="AJ1" s="170" t="s">
        <v>342</v>
      </c>
      <c r="AK1" s="170" t="s">
        <v>343</v>
      </c>
      <c r="AL1" s="170" t="s">
        <v>344</v>
      </c>
      <c r="AM1" s="170" t="s">
        <v>1070</v>
      </c>
      <c r="AN1" s="170" t="s">
        <v>1073</v>
      </c>
      <c r="AO1" s="170" t="s">
        <v>1071</v>
      </c>
      <c r="AP1" s="170" t="s">
        <v>1072</v>
      </c>
      <c r="AQ1" s="171" t="s">
        <v>345</v>
      </c>
      <c r="AR1" s="170" t="s">
        <v>346</v>
      </c>
      <c r="AS1" s="171" t="s">
        <v>209</v>
      </c>
      <c r="AT1" s="171" t="s">
        <v>347</v>
      </c>
      <c r="AU1" s="171" t="s">
        <v>348</v>
      </c>
      <c r="AV1" s="172" t="s">
        <v>354</v>
      </c>
      <c r="AW1" s="172" t="s">
        <v>355</v>
      </c>
      <c r="AX1" s="173" t="s">
        <v>360</v>
      </c>
      <c r="AY1" s="173" t="s">
        <v>359</v>
      </c>
      <c r="AZ1" s="173" t="s">
        <v>358</v>
      </c>
      <c r="BA1" s="174" t="s">
        <v>361</v>
      </c>
      <c r="BB1" s="172" t="s">
        <v>373</v>
      </c>
      <c r="BC1" s="172" t="s">
        <v>376</v>
      </c>
    </row>
    <row r="2" spans="1:55" x14ac:dyDescent="0.25">
      <c r="A2" s="42" t="s">
        <v>12</v>
      </c>
      <c r="B2" s="42" t="s">
        <v>1074</v>
      </c>
      <c r="C2" s="42"/>
      <c r="D2" s="15">
        <v>4.8839999999999999E-10</v>
      </c>
      <c r="E2" s="15">
        <v>2.7158000000000001E-10</v>
      </c>
      <c r="F2" s="15">
        <v>4.1217381359999998E-8</v>
      </c>
      <c r="G2" s="15">
        <v>2.8564E-8</v>
      </c>
      <c r="H2" s="15">
        <v>1.8907E-10</v>
      </c>
      <c r="I2" s="15">
        <v>9.0279999999999997E-11</v>
      </c>
      <c r="J2" s="15">
        <v>5.1492535920000001E-11</v>
      </c>
      <c r="K2" s="15">
        <v>1.202660136E-8</v>
      </c>
      <c r="L2" s="15">
        <v>1.1407756824E-13</v>
      </c>
      <c r="M2" s="15">
        <v>1.1545537305600001E-8</v>
      </c>
      <c r="N2" s="15">
        <v>2.9891358720000003E-8</v>
      </c>
      <c r="O2" s="15">
        <v>4.0166513280000001E-8</v>
      </c>
      <c r="P2" s="15">
        <v>1</v>
      </c>
      <c r="Q2" s="15">
        <v>1</v>
      </c>
      <c r="R2" s="15">
        <v>1</v>
      </c>
      <c r="S2" s="15">
        <v>1</v>
      </c>
      <c r="T2" s="15">
        <v>1</v>
      </c>
      <c r="U2" s="15">
        <v>1</v>
      </c>
      <c r="V2" s="15">
        <v>1</v>
      </c>
      <c r="W2" s="15">
        <v>1</v>
      </c>
      <c r="X2" s="15">
        <v>1</v>
      </c>
      <c r="Y2" s="15">
        <v>1</v>
      </c>
      <c r="Z2" s="105">
        <f t="shared" ref="Z2:AD3" si="0">0.4*U2</f>
        <v>0.4</v>
      </c>
      <c r="AA2" s="105">
        <f t="shared" si="0"/>
        <v>0.4</v>
      </c>
      <c r="AB2" s="105">
        <f t="shared" si="0"/>
        <v>0.4</v>
      </c>
      <c r="AC2" s="105">
        <f t="shared" si="0"/>
        <v>0.4</v>
      </c>
      <c r="AD2" s="105">
        <f t="shared" si="0"/>
        <v>0.4</v>
      </c>
      <c r="AE2" s="15">
        <v>2.7397260273972601E-2</v>
      </c>
      <c r="AF2" s="15">
        <v>225</v>
      </c>
      <c r="AG2" s="15">
        <v>1.9999999999999999E-6</v>
      </c>
      <c r="AH2" s="15">
        <v>2.0000000000000002E-5</v>
      </c>
      <c r="AI2" s="15">
        <v>15</v>
      </c>
      <c r="AJ2" s="15"/>
      <c r="AK2" s="15"/>
      <c r="AL2" s="15"/>
      <c r="AM2" s="15"/>
      <c r="AN2" s="15"/>
      <c r="AO2" s="15"/>
      <c r="AP2" s="15"/>
      <c r="AQ2" s="15">
        <v>1E-3</v>
      </c>
      <c r="AR2" s="15">
        <v>0.1</v>
      </c>
      <c r="AS2" s="15">
        <v>1700</v>
      </c>
      <c r="AT2" s="15">
        <v>5.0000000000000001E-4</v>
      </c>
      <c r="AU2" s="15">
        <v>25.294499999999999</v>
      </c>
      <c r="AV2" s="42">
        <v>15</v>
      </c>
      <c r="AW2" s="42">
        <v>225</v>
      </c>
      <c r="AX2" s="105">
        <f t="shared" ref="AX2:AX3" si="1">AZ2+lambda_HL</f>
        <v>2.6999999999999999E-5</v>
      </c>
      <c r="AY2" s="105">
        <f>AZ2+(0.693/t_w)</f>
        <v>4.9499999999999995E-2</v>
      </c>
      <c r="AZ2" s="105">
        <v>0</v>
      </c>
      <c r="BA2" s="15">
        <v>10</v>
      </c>
      <c r="BB2" s="105">
        <f t="shared" ref="BB2" si="2">AR2</f>
        <v>0.1</v>
      </c>
      <c r="BC2" s="105">
        <f t="shared" ref="BC2" si="3">AQ2</f>
        <v>1E-3</v>
      </c>
    </row>
    <row r="3" spans="1:55" x14ac:dyDescent="0.25">
      <c r="A3" s="42" t="s">
        <v>13</v>
      </c>
      <c r="B3" s="42" t="s">
        <v>351</v>
      </c>
      <c r="C3" s="42"/>
      <c r="D3" s="15">
        <v>1.8425999999999999E-10</v>
      </c>
      <c r="E3" s="15">
        <v>1.3357000000000001E-10</v>
      </c>
      <c r="F3" s="15">
        <v>2.767285944E-8</v>
      </c>
      <c r="G3" s="15">
        <v>3.7739999999999999E-8</v>
      </c>
      <c r="H3" s="15">
        <v>1.036E-10</v>
      </c>
      <c r="I3" s="15">
        <v>9.1019999999999999E-11</v>
      </c>
      <c r="J3" s="15">
        <v>5.8031270640000001E-11</v>
      </c>
      <c r="K3" s="15">
        <v>1.86820992E-8</v>
      </c>
      <c r="L3" s="15">
        <v>1.319423256E-13</v>
      </c>
      <c r="M3" s="15">
        <v>1.3754695536000001E-8</v>
      </c>
      <c r="N3" s="15">
        <v>2.5781296896000001E-8</v>
      </c>
      <c r="O3" s="15">
        <v>2.767285944E-8</v>
      </c>
      <c r="P3" s="15">
        <v>1</v>
      </c>
      <c r="Q3" s="15">
        <v>1</v>
      </c>
      <c r="R3" s="15">
        <v>1</v>
      </c>
      <c r="S3" s="15">
        <v>1</v>
      </c>
      <c r="T3" s="15">
        <v>1</v>
      </c>
      <c r="U3" s="15">
        <v>1</v>
      </c>
      <c r="V3" s="15">
        <v>1</v>
      </c>
      <c r="W3" s="15">
        <v>1</v>
      </c>
      <c r="X3" s="15">
        <v>1</v>
      </c>
      <c r="Y3" s="15">
        <v>1</v>
      </c>
      <c r="Z3" s="105">
        <f t="shared" si="0"/>
        <v>0.4</v>
      </c>
      <c r="AA3" s="105">
        <f t="shared" si="0"/>
        <v>0.4</v>
      </c>
      <c r="AB3" s="105">
        <f t="shared" si="0"/>
        <v>0.4</v>
      </c>
      <c r="AC3" s="105">
        <f t="shared" si="0"/>
        <v>0.4</v>
      </c>
      <c r="AD3" s="105">
        <f t="shared" si="0"/>
        <v>0.4</v>
      </c>
      <c r="AE3" s="15">
        <v>432.2</v>
      </c>
      <c r="AF3" s="15">
        <v>241</v>
      </c>
      <c r="AG3" s="15">
        <v>4.2E-7</v>
      </c>
      <c r="AH3" s="15">
        <v>5.0000000000000001E-4</v>
      </c>
      <c r="AI3" s="15">
        <v>240</v>
      </c>
      <c r="AJ3" s="15">
        <v>6.0000000000000001E-3</v>
      </c>
      <c r="AK3" s="15">
        <v>3.0000000000000001E-3</v>
      </c>
      <c r="AL3" s="15">
        <v>1.7000000000000001E-4</v>
      </c>
      <c r="AM3" s="175">
        <v>1.1E-4</v>
      </c>
      <c r="AN3" s="15"/>
      <c r="AO3" s="15"/>
      <c r="AP3" s="175">
        <v>6.9E-6</v>
      </c>
      <c r="AQ3" s="15">
        <v>2.1999999999999999E-5</v>
      </c>
      <c r="AR3" s="15">
        <v>2.52873563218391E-5</v>
      </c>
      <c r="AS3" s="15">
        <v>4</v>
      </c>
      <c r="AT3" s="15">
        <v>5.0000000000000001E-4</v>
      </c>
      <c r="AU3" s="15">
        <v>1.60342434058306E-3</v>
      </c>
      <c r="AV3" s="42">
        <v>15</v>
      </c>
      <c r="AW3" s="42">
        <v>241</v>
      </c>
      <c r="AX3" s="105">
        <f t="shared" si="1"/>
        <v>2.6999999999999999E-5</v>
      </c>
      <c r="AY3" s="105">
        <f>AZ3+(0.693/t_w)</f>
        <v>4.9499999999999995E-2</v>
      </c>
      <c r="AZ3" s="105">
        <v>0</v>
      </c>
      <c r="BA3" s="15">
        <v>157753</v>
      </c>
      <c r="BB3" s="105">
        <f>AR3</f>
        <v>2.52873563218391E-5</v>
      </c>
      <c r="BC3" s="105">
        <f>AQ3</f>
        <v>2.1999999999999999E-5</v>
      </c>
    </row>
    <row r="4" spans="1:55" x14ac:dyDescent="0.25">
      <c r="A4" s="42" t="s">
        <v>14</v>
      </c>
      <c r="B4" s="42" t="s">
        <v>1074</v>
      </c>
      <c r="C4" s="42"/>
      <c r="D4" s="15">
        <v>0</v>
      </c>
      <c r="E4" s="15">
        <v>0</v>
      </c>
      <c r="F4" s="15">
        <v>9.364402224000001E-10</v>
      </c>
      <c r="G4" s="15">
        <v>0</v>
      </c>
      <c r="H4" s="15">
        <v>0</v>
      </c>
      <c r="I4" s="15">
        <v>0</v>
      </c>
      <c r="J4" s="15">
        <v>9.7613968320000008E-13</v>
      </c>
      <c r="K4" s="15">
        <v>2.125088784E-10</v>
      </c>
      <c r="L4" s="15">
        <v>2.1367650959999998E-15</v>
      </c>
      <c r="M4" s="15">
        <v>2.1671235072E-10</v>
      </c>
      <c r="N4" s="15">
        <v>5.9782717440000002E-10</v>
      </c>
      <c r="O4" s="15">
        <v>8.7805866240000002E-10</v>
      </c>
      <c r="P4" s="15">
        <v>1</v>
      </c>
      <c r="Q4" s="15">
        <v>1</v>
      </c>
      <c r="R4" s="15">
        <v>1</v>
      </c>
      <c r="S4" s="15">
        <v>1</v>
      </c>
      <c r="T4" s="15">
        <v>1</v>
      </c>
      <c r="U4" s="15">
        <v>1</v>
      </c>
      <c r="V4" s="15">
        <v>1</v>
      </c>
      <c r="W4" s="15">
        <v>1</v>
      </c>
      <c r="X4" s="15">
        <v>1</v>
      </c>
      <c r="Y4" s="15">
        <v>1</v>
      </c>
      <c r="Z4" s="105">
        <f t="shared" ref="Z4:AD5" si="4">0.4*U4</f>
        <v>0.4</v>
      </c>
      <c r="AA4" s="105">
        <f t="shared" si="4"/>
        <v>0.4</v>
      </c>
      <c r="AB4" s="105">
        <f t="shared" si="4"/>
        <v>0.4</v>
      </c>
      <c r="AC4" s="105">
        <f t="shared" si="4"/>
        <v>0.4</v>
      </c>
      <c r="AD4" s="105">
        <f t="shared" si="4"/>
        <v>0.4</v>
      </c>
      <c r="AE4" s="15">
        <v>1.0242262810756E-9</v>
      </c>
      <c r="AF4" s="15">
        <v>217</v>
      </c>
      <c r="AG4" s="15">
        <v>0.01</v>
      </c>
      <c r="AH4" s="15">
        <v>0.01</v>
      </c>
      <c r="AI4" s="15"/>
      <c r="AJ4" s="15"/>
      <c r="AK4" s="15"/>
      <c r="AL4" s="15"/>
      <c r="AM4" s="15"/>
      <c r="AN4" s="15"/>
      <c r="AO4" s="15"/>
      <c r="AP4" s="15"/>
      <c r="AQ4" s="15">
        <v>0.2</v>
      </c>
      <c r="AR4" s="15">
        <v>0.9</v>
      </c>
      <c r="AS4" s="15">
        <v>10</v>
      </c>
      <c r="AT4" s="15"/>
      <c r="AU4" s="15">
        <v>676608297.21362197</v>
      </c>
      <c r="AV4" s="42">
        <v>15</v>
      </c>
      <c r="AW4" s="42">
        <v>217</v>
      </c>
      <c r="AX4" s="105">
        <f t="shared" ref="AX4:AX5" si="5">AZ4+lambda_HL</f>
        <v>2.6999999999999999E-5</v>
      </c>
      <c r="AY4" s="105">
        <f t="shared" ref="AY4:AY5" si="6">AZ4+(0.693/t_w)</f>
        <v>4.9499999999999995E-2</v>
      </c>
      <c r="AZ4" s="105">
        <v>0</v>
      </c>
      <c r="BA4" s="15">
        <v>3.7384259259259298E-7</v>
      </c>
      <c r="BB4" s="105">
        <f t="shared" ref="BB4:BB5" si="7">AR4</f>
        <v>0.9</v>
      </c>
      <c r="BC4" s="105">
        <f t="shared" ref="BC4:BC5" si="8">AQ4</f>
        <v>0.2</v>
      </c>
    </row>
    <row r="5" spans="1:55" x14ac:dyDescent="0.25">
      <c r="A5" s="42" t="s">
        <v>15</v>
      </c>
      <c r="B5" s="42" t="s">
        <v>1074</v>
      </c>
      <c r="C5" s="42"/>
      <c r="D5" s="15">
        <v>0</v>
      </c>
      <c r="E5" s="15">
        <v>0</v>
      </c>
      <c r="F5" s="15">
        <v>2.7439333200000001E-11</v>
      </c>
      <c r="G5" s="15">
        <v>0</v>
      </c>
      <c r="H5" s="15">
        <v>0</v>
      </c>
      <c r="I5" s="15">
        <v>0</v>
      </c>
      <c r="J5" s="15">
        <v>3.0825463680000002E-14</v>
      </c>
      <c r="K5" s="15">
        <v>1.9966493520000001E-11</v>
      </c>
      <c r="L5" s="15">
        <v>5.1259009680000003E-17</v>
      </c>
      <c r="M5" s="15">
        <v>8.3882625408000002E-12</v>
      </c>
      <c r="N5" s="15">
        <v>1.8436896648E-11</v>
      </c>
      <c r="O5" s="15">
        <v>2.5571123280000002E-11</v>
      </c>
      <c r="P5" s="15">
        <v>0.9</v>
      </c>
      <c r="Q5" s="15">
        <v>0.9</v>
      </c>
      <c r="R5" s="15">
        <v>0.9</v>
      </c>
      <c r="S5" s="15">
        <v>0.9</v>
      </c>
      <c r="T5" s="15">
        <v>0.9</v>
      </c>
      <c r="U5" s="15">
        <v>1</v>
      </c>
      <c r="V5" s="15">
        <v>1</v>
      </c>
      <c r="W5" s="15">
        <v>1</v>
      </c>
      <c r="X5" s="15">
        <v>1</v>
      </c>
      <c r="Y5" s="15">
        <v>1</v>
      </c>
      <c r="Z5" s="105">
        <f t="shared" si="4"/>
        <v>0.4</v>
      </c>
      <c r="AA5" s="105">
        <f t="shared" si="4"/>
        <v>0.4</v>
      </c>
      <c r="AB5" s="105">
        <f t="shared" si="4"/>
        <v>0.4</v>
      </c>
      <c r="AC5" s="105">
        <f t="shared" si="4"/>
        <v>0.4</v>
      </c>
      <c r="AD5" s="105">
        <f t="shared" si="4"/>
        <v>0.4</v>
      </c>
      <c r="AE5" s="15">
        <v>4.7564687975646899E-8</v>
      </c>
      <c r="AF5" s="15">
        <v>218</v>
      </c>
      <c r="AG5" s="15">
        <v>0.01</v>
      </c>
      <c r="AH5" s="15">
        <v>0.01</v>
      </c>
      <c r="AI5" s="15"/>
      <c r="AJ5" s="15"/>
      <c r="AK5" s="15"/>
      <c r="AL5" s="15"/>
      <c r="AM5" s="15"/>
      <c r="AN5" s="15"/>
      <c r="AO5" s="15"/>
      <c r="AP5" s="15"/>
      <c r="AQ5" s="15">
        <v>0.2</v>
      </c>
      <c r="AR5" s="15">
        <v>0.9</v>
      </c>
      <c r="AS5" s="15">
        <v>10</v>
      </c>
      <c r="AT5" s="15"/>
      <c r="AU5" s="15">
        <v>14569632</v>
      </c>
      <c r="AV5" s="42">
        <v>15</v>
      </c>
      <c r="AW5" s="42">
        <v>218</v>
      </c>
      <c r="AX5" s="105">
        <f t="shared" si="5"/>
        <v>2.6999999999999999E-5</v>
      </c>
      <c r="AY5" s="105">
        <f t="shared" si="6"/>
        <v>4.9499999999999995E-2</v>
      </c>
      <c r="AZ5" s="105">
        <v>0</v>
      </c>
      <c r="BA5" s="15">
        <v>1.7361111111111101E-5</v>
      </c>
      <c r="BB5" s="105">
        <f t="shared" si="7"/>
        <v>0.9</v>
      </c>
      <c r="BC5" s="105">
        <f t="shared" si="8"/>
        <v>0.2</v>
      </c>
    </row>
    <row r="6" spans="1:55" x14ac:dyDescent="0.25">
      <c r="A6" s="42" t="s">
        <v>16</v>
      </c>
      <c r="B6" s="42" t="s">
        <v>1074</v>
      </c>
      <c r="C6" s="42"/>
      <c r="D6" s="15">
        <v>0</v>
      </c>
      <c r="E6" s="15">
        <v>0</v>
      </c>
      <c r="F6" s="15">
        <v>2.6855517600000001E-6</v>
      </c>
      <c r="G6" s="15">
        <v>0</v>
      </c>
      <c r="H6" s="15">
        <v>0</v>
      </c>
      <c r="I6" s="15">
        <v>0</v>
      </c>
      <c r="J6" s="15">
        <v>2.5220833919999999E-9</v>
      </c>
      <c r="K6" s="15">
        <v>5.3594272079999995E-7</v>
      </c>
      <c r="L6" s="15">
        <v>5.4645140159999999E-12</v>
      </c>
      <c r="M6" s="15">
        <v>5.4738550656000004E-7</v>
      </c>
      <c r="N6" s="15">
        <v>1.5436084463999999E-6</v>
      </c>
      <c r="O6" s="15">
        <v>2.3936439600000001E-6</v>
      </c>
      <c r="P6" s="15">
        <v>1</v>
      </c>
      <c r="Q6" s="15">
        <v>1</v>
      </c>
      <c r="R6" s="15">
        <v>1</v>
      </c>
      <c r="S6" s="15">
        <v>1</v>
      </c>
      <c r="T6" s="15">
        <v>1</v>
      </c>
      <c r="U6" s="15">
        <v>1</v>
      </c>
      <c r="V6" s="15">
        <v>1</v>
      </c>
      <c r="W6" s="15">
        <v>1</v>
      </c>
      <c r="X6" s="15">
        <v>1</v>
      </c>
      <c r="Y6" s="15">
        <v>1</v>
      </c>
      <c r="Z6" s="105">
        <f t="shared" ref="Z6:AD7" si="9">0.4*U6</f>
        <v>0.4</v>
      </c>
      <c r="AA6" s="105">
        <f t="shared" si="9"/>
        <v>0.4</v>
      </c>
      <c r="AB6" s="105">
        <f t="shared" si="9"/>
        <v>0.4</v>
      </c>
      <c r="AC6" s="105">
        <f t="shared" si="9"/>
        <v>0.4</v>
      </c>
      <c r="AD6" s="105">
        <f t="shared" si="9"/>
        <v>0.4</v>
      </c>
      <c r="AE6" s="15">
        <v>4.8554033485540298E-6</v>
      </c>
      <c r="AF6" s="15">
        <v>137</v>
      </c>
      <c r="AG6" s="15">
        <v>1.6000000000000001E-4</v>
      </c>
      <c r="AH6" s="15">
        <v>1.3999999999999999E-4</v>
      </c>
      <c r="AI6" s="15">
        <v>1.2</v>
      </c>
      <c r="AJ6" s="15">
        <v>1.9E-2</v>
      </c>
      <c r="AK6" s="15">
        <v>0.87</v>
      </c>
      <c r="AL6" s="15"/>
      <c r="AM6" s="175">
        <v>5.0000000000000001E-3</v>
      </c>
      <c r="AN6" s="175">
        <v>4.1000000000000002E-2</v>
      </c>
      <c r="AO6" s="175">
        <v>1.2999999999999999E-5</v>
      </c>
      <c r="AP6" s="175">
        <v>1.0999999999999999E-2</v>
      </c>
      <c r="AQ6" s="15">
        <v>1E-3</v>
      </c>
      <c r="AR6" s="15">
        <v>1.1494252873563201E-3</v>
      </c>
      <c r="AS6" s="15">
        <v>0.4</v>
      </c>
      <c r="AT6" s="15"/>
      <c r="AU6" s="15">
        <v>142727.58620689699</v>
      </c>
      <c r="AV6" s="42"/>
      <c r="AW6" s="42">
        <v>137</v>
      </c>
      <c r="AX6" s="105">
        <f t="shared" ref="AX6:AX9" si="10">AZ6+lambda_HL</f>
        <v>2.6999999999999999E-5</v>
      </c>
      <c r="AY6" s="105">
        <f t="shared" ref="AY6:AY9" si="11">AZ6+(0.693/t_w)</f>
        <v>4.9499999999999995E-2</v>
      </c>
      <c r="AZ6" s="105">
        <v>0</v>
      </c>
      <c r="BA6" s="15">
        <v>1.77222222222222E-3</v>
      </c>
      <c r="BB6" s="105">
        <f t="shared" ref="BB6:BB9" si="12">AR6</f>
        <v>1.1494252873563201E-3</v>
      </c>
      <c r="BC6" s="105">
        <f t="shared" ref="BC6:BC9" si="13">AQ6</f>
        <v>1E-3</v>
      </c>
    </row>
    <row r="7" spans="1:55" x14ac:dyDescent="0.25">
      <c r="A7" s="42" t="s">
        <v>17</v>
      </c>
      <c r="B7" s="42" t="s">
        <v>1074</v>
      </c>
      <c r="C7" s="42"/>
      <c r="D7" s="15">
        <v>2.4013E-11</v>
      </c>
      <c r="E7" s="15">
        <v>1.3023999999999999E-11</v>
      </c>
      <c r="F7" s="15">
        <v>2.7672859440000002E-9</v>
      </c>
      <c r="G7" s="15">
        <v>4.5510000000000001E-10</v>
      </c>
      <c r="H7" s="15">
        <v>8.9170000000000001E-12</v>
      </c>
      <c r="I7" s="15">
        <v>3.7369999999999999E-12</v>
      </c>
      <c r="J7" s="15">
        <v>5.2893693360000002E-12</v>
      </c>
      <c r="K7" s="15">
        <v>4.8223168560000003E-9</v>
      </c>
      <c r="L7" s="15">
        <v>7.82312904E-15</v>
      </c>
      <c r="M7" s="15">
        <v>9.5465526912000009E-10</v>
      </c>
      <c r="N7" s="15">
        <v>2.0550309120000001E-9</v>
      </c>
      <c r="O7" s="15">
        <v>2.6855517600000001E-9</v>
      </c>
      <c r="P7" s="15">
        <v>1</v>
      </c>
      <c r="Q7" s="15">
        <v>1</v>
      </c>
      <c r="R7" s="15">
        <v>1</v>
      </c>
      <c r="S7" s="15">
        <v>1</v>
      </c>
      <c r="T7" s="15">
        <v>1</v>
      </c>
      <c r="U7" s="15">
        <v>1</v>
      </c>
      <c r="V7" s="15">
        <v>1</v>
      </c>
      <c r="W7" s="15">
        <v>1</v>
      </c>
      <c r="X7" s="15">
        <v>1</v>
      </c>
      <c r="Y7" s="15">
        <v>1</v>
      </c>
      <c r="Z7" s="105">
        <f t="shared" si="9"/>
        <v>0.4</v>
      </c>
      <c r="AA7" s="105">
        <f t="shared" si="9"/>
        <v>0.4</v>
      </c>
      <c r="AB7" s="105">
        <f t="shared" si="9"/>
        <v>0.4</v>
      </c>
      <c r="AC7" s="105">
        <f t="shared" si="9"/>
        <v>0.4</v>
      </c>
      <c r="AD7" s="105">
        <f t="shared" si="9"/>
        <v>0.4</v>
      </c>
      <c r="AE7" s="15">
        <v>1.37342465753425E-2</v>
      </c>
      <c r="AF7" s="15">
        <v>210</v>
      </c>
      <c r="AG7" s="15">
        <v>1E-3</v>
      </c>
      <c r="AH7" s="15">
        <v>2E-3</v>
      </c>
      <c r="AI7" s="15">
        <v>15</v>
      </c>
      <c r="AJ7" s="15"/>
      <c r="AK7" s="15"/>
      <c r="AL7" s="15"/>
      <c r="AM7" s="15"/>
      <c r="AN7" s="15"/>
      <c r="AO7" s="15"/>
      <c r="AP7" s="15"/>
      <c r="AQ7" s="15">
        <v>0.1</v>
      </c>
      <c r="AR7" s="15">
        <v>0.5</v>
      </c>
      <c r="AS7" s="15">
        <v>480</v>
      </c>
      <c r="AT7" s="15">
        <v>0.05</v>
      </c>
      <c r="AU7" s="15">
        <v>50.457809694793497</v>
      </c>
      <c r="AV7" s="42">
        <v>15</v>
      </c>
      <c r="AW7" s="42">
        <v>210</v>
      </c>
      <c r="AX7" s="105">
        <f t="shared" si="10"/>
        <v>2.6999999999999999E-5</v>
      </c>
      <c r="AY7" s="105">
        <f t="shared" si="11"/>
        <v>4.9499999999999995E-2</v>
      </c>
      <c r="AZ7" s="105">
        <v>0</v>
      </c>
      <c r="BA7" s="15">
        <v>5.0129999999999999</v>
      </c>
      <c r="BB7" s="105">
        <f t="shared" si="12"/>
        <v>0.5</v>
      </c>
      <c r="BC7" s="105">
        <f t="shared" si="13"/>
        <v>0.1</v>
      </c>
    </row>
    <row r="8" spans="1:55" x14ac:dyDescent="0.25">
      <c r="A8" s="42" t="s">
        <v>18</v>
      </c>
      <c r="B8" s="42" t="s">
        <v>1074</v>
      </c>
      <c r="C8" s="42"/>
      <c r="D8" s="15">
        <v>1.1914E-12</v>
      </c>
      <c r="E8" s="15">
        <v>7.1780000000000003E-13</v>
      </c>
      <c r="F8" s="15">
        <v>5.4294850800000002E-7</v>
      </c>
      <c r="G8" s="15">
        <v>7.4000000000000003E-11</v>
      </c>
      <c r="H8" s="15">
        <v>5.0689999999999999E-13</v>
      </c>
      <c r="I8" s="15">
        <v>3.1709000000000002E-13</v>
      </c>
      <c r="J8" s="15">
        <v>5.3243982719999998E-10</v>
      </c>
      <c r="K8" s="15">
        <v>1.2026601359999999E-7</v>
      </c>
      <c r="L8" s="15">
        <v>1.1559548879999999E-12</v>
      </c>
      <c r="M8" s="15">
        <v>1.1769722496E-7</v>
      </c>
      <c r="N8" s="15">
        <v>3.2880494591999999E-7</v>
      </c>
      <c r="O8" s="15">
        <v>4.9741089120000005E-7</v>
      </c>
      <c r="P8" s="15">
        <v>1</v>
      </c>
      <c r="Q8" s="15">
        <v>1</v>
      </c>
      <c r="R8" s="15">
        <v>1</v>
      </c>
      <c r="S8" s="15">
        <v>1</v>
      </c>
      <c r="T8" s="15">
        <v>1</v>
      </c>
      <c r="U8" s="15">
        <v>1</v>
      </c>
      <c r="V8" s="15">
        <v>1</v>
      </c>
      <c r="W8" s="15">
        <v>1</v>
      </c>
      <c r="X8" s="15">
        <v>1</v>
      </c>
      <c r="Y8" s="15">
        <v>1</v>
      </c>
      <c r="Z8" s="105">
        <f t="shared" ref="Z8:AD9" si="14">0.4*U8</f>
        <v>0.4</v>
      </c>
      <c r="AA8" s="105">
        <f t="shared" si="14"/>
        <v>0.4</v>
      </c>
      <c r="AB8" s="105">
        <f t="shared" si="14"/>
        <v>0.4</v>
      </c>
      <c r="AC8" s="105">
        <f t="shared" si="14"/>
        <v>0.4</v>
      </c>
      <c r="AD8" s="105">
        <f t="shared" si="14"/>
        <v>0.4</v>
      </c>
      <c r="AE8" s="15">
        <v>8.6738964992389594E-5</v>
      </c>
      <c r="AF8" s="15">
        <v>213</v>
      </c>
      <c r="AG8" s="15">
        <v>1E-3</v>
      </c>
      <c r="AH8" s="15">
        <v>2E-3</v>
      </c>
      <c r="AI8" s="15">
        <v>15</v>
      </c>
      <c r="AJ8" s="15"/>
      <c r="AK8" s="15"/>
      <c r="AL8" s="15"/>
      <c r="AM8" s="15"/>
      <c r="AN8" s="15"/>
      <c r="AO8" s="15"/>
      <c r="AP8" s="15"/>
      <c r="AQ8" s="15">
        <v>0.1</v>
      </c>
      <c r="AR8" s="15">
        <v>0.5</v>
      </c>
      <c r="AS8" s="15">
        <v>480</v>
      </c>
      <c r="AT8" s="15">
        <v>0.05</v>
      </c>
      <c r="AU8" s="15">
        <v>7989.4889230094304</v>
      </c>
      <c r="AV8" s="42">
        <v>15</v>
      </c>
      <c r="AW8" s="42">
        <v>213</v>
      </c>
      <c r="AX8" s="105">
        <f t="shared" si="10"/>
        <v>2.6999999999999999E-5</v>
      </c>
      <c r="AY8" s="105">
        <f t="shared" si="11"/>
        <v>4.9499999999999995E-2</v>
      </c>
      <c r="AZ8" s="105">
        <v>0</v>
      </c>
      <c r="BA8" s="15">
        <v>3.16597222222222E-2</v>
      </c>
      <c r="BB8" s="105">
        <f t="shared" si="12"/>
        <v>0.5</v>
      </c>
      <c r="BC8" s="105">
        <f t="shared" si="13"/>
        <v>0.1</v>
      </c>
    </row>
    <row r="9" spans="1:55" x14ac:dyDescent="0.25">
      <c r="A9" s="42" t="s">
        <v>19</v>
      </c>
      <c r="B9" s="42" t="s">
        <v>1074</v>
      </c>
      <c r="C9" s="42"/>
      <c r="D9" s="15">
        <v>4.0330000000000001E-13</v>
      </c>
      <c r="E9" s="15">
        <v>2.6529000000000002E-13</v>
      </c>
      <c r="F9" s="15">
        <v>7.3444002480000004E-6</v>
      </c>
      <c r="G9" s="15">
        <v>6.1799999999999996E-11</v>
      </c>
      <c r="H9" s="15">
        <v>1.9202999999999999E-13</v>
      </c>
      <c r="I9" s="15">
        <v>1.4726E-13</v>
      </c>
      <c r="J9" s="15">
        <v>6.6905267759999996E-9</v>
      </c>
      <c r="K9" s="15">
        <v>1.2843943200000001E-6</v>
      </c>
      <c r="L9" s="15">
        <v>1.4478626879999999E-11</v>
      </c>
      <c r="M9" s="15">
        <v>1.3264290432000001E-6</v>
      </c>
      <c r="N9" s="15">
        <v>3.8111482368000001E-6</v>
      </c>
      <c r="O9" s="15">
        <v>6.1417401119999998E-6</v>
      </c>
      <c r="P9" s="15">
        <v>1</v>
      </c>
      <c r="Q9" s="15">
        <v>1</v>
      </c>
      <c r="R9" s="15">
        <v>1</v>
      </c>
      <c r="S9" s="15">
        <v>1</v>
      </c>
      <c r="T9" s="15">
        <v>1</v>
      </c>
      <c r="U9" s="15">
        <v>1</v>
      </c>
      <c r="V9" s="15">
        <v>1</v>
      </c>
      <c r="W9" s="15">
        <v>1</v>
      </c>
      <c r="X9" s="15">
        <v>1</v>
      </c>
      <c r="Y9" s="15">
        <v>1</v>
      </c>
      <c r="Z9" s="105">
        <f t="shared" si="14"/>
        <v>0.4</v>
      </c>
      <c r="AA9" s="105">
        <f t="shared" si="14"/>
        <v>0.4</v>
      </c>
      <c r="AB9" s="105">
        <f t="shared" si="14"/>
        <v>0.4</v>
      </c>
      <c r="AC9" s="105">
        <f t="shared" si="14"/>
        <v>0.4</v>
      </c>
      <c r="AD9" s="105">
        <f t="shared" si="14"/>
        <v>0.4</v>
      </c>
      <c r="AE9" s="15">
        <v>3.7861491628614902E-5</v>
      </c>
      <c r="AF9" s="15">
        <v>214</v>
      </c>
      <c r="AG9" s="15">
        <v>1E-3</v>
      </c>
      <c r="AH9" s="15">
        <v>2E-3</v>
      </c>
      <c r="AI9" s="15">
        <v>15</v>
      </c>
      <c r="AJ9" s="15"/>
      <c r="AK9" s="15"/>
      <c r="AL9" s="15"/>
      <c r="AM9" s="15"/>
      <c r="AN9" s="15"/>
      <c r="AO9" s="15"/>
      <c r="AP9" s="15"/>
      <c r="AQ9" s="15">
        <v>0.1</v>
      </c>
      <c r="AR9" s="15">
        <v>0.5</v>
      </c>
      <c r="AS9" s="15">
        <v>480</v>
      </c>
      <c r="AT9" s="15">
        <v>0.05</v>
      </c>
      <c r="AU9" s="15">
        <v>18303.557788944701</v>
      </c>
      <c r="AV9" s="42">
        <v>15</v>
      </c>
      <c r="AW9" s="42">
        <v>214</v>
      </c>
      <c r="AX9" s="105">
        <f t="shared" si="10"/>
        <v>2.6999999999999999E-5</v>
      </c>
      <c r="AY9" s="105">
        <f t="shared" si="11"/>
        <v>4.9499999999999995E-2</v>
      </c>
      <c r="AZ9" s="105">
        <v>0</v>
      </c>
      <c r="BA9" s="15">
        <v>1.38194444444444E-2</v>
      </c>
      <c r="BB9" s="105">
        <f t="shared" si="12"/>
        <v>0.5</v>
      </c>
      <c r="BC9" s="105">
        <f t="shared" si="13"/>
        <v>0.1</v>
      </c>
    </row>
    <row r="10" spans="1:55" x14ac:dyDescent="0.25">
      <c r="A10" s="42" t="s">
        <v>20</v>
      </c>
      <c r="B10" s="42" t="s">
        <v>351</v>
      </c>
      <c r="C10" s="42"/>
      <c r="D10" s="15">
        <v>4.2549999999999998E-11</v>
      </c>
      <c r="E10" s="15">
        <v>3.7370000000000003E-11</v>
      </c>
      <c r="F10" s="15">
        <v>5.5228955760000004E-10</v>
      </c>
      <c r="G10" s="15">
        <v>1.1248E-10</v>
      </c>
      <c r="H10" s="15">
        <v>3.0487999999999999E-11</v>
      </c>
      <c r="I10" s="15">
        <v>3.1782999999999999E-11</v>
      </c>
      <c r="J10" s="15">
        <v>1.6230073680000001E-12</v>
      </c>
      <c r="K10" s="15">
        <v>5.5345718879999995E-10</v>
      </c>
      <c r="L10" s="15">
        <v>2.2418519040000001E-15</v>
      </c>
      <c r="M10" s="15">
        <v>1.9242562176E-10</v>
      </c>
      <c r="N10" s="15">
        <v>4.2408365184000002E-10</v>
      </c>
      <c r="O10" s="15">
        <v>5.4178087679999995E-10</v>
      </c>
      <c r="P10" s="15">
        <v>1</v>
      </c>
      <c r="Q10" s="15">
        <v>1</v>
      </c>
      <c r="R10" s="15">
        <v>1</v>
      </c>
      <c r="S10" s="15">
        <v>1</v>
      </c>
      <c r="T10" s="15">
        <v>1</v>
      </c>
      <c r="U10" s="15">
        <v>1</v>
      </c>
      <c r="V10" s="15">
        <v>1</v>
      </c>
      <c r="W10" s="15">
        <v>1</v>
      </c>
      <c r="X10" s="15">
        <v>1</v>
      </c>
      <c r="Y10" s="15">
        <v>1</v>
      </c>
      <c r="Z10" s="105">
        <f t="shared" ref="Z10:AD10" si="15">0.4*U10</f>
        <v>0.4</v>
      </c>
      <c r="AA10" s="105">
        <f t="shared" si="15"/>
        <v>0.4</v>
      </c>
      <c r="AB10" s="105">
        <f t="shared" si="15"/>
        <v>0.4</v>
      </c>
      <c r="AC10" s="105">
        <f t="shared" si="15"/>
        <v>0.4</v>
      </c>
      <c r="AD10" s="105">
        <f t="shared" si="15"/>
        <v>0.4</v>
      </c>
      <c r="AE10" s="15">
        <v>30.167100000000001</v>
      </c>
      <c r="AF10" s="15">
        <v>137</v>
      </c>
      <c r="AG10" s="15">
        <v>4.5999999999999999E-3</v>
      </c>
      <c r="AH10" s="15">
        <v>2.1999999999999999E-2</v>
      </c>
      <c r="AI10" s="15">
        <v>2500</v>
      </c>
      <c r="AJ10" s="15">
        <v>2.7</v>
      </c>
      <c r="AK10" s="15">
        <v>0.4</v>
      </c>
      <c r="AL10" s="15">
        <v>0.2</v>
      </c>
      <c r="AM10" s="175">
        <v>0.19</v>
      </c>
      <c r="AN10" s="175">
        <v>5.8000000000000003E-2</v>
      </c>
      <c r="AO10" s="175">
        <v>0.32</v>
      </c>
      <c r="AP10" s="175">
        <v>0.11</v>
      </c>
      <c r="AQ10" s="15">
        <v>2.9000000000000001E-2</v>
      </c>
      <c r="AR10" s="15">
        <v>3.3333333333333298E-2</v>
      </c>
      <c r="AS10" s="15">
        <v>10</v>
      </c>
      <c r="AT10" s="15">
        <v>1</v>
      </c>
      <c r="AU10" s="15">
        <v>2.2972045705420802E-2</v>
      </c>
      <c r="AV10" s="42">
        <v>200</v>
      </c>
      <c r="AW10" s="42">
        <v>137</v>
      </c>
      <c r="AX10" s="105">
        <f t="shared" ref="AX10" si="16">AZ10+lambda_HL</f>
        <v>2.6999999999999999E-5</v>
      </c>
      <c r="AY10" s="105">
        <f t="shared" ref="AY10" si="17">AZ10+(0.693/t_w)</f>
        <v>4.9499999999999995E-2</v>
      </c>
      <c r="AZ10" s="105">
        <v>0</v>
      </c>
      <c r="BA10" s="15">
        <v>11010.9915</v>
      </c>
      <c r="BB10" s="105">
        <f t="shared" ref="BB10" si="18">AR10</f>
        <v>3.3333333333333298E-2</v>
      </c>
      <c r="BC10" s="105">
        <f t="shared" ref="BC10" si="19">AQ10</f>
        <v>2.9000000000000001E-2</v>
      </c>
    </row>
    <row r="11" spans="1:55" x14ac:dyDescent="0.25">
      <c r="A11" s="42" t="s">
        <v>21</v>
      </c>
      <c r="B11" s="42" t="s">
        <v>1074</v>
      </c>
      <c r="C11" s="42"/>
      <c r="D11" s="15">
        <v>0</v>
      </c>
      <c r="E11" s="15">
        <v>0</v>
      </c>
      <c r="F11" s="15">
        <v>1.0485328176E-7</v>
      </c>
      <c r="G11" s="15">
        <v>0</v>
      </c>
      <c r="H11" s="15">
        <v>0</v>
      </c>
      <c r="I11" s="15">
        <v>0</v>
      </c>
      <c r="J11" s="15">
        <v>1.1524519944E-10</v>
      </c>
      <c r="K11" s="15">
        <v>2.5220833919999999E-8</v>
      </c>
      <c r="L11" s="15">
        <v>2.5337597040000002E-13</v>
      </c>
      <c r="M11" s="15">
        <v>2.5594475903999999E-8</v>
      </c>
      <c r="N11" s="15">
        <v>7.0618334975999998E-8</v>
      </c>
      <c r="O11" s="15">
        <v>1.010000988E-7</v>
      </c>
      <c r="P11" s="15">
        <v>1</v>
      </c>
      <c r="Q11" s="15">
        <v>1</v>
      </c>
      <c r="R11" s="15">
        <v>1</v>
      </c>
      <c r="S11" s="15">
        <v>1</v>
      </c>
      <c r="T11" s="15">
        <v>1</v>
      </c>
      <c r="U11" s="15">
        <v>1</v>
      </c>
      <c r="V11" s="15">
        <v>1</v>
      </c>
      <c r="W11" s="15">
        <v>1</v>
      </c>
      <c r="X11" s="15">
        <v>1</v>
      </c>
      <c r="Y11" s="15">
        <v>1</v>
      </c>
      <c r="Z11" s="105">
        <f t="shared" ref="Z11:AD11" si="20">0.4*U11</f>
        <v>0.4</v>
      </c>
      <c r="AA11" s="105">
        <f t="shared" si="20"/>
        <v>0.4</v>
      </c>
      <c r="AB11" s="105">
        <f t="shared" si="20"/>
        <v>0.4</v>
      </c>
      <c r="AC11" s="105">
        <f t="shared" si="20"/>
        <v>0.4</v>
      </c>
      <c r="AD11" s="105">
        <f t="shared" si="20"/>
        <v>0.4</v>
      </c>
      <c r="AE11" s="15">
        <v>9.3226788432267907E-6</v>
      </c>
      <c r="AF11" s="15">
        <v>221</v>
      </c>
      <c r="AG11" s="15">
        <v>8.0000000000000002E-3</v>
      </c>
      <c r="AH11" s="15">
        <v>0.03</v>
      </c>
      <c r="AI11" s="15"/>
      <c r="AJ11" s="15"/>
      <c r="AK11" s="15"/>
      <c r="AL11" s="15"/>
      <c r="AM11" s="15"/>
      <c r="AN11" s="15"/>
      <c r="AO11" s="15"/>
      <c r="AP11" s="15"/>
      <c r="AQ11" s="15">
        <v>0.03</v>
      </c>
      <c r="AR11" s="15">
        <v>0.1</v>
      </c>
      <c r="AS11" s="15">
        <v>250</v>
      </c>
      <c r="AT11" s="15"/>
      <c r="AU11" s="15">
        <v>74334.857142857101</v>
      </c>
      <c r="AV11" s="42">
        <v>15</v>
      </c>
      <c r="AW11" s="42">
        <v>221</v>
      </c>
      <c r="AX11" s="105">
        <f t="shared" ref="AX11" si="21">AZ11+lambda_HL</f>
        <v>2.6999999999999999E-5</v>
      </c>
      <c r="AY11" s="105">
        <f t="shared" ref="AY11" si="22">AZ11+(0.693/t_w)</f>
        <v>4.9499999999999995E-2</v>
      </c>
      <c r="AZ11" s="105">
        <v>0</v>
      </c>
      <c r="BA11" s="15">
        <v>3.4027777777777802E-3</v>
      </c>
      <c r="BB11" s="105">
        <f t="shared" ref="BB11" si="23">AR11</f>
        <v>0.1</v>
      </c>
      <c r="BC11" s="105">
        <f t="shared" ref="BC11" si="24">AQ11</f>
        <v>0.03</v>
      </c>
    </row>
    <row r="12" spans="1:55" x14ac:dyDescent="0.25">
      <c r="A12" s="42" t="s">
        <v>22</v>
      </c>
      <c r="B12" s="42" t="s">
        <v>1074</v>
      </c>
      <c r="C12" s="42"/>
      <c r="D12" s="15">
        <v>0</v>
      </c>
      <c r="E12" s="15">
        <v>0</v>
      </c>
      <c r="F12" s="15">
        <v>4.8339931680000002E-7</v>
      </c>
      <c r="G12" s="15">
        <v>0</v>
      </c>
      <c r="H12" s="15">
        <v>0</v>
      </c>
      <c r="I12" s="15">
        <v>0</v>
      </c>
      <c r="J12" s="15">
        <v>4.9624325999999998E-10</v>
      </c>
      <c r="K12" s="15">
        <v>1.1174230584E-7</v>
      </c>
      <c r="L12" s="15">
        <v>1.08005886E-12</v>
      </c>
      <c r="M12" s="15">
        <v>1.0985074329599999E-7</v>
      </c>
      <c r="N12" s="15">
        <v>3.0638642687999998E-7</v>
      </c>
      <c r="O12" s="15">
        <v>4.5187327439999998E-7</v>
      </c>
      <c r="P12" s="15">
        <v>1</v>
      </c>
      <c r="Q12" s="15">
        <v>1</v>
      </c>
      <c r="R12" s="15">
        <v>1</v>
      </c>
      <c r="S12" s="15">
        <v>1</v>
      </c>
      <c r="T12" s="15">
        <v>1</v>
      </c>
      <c r="U12" s="15">
        <v>1</v>
      </c>
      <c r="V12" s="15">
        <v>1</v>
      </c>
      <c r="W12" s="15">
        <v>1</v>
      </c>
      <c r="X12" s="15">
        <v>1</v>
      </c>
      <c r="Y12" s="15">
        <v>1</v>
      </c>
      <c r="Z12" s="105">
        <f t="shared" ref="Z12:AD12" si="25">0.4*U12</f>
        <v>0.4</v>
      </c>
      <c r="AA12" s="105">
        <f t="shared" si="25"/>
        <v>0.4</v>
      </c>
      <c r="AB12" s="105">
        <f t="shared" si="25"/>
        <v>0.4</v>
      </c>
      <c r="AC12" s="105">
        <f t="shared" si="25"/>
        <v>0.4</v>
      </c>
      <c r="AD12" s="105">
        <f t="shared" si="25"/>
        <v>0.4</v>
      </c>
      <c r="AE12" s="15">
        <v>1.5506088280060901E-5</v>
      </c>
      <c r="AF12" s="15">
        <v>206</v>
      </c>
      <c r="AG12" s="15">
        <v>5.0000000000000001E-4</v>
      </c>
      <c r="AH12" s="15">
        <v>0.01</v>
      </c>
      <c r="AI12" s="15">
        <v>6100</v>
      </c>
      <c r="AJ12" s="15">
        <v>0.03</v>
      </c>
      <c r="AK12" s="15"/>
      <c r="AL12" s="15"/>
      <c r="AM12" s="15"/>
      <c r="AN12" s="15"/>
      <c r="AO12" s="15"/>
      <c r="AP12" s="15"/>
      <c r="AQ12" s="15">
        <v>0.3</v>
      </c>
      <c r="AR12" s="15">
        <v>1</v>
      </c>
      <c r="AS12" s="15">
        <v>6300</v>
      </c>
      <c r="AT12" s="15"/>
      <c r="AU12" s="15">
        <v>44692.122699386498</v>
      </c>
      <c r="AV12" s="42"/>
      <c r="AW12" s="42">
        <v>206</v>
      </c>
      <c r="AX12" s="105">
        <f t="shared" ref="AX12" si="26">AZ12+lambda_HL</f>
        <v>2.6999999999999999E-5</v>
      </c>
      <c r="AY12" s="105">
        <f t="shared" ref="AY12" si="27">AZ12+(0.693/t_w)</f>
        <v>4.9499999999999995E-2</v>
      </c>
      <c r="AZ12" s="105">
        <v>0</v>
      </c>
      <c r="BA12" s="15">
        <v>5.6597222222222196E-3</v>
      </c>
      <c r="BB12" s="105">
        <f t="shared" ref="BB12" si="28">AR12</f>
        <v>1</v>
      </c>
      <c r="BC12" s="105">
        <f t="shared" ref="BC12" si="29">AQ12</f>
        <v>0.3</v>
      </c>
    </row>
    <row r="13" spans="1:55" x14ac:dyDescent="0.25">
      <c r="A13" s="42" t="s">
        <v>23</v>
      </c>
      <c r="B13" s="42" t="s">
        <v>1074</v>
      </c>
      <c r="C13" s="42"/>
      <c r="D13" s="15">
        <v>1.2469000000000001E-10</v>
      </c>
      <c r="E13" s="15">
        <v>8.2880000000000002E-11</v>
      </c>
      <c r="F13" s="15">
        <v>5.172606216E-8</v>
      </c>
      <c r="G13" s="15">
        <v>2.8675E-8</v>
      </c>
      <c r="H13" s="15">
        <v>6.2159999999999995E-11</v>
      </c>
      <c r="I13" s="15">
        <v>4.6989999999999997E-11</v>
      </c>
      <c r="J13" s="15">
        <v>7.6713369839999998E-11</v>
      </c>
      <c r="K13" s="15">
        <v>2.1017361600000002E-8</v>
      </c>
      <c r="L13" s="15">
        <v>1.716417864E-13</v>
      </c>
      <c r="M13" s="15">
        <v>1.7350999631999999E-8</v>
      </c>
      <c r="N13" s="15">
        <v>4.1287439231999997E-8</v>
      </c>
      <c r="O13" s="15">
        <v>5.1492535920000002E-8</v>
      </c>
      <c r="P13" s="15">
        <v>1</v>
      </c>
      <c r="Q13" s="15">
        <v>1</v>
      </c>
      <c r="R13" s="15">
        <v>1</v>
      </c>
      <c r="S13" s="15">
        <v>1</v>
      </c>
      <c r="T13" s="15">
        <v>1</v>
      </c>
      <c r="U13" s="15">
        <v>1</v>
      </c>
      <c r="V13" s="15">
        <v>1</v>
      </c>
      <c r="W13" s="15">
        <v>1</v>
      </c>
      <c r="X13" s="15">
        <v>1</v>
      </c>
      <c r="Y13" s="15">
        <v>1</v>
      </c>
      <c r="Z13" s="105">
        <f t="shared" ref="Z13:AD13" si="30">0.4*U13</f>
        <v>0.4</v>
      </c>
      <c r="AA13" s="105">
        <f t="shared" si="30"/>
        <v>0.4</v>
      </c>
      <c r="AB13" s="105">
        <f t="shared" si="30"/>
        <v>0.4</v>
      </c>
      <c r="AC13" s="105">
        <f t="shared" si="30"/>
        <v>0.4</v>
      </c>
      <c r="AD13" s="105">
        <f t="shared" si="30"/>
        <v>0.4</v>
      </c>
      <c r="AE13" s="15">
        <v>2144000</v>
      </c>
      <c r="AF13" s="15">
        <v>237</v>
      </c>
      <c r="AG13" s="15">
        <v>1.0000000000000001E-5</v>
      </c>
      <c r="AH13" s="15">
        <v>1E-3</v>
      </c>
      <c r="AI13" s="15">
        <v>30</v>
      </c>
      <c r="AJ13" s="15"/>
      <c r="AK13" s="15"/>
      <c r="AL13" s="15"/>
      <c r="AM13" s="175">
        <v>4.0000000000000002E-4</v>
      </c>
      <c r="AN13" s="15"/>
      <c r="AO13" s="15"/>
      <c r="AP13" s="175">
        <v>5.3000000000000001E-5</v>
      </c>
      <c r="AQ13" s="15">
        <v>2.8999999999999998E-3</v>
      </c>
      <c r="AR13" s="15">
        <v>3.3333333333333301E-3</v>
      </c>
      <c r="AS13" s="15">
        <v>0.2</v>
      </c>
      <c r="AT13" s="15">
        <v>5.0000000000000001E-4</v>
      </c>
      <c r="AU13" s="15">
        <v>3.2322761194029798E-7</v>
      </c>
      <c r="AV13" s="42">
        <v>15</v>
      </c>
      <c r="AW13" s="42">
        <v>237</v>
      </c>
      <c r="AX13" s="105">
        <f t="shared" ref="AX13:AX14" si="31">AZ13+lambda_HL</f>
        <v>2.6999999999999999E-5</v>
      </c>
      <c r="AY13" s="105">
        <f t="shared" ref="AY13:AY14" si="32">AZ13+(0.693/t_w)</f>
        <v>4.9499999999999995E-2</v>
      </c>
      <c r="AZ13" s="105">
        <v>0</v>
      </c>
      <c r="BA13" s="15">
        <v>782560000</v>
      </c>
      <c r="BB13" s="105">
        <f t="shared" ref="BB13:BB14" si="33">AR13</f>
        <v>3.3333333333333301E-3</v>
      </c>
      <c r="BC13" s="105">
        <f t="shared" ref="BC13:BC14" si="34">AQ13</f>
        <v>2.8999999999999998E-3</v>
      </c>
    </row>
    <row r="14" spans="1:55" x14ac:dyDescent="0.25">
      <c r="A14" s="42" t="s">
        <v>24</v>
      </c>
      <c r="B14" s="42" t="s">
        <v>1074</v>
      </c>
      <c r="C14" s="42"/>
      <c r="D14" s="15">
        <v>1.6465000000000001E-11</v>
      </c>
      <c r="E14" s="15">
        <v>8.9539999999999992E-12</v>
      </c>
      <c r="F14" s="15">
        <v>8.0333026560000001E-7</v>
      </c>
      <c r="G14" s="15">
        <v>1.5281E-11</v>
      </c>
      <c r="H14" s="15">
        <v>6.1420000000000003E-12</v>
      </c>
      <c r="I14" s="15">
        <v>2.5825999999999999E-12</v>
      </c>
      <c r="J14" s="15">
        <v>8.5353840720000002E-10</v>
      </c>
      <c r="K14" s="15">
        <v>1.879886232E-7</v>
      </c>
      <c r="L14" s="15">
        <v>1.8682099199999999E-12</v>
      </c>
      <c r="M14" s="15">
        <v>1.9055741183999999E-7</v>
      </c>
      <c r="N14" s="15">
        <v>5.2309877760000005E-7</v>
      </c>
      <c r="O14" s="15">
        <v>7.601279112E-7</v>
      </c>
      <c r="P14" s="15">
        <v>1</v>
      </c>
      <c r="Q14" s="15">
        <v>1</v>
      </c>
      <c r="R14" s="15">
        <v>1</v>
      </c>
      <c r="S14" s="15">
        <v>1</v>
      </c>
      <c r="T14" s="15">
        <v>1</v>
      </c>
      <c r="U14" s="15">
        <v>1</v>
      </c>
      <c r="V14" s="15">
        <v>1</v>
      </c>
      <c r="W14" s="15">
        <v>1</v>
      </c>
      <c r="X14" s="15">
        <v>1</v>
      </c>
      <c r="Y14" s="15">
        <v>1</v>
      </c>
      <c r="Z14" s="105">
        <f t="shared" ref="Z14:AD14" si="35">0.4*U14</f>
        <v>0.4</v>
      </c>
      <c r="AA14" s="105">
        <f t="shared" si="35"/>
        <v>0.4</v>
      </c>
      <c r="AB14" s="105">
        <f t="shared" si="35"/>
        <v>0.4</v>
      </c>
      <c r="AC14" s="105">
        <f t="shared" si="35"/>
        <v>0.4</v>
      </c>
      <c r="AD14" s="105">
        <f t="shared" si="35"/>
        <v>0.4</v>
      </c>
      <c r="AE14" s="15">
        <v>7.3882191780821893E-2</v>
      </c>
      <c r="AF14" s="15">
        <v>233</v>
      </c>
      <c r="AG14" s="15">
        <v>5.0000000000000004E-6</v>
      </c>
      <c r="AH14" s="15">
        <v>5.0000000000000004E-6</v>
      </c>
      <c r="AI14" s="15">
        <v>10</v>
      </c>
      <c r="AJ14" s="15"/>
      <c r="AK14" s="15"/>
      <c r="AL14" s="15"/>
      <c r="AM14" s="15"/>
      <c r="AN14" s="15"/>
      <c r="AO14" s="15"/>
      <c r="AP14" s="15"/>
      <c r="AQ14" s="15">
        <v>0.01</v>
      </c>
      <c r="AR14" s="15">
        <v>0.1</v>
      </c>
      <c r="AS14" s="15">
        <v>2000</v>
      </c>
      <c r="AT14" s="15">
        <v>5.0000000000000001E-4</v>
      </c>
      <c r="AU14" s="15">
        <v>9.3797975303148302</v>
      </c>
      <c r="AV14" s="42">
        <v>300</v>
      </c>
      <c r="AW14" s="42">
        <v>233</v>
      </c>
      <c r="AX14" s="105">
        <f t="shared" si="31"/>
        <v>2.6999999999999999E-5</v>
      </c>
      <c r="AY14" s="105">
        <f t="shared" si="32"/>
        <v>4.9499999999999995E-2</v>
      </c>
      <c r="AZ14" s="105">
        <v>0</v>
      </c>
      <c r="BA14" s="15">
        <v>26.966999999999999</v>
      </c>
      <c r="BB14" s="105">
        <f t="shared" si="33"/>
        <v>0.1</v>
      </c>
      <c r="BC14" s="105">
        <f t="shared" si="34"/>
        <v>0.01</v>
      </c>
    </row>
    <row r="15" spans="1:55" x14ac:dyDescent="0.25">
      <c r="A15" s="42" t="s">
        <v>25</v>
      </c>
      <c r="B15" s="42" t="s">
        <v>1074</v>
      </c>
      <c r="C15" s="42"/>
      <c r="D15" s="15">
        <v>6.2529999999999997E-13</v>
      </c>
      <c r="E15" s="15">
        <v>3.4854E-13</v>
      </c>
      <c r="F15" s="15">
        <v>5.3711035200000002E-10</v>
      </c>
      <c r="G15" s="15">
        <v>2.0794E-13</v>
      </c>
      <c r="H15" s="15">
        <v>2.4087000000000001E-13</v>
      </c>
      <c r="I15" s="15">
        <v>1.221E-13</v>
      </c>
      <c r="J15" s="15">
        <v>1.7047415520000001E-12</v>
      </c>
      <c r="K15" s="15">
        <v>5.6513350080000005E-10</v>
      </c>
      <c r="L15" s="15">
        <v>2.323586088E-15</v>
      </c>
      <c r="M15" s="15">
        <v>1.8425220336000001E-10</v>
      </c>
      <c r="N15" s="15">
        <v>4.1661081215999999E-10</v>
      </c>
      <c r="O15" s="15">
        <v>5.2893693360000005E-10</v>
      </c>
      <c r="P15" s="15">
        <v>0.9</v>
      </c>
      <c r="Q15" s="15">
        <v>0.9</v>
      </c>
      <c r="R15" s="15">
        <v>0.9</v>
      </c>
      <c r="S15" s="15">
        <v>0.9</v>
      </c>
      <c r="T15" s="15">
        <v>0.9</v>
      </c>
      <c r="U15" s="15">
        <v>1</v>
      </c>
      <c r="V15" s="15">
        <v>1</v>
      </c>
      <c r="W15" s="15">
        <v>1</v>
      </c>
      <c r="X15" s="15">
        <v>1</v>
      </c>
      <c r="Y15" s="15">
        <v>1</v>
      </c>
      <c r="Z15" s="105">
        <f t="shared" ref="Z15:AD17" si="36">0.4*U15</f>
        <v>0.4</v>
      </c>
      <c r="AA15" s="105">
        <f t="shared" si="36"/>
        <v>0.4</v>
      </c>
      <c r="AB15" s="105">
        <f t="shared" si="36"/>
        <v>0.4</v>
      </c>
      <c r="AC15" s="105">
        <f t="shared" si="36"/>
        <v>0.4</v>
      </c>
      <c r="AD15" s="105">
        <f t="shared" si="36"/>
        <v>0.4</v>
      </c>
      <c r="AE15" s="15">
        <v>3.7134703196347002E-4</v>
      </c>
      <c r="AF15" s="15">
        <v>209</v>
      </c>
      <c r="AG15" s="15">
        <v>1.9000000000000001E-4</v>
      </c>
      <c r="AH15" s="15">
        <v>6.9999999999999999E-4</v>
      </c>
      <c r="AI15" s="15">
        <v>25</v>
      </c>
      <c r="AJ15" s="15"/>
      <c r="AK15" s="15"/>
      <c r="AL15" s="15"/>
      <c r="AM15" s="175">
        <v>7.1000000000000004E-3</v>
      </c>
      <c r="AN15" s="175">
        <v>3.5000000000000003E-2</v>
      </c>
      <c r="AO15" s="15"/>
      <c r="AP15" s="175">
        <v>6.0000000000000001E-3</v>
      </c>
      <c r="AQ15" s="15">
        <v>1.0999999999999999E-2</v>
      </c>
      <c r="AR15" s="15">
        <v>1.26436781609195E-2</v>
      </c>
      <c r="AS15" s="15">
        <v>150</v>
      </c>
      <c r="AT15" s="15">
        <v>0.2</v>
      </c>
      <c r="AU15" s="15">
        <v>1866.1789117737501</v>
      </c>
      <c r="AV15" s="42"/>
      <c r="AW15" s="42">
        <v>209</v>
      </c>
      <c r="AX15" s="105">
        <f t="shared" ref="AX15:AX21" si="37">AZ15+lambda_HL</f>
        <v>2.6999999999999999E-5</v>
      </c>
      <c r="AY15" s="105">
        <f t="shared" ref="AY15:AY21" si="38">AZ15+(0.693/t_w)</f>
        <v>4.9499999999999995E-2</v>
      </c>
      <c r="AZ15" s="105">
        <v>0</v>
      </c>
      <c r="BA15" s="15">
        <v>0.135541666666667</v>
      </c>
      <c r="BB15" s="105">
        <f t="shared" ref="BB15:BB21" si="39">AR15</f>
        <v>1.26436781609195E-2</v>
      </c>
      <c r="BC15" s="105">
        <f t="shared" ref="BC15:BC21" si="40">AQ15</f>
        <v>1.0999999999999999E-2</v>
      </c>
    </row>
    <row r="16" spans="1:55" x14ac:dyDescent="0.25">
      <c r="A16" s="42" t="s">
        <v>26</v>
      </c>
      <c r="B16" s="42" t="s">
        <v>1074</v>
      </c>
      <c r="C16" s="42"/>
      <c r="D16" s="15">
        <v>1.7167999999999999E-9</v>
      </c>
      <c r="E16" s="15">
        <v>1.1766000000000001E-9</v>
      </c>
      <c r="F16" s="15">
        <v>1.482891624E-9</v>
      </c>
      <c r="G16" s="15">
        <v>1.5872999999999999E-8</v>
      </c>
      <c r="H16" s="15">
        <v>8.8430000000000004E-10</v>
      </c>
      <c r="I16" s="15">
        <v>5.9940000000000002E-10</v>
      </c>
      <c r="J16" s="15">
        <v>3.9349171439999997E-12</v>
      </c>
      <c r="K16" s="15">
        <v>1.7164178639999999E-9</v>
      </c>
      <c r="L16" s="15">
        <v>9.0841707359999996E-15</v>
      </c>
      <c r="M16" s="15">
        <v>9.5278705920000003E-10</v>
      </c>
      <c r="N16" s="15">
        <v>1.4665447872000001E-9</v>
      </c>
      <c r="O16" s="15">
        <v>1.482891624E-9</v>
      </c>
      <c r="P16" s="15">
        <v>1</v>
      </c>
      <c r="Q16" s="15">
        <v>1</v>
      </c>
      <c r="R16" s="15">
        <v>1</v>
      </c>
      <c r="S16" s="15">
        <v>1</v>
      </c>
      <c r="T16" s="15">
        <v>1</v>
      </c>
      <c r="U16" s="15">
        <v>1</v>
      </c>
      <c r="V16" s="15">
        <v>1</v>
      </c>
      <c r="W16" s="15">
        <v>1</v>
      </c>
      <c r="X16" s="15">
        <v>1</v>
      </c>
      <c r="Y16" s="15">
        <v>1</v>
      </c>
      <c r="Z16" s="105">
        <f t="shared" si="36"/>
        <v>0.4</v>
      </c>
      <c r="AA16" s="105">
        <f t="shared" si="36"/>
        <v>0.4</v>
      </c>
      <c r="AB16" s="105">
        <f t="shared" si="36"/>
        <v>0.4</v>
      </c>
      <c r="AC16" s="105">
        <f t="shared" si="36"/>
        <v>0.4</v>
      </c>
      <c r="AD16" s="105">
        <f t="shared" si="36"/>
        <v>0.4</v>
      </c>
      <c r="AE16" s="15">
        <v>22.2</v>
      </c>
      <c r="AF16" s="15">
        <v>210</v>
      </c>
      <c r="AG16" s="15">
        <v>1.9000000000000001E-4</v>
      </c>
      <c r="AH16" s="15">
        <v>6.9999999999999999E-4</v>
      </c>
      <c r="AI16" s="15">
        <v>25</v>
      </c>
      <c r="AJ16" s="15"/>
      <c r="AK16" s="15"/>
      <c r="AL16" s="15"/>
      <c r="AM16" s="175">
        <v>7.1000000000000004E-3</v>
      </c>
      <c r="AN16" s="175">
        <v>3.5000000000000003E-2</v>
      </c>
      <c r="AO16" s="15"/>
      <c r="AP16" s="175">
        <v>6.0000000000000001E-3</v>
      </c>
      <c r="AQ16" s="15">
        <v>1.0999999999999999E-2</v>
      </c>
      <c r="AR16" s="15">
        <v>1.26436781609195E-2</v>
      </c>
      <c r="AS16" s="15">
        <v>150</v>
      </c>
      <c r="AT16" s="15">
        <v>0.2</v>
      </c>
      <c r="AU16" s="15">
        <v>3.1216216216216199E-2</v>
      </c>
      <c r="AV16" s="42"/>
      <c r="AW16" s="42">
        <v>210</v>
      </c>
      <c r="AX16" s="105">
        <f t="shared" si="37"/>
        <v>2.6999999999999999E-5</v>
      </c>
      <c r="AY16" s="105">
        <f t="shared" si="38"/>
        <v>4.9499999999999995E-2</v>
      </c>
      <c r="AZ16" s="105">
        <v>0</v>
      </c>
      <c r="BA16" s="15">
        <v>8103</v>
      </c>
      <c r="BB16" s="105">
        <f t="shared" si="39"/>
        <v>1.26436781609195E-2</v>
      </c>
      <c r="BC16" s="105">
        <f t="shared" si="40"/>
        <v>1.0999999999999999E-2</v>
      </c>
    </row>
    <row r="17" spans="1:55" x14ac:dyDescent="0.25">
      <c r="A17" s="42" t="s">
        <v>27</v>
      </c>
      <c r="B17" s="42" t="s">
        <v>1074</v>
      </c>
      <c r="C17" s="42"/>
      <c r="D17" s="15">
        <v>7.9180000000000002E-13</v>
      </c>
      <c r="E17" s="15">
        <v>4.8470000000000005E-13</v>
      </c>
      <c r="F17" s="15">
        <v>9.9365415120000007E-7</v>
      </c>
      <c r="G17" s="15">
        <v>7.7700000000000001E-11</v>
      </c>
      <c r="H17" s="15">
        <v>3.4447E-13</v>
      </c>
      <c r="I17" s="15">
        <v>2.2052E-13</v>
      </c>
      <c r="J17" s="15">
        <v>1.0193420376000001E-9</v>
      </c>
      <c r="K17" s="15">
        <v>2.230175592E-7</v>
      </c>
      <c r="L17" s="15">
        <v>2.2301755919999998E-12</v>
      </c>
      <c r="M17" s="15">
        <v>2.2605340032000001E-7</v>
      </c>
      <c r="N17" s="15">
        <v>6.2958674304000002E-7</v>
      </c>
      <c r="O17" s="15">
        <v>9.3060206639999999E-7</v>
      </c>
      <c r="P17" s="15">
        <v>1</v>
      </c>
      <c r="Q17" s="15">
        <v>1</v>
      </c>
      <c r="R17" s="15">
        <v>1</v>
      </c>
      <c r="S17" s="15">
        <v>1</v>
      </c>
      <c r="T17" s="15">
        <v>1</v>
      </c>
      <c r="U17" s="15">
        <v>1</v>
      </c>
      <c r="V17" s="15">
        <v>1</v>
      </c>
      <c r="W17" s="15">
        <v>1</v>
      </c>
      <c r="X17" s="15">
        <v>1</v>
      </c>
      <c r="Y17" s="15">
        <v>1</v>
      </c>
      <c r="Z17" s="105">
        <f t="shared" si="36"/>
        <v>0.4</v>
      </c>
      <c r="AA17" s="105">
        <f t="shared" si="36"/>
        <v>0.4</v>
      </c>
      <c r="AB17" s="105">
        <f t="shared" si="36"/>
        <v>0.4</v>
      </c>
      <c r="AC17" s="105">
        <f t="shared" si="36"/>
        <v>0.4</v>
      </c>
      <c r="AD17" s="105">
        <f t="shared" si="36"/>
        <v>0.4</v>
      </c>
      <c r="AE17" s="15">
        <v>5.0989345509893397E-5</v>
      </c>
      <c r="AF17" s="15">
        <v>214</v>
      </c>
      <c r="AG17" s="15">
        <v>1.9000000000000001E-4</v>
      </c>
      <c r="AH17" s="15">
        <v>6.9999999999999999E-4</v>
      </c>
      <c r="AI17" s="15">
        <v>25</v>
      </c>
      <c r="AJ17" s="15"/>
      <c r="AK17" s="15"/>
      <c r="AL17" s="15"/>
      <c r="AM17" s="175">
        <v>7.1000000000000004E-3</v>
      </c>
      <c r="AN17" s="175">
        <v>3.5000000000000003E-2</v>
      </c>
      <c r="AO17" s="15"/>
      <c r="AP17" s="175">
        <v>6.0000000000000001E-3</v>
      </c>
      <c r="AQ17" s="15">
        <v>1.0999999999999999E-2</v>
      </c>
      <c r="AR17" s="15">
        <v>1.26436781609195E-2</v>
      </c>
      <c r="AS17" s="15">
        <v>150</v>
      </c>
      <c r="AT17" s="15">
        <v>0.2</v>
      </c>
      <c r="AU17" s="15">
        <v>13591.0746268657</v>
      </c>
      <c r="AV17" s="42"/>
      <c r="AW17" s="42">
        <v>214</v>
      </c>
      <c r="AX17" s="105">
        <f t="shared" si="37"/>
        <v>2.6999999999999999E-5</v>
      </c>
      <c r="AY17" s="105">
        <f t="shared" si="38"/>
        <v>4.9499999999999995E-2</v>
      </c>
      <c r="AZ17" s="105">
        <v>0</v>
      </c>
      <c r="BA17" s="15">
        <v>1.8611111111111099E-2</v>
      </c>
      <c r="BB17" s="105">
        <f t="shared" si="39"/>
        <v>1.26436781609195E-2</v>
      </c>
      <c r="BC17" s="105">
        <f t="shared" si="40"/>
        <v>1.0999999999999999E-2</v>
      </c>
    </row>
    <row r="18" spans="1:55" x14ac:dyDescent="0.25">
      <c r="A18" s="42" t="s">
        <v>28</v>
      </c>
      <c r="B18" s="42" t="s">
        <v>1074</v>
      </c>
      <c r="C18" s="42"/>
      <c r="D18" s="15">
        <v>3.2744999999999998E-9</v>
      </c>
      <c r="E18" s="15">
        <v>2.2533000000000001E-9</v>
      </c>
      <c r="F18" s="15">
        <v>4.5070564319999998E-11</v>
      </c>
      <c r="G18" s="15">
        <v>1.4504E-8</v>
      </c>
      <c r="H18" s="15">
        <v>1.7760000000000001E-9</v>
      </c>
      <c r="I18" s="15">
        <v>1.4356000000000001E-9</v>
      </c>
      <c r="J18" s="15">
        <v>4.1801196960000001E-14</v>
      </c>
      <c r="K18" s="15">
        <v>8.69885244E-12</v>
      </c>
      <c r="L18" s="15">
        <v>9.0724944239999998E-17</v>
      </c>
      <c r="M18" s="15">
        <v>8.9487255167999993E-12</v>
      </c>
      <c r="N18" s="15">
        <v>2.5407654911999999E-11</v>
      </c>
      <c r="O18" s="15">
        <v>3.9582697679999998E-11</v>
      </c>
      <c r="P18" s="15">
        <v>1</v>
      </c>
      <c r="Q18" s="15">
        <v>1</v>
      </c>
      <c r="R18" s="15">
        <v>1</v>
      </c>
      <c r="S18" s="15">
        <v>1</v>
      </c>
      <c r="T18" s="15">
        <v>1</v>
      </c>
      <c r="U18" s="15">
        <v>1</v>
      </c>
      <c r="V18" s="15">
        <v>1</v>
      </c>
      <c r="W18" s="15">
        <v>1</v>
      </c>
      <c r="X18" s="15">
        <v>1</v>
      </c>
      <c r="Y18" s="15">
        <v>1</v>
      </c>
      <c r="Z18" s="105">
        <f t="shared" ref="Z18:AD21" si="41">0.4*U18</f>
        <v>0.4</v>
      </c>
      <c r="AA18" s="105">
        <f t="shared" si="41"/>
        <v>0.4</v>
      </c>
      <c r="AB18" s="105">
        <f t="shared" si="41"/>
        <v>0.4</v>
      </c>
      <c r="AC18" s="105">
        <f t="shared" si="41"/>
        <v>0.4</v>
      </c>
      <c r="AD18" s="105">
        <f t="shared" si="41"/>
        <v>0.4</v>
      </c>
      <c r="AE18" s="15">
        <v>0.37911232876712297</v>
      </c>
      <c r="AF18" s="15">
        <v>210</v>
      </c>
      <c r="AG18" s="15">
        <v>2.1000000000000001E-4</v>
      </c>
      <c r="AH18" s="15">
        <v>5.0000000000000001E-3</v>
      </c>
      <c r="AI18" s="15">
        <v>36</v>
      </c>
      <c r="AJ18" s="15">
        <v>2.4</v>
      </c>
      <c r="AK18" s="15">
        <v>3.1</v>
      </c>
      <c r="AL18" s="15"/>
      <c r="AM18" s="175">
        <v>0.05</v>
      </c>
      <c r="AN18" s="15"/>
      <c r="AO18" s="15"/>
      <c r="AP18" s="175">
        <v>2.3E-3</v>
      </c>
      <c r="AQ18" s="15">
        <v>2.4000000000000001E-4</v>
      </c>
      <c r="AR18" s="15">
        <v>2.7586206896551698E-4</v>
      </c>
      <c r="AS18" s="15">
        <v>210</v>
      </c>
      <c r="AT18" s="15"/>
      <c r="AU18" s="15">
        <v>1.8279542695265101</v>
      </c>
      <c r="AV18" s="42">
        <v>15</v>
      </c>
      <c r="AW18" s="42">
        <v>210</v>
      </c>
      <c r="AX18" s="105">
        <f t="shared" si="37"/>
        <v>2.6999999999999999E-5</v>
      </c>
      <c r="AY18" s="105">
        <f t="shared" si="38"/>
        <v>4.9499999999999995E-2</v>
      </c>
      <c r="AZ18" s="105">
        <v>0</v>
      </c>
      <c r="BA18" s="15">
        <v>138.376</v>
      </c>
      <c r="BB18" s="105">
        <f t="shared" si="39"/>
        <v>2.7586206896551698E-4</v>
      </c>
      <c r="BC18" s="105">
        <f t="shared" si="40"/>
        <v>2.4000000000000001E-4</v>
      </c>
    </row>
    <row r="19" spans="1:55" x14ac:dyDescent="0.25">
      <c r="A19" s="42" t="s">
        <v>29</v>
      </c>
      <c r="B19" s="42" t="s">
        <v>1074</v>
      </c>
      <c r="C19" s="42"/>
      <c r="D19" s="15">
        <v>0</v>
      </c>
      <c r="E19" s="15">
        <v>0</v>
      </c>
      <c r="F19" s="15">
        <v>1.728094176E-10</v>
      </c>
      <c r="G19" s="15">
        <v>0</v>
      </c>
      <c r="H19" s="15">
        <v>0</v>
      </c>
      <c r="I19" s="15">
        <v>0</v>
      </c>
      <c r="J19" s="15">
        <v>1.6113310560000001E-13</v>
      </c>
      <c r="K19" s="15">
        <v>3.3627778560000003E-11</v>
      </c>
      <c r="L19" s="15">
        <v>3.491217288E-16</v>
      </c>
      <c r="M19" s="15">
        <v>3.4561883519999999E-11</v>
      </c>
      <c r="N19" s="15">
        <v>9.7333736831999999E-11</v>
      </c>
      <c r="O19" s="15">
        <v>1.51792056E-10</v>
      </c>
      <c r="P19" s="15">
        <v>1</v>
      </c>
      <c r="Q19" s="15">
        <v>1</v>
      </c>
      <c r="R19" s="15">
        <v>1</v>
      </c>
      <c r="S19" s="15">
        <v>1</v>
      </c>
      <c r="T19" s="15">
        <v>1</v>
      </c>
      <c r="U19" s="15">
        <v>1</v>
      </c>
      <c r="V19" s="15">
        <v>1</v>
      </c>
      <c r="W19" s="15">
        <v>1</v>
      </c>
      <c r="X19" s="15">
        <v>1</v>
      </c>
      <c r="Y19" s="15">
        <v>1</v>
      </c>
      <c r="Z19" s="105">
        <f t="shared" si="41"/>
        <v>0.4</v>
      </c>
      <c r="AA19" s="105">
        <f t="shared" si="41"/>
        <v>0.4</v>
      </c>
      <c r="AB19" s="105">
        <f t="shared" si="41"/>
        <v>0.4</v>
      </c>
      <c r="AC19" s="105">
        <f t="shared" si="41"/>
        <v>0.4</v>
      </c>
      <c r="AD19" s="105">
        <f t="shared" si="41"/>
        <v>0.4</v>
      </c>
      <c r="AE19" s="15">
        <v>1.3318112633181101E-13</v>
      </c>
      <c r="AF19" s="15">
        <v>213</v>
      </c>
      <c r="AG19" s="15">
        <v>2.1000000000000001E-4</v>
      </c>
      <c r="AH19" s="15">
        <v>5.0000000000000001E-3</v>
      </c>
      <c r="AI19" s="15">
        <v>36</v>
      </c>
      <c r="AJ19" s="15">
        <v>2.4</v>
      </c>
      <c r="AK19" s="15">
        <v>3.1</v>
      </c>
      <c r="AL19" s="15"/>
      <c r="AM19" s="175">
        <v>0.05</v>
      </c>
      <c r="AN19" s="15"/>
      <c r="AO19" s="15"/>
      <c r="AP19" s="175">
        <v>2.3E-3</v>
      </c>
      <c r="AQ19" s="15">
        <v>2.4000000000000001E-4</v>
      </c>
      <c r="AR19" s="15">
        <v>2.7586206896551698E-4</v>
      </c>
      <c r="AS19" s="15">
        <v>210</v>
      </c>
      <c r="AT19" s="15"/>
      <c r="AU19" s="15">
        <v>5203440000000</v>
      </c>
      <c r="AV19" s="42">
        <v>15</v>
      </c>
      <c r="AW19" s="42">
        <v>213</v>
      </c>
      <c r="AX19" s="105">
        <f t="shared" si="37"/>
        <v>2.6999999999999999E-5</v>
      </c>
      <c r="AY19" s="105">
        <f t="shared" si="38"/>
        <v>4.9499999999999995E-2</v>
      </c>
      <c r="AZ19" s="105">
        <v>0</v>
      </c>
      <c r="BA19" s="15">
        <v>4.8611111111111103E-11</v>
      </c>
      <c r="BB19" s="105">
        <f t="shared" si="39"/>
        <v>2.7586206896551698E-4</v>
      </c>
      <c r="BC19" s="105">
        <f t="shared" si="40"/>
        <v>2.4000000000000001E-4</v>
      </c>
    </row>
    <row r="20" spans="1:55" x14ac:dyDescent="0.25">
      <c r="A20" s="42" t="s">
        <v>30</v>
      </c>
      <c r="B20" s="42" t="s">
        <v>1074</v>
      </c>
      <c r="C20" s="42"/>
      <c r="D20" s="15">
        <v>0</v>
      </c>
      <c r="E20" s="15">
        <v>0</v>
      </c>
      <c r="F20" s="15">
        <v>3.8531829600000002E-10</v>
      </c>
      <c r="G20" s="15">
        <v>0</v>
      </c>
      <c r="H20" s="15">
        <v>0</v>
      </c>
      <c r="I20" s="15">
        <v>0</v>
      </c>
      <c r="J20" s="15">
        <v>3.5729514720000002E-13</v>
      </c>
      <c r="K20" s="15">
        <v>7.4261344320000001E-11</v>
      </c>
      <c r="L20" s="15">
        <v>7.741394856E-16</v>
      </c>
      <c r="M20" s="15">
        <v>7.6222964736000004E-11</v>
      </c>
      <c r="N20" s="15">
        <v>2.1484414079999999E-10</v>
      </c>
      <c r="O20" s="15">
        <v>3.3744541680000003E-10</v>
      </c>
      <c r="P20" s="15">
        <v>1</v>
      </c>
      <c r="Q20" s="15">
        <v>1</v>
      </c>
      <c r="R20" s="15">
        <v>1</v>
      </c>
      <c r="S20" s="15">
        <v>1</v>
      </c>
      <c r="T20" s="15">
        <v>1</v>
      </c>
      <c r="U20" s="15">
        <v>1</v>
      </c>
      <c r="V20" s="15">
        <v>1</v>
      </c>
      <c r="W20" s="15">
        <v>1</v>
      </c>
      <c r="X20" s="15">
        <v>1</v>
      </c>
      <c r="Y20" s="15">
        <v>1</v>
      </c>
      <c r="Z20" s="105">
        <f t="shared" si="41"/>
        <v>0.4</v>
      </c>
      <c r="AA20" s="105">
        <f t="shared" si="41"/>
        <v>0.4</v>
      </c>
      <c r="AB20" s="105">
        <f t="shared" si="41"/>
        <v>0.4</v>
      </c>
      <c r="AC20" s="105">
        <f t="shared" si="41"/>
        <v>0.4</v>
      </c>
      <c r="AD20" s="105">
        <f t="shared" si="41"/>
        <v>0.4</v>
      </c>
      <c r="AE20" s="15">
        <v>5.20991882293252E-12</v>
      </c>
      <c r="AF20" s="15">
        <v>214</v>
      </c>
      <c r="AG20" s="15">
        <v>2.1000000000000001E-4</v>
      </c>
      <c r="AH20" s="15">
        <v>5.0000000000000001E-3</v>
      </c>
      <c r="AI20" s="15">
        <v>36</v>
      </c>
      <c r="AJ20" s="15">
        <v>2.4</v>
      </c>
      <c r="AK20" s="15">
        <v>3.1</v>
      </c>
      <c r="AL20" s="15"/>
      <c r="AM20" s="175">
        <v>0.05</v>
      </c>
      <c r="AN20" s="15"/>
      <c r="AO20" s="15"/>
      <c r="AP20" s="175">
        <v>2.3E-3</v>
      </c>
      <c r="AQ20" s="15">
        <v>2.4000000000000001E-4</v>
      </c>
      <c r="AR20" s="15">
        <v>2.7586206896551698E-4</v>
      </c>
      <c r="AS20" s="15">
        <v>210</v>
      </c>
      <c r="AT20" s="15"/>
      <c r="AU20" s="15">
        <v>133015508216.677</v>
      </c>
      <c r="AV20" s="42">
        <v>15</v>
      </c>
      <c r="AW20" s="42">
        <v>214</v>
      </c>
      <c r="AX20" s="105">
        <f t="shared" si="37"/>
        <v>2.6999999999999999E-5</v>
      </c>
      <c r="AY20" s="105">
        <f t="shared" si="38"/>
        <v>4.9499999999999995E-2</v>
      </c>
      <c r="AZ20" s="105">
        <v>0</v>
      </c>
      <c r="BA20" s="15">
        <v>1.9016203703703698E-9</v>
      </c>
      <c r="BB20" s="105">
        <f t="shared" si="39"/>
        <v>2.7586206896551698E-4</v>
      </c>
      <c r="BC20" s="105">
        <f t="shared" si="40"/>
        <v>2.4000000000000001E-4</v>
      </c>
    </row>
    <row r="21" spans="1:55" x14ac:dyDescent="0.25">
      <c r="A21" s="42" t="s">
        <v>31</v>
      </c>
      <c r="B21" s="42" t="s">
        <v>1074</v>
      </c>
      <c r="C21" s="42"/>
      <c r="D21" s="15">
        <v>0</v>
      </c>
      <c r="E21" s="15">
        <v>0</v>
      </c>
      <c r="F21" s="15">
        <v>6.8423188320000004E-15</v>
      </c>
      <c r="G21" s="15">
        <v>1.39E-11</v>
      </c>
      <c r="H21" s="15">
        <v>0</v>
      </c>
      <c r="I21" s="15">
        <v>0</v>
      </c>
      <c r="J21" s="15">
        <v>3.9465934560000001E-17</v>
      </c>
      <c r="K21" s="15">
        <v>5.3010456479999998E-15</v>
      </c>
      <c r="L21" s="15">
        <v>5.055843096E-20</v>
      </c>
      <c r="M21" s="15">
        <v>3.1572747648000001E-15</v>
      </c>
      <c r="N21" s="15">
        <v>5.9782717440000002E-15</v>
      </c>
      <c r="O21" s="15">
        <v>6.8189662079999997E-15</v>
      </c>
      <c r="P21" s="15">
        <v>0.9</v>
      </c>
      <c r="Q21" s="15">
        <v>0.9</v>
      </c>
      <c r="R21" s="15">
        <v>0.9</v>
      </c>
      <c r="S21" s="15">
        <v>0.9</v>
      </c>
      <c r="T21" s="15">
        <v>0.9</v>
      </c>
      <c r="U21" s="15">
        <v>1</v>
      </c>
      <c r="V21" s="15">
        <v>1</v>
      </c>
      <c r="W21" s="15">
        <v>1</v>
      </c>
      <c r="X21" s="15">
        <v>1</v>
      </c>
      <c r="Y21" s="15">
        <v>1</v>
      </c>
      <c r="Z21" s="105">
        <f t="shared" si="41"/>
        <v>0.4</v>
      </c>
      <c r="AA21" s="105">
        <f t="shared" si="41"/>
        <v>0.4</v>
      </c>
      <c r="AB21" s="105">
        <f t="shared" si="41"/>
        <v>0.4</v>
      </c>
      <c r="AC21" s="105">
        <f t="shared" si="41"/>
        <v>0.4</v>
      </c>
      <c r="AD21" s="105">
        <f t="shared" si="41"/>
        <v>0.4</v>
      </c>
      <c r="AE21" s="15">
        <v>5.8980213089802101E-6</v>
      </c>
      <c r="AF21" s="15">
        <v>218</v>
      </c>
      <c r="AG21" s="15">
        <v>2.1000000000000001E-4</v>
      </c>
      <c r="AH21" s="15">
        <v>5.0000000000000001E-3</v>
      </c>
      <c r="AI21" s="15">
        <v>36</v>
      </c>
      <c r="AJ21" s="15">
        <v>2.4</v>
      </c>
      <c r="AK21" s="15">
        <v>3.1</v>
      </c>
      <c r="AL21" s="15"/>
      <c r="AM21" s="175">
        <v>0.05</v>
      </c>
      <c r="AN21" s="15"/>
      <c r="AO21" s="15"/>
      <c r="AP21" s="175">
        <v>2.3E-3</v>
      </c>
      <c r="AQ21" s="15">
        <v>2.4000000000000001E-4</v>
      </c>
      <c r="AR21" s="15">
        <v>2.7586206896551698E-4</v>
      </c>
      <c r="AS21" s="15">
        <v>210</v>
      </c>
      <c r="AT21" s="15"/>
      <c r="AU21" s="15">
        <v>117497.032258065</v>
      </c>
      <c r="AV21" s="42">
        <v>15</v>
      </c>
      <c r="AW21" s="42">
        <v>218</v>
      </c>
      <c r="AX21" s="105">
        <f t="shared" si="37"/>
        <v>2.6999999999999999E-5</v>
      </c>
      <c r="AY21" s="105">
        <f t="shared" si="38"/>
        <v>4.9499999999999995E-2</v>
      </c>
      <c r="AZ21" s="105">
        <v>0</v>
      </c>
      <c r="BA21" s="15">
        <v>2.1527777777777799E-3</v>
      </c>
      <c r="BB21" s="105">
        <f t="shared" si="39"/>
        <v>2.7586206896551698E-4</v>
      </c>
      <c r="BC21" s="105">
        <f t="shared" si="40"/>
        <v>2.4000000000000001E-4</v>
      </c>
    </row>
    <row r="22" spans="1:55" x14ac:dyDescent="0.25">
      <c r="A22" s="42" t="s">
        <v>32</v>
      </c>
      <c r="B22" s="42" t="s">
        <v>1074</v>
      </c>
      <c r="C22" s="42"/>
      <c r="D22" s="15">
        <v>2.4235E-10</v>
      </c>
      <c r="E22" s="15">
        <v>1.5355E-10</v>
      </c>
      <c r="F22" s="15">
        <v>6.106711176E-9</v>
      </c>
      <c r="G22" s="15">
        <v>2.6159E-8</v>
      </c>
      <c r="H22" s="15">
        <v>1.1432999999999999E-10</v>
      </c>
      <c r="I22" s="15">
        <v>7.4369999999999998E-11</v>
      </c>
      <c r="J22" s="15">
        <v>1.844857296E-11</v>
      </c>
      <c r="K22" s="15">
        <v>8.8389681839999997E-9</v>
      </c>
      <c r="L22" s="15">
        <v>4.2385012559999998E-14</v>
      </c>
      <c r="M22" s="15">
        <v>4.4463396095999997E-9</v>
      </c>
      <c r="N22" s="15">
        <v>6.0716822400000003E-9</v>
      </c>
      <c r="O22" s="15">
        <v>6.0950348640000001E-9</v>
      </c>
      <c r="P22" s="15">
        <v>1</v>
      </c>
      <c r="Q22" s="15">
        <v>1</v>
      </c>
      <c r="R22" s="15">
        <v>1</v>
      </c>
      <c r="S22" s="15">
        <v>1</v>
      </c>
      <c r="T22" s="15">
        <v>1</v>
      </c>
      <c r="U22" s="15">
        <v>1</v>
      </c>
      <c r="V22" s="15">
        <v>1</v>
      </c>
      <c r="W22" s="15">
        <v>1</v>
      </c>
      <c r="X22" s="15">
        <v>1</v>
      </c>
      <c r="Y22" s="15">
        <v>1</v>
      </c>
      <c r="Z22" s="105">
        <f t="shared" ref="Z22:AD23" si="42">0.4*U22</f>
        <v>0.4</v>
      </c>
      <c r="AA22" s="105">
        <f t="shared" si="42"/>
        <v>0.4</v>
      </c>
      <c r="AB22" s="105">
        <f t="shared" si="42"/>
        <v>0.4</v>
      </c>
      <c r="AC22" s="105">
        <f t="shared" si="42"/>
        <v>0.4</v>
      </c>
      <c r="AD22" s="105">
        <f t="shared" si="42"/>
        <v>0.4</v>
      </c>
      <c r="AE22" s="15">
        <v>4.0821917808219199E-2</v>
      </c>
      <c r="AF22" s="15">
        <v>225</v>
      </c>
      <c r="AG22" s="15">
        <v>3.8000000000000002E-4</v>
      </c>
      <c r="AH22" s="15">
        <v>1.6999999999999999E-3</v>
      </c>
      <c r="AI22" s="15">
        <v>4</v>
      </c>
      <c r="AJ22" s="15"/>
      <c r="AK22" s="15"/>
      <c r="AL22" s="15"/>
      <c r="AM22" s="175">
        <v>5.0000000000000001E-3</v>
      </c>
      <c r="AN22" s="15"/>
      <c r="AO22" s="15"/>
      <c r="AP22" s="15"/>
      <c r="AQ22" s="15">
        <v>1.7000000000000001E-2</v>
      </c>
      <c r="AR22" s="15">
        <v>1.9540229885057499E-2</v>
      </c>
      <c r="AS22" s="15">
        <v>1</v>
      </c>
      <c r="AT22" s="15">
        <v>0.2</v>
      </c>
      <c r="AU22" s="15">
        <v>16.976174496644301</v>
      </c>
      <c r="AV22" s="42"/>
      <c r="AW22" s="42">
        <v>225</v>
      </c>
      <c r="AX22" s="105">
        <f t="shared" ref="AX22:AX23" si="43">AZ22+lambda_HL</f>
        <v>2.6999999999999999E-5</v>
      </c>
      <c r="AY22" s="105">
        <f t="shared" ref="AY22:AY23" si="44">AZ22+(0.693/t_w)</f>
        <v>4.9499999999999995E-2</v>
      </c>
      <c r="AZ22" s="105">
        <v>0</v>
      </c>
      <c r="BA22" s="15">
        <v>14.9</v>
      </c>
      <c r="BB22" s="105">
        <f>AR22</f>
        <v>1.9540229885057499E-2</v>
      </c>
      <c r="BC22" s="105">
        <f t="shared" ref="BC22:BC23" si="45">AQ22</f>
        <v>1.7000000000000001E-2</v>
      </c>
    </row>
    <row r="23" spans="1:55" x14ac:dyDescent="0.25">
      <c r="A23" s="42" t="s">
        <v>33</v>
      </c>
      <c r="B23" s="42" t="s">
        <v>351</v>
      </c>
      <c r="C23" s="42">
        <v>1</v>
      </c>
      <c r="D23" s="15">
        <v>6.7709999999999997E-10</v>
      </c>
      <c r="E23" s="15">
        <v>5.1429999999999997E-10</v>
      </c>
      <c r="F23" s="15">
        <v>2.4987307680000001E-8</v>
      </c>
      <c r="G23" s="15">
        <v>2.8156999999999999E-8</v>
      </c>
      <c r="H23" s="15">
        <v>3.8480000000000001E-10</v>
      </c>
      <c r="I23" s="15">
        <v>2.9451999999999998E-10</v>
      </c>
      <c r="J23" s="15">
        <v>2.849020128E-11</v>
      </c>
      <c r="K23" s="15">
        <v>6.2468269200000004E-9</v>
      </c>
      <c r="L23" s="15">
        <v>6.2701795440000005E-14</v>
      </c>
      <c r="M23" s="15">
        <v>6.3332316288000001E-9</v>
      </c>
      <c r="N23" s="15">
        <v>1.7315970695999999E-8</v>
      </c>
      <c r="O23" s="15">
        <v>2.4286728960000001E-8</v>
      </c>
      <c r="P23" s="15">
        <v>1</v>
      </c>
      <c r="Q23" s="15">
        <v>1</v>
      </c>
      <c r="R23" s="15">
        <v>1</v>
      </c>
      <c r="S23" s="15">
        <v>1</v>
      </c>
      <c r="T23" s="15">
        <v>1</v>
      </c>
      <c r="U23" s="15">
        <v>1</v>
      </c>
      <c r="V23" s="15">
        <v>1</v>
      </c>
      <c r="W23" s="15">
        <v>1</v>
      </c>
      <c r="X23" s="15">
        <v>1</v>
      </c>
      <c r="Y23" s="15">
        <v>1</v>
      </c>
      <c r="Z23" s="105">
        <f t="shared" si="42"/>
        <v>0.4</v>
      </c>
      <c r="AA23" s="105">
        <f t="shared" si="42"/>
        <v>0.4</v>
      </c>
      <c r="AB23" s="105">
        <f t="shared" si="42"/>
        <v>0.4</v>
      </c>
      <c r="AC23" s="105">
        <f t="shared" si="42"/>
        <v>0.4</v>
      </c>
      <c r="AD23" s="105">
        <f t="shared" si="42"/>
        <v>0.4</v>
      </c>
      <c r="AE23" s="15">
        <v>1600</v>
      </c>
      <c r="AF23" s="15">
        <v>226</v>
      </c>
      <c r="AG23" s="15">
        <v>3.8000000000000002E-4</v>
      </c>
      <c r="AH23" s="15">
        <v>1.6999999999999999E-3</v>
      </c>
      <c r="AI23" s="15">
        <v>4</v>
      </c>
      <c r="AJ23" s="15"/>
      <c r="AK23" s="15"/>
      <c r="AL23" s="15"/>
      <c r="AM23" s="175">
        <v>5.0000000000000001E-3</v>
      </c>
      <c r="AN23" s="15"/>
      <c r="AO23" s="15"/>
      <c r="AP23" s="15"/>
      <c r="AQ23" s="15">
        <v>1.7000000000000001E-2</v>
      </c>
      <c r="AR23" s="15">
        <v>1.9540229885057499E-2</v>
      </c>
      <c r="AS23" s="15">
        <v>1</v>
      </c>
      <c r="AT23" s="15">
        <v>0.2</v>
      </c>
      <c r="AU23" s="15">
        <v>4.3312500000000002E-4</v>
      </c>
      <c r="AV23" s="42">
        <v>5</v>
      </c>
      <c r="AW23" s="42">
        <v>226</v>
      </c>
      <c r="AX23" s="105">
        <f t="shared" si="43"/>
        <v>2.6999999999999999E-5</v>
      </c>
      <c r="AY23" s="105">
        <f t="shared" si="44"/>
        <v>4.9499999999999995E-2</v>
      </c>
      <c r="AZ23" s="105">
        <v>0</v>
      </c>
      <c r="BA23" s="15">
        <v>584000</v>
      </c>
      <c r="BB23" s="105">
        <f t="shared" ref="BB23" si="46">AR23</f>
        <v>1.9540229885057499E-2</v>
      </c>
      <c r="BC23" s="105">
        <f t="shared" si="45"/>
        <v>1.7000000000000001E-2</v>
      </c>
    </row>
    <row r="24" spans="1:55" x14ac:dyDescent="0.25">
      <c r="A24" s="42" t="s">
        <v>34</v>
      </c>
      <c r="B24" s="42" t="s">
        <v>1074</v>
      </c>
      <c r="C24" s="42"/>
      <c r="D24" s="15">
        <v>0</v>
      </c>
      <c r="E24" s="15">
        <v>0</v>
      </c>
      <c r="F24" s="15">
        <v>3.3861304799999998E-9</v>
      </c>
      <c r="G24" s="15">
        <v>0</v>
      </c>
      <c r="H24" s="15">
        <v>0</v>
      </c>
      <c r="I24" s="15">
        <v>0</v>
      </c>
      <c r="J24" s="15">
        <v>3.187633176E-12</v>
      </c>
      <c r="K24" s="15">
        <v>6.807289896E-10</v>
      </c>
      <c r="L24" s="15">
        <v>6.9240530159999999E-15</v>
      </c>
      <c r="M24" s="15">
        <v>6.9684230016000005E-10</v>
      </c>
      <c r="N24" s="15">
        <v>1.9616204160000001E-9</v>
      </c>
      <c r="O24" s="15">
        <v>3.0358411200000002E-9</v>
      </c>
      <c r="P24" s="15">
        <v>1</v>
      </c>
      <c r="Q24" s="15">
        <v>1</v>
      </c>
      <c r="R24" s="15">
        <v>1</v>
      </c>
      <c r="S24" s="15">
        <v>1</v>
      </c>
      <c r="T24" s="15">
        <v>1</v>
      </c>
      <c r="U24" s="15">
        <v>1</v>
      </c>
      <c r="V24" s="15">
        <v>1</v>
      </c>
      <c r="W24" s="15">
        <v>1</v>
      </c>
      <c r="X24" s="15">
        <v>1</v>
      </c>
      <c r="Y24" s="15">
        <v>1</v>
      </c>
      <c r="Z24" s="105">
        <f t="shared" ref="Z24:AD25" si="47">0.4*U24</f>
        <v>0.4</v>
      </c>
      <c r="AA24" s="105">
        <f t="shared" si="47"/>
        <v>0.4</v>
      </c>
      <c r="AB24" s="105">
        <f t="shared" si="47"/>
        <v>0.4</v>
      </c>
      <c r="AC24" s="105">
        <f t="shared" si="47"/>
        <v>0.4</v>
      </c>
      <c r="AD24" s="105">
        <f t="shared" si="47"/>
        <v>0.4</v>
      </c>
      <c r="AE24" s="15">
        <v>1.1098427194317601E-9</v>
      </c>
      <c r="AF24" s="15">
        <v>218</v>
      </c>
      <c r="AG24" s="15">
        <v>0</v>
      </c>
      <c r="AH24" s="15">
        <v>0</v>
      </c>
      <c r="AI24" s="15">
        <v>0</v>
      </c>
      <c r="AJ24" s="15"/>
      <c r="AK24" s="15"/>
      <c r="AL24" s="15"/>
      <c r="AM24" s="15"/>
      <c r="AN24" s="15"/>
      <c r="AO24" s="15"/>
      <c r="AP24" s="15"/>
      <c r="AQ24" s="15">
        <v>0</v>
      </c>
      <c r="AR24" s="15">
        <v>0</v>
      </c>
      <c r="AS24" s="15">
        <v>0</v>
      </c>
      <c r="AT24" s="15"/>
      <c r="AU24" s="15">
        <v>624412800</v>
      </c>
      <c r="AV24" s="42"/>
      <c r="AW24" s="42">
        <v>218</v>
      </c>
      <c r="AX24" s="105">
        <f t="shared" ref="AX24:AX25" si="48">AZ24+lambda_HL</f>
        <v>2.6999999999999999E-5</v>
      </c>
      <c r="AY24" s="105">
        <f t="shared" ref="AY24:AY25" si="49">AZ24+(0.693/t_w)</f>
        <v>4.9499999999999995E-2</v>
      </c>
      <c r="AZ24" s="105">
        <v>0</v>
      </c>
      <c r="BA24" s="15">
        <v>4.05092592592593E-7</v>
      </c>
      <c r="BB24" s="105">
        <f t="shared" ref="BB24:BB25" si="50">AR24</f>
        <v>0</v>
      </c>
      <c r="BC24" s="105">
        <f t="shared" ref="BC24:BC25" si="51">AQ24</f>
        <v>0</v>
      </c>
    </row>
    <row r="25" spans="1:55" x14ac:dyDescent="0.25">
      <c r="A25" s="42" t="s">
        <v>35</v>
      </c>
      <c r="B25" s="42" t="s">
        <v>351</v>
      </c>
      <c r="C25" s="42">
        <v>1</v>
      </c>
      <c r="D25" s="15">
        <v>0</v>
      </c>
      <c r="E25" s="15">
        <v>0</v>
      </c>
      <c r="F25" s="15">
        <v>1.6930652399999999E-9</v>
      </c>
      <c r="G25" s="45">
        <v>2.28E-12</v>
      </c>
      <c r="H25" s="15">
        <v>0</v>
      </c>
      <c r="I25" s="15">
        <v>0</v>
      </c>
      <c r="J25" s="15">
        <v>1.6230073680000001E-12</v>
      </c>
      <c r="K25" s="15">
        <v>3.5028935999999998E-10</v>
      </c>
      <c r="L25" s="15">
        <v>3.5145699120000001E-15</v>
      </c>
      <c r="M25" s="15">
        <v>3.5682809472000002E-10</v>
      </c>
      <c r="N25" s="15">
        <v>1.00696514688E-9</v>
      </c>
      <c r="O25" s="15">
        <v>1.5412731840000001E-9</v>
      </c>
      <c r="P25" s="15">
        <v>1</v>
      </c>
      <c r="Q25" s="15">
        <v>1</v>
      </c>
      <c r="R25" s="15">
        <v>1</v>
      </c>
      <c r="S25" s="15">
        <v>1</v>
      </c>
      <c r="T25" s="15">
        <v>1</v>
      </c>
      <c r="U25" s="15">
        <v>1</v>
      </c>
      <c r="V25" s="15">
        <v>1</v>
      </c>
      <c r="W25" s="15">
        <v>1</v>
      </c>
      <c r="X25" s="15">
        <v>1</v>
      </c>
      <c r="Y25" s="15">
        <v>1</v>
      </c>
      <c r="Z25" s="105">
        <f t="shared" si="47"/>
        <v>0.4</v>
      </c>
      <c r="AA25" s="105">
        <f t="shared" si="47"/>
        <v>0.4</v>
      </c>
      <c r="AB25" s="105">
        <f t="shared" si="47"/>
        <v>0.4</v>
      </c>
      <c r="AC25" s="105">
        <f t="shared" si="47"/>
        <v>0.4</v>
      </c>
      <c r="AD25" s="105">
        <f t="shared" si="47"/>
        <v>0.4</v>
      </c>
      <c r="AE25" s="15">
        <v>1.04753424657534E-2</v>
      </c>
      <c r="AF25" s="15">
        <v>222</v>
      </c>
      <c r="AG25" s="15">
        <v>0</v>
      </c>
      <c r="AH25" s="15">
        <v>0</v>
      </c>
      <c r="AI25" s="15">
        <v>0</v>
      </c>
      <c r="AJ25" s="15"/>
      <c r="AK25" s="15"/>
      <c r="AL25" s="15"/>
      <c r="AM25" s="15"/>
      <c r="AN25" s="15"/>
      <c r="AO25" s="15"/>
      <c r="AP25" s="15"/>
      <c r="AQ25" s="15">
        <v>0</v>
      </c>
      <c r="AR25" s="15">
        <v>0</v>
      </c>
      <c r="AS25" s="15">
        <v>0</v>
      </c>
      <c r="AT25" s="15"/>
      <c r="AU25" s="15">
        <v>66.155355041192607</v>
      </c>
      <c r="AV25" s="42"/>
      <c r="AW25" s="42">
        <v>222</v>
      </c>
      <c r="AX25" s="105">
        <f t="shared" si="48"/>
        <v>2.6999999999999999E-5</v>
      </c>
      <c r="AY25" s="105">
        <f t="shared" si="49"/>
        <v>4.9499999999999995E-2</v>
      </c>
      <c r="AZ25" s="105">
        <v>0</v>
      </c>
      <c r="BA25" s="15">
        <v>3.8235000000000001</v>
      </c>
      <c r="BB25" s="105">
        <f t="shared" si="50"/>
        <v>0</v>
      </c>
      <c r="BC25" s="105">
        <f t="shared" si="51"/>
        <v>0</v>
      </c>
    </row>
    <row r="26" spans="1:55" x14ac:dyDescent="0.25">
      <c r="A26" s="42" t="s">
        <v>36</v>
      </c>
      <c r="B26" s="42" t="s">
        <v>1074</v>
      </c>
      <c r="C26" s="42"/>
      <c r="D26" s="15">
        <v>3.8480000000000001E-10</v>
      </c>
      <c r="E26" s="15">
        <v>2.9045000000000002E-10</v>
      </c>
      <c r="F26" s="15">
        <v>2.241851904E-7</v>
      </c>
      <c r="G26" s="15">
        <v>1.7464000000000001E-7</v>
      </c>
      <c r="H26" s="15">
        <v>2.2347999999999999E-10</v>
      </c>
      <c r="I26" s="15">
        <v>1.9683999999999999E-10</v>
      </c>
      <c r="J26" s="15">
        <v>3.0008121840000002E-10</v>
      </c>
      <c r="K26" s="15">
        <v>7.0758450719999997E-8</v>
      </c>
      <c r="L26" s="15">
        <v>6.6788504639999998E-13</v>
      </c>
      <c r="M26" s="15">
        <v>6.7629199103999999E-8</v>
      </c>
      <c r="N26" s="15">
        <v>1.7059091832000001E-7</v>
      </c>
      <c r="O26" s="15">
        <v>2.2184992799999999E-7</v>
      </c>
      <c r="P26" s="15">
        <v>1</v>
      </c>
      <c r="Q26" s="15">
        <v>1</v>
      </c>
      <c r="R26" s="15">
        <v>1</v>
      </c>
      <c r="S26" s="15">
        <v>1</v>
      </c>
      <c r="T26" s="15">
        <v>1</v>
      </c>
      <c r="U26" s="15">
        <v>1</v>
      </c>
      <c r="V26" s="15">
        <v>1</v>
      </c>
      <c r="W26" s="15">
        <v>1</v>
      </c>
      <c r="X26" s="15">
        <v>1</v>
      </c>
      <c r="Y26" s="15">
        <v>1</v>
      </c>
      <c r="Z26" s="105">
        <f t="shared" ref="Z26:AD26" si="52">0.4*U26</f>
        <v>0.4</v>
      </c>
      <c r="AA26" s="105">
        <f t="shared" si="52"/>
        <v>0.4</v>
      </c>
      <c r="AB26" s="105">
        <f t="shared" si="52"/>
        <v>0.4</v>
      </c>
      <c r="AC26" s="105">
        <f t="shared" si="52"/>
        <v>0.4</v>
      </c>
      <c r="AD26" s="105">
        <f t="shared" si="52"/>
        <v>0.4</v>
      </c>
      <c r="AE26" s="15">
        <v>7340</v>
      </c>
      <c r="AF26" s="15">
        <v>229</v>
      </c>
      <c r="AG26" s="15">
        <v>5.0000000000000004E-6</v>
      </c>
      <c r="AH26" s="15">
        <v>2.3000000000000001E-4</v>
      </c>
      <c r="AI26" s="15">
        <v>6</v>
      </c>
      <c r="AJ26" s="15"/>
      <c r="AK26" s="15"/>
      <c r="AL26" s="15"/>
      <c r="AM26" s="175">
        <v>1E-3</v>
      </c>
      <c r="AN26" s="15"/>
      <c r="AO26" s="15"/>
      <c r="AP26" s="15"/>
      <c r="AQ26" s="15">
        <v>2.0999999999999999E-3</v>
      </c>
      <c r="AR26" s="15">
        <v>2.4137931034482799E-3</v>
      </c>
      <c r="AS26" s="15">
        <v>20</v>
      </c>
      <c r="AT26" s="15">
        <v>5.0000000000000001E-4</v>
      </c>
      <c r="AU26" s="15">
        <v>9.4414168937329696E-5</v>
      </c>
      <c r="AV26" s="42">
        <v>15</v>
      </c>
      <c r="AW26" s="42">
        <v>229</v>
      </c>
      <c r="AX26" s="105">
        <f t="shared" ref="AX26" si="53">AZ26+lambda_HL</f>
        <v>2.6999999999999999E-5</v>
      </c>
      <c r="AY26" s="105">
        <f t="shared" ref="AY26" si="54">AZ26+(0.693/t_w)</f>
        <v>4.9499999999999995E-2</v>
      </c>
      <c r="AZ26" s="105">
        <v>0</v>
      </c>
      <c r="BA26" s="15">
        <v>2679100</v>
      </c>
      <c r="BB26" s="105">
        <f t="shared" ref="BB26" si="55">AR26</f>
        <v>2.4137931034482799E-3</v>
      </c>
      <c r="BC26" s="105">
        <f t="shared" ref="BC26" si="56">AQ26</f>
        <v>2.0999999999999999E-3</v>
      </c>
    </row>
    <row r="27" spans="1:55" x14ac:dyDescent="0.25">
      <c r="A27" s="42" t="s">
        <v>37</v>
      </c>
      <c r="B27" s="42" t="s">
        <v>1074</v>
      </c>
      <c r="C27" s="42"/>
      <c r="D27" s="15">
        <v>0</v>
      </c>
      <c r="E27" s="15">
        <v>0</v>
      </c>
      <c r="F27" s="15">
        <v>6.106711176E-9</v>
      </c>
      <c r="G27" s="15">
        <v>0</v>
      </c>
      <c r="H27" s="15">
        <v>0</v>
      </c>
      <c r="I27" s="15">
        <v>0</v>
      </c>
      <c r="J27" s="15">
        <v>9.3994311600000004E-12</v>
      </c>
      <c r="K27" s="15">
        <v>8.5704130080000005E-9</v>
      </c>
      <c r="L27" s="15">
        <v>1.4712153119999999E-14</v>
      </c>
      <c r="M27" s="15">
        <v>2.0737130111999998E-9</v>
      </c>
      <c r="N27" s="15">
        <v>4.4089754112000003E-9</v>
      </c>
      <c r="O27" s="15">
        <v>5.8615086239999998E-9</v>
      </c>
      <c r="P27" s="15">
        <v>1</v>
      </c>
      <c r="Q27" s="15">
        <v>1</v>
      </c>
      <c r="R27" s="15">
        <v>1</v>
      </c>
      <c r="S27" s="15">
        <v>1</v>
      </c>
      <c r="T27" s="15">
        <v>1</v>
      </c>
      <c r="U27" s="15">
        <v>1</v>
      </c>
      <c r="V27" s="15">
        <v>1</v>
      </c>
      <c r="W27" s="15">
        <v>1</v>
      </c>
      <c r="X27" s="15">
        <v>1</v>
      </c>
      <c r="Y27" s="15">
        <v>1</v>
      </c>
      <c r="Z27" s="105">
        <f t="shared" ref="Z27:AD30" si="57">0.4*U27</f>
        <v>0.4</v>
      </c>
      <c r="AA27" s="105">
        <f t="shared" si="57"/>
        <v>0.4</v>
      </c>
      <c r="AB27" s="105">
        <f t="shared" si="57"/>
        <v>0.4</v>
      </c>
      <c r="AC27" s="105">
        <f t="shared" si="57"/>
        <v>0.4</v>
      </c>
      <c r="AD27" s="105">
        <f t="shared" si="57"/>
        <v>0.4</v>
      </c>
      <c r="AE27" s="15">
        <v>7.9908675799086794E-6</v>
      </c>
      <c r="AF27" s="15">
        <v>206</v>
      </c>
      <c r="AG27" s="15">
        <v>3.0000000000000001E-3</v>
      </c>
      <c r="AH27" s="15">
        <v>0.02</v>
      </c>
      <c r="AI27" s="15">
        <v>900</v>
      </c>
      <c r="AJ27" s="15"/>
      <c r="AK27" s="15"/>
      <c r="AL27" s="15"/>
      <c r="AM27" s="175">
        <v>0.4</v>
      </c>
      <c r="AN27" s="15"/>
      <c r="AO27" s="15"/>
      <c r="AP27" s="15"/>
      <c r="AQ27" s="15">
        <v>0.2</v>
      </c>
      <c r="AR27" s="15">
        <v>0.6</v>
      </c>
      <c r="AS27" s="15">
        <v>1500</v>
      </c>
      <c r="AT27" s="15"/>
      <c r="AU27" s="15">
        <v>86724</v>
      </c>
      <c r="AV27" s="42"/>
      <c r="AW27" s="42">
        <v>206</v>
      </c>
      <c r="AX27" s="105">
        <f t="shared" ref="AX27:AX30" si="58">AZ27+lambda_HL</f>
        <v>2.6999999999999999E-5</v>
      </c>
      <c r="AY27" s="105">
        <f t="shared" ref="AY27:AY30" si="59">AZ27+(0.693/t_w)</f>
        <v>4.9499999999999995E-2</v>
      </c>
      <c r="AZ27" s="105">
        <v>0</v>
      </c>
      <c r="BA27" s="15">
        <v>2.9166666666666698E-3</v>
      </c>
      <c r="BB27" s="105">
        <f t="shared" ref="BB27:BB30" si="60">AR27</f>
        <v>0.6</v>
      </c>
      <c r="BC27" s="105">
        <f t="shared" ref="BC27:BC30" si="61">AQ27</f>
        <v>0.2</v>
      </c>
    </row>
    <row r="28" spans="1:55" x14ac:dyDescent="0.25">
      <c r="A28" s="42" t="s">
        <v>38</v>
      </c>
      <c r="B28" s="42" t="s">
        <v>1074</v>
      </c>
      <c r="C28" s="42"/>
      <c r="D28" s="15">
        <v>0</v>
      </c>
      <c r="E28" s="15">
        <v>0</v>
      </c>
      <c r="F28" s="15">
        <v>1.0321859808E-5</v>
      </c>
      <c r="G28" s="15">
        <v>0</v>
      </c>
      <c r="H28" s="15">
        <v>0</v>
      </c>
      <c r="I28" s="15">
        <v>0</v>
      </c>
      <c r="J28" s="15">
        <v>9.5745758399999995E-9</v>
      </c>
      <c r="K28" s="15">
        <v>1.8565336080000001E-6</v>
      </c>
      <c r="L28" s="15">
        <v>2.078383536E-11</v>
      </c>
      <c r="M28" s="15">
        <v>1.9055741184E-6</v>
      </c>
      <c r="N28" s="15">
        <v>5.4738550656000002E-6</v>
      </c>
      <c r="O28" s="15">
        <v>8.710528752E-6</v>
      </c>
      <c r="P28" s="15">
        <v>1</v>
      </c>
      <c r="Q28" s="15">
        <v>1</v>
      </c>
      <c r="R28" s="15">
        <v>1</v>
      </c>
      <c r="S28" s="15">
        <v>1</v>
      </c>
      <c r="T28" s="15">
        <v>1</v>
      </c>
      <c r="U28" s="15">
        <v>1</v>
      </c>
      <c r="V28" s="15">
        <v>1</v>
      </c>
      <c r="W28" s="15">
        <v>1</v>
      </c>
      <c r="X28" s="15">
        <v>1</v>
      </c>
      <c r="Y28" s="15">
        <v>1</v>
      </c>
      <c r="Z28" s="105">
        <f t="shared" si="57"/>
        <v>0.4</v>
      </c>
      <c r="AA28" s="105">
        <f t="shared" si="57"/>
        <v>0.4</v>
      </c>
      <c r="AB28" s="105">
        <f t="shared" si="57"/>
        <v>0.4</v>
      </c>
      <c r="AC28" s="105">
        <f t="shared" si="57"/>
        <v>0.4</v>
      </c>
      <c r="AD28" s="105">
        <f t="shared" si="57"/>
        <v>0.4</v>
      </c>
      <c r="AE28" s="15">
        <v>4.1114916286149197E-6</v>
      </c>
      <c r="AF28" s="15">
        <v>209</v>
      </c>
      <c r="AG28" s="15">
        <v>3.0000000000000001E-3</v>
      </c>
      <c r="AH28" s="15">
        <v>0.02</v>
      </c>
      <c r="AI28" s="15">
        <v>900</v>
      </c>
      <c r="AJ28" s="15"/>
      <c r="AK28" s="15"/>
      <c r="AL28" s="15"/>
      <c r="AM28" s="175">
        <v>0.4</v>
      </c>
      <c r="AN28" s="15"/>
      <c r="AO28" s="15"/>
      <c r="AP28" s="15"/>
      <c r="AQ28" s="15">
        <v>0.2</v>
      </c>
      <c r="AR28" s="15">
        <v>0.6</v>
      </c>
      <c r="AS28" s="15">
        <v>1500</v>
      </c>
      <c r="AT28" s="15"/>
      <c r="AU28" s="15">
        <v>168551.966682092</v>
      </c>
      <c r="AV28" s="42"/>
      <c r="AW28" s="42">
        <v>209</v>
      </c>
      <c r="AX28" s="105">
        <f t="shared" si="58"/>
        <v>2.6999999999999999E-5</v>
      </c>
      <c r="AY28" s="105">
        <f t="shared" si="59"/>
        <v>4.9499999999999995E-2</v>
      </c>
      <c r="AZ28" s="105">
        <v>0</v>
      </c>
      <c r="BA28" s="15">
        <v>1.5006944444444399E-3</v>
      </c>
      <c r="BB28" s="105">
        <f t="shared" si="60"/>
        <v>0.6</v>
      </c>
      <c r="BC28" s="105">
        <f t="shared" si="61"/>
        <v>0.2</v>
      </c>
    </row>
    <row r="29" spans="1:55" x14ac:dyDescent="0.25">
      <c r="A29" s="42" t="s">
        <v>39</v>
      </c>
      <c r="B29" s="42" t="s">
        <v>1074</v>
      </c>
      <c r="C29" s="42"/>
      <c r="D29" s="15">
        <v>0</v>
      </c>
      <c r="E29" s="15">
        <v>0</v>
      </c>
      <c r="F29" s="15">
        <v>1.34277588E-5</v>
      </c>
      <c r="G29" s="15">
        <v>0</v>
      </c>
      <c r="H29" s="15">
        <v>0</v>
      </c>
      <c r="I29" s="15">
        <v>0</v>
      </c>
      <c r="J29" s="15">
        <v>1.237689072E-8</v>
      </c>
      <c r="K29" s="15">
        <v>2.4053202719999999E-6</v>
      </c>
      <c r="L29" s="15">
        <v>2.6855517599999999E-11</v>
      </c>
      <c r="M29" s="15">
        <v>2.4847191936000002E-6</v>
      </c>
      <c r="N29" s="15">
        <v>7.1178797952000003E-6</v>
      </c>
      <c r="O29" s="15">
        <v>1.1361051576E-5</v>
      </c>
      <c r="P29" s="15">
        <v>1</v>
      </c>
      <c r="Q29" s="15">
        <v>1</v>
      </c>
      <c r="R29" s="15">
        <v>1</v>
      </c>
      <c r="S29" s="15">
        <v>1</v>
      </c>
      <c r="T29" s="15">
        <v>1</v>
      </c>
      <c r="U29" s="15">
        <v>1</v>
      </c>
      <c r="V29" s="15">
        <v>1</v>
      </c>
      <c r="W29" s="15">
        <v>1</v>
      </c>
      <c r="X29" s="15">
        <v>1</v>
      </c>
      <c r="Y29" s="15">
        <v>1</v>
      </c>
      <c r="Z29" s="105">
        <f t="shared" si="57"/>
        <v>0.4</v>
      </c>
      <c r="AA29" s="105">
        <f t="shared" si="57"/>
        <v>0.4</v>
      </c>
      <c r="AB29" s="105">
        <f t="shared" si="57"/>
        <v>0.4</v>
      </c>
      <c r="AC29" s="105">
        <f t="shared" si="57"/>
        <v>0.4</v>
      </c>
      <c r="AD29" s="105">
        <f t="shared" si="57"/>
        <v>0.4</v>
      </c>
      <c r="AE29" s="15">
        <v>2.4733637747336398E-6</v>
      </c>
      <c r="AF29" s="15">
        <v>210</v>
      </c>
      <c r="AG29" s="15">
        <v>3.0000000000000001E-3</v>
      </c>
      <c r="AH29" s="15">
        <v>0.02</v>
      </c>
      <c r="AI29" s="15">
        <v>900</v>
      </c>
      <c r="AJ29" s="15"/>
      <c r="AK29" s="15"/>
      <c r="AL29" s="15"/>
      <c r="AM29" s="175">
        <v>0.4</v>
      </c>
      <c r="AN29" s="15"/>
      <c r="AO29" s="15"/>
      <c r="AP29" s="15"/>
      <c r="AQ29" s="15">
        <v>0.2</v>
      </c>
      <c r="AR29" s="15">
        <v>0.6</v>
      </c>
      <c r="AS29" s="15">
        <v>1500</v>
      </c>
      <c r="AT29" s="15"/>
      <c r="AU29" s="15">
        <v>280185.23076923098</v>
      </c>
      <c r="AV29" s="42"/>
      <c r="AW29" s="42">
        <v>210</v>
      </c>
      <c r="AX29" s="105">
        <f t="shared" si="58"/>
        <v>2.6999999999999999E-5</v>
      </c>
      <c r="AY29" s="105">
        <f t="shared" si="59"/>
        <v>4.9499999999999995E-2</v>
      </c>
      <c r="AZ29" s="105">
        <v>0</v>
      </c>
      <c r="BA29" s="15">
        <v>9.0277777777777795E-4</v>
      </c>
      <c r="BB29" s="105">
        <f t="shared" si="60"/>
        <v>0.6</v>
      </c>
      <c r="BC29" s="105">
        <f t="shared" si="61"/>
        <v>0.2</v>
      </c>
    </row>
    <row r="30" spans="1:55" x14ac:dyDescent="0.25">
      <c r="A30" s="42" t="s">
        <v>40</v>
      </c>
      <c r="B30" s="42" t="s">
        <v>1074</v>
      </c>
      <c r="C30" s="42"/>
      <c r="D30" s="15">
        <v>1.5022E-10</v>
      </c>
      <c r="E30" s="15">
        <v>9.6940000000000003E-11</v>
      </c>
      <c r="F30" s="15">
        <v>7.1108740080000005E-10</v>
      </c>
      <c r="G30" s="15">
        <v>2.8305000000000001E-8</v>
      </c>
      <c r="H30" s="15">
        <v>7.1779999999999997E-11</v>
      </c>
      <c r="I30" s="15">
        <v>5.2169999999999999E-11</v>
      </c>
      <c r="J30" s="15">
        <v>9.3760785359999994E-13</v>
      </c>
      <c r="K30" s="15">
        <v>3.5729514719999999E-10</v>
      </c>
      <c r="L30" s="15">
        <v>2.0900598480000001E-15</v>
      </c>
      <c r="M30" s="15">
        <v>2.0737130111999999E-10</v>
      </c>
      <c r="N30" s="15">
        <v>5.0628488832E-10</v>
      </c>
      <c r="O30" s="15">
        <v>6.8773477679999995E-10</v>
      </c>
      <c r="P30" s="15">
        <v>1</v>
      </c>
      <c r="Q30" s="15">
        <v>1</v>
      </c>
      <c r="R30" s="15">
        <v>1</v>
      </c>
      <c r="S30" s="15">
        <v>1</v>
      </c>
      <c r="T30" s="15">
        <v>1</v>
      </c>
      <c r="U30" s="15">
        <v>1</v>
      </c>
      <c r="V30" s="15">
        <v>1</v>
      </c>
      <c r="W30" s="15">
        <v>1</v>
      </c>
      <c r="X30" s="15">
        <v>1</v>
      </c>
      <c r="Y30" s="15">
        <v>1</v>
      </c>
      <c r="Z30" s="105">
        <f t="shared" si="57"/>
        <v>0.4</v>
      </c>
      <c r="AA30" s="105">
        <f t="shared" si="57"/>
        <v>0.4</v>
      </c>
      <c r="AB30" s="105">
        <f t="shared" si="57"/>
        <v>0.4</v>
      </c>
      <c r="AC30" s="105">
        <f t="shared" si="57"/>
        <v>0.4</v>
      </c>
      <c r="AD30" s="105">
        <f t="shared" si="57"/>
        <v>0.4</v>
      </c>
      <c r="AE30" s="15">
        <v>159200</v>
      </c>
      <c r="AF30" s="15">
        <v>233</v>
      </c>
      <c r="AG30" s="15">
        <v>1.8E-3</v>
      </c>
      <c r="AH30" s="15">
        <v>3.8999999999999999E-4</v>
      </c>
      <c r="AI30" s="15">
        <v>0.96</v>
      </c>
      <c r="AJ30" s="15">
        <v>0.75</v>
      </c>
      <c r="AK30" s="15">
        <v>1.1000000000000001</v>
      </c>
      <c r="AL30" s="15">
        <v>4.3999999999999997E-2</v>
      </c>
      <c r="AM30" s="175">
        <v>2E-3</v>
      </c>
      <c r="AN30" s="15"/>
      <c r="AO30" s="15"/>
      <c r="AP30" s="175">
        <v>1.4E-3</v>
      </c>
      <c r="AQ30" s="15">
        <v>6.1999999999999998E-3</v>
      </c>
      <c r="AR30" s="15">
        <v>7.1264367816091896E-3</v>
      </c>
      <c r="AS30" s="15">
        <v>0.4</v>
      </c>
      <c r="AT30" s="15">
        <v>0.02</v>
      </c>
      <c r="AU30" s="15">
        <v>4.3530150753768799E-6</v>
      </c>
      <c r="AV30" s="42">
        <v>289207.91735594597</v>
      </c>
      <c r="AW30" s="42">
        <v>233</v>
      </c>
      <c r="AX30" s="105">
        <f t="shared" si="58"/>
        <v>2.6999999999999999E-5</v>
      </c>
      <c r="AY30" s="105">
        <f t="shared" si="59"/>
        <v>4.9499999999999995E-2</v>
      </c>
      <c r="AZ30" s="105">
        <v>0</v>
      </c>
      <c r="BA30" s="15">
        <v>58108000</v>
      </c>
      <c r="BB30" s="105">
        <f t="shared" si="60"/>
        <v>7.1264367816091896E-3</v>
      </c>
      <c r="BC30" s="105">
        <f t="shared" si="61"/>
        <v>6.1999999999999998E-3</v>
      </c>
    </row>
  </sheetData>
  <sheetProtection algorithmName="SHA-512" hashValue="sBC3b49fE6vusmEsMHl4aVfm8NYXwwVHizaffTL/xib2HbOo3P2+UwzZGD1+CJMRIhTtt1n2lZ5b3dcLJO/RRQ==" saltValue="AOIF2z7WYKi+QmAU2J9vZQ==" spinCount="100000" sheet="1" objects="1" scenarios="1" formatColumns="0" formatRows="0" autoFilter="0"/>
  <autoFilter ref="A1:BC30" xr:uid="{00000000-0009-0000-0000-000000000000}"/>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9" tint="-0.499984740745262"/>
  </sheetPr>
  <dimension ref="A1:BE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9.140625" defaultRowHeight="15" x14ac:dyDescent="0.25"/>
  <cols>
    <col min="1" max="1" width="14.5703125" style="15" bestFit="1" customWidth="1"/>
    <col min="2" max="2" width="10.7109375" style="15" bestFit="1" customWidth="1"/>
    <col min="3" max="3" width="12.85546875" style="15" bestFit="1" customWidth="1"/>
    <col min="4" max="4" width="13" style="15" bestFit="1" customWidth="1"/>
    <col min="5" max="5" width="12.85546875" style="15" bestFit="1" customWidth="1"/>
    <col min="6" max="6" width="17.140625" style="15" bestFit="1" customWidth="1"/>
    <col min="7" max="7" width="14.7109375" style="15" bestFit="1" customWidth="1"/>
    <col min="8" max="8" width="12.85546875" style="15" bestFit="1" customWidth="1"/>
    <col min="9" max="11" width="13.140625" style="15" bestFit="1" customWidth="1"/>
    <col min="12" max="12" width="17" style="15" bestFit="1" customWidth="1"/>
    <col min="13" max="15" width="13.5703125" style="15" bestFit="1" customWidth="1"/>
    <col min="16" max="16" width="17.5703125" style="15" bestFit="1" customWidth="1"/>
    <col min="17" max="17" width="13.5703125" style="15" bestFit="1" customWidth="1"/>
    <col min="18" max="18" width="12" style="15" bestFit="1" customWidth="1"/>
    <col min="19" max="20" width="13.85546875" style="15" bestFit="1" customWidth="1"/>
    <col min="21" max="21" width="14.7109375" style="15" bestFit="1" customWidth="1"/>
    <col min="22" max="23" width="12.28515625" style="15" bestFit="1" customWidth="1"/>
    <col min="24" max="25" width="14" style="15" bestFit="1" customWidth="1"/>
    <col min="26" max="26" width="15" style="15" bestFit="1" customWidth="1"/>
    <col min="27" max="27" width="12.7109375" style="15" bestFit="1" customWidth="1"/>
    <col min="28" max="28" width="12.85546875" style="15" bestFit="1" customWidth="1"/>
    <col min="29" max="30" width="14.5703125" style="15" bestFit="1" customWidth="1"/>
    <col min="31" max="31" width="15.5703125" style="15" bestFit="1" customWidth="1"/>
    <col min="32" max="32" width="13.140625" style="15" bestFit="1" customWidth="1"/>
    <col min="33" max="33" width="12.28515625" style="15" bestFit="1" customWidth="1"/>
    <col min="34" max="34" width="12.5703125" style="15" bestFit="1" customWidth="1"/>
    <col min="35" max="35" width="12.140625" style="15" bestFit="1" customWidth="1"/>
    <col min="36" max="36" width="12.5703125" style="15" bestFit="1" customWidth="1"/>
    <col min="37" max="37" width="12.85546875" style="15" bestFit="1" customWidth="1"/>
    <col min="38" max="38" width="13.140625" style="15" bestFit="1" customWidth="1"/>
    <col min="39" max="39" width="13.42578125" style="15" bestFit="1" customWidth="1"/>
    <col min="40" max="40" width="13" style="15" bestFit="1" customWidth="1"/>
    <col min="41" max="41" width="12.7109375" style="15" bestFit="1" customWidth="1"/>
    <col min="42" max="42" width="12.85546875" style="15" bestFit="1" customWidth="1"/>
    <col min="43" max="43" width="14" style="15" bestFit="1" customWidth="1"/>
    <col min="44" max="44" width="17" style="15" bestFit="1" customWidth="1"/>
    <col min="45" max="45" width="12.7109375" style="15" bestFit="1" customWidth="1"/>
    <col min="46" max="47" width="13.140625" style="15" bestFit="1" customWidth="1"/>
    <col min="48" max="48" width="14.28515625" style="15" bestFit="1" customWidth="1"/>
    <col min="49" max="49" width="17" style="15" bestFit="1" customWidth="1"/>
    <col min="50" max="51" width="13.5703125" style="15" bestFit="1" customWidth="1"/>
    <col min="52" max="52" width="14.85546875" style="15" bestFit="1" customWidth="1"/>
    <col min="53" max="53" width="17.5703125" style="15" bestFit="1" customWidth="1"/>
    <col min="54" max="54" width="13.5703125" style="15" bestFit="1" customWidth="1"/>
    <col min="55" max="55" width="12.5703125" style="15" bestFit="1" customWidth="1"/>
    <col min="56" max="56" width="12.85546875" style="15" bestFit="1" customWidth="1"/>
    <col min="57" max="57" width="13.28515625" style="15" bestFit="1" customWidth="1"/>
    <col min="58" max="16384" width="9.140625" style="15"/>
  </cols>
  <sheetData>
    <row r="1" spans="1:57" x14ac:dyDescent="0.25">
      <c r="A1" s="39" t="s">
        <v>51</v>
      </c>
      <c r="B1" s="39" t="s">
        <v>350</v>
      </c>
      <c r="C1" s="15" t="s">
        <v>1169</v>
      </c>
      <c r="D1" s="15" t="s">
        <v>1170</v>
      </c>
      <c r="E1" s="15" t="s">
        <v>1171</v>
      </c>
      <c r="F1" s="15" t="s">
        <v>1175</v>
      </c>
      <c r="G1" s="15" t="s">
        <v>1203</v>
      </c>
      <c r="H1" s="15" t="s">
        <v>1172</v>
      </c>
      <c r="I1" s="43" t="s">
        <v>1225</v>
      </c>
      <c r="J1" s="43" t="s">
        <v>1226</v>
      </c>
      <c r="K1" s="43" t="s">
        <v>1227</v>
      </c>
      <c r="L1" s="43" t="s">
        <v>1228</v>
      </c>
      <c r="M1" s="41" t="s">
        <v>1229</v>
      </c>
      <c r="N1" s="41" t="s">
        <v>1230</v>
      </c>
      <c r="O1" s="41" t="s">
        <v>1231</v>
      </c>
      <c r="P1" s="41" t="s">
        <v>1232</v>
      </c>
      <c r="Q1" s="41" t="s">
        <v>1233</v>
      </c>
      <c r="R1" s="42" t="s">
        <v>1220</v>
      </c>
      <c r="S1" s="42" t="s">
        <v>1221</v>
      </c>
      <c r="T1" s="42" t="s">
        <v>1222</v>
      </c>
      <c r="U1" s="42" t="s">
        <v>1223</v>
      </c>
      <c r="V1" s="42" t="s">
        <v>1224</v>
      </c>
      <c r="W1" s="43" t="s">
        <v>1239</v>
      </c>
      <c r="X1" s="43" t="s">
        <v>1240</v>
      </c>
      <c r="Y1" s="43" t="s">
        <v>1241</v>
      </c>
      <c r="Z1" s="43" t="s">
        <v>1242</v>
      </c>
      <c r="AA1" s="43" t="s">
        <v>1243</v>
      </c>
      <c r="AB1" s="41" t="s">
        <v>1234</v>
      </c>
      <c r="AC1" s="41" t="s">
        <v>1235</v>
      </c>
      <c r="AD1" s="41" t="s">
        <v>1236</v>
      </c>
      <c r="AE1" s="41" t="s">
        <v>1237</v>
      </c>
      <c r="AF1" s="41" t="s">
        <v>1238</v>
      </c>
      <c r="AG1" s="42" t="s">
        <v>1209</v>
      </c>
      <c r="AH1" s="42" t="s">
        <v>1210</v>
      </c>
      <c r="AI1" s="42" t="s">
        <v>1211</v>
      </c>
      <c r="AJ1" s="43" t="s">
        <v>1244</v>
      </c>
      <c r="AK1" s="43" t="s">
        <v>1245</v>
      </c>
      <c r="AL1" s="41" t="s">
        <v>1246</v>
      </c>
      <c r="AM1" s="41" t="s">
        <v>1247</v>
      </c>
      <c r="AN1" s="41" t="s">
        <v>1248</v>
      </c>
      <c r="AO1" s="15" t="s">
        <v>1204</v>
      </c>
      <c r="AP1" s="15" t="s">
        <v>1205</v>
      </c>
      <c r="AQ1" s="15" t="s">
        <v>1206</v>
      </c>
      <c r="AR1" s="15" t="s">
        <v>1212</v>
      </c>
      <c r="AS1" s="15" t="s">
        <v>1207</v>
      </c>
      <c r="AT1" s="43" t="s">
        <v>1254</v>
      </c>
      <c r="AU1" s="43" t="s">
        <v>1255</v>
      </c>
      <c r="AV1" s="43" t="s">
        <v>1256</v>
      </c>
      <c r="AW1" s="43" t="s">
        <v>1257</v>
      </c>
      <c r="AX1" s="41" t="s">
        <v>1249</v>
      </c>
      <c r="AY1" s="41" t="s">
        <v>1250</v>
      </c>
      <c r="AZ1" s="41" t="s">
        <v>1251</v>
      </c>
      <c r="BA1" s="41" t="s">
        <v>1252</v>
      </c>
      <c r="BB1" s="41" t="s">
        <v>1253</v>
      </c>
      <c r="BC1" s="42" t="s">
        <v>1208</v>
      </c>
      <c r="BD1" s="43" t="s">
        <v>1258</v>
      </c>
      <c r="BE1" s="41" t="s">
        <v>1123</v>
      </c>
    </row>
    <row r="2" spans="1:57" x14ac:dyDescent="0.25">
      <c r="A2" s="44" t="s">
        <v>12</v>
      </c>
      <c r="B2" s="42" t="s">
        <v>1074</v>
      </c>
      <c r="C2" s="15">
        <f>IFERROR(((s_TR/(s_RadSpec!D2*s_IFS_res_adj*(1/1000)))*1),".")</f>
        <v>372.27309954582682</v>
      </c>
      <c r="D2" s="15">
        <f>IFERROR(IF(A2="H-3",(s_TR/((s_RadSpec!G2*s_IFA_res_adj*(1/17)*1000))*1),(s_TR/((s_RadSpec!G2*s_IFA_res_adj*(1/s_PEF_wind)*1000))*1)),".")</f>
        <v>59497.81128319577</v>
      </c>
      <c r="E2" s="15">
        <f>IFERROR((s_TR/(s_RadSpec!F2*s_EF_res*(1/365)*s_ED_res*s_RadSpec!Q2*((s_ET_res_o*(1/24)*s_RadSpec!V2)+(s_ET_res_i*(1/24)*s_RadSpec!AA2))))*1,".")</f>
        <v>12535.286380405685</v>
      </c>
      <c r="F2" s="15">
        <f>s_b2s!C2</f>
        <v>23.085619252113659</v>
      </c>
      <c r="G2" s="15">
        <f>s_dir!C2</f>
        <v>0.33474147915564806</v>
      </c>
      <c r="H2" s="15">
        <f>(IF(AND(C2&lt;&gt;".",D2&lt;&gt;".",E2&lt;&gt;".",F2&lt;&gt;"."),1/((1/C2)+(1/D2)+(1/E2)+(1/F2)),IF(AND(C2&lt;&gt;".",D2&lt;&gt;".",E2&lt;&gt;".",F2="."), 1/((1/C2)+(1/D2)+(1/E2)),IF(AND(C2&lt;&gt;".",D2&lt;&gt;".",E2=".",F2&lt;&gt;"."),1/((1/C2)+(1/D2)+(1/F2)),IF(AND(C2&lt;&gt;".",D2=".",E2&lt;&gt;".",F2&lt;&gt;"."),1/((1/C2)+(1/E2)+(1/F2)),IF(AND(C2=".",D2&lt;&gt;".",E2&lt;&gt;".",F2&lt;&gt;"."),1/((1/D2)+(1/E2)+(1/F2)),IF(AND(C2&lt;&gt;".",D2&lt;&gt;".",E2=".",F2="."),1/((1/C2)+(1/D2)),IF(AND(C2&lt;&gt;".",D2=".",E2&lt;&gt;".",F2="."),1/((1/C2)+(1/E2)),IF(AND(C2&lt;&gt;".",D2=".",E2=".",F2&lt;&gt;"."),1/((1/C2)+(1/F2)),IF(AND(C2=".",D2=".",E2&lt;&gt;".",F2&lt;&gt;"."),1/((1/E2)+(1/F2)),IF(AND(C2=".",D2&lt;&gt;".",E2=".",F2&lt;&gt;"."),1/((1/D2)+(1/F2)),IF(AND(C2=".",D2&lt;&gt;".",E2&lt;&gt;".",F2="."),1/((1/D2)+(1/E2)),IF(AND(C2&lt;&gt;".",D2=".",E2=".",F2="."),1/((1/C2)),IF(AND(C2=".",D2&lt;&gt;".",E2=".",F2="."),1/((1/D2)),IF(AND(C2=".",D2=".",E2&lt;&gt;".",F2="."),1/((1/E2)),IF(AND(C2=".",D2=".",E2=".",F2&lt;&gt;"."),1/((1/F2)),IF(AND(C2=".",D2=".",E2=".",F2="."),".")))))))))))))))))</f>
        <v>21.692071775076688</v>
      </c>
      <c r="I2" s="40">
        <f t="shared" ref="I2:I30" si="0">s_C*s_IFS_res_adj*(1/1000)</f>
        <v>27.5</v>
      </c>
      <c r="J2" s="40">
        <f t="shared" ref="J2:J30" si="1">s_C*s_IFA_res_adj*(1/s_PEF_wind)*1000</f>
        <v>2.9420495991003873E-3</v>
      </c>
      <c r="K2" s="40">
        <f>IFERROR((s_C*s_EF_res*(1/365)*s_ED_res*s_RadSpec!Q2*((s_ET_res_o*(1/24)*s_RadSpec!V2)+(s_ET_res_i*(1/24)*s_RadSpec!AA2))),".")</f>
        <v>9.6773254685862831E-3</v>
      </c>
      <c r="L2" s="40">
        <f>s_b2s!AB2</f>
        <v>797.5</v>
      </c>
      <c r="M2" s="18"/>
      <c r="N2" s="18"/>
      <c r="O2" s="18"/>
      <c r="P2" s="18"/>
      <c r="Q2" s="18"/>
      <c r="R2" s="15">
        <f>IFERROR((s_TR/(s_RadSpec!F2*s_EF_res*(1/365)*s_ED_res*s_RadSpec!Q2*((s_ET_res_o*(1/24)*s_RadSpec!V2)+(s_ET_res_i*(1/24)*s_RadSpec!AA2))))*1,".")</f>
        <v>12535.286380405685</v>
      </c>
      <c r="S2" s="15">
        <f>IFERROR((s_TR/(s_RadSpec!M2*s_EF_res*(1/365)*s_ED_res*s_RadSpec!R2*((s_ET_res_o*(1/24)*s_RadSpec!W2)+(s_ET_res_i*(1/24)*s_RadSpec!AB2))))*1,".")</f>
        <v>90483.197985437102</v>
      </c>
      <c r="T2" s="15">
        <f>IFERROR((s_TR/(s_RadSpec!N2*s_EF_res*(1/365)*s_ED_res*s_RadSpec!S2*((s_ET_res_o*(1/24)*s_RadSpec!X2)+(s_ET_res_i*(1/24)*s_RadSpec!AC2))))*1,".")</f>
        <v>23737.051129951898</v>
      </c>
      <c r="U2" s="15">
        <f>IFERROR((s_TR/(s_RadSpec!O2*s_EF_res*(1/365)*s_ED_res*s_RadSpec!T2*((s_ET_res_o*(1/24)*s_RadSpec!Y2)+(s_ET_res_i*(1/24)*s_RadSpec!AD2))))*1,".")</f>
        <v>14683.338329191169</v>
      </c>
      <c r="V2" s="15">
        <f>IFERROR((s_TR/(s_RadSpec!K2*s_EF_res*(1/365)*s_ED_res*s_RadSpec!P2*((s_ET_res_o*(1/24)*s_RadSpec!U2)+(s_ET_res_i*(1/24)*s_RadSpec!Z2))))*1,".")</f>
        <v>687381.52754264581</v>
      </c>
      <c r="W2" s="40">
        <f>IFERROR((s_C*s_EF_res*(1/365)*s_ED_res*s_RadSpec!Q2*((s_ET_res_o*(1/24)*s_RadSpec!V2)+(s_ET_res_i*(1/24)*s_RadSpec!AA2))),".")</f>
        <v>9.6773254685862831E-3</v>
      </c>
      <c r="X2" s="40">
        <f>IFERROR((s_C*s_EF_res*(1/365)*s_ED_res*s_RadSpec!R2*((s_ET_res_o*(1/24)*s_RadSpec!W2)+(s_ET_res_i*(1/24)*s_RadSpec!AB2))),".")</f>
        <v>4.7861677246909462E-3</v>
      </c>
      <c r="Y2" s="40">
        <f>IFERROR((s_C*s_EF_res*(1/365)*s_ED_res*s_RadSpec!S2*((s_ET_res_o*(1/24)*s_RadSpec!X2)+(s_ET_res_i*(1/24)*s_RadSpec!AC2))),".")</f>
        <v>7.0468914646996854E-3</v>
      </c>
      <c r="Z2" s="40">
        <f>IFERROR((s_C*s_EF_res*(1/365)*s_ED_res*s_RadSpec!T2*((s_ET_res_o*(1/24)*s_RadSpec!Y2)+(s_ET_res_i*(1/24)*s_RadSpec!AD2))),".")</f>
        <v>8.4777589656764678E-3</v>
      </c>
      <c r="AA2" s="40">
        <f>IFERROR((s_C*s_EF_res*(1/365)*s_ED_res*s_RadSpec!P2*((s_ET_res_o*(1/24)*s_RadSpec!U2)+(s_ET_res_i*(1/24)*s_RadSpec!Z2))),".")</f>
        <v>6.048243001786775E-4</v>
      </c>
      <c r="AB2" s="18"/>
      <c r="AC2" s="18"/>
      <c r="AD2" s="18"/>
      <c r="AE2" s="18"/>
      <c r="AF2" s="18"/>
      <c r="AG2" s="15">
        <f>IFERROR((s_TR/(s_RadSpec!G2*s_IFA_res_adj)),".")</f>
        <v>0.19204993298257547</v>
      </c>
      <c r="AH2" s="15">
        <f>IFERROR((s_TR/(s_RadSpec!J2*s_EF_res*(1/365)*s_ED_res*s_ET_res*(1/24)*s_GSF_a)),".")</f>
        <v>170121.74373407708</v>
      </c>
      <c r="AI2" s="15">
        <f>IFERROR(IF(AND(AG2&lt;&gt;".",AH2&lt;&gt;"."),1/((1/AG2)+(1/AH2)),IF(AND(AG2&lt;&gt;".",AH2="."),1/((1/AG2)),IF(AND(AG2=".",AH2&lt;&gt;"."),1/((1/AH2)),IF(AND(AG2=".",AH2="."),".")))),".")</f>
        <v>0.19204971617821928</v>
      </c>
      <c r="AJ2" s="40">
        <f t="shared" ref="AJ2:AJ30" si="2">s_C*s_IFA_res_adj</f>
        <v>911.45833333333326</v>
      </c>
      <c r="AK2" s="40">
        <f t="shared" ref="AK2:AK30" si="3">IFERROR((s_C*s_EF_res*(1/365)*s_ED_res*s_ET_res*(1/24)*s_GSF_a),".")</f>
        <v>0.57077625570776247</v>
      </c>
      <c r="AL2" s="18"/>
      <c r="AM2" s="18"/>
      <c r="AN2" s="18"/>
      <c r="AO2" s="15">
        <f>IFERROR((s_TR/(s_RadSpec!H2*s_IFW_res_adj)),".")</f>
        <v>10.57809276987359</v>
      </c>
      <c r="AP2" s="15" t="str">
        <f>IFERROR(IF(s_RadSpec!C2=1,(s_TR/(s_RadSpec!G2*s_IFA_res_adj*s_K)),"."),".")</f>
        <v>.</v>
      </c>
      <c r="AQ2" s="15">
        <f>IFERROR((s_TR/(s_RadSpec!L2*(1/8760)*s_DFA_res_adj)),".")</f>
        <v>191974639.16767657</v>
      </c>
      <c r="AR2" s="15">
        <f>s_b2w!C2</f>
        <v>28.140156727716032</v>
      </c>
      <c r="AS2" s="15">
        <f>(IF(AND(AO2&lt;&gt;".",AP2&lt;&gt;".",AQ2&lt;&gt;".",AR2&lt;&gt;"."),1/((1/AO2)+(1/AP2)+(1/AQ2)+(1/AR2)),IF(AND(AO2&lt;&gt;".",AP2&lt;&gt;".",AQ2&lt;&gt;".",AR2="."), 1/((1/AO2)+(1/AP2)+(1/AQ2)),IF(AND(AO2&lt;&gt;".",AP2&lt;&gt;".",AQ2=".",AR2&lt;&gt;"."),1/((1/AO2)+(1/AP2)+(1/AR2)),IF(AND(AO2&lt;&gt;".",AP2=".",AQ2&lt;&gt;".",AR2&lt;&gt;"."),1/((1/AO2)+(1/AQ2)+(1/AR2)),IF(AND(AO2=".",AP2&lt;&gt;".",AQ2&lt;&gt;".",AR2&lt;&gt;"."),1/((1/AP2)+(1/AQ2)+(1/AR2)),IF(AND(AO2&lt;&gt;".",AP2&lt;&gt;".",AQ2=".",AR2="."),1/((1/AO2)+(1/AP2)),IF(AND(AO2&lt;&gt;".",AP2=".",AQ2&lt;&gt;".",AR2="."),1/((1/AO2)+(1/AQ2)),IF(AND(AO2&lt;&gt;".",AP2=".",AQ2=".",AR2&lt;&gt;"."),1/((1/AO2)+(1/AR2)),IF(AND(AO2=".",AP2=".",AQ2&lt;&gt;".",AR2&lt;&gt;"."),1/((1/AQ2)+(1/AR2)),IF(AND(AO2=".",AP2&lt;&gt;".",AQ2=".",AR2&lt;&gt;"."),1/((1/AP2)+(1/AR2)),IF(AND(AO2=".",AP2&lt;&gt;".",AQ2&lt;&gt;".",AR2="."),1/((1/AP2)+(1/AQ2)),IF(AND(AO2&lt;&gt;".",AP2=".",AQ2=".",AR2="."),1/((1/AO2)),IF(AND(AO2=".",AP2&lt;&gt;".",AQ2=".",AR2="."),1/((1/AP2)),IF(AND(AO2=".",AP2=".",AQ2&lt;&gt;".",AR2="."),1/((1/AQ2)),IF(AND(AO2=".",AP2=".",AQ2=".",AR2&lt;&gt;"."),1/((1/AR2)),IF(AND(AO2=".",AP2=".",AQ2=".",AR2="."),".")))))))))))))))))</f>
        <v>7.6880845690665254</v>
      </c>
      <c r="AT2" s="40">
        <f t="shared" ref="AT2:AT30" si="4">s_C*s_IFW_res_adj</f>
        <v>2500</v>
      </c>
      <c r="AU2" s="40">
        <f t="shared" ref="AU2:AU30" si="5">s_C*s_IFA_res_adj*s_K</f>
        <v>455.72916666666663</v>
      </c>
      <c r="AV2" s="40">
        <f t="shared" ref="AV2:AV30" si="6">s_C*(1/8760)*s_DFA_res_adj</f>
        <v>0.22831050228310501</v>
      </c>
      <c r="AW2" s="40">
        <f>s_b2w!AB2</f>
        <v>654.25297846430772</v>
      </c>
      <c r="AX2" s="18"/>
      <c r="AY2" s="18"/>
      <c r="AZ2" s="18"/>
      <c r="BA2" s="18"/>
      <c r="BB2" s="18"/>
      <c r="BC2" s="15">
        <f>IFERROR(s_TR/(s_RadSpec!E2*s_EF_res*s_ED_res*s_IRF_res*0.001*s_CF_res_fish),".")</f>
        <v>1.3389659166225925</v>
      </c>
      <c r="BD2" s="40">
        <f t="shared" ref="BD2:BD30" si="7">s_C*s_EF_res*s_ED_res*s_IRF_res*0.001*s_CF_res_fish</f>
        <v>13750</v>
      </c>
      <c r="BE2" s="18"/>
    </row>
    <row r="3" spans="1:57" x14ac:dyDescent="0.25">
      <c r="A3" s="46" t="s">
        <v>13</v>
      </c>
      <c r="B3" s="42" t="s">
        <v>351</v>
      </c>
      <c r="C3" s="15">
        <f>IFERROR(((s_TR/(s_RadSpec!D3*s_IFS_res_adj*(1/1000)))*1),".")</f>
        <v>986.74797469978205</v>
      </c>
      <c r="D3" s="15">
        <f>IFERROR(IF(A3="H-3",(s_TR/((s_RadSpec!G3*s_IFA_res_adj*(1/17)*1000))*1),(s_TR/((s_RadSpec!G3*s_IFA_res_adj*(1/s_PEF_wind)*1000))*1)),".")</f>
        <v>45031.676775124637</v>
      </c>
      <c r="E3" s="15">
        <f>IFERROR((s_TR/(s_RadSpec!F3*s_EF_res*(1/365)*s_ED_res*s_RadSpec!Q3*((s_ET_res_o*(1/24)*s_RadSpec!V3)+(s_ET_res_i*(1/24)*s_RadSpec!AA3))))*1,".")</f>
        <v>2449537.7657913016</v>
      </c>
      <c r="F3" s="15">
        <f>s_b2s!C3</f>
        <v>49.209919844740696</v>
      </c>
      <c r="G3" s="15">
        <f>s_dir!C3</f>
        <v>0.68061009889264734</v>
      </c>
      <c r="H3" s="15">
        <f t="shared" ref="H3" si="8">(IF(AND(C3&lt;&gt;".",D3&lt;&gt;".",E3&lt;&gt;".",F3&lt;&gt;"."),1/((1/C3)+(1/D3)+(1/E3)+(1/F3)),IF(AND(C3&lt;&gt;".",D3&lt;&gt;".",E3&lt;&gt;".",F3="."), 1/((1/C3)+(1/D3)+(1/E3)),IF(AND(C3&lt;&gt;".",D3&lt;&gt;".",E3=".",F3&lt;&gt;"."),1/((1/C3)+(1/D3)+(1/F3)),IF(AND(C3&lt;&gt;".",D3=".",E3&lt;&gt;".",F3&lt;&gt;"."),1/((1/C3)+(1/E3)+(1/F3)),IF(AND(C3=".",D3&lt;&gt;".",E3&lt;&gt;".",F3&lt;&gt;"."),1/((1/D3)+(1/E3)+(1/F3)),IF(AND(C3&lt;&gt;".",D3&lt;&gt;".",E3=".",F3="."),1/((1/C3)+(1/D3)),IF(AND(C3&lt;&gt;".",D3=".",E3&lt;&gt;".",F3="."),1/((1/C3)+(1/E3)),IF(AND(C3&lt;&gt;".",D3=".",E3=".",F3&lt;&gt;"."),1/((1/C3)+(1/F3)),IF(AND(C3=".",D3=".",E3&lt;&gt;".",F3&lt;&gt;"."),1/((1/E3)+(1/F3)),IF(AND(C3=".",D3&lt;&gt;".",E3=".",F3&lt;&gt;"."),1/((1/D3)+(1/F3)),IF(AND(C3=".",D3&lt;&gt;".",E3&lt;&gt;".",F3="."),1/((1/D3)+(1/E3)),IF(AND(C3&lt;&gt;".",D3=".",E3=".",F3="."),1/((1/C3)),IF(AND(C3=".",D3&lt;&gt;".",E3=".",F3="."),1/((1/D3)),IF(AND(C3=".",D3=".",E3&lt;&gt;".",F3="."),1/((1/E3)),IF(AND(C3=".",D3=".",E3=".",F3&lt;&gt;"."),1/((1/F3)),IF(AND(C3=".",D3=".",E3=".",F3="."),".")))))))))))))))))</f>
        <v>46.822724878928369</v>
      </c>
      <c r="I3" s="40">
        <f t="shared" si="0"/>
        <v>27.5</v>
      </c>
      <c r="J3" s="40">
        <f t="shared" si="1"/>
        <v>2.9420495991003873E-3</v>
      </c>
      <c r="K3" s="40">
        <f>IFERROR((s_C*s_EF_res*(1/365)*s_ED_res*s_RadSpec!Q3*((s_ET_res_o*(1/24)*s_RadSpec!V3)+(s_ET_res_i*(1/24)*s_RadSpec!AA3))),".")</f>
        <v>7.3761854583772346E-5</v>
      </c>
      <c r="L3" s="40">
        <f>s_b2s!AB3</f>
        <v>760.69124999999997</v>
      </c>
      <c r="M3" s="18"/>
      <c r="N3" s="18"/>
      <c r="O3" s="18"/>
      <c r="P3" s="18"/>
      <c r="Q3" s="18"/>
      <c r="R3" s="15">
        <f>IFERROR((s_TR/(s_RadSpec!F3*s_EF_res*(1/365)*s_ED_res*s_RadSpec!Q3*((s_ET_res_o*(1/24)*s_RadSpec!V3)+(s_ET_res_i*(1/24)*s_RadSpec!AA3))))*1,".")</f>
        <v>2449537.7657913016</v>
      </c>
      <c r="S3" s="15">
        <f>IFERROR((s_TR/(s_RadSpec!M3*s_EF_res*(1/365)*s_ED_res*s_RadSpec!R3*((s_ET_res_o*(1/24)*s_RadSpec!W3)+(s_ET_res_i*(1/24)*s_RadSpec!AB3))))*1,".")</f>
        <v>6910123.6002565837</v>
      </c>
      <c r="T3" s="15">
        <f>IFERROR((s_TR/(s_RadSpec!N3*s_EF_res*(1/365)*s_ED_res*s_RadSpec!S3*((s_ET_res_o*(1/24)*s_RadSpec!X3)+(s_ET_res_i*(1/24)*s_RadSpec!AC3))))*1,".")</f>
        <v>2795008.0304616825</v>
      </c>
      <c r="U3" s="15">
        <f>IFERROR((s_TR/(s_RadSpec!O3*s_EF_res*(1/365)*s_ED_res*s_RadSpec!T3*((s_ET_res_o*(1/24)*s_RadSpec!Y3)+(s_ET_res_i*(1/24)*s_RadSpec!AD3))))*1,".")</f>
        <v>2684203.5874798386</v>
      </c>
      <c r="V3" s="15">
        <f>IFERROR((s_TR/(s_RadSpec!K3*s_EF_res*(1/365)*s_ED_res*s_RadSpec!P3*((s_ET_res_o*(1/24)*s_RadSpec!U3)+(s_ET_res_i*(1/24)*s_RadSpec!Z3))))*1,".")</f>
        <v>7887973.3132364647</v>
      </c>
      <c r="W3" s="40">
        <f>IFERROR((s_C*s_EF_res*(1/365)*s_ED_res*s_RadSpec!Q3*((s_ET_res_o*(1/24)*s_RadSpec!V3)+(s_ET_res_i*(1/24)*s_RadSpec!AA3))),".")</f>
        <v>7.3761854583772346E-5</v>
      </c>
      <c r="X3" s="40">
        <f>IFERROR((s_C*s_EF_res*(1/365)*s_ED_res*s_RadSpec!R3*((s_ET_res_o*(1/24)*s_RadSpec!W3)+(s_ET_res_i*(1/24)*s_RadSpec!AB3))),".")</f>
        <v>5.2605748839341984E-5</v>
      </c>
      <c r="Y3" s="40">
        <f>IFERROR((s_C*s_EF_res*(1/365)*s_ED_res*s_RadSpec!S3*((s_ET_res_o*(1/24)*s_RadSpec!X3)+(s_ET_res_i*(1/24)*s_RadSpec!AC3))),".")</f>
        <v>6.938765078716006E-5</v>
      </c>
      <c r="Z3" s="40">
        <f>IFERROR((s_C*s_EF_res*(1/365)*s_ED_res*s_RadSpec!T3*((s_ET_res_o*(1/24)*s_RadSpec!Y3)+(s_ET_res_i*(1/24)*s_RadSpec!AD3))),".")</f>
        <v>6.7313243049271394E-5</v>
      </c>
      <c r="AA3" s="40">
        <f>IFERROR((s_C*s_EF_res*(1/365)*s_ED_res*s_RadSpec!P3*((s_ET_res_o*(1/24)*s_RadSpec!U3)+(s_ET_res_i*(1/24)*s_RadSpec!Z3))),".")</f>
        <v>3.3929612357913129E-5</v>
      </c>
      <c r="AB3" s="18"/>
      <c r="AC3" s="18"/>
      <c r="AD3" s="18"/>
      <c r="AE3" s="18"/>
      <c r="AF3" s="18"/>
      <c r="AG3" s="15">
        <f>IFERROR((s_TR/(s_RadSpec!G3*s_IFA_res_adj)),".")</f>
        <v>0.14535543947308655</v>
      </c>
      <c r="AH3" s="15">
        <f>IFERROR((s_TR/(s_RadSpec!J3*s_EF_res*(1/365)*s_ED_res*s_ET_res*(1/24)*s_GSF_a)),".")</f>
        <v>150953.09655277265</v>
      </c>
      <c r="AI3" s="15">
        <f>IFERROR(IF(AND(AG3&lt;&gt;".",AH3&lt;&gt;"."),1/((1/AG3)+(1/AH3)),IF(AND(AG3&lt;&gt;".",AH3="."),1/((1/AG3)),IF(AND(AG3=".",AH3&lt;&gt;"."),1/((1/AH3)),IF(AND(AG3=".",AH3="."),".")))),".")</f>
        <v>0.14535529950786608</v>
      </c>
      <c r="AJ3" s="40">
        <f t="shared" si="2"/>
        <v>911.45833333333326</v>
      </c>
      <c r="AK3" s="40">
        <f t="shared" si="3"/>
        <v>0.57077625570776247</v>
      </c>
      <c r="AL3" s="18"/>
      <c r="AM3" s="18"/>
      <c r="AN3" s="18"/>
      <c r="AO3" s="15">
        <f>IFERROR((s_TR/(s_RadSpec!H3*s_IFW_res_adj)),".")</f>
        <v>19.305019305019304</v>
      </c>
      <c r="AP3" s="15" t="str">
        <f>IFERROR(IF(s_RadSpec!C3=1,(s_TR/(s_RadSpec!G3*s_IFA_res_adj*s_K)),"."),".")</f>
        <v>.</v>
      </c>
      <c r="AQ3" s="15">
        <f>IFERROR((s_TR/(s_RadSpec!L3*(1/8760)*s_DFA_res_adj)),".")</f>
        <v>165981612.80249557</v>
      </c>
      <c r="AR3" s="15">
        <f>s_b2w!C3</f>
        <v>57.86256874711917</v>
      </c>
      <c r="AS3" s="15">
        <f>(IF(AND(AO3&lt;&gt;".",AP3&lt;&gt;".",AQ3&lt;&gt;".",AR3&lt;&gt;"."),1/((1/AO3)+(1/AP3)+(1/AQ3)+(1/AR3)),IF(AND(AO3&lt;&gt;".",AP3&lt;&gt;".",AQ3&lt;&gt;".",AR3="."), 1/((1/AO3)+(1/AP3)+(1/AQ3)),IF(AND(AO3&lt;&gt;".",AP3&lt;&gt;".",AQ3=".",AR3&lt;&gt;"."),1/((1/AO3)+(1/AP3)+(1/AR3)),IF(AND(AO3&lt;&gt;".",AP3=".",AQ3&lt;&gt;".",AR3&lt;&gt;"."),1/((1/AO3)+(1/AQ3)+(1/AR3)),IF(AND(AO3=".",AP3&lt;&gt;".",AQ3&lt;&gt;".",AR3&lt;&gt;"."),1/((1/AP3)+(1/AQ3)+(1/AR3)),IF(AND(AO3&lt;&gt;".",AP3&lt;&gt;".",AQ3=".",AR3="."),1/((1/AO3)+(1/AP3)),IF(AND(AO3&lt;&gt;".",AP3=".",AQ3&lt;&gt;".",AR3="."),1/((1/AO3)+(1/AQ3)),IF(AND(AO3&lt;&gt;".",AP3=".",AQ3=".",AR3&lt;&gt;"."),1/((1/AO3)+(1/AR3)),IF(AND(AO3=".",AP3=".",AQ3&lt;&gt;".",AR3&lt;&gt;"."),1/((1/AQ3)+(1/AR3)),IF(AND(AO3=".",AP3&lt;&gt;".",AQ3=".",AR3&lt;&gt;"."),1/((1/AP3)+(1/AR3)),IF(AND(AO3=".",AP3&lt;&gt;".",AQ3&lt;&gt;".",AR3="."),1/((1/AP3)+(1/AQ3)),IF(AND(AO3&lt;&gt;".",AP3=".",AQ3=".",AR3="."),1/((1/AO3)),IF(AND(AO3=".",AP3&lt;&gt;".",AQ3=".",AR3="."),1/((1/AP3)),IF(AND(AO3=".",AP3=".",AQ3&lt;&gt;".",AR3="."),1/((1/AQ3)),IF(AND(AO3=".",AP3=".",AQ3=".",AR3&lt;&gt;"."),1/((1/AR3)),IF(AND(AO3=".",AP3=".",AQ3=".",AR3="."),".")))))))))))))))))</f>
        <v>14.475480411905849</v>
      </c>
      <c r="AT3" s="40">
        <f t="shared" si="4"/>
        <v>2500</v>
      </c>
      <c r="AU3" s="40">
        <f t="shared" si="5"/>
        <v>455.72916666666663</v>
      </c>
      <c r="AV3" s="40">
        <f t="shared" si="6"/>
        <v>0.22831050228310501</v>
      </c>
      <c r="AW3" s="40">
        <f>s_b2w!AB3</f>
        <v>646.93905316741279</v>
      </c>
      <c r="AX3" s="18"/>
      <c r="AY3" s="18"/>
      <c r="AZ3" s="18"/>
      <c r="BA3" s="18"/>
      <c r="BB3" s="18"/>
      <c r="BC3" s="15">
        <f>IFERROR(s_TR/(s_RadSpec!E3*s_EF_res*s_ED_res*s_IRF_res*0.001*s_CF_res_fish),".")</f>
        <v>2.7224403955705894</v>
      </c>
      <c r="BD3" s="40">
        <f t="shared" si="7"/>
        <v>13750</v>
      </c>
      <c r="BE3" s="18"/>
    </row>
    <row r="4" spans="1:57" x14ac:dyDescent="0.25">
      <c r="A4" s="44" t="s">
        <v>14</v>
      </c>
      <c r="B4" s="42" t="s">
        <v>1074</v>
      </c>
      <c r="C4" s="15" t="str">
        <f>IFERROR(((s_TR/(s_RadSpec!D4*s_IFS_res_adj*(1/1000)))*1),".")</f>
        <v>.</v>
      </c>
      <c r="D4" s="15" t="str">
        <f>IFERROR(IF(A4="H-3",(s_TR/((s_RadSpec!G4*s_IFA_res_adj*(1/17)*1000))*1),(s_TR/((s_RadSpec!G4*s_IFA_res_adj*(1/s_PEF_wind)*1000))*1)),".")</f>
        <v>.</v>
      </c>
      <c r="E4" s="15">
        <f>IFERROR((s_TR/(s_RadSpec!F4*s_EF_res*(1/365)*s_ED_res*s_RadSpec!Q4*((s_ET_res_o*(1/24)*s_RadSpec!V4)+(s_ET_res_i*(1/24)*s_RadSpec!AA4))))*1,".")</f>
        <v>269473.34488218557</v>
      </c>
      <c r="F4" s="15" t="str">
        <f>s_b2s!C4</f>
        <v>.</v>
      </c>
      <c r="G4" s="15" t="str">
        <f>s_dir!C4</f>
        <v>.</v>
      </c>
      <c r="H4" s="15">
        <f t="shared" ref="H4:H6" si="9">(IF(AND(C4&lt;&gt;".",D4&lt;&gt;".",E4&lt;&gt;".",F4&lt;&gt;"."),1/((1/C4)+(1/D4)+(1/E4)+(1/F4)),IF(AND(C4&lt;&gt;".",D4&lt;&gt;".",E4&lt;&gt;".",F4="."), 1/((1/C4)+(1/D4)+(1/E4)),IF(AND(C4&lt;&gt;".",D4&lt;&gt;".",E4=".",F4&lt;&gt;"."),1/((1/C4)+(1/D4)+(1/F4)),IF(AND(C4&lt;&gt;".",D4=".",E4&lt;&gt;".",F4&lt;&gt;"."),1/((1/C4)+(1/E4)+(1/F4)),IF(AND(C4=".",D4&lt;&gt;".",E4&lt;&gt;".",F4&lt;&gt;"."),1/((1/D4)+(1/E4)+(1/F4)),IF(AND(C4&lt;&gt;".",D4&lt;&gt;".",E4=".",F4="."),1/((1/C4)+(1/D4)),IF(AND(C4&lt;&gt;".",D4=".",E4&lt;&gt;".",F4="."),1/((1/C4)+(1/E4)),IF(AND(C4&lt;&gt;".",D4=".",E4=".",F4&lt;&gt;"."),1/((1/C4)+(1/F4)),IF(AND(C4=".",D4=".",E4&lt;&gt;".",F4&lt;&gt;"."),1/((1/E4)+(1/F4)),IF(AND(C4=".",D4&lt;&gt;".",E4=".",F4&lt;&gt;"."),1/((1/D4)+(1/F4)),IF(AND(C4=".",D4&lt;&gt;".",E4&lt;&gt;".",F4="."),1/((1/D4)+(1/E4)),IF(AND(C4&lt;&gt;".",D4=".",E4=".",F4="."),1/((1/C4)),IF(AND(C4=".",D4&lt;&gt;".",E4=".",F4="."),1/((1/D4)),IF(AND(C4=".",D4=".",E4&lt;&gt;".",F4="."),1/((1/E4)),IF(AND(C4=".",D4=".",E4=".",F4&lt;&gt;"."),1/((1/F4)),IF(AND(C4=".",D4=".",E4=".",F4="."),".")))))))))))))))))</f>
        <v>269473.34488218557</v>
      </c>
      <c r="I4" s="40">
        <f t="shared" si="0"/>
        <v>27.5</v>
      </c>
      <c r="J4" s="40">
        <f t="shared" si="1"/>
        <v>2.9420495991003873E-3</v>
      </c>
      <c r="K4" s="40">
        <f>IFERROR((s_C*s_EF_res*(1/365)*s_ED_res*s_RadSpec!Q4*((s_ET_res_o*(1/24)*s_RadSpec!V4)+(s_ET_res_i*(1/24)*s_RadSpec!AA4))),".")</f>
        <v>1.9814090019569464E-2</v>
      </c>
      <c r="L4" s="40">
        <f>s_b2s!AB4</f>
        <v>11742.500000000002</v>
      </c>
      <c r="M4" s="18"/>
      <c r="N4" s="18"/>
      <c r="O4" s="18"/>
      <c r="P4" s="18"/>
      <c r="Q4" s="18"/>
      <c r="R4" s="15">
        <f>IFERROR((s_TR/(s_RadSpec!F4*s_EF_res*(1/365)*s_ED_res*s_RadSpec!Q4*((s_ET_res_o*(1/24)*s_RadSpec!V4)+(s_ET_res_i*(1/24)*s_RadSpec!AA4))))*1,".")</f>
        <v>269473.34488218557</v>
      </c>
      <c r="S4" s="15">
        <f>IFERROR((s_TR/(s_RadSpec!M4*s_EF_res*(1/365)*s_ED_res*s_RadSpec!R4*((s_ET_res_o*(1/24)*s_RadSpec!W4)+(s_ET_res_i*(1/24)*s_RadSpec!AB4))))*1,".")</f>
        <v>1900191.0616849218</v>
      </c>
      <c r="T4" s="15">
        <f>IFERROR((s_TR/(s_RadSpec!N4*s_EF_res*(1/365)*s_ED_res*s_RadSpec!S4*((s_ET_res_o*(1/24)*s_RadSpec!X4)+(s_ET_res_i*(1/24)*s_RadSpec!AC4))))*1,".")</f>
        <v>495514.25017653225</v>
      </c>
      <c r="U4" s="15">
        <f>IFERROR((s_TR/(s_RadSpec!O4*s_EF_res*(1/365)*s_ED_res*s_RadSpec!T4*((s_ET_res_o*(1/24)*s_RadSpec!Y4)+(s_ET_res_i*(1/24)*s_RadSpec!AD4))))*1,".")</f>
        <v>293680.57498548547</v>
      </c>
      <c r="V4" s="15">
        <f>IFERROR((s_TR/(s_RadSpec!K4*s_EF_res*(1/365)*s_ED_res*s_RadSpec!P4*((s_ET_res_o*(1/24)*s_RadSpec!U4)+(s_ET_res_i*(1/24)*s_RadSpec!Z4))))*1,".")</f>
        <v>3578612.7322702296</v>
      </c>
      <c r="W4" s="40">
        <f>IFERROR((s_C*s_EF_res*(1/365)*s_ED_res*s_RadSpec!Q4*((s_ET_res_o*(1/24)*s_RadSpec!V4)+(s_ET_res_i*(1/24)*s_RadSpec!AA4))),".")</f>
        <v>1.9814090019569464E-2</v>
      </c>
      <c r="X4" s="40">
        <f>IFERROR((s_C*s_EF_res*(1/365)*s_ED_res*s_RadSpec!R4*((s_ET_res_o*(1/24)*s_RadSpec!W4)+(s_ET_res_i*(1/24)*s_RadSpec!AB4))),".")</f>
        <v>1.2141967621419671E-2</v>
      </c>
      <c r="Y4" s="40">
        <f>IFERROR((s_C*s_EF_res*(1/365)*s_ED_res*s_RadSpec!S4*((s_ET_res_o*(1/24)*s_RadSpec!X4)+(s_ET_res_i*(1/24)*s_RadSpec!AC4))),".")</f>
        <v>1.6878669275929552E-2</v>
      </c>
      <c r="Z4" s="40">
        <f>IFERROR((s_C*s_EF_res*(1/365)*s_ED_res*s_RadSpec!T4*((s_ET_res_o*(1/24)*s_RadSpec!Y4)+(s_ET_res_i*(1/24)*s_RadSpec!AD4))),".")</f>
        <v>1.9389707194258862E-2</v>
      </c>
      <c r="AA4" s="40">
        <f>IFERROR((s_C*s_EF_res*(1/365)*s_ED_res*s_RadSpec!P4*((s_ET_res_o*(1/24)*s_RadSpec!U4)+(s_ET_res_i*(1/24)*s_RadSpec!Z4))),".")</f>
        <v>6.574734538380483E-3</v>
      </c>
      <c r="AB4" s="18"/>
      <c r="AC4" s="18"/>
      <c r="AD4" s="18"/>
      <c r="AE4" s="18"/>
      <c r="AF4" s="18"/>
      <c r="AG4" s="15" t="str">
        <f>IFERROR((s_TR/(s_RadSpec!G4*s_IFA_res_adj)),".")</f>
        <v>.</v>
      </c>
      <c r="AH4" s="15">
        <f>IFERROR((s_TR/(s_RadSpec!J4*s_EF_res*(1/365)*s_ED_res*s_ET_res*(1/24)*s_GSF_a)),".")</f>
        <v>8974125.4768813383</v>
      </c>
      <c r="AI4" s="15">
        <f t="shared" ref="AI4:AI5" si="10">IFERROR(IF(AND(AG4&lt;&gt;".",AH4&lt;&gt;"."),1/((1/AG4)+(1/AH4)),IF(AND(AG4&lt;&gt;".",AH4="."),1/((1/AG4)),IF(AND(AG4=".",AH4&lt;&gt;"."),1/((1/AH4)),IF(AND(AG4=".",AH4="."),".")))),".")</f>
        <v>8974125.4768813383</v>
      </c>
      <c r="AJ4" s="40">
        <f t="shared" si="2"/>
        <v>911.45833333333326</v>
      </c>
      <c r="AK4" s="40">
        <f t="shared" si="3"/>
        <v>0.57077625570776247</v>
      </c>
      <c r="AL4" s="18"/>
      <c r="AM4" s="18"/>
      <c r="AN4" s="18"/>
      <c r="AO4" s="15" t="str">
        <f>IFERROR((s_TR/(s_RadSpec!H4*s_IFW_res_adj)),".")</f>
        <v>.</v>
      </c>
      <c r="AP4" s="15" t="str">
        <f>IFERROR(IF(s_RadSpec!C4=1,(s_TR/(s_RadSpec!G4*s_IFA_res_adj*s_K)),"."),".")</f>
        <v>.</v>
      </c>
      <c r="AQ4" s="15">
        <f>IFERROR((s_TR/(s_RadSpec!L4*(1/8760)*s_DFA_res_adj)),".")</f>
        <v>10249137839.716942</v>
      </c>
      <c r="AR4" s="15" t="str">
        <f>s_b2w!C4</f>
        <v>.</v>
      </c>
      <c r="AS4" s="15">
        <f t="shared" ref="AS4:AS5" si="11">(IF(AND(AO4&lt;&gt;".",AP4&lt;&gt;".",AQ4&lt;&gt;".",AR4&lt;&gt;"."),1/((1/AO4)+(1/AP4)+(1/AQ4)+(1/AR4)),IF(AND(AO4&lt;&gt;".",AP4&lt;&gt;".",AQ4&lt;&gt;".",AR4="."), 1/((1/AO4)+(1/AP4)+(1/AQ4)),IF(AND(AO4&lt;&gt;".",AP4&lt;&gt;".",AQ4=".",AR4&lt;&gt;"."),1/((1/AO4)+(1/AP4)+(1/AR4)),IF(AND(AO4&lt;&gt;".",AP4=".",AQ4&lt;&gt;".",AR4&lt;&gt;"."),1/((1/AO4)+(1/AQ4)+(1/AR4)),IF(AND(AO4=".",AP4&lt;&gt;".",AQ4&lt;&gt;".",AR4&lt;&gt;"."),1/((1/AP4)+(1/AQ4)+(1/AR4)),IF(AND(AO4&lt;&gt;".",AP4&lt;&gt;".",AQ4=".",AR4="."),1/((1/AO4)+(1/AP4)),IF(AND(AO4&lt;&gt;".",AP4=".",AQ4&lt;&gt;".",AR4="."),1/((1/AO4)+(1/AQ4)),IF(AND(AO4&lt;&gt;".",AP4=".",AQ4=".",AR4&lt;&gt;"."),1/((1/AO4)+(1/AR4)),IF(AND(AO4=".",AP4=".",AQ4&lt;&gt;".",AR4&lt;&gt;"."),1/((1/AQ4)+(1/AR4)),IF(AND(AO4=".",AP4&lt;&gt;".",AQ4=".",AR4&lt;&gt;"."),1/((1/AP4)+(1/AR4)),IF(AND(AO4=".",AP4&lt;&gt;".",AQ4&lt;&gt;".",AR4="."),1/((1/AP4)+(1/AQ4)),IF(AND(AO4&lt;&gt;".",AP4=".",AQ4=".",AR4="."),1/((1/AO4)),IF(AND(AO4=".",AP4&lt;&gt;".",AQ4=".",AR4="."),1/((1/AP4)),IF(AND(AO4=".",AP4=".",AQ4&lt;&gt;".",AR4="."),1/((1/AQ4)),IF(AND(AO4=".",AP4=".",AQ4=".",AR4&lt;&gt;"."),1/((1/AR4)),IF(AND(AO4=".",AP4=".",AQ4=".",AR4="."),".")))))))))))))))))</f>
        <v>10249137839.716942</v>
      </c>
      <c r="AT4" s="40">
        <f t="shared" si="4"/>
        <v>2500</v>
      </c>
      <c r="AU4" s="40">
        <f t="shared" si="5"/>
        <v>455.72916666666663</v>
      </c>
      <c r="AV4" s="40">
        <f t="shared" si="6"/>
        <v>0.22831050228310501</v>
      </c>
      <c r="AW4" s="40">
        <f>s_b2w!AB4</f>
        <v>2829.0324092930018</v>
      </c>
      <c r="AX4" s="18"/>
      <c r="AY4" s="18"/>
      <c r="AZ4" s="18"/>
      <c r="BA4" s="18"/>
      <c r="BB4" s="18"/>
      <c r="BC4" s="15" t="str">
        <f>IFERROR(s_TR/(s_RadSpec!E4*s_EF_res*s_ED_res*s_IRF_res*0.001*s_CF_res_fish),".")</f>
        <v>.</v>
      </c>
      <c r="BD4" s="40">
        <f t="shared" si="7"/>
        <v>13750</v>
      </c>
      <c r="BE4" s="18"/>
    </row>
    <row r="5" spans="1:57" x14ac:dyDescent="0.25">
      <c r="A5" s="44" t="s">
        <v>15</v>
      </c>
      <c r="B5" s="42" t="s">
        <v>1074</v>
      </c>
      <c r="C5" s="15" t="str">
        <f>IFERROR(((s_TR/(s_RadSpec!D5*s_IFS_res_adj*(1/1000)))*1),".")</f>
        <v>.</v>
      </c>
      <c r="D5" s="15" t="str">
        <f>IFERROR(IF(A5="H-3",(s_TR/((s_RadSpec!G5*s_IFA_res_adj*(1/17)*1000))*1),(s_TR/((s_RadSpec!G5*s_IFA_res_adj*(1/s_PEF_wind)*1000))*1)),".")</f>
        <v>.</v>
      </c>
      <c r="E5" s="15" t="str">
        <f>IFERROR((s_TR/(s_RadSpec!F5*s_EF_res*(1/365)*s_ED_res*s_RadSpec!Q5*((s_ET_res_o*(1/24)*s_RadSpec!V5)+(s_ET_res_i*(1/24)*s_RadSpec!AA5))))*1,".")</f>
        <v>.</v>
      </c>
      <c r="F5" s="15" t="str">
        <f>s_b2s!C5</f>
        <v>.</v>
      </c>
      <c r="G5" s="15" t="str">
        <f>s_dir!C5</f>
        <v>.</v>
      </c>
      <c r="H5" s="15" t="str">
        <f t="shared" si="9"/>
        <v>.</v>
      </c>
      <c r="I5" s="40">
        <f t="shared" si="0"/>
        <v>27.5</v>
      </c>
      <c r="J5" s="40">
        <f t="shared" si="1"/>
        <v>2.9420495991003873E-3</v>
      </c>
      <c r="K5" s="40">
        <f>IFERROR((s_C*s_EF_res*(1/365)*s_ED_res*s_RadSpec!Q5*((s_ET_res_o*(1/24)*s_RadSpec!V5)+(s_ET_res_i*(1/24)*s_RadSpec!AA5))),".")</f>
        <v>0</v>
      </c>
      <c r="L5" s="40">
        <f>s_b2s!AB5</f>
        <v>11742.500000000002</v>
      </c>
      <c r="M5" s="18"/>
      <c r="N5" s="18"/>
      <c r="O5" s="18"/>
      <c r="P5" s="18"/>
      <c r="Q5" s="18"/>
      <c r="R5" s="15" t="str">
        <f>IFERROR((s_TR/(s_RadSpec!F5*s_EF_res*(1/365)*s_ED_res*s_RadSpec!Q5*((s_ET_res_o*(1/24)*s_RadSpec!V5)+(s_ET_res_i*(1/24)*s_RadSpec!AA5))))*1,".")</f>
        <v>.</v>
      </c>
      <c r="S5" s="15" t="str">
        <f>IFERROR((s_TR/(s_RadSpec!M5*s_EF_res*(1/365)*s_ED_res*s_RadSpec!R5*((s_ET_res_o*(1/24)*s_RadSpec!W5)+(s_ET_res_i*(1/24)*s_RadSpec!AB5))))*1,".")</f>
        <v>.</v>
      </c>
      <c r="T5" s="15" t="str">
        <f>IFERROR((s_TR/(s_RadSpec!N5*s_EF_res*(1/365)*s_ED_res*s_RadSpec!S5*((s_ET_res_o*(1/24)*s_RadSpec!X5)+(s_ET_res_i*(1/24)*s_RadSpec!AC5))))*1,".")</f>
        <v>.</v>
      </c>
      <c r="U5" s="15" t="str">
        <f>IFERROR((s_TR/(s_RadSpec!O5*s_EF_res*(1/365)*s_ED_res*s_RadSpec!T5*((s_ET_res_o*(1/24)*s_RadSpec!Y5)+(s_ET_res_i*(1/24)*s_RadSpec!AD5))))*1,".")</f>
        <v>.</v>
      </c>
      <c r="V5" s="15" t="str">
        <f>IFERROR((s_TR/(s_RadSpec!K5*s_EF_res*(1/365)*s_ED_res*s_RadSpec!P5*((s_ET_res_o*(1/24)*s_RadSpec!U5)+(s_ET_res_i*(1/24)*s_RadSpec!Z5))))*1,".")</f>
        <v>.</v>
      </c>
      <c r="W5" s="40">
        <f>IFERROR((s_C*s_EF_res*(1/365)*s_ED_res*s_RadSpec!Q5*((s_ET_res_o*(1/24)*s_RadSpec!V5)+(s_ET_res_i*(1/24)*s_RadSpec!AA5))),".")</f>
        <v>0</v>
      </c>
      <c r="X5" s="40">
        <f>IFERROR((s_C*s_EF_res*(1/365)*s_ED_res*s_RadSpec!R5*((s_ET_res_o*(1/24)*s_RadSpec!W5)+(s_ET_res_i*(1/24)*s_RadSpec!AB5))),".")</f>
        <v>0</v>
      </c>
      <c r="Y5" s="40">
        <f>IFERROR((s_C*s_EF_res*(1/365)*s_ED_res*s_RadSpec!S5*((s_ET_res_o*(1/24)*s_RadSpec!X5)+(s_ET_res_i*(1/24)*s_RadSpec!AC5))),".")</f>
        <v>0</v>
      </c>
      <c r="Z5" s="40">
        <f>IFERROR((s_C*s_EF_res*(1/365)*s_ED_res*s_RadSpec!T5*((s_ET_res_o*(1/24)*s_RadSpec!Y5)+(s_ET_res_i*(1/24)*s_RadSpec!AD5))),".")</f>
        <v>0</v>
      </c>
      <c r="AA5" s="40">
        <f>IFERROR((s_C*s_EF_res*(1/365)*s_ED_res*s_RadSpec!P5*((s_ET_res_o*(1/24)*s_RadSpec!U5)+(s_ET_res_i*(1/24)*s_RadSpec!Z5))),".")</f>
        <v>0</v>
      </c>
      <c r="AB5" s="18"/>
      <c r="AC5" s="18"/>
      <c r="AD5" s="18"/>
      <c r="AE5" s="18"/>
      <c r="AF5" s="18"/>
      <c r="AG5" s="15" t="str">
        <f>IFERROR((s_TR/(s_RadSpec!G5*s_IFA_res_adj)),".")</f>
        <v>.</v>
      </c>
      <c r="AH5" s="15">
        <f>IFERROR((s_TR/(s_RadSpec!J5*s_EF_res*(1/365)*s_ED_res*s_ET_res*(1/24)*s_GSF_a)),".")</f>
        <v>284180640.10124242</v>
      </c>
      <c r="AI5" s="15">
        <f t="shared" si="10"/>
        <v>284180640.10124242</v>
      </c>
      <c r="AJ5" s="40">
        <f t="shared" si="2"/>
        <v>911.45833333333326</v>
      </c>
      <c r="AK5" s="40">
        <f t="shared" si="3"/>
        <v>0.57077625570776247</v>
      </c>
      <c r="AL5" s="18"/>
      <c r="AM5" s="18"/>
      <c r="AN5" s="18"/>
      <c r="AO5" s="15" t="str">
        <f>IFERROR((s_TR/(s_RadSpec!H5*s_IFW_res_adj)),".")</f>
        <v>.</v>
      </c>
      <c r="AP5" s="15" t="str">
        <f>IFERROR(IF(s_RadSpec!C5=1,(s_TR/(s_RadSpec!G5*s_IFA_res_adj*s_K)),"."),".")</f>
        <v>.</v>
      </c>
      <c r="AQ5" s="15">
        <f>IFERROR((s_TR/(s_RadSpec!L5*(1/8760)*s_DFA_res_adj)),".")</f>
        <v>427241964616.90204</v>
      </c>
      <c r="AR5" s="15" t="str">
        <f>s_b2w!C5</f>
        <v>.</v>
      </c>
      <c r="AS5" s="15">
        <f t="shared" si="11"/>
        <v>427241964616.90204</v>
      </c>
      <c r="AT5" s="40">
        <f t="shared" si="4"/>
        <v>2500</v>
      </c>
      <c r="AU5" s="40">
        <f t="shared" si="5"/>
        <v>455.72916666666663</v>
      </c>
      <c r="AV5" s="40">
        <f t="shared" si="6"/>
        <v>0.22831050228310501</v>
      </c>
      <c r="AW5" s="40">
        <f>s_b2w!AB5</f>
        <v>2829.0324092930018</v>
      </c>
      <c r="AX5" s="18"/>
      <c r="AY5" s="18"/>
      <c r="AZ5" s="18"/>
      <c r="BA5" s="18"/>
      <c r="BB5" s="18"/>
      <c r="BC5" s="15" t="str">
        <f>IFERROR(s_TR/(s_RadSpec!E5*s_EF_res*s_ED_res*s_IRF_res*0.001*s_CF_res_fish),".")</f>
        <v>.</v>
      </c>
      <c r="BD5" s="40">
        <f t="shared" si="7"/>
        <v>13750</v>
      </c>
      <c r="BE5" s="18"/>
    </row>
    <row r="6" spans="1:57" x14ac:dyDescent="0.25">
      <c r="A6" s="44" t="s">
        <v>16</v>
      </c>
      <c r="B6" s="42" t="s">
        <v>1074</v>
      </c>
      <c r="C6" s="15" t="str">
        <f>IFERROR(((s_TR/(s_RadSpec!D6*s_IFS_res_adj*(1/1000)))*1),".")</f>
        <v>.</v>
      </c>
      <c r="D6" s="15" t="str">
        <f>IFERROR(IF(A6="H-3",(s_TR/((s_RadSpec!G6*s_IFA_res_adj*(1/17)*1000))*1),(s_TR/((s_RadSpec!G6*s_IFA_res_adj*(1/s_PEF_wind)*1000))*1)),".")</f>
        <v>.</v>
      </c>
      <c r="E6" s="15">
        <f>IFERROR((s_TR/(s_RadSpec!F6*s_EF_res*(1/365)*s_ED_res*s_RadSpec!Q6*((s_ET_res_o*(1/24)*s_RadSpec!V6)+(s_ET_res_i*(1/24)*s_RadSpec!AA6))))*1,".")</f>
        <v>48.294857461409336</v>
      </c>
      <c r="F6" s="15" t="str">
        <f>s_b2s!C6</f>
        <v>.</v>
      </c>
      <c r="G6" s="15" t="str">
        <f>s_dir!C6</f>
        <v>.</v>
      </c>
      <c r="H6" s="15">
        <f t="shared" si="9"/>
        <v>48.294857461409336</v>
      </c>
      <c r="I6" s="40">
        <f t="shared" si="0"/>
        <v>27.5</v>
      </c>
      <c r="J6" s="40">
        <f t="shared" si="1"/>
        <v>2.9420495991003873E-3</v>
      </c>
      <c r="K6" s="40">
        <f>IFERROR((s_C*s_EF_res*(1/365)*s_ED_res*s_RadSpec!Q6*((s_ET_res_o*(1/24)*s_RadSpec!V6)+(s_ET_res_i*(1/24)*s_RadSpec!AA6))),".")</f>
        <v>3.8550994723849187E-2</v>
      </c>
      <c r="L6" s="40">
        <f>s_b2s!AB6</f>
        <v>975.42499999999995</v>
      </c>
      <c r="M6" s="18"/>
      <c r="N6" s="18"/>
      <c r="O6" s="18"/>
      <c r="P6" s="18"/>
      <c r="Q6" s="18"/>
      <c r="R6" s="15">
        <f>IFERROR((s_TR/(s_RadSpec!F6*s_EF_res*(1/365)*s_ED_res*s_RadSpec!Q6*((s_ET_res_o*(1/24)*s_RadSpec!V6)+(s_ET_res_i*(1/24)*s_RadSpec!AA6))))*1,".")</f>
        <v>48.294857461409336</v>
      </c>
      <c r="S6" s="15">
        <f>IFERROR((s_TR/(s_RadSpec!M6*s_EF_res*(1/365)*s_ED_res*s_RadSpec!R6*((s_ET_res_o*(1/24)*s_RadSpec!W6)+(s_ET_res_i*(1/24)*s_RadSpec!AB6))))*1,".")</f>
        <v>442.3304006263221</v>
      </c>
      <c r="T6" s="15">
        <f>IFERROR((s_TR/(s_RadSpec!N6*s_EF_res*(1/365)*s_ED_res*s_RadSpec!S6*((s_ET_res_o*(1/24)*s_RadSpec!X6)+(s_ET_res_i*(1/24)*s_RadSpec!AC6))))*1,".")</f>
        <v>110.84458673937814</v>
      </c>
      <c r="U6" s="15">
        <f>IFERROR((s_TR/(s_RadSpec!O6*s_EF_res*(1/365)*s_ED_res*s_RadSpec!T6*((s_ET_res_o*(1/24)*s_RadSpec!Y6)+(s_ET_res_i*(1/24)*s_RadSpec!AD6))))*1,".")</f>
        <v>59.112311406786574</v>
      </c>
      <c r="V6" s="15">
        <f>IFERROR((s_TR/(s_RadSpec!K6*s_EF_res*(1/365)*s_ED_res*s_RadSpec!P6*((s_ET_res_o*(1/24)*s_RadSpec!U6)+(s_ET_res_i*(1/24)*s_RadSpec!Z6))))*1,".")</f>
        <v>758.87024621150988</v>
      </c>
      <c r="W6" s="40">
        <f>IFERROR((s_C*s_EF_res*(1/365)*s_ED_res*s_RadSpec!Q6*((s_ET_res_o*(1/24)*s_RadSpec!V6)+(s_ET_res_i*(1/24)*s_RadSpec!AA6))),".")</f>
        <v>3.8550994723849187E-2</v>
      </c>
      <c r="X6" s="40">
        <f>IFERROR((s_C*s_EF_res*(1/365)*s_ED_res*s_RadSpec!R6*((s_ET_res_o*(1/24)*s_RadSpec!W6)+(s_ET_res_i*(1/24)*s_RadSpec!AB6))),".")</f>
        <v>2.0650469091746285E-2</v>
      </c>
      <c r="Y6" s="40">
        <f>IFERROR((s_C*s_EF_res*(1/365)*s_ED_res*s_RadSpec!S6*((s_ET_res_o*(1/24)*s_RadSpec!X6)+(s_ET_res_i*(1/24)*s_RadSpec!AC6))),".")</f>
        <v>2.9222567433978244E-2</v>
      </c>
      <c r="Z6" s="40">
        <f>IFERROR((s_C*s_EF_res*(1/365)*s_ED_res*s_RadSpec!T6*((s_ET_res_o*(1/24)*s_RadSpec!Y6)+(s_ET_res_i*(1/24)*s_RadSpec!AD6))),".")</f>
        <v>3.5337230608149389E-2</v>
      </c>
      <c r="AA6" s="40">
        <f>IFERROR((s_C*s_EF_res*(1/365)*s_ED_res*s_RadSpec!P6*((s_ET_res_o*(1/24)*s_RadSpec!U6)+(s_ET_res_i*(1/24)*s_RadSpec!Z6))),".")</f>
        <v>1.2293742216687416E-2</v>
      </c>
      <c r="AB6" s="18"/>
      <c r="AC6" s="18"/>
      <c r="AD6" s="18"/>
      <c r="AE6" s="18"/>
      <c r="AF6" s="18"/>
      <c r="AG6" s="15" t="str">
        <f>IFERROR((s_TR/(s_RadSpec!G6*s_IFA_res_adj)),".")</f>
        <v>.</v>
      </c>
      <c r="AH6" s="15">
        <f>IFERROR((s_TR/(s_RadSpec!J6*s_EF_res*(1/365)*s_ED_res*s_ET_res*(1/24)*s_GSF_a)),".")</f>
        <v>3473.3189345707406</v>
      </c>
      <c r="AI6" s="15">
        <f t="shared" ref="AI6:AI14" si="12">IFERROR(IF(AND(AG6&lt;&gt;".",AH6&lt;&gt;"."),1/((1/AG6)+(1/AH6)),IF(AND(AG6&lt;&gt;".",AH6="."),1/((1/AG6)),IF(AND(AG6=".",AH6&lt;&gt;"."),1/((1/AH6)),IF(AND(AG6=".",AH6="."),".")))),".")</f>
        <v>3473.318934570741</v>
      </c>
      <c r="AJ6" s="40">
        <f t="shared" si="2"/>
        <v>911.45833333333326</v>
      </c>
      <c r="AK6" s="40">
        <f t="shared" si="3"/>
        <v>0.57077625570776247</v>
      </c>
      <c r="AL6" s="18"/>
      <c r="AM6" s="18"/>
      <c r="AN6" s="18"/>
      <c r="AO6" s="15" t="str">
        <f>IFERROR((s_TR/(s_RadSpec!H6*s_IFW_res_adj)),".")</f>
        <v>.</v>
      </c>
      <c r="AP6" s="15" t="str">
        <f>IFERROR(IF(s_RadSpec!C6=1,(s_TR/(s_RadSpec!G6*s_IFA_res_adj*s_K)),"."),".")</f>
        <v>.</v>
      </c>
      <c r="AQ6" s="15">
        <f>IFERROR((s_TR/(s_RadSpec!L6*(1/8760)*s_DFA_res_adj)),".")</f>
        <v>4007675.6937354696</v>
      </c>
      <c r="AR6" s="15" t="str">
        <f>s_b2w!C6</f>
        <v>.</v>
      </c>
      <c r="AS6" s="15">
        <f>(IF(AND(AO6&lt;&gt;".",AP6&lt;&gt;".",AQ6&lt;&gt;".",AR6&lt;&gt;"."),1/((1/AO6)+(1/AP6)+(1/AQ6)+(1/AR6)),IF(AND(AO6&lt;&gt;".",AP6&lt;&gt;".",AQ6&lt;&gt;".",AR6="."), 1/((1/AO6)+(1/AP6)+(1/AQ6)),IF(AND(AO6&lt;&gt;".",AP6&lt;&gt;".",AQ6=".",AR6&lt;&gt;"."),1/((1/AO6)+(1/AP6)+(1/AR6)),IF(AND(AO6&lt;&gt;".",AP6=".",AQ6&lt;&gt;".",AR6&lt;&gt;"."),1/((1/AO6)+(1/AQ6)+(1/AR6)),IF(AND(AO6=".",AP6&lt;&gt;".",AQ6&lt;&gt;".",AR6&lt;&gt;"."),1/((1/AP6)+(1/AQ6)+(1/AR6)),IF(AND(AO6&lt;&gt;".",AP6&lt;&gt;".",AQ6=".",AR6="."),1/((1/AO6)+(1/AP6)),IF(AND(AO6&lt;&gt;".",AP6=".",AQ6&lt;&gt;".",AR6="."),1/((1/AO6)+(1/AQ6)),IF(AND(AO6&lt;&gt;".",AP6=".",AQ6=".",AR6&lt;&gt;"."),1/((1/AO6)+(1/AR6)),IF(AND(AO6=".",AP6=".",AQ6&lt;&gt;".",AR6&lt;&gt;"."),1/((1/AQ6)+(1/AR6)),IF(AND(AO6=".",AP6&lt;&gt;".",AQ6=".",AR6&lt;&gt;"."),1/((1/AP6)+(1/AR6)),IF(AND(AO6=".",AP6&lt;&gt;".",AQ6&lt;&gt;".",AR6="."),1/((1/AP6)+(1/AQ6)),IF(AND(AO6&lt;&gt;".",AP6=".",AQ6=".",AR6="."),1/((1/AO6)),IF(AND(AO6=".",AP6&lt;&gt;".",AQ6=".",AR6="."),1/((1/AP6)),IF(AND(AO6=".",AP6=".",AQ6&lt;&gt;".",AR6="."),1/((1/AQ6)),IF(AND(AO6=".",AP6=".",AQ6=".",AR6&lt;&gt;"."),1/((1/AR6)),IF(AND(AO6=".",AP6=".",AQ6=".",AR6="."),".")))))))))))))))))</f>
        <v>4007675.6937354691</v>
      </c>
      <c r="AT6" s="40">
        <f t="shared" si="4"/>
        <v>2500</v>
      </c>
      <c r="AU6" s="40">
        <f t="shared" si="5"/>
        <v>455.72916666666663</v>
      </c>
      <c r="AV6" s="40">
        <f t="shared" si="6"/>
        <v>0.22831050228310501</v>
      </c>
      <c r="AW6" s="40">
        <f>s_b2w!AB6</f>
        <v>689.60680489009087</v>
      </c>
      <c r="AX6" s="18"/>
      <c r="AY6" s="18"/>
      <c r="AZ6" s="18"/>
      <c r="BA6" s="18"/>
      <c r="BB6" s="18"/>
      <c r="BC6" s="15" t="str">
        <f>IFERROR(s_TR/(s_RadSpec!E6*s_EF_res*s_ED_res*s_IRF_res*0.001*s_CF_res_fish),".")</f>
        <v>.</v>
      </c>
      <c r="BD6" s="40">
        <f t="shared" si="7"/>
        <v>13750</v>
      </c>
      <c r="BE6" s="18"/>
    </row>
    <row r="7" spans="1:57" x14ac:dyDescent="0.25">
      <c r="A7" s="44" t="s">
        <v>17</v>
      </c>
      <c r="B7" s="42" t="s">
        <v>1074</v>
      </c>
      <c r="C7" s="15">
        <f>IFERROR(((s_TR/(s_RadSpec!D7*s_IFS_res_adj*(1/1000)))*1),".")</f>
        <v>7571.6562619490196</v>
      </c>
      <c r="D7" s="15">
        <f>IFERROR(IF(A7="H-3",(s_TR/((s_RadSpec!G7*s_IFA_res_adj*(1/17)*1000))*1),(s_TR/((s_RadSpec!G7*s_IFA_res_adj*(1/s_PEF_wind)*1000))*1)),".")</f>
        <v>3734334.171595701</v>
      </c>
      <c r="E7" s="15">
        <f>IFERROR((s_TR/(s_RadSpec!F7*s_EF_res*(1/365)*s_ED_res*s_RadSpec!Q7*((s_ET_res_o*(1/24)*s_RadSpec!V7)+(s_ET_res_i*(1/24)*s_RadSpec!AA7))))*1,".")</f>
        <v>101410.77181228435</v>
      </c>
      <c r="F7" s="15">
        <f>s_b2s!C7</f>
        <v>61.498860057129974</v>
      </c>
      <c r="G7" s="15">
        <f>s_dir!C7</f>
        <v>6.9801206164842524</v>
      </c>
      <c r="H7" s="15">
        <f t="shared" ref="H7:H9" si="13">(IF(AND(C7&lt;&gt;".",D7&lt;&gt;".",E7&lt;&gt;".",F7&lt;&gt;"."),1/((1/C7)+(1/D7)+(1/E7)+(1/F7)),IF(AND(C7&lt;&gt;".",D7&lt;&gt;".",E7&lt;&gt;".",F7="."), 1/((1/C7)+(1/D7)+(1/E7)),IF(AND(C7&lt;&gt;".",D7&lt;&gt;".",E7=".",F7&lt;&gt;"."),1/((1/C7)+(1/D7)+(1/F7)),IF(AND(C7&lt;&gt;".",D7=".",E7&lt;&gt;".",F7&lt;&gt;"."),1/((1/C7)+(1/E7)+(1/F7)),IF(AND(C7=".",D7&lt;&gt;".",E7&lt;&gt;".",F7&lt;&gt;"."),1/((1/D7)+(1/E7)+(1/F7)),IF(AND(C7&lt;&gt;".",D7&lt;&gt;".",E7=".",F7="."),1/((1/C7)+(1/D7)),IF(AND(C7&lt;&gt;".",D7=".",E7&lt;&gt;".",F7="."),1/((1/C7)+(1/E7)),IF(AND(C7&lt;&gt;".",D7=".",E7=".",F7&lt;&gt;"."),1/((1/C7)+(1/F7)),IF(AND(C7=".",D7=".",E7&lt;&gt;".",F7&lt;&gt;"."),1/((1/E7)+(1/F7)),IF(AND(C7=".",D7&lt;&gt;".",E7=".",F7&lt;&gt;"."),1/((1/D7)+(1/F7)),IF(AND(C7=".",D7&lt;&gt;".",E7&lt;&gt;".",F7="."),1/((1/D7)+(1/E7)),IF(AND(C7&lt;&gt;".",D7=".",E7=".",F7="."),1/((1/C7)),IF(AND(C7=".",D7&lt;&gt;".",E7=".",F7="."),1/((1/D7)),IF(AND(C7=".",D7=".",E7&lt;&gt;".",F7="."),1/((1/E7)),IF(AND(C7=".",D7=".",E7=".",F7&lt;&gt;"."),1/((1/F7)),IF(AND(C7=".",D7=".",E7=".",F7="."),".")))))))))))))))))</f>
        <v>60.965705911511051</v>
      </c>
      <c r="I7" s="40">
        <f t="shared" si="0"/>
        <v>27.5</v>
      </c>
      <c r="J7" s="40">
        <f t="shared" si="1"/>
        <v>2.9420495991003873E-3</v>
      </c>
      <c r="K7" s="40">
        <f>IFERROR((s_C*s_EF_res*(1/365)*s_ED_res*s_RadSpec!Q7*((s_ET_res_o*(1/24)*s_RadSpec!V7)+(s_ET_res_i*(1/24)*s_RadSpec!AA7))),".")</f>
        <v>1.7816889197156238E-2</v>
      </c>
      <c r="L7" s="40">
        <f>s_b2s!AB7</f>
        <v>6242.5</v>
      </c>
      <c r="M7" s="18"/>
      <c r="N7" s="18"/>
      <c r="O7" s="18"/>
      <c r="P7" s="18"/>
      <c r="Q7" s="18"/>
      <c r="R7" s="15">
        <f>IFERROR((s_TR/(s_RadSpec!F7*s_EF_res*(1/365)*s_ED_res*s_RadSpec!Q7*((s_ET_res_o*(1/24)*s_RadSpec!V7)+(s_ET_res_i*(1/24)*s_RadSpec!AA7))))*1,".")</f>
        <v>101410.77181228435</v>
      </c>
      <c r="S7" s="15">
        <f>IFERROR((s_TR/(s_RadSpec!M7*s_EF_res*(1/365)*s_ED_res*s_RadSpec!R7*((s_ET_res_o*(1/24)*s_RadSpec!W7)+(s_ET_res_i*(1/24)*s_RadSpec!AB7))))*1,".")</f>
        <v>467657.72791524208</v>
      </c>
      <c r="T7" s="15">
        <f>IFERROR((s_TR/(s_RadSpec!N7*s_EF_res*(1/365)*s_ED_res*s_RadSpec!S7*((s_ET_res_o*(1/24)*s_RadSpec!X7)+(s_ET_res_i*(1/24)*s_RadSpec!AC7))))*1,".")</f>
        <v>159162.24491971696</v>
      </c>
      <c r="U7" s="15">
        <f>IFERROR((s_TR/(s_RadSpec!O7*s_EF_res*(1/365)*s_ED_res*s_RadSpec!T7*((s_ET_res_o*(1/24)*s_RadSpec!Y7)+(s_ET_res_i*(1/24)*s_RadSpec!AD7))))*1,".")</f>
        <v>112038.32099193231</v>
      </c>
      <c r="V7" s="15">
        <f>IFERROR((s_TR/(s_RadSpec!K7*s_EF_res*(1/365)*s_ED_res*s_RadSpec!P7*((s_ET_res_o*(1/24)*s_RadSpec!U7)+(s_ET_res_i*(1/24)*s_RadSpec!Z7))))*1,".")</f>
        <v>158433.87264276639</v>
      </c>
      <c r="W7" s="40">
        <f>IFERROR((s_C*s_EF_res*(1/365)*s_ED_res*s_RadSpec!Q7*((s_ET_res_o*(1/24)*s_RadSpec!V7)+(s_ET_res_i*(1/24)*s_RadSpec!AA7))),".")</f>
        <v>1.7816889197156238E-2</v>
      </c>
      <c r="X7" s="40">
        <f>IFERROR((s_C*s_EF_res*(1/365)*s_ED_res*s_RadSpec!R7*((s_ET_res_o*(1/24)*s_RadSpec!W7)+(s_ET_res_i*(1/24)*s_RadSpec!AB7))),".")</f>
        <v>1.119941440970406E-2</v>
      </c>
      <c r="Y7" s="40">
        <f>IFERROR((s_C*s_EF_res*(1/365)*s_ED_res*s_RadSpec!S7*((s_ET_res_o*(1/24)*s_RadSpec!X7)+(s_ET_res_i*(1/24)*s_RadSpec!AC7))),".")</f>
        <v>1.5286624203821653E-2</v>
      </c>
      <c r="Z7" s="40">
        <f>IFERROR((s_C*s_EF_res*(1/365)*s_ED_res*s_RadSpec!T7*((s_ET_res_o*(1/24)*s_RadSpec!Y7)+(s_ET_res_i*(1/24)*s_RadSpec!AD7))),".")</f>
        <v>1.6617660624509943E-2</v>
      </c>
      <c r="AA7" s="40">
        <f>IFERROR((s_C*s_EF_res*(1/365)*s_ED_res*s_RadSpec!P7*((s_ET_res_o*(1/24)*s_RadSpec!U7)+(s_ET_res_i*(1/24)*s_RadSpec!Z7))),".")</f>
        <v>6.5443455654434568E-3</v>
      </c>
      <c r="AB7" s="18"/>
      <c r="AC7" s="18"/>
      <c r="AD7" s="18"/>
      <c r="AE7" s="18"/>
      <c r="AF7" s="18"/>
      <c r="AG7" s="15">
        <f>IFERROR((s_TR/(s_RadSpec!G7*s_IFA_res_adj)),".")</f>
        <v>12.053865712402297</v>
      </c>
      <c r="AH7" s="15">
        <f>IFERROR((s_TR/(s_RadSpec!J7*s_EF_res*(1/365)*s_ED_res*s_ET_res*(1/24)*s_GSF_a)),".")</f>
        <v>1656152.0747622075</v>
      </c>
      <c r="AI7" s="15">
        <f t="shared" si="12"/>
        <v>12.053777982161012</v>
      </c>
      <c r="AJ7" s="40">
        <f t="shared" si="2"/>
        <v>911.45833333333326</v>
      </c>
      <c r="AK7" s="40">
        <f t="shared" si="3"/>
        <v>0.57077625570776247</v>
      </c>
      <c r="AL7" s="18"/>
      <c r="AM7" s="18"/>
      <c r="AN7" s="18"/>
      <c r="AO7" s="15">
        <f>IFERROR((s_TR/(s_RadSpec!H7*s_IFW_res_adj)),".")</f>
        <v>224.290680722216</v>
      </c>
      <c r="AP7" s="15" t="str">
        <f>IFERROR(IF(s_RadSpec!C7=1,(s_TR/(s_RadSpec!G7*s_IFA_res_adj*s_K)),"."),".")</f>
        <v>.</v>
      </c>
      <c r="AQ7" s="15">
        <f>IFERROR((s_TR/(s_RadSpec!L7*(1/8760)*s_DFA_res_adj)),".")</f>
        <v>2799391380.1017914</v>
      </c>
      <c r="AR7" s="15">
        <f>s_b2w!C7</f>
        <v>221.12164775828299</v>
      </c>
      <c r="AS7" s="15">
        <f>(IF(AND(AO7&lt;&gt;".",AP7&lt;&gt;".",AQ7&lt;&gt;".",AR7&lt;&gt;"."),1/((1/AO7)+(1/AP7)+(1/AQ7)+(1/AR7)),IF(AND(AO7&lt;&gt;".",AP7&lt;&gt;".",AQ7&lt;&gt;".",AR7="."), 1/((1/AO7)+(1/AP7)+(1/AQ7)),IF(AND(AO7&lt;&gt;".",AP7&lt;&gt;".",AQ7=".",AR7&lt;&gt;"."),1/((1/AO7)+(1/AP7)+(1/AR7)),IF(AND(AO7&lt;&gt;".",AP7=".",AQ7&lt;&gt;".",AR7&lt;&gt;"."),1/((1/AO7)+(1/AQ7)+(1/AR7)),IF(AND(AO7=".",AP7&lt;&gt;".",AQ7&lt;&gt;".",AR7&lt;&gt;"."),1/((1/AP7)+(1/AQ7)+(1/AR7)),IF(AND(AO7&lt;&gt;".",AP7&lt;&gt;".",AQ7=".",AR7="."),1/((1/AO7)+(1/AP7)),IF(AND(AO7&lt;&gt;".",AP7=".",AQ7&lt;&gt;".",AR7="."),1/((1/AO7)+(1/AQ7)),IF(AND(AO7&lt;&gt;".",AP7=".",AQ7=".",AR7&lt;&gt;"."),1/((1/AO7)+(1/AR7)),IF(AND(AO7=".",AP7=".",AQ7&lt;&gt;".",AR7&lt;&gt;"."),1/((1/AQ7)+(1/AR7)),IF(AND(AO7=".",AP7&lt;&gt;".",AQ7=".",AR7&lt;&gt;"."),1/((1/AP7)+(1/AR7)),IF(AND(AO7=".",AP7&lt;&gt;".",AQ7&lt;&gt;".",AR7="."),1/((1/AP7)+(1/AQ7)),IF(AND(AO7&lt;&gt;".",AP7=".",AQ7=".",AR7="."),1/((1/AO7)),IF(AND(AO7=".",AP7&lt;&gt;".",AQ7=".",AR7="."),1/((1/AP7)),IF(AND(AO7=".",AP7=".",AQ7&lt;&gt;".",AR7="."),1/((1/AQ7)),IF(AND(AO7=".",AP7=".",AQ7=".",AR7&lt;&gt;"."),1/((1/AR7)),IF(AND(AO7=".",AP7=".",AQ7=".",AR7="."),".")))))))))))))))))</f>
        <v>111.34744090857274</v>
      </c>
      <c r="AT7" s="40">
        <f t="shared" si="4"/>
        <v>2500</v>
      </c>
      <c r="AU7" s="40">
        <f t="shared" si="5"/>
        <v>455.72916666666663</v>
      </c>
      <c r="AV7" s="40">
        <f t="shared" si="6"/>
        <v>0.22831050228310501</v>
      </c>
      <c r="AW7" s="40">
        <f>s_b2w!AB7</f>
        <v>1736.1784239519495</v>
      </c>
      <c r="AX7" s="18"/>
      <c r="AY7" s="18"/>
      <c r="AZ7" s="18"/>
      <c r="BA7" s="18"/>
      <c r="BB7" s="18"/>
      <c r="BC7" s="15">
        <f>IFERROR(s_TR/(s_RadSpec!E7*s_EF_res*s_ED_res*s_IRF_res*0.001*s_CF_res_fish),".")</f>
        <v>27.92048246593701</v>
      </c>
      <c r="BD7" s="40">
        <f t="shared" si="7"/>
        <v>13750</v>
      </c>
      <c r="BE7" s="18"/>
    </row>
    <row r="8" spans="1:57" x14ac:dyDescent="0.25">
      <c r="A8" s="44" t="s">
        <v>18</v>
      </c>
      <c r="B8" s="42" t="s">
        <v>1074</v>
      </c>
      <c r="C8" s="15">
        <f>IFERROR(((s_TR/(s_RadSpec!D8*s_IFS_res_adj*(1/1000)))*1),".")</f>
        <v>152608.84826102218</v>
      </c>
      <c r="D8" s="15">
        <f>IFERROR(IF(A8="H-3",(s_TR/((s_RadSpec!G8*s_IFA_res_adj*(1/17)*1000))*1),(s_TR/((s_RadSpec!G8*s_IFA_res_adj*(1/s_PEF_wind)*1000))*1)),".")</f>
        <v>22966155.155313563</v>
      </c>
      <c r="E8" s="15">
        <f>IFERROR((s_TR/(s_RadSpec!F8*s_EF_res*(1/365)*s_ED_res*s_RadSpec!Q8*((s_ET_res_o*(1/24)*s_RadSpec!V8)+(s_ET_res_i*(1/24)*s_RadSpec!AA8))))*1,".")</f>
        <v>297.12940449010085</v>
      </c>
      <c r="F8" s="15">
        <f>s_b2s!C8</f>
        <v>1115.8556051602964</v>
      </c>
      <c r="G8" s="15">
        <f>s_dir!C8</f>
        <v>126.64961118569364</v>
      </c>
      <c r="H8" s="15">
        <f t="shared" si="13"/>
        <v>234.28495439780812</v>
      </c>
      <c r="I8" s="40">
        <f t="shared" si="0"/>
        <v>27.5</v>
      </c>
      <c r="J8" s="40">
        <f t="shared" si="1"/>
        <v>2.9420495991003873E-3</v>
      </c>
      <c r="K8" s="40">
        <f>IFERROR((s_C*s_EF_res*(1/365)*s_ED_res*s_RadSpec!Q8*((s_ET_res_o*(1/24)*s_RadSpec!V8)+(s_ET_res_i*(1/24)*s_RadSpec!AA8))),".")</f>
        <v>3.0993150684931491E-2</v>
      </c>
      <c r="L8" s="40">
        <f>s_b2s!AB8</f>
        <v>6242.5</v>
      </c>
      <c r="M8" s="18"/>
      <c r="N8" s="18"/>
      <c r="O8" s="18"/>
      <c r="P8" s="18"/>
      <c r="Q8" s="18"/>
      <c r="R8" s="15">
        <f>IFERROR((s_TR/(s_RadSpec!F8*s_EF_res*(1/365)*s_ED_res*s_RadSpec!Q8*((s_ET_res_o*(1/24)*s_RadSpec!V8)+(s_ET_res_i*(1/24)*s_RadSpec!AA8))))*1,".")</f>
        <v>297.12940449010085</v>
      </c>
      <c r="S8" s="15">
        <f>IFERROR((s_TR/(s_RadSpec!M8*s_EF_res*(1/365)*s_ED_res*s_RadSpec!R8*((s_ET_res_o*(1/24)*s_RadSpec!W8)+(s_ET_res_i*(1/24)*s_RadSpec!AB8))))*1,".")</f>
        <v>2516.1684544847435</v>
      </c>
      <c r="T8" s="15">
        <f>IFERROR((s_TR/(s_RadSpec!N8*s_EF_res*(1/365)*s_ED_res*s_RadSpec!S8*((s_ET_res_o*(1/24)*s_RadSpec!X8)+(s_ET_res_i*(1/24)*s_RadSpec!AC8))))*1,".")</f>
        <v>657.40815378750835</v>
      </c>
      <c r="U8" s="15">
        <f>IFERROR((s_TR/(s_RadSpec!O8*s_EF_res*(1/365)*s_ED_res*s_RadSpec!T8*((s_ET_res_o*(1/24)*s_RadSpec!Y8)+(s_ET_res_i*(1/24)*s_RadSpec!AD8))))*1,".")</f>
        <v>398.43062054152466</v>
      </c>
      <c r="V8" s="15">
        <f>IFERROR((s_TR/(s_RadSpec!K8*s_EF_res*(1/365)*s_ED_res*s_RadSpec!P8*((s_ET_res_o*(1/24)*s_RadSpec!U8)+(s_ET_res_i*(1/24)*s_RadSpec!Z8))))*1,".")</f>
        <v>4562.5926709419518</v>
      </c>
      <c r="W8" s="40">
        <f>IFERROR((s_C*s_EF_res*(1/365)*s_ED_res*s_RadSpec!Q8*((s_ET_res_o*(1/24)*s_RadSpec!V8)+(s_ET_res_i*(1/24)*s_RadSpec!AA8))),".")</f>
        <v>3.0993150684931491E-2</v>
      </c>
      <c r="X8" s="40">
        <f>IFERROR((s_C*s_EF_res*(1/365)*s_ED_res*s_RadSpec!R8*((s_ET_res_o*(1/24)*s_RadSpec!W8)+(s_ET_res_i*(1/24)*s_RadSpec!AB8))),".")</f>
        <v>1.6883561643835619E-2</v>
      </c>
      <c r="Y8" s="40">
        <f>IFERROR((s_C*s_EF_res*(1/365)*s_ED_res*s_RadSpec!S8*((s_ET_res_o*(1/24)*s_RadSpec!X8)+(s_ET_res_i*(1/24)*s_RadSpec!AC8))),".")</f>
        <v>2.3131115459882577E-2</v>
      </c>
      <c r="Z8" s="40">
        <f>IFERROR((s_C*s_EF_res*(1/365)*s_ED_res*s_RadSpec!T8*((s_ET_res_o*(1/24)*s_RadSpec!Y8)+(s_ET_res_i*(1/24)*s_RadSpec!AD8))),".")</f>
        <v>2.5229114412502401E-2</v>
      </c>
      <c r="AA8" s="40">
        <f>IFERROR((s_C*s_EF_res*(1/365)*s_ED_res*s_RadSpec!P8*((s_ET_res_o*(1/24)*s_RadSpec!U8)+(s_ET_res_i*(1/24)*s_RadSpec!Z8))),".")</f>
        <v>9.1120352250489232E-3</v>
      </c>
      <c r="AB8" s="18"/>
      <c r="AC8" s="18"/>
      <c r="AD8" s="18"/>
      <c r="AE8" s="18"/>
      <c r="AF8" s="18"/>
      <c r="AG8" s="15">
        <f>IFERROR((s_TR/(s_RadSpec!G8*s_IFA_res_adj)),".")</f>
        <v>74.131274131274125</v>
      </c>
      <c r="AH8" s="15">
        <f>IFERROR((s_TR/(s_RadSpec!J8*s_EF_res*(1/365)*s_ED_res*s_ET_res*(1/24)*s_GSF_a)),".")</f>
        <v>16452.563374282454</v>
      </c>
      <c r="AI8" s="15">
        <f t="shared" si="12"/>
        <v>73.79875477872146</v>
      </c>
      <c r="AJ8" s="40">
        <f t="shared" si="2"/>
        <v>911.45833333333326</v>
      </c>
      <c r="AK8" s="40">
        <f t="shared" si="3"/>
        <v>0.57077625570776247</v>
      </c>
      <c r="AL8" s="18"/>
      <c r="AM8" s="18"/>
      <c r="AN8" s="18"/>
      <c r="AO8" s="15">
        <f>IFERROR((s_TR/(s_RadSpec!H8*s_IFW_res_adj)),".")</f>
        <v>3945.5513908068651</v>
      </c>
      <c r="AP8" s="15" t="str">
        <f>IFERROR(IF(s_RadSpec!C8=1,(s_TR/(s_RadSpec!G8*s_IFA_res_adj*s_K)),"."),".")</f>
        <v>.</v>
      </c>
      <c r="AQ8" s="15">
        <f>IFERROR((s_TR/(s_RadSpec!L8*(1/8760)*s_DFA_res_adj)),".")</f>
        <v>18945376.006749496</v>
      </c>
      <c r="AR8" s="15">
        <f>s_b2w!C8</f>
        <v>4012.1041242740002</v>
      </c>
      <c r="AS8" s="15">
        <f t="shared" ref="AS8:AS9" si="14">(IF(AND(AO8&lt;&gt;".",AP8&lt;&gt;".",AQ8&lt;&gt;".",AR8&lt;&gt;"."),1/((1/AO8)+(1/AP8)+(1/AQ8)+(1/AR8)),IF(AND(AO8&lt;&gt;".",AP8&lt;&gt;".",AQ8&lt;&gt;".",AR8="."), 1/((1/AO8)+(1/AP8)+(1/AQ8)),IF(AND(AO8&lt;&gt;".",AP8&lt;&gt;".",AQ8=".",AR8&lt;&gt;"."),1/((1/AO8)+(1/AP8)+(1/AR8)),IF(AND(AO8&lt;&gt;".",AP8=".",AQ8&lt;&gt;".",AR8&lt;&gt;"."),1/((1/AO8)+(1/AQ8)+(1/AR8)),IF(AND(AO8=".",AP8&lt;&gt;".",AQ8&lt;&gt;".",AR8&lt;&gt;"."),1/((1/AP8)+(1/AQ8)+(1/AR8)),IF(AND(AO8&lt;&gt;".",AP8&lt;&gt;".",AQ8=".",AR8="."),1/((1/AO8)+(1/AP8)),IF(AND(AO8&lt;&gt;".",AP8=".",AQ8&lt;&gt;".",AR8="."),1/((1/AO8)+(1/AQ8)),IF(AND(AO8&lt;&gt;".",AP8=".",AQ8=".",AR8&lt;&gt;"."),1/((1/AO8)+(1/AR8)),IF(AND(AO8=".",AP8=".",AQ8&lt;&gt;".",AR8&lt;&gt;"."),1/((1/AQ8)+(1/AR8)),IF(AND(AO8=".",AP8&lt;&gt;".",AQ8=".",AR8&lt;&gt;"."),1/((1/AP8)+(1/AR8)),IF(AND(AO8=".",AP8&lt;&gt;".",AQ8&lt;&gt;".",AR8="."),1/((1/AP8)+(1/AQ8)),IF(AND(AO8&lt;&gt;".",AP8=".",AQ8=".",AR8="."),1/((1/AO8)),IF(AND(AO8=".",AP8&lt;&gt;".",AQ8=".",AR8="."),1/((1/AP8)),IF(AND(AO8=".",AP8=".",AQ8&lt;&gt;".",AR8="."),1/((1/AQ8)),IF(AND(AO8=".",AP8=".",AQ8=".",AR8&lt;&gt;"."),1/((1/AR8)),IF(AND(AO8=".",AP8=".",AQ8=".",AR8="."),".")))))))))))))))))</f>
        <v>1989.0658746694301</v>
      </c>
      <c r="AT8" s="40">
        <f t="shared" si="4"/>
        <v>2500</v>
      </c>
      <c r="AU8" s="40">
        <f t="shared" si="5"/>
        <v>455.72916666666663</v>
      </c>
      <c r="AV8" s="40">
        <f t="shared" si="6"/>
        <v>0.22831050228310501</v>
      </c>
      <c r="AW8" s="40">
        <f>s_b2w!AB8</f>
        <v>1736.1784239519495</v>
      </c>
      <c r="AX8" s="18"/>
      <c r="AY8" s="18"/>
      <c r="AZ8" s="18"/>
      <c r="BA8" s="18"/>
      <c r="BB8" s="18"/>
      <c r="BC8" s="15">
        <f>IFERROR(s_TR/(s_RadSpec!E8*s_EF_res*s_ED_res*s_IRF_res*0.001*s_CF_res_fish),".")</f>
        <v>506.59844474277446</v>
      </c>
      <c r="BD8" s="40">
        <f t="shared" si="7"/>
        <v>13750</v>
      </c>
      <c r="BE8" s="18"/>
    </row>
    <row r="9" spans="1:57" x14ac:dyDescent="0.25">
      <c r="A9" s="44" t="s">
        <v>19</v>
      </c>
      <c r="B9" s="42" t="s">
        <v>1074</v>
      </c>
      <c r="C9" s="15">
        <f>IFERROR(((s_TR/(s_RadSpec!D9*s_IFS_res_adj*(1/1000)))*1),".")</f>
        <v>450826.13889953331</v>
      </c>
      <c r="D9" s="15">
        <f>IFERROR(IF(A9="H-3",(s_TR/((s_RadSpec!G9*s_IFA_res_adj*(1/17)*1000))*1),(s_TR/((s_RadSpec!G9*s_IFA_res_adj*(1/s_PEF_wind)*1000))*1)),".")</f>
        <v>27499926.885003295</v>
      </c>
      <c r="E9" s="15">
        <f>IFERROR((s_TR/(s_RadSpec!F9*s_EF_res*(1/365)*s_ED_res*s_RadSpec!Q9*((s_ET_res_o*(1/24)*s_RadSpec!V9)+(s_ET_res_i*(1/24)*s_RadSpec!AA9))))*1,".")</f>
        <v>10.817916624912764</v>
      </c>
      <c r="F9" s="15">
        <f>s_b2s!C9</f>
        <v>3019.1908982021969</v>
      </c>
      <c r="G9" s="15">
        <f>s_dir!C9</f>
        <v>342.67816694594933</v>
      </c>
      <c r="H9" s="15">
        <f t="shared" si="13"/>
        <v>10.779031906606297</v>
      </c>
      <c r="I9" s="40">
        <f t="shared" si="0"/>
        <v>27.5</v>
      </c>
      <c r="J9" s="40">
        <f t="shared" si="1"/>
        <v>2.9420495991003873E-3</v>
      </c>
      <c r="K9" s="40">
        <f>IFERROR((s_C*s_EF_res*(1/365)*s_ED_res*s_RadSpec!Q9*((s_ET_res_o*(1/24)*s_RadSpec!V9)+(s_ET_res_i*(1/24)*s_RadSpec!AA9))),".")</f>
        <v>6.2931783190557047E-2</v>
      </c>
      <c r="L9" s="40">
        <f>s_b2s!AB9</f>
        <v>6242.5</v>
      </c>
      <c r="M9" s="18"/>
      <c r="N9" s="18"/>
      <c r="O9" s="18"/>
      <c r="P9" s="18"/>
      <c r="Q9" s="18"/>
      <c r="R9" s="15">
        <f>IFERROR((s_TR/(s_RadSpec!F9*s_EF_res*(1/365)*s_ED_res*s_RadSpec!Q9*((s_ET_res_o*(1/24)*s_RadSpec!V9)+(s_ET_res_i*(1/24)*s_RadSpec!AA9))))*1,".")</f>
        <v>10.817916624912764</v>
      </c>
      <c r="S9" s="15">
        <f>IFERROR((s_TR/(s_RadSpec!M9*s_EF_res*(1/365)*s_ED_res*s_RadSpec!R9*((s_ET_res_o*(1/24)*s_RadSpec!W9)+(s_ET_res_i*(1/24)*s_RadSpec!AB9))))*1,".")</f>
        <v>122.68214986765055</v>
      </c>
      <c r="T9" s="15">
        <f>IFERROR((s_TR/(s_RadSpec!N9*s_EF_res*(1/365)*s_ED_res*s_RadSpec!S9*((s_ET_res_o*(1/24)*s_RadSpec!X9)+(s_ET_res_i*(1/24)*s_RadSpec!AC9))))*1,".")</f>
        <v>30.043288505800412</v>
      </c>
      <c r="U9" s="15">
        <f>IFERROR((s_TR/(s_RadSpec!O9*s_EF_res*(1/365)*s_ED_res*s_RadSpec!T9*((s_ET_res_o*(1/24)*s_RadSpec!Y9)+(s_ET_res_i*(1/24)*s_RadSpec!AD9))))*1,".")</f>
        <v>15.367605379365878</v>
      </c>
      <c r="V9" s="15">
        <f>IFERROR((s_TR/(s_RadSpec!K9*s_EF_res*(1/365)*s_ED_res*s_RadSpec!P9*((s_ET_res_o*(1/24)*s_RadSpec!U9)+(s_ET_res_i*(1/24)*s_RadSpec!Z9))))*1,".")</f>
        <v>224.41615493729998</v>
      </c>
      <c r="W9" s="40">
        <f>IFERROR((s_C*s_EF_res*(1/365)*s_ED_res*s_RadSpec!Q9*((s_ET_res_o*(1/24)*s_RadSpec!V9)+(s_ET_res_i*(1/24)*s_RadSpec!AA9))),".")</f>
        <v>6.2931783190557047E-2</v>
      </c>
      <c r="X9" s="40">
        <f>IFERROR((s_C*s_EF_res*(1/365)*s_ED_res*s_RadSpec!R9*((s_ET_res_o*(1/24)*s_RadSpec!W9)+(s_ET_res_i*(1/24)*s_RadSpec!AB9))),".")</f>
        <v>3.0725899372679537E-2</v>
      </c>
      <c r="Y9" s="40">
        <f>IFERROR((s_C*s_EF_res*(1/365)*s_ED_res*s_RadSpec!S9*((s_ET_res_o*(1/24)*s_RadSpec!X9)+(s_ET_res_i*(1/24)*s_RadSpec!AC9))),".")</f>
        <v>4.3668341178208801E-2</v>
      </c>
      <c r="Z9" s="40">
        <f>IFERROR((s_C*s_EF_res*(1/365)*s_ED_res*s_RadSpec!T9*((s_ET_res_o*(1/24)*s_RadSpec!Y9)+(s_ET_res_i*(1/24)*s_RadSpec!AD9))),".")</f>
        <v>5.2975171232876705E-2</v>
      </c>
      <c r="AA9" s="40">
        <f>IFERROR((s_C*s_EF_res*(1/365)*s_ED_res*s_RadSpec!P9*((s_ET_res_o*(1/24)*s_RadSpec!U9)+(s_ET_res_i*(1/24)*s_RadSpec!Z9))),".")</f>
        <v>1.7346725693284323E-2</v>
      </c>
      <c r="AB9" s="18"/>
      <c r="AC9" s="18"/>
      <c r="AD9" s="18"/>
      <c r="AE9" s="18"/>
      <c r="AF9" s="18"/>
      <c r="AG9" s="15">
        <f>IFERROR((s_TR/(s_RadSpec!G9*s_IFA_res_adj)),".")</f>
        <v>88.765603328710128</v>
      </c>
      <c r="AH9" s="15">
        <f>IFERROR((s_TR/(s_RadSpec!J9*s_EF_res*(1/365)*s_ED_res*s_ET_res*(1/24)*s_GSF_a)),".")</f>
        <v>1309.3139439219547</v>
      </c>
      <c r="AI9" s="15">
        <f t="shared" si="12"/>
        <v>83.129777849534292</v>
      </c>
      <c r="AJ9" s="40">
        <f t="shared" si="2"/>
        <v>911.45833333333326</v>
      </c>
      <c r="AK9" s="40">
        <f t="shared" si="3"/>
        <v>0.57077625570776247</v>
      </c>
      <c r="AL9" s="18"/>
      <c r="AM9" s="18"/>
      <c r="AN9" s="18"/>
      <c r="AO9" s="15">
        <f>IFERROR((s_TR/(s_RadSpec!H9*s_IFW_res_adj)),".")</f>
        <v>10415.039316773422</v>
      </c>
      <c r="AP9" s="15" t="str">
        <f>IFERROR(IF(s_RadSpec!C9=1,(s_TR/(s_RadSpec!G9*s_IFA_res_adj*s_K)),"."),".")</f>
        <v>.</v>
      </c>
      <c r="AQ9" s="15">
        <f>IFERROR((s_TR/(s_RadSpec!L9*(1/8760)*s_DFA_res_adj)),".")</f>
        <v>1512574.3747324194</v>
      </c>
      <c r="AR9" s="15">
        <f>s_b2w!C9</f>
        <v>10855.623432484743</v>
      </c>
      <c r="AS9" s="15">
        <f t="shared" si="14"/>
        <v>5296.7706623969643</v>
      </c>
      <c r="AT9" s="40">
        <f t="shared" si="4"/>
        <v>2500</v>
      </c>
      <c r="AU9" s="40">
        <f t="shared" si="5"/>
        <v>455.72916666666663</v>
      </c>
      <c r="AV9" s="40">
        <f t="shared" si="6"/>
        <v>0.22831050228310501</v>
      </c>
      <c r="AW9" s="40">
        <f>s_b2w!AB9</f>
        <v>1736.1784239519495</v>
      </c>
      <c r="AX9" s="18"/>
      <c r="AY9" s="18"/>
      <c r="AZ9" s="18"/>
      <c r="BA9" s="18"/>
      <c r="BB9" s="18"/>
      <c r="BC9" s="15">
        <f>IFERROR(s_TR/(s_RadSpec!E9*s_EF_res*s_ED_res*s_IRF_res*0.001*s_CF_res_fish),".")</f>
        <v>1370.7126677837971</v>
      </c>
      <c r="BD9" s="40">
        <f t="shared" si="7"/>
        <v>13750</v>
      </c>
      <c r="BE9" s="18"/>
    </row>
    <row r="10" spans="1:57" x14ac:dyDescent="0.25">
      <c r="A10" s="46" t="s">
        <v>20</v>
      </c>
      <c r="B10" s="42" t="s">
        <v>351</v>
      </c>
      <c r="C10" s="15">
        <f>IFERROR(((s_TR/(s_RadSpec!D10*s_IFS_res_adj*(1/1000)))*1),".")</f>
        <v>4273.0477513086207</v>
      </c>
      <c r="D10" s="15">
        <f>IFERROR(IF(A10="H-3",(s_TR/((s_RadSpec!G10*s_IFA_res_adj*(1/17)*1000))*1),(s_TR/((s_RadSpec!G10*s_IFA_res_adj*(1/s_PEF_wind)*1000))*1)),".")</f>
        <v>15109312.602179976</v>
      </c>
      <c r="E10" s="15">
        <f>IFERROR((s_TR/(s_RadSpec!F10*s_EF_res*(1/365)*s_ED_res*s_RadSpec!Q10*((s_ET_res_o*(1/24)*s_RadSpec!V10)+(s_ET_res_i*(1/24)*s_RadSpec!AA10))))*1,".")</f>
        <v>275263.93489319307</v>
      </c>
      <c r="F10" s="15">
        <f>s_b2s!C10</f>
        <v>65.075254464052222</v>
      </c>
      <c r="G10" s="15">
        <f>s_dir!C10</f>
        <v>2.4326757000024322</v>
      </c>
      <c r="H10" s="15">
        <f t="shared" ref="H10" si="15">(IF(AND(C10&lt;&gt;".",D10&lt;&gt;".",E10&lt;&gt;".",F10&lt;&gt;"."),1/((1/C10)+(1/D10)+(1/E10)+(1/F10)),IF(AND(C10&lt;&gt;".",D10&lt;&gt;".",E10&lt;&gt;".",F10="."), 1/((1/C10)+(1/D10)+(1/E10)),IF(AND(C10&lt;&gt;".",D10&lt;&gt;".",E10=".",F10&lt;&gt;"."),1/((1/C10)+(1/D10)+(1/F10)),IF(AND(C10&lt;&gt;".",D10=".",E10&lt;&gt;".",F10&lt;&gt;"."),1/((1/C10)+(1/E10)+(1/F10)),IF(AND(C10=".",D10&lt;&gt;".",E10&lt;&gt;".",F10&lt;&gt;"."),1/((1/D10)+(1/E10)+(1/F10)),IF(AND(C10&lt;&gt;".",D10&lt;&gt;".",E10=".",F10="."),1/((1/C10)+(1/D10)),IF(AND(C10&lt;&gt;".",D10=".",E10&lt;&gt;".",F10="."),1/((1/C10)+(1/E10)),IF(AND(C10&lt;&gt;".",D10=".",E10=".",F10&lt;&gt;"."),1/((1/C10)+(1/F10)),IF(AND(C10=".",D10=".",E10&lt;&gt;".",F10&lt;&gt;"."),1/((1/E10)+(1/F10)),IF(AND(C10=".",D10&lt;&gt;".",E10=".",F10&lt;&gt;"."),1/((1/D10)+(1/F10)),IF(AND(C10=".",D10&lt;&gt;".",E10&lt;&gt;".",F10="."),1/((1/D10)+(1/E10)),IF(AND(C10&lt;&gt;".",D10=".",E10=".",F10="."),1/((1/C10)),IF(AND(C10=".",D10&lt;&gt;".",E10=".",F10="."),1/((1/D10)),IF(AND(C10=".",D10=".",E10&lt;&gt;".",F10="."),1/((1/E10)),IF(AND(C10=".",D10=".",E10=".",F10&lt;&gt;"."),1/((1/F10)),IF(AND(C10=".",D10=".",E10=".",F10="."),".")))))))))))))))))</f>
        <v>64.083879805408031</v>
      </c>
      <c r="I10" s="40">
        <f t="shared" si="0"/>
        <v>27.5</v>
      </c>
      <c r="J10" s="40">
        <f t="shared" si="1"/>
        <v>2.9420495991003873E-3</v>
      </c>
      <c r="K10" s="40">
        <f>IFERROR((s_C*s_EF_res*(1/365)*s_ED_res*s_RadSpec!Q10*((s_ET_res_o*(1/24)*s_RadSpec!V10)+(s_ET_res_i*(1/24)*s_RadSpec!AA10))),".")</f>
        <v>3.2889241563648509E-2</v>
      </c>
      <c r="L10" s="40">
        <f>s_b2s!AB10</f>
        <v>2056.0374999999999</v>
      </c>
      <c r="M10" s="18"/>
      <c r="N10" s="18"/>
      <c r="O10" s="18"/>
      <c r="P10" s="18"/>
      <c r="Q10" s="18"/>
      <c r="R10" s="15">
        <f>IFERROR((s_TR/(s_RadSpec!F10*s_EF_res*(1/365)*s_ED_res*s_RadSpec!Q10*((s_ET_res_o*(1/24)*s_RadSpec!V10)+(s_ET_res_i*(1/24)*s_RadSpec!AA10))))*1,".")</f>
        <v>275263.93489319307</v>
      </c>
      <c r="S10" s="15">
        <f>IFERROR((s_TR/(s_RadSpec!M10*s_EF_res*(1/365)*s_ED_res*s_RadSpec!R10*((s_ET_res_o*(1/24)*s_RadSpec!W10)+(s_ET_res_i*(1/24)*s_RadSpec!AB10))))*1,".")</f>
        <v>1231103.9527681773</v>
      </c>
      <c r="T10" s="15">
        <f>IFERROR((s_TR/(s_RadSpec!N10*s_EF_res*(1/365)*s_ED_res*s_RadSpec!S10*((s_ET_res_o*(1/24)*s_RadSpec!X10)+(s_ET_res_i*(1/24)*s_RadSpec!AC10))))*1,".")</f>
        <v>398918.23028436652</v>
      </c>
      <c r="U10" s="15">
        <f>IFERROR((s_TR/(s_RadSpec!O10*s_EF_res*(1/365)*s_ED_res*s_RadSpec!T10*((s_ET_res_o*(1/24)*s_RadSpec!Y10)+(s_ET_res_i*(1/24)*s_RadSpec!AD10))))*1,".")</f>
        <v>285595.22467821313</v>
      </c>
      <c r="V10" s="15">
        <f>IFERROR((s_TR/(s_RadSpec!K10*s_EF_res*(1/365)*s_ED_res*s_RadSpec!P10*((s_ET_res_o*(1/24)*s_RadSpec!U10)+(s_ET_res_i*(1/24)*s_RadSpec!Z10))))*1,".")</f>
        <v>719553.16499331268</v>
      </c>
      <c r="W10" s="40">
        <f>IFERROR((s_C*s_EF_res*(1/365)*s_ED_res*s_RadSpec!Q10*((s_ET_res_o*(1/24)*s_RadSpec!V10)+(s_ET_res_i*(1/24)*s_RadSpec!AA10))),".")</f>
        <v>3.2889241563648509E-2</v>
      </c>
      <c r="X10" s="40">
        <f>IFERROR((s_C*s_EF_res*(1/365)*s_ED_res*s_RadSpec!R10*((s_ET_res_o*(1/24)*s_RadSpec!W10)+(s_ET_res_i*(1/24)*s_RadSpec!AB10))),".")</f>
        <v>2.1106313281715312E-2</v>
      </c>
      <c r="Y10" s="40">
        <f>IFERROR((s_C*s_EF_res*(1/365)*s_ED_res*s_RadSpec!S10*((s_ET_res_o*(1/24)*s_RadSpec!X10)+(s_ET_res_i*(1/24)*s_RadSpec!AC10))),".")</f>
        <v>2.9555246756236733E-2</v>
      </c>
      <c r="Z10" s="40">
        <f>IFERROR((s_C*s_EF_res*(1/365)*s_ED_res*s_RadSpec!T10*((s_ET_res_o*(1/24)*s_RadSpec!Y10)+(s_ET_res_i*(1/24)*s_RadSpec!AD10))),".")</f>
        <v>3.2314347512617157E-2</v>
      </c>
      <c r="AA10" s="40">
        <f>IFERROR((s_C*s_EF_res*(1/365)*s_ED_res*s_RadSpec!P10*((s_ET_res_o*(1/24)*s_RadSpec!U10)+(s_ET_res_i*(1/24)*s_RadSpec!Z10))),".")</f>
        <v>1.2555184055054206E-2</v>
      </c>
      <c r="AB10" s="18"/>
      <c r="AC10" s="18"/>
      <c r="AD10" s="18"/>
      <c r="AE10" s="18"/>
      <c r="AF10" s="18"/>
      <c r="AG10" s="15">
        <f>IFERROR((s_TR/(s_RadSpec!G10*s_IFA_res_adj)),".")</f>
        <v>48.770575086364566</v>
      </c>
      <c r="AH10" s="15">
        <f>IFERROR((s_TR/(s_RadSpec!J10*s_EF_res*(1/365)*s_ED_res*s_ET_res*(1/24)*s_GSF_a)),".")</f>
        <v>5397387.6968869064</v>
      </c>
      <c r="AI10" s="15">
        <f t="shared" si="12"/>
        <v>48.770134401419298</v>
      </c>
      <c r="AJ10" s="40">
        <f t="shared" si="2"/>
        <v>911.45833333333326</v>
      </c>
      <c r="AK10" s="40">
        <f t="shared" si="3"/>
        <v>0.57077625570776247</v>
      </c>
      <c r="AL10" s="18"/>
      <c r="AM10" s="18"/>
      <c r="AN10" s="18"/>
      <c r="AO10" s="15">
        <f>IFERROR((s_TR/(s_RadSpec!H10*s_IFW_res_adj)),".")</f>
        <v>65.599580162686948</v>
      </c>
      <c r="AP10" s="15" t="str">
        <f>IFERROR(IF(s_RadSpec!C10=1,(s_TR/(s_RadSpec!G10*s_IFA_res_adj*s_K)),"."),".")</f>
        <v>.</v>
      </c>
      <c r="AQ10" s="15">
        <f>IFERROR((s_TR/(s_RadSpec!L10*(1/8760)*s_DFA_res_adj)),".")</f>
        <v>9768709503.4802094</v>
      </c>
      <c r="AR10" s="15">
        <f>s_b2w!C10</f>
        <v>147.95247322402815</v>
      </c>
      <c r="AS10" s="15">
        <f>(IF(AND(AO10&lt;&gt;".",AP10&lt;&gt;".",AQ10&lt;&gt;".",AR10&lt;&gt;"."),1/((1/AO10)+(1/AP10)+(1/AQ10)+(1/AR10)),IF(AND(AO10&lt;&gt;".",AP10&lt;&gt;".",AQ10&lt;&gt;".",AR10="."), 1/((1/AO10)+(1/AP10)+(1/AQ10)),IF(AND(AO10&lt;&gt;".",AP10&lt;&gt;".",AQ10=".",AR10&lt;&gt;"."),1/((1/AO10)+(1/AP10)+(1/AR10)),IF(AND(AO10&lt;&gt;".",AP10=".",AQ10&lt;&gt;".",AR10&lt;&gt;"."),1/((1/AO10)+(1/AQ10)+(1/AR10)),IF(AND(AO10=".",AP10&lt;&gt;".",AQ10&lt;&gt;".",AR10&lt;&gt;"."),1/((1/AP10)+(1/AQ10)+(1/AR10)),IF(AND(AO10&lt;&gt;".",AP10&lt;&gt;".",AQ10=".",AR10="."),1/((1/AO10)+(1/AP10)),IF(AND(AO10&lt;&gt;".",AP10=".",AQ10&lt;&gt;".",AR10="."),1/((1/AO10)+(1/AQ10)),IF(AND(AO10&lt;&gt;".",AP10=".",AQ10=".",AR10&lt;&gt;"."),1/((1/AO10)+(1/AR10)),IF(AND(AO10=".",AP10=".",AQ10&lt;&gt;".",AR10&lt;&gt;"."),1/((1/AQ10)+(1/AR10)),IF(AND(AO10=".",AP10&lt;&gt;".",AQ10=".",AR10&lt;&gt;"."),1/((1/AP10)+(1/AR10)),IF(AND(AO10=".",AP10&lt;&gt;".",AQ10&lt;&gt;".",AR10="."),1/((1/AP10)+(1/AQ10)),IF(AND(AO10&lt;&gt;".",AP10=".",AQ10=".",AR10="."),1/((1/AO10)),IF(AND(AO10=".",AP10&lt;&gt;".",AQ10=".",AR10="."),1/((1/AP10)),IF(AND(AO10=".",AP10=".",AQ10&lt;&gt;".",AR10="."),1/((1/AQ10)),IF(AND(AO10=".",AP10=".",AQ10=".",AR10&lt;&gt;"."),1/((1/AR10)),IF(AND(AO10=".",AP10=".",AQ10=".",AR10="."),".")))))))))))))))))</f>
        <v>45.448498052120492</v>
      </c>
      <c r="AT10" s="40">
        <f t="shared" si="4"/>
        <v>2500</v>
      </c>
      <c r="AU10" s="40">
        <f t="shared" si="5"/>
        <v>455.72916666666663</v>
      </c>
      <c r="AV10" s="40">
        <f t="shared" si="6"/>
        <v>0.22831050228310501</v>
      </c>
      <c r="AW10" s="40">
        <f>s_b2w!AB10</f>
        <v>904.32529165997414</v>
      </c>
      <c r="AX10" s="18"/>
      <c r="AY10" s="18"/>
      <c r="AZ10" s="18"/>
      <c r="BA10" s="18"/>
      <c r="BB10" s="18"/>
      <c r="BC10" s="15">
        <f>IFERROR(s_TR/(s_RadSpec!E10*s_EF_res*s_ED_res*s_IRF_res*0.001*s_CF_res_fish),".")</f>
        <v>9.7307028000097304</v>
      </c>
      <c r="BD10" s="40">
        <f t="shared" si="7"/>
        <v>13750</v>
      </c>
      <c r="BE10" s="18"/>
    </row>
    <row r="11" spans="1:57" x14ac:dyDescent="0.25">
      <c r="A11" s="44" t="s">
        <v>21</v>
      </c>
      <c r="B11" s="42" t="s">
        <v>1074</v>
      </c>
      <c r="C11" s="15" t="str">
        <f>IFERROR(((s_TR/(s_RadSpec!D11*s_IFS_res_adj*(1/1000)))*1),".")</f>
        <v>.</v>
      </c>
      <c r="D11" s="15" t="str">
        <f>IFERROR(IF(A11="H-3",(s_TR/((s_RadSpec!G11*s_IFA_res_adj*(1/17)*1000))*1),(s_TR/((s_RadSpec!G11*s_IFA_res_adj*(1/s_PEF_wind)*1000))*1)),".")</f>
        <v>.</v>
      </c>
      <c r="E11" s="15">
        <f>IFERROR((s_TR/(s_RadSpec!F11*s_EF_res*(1/365)*s_ED_res*s_RadSpec!Q11*((s_ET_res_o*(1/24)*s_RadSpec!V11)+(s_ET_res_i*(1/24)*s_RadSpec!AA11))))*1,".")</f>
        <v>4335.3793696152079</v>
      </c>
      <c r="F11" s="15" t="str">
        <f>s_b2s!C11</f>
        <v>.</v>
      </c>
      <c r="G11" s="15" t="str">
        <f>s_dir!C11</f>
        <v>.</v>
      </c>
      <c r="H11" s="15">
        <f>(IF(AND(C11&lt;&gt;".",D11&lt;&gt;".",E11&lt;&gt;".",F11&lt;&gt;"."),1/((1/C11)+(1/D11)+(1/E11)+(1/F11)),IF(AND(C11&lt;&gt;".",D11&lt;&gt;".",E11&lt;&gt;".",F11="."), 1/((1/C11)+(1/D11)+(1/E11)),IF(AND(C11&lt;&gt;".",D11&lt;&gt;".",E11=".",F11&lt;&gt;"."),1/((1/C11)+(1/D11)+(1/F11)),IF(AND(C11&lt;&gt;".",D11=".",E11&lt;&gt;".",F11&lt;&gt;"."),1/((1/C11)+(1/E11)+(1/F11)),IF(AND(C11=".",D11&lt;&gt;".",E11&lt;&gt;".",F11&lt;&gt;"."),1/((1/D11)+(1/E11)+(1/F11)),IF(AND(C11&lt;&gt;".",D11&lt;&gt;".",E11=".",F11="."),1/((1/C11)+(1/D11)),IF(AND(C11&lt;&gt;".",D11=".",E11&lt;&gt;".",F11="."),1/((1/C11)+(1/E11)),IF(AND(C11&lt;&gt;".",D11=".",E11=".",F11&lt;&gt;"."),1/((1/C11)+(1/F11)),IF(AND(C11=".",D11=".",E11&lt;&gt;".",F11&lt;&gt;"."),1/((1/E11)+(1/F11)),IF(AND(C11=".",D11&lt;&gt;".",E11=".",F11&lt;&gt;"."),1/((1/D11)+(1/F11)),IF(AND(C11=".",D11&lt;&gt;".",E11&lt;&gt;".",F11="."),1/((1/D11)+(1/E11)),IF(AND(C11&lt;&gt;".",D11=".",E11=".",F11="."),1/((1/C11)),IF(AND(C11=".",D11&lt;&gt;".",E11=".",F11="."),1/((1/D11)),IF(AND(C11=".",D11=".",E11&lt;&gt;".",F11="."),1/((1/E11)),IF(AND(C11=".",D11=".",E11=".",F11&lt;&gt;"."),1/((1/F11)),IF(AND(C11=".",D11=".",E11=".",F11="."),".")))))))))))))))))</f>
        <v>4335.3793696152079</v>
      </c>
      <c r="I11" s="40">
        <f t="shared" si="0"/>
        <v>27.5</v>
      </c>
      <c r="J11" s="40">
        <f t="shared" si="1"/>
        <v>2.9420495991003873E-3</v>
      </c>
      <c r="K11" s="40">
        <f>IFERROR((s_C*s_EF_res*(1/365)*s_ED_res*s_RadSpec!Q11*((s_ET_res_o*(1/24)*s_RadSpec!V11)+(s_ET_res_i*(1/24)*s_RadSpec!AA11))),".")</f>
        <v>1.0999194198227235E-2</v>
      </c>
      <c r="L11" s="40">
        <f>s_b2s!AB11</f>
        <v>2392.4999999999995</v>
      </c>
      <c r="M11" s="18"/>
      <c r="N11" s="18"/>
      <c r="O11" s="18"/>
      <c r="P11" s="18"/>
      <c r="Q11" s="18"/>
      <c r="R11" s="15">
        <f>IFERROR((s_TR/(s_RadSpec!F11*s_EF_res*(1/365)*s_ED_res*s_RadSpec!Q11*((s_ET_res_o*(1/24)*s_RadSpec!V11)+(s_ET_res_i*(1/24)*s_RadSpec!AA11))))*1,".")</f>
        <v>4335.3793696152079</v>
      </c>
      <c r="S11" s="15">
        <f>IFERROR((s_TR/(s_RadSpec!M11*s_EF_res*(1/365)*s_ED_res*s_RadSpec!R11*((s_ET_res_o*(1/24)*s_RadSpec!W11)+(s_ET_res_i*(1/24)*s_RadSpec!AB11))))*1,".")</f>
        <v>22473.301232639205</v>
      </c>
      <c r="T11" s="15">
        <f>IFERROR((s_TR/(s_RadSpec!N11*s_EF_res*(1/365)*s_ED_res*s_RadSpec!S11*((s_ET_res_o*(1/24)*s_RadSpec!X11)+(s_ET_res_i*(1/24)*s_RadSpec!AC11))))*1,".")</f>
        <v>6321.3452688958741</v>
      </c>
      <c r="U11" s="15">
        <f>IFERROR((s_TR/(s_RadSpec!O11*s_EF_res*(1/365)*s_ED_res*s_RadSpec!T11*((s_ET_res_o*(1/24)*s_RadSpec!Y11)+(s_ET_res_i*(1/24)*s_RadSpec!AD11))))*1,".")</f>
        <v>4210.1242522780267</v>
      </c>
      <c r="V11" s="15">
        <f>IFERROR((s_TR/(s_RadSpec!K11*s_EF_res*(1/365)*s_ED_res*s_RadSpec!P11*((s_ET_res_o*(1/24)*s_RadSpec!U11)+(s_ET_res_i*(1/24)*s_RadSpec!Z11))))*1,".")</f>
        <v>42456.5983711347</v>
      </c>
      <c r="W11" s="40">
        <f>IFERROR((s_C*s_EF_res*(1/365)*s_ED_res*s_RadSpec!Q11*((s_ET_res_o*(1/24)*s_RadSpec!V11)+(s_ET_res_i*(1/24)*s_RadSpec!AA11))),".")</f>
        <v>1.0999194198227235E-2</v>
      </c>
      <c r="X11" s="40">
        <f>IFERROR((s_C*s_EF_res*(1/365)*s_ED_res*s_RadSpec!R11*((s_ET_res_o*(1/24)*s_RadSpec!W11)+(s_ET_res_i*(1/24)*s_RadSpec!AB11))),".")</f>
        <v>8.6927440068493133E-3</v>
      </c>
      <c r="Y11" s="40">
        <f>IFERROR((s_C*s_EF_res*(1/365)*s_ED_res*s_RadSpec!S11*((s_ET_res_o*(1/24)*s_RadSpec!X11)+(s_ET_res_i*(1/24)*s_RadSpec!AC11))),".")</f>
        <v>1.1200644641418211E-2</v>
      </c>
      <c r="Z11" s="40">
        <f>IFERROR((s_C*s_EF_res*(1/365)*s_ED_res*s_RadSpec!T11*((s_ET_res_o*(1/24)*s_RadSpec!Y11)+(s_ET_res_i*(1/24)*s_RadSpec!AD11))),".")</f>
        <v>1.1758537064953787E-2</v>
      </c>
      <c r="AA11" s="40">
        <f>IFERROR((s_C*s_EF_res*(1/365)*s_ED_res*s_RadSpec!P11*((s_ET_res_o*(1/24)*s_RadSpec!U11)+(s_ET_res_i*(1/24)*s_RadSpec!Z11))),".")</f>
        <v>4.6694460988683734E-3</v>
      </c>
      <c r="AB11" s="18"/>
      <c r="AC11" s="18"/>
      <c r="AD11" s="18"/>
      <c r="AE11" s="18"/>
      <c r="AF11" s="18"/>
      <c r="AG11" s="15" t="str">
        <f>IFERROR((s_TR/(s_RadSpec!G11*s_IFA_res_adj)),".")</f>
        <v>.</v>
      </c>
      <c r="AH11" s="15">
        <f>IFERROR((s_TR/(s_RadSpec!J11*s_EF_res*(1/365)*s_ED_res*s_ET_res*(1/24)*s_GSF_a)),".")</f>
        <v>76011.842945013181</v>
      </c>
      <c r="AI11" s="15">
        <f t="shared" si="12"/>
        <v>76011.842945013181</v>
      </c>
      <c r="AJ11" s="40">
        <f t="shared" si="2"/>
        <v>911.45833333333326</v>
      </c>
      <c r="AK11" s="40">
        <f t="shared" si="3"/>
        <v>0.57077625570776247</v>
      </c>
      <c r="AL11" s="18"/>
      <c r="AM11" s="18"/>
      <c r="AN11" s="18"/>
      <c r="AO11" s="15" t="str">
        <f>IFERROR((s_TR/(s_RadSpec!H11*s_IFW_res_adj)),".")</f>
        <v>.</v>
      </c>
      <c r="AP11" s="15" t="str">
        <f>IFERROR(IF(s_RadSpec!C11=1,(s_TR/(s_RadSpec!G11*s_IFA_res_adj*s_K)),"."),".")</f>
        <v>.</v>
      </c>
      <c r="AQ11" s="15">
        <f>IFERROR((s_TR/(s_RadSpec!L11*(1/8760)*s_DFA_res_adj)),".")</f>
        <v>86432821.413281098</v>
      </c>
      <c r="AR11" s="15" t="str">
        <f>s_b2w!C11</f>
        <v>.</v>
      </c>
      <c r="AS11" s="15">
        <f>(IF(AND(AO11&lt;&gt;".",AP11&lt;&gt;".",AQ11&lt;&gt;".",AR11&lt;&gt;"."),1/((1/AO11)+(1/AP11)+(1/AQ11)+(1/AR11)),IF(AND(AO11&lt;&gt;".",AP11&lt;&gt;".",AQ11&lt;&gt;".",AR11="."), 1/((1/AO11)+(1/AP11)+(1/AQ11)),IF(AND(AO11&lt;&gt;".",AP11&lt;&gt;".",AQ11=".",AR11&lt;&gt;"."),1/((1/AO11)+(1/AP11)+(1/AR11)),IF(AND(AO11&lt;&gt;".",AP11=".",AQ11&lt;&gt;".",AR11&lt;&gt;"."),1/((1/AO11)+(1/AQ11)+(1/AR11)),IF(AND(AO11=".",AP11&lt;&gt;".",AQ11&lt;&gt;".",AR11&lt;&gt;"."),1/((1/AP11)+(1/AQ11)+(1/AR11)),IF(AND(AO11&lt;&gt;".",AP11&lt;&gt;".",AQ11=".",AR11="."),1/((1/AO11)+(1/AP11)),IF(AND(AO11&lt;&gt;".",AP11=".",AQ11&lt;&gt;".",AR11="."),1/((1/AO11)+(1/AQ11)),IF(AND(AO11&lt;&gt;".",AP11=".",AQ11=".",AR11&lt;&gt;"."),1/((1/AO11)+(1/AR11)),IF(AND(AO11=".",AP11=".",AQ11&lt;&gt;".",AR11&lt;&gt;"."),1/((1/AQ11)+(1/AR11)),IF(AND(AO11=".",AP11&lt;&gt;".",AQ11=".",AR11&lt;&gt;"."),1/((1/AP11)+(1/AR11)),IF(AND(AO11=".",AP11&lt;&gt;".",AQ11&lt;&gt;".",AR11="."),1/((1/AP11)+(1/AQ11)),IF(AND(AO11&lt;&gt;".",AP11=".",AQ11=".",AR11="."),1/((1/AO11)),IF(AND(AO11=".",AP11&lt;&gt;".",AQ11=".",AR11="."),1/((1/AP11)),IF(AND(AO11=".",AP11=".",AQ11&lt;&gt;".",AR11="."),1/((1/AQ11)),IF(AND(AO11=".",AP11=".",AQ11=".",AR11&lt;&gt;"."),1/((1/AR11)),IF(AND(AO11=".",AP11=".",AQ11=".",AR11="."),".")))))))))))))))))</f>
        <v>86432821.413281098</v>
      </c>
      <c r="AT11" s="40">
        <f t="shared" si="4"/>
        <v>2500</v>
      </c>
      <c r="AU11" s="40">
        <f t="shared" si="5"/>
        <v>455.72916666666663</v>
      </c>
      <c r="AV11" s="40">
        <f t="shared" si="6"/>
        <v>0.22831050228310501</v>
      </c>
      <c r="AW11" s="40">
        <f>s_b2w!AB11</f>
        <v>971.18063421321278</v>
      </c>
      <c r="AX11" s="18"/>
      <c r="AY11" s="18"/>
      <c r="AZ11" s="18"/>
      <c r="BA11" s="18"/>
      <c r="BB11" s="18"/>
      <c r="BC11" s="15" t="str">
        <f>IFERROR(s_TR/(s_RadSpec!E11*s_EF_res*s_ED_res*s_IRF_res*0.001*s_CF_res_fish),".")</f>
        <v>.</v>
      </c>
      <c r="BD11" s="40">
        <f t="shared" si="7"/>
        <v>13750</v>
      </c>
      <c r="BE11" s="18"/>
    </row>
    <row r="12" spans="1:57" x14ac:dyDescent="0.25">
      <c r="A12" s="44" t="s">
        <v>22</v>
      </c>
      <c r="B12" s="42" t="s">
        <v>1074</v>
      </c>
      <c r="C12" s="15" t="str">
        <f>IFERROR(((s_TR/(s_RadSpec!D12*s_IFS_res_adj*(1/1000)))*1),".")</f>
        <v>.</v>
      </c>
      <c r="D12" s="15" t="str">
        <f>IFERROR(IF(A12="H-3",(s_TR/((s_RadSpec!G12*s_IFA_res_adj*(1/17)*1000))*1),(s_TR/((s_RadSpec!G12*s_IFA_res_adj*(1/s_PEF_wind)*1000))*1)),".")</f>
        <v>.</v>
      </c>
      <c r="E12" s="15">
        <f>IFERROR((s_TR/(s_RadSpec!F12*s_EF_res*(1/365)*s_ED_res*s_RadSpec!Q12*((s_ET_res_o*(1/24)*s_RadSpec!V12)+(s_ET_res_i*(1/24)*s_RadSpec!AA12))))*1,".")</f>
        <v>450.5721910200599</v>
      </c>
      <c r="F12" s="15" t="str">
        <f>s_b2s!C12</f>
        <v>.</v>
      </c>
      <c r="G12" s="15" t="str">
        <f>s_dir!C12</f>
        <v>.</v>
      </c>
      <c r="H12" s="15">
        <f t="shared" ref="H12" si="16">(IF(AND(C12&lt;&gt;".",D12&lt;&gt;".",E12&lt;&gt;".",F12&lt;&gt;"."),1/((1/C12)+(1/D12)+(1/E12)+(1/F12)),IF(AND(C12&lt;&gt;".",D12&lt;&gt;".",E12&lt;&gt;".",F12="."), 1/((1/C12)+(1/D12)+(1/E12)),IF(AND(C12&lt;&gt;".",D12&lt;&gt;".",E12=".",F12&lt;&gt;"."),1/((1/C12)+(1/D12)+(1/F12)),IF(AND(C12&lt;&gt;".",D12=".",E12&lt;&gt;".",F12&lt;&gt;"."),1/((1/C12)+(1/E12)+(1/F12)),IF(AND(C12=".",D12&lt;&gt;".",E12&lt;&gt;".",F12&lt;&gt;"."),1/((1/D12)+(1/E12)+(1/F12)),IF(AND(C12&lt;&gt;".",D12&lt;&gt;".",E12=".",F12="."),1/((1/C12)+(1/D12)),IF(AND(C12&lt;&gt;".",D12=".",E12&lt;&gt;".",F12="."),1/((1/C12)+(1/E12)),IF(AND(C12&lt;&gt;".",D12=".",E12=".",F12&lt;&gt;"."),1/((1/C12)+(1/F12)),IF(AND(C12=".",D12=".",E12&lt;&gt;".",F12&lt;&gt;"."),1/((1/E12)+(1/F12)),IF(AND(C12=".",D12&lt;&gt;".",E12=".",F12&lt;&gt;"."),1/((1/D12)+(1/F12)),IF(AND(C12=".",D12&lt;&gt;".",E12&lt;&gt;".",F12="."),1/((1/D12)+(1/E12)),IF(AND(C12&lt;&gt;".",D12=".",E12=".",F12="."),1/((1/C12)),IF(AND(C12=".",D12&lt;&gt;".",E12=".",F12="."),1/((1/D12)),IF(AND(C12=".",D12=".",E12&lt;&gt;".",F12="."),1/((1/E12)),IF(AND(C12=".",D12=".",E12=".",F12&lt;&gt;"."),1/((1/F12)),IF(AND(C12=".",D12=".",E12=".",F12="."),".")))))))))))))))))</f>
        <v>450.5721910200599</v>
      </c>
      <c r="I12" s="40">
        <f t="shared" si="0"/>
        <v>27.5</v>
      </c>
      <c r="J12" s="40">
        <f t="shared" si="1"/>
        <v>2.9420495991003873E-3</v>
      </c>
      <c r="K12" s="40">
        <f>IFERROR((s_C*s_EF_res*(1/365)*s_ED_res*s_RadSpec!Q12*((s_ET_res_o*(1/24)*s_RadSpec!V12)+(s_ET_res_i*(1/24)*s_RadSpec!AA12))),".")</f>
        <v>2.2956178243895682E-2</v>
      </c>
      <c r="L12" s="40">
        <f>s_b2s!AB12</f>
        <v>17242.5</v>
      </c>
      <c r="M12" s="18"/>
      <c r="N12" s="18"/>
      <c r="O12" s="18"/>
      <c r="P12" s="18"/>
      <c r="Q12" s="18"/>
      <c r="R12" s="15">
        <f>IFERROR((s_TR/(s_RadSpec!F12*s_EF_res*(1/365)*s_ED_res*s_RadSpec!Q12*((s_ET_res_o*(1/24)*s_RadSpec!V12)+(s_ET_res_i*(1/24)*s_RadSpec!AA12))))*1,".")</f>
        <v>450.5721910200599</v>
      </c>
      <c r="S12" s="15">
        <f>IFERROR((s_TR/(s_RadSpec!M12*s_EF_res*(1/365)*s_ED_res*s_RadSpec!R12*((s_ET_res_o*(1/24)*s_RadSpec!W12)+(s_ET_res_i*(1/24)*s_RadSpec!AB12))))*1,".")</f>
        <v>3557.1762253996335</v>
      </c>
      <c r="T12" s="15">
        <f>IFERROR((s_TR/(s_RadSpec!N12*s_EF_res*(1/365)*s_ED_res*s_RadSpec!S12*((s_ET_res_o*(1/24)*s_RadSpec!X12)+(s_ET_res_i*(1/24)*s_RadSpec!AC12))))*1,".")</f>
        <v>924.7606857083548</v>
      </c>
      <c r="U12" s="15">
        <f>IFERROR((s_TR/(s_RadSpec!O12*s_EF_res*(1/365)*s_ED_res*s_RadSpec!T12*((s_ET_res_o*(1/24)*s_RadSpec!Y12)+(s_ET_res_i*(1/24)*s_RadSpec!AD12))))*1,".")</f>
        <v>553.74717010450922</v>
      </c>
      <c r="V12" s="15">
        <f>IFERROR((s_TR/(s_RadSpec!K12*s_EF_res*(1/365)*s_ED_res*s_RadSpec!P12*((s_ET_res_o*(1/24)*s_RadSpec!U12)+(s_ET_res_i*(1/24)*s_RadSpec!Z12))))*1,".")</f>
        <v>6036.6257899369921</v>
      </c>
      <c r="W12" s="40">
        <f>IFERROR((s_C*s_EF_res*(1/365)*s_ED_res*s_RadSpec!Q12*((s_ET_res_o*(1/24)*s_RadSpec!V12)+(s_ET_res_i*(1/24)*s_RadSpec!AA12))),".")</f>
        <v>2.2956178243895682E-2</v>
      </c>
      <c r="X12" s="40">
        <f>IFERROR((s_C*s_EF_res*(1/365)*s_ED_res*s_RadSpec!R12*((s_ET_res_o*(1/24)*s_RadSpec!W12)+(s_ET_res_i*(1/24)*s_RadSpec!AB12))),".")</f>
        <v>1.2795628525382753E-2</v>
      </c>
      <c r="Y12" s="40">
        <f>IFERROR((s_C*s_EF_res*(1/365)*s_ED_res*s_RadSpec!S12*((s_ET_res_o*(1/24)*s_RadSpec!X12)+(s_ET_res_i*(1/24)*s_RadSpec!AC12))),".")</f>
        <v>1.7647009689274979E-2</v>
      </c>
      <c r="Z12" s="40">
        <f>IFERROR((s_C*s_EF_res*(1/365)*s_ED_res*s_RadSpec!T12*((s_ET_res_o*(1/24)*s_RadSpec!Y12)+(s_ET_res_i*(1/24)*s_RadSpec!AD12))),".")</f>
        <v>1.9982132221560454E-2</v>
      </c>
      <c r="AA12" s="40">
        <f>IFERROR((s_C*s_EF_res*(1/365)*s_ED_res*s_RadSpec!P12*((s_ET_res_o*(1/24)*s_RadSpec!U12)+(s_ET_res_i*(1/24)*s_RadSpec!Z12))),".")</f>
        <v>7.4123875955962679E-3</v>
      </c>
      <c r="AB12" s="18"/>
      <c r="AC12" s="18"/>
      <c r="AD12" s="18"/>
      <c r="AE12" s="18"/>
      <c r="AF12" s="18"/>
      <c r="AG12" s="15" t="str">
        <f>IFERROR((s_TR/(s_RadSpec!G12*s_IFA_res_adj)),".")</f>
        <v>.</v>
      </c>
      <c r="AH12" s="15">
        <f>IFERROR((s_TR/(s_RadSpec!J12*s_EF_res*(1/365)*s_ED_res*s_ET_res*(1/24)*s_GSF_a)),".")</f>
        <v>17652.632702759533</v>
      </c>
      <c r="AI12" s="15">
        <f t="shared" si="12"/>
        <v>17652.632702759533</v>
      </c>
      <c r="AJ12" s="40">
        <f t="shared" si="2"/>
        <v>911.45833333333326</v>
      </c>
      <c r="AK12" s="40">
        <f t="shared" si="3"/>
        <v>0.57077625570776247</v>
      </c>
      <c r="AL12" s="18"/>
      <c r="AM12" s="18"/>
      <c r="AN12" s="18"/>
      <c r="AO12" s="15" t="str">
        <f>IFERROR((s_TR/(s_RadSpec!H12*s_IFW_res_adj)),".")</f>
        <v>.</v>
      </c>
      <c r="AP12" s="15" t="str">
        <f>IFERROR(IF(s_RadSpec!C12=1,(s_TR/(s_RadSpec!G12*s_IFA_res_adj*s_K)),"."),".")</f>
        <v>.</v>
      </c>
      <c r="AQ12" s="15">
        <f>IFERROR((s_TR/(s_RadSpec!L12*(1/8760)*s_DFA_res_adj)),".")</f>
        <v>20276672.699115679</v>
      </c>
      <c r="AR12" s="15" t="str">
        <f>s_b2w!C12</f>
        <v>.</v>
      </c>
      <c r="AS12" s="15">
        <f>(IF(AND(AO12&lt;&gt;".",AP12&lt;&gt;".",AQ12&lt;&gt;".",AR12&lt;&gt;"."),1/((1/AO12)+(1/AP12)+(1/AQ12)+(1/AR12)),IF(AND(AO12&lt;&gt;".",AP12&lt;&gt;".",AQ12&lt;&gt;".",AR12="."), 1/((1/AO12)+(1/AP12)+(1/AQ12)),IF(AND(AO12&lt;&gt;".",AP12&lt;&gt;".",AQ12=".",AR12&lt;&gt;"."),1/((1/AO12)+(1/AP12)+(1/AR12)),IF(AND(AO12&lt;&gt;".",AP12=".",AQ12&lt;&gt;".",AR12&lt;&gt;"."),1/((1/AO12)+(1/AQ12)+(1/AR12)),IF(AND(AO12=".",AP12&lt;&gt;".",AQ12&lt;&gt;".",AR12&lt;&gt;"."),1/((1/AP12)+(1/AQ12)+(1/AR12)),IF(AND(AO12&lt;&gt;".",AP12&lt;&gt;".",AQ12=".",AR12="."),1/((1/AO12)+(1/AP12)),IF(AND(AO12&lt;&gt;".",AP12=".",AQ12&lt;&gt;".",AR12="."),1/((1/AO12)+(1/AQ12)),IF(AND(AO12&lt;&gt;".",AP12=".",AQ12=".",AR12&lt;&gt;"."),1/((1/AO12)+(1/AR12)),IF(AND(AO12=".",AP12=".",AQ12&lt;&gt;".",AR12&lt;&gt;"."),1/((1/AQ12)+(1/AR12)),IF(AND(AO12=".",AP12&lt;&gt;".",AQ12=".",AR12&lt;&gt;"."),1/((1/AP12)+(1/AR12)),IF(AND(AO12=".",AP12&lt;&gt;".",AQ12&lt;&gt;".",AR12="."),1/((1/AP12)+(1/AQ12)),IF(AND(AO12&lt;&gt;".",AP12=".",AQ12=".",AR12="."),1/((1/AO12)),IF(AND(AO12=".",AP12&lt;&gt;".",AQ12=".",AR12="."),1/((1/AP12)),IF(AND(AO12=".",AP12=".",AQ12&lt;&gt;".",AR12="."),1/((1/AQ12)),IF(AND(AO12=".",AP12=".",AQ12=".",AR12&lt;&gt;"."),1/((1/AR12)),IF(AND(AO12=".",AP12=".",AQ12=".",AR12="."),".")))))))))))))))))</f>
        <v>20276672.699115679</v>
      </c>
      <c r="AT12" s="40">
        <f t="shared" si="4"/>
        <v>2500</v>
      </c>
      <c r="AU12" s="40">
        <f t="shared" si="5"/>
        <v>455.72916666666663</v>
      </c>
      <c r="AV12" s="40">
        <f t="shared" si="6"/>
        <v>0.22831050228310501</v>
      </c>
      <c r="AW12" s="40">
        <f>s_b2w!AB12</f>
        <v>3921.8863946340543</v>
      </c>
      <c r="AX12" s="18"/>
      <c r="AY12" s="18"/>
      <c r="AZ12" s="18"/>
      <c r="BA12" s="18"/>
      <c r="BB12" s="18"/>
      <c r="BC12" s="15" t="str">
        <f>IFERROR(s_TR/(s_RadSpec!E12*s_EF_res*s_ED_res*s_IRF_res*0.001*s_CF_res_fish),".")</f>
        <v>.</v>
      </c>
      <c r="BD12" s="40">
        <f t="shared" si="7"/>
        <v>13750</v>
      </c>
      <c r="BE12" s="18"/>
    </row>
    <row r="13" spans="1:57" x14ac:dyDescent="0.25">
      <c r="A13" s="44" t="s">
        <v>23</v>
      </c>
      <c r="B13" s="42" t="s">
        <v>1074</v>
      </c>
      <c r="C13" s="15">
        <f>IFERROR(((s_TR/(s_RadSpec!D13*s_IFS_res_adj*(1/1000)))*1),".")</f>
        <v>1458.1616955504196</v>
      </c>
      <c r="D13" s="15">
        <f>IFERROR(IF(A13="H-3",(s_TR/((s_RadSpec!G13*s_IFA_res_adj*(1/17)*1000))*1),(s_TR/((s_RadSpec!G13*s_IFA_res_adj*(1/s_PEF_wind)*1000))*1)),".")</f>
        <v>59267.49717500274</v>
      </c>
      <c r="E13" s="15">
        <f>IFERROR((s_TR/(s_RadSpec!F13*s_EF_res*(1/365)*s_ED_res*s_RadSpec!Q13*((s_ET_res_o*(1/24)*s_RadSpec!V13)+(s_ET_res_i*(1/24)*s_RadSpec!AA13))))*1,".")</f>
        <v>32365.84622301747</v>
      </c>
      <c r="F13" s="15">
        <f>s_b2s!C13</f>
        <v>42.106568018276263</v>
      </c>
      <c r="G13" s="15">
        <f>s_dir!C13</f>
        <v>1.0968760968760967</v>
      </c>
      <c r="H13" s="15">
        <f t="shared" ref="H13:H14" si="17">(IF(AND(C13&lt;&gt;".",D13&lt;&gt;".",E13&lt;&gt;".",F13&lt;&gt;"."),1/((1/C13)+(1/D13)+(1/E13)+(1/F13)),IF(AND(C13&lt;&gt;".",D13&lt;&gt;".",E13&lt;&gt;".",F13="."), 1/((1/C13)+(1/D13)+(1/E13)),IF(AND(C13&lt;&gt;".",D13&lt;&gt;".",E13=".",F13&lt;&gt;"."),1/((1/C13)+(1/D13)+(1/F13)),IF(AND(C13&lt;&gt;".",D13=".",E13&lt;&gt;".",F13&lt;&gt;"."),1/((1/C13)+(1/E13)+(1/F13)),IF(AND(C13=".",D13&lt;&gt;".",E13&lt;&gt;".",F13&lt;&gt;"."),1/((1/D13)+(1/E13)+(1/F13)),IF(AND(C13&lt;&gt;".",D13&lt;&gt;".",E13=".",F13="."),1/((1/C13)+(1/D13)),IF(AND(C13&lt;&gt;".",D13=".",E13&lt;&gt;".",F13="."),1/((1/C13)+(1/E13)),IF(AND(C13&lt;&gt;".",D13=".",E13=".",F13&lt;&gt;"."),1/((1/C13)+(1/F13)),IF(AND(C13=".",D13=".",E13&lt;&gt;".",F13&lt;&gt;"."),1/((1/E13)+(1/F13)),IF(AND(C13=".",D13&lt;&gt;".",E13=".",F13&lt;&gt;"."),1/((1/D13)+(1/F13)),IF(AND(C13=".",D13&lt;&gt;".",E13&lt;&gt;".",F13="."),1/((1/D13)+(1/E13)),IF(AND(C13&lt;&gt;".",D13=".",E13=".",F13="."),1/((1/C13)),IF(AND(C13=".",D13&lt;&gt;".",E13=".",F13="."),1/((1/D13)),IF(AND(C13=".",D13=".",E13&lt;&gt;".",F13="."),1/((1/E13)),IF(AND(C13=".",D13=".",E13=".",F13&lt;&gt;"."),1/((1/F13)),IF(AND(C13=".",D13=".",E13=".",F13="."),".")))))))))))))))))</f>
        <v>40.844953973367026</v>
      </c>
      <c r="I13" s="40">
        <f t="shared" si="0"/>
        <v>27.5</v>
      </c>
      <c r="J13" s="40">
        <f t="shared" si="1"/>
        <v>2.9420495991003873E-3</v>
      </c>
      <c r="K13" s="40">
        <f>IFERROR((s_C*s_EF_res*(1/365)*s_ED_res*s_RadSpec!Q13*((s_ET_res_o*(1/24)*s_RadSpec!V13)+(s_ET_res_i*(1/24)*s_RadSpec!AA13))),".")</f>
        <v>2.9865763423657615E-3</v>
      </c>
      <c r="L13" s="40">
        <f>s_b2s!AB13</f>
        <v>1432.75</v>
      </c>
      <c r="M13" s="18"/>
      <c r="N13" s="18"/>
      <c r="O13" s="18"/>
      <c r="P13" s="18"/>
      <c r="Q13" s="18"/>
      <c r="R13" s="15">
        <f>IFERROR((s_TR/(s_RadSpec!F13*s_EF_res*(1/365)*s_ED_res*s_RadSpec!Q13*((s_ET_res_o*(1/24)*s_RadSpec!V13)+(s_ET_res_i*(1/24)*s_RadSpec!AA13))))*1,".")</f>
        <v>32365.84622301747</v>
      </c>
      <c r="S13" s="15">
        <f>IFERROR((s_TR/(s_RadSpec!M13*s_EF_res*(1/365)*s_ED_res*s_RadSpec!R13*((s_ET_res_o*(1/24)*s_RadSpec!W13)+(s_ET_res_i*(1/24)*s_RadSpec!AB13))))*1,".")</f>
        <v>210418.4819526432</v>
      </c>
      <c r="T13" s="15">
        <f>IFERROR((s_TR/(s_RadSpec!N13*s_EF_res*(1/365)*s_ED_res*s_RadSpec!S13*((s_ET_res_o*(1/24)*s_RadSpec!X13)+(s_ET_res_i*(1/24)*s_RadSpec!AC13))))*1,".")</f>
        <v>52534.525543430267</v>
      </c>
      <c r="U13" s="15">
        <f>IFERROR((s_TR/(s_RadSpec!O13*s_EF_res*(1/365)*s_ED_res*s_RadSpec!T13*((s_ET_res_o*(1/24)*s_RadSpec!Y13)+(s_ET_res_i*(1/24)*s_RadSpec!AD13))))*1,".")</f>
        <v>34773.276269644921</v>
      </c>
      <c r="V13" s="15">
        <f>IFERROR((s_TR/(s_RadSpec!K13*s_EF_res*(1/365)*s_ED_res*s_RadSpec!P13*((s_ET_res_o*(1/24)*s_RadSpec!U13)+(s_ET_res_i*(1/24)*s_RadSpec!Z13))))*1,".")</f>
        <v>1671190.1619710403</v>
      </c>
      <c r="W13" s="40">
        <f>IFERROR((s_C*s_EF_res*(1/365)*s_ED_res*s_RadSpec!Q13*((s_ET_res_o*(1/24)*s_RadSpec!V13)+(s_ET_res_i*(1/24)*s_RadSpec!AA13))),".")</f>
        <v>2.9865763423657615E-3</v>
      </c>
      <c r="X13" s="40">
        <f>IFERROR((s_C*s_EF_res*(1/365)*s_ED_res*s_RadSpec!R13*((s_ET_res_o*(1/24)*s_RadSpec!W13)+(s_ET_res_i*(1/24)*s_RadSpec!AB13))),".")</f>
        <v>1.3694986884290293E-3</v>
      </c>
      <c r="Y13" s="40">
        <f>IFERROR((s_C*s_EF_res*(1/365)*s_ED_res*s_RadSpec!S13*((s_ET_res_o*(1/24)*s_RadSpec!X13)+(s_ET_res_i*(1/24)*s_RadSpec!AC13))),".")</f>
        <v>2.3051927365402994E-3</v>
      </c>
      <c r="Z13" s="40">
        <f>IFERROR((s_C*s_EF_res*(1/365)*s_ED_res*s_RadSpec!T13*((s_ET_res_o*(1/24)*s_RadSpec!Y13)+(s_ET_res_i*(1/24)*s_RadSpec!AD13))),".")</f>
        <v>2.7924159676543346E-3</v>
      </c>
      <c r="AA13" s="40">
        <f>IFERROR((s_C*s_EF_res*(1/365)*s_ED_res*s_RadSpec!P13*((s_ET_res_o*(1/24)*s_RadSpec!U13)+(s_ET_res_i*(1/24)*s_RadSpec!Z13))),".")</f>
        <v>1.4235277503177522E-4</v>
      </c>
      <c r="AB13" s="18"/>
      <c r="AC13" s="18"/>
      <c r="AD13" s="18"/>
      <c r="AE13" s="18"/>
      <c r="AF13" s="18"/>
      <c r="AG13" s="15">
        <f>IFERROR((s_TR/(s_RadSpec!G13*s_IFA_res_adj)),".")</f>
        <v>0.19130651388715905</v>
      </c>
      <c r="AH13" s="15">
        <f>IFERROR((s_TR/(s_RadSpec!J13*s_EF_res*(1/365)*s_ED_res*s_ET_res*(1/24)*s_GSF_a)),".")</f>
        <v>114191.30743794216</v>
      </c>
      <c r="AI13" s="15">
        <f t="shared" si="12"/>
        <v>0.19130619338884999</v>
      </c>
      <c r="AJ13" s="40">
        <f t="shared" si="2"/>
        <v>911.45833333333326</v>
      </c>
      <c r="AK13" s="40">
        <f t="shared" si="3"/>
        <v>0.57077625570776247</v>
      </c>
      <c r="AL13" s="18"/>
      <c r="AM13" s="18"/>
      <c r="AN13" s="18"/>
      <c r="AO13" s="15">
        <f>IFERROR((s_TR/(s_RadSpec!H13*s_IFW_res_adj)),".")</f>
        <v>32.175032175032179</v>
      </c>
      <c r="AP13" s="15" t="str">
        <f>IFERROR(IF(s_RadSpec!C13=1,(s_TR/(s_RadSpec!G13*s_IFA_res_adj*s_K)),"."),".")</f>
        <v>.</v>
      </c>
      <c r="AQ13" s="15">
        <f>IFERROR((s_TR/(s_RadSpec!L13*(1/8760)*s_DFA_res_adj)),".")</f>
        <v>127591307.80055784</v>
      </c>
      <c r="AR13" s="15">
        <f>s_b2w!C13</f>
        <v>77.296496739585933</v>
      </c>
      <c r="AS13" s="15">
        <f>(IF(AND(AO13&lt;&gt;".",AP13&lt;&gt;".",AQ13&lt;&gt;".",AR13&lt;&gt;"."),1/((1/AO13)+(1/AP13)+(1/AQ13)+(1/AR13)),IF(AND(AO13&lt;&gt;".",AP13&lt;&gt;".",AQ13&lt;&gt;".",AR13="."), 1/((1/AO13)+(1/AP13)+(1/AQ13)),IF(AND(AO13&lt;&gt;".",AP13&lt;&gt;".",AQ13=".",AR13&lt;&gt;"."),1/((1/AO13)+(1/AP13)+(1/AR13)),IF(AND(AO13&lt;&gt;".",AP13=".",AQ13&lt;&gt;".",AR13&lt;&gt;"."),1/((1/AO13)+(1/AQ13)+(1/AR13)),IF(AND(AO13=".",AP13&lt;&gt;".",AQ13&lt;&gt;".",AR13&lt;&gt;"."),1/((1/AP13)+(1/AQ13)+(1/AR13)),IF(AND(AO13&lt;&gt;".",AP13&lt;&gt;".",AQ13=".",AR13="."),1/((1/AO13)+(1/AP13)),IF(AND(AO13&lt;&gt;".",AP13=".",AQ13&lt;&gt;".",AR13="."),1/((1/AO13)+(1/AQ13)),IF(AND(AO13&lt;&gt;".",AP13=".",AQ13=".",AR13&lt;&gt;"."),1/((1/AO13)+(1/AR13)),IF(AND(AO13=".",AP13=".",AQ13&lt;&gt;".",AR13&lt;&gt;"."),1/((1/AQ13)+(1/AR13)),IF(AND(AO13=".",AP13&lt;&gt;".",AQ13=".",AR13&lt;&gt;"."),1/((1/AP13)+(1/AR13)),IF(AND(AO13=".",AP13&lt;&gt;".",AQ13&lt;&gt;".",AR13="."),1/((1/AP13)+(1/AQ13)),IF(AND(AO13&lt;&gt;".",AP13=".",AQ13=".",AR13="."),1/((1/AO13)),IF(AND(AO13=".",AP13&lt;&gt;".",AQ13=".",AR13="."),1/((1/AP13)),IF(AND(AO13=".",AP13=".",AQ13&lt;&gt;".",AR13="."),1/((1/AQ13)),IF(AND(AO13=".",AP13=".",AQ13=".",AR13&lt;&gt;"."),1/((1/AR13)),IF(AND(AO13=".",AP13=".",AQ13=".",AR13="."),".")))))))))))))))))</f>
        <v>22.718389442838642</v>
      </c>
      <c r="AT13" s="40">
        <f t="shared" si="4"/>
        <v>2500</v>
      </c>
      <c r="AU13" s="40">
        <f t="shared" si="5"/>
        <v>455.72916666666663</v>
      </c>
      <c r="AV13" s="40">
        <f t="shared" si="6"/>
        <v>0.22831050228310501</v>
      </c>
      <c r="AW13" s="40">
        <f>s_b2w!AB13</f>
        <v>780.47761377119934</v>
      </c>
      <c r="AX13" s="18"/>
      <c r="AY13" s="18"/>
      <c r="AZ13" s="18"/>
      <c r="BA13" s="18"/>
      <c r="BB13" s="18"/>
      <c r="BC13" s="15">
        <f>IFERROR(s_TR/(s_RadSpec!E13*s_EF_res*s_ED_res*s_IRF_res*0.001*s_CF_res_fish),".")</f>
        <v>4.3875043875043866</v>
      </c>
      <c r="BD13" s="40">
        <f t="shared" si="7"/>
        <v>13750</v>
      </c>
      <c r="BE13" s="18"/>
    </row>
    <row r="14" spans="1:57" x14ac:dyDescent="0.25">
      <c r="A14" s="44" t="s">
        <v>24</v>
      </c>
      <c r="B14" s="42" t="s">
        <v>1074</v>
      </c>
      <c r="C14" s="15">
        <f>IFERROR(((s_TR/(s_RadSpec!D14*s_IFS_res_adj*(1/1000)))*1),".")</f>
        <v>11042.707671921153</v>
      </c>
      <c r="D14" s="15">
        <f>IFERROR(IF(A14="H-3",(s_TR/((s_RadSpec!G14*s_IFA_res_adj*(1/17)*1000))*1),(s_TR/((s_RadSpec!G14*s_IFA_res_adj*(1/s_PEF_wind)*1000))*1)),".")</f>
        <v>111216247.72548941</v>
      </c>
      <c r="E14" s="15">
        <f>IFERROR((s_TR/(s_RadSpec!F14*s_EF_res*(1/365)*s_ED_res*s_RadSpec!Q14*((s_ET_res_o*(1/24)*s_RadSpec!V14)+(s_ET_res_i*(1/24)*s_RadSpec!AA14))))*1,".")</f>
        <v>312.84765865204002</v>
      </c>
      <c r="F14" s="15">
        <f>s_b2s!C14</f>
        <v>432.03841339941226</v>
      </c>
      <c r="G14" s="15">
        <f>s_dir!C14</f>
        <v>10.152902714886187</v>
      </c>
      <c r="H14" s="15">
        <f t="shared" si="17"/>
        <v>178.51980373485807</v>
      </c>
      <c r="I14" s="40">
        <f t="shared" si="0"/>
        <v>27.5</v>
      </c>
      <c r="J14" s="40">
        <f t="shared" si="1"/>
        <v>2.9420495991003873E-3</v>
      </c>
      <c r="K14" s="40">
        <f>IFERROR((s_C*s_EF_res*(1/365)*s_ED_res*s_RadSpec!Q14*((s_ET_res_o*(1/24)*s_RadSpec!V14)+(s_ET_res_i*(1/24)*s_RadSpec!AA14))),".")</f>
        <v>1.9894955216016866E-2</v>
      </c>
      <c r="L14" s="40">
        <f>s_b2s!AB14</f>
        <v>1292.5</v>
      </c>
      <c r="M14" s="18"/>
      <c r="N14" s="18"/>
      <c r="O14" s="18"/>
      <c r="P14" s="18"/>
      <c r="Q14" s="18"/>
      <c r="R14" s="15">
        <f>IFERROR((s_TR/(s_RadSpec!F14*s_EF_res*(1/365)*s_ED_res*s_RadSpec!Q14*((s_ET_res_o*(1/24)*s_RadSpec!V14)+(s_ET_res_i*(1/24)*s_RadSpec!AA14))))*1,".")</f>
        <v>312.84765865204002</v>
      </c>
      <c r="S14" s="15">
        <f>IFERROR((s_TR/(s_RadSpec!M14*s_EF_res*(1/365)*s_ED_res*s_RadSpec!R14*((s_ET_res_o*(1/24)*s_RadSpec!W14)+(s_ET_res_i*(1/24)*s_RadSpec!AB14))))*1,".")</f>
        <v>2395.1999187262263</v>
      </c>
      <c r="T14" s="15">
        <f>IFERROR((s_TR/(s_RadSpec!N14*s_EF_res*(1/365)*s_ED_res*s_RadSpec!S14*((s_ET_res_o*(1/24)*s_RadSpec!X14)+(s_ET_res_i*(1/24)*s_RadSpec!AC14))))*1,".")</f>
        <v>645.10478079746451</v>
      </c>
      <c r="U14" s="15">
        <f>IFERROR((s_TR/(s_RadSpec!O14*s_EF_res*(1/365)*s_ED_res*s_RadSpec!T14*((s_ET_res_o*(1/24)*s_RadSpec!Y14)+(s_ET_res_i*(1/24)*s_RadSpec!AD14))))*1,".")</f>
        <v>389.02581274296375</v>
      </c>
      <c r="V14" s="15">
        <f>IFERROR((s_TR/(s_RadSpec!K14*s_EF_res*(1/365)*s_ED_res*s_RadSpec!P14*((s_ET_res_o*(1/24)*s_RadSpec!U14)+(s_ET_res_i*(1/24)*s_RadSpec!Z14))))*1,".")</f>
        <v>6774.5767736098014</v>
      </c>
      <c r="W14" s="40">
        <f>IFERROR((s_C*s_EF_res*(1/365)*s_ED_res*s_RadSpec!Q14*((s_ET_res_o*(1/24)*s_RadSpec!V14)+(s_ET_res_i*(1/24)*s_RadSpec!AA14))),".")</f>
        <v>1.9894955216016866E-2</v>
      </c>
      <c r="X14" s="40">
        <f>IFERROR((s_C*s_EF_res*(1/365)*s_ED_res*s_RadSpec!R14*((s_ET_res_o*(1/24)*s_RadSpec!W14)+(s_ET_res_i*(1/24)*s_RadSpec!AB14))),".")</f>
        <v>1.0954747971804752E-2</v>
      </c>
      <c r="Y14" s="40">
        <f>IFERROR((s_C*s_EF_res*(1/365)*s_ED_res*s_RadSpec!S14*((s_ET_res_o*(1/24)*s_RadSpec!X14)+(s_ET_res_i*(1/24)*s_RadSpec!AC14))),".")</f>
        <v>1.481685527099463E-2</v>
      </c>
      <c r="Z14" s="40">
        <f>IFERROR((s_C*s_EF_res*(1/365)*s_ED_res*s_RadSpec!T14*((s_ET_res_o*(1/24)*s_RadSpec!Y14)+(s_ET_res_i*(1/24)*s_RadSpec!AD14))),".")</f>
        <v>1.690849315068493E-2</v>
      </c>
      <c r="AA14" s="40">
        <f>IFERROR((s_C*s_EF_res*(1/365)*s_ED_res*s_RadSpec!P14*((s_ET_res_o*(1/24)*s_RadSpec!U14)+(s_ET_res_i*(1/24)*s_RadSpec!Z14))),".")</f>
        <v>3.9260539965420924E-3</v>
      </c>
      <c r="AB14" s="18"/>
      <c r="AC14" s="18"/>
      <c r="AD14" s="18"/>
      <c r="AE14" s="18"/>
      <c r="AF14" s="18"/>
      <c r="AG14" s="15">
        <f>IFERROR((s_TR/(s_RadSpec!G14*s_IFA_res_adj)),".")</f>
        <v>358.98922097469313</v>
      </c>
      <c r="AH14" s="15">
        <f>IFERROR((s_TR/(s_RadSpec!J14*s_EF_res*(1/365)*s_ED_res*s_ET_res*(1/24)*s_GSF_a)),".")</f>
        <v>10263.158548116005</v>
      </c>
      <c r="AI14" s="15">
        <f t="shared" si="12"/>
        <v>346.85671598817572</v>
      </c>
      <c r="AJ14" s="40">
        <f t="shared" si="2"/>
        <v>911.45833333333326</v>
      </c>
      <c r="AK14" s="40">
        <f t="shared" si="3"/>
        <v>0.57077625570776247</v>
      </c>
      <c r="AL14" s="18"/>
      <c r="AM14" s="18"/>
      <c r="AN14" s="18"/>
      <c r="AO14" s="15">
        <f>IFERROR((s_TR/(s_RadSpec!H14*s_IFW_res_adj)),".")</f>
        <v>325.62683165092801</v>
      </c>
      <c r="AP14" s="15" t="str">
        <f>IFERROR(IF(s_RadSpec!C14=1,(s_TR/(s_RadSpec!G14*s_IFA_res_adj*s_K)),"."),".")</f>
        <v>.</v>
      </c>
      <c r="AQ14" s="15">
        <f>IFERROR((s_TR/(s_RadSpec!L14*(1/8760)*s_DFA_res_adj)),".")</f>
        <v>11722451.40417625</v>
      </c>
      <c r="AR14" s="15">
        <f>s_b2w!C14</f>
        <v>741.9643243530362</v>
      </c>
      <c r="AS14" s="15">
        <f>(IF(AND(AO14&lt;&gt;".",AP14&lt;&gt;".",AQ14&lt;&gt;".",AR14&lt;&gt;"."),1/((1/AO14)+(1/AP14)+(1/AQ14)+(1/AR14)),IF(AND(AO14&lt;&gt;".",AP14&lt;&gt;".",AQ14&lt;&gt;".",AR14="."), 1/((1/AO14)+(1/AP14)+(1/AQ14)),IF(AND(AO14&lt;&gt;".",AP14&lt;&gt;".",AQ14=".",AR14&lt;&gt;"."),1/((1/AO14)+(1/AP14)+(1/AR14)),IF(AND(AO14&lt;&gt;".",AP14=".",AQ14&lt;&gt;".",AR14&lt;&gt;"."),1/((1/AO14)+(1/AQ14)+(1/AR14)),IF(AND(AO14=".",AP14&lt;&gt;".",AQ14&lt;&gt;".",AR14&lt;&gt;"."),1/((1/AP14)+(1/AQ14)+(1/AR14)),IF(AND(AO14&lt;&gt;".",AP14&lt;&gt;".",AQ14=".",AR14="."),1/((1/AO14)+(1/AP14)),IF(AND(AO14&lt;&gt;".",AP14=".",AQ14&lt;&gt;".",AR14="."),1/((1/AO14)+(1/AQ14)),IF(AND(AO14&lt;&gt;".",AP14=".",AQ14=".",AR14&lt;&gt;"."),1/((1/AO14)+(1/AR14)),IF(AND(AO14=".",AP14=".",AQ14&lt;&gt;".",AR14&lt;&gt;"."),1/((1/AQ14)+(1/AR14)),IF(AND(AO14=".",AP14&lt;&gt;".",AQ14=".",AR14&lt;&gt;"."),1/((1/AP14)+(1/AR14)),IF(AND(AO14=".",AP14&lt;&gt;".",AQ14&lt;&gt;".",AR14="."),1/((1/AP14)+(1/AQ14)),IF(AND(AO14&lt;&gt;".",AP14=".",AQ14=".",AR14="."),1/((1/AO14)),IF(AND(AO14=".",AP14&lt;&gt;".",AQ14=".",AR14="."),1/((1/AP14)),IF(AND(AO14=".",AP14=".",AQ14&lt;&gt;".",AR14="."),1/((1/AQ14)),IF(AND(AO14=".",AP14=".",AQ14=".",AR14&lt;&gt;"."),1/((1/AR14)),IF(AND(AO14=".",AP14=".",AQ14=".",AR14="."),".")))))))))))))))))</f>
        <v>226.30276263126962</v>
      </c>
      <c r="AT14" s="40">
        <f t="shared" si="4"/>
        <v>2500</v>
      </c>
      <c r="AU14" s="40">
        <f t="shared" si="5"/>
        <v>455.72916666666663</v>
      </c>
      <c r="AV14" s="40">
        <f t="shared" si="6"/>
        <v>0.22831050228310501</v>
      </c>
      <c r="AW14" s="40">
        <f>s_b2w!AB14</f>
        <v>752.60983714500253</v>
      </c>
      <c r="AX14" s="18"/>
      <c r="AY14" s="18"/>
      <c r="AZ14" s="18"/>
      <c r="BA14" s="18"/>
      <c r="BB14" s="18"/>
      <c r="BC14" s="15">
        <f>IFERROR(s_TR/(s_RadSpec!E14*s_EF_res*s_ED_res*s_IRF_res*0.001*s_CF_res_fish),".")</f>
        <v>40.611610859544747</v>
      </c>
      <c r="BD14" s="40">
        <f t="shared" si="7"/>
        <v>13750</v>
      </c>
      <c r="BE14" s="18"/>
    </row>
    <row r="15" spans="1:57" x14ac:dyDescent="0.25">
      <c r="A15" s="44" t="s">
        <v>25</v>
      </c>
      <c r="B15" s="42" t="s">
        <v>1074</v>
      </c>
      <c r="C15" s="15">
        <f>IFERROR(((s_TR/(s_RadSpec!D15*s_IFS_res_adj*(1/1000)))*1),".")</f>
        <v>290769.52153875231</v>
      </c>
      <c r="D15" s="15">
        <f>IFERROR(IF(A15="H-3",(s_TR/((s_RadSpec!G15*s_IFA_res_adj*(1/17)*1000))*1),(s_TR/((s_RadSpec!G15*s_IFA_res_adj*(1/s_PEF_wind)*1000))*1)),".")</f>
        <v>8173008952.0688839</v>
      </c>
      <c r="E15" s="15" t="str">
        <f>IFERROR((s_TR/(s_RadSpec!F15*s_EF_res*(1/365)*s_ED_res*s_RadSpec!Q15*((s_ET_res_o*(1/24)*s_RadSpec!V15)+(s_ET_res_i*(1/24)*s_RadSpec!AA15))))*1,".")</f>
        <v>.</v>
      </c>
      <c r="F15" s="15">
        <f>s_b2s!C15</f>
        <v>6718.4824858263464</v>
      </c>
      <c r="G15" s="15">
        <f>s_dir!C15</f>
        <v>260.82828630599334</v>
      </c>
      <c r="H15" s="15">
        <f t="shared" ref="H15:H21" si="18">(IF(AND(C15&lt;&gt;".",D15&lt;&gt;".",E15&lt;&gt;".",F15&lt;&gt;"."),1/((1/C15)+(1/D15)+(1/E15)+(1/F15)),IF(AND(C15&lt;&gt;".",D15&lt;&gt;".",E15&lt;&gt;".",F15="."), 1/((1/C15)+(1/D15)+(1/E15)),IF(AND(C15&lt;&gt;".",D15&lt;&gt;".",E15=".",F15&lt;&gt;"."),1/((1/C15)+(1/D15)+(1/F15)),IF(AND(C15&lt;&gt;".",D15=".",E15&lt;&gt;".",F15&lt;&gt;"."),1/((1/C15)+(1/E15)+(1/F15)),IF(AND(C15=".",D15&lt;&gt;".",E15&lt;&gt;".",F15&lt;&gt;"."),1/((1/D15)+(1/E15)+(1/F15)),IF(AND(C15&lt;&gt;".",D15&lt;&gt;".",E15=".",F15="."),1/((1/C15)+(1/D15)),IF(AND(C15&lt;&gt;".",D15=".",E15&lt;&gt;".",F15="."),1/((1/C15)+(1/E15)),IF(AND(C15&lt;&gt;".",D15=".",E15=".",F15&lt;&gt;"."),1/((1/C15)+(1/F15)),IF(AND(C15=".",D15=".",E15&lt;&gt;".",F15&lt;&gt;"."),1/((1/E15)+(1/F15)),IF(AND(C15=".",D15&lt;&gt;".",E15=".",F15&lt;&gt;"."),1/((1/D15)+(1/F15)),IF(AND(C15=".",D15&lt;&gt;".",E15&lt;&gt;".",F15="."),1/((1/D15)+(1/E15)),IF(AND(C15&lt;&gt;".",D15=".",E15=".",F15="."),1/((1/C15)),IF(AND(C15=".",D15&lt;&gt;".",E15=".",F15="."),1/((1/D15)),IF(AND(C15=".",D15=".",E15&lt;&gt;".",F15="."),1/((1/E15)),IF(AND(C15=".",D15=".",E15=".",F15&lt;&gt;"."),1/((1/F15)),IF(AND(C15=".",D15=".",E15=".",F15="."),".")))))))))))))))))</f>
        <v>6566.7466985024575</v>
      </c>
      <c r="I15" s="40">
        <f t="shared" si="0"/>
        <v>27.5</v>
      </c>
      <c r="J15" s="40">
        <f t="shared" si="1"/>
        <v>2.9420495991003873E-3</v>
      </c>
      <c r="K15" s="40">
        <f>IFERROR((s_C*s_EF_res*(1/365)*s_ED_res*s_RadSpec!Q15*((s_ET_res_o*(1/24)*s_RadSpec!V15)+(s_ET_res_i*(1/24)*s_RadSpec!AA15))),".")</f>
        <v>0</v>
      </c>
      <c r="L15" s="40">
        <f>s_b2s!AB15</f>
        <v>2135.2375000000002</v>
      </c>
      <c r="M15" s="18"/>
      <c r="N15" s="18"/>
      <c r="O15" s="18"/>
      <c r="P15" s="18"/>
      <c r="Q15" s="18"/>
      <c r="R15" s="15" t="str">
        <f>IFERROR((s_TR/(s_RadSpec!F15*s_EF_res*(1/365)*s_ED_res*s_RadSpec!Q15*((s_ET_res_o*(1/24)*s_RadSpec!V15)+(s_ET_res_i*(1/24)*s_RadSpec!AA15))))*1,".")</f>
        <v>.</v>
      </c>
      <c r="S15" s="15" t="str">
        <f>IFERROR((s_TR/(s_RadSpec!M15*s_EF_res*(1/365)*s_ED_res*s_RadSpec!R15*((s_ET_res_o*(1/24)*s_RadSpec!W15)+(s_ET_res_i*(1/24)*s_RadSpec!AB15))))*1,".")</f>
        <v>.</v>
      </c>
      <c r="T15" s="15" t="str">
        <f>IFERROR((s_TR/(s_RadSpec!N15*s_EF_res*(1/365)*s_ED_res*s_RadSpec!S15*((s_ET_res_o*(1/24)*s_RadSpec!X15)+(s_ET_res_i*(1/24)*s_RadSpec!AC15))))*1,".")</f>
        <v>.</v>
      </c>
      <c r="U15" s="15" t="str">
        <f>IFERROR((s_TR/(s_RadSpec!O15*s_EF_res*(1/365)*s_ED_res*s_RadSpec!T15*((s_ET_res_o*(1/24)*s_RadSpec!Y15)+(s_ET_res_i*(1/24)*s_RadSpec!AD15))))*1,".")</f>
        <v>.</v>
      </c>
      <c r="V15" s="15" t="str">
        <f>IFERROR((s_TR/(s_RadSpec!K15*s_EF_res*(1/365)*s_ED_res*s_RadSpec!P15*((s_ET_res_o*(1/24)*s_RadSpec!U15)+(s_ET_res_i*(1/24)*s_RadSpec!Z15))))*1,".")</f>
        <v>.</v>
      </c>
      <c r="W15" s="40">
        <f>IFERROR((s_C*s_EF_res*(1/365)*s_ED_res*s_RadSpec!Q15*((s_ET_res_o*(1/24)*s_RadSpec!V15)+(s_ET_res_i*(1/24)*s_RadSpec!AA15))),".")</f>
        <v>0</v>
      </c>
      <c r="X15" s="40">
        <f>IFERROR((s_C*s_EF_res*(1/365)*s_ED_res*s_RadSpec!R15*((s_ET_res_o*(1/24)*s_RadSpec!W15)+(s_ET_res_i*(1/24)*s_RadSpec!AB15))),".")</f>
        <v>0</v>
      </c>
      <c r="Y15" s="40">
        <f>IFERROR((s_C*s_EF_res*(1/365)*s_ED_res*s_RadSpec!S15*((s_ET_res_o*(1/24)*s_RadSpec!X15)+(s_ET_res_i*(1/24)*s_RadSpec!AC15))),".")</f>
        <v>0</v>
      </c>
      <c r="Z15" s="40">
        <f>IFERROR((s_C*s_EF_res*(1/365)*s_ED_res*s_RadSpec!T15*((s_ET_res_o*(1/24)*s_RadSpec!Y15)+(s_ET_res_i*(1/24)*s_RadSpec!AD15))),".")</f>
        <v>0</v>
      </c>
      <c r="AA15" s="40">
        <f>IFERROR((s_C*s_EF_res*(1/365)*s_ED_res*s_RadSpec!P15*((s_ET_res_o*(1/24)*s_RadSpec!U15)+(s_ET_res_i*(1/24)*s_RadSpec!Z15))),".")</f>
        <v>0</v>
      </c>
      <c r="AB15" s="18"/>
      <c r="AC15" s="18"/>
      <c r="AD15" s="18"/>
      <c r="AE15" s="18"/>
      <c r="AF15" s="18"/>
      <c r="AG15" s="15">
        <f>IFERROR((s_TR/(s_RadSpec!G15*s_IFA_res_adj)),".")</f>
        <v>26381.236345649158</v>
      </c>
      <c r="AH15" s="15">
        <f>IFERROR((s_TR/(s_RadSpec!J15*s_EF_res*(1/365)*s_ED_res*s_ET_res*(1/24)*s_GSF_a)),".")</f>
        <v>5138608.8347073961</v>
      </c>
      <c r="AI15" s="15">
        <f t="shared" ref="AI15:AI16" si="19">IFERROR(IF(AND(AG15&lt;&gt;".",AH15&lt;&gt;"."),1/((1/AG15)+(1/AH15)),IF(AND(AG15&lt;&gt;".",AH15="."),1/((1/AG15)),IF(AND(AG15=".",AH15&lt;&gt;"."),1/((1/AH15)),IF(AND(AG15=".",AH15="."),".")))),".")</f>
        <v>26246.488820184288</v>
      </c>
      <c r="AJ15" s="40">
        <f t="shared" si="2"/>
        <v>911.45833333333326</v>
      </c>
      <c r="AK15" s="40">
        <f t="shared" si="3"/>
        <v>0.57077625570776247</v>
      </c>
      <c r="AL15" s="18"/>
      <c r="AM15" s="18"/>
      <c r="AN15" s="18"/>
      <c r="AO15" s="15">
        <f>IFERROR((s_TR/(s_RadSpec!H15*s_IFW_res_adj)),".")</f>
        <v>8303.2341096857217</v>
      </c>
      <c r="AP15" s="15" t="str">
        <f>IFERROR(IF(s_RadSpec!C15=1,(s_TR/(s_RadSpec!G15*s_IFA_res_adj*s_K)),"."),".")</f>
        <v>.</v>
      </c>
      <c r="AQ15" s="15">
        <f>IFERROR((s_TR/(s_RadSpec!L15*(1/8760)*s_DFA_res_adj)),".")</f>
        <v>9425086556.1216087</v>
      </c>
      <c r="AR15" s="15">
        <f>s_b2w!C15</f>
        <v>15591.938022441453</v>
      </c>
      <c r="AS15" s="15">
        <f t="shared" ref="AS15:AS16" si="20">(IF(AND(AO15&lt;&gt;".",AP15&lt;&gt;".",AQ15&lt;&gt;".",AR15&lt;&gt;"."),1/((1/AO15)+(1/AP15)+(1/AQ15)+(1/AR15)),IF(AND(AO15&lt;&gt;".",AP15&lt;&gt;".",AQ15&lt;&gt;".",AR15="."), 1/((1/AO15)+(1/AP15)+(1/AQ15)),IF(AND(AO15&lt;&gt;".",AP15&lt;&gt;".",AQ15=".",AR15&lt;&gt;"."),1/((1/AO15)+(1/AP15)+(1/AR15)),IF(AND(AO15&lt;&gt;".",AP15=".",AQ15&lt;&gt;".",AR15&lt;&gt;"."),1/((1/AO15)+(1/AQ15)+(1/AR15)),IF(AND(AO15=".",AP15&lt;&gt;".",AQ15&lt;&gt;".",AR15&lt;&gt;"."),1/((1/AP15)+(1/AQ15)+(1/AR15)),IF(AND(AO15&lt;&gt;".",AP15&lt;&gt;".",AQ15=".",AR15="."),1/((1/AO15)+(1/AP15)),IF(AND(AO15&lt;&gt;".",AP15=".",AQ15&lt;&gt;".",AR15="."),1/((1/AO15)+(1/AQ15)),IF(AND(AO15&lt;&gt;".",AP15=".",AQ15=".",AR15&lt;&gt;"."),1/((1/AO15)+(1/AR15)),IF(AND(AO15=".",AP15=".",AQ15&lt;&gt;".",AR15&lt;&gt;"."),1/((1/AQ15)+(1/AR15)),IF(AND(AO15=".",AP15&lt;&gt;".",AQ15=".",AR15&lt;&gt;"."),1/((1/AP15)+(1/AR15)),IF(AND(AO15=".",AP15&lt;&gt;".",AQ15&lt;&gt;".",AR15="."),1/((1/AP15)+(1/AQ15)),IF(AND(AO15&lt;&gt;".",AP15=".",AQ15=".",AR15="."),1/((1/AO15)),IF(AND(AO15=".",AP15&lt;&gt;".",AQ15=".",AR15="."),1/((1/AP15)),IF(AND(AO15=".",AP15=".",AQ15&lt;&gt;".",AR15="."),1/((1/AQ15)),IF(AND(AO15=".",AP15=".",AQ15=".",AR15&lt;&gt;"."),1/((1/AR15)),IF(AND(AO15=".",AP15=".",AQ15=".",AR15="."),".")))))))))))))))))</f>
        <v>5417.9746639438072</v>
      </c>
      <c r="AT15" s="40">
        <f t="shared" si="4"/>
        <v>2500</v>
      </c>
      <c r="AU15" s="40">
        <f t="shared" si="5"/>
        <v>455.72916666666663</v>
      </c>
      <c r="AV15" s="40">
        <f t="shared" si="6"/>
        <v>0.22831050228310501</v>
      </c>
      <c r="AW15" s="40">
        <f>s_b2w!AB15</f>
        <v>920.06238904888528</v>
      </c>
      <c r="AX15" s="18"/>
      <c r="AY15" s="18"/>
      <c r="AZ15" s="18"/>
      <c r="BA15" s="18"/>
      <c r="BB15" s="18"/>
      <c r="BC15" s="15">
        <f>IFERROR(s_TR/(s_RadSpec!E15*s_EF_res*s_ED_res*s_IRF_res*0.001*s_CF_res_fish),".")</f>
        <v>1043.3131452239732</v>
      </c>
      <c r="BD15" s="40">
        <f t="shared" si="7"/>
        <v>13750</v>
      </c>
      <c r="BE15" s="18"/>
    </row>
    <row r="16" spans="1:57" x14ac:dyDescent="0.25">
      <c r="A16" s="44" t="s">
        <v>26</v>
      </c>
      <c r="B16" s="42" t="s">
        <v>1074</v>
      </c>
      <c r="C16" s="15">
        <f>IFERROR(((s_TR/(s_RadSpec!D16*s_IFS_res_adj*(1/1000)))*1),".")</f>
        <v>105.90527831907143</v>
      </c>
      <c r="D16" s="15">
        <f>IFERROR(IF(A16="H-3",(s_TR/((s_RadSpec!G16*s_IFA_res_adj*(1/17)*1000))*1),(s_TR/((s_RadSpec!G16*s_IFA_res_adj*(1/s_PEF_wind)*1000))*1)),".")</f>
        <v>107068.32240239423</v>
      </c>
      <c r="E16" s="15">
        <f>IFERROR((s_TR/(s_RadSpec!F16*s_EF_res*(1/365)*s_ED_res*s_RadSpec!Q16*((s_ET_res_o*(1/24)*s_RadSpec!V16)+(s_ET_res_i*(1/24)*s_RadSpec!AA16))))*1,".")</f>
        <v>1576201242.5760994</v>
      </c>
      <c r="F16" s="15">
        <f>s_b2s!C16</f>
        <v>1.9901919816504459</v>
      </c>
      <c r="G16" s="15">
        <f>s_dir!C16</f>
        <v>7.7264228207624422E-2</v>
      </c>
      <c r="H16" s="15">
        <f t="shared" si="18"/>
        <v>1.9534461398109784</v>
      </c>
      <c r="I16" s="40">
        <f t="shared" si="0"/>
        <v>27.5</v>
      </c>
      <c r="J16" s="40">
        <f t="shared" si="1"/>
        <v>2.9420495991003873E-3</v>
      </c>
      <c r="K16" s="40">
        <f>IFERROR((s_C*s_EF_res*(1/365)*s_ED_res*s_RadSpec!Q16*((s_ET_res_o*(1/24)*s_RadSpec!V16)+(s_ET_res_i*(1/24)*s_RadSpec!AA16))),".")</f>
        <v>2.1391878669275917E-6</v>
      </c>
      <c r="L16" s="40">
        <f>s_b2s!AB16</f>
        <v>2135.2375000000002</v>
      </c>
      <c r="M16" s="18"/>
      <c r="N16" s="18"/>
      <c r="O16" s="18"/>
      <c r="P16" s="18"/>
      <c r="Q16" s="18"/>
      <c r="R16" s="15">
        <f>IFERROR((s_TR/(s_RadSpec!F16*s_EF_res*(1/365)*s_ED_res*s_RadSpec!Q16*((s_ET_res_o*(1/24)*s_RadSpec!V16)+(s_ET_res_i*(1/24)*s_RadSpec!AA16))))*1,".")</f>
        <v>1576201242.5760994</v>
      </c>
      <c r="S16" s="15">
        <f>IFERROR((s_TR/(s_RadSpec!M16*s_EF_res*(1/365)*s_ED_res*s_RadSpec!R16*((s_ET_res_o*(1/24)*s_RadSpec!W16)+(s_ET_res_i*(1/24)*s_RadSpec!AB16))))*1,".")</f>
        <v>4368987281.6989088</v>
      </c>
      <c r="T16" s="15">
        <f>IFERROR((s_TR/(s_RadSpec!N16*s_EF_res*(1/365)*s_ED_res*s_RadSpec!S16*((s_ET_res_o*(1/24)*s_RadSpec!X16)+(s_ET_res_i*(1/24)*s_RadSpec!AC16))))*1,".")</f>
        <v>1705170460.7530971</v>
      </c>
      <c r="U16" s="15">
        <f>IFERROR((s_TR/(s_RadSpec!O16*s_EF_res*(1/365)*s_ED_res*s_RadSpec!T16*((s_ET_res_o*(1/24)*s_RadSpec!Y16)+(s_ET_res_i*(1/24)*s_RadSpec!AD16))))*1,".")</f>
        <v>1695086681.6554201</v>
      </c>
      <c r="V16" s="15">
        <f>IFERROR((s_TR/(s_RadSpec!K16*s_EF_res*(1/365)*s_ED_res*s_RadSpec!P16*((s_ET_res_o*(1/24)*s_RadSpec!U16)+(s_ET_res_i*(1/24)*s_RadSpec!Z16))))*1,".")</f>
        <v>56707247911.359032</v>
      </c>
      <c r="W16" s="40">
        <f>IFERROR((s_C*s_EF_res*(1/365)*s_ED_res*s_RadSpec!Q16*((s_ET_res_o*(1/24)*s_RadSpec!V16)+(s_ET_res_i*(1/24)*s_RadSpec!AA16))),".")</f>
        <v>2.1391878669275917E-6</v>
      </c>
      <c r="X16" s="40">
        <f>IFERROR((s_C*s_EF_res*(1/365)*s_ED_res*s_RadSpec!R16*((s_ET_res_o*(1/24)*s_RadSpec!W16)+(s_ET_res_i*(1/24)*s_RadSpec!AB16))),".")</f>
        <v>1.2011392920113922E-6</v>
      </c>
      <c r="Y16" s="40">
        <f>IFERROR((s_C*s_EF_res*(1/365)*s_ED_res*s_RadSpec!S16*((s_ET_res_o*(1/24)*s_RadSpec!X16)+(s_ET_res_i*(1/24)*s_RadSpec!AC16))),".")</f>
        <v>1.9994330803406136E-6</v>
      </c>
      <c r="Z16" s="40">
        <f>IFERROR((s_C*s_EF_res*(1/365)*s_ED_res*s_RadSpec!T16*((s_ET_res_o*(1/24)*s_RadSpec!Y16)+(s_ET_res_i*(1/24)*s_RadSpec!AD16))),".")</f>
        <v>1.989155251141551E-6</v>
      </c>
      <c r="AA16" s="40">
        <f>IFERROR((s_C*s_EF_res*(1/365)*s_ED_res*s_RadSpec!P16*((s_ET_res_o*(1/24)*s_RadSpec!U16)+(s_ET_res_i*(1/24)*s_RadSpec!Z16))),".")</f>
        <v>5.1369863013698623E-8</v>
      </c>
      <c r="AB16" s="18"/>
      <c r="AC16" s="18"/>
      <c r="AD16" s="18"/>
      <c r="AE16" s="18"/>
      <c r="AF16" s="18"/>
      <c r="AG16" s="15">
        <f>IFERROR((s_TR/(s_RadSpec!G16*s_IFA_res_adj)),".")</f>
        <v>0.34560034560034564</v>
      </c>
      <c r="AH16" s="15">
        <f>IFERROR((s_TR/(s_RadSpec!J16*s_EF_res*(1/365)*s_ED_res*s_ET_res*(1/24)*s_GSF_a)),".")</f>
        <v>2226222.22512546</v>
      </c>
      <c r="AI16" s="15">
        <f t="shared" si="19"/>
        <v>0.3456002919491068</v>
      </c>
      <c r="AJ16" s="40">
        <f t="shared" si="2"/>
        <v>911.45833333333326</v>
      </c>
      <c r="AK16" s="40">
        <f t="shared" si="3"/>
        <v>0.57077625570776247</v>
      </c>
      <c r="AL16" s="18"/>
      <c r="AM16" s="18"/>
      <c r="AN16" s="18"/>
      <c r="AO16" s="15">
        <f>IFERROR((s_TR/(s_RadSpec!H16*s_IFW_res_adj)),".")</f>
        <v>2.2616759018432657</v>
      </c>
      <c r="AP16" s="15" t="str">
        <f>IFERROR(IF(s_RadSpec!C16=1,(s_TR/(s_RadSpec!G16*s_IFA_res_adj*s_K)),"."),".")</f>
        <v>.</v>
      </c>
      <c r="AQ16" s="15">
        <f>IFERROR((s_TR/(s_RadSpec!L16*(1/8760)*s_DFA_res_adj)),".")</f>
        <v>2410786921.1673522</v>
      </c>
      <c r="AR16" s="15">
        <f>s_b2w!C16</f>
        <v>4.6187439047609571</v>
      </c>
      <c r="AS16" s="15">
        <f t="shared" si="20"/>
        <v>1.5182361066948176</v>
      </c>
      <c r="AT16" s="40">
        <f t="shared" si="4"/>
        <v>2500</v>
      </c>
      <c r="AU16" s="40">
        <f t="shared" si="5"/>
        <v>455.72916666666663</v>
      </c>
      <c r="AV16" s="40">
        <f t="shared" si="6"/>
        <v>0.22831050228310501</v>
      </c>
      <c r="AW16" s="40">
        <f>s_b2w!AB16</f>
        <v>920.06238904888528</v>
      </c>
      <c r="AX16" s="18"/>
      <c r="AY16" s="18"/>
      <c r="AZ16" s="18"/>
      <c r="BA16" s="18"/>
      <c r="BB16" s="18"/>
      <c r="BC16" s="15">
        <f>IFERROR(s_TR/(s_RadSpec!E16*s_EF_res*s_ED_res*s_IRF_res*0.001*s_CF_res_fish),".")</f>
        <v>0.30905691283049769</v>
      </c>
      <c r="BD16" s="40">
        <f t="shared" si="7"/>
        <v>13750</v>
      </c>
      <c r="BE16" s="18"/>
    </row>
    <row r="17" spans="1:57" x14ac:dyDescent="0.25">
      <c r="A17" s="44" t="s">
        <v>27</v>
      </c>
      <c r="B17" s="42" t="s">
        <v>1074</v>
      </c>
      <c r="C17" s="15">
        <f>IFERROR(((s_TR/(s_RadSpec!D17*s_IFS_res_adj*(1/1000)))*1),".")</f>
        <v>229626.3978506969</v>
      </c>
      <c r="D17" s="15">
        <f>IFERROR(IF(A17="H-3",(s_TR/((s_RadSpec!G17*s_IFA_res_adj*(1/17)*1000))*1),(s_TR/((s_RadSpec!G17*s_IFA_res_adj*(1/s_PEF_wind)*1000))*1)),".")</f>
        <v>21872528.719346251</v>
      </c>
      <c r="E17" s="15">
        <f>IFERROR((s_TR/(s_RadSpec!F17*s_EF_res*(1/365)*s_ED_res*s_RadSpec!Q17*((s_ET_res_o*(1/24)*s_RadSpec!V17)+(s_ET_res_i*(1/24)*s_RadSpec!AA17))))*1,".")</f>
        <v>216.26415451720075</v>
      </c>
      <c r="F17" s="15">
        <f>s_b2s!C17</f>
        <v>4831.1530546934482</v>
      </c>
      <c r="G17" s="15">
        <f>s_dir!C17</f>
        <v>187.55743946583638</v>
      </c>
      <c r="H17" s="15">
        <f t="shared" si="18"/>
        <v>206.80960583729507</v>
      </c>
      <c r="I17" s="40">
        <f t="shared" si="0"/>
        <v>27.5</v>
      </c>
      <c r="J17" s="40">
        <f t="shared" si="1"/>
        <v>2.9420495991003873E-3</v>
      </c>
      <c r="K17" s="40">
        <f>IFERROR((s_C*s_EF_res*(1/365)*s_ED_res*s_RadSpec!Q17*((s_ET_res_o*(1/24)*s_RadSpec!V17)+(s_ET_res_i*(1/24)*s_RadSpec!AA17))),".")</f>
        <v>2.3267526188557628E-2</v>
      </c>
      <c r="L17" s="40">
        <f>s_b2s!AB17</f>
        <v>2135.2375000000002</v>
      </c>
      <c r="M17" s="18"/>
      <c r="N17" s="18"/>
      <c r="O17" s="18"/>
      <c r="P17" s="18"/>
      <c r="Q17" s="18"/>
      <c r="R17" s="15">
        <f>IFERROR((s_TR/(s_RadSpec!F17*s_EF_res*(1/365)*s_ED_res*s_RadSpec!Q17*((s_ET_res_o*(1/24)*s_RadSpec!V17)+(s_ET_res_i*(1/24)*s_RadSpec!AA17))))*1,".")</f>
        <v>216.26415451720075</v>
      </c>
      <c r="S17" s="15">
        <f>IFERROR((s_TR/(s_RadSpec!M17*s_EF_res*(1/365)*s_ED_res*s_RadSpec!R17*((s_ET_res_o*(1/24)*s_RadSpec!W17)+(s_ET_res_i*(1/24)*s_RadSpec!AB17))))*1,".")</f>
        <v>1661.4141492573019</v>
      </c>
      <c r="T17" s="15">
        <f>IFERROR((s_TR/(s_RadSpec!N17*s_EF_res*(1/365)*s_ED_res*s_RadSpec!S17*((s_ET_res_o*(1/24)*s_RadSpec!X17)+(s_ET_res_i*(1/24)*s_RadSpec!AC17))))*1,".")</f>
        <v>449.43543041369975</v>
      </c>
      <c r="U17" s="15">
        <f>IFERROR((s_TR/(s_RadSpec!O17*s_EF_res*(1/365)*s_ED_res*s_RadSpec!T17*((s_ET_res_o*(1/24)*s_RadSpec!Y17)+(s_ET_res_i*(1/24)*s_RadSpec!AD17))))*1,".")</f>
        <v>270.37945861077839</v>
      </c>
      <c r="V17" s="15">
        <f>IFERROR((s_TR/(s_RadSpec!K17*s_EF_res*(1/365)*s_ED_res*s_RadSpec!P17*((s_ET_res_o*(1/24)*s_RadSpec!U17)+(s_ET_res_i*(1/24)*s_RadSpec!Z17))))*1,".")</f>
        <v>3226.8311805899339</v>
      </c>
      <c r="W17" s="40">
        <f>IFERROR((s_C*s_EF_res*(1/365)*s_ED_res*s_RadSpec!Q17*((s_ET_res_o*(1/24)*s_RadSpec!V17)+(s_ET_res_i*(1/24)*s_RadSpec!AA17))),".")</f>
        <v>2.3267526188557628E-2</v>
      </c>
      <c r="X17" s="40">
        <f>IFERROR((s_C*s_EF_res*(1/365)*s_ED_res*s_RadSpec!R17*((s_ET_res_o*(1/24)*s_RadSpec!W17)+(s_ET_res_i*(1/24)*s_RadSpec!AB17))),".")</f>
        <v>1.331315705638738E-2</v>
      </c>
      <c r="Y17" s="40">
        <f>IFERROR((s_C*s_EF_res*(1/365)*s_ED_res*s_RadSpec!S17*((s_ET_res_o*(1/24)*s_RadSpec!X17)+(s_ET_res_i*(1/24)*s_RadSpec!AC17))),".")</f>
        <v>1.7670430222602739E-2</v>
      </c>
      <c r="Z17" s="40">
        <f>IFERROR((s_C*s_EF_res*(1/365)*s_ED_res*s_RadSpec!T17*((s_ET_res_o*(1/24)*s_RadSpec!Y17)+(s_ET_res_i*(1/24)*s_RadSpec!AD17))),".")</f>
        <v>1.9871575342465756E-2</v>
      </c>
      <c r="AA17" s="40">
        <f>IFERROR((s_C*s_EF_res*(1/365)*s_ED_res*s_RadSpec!P17*((s_ET_res_o*(1/24)*s_RadSpec!U17)+(s_ET_res_i*(1/24)*s_RadSpec!Z17))),".")</f>
        <v>6.9479182699707558E-3</v>
      </c>
      <c r="AB17" s="18"/>
      <c r="AC17" s="18"/>
      <c r="AD17" s="18"/>
      <c r="AE17" s="18"/>
      <c r="AF17" s="18"/>
      <c r="AG17" s="15">
        <f>IFERROR((s_TR/(s_RadSpec!G17*s_IFA_res_adj)),".")</f>
        <v>70.601213458356312</v>
      </c>
      <c r="AH17" s="15">
        <f>IFERROR((s_TR/(s_RadSpec!J17*s_EF_res*(1/365)*s_ED_res*s_ET_res*(1/24)*s_GSF_a)),".")</f>
        <v>8593.7788071853374</v>
      </c>
      <c r="AI17" s="15">
        <f>IFERROR(IF(AND(AG17&lt;&gt;".",AH17&lt;&gt;"."),1/((1/AG17)+(1/AH17)),IF(AND(AG17&lt;&gt;".",AH17="."),1/((1/AG17)),IF(AND(AG17=".",AH17&lt;&gt;"."),1/((1/AH17)),IF(AND(AG17=".",AH17="."),".")))),".")</f>
        <v>70.02592343992265</v>
      </c>
      <c r="AJ17" s="40">
        <f t="shared" si="2"/>
        <v>911.45833333333326</v>
      </c>
      <c r="AK17" s="40">
        <f t="shared" si="3"/>
        <v>0.57077625570776247</v>
      </c>
      <c r="AL17" s="18"/>
      <c r="AM17" s="18"/>
      <c r="AN17" s="18"/>
      <c r="AO17" s="15">
        <f>IFERROR((s_TR/(s_RadSpec!H17*s_IFW_res_adj)),".")</f>
        <v>5806.0208436148287</v>
      </c>
      <c r="AP17" s="15" t="str">
        <f>IFERROR(IF(s_RadSpec!C17=1,(s_TR/(s_RadSpec!G17*s_IFA_res_adj*s_K)),"."),".")</f>
        <v>.</v>
      </c>
      <c r="AQ17" s="15">
        <f>IFERROR((s_TR/(s_RadSpec!L17*(1/8760)*s_DFA_res_adj)),".")</f>
        <v>9819854.5794146601</v>
      </c>
      <c r="AR17" s="15">
        <f>s_b2w!C17</f>
        <v>11211.912684839575</v>
      </c>
      <c r="AS17" s="15">
        <f>(IF(AND(AO17&lt;&gt;".",AP17&lt;&gt;".",AQ17&lt;&gt;".",AR17&lt;&gt;"."),1/((1/AO17)+(1/AP17)+(1/AQ17)+(1/AR17)),IF(AND(AO17&lt;&gt;".",AP17&lt;&gt;".",AQ17&lt;&gt;".",AR17="."), 1/((1/AO17)+(1/AP17)+(1/AQ17)),IF(AND(AO17&lt;&gt;".",AP17&lt;&gt;".",AQ17=".",AR17&lt;&gt;"."),1/((1/AO17)+(1/AP17)+(1/AR17)),IF(AND(AO17&lt;&gt;".",AP17=".",AQ17&lt;&gt;".",AR17&lt;&gt;"."),1/((1/AO17)+(1/AQ17)+(1/AR17)),IF(AND(AO17=".",AP17&lt;&gt;".",AQ17&lt;&gt;".",AR17&lt;&gt;"."),1/((1/AP17)+(1/AQ17)+(1/AR17)),IF(AND(AO17&lt;&gt;".",AP17&lt;&gt;".",AQ17=".",AR17="."),1/((1/AO17)+(1/AP17)),IF(AND(AO17&lt;&gt;".",AP17=".",AQ17&lt;&gt;".",AR17="."),1/((1/AO17)+(1/AQ17)),IF(AND(AO17&lt;&gt;".",AP17=".",AQ17=".",AR17&lt;&gt;"."),1/((1/AO17)+(1/AR17)),IF(AND(AO17=".",AP17=".",AQ17&lt;&gt;".",AR17&lt;&gt;"."),1/((1/AQ17)+(1/AR17)),IF(AND(AO17=".",AP17&lt;&gt;".",AQ17=".",AR17&lt;&gt;"."),1/((1/AP17)+(1/AR17)),IF(AND(AO17=".",AP17&lt;&gt;".",AQ17&lt;&gt;".",AR17="."),1/((1/AP17)+(1/AQ17)),IF(AND(AO17&lt;&gt;".",AP17=".",AQ17=".",AR17="."),1/((1/AO17)),IF(AND(AO17=".",AP17&lt;&gt;".",AQ17=".",AR17="."),1/((1/AP17)),IF(AND(AO17=".",AP17=".",AQ17&lt;&gt;".",AR17="."),1/((1/AQ17)),IF(AND(AO17=".",AP17=".",AQ17=".",AR17&lt;&gt;"."),1/((1/AR17)),IF(AND(AO17=".",AP17=".",AQ17=".",AR17="."),".")))))))))))))))))</f>
        <v>3823.6870011421588</v>
      </c>
      <c r="AT17" s="40">
        <f t="shared" si="4"/>
        <v>2500</v>
      </c>
      <c r="AU17" s="40">
        <f t="shared" si="5"/>
        <v>455.72916666666663</v>
      </c>
      <c r="AV17" s="40">
        <f t="shared" si="6"/>
        <v>0.22831050228310501</v>
      </c>
      <c r="AW17" s="40">
        <f>s_b2w!AB17</f>
        <v>920.06238904888528</v>
      </c>
      <c r="AX17" s="18"/>
      <c r="AY17" s="18"/>
      <c r="AZ17" s="18"/>
      <c r="BA17" s="18"/>
      <c r="BB17" s="18"/>
      <c r="BC17" s="15">
        <f>IFERROR(s_TR/(s_RadSpec!E17*s_EF_res*s_ED_res*s_IRF_res*0.001*s_CF_res_fish),".")</f>
        <v>750.22975786334541</v>
      </c>
      <c r="BD17" s="40">
        <f t="shared" si="7"/>
        <v>13750</v>
      </c>
      <c r="BE17" s="18"/>
    </row>
    <row r="18" spans="1:57" x14ac:dyDescent="0.25">
      <c r="A18" s="44" t="s">
        <v>28</v>
      </c>
      <c r="B18" s="42" t="s">
        <v>1074</v>
      </c>
      <c r="C18" s="15">
        <f>IFERROR(((s_TR/(s_RadSpec!D18*s_IFS_res_adj*(1/1000)))*1),".")</f>
        <v>55.525479254292819</v>
      </c>
      <c r="D18" s="15">
        <f>IFERROR(IF(A18="H-3",(s_TR/((s_RadSpec!G18*s_IFA_res_adj*(1/17)*1000))*1),(s_TR/((s_RadSpec!G18*s_IFA_res_adj*(1/s_PEF_wind)*1000))*1)),".")</f>
        <v>117174.26099649776</v>
      </c>
      <c r="E18" s="15">
        <f>IFERROR((s_TR/(s_RadSpec!F18*s_EF_res*(1/365)*s_ED_res*s_RadSpec!Q18*((s_ET_res_o*(1/24)*s_RadSpec!V18)+(s_ET_res_i*(1/24)*s_RadSpec!AA18))))*1,".")</f>
        <v>2428353.5578743829</v>
      </c>
      <c r="F18" s="15">
        <f>s_b2s!C18</f>
        <v>2.156326452756538</v>
      </c>
      <c r="G18" s="15">
        <f>s_dir!C18</f>
        <v>4.0344867931074828E-2</v>
      </c>
      <c r="H18" s="15">
        <f t="shared" si="18"/>
        <v>2.0756776757979605</v>
      </c>
      <c r="I18" s="40">
        <f t="shared" si="0"/>
        <v>27.5</v>
      </c>
      <c r="J18" s="40">
        <f t="shared" si="1"/>
        <v>2.9420495991003873E-3</v>
      </c>
      <c r="K18" s="40">
        <f>IFERROR((s_C*s_EF_res*(1/365)*s_ED_res*s_RadSpec!Q18*((s_ET_res_o*(1/24)*s_RadSpec!V18)+(s_ET_res_i*(1/24)*s_RadSpec!AA18))),".")</f>
        <v>4.5684101744010615E-2</v>
      </c>
      <c r="L18" s="40">
        <f>s_b2s!AB18</f>
        <v>1029.05</v>
      </c>
      <c r="M18" s="18"/>
      <c r="N18" s="18"/>
      <c r="O18" s="18"/>
      <c r="P18" s="18"/>
      <c r="Q18" s="18"/>
      <c r="R18" s="15">
        <f>IFERROR((s_TR/(s_RadSpec!F18*s_EF_res*(1/365)*s_ED_res*s_RadSpec!Q18*((s_ET_res_o*(1/24)*s_RadSpec!V18)+(s_ET_res_i*(1/24)*s_RadSpec!AA18))))*1,".")</f>
        <v>2428353.5578743829</v>
      </c>
      <c r="S18" s="15">
        <f>IFERROR((s_TR/(s_RadSpec!M18*s_EF_res*(1/365)*s_ED_res*s_RadSpec!R18*((s_ET_res_o*(1/24)*s_RadSpec!W18)+(s_ET_res_i*(1/24)*s_RadSpec!AB18))))*1,".")</f>
        <v>24200582.361690469</v>
      </c>
      <c r="T18" s="15">
        <f>IFERROR((s_TR/(s_RadSpec!N18*s_EF_res*(1/365)*s_ED_res*s_RadSpec!S18*((s_ET_res_o*(1/24)*s_RadSpec!X18)+(s_ET_res_i*(1/24)*s_RadSpec!AC18))))*1,".")</f>
        <v>5969030.5645862585</v>
      </c>
      <c r="U18" s="15">
        <f>IFERROR((s_TR/(s_RadSpec!O18*s_EF_res*(1/365)*s_ED_res*s_RadSpec!T18*((s_ET_res_o*(1/24)*s_RadSpec!Y18)+(s_ET_res_i*(1/24)*s_RadSpec!AD18))))*1,".")</f>
        <v>3174424.3017262835</v>
      </c>
      <c r="V18" s="15">
        <f>IFERROR((s_TR/(s_RadSpec!K18*s_EF_res*(1/365)*s_ED_res*s_RadSpec!P18*((s_ET_res_o*(1/24)*s_RadSpec!U18)+(s_ET_res_i*(1/24)*s_RadSpec!Z18))))*1,".")</f>
        <v>42318186.296267152</v>
      </c>
      <c r="W18" s="40">
        <f>IFERROR((s_C*s_EF_res*(1/365)*s_ED_res*s_RadSpec!Q18*((s_ET_res_o*(1/24)*s_RadSpec!V18)+(s_ET_res_i*(1/24)*s_RadSpec!AA18))),".")</f>
        <v>4.5684101744010615E-2</v>
      </c>
      <c r="X18" s="40">
        <f>IFERROR((s_C*s_EF_res*(1/365)*s_ED_res*s_RadSpec!R18*((s_ET_res_o*(1/24)*s_RadSpec!W18)+(s_ET_res_i*(1/24)*s_RadSpec!AB18))),".")</f>
        <v>2.3087823843610328E-2</v>
      </c>
      <c r="Y18" s="40">
        <f>IFERROR((s_C*s_EF_res*(1/365)*s_ED_res*s_RadSpec!S18*((s_ET_res_o*(1/24)*s_RadSpec!X18)+(s_ET_res_i*(1/24)*s_RadSpec!AC18))),".")</f>
        <v>3.2968684572590772E-2</v>
      </c>
      <c r="Z18" s="40">
        <f>IFERROR((s_C*s_EF_res*(1/365)*s_ED_res*s_RadSpec!T18*((s_ET_res_o*(1/24)*s_RadSpec!Y18)+(s_ET_res_i*(1/24)*s_RadSpec!AD18))),".")</f>
        <v>3.9792354756619179E-2</v>
      </c>
      <c r="AA18" s="40">
        <f>IFERROR((s_C*s_EF_res*(1/365)*s_ED_res*s_RadSpec!P18*((s_ET_res_o*(1/24)*s_RadSpec!U18)+(s_ET_res_i*(1/24)*s_RadSpec!Z18))),".")</f>
        <v>1.3582540051079639E-2</v>
      </c>
      <c r="AB18" s="18"/>
      <c r="AC18" s="18"/>
      <c r="AD18" s="18"/>
      <c r="AE18" s="18"/>
      <c r="AF18" s="18"/>
      <c r="AG18" s="15">
        <f>IFERROR((s_TR/(s_RadSpec!G18*s_IFA_res_adj)),".")</f>
        <v>0.37822078638405171</v>
      </c>
      <c r="AH18" s="15">
        <f>IFERROR((s_TR/(s_RadSpec!J18*s_EF_res*(1/365)*s_ED_res*s_ET_res*(1/24)*s_GSF_a)),".")</f>
        <v>209563377.05789945</v>
      </c>
      <c r="AI18" s="15">
        <f t="shared" ref="AI18" si="21">IFERROR(IF(AND(AG18&lt;&gt;".",AH18&lt;&gt;"."),1/((1/AG18)+(1/AH18)),IF(AND(AG18&lt;&gt;".",AH18="."),1/((1/AG18)),IF(AND(AG18=".",AH18&lt;&gt;"."),1/((1/AH18)),IF(AND(AG18=".",AH18="."),".")))),".")</f>
        <v>0.37822078570143736</v>
      </c>
      <c r="AJ18" s="40">
        <f t="shared" si="2"/>
        <v>911.45833333333326</v>
      </c>
      <c r="AK18" s="40">
        <f t="shared" si="3"/>
        <v>0.57077625570776247</v>
      </c>
      <c r="AL18" s="18"/>
      <c r="AM18" s="18"/>
      <c r="AN18" s="18"/>
      <c r="AO18" s="15">
        <f>IFERROR((s_TR/(s_RadSpec!H18*s_IFW_res_adj)),".")</f>
        <v>1.1261261261261262</v>
      </c>
      <c r="AP18" s="15" t="str">
        <f>IFERROR(IF(s_RadSpec!C18=1,(s_TR/(s_RadSpec!G18*s_IFA_res_adj*s_K)),"."),".")</f>
        <v>.</v>
      </c>
      <c r="AQ18" s="15">
        <f>IFERROR((s_TR/(s_RadSpec!L18*(1/8760)*s_DFA_res_adj)),".")</f>
        <v>241388960703.75806</v>
      </c>
      <c r="AR18" s="15">
        <f>s_b2w!C18</f>
        <v>3.1687672904104303</v>
      </c>
      <c r="AS18" s="15">
        <f t="shared" ref="AS18" si="22">(IF(AND(AO18&lt;&gt;".",AP18&lt;&gt;".",AQ18&lt;&gt;".",AR18&lt;&gt;"."),1/((1/AO18)+(1/AP18)+(1/AQ18)+(1/AR18)),IF(AND(AO18&lt;&gt;".",AP18&lt;&gt;".",AQ18&lt;&gt;".",AR18="."), 1/((1/AO18)+(1/AP18)+(1/AQ18)),IF(AND(AO18&lt;&gt;".",AP18&lt;&gt;".",AQ18=".",AR18&lt;&gt;"."),1/((1/AO18)+(1/AP18)+(1/AR18)),IF(AND(AO18&lt;&gt;".",AP18=".",AQ18&lt;&gt;".",AR18&lt;&gt;"."),1/((1/AO18)+(1/AQ18)+(1/AR18)),IF(AND(AO18=".",AP18&lt;&gt;".",AQ18&lt;&gt;".",AR18&lt;&gt;"."),1/((1/AP18)+(1/AQ18)+(1/AR18)),IF(AND(AO18&lt;&gt;".",AP18&lt;&gt;".",AQ18=".",AR18="."),1/((1/AO18)+(1/AP18)),IF(AND(AO18&lt;&gt;".",AP18=".",AQ18&lt;&gt;".",AR18="."),1/((1/AO18)+(1/AQ18)),IF(AND(AO18&lt;&gt;".",AP18=".",AQ18=".",AR18&lt;&gt;"."),1/((1/AO18)+(1/AR18)),IF(AND(AO18=".",AP18=".",AQ18&lt;&gt;".",AR18&lt;&gt;"."),1/((1/AQ18)+(1/AR18)),IF(AND(AO18=".",AP18&lt;&gt;".",AQ18=".",AR18&lt;&gt;"."),1/((1/AP18)+(1/AR18)),IF(AND(AO18=".",AP18&lt;&gt;".",AQ18&lt;&gt;".",AR18="."),1/((1/AP18)+(1/AQ18)),IF(AND(AO18&lt;&gt;".",AP18=".",AQ18=".",AR18="."),1/((1/AO18)),IF(AND(AO18=".",AP18&lt;&gt;".",AQ18=".",AR18="."),1/((1/AP18)),IF(AND(AO18=".",AP18=".",AQ18&lt;&gt;".",AR18="."),1/((1/AQ18)),IF(AND(AO18=".",AP18=".",AQ18=".",AR18&lt;&gt;"."),1/((1/AR18)),IF(AND(AO18=".",AP18=".",AQ18=".",AR18="."),".")))))))))))))))))</f>
        <v>0.83085452588726039</v>
      </c>
      <c r="AT18" s="40">
        <f t="shared" si="4"/>
        <v>2500</v>
      </c>
      <c r="AU18" s="40">
        <f t="shared" si="5"/>
        <v>455.72916666666663</v>
      </c>
      <c r="AV18" s="40">
        <f t="shared" si="6"/>
        <v>0.22831050228310501</v>
      </c>
      <c r="AW18" s="40">
        <f>s_b2w!AB18</f>
        <v>700.26213124716605</v>
      </c>
      <c r="AX18" s="18"/>
      <c r="AY18" s="18"/>
      <c r="AZ18" s="18"/>
      <c r="BA18" s="18"/>
      <c r="BB18" s="18"/>
      <c r="BC18" s="15">
        <f>IFERROR(s_TR/(s_RadSpec!E18*s_EF_res*s_ED_res*s_IRF_res*0.001*s_CF_res_fish),".")</f>
        <v>0.16137947172429931</v>
      </c>
      <c r="BD18" s="40">
        <f t="shared" si="7"/>
        <v>13750</v>
      </c>
      <c r="BE18" s="18"/>
    </row>
    <row r="19" spans="1:57" x14ac:dyDescent="0.25">
      <c r="A19" s="44" t="s">
        <v>29</v>
      </c>
      <c r="B19" s="42" t="s">
        <v>1074</v>
      </c>
      <c r="C19" s="15" t="str">
        <f>IFERROR(((s_TR/(s_RadSpec!D19*s_IFS_res_adj*(1/1000)))*1),".")</f>
        <v>.</v>
      </c>
      <c r="D19" s="15" t="str">
        <f>IFERROR(IF(A19="H-3",(s_TR/((s_RadSpec!G19*s_IFA_res_adj*(1/17)*1000))*1),(s_TR/((s_RadSpec!G19*s_IFA_res_adj*(1/s_PEF_wind)*1000))*1)),".")</f>
        <v>.</v>
      </c>
      <c r="E19" s="15">
        <f>IFERROR((s_TR/(s_RadSpec!F19*s_EF_res*(1/365)*s_ED_res*s_RadSpec!Q19*((s_ET_res_o*(1/24)*s_RadSpec!V19)+(s_ET_res_i*(1/24)*s_RadSpec!AA19))))*1,".")</f>
        <v>646257.27087617712</v>
      </c>
      <c r="F19" s="15" t="str">
        <f>s_b2s!C19</f>
        <v>.</v>
      </c>
      <c r="G19" s="15" t="str">
        <f>s_dir!C19</f>
        <v>.</v>
      </c>
      <c r="H19" s="15">
        <f t="shared" si="18"/>
        <v>646257.27087617712</v>
      </c>
      <c r="I19" s="40">
        <f t="shared" si="0"/>
        <v>27.5</v>
      </c>
      <c r="J19" s="40">
        <f t="shared" si="1"/>
        <v>2.9420495991003873E-3</v>
      </c>
      <c r="K19" s="40">
        <f>IFERROR((s_C*s_EF_res*(1/365)*s_ED_res*s_RadSpec!Q19*((s_ET_res_o*(1/24)*s_RadSpec!V19)+(s_ET_res_i*(1/24)*s_RadSpec!AA19))),".")</f>
        <v>4.4771037181996078E-2</v>
      </c>
      <c r="L19" s="40">
        <f>s_b2s!AB19</f>
        <v>1029.05</v>
      </c>
      <c r="M19" s="18"/>
      <c r="N19" s="18"/>
      <c r="O19" s="18"/>
      <c r="P19" s="18"/>
      <c r="Q19" s="18"/>
      <c r="R19" s="15">
        <f>IFERROR((s_TR/(s_RadSpec!F19*s_EF_res*(1/365)*s_ED_res*s_RadSpec!Q19*((s_ET_res_o*(1/24)*s_RadSpec!V19)+(s_ET_res_i*(1/24)*s_RadSpec!AA19))))*1,".")</f>
        <v>646257.27087617712</v>
      </c>
      <c r="S19" s="15">
        <f>IFERROR((s_TR/(s_RadSpec!M19*s_EF_res*(1/365)*s_ED_res*s_RadSpec!R19*((s_ET_res_o*(1/24)*s_RadSpec!W19)+(s_ET_res_i*(1/24)*s_RadSpec!AB19))))*1,".")</f>
        <v>6408944.9468537327</v>
      </c>
      <c r="T19" s="15">
        <f>IFERROR((s_TR/(s_RadSpec!N19*s_EF_res*(1/365)*s_ED_res*s_RadSpec!S19*((s_ET_res_o*(1/24)*s_RadSpec!X19)+(s_ET_res_i*(1/24)*s_RadSpec!AC19))))*1,".")</f>
        <v>1577533.5672324444</v>
      </c>
      <c r="U19" s="15">
        <f>IFERROR((s_TR/(s_RadSpec!O19*s_EF_res*(1/365)*s_ED_res*s_RadSpec!T19*((s_ET_res_o*(1/24)*s_RadSpec!Y19)+(s_ET_res_i*(1/24)*s_RadSpec!AD19))))*1,".")</f>
        <v>844861.36246315273</v>
      </c>
      <c r="V19" s="15">
        <f>IFERROR((s_TR/(s_RadSpec!K19*s_EF_res*(1/365)*s_ED_res*s_RadSpec!P19*((s_ET_res_o*(1/24)*s_RadSpec!U19)+(s_ET_res_i*(1/24)*s_RadSpec!Z19))))*1,".")</f>
        <v>11342945.666362911</v>
      </c>
      <c r="W19" s="40">
        <f>IFERROR((s_C*s_EF_res*(1/365)*s_ED_res*s_RadSpec!Q19*((s_ET_res_o*(1/24)*s_RadSpec!V19)+(s_ET_res_i*(1/24)*s_RadSpec!AA19))),".")</f>
        <v>4.4771037181996078E-2</v>
      </c>
      <c r="X19" s="40">
        <f>IFERROR((s_C*s_EF_res*(1/365)*s_ED_res*s_RadSpec!R19*((s_ET_res_o*(1/24)*s_RadSpec!W19)+(s_ET_res_i*(1/24)*s_RadSpec!AB19))),".")</f>
        <v>2.257283261399887E-2</v>
      </c>
      <c r="Y19" s="40">
        <f>IFERROR((s_C*s_EF_res*(1/365)*s_ED_res*s_RadSpec!S19*((s_ET_res_o*(1/24)*s_RadSpec!X19)+(s_ET_res_i*(1/24)*s_RadSpec!AC19))),".")</f>
        <v>3.2563269096819114E-2</v>
      </c>
      <c r="Z19" s="40">
        <f>IFERROR((s_C*s_EF_res*(1/365)*s_ED_res*s_RadSpec!T19*((s_ET_res_o*(1/24)*s_RadSpec!Y19)+(s_ET_res_i*(1/24)*s_RadSpec!AD19))),".")</f>
        <v>3.898840885142256E-2</v>
      </c>
      <c r="AA19" s="40">
        <f>IFERROR((s_C*s_EF_res*(1/365)*s_ED_res*s_RadSpec!P19*((s_ET_res_o*(1/24)*s_RadSpec!U19)+(s_ET_res_i*(1/24)*s_RadSpec!Z19))),".")</f>
        <v>1.3108287970329594E-2</v>
      </c>
      <c r="AB19" s="18"/>
      <c r="AC19" s="18"/>
      <c r="AD19" s="18"/>
      <c r="AE19" s="18"/>
      <c r="AF19" s="18"/>
      <c r="AG19" s="15" t="str">
        <f>IFERROR((s_TR/(s_RadSpec!G19*s_IFA_res_adj)),".")</f>
        <v>.</v>
      </c>
      <c r="AH19" s="15">
        <f>IFERROR((s_TR/(s_RadSpec!J19*s_EF_res*(1/365)*s_ED_res*s_ET_res*(1/24)*s_GSF_a)),".")</f>
        <v>54364992.019368112</v>
      </c>
      <c r="AI19" s="15">
        <f t="shared" ref="AI19:AI20" si="23">IFERROR(IF(AND(AG19&lt;&gt;".",AH19&lt;&gt;"."),1/((1/AG19)+(1/AH19)),IF(AND(AG19&lt;&gt;".",AH19="."),1/((1/AG19)),IF(AND(AG19=".",AH19&lt;&gt;"."),1/((1/AH19)),IF(AND(AG19=".",AH19="."),".")))),".")</f>
        <v>54364992.019368105</v>
      </c>
      <c r="AJ19" s="40">
        <f t="shared" si="2"/>
        <v>911.45833333333326</v>
      </c>
      <c r="AK19" s="40">
        <f t="shared" si="3"/>
        <v>0.57077625570776247</v>
      </c>
      <c r="AL19" s="18"/>
      <c r="AM19" s="18"/>
      <c r="AN19" s="18"/>
      <c r="AO19" s="15" t="str">
        <f>IFERROR((s_TR/(s_RadSpec!H19*s_IFW_res_adj)),".")</f>
        <v>.</v>
      </c>
      <c r="AP19" s="15" t="str">
        <f>IFERROR(IF(s_RadSpec!C19=1,(s_TR/(s_RadSpec!G19*s_IFA_res_adj*s_K)),"."),".")</f>
        <v>.</v>
      </c>
      <c r="AQ19" s="15">
        <f>IFERROR((s_TR/(s_RadSpec!L19*(1/8760)*s_DFA_res_adj)),".")</f>
        <v>62728836945.424744</v>
      </c>
      <c r="AR19" s="15" t="str">
        <f>s_b2w!C19</f>
        <v>.</v>
      </c>
      <c r="AS19" s="15">
        <f t="shared" ref="AS19:AS20" si="24">(IF(AND(AO19&lt;&gt;".",AP19&lt;&gt;".",AQ19&lt;&gt;".",AR19&lt;&gt;"."),1/((1/AO19)+(1/AP19)+(1/AQ19)+(1/AR19)),IF(AND(AO19&lt;&gt;".",AP19&lt;&gt;".",AQ19&lt;&gt;".",AR19="."), 1/((1/AO19)+(1/AP19)+(1/AQ19)),IF(AND(AO19&lt;&gt;".",AP19&lt;&gt;".",AQ19=".",AR19&lt;&gt;"."),1/((1/AO19)+(1/AP19)+(1/AR19)),IF(AND(AO19&lt;&gt;".",AP19=".",AQ19&lt;&gt;".",AR19&lt;&gt;"."),1/((1/AO19)+(1/AQ19)+(1/AR19)),IF(AND(AO19=".",AP19&lt;&gt;".",AQ19&lt;&gt;".",AR19&lt;&gt;"."),1/((1/AP19)+(1/AQ19)+(1/AR19)),IF(AND(AO19&lt;&gt;".",AP19&lt;&gt;".",AQ19=".",AR19="."),1/((1/AO19)+(1/AP19)),IF(AND(AO19&lt;&gt;".",AP19=".",AQ19&lt;&gt;".",AR19="."),1/((1/AO19)+(1/AQ19)),IF(AND(AO19&lt;&gt;".",AP19=".",AQ19=".",AR19&lt;&gt;"."),1/((1/AO19)+(1/AR19)),IF(AND(AO19=".",AP19=".",AQ19&lt;&gt;".",AR19&lt;&gt;"."),1/((1/AQ19)+(1/AR19)),IF(AND(AO19=".",AP19&lt;&gt;".",AQ19=".",AR19&lt;&gt;"."),1/((1/AP19)+(1/AR19)),IF(AND(AO19=".",AP19&lt;&gt;".",AQ19&lt;&gt;".",AR19="."),1/((1/AP19)+(1/AQ19)),IF(AND(AO19&lt;&gt;".",AP19=".",AQ19=".",AR19="."),1/((1/AO19)),IF(AND(AO19=".",AP19&lt;&gt;".",AQ19=".",AR19="."),1/((1/AP19)),IF(AND(AO19=".",AP19=".",AQ19&lt;&gt;".",AR19="."),1/((1/AQ19)),IF(AND(AO19=".",AP19=".",AQ19=".",AR19&lt;&gt;"."),1/((1/AR19)),IF(AND(AO19=".",AP19=".",AQ19=".",AR19="."),".")))))))))))))))))</f>
        <v>62728836945.424744</v>
      </c>
      <c r="AT19" s="40">
        <f t="shared" si="4"/>
        <v>2500</v>
      </c>
      <c r="AU19" s="40">
        <f t="shared" si="5"/>
        <v>455.72916666666663</v>
      </c>
      <c r="AV19" s="40">
        <f t="shared" si="6"/>
        <v>0.22831050228310501</v>
      </c>
      <c r="AW19" s="40">
        <f>s_b2w!AB19</f>
        <v>700.26213124716605</v>
      </c>
      <c r="AX19" s="18"/>
      <c r="AY19" s="18"/>
      <c r="AZ19" s="18"/>
      <c r="BA19" s="18"/>
      <c r="BB19" s="18"/>
      <c r="BC19" s="15" t="str">
        <f>IFERROR(s_TR/(s_RadSpec!E19*s_EF_res*s_ED_res*s_IRF_res*0.001*s_CF_res_fish),".")</f>
        <v>.</v>
      </c>
      <c r="BD19" s="40">
        <f t="shared" si="7"/>
        <v>13750</v>
      </c>
      <c r="BE19" s="18"/>
    </row>
    <row r="20" spans="1:57" x14ac:dyDescent="0.25">
      <c r="A20" s="44" t="s">
        <v>30</v>
      </c>
      <c r="B20" s="42" t="s">
        <v>1074</v>
      </c>
      <c r="C20" s="15" t="str">
        <f>IFERROR(((s_TR/(s_RadSpec!D20*s_IFS_res_adj*(1/1000)))*1),".")</f>
        <v>.</v>
      </c>
      <c r="D20" s="15" t="str">
        <f>IFERROR(IF(A20="H-3",(s_TR/((s_RadSpec!G20*s_IFA_res_adj*(1/17)*1000))*1),(s_TR/((s_RadSpec!G20*s_IFA_res_adj*(1/s_PEF_wind)*1000))*1)),".")</f>
        <v>.</v>
      </c>
      <c r="E20" s="15">
        <f>IFERROR((s_TR/(s_RadSpec!F20*s_EF_res*(1/365)*s_ED_res*s_RadSpec!Q20*((s_ET_res_o*(1/24)*s_RadSpec!V20)+(s_ET_res_i*(1/24)*s_RadSpec!AA20))))*1,".")</f>
        <v>284997.80519991467</v>
      </c>
      <c r="F20" s="15" t="str">
        <f>s_b2s!C20</f>
        <v>.</v>
      </c>
      <c r="G20" s="15" t="str">
        <f>s_dir!C20</f>
        <v>.</v>
      </c>
      <c r="H20" s="15">
        <f t="shared" si="18"/>
        <v>284997.80519991467</v>
      </c>
      <c r="I20" s="40">
        <f t="shared" si="0"/>
        <v>27.5</v>
      </c>
      <c r="J20" s="40">
        <f t="shared" si="1"/>
        <v>2.9420495991003873E-3</v>
      </c>
      <c r="K20" s="40">
        <f>IFERROR((s_C*s_EF_res*(1/365)*s_ED_res*s_RadSpec!Q20*((s_ET_res_o*(1/24)*s_RadSpec!V20)+(s_ET_res_i*(1/24)*s_RadSpec!AA20))),".")</f>
        <v>4.5531174975285998E-2</v>
      </c>
      <c r="L20" s="40">
        <f>s_b2s!AB20</f>
        <v>1029.05</v>
      </c>
      <c r="M20" s="18"/>
      <c r="N20" s="18"/>
      <c r="O20" s="18"/>
      <c r="P20" s="18"/>
      <c r="Q20" s="18"/>
      <c r="R20" s="15">
        <f>IFERROR((s_TR/(s_RadSpec!F20*s_EF_res*(1/365)*s_ED_res*s_RadSpec!Q20*((s_ET_res_o*(1/24)*s_RadSpec!V20)+(s_ET_res_i*(1/24)*s_RadSpec!AA20))))*1,".")</f>
        <v>284997.80519991467</v>
      </c>
      <c r="S20" s="15">
        <f>IFERROR((s_TR/(s_RadSpec!M20*s_EF_res*(1/365)*s_ED_res*s_RadSpec!R20*((s_ET_res_o*(1/24)*s_RadSpec!W20)+(s_ET_res_i*(1/24)*s_RadSpec!AB20))))*1,".")</f>
        <v>2841208.3194418494</v>
      </c>
      <c r="T20" s="15">
        <f>IFERROR((s_TR/(s_RadSpec!N20*s_EF_res*(1/365)*s_ED_res*s_RadSpec!S20*((s_ET_res_o*(1/24)*s_RadSpec!X20)+(s_ET_res_i*(1/24)*s_RadSpec!AC20))))*1,".")</f>
        <v>705284.5423758073</v>
      </c>
      <c r="U20" s="15">
        <f>IFERROR((s_TR/(s_RadSpec!O20*s_EF_res*(1/365)*s_ED_res*s_RadSpec!T20*((s_ET_res_o*(1/24)*s_RadSpec!Y20)+(s_ET_res_i*(1/24)*s_RadSpec!AD20))))*1,".")</f>
        <v>377047.98801229306</v>
      </c>
      <c r="V20" s="15">
        <f>IFERROR((s_TR/(s_RadSpec!K20*s_EF_res*(1/365)*s_ED_res*s_RadSpec!P20*((s_ET_res_o*(1/24)*s_RadSpec!U20)+(s_ET_res_i*(1/24)*s_RadSpec!Z20))))*1,".")</f>
        <v>4969193.8975529056</v>
      </c>
      <c r="W20" s="40">
        <f>IFERROR((s_C*s_EF_res*(1/365)*s_ED_res*s_RadSpec!Q20*((s_ET_res_o*(1/24)*s_RadSpec!V20)+(s_ET_res_i*(1/24)*s_RadSpec!AA20))),".")</f>
        <v>4.5531174975285998E-2</v>
      </c>
      <c r="X20" s="40">
        <f>IFERROR((s_C*s_EF_res*(1/365)*s_ED_res*s_RadSpec!R20*((s_ET_res_o*(1/24)*s_RadSpec!W20)+(s_ET_res_i*(1/24)*s_RadSpec!AB20))),".")</f>
        <v>2.3087722283672247E-2</v>
      </c>
      <c r="Y20" s="40">
        <f>IFERROR((s_C*s_EF_res*(1/365)*s_ED_res*s_RadSpec!S20*((s_ET_res_o*(1/24)*s_RadSpec!X20)+(s_ET_res_i*(1/24)*s_RadSpec!AC20))),".")</f>
        <v>3.2997582594681697E-2</v>
      </c>
      <c r="Z20" s="40">
        <f>IFERROR((s_C*s_EF_res*(1/365)*s_ED_res*s_RadSpec!T20*((s_ET_res_o*(1/24)*s_RadSpec!Y20)+(s_ET_res_i*(1/24)*s_RadSpec!AD20))),".")</f>
        <v>3.9297945205479433E-2</v>
      </c>
      <c r="AA20" s="40">
        <f>IFERROR((s_C*s_EF_res*(1/365)*s_ED_res*s_RadSpec!P20*((s_ET_res_o*(1/24)*s_RadSpec!U20)+(s_ET_res_i*(1/24)*s_RadSpec!Z20))),".")</f>
        <v>1.3549437135494367E-2</v>
      </c>
      <c r="AB20" s="18"/>
      <c r="AC20" s="18"/>
      <c r="AD20" s="18"/>
      <c r="AE20" s="18"/>
      <c r="AF20" s="18"/>
      <c r="AG20" s="15" t="str">
        <f>IFERROR((s_TR/(s_RadSpec!G20*s_IFA_res_adj)),".")</f>
        <v>.</v>
      </c>
      <c r="AH20" s="15">
        <f>IFERROR((s_TR/(s_RadSpec!J20*s_EF_res*(1/365)*s_ED_res*s_ET_res*(1/24)*s_GSF_a)),".")</f>
        <v>24517545.420499343</v>
      </c>
      <c r="AI20" s="15">
        <f t="shared" si="23"/>
        <v>24517545.420499343</v>
      </c>
      <c r="AJ20" s="40">
        <f t="shared" si="2"/>
        <v>911.45833333333326</v>
      </c>
      <c r="AK20" s="40">
        <f t="shared" si="3"/>
        <v>0.57077625570776247</v>
      </c>
      <c r="AL20" s="18"/>
      <c r="AM20" s="18"/>
      <c r="AN20" s="18"/>
      <c r="AO20" s="15" t="str">
        <f>IFERROR((s_TR/(s_RadSpec!H20*s_IFW_res_adj)),".")</f>
        <v>.</v>
      </c>
      <c r="AP20" s="15" t="str">
        <f>IFERROR(IF(s_RadSpec!C20=1,(s_TR/(s_RadSpec!G20*s_IFA_res_adj*s_K)),"."),".")</f>
        <v>.</v>
      </c>
      <c r="AQ20" s="15">
        <f>IFERROR((s_TR/(s_RadSpec!L20*(1/8760)*s_DFA_res_adj)),".")</f>
        <v>28289475485.191551</v>
      </c>
      <c r="AR20" s="15" t="str">
        <f>s_b2w!C20</f>
        <v>.</v>
      </c>
      <c r="AS20" s="15">
        <f t="shared" si="24"/>
        <v>28289475485.191551</v>
      </c>
      <c r="AT20" s="40">
        <f t="shared" si="4"/>
        <v>2500</v>
      </c>
      <c r="AU20" s="40">
        <f t="shared" si="5"/>
        <v>455.72916666666663</v>
      </c>
      <c r="AV20" s="40">
        <f t="shared" si="6"/>
        <v>0.22831050228310501</v>
      </c>
      <c r="AW20" s="40">
        <f>s_b2w!AB20</f>
        <v>700.26213124716605</v>
      </c>
      <c r="AX20" s="18"/>
      <c r="AY20" s="18"/>
      <c r="AZ20" s="18"/>
      <c r="BA20" s="18"/>
      <c r="BB20" s="18"/>
      <c r="BC20" s="15" t="str">
        <f>IFERROR(s_TR/(s_RadSpec!E20*s_EF_res*s_ED_res*s_IRF_res*0.001*s_CF_res_fish),".")</f>
        <v>.</v>
      </c>
      <c r="BD20" s="40">
        <f t="shared" si="7"/>
        <v>13750</v>
      </c>
      <c r="BE20" s="18"/>
    </row>
    <row r="21" spans="1:57" x14ac:dyDescent="0.25">
      <c r="A21" s="44" t="s">
        <v>31</v>
      </c>
      <c r="B21" s="42" t="s">
        <v>1074</v>
      </c>
      <c r="C21" s="15" t="str">
        <f>IFERROR(((s_TR/(s_RadSpec!D21*s_IFS_res_adj*(1/1000)))*1),".")</f>
        <v>.</v>
      </c>
      <c r="D21" s="15">
        <f>IFERROR(IF(A21="H-3",(s_TR/((s_RadSpec!G21*s_IFA_res_adj*(1/17)*1000))*1),(s_TR/((s_RadSpec!G21*s_IFA_res_adj*(1/s_PEF_wind)*1000))*1)),".")</f>
        <v>122265861.97792831</v>
      </c>
      <c r="E21" s="15" t="str">
        <f>IFERROR((s_TR/(s_RadSpec!F21*s_EF_res*(1/365)*s_ED_res*s_RadSpec!Q21*((s_ET_res_o*(1/24)*s_RadSpec!V21)+(s_ET_res_i*(1/24)*s_RadSpec!AA21))))*1,".")</f>
        <v>.</v>
      </c>
      <c r="F21" s="15" t="str">
        <f>s_b2s!C21</f>
        <v>.</v>
      </c>
      <c r="G21" s="15" t="str">
        <f>s_dir!C21</f>
        <v>.</v>
      </c>
      <c r="H21" s="15">
        <f t="shared" si="18"/>
        <v>122265861.97792831</v>
      </c>
      <c r="I21" s="40">
        <f t="shared" si="0"/>
        <v>27.5</v>
      </c>
      <c r="J21" s="40">
        <f t="shared" si="1"/>
        <v>2.9420495991003873E-3</v>
      </c>
      <c r="K21" s="40">
        <f>IFERROR((s_C*s_EF_res*(1/365)*s_ED_res*s_RadSpec!Q21*((s_ET_res_o*(1/24)*s_RadSpec!V21)+(s_ET_res_i*(1/24)*s_RadSpec!AA21))),".")</f>
        <v>0</v>
      </c>
      <c r="L21" s="40">
        <f>s_b2s!AB21</f>
        <v>1029.05</v>
      </c>
      <c r="M21" s="18"/>
      <c r="N21" s="18"/>
      <c r="O21" s="18"/>
      <c r="P21" s="18"/>
      <c r="Q21" s="18"/>
      <c r="R21" s="15" t="str">
        <f>IFERROR((s_TR/(s_RadSpec!F21*s_EF_res*(1/365)*s_ED_res*s_RadSpec!Q21*((s_ET_res_o*(1/24)*s_RadSpec!V21)+(s_ET_res_i*(1/24)*s_RadSpec!AA21))))*1,".")</f>
        <v>.</v>
      </c>
      <c r="S21" s="15" t="str">
        <f>IFERROR((s_TR/(s_RadSpec!M21*s_EF_res*(1/365)*s_ED_res*s_RadSpec!R21*((s_ET_res_o*(1/24)*s_RadSpec!W21)+(s_ET_res_i*(1/24)*s_RadSpec!AB21))))*1,".")</f>
        <v>.</v>
      </c>
      <c r="T21" s="15" t="str">
        <f>IFERROR((s_TR/(s_RadSpec!N21*s_EF_res*(1/365)*s_ED_res*s_RadSpec!S21*((s_ET_res_o*(1/24)*s_RadSpec!X21)+(s_ET_res_i*(1/24)*s_RadSpec!AC21))))*1,".")</f>
        <v>.</v>
      </c>
      <c r="U21" s="15" t="str">
        <f>IFERROR((s_TR/(s_RadSpec!O21*s_EF_res*(1/365)*s_ED_res*s_RadSpec!T21*((s_ET_res_o*(1/24)*s_RadSpec!Y21)+(s_ET_res_i*(1/24)*s_RadSpec!AD21))))*1,".")</f>
        <v>.</v>
      </c>
      <c r="V21" s="15" t="str">
        <f>IFERROR((s_TR/(s_RadSpec!K21*s_EF_res*(1/365)*s_ED_res*s_RadSpec!P21*((s_ET_res_o*(1/24)*s_RadSpec!U21)+(s_ET_res_i*(1/24)*s_RadSpec!Z21))))*1,".")</f>
        <v>.</v>
      </c>
      <c r="W21" s="40">
        <f>IFERROR((s_C*s_EF_res*(1/365)*s_ED_res*s_RadSpec!Q21*((s_ET_res_o*(1/24)*s_RadSpec!V21)+(s_ET_res_i*(1/24)*s_RadSpec!AA21))),".")</f>
        <v>0</v>
      </c>
      <c r="X21" s="40">
        <f>IFERROR((s_C*s_EF_res*(1/365)*s_ED_res*s_RadSpec!R21*((s_ET_res_o*(1/24)*s_RadSpec!W21)+(s_ET_res_i*(1/24)*s_RadSpec!AB21))),".")</f>
        <v>0</v>
      </c>
      <c r="Y21" s="40">
        <f>IFERROR((s_C*s_EF_res*(1/365)*s_ED_res*s_RadSpec!S21*((s_ET_res_o*(1/24)*s_RadSpec!X21)+(s_ET_res_i*(1/24)*s_RadSpec!AC21))),".")</f>
        <v>0</v>
      </c>
      <c r="Z21" s="40">
        <f>IFERROR((s_C*s_EF_res*(1/365)*s_ED_res*s_RadSpec!T21*((s_ET_res_o*(1/24)*s_RadSpec!Y21)+(s_ET_res_i*(1/24)*s_RadSpec!AD21))),".")</f>
        <v>0</v>
      </c>
      <c r="AA21" s="40">
        <f>IFERROR((s_C*s_EF_res*(1/365)*s_ED_res*s_RadSpec!P21*((s_ET_res_o*(1/24)*s_RadSpec!U21)+(s_ET_res_i*(1/24)*s_RadSpec!Z21))),".")</f>
        <v>0</v>
      </c>
      <c r="AB21" s="18"/>
      <c r="AC21" s="18"/>
      <c r="AD21" s="18"/>
      <c r="AE21" s="18"/>
      <c r="AF21" s="18"/>
      <c r="AG21" s="15">
        <f>IFERROR((s_TR/(s_RadSpec!G21*s_IFA_res_adj)),".")</f>
        <v>394.65570400822202</v>
      </c>
      <c r="AH21" s="15">
        <f>IFERROR((s_TR/(s_RadSpec!J21*s_EF_res*(1/365)*s_ED_res*s_ET_res*(1/24)*s_GSF_a)),".")</f>
        <v>221963576883.81067</v>
      </c>
      <c r="AI21" s="15">
        <f>IFERROR(IF(AND(AG21&lt;&gt;".",AH21&lt;&gt;"."),1/((1/AG21)+(1/AH21)),IF(AND(AG21&lt;&gt;".",AH21="."),1/((1/AG21)),IF(AND(AG21=".",AH21&lt;&gt;"."),1/((1/AH21)),IF(AND(AG21=".",AH21="."),".")))),".")</f>
        <v>394.65570330651622</v>
      </c>
      <c r="AJ21" s="40">
        <f t="shared" si="2"/>
        <v>911.45833333333326</v>
      </c>
      <c r="AK21" s="40">
        <f t="shared" si="3"/>
        <v>0.57077625570776247</v>
      </c>
      <c r="AL21" s="18"/>
      <c r="AM21" s="18"/>
      <c r="AN21" s="18"/>
      <c r="AO21" s="15" t="str">
        <f>IFERROR((s_TR/(s_RadSpec!H21*s_IFW_res_adj)),".")</f>
        <v>.</v>
      </c>
      <c r="AP21" s="15" t="str">
        <f>IFERROR(IF(s_RadSpec!C21=1,(s_TR/(s_RadSpec!G21*s_IFA_res_adj*s_K)),"."),".")</f>
        <v>.</v>
      </c>
      <c r="AQ21" s="15">
        <f>IFERROR((s_TR/(s_RadSpec!L21*(1/8760)*s_DFA_res_adj)),".")</f>
        <v>433162176597736.69</v>
      </c>
      <c r="AR21" s="15" t="str">
        <f>s_b2w!C21</f>
        <v>.</v>
      </c>
      <c r="AS21" s="15">
        <f>(IF(AND(AO21&lt;&gt;".",AP21&lt;&gt;".",AQ21&lt;&gt;".",AR21&lt;&gt;"."),1/((1/AO21)+(1/AP21)+(1/AQ21)+(1/AR21)),IF(AND(AO21&lt;&gt;".",AP21&lt;&gt;".",AQ21&lt;&gt;".",AR21="."), 1/((1/AO21)+(1/AP21)+(1/AQ21)),IF(AND(AO21&lt;&gt;".",AP21&lt;&gt;".",AQ21=".",AR21&lt;&gt;"."),1/((1/AO21)+(1/AP21)+(1/AR21)),IF(AND(AO21&lt;&gt;".",AP21=".",AQ21&lt;&gt;".",AR21&lt;&gt;"."),1/((1/AO21)+(1/AQ21)+(1/AR21)),IF(AND(AO21=".",AP21&lt;&gt;".",AQ21&lt;&gt;".",AR21&lt;&gt;"."),1/((1/AP21)+(1/AQ21)+(1/AR21)),IF(AND(AO21&lt;&gt;".",AP21&lt;&gt;".",AQ21=".",AR21="."),1/((1/AO21)+(1/AP21)),IF(AND(AO21&lt;&gt;".",AP21=".",AQ21&lt;&gt;".",AR21="."),1/((1/AO21)+(1/AQ21)),IF(AND(AO21&lt;&gt;".",AP21=".",AQ21=".",AR21&lt;&gt;"."),1/((1/AO21)+(1/AR21)),IF(AND(AO21=".",AP21=".",AQ21&lt;&gt;".",AR21&lt;&gt;"."),1/((1/AQ21)+(1/AR21)),IF(AND(AO21=".",AP21&lt;&gt;".",AQ21=".",AR21&lt;&gt;"."),1/((1/AP21)+(1/AR21)),IF(AND(AO21=".",AP21&lt;&gt;".",AQ21&lt;&gt;".",AR21="."),1/((1/AP21)+(1/AQ21)),IF(AND(AO21&lt;&gt;".",AP21=".",AQ21=".",AR21="."),1/((1/AO21)),IF(AND(AO21=".",AP21&lt;&gt;".",AQ21=".",AR21="."),1/((1/AP21)),IF(AND(AO21=".",AP21=".",AQ21&lt;&gt;".",AR21="."),1/((1/AQ21)),IF(AND(AO21=".",AP21=".",AQ21=".",AR21&lt;&gt;"."),1/((1/AR21)),IF(AND(AO21=".",AP21=".",AQ21=".",AR21="."),".")))))))))))))))))</f>
        <v>433162176597736.63</v>
      </c>
      <c r="AT21" s="40">
        <f t="shared" si="4"/>
        <v>2500</v>
      </c>
      <c r="AU21" s="40">
        <f t="shared" si="5"/>
        <v>455.72916666666663</v>
      </c>
      <c r="AV21" s="40">
        <f t="shared" si="6"/>
        <v>0.22831050228310501</v>
      </c>
      <c r="AW21" s="40">
        <f>s_b2w!AB21</f>
        <v>700.26213124716605</v>
      </c>
      <c r="AX21" s="18"/>
      <c r="AY21" s="18"/>
      <c r="AZ21" s="18"/>
      <c r="BA21" s="18"/>
      <c r="BB21" s="18"/>
      <c r="BC21" s="15" t="str">
        <f>IFERROR(s_TR/(s_RadSpec!E21*s_EF_res*s_ED_res*s_IRF_res*0.001*s_CF_res_fish),".")</f>
        <v>.</v>
      </c>
      <c r="BD21" s="40">
        <f t="shared" si="7"/>
        <v>13750</v>
      </c>
      <c r="BE21" s="18"/>
    </row>
    <row r="22" spans="1:57" x14ac:dyDescent="0.25">
      <c r="A22" s="44" t="s">
        <v>32</v>
      </c>
      <c r="B22" s="42" t="s">
        <v>1074</v>
      </c>
      <c r="C22" s="15">
        <f>IFERROR(((s_TR/(s_RadSpec!D22*s_IFS_res_adj*(1/1000)))*1),".")</f>
        <v>750.22975786334553</v>
      </c>
      <c r="D22" s="15">
        <f>IFERROR(IF(A22="H-3",(s_TR/((s_RadSpec!G22*s_IFA_res_adj*(1/17)*1000))*1),(s_TR/((s_RadSpec!G22*s_IFA_res_adj*(1/s_PEF_wind)*1000))*1)),".")</f>
        <v>64967.907087167077</v>
      </c>
      <c r="E22" s="15">
        <f>IFERROR((s_TR/(s_RadSpec!F22*s_EF_res*(1/365)*s_ED_res*s_RadSpec!Q22*((s_ET_res_o*(1/24)*s_RadSpec!V22)+(s_ET_res_i*(1/24)*s_RadSpec!AA22))))*1,".")</f>
        <v>76480284934.420212</v>
      </c>
      <c r="F22" s="15">
        <f>s_b2s!C22</f>
        <v>13.699283503670253</v>
      </c>
      <c r="G22" s="15">
        <f>s_dir!C22</f>
        <v>0.59204878481986911</v>
      </c>
      <c r="H22" s="15">
        <f t="shared" ref="H22:H23" si="25">(IF(AND(C22&lt;&gt;".",D22&lt;&gt;".",E22&lt;&gt;".",F22&lt;&gt;"."),1/((1/C22)+(1/D22)+(1/E22)+(1/F22)),IF(AND(C22&lt;&gt;".",D22&lt;&gt;".",E22&lt;&gt;".",F22="."), 1/((1/C22)+(1/D22)+(1/E22)),IF(AND(C22&lt;&gt;".",D22&lt;&gt;".",E22=".",F22&lt;&gt;"."),1/((1/C22)+(1/D22)+(1/F22)),IF(AND(C22&lt;&gt;".",D22=".",E22&lt;&gt;".",F22&lt;&gt;"."),1/((1/C22)+(1/E22)+(1/F22)),IF(AND(C22=".",D22&lt;&gt;".",E22&lt;&gt;".",F22&lt;&gt;"."),1/((1/D22)+(1/E22)+(1/F22)),IF(AND(C22&lt;&gt;".",D22&lt;&gt;".",E22=".",F22="."),1/((1/C22)+(1/D22)),IF(AND(C22&lt;&gt;".",D22=".",E22&lt;&gt;".",F22="."),1/((1/C22)+(1/E22)),IF(AND(C22&lt;&gt;".",D22=".",E22=".",F22&lt;&gt;"."),1/((1/C22)+(1/F22)),IF(AND(C22=".",D22=".",E22&lt;&gt;".",F22&lt;&gt;"."),1/((1/E22)+(1/F22)),IF(AND(C22=".",D22&lt;&gt;".",E22=".",F22&lt;&gt;"."),1/((1/D22)+(1/F22)),IF(AND(C22=".",D22&lt;&gt;".",E22&lt;&gt;".",F22="."),1/((1/D22)+(1/E22)),IF(AND(C22&lt;&gt;".",D22=".",E22=".",F22="."),1/((1/C22)),IF(AND(C22=".",D22&lt;&gt;".",E22=".",F22="."),1/((1/D22)),IF(AND(C22=".",D22=".",E22&lt;&gt;".",F22="."),1/((1/E22)),IF(AND(C22=".",D22=".",E22=".",F22&lt;&gt;"."),1/((1/F22)),IF(AND(C22=".",D22=".",E22=".",F22="."),".")))))))))))))))))</f>
        <v>13.450833428938136</v>
      </c>
      <c r="I22" s="40">
        <f t="shared" si="0"/>
        <v>27.5</v>
      </c>
      <c r="J22" s="40">
        <f t="shared" si="1"/>
        <v>2.9420495991003873E-3</v>
      </c>
      <c r="K22" s="40">
        <f>IFERROR((s_C*s_EF_res*(1/365)*s_ED_res*s_RadSpec!Q22*((s_ET_res_o*(1/24)*s_RadSpec!V22)+(s_ET_res_i*(1/24)*s_RadSpec!AA22))),".")</f>
        <v>1.0705652123863238E-8</v>
      </c>
      <c r="L22" s="40">
        <f>s_b2s!AB22</f>
        <v>2376.9625000000001</v>
      </c>
      <c r="M22" s="18"/>
      <c r="N22" s="18"/>
      <c r="O22" s="18"/>
      <c r="P22" s="18"/>
      <c r="Q22" s="18"/>
      <c r="R22" s="15">
        <f>IFERROR((s_TR/(s_RadSpec!F22*s_EF_res*(1/365)*s_ED_res*s_RadSpec!Q22*((s_ET_res_o*(1/24)*s_RadSpec!V22)+(s_ET_res_i*(1/24)*s_RadSpec!AA22))))*1,".")</f>
        <v>76480284934.420212</v>
      </c>
      <c r="S22" s="15">
        <f>IFERROR((s_TR/(s_RadSpec!M22*s_EF_res*(1/365)*s_ED_res*s_RadSpec!R22*((s_ET_res_o*(1/24)*s_RadSpec!W22)+(s_ET_res_i*(1/24)*s_RadSpec!AB22))))*1,".")</f>
        <v>96250229389.190094</v>
      </c>
      <c r="T22" s="15">
        <f>IFERROR((s_TR/(s_RadSpec!N22*s_EF_res*(1/365)*s_ED_res*s_RadSpec!S22*((s_ET_res_o*(1/24)*s_RadSpec!X22)+(s_ET_res_i*(1/24)*s_RadSpec!AC22))))*1,".")</f>
        <v>54151187097.338669</v>
      </c>
      <c r="U22" s="15">
        <f>IFERROR((s_TR/(s_RadSpec!O22*s_EF_res*(1/365)*s_ED_res*s_RadSpec!T22*((s_ET_res_o*(1/24)*s_RadSpec!Y22)+(s_ET_res_i*(1/24)*s_RadSpec!AD22))))*1,".")</f>
        <v>55587519666.461777</v>
      </c>
      <c r="V22" s="15">
        <f>IFERROR((s_TR/(s_RadSpec!K22*s_EF_res*(1/365)*s_ED_res*s_RadSpec!P22*((s_ET_res_o*(1/24)*s_RadSpec!U22)+(s_ET_res_i*(1/24)*s_RadSpec!Z22))))*1,".")</f>
        <v>271986100800.87375</v>
      </c>
      <c r="W22" s="40">
        <f>IFERROR((s_C*s_EF_res*(1/365)*s_ED_res*s_RadSpec!Q22*((s_ET_res_o*(1/24)*s_RadSpec!V22)+(s_ET_res_i*(1/24)*s_RadSpec!AA22))),".")</f>
        <v>1.0705652123863238E-8</v>
      </c>
      <c r="X22" s="40">
        <f>IFERROR((s_C*s_EF_res*(1/365)*s_ED_res*s_RadSpec!R22*((s_ET_res_o*(1/24)*s_RadSpec!W22)+(s_ET_res_i*(1/24)*s_RadSpec!AB22))),".")</f>
        <v>1.1683301930030036E-8</v>
      </c>
      <c r="Y22" s="40">
        <f>IFERROR((s_C*s_EF_res*(1/365)*s_ED_res*s_RadSpec!S22*((s_ET_res_o*(1/24)*s_RadSpec!X22)+(s_ET_res_i*(1/24)*s_RadSpec!AC22))),".")</f>
        <v>1.520733061828952E-8</v>
      </c>
      <c r="Z22" s="40">
        <f>IFERROR((s_C*s_EF_res*(1/365)*s_ED_res*s_RadSpec!T22*((s_ET_res_o*(1/24)*s_RadSpec!Y22)+(s_ET_res_i*(1/24)*s_RadSpec!AD22))),".")</f>
        <v>1.4757626481740857E-8</v>
      </c>
      <c r="AA22" s="40">
        <f>IFERROR((s_C*s_EF_res*(1/365)*s_ED_res*s_RadSpec!P22*((s_ET_res_o*(1/24)*s_RadSpec!U22)+(s_ET_res_i*(1/24)*s_RadSpec!Z22))),".")</f>
        <v>2.079800712557395E-9</v>
      </c>
      <c r="AB22" s="18"/>
      <c r="AC22" s="18"/>
      <c r="AD22" s="18"/>
      <c r="AE22" s="18"/>
      <c r="AF22" s="18"/>
      <c r="AG22" s="15">
        <f>IFERROR((s_TR/(s_RadSpec!G22*s_IFA_res_adj)),".")</f>
        <v>0.20970657462878114</v>
      </c>
      <c r="AH22" s="15">
        <f>IFERROR((s_TR/(s_RadSpec!J22*s_EF_res*(1/365)*s_ED_res*s_ET_res*(1/24)*s_GSF_a)),".")</f>
        <v>474833.47459954425</v>
      </c>
      <c r="AI22" s="15">
        <f t="shared" ref="AI22:AI23" si="26">IFERROR(IF(AND(AG22&lt;&gt;".",AH22&lt;&gt;"."),1/((1/AG22)+(1/AH22)),IF(AND(AG22&lt;&gt;".",AH22="."),1/((1/AG22)),IF(AND(AG22=".",AH22&lt;&gt;"."),1/((1/AH22)),IF(AND(AG22=".",AH22="."),".")))),".")</f>
        <v>0.20970648201351624</v>
      </c>
      <c r="AJ22" s="40">
        <f t="shared" si="2"/>
        <v>911.45833333333326</v>
      </c>
      <c r="AK22" s="40">
        <f t="shared" si="3"/>
        <v>0.57077625570776247</v>
      </c>
      <c r="AL22" s="18"/>
      <c r="AM22" s="18"/>
      <c r="AN22" s="18"/>
      <c r="AO22" s="15">
        <f>IFERROR((s_TR/(s_RadSpec!H22*s_IFW_res_adj)),".")</f>
        <v>17.493221376716523</v>
      </c>
      <c r="AP22" s="15" t="str">
        <f>IFERROR(IF(s_RadSpec!C22=1,(s_TR/(s_RadSpec!G22*s_IFA_res_adj*s_K)),"."),".")</f>
        <v>.</v>
      </c>
      <c r="AQ22" s="15">
        <f>IFERROR((s_TR/(s_RadSpec!L22*(1/8760)*s_DFA_res_adj)),".")</f>
        <v>516692072.91134989</v>
      </c>
      <c r="AR22" s="15">
        <f>s_b2w!C22</f>
        <v>33.635892775043871</v>
      </c>
      <c r="AS22" s="15">
        <f t="shared" ref="AS22:AS23" si="27">(IF(AND(AO22&lt;&gt;".",AP22&lt;&gt;".",AQ22&lt;&gt;".",AR22&lt;&gt;"."),1/((1/AO22)+(1/AP22)+(1/AQ22)+(1/AR22)),IF(AND(AO22&lt;&gt;".",AP22&lt;&gt;".",AQ22&lt;&gt;".",AR22="."), 1/((1/AO22)+(1/AP22)+(1/AQ22)),IF(AND(AO22&lt;&gt;".",AP22&lt;&gt;".",AQ22=".",AR22&lt;&gt;"."),1/((1/AO22)+(1/AP22)+(1/AR22)),IF(AND(AO22&lt;&gt;".",AP22=".",AQ22&lt;&gt;".",AR22&lt;&gt;"."),1/((1/AO22)+(1/AQ22)+(1/AR22)),IF(AND(AO22=".",AP22&lt;&gt;".",AQ22&lt;&gt;".",AR22&lt;&gt;"."),1/((1/AP22)+(1/AQ22)+(1/AR22)),IF(AND(AO22&lt;&gt;".",AP22&lt;&gt;".",AQ22=".",AR22="."),1/((1/AO22)+(1/AP22)),IF(AND(AO22&lt;&gt;".",AP22=".",AQ22&lt;&gt;".",AR22="."),1/((1/AO22)+(1/AQ22)),IF(AND(AO22&lt;&gt;".",AP22=".",AQ22=".",AR22&lt;&gt;"."),1/((1/AO22)+(1/AR22)),IF(AND(AO22=".",AP22=".",AQ22&lt;&gt;".",AR22&lt;&gt;"."),1/((1/AQ22)+(1/AR22)),IF(AND(AO22=".",AP22&lt;&gt;".",AQ22=".",AR22&lt;&gt;"."),1/((1/AP22)+(1/AR22)),IF(AND(AO22=".",AP22&lt;&gt;".",AQ22&lt;&gt;".",AR22="."),1/((1/AP22)+(1/AQ22)),IF(AND(AO22&lt;&gt;".",AP22=".",AQ22=".",AR22="."),1/((1/AO22)),IF(AND(AO22=".",AP22&lt;&gt;".",AQ22=".",AR22="."),1/((1/AP22)),IF(AND(AO22=".",AP22=".",AQ22&lt;&gt;".",AR22="."),1/((1/AQ22)),IF(AND(AO22=".",AP22=".",AQ22=".",AR22&lt;&gt;"."),1/((1/AR22)),IF(AND(AO22=".",AP22=".",AQ22=".",AR22="."),".")))))))))))))))))</f>
        <v>11.508122430316543</v>
      </c>
      <c r="AT22" s="40">
        <f t="shared" si="4"/>
        <v>2500</v>
      </c>
      <c r="AU22" s="40">
        <f t="shared" si="5"/>
        <v>455.72916666666663</v>
      </c>
      <c r="AV22" s="40">
        <f t="shared" si="6"/>
        <v>0.22831050228310501</v>
      </c>
      <c r="AW22" s="40">
        <f>s_b2w!AB22</f>
        <v>968.09332170462449</v>
      </c>
      <c r="AX22" s="18"/>
      <c r="AY22" s="18"/>
      <c r="AZ22" s="18"/>
      <c r="BA22" s="18"/>
      <c r="BB22" s="18"/>
      <c r="BC22" s="15">
        <f>IFERROR(s_TR/(s_RadSpec!E22*s_EF_res*s_ED_res*s_IRF_res*0.001*s_CF_res_fish),".")</f>
        <v>2.3681951392794764</v>
      </c>
      <c r="BD22" s="40">
        <f t="shared" si="7"/>
        <v>13750</v>
      </c>
      <c r="BE22" s="18"/>
    </row>
    <row r="23" spans="1:57" x14ac:dyDescent="0.25">
      <c r="A23" s="46" t="s">
        <v>33</v>
      </c>
      <c r="B23" s="42" t="s">
        <v>351</v>
      </c>
      <c r="C23" s="15">
        <f>IFERROR(((s_TR/(s_RadSpec!D23*s_IFS_res_adj*(1/1000)))*1),".")</f>
        <v>268.52485868879307</v>
      </c>
      <c r="D23" s="15">
        <f>IFERROR(IF(A23="H-3",(s_TR/((s_RadSpec!G23*s_IFA_res_adj*(1/17)*1000))*1),(s_TR/((s_RadSpec!G23*s_IFA_res_adj*(1/s_PEF_wind)*1000))*1)),".")</f>
        <v>60357.83220844563</v>
      </c>
      <c r="E23" s="15">
        <f>IFERROR((s_TR/(s_RadSpec!F23*s_EF_res*(1/365)*s_ED_res*s_RadSpec!Q23*((s_ET_res_o*(1/24)*s_RadSpec!V23)+(s_ET_res_i*(1/24)*s_RadSpec!AA23))))*1,".")</f>
        <v>4280.4304644092435</v>
      </c>
      <c r="F23" s="15">
        <f>s_b2s!C23</f>
        <v>4.0900738518152195</v>
      </c>
      <c r="G23" s="15">
        <f>s_dir!C23</f>
        <v>0.17676276669082425</v>
      </c>
      <c r="H23" s="15">
        <f t="shared" si="25"/>
        <v>4.0246533850406792</v>
      </c>
      <c r="I23" s="40">
        <f t="shared" si="0"/>
        <v>27.5</v>
      </c>
      <c r="J23" s="40">
        <f t="shared" si="1"/>
        <v>2.9420495991003873E-3</v>
      </c>
      <c r="K23" s="40">
        <f>IFERROR((s_C*s_EF_res*(1/365)*s_ED_res*s_RadSpec!Q23*((s_ET_res_o*(1/24)*s_RadSpec!V23)+(s_ET_res_i*(1/24)*s_RadSpec!AA23))),".")</f>
        <v>4.6748006257870039E-2</v>
      </c>
      <c r="L23" s="40">
        <f>s_b2s!AB23</f>
        <v>2376.9625000000001</v>
      </c>
      <c r="M23" s="18"/>
      <c r="N23" s="18"/>
      <c r="O23" s="18"/>
      <c r="P23" s="18"/>
      <c r="Q23" s="18"/>
      <c r="R23" s="15">
        <f>IFERROR((s_TR/(s_RadSpec!F23*s_EF_res*(1/365)*s_ED_res*s_RadSpec!Q23*((s_ET_res_o*(1/24)*s_RadSpec!V23)+(s_ET_res_i*(1/24)*s_RadSpec!AA23))))*1,".")</f>
        <v>4280.4304644092435</v>
      </c>
      <c r="S23" s="15">
        <f>IFERROR((s_TR/(s_RadSpec!M23*s_EF_res*(1/365)*s_ED_res*s_RadSpec!R23*((s_ET_res_o*(1/24)*s_RadSpec!W23)+(s_ET_res_i*(1/24)*s_RadSpec!AB23))))*1,".")</f>
        <v>30061.187415786477</v>
      </c>
      <c r="T23" s="15">
        <f>IFERROR((s_TR/(s_RadSpec!N23*s_EF_res*(1/365)*s_ED_res*s_RadSpec!S23*((s_ET_res_o*(1/24)*s_RadSpec!X23)+(s_ET_res_i*(1/24)*s_RadSpec!AC23))))*1,".")</f>
        <v>7774.6539219486795</v>
      </c>
      <c r="U23" s="15">
        <f>IFERROR((s_TR/(s_RadSpec!O23*s_EF_res*(1/365)*s_ED_res*s_RadSpec!T23*((s_ET_res_o*(1/24)*s_RadSpec!Y23)+(s_ET_res_i*(1/24)*s_RadSpec!AD23))))*1,".")</f>
        <v>4536.1604006016851</v>
      </c>
      <c r="V23" s="15">
        <f>IFERROR((s_TR/(s_RadSpec!K23*s_EF_res*(1/365)*s_ED_res*s_RadSpec!P23*((s_ET_res_o*(1/24)*s_RadSpec!U23)+(s_ET_res_i*(1/24)*s_RadSpec!Z23))))*1,".")</f>
        <v>47975.535752246753</v>
      </c>
      <c r="W23" s="40">
        <f>IFERROR((s_C*s_EF_res*(1/365)*s_ED_res*s_RadSpec!Q23*((s_ET_res_o*(1/24)*s_RadSpec!V23)+(s_ET_res_i*(1/24)*s_RadSpec!AA23))),".")</f>
        <v>4.6748006257870039E-2</v>
      </c>
      <c r="X23" s="40">
        <f>IFERROR((s_C*s_EF_res*(1/365)*s_ED_res*s_RadSpec!R23*((s_ET_res_o*(1/24)*s_RadSpec!W23)+(s_ET_res_i*(1/24)*s_RadSpec!AB23))),".")</f>
        <v>2.626264729150183E-2</v>
      </c>
      <c r="Y23" s="40">
        <f>IFERROR((s_C*s_EF_res*(1/365)*s_ED_res*s_RadSpec!S23*((s_ET_res_o*(1/24)*s_RadSpec!X23)+(s_ET_res_i*(1/24)*s_RadSpec!AC23))),".")</f>
        <v>3.7140016816732666E-2</v>
      </c>
      <c r="Z23" s="40">
        <f>IFERROR((s_C*s_EF_res*(1/365)*s_ED_res*s_RadSpec!T23*((s_ET_res_o*(1/24)*s_RadSpec!Y23)+(s_ET_res_i*(1/24)*s_RadSpec!AD23))),".")</f>
        <v>4.5385024604335689E-2</v>
      </c>
      <c r="AA23" s="40">
        <f>IFERROR((s_C*s_EF_res*(1/365)*s_ED_res*s_RadSpec!P23*((s_ET_res_o*(1/24)*s_RadSpec!U23)+(s_ET_res_i*(1/24)*s_RadSpec!Z23))),".")</f>
        <v>1.6683635690485008E-2</v>
      </c>
      <c r="AB23" s="18"/>
      <c r="AC23" s="18"/>
      <c r="AD23" s="18"/>
      <c r="AE23" s="18"/>
      <c r="AF23" s="18"/>
      <c r="AG23" s="15">
        <f>IFERROR((s_TR/(s_RadSpec!G23*s_IFA_res_adj)),".")</f>
        <v>0.19482595041070733</v>
      </c>
      <c r="AH23" s="15">
        <f>IFERROR((s_TR/(s_RadSpec!J23*s_EF_res*(1/365)*s_ED_res*s_ET_res*(1/24)*s_GSF_a)),".")</f>
        <v>307474.13519150822</v>
      </c>
      <c r="AI23" s="15">
        <f t="shared" si="26"/>
        <v>0.19482582696251266</v>
      </c>
      <c r="AJ23" s="40">
        <f t="shared" si="2"/>
        <v>911.45833333333326</v>
      </c>
      <c r="AK23" s="40">
        <f t="shared" si="3"/>
        <v>0.57077625570776247</v>
      </c>
      <c r="AL23" s="18"/>
      <c r="AM23" s="18"/>
      <c r="AN23" s="18"/>
      <c r="AO23" s="15">
        <f>IFERROR((s_TR/(s_RadSpec!H23*s_IFW_res_adj)),".")</f>
        <v>5.1975051975051976</v>
      </c>
      <c r="AP23" s="15">
        <f>IFERROR(IF(s_RadSpec!C23=1,(s_TR/(s_RadSpec!G23*s_IFA_res_adj*s_K)),"."),".")</f>
        <v>0.38965190082141465</v>
      </c>
      <c r="AQ23" s="15">
        <f>IFERROR((s_TR/(s_RadSpec!L23*(1/8760)*s_DFA_res_adj)),".")</f>
        <v>349272295.09649903</v>
      </c>
      <c r="AR23" s="15">
        <f>s_b2w!C23</f>
        <v>10.042370864491518</v>
      </c>
      <c r="AS23" s="15">
        <f t="shared" si="27"/>
        <v>0.34984957906503078</v>
      </c>
      <c r="AT23" s="40">
        <f t="shared" si="4"/>
        <v>2500</v>
      </c>
      <c r="AU23" s="40">
        <f t="shared" si="5"/>
        <v>455.72916666666663</v>
      </c>
      <c r="AV23" s="40">
        <f t="shared" si="6"/>
        <v>0.22831050228310501</v>
      </c>
      <c r="AW23" s="40">
        <f>s_b2w!AB23</f>
        <v>968.09332170462449</v>
      </c>
      <c r="AX23" s="18"/>
      <c r="AY23" s="18"/>
      <c r="AZ23" s="18"/>
      <c r="BA23" s="18"/>
      <c r="BB23" s="18"/>
      <c r="BC23" s="15">
        <f>IFERROR(s_TR/(s_RadSpec!E23*s_EF_res*s_ED_res*s_IRF_res*0.001*s_CF_res_fish),".")</f>
        <v>0.70705106676329688</v>
      </c>
      <c r="BD23" s="40">
        <f t="shared" si="7"/>
        <v>13750</v>
      </c>
      <c r="BE23" s="18"/>
    </row>
    <row r="24" spans="1:57" x14ac:dyDescent="0.25">
      <c r="A24" s="44" t="s">
        <v>34</v>
      </c>
      <c r="B24" s="42" t="s">
        <v>1074</v>
      </c>
      <c r="C24" s="15" t="str">
        <f>IFERROR(((s_TR/(s_RadSpec!D24*s_IFS_res_adj*(1/1000)))*1),".")</f>
        <v>.</v>
      </c>
      <c r="D24" s="15" t="str">
        <f>IFERROR(IF(A24="H-3",(s_TR/((s_RadSpec!G24*s_IFA_res_adj*(1/17)*1000))*1),(s_TR/((s_RadSpec!G24*s_IFA_res_adj*(1/s_PEF_wind)*1000))*1)),".")</f>
        <v>.</v>
      </c>
      <c r="E24" s="15">
        <f>IFERROR((s_TR/(s_RadSpec!F24*s_EF_res*(1/365)*s_ED_res*s_RadSpec!Q24*((s_ET_res_o*(1/24)*s_RadSpec!V24)+(s_ET_res_i*(1/24)*s_RadSpec!AA24))))*1,".")</f>
        <v>41407.555189940751</v>
      </c>
      <c r="F24" s="15" t="str">
        <f>s_b2s!C24</f>
        <v>.</v>
      </c>
      <c r="G24" s="15" t="str">
        <f>s_dir!C24</f>
        <v>.</v>
      </c>
      <c r="H24" s="15">
        <f t="shared" ref="H24:H25" si="28">(IF(AND(C24&lt;&gt;".",D24&lt;&gt;".",E24&lt;&gt;".",F24&lt;&gt;"."),1/((1/C24)+(1/D24)+(1/E24)+(1/F24)),IF(AND(C24&lt;&gt;".",D24&lt;&gt;".",E24&lt;&gt;".",F24="."), 1/((1/C24)+(1/D24)+(1/E24)),IF(AND(C24&lt;&gt;".",D24&lt;&gt;".",E24=".",F24&lt;&gt;"."),1/((1/C24)+(1/D24)+(1/F24)),IF(AND(C24&lt;&gt;".",D24=".",E24&lt;&gt;".",F24&lt;&gt;"."),1/((1/C24)+(1/E24)+(1/F24)),IF(AND(C24=".",D24&lt;&gt;".",E24&lt;&gt;".",F24&lt;&gt;"."),1/((1/D24)+(1/E24)+(1/F24)),IF(AND(C24&lt;&gt;".",D24&lt;&gt;".",E24=".",F24="."),1/((1/C24)+(1/D24)),IF(AND(C24&lt;&gt;".",D24=".",E24&lt;&gt;".",F24="."),1/((1/C24)+(1/E24)),IF(AND(C24&lt;&gt;".",D24=".",E24=".",F24&lt;&gt;"."),1/((1/C24)+(1/F24)),IF(AND(C24=".",D24=".",E24&lt;&gt;".",F24&lt;&gt;"."),1/((1/E24)+(1/F24)),IF(AND(C24=".",D24&lt;&gt;".",E24=".",F24&lt;&gt;"."),1/((1/D24)+(1/F24)),IF(AND(C24=".",D24&lt;&gt;".",E24&lt;&gt;".",F24="."),1/((1/D24)+(1/E24)),IF(AND(C24&lt;&gt;".",D24=".",E24=".",F24="."),1/((1/C24)),IF(AND(C24=".",D24&lt;&gt;".",E24=".",F24="."),1/((1/D24)),IF(AND(C24=".",D24=".",E24&lt;&gt;".",F24="."),1/((1/E24)),IF(AND(C24=".",D24=".",E24=".",F24&lt;&gt;"."),1/((1/F24)),IF(AND(C24=".",D24=".",E24=".",F24="."),".")))))))))))))))))</f>
        <v>41407.555189940751</v>
      </c>
      <c r="I24" s="40">
        <f t="shared" si="0"/>
        <v>27.5</v>
      </c>
      <c r="J24" s="40">
        <f t="shared" si="1"/>
        <v>2.9420495991003873E-3</v>
      </c>
      <c r="K24" s="40">
        <f>IFERROR((s_C*s_EF_res*(1/365)*s_ED_res*s_RadSpec!Q24*((s_ET_res_o*(1/24)*s_RadSpec!V24)+(s_ET_res_i*(1/24)*s_RadSpec!AA24))),".")</f>
        <v>3.5660442335654685E-2</v>
      </c>
      <c r="L24" s="40">
        <f>s_b2s!AB24</f>
        <v>742.5</v>
      </c>
      <c r="M24" s="18"/>
      <c r="N24" s="18"/>
      <c r="O24" s="18"/>
      <c r="P24" s="18"/>
      <c r="Q24" s="18"/>
      <c r="R24" s="15">
        <f>IFERROR((s_TR/(s_RadSpec!F24*s_EF_res*(1/365)*s_ED_res*s_RadSpec!Q24*((s_ET_res_o*(1/24)*s_RadSpec!V24)+(s_ET_res_i*(1/24)*s_RadSpec!AA24))))*1,".")</f>
        <v>41407.555189940751</v>
      </c>
      <c r="S24" s="15">
        <f>IFERROR((s_TR/(s_RadSpec!M24*s_EF_res*(1/365)*s_ED_res*s_RadSpec!R24*((s_ET_res_o*(1/24)*s_RadSpec!W24)+(s_ET_res_i*(1/24)*s_RadSpec!AB24))))*1,".")</f>
        <v>364796.0786180672</v>
      </c>
      <c r="T24" s="15">
        <f>IFERROR((s_TR/(s_RadSpec!N24*s_EF_res*(1/365)*s_ED_res*s_RadSpec!S24*((s_ET_res_o*(1/24)*s_RadSpec!X24)+(s_ET_res_i*(1/24)*s_RadSpec!AC24))))*1,".")</f>
        <v>91498.535480018472</v>
      </c>
      <c r="U24" s="15">
        <f>IFERROR((s_TR/(s_RadSpec!O24*s_EF_res*(1/365)*s_ED_res*s_RadSpec!T24*((s_ET_res_o*(1/24)*s_RadSpec!Y24)+(s_ET_res_i*(1/24)*s_RadSpec!AD24))))*1,".")</f>
        <v>49370.812365081241</v>
      </c>
      <c r="V24" s="15">
        <f>IFERROR((s_TR/(s_RadSpec!K24*s_EF_res*(1/365)*s_ED_res*s_RadSpec!P24*((s_ET_res_o*(1/24)*s_RadSpec!U24)+(s_ET_res_i*(1/24)*s_RadSpec!Z24))))*1,".")</f>
        <v>620644.7043471738</v>
      </c>
      <c r="W24" s="40">
        <f>IFERROR((s_C*s_EF_res*(1/365)*s_ED_res*s_RadSpec!Q24*((s_ET_res_o*(1/24)*s_RadSpec!V24)+(s_ET_res_i*(1/24)*s_RadSpec!AA24))),".")</f>
        <v>3.5660442335654685E-2</v>
      </c>
      <c r="X24" s="40">
        <f>IFERROR((s_C*s_EF_res*(1/365)*s_ED_res*s_RadSpec!R24*((s_ET_res_o*(1/24)*s_RadSpec!W24)+(s_ET_res_i*(1/24)*s_RadSpec!AB24))),".")</f>
        <v>1.966913845805502E-2</v>
      </c>
      <c r="Y24" s="40">
        <f>IFERROR((s_C*s_EF_res*(1/365)*s_ED_res*s_RadSpec!S24*((s_ET_res_o*(1/24)*s_RadSpec!X24)+(s_ET_res_i*(1/24)*s_RadSpec!AC24))),".")</f>
        <v>2.7857419783628115E-2</v>
      </c>
      <c r="Z24" s="40">
        <f>IFERROR((s_C*s_EF_res*(1/365)*s_ED_res*s_RadSpec!T24*((s_ET_res_o*(1/24)*s_RadSpec!Y24)+(s_ET_res_i*(1/24)*s_RadSpec!AD24))),".")</f>
        <v>3.3359589041095886E-2</v>
      </c>
      <c r="AA24" s="40">
        <f>IFERROR((s_C*s_EF_res*(1/365)*s_ED_res*s_RadSpec!P24*((s_ET_res_o*(1/24)*s_RadSpec!U24)+(s_ET_res_i*(1/24)*s_RadSpec!Z24))),".")</f>
        <v>1.1834576036067282E-2</v>
      </c>
      <c r="AB24" s="18"/>
      <c r="AC24" s="18"/>
      <c r="AD24" s="18"/>
      <c r="AE24" s="18"/>
      <c r="AF24" s="18"/>
      <c r="AG24" s="15" t="str">
        <f>IFERROR((s_TR/(s_RadSpec!G24*s_IFA_res_adj)),".")</f>
        <v>.</v>
      </c>
      <c r="AH24" s="15">
        <f>IFERROR((s_TR/(s_RadSpec!J24*s_EF_res*(1/365)*s_ED_res*s_ET_res*(1/24)*s_GSF_a)),".")</f>
        <v>2748120.4757043221</v>
      </c>
      <c r="AI24" s="15">
        <f t="shared" ref="AI24" si="29">IFERROR(IF(AND(AG24&lt;&gt;".",AH24&lt;&gt;"."),1/((1/AG24)+(1/AH24)),IF(AND(AG24&lt;&gt;".",AH24="."),1/((1/AG24)),IF(AND(AG24=".",AH24&lt;&gt;"."),1/((1/AH24)),IF(AND(AG24=".",AH24="."),".")))),".")</f>
        <v>2748120.4757043221</v>
      </c>
      <c r="AJ24" s="40">
        <f t="shared" si="2"/>
        <v>911.45833333333326</v>
      </c>
      <c r="AK24" s="40">
        <f t="shared" si="3"/>
        <v>0.57077625570776247</v>
      </c>
      <c r="AL24" s="18"/>
      <c r="AM24" s="18"/>
      <c r="AN24" s="18"/>
      <c r="AO24" s="15" t="str">
        <f>IFERROR((s_TR/(s_RadSpec!H24*s_IFW_res_adj)),".")</f>
        <v>.</v>
      </c>
      <c r="AP24" s="15" t="str">
        <f>IFERROR(IF(s_RadSpec!C24=1,(s_TR/(s_RadSpec!G24*s_IFA_res_adj*s_K)),"."),".")</f>
        <v>.</v>
      </c>
      <c r="AQ24" s="15">
        <f>IFERROR((s_TR/(s_RadSpec!L24*(1/8760)*s_DFA_res_adj)),".")</f>
        <v>3162887394.0441823</v>
      </c>
      <c r="AR24" s="15" t="str">
        <f>s_b2w!C24</f>
        <v>.</v>
      </c>
      <c r="AS24" s="15">
        <f t="shared" ref="AS24" si="30">(IF(AND(AO24&lt;&gt;".",AP24&lt;&gt;".",AQ24&lt;&gt;".",AR24&lt;&gt;"."),1/((1/AO24)+(1/AP24)+(1/AQ24)+(1/AR24)),IF(AND(AO24&lt;&gt;".",AP24&lt;&gt;".",AQ24&lt;&gt;".",AR24="."), 1/((1/AO24)+(1/AP24)+(1/AQ24)),IF(AND(AO24&lt;&gt;".",AP24&lt;&gt;".",AQ24=".",AR24&lt;&gt;"."),1/((1/AO24)+(1/AP24)+(1/AR24)),IF(AND(AO24&lt;&gt;".",AP24=".",AQ24&lt;&gt;".",AR24&lt;&gt;"."),1/((1/AO24)+(1/AQ24)+(1/AR24)),IF(AND(AO24=".",AP24&lt;&gt;".",AQ24&lt;&gt;".",AR24&lt;&gt;"."),1/((1/AP24)+(1/AQ24)+(1/AR24)),IF(AND(AO24&lt;&gt;".",AP24&lt;&gt;".",AQ24=".",AR24="."),1/((1/AO24)+(1/AP24)),IF(AND(AO24&lt;&gt;".",AP24=".",AQ24&lt;&gt;".",AR24="."),1/((1/AO24)+(1/AQ24)),IF(AND(AO24&lt;&gt;".",AP24=".",AQ24=".",AR24&lt;&gt;"."),1/((1/AO24)+(1/AR24)),IF(AND(AO24=".",AP24=".",AQ24&lt;&gt;".",AR24&lt;&gt;"."),1/((1/AQ24)+(1/AR24)),IF(AND(AO24=".",AP24&lt;&gt;".",AQ24=".",AR24&lt;&gt;"."),1/((1/AP24)+(1/AR24)),IF(AND(AO24=".",AP24&lt;&gt;".",AQ24&lt;&gt;".",AR24="."),1/((1/AP24)+(1/AQ24)),IF(AND(AO24&lt;&gt;".",AP24=".",AQ24=".",AR24="."),1/((1/AO24)),IF(AND(AO24=".",AP24&lt;&gt;".",AQ24=".",AR24="."),1/((1/AP24)),IF(AND(AO24=".",AP24=".",AQ24&lt;&gt;".",AR24="."),1/((1/AQ24)),IF(AND(AO24=".",AP24=".",AQ24=".",AR24&lt;&gt;"."),1/((1/AR24)),IF(AND(AO24=".",AP24=".",AQ24=".",AR24="."),".")))))))))))))))))</f>
        <v>3162887394.0441823</v>
      </c>
      <c r="AT24" s="40">
        <f t="shared" si="4"/>
        <v>2500</v>
      </c>
      <c r="AU24" s="40">
        <f t="shared" si="5"/>
        <v>455.72916666666663</v>
      </c>
      <c r="AV24" s="40">
        <f t="shared" si="6"/>
        <v>0.22831050228310501</v>
      </c>
      <c r="AW24" s="40">
        <f>s_b2w!AB24</f>
        <v>0</v>
      </c>
      <c r="AX24" s="18"/>
      <c r="AY24" s="18"/>
      <c r="AZ24" s="18"/>
      <c r="BA24" s="18"/>
      <c r="BB24" s="18"/>
      <c r="BC24" s="15" t="str">
        <f>IFERROR(s_TR/(s_RadSpec!E24*s_EF_res*s_ED_res*s_IRF_res*0.001*s_CF_res_fish),".")</f>
        <v>.</v>
      </c>
      <c r="BD24" s="40">
        <f t="shared" si="7"/>
        <v>13750</v>
      </c>
      <c r="BE24" s="18"/>
    </row>
    <row r="25" spans="1:57" x14ac:dyDescent="0.25">
      <c r="A25" s="46" t="s">
        <v>35</v>
      </c>
      <c r="B25" s="42" t="s">
        <v>351</v>
      </c>
      <c r="C25" s="15" t="str">
        <f>IFERROR(((s_TR/(s_RadSpec!D25*s_IFS_res_adj*(1/1000)))*1),".")</f>
        <v>.</v>
      </c>
      <c r="D25" s="15">
        <f>IFERROR(IF(A25="H-3",(s_TR/((s_RadSpec!G25*s_IFA_res_adj*(1/17)*1000))*1),(s_TR/((s_RadSpec!G25*s_IFA_res_adj*(1/s_PEF_wind)*1000))*1)),".")</f>
        <v>745392755.04087865</v>
      </c>
      <c r="E25" s="15">
        <f>IFERROR((s_TR/(s_RadSpec!F25*s_EF_res*(1/365)*s_ED_res*s_RadSpec!Q25*((s_ET_res_o*(1/24)*s_RadSpec!V25)+(s_ET_res_i*(1/24)*s_RadSpec!AA25))))*1,".")</f>
        <v>92352.476864365366</v>
      </c>
      <c r="F25" s="15" t="str">
        <f>s_b2s!C25</f>
        <v>.</v>
      </c>
      <c r="G25" s="15" t="str">
        <f>s_dir!C25</f>
        <v>.</v>
      </c>
      <c r="H25" s="15">
        <f t="shared" si="28"/>
        <v>92341.03601880456</v>
      </c>
      <c r="I25" s="40">
        <f t="shared" si="0"/>
        <v>27.5</v>
      </c>
      <c r="J25" s="40">
        <f t="shared" si="1"/>
        <v>2.9420495991003873E-3</v>
      </c>
      <c r="K25" s="40">
        <f>IFERROR((s_C*s_EF_res*(1/365)*s_ED_res*s_RadSpec!Q25*((s_ET_res_o*(1/24)*s_RadSpec!V25)+(s_ET_res_i*(1/24)*s_RadSpec!AA25))),".")</f>
        <v>3.1977739726027389E-2</v>
      </c>
      <c r="L25" s="40">
        <f>s_b2s!AB25</f>
        <v>742.5</v>
      </c>
      <c r="M25" s="18"/>
      <c r="N25" s="18"/>
      <c r="O25" s="18"/>
      <c r="P25" s="18"/>
      <c r="Q25" s="18"/>
      <c r="R25" s="15">
        <f>IFERROR((s_TR/(s_RadSpec!F25*s_EF_res*(1/365)*s_ED_res*s_RadSpec!Q25*((s_ET_res_o*(1/24)*s_RadSpec!V25)+(s_ET_res_i*(1/24)*s_RadSpec!AA25))))*1,".")</f>
        <v>92352.476864365366</v>
      </c>
      <c r="S25" s="15">
        <f>IFERROR((s_TR/(s_RadSpec!M25*s_EF_res*(1/365)*s_ED_res*s_RadSpec!R25*((s_ET_res_o*(1/24)*s_RadSpec!W25)+(s_ET_res_i*(1/24)*s_RadSpec!AB25))))*1,".")</f>
        <v>784708.69291398232</v>
      </c>
      <c r="T25" s="15">
        <f>IFERROR((s_TR/(s_RadSpec!N25*s_EF_res*(1/365)*s_ED_res*s_RadSpec!S25*((s_ET_res_o*(1/24)*s_RadSpec!X25)+(s_ET_res_i*(1/24)*s_RadSpec!AC25))))*1,".")</f>
        <v>199460.62660343619</v>
      </c>
      <c r="U25" s="15">
        <f>IFERROR((s_TR/(s_RadSpec!O25*s_EF_res*(1/365)*s_ED_res*s_RadSpec!T25*((s_ET_res_o*(1/24)*s_RadSpec!Y25)+(s_ET_res_i*(1/24)*s_RadSpec!AD25))))*1,".")</f>
        <v>116367.36820022865</v>
      </c>
      <c r="V25" s="15">
        <f>IFERROR((s_TR/(s_RadSpec!K25*s_EF_res*(1/365)*s_ED_res*s_RadSpec!P25*((s_ET_res_o*(1/24)*s_RadSpec!U25)+(s_ET_res_i*(1/24)*s_RadSpec!Z25))))*1,".")</f>
        <v>1433158.5807236682</v>
      </c>
      <c r="W25" s="40">
        <f>IFERROR((s_C*s_EF_res*(1/365)*s_ED_res*s_RadSpec!Q25*((s_ET_res_o*(1/24)*s_RadSpec!V25)+(s_ET_res_i*(1/24)*s_RadSpec!AA25))),".")</f>
        <v>3.1977739726027389E-2</v>
      </c>
      <c r="X25" s="40">
        <f>IFERROR((s_C*s_EF_res*(1/365)*s_ED_res*s_RadSpec!R25*((s_ET_res_o*(1/24)*s_RadSpec!W25)+(s_ET_res_i*(1/24)*s_RadSpec!AB25))),".")</f>
        <v>1.7856753337405117E-2</v>
      </c>
      <c r="Y25" s="40">
        <f>IFERROR((s_C*s_EF_res*(1/365)*s_ED_res*s_RadSpec!S25*((s_ET_res_o*(1/24)*s_RadSpec!X25)+(s_ET_res_i*(1/24)*s_RadSpec!AC25))),".")</f>
        <v>2.4894212149465671E-2</v>
      </c>
      <c r="Z25" s="40">
        <f>IFERROR((s_C*s_EF_res*(1/365)*s_ED_res*s_RadSpec!T25*((s_ET_res_o*(1/24)*s_RadSpec!Y25)+(s_ET_res_i*(1/24)*s_RadSpec!AD25))),".")</f>
        <v>2.7877843111915226E-2</v>
      </c>
      <c r="AA25" s="40">
        <f>IFERROR((s_C*s_EF_res*(1/365)*s_ED_res*s_RadSpec!P25*((s_ET_res_o*(1/24)*s_RadSpec!U25)+(s_ET_res_i*(1/24)*s_RadSpec!Z25))),".")</f>
        <v>9.9597585513078474E-3</v>
      </c>
      <c r="AB25" s="18"/>
      <c r="AC25" s="18"/>
      <c r="AD25" s="18"/>
      <c r="AE25" s="18"/>
      <c r="AF25" s="18"/>
      <c r="AG25" s="15">
        <f>IFERROR((s_TR/(s_RadSpec!G25*s_IFA_res_adj)),".")</f>
        <v>2406.0150375939847</v>
      </c>
      <c r="AH25" s="15">
        <f>IFERROR((s_TR/(s_RadSpec!J25*s_EF_res*(1/365)*s_ED_res*s_ET_res*(1/24)*s_GSF_a)),".")</f>
        <v>5397387.6968869064</v>
      </c>
      <c r="AI25" s="15">
        <f>IFERROR(IF(AND(AG25&lt;&gt;".",AH25&lt;&gt;"."),1/((1/AG25)+(1/AH25)),IF(AND(AG25&lt;&gt;".",AH25="."),1/((1/AG25)),IF(AND(AG25=".",AH25&lt;&gt;"."),1/((1/AH25)),IF(AND(AG25=".",AH25="."),".")))),".")</f>
        <v>2404.942976572775</v>
      </c>
      <c r="AJ25" s="40">
        <f t="shared" si="2"/>
        <v>911.45833333333326</v>
      </c>
      <c r="AK25" s="40">
        <f t="shared" si="3"/>
        <v>0.57077625570776247</v>
      </c>
      <c r="AL25" s="18"/>
      <c r="AM25" s="18"/>
      <c r="AN25" s="18"/>
      <c r="AO25" s="15" t="str">
        <f>IFERROR((s_TR/(s_RadSpec!H25*s_IFW_res_adj)),".")</f>
        <v>.</v>
      </c>
      <c r="AP25" s="15">
        <f>IFERROR(IF(s_RadSpec!C25=1,(s_TR/(s_RadSpec!G25*s_IFA_res_adj*s_K)),"."),".")</f>
        <v>4812.0300751879695</v>
      </c>
      <c r="AQ25" s="15">
        <f>IFERROR((s_TR/(s_RadSpec!L25*(1/8760)*s_DFA_res_adj)),".")</f>
        <v>6231203404.2132893</v>
      </c>
      <c r="AR25" s="15" t="str">
        <f>s_b2w!C25</f>
        <v>.</v>
      </c>
      <c r="AS25" s="15">
        <f>(IF(AND(AO25&lt;&gt;".",AP25&lt;&gt;".",AQ25&lt;&gt;".",AR25&lt;&gt;"."),1/((1/AO25)+(1/AP25)+(1/AQ25)+(1/AR25)),IF(AND(AO25&lt;&gt;".",AP25&lt;&gt;".",AQ25&lt;&gt;".",AR25="."), 1/((1/AO25)+(1/AP25)+(1/AQ25)),IF(AND(AO25&lt;&gt;".",AP25&lt;&gt;".",AQ25=".",AR25&lt;&gt;"."),1/((1/AO25)+(1/AP25)+(1/AR25)),IF(AND(AO25&lt;&gt;".",AP25=".",AQ25&lt;&gt;".",AR25&lt;&gt;"."),1/((1/AO25)+(1/AQ25)+(1/AR25)),IF(AND(AO25=".",AP25&lt;&gt;".",AQ25&lt;&gt;".",AR25&lt;&gt;"."),1/((1/AP25)+(1/AQ25)+(1/AR25)),IF(AND(AO25&lt;&gt;".",AP25&lt;&gt;".",AQ25=".",AR25="."),1/((1/AO25)+(1/AP25)),IF(AND(AO25&lt;&gt;".",AP25=".",AQ25&lt;&gt;".",AR25="."),1/((1/AO25)+(1/AQ25)),IF(AND(AO25&lt;&gt;".",AP25=".",AQ25=".",AR25&lt;&gt;"."),1/((1/AO25)+(1/AR25)),IF(AND(AO25=".",AP25=".",AQ25&lt;&gt;".",AR25&lt;&gt;"."),1/((1/AQ25)+(1/AR25)),IF(AND(AO25=".",AP25&lt;&gt;".",AQ25=".",AR25&lt;&gt;"."),1/((1/AP25)+(1/AR25)),IF(AND(AO25=".",AP25&lt;&gt;".",AQ25&lt;&gt;".",AR25="."),1/((1/AP25)+(1/AQ25)),IF(AND(AO25&lt;&gt;".",AP25=".",AQ25=".",AR25="."),1/((1/AO25)),IF(AND(AO25=".",AP25&lt;&gt;".",AQ25=".",AR25="."),1/((1/AP25)),IF(AND(AO25=".",AP25=".",AQ25&lt;&gt;".",AR25="."),1/((1/AQ25)),IF(AND(AO25=".",AP25=".",AQ25=".",AR25&lt;&gt;"."),1/((1/AR25)),IF(AND(AO25=".",AP25=".",AQ25=".",AR25="."),".")))))))))))))))))</f>
        <v>4812.0263591135517</v>
      </c>
      <c r="AT25" s="40">
        <f t="shared" si="4"/>
        <v>2500</v>
      </c>
      <c r="AU25" s="40">
        <f t="shared" si="5"/>
        <v>455.72916666666663</v>
      </c>
      <c r="AV25" s="40">
        <f t="shared" si="6"/>
        <v>0.22831050228310501</v>
      </c>
      <c r="AW25" s="40">
        <f>s_b2w!AB25</f>
        <v>0</v>
      </c>
      <c r="AX25" s="18"/>
      <c r="AY25" s="18"/>
      <c r="AZ25" s="18"/>
      <c r="BA25" s="18"/>
      <c r="BB25" s="18"/>
      <c r="BC25" s="15" t="str">
        <f>IFERROR(s_TR/(s_RadSpec!E25*s_EF_res*s_ED_res*s_IRF_res*0.001*s_CF_res_fish),".")</f>
        <v>.</v>
      </c>
      <c r="BD25" s="40">
        <f t="shared" si="7"/>
        <v>13750</v>
      </c>
      <c r="BE25" s="18"/>
    </row>
    <row r="26" spans="1:57" x14ac:dyDescent="0.25">
      <c r="A26" s="44" t="s">
        <v>36</v>
      </c>
      <c r="B26" s="42" t="s">
        <v>1074</v>
      </c>
      <c r="C26" s="15">
        <f>IFERROR(((s_TR/(s_RadSpec!D26*s_IFS_res_adj*(1/1000)))*1),".")</f>
        <v>472.50047250047243</v>
      </c>
      <c r="D26" s="15">
        <f>IFERROR(IF(A26="H-3",(s_TR/((s_RadSpec!G26*s_IFA_res_adj*(1/17)*1000))*1),(s_TR/((s_RadSpec!G26*s_IFA_res_adj*(1/s_PEF_wind)*1000))*1)),".")</f>
        <v>9731.4216759803221</v>
      </c>
      <c r="E26" s="15">
        <f>IFERROR((s_TR/(s_RadSpec!F26*s_EF_res*(1/365)*s_ED_res*s_RadSpec!Q26*((s_ET_res_o*(1/24)*s_RadSpec!V26)+(s_ET_res_i*(1/24)*s_RadSpec!AA26))))*1,".")</f>
        <v>3802.6344628059746</v>
      </c>
      <c r="F26" s="15">
        <f>s_b2s!C26</f>
        <v>21.600686236521188</v>
      </c>
      <c r="G26" s="15">
        <f>s_dir!C26</f>
        <v>0.31299394356719196</v>
      </c>
      <c r="H26" s="15">
        <f t="shared" ref="H26" si="31">(IF(AND(C26&lt;&gt;".",D26&lt;&gt;".",E26&lt;&gt;".",F26&lt;&gt;"."),1/((1/C26)+(1/D26)+(1/E26)+(1/F26)),IF(AND(C26&lt;&gt;".",D26&lt;&gt;".",E26&lt;&gt;".",F26="."), 1/((1/C26)+(1/D26)+(1/E26)),IF(AND(C26&lt;&gt;".",D26&lt;&gt;".",E26=".",F26&lt;&gt;"."),1/((1/C26)+(1/D26)+(1/F26)),IF(AND(C26&lt;&gt;".",D26=".",E26&lt;&gt;".",F26&lt;&gt;"."),1/((1/C26)+(1/E26)+(1/F26)),IF(AND(C26=".",D26&lt;&gt;".",E26&lt;&gt;".",F26&lt;&gt;"."),1/((1/D26)+(1/E26)+(1/F26)),IF(AND(C26&lt;&gt;".",D26&lt;&gt;".",E26=".",F26="."),1/((1/C26)+(1/D26)),IF(AND(C26&lt;&gt;".",D26=".",E26&lt;&gt;".",F26="."),1/((1/C26)+(1/E26)),IF(AND(C26&lt;&gt;".",D26=".",E26=".",F26&lt;&gt;"."),1/((1/C26)+(1/F26)),IF(AND(C26=".",D26=".",E26&lt;&gt;".",F26&lt;&gt;"."),1/((1/E26)+(1/F26)),IF(AND(C26=".",D26&lt;&gt;".",E26=".",F26&lt;&gt;"."),1/((1/D26)+(1/F26)),IF(AND(C26=".",D26&lt;&gt;".",E26&lt;&gt;".",F26="."),1/((1/D26)+(1/E26)),IF(AND(C26&lt;&gt;".",D26=".",E26=".",F26="."),1/((1/C26)),IF(AND(C26=".",D26&lt;&gt;".",E26=".",F26="."),1/((1/D26)),IF(AND(C26=".",D26=".",E26&lt;&gt;".",F26="."),1/((1/E26)),IF(AND(C26=".",D26=".",E26=".",F26&lt;&gt;"."),1/((1/F26)),IF(AND(C26=".",D26=".",E26=".",F26="."),".")))))))))))))))))</f>
        <v>20.5014822521665</v>
      </c>
      <c r="I26" s="40">
        <f t="shared" si="0"/>
        <v>27.5</v>
      </c>
      <c r="J26" s="40">
        <f t="shared" si="1"/>
        <v>2.9420495991003873E-3</v>
      </c>
      <c r="K26" s="40">
        <f>IFERROR((s_C*s_EF_res*(1/365)*s_ED_res*s_RadSpec!Q26*((s_ET_res_o*(1/24)*s_RadSpec!V26)+(s_ET_res_i*(1/24)*s_RadSpec!AA26))),".")</f>
        <v>5.8651416411756897E-3</v>
      </c>
      <c r="L26" s="40">
        <f>s_b2s!AB26</f>
        <v>796.95</v>
      </c>
      <c r="M26" s="18"/>
      <c r="N26" s="18"/>
      <c r="O26" s="18"/>
      <c r="P26" s="18"/>
      <c r="Q26" s="18"/>
      <c r="R26" s="15">
        <f>IFERROR((s_TR/(s_RadSpec!F26*s_EF_res*(1/365)*s_ED_res*s_RadSpec!Q26*((s_ET_res_o*(1/24)*s_RadSpec!V26)+(s_ET_res_i*(1/24)*s_RadSpec!AA26))))*1,".")</f>
        <v>3802.6344628059746</v>
      </c>
      <c r="S26" s="15">
        <f>IFERROR((s_TR/(s_RadSpec!M26*s_EF_res*(1/365)*s_ED_res*s_RadSpec!R26*((s_ET_res_o*(1/24)*s_RadSpec!W26)+(s_ET_res_i*(1/24)*s_RadSpec!AB26))))*1,".")</f>
        <v>23014.377774968543</v>
      </c>
      <c r="T26" s="15">
        <f>IFERROR((s_TR/(s_RadSpec!N26*s_EF_res*(1/365)*s_ED_res*s_RadSpec!S26*((s_ET_res_o*(1/24)*s_RadSpec!X26)+(s_ET_res_i*(1/24)*s_RadSpec!AC26))))*1,".")</f>
        <v>6594.5387487883645</v>
      </c>
      <c r="U26" s="15">
        <f>IFERROR((s_TR/(s_RadSpec!O26*s_EF_res*(1/365)*s_ED_res*s_RadSpec!T26*((s_ET_res_o*(1/24)*s_RadSpec!Y26)+(s_ET_res_i*(1/24)*s_RadSpec!AD26))))*1,".")</f>
        <v>4337.4939804926453</v>
      </c>
      <c r="V26" s="15">
        <f>IFERROR((s_TR/(s_RadSpec!K26*s_EF_res*(1/365)*s_ED_res*s_RadSpec!P26*((s_ET_res_o*(1/24)*s_RadSpec!U26)+(s_ET_res_i*(1/24)*s_RadSpec!Z26))))*1,".")</f>
        <v>128207.87294653025</v>
      </c>
      <c r="W26" s="40">
        <f>IFERROR((s_C*s_EF_res*(1/365)*s_ED_res*s_RadSpec!Q26*((s_ET_res_o*(1/24)*s_RadSpec!V26)+(s_ET_res_i*(1/24)*s_RadSpec!AA26))),".")</f>
        <v>5.8651416411756897E-3</v>
      </c>
      <c r="X26" s="40">
        <f>IFERROR((s_C*s_EF_res*(1/365)*s_ED_res*s_RadSpec!R26*((s_ET_res_o*(1/24)*s_RadSpec!W26)+(s_ET_res_i*(1/24)*s_RadSpec!AB26))),".")</f>
        <v>3.212451076320939E-3</v>
      </c>
      <c r="Y26" s="40">
        <f>IFERROR((s_C*s_EF_res*(1/365)*s_ED_res*s_RadSpec!S26*((s_ET_res_o*(1/24)*s_RadSpec!X26)+(s_ET_res_i*(1/24)*s_RadSpec!AC26))),".")</f>
        <v>4.444569204281758E-3</v>
      </c>
      <c r="Z26" s="40">
        <f>IFERROR((s_C*s_EF_res*(1/365)*s_ED_res*s_RadSpec!T26*((s_ET_res_o*(1/24)*s_RadSpec!Y26)+(s_ET_res_i*(1/24)*s_RadSpec!AD26))),".")</f>
        <v>5.1960321209258403E-3</v>
      </c>
      <c r="AA26" s="40">
        <f>IFERROR((s_C*s_EF_res*(1/365)*s_ED_res*s_RadSpec!P26*((s_ET_res_o*(1/24)*s_RadSpec!U26)+(s_ET_res_i*(1/24)*s_RadSpec!Z26))),".")</f>
        <v>5.511591148577448E-4</v>
      </c>
      <c r="AB26" s="18"/>
      <c r="AC26" s="18"/>
      <c r="AD26" s="18"/>
      <c r="AE26" s="18"/>
      <c r="AF26" s="18"/>
      <c r="AG26" s="15">
        <f>IFERROR((s_TR/(s_RadSpec!G26*s_IFA_res_adj)),".")</f>
        <v>3.1411556835285646E-2</v>
      </c>
      <c r="AH26" s="15">
        <f>IFERROR((s_TR/(s_RadSpec!J26*s_EF_res*(1/365)*s_ED_res*s_ET_res*(1/24)*s_GSF_a)),".")</f>
        <v>29192.09688199533</v>
      </c>
      <c r="AI26" s="15">
        <f>IFERROR(IF(AND(AG26&lt;&gt;".",AH26&lt;&gt;"."),1/((1/AG26)+(1/AH26)),IF(AND(AG26&lt;&gt;".",AH26="."),1/((1/AG26)),IF(AND(AG26=".",AH26&lt;&gt;"."),1/((1/AH26)),IF(AND(AG26=".",AH26="."),".")))),".")</f>
        <v>3.1411523035560843E-2</v>
      </c>
      <c r="AJ26" s="40">
        <f t="shared" si="2"/>
        <v>911.45833333333326</v>
      </c>
      <c r="AK26" s="40">
        <f t="shared" si="3"/>
        <v>0.57077625570776247</v>
      </c>
      <c r="AL26" s="18"/>
      <c r="AM26" s="18"/>
      <c r="AN26" s="18"/>
      <c r="AO26" s="15">
        <f>IFERROR((s_TR/(s_RadSpec!H26*s_IFW_res_adj)),".")</f>
        <v>8.9493466976910678</v>
      </c>
      <c r="AP26" s="15" t="str">
        <f>IFERROR(IF(s_RadSpec!C26=1,(s_TR/(s_RadSpec!G26*s_IFA_res_adj*s_K)),"."),".")</f>
        <v>.</v>
      </c>
      <c r="AQ26" s="15">
        <f>IFERROR((s_TR/(s_RadSpec!L26*(1/8760)*s_DFA_res_adj)),".")</f>
        <v>32790073.857835665</v>
      </c>
      <c r="AR26" s="15">
        <f>s_b2w!C26</f>
        <v>26.316338563956215</v>
      </c>
      <c r="AS26" s="15">
        <f>(IF(AND(AO26&lt;&gt;".",AP26&lt;&gt;".",AQ26&lt;&gt;".",AR26&lt;&gt;"."),1/((1/AO26)+(1/AP26)+(1/AQ26)+(1/AR26)),IF(AND(AO26&lt;&gt;".",AP26&lt;&gt;".",AQ26&lt;&gt;".",AR26="."), 1/((1/AO26)+(1/AP26)+(1/AQ26)),IF(AND(AO26&lt;&gt;".",AP26&lt;&gt;".",AQ26=".",AR26&lt;&gt;"."),1/((1/AO26)+(1/AP26)+(1/AR26)),IF(AND(AO26&lt;&gt;".",AP26=".",AQ26&lt;&gt;".",AR26&lt;&gt;"."),1/((1/AO26)+(1/AQ26)+(1/AR26)),IF(AND(AO26=".",AP26&lt;&gt;".",AQ26&lt;&gt;".",AR26&lt;&gt;"."),1/((1/AP26)+(1/AQ26)+(1/AR26)),IF(AND(AO26&lt;&gt;".",AP26&lt;&gt;".",AQ26=".",AR26="."),1/((1/AO26)+(1/AP26)),IF(AND(AO26&lt;&gt;".",AP26=".",AQ26&lt;&gt;".",AR26="."),1/((1/AO26)+(1/AQ26)),IF(AND(AO26&lt;&gt;".",AP26=".",AQ26=".",AR26&lt;&gt;"."),1/((1/AO26)+(1/AR26)),IF(AND(AO26=".",AP26=".",AQ26&lt;&gt;".",AR26&lt;&gt;"."),1/((1/AQ26)+(1/AR26)),IF(AND(AO26=".",AP26&lt;&gt;".",AQ26=".",AR26&lt;&gt;"."),1/((1/AP26)+(1/AR26)),IF(AND(AO26=".",AP26&lt;&gt;".",AQ26&lt;&gt;".",AR26="."),1/((1/AP26)+(1/AQ26)),IF(AND(AO26&lt;&gt;".",AP26=".",AQ26=".",AR26="."),1/((1/AO26)),IF(AND(AO26=".",AP26&lt;&gt;".",AQ26=".",AR26="."),1/((1/AP26)),IF(AND(AO26=".",AP26=".",AQ26&lt;&gt;".",AR26="."),1/((1/AQ26)),IF(AND(AO26=".",AP26=".",AQ26=".",AR26&lt;&gt;"."),1/((1/AR26)),IF(AND(AO26=".",AP26=".",AQ26=".",AR26="."),".")))))))))))))))))</f>
        <v>6.6782762878057067</v>
      </c>
      <c r="AT26" s="40">
        <f t="shared" si="4"/>
        <v>2500</v>
      </c>
      <c r="AU26" s="40">
        <f t="shared" si="5"/>
        <v>455.72916666666663</v>
      </c>
      <c r="AV26" s="40">
        <f t="shared" si="6"/>
        <v>0.22831050228310501</v>
      </c>
      <c r="AW26" s="40">
        <f>s_b2w!AB26</f>
        <v>654.14369306577362</v>
      </c>
      <c r="AX26" s="18"/>
      <c r="AY26" s="18"/>
      <c r="AZ26" s="18"/>
      <c r="BA26" s="18"/>
      <c r="BB26" s="18"/>
      <c r="BC26" s="15">
        <f>IFERROR(s_TR/(s_RadSpec!E26*s_EF_res*s_ED_res*s_IRF_res*0.001*s_CF_res_fish),".")</f>
        <v>1.2519757742687678</v>
      </c>
      <c r="BD26" s="40">
        <f t="shared" si="7"/>
        <v>13750</v>
      </c>
      <c r="BE26" s="18"/>
    </row>
    <row r="27" spans="1:57" x14ac:dyDescent="0.25">
      <c r="A27" s="44" t="s">
        <v>37</v>
      </c>
      <c r="B27" s="42" t="s">
        <v>1074</v>
      </c>
      <c r="C27" s="15" t="str">
        <f>IFERROR(((s_TR/(s_RadSpec!D27*s_IFS_res_adj*(1/1000)))*1),".")</f>
        <v>.</v>
      </c>
      <c r="D27" s="15" t="str">
        <f>IFERROR(IF(A27="H-3",(s_TR/((s_RadSpec!G27*s_IFA_res_adj*(1/17)*1000))*1),(s_TR/((s_RadSpec!G27*s_IFA_res_adj*(1/s_PEF_wind)*1000))*1)),".")</f>
        <v>.</v>
      </c>
      <c r="E27" s="15">
        <f>IFERROR((s_TR/(s_RadSpec!F27*s_EF_res*(1/365)*s_ED_res*s_RadSpec!Q27*((s_ET_res_o*(1/24)*s_RadSpec!V27)+(s_ET_res_i*(1/24)*s_RadSpec!AA27))))*1,".")</f>
        <v>29412.898838734618</v>
      </c>
      <c r="F27" s="15" t="str">
        <f>s_b2s!C27</f>
        <v>.</v>
      </c>
      <c r="G27" s="15" t="str">
        <f>s_dir!C27</f>
        <v>.</v>
      </c>
      <c r="H27" s="15">
        <f t="shared" ref="H27:H29" si="32">(IF(AND(C27&lt;&gt;".",D27&lt;&gt;".",E27&lt;&gt;".",F27&lt;&gt;"."),1/((1/C27)+(1/D27)+(1/E27)+(1/F27)),IF(AND(C27&lt;&gt;".",D27&lt;&gt;".",E27&lt;&gt;".",F27="."), 1/((1/C27)+(1/D27)+(1/E27)),IF(AND(C27&lt;&gt;".",D27&lt;&gt;".",E27=".",F27&lt;&gt;"."),1/((1/C27)+(1/D27)+(1/F27)),IF(AND(C27&lt;&gt;".",D27=".",E27&lt;&gt;".",F27&lt;&gt;"."),1/((1/C27)+(1/E27)+(1/F27)),IF(AND(C27=".",D27&lt;&gt;".",E27&lt;&gt;".",F27&lt;&gt;"."),1/((1/D27)+(1/E27)+(1/F27)),IF(AND(C27&lt;&gt;".",D27&lt;&gt;".",E27=".",F27="."),1/((1/C27)+(1/D27)),IF(AND(C27&lt;&gt;".",D27=".",E27&lt;&gt;".",F27="."),1/((1/C27)+(1/E27)),IF(AND(C27&lt;&gt;".",D27=".",E27=".",F27&lt;&gt;"."),1/((1/C27)+(1/F27)),IF(AND(C27=".",D27=".",E27&lt;&gt;".",F27&lt;&gt;"."),1/((1/E27)+(1/F27)),IF(AND(C27=".",D27&lt;&gt;".",E27=".",F27&lt;&gt;"."),1/((1/D27)+(1/F27)),IF(AND(C27=".",D27&lt;&gt;".",E27&lt;&gt;".",F27="."),1/((1/D27)+(1/E27)),IF(AND(C27&lt;&gt;".",D27=".",E27=".",F27="."),1/((1/C27)),IF(AND(C27=".",D27&lt;&gt;".",E27=".",F27="."),1/((1/D27)),IF(AND(C27=".",D27=".",E27&lt;&gt;".",F27="."),1/((1/E27)),IF(AND(C27=".",D27=".",E27=".",F27&lt;&gt;"."),1/((1/F27)),IF(AND(C27=".",D27=".",E27=".",F27="."),".")))))))))))))))))</f>
        <v>29412.898838734622</v>
      </c>
      <c r="I27" s="40">
        <f t="shared" si="0"/>
        <v>27.5</v>
      </c>
      <c r="J27" s="40">
        <f t="shared" si="1"/>
        <v>2.9420495991003873E-3</v>
      </c>
      <c r="K27" s="40">
        <f>IFERROR((s_C*s_EF_res*(1/365)*s_ED_res*s_RadSpec!Q27*((s_ET_res_o*(1/24)*s_RadSpec!V27)+(s_ET_res_i*(1/24)*s_RadSpec!AA27))),".")</f>
        <v>2.7837151629664603E-2</v>
      </c>
      <c r="L27" s="40">
        <f>s_b2s!AB27</f>
        <v>6254.6</v>
      </c>
      <c r="M27" s="18"/>
      <c r="N27" s="18"/>
      <c r="O27" s="18"/>
      <c r="P27" s="18"/>
      <c r="Q27" s="18"/>
      <c r="R27" s="15">
        <f>IFERROR((s_TR/(s_RadSpec!F27*s_EF_res*(1/365)*s_ED_res*s_RadSpec!Q27*((s_ET_res_o*(1/24)*s_RadSpec!V27)+(s_ET_res_i*(1/24)*s_RadSpec!AA27))))*1,".")</f>
        <v>29412.898838734618</v>
      </c>
      <c r="S27" s="15">
        <f>IFERROR((s_TR/(s_RadSpec!M27*s_EF_res*(1/365)*s_ED_res*s_RadSpec!R27*((s_ET_res_o*(1/24)*s_RadSpec!W27)+(s_ET_res_i*(1/24)*s_RadSpec!AB27))))*1,".")</f>
        <v>256916.90554435083</v>
      </c>
      <c r="T27" s="15">
        <f>IFERROR((s_TR/(s_RadSpec!N27*s_EF_res*(1/365)*s_ED_res*s_RadSpec!S27*((s_ET_res_o*(1/24)*s_RadSpec!X27)+(s_ET_res_i*(1/24)*s_RadSpec!AC27))))*1,".")</f>
        <v>74082.802704777379</v>
      </c>
      <c r="U27" s="15">
        <f>IFERROR((s_TR/(s_RadSpec!O27*s_EF_res*(1/365)*s_ED_res*s_RadSpec!T27*((s_ET_res_o*(1/24)*s_RadSpec!Y27)+(s_ET_res_i*(1/24)*s_RadSpec!AD27))))*1,".")</f>
        <v>40537.37359295832</v>
      </c>
      <c r="V27" s="15">
        <f>IFERROR((s_TR/(s_RadSpec!K27*s_EF_res*(1/365)*s_ED_res*s_RadSpec!P27*((s_ET_res_o*(1/24)*s_RadSpec!U27)+(s_ET_res_i*(1/24)*s_RadSpec!Z27))))*1,".")</f>
        <v>194448.18343517449</v>
      </c>
      <c r="W27" s="40">
        <f>IFERROR((s_C*s_EF_res*(1/365)*s_ED_res*s_RadSpec!Q27*((s_ET_res_o*(1/24)*s_RadSpec!V27)+(s_ET_res_i*(1/24)*s_RadSpec!AA27))),".")</f>
        <v>2.7837151629664603E-2</v>
      </c>
      <c r="X27" s="40">
        <f>IFERROR((s_C*s_EF_res*(1/365)*s_ED_res*s_RadSpec!R27*((s_ET_res_o*(1/24)*s_RadSpec!W27)+(s_ET_res_i*(1/24)*s_RadSpec!AB27))),".")</f>
        <v>9.3848788198103213E-3</v>
      </c>
      <c r="Y27" s="40">
        <f>IFERROR((s_C*s_EF_res*(1/365)*s_ED_res*s_RadSpec!S27*((s_ET_res_o*(1/24)*s_RadSpec!X27)+(s_ET_res_i*(1/24)*s_RadSpec!AC27))),".")</f>
        <v>1.5307875566958356E-2</v>
      </c>
      <c r="Z27" s="40">
        <f>IFERROR((s_C*s_EF_res*(1/365)*s_ED_res*s_RadSpec!T27*((s_ET_res_o*(1/24)*s_RadSpec!Y27)+(s_ET_res_i*(1/24)*s_RadSpec!AD27))),".")</f>
        <v>2.1042870795976876E-2</v>
      </c>
      <c r="AA27" s="40">
        <f>IFERROR((s_C*s_EF_res*(1/365)*s_ED_res*s_RadSpec!P27*((s_ET_res_o*(1/24)*s_RadSpec!U27)+(s_ET_res_i*(1/24)*s_RadSpec!Z27))),".")</f>
        <v>3.0002977963073242E-3</v>
      </c>
      <c r="AB27" s="18"/>
      <c r="AC27" s="18"/>
      <c r="AD27" s="18"/>
      <c r="AE27" s="18"/>
      <c r="AF27" s="18"/>
      <c r="AG27" s="15" t="str">
        <f>IFERROR((s_TR/(s_RadSpec!G27*s_IFA_res_adj)),".")</f>
        <v>.</v>
      </c>
      <c r="AH27" s="15">
        <f>IFERROR((s_TR/(s_RadSpec!J27*s_EF_res*(1/365)*s_ED_res*s_ET_res*(1/24)*s_GSF_a)),".")</f>
        <v>931971.29176059633</v>
      </c>
      <c r="AI27" s="15">
        <f>IFERROR(IF(AND(AG27&lt;&gt;".",AH27&lt;&gt;"."),1/((1/AG27)+(1/AH27)),IF(AND(AG27&lt;&gt;".",AH27="."),1/((1/AG27)),IF(AND(AG27=".",AH27&lt;&gt;"."),1/((1/AH27)),IF(AND(AG27=".",AH27="."),".")))),".")</f>
        <v>931971.29176059633</v>
      </c>
      <c r="AJ27" s="40">
        <f t="shared" si="2"/>
        <v>911.45833333333326</v>
      </c>
      <c r="AK27" s="40">
        <f t="shared" si="3"/>
        <v>0.57077625570776247</v>
      </c>
      <c r="AL27" s="18"/>
      <c r="AM27" s="18"/>
      <c r="AN27" s="18"/>
      <c r="AO27" s="15" t="str">
        <f>IFERROR((s_TR/(s_RadSpec!H27*s_IFW_res_adj)),".")</f>
        <v>.</v>
      </c>
      <c r="AP27" s="15" t="str">
        <f>IFERROR(IF(s_RadSpec!C27=1,(s_TR/(s_RadSpec!G27*s_IFA_res_adj*s_K)),"."),".")</f>
        <v>.</v>
      </c>
      <c r="AQ27" s="15">
        <f>IFERROR((s_TR/(s_RadSpec!L27*(1/8760)*s_DFA_res_adj)),".")</f>
        <v>1488565257.6731746</v>
      </c>
      <c r="AR27" s="15" t="str">
        <f>s_b2w!C27</f>
        <v>.</v>
      </c>
      <c r="AS27" s="15">
        <f>(IF(AND(AO27&lt;&gt;".",AP27&lt;&gt;".",AQ27&lt;&gt;".",AR27&lt;&gt;"."),1/((1/AO27)+(1/AP27)+(1/AQ27)+(1/AR27)),IF(AND(AO27&lt;&gt;".",AP27&lt;&gt;".",AQ27&lt;&gt;".",AR27="."), 1/((1/AO27)+(1/AP27)+(1/AQ27)),IF(AND(AO27&lt;&gt;".",AP27&lt;&gt;".",AQ27=".",AR27&lt;&gt;"."),1/((1/AO27)+(1/AP27)+(1/AR27)),IF(AND(AO27&lt;&gt;".",AP27=".",AQ27&lt;&gt;".",AR27&lt;&gt;"."),1/((1/AO27)+(1/AQ27)+(1/AR27)),IF(AND(AO27=".",AP27&lt;&gt;".",AQ27&lt;&gt;".",AR27&lt;&gt;"."),1/((1/AP27)+(1/AQ27)+(1/AR27)),IF(AND(AO27&lt;&gt;".",AP27&lt;&gt;".",AQ27=".",AR27="."),1/((1/AO27)+(1/AP27)),IF(AND(AO27&lt;&gt;".",AP27=".",AQ27&lt;&gt;".",AR27="."),1/((1/AO27)+(1/AQ27)),IF(AND(AO27&lt;&gt;".",AP27=".",AQ27=".",AR27&lt;&gt;"."),1/((1/AO27)+(1/AR27)),IF(AND(AO27=".",AP27=".",AQ27&lt;&gt;".",AR27&lt;&gt;"."),1/((1/AQ27)+(1/AR27)),IF(AND(AO27=".",AP27&lt;&gt;".",AQ27=".",AR27&lt;&gt;"."),1/((1/AP27)+(1/AR27)),IF(AND(AO27=".",AP27&lt;&gt;".",AQ27&lt;&gt;".",AR27="."),1/((1/AP27)+(1/AQ27)),IF(AND(AO27&lt;&gt;".",AP27=".",AQ27=".",AR27="."),1/((1/AO27)),IF(AND(AO27=".",AP27&lt;&gt;".",AQ27=".",AR27="."),1/((1/AP27)),IF(AND(AO27=".",AP27=".",AQ27&lt;&gt;".",AR27="."),1/((1/AQ27)),IF(AND(AO27=".",AP27=".",AQ27=".",AR27&lt;&gt;"."),1/((1/AR27)),IF(AND(AO27=".",AP27=".",AQ27=".",AR27="."),".")))))))))))))))))</f>
        <v>1488565257.6731746</v>
      </c>
      <c r="AT27" s="40">
        <f t="shared" si="4"/>
        <v>2500</v>
      </c>
      <c r="AU27" s="40">
        <f t="shared" si="5"/>
        <v>455.72916666666663</v>
      </c>
      <c r="AV27" s="40">
        <f t="shared" si="6"/>
        <v>0.22831050228310501</v>
      </c>
      <c r="AW27" s="40">
        <f>s_b2w!AB27</f>
        <v>1738.5827027196997</v>
      </c>
      <c r="AX27" s="18"/>
      <c r="AY27" s="18"/>
      <c r="AZ27" s="18"/>
      <c r="BA27" s="18"/>
      <c r="BB27" s="18"/>
      <c r="BC27" s="15" t="str">
        <f>IFERROR(s_TR/(s_RadSpec!E27*s_EF_res*s_ED_res*s_IRF_res*0.001*s_CF_res_fish),".")</f>
        <v>.</v>
      </c>
      <c r="BD27" s="40">
        <f t="shared" si="7"/>
        <v>13750</v>
      </c>
      <c r="BE27" s="18"/>
    </row>
    <row r="28" spans="1:57" x14ac:dyDescent="0.25">
      <c r="A28" s="44" t="s">
        <v>38</v>
      </c>
      <c r="B28" s="42" t="s">
        <v>1074</v>
      </c>
      <c r="C28" s="15" t="str">
        <f>IFERROR(((s_TR/(s_RadSpec!D28*s_IFS_res_adj*(1/1000)))*1),".")</f>
        <v>.</v>
      </c>
      <c r="D28" s="15" t="str">
        <f>IFERROR(IF(A28="H-3",(s_TR/((s_RadSpec!G28*s_IFA_res_adj*(1/17)*1000))*1),(s_TR/((s_RadSpec!G28*s_IFA_res_adj*(1/s_PEF_wind)*1000))*1)),".")</f>
        <v>.</v>
      </c>
      <c r="E28" s="15">
        <f>IFERROR((s_TR/(s_RadSpec!F28*s_EF_res*(1/365)*s_ED_res*s_RadSpec!Q28*((s_ET_res_o*(1/24)*s_RadSpec!V28)+(s_ET_res_i*(1/24)*s_RadSpec!AA28))))*1,".")</f>
        <v>7.7003308523032157</v>
      </c>
      <c r="F28" s="15" t="str">
        <f>s_b2s!C28</f>
        <v>.</v>
      </c>
      <c r="G28" s="15" t="str">
        <f>s_dir!C28</f>
        <v>.</v>
      </c>
      <c r="H28" s="15">
        <f t="shared" si="32"/>
        <v>7.7003308523032157</v>
      </c>
      <c r="I28" s="40">
        <f t="shared" si="0"/>
        <v>27.5</v>
      </c>
      <c r="J28" s="40">
        <f t="shared" si="1"/>
        <v>2.9420495991003873E-3</v>
      </c>
      <c r="K28" s="40">
        <f>IFERROR((s_C*s_EF_res*(1/365)*s_ED_res*s_RadSpec!Q28*((s_ET_res_o*(1/24)*s_RadSpec!V28)+(s_ET_res_i*(1/24)*s_RadSpec!AA28))),".")</f>
        <v>6.2907534246575345E-2</v>
      </c>
      <c r="L28" s="40">
        <f>s_b2s!AB28</f>
        <v>6254.6</v>
      </c>
      <c r="M28" s="18"/>
      <c r="N28" s="18"/>
      <c r="O28" s="18"/>
      <c r="P28" s="18"/>
      <c r="Q28" s="18"/>
      <c r="R28" s="15">
        <f>IFERROR((s_TR/(s_RadSpec!F28*s_EF_res*(1/365)*s_ED_res*s_RadSpec!Q28*((s_ET_res_o*(1/24)*s_RadSpec!V28)+(s_ET_res_i*(1/24)*s_RadSpec!AA28))))*1,".")</f>
        <v>7.7003308523032157</v>
      </c>
      <c r="S28" s="15">
        <f>IFERROR((s_TR/(s_RadSpec!M28*s_EF_res*(1/365)*s_ED_res*s_RadSpec!R28*((s_ET_res_o*(1/24)*s_RadSpec!W28)+(s_ET_res_i*(1/24)*s_RadSpec!AB28))))*1,".")</f>
        <v>93.007752182093554</v>
      </c>
      <c r="T28" s="15">
        <f>IFERROR((s_TR/(s_RadSpec!N28*s_EF_res*(1/365)*s_ED_res*s_RadSpec!S28*((s_ET_res_o*(1/24)*s_RadSpec!X28)+(s_ET_res_i*(1/24)*s_RadSpec!AC28))))*1,".")</f>
        <v>22.479767701730253</v>
      </c>
      <c r="U28" s="15">
        <f>IFERROR((s_TR/(s_RadSpec!O28*s_EF_res*(1/365)*s_ED_res*s_RadSpec!T28*((s_ET_res_o*(1/24)*s_RadSpec!Y28)+(s_ET_res_i*(1/24)*s_RadSpec!AD28))))*1,".")</f>
        <v>12.23093305402268</v>
      </c>
      <c r="V28" s="15">
        <f>IFERROR((s_TR/(s_RadSpec!K28*s_EF_res*(1/365)*s_ED_res*s_RadSpec!P28*((s_ET_res_o*(1/24)*s_RadSpec!U28)+(s_ET_res_i*(1/24)*s_RadSpec!Z28))))*1,".")</f>
        <v>167.82333676073071</v>
      </c>
      <c r="W28" s="40">
        <f>IFERROR((s_C*s_EF_res*(1/365)*s_ED_res*s_RadSpec!Q28*((s_ET_res_o*(1/24)*s_RadSpec!V28)+(s_ET_res_i*(1/24)*s_RadSpec!AA28))),".")</f>
        <v>6.2907534246575345E-2</v>
      </c>
      <c r="X28" s="40">
        <f>IFERROR((s_C*s_EF_res*(1/365)*s_ED_res*s_RadSpec!R28*((s_ET_res_o*(1/24)*s_RadSpec!W28)+(s_ET_res_i*(1/24)*s_RadSpec!AB28))),".")</f>
        <v>2.8211424140604801E-2</v>
      </c>
      <c r="Y28" s="40">
        <f>IFERROR((s_C*s_EF_res*(1/365)*s_ED_res*s_RadSpec!S28*((s_ET_res_o*(1/24)*s_RadSpec!X28)+(s_ET_res_i*(1/24)*s_RadSpec!AC28))),".")</f>
        <v>4.0633561643835629E-2</v>
      </c>
      <c r="Z28" s="40">
        <f>IFERROR((s_C*s_EF_res*(1/365)*s_ED_res*s_RadSpec!T28*((s_ET_res_o*(1/24)*s_RadSpec!Y28)+(s_ET_res_i*(1/24)*s_RadSpec!AD28))),".")</f>
        <v>4.6931657937147486E-2</v>
      </c>
      <c r="AA28" s="40">
        <f>IFERROR((s_C*s_EF_res*(1/365)*s_ED_res*s_RadSpec!P28*((s_ET_res_o*(1/24)*s_RadSpec!U28)+(s_ET_res_i*(1/24)*s_RadSpec!Z28))),".")</f>
        <v>1.6047775387750471E-2</v>
      </c>
      <c r="AB28" s="18"/>
      <c r="AC28" s="18"/>
      <c r="AD28" s="18"/>
      <c r="AE28" s="18"/>
      <c r="AF28" s="18"/>
      <c r="AG28" s="15" t="str">
        <f>IFERROR((s_TR/(s_RadSpec!G28*s_IFA_res_adj)),".")</f>
        <v>.</v>
      </c>
      <c r="AH28" s="15">
        <f>IFERROR((s_TR/(s_RadSpec!J28*s_EF_res*(1/365)*s_ED_res*s_ET_res*(1/24)*s_GSF_a)),".")</f>
        <v>914.92303642351249</v>
      </c>
      <c r="AI28" s="15">
        <f t="shared" ref="AI28:AI29" si="33">IFERROR(IF(AND(AG28&lt;&gt;".",AH28&lt;&gt;"."),1/((1/AG28)+(1/AH28)),IF(AND(AG28&lt;&gt;".",AH28="."),1/((1/AG28)),IF(AND(AG28=".",AH28&lt;&gt;"."),1/((1/AH28)),IF(AND(AG28=".",AH28="."),".")))),".")</f>
        <v>914.92303642351249</v>
      </c>
      <c r="AJ28" s="40">
        <f t="shared" si="2"/>
        <v>911.45833333333326</v>
      </c>
      <c r="AK28" s="40">
        <f t="shared" si="3"/>
        <v>0.57077625570776247</v>
      </c>
      <c r="AL28" s="18"/>
      <c r="AM28" s="18"/>
      <c r="AN28" s="18"/>
      <c r="AO28" s="15" t="str">
        <f>IFERROR((s_TR/(s_RadSpec!H28*s_IFW_res_adj)),".")</f>
        <v>.</v>
      </c>
      <c r="AP28" s="15" t="str">
        <f>IFERROR(IF(s_RadSpec!C28=1,(s_TR/(s_RadSpec!G28*s_IFA_res_adj*s_K)),"."),".")</f>
        <v>.</v>
      </c>
      <c r="AQ28" s="15">
        <f>IFERROR((s_TR/(s_RadSpec!L28*(1/8760)*s_DFA_res_adj)),".")</f>
        <v>1053703.4970046068</v>
      </c>
      <c r="AR28" s="15" t="str">
        <f>s_b2w!C28</f>
        <v>.</v>
      </c>
      <c r="AS28" s="15">
        <f t="shared" ref="AS28:AS29" si="34">(IF(AND(AO28&lt;&gt;".",AP28&lt;&gt;".",AQ28&lt;&gt;".",AR28&lt;&gt;"."),1/((1/AO28)+(1/AP28)+(1/AQ28)+(1/AR28)),IF(AND(AO28&lt;&gt;".",AP28&lt;&gt;".",AQ28&lt;&gt;".",AR28="."), 1/((1/AO28)+(1/AP28)+(1/AQ28)),IF(AND(AO28&lt;&gt;".",AP28&lt;&gt;".",AQ28=".",AR28&lt;&gt;"."),1/((1/AO28)+(1/AP28)+(1/AR28)),IF(AND(AO28&lt;&gt;".",AP28=".",AQ28&lt;&gt;".",AR28&lt;&gt;"."),1/((1/AO28)+(1/AQ28)+(1/AR28)),IF(AND(AO28=".",AP28&lt;&gt;".",AQ28&lt;&gt;".",AR28&lt;&gt;"."),1/((1/AP28)+(1/AQ28)+(1/AR28)),IF(AND(AO28&lt;&gt;".",AP28&lt;&gt;".",AQ28=".",AR28="."),1/((1/AO28)+(1/AP28)),IF(AND(AO28&lt;&gt;".",AP28=".",AQ28&lt;&gt;".",AR28="."),1/((1/AO28)+(1/AQ28)),IF(AND(AO28&lt;&gt;".",AP28=".",AQ28=".",AR28&lt;&gt;"."),1/((1/AO28)+(1/AR28)),IF(AND(AO28=".",AP28=".",AQ28&lt;&gt;".",AR28&lt;&gt;"."),1/((1/AQ28)+(1/AR28)),IF(AND(AO28=".",AP28&lt;&gt;".",AQ28=".",AR28&lt;&gt;"."),1/((1/AP28)+(1/AR28)),IF(AND(AO28=".",AP28&lt;&gt;".",AQ28&lt;&gt;".",AR28="."),1/((1/AP28)+(1/AQ28)),IF(AND(AO28&lt;&gt;".",AP28=".",AQ28=".",AR28="."),1/((1/AO28)),IF(AND(AO28=".",AP28&lt;&gt;".",AQ28=".",AR28="."),1/((1/AP28)),IF(AND(AO28=".",AP28=".",AQ28&lt;&gt;".",AR28="."),1/((1/AQ28)),IF(AND(AO28=".",AP28=".",AQ28=".",AR28&lt;&gt;"."),1/((1/AR28)),IF(AND(AO28=".",AP28=".",AQ28=".",AR28="."),".")))))))))))))))))</f>
        <v>1053703.4970046068</v>
      </c>
      <c r="AT28" s="40">
        <f t="shared" si="4"/>
        <v>2500</v>
      </c>
      <c r="AU28" s="40">
        <f t="shared" si="5"/>
        <v>455.72916666666663</v>
      </c>
      <c r="AV28" s="40">
        <f t="shared" si="6"/>
        <v>0.22831050228310501</v>
      </c>
      <c r="AW28" s="40">
        <f>s_b2w!AB28</f>
        <v>1738.5827027196997</v>
      </c>
      <c r="AX28" s="18"/>
      <c r="AY28" s="18"/>
      <c r="AZ28" s="18"/>
      <c r="BA28" s="18"/>
      <c r="BB28" s="18"/>
      <c r="BC28" s="15" t="str">
        <f>IFERROR(s_TR/(s_RadSpec!E28*s_EF_res*s_ED_res*s_IRF_res*0.001*s_CF_res_fish),".")</f>
        <v>.</v>
      </c>
      <c r="BD28" s="40">
        <f t="shared" si="7"/>
        <v>13750</v>
      </c>
      <c r="BE28" s="18"/>
    </row>
    <row r="29" spans="1:57" x14ac:dyDescent="0.25">
      <c r="A29" s="44" t="s">
        <v>39</v>
      </c>
      <c r="B29" s="42" t="s">
        <v>1074</v>
      </c>
      <c r="C29" s="15" t="str">
        <f>IFERROR(((s_TR/(s_RadSpec!D29*s_IFS_res_adj*(1/1000)))*1),".")</f>
        <v>.</v>
      </c>
      <c r="D29" s="15" t="str">
        <f>IFERROR(IF(A29="H-3",(s_TR/((s_RadSpec!G29*s_IFA_res_adj*(1/17)*1000))*1),(s_TR/((s_RadSpec!G29*s_IFA_res_adj*(1/s_PEF_wind)*1000))*1)),".")</f>
        <v>.</v>
      </c>
      <c r="E29" s="15">
        <f>IFERROR((s_TR/(s_RadSpec!F29*s_EF_res*(1/365)*s_ED_res*s_RadSpec!Q29*((s_ET_res_o*(1/24)*s_RadSpec!V29)+(s_ET_res_i*(1/24)*s_RadSpec!AA29))))*1,".")</f>
        <v>6.4366566143149901</v>
      </c>
      <c r="F29" s="15" t="str">
        <f>s_b2s!C29</f>
        <v>.</v>
      </c>
      <c r="G29" s="15" t="str">
        <f>s_dir!C29</f>
        <v>.</v>
      </c>
      <c r="H29" s="15">
        <f t="shared" si="32"/>
        <v>6.4366566143149901</v>
      </c>
      <c r="I29" s="40">
        <f t="shared" si="0"/>
        <v>27.5</v>
      </c>
      <c r="J29" s="40">
        <f t="shared" si="1"/>
        <v>2.9420495991003873E-3</v>
      </c>
      <c r="K29" s="40">
        <f>IFERROR((s_C*s_EF_res*(1/365)*s_ED_res*s_RadSpec!Q29*((s_ET_res_o*(1/24)*s_RadSpec!V29)+(s_ET_res_i*(1/24)*s_RadSpec!AA29))),".")</f>
        <v>5.7850368809272891E-2</v>
      </c>
      <c r="L29" s="40">
        <f>s_b2s!AB29</f>
        <v>6254.6</v>
      </c>
      <c r="M29" s="18"/>
      <c r="N29" s="18"/>
      <c r="O29" s="18"/>
      <c r="P29" s="18"/>
      <c r="Q29" s="18"/>
      <c r="R29" s="15">
        <f>IFERROR((s_TR/(s_RadSpec!F29*s_EF_res*(1/365)*s_ED_res*s_RadSpec!Q29*((s_ET_res_o*(1/24)*s_RadSpec!V29)+(s_ET_res_i*(1/24)*s_RadSpec!AA29))))*1,".")</f>
        <v>6.4366566143149901</v>
      </c>
      <c r="S29" s="15">
        <f>IFERROR((s_TR/(s_RadSpec!M29*s_EF_res*(1/365)*s_ED_res*s_RadSpec!R29*((s_ET_res_o*(1/24)*s_RadSpec!W29)+(s_ET_res_i*(1/24)*s_RadSpec!AB29))))*1,".")</f>
        <v>69.411399365184934</v>
      </c>
      <c r="T29" s="15">
        <f>IFERROR((s_TR/(s_RadSpec!N29*s_EF_res*(1/365)*s_ED_res*s_RadSpec!S29*((s_ET_res_o*(1/24)*s_RadSpec!X29)+(s_ET_res_i*(1/24)*s_RadSpec!AC29))))*1,".")</f>
        <v>17.261509968266402</v>
      </c>
      <c r="U29" s="15">
        <f>IFERROR((s_TR/(s_RadSpec!O29*s_EF_res*(1/365)*s_ED_res*s_RadSpec!T29*((s_ET_res_o*(1/24)*s_RadSpec!Y29)+(s_ET_res_i*(1/24)*s_RadSpec!AD29))))*1,".")</f>
        <v>9.1735820196172995</v>
      </c>
      <c r="V29" s="15">
        <f>IFERROR((s_TR/(s_RadSpec!K29*s_EF_res*(1/365)*s_ED_res*s_RadSpec!P29*((s_ET_res_o*(1/24)*s_RadSpec!U29)+(s_ET_res_i*(1/24)*s_RadSpec!Z29))))*1,".")</f>
        <v>128.75498257014223</v>
      </c>
      <c r="W29" s="40">
        <f>IFERROR((s_C*s_EF_res*(1/365)*s_ED_res*s_RadSpec!Q29*((s_ET_res_o*(1/24)*s_RadSpec!V29)+(s_ET_res_i*(1/24)*s_RadSpec!AA29))),".")</f>
        <v>5.7850368809272891E-2</v>
      </c>
      <c r="X29" s="40">
        <f>IFERROR((s_C*s_EF_res*(1/365)*s_ED_res*s_RadSpec!R29*((s_ET_res_o*(1/24)*s_RadSpec!W29)+(s_ET_res_i*(1/24)*s_RadSpec!AB29))),".")</f>
        <v>2.8990912789909139E-2</v>
      </c>
      <c r="Y29" s="40">
        <f>IFERROR((s_C*s_EF_res*(1/365)*s_ED_res*s_RadSpec!S29*((s_ET_res_o*(1/24)*s_RadSpec!X29)+(s_ET_res_i*(1/24)*s_RadSpec!AC29))),".")</f>
        <v>4.0694954894754429E-2</v>
      </c>
      <c r="Z29" s="40">
        <f>IFERROR((s_C*s_EF_res*(1/365)*s_ED_res*s_RadSpec!T29*((s_ET_res_o*(1/24)*s_RadSpec!Y29)+(s_ET_res_i*(1/24)*s_RadSpec!AD29))),".")</f>
        <v>4.797472838923008E-2</v>
      </c>
      <c r="AA29" s="40">
        <f>IFERROR((s_C*s_EF_res*(1/365)*s_ED_res*s_RadSpec!P29*((s_ET_res_o*(1/24)*s_RadSpec!U29)+(s_ET_res_i*(1/24)*s_RadSpec!Z29))),".")</f>
        <v>1.6144814090019565E-2</v>
      </c>
      <c r="AB29" s="18"/>
      <c r="AC29" s="18"/>
      <c r="AD29" s="18"/>
      <c r="AE29" s="18"/>
      <c r="AF29" s="18"/>
      <c r="AG29" s="15" t="str">
        <f>IFERROR((s_TR/(s_RadSpec!G29*s_IFA_res_adj)),".")</f>
        <v>.</v>
      </c>
      <c r="AH29" s="15">
        <f>IFERROR((s_TR/(s_RadSpec!J29*s_EF_res*(1/365)*s_ED_res*s_ET_res*(1/24)*s_GSF_a)),".")</f>
        <v>707.77065081818864</v>
      </c>
      <c r="AI29" s="15">
        <f t="shared" si="33"/>
        <v>707.77065081818864</v>
      </c>
      <c r="AJ29" s="40">
        <f t="shared" si="2"/>
        <v>911.45833333333326</v>
      </c>
      <c r="AK29" s="40">
        <f t="shared" si="3"/>
        <v>0.57077625570776247</v>
      </c>
      <c r="AL29" s="18"/>
      <c r="AM29" s="18"/>
      <c r="AN29" s="18"/>
      <c r="AO29" s="15" t="str">
        <f>IFERROR((s_TR/(s_RadSpec!H29*s_IFW_res_adj)),".")</f>
        <v>.</v>
      </c>
      <c r="AP29" s="15" t="str">
        <f>IFERROR(IF(s_RadSpec!C29=1,(s_TR/(s_RadSpec!G29*s_IFA_res_adj*s_K)),"."),".")</f>
        <v>.</v>
      </c>
      <c r="AQ29" s="15">
        <f>IFERROR((s_TR/(s_RadSpec!L29*(1/8760)*s_DFA_res_adj)),".")</f>
        <v>815474.88029052177</v>
      </c>
      <c r="AR29" s="15" t="str">
        <f>s_b2w!C29</f>
        <v>.</v>
      </c>
      <c r="AS29" s="15">
        <f t="shared" si="34"/>
        <v>815474.88029052177</v>
      </c>
      <c r="AT29" s="40">
        <f t="shared" si="4"/>
        <v>2500</v>
      </c>
      <c r="AU29" s="40">
        <f t="shared" si="5"/>
        <v>455.72916666666663</v>
      </c>
      <c r="AV29" s="40">
        <f t="shared" si="6"/>
        <v>0.22831050228310501</v>
      </c>
      <c r="AW29" s="40">
        <f>s_b2w!AB29</f>
        <v>1738.5827027196997</v>
      </c>
      <c r="AX29" s="18"/>
      <c r="AY29" s="18"/>
      <c r="AZ29" s="18"/>
      <c r="BA29" s="18"/>
      <c r="BB29" s="18"/>
      <c r="BC29" s="15" t="str">
        <f>IFERROR(s_TR/(s_RadSpec!E29*s_EF_res*s_ED_res*s_IRF_res*0.001*s_CF_res_fish),".")</f>
        <v>.</v>
      </c>
      <c r="BD29" s="40">
        <f t="shared" si="7"/>
        <v>13750</v>
      </c>
      <c r="BE29" s="18"/>
    </row>
    <row r="30" spans="1:57" x14ac:dyDescent="0.25">
      <c r="A30" s="44" t="s">
        <v>40</v>
      </c>
      <c r="B30" s="42" t="s">
        <v>1074</v>
      </c>
      <c r="C30" s="15">
        <f>IFERROR(((s_TR/(s_RadSpec!D30*s_IFS_res_adj*(1/1000)))*1),".")</f>
        <v>1210.3460379322448</v>
      </c>
      <c r="D30" s="15">
        <f>IFERROR(IF(A30="H-3",(s_TR/((s_RadSpec!G30*s_IFA_res_adj*(1/17)*1000))*1),(s_TR/((s_RadSpec!G30*s_IFA_res_adj*(1/s_PEF_wind)*1000))*1)),".")</f>
        <v>60042.235700166173</v>
      </c>
      <c r="E30" s="15">
        <f>IFERROR((s_TR/(s_RadSpec!F30*s_EF_res*(1/365)*s_ED_res*s_RadSpec!Q30*((s_ET_res_o*(1/24)*s_RadSpec!V30)+(s_ET_res_i*(1/24)*s_RadSpec!AA30))))*1,".")</f>
        <v>1140663.0326997505</v>
      </c>
      <c r="F30" s="15">
        <f>s_b2s!C30</f>
        <v>46.058578261074956</v>
      </c>
      <c r="G30" s="15">
        <f>s_dir!C30</f>
        <v>0.93778719732918203</v>
      </c>
      <c r="H30" s="15">
        <f>(IF(AND(C30&lt;&gt;".",D30&lt;&gt;".",E30&lt;&gt;".",F30&lt;&gt;"."),1/((1/C30)+(1/D30)+(1/E30)+(1/F30)),IF(AND(C30&lt;&gt;".",D30&lt;&gt;".",E30&lt;&gt;".",F30="."), 1/((1/C30)+(1/D30)+(1/E30)),IF(AND(C30&lt;&gt;".",D30&lt;&gt;".",E30=".",F30&lt;&gt;"."),1/((1/C30)+(1/D30)+(1/F30)),IF(AND(C30&lt;&gt;".",D30=".",E30&lt;&gt;".",F30&lt;&gt;"."),1/((1/C30)+(1/E30)+(1/F30)),IF(AND(C30=".",D30&lt;&gt;".",E30&lt;&gt;".",F30&lt;&gt;"."),1/((1/D30)+(1/E30)+(1/F30)),IF(AND(C30&lt;&gt;".",D30&lt;&gt;".",E30=".",F30="."),1/((1/C30)+(1/D30)),IF(AND(C30&lt;&gt;".",D30=".",E30&lt;&gt;".",F30="."),1/((1/C30)+(1/E30)),IF(AND(C30&lt;&gt;".",D30=".",E30=".",F30&lt;&gt;"."),1/((1/C30)+(1/F30)),IF(AND(C30=".",D30=".",E30&lt;&gt;".",F30&lt;&gt;"."),1/((1/E30)+(1/F30)),IF(AND(C30=".",D30&lt;&gt;".",E30=".",F30&lt;&gt;"."),1/((1/D30)+(1/F30)),IF(AND(C30=".",D30&lt;&gt;".",E30&lt;&gt;".",F30="."),1/((1/D30)+(1/E30)),IF(AND(C30&lt;&gt;".",D30=".",E30=".",F30="."),1/((1/C30)),IF(AND(C30=".",D30&lt;&gt;".",E30=".",F30="."),1/((1/D30)),IF(AND(C30=".",D30=".",E30&lt;&gt;".",F30="."),1/((1/E30)),IF(AND(C30=".",D30=".",E30=".",F30&lt;&gt;"."),1/((1/F30)),IF(AND(C30=".",D30=".",E30=".",F30="."),".")))))))))))))))))</f>
        <v>44.335627512053904</v>
      </c>
      <c r="I30" s="40">
        <f t="shared" si="0"/>
        <v>27.5</v>
      </c>
      <c r="J30" s="40">
        <f t="shared" si="1"/>
        <v>2.9420495991003873E-3</v>
      </c>
      <c r="K30" s="40">
        <f>IFERROR((s_C*s_EF_res*(1/365)*s_ED_res*s_RadSpec!Q30*((s_ET_res_o*(1/24)*s_RadSpec!V30)+(s_ET_res_i*(1/24)*s_RadSpec!AA30))),".")</f>
        <v>6.1643835616438346E-3</v>
      </c>
      <c r="L30" s="40">
        <f>s_b2s!AB30</f>
        <v>1119.8412499999999</v>
      </c>
      <c r="M30" s="18"/>
      <c r="N30" s="18"/>
      <c r="O30" s="18"/>
      <c r="P30" s="18"/>
      <c r="Q30" s="18"/>
      <c r="R30" s="15">
        <f>IFERROR((s_TR/(s_RadSpec!F30*s_EF_res*(1/365)*s_ED_res*s_RadSpec!Q30*((s_ET_res_o*(1/24)*s_RadSpec!V30)+(s_ET_res_i*(1/24)*s_RadSpec!AA30))))*1,".")</f>
        <v>1140663.0326997505</v>
      </c>
      <c r="S30" s="15">
        <f>IFERROR((s_TR/(s_RadSpec!M30*s_EF_res*(1/365)*s_ED_res*s_RadSpec!R30*((s_ET_res_o*(1/24)*s_RadSpec!W30)+(s_ET_res_i*(1/24)*s_RadSpec!AB30))))*1,".")</f>
        <v>19161804.097102441</v>
      </c>
      <c r="T30" s="15">
        <f>IFERROR((s_TR/(s_RadSpec!N30*s_EF_res*(1/365)*s_ED_res*s_RadSpec!S30*((s_ET_res_o*(1/24)*s_RadSpec!X30)+(s_ET_res_i*(1/24)*s_RadSpec!AC30))))*1,".")</f>
        <v>2828355.1341125336</v>
      </c>
      <c r="U30" s="15">
        <f>IFERROR((s_TR/(s_RadSpec!O30*s_EF_res*(1/365)*s_ED_res*s_RadSpec!T30*((s_ET_res_o*(1/24)*s_RadSpec!Y30)+(s_ET_res_i*(1/24)*s_RadSpec!AD30))))*1,".")</f>
        <v>1549833.4522025215</v>
      </c>
      <c r="V30" s="15">
        <f>IFERROR((s_TR/(s_RadSpec!K30*s_EF_res*(1/365)*s_ED_res*s_RadSpec!P30*((s_ET_res_o*(1/24)*s_RadSpec!U30)+(s_ET_res_i*(1/24)*s_RadSpec!Z30))))*1,".")</f>
        <v>272417171.33888161</v>
      </c>
      <c r="W30" s="40">
        <f>IFERROR((s_C*s_EF_res*(1/365)*s_ED_res*s_RadSpec!Q30*((s_ET_res_o*(1/24)*s_RadSpec!V30)+(s_ET_res_i*(1/24)*s_RadSpec!AA30))),".")</f>
        <v>6.1643835616438346E-3</v>
      </c>
      <c r="X30" s="40">
        <f>IFERROR((s_C*s_EF_res*(1/365)*s_ED_res*s_RadSpec!R30*((s_ET_res_o*(1/24)*s_RadSpec!W30)+(s_ET_res_i*(1/24)*s_RadSpec!AB30))),".")</f>
        <v>1.2583022000830222E-3</v>
      </c>
      <c r="Y30" s="40">
        <f>IFERROR((s_C*s_EF_res*(1/365)*s_ED_res*s_RadSpec!S30*((s_ET_res_o*(1/24)*s_RadSpec!X30)+(s_ET_res_i*(1/24)*s_RadSpec!AC30))),".")</f>
        <v>3.4917335852621642E-3</v>
      </c>
      <c r="Z30" s="40">
        <f>IFERROR((s_C*s_EF_res*(1/365)*s_ED_res*s_RadSpec!T30*((s_ET_res_o*(1/24)*s_RadSpec!Y30)+(s_ET_res_i*(1/24)*s_RadSpec!AD30))),".")</f>
        <v>4.6909843899330976E-3</v>
      </c>
      <c r="AA30" s="40">
        <f>IFERROR((s_C*s_EF_res*(1/365)*s_ED_res*s_RadSpec!P30*((s_ET_res_o*(1/24)*s_RadSpec!U30)+(s_ET_res_i*(1/24)*s_RadSpec!Z30))),".")</f>
        <v>5.1369863013698633E-5</v>
      </c>
      <c r="AB30" s="18"/>
      <c r="AC30" s="18"/>
      <c r="AD30" s="18"/>
      <c r="AE30" s="18"/>
      <c r="AF30" s="18"/>
      <c r="AG30" s="15">
        <f>IFERROR((s_TR/(s_RadSpec!G30*s_IFA_res_adj)),".")</f>
        <v>0.19380725263078202</v>
      </c>
      <c r="AH30" s="15">
        <f>IFERROR((s_TR/(s_RadSpec!J30*s_EF_res*(1/365)*s_ED_res*s_ET_res*(1/24)*s_GSF_a)),".")</f>
        <v>9342925.1540134512</v>
      </c>
      <c r="AI30" s="15">
        <f>IFERROR(IF(AND(AG30&lt;&gt;".",AH30&lt;&gt;"."),1/((1/AG30)+(1/AH30)),IF(AND(AG30&lt;&gt;".",AH30="."),1/((1/AG30)),IF(AND(AG30=".",AH30&lt;&gt;"."),1/((1/AH30)),IF(AND(AG30=".",AH30="."),".")))),".")</f>
        <v>0.19380724861049398</v>
      </c>
      <c r="AJ30" s="40">
        <f t="shared" si="2"/>
        <v>911.45833333333326</v>
      </c>
      <c r="AK30" s="40">
        <f t="shared" si="3"/>
        <v>0.57077625570776247</v>
      </c>
      <c r="AL30" s="18"/>
      <c r="AM30" s="18"/>
      <c r="AN30" s="18"/>
      <c r="AO30" s="15">
        <f>IFERROR((s_TR/(s_RadSpec!H30*s_IFW_res_adj)),".")</f>
        <v>27.862914460852604</v>
      </c>
      <c r="AP30" s="15" t="str">
        <f>IFERROR(IF(s_RadSpec!C30=1,(s_TR/(s_RadSpec!G30*s_IFA_res_adj*s_K)),"."),".")</f>
        <v>.</v>
      </c>
      <c r="AQ30" s="15">
        <f>IFERROR((s_TR/(s_RadSpec!L30*(1/8760)*s_DFA_res_adj)),".")</f>
        <v>10478168852.894972</v>
      </c>
      <c r="AR30" s="15">
        <f>s_b2w!C30</f>
        <v>71.805822354410395</v>
      </c>
      <c r="AS30" s="15">
        <f>(IF(AND(AO30&lt;&gt;".",AP30&lt;&gt;".",AQ30&lt;&gt;".",AR30&lt;&gt;"."),1/((1/AO30)+(1/AP30)+(1/AQ30)+(1/AR30)),IF(AND(AO30&lt;&gt;".",AP30&lt;&gt;".",AQ30&lt;&gt;".",AR30="."), 1/((1/AO30)+(1/AP30)+(1/AQ30)),IF(AND(AO30&lt;&gt;".",AP30&lt;&gt;".",AQ30=".",AR30&lt;&gt;"."),1/((1/AO30)+(1/AP30)+(1/AR30)),IF(AND(AO30&lt;&gt;".",AP30=".",AQ30&lt;&gt;".",AR30&lt;&gt;"."),1/((1/AO30)+(1/AQ30)+(1/AR30)),IF(AND(AO30=".",AP30&lt;&gt;".",AQ30&lt;&gt;".",AR30&lt;&gt;"."),1/((1/AP30)+(1/AQ30)+(1/AR30)),IF(AND(AO30&lt;&gt;".",AP30&lt;&gt;".",AQ30=".",AR30="."),1/((1/AO30)+(1/AP30)),IF(AND(AO30&lt;&gt;".",AP30=".",AQ30&lt;&gt;".",AR30="."),1/((1/AO30)+(1/AQ30)),IF(AND(AO30&lt;&gt;".",AP30=".",AQ30=".",AR30&lt;&gt;"."),1/((1/AO30)+(1/AR30)),IF(AND(AO30=".",AP30=".",AQ30&lt;&gt;".",AR30&lt;&gt;"."),1/((1/AQ30)+(1/AR30)),IF(AND(AO30=".",AP30&lt;&gt;".",AQ30=".",AR30&lt;&gt;"."),1/((1/AP30)+(1/AR30)),IF(AND(AO30=".",AP30&lt;&gt;".",AQ30&lt;&gt;".",AR30="."),1/((1/AP30)+(1/AQ30)),IF(AND(AO30&lt;&gt;".",AP30=".",AQ30=".",AR30="."),1/((1/AO30)),IF(AND(AO30=".",AP30&lt;&gt;".",AQ30=".",AR30="."),1/((1/AP30)),IF(AND(AO30=".",AP30=".",AQ30&lt;&gt;".",AR30="."),1/((1/AQ30)),IF(AND(AO30=".",AP30=".",AQ30=".",AR30&lt;&gt;"."),1/((1/AR30)),IF(AND(AO30=".",AP30=".",AQ30=".",AR30="."),".")))))))))))))))))</f>
        <v>20.073691572188412</v>
      </c>
      <c r="AT30" s="40">
        <f t="shared" si="4"/>
        <v>2500</v>
      </c>
      <c r="AU30" s="40">
        <f t="shared" si="5"/>
        <v>455.72916666666663</v>
      </c>
      <c r="AV30" s="40">
        <f t="shared" si="6"/>
        <v>0.22831050228310501</v>
      </c>
      <c r="AW30" s="40">
        <f>s_b2w!AB30</f>
        <v>718.30241841018358</v>
      </c>
      <c r="AX30" s="18"/>
      <c r="AY30" s="18"/>
      <c r="AZ30" s="18"/>
      <c r="BA30" s="18"/>
      <c r="BB30" s="18"/>
      <c r="BC30" s="15">
        <f>IFERROR(s_TR/(s_RadSpec!E30*s_EF_res*s_ED_res*s_IRF_res*0.001*s_CF_res_fish),".")</f>
        <v>3.7511487893167277</v>
      </c>
      <c r="BD30" s="40">
        <f t="shared" si="7"/>
        <v>13750</v>
      </c>
      <c r="BE30" s="18"/>
    </row>
    <row r="31" spans="1:57" x14ac:dyDescent="0.25">
      <c r="A31" s="57" t="s">
        <v>13</v>
      </c>
      <c r="B31" s="57" t="s">
        <v>1259</v>
      </c>
      <c r="C31" s="58">
        <f>1/SUM(1/C32,1/C33,1/C34,1/C35,1/C36,1/C37,1/C38,1/C41,1/C44)</f>
        <v>114.13560117368324</v>
      </c>
      <c r="D31" s="58">
        <f>1/SUM(1/D32,1/D33,1/D34,1/D35,1/D36,1/D37,1/D38,1/D41,1/D44)</f>
        <v>5242.5655666682942</v>
      </c>
      <c r="E31" s="58">
        <f>1/SUM(1/E32,1/E33,1/E34,1/E35,1/E36,1/E37,1/E38,1/E39,1/E40,1/E41,1/E42,1/E43)</f>
        <v>101.15070414474977</v>
      </c>
      <c r="F31" s="58">
        <f>1/SUM(1/F32,1/F33,1/F34,1/F35,1/F36,1/F37,1/F38,1/F41,1/F44)</f>
        <v>4.3150000781390121</v>
      </c>
      <c r="G31" s="58">
        <f>1/SUM(1/G32,1/G33,1/G34,1/G35,1/G36,1/G37,1/G38,1/G41,1/G44)</f>
        <v>8.7497543148809753E-2</v>
      </c>
      <c r="H31" s="59">
        <f>1/SUM(1/H32,1/H33,1/H34,1/H35,1/H36,1/H37,1/H38,1/H39,1/H40,1/H41,1/H42,1/H43,1/H44)</f>
        <v>3.9906109032400656</v>
      </c>
      <c r="I31" s="70"/>
      <c r="J31" s="70"/>
      <c r="K31" s="70"/>
      <c r="L31" s="70"/>
      <c r="M31" s="47">
        <f>IFERROR(IF(SUM(I32:I44)&gt;0.01,1-EXP(-SUM(I32:I44)),SUM(I32:I44)),".")</f>
        <v>4.380754075489E-8</v>
      </c>
      <c r="N31" s="47">
        <f t="shared" ref="N31" si="35">IFERROR(IF(SUM(J32:J44)&gt;0.01,1-EXP(-SUM(J32:J44)),SUM(J32:J44)),".")</f>
        <v>9.5373151492648887E-10</v>
      </c>
      <c r="O31" s="47">
        <f>IFERROR(IF(SUM(K32:K44)&gt;0.01,1-EXP(-SUM(K32:K44)),SUM(K32:K44)),".")</f>
        <v>4.9431193210922632E-8</v>
      </c>
      <c r="P31" s="47">
        <f>IFERROR(IF(SUM(L32:L44)&gt;0.01,1-EXP(-SUM(L32:L44)),SUM(L32:L44)),".")</f>
        <v>1.1587497846758615E-6</v>
      </c>
      <c r="Q31" s="47">
        <f>IFERROR(IF(SUM(I32:L44)&gt;0.01,1-EXP(-SUM(I32:L44)),SUM(I32:L44)),".")</f>
        <v>1.2529422501566004E-6</v>
      </c>
      <c r="R31" s="59">
        <f>1/SUM(1/R32,1/R33,1/R34,1/R35,1/R36,1/R37,1/R38,1/R39,1/R40,1/R41,1/R42,1/R43)</f>
        <v>101.15070414474977</v>
      </c>
      <c r="S31" s="59">
        <f>1/SUM(1/S32,1/S33,1/S34,1/S35,1/S36,1/S37,1/S38,1/S39,1/S40,1/S41,1/S42,1/S43)</f>
        <v>873.97489092941566</v>
      </c>
      <c r="T31" s="59">
        <f>1/SUM(1/T32,1/T33,1/T34,1/T35,1/T36,1/T37,1/T38,1/T39,1/T40,1/T41,1/T42,1/T43)</f>
        <v>228.56934929594584</v>
      </c>
      <c r="U31" s="59">
        <f>1/SUM(1/U32,1/U33,1/U34,1/U35,1/U36,1/U37,1/U38,1/U39,1/U40,1/U41,1/U42,1/U43)</f>
        <v>135.88505611998295</v>
      </c>
      <c r="V31" s="59">
        <f>1/SUM(1/V32,1/V33,1/V34,1/V35,1/V36,1/V37,1/V38,1/V39,1/V40,1/V41,1/V42,1/V43)</f>
        <v>1904.1037475429796</v>
      </c>
      <c r="W31" s="70"/>
      <c r="X31" s="73"/>
      <c r="Y31" s="73"/>
      <c r="Z31" s="73"/>
      <c r="AA31" s="73"/>
      <c r="AB31" s="47">
        <f>IFERROR(IF(SUM(W32:W44)&gt;0.01,1-EXP(-SUM(W32:W44)),SUM(W32:W44)),".")</f>
        <v>4.9431193210922632E-8</v>
      </c>
      <c r="AC31" s="47">
        <f t="shared" ref="AC31:AF31" si="36">IFERROR(IF(SUM(X32:X44)&gt;0.01,1-EXP(-SUM(X32:X44)),SUM(X32:X44)),".")</f>
        <v>5.7209881564020942E-9</v>
      </c>
      <c r="AD31" s="47">
        <f t="shared" si="36"/>
        <v>2.1875198994971655E-8</v>
      </c>
      <c r="AE31" s="47">
        <f t="shared" si="36"/>
        <v>3.6795804798322568E-8</v>
      </c>
      <c r="AF31" s="47">
        <f t="shared" si="36"/>
        <v>2.6259073364315931E-9</v>
      </c>
      <c r="AG31" s="58">
        <f>1/SUM(1/AG32,1/AG33,1/AG34,1/AG35,1/AG36,1/AG37,1/AG38,1/AG41,1/AG44)</f>
        <v>1.6922208464830849E-2</v>
      </c>
      <c r="AH31" s="58">
        <f t="shared" ref="AH31" si="37">1/SUM(1/AH32,1/AH33,1/AH34,1/AH35,1/AH36,1/AH37,1/AH38,1/AH39,1/AH40,1/AH41,1/AH42,1/AH43,1/AH44)</f>
        <v>3964.1826829411029</v>
      </c>
      <c r="AI31" s="59">
        <f>1/SUM(1/AI32,1/AI33,1/AI34,1/AI35,1/AI36,1/AI37,1/AI38,1/AI39,1/AI40,1/AI41,1/AI42,1/AI43,1/AI44)</f>
        <v>1.6922136228019424E-2</v>
      </c>
      <c r="AJ31" s="70"/>
      <c r="AK31" s="70"/>
      <c r="AL31" s="47">
        <f>IFERROR(IF(SUM(AJ32:AJ44)&gt;0.01,1-EXP(-SUM(AJ32:AJ44)),SUM(AJ32:AJ44)),".")</f>
        <v>2.9546970836527738E-4</v>
      </c>
      <c r="AM31" s="47">
        <f>IFERROR(IF(SUM(AK32:AK44)&gt;0.01,1-EXP(-SUM(AK32:AK44)),SUM(AK32:AK44)),".")</f>
        <v>1.2612940421530735E-9</v>
      </c>
      <c r="AN31" s="47">
        <f>IFERROR(IF(SUM(AJ32:AK44)&gt;0.01,1-EXP(-SUM(AJ32:AK44)),SUM(AJ32:AK44)),".")</f>
        <v>2.9547096965931957E-4</v>
      </c>
      <c r="AO31" s="58">
        <f>1/SUM(1/AO32,1/AO33,1/AO34,1/AO35,1/AO36,1/AO37,1/AO38,1/AO41,1/AO44)</f>
        <v>2.5929922198125603</v>
      </c>
      <c r="AP31" s="58">
        <f>IFERROR(1/SUM(1/AP32,1/AP33,1/AP34,1/AP35,1/AP36,1/AP37,1/AP38,1/AP39,1/AP40,1/AP41,1/AP42,1/AP43,1/AP44),0)</f>
        <v>0</v>
      </c>
      <c r="AQ31" s="58">
        <f t="shared" ref="AQ31" si="38">1/SUM(1/AQ32,1/AQ33,1/AQ34,1/AQ35,1/AQ36,1/AQ37,1/AQ38,1/AQ39,1/AQ40,1/AQ41,1/AQ42,1/AQ43,1/AQ44)</f>
        <v>4518672.8717499552</v>
      </c>
      <c r="AR31" s="58">
        <f>1/SUM(1/AR32,1/AR33,1/AR34,1/AR35,1/AR36,1/AR37,1/AR38,1/AR41,1/AR44)</f>
        <v>6.7081296395604291</v>
      </c>
      <c r="AS31" s="59">
        <f>1/SUM(1/AS32,1/AS33,1/AS34,1/AS35,1/AS36,1/AS37,1/AS38,1/AS41,1/AS44)</f>
        <v>1.8701100850241588</v>
      </c>
      <c r="AT31" s="70"/>
      <c r="AU31" s="70"/>
      <c r="AV31" s="70"/>
      <c r="AW31" s="70"/>
      <c r="AX31" s="47">
        <f>IFERROR(IF(SUM(AT32:AT44)&gt;0.01,1-EXP(-SUM(AT32:AT44)),SUM(AT32:AT44)),".")</f>
        <v>1.928274200669E-6</v>
      </c>
      <c r="AY31" s="47">
        <f>IFERROR(IF(SUM(AU32:AU44)&gt;0.01,1-EXP(-SUM(AU32:AU44)),SUM(AU32:AU44)),".")</f>
        <v>1.4773485418263869E-4</v>
      </c>
      <c r="AZ31" s="47">
        <f>IFERROR(IF(SUM(AV32:AV44)&gt;0.01,1-EXP(-SUM(AV32:AV44)),SUM(AV32:AV44)),".")</f>
        <v>1.1065195781839462E-12</v>
      </c>
      <c r="BA31" s="47">
        <f>IFERROR(IF(SUM(AW32:AW44)&gt;0.01,1-EXP(-SUM(AW32:AW44)),SUM(AW32:AW44)),".")</f>
        <v>7.4536462344269191E-7</v>
      </c>
      <c r="BB31" s="47">
        <f>IFERROR(IF(SUM(AT32:AW44)&gt;0.01,1-EXP(-SUM(AT32:AW44)),SUM(AT32:AW44)),".")</f>
        <v>1.504084941132699E-4</v>
      </c>
      <c r="BC31" s="59">
        <f>1/SUM(1/BC32,1/BC33,1/BC34,1/BC35,1/BC36,1/BC37,1/BC38,1/BC41,1/BC44)</f>
        <v>0.34999017259523901</v>
      </c>
      <c r="BD31" s="73"/>
      <c r="BE31" s="47">
        <f>IFERROR(IF(SUM(BD32:BD44)&gt;0.01,1-EXP(-SUM(BD32:BD44)),SUM(BD32:BD44)),".")</f>
        <v>1.4286115415539002E-5</v>
      </c>
    </row>
    <row r="32" spans="1:57" x14ac:dyDescent="0.25">
      <c r="A32" s="48" t="s">
        <v>1102</v>
      </c>
      <c r="B32" s="15">
        <v>1</v>
      </c>
      <c r="C32" s="60">
        <f>IFERROR(C3/$B32,0)</f>
        <v>986.74797469978205</v>
      </c>
      <c r="D32" s="60">
        <f>IFERROR(D3/$B32,0)</f>
        <v>45031.676775124637</v>
      </c>
      <c r="E32" s="60">
        <f>IFERROR(E3/$B32,0)</f>
        <v>2449537.7657913016</v>
      </c>
      <c r="F32" s="60">
        <f>IFERROR(F3/$B32,0)</f>
        <v>49.209919844740696</v>
      </c>
      <c r="G32" s="60">
        <f>IFERROR(G3/$B32,0)</f>
        <v>0.68061009889264734</v>
      </c>
      <c r="H32" s="60">
        <f>(IF(AND(C32&lt;&gt;0,D32&lt;&gt;0,E32&lt;&gt;0,F32&lt;&gt;0),1/((1/C32)+(1/D32)+(1/E32)+(1/F32)),IF(AND(C32&lt;&gt;0,D32&lt;&gt;0,E32&lt;&gt;0,F32=0), 1/((1/C32)+(1/D32)+(1/E32)),IF(AND(C32&lt;&gt;0,D32&lt;&gt;0,E32=0,F32&lt;&gt;0),1/((1/C32)+(1/D32)+(1/F32)),IF(AND(C32&lt;&gt;0,D32=0,E32&lt;&gt;0,F32&lt;&gt;0),1/((1/C32)+(1/E32)+(1/F32)),IF(AND(C32=0,D32&lt;&gt;0,E32&lt;&gt;0,F32&lt;&gt;0),1/((1/D32)+(1/E32)+(1/F32)),IF(AND(C32&lt;&gt;0,D32&lt;&gt;0,E32=0,F32=0),1/((1/C32)+(1/D32)),IF(AND(C32&lt;&gt;0,D32=0,E32&lt;&gt;0,F32=0),1/((1/C32)+(1/E32)),IF(AND(C32&lt;&gt;0,D32=0,E32=0,F32&lt;&gt;0),1/((1/C32)+(1/F32)),IF(AND(C32=0,D32=0,E32&lt;&gt;0,F32&lt;&gt;0),1/((1/E32)+(1/F32)),IF(AND(C32=0,D32&lt;&gt;0,E32=0,F32&lt;&gt;0),1/((1/D32)+(1/F32)),IF(AND(C32=0,D32&lt;&gt;0,E32&lt;&gt;0,F32=0),1/((1/D32)+(1/E32)),IF(AND(C32&lt;&gt;0,D32=0,E32=0,F32=0),1/((1/C32)),IF(AND(C32=0,D32&lt;&gt;0,E32=0,F32=0),1/((1/D32)),IF(AND(C32=0,D32=0,E32&lt;&gt;0,F32=0),1/((1/E32)),IF(AND(C32=0,D32=0,E32=0,F32&lt;&gt;0),1/((1/F32)),IF(AND(C32=0,D32=0,E32=0,F32=0),0)))))))))))))))))</f>
        <v>46.822724878928369</v>
      </c>
      <c r="I32" s="71">
        <f>IFERROR(s_RadSpec!$D$3*I3,".")*$B$32</f>
        <v>5.0671499999999998E-9</v>
      </c>
      <c r="J32" s="71">
        <f>IFERROR(s_RadSpec!$G$3*J3,".")*B32</f>
        <v>1.1103295187004861E-10</v>
      </c>
      <c r="K32" s="71">
        <f>IFERROR(s_RadSpec!$F$3*K3,".")*B32</f>
        <v>2.0412014339304518E-12</v>
      </c>
      <c r="L32" s="71">
        <f>s_b2s!AB32</f>
        <v>1.0160553026249999E-7</v>
      </c>
      <c r="M32" s="49">
        <f>IFERROR(IF(I32&gt;0.01,1-EXP(-I32),I32),".")</f>
        <v>5.0671499999999998E-9</v>
      </c>
      <c r="N32" s="49">
        <f>IFERROR(IF(J32&gt;0.01,1-EXP(-J32),J32),".")</f>
        <v>1.1103295187004861E-10</v>
      </c>
      <c r="O32" s="49">
        <f>IFERROR(IF(K32&gt;0.01,1-EXP(-K32),K32),".")</f>
        <v>2.0412014339304518E-12</v>
      </c>
      <c r="P32" s="49">
        <f>IFERROR(IF(L32&gt;0.01,1-EXP(-L32),L32),".")</f>
        <v>1.0160553026249999E-7</v>
      </c>
      <c r="Q32" s="49">
        <f>IFERROR(IF(SUM(I32:L32)&gt;0.01,1-EXP(-SUM(I32:L32)),SUM(I32:L32)),".")</f>
        <v>1.0678575441580397E-7</v>
      </c>
      <c r="R32" s="60">
        <f>IFERROR(R3/$B32,0)</f>
        <v>2449537.7657913016</v>
      </c>
      <c r="S32" s="60">
        <f>IFERROR(S3/$B32,0)</f>
        <v>6910123.6002565837</v>
      </c>
      <c r="T32" s="60">
        <f>IFERROR(T3/$B32,0)</f>
        <v>2795008.0304616825</v>
      </c>
      <c r="U32" s="60">
        <f>IFERROR(U3/$B32,0)</f>
        <v>2684203.5874798386</v>
      </c>
      <c r="V32" s="60">
        <f>IFERROR(V3/$B32,0)</f>
        <v>7887973.3132364647</v>
      </c>
      <c r="W32" s="71">
        <f>IFERROR(s_RadSpec!$F$3*W3,".")*$B$32</f>
        <v>2.0412014339304518E-12</v>
      </c>
      <c r="X32" s="71">
        <f>IFERROR(s_RadSpec!$M$3*X3,".")*$B$32</f>
        <v>7.2357605872843444E-13</v>
      </c>
      <c r="Y32" s="71">
        <f>IFERROR(s_RadSpec!$N$3*Y3,".")*$B$32</f>
        <v>1.7889036258597416E-12</v>
      </c>
      <c r="Z32" s="71">
        <f>IFERROR(s_RadSpec!$O$3*Z3,".")*$B$32</f>
        <v>1.8627499133530444E-12</v>
      </c>
      <c r="AA32" s="71">
        <f>IFERROR(s_RadSpec!$K$3*AA3,".")*$B$32</f>
        <v>6.3387638388807896E-13</v>
      </c>
      <c r="AB32" s="49">
        <f>IFERROR(IF(W32&gt;0.01,1-EXP(-W32),W32),".")</f>
        <v>2.0412014339304518E-12</v>
      </c>
      <c r="AC32" s="49">
        <f t="shared" ref="AC32:AF32" si="39">IFERROR(IF(X32&gt;0.01,1-EXP(-X32),X32),".")</f>
        <v>7.2357605872843444E-13</v>
      </c>
      <c r="AD32" s="49">
        <f t="shared" si="39"/>
        <v>1.7889036258597416E-12</v>
      </c>
      <c r="AE32" s="49">
        <f t="shared" si="39"/>
        <v>1.8627499133530444E-12</v>
      </c>
      <c r="AF32" s="49">
        <f t="shared" si="39"/>
        <v>6.3387638388807896E-13</v>
      </c>
      <c r="AG32" s="60">
        <f>IFERROR(AG3/$B32,0)</f>
        <v>0.14535543947308655</v>
      </c>
      <c r="AH32" s="60">
        <f>IFERROR(AH3/$B32,0)</f>
        <v>150953.09655277265</v>
      </c>
      <c r="AI32" s="60">
        <f t="shared" ref="AI32:AI38" si="40">IFERROR(IF(AND(AG32&lt;&gt;0,AH32&lt;&gt;0),1/((1/AG32)+(1/AH32)),IF(AND(AG32&lt;&gt;0,AH32=0),1/((1/AG32)),IF(AND(AG32=0,AH32&lt;&gt;0),1/((1/AH32)),IF(AND(AG32=".",AH32="."),".")))),".")</f>
        <v>0.14535529950786608</v>
      </c>
      <c r="AJ32" s="71">
        <f>IFERROR(s_RadSpec!$G$3*AJ3,".")*$B$32</f>
        <v>3.4398437499999998E-5</v>
      </c>
      <c r="AK32" s="71">
        <f>IFERROR(s_RadSpec!$J$3*AK3,".")*$B$32</f>
        <v>3.3122871369863007E-11</v>
      </c>
      <c r="AL32" s="49">
        <f>IFERROR(IF(AJ32&gt;0.01,1-EXP(-AJ32),AJ32),".")</f>
        <v>3.4398437499999998E-5</v>
      </c>
      <c r="AM32" s="49">
        <f>IFERROR(IF(AK32&gt;0.01,1-EXP(-AK32),AK32),".")</f>
        <v>3.3122871369863007E-11</v>
      </c>
      <c r="AN32" s="49">
        <f>IFERROR(IF(SUM(AJ32:AK32)&gt;0.01,1-EXP(-SUM(AJ32:AK32)),SUM(AJ32:AK32)),".")</f>
        <v>3.4398470622871367E-5</v>
      </c>
      <c r="AO32" s="60">
        <f>IFERROR(AO3/$B32,0)</f>
        <v>19.305019305019304</v>
      </c>
      <c r="AP32" s="60">
        <f>IFERROR(AP3/$B32,0)</f>
        <v>0</v>
      </c>
      <c r="AQ32" s="60">
        <f>IFERROR(AQ3/$B32,0)</f>
        <v>165981612.80249557</v>
      </c>
      <c r="AR32" s="60">
        <f>IFERROR(AR3/$B32,0)</f>
        <v>57.86256874711917</v>
      </c>
      <c r="AS32" s="60">
        <f t="shared" ref="AS32:AS44" si="41">(IF(AND(AO32&lt;&gt;0,AP32&lt;&gt;0,AQ32&lt;&gt;0,AR32&lt;&gt;0),1/((1/AO32)+(1/AP32)+(1/AQ32)+(1/AR32)),IF(AND(AO32&lt;&gt;0,AP32&lt;&gt;0,AQ32&lt;&gt;0,AR32=0), 1/((1/AO32)+(1/AP32)+(1/AQ32)),IF(AND(AO32&lt;&gt;0,AP32&lt;&gt;0,AQ32=0,AR32&lt;&gt;0),1/((1/AO32)+(1/AP32)+(1/AR32)),IF(AND(AO32&lt;&gt;0,AP32=0,AQ32&lt;&gt;0,AR32&lt;&gt;0),1/((1/AO32)+(1/AQ32)+(1/AR32)),IF(AND(AO32=0,AP32&lt;&gt;0,AQ32&lt;&gt;0,AR32&lt;&gt;0),1/((1/AP32)+(1/AQ32)+(1/AR32)),IF(AND(AO32&lt;&gt;0,AP32&lt;&gt;0,AQ32=0,AR32=0),1/((1/AO32)+(1/AP32)),IF(AND(AO32&lt;&gt;0,AP32=0,AQ32&lt;&gt;0,AR32=0),1/((1/AO32)+(1/AQ32)),IF(AND(AO32&lt;&gt;0,AP32=0,AQ32=0,AR32&lt;&gt;0),1/((1/AO32)+(1/AR32)),IF(AND(AO32=0,AP32=0,AQ32&lt;&gt;0,AR32&lt;&gt;0),1/((1/AQ32)+(1/AR32)),IF(AND(AO32=0,AP32&lt;&gt;0,AQ32=0,AR32&lt;&gt;0),1/((1/AP32)+(1/AR32)),IF(AND(AO32=0,AP32&lt;&gt;0,AQ32&lt;&gt;0,AR32=0),1/((1/AP32)+(1/AQ32)),IF(AND(AO32&lt;&gt;0,AP32=0,AQ32=0,AR32=0),1/((1/AO32)),IF(AND(AO32=0,AP32&lt;&gt;0,AQ32=0,AR32=0),1/((1/AP32)),IF(AND(AO32=0,AP32=0,AQ32&lt;&gt;0,AR32=0),1/((1/AQ32)),IF(AND(AO32=0,AP32=0,AQ32=0,AR32&lt;&gt;0),1/((1/AR32)),IF(AND(AO32=0,AP32=0,AQ32=0,AR32=0),0)))))))))))))))))</f>
        <v>14.475480411905849</v>
      </c>
      <c r="AT32" s="71">
        <f>IFERROR(s_RadSpec!$H$3*AT3,".")*$B$32</f>
        <v>2.5899999999999998E-7</v>
      </c>
      <c r="AU32" s="71">
        <f>IFERROR(s_RadSpec!$G$3*AU3,".")*$B$32</f>
        <v>1.7199218749999999E-5</v>
      </c>
      <c r="AV32" s="71">
        <f>IFERROR(s_RadSpec!$L$3*AV3,".")*$B$32</f>
        <v>3.0123818630136988E-14</v>
      </c>
      <c r="AW32" s="71">
        <f>s_b2w!AB32</f>
        <v>8.6411649331571329E-8</v>
      </c>
      <c r="AX32" s="49">
        <f>IFERROR(IF(AT32&gt;0.01,1-EXP(-AT32),AT32),".")</f>
        <v>2.5899999999999998E-7</v>
      </c>
      <c r="AY32" s="49">
        <f>IFERROR(IF(AP32&lt;&gt;0,IF(AU32&gt;0.01,1-EXP(-AU32),AU32),0),".")</f>
        <v>0</v>
      </c>
      <c r="AZ32" s="49">
        <f>IFERROR(IF(AV32&gt;0.01,1-EXP(-AV32),AV32),".")</f>
        <v>3.0123818630136988E-14</v>
      </c>
      <c r="BA32" s="49">
        <f>IFERROR(IF(AW32&gt;0.01,1-EXP(-AW32),AW32),".")</f>
        <v>8.6411649331571329E-8</v>
      </c>
      <c r="BB32" s="49">
        <f>IFERROR(IF(SUM(AT32:AW32)&gt;0.01,1-EXP(-SUM(AT32:AW32)),SUM(AT32:AW32)),".")</f>
        <v>1.7544630429455388E-5</v>
      </c>
      <c r="BC32" s="60">
        <f>IFERROR(BC3/$B32,0)</f>
        <v>2.7224403955705894</v>
      </c>
      <c r="BD32" s="71">
        <f>IFERROR(s_RadSpec!$E$3*BD3,".")*$B$32</f>
        <v>1.8365875000000001E-6</v>
      </c>
      <c r="BE32" s="49">
        <f>IFERROR(IF(BD32&gt;0.01,1-EXP(-BD32),BD32),".")</f>
        <v>1.8365875000000001E-6</v>
      </c>
    </row>
    <row r="33" spans="1:57" x14ac:dyDescent="0.25">
      <c r="A33" s="48" t="s">
        <v>1078</v>
      </c>
      <c r="B33" s="15">
        <v>1</v>
      </c>
      <c r="C33" s="60">
        <f t="shared" ref="C33:G34" si="42">IFERROR(C13/$B33,0)</f>
        <v>1458.1616955504196</v>
      </c>
      <c r="D33" s="60">
        <f t="shared" si="42"/>
        <v>59267.49717500274</v>
      </c>
      <c r="E33" s="60">
        <f t="shared" si="42"/>
        <v>32365.84622301747</v>
      </c>
      <c r="F33" s="60">
        <f t="shared" si="42"/>
        <v>42.106568018276263</v>
      </c>
      <c r="G33" s="60">
        <f t="shared" si="42"/>
        <v>1.0968760968760967</v>
      </c>
      <c r="H33" s="60">
        <f t="shared" ref="H33:H44" si="43">(IF(AND(C33&lt;&gt;0,D33&lt;&gt;0,E33&lt;&gt;0,F33&lt;&gt;0),1/((1/C33)+(1/D33)+(1/E33)+(1/F33)),IF(AND(C33&lt;&gt;0,D33&lt;&gt;0,E33&lt;&gt;0,F33=0), 1/((1/C33)+(1/D33)+(1/E33)),IF(AND(C33&lt;&gt;0,D33&lt;&gt;0,E33=0,F33&lt;&gt;0),1/((1/C33)+(1/D33)+(1/F33)),IF(AND(C33&lt;&gt;0,D33=0,E33&lt;&gt;0,F33&lt;&gt;0),1/((1/C33)+(1/E33)+(1/F33)),IF(AND(C33=0,D33&lt;&gt;0,E33&lt;&gt;0,F33&lt;&gt;0),1/((1/D33)+(1/E33)+(1/F33)),IF(AND(C33&lt;&gt;0,D33&lt;&gt;0,E33=0,F33=0),1/((1/C33)+(1/D33)),IF(AND(C33&lt;&gt;0,D33=0,E33&lt;&gt;0,F33=0),1/((1/C33)+(1/E33)),IF(AND(C33&lt;&gt;0,D33=0,E33=0,F33&lt;&gt;0),1/((1/C33)+(1/F33)),IF(AND(C33=0,D33=0,E33&lt;&gt;0,F33&lt;&gt;0),1/((1/E33)+(1/F33)),IF(AND(C33=0,D33&lt;&gt;0,E33=0,F33&lt;&gt;0),1/((1/D33)+(1/F33)),IF(AND(C33=0,D33&lt;&gt;0,E33&lt;&gt;0,F33=0),1/((1/D33)+(1/E33)),IF(AND(C33&lt;&gt;0,D33=0,E33=0,F33=0),1/((1/C33)),IF(AND(C33=0,D33&lt;&gt;0,E33=0,F33=0),1/((1/D33)),IF(AND(C33=0,D33=0,E33&lt;&gt;0,F33=0),1/((1/E33)),IF(AND(C33=0,D33=0,E33=0,F33&lt;&gt;0),1/((1/F33)),IF(AND(C33=0,D33=0,E33=0,F33=0),0)))))))))))))))))</f>
        <v>40.844953973367026</v>
      </c>
      <c r="I33" s="71">
        <f>IFERROR(s_RadSpec!$D$13*I13,".")*$B$33</f>
        <v>3.4289750000000004E-9</v>
      </c>
      <c r="J33" s="71">
        <f>IFERROR(s_RadSpec!$G$13*J13,".")*B33</f>
        <v>8.4363272254203609E-11</v>
      </c>
      <c r="K33" s="71">
        <f>IFERROR(s_RadSpec!$F$13*K13,".")*B33</f>
        <v>1.5448383353079681E-10</v>
      </c>
      <c r="L33" s="71">
        <f>s_b2s!AB33</f>
        <v>1.1874632000000001E-7</v>
      </c>
      <c r="M33" s="49">
        <f t="shared" ref="M33:M44" si="44">IFERROR(IF(I33&gt;0.01,1-EXP(-I33),I33),".")</f>
        <v>3.4289750000000004E-9</v>
      </c>
      <c r="N33" s="49">
        <f t="shared" ref="N33:N44" si="45">IFERROR(IF(J33&gt;0.01,1-EXP(-J33),J33),".")</f>
        <v>8.4363272254203609E-11</v>
      </c>
      <c r="O33" s="49">
        <f t="shared" ref="O33:O44" si="46">IFERROR(IF(K33&gt;0.01,1-EXP(-K33),K33),".")</f>
        <v>1.5448383353079681E-10</v>
      </c>
      <c r="P33" s="49">
        <f t="shared" ref="P33:P76" si="47">IFERROR(IF(L33&gt;0.01,1-EXP(-L33),L33),".")</f>
        <v>1.1874632000000001E-7</v>
      </c>
      <c r="Q33" s="49">
        <f t="shared" ref="Q33:Q44" si="48">IFERROR(IF(SUM(I33:L33)&gt;0.01,1-EXP(-SUM(I33:L33)),SUM(I33:L33)),".")</f>
        <v>1.22414142105785E-7</v>
      </c>
      <c r="R33" s="60">
        <f t="shared" ref="R33:V34" si="49">IFERROR(R13/$B33,0)</f>
        <v>32365.84622301747</v>
      </c>
      <c r="S33" s="60">
        <f t="shared" si="49"/>
        <v>210418.4819526432</v>
      </c>
      <c r="T33" s="60">
        <f t="shared" si="49"/>
        <v>52534.525543430267</v>
      </c>
      <c r="U33" s="60">
        <f t="shared" si="49"/>
        <v>34773.276269644921</v>
      </c>
      <c r="V33" s="60">
        <f t="shared" si="49"/>
        <v>1671190.1619710403</v>
      </c>
      <c r="W33" s="71">
        <f>IFERROR(s_RadSpec!$F$13*W13,".")*$B$33</f>
        <v>1.5448383353079681E-10</v>
      </c>
      <c r="X33" s="71">
        <f>IFERROR(s_RadSpec!$M$13*X13,".")*$B$33</f>
        <v>2.3762171238956569E-11</v>
      </c>
      <c r="Y33" s="71">
        <f>IFERROR(s_RadSpec!$N$13*Y13,".")*$B$33</f>
        <v>9.5175505027955394E-11</v>
      </c>
      <c r="Z33" s="71">
        <f>IFERROR(s_RadSpec!$O$13*Z13,".")*$B$33</f>
        <v>1.4378857951802239E-10</v>
      </c>
      <c r="AA33" s="71">
        <f>IFERROR(s_RadSpec!$K$13*AA13,".")*$B$33</f>
        <v>2.9918797476062716E-12</v>
      </c>
      <c r="AB33" s="49">
        <f t="shared" ref="AB33:AB44" si="50">IFERROR(IF(W33&gt;0.01,1-EXP(-W33),W33),".")</f>
        <v>1.5448383353079681E-10</v>
      </c>
      <c r="AC33" s="49">
        <f t="shared" ref="AC33:AC44" si="51">IFERROR(IF(X33&gt;0.01,1-EXP(-X33),X33),".")</f>
        <v>2.3762171238956569E-11</v>
      </c>
      <c r="AD33" s="49">
        <f t="shared" ref="AD33:AD44" si="52">IFERROR(IF(Y33&gt;0.01,1-EXP(-Y33),Y33),".")</f>
        <v>9.5175505027955394E-11</v>
      </c>
      <c r="AE33" s="49">
        <f t="shared" ref="AE33:AE44" si="53">IFERROR(IF(Z33&gt;0.01,1-EXP(-Z33),Z33),".")</f>
        <v>1.4378857951802239E-10</v>
      </c>
      <c r="AF33" s="49">
        <f t="shared" ref="AF33:AF44" si="54">IFERROR(IF(AA33&gt;0.01,1-EXP(-AA33),AA33),".")</f>
        <v>2.9918797476062716E-12</v>
      </c>
      <c r="AG33" s="60">
        <f>IFERROR(AG13/$B33,0)</f>
        <v>0.19130651388715905</v>
      </c>
      <c r="AH33" s="60">
        <f>IFERROR(AH13/$B33,0)</f>
        <v>114191.30743794216</v>
      </c>
      <c r="AI33" s="60">
        <f t="shared" si="40"/>
        <v>0.19130619338884999</v>
      </c>
      <c r="AJ33" s="71">
        <f>IFERROR(s_RadSpec!$G$13*AJ13,".")*$B$33</f>
        <v>2.613606770833333E-5</v>
      </c>
      <c r="AK33" s="71">
        <f>IFERROR(s_RadSpec!$J$13*AK13,".")*$B$33</f>
        <v>4.3786169999999991E-11</v>
      </c>
      <c r="AL33" s="49">
        <f t="shared" ref="AL33:AL44" si="55">IFERROR(IF(AJ33&gt;0.01,1-EXP(-AJ33),AJ33),".")</f>
        <v>2.613606770833333E-5</v>
      </c>
      <c r="AM33" s="49">
        <f t="shared" ref="AM33:AM44" si="56">IFERROR(IF(AK33&gt;0.01,1-EXP(-AK33),AK33),".")</f>
        <v>4.3786169999999991E-11</v>
      </c>
      <c r="AN33" s="49">
        <f t="shared" ref="AN33:AN44" si="57">IFERROR(IF(SUM(AJ33:AK33)&gt;0.01,1-EXP(-SUM(AJ33:AK33)),SUM(AJ33:AK33)),".")</f>
        <v>2.6136111494503329E-5</v>
      </c>
      <c r="AO33" s="60">
        <f t="shared" ref="AO33:AR34" si="58">IFERROR(AO13/$B33,0)</f>
        <v>32.175032175032179</v>
      </c>
      <c r="AP33" s="60">
        <f t="shared" si="58"/>
        <v>0</v>
      </c>
      <c r="AQ33" s="60">
        <f t="shared" si="58"/>
        <v>127591307.80055784</v>
      </c>
      <c r="AR33" s="60">
        <f t="shared" si="58"/>
        <v>77.296496739585933</v>
      </c>
      <c r="AS33" s="60">
        <f t="shared" si="41"/>
        <v>22.718389442838642</v>
      </c>
      <c r="AT33" s="71">
        <f>IFERROR(s_RadSpec!$H$13*AT13,".")*$B$33</f>
        <v>1.5539999999999998E-7</v>
      </c>
      <c r="AU33" s="71">
        <f>IFERROR(s_RadSpec!$G$13*AU13,".")*$B$33</f>
        <v>1.3068033854166665E-5</v>
      </c>
      <c r="AV33" s="71">
        <f>IFERROR(s_RadSpec!$L$13*AV13,".")*$B$33</f>
        <v>3.9187622465753418E-14</v>
      </c>
      <c r="AW33" s="71">
        <f>s_b2w!AB33</f>
        <v>6.4685984629357003E-8</v>
      </c>
      <c r="AX33" s="49">
        <f t="shared" ref="AX33:AX44" si="59">IFERROR(IF(AT33&gt;0.01,1-EXP(-AT33),AT33),".")</f>
        <v>1.5539999999999998E-7</v>
      </c>
      <c r="AY33" s="49">
        <f t="shared" ref="AY33:AY44" si="60">IFERROR(IF(AP33&lt;&gt;0,IF(AU33&gt;0.01,1-EXP(-AU33),AU33),0),".")</f>
        <v>0</v>
      </c>
      <c r="AZ33" s="49">
        <f t="shared" ref="AZ33:AZ44" si="61">IFERROR(IF(AV33&gt;0.01,1-EXP(-AV33),AV33),".")</f>
        <v>3.9187622465753418E-14</v>
      </c>
      <c r="BA33" s="49">
        <f t="shared" ref="BA33:BA76" si="62">IFERROR(IF(AW33&gt;0.01,1-EXP(-AW33),AW33),".")</f>
        <v>6.4685984629357003E-8</v>
      </c>
      <c r="BB33" s="49">
        <f t="shared" ref="BB33:BB76" si="63">IFERROR(IF(SUM(AT33:AW33)&gt;0.01,1-EXP(-SUM(AT33:AW33)),SUM(AT33:AW33)),".")</f>
        <v>1.3288119877983644E-5</v>
      </c>
      <c r="BC33" s="60">
        <f t="shared" ref="BC33" si="64">IFERROR(BC13/$B33,0)</f>
        <v>4.3875043875043866</v>
      </c>
      <c r="BD33" s="71">
        <f>IFERROR(s_RadSpec!$E$13*BD13,".")*$B$33</f>
        <v>1.1396000000000001E-6</v>
      </c>
      <c r="BE33" s="49">
        <f t="shared" ref="BE33:BE44" si="65">IFERROR(IF(BD33&gt;0.01,1-EXP(-BD33),BD33),".")</f>
        <v>1.1396000000000001E-6</v>
      </c>
    </row>
    <row r="34" spans="1:57" x14ac:dyDescent="0.25">
      <c r="A34" s="48" t="s">
        <v>1079</v>
      </c>
      <c r="B34" s="15">
        <v>1</v>
      </c>
      <c r="C34" s="60">
        <f t="shared" si="42"/>
        <v>11042.707671921153</v>
      </c>
      <c r="D34" s="60">
        <f t="shared" si="42"/>
        <v>111216247.72548941</v>
      </c>
      <c r="E34" s="60">
        <f t="shared" si="42"/>
        <v>312.84765865204002</v>
      </c>
      <c r="F34" s="60">
        <f t="shared" si="42"/>
        <v>432.03841339941226</v>
      </c>
      <c r="G34" s="60">
        <f t="shared" si="42"/>
        <v>10.152902714886187</v>
      </c>
      <c r="H34" s="60">
        <f t="shared" si="43"/>
        <v>178.51980373485807</v>
      </c>
      <c r="I34" s="71">
        <f>IFERROR(s_RadSpec!$D$14*I14,".")*$B$34</f>
        <v>4.5278750000000002E-10</v>
      </c>
      <c r="J34" s="71">
        <f>IFERROR(s_RadSpec!$G$14*J14,".")*B33</f>
        <v>4.4957459923853019E-14</v>
      </c>
      <c r="K34" s="71">
        <f>IFERROR(s_RadSpec!$F$14*K14,".")*B33</f>
        <v>1.5982219657782934E-8</v>
      </c>
      <c r="L34" s="71">
        <f>s_b2s!AB34</f>
        <v>1.1573044999999998E-8</v>
      </c>
      <c r="M34" s="49">
        <f t="shared" si="44"/>
        <v>4.5278750000000002E-10</v>
      </c>
      <c r="N34" s="49">
        <f t="shared" si="45"/>
        <v>4.4957459923853019E-14</v>
      </c>
      <c r="O34" s="49">
        <f t="shared" si="46"/>
        <v>1.5982219657782934E-8</v>
      </c>
      <c r="P34" s="49">
        <f t="shared" si="47"/>
        <v>1.1573044999999998E-8</v>
      </c>
      <c r="Q34" s="49">
        <f t="shared" si="48"/>
        <v>2.8008097115242855E-8</v>
      </c>
      <c r="R34" s="60">
        <f t="shared" si="49"/>
        <v>312.84765865204002</v>
      </c>
      <c r="S34" s="60">
        <f t="shared" si="49"/>
        <v>2395.1999187262263</v>
      </c>
      <c r="T34" s="60">
        <f t="shared" si="49"/>
        <v>645.10478079746451</v>
      </c>
      <c r="U34" s="60">
        <f t="shared" si="49"/>
        <v>389.02581274296375</v>
      </c>
      <c r="V34" s="60">
        <f t="shared" si="49"/>
        <v>6774.5767736098014</v>
      </c>
      <c r="W34" s="71">
        <f>IFERROR(s_RadSpec!$F$14*W14,".")*$B$33</f>
        <v>1.5982219657782934E-8</v>
      </c>
      <c r="X34" s="71">
        <f>IFERROR(s_RadSpec!$M$14*X14,".")*$B$33</f>
        <v>2.0875084208666028E-9</v>
      </c>
      <c r="Y34" s="71">
        <f>IFERROR(s_RadSpec!$N$14*Y14,".")*$B$33</f>
        <v>7.7506788801334076E-9</v>
      </c>
      <c r="Z34" s="71">
        <f>IFERROR(s_RadSpec!$O$14*Z14,".")*$B$33</f>
        <v>1.2852617580169643E-8</v>
      </c>
      <c r="AA34" s="71">
        <f>IFERROR(s_RadSpec!$K$14*AA14,".")*$B$33</f>
        <v>7.3805348541880554E-10</v>
      </c>
      <c r="AB34" s="49">
        <f t="shared" si="50"/>
        <v>1.5982219657782934E-8</v>
      </c>
      <c r="AC34" s="49">
        <f t="shared" si="51"/>
        <v>2.0875084208666028E-9</v>
      </c>
      <c r="AD34" s="49">
        <f t="shared" si="52"/>
        <v>7.7506788801334076E-9</v>
      </c>
      <c r="AE34" s="49">
        <f t="shared" si="53"/>
        <v>1.2852617580169643E-8</v>
      </c>
      <c r="AF34" s="49">
        <f t="shared" si="54"/>
        <v>7.3805348541880554E-10</v>
      </c>
      <c r="AG34" s="60">
        <f>IFERROR(AG14/$B34,0)</f>
        <v>358.98922097469313</v>
      </c>
      <c r="AH34" s="60">
        <f>IFERROR(AH14/$B34,0)</f>
        <v>10263.158548116005</v>
      </c>
      <c r="AI34" s="60">
        <f t="shared" si="40"/>
        <v>346.85671598817572</v>
      </c>
      <c r="AJ34" s="71">
        <f>IFERROR(s_RadSpec!$G$14*AJ14,".")*$B$33</f>
        <v>1.3927994791666666E-8</v>
      </c>
      <c r="AK34" s="71">
        <f>IFERROR(s_RadSpec!$J$14*AK14,".")*$B$33</f>
        <v>4.871794561643835E-10</v>
      </c>
      <c r="AL34" s="49">
        <f t="shared" si="55"/>
        <v>1.3927994791666666E-8</v>
      </c>
      <c r="AM34" s="49">
        <f t="shared" si="56"/>
        <v>4.871794561643835E-10</v>
      </c>
      <c r="AN34" s="49">
        <f t="shared" si="57"/>
        <v>1.4415174247831049E-8</v>
      </c>
      <c r="AO34" s="60">
        <f t="shared" si="58"/>
        <v>325.62683165092801</v>
      </c>
      <c r="AP34" s="60">
        <f t="shared" si="58"/>
        <v>0</v>
      </c>
      <c r="AQ34" s="60">
        <f t="shared" si="58"/>
        <v>11722451.40417625</v>
      </c>
      <c r="AR34" s="60">
        <f t="shared" si="58"/>
        <v>741.9643243530362</v>
      </c>
      <c r="AS34" s="60">
        <f t="shared" si="41"/>
        <v>226.30276263126962</v>
      </c>
      <c r="AT34" s="71">
        <f>IFERROR(s_RadSpec!$H$14*AT14,".")*$B$34</f>
        <v>1.5355000000000001E-8</v>
      </c>
      <c r="AU34" s="71">
        <f>IFERROR(s_RadSpec!$G$14*AU14,".")*$B$34</f>
        <v>6.9639973958333328E-9</v>
      </c>
      <c r="AV34" s="71">
        <f>IFERROR(s_RadSpec!$L$14*AV14,".")*$B$34</f>
        <v>4.2653194520547938E-13</v>
      </c>
      <c r="AW34" s="71">
        <f>s_b2w!AB34</f>
        <v>6.7388684817963523E-9</v>
      </c>
      <c r="AX34" s="49">
        <f t="shared" si="59"/>
        <v>1.5355000000000001E-8</v>
      </c>
      <c r="AY34" s="49">
        <f t="shared" si="60"/>
        <v>0</v>
      </c>
      <c r="AZ34" s="49">
        <f t="shared" si="61"/>
        <v>4.2653194520547938E-13</v>
      </c>
      <c r="BA34" s="49">
        <f t="shared" si="62"/>
        <v>6.7388684817963523E-9</v>
      </c>
      <c r="BB34" s="49">
        <f t="shared" si="63"/>
        <v>2.9058292409574892E-8</v>
      </c>
      <c r="BC34" s="60">
        <f t="shared" ref="BC34" si="66">IFERROR(BC14/$B34,0)</f>
        <v>40.611610859544747</v>
      </c>
      <c r="BD34" s="71">
        <f>IFERROR(s_RadSpec!$E$14*BD14,".")*$B$33</f>
        <v>1.2311749999999999E-7</v>
      </c>
      <c r="BE34" s="49">
        <f t="shared" si="65"/>
        <v>1.2311749999999999E-7</v>
      </c>
    </row>
    <row r="35" spans="1:57" x14ac:dyDescent="0.25">
      <c r="A35" s="48" t="s">
        <v>1080</v>
      </c>
      <c r="B35" s="15">
        <v>1</v>
      </c>
      <c r="C35" s="60">
        <f>IFERROR(C30/$B35,0)</f>
        <v>1210.3460379322448</v>
      </c>
      <c r="D35" s="60">
        <f>IFERROR(D30/$B35,0)</f>
        <v>60042.235700166173</v>
      </c>
      <c r="E35" s="60">
        <f>IFERROR(E30/$B35,0)</f>
        <v>1140663.0326997505</v>
      </c>
      <c r="F35" s="60">
        <f>IFERROR(F30/$B35,0)</f>
        <v>46.058578261074956</v>
      </c>
      <c r="G35" s="60">
        <f>IFERROR(G30/$B35,0)</f>
        <v>0.93778719732918203</v>
      </c>
      <c r="H35" s="60">
        <f t="shared" si="43"/>
        <v>44.335627512053904</v>
      </c>
      <c r="I35" s="71">
        <f>IFERROR(s_RadSpec!$D$30*I30,".")*$B$35</f>
        <v>4.1310500000000001E-9</v>
      </c>
      <c r="J35" s="71">
        <f>IFERROR(s_RadSpec!$G$30*J30,".")*B35</f>
        <v>8.327471390253647E-11</v>
      </c>
      <c r="K35" s="71">
        <f>IFERROR(s_RadSpec!$F$30*K30,".")*B35</f>
        <v>4.3834154843835612E-12</v>
      </c>
      <c r="L35" s="71">
        <f>s_b2s!AB35</f>
        <v>1.0855741077500001E-7</v>
      </c>
      <c r="M35" s="49">
        <f t="shared" si="44"/>
        <v>4.1310500000000001E-9</v>
      </c>
      <c r="N35" s="49">
        <f t="shared" si="45"/>
        <v>8.327471390253647E-11</v>
      </c>
      <c r="O35" s="49">
        <f t="shared" si="46"/>
        <v>4.3834154843835612E-12</v>
      </c>
      <c r="P35" s="49">
        <f t="shared" si="47"/>
        <v>1.0855741077500001E-7</v>
      </c>
      <c r="Q35" s="49">
        <f t="shared" si="48"/>
        <v>1.1277611890438693E-7</v>
      </c>
      <c r="R35" s="60">
        <f>IFERROR(R30/$B35,0)</f>
        <v>1140663.0326997505</v>
      </c>
      <c r="S35" s="60">
        <f>IFERROR(S30/$B35,0)</f>
        <v>19161804.097102441</v>
      </c>
      <c r="T35" s="60">
        <f>IFERROR(T30/$B35,0)</f>
        <v>2828355.1341125336</v>
      </c>
      <c r="U35" s="60">
        <f>IFERROR(U30/$B35,0)</f>
        <v>1549833.4522025215</v>
      </c>
      <c r="V35" s="60">
        <f>IFERROR(V30/$B35,0)</f>
        <v>272417171.33888161</v>
      </c>
      <c r="W35" s="71">
        <f>IFERROR(s_RadSpec!$F$30*W30,".")*$B$35</f>
        <v>4.3834154843835612E-12</v>
      </c>
      <c r="X35" s="71">
        <f>IFERROR(s_RadSpec!$M$30*X30,".")*$B$35</f>
        <v>2.6093576443337486E-13</v>
      </c>
      <c r="Y35" s="71">
        <f>IFERROR(s_RadSpec!$N$30*Y30,".")*$B$35</f>
        <v>1.7678119482576481E-12</v>
      </c>
      <c r="Z35" s="71">
        <f>IFERROR(s_RadSpec!$O$30*Z30,".")*$B$35</f>
        <v>3.2261531023829229E-12</v>
      </c>
      <c r="AA35" s="71">
        <f>IFERROR(s_RadSpec!$K$30*AA30,".")*$B$35</f>
        <v>1.8354202767123287E-14</v>
      </c>
      <c r="AB35" s="49">
        <f t="shared" si="50"/>
        <v>4.3834154843835612E-12</v>
      </c>
      <c r="AC35" s="49">
        <f t="shared" si="51"/>
        <v>2.6093576443337486E-13</v>
      </c>
      <c r="AD35" s="49">
        <f t="shared" si="52"/>
        <v>1.7678119482576481E-12</v>
      </c>
      <c r="AE35" s="49">
        <f t="shared" si="53"/>
        <v>3.2261531023829229E-12</v>
      </c>
      <c r="AF35" s="49">
        <f t="shared" si="54"/>
        <v>1.8354202767123287E-14</v>
      </c>
      <c r="AG35" s="60">
        <f>IFERROR(AG30/$B35,0)</f>
        <v>0.19380725263078202</v>
      </c>
      <c r="AH35" s="60">
        <f>IFERROR(AH30/$B35,0)</f>
        <v>9342925.1540134512</v>
      </c>
      <c r="AI35" s="60">
        <f t="shared" si="40"/>
        <v>0.19380724861049398</v>
      </c>
      <c r="AJ35" s="71">
        <f>IFERROR(s_RadSpec!$G$30*AJ30,".")*$B$35</f>
        <v>2.5798828124999997E-5</v>
      </c>
      <c r="AK35" s="71">
        <f>IFERROR(s_RadSpec!$J$30*AK30,".")*$B$35</f>
        <v>5.3516429999999987E-13</v>
      </c>
      <c r="AL35" s="49">
        <f t="shared" si="55"/>
        <v>2.5798828124999997E-5</v>
      </c>
      <c r="AM35" s="49">
        <f t="shared" si="56"/>
        <v>5.3516429999999987E-13</v>
      </c>
      <c r="AN35" s="49">
        <f t="shared" si="57"/>
        <v>2.5798828660164297E-5</v>
      </c>
      <c r="AO35" s="60">
        <f>IFERROR(AO30/$B35,0)</f>
        <v>27.862914460852604</v>
      </c>
      <c r="AP35" s="60">
        <f>IFERROR(AP30/$B35,0)</f>
        <v>0</v>
      </c>
      <c r="AQ35" s="60">
        <f>IFERROR(AQ30/$B35,0)</f>
        <v>10478168852.894972</v>
      </c>
      <c r="AR35" s="60">
        <f>IFERROR(AR30/$B35,0)</f>
        <v>71.805822354410395</v>
      </c>
      <c r="AS35" s="60">
        <f t="shared" si="41"/>
        <v>20.073691572188412</v>
      </c>
      <c r="AT35" s="71">
        <f>IFERROR(s_RadSpec!$H$30*AT30,".")*$B$35</f>
        <v>1.7944999999999998E-7</v>
      </c>
      <c r="AU35" s="71">
        <f>IFERROR(s_RadSpec!$G$30*AU30,".")*$B$35</f>
        <v>1.2899414062499999E-5</v>
      </c>
      <c r="AV35" s="71">
        <f>IFERROR(s_RadSpec!$L$30*AV30,".")*$B$35</f>
        <v>4.7718261369863009E-16</v>
      </c>
      <c r="AW35" s="71">
        <f>s_b2w!AB35</f>
        <v>6.9632236440683191E-8</v>
      </c>
      <c r="AX35" s="49">
        <f t="shared" si="59"/>
        <v>1.7944999999999998E-7</v>
      </c>
      <c r="AY35" s="49">
        <f t="shared" si="60"/>
        <v>0</v>
      </c>
      <c r="AZ35" s="49">
        <f t="shared" si="61"/>
        <v>4.7718261369863009E-16</v>
      </c>
      <c r="BA35" s="49">
        <f t="shared" si="62"/>
        <v>6.9632236440683191E-8</v>
      </c>
      <c r="BB35" s="49">
        <f t="shared" si="63"/>
        <v>1.3148496299417865E-5</v>
      </c>
      <c r="BC35" s="60">
        <f>IFERROR(BC30/$B35,0)</f>
        <v>3.7511487893167277</v>
      </c>
      <c r="BD35" s="71">
        <f>IFERROR(s_RadSpec!$E$30*BD30,".")*$B$35</f>
        <v>1.332925E-6</v>
      </c>
      <c r="BE35" s="49">
        <f t="shared" si="65"/>
        <v>1.332925E-6</v>
      </c>
    </row>
    <row r="36" spans="1:57" x14ac:dyDescent="0.25">
      <c r="A36" s="48" t="s">
        <v>1081</v>
      </c>
      <c r="B36" s="15">
        <v>1</v>
      </c>
      <c r="C36" s="60">
        <f>IFERROR(C26/$B36,0)</f>
        <v>472.50047250047243</v>
      </c>
      <c r="D36" s="60">
        <f>IFERROR(D26/$B36,0)</f>
        <v>9731.4216759803221</v>
      </c>
      <c r="E36" s="60">
        <f>IFERROR(E26/$B36,0)</f>
        <v>3802.6344628059746</v>
      </c>
      <c r="F36" s="60">
        <f>IFERROR(F26/$B36,0)</f>
        <v>21.600686236521188</v>
      </c>
      <c r="G36" s="60">
        <f>IFERROR(G26/$B36,0)</f>
        <v>0.31299394356719196</v>
      </c>
      <c r="H36" s="60">
        <f t="shared" si="43"/>
        <v>20.5014822521665</v>
      </c>
      <c r="I36" s="71">
        <f>IFERROR(s_RadSpec!$D$26*I26,".")*$B$37</f>
        <v>1.0582E-8</v>
      </c>
      <c r="J36" s="71">
        <f>IFERROR(s_RadSpec!$G$26*J26,".")*B37</f>
        <v>5.137995419868917E-10</v>
      </c>
      <c r="K36" s="71">
        <f>IFERROR(s_RadSpec!$F$26*K26,".")*B37</f>
        <v>1.3148778955499404E-9</v>
      </c>
      <c r="L36" s="71">
        <f>s_b2s!AB36</f>
        <v>2.3147412750000004E-7</v>
      </c>
      <c r="M36" s="49">
        <f t="shared" si="44"/>
        <v>1.0582E-8</v>
      </c>
      <c r="N36" s="49">
        <f t="shared" si="45"/>
        <v>5.137995419868917E-10</v>
      </c>
      <c r="O36" s="49">
        <f t="shared" si="46"/>
        <v>1.3148778955499404E-9</v>
      </c>
      <c r="P36" s="49">
        <f t="shared" si="47"/>
        <v>2.3147412750000004E-7</v>
      </c>
      <c r="Q36" s="49">
        <f t="shared" si="48"/>
        <v>2.4388480493753688E-7</v>
      </c>
      <c r="R36" s="60">
        <f>IFERROR(R26/$B36,0)</f>
        <v>3802.6344628059746</v>
      </c>
      <c r="S36" s="60">
        <f>IFERROR(S26/$B36,0)</f>
        <v>23014.377774968543</v>
      </c>
      <c r="T36" s="60">
        <f>IFERROR(T26/$B36,0)</f>
        <v>6594.5387487883645</v>
      </c>
      <c r="U36" s="60">
        <f>IFERROR(U26/$B36,0)</f>
        <v>4337.4939804926453</v>
      </c>
      <c r="V36" s="60">
        <f>IFERROR(V26/$B36,0)</f>
        <v>128207.87294653025</v>
      </c>
      <c r="W36" s="71">
        <f>IFERROR(s_RadSpec!$F$26*W26,".")*$B$37</f>
        <v>1.3148778955499404E-9</v>
      </c>
      <c r="X36" s="71">
        <f>IFERROR(s_RadSpec!$M$26*X26,".")*$B$37</f>
        <v>2.1725549345236787E-10</v>
      </c>
      <c r="Y36" s="71">
        <f>IFERROR(s_RadSpec!$N$26*Y26,".")*$B$37</f>
        <v>7.5820314209521681E-10</v>
      </c>
      <c r="Z36" s="71">
        <f>IFERROR(s_RadSpec!$O$26*Z26,".")*$B$37</f>
        <v>1.152739351913085E-9</v>
      </c>
      <c r="AA36" s="71">
        <f>IFERROR(s_RadSpec!$K$26*AA26,".")*$B$37</f>
        <v>3.8999165067540554E-11</v>
      </c>
      <c r="AB36" s="49">
        <f t="shared" si="50"/>
        <v>1.3148778955499404E-9</v>
      </c>
      <c r="AC36" s="49">
        <f t="shared" si="51"/>
        <v>2.1725549345236787E-10</v>
      </c>
      <c r="AD36" s="49">
        <f t="shared" si="52"/>
        <v>7.5820314209521681E-10</v>
      </c>
      <c r="AE36" s="49">
        <f t="shared" si="53"/>
        <v>1.152739351913085E-9</v>
      </c>
      <c r="AF36" s="49">
        <f t="shared" si="54"/>
        <v>3.8999165067540554E-11</v>
      </c>
      <c r="AG36" s="60">
        <f>IFERROR(AG26/$B36,0)</f>
        <v>3.1411556835285646E-2</v>
      </c>
      <c r="AH36" s="60">
        <f>IFERROR(AH26/$B36,0)</f>
        <v>29192.09688199533</v>
      </c>
      <c r="AI36" s="60">
        <f t="shared" si="40"/>
        <v>3.1411523035560843E-2</v>
      </c>
      <c r="AJ36" s="71">
        <f>IFERROR(s_RadSpec!$G$26*AJ26,".")*$B$37</f>
        <v>1.5917708333333333E-4</v>
      </c>
      <c r="AK36" s="71">
        <f>IFERROR(s_RadSpec!$J$26*AK26,".")*$B$37</f>
        <v>1.7127923424657531E-10</v>
      </c>
      <c r="AL36" s="49">
        <f t="shared" si="55"/>
        <v>1.5917708333333333E-4</v>
      </c>
      <c r="AM36" s="49">
        <f t="shared" si="56"/>
        <v>1.7127923424657531E-10</v>
      </c>
      <c r="AN36" s="49">
        <f t="shared" si="57"/>
        <v>1.5917725461256759E-4</v>
      </c>
      <c r="AO36" s="60">
        <f>IFERROR(AO26/$B36,0)</f>
        <v>8.9493466976910678</v>
      </c>
      <c r="AP36" s="60">
        <f>IFERROR(AP26/$B36,0)</f>
        <v>0</v>
      </c>
      <c r="AQ36" s="60">
        <f>IFERROR(AQ26/$B36,0)</f>
        <v>32790073.857835665</v>
      </c>
      <c r="AR36" s="60">
        <f>IFERROR(AR26/$B36,0)</f>
        <v>26.316338563956215</v>
      </c>
      <c r="AS36" s="60">
        <f t="shared" si="41"/>
        <v>6.6782762878057067</v>
      </c>
      <c r="AT36" s="71">
        <f>IFERROR(s_RadSpec!$H$26*AT26,".")*$B$37</f>
        <v>5.5869999999999994E-7</v>
      </c>
      <c r="AU36" s="71">
        <f>IFERROR(s_RadSpec!$G$26*AU26,".")*$B$37</f>
        <v>7.9588541666666664E-5</v>
      </c>
      <c r="AV36" s="71">
        <f>IFERROR(s_RadSpec!$L$26*AV26,".")*$B$37</f>
        <v>1.5248517041095888E-13</v>
      </c>
      <c r="AW36" s="71">
        <f>s_b2w!AB36</f>
        <v>1.8999603565095398E-7</v>
      </c>
      <c r="AX36" s="49">
        <f t="shared" si="59"/>
        <v>5.5869999999999994E-7</v>
      </c>
      <c r="AY36" s="49">
        <f t="shared" si="60"/>
        <v>0</v>
      </c>
      <c r="AZ36" s="49">
        <f t="shared" si="61"/>
        <v>1.5248517041095888E-13</v>
      </c>
      <c r="BA36" s="49">
        <f t="shared" si="62"/>
        <v>1.8999603565095398E-7</v>
      </c>
      <c r="BB36" s="49">
        <f t="shared" si="63"/>
        <v>8.0337237854802789E-5</v>
      </c>
      <c r="BC36" s="60">
        <f>IFERROR(BC26/$B36,0)</f>
        <v>1.2519757742687678</v>
      </c>
      <c r="BD36" s="71">
        <f>IFERROR(s_RadSpec!$E$26*BD26,".")*$B$37</f>
        <v>3.9936875000000004E-6</v>
      </c>
      <c r="BE36" s="49">
        <f t="shared" si="65"/>
        <v>3.9936875000000004E-6</v>
      </c>
    </row>
    <row r="37" spans="1:57" x14ac:dyDescent="0.25">
      <c r="A37" s="48" t="s">
        <v>1082</v>
      </c>
      <c r="B37" s="15">
        <v>1</v>
      </c>
      <c r="C37" s="60">
        <f>IFERROR(C22/$B37,0)</f>
        <v>750.22975786334553</v>
      </c>
      <c r="D37" s="60">
        <f>IFERROR(D22/$B37,0)</f>
        <v>64967.907087167077</v>
      </c>
      <c r="E37" s="60">
        <f>IFERROR(E22/$B37,0)</f>
        <v>76480284934.420212</v>
      </c>
      <c r="F37" s="60">
        <f>IFERROR(F22/$B37,0)</f>
        <v>13.699283503670253</v>
      </c>
      <c r="G37" s="60">
        <f>IFERROR(G22/$B37,0)</f>
        <v>0.59204878481986911</v>
      </c>
      <c r="H37" s="60">
        <f t="shared" si="43"/>
        <v>13.450833428938136</v>
      </c>
      <c r="I37" s="71">
        <f>IFERROR(s_RadSpec!$D$22*I22,".")*$B$37</f>
        <v>6.664625E-9</v>
      </c>
      <c r="J37" s="71">
        <f>IFERROR(s_RadSpec!$G$22*J22,".")*B37</f>
        <v>7.6961075462867024E-11</v>
      </c>
      <c r="K37" s="71">
        <f>IFERROR(s_RadSpec!$F$22*K22,".")*B37</f>
        <v>6.5376325471163764E-17</v>
      </c>
      <c r="L37" s="71">
        <f>s_b2s!AB37</f>
        <v>3.6498259187500002E-7</v>
      </c>
      <c r="M37" s="49">
        <f t="shared" si="44"/>
        <v>6.664625E-9</v>
      </c>
      <c r="N37" s="49">
        <f t="shared" si="45"/>
        <v>7.6961075462867024E-11</v>
      </c>
      <c r="O37" s="49">
        <f t="shared" si="46"/>
        <v>6.5376325471163764E-17</v>
      </c>
      <c r="P37" s="49">
        <f t="shared" si="47"/>
        <v>3.6498259187500002E-7</v>
      </c>
      <c r="Q37" s="49">
        <f t="shared" si="48"/>
        <v>3.7172417801583921E-7</v>
      </c>
      <c r="R37" s="60">
        <f>IFERROR(R22/$B37,0)</f>
        <v>76480284934.420212</v>
      </c>
      <c r="S37" s="60">
        <f>IFERROR(S22/$B37,0)</f>
        <v>96250229389.190094</v>
      </c>
      <c r="T37" s="60">
        <f>IFERROR(T22/$B37,0)</f>
        <v>54151187097.338669</v>
      </c>
      <c r="U37" s="60">
        <f>IFERROR(U22/$B37,0)</f>
        <v>55587519666.461777</v>
      </c>
      <c r="V37" s="60">
        <f>IFERROR(V22/$B37,0)</f>
        <v>271986100800.87375</v>
      </c>
      <c r="W37" s="71">
        <f>IFERROR(s_RadSpec!$F$22*W22,".")*$B$37</f>
        <v>6.5376325471163764E-17</v>
      </c>
      <c r="X37" s="71">
        <f>IFERROR(s_RadSpec!$M$22*X22,".")*$B$37</f>
        <v>5.1947928142408671E-17</v>
      </c>
      <c r="Y37" s="71">
        <f>IFERROR(s_RadSpec!$N$22*Y22,".")*$B$37</f>
        <v>9.2334079232876705E-17</v>
      </c>
      <c r="Z37" s="71">
        <f>IFERROR(s_RadSpec!$O$22*Z22,".")*$B$37</f>
        <v>8.9948247916100185E-17</v>
      </c>
      <c r="AA37" s="71">
        <f>IFERROR(s_RadSpec!$K$22*AA22,".")*$B$37</f>
        <v>1.8383292327355342E-17</v>
      </c>
      <c r="AB37" s="49">
        <f t="shared" si="50"/>
        <v>6.5376325471163764E-17</v>
      </c>
      <c r="AC37" s="49">
        <f t="shared" si="51"/>
        <v>5.1947928142408671E-17</v>
      </c>
      <c r="AD37" s="49">
        <f t="shared" si="52"/>
        <v>9.2334079232876705E-17</v>
      </c>
      <c r="AE37" s="49">
        <f t="shared" si="53"/>
        <v>8.9948247916100185E-17</v>
      </c>
      <c r="AF37" s="49">
        <f t="shared" si="54"/>
        <v>1.8383292327355342E-17</v>
      </c>
      <c r="AG37" s="60">
        <f>IFERROR(AG22/$B37,0)</f>
        <v>0.20970657462878114</v>
      </c>
      <c r="AH37" s="60">
        <f>IFERROR(AH22/$B37,0)</f>
        <v>474833.47459954425</v>
      </c>
      <c r="AI37" s="60">
        <f t="shared" si="40"/>
        <v>0.20970648201351624</v>
      </c>
      <c r="AJ37" s="71">
        <f>IFERROR(s_RadSpec!$G$22*AJ22,".")*$B$37</f>
        <v>2.3842838541666666E-5</v>
      </c>
      <c r="AK37" s="71">
        <f>IFERROR(s_RadSpec!$J$22*AK22,".")*$B$37</f>
        <v>1.0530007397260272E-11</v>
      </c>
      <c r="AL37" s="49">
        <f t="shared" si="55"/>
        <v>2.3842838541666666E-5</v>
      </c>
      <c r="AM37" s="49">
        <f t="shared" si="56"/>
        <v>1.0530007397260272E-11</v>
      </c>
      <c r="AN37" s="49">
        <f t="shared" si="57"/>
        <v>2.3842849071674063E-5</v>
      </c>
      <c r="AO37" s="60">
        <f>IFERROR(AO22/$B37,0)</f>
        <v>17.493221376716523</v>
      </c>
      <c r="AP37" s="60">
        <f>IFERROR(AP22/$B37,0)</f>
        <v>0</v>
      </c>
      <c r="AQ37" s="60">
        <f>IFERROR(AQ22/$B37,0)</f>
        <v>516692072.91134989</v>
      </c>
      <c r="AR37" s="60">
        <f>IFERROR(AR22/$B37,0)</f>
        <v>33.635892775043871</v>
      </c>
      <c r="AS37" s="60">
        <f t="shared" si="41"/>
        <v>11.508122430316543</v>
      </c>
      <c r="AT37" s="71">
        <f>IFERROR(s_RadSpec!$H$22*AT22,".")*$B$37</f>
        <v>2.8582499999999998E-7</v>
      </c>
      <c r="AU37" s="71">
        <f>IFERROR(s_RadSpec!$G$22*AU22,".")*$B$37</f>
        <v>1.1921419270833333E-5</v>
      </c>
      <c r="AV37" s="71">
        <f>IFERROR(s_RadSpec!$L$22*AV22,".")*$B$37</f>
        <v>9.676943506849314E-15</v>
      </c>
      <c r="AW37" s="71">
        <f>s_b2w!AB37</f>
        <v>1.4865072954774507E-7</v>
      </c>
      <c r="AX37" s="49">
        <f t="shared" si="59"/>
        <v>2.8582499999999998E-7</v>
      </c>
      <c r="AY37" s="49">
        <f t="shared" si="60"/>
        <v>0</v>
      </c>
      <c r="AZ37" s="49">
        <f t="shared" si="61"/>
        <v>9.676943506849314E-15</v>
      </c>
      <c r="BA37" s="49">
        <f t="shared" si="62"/>
        <v>1.4865072954774507E-7</v>
      </c>
      <c r="BB37" s="49">
        <f t="shared" si="63"/>
        <v>1.2355895010058021E-5</v>
      </c>
      <c r="BC37" s="60">
        <f>IFERROR(BC22/$B37,0)</f>
        <v>2.3681951392794764</v>
      </c>
      <c r="BD37" s="71">
        <f>IFERROR(s_RadSpec!$E$22*BD22,".")*$B$37</f>
        <v>2.1113125E-6</v>
      </c>
      <c r="BE37" s="49">
        <f t="shared" si="65"/>
        <v>2.1113125E-6</v>
      </c>
    </row>
    <row r="38" spans="1:57" x14ac:dyDescent="0.25">
      <c r="A38" s="48" t="s">
        <v>1083</v>
      </c>
      <c r="B38" s="15">
        <v>1</v>
      </c>
      <c r="C38" s="60">
        <f>IFERROR(C2/$B38,0)</f>
        <v>372.27309954582682</v>
      </c>
      <c r="D38" s="60">
        <f>IFERROR(D2/$B38,0)</f>
        <v>59497.81128319577</v>
      </c>
      <c r="E38" s="60">
        <f>IFERROR(E2/$B38,0)</f>
        <v>12535.286380405685</v>
      </c>
      <c r="F38" s="60">
        <f>IFERROR(F2/$B38,0)</f>
        <v>23.085619252113659</v>
      </c>
      <c r="G38" s="60">
        <f>IFERROR(G2/$B38,0)</f>
        <v>0.33474147915564806</v>
      </c>
      <c r="H38" s="60">
        <f t="shared" si="43"/>
        <v>21.692071775076688</v>
      </c>
      <c r="I38" s="71">
        <f>IFERROR(s_RadSpec!$D$2*I2,".")*$B$38</f>
        <v>1.3431E-8</v>
      </c>
      <c r="J38" s="71">
        <f>IFERROR(s_RadSpec!$G$2*J2,".")*B38</f>
        <v>8.4036704748703466E-11</v>
      </c>
      <c r="K38" s="71">
        <f>IFERROR(s_RadSpec!$F$2*K2,".")*B38</f>
        <v>3.9887401438356152E-10</v>
      </c>
      <c r="L38" s="71">
        <f>s_b2s!AB38</f>
        <v>2.1658505E-7</v>
      </c>
      <c r="M38" s="49">
        <f t="shared" si="44"/>
        <v>1.3431E-8</v>
      </c>
      <c r="N38" s="49">
        <f t="shared" si="45"/>
        <v>8.4036704748703466E-11</v>
      </c>
      <c r="O38" s="49">
        <f t="shared" si="46"/>
        <v>3.9887401438356152E-10</v>
      </c>
      <c r="P38" s="49">
        <f t="shared" si="47"/>
        <v>2.1658505E-7</v>
      </c>
      <c r="Q38" s="49">
        <f t="shared" si="48"/>
        <v>2.3049896071913226E-7</v>
      </c>
      <c r="R38" s="60">
        <f>IFERROR(R2/$B38,0)</f>
        <v>12535.286380405685</v>
      </c>
      <c r="S38" s="60">
        <f>IFERROR(S2/$B38,0)</f>
        <v>90483.197985437102</v>
      </c>
      <c r="T38" s="60">
        <f>IFERROR(T2/$B38,0)</f>
        <v>23737.051129951898</v>
      </c>
      <c r="U38" s="60">
        <f>IFERROR(U2/$B38,0)</f>
        <v>14683.338329191169</v>
      </c>
      <c r="V38" s="60">
        <f>IFERROR(V2/$B38,0)</f>
        <v>687381.52754264581</v>
      </c>
      <c r="W38" s="71">
        <f>IFERROR(s_RadSpec!$F$2*W2,".")*$B$38</f>
        <v>3.9887401438356152E-10</v>
      </c>
      <c r="X38" s="71">
        <f>IFERROR(s_RadSpec!$M$2*X2,".")*$B$38</f>
        <v>5.5258878016277994E-11</v>
      </c>
      <c r="Y38" s="71">
        <f>IFERROR(s_RadSpec!$N$2*Y2,".")*$B$38</f>
        <v>2.1064116063224452E-10</v>
      </c>
      <c r="Z38" s="71">
        <f>IFERROR(s_RadSpec!$O$2*Z2,".")*$B$38</f>
        <v>3.405220180794829E-10</v>
      </c>
      <c r="AA38" s="71">
        <f>IFERROR(s_RadSpec!$K$2*AA2,".")*$B$38</f>
        <v>7.2739807510899309E-12</v>
      </c>
      <c r="AB38" s="49">
        <f t="shared" si="50"/>
        <v>3.9887401438356152E-10</v>
      </c>
      <c r="AC38" s="49">
        <f t="shared" si="51"/>
        <v>5.5258878016277994E-11</v>
      </c>
      <c r="AD38" s="49">
        <f t="shared" si="52"/>
        <v>2.1064116063224452E-10</v>
      </c>
      <c r="AE38" s="49">
        <f t="shared" si="53"/>
        <v>3.405220180794829E-10</v>
      </c>
      <c r="AF38" s="49">
        <f t="shared" si="54"/>
        <v>7.2739807510899309E-12</v>
      </c>
      <c r="AG38" s="60">
        <f>IFERROR(AG2/$B38,0)</f>
        <v>0.19204993298257547</v>
      </c>
      <c r="AH38" s="60">
        <f>IFERROR(AH2/$B38,0)</f>
        <v>170121.74373407708</v>
      </c>
      <c r="AI38" s="60">
        <f t="shared" si="40"/>
        <v>0.19204971617821928</v>
      </c>
      <c r="AJ38" s="71">
        <f>IFERROR(s_RadSpec!$G$2*AJ2,".")*$B$38</f>
        <v>2.6034895833333331E-5</v>
      </c>
      <c r="AK38" s="71">
        <f>IFERROR(s_RadSpec!$J$2*AK2,".")*$B$38</f>
        <v>2.9390716849315062E-11</v>
      </c>
      <c r="AL38" s="49">
        <f t="shared" si="55"/>
        <v>2.6034895833333331E-5</v>
      </c>
      <c r="AM38" s="49">
        <f t="shared" si="56"/>
        <v>2.9390716849315062E-11</v>
      </c>
      <c r="AN38" s="49">
        <f t="shared" si="57"/>
        <v>2.6034925224050181E-5</v>
      </c>
      <c r="AO38" s="60">
        <f>IFERROR(AO2/$B38,0)</f>
        <v>10.57809276987359</v>
      </c>
      <c r="AP38" s="60">
        <f>IFERROR(AP2/$B38,0)</f>
        <v>0</v>
      </c>
      <c r="AQ38" s="60">
        <f>IFERROR(AQ2/$B38,0)</f>
        <v>191974639.16767657</v>
      </c>
      <c r="AR38" s="60">
        <f>IFERROR(AR2/$B38,0)</f>
        <v>28.140156727716032</v>
      </c>
      <c r="AS38" s="60">
        <f t="shared" si="41"/>
        <v>7.6880845690665254</v>
      </c>
      <c r="AT38" s="71">
        <f>IFERROR(s_RadSpec!$H$2*AT2,".")*$B$38</f>
        <v>4.7267499999999999E-7</v>
      </c>
      <c r="AU38" s="71">
        <f>IFERROR(s_RadSpec!$G$2*AU2,".")*$B$38</f>
        <v>1.3017447916666666E-5</v>
      </c>
      <c r="AV38" s="71">
        <f>IFERROR(s_RadSpec!$L$2*AV2,".")*$B$38</f>
        <v>2.6045106904109587E-14</v>
      </c>
      <c r="AW38" s="71">
        <f>s_b2w!AB38</f>
        <v>1.7768202389133668E-7</v>
      </c>
      <c r="AX38" s="49">
        <f t="shared" si="59"/>
        <v>4.7267499999999999E-7</v>
      </c>
      <c r="AY38" s="49">
        <f t="shared" si="60"/>
        <v>0</v>
      </c>
      <c r="AZ38" s="49">
        <f t="shared" si="61"/>
        <v>2.6045106904109587E-14</v>
      </c>
      <c r="BA38" s="49">
        <f t="shared" si="62"/>
        <v>1.7768202389133668E-7</v>
      </c>
      <c r="BB38" s="49">
        <f t="shared" si="63"/>
        <v>1.3667804966603107E-5</v>
      </c>
      <c r="BC38" s="60">
        <f>IFERROR(BC2/$B38,0)</f>
        <v>1.3389659166225925</v>
      </c>
      <c r="BD38" s="71">
        <f>IFERROR(s_RadSpec!$E$2*BD2,".")*$B$38</f>
        <v>3.7342250000000002E-6</v>
      </c>
      <c r="BE38" s="49">
        <f t="shared" si="65"/>
        <v>3.7342250000000002E-6</v>
      </c>
    </row>
    <row r="39" spans="1:57" x14ac:dyDescent="0.25">
      <c r="A39" s="48" t="s">
        <v>1084</v>
      </c>
      <c r="B39" s="15">
        <v>1</v>
      </c>
      <c r="C39" s="60">
        <f>IFERROR(C11/$B39,0)</f>
        <v>0</v>
      </c>
      <c r="D39" s="60">
        <f>IFERROR(D11/$B39,0)</f>
        <v>0</v>
      </c>
      <c r="E39" s="60">
        <f>IFERROR(E11/$B39,0)</f>
        <v>4335.3793696152079</v>
      </c>
      <c r="F39" s="60">
        <f>IFERROR(F11/$B39,0)</f>
        <v>0</v>
      </c>
      <c r="G39" s="60">
        <f>IFERROR(G11/$B39,0)</f>
        <v>0</v>
      </c>
      <c r="H39" s="60">
        <f t="shared" si="43"/>
        <v>4335.3793696152079</v>
      </c>
      <c r="I39" s="71">
        <f>IFERROR(s_RadSpec!$D$11*I11,".")*$B$39</f>
        <v>0</v>
      </c>
      <c r="J39" s="71">
        <f>IFERROR(s_RadSpec!$G$11*J11,".")*B39</f>
        <v>0</v>
      </c>
      <c r="K39" s="71">
        <f>IFERROR(s_RadSpec!$F$11*K11,".")*B39</f>
        <v>1.1533016083996775E-9</v>
      </c>
      <c r="L39" s="71">
        <f>s_b2s!AB39</f>
        <v>0</v>
      </c>
      <c r="M39" s="49">
        <f t="shared" si="44"/>
        <v>0</v>
      </c>
      <c r="N39" s="49">
        <f t="shared" si="45"/>
        <v>0</v>
      </c>
      <c r="O39" s="49">
        <f t="shared" si="46"/>
        <v>1.1533016083996775E-9</v>
      </c>
      <c r="P39" s="49">
        <f t="shared" si="47"/>
        <v>0</v>
      </c>
      <c r="Q39" s="49">
        <f t="shared" si="48"/>
        <v>1.1533016083996775E-9</v>
      </c>
      <c r="R39" s="60">
        <f>IFERROR(R11/$B39,0)</f>
        <v>4335.3793696152079</v>
      </c>
      <c r="S39" s="60">
        <f>IFERROR(S11/$B39,0)</f>
        <v>22473.301232639205</v>
      </c>
      <c r="T39" s="60">
        <f>IFERROR(T11/$B39,0)</f>
        <v>6321.3452688958741</v>
      </c>
      <c r="U39" s="60">
        <f>IFERROR(U11/$B39,0)</f>
        <v>4210.1242522780267</v>
      </c>
      <c r="V39" s="60">
        <f>IFERROR(V11/$B39,0)</f>
        <v>42456.5983711347</v>
      </c>
      <c r="W39" s="71">
        <f>IFERROR(s_RadSpec!$F$11*W11,".")*$B$39</f>
        <v>1.1533016083996775E-9</v>
      </c>
      <c r="X39" s="71">
        <f>IFERROR(s_RadSpec!$M$11*X11,".")*$B$39</f>
        <v>2.2248622702294516E-10</v>
      </c>
      <c r="Y39" s="71">
        <f>IFERROR(s_RadSpec!$N$11*Y11,".")*$B$39</f>
        <v>7.909708752348106E-10</v>
      </c>
      <c r="Z39" s="71">
        <f>IFERROR(s_RadSpec!$O$11*Z11,".")*$B$39</f>
        <v>1.1876134053037945E-9</v>
      </c>
      <c r="AA39" s="71">
        <f>IFERROR(s_RadSpec!$K$11*AA11,".")*$B$39</f>
        <v>1.1776732455795114E-10</v>
      </c>
      <c r="AB39" s="49">
        <f t="shared" si="50"/>
        <v>1.1533016083996775E-9</v>
      </c>
      <c r="AC39" s="49">
        <f t="shared" si="51"/>
        <v>2.2248622702294516E-10</v>
      </c>
      <c r="AD39" s="49">
        <f t="shared" si="52"/>
        <v>7.909708752348106E-10</v>
      </c>
      <c r="AE39" s="49">
        <f t="shared" si="53"/>
        <v>1.1876134053037945E-9</v>
      </c>
      <c r="AF39" s="49">
        <f t="shared" si="54"/>
        <v>1.1776732455795114E-10</v>
      </c>
      <c r="AG39" s="60">
        <f>IFERROR(AG11/$B39,0)</f>
        <v>0</v>
      </c>
      <c r="AH39" s="60">
        <f>IFERROR(AH11/$B39,0)</f>
        <v>76011.842945013181</v>
      </c>
      <c r="AI39" s="60">
        <f>IFERROR(IF(AND(AG39&lt;&gt;0,AH39&lt;&gt;0),1/((1/AG39)+(1/AH39)),IF(AND(AG39&lt;&gt;0,AH39=0),1/((1/AG39)),IF(AND(AG39=0,AH39&lt;&gt;0),1/((1/AH39)),IF(AND(AG39=".",AH39="."),".")))),".")</f>
        <v>76011.842945013181</v>
      </c>
      <c r="AJ39" s="71">
        <f>IFERROR(s_RadSpec!$G$11*AJ11,".")*$B$39</f>
        <v>0</v>
      </c>
      <c r="AK39" s="71">
        <f>IFERROR(s_RadSpec!$J$11*AK11,".")*$B$39</f>
        <v>6.5779223424657519E-11</v>
      </c>
      <c r="AL39" s="49">
        <f t="shared" si="55"/>
        <v>0</v>
      </c>
      <c r="AM39" s="49">
        <f t="shared" si="56"/>
        <v>6.5779223424657519E-11</v>
      </c>
      <c r="AN39" s="49">
        <f t="shared" si="57"/>
        <v>6.5779223424657519E-11</v>
      </c>
      <c r="AO39" s="60">
        <f>IFERROR(AO11/$B39,0)</f>
        <v>0</v>
      </c>
      <c r="AP39" s="60">
        <f>IFERROR(AP11/$B39,0)</f>
        <v>0</v>
      </c>
      <c r="AQ39" s="60">
        <f>IFERROR(AQ11/$B39,0)</f>
        <v>86432821.413281098</v>
      </c>
      <c r="AR39" s="60">
        <f>IFERROR(AR11/$B39,0)</f>
        <v>0</v>
      </c>
      <c r="AS39" s="60">
        <f t="shared" si="41"/>
        <v>86432821.413281098</v>
      </c>
      <c r="AT39" s="71">
        <f>IFERROR(s_RadSpec!$H$11*AT11,".")*$B$39</f>
        <v>0</v>
      </c>
      <c r="AU39" s="71">
        <f>IFERROR(s_RadSpec!$G$11*AU11,".")*$B$39</f>
        <v>0</v>
      </c>
      <c r="AV39" s="71">
        <f>IFERROR(s_RadSpec!$L$11*AV11,".")*$B$39</f>
        <v>5.7848395068493151E-14</v>
      </c>
      <c r="AW39" s="71">
        <f>s_b2w!AB39</f>
        <v>0</v>
      </c>
      <c r="AX39" s="49">
        <f t="shared" si="59"/>
        <v>0</v>
      </c>
      <c r="AY39" s="49">
        <f t="shared" si="60"/>
        <v>0</v>
      </c>
      <c r="AZ39" s="49">
        <f t="shared" si="61"/>
        <v>5.7848395068493151E-14</v>
      </c>
      <c r="BA39" s="49">
        <f t="shared" si="62"/>
        <v>0</v>
      </c>
      <c r="BB39" s="49">
        <f t="shared" si="63"/>
        <v>5.7848395068493151E-14</v>
      </c>
      <c r="BC39" s="60">
        <f>IFERROR(BC11/$B39,0)</f>
        <v>0</v>
      </c>
      <c r="BD39" s="71">
        <f>IFERROR(s_RadSpec!$E$11*BD11,".")*$B$39</f>
        <v>0</v>
      </c>
      <c r="BE39" s="49">
        <f t="shared" si="65"/>
        <v>0</v>
      </c>
    </row>
    <row r="40" spans="1:57" x14ac:dyDescent="0.25">
      <c r="A40" s="48" t="s">
        <v>1085</v>
      </c>
      <c r="B40" s="15">
        <v>1</v>
      </c>
      <c r="C40" s="60">
        <f>IFERROR(C4/$B40,0)</f>
        <v>0</v>
      </c>
      <c r="D40" s="60">
        <f>IFERROR(D4/$B40,0)</f>
        <v>0</v>
      </c>
      <c r="E40" s="60">
        <f>IFERROR(E4/$B40,0)</f>
        <v>269473.34488218557</v>
      </c>
      <c r="F40" s="60">
        <f>IFERROR(F4/$B40,0)</f>
        <v>0</v>
      </c>
      <c r="G40" s="60">
        <f>IFERROR(G4/$B40,0)</f>
        <v>0</v>
      </c>
      <c r="H40" s="60">
        <f t="shared" si="43"/>
        <v>269473.34488218557</v>
      </c>
      <c r="I40" s="71">
        <f>IFERROR(s_RadSpec!$D$4*I4,".")*$B$40</f>
        <v>0</v>
      </c>
      <c r="J40" s="71">
        <f>IFERROR(s_RadSpec!$G$4*J4,".")*B40</f>
        <v>0</v>
      </c>
      <c r="K40" s="71">
        <f>IFERROR(s_RadSpec!$F$4*K4,".")*B40</f>
        <v>1.8554710864579252E-11</v>
      </c>
      <c r="L40" s="71">
        <f>s_b2s!AB40</f>
        <v>0</v>
      </c>
      <c r="M40" s="49">
        <f t="shared" si="44"/>
        <v>0</v>
      </c>
      <c r="N40" s="49">
        <f t="shared" si="45"/>
        <v>0</v>
      </c>
      <c r="O40" s="49">
        <f t="shared" si="46"/>
        <v>1.8554710864579252E-11</v>
      </c>
      <c r="P40" s="49">
        <f t="shared" si="47"/>
        <v>0</v>
      </c>
      <c r="Q40" s="49">
        <f t="shared" si="48"/>
        <v>1.8554710864579252E-11</v>
      </c>
      <c r="R40" s="60">
        <f>IFERROR(R4/$B40,0)</f>
        <v>269473.34488218557</v>
      </c>
      <c r="S40" s="60">
        <f>IFERROR(S4/$B40,0)</f>
        <v>1900191.0616849218</v>
      </c>
      <c r="T40" s="60">
        <f>IFERROR(T4/$B40,0)</f>
        <v>495514.25017653225</v>
      </c>
      <c r="U40" s="60">
        <f>IFERROR(U4/$B40,0)</f>
        <v>293680.57498548547</v>
      </c>
      <c r="V40" s="60">
        <f>IFERROR(V4/$B40,0)</f>
        <v>3578612.7322702296</v>
      </c>
      <c r="W40" s="71">
        <f>IFERROR(s_RadSpec!$F$4*W4,".")*$B$40</f>
        <v>1.8554710864579252E-11</v>
      </c>
      <c r="X40" s="71">
        <f>IFERROR(s_RadSpec!$M$4*X4,".")*$B$40</f>
        <v>2.6313143456039839E-12</v>
      </c>
      <c r="Y40" s="71">
        <f>IFERROR(s_RadSpec!$N$4*Y4,".")*$B$40</f>
        <v>1.0090527160861059E-11</v>
      </c>
      <c r="Z40" s="71">
        <f>IFERROR(s_RadSpec!$O$4*Z4,".")*$B$40</f>
        <v>1.7025300363318595E-11</v>
      </c>
      <c r="AA40" s="71">
        <f>IFERROR(s_RadSpec!$K$4*AA4,".")*$B$40</f>
        <v>1.3971894625289781E-12</v>
      </c>
      <c r="AB40" s="49">
        <f t="shared" si="50"/>
        <v>1.8554710864579252E-11</v>
      </c>
      <c r="AC40" s="49">
        <f t="shared" si="51"/>
        <v>2.6313143456039839E-12</v>
      </c>
      <c r="AD40" s="49">
        <f t="shared" si="52"/>
        <v>1.0090527160861059E-11</v>
      </c>
      <c r="AE40" s="49">
        <f t="shared" si="53"/>
        <v>1.7025300363318595E-11</v>
      </c>
      <c r="AF40" s="49">
        <f t="shared" si="54"/>
        <v>1.3971894625289781E-12</v>
      </c>
      <c r="AG40" s="60">
        <f>IFERROR(AG4/$B40,0)</f>
        <v>0</v>
      </c>
      <c r="AH40" s="60">
        <f>IFERROR(AH4/$B40,0)</f>
        <v>8974125.4768813383</v>
      </c>
      <c r="AI40" s="60">
        <f t="shared" ref="AI40:AI44" si="67">IFERROR(IF(AND(AG40&lt;&gt;0,AH40&lt;&gt;0),1/((1/AG40)+(1/AH40)),IF(AND(AG40&lt;&gt;0,AH40=0),1/((1/AG40)),IF(AND(AG40=0,AH40&lt;&gt;0),1/((1/AH40)),IF(AND(AG40=".",AH40="."),".")))),".")</f>
        <v>8974125.4768813383</v>
      </c>
      <c r="AJ40" s="71">
        <f>IFERROR(s_RadSpec!$G$4*AJ4,".")*$B$40</f>
        <v>0</v>
      </c>
      <c r="AK40" s="71">
        <f>IFERROR(s_RadSpec!$J$4*AK4,".")*$B$40</f>
        <v>5.5715735342465749E-13</v>
      </c>
      <c r="AL40" s="49">
        <f t="shared" si="55"/>
        <v>0</v>
      </c>
      <c r="AM40" s="49">
        <f t="shared" si="56"/>
        <v>5.5715735342465749E-13</v>
      </c>
      <c r="AN40" s="49">
        <f t="shared" si="57"/>
        <v>5.5715735342465749E-13</v>
      </c>
      <c r="AO40" s="60">
        <f>IFERROR(AO4/$B40,0)</f>
        <v>0</v>
      </c>
      <c r="AP40" s="60">
        <f>IFERROR(AP4/$B40,0)</f>
        <v>0</v>
      </c>
      <c r="AQ40" s="60">
        <f>IFERROR(AQ4/$B40,0)</f>
        <v>10249137839.716942</v>
      </c>
      <c r="AR40" s="60">
        <f>IFERROR(AR4/$B40,0)</f>
        <v>0</v>
      </c>
      <c r="AS40" s="60">
        <f t="shared" si="41"/>
        <v>10249137839.716942</v>
      </c>
      <c r="AT40" s="71">
        <f>IFERROR(s_RadSpec!$H$4*AT4,".")*$B$40</f>
        <v>0</v>
      </c>
      <c r="AU40" s="71">
        <f>IFERROR(s_RadSpec!$G$4*AU4,".")*$B$40</f>
        <v>0</v>
      </c>
      <c r="AV40" s="71">
        <f>IFERROR(s_RadSpec!$L$4*AV4,".")*$B$40</f>
        <v>4.8784591232876707E-16</v>
      </c>
      <c r="AW40" s="71">
        <f>s_b2w!AB40</f>
        <v>0</v>
      </c>
      <c r="AX40" s="49">
        <f t="shared" si="59"/>
        <v>0</v>
      </c>
      <c r="AY40" s="49">
        <f t="shared" si="60"/>
        <v>0</v>
      </c>
      <c r="AZ40" s="49">
        <f t="shared" si="61"/>
        <v>4.8784591232876707E-16</v>
      </c>
      <c r="BA40" s="49">
        <f t="shared" si="62"/>
        <v>0</v>
      </c>
      <c r="BB40" s="49">
        <f t="shared" si="63"/>
        <v>4.8784591232876707E-16</v>
      </c>
      <c r="BC40" s="60">
        <f>IFERROR(BC4/$B40,0)</f>
        <v>0</v>
      </c>
      <c r="BD40" s="71">
        <f>IFERROR(s_RadSpec!$E$4*BD4,".")*$B$40</f>
        <v>0</v>
      </c>
      <c r="BE40" s="49">
        <f t="shared" si="65"/>
        <v>0</v>
      </c>
    </row>
    <row r="41" spans="1:57" x14ac:dyDescent="0.25">
      <c r="A41" s="48" t="s">
        <v>1086</v>
      </c>
      <c r="B41" s="50">
        <v>0.99987999999999999</v>
      </c>
      <c r="C41" s="60">
        <f>IFERROR(C8/$B41,0)</f>
        <v>152627.16352064465</v>
      </c>
      <c r="D41" s="60">
        <f>IFERROR(D8/$B41,0)</f>
        <v>22968911.424684525</v>
      </c>
      <c r="E41" s="60">
        <f>IFERROR(E8/$B41,0)</f>
        <v>297.16506429781657</v>
      </c>
      <c r="F41" s="60">
        <f>IFERROR(F8/$B41,0)</f>
        <v>1115.9895239031648</v>
      </c>
      <c r="G41" s="60">
        <f>IFERROR(G8/$B41,0)</f>
        <v>126.6648109630092</v>
      </c>
      <c r="H41" s="60">
        <f t="shared" si="43"/>
        <v>234.31307196644406</v>
      </c>
      <c r="I41" s="71">
        <f>IFERROR(s_RadSpec!$D$8*I8,".")*$B$41</f>
        <v>3.2759568379999996E-11</v>
      </c>
      <c r="J41" s="71">
        <f>IFERROR(s_RadSpec!$G$8*J8,".")*B41</f>
        <v>2.1768554493298864E-13</v>
      </c>
      <c r="K41" s="71">
        <f>IFERROR(s_RadSpec!$F$8*K8,".")*B41</f>
        <v>1.6825665600412019E-8</v>
      </c>
      <c r="L41" s="71">
        <f>s_b2s!AB41</f>
        <v>4.4814042685122214E-9</v>
      </c>
      <c r="M41" s="49">
        <f t="shared" si="44"/>
        <v>3.2759568379999996E-11</v>
      </c>
      <c r="N41" s="49">
        <f t="shared" si="45"/>
        <v>2.1768554493298864E-13</v>
      </c>
      <c r="O41" s="49">
        <f t="shared" si="46"/>
        <v>1.6825665600412019E-8</v>
      </c>
      <c r="P41" s="49">
        <f t="shared" si="47"/>
        <v>4.4814042685122214E-9</v>
      </c>
      <c r="Q41" s="49">
        <f t="shared" si="48"/>
        <v>2.1340047122849175E-8</v>
      </c>
      <c r="R41" s="60">
        <f>IFERROR(R8/$B41,0)</f>
        <v>297.16506429781657</v>
      </c>
      <c r="S41" s="60">
        <f>IFERROR(S8/$B41,0)</f>
        <v>2516.4704309364561</v>
      </c>
      <c r="T41" s="60">
        <f>IFERROR(T8/$B41,0)</f>
        <v>657.48705223377647</v>
      </c>
      <c r="U41" s="60">
        <f>IFERROR(U8/$B41,0)</f>
        <v>398.47843795407914</v>
      </c>
      <c r="V41" s="60">
        <f>IFERROR(V8/$B41,0)</f>
        <v>4563.1402477716847</v>
      </c>
      <c r="W41" s="71">
        <f>IFERROR(s_RadSpec!$F$8*W8,".")*$B$41</f>
        <v>1.6825665600412019E-8</v>
      </c>
      <c r="X41" s="71">
        <f>IFERROR(s_RadSpec!$M$8*X8,".")*$B$41</f>
        <v>1.9869098951181977E-9</v>
      </c>
      <c r="Y41" s="71">
        <f>IFERROR(s_RadSpec!$N$8*Y8,".")*$B$41</f>
        <v>7.6047124928358237E-9</v>
      </c>
      <c r="Z41" s="71">
        <f>IFERROR(s_RadSpec!$O$8*Z8,".")*$B$41</f>
        <v>1.2547730375755493E-8</v>
      </c>
      <c r="AA41" s="71">
        <f>IFERROR(s_RadSpec!$K$8*AA8,".")*$B$41</f>
        <v>1.0957366481211367E-9</v>
      </c>
      <c r="AB41" s="49">
        <f t="shared" si="50"/>
        <v>1.6825665600412019E-8</v>
      </c>
      <c r="AC41" s="49">
        <f t="shared" si="51"/>
        <v>1.9869098951181977E-9</v>
      </c>
      <c r="AD41" s="49">
        <f t="shared" si="52"/>
        <v>7.6047124928358237E-9</v>
      </c>
      <c r="AE41" s="49">
        <f t="shared" si="53"/>
        <v>1.2547730375755493E-8</v>
      </c>
      <c r="AF41" s="49">
        <f t="shared" si="54"/>
        <v>1.0957366481211367E-9</v>
      </c>
      <c r="AG41" s="60">
        <f>IFERROR(AG8/$B41,0)</f>
        <v>74.140170951788335</v>
      </c>
      <c r="AH41" s="60">
        <f>IFERROR(AH8/$B41,0)</f>
        <v>16454.537918832713</v>
      </c>
      <c r="AI41" s="60">
        <f t="shared" si="67"/>
        <v>73.80761169212451</v>
      </c>
      <c r="AJ41" s="71">
        <f>IFERROR(s_RadSpec!$G$8*AJ8,".")*$B$41</f>
        <v>6.7439822916666656E-8</v>
      </c>
      <c r="AK41" s="71">
        <f>IFERROR(s_RadSpec!$J$8*AK8,".")*$B$41</f>
        <v>3.0386754247758896E-10</v>
      </c>
      <c r="AL41" s="49">
        <f t="shared" si="55"/>
        <v>6.7439822916666656E-8</v>
      </c>
      <c r="AM41" s="49">
        <f t="shared" si="56"/>
        <v>3.0386754247758896E-10</v>
      </c>
      <c r="AN41" s="49">
        <f t="shared" si="57"/>
        <v>6.7743690459144243E-8</v>
      </c>
      <c r="AO41" s="60">
        <f>IFERROR(AO8/$B41,0)</f>
        <v>3946.0249137965207</v>
      </c>
      <c r="AP41" s="60">
        <f>IFERROR(AP8/$B41,0)</f>
        <v>0</v>
      </c>
      <c r="AQ41" s="60">
        <f>IFERROR(AQ8/$B41,0)</f>
        <v>18947649.724716462</v>
      </c>
      <c r="AR41" s="60">
        <f>IFERROR(AR8/$B41,0)</f>
        <v>4012.5856345501461</v>
      </c>
      <c r="AS41" s="60">
        <f t="shared" si="41"/>
        <v>1989.3045912203768</v>
      </c>
      <c r="AT41" s="71">
        <f>IFERROR(s_RadSpec!$H$8*AT8,".")*$B$41</f>
        <v>1.26709793E-9</v>
      </c>
      <c r="AU41" s="71">
        <f>IFERROR(s_RadSpec!$G$8*AU8,".")*$B$41</f>
        <v>3.3719911458333328E-8</v>
      </c>
      <c r="AV41" s="71">
        <f>IFERROR(s_RadSpec!$L$8*AV8,".")*$B$41</f>
        <v>2.6388497109895885E-13</v>
      </c>
      <c r="AW41" s="71">
        <f>s_b2w!AB41</f>
        <v>1.2463784381252845E-9</v>
      </c>
      <c r="AX41" s="49">
        <f t="shared" si="59"/>
        <v>1.26709793E-9</v>
      </c>
      <c r="AY41" s="49">
        <f t="shared" si="60"/>
        <v>0</v>
      </c>
      <c r="AZ41" s="49">
        <f t="shared" si="61"/>
        <v>2.6388497109895885E-13</v>
      </c>
      <c r="BA41" s="49">
        <f t="shared" si="62"/>
        <v>1.2463784381252845E-9</v>
      </c>
      <c r="BB41" s="49">
        <f t="shared" si="63"/>
        <v>3.6233651711429706E-8</v>
      </c>
      <c r="BC41" s="60">
        <f>IFERROR(BC8/$B41,0)</f>
        <v>506.6592438520367</v>
      </c>
      <c r="BD41" s="71">
        <f>IFERROR(s_RadSpec!$E$8*BD8,".")*$B$41</f>
        <v>9.8685656299999989E-9</v>
      </c>
      <c r="BE41" s="49">
        <f t="shared" si="65"/>
        <v>9.8685656299999989E-9</v>
      </c>
    </row>
    <row r="42" spans="1:57" x14ac:dyDescent="0.25">
      <c r="A42" s="48" t="s">
        <v>1087</v>
      </c>
      <c r="B42" s="15">
        <v>0.97898250799999997</v>
      </c>
      <c r="C42" s="60">
        <f>IFERROR(C19/$B42,0)</f>
        <v>0</v>
      </c>
      <c r="D42" s="60">
        <f>IFERROR(D19/$B42,0)</f>
        <v>0</v>
      </c>
      <c r="E42" s="60">
        <f>IFERROR(E19/$B42,0)</f>
        <v>660131.58110091288</v>
      </c>
      <c r="F42" s="60">
        <f>IFERROR(F19/$B42,0)</f>
        <v>0</v>
      </c>
      <c r="G42" s="60">
        <f>IFERROR(G19/$B42,0)</f>
        <v>0</v>
      </c>
      <c r="H42" s="60">
        <f t="shared" si="43"/>
        <v>660131.58110091288</v>
      </c>
      <c r="I42" s="72">
        <f>IFERROR(s_RadSpec!$D$19*I19,".")*$B$42</f>
        <v>0</v>
      </c>
      <c r="J42" s="72">
        <f>IFERROR(s_RadSpec!$G$19*J19,".")*B42</f>
        <v>0</v>
      </c>
      <c r="K42" s="72">
        <f>IFERROR(s_RadSpec!$F$19*K19,".")*B42</f>
        <v>7.5742475335923351E-12</v>
      </c>
      <c r="L42" s="71">
        <f>s_b2s!AB42</f>
        <v>0</v>
      </c>
      <c r="M42" s="49">
        <f t="shared" si="44"/>
        <v>0</v>
      </c>
      <c r="N42" s="49">
        <f t="shared" si="45"/>
        <v>0</v>
      </c>
      <c r="O42" s="49">
        <f t="shared" si="46"/>
        <v>7.5742475335923351E-12</v>
      </c>
      <c r="P42" s="49">
        <f t="shared" si="47"/>
        <v>0</v>
      </c>
      <c r="Q42" s="49">
        <f t="shared" si="48"/>
        <v>7.5742475335923351E-12</v>
      </c>
      <c r="R42" s="60">
        <f>IFERROR(R19/$B42,0)</f>
        <v>660131.58110091288</v>
      </c>
      <c r="S42" s="60">
        <f>IFERROR(S19/$B42,0)</f>
        <v>6546536.7302085981</v>
      </c>
      <c r="T42" s="60">
        <f>IFERROR(T19/$B42,0)</f>
        <v>1611401.1786127281</v>
      </c>
      <c r="U42" s="60">
        <f>IFERROR(U19/$B42,0)</f>
        <v>862999.44642438157</v>
      </c>
      <c r="V42" s="60">
        <f>IFERROR(V19/$B42,0)</f>
        <v>11586464.082525684</v>
      </c>
      <c r="W42" s="72">
        <f>IFERROR(s_RadSpec!$F$19*W19,".")*$B$42</f>
        <v>7.5742475335923351E-12</v>
      </c>
      <c r="X42" s="72">
        <f>IFERROR(s_RadSpec!$M$19*X19,".")*$B$42</f>
        <v>7.6376261312761013E-13</v>
      </c>
      <c r="Y42" s="72">
        <f>IFERROR(s_RadSpec!$N$19*Y19,".")*$B$42</f>
        <v>3.1028896257259484E-12</v>
      </c>
      <c r="Z42" s="72">
        <f>IFERROR(s_RadSpec!$O$19*Z19,".")*$B$42</f>
        <v>5.7937464742488833E-12</v>
      </c>
      <c r="AA42" s="72">
        <f>IFERROR(s_RadSpec!$K$19*AA19,".")*$B$42</f>
        <v>4.3153803993927982E-13</v>
      </c>
      <c r="AB42" s="49">
        <f t="shared" si="50"/>
        <v>7.5742475335923351E-12</v>
      </c>
      <c r="AC42" s="49">
        <f t="shared" si="51"/>
        <v>7.6376261312761013E-13</v>
      </c>
      <c r="AD42" s="49">
        <f t="shared" si="52"/>
        <v>3.1028896257259484E-12</v>
      </c>
      <c r="AE42" s="49">
        <f t="shared" si="53"/>
        <v>5.7937464742488833E-12</v>
      </c>
      <c r="AF42" s="49">
        <f t="shared" si="54"/>
        <v>4.3153803993927982E-13</v>
      </c>
      <c r="AG42" s="60">
        <f>IFERROR(AG19/$B42,0)</f>
        <v>0</v>
      </c>
      <c r="AH42" s="60">
        <f>IFERROR(AH19/$B42,0)</f>
        <v>55532138.291655883</v>
      </c>
      <c r="AI42" s="60">
        <f t="shared" si="67"/>
        <v>55532138.291655883</v>
      </c>
      <c r="AJ42" s="72">
        <f>IFERROR(s_RadSpec!$G$19*AJ19,".")*$B$42</f>
        <v>0</v>
      </c>
      <c r="AK42" s="72">
        <f>IFERROR(s_RadSpec!$J$19*AK19,".")*$B$42</f>
        <v>9.0037951964678561E-14</v>
      </c>
      <c r="AL42" s="49">
        <f t="shared" si="55"/>
        <v>0</v>
      </c>
      <c r="AM42" s="49">
        <f t="shared" si="56"/>
        <v>9.0037951964678561E-14</v>
      </c>
      <c r="AN42" s="49">
        <f t="shared" si="57"/>
        <v>9.0037951964678561E-14</v>
      </c>
      <c r="AO42" s="60">
        <f>IFERROR(AO19/$B42,0)</f>
        <v>0</v>
      </c>
      <c r="AP42" s="60">
        <f>IFERROR(AP19/$B42,0)</f>
        <v>0</v>
      </c>
      <c r="AQ42" s="60">
        <f>IFERROR(AQ19/$B42,0)</f>
        <v>64075544182.679863</v>
      </c>
      <c r="AR42" s="60">
        <f>IFERROR(AR19/$B42,0)</f>
        <v>0</v>
      </c>
      <c r="AS42" s="60">
        <f t="shared" si="41"/>
        <v>64075544182.679855</v>
      </c>
      <c r="AT42" s="72">
        <f>IFERROR(s_RadSpec!$H$19*AT19,".")*$B$42</f>
        <v>0</v>
      </c>
      <c r="AU42" s="72">
        <f>IFERROR(s_RadSpec!$G$19*AU19,".")*$B$42</f>
        <v>0</v>
      </c>
      <c r="AV42" s="72">
        <f>IFERROR(s_RadSpec!$L$19*AV19,".")*$B$42</f>
        <v>7.8032891702721411E-17</v>
      </c>
      <c r="AW42" s="71">
        <f>s_b2w!AB42</f>
        <v>0</v>
      </c>
      <c r="AX42" s="49">
        <f t="shared" si="59"/>
        <v>0</v>
      </c>
      <c r="AY42" s="49">
        <f t="shared" si="60"/>
        <v>0</v>
      </c>
      <c r="AZ42" s="49">
        <f t="shared" si="61"/>
        <v>7.8032891702721411E-17</v>
      </c>
      <c r="BA42" s="49">
        <f t="shared" si="62"/>
        <v>0</v>
      </c>
      <c r="BB42" s="49">
        <f t="shared" si="63"/>
        <v>7.8032891702721411E-17</v>
      </c>
      <c r="BC42" s="60">
        <f>IFERROR(BC19/$B42,0)</f>
        <v>0</v>
      </c>
      <c r="BD42" s="72">
        <f>IFERROR(s_RadSpec!$E$19*BD19,".")*$B$42</f>
        <v>0</v>
      </c>
      <c r="BE42" s="49">
        <f t="shared" si="65"/>
        <v>0</v>
      </c>
    </row>
    <row r="43" spans="1:57" x14ac:dyDescent="0.25">
      <c r="A43" s="48" t="s">
        <v>1088</v>
      </c>
      <c r="B43" s="15">
        <v>2.0897492E-2</v>
      </c>
      <c r="C43" s="60">
        <f>IFERROR(C28/$B43,0)</f>
        <v>0</v>
      </c>
      <c r="D43" s="60">
        <f>IFERROR(D28/$B43,0)</f>
        <v>0</v>
      </c>
      <c r="E43" s="60">
        <f>IFERROR(E28/$B43,0)</f>
        <v>368.48110061739538</v>
      </c>
      <c r="F43" s="60">
        <f>IFERROR(F28/$B43,0)</f>
        <v>0</v>
      </c>
      <c r="G43" s="60">
        <f>IFERROR(G28/$B43,0)</f>
        <v>0</v>
      </c>
      <c r="H43" s="60">
        <f t="shared" si="43"/>
        <v>368.48110061739544</v>
      </c>
      <c r="I43" s="72">
        <f>IFERROR(s_RadSpec!D28*I28,".")*$B$43</f>
        <v>0</v>
      </c>
      <c r="J43" s="72">
        <f>IFERROR(s_RadSpec!E28*J28,".")*B43</f>
        <v>0</v>
      </c>
      <c r="K43" s="72">
        <f>IFERROR(s_RadSpec!F28*K28,".")*B43</f>
        <v>1.3569216960170896E-8</v>
      </c>
      <c r="L43" s="71">
        <f>s_b2s!AB43</f>
        <v>0</v>
      </c>
      <c r="M43" s="49">
        <f t="shared" si="44"/>
        <v>0</v>
      </c>
      <c r="N43" s="49">
        <f t="shared" si="45"/>
        <v>0</v>
      </c>
      <c r="O43" s="49">
        <f t="shared" si="46"/>
        <v>1.3569216960170896E-8</v>
      </c>
      <c r="P43" s="49">
        <f t="shared" si="47"/>
        <v>0</v>
      </c>
      <c r="Q43" s="49">
        <f t="shared" si="48"/>
        <v>1.3569216960170896E-8</v>
      </c>
      <c r="R43" s="60">
        <f>IFERROR(R28/$B43,0)</f>
        <v>368.48110061739538</v>
      </c>
      <c r="S43" s="60">
        <f>IFERROR(S28/$B43,0)</f>
        <v>4450.665763245348</v>
      </c>
      <c r="T43" s="60">
        <f>IFERROR(T28/$B43,0)</f>
        <v>1075.7160573015294</v>
      </c>
      <c r="U43" s="60">
        <f>IFERROR(U28/$B43,0)</f>
        <v>585.2823417289826</v>
      </c>
      <c r="V43" s="60">
        <f>IFERROR(V28/$B43,0)</f>
        <v>8030.7884200042145</v>
      </c>
      <c r="W43" s="72">
        <f>IFERROR(s_RadSpec!$F$28*W28,".")*$B$43</f>
        <v>1.3569216960170896E-8</v>
      </c>
      <c r="X43" s="72">
        <f>IFERROR(s_RadSpec!$M$28*X28,".")*$B$43</f>
        <v>1.1234274299569254E-9</v>
      </c>
      <c r="Y43" s="72">
        <f>IFERROR(s_RadSpec!$N$28*Y28,".")*$B$43</f>
        <v>4.6480667143174106E-9</v>
      </c>
      <c r="Z43" s="72">
        <f>IFERROR(s_RadSpec!$O$28*Z28,".")*$B$43</f>
        <v>8.5428854477814932E-9</v>
      </c>
      <c r="AA43" s="72">
        <f>IFERROR(s_RadSpec!$K$28*AA28,".")*$B$43</f>
        <v>6.2260387629504699E-10</v>
      </c>
      <c r="AB43" s="49">
        <f t="shared" si="50"/>
        <v>1.3569216960170896E-8</v>
      </c>
      <c r="AC43" s="49">
        <f t="shared" si="51"/>
        <v>1.1234274299569254E-9</v>
      </c>
      <c r="AD43" s="49">
        <f t="shared" si="52"/>
        <v>4.6480667143174106E-9</v>
      </c>
      <c r="AE43" s="49">
        <f t="shared" si="53"/>
        <v>8.5428854477814932E-9</v>
      </c>
      <c r="AF43" s="49">
        <f t="shared" si="54"/>
        <v>6.2260387629504699E-10</v>
      </c>
      <c r="AG43" s="60">
        <f>IFERROR(AG28/$B43,0)</f>
        <v>0</v>
      </c>
      <c r="AH43" s="60">
        <f>IFERROR(AH28/$B43,0)</f>
        <v>43781.475615519434</v>
      </c>
      <c r="AI43" s="60">
        <f t="shared" si="67"/>
        <v>43781.475615519434</v>
      </c>
      <c r="AJ43" s="72">
        <f>IFERROR(s_RadSpec!$G$28*AJ28,".")*$B$43</f>
        <v>0</v>
      </c>
      <c r="AK43" s="72">
        <f>IFERROR(s_RadSpec!$J$28*AK28,".")*$B$43</f>
        <v>1.1420355138116053E-10</v>
      </c>
      <c r="AL43" s="49">
        <f t="shared" si="55"/>
        <v>0</v>
      </c>
      <c r="AM43" s="49">
        <f t="shared" si="56"/>
        <v>1.1420355138116053E-10</v>
      </c>
      <c r="AN43" s="49">
        <f t="shared" si="57"/>
        <v>1.1420355138116053E-10</v>
      </c>
      <c r="AO43" s="60">
        <f>IFERROR(AO28/$B43,0)</f>
        <v>0</v>
      </c>
      <c r="AP43" s="60">
        <f>IFERROR(AP28/$B43,0)</f>
        <v>0</v>
      </c>
      <c r="AQ43" s="60">
        <f>IFERROR(AQ28/$B43,0)</f>
        <v>50422485.961693719</v>
      </c>
      <c r="AR43" s="60">
        <f>IFERROR(AR28/$B43,0)</f>
        <v>0</v>
      </c>
      <c r="AS43" s="60">
        <f t="shared" si="41"/>
        <v>50422485.961693719</v>
      </c>
      <c r="AT43" s="72">
        <f>IFERROR(s_RadSpec!$H$28*AT28,".")*$B$43</f>
        <v>0</v>
      </c>
      <c r="AU43" s="72">
        <f>IFERROR(s_RadSpec!$G$28*AU28,".")*$B$43</f>
        <v>0</v>
      </c>
      <c r="AV43" s="72">
        <f>IFERROR(s_RadSpec!$L$28*AV28,".")*$B$43</f>
        <v>9.9162108028519887E-14</v>
      </c>
      <c r="AW43" s="71">
        <f>s_b2w!AB43</f>
        <v>0</v>
      </c>
      <c r="AX43" s="49">
        <f t="shared" si="59"/>
        <v>0</v>
      </c>
      <c r="AY43" s="49">
        <f t="shared" si="60"/>
        <v>0</v>
      </c>
      <c r="AZ43" s="49">
        <f t="shared" si="61"/>
        <v>9.9162108028519887E-14</v>
      </c>
      <c r="BA43" s="49">
        <f t="shared" si="62"/>
        <v>0</v>
      </c>
      <c r="BB43" s="49">
        <f t="shared" si="63"/>
        <v>9.9162108028519887E-14</v>
      </c>
      <c r="BC43" s="60">
        <f>IFERROR(BC28/$B43,0)</f>
        <v>0</v>
      </c>
      <c r="BD43" s="72">
        <f>IFERROR(s_RadSpec!$E$28*BD28,".")*$B$43</f>
        <v>0</v>
      </c>
      <c r="BE43" s="49">
        <f t="shared" si="65"/>
        <v>0</v>
      </c>
    </row>
    <row r="44" spans="1:57" x14ac:dyDescent="0.25">
      <c r="A44" s="48" t="s">
        <v>1089</v>
      </c>
      <c r="B44" s="15">
        <v>0.99987999999999999</v>
      </c>
      <c r="C44" s="60">
        <f>IFERROR(C15/$B44,0)</f>
        <v>290804.41806892055</v>
      </c>
      <c r="D44" s="60">
        <f>IFERROR(D15/$B44,0)</f>
        <v>8173989830.8485861</v>
      </c>
      <c r="E44" s="60">
        <f>IFERROR(E15/$B44,0)</f>
        <v>0</v>
      </c>
      <c r="F44" s="60">
        <f>IFERROR(F15/$B44,0)</f>
        <v>6719.2888004824044</v>
      </c>
      <c r="G44" s="60">
        <f>IFERROR(G15/$B44,0)</f>
        <v>260.85958945672814</v>
      </c>
      <c r="H44" s="60">
        <f t="shared" si="43"/>
        <v>6567.5348026787788</v>
      </c>
      <c r="I44" s="71">
        <f>IFERROR(s_RadSpec!$D$15*I15,".")*$B$44</f>
        <v>1.7193686509999999E-11</v>
      </c>
      <c r="J44" s="71">
        <f>IFERROR(s_RadSpec!$G$15*J15,".")*B44</f>
        <v>6.1169638126169814E-16</v>
      </c>
      <c r="K44" s="71">
        <f>IFERROR(s_RadSpec!$F$15*K15,".")*B44</f>
        <v>0</v>
      </c>
      <c r="L44" s="71">
        <f>s_b2s!AB44</f>
        <v>7.4430499484938181E-10</v>
      </c>
      <c r="M44" s="49">
        <f t="shared" si="44"/>
        <v>1.7193686509999999E-11</v>
      </c>
      <c r="N44" s="49">
        <f t="shared" si="45"/>
        <v>6.1169638126169814E-16</v>
      </c>
      <c r="O44" s="49">
        <f t="shared" si="46"/>
        <v>0</v>
      </c>
      <c r="P44" s="49">
        <f t="shared" si="47"/>
        <v>7.4430499484938181E-10</v>
      </c>
      <c r="Q44" s="49">
        <f t="shared" si="48"/>
        <v>7.6149929305576302E-10</v>
      </c>
      <c r="R44" s="60">
        <f>IFERROR(R15/$B44,0)</f>
        <v>0</v>
      </c>
      <c r="S44" s="60">
        <f>IFERROR(S15/$B44,0)</f>
        <v>0</v>
      </c>
      <c r="T44" s="60">
        <f>IFERROR(T15/$B44,0)</f>
        <v>0</v>
      </c>
      <c r="U44" s="60">
        <f>IFERROR(U15/$B44,0)</f>
        <v>0</v>
      </c>
      <c r="V44" s="60">
        <f>IFERROR(V15/$B44,0)</f>
        <v>0</v>
      </c>
      <c r="W44" s="71">
        <f>IFERROR(s_RadSpec!$F$15*W15,".")*$B$44</f>
        <v>0</v>
      </c>
      <c r="X44" s="71">
        <f>IFERROR(s_RadSpec!$M$15*X15,".")*$B$44</f>
        <v>0</v>
      </c>
      <c r="Y44" s="71">
        <f>IFERROR(s_RadSpec!$N$15*Y15,".")*$B$44</f>
        <v>0</v>
      </c>
      <c r="Z44" s="71">
        <f>IFERROR(s_RadSpec!$O$15*Z15,".")*$B$44</f>
        <v>0</v>
      </c>
      <c r="AA44" s="71">
        <f>IFERROR(s_RadSpec!$K$15*AA15,".")*$B$44</f>
        <v>0</v>
      </c>
      <c r="AB44" s="49">
        <f t="shared" si="50"/>
        <v>0</v>
      </c>
      <c r="AC44" s="49">
        <f t="shared" si="51"/>
        <v>0</v>
      </c>
      <c r="AD44" s="49">
        <f t="shared" si="52"/>
        <v>0</v>
      </c>
      <c r="AE44" s="49">
        <f t="shared" si="53"/>
        <v>0</v>
      </c>
      <c r="AF44" s="49">
        <f t="shared" si="54"/>
        <v>0</v>
      </c>
      <c r="AG44" s="60">
        <f>IFERROR(AG15/$B44,0)</f>
        <v>26384.402473946033</v>
      </c>
      <c r="AH44" s="60">
        <f>IFERROR(AH15/$B44,0)</f>
        <v>5139225.5417724084</v>
      </c>
      <c r="AI44" s="60">
        <f t="shared" si="67"/>
        <v>26249.638776837517</v>
      </c>
      <c r="AJ44" s="71">
        <f>IFERROR(s_RadSpec!$G$15*AJ15,".")*$B$44</f>
        <v>1.8950590239583332E-10</v>
      </c>
      <c r="AK44" s="71">
        <f>IFERROR(s_RadSpec!$J$15*AK15,".")*$B$44</f>
        <v>9.7290923687999976E-13</v>
      </c>
      <c r="AL44" s="49">
        <f t="shared" si="55"/>
        <v>1.8950590239583332E-10</v>
      </c>
      <c r="AM44" s="49">
        <f t="shared" si="56"/>
        <v>9.7290923687999976E-13</v>
      </c>
      <c r="AN44" s="49">
        <f t="shared" si="57"/>
        <v>1.9047881163271334E-10</v>
      </c>
      <c r="AO44" s="60">
        <f>IFERROR(AO15/$B44,0)</f>
        <v>8304.2306173598045</v>
      </c>
      <c r="AP44" s="60">
        <f>IFERROR(AP15/$B44,0)</f>
        <v>0</v>
      </c>
      <c r="AQ44" s="60">
        <f>IFERROR(AQ15/$B44,0)</f>
        <v>9426217702.2458782</v>
      </c>
      <c r="AR44" s="60">
        <f>IFERROR(AR15/$B44,0)</f>
        <v>15593.809279555</v>
      </c>
      <c r="AS44" s="60">
        <f t="shared" si="41"/>
        <v>5418.6248989316791</v>
      </c>
      <c r="AT44" s="71">
        <f>IFERROR(s_RadSpec!$H$15*AT15,".")*$B$44</f>
        <v>6.0210273900000008E-10</v>
      </c>
      <c r="AU44" s="71">
        <f>IFERROR(s_RadSpec!$G$15*AU15,".")*$B$44</f>
        <v>9.4752951197916662E-11</v>
      </c>
      <c r="AV44" s="71">
        <f>IFERROR(s_RadSpec!$L$15*AV15,".")*$B$44</f>
        <v>5.3043544695649321E-16</v>
      </c>
      <c r="AW44" s="71">
        <f>s_b2w!AB44</f>
        <v>3.2071703112283322E-10</v>
      </c>
      <c r="AX44" s="49">
        <f t="shared" si="59"/>
        <v>6.0210273900000008E-10</v>
      </c>
      <c r="AY44" s="49">
        <f t="shared" si="60"/>
        <v>0</v>
      </c>
      <c r="AZ44" s="49">
        <f t="shared" si="61"/>
        <v>5.3043544695649321E-16</v>
      </c>
      <c r="BA44" s="49">
        <f t="shared" si="62"/>
        <v>3.2071703112283322E-10</v>
      </c>
      <c r="BB44" s="49">
        <f t="shared" si="63"/>
        <v>1.0175732517561969E-9</v>
      </c>
      <c r="BC44" s="60">
        <f>IFERROR(BC15/$B44,0)</f>
        <v>1043.4383578269124</v>
      </c>
      <c r="BD44" s="71">
        <f>IFERROR(s_RadSpec!$E$15*BD15,".")*$B$44</f>
        <v>4.7918499089999998E-9</v>
      </c>
      <c r="BE44" s="49">
        <f t="shared" si="65"/>
        <v>4.7918499089999998E-9</v>
      </c>
    </row>
    <row r="45" spans="1:57" x14ac:dyDescent="0.25">
      <c r="A45" s="57" t="s">
        <v>20</v>
      </c>
      <c r="B45" s="57" t="s">
        <v>1259</v>
      </c>
      <c r="C45" s="58">
        <f>IFERROR(IF(AND(C46&lt;&gt;0,C47&lt;&gt;0),1/SUM(1/C46,1/C47),IF(AND(C46&lt;&gt;0,C47=0),1/(1/C46),IF(AND(C46=0,C47&lt;&gt;0),1/(1/C47),IF(AND(C46=0,C47=0),".")))),".")</f>
        <v>4273.0477513086207</v>
      </c>
      <c r="D45" s="58">
        <f t="shared" ref="D45:G45" si="68">IFERROR(IF(AND(D46&lt;&gt;0,D47&lt;&gt;0),1/SUM(1/D46,1/D47),IF(AND(D46&lt;&gt;0,D47=0),1/(1/D46),IF(AND(D46=0,D47&lt;&gt;0),1/(1/D47),IF(AND(D46=0,D47=0),".")))),".")</f>
        <v>15109312.602179976</v>
      </c>
      <c r="E45" s="58">
        <f t="shared" si="68"/>
        <v>51.150841728595978</v>
      </c>
      <c r="F45" s="58">
        <f t="shared" si="68"/>
        <v>65.075254464052222</v>
      </c>
      <c r="G45" s="58">
        <f t="shared" si="68"/>
        <v>2.4326757000024322</v>
      </c>
      <c r="H45" s="59">
        <f>IFERROR(IF(AND(H46&lt;&gt;0,H47&lt;&gt;0),1/SUM(1/H46,1/H47),IF(AND(H46&lt;&gt;0,H47=0),1/(1/H46),IF(AND(H46=0,H47&lt;&gt;0),1/(1/H47),IF(AND(H46=0,H47=0),".")))),".")</f>
        <v>28.448744681963866</v>
      </c>
      <c r="I45" s="70"/>
      <c r="J45" s="70"/>
      <c r="K45" s="70"/>
      <c r="L45" s="70"/>
      <c r="M45" s="47">
        <f t="shared" ref="M45:O45" si="69">IFERROR(IF(SUM(I46:I47)&gt;0.01,1-EXP(-SUM(I46:I47)),SUM(I46:I47)),".")</f>
        <v>1.170125E-9</v>
      </c>
      <c r="N45" s="47">
        <f t="shared" si="69"/>
        <v>3.3092173890681153E-13</v>
      </c>
      <c r="O45" s="47">
        <f t="shared" si="69"/>
        <v>9.7750102071238089E-8</v>
      </c>
      <c r="P45" s="47">
        <f>IFERROR(IF(SUM(L46:L47)&gt;0.01,1-EXP(-SUM(L46:L47)),SUM(L46:L47)),".")</f>
        <v>7.6834121375000015E-8</v>
      </c>
      <c r="Q45" s="47">
        <f>IFERROR(IF(SUM(I46:L47)&gt;0.01,1-EXP(-SUM(I46:L47)),SUM(I46:L47)),".")</f>
        <v>1.75754679367977E-7</v>
      </c>
      <c r="R45" s="59">
        <f t="shared" ref="R45:V45" si="70">IFERROR(IF(AND(R46&lt;&gt;0,R47&lt;&gt;0),1/SUM(1/R46,1/R47),IF(AND(R46&lt;&gt;0,R47=0),1/(1/R46),IF(AND(R46=0,R47&lt;&gt;0),1/(1/R47),IF(AND(R46=0,R47=0),".")))),".")</f>
        <v>51.150841728595978</v>
      </c>
      <c r="S45" s="59">
        <f t="shared" si="70"/>
        <v>468.39702493943076</v>
      </c>
      <c r="T45" s="59">
        <f t="shared" si="70"/>
        <v>117.38680420182173</v>
      </c>
      <c r="U45" s="59">
        <f t="shared" si="70"/>
        <v>62.605910313377237</v>
      </c>
      <c r="V45" s="59">
        <f t="shared" si="70"/>
        <v>802.99936459560206</v>
      </c>
      <c r="W45" s="70"/>
      <c r="X45" s="70"/>
      <c r="Y45" s="70"/>
      <c r="Z45" s="70"/>
      <c r="AA45" s="70"/>
      <c r="AB45" s="47">
        <f>IFERROR(IF(SUM(W46:W47)&gt;0.01,1-EXP(-SUM(W46:W47)),SUM(W46:W47)),".")</f>
        <v>9.7750102071238089E-8</v>
      </c>
      <c r="AC45" s="47">
        <f t="shared" ref="AC45:AF45" si="71">IFERROR(IF(SUM(X46:X47)&gt;0.01,1-EXP(-SUM(X46:X47)),SUM(X46:X47)),".")</f>
        <v>1.0674704863137334E-8</v>
      </c>
      <c r="AD45" s="47">
        <f t="shared" si="71"/>
        <v>4.2594225424210021E-8</v>
      </c>
      <c r="AE45" s="47">
        <f t="shared" si="71"/>
        <v>7.9864664134300309E-8</v>
      </c>
      <c r="AF45" s="47">
        <f t="shared" si="71"/>
        <v>6.226654989344913E-9</v>
      </c>
      <c r="AG45" s="58">
        <f t="shared" ref="AG45:AH45" si="72">IFERROR(IF(AND(AG46&lt;&gt;0,AG47&lt;&gt;0),1/SUM(1/AG46,1/AG47),IF(AND(AG46&lt;&gt;0,AG47=0),1/(1/AG46),IF(AND(AG46=0,AG47&lt;&gt;0),1/(1/AG47),IF(AND(AG46=0,AG47=0),".")))),".")</f>
        <v>48.770575086364566</v>
      </c>
      <c r="AH45" s="58">
        <f t="shared" si="72"/>
        <v>3676.8957129723635</v>
      </c>
      <c r="AI45" s="59">
        <f t="shared" ref="AI45" si="73">IFERROR(IF(AND(AI46&lt;&gt;0,AI47&lt;&gt;0),1/SUM(1/AI46,1/AI47),IF(AND(AI46&lt;&gt;0,AI47=0),1/(1/AI46),IF(AND(AI46=0,AI47&lt;&gt;0),1/(1/AI47),IF(AND(AI46=0,AI47=0),".")))),".")</f>
        <v>48.132147269606428</v>
      </c>
      <c r="AJ45" s="70"/>
      <c r="AK45" s="70"/>
      <c r="AL45" s="47">
        <f>IFERROR(IF(SUM(AJ46:AJ47)&gt;0.01,1-EXP(-SUM(AJ46:AJ47)),SUM(AJ46:AJ47)),".")</f>
        <v>1.0252083333333332E-7</v>
      </c>
      <c r="AM45" s="47">
        <f>IFERROR(IF(SUM(AK46:AK47)&gt;0.01,1-EXP(-SUM(AK46:AK47)),SUM(AK46:AK47)),".")</f>
        <v>1.3598427560399996E-9</v>
      </c>
      <c r="AN45" s="47">
        <f t="shared" ref="AN45" si="74">IFERROR(IF(SUM(AL46:AL47)&gt;0.01,1-EXP(-SUM(AL46:AL47)),SUM(AL46:AL47)),".")</f>
        <v>1.0252083333333332E-7</v>
      </c>
      <c r="AO45" s="58">
        <f t="shared" ref="AO45:AR45" si="75">IFERROR(IF(AND(AO46&lt;&gt;0,AO47&lt;&gt;0),1/SUM(1/AO46,1/AO47),IF(AND(AO46&lt;&gt;0,AO47=0),1/(1/AO46),IF(AND(AO46=0,AO47&lt;&gt;0),1/(1/AO47),IF(AND(AO46=0,AO47=0),".")))),".")</f>
        <v>65.599580162686948</v>
      </c>
      <c r="AP45" s="58">
        <f>IFERROR(IF(AND(AP46&lt;&gt;0,AP47&lt;&gt;0),1/SUM(1/AP46,1/AP47),IF(AND(AP46&lt;&gt;0,AP47=0),1/(1/AP46),IF(AND(AP46=0,AP47&lt;&gt;0),1/(1/AP47),IF(AND(AP46=0,AP47=0),0)))),0)</f>
        <v>0</v>
      </c>
      <c r="AQ45" s="58">
        <f t="shared" si="75"/>
        <v>4243619.8704233496</v>
      </c>
      <c r="AR45" s="58">
        <f t="shared" si="75"/>
        <v>147.95247322402815</v>
      </c>
      <c r="AS45" s="59">
        <f t="shared" ref="AS45" si="76">IFERROR(IF(AND(AS46&lt;&gt;0,AS47&lt;&gt;0),1/SUM(1/AS46,1/AS47),IF(AND(AS46&lt;&gt;0,AS47=0),1/(1/AS46),IF(AND(AS46=0,AS47&lt;&gt;0),1/(1/AS47),IF(AND(AS46=0,AS47=0),".")))),".")</f>
        <v>45.448011522545649</v>
      </c>
      <c r="AT45" s="70"/>
      <c r="AU45" s="70"/>
      <c r="AV45" s="70"/>
      <c r="AW45" s="70"/>
      <c r="AX45" s="47">
        <f>IFERROR(IF(SUM(AT46:AT47)&gt;0.01,1-EXP(-SUM(AT46:AT47)),SUM(AT46:AT47)),".")</f>
        <v>7.621999999999999E-8</v>
      </c>
      <c r="AY45" s="47">
        <f t="shared" ref="AY45:BA45" si="77">IFERROR(IF(SUM(AU46:AU47)&gt;0.01,1-EXP(-SUM(AU46:AU47)),SUM(AU46:AU47)),".")</f>
        <v>5.1260416666666662E-8</v>
      </c>
      <c r="AZ45" s="47">
        <f t="shared" si="77"/>
        <v>1.178239369376219E-12</v>
      </c>
      <c r="BA45" s="47">
        <f t="shared" si="77"/>
        <v>3.411535318045607E-8</v>
      </c>
      <c r="BB45" s="47">
        <f>IFERROR(IF(SUM(AT46:AW47)&gt;0.01,1-EXP(-SUM(AT46:AW47)),SUM(AT46:AW47)),".")</f>
        <v>1.6159694808649208E-7</v>
      </c>
      <c r="BC45" s="59">
        <f t="shared" ref="BC45" si="78">IFERROR(IF(AND(BC46&lt;&gt;0,BC47&lt;&gt;0),1/SUM(1/BC46,1/BC47),IF(AND(BC46&lt;&gt;0,BC47=0),1/(1/BC46),IF(AND(BC46=0,BC47&lt;&gt;0),1/(1/BC47),IF(AND(BC46=0,BC47=0),".")))),".")</f>
        <v>9.7307028000097304</v>
      </c>
      <c r="BD45" s="70"/>
      <c r="BE45" s="47">
        <f>IFERROR(IF(SUM(BE46:BE47)&gt;0.01,1-EXP(-SUM(BE46:BE47)),SUM(BE46:BE47)),".")</f>
        <v>5.1383750000000004E-7</v>
      </c>
    </row>
    <row r="46" spans="1:57" x14ac:dyDescent="0.25">
      <c r="A46" s="48" t="s">
        <v>1101</v>
      </c>
      <c r="B46" s="15">
        <v>1</v>
      </c>
      <c r="C46" s="60">
        <f>IFERROR(C10/$B46,0)</f>
        <v>4273.0477513086207</v>
      </c>
      <c r="D46" s="60">
        <f>IFERROR(D10/$B46,0)</f>
        <v>15109312.602179976</v>
      </c>
      <c r="E46" s="60">
        <f>IFERROR(E10/$B46,0)</f>
        <v>275263.93489319307</v>
      </c>
      <c r="F46" s="60">
        <f>IFERROR(F10/$B46,0)</f>
        <v>65.075254464052222</v>
      </c>
      <c r="G46" s="60">
        <f>IFERROR(G10/$B46,0)</f>
        <v>2.4326757000024322</v>
      </c>
      <c r="H46" s="60">
        <f>(IF(AND(C46&lt;&gt;0,D46&lt;&gt;0,E46&lt;&gt;0,F46&lt;&gt;0),1/((1/C46)+(1/D46)+(1/E46)+(1/F46)),IF(AND(C46&lt;&gt;0,D46&lt;&gt;0,E46&lt;&gt;0,F46=0), 1/((1/C46)+(1/D46)+(1/E46)),IF(AND(C46&lt;&gt;0,D46&lt;&gt;0,E46=0,F46&lt;&gt;0),1/((1/C46)+(1/D46)+(1/F46)),IF(AND(C46&lt;&gt;0,D46=0,E46&lt;&gt;0,F46&lt;&gt;0),1/((1/C46)+(1/E46)+(1/F46)),IF(AND(C46=0,D46&lt;&gt;0,E46&lt;&gt;0,F46&lt;&gt;0),1/((1/D46)+(1/E46)+(1/F46)),IF(AND(C46&lt;&gt;0,D46&lt;&gt;0,E46=0,F46=0),1/((1/C46)+(1/D46)),IF(AND(C46&lt;&gt;0,D46=0,E46&lt;&gt;0,F46=0),1/((1/C46)+(1/E46)),IF(AND(C46&lt;&gt;0,D46=0,E46=0,F46&lt;&gt;0),1/((1/C46)+(1/F46)),IF(AND(C46=0,D46=0,E46&lt;&gt;0,F46&lt;&gt;0),1/((1/E46)+(1/F46)),IF(AND(C46=0,D46&lt;&gt;0,E46=0,F46&lt;&gt;0),1/((1/D46)+(1/F46)),IF(AND(C46=0,D46&lt;&gt;0,E46&lt;&gt;0,F46=0),1/((1/D46)+(1/E46)),IF(AND(C46&lt;&gt;0,D46=0,E46=0,F46=0),1/((1/C46)),IF(AND(C46=0,D46&lt;&gt;0,E46=0,F46=0),1/((1/D46)),IF(AND(C46=0,D46=0,E46&lt;&gt;0,F46=0),1/((1/E46)),IF(AND(C46=0,D46=0,E46=0,F46&lt;&gt;0),1/((1/F46)),IF(AND(C46=0,D46=0,E46=0,F46=0),0)))))))))))))))))</f>
        <v>64.083879805408031</v>
      </c>
      <c r="I46" s="71">
        <f>IFERROR(s_RadSpec!$D$10*I10,".")*$B$46</f>
        <v>1.170125E-9</v>
      </c>
      <c r="J46" s="71">
        <f>IFERROR(s_RadSpec!$G$10*J10,".")*B46</f>
        <v>3.3092173890681153E-13</v>
      </c>
      <c r="K46" s="71">
        <f>IFERROR(s_RadSpec!$F$10*K10,".")*B46</f>
        <v>1.8164384672986969E-11</v>
      </c>
      <c r="L46" s="71">
        <f>s_b2s!AB46</f>
        <v>7.6834121375000015E-8</v>
      </c>
      <c r="M46" s="49">
        <f t="shared" ref="M46:M47" si="79">IFERROR(IF(I46&gt;0.01,1-EXP(-I46),I46),".")</f>
        <v>1.170125E-9</v>
      </c>
      <c r="N46" s="49">
        <f t="shared" ref="N46:N47" si="80">IFERROR(IF(J46&gt;0.01,1-EXP(-J46),J46),".")</f>
        <v>3.3092173890681153E-13</v>
      </c>
      <c r="O46" s="49">
        <f t="shared" ref="O46:O47" si="81">IFERROR(IF(K46&gt;0.01,1-EXP(-K46),K46),".")</f>
        <v>1.8164384672986969E-11</v>
      </c>
      <c r="P46" s="49">
        <f t="shared" si="47"/>
        <v>7.6834121375000015E-8</v>
      </c>
      <c r="Q46" s="49">
        <f t="shared" ref="Q46:Q62" si="82">IFERROR(IF(SUM(I46:L46)&gt;0.01,1-EXP(-SUM(I46:L46)),SUM(I46:L46)),".")</f>
        <v>7.8022741681411904E-8</v>
      </c>
      <c r="R46" s="60">
        <f>IFERROR(R10/$B46,0)</f>
        <v>275263.93489319307</v>
      </c>
      <c r="S46" s="60">
        <f>IFERROR(S10/$B46,0)</f>
        <v>1231103.9527681773</v>
      </c>
      <c r="T46" s="60">
        <f>IFERROR(T10/$B46,0)</f>
        <v>398918.23028436652</v>
      </c>
      <c r="U46" s="60">
        <f>IFERROR(U10/$B46,0)</f>
        <v>285595.22467821313</v>
      </c>
      <c r="V46" s="60">
        <f>IFERROR(V10/$B46,0)</f>
        <v>719553.16499331268</v>
      </c>
      <c r="W46" s="71">
        <f>IFERROR(s_RadSpec!$F$10*W10,".")*$B46</f>
        <v>1.8164384672986969E-11</v>
      </c>
      <c r="X46" s="71">
        <f>IFERROR(s_RadSpec!$M$10*X10,".")*$B46</f>
        <v>4.061395456295415E-12</v>
      </c>
      <c r="Y46" s="71">
        <f>IFERROR(s_RadSpec!$N$10*Y10,".")*$B46</f>
        <v>1.2533896975417189E-11</v>
      </c>
      <c r="Z46" s="71">
        <f>IFERROR(s_RadSpec!$O$10*Z10,".")*$B46</f>
        <v>1.750729552860562E-11</v>
      </c>
      <c r="AA46" s="71">
        <f>IFERROR(s_RadSpec!$K$10*AA10,".")*$B46</f>
        <v>6.9487568719768849E-12</v>
      </c>
      <c r="AB46" s="49">
        <f t="shared" ref="AB46:AB47" si="83">IFERROR(IF(W46&gt;0.01,1-EXP(-W46),W46),".")</f>
        <v>1.8164384672986969E-11</v>
      </c>
      <c r="AC46" s="49">
        <f t="shared" ref="AC46:AC47" si="84">IFERROR(IF(X46&gt;0.01,1-EXP(-X46),X46),".")</f>
        <v>4.061395456295415E-12</v>
      </c>
      <c r="AD46" s="49">
        <f t="shared" ref="AD46:AD47" si="85">IFERROR(IF(Y46&gt;0.01,1-EXP(-Y46),Y46),".")</f>
        <v>1.2533896975417189E-11</v>
      </c>
      <c r="AE46" s="49">
        <f t="shared" ref="AE46:AE47" si="86">IFERROR(IF(Z46&gt;0.01,1-EXP(-Z46),Z46),".")</f>
        <v>1.750729552860562E-11</v>
      </c>
      <c r="AF46" s="49">
        <f t="shared" ref="AF46:AF47" si="87">IFERROR(IF(AA46&gt;0.01,1-EXP(-AA46),AA46),".")</f>
        <v>6.9487568719768849E-12</v>
      </c>
      <c r="AG46" s="60">
        <f>IFERROR(AG10/$B46,0)</f>
        <v>48.770575086364566</v>
      </c>
      <c r="AH46" s="60">
        <f>IFERROR(AH10/$B46,0)</f>
        <v>5397387.6968869064</v>
      </c>
      <c r="AI46" s="60">
        <f t="shared" ref="AI46:AI47" si="88">IFERROR(IF(AND(AG46&lt;&gt;0,AH46&lt;&gt;0),1/((1/AG46)+(1/AH46)),IF(AND(AG46&lt;&gt;0,AH46=0),1/((1/AG46)),IF(AND(AG46=0,AH46&lt;&gt;0),1/((1/AH46)),IF(AND(AG46=".",AH46="."),".")))),".")</f>
        <v>48.770134401419298</v>
      </c>
      <c r="AJ46" s="71">
        <f>IFERROR(s_RadSpec!$G$10*AJ10,".")*$B$46</f>
        <v>1.0252083333333332E-7</v>
      </c>
      <c r="AK46" s="71">
        <f>IFERROR(s_RadSpec!$J$10*AK10,".")*$B$46</f>
        <v>9.2637406849315067E-13</v>
      </c>
      <c r="AL46" s="49">
        <f>IFERROR(IF(AJ46&gt;0.01,1-EXP(-AJ46),AJ46),".")</f>
        <v>1.0252083333333332E-7</v>
      </c>
      <c r="AM46" s="49">
        <f>IFERROR(IF(AK46&gt;0.01,1-EXP(-AK46),AK46),".")</f>
        <v>9.2637406849315067E-13</v>
      </c>
      <c r="AN46" s="49">
        <f>IFERROR(IF(SUM(AJ46:AK46)&gt;0.01,1-EXP(-SUM(AJ46:AK46)),SUM(AJ46:AK46)),".")</f>
        <v>1.0252175970740181E-7</v>
      </c>
      <c r="AO46" s="60">
        <f>IFERROR(AO10/$B46,0)</f>
        <v>65.599580162686948</v>
      </c>
      <c r="AP46" s="60">
        <f>IFERROR(AP10/$B46,0)</f>
        <v>0</v>
      </c>
      <c r="AQ46" s="60">
        <f>IFERROR(AQ10/$B46,0)</f>
        <v>9768709503.4802094</v>
      </c>
      <c r="AR46" s="60">
        <f>IFERROR(AR10/$B46,0)</f>
        <v>147.95247322402815</v>
      </c>
      <c r="AS46" s="60">
        <f>(IF(AND(AO46&lt;&gt;0,AP46&lt;&gt;0,AQ46&lt;&gt;0,AR46&lt;&gt;0),1/((1/AO46)+(1/AP46)+(1/AQ46)+(1/AR46)),IF(AND(AO46&lt;&gt;0,AP46&lt;&gt;0,AQ46&lt;&gt;0,AR46=0), 1/((1/AO46)+(1/AP46)+(1/AQ46)),IF(AND(AO46&lt;&gt;0,AP46&lt;&gt;0,AQ46=0,AR46&lt;&gt;0),1/((1/AO46)+(1/AP46)+(1/AR46)),IF(AND(AO46&lt;&gt;0,AP46=0,AQ46&lt;&gt;0,AR46&lt;&gt;0),1/((1/AO46)+(1/AQ46)+(1/AR46)),IF(AND(AO46=0,AP46&lt;&gt;0,AQ46&lt;&gt;0,AR46&lt;&gt;0),1/((1/AP46)+(1/AQ46)+(1/AR46)),IF(AND(AO46&lt;&gt;0,AP46&lt;&gt;0,AQ46=0,AR46=0),1/((1/AO46)+(1/AP46)),IF(AND(AO46&lt;&gt;0,AP46=0,AQ46&lt;&gt;0,AR46=0),1/((1/AO46)+(1/AQ46)),IF(AND(AO46&lt;&gt;0,AP46=0,AQ46=0,AR46&lt;&gt;0),1/((1/AO46)+(1/AR46)),IF(AND(AO46=0,AP46=0,AQ46&lt;&gt;0,AR46&lt;&gt;0),1/((1/AQ46)+(1/AR46)),IF(AND(AO46=0,AP46&lt;&gt;0,AQ46=0,AR46&lt;&gt;0),1/((1/AP46)+(1/AR46)),IF(AND(AO46=0,AP46&lt;&gt;0,AQ46&lt;&gt;0,AR46=0),1/((1/AP46)+(1/AQ46)),IF(AND(AO46&lt;&gt;0,AP46=0,AQ46=0,AR46=0),1/((1/AO46)),IF(AND(AO46=0,AP46&lt;&gt;0,AQ46=0,AR46=0),1/((1/AP46)),IF(AND(AO46=0,AP46=0,AQ46&lt;&gt;0,AR46=0),1/((1/AQ46)),IF(AND(AO46=0,AP46=0,AQ46=0,AR46&lt;&gt;0),1/((1/AR46)),IF(AND(AO46=0,AP46=0,AQ46=0,AR46=0),0)))))))))))))))))</f>
        <v>45.448498052120492</v>
      </c>
      <c r="AT46" s="71">
        <f>IFERROR(s_RadSpec!$H$10*AT10,".")*$B$46</f>
        <v>7.621999999999999E-8</v>
      </c>
      <c r="AU46" s="71">
        <f>IFERROR(s_RadSpec!$G$10*AU10,".")*$B$46</f>
        <v>5.1260416666666662E-8</v>
      </c>
      <c r="AV46" s="71">
        <f>IFERROR(s_RadSpec!$L$10*AV10,".")*$B$46</f>
        <v>5.1183833424657537E-16</v>
      </c>
      <c r="AW46" s="71">
        <f>s_b2w!AB44</f>
        <v>3.2071703112283322E-10</v>
      </c>
      <c r="AX46" s="49">
        <f t="shared" ref="AX46:AX47" si="89">IFERROR(IF(AT46&gt;0.01,1-EXP(-AT46),AT46),".")</f>
        <v>7.621999999999999E-8</v>
      </c>
      <c r="AY46" s="49">
        <f t="shared" ref="AY46:AY47" si="90">IFERROR(IF(AP46&lt;&gt;0,IF(AU46&gt;0.01,1-EXP(-AU46),AU46),0),".")</f>
        <v>0</v>
      </c>
      <c r="AZ46" s="49">
        <f t="shared" ref="AZ46:AZ47" si="91">IFERROR(IF(AV46&gt;0.01,1-EXP(-AV46),AV46),".")</f>
        <v>5.1183833424657537E-16</v>
      </c>
      <c r="BA46" s="49">
        <f t="shared" si="62"/>
        <v>3.2071703112283322E-10</v>
      </c>
      <c r="BB46" s="49">
        <f t="shared" si="63"/>
        <v>1.2780113420962782E-7</v>
      </c>
      <c r="BC46" s="60">
        <f>IFERROR(BC10/$B46,0)</f>
        <v>9.7307028000097304</v>
      </c>
      <c r="BD46" s="71">
        <f>IFERROR(s_RadSpec!$E$10*BD10,".")*$B$46</f>
        <v>5.1383750000000004E-7</v>
      </c>
      <c r="BE46" s="49">
        <f t="shared" ref="BE46:BE47" si="92">IFERROR(IF(BD46&gt;0.01,1-EXP(-BD46),BD46),".")</f>
        <v>5.1383750000000004E-7</v>
      </c>
    </row>
    <row r="47" spans="1:57" x14ac:dyDescent="0.25">
      <c r="A47" s="48" t="s">
        <v>1075</v>
      </c>
      <c r="B47" s="51">
        <v>0.94399</v>
      </c>
      <c r="C47" s="60">
        <f>IFERROR(C6/$B$47,0)</f>
        <v>0</v>
      </c>
      <c r="D47" s="60">
        <f>IFERROR(D6/$B$47,0)</f>
        <v>0</v>
      </c>
      <c r="E47" s="60">
        <f>IFERROR(E6/$B$47,0)</f>
        <v>51.160348585694059</v>
      </c>
      <c r="F47" s="60">
        <f>IFERROR(F6/$B$47,0)</f>
        <v>0</v>
      </c>
      <c r="G47" s="60">
        <f>IFERROR(G6/$B$47,0)</f>
        <v>0</v>
      </c>
      <c r="H47" s="60">
        <f>(IF(AND(C47&lt;&gt;0,D47&lt;&gt;0,E47&lt;&gt;0,F47&lt;&gt;0),1/((1/C47)+(1/D47)+(1/E47)+(1/F47)),IF(AND(C47&lt;&gt;0,D47&lt;&gt;0,E47&lt;&gt;0,F47=0), 1/((1/C47)+(1/D47)+(1/E47)),IF(AND(C47&lt;&gt;0,D47&lt;&gt;0,E47=0,F47&lt;&gt;0),1/((1/C47)+(1/D47)+(1/F47)),IF(AND(C47&lt;&gt;0,D47=0,E47&lt;&gt;0,F47&lt;&gt;0),1/((1/C47)+(1/E47)+(1/F47)),IF(AND(C47=0,D47&lt;&gt;0,E47&lt;&gt;0,F47&lt;&gt;0),1/((1/D47)+(1/E47)+(1/F47)),IF(AND(C47&lt;&gt;0,D47&lt;&gt;0,E47=0,F47=0),1/((1/C47)+(1/D47)),IF(AND(C47&lt;&gt;0,D47=0,E47&lt;&gt;0,F47=0),1/((1/C47)+(1/E47)),IF(AND(C47&lt;&gt;0,D47=0,E47=0,F47&lt;&gt;0),1/((1/C47)+(1/F47)),IF(AND(C47=0,D47=0,E47&lt;&gt;0,F47&lt;&gt;0),1/((1/E47)+(1/F47)),IF(AND(C47=0,D47&lt;&gt;0,E47=0,F47&lt;&gt;0),1/((1/D47)+(1/F47)),IF(AND(C47=0,D47&lt;&gt;0,E47&lt;&gt;0,F47=0),1/((1/D47)+(1/E47)),IF(AND(C47&lt;&gt;0,D47=0,E47=0,F47=0),1/((1/C47)),IF(AND(C47=0,D47&lt;&gt;0,E47=0,F47=0),1/((1/D47)),IF(AND(C47=0,D47=0,E47&lt;&gt;0,F47=0),1/((1/E47)),IF(AND(C47=0,D47=0,E47=0,F47&lt;&gt;0),1/((1/F47)),IF(AND(C47=0,D47=0,E47=0,F47=0),0)))))))))))))))))</f>
        <v>51.160348585694067</v>
      </c>
      <c r="I47" s="71">
        <f>IFERROR(s_RadSpec!$D$6*I6,".")*$B$47</f>
        <v>0</v>
      </c>
      <c r="J47" s="71">
        <f>IFERROR(s_RadSpec!$G$6*$J$6,".")*B47</f>
        <v>0</v>
      </c>
      <c r="K47" s="71">
        <f>IFERROR(s_RadSpec!$F$6*$K$6,".")*B47</f>
        <v>9.7731937686565098E-8</v>
      </c>
      <c r="L47" s="71">
        <f>s_b2s!AB47</f>
        <v>0</v>
      </c>
      <c r="M47" s="49">
        <f t="shared" si="79"/>
        <v>0</v>
      </c>
      <c r="N47" s="49">
        <f t="shared" si="80"/>
        <v>0</v>
      </c>
      <c r="O47" s="49">
        <f t="shared" si="81"/>
        <v>9.7731937686565098E-8</v>
      </c>
      <c r="P47" s="49">
        <f t="shared" si="47"/>
        <v>0</v>
      </c>
      <c r="Q47" s="49">
        <f t="shared" si="82"/>
        <v>9.7731937686565098E-8</v>
      </c>
      <c r="R47" s="60">
        <f>IFERROR(R6/$B$47,0)</f>
        <v>51.160348585694059</v>
      </c>
      <c r="S47" s="60">
        <f>IFERROR(S6/$B$47,0)</f>
        <v>468.57530336796162</v>
      </c>
      <c r="T47" s="60">
        <f>IFERROR(T6/$B$47,0)</f>
        <v>117.42135694168174</v>
      </c>
      <c r="U47" s="60">
        <f>IFERROR(U6/$B$47,0)</f>
        <v>62.619637291482512</v>
      </c>
      <c r="V47" s="60">
        <f>IFERROR(V6/$B$47,0)</f>
        <v>803.89648853431697</v>
      </c>
      <c r="W47" s="71">
        <f>IFERROR(s_RadSpec!$F$6*W6,".")*$B47</f>
        <v>9.7731937686565098E-8</v>
      </c>
      <c r="X47" s="71">
        <f>IFERROR(s_RadSpec!$M$6*X6,".")*$B47</f>
        <v>1.0670643467681038E-8</v>
      </c>
      <c r="Y47" s="71">
        <f>IFERROR(s_RadSpec!$N$6*Y6,".")*$B47</f>
        <v>4.2581691527234607E-8</v>
      </c>
      <c r="Z47" s="71">
        <f>IFERROR(s_RadSpec!$O$6*Z6,".")*$B47</f>
        <v>7.98471568387717E-8</v>
      </c>
      <c r="AA47" s="71">
        <f>IFERROR(s_RadSpec!$K$6*AA6,".")*$B47</f>
        <v>6.2197062324729364E-9</v>
      </c>
      <c r="AB47" s="49">
        <f t="shared" si="83"/>
        <v>9.7731937686565098E-8</v>
      </c>
      <c r="AC47" s="49">
        <f t="shared" si="84"/>
        <v>1.0670643467681038E-8</v>
      </c>
      <c r="AD47" s="49">
        <f t="shared" si="85"/>
        <v>4.2581691527234607E-8</v>
      </c>
      <c r="AE47" s="49">
        <f t="shared" si="86"/>
        <v>7.98471568387717E-8</v>
      </c>
      <c r="AF47" s="49">
        <f t="shared" si="87"/>
        <v>6.2197062324729364E-9</v>
      </c>
      <c r="AG47" s="60">
        <f>IFERROR(AG6/$B$47,0)</f>
        <v>0</v>
      </c>
      <c r="AH47" s="60">
        <f>IFERROR(AH6/$B$47,0)</f>
        <v>3679.4022548657726</v>
      </c>
      <c r="AI47" s="60">
        <f t="shared" si="88"/>
        <v>3679.4022548657726</v>
      </c>
      <c r="AJ47" s="71">
        <f>IFERROR(s_RadSpec!$G$6*AJ6,".")*$B$47</f>
        <v>0</v>
      </c>
      <c r="AK47" s="71">
        <f>IFERROR(s_RadSpec!$J$6*AK6,".")*$B$47</f>
        <v>1.3589163819715065E-9</v>
      </c>
      <c r="AL47" s="49">
        <f>IFERROR(IF(AJ47&gt;0.01,1-EXP(-AJ47),AJ47),".")</f>
        <v>0</v>
      </c>
      <c r="AM47" s="49">
        <f>IFERROR(IF(AK47&gt;0.01,1-EXP(-AK47),AK47),".")</f>
        <v>1.3589163819715065E-9</v>
      </c>
      <c r="AN47" s="49">
        <f>IFERROR(IF(SUM(AJ47:AK47)&gt;0.01,1-EXP(-SUM(AJ47:AK47)),SUM(AJ47:AK47)),".")</f>
        <v>1.3589163819715065E-9</v>
      </c>
      <c r="AO47" s="60">
        <f>IFERROR(AO6/$B$47,0)</f>
        <v>0</v>
      </c>
      <c r="AP47" s="60">
        <f>IFERROR(AP6/$B$47,0)</f>
        <v>0</v>
      </c>
      <c r="AQ47" s="60">
        <f>IFERROR(AQ6/$B$47,0)</f>
        <v>4245464.1402297374</v>
      </c>
      <c r="AR47" s="60">
        <f>IFERROR(AR6/$B$47,0)</f>
        <v>0</v>
      </c>
      <c r="AS47" s="60">
        <f>(IF(AND(AO47&lt;&gt;0,AP47&lt;&gt;0,AQ47&lt;&gt;0,AR47&lt;&gt;0),1/((1/AO47)+(1/AP47)+(1/AQ47)+(1/AR47)),IF(AND(AO47&lt;&gt;0,AP47&lt;&gt;0,AQ47&lt;&gt;0,AR47=0), 1/((1/AO47)+(1/AP47)+(1/AQ47)),IF(AND(AO47&lt;&gt;0,AP47&lt;&gt;0,AQ47=0,AR47&lt;&gt;0),1/((1/AO47)+(1/AP47)+(1/AR47)),IF(AND(AO47&lt;&gt;0,AP47=0,AQ47&lt;&gt;0,AR47&lt;&gt;0),1/((1/AO47)+(1/AQ47)+(1/AR47)),IF(AND(AO47=0,AP47&lt;&gt;0,AQ47&lt;&gt;0,AR47&lt;&gt;0),1/((1/AP47)+(1/AQ47)+(1/AR47)),IF(AND(AO47&lt;&gt;0,AP47&lt;&gt;0,AQ47=0,AR47=0),1/((1/AO47)+(1/AP47)),IF(AND(AO47&lt;&gt;0,AP47=0,AQ47&lt;&gt;0,AR47=0),1/((1/AO47)+(1/AQ47)),IF(AND(AO47&lt;&gt;0,AP47=0,AQ47=0,AR47&lt;&gt;0),1/((1/AO47)+(1/AR47)),IF(AND(AO47=0,AP47=0,AQ47&lt;&gt;0,AR47&lt;&gt;0),1/((1/AQ47)+(1/AR47)),IF(AND(AO47=0,AP47&lt;&gt;0,AQ47=0,AR47&lt;&gt;0),1/((1/AP47)+(1/AR47)),IF(AND(AO47=0,AP47&lt;&gt;0,AQ47&lt;&gt;0,AR47=0),1/((1/AP47)+(1/AQ47)),IF(AND(AO47&lt;&gt;0,AP47=0,AQ47=0,AR47=0),1/((1/AO47)),IF(AND(AO47=0,AP47&lt;&gt;0,AQ47=0,AR47=0),1/((1/AP47)),IF(AND(AO47=0,AP47=0,AQ47&lt;&gt;0,AR47=0),1/((1/AQ47)),IF(AND(AO47=0,AP47=0,AQ47=0,AR47&lt;&gt;0),1/((1/AR47)),IF(AND(AO47=0,AP47=0,AQ47=0,AR47=0),0)))))))))))))))))</f>
        <v>4245464.1402297374</v>
      </c>
      <c r="AT47" s="71">
        <f>IFERROR(s_RadSpec!$H$6*AT6,".")*$B$47</f>
        <v>0</v>
      </c>
      <c r="AU47" s="71">
        <f>IFERROR(s_RadSpec!$G$6*AU6,".")*$B$47</f>
        <v>0</v>
      </c>
      <c r="AV47" s="71">
        <f>IFERROR(s_RadSpec!$L$6*AV6,".")*$B$47</f>
        <v>1.1777275310419724E-12</v>
      </c>
      <c r="AW47" s="71">
        <f>s_b2w!AB45</f>
        <v>3.3794636149333234E-8</v>
      </c>
      <c r="AX47" s="49">
        <f t="shared" si="89"/>
        <v>0</v>
      </c>
      <c r="AY47" s="49">
        <f t="shared" si="90"/>
        <v>0</v>
      </c>
      <c r="AZ47" s="49">
        <f t="shared" si="91"/>
        <v>1.1777275310419724E-12</v>
      </c>
      <c r="BA47" s="49">
        <f t="shared" si="62"/>
        <v>3.3794636149333234E-8</v>
      </c>
      <c r="BB47" s="49">
        <f t="shared" si="63"/>
        <v>3.3795813876864273E-8</v>
      </c>
      <c r="BC47" s="60">
        <f>IFERROR(BC6/$B$47,0)</f>
        <v>0</v>
      </c>
      <c r="BD47" s="71">
        <f>IFERROR(s_RadSpec!$E$6*$K$6,".")*$B$47</f>
        <v>0</v>
      </c>
      <c r="BE47" s="49">
        <f t="shared" si="92"/>
        <v>0</v>
      </c>
    </row>
    <row r="48" spans="1:57" x14ac:dyDescent="0.25">
      <c r="A48" s="57" t="s">
        <v>33</v>
      </c>
      <c r="B48" s="57" t="s">
        <v>1259</v>
      </c>
      <c r="C48" s="58">
        <f>1/SUM(1/C49,1/C52,1/C54,1/C58,1/C59,1/C61)</f>
        <v>31.933737567533719</v>
      </c>
      <c r="D48" s="58">
        <f>1/SUM(1/D49,1/D50,1/D51,1/D52,1/D54,1/D58,1/D59,1/D61)</f>
        <v>28734.504184182566</v>
      </c>
      <c r="E48" s="58">
        <f>1/SUM(1/E49,1/E50,1/E52,1/E54,1/E55,1/E56,1/E57,1/E58,1/E59,1/E60,1/E61,1/E62)</f>
        <v>10.271883518868927</v>
      </c>
      <c r="F48" s="58">
        <f>1/SUM(1/F49,1/F52,1/F54,1/F58,1/F59,1/F61)</f>
        <v>0.81465814313918916</v>
      </c>
      <c r="G48" s="58">
        <f>1/SUM(1/G49,1/G52,1/G54,1/G58,1/G59,1/G61)</f>
        <v>2.296859286255314E-2</v>
      </c>
      <c r="H48" s="59">
        <f>1/SUM(1/H49,1/H50,1/H51,1/H52,1/H54,1/H55,1/H56,1/H57,1/H58,1/H59,1/H60,1/H61,1/H62)</f>
        <v>0.73734810641524007</v>
      </c>
      <c r="I48" s="70"/>
      <c r="J48" s="70"/>
      <c r="K48" s="70"/>
      <c r="L48" s="70"/>
      <c r="M48" s="47">
        <f t="shared" ref="M48:O48" si="93">IFERROR(IF(SUM(I49:I62)&gt;0.01,1-EXP(-SUM(I49:I62)),SUM(I49:I62)),".")</f>
        <v>1.5657421839288184E-7</v>
      </c>
      <c r="N48" s="47">
        <f t="shared" si="93"/>
        <v>1.7400683053206609E-10</v>
      </c>
      <c r="O48" s="47">
        <f t="shared" si="93"/>
        <v>4.8676564437430136E-7</v>
      </c>
      <c r="P48" s="47">
        <f>IFERROR(IF(SUM(L49:L62)&gt;0.01,1-EXP(-SUM(L49:L62)),SUM(L49:L62)),".")</f>
        <v>4.2346372170589949E-6</v>
      </c>
      <c r="Q48" s="47">
        <f>IFERROR(IF(SUM(I49:L62)&gt;0.01,1-EXP(-SUM(I49:L62)),SUM(I49:L62)),".")</f>
        <v>4.8781510866567105E-6</v>
      </c>
      <c r="R48" s="59">
        <f t="shared" ref="R48:V48" si="94">1/SUM(1/R49,1/R50,1/R52,1/R54,1/R55,1/R56,1/R57,1/R58,1/R59,1/R60,1/R61,1/R62)</f>
        <v>10.271883518868927</v>
      </c>
      <c r="S48" s="59">
        <f t="shared" si="94"/>
        <v>113.72660847483438</v>
      </c>
      <c r="T48" s="59">
        <f t="shared" si="94"/>
        <v>28.03984330368564</v>
      </c>
      <c r="U48" s="59">
        <f t="shared" si="94"/>
        <v>14.48571465937435</v>
      </c>
      <c r="V48" s="59">
        <f t="shared" si="94"/>
        <v>208.52642740909769</v>
      </c>
      <c r="W48" s="70"/>
      <c r="X48" s="70"/>
      <c r="Y48" s="70"/>
      <c r="Z48" s="70"/>
      <c r="AA48" s="70"/>
      <c r="AB48" s="47">
        <f>IFERROR(IF(SUM(W49:W62)&gt;0.01,1-EXP(-SUM(W49:W62)),SUM(W49:W62)),".")</f>
        <v>4.8676564437430136E-7</v>
      </c>
      <c r="AC48" s="47">
        <f t="shared" ref="AC48:AF48" si="95">IFERROR(IF(SUM(X49:X62)&gt;0.01,1-EXP(-SUM(X49:X62)),SUM(X49:X62)),".")</f>
        <v>4.3965084926509603E-8</v>
      </c>
      <c r="AD48" s="47">
        <f t="shared" si="95"/>
        <v>1.7831768693738679E-7</v>
      </c>
      <c r="AE48" s="47">
        <f t="shared" si="95"/>
        <v>3.4516764395633571E-7</v>
      </c>
      <c r="AF48" s="47">
        <f t="shared" si="95"/>
        <v>2.397777616067218E-8</v>
      </c>
      <c r="AG48" s="58">
        <f>1/SUM(1/AG49,1/AG50,1/AG51,1/AG52,1/AG54,1/AG58,1/AG59,1/AG61)</f>
        <v>9.2750632062635216E-2</v>
      </c>
      <c r="AH48" s="58">
        <f t="shared" ref="AH48" si="96">1/SUM(1/AH49,1/AH50,1/AH51,1/AH52,1/AH53,1/AH54,1/AH55,1/AH56,1/AH57,1/AH58,1/AH59,1/AH60,1/AH61,1/AH62)</f>
        <v>1130.0310562041309</v>
      </c>
      <c r="AI48" s="59">
        <f t="shared" ref="AI48" si="97">1/SUM(1/AI49,1/AI50,1/AI51,1/AI52,1/AI53,1/AI54,1/AI55,1/AI56,1/AI57,1/AI58,1/AI59,1/AI60,1/AI61,1/AI62)</f>
        <v>9.2743019905722882E-2</v>
      </c>
      <c r="AJ48" s="70"/>
      <c r="AK48" s="70"/>
      <c r="AL48" s="47">
        <f>IFERROR(IF(SUM(AJ49:AJ62)&gt;0.01,1-EXP(-SUM(AJ49:AJ62)),SUM(AJ49:AJ62)),".")</f>
        <v>5.3907988428838538E-5</v>
      </c>
      <c r="AM48" s="47">
        <f>IFERROR(IF(SUM(AK49:AK62)&gt;0.01,1-EXP(-SUM(AK49:AK62)),SUM(AK49:AK62)),".")</f>
        <v>4.4246571565877307E-9</v>
      </c>
      <c r="AN48" s="47">
        <f>IFERROR(IF(SUM(AJ49:AK62)&gt;0.01,1-EXP(-SUM(AJ49:AK62)),SUM(AJ49:AK62)),".")</f>
        <v>5.391241308599512E-5</v>
      </c>
      <c r="AO48" s="58">
        <f>1/SUM(1/AO49,1/AO52,1/AO54,1/AO58,1/AO59,1/AO61)</f>
        <v>0.6547601949463957</v>
      </c>
      <c r="AP48" s="58">
        <f>1/SUM(1/AP49,1/AP50)</f>
        <v>0.38962035149437679</v>
      </c>
      <c r="AQ48" s="58">
        <f t="shared" ref="AQ48" si="98">1/SUM(1/AQ49,1/AQ50,1/AQ51,1/AQ52,1/AQ53,1/AQ54,1/AQ55,1/AQ56,1/AQ57,1/AQ58,1/AQ59,1/AQ60,1/AQ61,1/AQ62)</f>
        <v>1303728.0568981469</v>
      </c>
      <c r="AR48" s="58">
        <f>1/SUM(1/AR49,1/AR52,1/AR54,1/AR58,1/AR59,1/AR61)</f>
        <v>1.5714104343042332</v>
      </c>
      <c r="AS48" s="59">
        <f t="shared" ref="AS48" si="99">1/SUM(1/AS49,1/AS50,1/AS51,1/AS52,1/AS53,1/AS54,1/AS55,1/AS56,1/AS57,1/AS58,1/AS59,1/AS60,1/AS61,1/AS62)</f>
        <v>0.21140533894554231</v>
      </c>
      <c r="AT48" s="70"/>
      <c r="AU48" s="70"/>
      <c r="AV48" s="70"/>
      <c r="AW48" s="70"/>
      <c r="AX48" s="47">
        <f>IFERROR(IF(SUM(AT49:AT62)&gt;0.01,1-EXP(-SUM(AT49:AT62)),SUM(AT49:AT62)),".")</f>
        <v>7.6363835776689861E-6</v>
      </c>
      <c r="AY48" s="47">
        <f t="shared" ref="AY48:BA48" si="100">IFERROR(IF(SUM(AU49:AU62)&gt;0.01,1-EXP(-SUM(AU49:AU62)),SUM(AU49:AU62)),".")</f>
        <v>2.6953994214419269E-5</v>
      </c>
      <c r="AZ48" s="47">
        <f t="shared" si="100"/>
        <v>3.8351556319928337E-12</v>
      </c>
      <c r="BA48" s="47">
        <f t="shared" si="100"/>
        <v>3.1818550847552663E-6</v>
      </c>
      <c r="BB48" s="47">
        <f>IFERROR(IF(SUM(AT49:AW62)&gt;0.01,1-EXP(-SUM(AT49:AW62)),SUM(AT49:AW62)),".")</f>
        <v>3.7772236711999147E-5</v>
      </c>
      <c r="BC48" s="59">
        <f>1/SUM(1/BC49,1/BC52,1/BC54,1/BC58,1/BC59,1/BC61)</f>
        <v>9.1874371450212558E-2</v>
      </c>
      <c r="BD48" s="70"/>
      <c r="BE48" s="47">
        <f>IFERROR(IF(SUM(BE49:BE62)&gt;0.01,1-EXP(-SUM(BE49:BE62)),SUM(BE49:BE62)),".")</f>
        <v>5.4422141028845457E-5</v>
      </c>
    </row>
    <row r="49" spans="1:57" x14ac:dyDescent="0.25">
      <c r="A49" s="48" t="s">
        <v>1103</v>
      </c>
      <c r="B49" s="15">
        <v>1</v>
      </c>
      <c r="C49" s="60">
        <f>IFERROR(C23/$B49,0)</f>
        <v>268.52485868879307</v>
      </c>
      <c r="D49" s="60">
        <f>IFERROR(D23/$B49,0)</f>
        <v>60357.83220844563</v>
      </c>
      <c r="E49" s="60">
        <f>IFERROR(E23/$B49,0)</f>
        <v>4280.4304644092435</v>
      </c>
      <c r="F49" s="60">
        <f>IFERROR(F23/$B49,0)</f>
        <v>4.0900738518152195</v>
      </c>
      <c r="G49" s="60">
        <f>IFERROR(G23/$B49,0)</f>
        <v>0.17676276669082425</v>
      </c>
      <c r="H49" s="60">
        <f>(IF(AND(C49&lt;&gt;0,D49&lt;&gt;0,E49&lt;&gt;0,F49&lt;&gt;0),1/((1/C49)+(1/D49)+(1/E49)+(1/F49)),IF(AND(C49&lt;&gt;0,D49&lt;&gt;0,E49&lt;&gt;0,F49=0), 1/((1/C49)+(1/D49)+(1/E49)),IF(AND(C49&lt;&gt;0,D49&lt;&gt;0,E49=0,F49&lt;&gt;0),1/((1/C49)+(1/D49)+(1/F49)),IF(AND(C49&lt;&gt;0,D49=0,E49&lt;&gt;0,F49&lt;&gt;0),1/((1/C49)+(1/E49)+(1/F49)),IF(AND(C49=0,D49&lt;&gt;0,E49&lt;&gt;0,F49&lt;&gt;0),1/((1/D49)+(1/E49)+(1/F49)),IF(AND(C49&lt;&gt;0,D49&lt;&gt;0,E49=0,F49=0),1/((1/C49)+(1/D49)),IF(AND(C49&lt;&gt;0,D49=0,E49&lt;&gt;0,F49=0),1/((1/C49)+(1/E49)),IF(AND(C49&lt;&gt;0,D49=0,E49=0,F49&lt;&gt;0),1/((1/C49)+(1/F49)),IF(AND(C49=0,D49=0,E49&lt;&gt;0,F49&lt;&gt;0),1/((1/E49)+(1/F49)),IF(AND(C49=0,D49&lt;&gt;0,E49=0,F49&lt;&gt;0),1/((1/D49)+(1/F49)),IF(AND(C49=0,D49&lt;&gt;0,E49&lt;&gt;0,F49=0),1/((1/D49)+(1/E49)),IF(AND(C49&lt;&gt;0,D49=0,E49=0,F49=0),1/((1/C49)),IF(AND(C49=0,D49&lt;&gt;0,E49=0,F49=0),1/((1/D49)),IF(AND(C49=0,D49=0,E49&lt;&gt;0,F49=0),1/((1/E49)),IF(AND(C49=0,D49=0,E49=0,F49&lt;&gt;0),1/((1/F49)),IF(AND(C49=0,D49=0,E49=0,F49=0),0)))))))))))))))))</f>
        <v>4.0246533850406792</v>
      </c>
      <c r="I49" s="71">
        <f>IFERROR(s_RadSpec!$D$23*I23,".")*$B$49</f>
        <v>1.8620249999999998E-8</v>
      </c>
      <c r="J49" s="71">
        <f>IFERROR(s_RadSpec!$G$23*$J$23,".")*B49</f>
        <v>8.2839290561869603E-11</v>
      </c>
      <c r="K49" s="71">
        <f>IFERROR(s_RadSpec!$F$23*$K$23,".")*B49</f>
        <v>1.1681068157919642E-9</v>
      </c>
      <c r="L49" s="71">
        <f>s_b2s!AB49</f>
        <v>8.6273824999999996E-7</v>
      </c>
      <c r="M49" s="49">
        <f t="shared" ref="M49:M62" si="101">IFERROR(IF(I49&gt;0.01,1-EXP(-I49),I49),".")</f>
        <v>1.8620249999999998E-8</v>
      </c>
      <c r="N49" s="49">
        <f t="shared" ref="N49:N62" si="102">IFERROR(IF(J49&gt;0.01,1-EXP(-J49),J49),".")</f>
        <v>8.2839290561869603E-11</v>
      </c>
      <c r="O49" s="49">
        <f t="shared" ref="O49:O62" si="103">IFERROR(IF(K49&gt;0.01,1-EXP(-K49),K49),".")</f>
        <v>1.1681068157919642E-9</v>
      </c>
      <c r="P49" s="49">
        <f t="shared" si="47"/>
        <v>8.6273824999999996E-7</v>
      </c>
      <c r="Q49" s="49">
        <f t="shared" si="82"/>
        <v>8.8260944610635376E-7</v>
      </c>
      <c r="R49" s="60">
        <f>IFERROR(R23/$B49,0)</f>
        <v>4280.4304644092435</v>
      </c>
      <c r="S49" s="60">
        <f>IFERROR(S23/$B49,0)</f>
        <v>30061.187415786477</v>
      </c>
      <c r="T49" s="60">
        <f>IFERROR(T23/$B49,0)</f>
        <v>7774.6539219486795</v>
      </c>
      <c r="U49" s="60">
        <f>IFERROR(U23/$B49,0)</f>
        <v>4536.1604006016851</v>
      </c>
      <c r="V49" s="60">
        <f>IFERROR(V23/$B49,0)</f>
        <v>47975.535752246753</v>
      </c>
      <c r="W49" s="71">
        <f>IFERROR(s_RadSpec!$F$23*$W$23,".")*$B$49</f>
        <v>1.1681068157919642E-9</v>
      </c>
      <c r="X49" s="71">
        <f>IFERROR(s_RadSpec!$M$23*$X$23,".")*$B$49</f>
        <v>1.6632742848255804E-10</v>
      </c>
      <c r="Y49" s="71">
        <f>IFERROR(s_RadSpec!$N$23*$Y$23,".")*$B$49</f>
        <v>6.4311544284749006E-10</v>
      </c>
      <c r="Z49" s="71">
        <f>IFERROR(s_RadSpec!$O$23*$Z$23,".")*$B$49</f>
        <v>1.1022537914084321E-9</v>
      </c>
      <c r="AA49" s="71">
        <f>IFERROR(s_RadSpec!$K$23*$AA$23,".")*$B$49</f>
        <v>1.0421978455479454E-10</v>
      </c>
      <c r="AB49" s="49">
        <f t="shared" ref="AB49:AB62" si="104">IFERROR(IF(W49&gt;0.01,1-EXP(-W49),W49),".")</f>
        <v>1.1681068157919642E-9</v>
      </c>
      <c r="AC49" s="49">
        <f t="shared" ref="AC49:AC62" si="105">IFERROR(IF(X49&gt;0.01,1-EXP(-X49),X49),".")</f>
        <v>1.6632742848255804E-10</v>
      </c>
      <c r="AD49" s="49">
        <f t="shared" ref="AD49:AD62" si="106">IFERROR(IF(Y49&gt;0.01,1-EXP(-Y49),Y49),".")</f>
        <v>6.4311544284749006E-10</v>
      </c>
      <c r="AE49" s="49">
        <f t="shared" ref="AE49:AE62" si="107">IFERROR(IF(Z49&gt;0.01,1-EXP(-Z49),Z49),".")</f>
        <v>1.1022537914084321E-9</v>
      </c>
      <c r="AF49" s="49">
        <f t="shared" ref="AF49:AF62" si="108">IFERROR(IF(AA49&gt;0.01,1-EXP(-AA49),AA49),".")</f>
        <v>1.0421978455479454E-10</v>
      </c>
      <c r="AG49" s="60">
        <f>IFERROR(AG23/$B49,0)</f>
        <v>0.19482595041070733</v>
      </c>
      <c r="AH49" s="60">
        <f>IFERROR(AH23/$B49,0)</f>
        <v>307474.13519150822</v>
      </c>
      <c r="AI49" s="60">
        <f t="shared" ref="AI49:AI62" si="109">IFERROR(IF(AND(AG49&lt;&gt;0,AH49&lt;&gt;0),1/((1/AG49)+(1/AH49)),IF(AND(AG49&lt;&gt;0,AH49=0),1/((1/AG49)),IF(AND(AG49=0,AH49&lt;&gt;0),1/((1/AH49)),IF(AND(AG49=".",AH49="."),".")))),".")</f>
        <v>0.19482582696251266</v>
      </c>
      <c r="AJ49" s="71">
        <f>IFERROR(s_RadSpec!$G$23*AJ23,".")*$B$49</f>
        <v>2.5663932291666662E-5</v>
      </c>
      <c r="AK49" s="71">
        <f>IFERROR(s_RadSpec!$J$23*AK23,".")*$B$49</f>
        <v>1.6261530410958901E-11</v>
      </c>
      <c r="AL49" s="49">
        <f t="shared" ref="AL49:AL62" si="110">IFERROR(IF(AJ49&gt;0.01,1-EXP(-AJ49),AJ49),".")</f>
        <v>2.5663932291666662E-5</v>
      </c>
      <c r="AM49" s="49">
        <f t="shared" ref="AM49:AM62" si="111">IFERROR(IF(AK49&gt;0.01,1-EXP(-AK49),AK49),".")</f>
        <v>1.6261530410958901E-11</v>
      </c>
      <c r="AN49" s="49">
        <f t="shared" ref="AN49:AN62" si="112">IFERROR(IF(SUM(AJ49:AK49)&gt;0.01,1-EXP(-SUM(AJ49:AK49)),SUM(AJ49:AK49)),".")</f>
        <v>2.5663948553197074E-5</v>
      </c>
      <c r="AO49" s="60">
        <f>IFERROR(AO23/$B49,0)</f>
        <v>5.1975051975051976</v>
      </c>
      <c r="AP49" s="60">
        <f>IFERROR(AP23/$B49,0)</f>
        <v>0.38965190082141465</v>
      </c>
      <c r="AQ49" s="60">
        <f>IFERROR(AQ23/$B49,0)</f>
        <v>349272295.09649903</v>
      </c>
      <c r="AR49" s="60">
        <f>IFERROR(AR23/$B49,0)</f>
        <v>10.042370864491518</v>
      </c>
      <c r="AS49" s="60">
        <f t="shared" ref="AS49:AS62" si="113">(IF(AND(AO49&lt;&gt;0,AP49&lt;&gt;0,AQ49&lt;&gt;0,AR49&lt;&gt;0),1/((1/AO49)+(1/AP49)+(1/AQ49)+(1/AR49)),IF(AND(AO49&lt;&gt;0,AP49&lt;&gt;0,AQ49&lt;&gt;0,AR49=0), 1/((1/AO49)+(1/AP49)+(1/AQ49)),IF(AND(AO49&lt;&gt;0,AP49&lt;&gt;0,AQ49=0,AR49&lt;&gt;0),1/((1/AO49)+(1/AP49)+(1/AR49)),IF(AND(AO49&lt;&gt;0,AP49=0,AQ49&lt;&gt;0,AR49&lt;&gt;0),1/((1/AO49)+(1/AQ49)+(1/AR49)),IF(AND(AO49=0,AP49&lt;&gt;0,AQ49&lt;&gt;0,AR49&lt;&gt;0),1/((1/AP49)+(1/AQ49)+(1/AR49)),IF(AND(AO49&lt;&gt;0,AP49&lt;&gt;0,AQ49=0,AR49=0),1/((1/AO49)+(1/AP49)),IF(AND(AO49&lt;&gt;0,AP49=0,AQ49&lt;&gt;0,AR49=0),1/((1/AO49)+(1/AQ49)),IF(AND(AO49&lt;&gt;0,AP49=0,AQ49=0,AR49&lt;&gt;0),1/((1/AO49)+(1/AR49)),IF(AND(AO49=0,AP49=0,AQ49&lt;&gt;0,AR49&lt;&gt;0),1/((1/AQ49)+(1/AR49)),IF(AND(AO49=0,AP49&lt;&gt;0,AQ49=0,AR49&lt;&gt;0),1/((1/AP49)+(1/AR49)),IF(AND(AO49=0,AP49&lt;&gt;0,AQ49&lt;&gt;0,AR49=0),1/((1/AP49)+(1/AQ49)),IF(AND(AO49&lt;&gt;0,AP49=0,AQ49=0,AR49=0),1/((1/AO49)),IF(AND(AO49=0,AP49&lt;&gt;0,AQ49=0,AR49=0),1/((1/AP49)),IF(AND(AO49=0,AP49=0,AQ49&lt;&gt;0,AR49=0),1/((1/AQ49)),IF(AND(AO49=0,AP49=0,AQ49=0,AR49&lt;&gt;0),1/((1/AR49)),IF(AND(AO49=0,AP49=0,AQ49=0,AR49=0),0)))))))))))))))))</f>
        <v>0.34984957906503078</v>
      </c>
      <c r="AT49" s="71">
        <f>IFERROR(s_RadSpec!$H$23*AT23,".")*$B$49</f>
        <v>9.6200000000000006E-7</v>
      </c>
      <c r="AU49" s="71">
        <f>IFERROR(s_RadSpec!$G$23*AU23,".")*$B$49</f>
        <v>1.2831966145833331E-5</v>
      </c>
      <c r="AV49" s="71">
        <f>IFERROR(s_RadSpec!$L$23*AV23,".")*$B$49</f>
        <v>1.4315478410958905E-14</v>
      </c>
      <c r="AW49" s="71">
        <f>s_b2w!AB49</f>
        <v>4.9789039535268834E-7</v>
      </c>
      <c r="AX49" s="49">
        <f t="shared" ref="AX49:AX62" si="114">IFERROR(IF(AT49&gt;0.01,1-EXP(-AT49),AT49),".")</f>
        <v>9.6200000000000006E-7</v>
      </c>
      <c r="AY49" s="49">
        <f t="shared" ref="AY49:AY62" si="115">IFERROR(IF(AP49&lt;&gt;0,IF(AU49&gt;0.01,1-EXP(-AU49),AU49),0),".")</f>
        <v>1.2831966145833331E-5</v>
      </c>
      <c r="AZ49" s="49">
        <f>IFERROR(IF(AV49&gt;0.01,1-EXP(-AV49),AV49),".")</f>
        <v>1.4315478410958905E-14</v>
      </c>
      <c r="BA49" s="49">
        <f t="shared" si="62"/>
        <v>4.9789039535268834E-7</v>
      </c>
      <c r="BB49" s="49">
        <f t="shared" si="63"/>
        <v>1.4291856555501497E-5</v>
      </c>
      <c r="BC49" s="60">
        <f>IFERROR(BC23/$B49,0)</f>
        <v>0.70705106676329688</v>
      </c>
      <c r="BD49" s="71">
        <f>IFERROR(s_RadSpec!$E$23*BD23,".")*$B$49</f>
        <v>7.0716249999999994E-6</v>
      </c>
      <c r="BE49" s="49">
        <f t="shared" ref="BE49:BE62" si="116">IFERROR(IF(BD49&gt;0.01,1-EXP(-BD49),BD49),".")</f>
        <v>7.0716249999999994E-6</v>
      </c>
    </row>
    <row r="50" spans="1:57" x14ac:dyDescent="0.25">
      <c r="A50" s="48" t="s">
        <v>1090</v>
      </c>
      <c r="B50" s="15">
        <v>1</v>
      </c>
      <c r="C50" s="60">
        <f>IFERROR(C25/$B50,0)</f>
        <v>0</v>
      </c>
      <c r="D50" s="60">
        <f>IFERROR(D25/$B50,0)</f>
        <v>745392755.04087865</v>
      </c>
      <c r="E50" s="60">
        <f>IFERROR(E25/$B50,0)</f>
        <v>92352.476864365366</v>
      </c>
      <c r="F50" s="60">
        <f>IFERROR(F25/$B50,0)</f>
        <v>0</v>
      </c>
      <c r="G50" s="60">
        <f>IFERROR(G25/$B50,0)</f>
        <v>0</v>
      </c>
      <c r="H50" s="60">
        <f t="shared" ref="H50:H62" si="117">(IF(AND(C50&lt;&gt;0,D50&lt;&gt;0,E50&lt;&gt;0,F50&lt;&gt;0),1/((1/C50)+(1/D50)+(1/E50)+(1/F50)),IF(AND(C50&lt;&gt;0,D50&lt;&gt;0,E50&lt;&gt;0,F50=0), 1/((1/C50)+(1/D50)+(1/E50)),IF(AND(C50&lt;&gt;0,D50&lt;&gt;0,E50=0,F50&lt;&gt;0),1/((1/C50)+(1/D50)+(1/F50)),IF(AND(C50&lt;&gt;0,D50=0,E50&lt;&gt;0,F50&lt;&gt;0),1/((1/C50)+(1/E50)+(1/F50)),IF(AND(C50=0,D50&lt;&gt;0,E50&lt;&gt;0,F50&lt;&gt;0),1/((1/D50)+(1/E50)+(1/F50)),IF(AND(C50&lt;&gt;0,D50&lt;&gt;0,E50=0,F50=0),1/((1/C50)+(1/D50)),IF(AND(C50&lt;&gt;0,D50=0,E50&lt;&gt;0,F50=0),1/((1/C50)+(1/E50)),IF(AND(C50&lt;&gt;0,D50=0,E50=0,F50&lt;&gt;0),1/((1/C50)+(1/F50)),IF(AND(C50=0,D50=0,E50&lt;&gt;0,F50&lt;&gt;0),1/((1/E50)+(1/F50)),IF(AND(C50=0,D50&lt;&gt;0,E50=0,F50&lt;&gt;0),1/((1/D50)+(1/F50)),IF(AND(C50=0,D50&lt;&gt;0,E50&lt;&gt;0,F50=0),1/((1/D50)+(1/E50)),IF(AND(C50&lt;&gt;0,D50=0,E50=0,F50=0),1/((1/C50)),IF(AND(C50=0,D50&lt;&gt;0,E50=0,F50=0),1/((1/D50)),IF(AND(C50=0,D50=0,E50&lt;&gt;0,F50=0),1/((1/E50)),IF(AND(C50=0,D50=0,E50=0,F50&lt;&gt;0),1/((1/F50)),IF(AND(C50=0,D50=0,E50=0,F50=0),0)))))))))))))))))</f>
        <v>92341.03601880456</v>
      </c>
      <c r="I50" s="71">
        <f>IFERROR(s_RadSpec!$D$25*I25,".")*$B$50</f>
        <v>0</v>
      </c>
      <c r="J50" s="71">
        <f>IFERROR(s_RadSpec!$G$25*$J$25,".")*B50</f>
        <v>6.707873085948883E-15</v>
      </c>
      <c r="K50" s="71">
        <f>IFERROR(s_RadSpec!$F$25*$K$25,".")*B50</f>
        <v>5.4140399583904091E-11</v>
      </c>
      <c r="L50" s="71">
        <f>s_b2s!AB50</f>
        <v>0</v>
      </c>
      <c r="M50" s="49">
        <f t="shared" si="101"/>
        <v>0</v>
      </c>
      <c r="N50" s="49">
        <f t="shared" si="102"/>
        <v>6.707873085948883E-15</v>
      </c>
      <c r="O50" s="49">
        <f t="shared" si="103"/>
        <v>5.4140399583904091E-11</v>
      </c>
      <c r="P50" s="49">
        <f t="shared" si="47"/>
        <v>0</v>
      </c>
      <c r="Q50" s="49">
        <f t="shared" si="82"/>
        <v>5.4147107456990042E-11</v>
      </c>
      <c r="R50" s="60">
        <f>IFERROR(R25/$B50,0)</f>
        <v>92352.476864365366</v>
      </c>
      <c r="S50" s="60">
        <f>IFERROR(S25/$B50,0)</f>
        <v>784708.69291398232</v>
      </c>
      <c r="T50" s="60">
        <f>IFERROR(T25/$B50,0)</f>
        <v>199460.62660343619</v>
      </c>
      <c r="U50" s="60">
        <f>IFERROR(U25/$B50,0)</f>
        <v>116367.36820022865</v>
      </c>
      <c r="V50" s="60">
        <f>IFERROR(V25/$B50,0)</f>
        <v>1433158.5807236682</v>
      </c>
      <c r="W50" s="71">
        <f>IFERROR(s_RadSpec!$F$25*$W$25,".")*$B$50</f>
        <v>5.4140399583904091E-11</v>
      </c>
      <c r="X50" s="71">
        <f>IFERROR(s_RadSpec!$M$25*$X$25,".")*$B$50</f>
        <v>6.3717912712712699E-12</v>
      </c>
      <c r="Y50" s="71">
        <f>IFERROR(s_RadSpec!$N$25*$Y$25,".")*$B$50</f>
        <v>2.5067603993548583E-11</v>
      </c>
      <c r="Z50" s="71">
        <f>IFERROR(s_RadSpec!$O$25*$Z$25,".")*$B$50</f>
        <v>4.2967372016154052E-11</v>
      </c>
      <c r="AA50" s="71">
        <f>IFERROR(s_RadSpec!$K$25*$AA$25,".")*$B$50</f>
        <v>3.4887974486921527E-12</v>
      </c>
      <c r="AB50" s="49">
        <f t="shared" si="104"/>
        <v>5.4140399583904091E-11</v>
      </c>
      <c r="AC50" s="49">
        <f t="shared" si="105"/>
        <v>6.3717912712712699E-12</v>
      </c>
      <c r="AD50" s="49">
        <f t="shared" si="106"/>
        <v>2.5067603993548583E-11</v>
      </c>
      <c r="AE50" s="49">
        <f t="shared" si="107"/>
        <v>4.2967372016154052E-11</v>
      </c>
      <c r="AF50" s="49">
        <f t="shared" si="108"/>
        <v>3.4887974486921527E-12</v>
      </c>
      <c r="AG50" s="60">
        <f>IFERROR(AG25/$B50,0)</f>
        <v>2406.0150375939847</v>
      </c>
      <c r="AH50" s="60">
        <f>IFERROR(AH25/$B50,0)</f>
        <v>5397387.6968869064</v>
      </c>
      <c r="AI50" s="60">
        <f t="shared" si="109"/>
        <v>2404.942976572775</v>
      </c>
      <c r="AJ50" s="71">
        <f>IFERROR(s_RadSpec!$G$25*AJ$25,".")*$B$50</f>
        <v>2.0781249999999998E-9</v>
      </c>
      <c r="AK50" s="71">
        <f>IFERROR(s_RadSpec!$J$25*$AK$25,".")*$B$50</f>
        <v>9.2637406849315067E-13</v>
      </c>
      <c r="AL50" s="49">
        <f t="shared" si="110"/>
        <v>2.0781249999999998E-9</v>
      </c>
      <c r="AM50" s="49">
        <f t="shared" si="111"/>
        <v>9.2637406849315067E-13</v>
      </c>
      <c r="AN50" s="49">
        <f t="shared" si="112"/>
        <v>2.0790513740684931E-9</v>
      </c>
      <c r="AO50" s="60">
        <f>IFERROR(AO25/$B50,0)</f>
        <v>0</v>
      </c>
      <c r="AP50" s="60">
        <f>IFERROR(AP25/$B50,0)</f>
        <v>4812.0300751879695</v>
      </c>
      <c r="AQ50" s="60">
        <f>IFERROR(AQ25/$B50,0)</f>
        <v>6231203404.2132893</v>
      </c>
      <c r="AR50" s="60">
        <f>IFERROR(AR25/$B50,0)</f>
        <v>0</v>
      </c>
      <c r="AS50" s="60">
        <f t="shared" si="113"/>
        <v>4812.0263591135517</v>
      </c>
      <c r="AT50" s="71">
        <f>IFERROR(s_RadSpec!$H$25*AT25,".")*$B$50</f>
        <v>0</v>
      </c>
      <c r="AU50" s="71">
        <f>IFERROR(s_RadSpec!$G$25*AU25,".")*$B$50</f>
        <v>1.0390624999999999E-9</v>
      </c>
      <c r="AV50" s="71">
        <f>IFERROR(s_RadSpec!$L$25*AV25,".")*$B$50</f>
        <v>8.024132219178082E-16</v>
      </c>
      <c r="AW50" s="71">
        <f>s_b2w!AB50</f>
        <v>0</v>
      </c>
      <c r="AX50" s="49">
        <f t="shared" si="114"/>
        <v>0</v>
      </c>
      <c r="AY50" s="49">
        <f t="shared" si="115"/>
        <v>1.0390624999999999E-9</v>
      </c>
      <c r="AZ50" s="49">
        <f t="shared" ref="AZ50:AZ62" si="118">IFERROR(IF(AV50&gt;0.01,1-EXP(-AV50),AV50),".")</f>
        <v>8.024132219178082E-16</v>
      </c>
      <c r="BA50" s="49">
        <f t="shared" si="62"/>
        <v>0</v>
      </c>
      <c r="BB50" s="49">
        <f t="shared" si="63"/>
        <v>1.0390633024132218E-9</v>
      </c>
      <c r="BC50" s="60">
        <f>IFERROR(BC25/$B50,0)</f>
        <v>0</v>
      </c>
      <c r="BD50" s="71">
        <f>IFERROR(s_RadSpec!$E$25*BD25,".")*$B$50</f>
        <v>0</v>
      </c>
      <c r="BE50" s="49">
        <f t="shared" si="116"/>
        <v>0</v>
      </c>
    </row>
    <row r="51" spans="1:57" x14ac:dyDescent="0.25">
      <c r="A51" s="48" t="s">
        <v>1076</v>
      </c>
      <c r="B51" s="15">
        <v>1</v>
      </c>
      <c r="C51" s="60">
        <f>IFERROR(C21/$B51,0)</f>
        <v>0</v>
      </c>
      <c r="D51" s="60">
        <f>IFERROR(D21/$B51,0)</f>
        <v>122265861.97792831</v>
      </c>
      <c r="E51" s="60">
        <f>IFERROR(E21/$B51,0)</f>
        <v>0</v>
      </c>
      <c r="F51" s="60">
        <f>IFERROR(F21/$B51,0)</f>
        <v>0</v>
      </c>
      <c r="G51" s="60">
        <f>IFERROR(G21/$B51,0)</f>
        <v>0</v>
      </c>
      <c r="H51" s="60">
        <f t="shared" si="117"/>
        <v>122265861.97792831</v>
      </c>
      <c r="I51" s="71">
        <f>IFERROR(s_RadSpec!$D$21*I21,".")*$B$51</f>
        <v>0</v>
      </c>
      <c r="J51" s="71">
        <f>IFERROR(s_RadSpec!$G$21*$J$21,".")*B51</f>
        <v>4.0894489427495383E-14</v>
      </c>
      <c r="K51" s="71">
        <f>IFERROR(s_RadSpec!$F$21*$K$21,".")*B51</f>
        <v>0</v>
      </c>
      <c r="L51" s="71">
        <f>s_b2s!AB51</f>
        <v>0</v>
      </c>
      <c r="M51" s="49">
        <f t="shared" si="101"/>
        <v>0</v>
      </c>
      <c r="N51" s="49">
        <f t="shared" si="102"/>
        <v>4.0894489427495383E-14</v>
      </c>
      <c r="O51" s="49">
        <f t="shared" si="103"/>
        <v>0</v>
      </c>
      <c r="P51" s="49">
        <f t="shared" si="47"/>
        <v>0</v>
      </c>
      <c r="Q51" s="49">
        <f t="shared" si="82"/>
        <v>4.0894489427495383E-14</v>
      </c>
      <c r="R51" s="60">
        <f>IFERROR(R21/$B51,0)</f>
        <v>0</v>
      </c>
      <c r="S51" s="60">
        <f>IFERROR(S21/$B51,0)</f>
        <v>0</v>
      </c>
      <c r="T51" s="60">
        <f>IFERROR(T21/$B51,0)</f>
        <v>0</v>
      </c>
      <c r="U51" s="60">
        <f>IFERROR(U21/$B51,0)</f>
        <v>0</v>
      </c>
      <c r="V51" s="60">
        <f>IFERROR(V21/$B51,0)</f>
        <v>0</v>
      </c>
      <c r="W51" s="71">
        <f>IFERROR(s_RadSpec!$F$21*$W$21,".")*$B$51</f>
        <v>0</v>
      </c>
      <c r="X51" s="71">
        <f>IFERROR(s_RadSpec!$M$21*$X$21,".")*$B$51</f>
        <v>0</v>
      </c>
      <c r="Y51" s="71">
        <f>IFERROR(s_RadSpec!$N$21*$Y$21,".")*$B$51</f>
        <v>0</v>
      </c>
      <c r="Z51" s="71">
        <f>IFERROR(s_RadSpec!$O$21*$Z$21,".")*$B$51</f>
        <v>0</v>
      </c>
      <c r="AA51" s="71">
        <f>IFERROR(s_RadSpec!$K$21*$AA$21,".")*$B$51</f>
        <v>0</v>
      </c>
      <c r="AB51" s="49">
        <f t="shared" si="104"/>
        <v>0</v>
      </c>
      <c r="AC51" s="49">
        <f t="shared" si="105"/>
        <v>0</v>
      </c>
      <c r="AD51" s="49">
        <f t="shared" si="106"/>
        <v>0</v>
      </c>
      <c r="AE51" s="49">
        <f t="shared" si="107"/>
        <v>0</v>
      </c>
      <c r="AF51" s="49">
        <f t="shared" si="108"/>
        <v>0</v>
      </c>
      <c r="AG51" s="60">
        <f>IFERROR(AG21/$B51,0)</f>
        <v>394.65570400822202</v>
      </c>
      <c r="AH51" s="60">
        <f>IFERROR(AH21/$B51,0)</f>
        <v>221963576883.81067</v>
      </c>
      <c r="AI51" s="60">
        <f t="shared" si="109"/>
        <v>394.65570330651622</v>
      </c>
      <c r="AJ51" s="71">
        <f>IFERROR(s_RadSpec!$G$21*AJ21,".")*$B$51</f>
        <v>1.2669270833333332E-8</v>
      </c>
      <c r="AK51" s="71">
        <f>IFERROR(s_RadSpec!$J$21*$AK$21,".")*$B$51</f>
        <v>2.2526218356164382E-17</v>
      </c>
      <c r="AL51" s="49">
        <f t="shared" si="110"/>
        <v>1.2669270833333332E-8</v>
      </c>
      <c r="AM51" s="49">
        <f t="shared" si="111"/>
        <v>2.2526218356164382E-17</v>
      </c>
      <c r="AN51" s="49">
        <f t="shared" si="112"/>
        <v>1.2669270855859549E-8</v>
      </c>
      <c r="AO51" s="60">
        <f>IFERROR(AO21/$B51,0)</f>
        <v>0</v>
      </c>
      <c r="AP51" s="60">
        <f>IFERROR(AP21/$B51,0)</f>
        <v>0</v>
      </c>
      <c r="AQ51" s="60">
        <f>IFERROR(AQ21/$B51,0)</f>
        <v>433162176597736.69</v>
      </c>
      <c r="AR51" s="60">
        <f>IFERROR(AR21/$B51,0)</f>
        <v>0</v>
      </c>
      <c r="AS51" s="60">
        <f t="shared" si="113"/>
        <v>433162176597736.63</v>
      </c>
      <c r="AT51" s="71">
        <f>IFERROR(s_RadSpec!$H$21*AT21,".")*$B$51</f>
        <v>0</v>
      </c>
      <c r="AU51" s="71">
        <f>IFERROR(s_RadSpec!$G$21*AU21,".")*$B$51</f>
        <v>6.3346354166666658E-9</v>
      </c>
      <c r="AV51" s="71">
        <f>IFERROR(s_RadSpec!$L$21*AV21,".")*$B$51</f>
        <v>1.1543020767123286E-20</v>
      </c>
      <c r="AW51" s="71">
        <f>s_b2w!AB51</f>
        <v>0</v>
      </c>
      <c r="AX51" s="49">
        <f t="shared" si="114"/>
        <v>0</v>
      </c>
      <c r="AY51" s="49">
        <f t="shared" si="115"/>
        <v>0</v>
      </c>
      <c r="AZ51" s="49">
        <f t="shared" si="118"/>
        <v>1.1543020767123286E-20</v>
      </c>
      <c r="BA51" s="49">
        <f t="shared" si="62"/>
        <v>0</v>
      </c>
      <c r="BB51" s="49">
        <f t="shared" si="63"/>
        <v>6.3346354166782092E-9</v>
      </c>
      <c r="BC51" s="60">
        <f>IFERROR(BC21/$B51,0)</f>
        <v>0</v>
      </c>
      <c r="BD51" s="71">
        <f>IFERROR(s_RadSpec!$E$21*BD21,".")*$B$51</f>
        <v>0</v>
      </c>
      <c r="BE51" s="49">
        <f t="shared" si="116"/>
        <v>0</v>
      </c>
    </row>
    <row r="52" spans="1:57" x14ac:dyDescent="0.25">
      <c r="A52" s="48" t="s">
        <v>1077</v>
      </c>
      <c r="B52" s="51">
        <v>0.99980000000000002</v>
      </c>
      <c r="C52" s="60">
        <f>IFERROR(C17/$B52,0)</f>
        <v>229672.33231716033</v>
      </c>
      <c r="D52" s="60">
        <f>IFERROR(D17/$B52,0)</f>
        <v>21876904.100166284</v>
      </c>
      <c r="E52" s="60">
        <f>IFERROR(E17/$B52,0)</f>
        <v>216.30741600040082</v>
      </c>
      <c r="F52" s="60">
        <f>IFERROR(F17/$B52,0)</f>
        <v>4832.1194785891657</v>
      </c>
      <c r="G52" s="60">
        <f>IFERROR(G17/$B52,0)</f>
        <v>187.59495845752789</v>
      </c>
      <c r="H52" s="60">
        <f t="shared" si="117"/>
        <v>206.85097603250159</v>
      </c>
      <c r="I52" s="71">
        <f>IFERROR(s_RadSpec!$D$17*I17,".")*$B$52</f>
        <v>2.1770145099999999E-11</v>
      </c>
      <c r="J52" s="71">
        <f>IFERROR(s_RadSpec!$G$17*$J$17,".")*B52</f>
        <v>2.2855153439933008E-13</v>
      </c>
      <c r="K52" s="71">
        <f>IFERROR(s_RadSpec!$F$17*$K$17,".")*B52</f>
        <v>2.3115250010617921E-8</v>
      </c>
      <c r="L52" s="71">
        <f>s_b2s!AB52</f>
        <v>6.5326390278055623E-10</v>
      </c>
      <c r="M52" s="49">
        <f t="shared" si="101"/>
        <v>2.1770145099999999E-11</v>
      </c>
      <c r="N52" s="49">
        <f t="shared" si="102"/>
        <v>2.2855153439933008E-13</v>
      </c>
      <c r="O52" s="49">
        <f t="shared" si="103"/>
        <v>2.3115250010617921E-8</v>
      </c>
      <c r="P52" s="49">
        <f t="shared" si="47"/>
        <v>6.5326390278055623E-10</v>
      </c>
      <c r="Q52" s="49">
        <f t="shared" si="82"/>
        <v>2.3790512610032878E-8</v>
      </c>
      <c r="R52" s="60">
        <f>IFERROR(R17/$B52,0)</f>
        <v>216.30741600040082</v>
      </c>
      <c r="S52" s="60">
        <f>IFERROR(S17/$B52,0)</f>
        <v>1661.7464985570132</v>
      </c>
      <c r="T52" s="60">
        <f>IFERROR(T17/$B52,0)</f>
        <v>449.52533548079589</v>
      </c>
      <c r="U52" s="60">
        <f>IFERROR(U17/$B52,0)</f>
        <v>270.43354531984232</v>
      </c>
      <c r="V52" s="60">
        <f>IFERROR(V17/$B52,0)</f>
        <v>3227.4766759251188</v>
      </c>
      <c r="W52" s="71">
        <f>IFERROR(s_RadSpec!$F$17*$W$17,".")*$B$52</f>
        <v>2.3115250010617921E-8</v>
      </c>
      <c r="X52" s="71">
        <f>IFERROR(s_RadSpec!$M$17*$X$17,".")*$B$52</f>
        <v>3.0088825247062512E-9</v>
      </c>
      <c r="Y52" s="71">
        <f>IFERROR(s_RadSpec!$N$17*$Y$17,".")*$B$52</f>
        <v>1.1122843598241648E-8</v>
      </c>
      <c r="Z52" s="71">
        <f>IFERROR(s_RadSpec!$O$17*$Z$17,".")*$B$52</f>
        <v>1.8488830570506657E-8</v>
      </c>
      <c r="AA52" s="71">
        <f>IFERROR(s_RadSpec!$K$17*$AA$17,".")*$B$52</f>
        <v>1.5491978725351465E-9</v>
      </c>
      <c r="AB52" s="49">
        <f t="shared" si="104"/>
        <v>2.3115250010617921E-8</v>
      </c>
      <c r="AC52" s="49">
        <f t="shared" si="105"/>
        <v>3.0088825247062512E-9</v>
      </c>
      <c r="AD52" s="49">
        <f t="shared" si="106"/>
        <v>1.1122843598241648E-8</v>
      </c>
      <c r="AE52" s="49">
        <f t="shared" si="107"/>
        <v>1.8488830570506657E-8</v>
      </c>
      <c r="AF52" s="49">
        <f t="shared" si="108"/>
        <v>1.5491978725351465E-9</v>
      </c>
      <c r="AG52" s="60">
        <f>IFERROR(AG17/$B52,0)</f>
        <v>70.615336525661448</v>
      </c>
      <c r="AH52" s="60">
        <f>IFERROR(AH17/$B52,0)</f>
        <v>8595.49790676669</v>
      </c>
      <c r="AI52" s="60">
        <f t="shared" si="109"/>
        <v>70.039931426207886</v>
      </c>
      <c r="AJ52" s="71">
        <f>IFERROR(s_RadSpec!$G$17*AJ17,".")*$B$52</f>
        <v>7.0806148437499995E-8</v>
      </c>
      <c r="AK52" s="71">
        <f>IFERROR(s_RadSpec!$J$17*$AK$17,".")*$B$52</f>
        <v>5.8169986826054795E-10</v>
      </c>
      <c r="AL52" s="49">
        <f t="shared" si="110"/>
        <v>7.0806148437499995E-8</v>
      </c>
      <c r="AM52" s="49">
        <f t="shared" si="111"/>
        <v>5.8169986826054795E-10</v>
      </c>
      <c r="AN52" s="49">
        <f t="shared" si="112"/>
        <v>7.1387848305760545E-8</v>
      </c>
      <c r="AO52" s="60">
        <f>IFERROR(AO17/$B52,0)</f>
        <v>5807.1822800708424</v>
      </c>
      <c r="AP52" s="60">
        <f>IFERROR(AP17/$B52,0)</f>
        <v>0</v>
      </c>
      <c r="AQ52" s="60">
        <f>IFERROR(AQ17/$B52,0)</f>
        <v>9821818.9432033002</v>
      </c>
      <c r="AR52" s="60">
        <f>IFERROR(AR17/$B52,0)</f>
        <v>11214.155515942764</v>
      </c>
      <c r="AS52" s="60">
        <f t="shared" si="113"/>
        <v>3824.4518915204621</v>
      </c>
      <c r="AT52" s="71">
        <f>IFERROR(s_RadSpec!$H$17*AT17,".")*$B$52</f>
        <v>8.6100276500000004E-10</v>
      </c>
      <c r="AU52" s="71">
        <f>IFERROR(s_RadSpec!$G$17*AU17,".")*$B$52</f>
        <v>3.5403074218749997E-8</v>
      </c>
      <c r="AV52" s="71">
        <f>IFERROR(s_RadSpec!$L$17*AV17,".")*$B$52</f>
        <v>5.0907067508712322E-13</v>
      </c>
      <c r="AW52" s="71">
        <f>s_b2w!AB52</f>
        <v>4.4604344866172703E-10</v>
      </c>
      <c r="AX52" s="49">
        <f t="shared" si="114"/>
        <v>8.6100276500000004E-10</v>
      </c>
      <c r="AY52" s="49">
        <f t="shared" si="115"/>
        <v>0</v>
      </c>
      <c r="AZ52" s="49">
        <f t="shared" si="118"/>
        <v>5.0907067508712322E-13</v>
      </c>
      <c r="BA52" s="49">
        <f t="shared" si="62"/>
        <v>4.4604344866172703E-10</v>
      </c>
      <c r="BB52" s="49">
        <f t="shared" si="63"/>
        <v>3.6710629503086809E-8</v>
      </c>
      <c r="BC52" s="60">
        <f>IFERROR(BC17/$B52,0)</f>
        <v>750.37983383011147</v>
      </c>
      <c r="BD52" s="71">
        <f>IFERROR(s_RadSpec!$E$17*BD17,".")*$B$52</f>
        <v>6.6632920750000007E-9</v>
      </c>
      <c r="BE52" s="49">
        <f t="shared" si="116"/>
        <v>6.6632920750000007E-9</v>
      </c>
    </row>
    <row r="53" spans="1:57" x14ac:dyDescent="0.25">
      <c r="A53" s="48" t="s">
        <v>1091</v>
      </c>
      <c r="B53" s="15">
        <v>2.0000000000000001E-4</v>
      </c>
      <c r="C53" s="60">
        <f>IFERROR(C5/$B53,0)</f>
        <v>0</v>
      </c>
      <c r="D53" s="60">
        <f>IFERROR(D5/$B53,0)</f>
        <v>0</v>
      </c>
      <c r="E53" s="60">
        <f>IFERROR(E5/$B53,0)</f>
        <v>0</v>
      </c>
      <c r="F53" s="60">
        <f>IFERROR(F5/$B53,0)</f>
        <v>0</v>
      </c>
      <c r="G53" s="60">
        <f>IFERROR(G5/$B53,0)</f>
        <v>0</v>
      </c>
      <c r="H53" s="60">
        <f t="shared" si="117"/>
        <v>0</v>
      </c>
      <c r="I53" s="71">
        <f>IFERROR(s_RadSpec!$D$5*I5,".")*$B$53</f>
        <v>0</v>
      </c>
      <c r="J53" s="71">
        <f>IFERROR(s_RadSpec!$G$5*$J$5,".")*B53</f>
        <v>0</v>
      </c>
      <c r="K53" s="71">
        <f>IFERROR(s_RadSpec!$F$5*$K$5,".")*B53</f>
        <v>0</v>
      </c>
      <c r="L53" s="71">
        <f>s_b2s!AB53</f>
        <v>0</v>
      </c>
      <c r="M53" s="49">
        <f t="shared" si="101"/>
        <v>0</v>
      </c>
      <c r="N53" s="49">
        <f t="shared" si="102"/>
        <v>0</v>
      </c>
      <c r="O53" s="49">
        <f t="shared" si="103"/>
        <v>0</v>
      </c>
      <c r="P53" s="49">
        <f t="shared" si="47"/>
        <v>0</v>
      </c>
      <c r="Q53" s="49">
        <f t="shared" si="82"/>
        <v>0</v>
      </c>
      <c r="R53" s="60">
        <f>IFERROR(R5/$B53,0)</f>
        <v>0</v>
      </c>
      <c r="S53" s="60">
        <f>IFERROR(S5/$B53,0)</f>
        <v>0</v>
      </c>
      <c r="T53" s="60">
        <f>IFERROR(T5/$B53,0)</f>
        <v>0</v>
      </c>
      <c r="U53" s="60">
        <f>IFERROR(U5/$B53,0)</f>
        <v>0</v>
      </c>
      <c r="V53" s="60">
        <f>IFERROR(V5/$B53,0)</f>
        <v>0</v>
      </c>
      <c r="W53" s="71">
        <f>IFERROR(s_RadSpec!$F$5*$W$5,".")*$B$53</f>
        <v>0</v>
      </c>
      <c r="X53" s="71">
        <f>IFERROR(s_RadSpec!$M$5*$X$5,".")*$B$53</f>
        <v>0</v>
      </c>
      <c r="Y53" s="71">
        <f>IFERROR(s_RadSpec!$N$5*$Y$5,".")*$B$53</f>
        <v>0</v>
      </c>
      <c r="Z53" s="71">
        <f>IFERROR(s_RadSpec!$O$5*$Z$5,".")*$B$53</f>
        <v>0</v>
      </c>
      <c r="AA53" s="71">
        <f>IFERROR(s_RadSpec!$K$5*$AA$5,".")*$B$53</f>
        <v>0</v>
      </c>
      <c r="AB53" s="49">
        <f t="shared" si="104"/>
        <v>0</v>
      </c>
      <c r="AC53" s="49">
        <f t="shared" si="105"/>
        <v>0</v>
      </c>
      <c r="AD53" s="49">
        <f t="shared" si="106"/>
        <v>0</v>
      </c>
      <c r="AE53" s="49">
        <f t="shared" si="107"/>
        <v>0</v>
      </c>
      <c r="AF53" s="49">
        <f t="shared" si="108"/>
        <v>0</v>
      </c>
      <c r="AG53" s="60">
        <f>IFERROR(AG5/$B53,0)</f>
        <v>0</v>
      </c>
      <c r="AH53" s="60">
        <f>IFERROR(AH5/$B53,0)</f>
        <v>1420903200506.2122</v>
      </c>
      <c r="AI53" s="60">
        <f t="shared" si="109"/>
        <v>1420903200506.2122</v>
      </c>
      <c r="AJ53" s="71">
        <f>IFERROR(s_RadSpec!$G$5*AJ5,".")*$B$53</f>
        <v>0</v>
      </c>
      <c r="AK53" s="71">
        <f>IFERROR(s_RadSpec!$J$5*$AK$5,".")*$B$53</f>
        <v>3.5188885479452048E-18</v>
      </c>
      <c r="AL53" s="49">
        <f t="shared" si="110"/>
        <v>0</v>
      </c>
      <c r="AM53" s="49">
        <f t="shared" si="111"/>
        <v>3.5188885479452048E-18</v>
      </c>
      <c r="AN53" s="49">
        <f t="shared" si="112"/>
        <v>3.5188885479452048E-18</v>
      </c>
      <c r="AO53" s="60">
        <f>IFERROR(AO5/$B53,0)</f>
        <v>0</v>
      </c>
      <c r="AP53" s="60">
        <f>IFERROR(AP5/$B53,0)</f>
        <v>0</v>
      </c>
      <c r="AQ53" s="60">
        <f>IFERROR(AQ5/$B53,0)</f>
        <v>2136209823084510</v>
      </c>
      <c r="AR53" s="60">
        <f>IFERROR(AR5/$B53,0)</f>
        <v>0</v>
      </c>
      <c r="AS53" s="60">
        <f t="shared" si="113"/>
        <v>2136209823084510.3</v>
      </c>
      <c r="AT53" s="71">
        <f>IFERROR(s_RadSpec!$H$5*AT5,".")*$B$53</f>
        <v>0</v>
      </c>
      <c r="AU53" s="71">
        <f>IFERROR(s_RadSpec!$G$5*AU5,".")*$B$53</f>
        <v>0</v>
      </c>
      <c r="AV53" s="71">
        <f>IFERROR(s_RadSpec!$L$5*AV5,".")*$B$53</f>
        <v>2.3405940493150688E-21</v>
      </c>
      <c r="AW53" s="71">
        <f>s_b2w!AB53</f>
        <v>0</v>
      </c>
      <c r="AX53" s="49">
        <f t="shared" si="114"/>
        <v>0</v>
      </c>
      <c r="AY53" s="49">
        <f t="shared" si="115"/>
        <v>0</v>
      </c>
      <c r="AZ53" s="49">
        <f t="shared" si="118"/>
        <v>2.3405940493150688E-21</v>
      </c>
      <c r="BA53" s="49">
        <f t="shared" si="62"/>
        <v>0</v>
      </c>
      <c r="BB53" s="49">
        <f t="shared" si="63"/>
        <v>2.3405940493150688E-21</v>
      </c>
      <c r="BC53" s="60">
        <f>IFERROR(BC5/$B53,0)</f>
        <v>0</v>
      </c>
      <c r="BD53" s="71">
        <f>IFERROR(s_RadSpec!$E$5*BD5,".")*$B$53</f>
        <v>0</v>
      </c>
      <c r="BE53" s="49">
        <f t="shared" si="116"/>
        <v>0</v>
      </c>
    </row>
    <row r="54" spans="1:57" x14ac:dyDescent="0.25">
      <c r="A54" s="48" t="s">
        <v>1092</v>
      </c>
      <c r="B54" s="15">
        <v>0.99999979999999999</v>
      </c>
      <c r="C54" s="60">
        <f>IFERROR(C9/$B54,0)</f>
        <v>450826.22906477912</v>
      </c>
      <c r="D54" s="60">
        <f>IFERROR(D9/$B54,0)</f>
        <v>27499932.384989772</v>
      </c>
      <c r="E54" s="60">
        <f>IFERROR(E9/$B54,0)</f>
        <v>10.817918788496522</v>
      </c>
      <c r="F54" s="60">
        <f>IFERROR(F9/$B54,0)</f>
        <v>3019.1915020404972</v>
      </c>
      <c r="G54" s="60">
        <f>IFERROR(G9/$B54,0)</f>
        <v>342.6782354815964</v>
      </c>
      <c r="H54" s="60">
        <f>(IF(AND(C54&lt;&gt;0,D54&lt;&gt;0,E54&lt;&gt;0,F54&lt;&gt;0),1/((1/C54)+(1/D54)+(1/E54)+(1/F54)),IF(AND(C54&lt;&gt;0,D54&lt;&gt;0,E54&lt;&gt;0,F54=0), 1/((1/C54)+(1/D54)+(1/E54)),IF(AND(C54&lt;&gt;0,D54&lt;&gt;0,E54=0,F54&lt;&gt;0),1/((1/C54)+(1/D54)+(1/F54)),IF(AND(C54&lt;&gt;0,D54=0,E54&lt;&gt;0,F54&lt;&gt;0),1/((1/C54)+(1/E54)+(1/F54)),IF(AND(C54=0,D54&lt;&gt;0,E54&lt;&gt;0,F54&lt;&gt;0),1/((1/D54)+(1/E54)+(1/F54)),IF(AND(C54&lt;&gt;0,D54&lt;&gt;0,E54=0,F54=0),1/((1/C54)+(1/D54)),IF(AND(C54&lt;&gt;0,D54=0,E54&lt;&gt;0,F54=0),1/((1/C54)+(1/E54)),IF(AND(C54&lt;&gt;0,D54=0,E54=0,F54&lt;&gt;0),1/((1/C54)+(1/F54)),IF(AND(C54=0,D54=0,E54&lt;&gt;0,F54&lt;&gt;0),1/((1/E54)+(1/F54)),IF(AND(C54=0,D54&lt;&gt;0,E54=0,F54&lt;&gt;0),1/((1/D54)+(1/F54)),IF(AND(C54=0,D54&lt;&gt;0,E54&lt;&gt;0,F54=0),1/((1/D54)+(1/E54)),IF(AND(C54&lt;&gt;0,D54=0,E54=0,F54=0),1/((1/C54)),IF(AND(C54=0,D54&lt;&gt;0,E54=0,F54=0),1/((1/D54)),IF(AND(C54=0,D54=0,E54&lt;&gt;0,F54=0),1/((1/E54)),IF(AND(C54=0,D54=0,E54=0,F54&lt;&gt;0),1/((1/F54)),IF(AND(C54=0,D54=0,E54=0,F54=0),0)))))))))))))))))</f>
        <v>10.77903406241311</v>
      </c>
      <c r="I54" s="71">
        <f>IFERROR(s_RadSpec!$D$9*I9,".")*$B$54</f>
        <v>1.1090747781850001E-11</v>
      </c>
      <c r="J54" s="71">
        <f>IFERROR(s_RadSpec!$G$9*$J$9,".")*B54</f>
        <v>1.8181862886067087E-13</v>
      </c>
      <c r="K54" s="71">
        <f>IFERROR(s_RadSpec!$F$9*$K$9,".")*B54</f>
        <v>4.6219611163256862E-7</v>
      </c>
      <c r="L54" s="71">
        <f>s_b2s!AB54</f>
        <v>1.6560731562146313E-9</v>
      </c>
      <c r="M54" s="49">
        <f t="shared" si="101"/>
        <v>1.1090747781850001E-11</v>
      </c>
      <c r="N54" s="49">
        <f t="shared" si="102"/>
        <v>1.8181862886067087E-13</v>
      </c>
      <c r="O54" s="49">
        <f t="shared" si="103"/>
        <v>4.6219611163256862E-7</v>
      </c>
      <c r="P54" s="49">
        <f t="shared" si="47"/>
        <v>1.6560731562146313E-9</v>
      </c>
      <c r="Q54" s="49">
        <f t="shared" si="82"/>
        <v>4.6386345735519392E-7</v>
      </c>
      <c r="R54" s="60">
        <f>IFERROR(R9/$B54,0)</f>
        <v>10.817918788496522</v>
      </c>
      <c r="S54" s="60">
        <f>IFERROR(S9/$B54,0)</f>
        <v>122.68217440408543</v>
      </c>
      <c r="T54" s="60">
        <f>IFERROR(T9/$B54,0)</f>
        <v>30.043294514459316</v>
      </c>
      <c r="U54" s="60">
        <f>IFERROR(U9/$B54,0)</f>
        <v>15.36760845288757</v>
      </c>
      <c r="V54" s="60">
        <f>IFERROR(V9/$B54,0)</f>
        <v>224.41619982053993</v>
      </c>
      <c r="W54" s="71">
        <f>IFERROR(s_RadSpec!$F$9*$W$9,".")*$B$54</f>
        <v>4.6219611163256862E-7</v>
      </c>
      <c r="X54" s="71">
        <f>IFERROR(s_RadSpec!$M$9*$X$9,".")*$B$54</f>
        <v>4.0755717155217739E-8</v>
      </c>
      <c r="Y54" s="71">
        <f>IFERROR(s_RadSpec!$N$9*$Y$9,".")*$B$54</f>
        <v>1.6642648820000701E-7</v>
      </c>
      <c r="Z54" s="71">
        <f>IFERROR(s_RadSpec!$O$9*$Z$9,".")*$B$54</f>
        <v>3.2535966902908051E-7</v>
      </c>
      <c r="AA54" s="71">
        <f>IFERROR(s_RadSpec!$K$9*$AA$9,".")*$B$54</f>
        <v>2.2280031495045258E-8</v>
      </c>
      <c r="AB54" s="49">
        <f t="shared" si="104"/>
        <v>4.6219611163256862E-7</v>
      </c>
      <c r="AC54" s="49">
        <f t="shared" si="105"/>
        <v>4.0755717155217739E-8</v>
      </c>
      <c r="AD54" s="49">
        <f t="shared" si="106"/>
        <v>1.6642648820000701E-7</v>
      </c>
      <c r="AE54" s="49">
        <f t="shared" si="107"/>
        <v>3.2535966902908051E-7</v>
      </c>
      <c r="AF54" s="49">
        <f t="shared" si="108"/>
        <v>2.2280031495045258E-8</v>
      </c>
      <c r="AG54" s="60">
        <f>IFERROR(AG9/$B54,0)</f>
        <v>88.76562108183434</v>
      </c>
      <c r="AH54" s="60">
        <f>IFERROR(AH9/$B54,0)</f>
        <v>1309.3142057847958</v>
      </c>
      <c r="AI54" s="60">
        <f t="shared" si="109"/>
        <v>83.129794475493171</v>
      </c>
      <c r="AJ54" s="71">
        <f>IFERROR(s_RadSpec!$G$9*AJ9,".")*$B$54</f>
        <v>5.6328113734374991E-8</v>
      </c>
      <c r="AK54" s="71">
        <f>IFERROR(s_RadSpec!$J$9*$AK$9,".")*$B$54</f>
        <v>3.8187930581590436E-9</v>
      </c>
      <c r="AL54" s="49">
        <f t="shared" si="110"/>
        <v>5.6328113734374991E-8</v>
      </c>
      <c r="AM54" s="49">
        <f t="shared" si="111"/>
        <v>3.8187930581590436E-9</v>
      </c>
      <c r="AN54" s="49">
        <f t="shared" si="112"/>
        <v>6.0146906792534032E-8</v>
      </c>
      <c r="AO54" s="60">
        <f>IFERROR(AO9/$B54,0)</f>
        <v>10415.041399781701</v>
      </c>
      <c r="AP54" s="60">
        <f>IFERROR(AP9/$B54,0)</f>
        <v>0</v>
      </c>
      <c r="AQ54" s="60">
        <f>IFERROR(AQ9/$B54,0)</f>
        <v>1512574.6772473548</v>
      </c>
      <c r="AR54" s="60">
        <f>IFERROR(AR9/$B54,0)</f>
        <v>10855.625603609864</v>
      </c>
      <c r="AS54" s="60">
        <f t="shared" si="113"/>
        <v>5296.7717217513082</v>
      </c>
      <c r="AT54" s="71">
        <f>IFERROR(s_RadSpec!$H$9*AT9,".")*$B$54</f>
        <v>4.8007490398499997E-10</v>
      </c>
      <c r="AU54" s="71">
        <f>IFERROR(s_RadSpec!$G$9*AU9,".")*$B$54</f>
        <v>2.8164056867187495E-8</v>
      </c>
      <c r="AV54" s="71">
        <f>IFERROR(s_RadSpec!$L$9*AV9,".")*$B$54</f>
        <v>3.3056219142179504E-12</v>
      </c>
      <c r="AW54" s="71">
        <f>s_b2w!AB54</f>
        <v>4.6059086620838596E-10</v>
      </c>
      <c r="AX54" s="49">
        <f t="shared" si="114"/>
        <v>4.8007490398499997E-10</v>
      </c>
      <c r="AY54" s="49">
        <f t="shared" si="115"/>
        <v>0</v>
      </c>
      <c r="AZ54" s="49">
        <f t="shared" si="118"/>
        <v>3.3056219142179504E-12</v>
      </c>
      <c r="BA54" s="49">
        <f t="shared" si="62"/>
        <v>4.6059086620838596E-10</v>
      </c>
      <c r="BB54" s="49">
        <f t="shared" si="63"/>
        <v>2.91080282592951E-8</v>
      </c>
      <c r="BC54" s="60">
        <f>IFERROR(BC9/$B54,0)</f>
        <v>1370.7129419263854</v>
      </c>
      <c r="BD54" s="71">
        <f>IFERROR(s_RadSpec!$E$9*BD9,".")*$B$54</f>
        <v>3.6477367704525004E-9</v>
      </c>
      <c r="BE54" s="49">
        <f t="shared" si="116"/>
        <v>3.6477367704525004E-9</v>
      </c>
    </row>
    <row r="55" spans="1:57" x14ac:dyDescent="0.25">
      <c r="A55" s="48" t="s">
        <v>1093</v>
      </c>
      <c r="B55" s="15">
        <v>1.9999999999999999E-7</v>
      </c>
      <c r="C55" s="60">
        <f>IFERROR(C24/$B55,0)</f>
        <v>0</v>
      </c>
      <c r="D55" s="60">
        <f>IFERROR(D24/$B55,0)</f>
        <v>0</v>
      </c>
      <c r="E55" s="60">
        <f>IFERROR(E24/$B55,0)</f>
        <v>207037775949.70377</v>
      </c>
      <c r="F55" s="60">
        <f>IFERROR(F24/$B55,0)</f>
        <v>0</v>
      </c>
      <c r="G55" s="60">
        <f>IFERROR(G24/$B55,0)</f>
        <v>0</v>
      </c>
      <c r="H55" s="60">
        <f t="shared" si="117"/>
        <v>207037775949.70377</v>
      </c>
      <c r="I55" s="71">
        <f>IFERROR(s_RadSpec!$D$24*I24,".")*$B$55</f>
        <v>0</v>
      </c>
      <c r="J55" s="71">
        <f>IFERROR(s_RadSpec!$G$24*$J$24,".")*B55</f>
        <v>0</v>
      </c>
      <c r="K55" s="71">
        <f>IFERROR(s_RadSpec!$F$24*$K$24,".")*B55</f>
        <v>2.4150182144608538E-17</v>
      </c>
      <c r="L55" s="71">
        <f>s_b2s!AB55</f>
        <v>0</v>
      </c>
      <c r="M55" s="49">
        <f t="shared" si="101"/>
        <v>0</v>
      </c>
      <c r="N55" s="49">
        <f t="shared" si="102"/>
        <v>0</v>
      </c>
      <c r="O55" s="49">
        <f t="shared" si="103"/>
        <v>2.4150182144608538E-17</v>
      </c>
      <c r="P55" s="49">
        <f t="shared" si="47"/>
        <v>0</v>
      </c>
      <c r="Q55" s="49">
        <f t="shared" si="82"/>
        <v>2.4150182144608538E-17</v>
      </c>
      <c r="R55" s="60">
        <f>IFERROR(R24/$B55,0)</f>
        <v>207037775949.70377</v>
      </c>
      <c r="S55" s="60">
        <f>IFERROR(S24/$B55,0)</f>
        <v>1823980393090.3362</v>
      </c>
      <c r="T55" s="60">
        <f>IFERROR(T24/$B55,0)</f>
        <v>457492677400.09241</v>
      </c>
      <c r="U55" s="60">
        <f>IFERROR(U24/$B55,0)</f>
        <v>246854061825.40622</v>
      </c>
      <c r="V55" s="60">
        <f>IFERROR(V24/$B55,0)</f>
        <v>3103223521735.8691</v>
      </c>
      <c r="W55" s="71">
        <f>IFERROR(s_RadSpec!$F$24*$W$24,".")*$B$55</f>
        <v>2.4150182144608538E-17</v>
      </c>
      <c r="X55" s="71">
        <f>IFERROR(s_RadSpec!$M$24*$X$24,".")*$B$55</f>
        <v>2.7412575370553152E-18</v>
      </c>
      <c r="Y55" s="71">
        <f>IFERROR(s_RadSpec!$N$24*$Y$24,".")*$B$55</f>
        <v>1.0929136676929443E-17</v>
      </c>
      <c r="Z55" s="71">
        <f>IFERROR(s_RadSpec!$O$24*$Z$24,".")*$B$55</f>
        <v>2.025488243145205E-17</v>
      </c>
      <c r="AA55" s="71">
        <f>IFERROR(s_RadSpec!$K$24*$AA$24,".")*$B$55</f>
        <v>1.6112277974752908E-18</v>
      </c>
      <c r="AB55" s="49">
        <f t="shared" si="104"/>
        <v>2.4150182144608538E-17</v>
      </c>
      <c r="AC55" s="49">
        <f t="shared" si="105"/>
        <v>2.7412575370553152E-18</v>
      </c>
      <c r="AD55" s="49">
        <f t="shared" si="106"/>
        <v>1.0929136676929443E-17</v>
      </c>
      <c r="AE55" s="49">
        <f t="shared" si="107"/>
        <v>2.025488243145205E-17</v>
      </c>
      <c r="AF55" s="49">
        <f t="shared" si="108"/>
        <v>1.6112277974752908E-18</v>
      </c>
      <c r="AG55" s="60">
        <f>IFERROR(AG24/$B55,0)</f>
        <v>0</v>
      </c>
      <c r="AH55" s="60">
        <f>IFERROR(AH24/$B55,0)</f>
        <v>13740602378521.611</v>
      </c>
      <c r="AI55" s="60">
        <f t="shared" si="109"/>
        <v>13740602378521.611</v>
      </c>
      <c r="AJ55" s="71">
        <f>IFERROR(s_RadSpec!$G$24*AJ24,".")*$B$55</f>
        <v>0</v>
      </c>
      <c r="AK55" s="71">
        <f>IFERROR(s_RadSpec!$J$24*$AK$24,".")*$B$55</f>
        <v>3.6388506575342455E-19</v>
      </c>
      <c r="AL55" s="49">
        <f t="shared" si="110"/>
        <v>0</v>
      </c>
      <c r="AM55" s="49">
        <f t="shared" si="111"/>
        <v>3.6388506575342455E-19</v>
      </c>
      <c r="AN55" s="49">
        <f t="shared" si="112"/>
        <v>3.6388506575342455E-19</v>
      </c>
      <c r="AO55" s="60">
        <f>IFERROR(AO24/$B55,0)</f>
        <v>0</v>
      </c>
      <c r="AP55" s="60">
        <f>IFERROR(AP24/$B55,0)</f>
        <v>0</v>
      </c>
      <c r="AQ55" s="60">
        <f>IFERROR(AQ24/$B55,0)</f>
        <v>1.5814436970220912E+16</v>
      </c>
      <c r="AR55" s="60">
        <f>IFERROR(AR24/$B55,0)</f>
        <v>0</v>
      </c>
      <c r="AS55" s="60">
        <f t="shared" si="113"/>
        <v>1.5814436970220914E+16</v>
      </c>
      <c r="AT55" s="71">
        <f>IFERROR(s_RadSpec!$H$24*AT24,".")*$B$55</f>
        <v>0</v>
      </c>
      <c r="AU55" s="71">
        <f>IFERROR(s_RadSpec!$G$24*AU24,".")*$B$55</f>
        <v>0</v>
      </c>
      <c r="AV55" s="71">
        <f>IFERROR(s_RadSpec!$L$24*AV24,".")*$B$55</f>
        <v>3.1616680438356164E-22</v>
      </c>
      <c r="AW55" s="71">
        <f>s_b2w!AB55</f>
        <v>0</v>
      </c>
      <c r="AX55" s="49">
        <f t="shared" si="114"/>
        <v>0</v>
      </c>
      <c r="AY55" s="49">
        <f t="shared" si="115"/>
        <v>0</v>
      </c>
      <c r="AZ55" s="49">
        <f t="shared" si="118"/>
        <v>3.1616680438356164E-22</v>
      </c>
      <c r="BA55" s="49">
        <f t="shared" si="62"/>
        <v>0</v>
      </c>
      <c r="BB55" s="49">
        <f t="shared" si="63"/>
        <v>3.1616680438356164E-22</v>
      </c>
      <c r="BC55" s="60">
        <f>IFERROR(BC24/$B55,0)</f>
        <v>0</v>
      </c>
      <c r="BD55" s="71">
        <f>IFERROR(s_RadSpec!$E$24*BD24,".")*$B$55</f>
        <v>0</v>
      </c>
      <c r="BE55" s="49">
        <f t="shared" si="116"/>
        <v>0</v>
      </c>
    </row>
    <row r="56" spans="1:57" x14ac:dyDescent="0.25">
      <c r="A56" s="48" t="s">
        <v>1094</v>
      </c>
      <c r="B56" s="15">
        <v>0.99979000004200003</v>
      </c>
      <c r="C56" s="60">
        <f>IFERROR(C20/$B56,0)</f>
        <v>0</v>
      </c>
      <c r="D56" s="60">
        <f>IFERROR(D20/$B56,0)</f>
        <v>0</v>
      </c>
      <c r="E56" s="60">
        <f>IFERROR(E20/$B56,0)</f>
        <v>285057.66729807481</v>
      </c>
      <c r="F56" s="60">
        <f>IFERROR(F20/$B56,0)</f>
        <v>0</v>
      </c>
      <c r="G56" s="60">
        <f>IFERROR(G20/$B56,0)</f>
        <v>0</v>
      </c>
      <c r="H56" s="60">
        <f t="shared" si="117"/>
        <v>285057.66729807481</v>
      </c>
      <c r="I56" s="71">
        <f>IFERROR(s_RadSpec!$D$20*I20,".")*$B$56</f>
        <v>0</v>
      </c>
      <c r="J56" s="71">
        <f>IFERROR(s_RadSpec!$G$20*$J$20,".")*B56</f>
        <v>0</v>
      </c>
      <c r="K56" s="71">
        <f>IFERROR(s_RadSpec!$F$20*$K$20,".")*B56</f>
        <v>1.7540310518193056E-11</v>
      </c>
      <c r="L56" s="71">
        <f>s_b2s!AB56</f>
        <v>0</v>
      </c>
      <c r="M56" s="49">
        <f t="shared" si="101"/>
        <v>0</v>
      </c>
      <c r="N56" s="49">
        <f t="shared" si="102"/>
        <v>0</v>
      </c>
      <c r="O56" s="49">
        <f t="shared" si="103"/>
        <v>1.7540310518193056E-11</v>
      </c>
      <c r="P56" s="49">
        <f t="shared" si="47"/>
        <v>0</v>
      </c>
      <c r="Q56" s="49">
        <f t="shared" si="82"/>
        <v>1.7540310518193056E-11</v>
      </c>
      <c r="R56" s="60">
        <f>IFERROR(R20/$B56,0)</f>
        <v>285057.66729807481</v>
      </c>
      <c r="S56" s="60">
        <f>IFERROR(S20/$B56,0)</f>
        <v>2841805.0983931562</v>
      </c>
      <c r="T56" s="60">
        <f>IFERROR(T20/$B56,0)</f>
        <v>705432.68320965313</v>
      </c>
      <c r="U56" s="60">
        <f>IFERROR(U20/$B56,0)</f>
        <v>377127.18470524182</v>
      </c>
      <c r="V56" s="60">
        <f>IFERROR(V20/$B56,0)</f>
        <v>4970237.6472500777</v>
      </c>
      <c r="W56" s="71">
        <f>IFERROR(s_RadSpec!$F$20*$W$20,".")*$B$56</f>
        <v>1.7540310518193056E-11</v>
      </c>
      <c r="X56" s="71">
        <f>IFERROR(s_RadSpec!$M$20*$X$20,".")*$B$56</f>
        <v>1.7594450804621163E-12</v>
      </c>
      <c r="Y56" s="71">
        <f>IFERROR(s_RadSpec!$N$20*$Y$20,".")*$B$56</f>
        <v>7.0878485205001596E-12</v>
      </c>
      <c r="Z56" s="71">
        <f>IFERROR(s_RadSpec!$O$20*$Z$20,".")*$B$56</f>
        <v>1.3258126708388686E-11</v>
      </c>
      <c r="AA56" s="71">
        <f>IFERROR(s_RadSpec!$K$20*$AA$20,".")*$B$56</f>
        <v>1.0059881146259452E-12</v>
      </c>
      <c r="AB56" s="49">
        <f t="shared" si="104"/>
        <v>1.7540310518193056E-11</v>
      </c>
      <c r="AC56" s="49">
        <f t="shared" si="105"/>
        <v>1.7594450804621163E-12</v>
      </c>
      <c r="AD56" s="49">
        <f t="shared" si="106"/>
        <v>7.0878485205001596E-12</v>
      </c>
      <c r="AE56" s="49">
        <f t="shared" si="107"/>
        <v>1.3258126708388686E-11</v>
      </c>
      <c r="AF56" s="49">
        <f t="shared" si="108"/>
        <v>1.0059881146259452E-12</v>
      </c>
      <c r="AG56" s="60">
        <f>IFERROR(AG20/$B56,0)</f>
        <v>0</v>
      </c>
      <c r="AH56" s="60">
        <f>IFERROR(AH20/$B56,0)</f>
        <v>24522695.185458336</v>
      </c>
      <c r="AI56" s="60">
        <f t="shared" si="109"/>
        <v>24522695.185458336</v>
      </c>
      <c r="AJ56" s="71">
        <f>IFERROR(s_RadSpec!$G$20*AJ20,".")*$B$56</f>
        <v>0</v>
      </c>
      <c r="AK56" s="71">
        <f>IFERROR(s_RadSpec!$J$20*$AK$20,".")*$B$56</f>
        <v>2.0389275983681185E-13</v>
      </c>
      <c r="AL56" s="49">
        <f t="shared" si="110"/>
        <v>0</v>
      </c>
      <c r="AM56" s="49">
        <f t="shared" si="111"/>
        <v>2.0389275983681185E-13</v>
      </c>
      <c r="AN56" s="49">
        <f t="shared" si="112"/>
        <v>2.0389275983681185E-13</v>
      </c>
      <c r="AO56" s="60">
        <f>IFERROR(AO20/$B56,0)</f>
        <v>0</v>
      </c>
      <c r="AP56" s="60">
        <f>IFERROR(AP20/$B56,0)</f>
        <v>0</v>
      </c>
      <c r="AQ56" s="60">
        <f>IFERROR(AQ20/$B56,0)</f>
        <v>28295417521.682697</v>
      </c>
      <c r="AR56" s="60">
        <f>IFERROR(AR20/$B56,0)</f>
        <v>0</v>
      </c>
      <c r="AS56" s="60">
        <f t="shared" si="113"/>
        <v>28295417521.682697</v>
      </c>
      <c r="AT56" s="71">
        <f>IFERROR(s_RadSpec!$H$20*AT20,".")*$B$56</f>
        <v>0</v>
      </c>
      <c r="AU56" s="71">
        <f>IFERROR(s_RadSpec!$G$20*AU20,".")*$B$56</f>
        <v>0</v>
      </c>
      <c r="AV56" s="71">
        <f>IFERROR(s_RadSpec!$L$20*AV20,".")*$B$56</f>
        <v>1.7670705852523696E-16</v>
      </c>
      <c r="AW56" s="71">
        <f>s_b2w!AB56</f>
        <v>0</v>
      </c>
      <c r="AX56" s="49">
        <f t="shared" si="114"/>
        <v>0</v>
      </c>
      <c r="AY56" s="49">
        <f t="shared" si="115"/>
        <v>0</v>
      </c>
      <c r="AZ56" s="49">
        <f t="shared" si="118"/>
        <v>1.7670705852523696E-16</v>
      </c>
      <c r="BA56" s="49">
        <f t="shared" si="62"/>
        <v>0</v>
      </c>
      <c r="BB56" s="49">
        <f t="shared" si="63"/>
        <v>1.7670705852523696E-16</v>
      </c>
      <c r="BC56" s="60">
        <f>IFERROR(BC20/$B56,0)</f>
        <v>0</v>
      </c>
      <c r="BD56" s="71">
        <f>IFERROR(s_RadSpec!$E$20*BD20,".")*$B$56</f>
        <v>0</v>
      </c>
      <c r="BE56" s="49">
        <f t="shared" si="116"/>
        <v>0</v>
      </c>
    </row>
    <row r="57" spans="1:57" x14ac:dyDescent="0.25">
      <c r="A57" s="48" t="s">
        <v>1095</v>
      </c>
      <c r="B57" s="15">
        <v>2.0999995799999999E-4</v>
      </c>
      <c r="C57" s="60">
        <f>IFERROR(C29/$B57,0)</f>
        <v>0</v>
      </c>
      <c r="D57" s="60">
        <f>IFERROR(D29/$B57,0)</f>
        <v>0</v>
      </c>
      <c r="E57" s="60">
        <f>IFERROR(E29/$B57,0)</f>
        <v>30650.751912602718</v>
      </c>
      <c r="F57" s="60">
        <f>IFERROR(F29/$B57,0)</f>
        <v>0</v>
      </c>
      <c r="G57" s="60">
        <f>IFERROR(G29/$B57,0)</f>
        <v>0</v>
      </c>
      <c r="H57" s="60">
        <f t="shared" si="117"/>
        <v>30650.751912602718</v>
      </c>
      <c r="I57" s="71">
        <f>IFERROR(s_RadSpec!$D$29*I29,".")*$B$57</f>
        <v>0</v>
      </c>
      <c r="J57" s="71">
        <f>IFERROR(s_RadSpec!$G$29*$J$29,".")*B57</f>
        <v>0</v>
      </c>
      <c r="K57" s="71">
        <f>IFERROR(s_RadSpec!$F$29*$K$29,".")*B57</f>
        <v>1.6312813513537796E-10</v>
      </c>
      <c r="L57" s="71">
        <f>s_b2s!AB57</f>
        <v>0</v>
      </c>
      <c r="M57" s="49">
        <f t="shared" si="101"/>
        <v>0</v>
      </c>
      <c r="N57" s="49">
        <f t="shared" si="102"/>
        <v>0</v>
      </c>
      <c r="O57" s="49">
        <f t="shared" si="103"/>
        <v>1.6312813513537796E-10</v>
      </c>
      <c r="P57" s="49">
        <f t="shared" si="47"/>
        <v>0</v>
      </c>
      <c r="Q57" s="49">
        <f t="shared" si="82"/>
        <v>1.6312813513537796E-10</v>
      </c>
      <c r="R57" s="60">
        <f>IFERROR(R29/$B57,0)</f>
        <v>30650.751912602718</v>
      </c>
      <c r="S57" s="60">
        <f>IFERROR(S29/$B57,0)</f>
        <v>330530.53927365516</v>
      </c>
      <c r="T57" s="60">
        <f>IFERROR(T29/$B57,0)</f>
        <v>82197.682955090888</v>
      </c>
      <c r="U57" s="60">
        <f>IFERROR(U29/$B57,0)</f>
        <v>43683.732639686052</v>
      </c>
      <c r="V57" s="60">
        <f>IFERROR(V29/$B57,0)</f>
        <v>613119.08724354242</v>
      </c>
      <c r="W57" s="71">
        <f>IFERROR(s_RadSpec!$F$29*$W$29,".")*$B$57</f>
        <v>1.6312813513537796E-10</v>
      </c>
      <c r="X57" s="71">
        <f>IFERROR(s_RadSpec!$M$29*$X$29,".")*$B$57</f>
        <v>1.5127195238865249E-11</v>
      </c>
      <c r="Y57" s="71">
        <f>IFERROR(s_RadSpec!$N$29*$Y$29,".")*$B$57</f>
        <v>6.0828965248713566E-11</v>
      </c>
      <c r="Z57" s="71">
        <f>IFERROR(s_RadSpec!$O$29*$Z$29,".")*$B$57</f>
        <v>1.1445908345885194E-10</v>
      </c>
      <c r="AA57" s="71">
        <f>IFERROR(s_RadSpec!$K$29*$AA$29,".")*$B$57</f>
        <v>8.1550225788581699E-12</v>
      </c>
      <c r="AB57" s="49">
        <f t="shared" si="104"/>
        <v>1.6312813513537796E-10</v>
      </c>
      <c r="AC57" s="49">
        <f t="shared" si="105"/>
        <v>1.5127195238865249E-11</v>
      </c>
      <c r="AD57" s="49">
        <f t="shared" si="106"/>
        <v>6.0828965248713566E-11</v>
      </c>
      <c r="AE57" s="49">
        <f t="shared" si="107"/>
        <v>1.1445908345885194E-10</v>
      </c>
      <c r="AF57" s="49">
        <f t="shared" si="108"/>
        <v>8.1550225788581699E-12</v>
      </c>
      <c r="AG57" s="60">
        <f>IFERROR(AG29/$B57,0)</f>
        <v>0</v>
      </c>
      <c r="AH57" s="60">
        <f>IFERROR(AH29/$B57,0)</f>
        <v>3370337.1065349863</v>
      </c>
      <c r="AI57" s="60">
        <f t="shared" si="109"/>
        <v>3370337.1065349863</v>
      </c>
      <c r="AJ57" s="71">
        <f>IFERROR(s_RadSpec!$G$29*AJ29,".")*$B$57</f>
        <v>0</v>
      </c>
      <c r="AK57" s="71">
        <f>IFERROR(s_RadSpec!$J$29*$AK$29,".")*$B$57</f>
        <v>1.4835311252115235E-12</v>
      </c>
      <c r="AL57" s="49">
        <f t="shared" si="110"/>
        <v>0</v>
      </c>
      <c r="AM57" s="49">
        <f t="shared" si="111"/>
        <v>1.4835311252115235E-12</v>
      </c>
      <c r="AN57" s="49">
        <f t="shared" si="112"/>
        <v>1.4835311252115235E-12</v>
      </c>
      <c r="AO57" s="60">
        <f>IFERROR(AO29/$B57,0)</f>
        <v>0</v>
      </c>
      <c r="AP57" s="60">
        <f>IFERROR(AP29/$B57,0)</f>
        <v>0</v>
      </c>
      <c r="AQ57" s="60">
        <f>IFERROR(AQ29/$B57,0)</f>
        <v>3883214492.3120499</v>
      </c>
      <c r="AR57" s="60">
        <f>IFERROR(AR29/$B57,0)</f>
        <v>0</v>
      </c>
      <c r="AS57" s="60">
        <f t="shared" si="113"/>
        <v>3883214492.3120499</v>
      </c>
      <c r="AT57" s="71">
        <f>IFERROR(s_RadSpec!$H$29*AT29,".")*$B$57</f>
        <v>0</v>
      </c>
      <c r="AU57" s="71">
        <f>IFERROR(s_RadSpec!$G$29*AU29,".")*$B$57</f>
        <v>0</v>
      </c>
      <c r="AV57" s="71">
        <f>IFERROR(s_RadSpec!$L$29*AV29,".")*$B$57</f>
        <v>1.287593052070379E-15</v>
      </c>
      <c r="AW57" s="71">
        <f>s_b2w!AB57</f>
        <v>0</v>
      </c>
      <c r="AX57" s="49">
        <f t="shared" si="114"/>
        <v>0</v>
      </c>
      <c r="AY57" s="49">
        <f t="shared" si="115"/>
        <v>0</v>
      </c>
      <c r="AZ57" s="49">
        <f t="shared" si="118"/>
        <v>1.287593052070379E-15</v>
      </c>
      <c r="BA57" s="49">
        <f t="shared" si="62"/>
        <v>0</v>
      </c>
      <c r="BB57" s="49">
        <f t="shared" si="63"/>
        <v>1.287593052070379E-15</v>
      </c>
      <c r="BC57" s="60">
        <f>IFERROR(BC29/$B57,0)</f>
        <v>0</v>
      </c>
      <c r="BD57" s="71">
        <f>IFERROR(s_RadSpec!$E$29*BD29,".")*$B$57</f>
        <v>0</v>
      </c>
      <c r="BE57" s="49">
        <f t="shared" si="116"/>
        <v>0</v>
      </c>
    </row>
    <row r="58" spans="1:57" x14ac:dyDescent="0.25">
      <c r="A58" s="48" t="s">
        <v>1096</v>
      </c>
      <c r="B58" s="15">
        <v>1</v>
      </c>
      <c r="C58" s="60">
        <f>IFERROR(C16/$B58,0)</f>
        <v>105.90527831907143</v>
      </c>
      <c r="D58" s="60">
        <f>IFERROR(D16/$B58,0)</f>
        <v>107068.32240239423</v>
      </c>
      <c r="E58" s="60">
        <f>IFERROR(E16/$B58,0)</f>
        <v>1576201242.5760994</v>
      </c>
      <c r="F58" s="60">
        <f>IFERROR(F16/$B58,0)</f>
        <v>1.9901919816504459</v>
      </c>
      <c r="G58" s="60">
        <f>IFERROR(G16/$B58,0)</f>
        <v>7.7264228207624422E-2</v>
      </c>
      <c r="H58" s="60">
        <f t="shared" si="117"/>
        <v>1.9534461398109784</v>
      </c>
      <c r="I58" s="71">
        <f>IFERROR(s_RadSpec!$D$16*I16,".")*$B$58</f>
        <v>4.7212E-8</v>
      </c>
      <c r="J58" s="71">
        <f>IFERROR(s_RadSpec!$G$16*$J$16,".")*B58</f>
        <v>4.6699153286520449E-11</v>
      </c>
      <c r="K58" s="71">
        <f>IFERROR(s_RadSpec!$F$16*$K$16,".")*B58</f>
        <v>3.1721837700293522E-15</v>
      </c>
      <c r="L58" s="71">
        <f>s_b2s!AB58</f>
        <v>1.5854685E-6</v>
      </c>
      <c r="M58" s="49">
        <f t="shared" si="101"/>
        <v>4.7212E-8</v>
      </c>
      <c r="N58" s="49">
        <f t="shared" si="102"/>
        <v>4.6699153286520449E-11</v>
      </c>
      <c r="O58" s="49">
        <f t="shared" si="103"/>
        <v>3.1721837700293522E-15</v>
      </c>
      <c r="P58" s="49">
        <f t="shared" si="47"/>
        <v>1.5854685E-6</v>
      </c>
      <c r="Q58" s="49">
        <f t="shared" si="82"/>
        <v>1.6327272023254703E-6</v>
      </c>
      <c r="R58" s="60">
        <f>IFERROR(R16/$B58,0)</f>
        <v>1576201242.5760994</v>
      </c>
      <c r="S58" s="60">
        <f>IFERROR(S16/$B58,0)</f>
        <v>4368987281.6989088</v>
      </c>
      <c r="T58" s="60">
        <f>IFERROR(T16/$B58,0)</f>
        <v>1705170460.7530971</v>
      </c>
      <c r="U58" s="60">
        <f>IFERROR(U16/$B58,0)</f>
        <v>1695086681.6554201</v>
      </c>
      <c r="V58" s="60">
        <f>IFERROR(V16/$B58,0)</f>
        <v>56707247911.359032</v>
      </c>
      <c r="W58" s="71">
        <f>IFERROR(s_RadSpec!$F$16*$W$16,".")*$B$58</f>
        <v>3.1721837700293522E-15</v>
      </c>
      <c r="X58" s="71">
        <f>IFERROR(s_RadSpec!$M$16*$X$16,".")*$B$58</f>
        <v>1.1444299737251045E-15</v>
      </c>
      <c r="Y58" s="71">
        <f>IFERROR(s_RadSpec!$N$16*$Y$16,".")*$B$58</f>
        <v>2.9322581613287656E-15</v>
      </c>
      <c r="Z58" s="71">
        <f>IFERROR(s_RadSpec!$O$16*$Z$16,".")*$B$58</f>
        <v>2.9497016607534224E-15</v>
      </c>
      <c r="AA58" s="71">
        <f>IFERROR(s_RadSpec!$K$16*$AA$16,".")*$B$58</f>
        <v>8.8172150547945182E-17</v>
      </c>
      <c r="AB58" s="49">
        <f t="shared" si="104"/>
        <v>3.1721837700293522E-15</v>
      </c>
      <c r="AC58" s="49">
        <f t="shared" si="105"/>
        <v>1.1444299737251045E-15</v>
      </c>
      <c r="AD58" s="49">
        <f t="shared" si="106"/>
        <v>2.9322581613287656E-15</v>
      </c>
      <c r="AE58" s="49">
        <f t="shared" si="107"/>
        <v>2.9497016607534224E-15</v>
      </c>
      <c r="AF58" s="49">
        <f t="shared" si="108"/>
        <v>8.8172150547945182E-17</v>
      </c>
      <c r="AG58" s="60">
        <f>IFERROR(AG16/$B58,0)</f>
        <v>0.34560034560034564</v>
      </c>
      <c r="AH58" s="60">
        <f>IFERROR(AH16/$B58,0)</f>
        <v>2226222.22512546</v>
      </c>
      <c r="AI58" s="60">
        <f t="shared" si="109"/>
        <v>0.3456002919491068</v>
      </c>
      <c r="AJ58" s="71">
        <f>IFERROR(s_RadSpec!$G$16*AJ16,".")*$B$58</f>
        <v>1.4467578124999998E-5</v>
      </c>
      <c r="AK58" s="71">
        <f>IFERROR(s_RadSpec!$J$16*$AK$16,".")*$B$58</f>
        <v>2.2459572739726024E-12</v>
      </c>
      <c r="AL58" s="49">
        <f t="shared" si="110"/>
        <v>1.4467578124999998E-5</v>
      </c>
      <c r="AM58" s="49">
        <f t="shared" si="111"/>
        <v>2.2459572739726024E-12</v>
      </c>
      <c r="AN58" s="49">
        <f t="shared" si="112"/>
        <v>1.4467580370957272E-5</v>
      </c>
      <c r="AO58" s="60">
        <f>IFERROR(AO16/$B58,0)</f>
        <v>2.2616759018432657</v>
      </c>
      <c r="AP58" s="60">
        <f>IFERROR(AP16/$B58,0)</f>
        <v>0</v>
      </c>
      <c r="AQ58" s="60">
        <f>IFERROR(AQ16/$B58,0)</f>
        <v>2410786921.1673522</v>
      </c>
      <c r="AR58" s="60">
        <f>IFERROR(AR16/$B58,0)</f>
        <v>4.6187439047609571</v>
      </c>
      <c r="AS58" s="60">
        <f t="shared" si="113"/>
        <v>1.5182361066948176</v>
      </c>
      <c r="AT58" s="71">
        <f>IFERROR(s_RadSpec!$H$16*AT16,".")*$B$58</f>
        <v>2.21075E-6</v>
      </c>
      <c r="AU58" s="71">
        <f>IFERROR(s_RadSpec!$G$16*AU16,".")*$B$58</f>
        <v>7.2337890624999989E-6</v>
      </c>
      <c r="AV58" s="71">
        <f>IFERROR(s_RadSpec!$L$16*AV16,".")*$B$58</f>
        <v>2.0740115835616435E-15</v>
      </c>
      <c r="AW58" s="71">
        <f>s_b2w!AB58</f>
        <v>1.0825454069549184E-6</v>
      </c>
      <c r="AX58" s="49">
        <f t="shared" si="114"/>
        <v>2.21075E-6</v>
      </c>
      <c r="AY58" s="49">
        <f t="shared" si="115"/>
        <v>0</v>
      </c>
      <c r="AZ58" s="49">
        <f t="shared" si="118"/>
        <v>2.0740115835616435E-15</v>
      </c>
      <c r="BA58" s="49">
        <f t="shared" si="62"/>
        <v>1.0825454069549184E-6</v>
      </c>
      <c r="BB58" s="49">
        <f t="shared" si="63"/>
        <v>1.0527084471528928E-5</v>
      </c>
      <c r="BC58" s="60">
        <f>IFERROR(BC16/$B58,0)</f>
        <v>0.30905691283049769</v>
      </c>
      <c r="BD58" s="71">
        <f>IFERROR(s_RadSpec!$E$16*BD16,".")*$B$58</f>
        <v>1.617825E-5</v>
      </c>
      <c r="BE58" s="49">
        <f t="shared" si="116"/>
        <v>1.617825E-5</v>
      </c>
    </row>
    <row r="59" spans="1:57" x14ac:dyDescent="0.25">
      <c r="A59" s="48" t="s">
        <v>1097</v>
      </c>
      <c r="B59" s="15">
        <v>1</v>
      </c>
      <c r="C59" s="60">
        <f>IFERROR(C7/$B59,0)</f>
        <v>7571.6562619490196</v>
      </c>
      <c r="D59" s="60">
        <f>IFERROR(D7/$B59,0)</f>
        <v>3734334.171595701</v>
      </c>
      <c r="E59" s="60">
        <f>IFERROR(E7/$B59,0)</f>
        <v>101410.77181228435</v>
      </c>
      <c r="F59" s="60">
        <f>IFERROR(F7/$B59,0)</f>
        <v>61.498860057129974</v>
      </c>
      <c r="G59" s="60">
        <f>IFERROR(G7/$B59,0)</f>
        <v>6.9801206164842524</v>
      </c>
      <c r="H59" s="60">
        <f t="shared" si="117"/>
        <v>60.965705911511051</v>
      </c>
      <c r="I59" s="71">
        <f>IFERROR(s_RadSpec!$D$7*I7,".")*$B$59</f>
        <v>6.6035750000000001E-10</v>
      </c>
      <c r="J59" s="71">
        <f>IFERROR(s_RadSpec!$G$7*$J$7,".")*B59</f>
        <v>1.3389267725505863E-12</v>
      </c>
      <c r="K59" s="71">
        <f>IFERROR(s_RadSpec!$F$7*$K$7,".")*B59</f>
        <v>4.9304427041095906E-11</v>
      </c>
      <c r="L59" s="71">
        <f>s_b2s!AB59</f>
        <v>8.1302319999999992E-8</v>
      </c>
      <c r="M59" s="49">
        <f t="shared" si="101"/>
        <v>6.6035750000000001E-10</v>
      </c>
      <c r="N59" s="49">
        <f t="shared" si="102"/>
        <v>1.3389267725505863E-12</v>
      </c>
      <c r="O59" s="49">
        <f t="shared" si="103"/>
        <v>4.9304427041095906E-11</v>
      </c>
      <c r="P59" s="49">
        <f t="shared" si="47"/>
        <v>8.1302319999999992E-8</v>
      </c>
      <c r="Q59" s="49">
        <f t="shared" si="82"/>
        <v>8.2013320853813635E-8</v>
      </c>
      <c r="R59" s="60">
        <f>IFERROR(R7/$B59,0)</f>
        <v>101410.77181228435</v>
      </c>
      <c r="S59" s="60">
        <f>IFERROR(S7/$B59,0)</f>
        <v>467657.72791524208</v>
      </c>
      <c r="T59" s="60">
        <f>IFERROR(T7/$B59,0)</f>
        <v>159162.24491971696</v>
      </c>
      <c r="U59" s="60">
        <f>IFERROR(U7/$B59,0)</f>
        <v>112038.32099193231</v>
      </c>
      <c r="V59" s="60">
        <f>IFERROR(V7/$B59,0)</f>
        <v>158433.87264276639</v>
      </c>
      <c r="W59" s="71">
        <f>IFERROR(s_RadSpec!$F$7*$W$7,".")*$B$59</f>
        <v>4.9304427041095906E-11</v>
      </c>
      <c r="X59" s="71">
        <f>IFERROR(s_RadSpec!$M$7*$X$7,".")*$B$59</f>
        <v>1.0691579977282436E-11</v>
      </c>
      <c r="Y59" s="71">
        <f>IFERROR(s_RadSpec!$N$7*$Y$7,".")*$B$59</f>
        <v>3.1414485278980887E-11</v>
      </c>
      <c r="Z59" s="71">
        <f>IFERROR(s_RadSpec!$O$7*$Z$7,".")*$B$59</f>
        <v>4.4627587737235379E-11</v>
      </c>
      <c r="AA59" s="71">
        <f>IFERROR(s_RadSpec!$K$7*$AA$7,".")*$B$59</f>
        <v>3.1558907931726834E-11</v>
      </c>
      <c r="AB59" s="49">
        <f t="shared" si="104"/>
        <v>4.9304427041095906E-11</v>
      </c>
      <c r="AC59" s="49">
        <f t="shared" si="105"/>
        <v>1.0691579977282436E-11</v>
      </c>
      <c r="AD59" s="49">
        <f t="shared" si="106"/>
        <v>3.1414485278980887E-11</v>
      </c>
      <c r="AE59" s="49">
        <f t="shared" si="107"/>
        <v>4.4627587737235379E-11</v>
      </c>
      <c r="AF59" s="49">
        <f t="shared" si="108"/>
        <v>3.1558907931726834E-11</v>
      </c>
      <c r="AG59" s="60">
        <f>IFERROR(AG7/$B59,0)</f>
        <v>12.053865712402297</v>
      </c>
      <c r="AH59" s="60">
        <f>IFERROR(AH7/$B59,0)</f>
        <v>1656152.0747622075</v>
      </c>
      <c r="AI59" s="60">
        <f t="shared" si="109"/>
        <v>12.053777982161012</v>
      </c>
      <c r="AJ59" s="71">
        <f>IFERROR(s_RadSpec!$G$7*AJ7,".")*$B$59</f>
        <v>4.1480468749999999E-7</v>
      </c>
      <c r="AK59" s="71">
        <f>IFERROR(s_RadSpec!$J$7*$AK$7,".")*$B$59</f>
        <v>3.019046424657534E-12</v>
      </c>
      <c r="AL59" s="49">
        <f t="shared" si="110"/>
        <v>4.1480468749999999E-7</v>
      </c>
      <c r="AM59" s="49">
        <f t="shared" si="111"/>
        <v>3.019046424657534E-12</v>
      </c>
      <c r="AN59" s="49">
        <f t="shared" si="112"/>
        <v>4.1480770654642464E-7</v>
      </c>
      <c r="AO59" s="60">
        <f>IFERROR(AO7/$B59,0)</f>
        <v>224.290680722216</v>
      </c>
      <c r="AP59" s="60">
        <f>IFERROR(AP7/$B59,0)</f>
        <v>0</v>
      </c>
      <c r="AQ59" s="60">
        <f>IFERROR(AQ7/$B59,0)</f>
        <v>2799391380.1017914</v>
      </c>
      <c r="AR59" s="60">
        <f>IFERROR(AR7/$B59,0)</f>
        <v>221.12164775828299</v>
      </c>
      <c r="AS59" s="60">
        <f t="shared" si="113"/>
        <v>111.34744090857274</v>
      </c>
      <c r="AT59" s="71">
        <f>IFERROR(s_RadSpec!$H$7*AT7,".")*$B$59</f>
        <v>2.2292499999999999E-8</v>
      </c>
      <c r="AU59" s="71">
        <f>IFERROR(s_RadSpec!$G$7*AU7,".")*$B$59</f>
        <v>2.0740234375E-7</v>
      </c>
      <c r="AV59" s="71">
        <f>IFERROR(s_RadSpec!$L$7*AV7,".")*$B$59</f>
        <v>1.7861025205479451E-15</v>
      </c>
      <c r="AW59" s="71">
        <f>s_b2w!AB59</f>
        <v>2.2611987793550189E-8</v>
      </c>
      <c r="AX59" s="49">
        <f t="shared" si="114"/>
        <v>2.2292499999999999E-8</v>
      </c>
      <c r="AY59" s="49">
        <f t="shared" si="115"/>
        <v>0</v>
      </c>
      <c r="AZ59" s="49">
        <f t="shared" si="118"/>
        <v>1.7861025205479451E-15</v>
      </c>
      <c r="BA59" s="49">
        <f t="shared" si="62"/>
        <v>2.2611987793550189E-8</v>
      </c>
      <c r="BB59" s="49">
        <f t="shared" si="63"/>
        <v>2.5230683332965269E-7</v>
      </c>
      <c r="BC59" s="60">
        <f>IFERROR(BC7/$B59,0)</f>
        <v>27.92048246593701</v>
      </c>
      <c r="BD59" s="71">
        <f>IFERROR(s_RadSpec!$E$7*BD7,".")*$B$59</f>
        <v>1.7907999999999999E-7</v>
      </c>
      <c r="BE59" s="49">
        <f t="shared" si="116"/>
        <v>1.7907999999999999E-7</v>
      </c>
    </row>
    <row r="60" spans="1:57" x14ac:dyDescent="0.25">
      <c r="A60" s="48" t="s">
        <v>1098</v>
      </c>
      <c r="B60" s="15">
        <v>1.9000000000000001E-8</v>
      </c>
      <c r="C60" s="60">
        <f>IFERROR(C12/$B60,0)</f>
        <v>0</v>
      </c>
      <c r="D60" s="60">
        <f>IFERROR(D12/$B60,0)</f>
        <v>0</v>
      </c>
      <c r="E60" s="60">
        <f>IFERROR(E12/$B60,0)</f>
        <v>23714325843.161045</v>
      </c>
      <c r="F60" s="60">
        <f>IFERROR(F12/$B60,0)</f>
        <v>0</v>
      </c>
      <c r="G60" s="60">
        <f>IFERROR(G12/$B60,0)</f>
        <v>0</v>
      </c>
      <c r="H60" s="60">
        <f t="shared" si="117"/>
        <v>23714325843.161045</v>
      </c>
      <c r="I60" s="71">
        <f>IFERROR(s_RadSpec!$D$12*I12,".")*$B$60</f>
        <v>0</v>
      </c>
      <c r="J60" s="71">
        <f>IFERROR(s_RadSpec!$G$12*$J$12,".")*B60</f>
        <v>0</v>
      </c>
      <c r="K60" s="71">
        <f>IFERROR(s_RadSpec!$F$12*$K$12,".")*B60</f>
        <v>2.1084301670932576E-16</v>
      </c>
      <c r="L60" s="71">
        <f>s_b2s!AB60</f>
        <v>0</v>
      </c>
      <c r="M60" s="49">
        <f t="shared" si="101"/>
        <v>0</v>
      </c>
      <c r="N60" s="49">
        <f t="shared" si="102"/>
        <v>0</v>
      </c>
      <c r="O60" s="49">
        <f t="shared" si="103"/>
        <v>2.1084301670932576E-16</v>
      </c>
      <c r="P60" s="49">
        <f t="shared" si="47"/>
        <v>0</v>
      </c>
      <c r="Q60" s="49">
        <f t="shared" si="82"/>
        <v>2.1084301670932576E-16</v>
      </c>
      <c r="R60" s="60">
        <f>IFERROR(R12/$B60,0)</f>
        <v>23714325843.161045</v>
      </c>
      <c r="S60" s="60">
        <f>IFERROR(S12/$B60,0)</f>
        <v>187219801336.82281</v>
      </c>
      <c r="T60" s="60">
        <f>IFERROR(T12/$B60,0)</f>
        <v>48671615037.28183</v>
      </c>
      <c r="U60" s="60">
        <f>IFERROR(U12/$B60,0)</f>
        <v>29144587900.237324</v>
      </c>
      <c r="V60" s="60">
        <f>IFERROR(V12/$B60,0)</f>
        <v>317717146838.78906</v>
      </c>
      <c r="W60" s="71">
        <f>IFERROR(s_RadSpec!$F$12*$W$12,".")*$B$60</f>
        <v>2.1084301670932576E-16</v>
      </c>
      <c r="X60" s="71">
        <f>IFERROR(s_RadSpec!$M$12*$X$12,".")*$B$60</f>
        <v>2.6706576784603123E-17</v>
      </c>
      <c r="Y60" s="71">
        <f>IFERROR(s_RadSpec!$N$12*$Y$12,".")*$B$60</f>
        <v>1.027292806324603E-16</v>
      </c>
      <c r="Z60" s="71">
        <f>IFERROR(s_RadSpec!$O$12*$Z$12,".")*$B$60</f>
        <v>1.715584388125551E-16</v>
      </c>
      <c r="AA60" s="71">
        <f>IFERROR(s_RadSpec!$K$12*$AA$12,".")*$B$60</f>
        <v>1.5737268352523068E-17</v>
      </c>
      <c r="AB60" s="49">
        <f t="shared" si="104"/>
        <v>2.1084301670932576E-16</v>
      </c>
      <c r="AC60" s="49">
        <f t="shared" si="105"/>
        <v>2.6706576784603123E-17</v>
      </c>
      <c r="AD60" s="49">
        <f t="shared" si="106"/>
        <v>1.027292806324603E-16</v>
      </c>
      <c r="AE60" s="49">
        <f t="shared" si="107"/>
        <v>1.715584388125551E-16</v>
      </c>
      <c r="AF60" s="49">
        <f t="shared" si="108"/>
        <v>1.5737268352523068E-17</v>
      </c>
      <c r="AG60" s="60">
        <f>IFERROR(AG12/$B60,0)</f>
        <v>0</v>
      </c>
      <c r="AH60" s="60">
        <f>IFERROR(AH12/$B60,0)</f>
        <v>929085931724.18591</v>
      </c>
      <c r="AI60" s="60">
        <f t="shared" si="109"/>
        <v>929085931724.18604</v>
      </c>
      <c r="AJ60" s="71">
        <f>IFERROR(s_RadSpec!$G$12*AJ12,".")*$B$60</f>
        <v>0</v>
      </c>
      <c r="AK60" s="71">
        <f>IFERROR(s_RadSpec!$J$12*$AK$12,".")*$B$60</f>
        <v>5.3816335273972592E-18</v>
      </c>
      <c r="AL60" s="49">
        <f t="shared" si="110"/>
        <v>0</v>
      </c>
      <c r="AM60" s="49">
        <f t="shared" si="111"/>
        <v>5.3816335273972592E-18</v>
      </c>
      <c r="AN60" s="49">
        <f t="shared" si="112"/>
        <v>5.3816335273972592E-18</v>
      </c>
      <c r="AO60" s="60">
        <f>IFERROR(AO12/$B60,0)</f>
        <v>0</v>
      </c>
      <c r="AP60" s="60">
        <f>IFERROR(AP12/$B60,0)</f>
        <v>0</v>
      </c>
      <c r="AQ60" s="60">
        <f>IFERROR(AQ12/$B60,0)</f>
        <v>1067193299953456.8</v>
      </c>
      <c r="AR60" s="60">
        <f>IFERROR(AR12/$B60,0)</f>
        <v>0</v>
      </c>
      <c r="AS60" s="60">
        <f t="shared" si="113"/>
        <v>1067193299953456.8</v>
      </c>
      <c r="AT60" s="71">
        <f>IFERROR(s_RadSpec!$H$12*AT12,".")*$B$60</f>
        <v>0</v>
      </c>
      <c r="AU60" s="71">
        <f>IFERROR(s_RadSpec!$G$12*AU12,".")*$B$60</f>
        <v>0</v>
      </c>
      <c r="AV60" s="71">
        <f>IFERROR(s_RadSpec!$L$12*AV12,".")*$B$60</f>
        <v>4.6851868356164388E-21</v>
      </c>
      <c r="AW60" s="71">
        <f>s_b2w!AB60</f>
        <v>0</v>
      </c>
      <c r="AX60" s="49">
        <f t="shared" si="114"/>
        <v>0</v>
      </c>
      <c r="AY60" s="49">
        <f t="shared" si="115"/>
        <v>0</v>
      </c>
      <c r="AZ60" s="49">
        <f t="shared" si="118"/>
        <v>4.6851868356164388E-21</v>
      </c>
      <c r="BA60" s="49">
        <f t="shared" si="62"/>
        <v>0</v>
      </c>
      <c r="BB60" s="49">
        <f t="shared" si="63"/>
        <v>4.6851868356164388E-21</v>
      </c>
      <c r="BC60" s="60">
        <f>IFERROR(BC12/$B60,0)</f>
        <v>0</v>
      </c>
      <c r="BD60" s="71">
        <f>IFERROR(s_RadSpec!$E$12*BD12,".")*$B$60</f>
        <v>0</v>
      </c>
      <c r="BE60" s="49">
        <f t="shared" si="116"/>
        <v>0</v>
      </c>
    </row>
    <row r="61" spans="1:57" x14ac:dyDescent="0.25">
      <c r="A61" s="48" t="s">
        <v>1099</v>
      </c>
      <c r="B61" s="15">
        <v>1</v>
      </c>
      <c r="C61" s="60">
        <f>IFERROR(C18/$B61,0)</f>
        <v>55.525479254292819</v>
      </c>
      <c r="D61" s="60">
        <f>IFERROR(D18/$B61,0)</f>
        <v>117174.26099649776</v>
      </c>
      <c r="E61" s="60">
        <f>IFERROR(E18/$B61,0)</f>
        <v>2428353.5578743829</v>
      </c>
      <c r="F61" s="60">
        <f>IFERROR(F18/$B61,0)</f>
        <v>2.156326452756538</v>
      </c>
      <c r="G61" s="60">
        <f>IFERROR(G18/$B61,0)</f>
        <v>4.0344867931074828E-2</v>
      </c>
      <c r="H61" s="60">
        <f t="shared" si="117"/>
        <v>2.0756776757979605</v>
      </c>
      <c r="I61" s="71">
        <f>IFERROR(s_RadSpec!$D$18*I18,".")*$B$61</f>
        <v>9.0048749999999994E-8</v>
      </c>
      <c r="J61" s="71">
        <f>IFERROR(s_RadSpec!$G$18*$J$18,".")*B61</f>
        <v>4.267148738535202E-11</v>
      </c>
      <c r="K61" s="71">
        <f>IFERROR(s_RadSpec!$F$18*$K$18,".")*B61</f>
        <v>2.0590082460548545E-12</v>
      </c>
      <c r="L61" s="71">
        <f>s_b2s!AB61</f>
        <v>1.7028188099999999E-6</v>
      </c>
      <c r="M61" s="49">
        <f t="shared" si="101"/>
        <v>9.0048749999999994E-8</v>
      </c>
      <c r="N61" s="49">
        <f t="shared" si="102"/>
        <v>4.267148738535202E-11</v>
      </c>
      <c r="O61" s="49">
        <f t="shared" si="103"/>
        <v>2.0590082460548545E-12</v>
      </c>
      <c r="P61" s="49">
        <f t="shared" si="47"/>
        <v>1.7028188099999999E-6</v>
      </c>
      <c r="Q61" s="49">
        <f t="shared" si="82"/>
        <v>1.7929122904956313E-6</v>
      </c>
      <c r="R61" s="60">
        <f>IFERROR(R18/$B61,0)</f>
        <v>2428353.5578743829</v>
      </c>
      <c r="S61" s="60">
        <f>IFERROR(S18/$B61,0)</f>
        <v>24200582.361690469</v>
      </c>
      <c r="T61" s="60">
        <f>IFERROR(T18/$B61,0)</f>
        <v>5969030.5645862585</v>
      </c>
      <c r="U61" s="60">
        <f>IFERROR(U18/$B61,0)</f>
        <v>3174424.3017262835</v>
      </c>
      <c r="V61" s="60">
        <f>IFERROR(V18/$B61,0)</f>
        <v>42318186.296267152</v>
      </c>
      <c r="W61" s="71">
        <f>IFERROR(s_RadSpec!$F$18*$W$18,".")*$B$61</f>
        <v>2.0590082460548545E-12</v>
      </c>
      <c r="X61" s="71">
        <f>IFERROR(s_RadSpec!$M$18*$X$18,".")*$B$61</f>
        <v>2.0660659835669918E-13</v>
      </c>
      <c r="Y61" s="71">
        <f>IFERROR(s_RadSpec!$N$18*$Y$18,".")*$B$61</f>
        <v>8.3765696052296447E-13</v>
      </c>
      <c r="Z61" s="71">
        <f>IFERROR(s_RadSpec!$O$18*$Z$18,".")*$B$61</f>
        <v>1.5750887483065668E-12</v>
      </c>
      <c r="AA61" s="71">
        <f>IFERROR(s_RadSpec!$K$18*$AA$18,".")*$B$61</f>
        <v>1.1815251166473185E-13</v>
      </c>
      <c r="AB61" s="49">
        <f t="shared" si="104"/>
        <v>2.0590082460548545E-12</v>
      </c>
      <c r="AC61" s="49">
        <f t="shared" si="105"/>
        <v>2.0660659835669918E-13</v>
      </c>
      <c r="AD61" s="49">
        <f t="shared" si="106"/>
        <v>8.3765696052296447E-13</v>
      </c>
      <c r="AE61" s="49">
        <f t="shared" si="107"/>
        <v>1.5750887483065668E-12</v>
      </c>
      <c r="AF61" s="49">
        <f t="shared" si="108"/>
        <v>1.1815251166473185E-13</v>
      </c>
      <c r="AG61" s="60">
        <f>IFERROR(AG18/$B61,0)</f>
        <v>0.37822078638405171</v>
      </c>
      <c r="AH61" s="60">
        <f>IFERROR(AH18/$B61,0)</f>
        <v>209563377.05789945</v>
      </c>
      <c r="AI61" s="60">
        <f t="shared" si="109"/>
        <v>0.37822078570143736</v>
      </c>
      <c r="AJ61" s="71">
        <f>IFERROR(s_RadSpec!$G$18*AJ18,".")*$B$61</f>
        <v>1.3219791666666667E-5</v>
      </c>
      <c r="AK61" s="71">
        <f>IFERROR(s_RadSpec!$J$18*$AK$18,".")*$B$61</f>
        <v>2.3859130684931505E-14</v>
      </c>
      <c r="AL61" s="49">
        <f t="shared" si="110"/>
        <v>1.3219791666666667E-5</v>
      </c>
      <c r="AM61" s="49">
        <f t="shared" si="111"/>
        <v>2.3859130684931505E-14</v>
      </c>
      <c r="AN61" s="49">
        <f t="shared" si="112"/>
        <v>1.3219791690525798E-5</v>
      </c>
      <c r="AO61" s="60">
        <f>IFERROR(AO18/$B61,0)</f>
        <v>1.1261261261261262</v>
      </c>
      <c r="AP61" s="60">
        <f>IFERROR(AP18/$B61,0)</f>
        <v>0</v>
      </c>
      <c r="AQ61" s="60">
        <f>IFERROR(AQ18/$B61,0)</f>
        <v>241388960703.75806</v>
      </c>
      <c r="AR61" s="60">
        <f>IFERROR(AR18/$B61,0)</f>
        <v>3.1687672904104303</v>
      </c>
      <c r="AS61" s="60">
        <f t="shared" si="113"/>
        <v>0.83085452588726039</v>
      </c>
      <c r="AT61" s="71">
        <f>IFERROR(s_RadSpec!$H$18*AT18,".")*$B$61</f>
        <v>4.4399999999999998E-6</v>
      </c>
      <c r="AU61" s="71">
        <f>IFERROR(s_RadSpec!$G$18*AU18,".")*$B$61</f>
        <v>6.6098958333333333E-6</v>
      </c>
      <c r="AV61" s="71">
        <f>IFERROR(s_RadSpec!$L$18*AV18,".")*$B$61</f>
        <v>2.0713457589041095E-17</v>
      </c>
      <c r="AW61" s="71">
        <f>s_b2w!AB61</f>
        <v>1.5779006603392393E-6</v>
      </c>
      <c r="AX61" s="49">
        <f t="shared" si="114"/>
        <v>4.4399999999999998E-6</v>
      </c>
      <c r="AY61" s="49">
        <f t="shared" si="115"/>
        <v>0</v>
      </c>
      <c r="AZ61" s="49">
        <f t="shared" si="118"/>
        <v>2.0713457589041095E-17</v>
      </c>
      <c r="BA61" s="49">
        <f t="shared" si="62"/>
        <v>1.5779006603392393E-6</v>
      </c>
      <c r="BB61" s="49">
        <f t="shared" si="63"/>
        <v>1.2627796493693286E-5</v>
      </c>
      <c r="BC61" s="60">
        <f>IFERROR(BC18/$B61,0)</f>
        <v>0.16137947172429931</v>
      </c>
      <c r="BD61" s="71">
        <f>IFERROR(s_RadSpec!$E$18*BD18,".")*$B$61</f>
        <v>3.0982875000000003E-5</v>
      </c>
      <c r="BE61" s="49">
        <f t="shared" si="116"/>
        <v>3.0982875000000003E-5</v>
      </c>
    </row>
    <row r="62" spans="1:57" x14ac:dyDescent="0.25">
      <c r="A62" s="48" t="s">
        <v>1100</v>
      </c>
      <c r="B62" s="15">
        <v>1.339E-6</v>
      </c>
      <c r="C62" s="60">
        <f>IFERROR(C27/$B62,0)</f>
        <v>0</v>
      </c>
      <c r="D62" s="60">
        <f>IFERROR(D27/$B62,0)</f>
        <v>0</v>
      </c>
      <c r="E62" s="60">
        <f>IFERROR(E27/$B62,0)</f>
        <v>21966317280.608379</v>
      </c>
      <c r="F62" s="60">
        <f>IFERROR(F27/$B62,0)</f>
        <v>0</v>
      </c>
      <c r="G62" s="60">
        <f>IFERROR(G27/$B62,0)</f>
        <v>0</v>
      </c>
      <c r="H62" s="60">
        <f t="shared" si="117"/>
        <v>21966317280.608379</v>
      </c>
      <c r="I62" s="71">
        <f>IFERROR(s_RadSpec!$D$27*I27,".")*$B$62</f>
        <v>0</v>
      </c>
      <c r="J62" s="71">
        <f>IFERROR(s_RadSpec!$G$27*$J$27,".")*B62</f>
        <v>0</v>
      </c>
      <c r="K62" s="71">
        <f>IFERROR(s_RadSpec!$F$27*$K$27,".")*B62</f>
        <v>2.2762122280797358E-16</v>
      </c>
      <c r="L62" s="71">
        <f>s_b2s!AB62</f>
        <v>0</v>
      </c>
      <c r="M62" s="49">
        <f t="shared" si="101"/>
        <v>0</v>
      </c>
      <c r="N62" s="49">
        <f t="shared" si="102"/>
        <v>0</v>
      </c>
      <c r="O62" s="49">
        <f t="shared" si="103"/>
        <v>2.2762122280797358E-16</v>
      </c>
      <c r="P62" s="49">
        <f t="shared" si="47"/>
        <v>0</v>
      </c>
      <c r="Q62" s="49">
        <f t="shared" si="82"/>
        <v>2.2762122280797358E-16</v>
      </c>
      <c r="R62" s="60">
        <f>IFERROR(R27/$B62,0)</f>
        <v>21966317280.608379</v>
      </c>
      <c r="S62" s="60">
        <f>IFERROR(S27/$B62,0)</f>
        <v>191872222213.85425</v>
      </c>
      <c r="T62" s="60">
        <f>IFERROR(T27/$B62,0)</f>
        <v>55326962438.220596</v>
      </c>
      <c r="U62" s="60">
        <f>IFERROR(U27/$B62,0)</f>
        <v>30274364147.093594</v>
      </c>
      <c r="V62" s="60">
        <f>IFERROR(V27/$B62,0)</f>
        <v>145218957009.09222</v>
      </c>
      <c r="W62" s="71">
        <f>IFERROR(s_RadSpec!$F$27*$W$27,".")*$B$62</f>
        <v>2.2762122280797358E-16</v>
      </c>
      <c r="X62" s="71">
        <f>IFERROR(s_RadSpec!$M$27*$X$27,".")*$B$62</f>
        <v>2.6059009179698613E-17</v>
      </c>
      <c r="Y62" s="71">
        <f>IFERROR(s_RadSpec!$N$27*$Y$27,".")*$B$62</f>
        <v>9.0371850896081969E-17</v>
      </c>
      <c r="Z62" s="71">
        <f>IFERROR(s_RadSpec!$O$27*$Z$27,".")*$B$62</f>
        <v>1.6515623501476619E-16</v>
      </c>
      <c r="AA62" s="71">
        <f>IFERROR(s_RadSpec!$K$27*$AA$27,".")*$B$62</f>
        <v>3.443076649894233E-17</v>
      </c>
      <c r="AB62" s="49">
        <f t="shared" si="104"/>
        <v>2.2762122280797358E-16</v>
      </c>
      <c r="AC62" s="49">
        <f t="shared" si="105"/>
        <v>2.6059009179698613E-17</v>
      </c>
      <c r="AD62" s="49">
        <f t="shared" si="106"/>
        <v>9.0371850896081969E-17</v>
      </c>
      <c r="AE62" s="49">
        <f t="shared" si="107"/>
        <v>1.6515623501476619E-16</v>
      </c>
      <c r="AF62" s="49">
        <f t="shared" si="108"/>
        <v>3.443076649894233E-17</v>
      </c>
      <c r="AG62" s="60">
        <f>IFERROR(AG27/$B62,0)</f>
        <v>0</v>
      </c>
      <c r="AH62" s="60">
        <f>IFERROR(AH27/$B62,0)</f>
        <v>696020382196.11377</v>
      </c>
      <c r="AI62" s="60">
        <f t="shared" si="109"/>
        <v>696020382196.11377</v>
      </c>
      <c r="AJ62" s="71">
        <f>IFERROR(s_RadSpec!$G$27*AJ27,".")*$B$62</f>
        <v>0</v>
      </c>
      <c r="AK62" s="71">
        <f>IFERROR(s_RadSpec!$J$27*$AK$27,".")*$B$62</f>
        <v>7.1836976730821903E-18</v>
      </c>
      <c r="AL62" s="49">
        <f t="shared" si="110"/>
        <v>0</v>
      </c>
      <c r="AM62" s="49">
        <f t="shared" si="111"/>
        <v>7.1836976730821903E-18</v>
      </c>
      <c r="AN62" s="49">
        <f t="shared" si="112"/>
        <v>7.1836976730821903E-18</v>
      </c>
      <c r="AO62" s="60">
        <f>IFERROR(AO27/$B62,0)</f>
        <v>0</v>
      </c>
      <c r="AP62" s="60">
        <f>IFERROR(AP27/$B62,0)</f>
        <v>0</v>
      </c>
      <c r="AQ62" s="60">
        <f>IFERROR(AQ27/$B62,0)</f>
        <v>1111699221563237.3</v>
      </c>
      <c r="AR62" s="60">
        <f>IFERROR(AR27/$B62,0)</f>
        <v>0</v>
      </c>
      <c r="AS62" s="60">
        <f t="shared" si="113"/>
        <v>1111699221563237.3</v>
      </c>
      <c r="AT62" s="71">
        <f>IFERROR(s_RadSpec!$H$27*AT27,".")*$B$62</f>
        <v>0</v>
      </c>
      <c r="AU62" s="71">
        <f>IFERROR(s_RadSpec!$G$27*AU27,".")*$B$62</f>
        <v>0</v>
      </c>
      <c r="AV62" s="71">
        <f>IFERROR(s_RadSpec!$L$27*AV27,".")*$B$62</f>
        <v>4.4976194127123279E-21</v>
      </c>
      <c r="AW62" s="71">
        <f>s_b2w!AB62</f>
        <v>0</v>
      </c>
      <c r="AX62" s="49">
        <f t="shared" si="114"/>
        <v>0</v>
      </c>
      <c r="AY62" s="49">
        <f t="shared" si="115"/>
        <v>0</v>
      </c>
      <c r="AZ62" s="49">
        <f t="shared" si="118"/>
        <v>4.4976194127123279E-21</v>
      </c>
      <c r="BA62" s="49">
        <f t="shared" si="62"/>
        <v>0</v>
      </c>
      <c r="BB62" s="49">
        <f t="shared" si="63"/>
        <v>4.4976194127123279E-21</v>
      </c>
      <c r="BC62" s="60">
        <f>IFERROR(BC27/$B62,0)</f>
        <v>0</v>
      </c>
      <c r="BD62" s="71">
        <f>IFERROR(s_RadSpec!$E$27*BD27,".")*$B$62</f>
        <v>0</v>
      </c>
      <c r="BE62" s="49">
        <f t="shared" si="116"/>
        <v>0</v>
      </c>
    </row>
    <row r="63" spans="1:57" x14ac:dyDescent="0.25">
      <c r="A63" s="57" t="s">
        <v>35</v>
      </c>
      <c r="B63" s="57" t="s">
        <v>1259</v>
      </c>
      <c r="C63" s="58">
        <f>1/SUM(1/C66,1/C68,1/C72,1/C73,1/C75)</f>
        <v>36.243973683746454</v>
      </c>
      <c r="D63" s="58">
        <f>1/SUM(1/D64,1/D65,1/D66,1/D68,1/D72,1/D73,1/D75)</f>
        <v>54844.081584679639</v>
      </c>
      <c r="E63" s="58">
        <f>1/SUM(1/E64,1/E66,1/E68,1/E69,1/E70,1/E71,1/E72,1/E73,1/E74,1/E75,1/E76)</f>
        <v>10.296592575693513</v>
      </c>
      <c r="F63" s="58">
        <f>1/SUM(1/F66,1/F68,1/F72,1/F73,1/F75)</f>
        <v>1.0172791076857797</v>
      </c>
      <c r="G63" s="58">
        <f>1/SUM(1/G66,1/G68,1/G72,1/G73,1/G75)</f>
        <v>2.6398867527410101E-2</v>
      </c>
      <c r="H63" s="59">
        <f>1/SUM(1/H64,1/H65,1/H66,1/H68,1/H69,1/H70,1/H71,1/H72,1/H73,1/H74,1/H75,1/H76)</f>
        <v>0.90273652761519496</v>
      </c>
      <c r="I63" s="70"/>
      <c r="J63" s="70"/>
      <c r="K63" s="70"/>
      <c r="L63" s="70"/>
      <c r="M63" s="47">
        <f t="shared" ref="M63:O63" si="119">IFERROR(IF(SUM(I64:I76)&gt;0.01,1-EXP(-SUM(I64:I76)),SUM(I64:I76)),".")</f>
        <v>1.3795396839288184E-7</v>
      </c>
      <c r="N63" s="47">
        <f t="shared" si="119"/>
        <v>9.1167539970196497E-11</v>
      </c>
      <c r="O63" s="47">
        <f t="shared" si="119"/>
        <v>4.855975375585094E-7</v>
      </c>
      <c r="P63" s="47">
        <f>IFERROR(IF(SUM(L64:L76)&gt;0.01,1-EXP(-SUM(L64:L76)),SUM(L64:L76)),".")</f>
        <v>3.371898967058995E-6</v>
      </c>
      <c r="Q63" s="47">
        <f>IFERROR(IF(SUM(I64:L76)&gt;0.01,1-EXP(-SUM(I64:L76)),SUM(I64:L76)),".")</f>
        <v>3.9955416405503567E-6</v>
      </c>
      <c r="R63" s="59">
        <f t="shared" ref="R63:V63" si="120">1/SUM(1/R64,1/R66,1/R68,1/R69,1/R70,1/R71,1/R72,1/R73,1/R74,1/R75,1/R76)</f>
        <v>10.296592575693513</v>
      </c>
      <c r="S63" s="59">
        <f t="shared" si="120"/>
        <v>114.15848954676919</v>
      </c>
      <c r="T63" s="59">
        <f t="shared" si="120"/>
        <v>28.141337040757509</v>
      </c>
      <c r="U63" s="59">
        <f t="shared" si="120"/>
        <v>14.532121343571509</v>
      </c>
      <c r="V63" s="59">
        <f t="shared" si="120"/>
        <v>209.43674755563009</v>
      </c>
      <c r="W63" s="70"/>
      <c r="X63" s="70"/>
      <c r="Y63" s="70"/>
      <c r="Z63" s="70"/>
      <c r="AA63" s="70"/>
      <c r="AB63" s="47">
        <f>IFERROR(IF(SUM(W64:W76)&gt;0.01,1-EXP(-SUM(W64:W76)),SUM(W64:W76)),".")</f>
        <v>4.855975375585094E-7</v>
      </c>
      <c r="AC63" s="47">
        <f t="shared" ref="AC63" si="121">IFERROR(IF(SUM(X64:X76)&gt;0.01,1-EXP(-SUM(X64:X76)),SUM(X64:X76)),".")</f>
        <v>4.3798757498027043E-8</v>
      </c>
      <c r="AD63" s="47">
        <f t="shared" ref="AD63" si="122">IFERROR(IF(SUM(Y64:Y76)&gt;0.01,1-EXP(-SUM(Y64:Y76)),SUM(Y64:Y76)),".")</f>
        <v>1.776745714945393E-7</v>
      </c>
      <c r="AE63" s="47">
        <f t="shared" ref="AE63" si="123">IFERROR(IF(SUM(Z64:Z76)&gt;0.01,1-EXP(-SUM(Z64:Z76)),SUM(Z64:Z76)),".")</f>
        <v>3.4406539016492726E-7</v>
      </c>
      <c r="AF63" s="47">
        <f t="shared" ref="AF63" si="124">IFERROR(IF(SUM(AA64:AA76)&gt;0.01,1-EXP(-SUM(AA64:AA76)),SUM(AA64:AA76)),".")</f>
        <v>2.3873556376117383E-8</v>
      </c>
      <c r="AG63" s="58">
        <f>1/SUM(1/AG64,1/AG65,1/AG66,1/AG68,1/AG72,1/AG73,1/AG75)</f>
        <v>0.17702839761104722</v>
      </c>
      <c r="AH63" s="58">
        <f t="shared" ref="AH63" si="125">1/SUM(1/AH64,1/AH65,1/AH66,1/AH67,1/AH68,1/AH69,1/AH70,1/AH71,1/AH72,1/AH73,1/AH74,1/AH75,1/AH76)</f>
        <v>1134.1994739107167</v>
      </c>
      <c r="AI63" s="59">
        <f>1/SUM(1/AI64,1/AI65,1/AI66,1/AI67,1/AI68,1/AI69,1/AI70,1/AI71,1/AI72,1/AI73,1/AI74,1/AI75,1/AI76)</f>
        <v>0.1770007709337518</v>
      </c>
      <c r="AJ63" s="70"/>
      <c r="AK63" s="70"/>
      <c r="AL63" s="47">
        <f>IFERROR(IF(SUM(AJ64:AJ76)&gt;0.01,1-EXP(-SUM(AJ64:AJ76)),SUM(AJ64:AJ76)),".")</f>
        <v>2.8244056137171872E-5</v>
      </c>
      <c r="AM63" s="47">
        <f>IFERROR(IF(SUM(AK64:AK76)&gt;0.01,1-EXP(-SUM(AK64:AK76)),SUM(AK64:AK76)),".")</f>
        <v>4.4083956261767724E-9</v>
      </c>
      <c r="AN63" s="47">
        <f>IFERROR(IF(SUM(AJ64:AK76)&gt;0.01,1-EXP(-SUM(AJ64:AK76)),SUM(AJ64:AK76)),".")</f>
        <v>2.8248464532798049E-5</v>
      </c>
      <c r="AO63" s="58">
        <f>1/SUM(1/AO66,1/AO68,1/AO72,1/AO73,1/AO75)</f>
        <v>0.74913285126867701</v>
      </c>
      <c r="AP63" s="58">
        <f>1/SUM(1/AP64)</f>
        <v>4812.0300751879695</v>
      </c>
      <c r="AQ63" s="58">
        <f t="shared" ref="AQ63" si="126">1/SUM(1/AQ64,1/AQ65,1/AQ66,1/AQ67,1/AQ68,1/AQ69,1/AQ70,1/AQ71,1/AQ72,1/AQ73,1/AQ74,1/AQ75,1/AQ76)</f>
        <v>1308612.7131784654</v>
      </c>
      <c r="AR63" s="58">
        <f>1/SUM(1/AR66,1/AR68,1/AR72,1/AR73,1/AR75)</f>
        <v>1.8629158395520802</v>
      </c>
      <c r="AS63" s="59">
        <f>1/SUM(1/AS64,1/AS65,1/AS66,1/AS67,1/AS68,1/AS69,1/AS70,1/AS71,1/AS72,1/AS73,1/AS74,1/AS75,1/AS76)</f>
        <v>0.53422279452265165</v>
      </c>
      <c r="AT63" s="70"/>
      <c r="AU63" s="70"/>
      <c r="AV63" s="70"/>
      <c r="AW63" s="70"/>
      <c r="AX63" s="47">
        <f>IFERROR(IF(SUM(AT64:AT76)&gt;0.01,1-EXP(-SUM(AT64:AT76)),SUM(AT64:AT76)),".")</f>
        <v>6.674383577668985E-6</v>
      </c>
      <c r="AY63" s="47">
        <f t="shared" ref="AY63:BA63" si="127">IFERROR(IF(SUM(AU64:AU76)&gt;0.01,1-EXP(-SUM(AU64:AU76)),SUM(AU64:AU76)),".")</f>
        <v>1.4122028068585936E-5</v>
      </c>
      <c r="AZ63" s="47">
        <f t="shared" si="127"/>
        <v>3.8208401535818752E-12</v>
      </c>
      <c r="BA63" s="47">
        <f t="shared" si="127"/>
        <v>2.683964689402578E-6</v>
      </c>
      <c r="BB63" s="47">
        <f>IFERROR(IF(SUM(AT64:AW76)&gt;0.01,1-EXP(-SUM(AT64:AW76)),SUM(AT64:AW76)),".")</f>
        <v>2.3480380156497653E-5</v>
      </c>
      <c r="BC63" s="59">
        <f>1/SUM(1/BC66,1/BC68,1/BC72,1/BC73,1/BC75)</f>
        <v>0.1055954701096404</v>
      </c>
      <c r="BD63" s="70"/>
      <c r="BE63" s="47">
        <f>IFERROR(IF(SUM(BE64:BE76)&gt;0.01,1-EXP(-SUM(BE64:BE76)),SUM(BE64:BE76)),".")</f>
        <v>4.7350516028845453E-5</v>
      </c>
    </row>
    <row r="64" spans="1:57" x14ac:dyDescent="0.25">
      <c r="A64" s="48" t="s">
        <v>1090</v>
      </c>
      <c r="B64" s="45">
        <v>1</v>
      </c>
      <c r="C64" s="60">
        <f>IFERROR(C25/$B50,0)</f>
        <v>0</v>
      </c>
      <c r="D64" s="60">
        <f>IFERROR(D25/$B50,0)</f>
        <v>745392755.04087865</v>
      </c>
      <c r="E64" s="60">
        <f>IFERROR(E25/$B50,0)</f>
        <v>92352.476864365366</v>
      </c>
      <c r="F64" s="60">
        <f>IFERROR(F25/$B50,0)</f>
        <v>0</v>
      </c>
      <c r="G64" s="60">
        <f>IFERROR(G25/$B50,0)</f>
        <v>0</v>
      </c>
      <c r="H64" s="60">
        <f t="shared" ref="H64:H76" si="128">(IF(AND(C64&lt;&gt;0,D64&lt;&gt;0,E64&lt;&gt;0,F64&lt;&gt;0),1/((1/C64)+(1/D64)+(1/E64)+(1/F64)),IF(AND(C64&lt;&gt;0,D64&lt;&gt;0,E64&lt;&gt;0,F64=0), 1/((1/C64)+(1/D64)+(1/E64)),IF(AND(C64&lt;&gt;0,D64&lt;&gt;0,E64=0,F64&lt;&gt;0),1/((1/C64)+(1/D64)+(1/F64)),IF(AND(C64&lt;&gt;0,D64=0,E64&lt;&gt;0,F64&lt;&gt;0),1/((1/C64)+(1/E64)+(1/F64)),IF(AND(C64=0,D64&lt;&gt;0,E64&lt;&gt;0,F64&lt;&gt;0),1/((1/D64)+(1/E64)+(1/F64)),IF(AND(C64&lt;&gt;0,D64&lt;&gt;0,E64=0,F64=0),1/((1/C64)+(1/D64)),IF(AND(C64&lt;&gt;0,D64=0,E64&lt;&gt;0,F64=0),1/((1/C64)+(1/E64)),IF(AND(C64&lt;&gt;0,D64=0,E64=0,F64&lt;&gt;0),1/((1/C64)+(1/F64)),IF(AND(C64=0,D64=0,E64&lt;&gt;0,F64&lt;&gt;0),1/((1/E64)+(1/F64)),IF(AND(C64=0,D64&lt;&gt;0,E64=0,F64&lt;&gt;0),1/((1/D64)+(1/F64)),IF(AND(C64=0,D64&lt;&gt;0,E64&lt;&gt;0,F64=0),1/((1/D64)+(1/E64)),IF(AND(C64&lt;&gt;0,D64=0,E64=0,F64=0),1/((1/C64)),IF(AND(C64=0,D64&lt;&gt;0,E64=0,F64=0),1/((1/D64)),IF(AND(C64=0,D64=0,E64&lt;&gt;0,F64=0),1/((1/E64)),IF(AND(C64=0,D64=0,E64=0,F64&lt;&gt;0),1/((1/F64)),IF(AND(C64=0,D64=0,E64=0,F64=0),0)))))))))))))))))</f>
        <v>92341.03601880456</v>
      </c>
      <c r="I64" s="71">
        <f>IFERROR(s_RadSpec!$D$25*I25,".")*$B$64</f>
        <v>0</v>
      </c>
      <c r="J64" s="71">
        <f>IFERROR(s_RadSpec!$G$25*$J$25,".")*B64</f>
        <v>6.707873085948883E-15</v>
      </c>
      <c r="K64" s="71">
        <f>IFERROR(s_RadSpec!$F$25*$K$25,".")*B64</f>
        <v>5.4140399583904091E-11</v>
      </c>
      <c r="L64" s="71">
        <f>s_b2s!AB64</f>
        <v>0</v>
      </c>
      <c r="M64" s="49">
        <f t="shared" ref="M64:M76" si="129">IFERROR(IF(I64&gt;0.01,1-EXP(-I64),I64),".")</f>
        <v>0</v>
      </c>
      <c r="N64" s="49">
        <f t="shared" ref="N64:N76" si="130">IFERROR(IF(J64&gt;0.01,1-EXP(-J64),J64),".")</f>
        <v>6.707873085948883E-15</v>
      </c>
      <c r="O64" s="49">
        <f t="shared" ref="O64:O76" si="131">IFERROR(IF(K64&gt;0.01,1-EXP(-K64),K64),".")</f>
        <v>5.4140399583904091E-11</v>
      </c>
      <c r="P64" s="49">
        <f t="shared" si="47"/>
        <v>0</v>
      </c>
      <c r="Q64" s="49">
        <f t="shared" ref="Q64:Q76" si="132">IFERROR(IF(SUM(I64:L64)&gt;0.01,1-EXP(-SUM(I64:L64)),SUM(I64:L64)),".")</f>
        <v>5.4147107456990042E-11</v>
      </c>
      <c r="R64" s="60">
        <f>IFERROR(R25/$B50,0)</f>
        <v>92352.476864365366</v>
      </c>
      <c r="S64" s="60">
        <f>IFERROR(S25/$B50,0)</f>
        <v>784708.69291398232</v>
      </c>
      <c r="T64" s="60">
        <f>IFERROR(T25/$B50,0)</f>
        <v>199460.62660343619</v>
      </c>
      <c r="U64" s="60">
        <f>IFERROR(U25/$B50,0)</f>
        <v>116367.36820022865</v>
      </c>
      <c r="V64" s="60">
        <f>IFERROR(V25/$B50,0)</f>
        <v>1433158.5807236682</v>
      </c>
      <c r="W64" s="71">
        <f>IFERROR(s_RadSpec!$F$25*$W$25,".")*$B$64</f>
        <v>5.4140399583904091E-11</v>
      </c>
      <c r="X64" s="71">
        <f>IFERROR(s_RadSpec!$M$25*$X$25,".")*$B$64</f>
        <v>6.3717912712712699E-12</v>
      </c>
      <c r="Y64" s="71">
        <f>IFERROR(s_RadSpec!$N$25*$Y$25,".")*$B$64</f>
        <v>2.5067603993548583E-11</v>
      </c>
      <c r="Z64" s="71">
        <f>IFERROR(s_RadSpec!$O$25*$Z$25,".")*$B$64</f>
        <v>4.2967372016154052E-11</v>
      </c>
      <c r="AA64" s="71">
        <f>IFERROR(s_RadSpec!$K$25*$AA$25,".")*$B$64</f>
        <v>3.4887974486921527E-12</v>
      </c>
      <c r="AB64" s="49">
        <f t="shared" ref="AB64:AB76" si="133">IFERROR(IF(W64&gt;0.01,1-EXP(-W64),W64),".")</f>
        <v>5.4140399583904091E-11</v>
      </c>
      <c r="AC64" s="49">
        <f t="shared" ref="AC64:AC76" si="134">IFERROR(IF(X64&gt;0.01,1-EXP(-X64),X64),".")</f>
        <v>6.3717912712712699E-12</v>
      </c>
      <c r="AD64" s="49">
        <f t="shared" ref="AD64:AD76" si="135">IFERROR(IF(Y64&gt;0.01,1-EXP(-Y64),Y64),".")</f>
        <v>2.5067603993548583E-11</v>
      </c>
      <c r="AE64" s="49">
        <f t="shared" ref="AE64:AE76" si="136">IFERROR(IF(Z64&gt;0.01,1-EXP(-Z64),Z64),".")</f>
        <v>4.2967372016154052E-11</v>
      </c>
      <c r="AF64" s="49">
        <f t="shared" ref="AF64:AF76" si="137">IFERROR(IF(AA64&gt;0.01,1-EXP(-AA64),AA64),".")</f>
        <v>3.4887974486921527E-12</v>
      </c>
      <c r="AG64" s="60">
        <f>IFERROR(AG25/$B50,0)</f>
        <v>2406.0150375939847</v>
      </c>
      <c r="AH64" s="60">
        <f>IFERROR(AH25/$B50,0)</f>
        <v>5397387.6968869064</v>
      </c>
      <c r="AI64" s="60">
        <f t="shared" ref="AI64:AI76" si="138">IFERROR(IF(AND(AG64&lt;&gt;0,AH64&lt;&gt;0),1/((1/AG64)+(1/AH64)),IF(AND(AG64&lt;&gt;0,AH64=0),1/((1/AG64)),IF(AND(AG64=0,AH64&lt;&gt;0),1/((1/AH64)),IF(AND(AG64=".",AH64="."),".")))),".")</f>
        <v>2404.942976572775</v>
      </c>
      <c r="AJ64" s="71">
        <f>IFERROR(s_RadSpec!$G$25*AJ25,".")*$B$64</f>
        <v>2.0781249999999998E-9</v>
      </c>
      <c r="AK64" s="71">
        <f>IFERROR(s_RadSpec!$J$25*$AK$25,".")*$B$64</f>
        <v>9.2637406849315067E-13</v>
      </c>
      <c r="AL64" s="49">
        <f t="shared" ref="AL64:AL76" si="139">IFERROR(IF(AJ64&gt;0.01,1-EXP(-AJ64),AJ64),".")</f>
        <v>2.0781249999999998E-9</v>
      </c>
      <c r="AM64" s="49">
        <f t="shared" ref="AM64:AM76" si="140">IFERROR(IF(AK64&gt;0.01,1-EXP(-AK64),AK64),".")</f>
        <v>9.2637406849315067E-13</v>
      </c>
      <c r="AN64" s="49">
        <f t="shared" ref="AN64:AN76" si="141">IFERROR(IF(SUM(AJ64:AK64)&gt;0.01,1-EXP(-SUM(AJ64:AK64)),SUM(AJ64:AK64)),".")</f>
        <v>2.0790513740684931E-9</v>
      </c>
      <c r="AO64" s="60">
        <f>IFERROR(AO25/$B50,0)</f>
        <v>0</v>
      </c>
      <c r="AP64" s="60">
        <f>IFERROR(AP25/$B50,0)</f>
        <v>4812.0300751879695</v>
      </c>
      <c r="AQ64" s="60">
        <f>IFERROR(AQ25/$B50,0)</f>
        <v>6231203404.2132893</v>
      </c>
      <c r="AR64" s="60">
        <f>IFERROR(AR25/$B50,0)</f>
        <v>0</v>
      </c>
      <c r="AS64" s="60">
        <f>(IF(AND(AO64&lt;&gt;0,AP64&lt;&gt;0,AQ64&lt;&gt;0,AR64&lt;&gt;0),1/((1/AO64)+(1/AP64)+(1/AQ64)+(1/AR64)),IF(AND(AO64&lt;&gt;0,AP64&lt;&gt;0,AQ64&lt;&gt;0,AR64=0), 1/((1/AO64)+(1/AP64)+(1/AQ64)),IF(AND(AO64&lt;&gt;0,AP64&lt;&gt;0,AQ64=0,AR64&lt;&gt;0),1/((1/AO64)+(1/AP64)+(1/AR64)),IF(AND(AO64&lt;&gt;0,AP64=0,AQ64&lt;&gt;0,AR64&lt;&gt;0),1/((1/AO64)+(1/AQ64)+(1/AR64)),IF(AND(AO64=0,AP64&lt;&gt;0,AQ64&lt;&gt;0,AR64&lt;&gt;0),1/((1/AP64)+(1/AQ64)+(1/AR64)),IF(AND(AO64&lt;&gt;0,AP64&lt;&gt;0,AQ64=0,AR64=0),1/((1/AO64)+(1/AP64)),IF(AND(AO64&lt;&gt;0,AP64=0,AQ64&lt;&gt;0,AR64=0),1/((1/AO64)+(1/AQ64)),IF(AND(AO64&lt;&gt;0,AP64=0,AQ64=0,AR64&lt;&gt;0),1/((1/AO64)+(1/AR64)),IF(AND(AO64=0,AP64=0,AQ64&lt;&gt;0,AR64&lt;&gt;0),1/((1/AQ64)+(1/AR64)),IF(AND(AO64=0,AP64&lt;&gt;0,AQ64=0,AR64&lt;&gt;0),1/((1/AP64)+(1/AR64)),IF(AND(AO64=0,AP64&lt;&gt;0,AQ64&lt;&gt;0,AR64=0),1/((1/AP64)+(1/AQ64)),IF(AND(AO64&lt;&gt;0,AP64=0,AQ64=0,AR64=0),1/((1/AO64)),IF(AND(AO64=0,AP64&lt;&gt;0,AQ64=0,AR64=0),1/((1/AP64)),IF(AND(AO64=0,AP64=0,AQ64&lt;&gt;0,AR64=0),1/((1/AQ64)),IF(AND(AO64=0,AP64=0,AQ64=0,AR64&lt;&gt;0),1/((1/AR64)),IF(AND(AO64=0,AP64=0,AQ64=0,AR64=0),0)))))))))))))))))</f>
        <v>4812.0263591135517</v>
      </c>
      <c r="AT64" s="71">
        <f>IFERROR(s_RadSpec!$H$25*AT25,".")*$B$64</f>
        <v>0</v>
      </c>
      <c r="AU64" s="71">
        <f>IFERROR(s_RadSpec!$G$25*AU25,".")*$B$64</f>
        <v>1.0390624999999999E-9</v>
      </c>
      <c r="AV64" s="71">
        <f>IFERROR(s_RadSpec!$L$25*AV25,".")*$B$64</f>
        <v>8.024132219178082E-16</v>
      </c>
      <c r="AW64" s="71">
        <f>s_b2w!AB64</f>
        <v>0</v>
      </c>
      <c r="AX64" s="49">
        <f t="shared" ref="AX64:AX76" si="142">IFERROR(IF(AT64&gt;0.01,1-EXP(-AT64),AT64),".")</f>
        <v>0</v>
      </c>
      <c r="AY64" s="49">
        <f t="shared" ref="AY64:AY76" si="143">IFERROR(IF(AP64&lt;&gt;0,IF(AU64&gt;0.01,1-EXP(-AU64),AU64),0),".")</f>
        <v>1.0390624999999999E-9</v>
      </c>
      <c r="AZ64" s="49">
        <f t="shared" ref="AZ64:AZ76" si="144">IFERROR(IF(AV64&gt;0.01,1-EXP(-AV64),AV64),".")</f>
        <v>8.024132219178082E-16</v>
      </c>
      <c r="BA64" s="49">
        <f t="shared" si="62"/>
        <v>0</v>
      </c>
      <c r="BB64" s="49">
        <f t="shared" si="63"/>
        <v>1.0390633024132218E-9</v>
      </c>
      <c r="BC64" s="60">
        <f>IFERROR(BC25/$B50,0)</f>
        <v>0</v>
      </c>
      <c r="BD64" s="71">
        <f>IFERROR(s_RadSpec!$E$25*BD25,".")*$B$64</f>
        <v>0</v>
      </c>
      <c r="BE64" s="49">
        <f t="shared" ref="BE64:BE76" si="145">IFERROR(IF(BD64&gt;0.01,1-EXP(-BD64),BD64),".")</f>
        <v>0</v>
      </c>
    </row>
    <row r="65" spans="1:57" x14ac:dyDescent="0.25">
      <c r="A65" s="48" t="s">
        <v>1076</v>
      </c>
      <c r="B65" s="45">
        <v>1</v>
      </c>
      <c r="C65" s="60">
        <f>IFERROR(C21/$B51,0)</f>
        <v>0</v>
      </c>
      <c r="D65" s="60">
        <f>IFERROR(D21/$B51,0)</f>
        <v>122265861.97792831</v>
      </c>
      <c r="E65" s="60">
        <f>IFERROR(E21/$B51,0)</f>
        <v>0</v>
      </c>
      <c r="F65" s="60">
        <f>IFERROR(F21/$B51,0)</f>
        <v>0</v>
      </c>
      <c r="G65" s="60">
        <f>IFERROR(G21/$B51,0)</f>
        <v>0</v>
      </c>
      <c r="H65" s="60">
        <f t="shared" si="128"/>
        <v>122265861.97792831</v>
      </c>
      <c r="I65" s="71">
        <f>IFERROR(s_RadSpec!$D$21*I21,".")*$B$65</f>
        <v>0</v>
      </c>
      <c r="J65" s="71">
        <f>IFERROR(s_RadSpec!$G$21*$J$21,".")*B65</f>
        <v>4.0894489427495383E-14</v>
      </c>
      <c r="K65" s="71">
        <f>IFERROR(s_RadSpec!$F$21*$K$21,".")*B65</f>
        <v>0</v>
      </c>
      <c r="L65" s="71">
        <f>s_b2s!AB65</f>
        <v>0</v>
      </c>
      <c r="M65" s="49">
        <f t="shared" si="129"/>
        <v>0</v>
      </c>
      <c r="N65" s="49">
        <f t="shared" si="130"/>
        <v>4.0894489427495383E-14</v>
      </c>
      <c r="O65" s="49">
        <f t="shared" si="131"/>
        <v>0</v>
      </c>
      <c r="P65" s="49">
        <f t="shared" si="47"/>
        <v>0</v>
      </c>
      <c r="Q65" s="49">
        <f t="shared" si="132"/>
        <v>4.0894489427495383E-14</v>
      </c>
      <c r="R65" s="60">
        <f>IFERROR(R21/$B51,0)</f>
        <v>0</v>
      </c>
      <c r="S65" s="60">
        <f>IFERROR(S21/$B51,0)</f>
        <v>0</v>
      </c>
      <c r="T65" s="60">
        <f>IFERROR(T21/$B51,0)</f>
        <v>0</v>
      </c>
      <c r="U65" s="60">
        <f>IFERROR(U21/$B51,0)</f>
        <v>0</v>
      </c>
      <c r="V65" s="60">
        <f>IFERROR(V21/$B51,0)</f>
        <v>0</v>
      </c>
      <c r="W65" s="71">
        <f>IFERROR(s_RadSpec!$F$21*$W$21,".")*$B$65</f>
        <v>0</v>
      </c>
      <c r="X65" s="71">
        <f>IFERROR(s_RadSpec!$M$21*$X$21,".")*$B$65</f>
        <v>0</v>
      </c>
      <c r="Y65" s="71">
        <f>IFERROR(s_RadSpec!$N$21*$Y$21,".")*$B$65</f>
        <v>0</v>
      </c>
      <c r="Z65" s="71">
        <f>IFERROR(s_RadSpec!$O$21*$Z$21,".")*$B$65</f>
        <v>0</v>
      </c>
      <c r="AA65" s="71">
        <f>IFERROR(s_RadSpec!$K$21*$AA$21,".")*$B$65</f>
        <v>0</v>
      </c>
      <c r="AB65" s="49">
        <f t="shared" si="133"/>
        <v>0</v>
      </c>
      <c r="AC65" s="49">
        <f t="shared" si="134"/>
        <v>0</v>
      </c>
      <c r="AD65" s="49">
        <f t="shared" si="135"/>
        <v>0</v>
      </c>
      <c r="AE65" s="49">
        <f t="shared" si="136"/>
        <v>0</v>
      </c>
      <c r="AF65" s="49">
        <f t="shared" si="137"/>
        <v>0</v>
      </c>
      <c r="AG65" s="60">
        <f>IFERROR(AG21/$B51,0)</f>
        <v>394.65570400822202</v>
      </c>
      <c r="AH65" s="60">
        <f>IFERROR(AH21/$B51,0)</f>
        <v>221963576883.81067</v>
      </c>
      <c r="AI65" s="60">
        <f t="shared" si="138"/>
        <v>394.65570330651622</v>
      </c>
      <c r="AJ65" s="71">
        <f>IFERROR(s_RadSpec!$G$21*AJ21,".")*$B$65</f>
        <v>1.2669270833333332E-8</v>
      </c>
      <c r="AK65" s="71">
        <f>IFERROR(s_RadSpec!$J$21*$AK$21,".")*$B$65</f>
        <v>2.2526218356164382E-17</v>
      </c>
      <c r="AL65" s="49">
        <f t="shared" si="139"/>
        <v>1.2669270833333332E-8</v>
      </c>
      <c r="AM65" s="49">
        <f t="shared" si="140"/>
        <v>2.2526218356164382E-17</v>
      </c>
      <c r="AN65" s="49">
        <f t="shared" si="141"/>
        <v>1.2669270855859549E-8</v>
      </c>
      <c r="AO65" s="60">
        <f>IFERROR(AO21/$B51,0)</f>
        <v>0</v>
      </c>
      <c r="AP65" s="60">
        <f>IFERROR(AP21/$B51,0)</f>
        <v>0</v>
      </c>
      <c r="AQ65" s="60">
        <f>IFERROR(AQ21/$B51,0)</f>
        <v>433162176597736.69</v>
      </c>
      <c r="AR65" s="60">
        <f>IFERROR(AR21/$B51,0)</f>
        <v>0</v>
      </c>
      <c r="AS65" s="60">
        <f t="shared" ref="AS65:AS76" si="146">(IF(AND(AO65&lt;&gt;0,AP65&lt;&gt;0,AQ65&lt;&gt;0,AR65&lt;&gt;0),1/((1/AO65)+(1/AP65)+(1/AQ65)+(1/AR65)),IF(AND(AO65&lt;&gt;0,AP65&lt;&gt;0,AQ65&lt;&gt;0,AR65=0), 1/((1/AO65)+(1/AP65)+(1/AQ65)),IF(AND(AO65&lt;&gt;0,AP65&lt;&gt;0,AQ65=0,AR65&lt;&gt;0),1/((1/AO65)+(1/AP65)+(1/AR65)),IF(AND(AO65&lt;&gt;0,AP65=0,AQ65&lt;&gt;0,AR65&lt;&gt;0),1/((1/AO65)+(1/AQ65)+(1/AR65)),IF(AND(AO65=0,AP65&lt;&gt;0,AQ65&lt;&gt;0,AR65&lt;&gt;0),1/((1/AP65)+(1/AQ65)+(1/AR65)),IF(AND(AO65&lt;&gt;0,AP65&lt;&gt;0,AQ65=0,AR65=0),1/((1/AO65)+(1/AP65)),IF(AND(AO65&lt;&gt;0,AP65=0,AQ65&lt;&gt;0,AR65=0),1/((1/AO65)+(1/AQ65)),IF(AND(AO65&lt;&gt;0,AP65=0,AQ65=0,AR65&lt;&gt;0),1/((1/AO65)+(1/AR65)),IF(AND(AO65=0,AP65=0,AQ65&lt;&gt;0,AR65&lt;&gt;0),1/((1/AQ65)+(1/AR65)),IF(AND(AO65=0,AP65&lt;&gt;0,AQ65=0,AR65&lt;&gt;0),1/((1/AP65)+(1/AR65)),IF(AND(AO65=0,AP65&lt;&gt;0,AQ65&lt;&gt;0,AR65=0),1/((1/AP65)+(1/AQ65)),IF(AND(AO65&lt;&gt;0,AP65=0,AQ65=0,AR65=0),1/((1/AO65)),IF(AND(AO65=0,AP65&lt;&gt;0,AQ65=0,AR65=0),1/((1/AP65)),IF(AND(AO65=0,AP65=0,AQ65&lt;&gt;0,AR65=0),1/((1/AQ65)),IF(AND(AO65=0,AP65=0,AQ65=0,AR65&lt;&gt;0),1/((1/AR65)),IF(AND(AO65=0,AP65=0,AQ65=0,AR65=0),0)))))))))))))))))</f>
        <v>433162176597736.63</v>
      </c>
      <c r="AT65" s="71">
        <f>IFERROR(s_RadSpec!$H$21*AT21,".")*$B$65</f>
        <v>0</v>
      </c>
      <c r="AU65" s="71">
        <f>IFERROR(s_RadSpec!$G$21*AU21,".")*$B$65</f>
        <v>6.3346354166666658E-9</v>
      </c>
      <c r="AV65" s="71">
        <f>IFERROR(s_RadSpec!$L$21*AV21,".")*$B$65</f>
        <v>1.1543020767123286E-20</v>
      </c>
      <c r="AW65" s="71">
        <f>s_b2w!AB65</f>
        <v>0</v>
      </c>
      <c r="AX65" s="49">
        <f t="shared" si="142"/>
        <v>0</v>
      </c>
      <c r="AY65" s="49">
        <f t="shared" si="143"/>
        <v>0</v>
      </c>
      <c r="AZ65" s="49">
        <f t="shared" si="144"/>
        <v>1.1543020767123286E-20</v>
      </c>
      <c r="BA65" s="49">
        <f t="shared" si="62"/>
        <v>0</v>
      </c>
      <c r="BB65" s="49">
        <f t="shared" si="63"/>
        <v>6.3346354166782092E-9</v>
      </c>
      <c r="BC65" s="60">
        <f>IFERROR(BC21/$B51,0)</f>
        <v>0</v>
      </c>
      <c r="BD65" s="71">
        <f>IFERROR(s_RadSpec!$E$21*BD21,".")*$B$65</f>
        <v>0</v>
      </c>
      <c r="BE65" s="49">
        <f t="shared" si="145"/>
        <v>0</v>
      </c>
    </row>
    <row r="66" spans="1:57" x14ac:dyDescent="0.25">
      <c r="A66" s="48" t="s">
        <v>1077</v>
      </c>
      <c r="B66" s="52">
        <v>0.99980000000000002</v>
      </c>
      <c r="C66" s="60">
        <f>IFERROR(C17/$B52,0)</f>
        <v>229672.33231716033</v>
      </c>
      <c r="D66" s="60">
        <f>IFERROR(D17/$B52,0)</f>
        <v>21876904.100166284</v>
      </c>
      <c r="E66" s="60">
        <f>IFERROR(E17/$B52,0)</f>
        <v>216.30741600040082</v>
      </c>
      <c r="F66" s="60">
        <f>IFERROR(F17/$B52,0)</f>
        <v>4832.1194785891657</v>
      </c>
      <c r="G66" s="60">
        <f>IFERROR(G17/$B52,0)</f>
        <v>187.59495845752789</v>
      </c>
      <c r="H66" s="60">
        <f t="shared" si="128"/>
        <v>206.85097603250159</v>
      </c>
      <c r="I66" s="71">
        <f>IFERROR(s_RadSpec!$D$17*I17,".")*$B$66</f>
        <v>2.1770145099999999E-11</v>
      </c>
      <c r="J66" s="71">
        <f>IFERROR(s_RadSpec!$G$17*$J$17,".")*B66</f>
        <v>2.2855153439933008E-13</v>
      </c>
      <c r="K66" s="71">
        <f>IFERROR(s_RadSpec!$F$17*$K$17,".")*B66</f>
        <v>2.3115250010617921E-8</v>
      </c>
      <c r="L66" s="71">
        <f>s_b2s!AB66</f>
        <v>6.5326390278055623E-10</v>
      </c>
      <c r="M66" s="49">
        <f t="shared" si="129"/>
        <v>2.1770145099999999E-11</v>
      </c>
      <c r="N66" s="49">
        <f t="shared" si="130"/>
        <v>2.2855153439933008E-13</v>
      </c>
      <c r="O66" s="49">
        <f t="shared" si="131"/>
        <v>2.3115250010617921E-8</v>
      </c>
      <c r="P66" s="49">
        <f t="shared" si="47"/>
        <v>6.5326390278055623E-10</v>
      </c>
      <c r="Q66" s="49">
        <f t="shared" si="132"/>
        <v>2.3790512610032878E-8</v>
      </c>
      <c r="R66" s="60">
        <f>IFERROR(R17/$B52,0)</f>
        <v>216.30741600040082</v>
      </c>
      <c r="S66" s="60">
        <f>IFERROR(S17/$B52,0)</f>
        <v>1661.7464985570132</v>
      </c>
      <c r="T66" s="60">
        <f>IFERROR(T17/$B52,0)</f>
        <v>449.52533548079589</v>
      </c>
      <c r="U66" s="60">
        <f>IFERROR(U17/$B52,0)</f>
        <v>270.43354531984232</v>
      </c>
      <c r="V66" s="60">
        <f>IFERROR(V17/$B52,0)</f>
        <v>3227.4766759251188</v>
      </c>
      <c r="W66" s="71">
        <f>IFERROR(s_RadSpec!$F$17*$W$17,".")*$B$66</f>
        <v>2.3115250010617921E-8</v>
      </c>
      <c r="X66" s="71">
        <f>IFERROR(s_RadSpec!$M$17*$X$17,".")*$B$66</f>
        <v>3.0088825247062512E-9</v>
      </c>
      <c r="Y66" s="71">
        <f>IFERROR(s_RadSpec!$N$17*$Y$17,".")*$B$66</f>
        <v>1.1122843598241648E-8</v>
      </c>
      <c r="Z66" s="71">
        <f>IFERROR(s_RadSpec!$O$17*$Z$17,".")*$B$66</f>
        <v>1.8488830570506657E-8</v>
      </c>
      <c r="AA66" s="71">
        <f>IFERROR(s_RadSpec!$K$17*$AA$17,".")*$B$66</f>
        <v>1.5491978725351465E-9</v>
      </c>
      <c r="AB66" s="49">
        <f t="shared" si="133"/>
        <v>2.3115250010617921E-8</v>
      </c>
      <c r="AC66" s="49">
        <f t="shared" si="134"/>
        <v>3.0088825247062512E-9</v>
      </c>
      <c r="AD66" s="49">
        <f t="shared" si="135"/>
        <v>1.1122843598241648E-8</v>
      </c>
      <c r="AE66" s="49">
        <f t="shared" si="136"/>
        <v>1.8488830570506657E-8</v>
      </c>
      <c r="AF66" s="49">
        <f t="shared" si="137"/>
        <v>1.5491978725351465E-9</v>
      </c>
      <c r="AG66" s="60">
        <f>IFERROR(AG17/$B52,0)</f>
        <v>70.615336525661448</v>
      </c>
      <c r="AH66" s="60">
        <f>IFERROR(AH17/$B52,0)</f>
        <v>8595.49790676669</v>
      </c>
      <c r="AI66" s="60">
        <f t="shared" si="138"/>
        <v>70.039931426207886</v>
      </c>
      <c r="AJ66" s="71">
        <f>IFERROR(s_RadSpec!$G$17*AJ17,".")*$B$66</f>
        <v>7.0806148437499995E-8</v>
      </c>
      <c r="AK66" s="71">
        <f>IFERROR(s_RadSpec!$J$17*$AK$17,".")*$B$66</f>
        <v>5.8169986826054795E-10</v>
      </c>
      <c r="AL66" s="49">
        <f t="shared" si="139"/>
        <v>7.0806148437499995E-8</v>
      </c>
      <c r="AM66" s="49">
        <f t="shared" si="140"/>
        <v>5.8169986826054795E-10</v>
      </c>
      <c r="AN66" s="49">
        <f t="shared" si="141"/>
        <v>7.1387848305760545E-8</v>
      </c>
      <c r="AO66" s="60">
        <f>IFERROR(AO17/$B52,0)</f>
        <v>5807.1822800708424</v>
      </c>
      <c r="AP66" s="60">
        <f>IFERROR(AP17/$B52,0)</f>
        <v>0</v>
      </c>
      <c r="AQ66" s="60">
        <f>IFERROR(AQ17/$B52,0)</f>
        <v>9821818.9432033002</v>
      </c>
      <c r="AR66" s="60">
        <f>IFERROR(AR17/$B52,0)</f>
        <v>11214.155515942764</v>
      </c>
      <c r="AS66" s="60">
        <f t="shared" si="146"/>
        <v>3824.4518915204621</v>
      </c>
      <c r="AT66" s="71">
        <f>IFERROR(s_RadSpec!$H$17*AT17,".")*$B$66</f>
        <v>8.6100276500000004E-10</v>
      </c>
      <c r="AU66" s="71">
        <f>IFERROR(s_RadSpec!$G$17*AU17,".")*$B$66</f>
        <v>3.5403074218749997E-8</v>
      </c>
      <c r="AV66" s="71">
        <f>IFERROR(s_RadSpec!$L$17*AV17,".")*$B$66</f>
        <v>5.0907067508712322E-13</v>
      </c>
      <c r="AW66" s="71">
        <f>s_b2w!AB66</f>
        <v>4.4604344866172703E-10</v>
      </c>
      <c r="AX66" s="49">
        <f t="shared" si="142"/>
        <v>8.6100276500000004E-10</v>
      </c>
      <c r="AY66" s="49">
        <f t="shared" si="143"/>
        <v>0</v>
      </c>
      <c r="AZ66" s="49">
        <f t="shared" si="144"/>
        <v>5.0907067508712322E-13</v>
      </c>
      <c r="BA66" s="49">
        <f t="shared" si="62"/>
        <v>4.4604344866172703E-10</v>
      </c>
      <c r="BB66" s="49">
        <f t="shared" si="63"/>
        <v>3.6710629503086809E-8</v>
      </c>
      <c r="BC66" s="60">
        <f>IFERROR(BC17/$B52,0)</f>
        <v>750.37983383011147</v>
      </c>
      <c r="BD66" s="71">
        <f>IFERROR(s_RadSpec!$E$17*BD17,".")*$B$66</f>
        <v>6.6632920750000007E-9</v>
      </c>
      <c r="BE66" s="49">
        <f t="shared" si="145"/>
        <v>6.6632920750000007E-9</v>
      </c>
    </row>
    <row r="67" spans="1:57" x14ac:dyDescent="0.25">
      <c r="A67" s="48" t="s">
        <v>1091</v>
      </c>
      <c r="B67" s="45">
        <v>2.0000000000000001E-4</v>
      </c>
      <c r="C67" s="60">
        <f>IFERROR(C5/$B53,0)</f>
        <v>0</v>
      </c>
      <c r="D67" s="60">
        <f>IFERROR(D5/$B53,0)</f>
        <v>0</v>
      </c>
      <c r="E67" s="60">
        <f>IFERROR(E5/$B53,0)</f>
        <v>0</v>
      </c>
      <c r="F67" s="60">
        <f>IFERROR(F5/$B53,0)</f>
        <v>0</v>
      </c>
      <c r="G67" s="60">
        <f>IFERROR(G5/$B53,0)</f>
        <v>0</v>
      </c>
      <c r="H67" s="60">
        <f t="shared" si="128"/>
        <v>0</v>
      </c>
      <c r="I67" s="71">
        <f>IFERROR(s_RadSpec!$D$5*I5,".")*$B$67</f>
        <v>0</v>
      </c>
      <c r="J67" s="71">
        <f>IFERROR(s_RadSpec!$G$5*$J$5,".")*B67</f>
        <v>0</v>
      </c>
      <c r="K67" s="71">
        <f>IFERROR(s_RadSpec!$F$5*$K$5,".")*B67</f>
        <v>0</v>
      </c>
      <c r="L67" s="71">
        <f>s_b2s!AB67</f>
        <v>0</v>
      </c>
      <c r="M67" s="49">
        <f t="shared" si="129"/>
        <v>0</v>
      </c>
      <c r="N67" s="49">
        <f t="shared" si="130"/>
        <v>0</v>
      </c>
      <c r="O67" s="49">
        <f t="shared" si="131"/>
        <v>0</v>
      </c>
      <c r="P67" s="49">
        <f t="shared" si="47"/>
        <v>0</v>
      </c>
      <c r="Q67" s="49">
        <f t="shared" si="132"/>
        <v>0</v>
      </c>
      <c r="R67" s="60">
        <f>IFERROR(R5/$B53,0)</f>
        <v>0</v>
      </c>
      <c r="S67" s="60">
        <f>IFERROR(S5/$B53,0)</f>
        <v>0</v>
      </c>
      <c r="T67" s="60">
        <f>IFERROR(T5/$B53,0)</f>
        <v>0</v>
      </c>
      <c r="U67" s="60">
        <f>IFERROR(U5/$B53,0)</f>
        <v>0</v>
      </c>
      <c r="V67" s="60">
        <f>IFERROR(V5/$B53,0)</f>
        <v>0</v>
      </c>
      <c r="W67" s="71">
        <f>IFERROR(s_RadSpec!$F$5*$W$5,".")*$B$67</f>
        <v>0</v>
      </c>
      <c r="X67" s="71">
        <f>IFERROR(s_RadSpec!$M$5*$X$5,".")*$B$67</f>
        <v>0</v>
      </c>
      <c r="Y67" s="71">
        <f>IFERROR(s_RadSpec!$N$5*$Y$5,".")*$B$67</f>
        <v>0</v>
      </c>
      <c r="Z67" s="71">
        <f>IFERROR(s_RadSpec!$O$5*$Z$5,".")*$B$67</f>
        <v>0</v>
      </c>
      <c r="AA67" s="71">
        <f>IFERROR(s_RadSpec!$K$5*$AA$5,".")*$B$67</f>
        <v>0</v>
      </c>
      <c r="AB67" s="49">
        <f t="shared" si="133"/>
        <v>0</v>
      </c>
      <c r="AC67" s="49">
        <f t="shared" si="134"/>
        <v>0</v>
      </c>
      <c r="AD67" s="49">
        <f t="shared" si="135"/>
        <v>0</v>
      </c>
      <c r="AE67" s="49">
        <f t="shared" si="136"/>
        <v>0</v>
      </c>
      <c r="AF67" s="49">
        <f t="shared" si="137"/>
        <v>0</v>
      </c>
      <c r="AG67" s="60">
        <f>IFERROR(AG5/$B53,0)</f>
        <v>0</v>
      </c>
      <c r="AH67" s="60">
        <f>IFERROR(AH5/$B53,0)</f>
        <v>1420903200506.2122</v>
      </c>
      <c r="AI67" s="60">
        <f t="shared" si="138"/>
        <v>1420903200506.2122</v>
      </c>
      <c r="AJ67" s="71">
        <f>IFERROR(s_RadSpec!$G$5*AJ5,".")*$B$67</f>
        <v>0</v>
      </c>
      <c r="AK67" s="71">
        <f>IFERROR(s_RadSpec!$J$5*$AK$5,".")*$B$67</f>
        <v>3.5188885479452048E-18</v>
      </c>
      <c r="AL67" s="49">
        <f t="shared" si="139"/>
        <v>0</v>
      </c>
      <c r="AM67" s="49">
        <f t="shared" si="140"/>
        <v>3.5188885479452048E-18</v>
      </c>
      <c r="AN67" s="49">
        <f t="shared" si="141"/>
        <v>3.5188885479452048E-18</v>
      </c>
      <c r="AO67" s="60">
        <f>IFERROR(AO5/$B53,0)</f>
        <v>0</v>
      </c>
      <c r="AP67" s="60">
        <f>IFERROR(AP5/$B53,0)</f>
        <v>0</v>
      </c>
      <c r="AQ67" s="60">
        <f>IFERROR(AQ5/$B53,0)</f>
        <v>2136209823084510</v>
      </c>
      <c r="AR67" s="60">
        <f>IFERROR(AR5/$B53,0)</f>
        <v>0</v>
      </c>
      <c r="AS67" s="60">
        <f t="shared" si="146"/>
        <v>2136209823084510.3</v>
      </c>
      <c r="AT67" s="71">
        <f>IFERROR(s_RadSpec!$H$5*AT5,".")*$B$67</f>
        <v>0</v>
      </c>
      <c r="AU67" s="71">
        <f>IFERROR(s_RadSpec!$G$5*AU5,".")*$B$67</f>
        <v>0</v>
      </c>
      <c r="AV67" s="71">
        <f>IFERROR(s_RadSpec!$L$5*AV5,".")*$B$67</f>
        <v>2.3405940493150688E-21</v>
      </c>
      <c r="AW67" s="71">
        <f>s_b2w!AB67</f>
        <v>0</v>
      </c>
      <c r="AX67" s="49">
        <f t="shared" si="142"/>
        <v>0</v>
      </c>
      <c r="AY67" s="49">
        <f t="shared" si="143"/>
        <v>0</v>
      </c>
      <c r="AZ67" s="49">
        <f t="shared" si="144"/>
        <v>2.3405940493150688E-21</v>
      </c>
      <c r="BA67" s="49">
        <f t="shared" si="62"/>
        <v>0</v>
      </c>
      <c r="BB67" s="49">
        <f t="shared" si="63"/>
        <v>2.3405940493150688E-21</v>
      </c>
      <c r="BC67" s="60">
        <f>IFERROR(BC5/$B53,0)</f>
        <v>0</v>
      </c>
      <c r="BD67" s="71">
        <f>IFERROR(s_RadSpec!$E$5*BD5,".")*$B$67</f>
        <v>0</v>
      </c>
      <c r="BE67" s="49">
        <f t="shared" si="145"/>
        <v>0</v>
      </c>
    </row>
    <row r="68" spans="1:57" x14ac:dyDescent="0.25">
      <c r="A68" s="48" t="s">
        <v>1092</v>
      </c>
      <c r="B68" s="45">
        <v>0.99999979999999999</v>
      </c>
      <c r="C68" s="60">
        <f>IFERROR(C9/$B54,0)</f>
        <v>450826.22906477912</v>
      </c>
      <c r="D68" s="60">
        <f>IFERROR(D9/$B54,0)</f>
        <v>27499932.384989772</v>
      </c>
      <c r="E68" s="60">
        <f>IFERROR(E9/$B54,0)</f>
        <v>10.817918788496522</v>
      </c>
      <c r="F68" s="60">
        <f>IFERROR(F9/$B54,0)</f>
        <v>3019.1915020404972</v>
      </c>
      <c r="G68" s="60">
        <f>IFERROR(G9/$B54,0)</f>
        <v>342.6782354815964</v>
      </c>
      <c r="H68" s="60">
        <f t="shared" si="128"/>
        <v>10.77903406241311</v>
      </c>
      <c r="I68" s="71">
        <f>IFERROR(s_RadSpec!$D$9*I9,".")*$B$68</f>
        <v>1.1090747781850001E-11</v>
      </c>
      <c r="J68" s="71">
        <f>IFERROR(s_RadSpec!$G$9*$J$9,".")*B68</f>
        <v>1.8181862886067087E-13</v>
      </c>
      <c r="K68" s="71">
        <f>IFERROR(s_RadSpec!$F$9*$K$9,".")*B68</f>
        <v>4.6219611163256862E-7</v>
      </c>
      <c r="L68" s="71">
        <f>s_b2s!AB68</f>
        <v>1.6560731562146313E-9</v>
      </c>
      <c r="M68" s="49">
        <f t="shared" si="129"/>
        <v>1.1090747781850001E-11</v>
      </c>
      <c r="N68" s="49">
        <f t="shared" si="130"/>
        <v>1.8181862886067087E-13</v>
      </c>
      <c r="O68" s="49">
        <f t="shared" si="131"/>
        <v>4.6219611163256862E-7</v>
      </c>
      <c r="P68" s="49">
        <f t="shared" si="47"/>
        <v>1.6560731562146313E-9</v>
      </c>
      <c r="Q68" s="49">
        <f t="shared" si="132"/>
        <v>4.6386345735519392E-7</v>
      </c>
      <c r="R68" s="60">
        <f>IFERROR(R9/$B54,0)</f>
        <v>10.817918788496522</v>
      </c>
      <c r="S68" s="60">
        <f>IFERROR(S9/$B54,0)</f>
        <v>122.68217440408543</v>
      </c>
      <c r="T68" s="60">
        <f>IFERROR(T9/$B54,0)</f>
        <v>30.043294514459316</v>
      </c>
      <c r="U68" s="60">
        <f>IFERROR(U9/$B54,0)</f>
        <v>15.36760845288757</v>
      </c>
      <c r="V68" s="60">
        <f>IFERROR(V9/$B54,0)</f>
        <v>224.41619982053993</v>
      </c>
      <c r="W68" s="71">
        <f>IFERROR(s_RadSpec!$F$9*$W$9,".")*$B$68</f>
        <v>4.6219611163256862E-7</v>
      </c>
      <c r="X68" s="71">
        <f>IFERROR(s_RadSpec!$M$9*$X$9,".")*$B$68</f>
        <v>4.0755717155217739E-8</v>
      </c>
      <c r="Y68" s="71">
        <f>IFERROR(s_RadSpec!$N$9*$Y$9,".")*$B$68</f>
        <v>1.6642648820000701E-7</v>
      </c>
      <c r="Z68" s="71">
        <f>IFERROR(s_RadSpec!$O$9*$Z$9,".")*$B$68</f>
        <v>3.2535966902908051E-7</v>
      </c>
      <c r="AA68" s="71">
        <f>IFERROR(s_RadSpec!$K$9*$AA$9,".")*$B$68</f>
        <v>2.2280031495045258E-8</v>
      </c>
      <c r="AB68" s="49">
        <f t="shared" si="133"/>
        <v>4.6219611163256862E-7</v>
      </c>
      <c r="AC68" s="49">
        <f t="shared" si="134"/>
        <v>4.0755717155217739E-8</v>
      </c>
      <c r="AD68" s="49">
        <f t="shared" si="135"/>
        <v>1.6642648820000701E-7</v>
      </c>
      <c r="AE68" s="49">
        <f t="shared" si="136"/>
        <v>3.2535966902908051E-7</v>
      </c>
      <c r="AF68" s="49">
        <f t="shared" si="137"/>
        <v>2.2280031495045258E-8</v>
      </c>
      <c r="AG68" s="60">
        <f>IFERROR(AG9/$B54,0)</f>
        <v>88.76562108183434</v>
      </c>
      <c r="AH68" s="60">
        <f>IFERROR(AH9/$B54,0)</f>
        <v>1309.3142057847958</v>
      </c>
      <c r="AI68" s="60">
        <f t="shared" si="138"/>
        <v>83.129794475493171</v>
      </c>
      <c r="AJ68" s="71">
        <f>IFERROR(s_RadSpec!$G$9*AJ9,".")*$B$68</f>
        <v>5.6328113734374991E-8</v>
      </c>
      <c r="AK68" s="71">
        <f>IFERROR(s_RadSpec!$J$9*$AK$9,".")*$B$68</f>
        <v>3.8187930581590436E-9</v>
      </c>
      <c r="AL68" s="49">
        <f t="shared" si="139"/>
        <v>5.6328113734374991E-8</v>
      </c>
      <c r="AM68" s="49">
        <f t="shared" si="140"/>
        <v>3.8187930581590436E-9</v>
      </c>
      <c r="AN68" s="49">
        <f t="shared" si="141"/>
        <v>6.0146906792534032E-8</v>
      </c>
      <c r="AO68" s="60">
        <f>IFERROR(AO9/$B54,0)</f>
        <v>10415.041399781701</v>
      </c>
      <c r="AP68" s="60">
        <f>IFERROR(AP9/$B54,0)</f>
        <v>0</v>
      </c>
      <c r="AQ68" s="60">
        <f>IFERROR(AQ9/$B54,0)</f>
        <v>1512574.6772473548</v>
      </c>
      <c r="AR68" s="60">
        <f>IFERROR(AR9/$B54,0)</f>
        <v>10855.625603609864</v>
      </c>
      <c r="AS68" s="60">
        <f t="shared" si="146"/>
        <v>5296.7717217513082</v>
      </c>
      <c r="AT68" s="71">
        <f>IFERROR(s_RadSpec!$H$9*AT9,".")*$B$68</f>
        <v>4.8007490398499997E-10</v>
      </c>
      <c r="AU68" s="71">
        <f>IFERROR(s_RadSpec!$G$9*AU9,".")*$B$68</f>
        <v>2.8164056867187495E-8</v>
      </c>
      <c r="AV68" s="71">
        <f>IFERROR(s_RadSpec!$L$9*AV9,".")*$B$68</f>
        <v>3.3056219142179504E-12</v>
      </c>
      <c r="AW68" s="71">
        <f>s_b2w!AB68</f>
        <v>4.6059086620838596E-10</v>
      </c>
      <c r="AX68" s="49">
        <f t="shared" si="142"/>
        <v>4.8007490398499997E-10</v>
      </c>
      <c r="AY68" s="49">
        <f t="shared" si="143"/>
        <v>0</v>
      </c>
      <c r="AZ68" s="49">
        <f t="shared" si="144"/>
        <v>3.3056219142179504E-12</v>
      </c>
      <c r="BA68" s="49">
        <f t="shared" si="62"/>
        <v>4.6059086620838596E-10</v>
      </c>
      <c r="BB68" s="49">
        <f t="shared" si="63"/>
        <v>2.91080282592951E-8</v>
      </c>
      <c r="BC68" s="60">
        <f>IFERROR(BC9/$B54,0)</f>
        <v>1370.7129419263854</v>
      </c>
      <c r="BD68" s="71">
        <f>IFERROR(s_RadSpec!$E$9*BD9,".")*$B$68</f>
        <v>3.6477367704525004E-9</v>
      </c>
      <c r="BE68" s="49">
        <f t="shared" si="145"/>
        <v>3.6477367704525004E-9</v>
      </c>
    </row>
    <row r="69" spans="1:57" x14ac:dyDescent="0.25">
      <c r="A69" s="48" t="s">
        <v>1093</v>
      </c>
      <c r="B69" s="45">
        <v>1.9999999999999999E-7</v>
      </c>
      <c r="C69" s="60">
        <f>IFERROR(C24/$B55,0)</f>
        <v>0</v>
      </c>
      <c r="D69" s="60">
        <f>IFERROR(D24/$B55,0)</f>
        <v>0</v>
      </c>
      <c r="E69" s="60">
        <f>IFERROR(E24/$B55,0)</f>
        <v>207037775949.70377</v>
      </c>
      <c r="F69" s="60">
        <f>IFERROR(F24/$B55,0)</f>
        <v>0</v>
      </c>
      <c r="G69" s="60">
        <f>IFERROR(G24/$B55,0)</f>
        <v>0</v>
      </c>
      <c r="H69" s="60">
        <f t="shared" si="128"/>
        <v>207037775949.70377</v>
      </c>
      <c r="I69" s="71">
        <f>IFERROR(s_RadSpec!$D$24*I24,".")*$B$69</f>
        <v>0</v>
      </c>
      <c r="J69" s="71">
        <f>IFERROR(s_RadSpec!$G$24*$J$24,".")*B69</f>
        <v>0</v>
      </c>
      <c r="K69" s="71">
        <f>IFERROR(s_RadSpec!$F$24*$K$24,".")*B69</f>
        <v>2.4150182144608538E-17</v>
      </c>
      <c r="L69" s="71">
        <f>s_b2s!AB69</f>
        <v>0</v>
      </c>
      <c r="M69" s="49">
        <f t="shared" si="129"/>
        <v>0</v>
      </c>
      <c r="N69" s="49">
        <f t="shared" si="130"/>
        <v>0</v>
      </c>
      <c r="O69" s="49">
        <f t="shared" si="131"/>
        <v>2.4150182144608538E-17</v>
      </c>
      <c r="P69" s="49">
        <f t="shared" si="47"/>
        <v>0</v>
      </c>
      <c r="Q69" s="49">
        <f t="shared" si="132"/>
        <v>2.4150182144608538E-17</v>
      </c>
      <c r="R69" s="60">
        <f>IFERROR(R24/$B55,0)</f>
        <v>207037775949.70377</v>
      </c>
      <c r="S69" s="60">
        <f>IFERROR(S24/$B55,0)</f>
        <v>1823980393090.3362</v>
      </c>
      <c r="T69" s="60">
        <f>IFERROR(T24/$B55,0)</f>
        <v>457492677400.09241</v>
      </c>
      <c r="U69" s="60">
        <f>IFERROR(U24/$B55,0)</f>
        <v>246854061825.40622</v>
      </c>
      <c r="V69" s="60">
        <f>IFERROR(V24/$B55,0)</f>
        <v>3103223521735.8691</v>
      </c>
      <c r="W69" s="71">
        <f>IFERROR(s_RadSpec!$F$24*$W$24,".")*$B$69</f>
        <v>2.4150182144608538E-17</v>
      </c>
      <c r="X69" s="71">
        <f>IFERROR(s_RadSpec!$M$24*$X$24,".")*$B$69</f>
        <v>2.7412575370553152E-18</v>
      </c>
      <c r="Y69" s="71">
        <f>IFERROR(s_RadSpec!$N$24*$Y$24,".")*$B$69</f>
        <v>1.0929136676929443E-17</v>
      </c>
      <c r="Z69" s="71">
        <f>IFERROR(s_RadSpec!$O$24*$Z$24,".")*$B$69</f>
        <v>2.025488243145205E-17</v>
      </c>
      <c r="AA69" s="71">
        <f>IFERROR(s_RadSpec!$K$24*$AA$24,".")*$B$69</f>
        <v>1.6112277974752908E-18</v>
      </c>
      <c r="AB69" s="49">
        <f t="shared" si="133"/>
        <v>2.4150182144608538E-17</v>
      </c>
      <c r="AC69" s="49">
        <f t="shared" si="134"/>
        <v>2.7412575370553152E-18</v>
      </c>
      <c r="AD69" s="49">
        <f t="shared" si="135"/>
        <v>1.0929136676929443E-17</v>
      </c>
      <c r="AE69" s="49">
        <f t="shared" si="136"/>
        <v>2.025488243145205E-17</v>
      </c>
      <c r="AF69" s="49">
        <f t="shared" si="137"/>
        <v>1.6112277974752908E-18</v>
      </c>
      <c r="AG69" s="60">
        <f>IFERROR(AG24/$B55,0)</f>
        <v>0</v>
      </c>
      <c r="AH69" s="60">
        <f>IFERROR(AH24/$B55,0)</f>
        <v>13740602378521.611</v>
      </c>
      <c r="AI69" s="60">
        <f t="shared" si="138"/>
        <v>13740602378521.611</v>
      </c>
      <c r="AJ69" s="71">
        <f>IFERROR(s_RadSpec!$G$24*AJ24,".")*$B$69</f>
        <v>0</v>
      </c>
      <c r="AK69" s="71">
        <f>IFERROR(s_RadSpec!$J$24*$AK$24,".")*$B$69</f>
        <v>3.6388506575342455E-19</v>
      </c>
      <c r="AL69" s="49">
        <f t="shared" si="139"/>
        <v>0</v>
      </c>
      <c r="AM69" s="49">
        <f t="shared" si="140"/>
        <v>3.6388506575342455E-19</v>
      </c>
      <c r="AN69" s="49">
        <f t="shared" si="141"/>
        <v>3.6388506575342455E-19</v>
      </c>
      <c r="AO69" s="60">
        <f>IFERROR(AO24/$B55,0)</f>
        <v>0</v>
      </c>
      <c r="AP69" s="60">
        <f>IFERROR(AP24/$B55,0)</f>
        <v>0</v>
      </c>
      <c r="AQ69" s="60">
        <f>IFERROR(AQ24/$B55,0)</f>
        <v>1.5814436970220912E+16</v>
      </c>
      <c r="AR69" s="60">
        <f>IFERROR(AR24/$B55,0)</f>
        <v>0</v>
      </c>
      <c r="AS69" s="60">
        <f t="shared" si="146"/>
        <v>1.5814436970220914E+16</v>
      </c>
      <c r="AT69" s="71">
        <f>IFERROR(s_RadSpec!$H$24*AT24,".")*$B$69</f>
        <v>0</v>
      </c>
      <c r="AU69" s="71">
        <f>IFERROR(s_RadSpec!$G$24*AU24,".")*$B$69</f>
        <v>0</v>
      </c>
      <c r="AV69" s="71">
        <f>IFERROR(s_RadSpec!$L$24*AV24,".")*$B$69</f>
        <v>3.1616680438356164E-22</v>
      </c>
      <c r="AW69" s="71">
        <f>s_b2w!AB69</f>
        <v>0</v>
      </c>
      <c r="AX69" s="49">
        <f t="shared" si="142"/>
        <v>0</v>
      </c>
      <c r="AY69" s="49">
        <f t="shared" si="143"/>
        <v>0</v>
      </c>
      <c r="AZ69" s="49">
        <f t="shared" si="144"/>
        <v>3.1616680438356164E-22</v>
      </c>
      <c r="BA69" s="49">
        <f t="shared" si="62"/>
        <v>0</v>
      </c>
      <c r="BB69" s="49">
        <f t="shared" si="63"/>
        <v>3.1616680438356164E-22</v>
      </c>
      <c r="BC69" s="60">
        <f>IFERROR(BC24/$B55,0)</f>
        <v>0</v>
      </c>
      <c r="BD69" s="71">
        <f>IFERROR(s_RadSpec!$E$24*BD24,".")*$B$69</f>
        <v>0</v>
      </c>
      <c r="BE69" s="49">
        <f t="shared" si="145"/>
        <v>0</v>
      </c>
    </row>
    <row r="70" spans="1:57" x14ac:dyDescent="0.25">
      <c r="A70" s="48" t="s">
        <v>1094</v>
      </c>
      <c r="B70" s="45">
        <v>0.99979000004200003</v>
      </c>
      <c r="C70" s="60">
        <f>IFERROR(C20/$B56,0)</f>
        <v>0</v>
      </c>
      <c r="D70" s="60">
        <f>IFERROR(D20/$B56,0)</f>
        <v>0</v>
      </c>
      <c r="E70" s="60">
        <f>IFERROR(E20/$B56,0)</f>
        <v>285057.66729807481</v>
      </c>
      <c r="F70" s="60">
        <f>IFERROR(F20/$B56,0)</f>
        <v>0</v>
      </c>
      <c r="G70" s="60">
        <f>IFERROR(G20/$B56,0)</f>
        <v>0</v>
      </c>
      <c r="H70" s="60">
        <f t="shared" si="128"/>
        <v>285057.66729807481</v>
      </c>
      <c r="I70" s="71">
        <f>IFERROR(s_RadSpec!$D$20*I20,".")*$B$70</f>
        <v>0</v>
      </c>
      <c r="J70" s="71">
        <f>IFERROR(s_RadSpec!$G$20*$J$20,".")*B70</f>
        <v>0</v>
      </c>
      <c r="K70" s="71">
        <f>IFERROR(s_RadSpec!$F$20*$K$20,".")*B70</f>
        <v>1.7540310518193056E-11</v>
      </c>
      <c r="L70" s="71">
        <f>s_b2s!AB70</f>
        <v>0</v>
      </c>
      <c r="M70" s="49">
        <f t="shared" si="129"/>
        <v>0</v>
      </c>
      <c r="N70" s="49">
        <f t="shared" si="130"/>
        <v>0</v>
      </c>
      <c r="O70" s="49">
        <f t="shared" si="131"/>
        <v>1.7540310518193056E-11</v>
      </c>
      <c r="P70" s="49">
        <f t="shared" si="47"/>
        <v>0</v>
      </c>
      <c r="Q70" s="49">
        <f t="shared" si="132"/>
        <v>1.7540310518193056E-11</v>
      </c>
      <c r="R70" s="60">
        <f>IFERROR(R20/$B56,0)</f>
        <v>285057.66729807481</v>
      </c>
      <c r="S70" s="60">
        <f>IFERROR(S20/$B56,0)</f>
        <v>2841805.0983931562</v>
      </c>
      <c r="T70" s="60">
        <f>IFERROR(T20/$B56,0)</f>
        <v>705432.68320965313</v>
      </c>
      <c r="U70" s="60">
        <f>IFERROR(U20/$B56,0)</f>
        <v>377127.18470524182</v>
      </c>
      <c r="V70" s="60">
        <f>IFERROR(V20/$B56,0)</f>
        <v>4970237.6472500777</v>
      </c>
      <c r="W70" s="71">
        <f>IFERROR(s_RadSpec!$F$20*$W$20,".")*$B$70</f>
        <v>1.7540310518193056E-11</v>
      </c>
      <c r="X70" s="71">
        <f>IFERROR(s_RadSpec!$M$20*$X$20,".")*$B$70</f>
        <v>1.7594450804621163E-12</v>
      </c>
      <c r="Y70" s="71">
        <f>IFERROR(s_RadSpec!$N$20*$Y$20,".")*$B$70</f>
        <v>7.0878485205001596E-12</v>
      </c>
      <c r="Z70" s="71">
        <f>IFERROR(s_RadSpec!$O$20*$Z$20,".")*$B$70</f>
        <v>1.3258126708388686E-11</v>
      </c>
      <c r="AA70" s="71">
        <f>IFERROR(s_RadSpec!$K$20*$AA$20,".")*$B$70</f>
        <v>1.0059881146259452E-12</v>
      </c>
      <c r="AB70" s="49">
        <f t="shared" si="133"/>
        <v>1.7540310518193056E-11</v>
      </c>
      <c r="AC70" s="49">
        <f t="shared" si="134"/>
        <v>1.7594450804621163E-12</v>
      </c>
      <c r="AD70" s="49">
        <f t="shared" si="135"/>
        <v>7.0878485205001596E-12</v>
      </c>
      <c r="AE70" s="49">
        <f t="shared" si="136"/>
        <v>1.3258126708388686E-11</v>
      </c>
      <c r="AF70" s="49">
        <f t="shared" si="137"/>
        <v>1.0059881146259452E-12</v>
      </c>
      <c r="AG70" s="60">
        <f>IFERROR(AG20/$B56,0)</f>
        <v>0</v>
      </c>
      <c r="AH70" s="60">
        <f>IFERROR(AH20/$B56,0)</f>
        <v>24522695.185458336</v>
      </c>
      <c r="AI70" s="60">
        <f t="shared" si="138"/>
        <v>24522695.185458336</v>
      </c>
      <c r="AJ70" s="71">
        <f>IFERROR(s_RadSpec!$G$20*AJ20,".")*$B$70</f>
        <v>0</v>
      </c>
      <c r="AK70" s="71">
        <f>IFERROR(s_RadSpec!$J$20*$AK$20,".")*$B$70</f>
        <v>2.0389275983681185E-13</v>
      </c>
      <c r="AL70" s="49">
        <f t="shared" si="139"/>
        <v>0</v>
      </c>
      <c r="AM70" s="49">
        <f t="shared" si="140"/>
        <v>2.0389275983681185E-13</v>
      </c>
      <c r="AN70" s="49">
        <f t="shared" si="141"/>
        <v>2.0389275983681185E-13</v>
      </c>
      <c r="AO70" s="60">
        <f>IFERROR(AO20/$B56,0)</f>
        <v>0</v>
      </c>
      <c r="AP70" s="60">
        <f>IFERROR(AP20/$B56,0)</f>
        <v>0</v>
      </c>
      <c r="AQ70" s="60">
        <f>IFERROR(AQ20/$B56,0)</f>
        <v>28295417521.682697</v>
      </c>
      <c r="AR70" s="60">
        <f>IFERROR(AR20/$B56,0)</f>
        <v>0</v>
      </c>
      <c r="AS70" s="60">
        <f t="shared" si="146"/>
        <v>28295417521.682697</v>
      </c>
      <c r="AT70" s="71">
        <f>IFERROR(s_RadSpec!$H$20*AT20,".")*$B$70</f>
        <v>0</v>
      </c>
      <c r="AU70" s="71">
        <f>IFERROR(s_RadSpec!$G$20*AU20,".")*$B$70</f>
        <v>0</v>
      </c>
      <c r="AV70" s="71">
        <f>IFERROR(s_RadSpec!$L$20*AV20,".")*$B$70</f>
        <v>1.7670705852523696E-16</v>
      </c>
      <c r="AW70" s="71">
        <f>s_b2w!AB70</f>
        <v>0</v>
      </c>
      <c r="AX70" s="49">
        <f t="shared" si="142"/>
        <v>0</v>
      </c>
      <c r="AY70" s="49">
        <f t="shared" si="143"/>
        <v>0</v>
      </c>
      <c r="AZ70" s="49">
        <f t="shared" si="144"/>
        <v>1.7670705852523696E-16</v>
      </c>
      <c r="BA70" s="49">
        <f t="shared" si="62"/>
        <v>0</v>
      </c>
      <c r="BB70" s="49">
        <f t="shared" si="63"/>
        <v>1.7670705852523696E-16</v>
      </c>
      <c r="BC70" s="60">
        <f>IFERROR(BC20/$B56,0)</f>
        <v>0</v>
      </c>
      <c r="BD70" s="71">
        <f>IFERROR(s_RadSpec!$E$20*BD20,".")*$B$70</f>
        <v>0</v>
      </c>
      <c r="BE70" s="49">
        <f t="shared" si="145"/>
        <v>0</v>
      </c>
    </row>
    <row r="71" spans="1:57" x14ac:dyDescent="0.25">
      <c r="A71" s="48" t="s">
        <v>1095</v>
      </c>
      <c r="B71" s="45">
        <v>2.0999995799999999E-4</v>
      </c>
      <c r="C71" s="60">
        <f>IFERROR(C29/$B57,0)</f>
        <v>0</v>
      </c>
      <c r="D71" s="60">
        <f>IFERROR(D29/$B57,0)</f>
        <v>0</v>
      </c>
      <c r="E71" s="60">
        <f>IFERROR(E29/$B57,0)</f>
        <v>30650.751912602718</v>
      </c>
      <c r="F71" s="60">
        <f>IFERROR(F29/$B57,0)</f>
        <v>0</v>
      </c>
      <c r="G71" s="60">
        <f>IFERROR(G29/$B57,0)</f>
        <v>0</v>
      </c>
      <c r="H71" s="60">
        <f t="shared" si="128"/>
        <v>30650.751912602718</v>
      </c>
      <c r="I71" s="71">
        <f>IFERROR(s_RadSpec!$D$29*I29,".")*$B$71</f>
        <v>0</v>
      </c>
      <c r="J71" s="71">
        <f>IFERROR(s_RadSpec!$G$29*$J$29,".")*B71</f>
        <v>0</v>
      </c>
      <c r="K71" s="71">
        <f>IFERROR(s_RadSpec!$F$29*$K$29,".")*B71</f>
        <v>1.6312813513537796E-10</v>
      </c>
      <c r="L71" s="71">
        <f>s_b2s!AB71</f>
        <v>0</v>
      </c>
      <c r="M71" s="49">
        <f t="shared" si="129"/>
        <v>0</v>
      </c>
      <c r="N71" s="49">
        <f t="shared" si="130"/>
        <v>0</v>
      </c>
      <c r="O71" s="49">
        <f t="shared" si="131"/>
        <v>1.6312813513537796E-10</v>
      </c>
      <c r="P71" s="49">
        <f t="shared" si="47"/>
        <v>0</v>
      </c>
      <c r="Q71" s="49">
        <f t="shared" si="132"/>
        <v>1.6312813513537796E-10</v>
      </c>
      <c r="R71" s="60">
        <f>IFERROR(R29/$B57,0)</f>
        <v>30650.751912602718</v>
      </c>
      <c r="S71" s="60">
        <f>IFERROR(S29/$B57,0)</f>
        <v>330530.53927365516</v>
      </c>
      <c r="T71" s="60">
        <f>IFERROR(T29/$B57,0)</f>
        <v>82197.682955090888</v>
      </c>
      <c r="U71" s="60">
        <f>IFERROR(U29/$B57,0)</f>
        <v>43683.732639686052</v>
      </c>
      <c r="V71" s="60">
        <f>IFERROR(V29/$B57,0)</f>
        <v>613119.08724354242</v>
      </c>
      <c r="W71" s="71">
        <f>IFERROR(s_RadSpec!$F$29*$W$29,".")*$B$71</f>
        <v>1.6312813513537796E-10</v>
      </c>
      <c r="X71" s="71">
        <f>IFERROR(s_RadSpec!$M$29*$X$29,".")*$B$71</f>
        <v>1.5127195238865249E-11</v>
      </c>
      <c r="Y71" s="71">
        <f>IFERROR(s_RadSpec!$N$29*$Y$29,".")*$B$71</f>
        <v>6.0828965248713566E-11</v>
      </c>
      <c r="Z71" s="71">
        <f>IFERROR(s_RadSpec!$O$29*$Z$29,".")*$B$71</f>
        <v>1.1445908345885194E-10</v>
      </c>
      <c r="AA71" s="71">
        <f>IFERROR(s_RadSpec!$K$29*$AA$29,".")*$B$71</f>
        <v>8.1550225788581699E-12</v>
      </c>
      <c r="AB71" s="49">
        <f t="shared" si="133"/>
        <v>1.6312813513537796E-10</v>
      </c>
      <c r="AC71" s="49">
        <f t="shared" si="134"/>
        <v>1.5127195238865249E-11</v>
      </c>
      <c r="AD71" s="49">
        <f t="shared" si="135"/>
        <v>6.0828965248713566E-11</v>
      </c>
      <c r="AE71" s="49">
        <f t="shared" si="136"/>
        <v>1.1445908345885194E-10</v>
      </c>
      <c r="AF71" s="49">
        <f t="shared" si="137"/>
        <v>8.1550225788581699E-12</v>
      </c>
      <c r="AG71" s="60">
        <f>IFERROR(AG29/$B57,0)</f>
        <v>0</v>
      </c>
      <c r="AH71" s="60">
        <f>IFERROR(AH29/$B57,0)</f>
        <v>3370337.1065349863</v>
      </c>
      <c r="AI71" s="60">
        <f t="shared" si="138"/>
        <v>3370337.1065349863</v>
      </c>
      <c r="AJ71" s="71">
        <f>IFERROR(s_RadSpec!$G$29*AJ29,".")*$B$71</f>
        <v>0</v>
      </c>
      <c r="AK71" s="71">
        <f>IFERROR(s_RadSpec!$J$29*$AK$29,".")*$B$71</f>
        <v>1.4835311252115235E-12</v>
      </c>
      <c r="AL71" s="49">
        <f t="shared" si="139"/>
        <v>0</v>
      </c>
      <c r="AM71" s="49">
        <f t="shared" si="140"/>
        <v>1.4835311252115235E-12</v>
      </c>
      <c r="AN71" s="49">
        <f t="shared" si="141"/>
        <v>1.4835311252115235E-12</v>
      </c>
      <c r="AO71" s="60">
        <f>IFERROR(AO29/$B57,0)</f>
        <v>0</v>
      </c>
      <c r="AP71" s="60">
        <f>IFERROR(AP29/$B57,0)</f>
        <v>0</v>
      </c>
      <c r="AQ71" s="60">
        <f>IFERROR(AQ29/$B57,0)</f>
        <v>3883214492.3120499</v>
      </c>
      <c r="AR71" s="60">
        <f>IFERROR(AR29/$B57,0)</f>
        <v>0</v>
      </c>
      <c r="AS71" s="60">
        <f t="shared" si="146"/>
        <v>3883214492.3120499</v>
      </c>
      <c r="AT71" s="71">
        <f>IFERROR(s_RadSpec!$H$29*AT29,".")*$B$71</f>
        <v>0</v>
      </c>
      <c r="AU71" s="71">
        <f>IFERROR(s_RadSpec!$G$29*AU29,".")*$B$71</f>
        <v>0</v>
      </c>
      <c r="AV71" s="71">
        <f>IFERROR(s_RadSpec!$L$29*AV29,".")*$B$71</f>
        <v>1.287593052070379E-15</v>
      </c>
      <c r="AW71" s="71">
        <f>s_b2w!AB71</f>
        <v>0</v>
      </c>
      <c r="AX71" s="49">
        <f t="shared" si="142"/>
        <v>0</v>
      </c>
      <c r="AY71" s="49">
        <f t="shared" si="143"/>
        <v>0</v>
      </c>
      <c r="AZ71" s="49">
        <f t="shared" si="144"/>
        <v>1.287593052070379E-15</v>
      </c>
      <c r="BA71" s="49">
        <f t="shared" si="62"/>
        <v>0</v>
      </c>
      <c r="BB71" s="49">
        <f t="shared" si="63"/>
        <v>1.287593052070379E-15</v>
      </c>
      <c r="BC71" s="60">
        <f>IFERROR(BC29/$B57,0)</f>
        <v>0</v>
      </c>
      <c r="BD71" s="71">
        <f>IFERROR(s_RadSpec!$E$29*BD29,".")*$B$71</f>
        <v>0</v>
      </c>
      <c r="BE71" s="49">
        <f t="shared" si="145"/>
        <v>0</v>
      </c>
    </row>
    <row r="72" spans="1:57" x14ac:dyDescent="0.25">
      <c r="A72" s="48" t="s">
        <v>1096</v>
      </c>
      <c r="B72" s="45">
        <v>1</v>
      </c>
      <c r="C72" s="60">
        <f>IFERROR(C16/$B58,0)</f>
        <v>105.90527831907143</v>
      </c>
      <c r="D72" s="60">
        <f>IFERROR(D16/$B58,0)</f>
        <v>107068.32240239423</v>
      </c>
      <c r="E72" s="60">
        <f>IFERROR(E16/$B58,0)</f>
        <v>1576201242.5760994</v>
      </c>
      <c r="F72" s="60">
        <f>IFERROR(F16/$B58,0)</f>
        <v>1.9901919816504459</v>
      </c>
      <c r="G72" s="60">
        <f>IFERROR(G16/$B58,0)</f>
        <v>7.7264228207624422E-2</v>
      </c>
      <c r="H72" s="60">
        <f t="shared" si="128"/>
        <v>1.9534461398109784</v>
      </c>
      <c r="I72" s="71">
        <f>IFERROR(s_RadSpec!$D$16*I16,".")*$B$72</f>
        <v>4.7212E-8</v>
      </c>
      <c r="J72" s="71">
        <f>IFERROR(s_RadSpec!$G$16*$J$16,".")*B72</f>
        <v>4.6699153286520449E-11</v>
      </c>
      <c r="K72" s="71">
        <f>IFERROR(s_RadSpec!$F$16*$K$16,".")*B72</f>
        <v>3.1721837700293522E-15</v>
      </c>
      <c r="L72" s="71">
        <f>s_b2s!AB72</f>
        <v>1.5854685E-6</v>
      </c>
      <c r="M72" s="49">
        <f t="shared" si="129"/>
        <v>4.7212E-8</v>
      </c>
      <c r="N72" s="49">
        <f t="shared" si="130"/>
        <v>4.6699153286520449E-11</v>
      </c>
      <c r="O72" s="49">
        <f t="shared" si="131"/>
        <v>3.1721837700293522E-15</v>
      </c>
      <c r="P72" s="49">
        <f t="shared" si="47"/>
        <v>1.5854685E-6</v>
      </c>
      <c r="Q72" s="49">
        <f t="shared" si="132"/>
        <v>1.6327272023254703E-6</v>
      </c>
      <c r="R72" s="60">
        <f>IFERROR(R16/$B58,0)</f>
        <v>1576201242.5760994</v>
      </c>
      <c r="S72" s="60">
        <f>IFERROR(S16/$B58,0)</f>
        <v>4368987281.6989088</v>
      </c>
      <c r="T72" s="60">
        <f>IFERROR(T16/$B58,0)</f>
        <v>1705170460.7530971</v>
      </c>
      <c r="U72" s="60">
        <f>IFERROR(U16/$B58,0)</f>
        <v>1695086681.6554201</v>
      </c>
      <c r="V72" s="60">
        <f>IFERROR(V16/$B58,0)</f>
        <v>56707247911.359032</v>
      </c>
      <c r="W72" s="71">
        <f>IFERROR(s_RadSpec!$F$16*$W$16,".")*$B$72</f>
        <v>3.1721837700293522E-15</v>
      </c>
      <c r="X72" s="71">
        <f>IFERROR(s_RadSpec!$M$16*$X$16,".")*$B$72</f>
        <v>1.1444299737251045E-15</v>
      </c>
      <c r="Y72" s="71">
        <f>IFERROR(s_RadSpec!$N$16*$Y$16,".")*$B$72</f>
        <v>2.9322581613287656E-15</v>
      </c>
      <c r="Z72" s="71">
        <f>IFERROR(s_RadSpec!$O$16*$Z$16,".")*$B$72</f>
        <v>2.9497016607534224E-15</v>
      </c>
      <c r="AA72" s="71">
        <f>IFERROR(s_RadSpec!$K$16*$AA$16,".")*$B$72</f>
        <v>8.8172150547945182E-17</v>
      </c>
      <c r="AB72" s="49">
        <f t="shared" si="133"/>
        <v>3.1721837700293522E-15</v>
      </c>
      <c r="AC72" s="49">
        <f t="shared" si="134"/>
        <v>1.1444299737251045E-15</v>
      </c>
      <c r="AD72" s="49">
        <f t="shared" si="135"/>
        <v>2.9322581613287656E-15</v>
      </c>
      <c r="AE72" s="49">
        <f t="shared" si="136"/>
        <v>2.9497016607534224E-15</v>
      </c>
      <c r="AF72" s="49">
        <f t="shared" si="137"/>
        <v>8.8172150547945182E-17</v>
      </c>
      <c r="AG72" s="60">
        <f>IFERROR(AG16/$B58,0)</f>
        <v>0.34560034560034564</v>
      </c>
      <c r="AH72" s="60">
        <f>IFERROR(AH16/$B58,0)</f>
        <v>2226222.22512546</v>
      </c>
      <c r="AI72" s="60">
        <f t="shared" si="138"/>
        <v>0.3456002919491068</v>
      </c>
      <c r="AJ72" s="71">
        <f>IFERROR(s_RadSpec!$G$16*AJ16,".")*$B$72</f>
        <v>1.4467578124999998E-5</v>
      </c>
      <c r="AK72" s="71">
        <f>IFERROR(s_RadSpec!$J$16*$AK$16,".")*$B$72</f>
        <v>2.2459572739726024E-12</v>
      </c>
      <c r="AL72" s="49">
        <f t="shared" si="139"/>
        <v>1.4467578124999998E-5</v>
      </c>
      <c r="AM72" s="49">
        <f t="shared" si="140"/>
        <v>2.2459572739726024E-12</v>
      </c>
      <c r="AN72" s="49">
        <f t="shared" si="141"/>
        <v>1.4467580370957272E-5</v>
      </c>
      <c r="AO72" s="60">
        <f>IFERROR(AO16/$B58,0)</f>
        <v>2.2616759018432657</v>
      </c>
      <c r="AP72" s="60">
        <f>IFERROR(AP16/$B58,0)</f>
        <v>0</v>
      </c>
      <c r="AQ72" s="60">
        <f>IFERROR(AQ16/$B58,0)</f>
        <v>2410786921.1673522</v>
      </c>
      <c r="AR72" s="60">
        <f>IFERROR(AR16/$B58,0)</f>
        <v>4.6187439047609571</v>
      </c>
      <c r="AS72" s="60">
        <f t="shared" si="146"/>
        <v>1.5182361066948176</v>
      </c>
      <c r="AT72" s="71">
        <f>IFERROR(s_RadSpec!$H$16*AT16,".")*$B$72</f>
        <v>2.21075E-6</v>
      </c>
      <c r="AU72" s="71">
        <f>IFERROR(s_RadSpec!$G$16*AU16,".")*$B$72</f>
        <v>7.2337890624999989E-6</v>
      </c>
      <c r="AV72" s="71">
        <f>IFERROR(s_RadSpec!$L$16*AV16,".")*$B$72</f>
        <v>2.0740115835616435E-15</v>
      </c>
      <c r="AW72" s="71">
        <f>s_b2w!AB72</f>
        <v>1.0825454069549184E-6</v>
      </c>
      <c r="AX72" s="49">
        <f t="shared" si="142"/>
        <v>2.21075E-6</v>
      </c>
      <c r="AY72" s="49">
        <f t="shared" si="143"/>
        <v>0</v>
      </c>
      <c r="AZ72" s="49">
        <f t="shared" si="144"/>
        <v>2.0740115835616435E-15</v>
      </c>
      <c r="BA72" s="49">
        <f t="shared" si="62"/>
        <v>1.0825454069549184E-6</v>
      </c>
      <c r="BB72" s="49">
        <f t="shared" si="63"/>
        <v>1.0527084471528928E-5</v>
      </c>
      <c r="BC72" s="60">
        <f>IFERROR(BC16/$B58,0)</f>
        <v>0.30905691283049769</v>
      </c>
      <c r="BD72" s="71">
        <f>IFERROR(s_RadSpec!$E$16*BD16,".")*$B$72</f>
        <v>1.617825E-5</v>
      </c>
      <c r="BE72" s="49">
        <f t="shared" si="145"/>
        <v>1.617825E-5</v>
      </c>
    </row>
    <row r="73" spans="1:57" x14ac:dyDescent="0.25">
      <c r="A73" s="48" t="s">
        <v>1097</v>
      </c>
      <c r="B73" s="45">
        <v>1</v>
      </c>
      <c r="C73" s="60">
        <f>IFERROR(C7/$B59,0)</f>
        <v>7571.6562619490196</v>
      </c>
      <c r="D73" s="60">
        <f>IFERROR(D7/$B59,0)</f>
        <v>3734334.171595701</v>
      </c>
      <c r="E73" s="60">
        <f>IFERROR(E7/$B59,0)</f>
        <v>101410.77181228435</v>
      </c>
      <c r="F73" s="60">
        <f>IFERROR(F7/$B59,0)</f>
        <v>61.498860057129974</v>
      </c>
      <c r="G73" s="60">
        <f>IFERROR(G7/$B59,0)</f>
        <v>6.9801206164842524</v>
      </c>
      <c r="H73" s="60">
        <f t="shared" si="128"/>
        <v>60.965705911511051</v>
      </c>
      <c r="I73" s="71">
        <f>IFERROR(s_RadSpec!$D$7*I7,".")*$B$73</f>
        <v>6.6035750000000001E-10</v>
      </c>
      <c r="J73" s="71">
        <f>IFERROR(s_RadSpec!$G$7*$J$7,".")*B73</f>
        <v>1.3389267725505863E-12</v>
      </c>
      <c r="K73" s="71">
        <f>IFERROR(s_RadSpec!$F$7*$K$7,".")*B73</f>
        <v>4.9304427041095906E-11</v>
      </c>
      <c r="L73" s="71">
        <f>s_b2s!AB73</f>
        <v>8.1302319999999992E-8</v>
      </c>
      <c r="M73" s="49">
        <f t="shared" si="129"/>
        <v>6.6035750000000001E-10</v>
      </c>
      <c r="N73" s="49">
        <f t="shared" si="130"/>
        <v>1.3389267725505863E-12</v>
      </c>
      <c r="O73" s="49">
        <f t="shared" si="131"/>
        <v>4.9304427041095906E-11</v>
      </c>
      <c r="P73" s="49">
        <f t="shared" si="47"/>
        <v>8.1302319999999992E-8</v>
      </c>
      <c r="Q73" s="49">
        <f t="shared" si="132"/>
        <v>8.2013320853813635E-8</v>
      </c>
      <c r="R73" s="60">
        <f>IFERROR(R7/$B59,0)</f>
        <v>101410.77181228435</v>
      </c>
      <c r="S73" s="60">
        <f>IFERROR(S7/$B59,0)</f>
        <v>467657.72791524208</v>
      </c>
      <c r="T73" s="60">
        <f>IFERROR(T7/$B59,0)</f>
        <v>159162.24491971696</v>
      </c>
      <c r="U73" s="60">
        <f>IFERROR(U7/$B59,0)</f>
        <v>112038.32099193231</v>
      </c>
      <c r="V73" s="60">
        <f>IFERROR(V7/$B59,0)</f>
        <v>158433.87264276639</v>
      </c>
      <c r="W73" s="71">
        <f>IFERROR(s_RadSpec!$F$7*$W$7,".")*$B$73</f>
        <v>4.9304427041095906E-11</v>
      </c>
      <c r="X73" s="71">
        <f>IFERROR(s_RadSpec!$M$7*$X$7,".")*$B$73</f>
        <v>1.0691579977282436E-11</v>
      </c>
      <c r="Y73" s="71">
        <f>IFERROR(s_RadSpec!$N$7*$Y$7,".")*$B$73</f>
        <v>3.1414485278980887E-11</v>
      </c>
      <c r="Z73" s="71">
        <f>IFERROR(s_RadSpec!$O$7*$Z$7,".")*$B$73</f>
        <v>4.4627587737235379E-11</v>
      </c>
      <c r="AA73" s="71">
        <f>IFERROR(s_RadSpec!$K$7*$AA$7,".")*$B$73</f>
        <v>3.1558907931726834E-11</v>
      </c>
      <c r="AB73" s="49">
        <f t="shared" si="133"/>
        <v>4.9304427041095906E-11</v>
      </c>
      <c r="AC73" s="49">
        <f t="shared" si="134"/>
        <v>1.0691579977282436E-11</v>
      </c>
      <c r="AD73" s="49">
        <f t="shared" si="135"/>
        <v>3.1414485278980887E-11</v>
      </c>
      <c r="AE73" s="49">
        <f t="shared" si="136"/>
        <v>4.4627587737235379E-11</v>
      </c>
      <c r="AF73" s="49">
        <f t="shared" si="137"/>
        <v>3.1558907931726834E-11</v>
      </c>
      <c r="AG73" s="60">
        <f>IFERROR(AG7/$B59,0)</f>
        <v>12.053865712402297</v>
      </c>
      <c r="AH73" s="60">
        <f>IFERROR(AH7/$B59,0)</f>
        <v>1656152.0747622075</v>
      </c>
      <c r="AI73" s="60">
        <f t="shared" si="138"/>
        <v>12.053777982161012</v>
      </c>
      <c r="AJ73" s="71">
        <f>IFERROR(s_RadSpec!$G$7*AJ7,".")*$B$73</f>
        <v>4.1480468749999999E-7</v>
      </c>
      <c r="AK73" s="71">
        <f>IFERROR(s_RadSpec!$J$7*$AK$7,".")*$B$73</f>
        <v>3.019046424657534E-12</v>
      </c>
      <c r="AL73" s="49">
        <f t="shared" si="139"/>
        <v>4.1480468749999999E-7</v>
      </c>
      <c r="AM73" s="49">
        <f t="shared" si="140"/>
        <v>3.019046424657534E-12</v>
      </c>
      <c r="AN73" s="49">
        <f t="shared" si="141"/>
        <v>4.1480770654642464E-7</v>
      </c>
      <c r="AO73" s="60">
        <f>IFERROR(AO7/$B59,0)</f>
        <v>224.290680722216</v>
      </c>
      <c r="AP73" s="60">
        <f>IFERROR(AP7/$B59,0)</f>
        <v>0</v>
      </c>
      <c r="AQ73" s="60">
        <f>IFERROR(AQ7/$B59,0)</f>
        <v>2799391380.1017914</v>
      </c>
      <c r="AR73" s="60">
        <f>IFERROR(AR7/$B59,0)</f>
        <v>221.12164775828299</v>
      </c>
      <c r="AS73" s="60">
        <f t="shared" si="146"/>
        <v>111.34744090857274</v>
      </c>
      <c r="AT73" s="71">
        <f>IFERROR(s_RadSpec!$H$7*AT7,".")*$B$73</f>
        <v>2.2292499999999999E-8</v>
      </c>
      <c r="AU73" s="71">
        <f>IFERROR(s_RadSpec!$G$7*AU7,".")*$B$73</f>
        <v>2.0740234375E-7</v>
      </c>
      <c r="AV73" s="71">
        <f>IFERROR(s_RadSpec!$L$7*AV7,".")*$B$73</f>
        <v>1.7861025205479451E-15</v>
      </c>
      <c r="AW73" s="71">
        <f>s_b2w!AB73</f>
        <v>2.2611987793550189E-8</v>
      </c>
      <c r="AX73" s="49">
        <f t="shared" si="142"/>
        <v>2.2292499999999999E-8</v>
      </c>
      <c r="AY73" s="49">
        <f t="shared" si="143"/>
        <v>0</v>
      </c>
      <c r="AZ73" s="49">
        <f t="shared" si="144"/>
        <v>1.7861025205479451E-15</v>
      </c>
      <c r="BA73" s="49">
        <f t="shared" si="62"/>
        <v>2.2611987793550189E-8</v>
      </c>
      <c r="BB73" s="49">
        <f t="shared" si="63"/>
        <v>2.5230683332965269E-7</v>
      </c>
      <c r="BC73" s="60">
        <f>IFERROR(BC7/$B59,0)</f>
        <v>27.92048246593701</v>
      </c>
      <c r="BD73" s="71">
        <f>IFERROR(s_RadSpec!$E$7*BD7,".")*$B$73</f>
        <v>1.7907999999999999E-7</v>
      </c>
      <c r="BE73" s="49">
        <f t="shared" si="145"/>
        <v>1.7907999999999999E-7</v>
      </c>
    </row>
    <row r="74" spans="1:57" x14ac:dyDescent="0.25">
      <c r="A74" s="48" t="s">
        <v>1098</v>
      </c>
      <c r="B74" s="45">
        <v>1.9000000000000001E-8</v>
      </c>
      <c r="C74" s="60">
        <f>IFERROR(C12/$B60,0)</f>
        <v>0</v>
      </c>
      <c r="D74" s="60">
        <f>IFERROR(D12/$B60,0)</f>
        <v>0</v>
      </c>
      <c r="E74" s="60">
        <f>IFERROR(E12/$B60,0)</f>
        <v>23714325843.161045</v>
      </c>
      <c r="F74" s="60">
        <f>IFERROR(F12/$B60,0)</f>
        <v>0</v>
      </c>
      <c r="G74" s="60">
        <f>IFERROR(G12/$B60,0)</f>
        <v>0</v>
      </c>
      <c r="H74" s="60">
        <f t="shared" si="128"/>
        <v>23714325843.161045</v>
      </c>
      <c r="I74" s="71">
        <f>IFERROR(s_RadSpec!$D$12*I12,".")*$B$74</f>
        <v>0</v>
      </c>
      <c r="J74" s="71">
        <f>IFERROR(s_RadSpec!$G$12*$J$12,".")*B74</f>
        <v>0</v>
      </c>
      <c r="K74" s="71">
        <f>IFERROR(s_RadSpec!$F$12*$K$12,".")*B74</f>
        <v>2.1084301670932576E-16</v>
      </c>
      <c r="L74" s="71">
        <f>s_b2s!AB74</f>
        <v>0</v>
      </c>
      <c r="M74" s="49">
        <f t="shared" si="129"/>
        <v>0</v>
      </c>
      <c r="N74" s="49">
        <f t="shared" si="130"/>
        <v>0</v>
      </c>
      <c r="O74" s="49">
        <f t="shared" si="131"/>
        <v>2.1084301670932576E-16</v>
      </c>
      <c r="P74" s="49">
        <f t="shared" si="47"/>
        <v>0</v>
      </c>
      <c r="Q74" s="49">
        <f t="shared" si="132"/>
        <v>2.1084301670932576E-16</v>
      </c>
      <c r="R74" s="60">
        <f>IFERROR(R12/$B60,0)</f>
        <v>23714325843.161045</v>
      </c>
      <c r="S74" s="60">
        <f>IFERROR(S12/$B60,0)</f>
        <v>187219801336.82281</v>
      </c>
      <c r="T74" s="60">
        <f>IFERROR(T12/$B60,0)</f>
        <v>48671615037.28183</v>
      </c>
      <c r="U74" s="60">
        <f>IFERROR(U12/$B60,0)</f>
        <v>29144587900.237324</v>
      </c>
      <c r="V74" s="60">
        <f>IFERROR(V12/$B60,0)</f>
        <v>317717146838.78906</v>
      </c>
      <c r="W74" s="71">
        <f>IFERROR(s_RadSpec!$F$12*$W$12,".")*$B$74</f>
        <v>2.1084301670932576E-16</v>
      </c>
      <c r="X74" s="71">
        <f>IFERROR(s_RadSpec!$M$12*$X$12,".")*$B$74</f>
        <v>2.6706576784603123E-17</v>
      </c>
      <c r="Y74" s="71">
        <f>IFERROR(s_RadSpec!$N$12*$Y$12,".")*$B$74</f>
        <v>1.027292806324603E-16</v>
      </c>
      <c r="Z74" s="71">
        <f>IFERROR(s_RadSpec!$O$12*$Z$12,".")*$B$74</f>
        <v>1.715584388125551E-16</v>
      </c>
      <c r="AA74" s="71">
        <f>IFERROR(s_RadSpec!$K$12*$AA$12,".")*$B$74</f>
        <v>1.5737268352523068E-17</v>
      </c>
      <c r="AB74" s="49">
        <f t="shared" si="133"/>
        <v>2.1084301670932576E-16</v>
      </c>
      <c r="AC74" s="49">
        <f t="shared" si="134"/>
        <v>2.6706576784603123E-17</v>
      </c>
      <c r="AD74" s="49">
        <f t="shared" si="135"/>
        <v>1.027292806324603E-16</v>
      </c>
      <c r="AE74" s="49">
        <f t="shared" si="136"/>
        <v>1.715584388125551E-16</v>
      </c>
      <c r="AF74" s="49">
        <f t="shared" si="137"/>
        <v>1.5737268352523068E-17</v>
      </c>
      <c r="AG74" s="60">
        <f>IFERROR(AG12/$B60,0)</f>
        <v>0</v>
      </c>
      <c r="AH74" s="60">
        <f>IFERROR(AH12/$B60,0)</f>
        <v>929085931724.18591</v>
      </c>
      <c r="AI74" s="60">
        <f t="shared" si="138"/>
        <v>929085931724.18604</v>
      </c>
      <c r="AJ74" s="71">
        <f>IFERROR(s_RadSpec!$G$12*AJ12,".")*$B$74</f>
        <v>0</v>
      </c>
      <c r="AK74" s="71">
        <f>IFERROR(s_RadSpec!$J$12*$AK$12,".")*$B$74</f>
        <v>5.3816335273972592E-18</v>
      </c>
      <c r="AL74" s="49">
        <f t="shared" si="139"/>
        <v>0</v>
      </c>
      <c r="AM74" s="49">
        <f t="shared" si="140"/>
        <v>5.3816335273972592E-18</v>
      </c>
      <c r="AN74" s="49">
        <f t="shared" si="141"/>
        <v>5.3816335273972592E-18</v>
      </c>
      <c r="AO74" s="60">
        <f>IFERROR(AO12/$B60,0)</f>
        <v>0</v>
      </c>
      <c r="AP74" s="60">
        <f>IFERROR(AP12/$B60,0)</f>
        <v>0</v>
      </c>
      <c r="AQ74" s="60">
        <f>IFERROR(AQ12/$B60,0)</f>
        <v>1067193299953456.8</v>
      </c>
      <c r="AR74" s="60">
        <f>IFERROR(AR12/$B60,0)</f>
        <v>0</v>
      </c>
      <c r="AS74" s="60">
        <f t="shared" si="146"/>
        <v>1067193299953456.8</v>
      </c>
      <c r="AT74" s="71">
        <f>IFERROR(s_RadSpec!$H$12*AT12,".")*$B$74</f>
        <v>0</v>
      </c>
      <c r="AU74" s="71">
        <f>IFERROR(s_RadSpec!$G$12*AU12,".")*$B$74</f>
        <v>0</v>
      </c>
      <c r="AV74" s="71">
        <f>IFERROR(s_RadSpec!$L$12*AV12,".")*$B$74</f>
        <v>4.6851868356164388E-21</v>
      </c>
      <c r="AW74" s="71">
        <f>s_b2w!AB74</f>
        <v>0</v>
      </c>
      <c r="AX74" s="49">
        <f t="shared" si="142"/>
        <v>0</v>
      </c>
      <c r="AY74" s="49">
        <f t="shared" si="143"/>
        <v>0</v>
      </c>
      <c r="AZ74" s="49">
        <f t="shared" si="144"/>
        <v>4.6851868356164388E-21</v>
      </c>
      <c r="BA74" s="49">
        <f t="shared" si="62"/>
        <v>0</v>
      </c>
      <c r="BB74" s="49">
        <f t="shared" si="63"/>
        <v>4.6851868356164388E-21</v>
      </c>
      <c r="BC74" s="60">
        <f>IFERROR(BC12/$B60,0)</f>
        <v>0</v>
      </c>
      <c r="BD74" s="71">
        <f>IFERROR(s_RadSpec!$E$12*BD12,".")*$B$74</f>
        <v>0</v>
      </c>
      <c r="BE74" s="49">
        <f t="shared" si="145"/>
        <v>0</v>
      </c>
    </row>
    <row r="75" spans="1:57" x14ac:dyDescent="0.25">
      <c r="A75" s="48" t="s">
        <v>1099</v>
      </c>
      <c r="B75" s="45">
        <v>1</v>
      </c>
      <c r="C75" s="60">
        <f>IFERROR(C18/$B61,0)</f>
        <v>55.525479254292819</v>
      </c>
      <c r="D75" s="60">
        <f>IFERROR(D18/$B61,0)</f>
        <v>117174.26099649776</v>
      </c>
      <c r="E75" s="60">
        <f>IFERROR(E18/$B61,0)</f>
        <v>2428353.5578743829</v>
      </c>
      <c r="F75" s="60">
        <f>IFERROR(F18/$B61,0)</f>
        <v>2.156326452756538</v>
      </c>
      <c r="G75" s="60">
        <f>IFERROR(G18/$B61,0)</f>
        <v>4.0344867931074828E-2</v>
      </c>
      <c r="H75" s="60">
        <f t="shared" si="128"/>
        <v>2.0756776757979605</v>
      </c>
      <c r="I75" s="71">
        <f>IFERROR(s_RadSpec!$D$18*I18,".")*$B$75</f>
        <v>9.0048749999999994E-8</v>
      </c>
      <c r="J75" s="71">
        <f>IFERROR(s_RadSpec!$G$18*$J$18,".")*B75</f>
        <v>4.267148738535202E-11</v>
      </c>
      <c r="K75" s="71">
        <f>IFERROR(s_RadSpec!$F$18*$K$18,".")*B75</f>
        <v>2.0590082460548545E-12</v>
      </c>
      <c r="L75" s="71">
        <f>s_b2s!AB75</f>
        <v>1.7028188099999999E-6</v>
      </c>
      <c r="M75" s="49">
        <f t="shared" si="129"/>
        <v>9.0048749999999994E-8</v>
      </c>
      <c r="N75" s="49">
        <f t="shared" si="130"/>
        <v>4.267148738535202E-11</v>
      </c>
      <c r="O75" s="49">
        <f t="shared" si="131"/>
        <v>2.0590082460548545E-12</v>
      </c>
      <c r="P75" s="49">
        <f t="shared" si="47"/>
        <v>1.7028188099999999E-6</v>
      </c>
      <c r="Q75" s="49">
        <f t="shared" si="132"/>
        <v>1.7929122904956313E-6</v>
      </c>
      <c r="R75" s="60">
        <f>IFERROR(R18/$B61,0)</f>
        <v>2428353.5578743829</v>
      </c>
      <c r="S75" s="60">
        <f>IFERROR(S18/$B61,0)</f>
        <v>24200582.361690469</v>
      </c>
      <c r="T75" s="60">
        <f>IFERROR(T18/$B61,0)</f>
        <v>5969030.5645862585</v>
      </c>
      <c r="U75" s="60">
        <f>IFERROR(U18/$B61,0)</f>
        <v>3174424.3017262835</v>
      </c>
      <c r="V75" s="60">
        <f>IFERROR(V18/$B61,0)</f>
        <v>42318186.296267152</v>
      </c>
      <c r="W75" s="71">
        <f>IFERROR(s_RadSpec!$F$18*$W$18,".")*$B$75</f>
        <v>2.0590082460548545E-12</v>
      </c>
      <c r="X75" s="71">
        <f>IFERROR(s_RadSpec!$M$18*$X$18,".")*$B$75</f>
        <v>2.0660659835669918E-13</v>
      </c>
      <c r="Y75" s="71">
        <f>IFERROR(s_RadSpec!$N$18*$Y$18,".")*$B$75</f>
        <v>8.3765696052296447E-13</v>
      </c>
      <c r="Z75" s="71">
        <f>IFERROR(s_RadSpec!$O$18*$Z$18,".")*$B$75</f>
        <v>1.5750887483065668E-12</v>
      </c>
      <c r="AA75" s="71">
        <f>IFERROR(s_RadSpec!$K$18*$AA$18,".")*$B$75</f>
        <v>1.1815251166473185E-13</v>
      </c>
      <c r="AB75" s="49">
        <f t="shared" si="133"/>
        <v>2.0590082460548545E-12</v>
      </c>
      <c r="AC75" s="49">
        <f t="shared" si="134"/>
        <v>2.0660659835669918E-13</v>
      </c>
      <c r="AD75" s="49">
        <f t="shared" si="135"/>
        <v>8.3765696052296447E-13</v>
      </c>
      <c r="AE75" s="49">
        <f t="shared" si="136"/>
        <v>1.5750887483065668E-12</v>
      </c>
      <c r="AF75" s="49">
        <f t="shared" si="137"/>
        <v>1.1815251166473185E-13</v>
      </c>
      <c r="AG75" s="60">
        <f>IFERROR(AG18/$B61,0)</f>
        <v>0.37822078638405171</v>
      </c>
      <c r="AH75" s="60">
        <f>IFERROR(AH18/$B61,0)</f>
        <v>209563377.05789945</v>
      </c>
      <c r="AI75" s="60">
        <f t="shared" si="138"/>
        <v>0.37822078570143736</v>
      </c>
      <c r="AJ75" s="71">
        <f>IFERROR(s_RadSpec!$G$18*AJ18,".")*$B$75</f>
        <v>1.3219791666666667E-5</v>
      </c>
      <c r="AK75" s="71">
        <f>IFERROR(s_RadSpec!$J$18*$AK$18,".")*$B$75</f>
        <v>2.3859130684931505E-14</v>
      </c>
      <c r="AL75" s="49">
        <f t="shared" si="139"/>
        <v>1.3219791666666667E-5</v>
      </c>
      <c r="AM75" s="49">
        <f t="shared" si="140"/>
        <v>2.3859130684931505E-14</v>
      </c>
      <c r="AN75" s="49">
        <f t="shared" si="141"/>
        <v>1.3219791690525798E-5</v>
      </c>
      <c r="AO75" s="60">
        <f>IFERROR(AO18/$B61,0)</f>
        <v>1.1261261261261262</v>
      </c>
      <c r="AP75" s="60">
        <f>IFERROR(AP18/$B61,0)</f>
        <v>0</v>
      </c>
      <c r="AQ75" s="60">
        <f>IFERROR(AQ18/$B61,0)</f>
        <v>241388960703.75806</v>
      </c>
      <c r="AR75" s="60">
        <f>IFERROR(AR18/$B61,0)</f>
        <v>3.1687672904104303</v>
      </c>
      <c r="AS75" s="60">
        <f t="shared" si="146"/>
        <v>0.83085452588726039</v>
      </c>
      <c r="AT75" s="71">
        <f>IFERROR(s_RadSpec!$H$18*AT18,".")*$B$75</f>
        <v>4.4399999999999998E-6</v>
      </c>
      <c r="AU75" s="71">
        <f>IFERROR(s_RadSpec!$G$18*AU18,".")*$B$75</f>
        <v>6.6098958333333333E-6</v>
      </c>
      <c r="AV75" s="71">
        <f>IFERROR(s_RadSpec!$L$18*AV18,".")*$B$75</f>
        <v>2.0713457589041095E-17</v>
      </c>
      <c r="AW75" s="71">
        <f>s_b2w!AB75</f>
        <v>1.5779006603392393E-6</v>
      </c>
      <c r="AX75" s="49">
        <f t="shared" si="142"/>
        <v>4.4399999999999998E-6</v>
      </c>
      <c r="AY75" s="49">
        <f t="shared" si="143"/>
        <v>0</v>
      </c>
      <c r="AZ75" s="49">
        <f t="shared" si="144"/>
        <v>2.0713457589041095E-17</v>
      </c>
      <c r="BA75" s="49">
        <f t="shared" si="62"/>
        <v>1.5779006603392393E-6</v>
      </c>
      <c r="BB75" s="49">
        <f t="shared" si="63"/>
        <v>1.2627796493693286E-5</v>
      </c>
      <c r="BC75" s="60">
        <f>IFERROR(BC18/$B61,0)</f>
        <v>0.16137947172429931</v>
      </c>
      <c r="BD75" s="71">
        <f>IFERROR(s_RadSpec!$E$18*BD18,".")*$B$75</f>
        <v>3.0982875000000003E-5</v>
      </c>
      <c r="BE75" s="49">
        <f t="shared" si="145"/>
        <v>3.0982875000000003E-5</v>
      </c>
    </row>
    <row r="76" spans="1:57" x14ac:dyDescent="0.25">
      <c r="A76" s="48" t="s">
        <v>1100</v>
      </c>
      <c r="B76" s="45">
        <v>1.339E-6</v>
      </c>
      <c r="C76" s="60">
        <f>IFERROR(C27/$B62,0)</f>
        <v>0</v>
      </c>
      <c r="D76" s="60">
        <f>IFERROR(D27/$B62,0)</f>
        <v>0</v>
      </c>
      <c r="E76" s="60">
        <f>IFERROR(E27/$B62,0)</f>
        <v>21966317280.608379</v>
      </c>
      <c r="F76" s="60">
        <f>IFERROR(F27/$B62,0)</f>
        <v>0</v>
      </c>
      <c r="G76" s="60">
        <f>IFERROR(G27/$B62,0)</f>
        <v>0</v>
      </c>
      <c r="H76" s="60">
        <f t="shared" si="128"/>
        <v>21966317280.608379</v>
      </c>
      <c r="I76" s="71">
        <f>IFERROR(s_RadSpec!$D$27*I27,".")*$B$76</f>
        <v>0</v>
      </c>
      <c r="J76" s="71">
        <f>IFERROR(s_RadSpec!$G$27*$J$27,".")*B76</f>
        <v>0</v>
      </c>
      <c r="K76" s="71">
        <f>IFERROR(s_RadSpec!$F$27*$K$27,".")*B76</f>
        <v>2.2762122280797358E-16</v>
      </c>
      <c r="L76" s="71">
        <f>s_b2s!AB76</f>
        <v>0</v>
      </c>
      <c r="M76" s="49">
        <f t="shared" si="129"/>
        <v>0</v>
      </c>
      <c r="N76" s="49">
        <f t="shared" si="130"/>
        <v>0</v>
      </c>
      <c r="O76" s="49">
        <f t="shared" si="131"/>
        <v>2.2762122280797358E-16</v>
      </c>
      <c r="P76" s="49">
        <f t="shared" si="47"/>
        <v>0</v>
      </c>
      <c r="Q76" s="49">
        <f t="shared" si="132"/>
        <v>2.2762122280797358E-16</v>
      </c>
      <c r="R76" s="60">
        <f>IFERROR(R27/$B62,0)</f>
        <v>21966317280.608379</v>
      </c>
      <c r="S76" s="60">
        <f>IFERROR(S27/$B62,0)</f>
        <v>191872222213.85425</v>
      </c>
      <c r="T76" s="60">
        <f>IFERROR(T27/$B62,0)</f>
        <v>55326962438.220596</v>
      </c>
      <c r="U76" s="60">
        <f>IFERROR(U27/$B62,0)</f>
        <v>30274364147.093594</v>
      </c>
      <c r="V76" s="60">
        <f>IFERROR(V27/$B62,0)</f>
        <v>145218957009.09222</v>
      </c>
      <c r="W76" s="71">
        <f>IFERROR(s_RadSpec!$F$27*$W$27,".")*$B$76</f>
        <v>2.2762122280797358E-16</v>
      </c>
      <c r="X76" s="71">
        <f>IFERROR(s_RadSpec!$M$27*$X$27,".")*$B$76</f>
        <v>2.6059009179698613E-17</v>
      </c>
      <c r="Y76" s="71">
        <f>IFERROR(s_RadSpec!$N$27*$Y$27,".")*$B$76</f>
        <v>9.0371850896081969E-17</v>
      </c>
      <c r="Z76" s="71">
        <f>IFERROR(s_RadSpec!$O$27*$Z$27,".")*$B$76</f>
        <v>1.6515623501476619E-16</v>
      </c>
      <c r="AA76" s="71">
        <f>IFERROR(s_RadSpec!$K$27*$AA$27,".")*$B$76</f>
        <v>3.443076649894233E-17</v>
      </c>
      <c r="AB76" s="49">
        <f t="shared" si="133"/>
        <v>2.2762122280797358E-16</v>
      </c>
      <c r="AC76" s="49">
        <f t="shared" si="134"/>
        <v>2.6059009179698613E-17</v>
      </c>
      <c r="AD76" s="49">
        <f t="shared" si="135"/>
        <v>9.0371850896081969E-17</v>
      </c>
      <c r="AE76" s="49">
        <f t="shared" si="136"/>
        <v>1.6515623501476619E-16</v>
      </c>
      <c r="AF76" s="49">
        <f t="shared" si="137"/>
        <v>3.443076649894233E-17</v>
      </c>
      <c r="AG76" s="60">
        <f>IFERROR(AG27/$B62,0)</f>
        <v>0</v>
      </c>
      <c r="AH76" s="60">
        <f>IFERROR(AH27/$B62,0)</f>
        <v>696020382196.11377</v>
      </c>
      <c r="AI76" s="60">
        <f t="shared" si="138"/>
        <v>696020382196.11377</v>
      </c>
      <c r="AJ76" s="71">
        <f>IFERROR(s_RadSpec!$G$27*AJ27,".")*$B$76</f>
        <v>0</v>
      </c>
      <c r="AK76" s="71">
        <f>IFERROR(s_RadSpec!$J$27*$AK$27,".")*$B$76</f>
        <v>7.1836976730821903E-18</v>
      </c>
      <c r="AL76" s="49">
        <f t="shared" si="139"/>
        <v>0</v>
      </c>
      <c r="AM76" s="49">
        <f t="shared" si="140"/>
        <v>7.1836976730821903E-18</v>
      </c>
      <c r="AN76" s="49">
        <f t="shared" si="141"/>
        <v>7.1836976730821903E-18</v>
      </c>
      <c r="AO76" s="60">
        <f>IFERROR(AO27/$B62,0)</f>
        <v>0</v>
      </c>
      <c r="AP76" s="60">
        <f>IFERROR(AP27/$B62,0)</f>
        <v>0</v>
      </c>
      <c r="AQ76" s="60">
        <f>IFERROR(AQ27/$B62,0)</f>
        <v>1111699221563237.3</v>
      </c>
      <c r="AR76" s="60">
        <f>IFERROR(AR27/$B62,0)</f>
        <v>0</v>
      </c>
      <c r="AS76" s="60">
        <f t="shared" si="146"/>
        <v>1111699221563237.3</v>
      </c>
      <c r="AT76" s="71">
        <f>IFERROR(s_RadSpec!$H$27*AT27,".")*$B$76</f>
        <v>0</v>
      </c>
      <c r="AU76" s="71">
        <f>IFERROR(s_RadSpec!$G$27*AU27,".")*$B$76</f>
        <v>0</v>
      </c>
      <c r="AV76" s="71">
        <f>IFERROR(s_RadSpec!$L$27*AV27,".")*$B$76</f>
        <v>4.4976194127123279E-21</v>
      </c>
      <c r="AW76" s="71">
        <f>s_b2w!AB76</f>
        <v>0</v>
      </c>
      <c r="AX76" s="49">
        <f t="shared" si="142"/>
        <v>0</v>
      </c>
      <c r="AY76" s="49">
        <f t="shared" si="143"/>
        <v>0</v>
      </c>
      <c r="AZ76" s="49">
        <f t="shared" si="144"/>
        <v>4.4976194127123279E-21</v>
      </c>
      <c r="BA76" s="49">
        <f t="shared" si="62"/>
        <v>0</v>
      </c>
      <c r="BB76" s="49">
        <f t="shared" si="63"/>
        <v>4.4976194127123279E-21</v>
      </c>
      <c r="BC76" s="60">
        <f>IFERROR(BC27/$B62,0)</f>
        <v>0</v>
      </c>
      <c r="BD76" s="71">
        <f>IFERROR(s_RadSpec!$E$27*BD27,".")*$B$76</f>
        <v>0</v>
      </c>
      <c r="BE76" s="49">
        <f t="shared" si="145"/>
        <v>0</v>
      </c>
    </row>
  </sheetData>
  <sheetProtection algorithmName="SHA-512" hashValue="B0PFlDRMaIoEdUAEu05SpcRuj9vjRsuwWlpajDVDBoIMSYwzd2T7Ld+H9UR51iGQ8l074WzS+c0QTah4N6KsFg==" saltValue="jS5b3nwYX7yKG0FZjSoGYg==" spinCount="100000" sheet="1" objects="1" scenarios="1" formatColumns="0" formatRows="0" autoFilter="0"/>
  <autoFilter ref="A1:BE76" xr:uid="{07DD4F8B-0CD7-41C0-A701-7E5E2F1E8003}"/>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9" tint="-0.499984740745262"/>
  </sheetPr>
  <dimension ref="A1:FC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15.5703125" defaultRowHeight="15" x14ac:dyDescent="0.25"/>
  <cols>
    <col min="1" max="1" width="14.5703125" style="4" bestFit="1" customWidth="1"/>
    <col min="2" max="2" width="11.7109375" style="4" bestFit="1" customWidth="1"/>
    <col min="3" max="3" width="13.42578125" style="3" bestFit="1" customWidth="1"/>
    <col min="4" max="4" width="12.5703125" style="3" bestFit="1" customWidth="1"/>
    <col min="5" max="5" width="9.5703125" style="3" bestFit="1" customWidth="1"/>
    <col min="6" max="6" width="10.28515625" style="3" bestFit="1" customWidth="1"/>
    <col min="7" max="7" width="10.7109375" style="3" bestFit="1" customWidth="1"/>
    <col min="8" max="8" width="11.42578125" style="3" bestFit="1" customWidth="1"/>
    <col min="9" max="9" width="9.5703125" style="3" bestFit="1" customWidth="1"/>
    <col min="10" max="10" width="10.28515625" style="3" bestFit="1" customWidth="1"/>
    <col min="11" max="11" width="11.5703125" style="3" bestFit="1" customWidth="1"/>
    <col min="12" max="12" width="12.140625" style="3" bestFit="1" customWidth="1"/>
    <col min="13" max="13" width="13.140625" style="3" bestFit="1" customWidth="1"/>
    <col min="14" max="14" width="13.42578125" style="3" bestFit="1" customWidth="1"/>
    <col min="15" max="15" width="12.7109375" style="3" bestFit="1" customWidth="1"/>
    <col min="16" max="16" width="10" style="3" bestFit="1" customWidth="1"/>
    <col min="17" max="17" width="10.5703125" style="3" bestFit="1" customWidth="1"/>
    <col min="18" max="18" width="11.140625" style="3" bestFit="1" customWidth="1"/>
    <col min="19" max="19" width="11.5703125" style="3" bestFit="1" customWidth="1"/>
    <col min="20" max="20" width="10" style="3" bestFit="1" customWidth="1"/>
    <col min="21" max="21" width="10.7109375" style="3" bestFit="1" customWidth="1"/>
    <col min="22" max="22" width="11.5703125" style="3" bestFit="1" customWidth="1"/>
    <col min="23" max="23" width="12.7109375" style="3" bestFit="1" customWidth="1"/>
    <col min="24" max="24" width="13.42578125" style="3" bestFit="1" customWidth="1"/>
    <col min="25" max="25" width="14" style="3" bestFit="1" customWidth="1"/>
    <col min="26" max="26" width="13.28515625" style="3" bestFit="1" customWidth="1"/>
    <col min="27" max="27" width="10.5703125" style="3" bestFit="1" customWidth="1"/>
    <col min="28" max="28" width="11" style="3" bestFit="1" customWidth="1"/>
    <col min="29" max="29" width="11.5703125" style="3" bestFit="1" customWidth="1"/>
    <col min="30" max="30" width="12.140625" style="3" bestFit="1" customWidth="1"/>
    <col min="31" max="31" width="10.42578125" style="3" bestFit="1" customWidth="1"/>
    <col min="32" max="32" width="11.28515625" style="3" bestFit="1" customWidth="1"/>
    <col min="33" max="33" width="12.140625" style="3" bestFit="1" customWidth="1"/>
    <col min="34" max="34" width="13.140625" style="3" bestFit="1" customWidth="1"/>
    <col min="35" max="35" width="14" style="3" bestFit="1" customWidth="1"/>
    <col min="36" max="36" width="12.85546875" style="3" bestFit="1" customWidth="1"/>
    <col min="37" max="37" width="13" style="3" bestFit="1" customWidth="1"/>
    <col min="38" max="38" width="12.85546875" style="2" bestFit="1" customWidth="1"/>
    <col min="39" max="39" width="17.140625" style="3" bestFit="1" customWidth="1"/>
    <col min="40" max="40" width="13.28515625" style="3" bestFit="1" customWidth="1"/>
    <col min="41" max="41" width="14" style="3" bestFit="1" customWidth="1"/>
    <col min="42" max="42" width="14.28515625" style="3" bestFit="1" customWidth="1"/>
    <col min="43" max="43" width="15.140625" style="3" bestFit="1" customWidth="1"/>
    <col min="44" max="44" width="16.28515625" style="3" bestFit="1" customWidth="1"/>
    <col min="45" max="45" width="13.140625" style="3" bestFit="1" customWidth="1"/>
    <col min="46" max="46" width="14" style="3" bestFit="1" customWidth="1"/>
    <col min="47" max="47" width="16" style="3" bestFit="1" customWidth="1"/>
    <col min="48" max="48" width="15.28515625" style="3" bestFit="1" customWidth="1"/>
    <col min="49" max="49" width="16.85546875" style="3" bestFit="1" customWidth="1"/>
    <col min="50" max="51" width="8.7109375" style="3" bestFit="1" customWidth="1"/>
    <col min="52" max="52" width="8.85546875" style="3" bestFit="1" customWidth="1"/>
    <col min="53" max="53" width="12" style="3" bestFit="1" customWidth="1"/>
    <col min="54" max="54" width="9.140625" style="3" bestFit="1" customWidth="1"/>
    <col min="55" max="55" width="9.7109375" style="3" bestFit="1" customWidth="1"/>
    <col min="56" max="56" width="10" style="3" bestFit="1" customWidth="1"/>
    <col min="57" max="57" width="10.5703125" style="3" bestFit="1" customWidth="1"/>
    <col min="58" max="58" width="11.42578125" style="3" bestFit="1" customWidth="1"/>
    <col min="59" max="59" width="9.140625" style="3" bestFit="1" customWidth="1"/>
    <col min="60" max="60" width="9.7109375" style="3" bestFit="1" customWidth="1"/>
    <col min="61" max="61" width="11.42578125" style="3" bestFit="1" customWidth="1"/>
    <col min="62" max="62" width="10.7109375" style="3" bestFit="1" customWidth="1"/>
    <col min="63" max="63" width="12" style="3" bestFit="1" customWidth="1"/>
    <col min="64" max="64" width="12.85546875" style="3" bestFit="1" customWidth="1"/>
    <col min="65" max="67" width="13.140625" style="3" bestFit="1" customWidth="1"/>
    <col min="68" max="68" width="17" style="3" bestFit="1" customWidth="1"/>
    <col min="69" max="69" width="13.42578125" style="3" bestFit="1" customWidth="1"/>
    <col min="70" max="70" width="14" style="3" bestFit="1" customWidth="1"/>
    <col min="71" max="71" width="14.7109375" style="3" bestFit="1" customWidth="1"/>
    <col min="72" max="72" width="15.28515625" style="3" bestFit="1" customWidth="1"/>
    <col min="73" max="73" width="16.28515625" style="3" bestFit="1" customWidth="1"/>
    <col min="74" max="74" width="13.5703125" style="3" bestFit="1" customWidth="1"/>
    <col min="75" max="75" width="14.28515625" style="3" bestFit="1" customWidth="1"/>
    <col min="76" max="76" width="16.28515625" style="3" bestFit="1" customWidth="1"/>
    <col min="77" max="77" width="15.28515625" style="3" bestFit="1" customWidth="1"/>
    <col min="78" max="78" width="17" style="3" bestFit="1" customWidth="1"/>
    <col min="79" max="81" width="13.5703125" style="3" bestFit="1" customWidth="1"/>
    <col min="82" max="82" width="17.5703125" style="3" bestFit="1" customWidth="1"/>
    <col min="83" max="83" width="14" style="3" bestFit="1" customWidth="1"/>
    <col min="84" max="84" width="14.5703125" style="3" bestFit="1" customWidth="1"/>
    <col min="85" max="85" width="15.28515625" style="3" bestFit="1" customWidth="1"/>
    <col min="86" max="86" width="15.85546875" style="3" bestFit="1" customWidth="1"/>
    <col min="87" max="87" width="16.85546875" style="3" bestFit="1" customWidth="1"/>
    <col min="88" max="88" width="14" style="3" bestFit="1" customWidth="1"/>
    <col min="89" max="89" width="14.85546875" style="3" bestFit="1" customWidth="1"/>
    <col min="90" max="90" width="16.85546875" style="3" bestFit="1" customWidth="1"/>
    <col min="91" max="91" width="15.85546875" style="3" bestFit="1" customWidth="1"/>
    <col min="92" max="92" width="17.5703125" style="3" bestFit="1" customWidth="1"/>
    <col min="93" max="93" width="13.5703125" style="3" bestFit="1" customWidth="1"/>
    <col min="94" max="94" width="14.7109375" style="3" bestFit="1" customWidth="1"/>
    <col min="95" max="95" width="15" style="3" bestFit="1" customWidth="1"/>
    <col min="96" max="96" width="16" style="3" bestFit="1" customWidth="1"/>
    <col min="97" max="97" width="19.140625" style="3" bestFit="1" customWidth="1"/>
    <col min="98" max="98" width="15.28515625" style="3" bestFit="1" customWidth="1"/>
    <col min="99" max="99" width="16" style="3" bestFit="1" customWidth="1"/>
    <col min="100" max="100" width="16.28515625" style="3" bestFit="1" customWidth="1"/>
    <col min="101" max="101" width="17" style="3" bestFit="1" customWidth="1"/>
    <col min="102" max="102" width="18.140625" style="3" bestFit="1" customWidth="1"/>
    <col min="103" max="103" width="15.140625" style="3" bestFit="1" customWidth="1"/>
    <col min="104" max="104" width="16" style="3" bestFit="1" customWidth="1"/>
    <col min="105" max="105" width="17.85546875" style="3" bestFit="1" customWidth="1"/>
    <col min="106" max="106" width="17.140625" style="3" bestFit="1" customWidth="1"/>
    <col min="107" max="107" width="18.85546875" style="3" bestFit="1" customWidth="1"/>
    <col min="108" max="109" width="10.42578125" style="2" bestFit="1" customWidth="1"/>
    <col min="110" max="110" width="11.28515625" style="2" bestFit="1" customWidth="1"/>
    <col min="111" max="111" width="13.85546875" style="2" bestFit="1" customWidth="1"/>
    <col min="112" max="112" width="10.85546875" style="2" bestFit="1" customWidth="1"/>
    <col min="113" max="113" width="11.42578125" style="2" bestFit="1" customWidth="1"/>
    <col min="114" max="114" width="11.85546875" style="2" bestFit="1" customWidth="1"/>
    <col min="115" max="115" width="12.28515625" style="2" bestFit="1" customWidth="1"/>
    <col min="116" max="116" width="13.140625" style="2" bestFit="1" customWidth="1"/>
    <col min="117" max="117" width="10.85546875" style="2" bestFit="1" customWidth="1"/>
    <col min="118" max="118" width="11.42578125" style="2" bestFit="1" customWidth="1"/>
    <col min="119" max="119" width="13.140625" style="2" bestFit="1" customWidth="1"/>
    <col min="120" max="120" width="12.28515625" style="2" bestFit="1" customWidth="1"/>
    <col min="121" max="121" width="13.85546875" style="2" bestFit="1" customWidth="1"/>
    <col min="122" max="122" width="14.7109375" style="3" bestFit="1" customWidth="1"/>
    <col min="123" max="124" width="15.140625" style="3" bestFit="1" customWidth="1"/>
    <col min="125" max="125" width="16.28515625" style="3" bestFit="1" customWidth="1"/>
    <col min="126" max="126" width="19" style="3" bestFit="1" customWidth="1"/>
    <col min="127" max="127" width="15.5703125" style="3" bestFit="1" customWidth="1"/>
    <col min="128" max="128" width="16.140625" style="3" bestFit="1" customWidth="1"/>
    <col min="129" max="129" width="16.7109375" style="3" bestFit="1" customWidth="1"/>
    <col min="130" max="130" width="17.28515625" style="3" bestFit="1" customWidth="1"/>
    <col min="131" max="131" width="18.28515625" style="3" bestFit="1" customWidth="1"/>
    <col min="132" max="132" width="15.5703125" style="3" bestFit="1" customWidth="1"/>
    <col min="133" max="133" width="16.28515625" style="3" bestFit="1" customWidth="1"/>
    <col min="134" max="134" width="18.28515625" style="3" bestFit="1" customWidth="1"/>
    <col min="135" max="135" width="17.28515625" style="3" bestFit="1" customWidth="1"/>
    <col min="136" max="136" width="19" style="3" bestFit="1" customWidth="1"/>
    <col min="137" max="138" width="15.7109375" style="17" bestFit="1" customWidth="1"/>
    <col min="139" max="139" width="16.85546875" style="17" bestFit="1" customWidth="1"/>
    <col min="140" max="140" width="19.5703125" style="17" bestFit="1" customWidth="1"/>
    <col min="141" max="141" width="16" style="17" bestFit="1" customWidth="1"/>
    <col min="142" max="142" width="16.7109375" style="17" bestFit="1" customWidth="1"/>
    <col min="143" max="143" width="17.28515625" style="17" bestFit="1" customWidth="1"/>
    <col min="144" max="144" width="17.85546875" style="17" bestFit="1" customWidth="1"/>
    <col min="145" max="145" width="18.85546875" style="17" bestFit="1" customWidth="1"/>
    <col min="146" max="146" width="16.140625" style="17" bestFit="1" customWidth="1"/>
    <col min="147" max="147" width="16.85546875" style="17" bestFit="1" customWidth="1"/>
    <col min="148" max="148" width="18.85546875" style="17" bestFit="1" customWidth="1"/>
    <col min="149" max="149" width="17.85546875" style="17" bestFit="1" customWidth="1"/>
    <col min="150" max="150" width="19.5703125" style="17" bestFit="1" customWidth="1"/>
    <col min="151" max="151" width="15.5703125" style="3" bestFit="1" customWidth="1"/>
    <col min="152" max="152" width="12.28515625" style="3" bestFit="1" customWidth="1"/>
    <col min="153" max="153" width="12.5703125" style="3" bestFit="1" customWidth="1"/>
    <col min="154" max="154" width="12.140625" style="3" bestFit="1" customWidth="1"/>
    <col min="155" max="155" width="12.5703125" style="3" bestFit="1" customWidth="1"/>
    <col min="156" max="156" width="12.85546875" style="3" bestFit="1" customWidth="1"/>
    <col min="157" max="157" width="13.140625" style="3" bestFit="1" customWidth="1"/>
    <col min="158" max="158" width="13.42578125" style="3" bestFit="1" customWidth="1"/>
    <col min="159" max="159" width="13" style="3" bestFit="1" customWidth="1"/>
    <col min="160" max="16384" width="15.5703125" style="3"/>
  </cols>
  <sheetData>
    <row r="1" spans="1:159" s="14" customFormat="1" x14ac:dyDescent="0.2">
      <c r="A1" s="78" t="s">
        <v>51</v>
      </c>
      <c r="B1" s="79" t="s">
        <v>350</v>
      </c>
      <c r="C1" s="64" t="s">
        <v>1265</v>
      </c>
      <c r="D1" s="64" t="s">
        <v>1266</v>
      </c>
      <c r="E1" s="64" t="s">
        <v>1267</v>
      </c>
      <c r="F1" s="64" t="s">
        <v>1268</v>
      </c>
      <c r="G1" s="64" t="s">
        <v>1269</v>
      </c>
      <c r="H1" s="64" t="s">
        <v>1270</v>
      </c>
      <c r="I1" s="64" t="s">
        <v>1271</v>
      </c>
      <c r="J1" s="64" t="s">
        <v>1272</v>
      </c>
      <c r="K1" s="64" t="s">
        <v>1273</v>
      </c>
      <c r="L1" s="64" t="s">
        <v>1274</v>
      </c>
      <c r="M1" s="64" t="s">
        <v>1275</v>
      </c>
      <c r="N1" s="118" t="s">
        <v>1303</v>
      </c>
      <c r="O1" s="118" t="s">
        <v>1304</v>
      </c>
      <c r="P1" s="118" t="s">
        <v>1305</v>
      </c>
      <c r="Q1" s="118" t="s">
        <v>1306</v>
      </c>
      <c r="R1" s="118" t="s">
        <v>1307</v>
      </c>
      <c r="S1" s="118" t="s">
        <v>1308</v>
      </c>
      <c r="T1" s="118" t="s">
        <v>1309</v>
      </c>
      <c r="U1" s="118" t="s">
        <v>1310</v>
      </c>
      <c r="V1" s="118" t="s">
        <v>1311</v>
      </c>
      <c r="W1" s="118" t="s">
        <v>1312</v>
      </c>
      <c r="X1" s="118" t="s">
        <v>1313</v>
      </c>
      <c r="Y1" s="119" t="s">
        <v>1314</v>
      </c>
      <c r="Z1" s="119" t="s">
        <v>1315</v>
      </c>
      <c r="AA1" s="119" t="s">
        <v>1316</v>
      </c>
      <c r="AB1" s="119" t="s">
        <v>1317</v>
      </c>
      <c r="AC1" s="119" t="s">
        <v>1318</v>
      </c>
      <c r="AD1" s="119" t="s">
        <v>1319</v>
      </c>
      <c r="AE1" s="119" t="s">
        <v>1320</v>
      </c>
      <c r="AF1" s="119" t="s">
        <v>1321</v>
      </c>
      <c r="AG1" s="119" t="s">
        <v>1322</v>
      </c>
      <c r="AH1" s="119" t="s">
        <v>1323</v>
      </c>
      <c r="AI1" s="119" t="s">
        <v>1324</v>
      </c>
      <c r="AJ1" s="64" t="s">
        <v>1169</v>
      </c>
      <c r="AK1" s="64" t="s">
        <v>1170</v>
      </c>
      <c r="AL1" s="65" t="s">
        <v>1171</v>
      </c>
      <c r="AM1" s="64" t="s">
        <v>1175</v>
      </c>
      <c r="AN1" s="64" t="s">
        <v>1181</v>
      </c>
      <c r="AO1" s="64" t="s">
        <v>1178</v>
      </c>
      <c r="AP1" s="64" t="s">
        <v>1179</v>
      </c>
      <c r="AQ1" s="64" t="s">
        <v>1180</v>
      </c>
      <c r="AR1" s="64" t="s">
        <v>1176</v>
      </c>
      <c r="AS1" s="64" t="s">
        <v>1177</v>
      </c>
      <c r="AT1" s="64" t="s">
        <v>1276</v>
      </c>
      <c r="AU1" s="64" t="s">
        <v>1278</v>
      </c>
      <c r="AV1" s="64" t="s">
        <v>1277</v>
      </c>
      <c r="AW1" s="64" t="s">
        <v>1279</v>
      </c>
      <c r="AX1" s="38" t="s">
        <v>1182</v>
      </c>
      <c r="AY1" s="38" t="s">
        <v>1183</v>
      </c>
      <c r="AZ1" s="38" t="s">
        <v>1184</v>
      </c>
      <c r="BA1" s="38" t="s">
        <v>1185</v>
      </c>
      <c r="BB1" s="38" t="s">
        <v>1191</v>
      </c>
      <c r="BC1" s="38" t="s">
        <v>1188</v>
      </c>
      <c r="BD1" s="38" t="s">
        <v>1189</v>
      </c>
      <c r="BE1" s="38" t="s">
        <v>1190</v>
      </c>
      <c r="BF1" s="38" t="s">
        <v>1186</v>
      </c>
      <c r="BG1" s="38" t="s">
        <v>1187</v>
      </c>
      <c r="BH1" s="38" t="s">
        <v>1280</v>
      </c>
      <c r="BI1" s="38" t="s">
        <v>1282</v>
      </c>
      <c r="BJ1" s="38" t="s">
        <v>1281</v>
      </c>
      <c r="BK1" s="38" t="s">
        <v>1283</v>
      </c>
      <c r="BL1" s="64" t="s">
        <v>1172</v>
      </c>
      <c r="BM1" s="118" t="s">
        <v>1225</v>
      </c>
      <c r="BN1" s="118" t="s">
        <v>1226</v>
      </c>
      <c r="BO1" s="118" t="s">
        <v>1227</v>
      </c>
      <c r="BP1" s="118" t="s">
        <v>1228</v>
      </c>
      <c r="BQ1" s="118" t="s">
        <v>1330</v>
      </c>
      <c r="BR1" s="118" t="s">
        <v>1327</v>
      </c>
      <c r="BS1" s="118" t="s">
        <v>1328</v>
      </c>
      <c r="BT1" s="118" t="s">
        <v>1329</v>
      </c>
      <c r="BU1" s="118" t="s">
        <v>1325</v>
      </c>
      <c r="BV1" s="118" t="s">
        <v>1326</v>
      </c>
      <c r="BW1" s="118" t="s">
        <v>1331</v>
      </c>
      <c r="BX1" s="118" t="s">
        <v>1333</v>
      </c>
      <c r="BY1" s="118" t="s">
        <v>1332</v>
      </c>
      <c r="BZ1" s="118" t="s">
        <v>1334</v>
      </c>
      <c r="CA1" s="119" t="s">
        <v>1229</v>
      </c>
      <c r="CB1" s="119" t="s">
        <v>1230</v>
      </c>
      <c r="CC1" s="119" t="s">
        <v>1231</v>
      </c>
      <c r="CD1" s="119" t="s">
        <v>1232</v>
      </c>
      <c r="CE1" s="119" t="s">
        <v>1340</v>
      </c>
      <c r="CF1" s="119" t="s">
        <v>1337</v>
      </c>
      <c r="CG1" s="119" t="s">
        <v>1338</v>
      </c>
      <c r="CH1" s="119" t="s">
        <v>1339</v>
      </c>
      <c r="CI1" s="119" t="s">
        <v>1335</v>
      </c>
      <c r="CJ1" s="119" t="s">
        <v>1336</v>
      </c>
      <c r="CK1" s="119" t="s">
        <v>1341</v>
      </c>
      <c r="CL1" s="119" t="s">
        <v>1343</v>
      </c>
      <c r="CM1" s="119" t="s">
        <v>1342</v>
      </c>
      <c r="CN1" s="119" t="s">
        <v>1344</v>
      </c>
      <c r="CO1" s="119" t="s">
        <v>1233</v>
      </c>
      <c r="CP1" s="64" t="s">
        <v>1284</v>
      </c>
      <c r="CQ1" s="64" t="s">
        <v>1285</v>
      </c>
      <c r="CR1" s="64" t="s">
        <v>1286</v>
      </c>
      <c r="CS1" s="64" t="s">
        <v>1287</v>
      </c>
      <c r="CT1" s="64" t="s">
        <v>1293</v>
      </c>
      <c r="CU1" s="64" t="s">
        <v>1290</v>
      </c>
      <c r="CV1" s="64" t="s">
        <v>1291</v>
      </c>
      <c r="CW1" s="64" t="s">
        <v>1292</v>
      </c>
      <c r="CX1" s="64" t="s">
        <v>1288</v>
      </c>
      <c r="CY1" s="64" t="s">
        <v>1289</v>
      </c>
      <c r="CZ1" s="64" t="s">
        <v>1294</v>
      </c>
      <c r="DA1" s="64" t="s">
        <v>1296</v>
      </c>
      <c r="DB1" s="64" t="s">
        <v>1295</v>
      </c>
      <c r="DC1" s="64" t="s">
        <v>1297</v>
      </c>
      <c r="DD1" s="38" t="s">
        <v>1192</v>
      </c>
      <c r="DE1" s="38" t="s">
        <v>1193</v>
      </c>
      <c r="DF1" s="38" t="s">
        <v>1194</v>
      </c>
      <c r="DG1" s="38" t="s">
        <v>1195</v>
      </c>
      <c r="DH1" s="38" t="s">
        <v>1201</v>
      </c>
      <c r="DI1" s="38" t="s">
        <v>1198</v>
      </c>
      <c r="DJ1" s="38" t="s">
        <v>1199</v>
      </c>
      <c r="DK1" s="38" t="s">
        <v>1200</v>
      </c>
      <c r="DL1" s="38" t="s">
        <v>1196</v>
      </c>
      <c r="DM1" s="38" t="s">
        <v>1197</v>
      </c>
      <c r="DN1" s="38" t="s">
        <v>1298</v>
      </c>
      <c r="DO1" s="38" t="s">
        <v>1300</v>
      </c>
      <c r="DP1" s="38" t="s">
        <v>1299</v>
      </c>
      <c r="DQ1" s="38" t="s">
        <v>1301</v>
      </c>
      <c r="DR1" s="64" t="s">
        <v>1302</v>
      </c>
      <c r="DS1" s="118" t="s">
        <v>1345</v>
      </c>
      <c r="DT1" s="118" t="s">
        <v>1346</v>
      </c>
      <c r="DU1" s="118" t="s">
        <v>1347</v>
      </c>
      <c r="DV1" s="118" t="s">
        <v>1348</v>
      </c>
      <c r="DW1" s="118" t="s">
        <v>1349</v>
      </c>
      <c r="DX1" s="118" t="s">
        <v>1350</v>
      </c>
      <c r="DY1" s="118" t="s">
        <v>1351</v>
      </c>
      <c r="DZ1" s="118" t="s">
        <v>1352</v>
      </c>
      <c r="EA1" s="118" t="s">
        <v>1353</v>
      </c>
      <c r="EB1" s="118" t="s">
        <v>1354</v>
      </c>
      <c r="EC1" s="118" t="s">
        <v>1355</v>
      </c>
      <c r="ED1" s="118" t="s">
        <v>1356</v>
      </c>
      <c r="EE1" s="118" t="s">
        <v>1357</v>
      </c>
      <c r="EF1" s="118" t="s">
        <v>1358</v>
      </c>
      <c r="EG1" s="119" t="s">
        <v>1359</v>
      </c>
      <c r="EH1" s="119" t="s">
        <v>1360</v>
      </c>
      <c r="EI1" s="119" t="s">
        <v>1361</v>
      </c>
      <c r="EJ1" s="119" t="s">
        <v>1362</v>
      </c>
      <c r="EK1" s="119" t="s">
        <v>1363</v>
      </c>
      <c r="EL1" s="119" t="s">
        <v>1364</v>
      </c>
      <c r="EM1" s="119" t="s">
        <v>1365</v>
      </c>
      <c r="EN1" s="119" t="s">
        <v>1366</v>
      </c>
      <c r="EO1" s="119" t="s">
        <v>1367</v>
      </c>
      <c r="EP1" s="119" t="s">
        <v>1368</v>
      </c>
      <c r="EQ1" s="119" t="s">
        <v>1369</v>
      </c>
      <c r="ER1" s="119" t="s">
        <v>1370</v>
      </c>
      <c r="ES1" s="119" t="s">
        <v>1371</v>
      </c>
      <c r="ET1" s="119" t="s">
        <v>1372</v>
      </c>
      <c r="EU1" s="119" t="s">
        <v>1373</v>
      </c>
      <c r="EV1" s="64" t="s">
        <v>1209</v>
      </c>
      <c r="EW1" s="64" t="s">
        <v>1210</v>
      </c>
      <c r="EX1" s="64" t="s">
        <v>1211</v>
      </c>
      <c r="EY1" s="118" t="s">
        <v>1244</v>
      </c>
      <c r="EZ1" s="118" t="s">
        <v>1245</v>
      </c>
      <c r="FA1" s="119" t="s">
        <v>1246</v>
      </c>
      <c r="FB1" s="119" t="s">
        <v>1247</v>
      </c>
      <c r="FC1" s="119" t="s">
        <v>1248</v>
      </c>
    </row>
    <row r="2" spans="1:159" customFormat="1" x14ac:dyDescent="0.25">
      <c r="A2" s="44" t="s">
        <v>12</v>
      </c>
      <c r="B2" s="42" t="s">
        <v>1074</v>
      </c>
      <c r="C2" s="15">
        <f>s_dir!AB2</f>
        <v>0.33474147915564806</v>
      </c>
      <c r="D2" s="15">
        <f>IFERROR(s_TR/(s_RadSpec!E2*s_IFP_far_adj*s_CF_far_poultry),".")</f>
        <v>1.3389659166225922</v>
      </c>
      <c r="E2" s="15">
        <f>IFERROR(s_TR/(s_RadSpec!E2*s_IFE_far_adj*s_CF_far_egg),".")</f>
        <v>1.3389659166225922</v>
      </c>
      <c r="F2" s="15">
        <f>IFERROR(s_TR/(s_RadSpec!E2*s_IFB_far_adj*s_CF_far_beef),".")</f>
        <v>1.3389659166225922</v>
      </c>
      <c r="G2" s="15">
        <f>IFERROR(s_TR/(s_RadSpec!E2*s_IFD_far_adj*s_CF_far_dairy),".")</f>
        <v>1.3389659166225922</v>
      </c>
      <c r="H2" s="15">
        <f>IFERROR(s_TR/(s_RadSpec!E2*s_IFSW_far_adj*s_CF_far_swine),".")</f>
        <v>1.3389659166225922</v>
      </c>
      <c r="I2" s="15">
        <f>IFERROR(s_TR/(s_RadSpec!E2*s_IFFI_far_adj*s_CF_far_fish),".")</f>
        <v>1.3389659166225922</v>
      </c>
      <c r="J2" s="15">
        <f>IFERROR(s_TR/(s_RadSpec!E2*s_IFGO_far_adj*s_CF_far_goat),".")</f>
        <v>1.3389659166225922</v>
      </c>
      <c r="K2" s="15">
        <f>IFERROR(s_TR/(s_RadSpec!E2*s_IFSH_far_adj*s_CF_far_sheep),".")</f>
        <v>1.3389659166225922</v>
      </c>
      <c r="L2" s="15">
        <f>IFERROR(s_TR/(s_RadSpec!E2*s_IFGM_far_adj*s_CF_far_goat_milk),".")</f>
        <v>1.3389659166225922</v>
      </c>
      <c r="M2" s="15">
        <f>IFERROR(s_TR/(s_RadSpec!E2*s_IFSM_far_adj*s_CF_far_sheep_milk),".")</f>
        <v>1.3389659166225922</v>
      </c>
      <c r="N2" s="40">
        <f>s_dir!BA2</f>
        <v>55000</v>
      </c>
      <c r="O2" s="40">
        <f t="shared" ref="O2:O30" si="0">IFERROR(s_C*s_IFP_far_adj*s_CF_far_poultry,".")</f>
        <v>13750</v>
      </c>
      <c r="P2" s="40">
        <f t="shared" ref="P2:P30" si="1">IFERROR(s_C*s_IFE_far_adj*s_CF_far_egg,".")</f>
        <v>13750</v>
      </c>
      <c r="Q2" s="40">
        <f t="shared" ref="Q2:Q30" si="2">IFERROR(s_C*s_IFB_far_adj*s_CF_far_beef,".")</f>
        <v>13750</v>
      </c>
      <c r="R2" s="40">
        <f t="shared" ref="R2:R30" si="3">IFERROR(s_C*s_IFD_far_adj*s_CF_far_dairy,".")</f>
        <v>13750</v>
      </c>
      <c r="S2" s="40">
        <f t="shared" ref="S2:S30" si="4">IFERROR(s_C*s_IFS_far_adj*s_CF_far_swine,".")</f>
        <v>13750</v>
      </c>
      <c r="T2" s="40">
        <f t="shared" ref="T2:T30" si="5">IFERROR(s_C*s_IFFI_far_adj*s_CF_far_fish,".")</f>
        <v>13750</v>
      </c>
      <c r="U2" s="40">
        <f t="shared" ref="U2:U30" si="6">IFERROR(s_C*s_IFGO_far_adj*s_CF_far_goat,".")</f>
        <v>13750</v>
      </c>
      <c r="V2" s="40">
        <f t="shared" ref="V2:V30" si="7">IFERROR(s_C*s_IFSH_far_adj*s_CF_far_sheep,".")</f>
        <v>13750</v>
      </c>
      <c r="W2" s="40">
        <f t="shared" ref="W2:W30" si="8">IFERROR(s_C*s_IFGM_far_adj*s_CF_far_goat_milk,".")</f>
        <v>13750</v>
      </c>
      <c r="X2" s="40">
        <f t="shared" ref="X2:X30" si="9">IFERROR(s_C*s_IFSM_far_adj*s_CF_far_sheep_milk,".")</f>
        <v>13750</v>
      </c>
      <c r="Y2" s="5"/>
      <c r="Z2" s="5"/>
      <c r="AA2" s="5"/>
      <c r="AB2" s="5"/>
      <c r="AC2" s="5"/>
      <c r="AD2" s="5"/>
      <c r="AE2" s="5"/>
      <c r="AF2" s="5"/>
      <c r="AG2" s="5"/>
      <c r="AH2" s="5"/>
      <c r="AI2" s="5"/>
      <c r="AJ2" s="45">
        <f>IFERROR((s_TR/(s_RadSpec!D2*s_IFS_far_adj*(1/1000)))*1,".")</f>
        <v>372.27309954582682</v>
      </c>
      <c r="AK2" s="45">
        <f>IFERROR(IF(A2="H-3",(s_TR/(s_RadSpec!G2*s_IFA_far_adj*(1/17)*1000))*1,(s_TR/(s_RadSpec!G2*s_IFA_far_adj*(1/s_PEF_wind)*1000))*1),".")</f>
        <v>59497.81128319577</v>
      </c>
      <c r="AL2" s="45">
        <f>IFERROR((s_TR/(s_RadSpec!F2*s_EF_far*(1/365)*s_ED_far*s_RadSpec!Q2*((s_ET_far_o*(1/24)*s_RadSpec!V2)+(s_ET_far_i*(1/24)*s_RadSpec!AA2))))*1,".")</f>
        <v>9401.4647853042625</v>
      </c>
      <c r="AM2" s="45">
        <f>s_b2s!BA2</f>
        <v>23.085619252113659</v>
      </c>
      <c r="AN2" s="45">
        <f>IFERROR(((I2*s_RadSpec!AS2)/s_RadSpec!AI2)*1,".")</f>
        <v>151.74947055056046</v>
      </c>
      <c r="AO2" s="45">
        <f>IFERROR((F2/(s_RadSpec!AH2*((s_Q_p_beef*s_f_p_beef*s_f_s_beef*(s_RadSpec!BB2+s_R_es_past))+(s_Q_s_beef*s_f_p_beef))))*1,".")</f>
        <v>669.4829583112961</v>
      </c>
      <c r="AP2" s="45">
        <f>IFERROR(((G2*s_D_milk)/(s_RadSpec!AG2*((s_Q_p_dairy*s_f_p_dairy*s_f_s_dairy*(s_RadSpec!BB2+s_R_es_past))+(s_Q_s_dairy*s_f_p_dairy))))*1,".")</f>
        <v>6895.674470606351</v>
      </c>
      <c r="AQ2" s="45" t="str">
        <f>IFERROR((H2/(s_RadSpec!AL2*((s_Q_p_swine*s_f_p_swine*s_f_s_swine*(s_RadSpec!BB2+s_R_es_past))+(s_Q_s_swine*s_f_p_swine))))*1,".")</f>
        <v>.</v>
      </c>
      <c r="AR2" s="45" t="str">
        <f>IFERROR((D2/(s_RadSpec!AJ2*((s_Q_p_poultry*s_f_p_poultry*s_f_s_poultry*(s_RadSpec!BB2+s_R_es_past))+(s_Q_s_poultry*s_f_p_poultry))))*1,".")</f>
        <v>.</v>
      </c>
      <c r="AS2" s="45" t="str">
        <f>IFERROR((E2/(s_RadSpec!AK2*((s_Q_p_poultry*s_f_p_poultry*s_f_s_poultry*(s_RadSpec!BB2+s_R_es_past))+(s_Q_s_poultry*s_f_p_poultry))))*1,".")</f>
        <v>.</v>
      </c>
      <c r="AT2" s="45" t="str">
        <f>IFERROR((J2/(s_RadSpec!AO2*((s_Q_p_goat*s_f_p_goat*s_f_s_goat*(s_RadSpec!BB2+s_R_es_past))+(s_Q_s_goat*s_f_p_goat))))*1,".")</f>
        <v>.</v>
      </c>
      <c r="AU2" s="45" t="str">
        <f>IFERROR((L2*s_D_milk/(s_RadSpec!AP2*((s_Q_p_goat_milk*s_f_p_goat_milk*s_f_s_goat_milk*(s_RadSpec!BB2+s_R_es_past))+(s_Q_s_goat_milk*s_f_p_goat_milk))))*1,".")</f>
        <v>.</v>
      </c>
      <c r="AV2" s="45" t="str">
        <f>IFERROR((K2/(s_RadSpec!AM2*((s_Q_p_sheep*s_f_p_sheep*s_f_s_sheep*(s_RadSpec!BB2+s_R_es_past))+(s_Q_s_sheep*s_f_p_sheep))))*1,".")</f>
        <v>.</v>
      </c>
      <c r="AW2" s="45" t="str">
        <f>IFERROR((M2*s_D_milk/(s_RadSpec!AN2*((s_Q_p_sheep_milk*s_f_p_sheep_milk*s_f_s_sheep_milk*(s_RadSpec!BB2+s_R_es_past))+(s_Q_s_sheep_milk*s_f_p_sheep_milk))))*1,".")</f>
        <v>.</v>
      </c>
      <c r="AX2" s="120">
        <f t="shared" ref="AX2:AX30" si="10">IFERROR(1/AJ2,".")</f>
        <v>2.6862000000000001E-3</v>
      </c>
      <c r="AY2" s="120">
        <f t="shared" ref="AY2:AY30" si="11">IFERROR(1/AK2,".")</f>
        <v>1.680734094974069E-5</v>
      </c>
      <c r="AZ2" s="120">
        <f t="shared" ref="AZ2:AZ30" si="12">IFERROR(1/AL2,".")</f>
        <v>1.0636640383561641E-4</v>
      </c>
      <c r="BA2" s="120">
        <f t="shared" ref="BA2:BA30" si="13">IFERROR(1/AM2,".")</f>
        <v>4.3317010000000003E-2</v>
      </c>
      <c r="BB2" s="120">
        <f t="shared" ref="BB2:BB30" si="14">IFERROR(1/AN2,".")</f>
        <v>6.5898088235294121E-3</v>
      </c>
      <c r="BC2" s="120">
        <f t="shared" ref="BC2:BC30" si="15">IFERROR(1/AO2,".")</f>
        <v>1.4936900000000002E-3</v>
      </c>
      <c r="BD2" s="120">
        <f t="shared" ref="BD2:BD30" si="16">IFERROR(1/AP2,".")</f>
        <v>1.4501844660194175E-4</v>
      </c>
      <c r="BE2" s="120" t="str">
        <f t="shared" ref="BE2:BE30" si="17">IFERROR(1/AQ2,".")</f>
        <v>.</v>
      </c>
      <c r="BF2" s="120" t="str">
        <f t="shared" ref="BF2:BF30" si="18">IFERROR(1/AR2,".")</f>
        <v>.</v>
      </c>
      <c r="BG2" s="120" t="str">
        <f t="shared" ref="BG2:BG30" si="19">IFERROR(1/AS2,".")</f>
        <v>.</v>
      </c>
      <c r="BH2" s="120" t="str">
        <f t="shared" ref="BH2:BH30" si="20">IFERROR(1/AT2,".")</f>
        <v>.</v>
      </c>
      <c r="BI2" s="120" t="str">
        <f t="shared" ref="BI2:BI30" si="21">IFERROR(1/AU2,".")</f>
        <v>.</v>
      </c>
      <c r="BJ2" s="120" t="str">
        <f t="shared" ref="BJ2:BJ30" si="22">IFERROR(1/AV2,".")</f>
        <v>.</v>
      </c>
      <c r="BK2" s="120" t="str">
        <f t="shared" ref="BK2:BK30" si="23">IFERROR(1/AW2,".")</f>
        <v>.</v>
      </c>
      <c r="BL2" s="15">
        <f t="shared" ref="BL2:BL30" si="24">IFERROR(1/(SUMIF(AX2:BK2,"&lt;&gt;0")),".")</f>
        <v>18.397605024164577</v>
      </c>
      <c r="BM2" s="40">
        <f t="shared" ref="BM2:BM30" si="25">IFERROR(s_C*s_IFS_far_adj*(1/1000),".")</f>
        <v>27.5</v>
      </c>
      <c r="BN2" s="40">
        <f t="shared" ref="BN2:BN30" si="26">IFERROR(s_C*s_IFA_far_adj*(1/s_PEF_wind)*1000,".")</f>
        <v>2.9420495991003873E-3</v>
      </c>
      <c r="BO2" s="40">
        <f>IFERROR((s_C*s_EF_far*(1/365)*s_ED_far*s_RadSpec!Q2*((s_ET_far_o*(1/24)*s_RadSpec!V2)+(s_ET_far_i*(1/24)*s_RadSpec!AA2))),".")</f>
        <v>1.2903100624781711E-2</v>
      </c>
      <c r="BP2" s="40">
        <f>s_b2s!BZ2</f>
        <v>797.5</v>
      </c>
      <c r="BQ2" s="40">
        <f>IFERROR(((s_C*s_RadSpec!AI2)/s_RadSpec!AS2)*s_IFFI_far_adj*s_CF_far_fish,0)</f>
        <v>121.32352941176471</v>
      </c>
      <c r="BR2" s="40">
        <f>(s_C*s_IFB_far_adj*s_CF_far_beef*s_RadSpec!AH2*((s_Q_p_beef*s_f_p_beef*s_f_s_beef*(s_RadSpec!$AR2+s_R_es_past))+(s_Q_s_beef*s_f_p_beef)))</f>
        <v>27.500000000000004</v>
      </c>
      <c r="BS2" s="40">
        <f>(s_C*s_IFD_far_adj*s_CF_far_dairy*s_RadSpec!AG2*1/s_D_milk*((s_Q_p_dairy*s_f_p_dairy*s_f_s_dairy*(s_RadSpec!$AR2+s_R_es_past))+(s_Q_s_dairy*s_f_p_dairy)))</f>
        <v>2.6699029126213589</v>
      </c>
      <c r="BT2" s="40">
        <f>(s_C*s_IFSW_far_adj*s_CF_far_swine*s_RadSpec!AL2*((s_Q_p_swine*s_f_p_swine*s_f_s_swine*(s_RadSpec!$AR2+s_R_es_past))+(s_Q_s_swine*s_f_p_swine)))</f>
        <v>0</v>
      </c>
      <c r="BU2" s="40">
        <f>(s_C*s_IFP_far_adj*s_CF_far_poultry*s_RadSpec!AJ2*((s_Q_p_poultry*s_f_p_poultry*s_f_s_poultry*(s_RadSpec!AR2+s_R_es_past))+(s_Q_s_poultry*s_f_p_poultry)))</f>
        <v>0</v>
      </c>
      <c r="BV2" s="40">
        <f>(s_C*s_IFE_far_adj*s_CF_far_egg*s_RadSpec!AK2*((s_Q_p_egg*s_f_p_egg*s_f_s_egg*(s_RadSpec!$AR2+s_R_es_past))+(s_Q_s_egg*s_f_p_egg)))</f>
        <v>0</v>
      </c>
      <c r="BW2" s="40">
        <f>(s_C*s_IFGO_far_adj*s_CF_far_goat*s_RadSpec!AO2*((s_Q_p_goat*s_f_p_goat*s_f_s_goat*(s_RadSpec!$AR2+s_R_es_past))+(s_Q_s_goat*s_f_p_goat)))</f>
        <v>0</v>
      </c>
      <c r="BX2" s="40">
        <f>(s_C*s_IFGM_far_adj*s_CF_far_goat_milk*s_RadSpec!AP2*1/s_D_milk*((s_Q_p_goat_milk*s_f_p_goat_milk*s_f_s_goat_milk*(s_RadSpec!$AR2+s_R_es_past))+(s_Q_s_goat_milk*s_f_p_goat_milk)))</f>
        <v>0</v>
      </c>
      <c r="BY2" s="40">
        <f>(s_C*s_IFSH_far_adj*s_CF_far_sheep*s_RadSpec!AM2*((s_Q_p_sheep*s_f_p_sheep*s_f_s_sheep*(s_RadSpec!$AR2+s_R_es_past))+(s_Q_s_sheep*s_f_p_sheep)))</f>
        <v>0</v>
      </c>
      <c r="BZ2" s="40">
        <f>(s_C*s_IFSM_far_adj*s_CF_far_sheep_milk*s_RadSpec!AN2*1/s_D_milk*((s_Q_p_sheep_milk*s_f_p_sheep_milk*s_f_s_sheep_milk*(s_RadSpec!$AR2+s_R_es_past))+(s_Q_s_sheep_milk*s_f_p_sheep_milk)))</f>
        <v>0</v>
      </c>
      <c r="CA2" s="18"/>
      <c r="CB2" s="18"/>
      <c r="CC2" s="18"/>
      <c r="CD2" s="18"/>
      <c r="CE2" s="18"/>
      <c r="CF2" s="18"/>
      <c r="CG2" s="18"/>
      <c r="CH2" s="18"/>
      <c r="CI2" s="18"/>
      <c r="CJ2" s="18"/>
      <c r="CK2" s="18"/>
      <c r="CL2" s="18"/>
      <c r="CM2" s="18"/>
      <c r="CN2" s="18"/>
      <c r="CO2" s="5"/>
      <c r="CP2" s="15">
        <f>IFERROR(s_TR/(s_RadSpec!H2*s_IFW_far_adj),".")</f>
        <v>10.57809276987359</v>
      </c>
      <c r="CQ2" s="15" t="str">
        <f>IFERROR(IF(s_RadSpec!C2=1,s_TR/(s_RadSpec!G2*s_IFA_far_adj*s_K),"."),".")</f>
        <v>.</v>
      </c>
      <c r="CR2" s="15">
        <f>IFERROR((s_TR/(s_RadSpec!L2*(1/8760)*s_DFA_far_adj)),".")</f>
        <v>191974639.16767657</v>
      </c>
      <c r="CS2" s="15">
        <f>s_b2w!BA2</f>
        <v>28.140156727716032</v>
      </c>
      <c r="CT2" s="15">
        <f>IFERROR(I2/(s_RadSpec!AI2*(1/1000)),".")</f>
        <v>89.264394441506155</v>
      </c>
      <c r="CU2" s="15">
        <f>IFERROR(F2/(s_RadSpec!AH2*s_Q_w_beef*(1/1000)),".")</f>
        <v>13389659.166225921</v>
      </c>
      <c r="CV2" s="15">
        <f>IFERROR((G2*s_D_milk)/(s_RadSpec!AG2*s_Q_w_dairy*(1/1000)),".")</f>
        <v>137913489.41212702</v>
      </c>
      <c r="CW2" s="15" t="str">
        <f>IFERROR(H2/(s_RadSpec!AL2*s_Q_w_swine*(1/1000)),".")</f>
        <v>.</v>
      </c>
      <c r="CX2" s="15" t="str">
        <f>IFERROR(D2/(s_RadSpec!AJ2*s_Q_w_poultry*(1/1000)),".")</f>
        <v>.</v>
      </c>
      <c r="CY2" s="15" t="str">
        <f>IFERROR(E2/(s_RadSpec!AK2*s_Q_w_poultry*(1/1000)),".")</f>
        <v>.</v>
      </c>
      <c r="CZ2" s="15" t="str">
        <f>IFERROR(J2/(s_RadSpec!AO2*s_Q_w_goat*(1/1000)),".")</f>
        <v>.</v>
      </c>
      <c r="DA2" s="15" t="str">
        <f>IFERROR(L2*s_D_milk/(s_RadSpec!AP2*s_Q_w_goat_milk*(1/1000)),".")</f>
        <v>.</v>
      </c>
      <c r="DB2" s="15" t="str">
        <f>IFERROR(K2/(s_RadSpec!AM2*s_Q_w_sheep*(1/1000)),".")</f>
        <v>.</v>
      </c>
      <c r="DC2" s="15" t="str">
        <f>IFERROR(M2*s_D_milk/(s_RadSpec!AN2*s_Q_w_sheep_milk*(1/1000)),".")</f>
        <v>.</v>
      </c>
      <c r="DD2" s="120">
        <f t="shared" ref="DD2:DD30" si="27">IFERROR(1/CP2,".")</f>
        <v>9.4535000000000008E-2</v>
      </c>
      <c r="DE2" s="120" t="str">
        <f t="shared" ref="DE2:DE30" si="28">IFERROR(1/CQ2,".")</f>
        <v>.</v>
      </c>
      <c r="DF2" s="120">
        <f t="shared" ref="DF2:DF30" si="29">IFERROR(1/CR2,".")</f>
        <v>5.2090213808219175E-9</v>
      </c>
      <c r="DG2" s="120">
        <f t="shared" ref="DG2:DG30" si="30">IFERROR(1/CS2,".")</f>
        <v>3.5536404778267347E-2</v>
      </c>
      <c r="DH2" s="120">
        <f t="shared" ref="DH2:DH30" si="31">IFERROR(1/CT2,".")</f>
        <v>1.1202675E-2</v>
      </c>
      <c r="DI2" s="120">
        <f t="shared" ref="DI2:DI30" si="32">IFERROR(1/CU2,".")</f>
        <v>7.4684500000000009E-8</v>
      </c>
      <c r="DJ2" s="120">
        <f t="shared" ref="DJ2:DJ30" si="33">IFERROR(1/CV2,".")</f>
        <v>7.2509223300970873E-9</v>
      </c>
      <c r="DK2" s="120" t="str">
        <f t="shared" ref="DK2:DK30" si="34">IFERROR(1/CW2,".")</f>
        <v>.</v>
      </c>
      <c r="DL2" s="120" t="str">
        <f t="shared" ref="DL2:DL30" si="35">IFERROR(1/CX2,".")</f>
        <v>.</v>
      </c>
      <c r="DM2" s="120" t="str">
        <f t="shared" ref="DM2:DM30" si="36">IFERROR(1/CY2,".")</f>
        <v>.</v>
      </c>
      <c r="DN2" s="120" t="str">
        <f t="shared" ref="DN2:DN30" si="37">IFERROR(1/CZ2,".")</f>
        <v>.</v>
      </c>
      <c r="DO2" s="120" t="str">
        <f t="shared" ref="DO2:DO30" si="38">IFERROR(1/DA2,".")</f>
        <v>.</v>
      </c>
      <c r="DP2" s="120" t="str">
        <f t="shared" ref="DP2:DP30" si="39">IFERROR(1/DB2,".")</f>
        <v>.</v>
      </c>
      <c r="DQ2" s="120" t="str">
        <f t="shared" ref="DQ2:DQ30" si="40">IFERROR(1/DC2,".")</f>
        <v>.</v>
      </c>
      <c r="DR2" s="15">
        <f t="shared" ref="DR2:DR30" si="41">IFERROR(1/(SUMIF(DD2:DQ2,"&lt;&gt;0")),".")</f>
        <v>7.0784349452018693</v>
      </c>
      <c r="DS2" s="40">
        <f t="shared" ref="DS2:DS30" si="42">IFERROR(s_C*s_IFW_far_adj,".")</f>
        <v>2500</v>
      </c>
      <c r="DT2" s="40">
        <f t="shared" ref="DT2:DT30" si="43">IFERROR(s_C*s_IFA_far_adj*s_K,".")</f>
        <v>455.72916666666663</v>
      </c>
      <c r="DU2" s="40">
        <f t="shared" ref="DU2:DU30" si="44">IFERROR((s_C*s_DFA_far_adj*(1/8760)),".")</f>
        <v>0.22831050228310501</v>
      </c>
      <c r="DV2" s="40">
        <f>s_b2w!BZ2</f>
        <v>654.25297846430772</v>
      </c>
      <c r="DW2" s="40">
        <f>IFERROR(s_C*s_RadSpec!AI2*(1/1000)*s_IFFI_far_adj*s_CF_far_fish,0)</f>
        <v>206.25</v>
      </c>
      <c r="DX2" s="40">
        <f>(s_C*s_IFB_far_adj*s_CF_far_beef*s_RadSpec!AH2*s_Q_w_beef*(1/1000))</f>
        <v>1.3749999999999999E-3</v>
      </c>
      <c r="DY2" s="40">
        <f>(s_C*s_IFD_far_adj*s_CF_far_dairy*s_RadSpec!AG2*(1/s_D_milk)*s_Q_w_dairy*(1/1000))</f>
        <v>1.3349514563106796E-4</v>
      </c>
      <c r="DZ2" s="40">
        <f>(s_C*s_IFSW_far_adj*s_CF_far_swine*s_RadSpec!AL2*s_Q_w_swine*(1/1000))</f>
        <v>0</v>
      </c>
      <c r="EA2" s="40">
        <f>(s_C*s_IFP_far_adj*s_CF_far_poultry*s_RadSpec!AJ2*s_Q_w_poultry*(1/1000))</f>
        <v>0</v>
      </c>
      <c r="EB2" s="40">
        <f>(s_C*s_IFE_far_adj*s_CF_far_egg*s_RadSpec!AK2*s_Q_w_egg*(1/1000))</f>
        <v>0</v>
      </c>
      <c r="EC2" s="40">
        <f>(s_C*s_IFGO_far_adj*s_CF_far_goat*s_RadSpec!AO2*s_Q_p_goat*(1/1000))</f>
        <v>0</v>
      </c>
      <c r="ED2" s="40">
        <f>(s_C*s_IFGM_far_adj*s_CF_far_goat_milk*s_RadSpec!AP2*(1/s_D_milk)*s_Q_p_goat_milk*(1/1000))</f>
        <v>0</v>
      </c>
      <c r="EE2" s="40">
        <f>(s_C*s_IFSH_far_adj*s_CF_far_sheep*s_RadSpec!AM2*s_Q_p_sheep*(1/1000))</f>
        <v>0</v>
      </c>
      <c r="EF2" s="40">
        <f>(s_C*s_IFSM_far_adj*s_CF_far_sheep_milk*s_RadSpec!AN2*(1/s_D_milk)*s_Q_p_sheep_milk*(1/1000))</f>
        <v>0</v>
      </c>
      <c r="EG2" s="18"/>
      <c r="EH2" s="18"/>
      <c r="EI2" s="18"/>
      <c r="EJ2" s="18"/>
      <c r="EK2" s="18"/>
      <c r="EL2" s="18"/>
      <c r="EM2" s="18"/>
      <c r="EN2" s="18"/>
      <c r="EO2" s="18"/>
      <c r="EP2" s="18"/>
      <c r="EQ2" s="18"/>
      <c r="ER2" s="18"/>
      <c r="ES2" s="18"/>
      <c r="ET2" s="18"/>
      <c r="EU2" s="5"/>
      <c r="EV2" s="15">
        <f>IFERROR((s_TR/(s_RadSpec!G2*s_IFA_far_adj)),".")</f>
        <v>0.19204993298257547</v>
      </c>
      <c r="EW2" s="15">
        <f>IFERROR((s_TR/(s_RadSpec!J2*s_EF_far*(1/365)*s_ED_far*s_ET_far*(1/24)*s_GSF_a)),".")</f>
        <v>170121.74373407708</v>
      </c>
      <c r="EX2" s="15">
        <f t="shared" ref="EX2" si="45">IFERROR(IF(AND(ISNUMBER(EV2),ISNUMBER(EW2)),1/((1/EV2)+(1/EW2)),IF(AND(ISNUMBER(EV2),NOT(ISNUMBER(EW2))),1/((1/EV2)),IF(AND(NOT(ISNUMBER(EV2)),ISNUMBER(EW2)),1/((1/EW2)),IF(AND(NOT(ISNUMBER(EV2)),NOT(ISNUMBER(EW2))),".")))),".")</f>
        <v>0.19204971617821928</v>
      </c>
      <c r="EY2" s="40">
        <f t="shared" ref="EY2:EY30" si="46">s_C*s_IFA_far_adj</f>
        <v>911.45833333333326</v>
      </c>
      <c r="EZ2" s="40">
        <f t="shared" ref="EZ2:EZ30" si="47">s_C*s_EF_far*(1/365)*s_ED_far*s_ET_far*(1/24)*s_GSF_a</f>
        <v>0.57077625570776247</v>
      </c>
      <c r="FA2" s="122"/>
      <c r="FB2" s="122"/>
      <c r="FC2" s="122"/>
    </row>
    <row r="3" spans="1:159" x14ac:dyDescent="0.25">
      <c r="A3" s="46" t="s">
        <v>13</v>
      </c>
      <c r="B3" s="42" t="s">
        <v>351</v>
      </c>
      <c r="C3" s="15">
        <f>s_dir!AB3</f>
        <v>0.68061009889264734</v>
      </c>
      <c r="D3" s="15">
        <f>IFERROR(s_TR/(s_RadSpec!E3*s_IFP_far_adj*s_CF_far_poultry),".")</f>
        <v>2.7224403955705894</v>
      </c>
      <c r="E3" s="15">
        <f>IFERROR(s_TR/(s_RadSpec!E3*s_IFE_far_adj*s_CF_far_egg),".")</f>
        <v>2.7224403955705894</v>
      </c>
      <c r="F3" s="15">
        <f>IFERROR(s_TR/(s_RadSpec!E3*s_IFB_far_adj*s_CF_far_beef),".")</f>
        <v>2.7224403955705894</v>
      </c>
      <c r="G3" s="15">
        <f>IFERROR(s_TR/(s_RadSpec!E3*s_IFD_far_adj*s_CF_far_dairy),".")</f>
        <v>2.7224403955705894</v>
      </c>
      <c r="H3" s="15">
        <f>IFERROR(s_TR/(s_RadSpec!E3*s_IFSW_far_adj*s_CF_far_swine),".")</f>
        <v>2.7224403955705894</v>
      </c>
      <c r="I3" s="15">
        <f>IFERROR(s_TR/(s_RadSpec!E3*s_IFFI_far_adj*s_CF_far_fish),".")</f>
        <v>2.7224403955705894</v>
      </c>
      <c r="J3" s="15">
        <f>IFERROR(s_TR/(s_RadSpec!E3*s_IFGO_far_adj*s_CF_far_goat),".")</f>
        <v>2.7224403955705894</v>
      </c>
      <c r="K3" s="15">
        <f>IFERROR(s_TR/(s_RadSpec!E3*s_IFSH_far_adj*s_CF_far_sheep),".")</f>
        <v>2.7224403955705894</v>
      </c>
      <c r="L3" s="15">
        <f>IFERROR(s_TR/(s_RadSpec!E3*s_IFGM_far_adj*s_CF_far_goat_milk),".")</f>
        <v>2.7224403955705894</v>
      </c>
      <c r="M3" s="15">
        <f>IFERROR(s_TR/(s_RadSpec!E3*s_IFSM_far_adj*s_CF_far_sheep_milk),".")</f>
        <v>2.7224403955705894</v>
      </c>
      <c r="N3" s="40">
        <f>s_dir!BA3</f>
        <v>55000</v>
      </c>
      <c r="O3" s="40">
        <f t="shared" si="0"/>
        <v>13750</v>
      </c>
      <c r="P3" s="40">
        <f t="shared" si="1"/>
        <v>13750</v>
      </c>
      <c r="Q3" s="40">
        <f t="shared" si="2"/>
        <v>13750</v>
      </c>
      <c r="R3" s="40">
        <f t="shared" si="3"/>
        <v>13750</v>
      </c>
      <c r="S3" s="40">
        <f t="shared" si="4"/>
        <v>13750</v>
      </c>
      <c r="T3" s="40">
        <f t="shared" si="5"/>
        <v>13750</v>
      </c>
      <c r="U3" s="40">
        <f t="shared" si="6"/>
        <v>13750</v>
      </c>
      <c r="V3" s="40">
        <f t="shared" si="7"/>
        <v>13750</v>
      </c>
      <c r="W3" s="40">
        <f t="shared" si="8"/>
        <v>13750</v>
      </c>
      <c r="X3" s="40">
        <f t="shared" si="9"/>
        <v>13750</v>
      </c>
      <c r="Y3" s="5"/>
      <c r="Z3" s="5"/>
      <c r="AA3" s="5"/>
      <c r="AB3" s="5"/>
      <c r="AC3" s="5"/>
      <c r="AD3" s="5"/>
      <c r="AE3" s="5"/>
      <c r="AF3" s="5"/>
      <c r="AG3" s="5"/>
      <c r="AH3" s="5"/>
      <c r="AI3" s="5"/>
      <c r="AJ3" s="45">
        <f>IFERROR((s_TR/(s_RadSpec!D3*s_IFS_far_adj*(1/1000)))*1,".")</f>
        <v>986.74797469978205</v>
      </c>
      <c r="AK3" s="45">
        <f>IFERROR(IF(A3="H-3",(s_TR/(s_RadSpec!G3*s_IFA_far_adj*(1/17)*1000))*1,(s_TR/(s_RadSpec!G3*s_IFA_far_adj*(1/s_PEF_wind)*1000))*1),".")</f>
        <v>45031.676775124637</v>
      </c>
      <c r="AL3" s="45">
        <f>IFERROR((s_TR/(s_RadSpec!F3*s_EF_far*(1/365)*s_ED_far*s_RadSpec!Q3*((s_ET_far_o*(1/24)*s_RadSpec!V3)+(s_ET_far_i*(1/24)*s_RadSpec!AA3))))*1,".")</f>
        <v>1837153.3243434762</v>
      </c>
      <c r="AM3" s="45">
        <f>s_b2s!BA3</f>
        <v>49.209919844740696</v>
      </c>
      <c r="AN3" s="45">
        <f>IFERROR(((I3*s_RadSpec!AS3)/s_RadSpec!AI3)*1,".")</f>
        <v>4.5374006592843158E-2</v>
      </c>
      <c r="AO3" s="45">
        <f>IFERROR((F3/(s_RadSpec!AH3*((s_Q_p_beef*s_f_p_beef*s_f_s_beef*(s_RadSpec!AR3+s_R_es_past))+(s_Q_s_beef*s_f_p_beef))))*1,".")</f>
        <v>62.224961177662891</v>
      </c>
      <c r="AP3" s="45">
        <f>IFERROR(((G3*s_D_milk)/(s_RadSpec!AG3*((s_Q_p_dairy*s_f_p_dairy*s_f_s_dairy*(s_RadSpec!AR3+s_R_es_past))+(s_Q_s_dairy*s_f_p_dairy))))*1,".")</f>
        <v>76299.654777372358</v>
      </c>
      <c r="AQ3" s="45">
        <f>IFERROR((H3/(s_RadSpec!AL3*((s_Q_p_swine*s_f_p_swine*s_f_s_swine*(s_RadSpec!AR3+s_R_es_past))+(s_Q_s_swine*s_f_p_swine))))*1,".")</f>
        <v>183.01459169900849</v>
      </c>
      <c r="AR3" s="45">
        <f>IFERROR((D3/(s_RadSpec!AJ3*((s_Q_p_poultry*s_f_p_poultry*s_f_s_poultry*(s_RadSpec!BB3+s_R_es_past))+(s_Q_s_poultry*s_f_p_poultry))))*1,".")</f>
        <v>5.1854134314719067</v>
      </c>
      <c r="AS3" s="45">
        <f>IFERROR((E3/(s_RadSpec!AK3*((s_Q_p_poultry*s_f_p_poultry*s_f_s_poultry*(s_RadSpec!AR3+s_R_es_past))+(s_Q_s_poultry*s_f_p_poultry))))*1,".")</f>
        <v>10.370826862943813</v>
      </c>
      <c r="AT3" s="45" t="str">
        <f>IFERROR((J3/(s_RadSpec!AO3*((s_Q_p_goat*s_f_p_goat*s_f_s_goat*(s_RadSpec!AR3+s_R_es_past))+(s_Q_s_goat*s_f_p_goat))))*1,".")</f>
        <v>.</v>
      </c>
      <c r="AU3" s="45">
        <f>IFERROR((L3*s_D_milk/(s_RadSpec!AP3*((s_Q_p_goat_milk*s_f_p_goat_milk*s_f_s_goat_milk*(s_RadSpec!AR3+s_R_es_past))+(s_Q_s_goat_milk*s_f_p_goat_milk))))*1,".")</f>
        <v>4644.326812535709</v>
      </c>
      <c r="AV3" s="45">
        <f>IFERROR((K3/(s_RadSpec!AM3*((s_Q_p_sheep*s_f_p_sheep*s_f_s_sheep*(s_RadSpec!AR3+s_R_es_past))+(s_Q_s_sheep*s_f_p_sheep))))*1,".")</f>
        <v>282.84073262574043</v>
      </c>
      <c r="AW3" s="45" t="str">
        <f>IFERROR((M3*s_D_milk/(s_RadSpec!AN3*((s_Q_p_sheep_milk*s_f_p_sheep_milk*s_f_s_sheep_milk*(s_RadSpec!AR3+s_R_es_past))+(s_Q_s_sheep_milk*s_f_p_sheep_milk))))*1,".")</f>
        <v>.</v>
      </c>
      <c r="AX3" s="120">
        <f t="shared" si="10"/>
        <v>1.0134299999999998E-3</v>
      </c>
      <c r="AY3" s="120">
        <f t="shared" si="11"/>
        <v>2.2206590374009723E-5</v>
      </c>
      <c r="AZ3" s="120">
        <f t="shared" si="12"/>
        <v>5.4432038238145383E-7</v>
      </c>
      <c r="BA3" s="120">
        <f t="shared" si="13"/>
        <v>2.0321106052499999E-2</v>
      </c>
      <c r="BB3" s="120">
        <f t="shared" si="14"/>
        <v>22.03905</v>
      </c>
      <c r="BC3" s="120">
        <f t="shared" si="15"/>
        <v>1.6070721155531608E-2</v>
      </c>
      <c r="BD3" s="120">
        <f t="shared" si="16"/>
        <v>1.3106219194802476E-5</v>
      </c>
      <c r="BE3" s="120">
        <f t="shared" si="17"/>
        <v>5.4640451928807468E-3</v>
      </c>
      <c r="BF3" s="120">
        <f t="shared" si="18"/>
        <v>0.19284865386637934</v>
      </c>
      <c r="BG3" s="120">
        <f t="shared" si="19"/>
        <v>9.6424326933189669E-2</v>
      </c>
      <c r="BH3" s="120" t="str">
        <f t="shared" si="20"/>
        <v>.</v>
      </c>
      <c r="BI3" s="120">
        <f t="shared" si="21"/>
        <v>2.1531645820032638E-4</v>
      </c>
      <c r="BJ3" s="120">
        <f t="shared" si="22"/>
        <v>3.5355586542169535E-3</v>
      </c>
      <c r="BK3" s="120" t="str">
        <f t="shared" si="23"/>
        <v>.</v>
      </c>
      <c r="BL3" s="15">
        <f t="shared" si="24"/>
        <v>4.4692779345617092E-2</v>
      </c>
      <c r="BM3" s="40">
        <f t="shared" si="25"/>
        <v>27.5</v>
      </c>
      <c r="BN3" s="40">
        <f t="shared" si="26"/>
        <v>2.9420495991003873E-3</v>
      </c>
      <c r="BO3" s="40">
        <f>IFERROR((s_C*s_EF_far*(1/365)*s_ED_far*s_RadSpec!Q3*((s_ET_far_o*(1/24)*s_RadSpec!V3)+(s_ET_far_i*(1/24)*s_RadSpec!AA3))),".")</f>
        <v>9.8349139445029799E-5</v>
      </c>
      <c r="BP3" s="40">
        <f>s_b2s!BZ3</f>
        <v>760.69124999999997</v>
      </c>
      <c r="BQ3" s="40">
        <f>IFERROR(((s_C*s_RadSpec!AI3)/s_RadSpec!AS3)*s_IFFI_far_adj*s_CF_far_fish,0)</f>
        <v>825000</v>
      </c>
      <c r="BR3" s="40">
        <f>(s_C*s_IFB_far_adj*s_CF_far_beef*s_RadSpec!AH3*((s_Q_p_beef*s_f_p_beef*s_f_s_beef*(s_RadSpec!$AR3+s_R_es_past))+(s_Q_s_beef*s_f_p_beef)))</f>
        <v>601.58423132183907</v>
      </c>
      <c r="BS3" s="40">
        <f>(s_C*s_IFD_far_adj*s_CF_far_dairy*s_RadSpec!AG3*1/s_D_milk*((s_Q_p_dairy*s_f_p_dairy*s_f_s_dairy*(s_RadSpec!$AR3+s_R_es_past))+(s_Q_s_dairy*s_f_p_dairy)))</f>
        <v>0.49061238282557745</v>
      </c>
      <c r="BT3" s="40">
        <f>(s_C*s_IFSW_far_adj*s_CF_far_swine*s_RadSpec!AL3*((s_Q_p_swine*s_f_p_swine*s_f_s_swine*(s_RadSpec!$AR3+s_R_es_past))+(s_Q_s_swine*s_f_p_swine)))</f>
        <v>204.53863864942531</v>
      </c>
      <c r="BU3" s="40">
        <f>(s_C*s_IFP_far_adj*s_CF_far_poultry*s_RadSpec!AJ3*((s_Q_p_poultry*s_f_p_poultry*s_f_s_poultry*(s_RadSpec!AR3+s_R_es_past))+(s_Q_s_poultry*s_f_p_poultry)))</f>
        <v>7219.0107758620679</v>
      </c>
      <c r="BV3" s="40">
        <f>(s_C*s_IFE_far_adj*s_CF_far_egg*s_RadSpec!AK3*((s_Q_p_egg*s_f_p_egg*s_f_s_egg*(s_RadSpec!$AR3+s_R_es_past))+(s_Q_s_egg*s_f_p_egg)))</f>
        <v>3609.505387931034</v>
      </c>
      <c r="BW3" s="40">
        <f>(s_C*s_IFGO_far_adj*s_CF_far_goat*s_RadSpec!AO3*((s_Q_p_goat*s_f_p_goat*s_f_s_goat*(s_RadSpec!$AR3+s_R_es_past))+(s_Q_s_goat*s_f_p_goat)))</f>
        <v>0</v>
      </c>
      <c r="BX3" s="40">
        <f>(s_C*s_IFGM_far_adj*s_CF_far_goat_milk*s_RadSpec!AP3*1/s_D_milk*((s_Q_p_goat_milk*s_f_p_goat_milk*s_f_s_goat_milk*(s_RadSpec!$AR3+s_R_es_past))+(s_Q_s_goat_milk*s_f_p_goat_milk)))</f>
        <v>8.0600605749916294</v>
      </c>
      <c r="BY3" s="40">
        <f>(s_C*s_IFSH_far_adj*s_CF_far_sheep*s_RadSpec!AM3*((s_Q_p_sheep*s_f_p_sheep*s_f_s_sheep*(s_RadSpec!$AR3+s_R_es_past))+(s_Q_s_sheep*s_f_p_sheep)))</f>
        <v>132.34853089080457</v>
      </c>
      <c r="BZ3" s="40">
        <f>(s_C*s_IFSM_far_adj*s_CF_far_sheep_milk*s_RadSpec!AN3*1/s_D_milk*((s_Q_p_sheep_milk*s_f_p_sheep_milk*s_f_s_sheep_milk*(s_RadSpec!$AR3+s_R_es_past))+(s_Q_s_sheep_milk*s_f_p_sheep_milk)))</f>
        <v>0</v>
      </c>
      <c r="CA3" s="18"/>
      <c r="CB3" s="18"/>
      <c r="CC3" s="18"/>
      <c r="CD3" s="18"/>
      <c r="CE3" s="18"/>
      <c r="CF3" s="18"/>
      <c r="CG3" s="18"/>
      <c r="CH3" s="18"/>
      <c r="CI3" s="18"/>
      <c r="CJ3" s="18"/>
      <c r="CK3" s="18"/>
      <c r="CL3" s="18"/>
      <c r="CM3" s="18"/>
      <c r="CN3" s="18"/>
      <c r="CO3" s="5"/>
      <c r="CP3" s="15">
        <f>IFERROR(s_TR/(s_RadSpec!H3*s_IFW_far_adj),".")</f>
        <v>19.305019305019304</v>
      </c>
      <c r="CQ3" s="15" t="str">
        <f>IFERROR(IF(s_RadSpec!C3=1,s_TR/(s_RadSpec!G3*s_IFA_far_adj*s_K),"."),".")</f>
        <v>.</v>
      </c>
      <c r="CR3" s="15">
        <f>IFERROR((s_TR/(s_RadSpec!L3*(1/8760)*s_DFA_far_adj)),".")</f>
        <v>165981612.80249557</v>
      </c>
      <c r="CS3" s="15">
        <f>s_b2w!BA3</f>
        <v>57.86256874711917</v>
      </c>
      <c r="CT3" s="15">
        <f>IFERROR(I3/(s_RadSpec!AI3*(1/1000)),".")</f>
        <v>11.34350164821079</v>
      </c>
      <c r="CU3" s="15">
        <f>IFERROR(F3/(s_RadSpec!AH3*s_Q_w_beef*(1/1000)),".")</f>
        <v>1088976.1582282356</v>
      </c>
      <c r="CV3" s="15">
        <f>IFERROR((G3*s_D_milk)/(s_RadSpec!AG3*s_Q_w_dairy*(1/1000)),".")</f>
        <v>1335292194.0179558</v>
      </c>
      <c r="CW3" s="15">
        <f>IFERROR(H3/(s_RadSpec!AL3*s_Q_w_swine*(1/1000)),".")</f>
        <v>3202871.0536124576</v>
      </c>
      <c r="CX3" s="15">
        <f>IFERROR(D3/(s_RadSpec!AJ3*s_Q_w_poultry*(1/1000)),".")</f>
        <v>90748.013185686315</v>
      </c>
      <c r="CY3" s="15">
        <f>IFERROR(E3/(s_RadSpec!AK3*s_Q_w_poultry*(1/1000)),".")</f>
        <v>181496.02637137263</v>
      </c>
      <c r="CZ3" s="15" t="str">
        <f>IFERROR(J3/(s_RadSpec!AO3*s_Q_w_goat*(1/1000)),".")</f>
        <v>.</v>
      </c>
      <c r="DA3" s="15">
        <f>IFERROR(L3*s_D_milk/(s_RadSpec!AP3*s_Q_w_goat_milk*(1/1000)),".")</f>
        <v>81278655.288049489</v>
      </c>
      <c r="DB3" s="15">
        <f>IFERROR(K3/(s_RadSpec!AM3*s_Q_w_sheep*(1/1000)),".")</f>
        <v>4949891.6283101626</v>
      </c>
      <c r="DC3" s="15" t="str">
        <f>IFERROR(M3*s_D_milk/(s_RadSpec!AN3*s_Q_w_sheep_milk*(1/1000)),".")</f>
        <v>.</v>
      </c>
      <c r="DD3" s="120">
        <f t="shared" si="27"/>
        <v>5.1800000000000006E-2</v>
      </c>
      <c r="DE3" s="120" t="str">
        <f t="shared" si="28"/>
        <v>.</v>
      </c>
      <c r="DF3" s="120">
        <f t="shared" si="29"/>
        <v>6.0247637260273978E-9</v>
      </c>
      <c r="DG3" s="120">
        <f t="shared" si="30"/>
        <v>1.7282329866314266E-2</v>
      </c>
      <c r="DH3" s="120">
        <f t="shared" si="31"/>
        <v>8.8156200000000004E-2</v>
      </c>
      <c r="DI3" s="120">
        <f t="shared" si="32"/>
        <v>9.1829375000000016E-7</v>
      </c>
      <c r="DJ3" s="120">
        <f t="shared" si="33"/>
        <v>7.4889975728155336E-10</v>
      </c>
      <c r="DK3" s="120">
        <f t="shared" si="34"/>
        <v>3.1221987500000005E-7</v>
      </c>
      <c r="DL3" s="120">
        <f t="shared" si="35"/>
        <v>1.1019525E-5</v>
      </c>
      <c r="DM3" s="120">
        <f t="shared" si="36"/>
        <v>5.5097625000000001E-6</v>
      </c>
      <c r="DN3" s="120" t="str">
        <f t="shared" si="37"/>
        <v>.</v>
      </c>
      <c r="DO3" s="120">
        <f t="shared" si="38"/>
        <v>1.2303353155339805E-8</v>
      </c>
      <c r="DP3" s="120">
        <f t="shared" si="39"/>
        <v>2.02024625E-7</v>
      </c>
      <c r="DQ3" s="120" t="str">
        <f t="shared" si="40"/>
        <v>.</v>
      </c>
      <c r="DR3" s="15">
        <f t="shared" si="41"/>
        <v>6.3590371877729321</v>
      </c>
      <c r="DS3" s="40">
        <f t="shared" si="42"/>
        <v>2500</v>
      </c>
      <c r="DT3" s="40">
        <f t="shared" si="43"/>
        <v>455.72916666666663</v>
      </c>
      <c r="DU3" s="40">
        <f t="shared" si="44"/>
        <v>0.22831050228310501</v>
      </c>
      <c r="DV3" s="40">
        <f>s_b2w!BZ3</f>
        <v>646.93905316741279</v>
      </c>
      <c r="DW3" s="40">
        <f>IFERROR(s_C*s_RadSpec!AI3*(1/1000)*s_IFFI_far_adj*s_CF_far_fish,0)</f>
        <v>3300</v>
      </c>
      <c r="DX3" s="40">
        <f>(s_C*s_IFB_far_adj*s_CF_far_beef*s_RadSpec!AH3*s_Q_w_beef*(1/1000))</f>
        <v>3.4375000000000003E-2</v>
      </c>
      <c r="DY3" s="40">
        <f>(s_C*s_IFD_far_adj*s_CF_far_dairy*s_RadSpec!AG3*(1/s_D_milk)*s_Q_w_dairy*(1/1000))</f>
        <v>2.8033980582524272E-5</v>
      </c>
      <c r="DZ3" s="40">
        <f>(s_C*s_IFSW_far_adj*s_CF_far_swine*s_RadSpec!AL3*s_Q_w_swine*(1/1000))</f>
        <v>1.1687500000000002E-2</v>
      </c>
      <c r="EA3" s="40">
        <f>(s_C*s_IFP_far_adj*s_CF_far_poultry*s_RadSpec!AJ3*s_Q_w_poultry*(1/1000))</f>
        <v>0.41250000000000003</v>
      </c>
      <c r="EB3" s="40">
        <f>(s_C*s_IFE_far_adj*s_CF_far_egg*s_RadSpec!AK3*s_Q_w_egg*(1/1000))</f>
        <v>0.20625000000000002</v>
      </c>
      <c r="EC3" s="40">
        <f>(s_C*s_IFGO_far_adj*s_CF_far_goat*s_RadSpec!AO3*s_Q_p_goat*(1/1000))</f>
        <v>0</v>
      </c>
      <c r="ED3" s="40">
        <f>(s_C*s_IFGM_far_adj*s_CF_far_goat_milk*s_RadSpec!AP3*(1/s_D_milk)*s_Q_p_goat_milk*(1/1000))</f>
        <v>4.6055825242718453E-4</v>
      </c>
      <c r="EE3" s="40">
        <f>(s_C*s_IFSH_far_adj*s_CF_far_sheep*s_RadSpec!AM3*s_Q_p_sheep*(1/1000))</f>
        <v>7.5624999999999998E-3</v>
      </c>
      <c r="EF3" s="40">
        <f>(s_C*s_IFSM_far_adj*s_CF_far_sheep_milk*s_RadSpec!AN3*(1/s_D_milk)*s_Q_p_sheep_milk*(1/1000))</f>
        <v>0</v>
      </c>
      <c r="EG3" s="18"/>
      <c r="EH3" s="18"/>
      <c r="EI3" s="18"/>
      <c r="EJ3" s="18"/>
      <c r="EK3" s="18"/>
      <c r="EL3" s="18"/>
      <c r="EM3" s="18"/>
      <c r="EN3" s="18"/>
      <c r="EO3" s="18"/>
      <c r="EP3" s="18"/>
      <c r="EQ3" s="18"/>
      <c r="ER3" s="18"/>
      <c r="ES3" s="18"/>
      <c r="ET3" s="18"/>
      <c r="EU3" s="5"/>
      <c r="EV3" s="15">
        <f>IFERROR((s_TR/(s_RadSpec!G3*s_IFA_far_adj)),".")</f>
        <v>0.14535543947308655</v>
      </c>
      <c r="EW3" s="15">
        <f>IFERROR((s_TR/(s_RadSpec!J3*s_EF_far*(1/365)*s_ED_far*s_ET_far*(1/24)*s_GSF_a)),".")</f>
        <v>150953.09655277265</v>
      </c>
      <c r="EX3" s="15">
        <f>IFERROR(IF(AND(ISNUMBER(EV3),ISNUMBER(EW3)),1/((1/EV3)+(1/EW3)),IF(AND(ISNUMBER(EV3),NOT(ISNUMBER(EW3))),1/((1/EV3)),IF(AND(NOT(ISNUMBER(EV3)),ISNUMBER(EW3)),1/((1/EW3)),IF(AND(NOT(ISNUMBER(EV3)),NOT(ISNUMBER(EW3))),".")))),".")</f>
        <v>0.14535529950786608</v>
      </c>
      <c r="EY3" s="40">
        <f t="shared" si="46"/>
        <v>911.45833333333326</v>
      </c>
      <c r="EZ3" s="40">
        <f t="shared" si="47"/>
        <v>0.57077625570776247</v>
      </c>
      <c r="FA3" s="4"/>
      <c r="FB3" s="4"/>
      <c r="FC3" s="4"/>
    </row>
    <row r="4" spans="1:159" customFormat="1" x14ac:dyDescent="0.25">
      <c r="A4" s="44" t="s">
        <v>14</v>
      </c>
      <c r="B4" s="42" t="s">
        <v>1074</v>
      </c>
      <c r="C4" s="15" t="str">
        <f>s_dir!AB4</f>
        <v>.</v>
      </c>
      <c r="D4" s="15" t="str">
        <f>IFERROR(s_TR/(s_RadSpec!E4*s_IFP_far_adj*s_CF_far_poultry),".")</f>
        <v>.</v>
      </c>
      <c r="E4" s="15" t="str">
        <f>IFERROR(s_TR/(s_RadSpec!E4*s_IFE_far_adj*s_CF_far_egg),".")</f>
        <v>.</v>
      </c>
      <c r="F4" s="15" t="str">
        <f>IFERROR(s_TR/(s_RadSpec!E4*s_IFB_far_adj*s_CF_far_beef),".")</f>
        <v>.</v>
      </c>
      <c r="G4" s="15" t="str">
        <f>IFERROR(s_TR/(s_RadSpec!E4*s_IFD_far_adj*s_CF_far_dairy),".")</f>
        <v>.</v>
      </c>
      <c r="H4" s="15" t="str">
        <f>IFERROR(s_TR/(s_RadSpec!E4*s_IFSW_far_adj*s_CF_far_swine),".")</f>
        <v>.</v>
      </c>
      <c r="I4" s="15" t="str">
        <f>IFERROR(s_TR/(s_RadSpec!E4*s_IFFI_far_adj*s_CF_far_fish),".")</f>
        <v>.</v>
      </c>
      <c r="J4" s="15" t="str">
        <f>IFERROR(s_TR/(s_RadSpec!E4*s_IFGO_far_adj*s_CF_far_goat),".")</f>
        <v>.</v>
      </c>
      <c r="K4" s="15" t="str">
        <f>IFERROR(s_TR/(s_RadSpec!E4*s_IFSH_far_adj*s_CF_far_sheep),".")</f>
        <v>.</v>
      </c>
      <c r="L4" s="15" t="str">
        <f>IFERROR(s_TR/(s_RadSpec!E4*s_IFGM_far_adj*s_CF_far_goat_milk),".")</f>
        <v>.</v>
      </c>
      <c r="M4" s="15" t="str">
        <f>IFERROR(s_TR/(s_RadSpec!E4*s_IFSM_far_adj*s_CF_far_sheep_milk),".")</f>
        <v>.</v>
      </c>
      <c r="N4" s="40">
        <f>s_dir!BA4</f>
        <v>55000</v>
      </c>
      <c r="O4" s="40">
        <f t="shared" si="0"/>
        <v>13750</v>
      </c>
      <c r="P4" s="40">
        <f t="shared" si="1"/>
        <v>13750</v>
      </c>
      <c r="Q4" s="40">
        <f t="shared" si="2"/>
        <v>13750</v>
      </c>
      <c r="R4" s="40">
        <f t="shared" si="3"/>
        <v>13750</v>
      </c>
      <c r="S4" s="40">
        <f t="shared" si="4"/>
        <v>13750</v>
      </c>
      <c r="T4" s="40">
        <f t="shared" si="5"/>
        <v>13750</v>
      </c>
      <c r="U4" s="40">
        <f t="shared" si="6"/>
        <v>13750</v>
      </c>
      <c r="V4" s="40">
        <f t="shared" si="7"/>
        <v>13750</v>
      </c>
      <c r="W4" s="40">
        <f t="shared" si="8"/>
        <v>13750</v>
      </c>
      <c r="X4" s="40">
        <f t="shared" si="9"/>
        <v>13750</v>
      </c>
      <c r="Y4" s="5"/>
      <c r="Z4" s="5"/>
      <c r="AA4" s="5"/>
      <c r="AB4" s="5"/>
      <c r="AC4" s="5"/>
      <c r="AD4" s="5"/>
      <c r="AE4" s="5"/>
      <c r="AF4" s="5"/>
      <c r="AG4" s="5"/>
      <c r="AH4" s="5"/>
      <c r="AI4" s="5"/>
      <c r="AJ4" s="45" t="str">
        <f>IFERROR((s_TR/(s_RadSpec!D4*s_IFS_far_adj*(1/1000)))*1,".")</f>
        <v>.</v>
      </c>
      <c r="AK4" s="45" t="str">
        <f>IFERROR(IF(A4="H-3",(s_TR/(s_RadSpec!G4*s_IFA_far_adj*(1/17)*1000))*1,(s_TR/(s_RadSpec!G4*s_IFA_far_adj*(1/s_PEF_wind)*1000))*1),".")</f>
        <v>.</v>
      </c>
      <c r="AL4" s="45">
        <f>IFERROR((s_TR/(s_RadSpec!F4*s_EF_far*(1/365)*s_ED_far*s_RadSpec!Q4*((s_ET_far_o*(1/24)*s_RadSpec!V4)+(s_ET_far_i*(1/24)*s_RadSpec!AA4))))*1,".")</f>
        <v>202105.00866163915</v>
      </c>
      <c r="AM4" s="45" t="str">
        <f>s_b2s!BA4</f>
        <v>.</v>
      </c>
      <c r="AN4" s="45" t="str">
        <f>IFERROR(((I4*s_RadSpec!AS4)/s_RadSpec!AI4)*1,".")</f>
        <v>.</v>
      </c>
      <c r="AO4" s="45" t="str">
        <f>IFERROR((F4/(s_RadSpec!AH4*((s_Q_p_beef*s_f_p_beef*s_f_s_beef*(s_RadSpec!BB4+s_R_es_past))+(s_Q_s_beef*s_f_p_beef))))*1,".")</f>
        <v>.</v>
      </c>
      <c r="AP4" s="45" t="str">
        <f>IFERROR(((G4*s_D_milk)/(s_RadSpec!AG4*((s_Q_p_dairy*s_f_p_dairy*s_f_s_dairy*(s_RadSpec!BB4+s_R_es_past))+(s_Q_s_dairy*s_f_p_dairy))))*1,".")</f>
        <v>.</v>
      </c>
      <c r="AQ4" s="45" t="str">
        <f>IFERROR((H4/(s_RadSpec!AL4*((s_Q_p_swine*s_f_p_swine*s_f_s_swine*(s_RadSpec!BB4+s_R_es_past))+(s_Q_s_swine*s_f_p_swine))))*1,".")</f>
        <v>.</v>
      </c>
      <c r="AR4" s="45" t="str">
        <f>IFERROR((D4/(s_RadSpec!AJ4*((s_Q_p_poultry*s_f_p_poultry*s_f_s_poultry*(s_RadSpec!BB4+s_R_es_past))+(s_Q_s_poultry*s_f_p_poultry))))*1,".")</f>
        <v>.</v>
      </c>
      <c r="AS4" s="45" t="str">
        <f>IFERROR((E4/(s_RadSpec!AK4*((s_Q_p_poultry*s_f_p_poultry*s_f_s_poultry*(s_RadSpec!BB4+s_R_es_past))+(s_Q_s_poultry*s_f_p_poultry))))*1,".")</f>
        <v>.</v>
      </c>
      <c r="AT4" s="45" t="str">
        <f>IFERROR((J4/(s_RadSpec!AO4*((s_Q_p_goat*s_f_p_goat*s_f_s_goat*(s_RadSpec!BB4+s_R_es_past))+(s_Q_s_goat*s_f_p_goat))))*1,".")</f>
        <v>.</v>
      </c>
      <c r="AU4" s="45" t="str">
        <f>IFERROR((L4*s_D_milk/(s_RadSpec!AP4*((s_Q_p_goat_milk*s_f_p_goat_milk*s_f_s_goat_milk*(s_RadSpec!BB4+s_R_es_past))+(s_Q_s_goat_milk*s_f_p_goat_milk))))*1,".")</f>
        <v>.</v>
      </c>
      <c r="AV4" s="45" t="str">
        <f>IFERROR((K4/(s_RadSpec!AM4*((s_Q_p_sheep*s_f_p_sheep*s_f_s_sheep*(s_RadSpec!BB4+s_R_es_past))+(s_Q_s_sheep*s_f_p_sheep))))*1,".")</f>
        <v>.</v>
      </c>
      <c r="AW4" s="45" t="str">
        <f>IFERROR((M4*s_D_milk/(s_RadSpec!AN4*((s_Q_p_sheep_milk*s_f_p_sheep_milk*s_f_s_sheep_milk*(s_RadSpec!BB4+s_R_es_past))+(s_Q_s_sheep_milk*s_f_p_sheep_milk))))*1,".")</f>
        <v>.</v>
      </c>
      <c r="AX4" s="120" t="str">
        <f t="shared" si="10"/>
        <v>.</v>
      </c>
      <c r="AY4" s="120" t="str">
        <f t="shared" si="11"/>
        <v>.</v>
      </c>
      <c r="AZ4" s="120">
        <f t="shared" si="12"/>
        <v>4.9479228972211341E-6</v>
      </c>
      <c r="BA4" s="120" t="str">
        <f t="shared" si="13"/>
        <v>.</v>
      </c>
      <c r="BB4" s="120" t="str">
        <f t="shared" si="14"/>
        <v>.</v>
      </c>
      <c r="BC4" s="120" t="str">
        <f t="shared" si="15"/>
        <v>.</v>
      </c>
      <c r="BD4" s="120" t="str">
        <f t="shared" si="16"/>
        <v>.</v>
      </c>
      <c r="BE4" s="120" t="str">
        <f t="shared" si="17"/>
        <v>.</v>
      </c>
      <c r="BF4" s="120" t="str">
        <f t="shared" si="18"/>
        <v>.</v>
      </c>
      <c r="BG4" s="120" t="str">
        <f t="shared" si="19"/>
        <v>.</v>
      </c>
      <c r="BH4" s="120" t="str">
        <f t="shared" si="20"/>
        <v>.</v>
      </c>
      <c r="BI4" s="120" t="str">
        <f t="shared" si="21"/>
        <v>.</v>
      </c>
      <c r="BJ4" s="120" t="str">
        <f t="shared" si="22"/>
        <v>.</v>
      </c>
      <c r="BK4" s="120" t="str">
        <f t="shared" si="23"/>
        <v>.</v>
      </c>
      <c r="BL4" s="15">
        <f t="shared" si="24"/>
        <v>202105.00866163915</v>
      </c>
      <c r="BM4" s="40">
        <f t="shared" si="25"/>
        <v>27.5</v>
      </c>
      <c r="BN4" s="40">
        <f t="shared" si="26"/>
        <v>2.9420495991003873E-3</v>
      </c>
      <c r="BO4" s="40">
        <f>IFERROR((s_C*s_EF_far*(1/365)*s_ED_far*s_RadSpec!Q4*((s_ET_far_o*(1/24)*s_RadSpec!V4)+(s_ET_far_i*(1/24)*s_RadSpec!AA4))),".")</f>
        <v>2.6418786692759287E-2</v>
      </c>
      <c r="BP4" s="40">
        <f>s_b2s!BZ4</f>
        <v>11742.500000000002</v>
      </c>
      <c r="BQ4" s="40">
        <f>IFERROR(((s_C*s_RadSpec!AI4)/s_RadSpec!AS4)*s_IFFI_far_adj*s_CF_far_fish,0)</f>
        <v>0</v>
      </c>
      <c r="BR4" s="40">
        <f>(s_C*s_IFB_far_adj*s_CF_far_beef*s_RadSpec!AH4*((s_Q_p_beef*s_f_p_beef*s_f_s_beef*(s_RadSpec!$AR4+s_R_es_past))+(s_Q_s_beef*s_f_p_beef)))</f>
        <v>27500</v>
      </c>
      <c r="BS4" s="40">
        <f>(s_C*s_IFD_far_adj*s_CF_far_dairy*s_RadSpec!AG4*1/s_D_milk*((s_Q_p_dairy*s_f_p_dairy*s_f_s_dairy*(s_RadSpec!$AR4+s_R_es_past))+(s_Q_s_dairy*s_f_p_dairy)))</f>
        <v>26699.029126213594</v>
      </c>
      <c r="BT4" s="40">
        <f>(s_C*s_IFSW_far_adj*s_CF_far_swine*s_RadSpec!AL4*((s_Q_p_swine*s_f_p_swine*s_f_s_swine*(s_RadSpec!$AR4+s_R_es_past))+(s_Q_s_swine*s_f_p_swine)))</f>
        <v>0</v>
      </c>
      <c r="BU4" s="40">
        <f>(s_C*s_IFP_far_adj*s_CF_far_poultry*s_RadSpec!AJ4*((s_Q_p_poultry*s_f_p_poultry*s_f_s_poultry*(s_RadSpec!AR4+s_R_es_past))+(s_Q_s_poultry*s_f_p_poultry)))</f>
        <v>0</v>
      </c>
      <c r="BV4" s="40">
        <f>(s_C*s_IFE_far_adj*s_CF_far_egg*s_RadSpec!AK4*((s_Q_p_egg*s_f_p_egg*s_f_s_egg*(s_RadSpec!$AR4+s_R_es_past))+(s_Q_s_egg*s_f_p_egg)))</f>
        <v>0</v>
      </c>
      <c r="BW4" s="40">
        <f>(s_C*s_IFGO_far_adj*s_CF_far_goat*s_RadSpec!AO4*((s_Q_p_goat*s_f_p_goat*s_f_s_goat*(s_RadSpec!$AR4+s_R_es_past))+(s_Q_s_goat*s_f_p_goat)))</f>
        <v>0</v>
      </c>
      <c r="BX4" s="40">
        <f>(s_C*s_IFGM_far_adj*s_CF_far_goat_milk*s_RadSpec!AP4*1/s_D_milk*((s_Q_p_goat_milk*s_f_p_goat_milk*s_f_s_goat_milk*(s_RadSpec!$AR4+s_R_es_past))+(s_Q_s_goat_milk*s_f_p_goat_milk)))</f>
        <v>0</v>
      </c>
      <c r="BY4" s="40">
        <f>(s_C*s_IFSH_far_adj*s_CF_far_sheep*s_RadSpec!AM4*((s_Q_p_sheep*s_f_p_sheep*s_f_s_sheep*(s_RadSpec!$AR4+s_R_es_past))+(s_Q_s_sheep*s_f_p_sheep)))</f>
        <v>0</v>
      </c>
      <c r="BZ4" s="40">
        <f>(s_C*s_IFSM_far_adj*s_CF_far_sheep_milk*s_RadSpec!AN4*1/s_D_milk*((s_Q_p_sheep_milk*s_f_p_sheep_milk*s_f_s_sheep_milk*(s_RadSpec!$AR4+s_R_es_past))+(s_Q_s_sheep_milk*s_f_p_sheep_milk)))</f>
        <v>0</v>
      </c>
      <c r="CA4" s="18"/>
      <c r="CB4" s="18"/>
      <c r="CC4" s="18"/>
      <c r="CD4" s="18"/>
      <c r="CE4" s="18"/>
      <c r="CF4" s="18"/>
      <c r="CG4" s="18"/>
      <c r="CH4" s="18"/>
      <c r="CI4" s="18"/>
      <c r="CJ4" s="18"/>
      <c r="CK4" s="18"/>
      <c r="CL4" s="18"/>
      <c r="CM4" s="18"/>
      <c r="CN4" s="18"/>
      <c r="CO4" s="5"/>
      <c r="CP4" s="15" t="str">
        <f>IFERROR(s_TR/(s_RadSpec!H4*s_IFW_far_adj),".")</f>
        <v>.</v>
      </c>
      <c r="CQ4" s="15" t="str">
        <f>IFERROR(IF(s_RadSpec!C4=1,s_TR/(s_RadSpec!G4*s_IFA_far_adj*s_K),"."),".")</f>
        <v>.</v>
      </c>
      <c r="CR4" s="15">
        <f>IFERROR((s_TR/(s_RadSpec!L4*(1/8760)*s_DFA_far_adj)),".")</f>
        <v>10249137839.716942</v>
      </c>
      <c r="CS4" s="15" t="str">
        <f>s_b2w!BA4</f>
        <v>.</v>
      </c>
      <c r="CT4" s="15" t="str">
        <f>IFERROR(I4/(s_RadSpec!AI4*(1/1000)),".")</f>
        <v>.</v>
      </c>
      <c r="CU4" s="15" t="str">
        <f>IFERROR(F4/(s_RadSpec!AH4*s_Q_w_beef*(1/1000)),".")</f>
        <v>.</v>
      </c>
      <c r="CV4" s="15" t="str">
        <f>IFERROR((G4*s_D_milk)/(s_RadSpec!AG4*s_Q_w_dairy*(1/1000)),".")</f>
        <v>.</v>
      </c>
      <c r="CW4" s="15" t="str">
        <f>IFERROR(H4/(s_RadSpec!AL4*s_Q_w_swine*(1/1000)),".")</f>
        <v>.</v>
      </c>
      <c r="CX4" s="15" t="str">
        <f>IFERROR(D4/(s_RadSpec!AJ4*s_Q_w_poultry*(1/1000)),".")</f>
        <v>.</v>
      </c>
      <c r="CY4" s="15" t="str">
        <f>IFERROR(E4/(s_RadSpec!AK4*s_Q_w_poultry*(1/1000)),".")</f>
        <v>.</v>
      </c>
      <c r="CZ4" s="15" t="str">
        <f>IFERROR(J4/(s_RadSpec!AO4*s_Q_w_goat*(1/1000)),".")</f>
        <v>.</v>
      </c>
      <c r="DA4" s="15" t="str">
        <f>IFERROR(L4*s_D_milk/(s_RadSpec!AP4*s_Q_w_goat_milk*(1/1000)),".")</f>
        <v>.</v>
      </c>
      <c r="DB4" s="15" t="str">
        <f>IFERROR(K4/(s_RadSpec!AM4*s_Q_w_sheep*(1/1000)),".")</f>
        <v>.</v>
      </c>
      <c r="DC4" s="15" t="str">
        <f>IFERROR(M4*s_D_milk/(s_RadSpec!AN4*s_Q_w_sheep_milk*(1/1000)),".")</f>
        <v>.</v>
      </c>
      <c r="DD4" s="120" t="str">
        <f t="shared" si="27"/>
        <v>.</v>
      </c>
      <c r="DE4" s="120" t="str">
        <f t="shared" si="28"/>
        <v>.</v>
      </c>
      <c r="DF4" s="120">
        <f t="shared" si="29"/>
        <v>9.7569182465753413E-11</v>
      </c>
      <c r="DG4" s="120" t="str">
        <f t="shared" si="30"/>
        <v>.</v>
      </c>
      <c r="DH4" s="120" t="str">
        <f t="shared" si="31"/>
        <v>.</v>
      </c>
      <c r="DI4" s="120" t="str">
        <f t="shared" si="32"/>
        <v>.</v>
      </c>
      <c r="DJ4" s="120" t="str">
        <f t="shared" si="33"/>
        <v>.</v>
      </c>
      <c r="DK4" s="120" t="str">
        <f t="shared" si="34"/>
        <v>.</v>
      </c>
      <c r="DL4" s="120" t="str">
        <f t="shared" si="35"/>
        <v>.</v>
      </c>
      <c r="DM4" s="120" t="str">
        <f t="shared" si="36"/>
        <v>.</v>
      </c>
      <c r="DN4" s="120" t="str">
        <f t="shared" si="37"/>
        <v>.</v>
      </c>
      <c r="DO4" s="120" t="str">
        <f t="shared" si="38"/>
        <v>.</v>
      </c>
      <c r="DP4" s="120" t="str">
        <f t="shared" si="39"/>
        <v>.</v>
      </c>
      <c r="DQ4" s="120" t="str">
        <f t="shared" si="40"/>
        <v>.</v>
      </c>
      <c r="DR4" s="15">
        <f t="shared" si="41"/>
        <v>10249137839.716942</v>
      </c>
      <c r="DS4" s="40">
        <f t="shared" si="42"/>
        <v>2500</v>
      </c>
      <c r="DT4" s="40">
        <f t="shared" si="43"/>
        <v>455.72916666666663</v>
      </c>
      <c r="DU4" s="40">
        <f t="shared" si="44"/>
        <v>0.22831050228310501</v>
      </c>
      <c r="DV4" s="40">
        <f>s_b2w!BZ4</f>
        <v>2829.0324092930018</v>
      </c>
      <c r="DW4" s="40">
        <f>IFERROR(s_C*s_RadSpec!AI4*(1/1000)*s_IFFI_far_adj*s_CF_far_fish,0)</f>
        <v>0</v>
      </c>
      <c r="DX4" s="40">
        <f>(s_C*s_IFB_far_adj*s_CF_far_beef*s_RadSpec!AH4*s_Q_w_beef*(1/1000))</f>
        <v>0.6875</v>
      </c>
      <c r="DY4" s="40">
        <f>(s_C*s_IFD_far_adj*s_CF_far_dairy*s_RadSpec!AG4*(1/s_D_milk)*s_Q_w_dairy*(1/1000))</f>
        <v>0.66747572815533984</v>
      </c>
      <c r="DZ4" s="40">
        <f>(s_C*s_IFSW_far_adj*s_CF_far_swine*s_RadSpec!AL4*s_Q_w_swine*(1/1000))</f>
        <v>0</v>
      </c>
      <c r="EA4" s="40">
        <f>(s_C*s_IFP_far_adj*s_CF_far_poultry*s_RadSpec!AJ4*s_Q_w_poultry*(1/1000))</f>
        <v>0</v>
      </c>
      <c r="EB4" s="40">
        <f>(s_C*s_IFE_far_adj*s_CF_far_egg*s_RadSpec!AK4*s_Q_w_egg*(1/1000))</f>
        <v>0</v>
      </c>
      <c r="EC4" s="40">
        <f>(s_C*s_IFGO_far_adj*s_CF_far_goat*s_RadSpec!AO4*s_Q_p_goat*(1/1000))</f>
        <v>0</v>
      </c>
      <c r="ED4" s="40">
        <f>(s_C*s_IFGM_far_adj*s_CF_far_goat_milk*s_RadSpec!AP4*(1/s_D_milk)*s_Q_p_goat_milk*(1/1000))</f>
        <v>0</v>
      </c>
      <c r="EE4" s="40">
        <f>(s_C*s_IFSH_far_adj*s_CF_far_sheep*s_RadSpec!AM4*s_Q_p_sheep*(1/1000))</f>
        <v>0</v>
      </c>
      <c r="EF4" s="40">
        <f>(s_C*s_IFSM_far_adj*s_CF_far_sheep_milk*s_RadSpec!AN4*(1/s_D_milk)*s_Q_p_sheep_milk*(1/1000))</f>
        <v>0</v>
      </c>
      <c r="EG4" s="18"/>
      <c r="EH4" s="18"/>
      <c r="EI4" s="18"/>
      <c r="EJ4" s="18"/>
      <c r="EK4" s="18"/>
      <c r="EL4" s="18"/>
      <c r="EM4" s="18"/>
      <c r="EN4" s="18"/>
      <c r="EO4" s="18"/>
      <c r="EP4" s="18"/>
      <c r="EQ4" s="18"/>
      <c r="ER4" s="18"/>
      <c r="ES4" s="18"/>
      <c r="ET4" s="18"/>
      <c r="EU4" s="5"/>
      <c r="EV4" s="15" t="str">
        <f>IFERROR((s_TR/(s_RadSpec!G4*s_IFA_far_adj)),".")</f>
        <v>.</v>
      </c>
      <c r="EW4" s="15">
        <f>IFERROR((s_TR/(s_RadSpec!J4*s_EF_far*(1/365)*s_ED_far*s_ET_far*(1/24)*s_GSF_a)),".")</f>
        <v>8974125.4768813383</v>
      </c>
      <c r="EX4" s="15">
        <f t="shared" ref="EX4:EX5" si="48">IFERROR(IF(AND(ISNUMBER(EV4),ISNUMBER(EW4)),1/((1/EV4)+(1/EW4)),IF(AND(ISNUMBER(EV4),NOT(ISNUMBER(EW4))),1/((1/EV4)),IF(AND(NOT(ISNUMBER(EV4)),ISNUMBER(EW4)),1/((1/EW4)),IF(AND(NOT(ISNUMBER(EV4)),NOT(ISNUMBER(EW4))),".")))),".")</f>
        <v>8974125.4768813383</v>
      </c>
      <c r="EY4" s="40">
        <f t="shared" si="46"/>
        <v>911.45833333333326</v>
      </c>
      <c r="EZ4" s="40">
        <f t="shared" si="47"/>
        <v>0.57077625570776247</v>
      </c>
      <c r="FA4" s="122"/>
      <c r="FB4" s="122"/>
      <c r="FC4" s="122"/>
    </row>
    <row r="5" spans="1:159" customFormat="1" x14ac:dyDescent="0.25">
      <c r="A5" s="44" t="s">
        <v>15</v>
      </c>
      <c r="B5" s="42" t="s">
        <v>1074</v>
      </c>
      <c r="C5" s="15" t="str">
        <f>s_dir!AB5</f>
        <v>.</v>
      </c>
      <c r="D5" s="15" t="str">
        <f>IFERROR(s_TR/(s_RadSpec!E5*s_IFP_far_adj*s_CF_far_poultry),".")</f>
        <v>.</v>
      </c>
      <c r="E5" s="15" t="str">
        <f>IFERROR(s_TR/(s_RadSpec!E5*s_IFE_far_adj*s_CF_far_egg),".")</f>
        <v>.</v>
      </c>
      <c r="F5" s="15" t="str">
        <f>IFERROR(s_TR/(s_RadSpec!E5*s_IFB_far_adj*s_CF_far_beef),".")</f>
        <v>.</v>
      </c>
      <c r="G5" s="15" t="str">
        <f>IFERROR(s_TR/(s_RadSpec!E5*s_IFD_far_adj*s_CF_far_dairy),".")</f>
        <v>.</v>
      </c>
      <c r="H5" s="15" t="str">
        <f>IFERROR(s_TR/(s_RadSpec!E5*s_IFSW_far_adj*s_CF_far_swine),".")</f>
        <v>.</v>
      </c>
      <c r="I5" s="15" t="str">
        <f>IFERROR(s_TR/(s_RadSpec!E5*s_IFFI_far_adj*s_CF_far_fish),".")</f>
        <v>.</v>
      </c>
      <c r="J5" s="15" t="str">
        <f>IFERROR(s_TR/(s_RadSpec!E5*s_IFGO_far_adj*s_CF_far_goat),".")</f>
        <v>.</v>
      </c>
      <c r="K5" s="15" t="str">
        <f>IFERROR(s_TR/(s_RadSpec!E5*s_IFSH_far_adj*s_CF_far_sheep),".")</f>
        <v>.</v>
      </c>
      <c r="L5" s="15" t="str">
        <f>IFERROR(s_TR/(s_RadSpec!E5*s_IFGM_far_adj*s_CF_far_goat_milk),".")</f>
        <v>.</v>
      </c>
      <c r="M5" s="15" t="str">
        <f>IFERROR(s_TR/(s_RadSpec!E5*s_IFSM_far_adj*s_CF_far_sheep_milk),".")</f>
        <v>.</v>
      </c>
      <c r="N5" s="40">
        <f>s_dir!BA5</f>
        <v>55000</v>
      </c>
      <c r="O5" s="40">
        <f t="shared" si="0"/>
        <v>13750</v>
      </c>
      <c r="P5" s="40">
        <f t="shared" si="1"/>
        <v>13750</v>
      </c>
      <c r="Q5" s="40">
        <f t="shared" si="2"/>
        <v>13750</v>
      </c>
      <c r="R5" s="40">
        <f t="shared" si="3"/>
        <v>13750</v>
      </c>
      <c r="S5" s="40">
        <f t="shared" si="4"/>
        <v>13750</v>
      </c>
      <c r="T5" s="40">
        <f t="shared" si="5"/>
        <v>13750</v>
      </c>
      <c r="U5" s="40">
        <f t="shared" si="6"/>
        <v>13750</v>
      </c>
      <c r="V5" s="40">
        <f t="shared" si="7"/>
        <v>13750</v>
      </c>
      <c r="W5" s="40">
        <f t="shared" si="8"/>
        <v>13750</v>
      </c>
      <c r="X5" s="40">
        <f t="shared" si="9"/>
        <v>13750</v>
      </c>
      <c r="Y5" s="5"/>
      <c r="Z5" s="5"/>
      <c r="AA5" s="5"/>
      <c r="AB5" s="5"/>
      <c r="AC5" s="5"/>
      <c r="AD5" s="5"/>
      <c r="AE5" s="5"/>
      <c r="AF5" s="5"/>
      <c r="AG5" s="5"/>
      <c r="AH5" s="5"/>
      <c r="AI5" s="5"/>
      <c r="AJ5" s="45" t="str">
        <f>IFERROR((s_TR/(s_RadSpec!D5*s_IFS_far_adj*(1/1000)))*1,".")</f>
        <v>.</v>
      </c>
      <c r="AK5" s="45" t="str">
        <f>IFERROR(IF(A5="H-3",(s_TR/(s_RadSpec!G5*s_IFA_far_adj*(1/17)*1000))*1,(s_TR/(s_RadSpec!G5*s_IFA_far_adj*(1/s_PEF_wind)*1000))*1),".")</f>
        <v>.</v>
      </c>
      <c r="AL5" s="45" t="str">
        <f>IFERROR((s_TR/(s_RadSpec!F5*s_EF_far*(1/365)*s_ED_far*s_RadSpec!Q5*((s_ET_far_o*(1/24)*s_RadSpec!V5)+(s_ET_far_i*(1/24)*s_RadSpec!AA5))))*1,".")</f>
        <v>.</v>
      </c>
      <c r="AM5" s="45" t="str">
        <f>s_b2s!BA5</f>
        <v>.</v>
      </c>
      <c r="AN5" s="45" t="str">
        <f>IFERROR(((I5*s_RadSpec!AS5)/s_RadSpec!AI5)*1,".")</f>
        <v>.</v>
      </c>
      <c r="AO5" s="45" t="str">
        <f>IFERROR((F5/(s_RadSpec!AH5*((s_Q_p_beef*s_f_p_beef*s_f_s_beef*(s_RadSpec!BB5+s_R_es_past))+(s_Q_s_beef*s_f_p_beef))))*1,".")</f>
        <v>.</v>
      </c>
      <c r="AP5" s="45" t="str">
        <f>IFERROR(((G5*s_D_milk)/(s_RadSpec!AG5*((s_Q_p_dairy*s_f_p_dairy*s_f_s_dairy*(s_RadSpec!BB5+s_R_es_past))+(s_Q_s_dairy*s_f_p_dairy))))*1,".")</f>
        <v>.</v>
      </c>
      <c r="AQ5" s="45" t="str">
        <f>IFERROR((H5/(s_RadSpec!AL5*((s_Q_p_swine*s_f_p_swine*s_f_s_swine*(s_RadSpec!BB5+s_R_es_past))+(s_Q_s_swine*s_f_p_swine))))*1,".")</f>
        <v>.</v>
      </c>
      <c r="AR5" s="45" t="str">
        <f>IFERROR((D5/(s_RadSpec!AJ5*((s_Q_p_poultry*s_f_p_poultry*s_f_s_poultry*(s_RadSpec!BB5+s_R_es_past))+(s_Q_s_poultry*s_f_p_poultry))))*1,".")</f>
        <v>.</v>
      </c>
      <c r="AS5" s="45" t="str">
        <f>IFERROR((E5/(s_RadSpec!AK5*((s_Q_p_poultry*s_f_p_poultry*s_f_s_poultry*(s_RadSpec!BB5+s_R_es_past))+(s_Q_s_poultry*s_f_p_poultry))))*1,".")</f>
        <v>.</v>
      </c>
      <c r="AT5" s="45" t="str">
        <f>IFERROR((J5/(s_RadSpec!AO5*((s_Q_p_goat*s_f_p_goat*s_f_s_goat*(s_RadSpec!BB5+s_R_es_past))+(s_Q_s_goat*s_f_p_goat))))*1,".")</f>
        <v>.</v>
      </c>
      <c r="AU5" s="45" t="str">
        <f>IFERROR((L5*s_D_milk/(s_RadSpec!AP5*((s_Q_p_goat_milk*s_f_p_goat_milk*s_f_s_goat_milk*(s_RadSpec!BB5+s_R_es_past))+(s_Q_s_goat_milk*s_f_p_goat_milk))))*1,".")</f>
        <v>.</v>
      </c>
      <c r="AV5" s="45" t="str">
        <f>IFERROR((K5/(s_RadSpec!AM5*((s_Q_p_sheep*s_f_p_sheep*s_f_s_sheep*(s_RadSpec!BB5+s_R_es_past))+(s_Q_s_sheep*s_f_p_sheep))))*1,".")</f>
        <v>.</v>
      </c>
      <c r="AW5" s="45" t="str">
        <f>IFERROR((M5*s_D_milk/(s_RadSpec!AN5*((s_Q_p_sheep_milk*s_f_p_sheep_milk*s_f_s_sheep_milk*(s_RadSpec!BB5+s_R_es_past))+(s_Q_s_sheep_milk*s_f_p_sheep_milk))))*1,".")</f>
        <v>.</v>
      </c>
      <c r="AX5" s="120" t="str">
        <f t="shared" si="10"/>
        <v>.</v>
      </c>
      <c r="AY5" s="120" t="str">
        <f t="shared" si="11"/>
        <v>.</v>
      </c>
      <c r="AZ5" s="120" t="str">
        <f t="shared" si="12"/>
        <v>.</v>
      </c>
      <c r="BA5" s="120" t="str">
        <f t="shared" si="13"/>
        <v>.</v>
      </c>
      <c r="BB5" s="120" t="str">
        <f t="shared" si="14"/>
        <v>.</v>
      </c>
      <c r="BC5" s="120" t="str">
        <f t="shared" si="15"/>
        <v>.</v>
      </c>
      <c r="BD5" s="120" t="str">
        <f t="shared" si="16"/>
        <v>.</v>
      </c>
      <c r="BE5" s="120" t="str">
        <f t="shared" si="17"/>
        <v>.</v>
      </c>
      <c r="BF5" s="120" t="str">
        <f t="shared" si="18"/>
        <v>.</v>
      </c>
      <c r="BG5" s="120" t="str">
        <f t="shared" si="19"/>
        <v>.</v>
      </c>
      <c r="BH5" s="120" t="str">
        <f t="shared" si="20"/>
        <v>.</v>
      </c>
      <c r="BI5" s="120" t="str">
        <f t="shared" si="21"/>
        <v>.</v>
      </c>
      <c r="BJ5" s="120" t="str">
        <f t="shared" si="22"/>
        <v>.</v>
      </c>
      <c r="BK5" s="120" t="str">
        <f t="shared" si="23"/>
        <v>.</v>
      </c>
      <c r="BL5" s="15" t="str">
        <f t="shared" si="24"/>
        <v>.</v>
      </c>
      <c r="BM5" s="40">
        <f t="shared" si="25"/>
        <v>27.5</v>
      </c>
      <c r="BN5" s="40">
        <f t="shared" si="26"/>
        <v>2.9420495991003873E-3</v>
      </c>
      <c r="BO5" s="40">
        <f>IFERROR((s_C*s_EF_far*(1/365)*s_ED_far*s_RadSpec!Q5*((s_ET_far_o*(1/24)*s_RadSpec!V5)+(s_ET_far_i*(1/24)*s_RadSpec!AA5))),".")</f>
        <v>0</v>
      </c>
      <c r="BP5" s="40">
        <f>s_b2s!BZ5</f>
        <v>11742.500000000002</v>
      </c>
      <c r="BQ5" s="40">
        <f>IFERROR(((s_C*s_RadSpec!AI5)/s_RadSpec!AS5)*s_IFFI_far_adj*s_CF_far_fish,0)</f>
        <v>0</v>
      </c>
      <c r="BR5" s="40">
        <f>(s_C*s_IFB_far_adj*s_CF_far_beef*s_RadSpec!AH5*((s_Q_p_beef*s_f_p_beef*s_f_s_beef*(s_RadSpec!$AR5+s_R_es_past))+(s_Q_s_beef*s_f_p_beef)))</f>
        <v>27500</v>
      </c>
      <c r="BS5" s="40">
        <f>(s_C*s_IFD_far_adj*s_CF_far_dairy*s_RadSpec!AG5*1/s_D_milk*((s_Q_p_dairy*s_f_p_dairy*s_f_s_dairy*(s_RadSpec!$AR5+s_R_es_past))+(s_Q_s_dairy*s_f_p_dairy)))</f>
        <v>26699.029126213594</v>
      </c>
      <c r="BT5" s="40">
        <f>(s_C*s_IFSW_far_adj*s_CF_far_swine*s_RadSpec!AL5*((s_Q_p_swine*s_f_p_swine*s_f_s_swine*(s_RadSpec!$AR5+s_R_es_past))+(s_Q_s_swine*s_f_p_swine)))</f>
        <v>0</v>
      </c>
      <c r="BU5" s="40">
        <f>(s_C*s_IFP_far_adj*s_CF_far_poultry*s_RadSpec!AJ5*((s_Q_p_poultry*s_f_p_poultry*s_f_s_poultry*(s_RadSpec!AR5+s_R_es_past))+(s_Q_s_poultry*s_f_p_poultry)))</f>
        <v>0</v>
      </c>
      <c r="BV5" s="40">
        <f>(s_C*s_IFE_far_adj*s_CF_far_egg*s_RadSpec!AK5*((s_Q_p_egg*s_f_p_egg*s_f_s_egg*(s_RadSpec!$AR5+s_R_es_past))+(s_Q_s_egg*s_f_p_egg)))</f>
        <v>0</v>
      </c>
      <c r="BW5" s="40">
        <f>(s_C*s_IFGO_far_adj*s_CF_far_goat*s_RadSpec!AO5*((s_Q_p_goat*s_f_p_goat*s_f_s_goat*(s_RadSpec!$AR5+s_R_es_past))+(s_Q_s_goat*s_f_p_goat)))</f>
        <v>0</v>
      </c>
      <c r="BX5" s="40">
        <f>(s_C*s_IFGM_far_adj*s_CF_far_goat_milk*s_RadSpec!AP5*1/s_D_milk*((s_Q_p_goat_milk*s_f_p_goat_milk*s_f_s_goat_milk*(s_RadSpec!$AR5+s_R_es_past))+(s_Q_s_goat_milk*s_f_p_goat_milk)))</f>
        <v>0</v>
      </c>
      <c r="BY5" s="40">
        <f>(s_C*s_IFSH_far_adj*s_CF_far_sheep*s_RadSpec!AM5*((s_Q_p_sheep*s_f_p_sheep*s_f_s_sheep*(s_RadSpec!$AR5+s_R_es_past))+(s_Q_s_sheep*s_f_p_sheep)))</f>
        <v>0</v>
      </c>
      <c r="BZ5" s="40">
        <f>(s_C*s_IFSM_far_adj*s_CF_far_sheep_milk*s_RadSpec!AN5*1/s_D_milk*((s_Q_p_sheep_milk*s_f_p_sheep_milk*s_f_s_sheep_milk*(s_RadSpec!$AR5+s_R_es_past))+(s_Q_s_sheep_milk*s_f_p_sheep_milk)))</f>
        <v>0</v>
      </c>
      <c r="CA5" s="18"/>
      <c r="CB5" s="18"/>
      <c r="CC5" s="18"/>
      <c r="CD5" s="18"/>
      <c r="CE5" s="18"/>
      <c r="CF5" s="18"/>
      <c r="CG5" s="18"/>
      <c r="CH5" s="18"/>
      <c r="CI5" s="18"/>
      <c r="CJ5" s="18"/>
      <c r="CK5" s="18"/>
      <c r="CL5" s="18"/>
      <c r="CM5" s="18"/>
      <c r="CN5" s="18"/>
      <c r="CO5" s="5"/>
      <c r="CP5" s="15" t="str">
        <f>IFERROR(s_TR/(s_RadSpec!H5*s_IFW_far_adj),".")</f>
        <v>.</v>
      </c>
      <c r="CQ5" s="15" t="str">
        <f>IFERROR(IF(s_RadSpec!C5=1,s_TR/(s_RadSpec!G5*s_IFA_far_adj*s_K),"."),".")</f>
        <v>.</v>
      </c>
      <c r="CR5" s="15">
        <f>IFERROR((s_TR/(s_RadSpec!L5*(1/8760)*s_DFA_far_adj)),".")</f>
        <v>427241964616.90204</v>
      </c>
      <c r="CS5" s="15" t="str">
        <f>s_b2w!BA5</f>
        <v>.</v>
      </c>
      <c r="CT5" s="15" t="str">
        <f>IFERROR(I5/(s_RadSpec!AI5*(1/1000)),".")</f>
        <v>.</v>
      </c>
      <c r="CU5" s="15" t="str">
        <f>IFERROR(F5/(s_RadSpec!AH5*s_Q_w_beef*(1/1000)),".")</f>
        <v>.</v>
      </c>
      <c r="CV5" s="15" t="str">
        <f>IFERROR((G5*s_D_milk)/(s_RadSpec!AG5*s_Q_w_dairy*(1/1000)),".")</f>
        <v>.</v>
      </c>
      <c r="CW5" s="15" t="str">
        <f>IFERROR(H5/(s_RadSpec!AL5*s_Q_w_swine*(1/1000)),".")</f>
        <v>.</v>
      </c>
      <c r="CX5" s="15" t="str">
        <f>IFERROR(D5/(s_RadSpec!AJ5*s_Q_w_poultry*(1/1000)),".")</f>
        <v>.</v>
      </c>
      <c r="CY5" s="15" t="str">
        <f>IFERROR(E5/(s_RadSpec!AK5*s_Q_w_poultry*(1/1000)),".")</f>
        <v>.</v>
      </c>
      <c r="CZ5" s="15" t="str">
        <f>IFERROR(J5/(s_RadSpec!AO5*s_Q_w_goat*(1/1000)),".")</f>
        <v>.</v>
      </c>
      <c r="DA5" s="15" t="str">
        <f>IFERROR(L5*s_D_milk/(s_RadSpec!AP5*s_Q_w_goat_milk*(1/1000)),".")</f>
        <v>.</v>
      </c>
      <c r="DB5" s="15" t="str">
        <f>IFERROR(K5/(s_RadSpec!AM5*s_Q_w_sheep*(1/1000)),".")</f>
        <v>.</v>
      </c>
      <c r="DC5" s="15" t="str">
        <f>IFERROR(M5*s_D_milk/(s_RadSpec!AN5*s_Q_w_sheep_milk*(1/1000)),".")</f>
        <v>.</v>
      </c>
      <c r="DD5" s="120" t="str">
        <f t="shared" si="27"/>
        <v>.</v>
      </c>
      <c r="DE5" s="120" t="str">
        <f t="shared" si="28"/>
        <v>.</v>
      </c>
      <c r="DF5" s="120">
        <f t="shared" si="29"/>
        <v>2.3405940493150687E-12</v>
      </c>
      <c r="DG5" s="120" t="str">
        <f t="shared" si="30"/>
        <v>.</v>
      </c>
      <c r="DH5" s="120" t="str">
        <f t="shared" si="31"/>
        <v>.</v>
      </c>
      <c r="DI5" s="120" t="str">
        <f t="shared" si="32"/>
        <v>.</v>
      </c>
      <c r="DJ5" s="120" t="str">
        <f t="shared" si="33"/>
        <v>.</v>
      </c>
      <c r="DK5" s="120" t="str">
        <f t="shared" si="34"/>
        <v>.</v>
      </c>
      <c r="DL5" s="120" t="str">
        <f t="shared" si="35"/>
        <v>.</v>
      </c>
      <c r="DM5" s="120" t="str">
        <f t="shared" si="36"/>
        <v>.</v>
      </c>
      <c r="DN5" s="120" t="str">
        <f t="shared" si="37"/>
        <v>.</v>
      </c>
      <c r="DO5" s="120" t="str">
        <f t="shared" si="38"/>
        <v>.</v>
      </c>
      <c r="DP5" s="120" t="str">
        <f t="shared" si="39"/>
        <v>.</v>
      </c>
      <c r="DQ5" s="120" t="str">
        <f t="shared" si="40"/>
        <v>.</v>
      </c>
      <c r="DR5" s="15">
        <f t="shared" si="41"/>
        <v>427241964616.90204</v>
      </c>
      <c r="DS5" s="40">
        <f t="shared" si="42"/>
        <v>2500</v>
      </c>
      <c r="DT5" s="40">
        <f t="shared" si="43"/>
        <v>455.72916666666663</v>
      </c>
      <c r="DU5" s="40">
        <f t="shared" si="44"/>
        <v>0.22831050228310501</v>
      </c>
      <c r="DV5" s="40">
        <f>s_b2w!BZ5</f>
        <v>2829.0324092930018</v>
      </c>
      <c r="DW5" s="40">
        <f>IFERROR(s_C*s_RadSpec!AI5*(1/1000)*s_IFFI_far_adj*s_CF_far_fish,0)</f>
        <v>0</v>
      </c>
      <c r="DX5" s="40">
        <f>(s_C*s_IFB_far_adj*s_CF_far_beef*s_RadSpec!AH5*s_Q_w_beef*(1/1000))</f>
        <v>0.6875</v>
      </c>
      <c r="DY5" s="40">
        <f>(s_C*s_IFD_far_adj*s_CF_far_dairy*s_RadSpec!AG5*(1/s_D_milk)*s_Q_w_dairy*(1/1000))</f>
        <v>0.66747572815533984</v>
      </c>
      <c r="DZ5" s="40">
        <f>(s_C*s_IFSW_far_adj*s_CF_far_swine*s_RadSpec!AL5*s_Q_w_swine*(1/1000))</f>
        <v>0</v>
      </c>
      <c r="EA5" s="40">
        <f>(s_C*s_IFP_far_adj*s_CF_far_poultry*s_RadSpec!AJ5*s_Q_w_poultry*(1/1000))</f>
        <v>0</v>
      </c>
      <c r="EB5" s="40">
        <f>(s_C*s_IFE_far_adj*s_CF_far_egg*s_RadSpec!AK5*s_Q_w_egg*(1/1000))</f>
        <v>0</v>
      </c>
      <c r="EC5" s="40">
        <f>(s_C*s_IFGO_far_adj*s_CF_far_goat*s_RadSpec!AO5*s_Q_p_goat*(1/1000))</f>
        <v>0</v>
      </c>
      <c r="ED5" s="40">
        <f>(s_C*s_IFGM_far_adj*s_CF_far_goat_milk*s_RadSpec!AP5*(1/s_D_milk)*s_Q_p_goat_milk*(1/1000))</f>
        <v>0</v>
      </c>
      <c r="EE5" s="40">
        <f>(s_C*s_IFSH_far_adj*s_CF_far_sheep*s_RadSpec!AM5*s_Q_p_sheep*(1/1000))</f>
        <v>0</v>
      </c>
      <c r="EF5" s="40">
        <f>(s_C*s_IFSM_far_adj*s_CF_far_sheep_milk*s_RadSpec!AN5*(1/s_D_milk)*s_Q_p_sheep_milk*(1/1000))</f>
        <v>0</v>
      </c>
      <c r="EG5" s="18"/>
      <c r="EH5" s="18"/>
      <c r="EI5" s="18"/>
      <c r="EJ5" s="18"/>
      <c r="EK5" s="18"/>
      <c r="EL5" s="18"/>
      <c r="EM5" s="18"/>
      <c r="EN5" s="18"/>
      <c r="EO5" s="18"/>
      <c r="EP5" s="18"/>
      <c r="EQ5" s="18"/>
      <c r="ER5" s="18"/>
      <c r="ES5" s="18"/>
      <c r="ET5" s="18"/>
      <c r="EU5" s="5"/>
      <c r="EV5" s="15" t="str">
        <f>IFERROR((s_TR/(s_RadSpec!G5*s_IFA_far_adj)),".")</f>
        <v>.</v>
      </c>
      <c r="EW5" s="15">
        <f>IFERROR((s_TR/(s_RadSpec!J5*s_EF_far*(1/365)*s_ED_far*s_ET_far*(1/24)*s_GSF_a)),".")</f>
        <v>284180640.10124242</v>
      </c>
      <c r="EX5" s="15">
        <f t="shared" si="48"/>
        <v>284180640.10124242</v>
      </c>
      <c r="EY5" s="40">
        <f t="shared" si="46"/>
        <v>911.45833333333326</v>
      </c>
      <c r="EZ5" s="40">
        <f t="shared" si="47"/>
        <v>0.57077625570776247</v>
      </c>
      <c r="FA5" s="122"/>
      <c r="FB5" s="122"/>
      <c r="FC5" s="122"/>
    </row>
    <row r="6" spans="1:159" customFormat="1" x14ac:dyDescent="0.25">
      <c r="A6" s="44" t="s">
        <v>16</v>
      </c>
      <c r="B6" s="42" t="s">
        <v>1074</v>
      </c>
      <c r="C6" s="15" t="str">
        <f>s_dir!AB6</f>
        <v>.</v>
      </c>
      <c r="D6" s="15" t="str">
        <f>IFERROR(s_TR/(s_RadSpec!E6*s_IFP_far_adj*s_CF_far_poultry),".")</f>
        <v>.</v>
      </c>
      <c r="E6" s="15" t="str">
        <f>IFERROR(s_TR/(s_RadSpec!E6*s_IFE_far_adj*s_CF_far_egg),".")</f>
        <v>.</v>
      </c>
      <c r="F6" s="15" t="str">
        <f>IFERROR(s_TR/(s_RadSpec!E6*s_IFB_far_adj*s_CF_far_beef),".")</f>
        <v>.</v>
      </c>
      <c r="G6" s="15" t="str">
        <f>IFERROR(s_TR/(s_RadSpec!E6*s_IFD_far_adj*s_CF_far_dairy),".")</f>
        <v>.</v>
      </c>
      <c r="H6" s="15" t="str">
        <f>IFERROR(s_TR/(s_RadSpec!E6*s_IFSW_far_adj*s_CF_far_swine),".")</f>
        <v>.</v>
      </c>
      <c r="I6" s="15" t="str">
        <f>IFERROR(s_TR/(s_RadSpec!E6*s_IFFI_far_adj*s_CF_far_fish),".")</f>
        <v>.</v>
      </c>
      <c r="J6" s="15" t="str">
        <f>IFERROR(s_TR/(s_RadSpec!E6*s_IFGO_far_adj*s_CF_far_goat),".")</f>
        <v>.</v>
      </c>
      <c r="K6" s="15" t="str">
        <f>IFERROR(s_TR/(s_RadSpec!E6*s_IFSH_far_adj*s_CF_far_sheep),".")</f>
        <v>.</v>
      </c>
      <c r="L6" s="15" t="str">
        <f>IFERROR(s_TR/(s_RadSpec!E6*s_IFGM_far_adj*s_CF_far_goat_milk),".")</f>
        <v>.</v>
      </c>
      <c r="M6" s="15" t="str">
        <f>IFERROR(s_TR/(s_RadSpec!E6*s_IFSM_far_adj*s_CF_far_sheep_milk),".")</f>
        <v>.</v>
      </c>
      <c r="N6" s="40">
        <f>s_dir!BA6</f>
        <v>55000</v>
      </c>
      <c r="O6" s="40">
        <f t="shared" si="0"/>
        <v>13750</v>
      </c>
      <c r="P6" s="40">
        <f t="shared" si="1"/>
        <v>13750</v>
      </c>
      <c r="Q6" s="40">
        <f t="shared" si="2"/>
        <v>13750</v>
      </c>
      <c r="R6" s="40">
        <f t="shared" si="3"/>
        <v>13750</v>
      </c>
      <c r="S6" s="40">
        <f t="shared" si="4"/>
        <v>13750</v>
      </c>
      <c r="T6" s="40">
        <f t="shared" si="5"/>
        <v>13750</v>
      </c>
      <c r="U6" s="40">
        <f t="shared" si="6"/>
        <v>13750</v>
      </c>
      <c r="V6" s="40">
        <f t="shared" si="7"/>
        <v>13750</v>
      </c>
      <c r="W6" s="40">
        <f t="shared" si="8"/>
        <v>13750</v>
      </c>
      <c r="X6" s="40">
        <f t="shared" si="9"/>
        <v>13750</v>
      </c>
      <c r="Y6" s="5"/>
      <c r="Z6" s="5"/>
      <c r="AA6" s="5"/>
      <c r="AB6" s="5"/>
      <c r="AC6" s="5"/>
      <c r="AD6" s="5"/>
      <c r="AE6" s="5"/>
      <c r="AF6" s="5"/>
      <c r="AG6" s="5"/>
      <c r="AH6" s="5"/>
      <c r="AI6" s="5"/>
      <c r="AJ6" s="45" t="str">
        <f>IFERROR((s_TR/(s_RadSpec!D6*s_IFS_far_adj*(1/1000)))*1,".")</f>
        <v>.</v>
      </c>
      <c r="AK6" s="45" t="str">
        <f>IFERROR(IF(A6="H-3",(s_TR/(s_RadSpec!G6*s_IFA_far_adj*(1/17)*1000))*1,(s_TR/(s_RadSpec!G6*s_IFA_far_adj*(1/s_PEF_wind)*1000))*1),".")</f>
        <v>.</v>
      </c>
      <c r="AL6" s="45">
        <f>IFERROR((s_TR/(s_RadSpec!F6*s_EF_far*(1/365)*s_ED_far*s_RadSpec!Q6*((s_ET_far_o*(1/24)*s_RadSpec!V6)+(s_ET_far_i*(1/24)*s_RadSpec!AA6))))*1,".")</f>
        <v>36.221143096057006</v>
      </c>
      <c r="AM6" s="45" t="str">
        <f>s_b2s!BA6</f>
        <v>.</v>
      </c>
      <c r="AN6" s="45" t="str">
        <f>IFERROR(((I6*s_RadSpec!AS6)/s_RadSpec!AI6)*1,".")</f>
        <v>.</v>
      </c>
      <c r="AO6" s="45" t="str">
        <f>IFERROR((F6/(s_RadSpec!AH6*((s_Q_p_beef*s_f_p_beef*s_f_s_beef*(s_RadSpec!BB6+s_R_es_past))+(s_Q_s_beef*s_f_p_beef))))*1,".")</f>
        <v>.</v>
      </c>
      <c r="AP6" s="45" t="str">
        <f>IFERROR(((G6*s_D_milk)/(s_RadSpec!AG6*((s_Q_p_dairy*s_f_p_dairy*s_f_s_dairy*(s_RadSpec!BB6+s_R_es_past))+(s_Q_s_dairy*s_f_p_dairy))))*1,".")</f>
        <v>.</v>
      </c>
      <c r="AQ6" s="45" t="str">
        <f>IFERROR((H6/(s_RadSpec!AL6*((s_Q_p_swine*s_f_p_swine*s_f_s_swine*(s_RadSpec!BB6+s_R_es_past))+(s_Q_s_swine*s_f_p_swine))))*1,".")</f>
        <v>.</v>
      </c>
      <c r="AR6" s="45" t="str">
        <f>IFERROR((D6/(s_RadSpec!AJ6*((s_Q_p_poultry*s_f_p_poultry*s_f_s_poultry*(s_RadSpec!BB6+s_R_es_past))+(s_Q_s_poultry*s_f_p_poultry))))*1,".")</f>
        <v>.</v>
      </c>
      <c r="AS6" s="45" t="str">
        <f>IFERROR((E6/(s_RadSpec!AK6*((s_Q_p_poultry*s_f_p_poultry*s_f_s_poultry*(s_RadSpec!BB6+s_R_es_past))+(s_Q_s_poultry*s_f_p_poultry))))*1,".")</f>
        <v>.</v>
      </c>
      <c r="AT6" s="45" t="str">
        <f>IFERROR((J6/(s_RadSpec!AO6*((s_Q_p_goat*s_f_p_goat*s_f_s_goat*(s_RadSpec!BB6+s_R_es_past))+(s_Q_s_goat*s_f_p_goat))))*1,".")</f>
        <v>.</v>
      </c>
      <c r="AU6" s="45" t="str">
        <f>IFERROR((L6*s_D_milk/(s_RadSpec!AP6*((s_Q_p_goat_milk*s_f_p_goat_milk*s_f_s_goat_milk*(s_RadSpec!BB6+s_R_es_past))+(s_Q_s_goat_milk*s_f_p_goat_milk))))*1,".")</f>
        <v>.</v>
      </c>
      <c r="AV6" s="45" t="str">
        <f>IFERROR((K6/(s_RadSpec!AM6*((s_Q_p_sheep*s_f_p_sheep*s_f_s_sheep*(s_RadSpec!BB6+s_R_es_past))+(s_Q_s_sheep*s_f_p_sheep))))*1,".")</f>
        <v>.</v>
      </c>
      <c r="AW6" s="45" t="str">
        <f>IFERROR((M6*s_D_milk/(s_RadSpec!AN6*((s_Q_p_sheep_milk*s_f_p_sheep_milk*s_f_s_sheep_milk*(s_RadSpec!BB6+s_R_es_past))+(s_Q_s_sheep_milk*s_f_p_sheep_milk))))*1,".")</f>
        <v>.</v>
      </c>
      <c r="AX6" s="120" t="str">
        <f t="shared" si="10"/>
        <v>.</v>
      </c>
      <c r="AY6" s="120" t="str">
        <f t="shared" si="11"/>
        <v>.</v>
      </c>
      <c r="AZ6" s="120">
        <f t="shared" si="12"/>
        <v>2.76081844614357E-2</v>
      </c>
      <c r="BA6" s="120" t="str">
        <f t="shared" si="13"/>
        <v>.</v>
      </c>
      <c r="BB6" s="120" t="str">
        <f t="shared" si="14"/>
        <v>.</v>
      </c>
      <c r="BC6" s="120" t="str">
        <f t="shared" si="15"/>
        <v>.</v>
      </c>
      <c r="BD6" s="120" t="str">
        <f t="shared" si="16"/>
        <v>.</v>
      </c>
      <c r="BE6" s="120" t="str">
        <f t="shared" si="17"/>
        <v>.</v>
      </c>
      <c r="BF6" s="120" t="str">
        <f t="shared" si="18"/>
        <v>.</v>
      </c>
      <c r="BG6" s="120" t="str">
        <f t="shared" si="19"/>
        <v>.</v>
      </c>
      <c r="BH6" s="120" t="str">
        <f t="shared" si="20"/>
        <v>.</v>
      </c>
      <c r="BI6" s="120" t="str">
        <f t="shared" si="21"/>
        <v>.</v>
      </c>
      <c r="BJ6" s="120" t="str">
        <f t="shared" si="22"/>
        <v>.</v>
      </c>
      <c r="BK6" s="120" t="str">
        <f t="shared" si="23"/>
        <v>.</v>
      </c>
      <c r="BL6" s="15">
        <f t="shared" si="24"/>
        <v>36.221143096057006</v>
      </c>
      <c r="BM6" s="40">
        <f t="shared" si="25"/>
        <v>27.5</v>
      </c>
      <c r="BN6" s="40">
        <f t="shared" si="26"/>
        <v>2.9420495991003873E-3</v>
      </c>
      <c r="BO6" s="40">
        <f>IFERROR((s_C*s_EF_far*(1/365)*s_ED_far*s_RadSpec!Q6*((s_ET_far_o*(1/24)*s_RadSpec!V6)+(s_ET_far_i*(1/24)*s_RadSpec!AA6))),".")</f>
        <v>5.1401326298465576E-2</v>
      </c>
      <c r="BP6" s="40">
        <f>s_b2s!BZ6</f>
        <v>975.42499999999995</v>
      </c>
      <c r="BQ6" s="40">
        <f>IFERROR(((s_C*s_RadSpec!AI6)/s_RadSpec!AS6)*s_IFFI_far_adj*s_CF_far_fish,0)</f>
        <v>41250</v>
      </c>
      <c r="BR6" s="40">
        <f>(s_C*s_IFB_far_adj*s_CF_far_beef*s_RadSpec!AH6*((s_Q_p_beef*s_f_p_beef*s_f_s_beef*(s_RadSpec!$AR6+s_R_es_past))+(s_Q_s_beef*s_f_p_beef)))</f>
        <v>168.71408045977009</v>
      </c>
      <c r="BS6" s="40">
        <f>(s_C*s_IFD_far_adj*s_CF_far_dairy*s_RadSpec!AG6*1/s_D_milk*((s_Q_p_dairy*s_f_p_dairy*s_f_s_dairy*(s_RadSpec!$AR6+s_R_es_past))+(s_Q_s_dairy*s_f_p_dairy)))</f>
        <v>187.20008927575046</v>
      </c>
      <c r="BT6" s="40">
        <f>(s_C*s_IFSW_far_adj*s_CF_far_swine*s_RadSpec!AL6*((s_Q_p_swine*s_f_p_swine*s_f_s_swine*(s_RadSpec!$AR6+s_R_es_past))+(s_Q_s_swine*s_f_p_swine)))</f>
        <v>0</v>
      </c>
      <c r="BU6" s="40">
        <f>(s_C*s_IFP_far_adj*s_CF_far_poultry*s_RadSpec!AJ6*((s_Q_p_poultry*s_f_p_poultry*s_f_s_poultry*(s_RadSpec!AR6+s_R_es_past))+(s_Q_s_poultry*s_f_p_poultry)))</f>
        <v>22896.910919540227</v>
      </c>
      <c r="BV6" s="40">
        <f>(s_C*s_IFE_far_adj*s_CF_far_egg*s_RadSpec!AK6*((s_Q_p_egg*s_f_p_egg*s_f_s_egg*(s_RadSpec!$AR6+s_R_es_past))+(s_Q_s_egg*s_f_p_egg)))</f>
        <v>1048437.4999999999</v>
      </c>
      <c r="BW6" s="40">
        <f>(s_C*s_IFGO_far_adj*s_CF_far_goat*s_RadSpec!AO6*((s_Q_p_goat*s_f_p_goat*s_f_s_goat*(s_RadSpec!$AR6+s_R_es_past))+(s_Q_s_goat*s_f_p_goat)))</f>
        <v>15.666307471264366</v>
      </c>
      <c r="BX6" s="40">
        <f>(s_C*s_IFGM_far_adj*s_CF_far_goat_milk*s_RadSpec!AP6*1/s_D_milk*((s_Q_p_goat_milk*s_f_p_goat_milk*s_f_s_goat_milk*(s_RadSpec!$AR6+s_R_es_past))+(s_Q_s_goat_milk*s_f_p_goat_milk)))</f>
        <v>12870.006137707845</v>
      </c>
      <c r="BY6" s="40">
        <f>(s_C*s_IFSH_far_adj*s_CF_far_sheep*s_RadSpec!AM6*((s_Q_p_sheep*s_f_p_sheep*s_f_s_sheep*(s_RadSpec!$AR6+s_R_es_past))+(s_Q_s_sheep*s_f_p_sheep)))</f>
        <v>6025.5028735632177</v>
      </c>
      <c r="BZ6" s="40">
        <f>(s_C*s_IFSM_far_adj*s_CF_far_sheep_milk*s_RadSpec!AN6*1/s_D_milk*((s_Q_p_sheep_milk*s_f_p_sheep_milk*s_f_s_sheep_milk*(s_RadSpec!$AR6+s_R_es_past))+(s_Q_s_sheep_milk*s_f_p_sheep_milk)))</f>
        <v>47970.022876911054</v>
      </c>
      <c r="CA6" s="18"/>
      <c r="CB6" s="18"/>
      <c r="CC6" s="18"/>
      <c r="CD6" s="18"/>
      <c r="CE6" s="18"/>
      <c r="CF6" s="18"/>
      <c r="CG6" s="18"/>
      <c r="CH6" s="18"/>
      <c r="CI6" s="18"/>
      <c r="CJ6" s="18"/>
      <c r="CK6" s="18"/>
      <c r="CL6" s="18"/>
      <c r="CM6" s="18"/>
      <c r="CN6" s="18"/>
      <c r="CO6" s="5"/>
      <c r="CP6" s="15" t="str">
        <f>IFERROR(s_TR/(s_RadSpec!H6*s_IFW_far_adj),".")</f>
        <v>.</v>
      </c>
      <c r="CQ6" s="15" t="str">
        <f>IFERROR(IF(s_RadSpec!C6=1,s_TR/(s_RadSpec!G6*s_IFA_far_adj*s_K),"."),".")</f>
        <v>.</v>
      </c>
      <c r="CR6" s="15">
        <f>IFERROR((s_TR/(s_RadSpec!L6*(1/8760)*s_DFA_far_adj)),".")</f>
        <v>4007675.6937354696</v>
      </c>
      <c r="CS6" s="15" t="str">
        <f>s_b2w!BA6</f>
        <v>.</v>
      </c>
      <c r="CT6" s="15" t="str">
        <f>IFERROR(I6/(s_RadSpec!AI6*(1/1000)),".")</f>
        <v>.</v>
      </c>
      <c r="CU6" s="15" t="str">
        <f>IFERROR(F6/(s_RadSpec!AH6*s_Q_w_beef*(1/1000)),".")</f>
        <v>.</v>
      </c>
      <c r="CV6" s="15" t="str">
        <f>IFERROR((G6*s_D_milk)/(s_RadSpec!AG6*s_Q_w_dairy*(1/1000)),".")</f>
        <v>.</v>
      </c>
      <c r="CW6" s="15" t="str">
        <f>IFERROR(H6/(s_RadSpec!AL6*s_Q_w_swine*(1/1000)),".")</f>
        <v>.</v>
      </c>
      <c r="CX6" s="15" t="str">
        <f>IFERROR(D6/(s_RadSpec!AJ6*s_Q_w_poultry*(1/1000)),".")</f>
        <v>.</v>
      </c>
      <c r="CY6" s="15" t="str">
        <f>IFERROR(E6/(s_RadSpec!AK6*s_Q_w_poultry*(1/1000)),".")</f>
        <v>.</v>
      </c>
      <c r="CZ6" s="15" t="str">
        <f>IFERROR(J6/(s_RadSpec!AO6*s_Q_w_goat*(1/1000)),".")</f>
        <v>.</v>
      </c>
      <c r="DA6" s="15" t="str">
        <f>IFERROR(L6*s_D_milk/(s_RadSpec!AP6*s_Q_w_goat_milk*(1/1000)),".")</f>
        <v>.</v>
      </c>
      <c r="DB6" s="15" t="str">
        <f>IFERROR(K6/(s_RadSpec!AM6*s_Q_w_sheep*(1/1000)),".")</f>
        <v>.</v>
      </c>
      <c r="DC6" s="15" t="str">
        <f>IFERROR(M6*s_D_milk/(s_RadSpec!AN6*s_Q_w_sheep_milk*(1/1000)),".")</f>
        <v>.</v>
      </c>
      <c r="DD6" s="120" t="str">
        <f t="shared" si="27"/>
        <v>.</v>
      </c>
      <c r="DE6" s="120" t="str">
        <f t="shared" si="28"/>
        <v>.</v>
      </c>
      <c r="DF6" s="120">
        <f t="shared" si="29"/>
        <v>2.4952118794520554E-7</v>
      </c>
      <c r="DG6" s="120" t="str">
        <f t="shared" si="30"/>
        <v>.</v>
      </c>
      <c r="DH6" s="120" t="str">
        <f t="shared" si="31"/>
        <v>.</v>
      </c>
      <c r="DI6" s="120" t="str">
        <f t="shared" si="32"/>
        <v>.</v>
      </c>
      <c r="DJ6" s="120" t="str">
        <f t="shared" si="33"/>
        <v>.</v>
      </c>
      <c r="DK6" s="120" t="str">
        <f t="shared" si="34"/>
        <v>.</v>
      </c>
      <c r="DL6" s="120" t="str">
        <f t="shared" si="35"/>
        <v>.</v>
      </c>
      <c r="DM6" s="120" t="str">
        <f t="shared" si="36"/>
        <v>.</v>
      </c>
      <c r="DN6" s="120" t="str">
        <f t="shared" si="37"/>
        <v>.</v>
      </c>
      <c r="DO6" s="120" t="str">
        <f t="shared" si="38"/>
        <v>.</v>
      </c>
      <c r="DP6" s="120" t="str">
        <f t="shared" si="39"/>
        <v>.</v>
      </c>
      <c r="DQ6" s="120" t="str">
        <f t="shared" si="40"/>
        <v>.</v>
      </c>
      <c r="DR6" s="15">
        <f t="shared" si="41"/>
        <v>4007675.6937354691</v>
      </c>
      <c r="DS6" s="40">
        <f t="shared" si="42"/>
        <v>2500</v>
      </c>
      <c r="DT6" s="40">
        <f t="shared" si="43"/>
        <v>455.72916666666663</v>
      </c>
      <c r="DU6" s="40">
        <f t="shared" si="44"/>
        <v>0.22831050228310501</v>
      </c>
      <c r="DV6" s="40">
        <f>s_b2w!BZ6</f>
        <v>689.60680489009087</v>
      </c>
      <c r="DW6" s="40">
        <f>IFERROR(s_C*s_RadSpec!AI6*(1/1000)*s_IFFI_far_adj*s_CF_far_fish,0)</f>
        <v>16.5</v>
      </c>
      <c r="DX6" s="40">
        <f>(s_C*s_IFB_far_adj*s_CF_far_beef*s_RadSpec!AH6*s_Q_w_beef*(1/1000))</f>
        <v>9.6249999999999999E-3</v>
      </c>
      <c r="DY6" s="40">
        <f>(s_C*s_IFD_far_adj*s_CF_far_dairy*s_RadSpec!AG6*(1/s_D_milk)*s_Q_w_dairy*(1/1000))</f>
        <v>1.067961165048544E-2</v>
      </c>
      <c r="DZ6" s="40">
        <f>(s_C*s_IFSW_far_adj*s_CF_far_swine*s_RadSpec!AL6*s_Q_w_swine*(1/1000))</f>
        <v>0</v>
      </c>
      <c r="EA6" s="40">
        <f>(s_C*s_IFP_far_adj*s_CF_far_poultry*s_RadSpec!AJ6*s_Q_w_poultry*(1/1000))</f>
        <v>1.3062500000000001</v>
      </c>
      <c r="EB6" s="40">
        <f>(s_C*s_IFE_far_adj*s_CF_far_egg*s_RadSpec!AK6*s_Q_w_egg*(1/1000))</f>
        <v>59.8125</v>
      </c>
      <c r="EC6" s="40">
        <f>(s_C*s_IFGO_far_adj*s_CF_far_goat*s_RadSpec!AO6*s_Q_p_goat*(1/1000))</f>
        <v>8.937499999999999E-4</v>
      </c>
      <c r="ED6" s="40">
        <f>(s_C*s_IFGM_far_adj*s_CF_far_goat_milk*s_RadSpec!AP6*(1/s_D_milk)*s_Q_p_goat_milk*(1/1000))</f>
        <v>0.73422330097087385</v>
      </c>
      <c r="EE6" s="40">
        <f>(s_C*s_IFSH_far_adj*s_CF_far_sheep*s_RadSpec!AM6*s_Q_p_sheep*(1/1000))</f>
        <v>0.34375</v>
      </c>
      <c r="EF6" s="40">
        <f>(s_C*s_IFSM_far_adj*s_CF_far_sheep_milk*s_RadSpec!AN6*(1/s_D_milk)*s_Q_p_sheep_milk*(1/1000))</f>
        <v>2.7366504854368938</v>
      </c>
      <c r="EG6" s="18"/>
      <c r="EH6" s="18"/>
      <c r="EI6" s="18"/>
      <c r="EJ6" s="18"/>
      <c r="EK6" s="18"/>
      <c r="EL6" s="18"/>
      <c r="EM6" s="18"/>
      <c r="EN6" s="18"/>
      <c r="EO6" s="18"/>
      <c r="EP6" s="18"/>
      <c r="EQ6" s="18"/>
      <c r="ER6" s="18"/>
      <c r="ES6" s="18"/>
      <c r="ET6" s="18"/>
      <c r="EU6" s="5"/>
      <c r="EV6" s="15" t="str">
        <f>IFERROR((s_TR/(s_RadSpec!G6*s_IFA_far_adj)),".")</f>
        <v>.</v>
      </c>
      <c r="EW6" s="15">
        <f>IFERROR((s_TR/(s_RadSpec!J6*s_EF_far*(1/365)*s_ED_far*s_ET_far*(1/24)*s_GSF_a)),".")</f>
        <v>3473.3189345707406</v>
      </c>
      <c r="EX6" s="15">
        <f t="shared" ref="EX6:EX9" si="49">IFERROR(IF(AND(ISNUMBER(EV6),ISNUMBER(EW6)),1/((1/EV6)+(1/EW6)),IF(AND(ISNUMBER(EV6),NOT(ISNUMBER(EW6))),1/((1/EV6)),IF(AND(NOT(ISNUMBER(EV6)),ISNUMBER(EW6)),1/((1/EW6)),IF(AND(NOT(ISNUMBER(EV6)),NOT(ISNUMBER(EW6))),".")))),".")</f>
        <v>3473.318934570741</v>
      </c>
      <c r="EY6" s="40">
        <f t="shared" si="46"/>
        <v>911.45833333333326</v>
      </c>
      <c r="EZ6" s="40">
        <f t="shared" si="47"/>
        <v>0.57077625570776247</v>
      </c>
      <c r="FA6" s="122"/>
      <c r="FB6" s="122"/>
      <c r="FC6" s="122"/>
    </row>
    <row r="7" spans="1:159" customFormat="1" x14ac:dyDescent="0.25">
      <c r="A7" s="44" t="s">
        <v>17</v>
      </c>
      <c r="B7" s="42" t="s">
        <v>1074</v>
      </c>
      <c r="C7" s="15">
        <f>s_dir!AB7</f>
        <v>6.9801206164842524</v>
      </c>
      <c r="D7" s="15">
        <f>IFERROR(s_TR/(s_RadSpec!E7*s_IFP_far_adj*s_CF_far_poultry),".")</f>
        <v>27.92048246593701</v>
      </c>
      <c r="E7" s="15">
        <f>IFERROR(s_TR/(s_RadSpec!E7*s_IFE_far_adj*s_CF_far_egg),".")</f>
        <v>27.92048246593701</v>
      </c>
      <c r="F7" s="15">
        <f>IFERROR(s_TR/(s_RadSpec!E7*s_IFB_far_adj*s_CF_far_beef),".")</f>
        <v>27.92048246593701</v>
      </c>
      <c r="G7" s="15">
        <f>IFERROR(s_TR/(s_RadSpec!E7*s_IFD_far_adj*s_CF_far_dairy),".")</f>
        <v>27.92048246593701</v>
      </c>
      <c r="H7" s="15">
        <f>IFERROR(s_TR/(s_RadSpec!E7*s_IFSW_far_adj*s_CF_far_swine),".")</f>
        <v>27.92048246593701</v>
      </c>
      <c r="I7" s="15">
        <f>IFERROR(s_TR/(s_RadSpec!E7*s_IFFI_far_adj*s_CF_far_fish),".")</f>
        <v>27.92048246593701</v>
      </c>
      <c r="J7" s="15">
        <f>IFERROR(s_TR/(s_RadSpec!E7*s_IFGO_far_adj*s_CF_far_goat),".")</f>
        <v>27.92048246593701</v>
      </c>
      <c r="K7" s="15">
        <f>IFERROR(s_TR/(s_RadSpec!E7*s_IFSH_far_adj*s_CF_far_sheep),".")</f>
        <v>27.92048246593701</v>
      </c>
      <c r="L7" s="15">
        <f>IFERROR(s_TR/(s_RadSpec!E7*s_IFGM_far_adj*s_CF_far_goat_milk),".")</f>
        <v>27.92048246593701</v>
      </c>
      <c r="M7" s="15">
        <f>IFERROR(s_TR/(s_RadSpec!E7*s_IFSM_far_adj*s_CF_far_sheep_milk),".")</f>
        <v>27.92048246593701</v>
      </c>
      <c r="N7" s="40">
        <f>s_dir!BA7</f>
        <v>55000</v>
      </c>
      <c r="O7" s="40">
        <f t="shared" si="0"/>
        <v>13750</v>
      </c>
      <c r="P7" s="40">
        <f t="shared" si="1"/>
        <v>13750</v>
      </c>
      <c r="Q7" s="40">
        <f t="shared" si="2"/>
        <v>13750</v>
      </c>
      <c r="R7" s="40">
        <f t="shared" si="3"/>
        <v>13750</v>
      </c>
      <c r="S7" s="40">
        <f t="shared" si="4"/>
        <v>13750</v>
      </c>
      <c r="T7" s="40">
        <f t="shared" si="5"/>
        <v>13750</v>
      </c>
      <c r="U7" s="40">
        <f t="shared" si="6"/>
        <v>13750</v>
      </c>
      <c r="V7" s="40">
        <f t="shared" si="7"/>
        <v>13750</v>
      </c>
      <c r="W7" s="40">
        <f t="shared" si="8"/>
        <v>13750</v>
      </c>
      <c r="X7" s="40">
        <f t="shared" si="9"/>
        <v>13750</v>
      </c>
      <c r="Y7" s="5"/>
      <c r="Z7" s="5"/>
      <c r="AA7" s="5"/>
      <c r="AB7" s="5"/>
      <c r="AC7" s="5"/>
      <c r="AD7" s="5"/>
      <c r="AE7" s="5"/>
      <c r="AF7" s="5"/>
      <c r="AG7" s="5"/>
      <c r="AH7" s="5"/>
      <c r="AI7" s="5"/>
      <c r="AJ7" s="45">
        <f>IFERROR((s_TR/(s_RadSpec!D7*s_IFS_far_adj*(1/1000)))*1,".")</f>
        <v>7571.6562619490196</v>
      </c>
      <c r="AK7" s="45">
        <f>IFERROR(IF(A7="H-3",(s_TR/(s_RadSpec!G7*s_IFA_far_adj*(1/17)*1000))*1,(s_TR/(s_RadSpec!G7*s_IFA_far_adj*(1/s_PEF_wind)*1000))*1),".")</f>
        <v>3734334.171595701</v>
      </c>
      <c r="AL7" s="45">
        <f>IFERROR((s_TR/(s_RadSpec!F7*s_EF_far*(1/365)*s_ED_far*s_RadSpec!Q7*((s_ET_far_o*(1/24)*s_RadSpec!V7)+(s_ET_far_i*(1/24)*s_RadSpec!AA7))))*1,".")</f>
        <v>76058.078859213259</v>
      </c>
      <c r="AM7" s="45">
        <f>s_b2s!BA7</f>
        <v>61.498860057129974</v>
      </c>
      <c r="AN7" s="45">
        <f>IFERROR(((I7*s_RadSpec!AS7)/s_RadSpec!AI7)*1,".")</f>
        <v>893.45543890998431</v>
      </c>
      <c r="AO7" s="45">
        <f>IFERROR((F7/(s_RadSpec!AH7*((s_Q_p_beef*s_f_p_beef*s_f_s_beef*(s_RadSpec!BB7+s_R_es_past))+(s_Q_s_beef*s_f_p_beef))))*1,".")</f>
        <v>93.068274886456706</v>
      </c>
      <c r="AP7" s="45">
        <f>IFERROR(((G7*s_D_milk)/(s_RadSpec!AG7*((s_Q_p_dairy*s_f_p_dairy*s_f_s_dairy*(s_RadSpec!BB7+s_R_es_past))+(s_Q_s_dairy*s_f_p_dairy))))*1,".")</f>
        <v>191.7206462661008</v>
      </c>
      <c r="AQ7" s="45" t="str">
        <f>IFERROR((H7/(s_RadSpec!AL7*((s_Q_p_swine*s_f_p_swine*s_f_s_swine*(s_RadSpec!BB7+s_R_es_past))+(s_Q_s_swine*s_f_p_swine))))*1,".")</f>
        <v>.</v>
      </c>
      <c r="AR7" s="45" t="str">
        <f>IFERROR((D7/(s_RadSpec!AJ7*((s_Q_p_poultry*s_f_p_poultry*s_f_s_poultry*(s_RadSpec!BB7+s_R_es_past))+(s_Q_s_poultry*s_f_p_poultry))))*1,".")</f>
        <v>.</v>
      </c>
      <c r="AS7" s="45" t="str">
        <f>IFERROR((E7/(s_RadSpec!AK7*((s_Q_p_poultry*s_f_p_poultry*s_f_s_poultry*(s_RadSpec!BB7+s_R_es_past))+(s_Q_s_poultry*s_f_p_poultry))))*1,".")</f>
        <v>.</v>
      </c>
      <c r="AT7" s="45" t="str">
        <f>IFERROR((J7/(s_RadSpec!AO7*((s_Q_p_goat*s_f_p_goat*s_f_s_goat*(s_RadSpec!BB7+s_R_es_past))+(s_Q_s_goat*s_f_p_goat))))*1,".")</f>
        <v>.</v>
      </c>
      <c r="AU7" s="45" t="str">
        <f>IFERROR((L7*s_D_milk/(s_RadSpec!AP7*((s_Q_p_goat_milk*s_f_p_goat_milk*s_f_s_goat_milk*(s_RadSpec!BB7+s_R_es_past))+(s_Q_s_goat_milk*s_f_p_goat_milk))))*1,".")</f>
        <v>.</v>
      </c>
      <c r="AV7" s="45" t="str">
        <f>IFERROR((K7/(s_RadSpec!AM7*((s_Q_p_sheep*s_f_p_sheep*s_f_s_sheep*(s_RadSpec!BB7+s_R_es_past))+(s_Q_s_sheep*s_f_p_sheep))))*1,".")</f>
        <v>.</v>
      </c>
      <c r="AW7" s="45" t="str">
        <f>IFERROR((M7*s_D_milk/(s_RadSpec!AN7*((s_Q_p_sheep_milk*s_f_p_sheep_milk*s_f_s_sheep_milk*(s_RadSpec!BB7+s_R_es_past))+(s_Q_s_sheep_milk*s_f_p_sheep_milk))))*1,".")</f>
        <v>.</v>
      </c>
      <c r="AX7" s="120">
        <f t="shared" si="10"/>
        <v>1.320715E-4</v>
      </c>
      <c r="AY7" s="120">
        <f t="shared" si="11"/>
        <v>2.6778535451011731E-7</v>
      </c>
      <c r="AZ7" s="120">
        <f t="shared" si="12"/>
        <v>1.3147847210958912E-5</v>
      </c>
      <c r="BA7" s="120">
        <f t="shared" si="13"/>
        <v>1.6260464000000002E-2</v>
      </c>
      <c r="BB7" s="120">
        <f t="shared" si="14"/>
        <v>1.11925E-3</v>
      </c>
      <c r="BC7" s="120">
        <f t="shared" si="15"/>
        <v>1.0744800000000001E-2</v>
      </c>
      <c r="BD7" s="120">
        <f t="shared" si="16"/>
        <v>5.2159223300970873E-3</v>
      </c>
      <c r="BE7" s="120" t="str">
        <f t="shared" si="17"/>
        <v>.</v>
      </c>
      <c r="BF7" s="120" t="str">
        <f t="shared" si="18"/>
        <v>.</v>
      </c>
      <c r="BG7" s="120" t="str">
        <f t="shared" si="19"/>
        <v>.</v>
      </c>
      <c r="BH7" s="120" t="str">
        <f t="shared" si="20"/>
        <v>.</v>
      </c>
      <c r="BI7" s="120" t="str">
        <f t="shared" si="21"/>
        <v>.</v>
      </c>
      <c r="BJ7" s="120" t="str">
        <f t="shared" si="22"/>
        <v>.</v>
      </c>
      <c r="BK7" s="120" t="str">
        <f t="shared" si="23"/>
        <v>.</v>
      </c>
      <c r="BL7" s="15">
        <f t="shared" si="24"/>
        <v>29.863294680077111</v>
      </c>
      <c r="BM7" s="40">
        <f t="shared" si="25"/>
        <v>27.5</v>
      </c>
      <c r="BN7" s="40">
        <f t="shared" si="26"/>
        <v>2.9420495991003873E-3</v>
      </c>
      <c r="BO7" s="40">
        <f>IFERROR((s_C*s_EF_far*(1/365)*s_ED_far*s_RadSpec!Q7*((s_ET_far_o*(1/24)*s_RadSpec!V7)+(s_ET_far_i*(1/24)*s_RadSpec!AA7))),".")</f>
        <v>2.3755852262874987E-2</v>
      </c>
      <c r="BP7" s="40">
        <f>s_b2s!BZ7</f>
        <v>6242.5</v>
      </c>
      <c r="BQ7" s="40">
        <f>IFERROR(((s_C*s_RadSpec!AI7)/s_RadSpec!AS7)*s_IFFI_far_adj*s_CF_far_fish,0)</f>
        <v>429.6875</v>
      </c>
      <c r="BR7" s="40">
        <f>(s_C*s_IFB_far_adj*s_CF_far_beef*s_RadSpec!AH7*((s_Q_p_beef*s_f_p_beef*s_f_s_beef*(s_RadSpec!$AR7+s_R_es_past))+(s_Q_s_beef*s_f_p_beef)))</f>
        <v>4125</v>
      </c>
      <c r="BS7" s="40">
        <f>(s_C*s_IFD_far_adj*s_CF_far_dairy*s_RadSpec!AG7*1/s_D_milk*((s_Q_p_dairy*s_f_p_dairy*s_f_s_dairy*(s_RadSpec!$AR7+s_R_es_past))+(s_Q_s_dairy*s_f_p_dairy)))</f>
        <v>2002.4271844660193</v>
      </c>
      <c r="BT7" s="40">
        <f>(s_C*s_IFSW_far_adj*s_CF_far_swine*s_RadSpec!AL7*((s_Q_p_swine*s_f_p_swine*s_f_s_swine*(s_RadSpec!$AR7+s_R_es_past))+(s_Q_s_swine*s_f_p_swine)))</f>
        <v>0</v>
      </c>
      <c r="BU7" s="40">
        <f>(s_C*s_IFP_far_adj*s_CF_far_poultry*s_RadSpec!AJ7*((s_Q_p_poultry*s_f_p_poultry*s_f_s_poultry*(s_RadSpec!AR7+s_R_es_past))+(s_Q_s_poultry*s_f_p_poultry)))</f>
        <v>0</v>
      </c>
      <c r="BV7" s="40">
        <f>(s_C*s_IFE_far_adj*s_CF_far_egg*s_RadSpec!AK7*((s_Q_p_egg*s_f_p_egg*s_f_s_egg*(s_RadSpec!$AR7+s_R_es_past))+(s_Q_s_egg*s_f_p_egg)))</f>
        <v>0</v>
      </c>
      <c r="BW7" s="40">
        <f>(s_C*s_IFGO_far_adj*s_CF_far_goat*s_RadSpec!AO7*((s_Q_p_goat*s_f_p_goat*s_f_s_goat*(s_RadSpec!$AR7+s_R_es_past))+(s_Q_s_goat*s_f_p_goat)))</f>
        <v>0</v>
      </c>
      <c r="BX7" s="40">
        <f>(s_C*s_IFGM_far_adj*s_CF_far_goat_milk*s_RadSpec!AP7*1/s_D_milk*((s_Q_p_goat_milk*s_f_p_goat_milk*s_f_s_goat_milk*(s_RadSpec!$AR7+s_R_es_past))+(s_Q_s_goat_milk*s_f_p_goat_milk)))</f>
        <v>0</v>
      </c>
      <c r="BY7" s="40">
        <f>(s_C*s_IFSH_far_adj*s_CF_far_sheep*s_RadSpec!AM7*((s_Q_p_sheep*s_f_p_sheep*s_f_s_sheep*(s_RadSpec!$AR7+s_R_es_past))+(s_Q_s_sheep*s_f_p_sheep)))</f>
        <v>0</v>
      </c>
      <c r="BZ7" s="40">
        <f>(s_C*s_IFSM_far_adj*s_CF_far_sheep_milk*s_RadSpec!AN7*1/s_D_milk*((s_Q_p_sheep_milk*s_f_p_sheep_milk*s_f_s_sheep_milk*(s_RadSpec!$AR7+s_R_es_past))+(s_Q_s_sheep_milk*s_f_p_sheep_milk)))</f>
        <v>0</v>
      </c>
      <c r="CA7" s="18"/>
      <c r="CB7" s="18"/>
      <c r="CC7" s="18"/>
      <c r="CD7" s="18"/>
      <c r="CE7" s="18"/>
      <c r="CF7" s="18"/>
      <c r="CG7" s="18"/>
      <c r="CH7" s="18"/>
      <c r="CI7" s="18"/>
      <c r="CJ7" s="18"/>
      <c r="CK7" s="18"/>
      <c r="CL7" s="18"/>
      <c r="CM7" s="18"/>
      <c r="CN7" s="18"/>
      <c r="CO7" s="5"/>
      <c r="CP7" s="15">
        <f>IFERROR(s_TR/(s_RadSpec!H7*s_IFW_far_adj),".")</f>
        <v>224.290680722216</v>
      </c>
      <c r="CQ7" s="15" t="str">
        <f>IFERROR(IF(s_RadSpec!C7=1,s_TR/(s_RadSpec!G7*s_IFA_far_adj*s_K),"."),".")</f>
        <v>.</v>
      </c>
      <c r="CR7" s="15">
        <f>IFERROR((s_TR/(s_RadSpec!L7*(1/8760)*s_DFA_far_adj)),".")</f>
        <v>2799391380.1017914</v>
      </c>
      <c r="CS7" s="15">
        <f>s_b2w!BA7</f>
        <v>221.12164775828299</v>
      </c>
      <c r="CT7" s="15">
        <f>IFERROR(I7/(s_RadSpec!AI7*(1/1000)),".")</f>
        <v>1861.3654977291339</v>
      </c>
      <c r="CU7" s="15">
        <f>IFERROR(F7/(s_RadSpec!AH7*s_Q_w_beef*(1/1000)),".")</f>
        <v>2792048.2465937007</v>
      </c>
      <c r="CV7" s="15">
        <f>IFERROR((G7*s_D_milk)/(s_RadSpec!AG7*s_Q_w_dairy*(1/1000)),".")</f>
        <v>5751619.3879830232</v>
      </c>
      <c r="CW7" s="15" t="str">
        <f>IFERROR(H7/(s_RadSpec!AL7*s_Q_w_swine*(1/1000)),".")</f>
        <v>.</v>
      </c>
      <c r="CX7" s="15" t="str">
        <f>IFERROR(D7/(s_RadSpec!AJ7*s_Q_w_poultry*(1/1000)),".")</f>
        <v>.</v>
      </c>
      <c r="CY7" s="15" t="str">
        <f>IFERROR(E7/(s_RadSpec!AK7*s_Q_w_poultry*(1/1000)),".")</f>
        <v>.</v>
      </c>
      <c r="CZ7" s="15" t="str">
        <f>IFERROR(J7/(s_RadSpec!AO7*s_Q_w_goat*(1/1000)),".")</f>
        <v>.</v>
      </c>
      <c r="DA7" s="15" t="str">
        <f>IFERROR(L7*s_D_milk/(s_RadSpec!AP7*s_Q_w_goat_milk*(1/1000)),".")</f>
        <v>.</v>
      </c>
      <c r="DB7" s="15" t="str">
        <f>IFERROR(K7/(s_RadSpec!AM7*s_Q_w_sheep*(1/1000)),".")</f>
        <v>.</v>
      </c>
      <c r="DC7" s="15" t="str">
        <f>IFERROR(M7*s_D_milk/(s_RadSpec!AN7*s_Q_w_sheep_milk*(1/1000)),".")</f>
        <v>.</v>
      </c>
      <c r="DD7" s="120">
        <f t="shared" si="27"/>
        <v>4.4584999999999998E-3</v>
      </c>
      <c r="DE7" s="120" t="str">
        <f t="shared" si="28"/>
        <v>.</v>
      </c>
      <c r="DF7" s="120">
        <f t="shared" si="29"/>
        <v>3.5722050410958899E-10</v>
      </c>
      <c r="DG7" s="120">
        <f t="shared" si="30"/>
        <v>4.5223975587100384E-3</v>
      </c>
      <c r="DH7" s="120">
        <f t="shared" si="31"/>
        <v>5.3724000000000003E-4</v>
      </c>
      <c r="DI7" s="120">
        <f t="shared" si="32"/>
        <v>3.5816000000000008E-7</v>
      </c>
      <c r="DJ7" s="120">
        <f t="shared" si="33"/>
        <v>1.7386407766990294E-7</v>
      </c>
      <c r="DK7" s="120" t="str">
        <f t="shared" si="34"/>
        <v>.</v>
      </c>
      <c r="DL7" s="120" t="str">
        <f t="shared" si="35"/>
        <v>.</v>
      </c>
      <c r="DM7" s="120" t="str">
        <f t="shared" si="36"/>
        <v>.</v>
      </c>
      <c r="DN7" s="120" t="str">
        <f t="shared" si="37"/>
        <v>.</v>
      </c>
      <c r="DO7" s="120" t="str">
        <f t="shared" si="38"/>
        <v>.</v>
      </c>
      <c r="DP7" s="120" t="str">
        <f t="shared" si="39"/>
        <v>.</v>
      </c>
      <c r="DQ7" s="120" t="str">
        <f t="shared" si="40"/>
        <v>.</v>
      </c>
      <c r="DR7" s="15">
        <f t="shared" si="41"/>
        <v>105.05669450695729</v>
      </c>
      <c r="DS7" s="40">
        <f t="shared" si="42"/>
        <v>2500</v>
      </c>
      <c r="DT7" s="40">
        <f t="shared" si="43"/>
        <v>455.72916666666663</v>
      </c>
      <c r="DU7" s="40">
        <f t="shared" si="44"/>
        <v>0.22831050228310501</v>
      </c>
      <c r="DV7" s="40">
        <f>s_b2w!BZ7</f>
        <v>1736.1784239519495</v>
      </c>
      <c r="DW7" s="40">
        <f>IFERROR(s_C*s_RadSpec!AI7*(1/1000)*s_IFFI_far_adj*s_CF_far_fish,0)</f>
        <v>206.25</v>
      </c>
      <c r="DX7" s="40">
        <f>(s_C*s_IFB_far_adj*s_CF_far_beef*s_RadSpec!AH7*s_Q_w_beef*(1/1000))</f>
        <v>0.13750000000000001</v>
      </c>
      <c r="DY7" s="40">
        <f>(s_C*s_IFD_far_adj*s_CF_far_dairy*s_RadSpec!AG7*(1/s_D_milk)*s_Q_w_dairy*(1/1000))</f>
        <v>6.6747572815533993E-2</v>
      </c>
      <c r="DZ7" s="40">
        <f>(s_C*s_IFSW_far_adj*s_CF_far_swine*s_RadSpec!AL7*s_Q_w_swine*(1/1000))</f>
        <v>0</v>
      </c>
      <c r="EA7" s="40">
        <f>(s_C*s_IFP_far_adj*s_CF_far_poultry*s_RadSpec!AJ7*s_Q_w_poultry*(1/1000))</f>
        <v>0</v>
      </c>
      <c r="EB7" s="40">
        <f>(s_C*s_IFE_far_adj*s_CF_far_egg*s_RadSpec!AK7*s_Q_w_egg*(1/1000))</f>
        <v>0</v>
      </c>
      <c r="EC7" s="40">
        <f>(s_C*s_IFGO_far_adj*s_CF_far_goat*s_RadSpec!AO7*s_Q_p_goat*(1/1000))</f>
        <v>0</v>
      </c>
      <c r="ED7" s="40">
        <f>(s_C*s_IFGM_far_adj*s_CF_far_goat_milk*s_RadSpec!AP7*(1/s_D_milk)*s_Q_p_goat_milk*(1/1000))</f>
        <v>0</v>
      </c>
      <c r="EE7" s="40">
        <f>(s_C*s_IFSH_far_adj*s_CF_far_sheep*s_RadSpec!AM7*s_Q_p_sheep*(1/1000))</f>
        <v>0</v>
      </c>
      <c r="EF7" s="40">
        <f>(s_C*s_IFSM_far_adj*s_CF_far_sheep_milk*s_RadSpec!AN7*(1/s_D_milk)*s_Q_p_sheep_milk*(1/1000))</f>
        <v>0</v>
      </c>
      <c r="EG7" s="18"/>
      <c r="EH7" s="18"/>
      <c r="EI7" s="18"/>
      <c r="EJ7" s="18"/>
      <c r="EK7" s="18"/>
      <c r="EL7" s="18"/>
      <c r="EM7" s="18"/>
      <c r="EN7" s="18"/>
      <c r="EO7" s="18"/>
      <c r="EP7" s="18"/>
      <c r="EQ7" s="18"/>
      <c r="ER7" s="18"/>
      <c r="ES7" s="18"/>
      <c r="ET7" s="18"/>
      <c r="EU7" s="5"/>
      <c r="EV7" s="15">
        <f>IFERROR((s_TR/(s_RadSpec!G7*s_IFA_far_adj)),".")</f>
        <v>12.053865712402297</v>
      </c>
      <c r="EW7" s="15">
        <f>IFERROR((s_TR/(s_RadSpec!J7*s_EF_far*(1/365)*s_ED_far*s_ET_far*(1/24)*s_GSF_a)),".")</f>
        <v>1656152.0747622075</v>
      </c>
      <c r="EX7" s="15">
        <f t="shared" si="49"/>
        <v>12.053777982161012</v>
      </c>
      <c r="EY7" s="40">
        <f t="shared" si="46"/>
        <v>911.45833333333326</v>
      </c>
      <c r="EZ7" s="40">
        <f t="shared" si="47"/>
        <v>0.57077625570776247</v>
      </c>
      <c r="FA7" s="122"/>
      <c r="FB7" s="122"/>
      <c r="FC7" s="122"/>
    </row>
    <row r="8" spans="1:159" customFormat="1" x14ac:dyDescent="0.25">
      <c r="A8" s="44" t="s">
        <v>18</v>
      </c>
      <c r="B8" s="42" t="s">
        <v>1074</v>
      </c>
      <c r="C8" s="15">
        <f>s_dir!AB8</f>
        <v>126.64961118569364</v>
      </c>
      <c r="D8" s="15">
        <f>IFERROR(s_TR/(s_RadSpec!E8*s_IFP_far_adj*s_CF_far_poultry),".")</f>
        <v>506.59844474277457</v>
      </c>
      <c r="E8" s="15">
        <f>IFERROR(s_TR/(s_RadSpec!E8*s_IFE_far_adj*s_CF_far_egg),".")</f>
        <v>506.59844474277457</v>
      </c>
      <c r="F8" s="15">
        <f>IFERROR(s_TR/(s_RadSpec!E8*s_IFB_far_adj*s_CF_far_beef),".")</f>
        <v>506.59844474277457</v>
      </c>
      <c r="G8" s="15">
        <f>IFERROR(s_TR/(s_RadSpec!E8*s_IFD_far_adj*s_CF_far_dairy),".")</f>
        <v>506.59844474277457</v>
      </c>
      <c r="H8" s="15">
        <f>IFERROR(s_TR/(s_RadSpec!E8*s_IFSW_far_adj*s_CF_far_swine),".")</f>
        <v>506.59844474277457</v>
      </c>
      <c r="I8" s="15">
        <f>IFERROR(s_TR/(s_RadSpec!E8*s_IFFI_far_adj*s_CF_far_fish),".")</f>
        <v>506.59844474277457</v>
      </c>
      <c r="J8" s="15">
        <f>IFERROR(s_TR/(s_RadSpec!E8*s_IFGO_far_adj*s_CF_far_goat),".")</f>
        <v>506.59844474277457</v>
      </c>
      <c r="K8" s="15">
        <f>IFERROR(s_TR/(s_RadSpec!E8*s_IFSH_far_adj*s_CF_far_sheep),".")</f>
        <v>506.59844474277457</v>
      </c>
      <c r="L8" s="15">
        <f>IFERROR(s_TR/(s_RadSpec!E8*s_IFGM_far_adj*s_CF_far_goat_milk),".")</f>
        <v>506.59844474277457</v>
      </c>
      <c r="M8" s="15">
        <f>IFERROR(s_TR/(s_RadSpec!E8*s_IFSM_far_adj*s_CF_far_sheep_milk),".")</f>
        <v>506.59844474277457</v>
      </c>
      <c r="N8" s="40">
        <f>s_dir!BA8</f>
        <v>55000</v>
      </c>
      <c r="O8" s="40">
        <f t="shared" si="0"/>
        <v>13750</v>
      </c>
      <c r="P8" s="40">
        <f t="shared" si="1"/>
        <v>13750</v>
      </c>
      <c r="Q8" s="40">
        <f t="shared" si="2"/>
        <v>13750</v>
      </c>
      <c r="R8" s="40">
        <f t="shared" si="3"/>
        <v>13750</v>
      </c>
      <c r="S8" s="40">
        <f t="shared" si="4"/>
        <v>13750</v>
      </c>
      <c r="T8" s="40">
        <f t="shared" si="5"/>
        <v>13750</v>
      </c>
      <c r="U8" s="40">
        <f t="shared" si="6"/>
        <v>13750</v>
      </c>
      <c r="V8" s="40">
        <f t="shared" si="7"/>
        <v>13750</v>
      </c>
      <c r="W8" s="40">
        <f t="shared" si="8"/>
        <v>13750</v>
      </c>
      <c r="X8" s="40">
        <f t="shared" si="9"/>
        <v>13750</v>
      </c>
      <c r="Y8" s="5"/>
      <c r="Z8" s="5"/>
      <c r="AA8" s="5"/>
      <c r="AB8" s="5"/>
      <c r="AC8" s="5"/>
      <c r="AD8" s="5"/>
      <c r="AE8" s="5"/>
      <c r="AF8" s="5"/>
      <c r="AG8" s="5"/>
      <c r="AH8" s="5"/>
      <c r="AI8" s="5"/>
      <c r="AJ8" s="45">
        <f>IFERROR((s_TR/(s_RadSpec!D8*s_IFS_far_adj*(1/1000)))*1,".")</f>
        <v>152608.84826102218</v>
      </c>
      <c r="AK8" s="45">
        <f>IFERROR(IF(A8="H-3",(s_TR/(s_RadSpec!G8*s_IFA_far_adj*(1/17)*1000))*1,(s_TR/(s_RadSpec!G8*s_IFA_far_adj*(1/s_PEF_wind)*1000))*1),".")</f>
        <v>22966155.155313563</v>
      </c>
      <c r="AL8" s="45">
        <f>IFERROR((s_TR/(s_RadSpec!F8*s_EF_far*(1/365)*s_ED_far*s_RadSpec!Q8*((s_ET_far_o*(1/24)*s_RadSpec!V8)+(s_ET_far_i*(1/24)*s_RadSpec!AA8))))*1,".")</f>
        <v>222.84705336757565</v>
      </c>
      <c r="AM8" s="45">
        <f>s_b2s!BA8</f>
        <v>1115.8556051602964</v>
      </c>
      <c r="AN8" s="45">
        <f>IFERROR(((I8*s_RadSpec!AS8)/s_RadSpec!AI8)*1,".")</f>
        <v>16211.150231768786</v>
      </c>
      <c r="AO8" s="45">
        <f>IFERROR((F8/(s_RadSpec!AH8*((s_Q_p_beef*s_f_p_beef*s_f_s_beef*(s_RadSpec!BB8+s_R_es_past))+(s_Q_s_beef*s_f_p_beef))))*1,".")</f>
        <v>1688.6614824759154</v>
      </c>
      <c r="AP8" s="45">
        <f>IFERROR(((G8*s_D_milk)/(s_RadSpec!AG8*((s_Q_p_dairy*s_f_p_dairy*s_f_s_dairy*(s_RadSpec!BB8+s_R_es_past))+(s_Q_s_dairy*s_f_p_dairy))))*1,".")</f>
        <v>3478.6426539003855</v>
      </c>
      <c r="AQ8" s="45" t="str">
        <f>IFERROR((H8/(s_RadSpec!AL8*((s_Q_p_swine*s_f_p_swine*s_f_s_swine*(s_RadSpec!BB8+s_R_es_past))+(s_Q_s_swine*s_f_p_swine))))*1,".")</f>
        <v>.</v>
      </c>
      <c r="AR8" s="45" t="str">
        <f>IFERROR((D8/(s_RadSpec!AJ8*((s_Q_p_poultry*s_f_p_poultry*s_f_s_poultry*(s_RadSpec!BB8+s_R_es_past))+(s_Q_s_poultry*s_f_p_poultry))))*1,".")</f>
        <v>.</v>
      </c>
      <c r="AS8" s="45" t="str">
        <f>IFERROR((E8/(s_RadSpec!AK8*((s_Q_p_poultry*s_f_p_poultry*s_f_s_poultry*(s_RadSpec!BB8+s_R_es_past))+(s_Q_s_poultry*s_f_p_poultry))))*1,".")</f>
        <v>.</v>
      </c>
      <c r="AT8" s="45" t="str">
        <f>IFERROR((J8/(s_RadSpec!AO8*((s_Q_p_goat*s_f_p_goat*s_f_s_goat*(s_RadSpec!BB8+s_R_es_past))+(s_Q_s_goat*s_f_p_goat))))*1,".")</f>
        <v>.</v>
      </c>
      <c r="AU8" s="45" t="str">
        <f>IFERROR((L8*s_D_milk/(s_RadSpec!AP8*((s_Q_p_goat_milk*s_f_p_goat_milk*s_f_s_goat_milk*(s_RadSpec!BB8+s_R_es_past))+(s_Q_s_goat_milk*s_f_p_goat_milk))))*1,".")</f>
        <v>.</v>
      </c>
      <c r="AV8" s="45" t="str">
        <f>IFERROR((K8/(s_RadSpec!AM8*((s_Q_p_sheep*s_f_p_sheep*s_f_s_sheep*(s_RadSpec!BB8+s_R_es_past))+(s_Q_s_sheep*s_f_p_sheep))))*1,".")</f>
        <v>.</v>
      </c>
      <c r="AW8" s="45" t="str">
        <f>IFERROR((M8*s_D_milk/(s_RadSpec!AN8*((s_Q_p_sheep_milk*s_f_p_sheep_milk*s_f_s_sheep_milk*(s_RadSpec!BB8+s_R_es_past))+(s_Q_s_sheep_milk*s_f_p_sheep_milk))))*1,".")</f>
        <v>.</v>
      </c>
      <c r="AX8" s="120">
        <f t="shared" si="10"/>
        <v>6.5527E-6</v>
      </c>
      <c r="AY8" s="120">
        <f t="shared" si="11"/>
        <v>4.354233406668574E-8</v>
      </c>
      <c r="AZ8" s="120">
        <f t="shared" si="12"/>
        <v>4.4873826460273963E-3</v>
      </c>
      <c r="BA8" s="120">
        <f t="shared" si="13"/>
        <v>8.9617330000000021E-4</v>
      </c>
      <c r="BB8" s="120">
        <f t="shared" si="14"/>
        <v>6.1685937500000011E-5</v>
      </c>
      <c r="BC8" s="120">
        <f t="shared" si="15"/>
        <v>5.9218500000000006E-4</v>
      </c>
      <c r="BD8" s="120">
        <f t="shared" si="16"/>
        <v>2.8746844660194177E-4</v>
      </c>
      <c r="BE8" s="120" t="str">
        <f t="shared" si="17"/>
        <v>.</v>
      </c>
      <c r="BF8" s="120" t="str">
        <f t="shared" si="18"/>
        <v>.</v>
      </c>
      <c r="BG8" s="120" t="str">
        <f t="shared" si="19"/>
        <v>.</v>
      </c>
      <c r="BH8" s="120" t="str">
        <f t="shared" si="20"/>
        <v>.</v>
      </c>
      <c r="BI8" s="120" t="str">
        <f t="shared" si="21"/>
        <v>.</v>
      </c>
      <c r="BJ8" s="120" t="str">
        <f t="shared" si="22"/>
        <v>.</v>
      </c>
      <c r="BK8" s="120" t="str">
        <f t="shared" si="23"/>
        <v>.</v>
      </c>
      <c r="BL8" s="15">
        <f t="shared" si="24"/>
        <v>157.94066667468184</v>
      </c>
      <c r="BM8" s="40">
        <f t="shared" si="25"/>
        <v>27.5</v>
      </c>
      <c r="BN8" s="40">
        <f t="shared" si="26"/>
        <v>2.9420495991003873E-3</v>
      </c>
      <c r="BO8" s="40">
        <f>IFERROR((s_C*s_EF_far*(1/365)*s_ED_far*s_RadSpec!Q8*((s_ET_far_o*(1/24)*s_RadSpec!V8)+(s_ET_far_i*(1/24)*s_RadSpec!AA8))),".")</f>
        <v>4.132420091324198E-2</v>
      </c>
      <c r="BP8" s="40">
        <f>s_b2s!BZ8</f>
        <v>6242.5</v>
      </c>
      <c r="BQ8" s="40">
        <f>IFERROR(((s_C*s_RadSpec!AI8)/s_RadSpec!AS8)*s_IFFI_far_adj*s_CF_far_fish,0)</f>
        <v>429.6875</v>
      </c>
      <c r="BR8" s="40">
        <f>(s_C*s_IFB_far_adj*s_CF_far_beef*s_RadSpec!AH8*((s_Q_p_beef*s_f_p_beef*s_f_s_beef*(s_RadSpec!$AR8+s_R_es_past))+(s_Q_s_beef*s_f_p_beef)))</f>
        <v>4125</v>
      </c>
      <c r="BS8" s="40">
        <f>(s_C*s_IFD_far_adj*s_CF_far_dairy*s_RadSpec!AG8*1/s_D_milk*((s_Q_p_dairy*s_f_p_dairy*s_f_s_dairy*(s_RadSpec!$AR8+s_R_es_past))+(s_Q_s_dairy*s_f_p_dairy)))</f>
        <v>2002.4271844660193</v>
      </c>
      <c r="BT8" s="40">
        <f>(s_C*s_IFSW_far_adj*s_CF_far_swine*s_RadSpec!AL8*((s_Q_p_swine*s_f_p_swine*s_f_s_swine*(s_RadSpec!$AR8+s_R_es_past))+(s_Q_s_swine*s_f_p_swine)))</f>
        <v>0</v>
      </c>
      <c r="BU8" s="40">
        <f>(s_C*s_IFP_far_adj*s_CF_far_poultry*s_RadSpec!AJ8*((s_Q_p_poultry*s_f_p_poultry*s_f_s_poultry*(s_RadSpec!AR8+s_R_es_past))+(s_Q_s_poultry*s_f_p_poultry)))</f>
        <v>0</v>
      </c>
      <c r="BV8" s="40">
        <f>(s_C*s_IFE_far_adj*s_CF_far_egg*s_RadSpec!AK8*((s_Q_p_egg*s_f_p_egg*s_f_s_egg*(s_RadSpec!$AR8+s_R_es_past))+(s_Q_s_egg*s_f_p_egg)))</f>
        <v>0</v>
      </c>
      <c r="BW8" s="40">
        <f>(s_C*s_IFGO_far_adj*s_CF_far_goat*s_RadSpec!AO8*((s_Q_p_goat*s_f_p_goat*s_f_s_goat*(s_RadSpec!$AR8+s_R_es_past))+(s_Q_s_goat*s_f_p_goat)))</f>
        <v>0</v>
      </c>
      <c r="BX8" s="40">
        <f>(s_C*s_IFGM_far_adj*s_CF_far_goat_milk*s_RadSpec!AP8*1/s_D_milk*((s_Q_p_goat_milk*s_f_p_goat_milk*s_f_s_goat_milk*(s_RadSpec!$AR8+s_R_es_past))+(s_Q_s_goat_milk*s_f_p_goat_milk)))</f>
        <v>0</v>
      </c>
      <c r="BY8" s="40">
        <f>(s_C*s_IFSH_far_adj*s_CF_far_sheep*s_RadSpec!AM8*((s_Q_p_sheep*s_f_p_sheep*s_f_s_sheep*(s_RadSpec!$AR8+s_R_es_past))+(s_Q_s_sheep*s_f_p_sheep)))</f>
        <v>0</v>
      </c>
      <c r="BZ8" s="40">
        <f>(s_C*s_IFSM_far_adj*s_CF_far_sheep_milk*s_RadSpec!AN8*1/s_D_milk*((s_Q_p_sheep_milk*s_f_p_sheep_milk*s_f_s_sheep_milk*(s_RadSpec!$AR8+s_R_es_past))+(s_Q_s_sheep_milk*s_f_p_sheep_milk)))</f>
        <v>0</v>
      </c>
      <c r="CA8" s="18"/>
      <c r="CB8" s="18"/>
      <c r="CC8" s="18"/>
      <c r="CD8" s="18"/>
      <c r="CE8" s="18"/>
      <c r="CF8" s="18"/>
      <c r="CG8" s="18"/>
      <c r="CH8" s="18"/>
      <c r="CI8" s="18"/>
      <c r="CJ8" s="18"/>
      <c r="CK8" s="18"/>
      <c r="CL8" s="18"/>
      <c r="CM8" s="18"/>
      <c r="CN8" s="18"/>
      <c r="CO8" s="5"/>
      <c r="CP8" s="15">
        <f>IFERROR(s_TR/(s_RadSpec!H8*s_IFW_far_adj),".")</f>
        <v>3945.5513908068651</v>
      </c>
      <c r="CQ8" s="15" t="str">
        <f>IFERROR(IF(s_RadSpec!C8=1,s_TR/(s_RadSpec!G8*s_IFA_far_adj*s_K),"."),".")</f>
        <v>.</v>
      </c>
      <c r="CR8" s="15">
        <f>IFERROR((s_TR/(s_RadSpec!L8*(1/8760)*s_DFA_far_adj)),".")</f>
        <v>18945376.006749496</v>
      </c>
      <c r="CS8" s="15">
        <f>s_b2w!BA8</f>
        <v>4012.1041242740002</v>
      </c>
      <c r="CT8" s="15">
        <f>IFERROR(I8/(s_RadSpec!AI8*(1/1000)),".")</f>
        <v>33773.229649518304</v>
      </c>
      <c r="CU8" s="15">
        <f>IFERROR(F8/(s_RadSpec!AH8*s_Q_w_beef*(1/1000)),".")</f>
        <v>50659844.474277452</v>
      </c>
      <c r="CV8" s="15">
        <f>IFERROR((G8*s_D_milk)/(s_RadSpec!AG8*s_Q_w_dairy*(1/1000)),".")</f>
        <v>104359279.61701156</v>
      </c>
      <c r="CW8" s="15" t="str">
        <f>IFERROR(H8/(s_RadSpec!AL8*s_Q_w_swine*(1/1000)),".")</f>
        <v>.</v>
      </c>
      <c r="CX8" s="15" t="str">
        <f>IFERROR(D8/(s_RadSpec!AJ8*s_Q_w_poultry*(1/1000)),".")</f>
        <v>.</v>
      </c>
      <c r="CY8" s="15" t="str">
        <f>IFERROR(E8/(s_RadSpec!AK8*s_Q_w_poultry*(1/1000)),".")</f>
        <v>.</v>
      </c>
      <c r="CZ8" s="15" t="str">
        <f>IFERROR(J8/(s_RadSpec!AO8*s_Q_w_goat*(1/1000)),".")</f>
        <v>.</v>
      </c>
      <c r="DA8" s="15" t="str">
        <f>IFERROR(L8*s_D_milk/(s_RadSpec!AP8*s_Q_w_goat_milk*(1/1000)),".")</f>
        <v>.</v>
      </c>
      <c r="DB8" s="15" t="str">
        <f>IFERROR(K8/(s_RadSpec!AM8*s_Q_w_sheep*(1/1000)),".")</f>
        <v>.</v>
      </c>
      <c r="DC8" s="15" t="str">
        <f>IFERROR(M8*s_D_milk/(s_RadSpec!AN8*s_Q_w_sheep_milk*(1/1000)),".")</f>
        <v>.</v>
      </c>
      <c r="DD8" s="120">
        <f t="shared" si="27"/>
        <v>2.5345000000000001E-4</v>
      </c>
      <c r="DE8" s="120" t="str">
        <f t="shared" si="28"/>
        <v>.</v>
      </c>
      <c r="DF8" s="120">
        <f t="shared" si="29"/>
        <v>5.2783328219178082E-8</v>
      </c>
      <c r="DG8" s="120">
        <f t="shared" si="30"/>
        <v>2.4924577454254191E-4</v>
      </c>
      <c r="DH8" s="120">
        <f t="shared" si="31"/>
        <v>2.9609250000000005E-5</v>
      </c>
      <c r="DI8" s="120">
        <f t="shared" si="32"/>
        <v>1.9739500000000006E-8</v>
      </c>
      <c r="DJ8" s="120">
        <f t="shared" si="33"/>
        <v>9.5822815533980602E-9</v>
      </c>
      <c r="DK8" s="120" t="str">
        <f t="shared" si="34"/>
        <v>.</v>
      </c>
      <c r="DL8" s="120" t="str">
        <f t="shared" si="35"/>
        <v>.</v>
      </c>
      <c r="DM8" s="120" t="str">
        <f t="shared" si="36"/>
        <v>.</v>
      </c>
      <c r="DN8" s="120" t="str">
        <f t="shared" si="37"/>
        <v>.</v>
      </c>
      <c r="DO8" s="120" t="str">
        <f t="shared" si="38"/>
        <v>.</v>
      </c>
      <c r="DP8" s="120" t="str">
        <f t="shared" si="39"/>
        <v>.</v>
      </c>
      <c r="DQ8" s="120" t="str">
        <f t="shared" si="40"/>
        <v>.</v>
      </c>
      <c r="DR8" s="15">
        <f t="shared" si="41"/>
        <v>1878.3324094499976</v>
      </c>
      <c r="DS8" s="40">
        <f t="shared" si="42"/>
        <v>2500</v>
      </c>
      <c r="DT8" s="40">
        <f t="shared" si="43"/>
        <v>455.72916666666663</v>
      </c>
      <c r="DU8" s="40">
        <f t="shared" si="44"/>
        <v>0.22831050228310501</v>
      </c>
      <c r="DV8" s="40">
        <f>s_b2w!BZ8</f>
        <v>1736.1784239519495</v>
      </c>
      <c r="DW8" s="40">
        <f>IFERROR(s_C*s_RadSpec!AI8*(1/1000)*s_IFFI_far_adj*s_CF_far_fish,0)</f>
        <v>206.25</v>
      </c>
      <c r="DX8" s="40">
        <f>(s_C*s_IFB_far_adj*s_CF_far_beef*s_RadSpec!AH8*s_Q_w_beef*(1/1000))</f>
        <v>0.13750000000000001</v>
      </c>
      <c r="DY8" s="40">
        <f>(s_C*s_IFD_far_adj*s_CF_far_dairy*s_RadSpec!AG8*(1/s_D_milk)*s_Q_w_dairy*(1/1000))</f>
        <v>6.6747572815533993E-2</v>
      </c>
      <c r="DZ8" s="40">
        <f>(s_C*s_IFSW_far_adj*s_CF_far_swine*s_RadSpec!AL8*s_Q_w_swine*(1/1000))</f>
        <v>0</v>
      </c>
      <c r="EA8" s="40">
        <f>(s_C*s_IFP_far_adj*s_CF_far_poultry*s_RadSpec!AJ8*s_Q_w_poultry*(1/1000))</f>
        <v>0</v>
      </c>
      <c r="EB8" s="40">
        <f>(s_C*s_IFE_far_adj*s_CF_far_egg*s_RadSpec!AK8*s_Q_w_egg*(1/1000))</f>
        <v>0</v>
      </c>
      <c r="EC8" s="40">
        <f>(s_C*s_IFGO_far_adj*s_CF_far_goat*s_RadSpec!AO8*s_Q_p_goat*(1/1000))</f>
        <v>0</v>
      </c>
      <c r="ED8" s="40">
        <f>(s_C*s_IFGM_far_adj*s_CF_far_goat_milk*s_RadSpec!AP8*(1/s_D_milk)*s_Q_p_goat_milk*(1/1000))</f>
        <v>0</v>
      </c>
      <c r="EE8" s="40">
        <f>(s_C*s_IFSH_far_adj*s_CF_far_sheep*s_RadSpec!AM8*s_Q_p_sheep*(1/1000))</f>
        <v>0</v>
      </c>
      <c r="EF8" s="40">
        <f>(s_C*s_IFSM_far_adj*s_CF_far_sheep_milk*s_RadSpec!AN8*(1/s_D_milk)*s_Q_p_sheep_milk*(1/1000))</f>
        <v>0</v>
      </c>
      <c r="EG8" s="18"/>
      <c r="EH8" s="18"/>
      <c r="EI8" s="18"/>
      <c r="EJ8" s="18"/>
      <c r="EK8" s="18"/>
      <c r="EL8" s="18"/>
      <c r="EM8" s="18"/>
      <c r="EN8" s="18"/>
      <c r="EO8" s="18"/>
      <c r="EP8" s="18"/>
      <c r="EQ8" s="18"/>
      <c r="ER8" s="18"/>
      <c r="ES8" s="18"/>
      <c r="ET8" s="18"/>
      <c r="EU8" s="5"/>
      <c r="EV8" s="15">
        <f>IFERROR((s_TR/(s_RadSpec!G8*s_IFA_far_adj)),".")</f>
        <v>74.131274131274125</v>
      </c>
      <c r="EW8" s="15">
        <f>IFERROR((s_TR/(s_RadSpec!J8*s_EF_far*(1/365)*s_ED_far*s_ET_far*(1/24)*s_GSF_a)),".")</f>
        <v>16452.563374282454</v>
      </c>
      <c r="EX8" s="15">
        <f t="shared" si="49"/>
        <v>73.79875477872146</v>
      </c>
      <c r="EY8" s="40">
        <f t="shared" si="46"/>
        <v>911.45833333333326</v>
      </c>
      <c r="EZ8" s="40">
        <f t="shared" si="47"/>
        <v>0.57077625570776247</v>
      </c>
      <c r="FA8" s="122"/>
      <c r="FB8" s="122"/>
      <c r="FC8" s="122"/>
    </row>
    <row r="9" spans="1:159" customFormat="1" x14ac:dyDescent="0.25">
      <c r="A9" s="44" t="s">
        <v>19</v>
      </c>
      <c r="B9" s="42" t="s">
        <v>1074</v>
      </c>
      <c r="C9" s="15">
        <f>s_dir!AB9</f>
        <v>342.67816694594933</v>
      </c>
      <c r="D9" s="15">
        <f>IFERROR(s_TR/(s_RadSpec!E9*s_IFP_far_adj*s_CF_far_poultry),".")</f>
        <v>1370.7126677837973</v>
      </c>
      <c r="E9" s="15">
        <f>IFERROR(s_TR/(s_RadSpec!E9*s_IFE_far_adj*s_CF_far_egg),".")</f>
        <v>1370.7126677837973</v>
      </c>
      <c r="F9" s="15">
        <f>IFERROR(s_TR/(s_RadSpec!E9*s_IFB_far_adj*s_CF_far_beef),".")</f>
        <v>1370.7126677837973</v>
      </c>
      <c r="G9" s="15">
        <f>IFERROR(s_TR/(s_RadSpec!E9*s_IFD_far_adj*s_CF_far_dairy),".")</f>
        <v>1370.7126677837973</v>
      </c>
      <c r="H9" s="15">
        <f>IFERROR(s_TR/(s_RadSpec!E9*s_IFSW_far_adj*s_CF_far_swine),".")</f>
        <v>1370.7126677837973</v>
      </c>
      <c r="I9" s="15">
        <f>IFERROR(s_TR/(s_RadSpec!E9*s_IFFI_far_adj*s_CF_far_fish),".")</f>
        <v>1370.7126677837973</v>
      </c>
      <c r="J9" s="15">
        <f>IFERROR(s_TR/(s_RadSpec!E9*s_IFGO_far_adj*s_CF_far_goat),".")</f>
        <v>1370.7126677837973</v>
      </c>
      <c r="K9" s="15">
        <f>IFERROR(s_TR/(s_RadSpec!E9*s_IFSH_far_adj*s_CF_far_sheep),".")</f>
        <v>1370.7126677837973</v>
      </c>
      <c r="L9" s="15">
        <f>IFERROR(s_TR/(s_RadSpec!E9*s_IFGM_far_adj*s_CF_far_goat_milk),".")</f>
        <v>1370.7126677837973</v>
      </c>
      <c r="M9" s="15">
        <f>IFERROR(s_TR/(s_RadSpec!E9*s_IFSM_far_adj*s_CF_far_sheep_milk),".")</f>
        <v>1370.7126677837973</v>
      </c>
      <c r="N9" s="40">
        <f>s_dir!BA9</f>
        <v>55000</v>
      </c>
      <c r="O9" s="40">
        <f t="shared" si="0"/>
        <v>13750</v>
      </c>
      <c r="P9" s="40">
        <f t="shared" si="1"/>
        <v>13750</v>
      </c>
      <c r="Q9" s="40">
        <f t="shared" si="2"/>
        <v>13750</v>
      </c>
      <c r="R9" s="40">
        <f t="shared" si="3"/>
        <v>13750</v>
      </c>
      <c r="S9" s="40">
        <f t="shared" si="4"/>
        <v>13750</v>
      </c>
      <c r="T9" s="40">
        <f t="shared" si="5"/>
        <v>13750</v>
      </c>
      <c r="U9" s="40">
        <f t="shared" si="6"/>
        <v>13750</v>
      </c>
      <c r="V9" s="40">
        <f t="shared" si="7"/>
        <v>13750</v>
      </c>
      <c r="W9" s="40">
        <f t="shared" si="8"/>
        <v>13750</v>
      </c>
      <c r="X9" s="40">
        <f t="shared" si="9"/>
        <v>13750</v>
      </c>
      <c r="Y9" s="5"/>
      <c r="Z9" s="5"/>
      <c r="AA9" s="5"/>
      <c r="AB9" s="5"/>
      <c r="AC9" s="5"/>
      <c r="AD9" s="5"/>
      <c r="AE9" s="5"/>
      <c r="AF9" s="5"/>
      <c r="AG9" s="5"/>
      <c r="AH9" s="5"/>
      <c r="AI9" s="5"/>
      <c r="AJ9" s="45">
        <f>IFERROR((s_TR/(s_RadSpec!D9*s_IFS_far_adj*(1/1000)))*1,".")</f>
        <v>450826.13889953331</v>
      </c>
      <c r="AK9" s="45">
        <f>IFERROR(IF(A9="H-3",(s_TR/(s_RadSpec!G9*s_IFA_far_adj*(1/17)*1000))*1,(s_TR/(s_RadSpec!G9*s_IFA_far_adj*(1/s_PEF_wind)*1000))*1),".")</f>
        <v>27499926.885003295</v>
      </c>
      <c r="AL9" s="45">
        <f>IFERROR((s_TR/(s_RadSpec!F9*s_EF_far*(1/365)*s_ED_far*s_RadSpec!Q9*((s_ET_far_o*(1/24)*s_RadSpec!V9)+(s_ET_far_i*(1/24)*s_RadSpec!AA9))))*1,".")</f>
        <v>8.1134374686845732</v>
      </c>
      <c r="AM9" s="45">
        <f>s_b2s!BA9</f>
        <v>3019.1908982021969</v>
      </c>
      <c r="AN9" s="45">
        <f>IFERROR(((I9*s_RadSpec!AS9)/s_RadSpec!AI9)*1,".")</f>
        <v>43862.805369081514</v>
      </c>
      <c r="AO9" s="45">
        <f>IFERROR((F9/(s_RadSpec!AH9*((s_Q_p_beef*s_f_p_beef*s_f_s_beef*(s_RadSpec!BB9+s_R_es_past))+(s_Q_s_beef*s_f_p_beef))))*1,".")</f>
        <v>4569.042225945991</v>
      </c>
      <c r="AP9" s="45">
        <f>IFERROR(((G9*s_D_milk)/(s_RadSpec!AG9*((s_Q_p_dairy*s_f_p_dairy*s_f_s_dairy*(s_RadSpec!BB9+s_R_es_past))+(s_Q_s_dairy*s_f_p_dairy))))*1,".")</f>
        <v>9412.2269854487422</v>
      </c>
      <c r="AQ9" s="45" t="str">
        <f>IFERROR((H9/(s_RadSpec!AL9*((s_Q_p_swine*s_f_p_swine*s_f_s_swine*(s_RadSpec!BB9+s_R_es_past))+(s_Q_s_swine*s_f_p_swine))))*1,".")</f>
        <v>.</v>
      </c>
      <c r="AR9" s="45" t="str">
        <f>IFERROR((D9/(s_RadSpec!AJ9*((s_Q_p_poultry*s_f_p_poultry*s_f_s_poultry*(s_RadSpec!BB9+s_R_es_past))+(s_Q_s_poultry*s_f_p_poultry))))*1,".")</f>
        <v>.</v>
      </c>
      <c r="AS9" s="45" t="str">
        <f>IFERROR((E9/(s_RadSpec!AK9*((s_Q_p_poultry*s_f_p_poultry*s_f_s_poultry*(s_RadSpec!BB9+s_R_es_past))+(s_Q_s_poultry*s_f_p_poultry))))*1,".")</f>
        <v>.</v>
      </c>
      <c r="AT9" s="45" t="str">
        <f>IFERROR((J9/(s_RadSpec!AO9*((s_Q_p_goat*s_f_p_goat*s_f_s_goat*(s_RadSpec!BB9+s_R_es_past))+(s_Q_s_goat*s_f_p_goat))))*1,".")</f>
        <v>.</v>
      </c>
      <c r="AU9" s="45" t="str">
        <f>IFERROR((L9*s_D_milk/(s_RadSpec!AP9*((s_Q_p_goat_milk*s_f_p_goat_milk*s_f_s_goat_milk*(s_RadSpec!BB9+s_R_es_past))+(s_Q_s_goat_milk*s_f_p_goat_milk))))*1,".")</f>
        <v>.</v>
      </c>
      <c r="AV9" s="45" t="str">
        <f>IFERROR((K9/(s_RadSpec!AM9*((s_Q_p_sheep*s_f_p_sheep*s_f_s_sheep*(s_RadSpec!BB9+s_R_es_past))+(s_Q_s_sheep*s_f_p_sheep))))*1,".")</f>
        <v>.</v>
      </c>
      <c r="AW9" s="45" t="str">
        <f>IFERROR((M9*s_D_milk/(s_RadSpec!AN9*((s_Q_p_sheep_milk*s_f_p_sheep_milk*s_f_s_sheep_milk*(s_RadSpec!BB9+s_R_es_past))+(s_Q_s_sheep_milk*s_f_p_sheep_milk))))*1,".")</f>
        <v>.</v>
      </c>
      <c r="AX9" s="120">
        <f t="shared" si="10"/>
        <v>2.2181500000000005E-6</v>
      </c>
      <c r="AY9" s="120">
        <f t="shared" si="11"/>
        <v>3.6363733044880793E-8</v>
      </c>
      <c r="AZ9" s="120">
        <f t="shared" si="12"/>
        <v>0.12325232108581585</v>
      </c>
      <c r="BA9" s="120">
        <f t="shared" si="13"/>
        <v>3.3121456500000005E-4</v>
      </c>
      <c r="BB9" s="120">
        <f t="shared" si="14"/>
        <v>2.2798359375000002E-5</v>
      </c>
      <c r="BC9" s="120">
        <f t="shared" si="15"/>
        <v>2.1886425000000004E-4</v>
      </c>
      <c r="BD9" s="120">
        <f t="shared" si="16"/>
        <v>1.0624478155339807E-4</v>
      </c>
      <c r="BE9" s="120" t="str">
        <f t="shared" si="17"/>
        <v>.</v>
      </c>
      <c r="BF9" s="120" t="str">
        <f t="shared" si="18"/>
        <v>.</v>
      </c>
      <c r="BG9" s="120" t="str">
        <f t="shared" si="19"/>
        <v>.</v>
      </c>
      <c r="BH9" s="120" t="str">
        <f t="shared" si="20"/>
        <v>.</v>
      </c>
      <c r="BI9" s="120" t="str">
        <f t="shared" si="21"/>
        <v>.</v>
      </c>
      <c r="BJ9" s="120" t="str">
        <f t="shared" si="22"/>
        <v>.</v>
      </c>
      <c r="BK9" s="120" t="str">
        <f t="shared" si="23"/>
        <v>.</v>
      </c>
      <c r="BL9" s="15">
        <f t="shared" si="24"/>
        <v>8.0688305095743882</v>
      </c>
      <c r="BM9" s="40">
        <f t="shared" si="25"/>
        <v>27.5</v>
      </c>
      <c r="BN9" s="40">
        <f t="shared" si="26"/>
        <v>2.9420495991003873E-3</v>
      </c>
      <c r="BO9" s="40">
        <f>IFERROR((s_C*s_EF_far*(1/365)*s_ED_far*s_RadSpec!Q9*((s_ET_far_o*(1/24)*s_RadSpec!V9)+(s_ET_far_i*(1/24)*s_RadSpec!AA9))),".")</f>
        <v>8.3909044254076054E-2</v>
      </c>
      <c r="BP9" s="40">
        <f>s_b2s!BZ9</f>
        <v>6242.5</v>
      </c>
      <c r="BQ9" s="40">
        <f>IFERROR(((s_C*s_RadSpec!AI9)/s_RadSpec!AS9)*s_IFFI_far_adj*s_CF_far_fish,0)</f>
        <v>429.6875</v>
      </c>
      <c r="BR9" s="40">
        <f>(s_C*s_IFB_far_adj*s_CF_far_beef*s_RadSpec!AH9*((s_Q_p_beef*s_f_p_beef*s_f_s_beef*(s_RadSpec!$AR9+s_R_es_past))+(s_Q_s_beef*s_f_p_beef)))</f>
        <v>4125</v>
      </c>
      <c r="BS9" s="40">
        <f>(s_C*s_IFD_far_adj*s_CF_far_dairy*s_RadSpec!AG9*1/s_D_milk*((s_Q_p_dairy*s_f_p_dairy*s_f_s_dairy*(s_RadSpec!$AR9+s_R_es_past))+(s_Q_s_dairy*s_f_p_dairy)))</f>
        <v>2002.4271844660193</v>
      </c>
      <c r="BT9" s="40">
        <f>(s_C*s_IFSW_far_adj*s_CF_far_swine*s_RadSpec!AL9*((s_Q_p_swine*s_f_p_swine*s_f_s_swine*(s_RadSpec!$AR9+s_R_es_past))+(s_Q_s_swine*s_f_p_swine)))</f>
        <v>0</v>
      </c>
      <c r="BU9" s="40">
        <f>(s_C*s_IFP_far_adj*s_CF_far_poultry*s_RadSpec!AJ9*((s_Q_p_poultry*s_f_p_poultry*s_f_s_poultry*(s_RadSpec!AR9+s_R_es_past))+(s_Q_s_poultry*s_f_p_poultry)))</f>
        <v>0</v>
      </c>
      <c r="BV9" s="40">
        <f>(s_C*s_IFE_far_adj*s_CF_far_egg*s_RadSpec!AK9*((s_Q_p_egg*s_f_p_egg*s_f_s_egg*(s_RadSpec!$AR9+s_R_es_past))+(s_Q_s_egg*s_f_p_egg)))</f>
        <v>0</v>
      </c>
      <c r="BW9" s="40">
        <f>(s_C*s_IFGO_far_adj*s_CF_far_goat*s_RadSpec!AO9*((s_Q_p_goat*s_f_p_goat*s_f_s_goat*(s_RadSpec!$AR9+s_R_es_past))+(s_Q_s_goat*s_f_p_goat)))</f>
        <v>0</v>
      </c>
      <c r="BX9" s="40">
        <f>(s_C*s_IFGM_far_adj*s_CF_far_goat_milk*s_RadSpec!AP9*1/s_D_milk*((s_Q_p_goat_milk*s_f_p_goat_milk*s_f_s_goat_milk*(s_RadSpec!$AR9+s_R_es_past))+(s_Q_s_goat_milk*s_f_p_goat_milk)))</f>
        <v>0</v>
      </c>
      <c r="BY9" s="40">
        <f>(s_C*s_IFSH_far_adj*s_CF_far_sheep*s_RadSpec!AM9*((s_Q_p_sheep*s_f_p_sheep*s_f_s_sheep*(s_RadSpec!$AR9+s_R_es_past))+(s_Q_s_sheep*s_f_p_sheep)))</f>
        <v>0</v>
      </c>
      <c r="BZ9" s="40">
        <f>(s_C*s_IFSM_far_adj*s_CF_far_sheep_milk*s_RadSpec!AN9*1/s_D_milk*((s_Q_p_sheep_milk*s_f_p_sheep_milk*s_f_s_sheep_milk*(s_RadSpec!$AR9+s_R_es_past))+(s_Q_s_sheep_milk*s_f_p_sheep_milk)))</f>
        <v>0</v>
      </c>
      <c r="CA9" s="18"/>
      <c r="CB9" s="18"/>
      <c r="CC9" s="18"/>
      <c r="CD9" s="18"/>
      <c r="CE9" s="18"/>
      <c r="CF9" s="18"/>
      <c r="CG9" s="18"/>
      <c r="CH9" s="18"/>
      <c r="CI9" s="18"/>
      <c r="CJ9" s="18"/>
      <c r="CK9" s="18"/>
      <c r="CL9" s="18"/>
      <c r="CM9" s="18"/>
      <c r="CN9" s="18"/>
      <c r="CO9" s="5"/>
      <c r="CP9" s="15">
        <f>IFERROR(s_TR/(s_RadSpec!H9*s_IFW_far_adj),".")</f>
        <v>10415.039316773422</v>
      </c>
      <c r="CQ9" s="15" t="str">
        <f>IFERROR(IF(s_RadSpec!C9=1,s_TR/(s_RadSpec!G9*s_IFA_far_adj*s_K),"."),".")</f>
        <v>.</v>
      </c>
      <c r="CR9" s="15">
        <f>IFERROR((s_TR/(s_RadSpec!L9*(1/8760)*s_DFA_far_adj)),".")</f>
        <v>1512574.3747324194</v>
      </c>
      <c r="CS9" s="15">
        <f>s_b2w!BA9</f>
        <v>10855.623432484743</v>
      </c>
      <c r="CT9" s="15">
        <f>IFERROR(I9/(s_RadSpec!AI9*(1/1000)),".")</f>
        <v>91380.844518919825</v>
      </c>
      <c r="CU9" s="15">
        <f>IFERROR(F9/(s_RadSpec!AH9*s_Q_w_beef*(1/1000)),".")</f>
        <v>137071266.77837971</v>
      </c>
      <c r="CV9" s="15">
        <f>IFERROR((G9*s_D_milk)/(s_RadSpec!AG9*s_Q_w_dairy*(1/1000)),".")</f>
        <v>282366809.56346226</v>
      </c>
      <c r="CW9" s="15" t="str">
        <f>IFERROR(H9/(s_RadSpec!AL9*s_Q_w_swine*(1/1000)),".")</f>
        <v>.</v>
      </c>
      <c r="CX9" s="15" t="str">
        <f>IFERROR(D9/(s_RadSpec!AJ9*s_Q_w_poultry*(1/1000)),".")</f>
        <v>.</v>
      </c>
      <c r="CY9" s="15" t="str">
        <f>IFERROR(E9/(s_RadSpec!AK9*s_Q_w_poultry*(1/1000)),".")</f>
        <v>.</v>
      </c>
      <c r="CZ9" s="15" t="str">
        <f>IFERROR(J9/(s_RadSpec!AO9*s_Q_w_goat*(1/1000)),".")</f>
        <v>.</v>
      </c>
      <c r="DA9" s="15" t="str">
        <f>IFERROR(L9*s_D_milk/(s_RadSpec!AP9*s_Q_w_goat_milk*(1/1000)),".")</f>
        <v>.</v>
      </c>
      <c r="DB9" s="15" t="str">
        <f>IFERROR(K9/(s_RadSpec!AM9*s_Q_w_sheep*(1/1000)),".")</f>
        <v>.</v>
      </c>
      <c r="DC9" s="15" t="str">
        <f>IFERROR(M9*s_D_milk/(s_RadSpec!AN9*s_Q_w_sheep_milk*(1/1000)),".")</f>
        <v>.</v>
      </c>
      <c r="DD9" s="120">
        <f t="shared" si="27"/>
        <v>9.6014999999999995E-5</v>
      </c>
      <c r="DE9" s="120" t="str">
        <f t="shared" si="28"/>
        <v>.</v>
      </c>
      <c r="DF9" s="120">
        <f t="shared" si="29"/>
        <v>6.611245150684931E-7</v>
      </c>
      <c r="DG9" s="120">
        <f t="shared" si="30"/>
        <v>9.2118154818042543E-5</v>
      </c>
      <c r="DH9" s="120">
        <f t="shared" si="31"/>
        <v>1.0943212500000001E-5</v>
      </c>
      <c r="DI9" s="120">
        <f t="shared" si="32"/>
        <v>7.2954750000000018E-9</v>
      </c>
      <c r="DJ9" s="120">
        <f t="shared" si="33"/>
        <v>3.5414927184466024E-9</v>
      </c>
      <c r="DK9" s="120" t="str">
        <f t="shared" si="34"/>
        <v>.</v>
      </c>
      <c r="DL9" s="120" t="str">
        <f t="shared" si="35"/>
        <v>.</v>
      </c>
      <c r="DM9" s="120" t="str">
        <f t="shared" si="36"/>
        <v>.</v>
      </c>
      <c r="DN9" s="120" t="str">
        <f t="shared" si="37"/>
        <v>.</v>
      </c>
      <c r="DO9" s="120" t="str">
        <f t="shared" si="38"/>
        <v>.</v>
      </c>
      <c r="DP9" s="120" t="str">
        <f t="shared" si="39"/>
        <v>.</v>
      </c>
      <c r="DQ9" s="120" t="str">
        <f t="shared" si="40"/>
        <v>.</v>
      </c>
      <c r="DR9" s="15">
        <f t="shared" si="41"/>
        <v>5006.2997072536582</v>
      </c>
      <c r="DS9" s="40">
        <f t="shared" si="42"/>
        <v>2500</v>
      </c>
      <c r="DT9" s="40">
        <f t="shared" si="43"/>
        <v>455.72916666666663</v>
      </c>
      <c r="DU9" s="40">
        <f t="shared" si="44"/>
        <v>0.22831050228310501</v>
      </c>
      <c r="DV9" s="40">
        <f>s_b2w!BZ9</f>
        <v>1736.1784239519495</v>
      </c>
      <c r="DW9" s="40">
        <f>IFERROR(s_C*s_RadSpec!AI9*(1/1000)*s_IFFI_far_adj*s_CF_far_fish,0)</f>
        <v>206.25</v>
      </c>
      <c r="DX9" s="40">
        <f>(s_C*s_IFB_far_adj*s_CF_far_beef*s_RadSpec!AH9*s_Q_w_beef*(1/1000))</f>
        <v>0.13750000000000001</v>
      </c>
      <c r="DY9" s="40">
        <f>(s_C*s_IFD_far_adj*s_CF_far_dairy*s_RadSpec!AG9*(1/s_D_milk)*s_Q_w_dairy*(1/1000))</f>
        <v>6.6747572815533993E-2</v>
      </c>
      <c r="DZ9" s="40">
        <f>(s_C*s_IFSW_far_adj*s_CF_far_swine*s_RadSpec!AL9*s_Q_w_swine*(1/1000))</f>
        <v>0</v>
      </c>
      <c r="EA9" s="40">
        <f>(s_C*s_IFP_far_adj*s_CF_far_poultry*s_RadSpec!AJ9*s_Q_w_poultry*(1/1000))</f>
        <v>0</v>
      </c>
      <c r="EB9" s="40">
        <f>(s_C*s_IFE_far_adj*s_CF_far_egg*s_RadSpec!AK9*s_Q_w_egg*(1/1000))</f>
        <v>0</v>
      </c>
      <c r="EC9" s="40">
        <f>(s_C*s_IFGO_far_adj*s_CF_far_goat*s_RadSpec!AO9*s_Q_p_goat*(1/1000))</f>
        <v>0</v>
      </c>
      <c r="ED9" s="40">
        <f>(s_C*s_IFGM_far_adj*s_CF_far_goat_milk*s_RadSpec!AP9*(1/s_D_milk)*s_Q_p_goat_milk*(1/1000))</f>
        <v>0</v>
      </c>
      <c r="EE9" s="40">
        <f>(s_C*s_IFSH_far_adj*s_CF_far_sheep*s_RadSpec!AM9*s_Q_p_sheep*(1/1000))</f>
        <v>0</v>
      </c>
      <c r="EF9" s="40">
        <f>(s_C*s_IFSM_far_adj*s_CF_far_sheep_milk*s_RadSpec!AN9*(1/s_D_milk)*s_Q_p_sheep_milk*(1/1000))</f>
        <v>0</v>
      </c>
      <c r="EG9" s="18"/>
      <c r="EH9" s="18"/>
      <c r="EI9" s="18"/>
      <c r="EJ9" s="18"/>
      <c r="EK9" s="18"/>
      <c r="EL9" s="18"/>
      <c r="EM9" s="18"/>
      <c r="EN9" s="18"/>
      <c r="EO9" s="18"/>
      <c r="EP9" s="18"/>
      <c r="EQ9" s="18"/>
      <c r="ER9" s="18"/>
      <c r="ES9" s="18"/>
      <c r="ET9" s="18"/>
      <c r="EU9" s="5"/>
      <c r="EV9" s="15">
        <f>IFERROR((s_TR/(s_RadSpec!G9*s_IFA_far_adj)),".")</f>
        <v>88.765603328710128</v>
      </c>
      <c r="EW9" s="15">
        <f>IFERROR((s_TR/(s_RadSpec!J9*s_EF_far*(1/365)*s_ED_far*s_ET_far*(1/24)*s_GSF_a)),".")</f>
        <v>1309.3139439219547</v>
      </c>
      <c r="EX9" s="15">
        <f t="shared" si="49"/>
        <v>83.129777849534292</v>
      </c>
      <c r="EY9" s="40">
        <f t="shared" si="46"/>
        <v>911.45833333333326</v>
      </c>
      <c r="EZ9" s="40">
        <f t="shared" si="47"/>
        <v>0.57077625570776247</v>
      </c>
      <c r="FA9" s="122"/>
      <c r="FB9" s="122"/>
      <c r="FC9" s="122"/>
    </row>
    <row r="10" spans="1:159" customFormat="1" x14ac:dyDescent="0.25">
      <c r="A10" s="46" t="s">
        <v>20</v>
      </c>
      <c r="B10" s="42" t="s">
        <v>351</v>
      </c>
      <c r="C10" s="15">
        <f>s_dir!AB10</f>
        <v>2.4326757000024322</v>
      </c>
      <c r="D10" s="15">
        <f>IFERROR(s_TR/(s_RadSpec!E10*s_IFP_far_adj*s_CF_far_poultry),".")</f>
        <v>9.7307028000097286</v>
      </c>
      <c r="E10" s="15">
        <f>IFERROR(s_TR/(s_RadSpec!E10*s_IFE_far_adj*s_CF_far_egg),".")</f>
        <v>9.7307028000097286</v>
      </c>
      <c r="F10" s="15">
        <f>IFERROR(s_TR/(s_RadSpec!E10*s_IFB_far_adj*s_CF_far_beef),".")</f>
        <v>9.7307028000097286</v>
      </c>
      <c r="G10" s="15">
        <f>IFERROR(s_TR/(s_RadSpec!E10*s_IFD_far_adj*s_CF_far_dairy),".")</f>
        <v>9.7307028000097286</v>
      </c>
      <c r="H10" s="15">
        <f>IFERROR(s_TR/(s_RadSpec!E10*s_IFSW_far_adj*s_CF_far_swine),".")</f>
        <v>9.7307028000097286</v>
      </c>
      <c r="I10" s="15">
        <f>IFERROR(s_TR/(s_RadSpec!E10*s_IFFI_far_adj*s_CF_far_fish),".")</f>
        <v>9.7307028000097286</v>
      </c>
      <c r="J10" s="15">
        <f>IFERROR(s_TR/(s_RadSpec!E10*s_IFGO_far_adj*s_CF_far_goat),".")</f>
        <v>9.7307028000097286</v>
      </c>
      <c r="K10" s="15">
        <f>IFERROR(s_TR/(s_RadSpec!E10*s_IFSH_far_adj*s_CF_far_sheep),".")</f>
        <v>9.7307028000097286</v>
      </c>
      <c r="L10" s="15">
        <f>IFERROR(s_TR/(s_RadSpec!E10*s_IFGM_far_adj*s_CF_far_goat_milk),".")</f>
        <v>9.7307028000097286</v>
      </c>
      <c r="M10" s="15">
        <f>IFERROR(s_TR/(s_RadSpec!E10*s_IFSM_far_adj*s_CF_far_sheep_milk),".")</f>
        <v>9.7307028000097286</v>
      </c>
      <c r="N10" s="40">
        <f>s_dir!BA10</f>
        <v>55000</v>
      </c>
      <c r="O10" s="40">
        <f t="shared" si="0"/>
        <v>13750</v>
      </c>
      <c r="P10" s="40">
        <f t="shared" si="1"/>
        <v>13750</v>
      </c>
      <c r="Q10" s="40">
        <f t="shared" si="2"/>
        <v>13750</v>
      </c>
      <c r="R10" s="40">
        <f t="shared" si="3"/>
        <v>13750</v>
      </c>
      <c r="S10" s="40">
        <f t="shared" si="4"/>
        <v>13750</v>
      </c>
      <c r="T10" s="40">
        <f t="shared" si="5"/>
        <v>13750</v>
      </c>
      <c r="U10" s="40">
        <f t="shared" si="6"/>
        <v>13750</v>
      </c>
      <c r="V10" s="40">
        <f t="shared" si="7"/>
        <v>13750</v>
      </c>
      <c r="W10" s="40">
        <f t="shared" si="8"/>
        <v>13750</v>
      </c>
      <c r="X10" s="40">
        <f t="shared" si="9"/>
        <v>13750</v>
      </c>
      <c r="Y10" s="5"/>
      <c r="Z10" s="5"/>
      <c r="AA10" s="5"/>
      <c r="AB10" s="5"/>
      <c r="AC10" s="5"/>
      <c r="AD10" s="5"/>
      <c r="AE10" s="5"/>
      <c r="AF10" s="5"/>
      <c r="AG10" s="5"/>
      <c r="AH10" s="5"/>
      <c r="AI10" s="5"/>
      <c r="AJ10" s="45">
        <f>IFERROR((s_TR/(s_RadSpec!D10*s_IFS_far_adj*(1/1000)))*1,".")</f>
        <v>4273.0477513086207</v>
      </c>
      <c r="AK10" s="45">
        <f>IFERROR(IF(A10="H-3",(s_TR/(s_RadSpec!G10*s_IFA_far_adj*(1/17)*1000))*1,(s_TR/(s_RadSpec!G10*s_IFA_far_adj*(1/s_PEF_wind)*1000))*1),".")</f>
        <v>15109312.602179976</v>
      </c>
      <c r="AL10" s="45">
        <f>IFERROR((s_TR/(s_RadSpec!F10*s_EF_far*(1/365)*s_ED_far*s_RadSpec!Q10*((s_ET_far_o*(1/24)*s_RadSpec!V10)+(s_ET_far_i*(1/24)*s_RadSpec!AA10))))*1,".")</f>
        <v>206447.9511698948</v>
      </c>
      <c r="AM10" s="45">
        <f>s_b2s!BA10</f>
        <v>65.075254464052222</v>
      </c>
      <c r="AN10" s="45">
        <f>IFERROR(((I10*s_RadSpec!AS10)/s_RadSpec!AI10)*1,".")</f>
        <v>3.8922811200038918E-2</v>
      </c>
      <c r="AO10" s="45">
        <f>IFERROR((F10/(s_RadSpec!AH10*((s_Q_p_beef*s_f_p_beef*s_f_s_beef*(s_RadSpec!BB10+s_R_es_past))+(s_Q_s_beef*s_f_p_beef))))*1,".")</f>
        <v>4.8251418843023446</v>
      </c>
      <c r="AP10" s="45">
        <f>IFERROR(((G10*s_D_milk)/(s_RadSpec!AG10*((s_Q_p_dairy*s_f_p_dairy*s_f_s_dairy*(s_RadSpec!BB10+s_R_es_past))+(s_Q_s_dairy*s_f_p_dairy))))*1,".")</f>
        <v>23.769068499628506</v>
      </c>
      <c r="AQ10" s="45">
        <f>IFERROR((H10/(s_RadSpec!AL10*((s_Q_p_swine*s_f_p_swine*s_f_s_swine*(s_RadSpec!BB10+s_R_es_past))+(s_Q_s_swine*s_f_p_swine))))*1,".")</f>
        <v>0.53076560727325783</v>
      </c>
      <c r="AR10" s="45">
        <f>IFERROR((D10/(s_RadSpec!AJ10*((s_Q_p_poultry*s_f_p_poultry*s_f_s_poultry*(s_RadSpec!BB10+s_R_es_past))+(s_Q_s_poultry*s_f_p_poultry))))*1,".")</f>
        <v>3.9315970909130214E-2</v>
      </c>
      <c r="AS10" s="45">
        <f>IFERROR((E10/(s_RadSpec!AK10*((s_Q_p_poultry*s_f_p_poultry*s_f_s_poultry*(s_RadSpec!BB10+s_R_es_past))+(s_Q_s_poultry*s_f_p_poultry))))*1,".")</f>
        <v>0.26538280363662892</v>
      </c>
      <c r="AT10" s="45">
        <f>IFERROR((J10/(s_RadSpec!AO10*((s_Q_p_goat*s_f_p_goat*s_f_s_goat*(s_RadSpec!BB10+s_R_es_past))+(s_Q_s_goat*s_f_p_goat))))*1,".")</f>
        <v>0.33172850454578617</v>
      </c>
      <c r="AU10" s="45">
        <f>IFERROR((L10*s_D_milk/(s_RadSpec!AP10*((s_Q_p_goat_milk*s_f_p_goat_milk*s_f_s_goat_milk*(s_RadSpec!BB10+s_R_es_past))+(s_Q_s_goat_milk*s_f_p_goat_milk))))*1,".")</f>
        <v>0.99397922816628292</v>
      </c>
      <c r="AV10" s="45">
        <f>IFERROR((K10/(s_RadSpec!AM10*((s_Q_p_sheep*s_f_p_sheep*s_f_s_sheep*(s_RadSpec!BB10+s_R_es_past))+(s_Q_s_sheep*s_f_p_sheep))))*1,".")</f>
        <v>0.55870063923500835</v>
      </c>
      <c r="AW10" s="45">
        <f>IFERROR((M10*s_D_milk/(s_RadSpec!AN10*((s_Q_p_sheep_milk*s_f_p_sheep_milk*s_f_s_sheep_milk*(s_RadSpec!BB10+s_R_es_past))+(s_Q_s_sheep_milk*s_f_p_sheep_milk))))*1,".")</f>
        <v>1.8851330189360538</v>
      </c>
      <c r="AX10" s="120">
        <f t="shared" si="10"/>
        <v>2.3402500000000001E-4</v>
      </c>
      <c r="AY10" s="120">
        <f t="shared" si="11"/>
        <v>6.6184347781362318E-8</v>
      </c>
      <c r="AZ10" s="120">
        <f t="shared" si="12"/>
        <v>4.843835912796526E-6</v>
      </c>
      <c r="BA10" s="120">
        <f t="shared" si="13"/>
        <v>1.5366824275000003E-2</v>
      </c>
      <c r="BB10" s="120">
        <f t="shared" si="14"/>
        <v>25.691875000000003</v>
      </c>
      <c r="BC10" s="120">
        <f t="shared" si="15"/>
        <v>0.20724779166666671</v>
      </c>
      <c r="BD10" s="120">
        <f t="shared" si="16"/>
        <v>4.2071484627831723E-2</v>
      </c>
      <c r="BE10" s="120">
        <f t="shared" si="17"/>
        <v>1.884070833333334</v>
      </c>
      <c r="BF10" s="120">
        <f t="shared" si="18"/>
        <v>25.434956250000006</v>
      </c>
      <c r="BG10" s="120">
        <f t="shared" si="19"/>
        <v>3.7681416666666681</v>
      </c>
      <c r="BH10" s="120">
        <f t="shared" si="20"/>
        <v>3.0145133333333343</v>
      </c>
      <c r="BI10" s="120">
        <f t="shared" si="21"/>
        <v>1.0060572411003239</v>
      </c>
      <c r="BJ10" s="120">
        <f t="shared" si="22"/>
        <v>1.7898672916666671</v>
      </c>
      <c r="BK10" s="120">
        <f t="shared" si="23"/>
        <v>0.53046654530744353</v>
      </c>
      <c r="BL10" s="15">
        <f t="shared" si="24"/>
        <v>1.5776634858794176E-2</v>
      </c>
      <c r="BM10" s="40">
        <f t="shared" si="25"/>
        <v>27.5</v>
      </c>
      <c r="BN10" s="40">
        <f t="shared" si="26"/>
        <v>2.9420495991003873E-3</v>
      </c>
      <c r="BO10" s="40">
        <f>IFERROR((s_C*s_EF_far*(1/365)*s_ED_far*s_RadSpec!Q10*((s_ET_far_o*(1/24)*s_RadSpec!V10)+(s_ET_far_i*(1/24)*s_RadSpec!AA10))),".")</f>
        <v>4.3852322084864684E-2</v>
      </c>
      <c r="BP10" s="40">
        <f>s_b2s!BZ10</f>
        <v>2056.0374999999999</v>
      </c>
      <c r="BQ10" s="40">
        <f>IFERROR(((s_C*s_RadSpec!AI10)/s_RadSpec!AS10)*s_IFFI_far_adj*s_CF_far_fish,0)</f>
        <v>3437500</v>
      </c>
      <c r="BR10" s="40">
        <f>(s_C*s_IFB_far_adj*s_CF_far_beef*s_RadSpec!AH10*((s_Q_p_beef*s_f_p_beef*s_f_s_beef*(s_RadSpec!$AR10+s_R_es_past))+(s_Q_s_beef*s_f_p_beef)))</f>
        <v>27729.166666666668</v>
      </c>
      <c r="BS10" s="40">
        <f>(s_C*s_IFD_far_adj*s_CF_far_dairy*s_RadSpec!AG10*1/s_D_milk*((s_Q_p_dairy*s_f_p_dairy*s_f_s_dairy*(s_RadSpec!$AR10+s_R_es_past))+(s_Q_s_dairy*s_f_p_dairy)))</f>
        <v>5629.0453074433653</v>
      </c>
      <c r="BT10" s="40">
        <f>(s_C*s_IFSW_far_adj*s_CF_far_swine*s_RadSpec!AL10*((s_Q_p_swine*s_f_p_swine*s_f_s_swine*(s_RadSpec!$AR10+s_R_es_past))+(s_Q_s_swine*s_f_p_swine)))</f>
        <v>252083.33333333334</v>
      </c>
      <c r="BU10" s="40">
        <f>(s_C*s_IFP_far_adj*s_CF_far_poultry*s_RadSpec!AJ10*((s_Q_p_poultry*s_f_p_poultry*s_f_s_poultry*(s_RadSpec!AR10+s_R_es_past))+(s_Q_s_poultry*s_f_p_poultry)))</f>
        <v>3403125</v>
      </c>
      <c r="BV10" s="40">
        <f>(s_C*s_IFE_far_adj*s_CF_far_egg*s_RadSpec!AK10*((s_Q_p_egg*s_f_p_egg*s_f_s_egg*(s_RadSpec!$AR10+s_R_es_past))+(s_Q_s_egg*s_f_p_egg)))</f>
        <v>504166.66666666669</v>
      </c>
      <c r="BW10" s="40">
        <f>(s_C*s_IFGO_far_adj*s_CF_far_goat*s_RadSpec!AO10*((s_Q_p_goat*s_f_p_goat*s_f_s_goat*(s_RadSpec!$AR10+s_R_es_past))+(s_Q_s_goat*s_f_p_goat)))</f>
        <v>403333.33333333337</v>
      </c>
      <c r="BX10" s="40">
        <f>(s_C*s_IFGM_far_adj*s_CF_far_goat_milk*s_RadSpec!AP10*1/s_D_milk*((s_Q_p_goat_milk*s_f_p_goat_milk*s_f_s_goat_milk*(s_RadSpec!$AR10+s_R_es_past))+(s_Q_s_goat_milk*s_f_p_goat_milk)))</f>
        <v>134607.60517799354</v>
      </c>
      <c r="BY10" s="40">
        <f>(s_C*s_IFSH_far_adj*s_CF_far_sheep*s_RadSpec!AM10*((s_Q_p_sheep*s_f_p_sheep*s_f_s_sheep*(s_RadSpec!$AR10+s_R_es_past))+(s_Q_s_sheep*s_f_p_sheep)))</f>
        <v>239479.16666666669</v>
      </c>
      <c r="BZ10" s="40">
        <f>(s_C*s_IFSM_far_adj*s_CF_far_sheep_milk*s_RadSpec!AN10*1/s_D_milk*((s_Q_p_sheep_milk*s_f_p_sheep_milk*s_f_s_sheep_milk*(s_RadSpec!$AR10+s_R_es_past))+(s_Q_s_sheep_milk*s_f_p_sheep_milk)))</f>
        <v>70974.919093851131</v>
      </c>
      <c r="CA10" s="18"/>
      <c r="CB10" s="18"/>
      <c r="CC10" s="18"/>
      <c r="CD10" s="18"/>
      <c r="CE10" s="18"/>
      <c r="CF10" s="18"/>
      <c r="CG10" s="18"/>
      <c r="CH10" s="18"/>
      <c r="CI10" s="18"/>
      <c r="CJ10" s="18"/>
      <c r="CK10" s="18"/>
      <c r="CL10" s="18"/>
      <c r="CM10" s="18"/>
      <c r="CN10" s="18"/>
      <c r="CO10" s="5"/>
      <c r="CP10" s="15">
        <f>IFERROR(s_TR/(s_RadSpec!H10*s_IFW_far_adj),".")</f>
        <v>65.599580162686948</v>
      </c>
      <c r="CQ10" s="15" t="str">
        <f>IFERROR(IF(s_RadSpec!C10=1,s_TR/(s_RadSpec!G10*s_IFA_far_adj*s_K),"."),".")</f>
        <v>.</v>
      </c>
      <c r="CR10" s="15">
        <f>IFERROR((s_TR/(s_RadSpec!L10*(1/8760)*s_DFA_far_adj)),".")</f>
        <v>9768709503.4802094</v>
      </c>
      <c r="CS10" s="15">
        <f>s_b2w!BA10</f>
        <v>147.95247322402815</v>
      </c>
      <c r="CT10" s="15">
        <f>IFERROR(I10/(s_RadSpec!AI10*(1/1000)),".")</f>
        <v>3.8922811200038914</v>
      </c>
      <c r="CU10" s="15">
        <f>IFERROR(F10/(s_RadSpec!AH10*s_Q_w_beef*(1/1000)),".")</f>
        <v>88460.934545543001</v>
      </c>
      <c r="CV10" s="15">
        <f>IFERROR((G10*s_D_milk)/(s_RadSpec!AG10*s_Q_w_dairy*(1/1000)),".")</f>
        <v>435766.2558265226</v>
      </c>
      <c r="CW10" s="15">
        <f>IFERROR(H10/(s_RadSpec!AL10*s_Q_w_swine*(1/1000)),".")</f>
        <v>9730.7028000097289</v>
      </c>
      <c r="CX10" s="15">
        <f>IFERROR(D10/(s_RadSpec!AJ10*s_Q_w_poultry*(1/1000)),".")</f>
        <v>720.7928000007206</v>
      </c>
      <c r="CY10" s="15">
        <f>IFERROR(E10/(s_RadSpec!AK10*s_Q_w_poultry*(1/1000)),".")</f>
        <v>4865.3514000048644</v>
      </c>
      <c r="CZ10" s="15">
        <f>IFERROR(J10/(s_RadSpec!AO10*s_Q_w_goat*(1/1000)),".")</f>
        <v>6081.6892500060803</v>
      </c>
      <c r="DA10" s="15">
        <f>IFERROR(L10*s_D_milk/(s_RadSpec!AP10*s_Q_w_goat_milk*(1/1000)),".")</f>
        <v>18222.952516381854</v>
      </c>
      <c r="DB10" s="15">
        <f>IFERROR(K10/(s_RadSpec!AM10*s_Q_w_sheep*(1/1000)),".")</f>
        <v>10242.84505264182</v>
      </c>
      <c r="DC10" s="15">
        <f>IFERROR(M10*s_D_milk/(s_RadSpec!AN10*s_Q_w_sheep_milk*(1/1000)),".")</f>
        <v>34560.772013827649</v>
      </c>
      <c r="DD10" s="120">
        <f t="shared" si="27"/>
        <v>1.5244000000000002E-2</v>
      </c>
      <c r="DE10" s="120" t="str">
        <f t="shared" si="28"/>
        <v>.</v>
      </c>
      <c r="DF10" s="120">
        <f t="shared" si="29"/>
        <v>1.0236766684931506E-10</v>
      </c>
      <c r="DG10" s="120">
        <f t="shared" si="30"/>
        <v>6.7589272298666479E-3</v>
      </c>
      <c r="DH10" s="120">
        <f t="shared" si="31"/>
        <v>0.25691875000000008</v>
      </c>
      <c r="DI10" s="120">
        <f t="shared" si="32"/>
        <v>1.1304425000000001E-5</v>
      </c>
      <c r="DJ10" s="120">
        <f t="shared" si="33"/>
        <v>2.2948082524271853E-6</v>
      </c>
      <c r="DK10" s="120">
        <f t="shared" si="34"/>
        <v>1.0276750000000002E-4</v>
      </c>
      <c r="DL10" s="120">
        <f t="shared" si="35"/>
        <v>1.3873612500000005E-3</v>
      </c>
      <c r="DM10" s="120">
        <f t="shared" si="36"/>
        <v>2.0553500000000004E-4</v>
      </c>
      <c r="DN10" s="120">
        <f t="shared" si="37"/>
        <v>1.6442800000000005E-4</v>
      </c>
      <c r="DO10" s="120">
        <f t="shared" si="38"/>
        <v>5.4875849514563125E-5</v>
      </c>
      <c r="DP10" s="120">
        <f t="shared" si="39"/>
        <v>9.7629125000000012E-5</v>
      </c>
      <c r="DQ10" s="120">
        <f t="shared" si="40"/>
        <v>2.8934538834951468E-5</v>
      </c>
      <c r="DR10" s="15">
        <f t="shared" si="41"/>
        <v>3.559012602240017</v>
      </c>
      <c r="DS10" s="40">
        <f t="shared" si="42"/>
        <v>2500</v>
      </c>
      <c r="DT10" s="40">
        <f t="shared" si="43"/>
        <v>455.72916666666663</v>
      </c>
      <c r="DU10" s="40">
        <f t="shared" si="44"/>
        <v>0.22831050228310501</v>
      </c>
      <c r="DV10" s="40">
        <f>s_b2w!BZ10</f>
        <v>904.32529165997414</v>
      </c>
      <c r="DW10" s="40">
        <f>IFERROR(s_C*s_RadSpec!AI10*(1/1000)*s_IFFI_far_adj*s_CF_far_fish,0)</f>
        <v>34375</v>
      </c>
      <c r="DX10" s="40">
        <f>(s_C*s_IFB_far_adj*s_CF_far_beef*s_RadSpec!AH10*s_Q_w_beef*(1/1000))</f>
        <v>1.5125</v>
      </c>
      <c r="DY10" s="40">
        <f>(s_C*s_IFD_far_adj*s_CF_far_dairy*s_RadSpec!AG10*(1/s_D_milk)*s_Q_w_dairy*(1/1000))</f>
        <v>0.30703883495145634</v>
      </c>
      <c r="DZ10" s="40">
        <f>(s_C*s_IFSW_far_adj*s_CF_far_swine*s_RadSpec!AL10*s_Q_w_swine*(1/1000))</f>
        <v>13.75</v>
      </c>
      <c r="EA10" s="40">
        <f>(s_C*s_IFP_far_adj*s_CF_far_poultry*s_RadSpec!AJ10*s_Q_w_poultry*(1/1000))</f>
        <v>185.625</v>
      </c>
      <c r="EB10" s="40">
        <f>(s_C*s_IFE_far_adj*s_CF_far_egg*s_RadSpec!AK10*s_Q_w_egg*(1/1000))</f>
        <v>27.5</v>
      </c>
      <c r="EC10" s="40">
        <f>(s_C*s_IFGO_far_adj*s_CF_far_goat*s_RadSpec!AO10*s_Q_p_goat*(1/1000))</f>
        <v>22</v>
      </c>
      <c r="ED10" s="40">
        <f>(s_C*s_IFGM_far_adj*s_CF_far_goat_milk*s_RadSpec!AP10*(1/s_D_milk)*s_Q_p_goat_milk*(1/1000))</f>
        <v>7.342233009708738</v>
      </c>
      <c r="EE10" s="40">
        <f>(s_C*s_IFSH_far_adj*s_CF_far_sheep*s_RadSpec!AM10*s_Q_p_sheep*(1/1000))</f>
        <v>13.0625</v>
      </c>
      <c r="EF10" s="40">
        <f>(s_C*s_IFSM_far_adj*s_CF_far_sheep_milk*s_RadSpec!AN10*(1/s_D_milk)*s_Q_p_sheep_milk*(1/1000))</f>
        <v>3.8713592233009715</v>
      </c>
      <c r="EG10" s="18"/>
      <c r="EH10" s="18"/>
      <c r="EI10" s="18"/>
      <c r="EJ10" s="18"/>
      <c r="EK10" s="18"/>
      <c r="EL10" s="18"/>
      <c r="EM10" s="18"/>
      <c r="EN10" s="18"/>
      <c r="EO10" s="18"/>
      <c r="EP10" s="18"/>
      <c r="EQ10" s="18"/>
      <c r="ER10" s="18"/>
      <c r="ES10" s="18"/>
      <c r="ET10" s="18"/>
      <c r="EU10" s="5"/>
      <c r="EV10" s="15">
        <f>IFERROR((s_TR/(s_RadSpec!G10*s_IFA_far_adj)),".")</f>
        <v>48.770575086364566</v>
      </c>
      <c r="EW10" s="15">
        <f>IFERROR((s_TR/(s_RadSpec!J10*s_EF_far*(1/365)*s_ED_far*s_ET_far*(1/24)*s_GSF_a)),".")</f>
        <v>5397387.6968869064</v>
      </c>
      <c r="EX10" s="15">
        <f t="shared" ref="EX10" si="50">IFERROR(IF(AND(ISNUMBER(EV10),ISNUMBER(EW10)),1/((1/EV10)+(1/EW10)),IF(AND(ISNUMBER(EV10),NOT(ISNUMBER(EW10))),1/((1/EV10)),IF(AND(NOT(ISNUMBER(EV10)),ISNUMBER(EW10)),1/((1/EW10)),IF(AND(NOT(ISNUMBER(EV10)),NOT(ISNUMBER(EW10))),".")))),".")</f>
        <v>48.770134401419298</v>
      </c>
      <c r="EY10" s="40">
        <f t="shared" si="46"/>
        <v>911.45833333333326</v>
      </c>
      <c r="EZ10" s="40">
        <f t="shared" si="47"/>
        <v>0.57077625570776247</v>
      </c>
      <c r="FA10" s="122"/>
      <c r="FB10" s="122"/>
      <c r="FC10" s="122"/>
    </row>
    <row r="11" spans="1:159" customFormat="1" x14ac:dyDescent="0.25">
      <c r="A11" s="44" t="s">
        <v>21</v>
      </c>
      <c r="B11" s="42" t="s">
        <v>1074</v>
      </c>
      <c r="C11" s="15" t="str">
        <f>s_dir!AB11</f>
        <v>.</v>
      </c>
      <c r="D11" s="15" t="str">
        <f>IFERROR(s_TR/(s_RadSpec!E11*s_IFP_far_adj*s_CF_far_poultry),".")</f>
        <v>.</v>
      </c>
      <c r="E11" s="15" t="str">
        <f>IFERROR(s_TR/(s_RadSpec!E11*s_IFE_far_adj*s_CF_far_egg),".")</f>
        <v>.</v>
      </c>
      <c r="F11" s="15" t="str">
        <f>IFERROR(s_TR/(s_RadSpec!E11*s_IFB_far_adj*s_CF_far_beef),".")</f>
        <v>.</v>
      </c>
      <c r="G11" s="15" t="str">
        <f>IFERROR(s_TR/(s_RadSpec!E11*s_IFD_far_adj*s_CF_far_dairy),".")</f>
        <v>.</v>
      </c>
      <c r="H11" s="15" t="str">
        <f>IFERROR(s_TR/(s_RadSpec!E11*s_IFSW_far_adj*s_CF_far_swine),".")</f>
        <v>.</v>
      </c>
      <c r="I11" s="15" t="str">
        <f>IFERROR(s_TR/(s_RadSpec!E11*s_IFFI_far_adj*s_CF_far_fish),".")</f>
        <v>.</v>
      </c>
      <c r="J11" s="15" t="str">
        <f>IFERROR(s_TR/(s_RadSpec!E11*s_IFGO_far_adj*s_CF_far_goat),".")</f>
        <v>.</v>
      </c>
      <c r="K11" s="15" t="str">
        <f>IFERROR(s_TR/(s_RadSpec!E11*s_IFSH_far_adj*s_CF_far_sheep),".")</f>
        <v>.</v>
      </c>
      <c r="L11" s="15" t="str">
        <f>IFERROR(s_TR/(s_RadSpec!E11*s_IFGM_far_adj*s_CF_far_goat_milk),".")</f>
        <v>.</v>
      </c>
      <c r="M11" s="15" t="str">
        <f>IFERROR(s_TR/(s_RadSpec!E11*s_IFSM_far_adj*s_CF_far_sheep_milk),".")</f>
        <v>.</v>
      </c>
      <c r="N11" s="40">
        <f>s_dir!BA11</f>
        <v>55000</v>
      </c>
      <c r="O11" s="40">
        <f t="shared" si="0"/>
        <v>13750</v>
      </c>
      <c r="P11" s="40">
        <f t="shared" si="1"/>
        <v>13750</v>
      </c>
      <c r="Q11" s="40">
        <f t="shared" si="2"/>
        <v>13750</v>
      </c>
      <c r="R11" s="40">
        <f t="shared" si="3"/>
        <v>13750</v>
      </c>
      <c r="S11" s="40">
        <f t="shared" si="4"/>
        <v>13750</v>
      </c>
      <c r="T11" s="40">
        <f t="shared" si="5"/>
        <v>13750</v>
      </c>
      <c r="U11" s="40">
        <f t="shared" si="6"/>
        <v>13750</v>
      </c>
      <c r="V11" s="40">
        <f t="shared" si="7"/>
        <v>13750</v>
      </c>
      <c r="W11" s="40">
        <f t="shared" si="8"/>
        <v>13750</v>
      </c>
      <c r="X11" s="40">
        <f t="shared" si="9"/>
        <v>13750</v>
      </c>
      <c r="Y11" s="5"/>
      <c r="Z11" s="5"/>
      <c r="AA11" s="5"/>
      <c r="AB11" s="5"/>
      <c r="AC11" s="5"/>
      <c r="AD11" s="5"/>
      <c r="AE11" s="5"/>
      <c r="AF11" s="5"/>
      <c r="AG11" s="5"/>
      <c r="AH11" s="5"/>
      <c r="AI11" s="5"/>
      <c r="AJ11" s="45" t="str">
        <f>IFERROR((s_TR/(s_RadSpec!D11*s_IFS_far_adj*(1/1000)))*1,".")</f>
        <v>.</v>
      </c>
      <c r="AK11" s="45" t="str">
        <f>IFERROR(IF(A11="H-3",(s_TR/(s_RadSpec!G11*s_IFA_far_adj*(1/17)*1000))*1,(s_TR/(s_RadSpec!G11*s_IFA_far_adj*(1/s_PEF_wind)*1000))*1),".")</f>
        <v>.</v>
      </c>
      <c r="AL11" s="45">
        <f>IFERROR((s_TR/(s_RadSpec!F11*s_EF_far*(1/365)*s_ED_far*s_RadSpec!Q11*((s_ET_far_o*(1/24)*s_RadSpec!V11)+(s_ET_far_i*(1/24)*s_RadSpec!AA11))))*1,".")</f>
        <v>3251.5345272114059</v>
      </c>
      <c r="AM11" s="45" t="str">
        <f>s_b2s!BA11</f>
        <v>.</v>
      </c>
      <c r="AN11" s="45" t="str">
        <f>IFERROR(((I11*s_RadSpec!AS11)/s_RadSpec!AI11)*1,".")</f>
        <v>.</v>
      </c>
      <c r="AO11" s="45" t="str">
        <f>IFERROR((F11/(s_RadSpec!AH11*((s_Q_p_beef*s_f_p_beef*s_f_s_beef*(s_RadSpec!BB11+s_R_es_past))+(s_Q_s_beef*s_f_p_beef))))*1,".")</f>
        <v>.</v>
      </c>
      <c r="AP11" s="45" t="str">
        <f>IFERROR(((G11*s_D_milk)/(s_RadSpec!AG11*((s_Q_p_dairy*s_f_p_dairy*s_f_s_dairy*(s_RadSpec!BB11+s_R_es_past))+(s_Q_s_dairy*s_f_p_dairy))))*1,".")</f>
        <v>.</v>
      </c>
      <c r="AQ11" s="45" t="str">
        <f>IFERROR((H11/(s_RadSpec!AL11*((s_Q_p_swine*s_f_p_swine*s_f_s_swine*(s_RadSpec!BB11+s_R_es_past))+(s_Q_s_swine*s_f_p_swine))))*1,".")</f>
        <v>.</v>
      </c>
      <c r="AR11" s="45" t="str">
        <f>IFERROR((D11/(s_RadSpec!AJ11*((s_Q_p_poultry*s_f_p_poultry*s_f_s_poultry*(s_RadSpec!BB11+s_R_es_past))+(s_Q_s_poultry*s_f_p_poultry))))*1,".")</f>
        <v>.</v>
      </c>
      <c r="AS11" s="45" t="str">
        <f>IFERROR((E11/(s_RadSpec!AK11*((s_Q_p_poultry*s_f_p_poultry*s_f_s_poultry*(s_RadSpec!BB11+s_R_es_past))+(s_Q_s_poultry*s_f_p_poultry))))*1,".")</f>
        <v>.</v>
      </c>
      <c r="AT11" s="45" t="str">
        <f>IFERROR((J11/(s_RadSpec!AO11*((s_Q_p_goat*s_f_p_goat*s_f_s_goat*(s_RadSpec!BB11+s_R_es_past))+(s_Q_s_goat*s_f_p_goat))))*1,".")</f>
        <v>.</v>
      </c>
      <c r="AU11" s="45" t="str">
        <f>IFERROR((L11*s_D_milk/(s_RadSpec!AP11*((s_Q_p_goat_milk*s_f_p_goat_milk*s_f_s_goat_milk*(s_RadSpec!BB11+s_R_es_past))+(s_Q_s_goat_milk*s_f_p_goat_milk))))*1,".")</f>
        <v>.</v>
      </c>
      <c r="AV11" s="45" t="str">
        <f>IFERROR((K11/(s_RadSpec!AM11*((s_Q_p_sheep*s_f_p_sheep*s_f_s_sheep*(s_RadSpec!BB11+s_R_es_past))+(s_Q_s_sheep*s_f_p_sheep))))*1,".")</f>
        <v>.</v>
      </c>
      <c r="AW11" s="45" t="str">
        <f>IFERROR((M11*s_D_milk/(s_RadSpec!AN11*((s_Q_p_sheep_milk*s_f_p_sheep_milk*s_f_s_sheep_milk*(s_RadSpec!BB11+s_R_es_past))+(s_Q_s_sheep_milk*s_f_p_sheep_milk))))*1,".")</f>
        <v>.</v>
      </c>
      <c r="AX11" s="120" t="str">
        <f t="shared" si="10"/>
        <v>.</v>
      </c>
      <c r="AY11" s="120" t="str">
        <f t="shared" si="11"/>
        <v>.</v>
      </c>
      <c r="AZ11" s="120">
        <f t="shared" si="12"/>
        <v>3.0754709557324737E-4</v>
      </c>
      <c r="BA11" s="120" t="str">
        <f t="shared" si="13"/>
        <v>.</v>
      </c>
      <c r="BB11" s="120" t="str">
        <f t="shared" si="14"/>
        <v>.</v>
      </c>
      <c r="BC11" s="120" t="str">
        <f t="shared" si="15"/>
        <v>.</v>
      </c>
      <c r="BD11" s="120" t="str">
        <f t="shared" si="16"/>
        <v>.</v>
      </c>
      <c r="BE11" s="120" t="str">
        <f t="shared" si="17"/>
        <v>.</v>
      </c>
      <c r="BF11" s="120" t="str">
        <f t="shared" si="18"/>
        <v>.</v>
      </c>
      <c r="BG11" s="120" t="str">
        <f t="shared" si="19"/>
        <v>.</v>
      </c>
      <c r="BH11" s="120" t="str">
        <f t="shared" si="20"/>
        <v>.</v>
      </c>
      <c r="BI11" s="120" t="str">
        <f t="shared" si="21"/>
        <v>.</v>
      </c>
      <c r="BJ11" s="120" t="str">
        <f t="shared" si="22"/>
        <v>.</v>
      </c>
      <c r="BK11" s="120" t="str">
        <f t="shared" si="23"/>
        <v>.</v>
      </c>
      <c r="BL11" s="15">
        <f t="shared" si="24"/>
        <v>3251.5345272114059</v>
      </c>
      <c r="BM11" s="40">
        <f t="shared" si="25"/>
        <v>27.5</v>
      </c>
      <c r="BN11" s="40">
        <f t="shared" si="26"/>
        <v>2.9420495991003873E-3</v>
      </c>
      <c r="BO11" s="40">
        <f>IFERROR((s_C*s_EF_far*(1/365)*s_ED_far*s_RadSpec!Q11*((s_ET_far_o*(1/24)*s_RadSpec!V11)+(s_ET_far_i*(1/24)*s_RadSpec!AA11))),".")</f>
        <v>1.466559226430298E-2</v>
      </c>
      <c r="BP11" s="40">
        <f>s_b2s!BZ11</f>
        <v>2392.4999999999995</v>
      </c>
      <c r="BQ11" s="40">
        <f>IFERROR(((s_C*s_RadSpec!AI11)/s_RadSpec!AS11)*s_IFFI_far_adj*s_CF_far_fish,0)</f>
        <v>0</v>
      </c>
      <c r="BR11" s="40">
        <f>(s_C*s_IFB_far_adj*s_CF_far_beef*s_RadSpec!AH11*((s_Q_p_beef*s_f_p_beef*s_f_s_beef*(s_RadSpec!$AR11+s_R_es_past))+(s_Q_s_beef*s_f_p_beef)))</f>
        <v>41250</v>
      </c>
      <c r="BS11" s="40">
        <f>(s_C*s_IFD_far_adj*s_CF_far_dairy*s_RadSpec!AG11*1/s_D_milk*((s_Q_p_dairy*s_f_p_dairy*s_f_s_dairy*(s_RadSpec!$AR11+s_R_es_past))+(s_Q_s_dairy*s_f_p_dairy)))</f>
        <v>10679.611650485436</v>
      </c>
      <c r="BT11" s="40">
        <f>(s_C*s_IFSW_far_adj*s_CF_far_swine*s_RadSpec!AL11*((s_Q_p_swine*s_f_p_swine*s_f_s_swine*(s_RadSpec!$AR11+s_R_es_past))+(s_Q_s_swine*s_f_p_swine)))</f>
        <v>0</v>
      </c>
      <c r="BU11" s="40">
        <f>(s_C*s_IFP_far_adj*s_CF_far_poultry*s_RadSpec!AJ11*((s_Q_p_poultry*s_f_p_poultry*s_f_s_poultry*(s_RadSpec!AR11+s_R_es_past))+(s_Q_s_poultry*s_f_p_poultry)))</f>
        <v>0</v>
      </c>
      <c r="BV11" s="40">
        <f>(s_C*s_IFE_far_adj*s_CF_far_egg*s_RadSpec!AK11*((s_Q_p_egg*s_f_p_egg*s_f_s_egg*(s_RadSpec!$AR11+s_R_es_past))+(s_Q_s_egg*s_f_p_egg)))</f>
        <v>0</v>
      </c>
      <c r="BW11" s="40">
        <f>(s_C*s_IFGO_far_adj*s_CF_far_goat*s_RadSpec!AO11*((s_Q_p_goat*s_f_p_goat*s_f_s_goat*(s_RadSpec!$AR11+s_R_es_past))+(s_Q_s_goat*s_f_p_goat)))</f>
        <v>0</v>
      </c>
      <c r="BX11" s="40">
        <f>(s_C*s_IFGM_far_adj*s_CF_far_goat_milk*s_RadSpec!AP11*1/s_D_milk*((s_Q_p_goat_milk*s_f_p_goat_milk*s_f_s_goat_milk*(s_RadSpec!$AR11+s_R_es_past))+(s_Q_s_goat_milk*s_f_p_goat_milk)))</f>
        <v>0</v>
      </c>
      <c r="BY11" s="40">
        <f>(s_C*s_IFSH_far_adj*s_CF_far_sheep*s_RadSpec!AM11*((s_Q_p_sheep*s_f_p_sheep*s_f_s_sheep*(s_RadSpec!$AR11+s_R_es_past))+(s_Q_s_sheep*s_f_p_sheep)))</f>
        <v>0</v>
      </c>
      <c r="BZ11" s="40">
        <f>(s_C*s_IFSM_far_adj*s_CF_far_sheep_milk*s_RadSpec!AN11*1/s_D_milk*((s_Q_p_sheep_milk*s_f_p_sheep_milk*s_f_s_sheep_milk*(s_RadSpec!$AR11+s_R_es_past))+(s_Q_s_sheep_milk*s_f_p_sheep_milk)))</f>
        <v>0</v>
      </c>
      <c r="CA11" s="18"/>
      <c r="CB11" s="18"/>
      <c r="CC11" s="18"/>
      <c r="CD11" s="18"/>
      <c r="CE11" s="18"/>
      <c r="CF11" s="18"/>
      <c r="CG11" s="18"/>
      <c r="CH11" s="18"/>
      <c r="CI11" s="18"/>
      <c r="CJ11" s="18"/>
      <c r="CK11" s="18"/>
      <c r="CL11" s="18"/>
      <c r="CM11" s="18"/>
      <c r="CN11" s="18"/>
      <c r="CO11" s="5"/>
      <c r="CP11" s="15" t="str">
        <f>IFERROR(s_TR/(s_RadSpec!H11*s_IFW_far_adj),".")</f>
        <v>.</v>
      </c>
      <c r="CQ11" s="15" t="str">
        <f>IFERROR(IF(s_RadSpec!C11=1,s_TR/(s_RadSpec!G11*s_IFA_far_adj*s_K),"."),".")</f>
        <v>.</v>
      </c>
      <c r="CR11" s="15">
        <f>IFERROR((s_TR/(s_RadSpec!L11*(1/8760)*s_DFA_far_adj)),".")</f>
        <v>86432821.413281098</v>
      </c>
      <c r="CS11" s="15" t="str">
        <f>s_b2w!BA11</f>
        <v>.</v>
      </c>
      <c r="CT11" s="15" t="str">
        <f>IFERROR(I11/(s_RadSpec!AI11*(1/1000)),".")</f>
        <v>.</v>
      </c>
      <c r="CU11" s="15" t="str">
        <f>IFERROR(F11/(s_RadSpec!AH11*s_Q_w_beef*(1/1000)),".")</f>
        <v>.</v>
      </c>
      <c r="CV11" s="15" t="str">
        <f>IFERROR((G11*s_D_milk)/(s_RadSpec!AG11*s_Q_w_dairy*(1/1000)),".")</f>
        <v>.</v>
      </c>
      <c r="CW11" s="15" t="str">
        <f>IFERROR(H11/(s_RadSpec!AL11*s_Q_w_swine*(1/1000)),".")</f>
        <v>.</v>
      </c>
      <c r="CX11" s="15" t="str">
        <f>IFERROR(D11/(s_RadSpec!AJ11*s_Q_w_poultry*(1/1000)),".")</f>
        <v>.</v>
      </c>
      <c r="CY11" s="15" t="str">
        <f>IFERROR(E11/(s_RadSpec!AK11*s_Q_w_poultry*(1/1000)),".")</f>
        <v>.</v>
      </c>
      <c r="CZ11" s="15" t="str">
        <f>IFERROR(J11/(s_RadSpec!AO11*s_Q_w_goat*(1/1000)),".")</f>
        <v>.</v>
      </c>
      <c r="DA11" s="15" t="str">
        <f>IFERROR(L11*s_D_milk/(s_RadSpec!AP11*s_Q_w_goat_milk*(1/1000)),".")</f>
        <v>.</v>
      </c>
      <c r="DB11" s="15" t="str">
        <f>IFERROR(K11/(s_RadSpec!AM11*s_Q_w_sheep*(1/1000)),".")</f>
        <v>.</v>
      </c>
      <c r="DC11" s="15" t="str">
        <f>IFERROR(M11*s_D_milk/(s_RadSpec!AN11*s_Q_w_sheep_milk*(1/1000)),".")</f>
        <v>.</v>
      </c>
      <c r="DD11" s="120" t="str">
        <f t="shared" si="27"/>
        <v>.</v>
      </c>
      <c r="DE11" s="120" t="str">
        <f t="shared" si="28"/>
        <v>.</v>
      </c>
      <c r="DF11" s="120">
        <f t="shared" si="29"/>
        <v>1.1569679013698631E-8</v>
      </c>
      <c r="DG11" s="120" t="str">
        <f t="shared" si="30"/>
        <v>.</v>
      </c>
      <c r="DH11" s="120" t="str">
        <f t="shared" si="31"/>
        <v>.</v>
      </c>
      <c r="DI11" s="120" t="str">
        <f t="shared" si="32"/>
        <v>.</v>
      </c>
      <c r="DJ11" s="120" t="str">
        <f t="shared" si="33"/>
        <v>.</v>
      </c>
      <c r="DK11" s="120" t="str">
        <f t="shared" si="34"/>
        <v>.</v>
      </c>
      <c r="DL11" s="120" t="str">
        <f t="shared" si="35"/>
        <v>.</v>
      </c>
      <c r="DM11" s="120" t="str">
        <f t="shared" si="36"/>
        <v>.</v>
      </c>
      <c r="DN11" s="120" t="str">
        <f t="shared" si="37"/>
        <v>.</v>
      </c>
      <c r="DO11" s="120" t="str">
        <f t="shared" si="38"/>
        <v>.</v>
      </c>
      <c r="DP11" s="120" t="str">
        <f t="shared" si="39"/>
        <v>.</v>
      </c>
      <c r="DQ11" s="120" t="str">
        <f t="shared" si="40"/>
        <v>.</v>
      </c>
      <c r="DR11" s="15">
        <f t="shared" si="41"/>
        <v>86432821.413281098</v>
      </c>
      <c r="DS11" s="40">
        <f t="shared" si="42"/>
        <v>2500</v>
      </c>
      <c r="DT11" s="40">
        <f t="shared" si="43"/>
        <v>455.72916666666663</v>
      </c>
      <c r="DU11" s="40">
        <f t="shared" si="44"/>
        <v>0.22831050228310501</v>
      </c>
      <c r="DV11" s="40">
        <f>s_b2w!BZ11</f>
        <v>971.18063421321278</v>
      </c>
      <c r="DW11" s="40">
        <f>IFERROR(s_C*s_RadSpec!AI11*(1/1000)*s_IFFI_far_adj*s_CF_far_fish,0)</f>
        <v>0</v>
      </c>
      <c r="DX11" s="40">
        <f>(s_C*s_IFB_far_adj*s_CF_far_beef*s_RadSpec!AH11*s_Q_w_beef*(1/1000))</f>
        <v>2.0625</v>
      </c>
      <c r="DY11" s="40">
        <f>(s_C*s_IFD_far_adj*s_CF_far_dairy*s_RadSpec!AG11*(1/s_D_milk)*s_Q_w_dairy*(1/1000))</f>
        <v>0.53398058252427194</v>
      </c>
      <c r="DZ11" s="40">
        <f>(s_C*s_IFSW_far_adj*s_CF_far_swine*s_RadSpec!AL11*s_Q_w_swine*(1/1000))</f>
        <v>0</v>
      </c>
      <c r="EA11" s="40">
        <f>(s_C*s_IFP_far_adj*s_CF_far_poultry*s_RadSpec!AJ11*s_Q_w_poultry*(1/1000))</f>
        <v>0</v>
      </c>
      <c r="EB11" s="40">
        <f>(s_C*s_IFE_far_adj*s_CF_far_egg*s_RadSpec!AK11*s_Q_w_egg*(1/1000))</f>
        <v>0</v>
      </c>
      <c r="EC11" s="40">
        <f>(s_C*s_IFGO_far_adj*s_CF_far_goat*s_RadSpec!AO11*s_Q_p_goat*(1/1000))</f>
        <v>0</v>
      </c>
      <c r="ED11" s="40">
        <f>(s_C*s_IFGM_far_adj*s_CF_far_goat_milk*s_RadSpec!AP11*(1/s_D_milk)*s_Q_p_goat_milk*(1/1000))</f>
        <v>0</v>
      </c>
      <c r="EE11" s="40">
        <f>(s_C*s_IFSH_far_adj*s_CF_far_sheep*s_RadSpec!AM11*s_Q_p_sheep*(1/1000))</f>
        <v>0</v>
      </c>
      <c r="EF11" s="40">
        <f>(s_C*s_IFSM_far_adj*s_CF_far_sheep_milk*s_RadSpec!AN11*(1/s_D_milk)*s_Q_p_sheep_milk*(1/1000))</f>
        <v>0</v>
      </c>
      <c r="EG11" s="18"/>
      <c r="EH11" s="18"/>
      <c r="EI11" s="18"/>
      <c r="EJ11" s="18"/>
      <c r="EK11" s="18"/>
      <c r="EL11" s="18"/>
      <c r="EM11" s="18"/>
      <c r="EN11" s="18"/>
      <c r="EO11" s="18"/>
      <c r="EP11" s="18"/>
      <c r="EQ11" s="18"/>
      <c r="ER11" s="18"/>
      <c r="ES11" s="18"/>
      <c r="ET11" s="18"/>
      <c r="EU11" s="5"/>
      <c r="EV11" s="15" t="str">
        <f>IFERROR((s_TR/(s_RadSpec!G11*s_IFA_far_adj)),".")</f>
        <v>.</v>
      </c>
      <c r="EW11" s="15">
        <f>IFERROR((s_TR/(s_RadSpec!J11*s_EF_far*(1/365)*s_ED_far*s_ET_far*(1/24)*s_GSF_a)),".")</f>
        <v>76011.842945013181</v>
      </c>
      <c r="EX11" s="15">
        <f t="shared" ref="EX11" si="51">IFERROR(IF(AND(ISNUMBER(EV11),ISNUMBER(EW11)),1/((1/EV11)+(1/EW11)),IF(AND(ISNUMBER(EV11),NOT(ISNUMBER(EW11))),1/((1/EV11)),IF(AND(NOT(ISNUMBER(EV11)),ISNUMBER(EW11)),1/((1/EW11)),IF(AND(NOT(ISNUMBER(EV11)),NOT(ISNUMBER(EW11))),".")))),".")</f>
        <v>76011.842945013181</v>
      </c>
      <c r="EY11" s="40">
        <f t="shared" si="46"/>
        <v>911.45833333333326</v>
      </c>
      <c r="EZ11" s="40">
        <f t="shared" si="47"/>
        <v>0.57077625570776247</v>
      </c>
      <c r="FA11" s="122"/>
      <c r="FB11" s="122"/>
      <c r="FC11" s="122"/>
    </row>
    <row r="12" spans="1:159" customFormat="1" x14ac:dyDescent="0.25">
      <c r="A12" s="44" t="s">
        <v>22</v>
      </c>
      <c r="B12" s="42" t="s">
        <v>1074</v>
      </c>
      <c r="C12" s="15" t="str">
        <f>s_dir!AB12</f>
        <v>.</v>
      </c>
      <c r="D12" s="15" t="str">
        <f>IFERROR(s_TR/(s_RadSpec!E12*s_IFP_far_adj*s_CF_far_poultry),".")</f>
        <v>.</v>
      </c>
      <c r="E12" s="15" t="str">
        <f>IFERROR(s_TR/(s_RadSpec!E12*s_IFE_far_adj*s_CF_far_egg),".")</f>
        <v>.</v>
      </c>
      <c r="F12" s="15" t="str">
        <f>IFERROR(s_TR/(s_RadSpec!E12*s_IFB_far_adj*s_CF_far_beef),".")</f>
        <v>.</v>
      </c>
      <c r="G12" s="15" t="str">
        <f>IFERROR(s_TR/(s_RadSpec!E12*s_IFD_far_adj*s_CF_far_dairy),".")</f>
        <v>.</v>
      </c>
      <c r="H12" s="15" t="str">
        <f>IFERROR(s_TR/(s_RadSpec!E12*s_IFSW_far_adj*s_CF_far_swine),".")</f>
        <v>.</v>
      </c>
      <c r="I12" s="15" t="str">
        <f>IFERROR(s_TR/(s_RadSpec!E12*s_IFFI_far_adj*s_CF_far_fish),".")</f>
        <v>.</v>
      </c>
      <c r="J12" s="15" t="str">
        <f>IFERROR(s_TR/(s_RadSpec!E12*s_IFGO_far_adj*s_CF_far_goat),".")</f>
        <v>.</v>
      </c>
      <c r="K12" s="15" t="str">
        <f>IFERROR(s_TR/(s_RadSpec!E12*s_IFSH_far_adj*s_CF_far_sheep),".")</f>
        <v>.</v>
      </c>
      <c r="L12" s="15" t="str">
        <f>IFERROR(s_TR/(s_RadSpec!E12*s_IFGM_far_adj*s_CF_far_goat_milk),".")</f>
        <v>.</v>
      </c>
      <c r="M12" s="15" t="str">
        <f>IFERROR(s_TR/(s_RadSpec!E12*s_IFSM_far_adj*s_CF_far_sheep_milk),".")</f>
        <v>.</v>
      </c>
      <c r="N12" s="40">
        <f>s_dir!BA12</f>
        <v>55000</v>
      </c>
      <c r="O12" s="40">
        <f t="shared" si="0"/>
        <v>13750</v>
      </c>
      <c r="P12" s="40">
        <f t="shared" si="1"/>
        <v>13750</v>
      </c>
      <c r="Q12" s="40">
        <f t="shared" si="2"/>
        <v>13750</v>
      </c>
      <c r="R12" s="40">
        <f t="shared" si="3"/>
        <v>13750</v>
      </c>
      <c r="S12" s="40">
        <f t="shared" si="4"/>
        <v>13750</v>
      </c>
      <c r="T12" s="40">
        <f t="shared" si="5"/>
        <v>13750</v>
      </c>
      <c r="U12" s="40">
        <f t="shared" si="6"/>
        <v>13750</v>
      </c>
      <c r="V12" s="40">
        <f t="shared" si="7"/>
        <v>13750</v>
      </c>
      <c r="W12" s="40">
        <f t="shared" si="8"/>
        <v>13750</v>
      </c>
      <c r="X12" s="40">
        <f t="shared" si="9"/>
        <v>13750</v>
      </c>
      <c r="Y12" s="5"/>
      <c r="Z12" s="5"/>
      <c r="AA12" s="5"/>
      <c r="AB12" s="5"/>
      <c r="AC12" s="5"/>
      <c r="AD12" s="5"/>
      <c r="AE12" s="5"/>
      <c r="AF12" s="5"/>
      <c r="AG12" s="5"/>
      <c r="AH12" s="5"/>
      <c r="AI12" s="5"/>
      <c r="AJ12" s="45" t="str">
        <f>IFERROR((s_TR/(s_RadSpec!D12*s_IFS_far_adj*(1/1000)))*1,".")</f>
        <v>.</v>
      </c>
      <c r="AK12" s="45" t="str">
        <f>IFERROR(IF(A12="H-3",(s_TR/(s_RadSpec!G12*s_IFA_far_adj*(1/17)*1000))*1,(s_TR/(s_RadSpec!G12*s_IFA_far_adj*(1/s_PEF_wind)*1000))*1),".")</f>
        <v>.</v>
      </c>
      <c r="AL12" s="45">
        <f>IFERROR((s_TR/(s_RadSpec!F12*s_EF_far*(1/365)*s_ED_far*s_RadSpec!Q12*((s_ET_far_o*(1/24)*s_RadSpec!V12)+(s_ET_far_i*(1/24)*s_RadSpec!AA12))))*1,".")</f>
        <v>337.92914326504501</v>
      </c>
      <c r="AM12" s="45" t="str">
        <f>s_b2s!BA12</f>
        <v>.</v>
      </c>
      <c r="AN12" s="45" t="str">
        <f>IFERROR(((I12*s_RadSpec!AS12)/s_RadSpec!AI12)*1,".")</f>
        <v>.</v>
      </c>
      <c r="AO12" s="45" t="str">
        <f>IFERROR((F12/(s_RadSpec!AH12*((s_Q_p_beef*s_f_p_beef*s_f_s_beef*(s_RadSpec!BB12+s_R_es_past))+(s_Q_s_beef*s_f_p_beef))))*1,".")</f>
        <v>.</v>
      </c>
      <c r="AP12" s="45" t="str">
        <f>IFERROR(((G12*s_D_milk)/(s_RadSpec!AG12*((s_Q_p_dairy*s_f_p_dairy*s_f_s_dairy*(s_RadSpec!BB12+s_R_es_past))+(s_Q_s_dairy*s_f_p_dairy))))*1,".")</f>
        <v>.</v>
      </c>
      <c r="AQ12" s="45" t="str">
        <f>IFERROR((H12/(s_RadSpec!AL12*((s_Q_p_swine*s_f_p_swine*s_f_s_swine*(s_RadSpec!BB12+s_R_es_past))+(s_Q_s_swine*s_f_p_swine))))*1,".")</f>
        <v>.</v>
      </c>
      <c r="AR12" s="45" t="str">
        <f>IFERROR((D12/(s_RadSpec!AJ12*((s_Q_p_poultry*s_f_p_poultry*s_f_s_poultry*(s_RadSpec!BB12+s_R_es_past))+(s_Q_s_poultry*s_f_p_poultry))))*1,".")</f>
        <v>.</v>
      </c>
      <c r="AS12" s="45" t="str">
        <f>IFERROR((E12/(s_RadSpec!AK12*((s_Q_p_poultry*s_f_p_poultry*s_f_s_poultry*(s_RadSpec!BB12+s_R_es_past))+(s_Q_s_poultry*s_f_p_poultry))))*1,".")</f>
        <v>.</v>
      </c>
      <c r="AT12" s="45" t="str">
        <f>IFERROR((J12/(s_RadSpec!AO12*((s_Q_p_goat*s_f_p_goat*s_f_s_goat*(s_RadSpec!BB12+s_R_es_past))+(s_Q_s_goat*s_f_p_goat))))*1,".")</f>
        <v>.</v>
      </c>
      <c r="AU12" s="45" t="str">
        <f>IFERROR((L12*s_D_milk/(s_RadSpec!AP12*((s_Q_p_goat_milk*s_f_p_goat_milk*s_f_s_goat_milk*(s_RadSpec!BB12+s_R_es_past))+(s_Q_s_goat_milk*s_f_p_goat_milk))))*1,".")</f>
        <v>.</v>
      </c>
      <c r="AV12" s="45" t="str">
        <f>IFERROR((K12/(s_RadSpec!AM12*((s_Q_p_sheep*s_f_p_sheep*s_f_s_sheep*(s_RadSpec!BB12+s_R_es_past))+(s_Q_s_sheep*s_f_p_sheep))))*1,".")</f>
        <v>.</v>
      </c>
      <c r="AW12" s="45" t="str">
        <f>IFERROR((M12*s_D_milk/(s_RadSpec!AN12*((s_Q_p_sheep_milk*s_f_p_sheep_milk*s_f_s_sheep_milk*(s_RadSpec!BB12+s_R_es_past))+(s_Q_s_sheep_milk*s_f_p_sheep_milk))))*1,".")</f>
        <v>.</v>
      </c>
      <c r="AX12" s="120" t="str">
        <f t="shared" si="10"/>
        <v>.</v>
      </c>
      <c r="AY12" s="120" t="str">
        <f t="shared" si="11"/>
        <v>.</v>
      </c>
      <c r="AZ12" s="120">
        <f t="shared" si="12"/>
        <v>2.9592002345168516E-3</v>
      </c>
      <c r="BA12" s="120" t="str">
        <f t="shared" si="13"/>
        <v>.</v>
      </c>
      <c r="BB12" s="120" t="str">
        <f t="shared" si="14"/>
        <v>.</v>
      </c>
      <c r="BC12" s="120" t="str">
        <f t="shared" si="15"/>
        <v>.</v>
      </c>
      <c r="BD12" s="120" t="str">
        <f t="shared" si="16"/>
        <v>.</v>
      </c>
      <c r="BE12" s="120" t="str">
        <f t="shared" si="17"/>
        <v>.</v>
      </c>
      <c r="BF12" s="120" t="str">
        <f t="shared" si="18"/>
        <v>.</v>
      </c>
      <c r="BG12" s="120" t="str">
        <f t="shared" si="19"/>
        <v>.</v>
      </c>
      <c r="BH12" s="120" t="str">
        <f t="shared" si="20"/>
        <v>.</v>
      </c>
      <c r="BI12" s="120" t="str">
        <f t="shared" si="21"/>
        <v>.</v>
      </c>
      <c r="BJ12" s="120" t="str">
        <f t="shared" si="22"/>
        <v>.</v>
      </c>
      <c r="BK12" s="120" t="str">
        <f t="shared" si="23"/>
        <v>.</v>
      </c>
      <c r="BL12" s="15">
        <f t="shared" si="24"/>
        <v>337.92914326504501</v>
      </c>
      <c r="BM12" s="40">
        <f t="shared" si="25"/>
        <v>27.5</v>
      </c>
      <c r="BN12" s="40">
        <f t="shared" si="26"/>
        <v>2.9420495991003873E-3</v>
      </c>
      <c r="BO12" s="40">
        <f>IFERROR((s_C*s_EF_far*(1/365)*s_ED_far*s_RadSpec!Q12*((s_ET_far_o*(1/24)*s_RadSpec!V12)+(s_ET_far_i*(1/24)*s_RadSpec!AA12))),".")</f>
        <v>3.0608237658527573E-2</v>
      </c>
      <c r="BP12" s="40">
        <f>s_b2s!BZ12</f>
        <v>17242.5</v>
      </c>
      <c r="BQ12" s="40">
        <f>IFERROR(((s_C*s_RadSpec!AI12)/s_RadSpec!AS12)*s_IFFI_far_adj*s_CF_far_fish,0)</f>
        <v>13313.492063492062</v>
      </c>
      <c r="BR12" s="40">
        <f>(s_C*s_IFB_far_adj*s_CF_far_beef*s_RadSpec!AH12*((s_Q_p_beef*s_f_p_beef*s_f_s_beef*(s_RadSpec!$AR12+s_R_es_past))+(s_Q_s_beef*s_f_p_beef)))</f>
        <v>29218.75</v>
      </c>
      <c r="BS12" s="40">
        <f>(s_C*s_IFD_far_adj*s_CF_far_dairy*s_RadSpec!AG12*1/s_D_milk*((s_Q_p_dairy*s_f_p_dairy*s_f_s_dairy*(s_RadSpec!$AR12+s_R_es_past))+(s_Q_s_dairy*s_f_p_dairy)))</f>
        <v>1418.3859223300972</v>
      </c>
      <c r="BT12" s="40">
        <f>(s_C*s_IFSW_far_adj*s_CF_far_swine*s_RadSpec!AL12*((s_Q_p_swine*s_f_p_swine*s_f_s_swine*(s_RadSpec!$AR12+s_R_es_past))+(s_Q_s_swine*s_f_p_swine)))</f>
        <v>0</v>
      </c>
      <c r="BU12" s="40">
        <f>(s_C*s_IFP_far_adj*s_CF_far_poultry*s_RadSpec!AJ12*((s_Q_p_poultry*s_f_p_poultry*s_f_s_poultry*(s_RadSpec!AR12+s_R_es_past))+(s_Q_s_poultry*s_f_p_poultry)))</f>
        <v>87656.25</v>
      </c>
      <c r="BV12" s="40">
        <f>(s_C*s_IFE_far_adj*s_CF_far_egg*s_RadSpec!AK12*((s_Q_p_egg*s_f_p_egg*s_f_s_egg*(s_RadSpec!$AR12+s_R_es_past))+(s_Q_s_egg*s_f_p_egg)))</f>
        <v>0</v>
      </c>
      <c r="BW12" s="40">
        <f>(s_C*s_IFGO_far_adj*s_CF_far_goat*s_RadSpec!AO12*((s_Q_p_goat*s_f_p_goat*s_f_s_goat*(s_RadSpec!$AR12+s_R_es_past))+(s_Q_s_goat*s_f_p_goat)))</f>
        <v>0</v>
      </c>
      <c r="BX12" s="40">
        <f>(s_C*s_IFGM_far_adj*s_CF_far_goat_milk*s_RadSpec!AP12*1/s_D_milk*((s_Q_p_goat_milk*s_f_p_goat_milk*s_f_s_goat_milk*(s_RadSpec!$AR12+s_R_es_past))+(s_Q_s_goat_milk*s_f_p_goat_milk)))</f>
        <v>0</v>
      </c>
      <c r="BY12" s="40">
        <f>(s_C*s_IFSH_far_adj*s_CF_far_sheep*s_RadSpec!AM12*((s_Q_p_sheep*s_f_p_sheep*s_f_s_sheep*(s_RadSpec!$AR12+s_R_es_past))+(s_Q_s_sheep*s_f_p_sheep)))</f>
        <v>0</v>
      </c>
      <c r="BZ12" s="40">
        <f>(s_C*s_IFSM_far_adj*s_CF_far_sheep_milk*s_RadSpec!AN12*1/s_D_milk*((s_Q_p_sheep_milk*s_f_p_sheep_milk*s_f_s_sheep_milk*(s_RadSpec!$AR12+s_R_es_past))+(s_Q_s_sheep_milk*s_f_p_sheep_milk)))</f>
        <v>0</v>
      </c>
      <c r="CA12" s="18"/>
      <c r="CB12" s="18"/>
      <c r="CC12" s="18"/>
      <c r="CD12" s="18"/>
      <c r="CE12" s="18"/>
      <c r="CF12" s="18"/>
      <c r="CG12" s="18"/>
      <c r="CH12" s="18"/>
      <c r="CI12" s="18"/>
      <c r="CJ12" s="18"/>
      <c r="CK12" s="18"/>
      <c r="CL12" s="18"/>
      <c r="CM12" s="18"/>
      <c r="CN12" s="18"/>
      <c r="CO12" s="5"/>
      <c r="CP12" s="15" t="str">
        <f>IFERROR(s_TR/(s_RadSpec!H12*s_IFW_far_adj),".")</f>
        <v>.</v>
      </c>
      <c r="CQ12" s="15" t="str">
        <f>IFERROR(IF(s_RadSpec!C12=1,s_TR/(s_RadSpec!G12*s_IFA_far_adj*s_K),"."),".")</f>
        <v>.</v>
      </c>
      <c r="CR12" s="15">
        <f>IFERROR((s_TR/(s_RadSpec!L12*(1/8760)*s_DFA_far_adj)),".")</f>
        <v>20276672.699115679</v>
      </c>
      <c r="CS12" s="15" t="str">
        <f>s_b2w!BA12</f>
        <v>.</v>
      </c>
      <c r="CT12" s="15" t="str">
        <f>IFERROR(I12/(s_RadSpec!AI12*(1/1000)),".")</f>
        <v>.</v>
      </c>
      <c r="CU12" s="15" t="str">
        <f>IFERROR(F12/(s_RadSpec!AH12*s_Q_w_beef*(1/1000)),".")</f>
        <v>.</v>
      </c>
      <c r="CV12" s="15" t="str">
        <f>IFERROR((G12*s_D_milk)/(s_RadSpec!AG12*s_Q_w_dairy*(1/1000)),".")</f>
        <v>.</v>
      </c>
      <c r="CW12" s="15" t="str">
        <f>IFERROR(H12/(s_RadSpec!AL12*s_Q_w_swine*(1/1000)),".")</f>
        <v>.</v>
      </c>
      <c r="CX12" s="15" t="str">
        <f>IFERROR(D12/(s_RadSpec!AJ12*s_Q_w_poultry*(1/1000)),".")</f>
        <v>.</v>
      </c>
      <c r="CY12" s="15" t="str">
        <f>IFERROR(E12/(s_RadSpec!AK12*s_Q_w_poultry*(1/1000)),".")</f>
        <v>.</v>
      </c>
      <c r="CZ12" s="15" t="str">
        <f>IFERROR(J12/(s_RadSpec!AO12*s_Q_w_goat*(1/1000)),".")</f>
        <v>.</v>
      </c>
      <c r="DA12" s="15" t="str">
        <f>IFERROR(L12*s_D_milk/(s_RadSpec!AP12*s_Q_w_goat_milk*(1/1000)),".")</f>
        <v>.</v>
      </c>
      <c r="DB12" s="15" t="str">
        <f>IFERROR(K12/(s_RadSpec!AM12*s_Q_w_sheep*(1/1000)),".")</f>
        <v>.</v>
      </c>
      <c r="DC12" s="15" t="str">
        <f>IFERROR(M12*s_D_milk/(s_RadSpec!AN12*s_Q_w_sheep_milk*(1/1000)),".")</f>
        <v>.</v>
      </c>
      <c r="DD12" s="120" t="str">
        <f t="shared" si="27"/>
        <v>.</v>
      </c>
      <c r="DE12" s="120" t="str">
        <f t="shared" si="28"/>
        <v>.</v>
      </c>
      <c r="DF12" s="120">
        <f t="shared" si="29"/>
        <v>4.9317756164383552E-8</v>
      </c>
      <c r="DG12" s="120" t="str">
        <f t="shared" si="30"/>
        <v>.</v>
      </c>
      <c r="DH12" s="120" t="str">
        <f t="shared" si="31"/>
        <v>.</v>
      </c>
      <c r="DI12" s="120" t="str">
        <f t="shared" si="32"/>
        <v>.</v>
      </c>
      <c r="DJ12" s="120" t="str">
        <f t="shared" si="33"/>
        <v>.</v>
      </c>
      <c r="DK12" s="120" t="str">
        <f t="shared" si="34"/>
        <v>.</v>
      </c>
      <c r="DL12" s="120" t="str">
        <f t="shared" si="35"/>
        <v>.</v>
      </c>
      <c r="DM12" s="120" t="str">
        <f t="shared" si="36"/>
        <v>.</v>
      </c>
      <c r="DN12" s="120" t="str">
        <f t="shared" si="37"/>
        <v>.</v>
      </c>
      <c r="DO12" s="120" t="str">
        <f t="shared" si="38"/>
        <v>.</v>
      </c>
      <c r="DP12" s="120" t="str">
        <f t="shared" si="39"/>
        <v>.</v>
      </c>
      <c r="DQ12" s="120" t="str">
        <f t="shared" si="40"/>
        <v>.</v>
      </c>
      <c r="DR12" s="15">
        <f t="shared" si="41"/>
        <v>20276672.699115679</v>
      </c>
      <c r="DS12" s="40">
        <f t="shared" si="42"/>
        <v>2500</v>
      </c>
      <c r="DT12" s="40">
        <f t="shared" si="43"/>
        <v>455.72916666666663</v>
      </c>
      <c r="DU12" s="40">
        <f t="shared" si="44"/>
        <v>0.22831050228310501</v>
      </c>
      <c r="DV12" s="40">
        <f>s_b2w!BZ12</f>
        <v>3921.8863946340543</v>
      </c>
      <c r="DW12" s="40">
        <f>IFERROR(s_C*s_RadSpec!AI12*(1/1000)*s_IFFI_far_adj*s_CF_far_fish,0)</f>
        <v>83875</v>
      </c>
      <c r="DX12" s="40">
        <f>(s_C*s_IFB_far_adj*s_CF_far_beef*s_RadSpec!AH12*s_Q_w_beef*(1/1000))</f>
        <v>0.6875</v>
      </c>
      <c r="DY12" s="40">
        <f>(s_C*s_IFD_far_adj*s_CF_far_dairy*s_RadSpec!AG12*(1/s_D_milk)*s_Q_w_dairy*(1/1000))</f>
        <v>3.3373786407766996E-2</v>
      </c>
      <c r="DZ12" s="40">
        <f>(s_C*s_IFSW_far_adj*s_CF_far_swine*s_RadSpec!AL12*s_Q_w_swine*(1/1000))</f>
        <v>0</v>
      </c>
      <c r="EA12" s="40">
        <f>(s_C*s_IFP_far_adj*s_CF_far_poultry*s_RadSpec!AJ12*s_Q_w_poultry*(1/1000))</f>
        <v>2.0625</v>
      </c>
      <c r="EB12" s="40">
        <f>(s_C*s_IFE_far_adj*s_CF_far_egg*s_RadSpec!AK12*s_Q_w_egg*(1/1000))</f>
        <v>0</v>
      </c>
      <c r="EC12" s="40">
        <f>(s_C*s_IFGO_far_adj*s_CF_far_goat*s_RadSpec!AO12*s_Q_p_goat*(1/1000))</f>
        <v>0</v>
      </c>
      <c r="ED12" s="40">
        <f>(s_C*s_IFGM_far_adj*s_CF_far_goat_milk*s_RadSpec!AP12*(1/s_D_milk)*s_Q_p_goat_milk*(1/1000))</f>
        <v>0</v>
      </c>
      <c r="EE12" s="40">
        <f>(s_C*s_IFSH_far_adj*s_CF_far_sheep*s_RadSpec!AM12*s_Q_p_sheep*(1/1000))</f>
        <v>0</v>
      </c>
      <c r="EF12" s="40">
        <f>(s_C*s_IFSM_far_adj*s_CF_far_sheep_milk*s_RadSpec!AN12*(1/s_D_milk)*s_Q_p_sheep_milk*(1/1000))</f>
        <v>0</v>
      </c>
      <c r="EG12" s="18"/>
      <c r="EH12" s="18"/>
      <c r="EI12" s="18"/>
      <c r="EJ12" s="18"/>
      <c r="EK12" s="18"/>
      <c r="EL12" s="18"/>
      <c r="EM12" s="18"/>
      <c r="EN12" s="18"/>
      <c r="EO12" s="18"/>
      <c r="EP12" s="18"/>
      <c r="EQ12" s="18"/>
      <c r="ER12" s="18"/>
      <c r="ES12" s="18"/>
      <c r="ET12" s="18"/>
      <c r="EU12" s="5"/>
      <c r="EV12" s="15" t="str">
        <f>IFERROR((s_TR/(s_RadSpec!G12*s_IFA_far_adj)),".")</f>
        <v>.</v>
      </c>
      <c r="EW12" s="15">
        <f>IFERROR((s_TR/(s_RadSpec!J12*s_EF_far*(1/365)*s_ED_far*s_ET_far*(1/24)*s_GSF_a)),".")</f>
        <v>17652.632702759533</v>
      </c>
      <c r="EX12" s="15">
        <f t="shared" ref="EX12" si="52">IFERROR(IF(AND(ISNUMBER(EV12),ISNUMBER(EW12)),1/((1/EV12)+(1/EW12)),IF(AND(ISNUMBER(EV12),NOT(ISNUMBER(EW12))),1/((1/EV12)),IF(AND(NOT(ISNUMBER(EV12)),ISNUMBER(EW12)),1/((1/EW12)),IF(AND(NOT(ISNUMBER(EV12)),NOT(ISNUMBER(EW12))),".")))),".")</f>
        <v>17652.632702759533</v>
      </c>
      <c r="EY12" s="40">
        <f t="shared" si="46"/>
        <v>911.45833333333326</v>
      </c>
      <c r="EZ12" s="40">
        <f t="shared" si="47"/>
        <v>0.57077625570776247</v>
      </c>
      <c r="FA12" s="122"/>
      <c r="FB12" s="122"/>
      <c r="FC12" s="122"/>
    </row>
    <row r="13" spans="1:159" customFormat="1" x14ac:dyDescent="0.25">
      <c r="A13" s="44" t="s">
        <v>23</v>
      </c>
      <c r="B13" s="42" t="s">
        <v>1074</v>
      </c>
      <c r="C13" s="15">
        <f>s_dir!AB13</f>
        <v>1.0968760968760967</v>
      </c>
      <c r="D13" s="15">
        <f>IFERROR(s_TR/(s_RadSpec!E13*s_IFP_far_adj*s_CF_far_poultry),".")</f>
        <v>4.3875043875043866</v>
      </c>
      <c r="E13" s="15">
        <f>IFERROR(s_TR/(s_RadSpec!E13*s_IFE_far_adj*s_CF_far_egg),".")</f>
        <v>4.3875043875043866</v>
      </c>
      <c r="F13" s="15">
        <f>IFERROR(s_TR/(s_RadSpec!E13*s_IFB_far_adj*s_CF_far_beef),".")</f>
        <v>4.3875043875043866</v>
      </c>
      <c r="G13" s="15">
        <f>IFERROR(s_TR/(s_RadSpec!E13*s_IFD_far_adj*s_CF_far_dairy),".")</f>
        <v>4.3875043875043866</v>
      </c>
      <c r="H13" s="15">
        <f>IFERROR(s_TR/(s_RadSpec!E13*s_IFSW_far_adj*s_CF_far_swine),".")</f>
        <v>4.3875043875043866</v>
      </c>
      <c r="I13" s="15">
        <f>IFERROR(s_TR/(s_RadSpec!E13*s_IFFI_far_adj*s_CF_far_fish),".")</f>
        <v>4.3875043875043866</v>
      </c>
      <c r="J13" s="15">
        <f>IFERROR(s_TR/(s_RadSpec!E13*s_IFGO_far_adj*s_CF_far_goat),".")</f>
        <v>4.3875043875043866</v>
      </c>
      <c r="K13" s="15">
        <f>IFERROR(s_TR/(s_RadSpec!E13*s_IFSH_far_adj*s_CF_far_sheep),".")</f>
        <v>4.3875043875043866</v>
      </c>
      <c r="L13" s="15">
        <f>IFERROR(s_TR/(s_RadSpec!E13*s_IFGM_far_adj*s_CF_far_goat_milk),".")</f>
        <v>4.3875043875043866</v>
      </c>
      <c r="M13" s="15">
        <f>IFERROR(s_TR/(s_RadSpec!E13*s_IFSM_far_adj*s_CF_far_sheep_milk),".")</f>
        <v>4.3875043875043866</v>
      </c>
      <c r="N13" s="40">
        <f>s_dir!BA13</f>
        <v>55000</v>
      </c>
      <c r="O13" s="40">
        <f t="shared" si="0"/>
        <v>13750</v>
      </c>
      <c r="P13" s="40">
        <f t="shared" si="1"/>
        <v>13750</v>
      </c>
      <c r="Q13" s="40">
        <f t="shared" si="2"/>
        <v>13750</v>
      </c>
      <c r="R13" s="40">
        <f t="shared" si="3"/>
        <v>13750</v>
      </c>
      <c r="S13" s="40">
        <f t="shared" si="4"/>
        <v>13750</v>
      </c>
      <c r="T13" s="40">
        <f t="shared" si="5"/>
        <v>13750</v>
      </c>
      <c r="U13" s="40">
        <f t="shared" si="6"/>
        <v>13750</v>
      </c>
      <c r="V13" s="40">
        <f t="shared" si="7"/>
        <v>13750</v>
      </c>
      <c r="W13" s="40">
        <f t="shared" si="8"/>
        <v>13750</v>
      </c>
      <c r="X13" s="40">
        <f t="shared" si="9"/>
        <v>13750</v>
      </c>
      <c r="Y13" s="5"/>
      <c r="Z13" s="5"/>
      <c r="AA13" s="5"/>
      <c r="AB13" s="5"/>
      <c r="AC13" s="5"/>
      <c r="AD13" s="5"/>
      <c r="AE13" s="5"/>
      <c r="AF13" s="5"/>
      <c r="AG13" s="5"/>
      <c r="AH13" s="5"/>
      <c r="AI13" s="5"/>
      <c r="AJ13" s="45">
        <f>IFERROR((s_TR/(s_RadSpec!D13*s_IFS_far_adj*(1/1000)))*1,".")</f>
        <v>1458.1616955504196</v>
      </c>
      <c r="AK13" s="45">
        <f>IFERROR(IF(A13="H-3",(s_TR/(s_RadSpec!G13*s_IFA_far_adj*(1/17)*1000))*1,(s_TR/(s_RadSpec!G13*s_IFA_far_adj*(1/s_PEF_wind)*1000))*1),".")</f>
        <v>59267.49717500274</v>
      </c>
      <c r="AL13" s="45">
        <f>IFERROR((s_TR/(s_RadSpec!F13*s_EF_far*(1/365)*s_ED_far*s_RadSpec!Q13*((s_ET_far_o*(1/24)*s_RadSpec!V13)+(s_ET_far_i*(1/24)*s_RadSpec!AA13))))*1,".")</f>
        <v>24274.384667263101</v>
      </c>
      <c r="AM13" s="45">
        <f>s_b2s!BA13</f>
        <v>42.106568018276263</v>
      </c>
      <c r="AN13" s="45">
        <f>IFERROR(((I13*s_RadSpec!AS13)/s_RadSpec!AI13)*1,".")</f>
        <v>2.9250029250029244E-2</v>
      </c>
      <c r="AO13" s="45">
        <f>IFERROR((F13/(s_RadSpec!AH13*((s_Q_p_beef*s_f_p_beef*s_f_s_beef*(s_RadSpec!BB13+s_R_es_past))+(s_Q_s_beef*s_f_p_beef))))*1,".")</f>
        <v>49.905263175405352</v>
      </c>
      <c r="AP13" s="45">
        <f>IFERROR(((G13*s_D_milk)/(s_RadSpec!AG13*((s_Q_p_dairy*s_f_p_dairy*s_f_s_dairy*(s_RadSpec!BB13+s_R_es_past))+(s_Q_s_dairy*s_f_p_dairy))))*1,".")</f>
        <v>5140.2421070667506</v>
      </c>
      <c r="AQ13" s="45" t="str">
        <f>IFERROR((H13/(s_RadSpec!AL13*((s_Q_p_swine*s_f_p_swine*s_f_s_swine*(s_RadSpec!BB13+s_R_es_past))+(s_Q_s_swine*s_f_p_swine))))*1,".")</f>
        <v>.</v>
      </c>
      <c r="AR13" s="45" t="str">
        <f>IFERROR((D13/(s_RadSpec!AJ13*((s_Q_p_poultry*s_f_p_poultry*s_f_s_poultry*(s_RadSpec!BB13+s_R_es_past))+(s_Q_s_poultry*s_f_p_poultry))))*1,".")</f>
        <v>.</v>
      </c>
      <c r="AS13" s="45" t="str">
        <f>IFERROR((E13/(s_RadSpec!AK13*((s_Q_p_poultry*s_f_p_poultry*s_f_s_poultry*(s_RadSpec!BB13+s_R_es_past))+(s_Q_s_poultry*s_f_p_poultry))))*1,".")</f>
        <v>.</v>
      </c>
      <c r="AT13" s="45" t="str">
        <f>IFERROR((J13/(s_RadSpec!AO13*((s_Q_p_goat*s_f_p_goat*s_f_s_goat*(s_RadSpec!BB13+s_R_es_past))+(s_Q_s_goat*s_f_p_goat))))*1,".")</f>
        <v>.</v>
      </c>
      <c r="AU13" s="45">
        <f>IFERROR((L13*s_D_milk/(s_RadSpec!AP13*((s_Q_p_goat_milk*s_f_p_goat_milk*s_f_s_goat_milk*(s_RadSpec!BB13+s_R_es_past))+(s_Q_s_goat_milk*s_f_p_goat_milk))))*1,".")</f>
        <v>969.85700133334922</v>
      </c>
      <c r="AV13" s="45">
        <f>IFERROR((K13/(s_RadSpec!AM13*((s_Q_p_sheep*s_f_p_sheep*s_f_s_sheep*(s_RadSpec!BB13+s_R_es_past))+(s_Q_s_sheep*s_f_p_sheep))))*1,".")</f>
        <v>124.76315793851337</v>
      </c>
      <c r="AW13" s="45" t="str">
        <f>IFERROR((M13*s_D_milk/(s_RadSpec!AN13*((s_Q_p_sheep_milk*s_f_p_sheep_milk*s_f_s_sheep_milk*(s_RadSpec!BB13+s_R_es_past))+(s_Q_s_sheep_milk*s_f_p_sheep_milk))))*1,".")</f>
        <v>.</v>
      </c>
      <c r="AX13" s="120">
        <f t="shared" si="10"/>
        <v>6.85795E-4</v>
      </c>
      <c r="AY13" s="120">
        <f t="shared" si="11"/>
        <v>1.6872654450840723E-5</v>
      </c>
      <c r="AZ13" s="120">
        <f t="shared" si="12"/>
        <v>4.1195688941545822E-5</v>
      </c>
      <c r="BA13" s="120">
        <f t="shared" si="13"/>
        <v>2.3749264000000006E-2</v>
      </c>
      <c r="BB13" s="120">
        <f t="shared" si="14"/>
        <v>34.188000000000009</v>
      </c>
      <c r="BC13" s="120">
        <f t="shared" si="15"/>
        <v>2.0037966666666667E-2</v>
      </c>
      <c r="BD13" s="120">
        <f t="shared" si="16"/>
        <v>1.9454336569579291E-4</v>
      </c>
      <c r="BE13" s="120" t="str">
        <f t="shared" si="17"/>
        <v>.</v>
      </c>
      <c r="BF13" s="120" t="str">
        <f t="shared" si="18"/>
        <v>.</v>
      </c>
      <c r="BG13" s="120" t="str">
        <f t="shared" si="19"/>
        <v>.</v>
      </c>
      <c r="BH13" s="120" t="str">
        <f t="shared" si="20"/>
        <v>.</v>
      </c>
      <c r="BI13" s="120">
        <f t="shared" si="21"/>
        <v>1.0310798381877025E-3</v>
      </c>
      <c r="BJ13" s="120">
        <f t="shared" si="22"/>
        <v>8.0151866666666668E-3</v>
      </c>
      <c r="BK13" s="120" t="str">
        <f t="shared" si="23"/>
        <v>.</v>
      </c>
      <c r="BL13" s="15">
        <f t="shared" si="24"/>
        <v>2.9204096178406885E-2</v>
      </c>
      <c r="BM13" s="40">
        <f t="shared" si="25"/>
        <v>27.5</v>
      </c>
      <c r="BN13" s="40">
        <f t="shared" si="26"/>
        <v>2.9420495991003873E-3</v>
      </c>
      <c r="BO13" s="40">
        <f>IFERROR((s_C*s_EF_far*(1/365)*s_ED_far*s_RadSpec!Q13*((s_ET_far_o*(1/24)*s_RadSpec!V13)+(s_ET_far_i*(1/24)*s_RadSpec!AA13))),".")</f>
        <v>3.9821017898210151E-3</v>
      </c>
      <c r="BP13" s="40">
        <f>s_b2s!BZ13</f>
        <v>1432.75</v>
      </c>
      <c r="BQ13" s="40">
        <f>IFERROR(((s_C*s_RadSpec!AI13)/s_RadSpec!AS13)*s_IFFI_far_adj*s_CF_far_fish,0)</f>
        <v>2062500</v>
      </c>
      <c r="BR13" s="40">
        <f>(s_C*s_IFB_far_adj*s_CF_far_beef*s_RadSpec!AH13*((s_Q_p_beef*s_f_p_beef*s_f_s_beef*(s_RadSpec!$AR13+s_R_es_past))+(s_Q_s_beef*s_f_p_beef)))</f>
        <v>1208.8541666666665</v>
      </c>
      <c r="BS13" s="40">
        <f>(s_C*s_IFD_far_adj*s_CF_far_dairy*s_RadSpec!AG13*1/s_D_milk*((s_Q_p_dairy*s_f_p_dairy*s_f_s_dairy*(s_RadSpec!$AR13+s_R_es_past))+(s_Q_s_dairy*s_f_p_dairy)))</f>
        <v>11.736448220064723</v>
      </c>
      <c r="BT13" s="40">
        <f>(s_C*s_IFSW_far_adj*s_CF_far_swine*s_RadSpec!AL13*((s_Q_p_swine*s_f_p_swine*s_f_s_swine*(s_RadSpec!$AR13+s_R_es_past))+(s_Q_s_swine*s_f_p_swine)))</f>
        <v>0</v>
      </c>
      <c r="BU13" s="40">
        <f>(s_C*s_IFP_far_adj*s_CF_far_poultry*s_RadSpec!AJ13*((s_Q_p_poultry*s_f_p_poultry*s_f_s_poultry*(s_RadSpec!AR13+s_R_es_past))+(s_Q_s_poultry*s_f_p_poultry)))</f>
        <v>0</v>
      </c>
      <c r="BV13" s="40">
        <f>(s_C*s_IFE_far_adj*s_CF_far_egg*s_RadSpec!AK13*((s_Q_p_egg*s_f_p_egg*s_f_s_egg*(s_RadSpec!$AR13+s_R_es_past))+(s_Q_s_egg*s_f_p_egg)))</f>
        <v>0</v>
      </c>
      <c r="BW13" s="40">
        <f>(s_C*s_IFGO_far_adj*s_CF_far_goat*s_RadSpec!AO13*((s_Q_p_goat*s_f_p_goat*s_f_s_goat*(s_RadSpec!$AR13+s_R_es_past))+(s_Q_s_goat*s_f_p_goat)))</f>
        <v>0</v>
      </c>
      <c r="BX13" s="40">
        <f>(s_C*s_IFGM_far_adj*s_CF_far_goat_milk*s_RadSpec!AP13*1/s_D_milk*((s_Q_p_goat_milk*s_f_p_goat_milk*s_f_s_goat_milk*(s_RadSpec!$AR13+s_R_es_past))+(s_Q_s_goat_milk*s_f_p_goat_milk)))</f>
        <v>62.203175566343035</v>
      </c>
      <c r="BY13" s="40">
        <f>(s_C*s_IFSH_far_adj*s_CF_far_sheep*s_RadSpec!AM13*((s_Q_p_sheep*s_f_p_sheep*s_f_s_sheep*(s_RadSpec!$AR13+s_R_es_past))+(s_Q_s_sheep*s_f_p_sheep)))</f>
        <v>483.54166666666663</v>
      </c>
      <c r="BZ13" s="40">
        <f>(s_C*s_IFSM_far_adj*s_CF_far_sheep_milk*s_RadSpec!AN13*1/s_D_milk*((s_Q_p_sheep_milk*s_f_p_sheep_milk*s_f_s_sheep_milk*(s_RadSpec!$AR13+s_R_es_past))+(s_Q_s_sheep_milk*s_f_p_sheep_milk)))</f>
        <v>0</v>
      </c>
      <c r="CA13" s="18"/>
      <c r="CB13" s="18"/>
      <c r="CC13" s="18"/>
      <c r="CD13" s="18"/>
      <c r="CE13" s="18"/>
      <c r="CF13" s="18"/>
      <c r="CG13" s="18"/>
      <c r="CH13" s="18"/>
      <c r="CI13" s="18"/>
      <c r="CJ13" s="18"/>
      <c r="CK13" s="18"/>
      <c r="CL13" s="18"/>
      <c r="CM13" s="18"/>
      <c r="CN13" s="18"/>
      <c r="CO13" s="5"/>
      <c r="CP13" s="15">
        <f>IFERROR(s_TR/(s_RadSpec!H13*s_IFW_far_adj),".")</f>
        <v>32.175032175032179</v>
      </c>
      <c r="CQ13" s="15" t="str">
        <f>IFERROR(IF(s_RadSpec!C13=1,s_TR/(s_RadSpec!G13*s_IFA_far_adj*s_K),"."),".")</f>
        <v>.</v>
      </c>
      <c r="CR13" s="15">
        <f>IFERROR((s_TR/(s_RadSpec!L13*(1/8760)*s_DFA_far_adj)),".")</f>
        <v>127591307.80055784</v>
      </c>
      <c r="CS13" s="15">
        <f>s_b2w!BA13</f>
        <v>77.296496739585933</v>
      </c>
      <c r="CT13" s="15">
        <f>IFERROR(I13/(s_RadSpec!AI13*(1/1000)),".")</f>
        <v>146.25014625014623</v>
      </c>
      <c r="CU13" s="15">
        <f>IFERROR(F13/(s_RadSpec!AH13*s_Q_w_beef*(1/1000)),".")</f>
        <v>877500.87750087725</v>
      </c>
      <c r="CV13" s="15">
        <f>IFERROR((G13*s_D_milk)/(s_RadSpec!AG13*s_Q_w_dairy*(1/1000)),".")</f>
        <v>90382590.382590353</v>
      </c>
      <c r="CW13" s="15" t="str">
        <f>IFERROR(H13/(s_RadSpec!AL13*s_Q_w_swine*(1/1000)),".")</f>
        <v>.</v>
      </c>
      <c r="CX13" s="15" t="str">
        <f>IFERROR(D13/(s_RadSpec!AJ13*s_Q_w_poultry*(1/1000)),".")</f>
        <v>.</v>
      </c>
      <c r="CY13" s="15" t="str">
        <f>IFERROR(E13/(s_RadSpec!AK13*s_Q_w_poultry*(1/1000)),".")</f>
        <v>.</v>
      </c>
      <c r="CZ13" s="15" t="str">
        <f>IFERROR(J13/(s_RadSpec!AO13*s_Q_w_goat*(1/1000)),".")</f>
        <v>.</v>
      </c>
      <c r="DA13" s="15">
        <f>IFERROR(L13*s_D_milk/(s_RadSpec!AP13*s_Q_w_goat_milk*(1/1000)),".")</f>
        <v>17053318.940111391</v>
      </c>
      <c r="DB13" s="15">
        <f>IFERROR(K13/(s_RadSpec!AM13*s_Q_w_sheep*(1/1000)),".")</f>
        <v>2193752.1937521934</v>
      </c>
      <c r="DC13" s="15" t="str">
        <f>IFERROR(M13*s_D_milk/(s_RadSpec!AN13*s_Q_w_sheep_milk*(1/1000)),".")</f>
        <v>.</v>
      </c>
      <c r="DD13" s="120">
        <f t="shared" si="27"/>
        <v>3.1079999999999997E-2</v>
      </c>
      <c r="DE13" s="120" t="str">
        <f t="shared" si="28"/>
        <v>.</v>
      </c>
      <c r="DF13" s="120">
        <f t="shared" si="29"/>
        <v>7.8375244931506842E-9</v>
      </c>
      <c r="DG13" s="120">
        <f t="shared" si="30"/>
        <v>1.2937196925871402E-2</v>
      </c>
      <c r="DH13" s="120">
        <f t="shared" si="31"/>
        <v>6.837600000000001E-3</v>
      </c>
      <c r="DI13" s="120">
        <f t="shared" si="32"/>
        <v>1.1396000000000003E-6</v>
      </c>
      <c r="DJ13" s="120">
        <f t="shared" si="33"/>
        <v>1.1064077669902917E-8</v>
      </c>
      <c r="DK13" s="120" t="str">
        <f t="shared" si="34"/>
        <v>.</v>
      </c>
      <c r="DL13" s="120" t="str">
        <f t="shared" si="35"/>
        <v>.</v>
      </c>
      <c r="DM13" s="120" t="str">
        <f t="shared" si="36"/>
        <v>.</v>
      </c>
      <c r="DN13" s="120" t="str">
        <f t="shared" si="37"/>
        <v>.</v>
      </c>
      <c r="DO13" s="120">
        <f t="shared" si="38"/>
        <v>5.8639611650485443E-8</v>
      </c>
      <c r="DP13" s="120">
        <f t="shared" si="39"/>
        <v>4.5584000000000009E-7</v>
      </c>
      <c r="DQ13" s="120" t="str">
        <f t="shared" si="40"/>
        <v>.</v>
      </c>
      <c r="DR13" s="15">
        <f t="shared" si="41"/>
        <v>19.663181534758515</v>
      </c>
      <c r="DS13" s="40">
        <f t="shared" si="42"/>
        <v>2500</v>
      </c>
      <c r="DT13" s="40">
        <f t="shared" si="43"/>
        <v>455.72916666666663</v>
      </c>
      <c r="DU13" s="40">
        <f t="shared" si="44"/>
        <v>0.22831050228310501</v>
      </c>
      <c r="DV13" s="40">
        <f>s_b2w!BZ13</f>
        <v>780.47761377119934</v>
      </c>
      <c r="DW13" s="40">
        <f>IFERROR(s_C*s_RadSpec!AI13*(1/1000)*s_IFFI_far_adj*s_CF_far_fish,0)</f>
        <v>412.5</v>
      </c>
      <c r="DX13" s="40">
        <f>(s_C*s_IFB_far_adj*s_CF_far_beef*s_RadSpec!AH13*s_Q_w_beef*(1/1000))</f>
        <v>6.8750000000000006E-2</v>
      </c>
      <c r="DY13" s="40">
        <f>(s_C*s_IFD_far_adj*s_CF_far_dairy*s_RadSpec!AG13*(1/s_D_milk)*s_Q_w_dairy*(1/1000))</f>
        <v>6.6747572815534001E-4</v>
      </c>
      <c r="DZ13" s="40">
        <f>(s_C*s_IFSW_far_adj*s_CF_far_swine*s_RadSpec!AL13*s_Q_w_swine*(1/1000))</f>
        <v>0</v>
      </c>
      <c r="EA13" s="40">
        <f>(s_C*s_IFP_far_adj*s_CF_far_poultry*s_RadSpec!AJ13*s_Q_w_poultry*(1/1000))</f>
        <v>0</v>
      </c>
      <c r="EB13" s="40">
        <f>(s_C*s_IFE_far_adj*s_CF_far_egg*s_RadSpec!AK13*s_Q_w_egg*(1/1000))</f>
        <v>0</v>
      </c>
      <c r="EC13" s="40">
        <f>(s_C*s_IFGO_far_adj*s_CF_far_goat*s_RadSpec!AO13*s_Q_p_goat*(1/1000))</f>
        <v>0</v>
      </c>
      <c r="ED13" s="40">
        <f>(s_C*s_IFGM_far_adj*s_CF_far_goat_milk*s_RadSpec!AP13*(1/s_D_milk)*s_Q_p_goat_milk*(1/1000))</f>
        <v>3.5376213592233008E-3</v>
      </c>
      <c r="EE13" s="40">
        <f>(s_C*s_IFSH_far_adj*s_CF_far_sheep*s_RadSpec!AM13*s_Q_p_sheep*(1/1000))</f>
        <v>2.75E-2</v>
      </c>
      <c r="EF13" s="40">
        <f>(s_C*s_IFSM_far_adj*s_CF_far_sheep_milk*s_RadSpec!AN13*(1/s_D_milk)*s_Q_p_sheep_milk*(1/1000))</f>
        <v>0</v>
      </c>
      <c r="EG13" s="18"/>
      <c r="EH13" s="18"/>
      <c r="EI13" s="18"/>
      <c r="EJ13" s="18"/>
      <c r="EK13" s="18"/>
      <c r="EL13" s="18"/>
      <c r="EM13" s="18"/>
      <c r="EN13" s="18"/>
      <c r="EO13" s="18"/>
      <c r="EP13" s="18"/>
      <c r="EQ13" s="18"/>
      <c r="ER13" s="18"/>
      <c r="ES13" s="18"/>
      <c r="ET13" s="18"/>
      <c r="EU13" s="5"/>
      <c r="EV13" s="15">
        <f>IFERROR((s_TR/(s_RadSpec!G13*s_IFA_far_adj)),".")</f>
        <v>0.19130651388715905</v>
      </c>
      <c r="EW13" s="15">
        <f>IFERROR((s_TR/(s_RadSpec!J13*s_EF_far*(1/365)*s_ED_far*s_ET_far*(1/24)*s_GSF_a)),".")</f>
        <v>114191.30743794216</v>
      </c>
      <c r="EX13" s="15">
        <f t="shared" ref="EX13:EX14" si="53">IFERROR(IF(AND(ISNUMBER(EV13),ISNUMBER(EW13)),1/((1/EV13)+(1/EW13)),IF(AND(ISNUMBER(EV13),NOT(ISNUMBER(EW13))),1/((1/EV13)),IF(AND(NOT(ISNUMBER(EV13)),ISNUMBER(EW13)),1/((1/EW13)),IF(AND(NOT(ISNUMBER(EV13)),NOT(ISNUMBER(EW13))),".")))),".")</f>
        <v>0.19130619338884999</v>
      </c>
      <c r="EY13" s="40">
        <f t="shared" si="46"/>
        <v>911.45833333333326</v>
      </c>
      <c r="EZ13" s="40">
        <f t="shared" si="47"/>
        <v>0.57077625570776247</v>
      </c>
      <c r="FA13" s="122"/>
      <c r="FB13" s="122"/>
      <c r="FC13" s="122"/>
    </row>
    <row r="14" spans="1:159" customFormat="1" x14ac:dyDescent="0.25">
      <c r="A14" s="44" t="s">
        <v>24</v>
      </c>
      <c r="B14" s="42" t="s">
        <v>1074</v>
      </c>
      <c r="C14" s="15">
        <f>s_dir!AB14</f>
        <v>10.152902714886187</v>
      </c>
      <c r="D14" s="15">
        <f>IFERROR(s_TR/(s_RadSpec!E14*s_IFP_far_adj*s_CF_far_poultry),".")</f>
        <v>40.611610859544747</v>
      </c>
      <c r="E14" s="15">
        <f>IFERROR(s_TR/(s_RadSpec!E14*s_IFE_far_adj*s_CF_far_egg),".")</f>
        <v>40.611610859544747</v>
      </c>
      <c r="F14" s="15">
        <f>IFERROR(s_TR/(s_RadSpec!E14*s_IFB_far_adj*s_CF_far_beef),".")</f>
        <v>40.611610859544747</v>
      </c>
      <c r="G14" s="15">
        <f>IFERROR(s_TR/(s_RadSpec!E14*s_IFD_far_adj*s_CF_far_dairy),".")</f>
        <v>40.611610859544747</v>
      </c>
      <c r="H14" s="15">
        <f>IFERROR(s_TR/(s_RadSpec!E14*s_IFSW_far_adj*s_CF_far_swine),".")</f>
        <v>40.611610859544747</v>
      </c>
      <c r="I14" s="15">
        <f>IFERROR(s_TR/(s_RadSpec!E14*s_IFFI_far_adj*s_CF_far_fish),".")</f>
        <v>40.611610859544747</v>
      </c>
      <c r="J14" s="15">
        <f>IFERROR(s_TR/(s_RadSpec!E14*s_IFGO_far_adj*s_CF_far_goat),".")</f>
        <v>40.611610859544747</v>
      </c>
      <c r="K14" s="15">
        <f>IFERROR(s_TR/(s_RadSpec!E14*s_IFSH_far_adj*s_CF_far_sheep),".")</f>
        <v>40.611610859544747</v>
      </c>
      <c r="L14" s="15">
        <f>IFERROR(s_TR/(s_RadSpec!E14*s_IFGM_far_adj*s_CF_far_goat_milk),".")</f>
        <v>40.611610859544747</v>
      </c>
      <c r="M14" s="15">
        <f>IFERROR(s_TR/(s_RadSpec!E14*s_IFSM_far_adj*s_CF_far_sheep_milk),".")</f>
        <v>40.611610859544747</v>
      </c>
      <c r="N14" s="40">
        <f>s_dir!BA14</f>
        <v>55000</v>
      </c>
      <c r="O14" s="40">
        <f t="shared" si="0"/>
        <v>13750</v>
      </c>
      <c r="P14" s="40">
        <f t="shared" si="1"/>
        <v>13750</v>
      </c>
      <c r="Q14" s="40">
        <f t="shared" si="2"/>
        <v>13750</v>
      </c>
      <c r="R14" s="40">
        <f t="shared" si="3"/>
        <v>13750</v>
      </c>
      <c r="S14" s="40">
        <f t="shared" si="4"/>
        <v>13750</v>
      </c>
      <c r="T14" s="40">
        <f t="shared" si="5"/>
        <v>13750</v>
      </c>
      <c r="U14" s="40">
        <f t="shared" si="6"/>
        <v>13750</v>
      </c>
      <c r="V14" s="40">
        <f t="shared" si="7"/>
        <v>13750</v>
      </c>
      <c r="W14" s="40">
        <f t="shared" si="8"/>
        <v>13750</v>
      </c>
      <c r="X14" s="40">
        <f t="shared" si="9"/>
        <v>13750</v>
      </c>
      <c r="Y14" s="5"/>
      <c r="Z14" s="5"/>
      <c r="AA14" s="5"/>
      <c r="AB14" s="5"/>
      <c r="AC14" s="5"/>
      <c r="AD14" s="5"/>
      <c r="AE14" s="5"/>
      <c r="AF14" s="5"/>
      <c r="AG14" s="5"/>
      <c r="AH14" s="5"/>
      <c r="AI14" s="5"/>
      <c r="AJ14" s="45">
        <f>IFERROR((s_TR/(s_RadSpec!D14*s_IFS_far_adj*(1/1000)))*1,".")</f>
        <v>11042.707671921153</v>
      </c>
      <c r="AK14" s="45">
        <f>IFERROR(IF(A14="H-3",(s_TR/(s_RadSpec!G14*s_IFA_far_adj*(1/17)*1000))*1,(s_TR/(s_RadSpec!G14*s_IFA_far_adj*(1/s_PEF_wind)*1000))*1),".")</f>
        <v>111216247.72548941</v>
      </c>
      <c r="AL14" s="45">
        <f>IFERROR((s_TR/(s_RadSpec!F14*s_EF_far*(1/365)*s_ED_far*s_RadSpec!Q14*((s_ET_far_o*(1/24)*s_RadSpec!V14)+(s_ET_far_i*(1/24)*s_RadSpec!AA14))))*1,".")</f>
        <v>234.63574398903006</v>
      </c>
      <c r="AM14" s="45">
        <f>s_b2s!BA14</f>
        <v>432.03841339941226</v>
      </c>
      <c r="AN14" s="45">
        <f>IFERROR(((I14*s_RadSpec!AS14)/s_RadSpec!AI14)*1,".")</f>
        <v>8122.3221719089488</v>
      </c>
      <c r="AO14" s="45">
        <f>IFERROR((F14/(s_RadSpec!AH14*((s_Q_p_beef*s_f_p_beef*s_f_s_beef*(s_RadSpec!BB14+s_R_es_past))+(s_Q_s_beef*s_f_p_beef))))*1,".")</f>
        <v>81223.221719089488</v>
      </c>
      <c r="AP14" s="45">
        <f>IFERROR(((G14*s_D_milk)/(s_RadSpec!AG14*((s_Q_p_dairy*s_f_p_dairy*s_f_s_dairy*(s_RadSpec!BB14+s_R_es_past))+(s_Q_s_dairy*s_f_p_dairy))))*1,".")</f>
        <v>83659.918370662184</v>
      </c>
      <c r="AQ14" s="45" t="str">
        <f>IFERROR((H14/(s_RadSpec!AL14*((s_Q_p_swine*s_f_p_swine*s_f_s_swine*(s_RadSpec!BB14+s_R_es_past))+(s_Q_s_swine*s_f_p_swine))))*1,".")</f>
        <v>.</v>
      </c>
      <c r="AR14" s="45" t="str">
        <f>IFERROR((D14/(s_RadSpec!AJ14*((s_Q_p_poultry*s_f_p_poultry*s_f_s_poultry*(s_RadSpec!BB14+s_R_es_past))+(s_Q_s_poultry*s_f_p_poultry))))*1,".")</f>
        <v>.</v>
      </c>
      <c r="AS14" s="45" t="str">
        <f>IFERROR((E14/(s_RadSpec!AK14*((s_Q_p_poultry*s_f_p_poultry*s_f_s_poultry*(s_RadSpec!BB14+s_R_es_past))+(s_Q_s_poultry*s_f_p_poultry))))*1,".")</f>
        <v>.</v>
      </c>
      <c r="AT14" s="45" t="str">
        <f>IFERROR((J14/(s_RadSpec!AO14*((s_Q_p_goat*s_f_p_goat*s_f_s_goat*(s_RadSpec!BB14+s_R_es_past))+(s_Q_s_goat*s_f_p_goat))))*1,".")</f>
        <v>.</v>
      </c>
      <c r="AU14" s="45" t="str">
        <f>IFERROR((L14*s_D_milk/(s_RadSpec!AP14*((s_Q_p_goat_milk*s_f_p_goat_milk*s_f_s_goat_milk*(s_RadSpec!BB14+s_R_es_past))+(s_Q_s_goat_milk*s_f_p_goat_milk))))*1,".")</f>
        <v>.</v>
      </c>
      <c r="AV14" s="45" t="str">
        <f>IFERROR((K14/(s_RadSpec!AM14*((s_Q_p_sheep*s_f_p_sheep*s_f_s_sheep*(s_RadSpec!BB14+s_R_es_past))+(s_Q_s_sheep*s_f_p_sheep))))*1,".")</f>
        <v>.</v>
      </c>
      <c r="AW14" s="45" t="str">
        <f>IFERROR((M14*s_D_milk/(s_RadSpec!AN14*((s_Q_p_sheep_milk*s_f_p_sheep_milk*s_f_s_sheep_milk*(s_RadSpec!BB14+s_R_es_past))+(s_Q_s_sheep_milk*s_f_p_sheep_milk))))*1,".")</f>
        <v>.</v>
      </c>
      <c r="AX14" s="120">
        <f t="shared" si="10"/>
        <v>9.0557500000000015E-5</v>
      </c>
      <c r="AY14" s="120">
        <f t="shared" si="11"/>
        <v>8.9914919847706046E-9</v>
      </c>
      <c r="AZ14" s="120">
        <f t="shared" si="12"/>
        <v>4.2619252420754488E-3</v>
      </c>
      <c r="BA14" s="120">
        <f t="shared" si="13"/>
        <v>2.3146089999999996E-3</v>
      </c>
      <c r="BB14" s="120">
        <f t="shared" si="14"/>
        <v>1.2311749999999999E-4</v>
      </c>
      <c r="BC14" s="120">
        <f t="shared" si="15"/>
        <v>1.2311749999999999E-5</v>
      </c>
      <c r="BD14" s="120">
        <f t="shared" si="16"/>
        <v>1.1953155339805823E-5</v>
      </c>
      <c r="BE14" s="120" t="str">
        <f t="shared" si="17"/>
        <v>.</v>
      </c>
      <c r="BF14" s="120" t="str">
        <f t="shared" si="18"/>
        <v>.</v>
      </c>
      <c r="BG14" s="120" t="str">
        <f t="shared" si="19"/>
        <v>.</v>
      </c>
      <c r="BH14" s="120" t="str">
        <f t="shared" si="20"/>
        <v>.</v>
      </c>
      <c r="BI14" s="120" t="str">
        <f t="shared" si="21"/>
        <v>.</v>
      </c>
      <c r="BJ14" s="120" t="str">
        <f t="shared" si="22"/>
        <v>.</v>
      </c>
      <c r="BK14" s="120" t="str">
        <f t="shared" si="23"/>
        <v>.</v>
      </c>
      <c r="BL14" s="15">
        <f t="shared" si="24"/>
        <v>146.74627255154655</v>
      </c>
      <c r="BM14" s="40">
        <f t="shared" si="25"/>
        <v>27.5</v>
      </c>
      <c r="BN14" s="40">
        <f t="shared" si="26"/>
        <v>2.9420495991003873E-3</v>
      </c>
      <c r="BO14" s="40">
        <f>IFERROR((s_C*s_EF_far*(1/365)*s_ED_far*s_RadSpec!Q14*((s_ET_far_o*(1/24)*s_RadSpec!V14)+(s_ET_far_i*(1/24)*s_RadSpec!AA14))),".")</f>
        <v>2.6526606954689152E-2</v>
      </c>
      <c r="BP14" s="40">
        <f>s_b2s!BZ14</f>
        <v>1292.5</v>
      </c>
      <c r="BQ14" s="40">
        <f>IFERROR(((s_C*s_RadSpec!AI14)/s_RadSpec!AS14)*s_IFFI_far_adj*s_CF_far_fish,0)</f>
        <v>68.75</v>
      </c>
      <c r="BR14" s="40">
        <f>(s_C*s_IFB_far_adj*s_CF_far_beef*s_RadSpec!AH14*((s_Q_p_beef*s_f_p_beef*s_f_s_beef*(s_RadSpec!$AR14+s_R_es_past))+(s_Q_s_beef*s_f_p_beef)))</f>
        <v>6.8750000000000009</v>
      </c>
      <c r="BS14" s="40">
        <f>(s_C*s_IFD_far_adj*s_CF_far_dairy*s_RadSpec!AG14*1/s_D_milk*((s_Q_p_dairy*s_f_p_dairy*s_f_s_dairy*(s_RadSpec!$AR14+s_R_es_past))+(s_Q_s_dairy*s_f_p_dairy)))</f>
        <v>6.674757281553398</v>
      </c>
      <c r="BT14" s="40">
        <f>(s_C*s_IFSW_far_adj*s_CF_far_swine*s_RadSpec!AL14*((s_Q_p_swine*s_f_p_swine*s_f_s_swine*(s_RadSpec!$AR14+s_R_es_past))+(s_Q_s_swine*s_f_p_swine)))</f>
        <v>0</v>
      </c>
      <c r="BU14" s="40">
        <f>(s_C*s_IFP_far_adj*s_CF_far_poultry*s_RadSpec!AJ14*((s_Q_p_poultry*s_f_p_poultry*s_f_s_poultry*(s_RadSpec!AR14+s_R_es_past))+(s_Q_s_poultry*s_f_p_poultry)))</f>
        <v>0</v>
      </c>
      <c r="BV14" s="40">
        <f>(s_C*s_IFE_far_adj*s_CF_far_egg*s_RadSpec!AK14*((s_Q_p_egg*s_f_p_egg*s_f_s_egg*(s_RadSpec!$AR14+s_R_es_past))+(s_Q_s_egg*s_f_p_egg)))</f>
        <v>0</v>
      </c>
      <c r="BW14" s="40">
        <f>(s_C*s_IFGO_far_adj*s_CF_far_goat*s_RadSpec!AO14*((s_Q_p_goat*s_f_p_goat*s_f_s_goat*(s_RadSpec!$AR14+s_R_es_past))+(s_Q_s_goat*s_f_p_goat)))</f>
        <v>0</v>
      </c>
      <c r="BX14" s="40">
        <f>(s_C*s_IFGM_far_adj*s_CF_far_goat_milk*s_RadSpec!AP14*1/s_D_milk*((s_Q_p_goat_milk*s_f_p_goat_milk*s_f_s_goat_milk*(s_RadSpec!$AR14+s_R_es_past))+(s_Q_s_goat_milk*s_f_p_goat_milk)))</f>
        <v>0</v>
      </c>
      <c r="BY14" s="40">
        <f>(s_C*s_IFSH_far_adj*s_CF_far_sheep*s_RadSpec!AM14*((s_Q_p_sheep*s_f_p_sheep*s_f_s_sheep*(s_RadSpec!$AR14+s_R_es_past))+(s_Q_s_sheep*s_f_p_sheep)))</f>
        <v>0</v>
      </c>
      <c r="BZ14" s="40">
        <f>(s_C*s_IFSM_far_adj*s_CF_far_sheep_milk*s_RadSpec!AN14*1/s_D_milk*((s_Q_p_sheep_milk*s_f_p_sheep_milk*s_f_s_sheep_milk*(s_RadSpec!$AR14+s_R_es_past))+(s_Q_s_sheep_milk*s_f_p_sheep_milk)))</f>
        <v>0</v>
      </c>
      <c r="CA14" s="18"/>
      <c r="CB14" s="18"/>
      <c r="CC14" s="18"/>
      <c r="CD14" s="18"/>
      <c r="CE14" s="18"/>
      <c r="CF14" s="18"/>
      <c r="CG14" s="18"/>
      <c r="CH14" s="18"/>
      <c r="CI14" s="18"/>
      <c r="CJ14" s="18"/>
      <c r="CK14" s="18"/>
      <c r="CL14" s="18"/>
      <c r="CM14" s="18"/>
      <c r="CN14" s="18"/>
      <c r="CO14" s="5"/>
      <c r="CP14" s="15">
        <f>IFERROR(s_TR/(s_RadSpec!H14*s_IFW_far_adj),".")</f>
        <v>325.62683165092801</v>
      </c>
      <c r="CQ14" s="15" t="str">
        <f>IFERROR(IF(s_RadSpec!C14=1,s_TR/(s_RadSpec!G14*s_IFA_far_adj*s_K),"."),".")</f>
        <v>.</v>
      </c>
      <c r="CR14" s="15">
        <f>IFERROR((s_TR/(s_RadSpec!L14*(1/8760)*s_DFA_far_adj)),".")</f>
        <v>11722451.40417625</v>
      </c>
      <c r="CS14" s="15">
        <f>s_b2w!BA14</f>
        <v>741.9643243530362</v>
      </c>
      <c r="CT14" s="15">
        <f>IFERROR(I14/(s_RadSpec!AI14*(1/1000)),".")</f>
        <v>4061.1610859544749</v>
      </c>
      <c r="CU14" s="15">
        <f>IFERROR(F14/(s_RadSpec!AH14*s_Q_w_beef*(1/1000)),".")</f>
        <v>1624464434.3817897</v>
      </c>
      <c r="CV14" s="15">
        <f>IFERROR((G14*s_D_milk)/(s_RadSpec!AG14*s_Q_w_dairy*(1/1000)),".")</f>
        <v>1673198367.4132435</v>
      </c>
      <c r="CW14" s="15" t="str">
        <f>IFERROR(H14/(s_RadSpec!AL14*s_Q_w_swine*(1/1000)),".")</f>
        <v>.</v>
      </c>
      <c r="CX14" s="15" t="str">
        <f>IFERROR(D14/(s_RadSpec!AJ14*s_Q_w_poultry*(1/1000)),".")</f>
        <v>.</v>
      </c>
      <c r="CY14" s="15" t="str">
        <f>IFERROR(E14/(s_RadSpec!AK14*s_Q_w_poultry*(1/1000)),".")</f>
        <v>.</v>
      </c>
      <c r="CZ14" s="15" t="str">
        <f>IFERROR(J14/(s_RadSpec!AO14*s_Q_w_goat*(1/1000)),".")</f>
        <v>.</v>
      </c>
      <c r="DA14" s="15" t="str">
        <f>IFERROR(L14*s_D_milk/(s_RadSpec!AP14*s_Q_w_goat_milk*(1/1000)),".")</f>
        <v>.</v>
      </c>
      <c r="DB14" s="15" t="str">
        <f>IFERROR(K14/(s_RadSpec!AM14*s_Q_w_sheep*(1/1000)),".")</f>
        <v>.</v>
      </c>
      <c r="DC14" s="15" t="str">
        <f>IFERROR(M14*s_D_milk/(s_RadSpec!AN14*s_Q_w_sheep_milk*(1/1000)),".")</f>
        <v>.</v>
      </c>
      <c r="DD14" s="120">
        <f t="shared" si="27"/>
        <v>3.0710000000000004E-3</v>
      </c>
      <c r="DE14" s="120" t="str">
        <f t="shared" si="28"/>
        <v>.</v>
      </c>
      <c r="DF14" s="120">
        <f t="shared" si="29"/>
        <v>8.5306389041095886E-8</v>
      </c>
      <c r="DG14" s="120">
        <f t="shared" si="30"/>
        <v>1.3477736963592702E-3</v>
      </c>
      <c r="DH14" s="120">
        <f t="shared" si="31"/>
        <v>2.4623499999999998E-4</v>
      </c>
      <c r="DI14" s="120">
        <f t="shared" si="32"/>
        <v>6.1558750000000007E-10</v>
      </c>
      <c r="DJ14" s="120">
        <f t="shared" si="33"/>
        <v>5.9765776699029122E-10</v>
      </c>
      <c r="DK14" s="120" t="str">
        <f t="shared" si="34"/>
        <v>.</v>
      </c>
      <c r="DL14" s="120" t="str">
        <f t="shared" si="35"/>
        <v>.</v>
      </c>
      <c r="DM14" s="120" t="str">
        <f t="shared" si="36"/>
        <v>.</v>
      </c>
      <c r="DN14" s="120" t="str">
        <f t="shared" si="37"/>
        <v>.</v>
      </c>
      <c r="DO14" s="120" t="str">
        <f t="shared" si="38"/>
        <v>.</v>
      </c>
      <c r="DP14" s="120" t="str">
        <f t="shared" si="39"/>
        <v>.</v>
      </c>
      <c r="DQ14" s="120" t="str">
        <f t="shared" si="40"/>
        <v>.</v>
      </c>
      <c r="DR14" s="15">
        <f t="shared" si="41"/>
        <v>214.35789704176884</v>
      </c>
      <c r="DS14" s="40">
        <f t="shared" si="42"/>
        <v>2500</v>
      </c>
      <c r="DT14" s="40">
        <f t="shared" si="43"/>
        <v>455.72916666666663</v>
      </c>
      <c r="DU14" s="40">
        <f t="shared" si="44"/>
        <v>0.22831050228310501</v>
      </c>
      <c r="DV14" s="40">
        <f>s_b2w!BZ14</f>
        <v>752.60983714500253</v>
      </c>
      <c r="DW14" s="40">
        <f>IFERROR(s_C*s_RadSpec!AI14*(1/1000)*s_IFFI_far_adj*s_CF_far_fish,0)</f>
        <v>137.5</v>
      </c>
      <c r="DX14" s="40">
        <f>(s_C*s_IFB_far_adj*s_CF_far_beef*s_RadSpec!AH14*s_Q_w_beef*(1/1000))</f>
        <v>3.4374999999999998E-4</v>
      </c>
      <c r="DY14" s="40">
        <f>(s_C*s_IFD_far_adj*s_CF_far_dairy*s_RadSpec!AG14*(1/s_D_milk)*s_Q_w_dairy*(1/1000))</f>
        <v>3.3373786407767E-4</v>
      </c>
      <c r="DZ14" s="40">
        <f>(s_C*s_IFSW_far_adj*s_CF_far_swine*s_RadSpec!AL14*s_Q_w_swine*(1/1000))</f>
        <v>0</v>
      </c>
      <c r="EA14" s="40">
        <f>(s_C*s_IFP_far_adj*s_CF_far_poultry*s_RadSpec!AJ14*s_Q_w_poultry*(1/1000))</f>
        <v>0</v>
      </c>
      <c r="EB14" s="40">
        <f>(s_C*s_IFE_far_adj*s_CF_far_egg*s_RadSpec!AK14*s_Q_w_egg*(1/1000))</f>
        <v>0</v>
      </c>
      <c r="EC14" s="40">
        <f>(s_C*s_IFGO_far_adj*s_CF_far_goat*s_RadSpec!AO14*s_Q_p_goat*(1/1000))</f>
        <v>0</v>
      </c>
      <c r="ED14" s="40">
        <f>(s_C*s_IFGM_far_adj*s_CF_far_goat_milk*s_RadSpec!AP14*(1/s_D_milk)*s_Q_p_goat_milk*(1/1000))</f>
        <v>0</v>
      </c>
      <c r="EE14" s="40">
        <f>(s_C*s_IFSH_far_adj*s_CF_far_sheep*s_RadSpec!AM14*s_Q_p_sheep*(1/1000))</f>
        <v>0</v>
      </c>
      <c r="EF14" s="40">
        <f>(s_C*s_IFSM_far_adj*s_CF_far_sheep_milk*s_RadSpec!AN14*(1/s_D_milk)*s_Q_p_sheep_milk*(1/1000))</f>
        <v>0</v>
      </c>
      <c r="EG14" s="18"/>
      <c r="EH14" s="18"/>
      <c r="EI14" s="18"/>
      <c r="EJ14" s="18"/>
      <c r="EK14" s="18"/>
      <c r="EL14" s="18"/>
      <c r="EM14" s="18"/>
      <c r="EN14" s="18"/>
      <c r="EO14" s="18"/>
      <c r="EP14" s="18"/>
      <c r="EQ14" s="18"/>
      <c r="ER14" s="18"/>
      <c r="ES14" s="18"/>
      <c r="ET14" s="18"/>
      <c r="EU14" s="5"/>
      <c r="EV14" s="15">
        <f>IFERROR((s_TR/(s_RadSpec!G14*s_IFA_far_adj)),".")</f>
        <v>358.98922097469313</v>
      </c>
      <c r="EW14" s="15">
        <f>IFERROR((s_TR/(s_RadSpec!J14*s_EF_far*(1/365)*s_ED_far*s_ET_far*(1/24)*s_GSF_a)),".")</f>
        <v>10263.158548116005</v>
      </c>
      <c r="EX14" s="15">
        <f t="shared" si="53"/>
        <v>346.85671598817572</v>
      </c>
      <c r="EY14" s="40">
        <f t="shared" si="46"/>
        <v>911.45833333333326</v>
      </c>
      <c r="EZ14" s="40">
        <f t="shared" si="47"/>
        <v>0.57077625570776247</v>
      </c>
      <c r="FA14" s="122"/>
      <c r="FB14" s="122"/>
      <c r="FC14" s="122"/>
    </row>
    <row r="15" spans="1:159" customFormat="1" x14ac:dyDescent="0.25">
      <c r="A15" s="44" t="s">
        <v>25</v>
      </c>
      <c r="B15" s="42" t="s">
        <v>1074</v>
      </c>
      <c r="C15" s="15">
        <f>s_dir!AB15</f>
        <v>260.82828630599334</v>
      </c>
      <c r="D15" s="15">
        <f>IFERROR(s_TR/(s_RadSpec!E15*s_IFP_far_adj*s_CF_far_poultry),".")</f>
        <v>1043.3131452239734</v>
      </c>
      <c r="E15" s="15">
        <f>IFERROR(s_TR/(s_RadSpec!E15*s_IFE_far_adj*s_CF_far_egg),".")</f>
        <v>1043.3131452239734</v>
      </c>
      <c r="F15" s="15">
        <f>IFERROR(s_TR/(s_RadSpec!E15*s_IFB_far_adj*s_CF_far_beef),".")</f>
        <v>1043.3131452239734</v>
      </c>
      <c r="G15" s="15">
        <f>IFERROR(s_TR/(s_RadSpec!E15*s_IFD_far_adj*s_CF_far_dairy),".")</f>
        <v>1043.3131452239734</v>
      </c>
      <c r="H15" s="15">
        <f>IFERROR(s_TR/(s_RadSpec!E15*s_IFSW_far_adj*s_CF_far_swine),".")</f>
        <v>1043.3131452239734</v>
      </c>
      <c r="I15" s="15">
        <f>IFERROR(s_TR/(s_RadSpec!E15*s_IFFI_far_adj*s_CF_far_fish),".")</f>
        <v>1043.3131452239734</v>
      </c>
      <c r="J15" s="15">
        <f>IFERROR(s_TR/(s_RadSpec!E15*s_IFGO_far_adj*s_CF_far_goat),".")</f>
        <v>1043.3131452239734</v>
      </c>
      <c r="K15" s="15">
        <f>IFERROR(s_TR/(s_RadSpec!E15*s_IFSH_far_adj*s_CF_far_sheep),".")</f>
        <v>1043.3131452239734</v>
      </c>
      <c r="L15" s="15">
        <f>IFERROR(s_TR/(s_RadSpec!E15*s_IFGM_far_adj*s_CF_far_goat_milk),".")</f>
        <v>1043.3131452239734</v>
      </c>
      <c r="M15" s="15">
        <f>IFERROR(s_TR/(s_RadSpec!E15*s_IFSM_far_adj*s_CF_far_sheep_milk),".")</f>
        <v>1043.3131452239734</v>
      </c>
      <c r="N15" s="40">
        <f>s_dir!BA15</f>
        <v>55000</v>
      </c>
      <c r="O15" s="40">
        <f t="shared" si="0"/>
        <v>13750</v>
      </c>
      <c r="P15" s="40">
        <f t="shared" si="1"/>
        <v>13750</v>
      </c>
      <c r="Q15" s="40">
        <f t="shared" si="2"/>
        <v>13750</v>
      </c>
      <c r="R15" s="40">
        <f t="shared" si="3"/>
        <v>13750</v>
      </c>
      <c r="S15" s="40">
        <f t="shared" si="4"/>
        <v>13750</v>
      </c>
      <c r="T15" s="40">
        <f t="shared" si="5"/>
        <v>13750</v>
      </c>
      <c r="U15" s="40">
        <f t="shared" si="6"/>
        <v>13750</v>
      </c>
      <c r="V15" s="40">
        <f t="shared" si="7"/>
        <v>13750</v>
      </c>
      <c r="W15" s="40">
        <f t="shared" si="8"/>
        <v>13750</v>
      </c>
      <c r="X15" s="40">
        <f t="shared" si="9"/>
        <v>13750</v>
      </c>
      <c r="Y15" s="5"/>
      <c r="Z15" s="5"/>
      <c r="AA15" s="5"/>
      <c r="AB15" s="5"/>
      <c r="AC15" s="5"/>
      <c r="AD15" s="5"/>
      <c r="AE15" s="5"/>
      <c r="AF15" s="5"/>
      <c r="AG15" s="5"/>
      <c r="AH15" s="5"/>
      <c r="AI15" s="5"/>
      <c r="AJ15" s="45">
        <f>IFERROR((s_TR/(s_RadSpec!D15*s_IFS_far_adj*(1/1000)))*1,".")</f>
        <v>290769.52153875231</v>
      </c>
      <c r="AK15" s="45">
        <f>IFERROR(IF(A15="H-3",(s_TR/(s_RadSpec!G15*s_IFA_far_adj*(1/17)*1000))*1,(s_TR/(s_RadSpec!G15*s_IFA_far_adj*(1/s_PEF_wind)*1000))*1),".")</f>
        <v>8173008952.0688839</v>
      </c>
      <c r="AL15" s="45" t="str">
        <f>IFERROR((s_TR/(s_RadSpec!F15*s_EF_far*(1/365)*s_ED_far*s_RadSpec!Q15*((s_ET_far_o*(1/24)*s_RadSpec!V15)+(s_ET_far_i*(1/24)*s_RadSpec!AA15))))*1,".")</f>
        <v>.</v>
      </c>
      <c r="AM15" s="45">
        <f>s_b2s!BA15</f>
        <v>6718.4824858263464</v>
      </c>
      <c r="AN15" s="45">
        <f>IFERROR(((I15*s_RadSpec!AS15)/s_RadSpec!AI15)*1,".")</f>
        <v>6259.8788713438398</v>
      </c>
      <c r="AO15" s="45">
        <f>IFERROR((F15/(s_RadSpec!AH15*((s_Q_p_beef*s_f_p_beef*s_f_s_beef*(s_RadSpec!BB15+s_R_es_past))+(s_Q_s_beef*s_f_p_beef))))*1,".")</f>
        <v>16731.473481011188</v>
      </c>
      <c r="AP15" s="45">
        <f>IFERROR(((G15*s_D_milk)/(s_RadSpec!AG15*((s_Q_p_dairy*s_f_p_dairy*s_f_s_dairy*(s_RadSpec!BB15+s_R_es_past))+(s_Q_s_dairy*s_f_p_dairy))))*1,".")</f>
        <v>63491.538841100337</v>
      </c>
      <c r="AQ15" s="45" t="str">
        <f>IFERROR((H15/(s_RadSpec!AL15*((s_Q_p_swine*s_f_p_swine*s_f_s_swine*(s_RadSpec!BB15+s_R_es_past))+(s_Q_s_swine*s_f_p_swine))))*1,".")</f>
        <v>.</v>
      </c>
      <c r="AR15" s="45" t="str">
        <f>IFERROR((D15/(s_RadSpec!AJ15*((s_Q_p_poultry*s_f_p_poultry*s_f_s_poultry*(s_RadSpec!BB15+s_R_es_past))+(s_Q_s_poultry*s_f_p_poultry))))*1,".")</f>
        <v>.</v>
      </c>
      <c r="AS15" s="45" t="str">
        <f>IFERROR((E15/(s_RadSpec!AK15*((s_Q_p_poultry*s_f_p_poultry*s_f_s_poultry*(s_RadSpec!BB15+s_R_es_past))+(s_Q_s_poultry*s_f_p_poultry))))*1,".")</f>
        <v>.</v>
      </c>
      <c r="AT15" s="45" t="str">
        <f>IFERROR((J15/(s_RadSpec!AO15*((s_Q_p_goat*s_f_p_goat*s_f_s_goat*(s_RadSpec!BB15+s_R_es_past))+(s_Q_s_goat*s_f_p_goat))))*1,".")</f>
        <v>.</v>
      </c>
      <c r="AU15" s="45">
        <f>IFERROR((L15*s_D_milk/(s_RadSpec!AP15*((s_Q_p_goat_milk*s_f_p_goat_milk*s_f_s_goat_milk*(s_RadSpec!BB15+s_R_es_past))+(s_Q_s_goat_milk*s_f_p_goat_milk))))*1,".")</f>
        <v>2010.5653966348443</v>
      </c>
      <c r="AV15" s="45">
        <f>IFERROR((K15/(s_RadSpec!AM15*((s_Q_p_sheep*s_f_p_sheep*s_f_s_sheep*(s_RadSpec!BB15+s_R_es_past))+(s_Q_s_sheep*s_f_p_sheep))))*1,".")</f>
        <v>1649.5818924940606</v>
      </c>
      <c r="AW15" s="45">
        <f>IFERROR((M15*s_D_milk/(s_RadSpec!AN15*((s_Q_p_sheep_milk*s_f_p_sheep_milk*s_f_s_sheep_milk*(s_RadSpec!BB15+s_R_es_past))+(s_Q_s_sheep_milk*s_f_p_sheep_milk))))*1,".")</f>
        <v>344.66835370883035</v>
      </c>
      <c r="AX15" s="120">
        <f t="shared" si="10"/>
        <v>3.4391499999999999E-6</v>
      </c>
      <c r="AY15" s="120">
        <f t="shared" si="11"/>
        <v>1.2235395872738693E-10</v>
      </c>
      <c r="AZ15" s="120" t="str">
        <f t="shared" si="12"/>
        <v>.</v>
      </c>
      <c r="BA15" s="120">
        <f t="shared" si="13"/>
        <v>1.4884313564999998E-4</v>
      </c>
      <c r="BB15" s="120">
        <f t="shared" si="14"/>
        <v>1.5974749999999999E-4</v>
      </c>
      <c r="BC15" s="120">
        <f t="shared" si="15"/>
        <v>5.9767599137931019E-5</v>
      </c>
      <c r="BD15" s="120">
        <f t="shared" si="16"/>
        <v>1.5750130147304988E-5</v>
      </c>
      <c r="BE15" s="120" t="str">
        <f t="shared" si="17"/>
        <v>.</v>
      </c>
      <c r="BF15" s="120" t="str">
        <f t="shared" si="18"/>
        <v>.</v>
      </c>
      <c r="BG15" s="120" t="str">
        <f t="shared" si="19"/>
        <v>.</v>
      </c>
      <c r="BH15" s="120" t="str">
        <f t="shared" si="20"/>
        <v>.</v>
      </c>
      <c r="BI15" s="120">
        <f t="shared" si="21"/>
        <v>4.9737253096752585E-4</v>
      </c>
      <c r="BJ15" s="120">
        <f t="shared" si="22"/>
        <v>6.0621421982758614E-4</v>
      </c>
      <c r="BK15" s="120">
        <f t="shared" si="23"/>
        <v>2.9013397639772349E-3</v>
      </c>
      <c r="BL15" s="15">
        <f t="shared" si="24"/>
        <v>227.6621251215935</v>
      </c>
      <c r="BM15" s="40">
        <f t="shared" si="25"/>
        <v>27.5</v>
      </c>
      <c r="BN15" s="40">
        <f t="shared" si="26"/>
        <v>2.9420495991003873E-3</v>
      </c>
      <c r="BO15" s="40">
        <f>IFERROR((s_C*s_EF_far*(1/365)*s_ED_far*s_RadSpec!Q15*((s_ET_far_o*(1/24)*s_RadSpec!V15)+(s_ET_far_i*(1/24)*s_RadSpec!AA15))),".")</f>
        <v>0</v>
      </c>
      <c r="BP15" s="40">
        <f>s_b2s!BZ15</f>
        <v>2135.2375000000002</v>
      </c>
      <c r="BQ15" s="40">
        <f>IFERROR(((s_C*s_RadSpec!AI15)/s_RadSpec!AS15)*s_IFFI_far_adj*s_CF_far_fish,0)</f>
        <v>2291.666666666667</v>
      </c>
      <c r="BR15" s="40">
        <f>(s_C*s_IFB_far_adj*s_CF_far_beef*s_RadSpec!AH15*((s_Q_p_beef*s_f_p_beef*s_f_s_beef*(s_RadSpec!$AR15+s_R_es_past))+(s_Q_s_beef*s_f_p_beef)))</f>
        <v>857.39942528735628</v>
      </c>
      <c r="BS15" s="40">
        <f>(s_C*s_IFD_far_adj*s_CF_far_dairy*s_RadSpec!AG15*1/s_D_milk*((s_Q_p_dairy*s_f_p_dairy*s_f_s_dairy*(s_RadSpec!$AR15+s_R_es_past))+(s_Q_s_dairy*s_f_p_dairy)))</f>
        <v>225.94437004798573</v>
      </c>
      <c r="BT15" s="40">
        <f>(s_C*s_IFSW_far_adj*s_CF_far_swine*s_RadSpec!AL15*((s_Q_p_swine*s_f_p_swine*s_f_s_swine*(s_RadSpec!$AR15+s_R_es_past))+(s_Q_s_swine*s_f_p_swine)))</f>
        <v>0</v>
      </c>
      <c r="BU15" s="40">
        <f>(s_C*s_IFP_far_adj*s_CF_far_poultry*s_RadSpec!AJ15*((s_Q_p_poultry*s_f_p_poultry*s_f_s_poultry*(s_RadSpec!AR15+s_R_es_past))+(s_Q_s_poultry*s_f_p_poultry)))</f>
        <v>0</v>
      </c>
      <c r="BV15" s="40">
        <f>(s_C*s_IFE_far_adj*s_CF_far_egg*s_RadSpec!AK15*((s_Q_p_egg*s_f_p_egg*s_f_s_egg*(s_RadSpec!$AR15+s_R_es_past))+(s_Q_s_egg*s_f_p_egg)))</f>
        <v>0</v>
      </c>
      <c r="BW15" s="40">
        <f>(s_C*s_IFGO_far_adj*s_CF_far_goat*s_RadSpec!AO15*((s_Q_p_goat*s_f_p_goat*s_f_s_goat*(s_RadSpec!$AR15+s_R_es_past))+(s_Q_s_goat*s_f_p_goat)))</f>
        <v>0</v>
      </c>
      <c r="BX15" s="40">
        <f>(s_C*s_IFGM_far_adj*s_CF_far_goat_milk*s_RadSpec!AP15*1/s_D_milk*((s_Q_p_goat_milk*s_f_p_goat_milk*s_f_s_goat_milk*(s_RadSpec!$AR15+s_R_es_past))+(s_Q_s_goat_milk*s_f_p_goat_milk)))</f>
        <v>7135.0853699363915</v>
      </c>
      <c r="BY15" s="40">
        <f>(s_C*s_IFSH_far_adj*s_CF_far_sheep*s_RadSpec!AM15*((s_Q_p_sheep*s_f_p_sheep*s_f_s_sheep*(s_RadSpec!$AR15+s_R_es_past))+(s_Q_s_sheep*s_f_p_sheep)))</f>
        <v>8696.4798850574716</v>
      </c>
      <c r="BZ15" s="40">
        <f>(s_C*s_IFSM_far_adj*s_CF_far_sheep_milk*s_RadSpec!AN15*1/s_D_milk*((s_Q_p_sheep_milk*s_f_p_sheep_milk*s_f_s_sheep_milk*(s_RadSpec!$AR15+s_R_es_past))+(s_Q_s_sheep_milk*s_f_p_sheep_milk)))</f>
        <v>41621.331324628947</v>
      </c>
      <c r="CA15" s="18"/>
      <c r="CB15" s="18"/>
      <c r="CC15" s="18"/>
      <c r="CD15" s="18"/>
      <c r="CE15" s="18"/>
      <c r="CF15" s="18"/>
      <c r="CG15" s="18"/>
      <c r="CH15" s="18"/>
      <c r="CI15" s="18"/>
      <c r="CJ15" s="18"/>
      <c r="CK15" s="18"/>
      <c r="CL15" s="18"/>
      <c r="CM15" s="18"/>
      <c r="CN15" s="18"/>
      <c r="CO15" s="5"/>
      <c r="CP15" s="15">
        <f>IFERROR(s_TR/(s_RadSpec!H15*s_IFW_far_adj),".")</f>
        <v>8303.2341096857217</v>
      </c>
      <c r="CQ15" s="15" t="str">
        <f>IFERROR(IF(s_RadSpec!C15=1,s_TR/(s_RadSpec!G15*s_IFA_far_adj*s_K),"."),".")</f>
        <v>.</v>
      </c>
      <c r="CR15" s="15">
        <f>IFERROR((s_TR/(s_RadSpec!L15*(1/8760)*s_DFA_far_adj)),".")</f>
        <v>9425086556.1216087</v>
      </c>
      <c r="CS15" s="15">
        <f>s_b2w!BA15</f>
        <v>15591.938022441453</v>
      </c>
      <c r="CT15" s="15">
        <f>IFERROR(I15/(s_RadSpec!AI15*(1/1000)),".")</f>
        <v>41732.525808958933</v>
      </c>
      <c r="CU15" s="15">
        <f>IFERROR(F15/(s_RadSpec!AH15*s_Q_w_beef*(1/1000)),".")</f>
        <v>298089470.06399238</v>
      </c>
      <c r="CV15" s="15">
        <f>IFERROR((G15*s_D_milk)/(s_RadSpec!AG15*s_Q_w_dairy*(1/1000)),".")</f>
        <v>1131171094.2954657</v>
      </c>
      <c r="CW15" s="15" t="str">
        <f>IFERROR(H15/(s_RadSpec!AL15*s_Q_w_swine*(1/1000)),".")</f>
        <v>.</v>
      </c>
      <c r="CX15" s="15" t="str">
        <f>IFERROR(D15/(s_RadSpec!AJ15*s_Q_w_poultry*(1/1000)),".")</f>
        <v>.</v>
      </c>
      <c r="CY15" s="15" t="str">
        <f>IFERROR(E15/(s_RadSpec!AK15*s_Q_w_poultry*(1/1000)),".")</f>
        <v>.</v>
      </c>
      <c r="CZ15" s="15" t="str">
        <f>IFERROR(J15/(s_RadSpec!AO15*s_Q_w_goat*(1/1000)),".")</f>
        <v>.</v>
      </c>
      <c r="DA15" s="15">
        <f>IFERROR(L15*s_D_milk/(s_RadSpec!AP15*s_Q_w_goat_milk*(1/1000)),".")</f>
        <v>35820417.986023083</v>
      </c>
      <c r="DB15" s="15">
        <f>IFERROR(K15/(s_RadSpec!AM15*s_Q_w_sheep*(1/1000)),".")</f>
        <v>29389102.682365444</v>
      </c>
      <c r="DC15" s="15">
        <f>IFERROR(M15*s_D_milk/(s_RadSpec!AN15*s_Q_w_sheep_milk*(1/1000)),".")</f>
        <v>6140643.0833182419</v>
      </c>
      <c r="DD15" s="120">
        <f t="shared" si="27"/>
        <v>1.2043500000000001E-4</v>
      </c>
      <c r="DE15" s="120" t="str">
        <f t="shared" si="28"/>
        <v>.</v>
      </c>
      <c r="DF15" s="120">
        <f t="shared" si="29"/>
        <v>1.0609982136986301E-10</v>
      </c>
      <c r="DG15" s="120">
        <f t="shared" si="30"/>
        <v>6.4135709015819683E-5</v>
      </c>
      <c r="DH15" s="120">
        <f t="shared" si="31"/>
        <v>2.3962124999999997E-5</v>
      </c>
      <c r="DI15" s="120">
        <f t="shared" si="32"/>
        <v>3.3546974999999996E-9</v>
      </c>
      <c r="DJ15" s="120">
        <f t="shared" si="33"/>
        <v>8.8403956310679617E-10</v>
      </c>
      <c r="DK15" s="120" t="str">
        <f t="shared" si="34"/>
        <v>.</v>
      </c>
      <c r="DL15" s="120" t="str">
        <f t="shared" si="35"/>
        <v>.</v>
      </c>
      <c r="DM15" s="120" t="str">
        <f t="shared" si="36"/>
        <v>.</v>
      </c>
      <c r="DN15" s="120" t="str">
        <f t="shared" si="37"/>
        <v>.</v>
      </c>
      <c r="DO15" s="120">
        <f t="shared" si="38"/>
        <v>2.7917038834951455E-8</v>
      </c>
      <c r="DP15" s="120">
        <f t="shared" si="39"/>
        <v>3.4026217499999998E-8</v>
      </c>
      <c r="DQ15" s="120">
        <f t="shared" si="40"/>
        <v>1.628493932038835E-7</v>
      </c>
      <c r="DR15" s="15">
        <f t="shared" si="41"/>
        <v>4790.1444540116145</v>
      </c>
      <c r="DS15" s="40">
        <f t="shared" si="42"/>
        <v>2500</v>
      </c>
      <c r="DT15" s="40">
        <f t="shared" si="43"/>
        <v>455.72916666666663</v>
      </c>
      <c r="DU15" s="40">
        <f t="shared" si="44"/>
        <v>0.22831050228310501</v>
      </c>
      <c r="DV15" s="40">
        <f>s_b2w!BZ15</f>
        <v>920.06238904888528</v>
      </c>
      <c r="DW15" s="40">
        <f>IFERROR(s_C*s_RadSpec!AI15*(1/1000)*s_IFFI_far_adj*s_CF_far_fish,0)</f>
        <v>343.75</v>
      </c>
      <c r="DX15" s="40">
        <f>(s_C*s_IFB_far_adj*s_CF_far_beef*s_RadSpec!AH15*s_Q_w_beef*(1/1000))</f>
        <v>4.8125000000000001E-2</v>
      </c>
      <c r="DY15" s="40">
        <f>(s_C*s_IFD_far_adj*s_CF_far_dairy*s_RadSpec!AG15*(1/s_D_milk)*s_Q_w_dairy*(1/1000))</f>
        <v>1.2682038834951457E-2</v>
      </c>
      <c r="DZ15" s="40">
        <f>(s_C*s_IFSW_far_adj*s_CF_far_swine*s_RadSpec!AL15*s_Q_w_swine*(1/1000))</f>
        <v>0</v>
      </c>
      <c r="EA15" s="40">
        <f>(s_C*s_IFP_far_adj*s_CF_far_poultry*s_RadSpec!AJ15*s_Q_w_poultry*(1/1000))</f>
        <v>0</v>
      </c>
      <c r="EB15" s="40">
        <f>(s_C*s_IFE_far_adj*s_CF_far_egg*s_RadSpec!AK15*s_Q_w_egg*(1/1000))</f>
        <v>0</v>
      </c>
      <c r="EC15" s="40">
        <f>(s_C*s_IFGO_far_adj*s_CF_far_goat*s_RadSpec!AO15*s_Q_p_goat*(1/1000))</f>
        <v>0</v>
      </c>
      <c r="ED15" s="40">
        <f>(s_C*s_IFGM_far_adj*s_CF_far_goat_milk*s_RadSpec!AP15*(1/s_D_milk)*s_Q_p_goat_milk*(1/1000))</f>
        <v>0.40048543689320387</v>
      </c>
      <c r="EE15" s="40">
        <f>(s_C*s_IFSH_far_adj*s_CF_far_sheep*s_RadSpec!AM15*s_Q_p_sheep*(1/1000))</f>
        <v>0.48812500000000003</v>
      </c>
      <c r="EF15" s="40">
        <f>(s_C*s_IFSM_far_adj*s_CF_far_sheep_milk*s_RadSpec!AN15*(1/s_D_milk)*s_Q_p_sheep_milk*(1/1000))</f>
        <v>2.3361650485436898</v>
      </c>
      <c r="EG15" s="18"/>
      <c r="EH15" s="18"/>
      <c r="EI15" s="18"/>
      <c r="EJ15" s="18"/>
      <c r="EK15" s="18"/>
      <c r="EL15" s="18"/>
      <c r="EM15" s="18"/>
      <c r="EN15" s="18"/>
      <c r="EO15" s="18"/>
      <c r="EP15" s="18"/>
      <c r="EQ15" s="18"/>
      <c r="ER15" s="18"/>
      <c r="ES15" s="18"/>
      <c r="ET15" s="18"/>
      <c r="EU15" s="5"/>
      <c r="EV15" s="15">
        <f>IFERROR((s_TR/(s_RadSpec!G15*s_IFA_far_adj)),".")</f>
        <v>26381.236345649158</v>
      </c>
      <c r="EW15" s="15">
        <f>IFERROR((s_TR/(s_RadSpec!J15*s_EF_far*(1/365)*s_ED_far*s_ET_far*(1/24)*s_GSF_a)),".")</f>
        <v>5138608.8347073961</v>
      </c>
      <c r="EX15" s="15">
        <f t="shared" ref="EX15:EX17" si="54">IFERROR(IF(AND(ISNUMBER(EV15),ISNUMBER(EW15)),1/((1/EV15)+(1/EW15)),IF(AND(ISNUMBER(EV15),NOT(ISNUMBER(EW15))),1/((1/EV15)),IF(AND(NOT(ISNUMBER(EV15)),ISNUMBER(EW15)),1/((1/EW15)),IF(AND(NOT(ISNUMBER(EV15)),NOT(ISNUMBER(EW15))),".")))),".")</f>
        <v>26246.488820184288</v>
      </c>
      <c r="EY15" s="40">
        <f t="shared" si="46"/>
        <v>911.45833333333326</v>
      </c>
      <c r="EZ15" s="40">
        <f t="shared" si="47"/>
        <v>0.57077625570776247</v>
      </c>
      <c r="FA15" s="122"/>
      <c r="FB15" s="122"/>
      <c r="FC15" s="122"/>
    </row>
    <row r="16" spans="1:159" customFormat="1" x14ac:dyDescent="0.25">
      <c r="A16" s="44" t="s">
        <v>26</v>
      </c>
      <c r="B16" s="42" t="s">
        <v>1074</v>
      </c>
      <c r="C16" s="15">
        <f>s_dir!AB16</f>
        <v>7.7264228207624422E-2</v>
      </c>
      <c r="D16" s="15">
        <f>IFERROR(s_TR/(s_RadSpec!E16*s_IFP_far_adj*s_CF_far_poultry),".")</f>
        <v>0.30905691283049769</v>
      </c>
      <c r="E16" s="15">
        <f>IFERROR(s_TR/(s_RadSpec!E16*s_IFE_far_adj*s_CF_far_egg),".")</f>
        <v>0.30905691283049769</v>
      </c>
      <c r="F16" s="15">
        <f>IFERROR(s_TR/(s_RadSpec!E16*s_IFB_far_adj*s_CF_far_beef),".")</f>
        <v>0.30905691283049769</v>
      </c>
      <c r="G16" s="15">
        <f>IFERROR(s_TR/(s_RadSpec!E16*s_IFD_far_adj*s_CF_far_dairy),".")</f>
        <v>0.30905691283049769</v>
      </c>
      <c r="H16" s="15">
        <f>IFERROR(s_TR/(s_RadSpec!E16*s_IFSW_far_adj*s_CF_far_swine),".")</f>
        <v>0.30905691283049769</v>
      </c>
      <c r="I16" s="15">
        <f>IFERROR(s_TR/(s_RadSpec!E16*s_IFFI_far_adj*s_CF_far_fish),".")</f>
        <v>0.30905691283049769</v>
      </c>
      <c r="J16" s="15">
        <f>IFERROR(s_TR/(s_RadSpec!E16*s_IFGO_far_adj*s_CF_far_goat),".")</f>
        <v>0.30905691283049769</v>
      </c>
      <c r="K16" s="15">
        <f>IFERROR(s_TR/(s_RadSpec!E16*s_IFSH_far_adj*s_CF_far_sheep),".")</f>
        <v>0.30905691283049769</v>
      </c>
      <c r="L16" s="15">
        <f>IFERROR(s_TR/(s_RadSpec!E16*s_IFGM_far_adj*s_CF_far_goat_milk),".")</f>
        <v>0.30905691283049769</v>
      </c>
      <c r="M16" s="15">
        <f>IFERROR(s_TR/(s_RadSpec!E16*s_IFSM_far_adj*s_CF_far_sheep_milk),".")</f>
        <v>0.30905691283049769</v>
      </c>
      <c r="N16" s="40">
        <f>s_dir!BA16</f>
        <v>55000</v>
      </c>
      <c r="O16" s="40">
        <f t="shared" si="0"/>
        <v>13750</v>
      </c>
      <c r="P16" s="40">
        <f t="shared" si="1"/>
        <v>13750</v>
      </c>
      <c r="Q16" s="40">
        <f t="shared" si="2"/>
        <v>13750</v>
      </c>
      <c r="R16" s="40">
        <f t="shared" si="3"/>
        <v>13750</v>
      </c>
      <c r="S16" s="40">
        <f t="shared" si="4"/>
        <v>13750</v>
      </c>
      <c r="T16" s="40">
        <f t="shared" si="5"/>
        <v>13750</v>
      </c>
      <c r="U16" s="40">
        <f t="shared" si="6"/>
        <v>13750</v>
      </c>
      <c r="V16" s="40">
        <f t="shared" si="7"/>
        <v>13750</v>
      </c>
      <c r="W16" s="40">
        <f t="shared" si="8"/>
        <v>13750</v>
      </c>
      <c r="X16" s="40">
        <f t="shared" si="9"/>
        <v>13750</v>
      </c>
      <c r="Y16" s="5"/>
      <c r="Z16" s="5"/>
      <c r="AA16" s="5"/>
      <c r="AB16" s="5"/>
      <c r="AC16" s="5"/>
      <c r="AD16" s="5"/>
      <c r="AE16" s="5"/>
      <c r="AF16" s="5"/>
      <c r="AG16" s="5"/>
      <c r="AH16" s="5"/>
      <c r="AI16" s="5"/>
      <c r="AJ16" s="45">
        <f>IFERROR((s_TR/(s_RadSpec!D16*s_IFS_far_adj*(1/1000)))*1,".")</f>
        <v>105.90527831907143</v>
      </c>
      <c r="AK16" s="45">
        <f>IFERROR(IF(A16="H-3",(s_TR/(s_RadSpec!G16*s_IFA_far_adj*(1/17)*1000))*1,(s_TR/(s_RadSpec!G16*s_IFA_far_adj*(1/s_PEF_wind)*1000))*1),".")</f>
        <v>107068.32240239423</v>
      </c>
      <c r="AL16" s="45">
        <f>IFERROR((s_TR/(s_RadSpec!F16*s_EF_far*(1/365)*s_ED_far*s_RadSpec!Q16*((s_ET_far_o*(1/24)*s_RadSpec!V16)+(s_ET_far_i*(1/24)*s_RadSpec!AA16))))*1,".")</f>
        <v>1182150931.9320743</v>
      </c>
      <c r="AM16" s="45">
        <f>s_b2s!BA16</f>
        <v>1.9901919816504459</v>
      </c>
      <c r="AN16" s="45">
        <f>IFERROR(((I16*s_RadSpec!AS16)/s_RadSpec!AI16)*1,".")</f>
        <v>1.854341476982986</v>
      </c>
      <c r="AO16" s="45">
        <f>IFERROR((F16/(s_RadSpec!AH16*((s_Q_p_beef*s_f_p_beef*s_f_s_beef*(s_RadSpec!BB16+s_R_es_past))+(s_Q_s_beef*s_f_p_beef))))*1,".")</f>
        <v>4.9563044085259538</v>
      </c>
      <c r="AP16" s="45">
        <f>IFERROR(((G16*s_D_milk)/(s_RadSpec!AG16*((s_Q_p_dairy*s_f_p_dairy*s_f_s_dairy*(s_RadSpec!BB16+s_R_es_past))+(s_Q_s_dairy*s_f_p_dairy))))*1,".")</f>
        <v>18.807870939722171</v>
      </c>
      <c r="AQ16" s="45" t="str">
        <f>IFERROR((H16/(s_RadSpec!AL16*((s_Q_p_swine*s_f_p_swine*s_f_s_swine*(s_RadSpec!BB16+s_R_es_past))+(s_Q_s_swine*s_f_p_swine))))*1,".")</f>
        <v>.</v>
      </c>
      <c r="AR16" s="45" t="str">
        <f>IFERROR((D16/(s_RadSpec!AJ16*((s_Q_p_poultry*s_f_p_poultry*s_f_s_poultry*(s_RadSpec!BB16+s_R_es_past))+(s_Q_s_poultry*s_f_p_poultry))))*1,".")</f>
        <v>.</v>
      </c>
      <c r="AS16" s="45" t="str">
        <f>IFERROR((E16/(s_RadSpec!AK16*((s_Q_p_poultry*s_f_p_poultry*s_f_s_poultry*(s_RadSpec!BB16+s_R_es_past))+(s_Q_s_poultry*s_f_p_poultry))))*1,".")</f>
        <v>.</v>
      </c>
      <c r="AT16" s="45" t="str">
        <f>IFERROR((J16/(s_RadSpec!AO16*((s_Q_p_goat*s_f_p_goat*s_f_s_goat*(s_RadSpec!BB16+s_R_es_past))+(s_Q_s_goat*s_f_p_goat))))*1,".")</f>
        <v>.</v>
      </c>
      <c r="AU16" s="45">
        <f>IFERROR((L16*s_D_milk/(s_RadSpec!AP16*((s_Q_p_goat_milk*s_f_p_goat_milk*s_f_s_goat_milk*(s_RadSpec!BB16+s_R_es_past))+(s_Q_s_goat_milk*s_f_p_goat_milk))))*1,".")</f>
        <v>0.59558257975786888</v>
      </c>
      <c r="AV16" s="45">
        <f>IFERROR((K16/(s_RadSpec!AM16*((s_Q_p_sheep*s_f_p_sheep*s_f_s_sheep*(s_RadSpec!BB16+s_R_es_past))+(s_Q_s_sheep*s_f_p_sheep))))*1,".")</f>
        <v>0.48864973041805176</v>
      </c>
      <c r="AW16" s="45">
        <f>IFERROR((M16*s_D_milk/(s_RadSpec!AN16*((s_Q_p_sheep_milk*s_f_p_sheep_milk*s_f_s_sheep_milk*(s_RadSpec!BB16+s_R_es_past))+(s_Q_s_sheep_milk*s_f_p_sheep_milk))))*1,".")</f>
        <v>0.10209987081563464</v>
      </c>
      <c r="AX16" s="120">
        <f t="shared" si="10"/>
        <v>9.4424000000000001E-3</v>
      </c>
      <c r="AY16" s="120">
        <f t="shared" si="11"/>
        <v>9.3398306573040912E-6</v>
      </c>
      <c r="AZ16" s="120">
        <f t="shared" si="12"/>
        <v>8.4591567200782735E-10</v>
      </c>
      <c r="BA16" s="120">
        <f t="shared" si="13"/>
        <v>0.50246408850000002</v>
      </c>
      <c r="BB16" s="120">
        <f t="shared" si="14"/>
        <v>0.53927500000000017</v>
      </c>
      <c r="BC16" s="120">
        <f t="shared" si="15"/>
        <v>0.20176323275862071</v>
      </c>
      <c r="BD16" s="120">
        <f t="shared" si="16"/>
        <v>5.3169229159692008E-2</v>
      </c>
      <c r="BE16" s="120" t="str">
        <f t="shared" si="17"/>
        <v>.</v>
      </c>
      <c r="BF16" s="120" t="str">
        <f t="shared" si="18"/>
        <v>.</v>
      </c>
      <c r="BG16" s="120" t="str">
        <f t="shared" si="19"/>
        <v>.</v>
      </c>
      <c r="BH16" s="120" t="str">
        <f t="shared" si="20"/>
        <v>.</v>
      </c>
      <c r="BI16" s="120">
        <f t="shared" si="21"/>
        <v>1.6790282892534314</v>
      </c>
      <c r="BJ16" s="120">
        <f t="shared" si="22"/>
        <v>2.0464556465517245</v>
      </c>
      <c r="BK16" s="120">
        <f t="shared" si="23"/>
        <v>9.7943316873116864</v>
      </c>
      <c r="BL16" s="15">
        <f t="shared" si="24"/>
        <v>6.7449353851136415E-2</v>
      </c>
      <c r="BM16" s="40">
        <f t="shared" si="25"/>
        <v>27.5</v>
      </c>
      <c r="BN16" s="40">
        <f t="shared" si="26"/>
        <v>2.9420495991003873E-3</v>
      </c>
      <c r="BO16" s="40">
        <f>IFERROR((s_C*s_EF_far*(1/365)*s_ED_far*s_RadSpec!Q16*((s_ET_far_o*(1/24)*s_RadSpec!V16)+(s_ET_far_i*(1/24)*s_RadSpec!AA16))),".")</f>
        <v>2.8522504892367894E-6</v>
      </c>
      <c r="BP16" s="40">
        <f>s_b2s!BZ16</f>
        <v>2135.2375000000002</v>
      </c>
      <c r="BQ16" s="40">
        <f>IFERROR(((s_C*s_RadSpec!AI16)/s_RadSpec!AS16)*s_IFFI_far_adj*s_CF_far_fish,0)</f>
        <v>2291.666666666667</v>
      </c>
      <c r="BR16" s="40">
        <f>(s_C*s_IFB_far_adj*s_CF_far_beef*s_RadSpec!AH16*((s_Q_p_beef*s_f_p_beef*s_f_s_beef*(s_RadSpec!$AR16+s_R_es_past))+(s_Q_s_beef*s_f_p_beef)))</f>
        <v>857.39942528735628</v>
      </c>
      <c r="BS16" s="40">
        <f>(s_C*s_IFD_far_adj*s_CF_far_dairy*s_RadSpec!AG16*1/s_D_milk*((s_Q_p_dairy*s_f_p_dairy*s_f_s_dairy*(s_RadSpec!$AR16+s_R_es_past))+(s_Q_s_dairy*s_f_p_dairy)))</f>
        <v>225.94437004798573</v>
      </c>
      <c r="BT16" s="40">
        <f>(s_C*s_IFSW_far_adj*s_CF_far_swine*s_RadSpec!AL16*((s_Q_p_swine*s_f_p_swine*s_f_s_swine*(s_RadSpec!$AR16+s_R_es_past))+(s_Q_s_swine*s_f_p_swine)))</f>
        <v>0</v>
      </c>
      <c r="BU16" s="40">
        <f>(s_C*s_IFP_far_adj*s_CF_far_poultry*s_RadSpec!AJ16*((s_Q_p_poultry*s_f_p_poultry*s_f_s_poultry*(s_RadSpec!AR16+s_R_es_past))+(s_Q_s_poultry*s_f_p_poultry)))</f>
        <v>0</v>
      </c>
      <c r="BV16" s="40">
        <f>(s_C*s_IFE_far_adj*s_CF_far_egg*s_RadSpec!AK16*((s_Q_p_egg*s_f_p_egg*s_f_s_egg*(s_RadSpec!$AR16+s_R_es_past))+(s_Q_s_egg*s_f_p_egg)))</f>
        <v>0</v>
      </c>
      <c r="BW16" s="40">
        <f>(s_C*s_IFGO_far_adj*s_CF_far_goat*s_RadSpec!AO16*((s_Q_p_goat*s_f_p_goat*s_f_s_goat*(s_RadSpec!$AR16+s_R_es_past))+(s_Q_s_goat*s_f_p_goat)))</f>
        <v>0</v>
      </c>
      <c r="BX16" s="40">
        <f>(s_C*s_IFGM_far_adj*s_CF_far_goat_milk*s_RadSpec!AP16*1/s_D_milk*((s_Q_p_goat_milk*s_f_p_goat_milk*s_f_s_goat_milk*(s_RadSpec!$AR16+s_R_es_past))+(s_Q_s_goat_milk*s_f_p_goat_milk)))</f>
        <v>7135.0853699363915</v>
      </c>
      <c r="BY16" s="40">
        <f>(s_C*s_IFSH_far_adj*s_CF_far_sheep*s_RadSpec!AM16*((s_Q_p_sheep*s_f_p_sheep*s_f_s_sheep*(s_RadSpec!$AR16+s_R_es_past))+(s_Q_s_sheep*s_f_p_sheep)))</f>
        <v>8696.4798850574716</v>
      </c>
      <c r="BZ16" s="40">
        <f>(s_C*s_IFSM_far_adj*s_CF_far_sheep_milk*s_RadSpec!AN16*1/s_D_milk*((s_Q_p_sheep_milk*s_f_p_sheep_milk*s_f_s_sheep_milk*(s_RadSpec!$AR16+s_R_es_past))+(s_Q_s_sheep_milk*s_f_p_sheep_milk)))</f>
        <v>41621.331324628947</v>
      </c>
      <c r="CA16" s="18"/>
      <c r="CB16" s="18"/>
      <c r="CC16" s="18"/>
      <c r="CD16" s="18"/>
      <c r="CE16" s="18"/>
      <c r="CF16" s="18"/>
      <c r="CG16" s="18"/>
      <c r="CH16" s="18"/>
      <c r="CI16" s="18"/>
      <c r="CJ16" s="18"/>
      <c r="CK16" s="18"/>
      <c r="CL16" s="18"/>
      <c r="CM16" s="18"/>
      <c r="CN16" s="18"/>
      <c r="CO16" s="5"/>
      <c r="CP16" s="15">
        <f>IFERROR(s_TR/(s_RadSpec!H16*s_IFW_far_adj),".")</f>
        <v>2.2616759018432657</v>
      </c>
      <c r="CQ16" s="15" t="str">
        <f>IFERROR(IF(s_RadSpec!C16=1,s_TR/(s_RadSpec!G16*s_IFA_far_adj*s_K),"."),".")</f>
        <v>.</v>
      </c>
      <c r="CR16" s="15">
        <f>IFERROR((s_TR/(s_RadSpec!L16*(1/8760)*s_DFA_far_adj)),".")</f>
        <v>2410786921.1673522</v>
      </c>
      <c r="CS16" s="15">
        <f>s_b2w!BA16</f>
        <v>4.6187439047609571</v>
      </c>
      <c r="CT16" s="15">
        <f>IFERROR(I16/(s_RadSpec!AI16*(1/1000)),".")</f>
        <v>12.362276513219907</v>
      </c>
      <c r="CU16" s="15">
        <f>IFERROR(F16/(s_RadSpec!AH16*s_Q_w_beef*(1/1000)),".")</f>
        <v>88301.975094427908</v>
      </c>
      <c r="CV16" s="15">
        <f>IFERROR((G16*s_D_milk)/(s_RadSpec!AG16*s_Q_w_dairy*(1/1000)),".")</f>
        <v>335082.75812148693</v>
      </c>
      <c r="CW16" s="15" t="str">
        <f>IFERROR(H16/(s_RadSpec!AL16*s_Q_w_swine*(1/1000)),".")</f>
        <v>.</v>
      </c>
      <c r="CX16" s="15" t="str">
        <f>IFERROR(D16/(s_RadSpec!AJ16*s_Q_w_poultry*(1/1000)),".")</f>
        <v>.</v>
      </c>
      <c r="CY16" s="15" t="str">
        <f>IFERROR(E16/(s_RadSpec!AK16*s_Q_w_poultry*(1/1000)),".")</f>
        <v>.</v>
      </c>
      <c r="CZ16" s="15" t="str">
        <f>IFERROR(J16/(s_RadSpec!AO16*s_Q_w_goat*(1/1000)),".")</f>
        <v>.</v>
      </c>
      <c r="DA16" s="15">
        <f>IFERROR(L16*s_D_milk/(s_RadSpec!AP16*s_Q_w_goat_milk*(1/1000)),".")</f>
        <v>10610.95400718042</v>
      </c>
      <c r="DB16" s="15">
        <f>IFERROR(K16/(s_RadSpec!AM16*s_Q_w_sheep*(1/1000)),".")</f>
        <v>8705.8285304365545</v>
      </c>
      <c r="DC16" s="15">
        <f>IFERROR(M16*s_D_milk/(s_RadSpec!AN16*s_Q_w_sheep_milk*(1/1000)),".")</f>
        <v>1819.0206869452147</v>
      </c>
      <c r="DD16" s="120">
        <f t="shared" si="27"/>
        <v>0.44215000000000004</v>
      </c>
      <c r="DE16" s="120" t="str">
        <f t="shared" si="28"/>
        <v>.</v>
      </c>
      <c r="DF16" s="120">
        <f t="shared" si="29"/>
        <v>4.1480231671232878E-10</v>
      </c>
      <c r="DG16" s="120">
        <f t="shared" si="30"/>
        <v>0.21650908139098371</v>
      </c>
      <c r="DH16" s="120">
        <f t="shared" si="31"/>
        <v>8.0891250000000012E-2</v>
      </c>
      <c r="DI16" s="120">
        <f t="shared" si="32"/>
        <v>1.1324775000000002E-5</v>
      </c>
      <c r="DJ16" s="120">
        <f t="shared" si="33"/>
        <v>2.9843373786407777E-6</v>
      </c>
      <c r="DK16" s="120" t="str">
        <f t="shared" si="34"/>
        <v>.</v>
      </c>
      <c r="DL16" s="120" t="str">
        <f t="shared" si="35"/>
        <v>.</v>
      </c>
      <c r="DM16" s="120" t="str">
        <f t="shared" si="36"/>
        <v>.</v>
      </c>
      <c r="DN16" s="120" t="str">
        <f t="shared" si="37"/>
        <v>.</v>
      </c>
      <c r="DO16" s="120">
        <f t="shared" si="38"/>
        <v>9.424223300970876E-5</v>
      </c>
      <c r="DP16" s="120">
        <f t="shared" si="39"/>
        <v>1.1486557500000003E-4</v>
      </c>
      <c r="DQ16" s="120">
        <f t="shared" si="40"/>
        <v>5.4974635922330111E-4</v>
      </c>
      <c r="DR16" s="15">
        <f t="shared" si="41"/>
        <v>1.3507608587846429</v>
      </c>
      <c r="DS16" s="40">
        <f t="shared" si="42"/>
        <v>2500</v>
      </c>
      <c r="DT16" s="40">
        <f t="shared" si="43"/>
        <v>455.72916666666663</v>
      </c>
      <c r="DU16" s="40">
        <f t="shared" si="44"/>
        <v>0.22831050228310501</v>
      </c>
      <c r="DV16" s="40">
        <f>s_b2w!BZ16</f>
        <v>920.06238904888528</v>
      </c>
      <c r="DW16" s="40">
        <f>IFERROR(s_C*s_RadSpec!AI16*(1/1000)*s_IFFI_far_adj*s_CF_far_fish,0)</f>
        <v>343.75</v>
      </c>
      <c r="DX16" s="40">
        <f>(s_C*s_IFB_far_adj*s_CF_far_beef*s_RadSpec!AH16*s_Q_w_beef*(1/1000))</f>
        <v>4.8125000000000001E-2</v>
      </c>
      <c r="DY16" s="40">
        <f>(s_C*s_IFD_far_adj*s_CF_far_dairy*s_RadSpec!AG16*(1/s_D_milk)*s_Q_w_dairy*(1/1000))</f>
        <v>1.2682038834951457E-2</v>
      </c>
      <c r="DZ16" s="40">
        <f>(s_C*s_IFSW_far_adj*s_CF_far_swine*s_RadSpec!AL16*s_Q_w_swine*(1/1000))</f>
        <v>0</v>
      </c>
      <c r="EA16" s="40">
        <f>(s_C*s_IFP_far_adj*s_CF_far_poultry*s_RadSpec!AJ16*s_Q_w_poultry*(1/1000))</f>
        <v>0</v>
      </c>
      <c r="EB16" s="40">
        <f>(s_C*s_IFE_far_adj*s_CF_far_egg*s_RadSpec!AK16*s_Q_w_egg*(1/1000))</f>
        <v>0</v>
      </c>
      <c r="EC16" s="40">
        <f>(s_C*s_IFGO_far_adj*s_CF_far_goat*s_RadSpec!AO16*s_Q_p_goat*(1/1000))</f>
        <v>0</v>
      </c>
      <c r="ED16" s="40">
        <f>(s_C*s_IFGM_far_adj*s_CF_far_goat_milk*s_RadSpec!AP16*(1/s_D_milk)*s_Q_p_goat_milk*(1/1000))</f>
        <v>0.40048543689320387</v>
      </c>
      <c r="EE16" s="40">
        <f>(s_C*s_IFSH_far_adj*s_CF_far_sheep*s_RadSpec!AM16*s_Q_p_sheep*(1/1000))</f>
        <v>0.48812500000000003</v>
      </c>
      <c r="EF16" s="40">
        <f>(s_C*s_IFSM_far_adj*s_CF_far_sheep_milk*s_RadSpec!AN16*(1/s_D_milk)*s_Q_p_sheep_milk*(1/1000))</f>
        <v>2.3361650485436898</v>
      </c>
      <c r="EG16" s="18"/>
      <c r="EH16" s="18"/>
      <c r="EI16" s="18"/>
      <c r="EJ16" s="18"/>
      <c r="EK16" s="18"/>
      <c r="EL16" s="18"/>
      <c r="EM16" s="18"/>
      <c r="EN16" s="18"/>
      <c r="EO16" s="18"/>
      <c r="EP16" s="18"/>
      <c r="EQ16" s="18"/>
      <c r="ER16" s="18"/>
      <c r="ES16" s="18"/>
      <c r="ET16" s="18"/>
      <c r="EU16" s="5"/>
      <c r="EV16" s="15">
        <f>IFERROR((s_TR/(s_RadSpec!G16*s_IFA_far_adj)),".")</f>
        <v>0.34560034560034564</v>
      </c>
      <c r="EW16" s="15">
        <f>IFERROR((s_TR/(s_RadSpec!J16*s_EF_far*(1/365)*s_ED_far*s_ET_far*(1/24)*s_GSF_a)),".")</f>
        <v>2226222.22512546</v>
      </c>
      <c r="EX16" s="15">
        <f t="shared" si="54"/>
        <v>0.3456002919491068</v>
      </c>
      <c r="EY16" s="40">
        <f t="shared" si="46"/>
        <v>911.45833333333326</v>
      </c>
      <c r="EZ16" s="40">
        <f t="shared" si="47"/>
        <v>0.57077625570776247</v>
      </c>
      <c r="FA16" s="122"/>
      <c r="FB16" s="122"/>
      <c r="FC16" s="122"/>
    </row>
    <row r="17" spans="1:159" customFormat="1" x14ac:dyDescent="0.25">
      <c r="A17" s="44" t="s">
        <v>27</v>
      </c>
      <c r="B17" s="42" t="s">
        <v>1074</v>
      </c>
      <c r="C17" s="15">
        <f>s_dir!AB17</f>
        <v>187.55743946583638</v>
      </c>
      <c r="D17" s="15">
        <f>IFERROR(s_TR/(s_RadSpec!E17*s_IFP_far_adj*s_CF_far_poultry),".")</f>
        <v>750.22975786334553</v>
      </c>
      <c r="E17" s="15">
        <f>IFERROR(s_TR/(s_RadSpec!E17*s_IFE_far_adj*s_CF_far_egg),".")</f>
        <v>750.22975786334553</v>
      </c>
      <c r="F17" s="15">
        <f>IFERROR(s_TR/(s_RadSpec!E17*s_IFB_far_adj*s_CF_far_beef),".")</f>
        <v>750.22975786334553</v>
      </c>
      <c r="G17" s="15">
        <f>IFERROR(s_TR/(s_RadSpec!E17*s_IFD_far_adj*s_CF_far_dairy),".")</f>
        <v>750.22975786334553</v>
      </c>
      <c r="H17" s="15">
        <f>IFERROR(s_TR/(s_RadSpec!E17*s_IFSW_far_adj*s_CF_far_swine),".")</f>
        <v>750.22975786334553</v>
      </c>
      <c r="I17" s="15">
        <f>IFERROR(s_TR/(s_RadSpec!E17*s_IFFI_far_adj*s_CF_far_fish),".")</f>
        <v>750.22975786334553</v>
      </c>
      <c r="J17" s="15">
        <f>IFERROR(s_TR/(s_RadSpec!E17*s_IFGO_far_adj*s_CF_far_goat),".")</f>
        <v>750.22975786334553</v>
      </c>
      <c r="K17" s="15">
        <f>IFERROR(s_TR/(s_RadSpec!E17*s_IFSH_far_adj*s_CF_far_sheep),".")</f>
        <v>750.22975786334553</v>
      </c>
      <c r="L17" s="15">
        <f>IFERROR(s_TR/(s_RadSpec!E17*s_IFGM_far_adj*s_CF_far_goat_milk),".")</f>
        <v>750.22975786334553</v>
      </c>
      <c r="M17" s="15">
        <f>IFERROR(s_TR/(s_RadSpec!E17*s_IFSM_far_adj*s_CF_far_sheep_milk),".")</f>
        <v>750.22975786334553</v>
      </c>
      <c r="N17" s="40">
        <f>s_dir!BA17</f>
        <v>55000</v>
      </c>
      <c r="O17" s="40">
        <f t="shared" si="0"/>
        <v>13750</v>
      </c>
      <c r="P17" s="40">
        <f t="shared" si="1"/>
        <v>13750</v>
      </c>
      <c r="Q17" s="40">
        <f t="shared" si="2"/>
        <v>13750</v>
      </c>
      <c r="R17" s="40">
        <f t="shared" si="3"/>
        <v>13750</v>
      </c>
      <c r="S17" s="40">
        <f t="shared" si="4"/>
        <v>13750</v>
      </c>
      <c r="T17" s="40">
        <f t="shared" si="5"/>
        <v>13750</v>
      </c>
      <c r="U17" s="40">
        <f t="shared" si="6"/>
        <v>13750</v>
      </c>
      <c r="V17" s="40">
        <f t="shared" si="7"/>
        <v>13750</v>
      </c>
      <c r="W17" s="40">
        <f t="shared" si="8"/>
        <v>13750</v>
      </c>
      <c r="X17" s="40">
        <f t="shared" si="9"/>
        <v>13750</v>
      </c>
      <c r="Y17" s="5"/>
      <c r="Z17" s="5"/>
      <c r="AA17" s="5"/>
      <c r="AB17" s="5"/>
      <c r="AC17" s="5"/>
      <c r="AD17" s="5"/>
      <c r="AE17" s="5"/>
      <c r="AF17" s="5"/>
      <c r="AG17" s="5"/>
      <c r="AH17" s="5"/>
      <c r="AI17" s="5"/>
      <c r="AJ17" s="45">
        <f>IFERROR((s_TR/(s_RadSpec!D17*s_IFS_far_adj*(1/1000)))*1,".")</f>
        <v>229626.3978506969</v>
      </c>
      <c r="AK17" s="45">
        <f>IFERROR(IF(A17="H-3",(s_TR/(s_RadSpec!G17*s_IFA_far_adj*(1/17)*1000))*1,(s_TR/(s_RadSpec!G17*s_IFA_far_adj*(1/s_PEF_wind)*1000))*1),".")</f>
        <v>21872528.719346251</v>
      </c>
      <c r="AL17" s="45">
        <f>IFERROR((s_TR/(s_RadSpec!F17*s_EF_far*(1/365)*s_ED_far*s_RadSpec!Q17*((s_ET_far_o*(1/24)*s_RadSpec!V17)+(s_ET_far_i*(1/24)*s_RadSpec!AA17))))*1,".")</f>
        <v>162.19811588790057</v>
      </c>
      <c r="AM17" s="45">
        <f>s_b2s!BA17</f>
        <v>4831.1530546934482</v>
      </c>
      <c r="AN17" s="45">
        <f>IFERROR(((I17*s_RadSpec!AS17)/s_RadSpec!AI17)*1,".")</f>
        <v>4501.3785471800729</v>
      </c>
      <c r="AO17" s="45">
        <f>IFERROR((F17/(s_RadSpec!AH17*((s_Q_p_beef*s_f_p_beef*s_f_s_beef*(s_RadSpec!BB17+s_R_es_past))+(s_Q_s_beef*s_f_p_beef))))*1,".")</f>
        <v>12031.334365734758</v>
      </c>
      <c r="AP17" s="45">
        <f>IFERROR(((G17*s_D_milk)/(s_RadSpec!AG17*((s_Q_p_dairy*s_f_p_dairy*s_f_s_dairy*(s_RadSpec!BB17+s_R_es_past))+(s_Q_s_dairy*s_f_p_dairy))))*1,".")</f>
        <v>45655.747777340839</v>
      </c>
      <c r="AQ17" s="45" t="str">
        <f>IFERROR((H17/(s_RadSpec!AL17*((s_Q_p_swine*s_f_p_swine*s_f_s_swine*(s_RadSpec!BB17+s_R_es_past))+(s_Q_s_swine*s_f_p_swine))))*1,".")</f>
        <v>.</v>
      </c>
      <c r="AR17" s="45" t="str">
        <f>IFERROR((D17/(s_RadSpec!AJ17*((s_Q_p_poultry*s_f_p_poultry*s_f_s_poultry*(s_RadSpec!BB17+s_R_es_past))+(s_Q_s_poultry*s_f_p_poultry))))*1,".")</f>
        <v>.</v>
      </c>
      <c r="AS17" s="45" t="str">
        <f>IFERROR((E17/(s_RadSpec!AK17*((s_Q_p_poultry*s_f_p_poultry*s_f_s_poultry*(s_RadSpec!BB17+s_R_es_past))+(s_Q_s_poultry*s_f_p_poultry))))*1,".")</f>
        <v>.</v>
      </c>
      <c r="AT17" s="45" t="str">
        <f>IFERROR((J17/(s_RadSpec!AO17*((s_Q_p_goat*s_f_p_goat*s_f_s_goat*(s_RadSpec!BB17+s_R_es_past))+(s_Q_s_goat*s_f_p_goat))))*1,".")</f>
        <v>.</v>
      </c>
      <c r="AU17" s="45">
        <f>IFERROR((L17*s_D_milk/(s_RadSpec!AP17*((s_Q_p_goat_milk*s_f_p_goat_milk*s_f_s_goat_milk*(s_RadSpec!BB17+s_R_es_past))+(s_Q_s_goat_milk*s_f_p_goat_milk))))*1,".")</f>
        <v>1445.7653462824601</v>
      </c>
      <c r="AV17" s="45">
        <f>IFERROR((K17/(s_RadSpec!AM17*((s_Q_p_sheep*s_f_p_sheep*s_f_s_sheep*(s_RadSpec!BB17+s_R_es_past))+(s_Q_s_sheep*s_f_p_sheep))))*1,".")</f>
        <v>1186.1878952132861</v>
      </c>
      <c r="AW17" s="45">
        <f>IFERROR((M17*s_D_milk/(s_RadSpec!AN17*((s_Q_p_sheep_milk*s_f_p_sheep_milk*s_f_s_sheep_milk*(s_RadSpec!BB17+s_R_es_past))+(s_Q_s_sheep_milk*s_f_p_sheep_milk))))*1,".")</f>
        <v>247.84548793413597</v>
      </c>
      <c r="AX17" s="120">
        <f t="shared" si="10"/>
        <v>4.3549000000000004E-6</v>
      </c>
      <c r="AY17" s="120">
        <f t="shared" si="11"/>
        <v>4.5719450770020022E-8</v>
      </c>
      <c r="AZ17" s="120">
        <f t="shared" si="12"/>
        <v>6.1652997294439999E-3</v>
      </c>
      <c r="BA17" s="120">
        <f t="shared" si="13"/>
        <v>2.0698992325000003E-4</v>
      </c>
      <c r="BB17" s="120">
        <f t="shared" si="14"/>
        <v>2.221541666666667E-4</v>
      </c>
      <c r="BC17" s="120">
        <f t="shared" si="15"/>
        <v>8.3116300287356336E-5</v>
      </c>
      <c r="BD17" s="120">
        <f t="shared" si="16"/>
        <v>2.1903047232451742E-5</v>
      </c>
      <c r="BE17" s="120" t="str">
        <f t="shared" si="17"/>
        <v>.</v>
      </c>
      <c r="BF17" s="120" t="str">
        <f t="shared" si="18"/>
        <v>.</v>
      </c>
      <c r="BG17" s="120" t="str">
        <f t="shared" si="19"/>
        <v>.</v>
      </c>
      <c r="BH17" s="120" t="str">
        <f t="shared" si="20"/>
        <v>.</v>
      </c>
      <c r="BI17" s="120">
        <f t="shared" si="21"/>
        <v>6.9167517576163387E-4</v>
      </c>
      <c r="BJ17" s="120">
        <f t="shared" si="22"/>
        <v>8.430367600574713E-4</v>
      </c>
      <c r="BK17" s="120">
        <f t="shared" si="23"/>
        <v>4.0347718586095311E-3</v>
      </c>
      <c r="BL17" s="15">
        <f t="shared" si="24"/>
        <v>81.477363320797181</v>
      </c>
      <c r="BM17" s="40">
        <f t="shared" si="25"/>
        <v>27.5</v>
      </c>
      <c r="BN17" s="40">
        <f t="shared" si="26"/>
        <v>2.9420495991003873E-3</v>
      </c>
      <c r="BO17" s="40">
        <f>IFERROR((s_C*s_EF_far*(1/365)*s_ED_far*s_RadSpec!Q17*((s_ET_far_o*(1/24)*s_RadSpec!V17)+(s_ET_far_i*(1/24)*s_RadSpec!AA17))),".")</f>
        <v>3.102336825141017E-2</v>
      </c>
      <c r="BP17" s="40">
        <f>s_b2s!BZ17</f>
        <v>2135.2375000000002</v>
      </c>
      <c r="BQ17" s="40">
        <f>IFERROR(((s_C*s_RadSpec!AI17)/s_RadSpec!AS17)*s_IFFI_far_adj*s_CF_far_fish,0)</f>
        <v>2291.666666666667</v>
      </c>
      <c r="BR17" s="40">
        <f>(s_C*s_IFB_far_adj*s_CF_far_beef*s_RadSpec!AH17*((s_Q_p_beef*s_f_p_beef*s_f_s_beef*(s_RadSpec!$AR17+s_R_es_past))+(s_Q_s_beef*s_f_p_beef)))</f>
        <v>857.39942528735628</v>
      </c>
      <c r="BS17" s="40">
        <f>(s_C*s_IFD_far_adj*s_CF_far_dairy*s_RadSpec!AG17*1/s_D_milk*((s_Q_p_dairy*s_f_p_dairy*s_f_s_dairy*(s_RadSpec!$AR17+s_R_es_past))+(s_Q_s_dairy*s_f_p_dairy)))</f>
        <v>225.94437004798573</v>
      </c>
      <c r="BT17" s="40">
        <f>(s_C*s_IFSW_far_adj*s_CF_far_swine*s_RadSpec!AL17*((s_Q_p_swine*s_f_p_swine*s_f_s_swine*(s_RadSpec!$AR17+s_R_es_past))+(s_Q_s_swine*s_f_p_swine)))</f>
        <v>0</v>
      </c>
      <c r="BU17" s="40">
        <f>(s_C*s_IFP_far_adj*s_CF_far_poultry*s_RadSpec!AJ17*((s_Q_p_poultry*s_f_p_poultry*s_f_s_poultry*(s_RadSpec!AR17+s_R_es_past))+(s_Q_s_poultry*s_f_p_poultry)))</f>
        <v>0</v>
      </c>
      <c r="BV17" s="40">
        <f>(s_C*s_IFE_far_adj*s_CF_far_egg*s_RadSpec!AK17*((s_Q_p_egg*s_f_p_egg*s_f_s_egg*(s_RadSpec!$AR17+s_R_es_past))+(s_Q_s_egg*s_f_p_egg)))</f>
        <v>0</v>
      </c>
      <c r="BW17" s="40">
        <f>(s_C*s_IFGO_far_adj*s_CF_far_goat*s_RadSpec!AO17*((s_Q_p_goat*s_f_p_goat*s_f_s_goat*(s_RadSpec!$AR17+s_R_es_past))+(s_Q_s_goat*s_f_p_goat)))</f>
        <v>0</v>
      </c>
      <c r="BX17" s="40">
        <f>(s_C*s_IFGM_far_adj*s_CF_far_goat_milk*s_RadSpec!AP17*1/s_D_milk*((s_Q_p_goat_milk*s_f_p_goat_milk*s_f_s_goat_milk*(s_RadSpec!$AR17+s_R_es_past))+(s_Q_s_goat_milk*s_f_p_goat_milk)))</f>
        <v>7135.0853699363915</v>
      </c>
      <c r="BY17" s="40">
        <f>(s_C*s_IFSH_far_adj*s_CF_far_sheep*s_RadSpec!AM17*((s_Q_p_sheep*s_f_p_sheep*s_f_s_sheep*(s_RadSpec!$AR17+s_R_es_past))+(s_Q_s_sheep*s_f_p_sheep)))</f>
        <v>8696.4798850574716</v>
      </c>
      <c r="BZ17" s="40">
        <f>(s_C*s_IFSM_far_adj*s_CF_far_sheep_milk*s_RadSpec!AN17*1/s_D_milk*((s_Q_p_sheep_milk*s_f_p_sheep_milk*s_f_s_sheep_milk*(s_RadSpec!$AR17+s_R_es_past))+(s_Q_s_sheep_milk*s_f_p_sheep_milk)))</f>
        <v>41621.331324628947</v>
      </c>
      <c r="CA17" s="18"/>
      <c r="CB17" s="18"/>
      <c r="CC17" s="18"/>
      <c r="CD17" s="18"/>
      <c r="CE17" s="18"/>
      <c r="CF17" s="18"/>
      <c r="CG17" s="18"/>
      <c r="CH17" s="18"/>
      <c r="CI17" s="18"/>
      <c r="CJ17" s="18"/>
      <c r="CK17" s="18"/>
      <c r="CL17" s="18"/>
      <c r="CM17" s="18"/>
      <c r="CN17" s="18"/>
      <c r="CO17" s="5"/>
      <c r="CP17" s="15">
        <f>IFERROR(s_TR/(s_RadSpec!H17*s_IFW_far_adj),".")</f>
        <v>5806.0208436148287</v>
      </c>
      <c r="CQ17" s="15" t="str">
        <f>IFERROR(IF(s_RadSpec!C17=1,s_TR/(s_RadSpec!G17*s_IFA_far_adj*s_K),"."),".")</f>
        <v>.</v>
      </c>
      <c r="CR17" s="15">
        <f>IFERROR((s_TR/(s_RadSpec!L17*(1/8760)*s_DFA_far_adj)),".")</f>
        <v>9819854.5794146601</v>
      </c>
      <c r="CS17" s="15">
        <f>s_b2w!BA17</f>
        <v>11211.912684839575</v>
      </c>
      <c r="CT17" s="15">
        <f>IFERROR(I17/(s_RadSpec!AI17*(1/1000)),".")</f>
        <v>30009.190314533818</v>
      </c>
      <c r="CU17" s="15">
        <f>IFERROR(F17/(s_RadSpec!AH17*s_Q_w_beef*(1/1000)),".")</f>
        <v>214351359.38952729</v>
      </c>
      <c r="CV17" s="15">
        <f>IFERROR((G17*s_D_milk)/(s_RadSpec!AG17*s_Q_w_dairy*(1/1000)),".")</f>
        <v>813407000.63078499</v>
      </c>
      <c r="CW17" s="15" t="str">
        <f>IFERROR(H17/(s_RadSpec!AL17*s_Q_w_swine*(1/1000)),".")</f>
        <v>.</v>
      </c>
      <c r="CX17" s="15" t="str">
        <f>IFERROR(D17/(s_RadSpec!AJ17*s_Q_w_poultry*(1/1000)),".")</f>
        <v>.</v>
      </c>
      <c r="CY17" s="15" t="str">
        <f>IFERROR(E17/(s_RadSpec!AK17*s_Q_w_poultry*(1/1000)),".")</f>
        <v>.</v>
      </c>
      <c r="CZ17" s="15" t="str">
        <f>IFERROR(J17/(s_RadSpec!AO17*s_Q_w_goat*(1/1000)),".")</f>
        <v>.</v>
      </c>
      <c r="DA17" s="15">
        <f>IFERROR(L17*s_D_milk/(s_RadSpec!AP17*s_Q_w_goat_milk*(1/1000)),".")</f>
        <v>25757888.353308193</v>
      </c>
      <c r="DB17" s="15">
        <f>IFERROR(K17/(s_RadSpec!AM17*s_Q_w_sheep*(1/1000)),".")</f>
        <v>21133232.615868885</v>
      </c>
      <c r="DC17" s="15">
        <f>IFERROR(M17*s_D_milk/(s_RadSpec!AN17*s_Q_w_sheep_milk*(1/1000)),".")</f>
        <v>4415638.0034242617</v>
      </c>
      <c r="DD17" s="120">
        <f t="shared" si="27"/>
        <v>1.7223499999999999E-4</v>
      </c>
      <c r="DE17" s="120" t="str">
        <f t="shared" si="28"/>
        <v>.</v>
      </c>
      <c r="DF17" s="120">
        <f t="shared" si="29"/>
        <v>1.0183450191780822E-7</v>
      </c>
      <c r="DG17" s="120">
        <f t="shared" si="30"/>
        <v>8.9190847994398948E-5</v>
      </c>
      <c r="DH17" s="120">
        <f t="shared" si="31"/>
        <v>3.3323125000000008E-5</v>
      </c>
      <c r="DI17" s="120">
        <f t="shared" si="32"/>
        <v>4.6652375000000012E-9</v>
      </c>
      <c r="DJ17" s="120">
        <f t="shared" si="33"/>
        <v>1.2293968446601946E-9</v>
      </c>
      <c r="DK17" s="120" t="str">
        <f t="shared" si="34"/>
        <v>.</v>
      </c>
      <c r="DL17" s="120" t="str">
        <f t="shared" si="35"/>
        <v>.</v>
      </c>
      <c r="DM17" s="120" t="str">
        <f t="shared" si="36"/>
        <v>.</v>
      </c>
      <c r="DN17" s="120" t="str">
        <f t="shared" si="37"/>
        <v>.</v>
      </c>
      <c r="DO17" s="120">
        <f t="shared" si="38"/>
        <v>3.8823058252427195E-8</v>
      </c>
      <c r="DP17" s="120">
        <f t="shared" si="39"/>
        <v>4.7318837500000014E-8</v>
      </c>
      <c r="DQ17" s="120">
        <f t="shared" si="40"/>
        <v>2.2646783980582531E-7</v>
      </c>
      <c r="DR17" s="15">
        <f t="shared" si="41"/>
        <v>3387.8860701251779</v>
      </c>
      <c r="DS17" s="40">
        <f t="shared" si="42"/>
        <v>2500</v>
      </c>
      <c r="DT17" s="40">
        <f t="shared" si="43"/>
        <v>455.72916666666663</v>
      </c>
      <c r="DU17" s="40">
        <f t="shared" si="44"/>
        <v>0.22831050228310501</v>
      </c>
      <c r="DV17" s="40">
        <f>s_b2w!BZ17</f>
        <v>920.06238904888528</v>
      </c>
      <c r="DW17" s="40">
        <f>IFERROR(s_C*s_RadSpec!AI17*(1/1000)*s_IFFI_far_adj*s_CF_far_fish,0)</f>
        <v>343.75</v>
      </c>
      <c r="DX17" s="40">
        <f>(s_C*s_IFB_far_adj*s_CF_far_beef*s_RadSpec!AH17*s_Q_w_beef*(1/1000))</f>
        <v>4.8125000000000001E-2</v>
      </c>
      <c r="DY17" s="40">
        <f>(s_C*s_IFD_far_adj*s_CF_far_dairy*s_RadSpec!AG17*(1/s_D_milk)*s_Q_w_dairy*(1/1000))</f>
        <v>1.2682038834951457E-2</v>
      </c>
      <c r="DZ17" s="40">
        <f>(s_C*s_IFSW_far_adj*s_CF_far_swine*s_RadSpec!AL17*s_Q_w_swine*(1/1000))</f>
        <v>0</v>
      </c>
      <c r="EA17" s="40">
        <f>(s_C*s_IFP_far_adj*s_CF_far_poultry*s_RadSpec!AJ17*s_Q_w_poultry*(1/1000))</f>
        <v>0</v>
      </c>
      <c r="EB17" s="40">
        <f>(s_C*s_IFE_far_adj*s_CF_far_egg*s_RadSpec!AK17*s_Q_w_egg*(1/1000))</f>
        <v>0</v>
      </c>
      <c r="EC17" s="40">
        <f>(s_C*s_IFGO_far_adj*s_CF_far_goat*s_RadSpec!AO17*s_Q_p_goat*(1/1000))</f>
        <v>0</v>
      </c>
      <c r="ED17" s="40">
        <f>(s_C*s_IFGM_far_adj*s_CF_far_goat_milk*s_RadSpec!AP17*(1/s_D_milk)*s_Q_p_goat_milk*(1/1000))</f>
        <v>0.40048543689320387</v>
      </c>
      <c r="EE17" s="40">
        <f>(s_C*s_IFSH_far_adj*s_CF_far_sheep*s_RadSpec!AM17*s_Q_p_sheep*(1/1000))</f>
        <v>0.48812500000000003</v>
      </c>
      <c r="EF17" s="40">
        <f>(s_C*s_IFSM_far_adj*s_CF_far_sheep_milk*s_RadSpec!AN17*(1/s_D_milk)*s_Q_p_sheep_milk*(1/1000))</f>
        <v>2.3361650485436898</v>
      </c>
      <c r="EG17" s="18"/>
      <c r="EH17" s="18"/>
      <c r="EI17" s="18"/>
      <c r="EJ17" s="18"/>
      <c r="EK17" s="18"/>
      <c r="EL17" s="18"/>
      <c r="EM17" s="18"/>
      <c r="EN17" s="18"/>
      <c r="EO17" s="18"/>
      <c r="EP17" s="18"/>
      <c r="EQ17" s="18"/>
      <c r="ER17" s="18"/>
      <c r="ES17" s="18"/>
      <c r="ET17" s="18"/>
      <c r="EU17" s="5"/>
      <c r="EV17" s="15">
        <f>IFERROR((s_TR/(s_RadSpec!G17*s_IFA_far_adj)),".")</f>
        <v>70.601213458356312</v>
      </c>
      <c r="EW17" s="15">
        <f>IFERROR((s_TR/(s_RadSpec!J17*s_EF_far*(1/365)*s_ED_far*s_ET_far*(1/24)*s_GSF_a)),".")</f>
        <v>8593.7788071853374</v>
      </c>
      <c r="EX17" s="15">
        <f t="shared" si="54"/>
        <v>70.02592343992265</v>
      </c>
      <c r="EY17" s="40">
        <f t="shared" si="46"/>
        <v>911.45833333333326</v>
      </c>
      <c r="EZ17" s="40">
        <f t="shared" si="47"/>
        <v>0.57077625570776247</v>
      </c>
      <c r="FA17" s="122"/>
      <c r="FB17" s="122"/>
      <c r="FC17" s="122"/>
    </row>
    <row r="18" spans="1:159" customFormat="1" x14ac:dyDescent="0.25">
      <c r="A18" s="44" t="s">
        <v>28</v>
      </c>
      <c r="B18" s="42" t="s">
        <v>1074</v>
      </c>
      <c r="C18" s="15">
        <f>s_dir!AB18</f>
        <v>4.0344867931074828E-2</v>
      </c>
      <c r="D18" s="15">
        <f>IFERROR(s_TR/(s_RadSpec!E18*s_IFP_far_adj*s_CF_far_poultry),".")</f>
        <v>0.16137947172429931</v>
      </c>
      <c r="E18" s="15">
        <f>IFERROR(s_TR/(s_RadSpec!E18*s_IFE_far_adj*s_CF_far_egg),".")</f>
        <v>0.16137947172429931</v>
      </c>
      <c r="F18" s="15">
        <f>IFERROR(s_TR/(s_RadSpec!E18*s_IFB_far_adj*s_CF_far_beef),".")</f>
        <v>0.16137947172429931</v>
      </c>
      <c r="G18" s="15">
        <f>IFERROR(s_TR/(s_RadSpec!E18*s_IFD_far_adj*s_CF_far_dairy),".")</f>
        <v>0.16137947172429931</v>
      </c>
      <c r="H18" s="15">
        <f>IFERROR(s_TR/(s_RadSpec!E18*s_IFSW_far_adj*s_CF_far_swine),".")</f>
        <v>0.16137947172429931</v>
      </c>
      <c r="I18" s="15">
        <f>IFERROR(s_TR/(s_RadSpec!E18*s_IFFI_far_adj*s_CF_far_fish),".")</f>
        <v>0.16137947172429931</v>
      </c>
      <c r="J18" s="15">
        <f>IFERROR(s_TR/(s_RadSpec!E18*s_IFGO_far_adj*s_CF_far_goat),".")</f>
        <v>0.16137947172429931</v>
      </c>
      <c r="K18" s="15">
        <f>IFERROR(s_TR/(s_RadSpec!E18*s_IFSH_far_adj*s_CF_far_sheep),".")</f>
        <v>0.16137947172429931</v>
      </c>
      <c r="L18" s="15">
        <f>IFERROR(s_TR/(s_RadSpec!E18*s_IFGM_far_adj*s_CF_far_goat_milk),".")</f>
        <v>0.16137947172429931</v>
      </c>
      <c r="M18" s="15">
        <f>IFERROR(s_TR/(s_RadSpec!E18*s_IFSM_far_adj*s_CF_far_sheep_milk),".")</f>
        <v>0.16137947172429931</v>
      </c>
      <c r="N18" s="40">
        <f>s_dir!BA18</f>
        <v>55000</v>
      </c>
      <c r="O18" s="40">
        <f t="shared" si="0"/>
        <v>13750</v>
      </c>
      <c r="P18" s="40">
        <f t="shared" si="1"/>
        <v>13750</v>
      </c>
      <c r="Q18" s="40">
        <f t="shared" si="2"/>
        <v>13750</v>
      </c>
      <c r="R18" s="40">
        <f t="shared" si="3"/>
        <v>13750</v>
      </c>
      <c r="S18" s="40">
        <f t="shared" si="4"/>
        <v>13750</v>
      </c>
      <c r="T18" s="40">
        <f t="shared" si="5"/>
        <v>13750</v>
      </c>
      <c r="U18" s="40">
        <f t="shared" si="6"/>
        <v>13750</v>
      </c>
      <c r="V18" s="40">
        <f t="shared" si="7"/>
        <v>13750</v>
      </c>
      <c r="W18" s="40">
        <f t="shared" si="8"/>
        <v>13750</v>
      </c>
      <c r="X18" s="40">
        <f t="shared" si="9"/>
        <v>13750</v>
      </c>
      <c r="Y18" s="5"/>
      <c r="Z18" s="5"/>
      <c r="AA18" s="5"/>
      <c r="AB18" s="5"/>
      <c r="AC18" s="5"/>
      <c r="AD18" s="5"/>
      <c r="AE18" s="5"/>
      <c r="AF18" s="5"/>
      <c r="AG18" s="5"/>
      <c r="AH18" s="5"/>
      <c r="AI18" s="5"/>
      <c r="AJ18" s="45">
        <f>IFERROR((s_TR/(s_RadSpec!D18*s_IFS_far_adj*(1/1000)))*1,".")</f>
        <v>55.525479254292819</v>
      </c>
      <c r="AK18" s="45">
        <f>IFERROR(IF(A18="H-3",(s_TR/(s_RadSpec!G18*s_IFA_far_adj*(1/17)*1000))*1,(s_TR/(s_RadSpec!G18*s_IFA_far_adj*(1/s_PEF_wind)*1000))*1),".")</f>
        <v>117174.26099649776</v>
      </c>
      <c r="AL18" s="45">
        <f>IFERROR((s_TR/(s_RadSpec!F18*s_EF_far*(1/365)*s_ED_far*s_RadSpec!Q18*((s_ET_far_o*(1/24)*s_RadSpec!V18)+(s_ET_far_i*(1/24)*s_RadSpec!AA18))))*1,".")</f>
        <v>1821265.1684057876</v>
      </c>
      <c r="AM18" s="45">
        <f>s_b2s!BA18</f>
        <v>2.156326452756538</v>
      </c>
      <c r="AN18" s="45">
        <f>IFERROR(((I18*s_RadSpec!AS18)/s_RadSpec!AI18)*1,".")</f>
        <v>0.94138025172507922</v>
      </c>
      <c r="AO18" s="45">
        <f>IFERROR((F18/(s_RadSpec!AH18*((s_Q_p_beef*s_f_p_beef*s_f_s_beef*(s_RadSpec!BB18+s_R_es_past))+(s_Q_s_beef*s_f_p_beef))))*1,".")</f>
        <v>0.36872205475711478</v>
      </c>
      <c r="AP18" s="45">
        <f>IFERROR(((G18*s_D_milk)/(s_RadSpec!AG18*((s_Q_p_dairy*s_f_p_dairy*s_f_s_dairy*(s_RadSpec!BB18+s_R_es_past))+(s_Q_s_dairy*s_f_p_dairy))))*1,".")</f>
        <v>9.0424694380911497</v>
      </c>
      <c r="AQ18" s="45" t="str">
        <f>IFERROR((H18/(s_RadSpec!AL18*((s_Q_p_swine*s_f_p_swine*s_f_s_swine*(s_RadSpec!BB18+s_R_es_past))+(s_Q_s_swine*s_f_p_swine))))*1,".")</f>
        <v>.</v>
      </c>
      <c r="AR18" s="45">
        <f>IFERROR((D18/(s_RadSpec!AJ18*((s_Q_p_poultry*s_f_p_poultry*s_f_s_poultry*(s_RadSpec!BB18+s_R_es_past))+(s_Q_s_poultry*s_f_p_poultry))))*1,".")</f>
        <v>7.6817094741065588E-4</v>
      </c>
      <c r="AS18" s="45">
        <f>IFERROR((E18/(s_RadSpec!AK18*((s_Q_p_poultry*s_f_p_poultry*s_f_s_poultry*(s_RadSpec!BB18+s_R_es_past))+(s_Q_s_poultry*s_f_p_poultry))))*1,".")</f>
        <v>5.9471299154373357E-4</v>
      </c>
      <c r="AT18" s="45" t="str">
        <f>IFERROR((J18/(s_RadSpec!AO18*((s_Q_p_goat*s_f_p_goat*s_f_s_goat*(s_RadSpec!BB18+s_R_es_past))+(s_Q_s_goat*s_f_p_goat))))*1,".")</f>
        <v>.</v>
      </c>
      <c r="AU18" s="45">
        <f>IFERROR((L18*s_D_milk/(s_RadSpec!AP18*((s_Q_p_goat_milk*s_f_p_goat_milk*s_f_s_goat_milk*(s_RadSpec!BB18+s_R_es_past))+(s_Q_s_goat_milk*s_f_p_goat_milk))))*1,".")</f>
        <v>0.82561677478223539</v>
      </c>
      <c r="AV18" s="45">
        <f>IFERROR((K18/(s_RadSpec!AM18*((s_Q_p_sheep*s_f_p_sheep*s_f_s_sheep*(s_RadSpec!BB18+s_R_es_past))+(s_Q_s_sheep*s_f_p_sheep))))*1,".")</f>
        <v>3.6872205475711482E-2</v>
      </c>
      <c r="AW18" s="45" t="str">
        <f>IFERROR((M18*s_D_milk/(s_RadSpec!AN18*((s_Q_p_sheep_milk*s_f_p_sheep_milk*s_f_s_sheep_milk*(s_RadSpec!BB18+s_R_es_past))+(s_Q_s_sheep_milk*s_f_p_sheep_milk))))*1,".")</f>
        <v>.</v>
      </c>
      <c r="AX18" s="120">
        <f t="shared" si="10"/>
        <v>1.8009749999999998E-2</v>
      </c>
      <c r="AY18" s="120">
        <f t="shared" si="11"/>
        <v>8.5342974770704052E-6</v>
      </c>
      <c r="AZ18" s="120">
        <f t="shared" si="12"/>
        <v>5.4906886561462785E-7</v>
      </c>
      <c r="BA18" s="120">
        <f t="shared" si="13"/>
        <v>0.46375167300000003</v>
      </c>
      <c r="BB18" s="120">
        <f t="shared" si="14"/>
        <v>1.06227</v>
      </c>
      <c r="BC18" s="120">
        <f t="shared" si="15"/>
        <v>2.7120699375000004</v>
      </c>
      <c r="BD18" s="120">
        <f t="shared" si="16"/>
        <v>0.11058925958737864</v>
      </c>
      <c r="BE18" s="120" t="str">
        <f t="shared" si="17"/>
        <v>.</v>
      </c>
      <c r="BF18" s="120">
        <f t="shared" si="18"/>
        <v>1301.79357</v>
      </c>
      <c r="BG18" s="120">
        <f t="shared" si="19"/>
        <v>1681.4833612500001</v>
      </c>
      <c r="BH18" s="120" t="str">
        <f t="shared" si="20"/>
        <v>.</v>
      </c>
      <c r="BI18" s="120">
        <f t="shared" si="21"/>
        <v>1.2112157002427184</v>
      </c>
      <c r="BJ18" s="120">
        <f t="shared" si="22"/>
        <v>27.120699375000001</v>
      </c>
      <c r="BK18" s="120" t="str">
        <f t="shared" si="23"/>
        <v>.</v>
      </c>
      <c r="BL18" s="15">
        <f t="shared" si="24"/>
        <v>3.3156767511485823E-4</v>
      </c>
      <c r="BM18" s="40">
        <f t="shared" si="25"/>
        <v>27.5</v>
      </c>
      <c r="BN18" s="40">
        <f t="shared" si="26"/>
        <v>2.9420495991003873E-3</v>
      </c>
      <c r="BO18" s="40">
        <f>IFERROR((s_C*s_EF_far*(1/365)*s_ED_far*s_RadSpec!Q18*((s_ET_far_o*(1/24)*s_RadSpec!V18)+(s_ET_far_i*(1/24)*s_RadSpec!AA18))),".")</f>
        <v>6.091213565868081E-2</v>
      </c>
      <c r="BP18" s="40">
        <f>s_b2s!BZ18</f>
        <v>1029.05</v>
      </c>
      <c r="BQ18" s="40">
        <f>IFERROR(((s_C*s_RadSpec!AI18)/s_RadSpec!AS18)*s_IFFI_far_adj*s_CF_far_fish,0)</f>
        <v>2357.1428571428569</v>
      </c>
      <c r="BR18" s="40">
        <f>(s_C*s_IFB_far_adj*s_CF_far_beef*s_RadSpec!AH18*((s_Q_p_beef*s_f_p_beef*s_f_s_beef*(s_RadSpec!$AR18+s_R_es_past))+(s_Q_s_beef*s_f_p_beef)))</f>
        <v>6017.995689655173</v>
      </c>
      <c r="BS18" s="40">
        <f>(s_C*s_IFD_far_adj*s_CF_far_dairy*s_RadSpec!AG18*1/s_D_milk*((s_Q_p_dairy*s_f_p_dairy*s_f_s_dairy*(s_RadSpec!$AR18+s_R_es_past))+(s_Q_s_dairy*s_f_p_dairy)))</f>
        <v>245.39399899564785</v>
      </c>
      <c r="BT18" s="40">
        <f>(s_C*s_IFSW_far_adj*s_CF_far_swine*s_RadSpec!AL18*((s_Q_p_swine*s_f_p_swine*s_f_s_swine*(s_RadSpec!$AR18+s_R_es_past))+(s_Q_s_swine*s_f_p_swine)))</f>
        <v>0</v>
      </c>
      <c r="BU18" s="40">
        <f>(s_C*s_IFP_far_adj*s_CF_far_poultry*s_RadSpec!AJ18*((s_Q_p_poultry*s_f_p_poultry*s_f_s_poultry*(s_RadSpec!AR18+s_R_es_past))+(s_Q_s_poultry*s_f_p_poultry)))</f>
        <v>2888637.931034483</v>
      </c>
      <c r="BV18" s="40">
        <f>(s_C*s_IFE_far_adj*s_CF_far_egg*s_RadSpec!AK18*((s_Q_p_egg*s_f_p_egg*s_f_s_egg*(s_RadSpec!$AR18+s_R_es_past))+(s_Q_s_egg*s_f_p_egg)))</f>
        <v>3731157.3275862071</v>
      </c>
      <c r="BW18" s="40">
        <f>(s_C*s_IFGO_far_adj*s_CF_far_goat*s_RadSpec!AO18*((s_Q_p_goat*s_f_p_goat*s_f_s_goat*(s_RadSpec!$AR18+s_R_es_past))+(s_Q_s_goat*s_f_p_goat)))</f>
        <v>0</v>
      </c>
      <c r="BX18" s="40">
        <f>(s_C*s_IFGM_far_adj*s_CF_far_goat_milk*s_RadSpec!AP18*1/s_D_milk*((s_Q_p_goat_milk*s_f_p_goat_milk*s_f_s_goat_milk*(s_RadSpec!$AR18+s_R_es_past))+(s_Q_s_goat_milk*s_f_p_goat_milk)))</f>
        <v>2687.6485604285235</v>
      </c>
      <c r="BY18" s="40">
        <f>(s_C*s_IFSH_far_adj*s_CF_far_sheep*s_RadSpec!AM18*((s_Q_p_sheep*s_f_p_sheep*s_f_s_sheep*(s_RadSpec!$AR18+s_R_es_past))+(s_Q_s_sheep*s_f_p_sheep)))</f>
        <v>60179.956896551732</v>
      </c>
      <c r="BZ18" s="40">
        <f>(s_C*s_IFSM_far_adj*s_CF_far_sheep_milk*s_RadSpec!AN18*1/s_D_milk*((s_Q_p_sheep_milk*s_f_p_sheep_milk*s_f_s_sheep_milk*(s_RadSpec!$AR18+s_R_es_past))+(s_Q_s_sheep_milk*s_f_p_sheep_milk)))</f>
        <v>0</v>
      </c>
      <c r="CA18" s="18"/>
      <c r="CB18" s="18"/>
      <c r="CC18" s="18"/>
      <c r="CD18" s="18"/>
      <c r="CE18" s="18"/>
      <c r="CF18" s="18"/>
      <c r="CG18" s="18"/>
      <c r="CH18" s="18"/>
      <c r="CI18" s="18"/>
      <c r="CJ18" s="18"/>
      <c r="CK18" s="18"/>
      <c r="CL18" s="18"/>
      <c r="CM18" s="18"/>
      <c r="CN18" s="18"/>
      <c r="CO18" s="5"/>
      <c r="CP18" s="15">
        <f>IFERROR(s_TR/(s_RadSpec!H18*s_IFW_far_adj),".")</f>
        <v>1.1261261261261262</v>
      </c>
      <c r="CQ18" s="15" t="str">
        <f>IFERROR(IF(s_RadSpec!C18=1,s_TR/(s_RadSpec!G18*s_IFA_far_adj*s_K),"."),".")</f>
        <v>.</v>
      </c>
      <c r="CR18" s="15">
        <f>IFERROR((s_TR/(s_RadSpec!L18*(1/8760)*s_DFA_far_adj)),".")</f>
        <v>241388960703.75806</v>
      </c>
      <c r="CS18" s="15">
        <f>s_b2w!BA18</f>
        <v>3.1687672904104303</v>
      </c>
      <c r="CT18" s="15">
        <f>IFERROR(I18/(s_RadSpec!AI18*(1/1000)),".")</f>
        <v>4.4827631034527577</v>
      </c>
      <c r="CU18" s="15">
        <f>IFERROR(F18/(s_RadSpec!AH18*s_Q_w_beef*(1/1000)),".")</f>
        <v>6455.1788689719724</v>
      </c>
      <c r="CV18" s="15">
        <f>IFERROR((G18*s_D_milk)/(s_RadSpec!AG18*s_Q_w_dairy*(1/1000)),".")</f>
        <v>158305.57702478886</v>
      </c>
      <c r="CW18" s="15" t="str">
        <f>IFERROR(H18/(s_RadSpec!AL18*s_Q_w_swine*(1/1000)),".")</f>
        <v>.</v>
      </c>
      <c r="CX18" s="15">
        <f>IFERROR(D18/(s_RadSpec!AJ18*s_Q_w_poultry*(1/1000)),".")</f>
        <v>13.448289310358275</v>
      </c>
      <c r="CY18" s="15">
        <f>IFERROR(E18/(s_RadSpec!AK18*s_Q_w_poultry*(1/1000)),".")</f>
        <v>10.411578820922536</v>
      </c>
      <c r="CZ18" s="15" t="str">
        <f>IFERROR(J18/(s_RadSpec!AO18*s_Q_w_goat*(1/1000)),".")</f>
        <v>.</v>
      </c>
      <c r="DA18" s="15">
        <f>IFERROR(L18*s_D_milk/(s_RadSpec!AP18*s_Q_w_goat_milk*(1/1000)),".")</f>
        <v>14453.987467480722</v>
      </c>
      <c r="DB18" s="15">
        <f>IFERROR(K18/(s_RadSpec!AM18*s_Q_w_sheep*(1/1000)),".")</f>
        <v>645.51788689719729</v>
      </c>
      <c r="DC18" s="15" t="str">
        <f>IFERROR(M18*s_D_milk/(s_RadSpec!AN18*s_Q_w_sheep_milk*(1/1000)),".")</f>
        <v>.</v>
      </c>
      <c r="DD18" s="120">
        <f t="shared" si="27"/>
        <v>0.88800000000000001</v>
      </c>
      <c r="DE18" s="120" t="str">
        <f t="shared" si="28"/>
        <v>.</v>
      </c>
      <c r="DF18" s="120">
        <f t="shared" si="29"/>
        <v>4.1426915178082188E-12</v>
      </c>
      <c r="DG18" s="120">
        <f t="shared" si="30"/>
        <v>0.31558013206784785</v>
      </c>
      <c r="DH18" s="120">
        <f t="shared" si="31"/>
        <v>0.22307670000000004</v>
      </c>
      <c r="DI18" s="120">
        <f t="shared" si="32"/>
        <v>1.5491437499999999E-4</v>
      </c>
      <c r="DJ18" s="120">
        <f t="shared" si="33"/>
        <v>6.316896844660194E-6</v>
      </c>
      <c r="DK18" s="120" t="str">
        <f t="shared" si="34"/>
        <v>.</v>
      </c>
      <c r="DL18" s="120">
        <f t="shared" si="35"/>
        <v>7.4358900000000006E-2</v>
      </c>
      <c r="DM18" s="120">
        <f t="shared" si="36"/>
        <v>9.6046912499999998E-2</v>
      </c>
      <c r="DN18" s="120" t="str">
        <f t="shared" si="37"/>
        <v>.</v>
      </c>
      <c r="DO18" s="120">
        <f t="shared" si="38"/>
        <v>6.9185060679611654E-5</v>
      </c>
      <c r="DP18" s="120">
        <f t="shared" si="39"/>
        <v>1.5491437499999998E-3</v>
      </c>
      <c r="DQ18" s="120" t="str">
        <f t="shared" si="40"/>
        <v>.</v>
      </c>
      <c r="DR18" s="15">
        <f t="shared" si="41"/>
        <v>0.62545259131190167</v>
      </c>
      <c r="DS18" s="40">
        <f t="shared" si="42"/>
        <v>2500</v>
      </c>
      <c r="DT18" s="40">
        <f t="shared" si="43"/>
        <v>455.72916666666663</v>
      </c>
      <c r="DU18" s="40">
        <f t="shared" si="44"/>
        <v>0.22831050228310501</v>
      </c>
      <c r="DV18" s="40">
        <f>s_b2w!BZ18</f>
        <v>700.26213124716605</v>
      </c>
      <c r="DW18" s="40">
        <f>IFERROR(s_C*s_RadSpec!AI18*(1/1000)*s_IFFI_far_adj*s_CF_far_fish,0)</f>
        <v>495</v>
      </c>
      <c r="DX18" s="40">
        <f>(s_C*s_IFB_far_adj*s_CF_far_beef*s_RadSpec!AH18*s_Q_w_beef*(1/1000))</f>
        <v>0.34375</v>
      </c>
      <c r="DY18" s="40">
        <f>(s_C*s_IFD_far_adj*s_CF_far_dairy*s_RadSpec!AG18*(1/s_D_milk)*s_Q_w_dairy*(1/1000))</f>
        <v>1.4016990291262136E-2</v>
      </c>
      <c r="DZ18" s="40">
        <f>(s_C*s_IFSW_far_adj*s_CF_far_swine*s_RadSpec!AL18*s_Q_w_swine*(1/1000))</f>
        <v>0</v>
      </c>
      <c r="EA18" s="40">
        <f>(s_C*s_IFP_far_adj*s_CF_far_poultry*s_RadSpec!AJ18*s_Q_w_poultry*(1/1000))</f>
        <v>165</v>
      </c>
      <c r="EB18" s="40">
        <f>(s_C*s_IFE_far_adj*s_CF_far_egg*s_RadSpec!AK18*s_Q_w_egg*(1/1000))</f>
        <v>213.125</v>
      </c>
      <c r="EC18" s="40">
        <f>(s_C*s_IFGO_far_adj*s_CF_far_goat*s_RadSpec!AO18*s_Q_p_goat*(1/1000))</f>
        <v>0</v>
      </c>
      <c r="ED18" s="40">
        <f>(s_C*s_IFGM_far_adj*s_CF_far_goat_milk*s_RadSpec!AP18*(1/s_D_milk)*s_Q_p_goat_milk*(1/1000))</f>
        <v>0.15351941747572817</v>
      </c>
      <c r="EE18" s="40">
        <f>(s_C*s_IFSH_far_adj*s_CF_far_sheep*s_RadSpec!AM18*s_Q_p_sheep*(1/1000))</f>
        <v>3.4375</v>
      </c>
      <c r="EF18" s="40">
        <f>(s_C*s_IFSM_far_adj*s_CF_far_sheep_milk*s_RadSpec!AN18*(1/s_D_milk)*s_Q_p_sheep_milk*(1/1000))</f>
        <v>0</v>
      </c>
      <c r="EG18" s="18"/>
      <c r="EH18" s="18"/>
      <c r="EI18" s="18"/>
      <c r="EJ18" s="18"/>
      <c r="EK18" s="18"/>
      <c r="EL18" s="18"/>
      <c r="EM18" s="18"/>
      <c r="EN18" s="18"/>
      <c r="EO18" s="18"/>
      <c r="EP18" s="18"/>
      <c r="EQ18" s="18"/>
      <c r="ER18" s="18"/>
      <c r="ES18" s="18"/>
      <c r="ET18" s="18"/>
      <c r="EU18" s="5"/>
      <c r="EV18" s="15">
        <f>IFERROR((s_TR/(s_RadSpec!G18*s_IFA_far_adj)),".")</f>
        <v>0.37822078638405171</v>
      </c>
      <c r="EW18" s="15">
        <f>IFERROR((s_TR/(s_RadSpec!J18*s_EF_far*(1/365)*s_ED_far*s_ET_far*(1/24)*s_GSF_a)),".")</f>
        <v>209563377.05789945</v>
      </c>
      <c r="EX18" s="15">
        <f t="shared" ref="EX18:EX21" si="55">IFERROR(IF(AND(ISNUMBER(EV18),ISNUMBER(EW18)),1/((1/EV18)+(1/EW18)),IF(AND(ISNUMBER(EV18),NOT(ISNUMBER(EW18))),1/((1/EV18)),IF(AND(NOT(ISNUMBER(EV18)),ISNUMBER(EW18)),1/((1/EW18)),IF(AND(NOT(ISNUMBER(EV18)),NOT(ISNUMBER(EW18))),".")))),".")</f>
        <v>0.37822078570143736</v>
      </c>
      <c r="EY18" s="40">
        <f t="shared" si="46"/>
        <v>911.45833333333326</v>
      </c>
      <c r="EZ18" s="40">
        <f t="shared" si="47"/>
        <v>0.57077625570776247</v>
      </c>
      <c r="FA18" s="122"/>
      <c r="FB18" s="122"/>
      <c r="FC18" s="122"/>
    </row>
    <row r="19" spans="1:159" customFormat="1" x14ac:dyDescent="0.25">
      <c r="A19" s="44" t="s">
        <v>29</v>
      </c>
      <c r="B19" s="42" t="s">
        <v>1074</v>
      </c>
      <c r="C19" s="15" t="str">
        <f>s_dir!AB19</f>
        <v>.</v>
      </c>
      <c r="D19" s="15" t="str">
        <f>IFERROR(s_TR/(s_RadSpec!E19*s_IFP_far_adj*s_CF_far_poultry),".")</f>
        <v>.</v>
      </c>
      <c r="E19" s="15" t="str">
        <f>IFERROR(s_TR/(s_RadSpec!E19*s_IFE_far_adj*s_CF_far_egg),".")</f>
        <v>.</v>
      </c>
      <c r="F19" s="15" t="str">
        <f>IFERROR(s_TR/(s_RadSpec!E19*s_IFB_far_adj*s_CF_far_beef),".")</f>
        <v>.</v>
      </c>
      <c r="G19" s="15" t="str">
        <f>IFERROR(s_TR/(s_RadSpec!E19*s_IFD_far_adj*s_CF_far_dairy),".")</f>
        <v>.</v>
      </c>
      <c r="H19" s="15" t="str">
        <f>IFERROR(s_TR/(s_RadSpec!E19*s_IFSW_far_adj*s_CF_far_swine),".")</f>
        <v>.</v>
      </c>
      <c r="I19" s="15" t="str">
        <f>IFERROR(s_TR/(s_RadSpec!E19*s_IFFI_far_adj*s_CF_far_fish),".")</f>
        <v>.</v>
      </c>
      <c r="J19" s="15" t="str">
        <f>IFERROR(s_TR/(s_RadSpec!E19*s_IFGO_far_adj*s_CF_far_goat),".")</f>
        <v>.</v>
      </c>
      <c r="K19" s="15" t="str">
        <f>IFERROR(s_TR/(s_RadSpec!E19*s_IFSH_far_adj*s_CF_far_sheep),".")</f>
        <v>.</v>
      </c>
      <c r="L19" s="15" t="str">
        <f>IFERROR(s_TR/(s_RadSpec!E19*s_IFGM_far_adj*s_CF_far_goat_milk),".")</f>
        <v>.</v>
      </c>
      <c r="M19" s="15" t="str">
        <f>IFERROR(s_TR/(s_RadSpec!E19*s_IFSM_far_adj*s_CF_far_sheep_milk),".")</f>
        <v>.</v>
      </c>
      <c r="N19" s="40">
        <f>s_dir!BA19</f>
        <v>55000</v>
      </c>
      <c r="O19" s="40">
        <f t="shared" si="0"/>
        <v>13750</v>
      </c>
      <c r="P19" s="40">
        <f t="shared" si="1"/>
        <v>13750</v>
      </c>
      <c r="Q19" s="40">
        <f t="shared" si="2"/>
        <v>13750</v>
      </c>
      <c r="R19" s="40">
        <f t="shared" si="3"/>
        <v>13750</v>
      </c>
      <c r="S19" s="40">
        <f t="shared" si="4"/>
        <v>13750</v>
      </c>
      <c r="T19" s="40">
        <f t="shared" si="5"/>
        <v>13750</v>
      </c>
      <c r="U19" s="40">
        <f t="shared" si="6"/>
        <v>13750</v>
      </c>
      <c r="V19" s="40">
        <f t="shared" si="7"/>
        <v>13750</v>
      </c>
      <c r="W19" s="40">
        <f t="shared" si="8"/>
        <v>13750</v>
      </c>
      <c r="X19" s="40">
        <f t="shared" si="9"/>
        <v>13750</v>
      </c>
      <c r="Y19" s="5"/>
      <c r="Z19" s="5"/>
      <c r="AA19" s="5"/>
      <c r="AB19" s="5"/>
      <c r="AC19" s="5"/>
      <c r="AD19" s="5"/>
      <c r="AE19" s="5"/>
      <c r="AF19" s="5"/>
      <c r="AG19" s="5"/>
      <c r="AH19" s="5"/>
      <c r="AI19" s="5"/>
      <c r="AJ19" s="45" t="str">
        <f>IFERROR((s_TR/(s_RadSpec!D19*s_IFS_far_adj*(1/1000)))*1,".")</f>
        <v>.</v>
      </c>
      <c r="AK19" s="45" t="str">
        <f>IFERROR(IF(A19="H-3",(s_TR/(s_RadSpec!G19*s_IFA_far_adj*(1/17)*1000))*1,(s_TR/(s_RadSpec!G19*s_IFA_far_adj*(1/s_PEF_wind)*1000))*1),".")</f>
        <v>.</v>
      </c>
      <c r="AL19" s="45">
        <f>IFERROR((s_TR/(s_RadSpec!F19*s_EF_far*(1/365)*s_ED_far*s_RadSpec!Q19*((s_ET_far_o*(1/24)*s_RadSpec!V19)+(s_ET_far_i*(1/24)*s_RadSpec!AA19))))*1,".")</f>
        <v>484692.95315713284</v>
      </c>
      <c r="AM19" s="45" t="str">
        <f>s_b2s!BA19</f>
        <v>.</v>
      </c>
      <c r="AN19" s="45" t="str">
        <f>IFERROR(((I19*s_RadSpec!AS19)/s_RadSpec!AI19)*1,".")</f>
        <v>.</v>
      </c>
      <c r="AO19" s="45" t="str">
        <f>IFERROR((F19/(s_RadSpec!AH19*((s_Q_p_beef*s_f_p_beef*s_f_s_beef*(s_RadSpec!BB19+s_R_es_past))+(s_Q_s_beef*s_f_p_beef))))*1,".")</f>
        <v>.</v>
      </c>
      <c r="AP19" s="45" t="str">
        <f>IFERROR(((G19*s_D_milk)/(s_RadSpec!AG19*((s_Q_p_dairy*s_f_p_dairy*s_f_s_dairy*(s_RadSpec!BB19+s_R_es_past))+(s_Q_s_dairy*s_f_p_dairy))))*1,".")</f>
        <v>.</v>
      </c>
      <c r="AQ19" s="45" t="str">
        <f>IFERROR((H19/(s_RadSpec!AL19*((s_Q_p_swine*s_f_p_swine*s_f_s_swine*(s_RadSpec!BB19+s_R_es_past))+(s_Q_s_swine*s_f_p_swine))))*1,".")</f>
        <v>.</v>
      </c>
      <c r="AR19" s="45" t="str">
        <f>IFERROR((D19/(s_RadSpec!AJ19*((s_Q_p_poultry*s_f_p_poultry*s_f_s_poultry*(s_RadSpec!BB19+s_R_es_past))+(s_Q_s_poultry*s_f_p_poultry))))*1,".")</f>
        <v>.</v>
      </c>
      <c r="AS19" s="45" t="str">
        <f>IFERROR((E19/(s_RadSpec!AK19*((s_Q_p_poultry*s_f_p_poultry*s_f_s_poultry*(s_RadSpec!BB19+s_R_es_past))+(s_Q_s_poultry*s_f_p_poultry))))*1,".")</f>
        <v>.</v>
      </c>
      <c r="AT19" s="45" t="str">
        <f>IFERROR((J19/(s_RadSpec!AO19*((s_Q_p_goat*s_f_p_goat*s_f_s_goat*(s_RadSpec!BB19+s_R_es_past))+(s_Q_s_goat*s_f_p_goat))))*1,".")</f>
        <v>.</v>
      </c>
      <c r="AU19" s="45" t="str">
        <f>IFERROR((L19*s_D_milk/(s_RadSpec!AP19*((s_Q_p_goat_milk*s_f_p_goat_milk*s_f_s_goat_milk*(s_RadSpec!BB19+s_R_es_past))+(s_Q_s_goat_milk*s_f_p_goat_milk))))*1,".")</f>
        <v>.</v>
      </c>
      <c r="AV19" s="45" t="str">
        <f>IFERROR((K19/(s_RadSpec!AM19*((s_Q_p_sheep*s_f_p_sheep*s_f_s_sheep*(s_RadSpec!BB19+s_R_es_past))+(s_Q_s_sheep*s_f_p_sheep))))*1,".")</f>
        <v>.</v>
      </c>
      <c r="AW19" s="45" t="str">
        <f>IFERROR((M19*s_D_milk/(s_RadSpec!AN19*((s_Q_p_sheep_milk*s_f_p_sheep_milk*s_f_s_sheep_milk*(s_RadSpec!BB19+s_R_es_past))+(s_Q_s_sheep_milk*s_f_p_sheep_milk))))*1,".")</f>
        <v>.</v>
      </c>
      <c r="AX19" s="120" t="str">
        <f t="shared" si="10"/>
        <v>.</v>
      </c>
      <c r="AY19" s="120" t="str">
        <f t="shared" si="11"/>
        <v>.</v>
      </c>
      <c r="AZ19" s="120">
        <f t="shared" si="12"/>
        <v>2.0631618295383169E-6</v>
      </c>
      <c r="BA19" s="120" t="str">
        <f t="shared" si="13"/>
        <v>.</v>
      </c>
      <c r="BB19" s="120" t="str">
        <f t="shared" si="14"/>
        <v>.</v>
      </c>
      <c r="BC19" s="120" t="str">
        <f t="shared" si="15"/>
        <v>.</v>
      </c>
      <c r="BD19" s="120" t="str">
        <f t="shared" si="16"/>
        <v>.</v>
      </c>
      <c r="BE19" s="120" t="str">
        <f t="shared" si="17"/>
        <v>.</v>
      </c>
      <c r="BF19" s="120" t="str">
        <f t="shared" si="18"/>
        <v>.</v>
      </c>
      <c r="BG19" s="120" t="str">
        <f t="shared" si="19"/>
        <v>.</v>
      </c>
      <c r="BH19" s="120" t="str">
        <f t="shared" si="20"/>
        <v>.</v>
      </c>
      <c r="BI19" s="120" t="str">
        <f t="shared" si="21"/>
        <v>.</v>
      </c>
      <c r="BJ19" s="120" t="str">
        <f t="shared" si="22"/>
        <v>.</v>
      </c>
      <c r="BK19" s="120" t="str">
        <f t="shared" si="23"/>
        <v>.</v>
      </c>
      <c r="BL19" s="15">
        <f t="shared" si="24"/>
        <v>484692.9531571329</v>
      </c>
      <c r="BM19" s="40">
        <f t="shared" si="25"/>
        <v>27.5</v>
      </c>
      <c r="BN19" s="40">
        <f t="shared" si="26"/>
        <v>2.9420495991003873E-3</v>
      </c>
      <c r="BO19" s="40">
        <f>IFERROR((s_C*s_EF_far*(1/365)*s_ED_far*s_RadSpec!Q19*((s_ET_far_o*(1/24)*s_RadSpec!V19)+(s_ET_far_i*(1/24)*s_RadSpec!AA19))),".")</f>
        <v>5.9694716242661434E-2</v>
      </c>
      <c r="BP19" s="40">
        <f>s_b2s!BZ19</f>
        <v>1029.05</v>
      </c>
      <c r="BQ19" s="40">
        <f>IFERROR(((s_C*s_RadSpec!AI19)/s_RadSpec!AS19)*s_IFFI_far_adj*s_CF_far_fish,0)</f>
        <v>2357.1428571428569</v>
      </c>
      <c r="BR19" s="40">
        <f>(s_C*s_IFB_far_adj*s_CF_far_beef*s_RadSpec!AH19*((s_Q_p_beef*s_f_p_beef*s_f_s_beef*(s_RadSpec!$AR19+s_R_es_past))+(s_Q_s_beef*s_f_p_beef)))</f>
        <v>6017.995689655173</v>
      </c>
      <c r="BS19" s="40">
        <f>(s_C*s_IFD_far_adj*s_CF_far_dairy*s_RadSpec!AG19*1/s_D_milk*((s_Q_p_dairy*s_f_p_dairy*s_f_s_dairy*(s_RadSpec!$AR19+s_R_es_past))+(s_Q_s_dairy*s_f_p_dairy)))</f>
        <v>245.39399899564785</v>
      </c>
      <c r="BT19" s="40">
        <f>(s_C*s_IFSW_far_adj*s_CF_far_swine*s_RadSpec!AL19*((s_Q_p_swine*s_f_p_swine*s_f_s_swine*(s_RadSpec!$AR19+s_R_es_past))+(s_Q_s_swine*s_f_p_swine)))</f>
        <v>0</v>
      </c>
      <c r="BU19" s="40">
        <f>(s_C*s_IFP_far_adj*s_CF_far_poultry*s_RadSpec!AJ19*((s_Q_p_poultry*s_f_p_poultry*s_f_s_poultry*(s_RadSpec!AR19+s_R_es_past))+(s_Q_s_poultry*s_f_p_poultry)))</f>
        <v>2888637.931034483</v>
      </c>
      <c r="BV19" s="40">
        <f>(s_C*s_IFE_far_adj*s_CF_far_egg*s_RadSpec!AK19*((s_Q_p_egg*s_f_p_egg*s_f_s_egg*(s_RadSpec!$AR19+s_R_es_past))+(s_Q_s_egg*s_f_p_egg)))</f>
        <v>3731157.3275862071</v>
      </c>
      <c r="BW19" s="40">
        <f>(s_C*s_IFGO_far_adj*s_CF_far_goat*s_RadSpec!AO19*((s_Q_p_goat*s_f_p_goat*s_f_s_goat*(s_RadSpec!$AR19+s_R_es_past))+(s_Q_s_goat*s_f_p_goat)))</f>
        <v>0</v>
      </c>
      <c r="BX19" s="40">
        <f>(s_C*s_IFGM_far_adj*s_CF_far_goat_milk*s_RadSpec!AP19*1/s_D_milk*((s_Q_p_goat_milk*s_f_p_goat_milk*s_f_s_goat_milk*(s_RadSpec!$AR19+s_R_es_past))+(s_Q_s_goat_milk*s_f_p_goat_milk)))</f>
        <v>2687.6485604285235</v>
      </c>
      <c r="BY19" s="40">
        <f>(s_C*s_IFSH_far_adj*s_CF_far_sheep*s_RadSpec!AM19*((s_Q_p_sheep*s_f_p_sheep*s_f_s_sheep*(s_RadSpec!$AR19+s_R_es_past))+(s_Q_s_sheep*s_f_p_sheep)))</f>
        <v>60179.956896551732</v>
      </c>
      <c r="BZ19" s="40">
        <f>(s_C*s_IFSM_far_adj*s_CF_far_sheep_milk*s_RadSpec!AN19*1/s_D_milk*((s_Q_p_sheep_milk*s_f_p_sheep_milk*s_f_s_sheep_milk*(s_RadSpec!$AR19+s_R_es_past))+(s_Q_s_sheep_milk*s_f_p_sheep_milk)))</f>
        <v>0</v>
      </c>
      <c r="CA19" s="18"/>
      <c r="CB19" s="18"/>
      <c r="CC19" s="18"/>
      <c r="CD19" s="18"/>
      <c r="CE19" s="18"/>
      <c r="CF19" s="18"/>
      <c r="CG19" s="18"/>
      <c r="CH19" s="18"/>
      <c r="CI19" s="18"/>
      <c r="CJ19" s="18"/>
      <c r="CK19" s="18"/>
      <c r="CL19" s="18"/>
      <c r="CM19" s="18"/>
      <c r="CN19" s="18"/>
      <c r="CO19" s="5"/>
      <c r="CP19" s="15" t="str">
        <f>IFERROR(s_TR/(s_RadSpec!H19*s_IFW_far_adj),".")</f>
        <v>.</v>
      </c>
      <c r="CQ19" s="15" t="str">
        <f>IFERROR(IF(s_RadSpec!C19=1,s_TR/(s_RadSpec!G19*s_IFA_far_adj*s_K),"."),".")</f>
        <v>.</v>
      </c>
      <c r="CR19" s="15">
        <f>IFERROR((s_TR/(s_RadSpec!L19*(1/8760)*s_DFA_far_adj)),".")</f>
        <v>62728836945.424744</v>
      </c>
      <c r="CS19" s="15" t="str">
        <f>s_b2w!BA19</f>
        <v>.</v>
      </c>
      <c r="CT19" s="15" t="str">
        <f>IFERROR(I19/(s_RadSpec!AI19*(1/1000)),".")</f>
        <v>.</v>
      </c>
      <c r="CU19" s="15" t="str">
        <f>IFERROR(F19/(s_RadSpec!AH19*s_Q_w_beef*(1/1000)),".")</f>
        <v>.</v>
      </c>
      <c r="CV19" s="15" t="str">
        <f>IFERROR((G19*s_D_milk)/(s_RadSpec!AG19*s_Q_w_dairy*(1/1000)),".")</f>
        <v>.</v>
      </c>
      <c r="CW19" s="15" t="str">
        <f>IFERROR(H19/(s_RadSpec!AL19*s_Q_w_swine*(1/1000)),".")</f>
        <v>.</v>
      </c>
      <c r="CX19" s="15" t="str">
        <f>IFERROR(D19/(s_RadSpec!AJ19*s_Q_w_poultry*(1/1000)),".")</f>
        <v>.</v>
      </c>
      <c r="CY19" s="15" t="str">
        <f>IFERROR(E19/(s_RadSpec!AK19*s_Q_w_poultry*(1/1000)),".")</f>
        <v>.</v>
      </c>
      <c r="CZ19" s="15" t="str">
        <f>IFERROR(J19/(s_RadSpec!AO19*s_Q_w_goat*(1/1000)),".")</f>
        <v>.</v>
      </c>
      <c r="DA19" s="15" t="str">
        <f>IFERROR(L19*s_D_milk/(s_RadSpec!AP19*s_Q_w_goat_milk*(1/1000)),".")</f>
        <v>.</v>
      </c>
      <c r="DB19" s="15" t="str">
        <f>IFERROR(K19/(s_RadSpec!AM19*s_Q_w_sheep*(1/1000)),".")</f>
        <v>.</v>
      </c>
      <c r="DC19" s="15" t="str">
        <f>IFERROR(M19*s_D_milk/(s_RadSpec!AN19*s_Q_w_sheep_milk*(1/1000)),".")</f>
        <v>.</v>
      </c>
      <c r="DD19" s="120" t="str">
        <f t="shared" si="27"/>
        <v>.</v>
      </c>
      <c r="DE19" s="120" t="str">
        <f t="shared" si="28"/>
        <v>.</v>
      </c>
      <c r="DF19" s="120">
        <f t="shared" si="29"/>
        <v>1.5941631452054796E-11</v>
      </c>
      <c r="DG19" s="120" t="str">
        <f t="shared" si="30"/>
        <v>.</v>
      </c>
      <c r="DH19" s="120" t="str">
        <f t="shared" si="31"/>
        <v>.</v>
      </c>
      <c r="DI19" s="120" t="str">
        <f t="shared" si="32"/>
        <v>.</v>
      </c>
      <c r="DJ19" s="120" t="str">
        <f t="shared" si="33"/>
        <v>.</v>
      </c>
      <c r="DK19" s="120" t="str">
        <f t="shared" si="34"/>
        <v>.</v>
      </c>
      <c r="DL19" s="120" t="str">
        <f t="shared" si="35"/>
        <v>.</v>
      </c>
      <c r="DM19" s="120" t="str">
        <f t="shared" si="36"/>
        <v>.</v>
      </c>
      <c r="DN19" s="120" t="str">
        <f t="shared" si="37"/>
        <v>.</v>
      </c>
      <c r="DO19" s="120" t="str">
        <f t="shared" si="38"/>
        <v>.</v>
      </c>
      <c r="DP19" s="120" t="str">
        <f t="shared" si="39"/>
        <v>.</v>
      </c>
      <c r="DQ19" s="120" t="str">
        <f t="shared" si="40"/>
        <v>.</v>
      </c>
      <c r="DR19" s="15">
        <f t="shared" si="41"/>
        <v>62728836945.424744</v>
      </c>
      <c r="DS19" s="40">
        <f t="shared" si="42"/>
        <v>2500</v>
      </c>
      <c r="DT19" s="40">
        <f t="shared" si="43"/>
        <v>455.72916666666663</v>
      </c>
      <c r="DU19" s="40">
        <f t="shared" si="44"/>
        <v>0.22831050228310501</v>
      </c>
      <c r="DV19" s="40">
        <f>s_b2w!BZ19</f>
        <v>700.26213124716605</v>
      </c>
      <c r="DW19" s="40">
        <f>IFERROR(s_C*s_RadSpec!AI19*(1/1000)*s_IFFI_far_adj*s_CF_far_fish,0)</f>
        <v>495</v>
      </c>
      <c r="DX19" s="40">
        <f>(s_C*s_IFB_far_adj*s_CF_far_beef*s_RadSpec!AH19*s_Q_w_beef*(1/1000))</f>
        <v>0.34375</v>
      </c>
      <c r="DY19" s="40">
        <f>(s_C*s_IFD_far_adj*s_CF_far_dairy*s_RadSpec!AG19*(1/s_D_milk)*s_Q_w_dairy*(1/1000))</f>
        <v>1.4016990291262136E-2</v>
      </c>
      <c r="DZ19" s="40">
        <f>(s_C*s_IFSW_far_adj*s_CF_far_swine*s_RadSpec!AL19*s_Q_w_swine*(1/1000))</f>
        <v>0</v>
      </c>
      <c r="EA19" s="40">
        <f>(s_C*s_IFP_far_adj*s_CF_far_poultry*s_RadSpec!AJ19*s_Q_w_poultry*(1/1000))</f>
        <v>165</v>
      </c>
      <c r="EB19" s="40">
        <f>(s_C*s_IFE_far_adj*s_CF_far_egg*s_RadSpec!AK19*s_Q_w_egg*(1/1000))</f>
        <v>213.125</v>
      </c>
      <c r="EC19" s="40">
        <f>(s_C*s_IFGO_far_adj*s_CF_far_goat*s_RadSpec!AO19*s_Q_p_goat*(1/1000))</f>
        <v>0</v>
      </c>
      <c r="ED19" s="40">
        <f>(s_C*s_IFGM_far_adj*s_CF_far_goat_milk*s_RadSpec!AP19*(1/s_D_milk)*s_Q_p_goat_milk*(1/1000))</f>
        <v>0.15351941747572817</v>
      </c>
      <c r="EE19" s="40">
        <f>(s_C*s_IFSH_far_adj*s_CF_far_sheep*s_RadSpec!AM19*s_Q_p_sheep*(1/1000))</f>
        <v>3.4375</v>
      </c>
      <c r="EF19" s="40">
        <f>(s_C*s_IFSM_far_adj*s_CF_far_sheep_milk*s_RadSpec!AN19*(1/s_D_milk)*s_Q_p_sheep_milk*(1/1000))</f>
        <v>0</v>
      </c>
      <c r="EG19" s="18"/>
      <c r="EH19" s="18"/>
      <c r="EI19" s="18"/>
      <c r="EJ19" s="18"/>
      <c r="EK19" s="18"/>
      <c r="EL19" s="18"/>
      <c r="EM19" s="18"/>
      <c r="EN19" s="18"/>
      <c r="EO19" s="18"/>
      <c r="EP19" s="18"/>
      <c r="EQ19" s="18"/>
      <c r="ER19" s="18"/>
      <c r="ES19" s="18"/>
      <c r="ET19" s="18"/>
      <c r="EU19" s="5"/>
      <c r="EV19" s="15" t="str">
        <f>IFERROR((s_TR/(s_RadSpec!G19*s_IFA_far_adj)),".")</f>
        <v>.</v>
      </c>
      <c r="EW19" s="15">
        <f>IFERROR((s_TR/(s_RadSpec!J19*s_EF_far*(1/365)*s_ED_far*s_ET_far*(1/24)*s_GSF_a)),".")</f>
        <v>54364992.019368112</v>
      </c>
      <c r="EX19" s="15">
        <f t="shared" si="55"/>
        <v>54364992.019368105</v>
      </c>
      <c r="EY19" s="40">
        <f t="shared" si="46"/>
        <v>911.45833333333326</v>
      </c>
      <c r="EZ19" s="40">
        <f t="shared" si="47"/>
        <v>0.57077625570776247</v>
      </c>
      <c r="FA19" s="122"/>
      <c r="FB19" s="122"/>
      <c r="FC19" s="122"/>
    </row>
    <row r="20" spans="1:159" customFormat="1" x14ac:dyDescent="0.25">
      <c r="A20" s="44" t="s">
        <v>30</v>
      </c>
      <c r="B20" s="42" t="s">
        <v>1074</v>
      </c>
      <c r="C20" s="15" t="str">
        <f>s_dir!AB20</f>
        <v>.</v>
      </c>
      <c r="D20" s="15" t="str">
        <f>IFERROR(s_TR/(s_RadSpec!E20*s_IFP_far_adj*s_CF_far_poultry),".")</f>
        <v>.</v>
      </c>
      <c r="E20" s="15" t="str">
        <f>IFERROR(s_TR/(s_RadSpec!E20*s_IFE_far_adj*s_CF_far_egg),".")</f>
        <v>.</v>
      </c>
      <c r="F20" s="15" t="str">
        <f>IFERROR(s_TR/(s_RadSpec!E20*s_IFB_far_adj*s_CF_far_beef),".")</f>
        <v>.</v>
      </c>
      <c r="G20" s="15" t="str">
        <f>IFERROR(s_TR/(s_RadSpec!E20*s_IFD_far_adj*s_CF_far_dairy),".")</f>
        <v>.</v>
      </c>
      <c r="H20" s="15" t="str">
        <f>IFERROR(s_TR/(s_RadSpec!E20*s_IFSW_far_adj*s_CF_far_swine),".")</f>
        <v>.</v>
      </c>
      <c r="I20" s="15" t="str">
        <f>IFERROR(s_TR/(s_RadSpec!E20*s_IFFI_far_adj*s_CF_far_fish),".")</f>
        <v>.</v>
      </c>
      <c r="J20" s="15" t="str">
        <f>IFERROR(s_TR/(s_RadSpec!E20*s_IFGO_far_adj*s_CF_far_goat),".")</f>
        <v>.</v>
      </c>
      <c r="K20" s="15" t="str">
        <f>IFERROR(s_TR/(s_RadSpec!E20*s_IFSH_far_adj*s_CF_far_sheep),".")</f>
        <v>.</v>
      </c>
      <c r="L20" s="15" t="str">
        <f>IFERROR(s_TR/(s_RadSpec!E20*s_IFGM_far_adj*s_CF_far_goat_milk),".")</f>
        <v>.</v>
      </c>
      <c r="M20" s="15" t="str">
        <f>IFERROR(s_TR/(s_RadSpec!E20*s_IFSM_far_adj*s_CF_far_sheep_milk),".")</f>
        <v>.</v>
      </c>
      <c r="N20" s="40">
        <f>s_dir!BA20</f>
        <v>55000</v>
      </c>
      <c r="O20" s="40">
        <f t="shared" si="0"/>
        <v>13750</v>
      </c>
      <c r="P20" s="40">
        <f t="shared" si="1"/>
        <v>13750</v>
      </c>
      <c r="Q20" s="40">
        <f t="shared" si="2"/>
        <v>13750</v>
      </c>
      <c r="R20" s="40">
        <f t="shared" si="3"/>
        <v>13750</v>
      </c>
      <c r="S20" s="40">
        <f t="shared" si="4"/>
        <v>13750</v>
      </c>
      <c r="T20" s="40">
        <f t="shared" si="5"/>
        <v>13750</v>
      </c>
      <c r="U20" s="40">
        <f t="shared" si="6"/>
        <v>13750</v>
      </c>
      <c r="V20" s="40">
        <f t="shared" si="7"/>
        <v>13750</v>
      </c>
      <c r="W20" s="40">
        <f t="shared" si="8"/>
        <v>13750</v>
      </c>
      <c r="X20" s="40">
        <f t="shared" si="9"/>
        <v>13750</v>
      </c>
      <c r="Y20" s="5"/>
      <c r="Z20" s="5"/>
      <c r="AA20" s="5"/>
      <c r="AB20" s="5"/>
      <c r="AC20" s="5"/>
      <c r="AD20" s="5"/>
      <c r="AE20" s="5"/>
      <c r="AF20" s="5"/>
      <c r="AG20" s="5"/>
      <c r="AH20" s="5"/>
      <c r="AI20" s="5"/>
      <c r="AJ20" s="45" t="str">
        <f>IFERROR((s_TR/(s_RadSpec!D20*s_IFS_far_adj*(1/1000)))*1,".")</f>
        <v>.</v>
      </c>
      <c r="AK20" s="45" t="str">
        <f>IFERROR(IF(A20="H-3",(s_TR/(s_RadSpec!G20*s_IFA_far_adj*(1/17)*1000))*1,(s_TR/(s_RadSpec!G20*s_IFA_far_adj*(1/s_PEF_wind)*1000))*1),".")</f>
        <v>.</v>
      </c>
      <c r="AL20" s="45">
        <f>IFERROR((s_TR/(s_RadSpec!F20*s_EF_far*(1/365)*s_ED_far*s_RadSpec!Q20*((s_ET_far_o*(1/24)*s_RadSpec!V20)+(s_ET_far_i*(1/24)*s_RadSpec!AA20))))*1,".")</f>
        <v>213748.35389993605</v>
      </c>
      <c r="AM20" s="45" t="str">
        <f>s_b2s!BA20</f>
        <v>.</v>
      </c>
      <c r="AN20" s="45" t="str">
        <f>IFERROR(((I20*s_RadSpec!AS20)/s_RadSpec!AI20)*1,".")</f>
        <v>.</v>
      </c>
      <c r="AO20" s="45" t="str">
        <f>IFERROR((F20/(s_RadSpec!AH20*((s_Q_p_beef*s_f_p_beef*s_f_s_beef*(s_RadSpec!BB20+s_R_es_past))+(s_Q_s_beef*s_f_p_beef))))*1,".")</f>
        <v>.</v>
      </c>
      <c r="AP20" s="45" t="str">
        <f>IFERROR(((G20*s_D_milk)/(s_RadSpec!AG20*((s_Q_p_dairy*s_f_p_dairy*s_f_s_dairy*(s_RadSpec!BB20+s_R_es_past))+(s_Q_s_dairy*s_f_p_dairy))))*1,".")</f>
        <v>.</v>
      </c>
      <c r="AQ20" s="45" t="str">
        <f>IFERROR((H20/(s_RadSpec!AL20*((s_Q_p_swine*s_f_p_swine*s_f_s_swine*(s_RadSpec!BB20+s_R_es_past))+(s_Q_s_swine*s_f_p_swine))))*1,".")</f>
        <v>.</v>
      </c>
      <c r="AR20" s="45" t="str">
        <f>IFERROR((D20/(s_RadSpec!AJ20*((s_Q_p_poultry*s_f_p_poultry*s_f_s_poultry*(s_RadSpec!BB20+s_R_es_past))+(s_Q_s_poultry*s_f_p_poultry))))*1,".")</f>
        <v>.</v>
      </c>
      <c r="AS20" s="45" t="str">
        <f>IFERROR((E20/(s_RadSpec!AK20*((s_Q_p_poultry*s_f_p_poultry*s_f_s_poultry*(s_RadSpec!BB20+s_R_es_past))+(s_Q_s_poultry*s_f_p_poultry))))*1,".")</f>
        <v>.</v>
      </c>
      <c r="AT20" s="45" t="str">
        <f>IFERROR((J20/(s_RadSpec!AO20*((s_Q_p_goat*s_f_p_goat*s_f_s_goat*(s_RadSpec!BB20+s_R_es_past))+(s_Q_s_goat*s_f_p_goat))))*1,".")</f>
        <v>.</v>
      </c>
      <c r="AU20" s="45" t="str">
        <f>IFERROR((L20*s_D_milk/(s_RadSpec!AP20*((s_Q_p_goat_milk*s_f_p_goat_milk*s_f_s_goat_milk*(s_RadSpec!BB20+s_R_es_past))+(s_Q_s_goat_milk*s_f_p_goat_milk))))*1,".")</f>
        <v>.</v>
      </c>
      <c r="AV20" s="45" t="str">
        <f>IFERROR((K20/(s_RadSpec!AM20*((s_Q_p_sheep*s_f_p_sheep*s_f_s_sheep*(s_RadSpec!BB20+s_R_es_past))+(s_Q_s_sheep*s_f_p_sheep))))*1,".")</f>
        <v>.</v>
      </c>
      <c r="AW20" s="45" t="str">
        <f>IFERROR((M20*s_D_milk/(s_RadSpec!AN20*((s_Q_p_sheep_milk*s_f_p_sheep_milk*s_f_s_sheep_milk*(s_RadSpec!BB20+s_R_es_past))+(s_Q_s_sheep_milk*s_f_p_sheep_milk))))*1,".")</f>
        <v>.</v>
      </c>
      <c r="AX20" s="120" t="str">
        <f t="shared" si="10"/>
        <v>.</v>
      </c>
      <c r="AY20" s="120" t="str">
        <f t="shared" si="11"/>
        <v>.</v>
      </c>
      <c r="AZ20" s="120">
        <f t="shared" si="12"/>
        <v>4.6783986016946783E-6</v>
      </c>
      <c r="BA20" s="120" t="str">
        <f t="shared" si="13"/>
        <v>.</v>
      </c>
      <c r="BB20" s="120" t="str">
        <f t="shared" si="14"/>
        <v>.</v>
      </c>
      <c r="BC20" s="120" t="str">
        <f t="shared" si="15"/>
        <v>.</v>
      </c>
      <c r="BD20" s="120" t="str">
        <f t="shared" si="16"/>
        <v>.</v>
      </c>
      <c r="BE20" s="120" t="str">
        <f t="shared" si="17"/>
        <v>.</v>
      </c>
      <c r="BF20" s="120" t="str">
        <f t="shared" si="18"/>
        <v>.</v>
      </c>
      <c r="BG20" s="120" t="str">
        <f t="shared" si="19"/>
        <v>.</v>
      </c>
      <c r="BH20" s="120" t="str">
        <f t="shared" si="20"/>
        <v>.</v>
      </c>
      <c r="BI20" s="120" t="str">
        <f t="shared" si="21"/>
        <v>.</v>
      </c>
      <c r="BJ20" s="120" t="str">
        <f t="shared" si="22"/>
        <v>.</v>
      </c>
      <c r="BK20" s="120" t="str">
        <f t="shared" si="23"/>
        <v>.</v>
      </c>
      <c r="BL20" s="15">
        <f t="shared" si="24"/>
        <v>213748.35389993605</v>
      </c>
      <c r="BM20" s="40">
        <f t="shared" si="25"/>
        <v>27.5</v>
      </c>
      <c r="BN20" s="40">
        <f t="shared" si="26"/>
        <v>2.9420495991003873E-3</v>
      </c>
      <c r="BO20" s="40">
        <f>IFERROR((s_C*s_EF_far*(1/365)*s_ED_far*s_RadSpec!Q20*((s_ET_far_o*(1/24)*s_RadSpec!V20)+(s_ET_far_i*(1/24)*s_RadSpec!AA20))),".")</f>
        <v>6.0708233300381324E-2</v>
      </c>
      <c r="BP20" s="40">
        <f>s_b2s!BZ20</f>
        <v>1029.05</v>
      </c>
      <c r="BQ20" s="40">
        <f>IFERROR(((s_C*s_RadSpec!AI20)/s_RadSpec!AS20)*s_IFFI_far_adj*s_CF_far_fish,0)</f>
        <v>2357.1428571428569</v>
      </c>
      <c r="BR20" s="40">
        <f>(s_C*s_IFB_far_adj*s_CF_far_beef*s_RadSpec!AH20*((s_Q_p_beef*s_f_p_beef*s_f_s_beef*(s_RadSpec!$AR20+s_R_es_past))+(s_Q_s_beef*s_f_p_beef)))</f>
        <v>6017.995689655173</v>
      </c>
      <c r="BS20" s="40">
        <f>(s_C*s_IFD_far_adj*s_CF_far_dairy*s_RadSpec!AG20*1/s_D_milk*((s_Q_p_dairy*s_f_p_dairy*s_f_s_dairy*(s_RadSpec!$AR20+s_R_es_past))+(s_Q_s_dairy*s_f_p_dairy)))</f>
        <v>245.39399899564785</v>
      </c>
      <c r="BT20" s="40">
        <f>(s_C*s_IFSW_far_adj*s_CF_far_swine*s_RadSpec!AL20*((s_Q_p_swine*s_f_p_swine*s_f_s_swine*(s_RadSpec!$AR20+s_R_es_past))+(s_Q_s_swine*s_f_p_swine)))</f>
        <v>0</v>
      </c>
      <c r="BU20" s="40">
        <f>(s_C*s_IFP_far_adj*s_CF_far_poultry*s_RadSpec!AJ20*((s_Q_p_poultry*s_f_p_poultry*s_f_s_poultry*(s_RadSpec!AR20+s_R_es_past))+(s_Q_s_poultry*s_f_p_poultry)))</f>
        <v>2888637.931034483</v>
      </c>
      <c r="BV20" s="40">
        <f>(s_C*s_IFE_far_adj*s_CF_far_egg*s_RadSpec!AK20*((s_Q_p_egg*s_f_p_egg*s_f_s_egg*(s_RadSpec!$AR20+s_R_es_past))+(s_Q_s_egg*s_f_p_egg)))</f>
        <v>3731157.3275862071</v>
      </c>
      <c r="BW20" s="40">
        <f>(s_C*s_IFGO_far_adj*s_CF_far_goat*s_RadSpec!AO20*((s_Q_p_goat*s_f_p_goat*s_f_s_goat*(s_RadSpec!$AR20+s_R_es_past))+(s_Q_s_goat*s_f_p_goat)))</f>
        <v>0</v>
      </c>
      <c r="BX20" s="40">
        <f>(s_C*s_IFGM_far_adj*s_CF_far_goat_milk*s_RadSpec!AP20*1/s_D_milk*((s_Q_p_goat_milk*s_f_p_goat_milk*s_f_s_goat_milk*(s_RadSpec!$AR20+s_R_es_past))+(s_Q_s_goat_milk*s_f_p_goat_milk)))</f>
        <v>2687.6485604285235</v>
      </c>
      <c r="BY20" s="40">
        <f>(s_C*s_IFSH_far_adj*s_CF_far_sheep*s_RadSpec!AM20*((s_Q_p_sheep*s_f_p_sheep*s_f_s_sheep*(s_RadSpec!$AR20+s_R_es_past))+(s_Q_s_sheep*s_f_p_sheep)))</f>
        <v>60179.956896551732</v>
      </c>
      <c r="BZ20" s="40">
        <f>(s_C*s_IFSM_far_adj*s_CF_far_sheep_milk*s_RadSpec!AN20*1/s_D_milk*((s_Q_p_sheep_milk*s_f_p_sheep_milk*s_f_s_sheep_milk*(s_RadSpec!$AR20+s_R_es_past))+(s_Q_s_sheep_milk*s_f_p_sheep_milk)))</f>
        <v>0</v>
      </c>
      <c r="CA20" s="18"/>
      <c r="CB20" s="18"/>
      <c r="CC20" s="18"/>
      <c r="CD20" s="18"/>
      <c r="CE20" s="18"/>
      <c r="CF20" s="18"/>
      <c r="CG20" s="18"/>
      <c r="CH20" s="18"/>
      <c r="CI20" s="18"/>
      <c r="CJ20" s="18"/>
      <c r="CK20" s="18"/>
      <c r="CL20" s="18"/>
      <c r="CM20" s="18"/>
      <c r="CN20" s="18"/>
      <c r="CO20" s="5"/>
      <c r="CP20" s="15" t="str">
        <f>IFERROR(s_TR/(s_RadSpec!H20*s_IFW_far_adj),".")</f>
        <v>.</v>
      </c>
      <c r="CQ20" s="15" t="str">
        <f>IFERROR(IF(s_RadSpec!C20=1,s_TR/(s_RadSpec!G20*s_IFA_far_adj*s_K),"."),".")</f>
        <v>.</v>
      </c>
      <c r="CR20" s="15">
        <f>IFERROR((s_TR/(s_RadSpec!L20*(1/8760)*s_DFA_far_adj)),".")</f>
        <v>28289475485.191551</v>
      </c>
      <c r="CS20" s="15" t="str">
        <f>s_b2w!BA20</f>
        <v>.</v>
      </c>
      <c r="CT20" s="15" t="str">
        <f>IFERROR(I20/(s_RadSpec!AI20*(1/1000)),".")</f>
        <v>.</v>
      </c>
      <c r="CU20" s="15" t="str">
        <f>IFERROR(F20/(s_RadSpec!AH20*s_Q_w_beef*(1/1000)),".")</f>
        <v>.</v>
      </c>
      <c r="CV20" s="15" t="str">
        <f>IFERROR((G20*s_D_milk)/(s_RadSpec!AG20*s_Q_w_dairy*(1/1000)),".")</f>
        <v>.</v>
      </c>
      <c r="CW20" s="15" t="str">
        <f>IFERROR(H20/(s_RadSpec!AL20*s_Q_w_swine*(1/1000)),".")</f>
        <v>.</v>
      </c>
      <c r="CX20" s="15" t="str">
        <f>IFERROR(D20/(s_RadSpec!AJ20*s_Q_w_poultry*(1/1000)),".")</f>
        <v>.</v>
      </c>
      <c r="CY20" s="15" t="str">
        <f>IFERROR(E20/(s_RadSpec!AK20*s_Q_w_poultry*(1/1000)),".")</f>
        <v>.</v>
      </c>
      <c r="CZ20" s="15" t="str">
        <f>IFERROR(J20/(s_RadSpec!AO20*s_Q_w_goat*(1/1000)),".")</f>
        <v>.</v>
      </c>
      <c r="DA20" s="15" t="str">
        <f>IFERROR(L20*s_D_milk/(s_RadSpec!AP20*s_Q_w_goat_milk*(1/1000)),".")</f>
        <v>.</v>
      </c>
      <c r="DB20" s="15" t="str">
        <f>IFERROR(K20/(s_RadSpec!AM20*s_Q_w_sheep*(1/1000)),".")</f>
        <v>.</v>
      </c>
      <c r="DC20" s="15" t="str">
        <f>IFERROR(M20*s_D_milk/(s_RadSpec!AN20*s_Q_w_sheep_milk*(1/1000)),".")</f>
        <v>.</v>
      </c>
      <c r="DD20" s="120" t="str">
        <f t="shared" si="27"/>
        <v>.</v>
      </c>
      <c r="DE20" s="120" t="str">
        <f t="shared" si="28"/>
        <v>.</v>
      </c>
      <c r="DF20" s="120">
        <f t="shared" si="29"/>
        <v>3.5348834958904115E-11</v>
      </c>
      <c r="DG20" s="120" t="str">
        <f t="shared" si="30"/>
        <v>.</v>
      </c>
      <c r="DH20" s="120" t="str">
        <f t="shared" si="31"/>
        <v>.</v>
      </c>
      <c r="DI20" s="120" t="str">
        <f t="shared" si="32"/>
        <v>.</v>
      </c>
      <c r="DJ20" s="120" t="str">
        <f t="shared" si="33"/>
        <v>.</v>
      </c>
      <c r="DK20" s="120" t="str">
        <f t="shared" si="34"/>
        <v>.</v>
      </c>
      <c r="DL20" s="120" t="str">
        <f t="shared" si="35"/>
        <v>.</v>
      </c>
      <c r="DM20" s="120" t="str">
        <f t="shared" si="36"/>
        <v>.</v>
      </c>
      <c r="DN20" s="120" t="str">
        <f t="shared" si="37"/>
        <v>.</v>
      </c>
      <c r="DO20" s="120" t="str">
        <f t="shared" si="38"/>
        <v>.</v>
      </c>
      <c r="DP20" s="120" t="str">
        <f t="shared" si="39"/>
        <v>.</v>
      </c>
      <c r="DQ20" s="120" t="str">
        <f t="shared" si="40"/>
        <v>.</v>
      </c>
      <c r="DR20" s="15">
        <f t="shared" si="41"/>
        <v>28289475485.191551</v>
      </c>
      <c r="DS20" s="40">
        <f t="shared" si="42"/>
        <v>2500</v>
      </c>
      <c r="DT20" s="40">
        <f t="shared" si="43"/>
        <v>455.72916666666663</v>
      </c>
      <c r="DU20" s="40">
        <f t="shared" si="44"/>
        <v>0.22831050228310501</v>
      </c>
      <c r="DV20" s="40">
        <f>s_b2w!BZ20</f>
        <v>700.26213124716605</v>
      </c>
      <c r="DW20" s="40">
        <f>IFERROR(s_C*s_RadSpec!AI20*(1/1000)*s_IFFI_far_adj*s_CF_far_fish,0)</f>
        <v>495</v>
      </c>
      <c r="DX20" s="40">
        <f>(s_C*s_IFB_far_adj*s_CF_far_beef*s_RadSpec!AH20*s_Q_w_beef*(1/1000))</f>
        <v>0.34375</v>
      </c>
      <c r="DY20" s="40">
        <f>(s_C*s_IFD_far_adj*s_CF_far_dairy*s_RadSpec!AG20*(1/s_D_milk)*s_Q_w_dairy*(1/1000))</f>
        <v>1.4016990291262136E-2</v>
      </c>
      <c r="DZ20" s="40">
        <f>(s_C*s_IFSW_far_adj*s_CF_far_swine*s_RadSpec!AL20*s_Q_w_swine*(1/1000))</f>
        <v>0</v>
      </c>
      <c r="EA20" s="40">
        <f>(s_C*s_IFP_far_adj*s_CF_far_poultry*s_RadSpec!AJ20*s_Q_w_poultry*(1/1000))</f>
        <v>165</v>
      </c>
      <c r="EB20" s="40">
        <f>(s_C*s_IFE_far_adj*s_CF_far_egg*s_RadSpec!AK20*s_Q_w_egg*(1/1000))</f>
        <v>213.125</v>
      </c>
      <c r="EC20" s="40">
        <f>(s_C*s_IFGO_far_adj*s_CF_far_goat*s_RadSpec!AO20*s_Q_p_goat*(1/1000))</f>
        <v>0</v>
      </c>
      <c r="ED20" s="40">
        <f>(s_C*s_IFGM_far_adj*s_CF_far_goat_milk*s_RadSpec!AP20*(1/s_D_milk)*s_Q_p_goat_milk*(1/1000))</f>
        <v>0.15351941747572817</v>
      </c>
      <c r="EE20" s="40">
        <f>(s_C*s_IFSH_far_adj*s_CF_far_sheep*s_RadSpec!AM20*s_Q_p_sheep*(1/1000))</f>
        <v>3.4375</v>
      </c>
      <c r="EF20" s="40">
        <f>(s_C*s_IFSM_far_adj*s_CF_far_sheep_milk*s_RadSpec!AN20*(1/s_D_milk)*s_Q_p_sheep_milk*(1/1000))</f>
        <v>0</v>
      </c>
      <c r="EG20" s="18"/>
      <c r="EH20" s="18"/>
      <c r="EI20" s="18"/>
      <c r="EJ20" s="18"/>
      <c r="EK20" s="18"/>
      <c r="EL20" s="18"/>
      <c r="EM20" s="18"/>
      <c r="EN20" s="18"/>
      <c r="EO20" s="18"/>
      <c r="EP20" s="18"/>
      <c r="EQ20" s="18"/>
      <c r="ER20" s="18"/>
      <c r="ES20" s="18"/>
      <c r="ET20" s="18"/>
      <c r="EU20" s="5"/>
      <c r="EV20" s="15" t="str">
        <f>IFERROR((s_TR/(s_RadSpec!G20*s_IFA_far_adj)),".")</f>
        <v>.</v>
      </c>
      <c r="EW20" s="15">
        <f>IFERROR((s_TR/(s_RadSpec!J20*s_EF_far*(1/365)*s_ED_far*s_ET_far*(1/24)*s_GSF_a)),".")</f>
        <v>24517545.420499343</v>
      </c>
      <c r="EX20" s="15">
        <f t="shared" si="55"/>
        <v>24517545.420499343</v>
      </c>
      <c r="EY20" s="40">
        <f t="shared" si="46"/>
        <v>911.45833333333326</v>
      </c>
      <c r="EZ20" s="40">
        <f t="shared" si="47"/>
        <v>0.57077625570776247</v>
      </c>
      <c r="FA20" s="122"/>
      <c r="FB20" s="122"/>
      <c r="FC20" s="122"/>
    </row>
    <row r="21" spans="1:159" customFormat="1" x14ac:dyDescent="0.25">
      <c r="A21" s="44" t="s">
        <v>31</v>
      </c>
      <c r="B21" s="42" t="s">
        <v>1074</v>
      </c>
      <c r="C21" s="15" t="str">
        <f>s_dir!AB21</f>
        <v>.</v>
      </c>
      <c r="D21" s="15" t="str">
        <f>IFERROR(s_TR/(s_RadSpec!E21*s_IFP_far_adj*s_CF_far_poultry),".")</f>
        <v>.</v>
      </c>
      <c r="E21" s="15" t="str">
        <f>IFERROR(s_TR/(s_RadSpec!E21*s_IFE_far_adj*s_CF_far_egg),".")</f>
        <v>.</v>
      </c>
      <c r="F21" s="15" t="str">
        <f>IFERROR(s_TR/(s_RadSpec!E21*s_IFB_far_adj*s_CF_far_beef),".")</f>
        <v>.</v>
      </c>
      <c r="G21" s="15" t="str">
        <f>IFERROR(s_TR/(s_RadSpec!E21*s_IFD_far_adj*s_CF_far_dairy),".")</f>
        <v>.</v>
      </c>
      <c r="H21" s="15" t="str">
        <f>IFERROR(s_TR/(s_RadSpec!E21*s_IFSW_far_adj*s_CF_far_swine),".")</f>
        <v>.</v>
      </c>
      <c r="I21" s="15" t="str">
        <f>IFERROR(s_TR/(s_RadSpec!E21*s_IFFI_far_adj*s_CF_far_fish),".")</f>
        <v>.</v>
      </c>
      <c r="J21" s="15" t="str">
        <f>IFERROR(s_TR/(s_RadSpec!E21*s_IFGO_far_adj*s_CF_far_goat),".")</f>
        <v>.</v>
      </c>
      <c r="K21" s="15" t="str">
        <f>IFERROR(s_TR/(s_RadSpec!E21*s_IFSH_far_adj*s_CF_far_sheep),".")</f>
        <v>.</v>
      </c>
      <c r="L21" s="15" t="str">
        <f>IFERROR(s_TR/(s_RadSpec!E21*s_IFGM_far_adj*s_CF_far_goat_milk),".")</f>
        <v>.</v>
      </c>
      <c r="M21" s="15" t="str">
        <f>IFERROR(s_TR/(s_RadSpec!E21*s_IFSM_far_adj*s_CF_far_sheep_milk),".")</f>
        <v>.</v>
      </c>
      <c r="N21" s="40">
        <f>s_dir!BA21</f>
        <v>55000</v>
      </c>
      <c r="O21" s="40">
        <f t="shared" si="0"/>
        <v>13750</v>
      </c>
      <c r="P21" s="40">
        <f t="shared" si="1"/>
        <v>13750</v>
      </c>
      <c r="Q21" s="40">
        <f t="shared" si="2"/>
        <v>13750</v>
      </c>
      <c r="R21" s="40">
        <f t="shared" si="3"/>
        <v>13750</v>
      </c>
      <c r="S21" s="40">
        <f t="shared" si="4"/>
        <v>13750</v>
      </c>
      <c r="T21" s="40">
        <f t="shared" si="5"/>
        <v>13750</v>
      </c>
      <c r="U21" s="40">
        <f t="shared" si="6"/>
        <v>13750</v>
      </c>
      <c r="V21" s="40">
        <f t="shared" si="7"/>
        <v>13750</v>
      </c>
      <c r="W21" s="40">
        <f t="shared" si="8"/>
        <v>13750</v>
      </c>
      <c r="X21" s="40">
        <f t="shared" si="9"/>
        <v>13750</v>
      </c>
      <c r="Y21" s="5"/>
      <c r="Z21" s="5"/>
      <c r="AA21" s="5"/>
      <c r="AB21" s="5"/>
      <c r="AC21" s="5"/>
      <c r="AD21" s="5"/>
      <c r="AE21" s="5"/>
      <c r="AF21" s="5"/>
      <c r="AG21" s="5"/>
      <c r="AH21" s="5"/>
      <c r="AI21" s="5"/>
      <c r="AJ21" s="45" t="str">
        <f>IFERROR((s_TR/(s_RadSpec!D21*s_IFS_far_adj*(1/1000)))*1,".")</f>
        <v>.</v>
      </c>
      <c r="AK21" s="45">
        <f>IFERROR(IF(A21="H-3",(s_TR/(s_RadSpec!G21*s_IFA_far_adj*(1/17)*1000))*1,(s_TR/(s_RadSpec!G21*s_IFA_far_adj*(1/s_PEF_wind)*1000))*1),".")</f>
        <v>122265861.97792831</v>
      </c>
      <c r="AL21" s="45" t="str">
        <f>IFERROR((s_TR/(s_RadSpec!F21*s_EF_far*(1/365)*s_ED_far*s_RadSpec!Q21*((s_ET_far_o*(1/24)*s_RadSpec!V21)+(s_ET_far_i*(1/24)*s_RadSpec!AA21))))*1,".")</f>
        <v>.</v>
      </c>
      <c r="AM21" s="45" t="str">
        <f>s_b2s!BA21</f>
        <v>.</v>
      </c>
      <c r="AN21" s="45" t="str">
        <f>IFERROR(((I21*s_RadSpec!AS21)/s_RadSpec!AI21)*1,".")</f>
        <v>.</v>
      </c>
      <c r="AO21" s="45" t="str">
        <f>IFERROR((F21/(s_RadSpec!AH21*((s_Q_p_beef*s_f_p_beef*s_f_s_beef*(s_RadSpec!BB21+s_R_es_past))+(s_Q_s_beef*s_f_p_beef))))*1,".")</f>
        <v>.</v>
      </c>
      <c r="AP21" s="45" t="str">
        <f>IFERROR(((G21*s_D_milk)/(s_RadSpec!AG21*((s_Q_p_dairy*s_f_p_dairy*s_f_s_dairy*(s_RadSpec!BB21+s_R_es_past))+(s_Q_s_dairy*s_f_p_dairy))))*1,".")</f>
        <v>.</v>
      </c>
      <c r="AQ21" s="45" t="str">
        <f>IFERROR((H21/(s_RadSpec!AL21*((s_Q_p_swine*s_f_p_swine*s_f_s_swine*(s_RadSpec!BB21+s_R_es_past))+(s_Q_s_swine*s_f_p_swine))))*1,".")</f>
        <v>.</v>
      </c>
      <c r="AR21" s="45" t="str">
        <f>IFERROR((D21/(s_RadSpec!AJ21*((s_Q_p_poultry*s_f_p_poultry*s_f_s_poultry*(s_RadSpec!BB21+s_R_es_past))+(s_Q_s_poultry*s_f_p_poultry))))*1,".")</f>
        <v>.</v>
      </c>
      <c r="AS21" s="45" t="str">
        <f>IFERROR((E21/(s_RadSpec!AK21*((s_Q_p_poultry*s_f_p_poultry*s_f_s_poultry*(s_RadSpec!BB21+s_R_es_past))+(s_Q_s_poultry*s_f_p_poultry))))*1,".")</f>
        <v>.</v>
      </c>
      <c r="AT21" s="45" t="str">
        <f>IFERROR((J21/(s_RadSpec!AO21*((s_Q_p_goat*s_f_p_goat*s_f_s_goat*(s_RadSpec!BB21+s_R_es_past))+(s_Q_s_goat*s_f_p_goat))))*1,".")</f>
        <v>.</v>
      </c>
      <c r="AU21" s="45" t="str">
        <f>IFERROR((L21*s_D_milk/(s_RadSpec!AP21*((s_Q_p_goat_milk*s_f_p_goat_milk*s_f_s_goat_milk*(s_RadSpec!BB21+s_R_es_past))+(s_Q_s_goat_milk*s_f_p_goat_milk))))*1,".")</f>
        <v>.</v>
      </c>
      <c r="AV21" s="45" t="str">
        <f>IFERROR((K21/(s_RadSpec!AM21*((s_Q_p_sheep*s_f_p_sheep*s_f_s_sheep*(s_RadSpec!BB21+s_R_es_past))+(s_Q_s_sheep*s_f_p_sheep))))*1,".")</f>
        <v>.</v>
      </c>
      <c r="AW21" s="45" t="str">
        <f>IFERROR((M21*s_D_milk/(s_RadSpec!AN21*((s_Q_p_sheep_milk*s_f_p_sheep_milk*s_f_s_sheep_milk*(s_RadSpec!BB21+s_R_es_past))+(s_Q_s_sheep_milk*s_f_p_sheep_milk))))*1,".")</f>
        <v>.</v>
      </c>
      <c r="AX21" s="120" t="str">
        <f t="shared" si="10"/>
        <v>.</v>
      </c>
      <c r="AY21" s="120">
        <f t="shared" si="11"/>
        <v>8.1788978854990777E-9</v>
      </c>
      <c r="AZ21" s="120" t="str">
        <f t="shared" si="12"/>
        <v>.</v>
      </c>
      <c r="BA21" s="120" t="str">
        <f t="shared" si="13"/>
        <v>.</v>
      </c>
      <c r="BB21" s="120" t="str">
        <f t="shared" si="14"/>
        <v>.</v>
      </c>
      <c r="BC21" s="120" t="str">
        <f t="shared" si="15"/>
        <v>.</v>
      </c>
      <c r="BD21" s="120" t="str">
        <f t="shared" si="16"/>
        <v>.</v>
      </c>
      <c r="BE21" s="120" t="str">
        <f t="shared" si="17"/>
        <v>.</v>
      </c>
      <c r="BF21" s="120" t="str">
        <f t="shared" si="18"/>
        <v>.</v>
      </c>
      <c r="BG21" s="120" t="str">
        <f t="shared" si="19"/>
        <v>.</v>
      </c>
      <c r="BH21" s="120" t="str">
        <f t="shared" si="20"/>
        <v>.</v>
      </c>
      <c r="BI21" s="120" t="str">
        <f t="shared" si="21"/>
        <v>.</v>
      </c>
      <c r="BJ21" s="120" t="str">
        <f t="shared" si="22"/>
        <v>.</v>
      </c>
      <c r="BK21" s="120" t="str">
        <f t="shared" si="23"/>
        <v>.</v>
      </c>
      <c r="BL21" s="15">
        <f t="shared" si="24"/>
        <v>122265861.97792831</v>
      </c>
      <c r="BM21" s="40">
        <f t="shared" si="25"/>
        <v>27.5</v>
      </c>
      <c r="BN21" s="40">
        <f t="shared" si="26"/>
        <v>2.9420495991003873E-3</v>
      </c>
      <c r="BO21" s="40">
        <f>IFERROR((s_C*s_EF_far*(1/365)*s_ED_far*s_RadSpec!Q21*((s_ET_far_o*(1/24)*s_RadSpec!V21)+(s_ET_far_i*(1/24)*s_RadSpec!AA21))),".")</f>
        <v>0</v>
      </c>
      <c r="BP21" s="40">
        <f>s_b2s!BZ21</f>
        <v>1029.05</v>
      </c>
      <c r="BQ21" s="40">
        <f>IFERROR(((s_C*s_RadSpec!AI21)/s_RadSpec!AS21)*s_IFFI_far_adj*s_CF_far_fish,0)</f>
        <v>2357.1428571428569</v>
      </c>
      <c r="BR21" s="40">
        <f>(s_C*s_IFB_far_adj*s_CF_far_beef*s_RadSpec!AH21*((s_Q_p_beef*s_f_p_beef*s_f_s_beef*(s_RadSpec!$AR21+s_R_es_past))+(s_Q_s_beef*s_f_p_beef)))</f>
        <v>6017.995689655173</v>
      </c>
      <c r="BS21" s="40">
        <f>(s_C*s_IFD_far_adj*s_CF_far_dairy*s_RadSpec!AG21*1/s_D_milk*((s_Q_p_dairy*s_f_p_dairy*s_f_s_dairy*(s_RadSpec!$AR21+s_R_es_past))+(s_Q_s_dairy*s_f_p_dairy)))</f>
        <v>245.39399899564785</v>
      </c>
      <c r="BT21" s="40">
        <f>(s_C*s_IFSW_far_adj*s_CF_far_swine*s_RadSpec!AL21*((s_Q_p_swine*s_f_p_swine*s_f_s_swine*(s_RadSpec!$AR21+s_R_es_past))+(s_Q_s_swine*s_f_p_swine)))</f>
        <v>0</v>
      </c>
      <c r="BU21" s="40">
        <f>(s_C*s_IFP_far_adj*s_CF_far_poultry*s_RadSpec!AJ21*((s_Q_p_poultry*s_f_p_poultry*s_f_s_poultry*(s_RadSpec!AR21+s_R_es_past))+(s_Q_s_poultry*s_f_p_poultry)))</f>
        <v>2888637.931034483</v>
      </c>
      <c r="BV21" s="40">
        <f>(s_C*s_IFE_far_adj*s_CF_far_egg*s_RadSpec!AK21*((s_Q_p_egg*s_f_p_egg*s_f_s_egg*(s_RadSpec!$AR21+s_R_es_past))+(s_Q_s_egg*s_f_p_egg)))</f>
        <v>3731157.3275862071</v>
      </c>
      <c r="BW21" s="40">
        <f>(s_C*s_IFGO_far_adj*s_CF_far_goat*s_RadSpec!AO21*((s_Q_p_goat*s_f_p_goat*s_f_s_goat*(s_RadSpec!$AR21+s_R_es_past))+(s_Q_s_goat*s_f_p_goat)))</f>
        <v>0</v>
      </c>
      <c r="BX21" s="40">
        <f>(s_C*s_IFGM_far_adj*s_CF_far_goat_milk*s_RadSpec!AP21*1/s_D_milk*((s_Q_p_goat_milk*s_f_p_goat_milk*s_f_s_goat_milk*(s_RadSpec!$AR21+s_R_es_past))+(s_Q_s_goat_milk*s_f_p_goat_milk)))</f>
        <v>2687.6485604285235</v>
      </c>
      <c r="BY21" s="40">
        <f>(s_C*s_IFSH_far_adj*s_CF_far_sheep*s_RadSpec!AM21*((s_Q_p_sheep*s_f_p_sheep*s_f_s_sheep*(s_RadSpec!$AR21+s_R_es_past))+(s_Q_s_sheep*s_f_p_sheep)))</f>
        <v>60179.956896551732</v>
      </c>
      <c r="BZ21" s="40">
        <f>(s_C*s_IFSM_far_adj*s_CF_far_sheep_milk*s_RadSpec!AN21*1/s_D_milk*((s_Q_p_sheep_milk*s_f_p_sheep_milk*s_f_s_sheep_milk*(s_RadSpec!$AR21+s_R_es_past))+(s_Q_s_sheep_milk*s_f_p_sheep_milk)))</f>
        <v>0</v>
      </c>
      <c r="CA21" s="18"/>
      <c r="CB21" s="18"/>
      <c r="CC21" s="18"/>
      <c r="CD21" s="18"/>
      <c r="CE21" s="18"/>
      <c r="CF21" s="18"/>
      <c r="CG21" s="18"/>
      <c r="CH21" s="18"/>
      <c r="CI21" s="18"/>
      <c r="CJ21" s="18"/>
      <c r="CK21" s="18"/>
      <c r="CL21" s="18"/>
      <c r="CM21" s="18"/>
      <c r="CN21" s="18"/>
      <c r="CO21" s="5"/>
      <c r="CP21" s="15" t="str">
        <f>IFERROR(s_TR/(s_RadSpec!H21*s_IFW_far_adj),".")</f>
        <v>.</v>
      </c>
      <c r="CQ21" s="15" t="str">
        <f>IFERROR(IF(s_RadSpec!C21=1,s_TR/(s_RadSpec!G21*s_IFA_far_adj*s_K),"."),".")</f>
        <v>.</v>
      </c>
      <c r="CR21" s="15">
        <f>IFERROR((s_TR/(s_RadSpec!L21*(1/8760)*s_DFA_far_adj)),".")</f>
        <v>433162176597736.69</v>
      </c>
      <c r="CS21" s="15" t="str">
        <f>s_b2w!BA21</f>
        <v>.</v>
      </c>
      <c r="CT21" s="15" t="str">
        <f>IFERROR(I21/(s_RadSpec!AI21*(1/1000)),".")</f>
        <v>.</v>
      </c>
      <c r="CU21" s="15" t="str">
        <f>IFERROR(F21/(s_RadSpec!AH21*s_Q_w_beef*(1/1000)),".")</f>
        <v>.</v>
      </c>
      <c r="CV21" s="15" t="str">
        <f>IFERROR((G21*s_D_milk)/(s_RadSpec!AG21*s_Q_w_dairy*(1/1000)),".")</f>
        <v>.</v>
      </c>
      <c r="CW21" s="15" t="str">
        <f>IFERROR(H21/(s_RadSpec!AL21*s_Q_w_swine*(1/1000)),".")</f>
        <v>.</v>
      </c>
      <c r="CX21" s="15" t="str">
        <f>IFERROR(D21/(s_RadSpec!AJ21*s_Q_w_poultry*(1/1000)),".")</f>
        <v>.</v>
      </c>
      <c r="CY21" s="15" t="str">
        <f>IFERROR(E21/(s_RadSpec!AK21*s_Q_w_poultry*(1/1000)),".")</f>
        <v>.</v>
      </c>
      <c r="CZ21" s="15" t="str">
        <f>IFERROR(J21/(s_RadSpec!AO21*s_Q_w_goat*(1/1000)),".")</f>
        <v>.</v>
      </c>
      <c r="DA21" s="15" t="str">
        <f>IFERROR(L21*s_D_milk/(s_RadSpec!AP21*s_Q_w_goat_milk*(1/1000)),".")</f>
        <v>.</v>
      </c>
      <c r="DB21" s="15" t="str">
        <f>IFERROR(K21/(s_RadSpec!AM21*s_Q_w_sheep*(1/1000)),".")</f>
        <v>.</v>
      </c>
      <c r="DC21" s="15" t="str">
        <f>IFERROR(M21*s_D_milk/(s_RadSpec!AN21*s_Q_w_sheep_milk*(1/1000)),".")</f>
        <v>.</v>
      </c>
      <c r="DD21" s="120" t="str">
        <f t="shared" si="27"/>
        <v>.</v>
      </c>
      <c r="DE21" s="120" t="str">
        <f t="shared" si="28"/>
        <v>.</v>
      </c>
      <c r="DF21" s="120">
        <f t="shared" si="29"/>
        <v>2.3086041534246579E-15</v>
      </c>
      <c r="DG21" s="120" t="str">
        <f t="shared" si="30"/>
        <v>.</v>
      </c>
      <c r="DH21" s="120" t="str">
        <f t="shared" si="31"/>
        <v>.</v>
      </c>
      <c r="DI21" s="120" t="str">
        <f t="shared" si="32"/>
        <v>.</v>
      </c>
      <c r="DJ21" s="120" t="str">
        <f t="shared" si="33"/>
        <v>.</v>
      </c>
      <c r="DK21" s="120" t="str">
        <f t="shared" si="34"/>
        <v>.</v>
      </c>
      <c r="DL21" s="120" t="str">
        <f t="shared" si="35"/>
        <v>.</v>
      </c>
      <c r="DM21" s="120" t="str">
        <f t="shared" si="36"/>
        <v>.</v>
      </c>
      <c r="DN21" s="120" t="str">
        <f t="shared" si="37"/>
        <v>.</v>
      </c>
      <c r="DO21" s="120" t="str">
        <f t="shared" si="38"/>
        <v>.</v>
      </c>
      <c r="DP21" s="120" t="str">
        <f t="shared" si="39"/>
        <v>.</v>
      </c>
      <c r="DQ21" s="120" t="str">
        <f t="shared" si="40"/>
        <v>.</v>
      </c>
      <c r="DR21" s="15">
        <f t="shared" si="41"/>
        <v>433162176597736.63</v>
      </c>
      <c r="DS21" s="40">
        <f t="shared" si="42"/>
        <v>2500</v>
      </c>
      <c r="DT21" s="40">
        <f t="shared" si="43"/>
        <v>455.72916666666663</v>
      </c>
      <c r="DU21" s="40">
        <f t="shared" si="44"/>
        <v>0.22831050228310501</v>
      </c>
      <c r="DV21" s="40">
        <f>s_b2w!BZ21</f>
        <v>700.26213124716605</v>
      </c>
      <c r="DW21" s="40">
        <f>IFERROR(s_C*s_RadSpec!AI21*(1/1000)*s_IFFI_far_adj*s_CF_far_fish,0)</f>
        <v>495</v>
      </c>
      <c r="DX21" s="40">
        <f>(s_C*s_IFB_far_adj*s_CF_far_beef*s_RadSpec!AH21*s_Q_w_beef*(1/1000))</f>
        <v>0.34375</v>
      </c>
      <c r="DY21" s="40">
        <f>(s_C*s_IFD_far_adj*s_CF_far_dairy*s_RadSpec!AG21*(1/s_D_milk)*s_Q_w_dairy*(1/1000))</f>
        <v>1.4016990291262136E-2</v>
      </c>
      <c r="DZ21" s="40">
        <f>(s_C*s_IFSW_far_adj*s_CF_far_swine*s_RadSpec!AL21*s_Q_w_swine*(1/1000))</f>
        <v>0</v>
      </c>
      <c r="EA21" s="40">
        <f>(s_C*s_IFP_far_adj*s_CF_far_poultry*s_RadSpec!AJ21*s_Q_w_poultry*(1/1000))</f>
        <v>165</v>
      </c>
      <c r="EB21" s="40">
        <f>(s_C*s_IFE_far_adj*s_CF_far_egg*s_RadSpec!AK21*s_Q_w_egg*(1/1000))</f>
        <v>213.125</v>
      </c>
      <c r="EC21" s="40">
        <f>(s_C*s_IFGO_far_adj*s_CF_far_goat*s_RadSpec!AO21*s_Q_p_goat*(1/1000))</f>
        <v>0</v>
      </c>
      <c r="ED21" s="40">
        <f>(s_C*s_IFGM_far_adj*s_CF_far_goat_milk*s_RadSpec!AP21*(1/s_D_milk)*s_Q_p_goat_milk*(1/1000))</f>
        <v>0.15351941747572817</v>
      </c>
      <c r="EE21" s="40">
        <f>(s_C*s_IFSH_far_adj*s_CF_far_sheep*s_RadSpec!AM21*s_Q_p_sheep*(1/1000))</f>
        <v>3.4375</v>
      </c>
      <c r="EF21" s="40">
        <f>(s_C*s_IFSM_far_adj*s_CF_far_sheep_milk*s_RadSpec!AN21*(1/s_D_milk)*s_Q_p_sheep_milk*(1/1000))</f>
        <v>0</v>
      </c>
      <c r="EG21" s="18"/>
      <c r="EH21" s="18"/>
      <c r="EI21" s="18"/>
      <c r="EJ21" s="18"/>
      <c r="EK21" s="18"/>
      <c r="EL21" s="18"/>
      <c r="EM21" s="18"/>
      <c r="EN21" s="18"/>
      <c r="EO21" s="18"/>
      <c r="EP21" s="18"/>
      <c r="EQ21" s="18"/>
      <c r="ER21" s="18"/>
      <c r="ES21" s="18"/>
      <c r="ET21" s="18"/>
      <c r="EU21" s="5"/>
      <c r="EV21" s="15">
        <f>IFERROR((s_TR/(s_RadSpec!G21*s_IFA_far_adj)),".")</f>
        <v>394.65570400822202</v>
      </c>
      <c r="EW21" s="15">
        <f>IFERROR((s_TR/(s_RadSpec!J21*s_EF_far*(1/365)*s_ED_far*s_ET_far*(1/24)*s_GSF_a)),".")</f>
        <v>221963576883.81067</v>
      </c>
      <c r="EX21" s="15">
        <f t="shared" si="55"/>
        <v>394.65570330651622</v>
      </c>
      <c r="EY21" s="40">
        <f t="shared" si="46"/>
        <v>911.45833333333326</v>
      </c>
      <c r="EZ21" s="40">
        <f t="shared" si="47"/>
        <v>0.57077625570776247</v>
      </c>
      <c r="FA21" s="122"/>
      <c r="FB21" s="122"/>
      <c r="FC21" s="122"/>
    </row>
    <row r="22" spans="1:159" customFormat="1" x14ac:dyDescent="0.25">
      <c r="A22" s="44" t="s">
        <v>32</v>
      </c>
      <c r="B22" s="42" t="s">
        <v>1074</v>
      </c>
      <c r="C22" s="15">
        <f>s_dir!AB22</f>
        <v>0.59204878481986911</v>
      </c>
      <c r="D22" s="15">
        <f>IFERROR(s_TR/(s_RadSpec!E22*s_IFP_far_adj*s_CF_far_poultry),".")</f>
        <v>2.3681951392794764</v>
      </c>
      <c r="E22" s="15">
        <f>IFERROR(s_TR/(s_RadSpec!E22*s_IFE_far_adj*s_CF_far_egg),".")</f>
        <v>2.3681951392794764</v>
      </c>
      <c r="F22" s="15">
        <f>IFERROR(s_TR/(s_RadSpec!E22*s_IFB_far_adj*s_CF_far_beef),".")</f>
        <v>2.3681951392794764</v>
      </c>
      <c r="G22" s="15">
        <f>IFERROR(s_TR/(s_RadSpec!E22*s_IFD_far_adj*s_CF_far_dairy),".")</f>
        <v>2.3681951392794764</v>
      </c>
      <c r="H22" s="15">
        <f>IFERROR(s_TR/(s_RadSpec!E22*s_IFSW_far_adj*s_CF_far_swine),".")</f>
        <v>2.3681951392794764</v>
      </c>
      <c r="I22" s="15">
        <f>IFERROR(s_TR/(s_RadSpec!E22*s_IFFI_far_adj*s_CF_far_fish),".")</f>
        <v>2.3681951392794764</v>
      </c>
      <c r="J22" s="15">
        <f>IFERROR(s_TR/(s_RadSpec!E22*s_IFGO_far_adj*s_CF_far_goat),".")</f>
        <v>2.3681951392794764</v>
      </c>
      <c r="K22" s="15">
        <f>IFERROR(s_TR/(s_RadSpec!E22*s_IFSH_far_adj*s_CF_far_sheep),".")</f>
        <v>2.3681951392794764</v>
      </c>
      <c r="L22" s="15">
        <f>IFERROR(s_TR/(s_RadSpec!E22*s_IFGM_far_adj*s_CF_far_goat_milk),".")</f>
        <v>2.3681951392794764</v>
      </c>
      <c r="M22" s="15">
        <f>IFERROR(s_TR/(s_RadSpec!E22*s_IFSM_far_adj*s_CF_far_sheep_milk),".")</f>
        <v>2.3681951392794764</v>
      </c>
      <c r="N22" s="40">
        <f>s_dir!BA22</f>
        <v>55000</v>
      </c>
      <c r="O22" s="40">
        <f t="shared" si="0"/>
        <v>13750</v>
      </c>
      <c r="P22" s="40">
        <f t="shared" si="1"/>
        <v>13750</v>
      </c>
      <c r="Q22" s="40">
        <f t="shared" si="2"/>
        <v>13750</v>
      </c>
      <c r="R22" s="40">
        <f t="shared" si="3"/>
        <v>13750</v>
      </c>
      <c r="S22" s="40">
        <f t="shared" si="4"/>
        <v>13750</v>
      </c>
      <c r="T22" s="40">
        <f t="shared" si="5"/>
        <v>13750</v>
      </c>
      <c r="U22" s="40">
        <f t="shared" si="6"/>
        <v>13750</v>
      </c>
      <c r="V22" s="40">
        <f t="shared" si="7"/>
        <v>13750</v>
      </c>
      <c r="W22" s="40">
        <f t="shared" si="8"/>
        <v>13750</v>
      </c>
      <c r="X22" s="40">
        <f t="shared" si="9"/>
        <v>13750</v>
      </c>
      <c r="Y22" s="5"/>
      <c r="Z22" s="5"/>
      <c r="AA22" s="5"/>
      <c r="AB22" s="5"/>
      <c r="AC22" s="5"/>
      <c r="AD22" s="5"/>
      <c r="AE22" s="5"/>
      <c r="AF22" s="5"/>
      <c r="AG22" s="5"/>
      <c r="AH22" s="5"/>
      <c r="AI22" s="5"/>
      <c r="AJ22" s="45">
        <f>IFERROR((s_TR/(s_RadSpec!D22*s_IFS_far_adj*(1/1000)))*1,".")</f>
        <v>750.22975786334553</v>
      </c>
      <c r="AK22" s="45">
        <f>IFERROR(IF(A22="H-3",(s_TR/(s_RadSpec!G22*s_IFA_far_adj*(1/17)*1000))*1,(s_TR/(s_RadSpec!G22*s_IFA_far_adj*(1/s_PEF_wind)*1000))*1),".")</f>
        <v>64967.907087167077</v>
      </c>
      <c r="AL22" s="45">
        <f>IFERROR((s_TR/(s_RadSpec!F22*s_EF_far*(1/365)*s_ED_far*s_RadSpec!Q22*((s_ET_far_o*(1/24)*s_RadSpec!V22)+(s_ET_far_i*(1/24)*s_RadSpec!AA22))))*1,".")</f>
        <v>57360213700.815163</v>
      </c>
      <c r="AM22" s="45">
        <f>s_b2s!BA22</f>
        <v>13.699283503670253</v>
      </c>
      <c r="AN22" s="45">
        <f>IFERROR(((I22*s_RadSpec!AS22)/s_RadSpec!AI22)*1,".")</f>
        <v>0.59204878481986911</v>
      </c>
      <c r="AO22" s="45">
        <f>IFERROR((F22/(s_RadSpec!AH22*((s_Q_p_beef*s_f_p_beef*s_f_s_beef*(s_RadSpec!BB22+s_R_es_past))+(s_Q_s_beef*s_f_p_beef))))*1,".")</f>
        <v>15.488289954317944</v>
      </c>
      <c r="AP22" s="45">
        <f>IFERROR(((G22*s_D_milk)/(s_RadSpec!AG22*((s_Q_p_dairy*s_f_p_dairy*s_f_s_dairy*(s_RadSpec!BB22+s_R_es_past))+(s_Q_s_dairy*s_f_p_dairy))))*1,".")</f>
        <v>71.368409763186094</v>
      </c>
      <c r="AQ22" s="45" t="str">
        <f>IFERROR((H22/(s_RadSpec!AL22*((s_Q_p_swine*s_f_p_swine*s_f_s_swine*(s_RadSpec!BB22+s_R_es_past))+(s_Q_s_swine*s_f_p_swine))))*1,".")</f>
        <v>.</v>
      </c>
      <c r="AR22" s="45" t="str">
        <f>IFERROR((D22/(s_RadSpec!AJ22*((s_Q_p_poultry*s_f_p_poultry*s_f_s_poultry*(s_RadSpec!BB22+s_R_es_past))+(s_Q_s_poultry*s_f_p_poultry))))*1,".")</f>
        <v>.</v>
      </c>
      <c r="AS22" s="45" t="str">
        <f>IFERROR((E22/(s_RadSpec!AK22*((s_Q_p_poultry*s_f_p_poultry*s_f_s_poultry*(s_RadSpec!BB22+s_R_es_past))+(s_Q_s_poultry*s_f_p_poultry))))*1,".")</f>
        <v>.</v>
      </c>
      <c r="AT22" s="45" t="str">
        <f>IFERROR((J22/(s_RadSpec!AO22*((s_Q_p_goat*s_f_p_goat*s_f_s_goat*(s_RadSpec!BB22+s_R_es_past))+(s_Q_s_goat*s_f_p_goat))))*1,".")</f>
        <v>.</v>
      </c>
      <c r="AU22" s="45" t="str">
        <f>IFERROR((L22*s_D_milk/(s_RadSpec!AP22*((s_Q_p_goat_milk*s_f_p_goat_milk*s_f_s_goat_milk*(s_RadSpec!BB22+s_R_es_past))+(s_Q_s_goat_milk*s_f_p_goat_milk))))*1,".")</f>
        <v>.</v>
      </c>
      <c r="AV22" s="45">
        <f>IFERROR((K22/(s_RadSpec!AM22*((s_Q_p_sheep*s_f_p_sheep*s_f_s_sheep*(s_RadSpec!BB22+s_R_es_past))+(s_Q_s_sheep*s_f_p_sheep))))*1,".")</f>
        <v>5.2660185844681004</v>
      </c>
      <c r="AW22" s="45" t="str">
        <f>IFERROR((M22*s_D_milk/(s_RadSpec!AN22*((s_Q_p_sheep_milk*s_f_p_sheep_milk*s_f_s_sheep_milk*(s_RadSpec!BB22+s_R_es_past))+(s_Q_s_sheep_milk*s_f_p_sheep_milk))))*1,".")</f>
        <v>.</v>
      </c>
      <c r="AX22" s="120">
        <f t="shared" si="10"/>
        <v>1.3329250000000002E-3</v>
      </c>
      <c r="AY22" s="120">
        <f t="shared" si="11"/>
        <v>1.5392215092573409E-5</v>
      </c>
      <c r="AZ22" s="120">
        <f t="shared" si="12"/>
        <v>1.7433686792310342E-11</v>
      </c>
      <c r="BA22" s="120">
        <f t="shared" si="13"/>
        <v>7.2996518375E-2</v>
      </c>
      <c r="BB22" s="120">
        <f t="shared" si="14"/>
        <v>1.6890500000000002</v>
      </c>
      <c r="BC22" s="120">
        <f t="shared" si="15"/>
        <v>6.4564906968390817E-2</v>
      </c>
      <c r="BD22" s="120">
        <f t="shared" si="16"/>
        <v>1.4011801626492583E-2</v>
      </c>
      <c r="BE22" s="120" t="str">
        <f t="shared" si="17"/>
        <v>.</v>
      </c>
      <c r="BF22" s="120" t="str">
        <f t="shared" si="18"/>
        <v>.</v>
      </c>
      <c r="BG22" s="120" t="str">
        <f t="shared" si="19"/>
        <v>.</v>
      </c>
      <c r="BH22" s="120" t="str">
        <f t="shared" si="20"/>
        <v>.</v>
      </c>
      <c r="BI22" s="120" t="str">
        <f t="shared" si="21"/>
        <v>.</v>
      </c>
      <c r="BJ22" s="120">
        <f t="shared" si="22"/>
        <v>0.18989678520114947</v>
      </c>
      <c r="BK22" s="120" t="str">
        <f t="shared" si="23"/>
        <v>.</v>
      </c>
      <c r="BL22" s="15">
        <f t="shared" si="24"/>
        <v>0.49215787535481836</v>
      </c>
      <c r="BM22" s="40">
        <f t="shared" si="25"/>
        <v>27.5</v>
      </c>
      <c r="BN22" s="40">
        <f t="shared" si="26"/>
        <v>2.9420495991003873E-3</v>
      </c>
      <c r="BO22" s="40">
        <f>IFERROR((s_C*s_EF_far*(1/365)*s_ED_far*s_RadSpec!Q22*((s_ET_far_o*(1/24)*s_RadSpec!V22)+(s_ET_far_i*(1/24)*s_RadSpec!AA22))),".")</f>
        <v>1.4274202831817652E-8</v>
      </c>
      <c r="BP22" s="40">
        <f>s_b2s!BZ22</f>
        <v>2376.9625000000001</v>
      </c>
      <c r="BQ22" s="40">
        <f>IFERROR(((s_C*s_RadSpec!AI22)/s_RadSpec!AS22)*s_IFFI_far_adj*s_CF_far_fish,0)</f>
        <v>55000</v>
      </c>
      <c r="BR22" s="40">
        <f>(s_C*s_IFB_far_adj*s_CF_far_beef*s_RadSpec!AH22*((s_Q_p_beef*s_f_p_beef*s_f_s_beef*(s_RadSpec!$AR22+s_R_es_past))+(s_Q_s_beef*s_f_p_beef)))</f>
        <v>2102.4066091954023</v>
      </c>
      <c r="BS22" s="40">
        <f>(s_C*s_IFD_far_adj*s_CF_far_dairy*s_RadSpec!AG22*1/s_D_milk*((s_Q_p_dairy*s_f_p_dairy*s_f_s_dairy*(s_RadSpec!$AR22+s_R_es_past))+(s_Q_s_dairy*s_f_p_dairy)))</f>
        <v>456.26185693560996</v>
      </c>
      <c r="BT22" s="40">
        <f>(s_C*s_IFSW_far_adj*s_CF_far_swine*s_RadSpec!AL22*((s_Q_p_swine*s_f_p_swine*s_f_s_swine*(s_RadSpec!$AR22+s_R_es_past))+(s_Q_s_swine*s_f_p_swine)))</f>
        <v>0</v>
      </c>
      <c r="BU22" s="40">
        <f>(s_C*s_IFP_far_adj*s_CF_far_poultry*s_RadSpec!AJ22*((s_Q_p_poultry*s_f_p_poultry*s_f_s_poultry*(s_RadSpec!AR22+s_R_es_past))+(s_Q_s_poultry*s_f_p_poultry)))</f>
        <v>0</v>
      </c>
      <c r="BV22" s="40">
        <f>(s_C*s_IFE_far_adj*s_CF_far_egg*s_RadSpec!AK22*((s_Q_p_egg*s_f_p_egg*s_f_s_egg*(s_RadSpec!$AR22+s_R_es_past))+(s_Q_s_egg*s_f_p_egg)))</f>
        <v>0</v>
      </c>
      <c r="BW22" s="40">
        <f>(s_C*s_IFGO_far_adj*s_CF_far_goat*s_RadSpec!AO22*((s_Q_p_goat*s_f_p_goat*s_f_s_goat*(s_RadSpec!$AR22+s_R_es_past))+(s_Q_s_goat*s_f_p_goat)))</f>
        <v>0</v>
      </c>
      <c r="BX22" s="40">
        <f>(s_C*s_IFGM_far_adj*s_CF_far_goat_milk*s_RadSpec!AP22*1/s_D_milk*((s_Q_p_goat_milk*s_f_p_goat_milk*s_f_s_goat_milk*(s_RadSpec!$AR22+s_R_es_past))+(s_Q_s_goat_milk*s_f_p_goat_milk)))</f>
        <v>0</v>
      </c>
      <c r="BY22" s="40">
        <f>(s_C*s_IFSH_far_adj*s_CF_far_sheep*s_RadSpec!AM22*((s_Q_p_sheep*s_f_p_sheep*s_f_s_sheep*(s_RadSpec!$AR22+s_R_es_past))+(s_Q_s_sheep*s_f_p_sheep)))</f>
        <v>6183.5488505747135</v>
      </c>
      <c r="BZ22" s="40">
        <f>(s_C*s_IFSM_far_adj*s_CF_far_sheep_milk*s_RadSpec!AN22*1/s_D_milk*((s_Q_p_sheep_milk*s_f_p_sheep_milk*s_f_s_sheep_milk*(s_RadSpec!$AR22+s_R_es_past))+(s_Q_s_sheep_milk*s_f_p_sheep_milk)))</f>
        <v>0</v>
      </c>
      <c r="CA22" s="18"/>
      <c r="CB22" s="18"/>
      <c r="CC22" s="18"/>
      <c r="CD22" s="18"/>
      <c r="CE22" s="18"/>
      <c r="CF22" s="18"/>
      <c r="CG22" s="18"/>
      <c r="CH22" s="18"/>
      <c r="CI22" s="18"/>
      <c r="CJ22" s="18"/>
      <c r="CK22" s="18"/>
      <c r="CL22" s="18"/>
      <c r="CM22" s="18"/>
      <c r="CN22" s="18"/>
      <c r="CO22" s="5"/>
      <c r="CP22" s="15">
        <f>IFERROR(s_TR/(s_RadSpec!H22*s_IFW_far_adj),".")</f>
        <v>17.493221376716523</v>
      </c>
      <c r="CQ22" s="15" t="str">
        <f>IFERROR(IF(s_RadSpec!C22=1,s_TR/(s_RadSpec!G22*s_IFA_far_adj*s_K),"."),".")</f>
        <v>.</v>
      </c>
      <c r="CR22" s="15">
        <f>IFERROR((s_TR/(s_RadSpec!L22*(1/8760)*s_DFA_far_adj)),".")</f>
        <v>516692072.91134989</v>
      </c>
      <c r="CS22" s="15">
        <f>s_b2w!BA22</f>
        <v>33.635892775043871</v>
      </c>
      <c r="CT22" s="15">
        <f>IFERROR(I22/(s_RadSpec!AI22*(1/1000)),".")</f>
        <v>592.04878481986907</v>
      </c>
      <c r="CU22" s="15">
        <f>IFERROR(F22/(s_RadSpec!AH22*s_Q_w_beef*(1/1000)),".")</f>
        <v>278611.19285640906</v>
      </c>
      <c r="CV22" s="15">
        <f>IFERROR((G22*s_D_milk)/(s_RadSpec!AG22*s_Q_w_dairy*(1/1000)),".")</f>
        <v>1283811.0491883475</v>
      </c>
      <c r="CW22" s="15" t="str">
        <f>IFERROR(H22/(s_RadSpec!AL22*s_Q_w_swine*(1/1000)),".")</f>
        <v>.</v>
      </c>
      <c r="CX22" s="15" t="str">
        <f>IFERROR(D22/(s_RadSpec!AJ22*s_Q_w_poultry*(1/1000)),".")</f>
        <v>.</v>
      </c>
      <c r="CY22" s="15" t="str">
        <f>IFERROR(E22/(s_RadSpec!AK22*s_Q_w_poultry*(1/1000)),".")</f>
        <v>.</v>
      </c>
      <c r="CZ22" s="15" t="str">
        <f>IFERROR(J22/(s_RadSpec!AO22*s_Q_w_goat*(1/1000)),".")</f>
        <v>.</v>
      </c>
      <c r="DA22" s="15" t="str">
        <f>IFERROR(L22*s_D_milk/(s_RadSpec!AP22*s_Q_w_goat_milk*(1/1000)),".")</f>
        <v>.</v>
      </c>
      <c r="DB22" s="15">
        <f>IFERROR(K22/(s_RadSpec!AM22*s_Q_w_sheep*(1/1000)),".")</f>
        <v>94727.805571179051</v>
      </c>
      <c r="DC22" s="15" t="str">
        <f>IFERROR(M22*s_D_milk/(s_RadSpec!AN22*s_Q_w_sheep_milk*(1/1000)),".")</f>
        <v>.</v>
      </c>
      <c r="DD22" s="120">
        <f t="shared" si="27"/>
        <v>5.7165000000000001E-2</v>
      </c>
      <c r="DE22" s="120" t="str">
        <f t="shared" si="28"/>
        <v>.</v>
      </c>
      <c r="DF22" s="120">
        <f t="shared" si="29"/>
        <v>1.9353887013698631E-9</v>
      </c>
      <c r="DG22" s="120">
        <f t="shared" si="30"/>
        <v>2.9730145909549022E-2</v>
      </c>
      <c r="DH22" s="120">
        <f t="shared" si="31"/>
        <v>1.6890500000000003E-3</v>
      </c>
      <c r="DI22" s="120">
        <f t="shared" si="32"/>
        <v>3.5892312499999995E-6</v>
      </c>
      <c r="DJ22" s="120">
        <f t="shared" si="33"/>
        <v>7.7893082524271864E-7</v>
      </c>
      <c r="DK22" s="120" t="str">
        <f t="shared" si="34"/>
        <v>.</v>
      </c>
      <c r="DL22" s="120" t="str">
        <f t="shared" si="35"/>
        <v>.</v>
      </c>
      <c r="DM22" s="120" t="str">
        <f t="shared" si="36"/>
        <v>.</v>
      </c>
      <c r="DN22" s="120" t="str">
        <f t="shared" si="37"/>
        <v>.</v>
      </c>
      <c r="DO22" s="120" t="str">
        <f t="shared" si="38"/>
        <v>.</v>
      </c>
      <c r="DP22" s="120">
        <f t="shared" si="39"/>
        <v>1.0556562500000002E-5</v>
      </c>
      <c r="DQ22" s="120" t="str">
        <f t="shared" si="40"/>
        <v>.</v>
      </c>
      <c r="DR22" s="15">
        <f t="shared" si="41"/>
        <v>11.286793491836463</v>
      </c>
      <c r="DS22" s="40">
        <f t="shared" si="42"/>
        <v>2500</v>
      </c>
      <c r="DT22" s="40">
        <f t="shared" si="43"/>
        <v>455.72916666666663</v>
      </c>
      <c r="DU22" s="40">
        <f t="shared" si="44"/>
        <v>0.22831050228310501</v>
      </c>
      <c r="DV22" s="40">
        <f>s_b2w!BZ22</f>
        <v>968.09332170462449</v>
      </c>
      <c r="DW22" s="40">
        <f>IFERROR(s_C*s_RadSpec!AI22*(1/1000)*s_IFFI_far_adj*s_CF_far_fish,0)</f>
        <v>55</v>
      </c>
      <c r="DX22" s="40">
        <f>(s_C*s_IFB_far_adj*s_CF_far_beef*s_RadSpec!AH22*s_Q_w_beef*(1/1000))</f>
        <v>0.11687500000000001</v>
      </c>
      <c r="DY22" s="40">
        <f>(s_C*s_IFD_far_adj*s_CF_far_dairy*s_RadSpec!AG22*(1/s_D_milk)*s_Q_w_dairy*(1/1000))</f>
        <v>2.5364077669902913E-2</v>
      </c>
      <c r="DZ22" s="40">
        <f>(s_C*s_IFSW_far_adj*s_CF_far_swine*s_RadSpec!AL22*s_Q_w_swine*(1/1000))</f>
        <v>0</v>
      </c>
      <c r="EA22" s="40">
        <f>(s_C*s_IFP_far_adj*s_CF_far_poultry*s_RadSpec!AJ22*s_Q_w_poultry*(1/1000))</f>
        <v>0</v>
      </c>
      <c r="EB22" s="40">
        <f>(s_C*s_IFE_far_adj*s_CF_far_egg*s_RadSpec!AK22*s_Q_w_egg*(1/1000))</f>
        <v>0</v>
      </c>
      <c r="EC22" s="40">
        <f>(s_C*s_IFGO_far_adj*s_CF_far_goat*s_RadSpec!AO22*s_Q_p_goat*(1/1000))</f>
        <v>0</v>
      </c>
      <c r="ED22" s="40">
        <f>(s_C*s_IFGM_far_adj*s_CF_far_goat_milk*s_RadSpec!AP22*(1/s_D_milk)*s_Q_p_goat_milk*(1/1000))</f>
        <v>0</v>
      </c>
      <c r="EE22" s="40">
        <f>(s_C*s_IFSH_far_adj*s_CF_far_sheep*s_RadSpec!AM22*s_Q_p_sheep*(1/1000))</f>
        <v>0.34375</v>
      </c>
      <c r="EF22" s="40">
        <f>(s_C*s_IFSM_far_adj*s_CF_far_sheep_milk*s_RadSpec!AN22*(1/s_D_milk)*s_Q_p_sheep_milk*(1/1000))</f>
        <v>0</v>
      </c>
      <c r="EG22" s="18"/>
      <c r="EH22" s="18"/>
      <c r="EI22" s="18"/>
      <c r="EJ22" s="18"/>
      <c r="EK22" s="18"/>
      <c r="EL22" s="18"/>
      <c r="EM22" s="18"/>
      <c r="EN22" s="18"/>
      <c r="EO22" s="18"/>
      <c r="EP22" s="18"/>
      <c r="EQ22" s="18"/>
      <c r="ER22" s="18"/>
      <c r="ES22" s="18"/>
      <c r="ET22" s="18"/>
      <c r="EU22" s="5"/>
      <c r="EV22" s="15">
        <f>IFERROR((s_TR/(s_RadSpec!G22*s_IFA_far_adj)),".")</f>
        <v>0.20970657462878114</v>
      </c>
      <c r="EW22" s="15">
        <f>IFERROR((s_TR/(s_RadSpec!J22*s_EF_far*(1/365)*s_ED_far*s_ET_far*(1/24)*s_GSF_a)),".")</f>
        <v>474833.47459954425</v>
      </c>
      <c r="EX22" s="15">
        <f t="shared" ref="EX22:EX23" si="56">IFERROR(IF(AND(ISNUMBER(EV22),ISNUMBER(EW22)),1/((1/EV22)+(1/EW22)),IF(AND(ISNUMBER(EV22),NOT(ISNUMBER(EW22))),1/((1/EV22)),IF(AND(NOT(ISNUMBER(EV22)),ISNUMBER(EW22)),1/((1/EW22)),IF(AND(NOT(ISNUMBER(EV22)),NOT(ISNUMBER(EW22))),".")))),".")</f>
        <v>0.20970648201351624</v>
      </c>
      <c r="EY22" s="40">
        <f t="shared" si="46"/>
        <v>911.45833333333326</v>
      </c>
      <c r="EZ22" s="40">
        <f t="shared" si="47"/>
        <v>0.57077625570776247</v>
      </c>
      <c r="FA22" s="122"/>
      <c r="FB22" s="122"/>
      <c r="FC22" s="122"/>
    </row>
    <row r="23" spans="1:159" customFormat="1" x14ac:dyDescent="0.25">
      <c r="A23" s="46" t="s">
        <v>33</v>
      </c>
      <c r="B23" s="42" t="s">
        <v>351</v>
      </c>
      <c r="C23" s="15">
        <f>s_dir!AB23</f>
        <v>0.17676276669082425</v>
      </c>
      <c r="D23" s="15">
        <f>IFERROR(s_TR/(s_RadSpec!E23*s_IFP_far_adj*s_CF_far_poultry),".")</f>
        <v>0.70705106676329699</v>
      </c>
      <c r="E23" s="15">
        <f>IFERROR(s_TR/(s_RadSpec!E23*s_IFE_far_adj*s_CF_far_egg),".")</f>
        <v>0.70705106676329699</v>
      </c>
      <c r="F23" s="15">
        <f>IFERROR(s_TR/(s_RadSpec!E23*s_IFB_far_adj*s_CF_far_beef),".")</f>
        <v>0.70705106676329699</v>
      </c>
      <c r="G23" s="15">
        <f>IFERROR(s_TR/(s_RadSpec!E23*s_IFD_far_adj*s_CF_far_dairy),".")</f>
        <v>0.70705106676329699</v>
      </c>
      <c r="H23" s="15">
        <f>IFERROR(s_TR/(s_RadSpec!E23*s_IFSW_far_adj*s_CF_far_swine),".")</f>
        <v>0.70705106676329699</v>
      </c>
      <c r="I23" s="15">
        <f>IFERROR(s_TR/(s_RadSpec!E23*s_IFFI_far_adj*s_CF_far_fish),".")</f>
        <v>0.70705106676329699</v>
      </c>
      <c r="J23" s="15">
        <f>IFERROR(s_TR/(s_RadSpec!E23*s_IFGO_far_adj*s_CF_far_goat),".")</f>
        <v>0.70705106676329699</v>
      </c>
      <c r="K23" s="15">
        <f>IFERROR(s_TR/(s_RadSpec!E23*s_IFSH_far_adj*s_CF_far_sheep),".")</f>
        <v>0.70705106676329699</v>
      </c>
      <c r="L23" s="15">
        <f>IFERROR(s_TR/(s_RadSpec!E23*s_IFGM_far_adj*s_CF_far_goat_milk),".")</f>
        <v>0.70705106676329699</v>
      </c>
      <c r="M23" s="15">
        <f>IFERROR(s_TR/(s_RadSpec!E23*s_IFSM_far_adj*s_CF_far_sheep_milk),".")</f>
        <v>0.70705106676329699</v>
      </c>
      <c r="N23" s="40">
        <f>s_dir!BA23</f>
        <v>55000</v>
      </c>
      <c r="O23" s="40">
        <f t="shared" si="0"/>
        <v>13750</v>
      </c>
      <c r="P23" s="40">
        <f t="shared" si="1"/>
        <v>13750</v>
      </c>
      <c r="Q23" s="40">
        <f t="shared" si="2"/>
        <v>13750</v>
      </c>
      <c r="R23" s="40">
        <f t="shared" si="3"/>
        <v>13750</v>
      </c>
      <c r="S23" s="40">
        <f t="shared" si="4"/>
        <v>13750</v>
      </c>
      <c r="T23" s="40">
        <f t="shared" si="5"/>
        <v>13750</v>
      </c>
      <c r="U23" s="40">
        <f t="shared" si="6"/>
        <v>13750</v>
      </c>
      <c r="V23" s="40">
        <f t="shared" si="7"/>
        <v>13750</v>
      </c>
      <c r="W23" s="40">
        <f t="shared" si="8"/>
        <v>13750</v>
      </c>
      <c r="X23" s="40">
        <f t="shared" si="9"/>
        <v>13750</v>
      </c>
      <c r="Y23" s="5"/>
      <c r="Z23" s="5"/>
      <c r="AA23" s="5"/>
      <c r="AB23" s="5"/>
      <c r="AC23" s="5"/>
      <c r="AD23" s="5"/>
      <c r="AE23" s="5"/>
      <c r="AF23" s="5"/>
      <c r="AG23" s="5"/>
      <c r="AH23" s="5"/>
      <c r="AI23" s="5"/>
      <c r="AJ23" s="45">
        <f>IFERROR((s_TR/(s_RadSpec!D23*s_IFS_far_adj*(1/1000)))*1,".")</f>
        <v>268.52485868879307</v>
      </c>
      <c r="AK23" s="45">
        <f>IFERROR(IF(A23="H-3",(s_TR/(s_RadSpec!G23*s_IFA_far_adj*(1/17)*1000))*1,(s_TR/(s_RadSpec!G23*s_IFA_far_adj*(1/s_PEF_wind)*1000))*1),".")</f>
        <v>60357.83220844563</v>
      </c>
      <c r="AL23" s="45">
        <f>IFERROR((s_TR/(s_RadSpec!F23*s_EF_far*(1/365)*s_ED_far*s_RadSpec!Q23*((s_ET_far_o*(1/24)*s_RadSpec!V23)+(s_ET_far_i*(1/24)*s_RadSpec!AA23))))*1,".")</f>
        <v>3210.3228483069324</v>
      </c>
      <c r="AM23" s="45">
        <f>s_b2s!BA23</f>
        <v>4.0900738518152195</v>
      </c>
      <c r="AN23" s="45">
        <f>IFERROR(((I23*s_RadSpec!AS23)/s_RadSpec!AI23)*1,".")</f>
        <v>0.17676276669082425</v>
      </c>
      <c r="AO23" s="45">
        <f>IFERROR((F23/(s_RadSpec!AH23*((s_Q_p_beef*s_f_p_beef*s_f_s_beef*(s_RadSpec!BB23+s_R_es_past))+(s_Q_s_beef*s_f_p_beef))))*1,".")</f>
        <v>4.6242016770085952</v>
      </c>
      <c r="AP23" s="45">
        <f>IFERROR(((G23*s_D_milk)/(s_RadSpec!AG23*((s_Q_p_dairy*s_f_p_dairy*s_f_s_dairy*(s_RadSpec!BB23+s_R_es_past))+(s_Q_s_dairy*s_f_p_dairy))))*1,".")</f>
        <v>21.30783456958434</v>
      </c>
      <c r="AQ23" s="45" t="str">
        <f>IFERROR((H23/(s_RadSpec!AL23*((s_Q_p_swine*s_f_p_swine*s_f_s_swine*(s_RadSpec!BB23+s_R_es_past))+(s_Q_s_swine*s_f_p_swine))))*1,".")</f>
        <v>.</v>
      </c>
      <c r="AR23" s="45" t="str">
        <f>IFERROR((D23/(s_RadSpec!AJ23*((s_Q_p_poultry*s_f_p_poultry*s_f_s_poultry*(s_RadSpec!BB23+s_R_es_past))+(s_Q_s_poultry*s_f_p_poultry))))*1,".")</f>
        <v>.</v>
      </c>
      <c r="AS23" s="45" t="str">
        <f>IFERROR((E23/(s_RadSpec!AK23*((s_Q_p_poultry*s_f_p_poultry*s_f_s_poultry*(s_RadSpec!BB23+s_R_es_past))+(s_Q_s_poultry*s_f_p_poultry))))*1,".")</f>
        <v>.</v>
      </c>
      <c r="AT23" s="45" t="str">
        <f>IFERROR((J23/(s_RadSpec!AO23*((s_Q_p_goat*s_f_p_goat*s_f_s_goat*(s_RadSpec!BB23+s_R_es_past))+(s_Q_s_goat*s_f_p_goat))))*1,".")</f>
        <v>.</v>
      </c>
      <c r="AU23" s="45" t="str">
        <f>IFERROR((L23*s_D_milk/(s_RadSpec!AP23*((s_Q_p_goat_milk*s_f_p_goat_milk*s_f_s_goat_milk*(s_RadSpec!BB23+s_R_es_past))+(s_Q_s_goat_milk*s_f_p_goat_milk))))*1,".")</f>
        <v>.</v>
      </c>
      <c r="AV23" s="45">
        <f>IFERROR((K23/(s_RadSpec!AM23*((s_Q_p_sheep*s_f_p_sheep*s_f_s_sheep*(s_RadSpec!BB23+s_R_es_past))+(s_Q_s_sheep*s_f_p_sheep))))*1,".")</f>
        <v>1.5722285701829222</v>
      </c>
      <c r="AW23" s="45" t="str">
        <f>IFERROR((M23*s_D_milk/(s_RadSpec!AN23*((s_Q_p_sheep_milk*s_f_p_sheep_milk*s_f_s_sheep_milk*(s_RadSpec!BB23+s_R_es_past))+(s_Q_s_sheep_milk*s_f_p_sheep_milk))))*1,".")</f>
        <v>.</v>
      </c>
      <c r="AX23" s="120">
        <f t="shared" si="10"/>
        <v>3.7240500000000005E-3</v>
      </c>
      <c r="AY23" s="120">
        <f t="shared" si="11"/>
        <v>1.6567858112373923E-5</v>
      </c>
      <c r="AZ23" s="120">
        <f t="shared" si="12"/>
        <v>3.1149515087785715E-4</v>
      </c>
      <c r="BA23" s="120">
        <f t="shared" si="13"/>
        <v>0.24449436275</v>
      </c>
      <c r="BB23" s="120">
        <f t="shared" si="14"/>
        <v>5.6573000000000002</v>
      </c>
      <c r="BC23" s="120">
        <f t="shared" si="15"/>
        <v>0.21625354382183909</v>
      </c>
      <c r="BD23" s="120">
        <f t="shared" si="16"/>
        <v>4.6931094604396838E-2</v>
      </c>
      <c r="BE23" s="120" t="str">
        <f t="shared" si="17"/>
        <v>.</v>
      </c>
      <c r="BF23" s="120" t="str">
        <f t="shared" si="18"/>
        <v>.</v>
      </c>
      <c r="BG23" s="120" t="str">
        <f t="shared" si="19"/>
        <v>.</v>
      </c>
      <c r="BH23" s="120" t="str">
        <f t="shared" si="20"/>
        <v>.</v>
      </c>
      <c r="BI23" s="120" t="str">
        <f t="shared" si="21"/>
        <v>.</v>
      </c>
      <c r="BJ23" s="120">
        <f t="shared" si="22"/>
        <v>0.63603983477011505</v>
      </c>
      <c r="BK23" s="120" t="str">
        <f t="shared" si="23"/>
        <v>.</v>
      </c>
      <c r="BL23" s="15">
        <f t="shared" si="24"/>
        <v>0.14694923939823312</v>
      </c>
      <c r="BM23" s="40">
        <f t="shared" si="25"/>
        <v>27.5</v>
      </c>
      <c r="BN23" s="40">
        <f t="shared" si="26"/>
        <v>2.9420495991003873E-3</v>
      </c>
      <c r="BO23" s="40">
        <f>IFERROR((s_C*s_EF_far*(1/365)*s_ED_far*s_RadSpec!Q23*((s_ET_far_o*(1/24)*s_RadSpec!V23)+(s_ET_far_i*(1/24)*s_RadSpec!AA23))),".")</f>
        <v>6.2330675010493393E-2</v>
      </c>
      <c r="BP23" s="40">
        <f>s_b2s!BZ23</f>
        <v>2376.9625000000001</v>
      </c>
      <c r="BQ23" s="40">
        <f>IFERROR(((s_C*s_RadSpec!AI23)/s_RadSpec!AS23)*s_IFFI_far_adj*s_CF_far_fish,0)</f>
        <v>55000</v>
      </c>
      <c r="BR23" s="40">
        <f>(s_C*s_IFB_far_adj*s_CF_far_beef*s_RadSpec!AH23*((s_Q_p_beef*s_f_p_beef*s_f_s_beef*(s_RadSpec!$AR23+s_R_es_past))+(s_Q_s_beef*s_f_p_beef)))</f>
        <v>2102.4066091954023</v>
      </c>
      <c r="BS23" s="40">
        <f>(s_C*s_IFD_far_adj*s_CF_far_dairy*s_RadSpec!AG23*1/s_D_milk*((s_Q_p_dairy*s_f_p_dairy*s_f_s_dairy*(s_RadSpec!$AR23+s_R_es_past))+(s_Q_s_dairy*s_f_p_dairy)))</f>
        <v>456.26185693560996</v>
      </c>
      <c r="BT23" s="40">
        <f>(s_C*s_IFSW_far_adj*s_CF_far_swine*s_RadSpec!AL23*((s_Q_p_swine*s_f_p_swine*s_f_s_swine*(s_RadSpec!$AR23+s_R_es_past))+(s_Q_s_swine*s_f_p_swine)))</f>
        <v>0</v>
      </c>
      <c r="BU23" s="40">
        <f>(s_C*s_IFP_far_adj*s_CF_far_poultry*s_RadSpec!AJ23*((s_Q_p_poultry*s_f_p_poultry*s_f_s_poultry*(s_RadSpec!AR23+s_R_es_past))+(s_Q_s_poultry*s_f_p_poultry)))</f>
        <v>0</v>
      </c>
      <c r="BV23" s="40">
        <f>(s_C*s_IFE_far_adj*s_CF_far_egg*s_RadSpec!AK23*((s_Q_p_egg*s_f_p_egg*s_f_s_egg*(s_RadSpec!$AR23+s_R_es_past))+(s_Q_s_egg*s_f_p_egg)))</f>
        <v>0</v>
      </c>
      <c r="BW23" s="40">
        <f>(s_C*s_IFGO_far_adj*s_CF_far_goat*s_RadSpec!AO23*((s_Q_p_goat*s_f_p_goat*s_f_s_goat*(s_RadSpec!$AR23+s_R_es_past))+(s_Q_s_goat*s_f_p_goat)))</f>
        <v>0</v>
      </c>
      <c r="BX23" s="40">
        <f>(s_C*s_IFGM_far_adj*s_CF_far_goat_milk*s_RadSpec!AP23*1/s_D_milk*((s_Q_p_goat_milk*s_f_p_goat_milk*s_f_s_goat_milk*(s_RadSpec!$AR23+s_R_es_past))+(s_Q_s_goat_milk*s_f_p_goat_milk)))</f>
        <v>0</v>
      </c>
      <c r="BY23" s="40">
        <f>(s_C*s_IFSH_far_adj*s_CF_far_sheep*s_RadSpec!AM23*((s_Q_p_sheep*s_f_p_sheep*s_f_s_sheep*(s_RadSpec!$AR23+s_R_es_past))+(s_Q_s_sheep*s_f_p_sheep)))</f>
        <v>6183.5488505747135</v>
      </c>
      <c r="BZ23" s="40">
        <f>(s_C*s_IFSM_far_adj*s_CF_far_sheep_milk*s_RadSpec!AN23*1/s_D_milk*((s_Q_p_sheep_milk*s_f_p_sheep_milk*s_f_s_sheep_milk*(s_RadSpec!$AR23+s_R_es_past))+(s_Q_s_sheep_milk*s_f_p_sheep_milk)))</f>
        <v>0</v>
      </c>
      <c r="CA23" s="18"/>
      <c r="CB23" s="18"/>
      <c r="CC23" s="18"/>
      <c r="CD23" s="18"/>
      <c r="CE23" s="18"/>
      <c r="CF23" s="18"/>
      <c r="CG23" s="18"/>
      <c r="CH23" s="18"/>
      <c r="CI23" s="18"/>
      <c r="CJ23" s="18"/>
      <c r="CK23" s="18"/>
      <c r="CL23" s="18"/>
      <c r="CM23" s="18"/>
      <c r="CN23" s="18"/>
      <c r="CO23" s="5"/>
      <c r="CP23" s="15">
        <f>IFERROR(s_TR/(s_RadSpec!H23*s_IFW_far_adj),".")</f>
        <v>5.1975051975051976</v>
      </c>
      <c r="CQ23" s="15">
        <f>IFERROR(IF(s_RadSpec!C23=1,s_TR/(s_RadSpec!G23*s_IFA_far_adj*s_K),"."),".")</f>
        <v>0.38965190082141465</v>
      </c>
      <c r="CR23" s="15">
        <f>IFERROR((s_TR/(s_RadSpec!L23*(1/8760)*s_DFA_far_adj)),".")</f>
        <v>349272295.09649903</v>
      </c>
      <c r="CS23" s="15">
        <f>s_b2w!BA23</f>
        <v>10.042370864491518</v>
      </c>
      <c r="CT23" s="15">
        <f>IFERROR(I23/(s_RadSpec!AI23*(1/1000)),".")</f>
        <v>176.76276669082424</v>
      </c>
      <c r="CU23" s="15">
        <f>IFERROR(F23/(s_RadSpec!AH23*s_Q_w_beef*(1/1000)),".")</f>
        <v>83182.478442740845</v>
      </c>
      <c r="CV23" s="15">
        <f>IFERROR((G23*s_D_milk)/(s_RadSpec!AG23*s_Q_w_dairy*(1/1000)),".")</f>
        <v>383296.10461378726</v>
      </c>
      <c r="CW23" s="15" t="str">
        <f>IFERROR(H23/(s_RadSpec!AL23*s_Q_w_swine*(1/1000)),".")</f>
        <v>.</v>
      </c>
      <c r="CX23" s="15" t="str">
        <f>IFERROR(D23/(s_RadSpec!AJ23*s_Q_w_poultry*(1/1000)),".")</f>
        <v>.</v>
      </c>
      <c r="CY23" s="15" t="str">
        <f>IFERROR(E23/(s_RadSpec!AK23*s_Q_w_poultry*(1/1000)),".")</f>
        <v>.</v>
      </c>
      <c r="CZ23" s="15" t="str">
        <f>IFERROR(J23/(s_RadSpec!AO23*s_Q_w_goat*(1/1000)),".")</f>
        <v>.</v>
      </c>
      <c r="DA23" s="15" t="str">
        <f>IFERROR(L23*s_D_milk/(s_RadSpec!AP23*s_Q_w_goat_milk*(1/1000)),".")</f>
        <v>.</v>
      </c>
      <c r="DB23" s="15">
        <f>IFERROR(K23/(s_RadSpec!AM23*s_Q_w_sheep*(1/1000)),".")</f>
        <v>28282.042670531879</v>
      </c>
      <c r="DC23" s="15" t="str">
        <f>IFERROR(M23*s_D_milk/(s_RadSpec!AN23*s_Q_w_sheep_milk*(1/1000)),".")</f>
        <v>.</v>
      </c>
      <c r="DD23" s="120">
        <f t="shared" si="27"/>
        <v>0.19239999999999999</v>
      </c>
      <c r="DE23" s="120">
        <f t="shared" si="28"/>
        <v>2.5663932291666662</v>
      </c>
      <c r="DF23" s="120">
        <f t="shared" si="29"/>
        <v>2.8630956821917813E-9</v>
      </c>
      <c r="DG23" s="120">
        <f t="shared" si="30"/>
        <v>9.9578079070537659E-2</v>
      </c>
      <c r="DH23" s="120">
        <f t="shared" si="31"/>
        <v>5.6573000000000005E-3</v>
      </c>
      <c r="DI23" s="120">
        <f t="shared" si="32"/>
        <v>1.2021762499999996E-5</v>
      </c>
      <c r="DJ23" s="120">
        <f t="shared" si="33"/>
        <v>2.6089490291262138E-6</v>
      </c>
      <c r="DK23" s="120" t="str">
        <f t="shared" si="34"/>
        <v>.</v>
      </c>
      <c r="DL23" s="120" t="str">
        <f t="shared" si="35"/>
        <v>.</v>
      </c>
      <c r="DM23" s="120" t="str">
        <f t="shared" si="36"/>
        <v>.</v>
      </c>
      <c r="DN23" s="120" t="str">
        <f t="shared" si="37"/>
        <v>.</v>
      </c>
      <c r="DO23" s="120" t="str">
        <f t="shared" si="38"/>
        <v>.</v>
      </c>
      <c r="DP23" s="120">
        <f t="shared" si="39"/>
        <v>3.5358124999999998E-5</v>
      </c>
      <c r="DQ23" s="120" t="str">
        <f t="shared" si="40"/>
        <v>.</v>
      </c>
      <c r="DR23" s="15">
        <f t="shared" si="41"/>
        <v>0.34915242899481047</v>
      </c>
      <c r="DS23" s="40">
        <f t="shared" si="42"/>
        <v>2500</v>
      </c>
      <c r="DT23" s="40">
        <f t="shared" si="43"/>
        <v>455.72916666666663</v>
      </c>
      <c r="DU23" s="40">
        <f t="shared" si="44"/>
        <v>0.22831050228310501</v>
      </c>
      <c r="DV23" s="40">
        <f>s_b2w!BZ23</f>
        <v>968.09332170462449</v>
      </c>
      <c r="DW23" s="40">
        <f>IFERROR(s_C*s_RadSpec!AI23*(1/1000)*s_IFFI_far_adj*s_CF_far_fish,0)</f>
        <v>55</v>
      </c>
      <c r="DX23" s="40">
        <f>(s_C*s_IFB_far_adj*s_CF_far_beef*s_RadSpec!AH23*s_Q_w_beef*(1/1000))</f>
        <v>0.11687500000000001</v>
      </c>
      <c r="DY23" s="40">
        <f>(s_C*s_IFD_far_adj*s_CF_far_dairy*s_RadSpec!AG23*(1/s_D_milk)*s_Q_w_dairy*(1/1000))</f>
        <v>2.5364077669902913E-2</v>
      </c>
      <c r="DZ23" s="40">
        <f>(s_C*s_IFSW_far_adj*s_CF_far_swine*s_RadSpec!AL23*s_Q_w_swine*(1/1000))</f>
        <v>0</v>
      </c>
      <c r="EA23" s="40">
        <f>(s_C*s_IFP_far_adj*s_CF_far_poultry*s_RadSpec!AJ23*s_Q_w_poultry*(1/1000))</f>
        <v>0</v>
      </c>
      <c r="EB23" s="40">
        <f>(s_C*s_IFE_far_adj*s_CF_far_egg*s_RadSpec!AK23*s_Q_w_egg*(1/1000))</f>
        <v>0</v>
      </c>
      <c r="EC23" s="40">
        <f>(s_C*s_IFGO_far_adj*s_CF_far_goat*s_RadSpec!AO23*s_Q_p_goat*(1/1000))</f>
        <v>0</v>
      </c>
      <c r="ED23" s="40">
        <f>(s_C*s_IFGM_far_adj*s_CF_far_goat_milk*s_RadSpec!AP23*(1/s_D_milk)*s_Q_p_goat_milk*(1/1000))</f>
        <v>0</v>
      </c>
      <c r="EE23" s="40">
        <f>(s_C*s_IFSH_far_adj*s_CF_far_sheep*s_RadSpec!AM23*s_Q_p_sheep*(1/1000))</f>
        <v>0.34375</v>
      </c>
      <c r="EF23" s="40">
        <f>(s_C*s_IFSM_far_adj*s_CF_far_sheep_milk*s_RadSpec!AN23*(1/s_D_milk)*s_Q_p_sheep_milk*(1/1000))</f>
        <v>0</v>
      </c>
      <c r="EG23" s="18"/>
      <c r="EH23" s="18"/>
      <c r="EI23" s="18"/>
      <c r="EJ23" s="18"/>
      <c r="EK23" s="18"/>
      <c r="EL23" s="18"/>
      <c r="EM23" s="18"/>
      <c r="EN23" s="18"/>
      <c r="EO23" s="18"/>
      <c r="EP23" s="18"/>
      <c r="EQ23" s="18"/>
      <c r="ER23" s="18"/>
      <c r="ES23" s="18"/>
      <c r="ET23" s="18"/>
      <c r="EU23" s="5"/>
      <c r="EV23" s="15">
        <f>IFERROR((s_TR/(s_RadSpec!G23*s_IFA_far_adj)),".")</f>
        <v>0.19482595041070733</v>
      </c>
      <c r="EW23" s="15">
        <f>IFERROR((s_TR/(s_RadSpec!J23*s_EF_far*(1/365)*s_ED_far*s_ET_far*(1/24)*s_GSF_a)),".")</f>
        <v>307474.13519150822</v>
      </c>
      <c r="EX23" s="15">
        <f t="shared" si="56"/>
        <v>0.19482582696251266</v>
      </c>
      <c r="EY23" s="40">
        <f t="shared" si="46"/>
        <v>911.45833333333326</v>
      </c>
      <c r="EZ23" s="40">
        <f t="shared" si="47"/>
        <v>0.57077625570776247</v>
      </c>
      <c r="FA23" s="122"/>
      <c r="FB23" s="122"/>
      <c r="FC23" s="122"/>
    </row>
    <row r="24" spans="1:159" customFormat="1" x14ac:dyDescent="0.25">
      <c r="A24" s="44" t="s">
        <v>34</v>
      </c>
      <c r="B24" s="42" t="s">
        <v>1074</v>
      </c>
      <c r="C24" s="15" t="str">
        <f>s_dir!AB24</f>
        <v>.</v>
      </c>
      <c r="D24" s="15" t="str">
        <f>IFERROR(s_TR/(s_RadSpec!E24*s_IFP_far_adj*s_CF_far_poultry),".")</f>
        <v>.</v>
      </c>
      <c r="E24" s="15" t="str">
        <f>IFERROR(s_TR/(s_RadSpec!E24*s_IFE_far_adj*s_CF_far_egg),".")</f>
        <v>.</v>
      </c>
      <c r="F24" s="15" t="str">
        <f>IFERROR(s_TR/(s_RadSpec!E24*s_IFB_far_adj*s_CF_far_beef),".")</f>
        <v>.</v>
      </c>
      <c r="G24" s="15" t="str">
        <f>IFERROR(s_TR/(s_RadSpec!E24*s_IFD_far_adj*s_CF_far_dairy),".")</f>
        <v>.</v>
      </c>
      <c r="H24" s="15" t="str">
        <f>IFERROR(s_TR/(s_RadSpec!E24*s_IFSW_far_adj*s_CF_far_swine),".")</f>
        <v>.</v>
      </c>
      <c r="I24" s="15" t="str">
        <f>IFERROR(s_TR/(s_RadSpec!E24*s_IFFI_far_adj*s_CF_far_fish),".")</f>
        <v>.</v>
      </c>
      <c r="J24" s="15" t="str">
        <f>IFERROR(s_TR/(s_RadSpec!E24*s_IFGO_far_adj*s_CF_far_goat),".")</f>
        <v>.</v>
      </c>
      <c r="K24" s="15" t="str">
        <f>IFERROR(s_TR/(s_RadSpec!E24*s_IFSH_far_adj*s_CF_far_sheep),".")</f>
        <v>.</v>
      </c>
      <c r="L24" s="15" t="str">
        <f>IFERROR(s_TR/(s_RadSpec!E24*s_IFGM_far_adj*s_CF_far_goat_milk),".")</f>
        <v>.</v>
      </c>
      <c r="M24" s="15" t="str">
        <f>IFERROR(s_TR/(s_RadSpec!E24*s_IFSM_far_adj*s_CF_far_sheep_milk),".")</f>
        <v>.</v>
      </c>
      <c r="N24" s="40">
        <f>s_dir!BA24</f>
        <v>55000</v>
      </c>
      <c r="O24" s="40">
        <f t="shared" si="0"/>
        <v>13750</v>
      </c>
      <c r="P24" s="40">
        <f t="shared" si="1"/>
        <v>13750</v>
      </c>
      <c r="Q24" s="40">
        <f t="shared" si="2"/>
        <v>13750</v>
      </c>
      <c r="R24" s="40">
        <f t="shared" si="3"/>
        <v>13750</v>
      </c>
      <c r="S24" s="40">
        <f t="shared" si="4"/>
        <v>13750</v>
      </c>
      <c r="T24" s="40">
        <f t="shared" si="5"/>
        <v>13750</v>
      </c>
      <c r="U24" s="40">
        <f t="shared" si="6"/>
        <v>13750</v>
      </c>
      <c r="V24" s="40">
        <f t="shared" si="7"/>
        <v>13750</v>
      </c>
      <c r="W24" s="40">
        <f t="shared" si="8"/>
        <v>13750</v>
      </c>
      <c r="X24" s="40">
        <f t="shared" si="9"/>
        <v>13750</v>
      </c>
      <c r="Y24" s="5"/>
      <c r="Z24" s="5"/>
      <c r="AA24" s="5"/>
      <c r="AB24" s="5"/>
      <c r="AC24" s="5"/>
      <c r="AD24" s="5"/>
      <c r="AE24" s="5"/>
      <c r="AF24" s="5"/>
      <c r="AG24" s="5"/>
      <c r="AH24" s="5"/>
      <c r="AI24" s="5"/>
      <c r="AJ24" s="45" t="str">
        <f>IFERROR((s_TR/(s_RadSpec!D24*s_IFS_far_adj*(1/1000)))*1,".")</f>
        <v>.</v>
      </c>
      <c r="AK24" s="45" t="str">
        <f>IFERROR(IF(A24="H-3",(s_TR/(s_RadSpec!G24*s_IFA_far_adj*(1/17)*1000))*1,(s_TR/(s_RadSpec!G24*s_IFA_far_adj*(1/s_PEF_wind)*1000))*1),".")</f>
        <v>.</v>
      </c>
      <c r="AL24" s="45">
        <f>IFERROR((s_TR/(s_RadSpec!F24*s_EF_far*(1/365)*s_ED_far*s_RadSpec!Q24*((s_ET_far_o*(1/24)*s_RadSpec!V24)+(s_ET_far_i*(1/24)*s_RadSpec!AA24))))*1,".")</f>
        <v>31055.666392455569</v>
      </c>
      <c r="AM24" s="45" t="str">
        <f>s_b2s!BA24</f>
        <v>.</v>
      </c>
      <c r="AN24" s="45" t="str">
        <f>IFERROR(((I24*s_RadSpec!AS24)/s_RadSpec!AI24)*1,".")</f>
        <v>.</v>
      </c>
      <c r="AO24" s="45" t="str">
        <f>IFERROR((F24/(s_RadSpec!AH24*((s_Q_p_beef*s_f_p_beef*s_f_s_beef*(s_RadSpec!BB24+s_R_es_past))+(s_Q_s_beef*s_f_p_beef))))*1,".")</f>
        <v>.</v>
      </c>
      <c r="AP24" s="45" t="str">
        <f>IFERROR(((G24*s_D_milk)/(s_RadSpec!AG24*((s_Q_p_dairy*s_f_p_dairy*s_f_s_dairy*(s_RadSpec!BB24+s_R_es_past))+(s_Q_s_dairy*s_f_p_dairy))))*1,".")</f>
        <v>.</v>
      </c>
      <c r="AQ24" s="45" t="str">
        <f>IFERROR((H24/(s_RadSpec!AL24*((s_Q_p_swine*s_f_p_swine*s_f_s_swine*(s_RadSpec!BB24+s_R_es_past))+(s_Q_s_swine*s_f_p_swine))))*1,".")</f>
        <v>.</v>
      </c>
      <c r="AR24" s="45" t="str">
        <f>IFERROR((D24/(s_RadSpec!AJ24*((s_Q_p_poultry*s_f_p_poultry*s_f_s_poultry*(s_RadSpec!BB24+s_R_es_past))+(s_Q_s_poultry*s_f_p_poultry))))*1,".")</f>
        <v>.</v>
      </c>
      <c r="AS24" s="45" t="str">
        <f>IFERROR((E24/(s_RadSpec!AK24*((s_Q_p_poultry*s_f_p_poultry*s_f_s_poultry*(s_RadSpec!BB24+s_R_es_past))+(s_Q_s_poultry*s_f_p_poultry))))*1,".")</f>
        <v>.</v>
      </c>
      <c r="AT24" s="45" t="str">
        <f>IFERROR((J24/(s_RadSpec!AO24*((s_Q_p_goat*s_f_p_goat*s_f_s_goat*(s_RadSpec!BB24+s_R_es_past))+(s_Q_s_goat*s_f_p_goat))))*1,".")</f>
        <v>.</v>
      </c>
      <c r="AU24" s="45" t="str">
        <f>IFERROR((L24*s_D_milk/(s_RadSpec!AP24*((s_Q_p_goat_milk*s_f_p_goat_milk*s_f_s_goat_milk*(s_RadSpec!BB24+s_R_es_past))+(s_Q_s_goat_milk*s_f_p_goat_milk))))*1,".")</f>
        <v>.</v>
      </c>
      <c r="AV24" s="45" t="str">
        <f>IFERROR((K24/(s_RadSpec!AM24*((s_Q_p_sheep*s_f_p_sheep*s_f_s_sheep*(s_RadSpec!BB24+s_R_es_past))+(s_Q_s_sheep*s_f_p_sheep))))*1,".")</f>
        <v>.</v>
      </c>
      <c r="AW24" s="45" t="str">
        <f>IFERROR((M24*s_D_milk/(s_RadSpec!AN24*((s_Q_p_sheep_milk*s_f_p_sheep_milk*s_f_s_sheep_milk*(s_RadSpec!BB24+s_R_es_past))+(s_Q_s_sheep_milk*s_f_p_sheep_milk))))*1,".")</f>
        <v>.</v>
      </c>
      <c r="AX24" s="120" t="str">
        <f t="shared" si="10"/>
        <v>.</v>
      </c>
      <c r="AY24" s="120" t="str">
        <f t="shared" si="11"/>
        <v>.</v>
      </c>
      <c r="AZ24" s="120">
        <f t="shared" si="12"/>
        <v>3.2200242859478055E-5</v>
      </c>
      <c r="BA24" s="120" t="str">
        <f t="shared" si="13"/>
        <v>.</v>
      </c>
      <c r="BB24" s="120" t="str">
        <f t="shared" si="14"/>
        <v>.</v>
      </c>
      <c r="BC24" s="120" t="str">
        <f t="shared" si="15"/>
        <v>.</v>
      </c>
      <c r="BD24" s="120" t="str">
        <f t="shared" si="16"/>
        <v>.</v>
      </c>
      <c r="BE24" s="120" t="str">
        <f t="shared" si="17"/>
        <v>.</v>
      </c>
      <c r="BF24" s="120" t="str">
        <f t="shared" si="18"/>
        <v>.</v>
      </c>
      <c r="BG24" s="120" t="str">
        <f t="shared" si="19"/>
        <v>.</v>
      </c>
      <c r="BH24" s="120" t="str">
        <f t="shared" si="20"/>
        <v>.</v>
      </c>
      <c r="BI24" s="120" t="str">
        <f t="shared" si="21"/>
        <v>.</v>
      </c>
      <c r="BJ24" s="120" t="str">
        <f t="shared" si="22"/>
        <v>.</v>
      </c>
      <c r="BK24" s="120" t="str">
        <f t="shared" si="23"/>
        <v>.</v>
      </c>
      <c r="BL24" s="15">
        <f t="shared" si="24"/>
        <v>31055.666392455569</v>
      </c>
      <c r="BM24" s="40">
        <f t="shared" si="25"/>
        <v>27.5</v>
      </c>
      <c r="BN24" s="40">
        <f t="shared" si="26"/>
        <v>2.9420495991003873E-3</v>
      </c>
      <c r="BO24" s="40">
        <f>IFERROR((s_C*s_EF_far*(1/365)*s_ED_far*s_RadSpec!Q24*((s_ET_far_o*(1/24)*s_RadSpec!V24)+(s_ET_far_i*(1/24)*s_RadSpec!AA24))),".")</f>
        <v>4.7547256447539578E-2</v>
      </c>
      <c r="BP24" s="40">
        <f>s_b2s!BZ24</f>
        <v>742.5</v>
      </c>
      <c r="BQ24" s="40">
        <f>IFERROR(((s_C*s_RadSpec!AI24)/s_RadSpec!AS24)*s_IFFI_far_adj*s_CF_far_fish,0)</f>
        <v>0</v>
      </c>
      <c r="BR24" s="40">
        <f>(s_C*s_IFB_far_adj*s_CF_far_beef*s_RadSpec!AH24*((s_Q_p_beef*s_f_p_beef*s_f_s_beef*(s_RadSpec!$AR24+s_R_es_past))+(s_Q_s_beef*s_f_p_beef)))</f>
        <v>0</v>
      </c>
      <c r="BS24" s="40">
        <f>(s_C*s_IFD_far_adj*s_CF_far_dairy*s_RadSpec!AG24*1/s_D_milk*((s_Q_p_dairy*s_f_p_dairy*s_f_s_dairy*(s_RadSpec!$AR24+s_R_es_past))+(s_Q_s_dairy*s_f_p_dairy)))</f>
        <v>0</v>
      </c>
      <c r="BT24" s="40">
        <f>(s_C*s_IFSW_far_adj*s_CF_far_swine*s_RadSpec!AL24*((s_Q_p_swine*s_f_p_swine*s_f_s_swine*(s_RadSpec!$AR24+s_R_es_past))+(s_Q_s_swine*s_f_p_swine)))</f>
        <v>0</v>
      </c>
      <c r="BU24" s="40">
        <f>(s_C*s_IFP_far_adj*s_CF_far_poultry*s_RadSpec!AJ24*((s_Q_p_poultry*s_f_p_poultry*s_f_s_poultry*(s_RadSpec!AR24+s_R_es_past))+(s_Q_s_poultry*s_f_p_poultry)))</f>
        <v>0</v>
      </c>
      <c r="BV24" s="40">
        <f>(s_C*s_IFE_far_adj*s_CF_far_egg*s_RadSpec!AK24*((s_Q_p_egg*s_f_p_egg*s_f_s_egg*(s_RadSpec!$AR24+s_R_es_past))+(s_Q_s_egg*s_f_p_egg)))</f>
        <v>0</v>
      </c>
      <c r="BW24" s="40">
        <f>(s_C*s_IFGO_far_adj*s_CF_far_goat*s_RadSpec!AO24*((s_Q_p_goat*s_f_p_goat*s_f_s_goat*(s_RadSpec!$AR24+s_R_es_past))+(s_Q_s_goat*s_f_p_goat)))</f>
        <v>0</v>
      </c>
      <c r="BX24" s="40">
        <f>(s_C*s_IFGM_far_adj*s_CF_far_goat_milk*s_RadSpec!AP24*1/s_D_milk*((s_Q_p_goat_milk*s_f_p_goat_milk*s_f_s_goat_milk*(s_RadSpec!$AR24+s_R_es_past))+(s_Q_s_goat_milk*s_f_p_goat_milk)))</f>
        <v>0</v>
      </c>
      <c r="BY24" s="40">
        <f>(s_C*s_IFSH_far_adj*s_CF_far_sheep*s_RadSpec!AM24*((s_Q_p_sheep*s_f_p_sheep*s_f_s_sheep*(s_RadSpec!$AR24+s_R_es_past))+(s_Q_s_sheep*s_f_p_sheep)))</f>
        <v>0</v>
      </c>
      <c r="BZ24" s="40">
        <f>(s_C*s_IFSM_far_adj*s_CF_far_sheep_milk*s_RadSpec!AN24*1/s_D_milk*((s_Q_p_sheep_milk*s_f_p_sheep_milk*s_f_s_sheep_milk*(s_RadSpec!$AR24+s_R_es_past))+(s_Q_s_sheep_milk*s_f_p_sheep_milk)))</f>
        <v>0</v>
      </c>
      <c r="CA24" s="18"/>
      <c r="CB24" s="18"/>
      <c r="CC24" s="18"/>
      <c r="CD24" s="18"/>
      <c r="CE24" s="18"/>
      <c r="CF24" s="18"/>
      <c r="CG24" s="18"/>
      <c r="CH24" s="18"/>
      <c r="CI24" s="18"/>
      <c r="CJ24" s="18"/>
      <c r="CK24" s="18"/>
      <c r="CL24" s="18"/>
      <c r="CM24" s="18"/>
      <c r="CN24" s="18"/>
      <c r="CO24" s="5"/>
      <c r="CP24" s="15" t="str">
        <f>IFERROR(s_TR/(s_RadSpec!H24*s_IFW_far_adj),".")</f>
        <v>.</v>
      </c>
      <c r="CQ24" s="15" t="str">
        <f>IFERROR(IF(s_RadSpec!C24=1,s_TR/(s_RadSpec!G24*s_IFA_far_adj*s_K),"."),".")</f>
        <v>.</v>
      </c>
      <c r="CR24" s="15">
        <f>IFERROR((s_TR/(s_RadSpec!L24*(1/8760)*s_DFA_far_adj)),".")</f>
        <v>3162887394.0441823</v>
      </c>
      <c r="CS24" s="15" t="str">
        <f>s_b2w!BA24</f>
        <v>.</v>
      </c>
      <c r="CT24" s="15" t="str">
        <f>IFERROR(I24/(s_RadSpec!AI24*(1/1000)),".")</f>
        <v>.</v>
      </c>
      <c r="CU24" s="15" t="str">
        <f>IFERROR(F24/(s_RadSpec!AH24*s_Q_w_beef*(1/1000)),".")</f>
        <v>.</v>
      </c>
      <c r="CV24" s="15" t="str">
        <f>IFERROR((G24*s_D_milk)/(s_RadSpec!AG24*s_Q_w_dairy*(1/1000)),".")</f>
        <v>.</v>
      </c>
      <c r="CW24" s="15" t="str">
        <f>IFERROR(H24/(s_RadSpec!AL24*s_Q_w_swine*(1/1000)),".")</f>
        <v>.</v>
      </c>
      <c r="CX24" s="15" t="str">
        <f>IFERROR(D24/(s_RadSpec!AJ24*s_Q_w_poultry*(1/1000)),".")</f>
        <v>.</v>
      </c>
      <c r="CY24" s="15" t="str">
        <f>IFERROR(E24/(s_RadSpec!AK24*s_Q_w_poultry*(1/1000)),".")</f>
        <v>.</v>
      </c>
      <c r="CZ24" s="15" t="str">
        <f>IFERROR(J24/(s_RadSpec!AO24*s_Q_w_goat*(1/1000)),".")</f>
        <v>.</v>
      </c>
      <c r="DA24" s="15" t="str">
        <f>IFERROR(L24*s_D_milk/(s_RadSpec!AP24*s_Q_w_goat_milk*(1/1000)),".")</f>
        <v>.</v>
      </c>
      <c r="DB24" s="15" t="str">
        <f>IFERROR(K24/(s_RadSpec!AM24*s_Q_w_sheep*(1/1000)),".")</f>
        <v>.</v>
      </c>
      <c r="DC24" s="15" t="str">
        <f>IFERROR(M24*s_D_milk/(s_RadSpec!AN24*s_Q_w_sheep_milk*(1/1000)),".")</f>
        <v>.</v>
      </c>
      <c r="DD24" s="120" t="str">
        <f t="shared" si="27"/>
        <v>.</v>
      </c>
      <c r="DE24" s="120" t="str">
        <f t="shared" si="28"/>
        <v>.</v>
      </c>
      <c r="DF24" s="120">
        <f t="shared" si="29"/>
        <v>3.1616680438356163E-10</v>
      </c>
      <c r="DG24" s="120" t="str">
        <f t="shared" si="30"/>
        <v>.</v>
      </c>
      <c r="DH24" s="120" t="str">
        <f t="shared" si="31"/>
        <v>.</v>
      </c>
      <c r="DI24" s="120" t="str">
        <f t="shared" si="32"/>
        <v>.</v>
      </c>
      <c r="DJ24" s="120" t="str">
        <f t="shared" si="33"/>
        <v>.</v>
      </c>
      <c r="DK24" s="120" t="str">
        <f t="shared" si="34"/>
        <v>.</v>
      </c>
      <c r="DL24" s="120" t="str">
        <f t="shared" si="35"/>
        <v>.</v>
      </c>
      <c r="DM24" s="120" t="str">
        <f t="shared" si="36"/>
        <v>.</v>
      </c>
      <c r="DN24" s="120" t="str">
        <f t="shared" si="37"/>
        <v>.</v>
      </c>
      <c r="DO24" s="120" t="str">
        <f t="shared" si="38"/>
        <v>.</v>
      </c>
      <c r="DP24" s="120" t="str">
        <f t="shared" si="39"/>
        <v>.</v>
      </c>
      <c r="DQ24" s="120" t="str">
        <f t="shared" si="40"/>
        <v>.</v>
      </c>
      <c r="DR24" s="15">
        <f t="shared" si="41"/>
        <v>3162887394.0441823</v>
      </c>
      <c r="DS24" s="40">
        <f t="shared" si="42"/>
        <v>2500</v>
      </c>
      <c r="DT24" s="40">
        <f t="shared" si="43"/>
        <v>455.72916666666663</v>
      </c>
      <c r="DU24" s="40">
        <f t="shared" si="44"/>
        <v>0.22831050228310501</v>
      </c>
      <c r="DV24" s="40">
        <f>s_b2w!BZ24</f>
        <v>0</v>
      </c>
      <c r="DW24" s="40">
        <f>IFERROR(s_C*s_RadSpec!AI24*(1/1000)*s_IFFI_far_adj*s_CF_far_fish,0)</f>
        <v>0</v>
      </c>
      <c r="DX24" s="40">
        <f>(s_C*s_IFB_far_adj*s_CF_far_beef*s_RadSpec!AH24*s_Q_w_beef*(1/1000))</f>
        <v>0</v>
      </c>
      <c r="DY24" s="40">
        <f>(s_C*s_IFD_far_adj*s_CF_far_dairy*s_RadSpec!AG24*(1/s_D_milk)*s_Q_w_dairy*(1/1000))</f>
        <v>0</v>
      </c>
      <c r="DZ24" s="40">
        <f>(s_C*s_IFSW_far_adj*s_CF_far_swine*s_RadSpec!AL24*s_Q_w_swine*(1/1000))</f>
        <v>0</v>
      </c>
      <c r="EA24" s="40">
        <f>(s_C*s_IFP_far_adj*s_CF_far_poultry*s_RadSpec!AJ24*s_Q_w_poultry*(1/1000))</f>
        <v>0</v>
      </c>
      <c r="EB24" s="40">
        <f>(s_C*s_IFE_far_adj*s_CF_far_egg*s_RadSpec!AK24*s_Q_w_egg*(1/1000))</f>
        <v>0</v>
      </c>
      <c r="EC24" s="40">
        <f>(s_C*s_IFGO_far_adj*s_CF_far_goat*s_RadSpec!AO24*s_Q_p_goat*(1/1000))</f>
        <v>0</v>
      </c>
      <c r="ED24" s="40">
        <f>(s_C*s_IFGM_far_adj*s_CF_far_goat_milk*s_RadSpec!AP24*(1/s_D_milk)*s_Q_p_goat_milk*(1/1000))</f>
        <v>0</v>
      </c>
      <c r="EE24" s="40">
        <f>(s_C*s_IFSH_far_adj*s_CF_far_sheep*s_RadSpec!AM24*s_Q_p_sheep*(1/1000))</f>
        <v>0</v>
      </c>
      <c r="EF24" s="40">
        <f>(s_C*s_IFSM_far_adj*s_CF_far_sheep_milk*s_RadSpec!AN24*(1/s_D_milk)*s_Q_p_sheep_milk*(1/1000))</f>
        <v>0</v>
      </c>
      <c r="EG24" s="18"/>
      <c r="EH24" s="18"/>
      <c r="EI24" s="18"/>
      <c r="EJ24" s="18"/>
      <c r="EK24" s="18"/>
      <c r="EL24" s="18"/>
      <c r="EM24" s="18"/>
      <c r="EN24" s="18"/>
      <c r="EO24" s="18"/>
      <c r="EP24" s="18"/>
      <c r="EQ24" s="18"/>
      <c r="ER24" s="18"/>
      <c r="ES24" s="18"/>
      <c r="ET24" s="18"/>
      <c r="EU24" s="5"/>
      <c r="EV24" s="15" t="str">
        <f>IFERROR((s_TR/(s_RadSpec!G24*s_IFA_far_adj)),".")</f>
        <v>.</v>
      </c>
      <c r="EW24" s="15">
        <f>IFERROR((s_TR/(s_RadSpec!J24*s_EF_far*(1/365)*s_ED_far*s_ET_far*(1/24)*s_GSF_a)),".")</f>
        <v>2748120.4757043221</v>
      </c>
      <c r="EX24" s="15">
        <f t="shared" ref="EX24:EX25" si="57">IFERROR(IF(AND(ISNUMBER(EV24),ISNUMBER(EW24)),1/((1/EV24)+(1/EW24)),IF(AND(ISNUMBER(EV24),NOT(ISNUMBER(EW24))),1/((1/EV24)),IF(AND(NOT(ISNUMBER(EV24)),ISNUMBER(EW24)),1/((1/EW24)),IF(AND(NOT(ISNUMBER(EV24)),NOT(ISNUMBER(EW24))),".")))),".")</f>
        <v>2748120.4757043221</v>
      </c>
      <c r="EY24" s="40">
        <f t="shared" si="46"/>
        <v>911.45833333333326</v>
      </c>
      <c r="EZ24" s="40">
        <f t="shared" si="47"/>
        <v>0.57077625570776247</v>
      </c>
      <c r="FA24" s="122"/>
      <c r="FB24" s="122"/>
      <c r="FC24" s="122"/>
    </row>
    <row r="25" spans="1:159" customFormat="1" x14ac:dyDescent="0.25">
      <c r="A25" s="46" t="s">
        <v>35</v>
      </c>
      <c r="B25" s="42" t="s">
        <v>351</v>
      </c>
      <c r="C25" s="15" t="str">
        <f>s_dir!AB25</f>
        <v>.</v>
      </c>
      <c r="D25" s="15" t="str">
        <f>IFERROR(s_TR/(s_RadSpec!E25*s_IFP_far_adj*s_CF_far_poultry),".")</f>
        <v>.</v>
      </c>
      <c r="E25" s="15" t="str">
        <f>IFERROR(s_TR/(s_RadSpec!E25*s_IFE_far_adj*s_CF_far_egg),".")</f>
        <v>.</v>
      </c>
      <c r="F25" s="15" t="str">
        <f>IFERROR(s_TR/(s_RadSpec!E25*s_IFB_far_adj*s_CF_far_beef),".")</f>
        <v>.</v>
      </c>
      <c r="G25" s="15" t="str">
        <f>IFERROR(s_TR/(s_RadSpec!E25*s_IFD_far_adj*s_CF_far_dairy),".")</f>
        <v>.</v>
      </c>
      <c r="H25" s="15" t="str">
        <f>IFERROR(s_TR/(s_RadSpec!E25*s_IFSW_far_adj*s_CF_far_swine),".")</f>
        <v>.</v>
      </c>
      <c r="I25" s="15" t="str">
        <f>IFERROR(s_TR/(s_RadSpec!E25*s_IFFI_far_adj*s_CF_far_fish),".")</f>
        <v>.</v>
      </c>
      <c r="J25" s="15" t="str">
        <f>IFERROR(s_TR/(s_RadSpec!E25*s_IFGO_far_adj*s_CF_far_goat),".")</f>
        <v>.</v>
      </c>
      <c r="K25" s="15" t="str">
        <f>IFERROR(s_TR/(s_RadSpec!E25*s_IFSH_far_adj*s_CF_far_sheep),".")</f>
        <v>.</v>
      </c>
      <c r="L25" s="15" t="str">
        <f>IFERROR(s_TR/(s_RadSpec!E25*s_IFGM_far_adj*s_CF_far_goat_milk),".")</f>
        <v>.</v>
      </c>
      <c r="M25" s="15" t="str">
        <f>IFERROR(s_TR/(s_RadSpec!E25*s_IFSM_far_adj*s_CF_far_sheep_milk),".")</f>
        <v>.</v>
      </c>
      <c r="N25" s="40">
        <f>s_dir!BA25</f>
        <v>55000</v>
      </c>
      <c r="O25" s="40">
        <f t="shared" si="0"/>
        <v>13750</v>
      </c>
      <c r="P25" s="40">
        <f t="shared" si="1"/>
        <v>13750</v>
      </c>
      <c r="Q25" s="40">
        <f t="shared" si="2"/>
        <v>13750</v>
      </c>
      <c r="R25" s="40">
        <f t="shared" si="3"/>
        <v>13750</v>
      </c>
      <c r="S25" s="40">
        <f t="shared" si="4"/>
        <v>13750</v>
      </c>
      <c r="T25" s="40">
        <f t="shared" si="5"/>
        <v>13750</v>
      </c>
      <c r="U25" s="40">
        <f t="shared" si="6"/>
        <v>13750</v>
      </c>
      <c r="V25" s="40">
        <f t="shared" si="7"/>
        <v>13750</v>
      </c>
      <c r="W25" s="40">
        <f t="shared" si="8"/>
        <v>13750</v>
      </c>
      <c r="X25" s="40">
        <f t="shared" si="9"/>
        <v>13750</v>
      </c>
      <c r="Y25" s="5"/>
      <c r="Z25" s="5"/>
      <c r="AA25" s="5"/>
      <c r="AB25" s="5"/>
      <c r="AC25" s="5"/>
      <c r="AD25" s="5"/>
      <c r="AE25" s="5"/>
      <c r="AF25" s="5"/>
      <c r="AG25" s="5"/>
      <c r="AH25" s="5"/>
      <c r="AI25" s="5"/>
      <c r="AJ25" s="45" t="str">
        <f>IFERROR((s_TR/(s_RadSpec!D25*s_IFS_far_adj*(1/1000)))*1,".")</f>
        <v>.</v>
      </c>
      <c r="AK25" s="45">
        <f>IFERROR(IF(A25="H-3",(s_TR/(s_RadSpec!G25*s_IFA_far_adj*(1/17)*1000))*1,(s_TR/(s_RadSpec!G25*s_IFA_far_adj*(1/s_PEF_wind)*1000))*1),".")</f>
        <v>745392755.04087865</v>
      </c>
      <c r="AL25" s="45">
        <f>IFERROR((s_TR/(s_RadSpec!F25*s_EF_far*(1/365)*s_ED_far*s_RadSpec!Q25*((s_ET_far_o*(1/24)*s_RadSpec!V25)+(s_ET_far_i*(1/24)*s_RadSpec!AA25))))*1,".")</f>
        <v>69264.357648274017</v>
      </c>
      <c r="AM25" s="45" t="str">
        <f>s_b2s!BA25</f>
        <v>.</v>
      </c>
      <c r="AN25" s="45" t="str">
        <f>IFERROR(((I25*s_RadSpec!AS25)/s_RadSpec!AI25)*1,".")</f>
        <v>.</v>
      </c>
      <c r="AO25" s="45" t="str">
        <f>IFERROR((F25/(s_RadSpec!AH25*((s_Q_p_beef*s_f_p_beef*s_f_s_beef*(s_RadSpec!BB25+s_R_es_past))+(s_Q_s_beef*s_f_p_beef))))*1,".")</f>
        <v>.</v>
      </c>
      <c r="AP25" s="45" t="str">
        <f>IFERROR(((G25*s_D_milk)/(s_RadSpec!AG25*((s_Q_p_dairy*s_f_p_dairy*s_f_s_dairy*(s_RadSpec!BB25+s_R_es_past))+(s_Q_s_dairy*s_f_p_dairy))))*1,".")</f>
        <v>.</v>
      </c>
      <c r="AQ25" s="45" t="str">
        <f>IFERROR((H25/(s_RadSpec!AL25*((s_Q_p_swine*s_f_p_swine*s_f_s_swine*(s_RadSpec!BB25+s_R_es_past))+(s_Q_s_swine*s_f_p_swine))))*1,".")</f>
        <v>.</v>
      </c>
      <c r="AR25" s="45" t="str">
        <f>IFERROR((D25/(s_RadSpec!AJ25*((s_Q_p_poultry*s_f_p_poultry*s_f_s_poultry*(s_RadSpec!BB25+s_R_es_past))+(s_Q_s_poultry*s_f_p_poultry))))*1,".")</f>
        <v>.</v>
      </c>
      <c r="AS25" s="45" t="str">
        <f>IFERROR((E25/(s_RadSpec!AK25*((s_Q_p_poultry*s_f_p_poultry*s_f_s_poultry*(s_RadSpec!BB25+s_R_es_past))+(s_Q_s_poultry*s_f_p_poultry))))*1,".")</f>
        <v>.</v>
      </c>
      <c r="AT25" s="45" t="str">
        <f>IFERROR((J25/(s_RadSpec!AO25*((s_Q_p_goat*s_f_p_goat*s_f_s_goat*(s_RadSpec!BB25+s_R_es_past))+(s_Q_s_goat*s_f_p_goat))))*1,".")</f>
        <v>.</v>
      </c>
      <c r="AU25" s="45" t="str">
        <f>IFERROR((L25*s_D_milk/(s_RadSpec!AP25*((s_Q_p_goat_milk*s_f_p_goat_milk*s_f_s_goat_milk*(s_RadSpec!BB25+s_R_es_past))+(s_Q_s_goat_milk*s_f_p_goat_milk))))*1,".")</f>
        <v>.</v>
      </c>
      <c r="AV25" s="45" t="str">
        <f>IFERROR((K25/(s_RadSpec!AM25*((s_Q_p_sheep*s_f_p_sheep*s_f_s_sheep*(s_RadSpec!BB25+s_R_es_past))+(s_Q_s_sheep*s_f_p_sheep))))*1,".")</f>
        <v>.</v>
      </c>
      <c r="AW25" s="45" t="str">
        <f>IFERROR((M25*s_D_milk/(s_RadSpec!AN25*((s_Q_p_sheep_milk*s_f_p_sheep_milk*s_f_s_sheep_milk*(s_RadSpec!BB25+s_R_es_past))+(s_Q_s_sheep_milk*s_f_p_sheep_milk))))*1,".")</f>
        <v>.</v>
      </c>
      <c r="AX25" s="120" t="str">
        <f t="shared" si="10"/>
        <v>.</v>
      </c>
      <c r="AY25" s="120">
        <f t="shared" si="11"/>
        <v>1.341574617189777E-9</v>
      </c>
      <c r="AZ25" s="120">
        <f t="shared" si="12"/>
        <v>1.4437439889041096E-5</v>
      </c>
      <c r="BA25" s="120" t="str">
        <f t="shared" si="13"/>
        <v>.</v>
      </c>
      <c r="BB25" s="120" t="str">
        <f t="shared" si="14"/>
        <v>.</v>
      </c>
      <c r="BC25" s="120" t="str">
        <f t="shared" si="15"/>
        <v>.</v>
      </c>
      <c r="BD25" s="120" t="str">
        <f t="shared" si="16"/>
        <v>.</v>
      </c>
      <c r="BE25" s="120" t="str">
        <f t="shared" si="17"/>
        <v>.</v>
      </c>
      <c r="BF25" s="120" t="str">
        <f t="shared" si="18"/>
        <v>.</v>
      </c>
      <c r="BG25" s="120" t="str">
        <f t="shared" si="19"/>
        <v>.</v>
      </c>
      <c r="BH25" s="120" t="str">
        <f t="shared" si="20"/>
        <v>.</v>
      </c>
      <c r="BI25" s="120" t="str">
        <f t="shared" si="21"/>
        <v>.</v>
      </c>
      <c r="BJ25" s="120" t="str">
        <f t="shared" si="22"/>
        <v>.</v>
      </c>
      <c r="BK25" s="120" t="str">
        <f t="shared" si="23"/>
        <v>.</v>
      </c>
      <c r="BL25" s="15">
        <f t="shared" si="24"/>
        <v>69257.921973329372</v>
      </c>
      <c r="BM25" s="40">
        <f t="shared" si="25"/>
        <v>27.5</v>
      </c>
      <c r="BN25" s="40">
        <f t="shared" si="26"/>
        <v>2.9420495991003873E-3</v>
      </c>
      <c r="BO25" s="40">
        <f>IFERROR((s_C*s_EF_far*(1/365)*s_ED_far*s_RadSpec!Q25*((s_ET_far_o*(1/24)*s_RadSpec!V25)+(s_ET_far_i*(1/24)*s_RadSpec!AA25))),".")</f>
        <v>4.2636986301369854E-2</v>
      </c>
      <c r="BP25" s="40">
        <f>s_b2s!BZ25</f>
        <v>742.5</v>
      </c>
      <c r="BQ25" s="40">
        <f>IFERROR(((s_C*s_RadSpec!AI25)/s_RadSpec!AS25)*s_IFFI_far_adj*s_CF_far_fish,0)</f>
        <v>0</v>
      </c>
      <c r="BR25" s="40">
        <f>(s_C*s_IFB_far_adj*s_CF_far_beef*s_RadSpec!AH25*((s_Q_p_beef*s_f_p_beef*s_f_s_beef*(s_RadSpec!$AR25+s_R_es_past))+(s_Q_s_beef*s_f_p_beef)))</f>
        <v>0</v>
      </c>
      <c r="BS25" s="40">
        <f>(s_C*s_IFD_far_adj*s_CF_far_dairy*s_RadSpec!AG25*1/s_D_milk*((s_Q_p_dairy*s_f_p_dairy*s_f_s_dairy*(s_RadSpec!$AR25+s_R_es_past))+(s_Q_s_dairy*s_f_p_dairy)))</f>
        <v>0</v>
      </c>
      <c r="BT25" s="40">
        <f>(s_C*s_IFSW_far_adj*s_CF_far_swine*s_RadSpec!AL25*((s_Q_p_swine*s_f_p_swine*s_f_s_swine*(s_RadSpec!$AR25+s_R_es_past))+(s_Q_s_swine*s_f_p_swine)))</f>
        <v>0</v>
      </c>
      <c r="BU25" s="40">
        <f>(s_C*s_IFP_far_adj*s_CF_far_poultry*s_RadSpec!AJ25*((s_Q_p_poultry*s_f_p_poultry*s_f_s_poultry*(s_RadSpec!AR25+s_R_es_past))+(s_Q_s_poultry*s_f_p_poultry)))</f>
        <v>0</v>
      </c>
      <c r="BV25" s="40">
        <f>(s_C*s_IFE_far_adj*s_CF_far_egg*s_RadSpec!AK25*((s_Q_p_egg*s_f_p_egg*s_f_s_egg*(s_RadSpec!$AR25+s_R_es_past))+(s_Q_s_egg*s_f_p_egg)))</f>
        <v>0</v>
      </c>
      <c r="BW25" s="40">
        <f>(s_C*s_IFGO_far_adj*s_CF_far_goat*s_RadSpec!AO25*((s_Q_p_goat*s_f_p_goat*s_f_s_goat*(s_RadSpec!$AR25+s_R_es_past))+(s_Q_s_goat*s_f_p_goat)))</f>
        <v>0</v>
      </c>
      <c r="BX25" s="40">
        <f>(s_C*s_IFGM_far_adj*s_CF_far_goat_milk*s_RadSpec!AP25*1/s_D_milk*((s_Q_p_goat_milk*s_f_p_goat_milk*s_f_s_goat_milk*(s_RadSpec!$AR25+s_R_es_past))+(s_Q_s_goat_milk*s_f_p_goat_milk)))</f>
        <v>0</v>
      </c>
      <c r="BY25" s="40">
        <f>(s_C*s_IFSH_far_adj*s_CF_far_sheep*s_RadSpec!AM25*((s_Q_p_sheep*s_f_p_sheep*s_f_s_sheep*(s_RadSpec!$AR25+s_R_es_past))+(s_Q_s_sheep*s_f_p_sheep)))</f>
        <v>0</v>
      </c>
      <c r="BZ25" s="40">
        <f>(s_C*s_IFSM_far_adj*s_CF_far_sheep_milk*s_RadSpec!AN25*1/s_D_milk*((s_Q_p_sheep_milk*s_f_p_sheep_milk*s_f_s_sheep_milk*(s_RadSpec!$AR25+s_R_es_past))+(s_Q_s_sheep_milk*s_f_p_sheep_milk)))</f>
        <v>0</v>
      </c>
      <c r="CA25" s="18"/>
      <c r="CB25" s="18"/>
      <c r="CC25" s="18"/>
      <c r="CD25" s="18"/>
      <c r="CE25" s="18"/>
      <c r="CF25" s="18"/>
      <c r="CG25" s="18"/>
      <c r="CH25" s="18"/>
      <c r="CI25" s="18"/>
      <c r="CJ25" s="18"/>
      <c r="CK25" s="18"/>
      <c r="CL25" s="18"/>
      <c r="CM25" s="18"/>
      <c r="CN25" s="18"/>
      <c r="CO25" s="5"/>
      <c r="CP25" s="15" t="str">
        <f>IFERROR(s_TR/(s_RadSpec!H25*s_IFW_far_adj),".")</f>
        <v>.</v>
      </c>
      <c r="CQ25" s="15">
        <f>IFERROR(IF(s_RadSpec!C25=1,s_TR/(s_RadSpec!G25*s_IFA_far_adj*s_K),"."),".")</f>
        <v>4812.0300751879695</v>
      </c>
      <c r="CR25" s="15">
        <f>IFERROR((s_TR/(s_RadSpec!L25*(1/8760)*s_DFA_far_adj)),".")</f>
        <v>6231203404.2132893</v>
      </c>
      <c r="CS25" s="15" t="str">
        <f>s_b2w!BA25</f>
        <v>.</v>
      </c>
      <c r="CT25" s="15" t="str">
        <f>IFERROR(I25/(s_RadSpec!AI25*(1/1000)),".")</f>
        <v>.</v>
      </c>
      <c r="CU25" s="15" t="str">
        <f>IFERROR(F25/(s_RadSpec!AH25*s_Q_w_beef*(1/1000)),".")</f>
        <v>.</v>
      </c>
      <c r="CV25" s="15" t="str">
        <f>IFERROR((G25*s_D_milk)/(s_RadSpec!AG25*s_Q_w_dairy*(1/1000)),".")</f>
        <v>.</v>
      </c>
      <c r="CW25" s="15" t="str">
        <f>IFERROR(H25/(s_RadSpec!AL25*s_Q_w_swine*(1/1000)),".")</f>
        <v>.</v>
      </c>
      <c r="CX25" s="15" t="str">
        <f>IFERROR(D25/(s_RadSpec!AJ25*s_Q_w_poultry*(1/1000)),".")</f>
        <v>.</v>
      </c>
      <c r="CY25" s="15" t="str">
        <f>IFERROR(E25/(s_RadSpec!AK25*s_Q_w_poultry*(1/1000)),".")</f>
        <v>.</v>
      </c>
      <c r="CZ25" s="15" t="str">
        <f>IFERROR(J25/(s_RadSpec!AO25*s_Q_w_goat*(1/1000)),".")</f>
        <v>.</v>
      </c>
      <c r="DA25" s="15" t="str">
        <f>IFERROR(L25*s_D_milk/(s_RadSpec!AP25*s_Q_w_goat_milk*(1/1000)),".")</f>
        <v>.</v>
      </c>
      <c r="DB25" s="15" t="str">
        <f>IFERROR(K25/(s_RadSpec!AM25*s_Q_w_sheep*(1/1000)),".")</f>
        <v>.</v>
      </c>
      <c r="DC25" s="15" t="str">
        <f>IFERROR(M25*s_D_milk/(s_RadSpec!AN25*s_Q_w_sheep_milk*(1/1000)),".")</f>
        <v>.</v>
      </c>
      <c r="DD25" s="120" t="str">
        <f t="shared" si="27"/>
        <v>.</v>
      </c>
      <c r="DE25" s="120">
        <f t="shared" si="28"/>
        <v>2.0781250000000002E-4</v>
      </c>
      <c r="DF25" s="120">
        <f t="shared" si="29"/>
        <v>1.6048264438356163E-10</v>
      </c>
      <c r="DG25" s="120" t="str">
        <f t="shared" si="30"/>
        <v>.</v>
      </c>
      <c r="DH25" s="120" t="str">
        <f t="shared" si="31"/>
        <v>.</v>
      </c>
      <c r="DI25" s="120" t="str">
        <f t="shared" si="32"/>
        <v>.</v>
      </c>
      <c r="DJ25" s="120" t="str">
        <f t="shared" si="33"/>
        <v>.</v>
      </c>
      <c r="DK25" s="120" t="str">
        <f t="shared" si="34"/>
        <v>.</v>
      </c>
      <c r="DL25" s="120" t="str">
        <f t="shared" si="35"/>
        <v>.</v>
      </c>
      <c r="DM25" s="120" t="str">
        <f t="shared" si="36"/>
        <v>.</v>
      </c>
      <c r="DN25" s="120" t="str">
        <f t="shared" si="37"/>
        <v>.</v>
      </c>
      <c r="DO25" s="120" t="str">
        <f t="shared" si="38"/>
        <v>.</v>
      </c>
      <c r="DP25" s="120" t="str">
        <f t="shared" si="39"/>
        <v>.</v>
      </c>
      <c r="DQ25" s="120" t="str">
        <f t="shared" si="40"/>
        <v>.</v>
      </c>
      <c r="DR25" s="15">
        <f t="shared" si="41"/>
        <v>4812.0263591135517</v>
      </c>
      <c r="DS25" s="40">
        <f t="shared" si="42"/>
        <v>2500</v>
      </c>
      <c r="DT25" s="40">
        <f t="shared" si="43"/>
        <v>455.72916666666663</v>
      </c>
      <c r="DU25" s="40">
        <f t="shared" si="44"/>
        <v>0.22831050228310501</v>
      </c>
      <c r="DV25" s="40">
        <f>s_b2w!BZ25</f>
        <v>0</v>
      </c>
      <c r="DW25" s="40">
        <f>IFERROR(s_C*s_RadSpec!AI25*(1/1000)*s_IFFI_far_adj*s_CF_far_fish,0)</f>
        <v>0</v>
      </c>
      <c r="DX25" s="40">
        <f>(s_C*s_IFB_far_adj*s_CF_far_beef*s_RadSpec!AH25*s_Q_w_beef*(1/1000))</f>
        <v>0</v>
      </c>
      <c r="DY25" s="40">
        <f>(s_C*s_IFD_far_adj*s_CF_far_dairy*s_RadSpec!AG25*(1/s_D_milk)*s_Q_w_dairy*(1/1000))</f>
        <v>0</v>
      </c>
      <c r="DZ25" s="40">
        <f>(s_C*s_IFSW_far_adj*s_CF_far_swine*s_RadSpec!AL25*s_Q_w_swine*(1/1000))</f>
        <v>0</v>
      </c>
      <c r="EA25" s="40">
        <f>(s_C*s_IFP_far_adj*s_CF_far_poultry*s_RadSpec!AJ25*s_Q_w_poultry*(1/1000))</f>
        <v>0</v>
      </c>
      <c r="EB25" s="40">
        <f>(s_C*s_IFE_far_adj*s_CF_far_egg*s_RadSpec!AK25*s_Q_w_egg*(1/1000))</f>
        <v>0</v>
      </c>
      <c r="EC25" s="40">
        <f>(s_C*s_IFGO_far_adj*s_CF_far_goat*s_RadSpec!AO25*s_Q_p_goat*(1/1000))</f>
        <v>0</v>
      </c>
      <c r="ED25" s="40">
        <f>(s_C*s_IFGM_far_adj*s_CF_far_goat_milk*s_RadSpec!AP25*(1/s_D_milk)*s_Q_p_goat_milk*(1/1000))</f>
        <v>0</v>
      </c>
      <c r="EE25" s="40">
        <f>(s_C*s_IFSH_far_adj*s_CF_far_sheep*s_RadSpec!AM25*s_Q_p_sheep*(1/1000))</f>
        <v>0</v>
      </c>
      <c r="EF25" s="40">
        <f>(s_C*s_IFSM_far_adj*s_CF_far_sheep_milk*s_RadSpec!AN25*(1/s_D_milk)*s_Q_p_sheep_milk*(1/1000))</f>
        <v>0</v>
      </c>
      <c r="EG25" s="18"/>
      <c r="EH25" s="18"/>
      <c r="EI25" s="18"/>
      <c r="EJ25" s="18"/>
      <c r="EK25" s="18"/>
      <c r="EL25" s="18"/>
      <c r="EM25" s="18"/>
      <c r="EN25" s="18"/>
      <c r="EO25" s="18"/>
      <c r="EP25" s="18"/>
      <c r="EQ25" s="18"/>
      <c r="ER25" s="18"/>
      <c r="ES25" s="18"/>
      <c r="ET25" s="18"/>
      <c r="EU25" s="5"/>
      <c r="EV25" s="15">
        <f>IFERROR((s_TR/(s_RadSpec!G25*s_IFA_far_adj)),".")</f>
        <v>2406.0150375939847</v>
      </c>
      <c r="EW25" s="15">
        <f>IFERROR((s_TR/(s_RadSpec!J25*s_EF_far*(1/365)*s_ED_far*s_ET_far*(1/24)*s_GSF_a)),".")</f>
        <v>5397387.6968869064</v>
      </c>
      <c r="EX25" s="15">
        <f t="shared" si="57"/>
        <v>2404.942976572775</v>
      </c>
      <c r="EY25" s="40">
        <f t="shared" si="46"/>
        <v>911.45833333333326</v>
      </c>
      <c r="EZ25" s="40">
        <f t="shared" si="47"/>
        <v>0.57077625570776247</v>
      </c>
      <c r="FA25" s="122"/>
      <c r="FB25" s="122"/>
      <c r="FC25" s="122"/>
    </row>
    <row r="26" spans="1:159" customFormat="1" x14ac:dyDescent="0.25">
      <c r="A26" s="44" t="s">
        <v>36</v>
      </c>
      <c r="B26" s="42" t="s">
        <v>1074</v>
      </c>
      <c r="C26" s="15">
        <f>s_dir!AB26</f>
        <v>0.31299394356719196</v>
      </c>
      <c r="D26" s="15">
        <f>IFERROR(s_TR/(s_RadSpec!E26*s_IFP_far_adj*s_CF_far_poultry),".")</f>
        <v>1.2519757742687678</v>
      </c>
      <c r="E26" s="15">
        <f>IFERROR(s_TR/(s_RadSpec!E26*s_IFE_far_adj*s_CF_far_egg),".")</f>
        <v>1.2519757742687678</v>
      </c>
      <c r="F26" s="15">
        <f>IFERROR(s_TR/(s_RadSpec!E26*s_IFB_far_adj*s_CF_far_beef),".")</f>
        <v>1.2519757742687678</v>
      </c>
      <c r="G26" s="15">
        <f>IFERROR(s_TR/(s_RadSpec!E26*s_IFD_far_adj*s_CF_far_dairy),".")</f>
        <v>1.2519757742687678</v>
      </c>
      <c r="H26" s="15">
        <f>IFERROR(s_TR/(s_RadSpec!E26*s_IFSW_far_adj*s_CF_far_swine),".")</f>
        <v>1.2519757742687678</v>
      </c>
      <c r="I26" s="15">
        <f>IFERROR(s_TR/(s_RadSpec!E26*s_IFFI_far_adj*s_CF_far_fish),".")</f>
        <v>1.2519757742687678</v>
      </c>
      <c r="J26" s="15">
        <f>IFERROR(s_TR/(s_RadSpec!E26*s_IFGO_far_adj*s_CF_far_goat),".")</f>
        <v>1.2519757742687678</v>
      </c>
      <c r="K26" s="15">
        <f>IFERROR(s_TR/(s_RadSpec!E26*s_IFSH_far_adj*s_CF_far_sheep),".")</f>
        <v>1.2519757742687678</v>
      </c>
      <c r="L26" s="15">
        <f>IFERROR(s_TR/(s_RadSpec!E26*s_IFGM_far_adj*s_CF_far_goat_milk),".")</f>
        <v>1.2519757742687678</v>
      </c>
      <c r="M26" s="15">
        <f>IFERROR(s_TR/(s_RadSpec!E26*s_IFSM_far_adj*s_CF_far_sheep_milk),".")</f>
        <v>1.2519757742687678</v>
      </c>
      <c r="N26" s="40">
        <f>s_dir!BA26</f>
        <v>55000</v>
      </c>
      <c r="O26" s="40">
        <f t="shared" si="0"/>
        <v>13750</v>
      </c>
      <c r="P26" s="40">
        <f t="shared" si="1"/>
        <v>13750</v>
      </c>
      <c r="Q26" s="40">
        <f t="shared" si="2"/>
        <v>13750</v>
      </c>
      <c r="R26" s="40">
        <f t="shared" si="3"/>
        <v>13750</v>
      </c>
      <c r="S26" s="40">
        <f t="shared" si="4"/>
        <v>13750</v>
      </c>
      <c r="T26" s="40">
        <f t="shared" si="5"/>
        <v>13750</v>
      </c>
      <c r="U26" s="40">
        <f t="shared" si="6"/>
        <v>13750</v>
      </c>
      <c r="V26" s="40">
        <f t="shared" si="7"/>
        <v>13750</v>
      </c>
      <c r="W26" s="40">
        <f t="shared" si="8"/>
        <v>13750</v>
      </c>
      <c r="X26" s="40">
        <f t="shared" si="9"/>
        <v>13750</v>
      </c>
      <c r="Y26" s="5"/>
      <c r="Z26" s="5"/>
      <c r="AA26" s="5"/>
      <c r="AB26" s="5"/>
      <c r="AC26" s="5"/>
      <c r="AD26" s="5"/>
      <c r="AE26" s="5"/>
      <c r="AF26" s="5"/>
      <c r="AG26" s="5"/>
      <c r="AH26" s="5"/>
      <c r="AI26" s="5"/>
      <c r="AJ26" s="45">
        <f>IFERROR((s_TR/(s_RadSpec!D26*s_IFS_far_adj*(1/1000)))*1,".")</f>
        <v>472.50047250047243</v>
      </c>
      <c r="AK26" s="45">
        <f>IFERROR(IF(A26="H-3",(s_TR/(s_RadSpec!G26*s_IFA_far_adj*(1/17)*1000))*1,(s_TR/(s_RadSpec!G26*s_IFA_far_adj*(1/s_PEF_wind)*1000))*1),".")</f>
        <v>9731.4216759803221</v>
      </c>
      <c r="AL26" s="45">
        <f>IFERROR((s_TR/(s_RadSpec!F26*s_EF_far*(1/365)*s_ED_far*s_RadSpec!Q26*((s_ET_far_o*(1/24)*s_RadSpec!V26)+(s_ET_far_i*(1/24)*s_RadSpec!AA26))))*1,".")</f>
        <v>2851.9758471044811</v>
      </c>
      <c r="AM26" s="45">
        <f>s_b2s!BA26</f>
        <v>21.600686236521188</v>
      </c>
      <c r="AN26" s="45">
        <f>IFERROR(((I26*s_RadSpec!AS26)/s_RadSpec!AI26)*1,".")</f>
        <v>4.1732525808958929</v>
      </c>
      <c r="AO26" s="45">
        <f>IFERROR((F26/(s_RadSpec!AH26*((s_Q_p_beef*s_f_p_beef*s_f_s_beef*(s_RadSpec!BB26+s_R_es_past))+(s_Q_s_beef*s_f_p_beef))))*1,".")</f>
        <v>61.996196373685542</v>
      </c>
      <c r="AP26" s="45">
        <f>IFERROR(((G26*s_D_milk)/(s_RadSpec!AG26*((s_Q_p_dairy*s_f_p_dairy*s_f_s_dairy*(s_RadSpec!BB26+s_R_es_past))+(s_Q_s_dairy*s_f_p_dairy))))*1,".")</f>
        <v>2937.3797841852211</v>
      </c>
      <c r="AQ26" s="45" t="str">
        <f>IFERROR((H26/(s_RadSpec!AL26*((s_Q_p_swine*s_f_p_swine*s_f_s_swine*(s_RadSpec!BB26+s_R_es_past))+(s_Q_s_swine*s_f_p_swine))))*1,".")</f>
        <v>.</v>
      </c>
      <c r="AR26" s="45" t="str">
        <f>IFERROR((D26/(s_RadSpec!AJ26*((s_Q_p_poultry*s_f_p_poultry*s_f_s_poultry*(s_RadSpec!BB26+s_R_es_past))+(s_Q_s_poultry*s_f_p_poultry))))*1,".")</f>
        <v>.</v>
      </c>
      <c r="AS26" s="45" t="str">
        <f>IFERROR((E26/(s_RadSpec!AK26*((s_Q_p_poultry*s_f_p_poultry*s_f_s_poultry*(s_RadSpec!BB26+s_R_es_past))+(s_Q_s_poultry*s_f_p_poultry))))*1,".")</f>
        <v>.</v>
      </c>
      <c r="AT26" s="45" t="str">
        <f>IFERROR((J26/(s_RadSpec!AO26*((s_Q_p_goat*s_f_p_goat*s_f_s_goat*(s_RadSpec!BB26+s_R_es_past))+(s_Q_s_goat*s_f_p_goat))))*1,".")</f>
        <v>.</v>
      </c>
      <c r="AU26" s="45" t="str">
        <f>IFERROR((L26*s_D_milk/(s_RadSpec!AP26*((s_Q_p_goat_milk*s_f_p_goat_milk*s_f_s_goat_milk*(s_RadSpec!BB26+s_R_es_past))+(s_Q_s_goat_milk*s_f_p_goat_milk))))*1,".")</f>
        <v>.</v>
      </c>
      <c r="AV26" s="45">
        <f>IFERROR((K26/(s_RadSpec!AM26*((s_Q_p_sheep*s_f_p_sheep*s_f_s_sheep*(s_RadSpec!BB26+s_R_es_past))+(s_Q_s_sheep*s_f_p_sheep))))*1,".")</f>
        <v>14.259125165947674</v>
      </c>
      <c r="AW26" s="45" t="str">
        <f>IFERROR((M26*s_D_milk/(s_RadSpec!AN26*((s_Q_p_sheep_milk*s_f_p_sheep_milk*s_f_s_sheep_milk*(s_RadSpec!BB26+s_R_es_past))+(s_Q_s_sheep_milk*s_f_p_sheep_milk))))*1,".")</f>
        <v>.</v>
      </c>
      <c r="AX26" s="120">
        <f t="shared" si="10"/>
        <v>2.1164000000000005E-3</v>
      </c>
      <c r="AY26" s="120">
        <f t="shared" si="11"/>
        <v>1.0275990839737835E-4</v>
      </c>
      <c r="AZ26" s="120">
        <f t="shared" si="12"/>
        <v>3.5063410547998423E-4</v>
      </c>
      <c r="BA26" s="120">
        <f t="shared" si="13"/>
        <v>4.6294825499999998E-2</v>
      </c>
      <c r="BB26" s="120">
        <f t="shared" si="14"/>
        <v>0.23962125000000001</v>
      </c>
      <c r="BC26" s="120">
        <f t="shared" si="15"/>
        <v>1.613002181573276E-2</v>
      </c>
      <c r="BD26" s="120">
        <f t="shared" si="16"/>
        <v>3.4043946424087713E-4</v>
      </c>
      <c r="BE26" s="120" t="str">
        <f t="shared" si="17"/>
        <v>.</v>
      </c>
      <c r="BF26" s="120" t="str">
        <f t="shared" si="18"/>
        <v>.</v>
      </c>
      <c r="BG26" s="120" t="str">
        <f t="shared" si="19"/>
        <v>.</v>
      </c>
      <c r="BH26" s="120" t="str">
        <f t="shared" si="20"/>
        <v>.</v>
      </c>
      <c r="BI26" s="120" t="str">
        <f t="shared" si="21"/>
        <v>.</v>
      </c>
      <c r="BJ26" s="120">
        <f t="shared" si="22"/>
        <v>7.0130529633620695E-2</v>
      </c>
      <c r="BK26" s="120" t="str">
        <f t="shared" si="23"/>
        <v>.</v>
      </c>
      <c r="BL26" s="15">
        <f t="shared" si="24"/>
        <v>2.6660491355531337</v>
      </c>
      <c r="BM26" s="40">
        <f t="shared" si="25"/>
        <v>27.5</v>
      </c>
      <c r="BN26" s="40">
        <f t="shared" si="26"/>
        <v>2.9420495991003873E-3</v>
      </c>
      <c r="BO26" s="40">
        <f>IFERROR((s_C*s_EF_far*(1/365)*s_ED_far*s_RadSpec!Q26*((s_ET_far_o*(1/24)*s_RadSpec!V26)+(s_ET_far_i*(1/24)*s_RadSpec!AA26))),".")</f>
        <v>7.8201888549009196E-3</v>
      </c>
      <c r="BP26" s="40">
        <f>s_b2s!BZ26</f>
        <v>796.95</v>
      </c>
      <c r="BQ26" s="40">
        <f>IFERROR(((s_C*s_RadSpec!AI26)/s_RadSpec!AS26)*s_IFFI_far_adj*s_CF_far_fish,0)</f>
        <v>4125</v>
      </c>
      <c r="BR26" s="40">
        <f>(s_C*s_IFB_far_adj*s_CF_far_beef*s_RadSpec!AH26*((s_Q_p_beef*s_f_p_beef*s_f_s_beef*(s_RadSpec!$AR26+s_R_es_past))+(s_Q_s_beef*s_f_p_beef)))</f>
        <v>277.67295258620692</v>
      </c>
      <c r="BS26" s="40">
        <f>(s_C*s_IFD_far_adj*s_CF_far_dairy*s_RadSpec!AG26*1/s_D_milk*((s_Q_p_dairy*s_f_p_dairy*s_f_s_dairy*(s_RadSpec!$AR26+s_R_es_past))+(s_Q_s_dairy*s_f_p_dairy)))</f>
        <v>5.8605519752259791</v>
      </c>
      <c r="BT26" s="40">
        <f>(s_C*s_IFSW_far_adj*s_CF_far_swine*s_RadSpec!AL26*((s_Q_p_swine*s_f_p_swine*s_f_s_swine*(s_RadSpec!$AR26+s_R_es_past))+(s_Q_s_swine*s_f_p_swine)))</f>
        <v>0</v>
      </c>
      <c r="BU26" s="40">
        <f>(s_C*s_IFP_far_adj*s_CF_far_poultry*s_RadSpec!AJ26*((s_Q_p_poultry*s_f_p_poultry*s_f_s_poultry*(s_RadSpec!AR26+s_R_es_past))+(s_Q_s_poultry*s_f_p_poultry)))</f>
        <v>0</v>
      </c>
      <c r="BV26" s="40">
        <f>(s_C*s_IFE_far_adj*s_CF_far_egg*s_RadSpec!AK26*((s_Q_p_egg*s_f_p_egg*s_f_s_egg*(s_RadSpec!$AR26+s_R_es_past))+(s_Q_s_egg*s_f_p_egg)))</f>
        <v>0</v>
      </c>
      <c r="BW26" s="40">
        <f>(s_C*s_IFGO_far_adj*s_CF_far_goat*s_RadSpec!AO26*((s_Q_p_goat*s_f_p_goat*s_f_s_goat*(s_RadSpec!$AR26+s_R_es_past))+(s_Q_s_goat*s_f_p_goat)))</f>
        <v>0</v>
      </c>
      <c r="BX26" s="40">
        <f>(s_C*s_IFGM_far_adj*s_CF_far_goat_milk*s_RadSpec!AP26*1/s_D_milk*((s_Q_p_goat_milk*s_f_p_goat_milk*s_f_s_goat_milk*(s_RadSpec!$AR26+s_R_es_past))+(s_Q_s_goat_milk*s_f_p_goat_milk)))</f>
        <v>0</v>
      </c>
      <c r="BY26" s="40">
        <f>(s_C*s_IFSH_far_adj*s_CF_far_sheep*s_RadSpec!AM26*((s_Q_p_sheep*s_f_p_sheep*s_f_s_sheep*(s_RadSpec!$AR26+s_R_es_past))+(s_Q_s_sheep*s_f_p_sheep)))</f>
        <v>1207.2737068965516</v>
      </c>
      <c r="BZ26" s="40">
        <f>(s_C*s_IFSM_far_adj*s_CF_far_sheep_milk*s_RadSpec!AN26*1/s_D_milk*((s_Q_p_sheep_milk*s_f_p_sheep_milk*s_f_s_sheep_milk*(s_RadSpec!$AR26+s_R_es_past))+(s_Q_s_sheep_milk*s_f_p_sheep_milk)))</f>
        <v>0</v>
      </c>
      <c r="CA26" s="18"/>
      <c r="CB26" s="18"/>
      <c r="CC26" s="18"/>
      <c r="CD26" s="18"/>
      <c r="CE26" s="18"/>
      <c r="CF26" s="18"/>
      <c r="CG26" s="18"/>
      <c r="CH26" s="18"/>
      <c r="CI26" s="18"/>
      <c r="CJ26" s="18"/>
      <c r="CK26" s="18"/>
      <c r="CL26" s="18"/>
      <c r="CM26" s="18"/>
      <c r="CN26" s="18"/>
      <c r="CO26" s="5"/>
      <c r="CP26" s="15">
        <f>IFERROR(s_TR/(s_RadSpec!H26*s_IFW_far_adj),".")</f>
        <v>8.9493466976910678</v>
      </c>
      <c r="CQ26" s="15" t="str">
        <f>IFERROR(IF(s_RadSpec!C26=1,s_TR/(s_RadSpec!G26*s_IFA_far_adj*s_K),"."),".")</f>
        <v>.</v>
      </c>
      <c r="CR26" s="15">
        <f>IFERROR((s_TR/(s_RadSpec!L26*(1/8760)*s_DFA_far_adj)),".")</f>
        <v>32790073.857835665</v>
      </c>
      <c r="CS26" s="15">
        <f>s_b2w!BA26</f>
        <v>26.316338563956215</v>
      </c>
      <c r="CT26" s="15">
        <f>IFERROR(I26/(s_RadSpec!AI26*(1/1000)),".")</f>
        <v>208.66262904479464</v>
      </c>
      <c r="CU26" s="15">
        <f>IFERROR(F26/(s_RadSpec!AH26*s_Q_w_beef*(1/1000)),".")</f>
        <v>1088674.5863206678</v>
      </c>
      <c r="CV26" s="15">
        <f>IFERROR((G26*s_D_milk)/(s_RadSpec!AG26*s_Q_w_dairy*(1/1000)),".")</f>
        <v>51581401.899873227</v>
      </c>
      <c r="CW26" s="15" t="str">
        <f>IFERROR(H26/(s_RadSpec!AL26*s_Q_w_swine*(1/1000)),".")</f>
        <v>.</v>
      </c>
      <c r="CX26" s="15" t="str">
        <f>IFERROR(D26/(s_RadSpec!AJ26*s_Q_w_poultry*(1/1000)),".")</f>
        <v>.</v>
      </c>
      <c r="CY26" s="15" t="str">
        <f>IFERROR(E26/(s_RadSpec!AK26*s_Q_w_poultry*(1/1000)),".")</f>
        <v>.</v>
      </c>
      <c r="CZ26" s="15" t="str">
        <f>IFERROR(J26/(s_RadSpec!AO26*s_Q_w_goat*(1/1000)),".")</f>
        <v>.</v>
      </c>
      <c r="DA26" s="15" t="str">
        <f>IFERROR(L26*s_D_milk/(s_RadSpec!AP26*s_Q_w_goat_milk*(1/1000)),".")</f>
        <v>.</v>
      </c>
      <c r="DB26" s="15">
        <f>IFERROR(K26/(s_RadSpec!AM26*s_Q_w_sheep*(1/1000)),".")</f>
        <v>250395.15485375354</v>
      </c>
      <c r="DC26" s="15" t="str">
        <f>IFERROR(M26*s_D_milk/(s_RadSpec!AN26*s_Q_w_sheep_milk*(1/1000)),".")</f>
        <v>.</v>
      </c>
      <c r="DD26" s="120">
        <f t="shared" si="27"/>
        <v>0.11174000000000001</v>
      </c>
      <c r="DE26" s="120" t="str">
        <f t="shared" si="28"/>
        <v>.</v>
      </c>
      <c r="DF26" s="120">
        <f t="shared" si="29"/>
        <v>3.0497034082191778E-8</v>
      </c>
      <c r="DG26" s="120">
        <f t="shared" si="30"/>
        <v>3.7999207130190796E-2</v>
      </c>
      <c r="DH26" s="120">
        <f t="shared" si="31"/>
        <v>4.7924250000000003E-3</v>
      </c>
      <c r="DI26" s="120">
        <f t="shared" si="32"/>
        <v>9.1854812499999995E-7</v>
      </c>
      <c r="DJ26" s="120">
        <f t="shared" si="33"/>
        <v>1.938683252427185E-8</v>
      </c>
      <c r="DK26" s="120" t="str">
        <f t="shared" si="34"/>
        <v>.</v>
      </c>
      <c r="DL26" s="120" t="str">
        <f t="shared" si="35"/>
        <v>.</v>
      </c>
      <c r="DM26" s="120" t="str">
        <f t="shared" si="36"/>
        <v>.</v>
      </c>
      <c r="DN26" s="120" t="str">
        <f t="shared" si="37"/>
        <v>.</v>
      </c>
      <c r="DO26" s="120" t="str">
        <f t="shared" si="38"/>
        <v>.</v>
      </c>
      <c r="DP26" s="120">
        <f t="shared" si="39"/>
        <v>3.9936875000000004E-6</v>
      </c>
      <c r="DQ26" s="120" t="str">
        <f t="shared" si="40"/>
        <v>.</v>
      </c>
      <c r="DR26" s="15">
        <f t="shared" si="41"/>
        <v>6.47095922396423</v>
      </c>
      <c r="DS26" s="40">
        <f t="shared" si="42"/>
        <v>2500</v>
      </c>
      <c r="DT26" s="40">
        <f t="shared" si="43"/>
        <v>455.72916666666663</v>
      </c>
      <c r="DU26" s="40">
        <f t="shared" si="44"/>
        <v>0.22831050228310501</v>
      </c>
      <c r="DV26" s="40">
        <f>s_b2w!BZ26</f>
        <v>654.14369306577362</v>
      </c>
      <c r="DW26" s="40">
        <f>IFERROR(s_C*s_RadSpec!AI26*(1/1000)*s_IFFI_far_adj*s_CF_far_fish,0)</f>
        <v>82.5</v>
      </c>
      <c r="DX26" s="40">
        <f>(s_C*s_IFB_far_adj*s_CF_far_beef*s_RadSpec!AH26*s_Q_w_beef*(1/1000))</f>
        <v>1.58125E-2</v>
      </c>
      <c r="DY26" s="40">
        <f>(s_C*s_IFD_far_adj*s_CF_far_dairy*s_RadSpec!AG26*(1/s_D_milk)*s_Q_w_dairy*(1/1000))</f>
        <v>3.3373786407767E-4</v>
      </c>
      <c r="DZ26" s="40">
        <f>(s_C*s_IFSW_far_adj*s_CF_far_swine*s_RadSpec!AL26*s_Q_w_swine*(1/1000))</f>
        <v>0</v>
      </c>
      <c r="EA26" s="40">
        <f>(s_C*s_IFP_far_adj*s_CF_far_poultry*s_RadSpec!AJ26*s_Q_w_poultry*(1/1000))</f>
        <v>0</v>
      </c>
      <c r="EB26" s="40">
        <f>(s_C*s_IFE_far_adj*s_CF_far_egg*s_RadSpec!AK26*s_Q_w_egg*(1/1000))</f>
        <v>0</v>
      </c>
      <c r="EC26" s="40">
        <f>(s_C*s_IFGO_far_adj*s_CF_far_goat*s_RadSpec!AO26*s_Q_p_goat*(1/1000))</f>
        <v>0</v>
      </c>
      <c r="ED26" s="40">
        <f>(s_C*s_IFGM_far_adj*s_CF_far_goat_milk*s_RadSpec!AP26*(1/s_D_milk)*s_Q_p_goat_milk*(1/1000))</f>
        <v>0</v>
      </c>
      <c r="EE26" s="40">
        <f>(s_C*s_IFSH_far_adj*s_CF_far_sheep*s_RadSpec!AM26*s_Q_p_sheep*(1/1000))</f>
        <v>6.8750000000000006E-2</v>
      </c>
      <c r="EF26" s="40">
        <f>(s_C*s_IFSM_far_adj*s_CF_far_sheep_milk*s_RadSpec!AN26*(1/s_D_milk)*s_Q_p_sheep_milk*(1/1000))</f>
        <v>0</v>
      </c>
      <c r="EG26" s="18"/>
      <c r="EH26" s="18"/>
      <c r="EI26" s="18"/>
      <c r="EJ26" s="18"/>
      <c r="EK26" s="18"/>
      <c r="EL26" s="18"/>
      <c r="EM26" s="18"/>
      <c r="EN26" s="18"/>
      <c r="EO26" s="18"/>
      <c r="EP26" s="18"/>
      <c r="EQ26" s="18"/>
      <c r="ER26" s="18"/>
      <c r="ES26" s="18"/>
      <c r="ET26" s="18"/>
      <c r="EU26" s="5"/>
      <c r="EV26" s="15">
        <f>IFERROR((s_TR/(s_RadSpec!G26*s_IFA_far_adj)),".")</f>
        <v>3.1411556835285646E-2</v>
      </c>
      <c r="EW26" s="15">
        <f>IFERROR((s_TR/(s_RadSpec!J26*s_EF_far*(1/365)*s_ED_far*s_ET_far*(1/24)*s_GSF_a)),".")</f>
        <v>29192.09688199533</v>
      </c>
      <c r="EX26" s="15">
        <f t="shared" ref="EX26:EX29" si="58">IFERROR(IF(AND(ISNUMBER(EV26),ISNUMBER(EW26)),1/((1/EV26)+(1/EW26)),IF(AND(ISNUMBER(EV26),NOT(ISNUMBER(EW26))),1/((1/EV26)),IF(AND(NOT(ISNUMBER(EV26)),ISNUMBER(EW26)),1/((1/EW26)),IF(AND(NOT(ISNUMBER(EV26)),NOT(ISNUMBER(EW26))),".")))),".")</f>
        <v>3.1411523035560843E-2</v>
      </c>
      <c r="EY26" s="40">
        <f t="shared" si="46"/>
        <v>911.45833333333326</v>
      </c>
      <c r="EZ26" s="40">
        <f t="shared" si="47"/>
        <v>0.57077625570776247</v>
      </c>
      <c r="FA26" s="122"/>
      <c r="FB26" s="122"/>
      <c r="FC26" s="122"/>
    </row>
    <row r="27" spans="1:159" customFormat="1" x14ac:dyDescent="0.25">
      <c r="A27" s="44" t="s">
        <v>37</v>
      </c>
      <c r="B27" s="42" t="s">
        <v>1074</v>
      </c>
      <c r="C27" s="15" t="str">
        <f>s_dir!AB27</f>
        <v>.</v>
      </c>
      <c r="D27" s="15" t="str">
        <f>IFERROR(s_TR/(s_RadSpec!E27*s_IFP_far_adj*s_CF_far_poultry),".")</f>
        <v>.</v>
      </c>
      <c r="E27" s="15" t="str">
        <f>IFERROR(s_TR/(s_RadSpec!E27*s_IFE_far_adj*s_CF_far_egg),".")</f>
        <v>.</v>
      </c>
      <c r="F27" s="15" t="str">
        <f>IFERROR(s_TR/(s_RadSpec!E27*s_IFB_far_adj*s_CF_far_beef),".")</f>
        <v>.</v>
      </c>
      <c r="G27" s="15" t="str">
        <f>IFERROR(s_TR/(s_RadSpec!E27*s_IFD_far_adj*s_CF_far_dairy),".")</f>
        <v>.</v>
      </c>
      <c r="H27" s="15" t="str">
        <f>IFERROR(s_TR/(s_RadSpec!E27*s_IFSW_far_adj*s_CF_far_swine),".")</f>
        <v>.</v>
      </c>
      <c r="I27" s="15" t="str">
        <f>IFERROR(s_TR/(s_RadSpec!E27*s_IFFI_far_adj*s_CF_far_fish),".")</f>
        <v>.</v>
      </c>
      <c r="J27" s="15" t="str">
        <f>IFERROR(s_TR/(s_RadSpec!E27*s_IFGO_far_adj*s_CF_far_goat),".")</f>
        <v>.</v>
      </c>
      <c r="K27" s="15" t="str">
        <f>IFERROR(s_TR/(s_RadSpec!E27*s_IFSH_far_adj*s_CF_far_sheep),".")</f>
        <v>.</v>
      </c>
      <c r="L27" s="15" t="str">
        <f>IFERROR(s_TR/(s_RadSpec!E27*s_IFGM_far_adj*s_CF_far_goat_milk),".")</f>
        <v>.</v>
      </c>
      <c r="M27" s="15" t="str">
        <f>IFERROR(s_TR/(s_RadSpec!E27*s_IFSM_far_adj*s_CF_far_sheep_milk),".")</f>
        <v>.</v>
      </c>
      <c r="N27" s="40">
        <f>s_dir!BA27</f>
        <v>55000</v>
      </c>
      <c r="O27" s="40">
        <f t="shared" si="0"/>
        <v>13750</v>
      </c>
      <c r="P27" s="40">
        <f t="shared" si="1"/>
        <v>13750</v>
      </c>
      <c r="Q27" s="40">
        <f t="shared" si="2"/>
        <v>13750</v>
      </c>
      <c r="R27" s="40">
        <f t="shared" si="3"/>
        <v>13750</v>
      </c>
      <c r="S27" s="40">
        <f t="shared" si="4"/>
        <v>13750</v>
      </c>
      <c r="T27" s="40">
        <f t="shared" si="5"/>
        <v>13750</v>
      </c>
      <c r="U27" s="40">
        <f t="shared" si="6"/>
        <v>13750</v>
      </c>
      <c r="V27" s="40">
        <f t="shared" si="7"/>
        <v>13750</v>
      </c>
      <c r="W27" s="40">
        <f t="shared" si="8"/>
        <v>13750</v>
      </c>
      <c r="X27" s="40">
        <f t="shared" si="9"/>
        <v>13750</v>
      </c>
      <c r="Y27" s="5"/>
      <c r="Z27" s="5"/>
      <c r="AA27" s="5"/>
      <c r="AB27" s="5"/>
      <c r="AC27" s="5"/>
      <c r="AD27" s="5"/>
      <c r="AE27" s="5"/>
      <c r="AF27" s="5"/>
      <c r="AG27" s="5"/>
      <c r="AH27" s="5"/>
      <c r="AI27" s="5"/>
      <c r="AJ27" s="45" t="str">
        <f>IFERROR((s_TR/(s_RadSpec!D27*s_IFS_far_adj*(1/1000)))*1,".")</f>
        <v>.</v>
      </c>
      <c r="AK27" s="45" t="str">
        <f>IFERROR(IF(A27="H-3",(s_TR/(s_RadSpec!G27*s_IFA_far_adj*(1/17)*1000))*1,(s_TR/(s_RadSpec!G27*s_IFA_far_adj*(1/s_PEF_wind)*1000))*1),".")</f>
        <v>.</v>
      </c>
      <c r="AL27" s="45">
        <f>IFERROR((s_TR/(s_RadSpec!F27*s_EF_far*(1/365)*s_ED_far*s_RadSpec!Q27*((s_ET_far_o*(1/24)*s_RadSpec!V27)+(s_ET_far_i*(1/24)*s_RadSpec!AA27))))*1,".")</f>
        <v>22059.674129050964</v>
      </c>
      <c r="AM27" s="45" t="str">
        <f>s_b2s!BA27</f>
        <v>.</v>
      </c>
      <c r="AN27" s="45" t="str">
        <f>IFERROR(((I27*s_RadSpec!AS27)/s_RadSpec!AI27)*1,".")</f>
        <v>.</v>
      </c>
      <c r="AO27" s="45" t="str">
        <f>IFERROR((F27/(s_RadSpec!AH27*((s_Q_p_beef*s_f_p_beef*s_f_s_beef*(s_RadSpec!BB27+s_R_es_past))+(s_Q_s_beef*s_f_p_beef))))*1,".")</f>
        <v>.</v>
      </c>
      <c r="AP27" s="45" t="str">
        <f>IFERROR(((G27*s_D_milk)/(s_RadSpec!AG27*((s_Q_p_dairy*s_f_p_dairy*s_f_s_dairy*(s_RadSpec!BB27+s_R_es_past))+(s_Q_s_dairy*s_f_p_dairy))))*1,".")</f>
        <v>.</v>
      </c>
      <c r="AQ27" s="45" t="str">
        <f>IFERROR((H27/(s_RadSpec!AL27*((s_Q_p_swine*s_f_p_swine*s_f_s_swine*(s_RadSpec!BB27+s_R_es_past))+(s_Q_s_swine*s_f_p_swine))))*1,".")</f>
        <v>.</v>
      </c>
      <c r="AR27" s="45" t="str">
        <f>IFERROR((D27/(s_RadSpec!AJ27*((s_Q_p_poultry*s_f_p_poultry*s_f_s_poultry*(s_RadSpec!BB27+s_R_es_past))+(s_Q_s_poultry*s_f_p_poultry))))*1,".")</f>
        <v>.</v>
      </c>
      <c r="AS27" s="45" t="str">
        <f>IFERROR((E27/(s_RadSpec!AK27*((s_Q_p_poultry*s_f_p_poultry*s_f_s_poultry*(s_RadSpec!BB27+s_R_es_past))+(s_Q_s_poultry*s_f_p_poultry))))*1,".")</f>
        <v>.</v>
      </c>
      <c r="AT27" s="45" t="str">
        <f>IFERROR((J27/(s_RadSpec!AO27*((s_Q_p_goat*s_f_p_goat*s_f_s_goat*(s_RadSpec!BB27+s_R_es_past))+(s_Q_s_goat*s_f_p_goat))))*1,".")</f>
        <v>.</v>
      </c>
      <c r="AU27" s="45" t="str">
        <f>IFERROR((L27*s_D_milk/(s_RadSpec!AP27*((s_Q_p_goat_milk*s_f_p_goat_milk*s_f_s_goat_milk*(s_RadSpec!BB27+s_R_es_past))+(s_Q_s_goat_milk*s_f_p_goat_milk))))*1,".")</f>
        <v>.</v>
      </c>
      <c r="AV27" s="45" t="str">
        <f>IFERROR((K27/(s_RadSpec!AM27*((s_Q_p_sheep*s_f_p_sheep*s_f_s_sheep*(s_RadSpec!BB27+s_R_es_past))+(s_Q_s_sheep*s_f_p_sheep))))*1,".")</f>
        <v>.</v>
      </c>
      <c r="AW27" s="45" t="str">
        <f>IFERROR((M27*s_D_milk/(s_RadSpec!AN27*((s_Q_p_sheep_milk*s_f_p_sheep_milk*s_f_s_sheep_milk*(s_RadSpec!BB27+s_R_es_past))+(s_Q_s_sheep_milk*s_f_p_sheep_milk))))*1,".")</f>
        <v>.</v>
      </c>
      <c r="AX27" s="120" t="str">
        <f t="shared" si="10"/>
        <v>.</v>
      </c>
      <c r="AY27" s="120" t="str">
        <f t="shared" si="11"/>
        <v>.</v>
      </c>
      <c r="AZ27" s="120">
        <f t="shared" si="12"/>
        <v>4.5331585323967853E-5</v>
      </c>
      <c r="BA27" s="120" t="str">
        <f t="shared" si="13"/>
        <v>.</v>
      </c>
      <c r="BB27" s="120" t="str">
        <f t="shared" si="14"/>
        <v>.</v>
      </c>
      <c r="BC27" s="120" t="str">
        <f t="shared" si="15"/>
        <v>.</v>
      </c>
      <c r="BD27" s="120" t="str">
        <f t="shared" si="16"/>
        <v>.</v>
      </c>
      <c r="BE27" s="120" t="str">
        <f t="shared" si="17"/>
        <v>.</v>
      </c>
      <c r="BF27" s="120" t="str">
        <f t="shared" si="18"/>
        <v>.</v>
      </c>
      <c r="BG27" s="120" t="str">
        <f t="shared" si="19"/>
        <v>.</v>
      </c>
      <c r="BH27" s="120" t="str">
        <f t="shared" si="20"/>
        <v>.</v>
      </c>
      <c r="BI27" s="120" t="str">
        <f t="shared" si="21"/>
        <v>.</v>
      </c>
      <c r="BJ27" s="120" t="str">
        <f t="shared" si="22"/>
        <v>.</v>
      </c>
      <c r="BK27" s="120" t="str">
        <f t="shared" si="23"/>
        <v>.</v>
      </c>
      <c r="BL27" s="15">
        <f t="shared" si="24"/>
        <v>22059.674129050964</v>
      </c>
      <c r="BM27" s="40">
        <f t="shared" si="25"/>
        <v>27.5</v>
      </c>
      <c r="BN27" s="40">
        <f t="shared" si="26"/>
        <v>2.9420495991003873E-3</v>
      </c>
      <c r="BO27" s="40">
        <f>IFERROR((s_C*s_EF_far*(1/365)*s_ED_far*s_RadSpec!Q27*((s_ET_far_o*(1/24)*s_RadSpec!V27)+(s_ET_far_i*(1/24)*s_RadSpec!AA27))),".")</f>
        <v>3.7116202172886137E-2</v>
      </c>
      <c r="BP27" s="40">
        <f>s_b2s!BZ27</f>
        <v>6254.6</v>
      </c>
      <c r="BQ27" s="40">
        <f>IFERROR(((s_C*s_RadSpec!AI27)/s_RadSpec!AS27)*s_IFFI_far_adj*s_CF_far_fish,0)</f>
        <v>8250</v>
      </c>
      <c r="BR27" s="40">
        <f>(s_C*s_IFB_far_adj*s_CF_far_beef*s_RadSpec!AH27*((s_Q_p_beef*s_f_p_beef*s_f_s_beef*(s_RadSpec!$AR27+s_R_es_past))+(s_Q_s_beef*s_f_p_beef)))</f>
        <v>44687.5</v>
      </c>
      <c r="BS27" s="40">
        <f>(s_C*s_IFD_far_adj*s_CF_far_dairy*s_RadSpec!AG27*1/s_D_milk*((s_Q_p_dairy*s_f_p_dairy*s_f_s_dairy*(s_RadSpec!$AR27+s_R_es_past))+(s_Q_s_dairy*s_f_p_dairy)))</f>
        <v>6507.8883495145637</v>
      </c>
      <c r="BT27" s="40">
        <f>(s_C*s_IFSW_far_adj*s_CF_far_swine*s_RadSpec!AL27*((s_Q_p_swine*s_f_p_swine*s_f_s_swine*(s_RadSpec!$AR27+s_R_es_past))+(s_Q_s_swine*s_f_p_swine)))</f>
        <v>0</v>
      </c>
      <c r="BU27" s="40">
        <f>(s_C*s_IFP_far_adj*s_CF_far_poultry*s_RadSpec!AJ27*((s_Q_p_poultry*s_f_p_poultry*s_f_s_poultry*(s_RadSpec!AR27+s_R_es_past))+(s_Q_s_poultry*s_f_p_poultry)))</f>
        <v>0</v>
      </c>
      <c r="BV27" s="40">
        <f>(s_C*s_IFE_far_adj*s_CF_far_egg*s_RadSpec!AK27*((s_Q_p_egg*s_f_p_egg*s_f_s_egg*(s_RadSpec!$AR27+s_R_es_past))+(s_Q_s_egg*s_f_p_egg)))</f>
        <v>0</v>
      </c>
      <c r="BW27" s="40">
        <f>(s_C*s_IFGO_far_adj*s_CF_far_goat*s_RadSpec!AO27*((s_Q_p_goat*s_f_p_goat*s_f_s_goat*(s_RadSpec!$AR27+s_R_es_past))+(s_Q_s_goat*s_f_p_goat)))</f>
        <v>0</v>
      </c>
      <c r="BX27" s="40">
        <f>(s_C*s_IFGM_far_adj*s_CF_far_goat_milk*s_RadSpec!AP27*1/s_D_milk*((s_Q_p_goat_milk*s_f_p_goat_milk*s_f_s_goat_milk*(s_RadSpec!$AR27+s_R_es_past))+(s_Q_s_goat_milk*s_f_p_goat_milk)))</f>
        <v>0</v>
      </c>
      <c r="BY27" s="40">
        <f>(s_C*s_IFSH_far_adj*s_CF_far_sheep*s_RadSpec!AM27*((s_Q_p_sheep*s_f_p_sheep*s_f_s_sheep*(s_RadSpec!$AR27+s_R_es_past))+(s_Q_s_sheep*s_f_p_sheep)))</f>
        <v>893750</v>
      </c>
      <c r="BZ27" s="40">
        <f>(s_C*s_IFSM_far_adj*s_CF_far_sheep_milk*s_RadSpec!AN27*1/s_D_milk*((s_Q_p_sheep_milk*s_f_p_sheep_milk*s_f_s_sheep_milk*(s_RadSpec!$AR27+s_R_es_past))+(s_Q_s_sheep_milk*s_f_p_sheep_milk)))</f>
        <v>0</v>
      </c>
      <c r="CA27" s="18"/>
      <c r="CB27" s="18"/>
      <c r="CC27" s="18"/>
      <c r="CD27" s="18"/>
      <c r="CE27" s="18"/>
      <c r="CF27" s="18"/>
      <c r="CG27" s="18"/>
      <c r="CH27" s="18"/>
      <c r="CI27" s="18"/>
      <c r="CJ27" s="18"/>
      <c r="CK27" s="18"/>
      <c r="CL27" s="18"/>
      <c r="CM27" s="18"/>
      <c r="CN27" s="18"/>
      <c r="CO27" s="5"/>
      <c r="CP27" s="15" t="str">
        <f>IFERROR(s_TR/(s_RadSpec!H27*s_IFW_far_adj),".")</f>
        <v>.</v>
      </c>
      <c r="CQ27" s="15" t="str">
        <f>IFERROR(IF(s_RadSpec!C27=1,s_TR/(s_RadSpec!G27*s_IFA_far_adj*s_K),"."),".")</f>
        <v>.</v>
      </c>
      <c r="CR27" s="15">
        <f>IFERROR((s_TR/(s_RadSpec!L27*(1/8760)*s_DFA_far_adj)),".")</f>
        <v>1488565257.6731746</v>
      </c>
      <c r="CS27" s="15" t="str">
        <f>s_b2w!BA27</f>
        <v>.</v>
      </c>
      <c r="CT27" s="15" t="str">
        <f>IFERROR(I27/(s_RadSpec!AI27*(1/1000)),".")</f>
        <v>.</v>
      </c>
      <c r="CU27" s="15" t="str">
        <f>IFERROR(F27/(s_RadSpec!AH27*s_Q_w_beef*(1/1000)),".")</f>
        <v>.</v>
      </c>
      <c r="CV27" s="15" t="str">
        <f>IFERROR((G27*s_D_milk)/(s_RadSpec!AG27*s_Q_w_dairy*(1/1000)),".")</f>
        <v>.</v>
      </c>
      <c r="CW27" s="15" t="str">
        <f>IFERROR(H27/(s_RadSpec!AL27*s_Q_w_swine*(1/1000)),".")</f>
        <v>.</v>
      </c>
      <c r="CX27" s="15" t="str">
        <f>IFERROR(D27/(s_RadSpec!AJ27*s_Q_w_poultry*(1/1000)),".")</f>
        <v>.</v>
      </c>
      <c r="CY27" s="15" t="str">
        <f>IFERROR(E27/(s_RadSpec!AK27*s_Q_w_poultry*(1/1000)),".")</f>
        <v>.</v>
      </c>
      <c r="CZ27" s="15" t="str">
        <f>IFERROR(J27/(s_RadSpec!AO27*s_Q_w_goat*(1/1000)),".")</f>
        <v>.</v>
      </c>
      <c r="DA27" s="15" t="str">
        <f>IFERROR(L27*s_D_milk/(s_RadSpec!AP27*s_Q_w_goat_milk*(1/1000)),".")</f>
        <v>.</v>
      </c>
      <c r="DB27" s="15" t="str">
        <f>IFERROR(K27/(s_RadSpec!AM27*s_Q_w_sheep*(1/1000)),".")</f>
        <v>.</v>
      </c>
      <c r="DC27" s="15" t="str">
        <f>IFERROR(M27*s_D_milk/(s_RadSpec!AN27*s_Q_w_sheep_milk*(1/1000)),".")</f>
        <v>.</v>
      </c>
      <c r="DD27" s="120" t="str">
        <f t="shared" si="27"/>
        <v>.</v>
      </c>
      <c r="DE27" s="120" t="str">
        <f t="shared" si="28"/>
        <v>.</v>
      </c>
      <c r="DF27" s="120">
        <f t="shared" si="29"/>
        <v>6.7178781369863014E-10</v>
      </c>
      <c r="DG27" s="120" t="str">
        <f t="shared" si="30"/>
        <v>.</v>
      </c>
      <c r="DH27" s="120" t="str">
        <f t="shared" si="31"/>
        <v>.</v>
      </c>
      <c r="DI27" s="120" t="str">
        <f t="shared" si="32"/>
        <v>.</v>
      </c>
      <c r="DJ27" s="120" t="str">
        <f t="shared" si="33"/>
        <v>.</v>
      </c>
      <c r="DK27" s="120" t="str">
        <f t="shared" si="34"/>
        <v>.</v>
      </c>
      <c r="DL27" s="120" t="str">
        <f t="shared" si="35"/>
        <v>.</v>
      </c>
      <c r="DM27" s="120" t="str">
        <f t="shared" si="36"/>
        <v>.</v>
      </c>
      <c r="DN27" s="120" t="str">
        <f t="shared" si="37"/>
        <v>.</v>
      </c>
      <c r="DO27" s="120" t="str">
        <f t="shared" si="38"/>
        <v>.</v>
      </c>
      <c r="DP27" s="120" t="str">
        <f t="shared" si="39"/>
        <v>.</v>
      </c>
      <c r="DQ27" s="120" t="str">
        <f t="shared" si="40"/>
        <v>.</v>
      </c>
      <c r="DR27" s="15">
        <f t="shared" si="41"/>
        <v>1488565257.6731746</v>
      </c>
      <c r="DS27" s="40">
        <f t="shared" si="42"/>
        <v>2500</v>
      </c>
      <c r="DT27" s="40">
        <f t="shared" si="43"/>
        <v>455.72916666666663</v>
      </c>
      <c r="DU27" s="40">
        <f t="shared" si="44"/>
        <v>0.22831050228310501</v>
      </c>
      <c r="DV27" s="40">
        <f>s_b2w!BZ27</f>
        <v>1738.5827027196997</v>
      </c>
      <c r="DW27" s="40">
        <f>IFERROR(s_C*s_RadSpec!AI27*(1/1000)*s_IFFI_far_adj*s_CF_far_fish,0)</f>
        <v>12375</v>
      </c>
      <c r="DX27" s="40">
        <f>(s_C*s_IFB_far_adj*s_CF_far_beef*s_RadSpec!AH27*s_Q_w_beef*(1/1000))</f>
        <v>1.375</v>
      </c>
      <c r="DY27" s="40">
        <f>(s_C*s_IFD_far_adj*s_CF_far_dairy*s_RadSpec!AG27*(1/s_D_milk)*s_Q_w_dairy*(1/1000))</f>
        <v>0.20024271844660194</v>
      </c>
      <c r="DZ27" s="40">
        <f>(s_C*s_IFSW_far_adj*s_CF_far_swine*s_RadSpec!AL27*s_Q_w_swine*(1/1000))</f>
        <v>0</v>
      </c>
      <c r="EA27" s="40">
        <f>(s_C*s_IFP_far_adj*s_CF_far_poultry*s_RadSpec!AJ27*s_Q_w_poultry*(1/1000))</f>
        <v>0</v>
      </c>
      <c r="EB27" s="40">
        <f>(s_C*s_IFE_far_adj*s_CF_far_egg*s_RadSpec!AK27*s_Q_w_egg*(1/1000))</f>
        <v>0</v>
      </c>
      <c r="EC27" s="40">
        <f>(s_C*s_IFGO_far_adj*s_CF_far_goat*s_RadSpec!AO27*s_Q_p_goat*(1/1000))</f>
        <v>0</v>
      </c>
      <c r="ED27" s="40">
        <f>(s_C*s_IFGM_far_adj*s_CF_far_goat_milk*s_RadSpec!AP27*(1/s_D_milk)*s_Q_p_goat_milk*(1/1000))</f>
        <v>0</v>
      </c>
      <c r="EE27" s="40">
        <f>(s_C*s_IFSH_far_adj*s_CF_far_sheep*s_RadSpec!AM27*s_Q_p_sheep*(1/1000))</f>
        <v>27.5</v>
      </c>
      <c r="EF27" s="40">
        <f>(s_C*s_IFSM_far_adj*s_CF_far_sheep_milk*s_RadSpec!AN27*(1/s_D_milk)*s_Q_p_sheep_milk*(1/1000))</f>
        <v>0</v>
      </c>
      <c r="EG27" s="18"/>
      <c r="EH27" s="18"/>
      <c r="EI27" s="18"/>
      <c r="EJ27" s="18"/>
      <c r="EK27" s="18"/>
      <c r="EL27" s="18"/>
      <c r="EM27" s="18"/>
      <c r="EN27" s="18"/>
      <c r="EO27" s="18"/>
      <c r="EP27" s="18"/>
      <c r="EQ27" s="18"/>
      <c r="ER27" s="18"/>
      <c r="ES27" s="18"/>
      <c r="ET27" s="18"/>
      <c r="EU27" s="5"/>
      <c r="EV27" s="15" t="str">
        <f>IFERROR((s_TR/(s_RadSpec!G27*s_IFA_far_adj)),".")</f>
        <v>.</v>
      </c>
      <c r="EW27" s="15">
        <f>IFERROR((s_TR/(s_RadSpec!J27*s_EF_far*(1/365)*s_ED_far*s_ET_far*(1/24)*s_GSF_a)),".")</f>
        <v>931971.29176059633</v>
      </c>
      <c r="EX27" s="15">
        <f t="shared" si="58"/>
        <v>931971.29176059633</v>
      </c>
      <c r="EY27" s="40">
        <f t="shared" si="46"/>
        <v>911.45833333333326</v>
      </c>
      <c r="EZ27" s="40">
        <f t="shared" si="47"/>
        <v>0.57077625570776247</v>
      </c>
      <c r="FA27" s="122"/>
      <c r="FB27" s="122"/>
      <c r="FC27" s="122"/>
    </row>
    <row r="28" spans="1:159" customFormat="1" x14ac:dyDescent="0.25">
      <c r="A28" s="44" t="s">
        <v>38</v>
      </c>
      <c r="B28" s="42" t="s">
        <v>1074</v>
      </c>
      <c r="C28" s="15" t="str">
        <f>s_dir!AB28</f>
        <v>.</v>
      </c>
      <c r="D28" s="15" t="str">
        <f>IFERROR(s_TR/(s_RadSpec!E28*s_IFP_far_adj*s_CF_far_poultry),".")</f>
        <v>.</v>
      </c>
      <c r="E28" s="15" t="str">
        <f>IFERROR(s_TR/(s_RadSpec!E28*s_IFE_far_adj*s_CF_far_egg),".")</f>
        <v>.</v>
      </c>
      <c r="F28" s="15" t="str">
        <f>IFERROR(s_TR/(s_RadSpec!E28*s_IFB_far_adj*s_CF_far_beef),".")</f>
        <v>.</v>
      </c>
      <c r="G28" s="15" t="str">
        <f>IFERROR(s_TR/(s_RadSpec!E28*s_IFD_far_adj*s_CF_far_dairy),".")</f>
        <v>.</v>
      </c>
      <c r="H28" s="15" t="str">
        <f>IFERROR(s_TR/(s_RadSpec!E28*s_IFSW_far_adj*s_CF_far_swine),".")</f>
        <v>.</v>
      </c>
      <c r="I28" s="15" t="str">
        <f>IFERROR(s_TR/(s_RadSpec!E28*s_IFFI_far_adj*s_CF_far_fish),".")</f>
        <v>.</v>
      </c>
      <c r="J28" s="15" t="str">
        <f>IFERROR(s_TR/(s_RadSpec!E28*s_IFGO_far_adj*s_CF_far_goat),".")</f>
        <v>.</v>
      </c>
      <c r="K28" s="15" t="str">
        <f>IFERROR(s_TR/(s_RadSpec!E28*s_IFSH_far_adj*s_CF_far_sheep),".")</f>
        <v>.</v>
      </c>
      <c r="L28" s="15" t="str">
        <f>IFERROR(s_TR/(s_RadSpec!E28*s_IFGM_far_adj*s_CF_far_goat_milk),".")</f>
        <v>.</v>
      </c>
      <c r="M28" s="15" t="str">
        <f>IFERROR(s_TR/(s_RadSpec!E28*s_IFSM_far_adj*s_CF_far_sheep_milk),".")</f>
        <v>.</v>
      </c>
      <c r="N28" s="40">
        <f>s_dir!BA28</f>
        <v>55000</v>
      </c>
      <c r="O28" s="40">
        <f t="shared" si="0"/>
        <v>13750</v>
      </c>
      <c r="P28" s="40">
        <f t="shared" si="1"/>
        <v>13750</v>
      </c>
      <c r="Q28" s="40">
        <f t="shared" si="2"/>
        <v>13750</v>
      </c>
      <c r="R28" s="40">
        <f t="shared" si="3"/>
        <v>13750</v>
      </c>
      <c r="S28" s="40">
        <f t="shared" si="4"/>
        <v>13750</v>
      </c>
      <c r="T28" s="40">
        <f t="shared" si="5"/>
        <v>13750</v>
      </c>
      <c r="U28" s="40">
        <f t="shared" si="6"/>
        <v>13750</v>
      </c>
      <c r="V28" s="40">
        <f t="shared" si="7"/>
        <v>13750</v>
      </c>
      <c r="W28" s="40">
        <f t="shared" si="8"/>
        <v>13750</v>
      </c>
      <c r="X28" s="40">
        <f t="shared" si="9"/>
        <v>13750</v>
      </c>
      <c r="Y28" s="5"/>
      <c r="Z28" s="5"/>
      <c r="AA28" s="5"/>
      <c r="AB28" s="5"/>
      <c r="AC28" s="5"/>
      <c r="AD28" s="5"/>
      <c r="AE28" s="5"/>
      <c r="AF28" s="5"/>
      <c r="AG28" s="5"/>
      <c r="AH28" s="5"/>
      <c r="AI28" s="5"/>
      <c r="AJ28" s="45" t="str">
        <f>IFERROR((s_TR/(s_RadSpec!D28*s_IFS_far_adj*(1/1000)))*1,".")</f>
        <v>.</v>
      </c>
      <c r="AK28" s="45" t="str">
        <f>IFERROR(IF(A28="H-3",(s_TR/(s_RadSpec!G28*s_IFA_far_adj*(1/17)*1000))*1,(s_TR/(s_RadSpec!G28*s_IFA_far_adj*(1/s_PEF_wind)*1000))*1),".")</f>
        <v>.</v>
      </c>
      <c r="AL28" s="45">
        <f>IFERROR((s_TR/(s_RadSpec!F28*s_EF_far*(1/365)*s_ED_far*s_RadSpec!Q28*((s_ET_far_o*(1/24)*s_RadSpec!V28)+(s_ET_far_i*(1/24)*s_RadSpec!AA28))))*1,".")</f>
        <v>5.7752481392274122</v>
      </c>
      <c r="AM28" s="45" t="str">
        <f>s_b2s!BA28</f>
        <v>.</v>
      </c>
      <c r="AN28" s="45" t="str">
        <f>IFERROR(((I28*s_RadSpec!AS28)/s_RadSpec!AI28)*1,".")</f>
        <v>.</v>
      </c>
      <c r="AO28" s="45" t="str">
        <f>IFERROR((F28/(s_RadSpec!AH28*((s_Q_p_beef*s_f_p_beef*s_f_s_beef*(s_RadSpec!BB28+s_R_es_past))+(s_Q_s_beef*s_f_p_beef))))*1,".")</f>
        <v>.</v>
      </c>
      <c r="AP28" s="45" t="str">
        <f>IFERROR(((G28*s_D_milk)/(s_RadSpec!AG28*((s_Q_p_dairy*s_f_p_dairy*s_f_s_dairy*(s_RadSpec!BB28+s_R_es_past))+(s_Q_s_dairy*s_f_p_dairy))))*1,".")</f>
        <v>.</v>
      </c>
      <c r="AQ28" s="45" t="str">
        <f>IFERROR((H28/(s_RadSpec!AL28*((s_Q_p_swine*s_f_p_swine*s_f_s_swine*(s_RadSpec!BB28+s_R_es_past))+(s_Q_s_swine*s_f_p_swine))))*1,".")</f>
        <v>.</v>
      </c>
      <c r="AR28" s="45" t="str">
        <f>IFERROR((D28/(s_RadSpec!AJ28*((s_Q_p_poultry*s_f_p_poultry*s_f_s_poultry*(s_RadSpec!BB28+s_R_es_past))+(s_Q_s_poultry*s_f_p_poultry))))*1,".")</f>
        <v>.</v>
      </c>
      <c r="AS28" s="45" t="str">
        <f>IFERROR((E28/(s_RadSpec!AK28*((s_Q_p_poultry*s_f_p_poultry*s_f_s_poultry*(s_RadSpec!BB28+s_R_es_past))+(s_Q_s_poultry*s_f_p_poultry))))*1,".")</f>
        <v>.</v>
      </c>
      <c r="AT28" s="45" t="str">
        <f>IFERROR((J28/(s_RadSpec!AO28*((s_Q_p_goat*s_f_p_goat*s_f_s_goat*(s_RadSpec!BB28+s_R_es_past))+(s_Q_s_goat*s_f_p_goat))))*1,".")</f>
        <v>.</v>
      </c>
      <c r="AU28" s="45" t="str">
        <f>IFERROR((L28*s_D_milk/(s_RadSpec!AP28*((s_Q_p_goat_milk*s_f_p_goat_milk*s_f_s_goat_milk*(s_RadSpec!BB28+s_R_es_past))+(s_Q_s_goat_milk*s_f_p_goat_milk))))*1,".")</f>
        <v>.</v>
      </c>
      <c r="AV28" s="45" t="str">
        <f>IFERROR((K28/(s_RadSpec!AM28*((s_Q_p_sheep*s_f_p_sheep*s_f_s_sheep*(s_RadSpec!BB28+s_R_es_past))+(s_Q_s_sheep*s_f_p_sheep))))*1,".")</f>
        <v>.</v>
      </c>
      <c r="AW28" s="45" t="str">
        <f>IFERROR((M28*s_D_milk/(s_RadSpec!AN28*((s_Q_p_sheep_milk*s_f_p_sheep_milk*s_f_s_sheep_milk*(s_RadSpec!BB28+s_R_es_past))+(s_Q_s_sheep_milk*s_f_p_sheep_milk))))*1,".")</f>
        <v>.</v>
      </c>
      <c r="AX28" s="120" t="str">
        <f t="shared" si="10"/>
        <v>.</v>
      </c>
      <c r="AY28" s="120" t="str">
        <f t="shared" si="11"/>
        <v>.</v>
      </c>
      <c r="AZ28" s="120">
        <f t="shared" si="12"/>
        <v>0.17315273316269589</v>
      </c>
      <c r="BA28" s="120" t="str">
        <f t="shared" si="13"/>
        <v>.</v>
      </c>
      <c r="BB28" s="120" t="str">
        <f t="shared" si="14"/>
        <v>.</v>
      </c>
      <c r="BC28" s="120" t="str">
        <f t="shared" si="15"/>
        <v>.</v>
      </c>
      <c r="BD28" s="120" t="str">
        <f t="shared" si="16"/>
        <v>.</v>
      </c>
      <c r="BE28" s="120" t="str">
        <f t="shared" si="17"/>
        <v>.</v>
      </c>
      <c r="BF28" s="120" t="str">
        <f t="shared" si="18"/>
        <v>.</v>
      </c>
      <c r="BG28" s="120" t="str">
        <f t="shared" si="19"/>
        <v>.</v>
      </c>
      <c r="BH28" s="120" t="str">
        <f t="shared" si="20"/>
        <v>.</v>
      </c>
      <c r="BI28" s="120" t="str">
        <f t="shared" si="21"/>
        <v>.</v>
      </c>
      <c r="BJ28" s="120" t="str">
        <f t="shared" si="22"/>
        <v>.</v>
      </c>
      <c r="BK28" s="120" t="str">
        <f t="shared" si="23"/>
        <v>.</v>
      </c>
      <c r="BL28" s="15">
        <f t="shared" si="24"/>
        <v>5.7752481392274122</v>
      </c>
      <c r="BM28" s="40">
        <f t="shared" si="25"/>
        <v>27.5</v>
      </c>
      <c r="BN28" s="40">
        <f t="shared" si="26"/>
        <v>2.9420495991003873E-3</v>
      </c>
      <c r="BO28" s="40">
        <f>IFERROR((s_C*s_EF_far*(1/365)*s_ED_far*s_RadSpec!Q28*((s_ET_far_o*(1/24)*s_RadSpec!V28)+(s_ET_far_i*(1/24)*s_RadSpec!AA28))),".")</f>
        <v>8.3876712328767117E-2</v>
      </c>
      <c r="BP28" s="40">
        <f>s_b2s!BZ28</f>
        <v>6254.6</v>
      </c>
      <c r="BQ28" s="40">
        <f>IFERROR(((s_C*s_RadSpec!AI28)/s_RadSpec!AS28)*s_IFFI_far_adj*s_CF_far_fish,0)</f>
        <v>8250</v>
      </c>
      <c r="BR28" s="40">
        <f>(s_C*s_IFB_far_adj*s_CF_far_beef*s_RadSpec!AH28*((s_Q_p_beef*s_f_p_beef*s_f_s_beef*(s_RadSpec!$AR28+s_R_es_past))+(s_Q_s_beef*s_f_p_beef)))</f>
        <v>44687.5</v>
      </c>
      <c r="BS28" s="40">
        <f>(s_C*s_IFD_far_adj*s_CF_far_dairy*s_RadSpec!AG28*1/s_D_milk*((s_Q_p_dairy*s_f_p_dairy*s_f_s_dairy*(s_RadSpec!$AR28+s_R_es_past))+(s_Q_s_dairy*s_f_p_dairy)))</f>
        <v>6507.8883495145637</v>
      </c>
      <c r="BT28" s="40">
        <f>(s_C*s_IFSW_far_adj*s_CF_far_swine*s_RadSpec!AL28*((s_Q_p_swine*s_f_p_swine*s_f_s_swine*(s_RadSpec!$AR28+s_R_es_past))+(s_Q_s_swine*s_f_p_swine)))</f>
        <v>0</v>
      </c>
      <c r="BU28" s="40">
        <f>(s_C*s_IFP_far_adj*s_CF_far_poultry*s_RadSpec!AJ28*((s_Q_p_poultry*s_f_p_poultry*s_f_s_poultry*(s_RadSpec!AR28+s_R_es_past))+(s_Q_s_poultry*s_f_p_poultry)))</f>
        <v>0</v>
      </c>
      <c r="BV28" s="40">
        <f>(s_C*s_IFE_far_adj*s_CF_far_egg*s_RadSpec!AK28*((s_Q_p_egg*s_f_p_egg*s_f_s_egg*(s_RadSpec!$AR28+s_R_es_past))+(s_Q_s_egg*s_f_p_egg)))</f>
        <v>0</v>
      </c>
      <c r="BW28" s="40">
        <f>(s_C*s_IFGO_far_adj*s_CF_far_goat*s_RadSpec!AO28*((s_Q_p_goat*s_f_p_goat*s_f_s_goat*(s_RadSpec!$AR28+s_R_es_past))+(s_Q_s_goat*s_f_p_goat)))</f>
        <v>0</v>
      </c>
      <c r="BX28" s="40">
        <f>(s_C*s_IFGM_far_adj*s_CF_far_goat_milk*s_RadSpec!AP28*1/s_D_milk*((s_Q_p_goat_milk*s_f_p_goat_milk*s_f_s_goat_milk*(s_RadSpec!$AR28+s_R_es_past))+(s_Q_s_goat_milk*s_f_p_goat_milk)))</f>
        <v>0</v>
      </c>
      <c r="BY28" s="40">
        <f>(s_C*s_IFSH_far_adj*s_CF_far_sheep*s_RadSpec!AM28*((s_Q_p_sheep*s_f_p_sheep*s_f_s_sheep*(s_RadSpec!$AR28+s_R_es_past))+(s_Q_s_sheep*s_f_p_sheep)))</f>
        <v>893750</v>
      </c>
      <c r="BZ28" s="40">
        <f>(s_C*s_IFSM_far_adj*s_CF_far_sheep_milk*s_RadSpec!AN28*1/s_D_milk*((s_Q_p_sheep_milk*s_f_p_sheep_milk*s_f_s_sheep_milk*(s_RadSpec!$AR28+s_R_es_past))+(s_Q_s_sheep_milk*s_f_p_sheep_milk)))</f>
        <v>0</v>
      </c>
      <c r="CA28" s="18"/>
      <c r="CB28" s="18"/>
      <c r="CC28" s="18"/>
      <c r="CD28" s="18"/>
      <c r="CE28" s="18"/>
      <c r="CF28" s="18"/>
      <c r="CG28" s="18"/>
      <c r="CH28" s="18"/>
      <c r="CI28" s="18"/>
      <c r="CJ28" s="18"/>
      <c r="CK28" s="18"/>
      <c r="CL28" s="18"/>
      <c r="CM28" s="18"/>
      <c r="CN28" s="18"/>
      <c r="CO28" s="5"/>
      <c r="CP28" s="15" t="str">
        <f>IFERROR(s_TR/(s_RadSpec!H28*s_IFW_far_adj),".")</f>
        <v>.</v>
      </c>
      <c r="CQ28" s="15" t="str">
        <f>IFERROR(IF(s_RadSpec!C28=1,s_TR/(s_RadSpec!G28*s_IFA_far_adj*s_K),"."),".")</f>
        <v>.</v>
      </c>
      <c r="CR28" s="15">
        <f>IFERROR((s_TR/(s_RadSpec!L28*(1/8760)*s_DFA_far_adj)),".")</f>
        <v>1053703.4970046068</v>
      </c>
      <c r="CS28" s="15" t="str">
        <f>s_b2w!BA28</f>
        <v>.</v>
      </c>
      <c r="CT28" s="15" t="str">
        <f>IFERROR(I28/(s_RadSpec!AI28*(1/1000)),".")</f>
        <v>.</v>
      </c>
      <c r="CU28" s="15" t="str">
        <f>IFERROR(F28/(s_RadSpec!AH28*s_Q_w_beef*(1/1000)),".")</f>
        <v>.</v>
      </c>
      <c r="CV28" s="15" t="str">
        <f>IFERROR((G28*s_D_milk)/(s_RadSpec!AG28*s_Q_w_dairy*(1/1000)),".")</f>
        <v>.</v>
      </c>
      <c r="CW28" s="15" t="str">
        <f>IFERROR(H28/(s_RadSpec!AL28*s_Q_w_swine*(1/1000)),".")</f>
        <v>.</v>
      </c>
      <c r="CX28" s="15" t="str">
        <f>IFERROR(D28/(s_RadSpec!AJ28*s_Q_w_poultry*(1/1000)),".")</f>
        <v>.</v>
      </c>
      <c r="CY28" s="15" t="str">
        <f>IFERROR(E28/(s_RadSpec!AK28*s_Q_w_poultry*(1/1000)),".")</f>
        <v>.</v>
      </c>
      <c r="CZ28" s="15" t="str">
        <f>IFERROR(J28/(s_RadSpec!AO28*s_Q_w_goat*(1/1000)),".")</f>
        <v>.</v>
      </c>
      <c r="DA28" s="15" t="str">
        <f>IFERROR(L28*s_D_milk/(s_RadSpec!AP28*s_Q_w_goat_milk*(1/1000)),".")</f>
        <v>.</v>
      </c>
      <c r="DB28" s="15" t="str">
        <f>IFERROR(K28/(s_RadSpec!AM28*s_Q_w_sheep*(1/1000)),".")</f>
        <v>.</v>
      </c>
      <c r="DC28" s="15" t="str">
        <f>IFERROR(M28*s_D_milk/(s_RadSpec!AN28*s_Q_w_sheep_milk*(1/1000)),".")</f>
        <v>.</v>
      </c>
      <c r="DD28" s="120" t="str">
        <f t="shared" si="27"/>
        <v>.</v>
      </c>
      <c r="DE28" s="120" t="str">
        <f t="shared" si="28"/>
        <v>.</v>
      </c>
      <c r="DF28" s="120">
        <f t="shared" si="29"/>
        <v>9.4903357808219182E-7</v>
      </c>
      <c r="DG28" s="120" t="str">
        <f t="shared" si="30"/>
        <v>.</v>
      </c>
      <c r="DH28" s="120" t="str">
        <f t="shared" si="31"/>
        <v>.</v>
      </c>
      <c r="DI28" s="120" t="str">
        <f t="shared" si="32"/>
        <v>.</v>
      </c>
      <c r="DJ28" s="120" t="str">
        <f t="shared" si="33"/>
        <v>.</v>
      </c>
      <c r="DK28" s="120" t="str">
        <f t="shared" si="34"/>
        <v>.</v>
      </c>
      <c r="DL28" s="120" t="str">
        <f t="shared" si="35"/>
        <v>.</v>
      </c>
      <c r="DM28" s="120" t="str">
        <f t="shared" si="36"/>
        <v>.</v>
      </c>
      <c r="DN28" s="120" t="str">
        <f t="shared" si="37"/>
        <v>.</v>
      </c>
      <c r="DO28" s="120" t="str">
        <f t="shared" si="38"/>
        <v>.</v>
      </c>
      <c r="DP28" s="120" t="str">
        <f t="shared" si="39"/>
        <v>.</v>
      </c>
      <c r="DQ28" s="120" t="str">
        <f t="shared" si="40"/>
        <v>.</v>
      </c>
      <c r="DR28" s="15">
        <f t="shared" si="41"/>
        <v>1053703.4970046068</v>
      </c>
      <c r="DS28" s="40">
        <f t="shared" si="42"/>
        <v>2500</v>
      </c>
      <c r="DT28" s="40">
        <f t="shared" si="43"/>
        <v>455.72916666666663</v>
      </c>
      <c r="DU28" s="40">
        <f t="shared" si="44"/>
        <v>0.22831050228310501</v>
      </c>
      <c r="DV28" s="40">
        <f>s_b2w!BZ28</f>
        <v>1738.5827027196997</v>
      </c>
      <c r="DW28" s="40">
        <f>IFERROR(s_C*s_RadSpec!AI28*(1/1000)*s_IFFI_far_adj*s_CF_far_fish,0)</f>
        <v>12375</v>
      </c>
      <c r="DX28" s="40">
        <f>(s_C*s_IFB_far_adj*s_CF_far_beef*s_RadSpec!AH28*s_Q_w_beef*(1/1000))</f>
        <v>1.375</v>
      </c>
      <c r="DY28" s="40">
        <f>(s_C*s_IFD_far_adj*s_CF_far_dairy*s_RadSpec!AG28*(1/s_D_milk)*s_Q_w_dairy*(1/1000))</f>
        <v>0.20024271844660194</v>
      </c>
      <c r="DZ28" s="40">
        <f>(s_C*s_IFSW_far_adj*s_CF_far_swine*s_RadSpec!AL28*s_Q_w_swine*(1/1000))</f>
        <v>0</v>
      </c>
      <c r="EA28" s="40">
        <f>(s_C*s_IFP_far_adj*s_CF_far_poultry*s_RadSpec!AJ28*s_Q_w_poultry*(1/1000))</f>
        <v>0</v>
      </c>
      <c r="EB28" s="40">
        <f>(s_C*s_IFE_far_adj*s_CF_far_egg*s_RadSpec!AK28*s_Q_w_egg*(1/1000))</f>
        <v>0</v>
      </c>
      <c r="EC28" s="40">
        <f>(s_C*s_IFGO_far_adj*s_CF_far_goat*s_RadSpec!AO28*s_Q_p_goat*(1/1000))</f>
        <v>0</v>
      </c>
      <c r="ED28" s="40">
        <f>(s_C*s_IFGM_far_adj*s_CF_far_goat_milk*s_RadSpec!AP28*(1/s_D_milk)*s_Q_p_goat_milk*(1/1000))</f>
        <v>0</v>
      </c>
      <c r="EE28" s="40">
        <f>(s_C*s_IFSH_far_adj*s_CF_far_sheep*s_RadSpec!AM28*s_Q_p_sheep*(1/1000))</f>
        <v>27.5</v>
      </c>
      <c r="EF28" s="40">
        <f>(s_C*s_IFSM_far_adj*s_CF_far_sheep_milk*s_RadSpec!AN28*(1/s_D_milk)*s_Q_p_sheep_milk*(1/1000))</f>
        <v>0</v>
      </c>
      <c r="EG28" s="18"/>
      <c r="EH28" s="18"/>
      <c r="EI28" s="18"/>
      <c r="EJ28" s="18"/>
      <c r="EK28" s="18"/>
      <c r="EL28" s="18"/>
      <c r="EM28" s="18"/>
      <c r="EN28" s="18"/>
      <c r="EO28" s="18"/>
      <c r="EP28" s="18"/>
      <c r="EQ28" s="18"/>
      <c r="ER28" s="18"/>
      <c r="ES28" s="18"/>
      <c r="ET28" s="18"/>
      <c r="EU28" s="5"/>
      <c r="EV28" s="15" t="str">
        <f>IFERROR((s_TR/(s_RadSpec!G28*s_IFA_far_adj)),".")</f>
        <v>.</v>
      </c>
      <c r="EW28" s="15">
        <f>IFERROR((s_TR/(s_RadSpec!J28*s_EF_far*(1/365)*s_ED_far*s_ET_far*(1/24)*s_GSF_a)),".")</f>
        <v>914.92303642351249</v>
      </c>
      <c r="EX28" s="15">
        <f t="shared" si="58"/>
        <v>914.92303642351249</v>
      </c>
      <c r="EY28" s="40">
        <f t="shared" si="46"/>
        <v>911.45833333333326</v>
      </c>
      <c r="EZ28" s="40">
        <f t="shared" si="47"/>
        <v>0.57077625570776247</v>
      </c>
      <c r="FA28" s="122"/>
      <c r="FB28" s="122"/>
      <c r="FC28" s="122"/>
    </row>
    <row r="29" spans="1:159" customFormat="1" x14ac:dyDescent="0.25">
      <c r="A29" s="44" t="s">
        <v>39</v>
      </c>
      <c r="B29" s="42" t="s">
        <v>1074</v>
      </c>
      <c r="C29" s="15" t="str">
        <f>s_dir!AB29</f>
        <v>.</v>
      </c>
      <c r="D29" s="15" t="str">
        <f>IFERROR(s_TR/(s_RadSpec!E29*s_IFP_far_adj*s_CF_far_poultry),".")</f>
        <v>.</v>
      </c>
      <c r="E29" s="15" t="str">
        <f>IFERROR(s_TR/(s_RadSpec!E29*s_IFE_far_adj*s_CF_far_egg),".")</f>
        <v>.</v>
      </c>
      <c r="F29" s="15" t="str">
        <f>IFERROR(s_TR/(s_RadSpec!E29*s_IFB_far_adj*s_CF_far_beef),".")</f>
        <v>.</v>
      </c>
      <c r="G29" s="15" t="str">
        <f>IFERROR(s_TR/(s_RadSpec!E29*s_IFD_far_adj*s_CF_far_dairy),".")</f>
        <v>.</v>
      </c>
      <c r="H29" s="15" t="str">
        <f>IFERROR(s_TR/(s_RadSpec!E29*s_IFSW_far_adj*s_CF_far_swine),".")</f>
        <v>.</v>
      </c>
      <c r="I29" s="15" t="str">
        <f>IFERROR(s_TR/(s_RadSpec!E29*s_IFFI_far_adj*s_CF_far_fish),".")</f>
        <v>.</v>
      </c>
      <c r="J29" s="15" t="str">
        <f>IFERROR(s_TR/(s_RadSpec!E29*s_IFGO_far_adj*s_CF_far_goat),".")</f>
        <v>.</v>
      </c>
      <c r="K29" s="15" t="str">
        <f>IFERROR(s_TR/(s_RadSpec!E29*s_IFSH_far_adj*s_CF_far_sheep),".")</f>
        <v>.</v>
      </c>
      <c r="L29" s="15" t="str">
        <f>IFERROR(s_TR/(s_RadSpec!E29*s_IFGM_far_adj*s_CF_far_goat_milk),".")</f>
        <v>.</v>
      </c>
      <c r="M29" s="15" t="str">
        <f>IFERROR(s_TR/(s_RadSpec!E29*s_IFSM_far_adj*s_CF_far_sheep_milk),".")</f>
        <v>.</v>
      </c>
      <c r="N29" s="40">
        <f>s_dir!BA29</f>
        <v>55000</v>
      </c>
      <c r="O29" s="40">
        <f t="shared" si="0"/>
        <v>13750</v>
      </c>
      <c r="P29" s="40">
        <f t="shared" si="1"/>
        <v>13750</v>
      </c>
      <c r="Q29" s="40">
        <f t="shared" si="2"/>
        <v>13750</v>
      </c>
      <c r="R29" s="40">
        <f t="shared" si="3"/>
        <v>13750</v>
      </c>
      <c r="S29" s="40">
        <f t="shared" si="4"/>
        <v>13750</v>
      </c>
      <c r="T29" s="40">
        <f t="shared" si="5"/>
        <v>13750</v>
      </c>
      <c r="U29" s="40">
        <f t="shared" si="6"/>
        <v>13750</v>
      </c>
      <c r="V29" s="40">
        <f t="shared" si="7"/>
        <v>13750</v>
      </c>
      <c r="W29" s="40">
        <f t="shared" si="8"/>
        <v>13750</v>
      </c>
      <c r="X29" s="40">
        <f t="shared" si="9"/>
        <v>13750</v>
      </c>
      <c r="Y29" s="5"/>
      <c r="Z29" s="5"/>
      <c r="AA29" s="5"/>
      <c r="AB29" s="5"/>
      <c r="AC29" s="5"/>
      <c r="AD29" s="5"/>
      <c r="AE29" s="5"/>
      <c r="AF29" s="5"/>
      <c r="AG29" s="5"/>
      <c r="AH29" s="5"/>
      <c r="AI29" s="5"/>
      <c r="AJ29" s="45" t="str">
        <f>IFERROR((s_TR/(s_RadSpec!D29*s_IFS_far_adj*(1/1000)))*1,".")</f>
        <v>.</v>
      </c>
      <c r="AK29" s="45" t="str">
        <f>IFERROR(IF(A29="H-3",(s_TR/(s_RadSpec!G29*s_IFA_far_adj*(1/17)*1000))*1,(s_TR/(s_RadSpec!G29*s_IFA_far_adj*(1/s_PEF_wind)*1000))*1),".")</f>
        <v>.</v>
      </c>
      <c r="AL29" s="45">
        <f>IFERROR((s_TR/(s_RadSpec!F29*s_EF_far*(1/365)*s_ED_far*s_RadSpec!Q29*((s_ET_far_o*(1/24)*s_RadSpec!V29)+(s_ET_far_i*(1/24)*s_RadSpec!AA29))))*1,".")</f>
        <v>4.8274924607362424</v>
      </c>
      <c r="AM29" s="45" t="str">
        <f>s_b2s!BA29</f>
        <v>.</v>
      </c>
      <c r="AN29" s="45" t="str">
        <f>IFERROR(((I29*s_RadSpec!AS29)/s_RadSpec!AI29)*1,".")</f>
        <v>.</v>
      </c>
      <c r="AO29" s="45" t="str">
        <f>IFERROR((F29/(s_RadSpec!AH29*((s_Q_p_beef*s_f_p_beef*s_f_s_beef*(s_RadSpec!BB29+s_R_es_past))+(s_Q_s_beef*s_f_p_beef))))*1,".")</f>
        <v>.</v>
      </c>
      <c r="AP29" s="45" t="str">
        <f>IFERROR(((G29*s_D_milk)/(s_RadSpec!AG29*((s_Q_p_dairy*s_f_p_dairy*s_f_s_dairy*(s_RadSpec!BB29+s_R_es_past))+(s_Q_s_dairy*s_f_p_dairy))))*1,".")</f>
        <v>.</v>
      </c>
      <c r="AQ29" s="45" t="str">
        <f>IFERROR((H29/(s_RadSpec!AL29*((s_Q_p_swine*s_f_p_swine*s_f_s_swine*(s_RadSpec!BB29+s_R_es_past))+(s_Q_s_swine*s_f_p_swine))))*1,".")</f>
        <v>.</v>
      </c>
      <c r="AR29" s="45" t="str">
        <f>IFERROR((D29/(s_RadSpec!AJ29*((s_Q_p_poultry*s_f_p_poultry*s_f_s_poultry*(s_RadSpec!BB29+s_R_es_past))+(s_Q_s_poultry*s_f_p_poultry))))*1,".")</f>
        <v>.</v>
      </c>
      <c r="AS29" s="45" t="str">
        <f>IFERROR((E29/(s_RadSpec!AK29*((s_Q_p_poultry*s_f_p_poultry*s_f_s_poultry*(s_RadSpec!BB29+s_R_es_past))+(s_Q_s_poultry*s_f_p_poultry))))*1,".")</f>
        <v>.</v>
      </c>
      <c r="AT29" s="45" t="str">
        <f>IFERROR((J29/(s_RadSpec!AO29*((s_Q_p_goat*s_f_p_goat*s_f_s_goat*(s_RadSpec!BB29+s_R_es_past))+(s_Q_s_goat*s_f_p_goat))))*1,".")</f>
        <v>.</v>
      </c>
      <c r="AU29" s="45" t="str">
        <f>IFERROR((L29*s_D_milk/(s_RadSpec!AP29*((s_Q_p_goat_milk*s_f_p_goat_milk*s_f_s_goat_milk*(s_RadSpec!BB29+s_R_es_past))+(s_Q_s_goat_milk*s_f_p_goat_milk))))*1,".")</f>
        <v>.</v>
      </c>
      <c r="AV29" s="45" t="str">
        <f>IFERROR((K29/(s_RadSpec!AM29*((s_Q_p_sheep*s_f_p_sheep*s_f_s_sheep*(s_RadSpec!BB29+s_R_es_past))+(s_Q_s_sheep*s_f_p_sheep))))*1,".")</f>
        <v>.</v>
      </c>
      <c r="AW29" s="45" t="str">
        <f>IFERROR((M29*s_D_milk/(s_RadSpec!AN29*((s_Q_p_sheep_milk*s_f_p_sheep_milk*s_f_s_sheep_milk*(s_RadSpec!BB29+s_R_es_past))+(s_Q_s_sheep_milk*s_f_p_sheep_milk))))*1,".")</f>
        <v>.</v>
      </c>
      <c r="AX29" s="120" t="str">
        <f t="shared" si="10"/>
        <v>.</v>
      </c>
      <c r="AY29" s="120" t="str">
        <f t="shared" si="11"/>
        <v>.</v>
      </c>
      <c r="AZ29" s="120">
        <f t="shared" si="12"/>
        <v>0.20714687969652254</v>
      </c>
      <c r="BA29" s="120" t="str">
        <f t="shared" si="13"/>
        <v>.</v>
      </c>
      <c r="BB29" s="120" t="str">
        <f t="shared" si="14"/>
        <v>.</v>
      </c>
      <c r="BC29" s="120" t="str">
        <f t="shared" si="15"/>
        <v>.</v>
      </c>
      <c r="BD29" s="120" t="str">
        <f t="shared" si="16"/>
        <v>.</v>
      </c>
      <c r="BE29" s="120" t="str">
        <f t="shared" si="17"/>
        <v>.</v>
      </c>
      <c r="BF29" s="120" t="str">
        <f t="shared" si="18"/>
        <v>.</v>
      </c>
      <c r="BG29" s="120" t="str">
        <f t="shared" si="19"/>
        <v>.</v>
      </c>
      <c r="BH29" s="120" t="str">
        <f t="shared" si="20"/>
        <v>.</v>
      </c>
      <c r="BI29" s="120" t="str">
        <f t="shared" si="21"/>
        <v>.</v>
      </c>
      <c r="BJ29" s="120" t="str">
        <f t="shared" si="22"/>
        <v>.</v>
      </c>
      <c r="BK29" s="120" t="str">
        <f t="shared" si="23"/>
        <v>.</v>
      </c>
      <c r="BL29" s="15">
        <f t="shared" si="24"/>
        <v>4.8274924607362424</v>
      </c>
      <c r="BM29" s="40">
        <f t="shared" si="25"/>
        <v>27.5</v>
      </c>
      <c r="BN29" s="40">
        <f t="shared" si="26"/>
        <v>2.9420495991003873E-3</v>
      </c>
      <c r="BO29" s="40">
        <f>IFERROR((s_C*s_EF_far*(1/365)*s_ED_far*s_RadSpec!Q29*((s_ET_far_o*(1/24)*s_RadSpec!V29)+(s_ET_far_i*(1/24)*s_RadSpec!AA29))),".")</f>
        <v>7.7133825079030521E-2</v>
      </c>
      <c r="BP29" s="40">
        <f>s_b2s!BZ29</f>
        <v>6254.6</v>
      </c>
      <c r="BQ29" s="40">
        <f>IFERROR(((s_C*s_RadSpec!AI29)/s_RadSpec!AS29)*s_IFFI_far_adj*s_CF_far_fish,0)</f>
        <v>8250</v>
      </c>
      <c r="BR29" s="40">
        <f>(s_C*s_IFB_far_adj*s_CF_far_beef*s_RadSpec!AH29*((s_Q_p_beef*s_f_p_beef*s_f_s_beef*(s_RadSpec!$AR29+s_R_es_past))+(s_Q_s_beef*s_f_p_beef)))</f>
        <v>44687.5</v>
      </c>
      <c r="BS29" s="40">
        <f>(s_C*s_IFD_far_adj*s_CF_far_dairy*s_RadSpec!AG29*1/s_D_milk*((s_Q_p_dairy*s_f_p_dairy*s_f_s_dairy*(s_RadSpec!$AR29+s_R_es_past))+(s_Q_s_dairy*s_f_p_dairy)))</f>
        <v>6507.8883495145637</v>
      </c>
      <c r="BT29" s="40">
        <f>(s_C*s_IFSW_far_adj*s_CF_far_swine*s_RadSpec!AL29*((s_Q_p_swine*s_f_p_swine*s_f_s_swine*(s_RadSpec!$AR29+s_R_es_past))+(s_Q_s_swine*s_f_p_swine)))</f>
        <v>0</v>
      </c>
      <c r="BU29" s="40">
        <f>(s_C*s_IFP_far_adj*s_CF_far_poultry*s_RadSpec!AJ29*((s_Q_p_poultry*s_f_p_poultry*s_f_s_poultry*(s_RadSpec!AR29+s_R_es_past))+(s_Q_s_poultry*s_f_p_poultry)))</f>
        <v>0</v>
      </c>
      <c r="BV29" s="40">
        <f>(s_C*s_IFE_far_adj*s_CF_far_egg*s_RadSpec!AK29*((s_Q_p_egg*s_f_p_egg*s_f_s_egg*(s_RadSpec!$AR29+s_R_es_past))+(s_Q_s_egg*s_f_p_egg)))</f>
        <v>0</v>
      </c>
      <c r="BW29" s="40">
        <f>(s_C*s_IFGO_far_adj*s_CF_far_goat*s_RadSpec!AO29*((s_Q_p_goat*s_f_p_goat*s_f_s_goat*(s_RadSpec!$AR29+s_R_es_past))+(s_Q_s_goat*s_f_p_goat)))</f>
        <v>0</v>
      </c>
      <c r="BX29" s="40">
        <f>(s_C*s_IFGM_far_adj*s_CF_far_goat_milk*s_RadSpec!AP29*1/s_D_milk*((s_Q_p_goat_milk*s_f_p_goat_milk*s_f_s_goat_milk*(s_RadSpec!$AR29+s_R_es_past))+(s_Q_s_goat_milk*s_f_p_goat_milk)))</f>
        <v>0</v>
      </c>
      <c r="BY29" s="40">
        <f>(s_C*s_IFSH_far_adj*s_CF_far_sheep*s_RadSpec!AM29*((s_Q_p_sheep*s_f_p_sheep*s_f_s_sheep*(s_RadSpec!$AR29+s_R_es_past))+(s_Q_s_sheep*s_f_p_sheep)))</f>
        <v>893750</v>
      </c>
      <c r="BZ29" s="40">
        <f>(s_C*s_IFSM_far_adj*s_CF_far_sheep_milk*s_RadSpec!AN29*1/s_D_milk*((s_Q_p_sheep_milk*s_f_p_sheep_milk*s_f_s_sheep_milk*(s_RadSpec!$AR29+s_R_es_past))+(s_Q_s_sheep_milk*s_f_p_sheep_milk)))</f>
        <v>0</v>
      </c>
      <c r="CA29" s="18"/>
      <c r="CB29" s="18"/>
      <c r="CC29" s="18"/>
      <c r="CD29" s="18"/>
      <c r="CE29" s="18"/>
      <c r="CF29" s="18"/>
      <c r="CG29" s="18"/>
      <c r="CH29" s="18"/>
      <c r="CI29" s="18"/>
      <c r="CJ29" s="18"/>
      <c r="CK29" s="18"/>
      <c r="CL29" s="18"/>
      <c r="CM29" s="18"/>
      <c r="CN29" s="18"/>
      <c r="CO29" s="5"/>
      <c r="CP29" s="15" t="str">
        <f>IFERROR(s_TR/(s_RadSpec!H29*s_IFW_far_adj),".")</f>
        <v>.</v>
      </c>
      <c r="CQ29" s="15" t="str">
        <f>IFERROR(IF(s_RadSpec!C29=1,s_TR/(s_RadSpec!G29*s_IFA_far_adj*s_K),"."),".")</f>
        <v>.</v>
      </c>
      <c r="CR29" s="15">
        <f>IFERROR((s_TR/(s_RadSpec!L29*(1/8760)*s_DFA_far_adj)),".")</f>
        <v>815474.88029052177</v>
      </c>
      <c r="CS29" s="15" t="str">
        <f>s_b2w!BA29</f>
        <v>.</v>
      </c>
      <c r="CT29" s="15" t="str">
        <f>IFERROR(I29/(s_RadSpec!AI29*(1/1000)),".")</f>
        <v>.</v>
      </c>
      <c r="CU29" s="15" t="str">
        <f>IFERROR(F29/(s_RadSpec!AH29*s_Q_w_beef*(1/1000)),".")</f>
        <v>.</v>
      </c>
      <c r="CV29" s="15" t="str">
        <f>IFERROR((G29*s_D_milk)/(s_RadSpec!AG29*s_Q_w_dairy*(1/1000)),".")</f>
        <v>.</v>
      </c>
      <c r="CW29" s="15" t="str">
        <f>IFERROR(H29/(s_RadSpec!AL29*s_Q_w_swine*(1/1000)),".")</f>
        <v>.</v>
      </c>
      <c r="CX29" s="15" t="str">
        <f>IFERROR(D29/(s_RadSpec!AJ29*s_Q_w_poultry*(1/1000)),".")</f>
        <v>.</v>
      </c>
      <c r="CY29" s="15" t="str">
        <f>IFERROR(E29/(s_RadSpec!AK29*s_Q_w_poultry*(1/1000)),".")</f>
        <v>.</v>
      </c>
      <c r="CZ29" s="15" t="str">
        <f>IFERROR(J29/(s_RadSpec!AO29*s_Q_w_goat*(1/1000)),".")</f>
        <v>.</v>
      </c>
      <c r="DA29" s="15" t="str">
        <f>IFERROR(L29*s_D_milk/(s_RadSpec!AP29*s_Q_w_goat_milk*(1/1000)),".")</f>
        <v>.</v>
      </c>
      <c r="DB29" s="15" t="str">
        <f>IFERROR(K29/(s_RadSpec!AM29*s_Q_w_sheep*(1/1000)),".")</f>
        <v>.</v>
      </c>
      <c r="DC29" s="15" t="str">
        <f>IFERROR(M29*s_D_milk/(s_RadSpec!AN29*s_Q_w_sheep_milk*(1/1000)),".")</f>
        <v>.</v>
      </c>
      <c r="DD29" s="120" t="str">
        <f t="shared" si="27"/>
        <v>.</v>
      </c>
      <c r="DE29" s="120" t="str">
        <f t="shared" si="28"/>
        <v>.</v>
      </c>
      <c r="DF29" s="120">
        <f t="shared" si="29"/>
        <v>1.2262793424657534E-6</v>
      </c>
      <c r="DG29" s="120" t="str">
        <f t="shared" si="30"/>
        <v>.</v>
      </c>
      <c r="DH29" s="120" t="str">
        <f t="shared" si="31"/>
        <v>.</v>
      </c>
      <c r="DI29" s="120" t="str">
        <f t="shared" si="32"/>
        <v>.</v>
      </c>
      <c r="DJ29" s="120" t="str">
        <f t="shared" si="33"/>
        <v>.</v>
      </c>
      <c r="DK29" s="120" t="str">
        <f t="shared" si="34"/>
        <v>.</v>
      </c>
      <c r="DL29" s="120" t="str">
        <f t="shared" si="35"/>
        <v>.</v>
      </c>
      <c r="DM29" s="120" t="str">
        <f t="shared" si="36"/>
        <v>.</v>
      </c>
      <c r="DN29" s="120" t="str">
        <f t="shared" si="37"/>
        <v>.</v>
      </c>
      <c r="DO29" s="120" t="str">
        <f t="shared" si="38"/>
        <v>.</v>
      </c>
      <c r="DP29" s="120" t="str">
        <f t="shared" si="39"/>
        <v>.</v>
      </c>
      <c r="DQ29" s="120" t="str">
        <f t="shared" si="40"/>
        <v>.</v>
      </c>
      <c r="DR29" s="15">
        <f t="shared" si="41"/>
        <v>815474.88029052177</v>
      </c>
      <c r="DS29" s="40">
        <f t="shared" si="42"/>
        <v>2500</v>
      </c>
      <c r="DT29" s="40">
        <f t="shared" si="43"/>
        <v>455.72916666666663</v>
      </c>
      <c r="DU29" s="40">
        <f t="shared" si="44"/>
        <v>0.22831050228310501</v>
      </c>
      <c r="DV29" s="40">
        <f>s_b2w!BZ29</f>
        <v>1738.5827027196997</v>
      </c>
      <c r="DW29" s="40">
        <f>IFERROR(s_C*s_RadSpec!AI29*(1/1000)*s_IFFI_far_adj*s_CF_far_fish,0)</f>
        <v>12375</v>
      </c>
      <c r="DX29" s="40">
        <f>(s_C*s_IFB_far_adj*s_CF_far_beef*s_RadSpec!AH29*s_Q_w_beef*(1/1000))</f>
        <v>1.375</v>
      </c>
      <c r="DY29" s="40">
        <f>(s_C*s_IFD_far_adj*s_CF_far_dairy*s_RadSpec!AG29*(1/s_D_milk)*s_Q_w_dairy*(1/1000))</f>
        <v>0.20024271844660194</v>
      </c>
      <c r="DZ29" s="40">
        <f>(s_C*s_IFSW_far_adj*s_CF_far_swine*s_RadSpec!AL29*s_Q_w_swine*(1/1000))</f>
        <v>0</v>
      </c>
      <c r="EA29" s="40">
        <f>(s_C*s_IFP_far_adj*s_CF_far_poultry*s_RadSpec!AJ29*s_Q_w_poultry*(1/1000))</f>
        <v>0</v>
      </c>
      <c r="EB29" s="40">
        <f>(s_C*s_IFE_far_adj*s_CF_far_egg*s_RadSpec!AK29*s_Q_w_egg*(1/1000))</f>
        <v>0</v>
      </c>
      <c r="EC29" s="40">
        <f>(s_C*s_IFGO_far_adj*s_CF_far_goat*s_RadSpec!AO29*s_Q_p_goat*(1/1000))</f>
        <v>0</v>
      </c>
      <c r="ED29" s="40">
        <f>(s_C*s_IFGM_far_adj*s_CF_far_goat_milk*s_RadSpec!AP29*(1/s_D_milk)*s_Q_p_goat_milk*(1/1000))</f>
        <v>0</v>
      </c>
      <c r="EE29" s="40">
        <f>(s_C*s_IFSH_far_adj*s_CF_far_sheep*s_RadSpec!AM29*s_Q_p_sheep*(1/1000))</f>
        <v>27.5</v>
      </c>
      <c r="EF29" s="40">
        <f>(s_C*s_IFSM_far_adj*s_CF_far_sheep_milk*s_RadSpec!AN29*(1/s_D_milk)*s_Q_p_sheep_milk*(1/1000))</f>
        <v>0</v>
      </c>
      <c r="EG29" s="18"/>
      <c r="EH29" s="18"/>
      <c r="EI29" s="18"/>
      <c r="EJ29" s="18"/>
      <c r="EK29" s="18"/>
      <c r="EL29" s="18"/>
      <c r="EM29" s="18"/>
      <c r="EN29" s="18"/>
      <c r="EO29" s="18"/>
      <c r="EP29" s="18"/>
      <c r="EQ29" s="18"/>
      <c r="ER29" s="18"/>
      <c r="ES29" s="18"/>
      <c r="ET29" s="18"/>
      <c r="EU29" s="5"/>
      <c r="EV29" s="15" t="str">
        <f>IFERROR((s_TR/(s_RadSpec!G29*s_IFA_far_adj)),".")</f>
        <v>.</v>
      </c>
      <c r="EW29" s="15">
        <f>IFERROR((s_TR/(s_RadSpec!J29*s_EF_far*(1/365)*s_ED_far*s_ET_far*(1/24)*s_GSF_a)),".")</f>
        <v>707.77065081818864</v>
      </c>
      <c r="EX29" s="15">
        <f t="shared" si="58"/>
        <v>707.77065081818864</v>
      </c>
      <c r="EY29" s="40">
        <f t="shared" si="46"/>
        <v>911.45833333333326</v>
      </c>
      <c r="EZ29" s="40">
        <f t="shared" si="47"/>
        <v>0.57077625570776247</v>
      </c>
      <c r="FA29" s="122"/>
      <c r="FB29" s="122"/>
      <c r="FC29" s="122"/>
    </row>
    <row r="30" spans="1:159" customFormat="1" x14ac:dyDescent="0.25">
      <c r="A30" s="44" t="s">
        <v>40</v>
      </c>
      <c r="B30" s="42" t="s">
        <v>1074</v>
      </c>
      <c r="C30" s="15">
        <f>s_dir!AB30</f>
        <v>0.93778719732918203</v>
      </c>
      <c r="D30" s="15">
        <f>IFERROR(s_TR/(s_RadSpec!E30*s_IFP_far_adj*s_CF_far_poultry),".")</f>
        <v>3.7511487893167277</v>
      </c>
      <c r="E30" s="15">
        <f>IFERROR(s_TR/(s_RadSpec!E30*s_IFE_far_adj*s_CF_far_egg),".")</f>
        <v>3.7511487893167277</v>
      </c>
      <c r="F30" s="15">
        <f>IFERROR(s_TR/(s_RadSpec!E30*s_IFB_far_adj*s_CF_far_beef),".")</f>
        <v>3.7511487893167277</v>
      </c>
      <c r="G30" s="15">
        <f>IFERROR(s_TR/(s_RadSpec!E30*s_IFD_far_adj*s_CF_far_dairy),".")</f>
        <v>3.7511487893167277</v>
      </c>
      <c r="H30" s="15">
        <f>IFERROR(s_TR/(s_RadSpec!E30*s_IFSW_far_adj*s_CF_far_swine),".")</f>
        <v>3.7511487893167277</v>
      </c>
      <c r="I30" s="15">
        <f>IFERROR(s_TR/(s_RadSpec!E30*s_IFFI_far_adj*s_CF_far_fish),".")</f>
        <v>3.7511487893167277</v>
      </c>
      <c r="J30" s="15">
        <f>IFERROR(s_TR/(s_RadSpec!E30*s_IFGO_far_adj*s_CF_far_goat),".")</f>
        <v>3.7511487893167277</v>
      </c>
      <c r="K30" s="15">
        <f>IFERROR(s_TR/(s_RadSpec!E30*s_IFSH_far_adj*s_CF_far_sheep),".")</f>
        <v>3.7511487893167277</v>
      </c>
      <c r="L30" s="15">
        <f>IFERROR(s_TR/(s_RadSpec!E30*s_IFGM_far_adj*s_CF_far_goat_milk),".")</f>
        <v>3.7511487893167277</v>
      </c>
      <c r="M30" s="15">
        <f>IFERROR(s_TR/(s_RadSpec!E30*s_IFSM_far_adj*s_CF_far_sheep_milk),".")</f>
        <v>3.7511487893167277</v>
      </c>
      <c r="N30" s="40">
        <f>s_dir!BA30</f>
        <v>55000</v>
      </c>
      <c r="O30" s="40">
        <f t="shared" si="0"/>
        <v>13750</v>
      </c>
      <c r="P30" s="40">
        <f t="shared" si="1"/>
        <v>13750</v>
      </c>
      <c r="Q30" s="40">
        <f t="shared" si="2"/>
        <v>13750</v>
      </c>
      <c r="R30" s="40">
        <f t="shared" si="3"/>
        <v>13750</v>
      </c>
      <c r="S30" s="40">
        <f t="shared" si="4"/>
        <v>13750</v>
      </c>
      <c r="T30" s="40">
        <f t="shared" si="5"/>
        <v>13750</v>
      </c>
      <c r="U30" s="40">
        <f t="shared" si="6"/>
        <v>13750</v>
      </c>
      <c r="V30" s="40">
        <f t="shared" si="7"/>
        <v>13750</v>
      </c>
      <c r="W30" s="40">
        <f t="shared" si="8"/>
        <v>13750</v>
      </c>
      <c r="X30" s="40">
        <f t="shared" si="9"/>
        <v>13750</v>
      </c>
      <c r="Y30" s="5"/>
      <c r="Z30" s="5"/>
      <c r="AA30" s="5"/>
      <c r="AB30" s="5"/>
      <c r="AC30" s="5"/>
      <c r="AD30" s="5"/>
      <c r="AE30" s="5"/>
      <c r="AF30" s="5"/>
      <c r="AG30" s="5"/>
      <c r="AH30" s="5"/>
      <c r="AI30" s="5"/>
      <c r="AJ30" s="45">
        <f>IFERROR((s_TR/(s_RadSpec!D30*s_IFS_far_adj*(1/1000)))*1,".")</f>
        <v>1210.3460379322448</v>
      </c>
      <c r="AK30" s="45">
        <f>IFERROR(IF(A30="H-3",(s_TR/(s_RadSpec!G30*s_IFA_far_adj*(1/17)*1000))*1,(s_TR/(s_RadSpec!G30*s_IFA_far_adj*(1/s_PEF_wind)*1000))*1),".")</f>
        <v>60042.235700166173</v>
      </c>
      <c r="AL30" s="45">
        <f>IFERROR((s_TR/(s_RadSpec!F30*s_EF_far*(1/365)*s_ED_far*s_RadSpec!Q30*((s_ET_far_o*(1/24)*s_RadSpec!V30)+(s_ET_far_i*(1/24)*s_RadSpec!AA30))))*1,".")</f>
        <v>855497.27452481294</v>
      </c>
      <c r="AM30" s="45">
        <f>s_b2s!BA30</f>
        <v>46.058578261074956</v>
      </c>
      <c r="AN30" s="45">
        <f>IFERROR(((I30*s_RadSpec!AS30)/s_RadSpec!AI30)*1,".")</f>
        <v>1.5629786622153032</v>
      </c>
      <c r="AO30" s="45">
        <f>IFERROR((F30/(s_RadSpec!AH30*((s_Q_p_beef*s_f_p_beef*s_f_s_beef*(s_RadSpec!BB30+s_R_es_past))+(s_Q_s_beef*s_f_p_beef))))*1,".")</f>
        <v>108.81595967808855</v>
      </c>
      <c r="AP30" s="45">
        <f>IFERROR(((G30*s_D_milk)/(s_RadSpec!AG30*((s_Q_p_dairy*s_f_p_dairy*s_f_s_dairy*(s_RadSpec!BB30+s_R_es_past))+(s_Q_s_dairy*s_f_p_dairy))))*1,".")</f>
        <v>24.284095001493426</v>
      </c>
      <c r="AQ30" s="45">
        <f>IFERROR((H30/(s_RadSpec!AL30*((s_Q_p_swine*s_f_p_swine*s_f_s_swine*(s_RadSpec!BB30+s_R_es_past))+(s_Q_s_swine*s_f_p_swine))))*1,".")</f>
        <v>0.96450509714669386</v>
      </c>
      <c r="AR30" s="45">
        <f>IFERROR((D30/(s_RadSpec!AJ30*((s_Q_p_poultry*s_f_p_poultry*s_f_s_poultry*(s_RadSpec!BB30+s_R_es_past))+(s_Q_s_poultry*s_f_p_poultry))))*1,".")</f>
        <v>5.658429903260604E-2</v>
      </c>
      <c r="AS30" s="45">
        <f>IFERROR((E30/(s_RadSpec!AK30*((s_Q_p_poultry*s_f_p_poultry*s_f_s_poultry*(s_RadSpec!BB30+s_R_es_past))+(s_Q_s_poultry*s_f_p_poultry))))*1,".")</f>
        <v>3.8580203885867755E-2</v>
      </c>
      <c r="AT30" s="45" t="str">
        <f>IFERROR((J30/(s_RadSpec!AO30*((s_Q_p_goat*s_f_p_goat*s_f_s_goat*(s_RadSpec!BB30+s_R_es_past))+(s_Q_s_goat*s_f_p_goat))))*1,".")</f>
        <v>.</v>
      </c>
      <c r="AU30" s="45">
        <f>IFERROR((L30*s_D_milk/(s_RadSpec!AP30*((s_Q_p_goat_milk*s_f_p_goat_milk*s_f_s_goat_milk*(s_RadSpec!BB30+s_R_es_past))+(s_Q_s_goat_milk*s_f_p_goat_milk))))*1,".")</f>
        <v>31.222407859062976</v>
      </c>
      <c r="AV30" s="45">
        <f>IFERROR((K30/(s_RadSpec!AM30*((s_Q_p_sheep*s_f_p_sheep*s_f_s_sheep*(s_RadSpec!BB30+s_R_es_past))+(s_Q_s_sheep*s_f_p_sheep))))*1,".")</f>
        <v>21.219112137227263</v>
      </c>
      <c r="AW30" s="45" t="str">
        <f>IFERROR((M30*s_D_milk/(s_RadSpec!AN30*((s_Q_p_sheep_milk*s_f_p_sheep_milk*s_f_s_sheep_milk*(s_RadSpec!BB30+s_R_es_past))+(s_Q_s_sheep_milk*s_f_p_sheep_milk))))*1,".")</f>
        <v>.</v>
      </c>
      <c r="AX30" s="120">
        <f t="shared" si="10"/>
        <v>8.2620999999999997E-4</v>
      </c>
      <c r="AY30" s="120">
        <f t="shared" si="11"/>
        <v>1.6654942780507295E-5</v>
      </c>
      <c r="AZ30" s="120">
        <f t="shared" si="12"/>
        <v>1.1689107958356165E-6</v>
      </c>
      <c r="BA30" s="120">
        <f t="shared" si="13"/>
        <v>2.1711482155000003E-2</v>
      </c>
      <c r="BB30" s="120">
        <f t="shared" si="14"/>
        <v>0.63980400000000004</v>
      </c>
      <c r="BC30" s="120">
        <f t="shared" si="15"/>
        <v>9.189828431034483E-3</v>
      </c>
      <c r="BD30" s="120">
        <f t="shared" si="16"/>
        <v>4.1179216270505525E-2</v>
      </c>
      <c r="BE30" s="120">
        <f t="shared" si="17"/>
        <v>1.0368011563218391</v>
      </c>
      <c r="BF30" s="120">
        <f t="shared" si="18"/>
        <v>17.672746982758621</v>
      </c>
      <c r="BG30" s="120">
        <f t="shared" si="19"/>
        <v>25.920028908045978</v>
      </c>
      <c r="BH30" s="120" t="str">
        <f t="shared" si="20"/>
        <v>.</v>
      </c>
      <c r="BI30" s="120">
        <f t="shared" si="21"/>
        <v>3.2028279321504295E-2</v>
      </c>
      <c r="BJ30" s="120">
        <f t="shared" si="22"/>
        <v>4.7127325287356331E-2</v>
      </c>
      <c r="BK30" s="120" t="str">
        <f t="shared" si="23"/>
        <v>.</v>
      </c>
      <c r="BL30" s="15">
        <f t="shared" si="24"/>
        <v>2.2016024436615916E-2</v>
      </c>
      <c r="BM30" s="40">
        <f t="shared" si="25"/>
        <v>27.5</v>
      </c>
      <c r="BN30" s="40">
        <f t="shared" si="26"/>
        <v>2.9420495991003873E-3</v>
      </c>
      <c r="BO30" s="40">
        <f>IFERROR((s_C*s_EF_far*(1/365)*s_ED_far*s_RadSpec!Q30*((s_ET_far_o*(1/24)*s_RadSpec!V30)+(s_ET_far_i*(1/24)*s_RadSpec!AA30))),".")</f>
        <v>8.21917808219178E-3</v>
      </c>
      <c r="BP30" s="40">
        <f>s_b2s!BZ30</f>
        <v>1119.8412499999999</v>
      </c>
      <c r="BQ30" s="40">
        <f>IFERROR(((s_C*s_RadSpec!AI30)/s_RadSpec!AS30)*s_IFFI_far_adj*s_CF_far_fish,0)</f>
        <v>32999.999999999993</v>
      </c>
      <c r="BR30" s="40">
        <f>(s_C*s_IFB_far_adj*s_CF_far_beef*s_RadSpec!AH30*((s_Q_p_beef*s_f_p_beef*s_f_s_beef*(s_RadSpec!$AR30+s_R_es_past))+(s_Q_s_beef*s_f_p_beef)))</f>
        <v>473.99568965517238</v>
      </c>
      <c r="BS30" s="40">
        <f>(s_C*s_IFD_far_adj*s_CF_far_dairy*s_RadSpec!AG30*1/s_D_milk*((s_Q_p_dairy*s_f_p_dairy*s_f_s_dairy*(s_RadSpec!$AR30+s_R_es_past))+(s_Q_s_dairy*s_f_p_dairy)))</f>
        <v>2123.9537997991292</v>
      </c>
      <c r="BT30" s="40">
        <f>(s_C*s_IFSW_far_adj*s_CF_far_swine*s_RadSpec!AL30*((s_Q_p_swine*s_f_p_swine*s_f_s_swine*(s_RadSpec!$AR30+s_R_es_past))+(s_Q_s_swine*s_f_p_swine)))</f>
        <v>53476.436781609198</v>
      </c>
      <c r="BU30" s="40">
        <f>(s_C*s_IFP_far_adj*s_CF_far_poultry*s_RadSpec!AJ30*((s_Q_p_poultry*s_f_p_poultry*s_f_s_poultry*(s_RadSpec!AR30+s_R_es_past))+(s_Q_s_poultry*s_f_p_poultry)))</f>
        <v>911530.17241379304</v>
      </c>
      <c r="BV30" s="40">
        <f>(s_C*s_IFE_far_adj*s_CF_far_egg*s_RadSpec!AK30*((s_Q_p_egg*s_f_p_egg*s_f_s_egg*(s_RadSpec!$AR30+s_R_es_past))+(s_Q_s_egg*s_f_p_egg)))</f>
        <v>1336910.91954023</v>
      </c>
      <c r="BW30" s="40">
        <f>(s_C*s_IFGO_far_adj*s_CF_far_goat*s_RadSpec!AO30*((s_Q_p_goat*s_f_p_goat*s_f_s_goat*(s_RadSpec!$AR30+s_R_es_past))+(s_Q_s_goat*s_f_p_goat)))</f>
        <v>0</v>
      </c>
      <c r="BX30" s="40">
        <f>(s_C*s_IFGM_far_adj*s_CF_far_goat_milk*s_RadSpec!AP30*1/s_D_milk*((s_Q_p_goat_milk*s_f_p_goat_milk*s_f_s_goat_milk*(s_RadSpec!$AR30+s_R_es_past))+(s_Q_s_goat_milk*s_f_p_goat_milk)))</f>
        <v>1651.9640665104341</v>
      </c>
      <c r="BY30" s="40">
        <f>(s_C*s_IFSH_far_adj*s_CF_far_sheep*s_RadSpec!AM30*((s_Q_p_sheep*s_f_p_sheep*s_f_s_sheep*(s_RadSpec!$AR30+s_R_es_past))+(s_Q_s_sheep*s_f_p_sheep)))</f>
        <v>2430.7471264367814</v>
      </c>
      <c r="BZ30" s="40">
        <f>(s_C*s_IFSM_far_adj*s_CF_far_sheep_milk*s_RadSpec!AN30*1/s_D_milk*((s_Q_p_sheep_milk*s_f_p_sheep_milk*s_f_s_sheep_milk*(s_RadSpec!$AR30+s_R_es_past))+(s_Q_s_sheep_milk*s_f_p_sheep_milk)))</f>
        <v>0</v>
      </c>
      <c r="CA30" s="18"/>
      <c r="CB30" s="18"/>
      <c r="CC30" s="18"/>
      <c r="CD30" s="18"/>
      <c r="CE30" s="18"/>
      <c r="CF30" s="18"/>
      <c r="CG30" s="18"/>
      <c r="CH30" s="18"/>
      <c r="CI30" s="18"/>
      <c r="CJ30" s="18"/>
      <c r="CK30" s="18"/>
      <c r="CL30" s="18"/>
      <c r="CM30" s="18"/>
      <c r="CN30" s="18"/>
      <c r="CO30" s="5"/>
      <c r="CP30" s="15">
        <f>IFERROR(s_TR/(s_RadSpec!H30*s_IFW_far_adj),".")</f>
        <v>27.862914460852604</v>
      </c>
      <c r="CQ30" s="15" t="str">
        <f>IFERROR(IF(s_RadSpec!C30=1,s_TR/(s_RadSpec!G30*s_IFA_far_adj*s_K),"."),".")</f>
        <v>.</v>
      </c>
      <c r="CR30" s="15">
        <f>IFERROR((s_TR/(s_RadSpec!L30*(1/8760)*s_DFA_far_adj)),".")</f>
        <v>10478168852.894972</v>
      </c>
      <c r="CS30" s="15">
        <f>s_b2w!BA30</f>
        <v>71.805822354410395</v>
      </c>
      <c r="CT30" s="15">
        <f>IFERROR(I30/(s_RadSpec!AI30*(1/1000)),".")</f>
        <v>3907.4466555382578</v>
      </c>
      <c r="CU30" s="15">
        <f>IFERROR(F30/(s_RadSpec!AH30*s_Q_w_beef*(1/1000)),".")</f>
        <v>1923666.04580345</v>
      </c>
      <c r="CV30" s="15">
        <f>IFERROR((G30*s_D_milk)/(s_RadSpec!AG30*s_Q_w_dairy*(1/1000)),".")</f>
        <v>429298.13922180329</v>
      </c>
      <c r="CW30" s="15">
        <f>IFERROR(H30/(s_RadSpec!AL30*s_Q_w_swine*(1/1000)),".")</f>
        <v>17050.676315076038</v>
      </c>
      <c r="CX30" s="15">
        <f>IFERROR(D30/(s_RadSpec!AJ30*s_Q_w_poultry*(1/1000)),".")</f>
        <v>1000.3063438177941</v>
      </c>
      <c r="CY30" s="15">
        <f>IFERROR(E30/(s_RadSpec!AK30*s_Q_w_poultry*(1/1000)),".")</f>
        <v>682.0270526030414</v>
      </c>
      <c r="CZ30" s="15" t="str">
        <f>IFERROR(J30/(s_RadSpec!AO30*s_Q_w_goat*(1/1000)),".")</f>
        <v>.</v>
      </c>
      <c r="DA30" s="15">
        <f>IFERROR(L30*s_D_milk/(s_RadSpec!AP30*s_Q_w_goat_milk*(1/1000)),".")</f>
        <v>551954.75042803283</v>
      </c>
      <c r="DB30" s="15">
        <f>IFERROR(K30/(s_RadSpec!AM30*s_Q_w_sheep*(1/1000)),".")</f>
        <v>375114.87893167272</v>
      </c>
      <c r="DC30" s="15" t="str">
        <f>IFERROR(M30*s_D_milk/(s_RadSpec!AN30*s_Q_w_sheep_milk*(1/1000)),".")</f>
        <v>.</v>
      </c>
      <c r="DD30" s="120">
        <f t="shared" si="27"/>
        <v>3.5889999999999998E-2</v>
      </c>
      <c r="DE30" s="120" t="str">
        <f t="shared" si="28"/>
        <v>.</v>
      </c>
      <c r="DF30" s="120">
        <f t="shared" si="29"/>
        <v>9.5436522739726029E-11</v>
      </c>
      <c r="DG30" s="120">
        <f t="shared" si="30"/>
        <v>1.3926447288136641E-2</v>
      </c>
      <c r="DH30" s="120">
        <f t="shared" si="31"/>
        <v>2.5592160000000003E-4</v>
      </c>
      <c r="DI30" s="120">
        <f t="shared" si="32"/>
        <v>5.198407500000001E-7</v>
      </c>
      <c r="DJ30" s="120">
        <f t="shared" si="33"/>
        <v>2.3293834951456313E-6</v>
      </c>
      <c r="DK30" s="120">
        <f t="shared" si="34"/>
        <v>5.86487E-5</v>
      </c>
      <c r="DL30" s="120">
        <f t="shared" si="35"/>
        <v>9.996937500000001E-4</v>
      </c>
      <c r="DM30" s="120">
        <f t="shared" si="36"/>
        <v>1.4662175000000003E-3</v>
      </c>
      <c r="DN30" s="120" t="str">
        <f t="shared" si="37"/>
        <v>.</v>
      </c>
      <c r="DO30" s="120">
        <f t="shared" si="38"/>
        <v>1.811742718446602E-6</v>
      </c>
      <c r="DP30" s="120">
        <f t="shared" si="39"/>
        <v>2.6658500000000009E-6</v>
      </c>
      <c r="DQ30" s="120" t="str">
        <f t="shared" si="40"/>
        <v>.</v>
      </c>
      <c r="DR30" s="15">
        <f t="shared" si="41"/>
        <v>19.00986879735099</v>
      </c>
      <c r="DS30" s="40">
        <f t="shared" si="42"/>
        <v>2500</v>
      </c>
      <c r="DT30" s="40">
        <f t="shared" si="43"/>
        <v>455.72916666666663</v>
      </c>
      <c r="DU30" s="40">
        <f t="shared" si="44"/>
        <v>0.22831050228310501</v>
      </c>
      <c r="DV30" s="40">
        <f>s_b2w!BZ30</f>
        <v>718.30241841018358</v>
      </c>
      <c r="DW30" s="40">
        <f>IFERROR(s_C*s_RadSpec!AI30*(1/1000)*s_IFFI_far_adj*s_CF_far_fish,0)</f>
        <v>13.2</v>
      </c>
      <c r="DX30" s="40">
        <f>(s_C*s_IFB_far_adj*s_CF_far_beef*s_RadSpec!AH30*s_Q_w_beef*(1/1000))</f>
        <v>2.68125E-2</v>
      </c>
      <c r="DY30" s="40">
        <f>(s_C*s_IFD_far_adj*s_CF_far_dairy*s_RadSpec!AG30*(1/s_D_milk)*s_Q_w_dairy*(1/1000))</f>
        <v>0.12014563106796117</v>
      </c>
      <c r="DZ30" s="40">
        <f>(s_C*s_IFSW_far_adj*s_CF_far_swine*s_RadSpec!AL30*s_Q_w_swine*(1/1000))</f>
        <v>3.0249999999999999</v>
      </c>
      <c r="EA30" s="40">
        <f>(s_C*s_IFP_far_adj*s_CF_far_poultry*s_RadSpec!AJ30*s_Q_w_poultry*(1/1000))</f>
        <v>51.5625</v>
      </c>
      <c r="EB30" s="40">
        <f>(s_C*s_IFE_far_adj*s_CF_far_egg*s_RadSpec!AK30*s_Q_w_egg*(1/1000))</f>
        <v>75.625000000000014</v>
      </c>
      <c r="EC30" s="40">
        <f>(s_C*s_IFGO_far_adj*s_CF_far_goat*s_RadSpec!AO30*s_Q_p_goat*(1/1000))</f>
        <v>0</v>
      </c>
      <c r="ED30" s="40">
        <f>(s_C*s_IFGM_far_adj*s_CF_far_goat_milk*s_RadSpec!AP30*(1/s_D_milk)*s_Q_p_goat_milk*(1/1000))</f>
        <v>9.3446601941747573E-2</v>
      </c>
      <c r="EE30" s="40">
        <f>(s_C*s_IFSH_far_adj*s_CF_far_sheep*s_RadSpec!AM30*s_Q_p_sheep*(1/1000))</f>
        <v>0.13750000000000001</v>
      </c>
      <c r="EF30" s="40">
        <f>(s_C*s_IFSM_far_adj*s_CF_far_sheep_milk*s_RadSpec!AN30*(1/s_D_milk)*s_Q_p_sheep_milk*(1/1000))</f>
        <v>0</v>
      </c>
      <c r="EG30" s="18"/>
      <c r="EH30" s="18"/>
      <c r="EI30" s="18"/>
      <c r="EJ30" s="18"/>
      <c r="EK30" s="18"/>
      <c r="EL30" s="18"/>
      <c r="EM30" s="18"/>
      <c r="EN30" s="18"/>
      <c r="EO30" s="18"/>
      <c r="EP30" s="18"/>
      <c r="EQ30" s="18"/>
      <c r="ER30" s="18"/>
      <c r="ES30" s="18"/>
      <c r="ET30" s="18"/>
      <c r="EU30" s="5"/>
      <c r="EV30" s="15">
        <f>IFERROR((s_TR/(s_RadSpec!G30*s_IFA_far_adj)),".")</f>
        <v>0.19380725263078202</v>
      </c>
      <c r="EW30" s="15">
        <f>IFERROR((s_TR/(s_RadSpec!J30*s_EF_far*(1/365)*s_ED_far*s_ET_far*(1/24)*s_GSF_a)),".")</f>
        <v>9342925.1540134512</v>
      </c>
      <c r="EX30" s="15">
        <f t="shared" ref="EX30" si="59">IFERROR(IF(AND(ISNUMBER(EV30),ISNUMBER(EW30)),1/((1/EV30)+(1/EW30)),IF(AND(ISNUMBER(EV30),NOT(ISNUMBER(EW30))),1/((1/EV30)),IF(AND(NOT(ISNUMBER(EV30)),ISNUMBER(EW30)),1/((1/EW30)),IF(AND(NOT(ISNUMBER(EV30)),NOT(ISNUMBER(EW30))),".")))),".")</f>
        <v>0.19380724861049398</v>
      </c>
      <c r="EY30" s="40">
        <f t="shared" si="46"/>
        <v>911.45833333333326</v>
      </c>
      <c r="EZ30" s="40">
        <f t="shared" si="47"/>
        <v>0.57077625570776247</v>
      </c>
      <c r="FA30" s="122"/>
      <c r="FB30" s="122"/>
      <c r="FC30" s="122"/>
    </row>
    <row r="31" spans="1:159" x14ac:dyDescent="0.25">
      <c r="A31" s="82" t="s">
        <v>13</v>
      </c>
      <c r="B31" s="82" t="s">
        <v>1074</v>
      </c>
      <c r="C31" s="58">
        <f>1/SUM(1/C32,1/C33,1/C34,1/C35,1/C36,1/C37,1/C38,1/C41,1/C44)</f>
        <v>8.7497543148809753E-2</v>
      </c>
      <c r="D31" s="58">
        <f t="shared" ref="D31:M31" si="60">1/SUM(1/D32,1/D33,1/D34,1/D35,1/D36,1/D37,1/D38,1/D41,1/D44)</f>
        <v>0.34999017259523901</v>
      </c>
      <c r="E31" s="58">
        <f t="shared" si="60"/>
        <v>0.34999017259523901</v>
      </c>
      <c r="F31" s="58">
        <f t="shared" si="60"/>
        <v>0.34999017259523901</v>
      </c>
      <c r="G31" s="58">
        <f t="shared" si="60"/>
        <v>0.34999017259523901</v>
      </c>
      <c r="H31" s="58">
        <f t="shared" si="60"/>
        <v>0.34999017259523901</v>
      </c>
      <c r="I31" s="58">
        <f t="shared" si="60"/>
        <v>0.34999017259523901</v>
      </c>
      <c r="J31" s="58">
        <f t="shared" si="60"/>
        <v>0.34999017259523901</v>
      </c>
      <c r="K31" s="58">
        <f t="shared" si="60"/>
        <v>0.34999017259523901</v>
      </c>
      <c r="L31" s="58">
        <f t="shared" si="60"/>
        <v>0.34999017259523901</v>
      </c>
      <c r="M31" s="58">
        <f t="shared" si="60"/>
        <v>0.34999017259523901</v>
      </c>
      <c r="N31" s="73"/>
      <c r="O31" s="73"/>
      <c r="P31" s="73"/>
      <c r="Q31" s="73"/>
      <c r="R31" s="73"/>
      <c r="S31" s="73"/>
      <c r="T31" s="73"/>
      <c r="U31" s="73"/>
      <c r="V31" s="73"/>
      <c r="W31" s="73"/>
      <c r="X31" s="73"/>
      <c r="Y31" s="47">
        <f>IFERROR(IF(SUM(N32:N44)&gt;0.01,1-EXP(-SUM(N32:N44)),SUM(N32:N44)),".")</f>
        <v>5.7144475738688651E-5</v>
      </c>
      <c r="Z31" s="47">
        <f t="shared" ref="Z31:AI31" si="61">IFERROR(IF(SUM(O32:O44)&gt;0.01,1-EXP(-SUM(O32:O44)),SUM(O32:O44)),".")</f>
        <v>1.4286115415539002E-5</v>
      </c>
      <c r="AA31" s="47">
        <f t="shared" si="61"/>
        <v>1.4286115415539002E-5</v>
      </c>
      <c r="AB31" s="47">
        <f t="shared" si="61"/>
        <v>1.4286115415539002E-5</v>
      </c>
      <c r="AC31" s="47">
        <f t="shared" si="61"/>
        <v>1.4286115415539002E-5</v>
      </c>
      <c r="AD31" s="47">
        <f t="shared" si="61"/>
        <v>1.4286115415539002E-5</v>
      </c>
      <c r="AE31" s="47">
        <f t="shared" si="61"/>
        <v>1.4286115415539002E-5</v>
      </c>
      <c r="AF31" s="47">
        <f t="shared" si="61"/>
        <v>1.4286115415539002E-5</v>
      </c>
      <c r="AG31" s="47">
        <f t="shared" si="61"/>
        <v>1.4286115415539002E-5</v>
      </c>
      <c r="AH31" s="47">
        <f t="shared" si="61"/>
        <v>1.4286115415539002E-5</v>
      </c>
      <c r="AI31" s="47">
        <f t="shared" si="61"/>
        <v>1.4286115415539002E-5</v>
      </c>
      <c r="AJ31" s="58">
        <f>1/SUM(1/AJ32,1/AJ33,1/AJ34,1/AJ35,1/AJ36,1/AJ37,1/AJ38,1/AJ41,1/AJ44)</f>
        <v>114.13560117368324</v>
      </c>
      <c r="AK31" s="58">
        <f>1/SUM(1/AK32,1/AK33,1/AK34,1/AK35,1/AK36,1/AK37,1/AK38,1/AK41,1/AK44)</f>
        <v>5242.5655666682942</v>
      </c>
      <c r="AL31" s="58">
        <f>1/SUM(1/AL32,1/AL33,1/AL34,1/AL35,1/AL36,1/AL37,1/AL38,1/AL41,1/AL43,1/AL39,1/AL40,1/AL42)</f>
        <v>75.863028108562347</v>
      </c>
      <c r="AM31" s="58">
        <f t="shared" ref="AM31" si="62">1/SUM(1/AM32,1/AM33,1/AM34,1/AM35,1/AM36,1/AM37,1/AM38,1/AM41,1/AM44)</f>
        <v>4.3150000781390121</v>
      </c>
      <c r="AN31" s="58">
        <f>1/SUM(1/AN32,1/AN33,1/AN34,1/AN35,1/AN36,1/AN37,1/AN38,1/AN41,1/AN44)</f>
        <v>1.7006091362305683E-2</v>
      </c>
      <c r="AO31" s="58">
        <f>1/SUM(1/AO32,1/AO33,1/AO34,1/AO35,1/AO36,1/AO37,1/AO38,1/AO41,1/AO44)</f>
        <v>7.8032749956005443</v>
      </c>
      <c r="AP31" s="58">
        <f>1/SUM(1/AP32,1/AP33,1/AP34,1/AP35,1/AP36,1/AP37,1/AP38,1/AP41,1/AP44)</f>
        <v>17.793828368160575</v>
      </c>
      <c r="AQ31" s="58">
        <f>1/SUM(1/AQ32,1/AQ35)</f>
        <v>0.95944870705335272</v>
      </c>
      <c r="AR31" s="58">
        <f>1/SUM(1/AR32,1/AR35)</f>
        <v>5.5973504625279356E-2</v>
      </c>
      <c r="AS31" s="58">
        <f>1/SUM(1/AS32,1/AS35)</f>
        <v>3.8437214748991928E-2</v>
      </c>
      <c r="AT31" s="121" t="str">
        <f>IFERROR(1/SUM(1/AT32,1/AT33,1/AT34,1/AT35,1/AT36,1/AT37,1/AT38,1/AT41,1/AT44),".")</f>
        <v>.</v>
      </c>
      <c r="AU31" s="58">
        <f>1/SUM(1/AU32,1/AU33,1/AU35,1/AU44)</f>
        <v>29.610338196738077</v>
      </c>
      <c r="AV31" s="58">
        <f>1/SUM(1/AV32,1/AV33,1/AV35,1/AV36,1/AV37,1/AV44)</f>
        <v>3.1317378663236393</v>
      </c>
      <c r="AW31" s="58">
        <f>1/SUM(1/AW44)</f>
        <v>344.70971887509535</v>
      </c>
      <c r="AX31" s="42"/>
      <c r="AY31" s="42"/>
      <c r="AZ31" s="42"/>
      <c r="BA31" s="42"/>
      <c r="BB31" s="42"/>
      <c r="BC31" s="42"/>
      <c r="BD31" s="42"/>
      <c r="BE31" s="42"/>
      <c r="BF31" s="42"/>
      <c r="BG31" s="42"/>
      <c r="BH31" s="42"/>
      <c r="BI31" s="42"/>
      <c r="BJ31" s="42"/>
      <c r="BK31" s="42"/>
      <c r="BL31" s="59">
        <f>1/SUM(1/BL32,1/BL33,1/BL34,1/BL35,1/BL36,1/BL37,1/BL38,1/BL41,1/BL44)</f>
        <v>9.5678160664681086E-3</v>
      </c>
      <c r="BM31" s="73"/>
      <c r="BN31" s="73"/>
      <c r="BO31" s="73"/>
      <c r="BP31" s="73"/>
      <c r="BQ31" s="73"/>
      <c r="BR31" s="73"/>
      <c r="BS31" s="73"/>
      <c r="BT31" s="73"/>
      <c r="BU31" s="73"/>
      <c r="BV31" s="73"/>
      <c r="BW31" s="73"/>
      <c r="BX31" s="73"/>
      <c r="BY31" s="73"/>
      <c r="BZ31" s="73"/>
      <c r="CA31" s="47">
        <f t="shared" ref="CA31:CN31" si="63">IFERROR(IF(SUM(BM32:BM44)&gt;0.01,1-EXP(-SUM(BM32:BM44)),SUM(BM32:BM44)),".")</f>
        <v>4.380754075489E-8</v>
      </c>
      <c r="CB31" s="47">
        <f t="shared" si="63"/>
        <v>9.5373151492648887E-10</v>
      </c>
      <c r="CC31" s="47">
        <f t="shared" si="63"/>
        <v>6.59082576145635E-8</v>
      </c>
      <c r="CD31" s="47">
        <f t="shared" si="63"/>
        <v>1.1587497846758615E-6</v>
      </c>
      <c r="CE31" s="47">
        <f t="shared" si="63"/>
        <v>2.9401229791594513E-4</v>
      </c>
      <c r="CF31" s="47">
        <f t="shared" si="63"/>
        <v>6.4075660576091182E-7</v>
      </c>
      <c r="CG31" s="47">
        <f t="shared" si="63"/>
        <v>2.8099630369295683E-7</v>
      </c>
      <c r="CH31" s="47">
        <f t="shared" si="63"/>
        <v>5.2113260075735993E-6</v>
      </c>
      <c r="CI31" s="47">
        <f t="shared" si="63"/>
        <v>8.9327978183125002E-5</v>
      </c>
      <c r="CJ31" s="47">
        <f t="shared" si="63"/>
        <v>1.3008226617489582E-4</v>
      </c>
      <c r="CK31" s="47">
        <f t="shared" si="63"/>
        <v>0</v>
      </c>
      <c r="CL31" s="47">
        <f t="shared" si="63"/>
        <v>1.6885994232078069E-7</v>
      </c>
      <c r="CM31" s="47">
        <f t="shared" si="63"/>
        <v>1.5965576345856563E-6</v>
      </c>
      <c r="CN31" s="47">
        <f t="shared" si="63"/>
        <v>1.4504958016027787E-8</v>
      </c>
      <c r="CO31" s="47">
        <f>IFERROR(IF(SUM(BM32:BZ44)&gt;0.01,1-EXP(-SUM(BM32:BZ44)),SUM(BM32:BZ44)),".")</f>
        <v>5.2260496304047622E-4</v>
      </c>
      <c r="CP31" s="59">
        <f t="shared" ref="CP31" si="64">1/SUM(1/CP32,1/CP33,1/CP34,1/CP35,1/CP36,1/CP37,1/CP38,1/CP41,1/CP44)</f>
        <v>2.5929922198125603</v>
      </c>
      <c r="CQ31" s="59" t="str">
        <f>IFERROR(1/SUM(1/CQ32,1/CQ33,1/CQ34,1/CQ35,1/CQ36,1/CQ37,1/CQ38,1/CQ41,1/CQ44),".")</f>
        <v>.</v>
      </c>
      <c r="CR31" s="59">
        <f>1/SUM(1/CR32,1/CR33,1/CR34,1/CR35,1/CR36,1/CR37,1/CR38,1/CR41,1/CR44,1/CR39,1/CR40,1/CR42,1/CR43)</f>
        <v>4518672.8717499552</v>
      </c>
      <c r="CS31" s="59">
        <f>1/SUM(1/CS32,1/CS33,1/CS34,1/CS35,1/CS36,1/CS37,1/CS38,1/CS41,1/CS44)</f>
        <v>6.7081296395604291</v>
      </c>
      <c r="CT31" s="59">
        <f>1/SUM(1/CT32,1/CT33,1/CT34,1/CT35,1/CT36,1/CT37,1/CT38,1/CT41,1/CT44)</f>
        <v>8.831295376569317</v>
      </c>
      <c r="CU31" s="59">
        <f>1/SUM(1/CU32,1/CU33,1/CU34,1/CU35,1/CU36,1/CU37,1/CU38,1/CU41,1/CU44)</f>
        <v>139200.05148919075</v>
      </c>
      <c r="CV31" s="59">
        <f>1/SUM(1/CV32,1/CV33,1/CV34,1/CV35,1/CV36,1/CV37,1/CV38,1/CV41,1/CV44)</f>
        <v>316673.38153412187</v>
      </c>
      <c r="CW31" s="59">
        <f>1/SUM(1/CW32,1/CW35)</f>
        <v>16960.386678499053</v>
      </c>
      <c r="CX31" s="59">
        <f>1/SUM(1/CX32,1/CX35)</f>
        <v>989.40028268650167</v>
      </c>
      <c r="CY31" s="59">
        <f>1/SUM(1/CY32,1/CY35)</f>
        <v>679.47372144300391</v>
      </c>
      <c r="CZ31" s="59" t="str">
        <f>(IFERROR(1/SUM(1/CZ32,1/CZ33,1/CZ34,1/CZ35,1/CZ36,1/CZ37,1/CZ38,1/CZ41,1/CZ44),"."))</f>
        <v>.</v>
      </c>
      <c r="DA31" s="59">
        <f>1/SUM(1/DA32,1/DA33,1/DA35,1/DA44)</f>
        <v>523395.9639224885</v>
      </c>
      <c r="DB31" s="59">
        <f>1/SUM(1/DB32,1/DB33,1/DB35,1/DB36,1/DB37,1/DB44)</f>
        <v>55841.006219064162</v>
      </c>
      <c r="DC31" s="59">
        <f>1/SUM(1/DC44)</f>
        <v>6141380.0489241127</v>
      </c>
      <c r="DD31" s="15"/>
      <c r="DE31" s="15"/>
      <c r="DF31" s="15"/>
      <c r="DG31" s="15"/>
      <c r="DH31" s="15"/>
      <c r="DI31" s="15"/>
      <c r="DJ31" s="15"/>
      <c r="DK31" s="15"/>
      <c r="DL31" s="15"/>
      <c r="DM31" s="15"/>
      <c r="DN31" s="15"/>
      <c r="DO31" s="15"/>
      <c r="DP31" s="15"/>
      <c r="DQ31" s="15"/>
      <c r="DR31" s="59">
        <f>1/SUM(1/DR32,1/DR33,1/DR34,1/DR35,1/DR36,1/DR37,1/DR38,1/DR41,1/DR44,1/DR39,1/DR40,1/DR42,1/DR43)</f>
        <v>1.5372003080281</v>
      </c>
      <c r="DS31" s="70"/>
      <c r="DT31" s="70"/>
      <c r="DU31" s="70"/>
      <c r="DV31" s="70"/>
      <c r="DW31" s="70"/>
      <c r="DX31" s="70"/>
      <c r="DY31" s="70"/>
      <c r="DZ31" s="70"/>
      <c r="EA31" s="70"/>
      <c r="EB31" s="70"/>
      <c r="EC31" s="70"/>
      <c r="ED31" s="70"/>
      <c r="EE31" s="70"/>
      <c r="EF31" s="70"/>
      <c r="EG31" s="47">
        <f t="shared" ref="EG31:ET31" si="65">IFERROR(IF(SUM(DS32:DS44)&gt;0.01,1-EXP(-SUM(DS32:DS44)),SUM(DS32:DS44)),".")</f>
        <v>1.928274200669E-6</v>
      </c>
      <c r="EH31" s="47">
        <f t="shared" si="65"/>
        <v>1.4773485418263869E-4</v>
      </c>
      <c r="EI31" s="47">
        <f t="shared" si="65"/>
        <v>1.1065195781839462E-12</v>
      </c>
      <c r="EJ31" s="47">
        <f t="shared" si="65"/>
        <v>7.4536462344269191E-7</v>
      </c>
      <c r="EK31" s="47">
        <f t="shared" si="65"/>
        <v>5.6616835773217503E-7</v>
      </c>
      <c r="EL31" s="47">
        <f t="shared" si="65"/>
        <v>3.591952694348151E-11</v>
      </c>
      <c r="EM31" s="47">
        <f t="shared" si="65"/>
        <v>1.5789138877974321E-11</v>
      </c>
      <c r="EN31" s="47">
        <f t="shared" si="65"/>
        <v>2.9480459937499998E-10</v>
      </c>
      <c r="EO31" s="47">
        <f t="shared" si="65"/>
        <v>5.0535663749999996E-9</v>
      </c>
      <c r="EP31" s="47">
        <f t="shared" si="65"/>
        <v>7.3586363125000017E-9</v>
      </c>
      <c r="EQ31" s="47">
        <f t="shared" si="65"/>
        <v>0</v>
      </c>
      <c r="ER31" s="47">
        <f t="shared" si="65"/>
        <v>9.5529968602135932E-12</v>
      </c>
      <c r="ES31" s="47">
        <f t="shared" si="65"/>
        <v>8.95399337967695E-11</v>
      </c>
      <c r="ET31" s="47">
        <f t="shared" si="65"/>
        <v>8.1414925638349525E-13</v>
      </c>
      <c r="EU31" s="47">
        <f>IFERROR(IF(SUM(DS32:EF44)&gt;0.01,1-EXP(-SUM(DS32:EF44)),SUM(DS32:EF44)),".")</f>
        <v>1.509875210940347E-4</v>
      </c>
      <c r="EV31" s="59">
        <f>1/SUM(1/EV32,1/EV33,1/EV34,1/EV35,1/EV36,1/EV37,1/EV38,1/EV41,1/EV44)</f>
        <v>1.6922208464830849E-2</v>
      </c>
      <c r="EW31" s="59">
        <f t="shared" ref="EW31:EX31" si="66">1/SUM(1/EW32,1/EW33,1/EW34,1/EW35,1/EW36,1/EW37,1/EW38,1/EW41,1/EW44,1/EW39,1/EW40,1/EW42,1/EW43)</f>
        <v>3964.1826829411029</v>
      </c>
      <c r="EX31" s="59">
        <f t="shared" si="66"/>
        <v>1.6922136228019424E-2</v>
      </c>
      <c r="EY31" s="70"/>
      <c r="EZ31" s="70"/>
      <c r="FA31" s="47">
        <f>IFERROR(IF(SUM(EY32:EY44)&gt;0.01,1-EXP(-SUM(EY32:EY44)),SUM(EY32:EY44)),".")</f>
        <v>2.9546970836527738E-4</v>
      </c>
      <c r="FB31" s="47">
        <f>IFERROR(IF(SUM(EZ32:EZ44)&gt;0.01,1-EXP(-SUM(EZ32:EZ44)),SUM(EZ32:EZ44)),".")</f>
        <v>1.2612940421530735E-9</v>
      </c>
      <c r="FC31" s="47">
        <f>IFERROR(IF(SUM(EY32:EZ44)&gt;0.01,1-EXP(-SUM(EY32:EZ44)),SUM(EY32:EZ44)),".")</f>
        <v>2.9547096965931957E-4</v>
      </c>
    </row>
    <row r="32" spans="1:159" x14ac:dyDescent="0.25">
      <c r="A32" s="83" t="s">
        <v>1102</v>
      </c>
      <c r="B32" s="42">
        <v>1</v>
      </c>
      <c r="C32" s="60">
        <f t="shared" ref="C32:M32" si="67">IFERROR(C3/$B32,0)</f>
        <v>0.68061009889264734</v>
      </c>
      <c r="D32" s="60">
        <f t="shared" si="67"/>
        <v>2.7224403955705894</v>
      </c>
      <c r="E32" s="60">
        <f t="shared" si="67"/>
        <v>2.7224403955705894</v>
      </c>
      <c r="F32" s="60">
        <f t="shared" si="67"/>
        <v>2.7224403955705894</v>
      </c>
      <c r="G32" s="60">
        <f t="shared" si="67"/>
        <v>2.7224403955705894</v>
      </c>
      <c r="H32" s="60">
        <f t="shared" si="67"/>
        <v>2.7224403955705894</v>
      </c>
      <c r="I32" s="60">
        <f t="shared" si="67"/>
        <v>2.7224403955705894</v>
      </c>
      <c r="J32" s="60">
        <f t="shared" si="67"/>
        <v>2.7224403955705894</v>
      </c>
      <c r="K32" s="60">
        <f t="shared" si="67"/>
        <v>2.7224403955705894</v>
      </c>
      <c r="L32" s="60">
        <f t="shared" si="67"/>
        <v>2.7224403955705894</v>
      </c>
      <c r="M32" s="60">
        <f t="shared" si="67"/>
        <v>2.7224403955705894</v>
      </c>
      <c r="N32" s="71">
        <f>s_dir!BA32</f>
        <v>7.3463500000000004E-6</v>
      </c>
      <c r="O32" s="71">
        <f>IFERROR(s_RadSpec!$E$3*O3,".")*$B$32</f>
        <v>1.8365875000000001E-6</v>
      </c>
      <c r="P32" s="71">
        <f>IFERROR(s_RadSpec!$E$3*P3,".")*$B$32</f>
        <v>1.8365875000000001E-6</v>
      </c>
      <c r="Q32" s="71">
        <f>IFERROR(s_RadSpec!$E$3*Q3,".")*$B$32</f>
        <v>1.8365875000000001E-6</v>
      </c>
      <c r="R32" s="71">
        <f>IFERROR(s_RadSpec!$E$3*R3,".")*$B$32</f>
        <v>1.8365875000000001E-6</v>
      </c>
      <c r="S32" s="71">
        <f>IFERROR(s_RadSpec!$E$3*S3,".")*$B$32</f>
        <v>1.8365875000000001E-6</v>
      </c>
      <c r="T32" s="71">
        <f>IFERROR(s_RadSpec!$E$3*T3,".")*$B$32</f>
        <v>1.8365875000000001E-6</v>
      </c>
      <c r="U32" s="71">
        <f>IFERROR(s_RadSpec!$E$3*U3,".")*$B$32</f>
        <v>1.8365875000000001E-6</v>
      </c>
      <c r="V32" s="71">
        <f>IFERROR(s_RadSpec!$E$3*V3,".")*$B$32</f>
        <v>1.8365875000000001E-6</v>
      </c>
      <c r="W32" s="71">
        <f>IFERROR(s_RadSpec!$E$3*W3,".")*$B$32</f>
        <v>1.8365875000000001E-6</v>
      </c>
      <c r="X32" s="71">
        <f>IFERROR(s_RadSpec!$E$3*X3,".")*$B$32</f>
        <v>1.8365875000000001E-6</v>
      </c>
      <c r="Y32" s="49">
        <f t="shared" ref="Y32" si="68">IFERROR(IF(N32&gt;0.01,1-EXP(-N32),N32),".")</f>
        <v>7.3463500000000004E-6</v>
      </c>
      <c r="Z32" s="49">
        <f t="shared" ref="Z32" si="69">IFERROR(IF(O32&gt;0.01,1-EXP(-O32),O32),".")</f>
        <v>1.8365875000000001E-6</v>
      </c>
      <c r="AA32" s="49">
        <f t="shared" ref="AA32" si="70">IFERROR(IF(P32&gt;0.01,1-EXP(-P32),P32),".")</f>
        <v>1.8365875000000001E-6</v>
      </c>
      <c r="AB32" s="49">
        <f t="shared" ref="AB32" si="71">IFERROR(IF(Q32&gt;0.01,1-EXP(-Q32),Q32),".")</f>
        <v>1.8365875000000001E-6</v>
      </c>
      <c r="AC32" s="49">
        <f t="shared" ref="AC32:AI44" si="72">IFERROR(IF(R32&gt;0.01,1-EXP(-R32),R32),".")</f>
        <v>1.8365875000000001E-6</v>
      </c>
      <c r="AD32" s="49">
        <f t="shared" si="72"/>
        <v>1.8365875000000001E-6</v>
      </c>
      <c r="AE32" s="49">
        <f t="shared" si="72"/>
        <v>1.8365875000000001E-6</v>
      </c>
      <c r="AF32" s="49">
        <f t="shared" si="72"/>
        <v>1.8365875000000001E-6</v>
      </c>
      <c r="AG32" s="49">
        <f t="shared" si="72"/>
        <v>1.8365875000000001E-6</v>
      </c>
      <c r="AH32" s="49">
        <f t="shared" si="72"/>
        <v>1.8365875000000001E-6</v>
      </c>
      <c r="AI32" s="49">
        <f t="shared" si="72"/>
        <v>1.8365875000000001E-6</v>
      </c>
      <c r="AJ32" s="60">
        <f t="shared" ref="AJ32:AW32" si="73">IFERROR(AJ3/$B32,0)</f>
        <v>986.74797469978205</v>
      </c>
      <c r="AK32" s="60">
        <f t="shared" si="73"/>
        <v>45031.676775124637</v>
      </c>
      <c r="AL32" s="60">
        <f t="shared" si="73"/>
        <v>1837153.3243434762</v>
      </c>
      <c r="AM32" s="60">
        <f t="shared" si="73"/>
        <v>49.209919844740696</v>
      </c>
      <c r="AN32" s="60">
        <f>IFERROR(AN3/$B32,0)</f>
        <v>4.5374006592843158E-2</v>
      </c>
      <c r="AO32" s="60">
        <f>IFERROR(AO3/$B32,0)</f>
        <v>62.224961177662891</v>
      </c>
      <c r="AP32" s="60">
        <f>IFERROR(AP3/$B32,0)</f>
        <v>76299.654777372358</v>
      </c>
      <c r="AQ32" s="60">
        <f>IFERROR(AQ3/$B32,0)</f>
        <v>183.01459169900849</v>
      </c>
      <c r="AR32" s="60">
        <f t="shared" si="73"/>
        <v>5.1854134314719067</v>
      </c>
      <c r="AS32" s="60">
        <f t="shared" si="73"/>
        <v>10.370826862943813</v>
      </c>
      <c r="AT32" s="60">
        <f t="shared" si="73"/>
        <v>0</v>
      </c>
      <c r="AU32" s="60">
        <f>IFERROR(AU3/$B32,0)</f>
        <v>4644.326812535709</v>
      </c>
      <c r="AV32" s="60">
        <f t="shared" si="73"/>
        <v>282.84073262574043</v>
      </c>
      <c r="AW32" s="60">
        <f t="shared" si="73"/>
        <v>0</v>
      </c>
      <c r="AX32" s="42"/>
      <c r="AY32" s="42"/>
      <c r="AZ32" s="42"/>
      <c r="BA32" s="42"/>
      <c r="BB32" s="42"/>
      <c r="BC32" s="42"/>
      <c r="BD32" s="42"/>
      <c r="BE32" s="42"/>
      <c r="BF32" s="42"/>
      <c r="BG32" s="42"/>
      <c r="BH32" s="42"/>
      <c r="BI32" s="42"/>
      <c r="BJ32" s="42"/>
      <c r="BK32" s="42"/>
      <c r="BL32" s="60">
        <f>IFERROR(BL3/$B32,0)</f>
        <v>4.4692779345617092E-2</v>
      </c>
      <c r="BM32" s="71">
        <f>IFERROR(s_RadSpec!$D$3*BM3,".")*$B$32</f>
        <v>5.0671499999999998E-9</v>
      </c>
      <c r="BN32" s="71">
        <f>IFERROR(s_RadSpec!$G$3*BN3,".")*$B$32</f>
        <v>1.1103295187004861E-10</v>
      </c>
      <c r="BO32" s="71">
        <f>IFERROR(s_RadSpec!$F$3*BO3,".")*$B$32</f>
        <v>2.7216019119072693E-12</v>
      </c>
      <c r="BP32" s="71">
        <f>s_b2s!BZ32</f>
        <v>1.0160553026249999E-7</v>
      </c>
      <c r="BQ32" s="71">
        <f>IFERROR(s_RadSpec!$E$3*BQ3,".")*$B$32</f>
        <v>1.1019525E-4</v>
      </c>
      <c r="BR32" s="71">
        <f>IFERROR(s_RadSpec!$E$3*BR3,".")*$B$32</f>
        <v>8.0353605777658053E-8</v>
      </c>
      <c r="BS32" s="71">
        <f>IFERROR(s_RadSpec!$E$3*BS3,".")*$B$32</f>
        <v>6.5531095974012381E-11</v>
      </c>
      <c r="BT32" s="71">
        <f>IFERROR(s_RadSpec!$E$3*BT3,".")*$B$32</f>
        <v>2.732022596440374E-8</v>
      </c>
      <c r="BU32" s="71">
        <f>IFERROR(s_RadSpec!$E$3*BU3,".")*$B$32</f>
        <v>9.6424326933189648E-7</v>
      </c>
      <c r="BV32" s="71">
        <f>IFERROR(s_RadSpec!$E$3*BV3,".")*$B$32</f>
        <v>4.8212163466594824E-7</v>
      </c>
      <c r="BW32" s="71">
        <f>IFERROR(s_RadSpec!$E$3*BW3,".")*$B$32</f>
        <v>0</v>
      </c>
      <c r="BX32" s="71">
        <f>IFERROR(s_RadSpec!$E$3*BX3,".")*$B$32</f>
        <v>1.0765822910016321E-9</v>
      </c>
      <c r="BY32" s="71">
        <f>IFERROR(s_RadSpec!$E$3*BY3,".")*$B$32</f>
        <v>1.7677793271084767E-8</v>
      </c>
      <c r="BZ32" s="71">
        <f>IFERROR(s_RadSpec!$E$3*BZ3,".")*$B$32</f>
        <v>0</v>
      </c>
      <c r="CA32" s="49">
        <f t="shared" ref="CA32" si="74">IFERROR(IF(BM32&gt;0.01,1-EXP(-BM32),BM32),".")</f>
        <v>5.0671499999999998E-9</v>
      </c>
      <c r="CB32" s="49">
        <f t="shared" ref="CB32" si="75">IFERROR(IF(BN32&gt;0.01,1-EXP(-BN32),BN32),".")</f>
        <v>1.1103295187004861E-10</v>
      </c>
      <c r="CC32" s="49">
        <f t="shared" ref="CC32" si="76">IFERROR(IF(BO32&gt;0.01,1-EXP(-BO32),BO32),".")</f>
        <v>2.7216019119072693E-12</v>
      </c>
      <c r="CD32" s="49">
        <f t="shared" ref="CD32" si="77">IFERROR(IF(BP32&gt;0.01,1-EXP(-BP32),BP32),".")</f>
        <v>1.0160553026249999E-7</v>
      </c>
      <c r="CE32" s="49">
        <f t="shared" ref="CE32" si="78">IFERROR(IF(BQ32&gt;0.01,1-EXP(-BQ32),BQ32),".")</f>
        <v>1.1019525E-4</v>
      </c>
      <c r="CF32" s="49">
        <f t="shared" ref="CF32:CF44" si="79">IFERROR(IF(BR32&gt;0.01,1-EXP(-BR32),BR32),".")</f>
        <v>8.0353605777658053E-8</v>
      </c>
      <c r="CG32" s="49">
        <f t="shared" ref="CG32:CG44" si="80">IFERROR(IF(BS32&gt;0.01,1-EXP(-BS32),BS32),".")</f>
        <v>6.5531095974012381E-11</v>
      </c>
      <c r="CH32" s="49">
        <f t="shared" ref="CH32:CH44" si="81">IFERROR(IF(BT32&gt;0.01,1-EXP(-BT32),BT32),".")</f>
        <v>2.732022596440374E-8</v>
      </c>
      <c r="CI32" s="49">
        <f t="shared" ref="CI32:CI44" si="82">IFERROR(IF(BU32&gt;0.01,1-EXP(-BU32),BU32),".")</f>
        <v>9.6424326933189648E-7</v>
      </c>
      <c r="CJ32" s="49">
        <f t="shared" ref="CJ32:CJ44" si="83">IFERROR(IF(BV32&gt;0.01,1-EXP(-BV32),BV32),".")</f>
        <v>4.8212163466594824E-7</v>
      </c>
      <c r="CK32" s="49">
        <f t="shared" ref="CK32:CK44" si="84">IFERROR(IF(BW32&gt;0.01,1-EXP(-BW32),BW32),".")</f>
        <v>0</v>
      </c>
      <c r="CL32" s="49">
        <f t="shared" ref="CL32:CL44" si="85">IFERROR(IF(BX32&gt;0.01,1-EXP(-BX32),BX32),".")</f>
        <v>1.0765822910016321E-9</v>
      </c>
      <c r="CM32" s="49">
        <f t="shared" ref="CM32:CM44" si="86">IFERROR(IF(BY32&gt;0.01,1-EXP(-BY32),BY32),".")</f>
        <v>1.7677793271084767E-8</v>
      </c>
      <c r="CN32" s="49">
        <f t="shared" ref="CN32:CN44" si="87">IFERROR(IF(BZ32&gt;0.01,1-EXP(-BZ32),BZ32),".")</f>
        <v>0</v>
      </c>
      <c r="CO32" s="49">
        <f t="shared" ref="CO32:CO44" si="88">IFERROR(IF(SUM(BM32:BZ32)&gt;0.01,1-EXP(-SUM(BM32:BZ32)),SUM(BM32:BZ32)),".")</f>
        <v>1.1187489507721426E-4</v>
      </c>
      <c r="CP32" s="60">
        <f t="shared" ref="CP32:DC32" si="89">IFERROR(CP3/$B32,0)</f>
        <v>19.305019305019304</v>
      </c>
      <c r="CQ32" s="60">
        <f t="shared" si="89"/>
        <v>0</v>
      </c>
      <c r="CR32" s="60">
        <f t="shared" si="89"/>
        <v>165981612.80249557</v>
      </c>
      <c r="CS32" s="60">
        <f t="shared" si="89"/>
        <v>57.86256874711917</v>
      </c>
      <c r="CT32" s="60">
        <f>IFERROR(CT3/$B32,0)</f>
        <v>11.34350164821079</v>
      </c>
      <c r="CU32" s="60">
        <f>IFERROR(CU3/$B32,0)</f>
        <v>1088976.1582282356</v>
      </c>
      <c r="CV32" s="60">
        <f>IFERROR(CV3/$B32,0)</f>
        <v>1335292194.0179558</v>
      </c>
      <c r="CW32" s="60">
        <f>IFERROR(CW3/$B32,0)</f>
        <v>3202871.0536124576</v>
      </c>
      <c r="CX32" s="60">
        <f t="shared" si="89"/>
        <v>90748.013185686315</v>
      </c>
      <c r="CY32" s="60">
        <f t="shared" si="89"/>
        <v>181496.02637137263</v>
      </c>
      <c r="CZ32" s="60">
        <f t="shared" si="89"/>
        <v>0</v>
      </c>
      <c r="DA32" s="60">
        <f>IFERROR(DA3/$B32,0)</f>
        <v>81278655.288049489</v>
      </c>
      <c r="DB32" s="60">
        <f t="shared" si="89"/>
        <v>4949891.6283101626</v>
      </c>
      <c r="DC32" s="60">
        <f t="shared" si="89"/>
        <v>0</v>
      </c>
      <c r="DD32" s="15"/>
      <c r="DE32" s="15"/>
      <c r="DF32" s="15"/>
      <c r="DG32" s="15"/>
      <c r="DH32" s="15"/>
      <c r="DI32" s="15"/>
      <c r="DJ32" s="15"/>
      <c r="DK32" s="15"/>
      <c r="DL32" s="15"/>
      <c r="DM32" s="15"/>
      <c r="DN32" s="15"/>
      <c r="DO32" s="15"/>
      <c r="DP32" s="15"/>
      <c r="DQ32" s="15"/>
      <c r="DR32" s="60">
        <f>IFERROR(DR3/$B32,0)</f>
        <v>6.3590371877729321</v>
      </c>
      <c r="DS32" s="71">
        <f>IFERROR(s_RadSpec!$H$3*DS3,".")*$B$32</f>
        <v>2.5899999999999998E-7</v>
      </c>
      <c r="DT32" s="71">
        <f>IFERROR(s_RadSpec!$G$3*DT3,".")*$B$32</f>
        <v>1.7199218749999999E-5</v>
      </c>
      <c r="DU32" s="71">
        <f>IFERROR(s_RadSpec!$L$3*DU3,".")*$B$32</f>
        <v>3.0123818630136988E-14</v>
      </c>
      <c r="DV32" s="71">
        <f>s_b2w!BZ32</f>
        <v>8.6411649331571329E-8</v>
      </c>
      <c r="DW32" s="71">
        <f>IFERROR(s_RadSpec!$E$3*DW3,".")*$B$32</f>
        <v>4.4078100000000003E-7</v>
      </c>
      <c r="DX32" s="71">
        <f>IFERROR(s_RadSpec!$E$3*DX3,".")*$B$32</f>
        <v>4.5914687500000009E-12</v>
      </c>
      <c r="DY32" s="71">
        <f>IFERROR(s_RadSpec!$E$3*DY3,".")*$B$32</f>
        <v>3.7444987864077675E-15</v>
      </c>
      <c r="DZ32" s="71">
        <f>IFERROR(s_RadSpec!$E$3*DZ3,".")*$B$32</f>
        <v>1.5610993750000003E-12</v>
      </c>
      <c r="EA32" s="71">
        <f>IFERROR(s_RadSpec!$E$3*EA3,".")*$B$32</f>
        <v>5.5097625000000008E-11</v>
      </c>
      <c r="EB32" s="71">
        <f>IFERROR(s_RadSpec!$E$3*EB3,".")*$B$32</f>
        <v>2.7548812500000004E-11</v>
      </c>
      <c r="EC32" s="71">
        <f>IFERROR(s_RadSpec!$E$3*EC3,".")*$B$32</f>
        <v>0</v>
      </c>
      <c r="ED32" s="71">
        <f>IFERROR(s_RadSpec!$E$3*ED3,".")*$B$32</f>
        <v>6.1516765776699038E-14</v>
      </c>
      <c r="EE32" s="71">
        <f>IFERROR(s_RadSpec!$E$3*EE3,".")*$B$32</f>
        <v>1.0101231250000001E-12</v>
      </c>
      <c r="EF32" s="71">
        <f>IFERROR(s_RadSpec!$E$3*EF3,".")*$B$32</f>
        <v>0</v>
      </c>
      <c r="EG32" s="49">
        <f t="shared" ref="EG32" si="90">IFERROR(IF(DS32&gt;0.01,1-EXP(-DS32),DS32),".")</f>
        <v>2.5899999999999998E-7</v>
      </c>
      <c r="EH32" s="49">
        <f t="shared" ref="EH32" si="91">IFERROR(IF(DT32&gt;0.01,1-EXP(-DT32),DT32),".")</f>
        <v>1.7199218749999999E-5</v>
      </c>
      <c r="EI32" s="49">
        <f t="shared" ref="EI32" si="92">IFERROR(IF(DU32&gt;0.01,1-EXP(-DU32),DU32),".")</f>
        <v>3.0123818630136988E-14</v>
      </c>
      <c r="EJ32" s="49">
        <f t="shared" ref="EJ32" si="93">IFERROR(IF(DV32&gt;0.01,1-EXP(-DV32),DV32),".")</f>
        <v>8.6411649331571329E-8</v>
      </c>
      <c r="EK32" s="49">
        <f t="shared" ref="EK32" si="94">IFERROR(IF(DW32&gt;0.01,1-EXP(-DW32),DW32),".")</f>
        <v>4.4078100000000003E-7</v>
      </c>
      <c r="EL32" s="49">
        <f t="shared" ref="EL32:EL44" si="95">IFERROR(IF(DX32&gt;0.01,1-EXP(-DX32),DX32),".")</f>
        <v>4.5914687500000009E-12</v>
      </c>
      <c r="EM32" s="49">
        <f t="shared" ref="EM32:EM44" si="96">IFERROR(IF(DY32&gt;0.01,1-EXP(-DY32),DY32),".")</f>
        <v>3.7444987864077675E-15</v>
      </c>
      <c r="EN32" s="49">
        <f t="shared" ref="EN32:EN44" si="97">IFERROR(IF(DZ32&gt;0.01,1-EXP(-DZ32),DZ32),".")</f>
        <v>1.5610993750000003E-12</v>
      </c>
      <c r="EO32" s="49">
        <f t="shared" ref="EO32:EO44" si="98">IFERROR(IF(EA32&gt;0.01,1-EXP(-EA32),EA32),".")</f>
        <v>5.5097625000000008E-11</v>
      </c>
      <c r="EP32" s="49">
        <f t="shared" ref="EP32:EP44" si="99">IFERROR(IF(EB32&gt;0.01,1-EXP(-EB32),EB32),".")</f>
        <v>2.7548812500000004E-11</v>
      </c>
      <c r="EQ32" s="49">
        <f t="shared" ref="EQ32:EQ44" si="100">IFERROR(IF(EC32&gt;0.01,1-EXP(-EC32),EC32),".")</f>
        <v>0</v>
      </c>
      <c r="ER32" s="49">
        <f t="shared" ref="ER32:ER44" si="101">IFERROR(IF(ED32&gt;0.01,1-EXP(-ED32),ED32),".")</f>
        <v>6.1516765776699038E-14</v>
      </c>
      <c r="ES32" s="49">
        <f t="shared" ref="ES32:ES44" si="102">IFERROR(IF(EE32&gt;0.01,1-EXP(-EE32),EE32),".")</f>
        <v>1.0101231250000001E-12</v>
      </c>
      <c r="ET32" s="49">
        <f t="shared" ref="ET32:ET44" si="103">IFERROR(IF(EF32&gt;0.01,1-EXP(-EF32),EF32),".")</f>
        <v>0</v>
      </c>
      <c r="EU32" s="49">
        <f t="shared" ref="EU32:EU44" si="104">IFERROR(IF(SUM(DS32:EF32)&gt;0.01,1-EXP(-SUM(DS32:EF32)),SUM(DS32:EF32)),".")</f>
        <v>1.7985501303845401E-5</v>
      </c>
      <c r="EV32" s="60">
        <f>IFERROR(EV3/$B32,0)</f>
        <v>0.14535543947308655</v>
      </c>
      <c r="EW32" s="60">
        <f>IFERROR(EW3/$B32,0)</f>
        <v>150953.09655277265</v>
      </c>
      <c r="EX32" s="60">
        <f>IFERROR(EX3/$B32,0)</f>
        <v>0.14535529950786608</v>
      </c>
      <c r="EY32" s="71">
        <f>IFERROR(s_RadSpec!$G$3*EY3,".")*$B$32</f>
        <v>3.4398437499999998E-5</v>
      </c>
      <c r="EZ32" s="71">
        <f>IFERROR(s_RadSpec!$J$3*EZ3,".")*$B$32</f>
        <v>3.3122871369863007E-11</v>
      </c>
      <c r="FA32" s="49">
        <f>IFERROR(IF(EY32&gt;0.01,1-EXP(-EY32),EY32),".")</f>
        <v>3.4398437499999998E-5</v>
      </c>
      <c r="FB32" s="49">
        <f>IFERROR(IF(EZ32&gt;0.01,1-EXP(-EZ32),EZ32),".")</f>
        <v>3.3122871369863007E-11</v>
      </c>
      <c r="FC32" s="49">
        <f>IFERROR(IF(SUM(EY32:EZ32)&gt;0.01,1-EXP(-SUM(EY32:EZ32)),SUM(EY32:EZ32)),".")</f>
        <v>3.4398470622871367E-5</v>
      </c>
    </row>
    <row r="33" spans="1:159" x14ac:dyDescent="0.25">
      <c r="A33" s="83" t="s">
        <v>1078</v>
      </c>
      <c r="B33" s="42">
        <v>1</v>
      </c>
      <c r="C33" s="60">
        <f t="shared" ref="C33:M33" si="105">IFERROR(C13/$B33,0)</f>
        <v>1.0968760968760967</v>
      </c>
      <c r="D33" s="60">
        <f t="shared" si="105"/>
        <v>4.3875043875043866</v>
      </c>
      <c r="E33" s="60">
        <f t="shared" si="105"/>
        <v>4.3875043875043866</v>
      </c>
      <c r="F33" s="60">
        <f t="shared" si="105"/>
        <v>4.3875043875043866</v>
      </c>
      <c r="G33" s="60">
        <f t="shared" si="105"/>
        <v>4.3875043875043866</v>
      </c>
      <c r="H33" s="60">
        <f t="shared" si="105"/>
        <v>4.3875043875043866</v>
      </c>
      <c r="I33" s="60">
        <f t="shared" si="105"/>
        <v>4.3875043875043866</v>
      </c>
      <c r="J33" s="60">
        <f t="shared" si="105"/>
        <v>4.3875043875043866</v>
      </c>
      <c r="K33" s="60">
        <f t="shared" si="105"/>
        <v>4.3875043875043866</v>
      </c>
      <c r="L33" s="60">
        <f t="shared" si="105"/>
        <v>4.3875043875043866</v>
      </c>
      <c r="M33" s="60">
        <f t="shared" si="105"/>
        <v>4.3875043875043866</v>
      </c>
      <c r="N33" s="71">
        <f>s_dir!BA33</f>
        <v>4.5584000000000003E-6</v>
      </c>
      <c r="O33" s="71">
        <f>IFERROR(s_RadSpec!$E$13*O13,".")*$B$33</f>
        <v>1.1396000000000001E-6</v>
      </c>
      <c r="P33" s="71">
        <f>IFERROR(s_RadSpec!$E$13*P13,".")*$B$33</f>
        <v>1.1396000000000001E-6</v>
      </c>
      <c r="Q33" s="71">
        <f>IFERROR(s_RadSpec!$E$13*Q13,".")*$B$33</f>
        <v>1.1396000000000001E-6</v>
      </c>
      <c r="R33" s="71">
        <f>IFERROR(s_RadSpec!$E$13*R13,".")*$B$33</f>
        <v>1.1396000000000001E-6</v>
      </c>
      <c r="S33" s="71">
        <f>IFERROR(s_RadSpec!$E$13*S13,".")*$B$33</f>
        <v>1.1396000000000001E-6</v>
      </c>
      <c r="T33" s="71">
        <f>IFERROR(s_RadSpec!$E$13*T13,".")*$B$33</f>
        <v>1.1396000000000001E-6</v>
      </c>
      <c r="U33" s="71">
        <f>IFERROR(s_RadSpec!$E$13*U13,".")*$B$33</f>
        <v>1.1396000000000001E-6</v>
      </c>
      <c r="V33" s="71">
        <f>IFERROR(s_RadSpec!$E$13*V13,".")*$B$33</f>
        <v>1.1396000000000001E-6</v>
      </c>
      <c r="W33" s="71">
        <f>IFERROR(s_RadSpec!$E$13*W13,".")*$B$33</f>
        <v>1.1396000000000001E-6</v>
      </c>
      <c r="X33" s="71">
        <f>IFERROR(s_RadSpec!$E$13*X13,".")*$B$33</f>
        <v>1.1396000000000001E-6</v>
      </c>
      <c r="Y33" s="49">
        <f t="shared" ref="Y33:Y44" si="106">IFERROR(IF(N33&gt;0.01,1-EXP(-N33),N33),".")</f>
        <v>4.5584000000000003E-6</v>
      </c>
      <c r="Z33" s="49">
        <f t="shared" ref="Z33:Z44" si="107">IFERROR(IF(O33&gt;0.01,1-EXP(-O33),O33),".")</f>
        <v>1.1396000000000001E-6</v>
      </c>
      <c r="AA33" s="49">
        <f t="shared" ref="AA33:AA44" si="108">IFERROR(IF(P33&gt;0.01,1-EXP(-P33),P33),".")</f>
        <v>1.1396000000000001E-6</v>
      </c>
      <c r="AB33" s="49">
        <f t="shared" ref="AB33:AB44" si="109">IFERROR(IF(Q33&gt;0.01,1-EXP(-Q33),Q33),".")</f>
        <v>1.1396000000000001E-6</v>
      </c>
      <c r="AC33" s="49">
        <f t="shared" ref="AC33:AC44" si="110">IFERROR(IF(R33&gt;0.01,1-EXP(-R33),R33),".")</f>
        <v>1.1396000000000001E-6</v>
      </c>
      <c r="AD33" s="49">
        <f t="shared" si="72"/>
        <v>1.1396000000000001E-6</v>
      </c>
      <c r="AE33" s="49">
        <f t="shared" si="72"/>
        <v>1.1396000000000001E-6</v>
      </c>
      <c r="AF33" s="49">
        <f t="shared" si="72"/>
        <v>1.1396000000000001E-6</v>
      </c>
      <c r="AG33" s="49">
        <f t="shared" si="72"/>
        <v>1.1396000000000001E-6</v>
      </c>
      <c r="AH33" s="49">
        <f t="shared" si="72"/>
        <v>1.1396000000000001E-6</v>
      </c>
      <c r="AI33" s="49">
        <f t="shared" si="72"/>
        <v>1.1396000000000001E-6</v>
      </c>
      <c r="AJ33" s="60">
        <f t="shared" ref="AJ33:AW33" si="111">IFERROR(AJ13/$B33,0)</f>
        <v>1458.1616955504196</v>
      </c>
      <c r="AK33" s="60">
        <f t="shared" si="111"/>
        <v>59267.49717500274</v>
      </c>
      <c r="AL33" s="60">
        <f t="shared" si="111"/>
        <v>24274.384667263101</v>
      </c>
      <c r="AM33" s="60">
        <f t="shared" si="111"/>
        <v>42.106568018276263</v>
      </c>
      <c r="AN33" s="60">
        <f t="shared" ref="AN33:AQ34" si="112">IFERROR(AN13/$B33,0)</f>
        <v>2.9250029250029244E-2</v>
      </c>
      <c r="AO33" s="60">
        <f t="shared" si="112"/>
        <v>49.905263175405352</v>
      </c>
      <c r="AP33" s="60">
        <f t="shared" si="112"/>
        <v>5140.2421070667506</v>
      </c>
      <c r="AQ33" s="60">
        <f t="shared" si="112"/>
        <v>0</v>
      </c>
      <c r="AR33" s="60">
        <f t="shared" si="111"/>
        <v>0</v>
      </c>
      <c r="AS33" s="60">
        <f t="shared" si="111"/>
        <v>0</v>
      </c>
      <c r="AT33" s="60">
        <f t="shared" si="111"/>
        <v>0</v>
      </c>
      <c r="AU33" s="60">
        <f>IFERROR(AU13/$B33,0)</f>
        <v>969.85700133334922</v>
      </c>
      <c r="AV33" s="60">
        <f t="shared" si="111"/>
        <v>124.76315793851337</v>
      </c>
      <c r="AW33" s="60">
        <f t="shared" si="111"/>
        <v>0</v>
      </c>
      <c r="AX33" s="42"/>
      <c r="AY33" s="42"/>
      <c r="AZ33" s="42"/>
      <c r="BA33" s="42"/>
      <c r="BB33" s="42"/>
      <c r="BC33" s="42"/>
      <c r="BD33" s="42"/>
      <c r="BE33" s="42"/>
      <c r="BF33" s="42"/>
      <c r="BG33" s="42"/>
      <c r="BH33" s="42"/>
      <c r="BI33" s="42"/>
      <c r="BJ33" s="42"/>
      <c r="BK33" s="42"/>
      <c r="BL33" s="60">
        <f>IFERROR(BL13/$B33,0)</f>
        <v>2.9204096178406885E-2</v>
      </c>
      <c r="BM33" s="71">
        <f>IFERROR(s_RadSpec!$D$13*BM13,".")*$B$33</f>
        <v>3.4289750000000004E-9</v>
      </c>
      <c r="BN33" s="71">
        <f>IFERROR(s_RadSpec!$G$13*BN13,".")*$B$33</f>
        <v>8.4363272254203609E-11</v>
      </c>
      <c r="BO33" s="71">
        <f>IFERROR(s_RadSpec!$F$13*BO13,".")*$B$33</f>
        <v>2.0597844470772909E-10</v>
      </c>
      <c r="BP33" s="71">
        <f>s_b2s!BZ33</f>
        <v>1.1874632000000001E-7</v>
      </c>
      <c r="BQ33" s="71">
        <f>IFERROR(s_RadSpec!$E$13*BQ13,".")*$B$33</f>
        <v>1.7094000000000001E-4</v>
      </c>
      <c r="BR33" s="71">
        <f>IFERROR(s_RadSpec!$E$13*BR13,".")*$B$33</f>
        <v>1.0018983333333333E-7</v>
      </c>
      <c r="BS33" s="71">
        <f>IFERROR(s_RadSpec!$E$13*BS13,".")*$B$33</f>
        <v>9.7271682847896423E-10</v>
      </c>
      <c r="BT33" s="71">
        <f>IFERROR(s_RadSpec!$E$13*BT13,".")*$B$33</f>
        <v>0</v>
      </c>
      <c r="BU33" s="71">
        <f>IFERROR(s_RadSpec!$E$13*BU13,".")*$B$33</f>
        <v>0</v>
      </c>
      <c r="BV33" s="71">
        <f>IFERROR(s_RadSpec!$E$13*BV13,".")*$B$33</f>
        <v>0</v>
      </c>
      <c r="BW33" s="71">
        <f>IFERROR(s_RadSpec!$E$13*BW13,".")*$B$33</f>
        <v>0</v>
      </c>
      <c r="BX33" s="71">
        <f>IFERROR(s_RadSpec!$E$13*BX13,".")*$B$33</f>
        <v>5.1553991909385106E-9</v>
      </c>
      <c r="BY33" s="71">
        <f>IFERROR(s_RadSpec!$E$13*BY13,".")*$B$33</f>
        <v>4.0075933333333329E-8</v>
      </c>
      <c r="BZ33" s="71">
        <f>IFERROR(s_RadSpec!$E$13*BZ13,".")*$B$33</f>
        <v>0</v>
      </c>
      <c r="CA33" s="49">
        <f t="shared" ref="CA33:CA44" si="113">IFERROR(IF(BM33&gt;0.01,1-EXP(-BM33),BM33),".")</f>
        <v>3.4289750000000004E-9</v>
      </c>
      <c r="CB33" s="49">
        <f t="shared" ref="CB33:CB44" si="114">IFERROR(IF(BN33&gt;0.01,1-EXP(-BN33),BN33),".")</f>
        <v>8.4363272254203609E-11</v>
      </c>
      <c r="CC33" s="49">
        <f t="shared" ref="CC33:CC44" si="115">IFERROR(IF(BO33&gt;0.01,1-EXP(-BO33),BO33),".")</f>
        <v>2.0597844470772909E-10</v>
      </c>
      <c r="CD33" s="49">
        <f t="shared" ref="CD33:CD44" si="116">IFERROR(IF(BP33&gt;0.01,1-EXP(-BP33),BP33),".")</f>
        <v>1.1874632000000001E-7</v>
      </c>
      <c r="CE33" s="49">
        <f t="shared" ref="CE33:CE44" si="117">IFERROR(IF(BQ33&gt;0.01,1-EXP(-BQ33),BQ33),".")</f>
        <v>1.7094000000000001E-4</v>
      </c>
      <c r="CF33" s="49">
        <f t="shared" si="79"/>
        <v>1.0018983333333333E-7</v>
      </c>
      <c r="CG33" s="49">
        <f t="shared" si="80"/>
        <v>9.7271682847896423E-10</v>
      </c>
      <c r="CH33" s="49">
        <f t="shared" si="81"/>
        <v>0</v>
      </c>
      <c r="CI33" s="49">
        <f t="shared" si="82"/>
        <v>0</v>
      </c>
      <c r="CJ33" s="49">
        <f t="shared" si="83"/>
        <v>0</v>
      </c>
      <c r="CK33" s="49">
        <f t="shared" si="84"/>
        <v>0</v>
      </c>
      <c r="CL33" s="49">
        <f t="shared" si="85"/>
        <v>5.1553991909385106E-9</v>
      </c>
      <c r="CM33" s="49">
        <f t="shared" si="86"/>
        <v>4.0075933333333329E-8</v>
      </c>
      <c r="CN33" s="49">
        <f t="shared" si="87"/>
        <v>0</v>
      </c>
      <c r="CO33" s="49">
        <f t="shared" si="88"/>
        <v>1.7120885951940303E-4</v>
      </c>
      <c r="CP33" s="60">
        <f t="shared" ref="CP33:DC33" si="118">IFERROR(CP13/$B33,0)</f>
        <v>32.175032175032179</v>
      </c>
      <c r="CQ33" s="60">
        <f t="shared" si="118"/>
        <v>0</v>
      </c>
      <c r="CR33" s="60">
        <f t="shared" si="118"/>
        <v>127591307.80055784</v>
      </c>
      <c r="CS33" s="60">
        <f t="shared" si="118"/>
        <v>77.296496739585933</v>
      </c>
      <c r="CT33" s="60">
        <f t="shared" ref="CT33:CW34" si="119">IFERROR(CT13/$B33,0)</f>
        <v>146.25014625014623</v>
      </c>
      <c r="CU33" s="60">
        <f t="shared" si="119"/>
        <v>877500.87750087725</v>
      </c>
      <c r="CV33" s="60">
        <f t="shared" si="119"/>
        <v>90382590.382590353</v>
      </c>
      <c r="CW33" s="60">
        <f t="shared" si="119"/>
        <v>0</v>
      </c>
      <c r="CX33" s="60">
        <f t="shared" si="118"/>
        <v>0</v>
      </c>
      <c r="CY33" s="60">
        <f t="shared" si="118"/>
        <v>0</v>
      </c>
      <c r="CZ33" s="60">
        <f t="shared" si="118"/>
        <v>0</v>
      </c>
      <c r="DA33" s="60">
        <f>IFERROR(DA13/$B33,0)</f>
        <v>17053318.940111391</v>
      </c>
      <c r="DB33" s="60">
        <f t="shared" si="118"/>
        <v>2193752.1937521934</v>
      </c>
      <c r="DC33" s="60">
        <f t="shared" si="118"/>
        <v>0</v>
      </c>
      <c r="DD33" s="15"/>
      <c r="DE33" s="15"/>
      <c r="DF33" s="15"/>
      <c r="DG33" s="15"/>
      <c r="DH33" s="15"/>
      <c r="DI33" s="15"/>
      <c r="DJ33" s="15"/>
      <c r="DK33" s="15"/>
      <c r="DL33" s="15"/>
      <c r="DM33" s="15"/>
      <c r="DN33" s="15"/>
      <c r="DO33" s="15"/>
      <c r="DP33" s="15"/>
      <c r="DQ33" s="15"/>
      <c r="DR33" s="60">
        <f>IFERROR(DR13/$B33,0)</f>
        <v>19.663181534758515</v>
      </c>
      <c r="DS33" s="71">
        <f>IFERROR(s_RadSpec!$H$13*DS13,".")*$B$33</f>
        <v>1.5539999999999998E-7</v>
      </c>
      <c r="DT33" s="71">
        <f>IFERROR(s_RadSpec!$G$13*DT13,".")*$B$33</f>
        <v>1.3068033854166665E-5</v>
      </c>
      <c r="DU33" s="71">
        <f>IFERROR(s_RadSpec!$L$13*DU13,".")*$B$33</f>
        <v>3.9187622465753418E-14</v>
      </c>
      <c r="DV33" s="71">
        <f>s_b2w!BZ33</f>
        <v>6.4685984629357003E-8</v>
      </c>
      <c r="DW33" s="71">
        <f>IFERROR(s_RadSpec!$E$13*DW13,".")*$B$33</f>
        <v>3.4188000000000001E-8</v>
      </c>
      <c r="DX33" s="71">
        <f>IFERROR(s_RadSpec!$E$13*DX13,".")*$B$33</f>
        <v>5.698000000000001E-12</v>
      </c>
      <c r="DY33" s="71">
        <f>IFERROR(s_RadSpec!$E$13*DY13,".")*$B$33</f>
        <v>5.5320388349514578E-14</v>
      </c>
      <c r="DZ33" s="71">
        <f>IFERROR(s_RadSpec!$E$13*DZ13,".")*$B$33</f>
        <v>0</v>
      </c>
      <c r="EA33" s="71">
        <f>IFERROR(s_RadSpec!$E$13*EA13,".")*$B$33</f>
        <v>0</v>
      </c>
      <c r="EB33" s="71">
        <f>IFERROR(s_RadSpec!$E$13*EB13,".")*$B$33</f>
        <v>0</v>
      </c>
      <c r="EC33" s="71">
        <f>IFERROR(s_RadSpec!$E$13*EC13,".")*$B$33</f>
        <v>0</v>
      </c>
      <c r="ED33" s="71">
        <f>IFERROR(s_RadSpec!$E$13*ED13,".")*$B$33</f>
        <v>2.931980582524272E-13</v>
      </c>
      <c r="EE33" s="71">
        <f>IFERROR(s_RadSpec!$E$13*EE13,".")*$B$33</f>
        <v>2.2792000000000002E-12</v>
      </c>
      <c r="EF33" s="71">
        <f>IFERROR(s_RadSpec!$E$13*EF13,".")*$B$33</f>
        <v>0</v>
      </c>
      <c r="EG33" s="49">
        <f t="shared" ref="EG33:EG44" si="120">IFERROR(IF(DS33&gt;0.01,1-EXP(-DS33),DS33),".")</f>
        <v>1.5539999999999998E-7</v>
      </c>
      <c r="EH33" s="49">
        <f t="shared" ref="EH33:EH44" si="121">IFERROR(IF(DT33&gt;0.01,1-EXP(-DT33),DT33),".")</f>
        <v>1.3068033854166665E-5</v>
      </c>
      <c r="EI33" s="49">
        <f t="shared" ref="EI33:EI44" si="122">IFERROR(IF(DU33&gt;0.01,1-EXP(-DU33),DU33),".")</f>
        <v>3.9187622465753418E-14</v>
      </c>
      <c r="EJ33" s="49">
        <f t="shared" ref="EJ33:EJ44" si="123">IFERROR(IF(DV33&gt;0.01,1-EXP(-DV33),DV33),".")</f>
        <v>6.4685984629357003E-8</v>
      </c>
      <c r="EK33" s="49">
        <f t="shared" ref="EK33:EK44" si="124">IFERROR(IF(DW33&gt;0.01,1-EXP(-DW33),DW33),".")</f>
        <v>3.4188000000000001E-8</v>
      </c>
      <c r="EL33" s="49">
        <f t="shared" si="95"/>
        <v>5.698000000000001E-12</v>
      </c>
      <c r="EM33" s="49">
        <f t="shared" si="96"/>
        <v>5.5320388349514578E-14</v>
      </c>
      <c r="EN33" s="49">
        <f t="shared" si="97"/>
        <v>0</v>
      </c>
      <c r="EO33" s="49">
        <f t="shared" si="98"/>
        <v>0</v>
      </c>
      <c r="EP33" s="49">
        <f t="shared" si="99"/>
        <v>0</v>
      </c>
      <c r="EQ33" s="49">
        <f t="shared" si="100"/>
        <v>0</v>
      </c>
      <c r="ER33" s="49">
        <f t="shared" si="101"/>
        <v>2.931980582524272E-13</v>
      </c>
      <c r="ES33" s="49">
        <f t="shared" si="102"/>
        <v>2.2792000000000002E-12</v>
      </c>
      <c r="ET33" s="49">
        <f t="shared" si="103"/>
        <v>0</v>
      </c>
      <c r="EU33" s="49">
        <f t="shared" si="104"/>
        <v>1.3322316203702088E-5</v>
      </c>
      <c r="EV33" s="60">
        <f t="shared" ref="EV33:EX34" si="125">IFERROR(EV13/$B33,0)</f>
        <v>0.19130651388715905</v>
      </c>
      <c r="EW33" s="60">
        <f t="shared" si="125"/>
        <v>114191.30743794216</v>
      </c>
      <c r="EX33" s="60">
        <f t="shared" si="125"/>
        <v>0.19130619338884999</v>
      </c>
      <c r="EY33" s="71">
        <f>IFERROR(s_RadSpec!$G$13*EY13,".")*$B$33</f>
        <v>2.613606770833333E-5</v>
      </c>
      <c r="EZ33" s="71">
        <f>IFERROR(s_RadSpec!$J$13*EZ13,".")*$B$33</f>
        <v>4.3786169999999991E-11</v>
      </c>
      <c r="FA33" s="49">
        <f t="shared" ref="FA33:FB44" si="126">IFERROR(IF(EY33&gt;0.01,1-EXP(-EY33),EY33),".")</f>
        <v>2.613606770833333E-5</v>
      </c>
      <c r="FB33" s="49">
        <f t="shared" si="126"/>
        <v>4.3786169999999991E-11</v>
      </c>
      <c r="FC33" s="49">
        <f t="shared" ref="FC33:FC44" si="127">IFERROR(IF(SUM(EY33:EZ33)&gt;0.01,1-EXP(-SUM(EY33:EZ33)),SUM(EY33:EZ33)),".")</f>
        <v>2.6136111494503329E-5</v>
      </c>
    </row>
    <row r="34" spans="1:159" x14ac:dyDescent="0.25">
      <c r="A34" s="83" t="s">
        <v>1079</v>
      </c>
      <c r="B34" s="42">
        <v>1</v>
      </c>
      <c r="C34" s="60">
        <f t="shared" ref="C34:M34" si="128">IFERROR(C14/$B34,0)</f>
        <v>10.152902714886187</v>
      </c>
      <c r="D34" s="60">
        <f t="shared" si="128"/>
        <v>40.611610859544747</v>
      </c>
      <c r="E34" s="60">
        <f t="shared" si="128"/>
        <v>40.611610859544747</v>
      </c>
      <c r="F34" s="60">
        <f t="shared" si="128"/>
        <v>40.611610859544747</v>
      </c>
      <c r="G34" s="60">
        <f t="shared" si="128"/>
        <v>40.611610859544747</v>
      </c>
      <c r="H34" s="60">
        <f t="shared" si="128"/>
        <v>40.611610859544747</v>
      </c>
      <c r="I34" s="60">
        <f t="shared" si="128"/>
        <v>40.611610859544747</v>
      </c>
      <c r="J34" s="60">
        <f t="shared" si="128"/>
        <v>40.611610859544747</v>
      </c>
      <c r="K34" s="60">
        <f t="shared" si="128"/>
        <v>40.611610859544747</v>
      </c>
      <c r="L34" s="60">
        <f t="shared" si="128"/>
        <v>40.611610859544747</v>
      </c>
      <c r="M34" s="60">
        <f t="shared" si="128"/>
        <v>40.611610859544747</v>
      </c>
      <c r="N34" s="71">
        <f>s_dir!BA34</f>
        <v>4.9246999999999996E-7</v>
      </c>
      <c r="O34" s="71">
        <f>IFERROR(s_RadSpec!$E$14*O14,".")*$B$34</f>
        <v>1.2311749999999999E-7</v>
      </c>
      <c r="P34" s="71">
        <f>IFERROR(s_RadSpec!$E$14*P14,".")*$B$34</f>
        <v>1.2311749999999999E-7</v>
      </c>
      <c r="Q34" s="71">
        <f>IFERROR(s_RadSpec!$E$14*Q14,".")*$B$34</f>
        <v>1.2311749999999999E-7</v>
      </c>
      <c r="R34" s="71">
        <f>IFERROR(s_RadSpec!$E$14*R14,".")*$B$34</f>
        <v>1.2311749999999999E-7</v>
      </c>
      <c r="S34" s="71">
        <f>IFERROR(s_RadSpec!$E$14*S14,".")*$B$34</f>
        <v>1.2311749999999999E-7</v>
      </c>
      <c r="T34" s="71">
        <f>IFERROR(s_RadSpec!$E$14*T14,".")*$B$34</f>
        <v>1.2311749999999999E-7</v>
      </c>
      <c r="U34" s="71">
        <f>IFERROR(s_RadSpec!$E$14*U14,".")*$B$34</f>
        <v>1.2311749999999999E-7</v>
      </c>
      <c r="V34" s="71">
        <f>IFERROR(s_RadSpec!$E$14*V14,".")*$B$34</f>
        <v>1.2311749999999999E-7</v>
      </c>
      <c r="W34" s="71">
        <f>IFERROR(s_RadSpec!$E$14*W14,".")*$B$34</f>
        <v>1.2311749999999999E-7</v>
      </c>
      <c r="X34" s="71">
        <f>IFERROR(s_RadSpec!$E$14*X14,".")*$B$34</f>
        <v>1.2311749999999999E-7</v>
      </c>
      <c r="Y34" s="49">
        <f t="shared" si="106"/>
        <v>4.9246999999999996E-7</v>
      </c>
      <c r="Z34" s="49">
        <f t="shared" si="107"/>
        <v>1.2311749999999999E-7</v>
      </c>
      <c r="AA34" s="49">
        <f t="shared" si="108"/>
        <v>1.2311749999999999E-7</v>
      </c>
      <c r="AB34" s="49">
        <f t="shared" si="109"/>
        <v>1.2311749999999999E-7</v>
      </c>
      <c r="AC34" s="49">
        <f t="shared" si="110"/>
        <v>1.2311749999999999E-7</v>
      </c>
      <c r="AD34" s="49">
        <f t="shared" si="72"/>
        <v>1.2311749999999999E-7</v>
      </c>
      <c r="AE34" s="49">
        <f t="shared" si="72"/>
        <v>1.2311749999999999E-7</v>
      </c>
      <c r="AF34" s="49">
        <f t="shared" si="72"/>
        <v>1.2311749999999999E-7</v>
      </c>
      <c r="AG34" s="49">
        <f t="shared" si="72"/>
        <v>1.2311749999999999E-7</v>
      </c>
      <c r="AH34" s="49">
        <f t="shared" si="72"/>
        <v>1.2311749999999999E-7</v>
      </c>
      <c r="AI34" s="49">
        <f t="shared" si="72"/>
        <v>1.2311749999999999E-7</v>
      </c>
      <c r="AJ34" s="60">
        <f t="shared" ref="AJ34:AW34" si="129">IFERROR(AJ14/$B34,0)</f>
        <v>11042.707671921153</v>
      </c>
      <c r="AK34" s="60">
        <f t="shared" si="129"/>
        <v>111216247.72548941</v>
      </c>
      <c r="AL34" s="60">
        <f t="shared" si="129"/>
        <v>234.63574398903006</v>
      </c>
      <c r="AM34" s="60">
        <f t="shared" si="129"/>
        <v>432.03841339941226</v>
      </c>
      <c r="AN34" s="60">
        <f t="shared" si="112"/>
        <v>8122.3221719089488</v>
      </c>
      <c r="AO34" s="60">
        <f t="shared" si="112"/>
        <v>81223.221719089488</v>
      </c>
      <c r="AP34" s="60">
        <f t="shared" si="112"/>
        <v>83659.918370662184</v>
      </c>
      <c r="AQ34" s="60">
        <f t="shared" si="112"/>
        <v>0</v>
      </c>
      <c r="AR34" s="60">
        <f t="shared" si="129"/>
        <v>0</v>
      </c>
      <c r="AS34" s="60">
        <f t="shared" si="129"/>
        <v>0</v>
      </c>
      <c r="AT34" s="60">
        <f t="shared" si="129"/>
        <v>0</v>
      </c>
      <c r="AU34" s="60">
        <f>IFERROR(AU14/$B34,0)</f>
        <v>0</v>
      </c>
      <c r="AV34" s="60">
        <f t="shared" si="129"/>
        <v>0</v>
      </c>
      <c r="AW34" s="60">
        <f t="shared" si="129"/>
        <v>0</v>
      </c>
      <c r="AX34" s="42"/>
      <c r="AY34" s="42"/>
      <c r="AZ34" s="42"/>
      <c r="BA34" s="42"/>
      <c r="BB34" s="42"/>
      <c r="BC34" s="42"/>
      <c r="BD34" s="42"/>
      <c r="BE34" s="42"/>
      <c r="BF34" s="42"/>
      <c r="BG34" s="42"/>
      <c r="BH34" s="42"/>
      <c r="BI34" s="42"/>
      <c r="BJ34" s="42"/>
      <c r="BK34" s="42"/>
      <c r="BL34" s="60">
        <f>IFERROR(BL14/$B34,0)</f>
        <v>146.74627255154655</v>
      </c>
      <c r="BM34" s="71">
        <f>IFERROR(s_RadSpec!$D$14*BM14,".")*$B$34</f>
        <v>4.5278750000000002E-10</v>
      </c>
      <c r="BN34" s="71">
        <f>IFERROR(s_RadSpec!$G$14*BN14,".")*$B$34</f>
        <v>4.4957459923853019E-14</v>
      </c>
      <c r="BO34" s="71">
        <f>IFERROR(s_RadSpec!$F$14*BO14,".")*$B$34</f>
        <v>2.1309626210377242E-8</v>
      </c>
      <c r="BP34" s="71">
        <f>s_b2s!BZ34</f>
        <v>1.1573044999999998E-8</v>
      </c>
      <c r="BQ34" s="71">
        <f>IFERROR(s_RadSpec!$E$14*BQ14,".")*$B$34</f>
        <v>6.1558749999999997E-10</v>
      </c>
      <c r="BR34" s="71">
        <f>IFERROR(s_RadSpec!$E$14*BR14,".")*$B$34</f>
        <v>6.1558750000000007E-11</v>
      </c>
      <c r="BS34" s="71">
        <f>IFERROR(s_RadSpec!$E$14*BS14,".")*$B$34</f>
        <v>5.9765776699029122E-11</v>
      </c>
      <c r="BT34" s="71">
        <f>IFERROR(s_RadSpec!$E$14*BT14,".")*$B$34</f>
        <v>0</v>
      </c>
      <c r="BU34" s="71">
        <f>IFERROR(s_RadSpec!$E$14*BU14,".")*$B$34</f>
        <v>0</v>
      </c>
      <c r="BV34" s="71">
        <f>IFERROR(s_RadSpec!$E$14*BV14,".")*$B$34</f>
        <v>0</v>
      </c>
      <c r="BW34" s="71">
        <f>IFERROR(s_RadSpec!$E$14*BW14,".")*$B$34</f>
        <v>0</v>
      </c>
      <c r="BX34" s="71">
        <f>IFERROR(s_RadSpec!$E$14*BX14,".")*$B$34</f>
        <v>0</v>
      </c>
      <c r="BY34" s="71">
        <f>IFERROR(s_RadSpec!$E$14*BY14,".")*$B$34</f>
        <v>0</v>
      </c>
      <c r="BZ34" s="71">
        <f>IFERROR(s_RadSpec!$E$14*BZ14,".")*$B$34</f>
        <v>0</v>
      </c>
      <c r="CA34" s="49">
        <f t="shared" si="113"/>
        <v>4.5278750000000002E-10</v>
      </c>
      <c r="CB34" s="49">
        <f t="shared" si="114"/>
        <v>4.4957459923853019E-14</v>
      </c>
      <c r="CC34" s="49">
        <f t="shared" si="115"/>
        <v>2.1309626210377242E-8</v>
      </c>
      <c r="CD34" s="49">
        <f t="shared" si="116"/>
        <v>1.1573044999999998E-8</v>
      </c>
      <c r="CE34" s="49">
        <f t="shared" si="117"/>
        <v>6.1558749999999997E-10</v>
      </c>
      <c r="CF34" s="49">
        <f t="shared" si="79"/>
        <v>6.1558750000000007E-11</v>
      </c>
      <c r="CG34" s="49">
        <f t="shared" si="80"/>
        <v>5.9765776699029122E-11</v>
      </c>
      <c r="CH34" s="49">
        <f t="shared" si="81"/>
        <v>0</v>
      </c>
      <c r="CI34" s="49">
        <f t="shared" si="82"/>
        <v>0</v>
      </c>
      <c r="CJ34" s="49">
        <f t="shared" si="83"/>
        <v>0</v>
      </c>
      <c r="CK34" s="49">
        <f t="shared" si="84"/>
        <v>0</v>
      </c>
      <c r="CL34" s="49">
        <f t="shared" si="85"/>
        <v>0</v>
      </c>
      <c r="CM34" s="49">
        <f t="shared" si="86"/>
        <v>0</v>
      </c>
      <c r="CN34" s="49">
        <f t="shared" si="87"/>
        <v>0</v>
      </c>
      <c r="CO34" s="49">
        <f t="shared" si="88"/>
        <v>3.4072415694536192E-8</v>
      </c>
      <c r="CP34" s="60">
        <f t="shared" ref="CP34:DC34" si="130">IFERROR(CP14/$B34,0)</f>
        <v>325.62683165092801</v>
      </c>
      <c r="CQ34" s="60">
        <f t="shared" si="130"/>
        <v>0</v>
      </c>
      <c r="CR34" s="60">
        <f t="shared" si="130"/>
        <v>11722451.40417625</v>
      </c>
      <c r="CS34" s="60">
        <f t="shared" si="130"/>
        <v>741.9643243530362</v>
      </c>
      <c r="CT34" s="60">
        <f t="shared" si="119"/>
        <v>4061.1610859544749</v>
      </c>
      <c r="CU34" s="60">
        <f t="shared" si="119"/>
        <v>1624464434.3817897</v>
      </c>
      <c r="CV34" s="60">
        <f t="shared" si="119"/>
        <v>1673198367.4132435</v>
      </c>
      <c r="CW34" s="60">
        <f t="shared" si="119"/>
        <v>0</v>
      </c>
      <c r="CX34" s="60">
        <f t="shared" si="130"/>
        <v>0</v>
      </c>
      <c r="CY34" s="60">
        <f t="shared" si="130"/>
        <v>0</v>
      </c>
      <c r="CZ34" s="60">
        <f t="shared" si="130"/>
        <v>0</v>
      </c>
      <c r="DA34" s="60">
        <f>IFERROR(DA14/$B34,0)</f>
        <v>0</v>
      </c>
      <c r="DB34" s="60">
        <f t="shared" si="130"/>
        <v>0</v>
      </c>
      <c r="DC34" s="60">
        <f t="shared" si="130"/>
        <v>0</v>
      </c>
      <c r="DD34" s="15"/>
      <c r="DE34" s="15"/>
      <c r="DF34" s="15"/>
      <c r="DG34" s="15"/>
      <c r="DH34" s="15"/>
      <c r="DI34" s="15"/>
      <c r="DJ34" s="15"/>
      <c r="DK34" s="15"/>
      <c r="DL34" s="15"/>
      <c r="DM34" s="15"/>
      <c r="DN34" s="15"/>
      <c r="DO34" s="15"/>
      <c r="DP34" s="15"/>
      <c r="DQ34" s="15"/>
      <c r="DR34" s="60">
        <f>IFERROR(DR14/$B34,0)</f>
        <v>214.35789704176884</v>
      </c>
      <c r="DS34" s="71">
        <f>IFERROR(s_RadSpec!$H$14*DS14,".")*$B$34</f>
        <v>1.5355000000000001E-8</v>
      </c>
      <c r="DT34" s="71">
        <f>IFERROR(s_RadSpec!$G$14*DT14,".")*$B$34</f>
        <v>6.9639973958333328E-9</v>
      </c>
      <c r="DU34" s="71">
        <f>IFERROR(s_RadSpec!$L$14*DU14,".")*$B$34</f>
        <v>4.2653194520547938E-13</v>
      </c>
      <c r="DV34" s="71">
        <f>s_b2w!BZ34</f>
        <v>6.7388684817963523E-9</v>
      </c>
      <c r="DW34" s="71">
        <f>IFERROR(s_RadSpec!$E$14*DW14,".")*$B$34</f>
        <v>1.2311749999999999E-9</v>
      </c>
      <c r="DX34" s="71">
        <f>IFERROR(s_RadSpec!$E$14*DX14,".")*$B$34</f>
        <v>3.0779374999999997E-15</v>
      </c>
      <c r="DY34" s="71">
        <f>IFERROR(s_RadSpec!$E$14*DY14,".")*$B$34</f>
        <v>2.9882888349514568E-15</v>
      </c>
      <c r="DZ34" s="71">
        <f>IFERROR(s_RadSpec!$E$14*DZ14,".")*$B$34</f>
        <v>0</v>
      </c>
      <c r="EA34" s="71">
        <f>IFERROR(s_RadSpec!$E$14*EA14,".")*$B$34</f>
        <v>0</v>
      </c>
      <c r="EB34" s="71">
        <f>IFERROR(s_RadSpec!$E$14*EB14,".")*$B$34</f>
        <v>0</v>
      </c>
      <c r="EC34" s="71">
        <f>IFERROR(s_RadSpec!$E$14*EC14,".")*$B$34</f>
        <v>0</v>
      </c>
      <c r="ED34" s="71">
        <f>IFERROR(s_RadSpec!$E$14*ED14,".")*$B$34</f>
        <v>0</v>
      </c>
      <c r="EE34" s="71">
        <f>IFERROR(s_RadSpec!$E$14*EE14,".")*$B$34</f>
        <v>0</v>
      </c>
      <c r="EF34" s="71">
        <f>IFERROR(s_RadSpec!$E$14*EF14,".")*$B$34</f>
        <v>0</v>
      </c>
      <c r="EG34" s="49">
        <f t="shared" si="120"/>
        <v>1.5355000000000001E-8</v>
      </c>
      <c r="EH34" s="49">
        <f t="shared" si="121"/>
        <v>6.9639973958333328E-9</v>
      </c>
      <c r="EI34" s="49">
        <f t="shared" si="122"/>
        <v>4.2653194520547938E-13</v>
      </c>
      <c r="EJ34" s="49">
        <f t="shared" si="123"/>
        <v>6.7388684817963523E-9</v>
      </c>
      <c r="EK34" s="49">
        <f t="shared" si="124"/>
        <v>1.2311749999999999E-9</v>
      </c>
      <c r="EL34" s="49">
        <f t="shared" si="95"/>
        <v>3.0779374999999997E-15</v>
      </c>
      <c r="EM34" s="49">
        <f t="shared" si="96"/>
        <v>2.9882888349514568E-15</v>
      </c>
      <c r="EN34" s="49">
        <f t="shared" si="97"/>
        <v>0</v>
      </c>
      <c r="EO34" s="49">
        <f t="shared" si="98"/>
        <v>0</v>
      </c>
      <c r="EP34" s="49">
        <f t="shared" si="99"/>
        <v>0</v>
      </c>
      <c r="EQ34" s="49">
        <f t="shared" si="100"/>
        <v>0</v>
      </c>
      <c r="ER34" s="49">
        <f t="shared" si="101"/>
        <v>0</v>
      </c>
      <c r="ES34" s="49">
        <f t="shared" si="102"/>
        <v>0</v>
      </c>
      <c r="ET34" s="49">
        <f t="shared" si="103"/>
        <v>0</v>
      </c>
      <c r="EU34" s="49">
        <f t="shared" si="104"/>
        <v>3.0289473475801226E-8</v>
      </c>
      <c r="EV34" s="60">
        <f t="shared" si="125"/>
        <v>358.98922097469313</v>
      </c>
      <c r="EW34" s="60">
        <f t="shared" si="125"/>
        <v>10263.158548116005</v>
      </c>
      <c r="EX34" s="60">
        <f t="shared" si="125"/>
        <v>346.85671598817572</v>
      </c>
      <c r="EY34" s="71">
        <f>IFERROR(s_RadSpec!$G$14*EY14,".")*$B$34</f>
        <v>1.3927994791666666E-8</v>
      </c>
      <c r="EZ34" s="71">
        <f>IFERROR(s_RadSpec!$J$14*EZ14,".")*$B$34</f>
        <v>4.871794561643835E-10</v>
      </c>
      <c r="FA34" s="49">
        <f t="shared" si="126"/>
        <v>1.3927994791666666E-8</v>
      </c>
      <c r="FB34" s="49">
        <f t="shared" si="126"/>
        <v>4.871794561643835E-10</v>
      </c>
      <c r="FC34" s="49">
        <f t="shared" si="127"/>
        <v>1.4415174247831049E-8</v>
      </c>
    </row>
    <row r="35" spans="1:159" x14ac:dyDescent="0.25">
      <c r="A35" s="83" t="s">
        <v>1080</v>
      </c>
      <c r="B35" s="42">
        <v>1</v>
      </c>
      <c r="C35" s="60">
        <f t="shared" ref="C35:M35" si="131">IFERROR(C30/$B35,0)</f>
        <v>0.93778719732918203</v>
      </c>
      <c r="D35" s="60">
        <f t="shared" si="131"/>
        <v>3.7511487893167277</v>
      </c>
      <c r="E35" s="60">
        <f t="shared" si="131"/>
        <v>3.7511487893167277</v>
      </c>
      <c r="F35" s="60">
        <f t="shared" si="131"/>
        <v>3.7511487893167277</v>
      </c>
      <c r="G35" s="60">
        <f t="shared" si="131"/>
        <v>3.7511487893167277</v>
      </c>
      <c r="H35" s="60">
        <f t="shared" si="131"/>
        <v>3.7511487893167277</v>
      </c>
      <c r="I35" s="60">
        <f t="shared" si="131"/>
        <v>3.7511487893167277</v>
      </c>
      <c r="J35" s="60">
        <f t="shared" si="131"/>
        <v>3.7511487893167277</v>
      </c>
      <c r="K35" s="60">
        <f t="shared" si="131"/>
        <v>3.7511487893167277</v>
      </c>
      <c r="L35" s="60">
        <f t="shared" si="131"/>
        <v>3.7511487893167277</v>
      </c>
      <c r="M35" s="60">
        <f t="shared" si="131"/>
        <v>3.7511487893167277</v>
      </c>
      <c r="N35" s="71">
        <f>s_dir!BA35</f>
        <v>5.3317000000000001E-6</v>
      </c>
      <c r="O35" s="71">
        <f>IFERROR(s_RadSpec!$E$30*O30,".")*$B$35</f>
        <v>1.332925E-6</v>
      </c>
      <c r="P35" s="71">
        <f>IFERROR(s_RadSpec!$E$30*P30,".")*$B$35</f>
        <v>1.332925E-6</v>
      </c>
      <c r="Q35" s="71">
        <f>IFERROR(s_RadSpec!$E$30*Q30,".")*$B$35</f>
        <v>1.332925E-6</v>
      </c>
      <c r="R35" s="71">
        <f>IFERROR(s_RadSpec!$E$30*R30,".")*$B$35</f>
        <v>1.332925E-6</v>
      </c>
      <c r="S35" s="71">
        <f>IFERROR(s_RadSpec!$E$30*S30,".")*$B$35</f>
        <v>1.332925E-6</v>
      </c>
      <c r="T35" s="71">
        <f>IFERROR(s_RadSpec!$E$30*T30,".")*$B$35</f>
        <v>1.332925E-6</v>
      </c>
      <c r="U35" s="71">
        <f>IFERROR(s_RadSpec!$E$30*U30,".")*$B$35</f>
        <v>1.332925E-6</v>
      </c>
      <c r="V35" s="71">
        <f>IFERROR(s_RadSpec!$E$30*V30,".")*$B$35</f>
        <v>1.332925E-6</v>
      </c>
      <c r="W35" s="71">
        <f>IFERROR(s_RadSpec!$E$30*W30,".")*$B$35</f>
        <v>1.332925E-6</v>
      </c>
      <c r="X35" s="71">
        <f>IFERROR(s_RadSpec!$E$30*X30,".")*$B$35</f>
        <v>1.332925E-6</v>
      </c>
      <c r="Y35" s="49">
        <f t="shared" si="106"/>
        <v>5.3317000000000001E-6</v>
      </c>
      <c r="Z35" s="49">
        <f t="shared" si="107"/>
        <v>1.332925E-6</v>
      </c>
      <c r="AA35" s="49">
        <f t="shared" si="108"/>
        <v>1.332925E-6</v>
      </c>
      <c r="AB35" s="49">
        <f t="shared" si="109"/>
        <v>1.332925E-6</v>
      </c>
      <c r="AC35" s="49">
        <f t="shared" si="110"/>
        <v>1.332925E-6</v>
      </c>
      <c r="AD35" s="49">
        <f t="shared" si="72"/>
        <v>1.332925E-6</v>
      </c>
      <c r="AE35" s="49">
        <f t="shared" si="72"/>
        <v>1.332925E-6</v>
      </c>
      <c r="AF35" s="49">
        <f t="shared" si="72"/>
        <v>1.332925E-6</v>
      </c>
      <c r="AG35" s="49">
        <f t="shared" si="72"/>
        <v>1.332925E-6</v>
      </c>
      <c r="AH35" s="49">
        <f t="shared" si="72"/>
        <v>1.332925E-6</v>
      </c>
      <c r="AI35" s="49">
        <f t="shared" si="72"/>
        <v>1.332925E-6</v>
      </c>
      <c r="AJ35" s="60">
        <f t="shared" ref="AJ35:AW35" si="132">IFERROR(AJ30/$B35,0)</f>
        <v>1210.3460379322448</v>
      </c>
      <c r="AK35" s="60">
        <f t="shared" si="132"/>
        <v>60042.235700166173</v>
      </c>
      <c r="AL35" s="60">
        <f t="shared" si="132"/>
        <v>855497.27452481294</v>
      </c>
      <c r="AM35" s="60">
        <f t="shared" si="132"/>
        <v>46.058578261074956</v>
      </c>
      <c r="AN35" s="60">
        <f>IFERROR(AN30/$B35,0)</f>
        <v>1.5629786622153032</v>
      </c>
      <c r="AO35" s="60">
        <f>IFERROR(AO30/$B35,0)</f>
        <v>108.81595967808855</v>
      </c>
      <c r="AP35" s="60">
        <f>IFERROR(AP30/$B35,0)</f>
        <v>24.284095001493426</v>
      </c>
      <c r="AQ35" s="60">
        <f>IFERROR(AQ30/$B35,0)</f>
        <v>0.96450509714669386</v>
      </c>
      <c r="AR35" s="60">
        <f t="shared" si="132"/>
        <v>5.658429903260604E-2</v>
      </c>
      <c r="AS35" s="60">
        <f t="shared" si="132"/>
        <v>3.8580203885867755E-2</v>
      </c>
      <c r="AT35" s="60">
        <f t="shared" si="132"/>
        <v>0</v>
      </c>
      <c r="AU35" s="60">
        <f>IFERROR(AU30/$B35,0)</f>
        <v>31.222407859062976</v>
      </c>
      <c r="AV35" s="60">
        <f t="shared" si="132"/>
        <v>21.219112137227263</v>
      </c>
      <c r="AW35" s="60">
        <f t="shared" si="132"/>
        <v>0</v>
      </c>
      <c r="AX35" s="42"/>
      <c r="AY35" s="42"/>
      <c r="AZ35" s="42"/>
      <c r="BA35" s="42"/>
      <c r="BB35" s="42"/>
      <c r="BC35" s="42"/>
      <c r="BD35" s="42"/>
      <c r="BE35" s="42"/>
      <c r="BF35" s="42"/>
      <c r="BG35" s="42"/>
      <c r="BH35" s="42"/>
      <c r="BI35" s="42"/>
      <c r="BJ35" s="42"/>
      <c r="BK35" s="42"/>
      <c r="BL35" s="60">
        <f>IFERROR(BL30/$B35,0)</f>
        <v>2.2016024436615916E-2</v>
      </c>
      <c r="BM35" s="71">
        <f>IFERROR(s_RadSpec!$D$30*BM30,".")*$B$35</f>
        <v>4.1310500000000001E-9</v>
      </c>
      <c r="BN35" s="71">
        <f>IFERROR(s_RadSpec!$G$30*BN30,".")*$B$35</f>
        <v>8.327471390253647E-11</v>
      </c>
      <c r="BO35" s="71">
        <f>IFERROR(s_RadSpec!$F$30*BO30,".")*$B$35</f>
        <v>5.8445539791780816E-12</v>
      </c>
      <c r="BP35" s="71">
        <f>s_b2s!BZ35</f>
        <v>1.0855741077500001E-7</v>
      </c>
      <c r="BQ35" s="71">
        <f>IFERROR(s_RadSpec!$E$30*BQ30,".")*$B$35</f>
        <v>3.1990199999999995E-6</v>
      </c>
      <c r="BR35" s="71">
        <f>IFERROR(s_RadSpec!$E$30*BR30,".")*$B$35</f>
        <v>4.5949142155172415E-8</v>
      </c>
      <c r="BS35" s="71">
        <f>IFERROR(s_RadSpec!$E$30*BS30,".")*$B$35</f>
        <v>2.058960813525276E-7</v>
      </c>
      <c r="BT35" s="71">
        <f>IFERROR(s_RadSpec!$E$30*BT30,".")*$B$35</f>
        <v>5.1840057816091958E-6</v>
      </c>
      <c r="BU35" s="71">
        <f>IFERROR(s_RadSpec!$E$30*BU30,".")*$B$35</f>
        <v>8.8363734913793105E-5</v>
      </c>
      <c r="BV35" s="71">
        <f>IFERROR(s_RadSpec!$E$30*BV30,".")*$B$35</f>
        <v>1.2960014454022989E-4</v>
      </c>
      <c r="BW35" s="71">
        <f>IFERROR(s_RadSpec!$E$30*BW30,".")*$B$35</f>
        <v>0</v>
      </c>
      <c r="BX35" s="71">
        <f>IFERROR(s_RadSpec!$E$30*BX30,".")*$B$35</f>
        <v>1.601413966075215E-7</v>
      </c>
      <c r="BY35" s="71">
        <f>IFERROR(s_RadSpec!$E$30*BY30,".")*$B$35</f>
        <v>2.3563662643678159E-7</v>
      </c>
      <c r="BZ35" s="71">
        <f>IFERROR(s_RadSpec!$E$30*BZ30,".")*$B$35</f>
        <v>0</v>
      </c>
      <c r="CA35" s="49">
        <f t="shared" si="113"/>
        <v>4.1310500000000001E-9</v>
      </c>
      <c r="CB35" s="49">
        <f t="shared" si="114"/>
        <v>8.327471390253647E-11</v>
      </c>
      <c r="CC35" s="49">
        <f t="shared" si="115"/>
        <v>5.8445539791780816E-12</v>
      </c>
      <c r="CD35" s="49">
        <f t="shared" si="116"/>
        <v>1.0855741077500001E-7</v>
      </c>
      <c r="CE35" s="49">
        <f t="shared" si="117"/>
        <v>3.1990199999999995E-6</v>
      </c>
      <c r="CF35" s="49">
        <f t="shared" si="79"/>
        <v>4.5949142155172415E-8</v>
      </c>
      <c r="CG35" s="49">
        <f t="shared" si="80"/>
        <v>2.058960813525276E-7</v>
      </c>
      <c r="CH35" s="49">
        <f t="shared" si="81"/>
        <v>5.1840057816091958E-6</v>
      </c>
      <c r="CI35" s="49">
        <f t="shared" si="82"/>
        <v>8.8363734913793105E-5</v>
      </c>
      <c r="CJ35" s="49">
        <f t="shared" si="83"/>
        <v>1.2960014454022989E-4</v>
      </c>
      <c r="CK35" s="49">
        <f t="shared" si="84"/>
        <v>0</v>
      </c>
      <c r="CL35" s="49">
        <f t="shared" si="85"/>
        <v>1.601413966075215E-7</v>
      </c>
      <c r="CM35" s="49">
        <f t="shared" si="86"/>
        <v>2.3563662643678159E-7</v>
      </c>
      <c r="CN35" s="49">
        <f t="shared" si="87"/>
        <v>0</v>
      </c>
      <c r="CO35" s="49">
        <f t="shared" si="88"/>
        <v>2.2710730606222707E-4</v>
      </c>
      <c r="CP35" s="60">
        <f t="shared" ref="CP35:DC35" si="133">IFERROR(CP30/$B35,0)</f>
        <v>27.862914460852604</v>
      </c>
      <c r="CQ35" s="60">
        <f t="shared" si="133"/>
        <v>0</v>
      </c>
      <c r="CR35" s="60">
        <f t="shared" si="133"/>
        <v>10478168852.894972</v>
      </c>
      <c r="CS35" s="60">
        <f t="shared" si="133"/>
        <v>71.805822354410395</v>
      </c>
      <c r="CT35" s="60">
        <f>IFERROR(CT30/$B35,0)</f>
        <v>3907.4466555382578</v>
      </c>
      <c r="CU35" s="60">
        <f>IFERROR(CU30/$B35,0)</f>
        <v>1923666.04580345</v>
      </c>
      <c r="CV35" s="60">
        <f>IFERROR(CV30/$B35,0)</f>
        <v>429298.13922180329</v>
      </c>
      <c r="CW35" s="60">
        <f>IFERROR(CW30/$B35,0)</f>
        <v>17050.676315076038</v>
      </c>
      <c r="CX35" s="60">
        <f t="shared" si="133"/>
        <v>1000.3063438177941</v>
      </c>
      <c r="CY35" s="60">
        <f t="shared" si="133"/>
        <v>682.0270526030414</v>
      </c>
      <c r="CZ35" s="60">
        <f t="shared" si="133"/>
        <v>0</v>
      </c>
      <c r="DA35" s="60">
        <f>IFERROR(DA30/$B35,0)</f>
        <v>551954.75042803283</v>
      </c>
      <c r="DB35" s="60">
        <f t="shared" si="133"/>
        <v>375114.87893167272</v>
      </c>
      <c r="DC35" s="60">
        <f t="shared" si="133"/>
        <v>0</v>
      </c>
      <c r="DD35" s="15"/>
      <c r="DE35" s="15"/>
      <c r="DF35" s="15"/>
      <c r="DG35" s="15"/>
      <c r="DH35" s="15"/>
      <c r="DI35" s="15"/>
      <c r="DJ35" s="15"/>
      <c r="DK35" s="15"/>
      <c r="DL35" s="15"/>
      <c r="DM35" s="15"/>
      <c r="DN35" s="15"/>
      <c r="DO35" s="15"/>
      <c r="DP35" s="15"/>
      <c r="DQ35" s="15"/>
      <c r="DR35" s="60">
        <f>IFERROR(DR30/$B35,0)</f>
        <v>19.00986879735099</v>
      </c>
      <c r="DS35" s="71">
        <f>IFERROR(s_RadSpec!$H$30*DS30,".")*$B$35</f>
        <v>1.7944999999999998E-7</v>
      </c>
      <c r="DT35" s="71">
        <f>IFERROR(s_RadSpec!$G$30*DT30,".")*$B$35</f>
        <v>1.2899414062499999E-5</v>
      </c>
      <c r="DU35" s="71">
        <f>IFERROR(s_RadSpec!$L$30*DU30,".")*$B$35</f>
        <v>4.7718261369863009E-16</v>
      </c>
      <c r="DV35" s="71">
        <f>s_b2w!BZ35</f>
        <v>6.9632236440683191E-8</v>
      </c>
      <c r="DW35" s="71">
        <f>IFERROR(s_RadSpec!$E$30*DW30,".")*$B$35</f>
        <v>1.2796080000000001E-9</v>
      </c>
      <c r="DX35" s="71">
        <f>IFERROR(s_RadSpec!$E$30*DX30,".")*$B$35</f>
        <v>2.5992037500000002E-12</v>
      </c>
      <c r="DY35" s="71">
        <f>IFERROR(s_RadSpec!$E$30*DY30,".")*$B$35</f>
        <v>1.1646917475728156E-11</v>
      </c>
      <c r="DZ35" s="71">
        <f>IFERROR(s_RadSpec!$E$30*DZ30,".")*$B$35</f>
        <v>2.9324349999999999E-10</v>
      </c>
      <c r="EA35" s="71">
        <f>IFERROR(s_RadSpec!$E$30*EA30,".")*$B$35</f>
        <v>4.99846875E-9</v>
      </c>
      <c r="EB35" s="71">
        <f>IFERROR(s_RadSpec!$E$30*EB30,".")*$B$35</f>
        <v>7.3310875000000019E-9</v>
      </c>
      <c r="EC35" s="71">
        <f>IFERROR(s_RadSpec!$E$30*EC30,".")*$B$35</f>
        <v>0</v>
      </c>
      <c r="ED35" s="71">
        <f>IFERROR(s_RadSpec!$E$30*ED30,".")*$B$35</f>
        <v>9.0587135922330095E-12</v>
      </c>
      <c r="EE35" s="71">
        <f>IFERROR(s_RadSpec!$E$30*EE30,".")*$B$35</f>
        <v>1.3329250000000001E-11</v>
      </c>
      <c r="EF35" s="71">
        <f>IFERROR(s_RadSpec!$E$30*EF30,".")*$B$35</f>
        <v>0</v>
      </c>
      <c r="EG35" s="49">
        <f t="shared" si="120"/>
        <v>1.7944999999999998E-7</v>
      </c>
      <c r="EH35" s="49">
        <f t="shared" si="121"/>
        <v>1.2899414062499999E-5</v>
      </c>
      <c r="EI35" s="49">
        <f t="shared" si="122"/>
        <v>4.7718261369863009E-16</v>
      </c>
      <c r="EJ35" s="49">
        <f t="shared" si="123"/>
        <v>6.9632236440683191E-8</v>
      </c>
      <c r="EK35" s="49">
        <f t="shared" si="124"/>
        <v>1.2796080000000001E-9</v>
      </c>
      <c r="EL35" s="49">
        <f t="shared" si="95"/>
        <v>2.5992037500000002E-12</v>
      </c>
      <c r="EM35" s="49">
        <f t="shared" si="96"/>
        <v>1.1646917475728156E-11</v>
      </c>
      <c r="EN35" s="49">
        <f t="shared" si="97"/>
        <v>2.9324349999999999E-10</v>
      </c>
      <c r="EO35" s="49">
        <f t="shared" si="98"/>
        <v>4.99846875E-9</v>
      </c>
      <c r="EP35" s="49">
        <f t="shared" si="99"/>
        <v>7.3310875000000019E-9</v>
      </c>
      <c r="EQ35" s="49">
        <f t="shared" si="100"/>
        <v>0</v>
      </c>
      <c r="ER35" s="49">
        <f t="shared" si="101"/>
        <v>9.0587135922330095E-12</v>
      </c>
      <c r="ES35" s="49">
        <f t="shared" si="102"/>
        <v>1.3329250000000001E-11</v>
      </c>
      <c r="ET35" s="49">
        <f t="shared" si="103"/>
        <v>0</v>
      </c>
      <c r="EU35" s="49">
        <f t="shared" si="104"/>
        <v>1.3162435341252683E-5</v>
      </c>
      <c r="EV35" s="60">
        <f>IFERROR(EV30/$B35,0)</f>
        <v>0.19380725263078202</v>
      </c>
      <c r="EW35" s="60">
        <f>IFERROR(EW30/$B35,0)</f>
        <v>9342925.1540134512</v>
      </c>
      <c r="EX35" s="60">
        <f>IFERROR(EX30/$B35,0)</f>
        <v>0.19380724861049398</v>
      </c>
      <c r="EY35" s="71">
        <f>IFERROR(s_RadSpec!$G$30*EY30,".")*$B$35</f>
        <v>2.5798828124999997E-5</v>
      </c>
      <c r="EZ35" s="71">
        <f>IFERROR(s_RadSpec!$J$30*EZ30,".")*$B$35</f>
        <v>5.3516429999999987E-13</v>
      </c>
      <c r="FA35" s="49">
        <f t="shared" si="126"/>
        <v>2.5798828124999997E-5</v>
      </c>
      <c r="FB35" s="49">
        <f t="shared" si="126"/>
        <v>5.3516429999999987E-13</v>
      </c>
      <c r="FC35" s="49">
        <f t="shared" si="127"/>
        <v>2.5798828660164297E-5</v>
      </c>
    </row>
    <row r="36" spans="1:159" x14ac:dyDescent="0.25">
      <c r="A36" s="83" t="s">
        <v>1081</v>
      </c>
      <c r="B36" s="42">
        <v>1</v>
      </c>
      <c r="C36" s="60">
        <f t="shared" ref="C36:M36" si="134">IFERROR(C26/$B36,0)</f>
        <v>0.31299394356719196</v>
      </c>
      <c r="D36" s="60">
        <f t="shared" si="134"/>
        <v>1.2519757742687678</v>
      </c>
      <c r="E36" s="60">
        <f t="shared" si="134"/>
        <v>1.2519757742687678</v>
      </c>
      <c r="F36" s="60">
        <f t="shared" si="134"/>
        <v>1.2519757742687678</v>
      </c>
      <c r="G36" s="60">
        <f t="shared" si="134"/>
        <v>1.2519757742687678</v>
      </c>
      <c r="H36" s="60">
        <f t="shared" si="134"/>
        <v>1.2519757742687678</v>
      </c>
      <c r="I36" s="60">
        <f t="shared" si="134"/>
        <v>1.2519757742687678</v>
      </c>
      <c r="J36" s="60">
        <f t="shared" si="134"/>
        <v>1.2519757742687678</v>
      </c>
      <c r="K36" s="60">
        <f t="shared" si="134"/>
        <v>1.2519757742687678</v>
      </c>
      <c r="L36" s="60">
        <f t="shared" si="134"/>
        <v>1.2519757742687678</v>
      </c>
      <c r="M36" s="60">
        <f t="shared" si="134"/>
        <v>1.2519757742687678</v>
      </c>
      <c r="N36" s="71">
        <f>s_dir!BA36</f>
        <v>1.5974750000000002E-5</v>
      </c>
      <c r="O36" s="71">
        <f>IFERROR(s_RadSpec!$E$26*O26,".")*$B$37</f>
        <v>3.9936875000000004E-6</v>
      </c>
      <c r="P36" s="71">
        <f>IFERROR(s_RadSpec!$E$26*P26,".")*$B$37</f>
        <v>3.9936875000000004E-6</v>
      </c>
      <c r="Q36" s="71">
        <f>IFERROR(s_RadSpec!$E$26*Q26,".")*$B$37</f>
        <v>3.9936875000000004E-6</v>
      </c>
      <c r="R36" s="71">
        <f>IFERROR(s_RadSpec!$E$26*R26,".")*$B$37</f>
        <v>3.9936875000000004E-6</v>
      </c>
      <c r="S36" s="71">
        <f>IFERROR(s_RadSpec!$E$26*S26,".")*$B$37</f>
        <v>3.9936875000000004E-6</v>
      </c>
      <c r="T36" s="71">
        <f>IFERROR(s_RadSpec!$E$26*T26,".")*$B$37</f>
        <v>3.9936875000000004E-6</v>
      </c>
      <c r="U36" s="71">
        <f>IFERROR(s_RadSpec!$E$26*U26,".")*$B$37</f>
        <v>3.9936875000000004E-6</v>
      </c>
      <c r="V36" s="71">
        <f>IFERROR(s_RadSpec!$E$26*V26,".")*$B$37</f>
        <v>3.9936875000000004E-6</v>
      </c>
      <c r="W36" s="71">
        <f>IFERROR(s_RadSpec!$E$26*W26,".")*$B$37</f>
        <v>3.9936875000000004E-6</v>
      </c>
      <c r="X36" s="71">
        <f>IFERROR(s_RadSpec!$E$26*X26,".")*$B$37</f>
        <v>3.9936875000000004E-6</v>
      </c>
      <c r="Y36" s="49">
        <f t="shared" si="106"/>
        <v>1.5974750000000002E-5</v>
      </c>
      <c r="Z36" s="49">
        <f t="shared" si="107"/>
        <v>3.9936875000000004E-6</v>
      </c>
      <c r="AA36" s="49">
        <f t="shared" si="108"/>
        <v>3.9936875000000004E-6</v>
      </c>
      <c r="AB36" s="49">
        <f t="shared" si="109"/>
        <v>3.9936875000000004E-6</v>
      </c>
      <c r="AC36" s="49">
        <f t="shared" si="110"/>
        <v>3.9936875000000004E-6</v>
      </c>
      <c r="AD36" s="49">
        <f t="shared" si="72"/>
        <v>3.9936875000000004E-6</v>
      </c>
      <c r="AE36" s="49">
        <f t="shared" si="72"/>
        <v>3.9936875000000004E-6</v>
      </c>
      <c r="AF36" s="49">
        <f t="shared" si="72"/>
        <v>3.9936875000000004E-6</v>
      </c>
      <c r="AG36" s="49">
        <f t="shared" si="72"/>
        <v>3.9936875000000004E-6</v>
      </c>
      <c r="AH36" s="49">
        <f t="shared" si="72"/>
        <v>3.9936875000000004E-6</v>
      </c>
      <c r="AI36" s="49">
        <f t="shared" si="72"/>
        <v>3.9936875000000004E-6</v>
      </c>
      <c r="AJ36" s="60">
        <f t="shared" ref="AJ36:AW36" si="135">IFERROR(AJ26/$B36,0)</f>
        <v>472.50047250047243</v>
      </c>
      <c r="AK36" s="60">
        <f t="shared" si="135"/>
        <v>9731.4216759803221</v>
      </c>
      <c r="AL36" s="60">
        <f t="shared" si="135"/>
        <v>2851.9758471044811</v>
      </c>
      <c r="AM36" s="60">
        <f t="shared" si="135"/>
        <v>21.600686236521188</v>
      </c>
      <c r="AN36" s="60">
        <f>IFERROR(AN26/$B36,0)</f>
        <v>4.1732525808958929</v>
      </c>
      <c r="AO36" s="60">
        <f>IFERROR(AO26/$B36,0)</f>
        <v>61.996196373685542</v>
      </c>
      <c r="AP36" s="60">
        <f>IFERROR(AP26/$B36,0)</f>
        <v>2937.3797841852211</v>
      </c>
      <c r="AQ36" s="60">
        <f>IFERROR(AQ26/$B36,0)</f>
        <v>0</v>
      </c>
      <c r="AR36" s="60">
        <f t="shared" si="135"/>
        <v>0</v>
      </c>
      <c r="AS36" s="60">
        <f t="shared" si="135"/>
        <v>0</v>
      </c>
      <c r="AT36" s="60">
        <f t="shared" si="135"/>
        <v>0</v>
      </c>
      <c r="AU36" s="60">
        <f>IFERROR(AU26/$B36,0)</f>
        <v>0</v>
      </c>
      <c r="AV36" s="60">
        <f t="shared" si="135"/>
        <v>14.259125165947674</v>
      </c>
      <c r="AW36" s="60">
        <f t="shared" si="135"/>
        <v>0</v>
      </c>
      <c r="AX36" s="42"/>
      <c r="AY36" s="42"/>
      <c r="AZ36" s="42"/>
      <c r="BA36" s="42"/>
      <c r="BB36" s="42"/>
      <c r="BC36" s="42"/>
      <c r="BD36" s="42"/>
      <c r="BE36" s="42"/>
      <c r="BF36" s="42"/>
      <c r="BG36" s="42"/>
      <c r="BH36" s="42"/>
      <c r="BI36" s="42"/>
      <c r="BJ36" s="42"/>
      <c r="BK36" s="42"/>
      <c r="BL36" s="60">
        <f>IFERROR(BL26/$B36,0)</f>
        <v>2.6660491355531337</v>
      </c>
      <c r="BM36" s="71">
        <f>IFERROR(s_RadSpec!$D$26*BM26,".")*$B$37</f>
        <v>1.0582E-8</v>
      </c>
      <c r="BN36" s="71">
        <f>IFERROR(s_RadSpec!$G$26*BN26,".")*$B$37</f>
        <v>5.137995419868917E-10</v>
      </c>
      <c r="BO36" s="71">
        <f>IFERROR(s_RadSpec!$F$26*BO26,".")*$B$37</f>
        <v>1.7531705273999206E-9</v>
      </c>
      <c r="BP36" s="71">
        <f>s_b2s!BZ36</f>
        <v>2.3147412750000004E-7</v>
      </c>
      <c r="BQ36" s="71">
        <f>IFERROR(s_RadSpec!$E$26*BQ26,".")*$B$37</f>
        <v>1.19810625E-6</v>
      </c>
      <c r="BR36" s="71">
        <f>IFERROR(s_RadSpec!$E$26*BR26,".")*$B$37</f>
        <v>8.06501090786638E-8</v>
      </c>
      <c r="BS36" s="71">
        <f>IFERROR(s_RadSpec!$E$26*BS26,".")*$B$37</f>
        <v>1.7021973212043858E-9</v>
      </c>
      <c r="BT36" s="71">
        <f>IFERROR(s_RadSpec!$E$26*BT26,".")*$B$37</f>
        <v>0</v>
      </c>
      <c r="BU36" s="71">
        <f>IFERROR(s_RadSpec!$E$26*BU26,".")*$B$37</f>
        <v>0</v>
      </c>
      <c r="BV36" s="71">
        <f>IFERROR(s_RadSpec!$E$26*BV26,".")*$B$37</f>
        <v>0</v>
      </c>
      <c r="BW36" s="71">
        <f>IFERROR(s_RadSpec!$E$26*BW26,".")*$B$37</f>
        <v>0</v>
      </c>
      <c r="BX36" s="71">
        <f>IFERROR(s_RadSpec!$E$26*BX26,".")*$B$37</f>
        <v>0</v>
      </c>
      <c r="BY36" s="71">
        <f>IFERROR(s_RadSpec!$E$26*BY26,".")*$B$37</f>
        <v>3.5065264816810343E-7</v>
      </c>
      <c r="BZ36" s="71">
        <f>IFERROR(s_RadSpec!$E$26*BZ26,".")*$B$37</f>
        <v>0</v>
      </c>
      <c r="CA36" s="49">
        <f t="shared" si="113"/>
        <v>1.0582E-8</v>
      </c>
      <c r="CB36" s="49">
        <f t="shared" si="114"/>
        <v>5.137995419868917E-10</v>
      </c>
      <c r="CC36" s="49">
        <f t="shared" si="115"/>
        <v>1.7531705273999206E-9</v>
      </c>
      <c r="CD36" s="49">
        <f t="shared" si="116"/>
        <v>2.3147412750000004E-7</v>
      </c>
      <c r="CE36" s="49">
        <f t="shared" si="117"/>
        <v>1.19810625E-6</v>
      </c>
      <c r="CF36" s="49">
        <f t="shared" si="79"/>
        <v>8.06501090786638E-8</v>
      </c>
      <c r="CG36" s="49">
        <f t="shared" si="80"/>
        <v>1.7021973212043858E-9</v>
      </c>
      <c r="CH36" s="49">
        <f t="shared" si="81"/>
        <v>0</v>
      </c>
      <c r="CI36" s="49">
        <f t="shared" si="82"/>
        <v>0</v>
      </c>
      <c r="CJ36" s="49">
        <f t="shared" si="83"/>
        <v>0</v>
      </c>
      <c r="CK36" s="49">
        <f t="shared" si="84"/>
        <v>0</v>
      </c>
      <c r="CL36" s="49">
        <f t="shared" si="85"/>
        <v>0</v>
      </c>
      <c r="CM36" s="49">
        <f t="shared" si="86"/>
        <v>3.5065264816810343E-7</v>
      </c>
      <c r="CN36" s="49">
        <f t="shared" si="87"/>
        <v>0</v>
      </c>
      <c r="CO36" s="49">
        <f t="shared" si="88"/>
        <v>1.8754343021373585E-6</v>
      </c>
      <c r="CP36" s="60">
        <f t="shared" ref="CP36:DC36" si="136">IFERROR(CP26/$B36,0)</f>
        <v>8.9493466976910678</v>
      </c>
      <c r="CQ36" s="60">
        <f t="shared" si="136"/>
        <v>0</v>
      </c>
      <c r="CR36" s="60">
        <f t="shared" si="136"/>
        <v>32790073.857835665</v>
      </c>
      <c r="CS36" s="60">
        <f t="shared" si="136"/>
        <v>26.316338563956215</v>
      </c>
      <c r="CT36" s="60">
        <f>IFERROR(CT26/$B36,0)</f>
        <v>208.66262904479464</v>
      </c>
      <c r="CU36" s="60">
        <f>IFERROR(CU26/$B36,0)</f>
        <v>1088674.5863206678</v>
      </c>
      <c r="CV36" s="60">
        <f>IFERROR(CV26/$B36,0)</f>
        <v>51581401.899873227</v>
      </c>
      <c r="CW36" s="60">
        <f>IFERROR(CW26/$B36,0)</f>
        <v>0</v>
      </c>
      <c r="CX36" s="60">
        <f t="shared" si="136"/>
        <v>0</v>
      </c>
      <c r="CY36" s="60">
        <f t="shared" si="136"/>
        <v>0</v>
      </c>
      <c r="CZ36" s="60">
        <f t="shared" si="136"/>
        <v>0</v>
      </c>
      <c r="DA36" s="60">
        <f>IFERROR(DA26/$B36,0)</f>
        <v>0</v>
      </c>
      <c r="DB36" s="60">
        <f t="shared" si="136"/>
        <v>250395.15485375354</v>
      </c>
      <c r="DC36" s="60">
        <f t="shared" si="136"/>
        <v>0</v>
      </c>
      <c r="DD36" s="15"/>
      <c r="DE36" s="15"/>
      <c r="DF36" s="15"/>
      <c r="DG36" s="15"/>
      <c r="DH36" s="15"/>
      <c r="DI36" s="15"/>
      <c r="DJ36" s="15"/>
      <c r="DK36" s="15"/>
      <c r="DL36" s="15"/>
      <c r="DM36" s="15"/>
      <c r="DN36" s="15"/>
      <c r="DO36" s="15"/>
      <c r="DP36" s="15"/>
      <c r="DQ36" s="15"/>
      <c r="DR36" s="60">
        <f>IFERROR(DR26/$B36,0)</f>
        <v>6.47095922396423</v>
      </c>
      <c r="DS36" s="71">
        <f>IFERROR(s_RadSpec!$H$26*DS26,".")*$B$37</f>
        <v>5.5869999999999994E-7</v>
      </c>
      <c r="DT36" s="71">
        <f>IFERROR(s_RadSpec!$G$26*DT26,".")*$B$37</f>
        <v>7.9588541666666664E-5</v>
      </c>
      <c r="DU36" s="71">
        <f>IFERROR(s_RadSpec!$L$26*DU26,".")*$B$37</f>
        <v>1.5248517041095888E-13</v>
      </c>
      <c r="DV36" s="71">
        <f>s_b2w!BZ36</f>
        <v>1.8999603565095398E-7</v>
      </c>
      <c r="DW36" s="71">
        <f>IFERROR(s_RadSpec!$E$26*DW26,".")*$B$37</f>
        <v>2.3962125E-8</v>
      </c>
      <c r="DX36" s="71">
        <f>IFERROR(s_RadSpec!$E$26*DX26,".")*$B$37</f>
        <v>4.592740625E-12</v>
      </c>
      <c r="DY36" s="71">
        <f>IFERROR(s_RadSpec!$E$26*DY26,".")*$B$37</f>
        <v>9.6934162621359259E-14</v>
      </c>
      <c r="DZ36" s="71">
        <f>IFERROR(s_RadSpec!$E$26*DZ26,".")*$B$37</f>
        <v>0</v>
      </c>
      <c r="EA36" s="71">
        <f>IFERROR(s_RadSpec!$E$26*EA26,".")*$B$37</f>
        <v>0</v>
      </c>
      <c r="EB36" s="71">
        <f>IFERROR(s_RadSpec!$E$26*EB26,".")*$B$37</f>
        <v>0</v>
      </c>
      <c r="EC36" s="71">
        <f>IFERROR(s_RadSpec!$E$26*EC26,".")*$B$37</f>
        <v>0</v>
      </c>
      <c r="ED36" s="71">
        <f>IFERROR(s_RadSpec!$E$26*ED26,".")*$B$37</f>
        <v>0</v>
      </c>
      <c r="EE36" s="71">
        <f>IFERROR(s_RadSpec!$E$26*EE26,".")*$B$37</f>
        <v>1.9968437500000003E-11</v>
      </c>
      <c r="EF36" s="71">
        <f>IFERROR(s_RadSpec!$E$26*EF26,".")*$B$37</f>
        <v>0</v>
      </c>
      <c r="EG36" s="49">
        <f t="shared" si="120"/>
        <v>5.5869999999999994E-7</v>
      </c>
      <c r="EH36" s="49">
        <f t="shared" si="121"/>
        <v>7.9588541666666664E-5</v>
      </c>
      <c r="EI36" s="49">
        <f t="shared" si="122"/>
        <v>1.5248517041095888E-13</v>
      </c>
      <c r="EJ36" s="49">
        <f t="shared" si="123"/>
        <v>1.8999603565095398E-7</v>
      </c>
      <c r="EK36" s="49">
        <f t="shared" si="124"/>
        <v>2.3962125E-8</v>
      </c>
      <c r="EL36" s="49">
        <f t="shared" si="95"/>
        <v>4.592740625E-12</v>
      </c>
      <c r="EM36" s="49">
        <f t="shared" si="96"/>
        <v>9.6934162621359259E-14</v>
      </c>
      <c r="EN36" s="49">
        <f t="shared" si="97"/>
        <v>0</v>
      </c>
      <c r="EO36" s="49">
        <f t="shared" si="98"/>
        <v>0</v>
      </c>
      <c r="EP36" s="49">
        <f t="shared" si="99"/>
        <v>0</v>
      </c>
      <c r="EQ36" s="49">
        <f t="shared" si="100"/>
        <v>0</v>
      </c>
      <c r="ER36" s="49">
        <f t="shared" si="101"/>
        <v>0</v>
      </c>
      <c r="ES36" s="49">
        <f t="shared" si="102"/>
        <v>1.9968437500000003E-11</v>
      </c>
      <c r="ET36" s="49">
        <f t="shared" si="103"/>
        <v>0</v>
      </c>
      <c r="EU36" s="49">
        <f t="shared" si="104"/>
        <v>8.0361224637915079E-5</v>
      </c>
      <c r="EV36" s="60">
        <f>IFERROR(EV26/$B36,0)</f>
        <v>3.1411556835285646E-2</v>
      </c>
      <c r="EW36" s="60">
        <f>IFERROR(EW26/$B36,0)</f>
        <v>29192.09688199533</v>
      </c>
      <c r="EX36" s="60">
        <f>IFERROR(EX26/$B36,0)</f>
        <v>3.1411523035560843E-2</v>
      </c>
      <c r="EY36" s="71">
        <f>IFERROR(s_RadSpec!$G$26*EY26,".")*$B$37</f>
        <v>1.5917708333333333E-4</v>
      </c>
      <c r="EZ36" s="71">
        <f>IFERROR(s_RadSpec!$J$26*EZ26,".")*$B$37</f>
        <v>1.7127923424657531E-10</v>
      </c>
      <c r="FA36" s="49">
        <f t="shared" si="126"/>
        <v>1.5917708333333333E-4</v>
      </c>
      <c r="FB36" s="49">
        <f t="shared" si="126"/>
        <v>1.7127923424657531E-10</v>
      </c>
      <c r="FC36" s="49">
        <f t="shared" si="127"/>
        <v>1.5917725461256759E-4</v>
      </c>
    </row>
    <row r="37" spans="1:159" x14ac:dyDescent="0.25">
      <c r="A37" s="83" t="s">
        <v>1082</v>
      </c>
      <c r="B37" s="42">
        <v>1</v>
      </c>
      <c r="C37" s="60">
        <f t="shared" ref="C37:M37" si="137">IFERROR(C22/$B37,0)</f>
        <v>0.59204878481986911</v>
      </c>
      <c r="D37" s="60">
        <f t="shared" si="137"/>
        <v>2.3681951392794764</v>
      </c>
      <c r="E37" s="60">
        <f t="shared" si="137"/>
        <v>2.3681951392794764</v>
      </c>
      <c r="F37" s="60">
        <f t="shared" si="137"/>
        <v>2.3681951392794764</v>
      </c>
      <c r="G37" s="60">
        <f t="shared" si="137"/>
        <v>2.3681951392794764</v>
      </c>
      <c r="H37" s="60">
        <f t="shared" si="137"/>
        <v>2.3681951392794764</v>
      </c>
      <c r="I37" s="60">
        <f t="shared" si="137"/>
        <v>2.3681951392794764</v>
      </c>
      <c r="J37" s="60">
        <f t="shared" si="137"/>
        <v>2.3681951392794764</v>
      </c>
      <c r="K37" s="60">
        <f t="shared" si="137"/>
        <v>2.3681951392794764</v>
      </c>
      <c r="L37" s="60">
        <f t="shared" si="137"/>
        <v>2.3681951392794764</v>
      </c>
      <c r="M37" s="60">
        <f t="shared" si="137"/>
        <v>2.3681951392794764</v>
      </c>
      <c r="N37" s="71">
        <f>s_dir!BA37</f>
        <v>8.4452500000000002E-6</v>
      </c>
      <c r="O37" s="71">
        <f>IFERROR(s_RadSpec!$E$22*O22,".")*$B$37</f>
        <v>2.1113125E-6</v>
      </c>
      <c r="P37" s="71">
        <f>IFERROR(s_RadSpec!$E$22*P22,".")*$B$37</f>
        <v>2.1113125E-6</v>
      </c>
      <c r="Q37" s="71">
        <f>IFERROR(s_RadSpec!$E$22*Q22,".")*$B$37</f>
        <v>2.1113125E-6</v>
      </c>
      <c r="R37" s="71">
        <f>IFERROR(s_RadSpec!$E$22*R22,".")*$B$37</f>
        <v>2.1113125E-6</v>
      </c>
      <c r="S37" s="71">
        <f>IFERROR(s_RadSpec!$E$22*S22,".")*$B$37</f>
        <v>2.1113125E-6</v>
      </c>
      <c r="T37" s="71">
        <f>IFERROR(s_RadSpec!$E$22*T22,".")*$B$37</f>
        <v>2.1113125E-6</v>
      </c>
      <c r="U37" s="71">
        <f>IFERROR(s_RadSpec!$E$22*U22,".")*$B$37</f>
        <v>2.1113125E-6</v>
      </c>
      <c r="V37" s="71">
        <f>IFERROR(s_RadSpec!$E$22*V22,".")*$B$37</f>
        <v>2.1113125E-6</v>
      </c>
      <c r="W37" s="71">
        <f>IFERROR(s_RadSpec!$E$22*W22,".")*$B$37</f>
        <v>2.1113125E-6</v>
      </c>
      <c r="X37" s="71">
        <f>IFERROR(s_RadSpec!$E$22*X22,".")*$B$37</f>
        <v>2.1113125E-6</v>
      </c>
      <c r="Y37" s="49">
        <f t="shared" si="106"/>
        <v>8.4452500000000002E-6</v>
      </c>
      <c r="Z37" s="49">
        <f t="shared" si="107"/>
        <v>2.1113125E-6</v>
      </c>
      <c r="AA37" s="49">
        <f t="shared" si="108"/>
        <v>2.1113125E-6</v>
      </c>
      <c r="AB37" s="49">
        <f t="shared" si="109"/>
        <v>2.1113125E-6</v>
      </c>
      <c r="AC37" s="49">
        <f t="shared" si="110"/>
        <v>2.1113125E-6</v>
      </c>
      <c r="AD37" s="49">
        <f t="shared" si="72"/>
        <v>2.1113125E-6</v>
      </c>
      <c r="AE37" s="49">
        <f t="shared" si="72"/>
        <v>2.1113125E-6</v>
      </c>
      <c r="AF37" s="49">
        <f t="shared" si="72"/>
        <v>2.1113125E-6</v>
      </c>
      <c r="AG37" s="49">
        <f t="shared" si="72"/>
        <v>2.1113125E-6</v>
      </c>
      <c r="AH37" s="49">
        <f t="shared" si="72"/>
        <v>2.1113125E-6</v>
      </c>
      <c r="AI37" s="49">
        <f t="shared" si="72"/>
        <v>2.1113125E-6</v>
      </c>
      <c r="AJ37" s="60">
        <f t="shared" ref="AJ37:AW37" si="138">IFERROR(AJ22/$B37,0)</f>
        <v>750.22975786334553</v>
      </c>
      <c r="AK37" s="60">
        <f t="shared" si="138"/>
        <v>64967.907087167077</v>
      </c>
      <c r="AL37" s="60">
        <f t="shared" si="138"/>
        <v>57360213700.815163</v>
      </c>
      <c r="AM37" s="60">
        <f t="shared" si="138"/>
        <v>13.699283503670253</v>
      </c>
      <c r="AN37" s="60">
        <f>IFERROR(AN22/$B37,0)</f>
        <v>0.59204878481986911</v>
      </c>
      <c r="AO37" s="60">
        <f>IFERROR(AO22/$B37,0)</f>
        <v>15.488289954317944</v>
      </c>
      <c r="AP37" s="60">
        <f>IFERROR(AP22/$B37,0)</f>
        <v>71.368409763186094</v>
      </c>
      <c r="AQ37" s="60">
        <f>IFERROR(AQ22/$B37,0)</f>
        <v>0</v>
      </c>
      <c r="AR37" s="60">
        <f t="shared" si="138"/>
        <v>0</v>
      </c>
      <c r="AS37" s="60">
        <f t="shared" si="138"/>
        <v>0</v>
      </c>
      <c r="AT37" s="60">
        <f t="shared" si="138"/>
        <v>0</v>
      </c>
      <c r="AU37" s="60">
        <f>IFERROR(AU22/$B37,0)</f>
        <v>0</v>
      </c>
      <c r="AV37" s="60">
        <f t="shared" si="138"/>
        <v>5.2660185844681004</v>
      </c>
      <c r="AW37" s="60">
        <f t="shared" si="138"/>
        <v>0</v>
      </c>
      <c r="AX37" s="42"/>
      <c r="AY37" s="42"/>
      <c r="AZ37" s="42"/>
      <c r="BA37" s="42"/>
      <c r="BB37" s="42"/>
      <c r="BC37" s="42"/>
      <c r="BD37" s="42"/>
      <c r="BE37" s="42"/>
      <c r="BF37" s="42"/>
      <c r="BG37" s="42"/>
      <c r="BH37" s="42"/>
      <c r="BI37" s="42"/>
      <c r="BJ37" s="42"/>
      <c r="BK37" s="42"/>
      <c r="BL37" s="60">
        <f>IFERROR(BL22/$B37,0)</f>
        <v>0.49215787535481836</v>
      </c>
      <c r="BM37" s="71">
        <f>IFERROR(s_RadSpec!$D$22*BM22,".")*$B$37</f>
        <v>6.664625E-9</v>
      </c>
      <c r="BN37" s="71">
        <f>IFERROR(s_RadSpec!$G$22*BN22,".")*$B$37</f>
        <v>7.6961075462867024E-11</v>
      </c>
      <c r="BO37" s="71">
        <f>IFERROR(s_RadSpec!$F$22*BO22,".")*$B$37</f>
        <v>8.7168433961551706E-17</v>
      </c>
      <c r="BP37" s="71">
        <f>s_b2s!BZ37</f>
        <v>3.6498259187500002E-7</v>
      </c>
      <c r="BQ37" s="71">
        <f>IFERROR(s_RadSpec!$E$22*BQ22,".")*$B$37</f>
        <v>8.4452500000000002E-6</v>
      </c>
      <c r="BR37" s="71">
        <f>IFERROR(s_RadSpec!$E$22*BR22,".")*$B$37</f>
        <v>3.2282453484195404E-7</v>
      </c>
      <c r="BS37" s="71">
        <f>IFERROR(s_RadSpec!$E$22*BS22,".")*$B$37</f>
        <v>7.0059008132462911E-8</v>
      </c>
      <c r="BT37" s="71">
        <f>IFERROR(s_RadSpec!$E$22*BT22,".")*$B$37</f>
        <v>0</v>
      </c>
      <c r="BU37" s="71">
        <f>IFERROR(s_RadSpec!$E$22*BU22,".")*$B$37</f>
        <v>0</v>
      </c>
      <c r="BV37" s="71">
        <f>IFERROR(s_RadSpec!$E$22*BV22,".")*$B$37</f>
        <v>0</v>
      </c>
      <c r="BW37" s="71">
        <f>IFERROR(s_RadSpec!$E$22*BW22,".")*$B$37</f>
        <v>0</v>
      </c>
      <c r="BX37" s="71">
        <f>IFERROR(s_RadSpec!$E$22*BX22,".")*$B$37</f>
        <v>0</v>
      </c>
      <c r="BY37" s="71">
        <f>IFERROR(s_RadSpec!$E$22*BY22,".")*$B$37</f>
        <v>9.4948392600574723E-7</v>
      </c>
      <c r="BZ37" s="71">
        <f>IFERROR(s_RadSpec!$E$22*BZ22,".")*$B$37</f>
        <v>0</v>
      </c>
      <c r="CA37" s="49">
        <f t="shared" si="113"/>
        <v>6.664625E-9</v>
      </c>
      <c r="CB37" s="49">
        <f t="shared" si="114"/>
        <v>7.6961075462867024E-11</v>
      </c>
      <c r="CC37" s="49">
        <f t="shared" si="115"/>
        <v>8.7168433961551706E-17</v>
      </c>
      <c r="CD37" s="49">
        <f t="shared" si="116"/>
        <v>3.6498259187500002E-7</v>
      </c>
      <c r="CE37" s="49">
        <f t="shared" si="117"/>
        <v>8.4452500000000002E-6</v>
      </c>
      <c r="CF37" s="49">
        <f t="shared" si="79"/>
        <v>3.2282453484195404E-7</v>
      </c>
      <c r="CG37" s="49">
        <f t="shared" si="80"/>
        <v>7.0059008132462911E-8</v>
      </c>
      <c r="CH37" s="49">
        <f t="shared" si="81"/>
        <v>0</v>
      </c>
      <c r="CI37" s="49">
        <f t="shared" si="82"/>
        <v>0</v>
      </c>
      <c r="CJ37" s="49">
        <f t="shared" si="83"/>
        <v>0</v>
      </c>
      <c r="CK37" s="49">
        <f t="shared" si="84"/>
        <v>0</v>
      </c>
      <c r="CL37" s="49">
        <f t="shared" si="85"/>
        <v>0</v>
      </c>
      <c r="CM37" s="49">
        <f t="shared" si="86"/>
        <v>9.4948392600574723E-7</v>
      </c>
      <c r="CN37" s="49">
        <f t="shared" si="87"/>
        <v>0</v>
      </c>
      <c r="CO37" s="49">
        <f t="shared" si="88"/>
        <v>1.0159341647017794E-5</v>
      </c>
      <c r="CP37" s="60">
        <f t="shared" ref="CP37:DC37" si="139">IFERROR(CP22/$B37,0)</f>
        <v>17.493221376716523</v>
      </c>
      <c r="CQ37" s="60">
        <f t="shared" si="139"/>
        <v>0</v>
      </c>
      <c r="CR37" s="60">
        <f t="shared" si="139"/>
        <v>516692072.91134989</v>
      </c>
      <c r="CS37" s="60">
        <f t="shared" si="139"/>
        <v>33.635892775043871</v>
      </c>
      <c r="CT37" s="60">
        <f>IFERROR(CT22/$B37,0)</f>
        <v>592.04878481986907</v>
      </c>
      <c r="CU37" s="60">
        <f>IFERROR(CU22/$B37,0)</f>
        <v>278611.19285640906</v>
      </c>
      <c r="CV37" s="60">
        <f>IFERROR(CV22/$B37,0)</f>
        <v>1283811.0491883475</v>
      </c>
      <c r="CW37" s="60">
        <f>IFERROR(CW22/$B37,0)</f>
        <v>0</v>
      </c>
      <c r="CX37" s="60">
        <f t="shared" si="139"/>
        <v>0</v>
      </c>
      <c r="CY37" s="60">
        <f t="shared" si="139"/>
        <v>0</v>
      </c>
      <c r="CZ37" s="60">
        <f t="shared" si="139"/>
        <v>0</v>
      </c>
      <c r="DA37" s="60">
        <f>IFERROR(DA22/$B37,0)</f>
        <v>0</v>
      </c>
      <c r="DB37" s="60">
        <f t="shared" si="139"/>
        <v>94727.805571179051</v>
      </c>
      <c r="DC37" s="60">
        <f t="shared" si="139"/>
        <v>0</v>
      </c>
      <c r="DD37" s="15"/>
      <c r="DE37" s="15"/>
      <c r="DF37" s="15"/>
      <c r="DG37" s="15"/>
      <c r="DH37" s="15"/>
      <c r="DI37" s="15"/>
      <c r="DJ37" s="15"/>
      <c r="DK37" s="15"/>
      <c r="DL37" s="15"/>
      <c r="DM37" s="15"/>
      <c r="DN37" s="15"/>
      <c r="DO37" s="15"/>
      <c r="DP37" s="15"/>
      <c r="DQ37" s="15"/>
      <c r="DR37" s="60">
        <f>IFERROR(DR22/$B37,0)</f>
        <v>11.286793491836463</v>
      </c>
      <c r="DS37" s="71">
        <f>IFERROR(s_RadSpec!$H$22*DS22,".")*$B$37</f>
        <v>2.8582499999999998E-7</v>
      </c>
      <c r="DT37" s="71">
        <f>IFERROR(s_RadSpec!$G$22*DT22,".")*$B$37</f>
        <v>1.1921419270833333E-5</v>
      </c>
      <c r="DU37" s="71">
        <f>IFERROR(s_RadSpec!$L$22*DU22,".")*$B$37</f>
        <v>9.676943506849314E-15</v>
      </c>
      <c r="DV37" s="71">
        <f>s_b2w!BZ37</f>
        <v>1.4865072954774507E-7</v>
      </c>
      <c r="DW37" s="71">
        <f>IFERROR(s_RadSpec!$E$22*DW22,".")*$B$37</f>
        <v>8.4452500000000008E-9</v>
      </c>
      <c r="DX37" s="71">
        <f>IFERROR(s_RadSpec!$E$22*DX22,".")*$B$37</f>
        <v>1.7946156250000003E-11</v>
      </c>
      <c r="DY37" s="71">
        <f>IFERROR(s_RadSpec!$E$22*DY22,".")*$B$37</f>
        <v>3.8946541262135924E-12</v>
      </c>
      <c r="DZ37" s="71">
        <f>IFERROR(s_RadSpec!$E$22*DZ22,".")*$B$37</f>
        <v>0</v>
      </c>
      <c r="EA37" s="71">
        <f>IFERROR(s_RadSpec!$E$22*EA22,".")*$B$37</f>
        <v>0</v>
      </c>
      <c r="EB37" s="71">
        <f>IFERROR(s_RadSpec!$E$22*EB22,".")*$B$37</f>
        <v>0</v>
      </c>
      <c r="EC37" s="71">
        <f>IFERROR(s_RadSpec!$E$22*EC22,".")*$B$37</f>
        <v>0</v>
      </c>
      <c r="ED37" s="71">
        <f>IFERROR(s_RadSpec!$E$22*ED22,".")*$B$37</f>
        <v>0</v>
      </c>
      <c r="EE37" s="71">
        <f>IFERROR(s_RadSpec!$E$22*EE22,".")*$B$37</f>
        <v>5.2782812500000002E-11</v>
      </c>
      <c r="EF37" s="71">
        <f>IFERROR(s_RadSpec!$E$22*EF22,".")*$B$37</f>
        <v>0</v>
      </c>
      <c r="EG37" s="49">
        <f t="shared" si="120"/>
        <v>2.8582499999999998E-7</v>
      </c>
      <c r="EH37" s="49">
        <f t="shared" si="121"/>
        <v>1.1921419270833333E-5</v>
      </c>
      <c r="EI37" s="49">
        <f t="shared" si="122"/>
        <v>9.676943506849314E-15</v>
      </c>
      <c r="EJ37" s="49">
        <f t="shared" si="123"/>
        <v>1.4865072954774507E-7</v>
      </c>
      <c r="EK37" s="49">
        <f t="shared" si="124"/>
        <v>8.4452500000000008E-9</v>
      </c>
      <c r="EL37" s="49">
        <f t="shared" si="95"/>
        <v>1.7946156250000003E-11</v>
      </c>
      <c r="EM37" s="49">
        <f t="shared" si="96"/>
        <v>3.8946541262135924E-12</v>
      </c>
      <c r="EN37" s="49">
        <f t="shared" si="97"/>
        <v>0</v>
      </c>
      <c r="EO37" s="49">
        <f t="shared" si="98"/>
        <v>0</v>
      </c>
      <c r="EP37" s="49">
        <f t="shared" si="99"/>
        <v>0</v>
      </c>
      <c r="EQ37" s="49">
        <f t="shared" si="100"/>
        <v>0</v>
      </c>
      <c r="ER37" s="49">
        <f t="shared" si="101"/>
        <v>0</v>
      </c>
      <c r="ES37" s="49">
        <f t="shared" si="102"/>
        <v>5.2782812500000002E-11</v>
      </c>
      <c r="ET37" s="49">
        <f t="shared" si="103"/>
        <v>0</v>
      </c>
      <c r="EU37" s="49">
        <f t="shared" si="104"/>
        <v>1.2364414883680896E-5</v>
      </c>
      <c r="EV37" s="60">
        <f>IFERROR(EV22/$B37,0)</f>
        <v>0.20970657462878114</v>
      </c>
      <c r="EW37" s="60">
        <f>IFERROR(EW22/$B37,0)</f>
        <v>474833.47459954425</v>
      </c>
      <c r="EX37" s="60">
        <f>IFERROR(EX22/$B37,0)</f>
        <v>0.20970648201351624</v>
      </c>
      <c r="EY37" s="71">
        <f>IFERROR(s_RadSpec!$G$22*EY22,".")*$B$37</f>
        <v>2.3842838541666666E-5</v>
      </c>
      <c r="EZ37" s="71">
        <f>IFERROR(s_RadSpec!$J$22*EZ22,".")*$B$37</f>
        <v>1.0530007397260272E-11</v>
      </c>
      <c r="FA37" s="49">
        <f t="shared" si="126"/>
        <v>2.3842838541666666E-5</v>
      </c>
      <c r="FB37" s="49">
        <f t="shared" si="126"/>
        <v>1.0530007397260272E-11</v>
      </c>
      <c r="FC37" s="49">
        <f t="shared" si="127"/>
        <v>2.3842849071674063E-5</v>
      </c>
    </row>
    <row r="38" spans="1:159" x14ac:dyDescent="0.25">
      <c r="A38" s="83" t="s">
        <v>1083</v>
      </c>
      <c r="B38" s="42">
        <v>1</v>
      </c>
      <c r="C38" s="60">
        <f t="shared" ref="C38:M38" si="140">IFERROR(C2/$B38,0)</f>
        <v>0.33474147915564806</v>
      </c>
      <c r="D38" s="60">
        <f t="shared" si="140"/>
        <v>1.3389659166225922</v>
      </c>
      <c r="E38" s="60">
        <f t="shared" si="140"/>
        <v>1.3389659166225922</v>
      </c>
      <c r="F38" s="60">
        <f t="shared" si="140"/>
        <v>1.3389659166225922</v>
      </c>
      <c r="G38" s="60">
        <f t="shared" si="140"/>
        <v>1.3389659166225922</v>
      </c>
      <c r="H38" s="60">
        <f t="shared" si="140"/>
        <v>1.3389659166225922</v>
      </c>
      <c r="I38" s="60">
        <f t="shared" si="140"/>
        <v>1.3389659166225922</v>
      </c>
      <c r="J38" s="60">
        <f t="shared" si="140"/>
        <v>1.3389659166225922</v>
      </c>
      <c r="K38" s="60">
        <f t="shared" si="140"/>
        <v>1.3389659166225922</v>
      </c>
      <c r="L38" s="60">
        <f t="shared" si="140"/>
        <v>1.3389659166225922</v>
      </c>
      <c r="M38" s="60">
        <f t="shared" si="140"/>
        <v>1.3389659166225922</v>
      </c>
      <c r="N38" s="71">
        <f>s_dir!BA38</f>
        <v>1.4936900000000001E-5</v>
      </c>
      <c r="O38" s="71">
        <f>IFERROR(s_RadSpec!$E$2*O2,".")*$B$38</f>
        <v>3.7342250000000002E-6</v>
      </c>
      <c r="P38" s="71">
        <f>IFERROR(s_RadSpec!$E$2*P2,".")*$B$38</f>
        <v>3.7342250000000002E-6</v>
      </c>
      <c r="Q38" s="71">
        <f>IFERROR(s_RadSpec!$E$2*Q2,".")*$B$38</f>
        <v>3.7342250000000002E-6</v>
      </c>
      <c r="R38" s="71">
        <f>IFERROR(s_RadSpec!$E$2*R2,".")*$B$38</f>
        <v>3.7342250000000002E-6</v>
      </c>
      <c r="S38" s="71">
        <f>IFERROR(s_RadSpec!$E$2*S2,".")*$B$38</f>
        <v>3.7342250000000002E-6</v>
      </c>
      <c r="T38" s="71">
        <f>IFERROR(s_RadSpec!$E$2*T2,".")*$B$38</f>
        <v>3.7342250000000002E-6</v>
      </c>
      <c r="U38" s="71">
        <f>IFERROR(s_RadSpec!$E$2*U2,".")*$B$38</f>
        <v>3.7342250000000002E-6</v>
      </c>
      <c r="V38" s="71">
        <f>IFERROR(s_RadSpec!$E$2*V2,".")*$B$38</f>
        <v>3.7342250000000002E-6</v>
      </c>
      <c r="W38" s="71">
        <f>IFERROR(s_RadSpec!$E$2*W2,".")*$B$38</f>
        <v>3.7342250000000002E-6</v>
      </c>
      <c r="X38" s="71">
        <f>IFERROR(s_RadSpec!$E$2*X2,".")*$B$38</f>
        <v>3.7342250000000002E-6</v>
      </c>
      <c r="Y38" s="49">
        <f t="shared" si="106"/>
        <v>1.4936900000000001E-5</v>
      </c>
      <c r="Z38" s="49">
        <f t="shared" si="107"/>
        <v>3.7342250000000002E-6</v>
      </c>
      <c r="AA38" s="49">
        <f t="shared" si="108"/>
        <v>3.7342250000000002E-6</v>
      </c>
      <c r="AB38" s="49">
        <f t="shared" si="109"/>
        <v>3.7342250000000002E-6</v>
      </c>
      <c r="AC38" s="49">
        <f t="shared" si="110"/>
        <v>3.7342250000000002E-6</v>
      </c>
      <c r="AD38" s="49">
        <f t="shared" si="72"/>
        <v>3.7342250000000002E-6</v>
      </c>
      <c r="AE38" s="49">
        <f t="shared" si="72"/>
        <v>3.7342250000000002E-6</v>
      </c>
      <c r="AF38" s="49">
        <f t="shared" si="72"/>
        <v>3.7342250000000002E-6</v>
      </c>
      <c r="AG38" s="49">
        <f t="shared" si="72"/>
        <v>3.7342250000000002E-6</v>
      </c>
      <c r="AH38" s="49">
        <f t="shared" si="72"/>
        <v>3.7342250000000002E-6</v>
      </c>
      <c r="AI38" s="49">
        <f t="shared" si="72"/>
        <v>3.7342250000000002E-6</v>
      </c>
      <c r="AJ38" s="60">
        <f t="shared" ref="AJ38:AW38" si="141">IFERROR(AJ2/$B38,0)</f>
        <v>372.27309954582682</v>
      </c>
      <c r="AK38" s="60">
        <f t="shared" si="141"/>
        <v>59497.81128319577</v>
      </c>
      <c r="AL38" s="60">
        <f t="shared" si="141"/>
        <v>9401.4647853042625</v>
      </c>
      <c r="AM38" s="60">
        <f t="shared" si="141"/>
        <v>23.085619252113659</v>
      </c>
      <c r="AN38" s="60">
        <f>IFERROR(AN2/$B38,0)</f>
        <v>151.74947055056046</v>
      </c>
      <c r="AO38" s="60">
        <f>IFERROR(AO2/$B38,0)</f>
        <v>669.4829583112961</v>
      </c>
      <c r="AP38" s="60">
        <f>IFERROR(AP2/$B38,0)</f>
        <v>6895.674470606351</v>
      </c>
      <c r="AQ38" s="60">
        <f>IFERROR(AQ2/$B38,0)</f>
        <v>0</v>
      </c>
      <c r="AR38" s="60">
        <f t="shared" si="141"/>
        <v>0</v>
      </c>
      <c r="AS38" s="60">
        <f t="shared" si="141"/>
        <v>0</v>
      </c>
      <c r="AT38" s="60">
        <f t="shared" si="141"/>
        <v>0</v>
      </c>
      <c r="AU38" s="60">
        <f>IFERROR(AU2/$B38,0)</f>
        <v>0</v>
      </c>
      <c r="AV38" s="60">
        <f t="shared" si="141"/>
        <v>0</v>
      </c>
      <c r="AW38" s="60">
        <f t="shared" si="141"/>
        <v>0</v>
      </c>
      <c r="AX38" s="42"/>
      <c r="AY38" s="42"/>
      <c r="AZ38" s="42"/>
      <c r="BA38" s="42"/>
      <c r="BB38" s="42"/>
      <c r="BC38" s="42"/>
      <c r="BD38" s="42"/>
      <c r="BE38" s="42"/>
      <c r="BF38" s="42"/>
      <c r="BG38" s="42"/>
      <c r="BH38" s="42"/>
      <c r="BI38" s="42"/>
      <c r="BJ38" s="42"/>
      <c r="BK38" s="42"/>
      <c r="BL38" s="60">
        <f>IFERROR(BL2/$B38,0)</f>
        <v>18.397605024164577</v>
      </c>
      <c r="BM38" s="71">
        <f>IFERROR(s_RadSpec!$D$2*BM2,".")*$B$38</f>
        <v>1.3431E-8</v>
      </c>
      <c r="BN38" s="71">
        <f>IFERROR(s_RadSpec!$G$2*BN2,".")*$B$38</f>
        <v>8.4036704748703466E-11</v>
      </c>
      <c r="BO38" s="71">
        <f>IFERROR(s_RadSpec!$F$2*BO2,".")*$B$38</f>
        <v>5.3183201917808203E-10</v>
      </c>
      <c r="BP38" s="71">
        <f>s_b2s!BZ38</f>
        <v>2.1658505E-7</v>
      </c>
      <c r="BQ38" s="71">
        <f>IFERROR(s_RadSpec!$E$2*BQ2,".")*$B$38</f>
        <v>3.294904411764706E-8</v>
      </c>
      <c r="BR38" s="71">
        <f>IFERROR(s_RadSpec!$E$2*BR2,".")*$B$38</f>
        <v>7.4684500000000006E-9</v>
      </c>
      <c r="BS38" s="71">
        <f>IFERROR(s_RadSpec!$E$2*BS2,".")*$B$38</f>
        <v>7.2509223300970869E-10</v>
      </c>
      <c r="BT38" s="71">
        <f>IFERROR(s_RadSpec!$E$2*BT2,".")*$B$38</f>
        <v>0</v>
      </c>
      <c r="BU38" s="71">
        <f>IFERROR(s_RadSpec!$E$2*BU2,".")*$B$38</f>
        <v>0</v>
      </c>
      <c r="BV38" s="71">
        <f>IFERROR(s_RadSpec!$E$2*BV2,".")*$B$38</f>
        <v>0</v>
      </c>
      <c r="BW38" s="71">
        <f>IFERROR(s_RadSpec!$E$2*BW2,".")*$B$38</f>
        <v>0</v>
      </c>
      <c r="BX38" s="71">
        <f>IFERROR(s_RadSpec!$E$2*BX2,".")*$B$38</f>
        <v>0</v>
      </c>
      <c r="BY38" s="71">
        <f>IFERROR(s_RadSpec!$E$2*BY2,".")*$B$38</f>
        <v>0</v>
      </c>
      <c r="BZ38" s="71">
        <f>IFERROR(s_RadSpec!$E$2*BZ2,".")*$B$38</f>
        <v>0</v>
      </c>
      <c r="CA38" s="49">
        <f t="shared" si="113"/>
        <v>1.3431E-8</v>
      </c>
      <c r="CB38" s="49">
        <f t="shared" si="114"/>
        <v>8.4036704748703466E-11</v>
      </c>
      <c r="CC38" s="49">
        <f t="shared" si="115"/>
        <v>5.3183201917808203E-10</v>
      </c>
      <c r="CD38" s="49">
        <f t="shared" si="116"/>
        <v>2.1658505E-7</v>
      </c>
      <c r="CE38" s="49">
        <f t="shared" si="117"/>
        <v>3.294904411764706E-8</v>
      </c>
      <c r="CF38" s="49">
        <f t="shared" si="79"/>
        <v>7.4684500000000006E-9</v>
      </c>
      <c r="CG38" s="49">
        <f t="shared" si="80"/>
        <v>7.2509223300970869E-10</v>
      </c>
      <c r="CH38" s="49">
        <f t="shared" si="81"/>
        <v>0</v>
      </c>
      <c r="CI38" s="49">
        <f t="shared" si="82"/>
        <v>0</v>
      </c>
      <c r="CJ38" s="49">
        <f t="shared" si="83"/>
        <v>0</v>
      </c>
      <c r="CK38" s="49">
        <f t="shared" si="84"/>
        <v>0</v>
      </c>
      <c r="CL38" s="49">
        <f t="shared" si="85"/>
        <v>0</v>
      </c>
      <c r="CM38" s="49">
        <f t="shared" si="86"/>
        <v>0</v>
      </c>
      <c r="CN38" s="49">
        <f t="shared" si="87"/>
        <v>0</v>
      </c>
      <c r="CO38" s="49">
        <f t="shared" si="88"/>
        <v>2.7177450507458357E-7</v>
      </c>
      <c r="CP38" s="60">
        <f t="shared" ref="CP38:DC38" si="142">IFERROR(CP2/$B38,0)</f>
        <v>10.57809276987359</v>
      </c>
      <c r="CQ38" s="60">
        <f t="shared" si="142"/>
        <v>0</v>
      </c>
      <c r="CR38" s="60">
        <f t="shared" si="142"/>
        <v>191974639.16767657</v>
      </c>
      <c r="CS38" s="60">
        <f t="shared" si="142"/>
        <v>28.140156727716032</v>
      </c>
      <c r="CT38" s="60">
        <f>IFERROR(CT2/$B38,0)</f>
        <v>89.264394441506155</v>
      </c>
      <c r="CU38" s="60">
        <f>IFERROR(CU2/$B38,0)</f>
        <v>13389659.166225921</v>
      </c>
      <c r="CV38" s="60">
        <f>IFERROR(CV2/$B38,0)</f>
        <v>137913489.41212702</v>
      </c>
      <c r="CW38" s="60">
        <f>IFERROR(CW2/$B38,0)</f>
        <v>0</v>
      </c>
      <c r="CX38" s="60">
        <f t="shared" si="142"/>
        <v>0</v>
      </c>
      <c r="CY38" s="60">
        <f t="shared" si="142"/>
        <v>0</v>
      </c>
      <c r="CZ38" s="60">
        <f t="shared" si="142"/>
        <v>0</v>
      </c>
      <c r="DA38" s="60">
        <f>IFERROR(DA2/$B38,0)</f>
        <v>0</v>
      </c>
      <c r="DB38" s="60">
        <f t="shared" si="142"/>
        <v>0</v>
      </c>
      <c r="DC38" s="60">
        <f t="shared" si="142"/>
        <v>0</v>
      </c>
      <c r="DD38" s="15"/>
      <c r="DE38" s="15"/>
      <c r="DF38" s="15"/>
      <c r="DG38" s="15"/>
      <c r="DH38" s="15"/>
      <c r="DI38" s="15"/>
      <c r="DJ38" s="15"/>
      <c r="DK38" s="15"/>
      <c r="DL38" s="15"/>
      <c r="DM38" s="15"/>
      <c r="DN38" s="15"/>
      <c r="DO38" s="15"/>
      <c r="DP38" s="15"/>
      <c r="DQ38" s="15"/>
      <c r="DR38" s="60">
        <f>IFERROR(DR2/$B38,0)</f>
        <v>7.0784349452018693</v>
      </c>
      <c r="DS38" s="71">
        <f>IFERROR(s_RadSpec!$H$2*DS2,".")*$B$38</f>
        <v>4.7267499999999999E-7</v>
      </c>
      <c r="DT38" s="71">
        <f>IFERROR(s_RadSpec!$G$2*DT2,".")*$B$38</f>
        <v>1.3017447916666666E-5</v>
      </c>
      <c r="DU38" s="71">
        <f>IFERROR(s_RadSpec!$L$2*DU2,".")*$B$38</f>
        <v>2.6045106904109587E-14</v>
      </c>
      <c r="DV38" s="71">
        <f>s_b2w!BZ38</f>
        <v>1.7768202389133668E-7</v>
      </c>
      <c r="DW38" s="71">
        <f>IFERROR(s_RadSpec!$E$2*DW2,".")*$B$38</f>
        <v>5.6013375000000004E-8</v>
      </c>
      <c r="DX38" s="71">
        <f>IFERROR(s_RadSpec!$E$2*DX2,".")*$B$38</f>
        <v>3.7342249999999997E-13</v>
      </c>
      <c r="DY38" s="71">
        <f>IFERROR(s_RadSpec!$E$2*DY2,".")*$B$38</f>
        <v>3.6254611650485438E-14</v>
      </c>
      <c r="DZ38" s="71">
        <f>IFERROR(s_RadSpec!$E$2*DZ2,".")*$B$38</f>
        <v>0</v>
      </c>
      <c r="EA38" s="71">
        <f>IFERROR(s_RadSpec!$E$2*EA2,".")*$B$38</f>
        <v>0</v>
      </c>
      <c r="EB38" s="71">
        <f>IFERROR(s_RadSpec!$E$2*EB2,".")*$B$38</f>
        <v>0</v>
      </c>
      <c r="EC38" s="71">
        <f>IFERROR(s_RadSpec!$E$2*EC2,".")*$B$38</f>
        <v>0</v>
      </c>
      <c r="ED38" s="71">
        <f>IFERROR(s_RadSpec!$E$2*ED2,".")*$B$38</f>
        <v>0</v>
      </c>
      <c r="EE38" s="71">
        <f>IFERROR(s_RadSpec!$E$2*EE2,".")*$B$38</f>
        <v>0</v>
      </c>
      <c r="EF38" s="71">
        <f>IFERROR(s_RadSpec!$E$2*EF2,".")*$B$38</f>
        <v>0</v>
      </c>
      <c r="EG38" s="49">
        <f t="shared" si="120"/>
        <v>4.7267499999999999E-7</v>
      </c>
      <c r="EH38" s="49">
        <f t="shared" si="121"/>
        <v>1.3017447916666666E-5</v>
      </c>
      <c r="EI38" s="49">
        <f t="shared" si="122"/>
        <v>2.6045106904109587E-14</v>
      </c>
      <c r="EJ38" s="49">
        <f t="shared" si="123"/>
        <v>1.7768202389133668E-7</v>
      </c>
      <c r="EK38" s="49">
        <f t="shared" si="124"/>
        <v>5.6013375000000004E-8</v>
      </c>
      <c r="EL38" s="49">
        <f t="shared" si="95"/>
        <v>3.7342249999999997E-13</v>
      </c>
      <c r="EM38" s="49">
        <f t="shared" si="96"/>
        <v>3.6254611650485438E-14</v>
      </c>
      <c r="EN38" s="49">
        <f t="shared" si="97"/>
        <v>0</v>
      </c>
      <c r="EO38" s="49">
        <f t="shared" si="98"/>
        <v>0</v>
      </c>
      <c r="EP38" s="49">
        <f t="shared" si="99"/>
        <v>0</v>
      </c>
      <c r="EQ38" s="49">
        <f t="shared" si="100"/>
        <v>0</v>
      </c>
      <c r="ER38" s="49">
        <f t="shared" si="101"/>
        <v>0</v>
      </c>
      <c r="ES38" s="49">
        <f t="shared" si="102"/>
        <v>0</v>
      </c>
      <c r="ET38" s="49">
        <f t="shared" si="103"/>
        <v>0</v>
      </c>
      <c r="EU38" s="49">
        <f t="shared" si="104"/>
        <v>1.3723818751280218E-5</v>
      </c>
      <c r="EV38" s="60">
        <f>IFERROR(EV2/$B38,0)</f>
        <v>0.19204993298257547</v>
      </c>
      <c r="EW38" s="60">
        <f>IFERROR(EW2/$B38,0)</f>
        <v>170121.74373407708</v>
      </c>
      <c r="EX38" s="60">
        <f>IFERROR(EX2/$B38,0)</f>
        <v>0.19204971617821928</v>
      </c>
      <c r="EY38" s="71">
        <f>IFERROR(s_RadSpec!$G$2*EY2,".")*$B$38</f>
        <v>2.6034895833333331E-5</v>
      </c>
      <c r="EZ38" s="71">
        <f>IFERROR(s_RadSpec!$J$2*EZ2,".")*$B$38</f>
        <v>2.9390716849315062E-11</v>
      </c>
      <c r="FA38" s="49">
        <f t="shared" si="126"/>
        <v>2.6034895833333331E-5</v>
      </c>
      <c r="FB38" s="49">
        <f t="shared" si="126"/>
        <v>2.9390716849315062E-11</v>
      </c>
      <c r="FC38" s="49">
        <f t="shared" si="127"/>
        <v>2.6034925224050181E-5</v>
      </c>
    </row>
    <row r="39" spans="1:159" x14ac:dyDescent="0.25">
      <c r="A39" s="83" t="s">
        <v>1084</v>
      </c>
      <c r="B39" s="42">
        <v>1</v>
      </c>
      <c r="C39" s="60">
        <f t="shared" ref="C39:M39" si="143">IFERROR(C11/$B39,0)</f>
        <v>0</v>
      </c>
      <c r="D39" s="60">
        <f t="shared" si="143"/>
        <v>0</v>
      </c>
      <c r="E39" s="60">
        <f t="shared" si="143"/>
        <v>0</v>
      </c>
      <c r="F39" s="60">
        <f t="shared" si="143"/>
        <v>0</v>
      </c>
      <c r="G39" s="60">
        <f t="shared" si="143"/>
        <v>0</v>
      </c>
      <c r="H39" s="60">
        <f t="shared" si="143"/>
        <v>0</v>
      </c>
      <c r="I39" s="60">
        <f t="shared" si="143"/>
        <v>0</v>
      </c>
      <c r="J39" s="60">
        <f t="shared" si="143"/>
        <v>0</v>
      </c>
      <c r="K39" s="60">
        <f t="shared" si="143"/>
        <v>0</v>
      </c>
      <c r="L39" s="60">
        <f t="shared" si="143"/>
        <v>0</v>
      </c>
      <c r="M39" s="60">
        <f t="shared" si="143"/>
        <v>0</v>
      </c>
      <c r="N39" s="71">
        <f>s_dir!BA39</f>
        <v>0</v>
      </c>
      <c r="O39" s="71">
        <f>IFERROR(s_RadSpec!$E$11*O11,".")*$B$39</f>
        <v>0</v>
      </c>
      <c r="P39" s="71">
        <f>IFERROR(s_RadSpec!$E$11*P11,".")*$B$39</f>
        <v>0</v>
      </c>
      <c r="Q39" s="71">
        <f>IFERROR(s_RadSpec!$E$11*Q11,".")*$B$39</f>
        <v>0</v>
      </c>
      <c r="R39" s="71">
        <f>IFERROR(s_RadSpec!$E$11*R11,".")*$B$39</f>
        <v>0</v>
      </c>
      <c r="S39" s="71">
        <f>IFERROR(s_RadSpec!$E$11*S11,".")*$B$39</f>
        <v>0</v>
      </c>
      <c r="T39" s="71">
        <f>IFERROR(s_RadSpec!$E$11*T11,".")*$B$39</f>
        <v>0</v>
      </c>
      <c r="U39" s="71">
        <f>IFERROR(s_RadSpec!$E$11*U11,".")*$B$39</f>
        <v>0</v>
      </c>
      <c r="V39" s="71">
        <f>IFERROR(s_RadSpec!$E$11*V11,".")*$B$39</f>
        <v>0</v>
      </c>
      <c r="W39" s="71">
        <f>IFERROR(s_RadSpec!$E$11*W11,".")*$B$39</f>
        <v>0</v>
      </c>
      <c r="X39" s="71">
        <f>IFERROR(s_RadSpec!$E$11*X11,".")*$B$39</f>
        <v>0</v>
      </c>
      <c r="Y39" s="49">
        <f t="shared" si="106"/>
        <v>0</v>
      </c>
      <c r="Z39" s="49">
        <f t="shared" si="107"/>
        <v>0</v>
      </c>
      <c r="AA39" s="49">
        <f t="shared" si="108"/>
        <v>0</v>
      </c>
      <c r="AB39" s="49">
        <f t="shared" si="109"/>
        <v>0</v>
      </c>
      <c r="AC39" s="49">
        <f t="shared" si="110"/>
        <v>0</v>
      </c>
      <c r="AD39" s="49">
        <f t="shared" si="72"/>
        <v>0</v>
      </c>
      <c r="AE39" s="49">
        <f t="shared" si="72"/>
        <v>0</v>
      </c>
      <c r="AF39" s="49">
        <f t="shared" si="72"/>
        <v>0</v>
      </c>
      <c r="AG39" s="49">
        <f t="shared" si="72"/>
        <v>0</v>
      </c>
      <c r="AH39" s="49">
        <f t="shared" si="72"/>
        <v>0</v>
      </c>
      <c r="AI39" s="49">
        <f t="shared" si="72"/>
        <v>0</v>
      </c>
      <c r="AJ39" s="60">
        <f t="shared" ref="AJ39:AW39" si="144">IFERROR(AJ11/$B39,0)</f>
        <v>0</v>
      </c>
      <c r="AK39" s="60">
        <f t="shared" si="144"/>
        <v>0</v>
      </c>
      <c r="AL39" s="60">
        <f t="shared" si="144"/>
        <v>3251.5345272114059</v>
      </c>
      <c r="AM39" s="60">
        <f t="shared" si="144"/>
        <v>0</v>
      </c>
      <c r="AN39" s="60">
        <f>IFERROR(AN11/$B39,0)</f>
        <v>0</v>
      </c>
      <c r="AO39" s="60">
        <f>IFERROR(AO11/$B39,0)</f>
        <v>0</v>
      </c>
      <c r="AP39" s="60">
        <f>IFERROR(AP11/$B39,0)</f>
        <v>0</v>
      </c>
      <c r="AQ39" s="60">
        <f>IFERROR(AQ11/$B39,0)</f>
        <v>0</v>
      </c>
      <c r="AR39" s="60">
        <f t="shared" si="144"/>
        <v>0</v>
      </c>
      <c r="AS39" s="60">
        <f t="shared" si="144"/>
        <v>0</v>
      </c>
      <c r="AT39" s="60">
        <f t="shared" si="144"/>
        <v>0</v>
      </c>
      <c r="AU39" s="60">
        <f>IFERROR(AU11/$B39,0)</f>
        <v>0</v>
      </c>
      <c r="AV39" s="60">
        <f t="shared" si="144"/>
        <v>0</v>
      </c>
      <c r="AW39" s="60">
        <f t="shared" si="144"/>
        <v>0</v>
      </c>
      <c r="AX39" s="42"/>
      <c r="AY39" s="42"/>
      <c r="AZ39" s="42"/>
      <c r="BA39" s="42"/>
      <c r="BB39" s="42"/>
      <c r="BC39" s="42"/>
      <c r="BD39" s="42"/>
      <c r="BE39" s="42"/>
      <c r="BF39" s="42"/>
      <c r="BG39" s="42"/>
      <c r="BH39" s="42"/>
      <c r="BI39" s="42"/>
      <c r="BJ39" s="42"/>
      <c r="BK39" s="42"/>
      <c r="BL39" s="60">
        <f>IFERROR(BL11/$B39,0)</f>
        <v>3251.5345272114059</v>
      </c>
      <c r="BM39" s="71">
        <f>IFERROR(s_RadSpec!$D$11*BM11,".")*$B$39</f>
        <v>0</v>
      </c>
      <c r="BN39" s="71">
        <f>IFERROR(s_RadSpec!$G$11*BN11,".")*$B$39</f>
        <v>0</v>
      </c>
      <c r="BO39" s="71">
        <f>IFERROR(s_RadSpec!$F$11*BO11,".")*$B$39</f>
        <v>1.5377354778662368E-9</v>
      </c>
      <c r="BP39" s="71">
        <f>s_b2s!BZ39</f>
        <v>0</v>
      </c>
      <c r="BQ39" s="71">
        <f>IFERROR(s_RadSpec!$E$11*BQ11,".")*$B$39</f>
        <v>0</v>
      </c>
      <c r="BR39" s="71">
        <f>IFERROR(s_RadSpec!$E$11*BR11,".")*$B$39</f>
        <v>0</v>
      </c>
      <c r="BS39" s="71">
        <f>IFERROR(s_RadSpec!$E$11*BS11,".")*$B$39</f>
        <v>0</v>
      </c>
      <c r="BT39" s="71">
        <f>IFERROR(s_RadSpec!$E$11*BT11,".")*$B$39</f>
        <v>0</v>
      </c>
      <c r="BU39" s="71">
        <f>IFERROR(s_RadSpec!$E$11*BU11,".")*$B$39</f>
        <v>0</v>
      </c>
      <c r="BV39" s="71">
        <f>IFERROR(s_RadSpec!$E$11*BV11,".")*$B$39</f>
        <v>0</v>
      </c>
      <c r="BW39" s="71">
        <f>IFERROR(s_RadSpec!$E$11*BW11,".")*$B$39</f>
        <v>0</v>
      </c>
      <c r="BX39" s="71">
        <f>IFERROR(s_RadSpec!$E$11*BX11,".")*$B$39</f>
        <v>0</v>
      </c>
      <c r="BY39" s="71">
        <f>IFERROR(s_RadSpec!$E$11*BY11,".")*$B$39</f>
        <v>0</v>
      </c>
      <c r="BZ39" s="71">
        <f>IFERROR(s_RadSpec!$E$11*BZ11,".")*$B$39</f>
        <v>0</v>
      </c>
      <c r="CA39" s="49">
        <f t="shared" si="113"/>
        <v>0</v>
      </c>
      <c r="CB39" s="49">
        <f t="shared" si="114"/>
        <v>0</v>
      </c>
      <c r="CC39" s="49">
        <f t="shared" si="115"/>
        <v>1.5377354778662368E-9</v>
      </c>
      <c r="CD39" s="49">
        <f t="shared" si="116"/>
        <v>0</v>
      </c>
      <c r="CE39" s="49">
        <f t="shared" si="117"/>
        <v>0</v>
      </c>
      <c r="CF39" s="49">
        <f t="shared" si="79"/>
        <v>0</v>
      </c>
      <c r="CG39" s="49">
        <f t="shared" si="80"/>
        <v>0</v>
      </c>
      <c r="CH39" s="49">
        <f t="shared" si="81"/>
        <v>0</v>
      </c>
      <c r="CI39" s="49">
        <f t="shared" si="82"/>
        <v>0</v>
      </c>
      <c r="CJ39" s="49">
        <f t="shared" si="83"/>
        <v>0</v>
      </c>
      <c r="CK39" s="49">
        <f t="shared" si="84"/>
        <v>0</v>
      </c>
      <c r="CL39" s="49">
        <f t="shared" si="85"/>
        <v>0</v>
      </c>
      <c r="CM39" s="49">
        <f t="shared" si="86"/>
        <v>0</v>
      </c>
      <c r="CN39" s="49">
        <f t="shared" si="87"/>
        <v>0</v>
      </c>
      <c r="CO39" s="49">
        <f t="shared" si="88"/>
        <v>1.5377354778662368E-9</v>
      </c>
      <c r="CP39" s="60">
        <f t="shared" ref="CP39:DC39" si="145">IFERROR(CP11/$B39,0)</f>
        <v>0</v>
      </c>
      <c r="CQ39" s="60">
        <f t="shared" si="145"/>
        <v>0</v>
      </c>
      <c r="CR39" s="60">
        <f t="shared" si="145"/>
        <v>86432821.413281098</v>
      </c>
      <c r="CS39" s="60">
        <f t="shared" si="145"/>
        <v>0</v>
      </c>
      <c r="CT39" s="60">
        <f>IFERROR(CT11/$B39,0)</f>
        <v>0</v>
      </c>
      <c r="CU39" s="60">
        <f>IFERROR(CU11/$B39,0)</f>
        <v>0</v>
      </c>
      <c r="CV39" s="60">
        <f>IFERROR(CV11/$B39,0)</f>
        <v>0</v>
      </c>
      <c r="CW39" s="60">
        <f>IFERROR(CW11/$B39,0)</f>
        <v>0</v>
      </c>
      <c r="CX39" s="60">
        <f t="shared" si="145"/>
        <v>0</v>
      </c>
      <c r="CY39" s="60">
        <f t="shared" si="145"/>
        <v>0</v>
      </c>
      <c r="CZ39" s="60">
        <f t="shared" si="145"/>
        <v>0</v>
      </c>
      <c r="DA39" s="60">
        <f>IFERROR(DA11/$B39,0)</f>
        <v>0</v>
      </c>
      <c r="DB39" s="60">
        <f t="shared" si="145"/>
        <v>0</v>
      </c>
      <c r="DC39" s="60">
        <f t="shared" si="145"/>
        <v>0</v>
      </c>
      <c r="DD39" s="15"/>
      <c r="DE39" s="15"/>
      <c r="DF39" s="15"/>
      <c r="DG39" s="15"/>
      <c r="DH39" s="15"/>
      <c r="DI39" s="15"/>
      <c r="DJ39" s="15"/>
      <c r="DK39" s="15"/>
      <c r="DL39" s="15"/>
      <c r="DM39" s="15"/>
      <c r="DN39" s="15"/>
      <c r="DO39" s="15"/>
      <c r="DP39" s="15"/>
      <c r="DQ39" s="15"/>
      <c r="DR39" s="60">
        <f>IFERROR(DR11/$B39,0)</f>
        <v>86432821.413281098</v>
      </c>
      <c r="DS39" s="71">
        <f>IFERROR(s_RadSpec!$H$11*DS11,".")*$B$39</f>
        <v>0</v>
      </c>
      <c r="DT39" s="71">
        <f>IFERROR(s_RadSpec!$G$11*DT11,".")*$B$39</f>
        <v>0</v>
      </c>
      <c r="DU39" s="71">
        <f>IFERROR(s_RadSpec!$L$11*DU11,".")*$B$39</f>
        <v>5.7848395068493151E-14</v>
      </c>
      <c r="DV39" s="71">
        <f>s_b2w!BZ39</f>
        <v>0</v>
      </c>
      <c r="DW39" s="71">
        <f>IFERROR(s_RadSpec!$E$11*DW11,".")*$B$39</f>
        <v>0</v>
      </c>
      <c r="DX39" s="71">
        <f>IFERROR(s_RadSpec!$E$11*DX11,".")*$B$39</f>
        <v>0</v>
      </c>
      <c r="DY39" s="71">
        <f>IFERROR(s_RadSpec!$E$11*DY11,".")*$B$39</f>
        <v>0</v>
      </c>
      <c r="DZ39" s="71">
        <f>IFERROR(s_RadSpec!$E$11*DZ11,".")*$B$39</f>
        <v>0</v>
      </c>
      <c r="EA39" s="71">
        <f>IFERROR(s_RadSpec!$E$11*EA11,".")*$B$39</f>
        <v>0</v>
      </c>
      <c r="EB39" s="71">
        <f>IFERROR(s_RadSpec!$E$11*EB11,".")*$B$39</f>
        <v>0</v>
      </c>
      <c r="EC39" s="71">
        <f>IFERROR(s_RadSpec!$E$11*EC11,".")*$B$39</f>
        <v>0</v>
      </c>
      <c r="ED39" s="71">
        <f>IFERROR(s_RadSpec!$E$11*ED11,".")*$B$39</f>
        <v>0</v>
      </c>
      <c r="EE39" s="71">
        <f>IFERROR(s_RadSpec!$E$11*EE11,".")*$B$39</f>
        <v>0</v>
      </c>
      <c r="EF39" s="71">
        <f>IFERROR(s_RadSpec!$E$11*EF11,".")*$B$39</f>
        <v>0</v>
      </c>
      <c r="EG39" s="49">
        <f t="shared" si="120"/>
        <v>0</v>
      </c>
      <c r="EH39" s="49">
        <f t="shared" si="121"/>
        <v>0</v>
      </c>
      <c r="EI39" s="49">
        <f t="shared" si="122"/>
        <v>5.7848395068493151E-14</v>
      </c>
      <c r="EJ39" s="49">
        <f t="shared" si="123"/>
        <v>0</v>
      </c>
      <c r="EK39" s="49">
        <f t="shared" si="124"/>
        <v>0</v>
      </c>
      <c r="EL39" s="49">
        <f t="shared" si="95"/>
        <v>0</v>
      </c>
      <c r="EM39" s="49">
        <f t="shared" si="96"/>
        <v>0</v>
      </c>
      <c r="EN39" s="49">
        <f t="shared" si="97"/>
        <v>0</v>
      </c>
      <c r="EO39" s="49">
        <f t="shared" si="98"/>
        <v>0</v>
      </c>
      <c r="EP39" s="49">
        <f t="shared" si="99"/>
        <v>0</v>
      </c>
      <c r="EQ39" s="49">
        <f t="shared" si="100"/>
        <v>0</v>
      </c>
      <c r="ER39" s="49">
        <f t="shared" si="101"/>
        <v>0</v>
      </c>
      <c r="ES39" s="49">
        <f t="shared" si="102"/>
        <v>0</v>
      </c>
      <c r="ET39" s="49">
        <f t="shared" si="103"/>
        <v>0</v>
      </c>
      <c r="EU39" s="49">
        <f t="shared" si="104"/>
        <v>5.7848395068493151E-14</v>
      </c>
      <c r="EV39" s="60">
        <f>IFERROR(EV11/$B39,0)</f>
        <v>0</v>
      </c>
      <c r="EW39" s="60">
        <f>IFERROR(EW11/$B39,0)</f>
        <v>76011.842945013181</v>
      </c>
      <c r="EX39" s="60">
        <f>IFERROR(EX11/$B39,0)</f>
        <v>76011.842945013181</v>
      </c>
      <c r="EY39" s="71">
        <f>IFERROR(s_RadSpec!$G$11*EY11,".")*$B$39</f>
        <v>0</v>
      </c>
      <c r="EZ39" s="71">
        <f>IFERROR(s_RadSpec!$J$11*EZ11,".")*$B$39</f>
        <v>6.5779223424657519E-11</v>
      </c>
      <c r="FA39" s="49">
        <f t="shared" si="126"/>
        <v>0</v>
      </c>
      <c r="FB39" s="49">
        <f t="shared" si="126"/>
        <v>6.5779223424657519E-11</v>
      </c>
      <c r="FC39" s="49">
        <f t="shared" si="127"/>
        <v>6.5779223424657519E-11</v>
      </c>
    </row>
    <row r="40" spans="1:159" x14ac:dyDescent="0.25">
      <c r="A40" s="83" t="s">
        <v>1085</v>
      </c>
      <c r="B40" s="42">
        <v>1</v>
      </c>
      <c r="C40" s="60">
        <f t="shared" ref="C40:M40" si="146">IFERROR(C4/$B40,0)</f>
        <v>0</v>
      </c>
      <c r="D40" s="60">
        <f t="shared" si="146"/>
        <v>0</v>
      </c>
      <c r="E40" s="60">
        <f t="shared" si="146"/>
        <v>0</v>
      </c>
      <c r="F40" s="60">
        <f t="shared" si="146"/>
        <v>0</v>
      </c>
      <c r="G40" s="60">
        <f t="shared" si="146"/>
        <v>0</v>
      </c>
      <c r="H40" s="60">
        <f t="shared" si="146"/>
        <v>0</v>
      </c>
      <c r="I40" s="60">
        <f t="shared" si="146"/>
        <v>0</v>
      </c>
      <c r="J40" s="60">
        <f t="shared" si="146"/>
        <v>0</v>
      </c>
      <c r="K40" s="60">
        <f t="shared" si="146"/>
        <v>0</v>
      </c>
      <c r="L40" s="60">
        <f t="shared" si="146"/>
        <v>0</v>
      </c>
      <c r="M40" s="60">
        <f t="shared" si="146"/>
        <v>0</v>
      </c>
      <c r="N40" s="71">
        <f>s_dir!BA40</f>
        <v>0</v>
      </c>
      <c r="O40" s="71">
        <f>IFERROR(s_RadSpec!$E$4*O4,".")*$B$40</f>
        <v>0</v>
      </c>
      <c r="P40" s="71">
        <f>IFERROR(s_RadSpec!$E$4*P4,".")*$B$40</f>
        <v>0</v>
      </c>
      <c r="Q40" s="71">
        <f>IFERROR(s_RadSpec!$E$4*Q4,".")*$B$40</f>
        <v>0</v>
      </c>
      <c r="R40" s="71">
        <f>IFERROR(s_RadSpec!$E$4*R4,".")*$B$40</f>
        <v>0</v>
      </c>
      <c r="S40" s="71">
        <f>IFERROR(s_RadSpec!$E$4*S4,".")*$B$40</f>
        <v>0</v>
      </c>
      <c r="T40" s="71">
        <f>IFERROR(s_RadSpec!$E$4*T4,".")*$B$40</f>
        <v>0</v>
      </c>
      <c r="U40" s="71">
        <f>IFERROR(s_RadSpec!$E$4*U4,".")*$B$40</f>
        <v>0</v>
      </c>
      <c r="V40" s="71">
        <f>IFERROR(s_RadSpec!$E$4*V4,".")*$B$40</f>
        <v>0</v>
      </c>
      <c r="W40" s="71">
        <f>IFERROR(s_RadSpec!$E$4*W4,".")*$B$40</f>
        <v>0</v>
      </c>
      <c r="X40" s="71">
        <f>IFERROR(s_RadSpec!$E$4*X4,".")*$B$40</f>
        <v>0</v>
      </c>
      <c r="Y40" s="49">
        <f t="shared" si="106"/>
        <v>0</v>
      </c>
      <c r="Z40" s="49">
        <f t="shared" si="107"/>
        <v>0</v>
      </c>
      <c r="AA40" s="49">
        <f t="shared" si="108"/>
        <v>0</v>
      </c>
      <c r="AB40" s="49">
        <f t="shared" si="109"/>
        <v>0</v>
      </c>
      <c r="AC40" s="49">
        <f t="shared" si="110"/>
        <v>0</v>
      </c>
      <c r="AD40" s="49">
        <f t="shared" si="72"/>
        <v>0</v>
      </c>
      <c r="AE40" s="49">
        <f t="shared" si="72"/>
        <v>0</v>
      </c>
      <c r="AF40" s="49">
        <f t="shared" si="72"/>
        <v>0</v>
      </c>
      <c r="AG40" s="49">
        <f t="shared" si="72"/>
        <v>0</v>
      </c>
      <c r="AH40" s="49">
        <f t="shared" si="72"/>
        <v>0</v>
      </c>
      <c r="AI40" s="49">
        <f t="shared" si="72"/>
        <v>0</v>
      </c>
      <c r="AJ40" s="60">
        <f t="shared" ref="AJ40:AW40" si="147">IFERROR(AJ4/$B40,0)</f>
        <v>0</v>
      </c>
      <c r="AK40" s="60">
        <f t="shared" si="147"/>
        <v>0</v>
      </c>
      <c r="AL40" s="60">
        <f t="shared" si="147"/>
        <v>202105.00866163915</v>
      </c>
      <c r="AM40" s="60">
        <f t="shared" si="147"/>
        <v>0</v>
      </c>
      <c r="AN40" s="60">
        <f>IFERROR(AN4/$B40,0)</f>
        <v>0</v>
      </c>
      <c r="AO40" s="60">
        <f>IFERROR(AO4/$B40,0)</f>
        <v>0</v>
      </c>
      <c r="AP40" s="60">
        <f>IFERROR(AP4/$B40,0)</f>
        <v>0</v>
      </c>
      <c r="AQ40" s="60">
        <f>IFERROR(AQ4/$B40,0)</f>
        <v>0</v>
      </c>
      <c r="AR40" s="60">
        <f t="shared" si="147"/>
        <v>0</v>
      </c>
      <c r="AS40" s="60">
        <f t="shared" si="147"/>
        <v>0</v>
      </c>
      <c r="AT40" s="60">
        <f t="shared" si="147"/>
        <v>0</v>
      </c>
      <c r="AU40" s="60">
        <f>IFERROR(AU4/$B40,0)</f>
        <v>0</v>
      </c>
      <c r="AV40" s="60">
        <f t="shared" si="147"/>
        <v>0</v>
      </c>
      <c r="AW40" s="60">
        <f t="shared" si="147"/>
        <v>0</v>
      </c>
      <c r="AX40" s="42"/>
      <c r="AY40" s="42"/>
      <c r="AZ40" s="42"/>
      <c r="BA40" s="42"/>
      <c r="BB40" s="42"/>
      <c r="BC40" s="42"/>
      <c r="BD40" s="42"/>
      <c r="BE40" s="42"/>
      <c r="BF40" s="42"/>
      <c r="BG40" s="42"/>
      <c r="BH40" s="42"/>
      <c r="BI40" s="42"/>
      <c r="BJ40" s="42"/>
      <c r="BK40" s="42"/>
      <c r="BL40" s="60">
        <f>IFERROR(BL4/$B40,0)</f>
        <v>202105.00866163915</v>
      </c>
      <c r="BM40" s="71">
        <f>IFERROR(s_RadSpec!$D$4*BM4,".")*$B$40</f>
        <v>0</v>
      </c>
      <c r="BN40" s="71">
        <f>IFERROR(s_RadSpec!$G$4*BN4,".")*$B$40</f>
        <v>0</v>
      </c>
      <c r="BO40" s="71">
        <f>IFERROR(s_RadSpec!$F$4*BO4,".")*$B$40</f>
        <v>2.473961448610567E-11</v>
      </c>
      <c r="BP40" s="71">
        <f>s_b2s!BZ40</f>
        <v>0</v>
      </c>
      <c r="BQ40" s="71">
        <f>IFERROR(s_RadSpec!$E$4*BQ4,".")*$B$40</f>
        <v>0</v>
      </c>
      <c r="BR40" s="71">
        <f>IFERROR(s_RadSpec!$E$4*BR4,".")*$B$40</f>
        <v>0</v>
      </c>
      <c r="BS40" s="71">
        <f>IFERROR(s_RadSpec!$E$4*BS4,".")*$B$40</f>
        <v>0</v>
      </c>
      <c r="BT40" s="71">
        <f>IFERROR(s_RadSpec!$E$4*BT4,".")*$B$40</f>
        <v>0</v>
      </c>
      <c r="BU40" s="71">
        <f>IFERROR(s_RadSpec!$E$4*BU4,".")*$B$40</f>
        <v>0</v>
      </c>
      <c r="BV40" s="71">
        <f>IFERROR(s_RadSpec!$E$4*BV4,".")*$B$40</f>
        <v>0</v>
      </c>
      <c r="BW40" s="71">
        <f>IFERROR(s_RadSpec!$E$4*BW4,".")*$B$40</f>
        <v>0</v>
      </c>
      <c r="BX40" s="71">
        <f>IFERROR(s_RadSpec!$E$4*BX4,".")*$B$40</f>
        <v>0</v>
      </c>
      <c r="BY40" s="71">
        <f>IFERROR(s_RadSpec!$E$4*BY4,".")*$B$40</f>
        <v>0</v>
      </c>
      <c r="BZ40" s="71">
        <f>IFERROR(s_RadSpec!$E$4*BZ4,".")*$B$40</f>
        <v>0</v>
      </c>
      <c r="CA40" s="49">
        <f t="shared" si="113"/>
        <v>0</v>
      </c>
      <c r="CB40" s="49">
        <f t="shared" si="114"/>
        <v>0</v>
      </c>
      <c r="CC40" s="49">
        <f t="shared" si="115"/>
        <v>2.473961448610567E-11</v>
      </c>
      <c r="CD40" s="49">
        <f t="shared" si="116"/>
        <v>0</v>
      </c>
      <c r="CE40" s="49">
        <f t="shared" si="117"/>
        <v>0</v>
      </c>
      <c r="CF40" s="49">
        <f t="shared" si="79"/>
        <v>0</v>
      </c>
      <c r="CG40" s="49">
        <f t="shared" si="80"/>
        <v>0</v>
      </c>
      <c r="CH40" s="49">
        <f t="shared" si="81"/>
        <v>0</v>
      </c>
      <c r="CI40" s="49">
        <f t="shared" si="82"/>
        <v>0</v>
      </c>
      <c r="CJ40" s="49">
        <f t="shared" si="83"/>
        <v>0</v>
      </c>
      <c r="CK40" s="49">
        <f t="shared" si="84"/>
        <v>0</v>
      </c>
      <c r="CL40" s="49">
        <f t="shared" si="85"/>
        <v>0</v>
      </c>
      <c r="CM40" s="49">
        <f t="shared" si="86"/>
        <v>0</v>
      </c>
      <c r="CN40" s="49">
        <f t="shared" si="87"/>
        <v>0</v>
      </c>
      <c r="CO40" s="49">
        <f t="shared" si="88"/>
        <v>2.473961448610567E-11</v>
      </c>
      <c r="CP40" s="60">
        <f t="shared" ref="CP40:DC40" si="148">IFERROR(CP4/$B40,0)</f>
        <v>0</v>
      </c>
      <c r="CQ40" s="60">
        <f t="shared" si="148"/>
        <v>0</v>
      </c>
      <c r="CR40" s="60">
        <f t="shared" si="148"/>
        <v>10249137839.716942</v>
      </c>
      <c r="CS40" s="60">
        <f t="shared" si="148"/>
        <v>0</v>
      </c>
      <c r="CT40" s="60">
        <f>IFERROR(CT4/$B40,0)</f>
        <v>0</v>
      </c>
      <c r="CU40" s="60">
        <f>IFERROR(CU4/$B40,0)</f>
        <v>0</v>
      </c>
      <c r="CV40" s="60">
        <f>IFERROR(CV4/$B40,0)</f>
        <v>0</v>
      </c>
      <c r="CW40" s="60">
        <f>IFERROR(CW4/$B40,0)</f>
        <v>0</v>
      </c>
      <c r="CX40" s="60">
        <f t="shared" si="148"/>
        <v>0</v>
      </c>
      <c r="CY40" s="60">
        <f t="shared" si="148"/>
        <v>0</v>
      </c>
      <c r="CZ40" s="60">
        <f t="shared" si="148"/>
        <v>0</v>
      </c>
      <c r="DA40" s="60">
        <f>IFERROR(DA4/$B40,0)</f>
        <v>0</v>
      </c>
      <c r="DB40" s="60">
        <f t="shared" si="148"/>
        <v>0</v>
      </c>
      <c r="DC40" s="60">
        <f t="shared" si="148"/>
        <v>0</v>
      </c>
      <c r="DD40" s="15"/>
      <c r="DE40" s="15"/>
      <c r="DF40" s="15"/>
      <c r="DG40" s="15"/>
      <c r="DH40" s="15"/>
      <c r="DI40" s="15"/>
      <c r="DJ40" s="15"/>
      <c r="DK40" s="15"/>
      <c r="DL40" s="15"/>
      <c r="DM40" s="15"/>
      <c r="DN40" s="15"/>
      <c r="DO40" s="15"/>
      <c r="DP40" s="15"/>
      <c r="DQ40" s="15"/>
      <c r="DR40" s="60">
        <f>IFERROR(DR4/$B40,0)</f>
        <v>10249137839.716942</v>
      </c>
      <c r="DS40" s="71">
        <f>IFERROR(s_RadSpec!$H$4*DS4,".")*$B$40</f>
        <v>0</v>
      </c>
      <c r="DT40" s="71">
        <f>IFERROR(s_RadSpec!$G$4*DT4,".")*$B$40</f>
        <v>0</v>
      </c>
      <c r="DU40" s="71">
        <f>IFERROR(s_RadSpec!$L$4*DU4,".")*$B$40</f>
        <v>4.8784591232876707E-16</v>
      </c>
      <c r="DV40" s="71">
        <f>s_b2w!BZ40</f>
        <v>0</v>
      </c>
      <c r="DW40" s="71">
        <f>IFERROR(s_RadSpec!$E$4*DW4,".")*$B$40</f>
        <v>0</v>
      </c>
      <c r="DX40" s="71">
        <f>IFERROR(s_RadSpec!$E$4*DX4,".")*$B$40</f>
        <v>0</v>
      </c>
      <c r="DY40" s="71">
        <f>IFERROR(s_RadSpec!$E$4*DY4,".")*$B$40</f>
        <v>0</v>
      </c>
      <c r="DZ40" s="71">
        <f>IFERROR(s_RadSpec!$E$4*DZ4,".")*$B$40</f>
        <v>0</v>
      </c>
      <c r="EA40" s="71">
        <f>IFERROR(s_RadSpec!$E$4*EA4,".")*$B$40</f>
        <v>0</v>
      </c>
      <c r="EB40" s="71">
        <f>IFERROR(s_RadSpec!$E$4*EB4,".")*$B$40</f>
        <v>0</v>
      </c>
      <c r="EC40" s="71">
        <f>IFERROR(s_RadSpec!$E$4*EC4,".")*$B$40</f>
        <v>0</v>
      </c>
      <c r="ED40" s="71">
        <f>IFERROR(s_RadSpec!$E$4*ED4,".")*$B$40</f>
        <v>0</v>
      </c>
      <c r="EE40" s="71">
        <f>IFERROR(s_RadSpec!$E$4*EE4,".")*$B$40</f>
        <v>0</v>
      </c>
      <c r="EF40" s="71">
        <f>IFERROR(s_RadSpec!$E$4*EF4,".")*$B$40</f>
        <v>0</v>
      </c>
      <c r="EG40" s="49">
        <f t="shared" si="120"/>
        <v>0</v>
      </c>
      <c r="EH40" s="49">
        <f t="shared" si="121"/>
        <v>0</v>
      </c>
      <c r="EI40" s="49">
        <f t="shared" si="122"/>
        <v>4.8784591232876707E-16</v>
      </c>
      <c r="EJ40" s="49">
        <f t="shared" si="123"/>
        <v>0</v>
      </c>
      <c r="EK40" s="49">
        <f t="shared" si="124"/>
        <v>0</v>
      </c>
      <c r="EL40" s="49">
        <f t="shared" si="95"/>
        <v>0</v>
      </c>
      <c r="EM40" s="49">
        <f t="shared" si="96"/>
        <v>0</v>
      </c>
      <c r="EN40" s="49">
        <f t="shared" si="97"/>
        <v>0</v>
      </c>
      <c r="EO40" s="49">
        <f t="shared" si="98"/>
        <v>0</v>
      </c>
      <c r="EP40" s="49">
        <f t="shared" si="99"/>
        <v>0</v>
      </c>
      <c r="EQ40" s="49">
        <f t="shared" si="100"/>
        <v>0</v>
      </c>
      <c r="ER40" s="49">
        <f t="shared" si="101"/>
        <v>0</v>
      </c>
      <c r="ES40" s="49">
        <f t="shared" si="102"/>
        <v>0</v>
      </c>
      <c r="ET40" s="49">
        <f t="shared" si="103"/>
        <v>0</v>
      </c>
      <c r="EU40" s="49">
        <f t="shared" si="104"/>
        <v>4.8784591232876707E-16</v>
      </c>
      <c r="EV40" s="60">
        <f>IFERROR(EV4/$B40,0)</f>
        <v>0</v>
      </c>
      <c r="EW40" s="60">
        <f>IFERROR(EW4/$B40,0)</f>
        <v>8974125.4768813383</v>
      </c>
      <c r="EX40" s="60">
        <f>IFERROR(EX4/$B40,0)</f>
        <v>8974125.4768813383</v>
      </c>
      <c r="EY40" s="71">
        <f>IFERROR(s_RadSpec!$G$4*EY4,".")*$B$40</f>
        <v>0</v>
      </c>
      <c r="EZ40" s="71">
        <f>IFERROR(s_RadSpec!$J$4*EZ4,".")*$B$40</f>
        <v>5.5715735342465749E-13</v>
      </c>
      <c r="FA40" s="49">
        <f t="shared" si="126"/>
        <v>0</v>
      </c>
      <c r="FB40" s="49">
        <f t="shared" si="126"/>
        <v>5.5715735342465749E-13</v>
      </c>
      <c r="FC40" s="49">
        <f t="shared" si="127"/>
        <v>5.5715735342465749E-13</v>
      </c>
    </row>
    <row r="41" spans="1:159" x14ac:dyDescent="0.25">
      <c r="A41" s="83" t="s">
        <v>1086</v>
      </c>
      <c r="B41" s="84">
        <v>0.99987999999999999</v>
      </c>
      <c r="C41" s="60">
        <f t="shared" ref="C41:M41" si="149">IFERROR(C8/$B41,0)</f>
        <v>126.6648109630092</v>
      </c>
      <c r="D41" s="60">
        <f t="shared" si="149"/>
        <v>506.65924385203681</v>
      </c>
      <c r="E41" s="60">
        <f t="shared" si="149"/>
        <v>506.65924385203681</v>
      </c>
      <c r="F41" s="60">
        <f t="shared" si="149"/>
        <v>506.65924385203681</v>
      </c>
      <c r="G41" s="60">
        <f t="shared" si="149"/>
        <v>506.65924385203681</v>
      </c>
      <c r="H41" s="60">
        <f t="shared" si="149"/>
        <v>506.65924385203681</v>
      </c>
      <c r="I41" s="60">
        <f t="shared" si="149"/>
        <v>506.65924385203681</v>
      </c>
      <c r="J41" s="60">
        <f t="shared" si="149"/>
        <v>506.65924385203681</v>
      </c>
      <c r="K41" s="60">
        <f t="shared" si="149"/>
        <v>506.65924385203681</v>
      </c>
      <c r="L41" s="60">
        <f t="shared" si="149"/>
        <v>506.65924385203681</v>
      </c>
      <c r="M41" s="60">
        <f t="shared" si="149"/>
        <v>506.65924385203681</v>
      </c>
      <c r="N41" s="71">
        <f>s_dir!BA41</f>
        <v>3.9483738048565826E-8</v>
      </c>
      <c r="O41" s="71">
        <f>IFERROR(s_RadSpec!$E$8*O8,".")*$B$41</f>
        <v>9.8685656299999989E-9</v>
      </c>
      <c r="P41" s="71">
        <f>IFERROR(s_RadSpec!$E$8*P8,".")*$B$41</f>
        <v>9.8685656299999989E-9</v>
      </c>
      <c r="Q41" s="71">
        <f>IFERROR(s_RadSpec!$E$8*Q8,".")*$B$41</f>
        <v>9.8685656299999989E-9</v>
      </c>
      <c r="R41" s="71">
        <f>IFERROR(s_RadSpec!$E$8*R8,".")*$B$41</f>
        <v>9.8685656299999989E-9</v>
      </c>
      <c r="S41" s="71">
        <f>IFERROR(s_RadSpec!$E$8*S8,".")*$B$41</f>
        <v>9.8685656299999989E-9</v>
      </c>
      <c r="T41" s="71">
        <f>IFERROR(s_RadSpec!$E$8*T8,".")*$B$41</f>
        <v>9.8685656299999989E-9</v>
      </c>
      <c r="U41" s="71">
        <f>IFERROR(s_RadSpec!$E$8*U8,".")*$B$41</f>
        <v>9.8685656299999989E-9</v>
      </c>
      <c r="V41" s="71">
        <f>IFERROR(s_RadSpec!$E$8*V8,".")*$B$41</f>
        <v>9.8685656299999989E-9</v>
      </c>
      <c r="W41" s="71">
        <f>IFERROR(s_RadSpec!$E$8*W8,".")*$B$41</f>
        <v>9.8685656299999989E-9</v>
      </c>
      <c r="X41" s="71">
        <f>IFERROR(s_RadSpec!$E$8*X8,".")*$B$41</f>
        <v>9.8685656299999989E-9</v>
      </c>
      <c r="Y41" s="49">
        <f t="shared" si="106"/>
        <v>3.9483738048565826E-8</v>
      </c>
      <c r="Z41" s="49">
        <f t="shared" si="107"/>
        <v>9.8685656299999989E-9</v>
      </c>
      <c r="AA41" s="49">
        <f t="shared" si="108"/>
        <v>9.8685656299999989E-9</v>
      </c>
      <c r="AB41" s="49">
        <f t="shared" si="109"/>
        <v>9.8685656299999989E-9</v>
      </c>
      <c r="AC41" s="49">
        <f t="shared" si="110"/>
        <v>9.8685656299999989E-9</v>
      </c>
      <c r="AD41" s="49">
        <f t="shared" si="72"/>
        <v>9.8685656299999989E-9</v>
      </c>
      <c r="AE41" s="49">
        <f t="shared" si="72"/>
        <v>9.8685656299999989E-9</v>
      </c>
      <c r="AF41" s="49">
        <f t="shared" si="72"/>
        <v>9.8685656299999989E-9</v>
      </c>
      <c r="AG41" s="49">
        <f t="shared" si="72"/>
        <v>9.8685656299999989E-9</v>
      </c>
      <c r="AH41" s="49">
        <f t="shared" si="72"/>
        <v>9.8685656299999989E-9</v>
      </c>
      <c r="AI41" s="49">
        <f t="shared" si="72"/>
        <v>9.8685656299999989E-9</v>
      </c>
      <c r="AJ41" s="60">
        <f t="shared" ref="AJ41:AW41" si="150">IFERROR(AJ8/$B41,0)</f>
        <v>152627.16352064465</v>
      </c>
      <c r="AK41" s="60">
        <f t="shared" si="150"/>
        <v>22968911.424684525</v>
      </c>
      <c r="AL41" s="60">
        <f t="shared" si="150"/>
        <v>222.87379822336246</v>
      </c>
      <c r="AM41" s="60">
        <f t="shared" si="150"/>
        <v>1115.9895239031648</v>
      </c>
      <c r="AN41" s="60">
        <f>IFERROR(AN8/$B41,0)</f>
        <v>16213.095803265178</v>
      </c>
      <c r="AO41" s="60">
        <f>IFERROR(AO8/$B41,0)</f>
        <v>1688.8641461734562</v>
      </c>
      <c r="AP41" s="60">
        <f>IFERROR(AP8/$B41,0)</f>
        <v>3479.0601411173197</v>
      </c>
      <c r="AQ41" s="60">
        <f>IFERROR(AQ8/$B41,0)</f>
        <v>0</v>
      </c>
      <c r="AR41" s="60">
        <f t="shared" si="150"/>
        <v>0</v>
      </c>
      <c r="AS41" s="60">
        <f t="shared" si="150"/>
        <v>0</v>
      </c>
      <c r="AT41" s="60">
        <f t="shared" si="150"/>
        <v>0</v>
      </c>
      <c r="AU41" s="60">
        <f>IFERROR(AU8/$B41,0)</f>
        <v>0</v>
      </c>
      <c r="AV41" s="60">
        <f t="shared" si="150"/>
        <v>0</v>
      </c>
      <c r="AW41" s="60">
        <f t="shared" si="150"/>
        <v>0</v>
      </c>
      <c r="AX41" s="42"/>
      <c r="AY41" s="42"/>
      <c r="AZ41" s="42"/>
      <c r="BA41" s="42"/>
      <c r="BB41" s="42"/>
      <c r="BC41" s="42"/>
      <c r="BD41" s="42"/>
      <c r="BE41" s="42"/>
      <c r="BF41" s="42"/>
      <c r="BG41" s="42"/>
      <c r="BH41" s="42"/>
      <c r="BI41" s="42"/>
      <c r="BJ41" s="42"/>
      <c r="BK41" s="42"/>
      <c r="BL41" s="60">
        <f>IFERROR(BL8/$B41,0)</f>
        <v>157.95962182930134</v>
      </c>
      <c r="BM41" s="71">
        <f>IFERROR(s_RadSpec!$D$8*BM8,".")*$B$41</f>
        <v>3.2759568379999996E-11</v>
      </c>
      <c r="BN41" s="71">
        <f>IFERROR(s_RadSpec!$G$8*BN8,".")*$B$41</f>
        <v>2.1768554493298864E-13</v>
      </c>
      <c r="BO41" s="71">
        <f>IFERROR(s_RadSpec!$F$8*BO8,".")*$B$41</f>
        <v>2.2434220800549356E-8</v>
      </c>
      <c r="BP41" s="71">
        <f>s_b2s!BZ41</f>
        <v>4.4814042685122214E-9</v>
      </c>
      <c r="BQ41" s="71">
        <f>IFERROR(s_RadSpec!$E$8*BQ8,".")*$B$41</f>
        <v>3.0839267593749997E-10</v>
      </c>
      <c r="BR41" s="71">
        <f>IFERROR(s_RadSpec!$E$8*BR8,".")*$B$41</f>
        <v>2.9605696890000002E-9</v>
      </c>
      <c r="BS41" s="71">
        <f>IFERROR(s_RadSpec!$E$8*BS8,".")*$B$41</f>
        <v>1.4371697519417476E-9</v>
      </c>
      <c r="BT41" s="71">
        <f>IFERROR(s_RadSpec!$E$8*BT8,".")*$B$41</f>
        <v>0</v>
      </c>
      <c r="BU41" s="71">
        <f>IFERROR(s_RadSpec!$E$8*BU8,".")*$B$41</f>
        <v>0</v>
      </c>
      <c r="BV41" s="71">
        <f>IFERROR(s_RadSpec!$E$8*BV8,".")*$B$41</f>
        <v>0</v>
      </c>
      <c r="BW41" s="71">
        <f>IFERROR(s_RadSpec!$E$8*BW8,".")*$B$41</f>
        <v>0</v>
      </c>
      <c r="BX41" s="71">
        <f>IFERROR(s_RadSpec!$E$8*BX8,".")*$B$41</f>
        <v>0</v>
      </c>
      <c r="BY41" s="71">
        <f>IFERROR(s_RadSpec!$E$8*BY8,".")*$B$41</f>
        <v>0</v>
      </c>
      <c r="BZ41" s="71">
        <f>IFERROR(s_RadSpec!$E$8*BZ8,".")*$B$41</f>
        <v>0</v>
      </c>
      <c r="CA41" s="49">
        <f t="shared" si="113"/>
        <v>3.2759568379999996E-11</v>
      </c>
      <c r="CB41" s="49">
        <f t="shared" si="114"/>
        <v>2.1768554493298864E-13</v>
      </c>
      <c r="CC41" s="49">
        <f t="shared" si="115"/>
        <v>2.2434220800549356E-8</v>
      </c>
      <c r="CD41" s="49">
        <f t="shared" si="116"/>
        <v>4.4814042685122214E-9</v>
      </c>
      <c r="CE41" s="49">
        <f t="shared" si="117"/>
        <v>3.0839267593749997E-10</v>
      </c>
      <c r="CF41" s="49">
        <f t="shared" si="79"/>
        <v>2.9605696890000002E-9</v>
      </c>
      <c r="CG41" s="49">
        <f t="shared" si="80"/>
        <v>1.4371697519417476E-9</v>
      </c>
      <c r="CH41" s="49">
        <f t="shared" si="81"/>
        <v>0</v>
      </c>
      <c r="CI41" s="49">
        <f t="shared" si="82"/>
        <v>0</v>
      </c>
      <c r="CJ41" s="49">
        <f t="shared" si="83"/>
        <v>0</v>
      </c>
      <c r="CK41" s="49">
        <f t="shared" si="84"/>
        <v>0</v>
      </c>
      <c r="CL41" s="49">
        <f t="shared" si="85"/>
        <v>0</v>
      </c>
      <c r="CM41" s="49">
        <f t="shared" si="86"/>
        <v>0</v>
      </c>
      <c r="CN41" s="49">
        <f t="shared" si="87"/>
        <v>0</v>
      </c>
      <c r="CO41" s="49">
        <f t="shared" si="88"/>
        <v>3.165473443986576E-8</v>
      </c>
      <c r="CP41" s="60">
        <f t="shared" ref="CP41:DC41" si="151">IFERROR(CP8/$B41,0)</f>
        <v>3946.0249137965207</v>
      </c>
      <c r="CQ41" s="60">
        <f t="shared" si="151"/>
        <v>0</v>
      </c>
      <c r="CR41" s="60">
        <f t="shared" si="151"/>
        <v>18947649.724716462</v>
      </c>
      <c r="CS41" s="60">
        <f t="shared" si="151"/>
        <v>4012.5856345501461</v>
      </c>
      <c r="CT41" s="60">
        <f>IFERROR(CT8/$B41,0)</f>
        <v>33777.282923469123</v>
      </c>
      <c r="CU41" s="60">
        <f>IFERROR(CU8/$B41,0)</f>
        <v>50665924.385203674</v>
      </c>
      <c r="CV41" s="60">
        <f>IFERROR(CV8/$B41,0)</f>
        <v>104371804.23351958</v>
      </c>
      <c r="CW41" s="60">
        <f>IFERROR(CW8/$B41,0)</f>
        <v>0</v>
      </c>
      <c r="CX41" s="60">
        <f t="shared" si="151"/>
        <v>0</v>
      </c>
      <c r="CY41" s="60">
        <f t="shared" si="151"/>
        <v>0</v>
      </c>
      <c r="CZ41" s="60">
        <f t="shared" si="151"/>
        <v>0</v>
      </c>
      <c r="DA41" s="60">
        <f>IFERROR(DA8/$B41,0)</f>
        <v>0</v>
      </c>
      <c r="DB41" s="60">
        <f t="shared" si="151"/>
        <v>0</v>
      </c>
      <c r="DC41" s="60">
        <f t="shared" si="151"/>
        <v>0</v>
      </c>
      <c r="DD41" s="15"/>
      <c r="DE41" s="15"/>
      <c r="DF41" s="15"/>
      <c r="DG41" s="15"/>
      <c r="DH41" s="15"/>
      <c r="DI41" s="15"/>
      <c r="DJ41" s="15"/>
      <c r="DK41" s="15"/>
      <c r="DL41" s="15"/>
      <c r="DM41" s="15"/>
      <c r="DN41" s="15"/>
      <c r="DO41" s="15"/>
      <c r="DP41" s="15"/>
      <c r="DQ41" s="15"/>
      <c r="DR41" s="60">
        <f>IFERROR(DR8/$B41,0)</f>
        <v>1878.5578363903644</v>
      </c>
      <c r="DS41" s="71">
        <f>IFERROR(s_RadSpec!$H$8*DS8,".")*$B$41</f>
        <v>1.26709793E-9</v>
      </c>
      <c r="DT41" s="71">
        <f>IFERROR(s_RadSpec!$G$8*DT8,".")*$B$41</f>
        <v>3.3719911458333328E-8</v>
      </c>
      <c r="DU41" s="71">
        <f>IFERROR(s_RadSpec!$L$8*DU8,".")*$B$41</f>
        <v>2.6388497109895885E-13</v>
      </c>
      <c r="DV41" s="71">
        <f>s_b2w!BZ41</f>
        <v>1.2463784381252845E-9</v>
      </c>
      <c r="DW41" s="71">
        <f>IFERROR(s_RadSpec!$E$8*DW8,".")*$B$41</f>
        <v>1.4802848445000001E-10</v>
      </c>
      <c r="DX41" s="71">
        <f>IFERROR(s_RadSpec!$E$8*DX8,".")*$B$41</f>
        <v>9.8685656300000009E-14</v>
      </c>
      <c r="DY41" s="71">
        <f>IFERROR(s_RadSpec!$E$8*DY8,".")*$B$41</f>
        <v>4.7905658398058266E-14</v>
      </c>
      <c r="DZ41" s="71">
        <f>IFERROR(s_RadSpec!$E$8*DZ8,".")*$B$41</f>
        <v>0</v>
      </c>
      <c r="EA41" s="71">
        <f>IFERROR(s_RadSpec!$E$8*EA8,".")*$B$41</f>
        <v>0</v>
      </c>
      <c r="EB41" s="71">
        <f>IFERROR(s_RadSpec!$E$8*EB8,".")*$B$41</f>
        <v>0</v>
      </c>
      <c r="EC41" s="71">
        <f>IFERROR(s_RadSpec!$E$8*EC8,".")*$B$41</f>
        <v>0</v>
      </c>
      <c r="ED41" s="71">
        <f>IFERROR(s_RadSpec!$E$8*ED8,".")*$B$41</f>
        <v>0</v>
      </c>
      <c r="EE41" s="71">
        <f>IFERROR(s_RadSpec!$E$8*EE8,".")*$B$41</f>
        <v>0</v>
      </c>
      <c r="EF41" s="71">
        <f>IFERROR(s_RadSpec!$E$8*EF8,".")*$B$41</f>
        <v>0</v>
      </c>
      <c r="EG41" s="49">
        <f t="shared" si="120"/>
        <v>1.26709793E-9</v>
      </c>
      <c r="EH41" s="49">
        <f t="shared" si="121"/>
        <v>3.3719911458333328E-8</v>
      </c>
      <c r="EI41" s="49">
        <f t="shared" si="122"/>
        <v>2.6388497109895885E-13</v>
      </c>
      <c r="EJ41" s="49">
        <f t="shared" si="123"/>
        <v>1.2463784381252845E-9</v>
      </c>
      <c r="EK41" s="49">
        <f t="shared" si="124"/>
        <v>1.4802848445000001E-10</v>
      </c>
      <c r="EL41" s="49">
        <f t="shared" si="95"/>
        <v>9.8685656300000009E-14</v>
      </c>
      <c r="EM41" s="49">
        <f t="shared" si="96"/>
        <v>4.7905658398058266E-14</v>
      </c>
      <c r="EN41" s="49">
        <f t="shared" si="97"/>
        <v>0</v>
      </c>
      <c r="EO41" s="49">
        <f t="shared" si="98"/>
        <v>0</v>
      </c>
      <c r="EP41" s="49">
        <f t="shared" si="99"/>
        <v>0</v>
      </c>
      <c r="EQ41" s="49">
        <f t="shared" si="100"/>
        <v>0</v>
      </c>
      <c r="ER41" s="49">
        <f t="shared" si="101"/>
        <v>0</v>
      </c>
      <c r="ES41" s="49">
        <f t="shared" si="102"/>
        <v>0</v>
      </c>
      <c r="ET41" s="49">
        <f t="shared" si="103"/>
        <v>0</v>
      </c>
      <c r="EU41" s="49">
        <f t="shared" si="104"/>
        <v>3.6381826787194403E-8</v>
      </c>
      <c r="EV41" s="60">
        <f>IFERROR(EV8/$B41,0)</f>
        <v>74.140170951788335</v>
      </c>
      <c r="EW41" s="60">
        <f>IFERROR(EW8/$B41,0)</f>
        <v>16454.537918832713</v>
      </c>
      <c r="EX41" s="60">
        <f>IFERROR(EX8/$B41,0)</f>
        <v>73.80761169212451</v>
      </c>
      <c r="EY41" s="71">
        <f>IFERROR(s_RadSpec!$G$8*EY8,".")*$B$41</f>
        <v>6.7439822916666656E-8</v>
      </c>
      <c r="EZ41" s="71">
        <f>IFERROR(s_RadSpec!$J$8*EZ8,".")*$B$41</f>
        <v>3.0386754247758896E-10</v>
      </c>
      <c r="FA41" s="49">
        <f t="shared" si="126"/>
        <v>6.7439822916666656E-8</v>
      </c>
      <c r="FB41" s="49">
        <f t="shared" si="126"/>
        <v>3.0386754247758896E-10</v>
      </c>
      <c r="FC41" s="49">
        <f t="shared" si="127"/>
        <v>6.7743690459144243E-8</v>
      </c>
    </row>
    <row r="42" spans="1:159" x14ac:dyDescent="0.25">
      <c r="A42" s="83" t="s">
        <v>1087</v>
      </c>
      <c r="B42" s="42">
        <v>0.97898250799999997</v>
      </c>
      <c r="C42" s="60">
        <f t="shared" ref="C42:M42" si="152">IFERROR(C19/$B42,0)</f>
        <v>0</v>
      </c>
      <c r="D42" s="60">
        <f t="shared" si="152"/>
        <v>0</v>
      </c>
      <c r="E42" s="60">
        <f t="shared" si="152"/>
        <v>0</v>
      </c>
      <c r="F42" s="60">
        <f t="shared" si="152"/>
        <v>0</v>
      </c>
      <c r="G42" s="60">
        <f t="shared" si="152"/>
        <v>0</v>
      </c>
      <c r="H42" s="60">
        <f t="shared" si="152"/>
        <v>0</v>
      </c>
      <c r="I42" s="60">
        <f t="shared" si="152"/>
        <v>0</v>
      </c>
      <c r="J42" s="60">
        <f t="shared" si="152"/>
        <v>0</v>
      </c>
      <c r="K42" s="60">
        <f t="shared" si="152"/>
        <v>0</v>
      </c>
      <c r="L42" s="60">
        <f t="shared" si="152"/>
        <v>0</v>
      </c>
      <c r="M42" s="60">
        <f t="shared" si="152"/>
        <v>0</v>
      </c>
      <c r="N42" s="71">
        <f>s_dir!BA42</f>
        <v>0</v>
      </c>
      <c r="O42" s="72">
        <f>IFERROR(s_RadSpec!$E$19*O19,".")*$B$42</f>
        <v>0</v>
      </c>
      <c r="P42" s="72">
        <f>IFERROR(s_RadSpec!$E$19*P19,".")*$B$42</f>
        <v>0</v>
      </c>
      <c r="Q42" s="72">
        <f>IFERROR(s_RadSpec!$E$19*Q19,".")*$B$42</f>
        <v>0</v>
      </c>
      <c r="R42" s="72">
        <f>IFERROR(s_RadSpec!$E$19*R19,".")*$B$42</f>
        <v>0</v>
      </c>
      <c r="S42" s="72">
        <f>IFERROR(s_RadSpec!$E$19*S19,".")*$B$42</f>
        <v>0</v>
      </c>
      <c r="T42" s="72">
        <f>IFERROR(s_RadSpec!$E$19*T19,".")*$B$42</f>
        <v>0</v>
      </c>
      <c r="U42" s="72">
        <f>IFERROR(s_RadSpec!$E$19*U19,".")*$B$42</f>
        <v>0</v>
      </c>
      <c r="V42" s="72">
        <f>IFERROR(s_RadSpec!$E$19*V19,".")*$B$42</f>
        <v>0</v>
      </c>
      <c r="W42" s="72">
        <f>IFERROR(s_RadSpec!$E$19*W19,".")*$B$42</f>
        <v>0</v>
      </c>
      <c r="X42" s="72">
        <f>IFERROR(s_RadSpec!$E$19*X19,".")*$B$42</f>
        <v>0</v>
      </c>
      <c r="Y42" s="49">
        <f t="shared" si="106"/>
        <v>0</v>
      </c>
      <c r="Z42" s="49">
        <f t="shared" si="107"/>
        <v>0</v>
      </c>
      <c r="AA42" s="49">
        <f t="shared" si="108"/>
        <v>0</v>
      </c>
      <c r="AB42" s="49">
        <f t="shared" si="109"/>
        <v>0</v>
      </c>
      <c r="AC42" s="49">
        <f t="shared" si="110"/>
        <v>0</v>
      </c>
      <c r="AD42" s="49">
        <f t="shared" si="72"/>
        <v>0</v>
      </c>
      <c r="AE42" s="49">
        <f t="shared" si="72"/>
        <v>0</v>
      </c>
      <c r="AF42" s="49">
        <f t="shared" si="72"/>
        <v>0</v>
      </c>
      <c r="AG42" s="49">
        <f t="shared" si="72"/>
        <v>0</v>
      </c>
      <c r="AH42" s="49">
        <f t="shared" si="72"/>
        <v>0</v>
      </c>
      <c r="AI42" s="49">
        <f t="shared" si="72"/>
        <v>0</v>
      </c>
      <c r="AJ42" s="60">
        <f t="shared" ref="AJ42:AW42" si="153">IFERROR(AJ19/$B42,0)</f>
        <v>0</v>
      </c>
      <c r="AK42" s="60">
        <f t="shared" si="153"/>
        <v>0</v>
      </c>
      <c r="AL42" s="60">
        <f t="shared" si="153"/>
        <v>495098.68582568469</v>
      </c>
      <c r="AM42" s="60">
        <f t="shared" si="153"/>
        <v>0</v>
      </c>
      <c r="AN42" s="60">
        <f>IFERROR(AN19/$B42,0)</f>
        <v>0</v>
      </c>
      <c r="AO42" s="60">
        <f>IFERROR(AO19/$B42,0)</f>
        <v>0</v>
      </c>
      <c r="AP42" s="60">
        <f>IFERROR(AP19/$B42,0)</f>
        <v>0</v>
      </c>
      <c r="AQ42" s="60">
        <f>IFERROR(AQ19/$B42,0)</f>
        <v>0</v>
      </c>
      <c r="AR42" s="60">
        <f t="shared" si="153"/>
        <v>0</v>
      </c>
      <c r="AS42" s="60">
        <f t="shared" si="153"/>
        <v>0</v>
      </c>
      <c r="AT42" s="60">
        <f t="shared" si="153"/>
        <v>0</v>
      </c>
      <c r="AU42" s="60">
        <f>IFERROR(AU19/$B42,0)</f>
        <v>0</v>
      </c>
      <c r="AV42" s="60">
        <f t="shared" si="153"/>
        <v>0</v>
      </c>
      <c r="AW42" s="60">
        <f t="shared" si="153"/>
        <v>0</v>
      </c>
      <c r="AX42" s="42"/>
      <c r="AY42" s="42"/>
      <c r="AZ42" s="42"/>
      <c r="BA42" s="42"/>
      <c r="BB42" s="42"/>
      <c r="BC42" s="42"/>
      <c r="BD42" s="42"/>
      <c r="BE42" s="42"/>
      <c r="BF42" s="42"/>
      <c r="BG42" s="42"/>
      <c r="BH42" s="42"/>
      <c r="BI42" s="42"/>
      <c r="BJ42" s="42"/>
      <c r="BK42" s="42"/>
      <c r="BL42" s="60">
        <f>IFERROR(BL19/$B42,0)</f>
        <v>495098.68582568475</v>
      </c>
      <c r="BM42" s="72">
        <f>IFERROR(s_RadSpec!$D$19*BM19,".")*$B$42</f>
        <v>0</v>
      </c>
      <c r="BN42" s="72">
        <f>IFERROR(s_RadSpec!$G$19*BN19,".")*$B$42</f>
        <v>0</v>
      </c>
      <c r="BO42" s="72">
        <f>IFERROR(s_RadSpec!$F$19*BO19,".")*$B$42</f>
        <v>1.0098996711456447E-11</v>
      </c>
      <c r="BP42" s="71">
        <f>s_b2s!BZ42</f>
        <v>0</v>
      </c>
      <c r="BQ42" s="72">
        <f>IFERROR(s_RadSpec!$E$19*BQ19,".")*$B$42</f>
        <v>0</v>
      </c>
      <c r="BR42" s="72">
        <f>IFERROR(s_RadSpec!$E$19*BR19,".")*$B$42</f>
        <v>0</v>
      </c>
      <c r="BS42" s="72">
        <f>IFERROR(s_RadSpec!$E$19*BS19,".")*$B$42</f>
        <v>0</v>
      </c>
      <c r="BT42" s="72">
        <f>IFERROR(s_RadSpec!$E$19*BT19,".")*$B$42</f>
        <v>0</v>
      </c>
      <c r="BU42" s="72">
        <f>IFERROR(s_RadSpec!$E$19*BU19,".")*$B$42</f>
        <v>0</v>
      </c>
      <c r="BV42" s="72">
        <f>IFERROR(s_RadSpec!$E$19*BV19,".")*$B$42</f>
        <v>0</v>
      </c>
      <c r="BW42" s="72">
        <f>IFERROR(s_RadSpec!$E$19*BW19,".")*$B$42</f>
        <v>0</v>
      </c>
      <c r="BX42" s="72">
        <f>IFERROR(s_RadSpec!$E$19*BX19,".")*$B$42</f>
        <v>0</v>
      </c>
      <c r="BY42" s="72">
        <f>IFERROR(s_RadSpec!$E$19*BY19,".")*$B$42</f>
        <v>0</v>
      </c>
      <c r="BZ42" s="72">
        <f>IFERROR(s_RadSpec!$E$19*BZ19,".")*$B$42</f>
        <v>0</v>
      </c>
      <c r="CA42" s="49">
        <f t="shared" si="113"/>
        <v>0</v>
      </c>
      <c r="CB42" s="49">
        <f t="shared" si="114"/>
        <v>0</v>
      </c>
      <c r="CC42" s="49">
        <f t="shared" si="115"/>
        <v>1.0098996711456447E-11</v>
      </c>
      <c r="CD42" s="49">
        <f t="shared" si="116"/>
        <v>0</v>
      </c>
      <c r="CE42" s="49">
        <f t="shared" si="117"/>
        <v>0</v>
      </c>
      <c r="CF42" s="49">
        <f t="shared" si="79"/>
        <v>0</v>
      </c>
      <c r="CG42" s="49">
        <f t="shared" si="80"/>
        <v>0</v>
      </c>
      <c r="CH42" s="49">
        <f t="shared" si="81"/>
        <v>0</v>
      </c>
      <c r="CI42" s="49">
        <f t="shared" si="82"/>
        <v>0</v>
      </c>
      <c r="CJ42" s="49">
        <f t="shared" si="83"/>
        <v>0</v>
      </c>
      <c r="CK42" s="49">
        <f t="shared" si="84"/>
        <v>0</v>
      </c>
      <c r="CL42" s="49">
        <f t="shared" si="85"/>
        <v>0</v>
      </c>
      <c r="CM42" s="49">
        <f t="shared" si="86"/>
        <v>0</v>
      </c>
      <c r="CN42" s="49">
        <f t="shared" si="87"/>
        <v>0</v>
      </c>
      <c r="CO42" s="49">
        <f t="shared" si="88"/>
        <v>1.0098996711456447E-11</v>
      </c>
      <c r="CP42" s="60">
        <f t="shared" ref="CP42:DC42" si="154">IFERROR(CP19/$B42,0)</f>
        <v>0</v>
      </c>
      <c r="CQ42" s="60">
        <f t="shared" si="154"/>
        <v>0</v>
      </c>
      <c r="CR42" s="60">
        <f t="shared" si="154"/>
        <v>64075544182.679863</v>
      </c>
      <c r="CS42" s="60">
        <f t="shared" si="154"/>
        <v>0</v>
      </c>
      <c r="CT42" s="60">
        <f>IFERROR(CT19/$B42,0)</f>
        <v>0</v>
      </c>
      <c r="CU42" s="60">
        <f>IFERROR(CU19/$B42,0)</f>
        <v>0</v>
      </c>
      <c r="CV42" s="60">
        <f>IFERROR(CV19/$B42,0)</f>
        <v>0</v>
      </c>
      <c r="CW42" s="60">
        <f>IFERROR(CW19/$B42,0)</f>
        <v>0</v>
      </c>
      <c r="CX42" s="60">
        <f t="shared" si="154"/>
        <v>0</v>
      </c>
      <c r="CY42" s="60">
        <f t="shared" si="154"/>
        <v>0</v>
      </c>
      <c r="CZ42" s="60">
        <f t="shared" si="154"/>
        <v>0</v>
      </c>
      <c r="DA42" s="60">
        <f>IFERROR(DA19/$B42,0)</f>
        <v>0</v>
      </c>
      <c r="DB42" s="60">
        <f t="shared" si="154"/>
        <v>0</v>
      </c>
      <c r="DC42" s="60">
        <f t="shared" si="154"/>
        <v>0</v>
      </c>
      <c r="DD42" s="15"/>
      <c r="DE42" s="15"/>
      <c r="DF42" s="15"/>
      <c r="DG42" s="15"/>
      <c r="DH42" s="15"/>
      <c r="DI42" s="15"/>
      <c r="DJ42" s="15"/>
      <c r="DK42" s="15"/>
      <c r="DL42" s="15"/>
      <c r="DM42" s="15"/>
      <c r="DN42" s="15"/>
      <c r="DO42" s="15"/>
      <c r="DP42" s="15"/>
      <c r="DQ42" s="15"/>
      <c r="DR42" s="60">
        <f>IFERROR(DR19/$B42,0)</f>
        <v>64075544182.679863</v>
      </c>
      <c r="DS42" s="72">
        <f>IFERROR(s_RadSpec!$H$19*DS19,".")*$B$42</f>
        <v>0</v>
      </c>
      <c r="DT42" s="72">
        <f>IFERROR(s_RadSpec!$G$19*DT19,".")*$B$42</f>
        <v>0</v>
      </c>
      <c r="DU42" s="72">
        <f>IFERROR(s_RadSpec!$L$19*DU19,".")*$B$42</f>
        <v>7.8032891702721411E-17</v>
      </c>
      <c r="DV42" s="71">
        <f>s_b2w!BZ42</f>
        <v>0</v>
      </c>
      <c r="DW42" s="72">
        <f>IFERROR(s_RadSpec!$E$19*DW19,".")*$B$42</f>
        <v>0</v>
      </c>
      <c r="DX42" s="72">
        <f>IFERROR(s_RadSpec!$E$19*DX19,".")*$B$42</f>
        <v>0</v>
      </c>
      <c r="DY42" s="72">
        <f>IFERROR(s_RadSpec!$E$19*DY19,".")*$B$42</f>
        <v>0</v>
      </c>
      <c r="DZ42" s="72">
        <f>IFERROR(s_RadSpec!$E$19*DZ19,".")*$B$42</f>
        <v>0</v>
      </c>
      <c r="EA42" s="72">
        <f>IFERROR(s_RadSpec!$E$19*EA19,".")*$B$42</f>
        <v>0</v>
      </c>
      <c r="EB42" s="72">
        <f>IFERROR(s_RadSpec!$E$19*EB19,".")*$B$42</f>
        <v>0</v>
      </c>
      <c r="EC42" s="72">
        <f>IFERROR(s_RadSpec!$E$19*EC19,".")*$B$42</f>
        <v>0</v>
      </c>
      <c r="ED42" s="72">
        <f>IFERROR(s_RadSpec!$E$19*ED19,".")*$B$42</f>
        <v>0</v>
      </c>
      <c r="EE42" s="72">
        <f>IFERROR(s_RadSpec!$E$19*EE19,".")*$B$42</f>
        <v>0</v>
      </c>
      <c r="EF42" s="72">
        <f>IFERROR(s_RadSpec!$E$19*EF19,".")*$B$42</f>
        <v>0</v>
      </c>
      <c r="EG42" s="49">
        <f t="shared" si="120"/>
        <v>0</v>
      </c>
      <c r="EH42" s="49">
        <f t="shared" si="121"/>
        <v>0</v>
      </c>
      <c r="EI42" s="49">
        <f t="shared" si="122"/>
        <v>7.8032891702721411E-17</v>
      </c>
      <c r="EJ42" s="49">
        <f t="shared" si="123"/>
        <v>0</v>
      </c>
      <c r="EK42" s="49">
        <f t="shared" si="124"/>
        <v>0</v>
      </c>
      <c r="EL42" s="49">
        <f t="shared" si="95"/>
        <v>0</v>
      </c>
      <c r="EM42" s="49">
        <f t="shared" si="96"/>
        <v>0</v>
      </c>
      <c r="EN42" s="49">
        <f t="shared" si="97"/>
        <v>0</v>
      </c>
      <c r="EO42" s="49">
        <f t="shared" si="98"/>
        <v>0</v>
      </c>
      <c r="EP42" s="49">
        <f t="shared" si="99"/>
        <v>0</v>
      </c>
      <c r="EQ42" s="49">
        <f t="shared" si="100"/>
        <v>0</v>
      </c>
      <c r="ER42" s="49">
        <f t="shared" si="101"/>
        <v>0</v>
      </c>
      <c r="ES42" s="49">
        <f t="shared" si="102"/>
        <v>0</v>
      </c>
      <c r="ET42" s="49">
        <f t="shared" si="103"/>
        <v>0</v>
      </c>
      <c r="EU42" s="49">
        <f t="shared" si="104"/>
        <v>7.8032891702721411E-17</v>
      </c>
      <c r="EV42" s="60">
        <f>IFERROR(EV19/$B42,0)</f>
        <v>0</v>
      </c>
      <c r="EW42" s="60">
        <f>IFERROR(EW19/$B42,0)</f>
        <v>55532138.291655883</v>
      </c>
      <c r="EX42" s="60">
        <f>IFERROR(EX19/$B42,0)</f>
        <v>55532138.291655876</v>
      </c>
      <c r="EY42" s="72">
        <f>IFERROR(s_RadSpec!$G$19*EY19,".")*$B$42</f>
        <v>0</v>
      </c>
      <c r="EZ42" s="72">
        <f>IFERROR(s_RadSpec!$J$19*EZ19,".")*$B$42</f>
        <v>9.0037951964678561E-14</v>
      </c>
      <c r="FA42" s="49">
        <f t="shared" si="126"/>
        <v>0</v>
      </c>
      <c r="FB42" s="49">
        <f t="shared" si="126"/>
        <v>9.0037951964678561E-14</v>
      </c>
      <c r="FC42" s="49">
        <f t="shared" si="127"/>
        <v>9.0037951964678561E-14</v>
      </c>
    </row>
    <row r="43" spans="1:159" x14ac:dyDescent="0.25">
      <c r="A43" s="83" t="s">
        <v>1088</v>
      </c>
      <c r="B43" s="42">
        <v>2.0897492E-2</v>
      </c>
      <c r="C43" s="60">
        <f t="shared" ref="C43:M43" si="155">IFERROR(C28/$B43,0)</f>
        <v>0</v>
      </c>
      <c r="D43" s="60">
        <f t="shared" si="155"/>
        <v>0</v>
      </c>
      <c r="E43" s="60">
        <f t="shared" si="155"/>
        <v>0</v>
      </c>
      <c r="F43" s="60">
        <f t="shared" si="155"/>
        <v>0</v>
      </c>
      <c r="G43" s="60">
        <f t="shared" si="155"/>
        <v>0</v>
      </c>
      <c r="H43" s="60">
        <f t="shared" si="155"/>
        <v>0</v>
      </c>
      <c r="I43" s="60">
        <f t="shared" si="155"/>
        <v>0</v>
      </c>
      <c r="J43" s="60">
        <f t="shared" si="155"/>
        <v>0</v>
      </c>
      <c r="K43" s="60">
        <f t="shared" si="155"/>
        <v>0</v>
      </c>
      <c r="L43" s="60">
        <f t="shared" si="155"/>
        <v>0</v>
      </c>
      <c r="M43" s="60">
        <f t="shared" si="155"/>
        <v>0</v>
      </c>
      <c r="N43" s="71">
        <f>s_dir!BA43</f>
        <v>0</v>
      </c>
      <c r="O43" s="72">
        <f>IFERROR(s_RadSpec!$E$28*O28,".")*$B$43</f>
        <v>0</v>
      </c>
      <c r="P43" s="72">
        <f>IFERROR(s_RadSpec!$E$28*P28,".")*$B$43</f>
        <v>0</v>
      </c>
      <c r="Q43" s="72">
        <f>IFERROR(s_RadSpec!$E$28*Q28,".")*$B$43</f>
        <v>0</v>
      </c>
      <c r="R43" s="72">
        <f>IFERROR(s_RadSpec!$E$28*R28,".")*$B$43</f>
        <v>0</v>
      </c>
      <c r="S43" s="72">
        <f>IFERROR(s_RadSpec!$E$28*S28,".")*$B$43</f>
        <v>0</v>
      </c>
      <c r="T43" s="72">
        <f>IFERROR(s_RadSpec!$E$28*T28,".")*$B$43</f>
        <v>0</v>
      </c>
      <c r="U43" s="72">
        <f>IFERROR(s_RadSpec!$E$28*U28,".")*$B$43</f>
        <v>0</v>
      </c>
      <c r="V43" s="72">
        <f>IFERROR(s_RadSpec!$E$28*V28,".")*$B$43</f>
        <v>0</v>
      </c>
      <c r="W43" s="72">
        <f>IFERROR(s_RadSpec!$E$28*W28,".")*$B$43</f>
        <v>0</v>
      </c>
      <c r="X43" s="72">
        <f>IFERROR(s_RadSpec!$E$28*X28,".")*$B$43</f>
        <v>0</v>
      </c>
      <c r="Y43" s="49">
        <f t="shared" si="106"/>
        <v>0</v>
      </c>
      <c r="Z43" s="49">
        <f t="shared" si="107"/>
        <v>0</v>
      </c>
      <c r="AA43" s="49">
        <f t="shared" si="108"/>
        <v>0</v>
      </c>
      <c r="AB43" s="49">
        <f t="shared" si="109"/>
        <v>0</v>
      </c>
      <c r="AC43" s="49">
        <f t="shared" si="110"/>
        <v>0</v>
      </c>
      <c r="AD43" s="49">
        <f t="shared" si="72"/>
        <v>0</v>
      </c>
      <c r="AE43" s="49">
        <f t="shared" si="72"/>
        <v>0</v>
      </c>
      <c r="AF43" s="49">
        <f t="shared" si="72"/>
        <v>0</v>
      </c>
      <c r="AG43" s="49">
        <f t="shared" si="72"/>
        <v>0</v>
      </c>
      <c r="AH43" s="49">
        <f t="shared" si="72"/>
        <v>0</v>
      </c>
      <c r="AI43" s="49">
        <f t="shared" si="72"/>
        <v>0</v>
      </c>
      <c r="AJ43" s="60">
        <f t="shared" ref="AJ43:AW43" si="156">IFERROR(AJ28/$B43,0)</f>
        <v>0</v>
      </c>
      <c r="AK43" s="60">
        <f t="shared" si="156"/>
        <v>0</v>
      </c>
      <c r="AL43" s="60">
        <f t="shared" si="156"/>
        <v>276.36082546304658</v>
      </c>
      <c r="AM43" s="60">
        <f t="shared" si="156"/>
        <v>0</v>
      </c>
      <c r="AN43" s="60">
        <f>IFERROR(AN28/$B43,0)</f>
        <v>0</v>
      </c>
      <c r="AO43" s="60">
        <f>IFERROR(AO28/$B43,0)</f>
        <v>0</v>
      </c>
      <c r="AP43" s="60">
        <f>IFERROR(AP28/$B43,0)</f>
        <v>0</v>
      </c>
      <c r="AQ43" s="60">
        <f>IFERROR(AQ28/$B43,0)</f>
        <v>0</v>
      </c>
      <c r="AR43" s="60">
        <f t="shared" si="156"/>
        <v>0</v>
      </c>
      <c r="AS43" s="60">
        <f t="shared" si="156"/>
        <v>0</v>
      </c>
      <c r="AT43" s="60">
        <f t="shared" si="156"/>
        <v>0</v>
      </c>
      <c r="AU43" s="60">
        <f>IFERROR(AU28/$B43,0)</f>
        <v>0</v>
      </c>
      <c r="AV43" s="60">
        <f t="shared" si="156"/>
        <v>0</v>
      </c>
      <c r="AW43" s="60">
        <f t="shared" si="156"/>
        <v>0</v>
      </c>
      <c r="AX43" s="42"/>
      <c r="AY43" s="42"/>
      <c r="AZ43" s="42"/>
      <c r="BA43" s="42"/>
      <c r="BB43" s="42"/>
      <c r="BC43" s="42"/>
      <c r="BD43" s="42"/>
      <c r="BE43" s="42"/>
      <c r="BF43" s="42"/>
      <c r="BG43" s="42"/>
      <c r="BH43" s="42"/>
      <c r="BI43" s="42"/>
      <c r="BJ43" s="42"/>
      <c r="BK43" s="42"/>
      <c r="BL43" s="60">
        <f>IFERROR(BL28/$B43,0)</f>
        <v>276.36082546304658</v>
      </c>
      <c r="BM43" s="72">
        <f>IFERROR(s_RadSpec!$D$28*BM28,".")*$B$43</f>
        <v>0</v>
      </c>
      <c r="BN43" s="72">
        <f>IFERROR(s_RadSpec!$G$28*BN28,".")*$B$43</f>
        <v>0</v>
      </c>
      <c r="BO43" s="72">
        <f>IFERROR(s_RadSpec!$F$28*BO28,".")*$B$43</f>
        <v>1.8092289280227858E-8</v>
      </c>
      <c r="BP43" s="71">
        <f>s_b2s!BZ43</f>
        <v>0</v>
      </c>
      <c r="BQ43" s="72">
        <f>IFERROR(s_RadSpec!$E$28*BQ28,".")*$B$43</f>
        <v>0</v>
      </c>
      <c r="BR43" s="72">
        <f>IFERROR(s_RadSpec!$E$28*BR28,".")*$B$43</f>
        <v>0</v>
      </c>
      <c r="BS43" s="72">
        <f>IFERROR(s_RadSpec!$E$28*BS28,".")*$B$43</f>
        <v>0</v>
      </c>
      <c r="BT43" s="72">
        <f>IFERROR(s_RadSpec!$E$28*BT28,".")*$B$43</f>
        <v>0</v>
      </c>
      <c r="BU43" s="72">
        <f>IFERROR(s_RadSpec!$E$28*BU28,".")*$B$43</f>
        <v>0</v>
      </c>
      <c r="BV43" s="72">
        <f>IFERROR(s_RadSpec!$E$28*BV28,".")*$B$43</f>
        <v>0</v>
      </c>
      <c r="BW43" s="72">
        <f>IFERROR(s_RadSpec!$E$28*BW28,".")*$B$43</f>
        <v>0</v>
      </c>
      <c r="BX43" s="72">
        <f>IFERROR(s_RadSpec!$E$28*BX28,".")*$B$43</f>
        <v>0</v>
      </c>
      <c r="BY43" s="72">
        <f>IFERROR(s_RadSpec!$E$28*BY28,".")*$B$43</f>
        <v>0</v>
      </c>
      <c r="BZ43" s="72">
        <f>IFERROR(s_RadSpec!$E$28*BZ28,".")*$B$43</f>
        <v>0</v>
      </c>
      <c r="CA43" s="49">
        <f t="shared" si="113"/>
        <v>0</v>
      </c>
      <c r="CB43" s="49">
        <f t="shared" si="114"/>
        <v>0</v>
      </c>
      <c r="CC43" s="49">
        <f t="shared" si="115"/>
        <v>1.8092289280227858E-8</v>
      </c>
      <c r="CD43" s="49">
        <f t="shared" si="116"/>
        <v>0</v>
      </c>
      <c r="CE43" s="49">
        <f t="shared" si="117"/>
        <v>0</v>
      </c>
      <c r="CF43" s="49">
        <f t="shared" si="79"/>
        <v>0</v>
      </c>
      <c r="CG43" s="49">
        <f t="shared" si="80"/>
        <v>0</v>
      </c>
      <c r="CH43" s="49">
        <f t="shared" si="81"/>
        <v>0</v>
      </c>
      <c r="CI43" s="49">
        <f t="shared" si="82"/>
        <v>0</v>
      </c>
      <c r="CJ43" s="49">
        <f t="shared" si="83"/>
        <v>0</v>
      </c>
      <c r="CK43" s="49">
        <f t="shared" si="84"/>
        <v>0</v>
      </c>
      <c r="CL43" s="49">
        <f t="shared" si="85"/>
        <v>0</v>
      </c>
      <c r="CM43" s="49">
        <f t="shared" si="86"/>
        <v>0</v>
      </c>
      <c r="CN43" s="49">
        <f t="shared" si="87"/>
        <v>0</v>
      </c>
      <c r="CO43" s="49">
        <f t="shared" si="88"/>
        <v>1.8092289280227858E-8</v>
      </c>
      <c r="CP43" s="60">
        <f t="shared" ref="CP43:DC43" si="157">IFERROR(CP28/$B43,0)</f>
        <v>0</v>
      </c>
      <c r="CQ43" s="60">
        <f t="shared" si="157"/>
        <v>0</v>
      </c>
      <c r="CR43" s="60">
        <f t="shared" si="157"/>
        <v>50422485.961693719</v>
      </c>
      <c r="CS43" s="60">
        <f t="shared" si="157"/>
        <v>0</v>
      </c>
      <c r="CT43" s="60">
        <f>IFERROR(CT28/$B43,0)</f>
        <v>0</v>
      </c>
      <c r="CU43" s="60">
        <f>IFERROR(CU28/$B43,0)</f>
        <v>0</v>
      </c>
      <c r="CV43" s="60">
        <f>IFERROR(CV28/$B43,0)</f>
        <v>0</v>
      </c>
      <c r="CW43" s="60">
        <f>IFERROR(CW28/$B43,0)</f>
        <v>0</v>
      </c>
      <c r="CX43" s="60">
        <f t="shared" si="157"/>
        <v>0</v>
      </c>
      <c r="CY43" s="60">
        <f t="shared" si="157"/>
        <v>0</v>
      </c>
      <c r="CZ43" s="60">
        <f t="shared" si="157"/>
        <v>0</v>
      </c>
      <c r="DA43" s="60">
        <f>IFERROR(DA28/$B43,0)</f>
        <v>0</v>
      </c>
      <c r="DB43" s="60">
        <f t="shared" si="157"/>
        <v>0</v>
      </c>
      <c r="DC43" s="60">
        <f t="shared" si="157"/>
        <v>0</v>
      </c>
      <c r="DD43" s="15"/>
      <c r="DE43" s="15"/>
      <c r="DF43" s="15"/>
      <c r="DG43" s="15"/>
      <c r="DH43" s="15"/>
      <c r="DI43" s="15"/>
      <c r="DJ43" s="15"/>
      <c r="DK43" s="15"/>
      <c r="DL43" s="15"/>
      <c r="DM43" s="15"/>
      <c r="DN43" s="15"/>
      <c r="DO43" s="15"/>
      <c r="DP43" s="15"/>
      <c r="DQ43" s="15"/>
      <c r="DR43" s="60">
        <f>IFERROR(DR28/$B43,0)</f>
        <v>50422485.961693719</v>
      </c>
      <c r="DS43" s="72">
        <f>IFERROR(s_RadSpec!$H$28*DS28,".")*$B$43</f>
        <v>0</v>
      </c>
      <c r="DT43" s="72">
        <f>IFERROR(s_RadSpec!$G$28*DT28,".")*$B$43</f>
        <v>0</v>
      </c>
      <c r="DU43" s="72">
        <f>IFERROR(s_RadSpec!$L$28*DU28,".")*$B$43</f>
        <v>9.9162108028519887E-14</v>
      </c>
      <c r="DV43" s="71">
        <f>s_b2w!BZ43</f>
        <v>0</v>
      </c>
      <c r="DW43" s="72">
        <f>IFERROR(s_RadSpec!$E$28*DW28,".")*$B$43</f>
        <v>0</v>
      </c>
      <c r="DX43" s="72">
        <f>IFERROR(s_RadSpec!$E$28*DX28,".")*$B$43</f>
        <v>0</v>
      </c>
      <c r="DY43" s="72">
        <f>IFERROR(s_RadSpec!$E$28*DY28,".")*$B$43</f>
        <v>0</v>
      </c>
      <c r="DZ43" s="72">
        <f>IFERROR(s_RadSpec!$E$28*DZ28,".")*$B$43</f>
        <v>0</v>
      </c>
      <c r="EA43" s="72">
        <f>IFERROR(s_RadSpec!$E$28*EA28,".")*$B$43</f>
        <v>0</v>
      </c>
      <c r="EB43" s="72">
        <f>IFERROR(s_RadSpec!$E$28*EB28,".")*$B$43</f>
        <v>0</v>
      </c>
      <c r="EC43" s="72">
        <f>IFERROR(s_RadSpec!$E$28*EC28,".")*$B$43</f>
        <v>0</v>
      </c>
      <c r="ED43" s="72">
        <f>IFERROR(s_RadSpec!$E$28*ED28,".")*$B$43</f>
        <v>0</v>
      </c>
      <c r="EE43" s="72">
        <f>IFERROR(s_RadSpec!$E$28*EE28,".")*$B$43</f>
        <v>0</v>
      </c>
      <c r="EF43" s="72">
        <f>IFERROR(s_RadSpec!$E$28*EF28,".")*$B$43</f>
        <v>0</v>
      </c>
      <c r="EG43" s="49">
        <f t="shared" si="120"/>
        <v>0</v>
      </c>
      <c r="EH43" s="49">
        <f t="shared" si="121"/>
        <v>0</v>
      </c>
      <c r="EI43" s="49">
        <f t="shared" si="122"/>
        <v>9.9162108028519887E-14</v>
      </c>
      <c r="EJ43" s="49">
        <f t="shared" si="123"/>
        <v>0</v>
      </c>
      <c r="EK43" s="49">
        <f t="shared" si="124"/>
        <v>0</v>
      </c>
      <c r="EL43" s="49">
        <f t="shared" si="95"/>
        <v>0</v>
      </c>
      <c r="EM43" s="49">
        <f t="shared" si="96"/>
        <v>0</v>
      </c>
      <c r="EN43" s="49">
        <f t="shared" si="97"/>
        <v>0</v>
      </c>
      <c r="EO43" s="49">
        <f t="shared" si="98"/>
        <v>0</v>
      </c>
      <c r="EP43" s="49">
        <f t="shared" si="99"/>
        <v>0</v>
      </c>
      <c r="EQ43" s="49">
        <f t="shared" si="100"/>
        <v>0</v>
      </c>
      <c r="ER43" s="49">
        <f t="shared" si="101"/>
        <v>0</v>
      </c>
      <c r="ES43" s="49">
        <f t="shared" si="102"/>
        <v>0</v>
      </c>
      <c r="ET43" s="49">
        <f t="shared" si="103"/>
        <v>0</v>
      </c>
      <c r="EU43" s="49">
        <f t="shared" si="104"/>
        <v>9.9162108028519887E-14</v>
      </c>
      <c r="EV43" s="60">
        <f>IFERROR(EV28/$B43,0)</f>
        <v>0</v>
      </c>
      <c r="EW43" s="60">
        <f>IFERROR(EW28/$B43,0)</f>
        <v>43781.475615519434</v>
      </c>
      <c r="EX43" s="60">
        <f>IFERROR(EX28/$B43,0)</f>
        <v>43781.475615519434</v>
      </c>
      <c r="EY43" s="72">
        <f>IFERROR(s_RadSpec!$G$28*EY28,".")*$B$43</f>
        <v>0</v>
      </c>
      <c r="EZ43" s="72">
        <f>IFERROR(s_RadSpec!$J$28*EZ28,".")*$B$43</f>
        <v>1.1420355138116053E-10</v>
      </c>
      <c r="FA43" s="49">
        <f t="shared" si="126"/>
        <v>0</v>
      </c>
      <c r="FB43" s="49">
        <f t="shared" si="126"/>
        <v>1.1420355138116053E-10</v>
      </c>
      <c r="FC43" s="49">
        <f t="shared" si="127"/>
        <v>1.1420355138116053E-10</v>
      </c>
    </row>
    <row r="44" spans="1:159" x14ac:dyDescent="0.25">
      <c r="A44" s="83" t="s">
        <v>1089</v>
      </c>
      <c r="B44" s="42">
        <v>0.99987999999999999</v>
      </c>
      <c r="C44" s="60">
        <f t="shared" ref="C44:M44" si="158">IFERROR(C15/$B44,0)</f>
        <v>260.85958945672814</v>
      </c>
      <c r="D44" s="60">
        <f t="shared" si="158"/>
        <v>1043.4383578269126</v>
      </c>
      <c r="E44" s="60">
        <f t="shared" si="158"/>
        <v>1043.4383578269126</v>
      </c>
      <c r="F44" s="60">
        <f t="shared" si="158"/>
        <v>1043.4383578269126</v>
      </c>
      <c r="G44" s="60">
        <f t="shared" si="158"/>
        <v>1043.4383578269126</v>
      </c>
      <c r="H44" s="60">
        <f t="shared" si="158"/>
        <v>1043.4383578269126</v>
      </c>
      <c r="I44" s="60">
        <f t="shared" si="158"/>
        <v>1043.4383578269126</v>
      </c>
      <c r="J44" s="60">
        <f t="shared" si="158"/>
        <v>1043.4383578269126</v>
      </c>
      <c r="K44" s="60">
        <f t="shared" si="158"/>
        <v>1043.4383578269126</v>
      </c>
      <c r="L44" s="60">
        <f t="shared" si="158"/>
        <v>1043.4383578269126</v>
      </c>
      <c r="M44" s="60">
        <f t="shared" si="158"/>
        <v>1043.4383578269126</v>
      </c>
      <c r="N44" s="71">
        <f>s_dir!BA44</f>
        <v>1.9172000640076809E-8</v>
      </c>
      <c r="O44" s="71">
        <f>IFERROR(s_RadSpec!$E$15*O15,".")*$B$44</f>
        <v>4.7918499089999998E-9</v>
      </c>
      <c r="P44" s="71">
        <f>IFERROR(s_RadSpec!$E$15*P15,".")*$B$44</f>
        <v>4.7918499089999998E-9</v>
      </c>
      <c r="Q44" s="71">
        <f>IFERROR(s_RadSpec!$E$15*Q15,".")*$B$44</f>
        <v>4.7918499089999998E-9</v>
      </c>
      <c r="R44" s="71">
        <f>IFERROR(s_RadSpec!$E$15*R15,".")*$B$44</f>
        <v>4.7918499089999998E-9</v>
      </c>
      <c r="S44" s="71">
        <f>IFERROR(s_RadSpec!$E$15*S15,".")*$B$44</f>
        <v>4.7918499089999998E-9</v>
      </c>
      <c r="T44" s="71">
        <f>IFERROR(s_RadSpec!$E$15*T15,".")*$B$44</f>
        <v>4.7918499089999998E-9</v>
      </c>
      <c r="U44" s="71">
        <f>IFERROR(s_RadSpec!$E$15*U15,".")*$B$44</f>
        <v>4.7918499089999998E-9</v>
      </c>
      <c r="V44" s="71">
        <f>IFERROR(s_RadSpec!$E$15*V15,".")*$B$44</f>
        <v>4.7918499089999998E-9</v>
      </c>
      <c r="W44" s="71">
        <f>IFERROR(s_RadSpec!$E$15*W15,".")*$B$44</f>
        <v>4.7918499089999998E-9</v>
      </c>
      <c r="X44" s="71">
        <f>IFERROR(s_RadSpec!$E$15*X15,".")*$B$44</f>
        <v>4.7918499089999998E-9</v>
      </c>
      <c r="Y44" s="49">
        <f t="shared" si="106"/>
        <v>1.9172000640076809E-8</v>
      </c>
      <c r="Z44" s="49">
        <f t="shared" si="107"/>
        <v>4.7918499089999998E-9</v>
      </c>
      <c r="AA44" s="49">
        <f t="shared" si="108"/>
        <v>4.7918499089999998E-9</v>
      </c>
      <c r="AB44" s="49">
        <f t="shared" si="109"/>
        <v>4.7918499089999998E-9</v>
      </c>
      <c r="AC44" s="49">
        <f t="shared" si="110"/>
        <v>4.7918499089999998E-9</v>
      </c>
      <c r="AD44" s="49">
        <f t="shared" si="72"/>
        <v>4.7918499089999998E-9</v>
      </c>
      <c r="AE44" s="49">
        <f t="shared" si="72"/>
        <v>4.7918499089999998E-9</v>
      </c>
      <c r="AF44" s="49">
        <f t="shared" si="72"/>
        <v>4.7918499089999998E-9</v>
      </c>
      <c r="AG44" s="49">
        <f t="shared" si="72"/>
        <v>4.7918499089999998E-9</v>
      </c>
      <c r="AH44" s="49">
        <f t="shared" si="72"/>
        <v>4.7918499089999998E-9</v>
      </c>
      <c r="AI44" s="49">
        <f t="shared" si="72"/>
        <v>4.7918499089999998E-9</v>
      </c>
      <c r="AJ44" s="60">
        <f t="shared" ref="AJ44:AW44" si="159">IFERROR(AJ15/$B44,0)</f>
        <v>290804.41806892055</v>
      </c>
      <c r="AK44" s="60">
        <f t="shared" si="159"/>
        <v>8173989830.8485861</v>
      </c>
      <c r="AL44" s="60">
        <f t="shared" si="159"/>
        <v>0</v>
      </c>
      <c r="AM44" s="60">
        <f t="shared" si="159"/>
        <v>6719.2888004824044</v>
      </c>
      <c r="AN44" s="60">
        <f>IFERROR(AN15/$B44,0)</f>
        <v>6260.6301469614755</v>
      </c>
      <c r="AO44" s="60">
        <f>IFERROR(AO15/$B44,0)</f>
        <v>16733.481498791043</v>
      </c>
      <c r="AP44" s="60">
        <f>IFERROR(AP15/$B44,0)</f>
        <v>63499.158740149156</v>
      </c>
      <c r="AQ44" s="60">
        <f>IFERROR(AQ15/$B44,0)</f>
        <v>0</v>
      </c>
      <c r="AR44" s="60">
        <f t="shared" si="159"/>
        <v>0</v>
      </c>
      <c r="AS44" s="60">
        <f t="shared" si="159"/>
        <v>0</v>
      </c>
      <c r="AT44" s="60">
        <f t="shared" si="159"/>
        <v>0</v>
      </c>
      <c r="AU44" s="60">
        <f>IFERROR(AU15/$B44,0)</f>
        <v>2010.806693438057</v>
      </c>
      <c r="AV44" s="60">
        <f t="shared" si="159"/>
        <v>1649.7798660779899</v>
      </c>
      <c r="AW44" s="60">
        <f t="shared" si="159"/>
        <v>344.70971887509535</v>
      </c>
      <c r="AX44" s="42"/>
      <c r="AY44" s="42"/>
      <c r="AZ44" s="42"/>
      <c r="BA44" s="42"/>
      <c r="BB44" s="42"/>
      <c r="BC44" s="42"/>
      <c r="BD44" s="42"/>
      <c r="BE44" s="42"/>
      <c r="BF44" s="42"/>
      <c r="BG44" s="42"/>
      <c r="BH44" s="42"/>
      <c r="BI44" s="42"/>
      <c r="BJ44" s="42"/>
      <c r="BK44" s="42"/>
      <c r="BL44" s="60">
        <f>IFERROR(BL15/$B44,0)</f>
        <v>227.68944785533614</v>
      </c>
      <c r="BM44" s="71">
        <f>IFERROR(s_RadSpec!$D$15*BM15,".")*$B$44</f>
        <v>1.7193686509999999E-11</v>
      </c>
      <c r="BN44" s="71">
        <f>IFERROR(s_RadSpec!$G$15*BN15,".")*$B$44</f>
        <v>6.1169638126169814E-16</v>
      </c>
      <c r="BO44" s="71">
        <f>IFERROR(s_RadSpec!$F$15*BO15,".")*$B$44</f>
        <v>0</v>
      </c>
      <c r="BP44" s="71">
        <f>s_b2s!BZ44</f>
        <v>7.4430499484938181E-10</v>
      </c>
      <c r="BQ44" s="71">
        <f>IFERROR(s_RadSpec!$E$15*BQ15,".")*$B$44</f>
        <v>7.9864165150000007E-10</v>
      </c>
      <c r="BR44" s="71">
        <f>IFERROR(s_RadSpec!$E$15*BR15,".")*$B$44</f>
        <v>2.9880213513017237E-10</v>
      </c>
      <c r="BS44" s="71">
        <f>IFERROR(s_RadSpec!$E$15*BS15,".")*$B$44</f>
        <v>7.8741200658436555E-11</v>
      </c>
      <c r="BT44" s="71">
        <f>IFERROR(s_RadSpec!$E$15*BT15,".")*$B$44</f>
        <v>0</v>
      </c>
      <c r="BU44" s="71">
        <f>IFERROR(s_RadSpec!$E$15*BU15,".")*$B$44</f>
        <v>0</v>
      </c>
      <c r="BV44" s="71">
        <f>IFERROR(s_RadSpec!$E$15*BV15,".")*$B$44</f>
        <v>0</v>
      </c>
      <c r="BW44" s="71">
        <f>IFERROR(s_RadSpec!$E$15*BW15,".")*$B$44</f>
        <v>0</v>
      </c>
      <c r="BX44" s="71">
        <f>IFERROR(s_RadSpec!$E$15*BX15,".")*$B$44</f>
        <v>2.4865642313190493E-9</v>
      </c>
      <c r="BY44" s="71">
        <f>IFERROR(s_RadSpec!$E$15*BY15,".")*$B$44</f>
        <v>3.0307073706060345E-9</v>
      </c>
      <c r="BZ44" s="71">
        <f>IFERROR(s_RadSpec!$E$15*BZ15,".")*$B$44</f>
        <v>1.4504958016027787E-8</v>
      </c>
      <c r="CA44" s="49">
        <f t="shared" si="113"/>
        <v>1.7193686509999999E-11</v>
      </c>
      <c r="CB44" s="49">
        <f t="shared" si="114"/>
        <v>6.1169638126169814E-16</v>
      </c>
      <c r="CC44" s="49">
        <f t="shared" si="115"/>
        <v>0</v>
      </c>
      <c r="CD44" s="49">
        <f t="shared" si="116"/>
        <v>7.4430499484938181E-10</v>
      </c>
      <c r="CE44" s="49">
        <f t="shared" si="117"/>
        <v>7.9864165150000007E-10</v>
      </c>
      <c r="CF44" s="49">
        <f t="shared" si="79"/>
        <v>2.9880213513017237E-10</v>
      </c>
      <c r="CG44" s="49">
        <f t="shared" si="80"/>
        <v>7.8741200658436555E-11</v>
      </c>
      <c r="CH44" s="49">
        <f t="shared" si="81"/>
        <v>0</v>
      </c>
      <c r="CI44" s="49">
        <f t="shared" si="82"/>
        <v>0</v>
      </c>
      <c r="CJ44" s="49">
        <f t="shared" si="83"/>
        <v>0</v>
      </c>
      <c r="CK44" s="49">
        <f t="shared" si="84"/>
        <v>0</v>
      </c>
      <c r="CL44" s="49">
        <f t="shared" si="85"/>
        <v>2.4865642313190493E-9</v>
      </c>
      <c r="CM44" s="49">
        <f t="shared" si="86"/>
        <v>3.0307073706060345E-9</v>
      </c>
      <c r="CN44" s="49">
        <f t="shared" si="87"/>
        <v>1.4504958016027787E-8</v>
      </c>
      <c r="CO44" s="49">
        <f t="shared" si="88"/>
        <v>2.1959913898297242E-8</v>
      </c>
      <c r="CP44" s="60">
        <f t="shared" ref="CP44:DC44" si="160">IFERROR(CP15/$B44,0)</f>
        <v>8304.2306173598045</v>
      </c>
      <c r="CQ44" s="60">
        <f t="shared" si="160"/>
        <v>0</v>
      </c>
      <c r="CR44" s="60">
        <f t="shared" si="160"/>
        <v>9426217702.2458782</v>
      </c>
      <c r="CS44" s="60">
        <f t="shared" si="160"/>
        <v>15593.809279555</v>
      </c>
      <c r="CT44" s="60">
        <f>IFERROR(CT15/$B44,0)</f>
        <v>41737.534313076503</v>
      </c>
      <c r="CU44" s="60">
        <f>IFERROR(CU15/$B44,0)</f>
        <v>298125245.09340358</v>
      </c>
      <c r="CV44" s="60">
        <f>IFERROR(CV15/$B44,0)</f>
        <v>1131306851.1175997</v>
      </c>
      <c r="CW44" s="60">
        <f>IFERROR(CW15/$B44,0)</f>
        <v>0</v>
      </c>
      <c r="CX44" s="60">
        <f t="shared" si="160"/>
        <v>0</v>
      </c>
      <c r="CY44" s="60">
        <f t="shared" si="160"/>
        <v>0</v>
      </c>
      <c r="CZ44" s="60">
        <f t="shared" si="160"/>
        <v>0</v>
      </c>
      <c r="DA44" s="60">
        <f>IFERROR(DA15/$B44,0)</f>
        <v>35824716.952057332</v>
      </c>
      <c r="DB44" s="60">
        <f t="shared" si="160"/>
        <v>29392629.797941197</v>
      </c>
      <c r="DC44" s="60">
        <f t="shared" si="160"/>
        <v>6141380.0489241127</v>
      </c>
      <c r="DD44" s="15"/>
      <c r="DE44" s="15"/>
      <c r="DF44" s="15"/>
      <c r="DG44" s="15"/>
      <c r="DH44" s="15"/>
      <c r="DI44" s="15"/>
      <c r="DJ44" s="15"/>
      <c r="DK44" s="15"/>
      <c r="DL44" s="15"/>
      <c r="DM44" s="15"/>
      <c r="DN44" s="15"/>
      <c r="DO44" s="15"/>
      <c r="DP44" s="15"/>
      <c r="DQ44" s="15"/>
      <c r="DR44" s="60">
        <f>IFERROR(DR15/$B44,0)</f>
        <v>4790.7193403324545</v>
      </c>
      <c r="DS44" s="71">
        <f>IFERROR(s_RadSpec!$H$15*DS15,".")*$B$44</f>
        <v>6.0210273900000008E-10</v>
      </c>
      <c r="DT44" s="71">
        <f>IFERROR(s_RadSpec!$G$15*DT15,".")*$B$44</f>
        <v>9.4752951197916662E-11</v>
      </c>
      <c r="DU44" s="71">
        <f>IFERROR(s_RadSpec!$L$15*DU15,".")*$B$44</f>
        <v>5.3043544695649321E-16</v>
      </c>
      <c r="DV44" s="71">
        <f>s_b2w!BZ44</f>
        <v>3.2071703112283322E-10</v>
      </c>
      <c r="DW44" s="71">
        <f>IFERROR(s_RadSpec!$E$15*DW15,".")*$B$44</f>
        <v>1.19796247725E-10</v>
      </c>
      <c r="DX44" s="71">
        <f>IFERROR(s_RadSpec!$E$15*DX15,".")*$B$44</f>
        <v>1.67714746815E-14</v>
      </c>
      <c r="DY44" s="71">
        <f>IFERROR(s_RadSpec!$E$15*DY15,".")*$B$44</f>
        <v>4.4196673917961163E-15</v>
      </c>
      <c r="DZ44" s="71">
        <f>IFERROR(s_RadSpec!$E$15*DZ15,".")*$B$44</f>
        <v>0</v>
      </c>
      <c r="EA44" s="71">
        <f>IFERROR(s_RadSpec!$E$15*EA15,".")*$B$44</f>
        <v>0</v>
      </c>
      <c r="EB44" s="71">
        <f>IFERROR(s_RadSpec!$E$15*EB15,".")*$B$44</f>
        <v>0</v>
      </c>
      <c r="EC44" s="71">
        <f>IFERROR(s_RadSpec!$E$15*EC15,".")*$B$44</f>
        <v>0</v>
      </c>
      <c r="ED44" s="71">
        <f>IFERROR(s_RadSpec!$E$15*ED15,".")*$B$44</f>
        <v>1.3956844395145631E-13</v>
      </c>
      <c r="EE44" s="71">
        <f>IFERROR(s_RadSpec!$E$15*EE15,".")*$B$44</f>
        <v>1.7011067176949999E-13</v>
      </c>
      <c r="EF44" s="71">
        <f>IFERROR(s_RadSpec!$E$15*EF15,".")*$B$44</f>
        <v>8.1414925638349525E-13</v>
      </c>
      <c r="EG44" s="49">
        <f t="shared" si="120"/>
        <v>6.0210273900000008E-10</v>
      </c>
      <c r="EH44" s="49">
        <f t="shared" si="121"/>
        <v>9.4752951197916662E-11</v>
      </c>
      <c r="EI44" s="49">
        <f t="shared" si="122"/>
        <v>5.3043544695649321E-16</v>
      </c>
      <c r="EJ44" s="49">
        <f t="shared" si="123"/>
        <v>3.2071703112283322E-10</v>
      </c>
      <c r="EK44" s="49">
        <f t="shared" si="124"/>
        <v>1.19796247725E-10</v>
      </c>
      <c r="EL44" s="49">
        <f t="shared" si="95"/>
        <v>1.67714746815E-14</v>
      </c>
      <c r="EM44" s="49">
        <f t="shared" si="96"/>
        <v>4.4196673917961163E-15</v>
      </c>
      <c r="EN44" s="49">
        <f t="shared" si="97"/>
        <v>0</v>
      </c>
      <c r="EO44" s="49">
        <f t="shared" si="98"/>
        <v>0</v>
      </c>
      <c r="EP44" s="49">
        <f t="shared" si="99"/>
        <v>0</v>
      </c>
      <c r="EQ44" s="49">
        <f t="shared" si="100"/>
        <v>0</v>
      </c>
      <c r="ER44" s="49">
        <f t="shared" si="101"/>
        <v>1.3956844395145631E-13</v>
      </c>
      <c r="ES44" s="49">
        <f t="shared" si="102"/>
        <v>1.7011067176949999E-13</v>
      </c>
      <c r="ET44" s="49">
        <f t="shared" si="103"/>
        <v>8.1414925638349525E-13</v>
      </c>
      <c r="EU44" s="49">
        <f t="shared" si="104"/>
        <v>1.1385145189953746E-9</v>
      </c>
      <c r="EV44" s="60">
        <f>IFERROR(EV15/$B44,0)</f>
        <v>26384.402473946033</v>
      </c>
      <c r="EW44" s="60">
        <f>IFERROR(EW15/$B44,0)</f>
        <v>5139225.5417724084</v>
      </c>
      <c r="EX44" s="60">
        <f>IFERROR(EX15/$B44,0)</f>
        <v>26249.63877683751</v>
      </c>
      <c r="EY44" s="71">
        <f>IFERROR(s_RadSpec!$G$15*EY15,".")*$B$44</f>
        <v>1.8950590239583332E-10</v>
      </c>
      <c r="EZ44" s="71">
        <f>IFERROR(s_RadSpec!$J$15*EZ15,".")*$B$44</f>
        <v>9.7290923687999976E-13</v>
      </c>
      <c r="FA44" s="49">
        <f t="shared" si="126"/>
        <v>1.8950590239583332E-10</v>
      </c>
      <c r="FB44" s="49">
        <f t="shared" si="126"/>
        <v>9.7290923687999976E-13</v>
      </c>
      <c r="FC44" s="49">
        <f t="shared" si="127"/>
        <v>1.9047881163271334E-10</v>
      </c>
    </row>
    <row r="45" spans="1:159" x14ac:dyDescent="0.25">
      <c r="A45" s="82" t="s">
        <v>20</v>
      </c>
      <c r="B45" s="82" t="s">
        <v>1074</v>
      </c>
      <c r="C45" s="58">
        <f>IFERROR(IF(AND(C46&lt;&gt;0,C47&lt;&gt;0),1/SUM(1/C46,1/C47),IF(AND(C46&lt;&gt;0,C47=0),1/(1/C46),IF(AND(C46=0,C47&lt;&gt;0),1/(1/C47),IF(AND(C46=0,C47=0),".")))),".")</f>
        <v>2.4326757000024322</v>
      </c>
      <c r="D45" s="58">
        <f t="shared" ref="D45:M45" si="161">IFERROR(IF(AND(D46&lt;&gt;0,D47&lt;&gt;0),1/SUM(1/D46,1/D47),IF(AND(D46&lt;&gt;0,D47=0),1/(1/D46),IF(AND(D46=0,D47&lt;&gt;0),1/(1/D47),IF(AND(D46=0,D47=0),".")))),".")</f>
        <v>9.7307028000097286</v>
      </c>
      <c r="E45" s="58">
        <f t="shared" si="161"/>
        <v>9.7307028000097286</v>
      </c>
      <c r="F45" s="58">
        <f t="shared" si="161"/>
        <v>9.7307028000097286</v>
      </c>
      <c r="G45" s="58">
        <f t="shared" si="161"/>
        <v>9.7307028000097286</v>
      </c>
      <c r="H45" s="58">
        <f t="shared" si="161"/>
        <v>9.7307028000097286</v>
      </c>
      <c r="I45" s="58">
        <f t="shared" si="161"/>
        <v>9.7307028000097286</v>
      </c>
      <c r="J45" s="58">
        <f t="shared" si="161"/>
        <v>9.7307028000097286</v>
      </c>
      <c r="K45" s="58">
        <f t="shared" si="161"/>
        <v>9.7307028000097286</v>
      </c>
      <c r="L45" s="58">
        <f t="shared" si="161"/>
        <v>9.7307028000097286</v>
      </c>
      <c r="M45" s="58">
        <f t="shared" si="161"/>
        <v>9.7307028000097286</v>
      </c>
      <c r="N45" s="73"/>
      <c r="O45" s="70"/>
      <c r="P45" s="70"/>
      <c r="Q45" s="70"/>
      <c r="R45" s="70"/>
      <c r="S45" s="70"/>
      <c r="T45" s="70"/>
      <c r="U45" s="70"/>
      <c r="V45" s="70"/>
      <c r="W45" s="70"/>
      <c r="X45" s="70"/>
      <c r="Y45" s="47">
        <f>IFERROR(IF(SUM(N46:N47)&gt;0.01,1-EXP(-SUM(N46:N47)),SUM(N46:N47)),".")</f>
        <v>2.0553500000000002E-6</v>
      </c>
      <c r="Z45" s="47">
        <f t="shared" ref="Z45:AI45" si="162">IFERROR(IF(SUM(O46:O47)&gt;0.01,1-EXP(-SUM(O46:O47)),SUM(O46:O47)),".")</f>
        <v>5.1383750000000004E-7</v>
      </c>
      <c r="AA45" s="47">
        <f t="shared" si="162"/>
        <v>5.1383750000000004E-7</v>
      </c>
      <c r="AB45" s="47">
        <f t="shared" si="162"/>
        <v>5.1383750000000004E-7</v>
      </c>
      <c r="AC45" s="47">
        <f t="shared" si="162"/>
        <v>5.1383750000000004E-7</v>
      </c>
      <c r="AD45" s="47">
        <f t="shared" si="162"/>
        <v>5.1383750000000004E-7</v>
      </c>
      <c r="AE45" s="47">
        <f t="shared" si="162"/>
        <v>5.1383750000000004E-7</v>
      </c>
      <c r="AF45" s="47">
        <f t="shared" si="162"/>
        <v>5.1383750000000004E-7</v>
      </c>
      <c r="AG45" s="47">
        <f t="shared" si="162"/>
        <v>5.1383750000000004E-7</v>
      </c>
      <c r="AH45" s="47">
        <f t="shared" si="162"/>
        <v>5.1383750000000004E-7</v>
      </c>
      <c r="AI45" s="47">
        <f t="shared" si="162"/>
        <v>5.1383750000000004E-7</v>
      </c>
      <c r="AJ45" s="58">
        <f t="shared" ref="AJ45:AW45" si="163">IFERROR(IF(AND(AJ46&lt;&gt;0,AJ47&lt;&gt;0),1/SUM(1/AJ46,1/AJ47),IF(AND(AJ46&lt;&gt;0,AJ47=0),1/(1/AJ46),IF(AND(AJ46=0,AJ47&lt;&gt;0),1/(1/AJ47),IF(AND(AJ46=0,AJ47=0),".")))),".")</f>
        <v>4273.0477513086207</v>
      </c>
      <c r="AK45" s="58">
        <f t="shared" si="163"/>
        <v>15109312.602179976</v>
      </c>
      <c r="AL45" s="58">
        <f>IFERROR(IF(AND(AL46&lt;&gt;0,AL47&lt;&gt;0),1/SUM(1/AL46,1/AL47),IF(AND(AL46&lt;&gt;0,AL47=0),1/(1/AL46),IF(AND(AL46=0,AL47&lt;&gt;0),1/(1/AL47),IF(AND(AL46=0,AL47=0),".")))),".")</f>
        <v>38.36313129644698</v>
      </c>
      <c r="AM45" s="58">
        <f t="shared" si="163"/>
        <v>65.075254464052222</v>
      </c>
      <c r="AN45" s="58">
        <f>IFERROR(IF(AND(AN46&lt;&gt;0,AN47&lt;&gt;0),1/SUM(1/AN46,1/AN47),IF(AND(AN46&lt;&gt;0,AN47=0),1/(1/AN46),IF(AND(AN46=0,AN47&lt;&gt;0),1/(1/AN47),IF(AND(AN46=0,AN47=0),".")))),".")</f>
        <v>3.8922811200038918E-2</v>
      </c>
      <c r="AO45" s="58">
        <f>IFERROR(IF(AND(AO46&lt;&gt;0,AO47&lt;&gt;0),1/SUM(1/AO46,1/AO47),IF(AND(AO46&lt;&gt;0,AO47=0),1/(1/AO46),IF(AND(AO46=0,AO47&lt;&gt;0),1/(1/AO47),IF(AND(AO46=0,AO47=0),".")))),".")</f>
        <v>4.8251418843023446</v>
      </c>
      <c r="AP45" s="58">
        <f>IFERROR(IF(AND(AP46&lt;&gt;0,AP47&lt;&gt;0),1/SUM(1/AP46,1/AP47),IF(AND(AP46&lt;&gt;0,AP47=0),1/(1/AP46),IF(AND(AP46=0,AP47&lt;&gt;0),1/(1/AP47),IF(AND(AP46=0,AP47=0),".")))),".")</f>
        <v>23.769068499628506</v>
      </c>
      <c r="AQ45" s="58">
        <f>IFERROR(IF(AND(AQ46&lt;&gt;0,AQ47&lt;&gt;0),1/SUM(1/AQ46,1/AQ47),IF(AND(AQ46&lt;&gt;0,AQ47=0),1/(1/AQ46),IF(AND(AQ46=0,AQ47&lt;&gt;0),1/(1/AQ47),IF(AND(AQ46=0,AQ47=0),".")))),".")</f>
        <v>0.53076560727325783</v>
      </c>
      <c r="AR45" s="58">
        <f t="shared" si="163"/>
        <v>3.9315970909130214E-2</v>
      </c>
      <c r="AS45" s="58">
        <f t="shared" si="163"/>
        <v>0.26538280363662892</v>
      </c>
      <c r="AT45" s="58">
        <f t="shared" si="163"/>
        <v>0.33172850454578617</v>
      </c>
      <c r="AU45" s="58">
        <f>IFERROR(IF(AND(AU46&lt;&gt;0,AU47&lt;&gt;0),1/SUM(1/AU46,1/AU47),IF(AND(AU46&lt;&gt;0,AU47=0),1/(1/AU46),IF(AND(AU46=0,AU47&lt;&gt;0),1/(1/AU47),IF(AND(AU46=0,AU47=0),".")))),".")</f>
        <v>0.99397922816628292</v>
      </c>
      <c r="AV45" s="58">
        <f t="shared" si="163"/>
        <v>0.55870063923500835</v>
      </c>
      <c r="AW45" s="58">
        <f t="shared" si="163"/>
        <v>1.8851330189360538</v>
      </c>
      <c r="AX45" s="42"/>
      <c r="AY45" s="42"/>
      <c r="AZ45" s="42"/>
      <c r="BA45" s="42"/>
      <c r="BB45" s="42"/>
      <c r="BC45" s="42"/>
      <c r="BD45" s="42"/>
      <c r="BE45" s="42"/>
      <c r="BF45" s="42"/>
      <c r="BG45" s="42"/>
      <c r="BH45" s="42"/>
      <c r="BI45" s="42"/>
      <c r="BJ45" s="42"/>
      <c r="BK45" s="42"/>
      <c r="BL45" s="59">
        <f t="shared" ref="BL45" si="164">IFERROR(IF(AND(BL46&lt;&gt;0,BL47&lt;&gt;0),1/SUM(1/BL46,1/BL47),IF(AND(BL46&lt;&gt;0,BL47=0),1/(1/BL46),IF(AND(BL46=0,BL47&lt;&gt;0),1/(1/BL47),IF(AND(BL46=0,BL47=0),".")))),".")</f>
        <v>1.5770150672877747E-2</v>
      </c>
      <c r="BM45" s="70"/>
      <c r="BN45" s="70"/>
      <c r="BO45" s="70"/>
      <c r="BP45" s="73"/>
      <c r="BQ45" s="70"/>
      <c r="BR45" s="70"/>
      <c r="BS45" s="70"/>
      <c r="BT45" s="70"/>
      <c r="BU45" s="70"/>
      <c r="BV45" s="70"/>
      <c r="BW45" s="70"/>
      <c r="BX45" s="70"/>
      <c r="BY45" s="70"/>
      <c r="BZ45" s="70"/>
      <c r="CA45" s="47">
        <f t="shared" ref="CA45:CN45" si="165">IFERROR(IF(SUM(BM46:BM47)&gt;0.01,1-EXP(-SUM(BM46:BM47)),SUM(BM46:BM47)),".")</f>
        <v>1.170125E-9</v>
      </c>
      <c r="CB45" s="47">
        <f t="shared" si="165"/>
        <v>3.3092173890681153E-13</v>
      </c>
      <c r="CC45" s="47">
        <f t="shared" si="165"/>
        <v>1.3033346942831744E-7</v>
      </c>
      <c r="CD45" s="47">
        <f t="shared" si="165"/>
        <v>7.6834121375000015E-8</v>
      </c>
      <c r="CE45" s="47">
        <f t="shared" si="165"/>
        <v>1.28459375E-4</v>
      </c>
      <c r="CF45" s="47">
        <f t="shared" si="165"/>
        <v>1.0362389583333335E-6</v>
      </c>
      <c r="CG45" s="47">
        <f t="shared" si="165"/>
        <v>2.1035742313915857E-7</v>
      </c>
      <c r="CH45" s="47">
        <f t="shared" si="165"/>
        <v>9.4203541666666679E-6</v>
      </c>
      <c r="CI45" s="47">
        <f t="shared" si="165"/>
        <v>1.2717478125000002E-4</v>
      </c>
      <c r="CJ45" s="47">
        <f t="shared" si="165"/>
        <v>1.8840708333333336E-5</v>
      </c>
      <c r="CK45" s="47">
        <f t="shared" si="165"/>
        <v>1.5072566666666669E-5</v>
      </c>
      <c r="CL45" s="47">
        <f t="shared" si="165"/>
        <v>5.0302862055016186E-6</v>
      </c>
      <c r="CM45" s="47">
        <f t="shared" si="165"/>
        <v>8.9493364583333353E-6</v>
      </c>
      <c r="CN45" s="47">
        <f t="shared" si="165"/>
        <v>2.652332726537217E-6</v>
      </c>
      <c r="CO45" s="47">
        <f>IFERROR(IF(SUM(BM46:BZ47)&gt;0.01,1-EXP(-SUM(BM46:BZ47)),SUM(BM46:BZ47)),".")</f>
        <v>3.1705467523523637E-4</v>
      </c>
      <c r="CP45" s="59">
        <f t="shared" ref="CP45" si="166">IFERROR(IF(AND(CP46&lt;&gt;0,CP47&lt;&gt;0),1/SUM(1/CP46,1/CP47),IF(AND(CP46&lt;&gt;0,CP47=0),1/(1/CP46),IF(AND(CP46=0,CP47&lt;&gt;0),1/(1/CP47),IF(AND(CP46=0,CP47=0),".")))),".")</f>
        <v>65.599580162686948</v>
      </c>
      <c r="CQ45" s="59" t="str">
        <f t="shared" ref="CQ45" si="167">IFERROR(IF(AND(CQ46&lt;&gt;0,CQ47&lt;&gt;0),1/SUM(1/CQ46,1/CQ47),IF(AND(CQ46&lt;&gt;0,CQ47=0),1/(1/CQ46),IF(AND(CQ46=0,CQ47&lt;&gt;0),1/(1/CQ47),IF(AND(CQ46=0,CQ47=0),".")))),".")</f>
        <v>.</v>
      </c>
      <c r="CR45" s="59">
        <f t="shared" ref="CR45" si="168">IFERROR(IF(AND(CR46&lt;&gt;0,CR47&lt;&gt;0),1/SUM(1/CR46,1/CR47),IF(AND(CR46&lt;&gt;0,CR47=0),1/(1/CR46),IF(AND(CR46=0,CR47&lt;&gt;0),1/(1/CR47),IF(AND(CR46=0,CR47=0),".")))),".")</f>
        <v>4243619.8704233496</v>
      </c>
      <c r="CS45" s="59">
        <f t="shared" ref="CS45" si="169">IFERROR(IF(AND(CS46&lt;&gt;0,CS47&lt;&gt;0),1/SUM(1/CS46,1/CS47),IF(AND(CS46&lt;&gt;0,CS47=0),1/(1/CS46),IF(AND(CS46=0,CS47&lt;&gt;0),1/(1/CS47),IF(AND(CS46=0,CS47=0),".")))),".")</f>
        <v>147.95247322402815</v>
      </c>
      <c r="CT45" s="59">
        <f t="shared" ref="CT45" si="170">IFERROR(IF(AND(CT46&lt;&gt;0,CT47&lt;&gt;0),1/SUM(1/CT46,1/CT47),IF(AND(CT46&lt;&gt;0,CT47=0),1/(1/CT46),IF(AND(CT46=0,CT47&lt;&gt;0),1/(1/CT47),IF(AND(CT46=0,CT47=0),".")))),".")</f>
        <v>3.8922811200038909</v>
      </c>
      <c r="CU45" s="59">
        <f t="shared" ref="CU45" si="171">IFERROR(IF(AND(CU46&lt;&gt;0,CU47&lt;&gt;0),1/SUM(1/CU46,1/CU47),IF(AND(CU46&lt;&gt;0,CU47=0),1/(1/CU46),IF(AND(CU46=0,CU47&lt;&gt;0),1/(1/CU47),IF(AND(CU46=0,CU47=0),".")))),".")</f>
        <v>88460.934545543001</v>
      </c>
      <c r="CV45" s="59">
        <f t="shared" ref="CV45" si="172">IFERROR(IF(AND(CV46&lt;&gt;0,CV47&lt;&gt;0),1/SUM(1/CV46,1/CV47),IF(AND(CV46&lt;&gt;0,CV47=0),1/(1/CV46),IF(AND(CV46=0,CV47&lt;&gt;0),1/(1/CV47),IF(AND(CV46=0,CV47=0),".")))),".")</f>
        <v>435766.25582652254</v>
      </c>
      <c r="CW45" s="59">
        <f t="shared" ref="CW45" si="173">IFERROR(IF(AND(CW46&lt;&gt;0,CW47&lt;&gt;0),1/SUM(1/CW46,1/CW47),IF(AND(CW46&lt;&gt;0,CW47=0),1/(1/CW46),IF(AND(CW46=0,CW47&lt;&gt;0),1/(1/CW47),IF(AND(CW46=0,CW47=0),".")))),".")</f>
        <v>9730.7028000097289</v>
      </c>
      <c r="CX45" s="59">
        <f t="shared" ref="CX45" si="174">IFERROR(IF(AND(CX46&lt;&gt;0,CX47&lt;&gt;0),1/SUM(1/CX46,1/CX47),IF(AND(CX46&lt;&gt;0,CX47=0),1/(1/CX46),IF(AND(CX46=0,CX47&lt;&gt;0),1/(1/CX47),IF(AND(CX46=0,CX47=0),".")))),".")</f>
        <v>720.7928000007206</v>
      </c>
      <c r="CY45" s="59">
        <f t="shared" ref="CY45" si="175">IFERROR(IF(AND(CY46&lt;&gt;0,CY47&lt;&gt;0),1/SUM(1/CY46,1/CY47),IF(AND(CY46&lt;&gt;0,CY47=0),1/(1/CY46),IF(AND(CY46=0,CY47&lt;&gt;0),1/(1/CY47),IF(AND(CY46=0,CY47=0),".")))),".")</f>
        <v>4865.3514000048644</v>
      </c>
      <c r="CZ45" s="59">
        <f t="shared" ref="CZ45" si="176">IFERROR(IF(AND(CZ46&lt;&gt;0,CZ47&lt;&gt;0),1/SUM(1/CZ46,1/CZ47),IF(AND(CZ46&lt;&gt;0,CZ47=0),1/(1/CZ46),IF(AND(CZ46=0,CZ47&lt;&gt;0),1/(1/CZ47),IF(AND(CZ46=0,CZ47=0),".")))),".")</f>
        <v>6081.6892500060803</v>
      </c>
      <c r="DA45" s="59">
        <f t="shared" ref="DA45" si="177">IFERROR(IF(AND(DA46&lt;&gt;0,DA47&lt;&gt;0),1/SUM(1/DA46,1/DA47),IF(AND(DA46&lt;&gt;0,DA47=0),1/(1/DA46),IF(AND(DA46=0,DA47&lt;&gt;0),1/(1/DA47),IF(AND(DA46=0,DA47=0),".")))),".")</f>
        <v>18222.952516381854</v>
      </c>
      <c r="DB45" s="59">
        <f t="shared" ref="DB45" si="178">IFERROR(IF(AND(DB46&lt;&gt;0,DB47&lt;&gt;0),1/SUM(1/DB46,1/DB47),IF(AND(DB46&lt;&gt;0,DB47=0),1/(1/DB46),IF(AND(DB46=0,DB47&lt;&gt;0),1/(1/DB47),IF(AND(DB46=0,DB47=0),".")))),".")</f>
        <v>10242.84505264182</v>
      </c>
      <c r="DC45" s="59">
        <f t="shared" ref="DC45" si="179">IFERROR(IF(AND(DC46&lt;&gt;0,DC47&lt;&gt;0),1/SUM(1/DC46,1/DC47),IF(AND(DC46&lt;&gt;0,DC47=0),1/(1/DC46),IF(AND(DC46=0,DC47&lt;&gt;0),1/(1/DC47),IF(AND(DC46=0,DC47=0),".")))),".")</f>
        <v>34560.772013827649</v>
      </c>
      <c r="DD45" s="15"/>
      <c r="DE45" s="15"/>
      <c r="DF45" s="15"/>
      <c r="DG45" s="15"/>
      <c r="DH45" s="15"/>
      <c r="DI45" s="15"/>
      <c r="DJ45" s="15"/>
      <c r="DK45" s="15"/>
      <c r="DL45" s="15"/>
      <c r="DM45" s="15"/>
      <c r="DN45" s="15"/>
      <c r="DO45" s="15"/>
      <c r="DP45" s="15"/>
      <c r="DQ45" s="15"/>
      <c r="DR45" s="59">
        <f>IFERROR(IF(AND(DR46&lt;&gt;0,DR47&lt;&gt;0),1/SUM(1/DR46,1/DR47),IF(AND(DR46&lt;&gt;0,DR47=0),1/(1/DR46),IF(AND(DR46=0,DR47&lt;&gt;0),1/(1/DR47),IF(AND(DR46=0,DR47=0),".")))),".")</f>
        <v>3.5590096186887101</v>
      </c>
      <c r="DS45" s="70"/>
      <c r="DT45" s="70"/>
      <c r="DU45" s="70"/>
      <c r="DV45" s="73"/>
      <c r="DW45" s="70"/>
      <c r="DX45" s="70"/>
      <c r="DY45" s="70"/>
      <c r="DZ45" s="70"/>
      <c r="EA45" s="70"/>
      <c r="EB45" s="70"/>
      <c r="EC45" s="70"/>
      <c r="ED45" s="70"/>
      <c r="EE45" s="70"/>
      <c r="EF45" s="70"/>
      <c r="EG45" s="47">
        <f t="shared" ref="EG45:ET45" si="180">IFERROR(IF(SUM(DS46:DS47)&gt;0.01,1-EXP(-SUM(DS46:DS47)),SUM(DS46:DS47)),".")</f>
        <v>7.621999999999999E-8</v>
      </c>
      <c r="EH45" s="47">
        <f t="shared" si="180"/>
        <v>5.1260416666666662E-8</v>
      </c>
      <c r="EI45" s="47">
        <f t="shared" si="180"/>
        <v>1.178239369376219E-12</v>
      </c>
      <c r="EJ45" s="47">
        <f t="shared" si="180"/>
        <v>3.3794636149333234E-8</v>
      </c>
      <c r="EK45" s="47">
        <f t="shared" si="180"/>
        <v>1.2845937500000001E-6</v>
      </c>
      <c r="EL45" s="47">
        <f t="shared" si="180"/>
        <v>5.6522125000000001E-11</v>
      </c>
      <c r="EM45" s="47">
        <f t="shared" si="180"/>
        <v>1.1474041262135924E-11</v>
      </c>
      <c r="EN45" s="47">
        <f t="shared" si="180"/>
        <v>5.1383749999999998E-10</v>
      </c>
      <c r="EO45" s="47">
        <f t="shared" si="180"/>
        <v>6.9368062500000006E-9</v>
      </c>
      <c r="EP45" s="47">
        <f t="shared" si="180"/>
        <v>1.027675E-9</v>
      </c>
      <c r="EQ45" s="47">
        <f t="shared" si="180"/>
        <v>8.2214000000000002E-10</v>
      </c>
      <c r="ER45" s="47">
        <f t="shared" si="180"/>
        <v>2.7437924757281557E-10</v>
      </c>
      <c r="ES45" s="47">
        <f t="shared" si="180"/>
        <v>4.8814562500000007E-10</v>
      </c>
      <c r="ET45" s="47">
        <f t="shared" si="180"/>
        <v>1.446726941747573E-10</v>
      </c>
      <c r="EU45" s="47">
        <f>IFERROR(IF(SUM(DS46:EF47)&gt;0.01,1-EXP(-SUM(DS46:EF47)),SUM(DS46:EF47)),".")</f>
        <v>1.4561456335383792E-6</v>
      </c>
      <c r="EV45" s="59">
        <f t="shared" ref="EV45:EX45" si="181">IFERROR(IF(AND(EV46&lt;&gt;0,EV47&lt;&gt;0),1/SUM(1/EV46,1/EV47),IF(AND(EV46&lt;&gt;0,EV47=0),1/(1/EV46),IF(AND(EV46=0,EV47&lt;&gt;0),1/(1/EV47),IF(AND(EV46=0,EV47=0),".")))),".")</f>
        <v>48.770575086364566</v>
      </c>
      <c r="EW45" s="59">
        <f t="shared" si="181"/>
        <v>3676.8957129723635</v>
      </c>
      <c r="EX45" s="59">
        <f t="shared" si="181"/>
        <v>48.132147269606428</v>
      </c>
      <c r="EY45" s="70"/>
      <c r="EZ45" s="70"/>
      <c r="FA45" s="47">
        <f>IFERROR(IF(SUM(EY46:EY47)&gt;0.01,1-EXP(-SUM(EY46:EY47)),SUM(EY46:EY47)),".")</f>
        <v>1.0252083333333332E-7</v>
      </c>
      <c r="FB45" s="47">
        <f>IFERROR(IF(SUM(EZ46:EZ47)&gt;0.01,1-EXP(-SUM(EZ46:EZ47)),SUM(EZ46:EZ47)),".")</f>
        <v>1.3598427560399996E-9</v>
      </c>
      <c r="FC45" s="47">
        <f t="shared" ref="FC45" si="182">IFERROR(IF(SUM(FA46:FA47)&gt;0.01,1-EXP(-SUM(FA46:FA47)),SUM(FA46:FA47)),".")</f>
        <v>1.0252083333333332E-7</v>
      </c>
    </row>
    <row r="46" spans="1:159" x14ac:dyDescent="0.25">
      <c r="A46" s="83" t="s">
        <v>1101</v>
      </c>
      <c r="B46" s="42">
        <v>1</v>
      </c>
      <c r="C46" s="60">
        <f t="shared" ref="C46:M46" si="183">IFERROR(C10/$B46,0)</f>
        <v>2.4326757000024322</v>
      </c>
      <c r="D46" s="60">
        <f t="shared" si="183"/>
        <v>9.7307028000097286</v>
      </c>
      <c r="E46" s="60">
        <f t="shared" si="183"/>
        <v>9.7307028000097286</v>
      </c>
      <c r="F46" s="60">
        <f t="shared" si="183"/>
        <v>9.7307028000097286</v>
      </c>
      <c r="G46" s="60">
        <f t="shared" si="183"/>
        <v>9.7307028000097286</v>
      </c>
      <c r="H46" s="60">
        <f t="shared" si="183"/>
        <v>9.7307028000097286</v>
      </c>
      <c r="I46" s="60">
        <f t="shared" si="183"/>
        <v>9.7307028000097286</v>
      </c>
      <c r="J46" s="60">
        <f t="shared" si="183"/>
        <v>9.7307028000097286</v>
      </c>
      <c r="K46" s="60">
        <f t="shared" si="183"/>
        <v>9.7307028000097286</v>
      </c>
      <c r="L46" s="60">
        <f t="shared" si="183"/>
        <v>9.7307028000097286</v>
      </c>
      <c r="M46" s="60">
        <f t="shared" si="183"/>
        <v>9.7307028000097286</v>
      </c>
      <c r="N46" s="71">
        <f>s_dir!BA46</f>
        <v>2.0553500000000002E-6</v>
      </c>
      <c r="O46" s="71">
        <f>IFERROR(s_RadSpec!$E$10*O10,".")*$B$46</f>
        <v>5.1383750000000004E-7</v>
      </c>
      <c r="P46" s="71">
        <f>IFERROR(s_RadSpec!$E$10*P10,".")*$B$46</f>
        <v>5.1383750000000004E-7</v>
      </c>
      <c r="Q46" s="71">
        <f>IFERROR(s_RadSpec!$E$10*Q10,".")*$B$46</f>
        <v>5.1383750000000004E-7</v>
      </c>
      <c r="R46" s="71">
        <f>IFERROR(s_RadSpec!$E$10*R10,".")*$B$46</f>
        <v>5.1383750000000004E-7</v>
      </c>
      <c r="S46" s="71">
        <f>IFERROR(s_RadSpec!$E$10*S10,".")*$B$46</f>
        <v>5.1383750000000004E-7</v>
      </c>
      <c r="T46" s="71">
        <f>IFERROR(s_RadSpec!$E$10*T10,".")*$B$46</f>
        <v>5.1383750000000004E-7</v>
      </c>
      <c r="U46" s="71">
        <f>IFERROR(s_RadSpec!$E$10*U10,".")*$B$46</f>
        <v>5.1383750000000004E-7</v>
      </c>
      <c r="V46" s="71">
        <f>IFERROR(s_RadSpec!$E$10*V10,".")*$B$46</f>
        <v>5.1383750000000004E-7</v>
      </c>
      <c r="W46" s="71">
        <f>IFERROR(s_RadSpec!$E$10*W10,".")*$B$46</f>
        <v>5.1383750000000004E-7</v>
      </c>
      <c r="X46" s="71">
        <f>IFERROR(s_RadSpec!$E$10*X10,".")*$B$46</f>
        <v>5.1383750000000004E-7</v>
      </c>
      <c r="Y46" s="49">
        <f t="shared" ref="Y46:Y47" si="184">IFERROR(IF(N46&gt;0.01,1-EXP(-N46),N46),".")</f>
        <v>2.0553500000000002E-6</v>
      </c>
      <c r="Z46" s="49">
        <f t="shared" ref="Z46:Z47" si="185">IFERROR(IF(O46&gt;0.01,1-EXP(-O46),O46),".")</f>
        <v>5.1383750000000004E-7</v>
      </c>
      <c r="AA46" s="49">
        <f t="shared" ref="AA46:AA47" si="186">IFERROR(IF(P46&gt;0.01,1-EXP(-P46),P46),".")</f>
        <v>5.1383750000000004E-7</v>
      </c>
      <c r="AB46" s="49">
        <f t="shared" ref="AB46:AB47" si="187">IFERROR(IF(Q46&gt;0.01,1-EXP(-Q46),Q46),".")</f>
        <v>5.1383750000000004E-7</v>
      </c>
      <c r="AC46" s="49">
        <f t="shared" ref="AC46:AC47" si="188">IFERROR(IF(R46&gt;0.01,1-EXP(-R46),R46),".")</f>
        <v>5.1383750000000004E-7</v>
      </c>
      <c r="AD46" s="49">
        <f t="shared" ref="AD46:AI47" si="189">IFERROR(IF(S46&gt;0.01,1-EXP(-S46),S46),".")</f>
        <v>5.1383750000000004E-7</v>
      </c>
      <c r="AE46" s="49">
        <f t="shared" si="189"/>
        <v>5.1383750000000004E-7</v>
      </c>
      <c r="AF46" s="49">
        <f t="shared" si="189"/>
        <v>5.1383750000000004E-7</v>
      </c>
      <c r="AG46" s="49">
        <f t="shared" si="189"/>
        <v>5.1383750000000004E-7</v>
      </c>
      <c r="AH46" s="49">
        <f t="shared" si="189"/>
        <v>5.1383750000000004E-7</v>
      </c>
      <c r="AI46" s="49">
        <f t="shared" si="189"/>
        <v>5.1383750000000004E-7</v>
      </c>
      <c r="AJ46" s="60">
        <f t="shared" ref="AJ46:AW46" si="190">IFERROR(AJ10/$B46,0)</f>
        <v>4273.0477513086207</v>
      </c>
      <c r="AK46" s="60">
        <f t="shared" si="190"/>
        <v>15109312.602179976</v>
      </c>
      <c r="AL46" s="60">
        <f t="shared" si="190"/>
        <v>206447.9511698948</v>
      </c>
      <c r="AM46" s="60">
        <f t="shared" si="190"/>
        <v>65.075254464052222</v>
      </c>
      <c r="AN46" s="60">
        <f>IFERROR(AN10/$B46,0)</f>
        <v>3.8922811200038918E-2</v>
      </c>
      <c r="AO46" s="60">
        <f>IFERROR(AO10/$B46,0)</f>
        <v>4.8251418843023446</v>
      </c>
      <c r="AP46" s="60">
        <f>IFERROR(AP10/$B46,0)</f>
        <v>23.769068499628506</v>
      </c>
      <c r="AQ46" s="60">
        <f>IFERROR(AQ10/$B46,0)</f>
        <v>0.53076560727325783</v>
      </c>
      <c r="AR46" s="60">
        <f t="shared" si="190"/>
        <v>3.9315970909130214E-2</v>
      </c>
      <c r="AS46" s="60">
        <f t="shared" si="190"/>
        <v>0.26538280363662892</v>
      </c>
      <c r="AT46" s="60">
        <f t="shared" si="190"/>
        <v>0.33172850454578617</v>
      </c>
      <c r="AU46" s="60">
        <f>IFERROR(AU10/$B46,0)</f>
        <v>0.99397922816628292</v>
      </c>
      <c r="AV46" s="60">
        <f t="shared" si="190"/>
        <v>0.55870063923500835</v>
      </c>
      <c r="AW46" s="60">
        <f t="shared" si="190"/>
        <v>1.8851330189360538</v>
      </c>
      <c r="AX46" s="42"/>
      <c r="AY46" s="42"/>
      <c r="AZ46" s="42"/>
      <c r="BA46" s="42"/>
      <c r="BB46" s="42"/>
      <c r="BC46" s="42"/>
      <c r="BD46" s="42"/>
      <c r="BE46" s="42"/>
      <c r="BF46" s="42"/>
      <c r="BG46" s="42"/>
      <c r="BH46" s="42"/>
      <c r="BI46" s="42"/>
      <c r="BJ46" s="42"/>
      <c r="BK46" s="42"/>
      <c r="BL46" s="60">
        <f>IFERROR(BL10/$B46,0)</f>
        <v>1.5776634858794176E-2</v>
      </c>
      <c r="BM46" s="71">
        <f>IFERROR(s_RadSpec!$D$10*BM10,".")*$B$46</f>
        <v>1.170125E-9</v>
      </c>
      <c r="BN46" s="71">
        <f>IFERROR(s_RadSpec!$G$10*BN10,".")*$B$46</f>
        <v>3.3092173890681153E-13</v>
      </c>
      <c r="BO46" s="71">
        <f>IFERROR(s_RadSpec!$F$10*BO10,".")*$B$46</f>
        <v>2.4219179563982627E-11</v>
      </c>
      <c r="BP46" s="71">
        <f>s_b2s!BZ46</f>
        <v>7.6834121375000015E-8</v>
      </c>
      <c r="BQ46" s="71">
        <f>IFERROR(s_RadSpec!$E$10*BQ10,".")*$B$46</f>
        <v>1.28459375E-4</v>
      </c>
      <c r="BR46" s="71">
        <f>IFERROR(s_RadSpec!$E$10*BR10,".")*$B$46</f>
        <v>1.0362389583333335E-6</v>
      </c>
      <c r="BS46" s="71">
        <f>IFERROR(s_RadSpec!$E$10*BS10,".")*$B$46</f>
        <v>2.1035742313915857E-7</v>
      </c>
      <c r="BT46" s="71">
        <f>IFERROR(s_RadSpec!$E$10*BT10,".")*$B$46</f>
        <v>9.4203541666666679E-6</v>
      </c>
      <c r="BU46" s="71">
        <f>IFERROR(s_RadSpec!$E$10*BU10,".")*$B$46</f>
        <v>1.2717478125000002E-4</v>
      </c>
      <c r="BV46" s="71">
        <f>IFERROR(s_RadSpec!$E$10*BV10,".")*$B$46</f>
        <v>1.8840708333333336E-5</v>
      </c>
      <c r="BW46" s="71">
        <f>IFERROR(s_RadSpec!$E$10*BW10,".")*$B$46</f>
        <v>1.5072566666666669E-5</v>
      </c>
      <c r="BX46" s="71">
        <f>IFERROR(s_RadSpec!$E$10*BX10,".")*$B$46</f>
        <v>5.0302862055016186E-6</v>
      </c>
      <c r="BY46" s="71">
        <f>IFERROR(s_RadSpec!$E$10*BY10,".")*$B$46</f>
        <v>8.9493364583333353E-6</v>
      </c>
      <c r="BZ46" s="71">
        <f>IFERROR(s_RadSpec!$E$10*BZ10,".")*$B$46</f>
        <v>2.652332726537217E-6</v>
      </c>
      <c r="CA46" s="49">
        <f t="shared" ref="CA46:CA47" si="191">IFERROR(IF(BM46&gt;0.01,1-EXP(-BM46),BM46),".")</f>
        <v>1.170125E-9</v>
      </c>
      <c r="CB46" s="49">
        <f t="shared" ref="CB46:CB47" si="192">IFERROR(IF(BN46&gt;0.01,1-EXP(-BN46),BN46),".")</f>
        <v>3.3092173890681153E-13</v>
      </c>
      <c r="CC46" s="49">
        <f t="shared" ref="CC46:CC47" si="193">IFERROR(IF(BO46&gt;0.01,1-EXP(-BO46),BO46),".")</f>
        <v>2.4219179563982627E-11</v>
      </c>
      <c r="CD46" s="49">
        <f t="shared" ref="CD46:CD47" si="194">IFERROR(IF(BP46&gt;0.01,1-EXP(-BP46),BP46),".")</f>
        <v>7.6834121375000015E-8</v>
      </c>
      <c r="CE46" s="49">
        <f t="shared" ref="CE46:CE47" si="195">IFERROR(IF(BQ46&gt;0.01,1-EXP(-BQ46),BQ46),".")</f>
        <v>1.28459375E-4</v>
      </c>
      <c r="CF46" s="49">
        <f t="shared" ref="CF46:CN47" si="196">IFERROR(IF(BR46&gt;0.01,1-EXP(-BR46),BR46),".")</f>
        <v>1.0362389583333335E-6</v>
      </c>
      <c r="CG46" s="49">
        <f t="shared" si="196"/>
        <v>2.1035742313915857E-7</v>
      </c>
      <c r="CH46" s="49">
        <f t="shared" si="196"/>
        <v>9.4203541666666679E-6</v>
      </c>
      <c r="CI46" s="49">
        <f t="shared" si="196"/>
        <v>1.2717478125000002E-4</v>
      </c>
      <c r="CJ46" s="49">
        <f t="shared" si="196"/>
        <v>1.8840708333333336E-5</v>
      </c>
      <c r="CK46" s="49">
        <f t="shared" si="196"/>
        <v>1.5072566666666669E-5</v>
      </c>
      <c r="CL46" s="49">
        <f t="shared" si="196"/>
        <v>5.0302862055016186E-6</v>
      </c>
      <c r="CM46" s="49">
        <f t="shared" si="196"/>
        <v>8.9493364583333353E-6</v>
      </c>
      <c r="CN46" s="49">
        <f t="shared" si="196"/>
        <v>2.652332726537217E-6</v>
      </c>
      <c r="CO46" s="49">
        <f>IFERROR(IF(SUM(BM46:BZ46)&gt;0.01,1-EXP(-SUM(BM46:BZ46)),SUM(BM46:BZ46)),".")</f>
        <v>3.169243659849876E-4</v>
      </c>
      <c r="CP46" s="60">
        <f t="shared" ref="CP46:DC46" si="197">IFERROR(CP10/$B46,0)</f>
        <v>65.599580162686948</v>
      </c>
      <c r="CQ46" s="60">
        <f t="shared" si="197"/>
        <v>0</v>
      </c>
      <c r="CR46" s="60">
        <f t="shared" si="197"/>
        <v>9768709503.4802094</v>
      </c>
      <c r="CS46" s="60">
        <f t="shared" si="197"/>
        <v>147.95247322402815</v>
      </c>
      <c r="CT46" s="60">
        <f>IFERROR(CT10/$B46,0)</f>
        <v>3.8922811200038914</v>
      </c>
      <c r="CU46" s="60">
        <f>IFERROR(CU10/$B46,0)</f>
        <v>88460.934545543001</v>
      </c>
      <c r="CV46" s="60">
        <f>IFERROR(CV10/$B46,0)</f>
        <v>435766.2558265226</v>
      </c>
      <c r="CW46" s="60">
        <f>IFERROR(CW10/$B46,0)</f>
        <v>9730.7028000097289</v>
      </c>
      <c r="CX46" s="60">
        <f t="shared" si="197"/>
        <v>720.7928000007206</v>
      </c>
      <c r="CY46" s="60">
        <f t="shared" si="197"/>
        <v>4865.3514000048644</v>
      </c>
      <c r="CZ46" s="60">
        <f t="shared" si="197"/>
        <v>6081.6892500060803</v>
      </c>
      <c r="DA46" s="60">
        <f>IFERROR(DA10/$B46,0)</f>
        <v>18222.952516381854</v>
      </c>
      <c r="DB46" s="60">
        <f t="shared" si="197"/>
        <v>10242.84505264182</v>
      </c>
      <c r="DC46" s="60">
        <f t="shared" si="197"/>
        <v>34560.772013827649</v>
      </c>
      <c r="DD46" s="15"/>
      <c r="DE46" s="15"/>
      <c r="DF46" s="15"/>
      <c r="DG46" s="15"/>
      <c r="DH46" s="15"/>
      <c r="DI46" s="15"/>
      <c r="DJ46" s="15"/>
      <c r="DK46" s="15"/>
      <c r="DL46" s="15"/>
      <c r="DM46" s="15"/>
      <c r="DN46" s="15"/>
      <c r="DO46" s="15"/>
      <c r="DP46" s="15"/>
      <c r="DQ46" s="15"/>
      <c r="DR46" s="60">
        <f>IFERROR(DR10/$B46,0)</f>
        <v>3.559012602240017</v>
      </c>
      <c r="DS46" s="71">
        <f>IFERROR(s_RadSpec!$H$10*DS10,".")*$B$46</f>
        <v>7.621999999999999E-8</v>
      </c>
      <c r="DT46" s="71">
        <f>IFERROR(s_RadSpec!$G$10*DT10,".")*$B$46</f>
        <v>5.1260416666666662E-8</v>
      </c>
      <c r="DU46" s="71">
        <f>IFERROR(s_RadSpec!$L$10*DU10,".")*$B$46</f>
        <v>5.1183833424657537E-16</v>
      </c>
      <c r="DV46" s="71">
        <f>s_b2w!BZ46</f>
        <v>3.3794636149333234E-8</v>
      </c>
      <c r="DW46" s="71">
        <f>IFERROR(s_RadSpec!$E$10*DW10,".")*$B$46</f>
        <v>1.2845937500000001E-6</v>
      </c>
      <c r="DX46" s="71">
        <f>IFERROR(s_RadSpec!$E$10*DX10,".")*$B$46</f>
        <v>5.6522125000000001E-11</v>
      </c>
      <c r="DY46" s="71">
        <f>IFERROR(s_RadSpec!$E$10*DY10,".")*$B$46</f>
        <v>1.1474041262135924E-11</v>
      </c>
      <c r="DZ46" s="71">
        <f>IFERROR(s_RadSpec!$E$10*DZ10,".")*$B$46</f>
        <v>5.1383749999999998E-10</v>
      </c>
      <c r="EA46" s="71">
        <f>IFERROR(s_RadSpec!$E$10*EA10,".")*$B$46</f>
        <v>6.9368062500000006E-9</v>
      </c>
      <c r="EB46" s="71">
        <f>IFERROR(s_RadSpec!$E$10*EB10,".")*$B$46</f>
        <v>1.027675E-9</v>
      </c>
      <c r="EC46" s="71">
        <f>IFERROR(s_RadSpec!$E$10*EC10,".")*$B$46</f>
        <v>8.2214000000000002E-10</v>
      </c>
      <c r="ED46" s="71">
        <f>IFERROR(s_RadSpec!$E$10*ED10,".")*$B$46</f>
        <v>2.7437924757281557E-10</v>
      </c>
      <c r="EE46" s="71">
        <f>IFERROR(s_RadSpec!$E$10*EE10,".")*$B$46</f>
        <v>4.8814562500000007E-10</v>
      </c>
      <c r="EF46" s="71">
        <f>IFERROR(s_RadSpec!$E$10*EF10,".")*$B$46</f>
        <v>1.446726941747573E-10</v>
      </c>
      <c r="EG46" s="49">
        <f t="shared" ref="EG46:EG47" si="198">IFERROR(IF(DS46&gt;0.01,1-EXP(-DS46),DS46),".")</f>
        <v>7.621999999999999E-8</v>
      </c>
      <c r="EH46" s="49">
        <f t="shared" ref="EH46:EH47" si="199">IFERROR(IF(DT46&gt;0.01,1-EXP(-DT46),DT46),".")</f>
        <v>5.1260416666666662E-8</v>
      </c>
      <c r="EI46" s="49">
        <f t="shared" ref="EI46:EI47" si="200">IFERROR(IF(DU46&gt;0.01,1-EXP(-DU46),DU46),".")</f>
        <v>5.1183833424657537E-16</v>
      </c>
      <c r="EJ46" s="49">
        <f t="shared" ref="EJ46:EJ47" si="201">IFERROR(IF(DV46&gt;0.01,1-EXP(-DV46),DV46),".")</f>
        <v>3.3794636149333234E-8</v>
      </c>
      <c r="EK46" s="49">
        <f t="shared" ref="EK46:EK47" si="202">IFERROR(IF(DW46&gt;0.01,1-EXP(-DW46),DW46),".")</f>
        <v>1.2845937500000001E-6</v>
      </c>
      <c r="EL46" s="49">
        <f t="shared" ref="EL46:EL47" si="203">IFERROR(IF(DX46&gt;0.01,1-EXP(-DX46),DX46),".")</f>
        <v>5.6522125000000001E-11</v>
      </c>
      <c r="EM46" s="49">
        <f t="shared" ref="EM46:EM47" si="204">IFERROR(IF(DY46&gt;0.01,1-EXP(-DY46),DY46),".")</f>
        <v>1.1474041262135924E-11</v>
      </c>
      <c r="EN46" s="49">
        <f t="shared" ref="EN46:EN47" si="205">IFERROR(IF(DZ46&gt;0.01,1-EXP(-DZ46),DZ46),".")</f>
        <v>5.1383749999999998E-10</v>
      </c>
      <c r="EO46" s="49">
        <f t="shared" ref="EO46:EO47" si="206">IFERROR(IF(EA46&gt;0.01,1-EXP(-EA46),EA46),".")</f>
        <v>6.9368062500000006E-9</v>
      </c>
      <c r="EP46" s="49">
        <f t="shared" ref="EP46:EP47" si="207">IFERROR(IF(EB46&gt;0.01,1-EXP(-EB46),EB46),".")</f>
        <v>1.027675E-9</v>
      </c>
      <c r="EQ46" s="49">
        <f t="shared" ref="EQ46:EQ47" si="208">IFERROR(IF(EC46&gt;0.01,1-EXP(-EC46),EC46),".")</f>
        <v>8.2214000000000002E-10</v>
      </c>
      <c r="ER46" s="49">
        <f t="shared" ref="ER46:ER47" si="209">IFERROR(IF(ED46&gt;0.01,1-EXP(-ED46),ED46),".")</f>
        <v>2.7437924757281557E-10</v>
      </c>
      <c r="ES46" s="49">
        <f t="shared" ref="ES46:ES47" si="210">IFERROR(IF(EE46&gt;0.01,1-EXP(-EE46),EE46),".")</f>
        <v>4.8814562500000007E-10</v>
      </c>
      <c r="ET46" s="49">
        <f t="shared" ref="ET46:ET47" si="211">IFERROR(IF(EF46&gt;0.01,1-EXP(-EF46),EF46),".")</f>
        <v>1.446726941747573E-10</v>
      </c>
      <c r="EU46" s="49">
        <f>IFERROR(IF(SUM(DS46:EF46)&gt;0.01,1-EXP(-SUM(DS46:EF46)),SUM(DS46:EF46)),".")</f>
        <v>1.456144455810848E-6</v>
      </c>
      <c r="EV46" s="60">
        <f>IFERROR(EV10/$B46,0)</f>
        <v>48.770575086364566</v>
      </c>
      <c r="EW46" s="60">
        <f>IFERROR(EW10/$B46,0)</f>
        <v>5397387.6968869064</v>
      </c>
      <c r="EX46" s="60">
        <f>IFERROR(EX10/$B46,0)</f>
        <v>48.770134401419298</v>
      </c>
      <c r="EY46" s="71">
        <f>IFERROR(s_RadSpec!$G$10*EY10,".")*$B$46</f>
        <v>1.0252083333333332E-7</v>
      </c>
      <c r="EZ46" s="71">
        <f>IFERROR(s_RadSpec!$J$10*EZ10,".")*$B$46</f>
        <v>9.2637406849315067E-13</v>
      </c>
      <c r="FA46" s="49">
        <f>IFERROR(IF(EY46&gt;0.01,1-EXP(-EY46),EY46),".")</f>
        <v>1.0252083333333332E-7</v>
      </c>
      <c r="FB46" s="49">
        <f>IFERROR(IF(EZ46&gt;0.01,1-EXP(-EZ46),EZ46),".")</f>
        <v>9.2637406849315067E-13</v>
      </c>
      <c r="FC46" s="49">
        <f>IFERROR(IF(SUM(EY46:EZ46)&gt;0.01,1-EXP(-SUM(EY46:EZ46)),SUM(EY46:EZ46)),".")</f>
        <v>1.0252175970740181E-7</v>
      </c>
    </row>
    <row r="47" spans="1:159" x14ac:dyDescent="0.25">
      <c r="A47" s="83" t="s">
        <v>1075</v>
      </c>
      <c r="B47" s="85">
        <v>0.94399</v>
      </c>
      <c r="C47" s="60">
        <f t="shared" ref="C47:M47" si="212">IFERROR(C6/$B$47,0)</f>
        <v>0</v>
      </c>
      <c r="D47" s="60">
        <f t="shared" si="212"/>
        <v>0</v>
      </c>
      <c r="E47" s="60">
        <f t="shared" si="212"/>
        <v>0</v>
      </c>
      <c r="F47" s="60">
        <f t="shared" si="212"/>
        <v>0</v>
      </c>
      <c r="G47" s="60">
        <f t="shared" si="212"/>
        <v>0</v>
      </c>
      <c r="H47" s="60">
        <f t="shared" si="212"/>
        <v>0</v>
      </c>
      <c r="I47" s="60">
        <f t="shared" si="212"/>
        <v>0</v>
      </c>
      <c r="J47" s="60">
        <f t="shared" si="212"/>
        <v>0</v>
      </c>
      <c r="K47" s="60">
        <f t="shared" si="212"/>
        <v>0</v>
      </c>
      <c r="L47" s="60">
        <f t="shared" si="212"/>
        <v>0</v>
      </c>
      <c r="M47" s="60">
        <f t="shared" si="212"/>
        <v>0</v>
      </c>
      <c r="N47" s="71">
        <f>s_dir!BA47</f>
        <v>0</v>
      </c>
      <c r="O47" s="71">
        <f>IFERROR(s_RadSpec!$E$6*O6,".")*$B$47</f>
        <v>0</v>
      </c>
      <c r="P47" s="71">
        <f>IFERROR(s_RadSpec!$E$6*P6,".")*$B$47</f>
        <v>0</v>
      </c>
      <c r="Q47" s="71">
        <f>IFERROR(s_RadSpec!$E$6*Q6,".")*$B$47</f>
        <v>0</v>
      </c>
      <c r="R47" s="71">
        <f>IFERROR(s_RadSpec!$E$6*R6,".")*$B$47</f>
        <v>0</v>
      </c>
      <c r="S47" s="71">
        <f>IFERROR(s_RadSpec!$E$6*S6,".")*$B$47</f>
        <v>0</v>
      </c>
      <c r="T47" s="71">
        <f>IFERROR(s_RadSpec!$E$6*T6,".")*$B$47</f>
        <v>0</v>
      </c>
      <c r="U47" s="71">
        <f>IFERROR(s_RadSpec!$E$6*U6,".")*$B$47</f>
        <v>0</v>
      </c>
      <c r="V47" s="71">
        <f>IFERROR(s_RadSpec!$E$6*V6,".")*$B$47</f>
        <v>0</v>
      </c>
      <c r="W47" s="71">
        <f>IFERROR(s_RadSpec!$E$6*W6,".")*$B$47</f>
        <v>0</v>
      </c>
      <c r="X47" s="71">
        <f>IFERROR(s_RadSpec!$E$6*X6,".")*$B$47</f>
        <v>0</v>
      </c>
      <c r="Y47" s="49">
        <f t="shared" si="184"/>
        <v>0</v>
      </c>
      <c r="Z47" s="49">
        <f t="shared" si="185"/>
        <v>0</v>
      </c>
      <c r="AA47" s="49">
        <f t="shared" si="186"/>
        <v>0</v>
      </c>
      <c r="AB47" s="49">
        <f t="shared" si="187"/>
        <v>0</v>
      </c>
      <c r="AC47" s="49">
        <f t="shared" si="188"/>
        <v>0</v>
      </c>
      <c r="AD47" s="49">
        <f t="shared" si="189"/>
        <v>0</v>
      </c>
      <c r="AE47" s="49">
        <f t="shared" si="189"/>
        <v>0</v>
      </c>
      <c r="AF47" s="49">
        <f t="shared" si="189"/>
        <v>0</v>
      </c>
      <c r="AG47" s="49">
        <f t="shared" si="189"/>
        <v>0</v>
      </c>
      <c r="AH47" s="49">
        <f t="shared" si="189"/>
        <v>0</v>
      </c>
      <c r="AI47" s="49">
        <f t="shared" si="189"/>
        <v>0</v>
      </c>
      <c r="AJ47" s="60">
        <f t="shared" ref="AJ47:AW47" si="213">IFERROR(AJ6/$B$47,0)</f>
        <v>0</v>
      </c>
      <c r="AK47" s="60">
        <f t="shared" si="213"/>
        <v>0</v>
      </c>
      <c r="AL47" s="60">
        <f t="shared" si="213"/>
        <v>38.37026143927055</v>
      </c>
      <c r="AM47" s="60">
        <f t="shared" si="213"/>
        <v>0</v>
      </c>
      <c r="AN47" s="60">
        <f>IFERROR(AN6/$B$47,0)</f>
        <v>0</v>
      </c>
      <c r="AO47" s="60">
        <f>IFERROR(AO6/$B$47,0)</f>
        <v>0</v>
      </c>
      <c r="AP47" s="60">
        <f>IFERROR(AP6/$B$47,0)</f>
        <v>0</v>
      </c>
      <c r="AQ47" s="60">
        <f>IFERROR(AQ6/$B$47,0)</f>
        <v>0</v>
      </c>
      <c r="AR47" s="60">
        <f t="shared" si="213"/>
        <v>0</v>
      </c>
      <c r="AS47" s="60">
        <f t="shared" si="213"/>
        <v>0</v>
      </c>
      <c r="AT47" s="60">
        <f t="shared" si="213"/>
        <v>0</v>
      </c>
      <c r="AU47" s="60">
        <f>IFERROR(AU6/$B$47,0)</f>
        <v>0</v>
      </c>
      <c r="AV47" s="60">
        <f t="shared" si="213"/>
        <v>0</v>
      </c>
      <c r="AW47" s="60">
        <f t="shared" si="213"/>
        <v>0</v>
      </c>
      <c r="AX47" s="42"/>
      <c r="AY47" s="42"/>
      <c r="AZ47" s="42"/>
      <c r="BA47" s="42"/>
      <c r="BB47" s="42"/>
      <c r="BC47" s="42"/>
      <c r="BD47" s="42"/>
      <c r="BE47" s="42"/>
      <c r="BF47" s="42"/>
      <c r="BG47" s="42"/>
      <c r="BH47" s="42"/>
      <c r="BI47" s="42"/>
      <c r="BJ47" s="42"/>
      <c r="BK47" s="42"/>
      <c r="BL47" s="60">
        <f>IFERROR(BL6/$B$47,0)</f>
        <v>38.37026143927055</v>
      </c>
      <c r="BM47" s="71">
        <f>IFERROR(s_RadSpec!$D$6*BM6,".")*$B$47</f>
        <v>0</v>
      </c>
      <c r="BN47" s="71">
        <f>IFERROR(s_RadSpec!$G$6*BN6,".")*$B$47</f>
        <v>0</v>
      </c>
      <c r="BO47" s="71">
        <f>IFERROR(s_RadSpec!$F$6*BO6,".")*$B$47</f>
        <v>1.3030925024875347E-7</v>
      </c>
      <c r="BP47" s="71">
        <f>s_b2s!BZ47</f>
        <v>0</v>
      </c>
      <c r="BQ47" s="71">
        <f>IFERROR(s_RadSpec!$E$6*BQ6,".")*$B$47</f>
        <v>0</v>
      </c>
      <c r="BR47" s="71">
        <f>IFERROR(s_RadSpec!$E$6*BR6,".")*$B$47</f>
        <v>0</v>
      </c>
      <c r="BS47" s="71">
        <f>IFERROR(s_RadSpec!$E$6*BS6,".")*$B$47</f>
        <v>0</v>
      </c>
      <c r="BT47" s="71">
        <f>IFERROR(s_RadSpec!$E$6*BT6,".")*$B$47</f>
        <v>0</v>
      </c>
      <c r="BU47" s="71">
        <f>IFERROR(s_RadSpec!$E$6*BU6,".")*$B$47</f>
        <v>0</v>
      </c>
      <c r="BV47" s="71">
        <f>IFERROR(s_RadSpec!$E$6*BV6,".")*$B$47</f>
        <v>0</v>
      </c>
      <c r="BW47" s="71">
        <f>IFERROR(s_RadSpec!$E$6*BW6,".")*$B$47</f>
        <v>0</v>
      </c>
      <c r="BX47" s="71">
        <f>IFERROR(s_RadSpec!$E$6*BX6,".")*$B$47</f>
        <v>0</v>
      </c>
      <c r="BY47" s="71">
        <f>IFERROR(s_RadSpec!$E$6*BY6,".")*$B$47</f>
        <v>0</v>
      </c>
      <c r="BZ47" s="71">
        <f>IFERROR(s_RadSpec!$E$6*BZ6,".")*$B$47</f>
        <v>0</v>
      </c>
      <c r="CA47" s="49">
        <f t="shared" si="191"/>
        <v>0</v>
      </c>
      <c r="CB47" s="49">
        <f t="shared" si="192"/>
        <v>0</v>
      </c>
      <c r="CC47" s="49">
        <f t="shared" si="193"/>
        <v>1.3030925024875347E-7</v>
      </c>
      <c r="CD47" s="49">
        <f t="shared" si="194"/>
        <v>0</v>
      </c>
      <c r="CE47" s="49">
        <f t="shared" si="195"/>
        <v>0</v>
      </c>
      <c r="CF47" s="49">
        <f t="shared" si="196"/>
        <v>0</v>
      </c>
      <c r="CG47" s="49">
        <f t="shared" si="196"/>
        <v>0</v>
      </c>
      <c r="CH47" s="49">
        <f t="shared" si="196"/>
        <v>0</v>
      </c>
      <c r="CI47" s="49">
        <f t="shared" si="196"/>
        <v>0</v>
      </c>
      <c r="CJ47" s="49">
        <f t="shared" si="196"/>
        <v>0</v>
      </c>
      <c r="CK47" s="49">
        <f t="shared" si="196"/>
        <v>0</v>
      </c>
      <c r="CL47" s="49">
        <f t="shared" si="196"/>
        <v>0</v>
      </c>
      <c r="CM47" s="49">
        <f t="shared" si="196"/>
        <v>0</v>
      </c>
      <c r="CN47" s="49">
        <f t="shared" si="196"/>
        <v>0</v>
      </c>
      <c r="CO47" s="49">
        <f>IFERROR(IF(SUM(BM47:BZ47)&gt;0.01,1-EXP(-SUM(BM47:BZ47)),SUM(BM47:BZ47)),".")</f>
        <v>1.3030925024875347E-7</v>
      </c>
      <c r="CP47" s="60">
        <f t="shared" ref="CP47:DC47" si="214">IFERROR(CP6/$B$47,0)</f>
        <v>0</v>
      </c>
      <c r="CQ47" s="60">
        <f t="shared" si="214"/>
        <v>0</v>
      </c>
      <c r="CR47" s="60">
        <f t="shared" si="214"/>
        <v>4245464.1402297374</v>
      </c>
      <c r="CS47" s="60">
        <f t="shared" si="214"/>
        <v>0</v>
      </c>
      <c r="CT47" s="60">
        <f>IFERROR(CT6/$B$47,0)</f>
        <v>0</v>
      </c>
      <c r="CU47" s="60">
        <f>IFERROR(CU6/$B$47,0)</f>
        <v>0</v>
      </c>
      <c r="CV47" s="60">
        <f>IFERROR(CV6/$B$47,0)</f>
        <v>0</v>
      </c>
      <c r="CW47" s="60">
        <f>IFERROR(CW6/$B$47,0)</f>
        <v>0</v>
      </c>
      <c r="CX47" s="60">
        <f t="shared" si="214"/>
        <v>0</v>
      </c>
      <c r="CY47" s="60">
        <f t="shared" si="214"/>
        <v>0</v>
      </c>
      <c r="CZ47" s="60">
        <f t="shared" si="214"/>
        <v>0</v>
      </c>
      <c r="DA47" s="60">
        <f>IFERROR(DA6/$B$47,0)</f>
        <v>0</v>
      </c>
      <c r="DB47" s="60">
        <f t="shared" si="214"/>
        <v>0</v>
      </c>
      <c r="DC47" s="60">
        <f t="shared" si="214"/>
        <v>0</v>
      </c>
      <c r="DD47" s="15"/>
      <c r="DE47" s="15"/>
      <c r="DF47" s="15"/>
      <c r="DG47" s="15"/>
      <c r="DH47" s="15"/>
      <c r="DI47" s="15"/>
      <c r="DJ47" s="15"/>
      <c r="DK47" s="15"/>
      <c r="DL47" s="15"/>
      <c r="DM47" s="15"/>
      <c r="DN47" s="15"/>
      <c r="DO47" s="15"/>
      <c r="DP47" s="15"/>
      <c r="DQ47" s="15"/>
      <c r="DR47" s="60">
        <f>IFERROR(DR6/$B$47,0)</f>
        <v>4245464.1402297365</v>
      </c>
      <c r="DS47" s="71">
        <f>IFERROR(s_RadSpec!$H$6*DS6,".")*$B$47</f>
        <v>0</v>
      </c>
      <c r="DT47" s="71">
        <f>IFERROR(s_RadSpec!$G$6*DT6,".")*$B$47</f>
        <v>0</v>
      </c>
      <c r="DU47" s="71">
        <f>IFERROR(s_RadSpec!$L$6*DU6,".")*$B$47</f>
        <v>1.1777275310419724E-12</v>
      </c>
      <c r="DV47" s="71">
        <f>s_b2w!BZ47</f>
        <v>0</v>
      </c>
      <c r="DW47" s="71">
        <f>IFERROR(s_RadSpec!$E$6*DW6,".")*$B$47</f>
        <v>0</v>
      </c>
      <c r="DX47" s="71">
        <f>IFERROR(s_RadSpec!$E$6*DX6,".")*$B$47</f>
        <v>0</v>
      </c>
      <c r="DY47" s="71">
        <f>IFERROR(s_RadSpec!$E$6*DY6,".")*$B$47</f>
        <v>0</v>
      </c>
      <c r="DZ47" s="71">
        <f>IFERROR(s_RadSpec!$E$6*DZ6,".")*$B$47</f>
        <v>0</v>
      </c>
      <c r="EA47" s="71">
        <f>IFERROR(s_RadSpec!$E$6*EA6,".")*$B$47</f>
        <v>0</v>
      </c>
      <c r="EB47" s="71">
        <f>IFERROR(s_RadSpec!$E$6*EB6,".")*$B$47</f>
        <v>0</v>
      </c>
      <c r="EC47" s="71">
        <f>IFERROR(s_RadSpec!$E$6*EC6,".")*$B$47</f>
        <v>0</v>
      </c>
      <c r="ED47" s="71">
        <f>IFERROR(s_RadSpec!$E$6*ED6,".")*$B$47</f>
        <v>0</v>
      </c>
      <c r="EE47" s="71">
        <f>IFERROR(s_RadSpec!$E$6*EE6,".")*$B$47</f>
        <v>0</v>
      </c>
      <c r="EF47" s="71">
        <f>IFERROR(s_RadSpec!$E$6*EF6,".")*$B$47</f>
        <v>0</v>
      </c>
      <c r="EG47" s="49">
        <f t="shared" si="198"/>
        <v>0</v>
      </c>
      <c r="EH47" s="49">
        <f t="shared" si="199"/>
        <v>0</v>
      </c>
      <c r="EI47" s="49">
        <f t="shared" si="200"/>
        <v>1.1777275310419724E-12</v>
      </c>
      <c r="EJ47" s="49">
        <f t="shared" si="201"/>
        <v>0</v>
      </c>
      <c r="EK47" s="49">
        <f t="shared" si="202"/>
        <v>0</v>
      </c>
      <c r="EL47" s="49">
        <f t="shared" si="203"/>
        <v>0</v>
      </c>
      <c r="EM47" s="49">
        <f t="shared" si="204"/>
        <v>0</v>
      </c>
      <c r="EN47" s="49">
        <f t="shared" si="205"/>
        <v>0</v>
      </c>
      <c r="EO47" s="49">
        <f t="shared" si="206"/>
        <v>0</v>
      </c>
      <c r="EP47" s="49">
        <f t="shared" si="207"/>
        <v>0</v>
      </c>
      <c r="EQ47" s="49">
        <f t="shared" si="208"/>
        <v>0</v>
      </c>
      <c r="ER47" s="49">
        <f t="shared" si="209"/>
        <v>0</v>
      </c>
      <c r="ES47" s="49">
        <f t="shared" si="210"/>
        <v>0</v>
      </c>
      <c r="ET47" s="49">
        <f t="shared" si="211"/>
        <v>0</v>
      </c>
      <c r="EU47" s="49">
        <f>IFERROR(IF(SUM(DS47:EF47)&gt;0.01,1-EXP(-SUM(DS47:EF47)),SUM(DS47:EF47)),".")</f>
        <v>1.1777275310419724E-12</v>
      </c>
      <c r="EV47" s="60">
        <f>IFERROR(EV6/$B$47,0)</f>
        <v>0</v>
      </c>
      <c r="EW47" s="60">
        <f>IFERROR(EW6/$B$47,0)</f>
        <v>3679.4022548657726</v>
      </c>
      <c r="EX47" s="60">
        <f>IFERROR(EX6/$B$47,0)</f>
        <v>3679.4022548657731</v>
      </c>
      <c r="EY47" s="71">
        <f>IFERROR(s_RadSpec!$G$6*EY6,".")*$B$47</f>
        <v>0</v>
      </c>
      <c r="EZ47" s="71">
        <f>IFERROR(s_RadSpec!$J$6*EZ6,".")*$B$47</f>
        <v>1.3589163819715065E-9</v>
      </c>
      <c r="FA47" s="49">
        <f>IFERROR(IF(EY47&gt;0.01,1-EXP(-EY47),EY47),".")</f>
        <v>0</v>
      </c>
      <c r="FB47" s="49">
        <f>IFERROR(IF(EZ47&gt;0.01,1-EXP(-EZ47),EZ47),".")</f>
        <v>1.3589163819715065E-9</v>
      </c>
      <c r="FC47" s="49">
        <f>IFERROR(IF(SUM(EY47:EZ47)&gt;0.01,1-EXP(-SUM(EY47:EZ47)),SUM(EY47:EZ47)),".")</f>
        <v>1.3589163819715065E-9</v>
      </c>
    </row>
    <row r="48" spans="1:159" x14ac:dyDescent="0.25">
      <c r="A48" s="82" t="s">
        <v>33</v>
      </c>
      <c r="B48" s="82" t="s">
        <v>1074</v>
      </c>
      <c r="C48" s="58">
        <f>1/SUM(1/C49,1/C52,1/C54,1/C58,1/C59,1/C61)</f>
        <v>2.296859286255314E-2</v>
      </c>
      <c r="D48" s="58">
        <f>1/SUM(1/D49,1/D52,1/D54,1/D58,1/D59,1/D61)</f>
        <v>9.1874371450212558E-2</v>
      </c>
      <c r="E48" s="58">
        <f t="shared" ref="E48:M48" si="215">1/SUM(1/E49,1/E52,1/E54,1/E58,1/E59,1/E61)</f>
        <v>9.1874371450212558E-2</v>
      </c>
      <c r="F48" s="58">
        <f t="shared" si="215"/>
        <v>9.1874371450212558E-2</v>
      </c>
      <c r="G48" s="58">
        <f t="shared" si="215"/>
        <v>9.1874371450212558E-2</v>
      </c>
      <c r="H48" s="58">
        <f t="shared" si="215"/>
        <v>9.1874371450212558E-2</v>
      </c>
      <c r="I48" s="58">
        <f t="shared" si="215"/>
        <v>9.1874371450212558E-2</v>
      </c>
      <c r="J48" s="58">
        <f t="shared" si="215"/>
        <v>9.1874371450212558E-2</v>
      </c>
      <c r="K48" s="58">
        <f t="shared" si="215"/>
        <v>9.1874371450212558E-2</v>
      </c>
      <c r="L48" s="58">
        <f t="shared" si="215"/>
        <v>9.1874371450212558E-2</v>
      </c>
      <c r="M48" s="58">
        <f t="shared" si="215"/>
        <v>9.1874371450212558E-2</v>
      </c>
      <c r="N48" s="73"/>
      <c r="O48" s="70"/>
      <c r="P48" s="70"/>
      <c r="Q48" s="70"/>
      <c r="R48" s="70"/>
      <c r="S48" s="70"/>
      <c r="T48" s="70"/>
      <c r="U48" s="70"/>
      <c r="V48" s="70"/>
      <c r="W48" s="70"/>
      <c r="X48" s="70"/>
      <c r="Y48" s="47">
        <f>IFERROR(IF(SUM(N49:N62)&gt;0.01,1-EXP(-SUM(N49:N62)),SUM(N49:N62)),".")</f>
        <v>2.1768857478568477E-4</v>
      </c>
      <c r="Z48" s="47">
        <f t="shared" ref="Z48:AI48" si="216">IFERROR(IF(SUM(O49:O62)&gt;0.01,1-EXP(-SUM(O49:O62)),SUM(O49:O62)),".")</f>
        <v>5.4422141028845457E-5</v>
      </c>
      <c r="AA48" s="47">
        <f t="shared" si="216"/>
        <v>5.4422141028845457E-5</v>
      </c>
      <c r="AB48" s="47">
        <f t="shared" si="216"/>
        <v>5.4422141028845457E-5</v>
      </c>
      <c r="AC48" s="47">
        <f t="shared" si="216"/>
        <v>5.4422141028845457E-5</v>
      </c>
      <c r="AD48" s="47">
        <f t="shared" si="216"/>
        <v>5.4422141028845457E-5</v>
      </c>
      <c r="AE48" s="47">
        <f t="shared" si="216"/>
        <v>5.4422141028845457E-5</v>
      </c>
      <c r="AF48" s="47">
        <f t="shared" si="216"/>
        <v>5.4422141028845457E-5</v>
      </c>
      <c r="AG48" s="47">
        <f t="shared" si="216"/>
        <v>5.4422141028845457E-5</v>
      </c>
      <c r="AH48" s="47">
        <f t="shared" si="216"/>
        <v>5.4422141028845457E-5</v>
      </c>
      <c r="AI48" s="47">
        <f t="shared" si="216"/>
        <v>5.4422141028845457E-5</v>
      </c>
      <c r="AJ48" s="58">
        <f t="shared" ref="AJ48:AL48" si="217">1/SUM(1/AJ49,1/AJ52,1/AJ54,1/AJ58,1/AJ59,1/AJ61)</f>
        <v>31.933737567533719</v>
      </c>
      <c r="AK48" s="58">
        <f t="shared" si="217"/>
        <v>28742.367120223447</v>
      </c>
      <c r="AL48" s="58">
        <f t="shared" si="217"/>
        <v>7.707630698243066</v>
      </c>
      <c r="AM48" s="58">
        <f>1/SUM(1/AM49,1/AM52,1/AM54,1/AM58,1/AM59,1/AM61)</f>
        <v>0.81465814313918916</v>
      </c>
      <c r="AN48" s="58">
        <f>1/SUM(1/AN49,1/AN52,1/AN54,1/AN58,1/AN59,1/AN61)</f>
        <v>0.13773707867432683</v>
      </c>
      <c r="AO48" s="58">
        <f>1/SUM(1/AO49,1/AO52,1/AO54,1/AO58,1/AO59,1/AO61)</f>
        <v>0.31835641720270497</v>
      </c>
      <c r="AP48" s="58">
        <f>1/SUM(1/AP49,1/AP52,1/AP54,1/AP58,1/AP59,1/AP61)</f>
        <v>4.6289085247909698</v>
      </c>
      <c r="AQ48" s="121" t="str">
        <f>IFERROR(1/SUM(1/AQ49,1/AQ52,1/AQ54,1/AQ58,1/AQ59,1/AQ61),".")</f>
        <v>.</v>
      </c>
      <c r="AR48" s="58">
        <f>1/SUM(1/AR61)</f>
        <v>7.6817094741065588E-4</v>
      </c>
      <c r="AS48" s="58">
        <f>1/SUM(1/AS61)</f>
        <v>5.9471299154373357E-4</v>
      </c>
      <c r="AT48" s="121" t="str">
        <f>IFERROR(1/SUM(1/AT49,1/AT52,1/AT54,1/AT58,1/AT59,1/AT61),".")</f>
        <v>.</v>
      </c>
      <c r="AU48" s="58">
        <f>1/SUM(1/AU52,1/AU58,1/AU61)</f>
        <v>0.34590878658131363</v>
      </c>
      <c r="AV48" s="58">
        <f>1/SUM(1/AV49,1/AV52,1/AV58,1/AV61)</f>
        <v>3.3552500813633639E-2</v>
      </c>
      <c r="AW48" s="58">
        <f>1/SUM(1/AW52,1/AW58)</f>
        <v>0.10205783653050829</v>
      </c>
      <c r="AX48" s="42"/>
      <c r="AY48" s="42"/>
      <c r="AZ48" s="42"/>
      <c r="BA48" s="42"/>
      <c r="BB48" s="42"/>
      <c r="BC48" s="42"/>
      <c r="BD48" s="42"/>
      <c r="BE48" s="42"/>
      <c r="BF48" s="42"/>
      <c r="BG48" s="42"/>
      <c r="BH48" s="42"/>
      <c r="BI48" s="42"/>
      <c r="BJ48" s="42"/>
      <c r="BK48" s="42"/>
      <c r="BL48" s="59">
        <f t="shared" ref="BL48" si="218">1/SUM(1/BL49,1/BL52,1/BL54,1/BL58,1/BL59,1/BL61)</f>
        <v>3.2918816887561418E-4</v>
      </c>
      <c r="BM48" s="70"/>
      <c r="BN48" s="70"/>
      <c r="BO48" s="70"/>
      <c r="BP48" s="73"/>
      <c r="BQ48" s="70"/>
      <c r="BR48" s="70"/>
      <c r="BS48" s="70"/>
      <c r="BT48" s="70"/>
      <c r="BU48" s="70"/>
      <c r="BV48" s="70"/>
      <c r="BW48" s="70"/>
      <c r="BX48" s="70"/>
      <c r="BY48" s="70"/>
      <c r="BZ48" s="70"/>
      <c r="CA48" s="47">
        <f t="shared" ref="CA48:CN48" si="219">IFERROR(IF(SUM(BM49:BM62)&gt;0.01,1-EXP(-SUM(BM49:BM62)),SUM(BM49:BM62)),".")</f>
        <v>1.5657421839288184E-7</v>
      </c>
      <c r="CB48" s="47">
        <f t="shared" si="219"/>
        <v>1.7400683053206609E-10</v>
      </c>
      <c r="CC48" s="47">
        <f t="shared" si="219"/>
        <v>6.4902085916573504E-7</v>
      </c>
      <c r="CD48" s="47">
        <f t="shared" si="219"/>
        <v>6.1375441710537946E-6</v>
      </c>
      <c r="CE48" s="47">
        <f t="shared" si="219"/>
        <v>3.630104579045324E-5</v>
      </c>
      <c r="CF48" s="47">
        <f t="shared" si="219"/>
        <v>1.5705667389818573E-5</v>
      </c>
      <c r="CG48" s="47">
        <f t="shared" si="219"/>
        <v>1.0801682455424602E-6</v>
      </c>
      <c r="CH48" s="47">
        <f t="shared" si="219"/>
        <v>0</v>
      </c>
      <c r="CI48" s="47">
        <f t="shared" si="219"/>
        <v>6.508967850000001E-3</v>
      </c>
      <c r="CJ48" s="47">
        <f t="shared" si="219"/>
        <v>8.4074168062499999E-3</v>
      </c>
      <c r="CK48" s="47">
        <f t="shared" si="219"/>
        <v>0</v>
      </c>
      <c r="CL48" s="47">
        <f t="shared" si="219"/>
        <v>1.4454677631684385E-5</v>
      </c>
      <c r="CM48" s="47">
        <f t="shared" si="219"/>
        <v>1.4902018862237275E-4</v>
      </c>
      <c r="CN48" s="47">
        <f t="shared" si="219"/>
        <v>4.8991828261079607E-5</v>
      </c>
      <c r="CO48" s="47">
        <f>IFERROR(IF(SUM(BM49:BZ62)&gt;0.01,1-EXP(-SUM(BM49:BZ62)),SUM(BM49:BZ62)),".")</f>
        <v>1.5074112291089459E-2</v>
      </c>
      <c r="CP48" s="59">
        <f>1/SUM(1/CP49,1/CP52,1/CP54,1/CP58,1/CP59,1/CP61)</f>
        <v>0.6547601949463957</v>
      </c>
      <c r="CQ48" s="59">
        <f>1/SUM(1/CQ49,1/CQ50)</f>
        <v>0.38962035149437679</v>
      </c>
      <c r="CR48" s="59">
        <f>1/SUM(1/CR49,1/CR50,1/CR51,1/CR52,1/CR53,1/CR54,1/CR55,1/CR58,1/CR61,1/CR56,1/CR57,1/CR59,1/CR60,1/CR62)</f>
        <v>1303728.0568981469</v>
      </c>
      <c r="CS48" s="59">
        <f t="shared" ref="CS48" si="220">1/SUM(1/CS49,1/CS52,1/CS54,1/CS58,1/CS59,1/CS61)</f>
        <v>1.5714104343042332</v>
      </c>
      <c r="CT48" s="59">
        <f t="shared" ref="CT48" si="221">1/SUM(1/CT49,1/CT52,1/CT54,1/CT58,1/CT59,1/CT61)</f>
        <v>3.2236564841403159</v>
      </c>
      <c r="CU48" s="59">
        <f t="shared" ref="CU48" si="222">1/SUM(1/CU49,1/CU52,1/CU54,1/CU58,1/CU59,1/CU61)</f>
        <v>5598.1314514476762</v>
      </c>
      <c r="CV48" s="59">
        <f t="shared" ref="CV48" si="223">1/SUM(1/CV49,1/CV52,1/CV54,1/CV58,1/CV59,1/CV61)</f>
        <v>82721.073493493677</v>
      </c>
      <c r="CW48" s="59" t="str">
        <f>(IFERROR(1/SUM(1/CW49,1/CW50,1/CW51,1/CW52,1/CW53,1/CW54,1/CW55,1/CW58,1/CW61),"."))</f>
        <v>.</v>
      </c>
      <c r="CX48" s="59">
        <f>1/SUM(1/CX61)</f>
        <v>13.448289310358275</v>
      </c>
      <c r="CY48" s="59">
        <f>1/SUM(1/CY61)</f>
        <v>10.411578820922536</v>
      </c>
      <c r="CZ48" s="59" t="str">
        <f>(IFERROR(1/SUM(1/CZ49,1/CZ50,1/CZ51,1/CZ52,1/CZ53,1/CZ54,1/CZ55,1/CZ58,1/CZ61),"."))</f>
        <v>.</v>
      </c>
      <c r="DA48" s="59">
        <f>1/SUM(1/DA52,1/DA58,1/DA61)</f>
        <v>6117.4760090743612</v>
      </c>
      <c r="DB48" s="59">
        <f>1/SUM(1/DB49,1/DB52,1/DB58,1/DB61)</f>
        <v>588.43786926301595</v>
      </c>
      <c r="DC48" s="59">
        <f>1/SUM(1/DC52,1/DC58)</f>
        <v>1818.2718002561821</v>
      </c>
      <c r="DD48" s="15"/>
      <c r="DE48" s="15"/>
      <c r="DF48" s="15"/>
      <c r="DG48" s="15"/>
      <c r="DH48" s="15"/>
      <c r="DI48" s="15"/>
      <c r="DJ48" s="15"/>
      <c r="DK48" s="15"/>
      <c r="DL48" s="15"/>
      <c r="DM48" s="15"/>
      <c r="DN48" s="15"/>
      <c r="DO48" s="15"/>
      <c r="DP48" s="15"/>
      <c r="DQ48" s="15"/>
      <c r="DR48" s="59">
        <f>1/SUM(1/DR49,1/DR50,1/DR51,1/DR52,1/DR53,1/DR54,1/DR55,1/DR58,1/DR61,1/DR56,1/DR57,1/DR59,1/DR60,1/DR62)</f>
        <v>0.19181098885729306</v>
      </c>
      <c r="DS48" s="70"/>
      <c r="DT48" s="70"/>
      <c r="DU48" s="70"/>
      <c r="DV48" s="73"/>
      <c r="DW48" s="70"/>
      <c r="DX48" s="70"/>
      <c r="DY48" s="70"/>
      <c r="DZ48" s="70"/>
      <c r="EA48" s="70"/>
      <c r="EB48" s="70"/>
      <c r="EC48" s="70"/>
      <c r="ED48" s="70"/>
      <c r="EE48" s="70"/>
      <c r="EF48" s="70"/>
      <c r="EG48" s="47">
        <f t="shared" ref="EG48:ET48" si="224">IFERROR(IF(SUM(DS49:DS62)&gt;0.01,1-EXP(-SUM(DS49:DS62)),SUM(DS49:DS62)),".")</f>
        <v>7.6363835776689861E-6</v>
      </c>
      <c r="EH48" s="47">
        <f t="shared" si="224"/>
        <v>2.6953994214419269E-5</v>
      </c>
      <c r="EI48" s="47">
        <f t="shared" si="224"/>
        <v>3.8351556319928337E-12</v>
      </c>
      <c r="EJ48" s="47">
        <f t="shared" si="224"/>
        <v>3.1818550847552663E-6</v>
      </c>
      <c r="EK48" s="47">
        <f t="shared" si="224"/>
        <v>1.5510337483534318E-6</v>
      </c>
      <c r="EL48" s="47">
        <f t="shared" si="224"/>
        <v>8.93155161389967E-10</v>
      </c>
      <c r="EM48" s="47">
        <f t="shared" si="224"/>
        <v>6.0444089865362638E-11</v>
      </c>
      <c r="EN48" s="47">
        <f t="shared" si="224"/>
        <v>0</v>
      </c>
      <c r="EO48" s="47">
        <f t="shared" si="224"/>
        <v>3.7179449999999999E-7</v>
      </c>
      <c r="EP48" s="47">
        <f t="shared" si="224"/>
        <v>4.8023456250000004E-7</v>
      </c>
      <c r="EQ48" s="47">
        <f t="shared" si="224"/>
        <v>0</v>
      </c>
      <c r="ER48" s="47">
        <f t="shared" si="224"/>
        <v>8.1733054491480583E-10</v>
      </c>
      <c r="ES48" s="47">
        <f t="shared" si="224"/>
        <v>8.4970737968686634E-9</v>
      </c>
      <c r="ET48" s="47">
        <f t="shared" si="224"/>
        <v>2.7498639088476945E-9</v>
      </c>
      <c r="EU48" s="47">
        <f>IFERROR(IF(SUM(DS49:EF62)&gt;0.01,1-EXP(-SUM(DS49:EF62)),SUM(DS49:EF62)),".")</f>
        <v>4.0188317390354459E-5</v>
      </c>
      <c r="EV48" s="59">
        <f>1/SUM(1/EV49,1/EV50,1/EV51,1/EV52,1/EV54,1/EV58,1/EV59,1/EV61)</f>
        <v>9.2750632062635216E-2</v>
      </c>
      <c r="EW48" s="59">
        <f t="shared" ref="EW48:EX48" si="225">1/SUM(1/EW49,1/EW50,1/EW51,1/EW52,1/EW53,1/EW54,1/EW55,1/EW58,1/EW61,1/EW56,1/EW57,1/EW59,1/EW60,1/EW62)</f>
        <v>1130.0310562041309</v>
      </c>
      <c r="EX48" s="59">
        <f t="shared" si="225"/>
        <v>9.2743019905722882E-2</v>
      </c>
      <c r="EY48" s="70"/>
      <c r="EZ48" s="70"/>
      <c r="FA48" s="47">
        <f>IFERROR(IF(SUM(EY49:EY62)&gt;0.01,1-EXP(-SUM(EY49:EY62)),SUM(EY49:EY62)),".")</f>
        <v>5.3907988428838538E-5</v>
      </c>
      <c r="FB48" s="47">
        <f>IFERROR(IF(SUM(EZ49:EZ62)&gt;0.01,1-EXP(-SUM(EZ49:EZ62)),SUM(EZ49:EZ62)),".")</f>
        <v>4.4246571565877307E-9</v>
      </c>
      <c r="FC48" s="47">
        <f>IFERROR(IF(SUM(EY49:EZ62)&gt;0.01,1-EXP(-SUM(EY49:EZ62)),SUM(EY49:EZ62)),".")</f>
        <v>5.391241308599512E-5</v>
      </c>
    </row>
    <row r="49" spans="1:159" x14ac:dyDescent="0.25">
      <c r="A49" s="83" t="s">
        <v>1103</v>
      </c>
      <c r="B49" s="42">
        <v>1</v>
      </c>
      <c r="C49" s="60">
        <f t="shared" ref="C49:M49" si="226">IFERROR(C23/$B49,0)</f>
        <v>0.17676276669082425</v>
      </c>
      <c r="D49" s="60">
        <f t="shared" si="226"/>
        <v>0.70705106676329699</v>
      </c>
      <c r="E49" s="60">
        <f t="shared" si="226"/>
        <v>0.70705106676329699</v>
      </c>
      <c r="F49" s="60">
        <f t="shared" si="226"/>
        <v>0.70705106676329699</v>
      </c>
      <c r="G49" s="60">
        <f t="shared" si="226"/>
        <v>0.70705106676329699</v>
      </c>
      <c r="H49" s="60">
        <f t="shared" si="226"/>
        <v>0.70705106676329699</v>
      </c>
      <c r="I49" s="60">
        <f t="shared" si="226"/>
        <v>0.70705106676329699</v>
      </c>
      <c r="J49" s="60">
        <f t="shared" si="226"/>
        <v>0.70705106676329699</v>
      </c>
      <c r="K49" s="60">
        <f t="shared" si="226"/>
        <v>0.70705106676329699</v>
      </c>
      <c r="L49" s="60">
        <f t="shared" si="226"/>
        <v>0.70705106676329699</v>
      </c>
      <c r="M49" s="60">
        <f t="shared" si="226"/>
        <v>0.70705106676329699</v>
      </c>
      <c r="N49" s="71">
        <f>s_dir!BA49</f>
        <v>2.8286499999999998E-5</v>
      </c>
      <c r="O49" s="71">
        <f>IFERROR(s_RadSpec!$E$23*O23,".")*$B$49</f>
        <v>7.0716249999999994E-6</v>
      </c>
      <c r="P49" s="71">
        <f>IFERROR(s_RadSpec!$E$23*P23,".")*$B$49</f>
        <v>7.0716249999999994E-6</v>
      </c>
      <c r="Q49" s="71">
        <f>IFERROR(s_RadSpec!$E$23*Q23,".")*$B$49</f>
        <v>7.0716249999999994E-6</v>
      </c>
      <c r="R49" s="71">
        <f>IFERROR(s_RadSpec!$E$23*R23,".")*$B$49</f>
        <v>7.0716249999999994E-6</v>
      </c>
      <c r="S49" s="71">
        <f>IFERROR(s_RadSpec!$E$23*S23,".")*$B$49</f>
        <v>7.0716249999999994E-6</v>
      </c>
      <c r="T49" s="71">
        <f>IFERROR(s_RadSpec!$E$23*T23,".")*$B$49</f>
        <v>7.0716249999999994E-6</v>
      </c>
      <c r="U49" s="71">
        <f>IFERROR(s_RadSpec!$E$23*U23,".")*$B$49</f>
        <v>7.0716249999999994E-6</v>
      </c>
      <c r="V49" s="71">
        <f>IFERROR(s_RadSpec!$E$23*V23,".")*$B$49</f>
        <v>7.0716249999999994E-6</v>
      </c>
      <c r="W49" s="71">
        <f>IFERROR(s_RadSpec!$E$23*W23,".")*$B$49</f>
        <v>7.0716249999999994E-6</v>
      </c>
      <c r="X49" s="71">
        <f>IFERROR(s_RadSpec!$E$23*X23,".")*$B$49</f>
        <v>7.0716249999999994E-6</v>
      </c>
      <c r="Y49" s="49">
        <f t="shared" ref="Y49:Y62" si="227">IFERROR(IF(N49&gt;0.01,1-EXP(-N49),N49),".")</f>
        <v>2.8286499999999998E-5</v>
      </c>
      <c r="Z49" s="49">
        <f t="shared" ref="Z49:Z62" si="228">IFERROR(IF(O49&gt;0.01,1-EXP(-O49),O49),".")</f>
        <v>7.0716249999999994E-6</v>
      </c>
      <c r="AA49" s="49">
        <f t="shared" ref="AA49:AA62" si="229">IFERROR(IF(P49&gt;0.01,1-EXP(-P49),P49),".")</f>
        <v>7.0716249999999994E-6</v>
      </c>
      <c r="AB49" s="49">
        <f t="shared" ref="AB49:AB62" si="230">IFERROR(IF(Q49&gt;0.01,1-EXP(-Q49),Q49),".")</f>
        <v>7.0716249999999994E-6</v>
      </c>
      <c r="AC49" s="49">
        <f t="shared" ref="AC49:AC62" si="231">IFERROR(IF(R49&gt;0.01,1-EXP(-R49),R49),".")</f>
        <v>7.0716249999999994E-6</v>
      </c>
      <c r="AD49" s="49">
        <f t="shared" ref="AD49:AD62" si="232">IFERROR(IF(S49&gt;0.01,1-EXP(-S49),S49),".")</f>
        <v>7.0716249999999994E-6</v>
      </c>
      <c r="AE49" s="49">
        <f t="shared" ref="AE49:AE62" si="233">IFERROR(IF(T49&gt;0.01,1-EXP(-T49),T49),".")</f>
        <v>7.0716249999999994E-6</v>
      </c>
      <c r="AF49" s="49">
        <f t="shared" ref="AF49:AF62" si="234">IFERROR(IF(U49&gt;0.01,1-EXP(-U49),U49),".")</f>
        <v>7.0716249999999994E-6</v>
      </c>
      <c r="AG49" s="49">
        <f t="shared" ref="AG49:AG62" si="235">IFERROR(IF(V49&gt;0.01,1-EXP(-V49),V49),".")</f>
        <v>7.0716249999999994E-6</v>
      </c>
      <c r="AH49" s="49">
        <f t="shared" ref="AH49:AH62" si="236">IFERROR(IF(W49&gt;0.01,1-EXP(-W49),W49),".")</f>
        <v>7.0716249999999994E-6</v>
      </c>
      <c r="AI49" s="49">
        <f t="shared" ref="AI49:AI62" si="237">IFERROR(IF(X49&gt;0.01,1-EXP(-X49),X49),".")</f>
        <v>7.0716249999999994E-6</v>
      </c>
      <c r="AJ49" s="60">
        <f t="shared" ref="AJ49:AW49" si="238">IFERROR(AJ23/$B49,0)</f>
        <v>268.52485868879307</v>
      </c>
      <c r="AK49" s="60">
        <f t="shared" si="238"/>
        <v>60357.83220844563</v>
      </c>
      <c r="AL49" s="60">
        <f t="shared" si="238"/>
        <v>3210.3228483069324</v>
      </c>
      <c r="AM49" s="60">
        <f t="shared" si="238"/>
        <v>4.0900738518152195</v>
      </c>
      <c r="AN49" s="60">
        <f>IFERROR(AN23/$B49,0)</f>
        <v>0.17676276669082425</v>
      </c>
      <c r="AO49" s="60">
        <f>IFERROR(AO23/$B49,0)</f>
        <v>4.6242016770085952</v>
      </c>
      <c r="AP49" s="60">
        <f>IFERROR(AP23/$B49,0)</f>
        <v>21.30783456958434</v>
      </c>
      <c r="AQ49" s="60">
        <f>IFERROR(AQ23/$B49,0)</f>
        <v>0</v>
      </c>
      <c r="AR49" s="60">
        <f t="shared" si="238"/>
        <v>0</v>
      </c>
      <c r="AS49" s="60">
        <f t="shared" si="238"/>
        <v>0</v>
      </c>
      <c r="AT49" s="60">
        <f t="shared" si="238"/>
        <v>0</v>
      </c>
      <c r="AU49" s="60">
        <f>IFERROR(AU23/$B49,0)</f>
        <v>0</v>
      </c>
      <c r="AV49" s="60">
        <f t="shared" si="238"/>
        <v>1.5722285701829222</v>
      </c>
      <c r="AW49" s="60">
        <f t="shared" si="238"/>
        <v>0</v>
      </c>
      <c r="AX49" s="42"/>
      <c r="AY49" s="42"/>
      <c r="AZ49" s="42"/>
      <c r="BA49" s="42"/>
      <c r="BB49" s="42"/>
      <c r="BC49" s="42"/>
      <c r="BD49" s="42"/>
      <c r="BE49" s="42"/>
      <c r="BF49" s="42"/>
      <c r="BG49" s="42"/>
      <c r="BH49" s="42"/>
      <c r="BI49" s="42"/>
      <c r="BJ49" s="42"/>
      <c r="BK49" s="42"/>
      <c r="BL49" s="60">
        <f>IFERROR(BL23/$B49,0)</f>
        <v>0.14694923939823312</v>
      </c>
      <c r="BM49" s="71">
        <f>IFERROR(s_RadSpec!$D$23*BM23,".")*$B$49</f>
        <v>1.8620249999999998E-8</v>
      </c>
      <c r="BN49" s="71">
        <f>IFERROR(s_RadSpec!$G$23*BN23,".")*$B$49</f>
        <v>8.2839290561869603E-11</v>
      </c>
      <c r="BO49" s="71">
        <f>IFERROR(s_RadSpec!$F$23*BO23,".")*$B$49</f>
        <v>1.5574757543892858E-9</v>
      </c>
      <c r="BP49" s="71">
        <f>s_b2s!BZ49</f>
        <v>1.2224718137499999E-6</v>
      </c>
      <c r="BQ49" s="71">
        <f>IFERROR(s_RadSpec!$E$23*BQ23,".")*$B$49</f>
        <v>2.8286499999999998E-5</v>
      </c>
      <c r="BR49" s="71">
        <f>IFERROR(s_RadSpec!$E$23*BR23,".")*$B$49</f>
        <v>1.0812677191091953E-6</v>
      </c>
      <c r="BS49" s="71">
        <f>IFERROR(s_RadSpec!$E$23*BS23,".")*$B$49</f>
        <v>2.3465547302198419E-7</v>
      </c>
      <c r="BT49" s="71">
        <f>IFERROR(s_RadSpec!$E$23*BT23,".")*$B$49</f>
        <v>0</v>
      </c>
      <c r="BU49" s="71">
        <f>IFERROR(s_RadSpec!$E$23*BU23,".")*$B$49</f>
        <v>0</v>
      </c>
      <c r="BV49" s="71">
        <f>IFERROR(s_RadSpec!$E$23*BV23,".")*$B$49</f>
        <v>0</v>
      </c>
      <c r="BW49" s="71">
        <f>IFERROR(s_RadSpec!$E$23*BW23,".")*$B$49</f>
        <v>0</v>
      </c>
      <c r="BX49" s="71">
        <f>IFERROR(s_RadSpec!$E$23*BX23,".")*$B$49</f>
        <v>0</v>
      </c>
      <c r="BY49" s="71">
        <f>IFERROR(s_RadSpec!$E$23*BY23,".")*$B$49</f>
        <v>3.1801991738505752E-6</v>
      </c>
      <c r="BZ49" s="71">
        <f>IFERROR(s_RadSpec!$E$23*BZ23,".")*$B$49</f>
        <v>0</v>
      </c>
      <c r="CA49" s="49">
        <f t="shared" ref="CA49:CA62" si="239">IFERROR(IF(BM49&gt;0.01,1-EXP(-BM49),BM49),".")</f>
        <v>1.8620249999999998E-8</v>
      </c>
      <c r="CB49" s="49">
        <f t="shared" ref="CB49:CB62" si="240">IFERROR(IF(BN49&gt;0.01,1-EXP(-BN49),BN49),".")</f>
        <v>8.2839290561869603E-11</v>
      </c>
      <c r="CC49" s="49">
        <f t="shared" ref="CC49:CC62" si="241">IFERROR(IF(BO49&gt;0.01,1-EXP(-BO49),BO49),".")</f>
        <v>1.5574757543892858E-9</v>
      </c>
      <c r="CD49" s="49">
        <f t="shared" ref="CD49:CD62" si="242">IFERROR(IF(BP49&gt;0.01,1-EXP(-BP49),BP49),".")</f>
        <v>1.2224718137499999E-6</v>
      </c>
      <c r="CE49" s="49">
        <f t="shared" ref="CE49:CE62" si="243">IFERROR(IF(BQ49&gt;0.01,1-EXP(-BQ49),BQ49),".")</f>
        <v>2.8286499999999998E-5</v>
      </c>
      <c r="CF49" s="49">
        <f t="shared" ref="CF49:CF62" si="244">IFERROR(IF(BR49&gt;0.01,1-EXP(-BR49),BR49),".")</f>
        <v>1.0812677191091953E-6</v>
      </c>
      <c r="CG49" s="49">
        <f t="shared" ref="CG49:CG62" si="245">IFERROR(IF(BS49&gt;0.01,1-EXP(-BS49),BS49),".")</f>
        <v>2.3465547302198419E-7</v>
      </c>
      <c r="CH49" s="49">
        <f t="shared" ref="CH49:CH62" si="246">IFERROR(IF(BT49&gt;0.01,1-EXP(-BT49),BT49),".")</f>
        <v>0</v>
      </c>
      <c r="CI49" s="49">
        <f t="shared" ref="CI49:CI62" si="247">IFERROR(IF(BU49&gt;0.01,1-EXP(-BU49),BU49),".")</f>
        <v>0</v>
      </c>
      <c r="CJ49" s="49">
        <f t="shared" ref="CJ49:CJ62" si="248">IFERROR(IF(BV49&gt;0.01,1-EXP(-BV49),BV49),".")</f>
        <v>0</v>
      </c>
      <c r="CK49" s="49">
        <f t="shared" ref="CK49:CK62" si="249">IFERROR(IF(BW49&gt;0.01,1-EXP(-BW49),BW49),".")</f>
        <v>0</v>
      </c>
      <c r="CL49" s="49">
        <f t="shared" ref="CL49:CL62" si="250">IFERROR(IF(BX49&gt;0.01,1-EXP(-BX49),BX49),".")</f>
        <v>0</v>
      </c>
      <c r="CM49" s="49">
        <f t="shared" ref="CM49:CM62" si="251">IFERROR(IF(BY49&gt;0.01,1-EXP(-BY49),BY49),".")</f>
        <v>3.1801991738505752E-6</v>
      </c>
      <c r="CN49" s="49">
        <f t="shared" ref="CN49:CN62" si="252">IFERROR(IF(BZ49&gt;0.01,1-EXP(-BZ49),BZ49),".")</f>
        <v>0</v>
      </c>
      <c r="CO49" s="49">
        <f t="shared" ref="CO49:CO62" si="253">IFERROR(IF(SUM(BM49:BZ49)&gt;0.01,1-EXP(-SUM(BM49:BZ49)),SUM(BM49:BZ49)),".")</f>
        <v>3.4025354744776699E-5</v>
      </c>
      <c r="CP49" s="60">
        <f t="shared" ref="CP49:DC49" si="254">IFERROR(CP23/$B49,0)</f>
        <v>5.1975051975051976</v>
      </c>
      <c r="CQ49" s="60">
        <f t="shared" si="254"/>
        <v>0.38965190082141465</v>
      </c>
      <c r="CR49" s="60">
        <f t="shared" si="254"/>
        <v>349272295.09649903</v>
      </c>
      <c r="CS49" s="60">
        <f t="shared" si="254"/>
        <v>10.042370864491518</v>
      </c>
      <c r="CT49" s="60">
        <f>IFERROR(CT23/$B49,0)</f>
        <v>176.76276669082424</v>
      </c>
      <c r="CU49" s="60">
        <f>IFERROR(CU23/$B49,0)</f>
        <v>83182.478442740845</v>
      </c>
      <c r="CV49" s="60">
        <f>IFERROR(CV23/$B49,0)</f>
        <v>383296.10461378726</v>
      </c>
      <c r="CW49" s="60">
        <f>IFERROR(CW23/$B49,0)</f>
        <v>0</v>
      </c>
      <c r="CX49" s="60">
        <f t="shared" si="254"/>
        <v>0</v>
      </c>
      <c r="CY49" s="60">
        <f t="shared" si="254"/>
        <v>0</v>
      </c>
      <c r="CZ49" s="60">
        <f t="shared" si="254"/>
        <v>0</v>
      </c>
      <c r="DA49" s="60">
        <f>IFERROR(DA23/$B49,0)</f>
        <v>0</v>
      </c>
      <c r="DB49" s="60">
        <f t="shared" si="254"/>
        <v>28282.042670531879</v>
      </c>
      <c r="DC49" s="60">
        <f t="shared" si="254"/>
        <v>0</v>
      </c>
      <c r="DD49" s="15"/>
      <c r="DE49" s="15"/>
      <c r="DF49" s="15"/>
      <c r="DG49" s="15"/>
      <c r="DH49" s="15"/>
      <c r="DI49" s="15"/>
      <c r="DJ49" s="15"/>
      <c r="DK49" s="15"/>
      <c r="DL49" s="15"/>
      <c r="DM49" s="15"/>
      <c r="DN49" s="15"/>
      <c r="DO49" s="15"/>
      <c r="DP49" s="15"/>
      <c r="DQ49" s="15"/>
      <c r="DR49" s="60">
        <f>IFERROR(DR23/$B49,0)</f>
        <v>0.34915242899481047</v>
      </c>
      <c r="DS49" s="71">
        <f>IFERROR(s_RadSpec!$H$23*DS23,".")*$B$49</f>
        <v>9.6200000000000006E-7</v>
      </c>
      <c r="DT49" s="71">
        <f>IFERROR(s_RadSpec!$G$23*DT23,".")*$B$49</f>
        <v>1.2831966145833331E-5</v>
      </c>
      <c r="DU49" s="71">
        <f>IFERROR(s_RadSpec!$L$23*DU23,".")*$B$49</f>
        <v>1.4315478410958905E-14</v>
      </c>
      <c r="DV49" s="71">
        <f>s_b2w!BZ49</f>
        <v>4.9789039535268834E-7</v>
      </c>
      <c r="DW49" s="71">
        <f>IFERROR(s_RadSpec!$E$23*DW23,".")*$B$49</f>
        <v>2.82865E-8</v>
      </c>
      <c r="DX49" s="71">
        <f>IFERROR(s_RadSpec!$E$23*DX23,".")*$B$49</f>
        <v>6.0108812499999996E-11</v>
      </c>
      <c r="DY49" s="71">
        <f>IFERROR(s_RadSpec!$E$23*DY23,".")*$B$49</f>
        <v>1.3044745145631068E-11</v>
      </c>
      <c r="DZ49" s="71">
        <f>IFERROR(s_RadSpec!$E$23*DZ23,".")*$B$49</f>
        <v>0</v>
      </c>
      <c r="EA49" s="71">
        <f>IFERROR(s_RadSpec!$E$23*EA23,".")*$B$49</f>
        <v>0</v>
      </c>
      <c r="EB49" s="71">
        <f>IFERROR(s_RadSpec!$E$23*EB23,".")*$B$49</f>
        <v>0</v>
      </c>
      <c r="EC49" s="71">
        <f>IFERROR(s_RadSpec!$E$23*EC23,".")*$B$49</f>
        <v>0</v>
      </c>
      <c r="ED49" s="71">
        <f>IFERROR(s_RadSpec!$E$23*ED23,".")*$B$49</f>
        <v>0</v>
      </c>
      <c r="EE49" s="71">
        <f>IFERROR(s_RadSpec!$E$23*EE23,".")*$B$49</f>
        <v>1.7679062499999998E-10</v>
      </c>
      <c r="EF49" s="71">
        <f>IFERROR(s_RadSpec!$E$23*EF23,".")*$B$49</f>
        <v>0</v>
      </c>
      <c r="EG49" s="49">
        <f t="shared" ref="EG49:EG62" si="255">IFERROR(IF(DS49&gt;0.01,1-EXP(-DS49),DS49),".")</f>
        <v>9.6200000000000006E-7</v>
      </c>
      <c r="EH49" s="49">
        <f t="shared" ref="EH49:EH62" si="256">IFERROR(IF(DT49&gt;0.01,1-EXP(-DT49),DT49),".")</f>
        <v>1.2831966145833331E-5</v>
      </c>
      <c r="EI49" s="49">
        <f t="shared" ref="EI49:EI62" si="257">IFERROR(IF(DU49&gt;0.01,1-EXP(-DU49),DU49),".")</f>
        <v>1.4315478410958905E-14</v>
      </c>
      <c r="EJ49" s="49">
        <f t="shared" ref="EJ49:EJ62" si="258">IFERROR(IF(DV49&gt;0.01,1-EXP(-DV49),DV49),".")</f>
        <v>4.9789039535268834E-7</v>
      </c>
      <c r="EK49" s="49">
        <f t="shared" ref="EK49:EK62" si="259">IFERROR(IF(DW49&gt;0.01,1-EXP(-DW49),DW49),".")</f>
        <v>2.82865E-8</v>
      </c>
      <c r="EL49" s="49">
        <f t="shared" ref="EL49:EL62" si="260">IFERROR(IF(DX49&gt;0.01,1-EXP(-DX49),DX49),".")</f>
        <v>6.0108812499999996E-11</v>
      </c>
      <c r="EM49" s="49">
        <f t="shared" ref="EM49:EM62" si="261">IFERROR(IF(DY49&gt;0.01,1-EXP(-DY49),DY49),".")</f>
        <v>1.3044745145631068E-11</v>
      </c>
      <c r="EN49" s="49">
        <f t="shared" ref="EN49:EN62" si="262">IFERROR(IF(DZ49&gt;0.01,1-EXP(-DZ49),DZ49),".")</f>
        <v>0</v>
      </c>
      <c r="EO49" s="49">
        <f t="shared" ref="EO49:EO62" si="263">IFERROR(IF(EA49&gt;0.01,1-EXP(-EA49),EA49),".")</f>
        <v>0</v>
      </c>
      <c r="EP49" s="49">
        <f t="shared" ref="EP49:EP62" si="264">IFERROR(IF(EB49&gt;0.01,1-EXP(-EB49),EB49),".")</f>
        <v>0</v>
      </c>
      <c r="EQ49" s="49">
        <f t="shared" ref="EQ49:EQ62" si="265">IFERROR(IF(EC49&gt;0.01,1-EXP(-EC49),EC49),".")</f>
        <v>0</v>
      </c>
      <c r="ER49" s="49">
        <f t="shared" ref="ER49:ER62" si="266">IFERROR(IF(ED49&gt;0.01,1-EXP(-ED49),ED49),".")</f>
        <v>0</v>
      </c>
      <c r="ES49" s="49">
        <f t="shared" ref="ES49:ES62" si="267">IFERROR(IF(EE49&gt;0.01,1-EXP(-EE49),EE49),".")</f>
        <v>1.7679062499999998E-10</v>
      </c>
      <c r="ET49" s="49">
        <f t="shared" ref="ET49:ET62" si="268">IFERROR(IF(EF49&gt;0.01,1-EXP(-EF49),EF49),".")</f>
        <v>0</v>
      </c>
      <c r="EU49" s="49">
        <f t="shared" ref="EU49:EU62" si="269">IFERROR(IF(SUM(DS49:EF49)&gt;0.01,1-EXP(-SUM(DS49:EF49)),SUM(DS49:EF49)),".")</f>
        <v>1.4320392999684143E-5</v>
      </c>
      <c r="EV49" s="60">
        <f>IFERROR(EV23/$B49,0)</f>
        <v>0.19482595041070733</v>
      </c>
      <c r="EW49" s="60">
        <f>IFERROR(EW23/$B49,0)</f>
        <v>307474.13519150822</v>
      </c>
      <c r="EX49" s="60">
        <f>IFERROR(EX23/$B49,0)</f>
        <v>0.19482582696251266</v>
      </c>
      <c r="EY49" s="71">
        <f>IFERROR(s_RadSpec!$G$23*EY23,".")*$B$49</f>
        <v>2.5663932291666662E-5</v>
      </c>
      <c r="EZ49" s="71">
        <f>IFERROR(s_RadSpec!$J$23*EZ23,".")*$B$49</f>
        <v>1.6261530410958901E-11</v>
      </c>
      <c r="FA49" s="49">
        <f t="shared" ref="FA49:FB62" si="270">IFERROR(IF(EY49&gt;0.01,1-EXP(-EY49),EY49),".")</f>
        <v>2.5663932291666662E-5</v>
      </c>
      <c r="FB49" s="49">
        <f t="shared" si="270"/>
        <v>1.6261530410958901E-11</v>
      </c>
      <c r="FC49" s="49">
        <f t="shared" ref="FC49:FC62" si="271">IFERROR(IF(SUM(EY49:EZ49)&gt;0.01,1-EXP(-SUM(EY49:EZ49)),SUM(EY49:EZ49)),".")</f>
        <v>2.5663948553197074E-5</v>
      </c>
    </row>
    <row r="50" spans="1:159" x14ac:dyDescent="0.25">
      <c r="A50" s="83" t="s">
        <v>1090</v>
      </c>
      <c r="B50" s="42">
        <v>1</v>
      </c>
      <c r="C50" s="60">
        <f t="shared" ref="C50:M50" si="272">IFERROR(C25/$B50,0)</f>
        <v>0</v>
      </c>
      <c r="D50" s="60">
        <f t="shared" si="272"/>
        <v>0</v>
      </c>
      <c r="E50" s="60">
        <f t="shared" si="272"/>
        <v>0</v>
      </c>
      <c r="F50" s="60">
        <f t="shared" si="272"/>
        <v>0</v>
      </c>
      <c r="G50" s="60">
        <f t="shared" si="272"/>
        <v>0</v>
      </c>
      <c r="H50" s="60">
        <f t="shared" si="272"/>
        <v>0</v>
      </c>
      <c r="I50" s="60">
        <f t="shared" si="272"/>
        <v>0</v>
      </c>
      <c r="J50" s="60">
        <f t="shared" si="272"/>
        <v>0</v>
      </c>
      <c r="K50" s="60">
        <f t="shared" si="272"/>
        <v>0</v>
      </c>
      <c r="L50" s="60">
        <f t="shared" si="272"/>
        <v>0</v>
      </c>
      <c r="M50" s="60">
        <f t="shared" si="272"/>
        <v>0</v>
      </c>
      <c r="N50" s="71">
        <f>s_dir!BA50</f>
        <v>0</v>
      </c>
      <c r="O50" s="71">
        <f>IFERROR(s_RadSpec!$E$25*O25,".")*$B$50</f>
        <v>0</v>
      </c>
      <c r="P50" s="71">
        <f>IFERROR(s_RadSpec!$E$25*P25,".")*$B$50</f>
        <v>0</v>
      </c>
      <c r="Q50" s="71">
        <f>IFERROR(s_RadSpec!$E$25*Q25,".")*$B$50</f>
        <v>0</v>
      </c>
      <c r="R50" s="71">
        <f>IFERROR(s_RadSpec!$E$25*R25,".")*$B$50</f>
        <v>0</v>
      </c>
      <c r="S50" s="71">
        <f>IFERROR(s_RadSpec!$E$25*S25,".")*$B$50</f>
        <v>0</v>
      </c>
      <c r="T50" s="71">
        <f>IFERROR(s_RadSpec!$E$25*T25,".")*$B$50</f>
        <v>0</v>
      </c>
      <c r="U50" s="71">
        <f>IFERROR(s_RadSpec!$E$25*U25,".")*$B$50</f>
        <v>0</v>
      </c>
      <c r="V50" s="71">
        <f>IFERROR(s_RadSpec!$E$25*V25,".")*$B$50</f>
        <v>0</v>
      </c>
      <c r="W50" s="71">
        <f>IFERROR(s_RadSpec!$E$25*W25,".")*$B$50</f>
        <v>0</v>
      </c>
      <c r="X50" s="71">
        <f>IFERROR(s_RadSpec!$E$25*X25,".")*$B$50</f>
        <v>0</v>
      </c>
      <c r="Y50" s="49">
        <f t="shared" si="227"/>
        <v>0</v>
      </c>
      <c r="Z50" s="49">
        <f t="shared" si="228"/>
        <v>0</v>
      </c>
      <c r="AA50" s="49">
        <f t="shared" si="229"/>
        <v>0</v>
      </c>
      <c r="AB50" s="49">
        <f t="shared" si="230"/>
        <v>0</v>
      </c>
      <c r="AC50" s="49">
        <f t="shared" si="231"/>
        <v>0</v>
      </c>
      <c r="AD50" s="49">
        <f t="shared" si="232"/>
        <v>0</v>
      </c>
      <c r="AE50" s="49">
        <f t="shared" si="233"/>
        <v>0</v>
      </c>
      <c r="AF50" s="49">
        <f t="shared" si="234"/>
        <v>0</v>
      </c>
      <c r="AG50" s="49">
        <f t="shared" si="235"/>
        <v>0</v>
      </c>
      <c r="AH50" s="49">
        <f t="shared" si="236"/>
        <v>0</v>
      </c>
      <c r="AI50" s="49">
        <f t="shared" si="237"/>
        <v>0</v>
      </c>
      <c r="AJ50" s="60">
        <f t="shared" ref="AJ50:AW50" si="273">IFERROR(AJ25/$B50,0)</f>
        <v>0</v>
      </c>
      <c r="AK50" s="60">
        <f t="shared" si="273"/>
        <v>745392755.04087865</v>
      </c>
      <c r="AL50" s="60">
        <f t="shared" si="273"/>
        <v>69264.357648274017</v>
      </c>
      <c r="AM50" s="60">
        <f t="shared" si="273"/>
        <v>0</v>
      </c>
      <c r="AN50" s="60">
        <f>IFERROR(AN25/$B50,0)</f>
        <v>0</v>
      </c>
      <c r="AO50" s="60">
        <f>IFERROR(AO25/$B50,0)</f>
        <v>0</v>
      </c>
      <c r="AP50" s="60">
        <f>IFERROR(AP25/$B50,0)</f>
        <v>0</v>
      </c>
      <c r="AQ50" s="60">
        <f>IFERROR(AQ25/$B50,0)</f>
        <v>0</v>
      </c>
      <c r="AR50" s="60">
        <f t="shared" si="273"/>
        <v>0</v>
      </c>
      <c r="AS50" s="60">
        <f t="shared" si="273"/>
        <v>0</v>
      </c>
      <c r="AT50" s="60">
        <f t="shared" si="273"/>
        <v>0</v>
      </c>
      <c r="AU50" s="60">
        <f>IFERROR(AU25/$B50,0)</f>
        <v>0</v>
      </c>
      <c r="AV50" s="60">
        <f t="shared" si="273"/>
        <v>0</v>
      </c>
      <c r="AW50" s="60">
        <f t="shared" si="273"/>
        <v>0</v>
      </c>
      <c r="AX50" s="42"/>
      <c r="AY50" s="42"/>
      <c r="AZ50" s="42"/>
      <c r="BA50" s="42"/>
      <c r="BB50" s="42"/>
      <c r="BC50" s="42"/>
      <c r="BD50" s="42"/>
      <c r="BE50" s="42"/>
      <c r="BF50" s="42"/>
      <c r="BG50" s="42"/>
      <c r="BH50" s="42"/>
      <c r="BI50" s="42"/>
      <c r="BJ50" s="42"/>
      <c r="BK50" s="42"/>
      <c r="BL50" s="60">
        <f>IFERROR(BL25/$B50,0)</f>
        <v>69257.921973329372</v>
      </c>
      <c r="BM50" s="71">
        <f>IFERROR(s_RadSpec!$D$25*BM25,".")*$B$50</f>
        <v>0</v>
      </c>
      <c r="BN50" s="71">
        <f>IFERROR(s_RadSpec!$G$25*BN25,".")*$B$50</f>
        <v>6.707873085948883E-15</v>
      </c>
      <c r="BO50" s="71">
        <f>IFERROR(s_RadSpec!$F$25*BO25,".")*$B$50</f>
        <v>7.2187199445205463E-11</v>
      </c>
      <c r="BP50" s="71">
        <f>s_b2s!BZ50</f>
        <v>0</v>
      </c>
      <c r="BQ50" s="71">
        <f>IFERROR(s_RadSpec!$E$25*BQ25,".")*$B$50</f>
        <v>0</v>
      </c>
      <c r="BR50" s="71">
        <f>IFERROR(s_RadSpec!$E$25*BR25,".")*$B$50</f>
        <v>0</v>
      </c>
      <c r="BS50" s="71">
        <f>IFERROR(s_RadSpec!$E$25*BS25,".")*$B$50</f>
        <v>0</v>
      </c>
      <c r="BT50" s="71">
        <f>IFERROR(s_RadSpec!$E$25*BT25,".")*$B$50</f>
        <v>0</v>
      </c>
      <c r="BU50" s="71">
        <f>IFERROR(s_RadSpec!$E$25*BU25,".")*$B$50</f>
        <v>0</v>
      </c>
      <c r="BV50" s="71">
        <f>IFERROR(s_RadSpec!$E$25*BV25,".")*$B$50</f>
        <v>0</v>
      </c>
      <c r="BW50" s="71">
        <f>IFERROR(s_RadSpec!$E$25*BW25,".")*$B$50</f>
        <v>0</v>
      </c>
      <c r="BX50" s="71">
        <f>IFERROR(s_RadSpec!$E$25*BX25,".")*$B$50</f>
        <v>0</v>
      </c>
      <c r="BY50" s="71">
        <f>IFERROR(s_RadSpec!$E$25*BY25,".")*$B$50</f>
        <v>0</v>
      </c>
      <c r="BZ50" s="71">
        <f>IFERROR(s_RadSpec!$E$25*BZ25,".")*$B$50</f>
        <v>0</v>
      </c>
      <c r="CA50" s="49">
        <f t="shared" si="239"/>
        <v>0</v>
      </c>
      <c r="CB50" s="49">
        <f t="shared" si="240"/>
        <v>6.707873085948883E-15</v>
      </c>
      <c r="CC50" s="49">
        <f t="shared" si="241"/>
        <v>7.2187199445205463E-11</v>
      </c>
      <c r="CD50" s="49">
        <f t="shared" si="242"/>
        <v>0</v>
      </c>
      <c r="CE50" s="49">
        <f t="shared" si="243"/>
        <v>0</v>
      </c>
      <c r="CF50" s="49">
        <f t="shared" si="244"/>
        <v>0</v>
      </c>
      <c r="CG50" s="49">
        <f t="shared" si="245"/>
        <v>0</v>
      </c>
      <c r="CH50" s="49">
        <f t="shared" si="246"/>
        <v>0</v>
      </c>
      <c r="CI50" s="49">
        <f t="shared" si="247"/>
        <v>0</v>
      </c>
      <c r="CJ50" s="49">
        <f t="shared" si="248"/>
        <v>0</v>
      </c>
      <c r="CK50" s="49">
        <f t="shared" si="249"/>
        <v>0</v>
      </c>
      <c r="CL50" s="49">
        <f t="shared" si="250"/>
        <v>0</v>
      </c>
      <c r="CM50" s="49">
        <f t="shared" si="251"/>
        <v>0</v>
      </c>
      <c r="CN50" s="49">
        <f t="shared" si="252"/>
        <v>0</v>
      </c>
      <c r="CO50" s="49">
        <f t="shared" si="253"/>
        <v>7.2193907318291408E-11</v>
      </c>
      <c r="CP50" s="60">
        <f t="shared" ref="CP50:DC50" si="274">IFERROR(CP25/$B50,0)</f>
        <v>0</v>
      </c>
      <c r="CQ50" s="60">
        <f t="shared" si="274"/>
        <v>4812.0300751879695</v>
      </c>
      <c r="CR50" s="60">
        <f t="shared" si="274"/>
        <v>6231203404.2132893</v>
      </c>
      <c r="CS50" s="60">
        <f t="shared" si="274"/>
        <v>0</v>
      </c>
      <c r="CT50" s="60">
        <f>IFERROR(CT25/$B50,0)</f>
        <v>0</v>
      </c>
      <c r="CU50" s="60">
        <f>IFERROR(CU25/$B50,0)</f>
        <v>0</v>
      </c>
      <c r="CV50" s="60">
        <f>IFERROR(CV25/$B50,0)</f>
        <v>0</v>
      </c>
      <c r="CW50" s="60">
        <f>IFERROR(CW25/$B50,0)</f>
        <v>0</v>
      </c>
      <c r="CX50" s="60">
        <f t="shared" si="274"/>
        <v>0</v>
      </c>
      <c r="CY50" s="60">
        <f t="shared" si="274"/>
        <v>0</v>
      </c>
      <c r="CZ50" s="60">
        <f t="shared" si="274"/>
        <v>0</v>
      </c>
      <c r="DA50" s="60">
        <f>IFERROR(DA25/$B50,0)</f>
        <v>0</v>
      </c>
      <c r="DB50" s="60">
        <f t="shared" si="274"/>
        <v>0</v>
      </c>
      <c r="DC50" s="60">
        <f t="shared" si="274"/>
        <v>0</v>
      </c>
      <c r="DD50" s="15"/>
      <c r="DE50" s="15"/>
      <c r="DF50" s="15"/>
      <c r="DG50" s="15"/>
      <c r="DH50" s="15"/>
      <c r="DI50" s="15"/>
      <c r="DJ50" s="15"/>
      <c r="DK50" s="15"/>
      <c r="DL50" s="15"/>
      <c r="DM50" s="15"/>
      <c r="DN50" s="15"/>
      <c r="DO50" s="15"/>
      <c r="DP50" s="15"/>
      <c r="DQ50" s="15"/>
      <c r="DR50" s="60">
        <f>IFERROR(DR25/$B50,0)</f>
        <v>4812.0263591135517</v>
      </c>
      <c r="DS50" s="71">
        <f>IFERROR(s_RadSpec!$H$25*DS25,".")*$B$50</f>
        <v>0</v>
      </c>
      <c r="DT50" s="71">
        <f>IFERROR(s_RadSpec!$G$25*DT25,".")*$B$50</f>
        <v>1.0390624999999999E-9</v>
      </c>
      <c r="DU50" s="71">
        <f>IFERROR(s_RadSpec!$L$25*DU25,".")*$B$50</f>
        <v>8.024132219178082E-16</v>
      </c>
      <c r="DV50" s="71">
        <f>s_b2w!BZ50</f>
        <v>0</v>
      </c>
      <c r="DW50" s="71">
        <f>IFERROR(s_RadSpec!$E$25*DW25,".")*$B$50</f>
        <v>0</v>
      </c>
      <c r="DX50" s="71">
        <f>IFERROR(s_RadSpec!$E$25*DX25,".")*$B$50</f>
        <v>0</v>
      </c>
      <c r="DY50" s="71">
        <f>IFERROR(s_RadSpec!$E$25*DY25,".")*$B$50</f>
        <v>0</v>
      </c>
      <c r="DZ50" s="71">
        <f>IFERROR(s_RadSpec!$E$25*DZ25,".")*$B$50</f>
        <v>0</v>
      </c>
      <c r="EA50" s="71">
        <f>IFERROR(s_RadSpec!$E$25*EA25,".")*$B$50</f>
        <v>0</v>
      </c>
      <c r="EB50" s="71">
        <f>IFERROR(s_RadSpec!$E$25*EB25,".")*$B$50</f>
        <v>0</v>
      </c>
      <c r="EC50" s="71">
        <f>IFERROR(s_RadSpec!$E$25*EC25,".")*$B$50</f>
        <v>0</v>
      </c>
      <c r="ED50" s="71">
        <f>IFERROR(s_RadSpec!$E$25*ED25,".")*$B$50</f>
        <v>0</v>
      </c>
      <c r="EE50" s="71">
        <f>IFERROR(s_RadSpec!$E$25*EE25,".")*$B$50</f>
        <v>0</v>
      </c>
      <c r="EF50" s="71">
        <f>IFERROR(s_RadSpec!$E$25*EF25,".")*$B$50</f>
        <v>0</v>
      </c>
      <c r="EG50" s="49">
        <f t="shared" si="255"/>
        <v>0</v>
      </c>
      <c r="EH50" s="49">
        <f t="shared" si="256"/>
        <v>1.0390624999999999E-9</v>
      </c>
      <c r="EI50" s="49">
        <f t="shared" si="257"/>
        <v>8.024132219178082E-16</v>
      </c>
      <c r="EJ50" s="49">
        <f t="shared" si="258"/>
        <v>0</v>
      </c>
      <c r="EK50" s="49">
        <f t="shared" si="259"/>
        <v>0</v>
      </c>
      <c r="EL50" s="49">
        <f t="shared" si="260"/>
        <v>0</v>
      </c>
      <c r="EM50" s="49">
        <f t="shared" si="261"/>
        <v>0</v>
      </c>
      <c r="EN50" s="49">
        <f t="shared" si="262"/>
        <v>0</v>
      </c>
      <c r="EO50" s="49">
        <f t="shared" si="263"/>
        <v>0</v>
      </c>
      <c r="EP50" s="49">
        <f t="shared" si="264"/>
        <v>0</v>
      </c>
      <c r="EQ50" s="49">
        <f t="shared" si="265"/>
        <v>0</v>
      </c>
      <c r="ER50" s="49">
        <f t="shared" si="266"/>
        <v>0</v>
      </c>
      <c r="ES50" s="49">
        <f t="shared" si="267"/>
        <v>0</v>
      </c>
      <c r="ET50" s="49">
        <f t="shared" si="268"/>
        <v>0</v>
      </c>
      <c r="EU50" s="49">
        <f t="shared" si="269"/>
        <v>1.0390633024132218E-9</v>
      </c>
      <c r="EV50" s="60">
        <f>IFERROR(EV25/$B50,0)</f>
        <v>2406.0150375939847</v>
      </c>
      <c r="EW50" s="60">
        <f>IFERROR(EW25/$B50,0)</f>
        <v>5397387.6968869064</v>
      </c>
      <c r="EX50" s="60">
        <f>IFERROR(EX25/$B50,0)</f>
        <v>2404.942976572775</v>
      </c>
      <c r="EY50" s="71">
        <f>IFERROR(s_RadSpec!$G$25*EY25,".")*$B$50</f>
        <v>2.0781249999999998E-9</v>
      </c>
      <c r="EZ50" s="71">
        <f>IFERROR(s_RadSpec!$J$25*EZ25,".")*$B$50</f>
        <v>9.2637406849315067E-13</v>
      </c>
      <c r="FA50" s="49">
        <f t="shared" si="270"/>
        <v>2.0781249999999998E-9</v>
      </c>
      <c r="FB50" s="49">
        <f t="shared" si="270"/>
        <v>9.2637406849315067E-13</v>
      </c>
      <c r="FC50" s="49">
        <f t="shared" si="271"/>
        <v>2.0790513740684931E-9</v>
      </c>
    </row>
    <row r="51" spans="1:159" x14ac:dyDescent="0.25">
      <c r="A51" s="83" t="s">
        <v>1076</v>
      </c>
      <c r="B51" s="42">
        <v>1</v>
      </c>
      <c r="C51" s="60">
        <f t="shared" ref="C51:M51" si="275">IFERROR(C21/$B51,0)</f>
        <v>0</v>
      </c>
      <c r="D51" s="60">
        <f t="shared" si="275"/>
        <v>0</v>
      </c>
      <c r="E51" s="60">
        <f t="shared" si="275"/>
        <v>0</v>
      </c>
      <c r="F51" s="60">
        <f t="shared" si="275"/>
        <v>0</v>
      </c>
      <c r="G51" s="60">
        <f t="shared" si="275"/>
        <v>0</v>
      </c>
      <c r="H51" s="60">
        <f t="shared" si="275"/>
        <v>0</v>
      </c>
      <c r="I51" s="60">
        <f t="shared" si="275"/>
        <v>0</v>
      </c>
      <c r="J51" s="60">
        <f t="shared" si="275"/>
        <v>0</v>
      </c>
      <c r="K51" s="60">
        <f t="shared" si="275"/>
        <v>0</v>
      </c>
      <c r="L51" s="60">
        <f t="shared" si="275"/>
        <v>0</v>
      </c>
      <c r="M51" s="60">
        <f t="shared" si="275"/>
        <v>0</v>
      </c>
      <c r="N51" s="71">
        <f>s_dir!BA51</f>
        <v>0</v>
      </c>
      <c r="O51" s="71">
        <f>IFERROR(s_RadSpec!$E$21*O21,".")*$B$51</f>
        <v>0</v>
      </c>
      <c r="P51" s="71">
        <f>IFERROR(s_RadSpec!$E$21*P21,".")*$B$51</f>
        <v>0</v>
      </c>
      <c r="Q51" s="71">
        <f>IFERROR(s_RadSpec!$E$21*Q21,".")*$B$51</f>
        <v>0</v>
      </c>
      <c r="R51" s="71">
        <f>IFERROR(s_RadSpec!$E$21*R21,".")*$B$51</f>
        <v>0</v>
      </c>
      <c r="S51" s="71">
        <f>IFERROR(s_RadSpec!$E$21*S21,".")*$B$51</f>
        <v>0</v>
      </c>
      <c r="T51" s="71">
        <f>IFERROR(s_RadSpec!$E$21*T21,".")*$B$51</f>
        <v>0</v>
      </c>
      <c r="U51" s="71">
        <f>IFERROR(s_RadSpec!$E$21*U21,".")*$B$51</f>
        <v>0</v>
      </c>
      <c r="V51" s="71">
        <f>IFERROR(s_RadSpec!$E$21*V21,".")*$B$51</f>
        <v>0</v>
      </c>
      <c r="W51" s="71">
        <f>IFERROR(s_RadSpec!$E$21*W21,".")*$B$51</f>
        <v>0</v>
      </c>
      <c r="X51" s="71">
        <f>IFERROR(s_RadSpec!$E$21*X21,".")*$B$51</f>
        <v>0</v>
      </c>
      <c r="Y51" s="49">
        <f t="shared" si="227"/>
        <v>0</v>
      </c>
      <c r="Z51" s="49">
        <f t="shared" si="228"/>
        <v>0</v>
      </c>
      <c r="AA51" s="49">
        <f t="shared" si="229"/>
        <v>0</v>
      </c>
      <c r="AB51" s="49">
        <f t="shared" si="230"/>
        <v>0</v>
      </c>
      <c r="AC51" s="49">
        <f t="shared" si="231"/>
        <v>0</v>
      </c>
      <c r="AD51" s="49">
        <f t="shared" si="232"/>
        <v>0</v>
      </c>
      <c r="AE51" s="49">
        <f t="shared" si="233"/>
        <v>0</v>
      </c>
      <c r="AF51" s="49">
        <f t="shared" si="234"/>
        <v>0</v>
      </c>
      <c r="AG51" s="49">
        <f t="shared" si="235"/>
        <v>0</v>
      </c>
      <c r="AH51" s="49">
        <f t="shared" si="236"/>
        <v>0</v>
      </c>
      <c r="AI51" s="49">
        <f t="shared" si="237"/>
        <v>0</v>
      </c>
      <c r="AJ51" s="60">
        <f t="shared" ref="AJ51:AW51" si="276">IFERROR(AJ21/$B51,0)</f>
        <v>0</v>
      </c>
      <c r="AK51" s="60">
        <f t="shared" si="276"/>
        <v>122265861.97792831</v>
      </c>
      <c r="AL51" s="60">
        <f t="shared" si="276"/>
        <v>0</v>
      </c>
      <c r="AM51" s="60">
        <f t="shared" si="276"/>
        <v>0</v>
      </c>
      <c r="AN51" s="60">
        <f>IFERROR(AN21/$B51,0)</f>
        <v>0</v>
      </c>
      <c r="AO51" s="60">
        <f>IFERROR(AO21/$B51,0)</f>
        <v>0</v>
      </c>
      <c r="AP51" s="60">
        <f>IFERROR(AP21/$B51,0)</f>
        <v>0</v>
      </c>
      <c r="AQ51" s="60">
        <f>IFERROR(AQ21/$B51,0)</f>
        <v>0</v>
      </c>
      <c r="AR51" s="60">
        <f t="shared" si="276"/>
        <v>0</v>
      </c>
      <c r="AS51" s="60">
        <f t="shared" si="276"/>
        <v>0</v>
      </c>
      <c r="AT51" s="60">
        <f t="shared" si="276"/>
        <v>0</v>
      </c>
      <c r="AU51" s="60">
        <f>IFERROR(AU21/$B51,0)</f>
        <v>0</v>
      </c>
      <c r="AV51" s="60">
        <f t="shared" si="276"/>
        <v>0</v>
      </c>
      <c r="AW51" s="60">
        <f t="shared" si="276"/>
        <v>0</v>
      </c>
      <c r="AX51" s="42"/>
      <c r="AY51" s="42"/>
      <c r="AZ51" s="42"/>
      <c r="BA51" s="42"/>
      <c r="BB51" s="42"/>
      <c r="BC51" s="42"/>
      <c r="BD51" s="42"/>
      <c r="BE51" s="42"/>
      <c r="BF51" s="42"/>
      <c r="BG51" s="42"/>
      <c r="BH51" s="42"/>
      <c r="BI51" s="42"/>
      <c r="BJ51" s="42"/>
      <c r="BK51" s="42"/>
      <c r="BL51" s="60">
        <f>IFERROR(BL21/$B51,0)</f>
        <v>122265861.97792831</v>
      </c>
      <c r="BM51" s="71">
        <f>IFERROR(s_RadSpec!$D$21*BM21,".")*$B$51</f>
        <v>0</v>
      </c>
      <c r="BN51" s="71">
        <f>IFERROR(s_RadSpec!$G$21*BN21,".")*$B$51</f>
        <v>4.0894489427495383E-14</v>
      </c>
      <c r="BO51" s="71">
        <f>IFERROR(s_RadSpec!$F$21*BO21,".")*$B$51</f>
        <v>0</v>
      </c>
      <c r="BP51" s="71">
        <f>s_b2s!BZ51</f>
        <v>0</v>
      </c>
      <c r="BQ51" s="71">
        <f>IFERROR(s_RadSpec!$E$21*BQ21,".")*$B$51</f>
        <v>0</v>
      </c>
      <c r="BR51" s="71">
        <f>IFERROR(s_RadSpec!$E$21*BR21,".")*$B$51</f>
        <v>0</v>
      </c>
      <c r="BS51" s="71">
        <f>IFERROR(s_RadSpec!$E$21*BS21,".")*$B$51</f>
        <v>0</v>
      </c>
      <c r="BT51" s="71">
        <f>IFERROR(s_RadSpec!$E$21*BT21,".")*$B$51</f>
        <v>0</v>
      </c>
      <c r="BU51" s="71">
        <f>IFERROR(s_RadSpec!$E$21*BU21,".")*$B$51</f>
        <v>0</v>
      </c>
      <c r="BV51" s="71">
        <f>IFERROR(s_RadSpec!$E$21*BV21,".")*$B$51</f>
        <v>0</v>
      </c>
      <c r="BW51" s="71">
        <f>IFERROR(s_RadSpec!$E$21*BW21,".")*$B$51</f>
        <v>0</v>
      </c>
      <c r="BX51" s="71">
        <f>IFERROR(s_RadSpec!$E$21*BX21,".")*$B$51</f>
        <v>0</v>
      </c>
      <c r="BY51" s="71">
        <f>IFERROR(s_RadSpec!$E$21*BY21,".")*$B$51</f>
        <v>0</v>
      </c>
      <c r="BZ51" s="71">
        <f>IFERROR(s_RadSpec!$E$21*BZ21,".")*$B$51</f>
        <v>0</v>
      </c>
      <c r="CA51" s="49">
        <f t="shared" si="239"/>
        <v>0</v>
      </c>
      <c r="CB51" s="49">
        <f t="shared" si="240"/>
        <v>4.0894489427495383E-14</v>
      </c>
      <c r="CC51" s="49">
        <f t="shared" si="241"/>
        <v>0</v>
      </c>
      <c r="CD51" s="49">
        <f t="shared" si="242"/>
        <v>0</v>
      </c>
      <c r="CE51" s="49">
        <f t="shared" si="243"/>
        <v>0</v>
      </c>
      <c r="CF51" s="49">
        <f t="shared" si="244"/>
        <v>0</v>
      </c>
      <c r="CG51" s="49">
        <f t="shared" si="245"/>
        <v>0</v>
      </c>
      <c r="CH51" s="49">
        <f t="shared" si="246"/>
        <v>0</v>
      </c>
      <c r="CI51" s="49">
        <f t="shared" si="247"/>
        <v>0</v>
      </c>
      <c r="CJ51" s="49">
        <f t="shared" si="248"/>
        <v>0</v>
      </c>
      <c r="CK51" s="49">
        <f t="shared" si="249"/>
        <v>0</v>
      </c>
      <c r="CL51" s="49">
        <f t="shared" si="250"/>
        <v>0</v>
      </c>
      <c r="CM51" s="49">
        <f t="shared" si="251"/>
        <v>0</v>
      </c>
      <c r="CN51" s="49">
        <f t="shared" si="252"/>
        <v>0</v>
      </c>
      <c r="CO51" s="49">
        <f t="shared" si="253"/>
        <v>4.0894489427495383E-14</v>
      </c>
      <c r="CP51" s="60">
        <f t="shared" ref="CP51:DC51" si="277">IFERROR(CP21/$B51,0)</f>
        <v>0</v>
      </c>
      <c r="CQ51" s="60">
        <f t="shared" si="277"/>
        <v>0</v>
      </c>
      <c r="CR51" s="60">
        <f t="shared" si="277"/>
        <v>433162176597736.69</v>
      </c>
      <c r="CS51" s="60">
        <f t="shared" si="277"/>
        <v>0</v>
      </c>
      <c r="CT51" s="60">
        <f>IFERROR(CT21/$B51,0)</f>
        <v>0</v>
      </c>
      <c r="CU51" s="60">
        <f>IFERROR(CU21/$B51,0)</f>
        <v>0</v>
      </c>
      <c r="CV51" s="60">
        <f>IFERROR(CV21/$B51,0)</f>
        <v>0</v>
      </c>
      <c r="CW51" s="60">
        <f>IFERROR(CW21/$B51,0)</f>
        <v>0</v>
      </c>
      <c r="CX51" s="60">
        <f t="shared" si="277"/>
        <v>0</v>
      </c>
      <c r="CY51" s="60">
        <f t="shared" si="277"/>
        <v>0</v>
      </c>
      <c r="CZ51" s="60">
        <f t="shared" si="277"/>
        <v>0</v>
      </c>
      <c r="DA51" s="60">
        <f>IFERROR(DA21/$B51,0)</f>
        <v>0</v>
      </c>
      <c r="DB51" s="60">
        <f t="shared" si="277"/>
        <v>0</v>
      </c>
      <c r="DC51" s="60">
        <f t="shared" si="277"/>
        <v>0</v>
      </c>
      <c r="DD51" s="15"/>
      <c r="DE51" s="15"/>
      <c r="DF51" s="15"/>
      <c r="DG51" s="15"/>
      <c r="DH51" s="15"/>
      <c r="DI51" s="15"/>
      <c r="DJ51" s="15"/>
      <c r="DK51" s="15"/>
      <c r="DL51" s="15"/>
      <c r="DM51" s="15"/>
      <c r="DN51" s="15"/>
      <c r="DO51" s="15"/>
      <c r="DP51" s="15"/>
      <c r="DQ51" s="15"/>
      <c r="DR51" s="60">
        <f>IFERROR(DR21/$B51,0)</f>
        <v>433162176597736.63</v>
      </c>
      <c r="DS51" s="71">
        <f>IFERROR(s_RadSpec!$H$21*DS21,".")*$B$51</f>
        <v>0</v>
      </c>
      <c r="DT51" s="71">
        <f>IFERROR(s_RadSpec!$G$21*DT21,".")*$B$51</f>
        <v>6.3346354166666658E-9</v>
      </c>
      <c r="DU51" s="71">
        <f>IFERROR(s_RadSpec!$L$21*DU21,".")*$B$51</f>
        <v>1.1543020767123286E-20</v>
      </c>
      <c r="DV51" s="71">
        <f>s_b2w!BZ51</f>
        <v>0</v>
      </c>
      <c r="DW51" s="71">
        <f>IFERROR(s_RadSpec!$E$21*DW21,".")*$B$51</f>
        <v>0</v>
      </c>
      <c r="DX51" s="71">
        <f>IFERROR(s_RadSpec!$E$21*DX21,".")*$B$51</f>
        <v>0</v>
      </c>
      <c r="DY51" s="71">
        <f>IFERROR(s_RadSpec!$E$21*DY21,".")*$B$51</f>
        <v>0</v>
      </c>
      <c r="DZ51" s="71">
        <f>IFERROR(s_RadSpec!$E$21*DZ21,".")*$B$51</f>
        <v>0</v>
      </c>
      <c r="EA51" s="71">
        <f>IFERROR(s_RadSpec!$E$21*EA21,".")*$B$51</f>
        <v>0</v>
      </c>
      <c r="EB51" s="71">
        <f>IFERROR(s_RadSpec!$E$21*EB21,".")*$B$51</f>
        <v>0</v>
      </c>
      <c r="EC51" s="71">
        <f>IFERROR(s_RadSpec!$E$21*EC21,".")*$B$51</f>
        <v>0</v>
      </c>
      <c r="ED51" s="71">
        <f>IFERROR(s_RadSpec!$E$21*ED21,".")*$B$51</f>
        <v>0</v>
      </c>
      <c r="EE51" s="71">
        <f>IFERROR(s_RadSpec!$E$21*EE21,".")*$B$51</f>
        <v>0</v>
      </c>
      <c r="EF51" s="71">
        <f>IFERROR(s_RadSpec!$E$21*EF21,".")*$B$51</f>
        <v>0</v>
      </c>
      <c r="EG51" s="49">
        <f t="shared" si="255"/>
        <v>0</v>
      </c>
      <c r="EH51" s="49">
        <f t="shared" si="256"/>
        <v>6.3346354166666658E-9</v>
      </c>
      <c r="EI51" s="49">
        <f t="shared" si="257"/>
        <v>1.1543020767123286E-20</v>
      </c>
      <c r="EJ51" s="49">
        <f t="shared" si="258"/>
        <v>0</v>
      </c>
      <c r="EK51" s="49">
        <f t="shared" si="259"/>
        <v>0</v>
      </c>
      <c r="EL51" s="49">
        <f t="shared" si="260"/>
        <v>0</v>
      </c>
      <c r="EM51" s="49">
        <f t="shared" si="261"/>
        <v>0</v>
      </c>
      <c r="EN51" s="49">
        <f t="shared" si="262"/>
        <v>0</v>
      </c>
      <c r="EO51" s="49">
        <f t="shared" si="263"/>
        <v>0</v>
      </c>
      <c r="EP51" s="49">
        <f t="shared" si="264"/>
        <v>0</v>
      </c>
      <c r="EQ51" s="49">
        <f t="shared" si="265"/>
        <v>0</v>
      </c>
      <c r="ER51" s="49">
        <f t="shared" si="266"/>
        <v>0</v>
      </c>
      <c r="ES51" s="49">
        <f t="shared" si="267"/>
        <v>0</v>
      </c>
      <c r="ET51" s="49">
        <f t="shared" si="268"/>
        <v>0</v>
      </c>
      <c r="EU51" s="49">
        <f t="shared" si="269"/>
        <v>6.3346354166782092E-9</v>
      </c>
      <c r="EV51" s="60">
        <f>IFERROR(EV21/$B51,0)</f>
        <v>394.65570400822202</v>
      </c>
      <c r="EW51" s="60">
        <f>IFERROR(EW21/$B51,0)</f>
        <v>221963576883.81067</v>
      </c>
      <c r="EX51" s="60">
        <f>IFERROR(EX21/$B51,0)</f>
        <v>394.65570330651622</v>
      </c>
      <c r="EY51" s="71">
        <f>IFERROR(s_RadSpec!$G$21*EY21,".")*$B$51</f>
        <v>1.2669270833333332E-8</v>
      </c>
      <c r="EZ51" s="71">
        <f>IFERROR(s_RadSpec!$J$21*EZ21,".")*$B$51</f>
        <v>2.2526218356164382E-17</v>
      </c>
      <c r="FA51" s="49">
        <f t="shared" si="270"/>
        <v>1.2669270833333332E-8</v>
      </c>
      <c r="FB51" s="49">
        <f t="shared" si="270"/>
        <v>2.2526218356164382E-17</v>
      </c>
      <c r="FC51" s="49">
        <f t="shared" si="271"/>
        <v>1.2669270855859549E-8</v>
      </c>
    </row>
    <row r="52" spans="1:159" x14ac:dyDescent="0.25">
      <c r="A52" s="83" t="s">
        <v>1077</v>
      </c>
      <c r="B52" s="85">
        <v>0.99980000000000002</v>
      </c>
      <c r="C52" s="60">
        <f t="shared" ref="C52:M52" si="278">IFERROR(C17/$B52,0)</f>
        <v>187.59495845752789</v>
      </c>
      <c r="D52" s="60">
        <f t="shared" si="278"/>
        <v>750.37983383011158</v>
      </c>
      <c r="E52" s="60">
        <f t="shared" si="278"/>
        <v>750.37983383011158</v>
      </c>
      <c r="F52" s="60">
        <f t="shared" si="278"/>
        <v>750.37983383011158</v>
      </c>
      <c r="G52" s="60">
        <f t="shared" si="278"/>
        <v>750.37983383011158</v>
      </c>
      <c r="H52" s="60">
        <f t="shared" si="278"/>
        <v>750.37983383011158</v>
      </c>
      <c r="I52" s="60">
        <f t="shared" si="278"/>
        <v>750.37983383011158</v>
      </c>
      <c r="J52" s="60">
        <f t="shared" si="278"/>
        <v>750.37983383011158</v>
      </c>
      <c r="K52" s="60">
        <f t="shared" si="278"/>
        <v>750.37983383011158</v>
      </c>
      <c r="L52" s="60">
        <f t="shared" si="278"/>
        <v>750.37983383011158</v>
      </c>
      <c r="M52" s="60">
        <f t="shared" si="278"/>
        <v>750.37983383011158</v>
      </c>
      <c r="N52" s="71">
        <f>s_dir!BA52</f>
        <v>2.6663832766553312E-8</v>
      </c>
      <c r="O52" s="71">
        <f>IFERROR(s_RadSpec!$E$17*O17,".")*$B$52</f>
        <v>6.6632920750000007E-9</v>
      </c>
      <c r="P52" s="71">
        <f>IFERROR(s_RadSpec!$E$17*P17,".")*$B$52</f>
        <v>6.6632920750000007E-9</v>
      </c>
      <c r="Q52" s="71">
        <f>IFERROR(s_RadSpec!$E$17*Q17,".")*$B$52</f>
        <v>6.6632920750000007E-9</v>
      </c>
      <c r="R52" s="71">
        <f>IFERROR(s_RadSpec!$E$17*R17,".")*$B$52</f>
        <v>6.6632920750000007E-9</v>
      </c>
      <c r="S52" s="71">
        <f>IFERROR(s_RadSpec!$E$17*S17,".")*$B$52</f>
        <v>6.6632920750000007E-9</v>
      </c>
      <c r="T52" s="71">
        <f>IFERROR(s_RadSpec!$E$17*T17,".")*$B$52</f>
        <v>6.6632920750000007E-9</v>
      </c>
      <c r="U52" s="71">
        <f>IFERROR(s_RadSpec!$E$17*U17,".")*$B$52</f>
        <v>6.6632920750000007E-9</v>
      </c>
      <c r="V52" s="71">
        <f>IFERROR(s_RadSpec!$E$17*V17,".")*$B$52</f>
        <v>6.6632920750000007E-9</v>
      </c>
      <c r="W52" s="71">
        <f>IFERROR(s_RadSpec!$E$17*W17,".")*$B$52</f>
        <v>6.6632920750000007E-9</v>
      </c>
      <c r="X52" s="71">
        <f>IFERROR(s_RadSpec!$E$17*X17,".")*$B$52</f>
        <v>6.6632920750000007E-9</v>
      </c>
      <c r="Y52" s="49">
        <f t="shared" si="227"/>
        <v>2.6663832766553312E-8</v>
      </c>
      <c r="Z52" s="49">
        <f t="shared" si="228"/>
        <v>6.6632920750000007E-9</v>
      </c>
      <c r="AA52" s="49">
        <f t="shared" si="229"/>
        <v>6.6632920750000007E-9</v>
      </c>
      <c r="AB52" s="49">
        <f t="shared" si="230"/>
        <v>6.6632920750000007E-9</v>
      </c>
      <c r="AC52" s="49">
        <f t="shared" si="231"/>
        <v>6.6632920750000007E-9</v>
      </c>
      <c r="AD52" s="49">
        <f t="shared" si="232"/>
        <v>6.6632920750000007E-9</v>
      </c>
      <c r="AE52" s="49">
        <f t="shared" si="233"/>
        <v>6.6632920750000007E-9</v>
      </c>
      <c r="AF52" s="49">
        <f t="shared" si="234"/>
        <v>6.6632920750000007E-9</v>
      </c>
      <c r="AG52" s="49">
        <f t="shared" si="235"/>
        <v>6.6632920750000007E-9</v>
      </c>
      <c r="AH52" s="49">
        <f t="shared" si="236"/>
        <v>6.6632920750000007E-9</v>
      </c>
      <c r="AI52" s="49">
        <f t="shared" si="237"/>
        <v>6.6632920750000007E-9</v>
      </c>
      <c r="AJ52" s="60">
        <f t="shared" ref="AJ52:AW52" si="279">IFERROR(AJ17/$B52,0)</f>
        <v>229672.33231716033</v>
      </c>
      <c r="AK52" s="60">
        <f t="shared" si="279"/>
        <v>21876904.100166284</v>
      </c>
      <c r="AL52" s="60">
        <f t="shared" si="279"/>
        <v>162.23056200030064</v>
      </c>
      <c r="AM52" s="60">
        <f t="shared" si="279"/>
        <v>4832.1194785891657</v>
      </c>
      <c r="AN52" s="60">
        <f>IFERROR(AN17/$B52,0)</f>
        <v>4502.2790029806692</v>
      </c>
      <c r="AO52" s="60">
        <f>IFERROR(AO17/$B52,0)</f>
        <v>12033.741113957549</v>
      </c>
      <c r="AP52" s="60">
        <f>IFERROR(AP17/$B52,0)</f>
        <v>45664.88075349154</v>
      </c>
      <c r="AQ52" s="60">
        <f>IFERROR(AQ17/$B52,0)</f>
        <v>0</v>
      </c>
      <c r="AR52" s="60">
        <f t="shared" si="279"/>
        <v>0</v>
      </c>
      <c r="AS52" s="60">
        <f t="shared" si="279"/>
        <v>0</v>
      </c>
      <c r="AT52" s="60">
        <f t="shared" si="279"/>
        <v>0</v>
      </c>
      <c r="AU52" s="60">
        <f>IFERROR(AU17/$B52,0)</f>
        <v>1446.0545571938987</v>
      </c>
      <c r="AV52" s="60">
        <f t="shared" si="279"/>
        <v>1186.4251802493359</v>
      </c>
      <c r="AW52" s="60">
        <f t="shared" si="279"/>
        <v>247.89506694752546</v>
      </c>
      <c r="AX52" s="42"/>
      <c r="AY52" s="42"/>
      <c r="AZ52" s="42"/>
      <c r="BA52" s="42"/>
      <c r="BB52" s="42"/>
      <c r="BC52" s="42"/>
      <c r="BD52" s="42"/>
      <c r="BE52" s="42"/>
      <c r="BF52" s="42"/>
      <c r="BG52" s="42"/>
      <c r="BH52" s="42"/>
      <c r="BI52" s="42"/>
      <c r="BJ52" s="42"/>
      <c r="BK52" s="42"/>
      <c r="BL52" s="60">
        <f>IFERROR(BL17/$B52,0)</f>
        <v>81.493662053207828</v>
      </c>
      <c r="BM52" s="71">
        <f>IFERROR(s_RadSpec!$D$17*BM17,".")*$B$52</f>
        <v>2.1770145099999999E-11</v>
      </c>
      <c r="BN52" s="71">
        <f>IFERROR(s_RadSpec!$G$17*BN17,".")*$B$52</f>
        <v>2.2855153439933008E-13</v>
      </c>
      <c r="BO52" s="71">
        <f>IFERROR(s_RadSpec!$F$17*BO17,".")*$B$52</f>
        <v>3.0820333347490559E-8</v>
      </c>
      <c r="BP52" s="71">
        <f>s_b2s!BZ52</f>
        <v>1.035156647579516E-9</v>
      </c>
      <c r="BQ52" s="71">
        <f>IFERROR(s_RadSpec!$E$17*BQ17,".")*$B$52</f>
        <v>1.110548679166667E-9</v>
      </c>
      <c r="BR52" s="71">
        <f>IFERROR(s_RadSpec!$E$17*BR17,".")*$B$52</f>
        <v>4.1549838513649432E-10</v>
      </c>
      <c r="BS52" s="71">
        <f>IFERROR(s_RadSpec!$E$17*BS17,".")*$B$52</f>
        <v>1.0949333311502624E-10</v>
      </c>
      <c r="BT52" s="71">
        <f>IFERROR(s_RadSpec!$E$17*BT17,".")*$B$52</f>
        <v>0</v>
      </c>
      <c r="BU52" s="71">
        <f>IFERROR(s_RadSpec!$E$17*BU17,".")*$B$52</f>
        <v>0</v>
      </c>
      <c r="BV52" s="71">
        <f>IFERROR(s_RadSpec!$E$17*BV17,".")*$B$52</f>
        <v>0</v>
      </c>
      <c r="BW52" s="71">
        <f>IFERROR(s_RadSpec!$E$17*BW17,".")*$B$52</f>
        <v>0</v>
      </c>
      <c r="BX52" s="71">
        <f>IFERROR(s_RadSpec!$E$17*BX17,".")*$B$52</f>
        <v>3.4576842036324078E-9</v>
      </c>
      <c r="BY52" s="71">
        <f>IFERROR(s_RadSpec!$E$17*BY17,".")*$B$52</f>
        <v>4.214340763527299E-9</v>
      </c>
      <c r="BZ52" s="71">
        <f>IFERROR(s_RadSpec!$E$17*BZ17,".")*$B$52</f>
        <v>2.0169824521189042E-8</v>
      </c>
      <c r="CA52" s="49">
        <f t="shared" si="239"/>
        <v>2.1770145099999999E-11</v>
      </c>
      <c r="CB52" s="49">
        <f t="shared" si="240"/>
        <v>2.2855153439933008E-13</v>
      </c>
      <c r="CC52" s="49">
        <f t="shared" si="241"/>
        <v>3.0820333347490559E-8</v>
      </c>
      <c r="CD52" s="49">
        <f t="shared" si="242"/>
        <v>1.035156647579516E-9</v>
      </c>
      <c r="CE52" s="49">
        <f t="shared" si="243"/>
        <v>1.110548679166667E-9</v>
      </c>
      <c r="CF52" s="49">
        <f t="shared" si="244"/>
        <v>4.1549838513649432E-10</v>
      </c>
      <c r="CG52" s="49">
        <f t="shared" si="245"/>
        <v>1.0949333311502624E-10</v>
      </c>
      <c r="CH52" s="49">
        <f t="shared" si="246"/>
        <v>0</v>
      </c>
      <c r="CI52" s="49">
        <f t="shared" si="247"/>
        <v>0</v>
      </c>
      <c r="CJ52" s="49">
        <f t="shared" si="248"/>
        <v>0</v>
      </c>
      <c r="CK52" s="49">
        <f t="shared" si="249"/>
        <v>0</v>
      </c>
      <c r="CL52" s="49">
        <f t="shared" si="250"/>
        <v>3.4576842036324078E-9</v>
      </c>
      <c r="CM52" s="49">
        <f t="shared" si="251"/>
        <v>4.214340763527299E-9</v>
      </c>
      <c r="CN52" s="49">
        <f t="shared" si="252"/>
        <v>2.0169824521189042E-8</v>
      </c>
      <c r="CO52" s="49">
        <f t="shared" si="253"/>
        <v>6.1354878577471412E-8</v>
      </c>
      <c r="CP52" s="60">
        <f t="shared" ref="CP52:DC52" si="280">IFERROR(CP17/$B52,0)</f>
        <v>5807.1822800708424</v>
      </c>
      <c r="CQ52" s="60">
        <f t="shared" si="280"/>
        <v>0</v>
      </c>
      <c r="CR52" s="60">
        <f t="shared" si="280"/>
        <v>9821818.9432033002</v>
      </c>
      <c r="CS52" s="60">
        <f t="shared" si="280"/>
        <v>11214.155515942764</v>
      </c>
      <c r="CT52" s="60">
        <f>IFERROR(CT17/$B52,0)</f>
        <v>30015.193353204457</v>
      </c>
      <c r="CU52" s="60">
        <f>IFERROR(CU17/$B52,0)</f>
        <v>214394238.23717472</v>
      </c>
      <c r="CV52" s="60">
        <f>IFERROR(CV17/$B52,0)</f>
        <v>813569714.57369971</v>
      </c>
      <c r="CW52" s="60">
        <f>IFERROR(CW17/$B52,0)</f>
        <v>0</v>
      </c>
      <c r="CX52" s="60">
        <f t="shared" si="280"/>
        <v>0</v>
      </c>
      <c r="CY52" s="60">
        <f t="shared" si="280"/>
        <v>0</v>
      </c>
      <c r="CZ52" s="60">
        <f t="shared" si="280"/>
        <v>0</v>
      </c>
      <c r="DA52" s="60">
        <f>IFERROR(DA17/$B52,0)</f>
        <v>25763040.961500492</v>
      </c>
      <c r="DB52" s="60">
        <f t="shared" si="280"/>
        <v>21137460.107890464</v>
      </c>
      <c r="DC52" s="60">
        <f t="shared" si="280"/>
        <v>4416521.307685799</v>
      </c>
      <c r="DD52" s="15"/>
      <c r="DE52" s="15"/>
      <c r="DF52" s="15"/>
      <c r="DG52" s="15"/>
      <c r="DH52" s="15"/>
      <c r="DI52" s="15"/>
      <c r="DJ52" s="15"/>
      <c r="DK52" s="15"/>
      <c r="DL52" s="15"/>
      <c r="DM52" s="15"/>
      <c r="DN52" s="15"/>
      <c r="DO52" s="15"/>
      <c r="DP52" s="15"/>
      <c r="DQ52" s="15"/>
      <c r="DR52" s="60">
        <f>IFERROR(DR17/$B52,0)</f>
        <v>3388.5637828817539</v>
      </c>
      <c r="DS52" s="71">
        <f>IFERROR(s_RadSpec!$H$17*DS17,".")*$B$52</f>
        <v>8.6100276500000004E-10</v>
      </c>
      <c r="DT52" s="71">
        <f>IFERROR(s_RadSpec!$G$17*DT17,".")*$B$52</f>
        <v>3.5403074218749997E-8</v>
      </c>
      <c r="DU52" s="71">
        <f>IFERROR(s_RadSpec!$L$17*DU17,".")*$B$52</f>
        <v>5.0907067508712322E-13</v>
      </c>
      <c r="DV52" s="71">
        <f>s_b2w!BZ52</f>
        <v>4.4604344866172703E-10</v>
      </c>
      <c r="DW52" s="71">
        <f>IFERROR(s_RadSpec!$E$17*DW17,".")*$B$52</f>
        <v>1.6658230187500001E-10</v>
      </c>
      <c r="DX52" s="71">
        <f>IFERROR(s_RadSpec!$E$17*DX17,".")*$B$52</f>
        <v>2.3321522262500003E-14</v>
      </c>
      <c r="DY52" s="71">
        <f>IFERROR(s_RadSpec!$E$17*DY17,".")*$B$52</f>
        <v>6.1457548264563114E-15</v>
      </c>
      <c r="DZ52" s="71">
        <f>IFERROR(s_RadSpec!$E$17*DZ17,".")*$B$52</f>
        <v>0</v>
      </c>
      <c r="EA52" s="71">
        <f>IFERROR(s_RadSpec!$E$17*EA17,".")*$B$52</f>
        <v>0</v>
      </c>
      <c r="EB52" s="71">
        <f>IFERROR(s_RadSpec!$E$17*EB17,".")*$B$52</f>
        <v>0</v>
      </c>
      <c r="EC52" s="71">
        <f>IFERROR(s_RadSpec!$E$17*EC17,".")*$B$52</f>
        <v>0</v>
      </c>
      <c r="ED52" s="71">
        <f>IFERROR(s_RadSpec!$E$17*ED17,".")*$B$52</f>
        <v>1.9407646820388351E-13</v>
      </c>
      <c r="EE52" s="71">
        <f>IFERROR(s_RadSpec!$E$17*EE17,".")*$B$52</f>
        <v>2.3654686866250005E-13</v>
      </c>
      <c r="EF52" s="71">
        <f>IFERROR(s_RadSpec!$E$17*EF17,".")*$B$52</f>
        <v>1.1321127311893208E-12</v>
      </c>
      <c r="EG52" s="49">
        <f t="shared" si="255"/>
        <v>8.6100276500000004E-10</v>
      </c>
      <c r="EH52" s="49">
        <f t="shared" si="256"/>
        <v>3.5403074218749997E-8</v>
      </c>
      <c r="EI52" s="49">
        <f t="shared" si="257"/>
        <v>5.0907067508712322E-13</v>
      </c>
      <c r="EJ52" s="49">
        <f t="shared" si="258"/>
        <v>4.4604344866172703E-10</v>
      </c>
      <c r="EK52" s="49">
        <f t="shared" si="259"/>
        <v>1.6658230187500001E-10</v>
      </c>
      <c r="EL52" s="49">
        <f t="shared" si="260"/>
        <v>2.3321522262500003E-14</v>
      </c>
      <c r="EM52" s="49">
        <f t="shared" si="261"/>
        <v>6.1457548264563114E-15</v>
      </c>
      <c r="EN52" s="49">
        <f t="shared" si="262"/>
        <v>0</v>
      </c>
      <c r="EO52" s="49">
        <f t="shared" si="263"/>
        <v>0</v>
      </c>
      <c r="EP52" s="49">
        <f t="shared" si="264"/>
        <v>0</v>
      </c>
      <c r="EQ52" s="49">
        <f t="shared" si="265"/>
        <v>0</v>
      </c>
      <c r="ER52" s="49">
        <f t="shared" si="266"/>
        <v>1.9407646820388351E-13</v>
      </c>
      <c r="ES52" s="49">
        <f t="shared" si="267"/>
        <v>2.3654686866250005E-13</v>
      </c>
      <c r="ET52" s="49">
        <f t="shared" si="268"/>
        <v>1.1321127311893208E-12</v>
      </c>
      <c r="EU52" s="49">
        <f t="shared" si="269"/>
        <v>3.6878804008306951E-8</v>
      </c>
      <c r="EV52" s="60">
        <f>IFERROR(EV17/$B52,0)</f>
        <v>70.615336525661448</v>
      </c>
      <c r="EW52" s="60">
        <f>IFERROR(EW17/$B52,0)</f>
        <v>8595.49790676669</v>
      </c>
      <c r="EX52" s="60">
        <f>IFERROR(EX17/$B52,0)</f>
        <v>70.039931426207886</v>
      </c>
      <c r="EY52" s="71">
        <f>IFERROR(s_RadSpec!$G$17*EY17,".")*$B$52</f>
        <v>7.0806148437499995E-8</v>
      </c>
      <c r="EZ52" s="71">
        <f>IFERROR(s_RadSpec!$J$17*EZ17,".")*$B$52</f>
        <v>5.8169986826054795E-10</v>
      </c>
      <c r="FA52" s="49">
        <f t="shared" si="270"/>
        <v>7.0806148437499995E-8</v>
      </c>
      <c r="FB52" s="49">
        <f t="shared" si="270"/>
        <v>5.8169986826054795E-10</v>
      </c>
      <c r="FC52" s="49">
        <f t="shared" si="271"/>
        <v>7.1387848305760545E-8</v>
      </c>
    </row>
    <row r="53" spans="1:159" x14ac:dyDescent="0.25">
      <c r="A53" s="83" t="s">
        <v>1091</v>
      </c>
      <c r="B53" s="42">
        <v>2.0000000000000001E-4</v>
      </c>
      <c r="C53" s="60">
        <f t="shared" ref="C53:M53" si="281">IFERROR(C5/$B53,0)</f>
        <v>0</v>
      </c>
      <c r="D53" s="60">
        <f t="shared" si="281"/>
        <v>0</v>
      </c>
      <c r="E53" s="60">
        <f t="shared" si="281"/>
        <v>0</v>
      </c>
      <c r="F53" s="60">
        <f t="shared" si="281"/>
        <v>0</v>
      </c>
      <c r="G53" s="60">
        <f t="shared" si="281"/>
        <v>0</v>
      </c>
      <c r="H53" s="60">
        <f t="shared" si="281"/>
        <v>0</v>
      </c>
      <c r="I53" s="60">
        <f t="shared" si="281"/>
        <v>0</v>
      </c>
      <c r="J53" s="60">
        <f t="shared" si="281"/>
        <v>0</v>
      </c>
      <c r="K53" s="60">
        <f t="shared" si="281"/>
        <v>0</v>
      </c>
      <c r="L53" s="60">
        <f t="shared" si="281"/>
        <v>0</v>
      </c>
      <c r="M53" s="60">
        <f t="shared" si="281"/>
        <v>0</v>
      </c>
      <c r="N53" s="71">
        <f>s_dir!BA53</f>
        <v>0</v>
      </c>
      <c r="O53" s="71">
        <f>IFERROR(s_RadSpec!$E$5*O5,".")*$B$53</f>
        <v>0</v>
      </c>
      <c r="P53" s="71">
        <f>IFERROR(s_RadSpec!$E$5*P5,".")*$B$53</f>
        <v>0</v>
      </c>
      <c r="Q53" s="71">
        <f>IFERROR(s_RadSpec!$E$5*Q5,".")*$B$53</f>
        <v>0</v>
      </c>
      <c r="R53" s="71">
        <f>IFERROR(s_RadSpec!$E$5*R5,".")*$B$53</f>
        <v>0</v>
      </c>
      <c r="S53" s="71">
        <f>IFERROR(s_RadSpec!$E$5*S5,".")*$B$53</f>
        <v>0</v>
      </c>
      <c r="T53" s="71">
        <f>IFERROR(s_RadSpec!$E$5*T5,".")*$B$53</f>
        <v>0</v>
      </c>
      <c r="U53" s="71">
        <f>IFERROR(s_RadSpec!$E$5*U5,".")*$B$53</f>
        <v>0</v>
      </c>
      <c r="V53" s="71">
        <f>IFERROR(s_RadSpec!$E$5*V5,".")*$B$53</f>
        <v>0</v>
      </c>
      <c r="W53" s="71">
        <f>IFERROR(s_RadSpec!$E$5*W5,".")*$B$53</f>
        <v>0</v>
      </c>
      <c r="X53" s="71">
        <f>IFERROR(s_RadSpec!$E$5*X5,".")*$B$53</f>
        <v>0</v>
      </c>
      <c r="Y53" s="49">
        <f t="shared" si="227"/>
        <v>0</v>
      </c>
      <c r="Z53" s="49">
        <f t="shared" si="228"/>
        <v>0</v>
      </c>
      <c r="AA53" s="49">
        <f t="shared" si="229"/>
        <v>0</v>
      </c>
      <c r="AB53" s="49">
        <f t="shared" si="230"/>
        <v>0</v>
      </c>
      <c r="AC53" s="49">
        <f t="shared" si="231"/>
        <v>0</v>
      </c>
      <c r="AD53" s="49">
        <f t="shared" si="232"/>
        <v>0</v>
      </c>
      <c r="AE53" s="49">
        <f t="shared" si="233"/>
        <v>0</v>
      </c>
      <c r="AF53" s="49">
        <f t="shared" si="234"/>
        <v>0</v>
      </c>
      <c r="AG53" s="49">
        <f t="shared" si="235"/>
        <v>0</v>
      </c>
      <c r="AH53" s="49">
        <f t="shared" si="236"/>
        <v>0</v>
      </c>
      <c r="AI53" s="49">
        <f t="shared" si="237"/>
        <v>0</v>
      </c>
      <c r="AJ53" s="60">
        <f t="shared" ref="AJ53:AW53" si="282">IFERROR(AJ5/$B53,0)</f>
        <v>0</v>
      </c>
      <c r="AK53" s="60">
        <f t="shared" si="282"/>
        <v>0</v>
      </c>
      <c r="AL53" s="60">
        <f t="shared" si="282"/>
        <v>0</v>
      </c>
      <c r="AM53" s="60">
        <f t="shared" si="282"/>
        <v>0</v>
      </c>
      <c r="AN53" s="60">
        <f>IFERROR(AN5/$B53,0)</f>
        <v>0</v>
      </c>
      <c r="AO53" s="60">
        <f>IFERROR(AO5/$B53,0)</f>
        <v>0</v>
      </c>
      <c r="AP53" s="60">
        <f>IFERROR(AP5/$B53,0)</f>
        <v>0</v>
      </c>
      <c r="AQ53" s="60">
        <f>IFERROR(AQ5/$B53,0)</f>
        <v>0</v>
      </c>
      <c r="AR53" s="60">
        <f t="shared" si="282"/>
        <v>0</v>
      </c>
      <c r="AS53" s="60">
        <f t="shared" si="282"/>
        <v>0</v>
      </c>
      <c r="AT53" s="60">
        <f t="shared" si="282"/>
        <v>0</v>
      </c>
      <c r="AU53" s="60">
        <f>IFERROR(AU5/$B53,0)</f>
        <v>0</v>
      </c>
      <c r="AV53" s="60">
        <f t="shared" si="282"/>
        <v>0</v>
      </c>
      <c r="AW53" s="60">
        <f t="shared" si="282"/>
        <v>0</v>
      </c>
      <c r="AX53" s="42"/>
      <c r="AY53" s="42"/>
      <c r="AZ53" s="42"/>
      <c r="BA53" s="42"/>
      <c r="BB53" s="42"/>
      <c r="BC53" s="42"/>
      <c r="BD53" s="42"/>
      <c r="BE53" s="42"/>
      <c r="BF53" s="42"/>
      <c r="BG53" s="42"/>
      <c r="BH53" s="42"/>
      <c r="BI53" s="42"/>
      <c r="BJ53" s="42"/>
      <c r="BK53" s="42"/>
      <c r="BL53" s="60">
        <f>IFERROR(BL5/$B53,0)</f>
        <v>0</v>
      </c>
      <c r="BM53" s="71">
        <f>IFERROR(s_RadSpec!$D$5*BM5,".")*$B$53</f>
        <v>0</v>
      </c>
      <c r="BN53" s="71">
        <f>IFERROR(s_RadSpec!$G$5*BN5,".")*$B$53</f>
        <v>0</v>
      </c>
      <c r="BO53" s="71">
        <f>IFERROR(s_RadSpec!$F$5*BO5,".")*$B$53</f>
        <v>0</v>
      </c>
      <c r="BP53" s="71">
        <f>s_b2s!BZ53</f>
        <v>0</v>
      </c>
      <c r="BQ53" s="71">
        <f>IFERROR(s_RadSpec!$E$5*BQ5,".")*$B$53</f>
        <v>0</v>
      </c>
      <c r="BR53" s="71">
        <f>IFERROR(s_RadSpec!$E$5*BR5,".")*$B$53</f>
        <v>0</v>
      </c>
      <c r="BS53" s="71">
        <f>IFERROR(s_RadSpec!$E$5*BS5,".")*$B$53</f>
        <v>0</v>
      </c>
      <c r="BT53" s="71">
        <f>IFERROR(s_RadSpec!$E$5*BT5,".")*$B$53</f>
        <v>0</v>
      </c>
      <c r="BU53" s="71">
        <f>IFERROR(s_RadSpec!$E$5*BU5,".")*$B$53</f>
        <v>0</v>
      </c>
      <c r="BV53" s="71">
        <f>IFERROR(s_RadSpec!$E$5*BV5,".")*$B$53</f>
        <v>0</v>
      </c>
      <c r="BW53" s="71">
        <f>IFERROR(s_RadSpec!$E$5*BW5,".")*$B$53</f>
        <v>0</v>
      </c>
      <c r="BX53" s="71">
        <f>IFERROR(s_RadSpec!$E$5*BX5,".")*$B$53</f>
        <v>0</v>
      </c>
      <c r="BY53" s="71">
        <f>IFERROR(s_RadSpec!$E$5*BY5,".")*$B$53</f>
        <v>0</v>
      </c>
      <c r="BZ53" s="71">
        <f>IFERROR(s_RadSpec!$E$5*BZ5,".")*$B$53</f>
        <v>0</v>
      </c>
      <c r="CA53" s="49">
        <f t="shared" si="239"/>
        <v>0</v>
      </c>
      <c r="CB53" s="49">
        <f t="shared" si="240"/>
        <v>0</v>
      </c>
      <c r="CC53" s="49">
        <f t="shared" si="241"/>
        <v>0</v>
      </c>
      <c r="CD53" s="49">
        <f t="shared" si="242"/>
        <v>0</v>
      </c>
      <c r="CE53" s="49">
        <f t="shared" si="243"/>
        <v>0</v>
      </c>
      <c r="CF53" s="49">
        <f t="shared" si="244"/>
        <v>0</v>
      </c>
      <c r="CG53" s="49">
        <f t="shared" si="245"/>
        <v>0</v>
      </c>
      <c r="CH53" s="49">
        <f t="shared" si="246"/>
        <v>0</v>
      </c>
      <c r="CI53" s="49">
        <f t="shared" si="247"/>
        <v>0</v>
      </c>
      <c r="CJ53" s="49">
        <f t="shared" si="248"/>
        <v>0</v>
      </c>
      <c r="CK53" s="49">
        <f t="shared" si="249"/>
        <v>0</v>
      </c>
      <c r="CL53" s="49">
        <f t="shared" si="250"/>
        <v>0</v>
      </c>
      <c r="CM53" s="49">
        <f t="shared" si="251"/>
        <v>0</v>
      </c>
      <c r="CN53" s="49">
        <f t="shared" si="252"/>
        <v>0</v>
      </c>
      <c r="CO53" s="49">
        <f t="shared" si="253"/>
        <v>0</v>
      </c>
      <c r="CP53" s="60">
        <f t="shared" ref="CP53:DC53" si="283">IFERROR(CP5/$B53,0)</f>
        <v>0</v>
      </c>
      <c r="CQ53" s="60">
        <f t="shared" si="283"/>
        <v>0</v>
      </c>
      <c r="CR53" s="60">
        <f t="shared" si="283"/>
        <v>2136209823084510</v>
      </c>
      <c r="CS53" s="60">
        <f t="shared" si="283"/>
        <v>0</v>
      </c>
      <c r="CT53" s="60">
        <f>IFERROR(CT5/$B53,0)</f>
        <v>0</v>
      </c>
      <c r="CU53" s="60">
        <f>IFERROR(CU5/$B53,0)</f>
        <v>0</v>
      </c>
      <c r="CV53" s="60">
        <f>IFERROR(CV5/$B53,0)</f>
        <v>0</v>
      </c>
      <c r="CW53" s="60">
        <f>IFERROR(CW5/$B53,0)</f>
        <v>0</v>
      </c>
      <c r="CX53" s="60">
        <f t="shared" si="283"/>
        <v>0</v>
      </c>
      <c r="CY53" s="60">
        <f t="shared" si="283"/>
        <v>0</v>
      </c>
      <c r="CZ53" s="60">
        <f t="shared" si="283"/>
        <v>0</v>
      </c>
      <c r="DA53" s="60">
        <f>IFERROR(DA5/$B53,0)</f>
        <v>0</v>
      </c>
      <c r="DB53" s="60">
        <f t="shared" si="283"/>
        <v>0</v>
      </c>
      <c r="DC53" s="60">
        <f t="shared" si="283"/>
        <v>0</v>
      </c>
      <c r="DD53" s="15"/>
      <c r="DE53" s="15"/>
      <c r="DF53" s="15"/>
      <c r="DG53" s="15"/>
      <c r="DH53" s="15"/>
      <c r="DI53" s="15"/>
      <c r="DJ53" s="15"/>
      <c r="DK53" s="15"/>
      <c r="DL53" s="15"/>
      <c r="DM53" s="15"/>
      <c r="DN53" s="15"/>
      <c r="DO53" s="15"/>
      <c r="DP53" s="15"/>
      <c r="DQ53" s="15"/>
      <c r="DR53" s="60">
        <f>IFERROR(DR5/$B53,0)</f>
        <v>2136209823084510</v>
      </c>
      <c r="DS53" s="71">
        <f>IFERROR(s_RadSpec!$H$5*DS5,".")*$B$53</f>
        <v>0</v>
      </c>
      <c r="DT53" s="71">
        <f>IFERROR(s_RadSpec!$G$5*DT5,".")*$B$53</f>
        <v>0</v>
      </c>
      <c r="DU53" s="71">
        <f>IFERROR(s_RadSpec!$L$5*DU5,".")*$B$53</f>
        <v>2.3405940493150688E-21</v>
      </c>
      <c r="DV53" s="71">
        <f>s_b2w!BZ53</f>
        <v>0</v>
      </c>
      <c r="DW53" s="71">
        <f>IFERROR(s_RadSpec!$E$5*DW5,".")*$B$53</f>
        <v>0</v>
      </c>
      <c r="DX53" s="71">
        <f>IFERROR(s_RadSpec!$E$5*DX5,".")*$B$53</f>
        <v>0</v>
      </c>
      <c r="DY53" s="71">
        <f>IFERROR(s_RadSpec!$E$5*DY5,".")*$B$53</f>
        <v>0</v>
      </c>
      <c r="DZ53" s="71">
        <f>IFERROR(s_RadSpec!$E$5*DZ5,".")*$B$53</f>
        <v>0</v>
      </c>
      <c r="EA53" s="71">
        <f>IFERROR(s_RadSpec!$E$5*EA5,".")*$B$53</f>
        <v>0</v>
      </c>
      <c r="EB53" s="71">
        <f>IFERROR(s_RadSpec!$E$5*EB5,".")*$B$53</f>
        <v>0</v>
      </c>
      <c r="EC53" s="71">
        <f>IFERROR(s_RadSpec!$E$5*EC5,".")*$B$53</f>
        <v>0</v>
      </c>
      <c r="ED53" s="71">
        <f>IFERROR(s_RadSpec!$E$5*ED5,".")*$B$53</f>
        <v>0</v>
      </c>
      <c r="EE53" s="71">
        <f>IFERROR(s_RadSpec!$E$5*EE5,".")*$B$53</f>
        <v>0</v>
      </c>
      <c r="EF53" s="71">
        <f>IFERROR(s_RadSpec!$E$5*EF5,".")*$B$53</f>
        <v>0</v>
      </c>
      <c r="EG53" s="49">
        <f t="shared" si="255"/>
        <v>0</v>
      </c>
      <c r="EH53" s="49">
        <f t="shared" si="256"/>
        <v>0</v>
      </c>
      <c r="EI53" s="49">
        <f t="shared" si="257"/>
        <v>2.3405940493150688E-21</v>
      </c>
      <c r="EJ53" s="49">
        <f t="shared" si="258"/>
        <v>0</v>
      </c>
      <c r="EK53" s="49">
        <f t="shared" si="259"/>
        <v>0</v>
      </c>
      <c r="EL53" s="49">
        <f t="shared" si="260"/>
        <v>0</v>
      </c>
      <c r="EM53" s="49">
        <f t="shared" si="261"/>
        <v>0</v>
      </c>
      <c r="EN53" s="49">
        <f t="shared" si="262"/>
        <v>0</v>
      </c>
      <c r="EO53" s="49">
        <f t="shared" si="263"/>
        <v>0</v>
      </c>
      <c r="EP53" s="49">
        <f t="shared" si="264"/>
        <v>0</v>
      </c>
      <c r="EQ53" s="49">
        <f t="shared" si="265"/>
        <v>0</v>
      </c>
      <c r="ER53" s="49">
        <f t="shared" si="266"/>
        <v>0</v>
      </c>
      <c r="ES53" s="49">
        <f t="shared" si="267"/>
        <v>0</v>
      </c>
      <c r="ET53" s="49">
        <f t="shared" si="268"/>
        <v>0</v>
      </c>
      <c r="EU53" s="49">
        <f t="shared" si="269"/>
        <v>2.3405940493150688E-21</v>
      </c>
      <c r="EV53" s="60">
        <f>IFERROR(EV5/$B53,0)</f>
        <v>0</v>
      </c>
      <c r="EW53" s="60">
        <f>IFERROR(EW5/$B53,0)</f>
        <v>1420903200506.2122</v>
      </c>
      <c r="EX53" s="60">
        <f>IFERROR(EX5/$B53,0)</f>
        <v>1420903200506.2122</v>
      </c>
      <c r="EY53" s="71">
        <f>IFERROR(s_RadSpec!$G$5*EY5,".")*$B$53</f>
        <v>0</v>
      </c>
      <c r="EZ53" s="71">
        <f>IFERROR(s_RadSpec!$J$5*EZ5,".")*$B$53</f>
        <v>3.5188885479452048E-18</v>
      </c>
      <c r="FA53" s="49">
        <f t="shared" si="270"/>
        <v>0</v>
      </c>
      <c r="FB53" s="49">
        <f t="shared" si="270"/>
        <v>3.5188885479452048E-18</v>
      </c>
      <c r="FC53" s="49">
        <f t="shared" si="271"/>
        <v>3.5188885479452048E-18</v>
      </c>
    </row>
    <row r="54" spans="1:159" x14ac:dyDescent="0.25">
      <c r="A54" s="83" t="s">
        <v>1092</v>
      </c>
      <c r="B54" s="42">
        <v>0.99999979999999999</v>
      </c>
      <c r="C54" s="60">
        <f t="shared" ref="C54:M54" si="284">IFERROR(C9/$B54,0)</f>
        <v>342.6782354815964</v>
      </c>
      <c r="D54" s="60">
        <f t="shared" si="284"/>
        <v>1370.7129419263856</v>
      </c>
      <c r="E54" s="60">
        <f t="shared" si="284"/>
        <v>1370.7129419263856</v>
      </c>
      <c r="F54" s="60">
        <f t="shared" si="284"/>
        <v>1370.7129419263856</v>
      </c>
      <c r="G54" s="60">
        <f t="shared" si="284"/>
        <v>1370.7129419263856</v>
      </c>
      <c r="H54" s="60">
        <f t="shared" si="284"/>
        <v>1370.7129419263856</v>
      </c>
      <c r="I54" s="60">
        <f t="shared" si="284"/>
        <v>1370.7129419263856</v>
      </c>
      <c r="J54" s="60">
        <f t="shared" si="284"/>
        <v>1370.7129419263856</v>
      </c>
      <c r="K54" s="60">
        <f t="shared" si="284"/>
        <v>1370.7129419263856</v>
      </c>
      <c r="L54" s="60">
        <f t="shared" si="284"/>
        <v>1370.7129419263856</v>
      </c>
      <c r="M54" s="60">
        <f t="shared" si="284"/>
        <v>1370.7129419263856</v>
      </c>
      <c r="N54" s="71">
        <f>s_dir!BA54</f>
        <v>1.4590952918190586E-8</v>
      </c>
      <c r="O54" s="71">
        <f>IFERROR(s_RadSpec!$E$9*O9,".")*$B$54</f>
        <v>3.6477367704525004E-9</v>
      </c>
      <c r="P54" s="71">
        <f>IFERROR(s_RadSpec!$E$9*P9,".")*$B$54</f>
        <v>3.6477367704525004E-9</v>
      </c>
      <c r="Q54" s="71">
        <f>IFERROR(s_RadSpec!$E$9*Q9,".")*$B$54</f>
        <v>3.6477367704525004E-9</v>
      </c>
      <c r="R54" s="71">
        <f>IFERROR(s_RadSpec!$E$9*R9,".")*$B$54</f>
        <v>3.6477367704525004E-9</v>
      </c>
      <c r="S54" s="71">
        <f>IFERROR(s_RadSpec!$E$9*S9,".")*$B$54</f>
        <v>3.6477367704525004E-9</v>
      </c>
      <c r="T54" s="71">
        <f>IFERROR(s_RadSpec!$E$9*T9,".")*$B$54</f>
        <v>3.6477367704525004E-9</v>
      </c>
      <c r="U54" s="71">
        <f>IFERROR(s_RadSpec!$E$9*U9,".")*$B$54</f>
        <v>3.6477367704525004E-9</v>
      </c>
      <c r="V54" s="71">
        <f>IFERROR(s_RadSpec!$E$9*V9,".")*$B$54</f>
        <v>3.6477367704525004E-9</v>
      </c>
      <c r="W54" s="71">
        <f>IFERROR(s_RadSpec!$E$9*W9,".")*$B$54</f>
        <v>3.6477367704525004E-9</v>
      </c>
      <c r="X54" s="71">
        <f>IFERROR(s_RadSpec!$E$9*X9,".")*$B$54</f>
        <v>3.6477367704525004E-9</v>
      </c>
      <c r="Y54" s="49">
        <f t="shared" si="227"/>
        <v>1.4590952918190586E-8</v>
      </c>
      <c r="Z54" s="49">
        <f t="shared" si="228"/>
        <v>3.6477367704525004E-9</v>
      </c>
      <c r="AA54" s="49">
        <f t="shared" si="229"/>
        <v>3.6477367704525004E-9</v>
      </c>
      <c r="AB54" s="49">
        <f t="shared" si="230"/>
        <v>3.6477367704525004E-9</v>
      </c>
      <c r="AC54" s="49">
        <f t="shared" si="231"/>
        <v>3.6477367704525004E-9</v>
      </c>
      <c r="AD54" s="49">
        <f t="shared" si="232"/>
        <v>3.6477367704525004E-9</v>
      </c>
      <c r="AE54" s="49">
        <f t="shared" si="233"/>
        <v>3.6477367704525004E-9</v>
      </c>
      <c r="AF54" s="49">
        <f t="shared" si="234"/>
        <v>3.6477367704525004E-9</v>
      </c>
      <c r="AG54" s="49">
        <f t="shared" si="235"/>
        <v>3.6477367704525004E-9</v>
      </c>
      <c r="AH54" s="49">
        <f t="shared" si="236"/>
        <v>3.6477367704525004E-9</v>
      </c>
      <c r="AI54" s="49">
        <f t="shared" si="237"/>
        <v>3.6477367704525004E-9</v>
      </c>
      <c r="AJ54" s="60">
        <f t="shared" ref="AJ54:AW54" si="285">IFERROR(AJ9/$B54,0)</f>
        <v>450826.22906477912</v>
      </c>
      <c r="AK54" s="60">
        <f t="shared" si="285"/>
        <v>27499932.384989772</v>
      </c>
      <c r="AL54" s="60">
        <f t="shared" si="285"/>
        <v>8.1134390913723919</v>
      </c>
      <c r="AM54" s="60">
        <f t="shared" si="285"/>
        <v>3019.1915020404972</v>
      </c>
      <c r="AN54" s="60">
        <f>IFERROR(AN9/$B54,0)</f>
        <v>43862.81414164434</v>
      </c>
      <c r="AO54" s="60">
        <f>IFERROR(AO9/$B54,0)</f>
        <v>4569.043139754619</v>
      </c>
      <c r="AP54" s="60">
        <f>IFERROR(AP9/$B54,0)</f>
        <v>9412.2288678945151</v>
      </c>
      <c r="AQ54" s="60">
        <f>IFERROR(AQ9/$B54,0)</f>
        <v>0</v>
      </c>
      <c r="AR54" s="60">
        <f t="shared" si="285"/>
        <v>0</v>
      </c>
      <c r="AS54" s="60">
        <f t="shared" si="285"/>
        <v>0</v>
      </c>
      <c r="AT54" s="60">
        <f t="shared" si="285"/>
        <v>0</v>
      </c>
      <c r="AU54" s="60">
        <f>IFERROR(AU9/$B54,0)</f>
        <v>0</v>
      </c>
      <c r="AV54" s="60">
        <f t="shared" si="285"/>
        <v>0</v>
      </c>
      <c r="AW54" s="60">
        <f t="shared" si="285"/>
        <v>0</v>
      </c>
      <c r="AX54" s="42"/>
      <c r="AY54" s="42"/>
      <c r="AZ54" s="42"/>
      <c r="BA54" s="42"/>
      <c r="BB54" s="42"/>
      <c r="BC54" s="42"/>
      <c r="BD54" s="42"/>
      <c r="BE54" s="42"/>
      <c r="BF54" s="42"/>
      <c r="BG54" s="42"/>
      <c r="BH54" s="42"/>
      <c r="BI54" s="42"/>
      <c r="BJ54" s="42"/>
      <c r="BK54" s="42"/>
      <c r="BL54" s="60">
        <f>IFERROR(BL9/$B54,0)</f>
        <v>8.0688321233408136</v>
      </c>
      <c r="BM54" s="71">
        <f>IFERROR(s_RadSpec!$D$9*BM9,".")*$B$54</f>
        <v>1.1090747781850001E-11</v>
      </c>
      <c r="BN54" s="71">
        <f>IFERROR(s_RadSpec!$G$9*BN9,".")*$B$54</f>
        <v>1.8181862886067087E-13</v>
      </c>
      <c r="BO54" s="71">
        <f>IFERROR(s_RadSpec!$F$9*BO9,".")*$B$54</f>
        <v>6.1626148217675806E-7</v>
      </c>
      <c r="BP54" s="71">
        <f>s_b2s!BZ54</f>
        <v>1.6560731562146313E-9</v>
      </c>
      <c r="BQ54" s="71">
        <f>IFERROR(s_RadSpec!$E$9*BQ9,".")*$B$54</f>
        <v>1.1399177407664064E-10</v>
      </c>
      <c r="BR54" s="71">
        <f>IFERROR(s_RadSpec!$E$9*BR9,".")*$B$54</f>
        <v>1.0943210311357502E-9</v>
      </c>
      <c r="BS54" s="71">
        <f>IFERROR(s_RadSpec!$E$9*BS9,".")*$B$54</f>
        <v>5.312238015222087E-10</v>
      </c>
      <c r="BT54" s="71">
        <f>IFERROR(s_RadSpec!$E$9*BT9,".")*$B$54</f>
        <v>0</v>
      </c>
      <c r="BU54" s="71">
        <f>IFERROR(s_RadSpec!$E$9*BU9,".")*$B$54</f>
        <v>0</v>
      </c>
      <c r="BV54" s="71">
        <f>IFERROR(s_RadSpec!$E$9*BV9,".")*$B$54</f>
        <v>0</v>
      </c>
      <c r="BW54" s="71">
        <f>IFERROR(s_RadSpec!$E$9*BW9,".")*$B$54</f>
        <v>0</v>
      </c>
      <c r="BX54" s="71">
        <f>IFERROR(s_RadSpec!$E$9*BX9,".")*$B$54</f>
        <v>0</v>
      </c>
      <c r="BY54" s="71">
        <f>IFERROR(s_RadSpec!$E$9*BY9,".")*$B$54</f>
        <v>0</v>
      </c>
      <c r="BZ54" s="71">
        <f>IFERROR(s_RadSpec!$E$9*BZ9,".")*$B$54</f>
        <v>0</v>
      </c>
      <c r="CA54" s="49">
        <f t="shared" si="239"/>
        <v>1.1090747781850001E-11</v>
      </c>
      <c r="CB54" s="49">
        <f t="shared" si="240"/>
        <v>1.8181862886067087E-13</v>
      </c>
      <c r="CC54" s="49">
        <f t="shared" si="241"/>
        <v>6.1626148217675806E-7</v>
      </c>
      <c r="CD54" s="49">
        <f t="shared" si="242"/>
        <v>1.6560731562146313E-9</v>
      </c>
      <c r="CE54" s="49">
        <f t="shared" si="243"/>
        <v>1.1399177407664064E-10</v>
      </c>
      <c r="CF54" s="49">
        <f t="shared" si="244"/>
        <v>1.0943210311357502E-9</v>
      </c>
      <c r="CG54" s="49">
        <f t="shared" si="245"/>
        <v>5.312238015222087E-10</v>
      </c>
      <c r="CH54" s="49">
        <f t="shared" si="246"/>
        <v>0</v>
      </c>
      <c r="CI54" s="49">
        <f t="shared" si="247"/>
        <v>0</v>
      </c>
      <c r="CJ54" s="49">
        <f t="shared" si="248"/>
        <v>0</v>
      </c>
      <c r="CK54" s="49">
        <f t="shared" si="249"/>
        <v>0</v>
      </c>
      <c r="CL54" s="49">
        <f t="shared" si="250"/>
        <v>0</v>
      </c>
      <c r="CM54" s="49">
        <f t="shared" si="251"/>
        <v>0</v>
      </c>
      <c r="CN54" s="49">
        <f t="shared" si="252"/>
        <v>0</v>
      </c>
      <c r="CO54" s="49">
        <f t="shared" si="253"/>
        <v>6.1966836450611805E-7</v>
      </c>
      <c r="CP54" s="60">
        <f t="shared" ref="CP54:DC54" si="286">IFERROR(CP9/$B54,0)</f>
        <v>10415.041399781701</v>
      </c>
      <c r="CQ54" s="60">
        <f t="shared" si="286"/>
        <v>0</v>
      </c>
      <c r="CR54" s="60">
        <f t="shared" si="286"/>
        <v>1512574.6772473548</v>
      </c>
      <c r="CS54" s="60">
        <f t="shared" si="286"/>
        <v>10855.625603609864</v>
      </c>
      <c r="CT54" s="60">
        <f>IFERROR(CT9/$B54,0)</f>
        <v>91380.862795092384</v>
      </c>
      <c r="CU54" s="60">
        <f>IFERROR(CU9/$B54,0)</f>
        <v>137071294.19263855</v>
      </c>
      <c r="CV54" s="60">
        <f>IFERROR(CV9/$B54,0)</f>
        <v>282366866.03683549</v>
      </c>
      <c r="CW54" s="60">
        <f>IFERROR(CW9/$B54,0)</f>
        <v>0</v>
      </c>
      <c r="CX54" s="60">
        <f t="shared" si="286"/>
        <v>0</v>
      </c>
      <c r="CY54" s="60">
        <f t="shared" si="286"/>
        <v>0</v>
      </c>
      <c r="CZ54" s="60">
        <f t="shared" si="286"/>
        <v>0</v>
      </c>
      <c r="DA54" s="60">
        <f>IFERROR(DA9/$B54,0)</f>
        <v>0</v>
      </c>
      <c r="DB54" s="60">
        <f t="shared" si="286"/>
        <v>0</v>
      </c>
      <c r="DC54" s="60">
        <f t="shared" si="286"/>
        <v>0</v>
      </c>
      <c r="DD54" s="15"/>
      <c r="DE54" s="15"/>
      <c r="DF54" s="15"/>
      <c r="DG54" s="15"/>
      <c r="DH54" s="15"/>
      <c r="DI54" s="15"/>
      <c r="DJ54" s="15"/>
      <c r="DK54" s="15"/>
      <c r="DL54" s="15"/>
      <c r="DM54" s="15"/>
      <c r="DN54" s="15"/>
      <c r="DO54" s="15"/>
      <c r="DP54" s="15"/>
      <c r="DQ54" s="15"/>
      <c r="DR54" s="60">
        <f>IFERROR(DR9/$B54,0)</f>
        <v>5006.3007085137997</v>
      </c>
      <c r="DS54" s="71">
        <f>IFERROR(s_RadSpec!$H$9*DS9,".")*$B$54</f>
        <v>4.8007490398499997E-10</v>
      </c>
      <c r="DT54" s="71">
        <f>IFERROR(s_RadSpec!$G$9*DT9,".")*$B$54</f>
        <v>2.8164056867187495E-8</v>
      </c>
      <c r="DU54" s="71">
        <f>IFERROR(s_RadSpec!$L$9*DU9,".")*$B$54</f>
        <v>3.3056219142179504E-12</v>
      </c>
      <c r="DV54" s="71">
        <f>s_b2w!BZ54</f>
        <v>4.6059086620838596E-10</v>
      </c>
      <c r="DW54" s="71">
        <f>IFERROR(s_RadSpec!$E$9*DW9,".")*$B$54</f>
        <v>5.4716051556787505E-11</v>
      </c>
      <c r="DX54" s="71">
        <f>IFERROR(s_RadSpec!$E$9*DX9,".")*$B$54</f>
        <v>3.6477367704525004E-14</v>
      </c>
      <c r="DY54" s="71">
        <f>IFERROR(s_RadSpec!$E$9*DY9,".")*$B$54</f>
        <v>1.7707460050740295E-14</v>
      </c>
      <c r="DZ54" s="71">
        <f>IFERROR(s_RadSpec!$E$9*DZ9,".")*$B$54</f>
        <v>0</v>
      </c>
      <c r="EA54" s="71">
        <f>IFERROR(s_RadSpec!$E$9*EA9,".")*$B$54</f>
        <v>0</v>
      </c>
      <c r="EB54" s="71">
        <f>IFERROR(s_RadSpec!$E$9*EB9,".")*$B$54</f>
        <v>0</v>
      </c>
      <c r="EC54" s="71">
        <f>IFERROR(s_RadSpec!$E$9*EC9,".")*$B$54</f>
        <v>0</v>
      </c>
      <c r="ED54" s="71">
        <f>IFERROR(s_RadSpec!$E$9*ED9,".")*$B$54</f>
        <v>0</v>
      </c>
      <c r="EE54" s="71">
        <f>IFERROR(s_RadSpec!$E$9*EE9,".")*$B$54</f>
        <v>0</v>
      </c>
      <c r="EF54" s="71">
        <f>IFERROR(s_RadSpec!$E$9*EF9,".")*$B$54</f>
        <v>0</v>
      </c>
      <c r="EG54" s="49">
        <f t="shared" si="255"/>
        <v>4.8007490398499997E-10</v>
      </c>
      <c r="EH54" s="49">
        <f t="shared" si="256"/>
        <v>2.8164056867187495E-8</v>
      </c>
      <c r="EI54" s="49">
        <f t="shared" si="257"/>
        <v>3.3056219142179504E-12</v>
      </c>
      <c r="EJ54" s="49">
        <f t="shared" si="258"/>
        <v>4.6059086620838596E-10</v>
      </c>
      <c r="EK54" s="49">
        <f t="shared" si="259"/>
        <v>5.4716051556787505E-11</v>
      </c>
      <c r="EL54" s="49">
        <f t="shared" si="260"/>
        <v>3.6477367704525004E-14</v>
      </c>
      <c r="EM54" s="49">
        <f t="shared" si="261"/>
        <v>1.7707460050740295E-14</v>
      </c>
      <c r="EN54" s="49">
        <f t="shared" si="262"/>
        <v>0</v>
      </c>
      <c r="EO54" s="49">
        <f t="shared" si="263"/>
        <v>0</v>
      </c>
      <c r="EP54" s="49">
        <f t="shared" si="264"/>
        <v>0</v>
      </c>
      <c r="EQ54" s="49">
        <f t="shared" si="265"/>
        <v>0</v>
      </c>
      <c r="ER54" s="49">
        <f t="shared" si="266"/>
        <v>0</v>
      </c>
      <c r="ES54" s="49">
        <f t="shared" si="267"/>
        <v>0</v>
      </c>
      <c r="ET54" s="49">
        <f t="shared" si="268"/>
        <v>0</v>
      </c>
      <c r="EU54" s="49">
        <f t="shared" si="269"/>
        <v>2.916279849567964E-8</v>
      </c>
      <c r="EV54" s="60">
        <f>IFERROR(EV9/$B54,0)</f>
        <v>88.76562108183434</v>
      </c>
      <c r="EW54" s="60">
        <f>IFERROR(EW9/$B54,0)</f>
        <v>1309.3142057847958</v>
      </c>
      <c r="EX54" s="60">
        <f>IFERROR(EX9/$B54,0)</f>
        <v>83.129794475493185</v>
      </c>
      <c r="EY54" s="71">
        <f>IFERROR(s_RadSpec!$G$9*EY9,".")*$B$54</f>
        <v>5.6328113734374991E-8</v>
      </c>
      <c r="EZ54" s="71">
        <f>IFERROR(s_RadSpec!$J$9*EZ9,".")*$B$54</f>
        <v>3.8187930581590436E-9</v>
      </c>
      <c r="FA54" s="49">
        <f t="shared" si="270"/>
        <v>5.6328113734374991E-8</v>
      </c>
      <c r="FB54" s="49">
        <f t="shared" si="270"/>
        <v>3.8187930581590436E-9</v>
      </c>
      <c r="FC54" s="49">
        <f t="shared" si="271"/>
        <v>6.0146906792534032E-8</v>
      </c>
    </row>
    <row r="55" spans="1:159" x14ac:dyDescent="0.25">
      <c r="A55" s="83" t="s">
        <v>1093</v>
      </c>
      <c r="B55" s="42">
        <v>1.9999999999999999E-7</v>
      </c>
      <c r="C55" s="60">
        <f t="shared" ref="C55:M55" si="287">IFERROR(C24/$B55,0)</f>
        <v>0</v>
      </c>
      <c r="D55" s="60">
        <f t="shared" si="287"/>
        <v>0</v>
      </c>
      <c r="E55" s="60">
        <f t="shared" si="287"/>
        <v>0</v>
      </c>
      <c r="F55" s="60">
        <f t="shared" si="287"/>
        <v>0</v>
      </c>
      <c r="G55" s="60">
        <f t="shared" si="287"/>
        <v>0</v>
      </c>
      <c r="H55" s="60">
        <f t="shared" si="287"/>
        <v>0</v>
      </c>
      <c r="I55" s="60">
        <f t="shared" si="287"/>
        <v>0</v>
      </c>
      <c r="J55" s="60">
        <f t="shared" si="287"/>
        <v>0</v>
      </c>
      <c r="K55" s="60">
        <f t="shared" si="287"/>
        <v>0</v>
      </c>
      <c r="L55" s="60">
        <f t="shared" si="287"/>
        <v>0</v>
      </c>
      <c r="M55" s="60">
        <f t="shared" si="287"/>
        <v>0</v>
      </c>
      <c r="N55" s="71">
        <f>s_dir!BA55</f>
        <v>0</v>
      </c>
      <c r="O55" s="71">
        <f>IFERROR(s_RadSpec!$E$24*O24,".")*$B$55</f>
        <v>0</v>
      </c>
      <c r="P55" s="71">
        <f>IFERROR(s_RadSpec!$E$24*P24,".")*$B$55</f>
        <v>0</v>
      </c>
      <c r="Q55" s="71">
        <f>IFERROR(s_RadSpec!$E$24*Q24,".")*$B$55</f>
        <v>0</v>
      </c>
      <c r="R55" s="71">
        <f>IFERROR(s_RadSpec!$E$24*R24,".")*$B$55</f>
        <v>0</v>
      </c>
      <c r="S55" s="71">
        <f>IFERROR(s_RadSpec!$E$24*S24,".")*$B$55</f>
        <v>0</v>
      </c>
      <c r="T55" s="71">
        <f>IFERROR(s_RadSpec!$E$24*T24,".")*$B$55</f>
        <v>0</v>
      </c>
      <c r="U55" s="71">
        <f>IFERROR(s_RadSpec!$E$24*U24,".")*$B$55</f>
        <v>0</v>
      </c>
      <c r="V55" s="71">
        <f>IFERROR(s_RadSpec!$E$24*V24,".")*$B$55</f>
        <v>0</v>
      </c>
      <c r="W55" s="71">
        <f>IFERROR(s_RadSpec!$E$24*W24,".")*$B$55</f>
        <v>0</v>
      </c>
      <c r="X55" s="71">
        <f>IFERROR(s_RadSpec!$E$24*X24,".")*$B$55</f>
        <v>0</v>
      </c>
      <c r="Y55" s="49">
        <f t="shared" si="227"/>
        <v>0</v>
      </c>
      <c r="Z55" s="49">
        <f t="shared" si="228"/>
        <v>0</v>
      </c>
      <c r="AA55" s="49">
        <f t="shared" si="229"/>
        <v>0</v>
      </c>
      <c r="AB55" s="49">
        <f t="shared" si="230"/>
        <v>0</v>
      </c>
      <c r="AC55" s="49">
        <f t="shared" si="231"/>
        <v>0</v>
      </c>
      <c r="AD55" s="49">
        <f t="shared" si="232"/>
        <v>0</v>
      </c>
      <c r="AE55" s="49">
        <f t="shared" si="233"/>
        <v>0</v>
      </c>
      <c r="AF55" s="49">
        <f t="shared" si="234"/>
        <v>0</v>
      </c>
      <c r="AG55" s="49">
        <f t="shared" si="235"/>
        <v>0</v>
      </c>
      <c r="AH55" s="49">
        <f t="shared" si="236"/>
        <v>0</v>
      </c>
      <c r="AI55" s="49">
        <f t="shared" si="237"/>
        <v>0</v>
      </c>
      <c r="AJ55" s="60">
        <f t="shared" ref="AJ55:AW55" si="288">IFERROR(AJ24/$B55,0)</f>
        <v>0</v>
      </c>
      <c r="AK55" s="60">
        <f t="shared" si="288"/>
        <v>0</v>
      </c>
      <c r="AL55" s="60">
        <f t="shared" si="288"/>
        <v>155278331962.27786</v>
      </c>
      <c r="AM55" s="60">
        <f t="shared" si="288"/>
        <v>0</v>
      </c>
      <c r="AN55" s="60">
        <f>IFERROR(AN24/$B55,0)</f>
        <v>0</v>
      </c>
      <c r="AO55" s="60">
        <f>IFERROR(AO24/$B55,0)</f>
        <v>0</v>
      </c>
      <c r="AP55" s="60">
        <f>IFERROR(AP24/$B55,0)</f>
        <v>0</v>
      </c>
      <c r="AQ55" s="60">
        <f>IFERROR(AQ24/$B55,0)</f>
        <v>0</v>
      </c>
      <c r="AR55" s="60">
        <f t="shared" si="288"/>
        <v>0</v>
      </c>
      <c r="AS55" s="60">
        <f t="shared" si="288"/>
        <v>0</v>
      </c>
      <c r="AT55" s="60">
        <f t="shared" si="288"/>
        <v>0</v>
      </c>
      <c r="AU55" s="60">
        <f>IFERROR(AU24/$B55,0)</f>
        <v>0</v>
      </c>
      <c r="AV55" s="60">
        <f t="shared" si="288"/>
        <v>0</v>
      </c>
      <c r="AW55" s="60">
        <f t="shared" si="288"/>
        <v>0</v>
      </c>
      <c r="AX55" s="42"/>
      <c r="AY55" s="42"/>
      <c r="AZ55" s="42"/>
      <c r="BA55" s="42"/>
      <c r="BB55" s="42"/>
      <c r="BC55" s="42"/>
      <c r="BD55" s="42"/>
      <c r="BE55" s="42"/>
      <c r="BF55" s="42"/>
      <c r="BG55" s="42"/>
      <c r="BH55" s="42"/>
      <c r="BI55" s="42"/>
      <c r="BJ55" s="42"/>
      <c r="BK55" s="42"/>
      <c r="BL55" s="60">
        <f>IFERROR(BL24/$B55,0)</f>
        <v>155278331962.27786</v>
      </c>
      <c r="BM55" s="71">
        <f>IFERROR(s_RadSpec!$D$24*BM24,".")*$B$55</f>
        <v>0</v>
      </c>
      <c r="BN55" s="71">
        <f>IFERROR(s_RadSpec!$G$24*BN24,".")*$B$55</f>
        <v>0</v>
      </c>
      <c r="BO55" s="71">
        <f>IFERROR(s_RadSpec!$F$24*BO24,".")*$B$55</f>
        <v>3.2200242859478051E-17</v>
      </c>
      <c r="BP55" s="71">
        <f>s_b2s!BZ55</f>
        <v>0</v>
      </c>
      <c r="BQ55" s="71">
        <f>IFERROR(s_RadSpec!$E$24*BQ24,".")*$B$55</f>
        <v>0</v>
      </c>
      <c r="BR55" s="71">
        <f>IFERROR(s_RadSpec!$E$24*BR24,".")*$B$55</f>
        <v>0</v>
      </c>
      <c r="BS55" s="71">
        <f>IFERROR(s_RadSpec!$E$24*BS24,".")*$B$55</f>
        <v>0</v>
      </c>
      <c r="BT55" s="71">
        <f>IFERROR(s_RadSpec!$E$24*BT24,".")*$B$55</f>
        <v>0</v>
      </c>
      <c r="BU55" s="71">
        <f>IFERROR(s_RadSpec!$E$24*BU24,".")*$B$55</f>
        <v>0</v>
      </c>
      <c r="BV55" s="71">
        <f>IFERROR(s_RadSpec!$E$24*BV24,".")*$B$55</f>
        <v>0</v>
      </c>
      <c r="BW55" s="71">
        <f>IFERROR(s_RadSpec!$E$24*BW24,".")*$B$55</f>
        <v>0</v>
      </c>
      <c r="BX55" s="71">
        <f>IFERROR(s_RadSpec!$E$24*BX24,".")*$B$55</f>
        <v>0</v>
      </c>
      <c r="BY55" s="71">
        <f>IFERROR(s_RadSpec!$E$24*BY24,".")*$B$55</f>
        <v>0</v>
      </c>
      <c r="BZ55" s="71">
        <f>IFERROR(s_RadSpec!$E$24*BZ24,".")*$B$55</f>
        <v>0</v>
      </c>
      <c r="CA55" s="49">
        <f t="shared" si="239"/>
        <v>0</v>
      </c>
      <c r="CB55" s="49">
        <f t="shared" si="240"/>
        <v>0</v>
      </c>
      <c r="CC55" s="49">
        <f t="shared" si="241"/>
        <v>3.2200242859478051E-17</v>
      </c>
      <c r="CD55" s="49">
        <f t="shared" si="242"/>
        <v>0</v>
      </c>
      <c r="CE55" s="49">
        <f t="shared" si="243"/>
        <v>0</v>
      </c>
      <c r="CF55" s="49">
        <f t="shared" si="244"/>
        <v>0</v>
      </c>
      <c r="CG55" s="49">
        <f t="shared" si="245"/>
        <v>0</v>
      </c>
      <c r="CH55" s="49">
        <f t="shared" si="246"/>
        <v>0</v>
      </c>
      <c r="CI55" s="49">
        <f t="shared" si="247"/>
        <v>0</v>
      </c>
      <c r="CJ55" s="49">
        <f t="shared" si="248"/>
        <v>0</v>
      </c>
      <c r="CK55" s="49">
        <f t="shared" si="249"/>
        <v>0</v>
      </c>
      <c r="CL55" s="49">
        <f t="shared" si="250"/>
        <v>0</v>
      </c>
      <c r="CM55" s="49">
        <f t="shared" si="251"/>
        <v>0</v>
      </c>
      <c r="CN55" s="49">
        <f t="shared" si="252"/>
        <v>0</v>
      </c>
      <c r="CO55" s="49">
        <f t="shared" si="253"/>
        <v>3.2200242859478051E-17</v>
      </c>
      <c r="CP55" s="60">
        <f t="shared" ref="CP55:DC55" si="289">IFERROR(CP24/$B55,0)</f>
        <v>0</v>
      </c>
      <c r="CQ55" s="60">
        <f t="shared" si="289"/>
        <v>0</v>
      </c>
      <c r="CR55" s="60">
        <f t="shared" si="289"/>
        <v>1.5814436970220912E+16</v>
      </c>
      <c r="CS55" s="60">
        <f t="shared" si="289"/>
        <v>0</v>
      </c>
      <c r="CT55" s="60">
        <f>IFERROR(CT24/$B55,0)</f>
        <v>0</v>
      </c>
      <c r="CU55" s="60">
        <f>IFERROR(CU24/$B55,0)</f>
        <v>0</v>
      </c>
      <c r="CV55" s="60">
        <f>IFERROR(CV24/$B55,0)</f>
        <v>0</v>
      </c>
      <c r="CW55" s="60">
        <f>IFERROR(CW24/$B55,0)</f>
        <v>0</v>
      </c>
      <c r="CX55" s="60">
        <f t="shared" si="289"/>
        <v>0</v>
      </c>
      <c r="CY55" s="60">
        <f t="shared" si="289"/>
        <v>0</v>
      </c>
      <c r="CZ55" s="60">
        <f t="shared" si="289"/>
        <v>0</v>
      </c>
      <c r="DA55" s="60">
        <f>IFERROR(DA24/$B55,0)</f>
        <v>0</v>
      </c>
      <c r="DB55" s="60">
        <f t="shared" si="289"/>
        <v>0</v>
      </c>
      <c r="DC55" s="60">
        <f t="shared" si="289"/>
        <v>0</v>
      </c>
      <c r="DD55" s="15"/>
      <c r="DE55" s="15"/>
      <c r="DF55" s="15"/>
      <c r="DG55" s="15"/>
      <c r="DH55" s="15"/>
      <c r="DI55" s="15"/>
      <c r="DJ55" s="15"/>
      <c r="DK55" s="15"/>
      <c r="DL55" s="15"/>
      <c r="DM55" s="15"/>
      <c r="DN55" s="15"/>
      <c r="DO55" s="15"/>
      <c r="DP55" s="15"/>
      <c r="DQ55" s="15"/>
      <c r="DR55" s="60">
        <f>IFERROR(DR24/$B55,0)</f>
        <v>1.5814436970220912E+16</v>
      </c>
      <c r="DS55" s="71">
        <f>IFERROR(s_RadSpec!$H$24*DS24,".")*$B$55</f>
        <v>0</v>
      </c>
      <c r="DT55" s="71">
        <f>IFERROR(s_RadSpec!$G$24*DT24,".")*$B$55</f>
        <v>0</v>
      </c>
      <c r="DU55" s="71">
        <f>IFERROR(s_RadSpec!$L$24*DU24,".")*$B$55</f>
        <v>3.1616680438356164E-22</v>
      </c>
      <c r="DV55" s="71">
        <f>s_b2w!BZ55</f>
        <v>0</v>
      </c>
      <c r="DW55" s="71">
        <f>IFERROR(s_RadSpec!$E$24*DW24,".")*$B$55</f>
        <v>0</v>
      </c>
      <c r="DX55" s="71">
        <f>IFERROR(s_RadSpec!$E$24*DX24,".")*$B$55</f>
        <v>0</v>
      </c>
      <c r="DY55" s="71">
        <f>IFERROR(s_RadSpec!$E$24*DY24,".")*$B$55</f>
        <v>0</v>
      </c>
      <c r="DZ55" s="71">
        <f>IFERROR(s_RadSpec!$E$24*DZ24,".")*$B$55</f>
        <v>0</v>
      </c>
      <c r="EA55" s="71">
        <f>IFERROR(s_RadSpec!$E$24*EA24,".")*$B$55</f>
        <v>0</v>
      </c>
      <c r="EB55" s="71">
        <f>IFERROR(s_RadSpec!$E$24*EB24,".")*$B$55</f>
        <v>0</v>
      </c>
      <c r="EC55" s="71">
        <f>IFERROR(s_RadSpec!$E$24*EC24,".")*$B$55</f>
        <v>0</v>
      </c>
      <c r="ED55" s="71">
        <f>IFERROR(s_RadSpec!$E$24*ED24,".")*$B$55</f>
        <v>0</v>
      </c>
      <c r="EE55" s="71">
        <f>IFERROR(s_RadSpec!$E$24*EE24,".")*$B$55</f>
        <v>0</v>
      </c>
      <c r="EF55" s="71">
        <f>IFERROR(s_RadSpec!$E$24*EF24,".")*$B$55</f>
        <v>0</v>
      </c>
      <c r="EG55" s="49">
        <f t="shared" si="255"/>
        <v>0</v>
      </c>
      <c r="EH55" s="49">
        <f t="shared" si="256"/>
        <v>0</v>
      </c>
      <c r="EI55" s="49">
        <f t="shared" si="257"/>
        <v>3.1616680438356164E-22</v>
      </c>
      <c r="EJ55" s="49">
        <f t="shared" si="258"/>
        <v>0</v>
      </c>
      <c r="EK55" s="49">
        <f t="shared" si="259"/>
        <v>0</v>
      </c>
      <c r="EL55" s="49">
        <f t="shared" si="260"/>
        <v>0</v>
      </c>
      <c r="EM55" s="49">
        <f t="shared" si="261"/>
        <v>0</v>
      </c>
      <c r="EN55" s="49">
        <f t="shared" si="262"/>
        <v>0</v>
      </c>
      <c r="EO55" s="49">
        <f t="shared" si="263"/>
        <v>0</v>
      </c>
      <c r="EP55" s="49">
        <f t="shared" si="264"/>
        <v>0</v>
      </c>
      <c r="EQ55" s="49">
        <f t="shared" si="265"/>
        <v>0</v>
      </c>
      <c r="ER55" s="49">
        <f t="shared" si="266"/>
        <v>0</v>
      </c>
      <c r="ES55" s="49">
        <f t="shared" si="267"/>
        <v>0</v>
      </c>
      <c r="ET55" s="49">
        <f t="shared" si="268"/>
        <v>0</v>
      </c>
      <c r="EU55" s="49">
        <f t="shared" si="269"/>
        <v>3.1616680438356164E-22</v>
      </c>
      <c r="EV55" s="60">
        <f>IFERROR(EV24/$B55,0)</f>
        <v>0</v>
      </c>
      <c r="EW55" s="60">
        <f>IFERROR(EW24/$B55,0)</f>
        <v>13740602378521.611</v>
      </c>
      <c r="EX55" s="60">
        <f>IFERROR(EX24/$B55,0)</f>
        <v>13740602378521.611</v>
      </c>
      <c r="EY55" s="71">
        <f>IFERROR(s_RadSpec!$G$24*EY24,".")*$B$55</f>
        <v>0</v>
      </c>
      <c r="EZ55" s="71">
        <f>IFERROR(s_RadSpec!$J$24*EZ24,".")*$B$55</f>
        <v>3.6388506575342455E-19</v>
      </c>
      <c r="FA55" s="49">
        <f t="shared" si="270"/>
        <v>0</v>
      </c>
      <c r="FB55" s="49">
        <f t="shared" si="270"/>
        <v>3.6388506575342455E-19</v>
      </c>
      <c r="FC55" s="49">
        <f t="shared" si="271"/>
        <v>3.6388506575342455E-19</v>
      </c>
    </row>
    <row r="56" spans="1:159" x14ac:dyDescent="0.25">
      <c r="A56" s="83" t="s">
        <v>1094</v>
      </c>
      <c r="B56" s="42">
        <v>0.99979000004200003</v>
      </c>
      <c r="C56" s="60">
        <f t="shared" ref="C56:M56" si="290">IFERROR(C20/$B56,0)</f>
        <v>0</v>
      </c>
      <c r="D56" s="60">
        <f t="shared" si="290"/>
        <v>0</v>
      </c>
      <c r="E56" s="60">
        <f t="shared" si="290"/>
        <v>0</v>
      </c>
      <c r="F56" s="60">
        <f t="shared" si="290"/>
        <v>0</v>
      </c>
      <c r="G56" s="60">
        <f t="shared" si="290"/>
        <v>0</v>
      </c>
      <c r="H56" s="60">
        <f t="shared" si="290"/>
        <v>0</v>
      </c>
      <c r="I56" s="60">
        <f t="shared" si="290"/>
        <v>0</v>
      </c>
      <c r="J56" s="60">
        <f t="shared" si="290"/>
        <v>0</v>
      </c>
      <c r="K56" s="60">
        <f t="shared" si="290"/>
        <v>0</v>
      </c>
      <c r="L56" s="60">
        <f t="shared" si="290"/>
        <v>0</v>
      </c>
      <c r="M56" s="60">
        <f t="shared" si="290"/>
        <v>0</v>
      </c>
      <c r="N56" s="71">
        <f>s_dir!BA56</f>
        <v>0</v>
      </c>
      <c r="O56" s="71">
        <f>IFERROR(s_RadSpec!$E$20*O20,".")*$B$56</f>
        <v>0</v>
      </c>
      <c r="P56" s="71">
        <f>IFERROR(s_RadSpec!$E$20*P20,".")*$B$56</f>
        <v>0</v>
      </c>
      <c r="Q56" s="71">
        <f>IFERROR(s_RadSpec!$E$20*Q20,".")*$B$56</f>
        <v>0</v>
      </c>
      <c r="R56" s="71">
        <f>IFERROR(s_RadSpec!$E$20*R20,".")*$B$56</f>
        <v>0</v>
      </c>
      <c r="S56" s="71">
        <f>IFERROR(s_RadSpec!$E$20*S20,".")*$B$56</f>
        <v>0</v>
      </c>
      <c r="T56" s="71">
        <f>IFERROR(s_RadSpec!$E$20*T20,".")*$B$56</f>
        <v>0</v>
      </c>
      <c r="U56" s="71">
        <f>IFERROR(s_RadSpec!$E$20*U20,".")*$B$56</f>
        <v>0</v>
      </c>
      <c r="V56" s="71">
        <f>IFERROR(s_RadSpec!$E$20*V20,".")*$B$56</f>
        <v>0</v>
      </c>
      <c r="W56" s="71">
        <f>IFERROR(s_RadSpec!$E$20*W20,".")*$B$56</f>
        <v>0</v>
      </c>
      <c r="X56" s="71">
        <f>IFERROR(s_RadSpec!$E$20*X20,".")*$B$56</f>
        <v>0</v>
      </c>
      <c r="Y56" s="49">
        <f t="shared" si="227"/>
        <v>0</v>
      </c>
      <c r="Z56" s="49">
        <f t="shared" si="228"/>
        <v>0</v>
      </c>
      <c r="AA56" s="49">
        <f t="shared" si="229"/>
        <v>0</v>
      </c>
      <c r="AB56" s="49">
        <f t="shared" si="230"/>
        <v>0</v>
      </c>
      <c r="AC56" s="49">
        <f t="shared" si="231"/>
        <v>0</v>
      </c>
      <c r="AD56" s="49">
        <f t="shared" si="232"/>
        <v>0</v>
      </c>
      <c r="AE56" s="49">
        <f t="shared" si="233"/>
        <v>0</v>
      </c>
      <c r="AF56" s="49">
        <f t="shared" si="234"/>
        <v>0</v>
      </c>
      <c r="AG56" s="49">
        <f t="shared" si="235"/>
        <v>0</v>
      </c>
      <c r="AH56" s="49">
        <f t="shared" si="236"/>
        <v>0</v>
      </c>
      <c r="AI56" s="49">
        <f t="shared" si="237"/>
        <v>0</v>
      </c>
      <c r="AJ56" s="60">
        <f t="shared" ref="AJ56:AW56" si="291">IFERROR(AJ20/$B56,0)</f>
        <v>0</v>
      </c>
      <c r="AK56" s="60">
        <f t="shared" si="291"/>
        <v>0</v>
      </c>
      <c r="AL56" s="60">
        <f t="shared" si="291"/>
        <v>213793.25047355617</v>
      </c>
      <c r="AM56" s="60">
        <f t="shared" si="291"/>
        <v>0</v>
      </c>
      <c r="AN56" s="60">
        <f>IFERROR(AN20/$B56,0)</f>
        <v>0</v>
      </c>
      <c r="AO56" s="60">
        <f>IFERROR(AO20/$B56,0)</f>
        <v>0</v>
      </c>
      <c r="AP56" s="60">
        <f>IFERROR(AP20/$B56,0)</f>
        <v>0</v>
      </c>
      <c r="AQ56" s="60">
        <f>IFERROR(AQ20/$B56,0)</f>
        <v>0</v>
      </c>
      <c r="AR56" s="60">
        <f t="shared" si="291"/>
        <v>0</v>
      </c>
      <c r="AS56" s="60">
        <f t="shared" si="291"/>
        <v>0</v>
      </c>
      <c r="AT56" s="60">
        <f t="shared" si="291"/>
        <v>0</v>
      </c>
      <c r="AU56" s="60">
        <f>IFERROR(AU20/$B56,0)</f>
        <v>0</v>
      </c>
      <c r="AV56" s="60">
        <f t="shared" si="291"/>
        <v>0</v>
      </c>
      <c r="AW56" s="60">
        <f t="shared" si="291"/>
        <v>0</v>
      </c>
      <c r="AX56" s="42"/>
      <c r="AY56" s="42"/>
      <c r="AZ56" s="42"/>
      <c r="BA56" s="42"/>
      <c r="BB56" s="42"/>
      <c r="BC56" s="42"/>
      <c r="BD56" s="42"/>
      <c r="BE56" s="42"/>
      <c r="BF56" s="42"/>
      <c r="BG56" s="42"/>
      <c r="BH56" s="42"/>
      <c r="BI56" s="42"/>
      <c r="BJ56" s="42"/>
      <c r="BK56" s="42"/>
      <c r="BL56" s="60">
        <f>IFERROR(BL20/$B56,0)</f>
        <v>213793.25047355617</v>
      </c>
      <c r="BM56" s="71">
        <f>IFERROR(s_RadSpec!$D$20*BM20,".")*$B$56</f>
        <v>0</v>
      </c>
      <c r="BN56" s="71">
        <f>IFERROR(s_RadSpec!$G$20*BN20,".")*$B$56</f>
        <v>0</v>
      </c>
      <c r="BO56" s="71">
        <f>IFERROR(s_RadSpec!$F$20*BO20,".")*$B$56</f>
        <v>2.3387080690924075E-11</v>
      </c>
      <c r="BP56" s="71">
        <f>s_b2s!BZ56</f>
        <v>0</v>
      </c>
      <c r="BQ56" s="71">
        <f>IFERROR(s_RadSpec!$E$20*BQ20,".")*$B$56</f>
        <v>0</v>
      </c>
      <c r="BR56" s="71">
        <f>IFERROR(s_RadSpec!$E$20*BR20,".")*$B$56</f>
        <v>0</v>
      </c>
      <c r="BS56" s="71">
        <f>IFERROR(s_RadSpec!$E$20*BS20,".")*$B$56</f>
        <v>0</v>
      </c>
      <c r="BT56" s="71">
        <f>IFERROR(s_RadSpec!$E$20*BT20,".")*$B$56</f>
        <v>0</v>
      </c>
      <c r="BU56" s="71">
        <f>IFERROR(s_RadSpec!$E$20*BU20,".")*$B$56</f>
        <v>0</v>
      </c>
      <c r="BV56" s="71">
        <f>IFERROR(s_RadSpec!$E$20*BV20,".")*$B$56</f>
        <v>0</v>
      </c>
      <c r="BW56" s="71">
        <f>IFERROR(s_RadSpec!$E$20*BW20,".")*$B$56</f>
        <v>0</v>
      </c>
      <c r="BX56" s="71">
        <f>IFERROR(s_RadSpec!$E$20*BX20,".")*$B$56</f>
        <v>0</v>
      </c>
      <c r="BY56" s="71">
        <f>IFERROR(s_RadSpec!$E$20*BY20,".")*$B$56</f>
        <v>0</v>
      </c>
      <c r="BZ56" s="71">
        <f>IFERROR(s_RadSpec!$E$20*BZ20,".")*$B$56</f>
        <v>0</v>
      </c>
      <c r="CA56" s="49">
        <f t="shared" si="239"/>
        <v>0</v>
      </c>
      <c r="CB56" s="49">
        <f t="shared" si="240"/>
        <v>0</v>
      </c>
      <c r="CC56" s="49">
        <f t="shared" si="241"/>
        <v>2.3387080690924075E-11</v>
      </c>
      <c r="CD56" s="49">
        <f t="shared" si="242"/>
        <v>0</v>
      </c>
      <c r="CE56" s="49">
        <f t="shared" si="243"/>
        <v>0</v>
      </c>
      <c r="CF56" s="49">
        <f t="shared" si="244"/>
        <v>0</v>
      </c>
      <c r="CG56" s="49">
        <f t="shared" si="245"/>
        <v>0</v>
      </c>
      <c r="CH56" s="49">
        <f t="shared" si="246"/>
        <v>0</v>
      </c>
      <c r="CI56" s="49">
        <f t="shared" si="247"/>
        <v>0</v>
      </c>
      <c r="CJ56" s="49">
        <f t="shared" si="248"/>
        <v>0</v>
      </c>
      <c r="CK56" s="49">
        <f t="shared" si="249"/>
        <v>0</v>
      </c>
      <c r="CL56" s="49">
        <f t="shared" si="250"/>
        <v>0</v>
      </c>
      <c r="CM56" s="49">
        <f t="shared" si="251"/>
        <v>0</v>
      </c>
      <c r="CN56" s="49">
        <f t="shared" si="252"/>
        <v>0</v>
      </c>
      <c r="CO56" s="49">
        <f t="shared" si="253"/>
        <v>2.3387080690924075E-11</v>
      </c>
      <c r="CP56" s="60">
        <f t="shared" ref="CP56:DC56" si="292">IFERROR(CP20/$B56,0)</f>
        <v>0</v>
      </c>
      <c r="CQ56" s="60">
        <f t="shared" si="292"/>
        <v>0</v>
      </c>
      <c r="CR56" s="60">
        <f t="shared" si="292"/>
        <v>28295417521.682697</v>
      </c>
      <c r="CS56" s="60">
        <f t="shared" si="292"/>
        <v>0</v>
      </c>
      <c r="CT56" s="60">
        <f>IFERROR(CT20/$B56,0)</f>
        <v>0</v>
      </c>
      <c r="CU56" s="60">
        <f>IFERROR(CU20/$B56,0)</f>
        <v>0</v>
      </c>
      <c r="CV56" s="60">
        <f>IFERROR(CV20/$B56,0)</f>
        <v>0</v>
      </c>
      <c r="CW56" s="60">
        <f>IFERROR(CW20/$B56,0)</f>
        <v>0</v>
      </c>
      <c r="CX56" s="60">
        <f t="shared" si="292"/>
        <v>0</v>
      </c>
      <c r="CY56" s="60">
        <f t="shared" si="292"/>
        <v>0</v>
      </c>
      <c r="CZ56" s="60">
        <f t="shared" si="292"/>
        <v>0</v>
      </c>
      <c r="DA56" s="60">
        <f>IFERROR(DA20/$B56,0)</f>
        <v>0</v>
      </c>
      <c r="DB56" s="60">
        <f t="shared" si="292"/>
        <v>0</v>
      </c>
      <c r="DC56" s="60">
        <f t="shared" si="292"/>
        <v>0</v>
      </c>
      <c r="DD56" s="15"/>
      <c r="DE56" s="15"/>
      <c r="DF56" s="15"/>
      <c r="DG56" s="15"/>
      <c r="DH56" s="15"/>
      <c r="DI56" s="15"/>
      <c r="DJ56" s="15"/>
      <c r="DK56" s="15"/>
      <c r="DL56" s="15"/>
      <c r="DM56" s="15"/>
      <c r="DN56" s="15"/>
      <c r="DO56" s="15"/>
      <c r="DP56" s="15"/>
      <c r="DQ56" s="15"/>
      <c r="DR56" s="60">
        <f>IFERROR(DR20/$B56,0)</f>
        <v>28295417521.682697</v>
      </c>
      <c r="DS56" s="71">
        <f>IFERROR(s_RadSpec!$H$20*DS20,".")*$B$56</f>
        <v>0</v>
      </c>
      <c r="DT56" s="71">
        <f>IFERROR(s_RadSpec!$G$20*DT20,".")*$B$56</f>
        <v>0</v>
      </c>
      <c r="DU56" s="71">
        <f>IFERROR(s_RadSpec!$L$20*DU20,".")*$B$56</f>
        <v>1.7670705852523696E-16</v>
      </c>
      <c r="DV56" s="71">
        <f>s_b2w!BZ56</f>
        <v>0</v>
      </c>
      <c r="DW56" s="71">
        <f>IFERROR(s_RadSpec!$E$20*DW20,".")*$B$56</f>
        <v>0</v>
      </c>
      <c r="DX56" s="71">
        <f>IFERROR(s_RadSpec!$E$20*DX20,".")*$B$56</f>
        <v>0</v>
      </c>
      <c r="DY56" s="71">
        <f>IFERROR(s_RadSpec!$E$20*DY20,".")*$B$56</f>
        <v>0</v>
      </c>
      <c r="DZ56" s="71">
        <f>IFERROR(s_RadSpec!$E$20*DZ20,".")*$B$56</f>
        <v>0</v>
      </c>
      <c r="EA56" s="71">
        <f>IFERROR(s_RadSpec!$E$20*EA20,".")*$B$56</f>
        <v>0</v>
      </c>
      <c r="EB56" s="71">
        <f>IFERROR(s_RadSpec!$E$20*EB20,".")*$B$56</f>
        <v>0</v>
      </c>
      <c r="EC56" s="71">
        <f>IFERROR(s_RadSpec!$E$20*EC20,".")*$B$56</f>
        <v>0</v>
      </c>
      <c r="ED56" s="71">
        <f>IFERROR(s_RadSpec!$E$20*ED20,".")*$B$56</f>
        <v>0</v>
      </c>
      <c r="EE56" s="71">
        <f>IFERROR(s_RadSpec!$E$20*EE20,".")*$B$56</f>
        <v>0</v>
      </c>
      <c r="EF56" s="71">
        <f>IFERROR(s_RadSpec!$E$20*EF20,".")*$B$56</f>
        <v>0</v>
      </c>
      <c r="EG56" s="49">
        <f t="shared" si="255"/>
        <v>0</v>
      </c>
      <c r="EH56" s="49">
        <f t="shared" si="256"/>
        <v>0</v>
      </c>
      <c r="EI56" s="49">
        <f t="shared" si="257"/>
        <v>1.7670705852523696E-16</v>
      </c>
      <c r="EJ56" s="49">
        <f t="shared" si="258"/>
        <v>0</v>
      </c>
      <c r="EK56" s="49">
        <f t="shared" si="259"/>
        <v>0</v>
      </c>
      <c r="EL56" s="49">
        <f t="shared" si="260"/>
        <v>0</v>
      </c>
      <c r="EM56" s="49">
        <f t="shared" si="261"/>
        <v>0</v>
      </c>
      <c r="EN56" s="49">
        <f t="shared" si="262"/>
        <v>0</v>
      </c>
      <c r="EO56" s="49">
        <f t="shared" si="263"/>
        <v>0</v>
      </c>
      <c r="EP56" s="49">
        <f t="shared" si="264"/>
        <v>0</v>
      </c>
      <c r="EQ56" s="49">
        <f t="shared" si="265"/>
        <v>0</v>
      </c>
      <c r="ER56" s="49">
        <f t="shared" si="266"/>
        <v>0</v>
      </c>
      <c r="ES56" s="49">
        <f t="shared" si="267"/>
        <v>0</v>
      </c>
      <c r="ET56" s="49">
        <f t="shared" si="268"/>
        <v>0</v>
      </c>
      <c r="EU56" s="49">
        <f t="shared" si="269"/>
        <v>1.7670705852523696E-16</v>
      </c>
      <c r="EV56" s="60">
        <f>IFERROR(EV20/$B56,0)</f>
        <v>0</v>
      </c>
      <c r="EW56" s="60">
        <f>IFERROR(EW20/$B56,0)</f>
        <v>24522695.185458336</v>
      </c>
      <c r="EX56" s="60">
        <f>IFERROR(EX20/$B56,0)</f>
        <v>24522695.185458336</v>
      </c>
      <c r="EY56" s="71">
        <f>IFERROR(s_RadSpec!$G$20*EY20,".")*$B$56</f>
        <v>0</v>
      </c>
      <c r="EZ56" s="71">
        <f>IFERROR(s_RadSpec!$J$20*EZ20,".")*$B$56</f>
        <v>2.0389275983681185E-13</v>
      </c>
      <c r="FA56" s="49">
        <f t="shared" si="270"/>
        <v>0</v>
      </c>
      <c r="FB56" s="49">
        <f t="shared" si="270"/>
        <v>2.0389275983681185E-13</v>
      </c>
      <c r="FC56" s="49">
        <f t="shared" si="271"/>
        <v>2.0389275983681185E-13</v>
      </c>
    </row>
    <row r="57" spans="1:159" x14ac:dyDescent="0.25">
      <c r="A57" s="83" t="s">
        <v>1095</v>
      </c>
      <c r="B57" s="42">
        <v>2.0999995799999999E-4</v>
      </c>
      <c r="C57" s="60">
        <f t="shared" ref="C57:M57" si="293">IFERROR(C29/$B57,0)</f>
        <v>0</v>
      </c>
      <c r="D57" s="60">
        <f t="shared" si="293"/>
        <v>0</v>
      </c>
      <c r="E57" s="60">
        <f t="shared" si="293"/>
        <v>0</v>
      </c>
      <c r="F57" s="60">
        <f t="shared" si="293"/>
        <v>0</v>
      </c>
      <c r="G57" s="60">
        <f t="shared" si="293"/>
        <v>0</v>
      </c>
      <c r="H57" s="60">
        <f t="shared" si="293"/>
        <v>0</v>
      </c>
      <c r="I57" s="60">
        <f t="shared" si="293"/>
        <v>0</v>
      </c>
      <c r="J57" s="60">
        <f t="shared" si="293"/>
        <v>0</v>
      </c>
      <c r="K57" s="60">
        <f t="shared" si="293"/>
        <v>0</v>
      </c>
      <c r="L57" s="60">
        <f t="shared" si="293"/>
        <v>0</v>
      </c>
      <c r="M57" s="60">
        <f t="shared" si="293"/>
        <v>0</v>
      </c>
      <c r="N57" s="71">
        <f>s_dir!BA57</f>
        <v>0</v>
      </c>
      <c r="O57" s="71">
        <f>IFERROR(s_RadSpec!$E$29*O29,".")*$B$57</f>
        <v>0</v>
      </c>
      <c r="P57" s="71">
        <f>IFERROR(s_RadSpec!$E$29*P29,".")*$B$57</f>
        <v>0</v>
      </c>
      <c r="Q57" s="71">
        <f>IFERROR(s_RadSpec!$E$29*Q29,".")*$B$57</f>
        <v>0</v>
      </c>
      <c r="R57" s="71">
        <f>IFERROR(s_RadSpec!$E$29*R29,".")*$B$57</f>
        <v>0</v>
      </c>
      <c r="S57" s="71">
        <f>IFERROR(s_RadSpec!$E$29*S29,".")*$B$57</f>
        <v>0</v>
      </c>
      <c r="T57" s="71">
        <f>IFERROR(s_RadSpec!$E$29*T29,".")*$B$57</f>
        <v>0</v>
      </c>
      <c r="U57" s="71">
        <f>IFERROR(s_RadSpec!$E$29*U29,".")*$B$57</f>
        <v>0</v>
      </c>
      <c r="V57" s="71">
        <f>IFERROR(s_RadSpec!$E$29*V29,".")*$B$57</f>
        <v>0</v>
      </c>
      <c r="W57" s="71">
        <f>IFERROR(s_RadSpec!$E$29*W29,".")*$B$57</f>
        <v>0</v>
      </c>
      <c r="X57" s="71">
        <f>IFERROR(s_RadSpec!$E$29*X29,".")*$B$57</f>
        <v>0</v>
      </c>
      <c r="Y57" s="49">
        <f t="shared" si="227"/>
        <v>0</v>
      </c>
      <c r="Z57" s="49">
        <f t="shared" si="228"/>
        <v>0</v>
      </c>
      <c r="AA57" s="49">
        <f t="shared" si="229"/>
        <v>0</v>
      </c>
      <c r="AB57" s="49">
        <f t="shared" si="230"/>
        <v>0</v>
      </c>
      <c r="AC57" s="49">
        <f t="shared" si="231"/>
        <v>0</v>
      </c>
      <c r="AD57" s="49">
        <f t="shared" si="232"/>
        <v>0</v>
      </c>
      <c r="AE57" s="49">
        <f t="shared" si="233"/>
        <v>0</v>
      </c>
      <c r="AF57" s="49">
        <f t="shared" si="234"/>
        <v>0</v>
      </c>
      <c r="AG57" s="49">
        <f t="shared" si="235"/>
        <v>0</v>
      </c>
      <c r="AH57" s="49">
        <f t="shared" si="236"/>
        <v>0</v>
      </c>
      <c r="AI57" s="49">
        <f t="shared" si="237"/>
        <v>0</v>
      </c>
      <c r="AJ57" s="60">
        <f t="shared" ref="AJ57:AW57" si="294">IFERROR(AJ29/$B57,0)</f>
        <v>0</v>
      </c>
      <c r="AK57" s="60">
        <f t="shared" si="294"/>
        <v>0</v>
      </c>
      <c r="AL57" s="60">
        <f t="shared" si="294"/>
        <v>22988.063934452039</v>
      </c>
      <c r="AM57" s="60">
        <f t="shared" si="294"/>
        <v>0</v>
      </c>
      <c r="AN57" s="60">
        <f>IFERROR(AN29/$B57,0)</f>
        <v>0</v>
      </c>
      <c r="AO57" s="60">
        <f>IFERROR(AO29/$B57,0)</f>
        <v>0</v>
      </c>
      <c r="AP57" s="60">
        <f>IFERROR(AP29/$B57,0)</f>
        <v>0</v>
      </c>
      <c r="AQ57" s="60">
        <f>IFERROR(AQ29/$B57,0)</f>
        <v>0</v>
      </c>
      <c r="AR57" s="60">
        <f t="shared" si="294"/>
        <v>0</v>
      </c>
      <c r="AS57" s="60">
        <f t="shared" si="294"/>
        <v>0</v>
      </c>
      <c r="AT57" s="60">
        <f t="shared" si="294"/>
        <v>0</v>
      </c>
      <c r="AU57" s="60">
        <f>IFERROR(AU29/$B57,0)</f>
        <v>0</v>
      </c>
      <c r="AV57" s="60">
        <f t="shared" si="294"/>
        <v>0</v>
      </c>
      <c r="AW57" s="60">
        <f t="shared" si="294"/>
        <v>0</v>
      </c>
      <c r="AX57" s="42"/>
      <c r="AY57" s="42"/>
      <c r="AZ57" s="42"/>
      <c r="BA57" s="42"/>
      <c r="BB57" s="42"/>
      <c r="BC57" s="42"/>
      <c r="BD57" s="42"/>
      <c r="BE57" s="42"/>
      <c r="BF57" s="42"/>
      <c r="BG57" s="42"/>
      <c r="BH57" s="42"/>
      <c r="BI57" s="42"/>
      <c r="BJ57" s="42"/>
      <c r="BK57" s="42"/>
      <c r="BL57" s="60">
        <f>IFERROR(BL29/$B57,0)</f>
        <v>22988.063934452039</v>
      </c>
      <c r="BM57" s="71">
        <f>IFERROR(s_RadSpec!$D$29*BM29,".")*$B$57</f>
        <v>0</v>
      </c>
      <c r="BN57" s="71">
        <f>IFERROR(s_RadSpec!$G$29*BN29,".")*$B$57</f>
        <v>0</v>
      </c>
      <c r="BO57" s="71">
        <f>IFERROR(s_RadSpec!$F$29*BO29,".")*$B$57</f>
        <v>2.1750418018050395E-10</v>
      </c>
      <c r="BP57" s="71">
        <f>s_b2s!BZ57</f>
        <v>0</v>
      </c>
      <c r="BQ57" s="71">
        <f>IFERROR(s_RadSpec!$E$29*BQ29,".")*$B$57</f>
        <v>0</v>
      </c>
      <c r="BR57" s="71">
        <f>IFERROR(s_RadSpec!$E$29*BR29,".")*$B$57</f>
        <v>0</v>
      </c>
      <c r="BS57" s="71">
        <f>IFERROR(s_RadSpec!$E$29*BS29,".")*$B$57</f>
        <v>0</v>
      </c>
      <c r="BT57" s="71">
        <f>IFERROR(s_RadSpec!$E$29*BT29,".")*$B$57</f>
        <v>0</v>
      </c>
      <c r="BU57" s="71">
        <f>IFERROR(s_RadSpec!$E$29*BU29,".")*$B$57</f>
        <v>0</v>
      </c>
      <c r="BV57" s="71">
        <f>IFERROR(s_RadSpec!$E$29*BV29,".")*$B$57</f>
        <v>0</v>
      </c>
      <c r="BW57" s="71">
        <f>IFERROR(s_RadSpec!$E$29*BW29,".")*$B$57</f>
        <v>0</v>
      </c>
      <c r="BX57" s="71">
        <f>IFERROR(s_RadSpec!$E$29*BX29,".")*$B$57</f>
        <v>0</v>
      </c>
      <c r="BY57" s="71">
        <f>IFERROR(s_RadSpec!$E$29*BY29,".")*$B$57</f>
        <v>0</v>
      </c>
      <c r="BZ57" s="71">
        <f>IFERROR(s_RadSpec!$E$29*BZ29,".")*$B$57</f>
        <v>0</v>
      </c>
      <c r="CA57" s="49">
        <f t="shared" si="239"/>
        <v>0</v>
      </c>
      <c r="CB57" s="49">
        <f t="shared" si="240"/>
        <v>0</v>
      </c>
      <c r="CC57" s="49">
        <f t="shared" si="241"/>
        <v>2.1750418018050395E-10</v>
      </c>
      <c r="CD57" s="49">
        <f t="shared" si="242"/>
        <v>0</v>
      </c>
      <c r="CE57" s="49">
        <f t="shared" si="243"/>
        <v>0</v>
      </c>
      <c r="CF57" s="49">
        <f t="shared" si="244"/>
        <v>0</v>
      </c>
      <c r="CG57" s="49">
        <f t="shared" si="245"/>
        <v>0</v>
      </c>
      <c r="CH57" s="49">
        <f t="shared" si="246"/>
        <v>0</v>
      </c>
      <c r="CI57" s="49">
        <f t="shared" si="247"/>
        <v>0</v>
      </c>
      <c r="CJ57" s="49">
        <f t="shared" si="248"/>
        <v>0</v>
      </c>
      <c r="CK57" s="49">
        <f t="shared" si="249"/>
        <v>0</v>
      </c>
      <c r="CL57" s="49">
        <f t="shared" si="250"/>
        <v>0</v>
      </c>
      <c r="CM57" s="49">
        <f t="shared" si="251"/>
        <v>0</v>
      </c>
      <c r="CN57" s="49">
        <f t="shared" si="252"/>
        <v>0</v>
      </c>
      <c r="CO57" s="49">
        <f t="shared" si="253"/>
        <v>2.1750418018050395E-10</v>
      </c>
      <c r="CP57" s="60">
        <f t="shared" ref="CP57:DC57" si="295">IFERROR(CP29/$B57,0)</f>
        <v>0</v>
      </c>
      <c r="CQ57" s="60">
        <f t="shared" si="295"/>
        <v>0</v>
      </c>
      <c r="CR57" s="60">
        <f t="shared" si="295"/>
        <v>3883214492.3120499</v>
      </c>
      <c r="CS57" s="60">
        <f t="shared" si="295"/>
        <v>0</v>
      </c>
      <c r="CT57" s="60">
        <f>IFERROR(CT29/$B57,0)</f>
        <v>0</v>
      </c>
      <c r="CU57" s="60">
        <f>IFERROR(CU29/$B57,0)</f>
        <v>0</v>
      </c>
      <c r="CV57" s="60">
        <f>IFERROR(CV29/$B57,0)</f>
        <v>0</v>
      </c>
      <c r="CW57" s="60">
        <f>IFERROR(CW29/$B57,0)</f>
        <v>0</v>
      </c>
      <c r="CX57" s="60">
        <f t="shared" si="295"/>
        <v>0</v>
      </c>
      <c r="CY57" s="60">
        <f t="shared" si="295"/>
        <v>0</v>
      </c>
      <c r="CZ57" s="60">
        <f t="shared" si="295"/>
        <v>0</v>
      </c>
      <c r="DA57" s="60">
        <f>IFERROR(DA29/$B57,0)</f>
        <v>0</v>
      </c>
      <c r="DB57" s="60">
        <f t="shared" si="295"/>
        <v>0</v>
      </c>
      <c r="DC57" s="60">
        <f t="shared" si="295"/>
        <v>0</v>
      </c>
      <c r="DD57" s="15"/>
      <c r="DE57" s="15"/>
      <c r="DF57" s="15"/>
      <c r="DG57" s="15"/>
      <c r="DH57" s="15"/>
      <c r="DI57" s="15"/>
      <c r="DJ57" s="15"/>
      <c r="DK57" s="15"/>
      <c r="DL57" s="15"/>
      <c r="DM57" s="15"/>
      <c r="DN57" s="15"/>
      <c r="DO57" s="15"/>
      <c r="DP57" s="15"/>
      <c r="DQ57" s="15"/>
      <c r="DR57" s="60">
        <f>IFERROR(DR29/$B57,0)</f>
        <v>3883214492.3120499</v>
      </c>
      <c r="DS57" s="71">
        <f>IFERROR(s_RadSpec!$H$29*DS29,".")*$B$57</f>
        <v>0</v>
      </c>
      <c r="DT57" s="71">
        <f>IFERROR(s_RadSpec!$G$29*DT29,".")*$B$57</f>
        <v>0</v>
      </c>
      <c r="DU57" s="71">
        <f>IFERROR(s_RadSpec!$L$29*DU29,".")*$B$57</f>
        <v>1.287593052070379E-15</v>
      </c>
      <c r="DV57" s="71">
        <f>s_b2w!BZ57</f>
        <v>0</v>
      </c>
      <c r="DW57" s="71">
        <f>IFERROR(s_RadSpec!$E$29*DW29,".")*$B$57</f>
        <v>0</v>
      </c>
      <c r="DX57" s="71">
        <f>IFERROR(s_RadSpec!$E$29*DX29,".")*$B$57</f>
        <v>0</v>
      </c>
      <c r="DY57" s="71">
        <f>IFERROR(s_RadSpec!$E$29*DY29,".")*$B$57</f>
        <v>0</v>
      </c>
      <c r="DZ57" s="71">
        <f>IFERROR(s_RadSpec!$E$29*DZ29,".")*$B$57</f>
        <v>0</v>
      </c>
      <c r="EA57" s="71">
        <f>IFERROR(s_RadSpec!$E$29*EA29,".")*$B$57</f>
        <v>0</v>
      </c>
      <c r="EB57" s="71">
        <f>IFERROR(s_RadSpec!$E$29*EB29,".")*$B$57</f>
        <v>0</v>
      </c>
      <c r="EC57" s="71">
        <f>IFERROR(s_RadSpec!$E$29*EC29,".")*$B$57</f>
        <v>0</v>
      </c>
      <c r="ED57" s="71">
        <f>IFERROR(s_RadSpec!$E$29*ED29,".")*$B$57</f>
        <v>0</v>
      </c>
      <c r="EE57" s="71">
        <f>IFERROR(s_RadSpec!$E$29*EE29,".")*$B$57</f>
        <v>0</v>
      </c>
      <c r="EF57" s="71">
        <f>IFERROR(s_RadSpec!$E$29*EF29,".")*$B$57</f>
        <v>0</v>
      </c>
      <c r="EG57" s="49">
        <f t="shared" si="255"/>
        <v>0</v>
      </c>
      <c r="EH57" s="49">
        <f t="shared" si="256"/>
        <v>0</v>
      </c>
      <c r="EI57" s="49">
        <f t="shared" si="257"/>
        <v>1.287593052070379E-15</v>
      </c>
      <c r="EJ57" s="49">
        <f t="shared" si="258"/>
        <v>0</v>
      </c>
      <c r="EK57" s="49">
        <f t="shared" si="259"/>
        <v>0</v>
      </c>
      <c r="EL57" s="49">
        <f t="shared" si="260"/>
        <v>0</v>
      </c>
      <c r="EM57" s="49">
        <f t="shared" si="261"/>
        <v>0</v>
      </c>
      <c r="EN57" s="49">
        <f t="shared" si="262"/>
        <v>0</v>
      </c>
      <c r="EO57" s="49">
        <f t="shared" si="263"/>
        <v>0</v>
      </c>
      <c r="EP57" s="49">
        <f t="shared" si="264"/>
        <v>0</v>
      </c>
      <c r="EQ57" s="49">
        <f t="shared" si="265"/>
        <v>0</v>
      </c>
      <c r="ER57" s="49">
        <f t="shared" si="266"/>
        <v>0</v>
      </c>
      <c r="ES57" s="49">
        <f t="shared" si="267"/>
        <v>0</v>
      </c>
      <c r="ET57" s="49">
        <f t="shared" si="268"/>
        <v>0</v>
      </c>
      <c r="EU57" s="49">
        <f t="shared" si="269"/>
        <v>1.287593052070379E-15</v>
      </c>
      <c r="EV57" s="60">
        <f>IFERROR(EV29/$B57,0)</f>
        <v>0</v>
      </c>
      <c r="EW57" s="60">
        <f>IFERROR(EW29/$B57,0)</f>
        <v>3370337.1065349863</v>
      </c>
      <c r="EX57" s="60">
        <f>IFERROR(EX29/$B57,0)</f>
        <v>3370337.1065349863</v>
      </c>
      <c r="EY57" s="71">
        <f>IFERROR(s_RadSpec!$G$29*EY29,".")*$B$57</f>
        <v>0</v>
      </c>
      <c r="EZ57" s="71">
        <f>IFERROR(s_RadSpec!$J$29*EZ29,".")*$B$57</f>
        <v>1.4835311252115235E-12</v>
      </c>
      <c r="FA57" s="49">
        <f t="shared" si="270"/>
        <v>0</v>
      </c>
      <c r="FB57" s="49">
        <f t="shared" si="270"/>
        <v>1.4835311252115235E-12</v>
      </c>
      <c r="FC57" s="49">
        <f t="shared" si="271"/>
        <v>1.4835311252115235E-12</v>
      </c>
    </row>
    <row r="58" spans="1:159" x14ac:dyDescent="0.25">
      <c r="A58" s="83" t="s">
        <v>1096</v>
      </c>
      <c r="B58" s="42">
        <v>1</v>
      </c>
      <c r="C58" s="60">
        <f t="shared" ref="C58:M58" si="296">IFERROR(C16/$B58,0)</f>
        <v>7.7264228207624422E-2</v>
      </c>
      <c r="D58" s="60">
        <f t="shared" si="296"/>
        <v>0.30905691283049769</v>
      </c>
      <c r="E58" s="60">
        <f t="shared" si="296"/>
        <v>0.30905691283049769</v>
      </c>
      <c r="F58" s="60">
        <f t="shared" si="296"/>
        <v>0.30905691283049769</v>
      </c>
      <c r="G58" s="60">
        <f t="shared" si="296"/>
        <v>0.30905691283049769</v>
      </c>
      <c r="H58" s="60">
        <f t="shared" si="296"/>
        <v>0.30905691283049769</v>
      </c>
      <c r="I58" s="60">
        <f t="shared" si="296"/>
        <v>0.30905691283049769</v>
      </c>
      <c r="J58" s="60">
        <f t="shared" si="296"/>
        <v>0.30905691283049769</v>
      </c>
      <c r="K58" s="60">
        <f t="shared" si="296"/>
        <v>0.30905691283049769</v>
      </c>
      <c r="L58" s="60">
        <f t="shared" si="296"/>
        <v>0.30905691283049769</v>
      </c>
      <c r="M58" s="60">
        <f t="shared" si="296"/>
        <v>0.30905691283049769</v>
      </c>
      <c r="N58" s="71">
        <f>s_dir!BA58</f>
        <v>6.4713000000000002E-5</v>
      </c>
      <c r="O58" s="71">
        <f>IFERROR(s_RadSpec!$E$16*O16,".")*$B$58</f>
        <v>1.617825E-5</v>
      </c>
      <c r="P58" s="71">
        <f>IFERROR(s_RadSpec!$E$16*P16,".")*$B$58</f>
        <v>1.617825E-5</v>
      </c>
      <c r="Q58" s="71">
        <f>IFERROR(s_RadSpec!$E$16*Q16,".")*$B$58</f>
        <v>1.617825E-5</v>
      </c>
      <c r="R58" s="71">
        <f>IFERROR(s_RadSpec!$E$16*R16,".")*$B$58</f>
        <v>1.617825E-5</v>
      </c>
      <c r="S58" s="71">
        <f>IFERROR(s_RadSpec!$E$16*S16,".")*$B$58</f>
        <v>1.617825E-5</v>
      </c>
      <c r="T58" s="71">
        <f>IFERROR(s_RadSpec!$E$16*T16,".")*$B$58</f>
        <v>1.617825E-5</v>
      </c>
      <c r="U58" s="71">
        <f>IFERROR(s_RadSpec!$E$16*U16,".")*$B$58</f>
        <v>1.617825E-5</v>
      </c>
      <c r="V58" s="71">
        <f>IFERROR(s_RadSpec!$E$16*V16,".")*$B$58</f>
        <v>1.617825E-5</v>
      </c>
      <c r="W58" s="71">
        <f>IFERROR(s_RadSpec!$E$16*W16,".")*$B$58</f>
        <v>1.617825E-5</v>
      </c>
      <c r="X58" s="71">
        <f>IFERROR(s_RadSpec!$E$16*X16,".")*$B$58</f>
        <v>1.617825E-5</v>
      </c>
      <c r="Y58" s="49">
        <f t="shared" si="227"/>
        <v>6.4713000000000002E-5</v>
      </c>
      <c r="Z58" s="49">
        <f t="shared" si="228"/>
        <v>1.617825E-5</v>
      </c>
      <c r="AA58" s="49">
        <f t="shared" si="229"/>
        <v>1.617825E-5</v>
      </c>
      <c r="AB58" s="49">
        <f t="shared" si="230"/>
        <v>1.617825E-5</v>
      </c>
      <c r="AC58" s="49">
        <f t="shared" si="231"/>
        <v>1.617825E-5</v>
      </c>
      <c r="AD58" s="49">
        <f t="shared" si="232"/>
        <v>1.617825E-5</v>
      </c>
      <c r="AE58" s="49">
        <f t="shared" si="233"/>
        <v>1.617825E-5</v>
      </c>
      <c r="AF58" s="49">
        <f t="shared" si="234"/>
        <v>1.617825E-5</v>
      </c>
      <c r="AG58" s="49">
        <f t="shared" si="235"/>
        <v>1.617825E-5</v>
      </c>
      <c r="AH58" s="49">
        <f t="shared" si="236"/>
        <v>1.617825E-5</v>
      </c>
      <c r="AI58" s="49">
        <f t="shared" si="237"/>
        <v>1.617825E-5</v>
      </c>
      <c r="AJ58" s="60">
        <f t="shared" ref="AJ58:AW58" si="297">IFERROR(AJ16/$B58,0)</f>
        <v>105.90527831907143</v>
      </c>
      <c r="AK58" s="60">
        <f t="shared" si="297"/>
        <v>107068.32240239423</v>
      </c>
      <c r="AL58" s="60">
        <f t="shared" si="297"/>
        <v>1182150931.9320743</v>
      </c>
      <c r="AM58" s="60">
        <f t="shared" si="297"/>
        <v>1.9901919816504459</v>
      </c>
      <c r="AN58" s="60">
        <f>IFERROR(AN16/$B58,0)</f>
        <v>1.854341476982986</v>
      </c>
      <c r="AO58" s="60">
        <f>IFERROR(AO16/$B58,0)</f>
        <v>4.9563044085259538</v>
      </c>
      <c r="AP58" s="60">
        <f>IFERROR(AP16/$B58,0)</f>
        <v>18.807870939722171</v>
      </c>
      <c r="AQ58" s="60">
        <f>IFERROR(AQ16/$B58,0)</f>
        <v>0</v>
      </c>
      <c r="AR58" s="60">
        <f t="shared" si="297"/>
        <v>0</v>
      </c>
      <c r="AS58" s="60">
        <f t="shared" si="297"/>
        <v>0</v>
      </c>
      <c r="AT58" s="60">
        <f t="shared" si="297"/>
        <v>0</v>
      </c>
      <c r="AU58" s="60">
        <f>IFERROR(AU16/$B58,0)</f>
        <v>0.59558257975786888</v>
      </c>
      <c r="AV58" s="60">
        <f t="shared" si="297"/>
        <v>0.48864973041805176</v>
      </c>
      <c r="AW58" s="60">
        <f t="shared" si="297"/>
        <v>0.10209987081563464</v>
      </c>
      <c r="AX58" s="42"/>
      <c r="AY58" s="42"/>
      <c r="AZ58" s="42"/>
      <c r="BA58" s="42"/>
      <c r="BB58" s="42"/>
      <c r="BC58" s="42"/>
      <c r="BD58" s="42"/>
      <c r="BE58" s="42"/>
      <c r="BF58" s="42"/>
      <c r="BG58" s="42"/>
      <c r="BH58" s="42"/>
      <c r="BI58" s="42"/>
      <c r="BJ58" s="42"/>
      <c r="BK58" s="42"/>
      <c r="BL58" s="60">
        <f>IFERROR(BL16/$B58,0)</f>
        <v>6.7449353851136415E-2</v>
      </c>
      <c r="BM58" s="71">
        <f>IFERROR(s_RadSpec!$D$16*BM16,".")*$B$58</f>
        <v>4.7212E-8</v>
      </c>
      <c r="BN58" s="71">
        <f>IFERROR(s_RadSpec!$G$16*BN16,".")*$B$58</f>
        <v>4.6699153286520449E-11</v>
      </c>
      <c r="BO58" s="71">
        <f>IFERROR(s_RadSpec!$F$16*BO16,".")*$B$58</f>
        <v>4.2295783600391369E-15</v>
      </c>
      <c r="BP58" s="71">
        <f>s_b2s!BZ58</f>
        <v>2.5123204425000001E-6</v>
      </c>
      <c r="BQ58" s="71">
        <f>IFERROR(s_RadSpec!$E$16*BQ16,".")*$B$58</f>
        <v>2.6963750000000005E-6</v>
      </c>
      <c r="BR58" s="71">
        <f>IFERROR(s_RadSpec!$E$16*BR16,".")*$B$58</f>
        <v>1.0088161637931035E-6</v>
      </c>
      <c r="BS58" s="71">
        <f>IFERROR(s_RadSpec!$E$16*BS16,".")*$B$58</f>
        <v>2.6584614579846001E-7</v>
      </c>
      <c r="BT58" s="71">
        <f>IFERROR(s_RadSpec!$E$16*BT16,".")*$B$58</f>
        <v>0</v>
      </c>
      <c r="BU58" s="71">
        <f>IFERROR(s_RadSpec!$E$16*BU16,".")*$B$58</f>
        <v>0</v>
      </c>
      <c r="BV58" s="71">
        <f>IFERROR(s_RadSpec!$E$16*BV16,".")*$B$58</f>
        <v>0</v>
      </c>
      <c r="BW58" s="71">
        <f>IFERROR(s_RadSpec!$E$16*BW16,".")*$B$58</f>
        <v>0</v>
      </c>
      <c r="BX58" s="71">
        <f>IFERROR(s_RadSpec!$E$16*BX16,".")*$B$58</f>
        <v>8.3951414462671594E-6</v>
      </c>
      <c r="BY58" s="71">
        <f>IFERROR(s_RadSpec!$E$16*BY16,".")*$B$58</f>
        <v>1.0232278232758621E-5</v>
      </c>
      <c r="BZ58" s="71">
        <f>IFERROR(s_RadSpec!$E$16*BZ16,".")*$B$58</f>
        <v>4.8971658436558419E-5</v>
      </c>
      <c r="CA58" s="49">
        <f t="shared" si="239"/>
        <v>4.7212E-8</v>
      </c>
      <c r="CB58" s="49">
        <f t="shared" si="240"/>
        <v>4.6699153286520449E-11</v>
      </c>
      <c r="CC58" s="49">
        <f t="shared" si="241"/>
        <v>4.2295783600391369E-15</v>
      </c>
      <c r="CD58" s="49">
        <f t="shared" si="242"/>
        <v>2.5123204425000001E-6</v>
      </c>
      <c r="CE58" s="49">
        <f t="shared" si="243"/>
        <v>2.6963750000000005E-6</v>
      </c>
      <c r="CF58" s="49">
        <f t="shared" si="244"/>
        <v>1.0088161637931035E-6</v>
      </c>
      <c r="CG58" s="49">
        <f t="shared" si="245"/>
        <v>2.6584614579846001E-7</v>
      </c>
      <c r="CH58" s="49">
        <f t="shared" si="246"/>
        <v>0</v>
      </c>
      <c r="CI58" s="49">
        <f t="shared" si="247"/>
        <v>0</v>
      </c>
      <c r="CJ58" s="49">
        <f t="shared" si="248"/>
        <v>0</v>
      </c>
      <c r="CK58" s="49">
        <f t="shared" si="249"/>
        <v>0</v>
      </c>
      <c r="CL58" s="49">
        <f t="shared" si="250"/>
        <v>8.3951414462671594E-6</v>
      </c>
      <c r="CM58" s="49">
        <f t="shared" si="251"/>
        <v>1.0232278232758621E-5</v>
      </c>
      <c r="CN58" s="49">
        <f t="shared" si="252"/>
        <v>4.8971658436558419E-5</v>
      </c>
      <c r="CO58" s="49">
        <f t="shared" si="253"/>
        <v>7.4129694571058635E-5</v>
      </c>
      <c r="CP58" s="60">
        <f t="shared" ref="CP58:DC58" si="298">IFERROR(CP16/$B58,0)</f>
        <v>2.2616759018432657</v>
      </c>
      <c r="CQ58" s="60">
        <f t="shared" si="298"/>
        <v>0</v>
      </c>
      <c r="CR58" s="60">
        <f t="shared" si="298"/>
        <v>2410786921.1673522</v>
      </c>
      <c r="CS58" s="60">
        <f t="shared" si="298"/>
        <v>4.6187439047609571</v>
      </c>
      <c r="CT58" s="60">
        <f>IFERROR(CT16/$B58,0)</f>
        <v>12.362276513219907</v>
      </c>
      <c r="CU58" s="60">
        <f>IFERROR(CU16/$B58,0)</f>
        <v>88301.975094427908</v>
      </c>
      <c r="CV58" s="60">
        <f>IFERROR(CV16/$B58,0)</f>
        <v>335082.75812148693</v>
      </c>
      <c r="CW58" s="60">
        <f>IFERROR(CW16/$B58,0)</f>
        <v>0</v>
      </c>
      <c r="CX58" s="60">
        <f t="shared" si="298"/>
        <v>0</v>
      </c>
      <c r="CY58" s="60">
        <f t="shared" si="298"/>
        <v>0</v>
      </c>
      <c r="CZ58" s="60">
        <f t="shared" si="298"/>
        <v>0</v>
      </c>
      <c r="DA58" s="60">
        <f>IFERROR(DA16/$B58,0)</f>
        <v>10610.95400718042</v>
      </c>
      <c r="DB58" s="60">
        <f t="shared" si="298"/>
        <v>8705.8285304365545</v>
      </c>
      <c r="DC58" s="60">
        <f t="shared" si="298"/>
        <v>1819.0206869452147</v>
      </c>
      <c r="DD58" s="15"/>
      <c r="DE58" s="15"/>
      <c r="DF58" s="15"/>
      <c r="DG58" s="15"/>
      <c r="DH58" s="15"/>
      <c r="DI58" s="15"/>
      <c r="DJ58" s="15"/>
      <c r="DK58" s="15"/>
      <c r="DL58" s="15"/>
      <c r="DM58" s="15"/>
      <c r="DN58" s="15"/>
      <c r="DO58" s="15"/>
      <c r="DP58" s="15"/>
      <c r="DQ58" s="15"/>
      <c r="DR58" s="60">
        <f>IFERROR(DR16/$B58,0)</f>
        <v>1.3507608587846429</v>
      </c>
      <c r="DS58" s="71">
        <f>IFERROR(s_RadSpec!$H$16*DS16,".")*$B$58</f>
        <v>2.21075E-6</v>
      </c>
      <c r="DT58" s="71">
        <f>IFERROR(s_RadSpec!$G$16*DT16,".")*$B$58</f>
        <v>7.2337890624999989E-6</v>
      </c>
      <c r="DU58" s="71">
        <f>IFERROR(s_RadSpec!$L$16*DU16,".")*$B$58</f>
        <v>2.0740115835616435E-15</v>
      </c>
      <c r="DV58" s="71">
        <f>s_b2w!BZ58</f>
        <v>1.0825454069549184E-6</v>
      </c>
      <c r="DW58" s="71">
        <f>IFERROR(s_RadSpec!$E$16*DW16,".")*$B$58</f>
        <v>4.0445625000000001E-7</v>
      </c>
      <c r="DX58" s="71">
        <f>IFERROR(s_RadSpec!$E$16*DX16,".")*$B$58</f>
        <v>5.6623875000000002E-11</v>
      </c>
      <c r="DY58" s="71">
        <f>IFERROR(s_RadSpec!$E$16*DY16,".")*$B$58</f>
        <v>1.4921686893203884E-11</v>
      </c>
      <c r="DZ58" s="71">
        <f>IFERROR(s_RadSpec!$E$16*DZ16,".")*$B$58</f>
        <v>0</v>
      </c>
      <c r="EA58" s="71">
        <f>IFERROR(s_RadSpec!$E$16*EA16,".")*$B$58</f>
        <v>0</v>
      </c>
      <c r="EB58" s="71">
        <f>IFERROR(s_RadSpec!$E$16*EB16,".")*$B$58</f>
        <v>0</v>
      </c>
      <c r="EC58" s="71">
        <f>IFERROR(s_RadSpec!$E$16*EC16,".")*$B$58</f>
        <v>0</v>
      </c>
      <c r="ED58" s="71">
        <f>IFERROR(s_RadSpec!$E$16*ED16,".")*$B$58</f>
        <v>4.712111650485437E-10</v>
      </c>
      <c r="EE58" s="71">
        <f>IFERROR(s_RadSpec!$E$16*EE16,".")*$B$58</f>
        <v>5.7432787500000007E-10</v>
      </c>
      <c r="EF58" s="71">
        <f>IFERROR(s_RadSpec!$E$16*EF16,".")*$B$58</f>
        <v>2.7487317961165053E-9</v>
      </c>
      <c r="EG58" s="49">
        <f t="shared" si="255"/>
        <v>2.21075E-6</v>
      </c>
      <c r="EH58" s="49">
        <f t="shared" si="256"/>
        <v>7.2337890624999989E-6</v>
      </c>
      <c r="EI58" s="49">
        <f t="shared" si="257"/>
        <v>2.0740115835616435E-15</v>
      </c>
      <c r="EJ58" s="49">
        <f t="shared" si="258"/>
        <v>1.0825454069549184E-6</v>
      </c>
      <c r="EK58" s="49">
        <f t="shared" si="259"/>
        <v>4.0445625000000001E-7</v>
      </c>
      <c r="EL58" s="49">
        <f t="shared" si="260"/>
        <v>5.6623875000000002E-11</v>
      </c>
      <c r="EM58" s="49">
        <f t="shared" si="261"/>
        <v>1.4921686893203884E-11</v>
      </c>
      <c r="EN58" s="49">
        <f t="shared" si="262"/>
        <v>0</v>
      </c>
      <c r="EO58" s="49">
        <f t="shared" si="263"/>
        <v>0</v>
      </c>
      <c r="EP58" s="49">
        <f t="shared" si="264"/>
        <v>0</v>
      </c>
      <c r="EQ58" s="49">
        <f t="shared" si="265"/>
        <v>0</v>
      </c>
      <c r="ER58" s="49">
        <f t="shared" si="266"/>
        <v>4.712111650485437E-10</v>
      </c>
      <c r="ES58" s="49">
        <f t="shared" si="267"/>
        <v>5.7432787500000007E-10</v>
      </c>
      <c r="ET58" s="49">
        <f t="shared" si="268"/>
        <v>2.7487317961165053E-9</v>
      </c>
      <c r="EU58" s="49">
        <f t="shared" si="269"/>
        <v>1.0935406537926986E-5</v>
      </c>
      <c r="EV58" s="60">
        <f>IFERROR(EV16/$B58,0)</f>
        <v>0.34560034560034564</v>
      </c>
      <c r="EW58" s="60">
        <f>IFERROR(EW16/$B58,0)</f>
        <v>2226222.22512546</v>
      </c>
      <c r="EX58" s="60">
        <f>IFERROR(EX16/$B58,0)</f>
        <v>0.3456002919491068</v>
      </c>
      <c r="EY58" s="71">
        <f>IFERROR(s_RadSpec!$G$16*EY16,".")*$B$58</f>
        <v>1.4467578124999998E-5</v>
      </c>
      <c r="EZ58" s="71">
        <f>IFERROR(s_RadSpec!$J$16*EZ16,".")*$B$58</f>
        <v>2.2459572739726024E-12</v>
      </c>
      <c r="FA58" s="49">
        <f t="shared" si="270"/>
        <v>1.4467578124999998E-5</v>
      </c>
      <c r="FB58" s="49">
        <f t="shared" si="270"/>
        <v>2.2459572739726024E-12</v>
      </c>
      <c r="FC58" s="49">
        <f t="shared" si="271"/>
        <v>1.4467580370957272E-5</v>
      </c>
    </row>
    <row r="59" spans="1:159" x14ac:dyDescent="0.25">
      <c r="A59" s="83" t="s">
        <v>1097</v>
      </c>
      <c r="B59" s="42">
        <v>1</v>
      </c>
      <c r="C59" s="60">
        <f t="shared" ref="C59:M59" si="299">IFERROR(C7/$B59,0)</f>
        <v>6.9801206164842524</v>
      </c>
      <c r="D59" s="60">
        <f t="shared" si="299"/>
        <v>27.92048246593701</v>
      </c>
      <c r="E59" s="60">
        <f t="shared" si="299"/>
        <v>27.92048246593701</v>
      </c>
      <c r="F59" s="60">
        <f t="shared" si="299"/>
        <v>27.92048246593701</v>
      </c>
      <c r="G59" s="60">
        <f t="shared" si="299"/>
        <v>27.92048246593701</v>
      </c>
      <c r="H59" s="60">
        <f t="shared" si="299"/>
        <v>27.92048246593701</v>
      </c>
      <c r="I59" s="60">
        <f t="shared" si="299"/>
        <v>27.92048246593701</v>
      </c>
      <c r="J59" s="60">
        <f t="shared" si="299"/>
        <v>27.92048246593701</v>
      </c>
      <c r="K59" s="60">
        <f t="shared" si="299"/>
        <v>27.92048246593701</v>
      </c>
      <c r="L59" s="60">
        <f t="shared" si="299"/>
        <v>27.92048246593701</v>
      </c>
      <c r="M59" s="60">
        <f t="shared" si="299"/>
        <v>27.92048246593701</v>
      </c>
      <c r="N59" s="71">
        <f>s_dir!BA59</f>
        <v>7.1631999999999995E-7</v>
      </c>
      <c r="O59" s="71">
        <f>IFERROR(s_RadSpec!$E$7*O7,".")*$B$59</f>
        <v>1.7907999999999999E-7</v>
      </c>
      <c r="P59" s="71">
        <f>IFERROR(s_RadSpec!$E$7*P7,".")*$B$59</f>
        <v>1.7907999999999999E-7</v>
      </c>
      <c r="Q59" s="71">
        <f>IFERROR(s_RadSpec!$E$7*Q7,".")*$B$59</f>
        <v>1.7907999999999999E-7</v>
      </c>
      <c r="R59" s="71">
        <f>IFERROR(s_RadSpec!$E$7*R7,".")*$B$59</f>
        <v>1.7907999999999999E-7</v>
      </c>
      <c r="S59" s="71">
        <f>IFERROR(s_RadSpec!$E$7*S7,".")*$B$59</f>
        <v>1.7907999999999999E-7</v>
      </c>
      <c r="T59" s="71">
        <f>IFERROR(s_RadSpec!$E$7*T7,".")*$B$59</f>
        <v>1.7907999999999999E-7</v>
      </c>
      <c r="U59" s="71">
        <f>IFERROR(s_RadSpec!$E$7*U7,".")*$B$59</f>
        <v>1.7907999999999999E-7</v>
      </c>
      <c r="V59" s="71">
        <f>IFERROR(s_RadSpec!$E$7*V7,".")*$B$59</f>
        <v>1.7907999999999999E-7</v>
      </c>
      <c r="W59" s="71">
        <f>IFERROR(s_RadSpec!$E$7*W7,".")*$B$59</f>
        <v>1.7907999999999999E-7</v>
      </c>
      <c r="X59" s="71">
        <f>IFERROR(s_RadSpec!$E$7*X7,".")*$B$59</f>
        <v>1.7907999999999999E-7</v>
      </c>
      <c r="Y59" s="49">
        <f t="shared" si="227"/>
        <v>7.1631999999999995E-7</v>
      </c>
      <c r="Z59" s="49">
        <f t="shared" si="228"/>
        <v>1.7907999999999999E-7</v>
      </c>
      <c r="AA59" s="49">
        <f t="shared" si="229"/>
        <v>1.7907999999999999E-7</v>
      </c>
      <c r="AB59" s="49">
        <f t="shared" si="230"/>
        <v>1.7907999999999999E-7</v>
      </c>
      <c r="AC59" s="49">
        <f t="shared" si="231"/>
        <v>1.7907999999999999E-7</v>
      </c>
      <c r="AD59" s="49">
        <f t="shared" si="232"/>
        <v>1.7907999999999999E-7</v>
      </c>
      <c r="AE59" s="49">
        <f t="shared" si="233"/>
        <v>1.7907999999999999E-7</v>
      </c>
      <c r="AF59" s="49">
        <f t="shared" si="234"/>
        <v>1.7907999999999999E-7</v>
      </c>
      <c r="AG59" s="49">
        <f t="shared" si="235"/>
        <v>1.7907999999999999E-7</v>
      </c>
      <c r="AH59" s="49">
        <f t="shared" si="236"/>
        <v>1.7907999999999999E-7</v>
      </c>
      <c r="AI59" s="49">
        <f t="shared" si="237"/>
        <v>1.7907999999999999E-7</v>
      </c>
      <c r="AJ59" s="60">
        <f t="shared" ref="AJ59:AW59" si="300">IFERROR(AJ7/$B59,0)</f>
        <v>7571.6562619490196</v>
      </c>
      <c r="AK59" s="60">
        <f t="shared" si="300"/>
        <v>3734334.171595701</v>
      </c>
      <c r="AL59" s="60">
        <f t="shared" si="300"/>
        <v>76058.078859213259</v>
      </c>
      <c r="AM59" s="60">
        <f t="shared" si="300"/>
        <v>61.498860057129974</v>
      </c>
      <c r="AN59" s="60">
        <f>IFERROR(AN7/$B59,0)</f>
        <v>893.45543890998431</v>
      </c>
      <c r="AO59" s="60">
        <f>IFERROR(AO7/$B59,0)</f>
        <v>93.068274886456706</v>
      </c>
      <c r="AP59" s="60">
        <f>IFERROR(AP7/$B59,0)</f>
        <v>191.7206462661008</v>
      </c>
      <c r="AQ59" s="60">
        <f>IFERROR(AQ7/$B59,0)</f>
        <v>0</v>
      </c>
      <c r="AR59" s="60">
        <f t="shared" si="300"/>
        <v>0</v>
      </c>
      <c r="AS59" s="60">
        <f t="shared" si="300"/>
        <v>0</v>
      </c>
      <c r="AT59" s="60">
        <f t="shared" si="300"/>
        <v>0</v>
      </c>
      <c r="AU59" s="60">
        <f>IFERROR(AU7/$B59,0)</f>
        <v>0</v>
      </c>
      <c r="AV59" s="60">
        <f t="shared" si="300"/>
        <v>0</v>
      </c>
      <c r="AW59" s="60">
        <f t="shared" si="300"/>
        <v>0</v>
      </c>
      <c r="AX59" s="42"/>
      <c r="AY59" s="42"/>
      <c r="AZ59" s="42"/>
      <c r="BA59" s="42"/>
      <c r="BB59" s="42"/>
      <c r="BC59" s="42"/>
      <c r="BD59" s="42"/>
      <c r="BE59" s="42"/>
      <c r="BF59" s="42"/>
      <c r="BG59" s="42"/>
      <c r="BH59" s="42"/>
      <c r="BI59" s="42"/>
      <c r="BJ59" s="42"/>
      <c r="BK59" s="42"/>
      <c r="BL59" s="60">
        <f>IFERROR(BL7/$B59,0)</f>
        <v>29.863294680077111</v>
      </c>
      <c r="BM59" s="71">
        <f>IFERROR(s_RadSpec!$D$7*BM7,".")*$B$59</f>
        <v>6.6035750000000001E-10</v>
      </c>
      <c r="BN59" s="71">
        <f>IFERROR(s_RadSpec!$G$7*BN7,".")*$B$59</f>
        <v>1.3389267725505863E-12</v>
      </c>
      <c r="BO59" s="71">
        <f>IFERROR(s_RadSpec!$F$7*BO7,".")*$B$59</f>
        <v>6.5739236054794546E-11</v>
      </c>
      <c r="BP59" s="71">
        <f>s_b2s!BZ59</f>
        <v>8.1302319999999992E-8</v>
      </c>
      <c r="BQ59" s="71">
        <f>IFERROR(s_RadSpec!$E$7*BQ7,".")*$B$59</f>
        <v>5.5962499999999996E-9</v>
      </c>
      <c r="BR59" s="71">
        <f>IFERROR(s_RadSpec!$E$7*BR7,".")*$B$59</f>
        <v>5.3723999999999999E-8</v>
      </c>
      <c r="BS59" s="71">
        <f>IFERROR(s_RadSpec!$E$7*BS7,".")*$B$59</f>
        <v>2.6079611650485435E-8</v>
      </c>
      <c r="BT59" s="71">
        <f>IFERROR(s_RadSpec!$E$7*BT7,".")*$B$59</f>
        <v>0</v>
      </c>
      <c r="BU59" s="71">
        <f>IFERROR(s_RadSpec!$E$7*BU7,".")*$B$59</f>
        <v>0</v>
      </c>
      <c r="BV59" s="71">
        <f>IFERROR(s_RadSpec!$E$7*BV7,".")*$B$59</f>
        <v>0</v>
      </c>
      <c r="BW59" s="71">
        <f>IFERROR(s_RadSpec!$E$7*BW7,".")*$B$59</f>
        <v>0</v>
      </c>
      <c r="BX59" s="71">
        <f>IFERROR(s_RadSpec!$E$7*BX7,".")*$B$59</f>
        <v>0</v>
      </c>
      <c r="BY59" s="71">
        <f>IFERROR(s_RadSpec!$E$7*BY7,".")*$B$59</f>
        <v>0</v>
      </c>
      <c r="BZ59" s="71">
        <f>IFERROR(s_RadSpec!$E$7*BZ7,".")*$B$59</f>
        <v>0</v>
      </c>
      <c r="CA59" s="49">
        <f t="shared" si="239"/>
        <v>6.6035750000000001E-10</v>
      </c>
      <c r="CB59" s="49">
        <f t="shared" si="240"/>
        <v>1.3389267725505863E-12</v>
      </c>
      <c r="CC59" s="49">
        <f t="shared" si="241"/>
        <v>6.5739236054794546E-11</v>
      </c>
      <c r="CD59" s="49">
        <f t="shared" si="242"/>
        <v>8.1302319999999992E-8</v>
      </c>
      <c r="CE59" s="49">
        <f t="shared" si="243"/>
        <v>5.5962499999999996E-9</v>
      </c>
      <c r="CF59" s="49">
        <f t="shared" si="244"/>
        <v>5.3723999999999999E-8</v>
      </c>
      <c r="CG59" s="49">
        <f t="shared" si="245"/>
        <v>2.6079611650485435E-8</v>
      </c>
      <c r="CH59" s="49">
        <f t="shared" si="246"/>
        <v>0</v>
      </c>
      <c r="CI59" s="49">
        <f t="shared" si="247"/>
        <v>0</v>
      </c>
      <c r="CJ59" s="49">
        <f t="shared" si="248"/>
        <v>0</v>
      </c>
      <c r="CK59" s="49">
        <f t="shared" si="249"/>
        <v>0</v>
      </c>
      <c r="CL59" s="49">
        <f t="shared" si="250"/>
        <v>0</v>
      </c>
      <c r="CM59" s="49">
        <f t="shared" si="251"/>
        <v>0</v>
      </c>
      <c r="CN59" s="49">
        <f t="shared" si="252"/>
        <v>0</v>
      </c>
      <c r="CO59" s="49">
        <f t="shared" si="253"/>
        <v>1.6742961731331277E-7</v>
      </c>
      <c r="CP59" s="60">
        <f t="shared" ref="CP59:DC59" si="301">IFERROR(CP7/$B59,0)</f>
        <v>224.290680722216</v>
      </c>
      <c r="CQ59" s="60">
        <f t="shared" si="301"/>
        <v>0</v>
      </c>
      <c r="CR59" s="60">
        <f t="shared" si="301"/>
        <v>2799391380.1017914</v>
      </c>
      <c r="CS59" s="60">
        <f t="shared" si="301"/>
        <v>221.12164775828299</v>
      </c>
      <c r="CT59" s="60">
        <f>IFERROR(CT7/$B59,0)</f>
        <v>1861.3654977291339</v>
      </c>
      <c r="CU59" s="60">
        <f>IFERROR(CU7/$B59,0)</f>
        <v>2792048.2465937007</v>
      </c>
      <c r="CV59" s="60">
        <f>IFERROR(CV7/$B59,0)</f>
        <v>5751619.3879830232</v>
      </c>
      <c r="CW59" s="60">
        <f>IFERROR(CW7/$B59,0)</f>
        <v>0</v>
      </c>
      <c r="CX59" s="60">
        <f t="shared" si="301"/>
        <v>0</v>
      </c>
      <c r="CY59" s="60">
        <f t="shared" si="301"/>
        <v>0</v>
      </c>
      <c r="CZ59" s="60">
        <f t="shared" si="301"/>
        <v>0</v>
      </c>
      <c r="DA59" s="60">
        <f>IFERROR(DA7/$B59,0)</f>
        <v>0</v>
      </c>
      <c r="DB59" s="60">
        <f t="shared" si="301"/>
        <v>0</v>
      </c>
      <c r="DC59" s="60">
        <f t="shared" si="301"/>
        <v>0</v>
      </c>
      <c r="DD59" s="15"/>
      <c r="DE59" s="15"/>
      <c r="DF59" s="15"/>
      <c r="DG59" s="15"/>
      <c r="DH59" s="15"/>
      <c r="DI59" s="15"/>
      <c r="DJ59" s="15"/>
      <c r="DK59" s="15"/>
      <c r="DL59" s="15"/>
      <c r="DM59" s="15"/>
      <c r="DN59" s="15"/>
      <c r="DO59" s="15"/>
      <c r="DP59" s="15"/>
      <c r="DQ59" s="15"/>
      <c r="DR59" s="60">
        <f>IFERROR(DR7/$B59,0)</f>
        <v>105.05669450695729</v>
      </c>
      <c r="DS59" s="71">
        <f>IFERROR(s_RadSpec!$H$7*DS7,".")*$B$59</f>
        <v>2.2292499999999999E-8</v>
      </c>
      <c r="DT59" s="71">
        <f>IFERROR(s_RadSpec!$G$7*DT7,".")*$B$59</f>
        <v>2.0740234375E-7</v>
      </c>
      <c r="DU59" s="71">
        <f>IFERROR(s_RadSpec!$L$7*DU7,".")*$B$59</f>
        <v>1.7861025205479451E-15</v>
      </c>
      <c r="DV59" s="71">
        <f>s_b2w!BZ59</f>
        <v>2.2611987793550189E-8</v>
      </c>
      <c r="DW59" s="71">
        <f>IFERROR(s_RadSpec!$E$7*DW7,".")*$B$59</f>
        <v>2.6861999999999997E-9</v>
      </c>
      <c r="DX59" s="71">
        <f>IFERROR(s_RadSpec!$E$7*DX7,".")*$B$59</f>
        <v>1.7908E-12</v>
      </c>
      <c r="DY59" s="71">
        <f>IFERROR(s_RadSpec!$E$7*DY7,".")*$B$59</f>
        <v>8.6932038834951469E-13</v>
      </c>
      <c r="DZ59" s="71">
        <f>IFERROR(s_RadSpec!$E$7*DZ7,".")*$B$59</f>
        <v>0</v>
      </c>
      <c r="EA59" s="71">
        <f>IFERROR(s_RadSpec!$E$7*EA7,".")*$B$59</f>
        <v>0</v>
      </c>
      <c r="EB59" s="71">
        <f>IFERROR(s_RadSpec!$E$7*EB7,".")*$B$59</f>
        <v>0</v>
      </c>
      <c r="EC59" s="71">
        <f>IFERROR(s_RadSpec!$E$7*EC7,".")*$B$59</f>
        <v>0</v>
      </c>
      <c r="ED59" s="71">
        <f>IFERROR(s_RadSpec!$E$7*ED7,".")*$B$59</f>
        <v>0</v>
      </c>
      <c r="EE59" s="71">
        <f>IFERROR(s_RadSpec!$E$7*EE7,".")*$B$59</f>
        <v>0</v>
      </c>
      <c r="EF59" s="71">
        <f>IFERROR(s_RadSpec!$E$7*EF7,".")*$B$59</f>
        <v>0</v>
      </c>
      <c r="EG59" s="49">
        <f t="shared" si="255"/>
        <v>2.2292499999999999E-8</v>
      </c>
      <c r="EH59" s="49">
        <f t="shared" si="256"/>
        <v>2.0740234375E-7</v>
      </c>
      <c r="EI59" s="49">
        <f t="shared" si="257"/>
        <v>1.7861025205479451E-15</v>
      </c>
      <c r="EJ59" s="49">
        <f t="shared" si="258"/>
        <v>2.2611987793550189E-8</v>
      </c>
      <c r="EK59" s="49">
        <f t="shared" si="259"/>
        <v>2.6861999999999997E-9</v>
      </c>
      <c r="EL59" s="49">
        <f t="shared" si="260"/>
        <v>1.7908E-12</v>
      </c>
      <c r="EM59" s="49">
        <f t="shared" si="261"/>
        <v>8.6932038834951469E-13</v>
      </c>
      <c r="EN59" s="49">
        <f t="shared" si="262"/>
        <v>0</v>
      </c>
      <c r="EO59" s="49">
        <f t="shared" si="263"/>
        <v>0</v>
      </c>
      <c r="EP59" s="49">
        <f t="shared" si="264"/>
        <v>0</v>
      </c>
      <c r="EQ59" s="49">
        <f t="shared" si="265"/>
        <v>0</v>
      </c>
      <c r="ER59" s="49">
        <f t="shared" si="266"/>
        <v>0</v>
      </c>
      <c r="ES59" s="49">
        <f t="shared" si="267"/>
        <v>0</v>
      </c>
      <c r="ET59" s="49">
        <f t="shared" si="268"/>
        <v>0</v>
      </c>
      <c r="EU59" s="49">
        <f t="shared" si="269"/>
        <v>2.5499569345004103E-7</v>
      </c>
      <c r="EV59" s="60">
        <f>IFERROR(EV7/$B59,0)</f>
        <v>12.053865712402297</v>
      </c>
      <c r="EW59" s="60">
        <f>IFERROR(EW7/$B59,0)</f>
        <v>1656152.0747622075</v>
      </c>
      <c r="EX59" s="60">
        <f>IFERROR(EX7/$B59,0)</f>
        <v>12.053777982161012</v>
      </c>
      <c r="EY59" s="71">
        <f>IFERROR(s_RadSpec!$G$7*EY7,".")*$B$59</f>
        <v>4.1480468749999999E-7</v>
      </c>
      <c r="EZ59" s="71">
        <f>IFERROR(s_RadSpec!$J$7*EZ7,".")*$B$59</f>
        <v>3.019046424657534E-12</v>
      </c>
      <c r="FA59" s="49">
        <f t="shared" si="270"/>
        <v>4.1480468749999999E-7</v>
      </c>
      <c r="FB59" s="49">
        <f t="shared" si="270"/>
        <v>3.019046424657534E-12</v>
      </c>
      <c r="FC59" s="49">
        <f t="shared" si="271"/>
        <v>4.1480770654642464E-7</v>
      </c>
    </row>
    <row r="60" spans="1:159" x14ac:dyDescent="0.25">
      <c r="A60" s="83" t="s">
        <v>1098</v>
      </c>
      <c r="B60" s="86">
        <v>1.9000000000000001E-8</v>
      </c>
      <c r="C60" s="60">
        <f t="shared" ref="C60:M60" si="302">IFERROR(C12/$B60,0)</f>
        <v>0</v>
      </c>
      <c r="D60" s="60">
        <f t="shared" si="302"/>
        <v>0</v>
      </c>
      <c r="E60" s="60">
        <f t="shared" si="302"/>
        <v>0</v>
      </c>
      <c r="F60" s="60">
        <f t="shared" si="302"/>
        <v>0</v>
      </c>
      <c r="G60" s="60">
        <f t="shared" si="302"/>
        <v>0</v>
      </c>
      <c r="H60" s="60">
        <f t="shared" si="302"/>
        <v>0</v>
      </c>
      <c r="I60" s="60">
        <f t="shared" si="302"/>
        <v>0</v>
      </c>
      <c r="J60" s="60">
        <f t="shared" si="302"/>
        <v>0</v>
      </c>
      <c r="K60" s="60">
        <f t="shared" si="302"/>
        <v>0</v>
      </c>
      <c r="L60" s="60">
        <f t="shared" si="302"/>
        <v>0</v>
      </c>
      <c r="M60" s="60">
        <f t="shared" si="302"/>
        <v>0</v>
      </c>
      <c r="N60" s="71">
        <f>s_dir!BA60</f>
        <v>0</v>
      </c>
      <c r="O60" s="71">
        <f>IFERROR(s_RadSpec!$E$12*O12,".")*$B$60</f>
        <v>0</v>
      </c>
      <c r="P60" s="71">
        <f>IFERROR(s_RadSpec!$E$12*P12,".")*$B$60</f>
        <v>0</v>
      </c>
      <c r="Q60" s="71">
        <f>IFERROR(s_RadSpec!$E$12*Q12,".")*$B$60</f>
        <v>0</v>
      </c>
      <c r="R60" s="71">
        <f>IFERROR(s_RadSpec!$E$12*R12,".")*$B$60</f>
        <v>0</v>
      </c>
      <c r="S60" s="71">
        <f>IFERROR(s_RadSpec!$E$12*S12,".")*$B$60</f>
        <v>0</v>
      </c>
      <c r="T60" s="71">
        <f>IFERROR(s_RadSpec!$E$12*T12,".")*$B$60</f>
        <v>0</v>
      </c>
      <c r="U60" s="71">
        <f>IFERROR(s_RadSpec!$E$12*U12,".")*$B$60</f>
        <v>0</v>
      </c>
      <c r="V60" s="71">
        <f>IFERROR(s_RadSpec!$E$12*V12,".")*$B$60</f>
        <v>0</v>
      </c>
      <c r="W60" s="71">
        <f>IFERROR(s_RadSpec!$E$12*W12,".")*$B$60</f>
        <v>0</v>
      </c>
      <c r="X60" s="71">
        <f>IFERROR(s_RadSpec!$E$12*X12,".")*$B$60</f>
        <v>0</v>
      </c>
      <c r="Y60" s="49">
        <f t="shared" si="227"/>
        <v>0</v>
      </c>
      <c r="Z60" s="49">
        <f t="shared" si="228"/>
        <v>0</v>
      </c>
      <c r="AA60" s="49">
        <f t="shared" si="229"/>
        <v>0</v>
      </c>
      <c r="AB60" s="49">
        <f t="shared" si="230"/>
        <v>0</v>
      </c>
      <c r="AC60" s="49">
        <f t="shared" si="231"/>
        <v>0</v>
      </c>
      <c r="AD60" s="49">
        <f t="shared" si="232"/>
        <v>0</v>
      </c>
      <c r="AE60" s="49">
        <f t="shared" si="233"/>
        <v>0</v>
      </c>
      <c r="AF60" s="49">
        <f t="shared" si="234"/>
        <v>0</v>
      </c>
      <c r="AG60" s="49">
        <f t="shared" si="235"/>
        <v>0</v>
      </c>
      <c r="AH60" s="49">
        <f t="shared" si="236"/>
        <v>0</v>
      </c>
      <c r="AI60" s="49">
        <f t="shared" si="237"/>
        <v>0</v>
      </c>
      <c r="AJ60" s="60">
        <f t="shared" ref="AJ60:AW60" si="303">IFERROR(AJ12/$B60,0)</f>
        <v>0</v>
      </c>
      <c r="AK60" s="60">
        <f t="shared" si="303"/>
        <v>0</v>
      </c>
      <c r="AL60" s="60">
        <f t="shared" si="303"/>
        <v>17785744382.370789</v>
      </c>
      <c r="AM60" s="60">
        <f t="shared" si="303"/>
        <v>0</v>
      </c>
      <c r="AN60" s="60">
        <f>IFERROR(AN12/$B60,0)</f>
        <v>0</v>
      </c>
      <c r="AO60" s="60">
        <f>IFERROR(AO12/$B60,0)</f>
        <v>0</v>
      </c>
      <c r="AP60" s="60">
        <f>IFERROR(AP12/$B60,0)</f>
        <v>0</v>
      </c>
      <c r="AQ60" s="60">
        <f>IFERROR(AQ12/$B60,0)</f>
        <v>0</v>
      </c>
      <c r="AR60" s="60">
        <f t="shared" si="303"/>
        <v>0</v>
      </c>
      <c r="AS60" s="60">
        <f t="shared" si="303"/>
        <v>0</v>
      </c>
      <c r="AT60" s="60">
        <f t="shared" si="303"/>
        <v>0</v>
      </c>
      <c r="AU60" s="60">
        <f>IFERROR(AU12/$B60,0)</f>
        <v>0</v>
      </c>
      <c r="AV60" s="60">
        <f t="shared" si="303"/>
        <v>0</v>
      </c>
      <c r="AW60" s="60">
        <f t="shared" si="303"/>
        <v>0</v>
      </c>
      <c r="AX60" s="42"/>
      <c r="AY60" s="42"/>
      <c r="AZ60" s="42"/>
      <c r="BA60" s="42"/>
      <c r="BB60" s="42"/>
      <c r="BC60" s="42"/>
      <c r="BD60" s="42"/>
      <c r="BE60" s="42"/>
      <c r="BF60" s="42"/>
      <c r="BG60" s="42"/>
      <c r="BH60" s="42"/>
      <c r="BI60" s="42"/>
      <c r="BJ60" s="42"/>
      <c r="BK60" s="42"/>
      <c r="BL60" s="60">
        <f>IFERROR(BL12/$B60,0)</f>
        <v>17785744382.370789</v>
      </c>
      <c r="BM60" s="71">
        <f>IFERROR(s_RadSpec!$D$12*BM12,".")*$B$60</f>
        <v>0</v>
      </c>
      <c r="BN60" s="71">
        <f>IFERROR(s_RadSpec!$G$12*BN12,".")*$B$60</f>
        <v>0</v>
      </c>
      <c r="BO60" s="71">
        <f>IFERROR(s_RadSpec!$F$12*BO12,".")*$B$60</f>
        <v>2.8112402227910099E-16</v>
      </c>
      <c r="BP60" s="71">
        <f>s_b2s!BZ60</f>
        <v>0</v>
      </c>
      <c r="BQ60" s="71">
        <f>IFERROR(s_RadSpec!$E$12*BQ12,".")*$B$60</f>
        <v>0</v>
      </c>
      <c r="BR60" s="71">
        <f>IFERROR(s_RadSpec!$E$12*BR12,".")*$B$60</f>
        <v>0</v>
      </c>
      <c r="BS60" s="71">
        <f>IFERROR(s_RadSpec!$E$12*BS12,".")*$B$60</f>
        <v>0</v>
      </c>
      <c r="BT60" s="71">
        <f>IFERROR(s_RadSpec!$E$12*BT12,".")*$B$60</f>
        <v>0</v>
      </c>
      <c r="BU60" s="71">
        <f>IFERROR(s_RadSpec!$E$12*BU12,".")*$B$60</f>
        <v>0</v>
      </c>
      <c r="BV60" s="71">
        <f>IFERROR(s_RadSpec!$E$12*BV12,".")*$B$60</f>
        <v>0</v>
      </c>
      <c r="BW60" s="71">
        <f>IFERROR(s_RadSpec!$E$12*BW12,".")*$B$60</f>
        <v>0</v>
      </c>
      <c r="BX60" s="71">
        <f>IFERROR(s_RadSpec!$E$12*BX12,".")*$B$60</f>
        <v>0</v>
      </c>
      <c r="BY60" s="71">
        <f>IFERROR(s_RadSpec!$E$12*BY12,".")*$B$60</f>
        <v>0</v>
      </c>
      <c r="BZ60" s="71">
        <f>IFERROR(s_RadSpec!$E$12*BZ12,".")*$B$60</f>
        <v>0</v>
      </c>
      <c r="CA60" s="49">
        <f t="shared" si="239"/>
        <v>0</v>
      </c>
      <c r="CB60" s="49">
        <f t="shared" si="240"/>
        <v>0</v>
      </c>
      <c r="CC60" s="49">
        <f t="shared" si="241"/>
        <v>2.8112402227910099E-16</v>
      </c>
      <c r="CD60" s="49">
        <f t="shared" si="242"/>
        <v>0</v>
      </c>
      <c r="CE60" s="49">
        <f t="shared" si="243"/>
        <v>0</v>
      </c>
      <c r="CF60" s="49">
        <f t="shared" si="244"/>
        <v>0</v>
      </c>
      <c r="CG60" s="49">
        <f t="shared" si="245"/>
        <v>0</v>
      </c>
      <c r="CH60" s="49">
        <f t="shared" si="246"/>
        <v>0</v>
      </c>
      <c r="CI60" s="49">
        <f t="shared" si="247"/>
        <v>0</v>
      </c>
      <c r="CJ60" s="49">
        <f t="shared" si="248"/>
        <v>0</v>
      </c>
      <c r="CK60" s="49">
        <f t="shared" si="249"/>
        <v>0</v>
      </c>
      <c r="CL60" s="49">
        <f t="shared" si="250"/>
        <v>0</v>
      </c>
      <c r="CM60" s="49">
        <f t="shared" si="251"/>
        <v>0</v>
      </c>
      <c r="CN60" s="49">
        <f t="shared" si="252"/>
        <v>0</v>
      </c>
      <c r="CO60" s="49">
        <f t="shared" si="253"/>
        <v>2.8112402227910099E-16</v>
      </c>
      <c r="CP60" s="60">
        <f t="shared" ref="CP60:DC60" si="304">IFERROR(CP12/$B60,0)</f>
        <v>0</v>
      </c>
      <c r="CQ60" s="60">
        <f t="shared" si="304"/>
        <v>0</v>
      </c>
      <c r="CR60" s="60">
        <f t="shared" si="304"/>
        <v>1067193299953456.8</v>
      </c>
      <c r="CS60" s="60">
        <f t="shared" si="304"/>
        <v>0</v>
      </c>
      <c r="CT60" s="60">
        <f>IFERROR(CT12/$B60,0)</f>
        <v>0</v>
      </c>
      <c r="CU60" s="60">
        <f>IFERROR(CU12/$B60,0)</f>
        <v>0</v>
      </c>
      <c r="CV60" s="60">
        <f>IFERROR(CV12/$B60,0)</f>
        <v>0</v>
      </c>
      <c r="CW60" s="60">
        <f>IFERROR(CW12/$B60,0)</f>
        <v>0</v>
      </c>
      <c r="CX60" s="60">
        <f t="shared" si="304"/>
        <v>0</v>
      </c>
      <c r="CY60" s="60">
        <f t="shared" si="304"/>
        <v>0</v>
      </c>
      <c r="CZ60" s="60">
        <f t="shared" si="304"/>
        <v>0</v>
      </c>
      <c r="DA60" s="60">
        <f>IFERROR(DA12/$B60,0)</f>
        <v>0</v>
      </c>
      <c r="DB60" s="60">
        <f t="shared" si="304"/>
        <v>0</v>
      </c>
      <c r="DC60" s="60">
        <f t="shared" si="304"/>
        <v>0</v>
      </c>
      <c r="DD60" s="15"/>
      <c r="DE60" s="15"/>
      <c r="DF60" s="15"/>
      <c r="DG60" s="15"/>
      <c r="DH60" s="15"/>
      <c r="DI60" s="15"/>
      <c r="DJ60" s="15"/>
      <c r="DK60" s="15"/>
      <c r="DL60" s="15"/>
      <c r="DM60" s="15"/>
      <c r="DN60" s="15"/>
      <c r="DO60" s="15"/>
      <c r="DP60" s="15"/>
      <c r="DQ60" s="15"/>
      <c r="DR60" s="60">
        <f>IFERROR(DR12/$B60,0)</f>
        <v>1067193299953456.8</v>
      </c>
      <c r="DS60" s="71">
        <f>IFERROR(s_RadSpec!$H$12*DS12,".")*$B$60</f>
        <v>0</v>
      </c>
      <c r="DT60" s="71">
        <f>IFERROR(s_RadSpec!$G$12*DT12,".")*$B$60</f>
        <v>0</v>
      </c>
      <c r="DU60" s="71">
        <f>IFERROR(s_RadSpec!$L$12*DU12,".")*$B$60</f>
        <v>4.6851868356164388E-21</v>
      </c>
      <c r="DV60" s="71">
        <f>s_b2w!BZ60</f>
        <v>0</v>
      </c>
      <c r="DW60" s="71">
        <f>IFERROR(s_RadSpec!$E$12*DW12,".")*$B$60</f>
        <v>0</v>
      </c>
      <c r="DX60" s="71">
        <f>IFERROR(s_RadSpec!$E$12*DX12,".")*$B$60</f>
        <v>0</v>
      </c>
      <c r="DY60" s="71">
        <f>IFERROR(s_RadSpec!$E$12*DY12,".")*$B$60</f>
        <v>0</v>
      </c>
      <c r="DZ60" s="71">
        <f>IFERROR(s_RadSpec!$E$12*DZ12,".")*$B$60</f>
        <v>0</v>
      </c>
      <c r="EA60" s="71">
        <f>IFERROR(s_RadSpec!$E$12*EA12,".")*$B$60</f>
        <v>0</v>
      </c>
      <c r="EB60" s="71">
        <f>IFERROR(s_RadSpec!$E$12*EB12,".")*$B$60</f>
        <v>0</v>
      </c>
      <c r="EC60" s="71">
        <f>IFERROR(s_RadSpec!$E$12*EC12,".")*$B$60</f>
        <v>0</v>
      </c>
      <c r="ED60" s="71">
        <f>IFERROR(s_RadSpec!$E$12*ED12,".")*$B$60</f>
        <v>0</v>
      </c>
      <c r="EE60" s="71">
        <f>IFERROR(s_RadSpec!$E$12*EE12,".")*$B$60</f>
        <v>0</v>
      </c>
      <c r="EF60" s="71">
        <f>IFERROR(s_RadSpec!$E$12*EF12,".")*$B$60</f>
        <v>0</v>
      </c>
      <c r="EG60" s="49">
        <f t="shared" si="255"/>
        <v>0</v>
      </c>
      <c r="EH60" s="49">
        <f t="shared" si="256"/>
        <v>0</v>
      </c>
      <c r="EI60" s="49">
        <f t="shared" si="257"/>
        <v>4.6851868356164388E-21</v>
      </c>
      <c r="EJ60" s="49">
        <f t="shared" si="258"/>
        <v>0</v>
      </c>
      <c r="EK60" s="49">
        <f t="shared" si="259"/>
        <v>0</v>
      </c>
      <c r="EL60" s="49">
        <f t="shared" si="260"/>
        <v>0</v>
      </c>
      <c r="EM60" s="49">
        <f t="shared" si="261"/>
        <v>0</v>
      </c>
      <c r="EN60" s="49">
        <f t="shared" si="262"/>
        <v>0</v>
      </c>
      <c r="EO60" s="49">
        <f t="shared" si="263"/>
        <v>0</v>
      </c>
      <c r="EP60" s="49">
        <f t="shared" si="264"/>
        <v>0</v>
      </c>
      <c r="EQ60" s="49">
        <f t="shared" si="265"/>
        <v>0</v>
      </c>
      <c r="ER60" s="49">
        <f t="shared" si="266"/>
        <v>0</v>
      </c>
      <c r="ES60" s="49">
        <f t="shared" si="267"/>
        <v>0</v>
      </c>
      <c r="ET60" s="49">
        <f t="shared" si="268"/>
        <v>0</v>
      </c>
      <c r="EU60" s="49">
        <f t="shared" si="269"/>
        <v>4.6851868356164388E-21</v>
      </c>
      <c r="EV60" s="60">
        <f>IFERROR(EV12/$B60,0)</f>
        <v>0</v>
      </c>
      <c r="EW60" s="60">
        <f>IFERROR(EW12/$B60,0)</f>
        <v>929085931724.18591</v>
      </c>
      <c r="EX60" s="60">
        <f>IFERROR(EX12/$B60,0)</f>
        <v>929085931724.18591</v>
      </c>
      <c r="EY60" s="71">
        <f>IFERROR(s_RadSpec!$G$12*EY12,".")*$B$60</f>
        <v>0</v>
      </c>
      <c r="EZ60" s="71">
        <f>IFERROR(s_RadSpec!$J$12*EZ12,".")*$B$60</f>
        <v>5.3816335273972592E-18</v>
      </c>
      <c r="FA60" s="49">
        <f t="shared" si="270"/>
        <v>0</v>
      </c>
      <c r="FB60" s="49">
        <f t="shared" si="270"/>
        <v>5.3816335273972592E-18</v>
      </c>
      <c r="FC60" s="49">
        <f t="shared" si="271"/>
        <v>5.3816335273972592E-18</v>
      </c>
    </row>
    <row r="61" spans="1:159" x14ac:dyDescent="0.25">
      <c r="A61" s="83" t="s">
        <v>1099</v>
      </c>
      <c r="B61" s="42">
        <v>1</v>
      </c>
      <c r="C61" s="60">
        <f t="shared" ref="C61:M61" si="305">IFERROR(C18/$B61,0)</f>
        <v>4.0344867931074828E-2</v>
      </c>
      <c r="D61" s="60">
        <f t="shared" si="305"/>
        <v>0.16137947172429931</v>
      </c>
      <c r="E61" s="60">
        <f t="shared" si="305"/>
        <v>0.16137947172429931</v>
      </c>
      <c r="F61" s="60">
        <f t="shared" si="305"/>
        <v>0.16137947172429931</v>
      </c>
      <c r="G61" s="60">
        <f t="shared" si="305"/>
        <v>0.16137947172429931</v>
      </c>
      <c r="H61" s="60">
        <f t="shared" si="305"/>
        <v>0.16137947172429931</v>
      </c>
      <c r="I61" s="60">
        <f t="shared" si="305"/>
        <v>0.16137947172429931</v>
      </c>
      <c r="J61" s="60">
        <f t="shared" si="305"/>
        <v>0.16137947172429931</v>
      </c>
      <c r="K61" s="60">
        <f t="shared" si="305"/>
        <v>0.16137947172429931</v>
      </c>
      <c r="L61" s="60">
        <f t="shared" si="305"/>
        <v>0.16137947172429931</v>
      </c>
      <c r="M61" s="60">
        <f t="shared" si="305"/>
        <v>0.16137947172429931</v>
      </c>
      <c r="N61" s="71">
        <f>s_dir!BA61</f>
        <v>1.2393150000000001E-4</v>
      </c>
      <c r="O61" s="71">
        <f>IFERROR(s_RadSpec!$E$18*O18,".")*$B$61</f>
        <v>3.0982875000000003E-5</v>
      </c>
      <c r="P61" s="71">
        <f>IFERROR(s_RadSpec!$E$18*P18,".")*$B$61</f>
        <v>3.0982875000000003E-5</v>
      </c>
      <c r="Q61" s="71">
        <f>IFERROR(s_RadSpec!$E$18*Q18,".")*$B$61</f>
        <v>3.0982875000000003E-5</v>
      </c>
      <c r="R61" s="71">
        <f>IFERROR(s_RadSpec!$E$18*R18,".")*$B$61</f>
        <v>3.0982875000000003E-5</v>
      </c>
      <c r="S61" s="71">
        <f>IFERROR(s_RadSpec!$E$18*S18,".")*$B$61</f>
        <v>3.0982875000000003E-5</v>
      </c>
      <c r="T61" s="71">
        <f>IFERROR(s_RadSpec!$E$18*T18,".")*$B$61</f>
        <v>3.0982875000000003E-5</v>
      </c>
      <c r="U61" s="71">
        <f>IFERROR(s_RadSpec!$E$18*U18,".")*$B$61</f>
        <v>3.0982875000000003E-5</v>
      </c>
      <c r="V61" s="71">
        <f>IFERROR(s_RadSpec!$E$18*V18,".")*$B$61</f>
        <v>3.0982875000000003E-5</v>
      </c>
      <c r="W61" s="71">
        <f>IFERROR(s_RadSpec!$E$18*W18,".")*$B$61</f>
        <v>3.0982875000000003E-5</v>
      </c>
      <c r="X61" s="71">
        <f>IFERROR(s_RadSpec!$E$18*X18,".")*$B$61</f>
        <v>3.0982875000000003E-5</v>
      </c>
      <c r="Y61" s="49">
        <f t="shared" si="227"/>
        <v>1.2393150000000001E-4</v>
      </c>
      <c r="Z61" s="49">
        <f t="shared" si="228"/>
        <v>3.0982875000000003E-5</v>
      </c>
      <c r="AA61" s="49">
        <f t="shared" si="229"/>
        <v>3.0982875000000003E-5</v>
      </c>
      <c r="AB61" s="49">
        <f t="shared" si="230"/>
        <v>3.0982875000000003E-5</v>
      </c>
      <c r="AC61" s="49">
        <f t="shared" si="231"/>
        <v>3.0982875000000003E-5</v>
      </c>
      <c r="AD61" s="49">
        <f t="shared" si="232"/>
        <v>3.0982875000000003E-5</v>
      </c>
      <c r="AE61" s="49">
        <f t="shared" si="233"/>
        <v>3.0982875000000003E-5</v>
      </c>
      <c r="AF61" s="49">
        <f t="shared" si="234"/>
        <v>3.0982875000000003E-5</v>
      </c>
      <c r="AG61" s="49">
        <f t="shared" si="235"/>
        <v>3.0982875000000003E-5</v>
      </c>
      <c r="AH61" s="49">
        <f t="shared" si="236"/>
        <v>3.0982875000000003E-5</v>
      </c>
      <c r="AI61" s="49">
        <f t="shared" si="237"/>
        <v>3.0982875000000003E-5</v>
      </c>
      <c r="AJ61" s="60">
        <f t="shared" ref="AJ61:AW61" si="306">IFERROR(AJ18/$B61,0)</f>
        <v>55.525479254292819</v>
      </c>
      <c r="AK61" s="60">
        <f t="shared" si="306"/>
        <v>117174.26099649776</v>
      </c>
      <c r="AL61" s="60">
        <f t="shared" si="306"/>
        <v>1821265.1684057876</v>
      </c>
      <c r="AM61" s="60">
        <f t="shared" si="306"/>
        <v>2.156326452756538</v>
      </c>
      <c r="AN61" s="60">
        <f>IFERROR(AN18/$B61,0)</f>
        <v>0.94138025172507922</v>
      </c>
      <c r="AO61" s="60">
        <f>IFERROR(AO18/$B61,0)</f>
        <v>0.36872205475711478</v>
      </c>
      <c r="AP61" s="60">
        <f>IFERROR(AP18/$B61,0)</f>
        <v>9.0424694380911497</v>
      </c>
      <c r="AQ61" s="60">
        <f>IFERROR(AQ18/$B61,0)</f>
        <v>0</v>
      </c>
      <c r="AR61" s="60">
        <f t="shared" si="306"/>
        <v>7.6817094741065588E-4</v>
      </c>
      <c r="AS61" s="60">
        <f t="shared" si="306"/>
        <v>5.9471299154373357E-4</v>
      </c>
      <c r="AT61" s="60">
        <f t="shared" si="306"/>
        <v>0</v>
      </c>
      <c r="AU61" s="60">
        <f>IFERROR(AU18/$B61,0)</f>
        <v>0.82561677478223539</v>
      </c>
      <c r="AV61" s="60">
        <f t="shared" si="306"/>
        <v>3.6872205475711482E-2</v>
      </c>
      <c r="AW61" s="60">
        <f t="shared" si="306"/>
        <v>0</v>
      </c>
      <c r="AX61" s="42"/>
      <c r="AY61" s="42"/>
      <c r="AZ61" s="42"/>
      <c r="BA61" s="42"/>
      <c r="BB61" s="42"/>
      <c r="BC61" s="42"/>
      <c r="BD61" s="42"/>
      <c r="BE61" s="42"/>
      <c r="BF61" s="42"/>
      <c r="BG61" s="42"/>
      <c r="BH61" s="42"/>
      <c r="BI61" s="42"/>
      <c r="BJ61" s="42"/>
      <c r="BK61" s="42"/>
      <c r="BL61" s="60">
        <f>IFERROR(BL18/$B61,0)</f>
        <v>3.3156767511485823E-4</v>
      </c>
      <c r="BM61" s="71">
        <f>IFERROR(s_RadSpec!$D$18*BM18,".")*$B$61</f>
        <v>9.0048749999999994E-8</v>
      </c>
      <c r="BN61" s="71">
        <f>IFERROR(s_RadSpec!$G$18*BN18,".")*$B$61</f>
        <v>4.267148738535202E-11</v>
      </c>
      <c r="BO61" s="71">
        <f>IFERROR(s_RadSpec!$F$18*BO18,".")*$B$61</f>
        <v>2.7453443280731389E-12</v>
      </c>
      <c r="BP61" s="71">
        <f>s_b2s!BZ61</f>
        <v>2.3187583650000002E-6</v>
      </c>
      <c r="BQ61" s="71">
        <f>IFERROR(s_RadSpec!$E$18*BQ18,".")*$B$61</f>
        <v>5.3113499999999996E-6</v>
      </c>
      <c r="BR61" s="71">
        <f>IFERROR(s_RadSpec!$E$18*BR18,".")*$B$61</f>
        <v>1.3560349687500001E-5</v>
      </c>
      <c r="BS61" s="71">
        <f>IFERROR(s_RadSpec!$E$18*BS18,".")*$B$61</f>
        <v>5.5294629793689335E-7</v>
      </c>
      <c r="BT61" s="71">
        <f>IFERROR(s_RadSpec!$E$18*BT18,".")*$B$61</f>
        <v>0</v>
      </c>
      <c r="BU61" s="71">
        <f>IFERROR(s_RadSpec!$E$18*BU18,".")*$B$61</f>
        <v>6.508967850000001E-3</v>
      </c>
      <c r="BV61" s="71">
        <f>IFERROR(s_RadSpec!$E$18*BV18,".")*$B$61</f>
        <v>8.4074168062499999E-3</v>
      </c>
      <c r="BW61" s="71">
        <f>IFERROR(s_RadSpec!$E$18*BW18,".")*$B$61</f>
        <v>0</v>
      </c>
      <c r="BX61" s="71">
        <f>IFERROR(s_RadSpec!$E$18*BX18,".")*$B$61</f>
        <v>6.0560785012135922E-6</v>
      </c>
      <c r="BY61" s="71">
        <f>IFERROR(s_RadSpec!$E$18*BY18,".")*$B$61</f>
        <v>1.3560349687500003E-4</v>
      </c>
      <c r="BZ61" s="71">
        <f>IFERROR(s_RadSpec!$E$18*BZ18,".")*$B$61</f>
        <v>0</v>
      </c>
      <c r="CA61" s="49">
        <f t="shared" si="239"/>
        <v>9.0048749999999994E-8</v>
      </c>
      <c r="CB61" s="49">
        <f t="shared" si="240"/>
        <v>4.267148738535202E-11</v>
      </c>
      <c r="CC61" s="49">
        <f t="shared" si="241"/>
        <v>2.7453443280731389E-12</v>
      </c>
      <c r="CD61" s="49">
        <f t="shared" si="242"/>
        <v>2.3187583650000002E-6</v>
      </c>
      <c r="CE61" s="49">
        <f t="shared" si="243"/>
        <v>5.3113499999999996E-6</v>
      </c>
      <c r="CF61" s="49">
        <f t="shared" si="244"/>
        <v>1.3560349687500001E-5</v>
      </c>
      <c r="CG61" s="49">
        <f t="shared" si="245"/>
        <v>5.5294629793689335E-7</v>
      </c>
      <c r="CH61" s="49">
        <f t="shared" si="246"/>
        <v>0</v>
      </c>
      <c r="CI61" s="49">
        <f t="shared" si="247"/>
        <v>6.508967850000001E-3</v>
      </c>
      <c r="CJ61" s="49">
        <f t="shared" si="248"/>
        <v>8.4074168062499999E-3</v>
      </c>
      <c r="CK61" s="49">
        <f t="shared" si="249"/>
        <v>0</v>
      </c>
      <c r="CL61" s="49">
        <f t="shared" si="250"/>
        <v>6.0560785012135922E-6</v>
      </c>
      <c r="CM61" s="49">
        <f t="shared" si="251"/>
        <v>1.3560349687500003E-4</v>
      </c>
      <c r="CN61" s="49">
        <f t="shared" si="252"/>
        <v>0</v>
      </c>
      <c r="CO61" s="49">
        <f t="shared" si="253"/>
        <v>1.4966745759964151E-2</v>
      </c>
      <c r="CP61" s="60">
        <f t="shared" ref="CP61:DC61" si="307">IFERROR(CP18/$B61,0)</f>
        <v>1.1261261261261262</v>
      </c>
      <c r="CQ61" s="60">
        <f t="shared" si="307"/>
        <v>0</v>
      </c>
      <c r="CR61" s="60">
        <f t="shared" si="307"/>
        <v>241388960703.75806</v>
      </c>
      <c r="CS61" s="60">
        <f t="shared" si="307"/>
        <v>3.1687672904104303</v>
      </c>
      <c r="CT61" s="60">
        <f>IFERROR(CT18/$B61,0)</f>
        <v>4.4827631034527577</v>
      </c>
      <c r="CU61" s="60">
        <f>IFERROR(CU18/$B61,0)</f>
        <v>6455.1788689719724</v>
      </c>
      <c r="CV61" s="60">
        <f>IFERROR(CV18/$B61,0)</f>
        <v>158305.57702478886</v>
      </c>
      <c r="CW61" s="60">
        <f>IFERROR(CW18/$B61,0)</f>
        <v>0</v>
      </c>
      <c r="CX61" s="60">
        <f t="shared" si="307"/>
        <v>13.448289310358275</v>
      </c>
      <c r="CY61" s="60">
        <f t="shared" si="307"/>
        <v>10.411578820922536</v>
      </c>
      <c r="CZ61" s="60">
        <f t="shared" si="307"/>
        <v>0</v>
      </c>
      <c r="DA61" s="60">
        <f>IFERROR(DA18/$B61,0)</f>
        <v>14453.987467480722</v>
      </c>
      <c r="DB61" s="60">
        <f t="shared" si="307"/>
        <v>645.51788689719729</v>
      </c>
      <c r="DC61" s="60">
        <f t="shared" si="307"/>
        <v>0</v>
      </c>
      <c r="DD61" s="15"/>
      <c r="DE61" s="15"/>
      <c r="DF61" s="15"/>
      <c r="DG61" s="15"/>
      <c r="DH61" s="15"/>
      <c r="DI61" s="15"/>
      <c r="DJ61" s="15"/>
      <c r="DK61" s="15"/>
      <c r="DL61" s="15"/>
      <c r="DM61" s="15"/>
      <c r="DN61" s="15"/>
      <c r="DO61" s="15"/>
      <c r="DP61" s="15"/>
      <c r="DQ61" s="15"/>
      <c r="DR61" s="60">
        <f>IFERROR(DR18/$B61,0)</f>
        <v>0.62545259131190167</v>
      </c>
      <c r="DS61" s="71">
        <f>IFERROR(s_RadSpec!$H$18*DS18,".")*$B$61</f>
        <v>4.4399999999999998E-6</v>
      </c>
      <c r="DT61" s="71">
        <f>IFERROR(s_RadSpec!$G$18*DT18,".")*$B$61</f>
        <v>6.6098958333333333E-6</v>
      </c>
      <c r="DU61" s="71">
        <f>IFERROR(s_RadSpec!$L$18*DU18,".")*$B$61</f>
        <v>2.0713457589041095E-17</v>
      </c>
      <c r="DV61" s="71">
        <f>s_b2w!BZ61</f>
        <v>1.5779006603392393E-6</v>
      </c>
      <c r="DW61" s="71">
        <f>IFERROR(s_RadSpec!$E$18*DW18,".")*$B$61</f>
        <v>1.1153835E-6</v>
      </c>
      <c r="DX61" s="71">
        <f>IFERROR(s_RadSpec!$E$18*DX18,".")*$B$61</f>
        <v>7.7457187500000002E-10</v>
      </c>
      <c r="DY61" s="71">
        <f>IFERROR(s_RadSpec!$E$18*DY18,".")*$B$61</f>
        <v>3.1584484223300973E-11</v>
      </c>
      <c r="DZ61" s="71">
        <f>IFERROR(s_RadSpec!$E$18*DZ18,".")*$B$61</f>
        <v>0</v>
      </c>
      <c r="EA61" s="71">
        <f>IFERROR(s_RadSpec!$E$18*EA18,".")*$B$61</f>
        <v>3.7179449999999999E-7</v>
      </c>
      <c r="EB61" s="71">
        <f>IFERROR(s_RadSpec!$E$18*EB18,".")*$B$61</f>
        <v>4.8023456250000004E-7</v>
      </c>
      <c r="EC61" s="71">
        <f>IFERROR(s_RadSpec!$E$18*EC18,".")*$B$61</f>
        <v>0</v>
      </c>
      <c r="ED61" s="71">
        <f>IFERROR(s_RadSpec!$E$18*ED18,".")*$B$61</f>
        <v>3.4592530339805828E-10</v>
      </c>
      <c r="EE61" s="71">
        <f>IFERROR(s_RadSpec!$E$18*EE18,".")*$B$61</f>
        <v>7.7457187500000008E-9</v>
      </c>
      <c r="EF61" s="71">
        <f>IFERROR(s_RadSpec!$E$18*EF18,".")*$B$61</f>
        <v>0</v>
      </c>
      <c r="EG61" s="49">
        <f t="shared" si="255"/>
        <v>4.4399999999999998E-6</v>
      </c>
      <c r="EH61" s="49">
        <f t="shared" si="256"/>
        <v>6.6098958333333333E-6</v>
      </c>
      <c r="EI61" s="49">
        <f t="shared" si="257"/>
        <v>2.0713457589041095E-17</v>
      </c>
      <c r="EJ61" s="49">
        <f t="shared" si="258"/>
        <v>1.5779006603392393E-6</v>
      </c>
      <c r="EK61" s="49">
        <f t="shared" si="259"/>
        <v>1.1153835E-6</v>
      </c>
      <c r="EL61" s="49">
        <f t="shared" si="260"/>
        <v>7.7457187500000002E-10</v>
      </c>
      <c r="EM61" s="49">
        <f t="shared" si="261"/>
        <v>3.1584484223300973E-11</v>
      </c>
      <c r="EN61" s="49">
        <f t="shared" si="262"/>
        <v>0</v>
      </c>
      <c r="EO61" s="49">
        <f t="shared" si="263"/>
        <v>3.7179449999999999E-7</v>
      </c>
      <c r="EP61" s="49">
        <f t="shared" si="264"/>
        <v>4.8023456250000004E-7</v>
      </c>
      <c r="EQ61" s="49">
        <f t="shared" si="265"/>
        <v>0</v>
      </c>
      <c r="ER61" s="49">
        <f t="shared" si="266"/>
        <v>3.4592530339805828E-10</v>
      </c>
      <c r="ES61" s="49">
        <f t="shared" si="267"/>
        <v>7.7457187500000008E-9</v>
      </c>
      <c r="ET61" s="49">
        <f t="shared" si="268"/>
        <v>0</v>
      </c>
      <c r="EU61" s="49">
        <f t="shared" si="269"/>
        <v>1.4604106856605906E-5</v>
      </c>
      <c r="EV61" s="60">
        <f>IFERROR(EV18/$B61,0)</f>
        <v>0.37822078638405171</v>
      </c>
      <c r="EW61" s="60">
        <f>IFERROR(EW18/$B61,0)</f>
        <v>209563377.05789945</v>
      </c>
      <c r="EX61" s="60">
        <f>IFERROR(EX18/$B61,0)</f>
        <v>0.37822078570143736</v>
      </c>
      <c r="EY61" s="71">
        <f>IFERROR(s_RadSpec!$G$18*EY18,".")*$B$61</f>
        <v>1.3219791666666667E-5</v>
      </c>
      <c r="EZ61" s="71">
        <f>IFERROR(s_RadSpec!$J$18*EZ18,".")*$B$61</f>
        <v>2.3859130684931505E-14</v>
      </c>
      <c r="FA61" s="49">
        <f t="shared" si="270"/>
        <v>1.3219791666666667E-5</v>
      </c>
      <c r="FB61" s="49">
        <f t="shared" si="270"/>
        <v>2.3859130684931505E-14</v>
      </c>
      <c r="FC61" s="49">
        <f t="shared" si="271"/>
        <v>1.3219791690525798E-5</v>
      </c>
    </row>
    <row r="62" spans="1:159" x14ac:dyDescent="0.25">
      <c r="A62" s="83" t="s">
        <v>1100</v>
      </c>
      <c r="B62" s="42">
        <v>1.339E-6</v>
      </c>
      <c r="C62" s="60">
        <f t="shared" ref="C62:M62" si="308">IFERROR(C27/$B62,0)</f>
        <v>0</v>
      </c>
      <c r="D62" s="60">
        <f t="shared" si="308"/>
        <v>0</v>
      </c>
      <c r="E62" s="60">
        <f t="shared" si="308"/>
        <v>0</v>
      </c>
      <c r="F62" s="60">
        <f t="shared" si="308"/>
        <v>0</v>
      </c>
      <c r="G62" s="60">
        <f t="shared" si="308"/>
        <v>0</v>
      </c>
      <c r="H62" s="60">
        <f t="shared" si="308"/>
        <v>0</v>
      </c>
      <c r="I62" s="60">
        <f t="shared" si="308"/>
        <v>0</v>
      </c>
      <c r="J62" s="60">
        <f t="shared" si="308"/>
        <v>0</v>
      </c>
      <c r="K62" s="60">
        <f t="shared" si="308"/>
        <v>0</v>
      </c>
      <c r="L62" s="60">
        <f t="shared" si="308"/>
        <v>0</v>
      </c>
      <c r="M62" s="60">
        <f t="shared" si="308"/>
        <v>0</v>
      </c>
      <c r="N62" s="71">
        <f>s_dir!BA62</f>
        <v>0</v>
      </c>
      <c r="O62" s="71">
        <f>IFERROR(s_RadSpec!$E$27*O27,".")*$B$62</f>
        <v>0</v>
      </c>
      <c r="P62" s="71">
        <f>IFERROR(s_RadSpec!$E$27*P27,".")*$B$62</f>
        <v>0</v>
      </c>
      <c r="Q62" s="71">
        <f>IFERROR(s_RadSpec!$E$27*Q27,".")*$B$62</f>
        <v>0</v>
      </c>
      <c r="R62" s="71">
        <f>IFERROR(s_RadSpec!$E$27*R27,".")*$B$62</f>
        <v>0</v>
      </c>
      <c r="S62" s="71">
        <f>IFERROR(s_RadSpec!$E$27*S27,".")*$B$62</f>
        <v>0</v>
      </c>
      <c r="T62" s="71">
        <f>IFERROR(s_RadSpec!$E$27*T27,".")*$B$62</f>
        <v>0</v>
      </c>
      <c r="U62" s="71">
        <f>IFERROR(s_RadSpec!$E$27*U27,".")*$B$62</f>
        <v>0</v>
      </c>
      <c r="V62" s="71">
        <f>IFERROR(s_RadSpec!$E$27*V27,".")*$B$62</f>
        <v>0</v>
      </c>
      <c r="W62" s="71">
        <f>IFERROR(s_RadSpec!$E$27*W27,".")*$B$62</f>
        <v>0</v>
      </c>
      <c r="X62" s="71">
        <f>IFERROR(s_RadSpec!$E$27*X27,".")*$B$62</f>
        <v>0</v>
      </c>
      <c r="Y62" s="49">
        <f t="shared" si="227"/>
        <v>0</v>
      </c>
      <c r="Z62" s="49">
        <f t="shared" si="228"/>
        <v>0</v>
      </c>
      <c r="AA62" s="49">
        <f t="shared" si="229"/>
        <v>0</v>
      </c>
      <c r="AB62" s="49">
        <f t="shared" si="230"/>
        <v>0</v>
      </c>
      <c r="AC62" s="49">
        <f t="shared" si="231"/>
        <v>0</v>
      </c>
      <c r="AD62" s="49">
        <f t="shared" si="232"/>
        <v>0</v>
      </c>
      <c r="AE62" s="49">
        <f t="shared" si="233"/>
        <v>0</v>
      </c>
      <c r="AF62" s="49">
        <f t="shared" si="234"/>
        <v>0</v>
      </c>
      <c r="AG62" s="49">
        <f t="shared" si="235"/>
        <v>0</v>
      </c>
      <c r="AH62" s="49">
        <f t="shared" si="236"/>
        <v>0</v>
      </c>
      <c r="AI62" s="49">
        <f t="shared" si="237"/>
        <v>0</v>
      </c>
      <c r="AJ62" s="60">
        <f t="shared" ref="AJ62:AW62" si="309">IFERROR(AJ27/$B62,0)</f>
        <v>0</v>
      </c>
      <c r="AK62" s="60">
        <f t="shared" si="309"/>
        <v>0</v>
      </c>
      <c r="AL62" s="60">
        <f t="shared" si="309"/>
        <v>16474737960.456284</v>
      </c>
      <c r="AM62" s="60">
        <f t="shared" si="309"/>
        <v>0</v>
      </c>
      <c r="AN62" s="60">
        <f>IFERROR(AN27/$B62,0)</f>
        <v>0</v>
      </c>
      <c r="AO62" s="60">
        <f>IFERROR(AO27/$B62,0)</f>
        <v>0</v>
      </c>
      <c r="AP62" s="60">
        <f>IFERROR(AP27/$B62,0)</f>
        <v>0</v>
      </c>
      <c r="AQ62" s="60">
        <f>IFERROR(AQ27/$B62,0)</f>
        <v>0</v>
      </c>
      <c r="AR62" s="60">
        <f t="shared" si="309"/>
        <v>0</v>
      </c>
      <c r="AS62" s="60">
        <f t="shared" si="309"/>
        <v>0</v>
      </c>
      <c r="AT62" s="60">
        <f t="shared" si="309"/>
        <v>0</v>
      </c>
      <c r="AU62" s="60">
        <f>IFERROR(AU27/$B62,0)</f>
        <v>0</v>
      </c>
      <c r="AV62" s="60">
        <f t="shared" si="309"/>
        <v>0</v>
      </c>
      <c r="AW62" s="60">
        <f t="shared" si="309"/>
        <v>0</v>
      </c>
      <c r="AX62" s="42"/>
      <c r="AY62" s="42"/>
      <c r="AZ62" s="42"/>
      <c r="BA62" s="42"/>
      <c r="BB62" s="42"/>
      <c r="BC62" s="42"/>
      <c r="BD62" s="42"/>
      <c r="BE62" s="42"/>
      <c r="BF62" s="42"/>
      <c r="BG62" s="42"/>
      <c r="BH62" s="42"/>
      <c r="BI62" s="42"/>
      <c r="BJ62" s="42"/>
      <c r="BK62" s="42"/>
      <c r="BL62" s="60">
        <f>IFERROR(BL27/$B62,0)</f>
        <v>16474737960.456284</v>
      </c>
      <c r="BM62" s="71">
        <f>IFERROR(s_RadSpec!$D$27*BM27,".")*$B$62</f>
        <v>0</v>
      </c>
      <c r="BN62" s="71">
        <f>IFERROR(s_RadSpec!$G$27*BN27,".")*$B$62</f>
        <v>0</v>
      </c>
      <c r="BO62" s="71">
        <f>IFERROR(s_RadSpec!$F$27*BO27,".")*$B$62</f>
        <v>3.0349496374396479E-16</v>
      </c>
      <c r="BP62" s="71">
        <f>s_b2s!BZ62</f>
        <v>0</v>
      </c>
      <c r="BQ62" s="71">
        <f>IFERROR(s_RadSpec!$E$27*BQ27,".")*$B$62</f>
        <v>0</v>
      </c>
      <c r="BR62" s="71">
        <f>IFERROR(s_RadSpec!$E$27*BR27,".")*$B$62</f>
        <v>0</v>
      </c>
      <c r="BS62" s="71">
        <f>IFERROR(s_RadSpec!$E$27*BS27,".")*$B$62</f>
        <v>0</v>
      </c>
      <c r="BT62" s="71">
        <f>IFERROR(s_RadSpec!$E$27*BT27,".")*$B$62</f>
        <v>0</v>
      </c>
      <c r="BU62" s="71">
        <f>IFERROR(s_RadSpec!$E$27*BU27,".")*$B$62</f>
        <v>0</v>
      </c>
      <c r="BV62" s="71">
        <f>IFERROR(s_RadSpec!$E$27*BV27,".")*$B$62</f>
        <v>0</v>
      </c>
      <c r="BW62" s="71">
        <f>IFERROR(s_RadSpec!$E$27*BW27,".")*$B$62</f>
        <v>0</v>
      </c>
      <c r="BX62" s="71">
        <f>IFERROR(s_RadSpec!$E$27*BX27,".")*$B$62</f>
        <v>0</v>
      </c>
      <c r="BY62" s="71">
        <f>IFERROR(s_RadSpec!$E$27*BY27,".")*$B$62</f>
        <v>0</v>
      </c>
      <c r="BZ62" s="71">
        <f>IFERROR(s_RadSpec!$E$27*BZ27,".")*$B$62</f>
        <v>0</v>
      </c>
      <c r="CA62" s="49">
        <f t="shared" si="239"/>
        <v>0</v>
      </c>
      <c r="CB62" s="49">
        <f t="shared" si="240"/>
        <v>0</v>
      </c>
      <c r="CC62" s="49">
        <f t="shared" si="241"/>
        <v>3.0349496374396479E-16</v>
      </c>
      <c r="CD62" s="49">
        <f t="shared" si="242"/>
        <v>0</v>
      </c>
      <c r="CE62" s="49">
        <f t="shared" si="243"/>
        <v>0</v>
      </c>
      <c r="CF62" s="49">
        <f t="shared" si="244"/>
        <v>0</v>
      </c>
      <c r="CG62" s="49">
        <f t="shared" si="245"/>
        <v>0</v>
      </c>
      <c r="CH62" s="49">
        <f t="shared" si="246"/>
        <v>0</v>
      </c>
      <c r="CI62" s="49">
        <f t="shared" si="247"/>
        <v>0</v>
      </c>
      <c r="CJ62" s="49">
        <f t="shared" si="248"/>
        <v>0</v>
      </c>
      <c r="CK62" s="49">
        <f t="shared" si="249"/>
        <v>0</v>
      </c>
      <c r="CL62" s="49">
        <f t="shared" si="250"/>
        <v>0</v>
      </c>
      <c r="CM62" s="49">
        <f t="shared" si="251"/>
        <v>0</v>
      </c>
      <c r="CN62" s="49">
        <f t="shared" si="252"/>
        <v>0</v>
      </c>
      <c r="CO62" s="49">
        <f t="shared" si="253"/>
        <v>3.0349496374396479E-16</v>
      </c>
      <c r="CP62" s="60">
        <f t="shared" ref="CP62:DC62" si="310">IFERROR(CP27/$B62,0)</f>
        <v>0</v>
      </c>
      <c r="CQ62" s="60">
        <f t="shared" si="310"/>
        <v>0</v>
      </c>
      <c r="CR62" s="60">
        <f t="shared" si="310"/>
        <v>1111699221563237.3</v>
      </c>
      <c r="CS62" s="60">
        <f t="shared" si="310"/>
        <v>0</v>
      </c>
      <c r="CT62" s="60">
        <f>IFERROR(CT27/$B62,0)</f>
        <v>0</v>
      </c>
      <c r="CU62" s="60">
        <f>IFERROR(CU27/$B62,0)</f>
        <v>0</v>
      </c>
      <c r="CV62" s="60">
        <f>IFERROR(CV27/$B62,0)</f>
        <v>0</v>
      </c>
      <c r="CW62" s="60">
        <f>IFERROR(CW27/$B62,0)</f>
        <v>0</v>
      </c>
      <c r="CX62" s="60">
        <f t="shared" si="310"/>
        <v>0</v>
      </c>
      <c r="CY62" s="60">
        <f t="shared" si="310"/>
        <v>0</v>
      </c>
      <c r="CZ62" s="60">
        <f t="shared" si="310"/>
        <v>0</v>
      </c>
      <c r="DA62" s="60">
        <f>IFERROR(DA27/$B62,0)</f>
        <v>0</v>
      </c>
      <c r="DB62" s="60">
        <f t="shared" si="310"/>
        <v>0</v>
      </c>
      <c r="DC62" s="60">
        <f t="shared" si="310"/>
        <v>0</v>
      </c>
      <c r="DD62" s="15"/>
      <c r="DE62" s="15"/>
      <c r="DF62" s="15"/>
      <c r="DG62" s="15"/>
      <c r="DH62" s="15"/>
      <c r="DI62" s="15"/>
      <c r="DJ62" s="15"/>
      <c r="DK62" s="15"/>
      <c r="DL62" s="15"/>
      <c r="DM62" s="15"/>
      <c r="DN62" s="15"/>
      <c r="DO62" s="15"/>
      <c r="DP62" s="15"/>
      <c r="DQ62" s="15"/>
      <c r="DR62" s="60">
        <f>IFERROR(DR27/$B62,0)</f>
        <v>1111699221563237.3</v>
      </c>
      <c r="DS62" s="71">
        <f>IFERROR(s_RadSpec!$H$27*DS27,".")*$B$62</f>
        <v>0</v>
      </c>
      <c r="DT62" s="71">
        <f>IFERROR(s_RadSpec!$G$27*DT27,".")*$B$62</f>
        <v>0</v>
      </c>
      <c r="DU62" s="71">
        <f>IFERROR(s_RadSpec!$L$27*DU27,".")*$B$62</f>
        <v>4.4976194127123279E-21</v>
      </c>
      <c r="DV62" s="71">
        <f>s_b2w!BZ62</f>
        <v>0</v>
      </c>
      <c r="DW62" s="71">
        <f>IFERROR(s_RadSpec!$E$27*DW27,".")*$B$62</f>
        <v>0</v>
      </c>
      <c r="DX62" s="71">
        <f>IFERROR(s_RadSpec!$E$27*DX27,".")*$B$62</f>
        <v>0</v>
      </c>
      <c r="DY62" s="71">
        <f>IFERROR(s_RadSpec!$E$27*DY27,".")*$B$62</f>
        <v>0</v>
      </c>
      <c r="DZ62" s="71">
        <f>IFERROR(s_RadSpec!$E$27*DZ27,".")*$B$62</f>
        <v>0</v>
      </c>
      <c r="EA62" s="71">
        <f>IFERROR(s_RadSpec!$E$27*EA27,".")*$B$62</f>
        <v>0</v>
      </c>
      <c r="EB62" s="71">
        <f>IFERROR(s_RadSpec!$E$27*EB27,".")*$B$62</f>
        <v>0</v>
      </c>
      <c r="EC62" s="71">
        <f>IFERROR(s_RadSpec!$E$27*EC27,".")*$B$62</f>
        <v>0</v>
      </c>
      <c r="ED62" s="71">
        <f>IFERROR(s_RadSpec!$E$27*ED27,".")*$B$62</f>
        <v>0</v>
      </c>
      <c r="EE62" s="71">
        <f>IFERROR(s_RadSpec!$E$27*EE27,".")*$B$62</f>
        <v>0</v>
      </c>
      <c r="EF62" s="71">
        <f>IFERROR(s_RadSpec!$E$27*EF27,".")*$B$62</f>
        <v>0</v>
      </c>
      <c r="EG62" s="49">
        <f t="shared" si="255"/>
        <v>0</v>
      </c>
      <c r="EH62" s="49">
        <f t="shared" si="256"/>
        <v>0</v>
      </c>
      <c r="EI62" s="49">
        <f t="shared" si="257"/>
        <v>4.4976194127123279E-21</v>
      </c>
      <c r="EJ62" s="49">
        <f t="shared" si="258"/>
        <v>0</v>
      </c>
      <c r="EK62" s="49">
        <f t="shared" si="259"/>
        <v>0</v>
      </c>
      <c r="EL62" s="49">
        <f t="shared" si="260"/>
        <v>0</v>
      </c>
      <c r="EM62" s="49">
        <f t="shared" si="261"/>
        <v>0</v>
      </c>
      <c r="EN62" s="49">
        <f t="shared" si="262"/>
        <v>0</v>
      </c>
      <c r="EO62" s="49">
        <f t="shared" si="263"/>
        <v>0</v>
      </c>
      <c r="EP62" s="49">
        <f t="shared" si="264"/>
        <v>0</v>
      </c>
      <c r="EQ62" s="49">
        <f t="shared" si="265"/>
        <v>0</v>
      </c>
      <c r="ER62" s="49">
        <f t="shared" si="266"/>
        <v>0</v>
      </c>
      <c r="ES62" s="49">
        <f t="shared" si="267"/>
        <v>0</v>
      </c>
      <c r="ET62" s="49">
        <f t="shared" si="268"/>
        <v>0</v>
      </c>
      <c r="EU62" s="49">
        <f t="shared" si="269"/>
        <v>4.4976194127123279E-21</v>
      </c>
      <c r="EV62" s="60">
        <f>IFERROR(EV27/$B62,0)</f>
        <v>0</v>
      </c>
      <c r="EW62" s="60">
        <f>IFERROR(EW27/$B62,0)</f>
        <v>696020382196.11377</v>
      </c>
      <c r="EX62" s="60">
        <f>IFERROR(EX27/$B62,0)</f>
        <v>696020382196.11377</v>
      </c>
      <c r="EY62" s="71">
        <f>IFERROR(s_RadSpec!$G$27*EY27,".")*$B$62</f>
        <v>0</v>
      </c>
      <c r="EZ62" s="71">
        <f>IFERROR(s_RadSpec!$J$27*EZ27,".")*$B$62</f>
        <v>7.1836976730821903E-18</v>
      </c>
      <c r="FA62" s="49">
        <f t="shared" si="270"/>
        <v>0</v>
      </c>
      <c r="FB62" s="49">
        <f t="shared" si="270"/>
        <v>7.1836976730821903E-18</v>
      </c>
      <c r="FC62" s="49">
        <f t="shared" si="271"/>
        <v>7.1836976730821903E-18</v>
      </c>
    </row>
    <row r="63" spans="1:159" x14ac:dyDescent="0.25">
      <c r="A63" s="82" t="s">
        <v>35</v>
      </c>
      <c r="B63" s="82" t="s">
        <v>1074</v>
      </c>
      <c r="C63" s="58">
        <f>1/SUM(1/C66,1/C68,1/C72,1/C73,1/C75)</f>
        <v>2.6398867527410101E-2</v>
      </c>
      <c r="D63" s="58">
        <f t="shared" ref="D63:M63" si="311">1/SUM(1/D66,1/D68,1/D72,1/D73,1/D75)</f>
        <v>0.1055954701096404</v>
      </c>
      <c r="E63" s="58">
        <f t="shared" si="311"/>
        <v>0.1055954701096404</v>
      </c>
      <c r="F63" s="58">
        <f t="shared" si="311"/>
        <v>0.1055954701096404</v>
      </c>
      <c r="G63" s="58">
        <f t="shared" si="311"/>
        <v>0.1055954701096404</v>
      </c>
      <c r="H63" s="58">
        <f t="shared" si="311"/>
        <v>0.1055954701096404</v>
      </c>
      <c r="I63" s="58">
        <f t="shared" si="311"/>
        <v>0.1055954701096404</v>
      </c>
      <c r="J63" s="58">
        <f t="shared" si="311"/>
        <v>0.1055954701096404</v>
      </c>
      <c r="K63" s="58">
        <f t="shared" si="311"/>
        <v>0.1055954701096404</v>
      </c>
      <c r="L63" s="58">
        <f t="shared" si="311"/>
        <v>0.1055954701096404</v>
      </c>
      <c r="M63" s="58">
        <f t="shared" si="311"/>
        <v>0.1055954701096404</v>
      </c>
      <c r="N63" s="73"/>
      <c r="O63" s="70"/>
      <c r="P63" s="70"/>
      <c r="Q63" s="70"/>
      <c r="R63" s="70"/>
      <c r="S63" s="70"/>
      <c r="T63" s="70"/>
      <c r="U63" s="70"/>
      <c r="V63" s="70"/>
      <c r="W63" s="70"/>
      <c r="X63" s="70"/>
      <c r="Y63" s="47">
        <f>IFERROR(IF(SUM(N64:N76)&gt;0.01,1-EXP(-SUM(N64:N76)),SUM(N64:N76)),".")</f>
        <v>1.8940207478568475E-4</v>
      </c>
      <c r="Z63" s="47">
        <f t="shared" ref="Z63:AI63" si="312">IFERROR(IF(SUM(O64:O76)&gt;0.01,1-EXP(-SUM(O64:O76)),SUM(O64:O76)),".")</f>
        <v>4.7350516028845453E-5</v>
      </c>
      <c r="AA63" s="47">
        <f t="shared" si="312"/>
        <v>4.7350516028845453E-5</v>
      </c>
      <c r="AB63" s="47">
        <f t="shared" si="312"/>
        <v>4.7350516028845453E-5</v>
      </c>
      <c r="AC63" s="47">
        <f t="shared" si="312"/>
        <v>4.7350516028845453E-5</v>
      </c>
      <c r="AD63" s="47">
        <f t="shared" si="312"/>
        <v>4.7350516028845453E-5</v>
      </c>
      <c r="AE63" s="47">
        <f t="shared" si="312"/>
        <v>4.7350516028845453E-5</v>
      </c>
      <c r="AF63" s="47">
        <f t="shared" si="312"/>
        <v>4.7350516028845453E-5</v>
      </c>
      <c r="AG63" s="47">
        <f t="shared" si="312"/>
        <v>4.7350516028845453E-5</v>
      </c>
      <c r="AH63" s="47">
        <f t="shared" si="312"/>
        <v>4.7350516028845453E-5</v>
      </c>
      <c r="AI63" s="47">
        <f t="shared" si="312"/>
        <v>4.7350516028845453E-5</v>
      </c>
      <c r="AJ63" s="58">
        <f t="shared" ref="AJ63:AM63" si="313">1/SUM(1/AJ66,1/AJ68,1/AJ72,1/AJ73,1/AJ75)</f>
        <v>36.243973683746454</v>
      </c>
      <c r="AK63" s="58">
        <f t="shared" si="313"/>
        <v>54872.732919632821</v>
      </c>
      <c r="AL63" s="58">
        <f t="shared" si="313"/>
        <v>7.7261804043251026</v>
      </c>
      <c r="AM63" s="58">
        <f t="shared" si="313"/>
        <v>1.0172791076857797</v>
      </c>
      <c r="AN63" s="58">
        <f>1/SUM(1/AN66,1/AN68,1/AN72,1/AN73,1/AN75)</f>
        <v>0.62386567258195624</v>
      </c>
      <c r="AO63" s="58">
        <f>1/SUM(1/AO66,1/AO68,1/AO72,1/AO73,1/AO75)</f>
        <v>0.34189437601423728</v>
      </c>
      <c r="AP63" s="58">
        <f>1/SUM(1/AP66,1/AP68,1/AP72,1/AP73,1/AP75)</f>
        <v>5.9135712226971879</v>
      </c>
      <c r="AQ63" s="121" t="str">
        <f>IFERROR(1/SUM(1/AQ66,1/AQ68,1/AQ72,1/AQ73,1/AQ75),".")</f>
        <v>.</v>
      </c>
      <c r="AR63" s="58">
        <f>1/SUM(1/AR75)</f>
        <v>7.6817094741065588E-4</v>
      </c>
      <c r="AS63" s="58">
        <f>1/SUM(1/AS75)</f>
        <v>5.9471299154373357E-4</v>
      </c>
      <c r="AT63" s="121" t="str">
        <f>IFERROR(1/SUM(1/AT66,1/AT68,1/AT72,1/AT73,1/AT75),".")</f>
        <v>.</v>
      </c>
      <c r="AU63" s="58">
        <f>1/SUM(1/AU66,1/AU72,1/AU75)</f>
        <v>0.34590878658131363</v>
      </c>
      <c r="AV63" s="58">
        <f>1/SUM(1/AV66,1/AV72,1/AV75)</f>
        <v>3.4284149490869748E-2</v>
      </c>
      <c r="AW63" s="58">
        <f>1/SUM(1/AW66,1/AW72)</f>
        <v>0.10205783653050829</v>
      </c>
      <c r="AX63" s="42"/>
      <c r="AY63" s="42"/>
      <c r="AZ63" s="42"/>
      <c r="BA63" s="42"/>
      <c r="BB63" s="42"/>
      <c r="BC63" s="42"/>
      <c r="BD63" s="42"/>
      <c r="BE63" s="42"/>
      <c r="BF63" s="42"/>
      <c r="BG63" s="42"/>
      <c r="BH63" s="42"/>
      <c r="BI63" s="42"/>
      <c r="BJ63" s="42"/>
      <c r="BK63" s="42"/>
      <c r="BL63" s="59">
        <f t="shared" ref="BL63:CS63" si="314">1/SUM(1/BL66,1/BL68,1/BL72,1/BL73,1/BL75)</f>
        <v>3.2992725503483373E-4</v>
      </c>
      <c r="BM63" s="70"/>
      <c r="BN63" s="70"/>
      <c r="BO63" s="70"/>
      <c r="BP63" s="73"/>
      <c r="BQ63" s="70"/>
      <c r="BR63" s="70"/>
      <c r="BS63" s="70"/>
      <c r="BT63" s="70"/>
      <c r="BU63" s="70"/>
      <c r="BV63" s="70"/>
      <c r="BW63" s="70"/>
      <c r="BX63" s="70"/>
      <c r="BY63" s="70"/>
      <c r="BZ63" s="70"/>
      <c r="CA63" s="47">
        <f t="shared" ref="CA63:CN63" si="315">IFERROR(IF(SUM(BM64:BM76)&gt;0.01,1-EXP(-SUM(BM64:BM76)),SUM(BM64:BM76)),".")</f>
        <v>1.3795396839288184E-7</v>
      </c>
      <c r="CB63" s="47">
        <f t="shared" si="315"/>
        <v>9.1167539970196497E-11</v>
      </c>
      <c r="CC63" s="47">
        <f t="shared" si="315"/>
        <v>6.4746338341134577E-7</v>
      </c>
      <c r="CD63" s="47">
        <f t="shared" si="315"/>
        <v>4.9150723573037945E-6</v>
      </c>
      <c r="CE63" s="47">
        <f t="shared" si="315"/>
        <v>8.0145457904532426E-6</v>
      </c>
      <c r="CF63" s="47">
        <f t="shared" si="315"/>
        <v>1.4624399670709377E-5</v>
      </c>
      <c r="CG63" s="47">
        <f t="shared" si="315"/>
        <v>8.4551277252047607E-7</v>
      </c>
      <c r="CH63" s="47">
        <f t="shared" si="315"/>
        <v>0</v>
      </c>
      <c r="CI63" s="47">
        <f t="shared" si="315"/>
        <v>6.508967850000001E-3</v>
      </c>
      <c r="CJ63" s="47">
        <f t="shared" si="315"/>
        <v>8.4074168062499999E-3</v>
      </c>
      <c r="CK63" s="47">
        <f t="shared" si="315"/>
        <v>0</v>
      </c>
      <c r="CL63" s="47">
        <f t="shared" si="315"/>
        <v>1.4454677631684385E-5</v>
      </c>
      <c r="CM63" s="47">
        <f t="shared" si="315"/>
        <v>1.4583998944852218E-4</v>
      </c>
      <c r="CN63" s="47">
        <f t="shared" si="315"/>
        <v>4.8991828261079607E-5</v>
      </c>
      <c r="CO63" s="47">
        <f>IFERROR(IF(SUM(BM64:BZ76)&gt;0.01,1-EXP(-SUM(BM64:BZ76)),SUM(BM64:BZ76)),".")</f>
        <v>1.5040599268219879E-2</v>
      </c>
      <c r="CP63" s="59">
        <f t="shared" si="314"/>
        <v>0.74913285126867701</v>
      </c>
      <c r="CQ63" s="59">
        <f>1/SUM(1/CQ64)</f>
        <v>4812.0300751879695</v>
      </c>
      <c r="CR63" s="59">
        <f>1/SUM(1/CR64,1/CR65,1/CR66,1/CR67,1/CR68,1/CR69,1/CR70,1/CR73,1/CR76,1/CR71,1/CR72,1/CR74,1/CR75)</f>
        <v>1308612.7131784654</v>
      </c>
      <c r="CS63" s="59">
        <f t="shared" si="314"/>
        <v>1.8629158395520802</v>
      </c>
      <c r="CT63" s="59">
        <f>1/SUM(1/CT66,1/CT68,1/CT72,1/CT73,1/CT75)</f>
        <v>3.2835390150312667</v>
      </c>
      <c r="CU63" s="59">
        <f>1/SUM(1/CU66,1/CU68,1/CU72,1/CU73,1/CU75)</f>
        <v>6002.066999828392</v>
      </c>
      <c r="CV63" s="59">
        <f>1/SUM(1/CV66,1/CV68,1/CV72,1/CV73,1/CV75)</f>
        <v>105486.69036596581</v>
      </c>
      <c r="CW63" s="59" t="str">
        <f>(IFERROR(1/SUM(1/CW64,1/CW65,1/CW66,1/CW67,1/CW68,1/CW69,1/CW70,1/CW73,1/CW76),"."))</f>
        <v>.</v>
      </c>
      <c r="CX63" s="59">
        <f>1/SUM(1/CX75)</f>
        <v>13.448289310358275</v>
      </c>
      <c r="CY63" s="59">
        <f>1/SUM(1/CY75)</f>
        <v>10.411578820922536</v>
      </c>
      <c r="CZ63" s="59" t="str">
        <f>(IFERROR(1/SUM(1/CZ64,1/CZ65,1/CZ66,1/CZ67,1/CZ68,1/CZ69,1/CZ70,1/CZ73,1/CZ76),"."))</f>
        <v>.</v>
      </c>
      <c r="DA63" s="59">
        <f t="shared" ref="DA63" si="316">1/SUM(1/DA66,1/DA72,1/DA75)</f>
        <v>6117.4760090743612</v>
      </c>
      <c r="DB63" s="59">
        <f>1/SUM(1/DB66,1/DB72,1/DB75)</f>
        <v>600.94108538340106</v>
      </c>
      <c r="DC63" s="59">
        <f>1/SUM(1/DC66,1/DC72)</f>
        <v>1818.2718002561821</v>
      </c>
      <c r="DD63" s="15"/>
      <c r="DE63" s="15"/>
      <c r="DF63" s="15"/>
      <c r="DG63" s="15"/>
      <c r="DH63" s="15"/>
      <c r="DI63" s="15"/>
      <c r="DJ63" s="15"/>
      <c r="DK63" s="15"/>
      <c r="DL63" s="15"/>
      <c r="DM63" s="15"/>
      <c r="DN63" s="15"/>
      <c r="DO63" s="15"/>
      <c r="DP63" s="15"/>
      <c r="DQ63" s="15"/>
      <c r="DR63" s="59">
        <f>1/SUM(1/DR64,1/DR65,1/DR66,1/DR67,1/DR68,1/DR69,1/DR70,1/DR73,1/DR76,1/DR71,1/DR72,1/DR74,1/DR75)</f>
        <v>0.4256429368441465</v>
      </c>
      <c r="DS63" s="70"/>
      <c r="DT63" s="70"/>
      <c r="DU63" s="70"/>
      <c r="DV63" s="73"/>
      <c r="DW63" s="70"/>
      <c r="DX63" s="70"/>
      <c r="DY63" s="70"/>
      <c r="DZ63" s="70"/>
      <c r="EA63" s="70"/>
      <c r="EB63" s="70"/>
      <c r="EC63" s="70"/>
      <c r="ED63" s="70"/>
      <c r="EE63" s="70"/>
      <c r="EF63" s="70"/>
      <c r="EG63" s="47">
        <f t="shared" ref="EG63:ET63" si="317">IFERROR(IF(SUM(DS64:DS76)&gt;0.01,1-EXP(-SUM(DS64:DS76)),SUM(DS64:DS76)),".")</f>
        <v>6.674383577668985E-6</v>
      </c>
      <c r="EH63" s="47">
        <f t="shared" si="317"/>
        <v>1.4122028068585936E-5</v>
      </c>
      <c r="EI63" s="47">
        <f t="shared" si="317"/>
        <v>3.8208401535818752E-12</v>
      </c>
      <c r="EJ63" s="47">
        <f t="shared" si="317"/>
        <v>2.683964689402578E-6</v>
      </c>
      <c r="EK63" s="47">
        <f t="shared" si="317"/>
        <v>1.5227472483534318E-6</v>
      </c>
      <c r="EL63" s="47">
        <f t="shared" si="317"/>
        <v>8.3304634888996705E-10</v>
      </c>
      <c r="EM63" s="47">
        <f t="shared" si="317"/>
        <v>4.7399344719731565E-11</v>
      </c>
      <c r="EN63" s="47">
        <f t="shared" si="317"/>
        <v>0</v>
      </c>
      <c r="EO63" s="47">
        <f t="shared" si="317"/>
        <v>3.7179449999999999E-7</v>
      </c>
      <c r="EP63" s="47">
        <f t="shared" si="317"/>
        <v>4.8023456250000004E-7</v>
      </c>
      <c r="EQ63" s="47">
        <f t="shared" si="317"/>
        <v>0</v>
      </c>
      <c r="ER63" s="47">
        <f t="shared" si="317"/>
        <v>8.1733054491480583E-10</v>
      </c>
      <c r="ES63" s="47">
        <f t="shared" si="317"/>
        <v>8.320283171868663E-9</v>
      </c>
      <c r="ET63" s="47">
        <f t="shared" si="317"/>
        <v>2.7498639088476945E-9</v>
      </c>
      <c r="EU63" s="47">
        <f>IFERROR(IF(SUM(DS64:EF76)&gt;0.01,1-EXP(-SUM(DS64:EF76)),SUM(DS64:EF76)),".")</f>
        <v>2.5867924390670327E-5</v>
      </c>
      <c r="EV63" s="59">
        <f>1/SUM(1/EV64,1/EV65,1/EV66,1/EV68,1/EV73,1/EV72,1/EV75)</f>
        <v>0.17702839761104719</v>
      </c>
      <c r="EW63" s="59">
        <f t="shared" ref="EW63:EX63" si="318">1/SUM(1/EW64,1/EW65,1/EW66,1/EW67,1/EW68,1/EW69,1/EW70,1/EW73,1/EW76,1/EW71,1/EW72,1/EW74,1/EW75)</f>
        <v>1134.1994739107167</v>
      </c>
      <c r="EX63" s="59">
        <f t="shared" si="318"/>
        <v>0.17700077093375183</v>
      </c>
      <c r="EY63" s="70"/>
      <c r="EZ63" s="70"/>
      <c r="FA63" s="47">
        <f>IFERROR(IF(SUM(EY64:EY76)&gt;0.01,1-EXP(-SUM(EY64:EY76)),SUM(EY64:EY76)),".")</f>
        <v>2.8244056137171872E-5</v>
      </c>
      <c r="FB63" s="47">
        <f>IFERROR(IF(SUM(EZ64:EZ76)&gt;0.01,1-EXP(-SUM(EZ64:EZ76)),SUM(EZ64:EZ76)),".")</f>
        <v>4.4083956261767724E-9</v>
      </c>
      <c r="FC63" s="47">
        <f>IFERROR(IF(SUM(EY64:EZ76)&gt;0.01,1-EXP(-SUM(EY64:EZ76)),SUM(EY64:EZ76)),".")</f>
        <v>2.8248464532798049E-5</v>
      </c>
    </row>
    <row r="64" spans="1:159" x14ac:dyDescent="0.25">
      <c r="A64" s="83" t="s">
        <v>1090</v>
      </c>
      <c r="B64" s="42">
        <v>1</v>
      </c>
      <c r="C64" s="60">
        <f t="shared" ref="C64:M64" si="319">IFERROR(C25/$B50,0)</f>
        <v>0</v>
      </c>
      <c r="D64" s="60">
        <f t="shared" si="319"/>
        <v>0</v>
      </c>
      <c r="E64" s="60">
        <f t="shared" si="319"/>
        <v>0</v>
      </c>
      <c r="F64" s="60">
        <f t="shared" si="319"/>
        <v>0</v>
      </c>
      <c r="G64" s="60">
        <f t="shared" si="319"/>
        <v>0</v>
      </c>
      <c r="H64" s="60">
        <f t="shared" si="319"/>
        <v>0</v>
      </c>
      <c r="I64" s="60">
        <f t="shared" si="319"/>
        <v>0</v>
      </c>
      <c r="J64" s="60">
        <f t="shared" si="319"/>
        <v>0</v>
      </c>
      <c r="K64" s="60">
        <f t="shared" si="319"/>
        <v>0</v>
      </c>
      <c r="L64" s="60">
        <f t="shared" si="319"/>
        <v>0</v>
      </c>
      <c r="M64" s="60">
        <f t="shared" si="319"/>
        <v>0</v>
      </c>
      <c r="N64" s="71">
        <f>s_dir!BA64</f>
        <v>0</v>
      </c>
      <c r="O64" s="71">
        <f>IFERROR(s_RadSpec!$E$25*O25,".")*$B$64</f>
        <v>0</v>
      </c>
      <c r="P64" s="71">
        <f>IFERROR(s_RadSpec!$E$25*P25,".")*$B$64</f>
        <v>0</v>
      </c>
      <c r="Q64" s="71">
        <f>IFERROR(s_RadSpec!$E$25*Q25,".")*$B$64</f>
        <v>0</v>
      </c>
      <c r="R64" s="71">
        <f>IFERROR(s_RadSpec!$E$25*R25,".")*$B$64</f>
        <v>0</v>
      </c>
      <c r="S64" s="71">
        <f>IFERROR(s_RadSpec!$E$25*S25,".")*$B$64</f>
        <v>0</v>
      </c>
      <c r="T64" s="71">
        <f>IFERROR(s_RadSpec!$E$25*T25,".")*$B$64</f>
        <v>0</v>
      </c>
      <c r="U64" s="71">
        <f>IFERROR(s_RadSpec!$E$25*U25,".")*$B$64</f>
        <v>0</v>
      </c>
      <c r="V64" s="71">
        <f>IFERROR(s_RadSpec!$E$25*V25,".")*$B$64</f>
        <v>0</v>
      </c>
      <c r="W64" s="71">
        <f>IFERROR(s_RadSpec!$E$25*W25,".")*$B$64</f>
        <v>0</v>
      </c>
      <c r="X64" s="71">
        <f>IFERROR(s_RadSpec!$E$25*X25,".")*$B$64</f>
        <v>0</v>
      </c>
      <c r="Y64" s="49">
        <f t="shared" ref="Y64:Y76" si="320">IFERROR(IF(N64&gt;0.01,1-EXP(-N64),N64),".")</f>
        <v>0</v>
      </c>
      <c r="Z64" s="49">
        <f t="shared" ref="Z64:Z76" si="321">IFERROR(IF(O64&gt;0.01,1-EXP(-O64),O64),".")</f>
        <v>0</v>
      </c>
      <c r="AA64" s="49">
        <f t="shared" ref="AA64:AA76" si="322">IFERROR(IF(P64&gt;0.01,1-EXP(-P64),P64),".")</f>
        <v>0</v>
      </c>
      <c r="AB64" s="49">
        <f t="shared" ref="AB64:AB76" si="323">IFERROR(IF(Q64&gt;0.01,1-EXP(-Q64),Q64),".")</f>
        <v>0</v>
      </c>
      <c r="AC64" s="49">
        <f t="shared" ref="AC64:AC76" si="324">IFERROR(IF(R64&gt;0.01,1-EXP(-R64),R64),".")</f>
        <v>0</v>
      </c>
      <c r="AD64" s="49">
        <f t="shared" ref="AD64:AD76" si="325">IFERROR(IF(S64&gt;0.01,1-EXP(-S64),S64),".")</f>
        <v>0</v>
      </c>
      <c r="AE64" s="49">
        <f t="shared" ref="AE64:AE76" si="326">IFERROR(IF(T64&gt;0.01,1-EXP(-T64),T64),".")</f>
        <v>0</v>
      </c>
      <c r="AF64" s="49">
        <f t="shared" ref="AF64:AF76" si="327">IFERROR(IF(U64&gt;0.01,1-EXP(-U64),U64),".")</f>
        <v>0</v>
      </c>
      <c r="AG64" s="49">
        <f t="shared" ref="AG64:AG76" si="328">IFERROR(IF(V64&gt;0.01,1-EXP(-V64),V64),".")</f>
        <v>0</v>
      </c>
      <c r="AH64" s="49">
        <f t="shared" ref="AH64:AH76" si="329">IFERROR(IF(W64&gt;0.01,1-EXP(-W64),W64),".")</f>
        <v>0</v>
      </c>
      <c r="AI64" s="49">
        <f t="shared" ref="AI64:AI76" si="330">IFERROR(IF(X64&gt;0.01,1-EXP(-X64),X64),".")</f>
        <v>0</v>
      </c>
      <c r="AJ64" s="60">
        <f t="shared" ref="AJ64:AW64" si="331">IFERROR(AJ25/$B50,0)</f>
        <v>0</v>
      </c>
      <c r="AK64" s="60">
        <f t="shared" si="331"/>
        <v>745392755.04087865</v>
      </c>
      <c r="AL64" s="60">
        <f t="shared" si="331"/>
        <v>69264.357648274017</v>
      </c>
      <c r="AM64" s="60">
        <f t="shared" si="331"/>
        <v>0</v>
      </c>
      <c r="AN64" s="60">
        <f>IFERROR(AN25/$B50,0)</f>
        <v>0</v>
      </c>
      <c r="AO64" s="60">
        <f>IFERROR(AO25/$B50,0)</f>
        <v>0</v>
      </c>
      <c r="AP64" s="60">
        <f>IFERROR(AP25/$B50,0)</f>
        <v>0</v>
      </c>
      <c r="AQ64" s="60">
        <f>IFERROR(AQ25/$B50,0)</f>
        <v>0</v>
      </c>
      <c r="AR64" s="60">
        <f t="shared" si="331"/>
        <v>0</v>
      </c>
      <c r="AS64" s="60">
        <f t="shared" si="331"/>
        <v>0</v>
      </c>
      <c r="AT64" s="60">
        <f t="shared" si="331"/>
        <v>0</v>
      </c>
      <c r="AU64" s="60">
        <f>IFERROR(AU25/$B50,0)</f>
        <v>0</v>
      </c>
      <c r="AV64" s="60">
        <f t="shared" si="331"/>
        <v>0</v>
      </c>
      <c r="AW64" s="60">
        <f t="shared" si="331"/>
        <v>0</v>
      </c>
      <c r="AX64" s="42"/>
      <c r="AY64" s="42"/>
      <c r="AZ64" s="42"/>
      <c r="BA64" s="42"/>
      <c r="BB64" s="42"/>
      <c r="BC64" s="42"/>
      <c r="BD64" s="42"/>
      <c r="BE64" s="42"/>
      <c r="BF64" s="42"/>
      <c r="BG64" s="42"/>
      <c r="BH64" s="42"/>
      <c r="BI64" s="42"/>
      <c r="BJ64" s="42"/>
      <c r="BK64" s="42"/>
      <c r="BL64" s="60">
        <f>IFERROR(BL25/$B50,0)</f>
        <v>69257.921973329372</v>
      </c>
      <c r="BM64" s="71">
        <f>IFERROR(s_RadSpec!$D$25*BM25,".")*$B$64</f>
        <v>0</v>
      </c>
      <c r="BN64" s="71">
        <f>IFERROR(s_RadSpec!$G$25*BN25,".")*$B$64</f>
        <v>6.707873085948883E-15</v>
      </c>
      <c r="BO64" s="71">
        <f>IFERROR(s_RadSpec!$F$25*BO25,".")*$B$64</f>
        <v>7.2187199445205463E-11</v>
      </c>
      <c r="BP64" s="71">
        <f>s_b2s!BZ64</f>
        <v>0</v>
      </c>
      <c r="BQ64" s="71">
        <f>IFERROR(s_RadSpec!$E$25*BQ25,".")*$B$64</f>
        <v>0</v>
      </c>
      <c r="BR64" s="71">
        <f>IFERROR(s_RadSpec!$E$25*BR25,".")*$B$64</f>
        <v>0</v>
      </c>
      <c r="BS64" s="71">
        <f>IFERROR(s_RadSpec!$E$25*BS25,".")*$B$64</f>
        <v>0</v>
      </c>
      <c r="BT64" s="71">
        <f>IFERROR(s_RadSpec!$E$25*BT25,".")*$B$64</f>
        <v>0</v>
      </c>
      <c r="BU64" s="71">
        <f>IFERROR(s_RadSpec!$E$25*BU25,".")*$B$64</f>
        <v>0</v>
      </c>
      <c r="BV64" s="71">
        <f>IFERROR(s_RadSpec!$E$25*BV25,".")*$B$64</f>
        <v>0</v>
      </c>
      <c r="BW64" s="71">
        <f>IFERROR(s_RadSpec!$E$25*BW25,".")*$B$64</f>
        <v>0</v>
      </c>
      <c r="BX64" s="71">
        <f>IFERROR(s_RadSpec!$E$25*BX25,".")*$B$64</f>
        <v>0</v>
      </c>
      <c r="BY64" s="71">
        <f>IFERROR(s_RadSpec!$E$25*BY25,".")*$B$64</f>
        <v>0</v>
      </c>
      <c r="BZ64" s="71">
        <f>IFERROR(s_RadSpec!$E$25*BZ25,".")*$B$64</f>
        <v>0</v>
      </c>
      <c r="CA64" s="49">
        <f t="shared" ref="CA64:CA76" si="332">IFERROR(IF(BM64&gt;0.01,1-EXP(-BM64),BM64),".")</f>
        <v>0</v>
      </c>
      <c r="CB64" s="49">
        <f t="shared" ref="CB64:CB76" si="333">IFERROR(IF(BN64&gt;0.01,1-EXP(-BN64),BN64),".")</f>
        <v>6.707873085948883E-15</v>
      </c>
      <c r="CC64" s="49">
        <f t="shared" ref="CC64:CC76" si="334">IFERROR(IF(BO64&gt;0.01,1-EXP(-BO64),BO64),".")</f>
        <v>7.2187199445205463E-11</v>
      </c>
      <c r="CD64" s="49">
        <f t="shared" ref="CD64:CD76" si="335">IFERROR(IF(BP64&gt;0.01,1-EXP(-BP64),BP64),".")</f>
        <v>0</v>
      </c>
      <c r="CE64" s="49">
        <f t="shared" ref="CE64:CE76" si="336">IFERROR(IF(BQ64&gt;0.01,1-EXP(-BQ64),BQ64),".")</f>
        <v>0</v>
      </c>
      <c r="CF64" s="49">
        <f t="shared" ref="CF64:CF76" si="337">IFERROR(IF(BR64&gt;0.01,1-EXP(-BR64),BR64),".")</f>
        <v>0</v>
      </c>
      <c r="CG64" s="49">
        <f t="shared" ref="CG64:CG76" si="338">IFERROR(IF(BS64&gt;0.01,1-EXP(-BS64),BS64),".")</f>
        <v>0</v>
      </c>
      <c r="CH64" s="49">
        <f t="shared" ref="CH64:CH76" si="339">IFERROR(IF(BT64&gt;0.01,1-EXP(-BT64),BT64),".")</f>
        <v>0</v>
      </c>
      <c r="CI64" s="49">
        <f t="shared" ref="CI64:CI76" si="340">IFERROR(IF(BU64&gt;0.01,1-EXP(-BU64),BU64),".")</f>
        <v>0</v>
      </c>
      <c r="CJ64" s="49">
        <f t="shared" ref="CJ64:CJ76" si="341">IFERROR(IF(BV64&gt;0.01,1-EXP(-BV64),BV64),".")</f>
        <v>0</v>
      </c>
      <c r="CK64" s="49">
        <f t="shared" ref="CK64:CK76" si="342">IFERROR(IF(BW64&gt;0.01,1-EXP(-BW64),BW64),".")</f>
        <v>0</v>
      </c>
      <c r="CL64" s="49">
        <f t="shared" ref="CL64:CL76" si="343">IFERROR(IF(BX64&gt;0.01,1-EXP(-BX64),BX64),".")</f>
        <v>0</v>
      </c>
      <c r="CM64" s="49">
        <f t="shared" ref="CM64:CM76" si="344">IFERROR(IF(BY64&gt;0.01,1-EXP(-BY64),BY64),".")</f>
        <v>0</v>
      </c>
      <c r="CN64" s="49">
        <f t="shared" ref="CN64:CN76" si="345">IFERROR(IF(BZ64&gt;0.01,1-EXP(-BZ64),BZ64),".")</f>
        <v>0</v>
      </c>
      <c r="CO64" s="49">
        <f t="shared" ref="CO64:CO76" si="346">IFERROR(IF(SUM(BM64:BZ64)&gt;0.01,1-EXP(-SUM(BM64:BZ64)),SUM(BM64:BZ64)),".")</f>
        <v>7.2193907318291408E-11</v>
      </c>
      <c r="CP64" s="60">
        <f t="shared" ref="CP64:DC64" si="347">IFERROR(CP25/$B50,0)</f>
        <v>0</v>
      </c>
      <c r="CQ64" s="60">
        <f t="shared" si="347"/>
        <v>4812.0300751879695</v>
      </c>
      <c r="CR64" s="60">
        <f t="shared" si="347"/>
        <v>6231203404.2132893</v>
      </c>
      <c r="CS64" s="60">
        <f t="shared" si="347"/>
        <v>0</v>
      </c>
      <c r="CT64" s="60">
        <f>IFERROR(CT25/$B50,0)</f>
        <v>0</v>
      </c>
      <c r="CU64" s="60">
        <f>IFERROR(CU25/$B50,0)</f>
        <v>0</v>
      </c>
      <c r="CV64" s="60">
        <f>IFERROR(CV25/$B50,0)</f>
        <v>0</v>
      </c>
      <c r="CW64" s="60">
        <f>IFERROR(CW25/$B50,0)</f>
        <v>0</v>
      </c>
      <c r="CX64" s="60">
        <f t="shared" si="347"/>
        <v>0</v>
      </c>
      <c r="CY64" s="60">
        <f t="shared" si="347"/>
        <v>0</v>
      </c>
      <c r="CZ64" s="60">
        <f t="shared" si="347"/>
        <v>0</v>
      </c>
      <c r="DA64" s="60">
        <f>IFERROR(DA25/$B50,0)</f>
        <v>0</v>
      </c>
      <c r="DB64" s="60">
        <f t="shared" si="347"/>
        <v>0</v>
      </c>
      <c r="DC64" s="60">
        <f t="shared" si="347"/>
        <v>0</v>
      </c>
      <c r="DD64" s="15"/>
      <c r="DE64" s="15"/>
      <c r="DF64" s="15"/>
      <c r="DG64" s="15"/>
      <c r="DH64" s="15"/>
      <c r="DI64" s="15"/>
      <c r="DJ64" s="15"/>
      <c r="DK64" s="15"/>
      <c r="DL64" s="15"/>
      <c r="DM64" s="15"/>
      <c r="DN64" s="15"/>
      <c r="DO64" s="15"/>
      <c r="DP64" s="15"/>
      <c r="DQ64" s="15"/>
      <c r="DR64" s="60">
        <f>IFERROR(DR25/$B50,0)</f>
        <v>4812.0263591135517</v>
      </c>
      <c r="DS64" s="71">
        <f>IFERROR(s_RadSpec!$H$25*DS25,".")*$B$64</f>
        <v>0</v>
      </c>
      <c r="DT64" s="71">
        <f>IFERROR(s_RadSpec!$G$25*DT25,".")*$B$64</f>
        <v>1.0390624999999999E-9</v>
      </c>
      <c r="DU64" s="71">
        <f>IFERROR(s_RadSpec!$L$25*DU25,".")*$B$64</f>
        <v>8.024132219178082E-16</v>
      </c>
      <c r="DV64" s="71">
        <f>s_b2w!BZ64</f>
        <v>0</v>
      </c>
      <c r="DW64" s="71">
        <f>IFERROR(s_RadSpec!$E$25*DW25,".")*$B$64</f>
        <v>0</v>
      </c>
      <c r="DX64" s="71">
        <f>IFERROR(s_RadSpec!$E$25*DX25,".")*$B$64</f>
        <v>0</v>
      </c>
      <c r="DY64" s="71">
        <f>IFERROR(s_RadSpec!$E$25*DY25,".")*$B$64</f>
        <v>0</v>
      </c>
      <c r="DZ64" s="71">
        <f>IFERROR(s_RadSpec!$E$25*DZ25,".")*$B$64</f>
        <v>0</v>
      </c>
      <c r="EA64" s="71">
        <f>IFERROR(s_RadSpec!$E$25*EA25,".")*$B$64</f>
        <v>0</v>
      </c>
      <c r="EB64" s="71">
        <f>IFERROR(s_RadSpec!$E$25*EB25,".")*$B$64</f>
        <v>0</v>
      </c>
      <c r="EC64" s="71">
        <f>IFERROR(s_RadSpec!$E$25*EC25,".")*$B$64</f>
        <v>0</v>
      </c>
      <c r="ED64" s="71">
        <f>IFERROR(s_RadSpec!$E$25*ED25,".")*$B$64</f>
        <v>0</v>
      </c>
      <c r="EE64" s="71">
        <f>IFERROR(s_RadSpec!$E$25*EE25,".")*$B$64</f>
        <v>0</v>
      </c>
      <c r="EF64" s="71">
        <f>IFERROR(s_RadSpec!$E$25*EF25,".")*$B$64</f>
        <v>0</v>
      </c>
      <c r="EG64" s="49">
        <f t="shared" ref="EG64:EG76" si="348">IFERROR(IF(DS64&gt;0.01,1-EXP(-DS64),DS64),".")</f>
        <v>0</v>
      </c>
      <c r="EH64" s="49">
        <f t="shared" ref="EH64:EH76" si="349">IFERROR(IF(DT64&gt;0.01,1-EXP(-DT64),DT64),".")</f>
        <v>1.0390624999999999E-9</v>
      </c>
      <c r="EI64" s="49">
        <f t="shared" ref="EI64:EI76" si="350">IFERROR(IF(DU64&gt;0.01,1-EXP(-DU64),DU64),".")</f>
        <v>8.024132219178082E-16</v>
      </c>
      <c r="EJ64" s="49">
        <f t="shared" ref="EJ64:EJ76" si="351">IFERROR(IF(DV64&gt;0.01,1-EXP(-DV64),DV64),".")</f>
        <v>0</v>
      </c>
      <c r="EK64" s="49">
        <f t="shared" ref="EK64:EK76" si="352">IFERROR(IF(DW64&gt;0.01,1-EXP(-DW64),DW64),".")</f>
        <v>0</v>
      </c>
      <c r="EL64" s="49">
        <f t="shared" ref="EL64:EL76" si="353">IFERROR(IF(DX64&gt;0.01,1-EXP(-DX64),DX64),".")</f>
        <v>0</v>
      </c>
      <c r="EM64" s="49">
        <f t="shared" ref="EM64:EM76" si="354">IFERROR(IF(DY64&gt;0.01,1-EXP(-DY64),DY64),".")</f>
        <v>0</v>
      </c>
      <c r="EN64" s="49">
        <f t="shared" ref="EN64:EN76" si="355">IFERROR(IF(DZ64&gt;0.01,1-EXP(-DZ64),DZ64),".")</f>
        <v>0</v>
      </c>
      <c r="EO64" s="49">
        <f t="shared" ref="EO64:EO76" si="356">IFERROR(IF(EA64&gt;0.01,1-EXP(-EA64),EA64),".")</f>
        <v>0</v>
      </c>
      <c r="EP64" s="49">
        <f t="shared" ref="EP64:EP76" si="357">IFERROR(IF(EB64&gt;0.01,1-EXP(-EB64),EB64),".")</f>
        <v>0</v>
      </c>
      <c r="EQ64" s="49">
        <f t="shared" ref="EQ64:EQ76" si="358">IFERROR(IF(EC64&gt;0.01,1-EXP(-EC64),EC64),".")</f>
        <v>0</v>
      </c>
      <c r="ER64" s="49">
        <f t="shared" ref="ER64:ER76" si="359">IFERROR(IF(ED64&gt;0.01,1-EXP(-ED64),ED64),".")</f>
        <v>0</v>
      </c>
      <c r="ES64" s="49">
        <f t="shared" ref="ES64:ES76" si="360">IFERROR(IF(EE64&gt;0.01,1-EXP(-EE64),EE64),".")</f>
        <v>0</v>
      </c>
      <c r="ET64" s="49">
        <f t="shared" ref="ET64:ET76" si="361">IFERROR(IF(EF64&gt;0.01,1-EXP(-EF64),EF64),".")</f>
        <v>0</v>
      </c>
      <c r="EU64" s="49">
        <f t="shared" ref="EU64:EU76" si="362">IFERROR(IF(SUM(DS64:EF64)&gt;0.01,1-EXP(-SUM(DS64:EF64)),SUM(DS64:EF64)),".")</f>
        <v>1.0390633024132218E-9</v>
      </c>
      <c r="EV64" s="60">
        <f>IFERROR(EV25/$B50,0)</f>
        <v>2406.0150375939847</v>
      </c>
      <c r="EW64" s="60">
        <f>IFERROR(EW25/$B50,0)</f>
        <v>5397387.6968869064</v>
      </c>
      <c r="EX64" s="60">
        <f>IFERROR(EX25/$B50,0)</f>
        <v>2404.942976572775</v>
      </c>
      <c r="EY64" s="71">
        <f>IFERROR(s_RadSpec!$G$25*EY25,".")*$B$64</f>
        <v>2.0781249999999998E-9</v>
      </c>
      <c r="EZ64" s="71">
        <f>IFERROR(s_RadSpec!$J$25*EZ25,".")*$B$64</f>
        <v>9.2637406849315067E-13</v>
      </c>
      <c r="FA64" s="49">
        <f t="shared" ref="FA64:FB76" si="363">IFERROR(IF(EY64&gt;0.01,1-EXP(-EY64),EY64),".")</f>
        <v>2.0781249999999998E-9</v>
      </c>
      <c r="FB64" s="49">
        <f t="shared" si="363"/>
        <v>9.2637406849315067E-13</v>
      </c>
      <c r="FC64" s="49">
        <f t="shared" ref="FC64:FC76" si="364">IFERROR(IF(SUM(EY64:EZ64)&gt;0.01,1-EXP(-SUM(EY64:EZ64)),SUM(EY64:EZ64)),".")</f>
        <v>2.0790513740684931E-9</v>
      </c>
    </row>
    <row r="65" spans="1:159" x14ac:dyDescent="0.25">
      <c r="A65" s="83" t="s">
        <v>1076</v>
      </c>
      <c r="B65" s="42">
        <v>1</v>
      </c>
      <c r="C65" s="60">
        <f t="shared" ref="C65:M65" si="365">IFERROR(C21/$B51,0)</f>
        <v>0</v>
      </c>
      <c r="D65" s="60">
        <f t="shared" si="365"/>
        <v>0</v>
      </c>
      <c r="E65" s="60">
        <f t="shared" si="365"/>
        <v>0</v>
      </c>
      <c r="F65" s="60">
        <f t="shared" si="365"/>
        <v>0</v>
      </c>
      <c r="G65" s="60">
        <f t="shared" si="365"/>
        <v>0</v>
      </c>
      <c r="H65" s="60">
        <f t="shared" si="365"/>
        <v>0</v>
      </c>
      <c r="I65" s="60">
        <f t="shared" si="365"/>
        <v>0</v>
      </c>
      <c r="J65" s="60">
        <f t="shared" si="365"/>
        <v>0</v>
      </c>
      <c r="K65" s="60">
        <f t="shared" si="365"/>
        <v>0</v>
      </c>
      <c r="L65" s="60">
        <f t="shared" si="365"/>
        <v>0</v>
      </c>
      <c r="M65" s="60">
        <f t="shared" si="365"/>
        <v>0</v>
      </c>
      <c r="N65" s="71">
        <f>s_dir!BA65</f>
        <v>0</v>
      </c>
      <c r="O65" s="71">
        <f>IFERROR(s_RadSpec!$E$21*O21,".")*$B$65</f>
        <v>0</v>
      </c>
      <c r="P65" s="71">
        <f>IFERROR(s_RadSpec!$E$21*P21,".")*$B$65</f>
        <v>0</v>
      </c>
      <c r="Q65" s="71">
        <f>IFERROR(s_RadSpec!$E$21*Q21,".")*$B$65</f>
        <v>0</v>
      </c>
      <c r="R65" s="71">
        <f>IFERROR(s_RadSpec!$E$21*R21,".")*$B$65</f>
        <v>0</v>
      </c>
      <c r="S65" s="71">
        <f>IFERROR(s_RadSpec!$E$21*S21,".")*$B$65</f>
        <v>0</v>
      </c>
      <c r="T65" s="71">
        <f>IFERROR(s_RadSpec!$E$21*T21,".")*$B$65</f>
        <v>0</v>
      </c>
      <c r="U65" s="71">
        <f>IFERROR(s_RadSpec!$E$21*U21,".")*$B$65</f>
        <v>0</v>
      </c>
      <c r="V65" s="71">
        <f>IFERROR(s_RadSpec!$E$21*V21,".")*$B$65</f>
        <v>0</v>
      </c>
      <c r="W65" s="71">
        <f>IFERROR(s_RadSpec!$E$21*W21,".")*$B$65</f>
        <v>0</v>
      </c>
      <c r="X65" s="71">
        <f>IFERROR(s_RadSpec!$E$21*X21,".")*$B$65</f>
        <v>0</v>
      </c>
      <c r="Y65" s="49">
        <f t="shared" si="320"/>
        <v>0</v>
      </c>
      <c r="Z65" s="49">
        <f t="shared" si="321"/>
        <v>0</v>
      </c>
      <c r="AA65" s="49">
        <f t="shared" si="322"/>
        <v>0</v>
      </c>
      <c r="AB65" s="49">
        <f t="shared" si="323"/>
        <v>0</v>
      </c>
      <c r="AC65" s="49">
        <f t="shared" si="324"/>
        <v>0</v>
      </c>
      <c r="AD65" s="49">
        <f t="shared" si="325"/>
        <v>0</v>
      </c>
      <c r="AE65" s="49">
        <f t="shared" si="326"/>
        <v>0</v>
      </c>
      <c r="AF65" s="49">
        <f t="shared" si="327"/>
        <v>0</v>
      </c>
      <c r="AG65" s="49">
        <f t="shared" si="328"/>
        <v>0</v>
      </c>
      <c r="AH65" s="49">
        <f t="shared" si="329"/>
        <v>0</v>
      </c>
      <c r="AI65" s="49">
        <f t="shared" si="330"/>
        <v>0</v>
      </c>
      <c r="AJ65" s="60">
        <f t="shared" ref="AJ65:AW65" si="366">IFERROR(AJ21/$B51,0)</f>
        <v>0</v>
      </c>
      <c r="AK65" s="60">
        <f t="shared" si="366"/>
        <v>122265861.97792831</v>
      </c>
      <c r="AL65" s="60">
        <f t="shared" si="366"/>
        <v>0</v>
      </c>
      <c r="AM65" s="60">
        <f t="shared" si="366"/>
        <v>0</v>
      </c>
      <c r="AN65" s="60">
        <f>IFERROR(AN21/$B51,0)</f>
        <v>0</v>
      </c>
      <c r="AO65" s="60">
        <f>IFERROR(AO21/$B51,0)</f>
        <v>0</v>
      </c>
      <c r="AP65" s="60">
        <f>IFERROR(AP21/$B51,0)</f>
        <v>0</v>
      </c>
      <c r="AQ65" s="60">
        <f>IFERROR(AQ21/$B51,0)</f>
        <v>0</v>
      </c>
      <c r="AR65" s="60">
        <f t="shared" si="366"/>
        <v>0</v>
      </c>
      <c r="AS65" s="60">
        <f t="shared" si="366"/>
        <v>0</v>
      </c>
      <c r="AT65" s="60">
        <f t="shared" si="366"/>
        <v>0</v>
      </c>
      <c r="AU65" s="60">
        <f>IFERROR(AU21/$B51,0)</f>
        <v>0</v>
      </c>
      <c r="AV65" s="60">
        <f t="shared" si="366"/>
        <v>0</v>
      </c>
      <c r="AW65" s="60">
        <f t="shared" si="366"/>
        <v>0</v>
      </c>
      <c r="AX65" s="42"/>
      <c r="AY65" s="42"/>
      <c r="AZ65" s="42"/>
      <c r="BA65" s="42"/>
      <c r="BB65" s="42"/>
      <c r="BC65" s="42"/>
      <c r="BD65" s="42"/>
      <c r="BE65" s="42"/>
      <c r="BF65" s="42"/>
      <c r="BG65" s="42"/>
      <c r="BH65" s="42"/>
      <c r="BI65" s="42"/>
      <c r="BJ65" s="42"/>
      <c r="BK65" s="42"/>
      <c r="BL65" s="60">
        <f>IFERROR(BL21/$B51,0)</f>
        <v>122265861.97792831</v>
      </c>
      <c r="BM65" s="71">
        <f>IFERROR(s_RadSpec!$D$21*BM21,".")*$B$65</f>
        <v>0</v>
      </c>
      <c r="BN65" s="71">
        <f>IFERROR(s_RadSpec!$G$21*BN21,".")*$B$65</f>
        <v>4.0894489427495383E-14</v>
      </c>
      <c r="BO65" s="71">
        <f>IFERROR(s_RadSpec!$F$21*BO21,".")*$B$65</f>
        <v>0</v>
      </c>
      <c r="BP65" s="71">
        <f>s_b2s!BZ65</f>
        <v>0</v>
      </c>
      <c r="BQ65" s="71">
        <f>IFERROR(s_RadSpec!$E$21*BQ21,".")*$B$65</f>
        <v>0</v>
      </c>
      <c r="BR65" s="71">
        <f>IFERROR(s_RadSpec!$E$21*BR21,".")*$B$65</f>
        <v>0</v>
      </c>
      <c r="BS65" s="71">
        <f>IFERROR(s_RadSpec!$E$21*BS21,".")*$B$65</f>
        <v>0</v>
      </c>
      <c r="BT65" s="71">
        <f>IFERROR(s_RadSpec!$E$21*BT21,".")*$B$65</f>
        <v>0</v>
      </c>
      <c r="BU65" s="71">
        <f>IFERROR(s_RadSpec!$E$21*BU21,".")*$B$65</f>
        <v>0</v>
      </c>
      <c r="BV65" s="71">
        <f>IFERROR(s_RadSpec!$E$21*BV21,".")*$B$65</f>
        <v>0</v>
      </c>
      <c r="BW65" s="71">
        <f>IFERROR(s_RadSpec!$E$21*BW21,".")*$B$65</f>
        <v>0</v>
      </c>
      <c r="BX65" s="71">
        <f>IFERROR(s_RadSpec!$E$21*BX21,".")*$B$65</f>
        <v>0</v>
      </c>
      <c r="BY65" s="71">
        <f>IFERROR(s_RadSpec!$E$21*BY21,".")*$B$65</f>
        <v>0</v>
      </c>
      <c r="BZ65" s="71">
        <f>IFERROR(s_RadSpec!$E$21*BZ21,".")*$B$65</f>
        <v>0</v>
      </c>
      <c r="CA65" s="49">
        <f t="shared" si="332"/>
        <v>0</v>
      </c>
      <c r="CB65" s="49">
        <f t="shared" si="333"/>
        <v>4.0894489427495383E-14</v>
      </c>
      <c r="CC65" s="49">
        <f t="shared" si="334"/>
        <v>0</v>
      </c>
      <c r="CD65" s="49">
        <f t="shared" si="335"/>
        <v>0</v>
      </c>
      <c r="CE65" s="49">
        <f t="shared" si="336"/>
        <v>0</v>
      </c>
      <c r="CF65" s="49">
        <f t="shared" si="337"/>
        <v>0</v>
      </c>
      <c r="CG65" s="49">
        <f t="shared" si="338"/>
        <v>0</v>
      </c>
      <c r="CH65" s="49">
        <f t="shared" si="339"/>
        <v>0</v>
      </c>
      <c r="CI65" s="49">
        <f t="shared" si="340"/>
        <v>0</v>
      </c>
      <c r="CJ65" s="49">
        <f t="shared" si="341"/>
        <v>0</v>
      </c>
      <c r="CK65" s="49">
        <f t="shared" si="342"/>
        <v>0</v>
      </c>
      <c r="CL65" s="49">
        <f t="shared" si="343"/>
        <v>0</v>
      </c>
      <c r="CM65" s="49">
        <f t="shared" si="344"/>
        <v>0</v>
      </c>
      <c r="CN65" s="49">
        <f t="shared" si="345"/>
        <v>0</v>
      </c>
      <c r="CO65" s="49">
        <f t="shared" si="346"/>
        <v>4.0894489427495383E-14</v>
      </c>
      <c r="CP65" s="60">
        <f t="shared" ref="CP65:DC65" si="367">IFERROR(CP21/$B51,0)</f>
        <v>0</v>
      </c>
      <c r="CQ65" s="60">
        <f t="shared" si="367"/>
        <v>0</v>
      </c>
      <c r="CR65" s="60">
        <f t="shared" si="367"/>
        <v>433162176597736.69</v>
      </c>
      <c r="CS65" s="60">
        <f t="shared" si="367"/>
        <v>0</v>
      </c>
      <c r="CT65" s="60">
        <f>IFERROR(CT21/$B51,0)</f>
        <v>0</v>
      </c>
      <c r="CU65" s="60">
        <f>IFERROR(CU21/$B51,0)</f>
        <v>0</v>
      </c>
      <c r="CV65" s="60">
        <f>IFERROR(CV21/$B51,0)</f>
        <v>0</v>
      </c>
      <c r="CW65" s="60">
        <f>IFERROR(CW21/$B51,0)</f>
        <v>0</v>
      </c>
      <c r="CX65" s="60">
        <f t="shared" si="367"/>
        <v>0</v>
      </c>
      <c r="CY65" s="60">
        <f t="shared" si="367"/>
        <v>0</v>
      </c>
      <c r="CZ65" s="60">
        <f t="shared" si="367"/>
        <v>0</v>
      </c>
      <c r="DA65" s="60">
        <f>IFERROR(DA21/$B51,0)</f>
        <v>0</v>
      </c>
      <c r="DB65" s="60">
        <f t="shared" si="367"/>
        <v>0</v>
      </c>
      <c r="DC65" s="60">
        <f t="shared" si="367"/>
        <v>0</v>
      </c>
      <c r="DD65" s="15"/>
      <c r="DE65" s="15"/>
      <c r="DF65" s="15"/>
      <c r="DG65" s="15"/>
      <c r="DH65" s="15"/>
      <c r="DI65" s="15"/>
      <c r="DJ65" s="15"/>
      <c r="DK65" s="15"/>
      <c r="DL65" s="15"/>
      <c r="DM65" s="15"/>
      <c r="DN65" s="15"/>
      <c r="DO65" s="15"/>
      <c r="DP65" s="15"/>
      <c r="DQ65" s="15"/>
      <c r="DR65" s="60">
        <f>IFERROR(DR21/$B51,0)</f>
        <v>433162176597736.63</v>
      </c>
      <c r="DS65" s="71">
        <f>IFERROR(s_RadSpec!$H$21*DS21,".")*$B$65</f>
        <v>0</v>
      </c>
      <c r="DT65" s="71">
        <f>IFERROR(s_RadSpec!$G$21*DT21,".")*$B$65</f>
        <v>6.3346354166666658E-9</v>
      </c>
      <c r="DU65" s="71">
        <f>IFERROR(s_RadSpec!$L$21*DU21,".")*$B$65</f>
        <v>1.1543020767123286E-20</v>
      </c>
      <c r="DV65" s="71">
        <f>s_b2w!BZ65</f>
        <v>0</v>
      </c>
      <c r="DW65" s="71">
        <f>IFERROR(s_RadSpec!$E$21*DW21,".")*$B$65</f>
        <v>0</v>
      </c>
      <c r="DX65" s="71">
        <f>IFERROR(s_RadSpec!$E$21*DX21,".")*$B$65</f>
        <v>0</v>
      </c>
      <c r="DY65" s="71">
        <f>IFERROR(s_RadSpec!$E$21*DY21,".")*$B$65</f>
        <v>0</v>
      </c>
      <c r="DZ65" s="71">
        <f>IFERROR(s_RadSpec!$E$21*DZ21,".")*$B$65</f>
        <v>0</v>
      </c>
      <c r="EA65" s="71">
        <f>IFERROR(s_RadSpec!$E$21*EA21,".")*$B$65</f>
        <v>0</v>
      </c>
      <c r="EB65" s="71">
        <f>IFERROR(s_RadSpec!$E$21*EB21,".")*$B$65</f>
        <v>0</v>
      </c>
      <c r="EC65" s="71">
        <f>IFERROR(s_RadSpec!$E$21*EC21,".")*$B$65</f>
        <v>0</v>
      </c>
      <c r="ED65" s="71">
        <f>IFERROR(s_RadSpec!$E$21*ED21,".")*$B$65</f>
        <v>0</v>
      </c>
      <c r="EE65" s="71">
        <f>IFERROR(s_RadSpec!$E$21*EE21,".")*$B$65</f>
        <v>0</v>
      </c>
      <c r="EF65" s="71">
        <f>IFERROR(s_RadSpec!$E$21*EF21,".")*$B$65</f>
        <v>0</v>
      </c>
      <c r="EG65" s="49">
        <f t="shared" si="348"/>
        <v>0</v>
      </c>
      <c r="EH65" s="49">
        <f t="shared" si="349"/>
        <v>6.3346354166666658E-9</v>
      </c>
      <c r="EI65" s="49">
        <f t="shared" si="350"/>
        <v>1.1543020767123286E-20</v>
      </c>
      <c r="EJ65" s="49">
        <f t="shared" si="351"/>
        <v>0</v>
      </c>
      <c r="EK65" s="49">
        <f t="shared" si="352"/>
        <v>0</v>
      </c>
      <c r="EL65" s="49">
        <f t="shared" si="353"/>
        <v>0</v>
      </c>
      <c r="EM65" s="49">
        <f t="shared" si="354"/>
        <v>0</v>
      </c>
      <c r="EN65" s="49">
        <f t="shared" si="355"/>
        <v>0</v>
      </c>
      <c r="EO65" s="49">
        <f t="shared" si="356"/>
        <v>0</v>
      </c>
      <c r="EP65" s="49">
        <f t="shared" si="357"/>
        <v>0</v>
      </c>
      <c r="EQ65" s="49">
        <f t="shared" si="358"/>
        <v>0</v>
      </c>
      <c r="ER65" s="49">
        <f t="shared" si="359"/>
        <v>0</v>
      </c>
      <c r="ES65" s="49">
        <f t="shared" si="360"/>
        <v>0</v>
      </c>
      <c r="ET65" s="49">
        <f t="shared" si="361"/>
        <v>0</v>
      </c>
      <c r="EU65" s="49">
        <f t="shared" si="362"/>
        <v>6.3346354166782092E-9</v>
      </c>
      <c r="EV65" s="60">
        <f>IFERROR(EV21/$B51,0)</f>
        <v>394.65570400822202</v>
      </c>
      <c r="EW65" s="60">
        <f>IFERROR(EW21/$B51,0)</f>
        <v>221963576883.81067</v>
      </c>
      <c r="EX65" s="60">
        <f>IFERROR(EX21/$B51,0)</f>
        <v>394.65570330651622</v>
      </c>
      <c r="EY65" s="71">
        <f>IFERROR(s_RadSpec!$G$21*EY21,".")*$B$65</f>
        <v>1.2669270833333332E-8</v>
      </c>
      <c r="EZ65" s="71">
        <f>IFERROR(s_RadSpec!$J$21*EZ21,".")*$B$65</f>
        <v>2.2526218356164382E-17</v>
      </c>
      <c r="FA65" s="49">
        <f t="shared" si="363"/>
        <v>1.2669270833333332E-8</v>
      </c>
      <c r="FB65" s="49">
        <f t="shared" si="363"/>
        <v>2.2526218356164382E-17</v>
      </c>
      <c r="FC65" s="49">
        <f t="shared" si="364"/>
        <v>1.2669270855859549E-8</v>
      </c>
    </row>
    <row r="66" spans="1:159" x14ac:dyDescent="0.25">
      <c r="A66" s="83" t="s">
        <v>1077</v>
      </c>
      <c r="B66" s="85">
        <v>0.99980000000000002</v>
      </c>
      <c r="C66" s="60">
        <f t="shared" ref="C66:M66" si="368">IFERROR(C17/$B52,0)</f>
        <v>187.59495845752789</v>
      </c>
      <c r="D66" s="60">
        <f t="shared" si="368"/>
        <v>750.37983383011158</v>
      </c>
      <c r="E66" s="60">
        <f t="shared" si="368"/>
        <v>750.37983383011158</v>
      </c>
      <c r="F66" s="60">
        <f t="shared" si="368"/>
        <v>750.37983383011158</v>
      </c>
      <c r="G66" s="60">
        <f t="shared" si="368"/>
        <v>750.37983383011158</v>
      </c>
      <c r="H66" s="60">
        <f t="shared" si="368"/>
        <v>750.37983383011158</v>
      </c>
      <c r="I66" s="60">
        <f t="shared" si="368"/>
        <v>750.37983383011158</v>
      </c>
      <c r="J66" s="60">
        <f t="shared" si="368"/>
        <v>750.37983383011158</v>
      </c>
      <c r="K66" s="60">
        <f t="shared" si="368"/>
        <v>750.37983383011158</v>
      </c>
      <c r="L66" s="60">
        <f t="shared" si="368"/>
        <v>750.37983383011158</v>
      </c>
      <c r="M66" s="60">
        <f t="shared" si="368"/>
        <v>750.37983383011158</v>
      </c>
      <c r="N66" s="71">
        <f>s_dir!BA66</f>
        <v>2.6663832766553312E-8</v>
      </c>
      <c r="O66" s="71">
        <f>IFERROR(s_RadSpec!$E$17*O17,".")*$B$66</f>
        <v>6.6632920750000007E-9</v>
      </c>
      <c r="P66" s="71">
        <f>IFERROR(s_RadSpec!$E$17*P17,".")*$B$66</f>
        <v>6.6632920750000007E-9</v>
      </c>
      <c r="Q66" s="71">
        <f>IFERROR(s_RadSpec!$E$17*Q17,".")*$B$66</f>
        <v>6.6632920750000007E-9</v>
      </c>
      <c r="R66" s="71">
        <f>IFERROR(s_RadSpec!$E$17*R17,".")*$B$66</f>
        <v>6.6632920750000007E-9</v>
      </c>
      <c r="S66" s="71">
        <f>IFERROR(s_RadSpec!$E$17*S17,".")*$B$66</f>
        <v>6.6632920750000007E-9</v>
      </c>
      <c r="T66" s="71">
        <f>IFERROR(s_RadSpec!$E$17*T17,".")*$B$66</f>
        <v>6.6632920750000007E-9</v>
      </c>
      <c r="U66" s="71">
        <f>IFERROR(s_RadSpec!$E$17*U17,".")*$B$66</f>
        <v>6.6632920750000007E-9</v>
      </c>
      <c r="V66" s="71">
        <f>IFERROR(s_RadSpec!$E$17*V17,".")*$B$66</f>
        <v>6.6632920750000007E-9</v>
      </c>
      <c r="W66" s="71">
        <f>IFERROR(s_RadSpec!$E$17*W17,".")*$B$66</f>
        <v>6.6632920750000007E-9</v>
      </c>
      <c r="X66" s="71">
        <f>IFERROR(s_RadSpec!$E$17*X17,".")*$B$66</f>
        <v>6.6632920750000007E-9</v>
      </c>
      <c r="Y66" s="49">
        <f t="shared" si="320"/>
        <v>2.6663832766553312E-8</v>
      </c>
      <c r="Z66" s="49">
        <f t="shared" si="321"/>
        <v>6.6632920750000007E-9</v>
      </c>
      <c r="AA66" s="49">
        <f t="shared" si="322"/>
        <v>6.6632920750000007E-9</v>
      </c>
      <c r="AB66" s="49">
        <f t="shared" si="323"/>
        <v>6.6632920750000007E-9</v>
      </c>
      <c r="AC66" s="49">
        <f t="shared" si="324"/>
        <v>6.6632920750000007E-9</v>
      </c>
      <c r="AD66" s="49">
        <f t="shared" si="325"/>
        <v>6.6632920750000007E-9</v>
      </c>
      <c r="AE66" s="49">
        <f t="shared" si="326"/>
        <v>6.6632920750000007E-9</v>
      </c>
      <c r="AF66" s="49">
        <f t="shared" si="327"/>
        <v>6.6632920750000007E-9</v>
      </c>
      <c r="AG66" s="49">
        <f t="shared" si="328"/>
        <v>6.6632920750000007E-9</v>
      </c>
      <c r="AH66" s="49">
        <f t="shared" si="329"/>
        <v>6.6632920750000007E-9</v>
      </c>
      <c r="AI66" s="49">
        <f t="shared" si="330"/>
        <v>6.6632920750000007E-9</v>
      </c>
      <c r="AJ66" s="60">
        <f t="shared" ref="AJ66:AW66" si="369">IFERROR(AJ17/$B52,0)</f>
        <v>229672.33231716033</v>
      </c>
      <c r="AK66" s="60">
        <f t="shared" si="369"/>
        <v>21876904.100166284</v>
      </c>
      <c r="AL66" s="60">
        <f t="shared" si="369"/>
        <v>162.23056200030064</v>
      </c>
      <c r="AM66" s="60">
        <f t="shared" si="369"/>
        <v>4832.1194785891657</v>
      </c>
      <c r="AN66" s="60">
        <f>IFERROR(AN17/$B52,0)</f>
        <v>4502.2790029806692</v>
      </c>
      <c r="AO66" s="60">
        <f>IFERROR(AO17/$B52,0)</f>
        <v>12033.741113957549</v>
      </c>
      <c r="AP66" s="60">
        <f>IFERROR(AP17/$B52,0)</f>
        <v>45664.88075349154</v>
      </c>
      <c r="AQ66" s="60">
        <f>IFERROR(AQ17/$B52,0)</f>
        <v>0</v>
      </c>
      <c r="AR66" s="60">
        <f t="shared" si="369"/>
        <v>0</v>
      </c>
      <c r="AS66" s="60">
        <f t="shared" si="369"/>
        <v>0</v>
      </c>
      <c r="AT66" s="60">
        <f t="shared" si="369"/>
        <v>0</v>
      </c>
      <c r="AU66" s="60">
        <f>IFERROR(AU17/$B52,0)</f>
        <v>1446.0545571938987</v>
      </c>
      <c r="AV66" s="60">
        <f t="shared" si="369"/>
        <v>1186.4251802493359</v>
      </c>
      <c r="AW66" s="60">
        <f t="shared" si="369"/>
        <v>247.89506694752546</v>
      </c>
      <c r="AX66" s="42"/>
      <c r="AY66" s="42"/>
      <c r="AZ66" s="42"/>
      <c r="BA66" s="42"/>
      <c r="BB66" s="42"/>
      <c r="BC66" s="42"/>
      <c r="BD66" s="42"/>
      <c r="BE66" s="42"/>
      <c r="BF66" s="42"/>
      <c r="BG66" s="42"/>
      <c r="BH66" s="42"/>
      <c r="BI66" s="42"/>
      <c r="BJ66" s="42"/>
      <c r="BK66" s="42"/>
      <c r="BL66" s="60">
        <f>IFERROR(BL17/$B52,0)</f>
        <v>81.493662053207828</v>
      </c>
      <c r="BM66" s="71">
        <f>IFERROR(s_RadSpec!$D$17*BM17,".")*$B$66</f>
        <v>2.1770145099999999E-11</v>
      </c>
      <c r="BN66" s="71">
        <f>IFERROR(s_RadSpec!$G$17*BN17,".")*$B$66</f>
        <v>2.2855153439933008E-13</v>
      </c>
      <c r="BO66" s="71">
        <f>IFERROR(s_RadSpec!$F$17*BO17,".")*$B$66</f>
        <v>3.0820333347490559E-8</v>
      </c>
      <c r="BP66" s="71">
        <f>s_b2s!BZ66</f>
        <v>1.035156647579516E-9</v>
      </c>
      <c r="BQ66" s="71">
        <f>IFERROR(s_RadSpec!$E$17*BQ17,".")*$B$66</f>
        <v>1.110548679166667E-9</v>
      </c>
      <c r="BR66" s="71">
        <f>IFERROR(s_RadSpec!$E$17*BR17,".")*$B$66</f>
        <v>4.1549838513649432E-10</v>
      </c>
      <c r="BS66" s="71">
        <f>IFERROR(s_RadSpec!$E$17*BS17,".")*$B$66</f>
        <v>1.0949333311502624E-10</v>
      </c>
      <c r="BT66" s="71">
        <f>IFERROR(s_RadSpec!$E$17*BT17,".")*$B$66</f>
        <v>0</v>
      </c>
      <c r="BU66" s="71">
        <f>IFERROR(s_RadSpec!$E$17*BU17,".")*$B$66</f>
        <v>0</v>
      </c>
      <c r="BV66" s="71">
        <f>IFERROR(s_RadSpec!$E$17*BV17,".")*$B$66</f>
        <v>0</v>
      </c>
      <c r="BW66" s="71">
        <f>IFERROR(s_RadSpec!$E$17*BW17,".")*$B$66</f>
        <v>0</v>
      </c>
      <c r="BX66" s="71">
        <f>IFERROR(s_RadSpec!$E$17*BX17,".")*$B$66</f>
        <v>3.4576842036324078E-9</v>
      </c>
      <c r="BY66" s="71">
        <f>IFERROR(s_RadSpec!$E$17*BY17,".")*$B$66</f>
        <v>4.214340763527299E-9</v>
      </c>
      <c r="BZ66" s="71">
        <f>IFERROR(s_RadSpec!$E$17*BZ17,".")*$B$66</f>
        <v>2.0169824521189042E-8</v>
      </c>
      <c r="CA66" s="49">
        <f t="shared" si="332"/>
        <v>2.1770145099999999E-11</v>
      </c>
      <c r="CB66" s="49">
        <f t="shared" si="333"/>
        <v>2.2855153439933008E-13</v>
      </c>
      <c r="CC66" s="49">
        <f t="shared" si="334"/>
        <v>3.0820333347490559E-8</v>
      </c>
      <c r="CD66" s="49">
        <f t="shared" si="335"/>
        <v>1.035156647579516E-9</v>
      </c>
      <c r="CE66" s="49">
        <f t="shared" si="336"/>
        <v>1.110548679166667E-9</v>
      </c>
      <c r="CF66" s="49">
        <f t="shared" si="337"/>
        <v>4.1549838513649432E-10</v>
      </c>
      <c r="CG66" s="49">
        <f t="shared" si="338"/>
        <v>1.0949333311502624E-10</v>
      </c>
      <c r="CH66" s="49">
        <f t="shared" si="339"/>
        <v>0</v>
      </c>
      <c r="CI66" s="49">
        <f t="shared" si="340"/>
        <v>0</v>
      </c>
      <c r="CJ66" s="49">
        <f t="shared" si="341"/>
        <v>0</v>
      </c>
      <c r="CK66" s="49">
        <f t="shared" si="342"/>
        <v>0</v>
      </c>
      <c r="CL66" s="49">
        <f t="shared" si="343"/>
        <v>3.4576842036324078E-9</v>
      </c>
      <c r="CM66" s="49">
        <f t="shared" si="344"/>
        <v>4.214340763527299E-9</v>
      </c>
      <c r="CN66" s="49">
        <f t="shared" si="345"/>
        <v>2.0169824521189042E-8</v>
      </c>
      <c r="CO66" s="49">
        <f t="shared" si="346"/>
        <v>6.1354878577471412E-8</v>
      </c>
      <c r="CP66" s="60">
        <f t="shared" ref="CP66:DC66" si="370">IFERROR(CP17/$B52,0)</f>
        <v>5807.1822800708424</v>
      </c>
      <c r="CQ66" s="60">
        <f t="shared" si="370"/>
        <v>0</v>
      </c>
      <c r="CR66" s="60">
        <f t="shared" si="370"/>
        <v>9821818.9432033002</v>
      </c>
      <c r="CS66" s="60">
        <f t="shared" si="370"/>
        <v>11214.155515942764</v>
      </c>
      <c r="CT66" s="60">
        <f>IFERROR(CT17/$B52,0)</f>
        <v>30015.193353204457</v>
      </c>
      <c r="CU66" s="60">
        <f>IFERROR(CU17/$B52,0)</f>
        <v>214394238.23717472</v>
      </c>
      <c r="CV66" s="60">
        <f>IFERROR(CV17/$B52,0)</f>
        <v>813569714.57369971</v>
      </c>
      <c r="CW66" s="60">
        <f>IFERROR(CW17/$B52,0)</f>
        <v>0</v>
      </c>
      <c r="CX66" s="60">
        <f t="shared" si="370"/>
        <v>0</v>
      </c>
      <c r="CY66" s="60">
        <f t="shared" si="370"/>
        <v>0</v>
      </c>
      <c r="CZ66" s="60">
        <f t="shared" si="370"/>
        <v>0</v>
      </c>
      <c r="DA66" s="60">
        <f>IFERROR(DA17/$B52,0)</f>
        <v>25763040.961500492</v>
      </c>
      <c r="DB66" s="60">
        <f t="shared" si="370"/>
        <v>21137460.107890464</v>
      </c>
      <c r="DC66" s="60">
        <f t="shared" si="370"/>
        <v>4416521.307685799</v>
      </c>
      <c r="DD66" s="15"/>
      <c r="DE66" s="15"/>
      <c r="DF66" s="15"/>
      <c r="DG66" s="15"/>
      <c r="DH66" s="15"/>
      <c r="DI66" s="15"/>
      <c r="DJ66" s="15"/>
      <c r="DK66" s="15"/>
      <c r="DL66" s="15"/>
      <c r="DM66" s="15"/>
      <c r="DN66" s="15"/>
      <c r="DO66" s="15"/>
      <c r="DP66" s="15"/>
      <c r="DQ66" s="15"/>
      <c r="DR66" s="60">
        <f>IFERROR(DR17/$B52,0)</f>
        <v>3388.5637828817539</v>
      </c>
      <c r="DS66" s="71">
        <f>IFERROR(s_RadSpec!$H$17*DS17,".")*$B$66</f>
        <v>8.6100276500000004E-10</v>
      </c>
      <c r="DT66" s="71">
        <f>IFERROR(s_RadSpec!$G$17*DT17,".")*$B$66</f>
        <v>3.5403074218749997E-8</v>
      </c>
      <c r="DU66" s="71">
        <f>IFERROR(s_RadSpec!$L$17*DU17,".")*$B$66</f>
        <v>5.0907067508712322E-13</v>
      </c>
      <c r="DV66" s="71">
        <f>s_b2w!BZ66</f>
        <v>4.4604344866172703E-10</v>
      </c>
      <c r="DW66" s="71">
        <f>IFERROR(s_RadSpec!$E$17*DW17,".")*$B$66</f>
        <v>1.6658230187500001E-10</v>
      </c>
      <c r="DX66" s="71">
        <f>IFERROR(s_RadSpec!$E$17*DX17,".")*$B$66</f>
        <v>2.3321522262500003E-14</v>
      </c>
      <c r="DY66" s="71">
        <f>IFERROR(s_RadSpec!$E$17*DY17,".")*$B$66</f>
        <v>6.1457548264563114E-15</v>
      </c>
      <c r="DZ66" s="71">
        <f>IFERROR(s_RadSpec!$E$17*DZ17,".")*$B$66</f>
        <v>0</v>
      </c>
      <c r="EA66" s="71">
        <f>IFERROR(s_RadSpec!$E$17*EA17,".")*$B$66</f>
        <v>0</v>
      </c>
      <c r="EB66" s="71">
        <f>IFERROR(s_RadSpec!$E$17*EB17,".")*$B$66</f>
        <v>0</v>
      </c>
      <c r="EC66" s="71">
        <f>IFERROR(s_RadSpec!$E$17*EC17,".")*$B$66</f>
        <v>0</v>
      </c>
      <c r="ED66" s="71">
        <f>IFERROR(s_RadSpec!$E$17*ED17,".")*$B$66</f>
        <v>1.9407646820388351E-13</v>
      </c>
      <c r="EE66" s="71">
        <f>IFERROR(s_RadSpec!$E$17*EE17,".")*$B$66</f>
        <v>2.3654686866250005E-13</v>
      </c>
      <c r="EF66" s="71">
        <f>IFERROR(s_RadSpec!$E$17*EF17,".")*$B$66</f>
        <v>1.1321127311893208E-12</v>
      </c>
      <c r="EG66" s="49">
        <f t="shared" si="348"/>
        <v>8.6100276500000004E-10</v>
      </c>
      <c r="EH66" s="49">
        <f t="shared" si="349"/>
        <v>3.5403074218749997E-8</v>
      </c>
      <c r="EI66" s="49">
        <f t="shared" si="350"/>
        <v>5.0907067508712322E-13</v>
      </c>
      <c r="EJ66" s="49">
        <f t="shared" si="351"/>
        <v>4.4604344866172703E-10</v>
      </c>
      <c r="EK66" s="49">
        <f t="shared" si="352"/>
        <v>1.6658230187500001E-10</v>
      </c>
      <c r="EL66" s="49">
        <f t="shared" si="353"/>
        <v>2.3321522262500003E-14</v>
      </c>
      <c r="EM66" s="49">
        <f t="shared" si="354"/>
        <v>6.1457548264563114E-15</v>
      </c>
      <c r="EN66" s="49">
        <f t="shared" si="355"/>
        <v>0</v>
      </c>
      <c r="EO66" s="49">
        <f t="shared" si="356"/>
        <v>0</v>
      </c>
      <c r="EP66" s="49">
        <f t="shared" si="357"/>
        <v>0</v>
      </c>
      <c r="EQ66" s="49">
        <f t="shared" si="358"/>
        <v>0</v>
      </c>
      <c r="ER66" s="49">
        <f t="shared" si="359"/>
        <v>1.9407646820388351E-13</v>
      </c>
      <c r="ES66" s="49">
        <f t="shared" si="360"/>
        <v>2.3654686866250005E-13</v>
      </c>
      <c r="ET66" s="49">
        <f t="shared" si="361"/>
        <v>1.1321127311893208E-12</v>
      </c>
      <c r="EU66" s="49">
        <f t="shared" si="362"/>
        <v>3.6878804008306951E-8</v>
      </c>
      <c r="EV66" s="60">
        <f>IFERROR(EV17/$B52,0)</f>
        <v>70.615336525661448</v>
      </c>
      <c r="EW66" s="60">
        <f>IFERROR(EW17/$B52,0)</f>
        <v>8595.49790676669</v>
      </c>
      <c r="EX66" s="60">
        <f>IFERROR(EX17/$B52,0)</f>
        <v>70.039931426207886</v>
      </c>
      <c r="EY66" s="71">
        <f>IFERROR(s_RadSpec!$G$17*EY17,".")*$B$66</f>
        <v>7.0806148437499995E-8</v>
      </c>
      <c r="EZ66" s="71">
        <f>IFERROR(s_RadSpec!$J$17*EZ17,".")*$B$66</f>
        <v>5.8169986826054795E-10</v>
      </c>
      <c r="FA66" s="49">
        <f t="shared" si="363"/>
        <v>7.0806148437499995E-8</v>
      </c>
      <c r="FB66" s="49">
        <f t="shared" si="363"/>
        <v>5.8169986826054795E-10</v>
      </c>
      <c r="FC66" s="49">
        <f t="shared" si="364"/>
        <v>7.1387848305760545E-8</v>
      </c>
    </row>
    <row r="67" spans="1:159" x14ac:dyDescent="0.25">
      <c r="A67" s="83" t="s">
        <v>1091</v>
      </c>
      <c r="B67" s="42">
        <v>2.0000000000000001E-4</v>
      </c>
      <c r="C67" s="60">
        <f t="shared" ref="C67:M67" si="371">IFERROR(C5/$B53,0)</f>
        <v>0</v>
      </c>
      <c r="D67" s="60">
        <f t="shared" si="371"/>
        <v>0</v>
      </c>
      <c r="E67" s="60">
        <f t="shared" si="371"/>
        <v>0</v>
      </c>
      <c r="F67" s="60">
        <f t="shared" si="371"/>
        <v>0</v>
      </c>
      <c r="G67" s="60">
        <f t="shared" si="371"/>
        <v>0</v>
      </c>
      <c r="H67" s="60">
        <f t="shared" si="371"/>
        <v>0</v>
      </c>
      <c r="I67" s="60">
        <f t="shared" si="371"/>
        <v>0</v>
      </c>
      <c r="J67" s="60">
        <f t="shared" si="371"/>
        <v>0</v>
      </c>
      <c r="K67" s="60">
        <f t="shared" si="371"/>
        <v>0</v>
      </c>
      <c r="L67" s="60">
        <f t="shared" si="371"/>
        <v>0</v>
      </c>
      <c r="M67" s="60">
        <f t="shared" si="371"/>
        <v>0</v>
      </c>
      <c r="N67" s="71">
        <f>s_dir!BA67</f>
        <v>0</v>
      </c>
      <c r="O67" s="71">
        <f>IFERROR(s_RadSpec!$E$5*O5,".")*$B$67</f>
        <v>0</v>
      </c>
      <c r="P67" s="71">
        <f>IFERROR(s_RadSpec!$E$5*P5,".")*$B$67</f>
        <v>0</v>
      </c>
      <c r="Q67" s="71">
        <f>IFERROR(s_RadSpec!$E$5*Q5,".")*$B$67</f>
        <v>0</v>
      </c>
      <c r="R67" s="71">
        <f>IFERROR(s_RadSpec!$E$5*R5,".")*$B$67</f>
        <v>0</v>
      </c>
      <c r="S67" s="71">
        <f>IFERROR(s_RadSpec!$E$5*S5,".")*$B$67</f>
        <v>0</v>
      </c>
      <c r="T67" s="71">
        <f>IFERROR(s_RadSpec!$E$5*T5,".")*$B$67</f>
        <v>0</v>
      </c>
      <c r="U67" s="71">
        <f>IFERROR(s_RadSpec!$E$5*U5,".")*$B$67</f>
        <v>0</v>
      </c>
      <c r="V67" s="71">
        <f>IFERROR(s_RadSpec!$E$5*V5,".")*$B$67</f>
        <v>0</v>
      </c>
      <c r="W67" s="71">
        <f>IFERROR(s_RadSpec!$E$5*W5,".")*$B$67</f>
        <v>0</v>
      </c>
      <c r="X67" s="71">
        <f>IFERROR(s_RadSpec!$E$5*X5,".")*$B$67</f>
        <v>0</v>
      </c>
      <c r="Y67" s="49">
        <f t="shared" si="320"/>
        <v>0</v>
      </c>
      <c r="Z67" s="49">
        <f t="shared" si="321"/>
        <v>0</v>
      </c>
      <c r="AA67" s="49">
        <f t="shared" si="322"/>
        <v>0</v>
      </c>
      <c r="AB67" s="49">
        <f t="shared" si="323"/>
        <v>0</v>
      </c>
      <c r="AC67" s="49">
        <f t="shared" si="324"/>
        <v>0</v>
      </c>
      <c r="AD67" s="49">
        <f t="shared" si="325"/>
        <v>0</v>
      </c>
      <c r="AE67" s="49">
        <f t="shared" si="326"/>
        <v>0</v>
      </c>
      <c r="AF67" s="49">
        <f t="shared" si="327"/>
        <v>0</v>
      </c>
      <c r="AG67" s="49">
        <f t="shared" si="328"/>
        <v>0</v>
      </c>
      <c r="AH67" s="49">
        <f t="shared" si="329"/>
        <v>0</v>
      </c>
      <c r="AI67" s="49">
        <f t="shared" si="330"/>
        <v>0</v>
      </c>
      <c r="AJ67" s="60">
        <f t="shared" ref="AJ67:AW67" si="372">IFERROR(AJ5/$B53,0)</f>
        <v>0</v>
      </c>
      <c r="AK67" s="60">
        <f t="shared" si="372"/>
        <v>0</v>
      </c>
      <c r="AL67" s="60">
        <f t="shared" si="372"/>
        <v>0</v>
      </c>
      <c r="AM67" s="60">
        <f t="shared" si="372"/>
        <v>0</v>
      </c>
      <c r="AN67" s="60">
        <f>IFERROR(AN5/$B53,0)</f>
        <v>0</v>
      </c>
      <c r="AO67" s="60">
        <f>IFERROR(AO5/$B53,0)</f>
        <v>0</v>
      </c>
      <c r="AP67" s="60">
        <f>IFERROR(AP5/$B53,0)</f>
        <v>0</v>
      </c>
      <c r="AQ67" s="60">
        <f>IFERROR(AQ5/$B53,0)</f>
        <v>0</v>
      </c>
      <c r="AR67" s="60">
        <f t="shared" si="372"/>
        <v>0</v>
      </c>
      <c r="AS67" s="60">
        <f t="shared" si="372"/>
        <v>0</v>
      </c>
      <c r="AT67" s="60">
        <f t="shared" si="372"/>
        <v>0</v>
      </c>
      <c r="AU67" s="60">
        <f>IFERROR(AU5/$B53,0)</f>
        <v>0</v>
      </c>
      <c r="AV67" s="60">
        <f t="shared" si="372"/>
        <v>0</v>
      </c>
      <c r="AW67" s="60">
        <f t="shared" si="372"/>
        <v>0</v>
      </c>
      <c r="AX67" s="42"/>
      <c r="AY67" s="42"/>
      <c r="AZ67" s="42"/>
      <c r="BA67" s="42"/>
      <c r="BB67" s="42"/>
      <c r="BC67" s="42"/>
      <c r="BD67" s="42"/>
      <c r="BE67" s="42"/>
      <c r="BF67" s="42"/>
      <c r="BG67" s="42"/>
      <c r="BH67" s="42"/>
      <c r="BI67" s="42"/>
      <c r="BJ67" s="42"/>
      <c r="BK67" s="42"/>
      <c r="BL67" s="60">
        <f>IFERROR(BL5/$B53,0)</f>
        <v>0</v>
      </c>
      <c r="BM67" s="71">
        <f>IFERROR(s_RadSpec!$D$5*BM5,".")*$B$67</f>
        <v>0</v>
      </c>
      <c r="BN67" s="71">
        <f>IFERROR(s_RadSpec!$G$5*BN5,".")*$B$67</f>
        <v>0</v>
      </c>
      <c r="BO67" s="71">
        <f>IFERROR(s_RadSpec!$F$5*BO5,".")*$B$67</f>
        <v>0</v>
      </c>
      <c r="BP67" s="71">
        <f>s_b2s!BZ67</f>
        <v>0</v>
      </c>
      <c r="BQ67" s="71">
        <f>IFERROR(s_RadSpec!$E$5*BQ5,".")*$B$67</f>
        <v>0</v>
      </c>
      <c r="BR67" s="71">
        <f>IFERROR(s_RadSpec!$E$5*BR5,".")*$B$67</f>
        <v>0</v>
      </c>
      <c r="BS67" s="71">
        <f>IFERROR(s_RadSpec!$E$5*BS5,".")*$B$67</f>
        <v>0</v>
      </c>
      <c r="BT67" s="71">
        <f>IFERROR(s_RadSpec!$E$5*BT5,".")*$B$67</f>
        <v>0</v>
      </c>
      <c r="BU67" s="71">
        <f>IFERROR(s_RadSpec!$E$5*BU5,".")*$B$67</f>
        <v>0</v>
      </c>
      <c r="BV67" s="71">
        <f>IFERROR(s_RadSpec!$E$5*BV5,".")*$B$67</f>
        <v>0</v>
      </c>
      <c r="BW67" s="71">
        <f>IFERROR(s_RadSpec!$E$5*BW5,".")*$B$67</f>
        <v>0</v>
      </c>
      <c r="BX67" s="71">
        <f>IFERROR(s_RadSpec!$E$5*BX5,".")*$B$67</f>
        <v>0</v>
      </c>
      <c r="BY67" s="71">
        <f>IFERROR(s_RadSpec!$E$5*BY5,".")*$B$67</f>
        <v>0</v>
      </c>
      <c r="BZ67" s="71">
        <f>IFERROR(s_RadSpec!$E$5*BZ5,".")*$B$67</f>
        <v>0</v>
      </c>
      <c r="CA67" s="49">
        <f t="shared" si="332"/>
        <v>0</v>
      </c>
      <c r="CB67" s="49">
        <f t="shared" si="333"/>
        <v>0</v>
      </c>
      <c r="CC67" s="49">
        <f t="shared" si="334"/>
        <v>0</v>
      </c>
      <c r="CD67" s="49">
        <f t="shared" si="335"/>
        <v>0</v>
      </c>
      <c r="CE67" s="49">
        <f t="shared" si="336"/>
        <v>0</v>
      </c>
      <c r="CF67" s="49">
        <f t="shared" si="337"/>
        <v>0</v>
      </c>
      <c r="CG67" s="49">
        <f t="shared" si="338"/>
        <v>0</v>
      </c>
      <c r="CH67" s="49">
        <f t="shared" si="339"/>
        <v>0</v>
      </c>
      <c r="CI67" s="49">
        <f t="shared" si="340"/>
        <v>0</v>
      </c>
      <c r="CJ67" s="49">
        <f t="shared" si="341"/>
        <v>0</v>
      </c>
      <c r="CK67" s="49">
        <f t="shared" si="342"/>
        <v>0</v>
      </c>
      <c r="CL67" s="49">
        <f t="shared" si="343"/>
        <v>0</v>
      </c>
      <c r="CM67" s="49">
        <f t="shared" si="344"/>
        <v>0</v>
      </c>
      <c r="CN67" s="49">
        <f t="shared" si="345"/>
        <v>0</v>
      </c>
      <c r="CO67" s="49">
        <f t="shared" si="346"/>
        <v>0</v>
      </c>
      <c r="CP67" s="60">
        <f t="shared" ref="CP67:DC67" si="373">IFERROR(CP5/$B53,0)</f>
        <v>0</v>
      </c>
      <c r="CQ67" s="60">
        <f t="shared" si="373"/>
        <v>0</v>
      </c>
      <c r="CR67" s="60">
        <f t="shared" si="373"/>
        <v>2136209823084510</v>
      </c>
      <c r="CS67" s="60">
        <f t="shared" si="373"/>
        <v>0</v>
      </c>
      <c r="CT67" s="60">
        <f>IFERROR(CT5/$B53,0)</f>
        <v>0</v>
      </c>
      <c r="CU67" s="60">
        <f>IFERROR(CU5/$B53,0)</f>
        <v>0</v>
      </c>
      <c r="CV67" s="60">
        <f>IFERROR(CV5/$B53,0)</f>
        <v>0</v>
      </c>
      <c r="CW67" s="60">
        <f>IFERROR(CW5/$B53,0)</f>
        <v>0</v>
      </c>
      <c r="CX67" s="60">
        <f t="shared" si="373"/>
        <v>0</v>
      </c>
      <c r="CY67" s="60">
        <f t="shared" si="373"/>
        <v>0</v>
      </c>
      <c r="CZ67" s="60">
        <f t="shared" si="373"/>
        <v>0</v>
      </c>
      <c r="DA67" s="60">
        <f>IFERROR(DA5/$B53,0)</f>
        <v>0</v>
      </c>
      <c r="DB67" s="60">
        <f t="shared" si="373"/>
        <v>0</v>
      </c>
      <c r="DC67" s="60">
        <f t="shared" si="373"/>
        <v>0</v>
      </c>
      <c r="DD67" s="15"/>
      <c r="DE67" s="15"/>
      <c r="DF67" s="15"/>
      <c r="DG67" s="15"/>
      <c r="DH67" s="15"/>
      <c r="DI67" s="15"/>
      <c r="DJ67" s="15"/>
      <c r="DK67" s="15"/>
      <c r="DL67" s="15"/>
      <c r="DM67" s="15"/>
      <c r="DN67" s="15"/>
      <c r="DO67" s="15"/>
      <c r="DP67" s="15"/>
      <c r="DQ67" s="15"/>
      <c r="DR67" s="60">
        <f>IFERROR(DR5/$B53,0)</f>
        <v>2136209823084510</v>
      </c>
      <c r="DS67" s="71">
        <f>IFERROR(s_RadSpec!$H$5*DS5,".")*$B$67</f>
        <v>0</v>
      </c>
      <c r="DT67" s="71">
        <f>IFERROR(s_RadSpec!$G$5*DT5,".")*$B$67</f>
        <v>0</v>
      </c>
      <c r="DU67" s="71">
        <f>IFERROR(s_RadSpec!$L$5*DU5,".")*$B$67</f>
        <v>2.3405940493150688E-21</v>
      </c>
      <c r="DV67" s="71">
        <f>s_b2w!BZ67</f>
        <v>0</v>
      </c>
      <c r="DW67" s="71">
        <f>IFERROR(s_RadSpec!$E$5*DW5,".")*$B$67</f>
        <v>0</v>
      </c>
      <c r="DX67" s="71">
        <f>IFERROR(s_RadSpec!$E$5*DX5,".")*$B$67</f>
        <v>0</v>
      </c>
      <c r="DY67" s="71">
        <f>IFERROR(s_RadSpec!$E$5*DY5,".")*$B$67</f>
        <v>0</v>
      </c>
      <c r="DZ67" s="71">
        <f>IFERROR(s_RadSpec!$E$5*DZ5,".")*$B$67</f>
        <v>0</v>
      </c>
      <c r="EA67" s="71">
        <f>IFERROR(s_RadSpec!$E$5*EA5,".")*$B$67</f>
        <v>0</v>
      </c>
      <c r="EB67" s="71">
        <f>IFERROR(s_RadSpec!$E$5*EB5,".")*$B$67</f>
        <v>0</v>
      </c>
      <c r="EC67" s="71">
        <f>IFERROR(s_RadSpec!$E$5*EC5,".")*$B$67</f>
        <v>0</v>
      </c>
      <c r="ED67" s="71">
        <f>IFERROR(s_RadSpec!$E$5*ED5,".")*$B$67</f>
        <v>0</v>
      </c>
      <c r="EE67" s="71">
        <f>IFERROR(s_RadSpec!$E$5*EE5,".")*$B$67</f>
        <v>0</v>
      </c>
      <c r="EF67" s="71">
        <f>IFERROR(s_RadSpec!$E$5*EF5,".")*$B$67</f>
        <v>0</v>
      </c>
      <c r="EG67" s="49">
        <f t="shared" si="348"/>
        <v>0</v>
      </c>
      <c r="EH67" s="49">
        <f t="shared" si="349"/>
        <v>0</v>
      </c>
      <c r="EI67" s="49">
        <f t="shared" si="350"/>
        <v>2.3405940493150688E-21</v>
      </c>
      <c r="EJ67" s="49">
        <f t="shared" si="351"/>
        <v>0</v>
      </c>
      <c r="EK67" s="49">
        <f t="shared" si="352"/>
        <v>0</v>
      </c>
      <c r="EL67" s="49">
        <f t="shared" si="353"/>
        <v>0</v>
      </c>
      <c r="EM67" s="49">
        <f t="shared" si="354"/>
        <v>0</v>
      </c>
      <c r="EN67" s="49">
        <f t="shared" si="355"/>
        <v>0</v>
      </c>
      <c r="EO67" s="49">
        <f t="shared" si="356"/>
        <v>0</v>
      </c>
      <c r="EP67" s="49">
        <f t="shared" si="357"/>
        <v>0</v>
      </c>
      <c r="EQ67" s="49">
        <f t="shared" si="358"/>
        <v>0</v>
      </c>
      <c r="ER67" s="49">
        <f t="shared" si="359"/>
        <v>0</v>
      </c>
      <c r="ES67" s="49">
        <f t="shared" si="360"/>
        <v>0</v>
      </c>
      <c r="ET67" s="49">
        <f t="shared" si="361"/>
        <v>0</v>
      </c>
      <c r="EU67" s="49">
        <f t="shared" si="362"/>
        <v>2.3405940493150688E-21</v>
      </c>
      <c r="EV67" s="60">
        <f>IFERROR(EV5/$B53,0)</f>
        <v>0</v>
      </c>
      <c r="EW67" s="60">
        <f>IFERROR(EW5/$B53,0)</f>
        <v>1420903200506.2122</v>
      </c>
      <c r="EX67" s="60">
        <f>IFERROR(EX5/$B53,0)</f>
        <v>1420903200506.2122</v>
      </c>
      <c r="EY67" s="71">
        <f>IFERROR(s_RadSpec!$G$5*EY5,".")*$B$67</f>
        <v>0</v>
      </c>
      <c r="EZ67" s="71">
        <f>IFERROR(s_RadSpec!$J$5*EZ5,".")*$B$67</f>
        <v>3.5188885479452048E-18</v>
      </c>
      <c r="FA67" s="49">
        <f t="shared" si="363"/>
        <v>0</v>
      </c>
      <c r="FB67" s="49">
        <f t="shared" si="363"/>
        <v>3.5188885479452048E-18</v>
      </c>
      <c r="FC67" s="49">
        <f t="shared" si="364"/>
        <v>3.5188885479452048E-18</v>
      </c>
    </row>
    <row r="68" spans="1:159" x14ac:dyDescent="0.25">
      <c r="A68" s="83" t="s">
        <v>1092</v>
      </c>
      <c r="B68" s="42">
        <v>0.99999979999999999</v>
      </c>
      <c r="C68" s="60">
        <f t="shared" ref="C68:M68" si="374">IFERROR(C9/$B54,0)</f>
        <v>342.6782354815964</v>
      </c>
      <c r="D68" s="60">
        <f t="shared" si="374"/>
        <v>1370.7129419263856</v>
      </c>
      <c r="E68" s="60">
        <f t="shared" si="374"/>
        <v>1370.7129419263856</v>
      </c>
      <c r="F68" s="60">
        <f t="shared" si="374"/>
        <v>1370.7129419263856</v>
      </c>
      <c r="G68" s="60">
        <f t="shared" si="374"/>
        <v>1370.7129419263856</v>
      </c>
      <c r="H68" s="60">
        <f t="shared" si="374"/>
        <v>1370.7129419263856</v>
      </c>
      <c r="I68" s="60">
        <f t="shared" si="374"/>
        <v>1370.7129419263856</v>
      </c>
      <c r="J68" s="60">
        <f t="shared" si="374"/>
        <v>1370.7129419263856</v>
      </c>
      <c r="K68" s="60">
        <f t="shared" si="374"/>
        <v>1370.7129419263856</v>
      </c>
      <c r="L68" s="60">
        <f t="shared" si="374"/>
        <v>1370.7129419263856</v>
      </c>
      <c r="M68" s="60">
        <f t="shared" si="374"/>
        <v>1370.7129419263856</v>
      </c>
      <c r="N68" s="71">
        <f>s_dir!BA68</f>
        <v>1.4590952918190586E-8</v>
      </c>
      <c r="O68" s="71">
        <f>IFERROR(s_RadSpec!$E$9*O9,".")*$B$68</f>
        <v>3.6477367704525004E-9</v>
      </c>
      <c r="P68" s="71">
        <f>IFERROR(s_RadSpec!$E$9*P9,".")*$B$68</f>
        <v>3.6477367704525004E-9</v>
      </c>
      <c r="Q68" s="71">
        <f>IFERROR(s_RadSpec!$E$9*Q9,".")*$B$68</f>
        <v>3.6477367704525004E-9</v>
      </c>
      <c r="R68" s="71">
        <f>IFERROR(s_RadSpec!$E$9*R9,".")*$B$68</f>
        <v>3.6477367704525004E-9</v>
      </c>
      <c r="S68" s="71">
        <f>IFERROR(s_RadSpec!$E$9*S9,".")*$B$68</f>
        <v>3.6477367704525004E-9</v>
      </c>
      <c r="T68" s="71">
        <f>IFERROR(s_RadSpec!$E$9*T9,".")*$B$68</f>
        <v>3.6477367704525004E-9</v>
      </c>
      <c r="U68" s="71">
        <f>IFERROR(s_RadSpec!$E$9*U9,".")*$B$68</f>
        <v>3.6477367704525004E-9</v>
      </c>
      <c r="V68" s="71">
        <f>IFERROR(s_RadSpec!$E$9*V9,".")*$B$68</f>
        <v>3.6477367704525004E-9</v>
      </c>
      <c r="W68" s="71">
        <f>IFERROR(s_RadSpec!$E$9*W9,".")*$B$68</f>
        <v>3.6477367704525004E-9</v>
      </c>
      <c r="X68" s="71">
        <f>IFERROR(s_RadSpec!$E$9*X9,".")*$B$68</f>
        <v>3.6477367704525004E-9</v>
      </c>
      <c r="Y68" s="49">
        <f t="shared" si="320"/>
        <v>1.4590952918190586E-8</v>
      </c>
      <c r="Z68" s="49">
        <f t="shared" si="321"/>
        <v>3.6477367704525004E-9</v>
      </c>
      <c r="AA68" s="49">
        <f t="shared" si="322"/>
        <v>3.6477367704525004E-9</v>
      </c>
      <c r="AB68" s="49">
        <f t="shared" si="323"/>
        <v>3.6477367704525004E-9</v>
      </c>
      <c r="AC68" s="49">
        <f t="shared" si="324"/>
        <v>3.6477367704525004E-9</v>
      </c>
      <c r="AD68" s="49">
        <f t="shared" si="325"/>
        <v>3.6477367704525004E-9</v>
      </c>
      <c r="AE68" s="49">
        <f t="shared" si="326"/>
        <v>3.6477367704525004E-9</v>
      </c>
      <c r="AF68" s="49">
        <f t="shared" si="327"/>
        <v>3.6477367704525004E-9</v>
      </c>
      <c r="AG68" s="49">
        <f t="shared" si="328"/>
        <v>3.6477367704525004E-9</v>
      </c>
      <c r="AH68" s="49">
        <f t="shared" si="329"/>
        <v>3.6477367704525004E-9</v>
      </c>
      <c r="AI68" s="49">
        <f t="shared" si="330"/>
        <v>3.6477367704525004E-9</v>
      </c>
      <c r="AJ68" s="60">
        <f t="shared" ref="AJ68:AW68" si="375">IFERROR(AJ9/$B54,0)</f>
        <v>450826.22906477912</v>
      </c>
      <c r="AK68" s="60">
        <f t="shared" si="375"/>
        <v>27499932.384989772</v>
      </c>
      <c r="AL68" s="60">
        <f t="shared" si="375"/>
        <v>8.1134390913723919</v>
      </c>
      <c r="AM68" s="60">
        <f t="shared" si="375"/>
        <v>3019.1915020404972</v>
      </c>
      <c r="AN68" s="60">
        <f>IFERROR(AN9/$B54,0)</f>
        <v>43862.81414164434</v>
      </c>
      <c r="AO68" s="60">
        <f>IFERROR(AO9/$B54,0)</f>
        <v>4569.043139754619</v>
      </c>
      <c r="AP68" s="60">
        <f>IFERROR(AP9/$B54,0)</f>
        <v>9412.2288678945151</v>
      </c>
      <c r="AQ68" s="60">
        <f>IFERROR(AQ9/$B54,0)</f>
        <v>0</v>
      </c>
      <c r="AR68" s="60">
        <f t="shared" si="375"/>
        <v>0</v>
      </c>
      <c r="AS68" s="60">
        <f t="shared" si="375"/>
        <v>0</v>
      </c>
      <c r="AT68" s="60">
        <f t="shared" si="375"/>
        <v>0</v>
      </c>
      <c r="AU68" s="60">
        <f>IFERROR(AU9/$B54,0)</f>
        <v>0</v>
      </c>
      <c r="AV68" s="60">
        <f t="shared" si="375"/>
        <v>0</v>
      </c>
      <c r="AW68" s="60">
        <f t="shared" si="375"/>
        <v>0</v>
      </c>
      <c r="AX68" s="42"/>
      <c r="AY68" s="42"/>
      <c r="AZ68" s="42"/>
      <c r="BA68" s="42"/>
      <c r="BB68" s="42"/>
      <c r="BC68" s="42"/>
      <c r="BD68" s="42"/>
      <c r="BE68" s="42"/>
      <c r="BF68" s="42"/>
      <c r="BG68" s="42"/>
      <c r="BH68" s="42"/>
      <c r="BI68" s="42"/>
      <c r="BJ68" s="42"/>
      <c r="BK68" s="42"/>
      <c r="BL68" s="60">
        <f>IFERROR(BL9/$B54,0)</f>
        <v>8.0688321233408136</v>
      </c>
      <c r="BM68" s="71">
        <f>IFERROR(s_RadSpec!$D$9*BM9,".")*$B$68</f>
        <v>1.1090747781850001E-11</v>
      </c>
      <c r="BN68" s="71">
        <f>IFERROR(s_RadSpec!$G$9*BN9,".")*$B$68</f>
        <v>1.8181862886067087E-13</v>
      </c>
      <c r="BO68" s="71">
        <f>IFERROR(s_RadSpec!$F$9*BO9,".")*$B$68</f>
        <v>6.1626148217675806E-7</v>
      </c>
      <c r="BP68" s="71">
        <f>s_b2s!BZ68</f>
        <v>1.6560731562146313E-9</v>
      </c>
      <c r="BQ68" s="71">
        <f>IFERROR(s_RadSpec!$E$9*BQ9,".")*$B$68</f>
        <v>1.1399177407664064E-10</v>
      </c>
      <c r="BR68" s="71">
        <f>IFERROR(s_RadSpec!$E$9*BR9,".")*$B$68</f>
        <v>1.0943210311357502E-9</v>
      </c>
      <c r="BS68" s="71">
        <f>IFERROR(s_RadSpec!$E$9*BS9,".")*$B$68</f>
        <v>5.312238015222087E-10</v>
      </c>
      <c r="BT68" s="71">
        <f>IFERROR(s_RadSpec!$E$9*BT9,".")*$B$68</f>
        <v>0</v>
      </c>
      <c r="BU68" s="71">
        <f>IFERROR(s_RadSpec!$E$9*BU9,".")*$B$68</f>
        <v>0</v>
      </c>
      <c r="BV68" s="71">
        <f>IFERROR(s_RadSpec!$E$9*BV9,".")*$B$68</f>
        <v>0</v>
      </c>
      <c r="BW68" s="71">
        <f>IFERROR(s_RadSpec!$E$9*BW9,".")*$B$68</f>
        <v>0</v>
      </c>
      <c r="BX68" s="71">
        <f>IFERROR(s_RadSpec!$E$9*BX9,".")*$B$68</f>
        <v>0</v>
      </c>
      <c r="BY68" s="71">
        <f>IFERROR(s_RadSpec!$E$9*BY9,".")*$B$68</f>
        <v>0</v>
      </c>
      <c r="BZ68" s="71">
        <f>IFERROR(s_RadSpec!$E$9*BZ9,".")*$B$68</f>
        <v>0</v>
      </c>
      <c r="CA68" s="49">
        <f t="shared" si="332"/>
        <v>1.1090747781850001E-11</v>
      </c>
      <c r="CB68" s="49">
        <f t="shared" si="333"/>
        <v>1.8181862886067087E-13</v>
      </c>
      <c r="CC68" s="49">
        <f t="shared" si="334"/>
        <v>6.1626148217675806E-7</v>
      </c>
      <c r="CD68" s="49">
        <f t="shared" si="335"/>
        <v>1.6560731562146313E-9</v>
      </c>
      <c r="CE68" s="49">
        <f t="shared" si="336"/>
        <v>1.1399177407664064E-10</v>
      </c>
      <c r="CF68" s="49">
        <f t="shared" si="337"/>
        <v>1.0943210311357502E-9</v>
      </c>
      <c r="CG68" s="49">
        <f t="shared" si="338"/>
        <v>5.312238015222087E-10</v>
      </c>
      <c r="CH68" s="49">
        <f t="shared" si="339"/>
        <v>0</v>
      </c>
      <c r="CI68" s="49">
        <f t="shared" si="340"/>
        <v>0</v>
      </c>
      <c r="CJ68" s="49">
        <f t="shared" si="341"/>
        <v>0</v>
      </c>
      <c r="CK68" s="49">
        <f t="shared" si="342"/>
        <v>0</v>
      </c>
      <c r="CL68" s="49">
        <f t="shared" si="343"/>
        <v>0</v>
      </c>
      <c r="CM68" s="49">
        <f t="shared" si="344"/>
        <v>0</v>
      </c>
      <c r="CN68" s="49">
        <f t="shared" si="345"/>
        <v>0</v>
      </c>
      <c r="CO68" s="49">
        <f t="shared" si="346"/>
        <v>6.1966836450611805E-7</v>
      </c>
      <c r="CP68" s="60">
        <f t="shared" ref="CP68:DC68" si="376">IFERROR(CP9/$B54,0)</f>
        <v>10415.041399781701</v>
      </c>
      <c r="CQ68" s="60">
        <f t="shared" si="376"/>
        <v>0</v>
      </c>
      <c r="CR68" s="60">
        <f t="shared" si="376"/>
        <v>1512574.6772473548</v>
      </c>
      <c r="CS68" s="60">
        <f t="shared" si="376"/>
        <v>10855.625603609864</v>
      </c>
      <c r="CT68" s="60">
        <f>IFERROR(CT9/$B54,0)</f>
        <v>91380.862795092384</v>
      </c>
      <c r="CU68" s="60">
        <f>IFERROR(CU9/$B54,0)</f>
        <v>137071294.19263855</v>
      </c>
      <c r="CV68" s="60">
        <f>IFERROR(CV9/$B54,0)</f>
        <v>282366866.03683549</v>
      </c>
      <c r="CW68" s="60">
        <f>IFERROR(CW9/$B54,0)</f>
        <v>0</v>
      </c>
      <c r="CX68" s="60">
        <f t="shared" si="376"/>
        <v>0</v>
      </c>
      <c r="CY68" s="60">
        <f t="shared" si="376"/>
        <v>0</v>
      </c>
      <c r="CZ68" s="60">
        <f t="shared" si="376"/>
        <v>0</v>
      </c>
      <c r="DA68" s="60">
        <f>IFERROR(DA9/$B54,0)</f>
        <v>0</v>
      </c>
      <c r="DB68" s="60">
        <f t="shared" si="376"/>
        <v>0</v>
      </c>
      <c r="DC68" s="60">
        <f t="shared" si="376"/>
        <v>0</v>
      </c>
      <c r="DD68" s="15"/>
      <c r="DE68" s="15"/>
      <c r="DF68" s="15"/>
      <c r="DG68" s="15"/>
      <c r="DH68" s="15"/>
      <c r="DI68" s="15"/>
      <c r="DJ68" s="15"/>
      <c r="DK68" s="15"/>
      <c r="DL68" s="15"/>
      <c r="DM68" s="15"/>
      <c r="DN68" s="15"/>
      <c r="DO68" s="15"/>
      <c r="DP68" s="15"/>
      <c r="DQ68" s="15"/>
      <c r="DR68" s="60">
        <f>IFERROR(DR9/$B54,0)</f>
        <v>5006.3007085137997</v>
      </c>
      <c r="DS68" s="71">
        <f>IFERROR(s_RadSpec!$H$9*DS9,".")*$B$68</f>
        <v>4.8007490398499997E-10</v>
      </c>
      <c r="DT68" s="71">
        <f>IFERROR(s_RadSpec!$G$9*DT9,".")*$B$68</f>
        <v>2.8164056867187495E-8</v>
      </c>
      <c r="DU68" s="71">
        <f>IFERROR(s_RadSpec!$L$9*DU9,".")*$B$68</f>
        <v>3.3056219142179504E-12</v>
      </c>
      <c r="DV68" s="71">
        <f>s_b2w!BZ68</f>
        <v>4.6059086620838596E-10</v>
      </c>
      <c r="DW68" s="71">
        <f>IFERROR(s_RadSpec!$E$9*DW9,".")*$B$68</f>
        <v>5.4716051556787505E-11</v>
      </c>
      <c r="DX68" s="71">
        <f>IFERROR(s_RadSpec!$E$9*DX9,".")*$B$68</f>
        <v>3.6477367704525004E-14</v>
      </c>
      <c r="DY68" s="71">
        <f>IFERROR(s_RadSpec!$E$9*DY9,".")*$B$68</f>
        <v>1.7707460050740295E-14</v>
      </c>
      <c r="DZ68" s="71">
        <f>IFERROR(s_RadSpec!$E$9*DZ9,".")*$B$68</f>
        <v>0</v>
      </c>
      <c r="EA68" s="71">
        <f>IFERROR(s_RadSpec!$E$9*EA9,".")*$B$68</f>
        <v>0</v>
      </c>
      <c r="EB68" s="71">
        <f>IFERROR(s_RadSpec!$E$9*EB9,".")*$B$68</f>
        <v>0</v>
      </c>
      <c r="EC68" s="71">
        <f>IFERROR(s_RadSpec!$E$9*EC9,".")*$B$68</f>
        <v>0</v>
      </c>
      <c r="ED68" s="71">
        <f>IFERROR(s_RadSpec!$E$9*ED9,".")*$B$68</f>
        <v>0</v>
      </c>
      <c r="EE68" s="71">
        <f>IFERROR(s_RadSpec!$E$9*EE9,".")*$B$68</f>
        <v>0</v>
      </c>
      <c r="EF68" s="71">
        <f>IFERROR(s_RadSpec!$E$9*EF9,".")*$B$68</f>
        <v>0</v>
      </c>
      <c r="EG68" s="49">
        <f t="shared" si="348"/>
        <v>4.8007490398499997E-10</v>
      </c>
      <c r="EH68" s="49">
        <f t="shared" si="349"/>
        <v>2.8164056867187495E-8</v>
      </c>
      <c r="EI68" s="49">
        <f t="shared" si="350"/>
        <v>3.3056219142179504E-12</v>
      </c>
      <c r="EJ68" s="49">
        <f t="shared" si="351"/>
        <v>4.6059086620838596E-10</v>
      </c>
      <c r="EK68" s="49">
        <f t="shared" si="352"/>
        <v>5.4716051556787505E-11</v>
      </c>
      <c r="EL68" s="49">
        <f t="shared" si="353"/>
        <v>3.6477367704525004E-14</v>
      </c>
      <c r="EM68" s="49">
        <f t="shared" si="354"/>
        <v>1.7707460050740295E-14</v>
      </c>
      <c r="EN68" s="49">
        <f t="shared" si="355"/>
        <v>0</v>
      </c>
      <c r="EO68" s="49">
        <f t="shared" si="356"/>
        <v>0</v>
      </c>
      <c r="EP68" s="49">
        <f t="shared" si="357"/>
        <v>0</v>
      </c>
      <c r="EQ68" s="49">
        <f t="shared" si="358"/>
        <v>0</v>
      </c>
      <c r="ER68" s="49">
        <f t="shared" si="359"/>
        <v>0</v>
      </c>
      <c r="ES68" s="49">
        <f t="shared" si="360"/>
        <v>0</v>
      </c>
      <c r="ET68" s="49">
        <f t="shared" si="361"/>
        <v>0</v>
      </c>
      <c r="EU68" s="49">
        <f t="shared" si="362"/>
        <v>2.916279849567964E-8</v>
      </c>
      <c r="EV68" s="60">
        <f>IFERROR(EV9/$B54,0)</f>
        <v>88.76562108183434</v>
      </c>
      <c r="EW68" s="60">
        <f>IFERROR(EW9/$B54,0)</f>
        <v>1309.3142057847958</v>
      </c>
      <c r="EX68" s="60">
        <f>IFERROR(EX9/$B54,0)</f>
        <v>83.129794475493185</v>
      </c>
      <c r="EY68" s="71">
        <f>IFERROR(s_RadSpec!$G$9*EY9,".")*$B$68</f>
        <v>5.6328113734374991E-8</v>
      </c>
      <c r="EZ68" s="71">
        <f>IFERROR(s_RadSpec!$J$9*EZ9,".")*$B$68</f>
        <v>3.8187930581590436E-9</v>
      </c>
      <c r="FA68" s="49">
        <f t="shared" si="363"/>
        <v>5.6328113734374991E-8</v>
      </c>
      <c r="FB68" s="49">
        <f t="shared" si="363"/>
        <v>3.8187930581590436E-9</v>
      </c>
      <c r="FC68" s="49">
        <f t="shared" si="364"/>
        <v>6.0146906792534032E-8</v>
      </c>
    </row>
    <row r="69" spans="1:159" x14ac:dyDescent="0.25">
      <c r="A69" s="83" t="s">
        <v>1093</v>
      </c>
      <c r="B69" s="42">
        <v>1.9999999999999999E-7</v>
      </c>
      <c r="C69" s="60">
        <f t="shared" ref="C69:M69" si="377">IFERROR(C24/$B55,0)</f>
        <v>0</v>
      </c>
      <c r="D69" s="60">
        <f t="shared" si="377"/>
        <v>0</v>
      </c>
      <c r="E69" s="60">
        <f t="shared" si="377"/>
        <v>0</v>
      </c>
      <c r="F69" s="60">
        <f t="shared" si="377"/>
        <v>0</v>
      </c>
      <c r="G69" s="60">
        <f t="shared" si="377"/>
        <v>0</v>
      </c>
      <c r="H69" s="60">
        <f t="shared" si="377"/>
        <v>0</v>
      </c>
      <c r="I69" s="60">
        <f t="shared" si="377"/>
        <v>0</v>
      </c>
      <c r="J69" s="60">
        <f t="shared" si="377"/>
        <v>0</v>
      </c>
      <c r="K69" s="60">
        <f t="shared" si="377"/>
        <v>0</v>
      </c>
      <c r="L69" s="60">
        <f t="shared" si="377"/>
        <v>0</v>
      </c>
      <c r="M69" s="60">
        <f t="shared" si="377"/>
        <v>0</v>
      </c>
      <c r="N69" s="71">
        <f>s_dir!BA69</f>
        <v>0</v>
      </c>
      <c r="O69" s="71">
        <f>IFERROR(s_RadSpec!$E$24*O24,".")*$B$69</f>
        <v>0</v>
      </c>
      <c r="P69" s="71">
        <f>IFERROR(s_RadSpec!$E$24*P24,".")*$B$69</f>
        <v>0</v>
      </c>
      <c r="Q69" s="71">
        <f>IFERROR(s_RadSpec!$E$24*Q24,".")*$B$69</f>
        <v>0</v>
      </c>
      <c r="R69" s="71">
        <f>IFERROR(s_RadSpec!$E$24*R24,".")*$B$69</f>
        <v>0</v>
      </c>
      <c r="S69" s="71">
        <f>IFERROR(s_RadSpec!$E$24*S24,".")*$B$69</f>
        <v>0</v>
      </c>
      <c r="T69" s="71">
        <f>IFERROR(s_RadSpec!$E$24*T24,".")*$B$69</f>
        <v>0</v>
      </c>
      <c r="U69" s="71">
        <f>IFERROR(s_RadSpec!$E$24*U24,".")*$B$69</f>
        <v>0</v>
      </c>
      <c r="V69" s="71">
        <f>IFERROR(s_RadSpec!$E$24*V24,".")*$B$69</f>
        <v>0</v>
      </c>
      <c r="W69" s="71">
        <f>IFERROR(s_RadSpec!$E$24*W24,".")*$B$69</f>
        <v>0</v>
      </c>
      <c r="X69" s="71">
        <f>IFERROR(s_RadSpec!$E$24*X24,".")*$B$69</f>
        <v>0</v>
      </c>
      <c r="Y69" s="49">
        <f t="shared" si="320"/>
        <v>0</v>
      </c>
      <c r="Z69" s="49">
        <f t="shared" si="321"/>
        <v>0</v>
      </c>
      <c r="AA69" s="49">
        <f t="shared" si="322"/>
        <v>0</v>
      </c>
      <c r="AB69" s="49">
        <f t="shared" si="323"/>
        <v>0</v>
      </c>
      <c r="AC69" s="49">
        <f t="shared" si="324"/>
        <v>0</v>
      </c>
      <c r="AD69" s="49">
        <f t="shared" si="325"/>
        <v>0</v>
      </c>
      <c r="AE69" s="49">
        <f t="shared" si="326"/>
        <v>0</v>
      </c>
      <c r="AF69" s="49">
        <f t="shared" si="327"/>
        <v>0</v>
      </c>
      <c r="AG69" s="49">
        <f t="shared" si="328"/>
        <v>0</v>
      </c>
      <c r="AH69" s="49">
        <f t="shared" si="329"/>
        <v>0</v>
      </c>
      <c r="AI69" s="49">
        <f t="shared" si="330"/>
        <v>0</v>
      </c>
      <c r="AJ69" s="60">
        <f t="shared" ref="AJ69:AW69" si="378">IFERROR(AJ24/$B55,0)</f>
        <v>0</v>
      </c>
      <c r="AK69" s="60">
        <f t="shared" si="378"/>
        <v>0</v>
      </c>
      <c r="AL69" s="60">
        <f t="shared" si="378"/>
        <v>155278331962.27786</v>
      </c>
      <c r="AM69" s="60">
        <f t="shared" si="378"/>
        <v>0</v>
      </c>
      <c r="AN69" s="60">
        <f>IFERROR(AN24/$B55,0)</f>
        <v>0</v>
      </c>
      <c r="AO69" s="60">
        <f>IFERROR(AO24/$B55,0)</f>
        <v>0</v>
      </c>
      <c r="AP69" s="60">
        <f>IFERROR(AP24/$B55,0)</f>
        <v>0</v>
      </c>
      <c r="AQ69" s="60">
        <f>IFERROR(AQ24/$B55,0)</f>
        <v>0</v>
      </c>
      <c r="AR69" s="60">
        <f t="shared" si="378"/>
        <v>0</v>
      </c>
      <c r="AS69" s="60">
        <f t="shared" si="378"/>
        <v>0</v>
      </c>
      <c r="AT69" s="60">
        <f t="shared" si="378"/>
        <v>0</v>
      </c>
      <c r="AU69" s="60">
        <f>IFERROR(AU24/$B55,0)</f>
        <v>0</v>
      </c>
      <c r="AV69" s="60">
        <f t="shared" si="378"/>
        <v>0</v>
      </c>
      <c r="AW69" s="60">
        <f t="shared" si="378"/>
        <v>0</v>
      </c>
      <c r="AX69" s="42"/>
      <c r="AY69" s="42"/>
      <c r="AZ69" s="42"/>
      <c r="BA69" s="42"/>
      <c r="BB69" s="42"/>
      <c r="BC69" s="42"/>
      <c r="BD69" s="42"/>
      <c r="BE69" s="42"/>
      <c r="BF69" s="42"/>
      <c r="BG69" s="42"/>
      <c r="BH69" s="42"/>
      <c r="BI69" s="42"/>
      <c r="BJ69" s="42"/>
      <c r="BK69" s="42"/>
      <c r="BL69" s="60">
        <f>IFERROR(BL24/$B55,0)</f>
        <v>155278331962.27786</v>
      </c>
      <c r="BM69" s="71">
        <f>IFERROR(s_RadSpec!$D$24*BM24,".")*$B$69</f>
        <v>0</v>
      </c>
      <c r="BN69" s="71">
        <f>IFERROR(s_RadSpec!$G$24*BN24,".")*$B$69</f>
        <v>0</v>
      </c>
      <c r="BO69" s="71">
        <f>IFERROR(s_RadSpec!$F$24*BO24,".")*$B$69</f>
        <v>3.2200242859478051E-17</v>
      </c>
      <c r="BP69" s="71">
        <f>s_b2s!BZ69</f>
        <v>0</v>
      </c>
      <c r="BQ69" s="71">
        <f>IFERROR(s_RadSpec!$E$24*BQ24,".")*$B$69</f>
        <v>0</v>
      </c>
      <c r="BR69" s="71">
        <f>IFERROR(s_RadSpec!$E$24*BR24,".")*$B$69</f>
        <v>0</v>
      </c>
      <c r="BS69" s="71">
        <f>IFERROR(s_RadSpec!$E$24*BS24,".")*$B$69</f>
        <v>0</v>
      </c>
      <c r="BT69" s="71">
        <f>IFERROR(s_RadSpec!$E$24*BT24,".")*$B$69</f>
        <v>0</v>
      </c>
      <c r="BU69" s="71">
        <f>IFERROR(s_RadSpec!$E$24*BU24,".")*$B$69</f>
        <v>0</v>
      </c>
      <c r="BV69" s="71">
        <f>IFERROR(s_RadSpec!$E$24*BV24,".")*$B$69</f>
        <v>0</v>
      </c>
      <c r="BW69" s="71">
        <f>IFERROR(s_RadSpec!$E$24*BW24,".")*$B$69</f>
        <v>0</v>
      </c>
      <c r="BX69" s="71">
        <f>IFERROR(s_RadSpec!$E$24*BX24,".")*$B$69</f>
        <v>0</v>
      </c>
      <c r="BY69" s="71">
        <f>IFERROR(s_RadSpec!$E$24*BY24,".")*$B$69</f>
        <v>0</v>
      </c>
      <c r="BZ69" s="71">
        <f>IFERROR(s_RadSpec!$E$24*BZ24,".")*$B$69</f>
        <v>0</v>
      </c>
      <c r="CA69" s="49">
        <f t="shared" si="332"/>
        <v>0</v>
      </c>
      <c r="CB69" s="49">
        <f t="shared" si="333"/>
        <v>0</v>
      </c>
      <c r="CC69" s="49">
        <f t="shared" si="334"/>
        <v>3.2200242859478051E-17</v>
      </c>
      <c r="CD69" s="49">
        <f t="shared" si="335"/>
        <v>0</v>
      </c>
      <c r="CE69" s="49">
        <f t="shared" si="336"/>
        <v>0</v>
      </c>
      <c r="CF69" s="49">
        <f t="shared" si="337"/>
        <v>0</v>
      </c>
      <c r="CG69" s="49">
        <f t="shared" si="338"/>
        <v>0</v>
      </c>
      <c r="CH69" s="49">
        <f t="shared" si="339"/>
        <v>0</v>
      </c>
      <c r="CI69" s="49">
        <f t="shared" si="340"/>
        <v>0</v>
      </c>
      <c r="CJ69" s="49">
        <f t="shared" si="341"/>
        <v>0</v>
      </c>
      <c r="CK69" s="49">
        <f t="shared" si="342"/>
        <v>0</v>
      </c>
      <c r="CL69" s="49">
        <f t="shared" si="343"/>
        <v>0</v>
      </c>
      <c r="CM69" s="49">
        <f t="shared" si="344"/>
        <v>0</v>
      </c>
      <c r="CN69" s="49">
        <f t="shared" si="345"/>
        <v>0</v>
      </c>
      <c r="CO69" s="49">
        <f t="shared" si="346"/>
        <v>3.2200242859478051E-17</v>
      </c>
      <c r="CP69" s="60">
        <f t="shared" ref="CP69:DC69" si="379">IFERROR(CP24/$B55,0)</f>
        <v>0</v>
      </c>
      <c r="CQ69" s="60">
        <f t="shared" si="379"/>
        <v>0</v>
      </c>
      <c r="CR69" s="60">
        <f t="shared" si="379"/>
        <v>1.5814436970220912E+16</v>
      </c>
      <c r="CS69" s="60">
        <f t="shared" si="379"/>
        <v>0</v>
      </c>
      <c r="CT69" s="60">
        <f>IFERROR(CT24/$B55,0)</f>
        <v>0</v>
      </c>
      <c r="CU69" s="60">
        <f>IFERROR(CU24/$B55,0)</f>
        <v>0</v>
      </c>
      <c r="CV69" s="60">
        <f>IFERROR(CV24/$B55,0)</f>
        <v>0</v>
      </c>
      <c r="CW69" s="60">
        <f>IFERROR(CW24/$B55,0)</f>
        <v>0</v>
      </c>
      <c r="CX69" s="60">
        <f t="shared" si="379"/>
        <v>0</v>
      </c>
      <c r="CY69" s="60">
        <f t="shared" si="379"/>
        <v>0</v>
      </c>
      <c r="CZ69" s="60">
        <f t="shared" si="379"/>
        <v>0</v>
      </c>
      <c r="DA69" s="60">
        <f>IFERROR(DA24/$B55,0)</f>
        <v>0</v>
      </c>
      <c r="DB69" s="60">
        <f t="shared" si="379"/>
        <v>0</v>
      </c>
      <c r="DC69" s="60">
        <f t="shared" si="379"/>
        <v>0</v>
      </c>
      <c r="DD69" s="15"/>
      <c r="DE69" s="15"/>
      <c r="DF69" s="15"/>
      <c r="DG69" s="15"/>
      <c r="DH69" s="15"/>
      <c r="DI69" s="15"/>
      <c r="DJ69" s="15"/>
      <c r="DK69" s="15"/>
      <c r="DL69" s="15"/>
      <c r="DM69" s="15"/>
      <c r="DN69" s="15"/>
      <c r="DO69" s="15"/>
      <c r="DP69" s="15"/>
      <c r="DQ69" s="15"/>
      <c r="DR69" s="60">
        <f>IFERROR(DR24/$B55,0)</f>
        <v>1.5814436970220912E+16</v>
      </c>
      <c r="DS69" s="71">
        <f>IFERROR(s_RadSpec!$H$24*DS24,".")*$B$69</f>
        <v>0</v>
      </c>
      <c r="DT69" s="71">
        <f>IFERROR(s_RadSpec!$G$24*DT24,".")*$B$69</f>
        <v>0</v>
      </c>
      <c r="DU69" s="71">
        <f>IFERROR(s_RadSpec!$L$24*DU24,".")*$B$69</f>
        <v>3.1616680438356164E-22</v>
      </c>
      <c r="DV69" s="71">
        <f>s_b2w!BZ69</f>
        <v>0</v>
      </c>
      <c r="DW69" s="71">
        <f>IFERROR(s_RadSpec!$E$24*DW24,".")*$B$69</f>
        <v>0</v>
      </c>
      <c r="DX69" s="71">
        <f>IFERROR(s_RadSpec!$E$24*DX24,".")*$B$69</f>
        <v>0</v>
      </c>
      <c r="DY69" s="71">
        <f>IFERROR(s_RadSpec!$E$24*DY24,".")*$B$69</f>
        <v>0</v>
      </c>
      <c r="DZ69" s="71">
        <f>IFERROR(s_RadSpec!$E$24*DZ24,".")*$B$69</f>
        <v>0</v>
      </c>
      <c r="EA69" s="71">
        <f>IFERROR(s_RadSpec!$E$24*EA24,".")*$B$69</f>
        <v>0</v>
      </c>
      <c r="EB69" s="71">
        <f>IFERROR(s_RadSpec!$E$24*EB24,".")*$B$69</f>
        <v>0</v>
      </c>
      <c r="EC69" s="71">
        <f>IFERROR(s_RadSpec!$E$24*EC24,".")*$B$69</f>
        <v>0</v>
      </c>
      <c r="ED69" s="71">
        <f>IFERROR(s_RadSpec!$E$24*ED24,".")*$B$69</f>
        <v>0</v>
      </c>
      <c r="EE69" s="71">
        <f>IFERROR(s_RadSpec!$E$24*EE24,".")*$B$69</f>
        <v>0</v>
      </c>
      <c r="EF69" s="71">
        <f>IFERROR(s_RadSpec!$E$24*EF24,".")*$B$69</f>
        <v>0</v>
      </c>
      <c r="EG69" s="49">
        <f t="shared" si="348"/>
        <v>0</v>
      </c>
      <c r="EH69" s="49">
        <f t="shared" si="349"/>
        <v>0</v>
      </c>
      <c r="EI69" s="49">
        <f t="shared" si="350"/>
        <v>3.1616680438356164E-22</v>
      </c>
      <c r="EJ69" s="49">
        <f t="shared" si="351"/>
        <v>0</v>
      </c>
      <c r="EK69" s="49">
        <f t="shared" si="352"/>
        <v>0</v>
      </c>
      <c r="EL69" s="49">
        <f t="shared" si="353"/>
        <v>0</v>
      </c>
      <c r="EM69" s="49">
        <f t="shared" si="354"/>
        <v>0</v>
      </c>
      <c r="EN69" s="49">
        <f t="shared" si="355"/>
        <v>0</v>
      </c>
      <c r="EO69" s="49">
        <f t="shared" si="356"/>
        <v>0</v>
      </c>
      <c r="EP69" s="49">
        <f t="shared" si="357"/>
        <v>0</v>
      </c>
      <c r="EQ69" s="49">
        <f t="shared" si="358"/>
        <v>0</v>
      </c>
      <c r="ER69" s="49">
        <f t="shared" si="359"/>
        <v>0</v>
      </c>
      <c r="ES69" s="49">
        <f t="shared" si="360"/>
        <v>0</v>
      </c>
      <c r="ET69" s="49">
        <f t="shared" si="361"/>
        <v>0</v>
      </c>
      <c r="EU69" s="49">
        <f t="shared" si="362"/>
        <v>3.1616680438356164E-22</v>
      </c>
      <c r="EV69" s="60">
        <f>IFERROR(EV24/$B55,0)</f>
        <v>0</v>
      </c>
      <c r="EW69" s="60">
        <f>IFERROR(EW24/$B55,0)</f>
        <v>13740602378521.611</v>
      </c>
      <c r="EX69" s="60">
        <f>IFERROR(EX24/$B55,0)</f>
        <v>13740602378521.611</v>
      </c>
      <c r="EY69" s="71">
        <f>IFERROR(s_RadSpec!$G$24*EY24,".")*$B$69</f>
        <v>0</v>
      </c>
      <c r="EZ69" s="71">
        <f>IFERROR(s_RadSpec!$J$24*EZ24,".")*$B$69</f>
        <v>3.6388506575342455E-19</v>
      </c>
      <c r="FA69" s="49">
        <f t="shared" si="363"/>
        <v>0</v>
      </c>
      <c r="FB69" s="49">
        <f t="shared" si="363"/>
        <v>3.6388506575342455E-19</v>
      </c>
      <c r="FC69" s="49">
        <f t="shared" si="364"/>
        <v>3.6388506575342455E-19</v>
      </c>
    </row>
    <row r="70" spans="1:159" x14ac:dyDescent="0.25">
      <c r="A70" s="83" t="s">
        <v>1094</v>
      </c>
      <c r="B70" s="42">
        <v>0.99979000004200003</v>
      </c>
      <c r="C70" s="60">
        <f t="shared" ref="C70:M70" si="380">IFERROR(C20/$B56,0)</f>
        <v>0</v>
      </c>
      <c r="D70" s="60">
        <f t="shared" si="380"/>
        <v>0</v>
      </c>
      <c r="E70" s="60">
        <f t="shared" si="380"/>
        <v>0</v>
      </c>
      <c r="F70" s="60">
        <f t="shared" si="380"/>
        <v>0</v>
      </c>
      <c r="G70" s="60">
        <f t="shared" si="380"/>
        <v>0</v>
      </c>
      <c r="H70" s="60">
        <f t="shared" si="380"/>
        <v>0</v>
      </c>
      <c r="I70" s="60">
        <f t="shared" si="380"/>
        <v>0</v>
      </c>
      <c r="J70" s="60">
        <f t="shared" si="380"/>
        <v>0</v>
      </c>
      <c r="K70" s="60">
        <f t="shared" si="380"/>
        <v>0</v>
      </c>
      <c r="L70" s="60">
        <f t="shared" si="380"/>
        <v>0</v>
      </c>
      <c r="M70" s="60">
        <f t="shared" si="380"/>
        <v>0</v>
      </c>
      <c r="N70" s="71">
        <f>s_dir!BA70</f>
        <v>0</v>
      </c>
      <c r="O70" s="71">
        <f>IFERROR(s_RadSpec!$E$20*O20,".")*$B$70</f>
        <v>0</v>
      </c>
      <c r="P70" s="71">
        <f>IFERROR(s_RadSpec!$E$20*P20,".")*$B$70</f>
        <v>0</v>
      </c>
      <c r="Q70" s="71">
        <f>IFERROR(s_RadSpec!$E$20*Q20,".")*$B$70</f>
        <v>0</v>
      </c>
      <c r="R70" s="71">
        <f>IFERROR(s_RadSpec!$E$20*R20,".")*$B$70</f>
        <v>0</v>
      </c>
      <c r="S70" s="71">
        <f>IFERROR(s_RadSpec!$E$20*S20,".")*$B$70</f>
        <v>0</v>
      </c>
      <c r="T70" s="71">
        <f>IFERROR(s_RadSpec!$E$20*T20,".")*$B$70</f>
        <v>0</v>
      </c>
      <c r="U70" s="71">
        <f>IFERROR(s_RadSpec!$E$20*U20,".")*$B$70</f>
        <v>0</v>
      </c>
      <c r="V70" s="71">
        <f>IFERROR(s_RadSpec!$E$20*V20,".")*$B$70</f>
        <v>0</v>
      </c>
      <c r="W70" s="71">
        <f>IFERROR(s_RadSpec!$E$20*W20,".")*$B$70</f>
        <v>0</v>
      </c>
      <c r="X70" s="71">
        <f>IFERROR(s_RadSpec!$E$20*X20,".")*$B$70</f>
        <v>0</v>
      </c>
      <c r="Y70" s="49">
        <f t="shared" si="320"/>
        <v>0</v>
      </c>
      <c r="Z70" s="49">
        <f t="shared" si="321"/>
        <v>0</v>
      </c>
      <c r="AA70" s="49">
        <f t="shared" si="322"/>
        <v>0</v>
      </c>
      <c r="AB70" s="49">
        <f t="shared" si="323"/>
        <v>0</v>
      </c>
      <c r="AC70" s="49">
        <f t="shared" si="324"/>
        <v>0</v>
      </c>
      <c r="AD70" s="49">
        <f t="shared" si="325"/>
        <v>0</v>
      </c>
      <c r="AE70" s="49">
        <f t="shared" si="326"/>
        <v>0</v>
      </c>
      <c r="AF70" s="49">
        <f t="shared" si="327"/>
        <v>0</v>
      </c>
      <c r="AG70" s="49">
        <f t="shared" si="328"/>
        <v>0</v>
      </c>
      <c r="AH70" s="49">
        <f t="shared" si="329"/>
        <v>0</v>
      </c>
      <c r="AI70" s="49">
        <f t="shared" si="330"/>
        <v>0</v>
      </c>
      <c r="AJ70" s="60">
        <f t="shared" ref="AJ70:AW70" si="381">IFERROR(AJ20/$B56,0)</f>
        <v>0</v>
      </c>
      <c r="AK70" s="60">
        <f t="shared" si="381"/>
        <v>0</v>
      </c>
      <c r="AL70" s="60">
        <f t="shared" si="381"/>
        <v>213793.25047355617</v>
      </c>
      <c r="AM70" s="60">
        <f t="shared" si="381"/>
        <v>0</v>
      </c>
      <c r="AN70" s="60">
        <f>IFERROR(AN20/$B56,0)</f>
        <v>0</v>
      </c>
      <c r="AO70" s="60">
        <f>IFERROR(AO20/$B56,0)</f>
        <v>0</v>
      </c>
      <c r="AP70" s="60">
        <f>IFERROR(AP20/$B56,0)</f>
        <v>0</v>
      </c>
      <c r="AQ70" s="60">
        <f>IFERROR(AQ20/$B56,0)</f>
        <v>0</v>
      </c>
      <c r="AR70" s="60">
        <f t="shared" si="381"/>
        <v>0</v>
      </c>
      <c r="AS70" s="60">
        <f t="shared" si="381"/>
        <v>0</v>
      </c>
      <c r="AT70" s="60">
        <f t="shared" si="381"/>
        <v>0</v>
      </c>
      <c r="AU70" s="60">
        <f>IFERROR(AU20/$B56,0)</f>
        <v>0</v>
      </c>
      <c r="AV70" s="60">
        <f t="shared" si="381"/>
        <v>0</v>
      </c>
      <c r="AW70" s="60">
        <f t="shared" si="381"/>
        <v>0</v>
      </c>
      <c r="AX70" s="42"/>
      <c r="AY70" s="42"/>
      <c r="AZ70" s="42"/>
      <c r="BA70" s="42"/>
      <c r="BB70" s="42"/>
      <c r="BC70" s="42"/>
      <c r="BD70" s="42"/>
      <c r="BE70" s="42"/>
      <c r="BF70" s="42"/>
      <c r="BG70" s="42"/>
      <c r="BH70" s="42"/>
      <c r="BI70" s="42"/>
      <c r="BJ70" s="42"/>
      <c r="BK70" s="42"/>
      <c r="BL70" s="60">
        <f>IFERROR(BL20/$B56,0)</f>
        <v>213793.25047355617</v>
      </c>
      <c r="BM70" s="71">
        <f>IFERROR(s_RadSpec!$D$20*BM20,".")*$B$70</f>
        <v>0</v>
      </c>
      <c r="BN70" s="71">
        <f>IFERROR(s_RadSpec!$G$20*BN20,".")*$B$70</f>
        <v>0</v>
      </c>
      <c r="BO70" s="71">
        <f>IFERROR(s_RadSpec!$F$20*BO20,".")*$B$70</f>
        <v>2.3387080690924075E-11</v>
      </c>
      <c r="BP70" s="71">
        <f>s_b2s!BZ70</f>
        <v>0</v>
      </c>
      <c r="BQ70" s="71">
        <f>IFERROR(s_RadSpec!$E$20*BQ20,".")*$B$70</f>
        <v>0</v>
      </c>
      <c r="BR70" s="71">
        <f>IFERROR(s_RadSpec!$E$20*BR20,".")*$B$70</f>
        <v>0</v>
      </c>
      <c r="BS70" s="71">
        <f>IFERROR(s_RadSpec!$E$20*BS20,".")*$B$70</f>
        <v>0</v>
      </c>
      <c r="BT70" s="71">
        <f>IFERROR(s_RadSpec!$E$20*BT20,".")*$B$70</f>
        <v>0</v>
      </c>
      <c r="BU70" s="71">
        <f>IFERROR(s_RadSpec!$E$20*BU20,".")*$B$70</f>
        <v>0</v>
      </c>
      <c r="BV70" s="71">
        <f>IFERROR(s_RadSpec!$E$20*BV20,".")*$B$70</f>
        <v>0</v>
      </c>
      <c r="BW70" s="71">
        <f>IFERROR(s_RadSpec!$E$20*BW20,".")*$B$70</f>
        <v>0</v>
      </c>
      <c r="BX70" s="71">
        <f>IFERROR(s_RadSpec!$E$20*BX20,".")*$B$70</f>
        <v>0</v>
      </c>
      <c r="BY70" s="71">
        <f>IFERROR(s_RadSpec!$E$20*BY20,".")*$B$70</f>
        <v>0</v>
      </c>
      <c r="BZ70" s="71">
        <f>IFERROR(s_RadSpec!$E$20*BZ20,".")*$B$70</f>
        <v>0</v>
      </c>
      <c r="CA70" s="49">
        <f t="shared" si="332"/>
        <v>0</v>
      </c>
      <c r="CB70" s="49">
        <f t="shared" si="333"/>
        <v>0</v>
      </c>
      <c r="CC70" s="49">
        <f t="shared" si="334"/>
        <v>2.3387080690924075E-11</v>
      </c>
      <c r="CD70" s="49">
        <f t="shared" si="335"/>
        <v>0</v>
      </c>
      <c r="CE70" s="49">
        <f t="shared" si="336"/>
        <v>0</v>
      </c>
      <c r="CF70" s="49">
        <f t="shared" si="337"/>
        <v>0</v>
      </c>
      <c r="CG70" s="49">
        <f t="shared" si="338"/>
        <v>0</v>
      </c>
      <c r="CH70" s="49">
        <f t="shared" si="339"/>
        <v>0</v>
      </c>
      <c r="CI70" s="49">
        <f t="shared" si="340"/>
        <v>0</v>
      </c>
      <c r="CJ70" s="49">
        <f t="shared" si="341"/>
        <v>0</v>
      </c>
      <c r="CK70" s="49">
        <f t="shared" si="342"/>
        <v>0</v>
      </c>
      <c r="CL70" s="49">
        <f t="shared" si="343"/>
        <v>0</v>
      </c>
      <c r="CM70" s="49">
        <f t="shared" si="344"/>
        <v>0</v>
      </c>
      <c r="CN70" s="49">
        <f t="shared" si="345"/>
        <v>0</v>
      </c>
      <c r="CO70" s="49">
        <f t="shared" si="346"/>
        <v>2.3387080690924075E-11</v>
      </c>
      <c r="CP70" s="60">
        <f t="shared" ref="CP70:DC70" si="382">IFERROR(CP20/$B56,0)</f>
        <v>0</v>
      </c>
      <c r="CQ70" s="60">
        <f t="shared" si="382"/>
        <v>0</v>
      </c>
      <c r="CR70" s="60">
        <f t="shared" si="382"/>
        <v>28295417521.682697</v>
      </c>
      <c r="CS70" s="60">
        <f t="shared" si="382"/>
        <v>0</v>
      </c>
      <c r="CT70" s="60">
        <f>IFERROR(CT20/$B56,0)</f>
        <v>0</v>
      </c>
      <c r="CU70" s="60">
        <f>IFERROR(CU20/$B56,0)</f>
        <v>0</v>
      </c>
      <c r="CV70" s="60">
        <f>IFERROR(CV20/$B56,0)</f>
        <v>0</v>
      </c>
      <c r="CW70" s="60">
        <f>IFERROR(CW20/$B56,0)</f>
        <v>0</v>
      </c>
      <c r="CX70" s="60">
        <f t="shared" si="382"/>
        <v>0</v>
      </c>
      <c r="CY70" s="60">
        <f t="shared" si="382"/>
        <v>0</v>
      </c>
      <c r="CZ70" s="60">
        <f t="shared" si="382"/>
        <v>0</v>
      </c>
      <c r="DA70" s="60">
        <f>IFERROR(DA20/$B56,0)</f>
        <v>0</v>
      </c>
      <c r="DB70" s="60">
        <f t="shared" si="382"/>
        <v>0</v>
      </c>
      <c r="DC70" s="60">
        <f t="shared" si="382"/>
        <v>0</v>
      </c>
      <c r="DD70" s="15"/>
      <c r="DE70" s="15"/>
      <c r="DF70" s="15"/>
      <c r="DG70" s="15"/>
      <c r="DH70" s="15"/>
      <c r="DI70" s="15"/>
      <c r="DJ70" s="15"/>
      <c r="DK70" s="15"/>
      <c r="DL70" s="15"/>
      <c r="DM70" s="15"/>
      <c r="DN70" s="15"/>
      <c r="DO70" s="15"/>
      <c r="DP70" s="15"/>
      <c r="DQ70" s="15"/>
      <c r="DR70" s="60">
        <f>IFERROR(DR20/$B56,0)</f>
        <v>28295417521.682697</v>
      </c>
      <c r="DS70" s="71">
        <f>IFERROR(s_RadSpec!$H$20*DS20,".")*$B$70</f>
        <v>0</v>
      </c>
      <c r="DT70" s="71">
        <f>IFERROR(s_RadSpec!$G$20*DT20,".")*$B$70</f>
        <v>0</v>
      </c>
      <c r="DU70" s="71">
        <f>IFERROR(s_RadSpec!$L$20*DU20,".")*$B$70</f>
        <v>1.7670705852523696E-16</v>
      </c>
      <c r="DV70" s="71">
        <f>s_b2w!BZ70</f>
        <v>0</v>
      </c>
      <c r="DW70" s="71">
        <f>IFERROR(s_RadSpec!$E$20*DW20,".")*$B$70</f>
        <v>0</v>
      </c>
      <c r="DX70" s="71">
        <f>IFERROR(s_RadSpec!$E$20*DX20,".")*$B$70</f>
        <v>0</v>
      </c>
      <c r="DY70" s="71">
        <f>IFERROR(s_RadSpec!$E$20*DY20,".")*$B$70</f>
        <v>0</v>
      </c>
      <c r="DZ70" s="71">
        <f>IFERROR(s_RadSpec!$E$20*DZ20,".")*$B$70</f>
        <v>0</v>
      </c>
      <c r="EA70" s="71">
        <f>IFERROR(s_RadSpec!$E$20*EA20,".")*$B$70</f>
        <v>0</v>
      </c>
      <c r="EB70" s="71">
        <f>IFERROR(s_RadSpec!$E$20*EB20,".")*$B$70</f>
        <v>0</v>
      </c>
      <c r="EC70" s="71">
        <f>IFERROR(s_RadSpec!$E$20*EC20,".")*$B$70</f>
        <v>0</v>
      </c>
      <c r="ED70" s="71">
        <f>IFERROR(s_RadSpec!$E$20*ED20,".")*$B$70</f>
        <v>0</v>
      </c>
      <c r="EE70" s="71">
        <f>IFERROR(s_RadSpec!$E$20*EE20,".")*$B$70</f>
        <v>0</v>
      </c>
      <c r="EF70" s="71">
        <f>IFERROR(s_RadSpec!$E$20*EF20,".")*$B$70</f>
        <v>0</v>
      </c>
      <c r="EG70" s="49">
        <f t="shared" si="348"/>
        <v>0</v>
      </c>
      <c r="EH70" s="49">
        <f t="shared" si="349"/>
        <v>0</v>
      </c>
      <c r="EI70" s="49">
        <f t="shared" si="350"/>
        <v>1.7670705852523696E-16</v>
      </c>
      <c r="EJ70" s="49">
        <f t="shared" si="351"/>
        <v>0</v>
      </c>
      <c r="EK70" s="49">
        <f t="shared" si="352"/>
        <v>0</v>
      </c>
      <c r="EL70" s="49">
        <f t="shared" si="353"/>
        <v>0</v>
      </c>
      <c r="EM70" s="49">
        <f t="shared" si="354"/>
        <v>0</v>
      </c>
      <c r="EN70" s="49">
        <f t="shared" si="355"/>
        <v>0</v>
      </c>
      <c r="EO70" s="49">
        <f t="shared" si="356"/>
        <v>0</v>
      </c>
      <c r="EP70" s="49">
        <f t="shared" si="357"/>
        <v>0</v>
      </c>
      <c r="EQ70" s="49">
        <f t="shared" si="358"/>
        <v>0</v>
      </c>
      <c r="ER70" s="49">
        <f t="shared" si="359"/>
        <v>0</v>
      </c>
      <c r="ES70" s="49">
        <f t="shared" si="360"/>
        <v>0</v>
      </c>
      <c r="ET70" s="49">
        <f t="shared" si="361"/>
        <v>0</v>
      </c>
      <c r="EU70" s="49">
        <f t="shared" si="362"/>
        <v>1.7670705852523696E-16</v>
      </c>
      <c r="EV70" s="60">
        <f>IFERROR(EV20/$B56,0)</f>
        <v>0</v>
      </c>
      <c r="EW70" s="60">
        <f>IFERROR(EW20/$B56,0)</f>
        <v>24522695.185458336</v>
      </c>
      <c r="EX70" s="60">
        <f>IFERROR(EX20/$B56,0)</f>
        <v>24522695.185458336</v>
      </c>
      <c r="EY70" s="71">
        <f>IFERROR(s_RadSpec!$G$20*EY20,".")*$B$70</f>
        <v>0</v>
      </c>
      <c r="EZ70" s="71">
        <f>IFERROR(s_RadSpec!$J$20*EZ20,".")*$B$70</f>
        <v>2.0389275983681185E-13</v>
      </c>
      <c r="FA70" s="49">
        <f t="shared" si="363"/>
        <v>0</v>
      </c>
      <c r="FB70" s="49">
        <f t="shared" si="363"/>
        <v>2.0389275983681185E-13</v>
      </c>
      <c r="FC70" s="49">
        <f t="shared" si="364"/>
        <v>2.0389275983681185E-13</v>
      </c>
    </row>
    <row r="71" spans="1:159" x14ac:dyDescent="0.25">
      <c r="A71" s="83" t="s">
        <v>1095</v>
      </c>
      <c r="B71" s="42">
        <v>2.0999995799999999E-4</v>
      </c>
      <c r="C71" s="60">
        <f t="shared" ref="C71:M71" si="383">IFERROR(C29/$B57,0)</f>
        <v>0</v>
      </c>
      <c r="D71" s="60">
        <f t="shared" si="383"/>
        <v>0</v>
      </c>
      <c r="E71" s="60">
        <f t="shared" si="383"/>
        <v>0</v>
      </c>
      <c r="F71" s="60">
        <f t="shared" si="383"/>
        <v>0</v>
      </c>
      <c r="G71" s="60">
        <f t="shared" si="383"/>
        <v>0</v>
      </c>
      <c r="H71" s="60">
        <f t="shared" si="383"/>
        <v>0</v>
      </c>
      <c r="I71" s="60">
        <f t="shared" si="383"/>
        <v>0</v>
      </c>
      <c r="J71" s="60">
        <f t="shared" si="383"/>
        <v>0</v>
      </c>
      <c r="K71" s="60">
        <f t="shared" si="383"/>
        <v>0</v>
      </c>
      <c r="L71" s="60">
        <f t="shared" si="383"/>
        <v>0</v>
      </c>
      <c r="M71" s="60">
        <f t="shared" si="383"/>
        <v>0</v>
      </c>
      <c r="N71" s="71">
        <f>s_dir!BA71</f>
        <v>0</v>
      </c>
      <c r="O71" s="71">
        <f>IFERROR(s_RadSpec!$E$29*O29,".")*$B$71</f>
        <v>0</v>
      </c>
      <c r="P71" s="71">
        <f>IFERROR(s_RadSpec!$E$29*P29,".")*$B$71</f>
        <v>0</v>
      </c>
      <c r="Q71" s="71">
        <f>IFERROR(s_RadSpec!$E$29*Q29,".")*$B$71</f>
        <v>0</v>
      </c>
      <c r="R71" s="71">
        <f>IFERROR(s_RadSpec!$E$29*R29,".")*$B$71</f>
        <v>0</v>
      </c>
      <c r="S71" s="71">
        <f>IFERROR(s_RadSpec!$E$29*S29,".")*$B$71</f>
        <v>0</v>
      </c>
      <c r="T71" s="71">
        <f>IFERROR(s_RadSpec!$E$29*T29,".")*$B$71</f>
        <v>0</v>
      </c>
      <c r="U71" s="71">
        <f>IFERROR(s_RadSpec!$E$29*U29,".")*$B$71</f>
        <v>0</v>
      </c>
      <c r="V71" s="71">
        <f>IFERROR(s_RadSpec!$E$29*V29,".")*$B$71</f>
        <v>0</v>
      </c>
      <c r="W71" s="71">
        <f>IFERROR(s_RadSpec!$E$29*W29,".")*$B$71</f>
        <v>0</v>
      </c>
      <c r="X71" s="71">
        <f>IFERROR(s_RadSpec!$E$29*X29,".")*$B$71</f>
        <v>0</v>
      </c>
      <c r="Y71" s="49">
        <f t="shared" si="320"/>
        <v>0</v>
      </c>
      <c r="Z71" s="49">
        <f t="shared" si="321"/>
        <v>0</v>
      </c>
      <c r="AA71" s="49">
        <f t="shared" si="322"/>
        <v>0</v>
      </c>
      <c r="AB71" s="49">
        <f t="shared" si="323"/>
        <v>0</v>
      </c>
      <c r="AC71" s="49">
        <f t="shared" si="324"/>
        <v>0</v>
      </c>
      <c r="AD71" s="49">
        <f t="shared" si="325"/>
        <v>0</v>
      </c>
      <c r="AE71" s="49">
        <f t="shared" si="326"/>
        <v>0</v>
      </c>
      <c r="AF71" s="49">
        <f t="shared" si="327"/>
        <v>0</v>
      </c>
      <c r="AG71" s="49">
        <f t="shared" si="328"/>
        <v>0</v>
      </c>
      <c r="AH71" s="49">
        <f t="shared" si="329"/>
        <v>0</v>
      </c>
      <c r="AI71" s="49">
        <f t="shared" si="330"/>
        <v>0</v>
      </c>
      <c r="AJ71" s="60">
        <f t="shared" ref="AJ71:AW71" si="384">IFERROR(AJ29/$B57,0)</f>
        <v>0</v>
      </c>
      <c r="AK71" s="60">
        <f t="shared" si="384"/>
        <v>0</v>
      </c>
      <c r="AL71" s="60">
        <f t="shared" si="384"/>
        <v>22988.063934452039</v>
      </c>
      <c r="AM71" s="60">
        <f t="shared" si="384"/>
        <v>0</v>
      </c>
      <c r="AN71" s="60">
        <f>IFERROR(AN29/$B57,0)</f>
        <v>0</v>
      </c>
      <c r="AO71" s="60">
        <f>IFERROR(AO29/$B57,0)</f>
        <v>0</v>
      </c>
      <c r="AP71" s="60">
        <f>IFERROR(AP29/$B57,0)</f>
        <v>0</v>
      </c>
      <c r="AQ71" s="60">
        <f>IFERROR(AQ29/$B57,0)</f>
        <v>0</v>
      </c>
      <c r="AR71" s="60">
        <f t="shared" si="384"/>
        <v>0</v>
      </c>
      <c r="AS71" s="60">
        <f t="shared" si="384"/>
        <v>0</v>
      </c>
      <c r="AT71" s="60">
        <f t="shared" si="384"/>
        <v>0</v>
      </c>
      <c r="AU71" s="60">
        <f>IFERROR(AU29/$B57,0)</f>
        <v>0</v>
      </c>
      <c r="AV71" s="60">
        <f t="shared" si="384"/>
        <v>0</v>
      </c>
      <c r="AW71" s="60">
        <f t="shared" si="384"/>
        <v>0</v>
      </c>
      <c r="AX71" s="42"/>
      <c r="AY71" s="42"/>
      <c r="AZ71" s="42"/>
      <c r="BA71" s="42"/>
      <c r="BB71" s="42"/>
      <c r="BC71" s="42"/>
      <c r="BD71" s="42"/>
      <c r="BE71" s="42"/>
      <c r="BF71" s="42"/>
      <c r="BG71" s="42"/>
      <c r="BH71" s="42"/>
      <c r="BI71" s="42"/>
      <c r="BJ71" s="42"/>
      <c r="BK71" s="42"/>
      <c r="BL71" s="60">
        <f>IFERROR(BL29/$B57,0)</f>
        <v>22988.063934452039</v>
      </c>
      <c r="BM71" s="71">
        <f>IFERROR(s_RadSpec!$D$29*BM29,".")*$B$71</f>
        <v>0</v>
      </c>
      <c r="BN71" s="71">
        <f>IFERROR(s_RadSpec!$G$29*BN29,".")*$B$71</f>
        <v>0</v>
      </c>
      <c r="BO71" s="71">
        <f>IFERROR(s_RadSpec!$F$29*BO29,".")*$B$71</f>
        <v>2.1750418018050395E-10</v>
      </c>
      <c r="BP71" s="71">
        <f>s_b2s!BZ71</f>
        <v>0</v>
      </c>
      <c r="BQ71" s="71">
        <f>IFERROR(s_RadSpec!$E$29*BQ29,".")*$B$71</f>
        <v>0</v>
      </c>
      <c r="BR71" s="71">
        <f>IFERROR(s_RadSpec!$E$29*BR29,".")*$B$71</f>
        <v>0</v>
      </c>
      <c r="BS71" s="71">
        <f>IFERROR(s_RadSpec!$E$29*BS29,".")*$B$71</f>
        <v>0</v>
      </c>
      <c r="BT71" s="71">
        <f>IFERROR(s_RadSpec!$E$29*BT29,".")*$B$71</f>
        <v>0</v>
      </c>
      <c r="BU71" s="71">
        <f>IFERROR(s_RadSpec!$E$29*BU29,".")*$B$71</f>
        <v>0</v>
      </c>
      <c r="BV71" s="71">
        <f>IFERROR(s_RadSpec!$E$29*BV29,".")*$B$71</f>
        <v>0</v>
      </c>
      <c r="BW71" s="71">
        <f>IFERROR(s_RadSpec!$E$29*BW29,".")*$B$71</f>
        <v>0</v>
      </c>
      <c r="BX71" s="71">
        <f>IFERROR(s_RadSpec!$E$29*BX29,".")*$B$71</f>
        <v>0</v>
      </c>
      <c r="BY71" s="71">
        <f>IFERROR(s_RadSpec!$E$29*BY29,".")*$B$71</f>
        <v>0</v>
      </c>
      <c r="BZ71" s="71">
        <f>IFERROR(s_RadSpec!$E$29*BZ29,".")*$B$71</f>
        <v>0</v>
      </c>
      <c r="CA71" s="49">
        <f t="shared" si="332"/>
        <v>0</v>
      </c>
      <c r="CB71" s="49">
        <f t="shared" si="333"/>
        <v>0</v>
      </c>
      <c r="CC71" s="49">
        <f t="shared" si="334"/>
        <v>2.1750418018050395E-10</v>
      </c>
      <c r="CD71" s="49">
        <f t="shared" si="335"/>
        <v>0</v>
      </c>
      <c r="CE71" s="49">
        <f t="shared" si="336"/>
        <v>0</v>
      </c>
      <c r="CF71" s="49">
        <f t="shared" si="337"/>
        <v>0</v>
      </c>
      <c r="CG71" s="49">
        <f t="shared" si="338"/>
        <v>0</v>
      </c>
      <c r="CH71" s="49">
        <f t="shared" si="339"/>
        <v>0</v>
      </c>
      <c r="CI71" s="49">
        <f t="shared" si="340"/>
        <v>0</v>
      </c>
      <c r="CJ71" s="49">
        <f t="shared" si="341"/>
        <v>0</v>
      </c>
      <c r="CK71" s="49">
        <f t="shared" si="342"/>
        <v>0</v>
      </c>
      <c r="CL71" s="49">
        <f t="shared" si="343"/>
        <v>0</v>
      </c>
      <c r="CM71" s="49">
        <f t="shared" si="344"/>
        <v>0</v>
      </c>
      <c r="CN71" s="49">
        <f t="shared" si="345"/>
        <v>0</v>
      </c>
      <c r="CO71" s="49">
        <f t="shared" si="346"/>
        <v>2.1750418018050395E-10</v>
      </c>
      <c r="CP71" s="60">
        <f t="shared" ref="CP71:DC71" si="385">IFERROR(CP29/$B57,0)</f>
        <v>0</v>
      </c>
      <c r="CQ71" s="60">
        <f t="shared" si="385"/>
        <v>0</v>
      </c>
      <c r="CR71" s="60">
        <f t="shared" si="385"/>
        <v>3883214492.3120499</v>
      </c>
      <c r="CS71" s="60">
        <f t="shared" si="385"/>
        <v>0</v>
      </c>
      <c r="CT71" s="60">
        <f>IFERROR(CT29/$B57,0)</f>
        <v>0</v>
      </c>
      <c r="CU71" s="60">
        <f>IFERROR(CU29/$B57,0)</f>
        <v>0</v>
      </c>
      <c r="CV71" s="60">
        <f>IFERROR(CV29/$B57,0)</f>
        <v>0</v>
      </c>
      <c r="CW71" s="60">
        <f>IFERROR(CW29/$B57,0)</f>
        <v>0</v>
      </c>
      <c r="CX71" s="60">
        <f t="shared" si="385"/>
        <v>0</v>
      </c>
      <c r="CY71" s="60">
        <f t="shared" si="385"/>
        <v>0</v>
      </c>
      <c r="CZ71" s="60">
        <f t="shared" si="385"/>
        <v>0</v>
      </c>
      <c r="DA71" s="60">
        <f>IFERROR(DA29/$B57,0)</f>
        <v>0</v>
      </c>
      <c r="DB71" s="60">
        <f t="shared" si="385"/>
        <v>0</v>
      </c>
      <c r="DC71" s="60">
        <f t="shared" si="385"/>
        <v>0</v>
      </c>
      <c r="DD71" s="15"/>
      <c r="DE71" s="15"/>
      <c r="DF71" s="15"/>
      <c r="DG71" s="15"/>
      <c r="DH71" s="15"/>
      <c r="DI71" s="15"/>
      <c r="DJ71" s="15"/>
      <c r="DK71" s="15"/>
      <c r="DL71" s="15"/>
      <c r="DM71" s="15"/>
      <c r="DN71" s="15"/>
      <c r="DO71" s="15"/>
      <c r="DP71" s="15"/>
      <c r="DQ71" s="15"/>
      <c r="DR71" s="60">
        <f>IFERROR(DR29/$B57,0)</f>
        <v>3883214492.3120499</v>
      </c>
      <c r="DS71" s="71">
        <f>IFERROR(s_RadSpec!$H$29*DS29,".")*$B$71</f>
        <v>0</v>
      </c>
      <c r="DT71" s="71">
        <f>IFERROR(s_RadSpec!$G$29*DT29,".")*$B$71</f>
        <v>0</v>
      </c>
      <c r="DU71" s="71">
        <f>IFERROR(s_RadSpec!$L$29*DU29,".")*$B$71</f>
        <v>1.287593052070379E-15</v>
      </c>
      <c r="DV71" s="71">
        <f>s_b2w!BZ71</f>
        <v>0</v>
      </c>
      <c r="DW71" s="71">
        <f>IFERROR(s_RadSpec!$E$29*DW29,".")*$B$71</f>
        <v>0</v>
      </c>
      <c r="DX71" s="71">
        <f>IFERROR(s_RadSpec!$E$29*DX29,".")*$B$71</f>
        <v>0</v>
      </c>
      <c r="DY71" s="71">
        <f>IFERROR(s_RadSpec!$E$29*DY29,".")*$B$71</f>
        <v>0</v>
      </c>
      <c r="DZ71" s="71">
        <f>IFERROR(s_RadSpec!$E$29*DZ29,".")*$B$71</f>
        <v>0</v>
      </c>
      <c r="EA71" s="71">
        <f>IFERROR(s_RadSpec!$E$29*EA29,".")*$B$71</f>
        <v>0</v>
      </c>
      <c r="EB71" s="71">
        <f>IFERROR(s_RadSpec!$E$29*EB29,".")*$B$71</f>
        <v>0</v>
      </c>
      <c r="EC71" s="71">
        <f>IFERROR(s_RadSpec!$E$29*EC29,".")*$B$71</f>
        <v>0</v>
      </c>
      <c r="ED71" s="71">
        <f>IFERROR(s_RadSpec!$E$29*ED29,".")*$B$71</f>
        <v>0</v>
      </c>
      <c r="EE71" s="71">
        <f>IFERROR(s_RadSpec!$E$29*EE29,".")*$B$71</f>
        <v>0</v>
      </c>
      <c r="EF71" s="71">
        <f>IFERROR(s_RadSpec!$E$29*EF29,".")*$B$71</f>
        <v>0</v>
      </c>
      <c r="EG71" s="49">
        <f t="shared" si="348"/>
        <v>0</v>
      </c>
      <c r="EH71" s="49">
        <f t="shared" si="349"/>
        <v>0</v>
      </c>
      <c r="EI71" s="49">
        <f t="shared" si="350"/>
        <v>1.287593052070379E-15</v>
      </c>
      <c r="EJ71" s="49">
        <f t="shared" si="351"/>
        <v>0</v>
      </c>
      <c r="EK71" s="49">
        <f t="shared" si="352"/>
        <v>0</v>
      </c>
      <c r="EL71" s="49">
        <f t="shared" si="353"/>
        <v>0</v>
      </c>
      <c r="EM71" s="49">
        <f t="shared" si="354"/>
        <v>0</v>
      </c>
      <c r="EN71" s="49">
        <f t="shared" si="355"/>
        <v>0</v>
      </c>
      <c r="EO71" s="49">
        <f t="shared" si="356"/>
        <v>0</v>
      </c>
      <c r="EP71" s="49">
        <f t="shared" si="357"/>
        <v>0</v>
      </c>
      <c r="EQ71" s="49">
        <f t="shared" si="358"/>
        <v>0</v>
      </c>
      <c r="ER71" s="49">
        <f t="shared" si="359"/>
        <v>0</v>
      </c>
      <c r="ES71" s="49">
        <f t="shared" si="360"/>
        <v>0</v>
      </c>
      <c r="ET71" s="49">
        <f t="shared" si="361"/>
        <v>0</v>
      </c>
      <c r="EU71" s="49">
        <f t="shared" si="362"/>
        <v>1.287593052070379E-15</v>
      </c>
      <c r="EV71" s="60">
        <f>IFERROR(EV29/$B57,0)</f>
        <v>0</v>
      </c>
      <c r="EW71" s="60">
        <f>IFERROR(EW29/$B57,0)</f>
        <v>3370337.1065349863</v>
      </c>
      <c r="EX71" s="60">
        <f>IFERROR(EX29/$B57,0)</f>
        <v>3370337.1065349863</v>
      </c>
      <c r="EY71" s="71">
        <f>IFERROR(s_RadSpec!$G$29*EY29,".")*$B$71</f>
        <v>0</v>
      </c>
      <c r="EZ71" s="71">
        <f>IFERROR(s_RadSpec!$J$29*EZ29,".")*$B$71</f>
        <v>1.4835311252115235E-12</v>
      </c>
      <c r="FA71" s="49">
        <f t="shared" si="363"/>
        <v>0</v>
      </c>
      <c r="FB71" s="49">
        <f t="shared" si="363"/>
        <v>1.4835311252115235E-12</v>
      </c>
      <c r="FC71" s="49">
        <f t="shared" si="364"/>
        <v>1.4835311252115235E-12</v>
      </c>
    </row>
    <row r="72" spans="1:159" x14ac:dyDescent="0.25">
      <c r="A72" s="83" t="s">
        <v>1096</v>
      </c>
      <c r="B72" s="42">
        <v>1</v>
      </c>
      <c r="C72" s="60">
        <f t="shared" ref="C72:M72" si="386">IFERROR(C16/$B58,0)</f>
        <v>7.7264228207624422E-2</v>
      </c>
      <c r="D72" s="60">
        <f t="shared" si="386"/>
        <v>0.30905691283049769</v>
      </c>
      <c r="E72" s="60">
        <f t="shared" si="386"/>
        <v>0.30905691283049769</v>
      </c>
      <c r="F72" s="60">
        <f t="shared" si="386"/>
        <v>0.30905691283049769</v>
      </c>
      <c r="G72" s="60">
        <f t="shared" si="386"/>
        <v>0.30905691283049769</v>
      </c>
      <c r="H72" s="60">
        <f t="shared" si="386"/>
        <v>0.30905691283049769</v>
      </c>
      <c r="I72" s="60">
        <f t="shared" si="386"/>
        <v>0.30905691283049769</v>
      </c>
      <c r="J72" s="60">
        <f t="shared" si="386"/>
        <v>0.30905691283049769</v>
      </c>
      <c r="K72" s="60">
        <f t="shared" si="386"/>
        <v>0.30905691283049769</v>
      </c>
      <c r="L72" s="60">
        <f t="shared" si="386"/>
        <v>0.30905691283049769</v>
      </c>
      <c r="M72" s="60">
        <f t="shared" si="386"/>
        <v>0.30905691283049769</v>
      </c>
      <c r="N72" s="71">
        <f>s_dir!BA72</f>
        <v>6.4713000000000002E-5</v>
      </c>
      <c r="O72" s="71">
        <f>IFERROR(s_RadSpec!$E$16*O16,".")*$B$72</f>
        <v>1.617825E-5</v>
      </c>
      <c r="P72" s="71">
        <f>IFERROR(s_RadSpec!$E$16*P16,".")*$B$72</f>
        <v>1.617825E-5</v>
      </c>
      <c r="Q72" s="71">
        <f>IFERROR(s_RadSpec!$E$16*Q16,".")*$B$72</f>
        <v>1.617825E-5</v>
      </c>
      <c r="R72" s="71">
        <f>IFERROR(s_RadSpec!$E$16*R16,".")*$B$72</f>
        <v>1.617825E-5</v>
      </c>
      <c r="S72" s="71">
        <f>IFERROR(s_RadSpec!$E$16*S16,".")*$B$72</f>
        <v>1.617825E-5</v>
      </c>
      <c r="T72" s="71">
        <f>IFERROR(s_RadSpec!$E$16*T16,".")*$B$72</f>
        <v>1.617825E-5</v>
      </c>
      <c r="U72" s="71">
        <f>IFERROR(s_RadSpec!$E$16*U16,".")*$B$72</f>
        <v>1.617825E-5</v>
      </c>
      <c r="V72" s="71">
        <f>IFERROR(s_RadSpec!$E$16*V16,".")*$B$72</f>
        <v>1.617825E-5</v>
      </c>
      <c r="W72" s="71">
        <f>IFERROR(s_RadSpec!$E$16*W16,".")*$B$72</f>
        <v>1.617825E-5</v>
      </c>
      <c r="X72" s="71">
        <f>IFERROR(s_RadSpec!$E$16*X16,".")*$B$72</f>
        <v>1.617825E-5</v>
      </c>
      <c r="Y72" s="49">
        <f t="shared" si="320"/>
        <v>6.4713000000000002E-5</v>
      </c>
      <c r="Z72" s="49">
        <f t="shared" si="321"/>
        <v>1.617825E-5</v>
      </c>
      <c r="AA72" s="49">
        <f t="shared" si="322"/>
        <v>1.617825E-5</v>
      </c>
      <c r="AB72" s="49">
        <f t="shared" si="323"/>
        <v>1.617825E-5</v>
      </c>
      <c r="AC72" s="49">
        <f t="shared" si="324"/>
        <v>1.617825E-5</v>
      </c>
      <c r="AD72" s="49">
        <f t="shared" si="325"/>
        <v>1.617825E-5</v>
      </c>
      <c r="AE72" s="49">
        <f t="shared" si="326"/>
        <v>1.617825E-5</v>
      </c>
      <c r="AF72" s="49">
        <f t="shared" si="327"/>
        <v>1.617825E-5</v>
      </c>
      <c r="AG72" s="49">
        <f t="shared" si="328"/>
        <v>1.617825E-5</v>
      </c>
      <c r="AH72" s="49">
        <f t="shared" si="329"/>
        <v>1.617825E-5</v>
      </c>
      <c r="AI72" s="49">
        <f t="shared" si="330"/>
        <v>1.617825E-5</v>
      </c>
      <c r="AJ72" s="60">
        <f t="shared" ref="AJ72:AW72" si="387">IFERROR(AJ16/$B58,0)</f>
        <v>105.90527831907143</v>
      </c>
      <c r="AK72" s="60">
        <f t="shared" si="387"/>
        <v>107068.32240239423</v>
      </c>
      <c r="AL72" s="60">
        <f t="shared" si="387"/>
        <v>1182150931.9320743</v>
      </c>
      <c r="AM72" s="60">
        <f t="shared" si="387"/>
        <v>1.9901919816504459</v>
      </c>
      <c r="AN72" s="60">
        <f>IFERROR(AN16/$B58,0)</f>
        <v>1.854341476982986</v>
      </c>
      <c r="AO72" s="60">
        <f>IFERROR(AO16/$B58,0)</f>
        <v>4.9563044085259538</v>
      </c>
      <c r="AP72" s="60">
        <f>IFERROR(AP16/$B58,0)</f>
        <v>18.807870939722171</v>
      </c>
      <c r="AQ72" s="60">
        <f>IFERROR(AQ16/$B58,0)</f>
        <v>0</v>
      </c>
      <c r="AR72" s="60">
        <f t="shared" si="387"/>
        <v>0</v>
      </c>
      <c r="AS72" s="60">
        <f t="shared" si="387"/>
        <v>0</v>
      </c>
      <c r="AT72" s="60">
        <f t="shared" si="387"/>
        <v>0</v>
      </c>
      <c r="AU72" s="60">
        <f>IFERROR(AU16/$B58,0)</f>
        <v>0.59558257975786888</v>
      </c>
      <c r="AV72" s="60">
        <f t="shared" si="387"/>
        <v>0.48864973041805176</v>
      </c>
      <c r="AW72" s="60">
        <f t="shared" si="387"/>
        <v>0.10209987081563464</v>
      </c>
      <c r="AX72" s="42"/>
      <c r="AY72" s="42"/>
      <c r="AZ72" s="42"/>
      <c r="BA72" s="42"/>
      <c r="BB72" s="42"/>
      <c r="BC72" s="42"/>
      <c r="BD72" s="42"/>
      <c r="BE72" s="42"/>
      <c r="BF72" s="42"/>
      <c r="BG72" s="42"/>
      <c r="BH72" s="42"/>
      <c r="BI72" s="42"/>
      <c r="BJ72" s="42"/>
      <c r="BK72" s="42"/>
      <c r="BL72" s="60">
        <f>IFERROR(BL16/$B58,0)</f>
        <v>6.7449353851136415E-2</v>
      </c>
      <c r="BM72" s="71">
        <f>IFERROR(s_RadSpec!$D$16*BM16,".")*$B$72</f>
        <v>4.7212E-8</v>
      </c>
      <c r="BN72" s="71">
        <f>IFERROR(s_RadSpec!$G$16*BN16,".")*$B$72</f>
        <v>4.6699153286520449E-11</v>
      </c>
      <c r="BO72" s="71">
        <f>IFERROR(s_RadSpec!$F$16*BO16,".")*$B$72</f>
        <v>4.2295783600391369E-15</v>
      </c>
      <c r="BP72" s="71">
        <f>s_b2s!BZ72</f>
        <v>2.5123204425000001E-6</v>
      </c>
      <c r="BQ72" s="71">
        <f>IFERROR(s_RadSpec!$E$16*BQ16,".")*$B$72</f>
        <v>2.6963750000000005E-6</v>
      </c>
      <c r="BR72" s="71">
        <f>IFERROR(s_RadSpec!$E$16*BR16,".")*$B$72</f>
        <v>1.0088161637931035E-6</v>
      </c>
      <c r="BS72" s="71">
        <f>IFERROR(s_RadSpec!$E$16*BS16,".")*$B$72</f>
        <v>2.6584614579846001E-7</v>
      </c>
      <c r="BT72" s="71">
        <f>IFERROR(s_RadSpec!$E$16*BT16,".")*$B$72</f>
        <v>0</v>
      </c>
      <c r="BU72" s="71">
        <f>IFERROR(s_RadSpec!$E$16*BU16,".")*$B$72</f>
        <v>0</v>
      </c>
      <c r="BV72" s="71">
        <f>IFERROR(s_RadSpec!$E$16*BV16,".")*$B$72</f>
        <v>0</v>
      </c>
      <c r="BW72" s="71">
        <f>IFERROR(s_RadSpec!$E$16*BW16,".")*$B$72</f>
        <v>0</v>
      </c>
      <c r="BX72" s="71">
        <f>IFERROR(s_RadSpec!$E$16*BX16,".")*$B$72</f>
        <v>8.3951414462671594E-6</v>
      </c>
      <c r="BY72" s="71">
        <f>IFERROR(s_RadSpec!$E$16*BY16,".")*$B$72</f>
        <v>1.0232278232758621E-5</v>
      </c>
      <c r="BZ72" s="71">
        <f>IFERROR(s_RadSpec!$E$16*BZ16,".")*$B$72</f>
        <v>4.8971658436558419E-5</v>
      </c>
      <c r="CA72" s="49">
        <f t="shared" si="332"/>
        <v>4.7212E-8</v>
      </c>
      <c r="CB72" s="49">
        <f t="shared" si="333"/>
        <v>4.6699153286520449E-11</v>
      </c>
      <c r="CC72" s="49">
        <f t="shared" si="334"/>
        <v>4.2295783600391369E-15</v>
      </c>
      <c r="CD72" s="49">
        <f t="shared" si="335"/>
        <v>2.5123204425000001E-6</v>
      </c>
      <c r="CE72" s="49">
        <f t="shared" si="336"/>
        <v>2.6963750000000005E-6</v>
      </c>
      <c r="CF72" s="49">
        <f t="shared" si="337"/>
        <v>1.0088161637931035E-6</v>
      </c>
      <c r="CG72" s="49">
        <f t="shared" si="338"/>
        <v>2.6584614579846001E-7</v>
      </c>
      <c r="CH72" s="49">
        <f t="shared" si="339"/>
        <v>0</v>
      </c>
      <c r="CI72" s="49">
        <f t="shared" si="340"/>
        <v>0</v>
      </c>
      <c r="CJ72" s="49">
        <f t="shared" si="341"/>
        <v>0</v>
      </c>
      <c r="CK72" s="49">
        <f t="shared" si="342"/>
        <v>0</v>
      </c>
      <c r="CL72" s="49">
        <f t="shared" si="343"/>
        <v>8.3951414462671594E-6</v>
      </c>
      <c r="CM72" s="49">
        <f t="shared" si="344"/>
        <v>1.0232278232758621E-5</v>
      </c>
      <c r="CN72" s="49">
        <f t="shared" si="345"/>
        <v>4.8971658436558419E-5</v>
      </c>
      <c r="CO72" s="49">
        <f t="shared" si="346"/>
        <v>7.4129694571058635E-5</v>
      </c>
      <c r="CP72" s="60">
        <f t="shared" ref="CP72:DC72" si="388">IFERROR(CP16/$B58,0)</f>
        <v>2.2616759018432657</v>
      </c>
      <c r="CQ72" s="60">
        <f t="shared" si="388"/>
        <v>0</v>
      </c>
      <c r="CR72" s="60">
        <f t="shared" si="388"/>
        <v>2410786921.1673522</v>
      </c>
      <c r="CS72" s="60">
        <f t="shared" si="388"/>
        <v>4.6187439047609571</v>
      </c>
      <c r="CT72" s="60">
        <f>IFERROR(CT16/$B58,0)</f>
        <v>12.362276513219907</v>
      </c>
      <c r="CU72" s="60">
        <f>IFERROR(CU16/$B58,0)</f>
        <v>88301.975094427908</v>
      </c>
      <c r="CV72" s="60">
        <f>IFERROR(CV16/$B58,0)</f>
        <v>335082.75812148693</v>
      </c>
      <c r="CW72" s="60">
        <f>IFERROR(CW16/$B58,0)</f>
        <v>0</v>
      </c>
      <c r="CX72" s="60">
        <f t="shared" si="388"/>
        <v>0</v>
      </c>
      <c r="CY72" s="60">
        <f t="shared" si="388"/>
        <v>0</v>
      </c>
      <c r="CZ72" s="60">
        <f t="shared" si="388"/>
        <v>0</v>
      </c>
      <c r="DA72" s="60">
        <f>IFERROR(DA16/$B58,0)</f>
        <v>10610.95400718042</v>
      </c>
      <c r="DB72" s="60">
        <f t="shared" si="388"/>
        <v>8705.8285304365545</v>
      </c>
      <c r="DC72" s="60">
        <f t="shared" si="388"/>
        <v>1819.0206869452147</v>
      </c>
      <c r="DD72" s="15"/>
      <c r="DE72" s="15"/>
      <c r="DF72" s="15"/>
      <c r="DG72" s="15"/>
      <c r="DH72" s="15"/>
      <c r="DI72" s="15"/>
      <c r="DJ72" s="15"/>
      <c r="DK72" s="15"/>
      <c r="DL72" s="15"/>
      <c r="DM72" s="15"/>
      <c r="DN72" s="15"/>
      <c r="DO72" s="15"/>
      <c r="DP72" s="15"/>
      <c r="DQ72" s="15"/>
      <c r="DR72" s="60">
        <f>IFERROR(DR16/$B58,0)</f>
        <v>1.3507608587846429</v>
      </c>
      <c r="DS72" s="71">
        <f>IFERROR(s_RadSpec!$H$16*DS16,".")*$B$72</f>
        <v>2.21075E-6</v>
      </c>
      <c r="DT72" s="71">
        <f>IFERROR(s_RadSpec!$G$16*DT16,".")*$B$72</f>
        <v>7.2337890624999989E-6</v>
      </c>
      <c r="DU72" s="71">
        <f>IFERROR(s_RadSpec!$L$16*DU16,".")*$B$72</f>
        <v>2.0740115835616435E-15</v>
      </c>
      <c r="DV72" s="71">
        <f>s_b2w!BZ72</f>
        <v>1.0825454069549184E-6</v>
      </c>
      <c r="DW72" s="71">
        <f>IFERROR(s_RadSpec!$E$16*DW16,".")*$B$72</f>
        <v>4.0445625000000001E-7</v>
      </c>
      <c r="DX72" s="71">
        <f>IFERROR(s_RadSpec!$E$16*DX16,".")*$B$72</f>
        <v>5.6623875000000002E-11</v>
      </c>
      <c r="DY72" s="71">
        <f>IFERROR(s_RadSpec!$E$16*DY16,".")*$B$72</f>
        <v>1.4921686893203884E-11</v>
      </c>
      <c r="DZ72" s="71">
        <f>IFERROR(s_RadSpec!$E$16*DZ16,".")*$B$72</f>
        <v>0</v>
      </c>
      <c r="EA72" s="71">
        <f>IFERROR(s_RadSpec!$E$16*EA16,".")*$B$72</f>
        <v>0</v>
      </c>
      <c r="EB72" s="71">
        <f>IFERROR(s_RadSpec!$E$16*EB16,".")*$B$72</f>
        <v>0</v>
      </c>
      <c r="EC72" s="71">
        <f>IFERROR(s_RadSpec!$E$16*EC16,".")*$B$72</f>
        <v>0</v>
      </c>
      <c r="ED72" s="71">
        <f>IFERROR(s_RadSpec!$E$16*ED16,".")*$B$72</f>
        <v>4.712111650485437E-10</v>
      </c>
      <c r="EE72" s="71">
        <f>IFERROR(s_RadSpec!$E$16*EE16,".")*$B$72</f>
        <v>5.7432787500000007E-10</v>
      </c>
      <c r="EF72" s="71">
        <f>IFERROR(s_RadSpec!$E$16*EF16,".")*$B$72</f>
        <v>2.7487317961165053E-9</v>
      </c>
      <c r="EG72" s="49">
        <f t="shared" si="348"/>
        <v>2.21075E-6</v>
      </c>
      <c r="EH72" s="49">
        <f t="shared" si="349"/>
        <v>7.2337890624999989E-6</v>
      </c>
      <c r="EI72" s="49">
        <f t="shared" si="350"/>
        <v>2.0740115835616435E-15</v>
      </c>
      <c r="EJ72" s="49">
        <f t="shared" si="351"/>
        <v>1.0825454069549184E-6</v>
      </c>
      <c r="EK72" s="49">
        <f t="shared" si="352"/>
        <v>4.0445625000000001E-7</v>
      </c>
      <c r="EL72" s="49">
        <f t="shared" si="353"/>
        <v>5.6623875000000002E-11</v>
      </c>
      <c r="EM72" s="49">
        <f t="shared" si="354"/>
        <v>1.4921686893203884E-11</v>
      </c>
      <c r="EN72" s="49">
        <f t="shared" si="355"/>
        <v>0</v>
      </c>
      <c r="EO72" s="49">
        <f t="shared" si="356"/>
        <v>0</v>
      </c>
      <c r="EP72" s="49">
        <f t="shared" si="357"/>
        <v>0</v>
      </c>
      <c r="EQ72" s="49">
        <f t="shared" si="358"/>
        <v>0</v>
      </c>
      <c r="ER72" s="49">
        <f t="shared" si="359"/>
        <v>4.712111650485437E-10</v>
      </c>
      <c r="ES72" s="49">
        <f t="shared" si="360"/>
        <v>5.7432787500000007E-10</v>
      </c>
      <c r="ET72" s="49">
        <f t="shared" si="361"/>
        <v>2.7487317961165053E-9</v>
      </c>
      <c r="EU72" s="49">
        <f t="shared" si="362"/>
        <v>1.0935406537926986E-5</v>
      </c>
      <c r="EV72" s="60">
        <f>IFERROR(EV16/$B58,0)</f>
        <v>0.34560034560034564</v>
      </c>
      <c r="EW72" s="60">
        <f>IFERROR(EW16/$B58,0)</f>
        <v>2226222.22512546</v>
      </c>
      <c r="EX72" s="60">
        <f>IFERROR(EX16/$B58,0)</f>
        <v>0.3456002919491068</v>
      </c>
      <c r="EY72" s="71">
        <f>IFERROR(s_RadSpec!$G$16*EY16,".")*$B$72</f>
        <v>1.4467578124999998E-5</v>
      </c>
      <c r="EZ72" s="71">
        <f>IFERROR(s_RadSpec!$J$16*EZ16,".")*$B$72</f>
        <v>2.2459572739726024E-12</v>
      </c>
      <c r="FA72" s="49">
        <f t="shared" si="363"/>
        <v>1.4467578124999998E-5</v>
      </c>
      <c r="FB72" s="49">
        <f t="shared" si="363"/>
        <v>2.2459572739726024E-12</v>
      </c>
      <c r="FC72" s="49">
        <f t="shared" si="364"/>
        <v>1.4467580370957272E-5</v>
      </c>
    </row>
    <row r="73" spans="1:159" x14ac:dyDescent="0.25">
      <c r="A73" s="83" t="s">
        <v>1097</v>
      </c>
      <c r="B73" s="42">
        <v>1</v>
      </c>
      <c r="C73" s="60">
        <f t="shared" ref="C73:M73" si="389">IFERROR(C7/$B59,0)</f>
        <v>6.9801206164842524</v>
      </c>
      <c r="D73" s="60">
        <f t="shared" si="389"/>
        <v>27.92048246593701</v>
      </c>
      <c r="E73" s="60">
        <f t="shared" si="389"/>
        <v>27.92048246593701</v>
      </c>
      <c r="F73" s="60">
        <f t="shared" si="389"/>
        <v>27.92048246593701</v>
      </c>
      <c r="G73" s="60">
        <f t="shared" si="389"/>
        <v>27.92048246593701</v>
      </c>
      <c r="H73" s="60">
        <f t="shared" si="389"/>
        <v>27.92048246593701</v>
      </c>
      <c r="I73" s="60">
        <f t="shared" si="389"/>
        <v>27.92048246593701</v>
      </c>
      <c r="J73" s="60">
        <f t="shared" si="389"/>
        <v>27.92048246593701</v>
      </c>
      <c r="K73" s="60">
        <f t="shared" si="389"/>
        <v>27.92048246593701</v>
      </c>
      <c r="L73" s="60">
        <f t="shared" si="389"/>
        <v>27.92048246593701</v>
      </c>
      <c r="M73" s="60">
        <f t="shared" si="389"/>
        <v>27.92048246593701</v>
      </c>
      <c r="N73" s="71">
        <f>s_dir!BA73</f>
        <v>7.1631999999999995E-7</v>
      </c>
      <c r="O73" s="71">
        <f>IFERROR(s_RadSpec!$E$7*O7,".")*$B$73</f>
        <v>1.7907999999999999E-7</v>
      </c>
      <c r="P73" s="71">
        <f>IFERROR(s_RadSpec!$E$7*P7,".")*$B$73</f>
        <v>1.7907999999999999E-7</v>
      </c>
      <c r="Q73" s="71">
        <f>IFERROR(s_RadSpec!$E$7*Q7,".")*$B$73</f>
        <v>1.7907999999999999E-7</v>
      </c>
      <c r="R73" s="71">
        <f>IFERROR(s_RadSpec!$E$7*R7,".")*$B$73</f>
        <v>1.7907999999999999E-7</v>
      </c>
      <c r="S73" s="71">
        <f>IFERROR(s_RadSpec!$E$7*S7,".")*$B$73</f>
        <v>1.7907999999999999E-7</v>
      </c>
      <c r="T73" s="71">
        <f>IFERROR(s_RadSpec!$E$7*T7,".")*$B$73</f>
        <v>1.7907999999999999E-7</v>
      </c>
      <c r="U73" s="71">
        <f>IFERROR(s_RadSpec!$E$7*U7,".")*$B$73</f>
        <v>1.7907999999999999E-7</v>
      </c>
      <c r="V73" s="71">
        <f>IFERROR(s_RadSpec!$E$7*V7,".")*$B$73</f>
        <v>1.7907999999999999E-7</v>
      </c>
      <c r="W73" s="71">
        <f>IFERROR(s_RadSpec!$E$7*W7,".")*$B$73</f>
        <v>1.7907999999999999E-7</v>
      </c>
      <c r="X73" s="71">
        <f>IFERROR(s_RadSpec!$E$7*X7,".")*$B$73</f>
        <v>1.7907999999999999E-7</v>
      </c>
      <c r="Y73" s="49">
        <f t="shared" si="320"/>
        <v>7.1631999999999995E-7</v>
      </c>
      <c r="Z73" s="49">
        <f t="shared" si="321"/>
        <v>1.7907999999999999E-7</v>
      </c>
      <c r="AA73" s="49">
        <f t="shared" si="322"/>
        <v>1.7907999999999999E-7</v>
      </c>
      <c r="AB73" s="49">
        <f t="shared" si="323"/>
        <v>1.7907999999999999E-7</v>
      </c>
      <c r="AC73" s="49">
        <f t="shared" si="324"/>
        <v>1.7907999999999999E-7</v>
      </c>
      <c r="AD73" s="49">
        <f t="shared" si="325"/>
        <v>1.7907999999999999E-7</v>
      </c>
      <c r="AE73" s="49">
        <f t="shared" si="326"/>
        <v>1.7907999999999999E-7</v>
      </c>
      <c r="AF73" s="49">
        <f t="shared" si="327"/>
        <v>1.7907999999999999E-7</v>
      </c>
      <c r="AG73" s="49">
        <f t="shared" si="328"/>
        <v>1.7907999999999999E-7</v>
      </c>
      <c r="AH73" s="49">
        <f t="shared" si="329"/>
        <v>1.7907999999999999E-7</v>
      </c>
      <c r="AI73" s="49">
        <f t="shared" si="330"/>
        <v>1.7907999999999999E-7</v>
      </c>
      <c r="AJ73" s="60">
        <f t="shared" ref="AJ73:AW73" si="390">IFERROR(AJ7/$B59,0)</f>
        <v>7571.6562619490196</v>
      </c>
      <c r="AK73" s="60">
        <f t="shared" si="390"/>
        <v>3734334.171595701</v>
      </c>
      <c r="AL73" s="60">
        <f t="shared" si="390"/>
        <v>76058.078859213259</v>
      </c>
      <c r="AM73" s="60">
        <f t="shared" si="390"/>
        <v>61.498860057129974</v>
      </c>
      <c r="AN73" s="60">
        <f>IFERROR(AN7/$B59,0)</f>
        <v>893.45543890998431</v>
      </c>
      <c r="AO73" s="60">
        <f>IFERROR(AO7/$B59,0)</f>
        <v>93.068274886456706</v>
      </c>
      <c r="AP73" s="60">
        <f>IFERROR(AP7/$B59,0)</f>
        <v>191.7206462661008</v>
      </c>
      <c r="AQ73" s="60">
        <f>IFERROR(AQ7/$B59,0)</f>
        <v>0</v>
      </c>
      <c r="AR73" s="60">
        <f t="shared" si="390"/>
        <v>0</v>
      </c>
      <c r="AS73" s="60">
        <f t="shared" si="390"/>
        <v>0</v>
      </c>
      <c r="AT73" s="60">
        <f t="shared" si="390"/>
        <v>0</v>
      </c>
      <c r="AU73" s="60">
        <f>IFERROR(AU7/$B59,0)</f>
        <v>0</v>
      </c>
      <c r="AV73" s="60">
        <f t="shared" si="390"/>
        <v>0</v>
      </c>
      <c r="AW73" s="60">
        <f t="shared" si="390"/>
        <v>0</v>
      </c>
      <c r="AX73" s="42"/>
      <c r="AY73" s="42"/>
      <c r="AZ73" s="42"/>
      <c r="BA73" s="42"/>
      <c r="BB73" s="42"/>
      <c r="BC73" s="42"/>
      <c r="BD73" s="42"/>
      <c r="BE73" s="42"/>
      <c r="BF73" s="42"/>
      <c r="BG73" s="42"/>
      <c r="BH73" s="42"/>
      <c r="BI73" s="42"/>
      <c r="BJ73" s="42"/>
      <c r="BK73" s="42"/>
      <c r="BL73" s="60">
        <f>IFERROR(BL7/$B59,0)</f>
        <v>29.863294680077111</v>
      </c>
      <c r="BM73" s="71">
        <f>IFERROR(s_RadSpec!$D$7*BM7,".")*$B$73</f>
        <v>6.6035750000000001E-10</v>
      </c>
      <c r="BN73" s="71">
        <f>IFERROR(s_RadSpec!$G$7*BN7,".")*$B$73</f>
        <v>1.3389267725505863E-12</v>
      </c>
      <c r="BO73" s="71">
        <f>IFERROR(s_RadSpec!$F$7*BO7,".")*$B$73</f>
        <v>6.5739236054794546E-11</v>
      </c>
      <c r="BP73" s="71">
        <f>s_b2s!BZ73</f>
        <v>8.1302319999999992E-8</v>
      </c>
      <c r="BQ73" s="71">
        <f>IFERROR(s_RadSpec!$E$7*BQ7,".")*$B$73</f>
        <v>5.5962499999999996E-9</v>
      </c>
      <c r="BR73" s="71">
        <f>IFERROR(s_RadSpec!$E$7*BR7,".")*$B$73</f>
        <v>5.3723999999999999E-8</v>
      </c>
      <c r="BS73" s="71">
        <f>IFERROR(s_RadSpec!$E$7*BS7,".")*$B$73</f>
        <v>2.6079611650485435E-8</v>
      </c>
      <c r="BT73" s="71">
        <f>IFERROR(s_RadSpec!$E$7*BT7,".")*$B$73</f>
        <v>0</v>
      </c>
      <c r="BU73" s="71">
        <f>IFERROR(s_RadSpec!$E$7*BU7,".")*$B$73</f>
        <v>0</v>
      </c>
      <c r="BV73" s="71">
        <f>IFERROR(s_RadSpec!$E$7*BV7,".")*$B$73</f>
        <v>0</v>
      </c>
      <c r="BW73" s="71">
        <f>IFERROR(s_RadSpec!$E$7*BW7,".")*$B$73</f>
        <v>0</v>
      </c>
      <c r="BX73" s="71">
        <f>IFERROR(s_RadSpec!$E$7*BX7,".")*$B$73</f>
        <v>0</v>
      </c>
      <c r="BY73" s="71">
        <f>IFERROR(s_RadSpec!$E$7*BY7,".")*$B$73</f>
        <v>0</v>
      </c>
      <c r="BZ73" s="71">
        <f>IFERROR(s_RadSpec!$E$7*BZ7,".")*$B$73</f>
        <v>0</v>
      </c>
      <c r="CA73" s="49">
        <f t="shared" si="332"/>
        <v>6.6035750000000001E-10</v>
      </c>
      <c r="CB73" s="49">
        <f t="shared" si="333"/>
        <v>1.3389267725505863E-12</v>
      </c>
      <c r="CC73" s="49">
        <f t="shared" si="334"/>
        <v>6.5739236054794546E-11</v>
      </c>
      <c r="CD73" s="49">
        <f t="shared" si="335"/>
        <v>8.1302319999999992E-8</v>
      </c>
      <c r="CE73" s="49">
        <f t="shared" si="336"/>
        <v>5.5962499999999996E-9</v>
      </c>
      <c r="CF73" s="49">
        <f t="shared" si="337"/>
        <v>5.3723999999999999E-8</v>
      </c>
      <c r="CG73" s="49">
        <f t="shared" si="338"/>
        <v>2.6079611650485435E-8</v>
      </c>
      <c r="CH73" s="49">
        <f t="shared" si="339"/>
        <v>0</v>
      </c>
      <c r="CI73" s="49">
        <f t="shared" si="340"/>
        <v>0</v>
      </c>
      <c r="CJ73" s="49">
        <f t="shared" si="341"/>
        <v>0</v>
      </c>
      <c r="CK73" s="49">
        <f t="shared" si="342"/>
        <v>0</v>
      </c>
      <c r="CL73" s="49">
        <f t="shared" si="343"/>
        <v>0</v>
      </c>
      <c r="CM73" s="49">
        <f t="shared" si="344"/>
        <v>0</v>
      </c>
      <c r="CN73" s="49">
        <f t="shared" si="345"/>
        <v>0</v>
      </c>
      <c r="CO73" s="49">
        <f t="shared" si="346"/>
        <v>1.6742961731331277E-7</v>
      </c>
      <c r="CP73" s="60">
        <f t="shared" ref="CP73:DC73" si="391">IFERROR(CP7/$B59,0)</f>
        <v>224.290680722216</v>
      </c>
      <c r="CQ73" s="60">
        <f t="shared" si="391"/>
        <v>0</v>
      </c>
      <c r="CR73" s="60">
        <f t="shared" si="391"/>
        <v>2799391380.1017914</v>
      </c>
      <c r="CS73" s="60">
        <f t="shared" si="391"/>
        <v>221.12164775828299</v>
      </c>
      <c r="CT73" s="60">
        <f>IFERROR(CT7/$B59,0)</f>
        <v>1861.3654977291339</v>
      </c>
      <c r="CU73" s="60">
        <f>IFERROR(CU7/$B59,0)</f>
        <v>2792048.2465937007</v>
      </c>
      <c r="CV73" s="60">
        <f>IFERROR(CV7/$B59,0)</f>
        <v>5751619.3879830232</v>
      </c>
      <c r="CW73" s="60">
        <f>IFERROR(CW7/$B59,0)</f>
        <v>0</v>
      </c>
      <c r="CX73" s="60">
        <f t="shared" si="391"/>
        <v>0</v>
      </c>
      <c r="CY73" s="60">
        <f t="shared" si="391"/>
        <v>0</v>
      </c>
      <c r="CZ73" s="60">
        <f t="shared" si="391"/>
        <v>0</v>
      </c>
      <c r="DA73" s="60">
        <f>IFERROR(DA7/$B59,0)</f>
        <v>0</v>
      </c>
      <c r="DB73" s="60">
        <f t="shared" si="391"/>
        <v>0</v>
      </c>
      <c r="DC73" s="60">
        <f t="shared" si="391"/>
        <v>0</v>
      </c>
      <c r="DD73" s="15"/>
      <c r="DE73" s="15"/>
      <c r="DF73" s="15"/>
      <c r="DG73" s="15"/>
      <c r="DH73" s="15"/>
      <c r="DI73" s="15"/>
      <c r="DJ73" s="15"/>
      <c r="DK73" s="15"/>
      <c r="DL73" s="15"/>
      <c r="DM73" s="15"/>
      <c r="DN73" s="15"/>
      <c r="DO73" s="15"/>
      <c r="DP73" s="15"/>
      <c r="DQ73" s="15"/>
      <c r="DR73" s="60">
        <f>IFERROR(DR7/$B59,0)</f>
        <v>105.05669450695729</v>
      </c>
      <c r="DS73" s="71">
        <f>IFERROR(s_RadSpec!$H$7*DS7,".")*$B$73</f>
        <v>2.2292499999999999E-8</v>
      </c>
      <c r="DT73" s="71">
        <f>IFERROR(s_RadSpec!$G$7*DT7,".")*$B$73</f>
        <v>2.0740234375E-7</v>
      </c>
      <c r="DU73" s="71">
        <f>IFERROR(s_RadSpec!$L$7*DU7,".")*$B$73</f>
        <v>1.7861025205479451E-15</v>
      </c>
      <c r="DV73" s="71">
        <f>s_b2w!BZ73</f>
        <v>2.2611987793550189E-8</v>
      </c>
      <c r="DW73" s="71">
        <f>IFERROR(s_RadSpec!$E$7*DW7,".")*$B$73</f>
        <v>2.6861999999999997E-9</v>
      </c>
      <c r="DX73" s="71">
        <f>IFERROR(s_RadSpec!$E$7*DX7,".")*$B$73</f>
        <v>1.7908E-12</v>
      </c>
      <c r="DY73" s="71">
        <f>IFERROR(s_RadSpec!$E$7*DY7,".")*$B$73</f>
        <v>8.6932038834951469E-13</v>
      </c>
      <c r="DZ73" s="71">
        <f>IFERROR(s_RadSpec!$E$7*DZ7,".")*$B$73</f>
        <v>0</v>
      </c>
      <c r="EA73" s="71">
        <f>IFERROR(s_RadSpec!$E$7*EA7,".")*$B$73</f>
        <v>0</v>
      </c>
      <c r="EB73" s="71">
        <f>IFERROR(s_RadSpec!$E$7*EB7,".")*$B$73</f>
        <v>0</v>
      </c>
      <c r="EC73" s="71">
        <f>IFERROR(s_RadSpec!$E$7*EC7,".")*$B$73</f>
        <v>0</v>
      </c>
      <c r="ED73" s="71">
        <f>IFERROR(s_RadSpec!$E$7*ED7,".")*$B$73</f>
        <v>0</v>
      </c>
      <c r="EE73" s="71">
        <f>IFERROR(s_RadSpec!$E$7*EE7,".")*$B$73</f>
        <v>0</v>
      </c>
      <c r="EF73" s="71">
        <f>IFERROR(s_RadSpec!$E$7*EF7,".")*$B$73</f>
        <v>0</v>
      </c>
      <c r="EG73" s="49">
        <f t="shared" si="348"/>
        <v>2.2292499999999999E-8</v>
      </c>
      <c r="EH73" s="49">
        <f t="shared" si="349"/>
        <v>2.0740234375E-7</v>
      </c>
      <c r="EI73" s="49">
        <f t="shared" si="350"/>
        <v>1.7861025205479451E-15</v>
      </c>
      <c r="EJ73" s="49">
        <f t="shared" si="351"/>
        <v>2.2611987793550189E-8</v>
      </c>
      <c r="EK73" s="49">
        <f t="shared" si="352"/>
        <v>2.6861999999999997E-9</v>
      </c>
      <c r="EL73" s="49">
        <f t="shared" si="353"/>
        <v>1.7908E-12</v>
      </c>
      <c r="EM73" s="49">
        <f t="shared" si="354"/>
        <v>8.6932038834951469E-13</v>
      </c>
      <c r="EN73" s="49">
        <f t="shared" si="355"/>
        <v>0</v>
      </c>
      <c r="EO73" s="49">
        <f t="shared" si="356"/>
        <v>0</v>
      </c>
      <c r="EP73" s="49">
        <f t="shared" si="357"/>
        <v>0</v>
      </c>
      <c r="EQ73" s="49">
        <f t="shared" si="358"/>
        <v>0</v>
      </c>
      <c r="ER73" s="49">
        <f t="shared" si="359"/>
        <v>0</v>
      </c>
      <c r="ES73" s="49">
        <f t="shared" si="360"/>
        <v>0</v>
      </c>
      <c r="ET73" s="49">
        <f t="shared" si="361"/>
        <v>0</v>
      </c>
      <c r="EU73" s="49">
        <f t="shared" si="362"/>
        <v>2.5499569345004103E-7</v>
      </c>
      <c r="EV73" s="60">
        <f>IFERROR(EV7/$B59,0)</f>
        <v>12.053865712402297</v>
      </c>
      <c r="EW73" s="60">
        <f>IFERROR(EW7/$B59,0)</f>
        <v>1656152.0747622075</v>
      </c>
      <c r="EX73" s="60">
        <f>IFERROR(EX7/$B59,0)</f>
        <v>12.053777982161012</v>
      </c>
      <c r="EY73" s="71">
        <f>IFERROR(s_RadSpec!$G$7*EY7,".")*$B$73</f>
        <v>4.1480468749999999E-7</v>
      </c>
      <c r="EZ73" s="71">
        <f>IFERROR(s_RadSpec!$J$7*EZ7,".")*$B$73</f>
        <v>3.019046424657534E-12</v>
      </c>
      <c r="FA73" s="49">
        <f t="shared" si="363"/>
        <v>4.1480468749999999E-7</v>
      </c>
      <c r="FB73" s="49">
        <f t="shared" si="363"/>
        <v>3.019046424657534E-12</v>
      </c>
      <c r="FC73" s="49">
        <f t="shared" si="364"/>
        <v>4.1480770654642464E-7</v>
      </c>
    </row>
    <row r="74" spans="1:159" x14ac:dyDescent="0.25">
      <c r="A74" s="83" t="s">
        <v>1098</v>
      </c>
      <c r="B74" s="86">
        <v>1.9000000000000001E-8</v>
      </c>
      <c r="C74" s="60">
        <f t="shared" ref="C74:M74" si="392">IFERROR(C12/$B60,0)</f>
        <v>0</v>
      </c>
      <c r="D74" s="60">
        <f t="shared" si="392"/>
        <v>0</v>
      </c>
      <c r="E74" s="60">
        <f t="shared" si="392"/>
        <v>0</v>
      </c>
      <c r="F74" s="60">
        <f t="shared" si="392"/>
        <v>0</v>
      </c>
      <c r="G74" s="60">
        <f t="shared" si="392"/>
        <v>0</v>
      </c>
      <c r="H74" s="60">
        <f t="shared" si="392"/>
        <v>0</v>
      </c>
      <c r="I74" s="60">
        <f t="shared" si="392"/>
        <v>0</v>
      </c>
      <c r="J74" s="60">
        <f t="shared" si="392"/>
        <v>0</v>
      </c>
      <c r="K74" s="60">
        <f t="shared" si="392"/>
        <v>0</v>
      </c>
      <c r="L74" s="60">
        <f t="shared" si="392"/>
        <v>0</v>
      </c>
      <c r="M74" s="60">
        <f t="shared" si="392"/>
        <v>0</v>
      </c>
      <c r="N74" s="71">
        <f>s_dir!BA74</f>
        <v>0</v>
      </c>
      <c r="O74" s="71">
        <f>IFERROR(s_RadSpec!$E$12*O12,".")*$B$74</f>
        <v>0</v>
      </c>
      <c r="P74" s="71">
        <f>IFERROR(s_RadSpec!$E$12*P12,".")*$B$74</f>
        <v>0</v>
      </c>
      <c r="Q74" s="71">
        <f>IFERROR(s_RadSpec!$E$12*Q12,".")*$B$74</f>
        <v>0</v>
      </c>
      <c r="R74" s="71">
        <f>IFERROR(s_RadSpec!$E$12*R12,".")*$B$74</f>
        <v>0</v>
      </c>
      <c r="S74" s="71">
        <f>IFERROR(s_RadSpec!$E$12*S12,".")*$B$74</f>
        <v>0</v>
      </c>
      <c r="T74" s="71">
        <f>IFERROR(s_RadSpec!$E$12*T12,".")*$B$74</f>
        <v>0</v>
      </c>
      <c r="U74" s="71">
        <f>IFERROR(s_RadSpec!$E$12*U12,".")*$B$74</f>
        <v>0</v>
      </c>
      <c r="V74" s="71">
        <f>IFERROR(s_RadSpec!$E$12*V12,".")*$B$74</f>
        <v>0</v>
      </c>
      <c r="W74" s="71">
        <f>IFERROR(s_RadSpec!$E$12*W12,".")*$B$74</f>
        <v>0</v>
      </c>
      <c r="X74" s="71">
        <f>IFERROR(s_RadSpec!$E$12*X12,".")*$B$74</f>
        <v>0</v>
      </c>
      <c r="Y74" s="49">
        <f t="shared" si="320"/>
        <v>0</v>
      </c>
      <c r="Z74" s="49">
        <f t="shared" si="321"/>
        <v>0</v>
      </c>
      <c r="AA74" s="49">
        <f t="shared" si="322"/>
        <v>0</v>
      </c>
      <c r="AB74" s="49">
        <f t="shared" si="323"/>
        <v>0</v>
      </c>
      <c r="AC74" s="49">
        <f t="shared" si="324"/>
        <v>0</v>
      </c>
      <c r="AD74" s="49">
        <f t="shared" si="325"/>
        <v>0</v>
      </c>
      <c r="AE74" s="49">
        <f t="shared" si="326"/>
        <v>0</v>
      </c>
      <c r="AF74" s="49">
        <f t="shared" si="327"/>
        <v>0</v>
      </c>
      <c r="AG74" s="49">
        <f t="shared" si="328"/>
        <v>0</v>
      </c>
      <c r="AH74" s="49">
        <f t="shared" si="329"/>
        <v>0</v>
      </c>
      <c r="AI74" s="49">
        <f t="shared" si="330"/>
        <v>0</v>
      </c>
      <c r="AJ74" s="60">
        <f t="shared" ref="AJ74:AW74" si="393">IFERROR(AJ12/$B60,0)</f>
        <v>0</v>
      </c>
      <c r="AK74" s="60">
        <f t="shared" si="393"/>
        <v>0</v>
      </c>
      <c r="AL74" s="60">
        <f t="shared" si="393"/>
        <v>17785744382.370789</v>
      </c>
      <c r="AM74" s="60">
        <f t="shared" si="393"/>
        <v>0</v>
      </c>
      <c r="AN74" s="60">
        <f>IFERROR(AN12/$B60,0)</f>
        <v>0</v>
      </c>
      <c r="AO74" s="60">
        <f>IFERROR(AO12/$B60,0)</f>
        <v>0</v>
      </c>
      <c r="AP74" s="60">
        <f>IFERROR(AP12/$B60,0)</f>
        <v>0</v>
      </c>
      <c r="AQ74" s="60">
        <f>IFERROR(AQ12/$B60,0)</f>
        <v>0</v>
      </c>
      <c r="AR74" s="60">
        <f t="shared" si="393"/>
        <v>0</v>
      </c>
      <c r="AS74" s="60">
        <f t="shared" si="393"/>
        <v>0</v>
      </c>
      <c r="AT74" s="60">
        <f t="shared" si="393"/>
        <v>0</v>
      </c>
      <c r="AU74" s="60">
        <f>IFERROR(AU12/$B60,0)</f>
        <v>0</v>
      </c>
      <c r="AV74" s="60">
        <f t="shared" si="393"/>
        <v>0</v>
      </c>
      <c r="AW74" s="60">
        <f t="shared" si="393"/>
        <v>0</v>
      </c>
      <c r="AX74" s="42"/>
      <c r="AY74" s="42"/>
      <c r="AZ74" s="42"/>
      <c r="BA74" s="42"/>
      <c r="BB74" s="42"/>
      <c r="BC74" s="42"/>
      <c r="BD74" s="42"/>
      <c r="BE74" s="42"/>
      <c r="BF74" s="42"/>
      <c r="BG74" s="42"/>
      <c r="BH74" s="42"/>
      <c r="BI74" s="42"/>
      <c r="BJ74" s="42"/>
      <c r="BK74" s="42"/>
      <c r="BL74" s="60">
        <f>IFERROR(BL12/$B60,0)</f>
        <v>17785744382.370789</v>
      </c>
      <c r="BM74" s="71">
        <f>IFERROR(s_RadSpec!$D$12*BM12,".")*$B$74</f>
        <v>0</v>
      </c>
      <c r="BN74" s="71">
        <f>IFERROR(s_RadSpec!$G$12*BN12,".")*$B$74</f>
        <v>0</v>
      </c>
      <c r="BO74" s="71">
        <f>IFERROR(s_RadSpec!$F$12*BO12,".")*$B$74</f>
        <v>2.8112402227910099E-16</v>
      </c>
      <c r="BP74" s="71">
        <f>s_b2s!BZ74</f>
        <v>0</v>
      </c>
      <c r="BQ74" s="71">
        <f>IFERROR(s_RadSpec!$E$12*BQ12,".")*$B$74</f>
        <v>0</v>
      </c>
      <c r="BR74" s="71">
        <f>IFERROR(s_RadSpec!$E$12*BR12,".")*$B$74</f>
        <v>0</v>
      </c>
      <c r="BS74" s="71">
        <f>IFERROR(s_RadSpec!$E$12*BS12,".")*$B$74</f>
        <v>0</v>
      </c>
      <c r="BT74" s="71">
        <f>IFERROR(s_RadSpec!$E$12*BT12,".")*$B$74</f>
        <v>0</v>
      </c>
      <c r="BU74" s="71">
        <f>IFERROR(s_RadSpec!$E$12*BU12,".")*$B$74</f>
        <v>0</v>
      </c>
      <c r="BV74" s="71">
        <f>IFERROR(s_RadSpec!$E$12*BV12,".")*$B$74</f>
        <v>0</v>
      </c>
      <c r="BW74" s="71">
        <f>IFERROR(s_RadSpec!$E$12*BW12,".")*$B$74</f>
        <v>0</v>
      </c>
      <c r="BX74" s="71">
        <f>IFERROR(s_RadSpec!$E$12*BX12,".")*$B$74</f>
        <v>0</v>
      </c>
      <c r="BY74" s="71">
        <f>IFERROR(s_RadSpec!$E$12*BY12,".")*$B$74</f>
        <v>0</v>
      </c>
      <c r="BZ74" s="71">
        <f>IFERROR(s_RadSpec!$E$12*BZ12,".")*$B$74</f>
        <v>0</v>
      </c>
      <c r="CA74" s="49">
        <f t="shared" si="332"/>
        <v>0</v>
      </c>
      <c r="CB74" s="49">
        <f t="shared" si="333"/>
        <v>0</v>
      </c>
      <c r="CC74" s="49">
        <f t="shared" si="334"/>
        <v>2.8112402227910099E-16</v>
      </c>
      <c r="CD74" s="49">
        <f t="shared" si="335"/>
        <v>0</v>
      </c>
      <c r="CE74" s="49">
        <f t="shared" si="336"/>
        <v>0</v>
      </c>
      <c r="CF74" s="49">
        <f t="shared" si="337"/>
        <v>0</v>
      </c>
      <c r="CG74" s="49">
        <f t="shared" si="338"/>
        <v>0</v>
      </c>
      <c r="CH74" s="49">
        <f t="shared" si="339"/>
        <v>0</v>
      </c>
      <c r="CI74" s="49">
        <f t="shared" si="340"/>
        <v>0</v>
      </c>
      <c r="CJ74" s="49">
        <f t="shared" si="341"/>
        <v>0</v>
      </c>
      <c r="CK74" s="49">
        <f t="shared" si="342"/>
        <v>0</v>
      </c>
      <c r="CL74" s="49">
        <f t="shared" si="343"/>
        <v>0</v>
      </c>
      <c r="CM74" s="49">
        <f t="shared" si="344"/>
        <v>0</v>
      </c>
      <c r="CN74" s="49">
        <f t="shared" si="345"/>
        <v>0</v>
      </c>
      <c r="CO74" s="49">
        <f t="shared" si="346"/>
        <v>2.8112402227910099E-16</v>
      </c>
      <c r="CP74" s="60">
        <f t="shared" ref="CP74:DC74" si="394">IFERROR(CP12/$B60,0)</f>
        <v>0</v>
      </c>
      <c r="CQ74" s="60">
        <f t="shared" si="394"/>
        <v>0</v>
      </c>
      <c r="CR74" s="60">
        <f t="shared" si="394"/>
        <v>1067193299953456.8</v>
      </c>
      <c r="CS74" s="60">
        <f t="shared" si="394"/>
        <v>0</v>
      </c>
      <c r="CT74" s="60">
        <f>IFERROR(CT12/$B60,0)</f>
        <v>0</v>
      </c>
      <c r="CU74" s="60">
        <f>IFERROR(CU12/$B60,0)</f>
        <v>0</v>
      </c>
      <c r="CV74" s="60">
        <f>IFERROR(CV12/$B60,0)</f>
        <v>0</v>
      </c>
      <c r="CW74" s="60">
        <f>IFERROR(CW12/$B60,0)</f>
        <v>0</v>
      </c>
      <c r="CX74" s="60">
        <f t="shared" si="394"/>
        <v>0</v>
      </c>
      <c r="CY74" s="60">
        <f t="shared" si="394"/>
        <v>0</v>
      </c>
      <c r="CZ74" s="60">
        <f t="shared" si="394"/>
        <v>0</v>
      </c>
      <c r="DA74" s="60">
        <f>IFERROR(DA12/$B60,0)</f>
        <v>0</v>
      </c>
      <c r="DB74" s="60">
        <f t="shared" si="394"/>
        <v>0</v>
      </c>
      <c r="DC74" s="60">
        <f t="shared" si="394"/>
        <v>0</v>
      </c>
      <c r="DD74" s="15"/>
      <c r="DE74" s="15"/>
      <c r="DF74" s="15"/>
      <c r="DG74" s="15"/>
      <c r="DH74" s="15"/>
      <c r="DI74" s="15"/>
      <c r="DJ74" s="15"/>
      <c r="DK74" s="15"/>
      <c r="DL74" s="15"/>
      <c r="DM74" s="15"/>
      <c r="DN74" s="15"/>
      <c r="DO74" s="15"/>
      <c r="DP74" s="15"/>
      <c r="DQ74" s="15"/>
      <c r="DR74" s="60">
        <f>IFERROR(DR12/$B60,0)</f>
        <v>1067193299953456.8</v>
      </c>
      <c r="DS74" s="71">
        <f>IFERROR(s_RadSpec!$H$12*DS12,".")*$B$74</f>
        <v>0</v>
      </c>
      <c r="DT74" s="71">
        <f>IFERROR(s_RadSpec!$G$12*DT12,".")*$B$74</f>
        <v>0</v>
      </c>
      <c r="DU74" s="71">
        <f>IFERROR(s_RadSpec!$L$12*DU12,".")*$B$74</f>
        <v>4.6851868356164388E-21</v>
      </c>
      <c r="DV74" s="71">
        <f>s_b2w!BZ74</f>
        <v>0</v>
      </c>
      <c r="DW74" s="71">
        <f>IFERROR(s_RadSpec!$E$12*DW12,".")*$B$74</f>
        <v>0</v>
      </c>
      <c r="DX74" s="71">
        <f>IFERROR(s_RadSpec!$E$12*DX12,".")*$B$74</f>
        <v>0</v>
      </c>
      <c r="DY74" s="71">
        <f>IFERROR(s_RadSpec!$E$12*DY12,".")*$B$74</f>
        <v>0</v>
      </c>
      <c r="DZ74" s="71">
        <f>IFERROR(s_RadSpec!$E$12*DZ12,".")*$B$74</f>
        <v>0</v>
      </c>
      <c r="EA74" s="71">
        <f>IFERROR(s_RadSpec!$E$12*EA12,".")*$B$74</f>
        <v>0</v>
      </c>
      <c r="EB74" s="71">
        <f>IFERROR(s_RadSpec!$E$12*EB12,".")*$B$74</f>
        <v>0</v>
      </c>
      <c r="EC74" s="71">
        <f>IFERROR(s_RadSpec!$E$12*EC12,".")*$B$74</f>
        <v>0</v>
      </c>
      <c r="ED74" s="71">
        <f>IFERROR(s_RadSpec!$E$12*ED12,".")*$B$74</f>
        <v>0</v>
      </c>
      <c r="EE74" s="71">
        <f>IFERROR(s_RadSpec!$E$12*EE12,".")*$B$74</f>
        <v>0</v>
      </c>
      <c r="EF74" s="71">
        <f>IFERROR(s_RadSpec!$E$12*EF12,".")*$B$74</f>
        <v>0</v>
      </c>
      <c r="EG74" s="49">
        <f t="shared" si="348"/>
        <v>0</v>
      </c>
      <c r="EH74" s="49">
        <f t="shared" si="349"/>
        <v>0</v>
      </c>
      <c r="EI74" s="49">
        <f t="shared" si="350"/>
        <v>4.6851868356164388E-21</v>
      </c>
      <c r="EJ74" s="49">
        <f t="shared" si="351"/>
        <v>0</v>
      </c>
      <c r="EK74" s="49">
        <f t="shared" si="352"/>
        <v>0</v>
      </c>
      <c r="EL74" s="49">
        <f t="shared" si="353"/>
        <v>0</v>
      </c>
      <c r="EM74" s="49">
        <f t="shared" si="354"/>
        <v>0</v>
      </c>
      <c r="EN74" s="49">
        <f t="shared" si="355"/>
        <v>0</v>
      </c>
      <c r="EO74" s="49">
        <f t="shared" si="356"/>
        <v>0</v>
      </c>
      <c r="EP74" s="49">
        <f t="shared" si="357"/>
        <v>0</v>
      </c>
      <c r="EQ74" s="49">
        <f t="shared" si="358"/>
        <v>0</v>
      </c>
      <c r="ER74" s="49">
        <f t="shared" si="359"/>
        <v>0</v>
      </c>
      <c r="ES74" s="49">
        <f t="shared" si="360"/>
        <v>0</v>
      </c>
      <c r="ET74" s="49">
        <f t="shared" si="361"/>
        <v>0</v>
      </c>
      <c r="EU74" s="49">
        <f t="shared" si="362"/>
        <v>4.6851868356164388E-21</v>
      </c>
      <c r="EV74" s="60">
        <f>IFERROR(EV12/$B60,0)</f>
        <v>0</v>
      </c>
      <c r="EW74" s="60">
        <f>IFERROR(EW12/$B60,0)</f>
        <v>929085931724.18591</v>
      </c>
      <c r="EX74" s="60">
        <f>IFERROR(EX12/$B60,0)</f>
        <v>929085931724.18591</v>
      </c>
      <c r="EY74" s="71">
        <f>IFERROR(s_RadSpec!$G$12*EY12,".")*$B$74</f>
        <v>0</v>
      </c>
      <c r="EZ74" s="71">
        <f>IFERROR(s_RadSpec!$J$12*EZ12,".")*$B$74</f>
        <v>5.3816335273972592E-18</v>
      </c>
      <c r="FA74" s="49">
        <f t="shared" si="363"/>
        <v>0</v>
      </c>
      <c r="FB74" s="49">
        <f t="shared" si="363"/>
        <v>5.3816335273972592E-18</v>
      </c>
      <c r="FC74" s="49">
        <f t="shared" si="364"/>
        <v>5.3816335273972592E-18</v>
      </c>
    </row>
    <row r="75" spans="1:159" x14ac:dyDescent="0.25">
      <c r="A75" s="83" t="s">
        <v>1099</v>
      </c>
      <c r="B75" s="42">
        <v>1</v>
      </c>
      <c r="C75" s="60">
        <f t="shared" ref="C75:M75" si="395">IFERROR(C18/$B61,0)</f>
        <v>4.0344867931074828E-2</v>
      </c>
      <c r="D75" s="60">
        <f t="shared" si="395"/>
        <v>0.16137947172429931</v>
      </c>
      <c r="E75" s="60">
        <f t="shared" si="395"/>
        <v>0.16137947172429931</v>
      </c>
      <c r="F75" s="60">
        <f t="shared" si="395"/>
        <v>0.16137947172429931</v>
      </c>
      <c r="G75" s="60">
        <f t="shared" si="395"/>
        <v>0.16137947172429931</v>
      </c>
      <c r="H75" s="60">
        <f t="shared" si="395"/>
        <v>0.16137947172429931</v>
      </c>
      <c r="I75" s="60">
        <f t="shared" si="395"/>
        <v>0.16137947172429931</v>
      </c>
      <c r="J75" s="60">
        <f t="shared" si="395"/>
        <v>0.16137947172429931</v>
      </c>
      <c r="K75" s="60">
        <f t="shared" si="395"/>
        <v>0.16137947172429931</v>
      </c>
      <c r="L75" s="60">
        <f t="shared" si="395"/>
        <v>0.16137947172429931</v>
      </c>
      <c r="M75" s="60">
        <f t="shared" si="395"/>
        <v>0.16137947172429931</v>
      </c>
      <c r="N75" s="71">
        <f>s_dir!BA75</f>
        <v>1.2393150000000001E-4</v>
      </c>
      <c r="O75" s="71">
        <f>IFERROR(s_RadSpec!$E$18*O18,".")*$B$75</f>
        <v>3.0982875000000003E-5</v>
      </c>
      <c r="P75" s="71">
        <f>IFERROR(s_RadSpec!$E$18*P18,".")*$B$75</f>
        <v>3.0982875000000003E-5</v>
      </c>
      <c r="Q75" s="71">
        <f>IFERROR(s_RadSpec!$E$18*Q18,".")*$B$75</f>
        <v>3.0982875000000003E-5</v>
      </c>
      <c r="R75" s="71">
        <f>IFERROR(s_RadSpec!$E$18*R18,".")*$B$75</f>
        <v>3.0982875000000003E-5</v>
      </c>
      <c r="S75" s="71">
        <f>IFERROR(s_RadSpec!$E$18*S18,".")*$B$75</f>
        <v>3.0982875000000003E-5</v>
      </c>
      <c r="T75" s="71">
        <f>IFERROR(s_RadSpec!$E$18*T18,".")*$B$75</f>
        <v>3.0982875000000003E-5</v>
      </c>
      <c r="U75" s="71">
        <f>IFERROR(s_RadSpec!$E$18*U18,".")*$B$75</f>
        <v>3.0982875000000003E-5</v>
      </c>
      <c r="V75" s="71">
        <f>IFERROR(s_RadSpec!$E$18*V18,".")*$B$75</f>
        <v>3.0982875000000003E-5</v>
      </c>
      <c r="W75" s="71">
        <f>IFERROR(s_RadSpec!$E$18*W18,".")*$B$75</f>
        <v>3.0982875000000003E-5</v>
      </c>
      <c r="X75" s="71">
        <f>IFERROR(s_RadSpec!$E$18*X18,".")*$B$75</f>
        <v>3.0982875000000003E-5</v>
      </c>
      <c r="Y75" s="49">
        <f t="shared" si="320"/>
        <v>1.2393150000000001E-4</v>
      </c>
      <c r="Z75" s="49">
        <f t="shared" si="321"/>
        <v>3.0982875000000003E-5</v>
      </c>
      <c r="AA75" s="49">
        <f t="shared" si="322"/>
        <v>3.0982875000000003E-5</v>
      </c>
      <c r="AB75" s="49">
        <f t="shared" si="323"/>
        <v>3.0982875000000003E-5</v>
      </c>
      <c r="AC75" s="49">
        <f t="shared" si="324"/>
        <v>3.0982875000000003E-5</v>
      </c>
      <c r="AD75" s="49">
        <f t="shared" si="325"/>
        <v>3.0982875000000003E-5</v>
      </c>
      <c r="AE75" s="49">
        <f t="shared" si="326"/>
        <v>3.0982875000000003E-5</v>
      </c>
      <c r="AF75" s="49">
        <f t="shared" si="327"/>
        <v>3.0982875000000003E-5</v>
      </c>
      <c r="AG75" s="49">
        <f t="shared" si="328"/>
        <v>3.0982875000000003E-5</v>
      </c>
      <c r="AH75" s="49">
        <f t="shared" si="329"/>
        <v>3.0982875000000003E-5</v>
      </c>
      <c r="AI75" s="49">
        <f t="shared" si="330"/>
        <v>3.0982875000000003E-5</v>
      </c>
      <c r="AJ75" s="60">
        <f t="shared" ref="AJ75:AW75" si="396">IFERROR(AJ18/$B61,0)</f>
        <v>55.525479254292819</v>
      </c>
      <c r="AK75" s="60">
        <f t="shared" si="396"/>
        <v>117174.26099649776</v>
      </c>
      <c r="AL75" s="60">
        <f t="shared" si="396"/>
        <v>1821265.1684057876</v>
      </c>
      <c r="AM75" s="60">
        <f t="shared" si="396"/>
        <v>2.156326452756538</v>
      </c>
      <c r="AN75" s="60">
        <f>IFERROR(AN18/$B61,0)</f>
        <v>0.94138025172507922</v>
      </c>
      <c r="AO75" s="60">
        <f>IFERROR(AO18/$B61,0)</f>
        <v>0.36872205475711478</v>
      </c>
      <c r="AP75" s="60">
        <f>IFERROR(AP18/$B61,0)</f>
        <v>9.0424694380911497</v>
      </c>
      <c r="AQ75" s="60">
        <f>IFERROR(AQ18/$B61,0)</f>
        <v>0</v>
      </c>
      <c r="AR75" s="60">
        <f t="shared" si="396"/>
        <v>7.6817094741065588E-4</v>
      </c>
      <c r="AS75" s="60">
        <f t="shared" si="396"/>
        <v>5.9471299154373357E-4</v>
      </c>
      <c r="AT75" s="60">
        <f t="shared" si="396"/>
        <v>0</v>
      </c>
      <c r="AU75" s="60">
        <f>IFERROR(AU18/$B61,0)</f>
        <v>0.82561677478223539</v>
      </c>
      <c r="AV75" s="60">
        <f t="shared" si="396"/>
        <v>3.6872205475711482E-2</v>
      </c>
      <c r="AW75" s="60">
        <f t="shared" si="396"/>
        <v>0</v>
      </c>
      <c r="AX75" s="42"/>
      <c r="AY75" s="42"/>
      <c r="AZ75" s="42"/>
      <c r="BA75" s="42"/>
      <c r="BB75" s="42"/>
      <c r="BC75" s="42"/>
      <c r="BD75" s="42"/>
      <c r="BE75" s="42"/>
      <c r="BF75" s="42"/>
      <c r="BG75" s="42"/>
      <c r="BH75" s="42"/>
      <c r="BI75" s="42"/>
      <c r="BJ75" s="42"/>
      <c r="BK75" s="42"/>
      <c r="BL75" s="60">
        <f>IFERROR(BL18/$B61,0)</f>
        <v>3.3156767511485823E-4</v>
      </c>
      <c r="BM75" s="71">
        <f>IFERROR(s_RadSpec!$D$18*BM18,".")*$B$75</f>
        <v>9.0048749999999994E-8</v>
      </c>
      <c r="BN75" s="71">
        <f>IFERROR(s_RadSpec!$G$18*BN18,".")*$B$75</f>
        <v>4.267148738535202E-11</v>
      </c>
      <c r="BO75" s="71">
        <f>IFERROR(s_RadSpec!$F$18*BO18,".")*$B$75</f>
        <v>2.7453443280731389E-12</v>
      </c>
      <c r="BP75" s="71">
        <f>s_b2s!BZ75</f>
        <v>2.3187583650000002E-6</v>
      </c>
      <c r="BQ75" s="71">
        <f>IFERROR(s_RadSpec!$E$18*BQ18,".")*$B$75</f>
        <v>5.3113499999999996E-6</v>
      </c>
      <c r="BR75" s="71">
        <f>IFERROR(s_RadSpec!$E$18*BR18,".")*$B$75</f>
        <v>1.3560349687500001E-5</v>
      </c>
      <c r="BS75" s="71">
        <f>IFERROR(s_RadSpec!$E$18*BS18,".")*$B$75</f>
        <v>5.5294629793689335E-7</v>
      </c>
      <c r="BT75" s="71">
        <f>IFERROR(s_RadSpec!$E$18*BT18,".")*$B$75</f>
        <v>0</v>
      </c>
      <c r="BU75" s="71">
        <f>IFERROR(s_RadSpec!$E$18*BU18,".")*$B$75</f>
        <v>6.508967850000001E-3</v>
      </c>
      <c r="BV75" s="71">
        <f>IFERROR(s_RadSpec!$E$18*BV18,".")*$B$75</f>
        <v>8.4074168062499999E-3</v>
      </c>
      <c r="BW75" s="71">
        <f>IFERROR(s_RadSpec!$E$18*BW18,".")*$B$75</f>
        <v>0</v>
      </c>
      <c r="BX75" s="71">
        <f>IFERROR(s_RadSpec!$E$18*BX18,".")*$B$75</f>
        <v>6.0560785012135922E-6</v>
      </c>
      <c r="BY75" s="71">
        <f>IFERROR(s_RadSpec!$E$18*BY18,".")*$B$75</f>
        <v>1.3560349687500003E-4</v>
      </c>
      <c r="BZ75" s="71">
        <f>IFERROR(s_RadSpec!$E$18*BZ18,".")*$B$75</f>
        <v>0</v>
      </c>
      <c r="CA75" s="49">
        <f t="shared" si="332"/>
        <v>9.0048749999999994E-8</v>
      </c>
      <c r="CB75" s="49">
        <f t="shared" si="333"/>
        <v>4.267148738535202E-11</v>
      </c>
      <c r="CC75" s="49">
        <f t="shared" si="334"/>
        <v>2.7453443280731389E-12</v>
      </c>
      <c r="CD75" s="49">
        <f t="shared" si="335"/>
        <v>2.3187583650000002E-6</v>
      </c>
      <c r="CE75" s="49">
        <f t="shared" si="336"/>
        <v>5.3113499999999996E-6</v>
      </c>
      <c r="CF75" s="49">
        <f t="shared" si="337"/>
        <v>1.3560349687500001E-5</v>
      </c>
      <c r="CG75" s="49">
        <f t="shared" si="338"/>
        <v>5.5294629793689335E-7</v>
      </c>
      <c r="CH75" s="49">
        <f t="shared" si="339"/>
        <v>0</v>
      </c>
      <c r="CI75" s="49">
        <f t="shared" si="340"/>
        <v>6.508967850000001E-3</v>
      </c>
      <c r="CJ75" s="49">
        <f t="shared" si="341"/>
        <v>8.4074168062499999E-3</v>
      </c>
      <c r="CK75" s="49">
        <f t="shared" si="342"/>
        <v>0</v>
      </c>
      <c r="CL75" s="49">
        <f t="shared" si="343"/>
        <v>6.0560785012135922E-6</v>
      </c>
      <c r="CM75" s="49">
        <f t="shared" si="344"/>
        <v>1.3560349687500003E-4</v>
      </c>
      <c r="CN75" s="49">
        <f t="shared" si="345"/>
        <v>0</v>
      </c>
      <c r="CO75" s="49">
        <f t="shared" si="346"/>
        <v>1.4966745759964151E-2</v>
      </c>
      <c r="CP75" s="60">
        <f t="shared" ref="CP75:DC75" si="397">IFERROR(CP18/$B61,0)</f>
        <v>1.1261261261261262</v>
      </c>
      <c r="CQ75" s="60">
        <f t="shared" si="397"/>
        <v>0</v>
      </c>
      <c r="CR75" s="60">
        <f t="shared" si="397"/>
        <v>241388960703.75806</v>
      </c>
      <c r="CS75" s="60">
        <f t="shared" si="397"/>
        <v>3.1687672904104303</v>
      </c>
      <c r="CT75" s="60">
        <f>IFERROR(CT18/$B61,0)</f>
        <v>4.4827631034527577</v>
      </c>
      <c r="CU75" s="60">
        <f>IFERROR(CU18/$B61,0)</f>
        <v>6455.1788689719724</v>
      </c>
      <c r="CV75" s="60">
        <f>IFERROR(CV18/$B61,0)</f>
        <v>158305.57702478886</v>
      </c>
      <c r="CW75" s="60">
        <f>IFERROR(CW18/$B61,0)</f>
        <v>0</v>
      </c>
      <c r="CX75" s="60">
        <f t="shared" si="397"/>
        <v>13.448289310358275</v>
      </c>
      <c r="CY75" s="60">
        <f t="shared" si="397"/>
        <v>10.411578820922536</v>
      </c>
      <c r="CZ75" s="60">
        <f t="shared" si="397"/>
        <v>0</v>
      </c>
      <c r="DA75" s="60">
        <f>IFERROR(DA18/$B61,0)</f>
        <v>14453.987467480722</v>
      </c>
      <c r="DB75" s="60">
        <f t="shared" si="397"/>
        <v>645.51788689719729</v>
      </c>
      <c r="DC75" s="60">
        <f t="shared" si="397"/>
        <v>0</v>
      </c>
      <c r="DD75" s="15"/>
      <c r="DE75" s="15"/>
      <c r="DF75" s="15"/>
      <c r="DG75" s="15"/>
      <c r="DH75" s="15"/>
      <c r="DI75" s="15"/>
      <c r="DJ75" s="15"/>
      <c r="DK75" s="15"/>
      <c r="DL75" s="15"/>
      <c r="DM75" s="15"/>
      <c r="DN75" s="15"/>
      <c r="DO75" s="15"/>
      <c r="DP75" s="15"/>
      <c r="DQ75" s="15"/>
      <c r="DR75" s="60">
        <f>IFERROR(DR18/$B61,0)</f>
        <v>0.62545259131190167</v>
      </c>
      <c r="DS75" s="71">
        <f>IFERROR(s_RadSpec!$H$18*DS18,".")*$B$75</f>
        <v>4.4399999999999998E-6</v>
      </c>
      <c r="DT75" s="71">
        <f>IFERROR(s_RadSpec!$G$18*DT18,".")*$B$75</f>
        <v>6.6098958333333333E-6</v>
      </c>
      <c r="DU75" s="71">
        <f>IFERROR(s_RadSpec!$L$18*DU18,".")*$B$75</f>
        <v>2.0713457589041095E-17</v>
      </c>
      <c r="DV75" s="71">
        <f>s_b2w!BZ75</f>
        <v>1.5779006603392393E-6</v>
      </c>
      <c r="DW75" s="71">
        <f>IFERROR(s_RadSpec!$E$18*DW18,".")*$B$75</f>
        <v>1.1153835E-6</v>
      </c>
      <c r="DX75" s="71">
        <f>IFERROR(s_RadSpec!$E$18*DX18,".")*$B$75</f>
        <v>7.7457187500000002E-10</v>
      </c>
      <c r="DY75" s="71">
        <f>IFERROR(s_RadSpec!$E$18*DY18,".")*$B$75</f>
        <v>3.1584484223300973E-11</v>
      </c>
      <c r="DZ75" s="71">
        <f>IFERROR(s_RadSpec!$E$18*DZ18,".")*$B$75</f>
        <v>0</v>
      </c>
      <c r="EA75" s="71">
        <f>IFERROR(s_RadSpec!$E$18*EA18,".")*$B$75</f>
        <v>3.7179449999999999E-7</v>
      </c>
      <c r="EB75" s="71">
        <f>IFERROR(s_RadSpec!$E$18*EB18,".")*$B$75</f>
        <v>4.8023456250000004E-7</v>
      </c>
      <c r="EC75" s="71">
        <f>IFERROR(s_RadSpec!$E$18*EC18,".")*$B$75</f>
        <v>0</v>
      </c>
      <c r="ED75" s="71">
        <f>IFERROR(s_RadSpec!$E$18*ED18,".")*$B$75</f>
        <v>3.4592530339805828E-10</v>
      </c>
      <c r="EE75" s="71">
        <f>IFERROR(s_RadSpec!$E$18*EE18,".")*$B$75</f>
        <v>7.7457187500000008E-9</v>
      </c>
      <c r="EF75" s="71">
        <f>IFERROR(s_RadSpec!$E$18*EF18,".")*$B$75</f>
        <v>0</v>
      </c>
      <c r="EG75" s="49">
        <f t="shared" si="348"/>
        <v>4.4399999999999998E-6</v>
      </c>
      <c r="EH75" s="49">
        <f t="shared" si="349"/>
        <v>6.6098958333333333E-6</v>
      </c>
      <c r="EI75" s="49">
        <f t="shared" si="350"/>
        <v>2.0713457589041095E-17</v>
      </c>
      <c r="EJ75" s="49">
        <f t="shared" si="351"/>
        <v>1.5779006603392393E-6</v>
      </c>
      <c r="EK75" s="49">
        <f t="shared" si="352"/>
        <v>1.1153835E-6</v>
      </c>
      <c r="EL75" s="49">
        <f t="shared" si="353"/>
        <v>7.7457187500000002E-10</v>
      </c>
      <c r="EM75" s="49">
        <f t="shared" si="354"/>
        <v>3.1584484223300973E-11</v>
      </c>
      <c r="EN75" s="49">
        <f t="shared" si="355"/>
        <v>0</v>
      </c>
      <c r="EO75" s="49">
        <f t="shared" si="356"/>
        <v>3.7179449999999999E-7</v>
      </c>
      <c r="EP75" s="49">
        <f t="shared" si="357"/>
        <v>4.8023456250000004E-7</v>
      </c>
      <c r="EQ75" s="49">
        <f t="shared" si="358"/>
        <v>0</v>
      </c>
      <c r="ER75" s="49">
        <f t="shared" si="359"/>
        <v>3.4592530339805828E-10</v>
      </c>
      <c r="ES75" s="49">
        <f t="shared" si="360"/>
        <v>7.7457187500000008E-9</v>
      </c>
      <c r="ET75" s="49">
        <f t="shared" si="361"/>
        <v>0</v>
      </c>
      <c r="EU75" s="49">
        <f t="shared" si="362"/>
        <v>1.4604106856605906E-5</v>
      </c>
      <c r="EV75" s="60">
        <f>IFERROR(EV18/$B61,0)</f>
        <v>0.37822078638405171</v>
      </c>
      <c r="EW75" s="60">
        <f>IFERROR(EW18/$B61,0)</f>
        <v>209563377.05789945</v>
      </c>
      <c r="EX75" s="60">
        <f>IFERROR(EX18/$B61,0)</f>
        <v>0.37822078570143736</v>
      </c>
      <c r="EY75" s="71">
        <f>IFERROR(s_RadSpec!$G$18*EY18,".")*$B$75</f>
        <v>1.3219791666666667E-5</v>
      </c>
      <c r="EZ75" s="71">
        <f>IFERROR(s_RadSpec!$J$18*EZ18,".")*$B$75</f>
        <v>2.3859130684931505E-14</v>
      </c>
      <c r="FA75" s="49">
        <f t="shared" si="363"/>
        <v>1.3219791666666667E-5</v>
      </c>
      <c r="FB75" s="49">
        <f t="shared" si="363"/>
        <v>2.3859130684931505E-14</v>
      </c>
      <c r="FC75" s="49">
        <f t="shared" si="364"/>
        <v>1.3219791690525798E-5</v>
      </c>
    </row>
    <row r="76" spans="1:159" x14ac:dyDescent="0.25">
      <c r="A76" s="83" t="s">
        <v>1100</v>
      </c>
      <c r="B76" s="42">
        <v>1.339E-6</v>
      </c>
      <c r="C76" s="60">
        <f t="shared" ref="C76:M76" si="398">IFERROR(C27/$B62,0)</f>
        <v>0</v>
      </c>
      <c r="D76" s="60">
        <f t="shared" si="398"/>
        <v>0</v>
      </c>
      <c r="E76" s="60">
        <f t="shared" si="398"/>
        <v>0</v>
      </c>
      <c r="F76" s="60">
        <f t="shared" si="398"/>
        <v>0</v>
      </c>
      <c r="G76" s="60">
        <f t="shared" si="398"/>
        <v>0</v>
      </c>
      <c r="H76" s="60">
        <f t="shared" si="398"/>
        <v>0</v>
      </c>
      <c r="I76" s="60">
        <f t="shared" si="398"/>
        <v>0</v>
      </c>
      <c r="J76" s="60">
        <f t="shared" si="398"/>
        <v>0</v>
      </c>
      <c r="K76" s="60">
        <f t="shared" si="398"/>
        <v>0</v>
      </c>
      <c r="L76" s="60">
        <f t="shared" si="398"/>
        <v>0</v>
      </c>
      <c r="M76" s="60">
        <f t="shared" si="398"/>
        <v>0</v>
      </c>
      <c r="N76" s="71">
        <f>s_dir!BA76</f>
        <v>0</v>
      </c>
      <c r="O76" s="71">
        <f>IFERROR(s_RadSpec!$E$27*O27,".")*$B$76</f>
        <v>0</v>
      </c>
      <c r="P76" s="71">
        <f>IFERROR(s_RadSpec!$E$27*P27,".")*$B$76</f>
        <v>0</v>
      </c>
      <c r="Q76" s="71">
        <f>IFERROR(s_RadSpec!$E$27*Q27,".")*$B$76</f>
        <v>0</v>
      </c>
      <c r="R76" s="71">
        <f>IFERROR(s_RadSpec!$E$27*R27,".")*$B$76</f>
        <v>0</v>
      </c>
      <c r="S76" s="71">
        <f>IFERROR(s_RadSpec!$E$27*S27,".")*$B$76</f>
        <v>0</v>
      </c>
      <c r="T76" s="71">
        <f>IFERROR(s_RadSpec!$E$27*T27,".")*$B$76</f>
        <v>0</v>
      </c>
      <c r="U76" s="71">
        <f>IFERROR(s_RadSpec!$E$27*U27,".")*$B$76</f>
        <v>0</v>
      </c>
      <c r="V76" s="71">
        <f>IFERROR(s_RadSpec!$E$27*V27,".")*$B$76</f>
        <v>0</v>
      </c>
      <c r="W76" s="71">
        <f>IFERROR(s_RadSpec!$E$27*W27,".")*$B$76</f>
        <v>0</v>
      </c>
      <c r="X76" s="71">
        <f>IFERROR(s_RadSpec!$E$27*X27,".")*$B$76</f>
        <v>0</v>
      </c>
      <c r="Y76" s="49">
        <f t="shared" si="320"/>
        <v>0</v>
      </c>
      <c r="Z76" s="49">
        <f t="shared" si="321"/>
        <v>0</v>
      </c>
      <c r="AA76" s="49">
        <f t="shared" si="322"/>
        <v>0</v>
      </c>
      <c r="AB76" s="49">
        <f t="shared" si="323"/>
        <v>0</v>
      </c>
      <c r="AC76" s="49">
        <f t="shared" si="324"/>
        <v>0</v>
      </c>
      <c r="AD76" s="49">
        <f t="shared" si="325"/>
        <v>0</v>
      </c>
      <c r="AE76" s="49">
        <f t="shared" si="326"/>
        <v>0</v>
      </c>
      <c r="AF76" s="49">
        <f t="shared" si="327"/>
        <v>0</v>
      </c>
      <c r="AG76" s="49">
        <f t="shared" si="328"/>
        <v>0</v>
      </c>
      <c r="AH76" s="49">
        <f t="shared" si="329"/>
        <v>0</v>
      </c>
      <c r="AI76" s="49">
        <f t="shared" si="330"/>
        <v>0</v>
      </c>
      <c r="AJ76" s="60">
        <f t="shared" ref="AJ76:AW76" si="399">IFERROR(AJ27/$B62,0)</f>
        <v>0</v>
      </c>
      <c r="AK76" s="60">
        <f t="shared" si="399"/>
        <v>0</v>
      </c>
      <c r="AL76" s="60">
        <f t="shared" si="399"/>
        <v>16474737960.456284</v>
      </c>
      <c r="AM76" s="60">
        <f t="shared" si="399"/>
        <v>0</v>
      </c>
      <c r="AN76" s="60">
        <f>IFERROR(AN27/$B62,0)</f>
        <v>0</v>
      </c>
      <c r="AO76" s="60">
        <f>IFERROR(AO27/$B62,0)</f>
        <v>0</v>
      </c>
      <c r="AP76" s="60">
        <f>IFERROR(AP27/$B62,0)</f>
        <v>0</v>
      </c>
      <c r="AQ76" s="60">
        <f>IFERROR(AQ27/$B62,0)</f>
        <v>0</v>
      </c>
      <c r="AR76" s="60">
        <f t="shared" si="399"/>
        <v>0</v>
      </c>
      <c r="AS76" s="60">
        <f t="shared" si="399"/>
        <v>0</v>
      </c>
      <c r="AT76" s="60">
        <f t="shared" si="399"/>
        <v>0</v>
      </c>
      <c r="AU76" s="60">
        <f>IFERROR(AU27/$B62,0)</f>
        <v>0</v>
      </c>
      <c r="AV76" s="60">
        <f t="shared" si="399"/>
        <v>0</v>
      </c>
      <c r="AW76" s="60">
        <f t="shared" si="399"/>
        <v>0</v>
      </c>
      <c r="AX76" s="42"/>
      <c r="AY76" s="42"/>
      <c r="AZ76" s="42"/>
      <c r="BA76" s="42"/>
      <c r="BB76" s="42"/>
      <c r="BC76" s="42"/>
      <c r="BD76" s="42"/>
      <c r="BE76" s="42"/>
      <c r="BF76" s="42"/>
      <c r="BG76" s="42"/>
      <c r="BH76" s="42"/>
      <c r="BI76" s="42"/>
      <c r="BJ76" s="42"/>
      <c r="BK76" s="42"/>
      <c r="BL76" s="60">
        <f>IFERROR(BL27/$B62,0)</f>
        <v>16474737960.456284</v>
      </c>
      <c r="BM76" s="71">
        <f>IFERROR(s_RadSpec!$D$27*BM27,".")*$B$76</f>
        <v>0</v>
      </c>
      <c r="BN76" s="71">
        <f>IFERROR(s_RadSpec!$G$27*BN27,".")*$B$76</f>
        <v>0</v>
      </c>
      <c r="BO76" s="71">
        <f>IFERROR(s_RadSpec!$F$27*BO27,".")*$B$76</f>
        <v>3.0349496374396479E-16</v>
      </c>
      <c r="BP76" s="71">
        <f>s_b2s!BZ76</f>
        <v>0</v>
      </c>
      <c r="BQ76" s="71">
        <f>IFERROR(s_RadSpec!$E$27*BQ27,".")*$B$76</f>
        <v>0</v>
      </c>
      <c r="BR76" s="71">
        <f>IFERROR(s_RadSpec!$E$27*BR27,".")*$B$76</f>
        <v>0</v>
      </c>
      <c r="BS76" s="71">
        <f>IFERROR(s_RadSpec!$E$27*BS27,".")*$B$76</f>
        <v>0</v>
      </c>
      <c r="BT76" s="71">
        <f>IFERROR(s_RadSpec!$E$27*BT27,".")*$B$76</f>
        <v>0</v>
      </c>
      <c r="BU76" s="71">
        <f>IFERROR(s_RadSpec!$E$27*BU27,".")*$B$76</f>
        <v>0</v>
      </c>
      <c r="BV76" s="71">
        <f>IFERROR(s_RadSpec!$E$27*BV27,".")*$B$76</f>
        <v>0</v>
      </c>
      <c r="BW76" s="71">
        <f>IFERROR(s_RadSpec!$E$27*BW27,".")*$B$76</f>
        <v>0</v>
      </c>
      <c r="BX76" s="71">
        <f>IFERROR(s_RadSpec!$E$27*BX27,".")*$B$76</f>
        <v>0</v>
      </c>
      <c r="BY76" s="71">
        <f>IFERROR(s_RadSpec!$E$27*BY27,".")*$B$76</f>
        <v>0</v>
      </c>
      <c r="BZ76" s="71">
        <f>IFERROR(s_RadSpec!$E$27*BZ27,".")*$B$76</f>
        <v>0</v>
      </c>
      <c r="CA76" s="49">
        <f t="shared" si="332"/>
        <v>0</v>
      </c>
      <c r="CB76" s="49">
        <f t="shared" si="333"/>
        <v>0</v>
      </c>
      <c r="CC76" s="49">
        <f t="shared" si="334"/>
        <v>3.0349496374396479E-16</v>
      </c>
      <c r="CD76" s="49">
        <f t="shared" si="335"/>
        <v>0</v>
      </c>
      <c r="CE76" s="49">
        <f t="shared" si="336"/>
        <v>0</v>
      </c>
      <c r="CF76" s="49">
        <f t="shared" si="337"/>
        <v>0</v>
      </c>
      <c r="CG76" s="49">
        <f t="shared" si="338"/>
        <v>0</v>
      </c>
      <c r="CH76" s="49">
        <f t="shared" si="339"/>
        <v>0</v>
      </c>
      <c r="CI76" s="49">
        <f t="shared" si="340"/>
        <v>0</v>
      </c>
      <c r="CJ76" s="49">
        <f t="shared" si="341"/>
        <v>0</v>
      </c>
      <c r="CK76" s="49">
        <f t="shared" si="342"/>
        <v>0</v>
      </c>
      <c r="CL76" s="49">
        <f t="shared" si="343"/>
        <v>0</v>
      </c>
      <c r="CM76" s="49">
        <f t="shared" si="344"/>
        <v>0</v>
      </c>
      <c r="CN76" s="49">
        <f t="shared" si="345"/>
        <v>0</v>
      </c>
      <c r="CO76" s="49">
        <f t="shared" si="346"/>
        <v>3.0349496374396479E-16</v>
      </c>
      <c r="CP76" s="60">
        <f t="shared" ref="CP76:DC76" si="400">IFERROR(CP27/$B62,0)</f>
        <v>0</v>
      </c>
      <c r="CQ76" s="60">
        <f t="shared" si="400"/>
        <v>0</v>
      </c>
      <c r="CR76" s="60">
        <f t="shared" si="400"/>
        <v>1111699221563237.3</v>
      </c>
      <c r="CS76" s="60">
        <f t="shared" si="400"/>
        <v>0</v>
      </c>
      <c r="CT76" s="60">
        <f>IFERROR(CT27/$B62,0)</f>
        <v>0</v>
      </c>
      <c r="CU76" s="60">
        <f>IFERROR(CU27/$B62,0)</f>
        <v>0</v>
      </c>
      <c r="CV76" s="60">
        <f>IFERROR(CV27/$B62,0)</f>
        <v>0</v>
      </c>
      <c r="CW76" s="60">
        <f>IFERROR(CW27/$B62,0)</f>
        <v>0</v>
      </c>
      <c r="CX76" s="60">
        <f t="shared" si="400"/>
        <v>0</v>
      </c>
      <c r="CY76" s="60">
        <f t="shared" si="400"/>
        <v>0</v>
      </c>
      <c r="CZ76" s="60">
        <f t="shared" si="400"/>
        <v>0</v>
      </c>
      <c r="DA76" s="60">
        <f>IFERROR(DA27/$B62,0)</f>
        <v>0</v>
      </c>
      <c r="DB76" s="60">
        <f t="shared" si="400"/>
        <v>0</v>
      </c>
      <c r="DC76" s="60">
        <f t="shared" si="400"/>
        <v>0</v>
      </c>
      <c r="DD76" s="15"/>
      <c r="DE76" s="15"/>
      <c r="DF76" s="15"/>
      <c r="DG76" s="15"/>
      <c r="DH76" s="15"/>
      <c r="DI76" s="15"/>
      <c r="DJ76" s="15"/>
      <c r="DK76" s="15"/>
      <c r="DL76" s="15"/>
      <c r="DM76" s="15"/>
      <c r="DN76" s="15"/>
      <c r="DO76" s="15"/>
      <c r="DP76" s="15"/>
      <c r="DQ76" s="15"/>
      <c r="DR76" s="60">
        <f>IFERROR(DR27/$B62,0)</f>
        <v>1111699221563237.3</v>
      </c>
      <c r="DS76" s="71">
        <f>IFERROR(s_RadSpec!$H$27*DS27,".")*$B$76</f>
        <v>0</v>
      </c>
      <c r="DT76" s="71">
        <f>IFERROR(s_RadSpec!$G$27*DT27,".")*$B$76</f>
        <v>0</v>
      </c>
      <c r="DU76" s="71">
        <f>IFERROR(s_RadSpec!$L$27*DU27,".")*$B$76</f>
        <v>4.4976194127123279E-21</v>
      </c>
      <c r="DV76" s="71">
        <f>s_b2w!BZ76</f>
        <v>0</v>
      </c>
      <c r="DW76" s="71">
        <f>IFERROR(s_RadSpec!$E$27*DW27,".")*$B$76</f>
        <v>0</v>
      </c>
      <c r="DX76" s="71">
        <f>IFERROR(s_RadSpec!$E$27*DX27,".")*$B$76</f>
        <v>0</v>
      </c>
      <c r="DY76" s="71">
        <f>IFERROR(s_RadSpec!$E$27*DY27,".")*$B$76</f>
        <v>0</v>
      </c>
      <c r="DZ76" s="71">
        <f>IFERROR(s_RadSpec!$E$27*DZ27,".")*$B$76</f>
        <v>0</v>
      </c>
      <c r="EA76" s="71">
        <f>IFERROR(s_RadSpec!$E$27*EA27,".")*$B$76</f>
        <v>0</v>
      </c>
      <c r="EB76" s="71">
        <f>IFERROR(s_RadSpec!$E$27*EB27,".")*$B$76</f>
        <v>0</v>
      </c>
      <c r="EC76" s="71">
        <f>IFERROR(s_RadSpec!$E$27*EC27,".")*$B$76</f>
        <v>0</v>
      </c>
      <c r="ED76" s="71">
        <f>IFERROR(s_RadSpec!$E$27*ED27,".")*$B$76</f>
        <v>0</v>
      </c>
      <c r="EE76" s="71">
        <f>IFERROR(s_RadSpec!$E$27*EE27,".")*$B$76</f>
        <v>0</v>
      </c>
      <c r="EF76" s="71">
        <f>IFERROR(s_RadSpec!$E$27*EF27,".")*$B$76</f>
        <v>0</v>
      </c>
      <c r="EG76" s="49">
        <f t="shared" si="348"/>
        <v>0</v>
      </c>
      <c r="EH76" s="49">
        <f t="shared" si="349"/>
        <v>0</v>
      </c>
      <c r="EI76" s="49">
        <f t="shared" si="350"/>
        <v>4.4976194127123279E-21</v>
      </c>
      <c r="EJ76" s="49">
        <f t="shared" si="351"/>
        <v>0</v>
      </c>
      <c r="EK76" s="49">
        <f t="shared" si="352"/>
        <v>0</v>
      </c>
      <c r="EL76" s="49">
        <f t="shared" si="353"/>
        <v>0</v>
      </c>
      <c r="EM76" s="49">
        <f t="shared" si="354"/>
        <v>0</v>
      </c>
      <c r="EN76" s="49">
        <f t="shared" si="355"/>
        <v>0</v>
      </c>
      <c r="EO76" s="49">
        <f t="shared" si="356"/>
        <v>0</v>
      </c>
      <c r="EP76" s="49">
        <f t="shared" si="357"/>
        <v>0</v>
      </c>
      <c r="EQ76" s="49">
        <f t="shared" si="358"/>
        <v>0</v>
      </c>
      <c r="ER76" s="49">
        <f t="shared" si="359"/>
        <v>0</v>
      </c>
      <c r="ES76" s="49">
        <f t="shared" si="360"/>
        <v>0</v>
      </c>
      <c r="ET76" s="49">
        <f t="shared" si="361"/>
        <v>0</v>
      </c>
      <c r="EU76" s="49">
        <f t="shared" si="362"/>
        <v>4.4976194127123279E-21</v>
      </c>
      <c r="EV76" s="60">
        <f>IFERROR(EV27/$B62,0)</f>
        <v>0</v>
      </c>
      <c r="EW76" s="60">
        <f>IFERROR(EW27/$B62,0)</f>
        <v>696020382196.11377</v>
      </c>
      <c r="EX76" s="60">
        <f>IFERROR(EX27/$B62,0)</f>
        <v>696020382196.11377</v>
      </c>
      <c r="EY76" s="71">
        <f>IFERROR(s_RadSpec!$G$27*EY27,".")*$B$76</f>
        <v>0</v>
      </c>
      <c r="EZ76" s="71">
        <f>IFERROR(s_RadSpec!$J$27*EZ27,".")*$B$76</f>
        <v>7.1836976730821903E-18</v>
      </c>
      <c r="FA76" s="49">
        <f t="shared" si="363"/>
        <v>0</v>
      </c>
      <c r="FB76" s="49">
        <f t="shared" si="363"/>
        <v>7.1836976730821903E-18</v>
      </c>
      <c r="FC76" s="49">
        <f t="shared" si="364"/>
        <v>7.1836976730821903E-18</v>
      </c>
    </row>
  </sheetData>
  <sheetProtection algorithmName="SHA-512" hashValue="bm+6zbHjHDR2WGrhMxT04+DMehWFN3csHbig+lszzDArfRnhrAiYyPYdcS5EHHv552Nnp7ILa3ZBUqbnQheKxw==" saltValue="FzBhUMxutFn47OBbggYpGA==" spinCount="100000" sheet="1" objects="1" scenarios="1" formatColumns="0" formatRows="0" autoFilter="0"/>
  <autoFilter ref="A1:FC76" xr:uid="{8028F647-26EC-40E7-8F65-1DCF467D9183}"/>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theme="9" tint="-0.499984740745262"/>
  </sheetPr>
  <dimension ref="A1:BJ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4.5703125" style="15" bestFit="1" customWidth="1"/>
    <col min="2" max="2" width="10.7109375" style="15" bestFit="1" customWidth="1"/>
    <col min="3" max="3" width="12.85546875" style="15" bestFit="1" customWidth="1"/>
    <col min="4" max="4" width="13" style="15" bestFit="1" customWidth="1"/>
    <col min="5" max="5" width="12.85546875" style="15" bestFit="1" customWidth="1"/>
    <col min="6" max="6" width="12.85546875" style="3" bestFit="1" customWidth="1"/>
    <col min="7" max="7" width="12.5703125" style="15" bestFit="1" customWidth="1"/>
    <col min="8" max="8" width="12.7109375" style="15" bestFit="1" customWidth="1"/>
    <col min="9" max="9" width="12.5703125" style="15" bestFit="1" customWidth="1"/>
    <col min="10" max="13" width="13.5703125" style="15" bestFit="1" customWidth="1"/>
    <col min="14" max="14" width="12" style="15" bestFit="1" customWidth="1"/>
    <col min="15" max="16" width="13.85546875" style="15" bestFit="1" customWidth="1"/>
    <col min="17" max="17" width="14.7109375" style="15" bestFit="1" customWidth="1"/>
    <col min="18" max="19" width="12.28515625" style="15" bestFit="1" customWidth="1"/>
    <col min="20" max="21" width="14" style="15" bestFit="1" customWidth="1"/>
    <col min="22" max="22" width="15" style="15" bestFit="1" customWidth="1"/>
    <col min="23" max="23" width="12.7109375" style="15" bestFit="1" customWidth="1"/>
    <col min="24" max="24" width="12.85546875" style="15" bestFit="1" customWidth="1"/>
    <col min="25" max="26" width="14.5703125" style="15" bestFit="1" customWidth="1"/>
    <col min="27" max="27" width="15.5703125" style="15" bestFit="1" customWidth="1"/>
    <col min="28" max="28" width="13.140625" style="15" bestFit="1" customWidth="1"/>
    <col min="29" max="29" width="12.28515625" style="15" bestFit="1" customWidth="1"/>
    <col min="30" max="30" width="12.5703125" style="15" bestFit="1" customWidth="1"/>
    <col min="31" max="31" width="12.140625" style="15" bestFit="1" customWidth="1"/>
    <col min="32" max="32" width="12.5703125" style="15" bestFit="1" customWidth="1"/>
    <col min="33" max="33" width="12.85546875" style="15" bestFit="1" customWidth="1"/>
    <col min="34" max="34" width="13.140625" style="15" bestFit="1" customWidth="1"/>
    <col min="35" max="35" width="13.42578125" style="15" bestFit="1" customWidth="1"/>
    <col min="36" max="36" width="13" style="15" bestFit="1" customWidth="1"/>
    <col min="37" max="37" width="13.140625" style="15" bestFit="1" customWidth="1"/>
    <col min="38" max="38" width="14.28515625" style="15" bestFit="1" customWidth="1"/>
    <col min="39" max="39" width="13.140625" style="3" bestFit="1" customWidth="1"/>
    <col min="40" max="40" width="13.5703125" style="15" bestFit="1" customWidth="1"/>
    <col min="41" max="41" width="14.7109375" style="15" bestFit="1" customWidth="1"/>
    <col min="42" max="42" width="14" style="15" bestFit="1" customWidth="1"/>
    <col min="43" max="43" width="15.28515625" style="15" bestFit="1" customWidth="1"/>
    <col min="44" max="44" width="14" style="15" bestFit="1" customWidth="1"/>
    <col min="45" max="45" width="14.42578125" style="3" bestFit="1" customWidth="1"/>
    <col min="46" max="46" width="18.140625" style="3" bestFit="1" customWidth="1"/>
    <col min="47" max="47" width="18.42578125" style="3" bestFit="1" customWidth="1"/>
    <col min="48" max="48" width="13.5703125" style="3" bestFit="1" customWidth="1"/>
    <col min="49" max="49" width="17.28515625" style="3" bestFit="1" customWidth="1"/>
    <col min="50" max="50" width="17.5703125" style="3" bestFit="1" customWidth="1"/>
    <col min="51" max="51" width="14.85546875" style="17" bestFit="1" customWidth="1"/>
    <col min="52" max="52" width="18.5703125" style="17" bestFit="1" customWidth="1"/>
    <col min="53" max="53" width="19" style="17" bestFit="1" customWidth="1"/>
    <col min="54" max="54" width="14" style="17" bestFit="1" customWidth="1"/>
    <col min="55" max="55" width="17.5703125" style="17" bestFit="1" customWidth="1"/>
    <col min="56" max="56" width="18" style="17" bestFit="1" customWidth="1"/>
    <col min="57" max="57" width="15.42578125" style="3" bestFit="1" customWidth="1"/>
    <col min="58" max="58" width="19" style="3" bestFit="1" customWidth="1"/>
    <col min="59" max="59" width="19.5703125" style="3" bestFit="1" customWidth="1"/>
    <col min="60" max="60" width="14.42578125" style="3" bestFit="1" customWidth="1"/>
    <col min="61" max="61" width="18" style="3" bestFit="1" customWidth="1"/>
    <col min="62" max="62" width="18.5703125" style="3" bestFit="1" customWidth="1"/>
    <col min="63" max="16384" width="9.140625" style="3"/>
  </cols>
  <sheetData>
    <row r="1" spans="1:62" x14ac:dyDescent="0.25">
      <c r="A1" s="39" t="s">
        <v>51</v>
      </c>
      <c r="B1" s="39" t="s">
        <v>350</v>
      </c>
      <c r="C1" s="15" t="s">
        <v>1169</v>
      </c>
      <c r="D1" s="15" t="s">
        <v>1170</v>
      </c>
      <c r="E1" s="15" t="s">
        <v>1171</v>
      </c>
      <c r="F1" s="2" t="s">
        <v>1172</v>
      </c>
      <c r="G1" s="40" t="s">
        <v>1225</v>
      </c>
      <c r="H1" s="40" t="s">
        <v>1226</v>
      </c>
      <c r="I1" s="40" t="s">
        <v>1227</v>
      </c>
      <c r="J1" s="41" t="s">
        <v>1229</v>
      </c>
      <c r="K1" s="41" t="s">
        <v>1230</v>
      </c>
      <c r="L1" s="41" t="s">
        <v>1231</v>
      </c>
      <c r="M1" s="41" t="s">
        <v>1233</v>
      </c>
      <c r="N1" s="42" t="s">
        <v>1220</v>
      </c>
      <c r="O1" s="42" t="s">
        <v>1221</v>
      </c>
      <c r="P1" s="42" t="s">
        <v>1222</v>
      </c>
      <c r="Q1" s="42" t="s">
        <v>1223</v>
      </c>
      <c r="R1" s="42" t="s">
        <v>1224</v>
      </c>
      <c r="S1" s="43" t="s">
        <v>1239</v>
      </c>
      <c r="T1" s="43" t="s">
        <v>1240</v>
      </c>
      <c r="U1" s="43" t="s">
        <v>1241</v>
      </c>
      <c r="V1" s="43" t="s">
        <v>1242</v>
      </c>
      <c r="W1" s="43" t="s">
        <v>1243</v>
      </c>
      <c r="X1" s="41" t="s">
        <v>1234</v>
      </c>
      <c r="Y1" s="41" t="s">
        <v>1235</v>
      </c>
      <c r="Z1" s="41" t="s">
        <v>1236</v>
      </c>
      <c r="AA1" s="41" t="s">
        <v>1237</v>
      </c>
      <c r="AB1" s="41" t="s">
        <v>1238</v>
      </c>
      <c r="AC1" s="42" t="s">
        <v>1209</v>
      </c>
      <c r="AD1" s="42" t="s">
        <v>1210</v>
      </c>
      <c r="AE1" s="42" t="s">
        <v>1211</v>
      </c>
      <c r="AF1" s="43" t="s">
        <v>1244</v>
      </c>
      <c r="AG1" s="43" t="s">
        <v>1245</v>
      </c>
      <c r="AH1" s="41" t="s">
        <v>1246</v>
      </c>
      <c r="AI1" s="41" t="s">
        <v>1247</v>
      </c>
      <c r="AJ1" s="41" t="s">
        <v>1248</v>
      </c>
      <c r="AK1" s="15" t="s">
        <v>1173</v>
      </c>
      <c r="AL1" s="15" t="s">
        <v>1213</v>
      </c>
      <c r="AM1" s="2" t="s">
        <v>1202</v>
      </c>
      <c r="AN1" s="43" t="s">
        <v>1374</v>
      </c>
      <c r="AO1" s="43" t="s">
        <v>1375</v>
      </c>
      <c r="AP1" s="41" t="s">
        <v>1376</v>
      </c>
      <c r="AQ1" s="41" t="s">
        <v>1377</v>
      </c>
      <c r="AR1" s="41" t="s">
        <v>1378</v>
      </c>
      <c r="AS1" s="2" t="s">
        <v>1214</v>
      </c>
      <c r="AT1" s="2" t="s">
        <v>1219</v>
      </c>
      <c r="AU1" s="2" t="s">
        <v>1216</v>
      </c>
      <c r="AV1" s="2" t="s">
        <v>1215</v>
      </c>
      <c r="AW1" s="2" t="s">
        <v>1218</v>
      </c>
      <c r="AX1" s="2" t="s">
        <v>1217</v>
      </c>
      <c r="AY1" s="16" t="s">
        <v>1379</v>
      </c>
      <c r="AZ1" s="16" t="s">
        <v>1380</v>
      </c>
      <c r="BA1" s="16" t="s">
        <v>1381</v>
      </c>
      <c r="BB1" s="16" t="s">
        <v>1382</v>
      </c>
      <c r="BC1" s="16" t="s">
        <v>1383</v>
      </c>
      <c r="BD1" s="16" t="s">
        <v>1384</v>
      </c>
      <c r="BE1" s="69" t="s">
        <v>1385</v>
      </c>
      <c r="BF1" s="69" t="s">
        <v>1386</v>
      </c>
      <c r="BG1" s="69" t="s">
        <v>1387</v>
      </c>
      <c r="BH1" s="69" t="s">
        <v>1388</v>
      </c>
      <c r="BI1" s="69" t="s">
        <v>1389</v>
      </c>
      <c r="BJ1" s="69" t="s">
        <v>1390</v>
      </c>
    </row>
    <row r="2" spans="1:62" customFormat="1" x14ac:dyDescent="0.25">
      <c r="A2" s="44" t="s">
        <v>12</v>
      </c>
      <c r="B2" s="42" t="s">
        <v>1074</v>
      </c>
      <c r="C2" s="15">
        <f>IFERROR(((s_TR/(s_RadSpec!D2*s_IFS_rec_adj*(1/1000)))*1),".")</f>
        <v>372.27309954582682</v>
      </c>
      <c r="D2" s="15">
        <f>IFERROR(IF(A2="H-3",(s_TR/((s_RadSpec!G2*s_IFA_rec_adj*(1/17)*1000))*1),(s_TR/((s_RadSpec!G2*s_IFA_rec_adj*(1/s_PEF_wind)*1000))*1)),".")</f>
        <v>59497.81128319577</v>
      </c>
      <c r="E2" s="2">
        <f>IFERROR((s_TR/(s_RadSpec!F2*s_EF_rec*(1/365)*s_ED_rec*s_RadSpec!Q2*s_ET_rec*(1/24)*s_RadSpec!V2)),".")</f>
        <v>22563.515484730233</v>
      </c>
      <c r="F2" s="2">
        <f t="shared" ref="F2" si="0">(IF(AND(ISNUMBER(C2),ISNUMBER(D2),ISNUMBER(E2)),1/((1/C2)+(1/D2)+(1/E2)),IF(AND(ISNUMBER(C2),ISNUMBER(D2),NOT(ISNUMBER(E2))), 1/((1/C2)+(1/D2)),IF(AND(ISNUMBER(C2),NOT(ISNUMBER(D2)),ISNUMBER(E2)),1/((1/C2)+(1/E2)),IF(AND(NOT(ISNUMBER(C2)),ISNUMBER(D2),ISNUMBER(E2)),1/((1/D2)+(1/E2)),IF(AND(ISNUMBER(C2),NOT(ISNUMBER(D2)),NOT(ISNUMBER(E2))),1/((1/C2)),IF(AND(NOT(ISNUMBER(C2)),NOT(ISNUMBER(D2)),ISNUMBER(E2)),1/((1/E2)),IF(AND(NOT(ISNUMBER(C2)),ISNUMBER(D2),NOT(ISNUMBER(E2))),1/((1/D2)),IF(AND(NOT(ISNUMBER(C2)),NOT(ISNUMBER(D2)),NOT(ISNUMBER(E2))),".")))))))))</f>
        <v>363.99020501602143</v>
      </c>
      <c r="G2" s="40">
        <f t="shared" ref="G2:G30" si="1">s_C*s_IFS_rec_adj*(1/1000)</f>
        <v>27.5</v>
      </c>
      <c r="H2" s="40">
        <f t="shared" ref="H2:H30" si="2">s_C*s_IFA_rec_adj*(1/s_PEF_wind)*1000</f>
        <v>2.9420495991003873E-3</v>
      </c>
      <c r="I2" s="40">
        <f>IFERROR((s_C*s_EF_rec*(1/365)*s_ED_rec*s_RadSpec!Q2*s_ET_rec*(1/24)*s_RadSpec!V2),".")</f>
        <v>5.3762919269923796E-3</v>
      </c>
      <c r="J2" s="18"/>
      <c r="K2" s="18"/>
      <c r="L2" s="18"/>
      <c r="M2" s="5"/>
      <c r="N2" s="15">
        <f>IFERROR((s_TR/(s_RadSpec!F2*s_EF_rec*(1/365)*s_ED_rec*s_RadSpec!Q2*s_ET_rec*(1/24)*s_RadSpec!V2)),".")</f>
        <v>22563.515484730233</v>
      </c>
      <c r="O2" s="15">
        <f>IFERROR((s_TR/(s_RadSpec!M2*s_EF_rec*(1/365)*s_ED_rec*s_RadSpec!R2*s_ET_rec*(1/24)*s_RadSpec!W2)),".")</f>
        <v>162869.7563737868</v>
      </c>
      <c r="P2" s="15">
        <f>IFERROR((s_TR/(s_RadSpec!N2*s_EF_rec*(1/365)*s_ED_rec*s_RadSpec!S2*s_ET_rec*(1/24)*s_RadSpec!X2)),".")</f>
        <v>42726.692033913423</v>
      </c>
      <c r="Q2" s="15">
        <f>IFERROR((s_TR/(s_RadSpec!O2*s_EF_rec*(1/365)*s_ED_rec*s_RadSpec!T2*s_ET_rec*(1/24)*s_RadSpec!Y2)),".")</f>
        <v>26430.008992544103</v>
      </c>
      <c r="R2" s="15">
        <f>IFERROR((s_TR/(s_RadSpec!K2*s_EF_rec*(1/365)*s_ED_rec*s_RadSpec!P2*s_ET_rec*(1/24)*s_RadSpec!U2)),".")</f>
        <v>1237286.7495767623</v>
      </c>
      <c r="S2" s="40">
        <f>IFERROR((s_C*s_EF_rec*(1/365)*s_ED_rec*s_RadSpec!Q2*s_ET_rec*(1/24)*s_RadSpec!V2),".")</f>
        <v>5.3762919269923796E-3</v>
      </c>
      <c r="T2" s="40">
        <f>IFERROR((s_C*s_EF_rec*(1/365)*s_ED_rec*s_RadSpec!R2*s_ET_rec*(1/24)*s_RadSpec!W2),".")</f>
        <v>2.6589820692727484E-3</v>
      </c>
      <c r="U2" s="40">
        <f>IFERROR((s_C*s_EF_rec*(1/365)*s_ED_rec*s_RadSpec!S2*s_ET_rec*(1/24)*s_RadSpec!X2),".")</f>
        <v>3.9149397026109365E-3</v>
      </c>
      <c r="V2" s="40">
        <f>IFERROR((s_C*s_EF_rec*(1/365)*s_ED_rec*s_RadSpec!T2*s_ET_rec*(1/24)*s_RadSpec!Y2),".")</f>
        <v>4.7098660920424822E-3</v>
      </c>
      <c r="W2" s="40">
        <f>IFERROR((s_C*s_EF_rec*(1/365)*s_ED_rec*s_RadSpec!P2*s_ET_rec*(1/24)*s_RadSpec!U2),".")</f>
        <v>3.3601350009926535E-4</v>
      </c>
      <c r="X2" s="18"/>
      <c r="Y2" s="18"/>
      <c r="Z2" s="18"/>
      <c r="AA2" s="18"/>
      <c r="AB2" s="18"/>
      <c r="AC2" s="15">
        <f>IFERROR((s_TR/(s_RadSpec!G2*s_IFA_rec_adj)),".")</f>
        <v>0.19204993298257547</v>
      </c>
      <c r="AD2" s="15">
        <f>IFERROR((s_TR/(s_RadSpec!J2*s_EF_rec*(1/365)*s_ED_rec*s_ET_rec*(1/24)*s_GSF_a)),".")</f>
        <v>170121.74373407708</v>
      </c>
      <c r="AE2" s="15">
        <f>IFERROR(IF(AND(AC2&lt;&gt;".",AD2&lt;&gt;"."),1/((1/AC2)+(1/AD2)),IF(AND(AC2&lt;&gt;".",AD2="."),1/((1/AC2)),IF(AND(AC2=".",AD2&lt;&gt;"."),1/((1/AD2)),IF(AND(AC2=".",AD2="."),".")))),".")</f>
        <v>0.19204971617821928</v>
      </c>
      <c r="AF2" s="40">
        <f t="shared" ref="AF2:AF30" si="3">s_C*s_IFA_rec_adj</f>
        <v>911.45833333333326</v>
      </c>
      <c r="AG2" s="40">
        <f t="shared" ref="AG2:AG30" si="4">IFERROR((s_C*s_EF_rec*(1/365)*s_ED_rec*s_ET_rec*(1/24)*s_GSF_a),".")</f>
        <v>0.57077625570776247</v>
      </c>
      <c r="AH2" s="45"/>
      <c r="AI2" s="45"/>
      <c r="AJ2" s="45"/>
      <c r="AK2" s="15">
        <f>IFERROR((s_TR/(s_RadSpec!H2*s_IFW_rec_adj)),".")</f>
        <v>2.6445231924683976</v>
      </c>
      <c r="AL2" s="15">
        <f>IFERROR((s_TR/(s_RadSpec!L2*(1/8760)*s_DFA_rec_adj)),".")</f>
        <v>191974639.16767657</v>
      </c>
      <c r="AM2" s="2">
        <f t="shared" ref="AM2:AM30" si="5">IFERROR(IF(AND(AK2&lt;&gt;0,AL2&lt;&gt;0),1/((1/AK2)+(1/AL2)),IF(AND(AK2&lt;&gt;0,AL2=0),1/((1/AK2)),IF(AND(AK2=0,AL2&lt;&gt;0),1/((1/AL2)),IF(AND(AK2=0,AL2=0),0)))),0)</f>
        <v>2.6445231560390918</v>
      </c>
      <c r="AN2" s="40">
        <f t="shared" ref="AN2:AN30" si="6">s_C*s_IFW_rec_adj</f>
        <v>10000</v>
      </c>
      <c r="AO2" s="40">
        <f t="shared" ref="AO2:AO30" si="7">s_C*(1/8760)*s_DFA_rec_adj</f>
        <v>0.22831050228310501</v>
      </c>
      <c r="AP2" s="18"/>
      <c r="AQ2" s="18"/>
      <c r="AR2" s="18"/>
      <c r="AS2" s="2">
        <f>IFERROR(s_TR/(s_RadSpec!E2*s_EF_rec*s_ED_rec*s_IRGL_rec*s_CF_game),".")</f>
        <v>18.410781353560644</v>
      </c>
      <c r="AT2" s="2">
        <f>IFERROR((AS2/(s_RadSpec!AH2*((s_Q_p_game*s_f_p_game*s_f_s_game*(s_RadSpec!BB2+s_R_es_past))+(s_Q_s_game*s_f_p_game)))),".")</f>
        <v>104606.71223614001</v>
      </c>
      <c r="AU2" s="2">
        <f>IFERROR(AS2/(s_RadSpec!AH2*s_Q_w_game*(1/1000)),".")</f>
        <v>460269533.83901608</v>
      </c>
      <c r="AV2" s="2">
        <f>IFERROR(s_TR/(s_RadSpec!E2*s_EF_rec*s_ED_rec*s_IRGF_rec*s_CF_fowl),".")</f>
        <v>18.410781353560644</v>
      </c>
      <c r="AW2" s="2" t="str">
        <f>IFERROR((AS2/(s_RadSpec!AJ2*((s_Q_p_fowl*s_f_p_fowl*s_f_s_fowl*(s_RadSpec!BB2+s_R_es_past))+(s_Q_s_fowl*s_f_p_fowl)))),".")</f>
        <v>.</v>
      </c>
      <c r="AX2" s="2" t="str">
        <f>IFERROR(AS2/(s_RadSpec!AJ2*s_Q_w_fowl*(1/1000)),".")</f>
        <v>.</v>
      </c>
      <c r="AY2" s="19">
        <f t="shared" ref="AY2:AY30" si="8">IFERROR(s_C*s_EF_rec*s_ED_rec*s_IRGL_rec*s_CF_game,".")</f>
        <v>1000</v>
      </c>
      <c r="AZ2" s="19">
        <f>IFERROR((s_C*s_IRGL_rec*s_EF_rec*s_ED_rec*s_CF_game*s_RadSpec!AH2)*((s_Q_p_game*s_f_p_game*s_f_s_game*(s_RadSpec!BB2+s_R_es_past))+(s_Q_s_game*s_f_p_game)),".")</f>
        <v>0.17600000000000002</v>
      </c>
      <c r="BA2" s="19">
        <f>IFERROR(s_C*s_RadSpec!AH2*s_Q_w_game*(1/1000)*s_EF_rec*s_ED_rec*s_IRGL_rec*s_CF_game,".")</f>
        <v>4.000000000000001E-5</v>
      </c>
      <c r="BB2" s="19">
        <f t="shared" ref="BB2:BB30" si="9">IFERROR(s_C*s_EF_rec*s_ED_rec*s_IRGF_rec*s_CF_fowl,".")</f>
        <v>1000</v>
      </c>
      <c r="BC2" s="19">
        <f>IFERROR((s_C*s_IRGF_rec*s_EF_rec*s_ED_rec*s_CF_fowl*s_RadSpec!AJ2)*((s_Q_p_fowl*s_f_p_fowl*s_f_s_fowl*(s_RadSpec!BB2+s_R_es_past))+(s_Q_s_fowl*s_f_p_fowl)),".")</f>
        <v>0</v>
      </c>
      <c r="BD2" s="19">
        <f>IFERROR(s_C*s_RadSpec!AJ2*s_Q_w_fowl*(1/1000)*s_EF_rec*s_ED_rec*s_IRGL_rec*s_CF_fowl,".")</f>
        <v>0</v>
      </c>
      <c r="BE2" s="5"/>
      <c r="BF2" s="5"/>
      <c r="BG2" s="5"/>
      <c r="BH2" s="5"/>
      <c r="BI2" s="5"/>
      <c r="BJ2" s="5"/>
    </row>
    <row r="3" spans="1:62" x14ac:dyDescent="0.25">
      <c r="A3" s="46" t="s">
        <v>13</v>
      </c>
      <c r="B3" s="42" t="s">
        <v>351</v>
      </c>
      <c r="C3" s="15">
        <f>IFERROR(((s_TR/(s_RadSpec!D3*s_IFS_rec_adj*(1/1000)))*1),".")</f>
        <v>986.74797469978205</v>
      </c>
      <c r="D3" s="15">
        <f>IFERROR(IF(A3="H-3",(s_TR/((s_RadSpec!G3*s_IFA_rec_adj*(1/17)*1000))*1),(s_TR/((s_RadSpec!G3*s_IFA_rec_adj*(1/s_PEF_wind)*1000))*1)),".")</f>
        <v>45031.676775124637</v>
      </c>
      <c r="E3" s="2">
        <f>IFERROR((TR/(s_RadSpec!F3*s_EF_rec*(1/365)*s_ED_rec*s_RadSpec!Q3*s_ET_rec*(1/24)*s_RadSpec!V3)),".")</f>
        <v>4409167.9784243433</v>
      </c>
      <c r="F3" s="2">
        <f>IF(AND(C3&lt;&gt;".",D3&lt;&gt;".",E3&lt;&gt;"."),1/((1/C3)+(1/D3)+(1/E3)),IF(AND(C3&lt;&gt;".",D3&lt;&gt;".",E3="."), 1/((1/C3)+(1/D3)),IF(AND(C3&lt;&gt;".",D3=".",E3&lt;&gt;"."),1/((1/C3)+(1/E3)),IF(AND(C3=".",D3&lt;&gt;".",E3&lt;&gt;"."),1/((1/D3)+(1/E3)),IF(AND(C3&lt;&gt;".",D3=".",E3="."),1/((1/C3)),IF(AND(C3=".",D3&lt;&gt;".",E3="."),1/((1/D3)),IF(AND(C3=".",D3=".",E3&lt;&gt;"."),1/((1/E3)),IF(AND(C3=".",D3=".",E3="."),"."))))))))</f>
        <v>965.37826236443186</v>
      </c>
      <c r="G3" s="40">
        <f t="shared" si="1"/>
        <v>27.5</v>
      </c>
      <c r="H3" s="40">
        <f t="shared" si="2"/>
        <v>2.9420495991003873E-3</v>
      </c>
      <c r="I3" s="40">
        <f>IFERROR((s_C*s_EF_rec*(1/365)*s_ED_rec*s_RadSpec!Q3*s_ET_rec*(1/24)*s_RadSpec!V3),".")</f>
        <v>4.0978808102095758E-5</v>
      </c>
      <c r="J3" s="18"/>
      <c r="K3" s="18"/>
      <c r="L3" s="18"/>
      <c r="M3" s="18"/>
      <c r="N3" s="15">
        <f>IFERROR((s_TR/(s_RadSpec!F3*s_EF_rec*(1/365)*s_ED_rec*s_RadSpec!Q3*s_ET_rec*(1/24)*s_RadSpec!V3)),".")</f>
        <v>4409167.9784243433</v>
      </c>
      <c r="O3" s="15">
        <f>IFERROR((s_TR/(s_RadSpec!M3*s_EF_rec*(1/365)*s_ED_rec*s_RadSpec!R3*s_ET_rec*(1/24)*s_RadSpec!W3)),".")</f>
        <v>12438222.480461851</v>
      </c>
      <c r="P3" s="15">
        <f>IFERROR((s_TR/(s_RadSpec!N3*s_EF_rec*(1/365)*s_ED_rec*s_RadSpec!S3*s_ET_rec*(1/24)*s_RadSpec!X3)),".")</f>
        <v>5031014.4548310284</v>
      </c>
      <c r="Q3" s="15">
        <f>IFERROR((s_TR/(s_RadSpec!O3*s_EF_rec*(1/365)*s_ED_rec*s_RadSpec!T3*s_ET_rec*(1/24)*s_RadSpec!Y3)),".")</f>
        <v>4831566.4574637096</v>
      </c>
      <c r="R3" s="15">
        <f>IFERROR((s_TR/(s_RadSpec!K3*s_EF_rec*(1/365)*s_ED_rec*s_RadSpec!P3*s_ET_rec*(1/24)*s_RadSpec!U3)),".")</f>
        <v>14198351.963825637</v>
      </c>
      <c r="S3" s="40">
        <f>IFERROR((s_C*s_EF_rec*(1/365)*s_ED_rec*s_RadSpec!Q3*s_ET_rec*(1/24)*s_RadSpec!V3),".")</f>
        <v>4.0978808102095758E-5</v>
      </c>
      <c r="T3" s="40">
        <f>IFERROR((s_C*s_EF_rec*(1/365)*s_ED_rec*s_RadSpec!R3*s_ET_rec*(1/24)*s_RadSpec!W3),".")</f>
        <v>2.9225416021856662E-5</v>
      </c>
      <c r="U3" s="40">
        <f>IFERROR((s_C*s_EF_rec*(1/365)*s_ED_rec*s_RadSpec!S3*s_ET_rec*(1/24)*s_RadSpec!X3),".")</f>
        <v>3.8548694881755595E-5</v>
      </c>
      <c r="V3" s="40">
        <f>IFERROR((s_C*s_EF_rec*(1/365)*s_ED_rec*s_RadSpec!T3*s_ET_rec*(1/24)*s_RadSpec!Y3),".")</f>
        <v>3.7396246138484112E-5</v>
      </c>
      <c r="W3" s="40">
        <f>IFERROR((s_C*s_EF_rec*(1/365)*s_ED_rec*s_RadSpec!P3*s_ET_rec*(1/24)*s_RadSpec!U3),".")</f>
        <v>1.884978464328507E-5</v>
      </c>
      <c r="X3" s="18"/>
      <c r="Y3" s="18"/>
      <c r="Z3" s="18"/>
      <c r="AA3" s="18"/>
      <c r="AB3" s="18"/>
      <c r="AC3" s="15">
        <f>IFERROR((s_TR/(s_RadSpec!G3*s_IFA_rec_adj)),".")</f>
        <v>0.14535543947308655</v>
      </c>
      <c r="AD3" s="15">
        <f>IFERROR((s_TR/(s_RadSpec!J3*s_EF_rec*(1/365)*s_ED_rec*s_ET_rec*(1/24)*s_GSF_a)),".")</f>
        <v>150953.09655277265</v>
      </c>
      <c r="AE3" s="15">
        <f>IFERROR(IF(AND(AC3&lt;&gt;".",AD3&lt;&gt;"."),1/((1/AC3)+(1/AD3)),IF(AND(AC3&lt;&gt;".",AD3="."),1/((1/AC3)),IF(AND(AC3=".",AD3&lt;&gt;"."),1/((1/AD3)),IF(AND(AC3=".",AD3="."),".")))),".")</f>
        <v>0.14535529950786608</v>
      </c>
      <c r="AF3" s="40">
        <f t="shared" si="3"/>
        <v>911.45833333333326</v>
      </c>
      <c r="AG3" s="40">
        <f t="shared" si="4"/>
        <v>0.57077625570776247</v>
      </c>
      <c r="AH3" s="45"/>
      <c r="AI3" s="45"/>
      <c r="AJ3" s="45"/>
      <c r="AK3" s="15">
        <f>IFERROR((s_TR/(s_RadSpec!H3*s_IFW_rec_adj)),".")</f>
        <v>4.8262548262548259</v>
      </c>
      <c r="AL3" s="15">
        <f>IFERROR((s_TR/(s_RadSpec!L3*(1/8760)*s_DFA_rec_adj)),".")</f>
        <v>165981612.80249557</v>
      </c>
      <c r="AM3" s="2">
        <f t="shared" si="5"/>
        <v>4.8262546859216009</v>
      </c>
      <c r="AN3" s="40">
        <f t="shared" si="6"/>
        <v>10000</v>
      </c>
      <c r="AO3" s="40">
        <f t="shared" si="7"/>
        <v>0.22831050228310501</v>
      </c>
      <c r="AP3" s="18"/>
      <c r="AQ3" s="18"/>
      <c r="AR3" s="18"/>
      <c r="AS3" s="2">
        <f>IFERROR(s_TR/(s_RadSpec!E3*s_EF_rec*s_ED_rec*s_IRGL_rec*s_CF_game),".")</f>
        <v>37.433555439095606</v>
      </c>
      <c r="AT3" s="2">
        <f>IFERROR((AS3/(s_RadSpec!AH3*((s_Q_p_game*s_f_p_game*s_f_s_game*(s_RadSpec!BB3+s_R_es_past))+(s_Q_s_game*s_f_p_game)))),".")</f>
        <v>9358.1522168442807</v>
      </c>
      <c r="AU3" s="2">
        <f>IFERROR(AS3/(s_RadSpec!AH3*s_Q_w_game*(1/1000)),".")</f>
        <v>37433555.439095609</v>
      </c>
      <c r="AV3" s="2">
        <f>IFERROR(s_TR/(s_RadSpec!E3*s_EF_rec*s_ED_rec*s_IRGF_rec*s_CF_fowl),".")</f>
        <v>37.433555439095606</v>
      </c>
      <c r="AW3" s="2">
        <f>IFERROR((AS3/(s_RadSpec!AJ3*((s_Q_p_fowl*s_f_p_fowl*s_f_s_fowl*(s_RadSpec!BB3+s_R_es_past))+(s_Q_s_fowl*s_f_p_fowl)))),".")</f>
        <v>779.84601807035676</v>
      </c>
      <c r="AX3" s="2">
        <f>IFERROR(AS3/(s_RadSpec!AJ3*s_Q_w_fowl*(1/1000)),".")</f>
        <v>3119462.9532579673</v>
      </c>
      <c r="AY3" s="19">
        <f t="shared" si="8"/>
        <v>1000</v>
      </c>
      <c r="AZ3" s="19">
        <f>IFERROR((s_C*s_IRGL_rec*s_EF_rec*s_ED_rec*s_CF_game*s_RadSpec!AH3)*((s_Q_p_game*s_f_p_game*s_f_s_game*(s_RadSpec!BB3+s_R_es_past))+(s_Q_s_game*s_f_p_game)),".")</f>
        <v>4.0001011494252872</v>
      </c>
      <c r="BA3" s="19">
        <f>IFERROR(s_C*s_RadSpec!AH3*s_Q_w_game*(1/1000)*s_EF_rec*s_ED_rec*s_IRGL_rec*s_CF_game,".")</f>
        <v>1E-3</v>
      </c>
      <c r="BB3" s="19">
        <f t="shared" si="9"/>
        <v>1000</v>
      </c>
      <c r="BC3" s="19">
        <f>IFERROR((s_C*s_IRGF_rec*s_EF_rec*s_ED_rec*s_CF_fowl*s_RadSpec!AJ3)*((s_Q_p_fowl*s_f_p_fowl*s_f_s_fowl*(s_RadSpec!BB3+s_R_es_past))+(s_Q_s_fowl*s_f_p_fowl)),".")</f>
        <v>48.001213793103446</v>
      </c>
      <c r="BD3" s="19">
        <f>IFERROR(s_C*s_RadSpec!AJ3*s_Q_w_fowl*(1/1000)*s_EF_rec*s_ED_rec*s_IRGL_rec*s_CF_fowl,".")</f>
        <v>1.2E-2</v>
      </c>
      <c r="BE3" s="5"/>
      <c r="BF3" s="5"/>
      <c r="BG3" s="5"/>
      <c r="BH3" s="5"/>
      <c r="BI3" s="5"/>
      <c r="BJ3" s="5"/>
    </row>
    <row r="4" spans="1:62" customFormat="1" x14ac:dyDescent="0.25">
      <c r="A4" s="44" t="s">
        <v>14</v>
      </c>
      <c r="B4" s="42" t="s">
        <v>1074</v>
      </c>
      <c r="C4" s="15" t="str">
        <f>IFERROR(((s_TR/(s_RadSpec!D4*s_IFS_rec_adj*(1/1000)))*1),".")</f>
        <v>.</v>
      </c>
      <c r="D4" s="15" t="str">
        <f>IFERROR(IF(A4="H-3",(s_TR/((s_RadSpec!G4*s_IFA_rec_adj*(1/17)*1000))*1),(s_TR/((s_RadSpec!G4*s_IFA_rec_adj*(1/s_PEF_wind)*1000))*1)),".")</f>
        <v>.</v>
      </c>
      <c r="E4" s="2">
        <f>IFERROR((TR/(s_RadSpec!F4*s_EF_rec*(1/365)*s_ED_rec*s_RadSpec!Q4*s_ET_rec*(1/24)*s_RadSpec!V4)),".")</f>
        <v>485052.02078793396</v>
      </c>
      <c r="F4" s="2">
        <f t="shared" ref="F4:F5" si="10">IF(AND(C4&lt;&gt;".",D4&lt;&gt;".",E4&lt;&gt;"."),1/((1/C4)+(1/D4)+(1/E4)),IF(AND(C4&lt;&gt;".",D4&lt;&gt;".",E4="."), 1/((1/C4)+(1/D4)),IF(AND(C4&lt;&gt;".",D4=".",E4&lt;&gt;"."),1/((1/C4)+(1/E4)),IF(AND(C4=".",D4&lt;&gt;".",E4&lt;&gt;"."),1/((1/D4)+(1/E4)),IF(AND(C4&lt;&gt;".",D4=".",E4="."),1/((1/C4)),IF(AND(C4=".",D4&lt;&gt;".",E4="."),1/((1/D4)),IF(AND(C4=".",D4=".",E4&lt;&gt;"."),1/((1/E4)),IF(AND(C4=".",D4=".",E4="."),"."))))))))</f>
        <v>485052.02078793402</v>
      </c>
      <c r="G4" s="40">
        <f t="shared" si="1"/>
        <v>27.5</v>
      </c>
      <c r="H4" s="40">
        <f t="shared" si="2"/>
        <v>2.9420495991003873E-3</v>
      </c>
      <c r="I4" s="40">
        <f>IFERROR((s_C*s_EF_rec*(1/365)*s_ED_rec*s_RadSpec!Q4*s_ET_rec*(1/24)*s_RadSpec!V4),".")</f>
        <v>1.1007827788649702E-2</v>
      </c>
      <c r="J4" s="18"/>
      <c r="K4" s="18"/>
      <c r="L4" s="18"/>
      <c r="M4" s="18"/>
      <c r="N4" s="15">
        <f>IFERROR((s_TR/(s_RadSpec!F4*s_EF_rec*(1/365)*s_ED_rec*s_RadSpec!Q4*s_ET_rec*(1/24)*s_RadSpec!V4)),".")</f>
        <v>485052.02078793396</v>
      </c>
      <c r="O4" s="15">
        <f>IFERROR((s_TR/(s_RadSpec!M4*s_EF_rec*(1/365)*s_ED_rec*s_RadSpec!R4*s_ET_rec*(1/24)*s_RadSpec!W4)),".")</f>
        <v>3420343.9110328588</v>
      </c>
      <c r="P4" s="15">
        <f>IFERROR((s_TR/(s_RadSpec!N4*s_EF_rec*(1/365)*s_ED_rec*s_RadSpec!S4*s_ET_rec*(1/24)*s_RadSpec!X4)),".")</f>
        <v>891925.65031775786</v>
      </c>
      <c r="Q4" s="15">
        <f>IFERROR((s_TR/(s_RadSpec!O4*s_EF_rec*(1/365)*s_ED_rec*s_RadSpec!T4*s_ET_rec*(1/24)*s_RadSpec!Y4)),".")</f>
        <v>528625.03497387376</v>
      </c>
      <c r="R4" s="15">
        <f>IFERROR((s_TR/(s_RadSpec!K4*s_EF_rec*(1/365)*s_ED_rec*s_RadSpec!P4*s_ET_rec*(1/24)*s_RadSpec!U4)),".")</f>
        <v>6441502.9180864114</v>
      </c>
      <c r="S4" s="40">
        <f>IFERROR((s_C*s_EF_rec*(1/365)*s_ED_rec*s_RadSpec!Q4*s_ET_rec*(1/24)*s_RadSpec!V4),".")</f>
        <v>1.1007827788649702E-2</v>
      </c>
      <c r="T4" s="40">
        <f>IFERROR((s_C*s_EF_rec*(1/365)*s_ED_rec*s_RadSpec!R4*s_ET_rec*(1/24)*s_RadSpec!W4),".")</f>
        <v>6.7455375674553729E-3</v>
      </c>
      <c r="U4" s="40">
        <f>IFERROR((s_C*s_EF_rec*(1/365)*s_ED_rec*s_RadSpec!S4*s_ET_rec*(1/24)*s_RadSpec!X4),".")</f>
        <v>9.3770384866275272E-3</v>
      </c>
      <c r="V4" s="40">
        <f>IFERROR((s_C*s_EF_rec*(1/365)*s_ED_rec*s_RadSpec!T4*s_ET_rec*(1/24)*s_RadSpec!Y4),".")</f>
        <v>1.0772059552366035E-2</v>
      </c>
      <c r="W4" s="40">
        <f>IFERROR((s_C*s_EF_rec*(1/365)*s_ED_rec*s_RadSpec!P4*s_ET_rec*(1/24)*s_RadSpec!U4),".")</f>
        <v>3.6526302991002685E-3</v>
      </c>
      <c r="X4" s="18"/>
      <c r="Y4" s="18"/>
      <c r="Z4" s="18"/>
      <c r="AA4" s="18"/>
      <c r="AB4" s="18"/>
      <c r="AC4" s="15" t="str">
        <f>IFERROR((s_TR/(s_RadSpec!G4*s_IFA_rec_adj)),".")</f>
        <v>.</v>
      </c>
      <c r="AD4" s="15">
        <f>IFERROR((s_TR/(s_RadSpec!J4*s_EF_rec*(1/365)*s_ED_rec*s_ET_rec*(1/24)*s_GSF_a)),".")</f>
        <v>8974125.4768813383</v>
      </c>
      <c r="AE4" s="15">
        <f t="shared" ref="AE4:AE16" si="11">IFERROR(IF(AND(AC4&lt;&gt;".",AD4&lt;&gt;"."),1/((1/AC4)+(1/AD4)),IF(AND(AC4&lt;&gt;".",AD4="."),1/((1/AC4)),IF(AND(AC4=".",AD4&lt;&gt;"."),1/((1/AD4)),IF(AND(AC4=".",AD4="."),".")))),".")</f>
        <v>8974125.4768813383</v>
      </c>
      <c r="AF4" s="40">
        <f t="shared" si="3"/>
        <v>911.45833333333326</v>
      </c>
      <c r="AG4" s="40">
        <f t="shared" si="4"/>
        <v>0.57077625570776247</v>
      </c>
      <c r="AH4" s="45"/>
      <c r="AI4" s="45"/>
      <c r="AJ4" s="45"/>
      <c r="AK4" s="15" t="str">
        <f>IFERROR((s_TR/(s_RadSpec!H4*s_IFW_rec_adj)),".")</f>
        <v>.</v>
      </c>
      <c r="AL4" s="15">
        <f>IFERROR((s_TR/(s_RadSpec!L4*(1/8760)*s_DFA_rec_adj)),".")</f>
        <v>10249137839.716942</v>
      </c>
      <c r="AM4" s="2">
        <f t="shared" si="5"/>
        <v>0</v>
      </c>
      <c r="AN4" s="40">
        <f t="shared" si="6"/>
        <v>10000</v>
      </c>
      <c r="AO4" s="40">
        <f t="shared" si="7"/>
        <v>0.22831050228310501</v>
      </c>
      <c r="AP4" s="18"/>
      <c r="AQ4" s="18"/>
      <c r="AR4" s="18"/>
      <c r="AS4" s="2" t="str">
        <f>IFERROR(s_TR/(s_RadSpec!E4*s_EF_rec*s_ED_rec*s_IRGL_rec*s_CF_game),".")</f>
        <v>.</v>
      </c>
      <c r="AT4" s="2" t="str">
        <f>IFERROR((AS4/(s_RadSpec!AH4*((s_Q_p_game*s_f_p_game*s_f_s_game*(s_RadSpec!BB4+s_R_es_past))+(s_Q_s_game*s_f_p_game)))),".")</f>
        <v>.</v>
      </c>
      <c r="AU4" s="2" t="str">
        <f>IFERROR(AS4/(s_RadSpec!AH4*s_Q_w_game*(1/1000)),".")</f>
        <v>.</v>
      </c>
      <c r="AV4" s="2" t="str">
        <f>IFERROR(s_TR/(s_RadSpec!E4*s_EF_rec*s_ED_rec*s_IRGF_rec*s_CF_fowl),".")</f>
        <v>.</v>
      </c>
      <c r="AW4" s="2" t="str">
        <f>IFERROR((AS4/(s_RadSpec!AJ4*((s_Q_p_fowl*s_f_p_fowl*s_f_s_fowl*(s_RadSpec!BB4+s_R_es_past))+(s_Q_s_fowl*s_f_p_fowl)))),".")</f>
        <v>.</v>
      </c>
      <c r="AX4" s="2" t="str">
        <f>IFERROR(AS4/(s_RadSpec!AJ4*s_Q_w_fowl*(1/1000)),".")</f>
        <v>.</v>
      </c>
      <c r="AY4" s="19">
        <f t="shared" si="8"/>
        <v>1000</v>
      </c>
      <c r="AZ4" s="19">
        <f>IFERROR((s_C*s_IRGL_rec*s_EF_rec*s_ED_rec*s_CF_game*s_RadSpec!AH4)*((s_Q_p_game*s_f_p_game*s_f_s_game*(s_RadSpec!BB4+s_R_es_past))+(s_Q_s_game*s_f_p_game)),".")</f>
        <v>152</v>
      </c>
      <c r="BA4" s="19">
        <f>IFERROR(s_C*s_RadSpec!AH4*s_Q_w_game*(1/1000)*s_EF_rec*s_ED_rec*s_IRGL_rec*s_CF_game,".")</f>
        <v>0.02</v>
      </c>
      <c r="BB4" s="19">
        <f t="shared" si="9"/>
        <v>1000</v>
      </c>
      <c r="BC4" s="19">
        <f>IFERROR((s_C*s_IRGF_rec*s_EF_rec*s_ED_rec*s_CF_fowl*s_RadSpec!AJ4)*((s_Q_p_fowl*s_f_p_fowl*s_f_s_fowl*(s_RadSpec!BB4+s_R_es_past))+(s_Q_s_fowl*s_f_p_fowl)),".")</f>
        <v>0</v>
      </c>
      <c r="BD4" s="19">
        <f>IFERROR(s_C*s_RadSpec!AJ4*s_Q_w_fowl*(1/1000)*s_EF_rec*s_ED_rec*s_IRGL_rec*s_CF_fowl,".")</f>
        <v>0</v>
      </c>
      <c r="BE4" s="5"/>
      <c r="BF4" s="5"/>
      <c r="BG4" s="5"/>
      <c r="BH4" s="5"/>
      <c r="BI4" s="5"/>
      <c r="BJ4" s="5"/>
    </row>
    <row r="5" spans="1:62" customFormat="1" x14ac:dyDescent="0.25">
      <c r="A5" s="44" t="s">
        <v>15</v>
      </c>
      <c r="B5" s="42" t="s">
        <v>1074</v>
      </c>
      <c r="C5" s="15" t="str">
        <f>IFERROR(((s_TR/(s_RadSpec!D5*s_IFS_rec_adj*(1/1000)))*1),".")</f>
        <v>.</v>
      </c>
      <c r="D5" s="15" t="str">
        <f>IFERROR(IF(A5="H-3",(s_TR/((s_RadSpec!G5*s_IFA_rec_adj*(1/17)*1000))*1),(s_TR/((s_RadSpec!G5*s_IFA_rec_adj*(1/s_PEF_wind)*1000))*1)),".")</f>
        <v>.</v>
      </c>
      <c r="E5" s="2" t="str">
        <f>IFERROR((TR/(s_RadSpec!F5*s_EF_rec*(1/365)*s_ED_rec*s_RadSpec!Q5*s_ET_rec*(1/24)*s_RadSpec!V5)),".")</f>
        <v>.</v>
      </c>
      <c r="F5" s="2" t="str">
        <f t="shared" si="10"/>
        <v>.</v>
      </c>
      <c r="G5" s="40">
        <f t="shared" si="1"/>
        <v>27.5</v>
      </c>
      <c r="H5" s="40">
        <f t="shared" si="2"/>
        <v>2.9420495991003873E-3</v>
      </c>
      <c r="I5" s="40">
        <f>IFERROR((s_C*s_EF_rec*(1/365)*s_ED_rec*s_RadSpec!Q5*s_ET_rec*(1/24)*s_RadSpec!V5),".")</f>
        <v>0</v>
      </c>
      <c r="J5" s="18"/>
      <c r="K5" s="18"/>
      <c r="L5" s="18"/>
      <c r="M5" s="18"/>
      <c r="N5" s="15" t="str">
        <f>IFERROR((s_TR/(s_RadSpec!F5*s_EF_rec*(1/365)*s_ED_rec*s_RadSpec!Q5*s_ET_rec*(1/24)*s_RadSpec!V5)),".")</f>
        <v>.</v>
      </c>
      <c r="O5" s="15" t="str">
        <f>IFERROR((s_TR/(s_RadSpec!M5*s_EF_rec*(1/365)*s_ED_rec*s_RadSpec!R5*s_ET_rec*(1/24)*s_RadSpec!W5)),".")</f>
        <v>.</v>
      </c>
      <c r="P5" s="15" t="str">
        <f>IFERROR((s_TR/(s_RadSpec!N5*s_EF_rec*(1/365)*s_ED_rec*s_RadSpec!S5*s_ET_rec*(1/24)*s_RadSpec!X5)),".")</f>
        <v>.</v>
      </c>
      <c r="Q5" s="15" t="str">
        <f>IFERROR((s_TR/(s_RadSpec!O5*s_EF_rec*(1/365)*s_ED_rec*s_RadSpec!T5*s_ET_rec*(1/24)*s_RadSpec!Y5)),".")</f>
        <v>.</v>
      </c>
      <c r="R5" s="15" t="str">
        <f>IFERROR((s_TR/(s_RadSpec!K5*s_EF_rec*(1/365)*s_ED_rec*s_RadSpec!P5*s_ET_rec*(1/24)*s_RadSpec!U5)),".")</f>
        <v>.</v>
      </c>
      <c r="S5" s="40">
        <f>IFERROR((s_C*s_EF_rec*(1/365)*s_ED_rec*s_RadSpec!Q5*s_ET_rec*(1/24)*s_RadSpec!V5),".")</f>
        <v>0</v>
      </c>
      <c r="T5" s="40">
        <f>IFERROR((s_C*s_EF_rec*(1/365)*s_ED_rec*s_RadSpec!R5*s_ET_rec*(1/24)*s_RadSpec!W5),".")</f>
        <v>0</v>
      </c>
      <c r="U5" s="40">
        <f>IFERROR((s_C*s_EF_rec*(1/365)*s_ED_rec*s_RadSpec!S5*s_ET_rec*(1/24)*s_RadSpec!X5),".")</f>
        <v>0</v>
      </c>
      <c r="V5" s="40">
        <f>IFERROR((s_C*s_EF_rec*(1/365)*s_ED_rec*s_RadSpec!T5*s_ET_rec*(1/24)*s_RadSpec!Y5),".")</f>
        <v>0</v>
      </c>
      <c r="W5" s="40">
        <f>IFERROR((s_C*s_EF_rec*(1/365)*s_ED_rec*s_RadSpec!P5*s_ET_rec*(1/24)*s_RadSpec!U5),".")</f>
        <v>0</v>
      </c>
      <c r="X5" s="18"/>
      <c r="Y5" s="18"/>
      <c r="Z5" s="18"/>
      <c r="AA5" s="18"/>
      <c r="AB5" s="18"/>
      <c r="AC5" s="15" t="str">
        <f>IFERROR((s_TR/(s_RadSpec!G5*s_IFA_rec_adj)),".")</f>
        <v>.</v>
      </c>
      <c r="AD5" s="15">
        <f>IFERROR((s_TR/(s_RadSpec!J5*s_EF_rec*(1/365)*s_ED_rec*s_ET_rec*(1/24)*s_GSF_a)),".")</f>
        <v>284180640.10124242</v>
      </c>
      <c r="AE5" s="15">
        <f t="shared" si="11"/>
        <v>284180640.10124242</v>
      </c>
      <c r="AF5" s="40">
        <f t="shared" si="3"/>
        <v>911.45833333333326</v>
      </c>
      <c r="AG5" s="40">
        <f t="shared" si="4"/>
        <v>0.57077625570776247</v>
      </c>
      <c r="AH5" s="45"/>
      <c r="AI5" s="45"/>
      <c r="AJ5" s="45"/>
      <c r="AK5" s="15" t="str">
        <f>IFERROR((s_TR/(s_RadSpec!H5*s_IFW_rec_adj)),".")</f>
        <v>.</v>
      </c>
      <c r="AL5" s="15">
        <f>IFERROR((s_TR/(s_RadSpec!L5*(1/8760)*s_DFA_rec_adj)),".")</f>
        <v>427241964616.90204</v>
      </c>
      <c r="AM5" s="2">
        <f t="shared" si="5"/>
        <v>0</v>
      </c>
      <c r="AN5" s="40">
        <f t="shared" si="6"/>
        <v>10000</v>
      </c>
      <c r="AO5" s="40">
        <f t="shared" si="7"/>
        <v>0.22831050228310501</v>
      </c>
      <c r="AP5" s="18"/>
      <c r="AQ5" s="18"/>
      <c r="AR5" s="18"/>
      <c r="AS5" s="2" t="str">
        <f>IFERROR(s_TR/(s_RadSpec!E5*s_EF_rec*s_ED_rec*s_IRGL_rec*s_CF_game),".")</f>
        <v>.</v>
      </c>
      <c r="AT5" s="2" t="str">
        <f>IFERROR((AS5/(s_RadSpec!AH5*((s_Q_p_game*s_f_p_game*s_f_s_game*(s_RadSpec!BB5+s_R_es_past))+(s_Q_s_game*s_f_p_game)))),".")</f>
        <v>.</v>
      </c>
      <c r="AU5" s="2" t="str">
        <f>IFERROR(AS5/(s_RadSpec!AH5*s_Q_w_game*(1/1000)),".")</f>
        <v>.</v>
      </c>
      <c r="AV5" s="2" t="str">
        <f>IFERROR(s_TR/(s_RadSpec!E5*s_EF_rec*s_ED_rec*s_IRGF_rec*s_CF_fowl),".")</f>
        <v>.</v>
      </c>
      <c r="AW5" s="2" t="str">
        <f>IFERROR((AS5/(s_RadSpec!AJ5*((s_Q_p_fowl*s_f_p_fowl*s_f_s_fowl*(s_RadSpec!BB5+s_R_es_past))+(s_Q_s_fowl*s_f_p_fowl)))),".")</f>
        <v>.</v>
      </c>
      <c r="AX5" s="2" t="str">
        <f>IFERROR(AS5/(s_RadSpec!AJ5*s_Q_w_fowl*(1/1000)),".")</f>
        <v>.</v>
      </c>
      <c r="AY5" s="19">
        <f t="shared" si="8"/>
        <v>1000</v>
      </c>
      <c r="AZ5" s="19">
        <f>IFERROR((s_C*s_IRGL_rec*s_EF_rec*s_ED_rec*s_CF_game*s_RadSpec!AH5)*((s_Q_p_game*s_f_p_game*s_f_s_game*(s_RadSpec!BB5+s_R_es_past))+(s_Q_s_game*s_f_p_game)),".")</f>
        <v>152</v>
      </c>
      <c r="BA5" s="19">
        <f>IFERROR(s_C*s_RadSpec!AH5*s_Q_w_game*(1/1000)*s_EF_rec*s_ED_rec*s_IRGL_rec*s_CF_game,".")</f>
        <v>0.02</v>
      </c>
      <c r="BB5" s="19">
        <f t="shared" si="9"/>
        <v>1000</v>
      </c>
      <c r="BC5" s="19">
        <f>IFERROR((s_C*s_IRGF_rec*s_EF_rec*s_ED_rec*s_CF_fowl*s_RadSpec!AJ5)*((s_Q_p_fowl*s_f_p_fowl*s_f_s_fowl*(s_RadSpec!BB5+s_R_es_past))+(s_Q_s_fowl*s_f_p_fowl)),".")</f>
        <v>0</v>
      </c>
      <c r="BD5" s="19">
        <f>IFERROR(s_C*s_RadSpec!AJ5*s_Q_w_fowl*(1/1000)*s_EF_rec*s_ED_rec*s_IRGL_rec*s_CF_fowl,".")</f>
        <v>0</v>
      </c>
      <c r="BE5" s="5"/>
      <c r="BF5" s="5"/>
      <c r="BG5" s="5"/>
      <c r="BH5" s="5"/>
      <c r="BI5" s="5"/>
      <c r="BJ5" s="5"/>
    </row>
    <row r="6" spans="1:62" customFormat="1" x14ac:dyDescent="0.25">
      <c r="A6" s="44" t="s">
        <v>16</v>
      </c>
      <c r="B6" s="42" t="s">
        <v>1074</v>
      </c>
      <c r="C6" s="15" t="str">
        <f>IFERROR(((s_TR/(s_RadSpec!D6*s_IFS_rec_adj*(1/1000)))*1),".")</f>
        <v>.</v>
      </c>
      <c r="D6" s="15" t="str">
        <f>IFERROR(IF(A6="H-3",(s_TR/((s_RadSpec!G6*s_IFA_rec_adj*(1/17)*1000))*1),(s_TR/((s_RadSpec!G6*s_IFA_rec_adj*(1/s_PEF_wind)*1000))*1)),".")</f>
        <v>.</v>
      </c>
      <c r="E6" s="2">
        <f>IFERROR((TR/(s_RadSpec!F6*s_EF_rec*(1/365)*s_ED_rec*s_RadSpec!Q6*s_ET_rec*(1/24)*s_RadSpec!V6)),".")</f>
        <v>86.930743430536793</v>
      </c>
      <c r="F6" s="2">
        <f>IF(AND(C6&lt;&gt;".",D6&lt;&gt;".",E6&lt;&gt;"."),1/((1/C6)+(1/D6)+(1/E6)),IF(AND(C6&lt;&gt;".",D6&lt;&gt;".",E6="."), 1/((1/C6)+(1/D6)),IF(AND(C6&lt;&gt;".",D6=".",E6&lt;&gt;"."),1/((1/C6)+(1/E6)),IF(AND(C6=".",D6&lt;&gt;".",E6&lt;&gt;"."),1/((1/D6)+(1/E6)),IF(AND(C6&lt;&gt;".",D6=".",E6="."),1/((1/C6)),IF(AND(C6=".",D6&lt;&gt;".",E6="."),1/((1/D6)),IF(AND(C6=".",D6=".",E6&lt;&gt;"."),1/((1/E6)),IF(AND(C6=".",D6=".",E6="."),"."))))))))</f>
        <v>86.930743430536793</v>
      </c>
      <c r="G6" s="40">
        <f t="shared" si="1"/>
        <v>27.5</v>
      </c>
      <c r="H6" s="40">
        <f t="shared" si="2"/>
        <v>2.9420495991003873E-3</v>
      </c>
      <c r="I6" s="40">
        <f>IFERROR((s_C*s_EF_rec*(1/365)*s_ED_rec*s_RadSpec!Q6*s_ET_rec*(1/24)*s_RadSpec!V6),".")</f>
        <v>2.1417219291027325E-2</v>
      </c>
      <c r="J6" s="18"/>
      <c r="K6" s="18"/>
      <c r="L6" s="18"/>
      <c r="M6" s="18"/>
      <c r="N6" s="15">
        <f>IFERROR((s_TR/(s_RadSpec!F6*s_EF_rec*(1/365)*s_ED_rec*s_RadSpec!Q6*s_ET_rec*(1/24)*s_RadSpec!V6)),".")</f>
        <v>86.930743430536793</v>
      </c>
      <c r="O6" s="15">
        <f>IFERROR((s_TR/(s_RadSpec!M6*s_EF_rec*(1/365)*s_ED_rec*s_RadSpec!R6*s_ET_rec*(1/24)*s_RadSpec!W6)),".")</f>
        <v>796.19472112737981</v>
      </c>
      <c r="P6" s="15">
        <f>IFERROR((s_TR/(s_RadSpec!N6*s_EF_rec*(1/365)*s_ED_rec*s_RadSpec!S6*s_ET_rec*(1/24)*s_RadSpec!X6)),".")</f>
        <v>199.52025613088065</v>
      </c>
      <c r="Q6" s="15">
        <f>IFERROR((s_TR/(s_RadSpec!O6*s_EF_rec*(1/365)*s_ED_rec*s_RadSpec!T6*s_ET_rec*(1/24)*s_RadSpec!Y6)),".")</f>
        <v>106.40216053221583</v>
      </c>
      <c r="R6" s="15">
        <f>IFERROR((s_TR/(s_RadSpec!K6*s_EF_rec*(1/365)*s_ED_rec*s_RadSpec!P6*s_ET_rec*(1/24)*s_RadSpec!U6)),".")</f>
        <v>1365.9664431807178</v>
      </c>
      <c r="S6" s="40">
        <f>IFERROR((s_C*s_EF_rec*(1/365)*s_ED_rec*s_RadSpec!Q6*s_ET_rec*(1/24)*s_RadSpec!V6),".")</f>
        <v>2.1417219291027325E-2</v>
      </c>
      <c r="T6" s="40">
        <f>IFERROR((s_C*s_EF_rec*(1/365)*s_ED_rec*s_RadSpec!R6*s_ET_rec*(1/24)*s_RadSpec!W6),".")</f>
        <v>1.1472482828747936E-2</v>
      </c>
      <c r="U6" s="40">
        <f>IFERROR((s_C*s_EF_rec*(1/365)*s_ED_rec*s_RadSpec!S6*s_ET_rec*(1/24)*s_RadSpec!X6),".")</f>
        <v>1.6234759685543467E-2</v>
      </c>
      <c r="V6" s="40">
        <f>IFERROR((s_C*s_EF_rec*(1/365)*s_ED_rec*s_RadSpec!T6*s_ET_rec*(1/24)*s_RadSpec!Y6),".")</f>
        <v>1.9631794782305215E-2</v>
      </c>
      <c r="W6" s="40">
        <f>IFERROR((s_C*s_EF_rec*(1/365)*s_ED_rec*s_RadSpec!P6*s_ET_rec*(1/24)*s_RadSpec!U6),".")</f>
        <v>6.8298567870485639E-3</v>
      </c>
      <c r="X6" s="18"/>
      <c r="Y6" s="18"/>
      <c r="Z6" s="18"/>
      <c r="AA6" s="18"/>
      <c r="AB6" s="18"/>
      <c r="AC6" s="15" t="str">
        <f>IFERROR((s_TR/(s_RadSpec!G6*s_IFA_rec_adj)),".")</f>
        <v>.</v>
      </c>
      <c r="AD6" s="15">
        <f>IFERROR((s_TR/(s_RadSpec!J6*s_EF_rec*(1/365)*s_ED_rec*s_ET_rec*(1/24)*s_GSF_a)),".")</f>
        <v>3473.3189345707406</v>
      </c>
      <c r="AE6" s="15">
        <f t="shared" si="11"/>
        <v>3473.318934570741</v>
      </c>
      <c r="AF6" s="40">
        <f t="shared" si="3"/>
        <v>911.45833333333326</v>
      </c>
      <c r="AG6" s="40">
        <f t="shared" si="4"/>
        <v>0.57077625570776247</v>
      </c>
      <c r="AH6" s="45"/>
      <c r="AI6" s="45"/>
      <c r="AJ6" s="45"/>
      <c r="AK6" s="15" t="str">
        <f>IFERROR((s_TR/(s_RadSpec!H6*s_IFW_rec_adj)),".")</f>
        <v>.</v>
      </c>
      <c r="AL6" s="15">
        <f>IFERROR((s_TR/(s_RadSpec!L6*(1/8760)*s_DFA_rec_adj)),".")</f>
        <v>4007675.6937354696</v>
      </c>
      <c r="AM6" s="2">
        <f t="shared" si="5"/>
        <v>0</v>
      </c>
      <c r="AN6" s="40">
        <f t="shared" si="6"/>
        <v>10000</v>
      </c>
      <c r="AO6" s="40">
        <f t="shared" si="7"/>
        <v>0.22831050228310501</v>
      </c>
      <c r="AP6" s="18"/>
      <c r="AQ6" s="18"/>
      <c r="AR6" s="18"/>
      <c r="AS6" s="2" t="str">
        <f>IFERROR(s_TR/(s_RadSpec!E6*s_EF_rec*s_ED_rec*s_IRGL_rec*s_CF_game),".")</f>
        <v>.</v>
      </c>
      <c r="AT6" s="2" t="str">
        <f>IFERROR((AS6/(s_RadSpec!AH6*((s_Q_p_game*s_f_p_game*s_f_s_game*(s_RadSpec!BB6+s_R_es_past))+(s_Q_s_game*s_f_p_game)))),".")</f>
        <v>.</v>
      </c>
      <c r="AU6" s="2" t="str">
        <f>IFERROR(AS6/(s_RadSpec!AH6*s_Q_w_game*(1/1000)),".")</f>
        <v>.</v>
      </c>
      <c r="AV6" s="2" t="str">
        <f>IFERROR(s_TR/(s_RadSpec!E6*s_EF_rec*s_ED_rec*s_IRGF_rec*s_CF_fowl),".")</f>
        <v>.</v>
      </c>
      <c r="AW6" s="2" t="str">
        <f>IFERROR((AS6/(s_RadSpec!AJ6*((s_Q_p_fowl*s_f_p_fowl*s_f_s_fowl*(s_RadSpec!BB6+s_R_es_past))+(s_Q_s_fowl*s_f_p_fowl)))),".")</f>
        <v>.</v>
      </c>
      <c r="AX6" s="2" t="str">
        <f>IFERROR(AS6/(s_RadSpec!AJ6*s_Q_w_fowl*(1/1000)),".")</f>
        <v>.</v>
      </c>
      <c r="AY6" s="19">
        <f t="shared" si="8"/>
        <v>1000</v>
      </c>
      <c r="AZ6" s="19">
        <f>IFERROR((s_C*s_IRGL_rec*s_EF_rec*s_ED_rec*s_CF_game*s_RadSpec!AH6)*((s_Q_p_game*s_f_p_game*s_f_s_game*(s_RadSpec!BB6+s_R_es_past))+(s_Q_s_game*s_f_p_game)),".")</f>
        <v>1.1212873563218388</v>
      </c>
      <c r="BA6" s="19">
        <f>IFERROR(s_C*s_RadSpec!AH6*s_Q_w_game*(1/1000)*s_EF_rec*s_ED_rec*s_IRGL_rec*s_CF_game,".")</f>
        <v>2.7999999999999998E-4</v>
      </c>
      <c r="BB6" s="19">
        <f t="shared" si="9"/>
        <v>1000</v>
      </c>
      <c r="BC6" s="19">
        <f>IFERROR((s_C*s_IRGF_rec*s_EF_rec*s_ED_rec*s_CF_fowl*s_RadSpec!AJ6)*((s_Q_p_fowl*s_f_p_fowl*s_f_s_fowl*(s_RadSpec!BB6+s_R_es_past))+(s_Q_s_fowl*s_f_p_fowl)),".")</f>
        <v>152.17471264367816</v>
      </c>
      <c r="BD6" s="19">
        <f>IFERROR(s_C*s_RadSpec!AJ6*s_Q_w_fowl*(1/1000)*s_EF_rec*s_ED_rec*s_IRGL_rec*s_CF_fowl,".")</f>
        <v>3.8000000000000006E-2</v>
      </c>
      <c r="BE6" s="5"/>
      <c r="BF6" s="5"/>
      <c r="BG6" s="5"/>
      <c r="BH6" s="5"/>
      <c r="BI6" s="5"/>
      <c r="BJ6" s="5"/>
    </row>
    <row r="7" spans="1:62" customFormat="1" x14ac:dyDescent="0.25">
      <c r="A7" s="44" t="s">
        <v>17</v>
      </c>
      <c r="B7" s="42" t="s">
        <v>1074</v>
      </c>
      <c r="C7" s="15">
        <f>IFERROR(((s_TR/(s_RadSpec!D7*s_IFS_rec_adj*(1/1000)))*1),".")</f>
        <v>7571.6562619490196</v>
      </c>
      <c r="D7" s="15">
        <f>IFERROR(IF(A7="H-3",(s_TR/((s_RadSpec!G7*s_IFA_rec_adj*(1/17)*1000))*1),(s_TR/((s_RadSpec!G7*s_IFA_rec_adj*(1/s_PEF_wind)*1000))*1)),".")</f>
        <v>3734334.171595701</v>
      </c>
      <c r="E7" s="2">
        <f>IFERROR((TR/(s_RadSpec!F7*s_EF_rec*(1/365)*s_ED_rec*s_RadSpec!Q7*s_ET_rec*(1/24)*s_RadSpec!V7)),".")</f>
        <v>182539.38926211183</v>
      </c>
      <c r="F7" s="2">
        <f>IF(AND(C7&lt;&gt;".",D7&lt;&gt;".",E7&lt;&gt;"."),1/((1/C7)+(1/D7)+(1/E7)),IF(AND(C7&lt;&gt;".",D7&lt;&gt;".",E7="."), 1/((1/C7)+(1/D7)),IF(AND(C7&lt;&gt;".",D7=".",E7&lt;&gt;"."),1/((1/C7)+(1/E7)),IF(AND(C7=".",D7&lt;&gt;".",E7&lt;&gt;"."),1/((1/D7)+(1/E7)),IF(AND(C7&lt;&gt;".",D7=".",E7="."),1/((1/C7)),IF(AND(C7=".",D7&lt;&gt;".",E7="."),1/((1/D7)),IF(AND(C7=".",D7=".",E7&lt;&gt;"."),1/((1/E7)),IF(AND(C7=".",D7=".",E7="."),"."))))))))</f>
        <v>7255.9696753668986</v>
      </c>
      <c r="G7" s="40">
        <f t="shared" si="1"/>
        <v>27.5</v>
      </c>
      <c r="H7" s="40">
        <f t="shared" si="2"/>
        <v>2.9420495991003873E-3</v>
      </c>
      <c r="I7" s="40">
        <f>IFERROR((s_C*s_EF_rec*(1/365)*s_ED_rec*s_RadSpec!Q7*s_ET_rec*(1/24)*s_RadSpec!V7),".")</f>
        <v>9.8982717761979099E-3</v>
      </c>
      <c r="J7" s="18"/>
      <c r="K7" s="18"/>
      <c r="L7" s="18"/>
      <c r="M7" s="18"/>
      <c r="N7" s="15">
        <f>IFERROR((s_TR/(s_RadSpec!F7*s_EF_rec*(1/365)*s_ED_rec*s_RadSpec!Q7*s_ET_rec*(1/24)*s_RadSpec!V7)),".")</f>
        <v>182539.38926211183</v>
      </c>
      <c r="O7" s="15">
        <f>IFERROR((s_TR/(s_RadSpec!M7*s_EF_rec*(1/365)*s_ED_rec*s_RadSpec!R7*s_ET_rec*(1/24)*s_RadSpec!W7)),".")</f>
        <v>841783.91024743556</v>
      </c>
      <c r="P7" s="15">
        <f>IFERROR((s_TR/(s_RadSpec!N7*s_EF_rec*(1/365)*s_ED_rec*s_RadSpec!S7*s_ET_rec*(1/24)*s_RadSpec!X7)),".")</f>
        <v>286492.04085549054</v>
      </c>
      <c r="Q7" s="15">
        <f>IFERROR((s_TR/(s_RadSpec!O7*s_EF_rec*(1/365)*s_ED_rec*s_RadSpec!T7*s_ET_rec*(1/24)*s_RadSpec!Y7)),".")</f>
        <v>201668.97778547814</v>
      </c>
      <c r="R7" s="15">
        <f>IFERROR((s_TR/(s_RadSpec!K7*s_EF_rec*(1/365)*s_ED_rec*s_RadSpec!P7*s_ET_rec*(1/24)*s_RadSpec!U7)),".")</f>
        <v>285180.97075697954</v>
      </c>
      <c r="S7" s="40">
        <f>IFERROR((s_C*s_EF_rec*(1/365)*s_ED_rec*s_RadSpec!Q7*s_ET_rec*(1/24)*s_RadSpec!V7),".")</f>
        <v>9.8982717761979099E-3</v>
      </c>
      <c r="T7" s="40">
        <f>IFERROR((s_C*s_EF_rec*(1/365)*s_ED_rec*s_RadSpec!R7*s_ET_rec*(1/24)*s_RadSpec!W7),".")</f>
        <v>6.2218968942800322E-3</v>
      </c>
      <c r="U7" s="40">
        <f>IFERROR((s_C*s_EF_rec*(1/365)*s_ED_rec*s_RadSpec!S7*s_ET_rec*(1/24)*s_RadSpec!X7),".")</f>
        <v>8.4925690021231404E-3</v>
      </c>
      <c r="V7" s="40">
        <f>IFERROR((s_C*s_EF_rec*(1/365)*s_ED_rec*s_RadSpec!T7*s_ET_rec*(1/24)*s_RadSpec!Y7),".")</f>
        <v>9.2320336802833025E-3</v>
      </c>
      <c r="W7" s="40">
        <f>IFERROR((s_C*s_EF_rec*(1/365)*s_ED_rec*s_RadSpec!P7*s_ET_rec*(1/24)*s_RadSpec!U7),".")</f>
        <v>3.6357475363574766E-3</v>
      </c>
      <c r="X7" s="18"/>
      <c r="Y7" s="18"/>
      <c r="Z7" s="18"/>
      <c r="AA7" s="18"/>
      <c r="AB7" s="18"/>
      <c r="AC7" s="15">
        <f>IFERROR((s_TR/(s_RadSpec!G7*s_IFA_rec_adj)),".")</f>
        <v>12.053865712402297</v>
      </c>
      <c r="AD7" s="15">
        <f>IFERROR((s_TR/(s_RadSpec!J7*s_EF_rec*(1/365)*s_ED_rec*s_ET_rec*(1/24)*s_GSF_a)),".")</f>
        <v>1656152.0747622075</v>
      </c>
      <c r="AE7" s="15">
        <f t="shared" si="11"/>
        <v>12.053777982161012</v>
      </c>
      <c r="AF7" s="40">
        <f t="shared" si="3"/>
        <v>911.45833333333326</v>
      </c>
      <c r="AG7" s="40">
        <f t="shared" si="4"/>
        <v>0.57077625570776247</v>
      </c>
      <c r="AH7" s="45"/>
      <c r="AI7" s="45"/>
      <c r="AJ7" s="45"/>
      <c r="AK7" s="15">
        <f>IFERROR((s_TR/(s_RadSpec!H7*s_IFW_rec_adj)),".")</f>
        <v>56.072670180553999</v>
      </c>
      <c r="AL7" s="15">
        <f>IFERROR((s_TR/(s_RadSpec!L7*(1/8760)*s_DFA_rec_adj)),".")</f>
        <v>2799391380.1017914</v>
      </c>
      <c r="AM7" s="2">
        <f t="shared" si="5"/>
        <v>56.0726690574012</v>
      </c>
      <c r="AN7" s="40">
        <f t="shared" si="6"/>
        <v>10000</v>
      </c>
      <c r="AO7" s="40">
        <f t="shared" si="7"/>
        <v>0.22831050228310501</v>
      </c>
      <c r="AP7" s="18"/>
      <c r="AQ7" s="18"/>
      <c r="AR7" s="18"/>
      <c r="AS7" s="2">
        <f>IFERROR(s_TR/(s_RadSpec!E7*s_EF_rec*s_ED_rec*s_IRGL_rec*s_CF_game),".")</f>
        <v>383.90663390663389</v>
      </c>
      <c r="AT7" s="2">
        <f>IFERROR((AS7/(s_RadSpec!AH7*((s_Q_p_game*s_f_p_game*s_f_s_game*(s_RadSpec!BB7+s_R_es_past))+(s_Q_s_game*s_f_p_game)))),".")</f>
        <v>15996.109746109745</v>
      </c>
      <c r="AU7" s="2">
        <f>IFERROR(AS7/(s_RadSpec!AH7*s_Q_w_game*(1/1000)),".")</f>
        <v>95976658.476658478</v>
      </c>
      <c r="AV7" s="2">
        <f>IFERROR(s_TR/(s_RadSpec!E7*s_EF_rec*s_ED_rec*s_IRGF_rec*s_CF_fowl),".")</f>
        <v>383.90663390663389</v>
      </c>
      <c r="AW7" s="2" t="str">
        <f>IFERROR((AS7/(s_RadSpec!AJ7*((s_Q_p_fowl*s_f_p_fowl*s_f_s_fowl*(s_RadSpec!BB7+s_R_es_past))+(s_Q_s_fowl*s_f_p_fowl)))),".")</f>
        <v>.</v>
      </c>
      <c r="AX7" s="2" t="str">
        <f>IFERROR(AS7/(s_RadSpec!AJ7*s_Q_w_fowl*(1/1000)),".")</f>
        <v>.</v>
      </c>
      <c r="AY7" s="19">
        <f t="shared" si="8"/>
        <v>1000</v>
      </c>
      <c r="AZ7" s="19">
        <f>IFERROR((s_C*s_IRGL_rec*s_EF_rec*s_ED_rec*s_CF_game*s_RadSpec!AH7)*((s_Q_p_game*s_f_p_game*s_f_s_game*(s_RadSpec!BB7+s_R_es_past))+(s_Q_s_game*s_f_p_game)),".")</f>
        <v>24</v>
      </c>
      <c r="BA7" s="19">
        <f>IFERROR(s_C*s_RadSpec!AH7*s_Q_w_game*(1/1000)*s_EF_rec*s_ED_rec*s_IRGL_rec*s_CF_game,".")</f>
        <v>4.0000000000000001E-3</v>
      </c>
      <c r="BB7" s="19">
        <f t="shared" si="9"/>
        <v>1000</v>
      </c>
      <c r="BC7" s="19">
        <f>IFERROR((s_C*s_IRGF_rec*s_EF_rec*s_ED_rec*s_CF_fowl*s_RadSpec!AJ7)*((s_Q_p_fowl*s_f_p_fowl*s_f_s_fowl*(s_RadSpec!BB7+s_R_es_past))+(s_Q_s_fowl*s_f_p_fowl)),".")</f>
        <v>0</v>
      </c>
      <c r="BD7" s="19">
        <f>IFERROR(s_C*s_RadSpec!AJ7*s_Q_w_fowl*(1/1000)*s_EF_rec*s_ED_rec*s_IRGL_rec*s_CF_fowl,".")</f>
        <v>0</v>
      </c>
      <c r="BE7" s="5"/>
      <c r="BF7" s="5"/>
      <c r="BG7" s="5"/>
      <c r="BH7" s="5"/>
      <c r="BI7" s="5"/>
      <c r="BJ7" s="5"/>
    </row>
    <row r="8" spans="1:62" customFormat="1" x14ac:dyDescent="0.25">
      <c r="A8" s="44" t="s">
        <v>18</v>
      </c>
      <c r="B8" s="42" t="s">
        <v>1074</v>
      </c>
      <c r="C8" s="15">
        <f>IFERROR(((s_TR/(s_RadSpec!D8*s_IFS_rec_adj*(1/1000)))*1),".")</f>
        <v>152608.84826102218</v>
      </c>
      <c r="D8" s="15">
        <f>IFERROR(IF(A8="H-3",(s_TR/((s_RadSpec!G8*s_IFA_rec_adj*(1/17)*1000))*1),(s_TR/((s_RadSpec!G8*s_IFA_rec_adj*(1/s_PEF_wind)*1000))*1)),".")</f>
        <v>22966155.155313563</v>
      </c>
      <c r="E8" s="2">
        <f>IFERROR((TR/(s_RadSpec!F8*s_EF_rec*(1/365)*s_ED_rec*s_RadSpec!Q8*s_ET_rec*(1/24)*s_RadSpec!V8)),".")</f>
        <v>534.83292808218164</v>
      </c>
      <c r="F8" s="2">
        <f t="shared" ref="F8:F9" si="12">IF(AND(C8&lt;&gt;".",D8&lt;&gt;".",E8&lt;&gt;"."),1/((1/C8)+(1/D8)+(1/E8)),IF(AND(C8&lt;&gt;".",D8&lt;&gt;".",E8="."), 1/((1/C8)+(1/D8)),IF(AND(C8&lt;&gt;".",D8=".",E8&lt;&gt;"."),1/((1/C8)+(1/E8)),IF(AND(C8=".",D8&lt;&gt;".",E8&lt;&gt;"."),1/((1/D8)+(1/E8)),IF(AND(C8&lt;&gt;".",D8=".",E8="."),1/((1/C8)),IF(AND(C8=".",D8&lt;&gt;".",E8="."),1/((1/D8)),IF(AND(C8=".",D8=".",E8&lt;&gt;"."),1/((1/E8)),IF(AND(C8=".",D8=".",E8="."),"."))))))))</f>
        <v>532.95273075098328</v>
      </c>
      <c r="G8" s="40">
        <f t="shared" si="1"/>
        <v>27.5</v>
      </c>
      <c r="H8" s="40">
        <f t="shared" si="2"/>
        <v>2.9420495991003873E-3</v>
      </c>
      <c r="I8" s="40">
        <f>IFERROR((s_C*s_EF_rec*(1/365)*s_ED_rec*s_RadSpec!Q8*s_ET_rec*(1/24)*s_RadSpec!V8),".")</f>
        <v>1.7218417047184159E-2</v>
      </c>
      <c r="J8" s="18"/>
      <c r="K8" s="18"/>
      <c r="L8" s="18"/>
      <c r="M8" s="18"/>
      <c r="N8" s="15">
        <f>IFERROR((s_TR/(s_RadSpec!F8*s_EF_rec*(1/365)*s_ED_rec*s_RadSpec!Q8*s_ET_rec*(1/24)*s_RadSpec!V8)),".")</f>
        <v>534.83292808218164</v>
      </c>
      <c r="O8" s="15">
        <f>IFERROR((s_TR/(s_RadSpec!M8*s_EF_rec*(1/365)*s_ED_rec*s_RadSpec!R8*s_ET_rec*(1/24)*s_RadSpec!W8)),".")</f>
        <v>4529.1032180725379</v>
      </c>
      <c r="P8" s="15">
        <f>IFERROR((s_TR/(s_RadSpec!N8*s_EF_rec*(1/365)*s_ED_rec*s_RadSpec!S8*s_ET_rec*(1/24)*s_RadSpec!X8)),".")</f>
        <v>1183.3346768175149</v>
      </c>
      <c r="Q8" s="15">
        <f>IFERROR((s_TR/(s_RadSpec!O8*s_EF_rec*(1/365)*s_ED_rec*s_RadSpec!T8*s_ET_rec*(1/24)*s_RadSpec!Y8)),".")</f>
        <v>717.17511697474436</v>
      </c>
      <c r="R8" s="15">
        <f>IFERROR((s_TR/(s_RadSpec!K8*s_EF_rec*(1/365)*s_ED_rec*s_RadSpec!P8*s_ET_rec*(1/24)*s_RadSpec!U8)),".")</f>
        <v>8212.666807695512</v>
      </c>
      <c r="S8" s="40">
        <f>IFERROR((s_C*s_EF_rec*(1/365)*s_ED_rec*s_RadSpec!Q8*s_ET_rec*(1/24)*s_RadSpec!V8),".")</f>
        <v>1.7218417047184159E-2</v>
      </c>
      <c r="T8" s="40">
        <f>IFERROR((s_C*s_EF_rec*(1/365)*s_ED_rec*s_RadSpec!R8*s_ET_rec*(1/24)*s_RadSpec!W8),".")</f>
        <v>9.3797564687975645E-3</v>
      </c>
      <c r="U8" s="40">
        <f>IFERROR((s_C*s_EF_rec*(1/365)*s_ED_rec*s_RadSpec!S8*s_ET_rec*(1/24)*s_RadSpec!X8),".")</f>
        <v>1.2850619699934765E-2</v>
      </c>
      <c r="V8" s="40">
        <f>IFERROR((s_C*s_EF_rec*(1/365)*s_ED_rec*s_RadSpec!T8*s_ET_rec*(1/24)*s_RadSpec!Y8),".")</f>
        <v>1.4016174673612446E-2</v>
      </c>
      <c r="W8" s="40">
        <f>IFERROR((s_C*s_EF_rec*(1/365)*s_ED_rec*s_RadSpec!P8*s_ET_rec*(1/24)*s_RadSpec!U8),".")</f>
        <v>5.0622417916938471E-3</v>
      </c>
      <c r="X8" s="18"/>
      <c r="Y8" s="18"/>
      <c r="Z8" s="18"/>
      <c r="AA8" s="18"/>
      <c r="AB8" s="18"/>
      <c r="AC8" s="15">
        <f>IFERROR((s_TR/(s_RadSpec!G8*s_IFA_rec_adj)),".")</f>
        <v>74.131274131274125</v>
      </c>
      <c r="AD8" s="15">
        <f>IFERROR((s_TR/(s_RadSpec!J8*s_EF_rec*(1/365)*s_ED_rec*s_ET_rec*(1/24)*s_GSF_a)),".")</f>
        <v>16452.563374282454</v>
      </c>
      <c r="AE8" s="15">
        <f t="shared" si="11"/>
        <v>73.79875477872146</v>
      </c>
      <c r="AF8" s="40">
        <f t="shared" si="3"/>
        <v>911.45833333333326</v>
      </c>
      <c r="AG8" s="40">
        <f t="shared" si="4"/>
        <v>0.57077625570776247</v>
      </c>
      <c r="AH8" s="45"/>
      <c r="AI8" s="45"/>
      <c r="AJ8" s="45"/>
      <c r="AK8" s="15">
        <f>IFERROR((s_TR/(s_RadSpec!H8*s_IFW_rec_adj)),".")</f>
        <v>986.38784770171628</v>
      </c>
      <c r="AL8" s="15">
        <f>IFERROR((s_TR/(s_RadSpec!L8*(1/8760)*s_DFA_rec_adj)),".")</f>
        <v>18945376.006749496</v>
      </c>
      <c r="AM8" s="2">
        <f t="shared" si="5"/>
        <v>986.33649425635156</v>
      </c>
      <c r="AN8" s="40">
        <f t="shared" si="6"/>
        <v>10000</v>
      </c>
      <c r="AO8" s="40">
        <f t="shared" si="7"/>
        <v>0.22831050228310501</v>
      </c>
      <c r="AP8" s="18"/>
      <c r="AQ8" s="18"/>
      <c r="AR8" s="18"/>
      <c r="AS8" s="2">
        <f>IFERROR(s_TR/(s_RadSpec!E8*s_EF_rec*s_ED_rec*s_IRGL_rec*s_CF_game),".")</f>
        <v>6965.7286152131501</v>
      </c>
      <c r="AT8" s="2">
        <f>IFERROR((AS8/(s_RadSpec!AH8*((s_Q_p_game*s_f_p_game*s_f_s_game*(s_RadSpec!BB8+s_R_es_past))+(s_Q_s_game*s_f_p_game)))),".")</f>
        <v>290238.6923005479</v>
      </c>
      <c r="AU8" s="2">
        <f>IFERROR(AS8/(s_RadSpec!AH8*s_Q_w_game*(1/1000)),".")</f>
        <v>1741432153.8032875</v>
      </c>
      <c r="AV8" s="2">
        <f>IFERROR(s_TR/(s_RadSpec!E8*s_EF_rec*s_ED_rec*s_IRGF_rec*s_CF_fowl),".")</f>
        <v>6965.7286152131501</v>
      </c>
      <c r="AW8" s="2" t="str">
        <f>IFERROR((AS8/(s_RadSpec!AJ8*((s_Q_p_fowl*s_f_p_fowl*s_f_s_fowl*(s_RadSpec!BB8+s_R_es_past))+(s_Q_s_fowl*s_f_p_fowl)))),".")</f>
        <v>.</v>
      </c>
      <c r="AX8" s="2" t="str">
        <f>IFERROR(AS8/(s_RadSpec!AJ8*s_Q_w_fowl*(1/1000)),".")</f>
        <v>.</v>
      </c>
      <c r="AY8" s="19">
        <f t="shared" si="8"/>
        <v>1000</v>
      </c>
      <c r="AZ8" s="19">
        <f>IFERROR((s_C*s_IRGL_rec*s_EF_rec*s_ED_rec*s_CF_game*s_RadSpec!AH8)*((s_Q_p_game*s_f_p_game*s_f_s_game*(s_RadSpec!BB8+s_R_es_past))+(s_Q_s_game*s_f_p_game)),".")</f>
        <v>24</v>
      </c>
      <c r="BA8" s="19">
        <f>IFERROR(s_C*s_RadSpec!AH8*s_Q_w_game*(1/1000)*s_EF_rec*s_ED_rec*s_IRGL_rec*s_CF_game,".")</f>
        <v>4.0000000000000001E-3</v>
      </c>
      <c r="BB8" s="19">
        <f t="shared" si="9"/>
        <v>1000</v>
      </c>
      <c r="BC8" s="19">
        <f>IFERROR((s_C*s_IRGF_rec*s_EF_rec*s_ED_rec*s_CF_fowl*s_RadSpec!AJ8)*((s_Q_p_fowl*s_f_p_fowl*s_f_s_fowl*(s_RadSpec!BB8+s_R_es_past))+(s_Q_s_fowl*s_f_p_fowl)),".")</f>
        <v>0</v>
      </c>
      <c r="BD8" s="19">
        <f>IFERROR(s_C*s_RadSpec!AJ8*s_Q_w_fowl*(1/1000)*s_EF_rec*s_ED_rec*s_IRGL_rec*s_CF_fowl,".")</f>
        <v>0</v>
      </c>
      <c r="BE8" s="5"/>
      <c r="BF8" s="5"/>
      <c r="BG8" s="5"/>
      <c r="BH8" s="5"/>
      <c r="BI8" s="5"/>
      <c r="BJ8" s="5"/>
    </row>
    <row r="9" spans="1:62" customFormat="1" x14ac:dyDescent="0.25">
      <c r="A9" s="44" t="s">
        <v>19</v>
      </c>
      <c r="B9" s="42" t="s">
        <v>1074</v>
      </c>
      <c r="C9" s="15">
        <f>IFERROR(((s_TR/(s_RadSpec!D9*s_IFS_rec_adj*(1/1000)))*1),".")</f>
        <v>450826.13889953331</v>
      </c>
      <c r="D9" s="15">
        <f>IFERROR(IF(A9="H-3",(s_TR/((s_RadSpec!G9*s_IFA_rec_adj*(1/17)*1000))*1),(s_TR/((s_RadSpec!G9*s_IFA_rec_adj*(1/s_PEF_wind)*1000))*1)),".")</f>
        <v>27499926.885003295</v>
      </c>
      <c r="E9" s="2">
        <f>IFERROR((TR/(s_RadSpec!F9*s_EF_rec*(1/365)*s_ED_rec*s_RadSpec!Q9*s_ET_rec*(1/24)*s_RadSpec!V9)),".")</f>
        <v>19.472249924842977</v>
      </c>
      <c r="F9" s="2">
        <f t="shared" si="12"/>
        <v>19.471395121740201</v>
      </c>
      <c r="G9" s="40">
        <f t="shared" si="1"/>
        <v>27.5</v>
      </c>
      <c r="H9" s="40">
        <f t="shared" si="2"/>
        <v>2.9420495991003873E-3</v>
      </c>
      <c r="I9" s="40">
        <f>IFERROR((s_C*s_EF_rec*(1/365)*s_ED_rec*s_RadSpec!Q9*s_ET_rec*(1/24)*s_RadSpec!V9),".")</f>
        <v>3.4962101772531687E-2</v>
      </c>
      <c r="J9" s="18"/>
      <c r="K9" s="18"/>
      <c r="L9" s="18"/>
      <c r="M9" s="18"/>
      <c r="N9" s="15">
        <f>IFERROR((s_TR/(s_RadSpec!F9*s_EF_rec*(1/365)*s_ED_rec*s_RadSpec!Q9*s_ET_rec*(1/24)*s_RadSpec!V9)),".")</f>
        <v>19.472249924842977</v>
      </c>
      <c r="O9" s="15">
        <f>IFERROR((s_TR/(s_RadSpec!M9*s_EF_rec*(1/365)*s_ED_rec*s_RadSpec!R9*s_ET_rec*(1/24)*s_RadSpec!W9)),".")</f>
        <v>220.82786976177104</v>
      </c>
      <c r="P9" s="15">
        <f>IFERROR((s_TR/(s_RadSpec!N9*s_EF_rec*(1/365)*s_ED_rec*s_RadSpec!S9*s_ET_rec*(1/24)*s_RadSpec!X9)),".")</f>
        <v>54.077919310440741</v>
      </c>
      <c r="Q9" s="15">
        <f>IFERROR((s_TR/(s_RadSpec!O9*s_EF_rec*(1/365)*s_ED_rec*s_RadSpec!T9*s_ET_rec*(1/24)*s_RadSpec!Y9)),".")</f>
        <v>27.661689682858572</v>
      </c>
      <c r="R9" s="15">
        <f>IFERROR((s_TR/(s_RadSpec!K9*s_EF_rec*(1/365)*s_ED_rec*s_RadSpec!P9*s_ET_rec*(1/24)*s_RadSpec!U9)),".")</f>
        <v>403.94907888713999</v>
      </c>
      <c r="S9" s="40">
        <f>IFERROR((s_C*s_EF_rec*(1/365)*s_ED_rec*s_RadSpec!Q9*s_ET_rec*(1/24)*s_RadSpec!V9),".")</f>
        <v>3.4962101772531687E-2</v>
      </c>
      <c r="T9" s="40">
        <f>IFERROR((s_C*s_EF_rec*(1/365)*s_ED_rec*s_RadSpec!R9*s_ET_rec*(1/24)*s_RadSpec!W9),".")</f>
        <v>1.7069944095933074E-2</v>
      </c>
      <c r="U9" s="40">
        <f>IFERROR((s_C*s_EF_rec*(1/365)*s_ED_rec*s_RadSpec!S9*s_ET_rec*(1/24)*s_RadSpec!X9),".")</f>
        <v>2.4260189543449336E-2</v>
      </c>
      <c r="V9" s="40">
        <f>IFERROR((s_C*s_EF_rec*(1/365)*s_ED_rec*s_RadSpec!T9*s_ET_rec*(1/24)*s_RadSpec!Y9),".")</f>
        <v>2.94306506849315E-2</v>
      </c>
      <c r="W9" s="40">
        <f>IFERROR((s_C*s_EF_rec*(1/365)*s_ED_rec*s_RadSpec!P9*s_ET_rec*(1/24)*s_RadSpec!U9),".")</f>
        <v>9.6370698296024022E-3</v>
      </c>
      <c r="X9" s="18"/>
      <c r="Y9" s="18"/>
      <c r="Z9" s="18"/>
      <c r="AA9" s="18"/>
      <c r="AB9" s="18"/>
      <c r="AC9" s="15">
        <f>IFERROR((s_TR/(s_RadSpec!G9*s_IFA_rec_adj)),".")</f>
        <v>88.765603328710128</v>
      </c>
      <c r="AD9" s="15">
        <f>IFERROR((s_TR/(s_RadSpec!J9*s_EF_rec*(1/365)*s_ED_rec*s_ET_rec*(1/24)*s_GSF_a)),".")</f>
        <v>1309.3139439219547</v>
      </c>
      <c r="AE9" s="15">
        <f t="shared" si="11"/>
        <v>83.129777849534292</v>
      </c>
      <c r="AF9" s="40">
        <f t="shared" si="3"/>
        <v>911.45833333333326</v>
      </c>
      <c r="AG9" s="40">
        <f t="shared" si="4"/>
        <v>0.57077625570776247</v>
      </c>
      <c r="AH9" s="45"/>
      <c r="AI9" s="45"/>
      <c r="AJ9" s="45"/>
      <c r="AK9" s="15">
        <f>IFERROR((s_TR/(s_RadSpec!H9*s_IFW_rec_adj)),".")</f>
        <v>2603.7598291933555</v>
      </c>
      <c r="AL9" s="15">
        <f>IFERROR((s_TR/(s_RadSpec!L9*(1/8760)*s_DFA_rec_adj)),".")</f>
        <v>1512574.3747324194</v>
      </c>
      <c r="AM9" s="2">
        <f t="shared" si="5"/>
        <v>2599.2853947400872</v>
      </c>
      <c r="AN9" s="40">
        <f t="shared" si="6"/>
        <v>10000</v>
      </c>
      <c r="AO9" s="40">
        <f t="shared" si="7"/>
        <v>0.22831050228310501</v>
      </c>
      <c r="AP9" s="18"/>
      <c r="AQ9" s="18"/>
      <c r="AR9" s="18"/>
      <c r="AS9" s="2">
        <f>IFERROR(s_TR/(s_RadSpec!E9*s_EF_rec*s_ED_rec*s_IRGL_rec*s_CF_game),".")</f>
        <v>18847.299182027215</v>
      </c>
      <c r="AT9" s="2">
        <f>IFERROR((AS9/(s_RadSpec!AH9*((s_Q_p_game*s_f_p_game*s_f_s_game*(s_RadSpec!BB9+s_R_es_past))+(s_Q_s_game*s_f_p_game)))),".")</f>
        <v>785304.1325844673</v>
      </c>
      <c r="AU9" s="2">
        <f>IFERROR(AS9/(s_RadSpec!AH9*s_Q_w_game*(1/1000)),".")</f>
        <v>4711824795.5068035</v>
      </c>
      <c r="AV9" s="2">
        <f>IFERROR(s_TR/(s_RadSpec!E9*s_EF_rec*s_ED_rec*s_IRGF_rec*s_CF_fowl),".")</f>
        <v>18847.299182027215</v>
      </c>
      <c r="AW9" s="2" t="str">
        <f>IFERROR((AS9/(s_RadSpec!AJ9*((s_Q_p_fowl*s_f_p_fowl*s_f_s_fowl*(s_RadSpec!BB9+s_R_es_past))+(s_Q_s_fowl*s_f_p_fowl)))),".")</f>
        <v>.</v>
      </c>
      <c r="AX9" s="2" t="str">
        <f>IFERROR(AS9/(s_RadSpec!AJ9*s_Q_w_fowl*(1/1000)),".")</f>
        <v>.</v>
      </c>
      <c r="AY9" s="19">
        <f t="shared" si="8"/>
        <v>1000</v>
      </c>
      <c r="AZ9" s="19">
        <f>IFERROR((s_C*s_IRGL_rec*s_EF_rec*s_ED_rec*s_CF_game*s_RadSpec!AH9)*((s_Q_p_game*s_f_p_game*s_f_s_game*(s_RadSpec!BB9+s_R_es_past))+(s_Q_s_game*s_f_p_game)),".")</f>
        <v>24</v>
      </c>
      <c r="BA9" s="19">
        <f>IFERROR(s_C*s_RadSpec!AH9*s_Q_w_game*(1/1000)*s_EF_rec*s_ED_rec*s_IRGL_rec*s_CF_game,".")</f>
        <v>4.0000000000000001E-3</v>
      </c>
      <c r="BB9" s="19">
        <f t="shared" si="9"/>
        <v>1000</v>
      </c>
      <c r="BC9" s="19">
        <f>IFERROR((s_C*s_IRGF_rec*s_EF_rec*s_ED_rec*s_CF_fowl*s_RadSpec!AJ9)*((s_Q_p_fowl*s_f_p_fowl*s_f_s_fowl*(s_RadSpec!BB9+s_R_es_past))+(s_Q_s_fowl*s_f_p_fowl)),".")</f>
        <v>0</v>
      </c>
      <c r="BD9" s="19">
        <f>IFERROR(s_C*s_RadSpec!AJ9*s_Q_w_fowl*(1/1000)*s_EF_rec*s_ED_rec*s_IRGL_rec*s_CF_fowl,".")</f>
        <v>0</v>
      </c>
      <c r="BE9" s="5"/>
      <c r="BF9" s="5"/>
      <c r="BG9" s="5"/>
      <c r="BH9" s="5"/>
      <c r="BI9" s="5"/>
      <c r="BJ9" s="5"/>
    </row>
    <row r="10" spans="1:62" customFormat="1" x14ac:dyDescent="0.25">
      <c r="A10" s="46" t="s">
        <v>20</v>
      </c>
      <c r="B10" s="42" t="s">
        <v>351</v>
      </c>
      <c r="C10" s="15">
        <f>IFERROR(((s_TR/(s_RadSpec!D10*s_IFS_rec_adj*(1/1000)))*1),".")</f>
        <v>4273.0477513086207</v>
      </c>
      <c r="D10" s="15">
        <f>IFERROR(IF(A10="H-3",(s_TR/((s_RadSpec!G10*s_IFA_rec_adj*(1/17)*1000))*1),(s_TR/((s_RadSpec!G10*s_IFA_rec_adj*(1/s_PEF_wind)*1000))*1)),".")</f>
        <v>15109312.602179976</v>
      </c>
      <c r="E10" s="2">
        <f>IFERROR((TR/(s_RadSpec!F10*s_EF_rec*(1/365)*s_ED_rec*s_RadSpec!Q10*s_ET_rec*(1/24)*s_RadSpec!V10)),".")</f>
        <v>495475.08280774747</v>
      </c>
      <c r="F10" s="2">
        <f>IF(AND(C10&lt;&gt;".",D10&lt;&gt;".",E10&lt;&gt;"."),1/((1/C10)+(1/D10)+(1/E10)),IF(AND(C10&lt;&gt;".",D10&lt;&gt;".",E10="."), 1/((1/C10)+(1/D10)),IF(AND(C10&lt;&gt;".",D10=".",E10&lt;&gt;"."),1/((1/C10)+(1/E10)),IF(AND(C10=".",D10&lt;&gt;".",E10&lt;&gt;"."),1/((1/D10)+(1/E10)),IF(AND(C10&lt;&gt;".",D10=".",E10="."),1/((1/C10)),IF(AND(C10=".",D10&lt;&gt;".",E10="."),1/((1/D10)),IF(AND(C10=".",D10=".",E10&lt;&gt;"."),1/((1/E10)),IF(AND(C10=".",D10=".",E10="."),"."))))))))</f>
        <v>4235.3239267477302</v>
      </c>
      <c r="G10" s="40">
        <f t="shared" si="1"/>
        <v>27.5</v>
      </c>
      <c r="H10" s="40">
        <f t="shared" si="2"/>
        <v>2.9420495991003873E-3</v>
      </c>
      <c r="I10" s="40">
        <f>IFERROR((s_C*s_EF_rec*(1/365)*s_ED_rec*s_RadSpec!Q10*s_ET_rec*(1/24)*s_RadSpec!V10),".")</f>
        <v>1.8271800868693618E-2</v>
      </c>
      <c r="J10" s="18"/>
      <c r="K10" s="18"/>
      <c r="L10" s="18"/>
      <c r="M10" s="18"/>
      <c r="N10" s="15">
        <f>IFERROR((s_TR/(s_RadSpec!F10*s_EF_rec*(1/365)*s_ED_rec*s_RadSpec!Q10*s_ET_rec*(1/24)*s_RadSpec!V10)),".")</f>
        <v>495475.08280774747</v>
      </c>
      <c r="O10" s="15">
        <f>IFERROR((s_TR/(s_RadSpec!M10*s_EF_rec*(1/365)*s_ED_rec*s_RadSpec!R10*s_ET_rec*(1/24)*s_RadSpec!W10)),".")</f>
        <v>2215987.1149827191</v>
      </c>
      <c r="P10" s="15">
        <f>IFERROR((s_TR/(s_RadSpec!N10*s_EF_rec*(1/365)*s_ED_rec*s_RadSpec!S10*s_ET_rec*(1/24)*s_RadSpec!X10)),".")</f>
        <v>718052.81451185967</v>
      </c>
      <c r="Q10" s="15">
        <f>IFERROR((s_TR/(s_RadSpec!O10*s_EF_rec*(1/365)*s_ED_rec*s_RadSpec!T10*s_ET_rec*(1/24)*s_RadSpec!Y10)),".")</f>
        <v>514071.40442078369</v>
      </c>
      <c r="R10" s="15">
        <f>IFERROR((s_TR/(s_RadSpec!K10*s_EF_rec*(1/365)*s_ED_rec*s_RadSpec!P10*s_ET_rec*(1/24)*s_RadSpec!U10)),".")</f>
        <v>1295195.6969879628</v>
      </c>
      <c r="S10" s="40">
        <f>IFERROR((s_C*s_EF_rec*(1/365)*s_ED_rec*s_RadSpec!Q10*s_ET_rec*(1/24)*s_RadSpec!V10),".")</f>
        <v>1.8271800868693618E-2</v>
      </c>
      <c r="T10" s="40">
        <f>IFERROR((s_C*s_EF_rec*(1/365)*s_ED_rec*s_RadSpec!R10*s_ET_rec*(1/24)*s_RadSpec!W10),".")</f>
        <v>1.1725729600952953E-2</v>
      </c>
      <c r="U10" s="40">
        <f>IFERROR((s_C*s_EF_rec*(1/365)*s_ED_rec*s_RadSpec!S10*s_ET_rec*(1/24)*s_RadSpec!X10),".")</f>
        <v>1.6419581531242629E-2</v>
      </c>
      <c r="V10" s="40">
        <f>IFERROR((s_C*s_EF_rec*(1/365)*s_ED_rec*s_RadSpec!T10*s_ET_rec*(1/24)*s_RadSpec!Y10),".")</f>
        <v>1.7952415284787311E-2</v>
      </c>
      <c r="W10" s="40">
        <f>IFERROR((s_C*s_EF_rec*(1/365)*s_ED_rec*s_RadSpec!P10*s_ET_rec*(1/24)*s_RadSpec!U10),".")</f>
        <v>6.9751022528078931E-3</v>
      </c>
      <c r="X10" s="18"/>
      <c r="Y10" s="18"/>
      <c r="Z10" s="18"/>
      <c r="AA10" s="18"/>
      <c r="AB10" s="18"/>
      <c r="AC10" s="15">
        <f>IFERROR((s_TR/(s_RadSpec!G10*s_IFA_rec_adj)),".")</f>
        <v>48.770575086364566</v>
      </c>
      <c r="AD10" s="15">
        <f>IFERROR((s_TR/(s_RadSpec!J10*s_EF_rec*(1/365)*s_ED_rec*s_ET_rec*(1/24)*s_GSF_a)),".")</f>
        <v>5397387.6968869064</v>
      </c>
      <c r="AE10" s="15">
        <f t="shared" si="11"/>
        <v>48.770134401419298</v>
      </c>
      <c r="AF10" s="40">
        <f t="shared" si="3"/>
        <v>911.45833333333326</v>
      </c>
      <c r="AG10" s="40">
        <f t="shared" si="4"/>
        <v>0.57077625570776247</v>
      </c>
      <c r="AH10" s="45"/>
      <c r="AI10" s="45"/>
      <c r="AJ10" s="45"/>
      <c r="AK10" s="15">
        <f>IFERROR((s_TR/(s_RadSpec!H10*s_IFW_rec_adj)),".")</f>
        <v>16.399895040671737</v>
      </c>
      <c r="AL10" s="15">
        <f>IFERROR((s_TR/(s_RadSpec!L10*(1/8760)*s_DFA_rec_adj)),".")</f>
        <v>9768709503.4802094</v>
      </c>
      <c r="AM10" s="2">
        <f t="shared" si="5"/>
        <v>16.399895013139282</v>
      </c>
      <c r="AN10" s="40">
        <f t="shared" si="6"/>
        <v>10000</v>
      </c>
      <c r="AO10" s="40">
        <f t="shared" si="7"/>
        <v>0.22831050228310501</v>
      </c>
      <c r="AP10" s="18"/>
      <c r="AQ10" s="18"/>
      <c r="AR10" s="18"/>
      <c r="AS10" s="2">
        <f>IFERROR(s_TR/(s_RadSpec!E10*s_EF_rec*s_ED_rec*s_IRGL_rec*s_CF_game),".")</f>
        <v>133.79716350013379</v>
      </c>
      <c r="AT10" s="2">
        <f>IFERROR((AS10/(s_RadSpec!AH10*((s_Q_p_game*s_f_p_game*s_f_s_game*(s_RadSpec!BB10+s_R_es_past))+(s_Q_s_game*s_f_p_game)))),".")</f>
        <v>735.68821572654213</v>
      </c>
      <c r="AU10" s="2">
        <f>IFERROR(AS10/(s_RadSpec!AH10*s_Q_w_game*(1/1000)),".")</f>
        <v>3040844.6250030408</v>
      </c>
      <c r="AV10" s="2">
        <f>IFERROR(s_TR/(s_RadSpec!E10*s_EF_rec*s_ED_rec*s_IRGF_rec*s_CF_fowl),".")</f>
        <v>133.79716350013379</v>
      </c>
      <c r="AW10" s="2">
        <f>IFERROR((AS10/(s_RadSpec!AJ10*((s_Q_p_fowl*s_f_p_fowl*s_f_s_fowl*(s_RadSpec!BB10+s_R_es_past))+(s_Q_s_fowl*s_f_p_fowl)))),".")</f>
        <v>5.9944965725866393</v>
      </c>
      <c r="AX10" s="2">
        <f>IFERROR(AS10/(s_RadSpec!AJ10*s_Q_w_fowl*(1/1000)),".")</f>
        <v>24777.252500024773</v>
      </c>
      <c r="AY10" s="19">
        <f t="shared" si="8"/>
        <v>1000</v>
      </c>
      <c r="AZ10" s="19">
        <f>IFERROR((s_C*s_IRGL_rec*s_EF_rec*s_ED_rec*s_CF_game*s_RadSpec!AH10)*((s_Q_p_game*s_f_p_game*s_f_s_game*(s_RadSpec!BB10+s_R_es_past))+(s_Q_s_game*s_f_p_game)),".")</f>
        <v>181.86666666666665</v>
      </c>
      <c r="BA10" s="19">
        <f>IFERROR(s_C*s_RadSpec!AH10*s_Q_w_game*(1/1000)*s_EF_rec*s_ED_rec*s_IRGL_rec*s_CF_game,".")</f>
        <v>4.3999999999999997E-2</v>
      </c>
      <c r="BB10" s="19">
        <f t="shared" si="9"/>
        <v>1000</v>
      </c>
      <c r="BC10" s="19">
        <f>IFERROR((s_C*s_IRGF_rec*s_EF_rec*s_ED_rec*s_CF_fowl*s_RadSpec!AJ10)*((s_Q_p_fowl*s_f_p_fowl*s_f_s_fowl*(s_RadSpec!BB10+s_R_es_past))+(s_Q_s_fowl*s_f_p_fowl)),".")</f>
        <v>22319.999999999996</v>
      </c>
      <c r="BD10" s="19">
        <f>IFERROR(s_C*s_RadSpec!AJ10*s_Q_w_fowl*(1/1000)*s_EF_rec*s_ED_rec*s_IRGL_rec*s_CF_fowl,".")</f>
        <v>5.4</v>
      </c>
      <c r="BE10" s="5"/>
      <c r="BF10" s="5"/>
      <c r="BG10" s="5"/>
      <c r="BH10" s="5"/>
      <c r="BI10" s="5"/>
      <c r="BJ10" s="5"/>
    </row>
    <row r="11" spans="1:62" customFormat="1" x14ac:dyDescent="0.25">
      <c r="A11" s="44" t="s">
        <v>21</v>
      </c>
      <c r="B11" s="42" t="s">
        <v>1074</v>
      </c>
      <c r="C11" s="15" t="str">
        <f>IFERROR(((s_TR/(s_RadSpec!D11*s_IFS_rec_adj*(1/1000)))*1),".")</f>
        <v>.</v>
      </c>
      <c r="D11" s="15" t="str">
        <f>IFERROR(IF(A11="H-3",(s_TR/((s_RadSpec!G11*s_IFA_rec_adj*(1/17)*1000))*1),(s_TR/((s_RadSpec!G11*s_IFA_rec_adj*(1/s_PEF_wind)*1000))*1)),".")</f>
        <v>.</v>
      </c>
      <c r="E11" s="2">
        <f>IFERROR((TR/(s_RadSpec!F11*s_EF_rec*(1/365)*s_ED_rec*s_RadSpec!Q11*s_ET_rec*(1/24)*s_RadSpec!V11)),".")</f>
        <v>7803.6828653073735</v>
      </c>
      <c r="F11" s="2">
        <f>IF(AND(C11&lt;&gt;".",D11&lt;&gt;".",E11&lt;&gt;"."),1/((1/C11)+(1/D11)+(1/E11)),IF(AND(C11&lt;&gt;".",D11&lt;&gt;".",E11="."), 1/((1/C11)+(1/D11)),IF(AND(C11&lt;&gt;".",D11=".",E11&lt;&gt;"."),1/((1/C11)+(1/E11)),IF(AND(C11=".",D11&lt;&gt;".",E11&lt;&gt;"."),1/((1/D11)+(1/E11)),IF(AND(C11&lt;&gt;".",D11=".",E11="."),1/((1/C11)),IF(AND(C11=".",D11&lt;&gt;".",E11="."),1/((1/D11)),IF(AND(C11=".",D11=".",E11&lt;&gt;"."),1/((1/E11)),IF(AND(C11=".",D11=".",E11="."),"."))))))))</f>
        <v>7803.6828653073726</v>
      </c>
      <c r="G11" s="40">
        <f t="shared" si="1"/>
        <v>27.5</v>
      </c>
      <c r="H11" s="40">
        <f t="shared" si="2"/>
        <v>2.9420495991003873E-3</v>
      </c>
      <c r="I11" s="40">
        <f>IFERROR((s_C*s_EF_rec*(1/365)*s_ED_rec*s_RadSpec!Q11*s_ET_rec*(1/24)*s_RadSpec!V11),".")</f>
        <v>6.1106634434595752E-3</v>
      </c>
      <c r="J11" s="18"/>
      <c r="K11" s="18"/>
      <c r="L11" s="18"/>
      <c r="M11" s="18"/>
      <c r="N11" s="15">
        <f>IFERROR((s_TR/(s_RadSpec!F11*s_EF_rec*(1/365)*s_ED_rec*s_RadSpec!Q11*s_ET_rec*(1/24)*s_RadSpec!V11)),".")</f>
        <v>7803.6828653073735</v>
      </c>
      <c r="O11" s="15">
        <f>IFERROR((s_TR/(s_RadSpec!M11*s_EF_rec*(1/365)*s_ED_rec*s_RadSpec!R11*s_ET_rec*(1/24)*s_RadSpec!W11)),".")</f>
        <v>40451.942218750562</v>
      </c>
      <c r="P11" s="15">
        <f>IFERROR((s_TR/(s_RadSpec!N11*s_EF_rec*(1/365)*s_ED_rec*s_RadSpec!S11*s_ET_rec*(1/24)*s_RadSpec!X11)),".")</f>
        <v>11378.421484012571</v>
      </c>
      <c r="Q11" s="15">
        <f>IFERROR((s_TR/(s_RadSpec!O11*s_EF_rec*(1/365)*s_ED_rec*s_RadSpec!T11*s_ET_rec*(1/24)*s_RadSpec!Y11)),".")</f>
        <v>7578.2236541004486</v>
      </c>
      <c r="R11" s="15">
        <f>IFERROR((s_TR/(s_RadSpec!K11*s_EF_rec*(1/365)*s_ED_rec*s_RadSpec!P11*s_ET_rec*(1/24)*s_RadSpec!U11)),".")</f>
        <v>76421.87706804245</v>
      </c>
      <c r="S11" s="40">
        <f>IFERROR((s_C*s_EF_rec*(1/365)*s_ED_rec*s_RadSpec!Q11*s_ET_rec*(1/24)*s_RadSpec!V11),".")</f>
        <v>6.1106634434595752E-3</v>
      </c>
      <c r="T11" s="40">
        <f>IFERROR((s_C*s_EF_rec*(1/365)*s_ED_rec*s_RadSpec!R11*s_ET_rec*(1/24)*s_RadSpec!W11),".")</f>
        <v>4.829302226027397E-3</v>
      </c>
      <c r="U11" s="40">
        <f>IFERROR((s_C*s_EF_rec*(1/365)*s_ED_rec*s_RadSpec!S11*s_ET_rec*(1/24)*s_RadSpec!X11),".")</f>
        <v>6.2225803563434514E-3</v>
      </c>
      <c r="V11" s="40">
        <f>IFERROR((s_C*s_EF_rec*(1/365)*s_ED_rec*s_RadSpec!T11*s_ET_rec*(1/24)*s_RadSpec!Y11),".")</f>
        <v>6.5325205916409931E-3</v>
      </c>
      <c r="W11" s="40">
        <f>IFERROR((s_C*s_EF_rec*(1/365)*s_ED_rec*s_RadSpec!P11*s_ET_rec*(1/24)*s_RadSpec!U11),".")</f>
        <v>2.5941367215935409E-3</v>
      </c>
      <c r="X11" s="18"/>
      <c r="Y11" s="18"/>
      <c r="Z11" s="18"/>
      <c r="AA11" s="18"/>
      <c r="AB11" s="18"/>
      <c r="AC11" s="15" t="str">
        <f>IFERROR((s_TR/(s_RadSpec!G11*s_IFA_rec_adj)),".")</f>
        <v>.</v>
      </c>
      <c r="AD11" s="15">
        <f>IFERROR((s_TR/(s_RadSpec!J11*s_EF_rec*(1/365)*s_ED_rec*s_ET_rec*(1/24)*s_GSF_a)),".")</f>
        <v>76011.842945013181</v>
      </c>
      <c r="AE11" s="15">
        <f t="shared" si="11"/>
        <v>76011.842945013181</v>
      </c>
      <c r="AF11" s="40">
        <f t="shared" si="3"/>
        <v>911.45833333333326</v>
      </c>
      <c r="AG11" s="40">
        <f t="shared" si="4"/>
        <v>0.57077625570776247</v>
      </c>
      <c r="AH11" s="45"/>
      <c r="AI11" s="45"/>
      <c r="AJ11" s="45"/>
      <c r="AK11" s="15" t="str">
        <f>IFERROR((s_TR/(s_RadSpec!H11*s_IFW_rec_adj)),".")</f>
        <v>.</v>
      </c>
      <c r="AL11" s="15">
        <f>IFERROR((s_TR/(s_RadSpec!L11*(1/8760)*s_DFA_rec_adj)),".")</f>
        <v>86432821.413281098</v>
      </c>
      <c r="AM11" s="2">
        <f t="shared" si="5"/>
        <v>0</v>
      </c>
      <c r="AN11" s="40">
        <f t="shared" si="6"/>
        <v>10000</v>
      </c>
      <c r="AO11" s="40">
        <f t="shared" si="7"/>
        <v>0.22831050228310501</v>
      </c>
      <c r="AP11" s="18"/>
      <c r="AQ11" s="18"/>
      <c r="AR11" s="18"/>
      <c r="AS11" s="2" t="str">
        <f>IFERROR(s_TR/(s_RadSpec!E11*s_EF_rec*s_ED_rec*s_IRGL_rec*s_CF_game),".")</f>
        <v>.</v>
      </c>
      <c r="AT11" s="2" t="str">
        <f>IFERROR((AS11/(s_RadSpec!AH11*((s_Q_p_game*s_f_p_game*s_f_s_game*(s_RadSpec!BB11+s_R_es_past))+(s_Q_s_game*s_f_p_game)))),".")</f>
        <v>.</v>
      </c>
      <c r="AU11" s="2" t="str">
        <f>IFERROR(AS11/(s_RadSpec!AH11*s_Q_w_game*(1/1000)),".")</f>
        <v>.</v>
      </c>
      <c r="AV11" s="2" t="str">
        <f>IFERROR(s_TR/(s_RadSpec!E11*s_EF_rec*s_ED_rec*s_IRGF_rec*s_CF_fowl),".")</f>
        <v>.</v>
      </c>
      <c r="AW11" s="2" t="str">
        <f>IFERROR((AS11/(s_RadSpec!AJ11*((s_Q_p_fowl*s_f_p_fowl*s_f_s_fowl*(s_RadSpec!BB11+s_R_es_past))+(s_Q_s_fowl*s_f_p_fowl)))),".")</f>
        <v>.</v>
      </c>
      <c r="AX11" s="2" t="str">
        <f>IFERROR(AS11/(s_RadSpec!AJ11*s_Q_w_fowl*(1/1000)),".")</f>
        <v>.</v>
      </c>
      <c r="AY11" s="19">
        <f t="shared" si="8"/>
        <v>1000</v>
      </c>
      <c r="AZ11" s="19">
        <f>IFERROR((s_C*s_IRGL_rec*s_EF_rec*s_ED_rec*s_CF_game*s_RadSpec!AH11)*((s_Q_p_game*s_f_p_game*s_f_s_game*(s_RadSpec!BB11+s_R_es_past))+(s_Q_s_game*s_f_p_game)),".")</f>
        <v>264</v>
      </c>
      <c r="BA11" s="19">
        <f>IFERROR(s_C*s_RadSpec!AH11*s_Q_w_game*(1/1000)*s_EF_rec*s_ED_rec*s_IRGL_rec*s_CF_game,".")</f>
        <v>5.9999999999999991E-2</v>
      </c>
      <c r="BB11" s="19">
        <f t="shared" si="9"/>
        <v>1000</v>
      </c>
      <c r="BC11" s="19">
        <f>IFERROR((s_C*s_IRGF_rec*s_EF_rec*s_ED_rec*s_CF_fowl*s_RadSpec!AJ11)*((s_Q_p_fowl*s_f_p_fowl*s_f_s_fowl*(s_RadSpec!BB11+s_R_es_past))+(s_Q_s_fowl*s_f_p_fowl)),".")</f>
        <v>0</v>
      </c>
      <c r="BD11" s="19">
        <f>IFERROR(s_C*s_RadSpec!AJ11*s_Q_w_fowl*(1/1000)*s_EF_rec*s_ED_rec*s_IRGL_rec*s_CF_fowl,".")</f>
        <v>0</v>
      </c>
      <c r="BE11" s="5"/>
      <c r="BF11" s="5"/>
      <c r="BG11" s="5"/>
      <c r="BH11" s="5"/>
      <c r="BI11" s="5"/>
      <c r="BJ11" s="5"/>
    </row>
    <row r="12" spans="1:62" customFormat="1" x14ac:dyDescent="0.25">
      <c r="A12" s="44" t="s">
        <v>22</v>
      </c>
      <c r="B12" s="42" t="s">
        <v>1074</v>
      </c>
      <c r="C12" s="15" t="str">
        <f>IFERROR(((s_TR/(s_RadSpec!D12*s_IFS_rec_adj*(1/1000)))*1),".")</f>
        <v>.</v>
      </c>
      <c r="D12" s="15" t="str">
        <f>IFERROR(IF(A12="H-3",(s_TR/((s_RadSpec!G12*s_IFA_rec_adj*(1/17)*1000))*1),(s_TR/((s_RadSpec!G12*s_IFA_rec_adj*(1/s_PEF_wind)*1000))*1)),".")</f>
        <v>.</v>
      </c>
      <c r="E12" s="2">
        <f>IFERROR((TR/(s_RadSpec!F12*s_EF_rec*(1/365)*s_ED_rec*s_RadSpec!Q12*s_ET_rec*(1/24)*s_RadSpec!V12)),".")</f>
        <v>811.02994383610803</v>
      </c>
      <c r="F12" s="2">
        <f>IF(AND(C12&lt;&gt;".",D12&lt;&gt;".",E12&lt;&gt;"."),1/((1/C12)+(1/D12)+(1/E12)),IF(AND(C12&lt;&gt;".",D12&lt;&gt;".",E12="."), 1/((1/C12)+(1/D12)),IF(AND(C12&lt;&gt;".",D12=".",E12&lt;&gt;"."),1/((1/C12)+(1/E12)),IF(AND(C12=".",D12&lt;&gt;".",E12&lt;&gt;"."),1/((1/D12)+(1/E12)),IF(AND(C12&lt;&gt;".",D12=".",E12="."),1/((1/C12)),IF(AND(C12=".",D12&lt;&gt;".",E12="."),1/((1/D12)),IF(AND(C12=".",D12=".",E12&lt;&gt;"."),1/((1/E12)),IF(AND(C12=".",D12=".",E12="."),"."))))))))</f>
        <v>811.02994383610803</v>
      </c>
      <c r="G12" s="40">
        <f t="shared" si="1"/>
        <v>27.5</v>
      </c>
      <c r="H12" s="40">
        <f t="shared" si="2"/>
        <v>2.9420495991003873E-3</v>
      </c>
      <c r="I12" s="40">
        <f>IFERROR((s_C*s_EF_rec*(1/365)*s_ED_rec*s_RadSpec!Q12*s_ET_rec*(1/24)*s_RadSpec!V12),".")</f>
        <v>1.2753432357719821E-2</v>
      </c>
      <c r="J12" s="18"/>
      <c r="K12" s="18"/>
      <c r="L12" s="18"/>
      <c r="M12" s="18"/>
      <c r="N12" s="15">
        <f>IFERROR((s_TR/(s_RadSpec!F12*s_EF_rec*(1/365)*s_ED_rec*s_RadSpec!Q12*s_ET_rec*(1/24)*s_RadSpec!V12)),".")</f>
        <v>811.02994383610803</v>
      </c>
      <c r="O12" s="15">
        <f>IFERROR((s_TR/(s_RadSpec!M12*s_EF_rec*(1/365)*s_ED_rec*s_RadSpec!R12*s_ET_rec*(1/24)*s_RadSpec!W12)),".")</f>
        <v>6402.91720571934</v>
      </c>
      <c r="P12" s="15">
        <f>IFERROR((s_TR/(s_RadSpec!N12*s_EF_rec*(1/365)*s_ED_rec*s_RadSpec!S12*s_ET_rec*(1/24)*s_RadSpec!X12)),".")</f>
        <v>1664.5692342750385</v>
      </c>
      <c r="Q12" s="15">
        <f>IFERROR((s_TR/(s_RadSpec!O12*s_EF_rec*(1/365)*s_ED_rec*s_RadSpec!T12*s_ET_rec*(1/24)*s_RadSpec!Y12)),".")</f>
        <v>996.74490618811649</v>
      </c>
      <c r="R12" s="15">
        <f>IFERROR((s_TR/(s_RadSpec!K12*s_EF_rec*(1/365)*s_ED_rec*s_RadSpec!P12*s_ET_rec*(1/24)*s_RadSpec!U12)),".")</f>
        <v>10865.926421886585</v>
      </c>
      <c r="S12" s="40">
        <f>IFERROR((s_C*s_EF_rec*(1/365)*s_ED_rec*s_RadSpec!Q12*s_ET_rec*(1/24)*s_RadSpec!V12),".")</f>
        <v>1.2753432357719821E-2</v>
      </c>
      <c r="T12" s="40">
        <f>IFERROR((s_C*s_EF_rec*(1/365)*s_ED_rec*s_RadSpec!R12*s_ET_rec*(1/24)*s_RadSpec!W12),".")</f>
        <v>7.1086825141015294E-3</v>
      </c>
      <c r="U12" s="40">
        <f>IFERROR((s_C*s_EF_rec*(1/365)*s_ED_rec*s_RadSpec!S12*s_ET_rec*(1/24)*s_RadSpec!X12),".")</f>
        <v>9.803894271819432E-3</v>
      </c>
      <c r="V12" s="40">
        <f>IFERROR((s_C*s_EF_rec*(1/365)*s_ED_rec*s_RadSpec!T12*s_ET_rec*(1/24)*s_RadSpec!Y12),".")</f>
        <v>1.1101184567533584E-2</v>
      </c>
      <c r="W12" s="40">
        <f>IFERROR((s_C*s_EF_rec*(1/365)*s_ED_rec*s_RadSpec!P12*s_ET_rec*(1/24)*s_RadSpec!U12),".")</f>
        <v>4.1179931086645933E-3</v>
      </c>
      <c r="X12" s="18"/>
      <c r="Y12" s="18"/>
      <c r="Z12" s="18"/>
      <c r="AA12" s="18"/>
      <c r="AB12" s="18"/>
      <c r="AC12" s="15" t="str">
        <f>IFERROR((s_TR/(s_RadSpec!G12*s_IFA_rec_adj)),".")</f>
        <v>.</v>
      </c>
      <c r="AD12" s="15">
        <f>IFERROR((s_TR/(s_RadSpec!J12*s_EF_rec*(1/365)*s_ED_rec*s_ET_rec*(1/24)*s_GSF_a)),".")</f>
        <v>17652.632702759533</v>
      </c>
      <c r="AE12" s="15">
        <f t="shared" si="11"/>
        <v>17652.632702759533</v>
      </c>
      <c r="AF12" s="40">
        <f t="shared" si="3"/>
        <v>911.45833333333326</v>
      </c>
      <c r="AG12" s="40">
        <f t="shared" si="4"/>
        <v>0.57077625570776247</v>
      </c>
      <c r="AH12" s="45"/>
      <c r="AI12" s="45"/>
      <c r="AJ12" s="45"/>
      <c r="AK12" s="15" t="str">
        <f>IFERROR((s_TR/(s_RadSpec!H12*s_IFW_rec_adj)),".")</f>
        <v>.</v>
      </c>
      <c r="AL12" s="15">
        <f>IFERROR((s_TR/(s_RadSpec!L12*(1/8760)*s_DFA_rec_adj)),".")</f>
        <v>20276672.699115679</v>
      </c>
      <c r="AM12" s="2">
        <f t="shared" si="5"/>
        <v>0</v>
      </c>
      <c r="AN12" s="40">
        <f t="shared" si="6"/>
        <v>10000</v>
      </c>
      <c r="AO12" s="40">
        <f t="shared" si="7"/>
        <v>0.22831050228310501</v>
      </c>
      <c r="AP12" s="18"/>
      <c r="AQ12" s="18"/>
      <c r="AR12" s="18"/>
      <c r="AS12" s="2" t="str">
        <f>IFERROR(s_TR/(s_RadSpec!E12*s_EF_rec*s_ED_rec*s_IRGL_rec*s_CF_game),".")</f>
        <v>.</v>
      </c>
      <c r="AT12" s="2" t="str">
        <f>IFERROR((AS12/(s_RadSpec!AH12*((s_Q_p_game*s_f_p_game*s_f_s_game*(s_RadSpec!BB12+s_R_es_past))+(s_Q_s_game*s_f_p_game)))),".")</f>
        <v>.</v>
      </c>
      <c r="AU12" s="2" t="str">
        <f>IFERROR(AS12/(s_RadSpec!AH12*s_Q_w_game*(1/1000)),".")</f>
        <v>.</v>
      </c>
      <c r="AV12" s="2" t="str">
        <f>IFERROR(s_TR/(s_RadSpec!E12*s_EF_rec*s_ED_rec*s_IRGF_rec*s_CF_fowl),".")</f>
        <v>.</v>
      </c>
      <c r="AW12" s="2" t="str">
        <f>IFERROR((AS12/(s_RadSpec!AJ12*((s_Q_p_fowl*s_f_p_fowl*s_f_s_fowl*(s_RadSpec!BB12+s_R_es_past))+(s_Q_s_fowl*s_f_p_fowl)))),".")</f>
        <v>.</v>
      </c>
      <c r="AX12" s="2" t="str">
        <f>IFERROR(AS12/(s_RadSpec!AJ12*s_Q_w_fowl*(1/1000)),".")</f>
        <v>.</v>
      </c>
      <c r="AY12" s="19">
        <f t="shared" si="8"/>
        <v>1000</v>
      </c>
      <c r="AZ12" s="19">
        <f>IFERROR((s_C*s_IRGL_rec*s_EF_rec*s_ED_rec*s_CF_game*s_RadSpec!AH12)*((s_Q_p_game*s_f_p_game*s_f_s_game*(s_RadSpec!BB12+s_R_es_past))+(s_Q_s_game*s_f_p_game)),".")</f>
        <v>160</v>
      </c>
      <c r="BA12" s="19">
        <f>IFERROR(s_C*s_RadSpec!AH12*s_Q_w_game*(1/1000)*s_EF_rec*s_ED_rec*s_IRGL_rec*s_CF_game,".")</f>
        <v>0.02</v>
      </c>
      <c r="BB12" s="19">
        <f t="shared" si="9"/>
        <v>1000</v>
      </c>
      <c r="BC12" s="19">
        <f>IFERROR((s_C*s_IRGF_rec*s_EF_rec*s_ED_rec*s_CF_fowl*s_RadSpec!AJ12)*((s_Q_p_fowl*s_f_p_fowl*s_f_s_fowl*(s_RadSpec!BB12+s_R_es_past))+(s_Q_s_fowl*s_f_p_fowl)),".")</f>
        <v>480</v>
      </c>
      <c r="BD12" s="19">
        <f>IFERROR(s_C*s_RadSpec!AJ12*s_Q_w_fowl*(1/1000)*s_EF_rec*s_ED_rec*s_IRGL_rec*s_CF_fowl,".")</f>
        <v>5.9999999999999991E-2</v>
      </c>
      <c r="BE12" s="5"/>
      <c r="BF12" s="5"/>
      <c r="BG12" s="5"/>
      <c r="BH12" s="5"/>
      <c r="BI12" s="5"/>
      <c r="BJ12" s="5"/>
    </row>
    <row r="13" spans="1:62" customFormat="1" x14ac:dyDescent="0.25">
      <c r="A13" s="44" t="s">
        <v>23</v>
      </c>
      <c r="B13" s="42" t="s">
        <v>1074</v>
      </c>
      <c r="C13" s="15">
        <f>IFERROR(((s_TR/(s_RadSpec!D13*s_IFS_rec_adj*(1/1000)))*1),".")</f>
        <v>1458.1616955504196</v>
      </c>
      <c r="D13" s="15">
        <f>IFERROR(IF(A13="H-3",(s_TR/((s_RadSpec!G13*s_IFA_rec_adj*(1/17)*1000))*1),(s_TR/((s_RadSpec!G13*s_IFA_rec_adj*(1/s_PEF_wind)*1000))*1)),".")</f>
        <v>59267.49717500274</v>
      </c>
      <c r="E13" s="2">
        <f>IFERROR((TR/(s_RadSpec!F13*s_EF_rec*(1/365)*s_ED_rec*s_RadSpec!Q13*s_ET_rec*(1/24)*s_RadSpec!V13)),".")</f>
        <v>58258.523201431453</v>
      </c>
      <c r="F13" s="2">
        <f>IF(AND(C13&lt;&gt;".",D13&lt;&gt;".",E13&lt;&gt;"."),1/((1/C13)+(1/D13)+(1/E13)),IF(AND(C13&lt;&gt;".",D13&lt;&gt;".",E13="."), 1/((1/C13)+(1/D13)),IF(AND(C13&lt;&gt;".",D13=".",E13&lt;&gt;"."),1/((1/C13)+(1/E13)),IF(AND(C13=".",D13&lt;&gt;".",E13&lt;&gt;"."),1/((1/D13)+(1/E13)),IF(AND(C13&lt;&gt;".",D13=".",E13="."),1/((1/C13)),IF(AND(C13=".",D13&lt;&gt;".",E13="."),1/((1/D13)),IF(AND(C13=".",D13=".",E13&lt;&gt;"."),1/((1/E13)),IF(AND(C13=".",D13=".",E13="."),"."))))))))</f>
        <v>1389.2120256970827</v>
      </c>
      <c r="G13" s="40">
        <f t="shared" si="1"/>
        <v>27.5</v>
      </c>
      <c r="H13" s="40">
        <f t="shared" si="2"/>
        <v>2.9420495991003873E-3</v>
      </c>
      <c r="I13" s="40">
        <f>IFERROR((s_C*s_EF_rec*(1/365)*s_ED_rec*s_RadSpec!Q13*s_ET_rec*(1/24)*s_RadSpec!V13),".")</f>
        <v>1.6592090790920892E-3</v>
      </c>
      <c r="J13" s="18"/>
      <c r="K13" s="18"/>
      <c r="L13" s="18"/>
      <c r="M13" s="18"/>
      <c r="N13" s="15">
        <f>IFERROR((s_TR/(s_RadSpec!F13*s_EF_rec*(1/365)*s_ED_rec*s_RadSpec!Q13*s_ET_rec*(1/24)*s_RadSpec!V13)),".")</f>
        <v>58258.523201431453</v>
      </c>
      <c r="O13" s="15">
        <f>IFERROR((s_TR/(s_RadSpec!M13*s_EF_rec*(1/365)*s_ED_rec*s_RadSpec!R13*s_ET_rec*(1/24)*s_RadSpec!W13)),".")</f>
        <v>378753.26751475775</v>
      </c>
      <c r="P13" s="15">
        <f>IFERROR((s_TR/(s_RadSpec!N13*s_EF_rec*(1/365)*s_ED_rec*s_RadSpec!S13*s_ET_rec*(1/24)*s_RadSpec!X13)),".")</f>
        <v>94562.145978174463</v>
      </c>
      <c r="Q13" s="15">
        <f>IFERROR((s_TR/(s_RadSpec!O13*s_EF_rec*(1/365)*s_ED_rec*s_RadSpec!T13*s_ET_rec*(1/24)*s_RadSpec!Y13)),".")</f>
        <v>62591.897285360843</v>
      </c>
      <c r="R13" s="15">
        <f>IFERROR((s_TR/(s_RadSpec!K13*s_EF_rec*(1/365)*s_ED_rec*s_RadSpec!P13*s_ET_rec*(1/24)*s_RadSpec!U13)),".")</f>
        <v>3008142.2915478726</v>
      </c>
      <c r="S13" s="40">
        <f>IFERROR((s_C*s_EF_rec*(1/365)*s_ED_rec*s_RadSpec!Q13*s_ET_rec*(1/24)*s_RadSpec!V13),".")</f>
        <v>1.6592090790920892E-3</v>
      </c>
      <c r="T13" s="40">
        <f>IFERROR((s_C*s_EF_rec*(1/365)*s_ED_rec*s_RadSpec!R13*s_ET_rec*(1/24)*s_RadSpec!W13),".")</f>
        <v>7.6083260468279399E-4</v>
      </c>
      <c r="U13" s="40">
        <f>IFERROR((s_C*s_EF_rec*(1/365)*s_ED_rec*s_RadSpec!S13*s_ET_rec*(1/24)*s_RadSpec!X13),".")</f>
        <v>1.2806626314112778E-3</v>
      </c>
      <c r="V13" s="40">
        <f>IFERROR((s_C*s_EF_rec*(1/365)*s_ED_rec*s_RadSpec!T13*s_ET_rec*(1/24)*s_RadSpec!Y13),".")</f>
        <v>1.551342204252408E-3</v>
      </c>
      <c r="W13" s="40">
        <f>IFERROR((s_C*s_EF_rec*(1/365)*s_ED_rec*s_RadSpec!P13*s_ET_rec*(1/24)*s_RadSpec!U13),".")</f>
        <v>7.9084875017652889E-5</v>
      </c>
      <c r="X13" s="18"/>
      <c r="Y13" s="18"/>
      <c r="Z13" s="18"/>
      <c r="AA13" s="18"/>
      <c r="AB13" s="18"/>
      <c r="AC13" s="15">
        <f>IFERROR((s_TR/(s_RadSpec!G13*s_IFA_rec_adj)),".")</f>
        <v>0.19130651388715905</v>
      </c>
      <c r="AD13" s="15">
        <f>IFERROR((s_TR/(s_RadSpec!J13*s_EF_rec*(1/365)*s_ED_rec*s_ET_rec*(1/24)*s_GSF_a)),".")</f>
        <v>114191.30743794216</v>
      </c>
      <c r="AE13" s="15">
        <f t="shared" si="11"/>
        <v>0.19130619338884999</v>
      </c>
      <c r="AF13" s="40">
        <f t="shared" si="3"/>
        <v>911.45833333333326</v>
      </c>
      <c r="AG13" s="40">
        <f t="shared" si="4"/>
        <v>0.57077625570776247</v>
      </c>
      <c r="AH13" s="45"/>
      <c r="AI13" s="45"/>
      <c r="AJ13" s="45"/>
      <c r="AK13" s="15">
        <f>IFERROR((s_TR/(s_RadSpec!H13*s_IFW_rec_adj)),".")</f>
        <v>8.0437580437580447</v>
      </c>
      <c r="AL13" s="15">
        <f>IFERROR((s_TR/(s_RadSpec!L13*(1/8760)*s_DFA_rec_adj)),".")</f>
        <v>127591307.80055784</v>
      </c>
      <c r="AM13" s="2">
        <f t="shared" si="5"/>
        <v>8.0437575366542262</v>
      </c>
      <c r="AN13" s="40">
        <f t="shared" si="6"/>
        <v>10000</v>
      </c>
      <c r="AO13" s="40">
        <f t="shared" si="7"/>
        <v>0.22831050228310501</v>
      </c>
      <c r="AP13" s="18"/>
      <c r="AQ13" s="18"/>
      <c r="AR13" s="18"/>
      <c r="AS13" s="2">
        <f>IFERROR(s_TR/(s_RadSpec!E13*s_EF_rec*s_ED_rec*s_IRGL_rec*s_CF_game),".")</f>
        <v>60.32818532818532</v>
      </c>
      <c r="AT13" s="2">
        <f>IFERROR((AS13/(s_RadSpec!AH13*((s_Q_p_game*s_f_p_game*s_f_s_game*(s_RadSpec!BB13+s_R_es_past))+(s_Q_s_game*s_f_p_game)))),".")</f>
        <v>7515.9699329134519</v>
      </c>
      <c r="AU13" s="2">
        <f>IFERROR(AS13/(s_RadSpec!AH13*s_Q_w_game*(1/1000)),".")</f>
        <v>30164092.66409266</v>
      </c>
      <c r="AV13" s="2">
        <f>IFERROR(s_TR/(s_RadSpec!E13*s_EF_rec*s_ED_rec*s_IRGF_rec*s_CF_fowl),".")</f>
        <v>60.32818532818532</v>
      </c>
      <c r="AW13" s="2" t="str">
        <f>IFERROR((AS13/(s_RadSpec!AJ13*((s_Q_p_fowl*s_f_p_fowl*s_f_s_fowl*(s_RadSpec!BB13+s_R_es_past))+(s_Q_s_fowl*s_f_p_fowl)))),".")</f>
        <v>.</v>
      </c>
      <c r="AX13" s="2" t="str">
        <f>IFERROR(AS13/(s_RadSpec!AJ13*s_Q_w_fowl*(1/1000)),".")</f>
        <v>.</v>
      </c>
      <c r="AY13" s="19">
        <f t="shared" si="8"/>
        <v>1000</v>
      </c>
      <c r="AZ13" s="19">
        <f>IFERROR((s_C*s_IRGL_rec*s_EF_rec*s_ED_rec*s_CF_game*s_RadSpec!AH13)*((s_Q_p_game*s_f_p_game*s_f_s_game*(s_RadSpec!BB13+s_R_es_past))+(s_Q_s_game*s_f_p_game)),".")</f>
        <v>8.0266666666666673</v>
      </c>
      <c r="BA13" s="19">
        <f>IFERROR(s_C*s_RadSpec!AH13*s_Q_w_game*(1/1000)*s_EF_rec*s_ED_rec*s_IRGL_rec*s_CF_game,".")</f>
        <v>2E-3</v>
      </c>
      <c r="BB13" s="19">
        <f t="shared" si="9"/>
        <v>1000</v>
      </c>
      <c r="BC13" s="19">
        <f>IFERROR((s_C*s_IRGF_rec*s_EF_rec*s_ED_rec*s_CF_fowl*s_RadSpec!AJ13)*((s_Q_p_fowl*s_f_p_fowl*s_f_s_fowl*(s_RadSpec!BB13+s_R_es_past))+(s_Q_s_fowl*s_f_p_fowl)),".")</f>
        <v>0</v>
      </c>
      <c r="BD13" s="19">
        <f>IFERROR(s_C*s_RadSpec!AJ13*s_Q_w_fowl*(1/1000)*s_EF_rec*s_ED_rec*s_IRGL_rec*s_CF_fowl,".")</f>
        <v>0</v>
      </c>
      <c r="BE13" s="5"/>
      <c r="BF13" s="5"/>
      <c r="BG13" s="5"/>
      <c r="BH13" s="5"/>
      <c r="BI13" s="5"/>
      <c r="BJ13" s="5"/>
    </row>
    <row r="14" spans="1:62" customFormat="1" x14ac:dyDescent="0.25">
      <c r="A14" s="44" t="s">
        <v>24</v>
      </c>
      <c r="B14" s="42" t="s">
        <v>1074</v>
      </c>
      <c r="C14" s="15">
        <f>IFERROR(((s_TR/(s_RadSpec!D14*s_IFS_rec_adj*(1/1000)))*1),".")</f>
        <v>11042.707671921153</v>
      </c>
      <c r="D14" s="15">
        <f>IFERROR(IF(A14="H-3",(s_TR/((s_RadSpec!G14*s_IFA_rec_adj*(1/17)*1000))*1),(s_TR/((s_RadSpec!G14*s_IFA_rec_adj*(1/s_PEF_wind)*1000))*1)),".")</f>
        <v>111216247.72548941</v>
      </c>
      <c r="E14" s="2">
        <f>IFERROR((TR/(s_RadSpec!F14*s_EF_rec*(1/365)*s_ED_rec*s_RadSpec!Q14*s_ET_rec*(1/24)*s_RadSpec!V14)),".")</f>
        <v>563.12578557367203</v>
      </c>
      <c r="F14" s="2">
        <f>IF(AND(C14&lt;&gt;".",D14&lt;&gt;".",E14&lt;&gt;"."),1/((1/C14)+(1/D14)+(1/E14)),IF(AND(C14&lt;&gt;".",D14&lt;&gt;".",E14="."), 1/((1/C14)+(1/D14)),IF(AND(C14&lt;&gt;".",D14=".",E14&lt;&gt;"."),1/((1/C14)+(1/E14)),IF(AND(C14=".",D14&lt;&gt;".",E14&lt;&gt;"."),1/((1/D14)+(1/E14)),IF(AND(C14&lt;&gt;".",D14=".",E14="."),1/((1/C14)),IF(AND(C14=".",D14&lt;&gt;".",E14="."),1/((1/D14)),IF(AND(C14=".",D14=".",E14&lt;&gt;"."),1/((1/E14)),IF(AND(C14=".",D14=".",E14="."),"."))))))))</f>
        <v>535.79981973832184</v>
      </c>
      <c r="G14" s="40">
        <f t="shared" si="1"/>
        <v>27.5</v>
      </c>
      <c r="H14" s="40">
        <f t="shared" si="2"/>
        <v>2.9420495991003873E-3</v>
      </c>
      <c r="I14" s="40">
        <f>IFERROR((s_C*s_EF_rec*(1/365)*s_ED_rec*s_RadSpec!Q14*s_ET_rec*(1/24)*s_RadSpec!V14),".")</f>
        <v>1.1052752897787147E-2</v>
      </c>
      <c r="J14" s="18"/>
      <c r="K14" s="18"/>
      <c r="L14" s="18"/>
      <c r="M14" s="18"/>
      <c r="N14" s="15">
        <f>IFERROR((s_TR/(s_RadSpec!F14*s_EF_rec*(1/365)*s_ED_rec*s_RadSpec!Q14*s_ET_rec*(1/24)*s_RadSpec!V14)),".")</f>
        <v>563.12578557367203</v>
      </c>
      <c r="O14" s="15">
        <f>IFERROR((s_TR/(s_RadSpec!M14*s_EF_rec*(1/365)*s_ED_rec*s_RadSpec!R14*s_ET_rec*(1/24)*s_RadSpec!W14)),".")</f>
        <v>4311.3598537072066</v>
      </c>
      <c r="P14" s="15">
        <f>IFERROR((s_TR/(s_RadSpec!N14*s_EF_rec*(1/365)*s_ED_rec*s_RadSpec!S14*s_ET_rec*(1/24)*s_RadSpec!X14)),".")</f>
        <v>1161.1886054354359</v>
      </c>
      <c r="Q14" s="15">
        <f>IFERROR((s_TR/(s_RadSpec!O14*s_EF_rec*(1/365)*s_ED_rec*s_RadSpec!T14*s_ET_rec*(1/24)*s_RadSpec!Y14)),".")</f>
        <v>700.24646293733485</v>
      </c>
      <c r="R14" s="15">
        <f>IFERROR((s_TR/(s_RadSpec!K14*s_EF_rec*(1/365)*s_ED_rec*s_RadSpec!P14*s_ET_rec*(1/24)*s_RadSpec!U14)),".")</f>
        <v>12194.238192497642</v>
      </c>
      <c r="S14" s="40">
        <f>IFERROR((s_C*s_EF_rec*(1/365)*s_ED_rec*s_RadSpec!Q14*s_ET_rec*(1/24)*s_RadSpec!V14),".")</f>
        <v>1.1052752897787147E-2</v>
      </c>
      <c r="T14" s="40">
        <f>IFERROR((s_C*s_EF_rec*(1/365)*s_ED_rec*s_RadSpec!R14*s_ET_rec*(1/24)*s_RadSpec!W14),".")</f>
        <v>6.085971095447085E-3</v>
      </c>
      <c r="U14" s="40">
        <f>IFERROR((s_C*s_EF_rec*(1/365)*s_ED_rec*s_RadSpec!S14*s_ET_rec*(1/24)*s_RadSpec!X14),".")</f>
        <v>8.2315862616636828E-3</v>
      </c>
      <c r="V14" s="40">
        <f>IFERROR((s_C*s_EF_rec*(1/365)*s_ED_rec*s_RadSpec!T14*s_ET_rec*(1/24)*s_RadSpec!Y14),".")</f>
        <v>9.3936073059360716E-3</v>
      </c>
      <c r="W14" s="40">
        <f>IFERROR((s_C*s_EF_rec*(1/365)*s_ED_rec*s_RadSpec!P14*s_ET_rec*(1/24)*s_RadSpec!U14),".")</f>
        <v>2.1811411091900508E-3</v>
      </c>
      <c r="X14" s="18"/>
      <c r="Y14" s="18"/>
      <c r="Z14" s="18"/>
      <c r="AA14" s="18"/>
      <c r="AB14" s="18"/>
      <c r="AC14" s="15">
        <f>IFERROR((s_TR/(s_RadSpec!G14*s_IFA_rec_adj)),".")</f>
        <v>358.98922097469313</v>
      </c>
      <c r="AD14" s="15">
        <f>IFERROR((s_TR/(s_RadSpec!J14*s_EF_rec*(1/365)*s_ED_rec*s_ET_rec*(1/24)*s_GSF_a)),".")</f>
        <v>10263.158548116005</v>
      </c>
      <c r="AE14" s="15">
        <f t="shared" si="11"/>
        <v>346.85671598817572</v>
      </c>
      <c r="AF14" s="40">
        <f t="shared" si="3"/>
        <v>911.45833333333326</v>
      </c>
      <c r="AG14" s="40">
        <f t="shared" si="4"/>
        <v>0.57077625570776247</v>
      </c>
      <c r="AH14" s="45"/>
      <c r="AI14" s="45"/>
      <c r="AJ14" s="45"/>
      <c r="AK14" s="15">
        <f>IFERROR((s_TR/(s_RadSpec!H14*s_IFW_rec_adj)),".")</f>
        <v>81.406707912732003</v>
      </c>
      <c r="AL14" s="15">
        <f>IFERROR((s_TR/(s_RadSpec!L14*(1/8760)*s_DFA_rec_adj)),".")</f>
        <v>11722451.40417625</v>
      </c>
      <c r="AM14" s="2">
        <f t="shared" si="5"/>
        <v>81.406142586773854</v>
      </c>
      <c r="AN14" s="40">
        <f t="shared" si="6"/>
        <v>10000</v>
      </c>
      <c r="AO14" s="40">
        <f t="shared" si="7"/>
        <v>0.22831050228310501</v>
      </c>
      <c r="AP14" s="18"/>
      <c r="AQ14" s="18"/>
      <c r="AR14" s="18"/>
      <c r="AS14" s="2">
        <f>IFERROR(s_TR/(s_RadSpec!E14*s_EF_rec*s_ED_rec*s_IRGL_rec*s_CF_game),".")</f>
        <v>558.40964931874021</v>
      </c>
      <c r="AT14" s="2">
        <f>IFERROR((AS14/(s_RadSpec!AH14*((s_Q_p_game*s_f_p_game*s_f_s_game*(s_RadSpec!BB14+s_R_es_past))+(s_Q_s_game*s_f_p_game)))),".")</f>
        <v>12691128.39360773</v>
      </c>
      <c r="AU14" s="2">
        <f>IFERROR(AS14/(s_RadSpec!AH14*s_Q_w_game*(1/1000)),".")</f>
        <v>55840964931.874016</v>
      </c>
      <c r="AV14" s="2">
        <f>IFERROR(s_TR/(s_RadSpec!E14*s_EF_rec*s_ED_rec*s_IRGF_rec*s_CF_fowl),".")</f>
        <v>558.40964931874021</v>
      </c>
      <c r="AW14" s="2" t="str">
        <f>IFERROR((AS14/(s_RadSpec!AJ14*((s_Q_p_fowl*s_f_p_fowl*s_f_s_fowl*(s_RadSpec!BB14+s_R_es_past))+(s_Q_s_fowl*s_f_p_fowl)))),".")</f>
        <v>.</v>
      </c>
      <c r="AX14" s="2" t="str">
        <f>IFERROR(AS14/(s_RadSpec!AJ14*s_Q_w_fowl*(1/1000)),".")</f>
        <v>.</v>
      </c>
      <c r="AY14" s="19">
        <f t="shared" si="8"/>
        <v>1000</v>
      </c>
      <c r="AZ14" s="19">
        <f>IFERROR((s_C*s_IRGL_rec*s_EF_rec*s_ED_rec*s_CF_game*s_RadSpec!AH14)*((s_Q_p_game*s_f_p_game*s_f_s_game*(s_RadSpec!BB14+s_R_es_past))+(s_Q_s_game*s_f_p_game)),".")</f>
        <v>4.4000000000000004E-2</v>
      </c>
      <c r="BA14" s="19">
        <f>IFERROR(s_C*s_RadSpec!AH14*s_Q_w_game*(1/1000)*s_EF_rec*s_ED_rec*s_IRGL_rec*s_CF_game,".")</f>
        <v>1.0000000000000003E-5</v>
      </c>
      <c r="BB14" s="19">
        <f t="shared" si="9"/>
        <v>1000</v>
      </c>
      <c r="BC14" s="19">
        <f>IFERROR((s_C*s_IRGF_rec*s_EF_rec*s_ED_rec*s_CF_fowl*s_RadSpec!AJ14)*((s_Q_p_fowl*s_f_p_fowl*s_f_s_fowl*(s_RadSpec!BB14+s_R_es_past))+(s_Q_s_fowl*s_f_p_fowl)),".")</f>
        <v>0</v>
      </c>
      <c r="BD14" s="19">
        <f>IFERROR(s_C*s_RadSpec!AJ14*s_Q_w_fowl*(1/1000)*s_EF_rec*s_ED_rec*s_IRGL_rec*s_CF_fowl,".")</f>
        <v>0</v>
      </c>
      <c r="BE14" s="5"/>
      <c r="BF14" s="5"/>
      <c r="BG14" s="5"/>
      <c r="BH14" s="5"/>
      <c r="BI14" s="5"/>
      <c r="BJ14" s="5"/>
    </row>
    <row r="15" spans="1:62" customFormat="1" x14ac:dyDescent="0.25">
      <c r="A15" s="44" t="s">
        <v>25</v>
      </c>
      <c r="B15" s="42" t="s">
        <v>1074</v>
      </c>
      <c r="C15" s="15">
        <f>IFERROR(((s_TR/(s_RadSpec!D15*s_IFS_rec_adj*(1/1000)))*1),".")</f>
        <v>290769.52153875231</v>
      </c>
      <c r="D15" s="15">
        <f>IFERROR(IF(A15="H-3",(s_TR/((s_RadSpec!G15*s_IFA_rec_adj*(1/17)*1000))*1),(s_TR/((s_RadSpec!G15*s_IFA_rec_adj*(1/s_PEF_wind)*1000))*1)),".")</f>
        <v>8173008952.0688839</v>
      </c>
      <c r="E15" s="2" t="str">
        <f>IFERROR((TR/(s_RadSpec!F15*s_EF_rec*(1/365)*s_ED_rec*s_RadSpec!Q15*s_ET_rec*(1/24)*s_RadSpec!V15)),".")</f>
        <v>.</v>
      </c>
      <c r="F15" s="2">
        <f t="shared" ref="F15:F16" si="13">IF(AND(C15&lt;&gt;".",D15&lt;&gt;".",E15&lt;&gt;"."),1/((1/C15)+(1/D15)+(1/E15)),IF(AND(C15&lt;&gt;".",D15&lt;&gt;".",E15="."), 1/((1/C15)+(1/D15)),IF(AND(C15&lt;&gt;".",D15=".",E15&lt;&gt;"."),1/((1/C15)+(1/E15)),IF(AND(C15=".",D15&lt;&gt;".",E15&lt;&gt;"."),1/((1/D15)+(1/E15)),IF(AND(C15&lt;&gt;".",D15=".",E15="."),1/((1/C15)),IF(AND(C15=".",D15&lt;&gt;".",E15="."),1/((1/D15)),IF(AND(C15=".",D15=".",E15&lt;&gt;"."),1/((1/E15)),IF(AND(C15=".",D15=".",E15="."),"."))))))))</f>
        <v>290759.17725706246</v>
      </c>
      <c r="G15" s="40">
        <f t="shared" si="1"/>
        <v>27.5</v>
      </c>
      <c r="H15" s="40">
        <f t="shared" si="2"/>
        <v>2.9420495991003873E-3</v>
      </c>
      <c r="I15" s="40">
        <f>IFERROR((s_C*s_EF_rec*(1/365)*s_ED_rec*s_RadSpec!Q15*s_ET_rec*(1/24)*s_RadSpec!V15),".")</f>
        <v>0</v>
      </c>
      <c r="J15" s="18"/>
      <c r="K15" s="18"/>
      <c r="L15" s="18"/>
      <c r="M15" s="18"/>
      <c r="N15" s="15" t="str">
        <f>IFERROR((s_TR/(s_RadSpec!F15*s_EF_rec*(1/365)*s_ED_rec*s_RadSpec!Q15*s_ET_rec*(1/24)*s_RadSpec!V15)),".")</f>
        <v>.</v>
      </c>
      <c r="O15" s="15" t="str">
        <f>IFERROR((s_TR/(s_RadSpec!M15*s_EF_rec*(1/365)*s_ED_rec*s_RadSpec!R15*s_ET_rec*(1/24)*s_RadSpec!W15)),".")</f>
        <v>.</v>
      </c>
      <c r="P15" s="15" t="str">
        <f>IFERROR((s_TR/(s_RadSpec!N15*s_EF_rec*(1/365)*s_ED_rec*s_RadSpec!S15*s_ET_rec*(1/24)*s_RadSpec!X15)),".")</f>
        <v>.</v>
      </c>
      <c r="Q15" s="15" t="str">
        <f>IFERROR((s_TR/(s_RadSpec!O15*s_EF_rec*(1/365)*s_ED_rec*s_RadSpec!T15*s_ET_rec*(1/24)*s_RadSpec!Y15)),".")</f>
        <v>.</v>
      </c>
      <c r="R15" s="15" t="str">
        <f>IFERROR((s_TR/(s_RadSpec!K15*s_EF_rec*(1/365)*s_ED_rec*s_RadSpec!P15*s_ET_rec*(1/24)*s_RadSpec!U15)),".")</f>
        <v>.</v>
      </c>
      <c r="S15" s="40">
        <f>IFERROR((s_C*s_EF_rec*(1/365)*s_ED_rec*s_RadSpec!Q15*s_ET_rec*(1/24)*s_RadSpec!V15),".")</f>
        <v>0</v>
      </c>
      <c r="T15" s="40">
        <f>IFERROR((s_C*s_EF_rec*(1/365)*s_ED_rec*s_RadSpec!R15*s_ET_rec*(1/24)*s_RadSpec!W15),".")</f>
        <v>0</v>
      </c>
      <c r="U15" s="40">
        <f>IFERROR((s_C*s_EF_rec*(1/365)*s_ED_rec*s_RadSpec!S15*s_ET_rec*(1/24)*s_RadSpec!X15),".")</f>
        <v>0</v>
      </c>
      <c r="V15" s="40">
        <f>IFERROR((s_C*s_EF_rec*(1/365)*s_ED_rec*s_RadSpec!T15*s_ET_rec*(1/24)*s_RadSpec!Y15),".")</f>
        <v>0</v>
      </c>
      <c r="W15" s="40">
        <f>IFERROR((s_C*s_EF_rec*(1/365)*s_ED_rec*s_RadSpec!P15*s_ET_rec*(1/24)*s_RadSpec!U15),".")</f>
        <v>0</v>
      </c>
      <c r="X15" s="18"/>
      <c r="Y15" s="18"/>
      <c r="Z15" s="18"/>
      <c r="AA15" s="18"/>
      <c r="AB15" s="18"/>
      <c r="AC15" s="15">
        <f>IFERROR((s_TR/(s_RadSpec!G15*s_IFA_rec_adj)),".")</f>
        <v>26381.236345649158</v>
      </c>
      <c r="AD15" s="15">
        <f>IFERROR((s_TR/(s_RadSpec!J15*s_EF_rec*(1/365)*s_ED_rec*s_ET_rec*(1/24)*s_GSF_a)),".")</f>
        <v>5138608.8347073961</v>
      </c>
      <c r="AE15" s="15">
        <f t="shared" si="11"/>
        <v>26246.488820184288</v>
      </c>
      <c r="AF15" s="40">
        <f t="shared" si="3"/>
        <v>911.45833333333326</v>
      </c>
      <c r="AG15" s="40">
        <f t="shared" si="4"/>
        <v>0.57077625570776247</v>
      </c>
      <c r="AH15" s="45"/>
      <c r="AI15" s="45"/>
      <c r="AJ15" s="45"/>
      <c r="AK15" s="15">
        <f>IFERROR((s_TR/(s_RadSpec!H15*s_IFW_rec_adj)),".")</f>
        <v>2075.8085274214304</v>
      </c>
      <c r="AL15" s="15">
        <f>IFERROR((s_TR/(s_RadSpec!L15*(1/8760)*s_DFA_rec_adj)),".")</f>
        <v>9425086556.1216087</v>
      </c>
      <c r="AM15" s="2">
        <f t="shared" si="5"/>
        <v>2075.8080702394122</v>
      </c>
      <c r="AN15" s="40">
        <f t="shared" si="6"/>
        <v>10000</v>
      </c>
      <c r="AO15" s="40">
        <f t="shared" si="7"/>
        <v>0.22831050228310501</v>
      </c>
      <c r="AP15" s="18"/>
      <c r="AQ15" s="18"/>
      <c r="AR15" s="18"/>
      <c r="AS15" s="2">
        <f>IFERROR(s_TR/(s_RadSpec!E15*s_EF_rec*s_ED_rec*s_IRGL_rec*s_CF_game),".")</f>
        <v>14345.55574682963</v>
      </c>
      <c r="AT15" s="2">
        <f>IFERROR((AS15/(s_RadSpec!AH15*((s_Q_p_game*s_f_p_game*s_f_s_game*(s_RadSpec!BB15+s_R_es_past))+(s_Q_s_game*s_f_p_game)))),".")</f>
        <v>2529721.4001422445</v>
      </c>
      <c r="AU15" s="2">
        <f>IFERROR(AS15/(s_RadSpec!AH15*s_Q_w_game*(1/1000)),".")</f>
        <v>10246825533.449736</v>
      </c>
      <c r="AV15" s="2">
        <f>IFERROR(s_TR/(s_RadSpec!E15*s_EF_rec*s_ED_rec*s_IRGF_rec*s_CF_fowl),".")</f>
        <v>14345.55574682963</v>
      </c>
      <c r="AW15" s="2" t="str">
        <f>IFERROR((AS15/(s_RadSpec!AJ15*((s_Q_p_fowl*s_f_p_fowl*s_f_s_fowl*(s_RadSpec!BB15+s_R_es_past))+(s_Q_s_fowl*s_f_p_fowl)))),".")</f>
        <v>.</v>
      </c>
      <c r="AX15" s="2" t="str">
        <f>IFERROR(AS15/(s_RadSpec!AJ15*s_Q_w_fowl*(1/1000)),".")</f>
        <v>.</v>
      </c>
      <c r="AY15" s="19">
        <f t="shared" si="8"/>
        <v>1000</v>
      </c>
      <c r="AZ15" s="19">
        <f>IFERROR((s_C*s_IRGL_rec*s_EF_rec*s_ED_rec*s_CF_game*s_RadSpec!AH15)*((s_Q_p_game*s_f_p_game*s_f_s_game*(s_RadSpec!BB15+s_R_es_past))+(s_Q_s_game*s_f_p_game)),".")</f>
        <v>5.6708045977011494</v>
      </c>
      <c r="BA15" s="19">
        <f>IFERROR(s_C*s_RadSpec!AH15*s_Q_w_game*(1/1000)*s_EF_rec*s_ED_rec*s_IRGL_rec*s_CF_game,".")</f>
        <v>1.3999999999999998E-3</v>
      </c>
      <c r="BB15" s="19">
        <f t="shared" si="9"/>
        <v>1000</v>
      </c>
      <c r="BC15" s="19">
        <f>IFERROR((s_C*s_IRGF_rec*s_EF_rec*s_ED_rec*s_CF_fowl*s_RadSpec!AJ15)*((s_Q_p_fowl*s_f_p_fowl*s_f_s_fowl*(s_RadSpec!BB15+s_R_es_past))+(s_Q_s_fowl*s_f_p_fowl)),".")</f>
        <v>0</v>
      </c>
      <c r="BD15" s="19">
        <f>IFERROR(s_C*s_RadSpec!AJ15*s_Q_w_fowl*(1/1000)*s_EF_rec*s_ED_rec*s_IRGL_rec*s_CF_fowl,".")</f>
        <v>0</v>
      </c>
      <c r="BE15" s="5"/>
      <c r="BF15" s="5"/>
      <c r="BG15" s="5"/>
      <c r="BH15" s="5"/>
      <c r="BI15" s="5"/>
      <c r="BJ15" s="5"/>
    </row>
    <row r="16" spans="1:62" customFormat="1" x14ac:dyDescent="0.25">
      <c r="A16" s="44" t="s">
        <v>26</v>
      </c>
      <c r="B16" s="42" t="s">
        <v>1074</v>
      </c>
      <c r="C16" s="15">
        <f>IFERROR(((s_TR/(s_RadSpec!D16*s_IFS_rec_adj*(1/1000)))*1),".")</f>
        <v>105.90527831907143</v>
      </c>
      <c r="D16" s="15">
        <f>IFERROR(IF(A16="H-3",(s_TR/((s_RadSpec!G16*s_IFA_rec_adj*(1/17)*1000))*1),(s_TR/((s_RadSpec!G16*s_IFA_rec_adj*(1/s_PEF_wind)*1000))*1)),".")</f>
        <v>107068.32240239423</v>
      </c>
      <c r="E16" s="2">
        <f>IFERROR((TR/(s_RadSpec!F16*s_EF_rec*(1/365)*s_ED_rec*s_RadSpec!Q16*s_ET_rec*(1/24)*s_RadSpec!V16)),".")</f>
        <v>2837162236.6369786</v>
      </c>
      <c r="F16" s="2">
        <f t="shared" si="13"/>
        <v>105.80062302026512</v>
      </c>
      <c r="G16" s="40">
        <f t="shared" si="1"/>
        <v>27.5</v>
      </c>
      <c r="H16" s="40">
        <f t="shared" si="2"/>
        <v>2.9420495991003873E-3</v>
      </c>
      <c r="I16" s="40">
        <f>IFERROR((s_C*s_EF_rec*(1/365)*s_ED_rec*s_RadSpec!Q16*s_ET_rec*(1/24)*s_RadSpec!V16),".")</f>
        <v>1.188437703848662E-6</v>
      </c>
      <c r="J16" s="18"/>
      <c r="K16" s="18"/>
      <c r="L16" s="18"/>
      <c r="M16" s="18"/>
      <c r="N16" s="15">
        <f>IFERROR((s_TR/(s_RadSpec!F16*s_EF_rec*(1/365)*s_ED_rec*s_RadSpec!Q16*s_ET_rec*(1/24)*s_RadSpec!V16)),".")</f>
        <v>2837162236.6369786</v>
      </c>
      <c r="O16" s="15">
        <f>IFERROR((s_TR/(s_RadSpec!M16*s_EF_rec*(1/365)*s_ED_rec*s_RadSpec!R16*s_ET_rec*(1/24)*s_RadSpec!W16)),".")</f>
        <v>7864177107.0580359</v>
      </c>
      <c r="P16" s="15">
        <f>IFERROR((s_TR/(s_RadSpec!N16*s_EF_rec*(1/365)*s_ED_rec*s_RadSpec!S16*s_ET_rec*(1/24)*s_RadSpec!X16)),".")</f>
        <v>3069306829.3555741</v>
      </c>
      <c r="Q16" s="15">
        <f>IFERROR((s_TR/(s_RadSpec!O16*s_EF_rec*(1/365)*s_ED_rec*s_RadSpec!T16*s_ET_rec*(1/24)*s_RadSpec!Y16)),".")</f>
        <v>3051156026.9797559</v>
      </c>
      <c r="R16" s="15">
        <f>IFERROR((s_TR/(s_RadSpec!K16*s_EF_rec*(1/365)*s_ED_rec*s_RadSpec!P16*s_ET_rec*(1/24)*s_RadSpec!U16)),".")</f>
        <v>102073046240.44627</v>
      </c>
      <c r="S16" s="40">
        <f>IFERROR((s_C*s_EF_rec*(1/365)*s_ED_rec*s_RadSpec!Q16*s_ET_rec*(1/24)*s_RadSpec!V16),".")</f>
        <v>1.188437703848662E-6</v>
      </c>
      <c r="T16" s="40">
        <f>IFERROR((s_C*s_EF_rec*(1/365)*s_ED_rec*s_RadSpec!R16*s_ET_rec*(1/24)*s_RadSpec!W16),".")</f>
        <v>6.6729960667299573E-7</v>
      </c>
      <c r="U16" s="40">
        <f>IFERROR((s_C*s_EF_rec*(1/365)*s_ED_rec*s_RadSpec!S16*s_ET_rec*(1/24)*s_RadSpec!X16),".")</f>
        <v>1.1107961557447854E-6</v>
      </c>
      <c r="V16" s="40">
        <f>IFERROR((s_C*s_EF_rec*(1/365)*s_ED_rec*s_RadSpec!T16*s_ET_rec*(1/24)*s_RadSpec!Y16),".")</f>
        <v>1.1050862506341953E-6</v>
      </c>
      <c r="W16" s="40">
        <f>IFERROR((s_C*s_EF_rec*(1/365)*s_ED_rec*s_RadSpec!P16*s_ET_rec*(1/24)*s_RadSpec!U16),".")</f>
        <v>2.8538812785388121E-8</v>
      </c>
      <c r="X16" s="18"/>
      <c r="Y16" s="18"/>
      <c r="Z16" s="18"/>
      <c r="AA16" s="18"/>
      <c r="AB16" s="18"/>
      <c r="AC16" s="15">
        <f>IFERROR((s_TR/(s_RadSpec!G16*s_IFA_rec_adj)),".")</f>
        <v>0.34560034560034564</v>
      </c>
      <c r="AD16" s="15">
        <f>IFERROR((s_TR/(s_RadSpec!J16*s_EF_rec*(1/365)*s_ED_rec*s_ET_rec*(1/24)*s_GSF_a)),".")</f>
        <v>2226222.22512546</v>
      </c>
      <c r="AE16" s="15">
        <f t="shared" si="11"/>
        <v>0.3456002919491068</v>
      </c>
      <c r="AF16" s="40">
        <f t="shared" si="3"/>
        <v>911.45833333333326</v>
      </c>
      <c r="AG16" s="40">
        <f t="shared" si="4"/>
        <v>0.57077625570776247</v>
      </c>
      <c r="AH16" s="45"/>
      <c r="AI16" s="45"/>
      <c r="AJ16" s="45"/>
      <c r="AK16" s="15">
        <f>IFERROR((s_TR/(s_RadSpec!H16*s_IFW_rec_adj)),".")</f>
        <v>0.56541897546081643</v>
      </c>
      <c r="AL16" s="15">
        <f>IFERROR((s_TR/(s_RadSpec!L16*(1/8760)*s_DFA_rec_adj)),".")</f>
        <v>2410786921.1673522</v>
      </c>
      <c r="AM16" s="2">
        <f t="shared" si="5"/>
        <v>0.56541897532820462</v>
      </c>
      <c r="AN16" s="40">
        <f t="shared" si="6"/>
        <v>10000</v>
      </c>
      <c r="AO16" s="40">
        <f t="shared" si="7"/>
        <v>0.22831050228310501</v>
      </c>
      <c r="AP16" s="18"/>
      <c r="AQ16" s="18"/>
      <c r="AR16" s="18"/>
      <c r="AS16" s="2">
        <f>IFERROR(s_TR/(s_RadSpec!E16*s_EF_rec*s_ED_rec*s_IRGL_rec*s_CF_game),".")</f>
        <v>4.2495325514193434</v>
      </c>
      <c r="AT16" s="2">
        <f>IFERROR((AS16/(s_RadSpec!AH16*((s_Q_p_game*s_f_p_game*s_f_s_game*(s_RadSpec!BB16+s_R_es_past))+(s_Q_s_game*s_f_p_game)))),".")</f>
        <v>749.37030155157061</v>
      </c>
      <c r="AU16" s="2">
        <f>IFERROR(AS16/(s_RadSpec!AH16*s_Q_w_game*(1/1000)),".")</f>
        <v>3035380.3938709595</v>
      </c>
      <c r="AV16" s="2">
        <f>IFERROR(s_TR/(s_RadSpec!E16*s_EF_rec*s_ED_rec*s_IRGF_rec*s_CF_fowl),".")</f>
        <v>4.2495325514193434</v>
      </c>
      <c r="AW16" s="2" t="str">
        <f>IFERROR((AS16/(s_RadSpec!AJ16*((s_Q_p_fowl*s_f_p_fowl*s_f_s_fowl*(s_RadSpec!BB16+s_R_es_past))+(s_Q_s_fowl*s_f_p_fowl)))),".")</f>
        <v>.</v>
      </c>
      <c r="AX16" s="2" t="str">
        <f>IFERROR(AS16/(s_RadSpec!AJ16*s_Q_w_fowl*(1/1000)),".")</f>
        <v>.</v>
      </c>
      <c r="AY16" s="19">
        <f t="shared" si="8"/>
        <v>1000</v>
      </c>
      <c r="AZ16" s="19">
        <f>IFERROR((s_C*s_IRGL_rec*s_EF_rec*s_ED_rec*s_CF_game*s_RadSpec!AH16)*((s_Q_p_game*s_f_p_game*s_f_s_game*(s_RadSpec!BB16+s_R_es_past))+(s_Q_s_game*s_f_p_game)),".")</f>
        <v>5.6708045977011494</v>
      </c>
      <c r="BA16" s="19">
        <f>IFERROR(s_C*s_RadSpec!AH16*s_Q_w_game*(1/1000)*s_EF_rec*s_ED_rec*s_IRGL_rec*s_CF_game,".")</f>
        <v>1.3999999999999998E-3</v>
      </c>
      <c r="BB16" s="19">
        <f t="shared" si="9"/>
        <v>1000</v>
      </c>
      <c r="BC16" s="19">
        <f>IFERROR((s_C*s_IRGF_rec*s_EF_rec*s_ED_rec*s_CF_fowl*s_RadSpec!AJ16)*((s_Q_p_fowl*s_f_p_fowl*s_f_s_fowl*(s_RadSpec!BB16+s_R_es_past))+(s_Q_s_fowl*s_f_p_fowl)),".")</f>
        <v>0</v>
      </c>
      <c r="BD16" s="19">
        <f>IFERROR(s_C*s_RadSpec!AJ16*s_Q_w_fowl*(1/1000)*s_EF_rec*s_ED_rec*s_IRGL_rec*s_CF_fowl,".")</f>
        <v>0</v>
      </c>
      <c r="BE16" s="5"/>
      <c r="BF16" s="5"/>
      <c r="BG16" s="5"/>
      <c r="BH16" s="5"/>
      <c r="BI16" s="5"/>
      <c r="BJ16" s="5"/>
    </row>
    <row r="17" spans="1:62" customFormat="1" x14ac:dyDescent="0.25">
      <c r="A17" s="44" t="s">
        <v>27</v>
      </c>
      <c r="B17" s="42" t="s">
        <v>1074</v>
      </c>
      <c r="C17" s="15">
        <f>IFERROR(((s_TR/(s_RadSpec!D17*s_IFS_rec_adj*(1/1000)))*1),".")</f>
        <v>229626.3978506969</v>
      </c>
      <c r="D17" s="15">
        <f>IFERROR(IF(A17="H-3",(s_TR/((s_RadSpec!G17*s_IFA_rec_adj*(1/17)*1000))*1),(s_TR/((s_RadSpec!G17*s_IFA_rec_adj*(1/s_PEF_wind)*1000))*1)),".")</f>
        <v>21872528.719346251</v>
      </c>
      <c r="E17" s="2">
        <f>IFERROR((TR/(s_RadSpec!F17*s_EF_rec*(1/365)*s_ED_rec*s_RadSpec!Q17*s_ET_rec*(1/24)*s_RadSpec!V17)),".")</f>
        <v>389.27547813096135</v>
      </c>
      <c r="F17" s="2">
        <f>IF(AND(C17&lt;&gt;".",D17&lt;&gt;".",E17&lt;&gt;"."),1/((1/C17)+(1/D17)+(1/E17)),IF(AND(C17&lt;&gt;".",D17&lt;&gt;".",E17="."), 1/((1/C17)+(1/D17)),IF(AND(C17&lt;&gt;".",D17=".",E17&lt;&gt;"."),1/((1/C17)+(1/E17)),IF(AND(C17=".",D17&lt;&gt;".",E17&lt;&gt;"."),1/((1/D17)+(1/E17)),IF(AND(C17&lt;&gt;".",D17=".",E17="."),1/((1/C17)),IF(AND(C17=".",D17&lt;&gt;".",E17="."),1/((1/D17)),IF(AND(C17=".",D17=".",E17&lt;&gt;"."),1/((1/E17)),IF(AND(C17=".",D17=".",E17="."),"."))))))))</f>
        <v>388.60976890694008</v>
      </c>
      <c r="G17" s="40">
        <f t="shared" si="1"/>
        <v>27.5</v>
      </c>
      <c r="H17" s="40">
        <f t="shared" si="2"/>
        <v>2.9420495991003873E-3</v>
      </c>
      <c r="I17" s="40">
        <f>IFERROR((s_C*s_EF_rec*(1/365)*s_ED_rec*s_RadSpec!Q17*s_ET_rec*(1/24)*s_RadSpec!V17),".")</f>
        <v>1.2926403438087569E-2</v>
      </c>
      <c r="J17" s="18"/>
      <c r="K17" s="18"/>
      <c r="L17" s="18"/>
      <c r="M17" s="18"/>
      <c r="N17" s="15">
        <f>IFERROR((s_TR/(s_RadSpec!F17*s_EF_rec*(1/365)*s_ED_rec*s_RadSpec!Q17*s_ET_rec*(1/24)*s_RadSpec!V17)),".")</f>
        <v>389.27547813096135</v>
      </c>
      <c r="O17" s="15">
        <f>IFERROR((s_TR/(s_RadSpec!M17*s_EF_rec*(1/365)*s_ED_rec*s_RadSpec!R17*s_ET_rec*(1/24)*s_RadSpec!W17)),".")</f>
        <v>2990.5454686631433</v>
      </c>
      <c r="P17" s="15">
        <f>IFERROR((s_TR/(s_RadSpec!N17*s_EF_rec*(1/365)*s_ED_rec*s_RadSpec!S17*s_ET_rec*(1/24)*s_RadSpec!X17)),".")</f>
        <v>808.98377474465963</v>
      </c>
      <c r="Q17" s="15">
        <f>IFERROR((s_TR/(s_RadSpec!O17*s_EF_rec*(1/365)*s_ED_rec*s_RadSpec!T17*s_ET_rec*(1/24)*s_RadSpec!Y17)),".")</f>
        <v>486.68302549940114</v>
      </c>
      <c r="R17" s="15">
        <f>IFERROR((s_TR/(s_RadSpec!K17*s_EF_rec*(1/365)*s_ED_rec*s_RadSpec!P17*s_ET_rec*(1/24)*s_RadSpec!U17)),".")</f>
        <v>5808.2961250618791</v>
      </c>
      <c r="S17" s="40">
        <f>IFERROR((s_C*s_EF_rec*(1/365)*s_ED_rec*s_RadSpec!Q17*s_ET_rec*(1/24)*s_RadSpec!V17),".")</f>
        <v>1.2926403438087569E-2</v>
      </c>
      <c r="T17" s="40">
        <f>IFERROR((s_C*s_EF_rec*(1/365)*s_ED_rec*s_RadSpec!R17*s_ET_rec*(1/24)*s_RadSpec!W17),".")</f>
        <v>7.3961983646596563E-3</v>
      </c>
      <c r="U17" s="40">
        <f>IFERROR((s_C*s_EF_rec*(1/365)*s_ED_rec*s_RadSpec!S17*s_ET_rec*(1/24)*s_RadSpec!X17),".")</f>
        <v>9.8169056792237423E-3</v>
      </c>
      <c r="V17" s="40">
        <f>IFERROR((s_C*s_EF_rec*(1/365)*s_ED_rec*s_RadSpec!T17*s_ET_rec*(1/24)*s_RadSpec!Y17),".")</f>
        <v>1.1039764079147642E-2</v>
      </c>
      <c r="W17" s="40">
        <f>IFERROR((s_C*s_EF_rec*(1/365)*s_ED_rec*s_RadSpec!P17*s_ET_rec*(1/24)*s_RadSpec!U17),".")</f>
        <v>3.8599545944281968E-3</v>
      </c>
      <c r="X17" s="18"/>
      <c r="Y17" s="18"/>
      <c r="Z17" s="18"/>
      <c r="AA17" s="18"/>
      <c r="AB17" s="18"/>
      <c r="AC17" s="15">
        <f>IFERROR((s_TR/(s_RadSpec!G17*s_IFA_rec_adj)),".")</f>
        <v>70.601213458356312</v>
      </c>
      <c r="AD17" s="15">
        <f>IFERROR((s_TR/(s_RadSpec!J17*s_EF_rec*(1/365)*s_ED_rec*s_ET_rec*(1/24)*s_GSF_a)),".")</f>
        <v>8593.7788071853374</v>
      </c>
      <c r="AE17" s="15">
        <f>IFERROR(IF(AND(AC17&lt;&gt;".",AD17&lt;&gt;"."),1/((1/AC17)+(1/AD17)),IF(AND(AC17&lt;&gt;".",AD17="."),1/((1/AC17)),IF(AND(AC17=".",AD17&lt;&gt;"."),1/((1/AD17)),IF(AND(AC17=".",AD17="."),".")))),".")</f>
        <v>70.02592343992265</v>
      </c>
      <c r="AF17" s="40">
        <f t="shared" si="3"/>
        <v>911.45833333333326</v>
      </c>
      <c r="AG17" s="40">
        <f t="shared" si="4"/>
        <v>0.57077625570776247</v>
      </c>
      <c r="AH17" s="45"/>
      <c r="AI17" s="45"/>
      <c r="AJ17" s="45"/>
      <c r="AK17" s="15">
        <f>IFERROR((s_TR/(s_RadSpec!H17*s_IFW_rec_adj)),".")</f>
        <v>1451.5052109037072</v>
      </c>
      <c r="AL17" s="15">
        <f>IFERROR((s_TR/(s_RadSpec!L17*(1/8760)*s_DFA_rec_adj)),".")</f>
        <v>9819854.5794146601</v>
      </c>
      <c r="AM17" s="2">
        <f t="shared" si="5"/>
        <v>1451.2906908226582</v>
      </c>
      <c r="AN17" s="40">
        <f t="shared" si="6"/>
        <v>10000</v>
      </c>
      <c r="AO17" s="40">
        <f t="shared" si="7"/>
        <v>0.22831050228310501</v>
      </c>
      <c r="AP17" s="18"/>
      <c r="AQ17" s="18"/>
      <c r="AR17" s="18"/>
      <c r="AS17" s="2">
        <f>IFERROR(s_TR/(s_RadSpec!E17*s_EF_rec*s_ED_rec*s_IRGL_rec*s_CF_game),".")</f>
        <v>10315.659170621</v>
      </c>
      <c r="AT17" s="2">
        <f>IFERROR((AS17/(s_RadSpec!AH17*((s_Q_p_game*s_f_p_game*s_f_s_game*(s_RadSpec!BB17+s_R_es_past))+(s_Q_s_game*s_f_p_game)))),".")</f>
        <v>1819082.1060564842</v>
      </c>
      <c r="AU17" s="2">
        <f>IFERROR(AS17/(s_RadSpec!AH17*s_Q_w_game*(1/1000)),".")</f>
        <v>7368327979.0150003</v>
      </c>
      <c r="AV17" s="2">
        <f>IFERROR(s_TR/(s_RadSpec!E17*s_EF_rec*s_ED_rec*s_IRGF_rec*s_CF_fowl),".")</f>
        <v>10315.659170621</v>
      </c>
      <c r="AW17" s="2" t="str">
        <f>IFERROR((AS17/(s_RadSpec!AJ17*((s_Q_p_fowl*s_f_p_fowl*s_f_s_fowl*(s_RadSpec!BB17+s_R_es_past))+(s_Q_s_fowl*s_f_p_fowl)))),".")</f>
        <v>.</v>
      </c>
      <c r="AX17" s="2" t="str">
        <f>IFERROR(AS17/(s_RadSpec!AJ17*s_Q_w_fowl*(1/1000)),".")</f>
        <v>.</v>
      </c>
      <c r="AY17" s="19">
        <f t="shared" si="8"/>
        <v>1000</v>
      </c>
      <c r="AZ17" s="19">
        <f>IFERROR((s_C*s_IRGL_rec*s_EF_rec*s_ED_rec*s_CF_game*s_RadSpec!AH17)*((s_Q_p_game*s_f_p_game*s_f_s_game*(s_RadSpec!BB17+s_R_es_past))+(s_Q_s_game*s_f_p_game)),".")</f>
        <v>5.6708045977011494</v>
      </c>
      <c r="BA17" s="19">
        <f>IFERROR(s_C*s_RadSpec!AH17*s_Q_w_game*(1/1000)*s_EF_rec*s_ED_rec*s_IRGL_rec*s_CF_game,".")</f>
        <v>1.3999999999999998E-3</v>
      </c>
      <c r="BB17" s="19">
        <f t="shared" si="9"/>
        <v>1000</v>
      </c>
      <c r="BC17" s="19">
        <f>IFERROR((s_C*s_IRGF_rec*s_EF_rec*s_ED_rec*s_CF_fowl*s_RadSpec!AJ17)*((s_Q_p_fowl*s_f_p_fowl*s_f_s_fowl*(s_RadSpec!BB17+s_R_es_past))+(s_Q_s_fowl*s_f_p_fowl)),".")</f>
        <v>0</v>
      </c>
      <c r="BD17" s="19">
        <f>IFERROR(s_C*s_RadSpec!AJ17*s_Q_w_fowl*(1/1000)*s_EF_rec*s_ED_rec*s_IRGL_rec*s_CF_fowl,".")</f>
        <v>0</v>
      </c>
      <c r="BE17" s="5"/>
      <c r="BF17" s="5"/>
      <c r="BG17" s="5"/>
      <c r="BH17" s="5"/>
      <c r="BI17" s="5"/>
      <c r="BJ17" s="5"/>
    </row>
    <row r="18" spans="1:62" customFormat="1" x14ac:dyDescent="0.25">
      <c r="A18" s="44" t="s">
        <v>28</v>
      </c>
      <c r="B18" s="42" t="s">
        <v>1074</v>
      </c>
      <c r="C18" s="15">
        <f>IFERROR(((s_TR/(s_RadSpec!D18*s_IFS_rec_adj*(1/1000)))*1),".")</f>
        <v>55.525479254292819</v>
      </c>
      <c r="D18" s="15">
        <f>IFERROR(IF(A18="H-3",(s_TR/((s_RadSpec!G18*s_IFA_rec_adj*(1/17)*1000))*1),(s_TR/((s_RadSpec!G18*s_IFA_rec_adj*(1/s_PEF_wind)*1000))*1)),".")</f>
        <v>117174.26099649776</v>
      </c>
      <c r="E18" s="2">
        <f>IFERROR((TR/(s_RadSpec!F18*s_EF_rec*(1/365)*s_ED_rec*s_RadSpec!Q18*s_ET_rec*(1/24)*s_RadSpec!V18)),".")</f>
        <v>4371036.4041738901</v>
      </c>
      <c r="F18" s="2">
        <f>IF(AND(C18&lt;&gt;".",D18&lt;&gt;".",E18&lt;&gt;"."),1/((1/C18)+(1/D18)+(1/E18)),IF(AND(C18&lt;&gt;".",D18&lt;&gt;".",E18="."), 1/((1/C18)+(1/D18)),IF(AND(C18&lt;&gt;".",D18=".",E18&lt;&gt;"."),1/((1/C18)+(1/E18)),IF(AND(C18=".",D18&lt;&gt;".",E18&lt;&gt;"."),1/((1/D18)+(1/E18)),IF(AND(C18&lt;&gt;".",D18=".",E18="."),1/((1/C18)),IF(AND(C18=".",D18&lt;&gt;".",E18="."),1/((1/D18)),IF(AND(C18=".",D18=".",E18&lt;&gt;"."),1/((1/E18)),IF(AND(C18=".",D18=".",E18="."),"."))))))))</f>
        <v>55.498475139020705</v>
      </c>
      <c r="G18" s="40">
        <f t="shared" si="1"/>
        <v>27.5</v>
      </c>
      <c r="H18" s="40">
        <f t="shared" si="2"/>
        <v>2.9420495991003873E-3</v>
      </c>
      <c r="I18" s="40">
        <f>IFERROR((s_C*s_EF_rec*(1/365)*s_ED_rec*s_RadSpec!Q18*s_ET_rec*(1/24)*s_RadSpec!V18),".")</f>
        <v>2.5380056524450335E-2</v>
      </c>
      <c r="J18" s="18"/>
      <c r="K18" s="18"/>
      <c r="L18" s="18"/>
      <c r="M18" s="18"/>
      <c r="N18" s="15">
        <f>IFERROR((s_TR/(s_RadSpec!F18*s_EF_rec*(1/365)*s_ED_rec*s_RadSpec!Q18*s_ET_rec*(1/24)*s_RadSpec!V18)),".")</f>
        <v>4371036.4041738901</v>
      </c>
      <c r="O18" s="15">
        <f>IFERROR((s_TR/(s_RadSpec!M18*s_EF_rec*(1/365)*s_ED_rec*s_RadSpec!R18*s_ET_rec*(1/24)*s_RadSpec!W18)),".")</f>
        <v>43561048.251042835</v>
      </c>
      <c r="P18" s="15">
        <f>IFERROR((s_TR/(s_RadSpec!N18*s_EF_rec*(1/365)*s_ED_rec*s_RadSpec!S18*s_ET_rec*(1/24)*s_RadSpec!X18)),".")</f>
        <v>10744255.016255267</v>
      </c>
      <c r="Q18" s="15">
        <f>IFERROR((s_TR/(s_RadSpec!O18*s_EF_rec*(1/365)*s_ED_rec*s_RadSpec!T18*s_ET_rec*(1/24)*s_RadSpec!Y18)),".")</f>
        <v>5713963.7431073114</v>
      </c>
      <c r="R18" s="15">
        <f>IFERROR((s_TR/(s_RadSpec!K18*s_EF_rec*(1/365)*s_ED_rec*s_RadSpec!P18*s_ET_rec*(1/24)*s_RadSpec!U18)),".")</f>
        <v>76172735.333280876</v>
      </c>
      <c r="S18" s="40">
        <f>IFERROR((s_C*s_EF_rec*(1/365)*s_ED_rec*s_RadSpec!Q18*s_ET_rec*(1/24)*s_RadSpec!V18),".")</f>
        <v>2.5380056524450335E-2</v>
      </c>
      <c r="T18" s="40">
        <f>IFERROR((s_C*s_EF_rec*(1/365)*s_ED_rec*s_RadSpec!R18*s_ET_rec*(1/24)*s_RadSpec!W18),".")</f>
        <v>1.2826568802005738E-2</v>
      </c>
      <c r="U18" s="40">
        <f>IFERROR((s_C*s_EF_rec*(1/365)*s_ED_rec*s_RadSpec!S18*s_ET_rec*(1/24)*s_RadSpec!X18),".")</f>
        <v>1.8315935873661537E-2</v>
      </c>
      <c r="V18" s="40">
        <f>IFERROR((s_C*s_EF_rec*(1/365)*s_ED_rec*s_RadSpec!T18*s_ET_rec*(1/24)*s_RadSpec!Y18),".")</f>
        <v>2.2106863753677319E-2</v>
      </c>
      <c r="W18" s="40">
        <f>IFERROR((s_C*s_EF_rec*(1/365)*s_ED_rec*s_RadSpec!P18*s_ET_rec*(1/24)*s_RadSpec!U18),".")</f>
        <v>7.5458555839331325E-3</v>
      </c>
      <c r="X18" s="18"/>
      <c r="Y18" s="18"/>
      <c r="Z18" s="18"/>
      <c r="AA18" s="18"/>
      <c r="AB18" s="18"/>
      <c r="AC18" s="15">
        <f>IFERROR((s_TR/(s_RadSpec!G18*s_IFA_rec_adj)),".")</f>
        <v>0.37822078638405171</v>
      </c>
      <c r="AD18" s="15">
        <f>IFERROR((s_TR/(s_RadSpec!J18*s_EF_rec*(1/365)*s_ED_rec*s_ET_rec*(1/24)*s_GSF_a)),".")</f>
        <v>209563377.05789945</v>
      </c>
      <c r="AE18" s="15">
        <f t="shared" ref="AE18:AE20" si="14">IFERROR(IF(AND(AC18&lt;&gt;".",AD18&lt;&gt;"."),1/((1/AC18)+(1/AD18)),IF(AND(AC18&lt;&gt;".",AD18="."),1/((1/AC18)),IF(AND(AC18=".",AD18&lt;&gt;"."),1/((1/AD18)),IF(AND(AC18=".",AD18="."),".")))),".")</f>
        <v>0.37822078570143736</v>
      </c>
      <c r="AF18" s="40">
        <f t="shared" si="3"/>
        <v>911.45833333333326</v>
      </c>
      <c r="AG18" s="40">
        <f t="shared" si="4"/>
        <v>0.57077625570776247</v>
      </c>
      <c r="AH18" s="45"/>
      <c r="AI18" s="45"/>
      <c r="AJ18" s="45"/>
      <c r="AK18" s="15">
        <f>IFERROR((s_TR/(s_RadSpec!H18*s_IFW_rec_adj)),".")</f>
        <v>0.28153153153153154</v>
      </c>
      <c r="AL18" s="15">
        <f>IFERROR((s_TR/(s_RadSpec!L18*(1/8760)*s_DFA_rec_adj)),".")</f>
        <v>241388960703.75806</v>
      </c>
      <c r="AM18" s="2">
        <f t="shared" si="5"/>
        <v>0.28153153153120314</v>
      </c>
      <c r="AN18" s="40">
        <f t="shared" si="6"/>
        <v>10000</v>
      </c>
      <c r="AO18" s="40">
        <f t="shared" si="7"/>
        <v>0.22831050228310501</v>
      </c>
      <c r="AP18" s="18"/>
      <c r="AQ18" s="18"/>
      <c r="AR18" s="18"/>
      <c r="AS18" s="2">
        <f>IFERROR(s_TR/(s_RadSpec!E18*s_EF_rec*s_ED_rec*s_IRGL_rec*s_CF_game),".")</f>
        <v>2.2189677362091151</v>
      </c>
      <c r="AT18" s="2">
        <f>IFERROR((AS18/(s_RadSpec!AH18*((s_Q_p_game*s_f_p_game*s_f_s_game*(s_RadSpec!BB18+s_R_es_past))+(s_Q_s_game*s_f_p_game)))),".")</f>
        <v>55.458894399876179</v>
      </c>
      <c r="AU18" s="2">
        <f>IFERROR(AS18/(s_RadSpec!AH18*s_Q_w_game*(1/1000)),".")</f>
        <v>221896.7736209115</v>
      </c>
      <c r="AV18" s="2">
        <f>IFERROR(s_TR/(s_RadSpec!E18*s_EF_rec*s_ED_rec*s_IRGF_rec*s_CF_fowl),".")</f>
        <v>2.2189677362091151</v>
      </c>
      <c r="AW18" s="2">
        <f>IFERROR((AS18/(s_RadSpec!AJ18*((s_Q_p_fowl*s_f_p_fowl*s_f_s_fowl*(s_RadSpec!BB18+s_R_es_past))+(s_Q_s_fowl*s_f_p_fowl)))),".")</f>
        <v>0.11553936333307539</v>
      </c>
      <c r="AX18" s="2">
        <f>IFERROR(AS18/(s_RadSpec!AJ18*s_Q_w_fowl*(1/1000)),".")</f>
        <v>462.2849450435657</v>
      </c>
      <c r="AY18" s="19">
        <f t="shared" si="8"/>
        <v>1000</v>
      </c>
      <c r="AZ18" s="19">
        <f>IFERROR((s_C*s_IRGL_rec*s_EF_rec*s_ED_rec*s_CF_game*s_RadSpec!AH18)*((s_Q_p_game*s_f_p_game*s_f_s_game*(s_RadSpec!BB18+s_R_es_past))+(s_Q_s_game*s_f_p_game)),".")</f>
        <v>40.011034482758625</v>
      </c>
      <c r="BA18" s="19">
        <f>IFERROR(s_C*s_RadSpec!AH18*s_Q_w_game*(1/1000)*s_EF_rec*s_ED_rec*s_IRGL_rec*s_CF_game,".")</f>
        <v>0.01</v>
      </c>
      <c r="BB18" s="19">
        <f t="shared" si="9"/>
        <v>1000</v>
      </c>
      <c r="BC18" s="19">
        <f>IFERROR((s_C*s_IRGF_rec*s_EF_rec*s_ED_rec*s_CF_fowl*s_RadSpec!AJ18)*((s_Q_p_fowl*s_f_p_fowl*s_f_s_fowl*(s_RadSpec!BB18+s_R_es_past))+(s_Q_s_fowl*s_f_p_fowl)),".")</f>
        <v>19205.296551724139</v>
      </c>
      <c r="BD18" s="19">
        <f>IFERROR(s_C*s_RadSpec!AJ18*s_Q_w_fowl*(1/1000)*s_EF_rec*s_ED_rec*s_IRGL_rec*s_CF_fowl,".")</f>
        <v>4.8</v>
      </c>
      <c r="BE18" s="5"/>
      <c r="BF18" s="5"/>
      <c r="BG18" s="5"/>
      <c r="BH18" s="5"/>
      <c r="BI18" s="5"/>
      <c r="BJ18" s="5"/>
    </row>
    <row r="19" spans="1:62" customFormat="1" x14ac:dyDescent="0.25">
      <c r="A19" s="44" t="s">
        <v>29</v>
      </c>
      <c r="B19" s="42" t="s">
        <v>1074</v>
      </c>
      <c r="C19" s="15" t="str">
        <f>IFERROR(((s_TR/(s_RadSpec!D19*s_IFS_rec_adj*(1/1000)))*1),".")</f>
        <v>.</v>
      </c>
      <c r="D19" s="15" t="str">
        <f>IFERROR(IF(A19="H-3",(s_TR/((s_RadSpec!G19*s_IFA_rec_adj*(1/17)*1000))*1),(s_TR/((s_RadSpec!G19*s_IFA_rec_adj*(1/s_PEF_wind)*1000))*1)),".")</f>
        <v>.</v>
      </c>
      <c r="E19" s="2">
        <f>IFERROR((TR/(s_RadSpec!F19*s_EF_rec*(1/365)*s_ED_rec*s_RadSpec!Q19*s_ET_rec*(1/24)*s_RadSpec!V19)),".")</f>
        <v>1163263.087577119</v>
      </c>
      <c r="F19" s="2">
        <f t="shared" ref="F19:F20" si="15">IF(AND(C19&lt;&gt;".",D19&lt;&gt;".",E19&lt;&gt;"."),1/((1/C19)+(1/D19)+(1/E19)),IF(AND(C19&lt;&gt;".",D19&lt;&gt;".",E19="."), 1/((1/C19)+(1/D19)),IF(AND(C19&lt;&gt;".",D19=".",E19&lt;&gt;"."),1/((1/C19)+(1/E19)),IF(AND(C19=".",D19&lt;&gt;".",E19&lt;&gt;"."),1/((1/D19)+(1/E19)),IF(AND(C19&lt;&gt;".",D19=".",E19="."),1/((1/C19)),IF(AND(C19=".",D19&lt;&gt;".",E19="."),1/((1/D19)),IF(AND(C19=".",D19=".",E19&lt;&gt;"."),1/((1/E19)),IF(AND(C19=".",D19=".",E19="."),"."))))))))</f>
        <v>1163263.087577119</v>
      </c>
      <c r="G19" s="40">
        <f t="shared" si="1"/>
        <v>27.5</v>
      </c>
      <c r="H19" s="40">
        <f t="shared" si="2"/>
        <v>2.9420495991003873E-3</v>
      </c>
      <c r="I19" s="40">
        <f>IFERROR((s_C*s_EF_rec*(1/365)*s_ED_rec*s_RadSpec!Q19*s_ET_rec*(1/24)*s_RadSpec!V19),".")</f>
        <v>2.4872798434442265E-2</v>
      </c>
      <c r="J19" s="18"/>
      <c r="K19" s="18"/>
      <c r="L19" s="18"/>
      <c r="M19" s="18"/>
      <c r="N19" s="15">
        <f>IFERROR((s_TR/(s_RadSpec!F19*s_EF_rec*(1/365)*s_ED_rec*s_RadSpec!Q19*s_ET_rec*(1/24)*s_RadSpec!V19)),".")</f>
        <v>1163263.087577119</v>
      </c>
      <c r="O19" s="15">
        <f>IFERROR((s_TR/(s_RadSpec!M19*s_EF_rec*(1/365)*s_ED_rec*s_RadSpec!R19*s_ET_rec*(1/24)*s_RadSpec!W19)),".")</f>
        <v>11536100.904336719</v>
      </c>
      <c r="P19" s="15">
        <f>IFERROR((s_TR/(s_RadSpec!N19*s_EF_rec*(1/365)*s_ED_rec*s_RadSpec!S19*s_ET_rec*(1/24)*s_RadSpec!X19)),".")</f>
        <v>2839560.4210183998</v>
      </c>
      <c r="Q19" s="15">
        <f>IFERROR((s_TR/(s_RadSpec!O19*s_EF_rec*(1/365)*s_ED_rec*s_RadSpec!T19*s_ET_rec*(1/24)*s_RadSpec!Y19)),".")</f>
        <v>1520750.4524336748</v>
      </c>
      <c r="R19" s="15">
        <f>IFERROR((s_TR/(s_RadSpec!K19*s_EF_rec*(1/365)*s_ED_rec*s_RadSpec!P19*s_ET_rec*(1/24)*s_RadSpec!U19)),".")</f>
        <v>20417302.199453242</v>
      </c>
      <c r="S19" s="40">
        <f>IFERROR((s_C*s_EF_rec*(1/365)*s_ED_rec*s_RadSpec!Q19*s_ET_rec*(1/24)*s_RadSpec!V19),".")</f>
        <v>2.4872798434442265E-2</v>
      </c>
      <c r="T19" s="40">
        <f>IFERROR((s_C*s_EF_rec*(1/365)*s_ED_rec*s_RadSpec!R19*s_ET_rec*(1/24)*s_RadSpec!W19),".")</f>
        <v>1.2540462563332706E-2</v>
      </c>
      <c r="U19" s="40">
        <f>IFERROR((s_C*s_EF_rec*(1/365)*s_ED_rec*s_RadSpec!S19*s_ET_rec*(1/24)*s_RadSpec!X19),".")</f>
        <v>1.8090705053788396E-2</v>
      </c>
      <c r="V19" s="40">
        <f>IFERROR((s_C*s_EF_rec*(1/365)*s_ED_rec*s_RadSpec!T19*s_ET_rec*(1/24)*s_RadSpec!Y19),".")</f>
        <v>2.1660227139679199E-2</v>
      </c>
      <c r="W19" s="40">
        <f>IFERROR((s_C*s_EF_rec*(1/365)*s_ED_rec*s_RadSpec!P19*s_ET_rec*(1/24)*s_RadSpec!U19),".")</f>
        <v>7.2823822057386635E-3</v>
      </c>
      <c r="X19" s="18"/>
      <c r="Y19" s="18"/>
      <c r="Z19" s="18"/>
      <c r="AA19" s="18"/>
      <c r="AB19" s="18"/>
      <c r="AC19" s="15" t="str">
        <f>IFERROR((s_TR/(s_RadSpec!G19*s_IFA_rec_adj)),".")</f>
        <v>.</v>
      </c>
      <c r="AD19" s="15">
        <f>IFERROR((s_TR/(s_RadSpec!J19*s_EF_rec*(1/365)*s_ED_rec*s_ET_rec*(1/24)*s_GSF_a)),".")</f>
        <v>54364992.019368112</v>
      </c>
      <c r="AE19" s="15">
        <f t="shared" si="14"/>
        <v>54364992.019368105</v>
      </c>
      <c r="AF19" s="40">
        <f t="shared" si="3"/>
        <v>911.45833333333326</v>
      </c>
      <c r="AG19" s="40">
        <f t="shared" si="4"/>
        <v>0.57077625570776247</v>
      </c>
      <c r="AH19" s="45"/>
      <c r="AI19" s="45"/>
      <c r="AJ19" s="45"/>
      <c r="AK19" s="15" t="str">
        <f>IFERROR((s_TR/(s_RadSpec!H19*s_IFW_rec_adj)),".")</f>
        <v>.</v>
      </c>
      <c r="AL19" s="15">
        <f>IFERROR((s_TR/(s_RadSpec!L19*(1/8760)*s_DFA_rec_adj)),".")</f>
        <v>62728836945.424744</v>
      </c>
      <c r="AM19" s="2">
        <f t="shared" si="5"/>
        <v>0</v>
      </c>
      <c r="AN19" s="40">
        <f t="shared" si="6"/>
        <v>10000</v>
      </c>
      <c r="AO19" s="40">
        <f t="shared" si="7"/>
        <v>0.22831050228310501</v>
      </c>
      <c r="AP19" s="18"/>
      <c r="AQ19" s="18"/>
      <c r="AR19" s="18"/>
      <c r="AS19" s="2" t="str">
        <f>IFERROR(s_TR/(s_RadSpec!E19*s_EF_rec*s_ED_rec*s_IRGL_rec*s_CF_game),".")</f>
        <v>.</v>
      </c>
      <c r="AT19" s="2" t="str">
        <f>IFERROR((AS19/(s_RadSpec!AH19*((s_Q_p_game*s_f_p_game*s_f_s_game*(s_RadSpec!BB19+s_R_es_past))+(s_Q_s_game*s_f_p_game)))),".")</f>
        <v>.</v>
      </c>
      <c r="AU19" s="2" t="str">
        <f>IFERROR(AS19/(s_RadSpec!AH19*s_Q_w_game*(1/1000)),".")</f>
        <v>.</v>
      </c>
      <c r="AV19" s="2" t="str">
        <f>IFERROR(s_TR/(s_RadSpec!E19*s_EF_rec*s_ED_rec*s_IRGF_rec*s_CF_fowl),".")</f>
        <v>.</v>
      </c>
      <c r="AW19" s="2" t="str">
        <f>IFERROR((AS19/(s_RadSpec!AJ19*((s_Q_p_fowl*s_f_p_fowl*s_f_s_fowl*(s_RadSpec!BB19+s_R_es_past))+(s_Q_s_fowl*s_f_p_fowl)))),".")</f>
        <v>.</v>
      </c>
      <c r="AX19" s="2" t="str">
        <f>IFERROR(AS19/(s_RadSpec!AJ19*s_Q_w_fowl*(1/1000)),".")</f>
        <v>.</v>
      </c>
      <c r="AY19" s="19">
        <f t="shared" si="8"/>
        <v>1000</v>
      </c>
      <c r="AZ19" s="19">
        <f>IFERROR((s_C*s_IRGL_rec*s_EF_rec*s_ED_rec*s_CF_game*s_RadSpec!AH19)*((s_Q_p_game*s_f_p_game*s_f_s_game*(s_RadSpec!BB19+s_R_es_past))+(s_Q_s_game*s_f_p_game)),".")</f>
        <v>40.011034482758625</v>
      </c>
      <c r="BA19" s="19">
        <f>IFERROR(s_C*s_RadSpec!AH19*s_Q_w_game*(1/1000)*s_EF_rec*s_ED_rec*s_IRGL_rec*s_CF_game,".")</f>
        <v>0.01</v>
      </c>
      <c r="BB19" s="19">
        <f t="shared" si="9"/>
        <v>1000</v>
      </c>
      <c r="BC19" s="19">
        <f>IFERROR((s_C*s_IRGF_rec*s_EF_rec*s_ED_rec*s_CF_fowl*s_RadSpec!AJ19)*((s_Q_p_fowl*s_f_p_fowl*s_f_s_fowl*(s_RadSpec!BB19+s_R_es_past))+(s_Q_s_fowl*s_f_p_fowl)),".")</f>
        <v>19205.296551724139</v>
      </c>
      <c r="BD19" s="19">
        <f>IFERROR(s_C*s_RadSpec!AJ19*s_Q_w_fowl*(1/1000)*s_EF_rec*s_ED_rec*s_IRGL_rec*s_CF_fowl,".")</f>
        <v>4.8</v>
      </c>
      <c r="BE19" s="5"/>
      <c r="BF19" s="5"/>
      <c r="BG19" s="5"/>
      <c r="BH19" s="5"/>
      <c r="BI19" s="5"/>
      <c r="BJ19" s="5"/>
    </row>
    <row r="20" spans="1:62" customFormat="1" x14ac:dyDescent="0.25">
      <c r="A20" s="44" t="s">
        <v>30</v>
      </c>
      <c r="B20" s="42" t="s">
        <v>1074</v>
      </c>
      <c r="C20" s="15" t="str">
        <f>IFERROR(((s_TR/(s_RadSpec!D20*s_IFS_rec_adj*(1/1000)))*1),".")</f>
        <v>.</v>
      </c>
      <c r="D20" s="15" t="str">
        <f>IFERROR(IF(A20="H-3",(s_TR/((s_RadSpec!G20*s_IFA_rec_adj*(1/17)*1000))*1),(s_TR/((s_RadSpec!G20*s_IFA_rec_adj*(1/s_PEF_wind)*1000))*1)),".")</f>
        <v>.</v>
      </c>
      <c r="E20" s="2">
        <f>IFERROR((TR/(s_RadSpec!F20*s_EF_rec*(1/365)*s_ED_rec*s_RadSpec!Q20*s_ET_rec*(1/24)*s_RadSpec!V20)),".")</f>
        <v>512996.04935984651</v>
      </c>
      <c r="F20" s="2">
        <f t="shared" si="15"/>
        <v>512996.04935984645</v>
      </c>
      <c r="G20" s="40">
        <f t="shared" si="1"/>
        <v>27.5</v>
      </c>
      <c r="H20" s="40">
        <f t="shared" si="2"/>
        <v>2.9420495991003873E-3</v>
      </c>
      <c r="I20" s="40">
        <f>IFERROR((s_C*s_EF_rec*(1/365)*s_ED_rec*s_RadSpec!Q20*s_ET_rec*(1/24)*s_RadSpec!V20),".")</f>
        <v>2.5295097208492216E-2</v>
      </c>
      <c r="J20" s="18"/>
      <c r="K20" s="18"/>
      <c r="L20" s="18"/>
      <c r="M20" s="18"/>
      <c r="N20" s="15">
        <f>IFERROR((s_TR/(s_RadSpec!F20*s_EF_rec*(1/365)*s_ED_rec*s_RadSpec!Q20*s_ET_rec*(1/24)*s_RadSpec!V20)),".")</f>
        <v>512996.04935984651</v>
      </c>
      <c r="O20" s="15">
        <f>IFERROR((s_TR/(s_RadSpec!M20*s_EF_rec*(1/365)*s_ED_rec*s_RadSpec!R20*s_ET_rec*(1/24)*s_RadSpec!W20)),".")</f>
        <v>5114174.97499533</v>
      </c>
      <c r="P20" s="15">
        <f>IFERROR((s_TR/(s_RadSpec!N20*s_EF_rec*(1/365)*s_ED_rec*s_RadSpec!S20*s_ET_rec*(1/24)*s_RadSpec!X20)),".")</f>
        <v>1269512.1762764535</v>
      </c>
      <c r="Q20" s="15">
        <f>IFERROR((s_TR/(s_RadSpec!O20*s_EF_rec*(1/365)*s_ED_rec*s_RadSpec!T20*s_ET_rec*(1/24)*s_RadSpec!Y20)),".")</f>
        <v>678686.37842212745</v>
      </c>
      <c r="R20" s="15">
        <f>IFERROR((s_TR/(s_RadSpec!K20*s_EF_rec*(1/365)*s_ED_rec*s_RadSpec!P20*s_ET_rec*(1/24)*s_RadSpec!U20)),".")</f>
        <v>8944549.0155952312</v>
      </c>
      <c r="S20" s="40">
        <f>IFERROR((s_C*s_EF_rec*(1/365)*s_ED_rec*s_RadSpec!Q20*s_ET_rec*(1/24)*s_RadSpec!V20),".")</f>
        <v>2.5295097208492216E-2</v>
      </c>
      <c r="T20" s="40">
        <f>IFERROR((s_C*s_EF_rec*(1/365)*s_ED_rec*s_RadSpec!R20*s_ET_rec*(1/24)*s_RadSpec!W20),".")</f>
        <v>1.2826512379817915E-2</v>
      </c>
      <c r="U20" s="40">
        <f>IFERROR((s_C*s_EF_rec*(1/365)*s_ED_rec*s_RadSpec!S20*s_ET_rec*(1/24)*s_RadSpec!X20),".")</f>
        <v>1.833199033037872E-2</v>
      </c>
      <c r="V20" s="40">
        <f>IFERROR((s_C*s_EF_rec*(1/365)*s_ED_rec*s_RadSpec!T20*s_ET_rec*(1/24)*s_RadSpec!Y20),".")</f>
        <v>2.1832191780821908E-2</v>
      </c>
      <c r="W20" s="40">
        <f>IFERROR((s_C*s_EF_rec*(1/365)*s_ED_rec*s_RadSpec!P20*s_ET_rec*(1/24)*s_RadSpec!U20),".")</f>
        <v>7.5274650752746482E-3</v>
      </c>
      <c r="X20" s="18"/>
      <c r="Y20" s="18"/>
      <c r="Z20" s="18"/>
      <c r="AA20" s="18"/>
      <c r="AB20" s="18"/>
      <c r="AC20" s="15" t="str">
        <f>IFERROR((s_TR/(s_RadSpec!G20*s_IFA_rec_adj)),".")</f>
        <v>.</v>
      </c>
      <c r="AD20" s="15">
        <f>IFERROR((s_TR/(s_RadSpec!J20*s_EF_rec*(1/365)*s_ED_rec*s_ET_rec*(1/24)*s_GSF_a)),".")</f>
        <v>24517545.420499343</v>
      </c>
      <c r="AE20" s="15">
        <f t="shared" si="14"/>
        <v>24517545.420499343</v>
      </c>
      <c r="AF20" s="40">
        <f t="shared" si="3"/>
        <v>911.45833333333326</v>
      </c>
      <c r="AG20" s="40">
        <f t="shared" si="4"/>
        <v>0.57077625570776247</v>
      </c>
      <c r="AH20" s="45"/>
      <c r="AI20" s="45"/>
      <c r="AJ20" s="45"/>
      <c r="AK20" s="15" t="str">
        <f>IFERROR((s_TR/(s_RadSpec!H20*s_IFW_rec_adj)),".")</f>
        <v>.</v>
      </c>
      <c r="AL20" s="15">
        <f>IFERROR((s_TR/(s_RadSpec!L20*(1/8760)*s_DFA_rec_adj)),".")</f>
        <v>28289475485.191551</v>
      </c>
      <c r="AM20" s="2">
        <f t="shared" si="5"/>
        <v>0</v>
      </c>
      <c r="AN20" s="40">
        <f t="shared" si="6"/>
        <v>10000</v>
      </c>
      <c r="AO20" s="40">
        <f t="shared" si="7"/>
        <v>0.22831050228310501</v>
      </c>
      <c r="AP20" s="18"/>
      <c r="AQ20" s="18"/>
      <c r="AR20" s="18"/>
      <c r="AS20" s="2" t="str">
        <f>IFERROR(s_TR/(s_RadSpec!E20*s_EF_rec*s_ED_rec*s_IRGL_rec*s_CF_game),".")</f>
        <v>.</v>
      </c>
      <c r="AT20" s="2" t="str">
        <f>IFERROR((AS20/(s_RadSpec!AH20*((s_Q_p_game*s_f_p_game*s_f_s_game*(s_RadSpec!BB20+s_R_es_past))+(s_Q_s_game*s_f_p_game)))),".")</f>
        <v>.</v>
      </c>
      <c r="AU20" s="2" t="str">
        <f>IFERROR(AS20/(s_RadSpec!AH20*s_Q_w_game*(1/1000)),".")</f>
        <v>.</v>
      </c>
      <c r="AV20" s="2" t="str">
        <f>IFERROR(s_TR/(s_RadSpec!E20*s_EF_rec*s_ED_rec*s_IRGF_rec*s_CF_fowl),".")</f>
        <v>.</v>
      </c>
      <c r="AW20" s="2" t="str">
        <f>IFERROR((AS20/(s_RadSpec!AJ20*((s_Q_p_fowl*s_f_p_fowl*s_f_s_fowl*(s_RadSpec!BB20+s_R_es_past))+(s_Q_s_fowl*s_f_p_fowl)))),".")</f>
        <v>.</v>
      </c>
      <c r="AX20" s="2" t="str">
        <f>IFERROR(AS20/(s_RadSpec!AJ20*s_Q_w_fowl*(1/1000)),".")</f>
        <v>.</v>
      </c>
      <c r="AY20" s="19">
        <f t="shared" si="8"/>
        <v>1000</v>
      </c>
      <c r="AZ20" s="19">
        <f>IFERROR((s_C*s_IRGL_rec*s_EF_rec*s_ED_rec*s_CF_game*s_RadSpec!AH20)*((s_Q_p_game*s_f_p_game*s_f_s_game*(s_RadSpec!BB20+s_R_es_past))+(s_Q_s_game*s_f_p_game)),".")</f>
        <v>40.011034482758625</v>
      </c>
      <c r="BA20" s="19">
        <f>IFERROR(s_C*s_RadSpec!AH20*s_Q_w_game*(1/1000)*s_EF_rec*s_ED_rec*s_IRGL_rec*s_CF_game,".")</f>
        <v>0.01</v>
      </c>
      <c r="BB20" s="19">
        <f t="shared" si="9"/>
        <v>1000</v>
      </c>
      <c r="BC20" s="19">
        <f>IFERROR((s_C*s_IRGF_rec*s_EF_rec*s_ED_rec*s_CF_fowl*s_RadSpec!AJ20)*((s_Q_p_fowl*s_f_p_fowl*s_f_s_fowl*(s_RadSpec!BB20+s_R_es_past))+(s_Q_s_fowl*s_f_p_fowl)),".")</f>
        <v>19205.296551724139</v>
      </c>
      <c r="BD20" s="19">
        <f>IFERROR(s_C*s_RadSpec!AJ20*s_Q_w_fowl*(1/1000)*s_EF_rec*s_ED_rec*s_IRGL_rec*s_CF_fowl,".")</f>
        <v>4.8</v>
      </c>
      <c r="BE20" s="5"/>
      <c r="BF20" s="5"/>
      <c r="BG20" s="5"/>
      <c r="BH20" s="5"/>
      <c r="BI20" s="5"/>
      <c r="BJ20" s="5"/>
    </row>
    <row r="21" spans="1:62" customFormat="1" x14ac:dyDescent="0.25">
      <c r="A21" s="44" t="s">
        <v>31</v>
      </c>
      <c r="B21" s="42" t="s">
        <v>1074</v>
      </c>
      <c r="C21" s="15" t="str">
        <f>IFERROR(((s_TR/(s_RadSpec!D21*s_IFS_rec_adj*(1/1000)))*1),".")</f>
        <v>.</v>
      </c>
      <c r="D21" s="15">
        <f>IFERROR(IF(A21="H-3",(s_TR/((s_RadSpec!G21*s_IFA_rec_adj*(1/17)*1000))*1),(s_TR/((s_RadSpec!G21*s_IFA_rec_adj*(1/s_PEF_wind)*1000))*1)),".")</f>
        <v>122265861.97792831</v>
      </c>
      <c r="E21" s="2" t="str">
        <f>IFERROR((TR/(s_RadSpec!F21*s_EF_rec*(1/365)*s_ED_rec*s_RadSpec!Q21*s_ET_rec*(1/24)*s_RadSpec!V21)),".")</f>
        <v>.</v>
      </c>
      <c r="F21" s="2">
        <f>IF(AND(C21&lt;&gt;".",D21&lt;&gt;".",E21&lt;&gt;"."),1/((1/C21)+(1/D21)+(1/E21)),IF(AND(C21&lt;&gt;".",D21&lt;&gt;".",E21="."), 1/((1/C21)+(1/D21)),IF(AND(C21&lt;&gt;".",D21=".",E21&lt;&gt;"."),1/((1/C21)+(1/E21)),IF(AND(C21=".",D21&lt;&gt;".",E21&lt;&gt;"."),1/((1/D21)+(1/E21)),IF(AND(C21&lt;&gt;".",D21=".",E21="."),1/((1/C21)),IF(AND(C21=".",D21&lt;&gt;".",E21="."),1/((1/D21)),IF(AND(C21=".",D21=".",E21&lt;&gt;"."),1/((1/E21)),IF(AND(C21=".",D21=".",E21="."),"."))))))))</f>
        <v>122265861.97792831</v>
      </c>
      <c r="G21" s="40">
        <f t="shared" si="1"/>
        <v>27.5</v>
      </c>
      <c r="H21" s="40">
        <f t="shared" si="2"/>
        <v>2.9420495991003873E-3</v>
      </c>
      <c r="I21" s="40">
        <f>IFERROR((s_C*s_EF_rec*(1/365)*s_ED_rec*s_RadSpec!Q21*s_ET_rec*(1/24)*s_RadSpec!V21),".")</f>
        <v>0</v>
      </c>
      <c r="J21" s="18"/>
      <c r="K21" s="18"/>
      <c r="L21" s="18"/>
      <c r="M21" s="18"/>
      <c r="N21" s="15" t="str">
        <f>IFERROR((s_TR/(s_RadSpec!F21*s_EF_rec*(1/365)*s_ED_rec*s_RadSpec!Q21*s_ET_rec*(1/24)*s_RadSpec!V21)),".")</f>
        <v>.</v>
      </c>
      <c r="O21" s="15" t="str">
        <f>IFERROR((s_TR/(s_RadSpec!M21*s_EF_rec*(1/365)*s_ED_rec*s_RadSpec!R21*s_ET_rec*(1/24)*s_RadSpec!W21)),".")</f>
        <v>.</v>
      </c>
      <c r="P21" s="15" t="str">
        <f>IFERROR((s_TR/(s_RadSpec!N21*s_EF_rec*(1/365)*s_ED_rec*s_RadSpec!S21*s_ET_rec*(1/24)*s_RadSpec!X21)),".")</f>
        <v>.</v>
      </c>
      <c r="Q21" s="15" t="str">
        <f>IFERROR((s_TR/(s_RadSpec!O21*s_EF_rec*(1/365)*s_ED_rec*s_RadSpec!T21*s_ET_rec*(1/24)*s_RadSpec!Y21)),".")</f>
        <v>.</v>
      </c>
      <c r="R21" s="15" t="str">
        <f>IFERROR((s_TR/(s_RadSpec!K21*s_EF_rec*(1/365)*s_ED_rec*s_RadSpec!P21*s_ET_rec*(1/24)*s_RadSpec!U21)),".")</f>
        <v>.</v>
      </c>
      <c r="S21" s="40">
        <f>IFERROR((s_C*s_EF_rec*(1/365)*s_ED_rec*s_RadSpec!Q21*s_ET_rec*(1/24)*s_RadSpec!V21),".")</f>
        <v>0</v>
      </c>
      <c r="T21" s="40">
        <f>IFERROR((s_C*s_EF_rec*(1/365)*s_ED_rec*s_RadSpec!R21*s_ET_rec*(1/24)*s_RadSpec!W21),".")</f>
        <v>0</v>
      </c>
      <c r="U21" s="40">
        <f>IFERROR((s_C*s_EF_rec*(1/365)*s_ED_rec*s_RadSpec!S21*s_ET_rec*(1/24)*s_RadSpec!X21),".")</f>
        <v>0</v>
      </c>
      <c r="V21" s="40">
        <f>IFERROR((s_C*s_EF_rec*(1/365)*s_ED_rec*s_RadSpec!T21*s_ET_rec*(1/24)*s_RadSpec!Y21),".")</f>
        <v>0</v>
      </c>
      <c r="W21" s="40">
        <f>IFERROR((s_C*s_EF_rec*(1/365)*s_ED_rec*s_RadSpec!P21*s_ET_rec*(1/24)*s_RadSpec!U21),".")</f>
        <v>0</v>
      </c>
      <c r="X21" s="18"/>
      <c r="Y21" s="18"/>
      <c r="Z21" s="18"/>
      <c r="AA21" s="18"/>
      <c r="AB21" s="18"/>
      <c r="AC21" s="15">
        <f>IFERROR((s_TR/(s_RadSpec!G21*s_IFA_rec_adj)),".")</f>
        <v>394.65570400822202</v>
      </c>
      <c r="AD21" s="15">
        <f>IFERROR((s_TR/(s_RadSpec!J21*s_EF_rec*(1/365)*s_ED_rec*s_ET_rec*(1/24)*s_GSF_a)),".")</f>
        <v>221963576883.81067</v>
      </c>
      <c r="AE21" s="15">
        <f>IFERROR(IF(AND(AC21&lt;&gt;".",AD21&lt;&gt;"."),1/((1/AC21)+(1/AD21)),IF(AND(AC21&lt;&gt;".",AD21="."),1/((1/AC21)),IF(AND(AC21=".",AD21&lt;&gt;"."),1/((1/AD21)),IF(AND(AC21=".",AD21="."),".")))),".")</f>
        <v>394.65570330651622</v>
      </c>
      <c r="AF21" s="40">
        <f t="shared" si="3"/>
        <v>911.45833333333326</v>
      </c>
      <c r="AG21" s="40">
        <f t="shared" si="4"/>
        <v>0.57077625570776247</v>
      </c>
      <c r="AH21" s="45"/>
      <c r="AI21" s="45"/>
      <c r="AJ21" s="45"/>
      <c r="AK21" s="15" t="str">
        <f>IFERROR((s_TR/(s_RadSpec!H21*s_IFW_rec_adj)),".")</f>
        <v>.</v>
      </c>
      <c r="AL21" s="15">
        <f>IFERROR((s_TR/(s_RadSpec!L21*(1/8760)*s_DFA_rec_adj)),".")</f>
        <v>433162176597736.69</v>
      </c>
      <c r="AM21" s="2">
        <f t="shared" si="5"/>
        <v>0</v>
      </c>
      <c r="AN21" s="40">
        <f t="shared" si="6"/>
        <v>10000</v>
      </c>
      <c r="AO21" s="40">
        <f t="shared" si="7"/>
        <v>0.22831050228310501</v>
      </c>
      <c r="AP21" s="18"/>
      <c r="AQ21" s="18"/>
      <c r="AR21" s="18"/>
      <c r="AS21" s="2" t="str">
        <f>IFERROR(s_TR/(s_RadSpec!E21*s_EF_rec*s_ED_rec*s_IRGL_rec*s_CF_game),".")</f>
        <v>.</v>
      </c>
      <c r="AT21" s="2" t="str">
        <f>IFERROR((AS21/(s_RadSpec!AH21*((s_Q_p_game*s_f_p_game*s_f_s_game*(s_RadSpec!BB21+s_R_es_past))+(s_Q_s_game*s_f_p_game)))),".")</f>
        <v>.</v>
      </c>
      <c r="AU21" s="2" t="str">
        <f>IFERROR(AS21/(s_RadSpec!AH21*s_Q_w_game*(1/1000)),".")</f>
        <v>.</v>
      </c>
      <c r="AV21" s="2" t="str">
        <f>IFERROR(s_TR/(s_RadSpec!E21*s_EF_rec*s_ED_rec*s_IRGF_rec*s_CF_fowl),".")</f>
        <v>.</v>
      </c>
      <c r="AW21" s="2" t="str">
        <f>IFERROR((AS21/(s_RadSpec!AJ21*((s_Q_p_fowl*s_f_p_fowl*s_f_s_fowl*(s_RadSpec!BB21+s_R_es_past))+(s_Q_s_fowl*s_f_p_fowl)))),".")</f>
        <v>.</v>
      </c>
      <c r="AX21" s="2" t="str">
        <f>IFERROR(AS21/(s_RadSpec!AJ21*s_Q_w_fowl*(1/1000)),".")</f>
        <v>.</v>
      </c>
      <c r="AY21" s="19">
        <f t="shared" si="8"/>
        <v>1000</v>
      </c>
      <c r="AZ21" s="19">
        <f>IFERROR((s_C*s_IRGL_rec*s_EF_rec*s_ED_rec*s_CF_game*s_RadSpec!AH21)*((s_Q_p_game*s_f_p_game*s_f_s_game*(s_RadSpec!BB21+s_R_es_past))+(s_Q_s_game*s_f_p_game)),".")</f>
        <v>40.011034482758625</v>
      </c>
      <c r="BA21" s="19">
        <f>IFERROR(s_C*s_RadSpec!AH21*s_Q_w_game*(1/1000)*s_EF_rec*s_ED_rec*s_IRGL_rec*s_CF_game,".")</f>
        <v>0.01</v>
      </c>
      <c r="BB21" s="19">
        <f t="shared" si="9"/>
        <v>1000</v>
      </c>
      <c r="BC21" s="19">
        <f>IFERROR((s_C*s_IRGF_rec*s_EF_rec*s_ED_rec*s_CF_fowl*s_RadSpec!AJ21)*((s_Q_p_fowl*s_f_p_fowl*s_f_s_fowl*(s_RadSpec!BB21+s_R_es_past))+(s_Q_s_fowl*s_f_p_fowl)),".")</f>
        <v>19205.296551724139</v>
      </c>
      <c r="BD21" s="19">
        <f>IFERROR(s_C*s_RadSpec!AJ21*s_Q_w_fowl*(1/1000)*s_EF_rec*s_ED_rec*s_IRGL_rec*s_CF_fowl,".")</f>
        <v>4.8</v>
      </c>
      <c r="BE21" s="5"/>
      <c r="BF21" s="5"/>
      <c r="BG21" s="5"/>
      <c r="BH21" s="5"/>
      <c r="BI21" s="5"/>
      <c r="BJ21" s="5"/>
    </row>
    <row r="22" spans="1:62" customFormat="1" x14ac:dyDescent="0.25">
      <c r="A22" s="44" t="s">
        <v>32</v>
      </c>
      <c r="B22" s="42" t="s">
        <v>1074</v>
      </c>
      <c r="C22" s="15">
        <f>IFERROR(((s_TR/(s_RadSpec!D22*s_IFS_rec_adj*(1/1000)))*1),".")</f>
        <v>750.22975786334553</v>
      </c>
      <c r="D22" s="15">
        <f>IFERROR(IF(A22="H-3",(s_TR/((s_RadSpec!G22*s_IFA_rec_adj*(1/17)*1000))*1),(s_TR/((s_RadSpec!G22*s_IFA_rec_adj*(1/s_PEF_wind)*1000))*1)),".")</f>
        <v>64967.907087167077</v>
      </c>
      <c r="E22" s="2">
        <f>IFERROR((TR/(s_RadSpec!F22*s_EF_rec*(1/365)*s_ED_rec*s_RadSpec!Q22*s_ET_rec*(1/24)*s_RadSpec!V22)),".")</f>
        <v>137664512881.95639</v>
      </c>
      <c r="F22" s="2">
        <f t="shared" ref="F22:F23" si="16">IF(AND(C22&lt;&gt;".",D22&lt;&gt;".",E22&lt;&gt;"."),1/((1/C22)+(1/D22)+(1/E22)),IF(AND(C22&lt;&gt;".",D22&lt;&gt;".",E22="."), 1/((1/C22)+(1/D22)),IF(AND(C22&lt;&gt;".",D22=".",E22&lt;&gt;"."),1/((1/C22)+(1/E22)),IF(AND(C22=".",D22&lt;&gt;".",E22&lt;&gt;"."),1/((1/D22)+(1/E22)),IF(AND(C22&lt;&gt;".",D22=".",E22="."),1/((1/C22)),IF(AND(C22=".",D22&lt;&gt;".",E22="."),1/((1/D22)),IF(AND(C22=".",D22=".",E22&lt;&gt;"."),1/((1/E22)),IF(AND(C22=".",D22=".",E22="."),"."))))))))</f>
        <v>741.66522789954763</v>
      </c>
      <c r="G22" s="40">
        <f t="shared" si="1"/>
        <v>27.5</v>
      </c>
      <c r="H22" s="40">
        <f t="shared" si="2"/>
        <v>2.9420495991003873E-3</v>
      </c>
      <c r="I22" s="40">
        <f>IFERROR((s_C*s_EF_rec*(1/365)*s_ED_rec*s_RadSpec!Q22*s_ET_rec*(1/24)*s_RadSpec!V22),".")</f>
        <v>5.9475845132573557E-9</v>
      </c>
      <c r="J22" s="18"/>
      <c r="K22" s="18"/>
      <c r="L22" s="18"/>
      <c r="M22" s="18"/>
      <c r="N22" s="15">
        <f>IFERROR((s_TR/(s_RadSpec!F22*s_EF_rec*(1/365)*s_ED_rec*s_RadSpec!Q22*s_ET_rec*(1/24)*s_RadSpec!V22)),".")</f>
        <v>137664512881.95639</v>
      </c>
      <c r="O22" s="15">
        <f>IFERROR((s_TR/(s_RadSpec!M22*s_EF_rec*(1/365)*s_ED_rec*s_RadSpec!R22*s_ET_rec*(1/24)*s_RadSpec!W22)),".")</f>
        <v>173250412900.54218</v>
      </c>
      <c r="P22" s="15">
        <f>IFERROR((s_TR/(s_RadSpec!N22*s_EF_rec*(1/365)*s_ED_rec*s_RadSpec!S22*s_ET_rec*(1/24)*s_RadSpec!X22)),".")</f>
        <v>97472136775.20961</v>
      </c>
      <c r="Q22" s="15">
        <f>IFERROR((s_TR/(s_RadSpec!O22*s_EF_rec*(1/365)*s_ED_rec*s_RadSpec!T22*s_ET_rec*(1/24)*s_RadSpec!Y22)),".")</f>
        <v>100057535399.63118</v>
      </c>
      <c r="R22" s="15">
        <f>IFERROR((s_TR/(s_RadSpec!K22*s_EF_rec*(1/365)*s_ED_rec*s_RadSpec!P22*s_ET_rec*(1/24)*s_RadSpec!U22)),".")</f>
        <v>489574981441.57281</v>
      </c>
      <c r="S22" s="40">
        <f>IFERROR((s_C*s_EF_rec*(1/365)*s_ED_rec*s_RadSpec!Q22*s_ET_rec*(1/24)*s_RadSpec!V22),".")</f>
        <v>5.9475845132573557E-9</v>
      </c>
      <c r="T22" s="40">
        <f>IFERROR((s_C*s_EF_rec*(1/365)*s_ED_rec*s_RadSpec!R22*s_ET_rec*(1/24)*s_RadSpec!W22),".")</f>
        <v>6.4907232944611303E-9</v>
      </c>
      <c r="U22" s="40">
        <f>IFERROR((s_C*s_EF_rec*(1/365)*s_ED_rec*s_RadSpec!S22*s_ET_rec*(1/24)*s_RadSpec!X22),".")</f>
        <v>8.4485170101608434E-9</v>
      </c>
      <c r="V22" s="40">
        <f>IFERROR((s_C*s_EF_rec*(1/365)*s_ED_rec*s_RadSpec!T22*s_ET_rec*(1/24)*s_RadSpec!Y22),".")</f>
        <v>8.1986813787449213E-9</v>
      </c>
      <c r="W22" s="40">
        <f>IFERROR((s_C*s_EF_rec*(1/365)*s_ED_rec*s_RadSpec!P22*s_ET_rec*(1/24)*s_RadSpec!U22),".")</f>
        <v>1.1554448403096639E-9</v>
      </c>
      <c r="X22" s="18"/>
      <c r="Y22" s="18"/>
      <c r="Z22" s="18"/>
      <c r="AA22" s="18"/>
      <c r="AB22" s="18"/>
      <c r="AC22" s="15">
        <f>IFERROR((s_TR/(s_RadSpec!G22*s_IFA_rec_adj)),".")</f>
        <v>0.20970657462878114</v>
      </c>
      <c r="AD22" s="15">
        <f>IFERROR((s_TR/(s_RadSpec!J22*s_EF_rec*(1/365)*s_ED_rec*s_ET_rec*(1/24)*s_GSF_a)),".")</f>
        <v>474833.47459954425</v>
      </c>
      <c r="AE22" s="15">
        <f t="shared" ref="AE22:AE24" si="17">IFERROR(IF(AND(AC22&lt;&gt;".",AD22&lt;&gt;"."),1/((1/AC22)+(1/AD22)),IF(AND(AC22&lt;&gt;".",AD22="."),1/((1/AC22)),IF(AND(AC22=".",AD22&lt;&gt;"."),1/((1/AD22)),IF(AND(AC22=".",AD22="."),".")))),".")</f>
        <v>0.20970648201351624</v>
      </c>
      <c r="AF22" s="40">
        <f t="shared" si="3"/>
        <v>911.45833333333326</v>
      </c>
      <c r="AG22" s="40">
        <f t="shared" si="4"/>
        <v>0.57077625570776247</v>
      </c>
      <c r="AH22" s="45"/>
      <c r="AI22" s="45"/>
      <c r="AJ22" s="45"/>
      <c r="AK22" s="15">
        <f>IFERROR((s_TR/(s_RadSpec!H22*s_IFW_rec_adj)),".")</f>
        <v>4.3733053441791307</v>
      </c>
      <c r="AL22" s="15">
        <f>IFERROR((s_TR/(s_RadSpec!L22*(1/8760)*s_DFA_rec_adj)),".")</f>
        <v>516692072.91134989</v>
      </c>
      <c r="AM22" s="2">
        <f t="shared" si="5"/>
        <v>4.3733053071632746</v>
      </c>
      <c r="AN22" s="40">
        <f t="shared" si="6"/>
        <v>10000</v>
      </c>
      <c r="AO22" s="40">
        <f t="shared" si="7"/>
        <v>0.22831050228310501</v>
      </c>
      <c r="AP22" s="18"/>
      <c r="AQ22" s="18"/>
      <c r="AR22" s="18"/>
      <c r="AS22" s="2">
        <f>IFERROR(s_TR/(s_RadSpec!E22*s_EF_rec*s_ED_rec*s_IRGL_rec*s_CF_game),".")</f>
        <v>32.5626831650928</v>
      </c>
      <c r="AT22" s="2">
        <f>IFERROR((AS22/(s_RadSpec!AH22*((s_Q_p_game*s_f_p_game*s_f_s_game*(s_RadSpec!BB22+s_R_es_past))+(s_Q_s_game*s_f_p_game)))),".")</f>
        <v>2348.4261517367477</v>
      </c>
      <c r="AU22" s="2">
        <f>IFERROR(AS22/(s_RadSpec!AH22*s_Q_w_game*(1/1000)),".")</f>
        <v>9577259.7544390578</v>
      </c>
      <c r="AV22" s="2">
        <f>IFERROR(s_TR/(s_RadSpec!E22*s_EF_rec*s_ED_rec*s_IRGF_rec*s_CF_fowl),".")</f>
        <v>32.5626831650928</v>
      </c>
      <c r="AW22" s="2" t="str">
        <f>IFERROR((AS22/(s_RadSpec!AJ22*((s_Q_p_fowl*s_f_p_fowl*s_f_s_fowl*(s_RadSpec!BB22+s_R_es_past))+(s_Q_s_fowl*s_f_p_fowl)))),".")</f>
        <v>.</v>
      </c>
      <c r="AX22" s="2" t="str">
        <f>IFERROR(AS22/(s_RadSpec!AJ22*s_Q_w_fowl*(1/1000)),".")</f>
        <v>.</v>
      </c>
      <c r="AY22" s="19">
        <f t="shared" si="8"/>
        <v>1000</v>
      </c>
      <c r="AZ22" s="19">
        <f>IFERROR((s_C*s_IRGL_rec*s_EF_rec*s_ED_rec*s_CF_game*s_RadSpec!AH22)*((s_Q_p_game*s_f_p_game*s_f_s_game*(s_RadSpec!BB22+s_R_es_past))+(s_Q_s_game*s_f_p_game)),".")</f>
        <v>13.865747126436782</v>
      </c>
      <c r="BA22" s="19">
        <f>IFERROR(s_C*s_RadSpec!AH22*s_Q_w_game*(1/1000)*s_EF_rec*s_ED_rec*s_IRGL_rec*s_CF_game,".")</f>
        <v>3.3999999999999994E-3</v>
      </c>
      <c r="BB22" s="19">
        <f t="shared" si="9"/>
        <v>1000</v>
      </c>
      <c r="BC22" s="19">
        <f>IFERROR((s_C*s_IRGF_rec*s_EF_rec*s_ED_rec*s_CF_fowl*s_RadSpec!AJ22)*((s_Q_p_fowl*s_f_p_fowl*s_f_s_fowl*(s_RadSpec!BB22+s_R_es_past))+(s_Q_s_fowl*s_f_p_fowl)),".")</f>
        <v>0</v>
      </c>
      <c r="BD22" s="19">
        <f>IFERROR(s_C*s_RadSpec!AJ22*s_Q_w_fowl*(1/1000)*s_EF_rec*s_ED_rec*s_IRGL_rec*s_CF_fowl,".")</f>
        <v>0</v>
      </c>
      <c r="BE22" s="5"/>
      <c r="BF22" s="5"/>
      <c r="BG22" s="5"/>
      <c r="BH22" s="5"/>
      <c r="BI22" s="5"/>
      <c r="BJ22" s="5"/>
    </row>
    <row r="23" spans="1:62" customFormat="1" x14ac:dyDescent="0.25">
      <c r="A23" s="46" t="s">
        <v>33</v>
      </c>
      <c r="B23" s="42" t="s">
        <v>351</v>
      </c>
      <c r="C23" s="15">
        <f>IFERROR(((s_TR/(s_RadSpec!D23*s_IFS_rec_adj*(1/1000)))*1),".")</f>
        <v>268.52485868879307</v>
      </c>
      <c r="D23" s="15">
        <f>IFERROR(IF(A23="H-3",(s_TR/((s_RadSpec!G23*s_IFA_rec_adj*(1/17)*1000))*1),(s_TR/((s_RadSpec!G23*s_IFA_rec_adj*(1/s_PEF_wind)*1000))*1)),".")</f>
        <v>60357.83220844563</v>
      </c>
      <c r="E23" s="2">
        <f>IFERROR((TR/(s_RadSpec!F23*s_EF_rec*(1/365)*s_ED_rec*s_RadSpec!Q23*s_ET_rec*(1/24)*s_RadSpec!V23)),".")</f>
        <v>7704.7748359366378</v>
      </c>
      <c r="F23" s="2">
        <f t="shared" si="16"/>
        <v>258.37072682554469</v>
      </c>
      <c r="G23" s="40">
        <f t="shared" si="1"/>
        <v>27.5</v>
      </c>
      <c r="H23" s="40">
        <f t="shared" si="2"/>
        <v>2.9420495991003873E-3</v>
      </c>
      <c r="I23" s="40">
        <f>IFERROR((s_C*s_EF_rec*(1/365)*s_ED_rec*s_RadSpec!Q23*s_ET_rec*(1/24)*s_RadSpec!V23),".")</f>
        <v>2.5971114587705579E-2</v>
      </c>
      <c r="J23" s="18"/>
      <c r="K23" s="18"/>
      <c r="L23" s="18"/>
      <c r="M23" s="18"/>
      <c r="N23" s="15">
        <f>IFERROR((s_TR/(s_RadSpec!F23*s_EF_rec*(1/365)*s_ED_rec*s_RadSpec!Q23*s_ET_rec*(1/24)*s_RadSpec!V23)),".")</f>
        <v>7704.7748359366378</v>
      </c>
      <c r="O23" s="15">
        <f>IFERROR((s_TR/(s_RadSpec!M23*s_EF_rec*(1/365)*s_ED_rec*s_RadSpec!R23*s_ET_rec*(1/24)*s_RadSpec!W23)),".")</f>
        <v>54110.137348415665</v>
      </c>
      <c r="P23" s="15">
        <f>IFERROR((s_TR/(s_RadSpec!N23*s_EF_rec*(1/365)*s_ED_rec*s_RadSpec!S23*s_ET_rec*(1/24)*s_RadSpec!X23)),".")</f>
        <v>13994.377059507624</v>
      </c>
      <c r="Q23" s="15">
        <f>IFERROR((s_TR/(s_RadSpec!O23*s_EF_rec*(1/365)*s_ED_rec*s_RadSpec!T23*s_ET_rec*(1/24)*s_RadSpec!Y23)),".")</f>
        <v>8165.0887210830342</v>
      </c>
      <c r="R23" s="15">
        <f>IFERROR((s_TR/(s_RadSpec!K23*s_EF_rec*(1/365)*s_ED_rec*s_RadSpec!P23*s_ET_rec*(1/24)*s_RadSpec!U23)),".")</f>
        <v>86355.964354044161</v>
      </c>
      <c r="S23" s="40">
        <f>IFERROR((s_C*s_EF_rec*(1/365)*s_ED_rec*s_RadSpec!Q23*s_ET_rec*(1/24)*s_RadSpec!V23),".")</f>
        <v>2.5971114587705579E-2</v>
      </c>
      <c r="T23" s="40">
        <f>IFERROR((s_C*s_EF_rec*(1/365)*s_ED_rec*s_RadSpec!R23*s_ET_rec*(1/24)*s_RadSpec!W23),".")</f>
        <v>1.4590359606389906E-2</v>
      </c>
      <c r="U23" s="40">
        <f>IFERROR((s_C*s_EF_rec*(1/365)*s_ED_rec*s_RadSpec!S23*s_ET_rec*(1/24)*s_RadSpec!X23),".")</f>
        <v>2.063334267596259E-2</v>
      </c>
      <c r="V23" s="40">
        <f>IFERROR((s_C*s_EF_rec*(1/365)*s_ED_rec*s_RadSpec!T23*s_ET_rec*(1/24)*s_RadSpec!Y23),".")</f>
        <v>2.5213902557964265E-2</v>
      </c>
      <c r="W23" s="40">
        <f>IFERROR((s_C*s_EF_rec*(1/365)*s_ED_rec*s_RadSpec!P23*s_ET_rec*(1/24)*s_RadSpec!U23),".")</f>
        <v>9.2686864947138913E-3</v>
      </c>
      <c r="X23" s="18"/>
      <c r="Y23" s="18"/>
      <c r="Z23" s="18"/>
      <c r="AA23" s="18"/>
      <c r="AB23" s="18"/>
      <c r="AC23" s="15">
        <f>IFERROR((s_TR/(s_RadSpec!G23*s_IFA_rec_adj)),".")</f>
        <v>0.19482595041070733</v>
      </c>
      <c r="AD23" s="15">
        <f>IFERROR((s_TR/(s_RadSpec!J23*s_EF_rec*(1/365)*s_ED_rec*s_ET_rec*(1/24)*s_GSF_a)),".")</f>
        <v>307474.13519150822</v>
      </c>
      <c r="AE23" s="15">
        <f t="shared" si="17"/>
        <v>0.19482582696251266</v>
      </c>
      <c r="AF23" s="40">
        <f t="shared" si="3"/>
        <v>911.45833333333326</v>
      </c>
      <c r="AG23" s="40">
        <f t="shared" si="4"/>
        <v>0.57077625570776247</v>
      </c>
      <c r="AH23" s="45"/>
      <c r="AI23" s="45"/>
      <c r="AJ23" s="45"/>
      <c r="AK23" s="15">
        <f>IFERROR((s_TR/(s_RadSpec!H23*s_IFW_rec_adj)),".")</f>
        <v>1.2993762993762994</v>
      </c>
      <c r="AL23" s="15">
        <f>IFERROR((s_TR/(s_RadSpec!L23*(1/8760)*s_DFA_rec_adj)),".")</f>
        <v>349272295.09649903</v>
      </c>
      <c r="AM23" s="2">
        <f t="shared" si="5"/>
        <v>1.2993762945423095</v>
      </c>
      <c r="AN23" s="40">
        <f t="shared" si="6"/>
        <v>10000</v>
      </c>
      <c r="AO23" s="40">
        <f t="shared" si="7"/>
        <v>0.22831050228310501</v>
      </c>
      <c r="AP23" s="18"/>
      <c r="AQ23" s="18"/>
      <c r="AR23" s="18"/>
      <c r="AS23" s="2">
        <f>IFERROR(s_TR/(s_RadSpec!E23*s_EF_rec*s_ED_rec*s_IRGL_rec*s_CF_game),".")</f>
        <v>9.7219521679953314</v>
      </c>
      <c r="AT23" s="2">
        <f>IFERROR((AS23/(s_RadSpec!AH23*((s_Q_p_game*s_f_p_game*s_f_s_game*(s_RadSpec!BB23+s_R_es_past))+(s_Q_s_game*s_f_p_game)))),".")</f>
        <v>701.14881508687063</v>
      </c>
      <c r="AU23" s="2">
        <f>IFERROR(AS23/(s_RadSpec!AH23*s_Q_w_game*(1/1000)),".")</f>
        <v>2859397.6964692152</v>
      </c>
      <c r="AV23" s="2">
        <f>IFERROR(s_TR/(s_RadSpec!E23*s_EF_rec*s_ED_rec*s_IRGF_rec*s_CF_fowl),".")</f>
        <v>9.7219521679953314</v>
      </c>
      <c r="AW23" s="2" t="str">
        <f>IFERROR((AS23/(s_RadSpec!AJ23*((s_Q_p_fowl*s_f_p_fowl*s_f_s_fowl*(s_RadSpec!BB23+s_R_es_past))+(s_Q_s_fowl*s_f_p_fowl)))),".")</f>
        <v>.</v>
      </c>
      <c r="AX23" s="2" t="str">
        <f>IFERROR(AS23/(s_RadSpec!AJ23*s_Q_w_fowl*(1/1000)),".")</f>
        <v>.</v>
      </c>
      <c r="AY23" s="19">
        <f t="shared" si="8"/>
        <v>1000</v>
      </c>
      <c r="AZ23" s="19">
        <f>IFERROR((s_C*s_IRGL_rec*s_EF_rec*s_ED_rec*s_CF_game*s_RadSpec!AH23)*((s_Q_p_game*s_f_p_game*s_f_s_game*(s_RadSpec!BB23+s_R_es_past))+(s_Q_s_game*s_f_p_game)),".")</f>
        <v>13.865747126436782</v>
      </c>
      <c r="BA23" s="19">
        <f>IFERROR(s_C*s_RadSpec!AH23*s_Q_w_game*(1/1000)*s_EF_rec*s_ED_rec*s_IRGL_rec*s_CF_game,".")</f>
        <v>3.3999999999999994E-3</v>
      </c>
      <c r="BB23" s="19">
        <f t="shared" si="9"/>
        <v>1000</v>
      </c>
      <c r="BC23" s="19">
        <f>IFERROR((s_C*s_IRGF_rec*s_EF_rec*s_ED_rec*s_CF_fowl*s_RadSpec!AJ23)*((s_Q_p_fowl*s_f_p_fowl*s_f_s_fowl*(s_RadSpec!BB23+s_R_es_past))+(s_Q_s_fowl*s_f_p_fowl)),".")</f>
        <v>0</v>
      </c>
      <c r="BD23" s="19">
        <f>IFERROR(s_C*s_RadSpec!AJ23*s_Q_w_fowl*(1/1000)*s_EF_rec*s_ED_rec*s_IRGL_rec*s_CF_fowl,".")</f>
        <v>0</v>
      </c>
      <c r="BE23" s="5"/>
      <c r="BF23" s="5"/>
      <c r="BG23" s="5"/>
      <c r="BH23" s="5"/>
      <c r="BI23" s="5"/>
      <c r="BJ23" s="5"/>
    </row>
    <row r="24" spans="1:62" customFormat="1" x14ac:dyDescent="0.25">
      <c r="A24" s="44" t="s">
        <v>34</v>
      </c>
      <c r="B24" s="42" t="s">
        <v>1074</v>
      </c>
      <c r="C24" s="15" t="str">
        <f>IFERROR(((s_TR/(s_RadSpec!D24*s_IFS_rec_adj*(1/1000)))*1),".")</f>
        <v>.</v>
      </c>
      <c r="D24" s="15" t="str">
        <f>IFERROR(IF(A24="H-3",(s_TR/((s_RadSpec!G24*s_IFA_rec_adj*(1/17)*1000))*1),(s_TR/((s_RadSpec!G24*s_IFA_rec_adj*(1/s_PEF_wind)*1000))*1)),".")</f>
        <v>.</v>
      </c>
      <c r="E24" s="2">
        <f>IFERROR((TR/(s_RadSpec!F24*s_EF_rec*(1/365)*s_ED_rec*s_RadSpec!Q24*s_ET_rec*(1/24)*s_RadSpec!V24)),".")</f>
        <v>74533.59934189335</v>
      </c>
      <c r="F24" s="2">
        <f>IF(AND(C24&lt;&gt;".",D24&lt;&gt;".",E24&lt;&gt;"."),1/((1/C24)+(1/D24)+(1/E24)),IF(AND(C24&lt;&gt;".",D24&lt;&gt;".",E24="."), 1/((1/C24)+(1/D24)),IF(AND(C24&lt;&gt;".",D24=".",E24&lt;&gt;"."),1/((1/C24)+(1/E24)),IF(AND(C24=".",D24&lt;&gt;".",E24&lt;&gt;"."),1/((1/D24)+(1/E24)),IF(AND(C24&lt;&gt;".",D24=".",E24="."),1/((1/C24)),IF(AND(C24=".",D24&lt;&gt;".",E24="."),1/((1/D24)),IF(AND(C24=".",D24=".",E24&lt;&gt;"."),1/((1/E24)),IF(AND(C24=".",D24=".",E24="."),"."))))))))</f>
        <v>74533.59934189335</v>
      </c>
      <c r="G24" s="40">
        <f t="shared" si="1"/>
        <v>27.5</v>
      </c>
      <c r="H24" s="40">
        <f t="shared" si="2"/>
        <v>2.9420495991003873E-3</v>
      </c>
      <c r="I24" s="40">
        <f>IFERROR((s_C*s_EF_rec*(1/365)*s_ED_rec*s_RadSpec!Q24*s_ET_rec*(1/24)*s_RadSpec!V24),".")</f>
        <v>1.981135685314149E-2</v>
      </c>
      <c r="J24" s="18"/>
      <c r="K24" s="18"/>
      <c r="L24" s="18"/>
      <c r="M24" s="18"/>
      <c r="N24" s="15">
        <f>IFERROR((s_TR/(s_RadSpec!F24*s_EF_rec*(1/365)*s_ED_rec*s_RadSpec!Q24*s_ET_rec*(1/24)*s_RadSpec!V24)),".")</f>
        <v>74533.59934189335</v>
      </c>
      <c r="O24" s="15">
        <f>IFERROR((s_TR/(s_RadSpec!M24*s_EF_rec*(1/365)*s_ED_rec*s_RadSpec!R24*s_ET_rec*(1/24)*s_RadSpec!W24)),".")</f>
        <v>656632.94151252101</v>
      </c>
      <c r="P24" s="15">
        <f>IFERROR((s_TR/(s_RadSpec!N24*s_EF_rec*(1/365)*s_ED_rec*s_RadSpec!S24*s_ET_rec*(1/24)*s_RadSpec!X24)),".")</f>
        <v>164697.36386403328</v>
      </c>
      <c r="Q24" s="15">
        <f>IFERROR((s_TR/(s_RadSpec!O24*s_EF_rec*(1/365)*s_ED_rec*s_RadSpec!T24*s_ET_rec*(1/24)*s_RadSpec!Y24)),".")</f>
        <v>88867.462257146253</v>
      </c>
      <c r="R24" s="15">
        <f>IFERROR((s_TR/(s_RadSpec!K24*s_EF_rec*(1/365)*s_ED_rec*s_RadSpec!P24*s_ET_rec*(1/24)*s_RadSpec!U24)),".")</f>
        <v>1117160.4678249129</v>
      </c>
      <c r="S24" s="40">
        <f>IFERROR((s_C*s_EF_rec*(1/365)*s_ED_rec*s_RadSpec!Q24*s_ET_rec*(1/24)*s_RadSpec!V24),".")</f>
        <v>1.981135685314149E-2</v>
      </c>
      <c r="T24" s="40">
        <f>IFERROR((s_C*s_EF_rec*(1/365)*s_ED_rec*s_RadSpec!R24*s_ET_rec*(1/24)*s_RadSpec!W24),".")</f>
        <v>1.0927299143363899E-2</v>
      </c>
      <c r="U24" s="40">
        <f>IFERROR((s_C*s_EF_rec*(1/365)*s_ED_rec*s_RadSpec!S24*s_ET_rec*(1/24)*s_RadSpec!X24),".")</f>
        <v>1.5476344324237839E-2</v>
      </c>
      <c r="V24" s="40">
        <f>IFERROR((s_C*s_EF_rec*(1/365)*s_ED_rec*s_RadSpec!T24*s_ET_rec*(1/24)*s_RadSpec!Y24),".")</f>
        <v>1.8533105022831051E-2</v>
      </c>
      <c r="W24" s="40">
        <f>IFERROR((s_C*s_EF_rec*(1/365)*s_ED_rec*s_RadSpec!P24*s_ET_rec*(1/24)*s_RadSpec!U24),".")</f>
        <v>6.5747644644818231E-3</v>
      </c>
      <c r="X24" s="18"/>
      <c r="Y24" s="18"/>
      <c r="Z24" s="18"/>
      <c r="AA24" s="18"/>
      <c r="AB24" s="18"/>
      <c r="AC24" s="15" t="str">
        <f>IFERROR((s_TR/(s_RadSpec!G24*s_IFA_rec_adj)),".")</f>
        <v>.</v>
      </c>
      <c r="AD24" s="15">
        <f>IFERROR((s_TR/(s_RadSpec!J24*s_EF_rec*(1/365)*s_ED_rec*s_ET_rec*(1/24)*s_GSF_a)),".")</f>
        <v>2748120.4757043221</v>
      </c>
      <c r="AE24" s="15">
        <f t="shared" si="17"/>
        <v>2748120.4757043221</v>
      </c>
      <c r="AF24" s="40">
        <f t="shared" si="3"/>
        <v>911.45833333333326</v>
      </c>
      <c r="AG24" s="40">
        <f t="shared" si="4"/>
        <v>0.57077625570776247</v>
      </c>
      <c r="AH24" s="45"/>
      <c r="AI24" s="45"/>
      <c r="AJ24" s="45"/>
      <c r="AK24" s="15" t="str">
        <f>IFERROR((s_TR/(s_RadSpec!H24*s_IFW_rec_adj)),".")</f>
        <v>.</v>
      </c>
      <c r="AL24" s="15">
        <f>IFERROR((s_TR/(s_RadSpec!L24*(1/8760)*s_DFA_rec_adj)),".")</f>
        <v>3162887394.0441823</v>
      </c>
      <c r="AM24" s="2">
        <f t="shared" si="5"/>
        <v>0</v>
      </c>
      <c r="AN24" s="40">
        <f t="shared" si="6"/>
        <v>10000</v>
      </c>
      <c r="AO24" s="40">
        <f t="shared" si="7"/>
        <v>0.22831050228310501</v>
      </c>
      <c r="AP24" s="18"/>
      <c r="AQ24" s="18"/>
      <c r="AR24" s="18"/>
      <c r="AS24" s="2" t="str">
        <f>IFERROR(s_TR/(s_RadSpec!E24*s_EF_rec*s_ED_rec*s_IRGL_rec*s_CF_game),".")</f>
        <v>.</v>
      </c>
      <c r="AT24" s="2" t="str">
        <f>IFERROR((AS24/(s_RadSpec!AH24*((s_Q_p_game*s_f_p_game*s_f_s_game*(s_RadSpec!BB24+s_R_es_past))+(s_Q_s_game*s_f_p_game)))),".")</f>
        <v>.</v>
      </c>
      <c r="AU24" s="2" t="str">
        <f>IFERROR(AS24/(s_RadSpec!AH24*s_Q_w_game*(1/1000)),".")</f>
        <v>.</v>
      </c>
      <c r="AV24" s="2" t="str">
        <f>IFERROR(s_TR/(s_RadSpec!E24*s_EF_rec*s_ED_rec*s_IRGF_rec*s_CF_fowl),".")</f>
        <v>.</v>
      </c>
      <c r="AW24" s="2" t="str">
        <f>IFERROR((AS24/(s_RadSpec!AJ24*((s_Q_p_fowl*s_f_p_fowl*s_f_s_fowl*(s_RadSpec!BB24+s_R_es_past))+(s_Q_s_fowl*s_f_p_fowl)))),".")</f>
        <v>.</v>
      </c>
      <c r="AX24" s="2" t="str">
        <f>IFERROR(AS24/(s_RadSpec!AJ24*s_Q_w_fowl*(1/1000)),".")</f>
        <v>.</v>
      </c>
      <c r="AY24" s="19">
        <f t="shared" si="8"/>
        <v>1000</v>
      </c>
      <c r="AZ24" s="19">
        <f>IFERROR((s_C*s_IRGL_rec*s_EF_rec*s_ED_rec*s_CF_game*s_RadSpec!AH24)*((s_Q_p_game*s_f_p_game*s_f_s_game*(s_RadSpec!BB24+s_R_es_past))+(s_Q_s_game*s_f_p_game)),".")</f>
        <v>0</v>
      </c>
      <c r="BA24" s="19">
        <f>IFERROR(s_C*s_RadSpec!AH24*s_Q_w_game*(1/1000)*s_EF_rec*s_ED_rec*s_IRGL_rec*s_CF_game,".")</f>
        <v>0</v>
      </c>
      <c r="BB24" s="19">
        <f t="shared" si="9"/>
        <v>1000</v>
      </c>
      <c r="BC24" s="19">
        <f>IFERROR((s_C*s_IRGF_rec*s_EF_rec*s_ED_rec*s_CF_fowl*s_RadSpec!AJ24)*((s_Q_p_fowl*s_f_p_fowl*s_f_s_fowl*(s_RadSpec!BB24+s_R_es_past))+(s_Q_s_fowl*s_f_p_fowl)),".")</f>
        <v>0</v>
      </c>
      <c r="BD24" s="19">
        <f>IFERROR(s_C*s_RadSpec!AJ24*s_Q_w_fowl*(1/1000)*s_EF_rec*s_ED_rec*s_IRGL_rec*s_CF_fowl,".")</f>
        <v>0</v>
      </c>
      <c r="BE24" s="5"/>
      <c r="BF24" s="5"/>
      <c r="BG24" s="5"/>
      <c r="BH24" s="5"/>
      <c r="BI24" s="5"/>
      <c r="BJ24" s="5"/>
    </row>
    <row r="25" spans="1:62" customFormat="1" x14ac:dyDescent="0.25">
      <c r="A25" s="46" t="s">
        <v>35</v>
      </c>
      <c r="B25" s="42" t="s">
        <v>351</v>
      </c>
      <c r="C25" s="15" t="str">
        <f>IFERROR(((s_TR/(s_RadSpec!D25*s_IFS_rec_adj*(1/1000)))*1),".")</f>
        <v>.</v>
      </c>
      <c r="D25" s="15">
        <f>IFERROR(IF(A25="H-3",(s_TR/((s_RadSpec!G25*s_IFA_rec_adj*(1/17)*1000))*1),(s_TR/((s_RadSpec!G25*s_IFA_rec_adj*(1/s_PEF_wind)*1000))*1)),".")</f>
        <v>745392755.04087865</v>
      </c>
      <c r="E25" s="2">
        <f>IFERROR((TR/(s_RadSpec!F25*s_EF_rec*(1/365)*s_ED_rec*s_RadSpec!Q25*s_ET_rec*(1/24)*s_RadSpec!V25)),".")</f>
        <v>166234.45835585767</v>
      </c>
      <c r="F25" s="2">
        <f>IF(AND(C25&lt;&gt;".",D25&lt;&gt;".",E25&lt;&gt;"."),1/((1/C25)+(1/D25)+(1/E25)),IF(AND(C25&lt;&gt;".",D25&lt;&gt;".",E25="."), 1/((1/C25)+(1/D25)),IF(AND(C25&lt;&gt;".",D25=".",E25&lt;&gt;"."),1/((1/C25)+(1/E25)),IF(AND(C25=".",D25&lt;&gt;".",E25&lt;&gt;"."),1/((1/D25)+(1/E25)),IF(AND(C25&lt;&gt;".",D25=".",E25="."),1/((1/C25)),IF(AND(C25=".",D25&lt;&gt;".",E25="."),1/((1/D25)),IF(AND(C25=".",D25=".",E25&lt;&gt;"."),1/((1/E25)),IF(AND(C25=".",D25=".",E25="."),"."))))))))</f>
        <v>166197.39368956827</v>
      </c>
      <c r="G25" s="40">
        <f t="shared" si="1"/>
        <v>27.5</v>
      </c>
      <c r="H25" s="40">
        <f t="shared" si="2"/>
        <v>2.9420495991003873E-3</v>
      </c>
      <c r="I25" s="40">
        <f>IFERROR((s_C*s_EF_rec*(1/365)*s_ED_rec*s_RadSpec!Q25*s_ET_rec*(1/24)*s_RadSpec!V25),".")</f>
        <v>1.7765410958904104E-2</v>
      </c>
      <c r="J25" s="18"/>
      <c r="K25" s="18"/>
      <c r="L25" s="18"/>
      <c r="M25" s="18"/>
      <c r="N25" s="15">
        <f>IFERROR((s_TR/(s_RadSpec!F25*s_EF_rec*(1/365)*s_ED_rec*s_RadSpec!Q25*s_ET_rec*(1/24)*s_RadSpec!V25)),".")</f>
        <v>166234.45835585767</v>
      </c>
      <c r="O25" s="15">
        <f>IFERROR((s_TR/(s_RadSpec!M25*s_EF_rec*(1/365)*s_ED_rec*s_RadSpec!R25*s_ET_rec*(1/24)*s_RadSpec!W25)),".")</f>
        <v>1412475.6472451682</v>
      </c>
      <c r="P25" s="15">
        <f>IFERROR((s_TR/(s_RadSpec!N25*s_EF_rec*(1/365)*s_ED_rec*s_RadSpec!S25*s_ET_rec*(1/24)*s_RadSpec!X25)),".")</f>
        <v>359029.12788618507</v>
      </c>
      <c r="Q25" s="15">
        <f>IFERROR((s_TR/(s_RadSpec!O25*s_EF_rec*(1/365)*s_ED_rec*s_RadSpec!T25*s_ET_rec*(1/24)*s_RadSpec!Y25)),".")</f>
        <v>209461.26276041163</v>
      </c>
      <c r="R25" s="15">
        <f>IFERROR((s_TR/(s_RadSpec!K25*s_EF_rec*(1/365)*s_ED_rec*s_RadSpec!P25*s_ET_rec*(1/24)*s_RadSpec!U25)),".")</f>
        <v>2579685.4453026024</v>
      </c>
      <c r="S25" s="40">
        <f>IFERROR((s_C*s_EF_rec*(1/365)*s_ED_rec*s_RadSpec!Q25*s_ET_rec*(1/24)*s_RadSpec!V25),".")</f>
        <v>1.7765410958904104E-2</v>
      </c>
      <c r="T25" s="40">
        <f>IFERROR((s_C*s_EF_rec*(1/365)*s_ED_rec*s_RadSpec!R25*s_ET_rec*(1/24)*s_RadSpec!W25),".")</f>
        <v>9.9204185207806186E-3</v>
      </c>
      <c r="U25" s="40">
        <f>IFERROR((s_C*s_EF_rec*(1/365)*s_ED_rec*s_RadSpec!S25*s_ET_rec*(1/24)*s_RadSpec!X25),".")</f>
        <v>1.3830117860814263E-2</v>
      </c>
      <c r="V25" s="40">
        <f>IFERROR((s_C*s_EF_rec*(1/365)*s_ED_rec*s_RadSpec!T25*s_ET_rec*(1/24)*s_RadSpec!Y25),".")</f>
        <v>1.5487690617730679E-2</v>
      </c>
      <c r="W25" s="40">
        <f>IFERROR((s_C*s_EF_rec*(1/365)*s_ED_rec*s_RadSpec!P25*s_ET_rec*(1/24)*s_RadSpec!U25),".")</f>
        <v>5.5331991951710251E-3</v>
      </c>
      <c r="X25" s="18"/>
      <c r="Y25" s="18"/>
      <c r="Z25" s="18"/>
      <c r="AA25" s="18"/>
      <c r="AB25" s="18"/>
      <c r="AC25" s="15">
        <f>IFERROR((s_TR/(s_RadSpec!G25*s_IFA_rec_adj)),".")</f>
        <v>2406.0150375939847</v>
      </c>
      <c r="AD25" s="15">
        <f>IFERROR((s_TR/(s_RadSpec!J25*s_EF_rec*(1/365)*s_ED_rec*s_ET_rec*(1/24)*s_GSF_a)),".")</f>
        <v>5397387.6968869064</v>
      </c>
      <c r="AE25" s="15">
        <f>IFERROR(IF(AND(AC25&lt;&gt;".",AD25&lt;&gt;"."),1/((1/AC25)+(1/AD25)),IF(AND(AC25&lt;&gt;".",AD25="."),1/((1/AC25)),IF(AND(AC25=".",AD25&lt;&gt;"."),1/((1/AD25)),IF(AND(AC25=".",AD25="."),".")))),".")</f>
        <v>2404.942976572775</v>
      </c>
      <c r="AF25" s="40">
        <f t="shared" si="3"/>
        <v>911.45833333333326</v>
      </c>
      <c r="AG25" s="40">
        <f t="shared" si="4"/>
        <v>0.57077625570776247</v>
      </c>
      <c r="AH25" s="45"/>
      <c r="AI25" s="45"/>
      <c r="AJ25" s="45"/>
      <c r="AK25" s="15" t="str">
        <f>IFERROR((s_TR/(s_RadSpec!H25*s_IFW_rec_adj)),".")</f>
        <v>.</v>
      </c>
      <c r="AL25" s="15">
        <f>IFERROR((s_TR/(s_RadSpec!L25*(1/8760)*s_DFA_rec_adj)),".")</f>
        <v>6231203404.2132893</v>
      </c>
      <c r="AM25" s="2">
        <f t="shared" si="5"/>
        <v>0</v>
      </c>
      <c r="AN25" s="40">
        <f t="shared" si="6"/>
        <v>10000</v>
      </c>
      <c r="AO25" s="40">
        <f t="shared" si="7"/>
        <v>0.22831050228310501</v>
      </c>
      <c r="AP25" s="18"/>
      <c r="AQ25" s="18"/>
      <c r="AR25" s="18"/>
      <c r="AS25" s="2" t="str">
        <f>IFERROR(s_TR/(s_RadSpec!E25*s_EF_rec*s_ED_rec*s_IRGL_rec*s_CF_game),".")</f>
        <v>.</v>
      </c>
      <c r="AT25" s="2" t="str">
        <f>IFERROR((AS25/(s_RadSpec!AH25*((s_Q_p_game*s_f_p_game*s_f_s_game*(s_RadSpec!BB25+s_R_es_past))+(s_Q_s_game*s_f_p_game)))),".")</f>
        <v>.</v>
      </c>
      <c r="AU25" s="2" t="str">
        <f>IFERROR(AS25/(s_RadSpec!AH25*s_Q_w_game*(1/1000)),".")</f>
        <v>.</v>
      </c>
      <c r="AV25" s="2" t="str">
        <f>IFERROR(s_TR/(s_RadSpec!E25*s_EF_rec*s_ED_rec*s_IRGF_rec*s_CF_fowl),".")</f>
        <v>.</v>
      </c>
      <c r="AW25" s="2" t="str">
        <f>IFERROR((AS25/(s_RadSpec!AJ25*((s_Q_p_fowl*s_f_p_fowl*s_f_s_fowl*(s_RadSpec!BB25+s_R_es_past))+(s_Q_s_fowl*s_f_p_fowl)))),".")</f>
        <v>.</v>
      </c>
      <c r="AX25" s="2" t="str">
        <f>IFERROR(AS25/(s_RadSpec!AJ25*s_Q_w_fowl*(1/1000)),".")</f>
        <v>.</v>
      </c>
      <c r="AY25" s="19">
        <f t="shared" si="8"/>
        <v>1000</v>
      </c>
      <c r="AZ25" s="19">
        <f>IFERROR((s_C*s_IRGL_rec*s_EF_rec*s_ED_rec*s_CF_game*s_RadSpec!AH25)*((s_Q_p_game*s_f_p_game*s_f_s_game*(s_RadSpec!BB25+s_R_es_past))+(s_Q_s_game*s_f_p_game)),".")</f>
        <v>0</v>
      </c>
      <c r="BA25" s="19">
        <f>IFERROR(s_C*s_RadSpec!AH25*s_Q_w_game*(1/1000)*s_EF_rec*s_ED_rec*s_IRGL_rec*s_CF_game,".")</f>
        <v>0</v>
      </c>
      <c r="BB25" s="19">
        <f t="shared" si="9"/>
        <v>1000</v>
      </c>
      <c r="BC25" s="19">
        <f>IFERROR((s_C*s_IRGF_rec*s_EF_rec*s_ED_rec*s_CF_fowl*s_RadSpec!AJ25)*((s_Q_p_fowl*s_f_p_fowl*s_f_s_fowl*(s_RadSpec!BB25+s_R_es_past))+(s_Q_s_fowl*s_f_p_fowl)),".")</f>
        <v>0</v>
      </c>
      <c r="BD25" s="19">
        <f>IFERROR(s_C*s_RadSpec!AJ25*s_Q_w_fowl*(1/1000)*s_EF_rec*s_ED_rec*s_IRGL_rec*s_CF_fowl,".")</f>
        <v>0</v>
      </c>
      <c r="BE25" s="5"/>
      <c r="BF25" s="5"/>
      <c r="BG25" s="5"/>
      <c r="BH25" s="5"/>
      <c r="BI25" s="5"/>
      <c r="BJ25" s="5"/>
    </row>
    <row r="26" spans="1:62" customFormat="1" x14ac:dyDescent="0.25">
      <c r="A26" s="44" t="s">
        <v>36</v>
      </c>
      <c r="B26" s="42" t="s">
        <v>1074</v>
      </c>
      <c r="C26" s="15">
        <f>IFERROR(((s_TR/(s_RadSpec!D26*s_IFS_rec_adj*(1/1000)))*1),".")</f>
        <v>472.50047250047243</v>
      </c>
      <c r="D26" s="15">
        <f>IFERROR(IF(A26="H-3",(s_TR/((s_RadSpec!G26*s_IFA_rec_adj*(1/17)*1000))*1),(s_TR/((s_RadSpec!G26*s_IFA_rec_adj*(1/s_PEF_wind)*1000))*1)),".")</f>
        <v>9731.4216759803221</v>
      </c>
      <c r="E26" s="2">
        <f>IFERROR((TR/(s_RadSpec!F26*s_EF_rec*(1/365)*s_ED_rec*s_RadSpec!Q26*s_ET_rec*(1/24)*s_RadSpec!V26)),".")</f>
        <v>6844.7420330507548</v>
      </c>
      <c r="F26" s="2">
        <f>IF(AND(C26&lt;&gt;".",D26&lt;&gt;".",E26&lt;&gt;"."),1/((1/C26)+(1/D26)+(1/E26)),IF(AND(C26&lt;&gt;".",D26&lt;&gt;".",E26="."), 1/((1/C26)+(1/D26)),IF(AND(C26&lt;&gt;".",D26=".",E26&lt;&gt;"."),1/((1/C26)+(1/E26)),IF(AND(C26=".",D26&lt;&gt;".",E26&lt;&gt;"."),1/((1/D26)+(1/E26)),IF(AND(C26&lt;&gt;".",D26=".",E26="."),1/((1/C26)),IF(AND(C26=".",D26&lt;&gt;".",E26="."),1/((1/D26)),IF(AND(C26=".",D26=".",E26&lt;&gt;"."),1/((1/E26)),IF(AND(C26=".",D26=".",E26="."),"."))))))))</f>
        <v>422.78695666197422</v>
      </c>
      <c r="G26" s="40">
        <f t="shared" si="1"/>
        <v>27.5</v>
      </c>
      <c r="H26" s="40">
        <f t="shared" si="2"/>
        <v>2.9420495991003873E-3</v>
      </c>
      <c r="I26" s="40">
        <f>IFERROR((s_C*s_EF_rec*(1/365)*s_ED_rec*s_RadSpec!Q26*s_ET_rec*(1/24)*s_RadSpec!V26),".")</f>
        <v>3.258412022875383E-3</v>
      </c>
      <c r="J26" s="18"/>
      <c r="K26" s="18"/>
      <c r="L26" s="18"/>
      <c r="M26" s="18"/>
      <c r="N26" s="15">
        <f>IFERROR((s_TR/(s_RadSpec!F26*s_EF_rec*(1/365)*s_ED_rec*s_RadSpec!Q26*s_ET_rec*(1/24)*s_RadSpec!V26)),".")</f>
        <v>6844.7420330507548</v>
      </c>
      <c r="O26" s="15">
        <f>IFERROR((s_TR/(s_RadSpec!M26*s_EF_rec*(1/365)*s_ED_rec*s_RadSpec!R26*s_ET_rec*(1/24)*s_RadSpec!W26)),".")</f>
        <v>41425.879994943381</v>
      </c>
      <c r="P26" s="15">
        <f>IFERROR((s_TR/(s_RadSpec!N26*s_EF_rec*(1/365)*s_ED_rec*s_RadSpec!S26*s_ET_rec*(1/24)*s_RadSpec!X26)),".")</f>
        <v>11870.169747819056</v>
      </c>
      <c r="Q26" s="15">
        <f>IFERROR((s_TR/(s_RadSpec!O26*s_EF_rec*(1/365)*s_ED_rec*s_RadSpec!T26*s_ET_rec*(1/24)*s_RadSpec!Y26)),".")</f>
        <v>7807.4891648867606</v>
      </c>
      <c r="R26" s="15">
        <f>IFERROR((s_TR/(s_RadSpec!K26*s_EF_rec*(1/365)*s_ED_rec*s_RadSpec!P26*s_ET_rec*(1/24)*s_RadSpec!U26)),".")</f>
        <v>230774.17130375444</v>
      </c>
      <c r="S26" s="40">
        <f>IFERROR((s_C*s_EF_rec*(1/365)*s_ED_rec*s_RadSpec!Q26*s_ET_rec*(1/24)*s_RadSpec!V26),".")</f>
        <v>3.258412022875383E-3</v>
      </c>
      <c r="T26" s="40">
        <f>IFERROR((s_C*s_EF_rec*(1/365)*s_ED_rec*s_RadSpec!R26*s_ET_rec*(1/24)*s_RadSpec!W26),".")</f>
        <v>1.7846950424005214E-3</v>
      </c>
      <c r="U26" s="40">
        <f>IFERROR((s_C*s_EF_rec*(1/365)*s_ED_rec*s_RadSpec!S26*s_ET_rec*(1/24)*s_RadSpec!X26),".")</f>
        <v>2.4692051134898654E-3</v>
      </c>
      <c r="V26" s="40">
        <f>IFERROR((s_C*s_EF_rec*(1/365)*s_ED_rec*s_RadSpec!T26*s_ET_rec*(1/24)*s_RadSpec!Y26),".")</f>
        <v>2.8866845116254669E-3</v>
      </c>
      <c r="W26" s="40">
        <f>IFERROR((s_C*s_EF_rec*(1/365)*s_ED_rec*s_RadSpec!P26*s_ET_rec*(1/24)*s_RadSpec!U26),".")</f>
        <v>3.0619950825430263E-4</v>
      </c>
      <c r="X26" s="18"/>
      <c r="Y26" s="18"/>
      <c r="Z26" s="18"/>
      <c r="AA26" s="18"/>
      <c r="AB26" s="18"/>
      <c r="AC26" s="15">
        <f>IFERROR((s_TR/(s_RadSpec!G26*s_IFA_rec_adj)),".")</f>
        <v>3.1411556835285646E-2</v>
      </c>
      <c r="AD26" s="15">
        <f>IFERROR((s_TR/(s_RadSpec!J26*s_EF_rec*(1/365)*s_ED_rec*s_ET_rec*(1/24)*s_GSF_a)),".")</f>
        <v>29192.09688199533</v>
      </c>
      <c r="AE26" s="15">
        <f>IFERROR(IF(AND(AC26&lt;&gt;".",AD26&lt;&gt;"."),1/((1/AC26)+(1/AD26)),IF(AND(AC26&lt;&gt;".",AD26="."),1/((1/AC26)),IF(AND(AC26=".",AD26&lt;&gt;"."),1/((1/AD26)),IF(AND(AC26=".",AD26="."),".")))),".")</f>
        <v>3.1411523035560843E-2</v>
      </c>
      <c r="AF26" s="40">
        <f t="shared" si="3"/>
        <v>911.45833333333326</v>
      </c>
      <c r="AG26" s="40">
        <f t="shared" si="4"/>
        <v>0.57077625570776247</v>
      </c>
      <c r="AH26" s="45"/>
      <c r="AI26" s="45"/>
      <c r="AJ26" s="45"/>
      <c r="AK26" s="15">
        <f>IFERROR((s_TR/(s_RadSpec!H26*s_IFW_rec_adj)),".")</f>
        <v>2.237336674422767</v>
      </c>
      <c r="AL26" s="15">
        <f>IFERROR((s_TR/(s_RadSpec!L26*(1/8760)*s_DFA_rec_adj)),".")</f>
        <v>32790073.857835665</v>
      </c>
      <c r="AM26" s="2">
        <f t="shared" si="5"/>
        <v>2.2373365217645245</v>
      </c>
      <c r="AN26" s="40">
        <f t="shared" si="6"/>
        <v>10000</v>
      </c>
      <c r="AO26" s="40">
        <f t="shared" si="7"/>
        <v>0.22831050228310501</v>
      </c>
      <c r="AP26" s="18"/>
      <c r="AQ26" s="18"/>
      <c r="AR26" s="18"/>
      <c r="AS26" s="2">
        <f>IFERROR(s_TR/(s_RadSpec!E26*s_EF_rec*s_ED_rec*s_IRGL_rec*s_CF_game),".")</f>
        <v>17.21466689619556</v>
      </c>
      <c r="AT26" s="2">
        <f>IFERROR((AS26/(s_RadSpec!AH26*((s_Q_p_game*s_f_p_game*s_f_s_game*(s_RadSpec!BB26+s_R_es_past))+(s_Q_s_game*s_f_p_game)))),".")</f>
        <v>9333.2686467012009</v>
      </c>
      <c r="AU26" s="2">
        <f>IFERROR(AS26/(s_RadSpec!AH26*s_Q_w_game*(1/1000)),".")</f>
        <v>37423188.904772952</v>
      </c>
      <c r="AV26" s="2">
        <f>IFERROR(s_TR/(s_RadSpec!E26*s_EF_rec*s_ED_rec*s_IRGF_rec*s_CF_fowl),".")</f>
        <v>17.21466689619556</v>
      </c>
      <c r="AW26" s="2" t="str">
        <f>IFERROR((AS26/(s_RadSpec!AJ26*((s_Q_p_fowl*s_f_p_fowl*s_f_s_fowl*(s_RadSpec!BB26+s_R_es_past))+(s_Q_s_fowl*s_f_p_fowl)))),".")</f>
        <v>.</v>
      </c>
      <c r="AX26" s="2" t="str">
        <f>IFERROR(AS26/(s_RadSpec!AJ26*s_Q_w_fowl*(1/1000)),".")</f>
        <v>.</v>
      </c>
      <c r="AY26" s="19">
        <f t="shared" si="8"/>
        <v>1000</v>
      </c>
      <c r="AZ26" s="19">
        <f>IFERROR((s_C*s_IRGL_rec*s_EF_rec*s_ED_rec*s_CF_game*s_RadSpec!AH26)*((s_Q_p_game*s_f_p_game*s_f_s_game*(s_RadSpec!BB26+s_R_es_past))+(s_Q_s_game*s_f_p_game)),".")</f>
        <v>1.8444413793103449</v>
      </c>
      <c r="BA26" s="19">
        <f>IFERROR(s_C*s_RadSpec!AH26*s_Q_w_game*(1/1000)*s_EF_rec*s_ED_rec*s_IRGL_rec*s_CF_game,".")</f>
        <v>4.6000000000000001E-4</v>
      </c>
      <c r="BB26" s="19">
        <f t="shared" si="9"/>
        <v>1000</v>
      </c>
      <c r="BC26" s="19">
        <f>IFERROR((s_C*s_IRGF_rec*s_EF_rec*s_ED_rec*s_CF_fowl*s_RadSpec!AJ26)*((s_Q_p_fowl*s_f_p_fowl*s_f_s_fowl*(s_RadSpec!BB26+s_R_es_past))+(s_Q_s_fowl*s_f_p_fowl)),".")</f>
        <v>0</v>
      </c>
      <c r="BD26" s="19">
        <f>IFERROR(s_C*s_RadSpec!AJ26*s_Q_w_fowl*(1/1000)*s_EF_rec*s_ED_rec*s_IRGL_rec*s_CF_fowl,".")</f>
        <v>0</v>
      </c>
      <c r="BE26" s="5"/>
      <c r="BF26" s="5"/>
      <c r="BG26" s="5"/>
      <c r="BH26" s="5"/>
      <c r="BI26" s="5"/>
      <c r="BJ26" s="5"/>
    </row>
    <row r="27" spans="1:62" customFormat="1" x14ac:dyDescent="0.25">
      <c r="A27" s="44" t="s">
        <v>37</v>
      </c>
      <c r="B27" s="42" t="s">
        <v>1074</v>
      </c>
      <c r="C27" s="15" t="str">
        <f>IFERROR(((s_TR/(s_RadSpec!D27*s_IFS_rec_adj*(1/1000)))*1),".")</f>
        <v>.</v>
      </c>
      <c r="D27" s="15" t="str">
        <f>IFERROR(IF(A27="H-3",(s_TR/((s_RadSpec!G27*s_IFA_rec_adj*(1/17)*1000))*1),(s_TR/((s_RadSpec!G27*s_IFA_rec_adj*(1/s_PEF_wind)*1000))*1)),".")</f>
        <v>.</v>
      </c>
      <c r="E27" s="2">
        <f>IFERROR((TR/(s_RadSpec!F27*s_EF_rec*(1/365)*s_ED_rec*s_RadSpec!Q27*s_ET_rec*(1/24)*s_RadSpec!V27)),".")</f>
        <v>52943.217909722305</v>
      </c>
      <c r="F27" s="2">
        <f>IF(AND(C27&lt;&gt;".",D27&lt;&gt;".",E27&lt;&gt;"."),1/((1/C27)+(1/D27)+(1/E27)),IF(AND(C27&lt;&gt;".",D27&lt;&gt;".",E27="."), 1/((1/C27)+(1/D27)),IF(AND(C27&lt;&gt;".",D27=".",E27&lt;&gt;"."),1/((1/C27)+(1/E27)),IF(AND(C27=".",D27&lt;&gt;".",E27&lt;&gt;"."),1/((1/D27)+(1/E27)),IF(AND(C27&lt;&gt;".",D27=".",E27="."),1/((1/C27)),IF(AND(C27=".",D27&lt;&gt;".",E27="."),1/((1/D27)),IF(AND(C27=".",D27=".",E27&lt;&gt;"."),1/((1/E27)),IF(AND(C27=".",D27=".",E27="."),"."))))))))</f>
        <v>52943.217909722305</v>
      </c>
      <c r="G27" s="40">
        <f t="shared" si="1"/>
        <v>27.5</v>
      </c>
      <c r="H27" s="40">
        <f t="shared" si="2"/>
        <v>2.9420495991003873E-3</v>
      </c>
      <c r="I27" s="40">
        <f>IFERROR((s_C*s_EF_rec*(1/365)*s_ED_rec*s_RadSpec!Q27*s_ET_rec*(1/24)*s_RadSpec!V27),".")</f>
        <v>1.5465084238702558E-2</v>
      </c>
      <c r="J27" s="18"/>
      <c r="K27" s="18"/>
      <c r="L27" s="18"/>
      <c r="M27" s="18"/>
      <c r="N27" s="15">
        <f>IFERROR((s_TR/(s_RadSpec!F27*s_EF_rec*(1/365)*s_ED_rec*s_RadSpec!Q27*s_ET_rec*(1/24)*s_RadSpec!V27)),".")</f>
        <v>52943.217909722305</v>
      </c>
      <c r="O27" s="15">
        <f>IFERROR((s_TR/(s_RadSpec!M27*s_EF_rec*(1/365)*s_ED_rec*s_RadSpec!R27*s_ET_rec*(1/24)*s_RadSpec!W27)),".")</f>
        <v>462450.42997983145</v>
      </c>
      <c r="P27" s="15">
        <f>IFERROR((s_TR/(s_RadSpec!N27*s_EF_rec*(1/365)*s_ED_rec*s_RadSpec!S27*s_ET_rec*(1/24)*s_RadSpec!X27)),".")</f>
        <v>133349.0448685993</v>
      </c>
      <c r="Q27" s="15">
        <f>IFERROR((s_TR/(s_RadSpec!O27*s_EF_rec*(1/365)*s_ED_rec*s_RadSpec!T27*s_ET_rec*(1/24)*s_RadSpec!Y27)),".")</f>
        <v>72967.272467324976</v>
      </c>
      <c r="R27" s="15">
        <f>IFERROR((s_TR/(s_RadSpec!K27*s_EF_rec*(1/365)*s_ED_rec*s_RadSpec!P27*s_ET_rec*(1/24)*s_RadSpec!U27)),".")</f>
        <v>350006.73018331407</v>
      </c>
      <c r="S27" s="40">
        <f>IFERROR((s_C*s_EF_rec*(1/365)*s_ED_rec*s_RadSpec!Q27*s_ET_rec*(1/24)*s_RadSpec!V27),".")</f>
        <v>1.5465084238702558E-2</v>
      </c>
      <c r="T27" s="40">
        <f>IFERROR((s_C*s_EF_rec*(1/365)*s_ED_rec*s_RadSpec!R27*s_ET_rec*(1/24)*s_RadSpec!W27),".")</f>
        <v>5.2138215665612896E-3</v>
      </c>
      <c r="U27" s="40">
        <f>IFERROR((s_C*s_EF_rec*(1/365)*s_ED_rec*s_RadSpec!S27*s_ET_rec*(1/24)*s_RadSpec!X27),".")</f>
        <v>8.5043753149768638E-3</v>
      </c>
      <c r="V27" s="40">
        <f>IFERROR((s_C*s_EF_rec*(1/365)*s_ED_rec*s_RadSpec!T27*s_ET_rec*(1/24)*s_RadSpec!Y27),".")</f>
        <v>1.169048377554271E-2</v>
      </c>
      <c r="W27" s="40">
        <f>IFERROR((s_C*s_EF_rec*(1/365)*s_ED_rec*s_RadSpec!P27*s_ET_rec*(1/24)*s_RadSpec!U27),".")</f>
        <v>1.6668321090596244E-3</v>
      </c>
      <c r="X27" s="18"/>
      <c r="Y27" s="18"/>
      <c r="Z27" s="18"/>
      <c r="AA27" s="18"/>
      <c r="AB27" s="18"/>
      <c r="AC27" s="15" t="str">
        <f>IFERROR((s_TR/(s_RadSpec!G27*s_IFA_rec_adj)),".")</f>
        <v>.</v>
      </c>
      <c r="AD27" s="15">
        <f>IFERROR((s_TR/(s_RadSpec!J27*s_EF_rec*(1/365)*s_ED_rec*s_ET_rec*(1/24)*s_GSF_a)),".")</f>
        <v>931971.29176059633</v>
      </c>
      <c r="AE27" s="15">
        <f>IFERROR(IF(AND(AC27&lt;&gt;".",AD27&lt;&gt;"."),1/((1/AC27)+(1/AD27)),IF(AND(AC27&lt;&gt;".",AD27="."),1/((1/AC27)),IF(AND(AC27=".",AD27&lt;&gt;"."),1/((1/AD27)),IF(AND(AC27=".",AD27="."),".")))),".")</f>
        <v>931971.29176059633</v>
      </c>
      <c r="AF27" s="40">
        <f t="shared" si="3"/>
        <v>911.45833333333326</v>
      </c>
      <c r="AG27" s="40">
        <f t="shared" si="4"/>
        <v>0.57077625570776247</v>
      </c>
      <c r="AH27" s="45"/>
      <c r="AI27" s="45"/>
      <c r="AJ27" s="45"/>
      <c r="AK27" s="15" t="str">
        <f>IFERROR((s_TR/(s_RadSpec!H27*s_IFW_rec_adj)),".")</f>
        <v>.</v>
      </c>
      <c r="AL27" s="15">
        <f>IFERROR((s_TR/(s_RadSpec!L27*(1/8760)*s_DFA_rec_adj)),".")</f>
        <v>1488565257.6731746</v>
      </c>
      <c r="AM27" s="2">
        <f t="shared" si="5"/>
        <v>0</v>
      </c>
      <c r="AN27" s="40">
        <f t="shared" si="6"/>
        <v>10000</v>
      </c>
      <c r="AO27" s="40">
        <f t="shared" si="7"/>
        <v>0.22831050228310501</v>
      </c>
      <c r="AP27" s="18"/>
      <c r="AQ27" s="18"/>
      <c r="AR27" s="18"/>
      <c r="AS27" s="2" t="str">
        <f>IFERROR(s_TR/(s_RadSpec!E27*s_EF_rec*s_ED_rec*s_IRGL_rec*s_CF_game),".")</f>
        <v>.</v>
      </c>
      <c r="AT27" s="2" t="str">
        <f>IFERROR((AS27/(s_RadSpec!AH27*((s_Q_p_game*s_f_p_game*s_f_s_game*(s_RadSpec!BB27+s_R_es_past))+(s_Q_s_game*s_f_p_game)))),".")</f>
        <v>.</v>
      </c>
      <c r="AU27" s="2" t="str">
        <f>IFERROR(AS27/(s_RadSpec!AH27*s_Q_w_game*(1/1000)),".")</f>
        <v>.</v>
      </c>
      <c r="AV27" s="2" t="str">
        <f>IFERROR(s_TR/(s_RadSpec!E27*s_EF_rec*s_ED_rec*s_IRGF_rec*s_CF_fowl),".")</f>
        <v>.</v>
      </c>
      <c r="AW27" s="2" t="str">
        <f>IFERROR((AS27/(s_RadSpec!AJ27*((s_Q_p_fowl*s_f_p_fowl*s_f_s_fowl*(s_RadSpec!BB27+s_R_es_past))+(s_Q_s_fowl*s_f_p_fowl)))),".")</f>
        <v>.</v>
      </c>
      <c r="AX27" s="2" t="str">
        <f>IFERROR(AS27/(s_RadSpec!AJ27*s_Q_w_fowl*(1/1000)),".")</f>
        <v>.</v>
      </c>
      <c r="AY27" s="19">
        <f t="shared" si="8"/>
        <v>1000</v>
      </c>
      <c r="AZ27" s="19">
        <f>IFERROR((s_C*s_IRGL_rec*s_EF_rec*s_ED_rec*s_CF_game*s_RadSpec!AH27)*((s_Q_p_game*s_f_p_game*s_f_s_game*(s_RadSpec!BB27+s_R_es_past))+(s_Q_s_game*s_f_p_game)),".")</f>
        <v>256</v>
      </c>
      <c r="BA27" s="19">
        <f>IFERROR(s_C*s_RadSpec!AH27*s_Q_w_game*(1/1000)*s_EF_rec*s_ED_rec*s_IRGL_rec*s_CF_game,".")</f>
        <v>0.04</v>
      </c>
      <c r="BB27" s="19">
        <f t="shared" si="9"/>
        <v>1000</v>
      </c>
      <c r="BC27" s="19">
        <f>IFERROR((s_C*s_IRGF_rec*s_EF_rec*s_ED_rec*s_CF_fowl*s_RadSpec!AJ27)*((s_Q_p_fowl*s_f_p_fowl*s_f_s_fowl*(s_RadSpec!BB27+s_R_es_past))+(s_Q_s_fowl*s_f_p_fowl)),".")</f>
        <v>0</v>
      </c>
      <c r="BD27" s="19">
        <f>IFERROR(s_C*s_RadSpec!AJ27*s_Q_w_fowl*(1/1000)*s_EF_rec*s_ED_rec*s_IRGL_rec*s_CF_fowl,".")</f>
        <v>0</v>
      </c>
      <c r="BE27" s="5"/>
      <c r="BF27" s="5"/>
      <c r="BG27" s="5"/>
      <c r="BH27" s="5"/>
      <c r="BI27" s="5"/>
      <c r="BJ27" s="5"/>
    </row>
    <row r="28" spans="1:62" customFormat="1" x14ac:dyDescent="0.25">
      <c r="A28" s="44" t="s">
        <v>38</v>
      </c>
      <c r="B28" s="42" t="s">
        <v>1074</v>
      </c>
      <c r="C28" s="15" t="str">
        <f>IFERROR(((s_TR/(s_RadSpec!D28*s_IFS_rec_adj*(1/1000)))*1),".")</f>
        <v>.</v>
      </c>
      <c r="D28" s="15" t="str">
        <f>IFERROR(IF(A28="H-3",(s_TR/((s_RadSpec!G28*s_IFA_rec_adj*(1/17)*1000))*1),(s_TR/((s_RadSpec!G28*s_IFA_rec_adj*(1/s_PEF_wind)*1000))*1)),".")</f>
        <v>.</v>
      </c>
      <c r="E28" s="2">
        <f>IFERROR((TR/(s_RadSpec!F28*s_EF_rec*(1/365)*s_ED_rec*s_RadSpec!Q28*s_ET_rec*(1/24)*s_RadSpec!V28)),".")</f>
        <v>13.860595534145791</v>
      </c>
      <c r="F28" s="2">
        <f t="shared" ref="F28:F29" si="18">IF(AND(C28&lt;&gt;".",D28&lt;&gt;".",E28&lt;&gt;"."),1/((1/C28)+(1/D28)+(1/E28)),IF(AND(C28&lt;&gt;".",D28&lt;&gt;".",E28="."), 1/((1/C28)+(1/D28)),IF(AND(C28&lt;&gt;".",D28=".",E28&lt;&gt;"."),1/((1/C28)+(1/E28)),IF(AND(C28=".",D28&lt;&gt;".",E28&lt;&gt;"."),1/((1/D28)+(1/E28)),IF(AND(C28&lt;&gt;".",D28=".",E28="."),1/((1/C28)),IF(AND(C28=".",D28&lt;&gt;".",E28="."),1/((1/D28)),IF(AND(C28=".",D28=".",E28&lt;&gt;"."),1/((1/E28)),IF(AND(C28=".",D28=".",E28="."),"."))))))))</f>
        <v>13.860595534145792</v>
      </c>
      <c r="G28" s="40">
        <f t="shared" si="1"/>
        <v>27.5</v>
      </c>
      <c r="H28" s="40">
        <f t="shared" si="2"/>
        <v>2.9420495991003873E-3</v>
      </c>
      <c r="I28" s="40">
        <f>IFERROR((s_C*s_EF_rec*(1/365)*s_ED_rec*s_RadSpec!Q28*s_ET_rec*(1/24)*s_RadSpec!V28),".")</f>
        <v>3.4948630136986299E-2</v>
      </c>
      <c r="J28" s="18"/>
      <c r="K28" s="18"/>
      <c r="L28" s="18"/>
      <c r="M28" s="18"/>
      <c r="N28" s="15">
        <f>IFERROR((s_TR/(s_RadSpec!F28*s_EF_rec*(1/365)*s_ED_rec*s_RadSpec!Q28*s_ET_rec*(1/24)*s_RadSpec!V28)),".")</f>
        <v>13.860595534145791</v>
      </c>
      <c r="O28" s="15">
        <f>IFERROR((s_TR/(s_RadSpec!M28*s_EF_rec*(1/365)*s_ED_rec*s_RadSpec!R28*s_ET_rec*(1/24)*s_RadSpec!W28)),".")</f>
        <v>167.41395392776838</v>
      </c>
      <c r="P28" s="15">
        <f>IFERROR((s_TR/(s_RadSpec!N28*s_EF_rec*(1/365)*s_ED_rec*s_RadSpec!S28*s_ET_rec*(1/24)*s_RadSpec!X28)),".")</f>
        <v>40.463581863114456</v>
      </c>
      <c r="Q28" s="15">
        <f>IFERROR((s_TR/(s_RadSpec!O28*s_EF_rec*(1/365)*s_ED_rec*s_RadSpec!T28*s_ET_rec*(1/24)*s_RadSpec!Y28)),".")</f>
        <v>22.015679497240825</v>
      </c>
      <c r="R28" s="15">
        <f>IFERROR((s_TR/(s_RadSpec!K28*s_EF_rec*(1/365)*s_ED_rec*s_RadSpec!P28*s_ET_rec*(1/24)*s_RadSpec!U28)),".")</f>
        <v>302.08200616931532</v>
      </c>
      <c r="S28" s="40">
        <f>IFERROR((s_C*s_EF_rec*(1/365)*s_ED_rec*s_RadSpec!Q28*s_ET_rec*(1/24)*s_RadSpec!V28),".")</f>
        <v>3.4948630136986299E-2</v>
      </c>
      <c r="T28" s="40">
        <f>IFERROR((s_C*s_EF_rec*(1/365)*s_ED_rec*s_RadSpec!R28*s_ET_rec*(1/24)*s_RadSpec!W28),".")</f>
        <v>1.5673013411447109E-2</v>
      </c>
      <c r="U28" s="40">
        <f>IFERROR((s_C*s_EF_rec*(1/365)*s_ED_rec*s_RadSpec!S28*s_ET_rec*(1/24)*s_RadSpec!X28),".")</f>
        <v>2.2574200913242016E-2</v>
      </c>
      <c r="V28" s="40">
        <f>IFERROR((s_C*s_EF_rec*(1/365)*s_ED_rec*s_RadSpec!T28*s_ET_rec*(1/24)*s_RadSpec!Y28),".")</f>
        <v>2.6073143298415265E-2</v>
      </c>
      <c r="W28" s="40">
        <f>IFERROR((s_C*s_EF_rec*(1/365)*s_ED_rec*s_RadSpec!P28*s_ET_rec*(1/24)*s_RadSpec!U28),".")</f>
        <v>8.915430770972484E-3</v>
      </c>
      <c r="X28" s="18"/>
      <c r="Y28" s="18"/>
      <c r="Z28" s="18"/>
      <c r="AA28" s="18"/>
      <c r="AB28" s="18"/>
      <c r="AC28" s="15" t="str">
        <f>IFERROR((s_TR/(s_RadSpec!G28*s_IFA_rec_adj)),".")</f>
        <v>.</v>
      </c>
      <c r="AD28" s="15">
        <f>IFERROR((s_TR/(s_RadSpec!J28*s_EF_rec*(1/365)*s_ED_rec*s_ET_rec*(1/24)*s_GSF_a)),".")</f>
        <v>914.92303642351249</v>
      </c>
      <c r="AE28" s="15">
        <f t="shared" ref="AE28:AE29" si="19">IFERROR(IF(AND(AC28&lt;&gt;".",AD28&lt;&gt;"."),1/((1/AC28)+(1/AD28)),IF(AND(AC28&lt;&gt;".",AD28="."),1/((1/AC28)),IF(AND(AC28=".",AD28&lt;&gt;"."),1/((1/AD28)),IF(AND(AC28=".",AD28="."),".")))),".")</f>
        <v>914.92303642351249</v>
      </c>
      <c r="AF28" s="40">
        <f t="shared" si="3"/>
        <v>911.45833333333326</v>
      </c>
      <c r="AG28" s="40">
        <f t="shared" si="4"/>
        <v>0.57077625570776247</v>
      </c>
      <c r="AH28" s="45"/>
      <c r="AI28" s="45"/>
      <c r="AJ28" s="45"/>
      <c r="AK28" s="15" t="str">
        <f>IFERROR((s_TR/(s_RadSpec!H28*s_IFW_rec_adj)),".")</f>
        <v>.</v>
      </c>
      <c r="AL28" s="15">
        <f>IFERROR((s_TR/(s_RadSpec!L28*(1/8760)*s_DFA_rec_adj)),".")</f>
        <v>1053703.4970046068</v>
      </c>
      <c r="AM28" s="2">
        <f t="shared" si="5"/>
        <v>0</v>
      </c>
      <c r="AN28" s="40">
        <f t="shared" si="6"/>
        <v>10000</v>
      </c>
      <c r="AO28" s="40">
        <f t="shared" si="7"/>
        <v>0.22831050228310501</v>
      </c>
      <c r="AP28" s="18"/>
      <c r="AQ28" s="18"/>
      <c r="AR28" s="18"/>
      <c r="AS28" s="2" t="str">
        <f>IFERROR(s_TR/(s_RadSpec!E28*s_EF_rec*s_ED_rec*s_IRGL_rec*s_CF_game),".")</f>
        <v>.</v>
      </c>
      <c r="AT28" s="2" t="str">
        <f>IFERROR((AS28/(s_RadSpec!AH28*((s_Q_p_game*s_f_p_game*s_f_s_game*(s_RadSpec!BB28+s_R_es_past))+(s_Q_s_game*s_f_p_game)))),".")</f>
        <v>.</v>
      </c>
      <c r="AU28" s="2" t="str">
        <f>IFERROR(AS28/(s_RadSpec!AH28*s_Q_w_game*(1/1000)),".")</f>
        <v>.</v>
      </c>
      <c r="AV28" s="2" t="str">
        <f>IFERROR(s_TR/(s_RadSpec!E28*s_EF_rec*s_ED_rec*s_IRGF_rec*s_CF_fowl),".")</f>
        <v>.</v>
      </c>
      <c r="AW28" s="2" t="str">
        <f>IFERROR((AS28/(s_RadSpec!AJ28*((s_Q_p_fowl*s_f_p_fowl*s_f_s_fowl*(s_RadSpec!BB28+s_R_es_past))+(s_Q_s_fowl*s_f_p_fowl)))),".")</f>
        <v>.</v>
      </c>
      <c r="AX28" s="2" t="str">
        <f>IFERROR(AS28/(s_RadSpec!AJ28*s_Q_w_fowl*(1/1000)),".")</f>
        <v>.</v>
      </c>
      <c r="AY28" s="19">
        <f t="shared" si="8"/>
        <v>1000</v>
      </c>
      <c r="AZ28" s="19">
        <f>IFERROR((s_C*s_IRGL_rec*s_EF_rec*s_ED_rec*s_CF_game*s_RadSpec!AH28)*((s_Q_p_game*s_f_p_game*s_f_s_game*(s_RadSpec!BB28+s_R_es_past))+(s_Q_s_game*s_f_p_game)),".")</f>
        <v>256</v>
      </c>
      <c r="BA28" s="19">
        <f>IFERROR(s_C*s_RadSpec!AH28*s_Q_w_game*(1/1000)*s_EF_rec*s_ED_rec*s_IRGL_rec*s_CF_game,".")</f>
        <v>0.04</v>
      </c>
      <c r="BB28" s="19">
        <f t="shared" si="9"/>
        <v>1000</v>
      </c>
      <c r="BC28" s="19">
        <f>IFERROR((s_C*s_IRGF_rec*s_EF_rec*s_ED_rec*s_CF_fowl*s_RadSpec!AJ28)*((s_Q_p_fowl*s_f_p_fowl*s_f_s_fowl*(s_RadSpec!BB28+s_R_es_past))+(s_Q_s_fowl*s_f_p_fowl)),".")</f>
        <v>0</v>
      </c>
      <c r="BD28" s="19">
        <f>IFERROR(s_C*s_RadSpec!AJ28*s_Q_w_fowl*(1/1000)*s_EF_rec*s_ED_rec*s_IRGL_rec*s_CF_fowl,".")</f>
        <v>0</v>
      </c>
      <c r="BE28" s="5"/>
      <c r="BF28" s="5"/>
      <c r="BG28" s="5"/>
      <c r="BH28" s="5"/>
      <c r="BI28" s="5"/>
      <c r="BJ28" s="5"/>
    </row>
    <row r="29" spans="1:62" customFormat="1" x14ac:dyDescent="0.25">
      <c r="A29" s="44" t="s">
        <v>39</v>
      </c>
      <c r="B29" s="42" t="s">
        <v>1074</v>
      </c>
      <c r="C29" s="15" t="str">
        <f>IFERROR(((s_TR/(s_RadSpec!D29*s_IFS_rec_adj*(1/1000)))*1),".")</f>
        <v>.</v>
      </c>
      <c r="D29" s="15" t="str">
        <f>IFERROR(IF(A29="H-3",(s_TR/((s_RadSpec!G29*s_IFA_rec_adj*(1/17)*1000))*1),(s_TR/((s_RadSpec!G29*s_IFA_rec_adj*(1/s_PEF_wind)*1000))*1)),".")</f>
        <v>.</v>
      </c>
      <c r="E29" s="2">
        <f>IFERROR((TR/(s_RadSpec!F29*s_EF_rec*(1/365)*s_ED_rec*s_RadSpec!Q29*s_ET_rec*(1/24)*s_RadSpec!V29)),".")</f>
        <v>11.585981905766982</v>
      </c>
      <c r="F29" s="2">
        <f t="shared" si="18"/>
        <v>11.585981905766982</v>
      </c>
      <c r="G29" s="40">
        <f t="shared" si="1"/>
        <v>27.5</v>
      </c>
      <c r="H29" s="40">
        <f t="shared" si="2"/>
        <v>2.9420495991003873E-3</v>
      </c>
      <c r="I29" s="40">
        <f>IFERROR((s_C*s_EF_rec*(1/365)*s_ED_rec*s_RadSpec!Q29*s_ET_rec*(1/24)*s_RadSpec!V29),".")</f>
        <v>3.2139093782929382E-2</v>
      </c>
      <c r="J29" s="18"/>
      <c r="K29" s="18"/>
      <c r="L29" s="18"/>
      <c r="M29" s="18"/>
      <c r="N29" s="15">
        <f>IFERROR((s_TR/(s_RadSpec!F29*s_EF_rec*(1/365)*s_ED_rec*s_RadSpec!Q29*s_ET_rec*(1/24)*s_RadSpec!V29)),".")</f>
        <v>11.585981905766982</v>
      </c>
      <c r="O29" s="15">
        <f>IFERROR((s_TR/(s_RadSpec!M29*s_EF_rec*(1/365)*s_ED_rec*s_RadSpec!R29*s_ET_rec*(1/24)*s_RadSpec!W29)),".")</f>
        <v>124.94051885733288</v>
      </c>
      <c r="P29" s="15">
        <f>IFERROR((s_TR/(s_RadSpec!N29*s_EF_rec*(1/365)*s_ED_rec*s_RadSpec!S29*s_ET_rec*(1/24)*s_RadSpec!X29)),".")</f>
        <v>31.070717942879529</v>
      </c>
      <c r="Q29" s="15">
        <f>IFERROR((s_TR/(s_RadSpec!O29*s_EF_rec*(1/365)*s_ED_rec*s_RadSpec!T29*s_ET_rec*(1/24)*s_RadSpec!Y29)),".")</f>
        <v>16.512447635311144</v>
      </c>
      <c r="R29" s="15">
        <f>IFERROR((s_TR/(s_RadSpec!K29*s_EF_rec*(1/365)*s_ED_rec*s_RadSpec!P29*s_ET_rec*(1/24)*s_RadSpec!U29)),".")</f>
        <v>231.75896862625601</v>
      </c>
      <c r="S29" s="40">
        <f>IFERROR((s_C*s_EF_rec*(1/365)*s_ED_rec*s_RadSpec!Q29*s_ET_rec*(1/24)*s_RadSpec!V29),".")</f>
        <v>3.2139093782929382E-2</v>
      </c>
      <c r="T29" s="40">
        <f>IFERROR((s_C*s_EF_rec*(1/365)*s_ED_rec*s_RadSpec!R29*s_ET_rec*(1/24)*s_RadSpec!W29),".")</f>
        <v>1.6106062661060631E-2</v>
      </c>
      <c r="U29" s="40">
        <f>IFERROR((s_C*s_EF_rec*(1/365)*s_ED_rec*s_RadSpec!S29*s_ET_rec*(1/24)*s_RadSpec!X29),".")</f>
        <v>2.260830827486357E-2</v>
      </c>
      <c r="V29" s="40">
        <f>IFERROR((s_C*s_EF_rec*(1/365)*s_ED_rec*s_RadSpec!T29*s_ET_rec*(1/24)*s_RadSpec!Y29),".")</f>
        <v>2.6652626882905595E-2</v>
      </c>
      <c r="W29" s="40">
        <f>IFERROR((s_C*s_EF_rec*(1/365)*s_ED_rec*s_RadSpec!P29*s_ET_rec*(1/24)*s_RadSpec!U29),".")</f>
        <v>8.9693411611219825E-3</v>
      </c>
      <c r="X29" s="18"/>
      <c r="Y29" s="18"/>
      <c r="Z29" s="18"/>
      <c r="AA29" s="18"/>
      <c r="AB29" s="18"/>
      <c r="AC29" s="15" t="str">
        <f>IFERROR((s_TR/(s_RadSpec!G29*s_IFA_rec_adj)),".")</f>
        <v>.</v>
      </c>
      <c r="AD29" s="15">
        <f>IFERROR((s_TR/(s_RadSpec!J29*s_EF_rec*(1/365)*s_ED_rec*s_ET_rec*(1/24)*s_GSF_a)),".")</f>
        <v>707.77065081818864</v>
      </c>
      <c r="AE29" s="15">
        <f t="shared" si="19"/>
        <v>707.77065081818864</v>
      </c>
      <c r="AF29" s="40">
        <f t="shared" si="3"/>
        <v>911.45833333333326</v>
      </c>
      <c r="AG29" s="40">
        <f t="shared" si="4"/>
        <v>0.57077625570776247</v>
      </c>
      <c r="AH29" s="45"/>
      <c r="AI29" s="45"/>
      <c r="AJ29" s="45"/>
      <c r="AK29" s="15" t="str">
        <f>IFERROR((s_TR/(s_RadSpec!H29*s_IFW_rec_adj)),".")</f>
        <v>.</v>
      </c>
      <c r="AL29" s="15">
        <f>IFERROR((s_TR/(s_RadSpec!L29*(1/8760)*s_DFA_rec_adj)),".")</f>
        <v>815474.88029052177</v>
      </c>
      <c r="AM29" s="2">
        <f t="shared" si="5"/>
        <v>0</v>
      </c>
      <c r="AN29" s="40">
        <f t="shared" si="6"/>
        <v>10000</v>
      </c>
      <c r="AO29" s="40">
        <f t="shared" si="7"/>
        <v>0.22831050228310501</v>
      </c>
      <c r="AP29" s="18"/>
      <c r="AQ29" s="18"/>
      <c r="AR29" s="18"/>
      <c r="AS29" s="2" t="str">
        <f>IFERROR(s_TR/(s_RadSpec!E29*s_EF_rec*s_ED_rec*s_IRGL_rec*s_CF_game),".")</f>
        <v>.</v>
      </c>
      <c r="AT29" s="2" t="str">
        <f>IFERROR((AS29/(s_RadSpec!AH29*((s_Q_p_game*s_f_p_game*s_f_s_game*(s_RadSpec!BB29+s_R_es_past))+(s_Q_s_game*s_f_p_game)))),".")</f>
        <v>.</v>
      </c>
      <c r="AU29" s="2" t="str">
        <f>IFERROR(AS29/(s_RadSpec!AH29*s_Q_w_game*(1/1000)),".")</f>
        <v>.</v>
      </c>
      <c r="AV29" s="2" t="str">
        <f>IFERROR(s_TR/(s_RadSpec!E29*s_EF_rec*s_ED_rec*s_IRGF_rec*s_CF_fowl),".")</f>
        <v>.</v>
      </c>
      <c r="AW29" s="2" t="str">
        <f>IFERROR((AS29/(s_RadSpec!AJ29*((s_Q_p_fowl*s_f_p_fowl*s_f_s_fowl*(s_RadSpec!BB29+s_R_es_past))+(s_Q_s_fowl*s_f_p_fowl)))),".")</f>
        <v>.</v>
      </c>
      <c r="AX29" s="2" t="str">
        <f>IFERROR(AS29/(s_RadSpec!AJ29*s_Q_w_fowl*(1/1000)),".")</f>
        <v>.</v>
      </c>
      <c r="AY29" s="19">
        <f t="shared" si="8"/>
        <v>1000</v>
      </c>
      <c r="AZ29" s="19">
        <f>IFERROR((s_C*s_IRGL_rec*s_EF_rec*s_ED_rec*s_CF_game*s_RadSpec!AH29)*((s_Q_p_game*s_f_p_game*s_f_s_game*(s_RadSpec!BB29+s_R_es_past))+(s_Q_s_game*s_f_p_game)),".")</f>
        <v>256</v>
      </c>
      <c r="BA29" s="19">
        <f>IFERROR(s_C*s_RadSpec!AH29*s_Q_w_game*(1/1000)*s_EF_rec*s_ED_rec*s_IRGL_rec*s_CF_game,".")</f>
        <v>0.04</v>
      </c>
      <c r="BB29" s="19">
        <f t="shared" si="9"/>
        <v>1000</v>
      </c>
      <c r="BC29" s="19">
        <f>IFERROR((s_C*s_IRGF_rec*s_EF_rec*s_ED_rec*s_CF_fowl*s_RadSpec!AJ29)*((s_Q_p_fowl*s_f_p_fowl*s_f_s_fowl*(s_RadSpec!BB29+s_R_es_past))+(s_Q_s_fowl*s_f_p_fowl)),".")</f>
        <v>0</v>
      </c>
      <c r="BD29" s="19">
        <f>IFERROR(s_C*s_RadSpec!AJ29*s_Q_w_fowl*(1/1000)*s_EF_rec*s_ED_rec*s_IRGL_rec*s_CF_fowl,".")</f>
        <v>0</v>
      </c>
      <c r="BE29" s="5"/>
      <c r="BF29" s="5"/>
      <c r="BG29" s="5"/>
      <c r="BH29" s="5"/>
      <c r="BI29" s="5"/>
      <c r="BJ29" s="5"/>
    </row>
    <row r="30" spans="1:62" customFormat="1" x14ac:dyDescent="0.25">
      <c r="A30" s="44" t="s">
        <v>40</v>
      </c>
      <c r="B30" s="42" t="s">
        <v>1074</v>
      </c>
      <c r="C30" s="15">
        <f>IFERROR(((s_TR/(s_RadSpec!D30*s_IFS_rec_adj*(1/1000)))*1),".")</f>
        <v>1210.3460379322448</v>
      </c>
      <c r="D30" s="15">
        <f>IFERROR(IF(A30="H-3",(s_TR/((s_RadSpec!G30*s_IFA_rec_adj*(1/17)*1000))*1),(s_TR/((s_RadSpec!G30*s_IFA_rec_adj*(1/s_PEF_wind)*1000))*1)),".")</f>
        <v>60042.235700166173</v>
      </c>
      <c r="E30" s="2">
        <f>IFERROR((TR/(s_RadSpec!F30*s_EF_rec*(1/365)*s_ED_rec*s_RadSpec!Q30*s_ET_rec*(1/24)*s_RadSpec!V30)),".")</f>
        <v>2053193.4588595508</v>
      </c>
      <c r="F30" s="2">
        <f>IF(AND(C30&lt;&gt;".",D30&lt;&gt;".",E30&lt;&gt;"."),1/((1/C30)+(1/D30)+(1/E30)),IF(AND(C30&lt;&gt;".",D30&lt;&gt;".",E30="."), 1/((1/C30)+(1/D30)),IF(AND(C30&lt;&gt;".",D30=".",E30&lt;&gt;"."),1/((1/C30)+(1/E30)),IF(AND(C30=".",D30&lt;&gt;".",E30&lt;&gt;"."),1/((1/D30)+(1/E30)),IF(AND(C30&lt;&gt;".",D30=".",E30="."),1/((1/C30)),IF(AND(C30=".",D30&lt;&gt;".",E30="."),1/((1/D30)),IF(AND(C30=".",D30=".",E30&lt;&gt;"."),1/((1/E30)),IF(AND(C30=".",D30=".",E30="."),"."))))))))</f>
        <v>1185.7445208025658</v>
      </c>
      <c r="G30" s="40">
        <f t="shared" si="1"/>
        <v>27.5</v>
      </c>
      <c r="H30" s="40">
        <f t="shared" si="2"/>
        <v>2.9420495991003873E-3</v>
      </c>
      <c r="I30" s="40">
        <f>IFERROR((s_C*s_EF_rec*(1/365)*s_ED_rec*s_RadSpec!Q30*s_ET_rec*(1/24)*s_RadSpec!V30),".")</f>
        <v>3.4246575342465747E-3</v>
      </c>
      <c r="J30" s="18"/>
      <c r="K30" s="18"/>
      <c r="L30" s="18"/>
      <c r="M30" s="18"/>
      <c r="N30" s="15">
        <f>IFERROR((s_TR/(s_RadSpec!F30*s_EF_rec*(1/365)*s_ED_rec*s_RadSpec!Q30*s_ET_rec*(1/24)*s_RadSpec!V30)),".")</f>
        <v>2053193.4588595508</v>
      </c>
      <c r="O30" s="15">
        <f>IFERROR((s_TR/(s_RadSpec!M30*s_EF_rec*(1/365)*s_ED_rec*s_RadSpec!R30*s_ET_rec*(1/24)*s_RadSpec!W30)),".")</f>
        <v>34491247.374784395</v>
      </c>
      <c r="P30" s="15">
        <f>IFERROR((s_TR/(s_RadSpec!N30*s_EF_rec*(1/365)*s_ED_rec*s_RadSpec!S30*s_ET_rec*(1/24)*s_RadSpec!X30)),".")</f>
        <v>5091039.2414025599</v>
      </c>
      <c r="Q30" s="15">
        <f>IFERROR((s_TR/(s_RadSpec!O30*s_EF_rec*(1/365)*s_ED_rec*s_RadSpec!T30*s_ET_rec*(1/24)*s_RadSpec!Y30)),".")</f>
        <v>2789700.2139645391</v>
      </c>
      <c r="R30" s="15">
        <f>IFERROR((s_TR/(s_RadSpec!K30*s_EF_rec*(1/365)*s_ED_rec*s_RadSpec!P30*s_ET_rec*(1/24)*s_RadSpec!U30)),".")</f>
        <v>490350908.40998697</v>
      </c>
      <c r="S30" s="40">
        <f>IFERROR((s_C*s_EF_rec*(1/365)*s_ED_rec*s_RadSpec!Q30*s_ET_rec*(1/24)*s_RadSpec!V30),".")</f>
        <v>3.4246575342465747E-3</v>
      </c>
      <c r="T30" s="40">
        <f>IFERROR((s_C*s_EF_rec*(1/365)*s_ED_rec*s_RadSpec!R30*s_ET_rec*(1/24)*s_RadSpec!W30),".")</f>
        <v>6.990567778239013E-4</v>
      </c>
      <c r="U30" s="40">
        <f>IFERROR((s_C*s_EF_rec*(1/365)*s_ED_rec*s_RadSpec!S30*s_ET_rec*(1/24)*s_RadSpec!X30),".")</f>
        <v>1.9398519918123139E-3</v>
      </c>
      <c r="V30" s="40">
        <f>IFERROR((s_C*s_EF_rec*(1/365)*s_ED_rec*s_RadSpec!T30*s_ET_rec*(1/24)*s_RadSpec!Y30),".")</f>
        <v>2.6061024388517209E-3</v>
      </c>
      <c r="W30" s="40">
        <f>IFERROR((s_C*s_EF_rec*(1/365)*s_ED_rec*s_RadSpec!P30*s_ET_rec*(1/24)*s_RadSpec!U30),".")</f>
        <v>2.8538812785388124E-5</v>
      </c>
      <c r="X30" s="18"/>
      <c r="Y30" s="18"/>
      <c r="Z30" s="18"/>
      <c r="AA30" s="18"/>
      <c r="AB30" s="18"/>
      <c r="AC30" s="15">
        <f>IFERROR((s_TR/(s_RadSpec!G30*s_IFA_rec_adj)),".")</f>
        <v>0.19380725263078202</v>
      </c>
      <c r="AD30" s="15">
        <f>IFERROR((s_TR/(s_RadSpec!J30*s_EF_rec*(1/365)*s_ED_rec*s_ET_rec*(1/24)*s_GSF_a)),".")</f>
        <v>9342925.1540134512</v>
      </c>
      <c r="AE30" s="15">
        <f>IFERROR(IF(AND(AC30&lt;&gt;".",AD30&lt;&gt;"."),1/((1/AC30)+(1/AD30)),IF(AND(AC30&lt;&gt;".",AD30="."),1/((1/AC30)),IF(AND(AC30=".",AD30&lt;&gt;"."),1/((1/AD30)),IF(AND(AC30=".",AD30="."),".")))),".")</f>
        <v>0.19380724861049398</v>
      </c>
      <c r="AF30" s="40">
        <f t="shared" si="3"/>
        <v>911.45833333333326</v>
      </c>
      <c r="AG30" s="40">
        <f t="shared" si="4"/>
        <v>0.57077625570776247</v>
      </c>
      <c r="AH30" s="45"/>
      <c r="AI30" s="45"/>
      <c r="AJ30" s="45"/>
      <c r="AK30" s="15">
        <f>IFERROR((s_TR/(s_RadSpec!H30*s_IFW_rec_adj)),".")</f>
        <v>6.965728615213151</v>
      </c>
      <c r="AL30" s="15">
        <f>IFERROR((s_TR/(s_RadSpec!L30*(1/8760)*s_DFA_rec_adj)),".")</f>
        <v>10478168852.894972</v>
      </c>
      <c r="AM30" s="2">
        <f t="shared" si="5"/>
        <v>6.9657286105824401</v>
      </c>
      <c r="AN30" s="40">
        <f t="shared" si="6"/>
        <v>10000</v>
      </c>
      <c r="AO30" s="40">
        <f t="shared" si="7"/>
        <v>0.22831050228310501</v>
      </c>
      <c r="AP30" s="18"/>
      <c r="AQ30" s="18"/>
      <c r="AR30" s="18"/>
      <c r="AS30" s="2">
        <f>IFERROR(s_TR/(s_RadSpec!E30*s_EF_rec*s_ED_rec*s_IRGL_rec*s_CF_game),".")</f>
        <v>51.578295853105004</v>
      </c>
      <c r="AT30" s="2">
        <f>IFERROR((AS30/(s_RadSpec!AH30*((s_Q_p_game*s_f_p_game*s_f_s_game*(s_RadSpec!BB30+s_R_es_past))+(s_Q_s_game*s_f_p_game)))),".")</f>
        <v>16414.527985137363</v>
      </c>
      <c r="AU30" s="2">
        <f>IFERROR(AS30/(s_RadSpec!AH30*s_Q_w_game*(1/1000)),".")</f>
        <v>66126020.324493594</v>
      </c>
      <c r="AV30" s="2">
        <f>IFERROR(s_TR/(s_RadSpec!E30*s_EF_rec*s_ED_rec*s_IRGF_rec*s_CF_fowl),".")</f>
        <v>51.578295853105004</v>
      </c>
      <c r="AW30" s="2">
        <f>IFERROR((AS30/(s_RadSpec!AJ30*((s_Q_p_fowl*s_f_p_fowl*s_f_s_fowl*(s_RadSpec!BB30+s_R_es_past))+(s_Q_s_fowl*s_f_p_fowl)))),".")</f>
        <v>8.5355545522714298</v>
      </c>
      <c r="AX30" s="2">
        <f>IFERROR(AS30/(s_RadSpec!AJ30*s_Q_w_fowl*(1/1000)),".")</f>
        <v>34385.530568736671</v>
      </c>
      <c r="AY30" s="19">
        <f t="shared" si="8"/>
        <v>1000</v>
      </c>
      <c r="AZ30" s="19">
        <f>IFERROR((s_C*s_IRGL_rec*s_EF_rec*s_ED_rec*s_CF_game*s_RadSpec!AH30)*((s_Q_p_game*s_f_p_game*s_f_s_game*(s_RadSpec!BB30+s_R_es_past))+(s_Q_s_game*s_f_p_game)),".")</f>
        <v>3.1422344827586204</v>
      </c>
      <c r="BA30" s="19">
        <f>IFERROR(s_C*s_RadSpec!AH30*s_Q_w_game*(1/1000)*s_EF_rec*s_ED_rec*s_IRGL_rec*s_CF_game,".")</f>
        <v>7.7999999999999999E-4</v>
      </c>
      <c r="BB30" s="19">
        <f t="shared" si="9"/>
        <v>1000</v>
      </c>
      <c r="BC30" s="19">
        <f>IFERROR((s_C*s_IRGF_rec*s_EF_rec*s_ED_rec*s_CF_fowl*s_RadSpec!AJ30)*((s_Q_p_fowl*s_f_p_fowl*s_f_s_fowl*(s_RadSpec!BB30+s_R_es_past))+(s_Q_s_fowl*s_f_p_fowl)),".")</f>
        <v>6042.758620689654</v>
      </c>
      <c r="BD30" s="19">
        <f>IFERROR(s_C*s_RadSpec!AJ30*s_Q_w_fowl*(1/1000)*s_EF_rec*s_ED_rec*s_IRGL_rec*s_CF_fowl,".")</f>
        <v>1.5</v>
      </c>
      <c r="BE30" s="5"/>
      <c r="BF30" s="5"/>
      <c r="BG30" s="5"/>
      <c r="BH30" s="5"/>
      <c r="BI30" s="5"/>
      <c r="BJ30" s="5"/>
    </row>
    <row r="31" spans="1:62" x14ac:dyDescent="0.25">
      <c r="A31" s="57" t="s">
        <v>13</v>
      </c>
      <c r="B31" s="57" t="s">
        <v>1259</v>
      </c>
      <c r="C31" s="58">
        <f>1/SUM(1/C32,1/C33,1/C34,1/C35,1/C36,1/C37,1/C38,1/C41,1/C44)</f>
        <v>114.13560117368324</v>
      </c>
      <c r="D31" s="58">
        <f>1/SUM(1/D32,1/D33,1/D34,1/D35,1/D36,1/D37,1/D38,1/D41,1/D44)</f>
        <v>5242.5655666682942</v>
      </c>
      <c r="E31" s="58">
        <f>1/SUM(1/E32,1/E33,1/E34,1/E35,1/E36,1/E37,1/E38,1/E39,1/E40,1/E41,1/E42,1/E43)</f>
        <v>182.07126746054962</v>
      </c>
      <c r="F31" s="62">
        <f>1/SUM(1/F32,1/F33,1/F34,1/F35,1/F36,1/F37,1/F38,1/F39,1/F40,1/F41,1/F42,1/F43,1/F44)</f>
        <v>69.229979318519909</v>
      </c>
      <c r="G31" s="70"/>
      <c r="H31" s="70"/>
      <c r="I31" s="70"/>
      <c r="J31" s="47">
        <f>IFERROR(IF(SUM(G32:G44)&gt;0.01,1-EXP(-SUM(G32:G44)),SUM(G32:G44)),".")</f>
        <v>4.380754075489E-8</v>
      </c>
      <c r="K31" s="47">
        <f>IFERROR(IF(SUM(H32:H44)&gt;0.01,1-EXP(-SUM(H32:H44)),SUM(H32:H44)),".")</f>
        <v>9.5373151492648887E-10</v>
      </c>
      <c r="L31" s="47">
        <f>IFERROR(IF(SUM(I32:I44)&gt;0.01,1-EXP(-SUM(I32:I44)),SUM(I32:I44)),".")</f>
        <v>2.7461774006068126E-8</v>
      </c>
      <c r="M31" s="47">
        <f>IFERROR(IF(SUM(G32:I44)&gt;0.01,1-EXP(-SUM(G32:I44)),SUM(G32:I44)),".")</f>
        <v>7.2223046275884632E-8</v>
      </c>
      <c r="N31" s="59">
        <f>1/SUM(1/N32,1/N33,1/N34,1/N35,1/N36,1/N37,1/N38,1/N39,1/N40,1/N41,1/N42,1/N43)</f>
        <v>182.07126746054962</v>
      </c>
      <c r="O31" s="59">
        <f>1/SUM(1/O32,1/O33,1/O34,1/O35,1/O36,1/O37,1/O38,1/O39,1/O40,1/O41,1/O42,1/O43)</f>
        <v>1573.1548036729478</v>
      </c>
      <c r="P31" s="59">
        <f>1/SUM(1/P32,1/P33,1/P34,1/P35,1/P36,1/P37,1/P38,1/P39,1/P40,1/P41,1/P42,1/P43)</f>
        <v>411.42482873270251</v>
      </c>
      <c r="Q31" s="59">
        <f>1/SUM(1/Q32,1/Q33,1/Q34,1/Q35,1/Q36,1/Q37,1/Q38,1/Q39,1/Q40,1/Q41,1/Q42,1/Q43)</f>
        <v>244.59310101596932</v>
      </c>
      <c r="R31" s="59">
        <f>1/SUM(1/R32,1/R33,1/R34,1/R35,1/R36,1/R37,1/R38,1/R39,1/R40,1/R41,1/R42,1/R43)</f>
        <v>3427.3867455773629</v>
      </c>
      <c r="S31" s="70"/>
      <c r="T31" s="73"/>
      <c r="U31" s="73"/>
      <c r="V31" s="73"/>
      <c r="W31" s="73"/>
      <c r="X31" s="47">
        <f>IFERROR(IF(SUM(S32:S44)&gt;0.01,1-EXP(-SUM(S32:S44)),SUM(S32:S44)),".")</f>
        <v>2.7461774006068126E-8</v>
      </c>
      <c r="Y31" s="47">
        <f t="shared" ref="Y31:AB31" si="20">IFERROR(IF(SUM(T32:T44)&gt;0.01,1-EXP(-SUM(T32:T44)),SUM(T32:T44)),".")</f>
        <v>3.1783267535567198E-9</v>
      </c>
      <c r="Z31" s="47">
        <f t="shared" si="20"/>
        <v>1.2152888330539806E-8</v>
      </c>
      <c r="AA31" s="47">
        <f t="shared" si="20"/>
        <v>2.044211377684587E-8</v>
      </c>
      <c r="AB31" s="47">
        <f t="shared" si="20"/>
        <v>1.458837409128663E-9</v>
      </c>
      <c r="AC31" s="58">
        <f>1/SUM(1/AC32,1/AC33,1/AC34,1/AC35,1/AC36,1/AC37,1/AC38,1/AC41,1/AC44)</f>
        <v>1.6922208464830849E-2</v>
      </c>
      <c r="AD31" s="58">
        <f t="shared" ref="AD31" si="21">1/SUM(1/AD32,1/AD33,1/AD34,1/AD35,1/AD36,1/AD37,1/AD38,1/AD39,1/AD40,1/AD41,1/AD42,1/AD43,1/AD44)</f>
        <v>3964.1826829411029</v>
      </c>
      <c r="AE31" s="59">
        <f>1/SUM(1/AE32,1/AE33,1/AE34,1/AE35,1/AE36,1/AE37,1/AE38,1/AE39,1/AE40,1/AE41,1/AE42,1/AE43,1/AE44)</f>
        <v>1.6922136228019424E-2</v>
      </c>
      <c r="AF31" s="70"/>
      <c r="AG31" s="70"/>
      <c r="AH31" s="47">
        <f>IFERROR(IF(SUM(AF32:AF44)&gt;0.01,1-EXP(-SUM(AF32:AF44)),SUM(AF32:AF44)),".")</f>
        <v>2.9546970836527738E-4</v>
      </c>
      <c r="AI31" s="47">
        <f>IFERROR(IF(SUM(AG32:AG44)&gt;0.01,1-EXP(-SUM(AG32:AG44)),SUM(AG32:AG44)),".")</f>
        <v>1.2612940421530735E-9</v>
      </c>
      <c r="AJ31" s="47">
        <f>IFERROR(IF(SUM(AF32:AG44)&gt;0.01,1-EXP(-SUM(AF32:AG44)),SUM(AF32:AG44)),".")</f>
        <v>2.9547096965931957E-4</v>
      </c>
      <c r="AK31" s="58">
        <f>1/SUM(1/AK32,1/AK33,1/AK34,1/AK35,1/AK36,1/AK37,1/AK38,1/AK41,1/AK44)</f>
        <v>0.64824805495314008</v>
      </c>
      <c r="AL31" s="58">
        <f t="shared" ref="AL31:AM31" si="22">1/SUM(1/AL32,1/AL33,1/AL34,1/AL35,1/AL36,1/AL37,1/AL38,1/AL39,1/AL40,1/AL41,1/AL42,1/AL43,1/AL44)</f>
        <v>4518672.8717499552</v>
      </c>
      <c r="AM31" s="62">
        <f t="shared" si="22"/>
        <v>0.64824796195559564</v>
      </c>
      <c r="AN31" s="70"/>
      <c r="AO31" s="70"/>
      <c r="AP31" s="47">
        <f>IFERROR(IF(SUM(AN32:AN44)&gt;0.01,1-EXP(-SUM(AN32:AN44)),SUM(AN32:AN44)),".")</f>
        <v>7.713096802676E-6</v>
      </c>
      <c r="AQ31" s="47">
        <f>IFERROR(IF(SUM(AO32:AO44)&gt;0.01,1-EXP(-SUM(AO32:AO44)),SUM(AO32:AO44)),".")</f>
        <v>1.1065195781839462E-12</v>
      </c>
      <c r="AR31" s="47">
        <f>IFERROR(IF(SUM(AN32:AO44)&gt;0.01,1-EXP(-SUM(AN32:AO44)),SUM(AN32:AO44)),".")</f>
        <v>7.7130979091955763E-6</v>
      </c>
      <c r="AS31" s="61">
        <f>1/SUM(1/AS32,1/AS33,1/AS34,1/AS35,1/AS36,1/AS37,1/AS38,1/AS41,1/AS44)</f>
        <v>4.8123648731845368</v>
      </c>
      <c r="AT31" s="61">
        <f>1/SUM(1/AT32,1/AT33,1/AT34,1/AT35,1/AT36,1/AT37,1/AT38,1/AT41,1/AT44)</f>
        <v>1180.2616502249398</v>
      </c>
      <c r="AU31" s="61">
        <f>1/SUM(1/AU32,1/AU33,1/AU34,1/AU35,1/AU36,1/AU37,1/AU38,1/AU41,1/AU44)</f>
        <v>4785001.7699409313</v>
      </c>
      <c r="AV31" s="61">
        <f>1/SUM(1/AV32,1/AV33,1/AV34,1/AV35,1/AV36,1/AV37,1/AV38,1/AV41,1/AV44)</f>
        <v>4.8123648731845368</v>
      </c>
      <c r="AW31" s="61">
        <f>1/SUM(1/AW32,1/AW35)</f>
        <v>8.4431428394095462</v>
      </c>
      <c r="AX31" s="61">
        <f>1/SUM(1/AX32,1/AX35)</f>
        <v>34010.63471734849</v>
      </c>
      <c r="AY31" s="70"/>
      <c r="AZ31" s="70"/>
      <c r="BA31" s="70"/>
      <c r="BB31" s="70"/>
      <c r="BC31" s="70"/>
      <c r="BD31" s="70"/>
      <c r="BE31" s="47">
        <f>IFERROR(IF(SUM(AY32:AY44)&gt;0.01,1-EXP(-SUM(AY32:AY44)),SUM(AY32:AY44)),".")</f>
        <v>1.0389902120392E-6</v>
      </c>
      <c r="BF31" s="47">
        <f t="shared" ref="BF31:BJ31" si="23">IFERROR(IF(SUM(AZ32:AZ44)&gt;0.01,1-EXP(-SUM(AZ32:AZ44)),SUM(AZ32:AZ44)),".")</f>
        <v>4.236348778295963E-9</v>
      </c>
      <c r="BG31" s="47">
        <f t="shared" si="23"/>
        <v>1.04493169290128E-12</v>
      </c>
      <c r="BH31" s="47">
        <f t="shared" si="23"/>
        <v>1.0389902120392E-6</v>
      </c>
      <c r="BI31" s="47">
        <f t="shared" si="23"/>
        <v>5.9219654281599996E-7</v>
      </c>
      <c r="BJ31" s="47">
        <f t="shared" si="23"/>
        <v>1.4701284000000003E-10</v>
      </c>
    </row>
    <row r="32" spans="1:62" x14ac:dyDescent="0.25">
      <c r="A32" s="48" t="s">
        <v>1102</v>
      </c>
      <c r="B32" s="15">
        <v>1</v>
      </c>
      <c r="C32" s="60">
        <f>IFERROR(C3/$B32,0)</f>
        <v>986.74797469978205</v>
      </c>
      <c r="D32" s="60">
        <f>IFERROR(D3/$B32,0)</f>
        <v>45031.676775124637</v>
      </c>
      <c r="E32" s="60">
        <f>IFERROR(E3/$B32,0)</f>
        <v>4409167.9784243433</v>
      </c>
      <c r="F32" s="63">
        <f t="shared" ref="F32:F44" si="24">IF(AND(C32&lt;&gt;0,D32&lt;&gt;0,E32&lt;&gt;0),1/((1/C32)+(1/D32)+(1/E32)),IF(AND(C32&lt;&gt;0,D32&lt;&gt;0,E32=0), 1/((1/C32)+(1/D32)),IF(AND(C32&lt;&gt;0,D32=0,E32&lt;&gt;0),1/((1/C32)+(1/E32)),IF(AND(C32=0,D32&lt;&gt;0,E32&lt;&gt;0),1/((1/D32)+(1/E32)),IF(AND(C32&lt;&gt;0,D32=0,E32=0),1/((1/C32)),IF(AND(C32=0,D32&lt;&gt;0,E32=0),1/((1/D32)),IF(AND(C32=0,D32=0,E32&lt;&gt;0),1/((1/E32)),IF(AND(C32=0,D32=0,E32=0),0))))))))</f>
        <v>965.37826236443186</v>
      </c>
      <c r="G32" s="71">
        <f>IFERROR(s_RadSpec!$D$3*G3,".")*$B$32</f>
        <v>5.0671499999999998E-9</v>
      </c>
      <c r="H32" s="71">
        <f>IFERROR(s_RadSpec!$G$3*H3,".")*B32</f>
        <v>1.1103295187004861E-10</v>
      </c>
      <c r="I32" s="71">
        <f>IFERROR(s_RadSpec!$F$3*I3,".")*B32</f>
        <v>1.134000796628029E-12</v>
      </c>
      <c r="J32" s="49">
        <f t="shared" ref="J32:J44" si="25">IFERROR(IF(G32&gt;0.01,1-EXP(-G32),G32),".")</f>
        <v>5.0671499999999998E-9</v>
      </c>
      <c r="K32" s="49">
        <f t="shared" ref="K32:K44" si="26">IFERROR(IF(H32&gt;0.01,1-EXP(-H32),H32),".")</f>
        <v>1.1103295187004861E-10</v>
      </c>
      <c r="L32" s="49">
        <f t="shared" ref="L32:L44" si="27">IFERROR(IF(I32&gt;0.01,1-EXP(-I32),I32),".")</f>
        <v>1.134000796628029E-12</v>
      </c>
      <c r="M32" s="49">
        <f>IFERROR(IF(SUM(G32:I32)&gt;0.01,1-EXP(-SUM(G32:I32)),SUM(G32:I32)),".")</f>
        <v>5.1793169526666761E-9</v>
      </c>
      <c r="N32" s="60">
        <f>IFERROR(N3/$B32,0)</f>
        <v>4409167.9784243433</v>
      </c>
      <c r="O32" s="60">
        <f>IFERROR(O3/$B32,0)</f>
        <v>12438222.480461851</v>
      </c>
      <c r="P32" s="60">
        <f>IFERROR(P3/$B32,0)</f>
        <v>5031014.4548310284</v>
      </c>
      <c r="Q32" s="60">
        <f>IFERROR(Q3/$B32,0)</f>
        <v>4831566.4574637096</v>
      </c>
      <c r="R32" s="60">
        <f>IFERROR(R3/$B32,0)</f>
        <v>14198351.963825637</v>
      </c>
      <c r="S32" s="71">
        <f>IFERROR(s_RadSpec!$F$3*S3,".")*$B$32</f>
        <v>1.134000796628029E-12</v>
      </c>
      <c r="T32" s="71">
        <f>IFERROR(s_RadSpec!$M$3*T3,".")*$B$32</f>
        <v>4.0198669929357473E-13</v>
      </c>
      <c r="U32" s="71">
        <f>IFERROR(s_RadSpec!$N$3*U3,".")*$B$32</f>
        <v>9.9383534769985656E-13</v>
      </c>
      <c r="V32" s="71">
        <f>IFERROR(s_RadSpec!$O$3*V3,".")*$B$32</f>
        <v>1.0348610629739136E-12</v>
      </c>
      <c r="W32" s="71">
        <f>IFERROR(s_RadSpec!$K$3*W3,".")*$B$32</f>
        <v>3.5215354660448831E-13</v>
      </c>
      <c r="X32" s="49">
        <f>IFERROR(IF(S32&gt;0.01,1-EXP(-S32),S32),".")</f>
        <v>1.134000796628029E-12</v>
      </c>
      <c r="Y32" s="49">
        <f t="shared" ref="Y32:AB44" si="28">IFERROR(IF(T32&gt;0.01,1-EXP(-T32),T32),".")</f>
        <v>4.0198669929357473E-13</v>
      </c>
      <c r="Z32" s="49">
        <f t="shared" si="28"/>
        <v>9.9383534769985656E-13</v>
      </c>
      <c r="AA32" s="49">
        <f t="shared" si="28"/>
        <v>1.0348610629739136E-12</v>
      </c>
      <c r="AB32" s="49">
        <f t="shared" si="28"/>
        <v>3.5215354660448831E-13</v>
      </c>
      <c r="AC32" s="60">
        <f>IFERROR(AC3/$B32,0)</f>
        <v>0.14535543947308655</v>
      </c>
      <c r="AD32" s="60">
        <f>IFERROR(AD3/$B32,0)</f>
        <v>150953.09655277265</v>
      </c>
      <c r="AE32" s="60">
        <f t="shared" ref="AE32:AE38" si="29">IFERROR(IF(AND(AC32&lt;&gt;0,AD32&lt;&gt;0),1/((1/AC32)+(1/AD32)),IF(AND(AC32&lt;&gt;0,AD32=0),1/((1/AC32)),IF(AND(AC32=0,AD32&lt;&gt;0),1/((1/AD32)),IF(AND(AC32=".",AD32="."),".")))),".")</f>
        <v>0.14535529950786608</v>
      </c>
      <c r="AF32" s="71">
        <f>IFERROR(s_RadSpec!$G$3*AF3,".")*$B$32</f>
        <v>3.4398437499999998E-5</v>
      </c>
      <c r="AG32" s="71">
        <f>IFERROR(s_RadSpec!$J$3*AG3,".")*$B$32</f>
        <v>3.3122871369863007E-11</v>
      </c>
      <c r="AH32" s="49">
        <f>IFERROR(IF(AF32&gt;0.01,1-EXP(-AF32),AF32),".")</f>
        <v>3.4398437499999998E-5</v>
      </c>
      <c r="AI32" s="49">
        <f>IFERROR(IF(AG32&gt;0.01,1-EXP(-AG32),AG32),".")</f>
        <v>3.3122871369863007E-11</v>
      </c>
      <c r="AJ32" s="49">
        <f>IFERROR(IF(SUM(AF32:AG32)&gt;0.01,1-EXP(-SUM(AF32:AG32)),SUM(AF32:AG32)),".")</f>
        <v>3.4398470622871367E-5</v>
      </c>
      <c r="AK32" s="60">
        <f>IFERROR(AK3/$B32,0)</f>
        <v>4.8262548262548259</v>
      </c>
      <c r="AL32" s="60">
        <f>IFERROR(AL3/$B32,0)</f>
        <v>165981612.80249557</v>
      </c>
      <c r="AM32" s="63">
        <f t="shared" ref="AM32:AM44" si="30">IFERROR(IF(AND(AK32&lt;&gt;0,AL32&lt;&gt;0),1/((1/AK32)+(1/AL32)),IF(AND(AK32&lt;&gt;0,AL32=0),1/((1/AK32)),IF(AND(AK32=0,AL32&lt;&gt;0),1/((1/AL32)),IF(AND(AK32=0,AL32=0),0)))),0)</f>
        <v>4.8262546859216009</v>
      </c>
      <c r="AN32" s="71">
        <f>IFERROR(s_RadSpec!$H$3*AN3,".")*$B$32</f>
        <v>1.0359999999999999E-6</v>
      </c>
      <c r="AO32" s="71">
        <f>IFERROR(s_RadSpec!$L$3*AO3,".")*$B$32</f>
        <v>3.0123818630136988E-14</v>
      </c>
      <c r="AP32" s="49">
        <f t="shared" ref="AP32:AP44" si="31">IFERROR(IF(AN32&gt;0.01,1-EXP(-AN32),AN32),".")</f>
        <v>1.0359999999999999E-6</v>
      </c>
      <c r="AQ32" s="49">
        <f t="shared" ref="AQ32:AQ44" si="32">IFERROR(IF(AO32&gt;0.01,1-EXP(-AO32),AO32),".")</f>
        <v>3.0123818630136988E-14</v>
      </c>
      <c r="AR32" s="49">
        <f t="shared" ref="AR32:AR44" si="33">IFERROR(IF(SUM(AN32:AO32)&gt;0.01,1-EXP(-SUM(AN32:AO32)),SUM(AN32:AO32)),".")</f>
        <v>1.0360000301238184E-6</v>
      </c>
      <c r="AS32" s="63">
        <f t="shared" ref="AS32:AX32" si="34">IFERROR(AS3/$B32,0)</f>
        <v>37.433555439095606</v>
      </c>
      <c r="AT32" s="63">
        <f t="shared" si="34"/>
        <v>9358.1522168442807</v>
      </c>
      <c r="AU32" s="63">
        <f t="shared" si="34"/>
        <v>37433555.439095609</v>
      </c>
      <c r="AV32" s="63">
        <f t="shared" si="34"/>
        <v>37.433555439095606</v>
      </c>
      <c r="AW32" s="63">
        <f t="shared" si="34"/>
        <v>779.84601807035676</v>
      </c>
      <c r="AX32" s="63">
        <f t="shared" si="34"/>
        <v>3119462.9532579673</v>
      </c>
      <c r="AY32" s="71">
        <f>IFERROR(s_RadSpec!$E$3*AY3,".")*$B$32</f>
        <v>1.3357E-7</v>
      </c>
      <c r="AZ32" s="71">
        <f>IFERROR(s_RadSpec!$E$3*AZ3,".")*$B$32</f>
        <v>5.3429351052873565E-10</v>
      </c>
      <c r="BA32" s="71">
        <f>IFERROR(s_RadSpec!$E$3*BA3,".")*$B$32</f>
        <v>1.3357000000000001E-13</v>
      </c>
      <c r="BB32" s="71">
        <f>IFERROR(s_RadSpec!$E$3*BB3,".")*$B$32</f>
        <v>1.3357E-7</v>
      </c>
      <c r="BC32" s="71">
        <f>IFERROR(s_RadSpec!$E$3*BC3,".")*$B$32</f>
        <v>6.4115221263448278E-9</v>
      </c>
      <c r="BD32" s="71">
        <f>IFERROR(s_RadSpec!$E$3*BD3,".")*$B$32</f>
        <v>1.6028400000000001E-12</v>
      </c>
      <c r="BE32" s="49">
        <f t="shared" ref="BE32:BE44" si="35">IFERROR(IF(AY32&gt;0.01,1-EXP(-AY32),AY32),".")</f>
        <v>1.3357E-7</v>
      </c>
      <c r="BF32" s="49">
        <f t="shared" ref="BF32:BJ44" si="36">IFERROR(IF(AZ32&gt;0.01,1-EXP(-AZ32),AZ32),".")</f>
        <v>5.3429351052873565E-10</v>
      </c>
      <c r="BG32" s="49">
        <f t="shared" si="36"/>
        <v>1.3357000000000001E-13</v>
      </c>
      <c r="BH32" s="49">
        <f t="shared" si="36"/>
        <v>1.3357E-7</v>
      </c>
      <c r="BI32" s="49">
        <f t="shared" si="36"/>
        <v>6.4115221263448278E-9</v>
      </c>
      <c r="BJ32" s="49">
        <f t="shared" si="36"/>
        <v>1.6028400000000001E-12</v>
      </c>
    </row>
    <row r="33" spans="1:62" x14ac:dyDescent="0.25">
      <c r="A33" s="48" t="s">
        <v>1078</v>
      </c>
      <c r="B33" s="15">
        <v>1</v>
      </c>
      <c r="C33" s="60">
        <f t="shared" ref="C33:E34" si="37">IFERROR(C13/$B33,0)</f>
        <v>1458.1616955504196</v>
      </c>
      <c r="D33" s="60">
        <f t="shared" si="37"/>
        <v>59267.49717500274</v>
      </c>
      <c r="E33" s="60">
        <f t="shared" si="37"/>
        <v>58258.523201431453</v>
      </c>
      <c r="F33" s="63">
        <f t="shared" si="24"/>
        <v>1389.2120256970827</v>
      </c>
      <c r="G33" s="71">
        <f>IFERROR(s_RadSpec!$D$13*G13,".")*$B$33</f>
        <v>3.4289750000000004E-9</v>
      </c>
      <c r="H33" s="71">
        <f>IFERROR(s_RadSpec!$G$13*H13,".")*B33</f>
        <v>8.4363272254203609E-11</v>
      </c>
      <c r="I33" s="71">
        <f>IFERROR(s_RadSpec!$F$13*I13,".")*B33</f>
        <v>8.5824351961553769E-11</v>
      </c>
      <c r="J33" s="49">
        <f t="shared" si="25"/>
        <v>3.4289750000000004E-9</v>
      </c>
      <c r="K33" s="49">
        <f t="shared" si="26"/>
        <v>8.4363272254203609E-11</v>
      </c>
      <c r="L33" s="49">
        <f t="shared" si="27"/>
        <v>8.5824351961553769E-11</v>
      </c>
      <c r="M33" s="49">
        <f t="shared" ref="M33:M44" si="38">IFERROR(IF(SUM(G33:I33)&gt;0.01,1-EXP(-SUM(G33:I33)),SUM(G33:I33)),".")</f>
        <v>3.5991626242157577E-9</v>
      </c>
      <c r="N33" s="60">
        <f t="shared" ref="N33:R34" si="39">IFERROR(N13/$B33,0)</f>
        <v>58258.523201431453</v>
      </c>
      <c r="O33" s="60">
        <f t="shared" si="39"/>
        <v>378753.26751475775</v>
      </c>
      <c r="P33" s="60">
        <f t="shared" si="39"/>
        <v>94562.145978174463</v>
      </c>
      <c r="Q33" s="60">
        <f t="shared" si="39"/>
        <v>62591.897285360843</v>
      </c>
      <c r="R33" s="60">
        <f t="shared" si="39"/>
        <v>3008142.2915478726</v>
      </c>
      <c r="S33" s="71">
        <f>IFERROR(s_RadSpec!$F$13*S13,".")*$B$33</f>
        <v>8.5824351961553769E-11</v>
      </c>
      <c r="T33" s="71">
        <f>IFERROR(s_RadSpec!$M$13*T13,".")*$B$33</f>
        <v>1.320120624386476E-11</v>
      </c>
      <c r="U33" s="71">
        <f>IFERROR(s_RadSpec!$N$13*U13,".")*$B$33</f>
        <v>5.287528057108634E-11</v>
      </c>
      <c r="V33" s="71">
        <f>IFERROR(s_RadSpec!$O$13*V13,".")*$B$33</f>
        <v>7.9882544176679105E-11</v>
      </c>
      <c r="W33" s="71">
        <f>IFERROR(s_RadSpec!$K$13*W13,".")*$B$33</f>
        <v>1.6621554153368174E-12</v>
      </c>
      <c r="X33" s="49">
        <f t="shared" ref="X33:X44" si="40">IFERROR(IF(S33&gt;0.01,1-EXP(-S33),S33),".")</f>
        <v>8.5824351961553769E-11</v>
      </c>
      <c r="Y33" s="49">
        <f t="shared" si="28"/>
        <v>1.320120624386476E-11</v>
      </c>
      <c r="Z33" s="49">
        <f t="shared" si="28"/>
        <v>5.287528057108634E-11</v>
      </c>
      <c r="AA33" s="49">
        <f t="shared" si="28"/>
        <v>7.9882544176679105E-11</v>
      </c>
      <c r="AB33" s="49">
        <f t="shared" si="28"/>
        <v>1.6621554153368174E-12</v>
      </c>
      <c r="AC33" s="60">
        <f>IFERROR(AC13/$B33,0)</f>
        <v>0.19130651388715905</v>
      </c>
      <c r="AD33" s="60">
        <f>IFERROR(AD13/$B33,0)</f>
        <v>114191.30743794216</v>
      </c>
      <c r="AE33" s="60">
        <f t="shared" si="29"/>
        <v>0.19130619338884999</v>
      </c>
      <c r="AF33" s="71">
        <f>IFERROR(s_RadSpec!$G$13*AF13,".")*$B$33</f>
        <v>2.613606770833333E-5</v>
      </c>
      <c r="AG33" s="71">
        <f>IFERROR(s_RadSpec!$J$13*AG13,".")*$B$33</f>
        <v>4.3786169999999991E-11</v>
      </c>
      <c r="AH33" s="49">
        <f t="shared" ref="AH33:AI44" si="41">IFERROR(IF(AF33&gt;0.01,1-EXP(-AF33),AF33),".")</f>
        <v>2.613606770833333E-5</v>
      </c>
      <c r="AI33" s="49">
        <f t="shared" si="41"/>
        <v>4.3786169999999991E-11</v>
      </c>
      <c r="AJ33" s="49">
        <f t="shared" ref="AJ33:AJ44" si="42">IFERROR(IF(SUM(AF33:AG33)&gt;0.01,1-EXP(-SUM(AF33:AG33)),SUM(AF33:AG33)),".")</f>
        <v>2.6136111494503329E-5</v>
      </c>
      <c r="AK33" s="60">
        <f t="shared" ref="AK33:AL34" si="43">IFERROR(AK13/$B33,0)</f>
        <v>8.0437580437580447</v>
      </c>
      <c r="AL33" s="60">
        <f t="shared" si="43"/>
        <v>127591307.80055784</v>
      </c>
      <c r="AM33" s="63">
        <f t="shared" si="30"/>
        <v>8.0437575366542262</v>
      </c>
      <c r="AN33" s="71">
        <f>IFERROR(s_RadSpec!$H$13*AN13,".")*$B$33</f>
        <v>6.215999999999999E-7</v>
      </c>
      <c r="AO33" s="71">
        <f>IFERROR(s_RadSpec!$L$13*AO13,".")*$B$33</f>
        <v>3.9187622465753418E-14</v>
      </c>
      <c r="AP33" s="49">
        <f t="shared" si="31"/>
        <v>6.215999999999999E-7</v>
      </c>
      <c r="AQ33" s="49">
        <f t="shared" si="32"/>
        <v>3.9187622465753418E-14</v>
      </c>
      <c r="AR33" s="49">
        <f t="shared" si="33"/>
        <v>6.2160003918762239E-7</v>
      </c>
      <c r="AS33" s="63">
        <f t="shared" ref="AS33:AX34" si="44">IFERROR(AS13/$B33,0)</f>
        <v>60.32818532818532</v>
      </c>
      <c r="AT33" s="63">
        <f t="shared" si="44"/>
        <v>7515.9699329134519</v>
      </c>
      <c r="AU33" s="63">
        <f t="shared" si="44"/>
        <v>30164092.66409266</v>
      </c>
      <c r="AV33" s="63">
        <f t="shared" si="44"/>
        <v>60.32818532818532</v>
      </c>
      <c r="AW33" s="63">
        <f t="shared" si="44"/>
        <v>0</v>
      </c>
      <c r="AX33" s="63">
        <f t="shared" si="44"/>
        <v>0</v>
      </c>
      <c r="AY33" s="71">
        <f>IFERROR(s_RadSpec!$E$13*AY13,".")*$B$33</f>
        <v>8.2879999999999998E-8</v>
      </c>
      <c r="AZ33" s="71">
        <f>IFERROR(s_RadSpec!$E$13*AZ13,".")*$B$33</f>
        <v>6.6525013333333336E-10</v>
      </c>
      <c r="BA33" s="71">
        <f>IFERROR(s_RadSpec!$E$13*BA13,".")*$B$33</f>
        <v>1.6576000000000002E-13</v>
      </c>
      <c r="BB33" s="71">
        <f>IFERROR(s_RadSpec!$E$13*BB13,".")*$B$33</f>
        <v>8.2879999999999998E-8</v>
      </c>
      <c r="BC33" s="71">
        <f>IFERROR(s_RadSpec!$E$13*BC13,".")*$B$33</f>
        <v>0</v>
      </c>
      <c r="BD33" s="71">
        <f>IFERROR(s_RadSpec!$E$13*BD13,".")*$B$33</f>
        <v>0</v>
      </c>
      <c r="BE33" s="49">
        <f t="shared" si="35"/>
        <v>8.2879999999999998E-8</v>
      </c>
      <c r="BF33" s="49">
        <f t="shared" si="36"/>
        <v>6.6525013333333336E-10</v>
      </c>
      <c r="BG33" s="49">
        <f t="shared" si="36"/>
        <v>1.6576000000000002E-13</v>
      </c>
      <c r="BH33" s="49">
        <f t="shared" si="36"/>
        <v>8.2879999999999998E-8</v>
      </c>
      <c r="BI33" s="49">
        <f t="shared" si="36"/>
        <v>0</v>
      </c>
      <c r="BJ33" s="49">
        <f t="shared" si="36"/>
        <v>0</v>
      </c>
    </row>
    <row r="34" spans="1:62" x14ac:dyDescent="0.25">
      <c r="A34" s="48" t="s">
        <v>1079</v>
      </c>
      <c r="B34" s="15">
        <v>1</v>
      </c>
      <c r="C34" s="60">
        <f t="shared" si="37"/>
        <v>11042.707671921153</v>
      </c>
      <c r="D34" s="60">
        <f t="shared" si="37"/>
        <v>111216247.72548941</v>
      </c>
      <c r="E34" s="60">
        <f t="shared" si="37"/>
        <v>563.12578557367203</v>
      </c>
      <c r="F34" s="63">
        <f t="shared" si="24"/>
        <v>535.79981973832184</v>
      </c>
      <c r="G34" s="71">
        <f>IFERROR(s_RadSpec!$D$14*G14,".")*$B$34</f>
        <v>4.5278750000000002E-10</v>
      </c>
      <c r="H34" s="71">
        <f>IFERROR(s_RadSpec!$G$14*H14,".")*B33</f>
        <v>4.4957459923853019E-14</v>
      </c>
      <c r="I34" s="71">
        <f>IFERROR(s_RadSpec!$F$14*I14,".")*B33</f>
        <v>8.8790109209905185E-9</v>
      </c>
      <c r="J34" s="49">
        <f t="shared" si="25"/>
        <v>4.5278750000000002E-10</v>
      </c>
      <c r="K34" s="49">
        <f t="shared" si="26"/>
        <v>4.4957459923853019E-14</v>
      </c>
      <c r="L34" s="49">
        <f t="shared" si="27"/>
        <v>8.8790109209905185E-9</v>
      </c>
      <c r="M34" s="49">
        <f t="shared" si="38"/>
        <v>9.331843378450443E-9</v>
      </c>
      <c r="N34" s="60">
        <f t="shared" si="39"/>
        <v>563.12578557367203</v>
      </c>
      <c r="O34" s="60">
        <f t="shared" si="39"/>
        <v>4311.3598537072066</v>
      </c>
      <c r="P34" s="60">
        <f t="shared" si="39"/>
        <v>1161.1886054354359</v>
      </c>
      <c r="Q34" s="60">
        <f t="shared" si="39"/>
        <v>700.24646293733485</v>
      </c>
      <c r="R34" s="60">
        <f t="shared" si="39"/>
        <v>12194.238192497642</v>
      </c>
      <c r="S34" s="71">
        <f>IFERROR(s_RadSpec!$F$14*S14,".")*$B$33</f>
        <v>8.8790109209905185E-9</v>
      </c>
      <c r="T34" s="71">
        <f>IFERROR(s_RadSpec!$M$14*T14,".")*$B$33</f>
        <v>1.1597269004814461E-9</v>
      </c>
      <c r="U34" s="71">
        <f>IFERROR(s_RadSpec!$N$14*U14,".")*$B$33</f>
        <v>4.3059327111852263E-9</v>
      </c>
      <c r="V34" s="71">
        <f>IFERROR(s_RadSpec!$O$14*V14,".")*$B$33</f>
        <v>7.1403431000942456E-9</v>
      </c>
      <c r="W34" s="71">
        <f>IFERROR(s_RadSpec!$K$14*W14,".")*$B$33</f>
        <v>4.1002971412155854E-10</v>
      </c>
      <c r="X34" s="49">
        <f t="shared" si="40"/>
        <v>8.8790109209905185E-9</v>
      </c>
      <c r="Y34" s="49">
        <f t="shared" si="28"/>
        <v>1.1597269004814461E-9</v>
      </c>
      <c r="Z34" s="49">
        <f t="shared" si="28"/>
        <v>4.3059327111852263E-9</v>
      </c>
      <c r="AA34" s="49">
        <f t="shared" si="28"/>
        <v>7.1403431000942456E-9</v>
      </c>
      <c r="AB34" s="49">
        <f t="shared" si="28"/>
        <v>4.1002971412155854E-10</v>
      </c>
      <c r="AC34" s="60">
        <f>IFERROR(AC14/$B34,0)</f>
        <v>358.98922097469313</v>
      </c>
      <c r="AD34" s="60">
        <f>IFERROR(AD14/$B34,0)</f>
        <v>10263.158548116005</v>
      </c>
      <c r="AE34" s="60">
        <f t="shared" si="29"/>
        <v>346.85671598817572</v>
      </c>
      <c r="AF34" s="71">
        <f>IFERROR(s_RadSpec!$G$14*AF14,".")*$B$33</f>
        <v>1.3927994791666666E-8</v>
      </c>
      <c r="AG34" s="71">
        <f>IFERROR(s_RadSpec!$J$14*AG14,".")*$B$33</f>
        <v>4.871794561643835E-10</v>
      </c>
      <c r="AH34" s="49">
        <f t="shared" si="41"/>
        <v>1.3927994791666666E-8</v>
      </c>
      <c r="AI34" s="49">
        <f t="shared" si="41"/>
        <v>4.871794561643835E-10</v>
      </c>
      <c r="AJ34" s="49">
        <f t="shared" si="42"/>
        <v>1.4415174247831049E-8</v>
      </c>
      <c r="AK34" s="60">
        <f t="shared" si="43"/>
        <v>81.406707912732003</v>
      </c>
      <c r="AL34" s="60">
        <f t="shared" si="43"/>
        <v>11722451.40417625</v>
      </c>
      <c r="AM34" s="63">
        <f t="shared" si="30"/>
        <v>81.406142586773854</v>
      </c>
      <c r="AN34" s="71">
        <f>IFERROR(s_RadSpec!$H$14*AN14,".")*$B$34</f>
        <v>6.1420000000000003E-8</v>
      </c>
      <c r="AO34" s="71">
        <f>IFERROR(s_RadSpec!$L$14*AO14,".")*$B$34</f>
        <v>4.2653194520547938E-13</v>
      </c>
      <c r="AP34" s="49">
        <f t="shared" si="31"/>
        <v>6.1420000000000003E-8</v>
      </c>
      <c r="AQ34" s="49">
        <f t="shared" si="32"/>
        <v>4.2653194520547938E-13</v>
      </c>
      <c r="AR34" s="49">
        <f t="shared" si="33"/>
        <v>6.1420426531945214E-8</v>
      </c>
      <c r="AS34" s="63">
        <f t="shared" si="44"/>
        <v>558.40964931874021</v>
      </c>
      <c r="AT34" s="63">
        <f t="shared" si="44"/>
        <v>12691128.39360773</v>
      </c>
      <c r="AU34" s="63">
        <f t="shared" si="44"/>
        <v>55840964931.874016</v>
      </c>
      <c r="AV34" s="63">
        <f t="shared" si="44"/>
        <v>558.40964931874021</v>
      </c>
      <c r="AW34" s="63">
        <f t="shared" si="44"/>
        <v>0</v>
      </c>
      <c r="AX34" s="63">
        <f t="shared" si="44"/>
        <v>0</v>
      </c>
      <c r="AY34" s="71">
        <f>IFERROR(s_RadSpec!$E$14*AY14,".")*$B$34</f>
        <v>8.9539999999999987E-9</v>
      </c>
      <c r="AZ34" s="71">
        <f>IFERROR(s_RadSpec!$E$14*AZ14,".")*$B$34</f>
        <v>3.9397600000000002E-13</v>
      </c>
      <c r="BA34" s="71">
        <f>IFERROR(s_RadSpec!$E$14*BA14,".")*$B$34</f>
        <v>8.9540000000000009E-17</v>
      </c>
      <c r="BB34" s="71">
        <f>IFERROR(s_RadSpec!$E$14*BB14,".")*$B$34</f>
        <v>8.9539999999999987E-9</v>
      </c>
      <c r="BC34" s="71">
        <f>IFERROR(s_RadSpec!$E$14*BC14,".")*$B$34</f>
        <v>0</v>
      </c>
      <c r="BD34" s="71">
        <f>IFERROR(s_RadSpec!$E$14*BD14,".")*$B$34</f>
        <v>0</v>
      </c>
      <c r="BE34" s="49">
        <f t="shared" si="35"/>
        <v>8.9539999999999987E-9</v>
      </c>
      <c r="BF34" s="49">
        <f t="shared" si="36"/>
        <v>3.9397600000000002E-13</v>
      </c>
      <c r="BG34" s="49">
        <f t="shared" si="36"/>
        <v>8.9540000000000009E-17</v>
      </c>
      <c r="BH34" s="49">
        <f t="shared" si="36"/>
        <v>8.9539999999999987E-9</v>
      </c>
      <c r="BI34" s="49">
        <f t="shared" si="36"/>
        <v>0</v>
      </c>
      <c r="BJ34" s="49">
        <f t="shared" si="36"/>
        <v>0</v>
      </c>
    </row>
    <row r="35" spans="1:62" x14ac:dyDescent="0.25">
      <c r="A35" s="48" t="s">
        <v>1080</v>
      </c>
      <c r="B35" s="15">
        <v>1</v>
      </c>
      <c r="C35" s="60">
        <f>IFERROR(C30/$B35,0)</f>
        <v>1210.3460379322448</v>
      </c>
      <c r="D35" s="60">
        <f>IFERROR(D30/$B35,0)</f>
        <v>60042.235700166173</v>
      </c>
      <c r="E35" s="60">
        <f>IFERROR(E30/$B35,0)</f>
        <v>2053193.4588595508</v>
      </c>
      <c r="F35" s="63">
        <f t="shared" si="24"/>
        <v>1185.7445208025658</v>
      </c>
      <c r="G35" s="71">
        <f>IFERROR(s_RadSpec!$D$30*G30,".")*$B$35</f>
        <v>4.1310500000000001E-9</v>
      </c>
      <c r="H35" s="71">
        <f>IFERROR(s_RadSpec!$G$30*H30,".")*B35</f>
        <v>8.327471390253647E-11</v>
      </c>
      <c r="I35" s="71">
        <f>IFERROR(s_RadSpec!$F$30*I30,".")*B35</f>
        <v>2.4352308246575339E-12</v>
      </c>
      <c r="J35" s="49">
        <f t="shared" si="25"/>
        <v>4.1310500000000001E-9</v>
      </c>
      <c r="K35" s="49">
        <f t="shared" si="26"/>
        <v>8.327471390253647E-11</v>
      </c>
      <c r="L35" s="49">
        <f t="shared" si="27"/>
        <v>2.4352308246575339E-12</v>
      </c>
      <c r="M35" s="49">
        <f t="shared" si="38"/>
        <v>4.2167599447271945E-9</v>
      </c>
      <c r="N35" s="60">
        <f>IFERROR(N30/$B35,0)</f>
        <v>2053193.4588595508</v>
      </c>
      <c r="O35" s="60">
        <f>IFERROR(O30/$B35,0)</f>
        <v>34491247.374784395</v>
      </c>
      <c r="P35" s="60">
        <f>IFERROR(P30/$B35,0)</f>
        <v>5091039.2414025599</v>
      </c>
      <c r="Q35" s="60">
        <f>IFERROR(Q30/$B35,0)</f>
        <v>2789700.2139645391</v>
      </c>
      <c r="R35" s="60">
        <f>IFERROR(R30/$B35,0)</f>
        <v>490350908.40998697</v>
      </c>
      <c r="S35" s="71">
        <f>IFERROR(s_RadSpec!$F$30*S30,".")*$B$35</f>
        <v>2.4352308246575339E-12</v>
      </c>
      <c r="T35" s="71">
        <f>IFERROR(s_RadSpec!$M$30*T30,".")*$B$35</f>
        <v>1.4496431357409717E-13</v>
      </c>
      <c r="U35" s="71">
        <f>IFERROR(s_RadSpec!$N$30*U30,".")*$B$35</f>
        <v>9.82117749032027E-13</v>
      </c>
      <c r="V35" s="71">
        <f>IFERROR(s_RadSpec!$O$30*V30,".")*$B$35</f>
        <v>1.7923072791016238E-12</v>
      </c>
      <c r="W35" s="71">
        <f>IFERROR(s_RadSpec!$K$30*W30,".")*$B$35</f>
        <v>1.0196779315068491E-14</v>
      </c>
      <c r="X35" s="49">
        <f t="shared" si="40"/>
        <v>2.4352308246575339E-12</v>
      </c>
      <c r="Y35" s="49">
        <f t="shared" si="28"/>
        <v>1.4496431357409717E-13</v>
      </c>
      <c r="Z35" s="49">
        <f t="shared" si="28"/>
        <v>9.82117749032027E-13</v>
      </c>
      <c r="AA35" s="49">
        <f t="shared" si="28"/>
        <v>1.7923072791016238E-12</v>
      </c>
      <c r="AB35" s="49">
        <f t="shared" si="28"/>
        <v>1.0196779315068491E-14</v>
      </c>
      <c r="AC35" s="60">
        <f>IFERROR(AC30/$B35,0)</f>
        <v>0.19380725263078202</v>
      </c>
      <c r="AD35" s="60">
        <f>IFERROR(AD30/$B35,0)</f>
        <v>9342925.1540134512</v>
      </c>
      <c r="AE35" s="60">
        <f t="shared" si="29"/>
        <v>0.19380724861049398</v>
      </c>
      <c r="AF35" s="71">
        <f>IFERROR(s_RadSpec!$G$30*AF30,".")*$B$35</f>
        <v>2.5798828124999997E-5</v>
      </c>
      <c r="AG35" s="71">
        <f>IFERROR(s_RadSpec!$J$30*AG30,".")*$B$35</f>
        <v>5.3516429999999987E-13</v>
      </c>
      <c r="AH35" s="49">
        <f t="shared" si="41"/>
        <v>2.5798828124999997E-5</v>
      </c>
      <c r="AI35" s="49">
        <f t="shared" si="41"/>
        <v>5.3516429999999987E-13</v>
      </c>
      <c r="AJ35" s="49">
        <f t="shared" si="42"/>
        <v>2.5798828660164297E-5</v>
      </c>
      <c r="AK35" s="60">
        <f>IFERROR(AK30/$B35,0)</f>
        <v>6.965728615213151</v>
      </c>
      <c r="AL35" s="60">
        <f>IFERROR(AL30/$B35,0)</f>
        <v>10478168852.894972</v>
      </c>
      <c r="AM35" s="63">
        <f t="shared" si="30"/>
        <v>6.9657286105824401</v>
      </c>
      <c r="AN35" s="71">
        <f>IFERROR(s_RadSpec!$H$30*AN30,".")*$B$35</f>
        <v>7.1779999999999993E-7</v>
      </c>
      <c r="AO35" s="71">
        <f>IFERROR(s_RadSpec!$L$30*AO30,".")*$B$35</f>
        <v>4.7718261369863009E-16</v>
      </c>
      <c r="AP35" s="49">
        <f t="shared" si="31"/>
        <v>7.1779999999999993E-7</v>
      </c>
      <c r="AQ35" s="49">
        <f t="shared" si="32"/>
        <v>4.7718261369863009E-16</v>
      </c>
      <c r="AR35" s="49">
        <f t="shared" si="33"/>
        <v>7.178000004771825E-7</v>
      </c>
      <c r="AS35" s="63">
        <f t="shared" ref="AS35:AX35" si="45">IFERROR(AS30/$B35,0)</f>
        <v>51.578295853105004</v>
      </c>
      <c r="AT35" s="63">
        <f t="shared" si="45"/>
        <v>16414.527985137363</v>
      </c>
      <c r="AU35" s="63">
        <f t="shared" si="45"/>
        <v>66126020.324493594</v>
      </c>
      <c r="AV35" s="63">
        <f t="shared" si="45"/>
        <v>51.578295853105004</v>
      </c>
      <c r="AW35" s="63">
        <f t="shared" si="45"/>
        <v>8.5355545522714298</v>
      </c>
      <c r="AX35" s="63">
        <f t="shared" si="45"/>
        <v>34385.530568736671</v>
      </c>
      <c r="AY35" s="71">
        <f>IFERROR(s_RadSpec!$E$30*AY30,".")*$B$35</f>
        <v>9.6940000000000006E-8</v>
      </c>
      <c r="AZ35" s="71">
        <f>IFERROR(s_RadSpec!$E$30*AZ30,".")*$B$35</f>
        <v>3.0460821075862066E-10</v>
      </c>
      <c r="BA35" s="71">
        <f>IFERROR(s_RadSpec!$E$30*BA30,".")*$B$35</f>
        <v>7.5613199999999997E-14</v>
      </c>
      <c r="BB35" s="71">
        <f>IFERROR(s_RadSpec!$E$30*BB30,".")*$B$35</f>
        <v>9.6940000000000006E-8</v>
      </c>
      <c r="BC35" s="71">
        <f>IFERROR(s_RadSpec!$E$30*BC30,".")*$B$35</f>
        <v>5.8578502068965512E-7</v>
      </c>
      <c r="BD35" s="71">
        <f>IFERROR(s_RadSpec!$E$30*BD30,".")*$B$35</f>
        <v>1.4541000000000002E-10</v>
      </c>
      <c r="BE35" s="49">
        <f t="shared" si="35"/>
        <v>9.6940000000000006E-8</v>
      </c>
      <c r="BF35" s="49">
        <f t="shared" si="36"/>
        <v>3.0460821075862066E-10</v>
      </c>
      <c r="BG35" s="49">
        <f t="shared" si="36"/>
        <v>7.5613199999999997E-14</v>
      </c>
      <c r="BH35" s="49">
        <f t="shared" si="36"/>
        <v>9.6940000000000006E-8</v>
      </c>
      <c r="BI35" s="49">
        <f t="shared" si="36"/>
        <v>5.8578502068965512E-7</v>
      </c>
      <c r="BJ35" s="49">
        <f t="shared" si="36"/>
        <v>1.4541000000000002E-10</v>
      </c>
    </row>
    <row r="36" spans="1:62" x14ac:dyDescent="0.25">
      <c r="A36" s="48" t="s">
        <v>1081</v>
      </c>
      <c r="B36" s="15">
        <v>1</v>
      </c>
      <c r="C36" s="60">
        <f>IFERROR(C26/$B36,0)</f>
        <v>472.50047250047243</v>
      </c>
      <c r="D36" s="60">
        <f>IFERROR(D26/$B36,0)</f>
        <v>9731.4216759803221</v>
      </c>
      <c r="E36" s="60">
        <f>IFERROR(E26/$B36,0)</f>
        <v>6844.7420330507548</v>
      </c>
      <c r="F36" s="63">
        <f t="shared" si="24"/>
        <v>422.78695666197422</v>
      </c>
      <c r="G36" s="71">
        <f>IFERROR(s_RadSpec!$D$26*G26,".")*$B$37</f>
        <v>1.0582E-8</v>
      </c>
      <c r="H36" s="71">
        <f>IFERROR(s_RadSpec!$G$26*H26,".")*B37</f>
        <v>5.137995419868917E-10</v>
      </c>
      <c r="I36" s="71">
        <f>IFERROR(s_RadSpec!$F$26*I26,".")*B37</f>
        <v>7.3048771974996688E-10</v>
      </c>
      <c r="J36" s="49">
        <f t="shared" si="25"/>
        <v>1.0582E-8</v>
      </c>
      <c r="K36" s="49">
        <f t="shared" si="26"/>
        <v>5.137995419868917E-10</v>
      </c>
      <c r="L36" s="49">
        <f t="shared" si="27"/>
        <v>7.3048771974996688E-10</v>
      </c>
      <c r="M36" s="49">
        <f t="shared" si="38"/>
        <v>1.1826287261736858E-8</v>
      </c>
      <c r="N36" s="60">
        <f>IFERROR(N26/$B36,0)</f>
        <v>6844.7420330507548</v>
      </c>
      <c r="O36" s="60">
        <f>IFERROR(O26/$B36,0)</f>
        <v>41425.879994943381</v>
      </c>
      <c r="P36" s="60">
        <f>IFERROR(P26/$B36,0)</f>
        <v>11870.169747819056</v>
      </c>
      <c r="Q36" s="60">
        <f>IFERROR(Q26/$B36,0)</f>
        <v>7807.4891648867606</v>
      </c>
      <c r="R36" s="60">
        <f>IFERROR(R26/$B36,0)</f>
        <v>230774.17130375444</v>
      </c>
      <c r="S36" s="71">
        <f>IFERROR(s_RadSpec!$F$26*S26,".")*$B$37</f>
        <v>7.3048771974996688E-10</v>
      </c>
      <c r="T36" s="71">
        <f>IFERROR(s_RadSpec!$M$26*T26,".")*$B$37</f>
        <v>1.2069749636242658E-10</v>
      </c>
      <c r="U36" s="71">
        <f>IFERROR(s_RadSpec!$N$26*U26,".")*$B$37</f>
        <v>4.2122396783067601E-10</v>
      </c>
      <c r="V36" s="71">
        <f>IFERROR(s_RadSpec!$O$26*V26,".")*$B$37</f>
        <v>6.4041075106282493E-10</v>
      </c>
      <c r="W36" s="71">
        <f>IFERROR(s_RadSpec!$K$26*W26,".")*$B$37</f>
        <v>2.1666202815300305E-11</v>
      </c>
      <c r="X36" s="49">
        <f t="shared" si="40"/>
        <v>7.3048771974996688E-10</v>
      </c>
      <c r="Y36" s="49">
        <f t="shared" si="28"/>
        <v>1.2069749636242658E-10</v>
      </c>
      <c r="Z36" s="49">
        <f t="shared" si="28"/>
        <v>4.2122396783067601E-10</v>
      </c>
      <c r="AA36" s="49">
        <f t="shared" si="28"/>
        <v>6.4041075106282493E-10</v>
      </c>
      <c r="AB36" s="49">
        <f t="shared" si="28"/>
        <v>2.1666202815300305E-11</v>
      </c>
      <c r="AC36" s="60">
        <f>IFERROR(AC26/$B36,0)</f>
        <v>3.1411556835285646E-2</v>
      </c>
      <c r="AD36" s="60">
        <f>IFERROR(AD26/$B36,0)</f>
        <v>29192.09688199533</v>
      </c>
      <c r="AE36" s="60">
        <f t="shared" si="29"/>
        <v>3.1411523035560843E-2</v>
      </c>
      <c r="AF36" s="71">
        <f>IFERROR(s_RadSpec!$G$26*AF26,".")*$B$37</f>
        <v>1.5917708333333333E-4</v>
      </c>
      <c r="AG36" s="71">
        <f>IFERROR(s_RadSpec!$J$26*AG26,".")*$B$37</f>
        <v>1.7127923424657531E-10</v>
      </c>
      <c r="AH36" s="49">
        <f t="shared" si="41"/>
        <v>1.5917708333333333E-4</v>
      </c>
      <c r="AI36" s="49">
        <f t="shared" si="41"/>
        <v>1.7127923424657531E-10</v>
      </c>
      <c r="AJ36" s="49">
        <f t="shared" si="42"/>
        <v>1.5917725461256759E-4</v>
      </c>
      <c r="AK36" s="60">
        <f>IFERROR(AK26/$B36,0)</f>
        <v>2.237336674422767</v>
      </c>
      <c r="AL36" s="60">
        <f>IFERROR(AL26/$B36,0)</f>
        <v>32790073.857835665</v>
      </c>
      <c r="AM36" s="63">
        <f t="shared" si="30"/>
        <v>2.2373365217645245</v>
      </c>
      <c r="AN36" s="71">
        <f>IFERROR(s_RadSpec!$H$26*AN26,".")*$B$37</f>
        <v>2.2347999999999998E-6</v>
      </c>
      <c r="AO36" s="71">
        <f>IFERROR(s_RadSpec!$L$26*AO26,".")*$B$37</f>
        <v>1.5248517041095888E-13</v>
      </c>
      <c r="AP36" s="49">
        <f t="shared" si="31"/>
        <v>2.2347999999999998E-6</v>
      </c>
      <c r="AQ36" s="49">
        <f t="shared" si="32"/>
        <v>1.5248517041095888E-13</v>
      </c>
      <c r="AR36" s="49">
        <f t="shared" si="33"/>
        <v>2.2348001524851702E-6</v>
      </c>
      <c r="AS36" s="63">
        <f t="shared" ref="AS36:AX36" si="46">IFERROR(AS26/$B36,0)</f>
        <v>17.21466689619556</v>
      </c>
      <c r="AT36" s="63">
        <f t="shared" si="46"/>
        <v>9333.2686467012009</v>
      </c>
      <c r="AU36" s="63">
        <f t="shared" si="46"/>
        <v>37423188.904772952</v>
      </c>
      <c r="AV36" s="63">
        <f t="shared" si="46"/>
        <v>17.21466689619556</v>
      </c>
      <c r="AW36" s="63">
        <f t="shared" si="46"/>
        <v>0</v>
      </c>
      <c r="AX36" s="63">
        <f t="shared" si="46"/>
        <v>0</v>
      </c>
      <c r="AY36" s="71">
        <f>IFERROR(s_RadSpec!$E$26*AY26,".")*$B$37</f>
        <v>2.9045000000000001E-7</v>
      </c>
      <c r="AZ36" s="71">
        <f>IFERROR(s_RadSpec!$E$26*AZ26,".")*$B$37</f>
        <v>5.3571799862068974E-10</v>
      </c>
      <c r="BA36" s="71">
        <f>IFERROR(s_RadSpec!$E$26*BA26,".")*$B$37</f>
        <v>1.3360700000000001E-13</v>
      </c>
      <c r="BB36" s="71">
        <f>IFERROR(s_RadSpec!$E$26*BB26,".")*$B$37</f>
        <v>2.9045000000000001E-7</v>
      </c>
      <c r="BC36" s="71">
        <f>IFERROR(s_RadSpec!$E$26*BC26,".")*$B$37</f>
        <v>0</v>
      </c>
      <c r="BD36" s="71">
        <f>IFERROR(s_RadSpec!$E$26*BD26,".")*$B$37</f>
        <v>0</v>
      </c>
      <c r="BE36" s="49">
        <f t="shared" si="35"/>
        <v>2.9045000000000001E-7</v>
      </c>
      <c r="BF36" s="49">
        <f t="shared" si="36"/>
        <v>5.3571799862068974E-10</v>
      </c>
      <c r="BG36" s="49">
        <f t="shared" si="36"/>
        <v>1.3360700000000001E-13</v>
      </c>
      <c r="BH36" s="49">
        <f t="shared" si="36"/>
        <v>2.9045000000000001E-7</v>
      </c>
      <c r="BI36" s="49">
        <f t="shared" si="36"/>
        <v>0</v>
      </c>
      <c r="BJ36" s="49">
        <f t="shared" si="36"/>
        <v>0</v>
      </c>
    </row>
    <row r="37" spans="1:62" x14ac:dyDescent="0.25">
      <c r="A37" s="48" t="s">
        <v>1082</v>
      </c>
      <c r="B37" s="15">
        <v>1</v>
      </c>
      <c r="C37" s="60">
        <f>IFERROR(C22/$B37,0)</f>
        <v>750.22975786334553</v>
      </c>
      <c r="D37" s="60">
        <f>IFERROR(D22/$B37,0)</f>
        <v>64967.907087167077</v>
      </c>
      <c r="E37" s="60">
        <f>IFERROR(E22/$B37,0)</f>
        <v>137664512881.95639</v>
      </c>
      <c r="F37" s="63">
        <f t="shared" si="24"/>
        <v>741.66522789954763</v>
      </c>
      <c r="G37" s="71">
        <f>IFERROR(s_RadSpec!$D$22*G22,".")*$B$37</f>
        <v>6.664625E-9</v>
      </c>
      <c r="H37" s="71">
        <f>IFERROR(s_RadSpec!$G$22*H22,".")*B37</f>
        <v>7.6961075462867024E-11</v>
      </c>
      <c r="I37" s="71">
        <f>IFERROR(s_RadSpec!$F$22*I22,".")*B37</f>
        <v>3.6320180817313216E-17</v>
      </c>
      <c r="J37" s="49">
        <f t="shared" si="25"/>
        <v>6.664625E-9</v>
      </c>
      <c r="K37" s="49">
        <f t="shared" si="26"/>
        <v>7.6961075462867024E-11</v>
      </c>
      <c r="L37" s="49">
        <f t="shared" si="27"/>
        <v>3.6320180817313216E-17</v>
      </c>
      <c r="M37" s="49">
        <f t="shared" si="38"/>
        <v>6.7415861117830477E-9</v>
      </c>
      <c r="N37" s="60">
        <f>IFERROR(N22/$B37,0)</f>
        <v>137664512881.95639</v>
      </c>
      <c r="O37" s="60">
        <f>IFERROR(O22/$B37,0)</f>
        <v>173250412900.54218</v>
      </c>
      <c r="P37" s="60">
        <f>IFERROR(P22/$B37,0)</f>
        <v>97472136775.20961</v>
      </c>
      <c r="Q37" s="60">
        <f>IFERROR(Q22/$B37,0)</f>
        <v>100057535399.63118</v>
      </c>
      <c r="R37" s="60">
        <f>IFERROR(R22/$B37,0)</f>
        <v>489574981441.57281</v>
      </c>
      <c r="S37" s="71">
        <f>IFERROR(s_RadSpec!$F$22*S22,".")*$B$37</f>
        <v>3.6320180817313216E-17</v>
      </c>
      <c r="T37" s="71">
        <f>IFERROR(s_RadSpec!$M$22*T22,".")*$B$37</f>
        <v>2.8859960079115923E-17</v>
      </c>
      <c r="U37" s="71">
        <f>IFERROR(s_RadSpec!$N$22*U22,".")*$B$37</f>
        <v>5.1296710684931498E-17</v>
      </c>
      <c r="V37" s="71">
        <f>IFERROR(s_RadSpec!$O$22*V22,".")*$B$37</f>
        <v>4.9971248842277884E-17</v>
      </c>
      <c r="W37" s="71">
        <f>IFERROR(s_RadSpec!$K$22*W22,".")*$B$37</f>
        <v>1.0212940181864079E-17</v>
      </c>
      <c r="X37" s="49">
        <f t="shared" si="40"/>
        <v>3.6320180817313216E-17</v>
      </c>
      <c r="Y37" s="49">
        <f t="shared" si="28"/>
        <v>2.8859960079115923E-17</v>
      </c>
      <c r="Z37" s="49">
        <f t="shared" si="28"/>
        <v>5.1296710684931498E-17</v>
      </c>
      <c r="AA37" s="49">
        <f t="shared" si="28"/>
        <v>4.9971248842277884E-17</v>
      </c>
      <c r="AB37" s="49">
        <f t="shared" si="28"/>
        <v>1.0212940181864079E-17</v>
      </c>
      <c r="AC37" s="60">
        <f>IFERROR(AC22/$B37,0)</f>
        <v>0.20970657462878114</v>
      </c>
      <c r="AD37" s="60">
        <f>IFERROR(AD22/$B37,0)</f>
        <v>474833.47459954425</v>
      </c>
      <c r="AE37" s="60">
        <f t="shared" si="29"/>
        <v>0.20970648201351624</v>
      </c>
      <c r="AF37" s="71">
        <f>IFERROR(s_RadSpec!$G$22*AF22,".")*$B$37</f>
        <v>2.3842838541666666E-5</v>
      </c>
      <c r="AG37" s="71">
        <f>IFERROR(s_RadSpec!$J$22*AG22,".")*$B$37</f>
        <v>1.0530007397260272E-11</v>
      </c>
      <c r="AH37" s="49">
        <f t="shared" si="41"/>
        <v>2.3842838541666666E-5</v>
      </c>
      <c r="AI37" s="49">
        <f t="shared" si="41"/>
        <v>1.0530007397260272E-11</v>
      </c>
      <c r="AJ37" s="49">
        <f t="shared" si="42"/>
        <v>2.3842849071674063E-5</v>
      </c>
      <c r="AK37" s="60">
        <f>IFERROR(AK22/$B37,0)</f>
        <v>4.3733053441791307</v>
      </c>
      <c r="AL37" s="60">
        <f>IFERROR(AL22/$B37,0)</f>
        <v>516692072.91134989</v>
      </c>
      <c r="AM37" s="63">
        <f t="shared" si="30"/>
        <v>4.3733053071632746</v>
      </c>
      <c r="AN37" s="71">
        <f>IFERROR(s_RadSpec!$H$22*AN22,".")*$B$37</f>
        <v>1.1432999999999999E-6</v>
      </c>
      <c r="AO37" s="71">
        <f>IFERROR(s_RadSpec!$L$22*AO22,".")*$B$37</f>
        <v>9.676943506849314E-15</v>
      </c>
      <c r="AP37" s="49">
        <f t="shared" si="31"/>
        <v>1.1432999999999999E-6</v>
      </c>
      <c r="AQ37" s="49">
        <f t="shared" si="32"/>
        <v>9.676943506849314E-15</v>
      </c>
      <c r="AR37" s="49">
        <f t="shared" si="33"/>
        <v>1.1433000096769435E-6</v>
      </c>
      <c r="AS37" s="63">
        <f t="shared" ref="AS37:AX37" si="47">IFERROR(AS22/$B37,0)</f>
        <v>32.5626831650928</v>
      </c>
      <c r="AT37" s="63">
        <f t="shared" si="47"/>
        <v>2348.4261517367477</v>
      </c>
      <c r="AU37" s="63">
        <f t="shared" si="47"/>
        <v>9577259.7544390578</v>
      </c>
      <c r="AV37" s="63">
        <f t="shared" si="47"/>
        <v>32.5626831650928</v>
      </c>
      <c r="AW37" s="63">
        <f t="shared" si="47"/>
        <v>0</v>
      </c>
      <c r="AX37" s="63">
        <f t="shared" si="47"/>
        <v>0</v>
      </c>
      <c r="AY37" s="71">
        <f>IFERROR(s_RadSpec!$E$22*AY22,".")*$B$37</f>
        <v>1.5355E-7</v>
      </c>
      <c r="AZ37" s="71">
        <f>IFERROR(s_RadSpec!$E$22*AZ22,".")*$B$37</f>
        <v>2.1290854712643679E-9</v>
      </c>
      <c r="BA37" s="71">
        <f>IFERROR(s_RadSpec!$E$22*BA22,".")*$B$37</f>
        <v>5.2206999999999992E-13</v>
      </c>
      <c r="BB37" s="71">
        <f>IFERROR(s_RadSpec!$E$22*BB22,".")*$B$37</f>
        <v>1.5355E-7</v>
      </c>
      <c r="BC37" s="71">
        <f>IFERROR(s_RadSpec!$E$22*BC22,".")*$B$37</f>
        <v>0</v>
      </c>
      <c r="BD37" s="71">
        <f>IFERROR(s_RadSpec!$E$22*BD22,".")*$B$37</f>
        <v>0</v>
      </c>
      <c r="BE37" s="49">
        <f t="shared" si="35"/>
        <v>1.5355E-7</v>
      </c>
      <c r="BF37" s="49">
        <f t="shared" si="36"/>
        <v>2.1290854712643679E-9</v>
      </c>
      <c r="BG37" s="49">
        <f t="shared" si="36"/>
        <v>5.2206999999999992E-13</v>
      </c>
      <c r="BH37" s="49">
        <f t="shared" si="36"/>
        <v>1.5355E-7</v>
      </c>
      <c r="BI37" s="49">
        <f t="shared" si="36"/>
        <v>0</v>
      </c>
      <c r="BJ37" s="49">
        <f t="shared" si="36"/>
        <v>0</v>
      </c>
    </row>
    <row r="38" spans="1:62" x14ac:dyDescent="0.25">
      <c r="A38" s="48" t="s">
        <v>1083</v>
      </c>
      <c r="B38" s="15">
        <v>1</v>
      </c>
      <c r="C38" s="60">
        <f>IFERROR(C2/$B38,0)</f>
        <v>372.27309954582682</v>
      </c>
      <c r="D38" s="60">
        <f>IFERROR(D2/$B38,0)</f>
        <v>59497.81128319577</v>
      </c>
      <c r="E38" s="60">
        <f>IFERROR(E2/$B38,0)</f>
        <v>22563.515484730233</v>
      </c>
      <c r="F38" s="63">
        <f t="shared" si="24"/>
        <v>363.99020501602143</v>
      </c>
      <c r="G38" s="71">
        <f>IFERROR(s_RadSpec!$D$2*G2,".")*$B$38</f>
        <v>1.3431E-8</v>
      </c>
      <c r="H38" s="71">
        <f>IFERROR(s_RadSpec!$G$2*H2,".")*B38</f>
        <v>8.4036704748703466E-11</v>
      </c>
      <c r="I38" s="71">
        <f>IFERROR(s_RadSpec!$F$2*I2,".")*B38</f>
        <v>2.2159667465753419E-10</v>
      </c>
      <c r="J38" s="49">
        <f t="shared" si="25"/>
        <v>1.3431E-8</v>
      </c>
      <c r="K38" s="49">
        <f t="shared" si="26"/>
        <v>8.4036704748703466E-11</v>
      </c>
      <c r="L38" s="49">
        <f t="shared" si="27"/>
        <v>2.2159667465753419E-10</v>
      </c>
      <c r="M38" s="49">
        <f t="shared" si="38"/>
        <v>1.3736633379406237E-8</v>
      </c>
      <c r="N38" s="60">
        <f>IFERROR(N2/$B38,0)</f>
        <v>22563.515484730233</v>
      </c>
      <c r="O38" s="60">
        <f>IFERROR(O2/$B38,0)</f>
        <v>162869.7563737868</v>
      </c>
      <c r="P38" s="60">
        <f>IFERROR(P2/$B38,0)</f>
        <v>42726.692033913423</v>
      </c>
      <c r="Q38" s="60">
        <f>IFERROR(Q2/$B38,0)</f>
        <v>26430.008992544103</v>
      </c>
      <c r="R38" s="60">
        <f>IFERROR(R2/$B38,0)</f>
        <v>1237286.7495767623</v>
      </c>
      <c r="S38" s="71">
        <f>IFERROR(s_RadSpec!$F$2*S2,".")*$B$38</f>
        <v>2.2159667465753419E-10</v>
      </c>
      <c r="T38" s="71">
        <f>IFERROR(s_RadSpec!$M$2*T2,".")*$B$38</f>
        <v>3.0699376675710003E-11</v>
      </c>
      <c r="U38" s="71">
        <f>IFERROR(s_RadSpec!$N$2*U2,".")*$B$38</f>
        <v>1.1702286701791364E-10</v>
      </c>
      <c r="V38" s="71">
        <f>IFERROR(s_RadSpec!$O$2*V2,".")*$B$38</f>
        <v>1.8917889893304607E-10</v>
      </c>
      <c r="W38" s="71">
        <f>IFERROR(s_RadSpec!$K$2*W2,".")*$B$38</f>
        <v>4.0411004172721847E-12</v>
      </c>
      <c r="X38" s="49">
        <f t="shared" si="40"/>
        <v>2.2159667465753419E-10</v>
      </c>
      <c r="Y38" s="49">
        <f t="shared" si="28"/>
        <v>3.0699376675710003E-11</v>
      </c>
      <c r="Z38" s="49">
        <f t="shared" si="28"/>
        <v>1.1702286701791364E-10</v>
      </c>
      <c r="AA38" s="49">
        <f t="shared" si="28"/>
        <v>1.8917889893304607E-10</v>
      </c>
      <c r="AB38" s="49">
        <f t="shared" si="28"/>
        <v>4.0411004172721847E-12</v>
      </c>
      <c r="AC38" s="60">
        <f>IFERROR(AC2/$B38,0)</f>
        <v>0.19204993298257547</v>
      </c>
      <c r="AD38" s="60">
        <f>IFERROR(AD2/$B38,0)</f>
        <v>170121.74373407708</v>
      </c>
      <c r="AE38" s="60">
        <f t="shared" si="29"/>
        <v>0.19204971617821928</v>
      </c>
      <c r="AF38" s="71">
        <f>IFERROR(s_RadSpec!$G$2*AF2,".")*$B$38</f>
        <v>2.6034895833333331E-5</v>
      </c>
      <c r="AG38" s="71">
        <f>IFERROR(s_RadSpec!$J$2*AG2,".")*$B$38</f>
        <v>2.9390716849315062E-11</v>
      </c>
      <c r="AH38" s="49">
        <f t="shared" si="41"/>
        <v>2.6034895833333331E-5</v>
      </c>
      <c r="AI38" s="49">
        <f t="shared" si="41"/>
        <v>2.9390716849315062E-11</v>
      </c>
      <c r="AJ38" s="49">
        <f t="shared" si="42"/>
        <v>2.6034925224050181E-5</v>
      </c>
      <c r="AK38" s="60">
        <f>IFERROR(AK2/$B38,0)</f>
        <v>2.6445231924683976</v>
      </c>
      <c r="AL38" s="60">
        <f>IFERROR(AL2/$B38,0)</f>
        <v>191974639.16767657</v>
      </c>
      <c r="AM38" s="63">
        <f t="shared" si="30"/>
        <v>2.6445231560390918</v>
      </c>
      <c r="AN38" s="71">
        <f>IFERROR(s_RadSpec!$H$2*AN2,".")*$B$38</f>
        <v>1.8907E-6</v>
      </c>
      <c r="AO38" s="71">
        <f>IFERROR(s_RadSpec!$L$2*AO2,".")*$B$38</f>
        <v>2.6045106904109587E-14</v>
      </c>
      <c r="AP38" s="49">
        <f t="shared" si="31"/>
        <v>1.8907E-6</v>
      </c>
      <c r="AQ38" s="49">
        <f t="shared" si="32"/>
        <v>2.6045106904109587E-14</v>
      </c>
      <c r="AR38" s="49">
        <f t="shared" si="33"/>
        <v>1.8907000260451069E-6</v>
      </c>
      <c r="AS38" s="63">
        <f t="shared" ref="AS38:AX38" si="48">IFERROR(AS2/$B38,0)</f>
        <v>18.410781353560644</v>
      </c>
      <c r="AT38" s="63">
        <f t="shared" si="48"/>
        <v>104606.71223614001</v>
      </c>
      <c r="AU38" s="63">
        <f t="shared" si="48"/>
        <v>460269533.83901608</v>
      </c>
      <c r="AV38" s="63">
        <f t="shared" si="48"/>
        <v>18.410781353560644</v>
      </c>
      <c r="AW38" s="63">
        <f t="shared" si="48"/>
        <v>0</v>
      </c>
      <c r="AX38" s="63">
        <f t="shared" si="48"/>
        <v>0</v>
      </c>
      <c r="AY38" s="71">
        <f>IFERROR(s_RadSpec!$E$2*AY2,".")*$B$38</f>
        <v>2.7158E-7</v>
      </c>
      <c r="AZ38" s="71">
        <f>IFERROR(s_RadSpec!$E$2*AZ2,".")*$B$38</f>
        <v>4.7798080000000009E-11</v>
      </c>
      <c r="BA38" s="71">
        <f>IFERROR(s_RadSpec!$E$2*BA2,".")*$B$38</f>
        <v>1.0863200000000003E-14</v>
      </c>
      <c r="BB38" s="71">
        <f>IFERROR(s_RadSpec!$E$2*BB2,".")*$B$38</f>
        <v>2.7158E-7</v>
      </c>
      <c r="BC38" s="71">
        <f>IFERROR(s_RadSpec!$E$2*BC2,".")*$B$38</f>
        <v>0</v>
      </c>
      <c r="BD38" s="71">
        <f>IFERROR(s_RadSpec!$E$2*BD2,".")*$B$38</f>
        <v>0</v>
      </c>
      <c r="BE38" s="49">
        <f t="shared" si="35"/>
        <v>2.7158E-7</v>
      </c>
      <c r="BF38" s="49">
        <f t="shared" si="36"/>
        <v>4.7798080000000009E-11</v>
      </c>
      <c r="BG38" s="49">
        <f t="shared" si="36"/>
        <v>1.0863200000000003E-14</v>
      </c>
      <c r="BH38" s="49">
        <f t="shared" si="36"/>
        <v>2.7158E-7</v>
      </c>
      <c r="BI38" s="49">
        <f t="shared" si="36"/>
        <v>0</v>
      </c>
      <c r="BJ38" s="49">
        <f t="shared" si="36"/>
        <v>0</v>
      </c>
    </row>
    <row r="39" spans="1:62" x14ac:dyDescent="0.25">
      <c r="A39" s="48" t="s">
        <v>1084</v>
      </c>
      <c r="B39" s="15">
        <v>1</v>
      </c>
      <c r="C39" s="60">
        <f>IFERROR(C11/$B39,0)</f>
        <v>0</v>
      </c>
      <c r="D39" s="60">
        <f>IFERROR(D11/$B39,0)</f>
        <v>0</v>
      </c>
      <c r="E39" s="60">
        <f>IFERROR(E11/$B39,0)</f>
        <v>7803.6828653073735</v>
      </c>
      <c r="F39" s="63">
        <f t="shared" si="24"/>
        <v>7803.6828653073726</v>
      </c>
      <c r="G39" s="71">
        <f>IFERROR(s_RadSpec!$D$11*G11,".")*$B$39</f>
        <v>0</v>
      </c>
      <c r="H39" s="71">
        <f>IFERROR(s_RadSpec!$G$11*H11,".")*B39</f>
        <v>0</v>
      </c>
      <c r="I39" s="71">
        <f>IFERROR(s_RadSpec!$F$11*I11,".")*B39</f>
        <v>6.4072311577759864E-10</v>
      </c>
      <c r="J39" s="49">
        <f t="shared" si="25"/>
        <v>0</v>
      </c>
      <c r="K39" s="49">
        <f t="shared" si="26"/>
        <v>0</v>
      </c>
      <c r="L39" s="49">
        <f t="shared" si="27"/>
        <v>6.4072311577759864E-10</v>
      </c>
      <c r="M39" s="49">
        <f t="shared" si="38"/>
        <v>6.4072311577759864E-10</v>
      </c>
      <c r="N39" s="60">
        <f>IFERROR(N11/$B39,0)</f>
        <v>7803.6828653073735</v>
      </c>
      <c r="O39" s="60">
        <f>IFERROR(O11/$B39,0)</f>
        <v>40451.942218750562</v>
      </c>
      <c r="P39" s="60">
        <f>IFERROR(P11/$B39,0)</f>
        <v>11378.421484012571</v>
      </c>
      <c r="Q39" s="60">
        <f>IFERROR(Q11/$B39,0)</f>
        <v>7578.2236541004486</v>
      </c>
      <c r="R39" s="60">
        <f>IFERROR(R11/$B39,0)</f>
        <v>76421.87706804245</v>
      </c>
      <c r="S39" s="71">
        <f>IFERROR(s_RadSpec!$F$11*S11,".")*$B$39</f>
        <v>6.4072311577759864E-10</v>
      </c>
      <c r="T39" s="71">
        <f>IFERROR(s_RadSpec!$M$11*T11,".")*$B$39</f>
        <v>1.2360345945719178E-10</v>
      </c>
      <c r="U39" s="71">
        <f>IFERROR(s_RadSpec!$N$11*U11,".")*$B$39</f>
        <v>4.3942826401933931E-10</v>
      </c>
      <c r="V39" s="71">
        <f>IFERROR(s_RadSpec!$O$11*V11,".")*$B$39</f>
        <v>6.5978522516877481E-10</v>
      </c>
      <c r="W39" s="71">
        <f>IFERROR(s_RadSpec!$K$11*W11,".")*$B$39</f>
        <v>6.5426291421083967E-11</v>
      </c>
      <c r="X39" s="49">
        <f t="shared" si="40"/>
        <v>6.4072311577759864E-10</v>
      </c>
      <c r="Y39" s="49">
        <f t="shared" si="28"/>
        <v>1.2360345945719178E-10</v>
      </c>
      <c r="Z39" s="49">
        <f t="shared" si="28"/>
        <v>4.3942826401933931E-10</v>
      </c>
      <c r="AA39" s="49">
        <f t="shared" si="28"/>
        <v>6.5978522516877481E-10</v>
      </c>
      <c r="AB39" s="49">
        <f t="shared" si="28"/>
        <v>6.5426291421083967E-11</v>
      </c>
      <c r="AC39" s="60">
        <f>IFERROR(AC11/$B39,0)</f>
        <v>0</v>
      </c>
      <c r="AD39" s="60">
        <f>IFERROR(AD11/$B39,0)</f>
        <v>76011.842945013181</v>
      </c>
      <c r="AE39" s="60">
        <f>IFERROR(IF(AND(AC39&lt;&gt;0,AD39&lt;&gt;0),1/((1/AC39)+(1/AD39)),IF(AND(AC39&lt;&gt;0,AD39=0),1/((1/AC39)),IF(AND(AC39=0,AD39&lt;&gt;0),1/((1/AD39)),IF(AND(AC39=".",AD39="."),".")))),".")</f>
        <v>76011.842945013181</v>
      </c>
      <c r="AF39" s="71">
        <f>IFERROR(s_RadSpec!$G$11*AF11,".")*$B$39</f>
        <v>0</v>
      </c>
      <c r="AG39" s="71">
        <f>IFERROR(s_RadSpec!$J$11*AG11,".")*$B$39</f>
        <v>6.5779223424657519E-11</v>
      </c>
      <c r="AH39" s="49">
        <f t="shared" si="41"/>
        <v>0</v>
      </c>
      <c r="AI39" s="49">
        <f t="shared" si="41"/>
        <v>6.5779223424657519E-11</v>
      </c>
      <c r="AJ39" s="49">
        <f t="shared" si="42"/>
        <v>6.5779223424657519E-11</v>
      </c>
      <c r="AK39" s="60">
        <f>IFERROR(AK11/$B39,0)</f>
        <v>0</v>
      </c>
      <c r="AL39" s="60">
        <f>IFERROR(AL11/$B39,0)</f>
        <v>86432821.413281098</v>
      </c>
      <c r="AM39" s="63">
        <f t="shared" si="30"/>
        <v>86432821.413281098</v>
      </c>
      <c r="AN39" s="71">
        <f>IFERROR(s_RadSpec!$H$11*AN11,".")*$B$39</f>
        <v>0</v>
      </c>
      <c r="AO39" s="71">
        <f>IFERROR(s_RadSpec!$L$11*AO11,".")*$B$39</f>
        <v>5.7848395068493151E-14</v>
      </c>
      <c r="AP39" s="49">
        <f t="shared" si="31"/>
        <v>0</v>
      </c>
      <c r="AQ39" s="49">
        <f t="shared" si="32"/>
        <v>5.7848395068493151E-14</v>
      </c>
      <c r="AR39" s="49">
        <f t="shared" si="33"/>
        <v>5.7848395068493151E-14</v>
      </c>
      <c r="AS39" s="63">
        <f t="shared" ref="AS39:AX39" si="49">IFERROR(AS11/$B39,0)</f>
        <v>0</v>
      </c>
      <c r="AT39" s="63">
        <f t="shared" si="49"/>
        <v>0</v>
      </c>
      <c r="AU39" s="63">
        <f t="shared" si="49"/>
        <v>0</v>
      </c>
      <c r="AV39" s="63">
        <f t="shared" si="49"/>
        <v>0</v>
      </c>
      <c r="AW39" s="63">
        <f t="shared" si="49"/>
        <v>0</v>
      </c>
      <c r="AX39" s="63">
        <f t="shared" si="49"/>
        <v>0</v>
      </c>
      <c r="AY39" s="71">
        <f>IFERROR(s_RadSpec!$E$11*AY11,".")*$B$39</f>
        <v>0</v>
      </c>
      <c r="AZ39" s="71">
        <f>IFERROR(s_RadSpec!$E$11*AZ11,".")*$B$39</f>
        <v>0</v>
      </c>
      <c r="BA39" s="71">
        <f>IFERROR(s_RadSpec!$E$11*BA11,".")*$B$39</f>
        <v>0</v>
      </c>
      <c r="BB39" s="71">
        <f>IFERROR(s_RadSpec!$E$11*BB11,".")*$B$39</f>
        <v>0</v>
      </c>
      <c r="BC39" s="71">
        <f>IFERROR(s_RadSpec!$E$11*BC11,".")*$B$39</f>
        <v>0</v>
      </c>
      <c r="BD39" s="71">
        <f>IFERROR(s_RadSpec!$E$11*BD11,".")*$B$39</f>
        <v>0</v>
      </c>
      <c r="BE39" s="49">
        <f t="shared" si="35"/>
        <v>0</v>
      </c>
      <c r="BF39" s="49">
        <f t="shared" si="36"/>
        <v>0</v>
      </c>
      <c r="BG39" s="49">
        <f t="shared" si="36"/>
        <v>0</v>
      </c>
      <c r="BH39" s="49">
        <f t="shared" si="36"/>
        <v>0</v>
      </c>
      <c r="BI39" s="49">
        <f t="shared" si="36"/>
        <v>0</v>
      </c>
      <c r="BJ39" s="49">
        <f t="shared" si="36"/>
        <v>0</v>
      </c>
    </row>
    <row r="40" spans="1:62" x14ac:dyDescent="0.25">
      <c r="A40" s="48" t="s">
        <v>1085</v>
      </c>
      <c r="B40" s="15">
        <v>1</v>
      </c>
      <c r="C40" s="60">
        <f>IFERROR(C4/$B40,0)</f>
        <v>0</v>
      </c>
      <c r="D40" s="60">
        <f>IFERROR(D4/$B40,0)</f>
        <v>0</v>
      </c>
      <c r="E40" s="60">
        <f>IFERROR(E4/$B40,0)</f>
        <v>485052.02078793396</v>
      </c>
      <c r="F40" s="63">
        <f t="shared" si="24"/>
        <v>485052.02078793402</v>
      </c>
      <c r="G40" s="71">
        <f>IFERROR(s_RadSpec!$D$4*G4,".")*$B$40</f>
        <v>0</v>
      </c>
      <c r="H40" s="71">
        <f>IFERROR(s_RadSpec!$G$4*H4,".")*B40</f>
        <v>0</v>
      </c>
      <c r="I40" s="71">
        <f>IFERROR(s_RadSpec!$F$4*I4,".")*B40</f>
        <v>1.0308172702544029E-11</v>
      </c>
      <c r="J40" s="49">
        <f t="shared" si="25"/>
        <v>0</v>
      </c>
      <c r="K40" s="49">
        <f t="shared" si="26"/>
        <v>0</v>
      </c>
      <c r="L40" s="49">
        <f t="shared" si="27"/>
        <v>1.0308172702544029E-11</v>
      </c>
      <c r="M40" s="49">
        <f t="shared" si="38"/>
        <v>1.0308172702544029E-11</v>
      </c>
      <c r="N40" s="60">
        <f>IFERROR(N4/$B40,0)</f>
        <v>485052.02078793396</v>
      </c>
      <c r="O40" s="60">
        <f>IFERROR(O4/$B40,0)</f>
        <v>3420343.9110328588</v>
      </c>
      <c r="P40" s="60">
        <f>IFERROR(P4/$B40,0)</f>
        <v>891925.65031775786</v>
      </c>
      <c r="Q40" s="60">
        <f>IFERROR(Q4/$B40,0)</f>
        <v>528625.03497387376</v>
      </c>
      <c r="R40" s="60">
        <f>IFERROR(R4/$B40,0)</f>
        <v>6441502.9180864114</v>
      </c>
      <c r="S40" s="71">
        <f>IFERROR(s_RadSpec!$F$4*S4,".")*$B$40</f>
        <v>1.0308172702544029E-11</v>
      </c>
      <c r="T40" s="71">
        <f>IFERROR(s_RadSpec!$M$4*T4,".")*$B$40</f>
        <v>1.4618413031133244E-12</v>
      </c>
      <c r="U40" s="71">
        <f>IFERROR(s_RadSpec!$N$4*U4,".")*$B$40</f>
        <v>5.6058484227005872E-12</v>
      </c>
      <c r="V40" s="71">
        <f>IFERROR(s_RadSpec!$O$4*V4,".")*$B$40</f>
        <v>9.4585002018436635E-12</v>
      </c>
      <c r="W40" s="71">
        <f>IFERROR(s_RadSpec!$K$4*W4,".")*$B$40</f>
        <v>7.7621636807165457E-13</v>
      </c>
      <c r="X40" s="49">
        <f t="shared" si="40"/>
        <v>1.0308172702544029E-11</v>
      </c>
      <c r="Y40" s="49">
        <f t="shared" si="28"/>
        <v>1.4618413031133244E-12</v>
      </c>
      <c r="Z40" s="49">
        <f t="shared" si="28"/>
        <v>5.6058484227005872E-12</v>
      </c>
      <c r="AA40" s="49">
        <f t="shared" si="28"/>
        <v>9.4585002018436635E-12</v>
      </c>
      <c r="AB40" s="49">
        <f t="shared" si="28"/>
        <v>7.7621636807165457E-13</v>
      </c>
      <c r="AC40" s="60">
        <f>IFERROR(AC4/$B40,0)</f>
        <v>0</v>
      </c>
      <c r="AD40" s="60">
        <f>IFERROR(AD4/$B40,0)</f>
        <v>8974125.4768813383</v>
      </c>
      <c r="AE40" s="60">
        <f t="shared" ref="AE40:AE44" si="50">IFERROR(IF(AND(AC40&lt;&gt;0,AD40&lt;&gt;0),1/((1/AC40)+(1/AD40)),IF(AND(AC40&lt;&gt;0,AD40=0),1/((1/AC40)),IF(AND(AC40=0,AD40&lt;&gt;0),1/((1/AD40)),IF(AND(AC40=".",AD40="."),".")))),".")</f>
        <v>8974125.4768813383</v>
      </c>
      <c r="AF40" s="71">
        <f>IFERROR(s_RadSpec!$G$4*AF4,".")*$B$40</f>
        <v>0</v>
      </c>
      <c r="AG40" s="71">
        <f>IFERROR(s_RadSpec!$J$4*AG4,".")*$B$40</f>
        <v>5.5715735342465749E-13</v>
      </c>
      <c r="AH40" s="49">
        <f t="shared" si="41"/>
        <v>0</v>
      </c>
      <c r="AI40" s="49">
        <f t="shared" si="41"/>
        <v>5.5715735342465749E-13</v>
      </c>
      <c r="AJ40" s="49">
        <f t="shared" si="42"/>
        <v>5.5715735342465749E-13</v>
      </c>
      <c r="AK40" s="60">
        <f>IFERROR(AK4/$B40,0)</f>
        <v>0</v>
      </c>
      <c r="AL40" s="60">
        <f>IFERROR(AL4/$B40,0)</f>
        <v>10249137839.716942</v>
      </c>
      <c r="AM40" s="63">
        <f t="shared" si="30"/>
        <v>10249137839.716942</v>
      </c>
      <c r="AN40" s="71">
        <f>IFERROR(s_RadSpec!$H$4*AN4,".")*$B$40</f>
        <v>0</v>
      </c>
      <c r="AO40" s="71">
        <f>IFERROR(s_RadSpec!$L$4*AO4,".")*$B$40</f>
        <v>4.8784591232876707E-16</v>
      </c>
      <c r="AP40" s="49">
        <f t="shared" si="31"/>
        <v>0</v>
      </c>
      <c r="AQ40" s="49">
        <f t="shared" si="32"/>
        <v>4.8784591232876707E-16</v>
      </c>
      <c r="AR40" s="49">
        <f t="shared" si="33"/>
        <v>4.8784591232876707E-16</v>
      </c>
      <c r="AS40" s="63">
        <f t="shared" ref="AS40:AX40" si="51">IFERROR(AS4/$B40,0)</f>
        <v>0</v>
      </c>
      <c r="AT40" s="63">
        <f t="shared" si="51"/>
        <v>0</v>
      </c>
      <c r="AU40" s="63">
        <f t="shared" si="51"/>
        <v>0</v>
      </c>
      <c r="AV40" s="63">
        <f t="shared" si="51"/>
        <v>0</v>
      </c>
      <c r="AW40" s="63">
        <f t="shared" si="51"/>
        <v>0</v>
      </c>
      <c r="AX40" s="63">
        <f t="shared" si="51"/>
        <v>0</v>
      </c>
      <c r="AY40" s="71">
        <f>IFERROR(s_RadSpec!$E$4*AY4,".")*$B$40</f>
        <v>0</v>
      </c>
      <c r="AZ40" s="71">
        <f>IFERROR(s_RadSpec!$E$4*AZ4,".")*$B$40</f>
        <v>0</v>
      </c>
      <c r="BA40" s="71">
        <f>IFERROR(s_RadSpec!$E$4*BA4,".")*$B$40</f>
        <v>0</v>
      </c>
      <c r="BB40" s="71">
        <f>IFERROR(s_RadSpec!$E$4*BB4,".")*$B$40</f>
        <v>0</v>
      </c>
      <c r="BC40" s="71">
        <f>IFERROR(s_RadSpec!$E$4*BC4,".")*$B$40</f>
        <v>0</v>
      </c>
      <c r="BD40" s="71">
        <f>IFERROR(s_RadSpec!$E$4*BD4,".")*$B$40</f>
        <v>0</v>
      </c>
      <c r="BE40" s="49">
        <f t="shared" si="35"/>
        <v>0</v>
      </c>
      <c r="BF40" s="49">
        <f t="shared" si="36"/>
        <v>0</v>
      </c>
      <c r="BG40" s="49">
        <f t="shared" si="36"/>
        <v>0</v>
      </c>
      <c r="BH40" s="49">
        <f t="shared" si="36"/>
        <v>0</v>
      </c>
      <c r="BI40" s="49">
        <f t="shared" si="36"/>
        <v>0</v>
      </c>
      <c r="BJ40" s="49">
        <f t="shared" si="36"/>
        <v>0</v>
      </c>
    </row>
    <row r="41" spans="1:62" x14ac:dyDescent="0.25">
      <c r="A41" s="48" t="s">
        <v>1086</v>
      </c>
      <c r="B41" s="50">
        <v>0.99987999999999999</v>
      </c>
      <c r="C41" s="60">
        <f>IFERROR(C8/$B41,0)</f>
        <v>152627.16352064465</v>
      </c>
      <c r="D41" s="60">
        <f>IFERROR(D8/$B41,0)</f>
        <v>22968911.424684525</v>
      </c>
      <c r="E41" s="60">
        <f>IFERROR(E8/$B41,0)</f>
        <v>534.89711573606996</v>
      </c>
      <c r="F41" s="63">
        <f t="shared" si="24"/>
        <v>533.01669275411371</v>
      </c>
      <c r="G41" s="71">
        <f>IFERROR(s_RadSpec!$D$8*G8,".")*$B$41</f>
        <v>3.2759568379999996E-11</v>
      </c>
      <c r="H41" s="71">
        <f>IFERROR(s_RadSpec!$G$8*H8,".")*B41</f>
        <v>2.1768554493298864E-13</v>
      </c>
      <c r="I41" s="71">
        <f>IFERROR(s_RadSpec!$F$8*I8,".")*B41</f>
        <v>9.3475920002288984E-9</v>
      </c>
      <c r="J41" s="49">
        <f t="shared" si="25"/>
        <v>3.2759568379999996E-11</v>
      </c>
      <c r="K41" s="49">
        <f t="shared" si="26"/>
        <v>2.1768554493298864E-13</v>
      </c>
      <c r="L41" s="49">
        <f t="shared" si="27"/>
        <v>9.3475920002288984E-9</v>
      </c>
      <c r="M41" s="49">
        <f t="shared" si="38"/>
        <v>9.380569254153832E-9</v>
      </c>
      <c r="N41" s="60">
        <f>IFERROR(N8/$B41,0)</f>
        <v>534.89711573606996</v>
      </c>
      <c r="O41" s="60">
        <f>IFERROR(O8/$B41,0)</f>
        <v>4529.64677568562</v>
      </c>
      <c r="P41" s="60">
        <f>IFERROR(P8/$B41,0)</f>
        <v>1183.4766940207974</v>
      </c>
      <c r="Q41" s="60">
        <f>IFERROR(Q8/$B41,0)</f>
        <v>717.26118831734243</v>
      </c>
      <c r="R41" s="60">
        <f>IFERROR(R8/$B41,0)</f>
        <v>8213.6524459890315</v>
      </c>
      <c r="S41" s="71">
        <f>IFERROR(s_RadSpec!$F$8*S8,".")*$B$41</f>
        <v>9.3475920002288984E-9</v>
      </c>
      <c r="T41" s="71">
        <f>IFERROR(s_RadSpec!$M$8*T8,".")*$B$41</f>
        <v>1.1038388306212209E-9</v>
      </c>
      <c r="U41" s="71">
        <f>IFERROR(s_RadSpec!$N$8*U8,".")*$B$41</f>
        <v>4.2248402737976803E-9</v>
      </c>
      <c r="V41" s="71">
        <f>IFERROR(s_RadSpec!$O$8*V8,".")*$B$41</f>
        <v>6.9709613198641635E-9</v>
      </c>
      <c r="W41" s="71">
        <f>IFERROR(s_RadSpec!$K$8*W8,".")*$B$41</f>
        <v>6.0874258228952057E-10</v>
      </c>
      <c r="X41" s="49">
        <f t="shared" si="40"/>
        <v>9.3475920002288984E-9</v>
      </c>
      <c r="Y41" s="49">
        <f t="shared" si="28"/>
        <v>1.1038388306212209E-9</v>
      </c>
      <c r="Z41" s="49">
        <f t="shared" si="28"/>
        <v>4.2248402737976803E-9</v>
      </c>
      <c r="AA41" s="49">
        <f t="shared" si="28"/>
        <v>6.9709613198641635E-9</v>
      </c>
      <c r="AB41" s="49">
        <f t="shared" si="28"/>
        <v>6.0874258228952057E-10</v>
      </c>
      <c r="AC41" s="60">
        <f>IFERROR(AC8/$B41,0)</f>
        <v>74.140170951788335</v>
      </c>
      <c r="AD41" s="60">
        <f>IFERROR(AD8/$B41,0)</f>
        <v>16454.537918832713</v>
      </c>
      <c r="AE41" s="60">
        <f t="shared" si="50"/>
        <v>73.80761169212451</v>
      </c>
      <c r="AF41" s="71">
        <f>IFERROR(s_RadSpec!$G$8*AF8,".")*$B$41</f>
        <v>6.7439822916666656E-8</v>
      </c>
      <c r="AG41" s="71">
        <f>IFERROR(s_RadSpec!$J$8*AG8,".")*$B$41</f>
        <v>3.0386754247758896E-10</v>
      </c>
      <c r="AH41" s="49">
        <f t="shared" si="41"/>
        <v>6.7439822916666656E-8</v>
      </c>
      <c r="AI41" s="49">
        <f t="shared" si="41"/>
        <v>3.0386754247758896E-10</v>
      </c>
      <c r="AJ41" s="49">
        <f t="shared" si="42"/>
        <v>6.7743690459144243E-8</v>
      </c>
      <c r="AK41" s="60">
        <f>IFERROR(AK8/$B41,0)</f>
        <v>986.50622844913016</v>
      </c>
      <c r="AL41" s="60">
        <f>IFERROR(AL8/$B41,0)</f>
        <v>18947649.724716462</v>
      </c>
      <c r="AM41" s="63">
        <f t="shared" si="30"/>
        <v>986.45486884061233</v>
      </c>
      <c r="AN41" s="71">
        <f>IFERROR(s_RadSpec!$H$8*AN8,".")*$B$41</f>
        <v>5.0683917199999999E-9</v>
      </c>
      <c r="AO41" s="71">
        <f>IFERROR(s_RadSpec!$L$8*AO8,".")*$B$41</f>
        <v>2.6388497109895885E-13</v>
      </c>
      <c r="AP41" s="49">
        <f t="shared" si="31"/>
        <v>5.0683917199999999E-9</v>
      </c>
      <c r="AQ41" s="49">
        <f t="shared" si="32"/>
        <v>2.6388497109895885E-13</v>
      </c>
      <c r="AR41" s="49">
        <f t="shared" si="33"/>
        <v>5.068655604971099E-9</v>
      </c>
      <c r="AS41" s="63">
        <f t="shared" ref="AS41:AX41" si="52">IFERROR(AS8/$B41,0)</f>
        <v>6966.5646029655063</v>
      </c>
      <c r="AT41" s="63">
        <f t="shared" si="52"/>
        <v>290273.52512356272</v>
      </c>
      <c r="AU41" s="63">
        <f t="shared" si="52"/>
        <v>1741641150.7413764</v>
      </c>
      <c r="AV41" s="63">
        <f t="shared" si="52"/>
        <v>6966.5646029655063</v>
      </c>
      <c r="AW41" s="63">
        <f t="shared" si="52"/>
        <v>0</v>
      </c>
      <c r="AX41" s="63">
        <f t="shared" si="52"/>
        <v>0</v>
      </c>
      <c r="AY41" s="71">
        <f>IFERROR(s_RadSpec!$E$8*AY8,".")*$B$41</f>
        <v>7.17713864E-10</v>
      </c>
      <c r="AZ41" s="71">
        <f>IFERROR(s_RadSpec!$E$8*AZ8,".")*$B$41</f>
        <v>1.7225132736000002E-11</v>
      </c>
      <c r="BA41" s="71">
        <f>IFERROR(s_RadSpec!$E$8*BA8,".")*$B$41</f>
        <v>2.8708554560000002E-15</v>
      </c>
      <c r="BB41" s="71">
        <f>IFERROR(s_RadSpec!$E$8*BB8,".")*$B$41</f>
        <v>7.17713864E-10</v>
      </c>
      <c r="BC41" s="71">
        <f>IFERROR(s_RadSpec!$E$8*BC8,".")*$B$41</f>
        <v>0</v>
      </c>
      <c r="BD41" s="71">
        <f>IFERROR(s_RadSpec!$E$8*BD8,".")*$B$41</f>
        <v>0</v>
      </c>
      <c r="BE41" s="49">
        <f t="shared" si="35"/>
        <v>7.17713864E-10</v>
      </c>
      <c r="BF41" s="49">
        <f t="shared" si="36"/>
        <v>1.7225132736000002E-11</v>
      </c>
      <c r="BG41" s="49">
        <f t="shared" si="36"/>
        <v>2.8708554560000002E-15</v>
      </c>
      <c r="BH41" s="49">
        <f t="shared" si="36"/>
        <v>7.17713864E-10</v>
      </c>
      <c r="BI41" s="49">
        <f t="shared" si="36"/>
        <v>0</v>
      </c>
      <c r="BJ41" s="49">
        <f t="shared" si="36"/>
        <v>0</v>
      </c>
    </row>
    <row r="42" spans="1:62" x14ac:dyDescent="0.25">
      <c r="A42" s="48" t="s">
        <v>1087</v>
      </c>
      <c r="B42" s="15">
        <v>0.97898250799999997</v>
      </c>
      <c r="C42" s="60">
        <f>IFERROR(C19/$B42,0)</f>
        <v>0</v>
      </c>
      <c r="D42" s="60">
        <f>IFERROR(D19/$B42,0)</f>
        <v>0</v>
      </c>
      <c r="E42" s="60">
        <f>IFERROR(E19/$B42,0)</f>
        <v>1188236.8459816435</v>
      </c>
      <c r="F42" s="63">
        <f t="shared" si="24"/>
        <v>1188236.8459816435</v>
      </c>
      <c r="G42" s="72">
        <f>IFERROR(s_RadSpec!$D$19*G19,".")*$B$42</f>
        <v>0</v>
      </c>
      <c r="H42" s="72">
        <f>IFERROR(s_RadSpec!$G$19*H19,".")*B42</f>
        <v>0</v>
      </c>
      <c r="I42" s="72">
        <f>IFERROR(s_RadSpec!$F$19*I19,".")*B42</f>
        <v>4.2079152964401873E-12</v>
      </c>
      <c r="J42" s="49">
        <f t="shared" si="25"/>
        <v>0</v>
      </c>
      <c r="K42" s="49">
        <f t="shared" si="26"/>
        <v>0</v>
      </c>
      <c r="L42" s="49">
        <f t="shared" si="27"/>
        <v>4.2079152964401873E-12</v>
      </c>
      <c r="M42" s="49">
        <f t="shared" si="38"/>
        <v>4.2079152964401873E-12</v>
      </c>
      <c r="N42" s="60">
        <f>IFERROR(N19/$B42,0)</f>
        <v>1188236.8459816435</v>
      </c>
      <c r="O42" s="60">
        <f>IFERROR(O19/$B42,0)</f>
        <v>11783766.114375478</v>
      </c>
      <c r="P42" s="60">
        <f>IFERROR(P19/$B42,0)</f>
        <v>2900522.1215029103</v>
      </c>
      <c r="Q42" s="60">
        <f>IFERROR(Q19/$B42,0)</f>
        <v>1553399.0035638867</v>
      </c>
      <c r="R42" s="60">
        <f>IFERROR(R19/$B42,0)</f>
        <v>20855635.348546229</v>
      </c>
      <c r="S42" s="72">
        <f>IFERROR(s_RadSpec!$F$19*S19,".")*$B$42</f>
        <v>4.2079152964401873E-12</v>
      </c>
      <c r="T42" s="72">
        <f>IFERROR(s_RadSpec!$M$19*T19,".")*$B$42</f>
        <v>4.2431256284867228E-13</v>
      </c>
      <c r="U42" s="72">
        <f>IFERROR(s_RadSpec!$N$19*U19,".")*$B$42</f>
        <v>1.7238275698477492E-12</v>
      </c>
      <c r="V42" s="72">
        <f>IFERROR(s_RadSpec!$O$19*V19,".")*$B$42</f>
        <v>3.2187480412493794E-12</v>
      </c>
      <c r="W42" s="72">
        <f>IFERROR(s_RadSpec!$K$19*W19,".")*$B$42</f>
        <v>2.3974335552182213E-13</v>
      </c>
      <c r="X42" s="49">
        <f t="shared" si="40"/>
        <v>4.2079152964401873E-12</v>
      </c>
      <c r="Y42" s="49">
        <f t="shared" si="28"/>
        <v>4.2431256284867228E-13</v>
      </c>
      <c r="Z42" s="49">
        <f t="shared" si="28"/>
        <v>1.7238275698477492E-12</v>
      </c>
      <c r="AA42" s="49">
        <f t="shared" si="28"/>
        <v>3.2187480412493794E-12</v>
      </c>
      <c r="AB42" s="49">
        <f t="shared" si="28"/>
        <v>2.3974335552182213E-13</v>
      </c>
      <c r="AC42" s="60">
        <f>IFERROR(AC19/$B42,0)</f>
        <v>0</v>
      </c>
      <c r="AD42" s="60">
        <f>IFERROR(AD19/$B42,0)</f>
        <v>55532138.291655883</v>
      </c>
      <c r="AE42" s="60">
        <f t="shared" si="50"/>
        <v>55532138.291655883</v>
      </c>
      <c r="AF42" s="72">
        <f>IFERROR(s_RadSpec!$G$19*AF19,".")*$B$42</f>
        <v>0</v>
      </c>
      <c r="AG42" s="72">
        <f>IFERROR(s_RadSpec!$J$19*AG19,".")*$B$42</f>
        <v>9.0037951964678561E-14</v>
      </c>
      <c r="AH42" s="49">
        <f t="shared" si="41"/>
        <v>0</v>
      </c>
      <c r="AI42" s="49">
        <f t="shared" si="41"/>
        <v>9.0037951964678561E-14</v>
      </c>
      <c r="AJ42" s="49">
        <f t="shared" si="42"/>
        <v>9.0037951964678561E-14</v>
      </c>
      <c r="AK42" s="60">
        <f>IFERROR(AK19/$B42,0)</f>
        <v>0</v>
      </c>
      <c r="AL42" s="60">
        <f>IFERROR(AL19/$B42,0)</f>
        <v>64075544182.679863</v>
      </c>
      <c r="AM42" s="63">
        <f t="shared" si="30"/>
        <v>64075544182.679855</v>
      </c>
      <c r="AN42" s="72">
        <f>IFERROR(s_RadSpec!$H$19*AN19,".")*$B$42</f>
        <v>0</v>
      </c>
      <c r="AO42" s="72">
        <f>IFERROR(s_RadSpec!$L$19*AO19,".")*$B$42</f>
        <v>7.8032891702721411E-17</v>
      </c>
      <c r="AP42" s="49">
        <f t="shared" si="31"/>
        <v>0</v>
      </c>
      <c r="AQ42" s="49">
        <f t="shared" si="32"/>
        <v>7.8032891702721411E-17</v>
      </c>
      <c r="AR42" s="49">
        <f t="shared" si="33"/>
        <v>7.8032891702721411E-17</v>
      </c>
      <c r="AS42" s="63">
        <f t="shared" ref="AS42:AX42" si="53">IFERROR(AS19/$B42,0)</f>
        <v>0</v>
      </c>
      <c r="AT42" s="63">
        <f t="shared" si="53"/>
        <v>0</v>
      </c>
      <c r="AU42" s="63">
        <f t="shared" si="53"/>
        <v>0</v>
      </c>
      <c r="AV42" s="63">
        <f t="shared" si="53"/>
        <v>0</v>
      </c>
      <c r="AW42" s="63">
        <f t="shared" si="53"/>
        <v>0</v>
      </c>
      <c r="AX42" s="63">
        <f t="shared" si="53"/>
        <v>0</v>
      </c>
      <c r="AY42" s="72">
        <f>IFERROR(s_RadSpec!$E$19*AY19,".")*$B$42</f>
        <v>0</v>
      </c>
      <c r="AZ42" s="72">
        <f>IFERROR(s_RadSpec!$E$19*AZ19,".")*$B$42</f>
        <v>0</v>
      </c>
      <c r="BA42" s="72">
        <f>IFERROR(s_RadSpec!$E$19*BA19,".")*$B$42</f>
        <v>0</v>
      </c>
      <c r="BB42" s="72">
        <f>IFERROR(s_RadSpec!$E$19*BB19,".")*$B$42</f>
        <v>0</v>
      </c>
      <c r="BC42" s="72">
        <f>IFERROR(s_RadSpec!$E$19*BC19,".")*$B$42</f>
        <v>0</v>
      </c>
      <c r="BD42" s="72">
        <f>IFERROR(s_RadSpec!$E$19*BD19,".")*$B$42</f>
        <v>0</v>
      </c>
      <c r="BE42" s="49">
        <f t="shared" si="35"/>
        <v>0</v>
      </c>
      <c r="BF42" s="49">
        <f t="shared" si="36"/>
        <v>0</v>
      </c>
      <c r="BG42" s="49">
        <f t="shared" si="36"/>
        <v>0</v>
      </c>
      <c r="BH42" s="49">
        <f t="shared" si="36"/>
        <v>0</v>
      </c>
      <c r="BI42" s="49">
        <f t="shared" si="36"/>
        <v>0</v>
      </c>
      <c r="BJ42" s="49">
        <f t="shared" si="36"/>
        <v>0</v>
      </c>
    </row>
    <row r="43" spans="1:62" x14ac:dyDescent="0.25">
      <c r="A43" s="48" t="s">
        <v>1088</v>
      </c>
      <c r="B43" s="15">
        <v>2.0897492E-2</v>
      </c>
      <c r="C43" s="60">
        <f>IFERROR(C28/$B43,0)</f>
        <v>0</v>
      </c>
      <c r="D43" s="60">
        <f>IFERROR(D28/$B43,0)</f>
        <v>0</v>
      </c>
      <c r="E43" s="60">
        <f>IFERROR(E28/$B43,0)</f>
        <v>663.26598111131182</v>
      </c>
      <c r="F43" s="63">
        <f t="shared" si="24"/>
        <v>663.26598111131182</v>
      </c>
      <c r="G43" s="72">
        <f>IFERROR(s_RadSpec!D28*G28,".")*$B$43</f>
        <v>0</v>
      </c>
      <c r="H43" s="72">
        <f>IFERROR(s_RadSpec!E28*H28,".")*B43</f>
        <v>0</v>
      </c>
      <c r="I43" s="72">
        <f>IFERROR(s_RadSpec!F28*I28,".")*B43</f>
        <v>7.5384538667616084E-9</v>
      </c>
      <c r="J43" s="49">
        <f t="shared" si="25"/>
        <v>0</v>
      </c>
      <c r="K43" s="49">
        <f t="shared" si="26"/>
        <v>0</v>
      </c>
      <c r="L43" s="49">
        <f t="shared" si="27"/>
        <v>7.5384538667616084E-9</v>
      </c>
      <c r="M43" s="49">
        <f t="shared" si="38"/>
        <v>7.5384538667616084E-9</v>
      </c>
      <c r="N43" s="60">
        <f>IFERROR(N28/$B43,0)</f>
        <v>663.26598111131182</v>
      </c>
      <c r="O43" s="60">
        <f>IFERROR(O28/$B43,0)</f>
        <v>8011.1983738416257</v>
      </c>
      <c r="P43" s="60">
        <f>IFERROR(P28/$B43,0)</f>
        <v>1936.288903142753</v>
      </c>
      <c r="Q43" s="60">
        <f>IFERROR(Q28/$B43,0)</f>
        <v>1053.5082151121687</v>
      </c>
      <c r="R43" s="60">
        <f>IFERROR(R28/$B43,0)</f>
        <v>14455.419156007587</v>
      </c>
      <c r="S43" s="72">
        <f>IFERROR(s_RadSpec!$F$28*S28,".")*$B$43</f>
        <v>7.5384538667616084E-9</v>
      </c>
      <c r="T43" s="72">
        <f>IFERROR(s_RadSpec!$M$28*T28,".")*$B$43</f>
        <v>6.2412634997606953E-10</v>
      </c>
      <c r="U43" s="72">
        <f>IFERROR(s_RadSpec!$N$28*U28,".")*$B$43</f>
        <v>2.5822592857318945E-9</v>
      </c>
      <c r="V43" s="72">
        <f>IFERROR(s_RadSpec!$O$28*V28,".")*$B$43</f>
        <v>4.7460474709897173E-9</v>
      </c>
      <c r="W43" s="72">
        <f>IFERROR(s_RadSpec!$K$28*W28,".")*$B$43</f>
        <v>3.4589104238613722E-10</v>
      </c>
      <c r="X43" s="49">
        <f t="shared" si="40"/>
        <v>7.5384538667616084E-9</v>
      </c>
      <c r="Y43" s="49">
        <f t="shared" si="28"/>
        <v>6.2412634997606953E-10</v>
      </c>
      <c r="Z43" s="49">
        <f t="shared" si="28"/>
        <v>2.5822592857318945E-9</v>
      </c>
      <c r="AA43" s="49">
        <f t="shared" si="28"/>
        <v>4.7460474709897173E-9</v>
      </c>
      <c r="AB43" s="49">
        <f t="shared" si="28"/>
        <v>3.4589104238613722E-10</v>
      </c>
      <c r="AC43" s="60">
        <f>IFERROR(AC28/$B43,0)</f>
        <v>0</v>
      </c>
      <c r="AD43" s="60">
        <f>IFERROR(AD28/$B43,0)</f>
        <v>43781.475615519434</v>
      </c>
      <c r="AE43" s="60">
        <f t="shared" si="50"/>
        <v>43781.475615519434</v>
      </c>
      <c r="AF43" s="72">
        <f>IFERROR(s_RadSpec!$G$28*AF28,".")*$B$43</f>
        <v>0</v>
      </c>
      <c r="AG43" s="72">
        <f>IFERROR(s_RadSpec!$J$28*AG28,".")*$B$43</f>
        <v>1.1420355138116053E-10</v>
      </c>
      <c r="AH43" s="49">
        <f t="shared" si="41"/>
        <v>0</v>
      </c>
      <c r="AI43" s="49">
        <f t="shared" si="41"/>
        <v>1.1420355138116053E-10</v>
      </c>
      <c r="AJ43" s="49">
        <f t="shared" si="42"/>
        <v>1.1420355138116053E-10</v>
      </c>
      <c r="AK43" s="60">
        <f>IFERROR(AK28/$B43,0)</f>
        <v>0</v>
      </c>
      <c r="AL43" s="60">
        <f>IFERROR(AL28/$B43,0)</f>
        <v>50422485.961693719</v>
      </c>
      <c r="AM43" s="63">
        <f t="shared" si="30"/>
        <v>50422485.961693719</v>
      </c>
      <c r="AN43" s="72">
        <f>IFERROR(s_RadSpec!$H$28*AN28,".")*$B$43</f>
        <v>0</v>
      </c>
      <c r="AO43" s="72">
        <f>IFERROR(s_RadSpec!$L$28*AO28,".")*$B$43</f>
        <v>9.9162108028519887E-14</v>
      </c>
      <c r="AP43" s="49">
        <f t="shared" si="31"/>
        <v>0</v>
      </c>
      <c r="AQ43" s="49">
        <f t="shared" si="32"/>
        <v>9.9162108028519887E-14</v>
      </c>
      <c r="AR43" s="49">
        <f t="shared" si="33"/>
        <v>9.9162108028519887E-14</v>
      </c>
      <c r="AS43" s="63">
        <f t="shared" ref="AS43:AX43" si="54">IFERROR(AS28/$B43,0)</f>
        <v>0</v>
      </c>
      <c r="AT43" s="63">
        <f t="shared" si="54"/>
        <v>0</v>
      </c>
      <c r="AU43" s="63">
        <f t="shared" si="54"/>
        <v>0</v>
      </c>
      <c r="AV43" s="63">
        <f t="shared" si="54"/>
        <v>0</v>
      </c>
      <c r="AW43" s="63">
        <f t="shared" si="54"/>
        <v>0</v>
      </c>
      <c r="AX43" s="63">
        <f t="shared" si="54"/>
        <v>0</v>
      </c>
      <c r="AY43" s="72">
        <f>IFERROR(s_RadSpec!$E$28*AY28,".")*$B$43</f>
        <v>0</v>
      </c>
      <c r="AZ43" s="72">
        <f>IFERROR(s_RadSpec!$E$28*AZ28,".")*$B$43</f>
        <v>0</v>
      </c>
      <c r="BA43" s="72">
        <f>IFERROR(s_RadSpec!$E$28*BA28,".")*$B$43</f>
        <v>0</v>
      </c>
      <c r="BB43" s="72">
        <f>IFERROR(s_RadSpec!$E$28*BB28,".")*$B$43</f>
        <v>0</v>
      </c>
      <c r="BC43" s="72">
        <f>IFERROR(s_RadSpec!$E$28*BC28,".")*$B$43</f>
        <v>0</v>
      </c>
      <c r="BD43" s="72">
        <f>IFERROR(s_RadSpec!$E$28*BD28,".")*$B$43</f>
        <v>0</v>
      </c>
      <c r="BE43" s="49">
        <f t="shared" si="35"/>
        <v>0</v>
      </c>
      <c r="BF43" s="49">
        <f t="shared" si="36"/>
        <v>0</v>
      </c>
      <c r="BG43" s="49">
        <f t="shared" si="36"/>
        <v>0</v>
      </c>
      <c r="BH43" s="49">
        <f t="shared" si="36"/>
        <v>0</v>
      </c>
      <c r="BI43" s="49">
        <f t="shared" si="36"/>
        <v>0</v>
      </c>
      <c r="BJ43" s="49">
        <f t="shared" si="36"/>
        <v>0</v>
      </c>
    </row>
    <row r="44" spans="1:62" x14ac:dyDescent="0.25">
      <c r="A44" s="48" t="s">
        <v>1089</v>
      </c>
      <c r="B44" s="15">
        <v>0.99987999999999999</v>
      </c>
      <c r="C44" s="60">
        <f>IFERROR(C15/$B44,0)</f>
        <v>290804.41806892055</v>
      </c>
      <c r="D44" s="60">
        <f>IFERROR(D15/$B44,0)</f>
        <v>8173989830.8485861</v>
      </c>
      <c r="E44" s="60">
        <f>IFERROR(E15/$B44,0)</f>
        <v>0</v>
      </c>
      <c r="F44" s="63">
        <f t="shared" si="24"/>
        <v>290794.07254576794</v>
      </c>
      <c r="G44" s="71">
        <f>IFERROR(s_RadSpec!$D$15*G15,".")*$B$44</f>
        <v>1.7193686509999999E-11</v>
      </c>
      <c r="H44" s="71">
        <f>IFERROR(s_RadSpec!$G$15*H15,".")*B44</f>
        <v>6.1169638126169814E-16</v>
      </c>
      <c r="I44" s="71">
        <f>IFERROR(s_RadSpec!$F$15*I15,".")*B44</f>
        <v>0</v>
      </c>
      <c r="J44" s="49">
        <f t="shared" si="25"/>
        <v>1.7193686509999999E-11</v>
      </c>
      <c r="K44" s="49">
        <f t="shared" si="26"/>
        <v>6.1169638126169814E-16</v>
      </c>
      <c r="L44" s="49">
        <f t="shared" si="27"/>
        <v>0</v>
      </c>
      <c r="M44" s="49">
        <f t="shared" si="38"/>
        <v>1.719429820638126E-11</v>
      </c>
      <c r="N44" s="60">
        <f>IFERROR(N15/$B44,0)</f>
        <v>0</v>
      </c>
      <c r="O44" s="60">
        <f>IFERROR(O15/$B44,0)</f>
        <v>0</v>
      </c>
      <c r="P44" s="60">
        <f>IFERROR(P15/$B44,0)</f>
        <v>0</v>
      </c>
      <c r="Q44" s="60">
        <f>IFERROR(Q15/$B44,0)</f>
        <v>0</v>
      </c>
      <c r="R44" s="60">
        <f>IFERROR(R15/$B44,0)</f>
        <v>0</v>
      </c>
      <c r="S44" s="71">
        <f>IFERROR(s_RadSpec!$F$15*S15,".")*$B$44</f>
        <v>0</v>
      </c>
      <c r="T44" s="71">
        <f>IFERROR(s_RadSpec!$M$15*T15,".")*$B$44</f>
        <v>0</v>
      </c>
      <c r="U44" s="71">
        <f>IFERROR(s_RadSpec!$N$15*U15,".")*$B$44</f>
        <v>0</v>
      </c>
      <c r="V44" s="71">
        <f>IFERROR(s_RadSpec!$O$15*V15,".")*$B$44</f>
        <v>0</v>
      </c>
      <c r="W44" s="71">
        <f>IFERROR(s_RadSpec!$K$15*W15,".")*$B$44</f>
        <v>0</v>
      </c>
      <c r="X44" s="49">
        <f t="shared" si="40"/>
        <v>0</v>
      </c>
      <c r="Y44" s="49">
        <f t="shared" si="28"/>
        <v>0</v>
      </c>
      <c r="Z44" s="49">
        <f t="shared" si="28"/>
        <v>0</v>
      </c>
      <c r="AA44" s="49">
        <f t="shared" si="28"/>
        <v>0</v>
      </c>
      <c r="AB44" s="49">
        <f t="shared" si="28"/>
        <v>0</v>
      </c>
      <c r="AC44" s="60">
        <f>IFERROR(AC15/$B44,0)</f>
        <v>26384.402473946033</v>
      </c>
      <c r="AD44" s="60">
        <f>IFERROR(AD15/$B44,0)</f>
        <v>5139225.5417724084</v>
      </c>
      <c r="AE44" s="60">
        <f t="shared" si="50"/>
        <v>26249.638776837517</v>
      </c>
      <c r="AF44" s="71">
        <f>IFERROR(s_RadSpec!$G$15*AF15,".")*$B$44</f>
        <v>1.8950590239583332E-10</v>
      </c>
      <c r="AG44" s="71">
        <f>IFERROR(s_RadSpec!$J$15*AG15,".")*$B$44</f>
        <v>9.7290923687999976E-13</v>
      </c>
      <c r="AH44" s="49">
        <f t="shared" si="41"/>
        <v>1.8950590239583332E-10</v>
      </c>
      <c r="AI44" s="49">
        <f t="shared" si="41"/>
        <v>9.7290923687999976E-13</v>
      </c>
      <c r="AJ44" s="49">
        <f t="shared" si="42"/>
        <v>1.9047881163271334E-10</v>
      </c>
      <c r="AK44" s="60">
        <f>IFERROR(AK15/$B44,0)</f>
        <v>2076.0576543399511</v>
      </c>
      <c r="AL44" s="60">
        <f>IFERROR(AL15/$B44,0)</f>
        <v>9426217702.2458782</v>
      </c>
      <c r="AM44" s="63">
        <f t="shared" si="30"/>
        <v>2076.0571971030645</v>
      </c>
      <c r="AN44" s="71">
        <f>IFERROR(s_RadSpec!$H$15*AN15,".")*$B$44</f>
        <v>2.4084109560000003E-9</v>
      </c>
      <c r="AO44" s="71">
        <f>IFERROR(s_RadSpec!$L$15*AO15,".")*$B$44</f>
        <v>5.3043544695649321E-16</v>
      </c>
      <c r="AP44" s="49">
        <f t="shared" si="31"/>
        <v>2.4084109560000003E-9</v>
      </c>
      <c r="AQ44" s="49">
        <f t="shared" si="32"/>
        <v>5.3043544695649321E-16</v>
      </c>
      <c r="AR44" s="49">
        <f t="shared" si="33"/>
        <v>2.4084114864354473E-9</v>
      </c>
      <c r="AS44" s="63">
        <f t="shared" ref="AS44:AX44" si="55">IFERROR(AS15/$B44,0)</f>
        <v>14347.277420120045</v>
      </c>
      <c r="AT44" s="63">
        <f t="shared" si="55"/>
        <v>2530025.0031426218</v>
      </c>
      <c r="AU44" s="63">
        <f t="shared" si="55"/>
        <v>10248055300.085747</v>
      </c>
      <c r="AV44" s="63">
        <f t="shared" si="55"/>
        <v>14347.277420120045</v>
      </c>
      <c r="AW44" s="63">
        <f t="shared" si="55"/>
        <v>0</v>
      </c>
      <c r="AX44" s="63">
        <f t="shared" si="55"/>
        <v>0</v>
      </c>
      <c r="AY44" s="71">
        <f>IFERROR(s_RadSpec!$E$15*AY15,".")*$B$44</f>
        <v>3.4849817519999999E-10</v>
      </c>
      <c r="AZ44" s="71">
        <f>IFERROR(s_RadSpec!$E$15*AZ15,".")*$B$44</f>
        <v>1.9762650542146205E-12</v>
      </c>
      <c r="BA44" s="71">
        <f>IFERROR(s_RadSpec!$E$15*BA15,".")*$B$44</f>
        <v>4.8789744527999983E-16</v>
      </c>
      <c r="BB44" s="71">
        <f>IFERROR(s_RadSpec!$E$15*BB15,".")*$B$44</f>
        <v>3.4849817519999999E-10</v>
      </c>
      <c r="BC44" s="71">
        <f>IFERROR(s_RadSpec!$E$15*BC15,".")*$B$44</f>
        <v>0</v>
      </c>
      <c r="BD44" s="71">
        <f>IFERROR(s_RadSpec!$E$15*BD15,".")*$B$44</f>
        <v>0</v>
      </c>
      <c r="BE44" s="49">
        <f t="shared" si="35"/>
        <v>3.4849817519999999E-10</v>
      </c>
      <c r="BF44" s="49">
        <f t="shared" si="36"/>
        <v>1.9762650542146205E-12</v>
      </c>
      <c r="BG44" s="49">
        <f t="shared" si="36"/>
        <v>4.8789744527999983E-16</v>
      </c>
      <c r="BH44" s="49">
        <f t="shared" si="36"/>
        <v>3.4849817519999999E-10</v>
      </c>
      <c r="BI44" s="49">
        <f t="shared" si="36"/>
        <v>0</v>
      </c>
      <c r="BJ44" s="49">
        <f t="shared" si="36"/>
        <v>0</v>
      </c>
    </row>
    <row r="45" spans="1:62" x14ac:dyDescent="0.25">
      <c r="A45" s="57" t="s">
        <v>20</v>
      </c>
      <c r="B45" s="57" t="s">
        <v>1259</v>
      </c>
      <c r="C45" s="58">
        <f>IFERROR(IF(AND(C46&lt;&gt;0,C47&lt;&gt;0),1/SUM(1/C46,1/C47),IF(AND(C46&lt;&gt;0,C47=0),1/(1/C46),IF(AND(C46=0,C47&lt;&gt;0),1/(1/C47),IF(AND(C46=0,C47=0),".")))),".")</f>
        <v>4273.0477513086207</v>
      </c>
      <c r="D45" s="58">
        <f t="shared" ref="D45:F45" si="56">IFERROR(IF(AND(D46&lt;&gt;0,D47&lt;&gt;0),1/SUM(1/D46,1/D47),IF(AND(D46&lt;&gt;0,D47=0),1/(1/D46),IF(AND(D46=0,D47&lt;&gt;0),1/(1/D47),IF(AND(D46=0,D47=0),".")))),".")</f>
        <v>15109312.602179976</v>
      </c>
      <c r="E45" s="58">
        <f t="shared" si="56"/>
        <v>92.071515111472735</v>
      </c>
      <c r="F45" s="62">
        <f t="shared" si="56"/>
        <v>90.128954046597642</v>
      </c>
      <c r="G45" s="70"/>
      <c r="H45" s="70"/>
      <c r="I45" s="70"/>
      <c r="J45" s="47">
        <f>IFERROR(IF(SUM(G46:G47)&gt;0.01,1-EXP(-SUM(G46:G47)),SUM(G46:G47)),".")</f>
        <v>1.170125E-9</v>
      </c>
      <c r="K45" s="47">
        <f>IFERROR(IF(SUM(H46:H47)&gt;0.01,1-EXP(-SUM(H46:H47)),SUM(H46:H47)),".")</f>
        <v>3.3092173890681153E-13</v>
      </c>
      <c r="L45" s="47">
        <f>IFERROR(IF(SUM(I46:I47)&gt;0.01,1-EXP(-SUM(I46:I47)),SUM(I46:I47)),".")</f>
        <v>5.4305612261798937E-8</v>
      </c>
      <c r="M45" s="47">
        <f>IFERROR(IF(SUM(G46:I47)&gt;0.01,1-EXP(-SUM(G46:I47)),SUM(G46:I47)),".")</f>
        <v>5.5476068183537847E-8</v>
      </c>
      <c r="N45" s="59">
        <f t="shared" ref="N45:R45" si="57">IFERROR(IF(AND(N46&lt;&gt;0,N47&lt;&gt;0),1/SUM(1/N46,1/N47),IF(AND(N46&lt;&gt;0,N47=0),1/(1/N46),IF(AND(N46=0,N47&lt;&gt;0),1/(1/N47),IF(AND(N46=0,N47=0),".")))),".")</f>
        <v>92.071515111472735</v>
      </c>
      <c r="O45" s="59">
        <f t="shared" si="57"/>
        <v>843.11464489097557</v>
      </c>
      <c r="P45" s="59">
        <f t="shared" si="57"/>
        <v>211.29624756327911</v>
      </c>
      <c r="Q45" s="59">
        <f t="shared" si="57"/>
        <v>112.69063856407902</v>
      </c>
      <c r="R45" s="59">
        <f t="shared" si="57"/>
        <v>1445.3988562720833</v>
      </c>
      <c r="S45" s="70"/>
      <c r="T45" s="70"/>
      <c r="U45" s="70"/>
      <c r="V45" s="70"/>
      <c r="W45" s="70"/>
      <c r="X45" s="47">
        <f>IFERROR(IF(SUM(S46:S47)&gt;0.01,1-EXP(-SUM(S46:S47)),SUM(S46:S47)),".")</f>
        <v>5.4305612261798937E-8</v>
      </c>
      <c r="Y45" s="47">
        <f t="shared" ref="Y45:AB45" si="58">IFERROR(IF(SUM(T46:T47)&gt;0.01,1-EXP(-SUM(T46:T47)),SUM(T46:T47)),".")</f>
        <v>5.9303915906318519E-9</v>
      </c>
      <c r="Z45" s="47">
        <f t="shared" si="58"/>
        <v>2.3663458569005568E-8</v>
      </c>
      <c r="AA45" s="47">
        <f t="shared" si="58"/>
        <v>4.4369257852389059E-8</v>
      </c>
      <c r="AB45" s="47">
        <f t="shared" si="58"/>
        <v>3.4592527718582846E-9</v>
      </c>
      <c r="AC45" s="58">
        <f t="shared" ref="AC45:AE45" si="59">IFERROR(IF(AND(AC46&lt;&gt;0,AC47&lt;&gt;0),1/SUM(1/AC46,1/AC47),IF(AND(AC46&lt;&gt;0,AC47=0),1/(1/AC46),IF(AND(AC46=0,AC47&lt;&gt;0),1/(1/AC47),IF(AND(AC46=0,AC47=0),".")))),".")</f>
        <v>48.770575086364566</v>
      </c>
      <c r="AD45" s="58">
        <f t="shared" si="59"/>
        <v>3676.8957129723635</v>
      </c>
      <c r="AE45" s="59">
        <f t="shared" si="59"/>
        <v>48.132147269606428</v>
      </c>
      <c r="AF45" s="70"/>
      <c r="AG45" s="70"/>
      <c r="AH45" s="47">
        <f>IFERROR(IF(SUM(AF46:AF47)&gt;0.01,1-EXP(-SUM(AF46:AF47)),SUM(AF46:AF47)),".")</f>
        <v>1.0252083333333332E-7</v>
      </c>
      <c r="AI45" s="47">
        <f>IFERROR(IF(SUM(AG46:AG47)&gt;0.01,1-EXP(-SUM(AG46:AG47)),SUM(AG46:AG47)),".")</f>
        <v>1.3598427560399996E-9</v>
      </c>
      <c r="AJ45" s="47">
        <f t="shared" ref="AJ45" si="60">IFERROR(IF(SUM(AH46:AH47)&gt;0.01,1-EXP(-SUM(AH46:AH47)),SUM(AH46:AH47)),".")</f>
        <v>1.0252083333333332E-7</v>
      </c>
      <c r="AK45" s="58">
        <f t="shared" ref="AK45:AM45" si="61">IFERROR(IF(AND(AK46&lt;&gt;0,AK47&lt;&gt;0),1/SUM(1/AK46,1/AK47),IF(AND(AK46&lt;&gt;0,AK47=0),1/(1/AK46),IF(AND(AK46=0,AK47&lt;&gt;0),1/(1/AK47),IF(AND(AK46=0,AK47=0),".")))),".")</f>
        <v>16.399895040671737</v>
      </c>
      <c r="AL45" s="58">
        <f t="shared" si="61"/>
        <v>4243619.8704233496</v>
      </c>
      <c r="AM45" s="62">
        <f t="shared" si="61"/>
        <v>16.399831661875769</v>
      </c>
      <c r="AN45" s="70"/>
      <c r="AO45" s="70"/>
      <c r="AP45" s="47">
        <f>IFERROR(IF(SUM(AN46:AN47)&gt;0.01,1-EXP(-SUM(AN46:AN47)),SUM(AN46:AN47)),".")</f>
        <v>3.0487999999999996E-7</v>
      </c>
      <c r="AQ45" s="47">
        <f>IFERROR(IF(SUM(AO46:AO47)&gt;0.01,1-EXP(-SUM(AO46:AO47)),SUM(AO46:AO47)),".")</f>
        <v>1.178239369376219E-12</v>
      </c>
      <c r="AR45" s="47">
        <f>IFERROR(IF(SUM(AN46:AO47)&gt;0.01,1-EXP(-SUM(AN46:AO47)),SUM(AN46:AO47)),".")</f>
        <v>3.0488117823936934E-7</v>
      </c>
      <c r="AS45" s="61">
        <f t="shared" ref="AS45:AX45" si="62">IFERROR(IF(AND(AS46&lt;&gt;0,AS47&lt;&gt;0),1/SUM(1/AS46,1/AS47),IF(AND(AS46&lt;&gt;0,AS47=0),1/(1/AS46),IF(AND(AS46=0,AS47&lt;&gt;0),1/(1/AS47),IF(AND(AS46=0,AS47=0),".")))),".")</f>
        <v>133.79716350013379</v>
      </c>
      <c r="AT45" s="61">
        <f t="shared" si="62"/>
        <v>735.68821572654213</v>
      </c>
      <c r="AU45" s="61">
        <f t="shared" si="62"/>
        <v>3040844.6250030408</v>
      </c>
      <c r="AV45" s="61">
        <f t="shared" si="62"/>
        <v>133.79716350013379</v>
      </c>
      <c r="AW45" s="61">
        <f t="shared" si="62"/>
        <v>5.9944965725866401</v>
      </c>
      <c r="AX45" s="61">
        <f t="shared" si="62"/>
        <v>24777.252500024773</v>
      </c>
      <c r="AY45" s="70"/>
      <c r="AZ45" s="70"/>
      <c r="BA45" s="70"/>
      <c r="BB45" s="70"/>
      <c r="BC45" s="70"/>
      <c r="BD45" s="70"/>
      <c r="BE45" s="47">
        <f>IFERROR(IF(SUM(AY46:AY47)&gt;0.01,1-EXP(-SUM(AY46:AY47)),SUM(AY46:AY47)),".")</f>
        <v>3.7370000000000003E-8</v>
      </c>
      <c r="BF45" s="47">
        <f t="shared" ref="BF45:BJ45" si="63">IFERROR(IF(SUM(AZ46:AZ47)&gt;0.01,1-EXP(-SUM(AZ46:AZ47)),SUM(AZ46:AZ47)),".")</f>
        <v>6.7963573333333329E-9</v>
      </c>
      <c r="BG45" s="47">
        <f t="shared" si="63"/>
        <v>1.6442799999999999E-12</v>
      </c>
      <c r="BH45" s="47">
        <f t="shared" si="63"/>
        <v>3.7370000000000003E-8</v>
      </c>
      <c r="BI45" s="47">
        <f t="shared" si="63"/>
        <v>8.340983999999999E-7</v>
      </c>
      <c r="BJ45" s="47">
        <f t="shared" si="63"/>
        <v>2.0179800000000003E-10</v>
      </c>
    </row>
    <row r="46" spans="1:62" x14ac:dyDescent="0.25">
      <c r="A46" s="48" t="s">
        <v>1101</v>
      </c>
      <c r="B46" s="15">
        <v>1</v>
      </c>
      <c r="C46" s="60">
        <f>IFERROR(C10/$B46,0)</f>
        <v>4273.0477513086207</v>
      </c>
      <c r="D46" s="60">
        <f>IFERROR(D10/$B46,0)</f>
        <v>15109312.602179976</v>
      </c>
      <c r="E46" s="60">
        <f>IFERROR(E10/$B46,0)</f>
        <v>495475.08280774747</v>
      </c>
      <c r="F46" s="63">
        <f>IF(AND(C46&lt;&gt;0,D46&lt;&gt;0,E46&lt;&gt;0),1/((1/C46)+(1/D46)+(1/E46)),IF(AND(C46&lt;&gt;0,D46&lt;&gt;0,E46=0), 1/((1/C46)+(1/D46)),IF(AND(C46&lt;&gt;0,D46=0,E46&lt;&gt;0),1/((1/C46)+(1/E46)),IF(AND(C46=0,D46&lt;&gt;0,E46&lt;&gt;0),1/((1/D46)+(1/E46)),IF(AND(C46&lt;&gt;0,D46=0,E46=0),1/((1/C46)),IF(AND(C46=0,D46&lt;&gt;0,E46=0),1/((1/D46)),IF(AND(C46=0,D46=0,E46&lt;&gt;0),1/((1/E46)),IF(AND(C46=0,D46=0,E46=0),0))))))))</f>
        <v>4235.3239267477302</v>
      </c>
      <c r="G46" s="71">
        <f>IFERROR(s_RadSpec!$D$10*G10,".")*$B$46</f>
        <v>1.170125E-9</v>
      </c>
      <c r="H46" s="71">
        <f>IFERROR(s_RadSpec!$G$10*H10,".")*B46</f>
        <v>3.3092173890681153E-13</v>
      </c>
      <c r="I46" s="71">
        <f>IFERROR(s_RadSpec!$F$10*I10,".")*B46</f>
        <v>1.0091324818326094E-11</v>
      </c>
      <c r="J46" s="49">
        <f t="shared" ref="J46:L47" si="64">IFERROR(IF(G46&gt;0.01,1-EXP(-G46),G46),".")</f>
        <v>1.170125E-9</v>
      </c>
      <c r="K46" s="49">
        <f t="shared" si="64"/>
        <v>3.3092173890681153E-13</v>
      </c>
      <c r="L46" s="49">
        <f t="shared" si="64"/>
        <v>1.0091324818326094E-11</v>
      </c>
      <c r="M46" s="49">
        <f t="shared" ref="M46:M47" si="65">IFERROR(IF(SUM(G46:I46)&gt;0.01,1-EXP(-SUM(G46:I46)),SUM(G46:I46)),".")</f>
        <v>1.1805472465572329E-9</v>
      </c>
      <c r="N46" s="60">
        <f>IFERROR(N10/$B46,0)</f>
        <v>495475.08280774747</v>
      </c>
      <c r="O46" s="60">
        <f>IFERROR(O10/$B46,0)</f>
        <v>2215987.1149827191</v>
      </c>
      <c r="P46" s="60">
        <f>IFERROR(P10/$B46,0)</f>
        <v>718052.81451185967</v>
      </c>
      <c r="Q46" s="60">
        <f>IFERROR(Q10/$B46,0)</f>
        <v>514071.40442078369</v>
      </c>
      <c r="R46" s="60">
        <f>IFERROR(R10/$B46,0)</f>
        <v>1295195.6969879628</v>
      </c>
      <c r="S46" s="71">
        <f>IFERROR(s_RadSpec!$F$10*S10,".")*$B46</f>
        <v>1.0091324818326094E-11</v>
      </c>
      <c r="T46" s="71">
        <f>IFERROR(s_RadSpec!$M$10*T10,".")*$B46</f>
        <v>2.2563308090530087E-12</v>
      </c>
      <c r="U46" s="71">
        <f>IFERROR(s_RadSpec!$N$10*U10,".")*$B46</f>
        <v>6.9632760974539934E-12</v>
      </c>
      <c r="V46" s="71">
        <f>IFERROR(s_RadSpec!$O$10*V10,".")*$B46</f>
        <v>9.7262752936697905E-12</v>
      </c>
      <c r="W46" s="71">
        <f>IFERROR(s_RadSpec!$K$10*W10,".")*$B46</f>
        <v>3.8604204844316027E-12</v>
      </c>
      <c r="X46" s="49">
        <f t="shared" ref="X46:AB47" si="66">IFERROR(IF(S46&gt;0.01,1-EXP(-S46),S46),".")</f>
        <v>1.0091324818326094E-11</v>
      </c>
      <c r="Y46" s="49">
        <f t="shared" si="66"/>
        <v>2.2563308090530087E-12</v>
      </c>
      <c r="Z46" s="49">
        <f t="shared" si="66"/>
        <v>6.9632760974539934E-12</v>
      </c>
      <c r="AA46" s="49">
        <f t="shared" si="66"/>
        <v>9.7262752936697905E-12</v>
      </c>
      <c r="AB46" s="49">
        <f t="shared" si="66"/>
        <v>3.8604204844316027E-12</v>
      </c>
      <c r="AC46" s="60">
        <f>IFERROR(AC10/$B46,0)</f>
        <v>48.770575086364566</v>
      </c>
      <c r="AD46" s="60">
        <f>IFERROR(AD10/$B46,0)</f>
        <v>5397387.6968869064</v>
      </c>
      <c r="AE46" s="60">
        <f t="shared" ref="AE46:AE47" si="67">IFERROR(IF(AND(AC46&lt;&gt;0,AD46&lt;&gt;0),1/((1/AC46)+(1/AD46)),IF(AND(AC46&lt;&gt;0,AD46=0),1/((1/AC46)),IF(AND(AC46=0,AD46&lt;&gt;0),1/((1/AD46)),IF(AND(AC46=".",AD46="."),".")))),".")</f>
        <v>48.770134401419298</v>
      </c>
      <c r="AF46" s="71">
        <f>IFERROR(s_RadSpec!$G$10*AF10,".")*$B$46</f>
        <v>1.0252083333333332E-7</v>
      </c>
      <c r="AG46" s="71">
        <f>IFERROR(s_RadSpec!$J$10*AG10,".")*$B$46</f>
        <v>9.2637406849315067E-13</v>
      </c>
      <c r="AH46" s="49">
        <f>IFERROR(IF(AF46&gt;0.01,1-EXP(-AF46),AF46),".")</f>
        <v>1.0252083333333332E-7</v>
      </c>
      <c r="AI46" s="49">
        <f>IFERROR(IF(AG46&gt;0.01,1-EXP(-AG46),AG46),".")</f>
        <v>9.2637406849315067E-13</v>
      </c>
      <c r="AJ46" s="49">
        <f>IFERROR(IF(SUM(AF46:AG46)&gt;0.01,1-EXP(-SUM(AF46:AG46)),SUM(AF46:AG46)),".")</f>
        <v>1.0252175970740181E-7</v>
      </c>
      <c r="AK46" s="60">
        <f>IFERROR(AK10/$B46,0)</f>
        <v>16.399895040671737</v>
      </c>
      <c r="AL46" s="60">
        <f>IFERROR(AL10/$B46,0)</f>
        <v>9768709503.4802094</v>
      </c>
      <c r="AM46" s="63">
        <f t="shared" ref="AM46:AM47" si="68">IFERROR(IF(AND(AK46&lt;&gt;0,AL46&lt;&gt;0),1/((1/AK46)+(1/AL46)),IF(AND(AK46&lt;&gt;0,AL46=0),1/((1/AK46)),IF(AND(AK46=0,AL46&lt;&gt;0),1/((1/AL46)),IF(AND(AK46=0,AL46=0),0)))),0)</f>
        <v>16.399895013139282</v>
      </c>
      <c r="AN46" s="71">
        <f>IFERROR(s_RadSpec!$H$10*AN10,".")*$B$46</f>
        <v>3.0487999999999996E-7</v>
      </c>
      <c r="AO46" s="71">
        <f>IFERROR(s_RadSpec!$L$10*AO10,".")*$B$46</f>
        <v>5.1183833424657537E-16</v>
      </c>
      <c r="AP46" s="49">
        <f>IFERROR(IF(AN46&gt;0.01,1-EXP(-AN46),AN46),".")</f>
        <v>3.0487999999999996E-7</v>
      </c>
      <c r="AQ46" s="49">
        <f>IFERROR(IF(AO46&gt;0.01,1-EXP(-AO46),AO46),".")</f>
        <v>5.1183833424657537E-16</v>
      </c>
      <c r="AR46" s="49">
        <f>IFERROR(IF(SUM(AN46:AO46)&gt;0.01,1-EXP(-SUM(AN46:AO46)),SUM(AN46:AO46)),".")</f>
        <v>3.0488000051183831E-7</v>
      </c>
      <c r="AS46" s="63">
        <f t="shared" ref="AS46:AX46" si="69">IFERROR(AS10/$B46,0)</f>
        <v>133.79716350013379</v>
      </c>
      <c r="AT46" s="63">
        <f t="shared" si="69"/>
        <v>735.68821572654213</v>
      </c>
      <c r="AU46" s="63">
        <f t="shared" si="69"/>
        <v>3040844.6250030408</v>
      </c>
      <c r="AV46" s="63">
        <f t="shared" si="69"/>
        <v>133.79716350013379</v>
      </c>
      <c r="AW46" s="63">
        <f t="shared" si="69"/>
        <v>5.9944965725866393</v>
      </c>
      <c r="AX46" s="63">
        <f t="shared" si="69"/>
        <v>24777.252500024773</v>
      </c>
      <c r="AY46" s="71">
        <f>IFERROR(s_RadSpec!$E$10*AY10,".")*$B$46</f>
        <v>3.7370000000000003E-8</v>
      </c>
      <c r="AZ46" s="71">
        <f>IFERROR(s_RadSpec!$E$10*AZ10,".")*$B$46</f>
        <v>6.7963573333333329E-9</v>
      </c>
      <c r="BA46" s="71">
        <f>IFERROR(s_RadSpec!$E$10*BA10,".")*$B$46</f>
        <v>1.6442799999999999E-12</v>
      </c>
      <c r="BB46" s="71">
        <f>IFERROR(s_RadSpec!$E$10*BB10,".")*$B$46</f>
        <v>3.7370000000000003E-8</v>
      </c>
      <c r="BC46" s="71">
        <f>IFERROR(s_RadSpec!$E$10*BC10,".")*$B$46</f>
        <v>8.340983999999999E-7</v>
      </c>
      <c r="BD46" s="71">
        <f>IFERROR(s_RadSpec!$E$10*BD10,".")*$B$46</f>
        <v>2.0179800000000003E-10</v>
      </c>
      <c r="BE46" s="49">
        <f>IFERROR(IF(AY46&gt;0.01,1-EXP(-AY46),AY46),".")</f>
        <v>3.7370000000000003E-8</v>
      </c>
      <c r="BF46" s="49">
        <f t="shared" ref="BF46:BJ47" si="70">IFERROR(IF(AZ46&gt;0.01,1-EXP(-AZ46),AZ46),".")</f>
        <v>6.7963573333333329E-9</v>
      </c>
      <c r="BG46" s="49">
        <f t="shared" si="70"/>
        <v>1.6442799999999999E-12</v>
      </c>
      <c r="BH46" s="49">
        <f t="shared" si="70"/>
        <v>3.7370000000000003E-8</v>
      </c>
      <c r="BI46" s="49">
        <f t="shared" si="70"/>
        <v>8.340983999999999E-7</v>
      </c>
      <c r="BJ46" s="49">
        <f t="shared" si="70"/>
        <v>2.0179800000000003E-10</v>
      </c>
    </row>
    <row r="47" spans="1:62" x14ac:dyDescent="0.25">
      <c r="A47" s="48" t="s">
        <v>1075</v>
      </c>
      <c r="B47" s="51">
        <v>0.94399</v>
      </c>
      <c r="C47" s="60">
        <f>IFERROR(C6/$B$47,0)</f>
        <v>0</v>
      </c>
      <c r="D47" s="60">
        <f>IFERROR(D6/$B$47,0)</f>
        <v>0</v>
      </c>
      <c r="E47" s="60">
        <f>IFERROR(E6/$B$47,0)</f>
        <v>92.088627454249291</v>
      </c>
      <c r="F47" s="63">
        <f>IF(AND(C47&lt;&gt;0,D47&lt;&gt;0,E47&lt;&gt;0),1/((1/C47)+(1/D47)+(1/E47)),IF(AND(C47&lt;&gt;0,D47&lt;&gt;0,E47=0), 1/((1/C47)+(1/D47)),IF(AND(C47&lt;&gt;0,D47=0,E47&lt;&gt;0),1/((1/C47)+(1/E47)),IF(AND(C47=0,D47&lt;&gt;0,E47&lt;&gt;0),1/((1/D47)+(1/E47)),IF(AND(C47&lt;&gt;0,D47=0,E47=0),1/((1/C47)),IF(AND(C47=0,D47&lt;&gt;0,E47=0),1/((1/D47)),IF(AND(C47=0,D47=0,E47&lt;&gt;0),1/((1/E47)),IF(AND(C47=0,D47=0,E47=0),0))))))))</f>
        <v>92.088627454249291</v>
      </c>
      <c r="G47" s="71">
        <f>IFERROR(s_RadSpec!$D$6*G6,".")*$B$47</f>
        <v>0</v>
      </c>
      <c r="H47" s="71">
        <f>IFERROR(s_RadSpec!$G$6*$H$6,".")*B47</f>
        <v>0</v>
      </c>
      <c r="I47" s="71">
        <f>IFERROR(s_RadSpec!$F$6*$I$6,".")*B47</f>
        <v>5.4295520936980611E-8</v>
      </c>
      <c r="J47" s="49">
        <f t="shared" si="64"/>
        <v>0</v>
      </c>
      <c r="K47" s="49">
        <f t="shared" si="64"/>
        <v>0</v>
      </c>
      <c r="L47" s="49">
        <f t="shared" si="64"/>
        <v>5.4295520936980611E-8</v>
      </c>
      <c r="M47" s="49">
        <f t="shared" si="65"/>
        <v>5.4295520936980611E-8</v>
      </c>
      <c r="N47" s="60">
        <f>IFERROR(N6/$B$47,0)</f>
        <v>92.088627454249291</v>
      </c>
      <c r="O47" s="60">
        <f>IFERROR(O6/$B$47,0)</f>
        <v>843.43554606233101</v>
      </c>
      <c r="P47" s="60">
        <f>IFERROR(P6/$B$47,0)</f>
        <v>211.35844249502713</v>
      </c>
      <c r="Q47" s="60">
        <f>IFERROR(Q6/$B$47,0)</f>
        <v>112.71534712466851</v>
      </c>
      <c r="R47" s="60">
        <f>IFERROR(R6/$B$47,0)</f>
        <v>1447.0136793617705</v>
      </c>
      <c r="S47" s="71">
        <f>IFERROR(s_RadSpec!$F$6*S6,".")*$B47</f>
        <v>5.4295520936980611E-8</v>
      </c>
      <c r="T47" s="71">
        <f>IFERROR(s_RadSpec!$M$6*T6,".")*$B47</f>
        <v>5.928135259822799E-9</v>
      </c>
      <c r="U47" s="71">
        <f>IFERROR(s_RadSpec!$N$6*U6,".")*$B47</f>
        <v>2.3656495292908115E-8</v>
      </c>
      <c r="V47" s="71">
        <f>IFERROR(s_RadSpec!$O$6*V6,".")*$B47</f>
        <v>4.4359531577095386E-8</v>
      </c>
      <c r="W47" s="71">
        <f>IFERROR(s_RadSpec!$K$6*W6,".")*$B47</f>
        <v>3.455392351373853E-9</v>
      </c>
      <c r="X47" s="49">
        <f t="shared" si="66"/>
        <v>5.4295520936980611E-8</v>
      </c>
      <c r="Y47" s="49">
        <f t="shared" si="66"/>
        <v>5.928135259822799E-9</v>
      </c>
      <c r="Z47" s="49">
        <f t="shared" si="66"/>
        <v>2.3656495292908115E-8</v>
      </c>
      <c r="AA47" s="49">
        <f t="shared" si="66"/>
        <v>4.4359531577095386E-8</v>
      </c>
      <c r="AB47" s="49">
        <f t="shared" si="66"/>
        <v>3.455392351373853E-9</v>
      </c>
      <c r="AC47" s="60">
        <f>IFERROR(AC6/$B$47,0)</f>
        <v>0</v>
      </c>
      <c r="AD47" s="60">
        <f>IFERROR(AD6/$B$47,0)</f>
        <v>3679.4022548657726</v>
      </c>
      <c r="AE47" s="60">
        <f t="shared" si="67"/>
        <v>3679.4022548657726</v>
      </c>
      <c r="AF47" s="71">
        <f>IFERROR(s_RadSpec!$G$6*AF6,".")*$B$47</f>
        <v>0</v>
      </c>
      <c r="AG47" s="71">
        <f>IFERROR(s_RadSpec!$J$6*AG6,".")*$B$47</f>
        <v>1.3589163819715065E-9</v>
      </c>
      <c r="AH47" s="49">
        <f>IFERROR(IF(AF47&gt;0.01,1-EXP(-AF47),AF47),".")</f>
        <v>0</v>
      </c>
      <c r="AI47" s="49">
        <f>IFERROR(IF(AG47&gt;0.01,1-EXP(-AG47),AG47),".")</f>
        <v>1.3589163819715065E-9</v>
      </c>
      <c r="AJ47" s="49">
        <f>IFERROR(IF(SUM(AF47:AG47)&gt;0.01,1-EXP(-SUM(AF47:AG47)),SUM(AF47:AG47)),".")</f>
        <v>1.3589163819715065E-9</v>
      </c>
      <c r="AK47" s="60">
        <f>IFERROR(AK6/$B$47,0)</f>
        <v>0</v>
      </c>
      <c r="AL47" s="60">
        <f>IFERROR(AL6/$B$47,0)</f>
        <v>4245464.1402297374</v>
      </c>
      <c r="AM47" s="63">
        <f t="shared" si="68"/>
        <v>4245464.1402297374</v>
      </c>
      <c r="AN47" s="71">
        <f>IFERROR(s_RadSpec!$H$6*AN6,".")*$B$47</f>
        <v>0</v>
      </c>
      <c r="AO47" s="71">
        <f>IFERROR(s_RadSpec!$L$6*AO6,".")*$B$47</f>
        <v>1.1777275310419724E-12</v>
      </c>
      <c r="AP47" s="49">
        <f>IFERROR(IF(AN47&gt;0.01,1-EXP(-AN47),AN47),".")</f>
        <v>0</v>
      </c>
      <c r="AQ47" s="49">
        <f>IFERROR(IF(AO47&gt;0.01,1-EXP(-AO47),AO47),".")</f>
        <v>1.1777275310419724E-12</v>
      </c>
      <c r="AR47" s="49">
        <f>IFERROR(IF(SUM(AN47:AO47)&gt;0.01,1-EXP(-SUM(AN47:AO47)),SUM(AN47:AO47)),".")</f>
        <v>1.1777275310419724E-12</v>
      </c>
      <c r="AS47" s="63">
        <f t="shared" ref="AS47:AX47" si="71">IFERROR(AS6/$B$47,0)</f>
        <v>0</v>
      </c>
      <c r="AT47" s="63">
        <f t="shared" si="71"/>
        <v>0</v>
      </c>
      <c r="AU47" s="63">
        <f t="shared" si="71"/>
        <v>0</v>
      </c>
      <c r="AV47" s="63">
        <f t="shared" si="71"/>
        <v>0</v>
      </c>
      <c r="AW47" s="63">
        <f t="shared" si="71"/>
        <v>0</v>
      </c>
      <c r="AX47" s="63">
        <f t="shared" si="71"/>
        <v>0</v>
      </c>
      <c r="AY47" s="71">
        <f>IFERROR(s_RadSpec!$E$6*AY6,".")*$B$47</f>
        <v>0</v>
      </c>
      <c r="AZ47" s="71">
        <f>IFERROR(s_RadSpec!$E$6*AZ6,".")*$B$47</f>
        <v>0</v>
      </c>
      <c r="BA47" s="71">
        <f>IFERROR(s_RadSpec!$E$6*BA6,".")*$B$47</f>
        <v>0</v>
      </c>
      <c r="BB47" s="71">
        <f>IFERROR(s_RadSpec!$E$6*BB6,".")*$B$47</f>
        <v>0</v>
      </c>
      <c r="BC47" s="71">
        <f>IFERROR(s_RadSpec!$E$6*BC6,".")*$B$47</f>
        <v>0</v>
      </c>
      <c r="BD47" s="71">
        <f>IFERROR(s_RadSpec!$E$6*BD6,".")*$B$47</f>
        <v>0</v>
      </c>
      <c r="BE47" s="49">
        <f>IFERROR(IF(AY47&gt;0.01,1-EXP(-AY47),AY47),".")</f>
        <v>0</v>
      </c>
      <c r="BF47" s="49">
        <f t="shared" si="70"/>
        <v>0</v>
      </c>
      <c r="BG47" s="49">
        <f t="shared" si="70"/>
        <v>0</v>
      </c>
      <c r="BH47" s="49">
        <f t="shared" si="70"/>
        <v>0</v>
      </c>
      <c r="BI47" s="49">
        <f t="shared" si="70"/>
        <v>0</v>
      </c>
      <c r="BJ47" s="49">
        <f t="shared" si="70"/>
        <v>0</v>
      </c>
    </row>
    <row r="48" spans="1:62" x14ac:dyDescent="0.25">
      <c r="A48" s="57" t="s">
        <v>33</v>
      </c>
      <c r="B48" s="57" t="s">
        <v>1259</v>
      </c>
      <c r="C48" s="58">
        <f>1/SUM(1/C49,1/C52,1/C54,1/C58,1/C59,1/C61)</f>
        <v>31.933737567533719</v>
      </c>
      <c r="D48" s="58">
        <f>1/SUM(1/D49,1/D50,1/D51,1/D52,1/D54,1/D58,1/D59,1/D61)</f>
        <v>28734.504184182566</v>
      </c>
      <c r="E48" s="58">
        <f>1/SUM(1/E49,1/E50,1/E52,1/E54,1/E55,1/E56,1/E57,1/E58,1/E59,1/E60,1/E61,1/E62)</f>
        <v>18.489390333964074</v>
      </c>
      <c r="F48" s="62">
        <f>1/SUM(1/F49,1/F50,1/F52,1/F54,1/F55,1/F56,1/F57,1/F58,1/F59,1/F60,1/F61,1/F62)</f>
        <v>11.70484476381054</v>
      </c>
      <c r="G48" s="70"/>
      <c r="H48" s="70"/>
      <c r="I48" s="70"/>
      <c r="J48" s="47">
        <f>IFERROR(IF(SUM(G49:G62)&gt;0.01,1-EXP(-SUM(G49:G62)),SUM(G49:G62)),".")</f>
        <v>1.5657421839288184E-7</v>
      </c>
      <c r="K48" s="47">
        <f>IFERROR(IF(SUM(H49:H62)&gt;0.01,1-EXP(-SUM(H49:H62)),SUM(H49:H62)),".")</f>
        <v>1.7400683053206609E-10</v>
      </c>
      <c r="L48" s="47">
        <f>IFERROR(IF(SUM(I49:I62)&gt;0.01,1-EXP(-SUM(I49:I62)),SUM(I49:I62)),".")</f>
        <v>2.7042535798572291E-7</v>
      </c>
      <c r="M48" s="47">
        <f>IFERROR(IF(SUM(G49:I62)&gt;0.01,1-EXP(-SUM(G49:I62)),SUM(G49:I62)),".")</f>
        <v>4.2717358320913684E-7</v>
      </c>
      <c r="N48" s="59">
        <f t="shared" ref="N48:R48" si="72">1/SUM(1/N49,1/N50,1/N52,1/N54,1/N55,1/N56,1/N57,1/N58,1/N59,1/N60,1/N61,1/N62)</f>
        <v>18.489390333964074</v>
      </c>
      <c r="O48" s="59">
        <f t="shared" si="72"/>
        <v>204.70789525470192</v>
      </c>
      <c r="P48" s="59">
        <f t="shared" si="72"/>
        <v>50.471717946634143</v>
      </c>
      <c r="Q48" s="59">
        <f t="shared" si="72"/>
        <v>26.074286386873823</v>
      </c>
      <c r="R48" s="59">
        <f t="shared" si="72"/>
        <v>375.34756933637584</v>
      </c>
      <c r="S48" s="70"/>
      <c r="T48" s="70"/>
      <c r="U48" s="70"/>
      <c r="V48" s="70"/>
      <c r="W48" s="70"/>
      <c r="X48" s="47">
        <f>IFERROR(IF(SUM(S49:S62)&gt;0.01,1-EXP(-SUM(S49:S62)),SUM(S49:S62)),".")</f>
        <v>2.7042535798572291E-7</v>
      </c>
      <c r="Y48" s="47">
        <f t="shared" ref="Y48:AB48" si="73">IFERROR(IF(SUM(T49:T62)&gt;0.01,1-EXP(-SUM(T49:T62)),SUM(T49:T62)),".")</f>
        <v>2.442504718139422E-8</v>
      </c>
      <c r="Z48" s="47">
        <f t="shared" si="73"/>
        <v>9.9065381631881589E-8</v>
      </c>
      <c r="AA48" s="47">
        <f t="shared" si="73"/>
        <v>1.9175980219796429E-7</v>
      </c>
      <c r="AB48" s="47">
        <f t="shared" si="73"/>
        <v>1.332098675592899E-8</v>
      </c>
      <c r="AC48" s="58">
        <f>1/SUM(1/AC49,1/AC50,1/AC51,1/AC52,1/AC54,1/AC58,1/AC59,1/AC61)</f>
        <v>9.2750632062635216E-2</v>
      </c>
      <c r="AD48" s="58">
        <f t="shared" ref="AD48:AE48" si="74">1/SUM(1/AD49,1/AD50,1/AD51,1/AD52,1/AD53,1/AD54,1/AD55,1/AD56,1/AD57,1/AD58,1/AD59,1/AD60,1/AD61,1/AD62)</f>
        <v>1130.0310562041309</v>
      </c>
      <c r="AE48" s="59">
        <f t="shared" si="74"/>
        <v>9.2743019905722882E-2</v>
      </c>
      <c r="AF48" s="70"/>
      <c r="AG48" s="70"/>
      <c r="AH48" s="47">
        <f>IFERROR(IF(SUM(AF49:AF62)&gt;0.01,1-EXP(-SUM(AF49:AF62)),SUM(AF49:AF62)),".")</f>
        <v>5.3907988428838538E-5</v>
      </c>
      <c r="AI48" s="47">
        <f>IFERROR(IF(SUM(AG49:AG62)&gt;0.01,1-EXP(-SUM(AG49:AG62)),SUM(AG49:AG62)),".")</f>
        <v>4.4246571565877307E-9</v>
      </c>
      <c r="AJ48" s="47">
        <f>IFERROR(IF(SUM(AF49:AG62)&gt;0.01,1-EXP(-SUM(AF49:AG62)),SUM(AF49:AG62)),".")</f>
        <v>5.391241308599512E-5</v>
      </c>
      <c r="AK48" s="58">
        <f>1/SUM(1/AK49,1/AK52,1/AK54,1/AK58,1/AK59,1/AK61)</f>
        <v>0.16369004873659893</v>
      </c>
      <c r="AL48" s="58">
        <f t="shared" ref="AL48:AM48" si="75">1/SUM(1/AL49,1/AL50,1/AL51,1/AL52,1/AL53,1/AL54,1/AL55,1/AL56,1/AL57,1/AL58,1/AL59,1/AL60,1/AL61,1/AL62)</f>
        <v>1303728.0568981469</v>
      </c>
      <c r="AM48" s="62">
        <f t="shared" si="75"/>
        <v>0.16369002818443809</v>
      </c>
      <c r="AN48" s="70"/>
      <c r="AO48" s="70"/>
      <c r="AP48" s="47">
        <f>IFERROR(IF(SUM(AN49:AN62)&gt;0.01,1-EXP(-SUM(AN49:AN62)),SUM(AN49:AN62)),".")</f>
        <v>3.0545534310675944E-5</v>
      </c>
      <c r="AQ48" s="47">
        <f>IFERROR(IF(SUM(AO49:AO62)&gt;0.01,1-EXP(-SUM(AO49:AO62)),SUM(AO49:AO62)),".")</f>
        <v>3.8351556319928337E-12</v>
      </c>
      <c r="AR48" s="47">
        <f>IFERROR(IF(SUM(AN49:AO62)&gt;0.01,1-EXP(-SUM(AN49:AO62)),SUM(AN49:AO62)),".")</f>
        <v>3.054553814583158E-5</v>
      </c>
      <c r="AS48" s="61">
        <f>1/SUM(1/AS49,1/AS52,1/AS54,1/AS58,1/AS59,1/AS61)</f>
        <v>1.2632726074404224</v>
      </c>
      <c r="AT48" s="61">
        <f>1/SUM(1/AT49,1/AT52,1/AT54,1/AT58,1/AT59,1/AT61)</f>
        <v>47.946923529813972</v>
      </c>
      <c r="AU48" s="61">
        <f>1/SUM(1/AU49,1/AU52,1/AU54,1/AU58,1/AU59,1/AU61)</f>
        <v>192435.76864351385</v>
      </c>
      <c r="AV48" s="61">
        <f>1/SUM(1/AV49,1/AV52,1/AV54,1/AV58,1/AV59,1/AV61)</f>
        <v>1.2632726074404224</v>
      </c>
      <c r="AW48" s="61">
        <f>1/SUM(1/AW61)</f>
        <v>0.11553936333307538</v>
      </c>
      <c r="AX48" s="61">
        <f>1/SUM(1/AX61)</f>
        <v>462.2849450435657</v>
      </c>
      <c r="AY48" s="70"/>
      <c r="AZ48" s="70"/>
      <c r="BA48" s="70"/>
      <c r="BB48" s="70"/>
      <c r="BC48" s="70"/>
      <c r="BD48" s="70"/>
      <c r="BE48" s="47">
        <f>IFERROR(IF(SUM(AY49:AY62)&gt;0.01,1-EXP(-SUM(AY49:AY62)),SUM(AY49:AY62)),".")</f>
        <v>3.9579738930069424E-6</v>
      </c>
      <c r="BF48" s="47">
        <f t="shared" ref="BF48:BJ48" si="76">IFERROR(IF(SUM(AZ49:AZ62)&gt;0.01,1-EXP(-SUM(AZ49:AZ62)),SUM(AZ49:AZ62)),".")</f>
        <v>1.0428197748476894E-7</v>
      </c>
      <c r="BG48" s="47">
        <f t="shared" si="76"/>
        <v>2.598269560407177E-11</v>
      </c>
      <c r="BH48" s="47">
        <f t="shared" si="76"/>
        <v>3.9579738930069424E-6</v>
      </c>
      <c r="BI48" s="47">
        <f t="shared" si="76"/>
        <v>4.3275294720000007E-5</v>
      </c>
      <c r="BJ48" s="47">
        <f t="shared" si="76"/>
        <v>1.0815839999999999E-8</v>
      </c>
    </row>
    <row r="49" spans="1:62" x14ac:dyDescent="0.25">
      <c r="A49" s="48" t="s">
        <v>1103</v>
      </c>
      <c r="B49" s="15">
        <v>1</v>
      </c>
      <c r="C49" s="60">
        <f>IFERROR(C23/$B49,0)</f>
        <v>268.52485868879307</v>
      </c>
      <c r="D49" s="60">
        <f>IFERROR(D23/$B49,0)</f>
        <v>60357.83220844563</v>
      </c>
      <c r="E49" s="60">
        <f>IFERROR(E23/$B49,0)</f>
        <v>7704.7748359366378</v>
      </c>
      <c r="F49" s="63">
        <f t="shared" ref="F49:F62" si="77">IF(AND(C49&lt;&gt;0,D49&lt;&gt;0,E49&lt;&gt;0),1/((1/C49)+(1/D49)+(1/E49)),IF(AND(C49&lt;&gt;0,D49&lt;&gt;0,E49=0), 1/((1/C49)+(1/D49)),IF(AND(C49&lt;&gt;0,D49=0,E49&lt;&gt;0),1/((1/C49)+(1/E49)),IF(AND(C49=0,D49&lt;&gt;0,E49&lt;&gt;0),1/((1/D49)+(1/E49)),IF(AND(C49&lt;&gt;0,D49=0,E49=0),1/((1/C49)),IF(AND(C49=0,D49&lt;&gt;0,E49=0),1/((1/D49)),IF(AND(C49=0,D49=0,E49&lt;&gt;0),1/((1/E49)),IF(AND(C49=0,D49=0,E49=0),0))))))))</f>
        <v>258.37072682554469</v>
      </c>
      <c r="G49" s="71">
        <f>IFERROR(s_RadSpec!$D$23*G23,".")*$B$49</f>
        <v>1.8620249999999998E-8</v>
      </c>
      <c r="H49" s="71">
        <f>IFERROR(s_RadSpec!$G$23*$H$23,".")*B49</f>
        <v>8.2839290561869603E-11</v>
      </c>
      <c r="I49" s="71">
        <f>IFERROR(s_RadSpec!$F$23*$I$23,".")*B49</f>
        <v>6.4894823099553564E-10</v>
      </c>
      <c r="J49" s="49">
        <f t="shared" ref="J49:J62" si="78">IFERROR(IF(G49&gt;0.01,1-EXP(-G49),G49),".")</f>
        <v>1.8620249999999998E-8</v>
      </c>
      <c r="K49" s="49">
        <f t="shared" ref="K49:K62" si="79">IFERROR(IF(H49&gt;0.01,1-EXP(-H49),H49),".")</f>
        <v>8.2839290561869603E-11</v>
      </c>
      <c r="L49" s="49">
        <f t="shared" ref="L49:L62" si="80">IFERROR(IF(I49&gt;0.01,1-EXP(-I49),I49),".")</f>
        <v>6.4894823099553564E-10</v>
      </c>
      <c r="M49" s="49">
        <f t="shared" ref="M49:M62" si="81">IFERROR(IF(SUM(G49:I49)&gt;0.01,1-EXP(-SUM(G49:I49)),SUM(G49:I49)),".")</f>
        <v>1.9352037521557403E-8</v>
      </c>
      <c r="N49" s="60">
        <f>IFERROR(N23/$B49,0)</f>
        <v>7704.7748359366378</v>
      </c>
      <c r="O49" s="60">
        <f>IFERROR(O23/$B49,0)</f>
        <v>54110.137348415665</v>
      </c>
      <c r="P49" s="60">
        <f>IFERROR(P23/$B49,0)</f>
        <v>13994.377059507624</v>
      </c>
      <c r="Q49" s="60">
        <f>IFERROR(Q23/$B49,0)</f>
        <v>8165.0887210830342</v>
      </c>
      <c r="R49" s="60">
        <f>IFERROR(R23/$B49,0)</f>
        <v>86355.964354044161</v>
      </c>
      <c r="S49" s="71">
        <f>IFERROR(s_RadSpec!$F$23*S23,".")*$B$49</f>
        <v>6.4894823099553564E-10</v>
      </c>
      <c r="T49" s="71">
        <f>IFERROR(s_RadSpec!$M$23*T23,".")*$B$49</f>
        <v>9.2404126934754471E-11</v>
      </c>
      <c r="U49" s="71">
        <f>IFERROR(s_RadSpec!$N$23*U23,".")*$B$49</f>
        <v>3.5728635713749443E-10</v>
      </c>
      <c r="V49" s="71">
        <f>IFERROR(s_RadSpec!$O$23*V23,".")*$B$49</f>
        <v>6.1236321744912886E-10</v>
      </c>
      <c r="W49" s="71">
        <f>IFERROR(s_RadSpec!$K$23*W23,".")*$B$49</f>
        <v>5.7899880308219177E-11</v>
      </c>
      <c r="X49" s="49">
        <f t="shared" ref="X49:AB62" si="82">IFERROR(IF(S49&gt;0.01,1-EXP(-S49),S49),".")</f>
        <v>6.4894823099553564E-10</v>
      </c>
      <c r="Y49" s="49">
        <f t="shared" si="82"/>
        <v>9.2404126934754471E-11</v>
      </c>
      <c r="Z49" s="49">
        <f t="shared" si="82"/>
        <v>3.5728635713749443E-10</v>
      </c>
      <c r="AA49" s="49">
        <f t="shared" si="82"/>
        <v>6.1236321744912886E-10</v>
      </c>
      <c r="AB49" s="49">
        <f t="shared" si="82"/>
        <v>5.7899880308219177E-11</v>
      </c>
      <c r="AC49" s="60">
        <f>IFERROR(AC23/$B49,0)</f>
        <v>0.19482595041070733</v>
      </c>
      <c r="AD49" s="60">
        <f>IFERROR(AD23/$B49,0)</f>
        <v>307474.13519150822</v>
      </c>
      <c r="AE49" s="60">
        <f t="shared" ref="AE49:AE62" si="83">IFERROR(IF(AND(AC49&lt;&gt;0,AD49&lt;&gt;0),1/((1/AC49)+(1/AD49)),IF(AND(AC49&lt;&gt;0,AD49=0),1/((1/AC49)),IF(AND(AC49=0,AD49&lt;&gt;0),1/((1/AD49)),IF(AND(AC49=".",AD49="."),".")))),".")</f>
        <v>0.19482582696251266</v>
      </c>
      <c r="AF49" s="71">
        <f>IFERROR(s_RadSpec!$G$23*AF23,".")*$B$49</f>
        <v>2.5663932291666662E-5</v>
      </c>
      <c r="AG49" s="71">
        <f>IFERROR(s_RadSpec!$J$23*AG23,".")*$B$49</f>
        <v>1.6261530410958901E-11</v>
      </c>
      <c r="AH49" s="49">
        <f t="shared" ref="AH49:AI62" si="84">IFERROR(IF(AF49&gt;0.01,1-EXP(-AF49),AF49),".")</f>
        <v>2.5663932291666662E-5</v>
      </c>
      <c r="AI49" s="49">
        <f t="shared" si="84"/>
        <v>1.6261530410958901E-11</v>
      </c>
      <c r="AJ49" s="49">
        <f t="shared" ref="AJ49:AJ62" si="85">IFERROR(IF(SUM(AF49:AG49)&gt;0.01,1-EXP(-SUM(AF49:AG49)),SUM(AF49:AG49)),".")</f>
        <v>2.5663948553197074E-5</v>
      </c>
      <c r="AK49" s="60">
        <f>IFERROR(AK23/$B49,0)</f>
        <v>1.2993762993762994</v>
      </c>
      <c r="AL49" s="60">
        <f>IFERROR(AL23/$B49,0)</f>
        <v>349272295.09649903</v>
      </c>
      <c r="AM49" s="63">
        <f t="shared" ref="AM49:AM62" si="86">IFERROR(IF(AND(AK49&lt;&gt;0,AL49&lt;&gt;0),1/((1/AK49)+(1/AL49)),IF(AND(AK49&lt;&gt;0,AL49=0),1/((1/AK49)),IF(AND(AK49=0,AL49&lt;&gt;0),1/((1/AL49)),IF(AND(AK49=0,AL49=0),0)))),0)</f>
        <v>1.2993762945423095</v>
      </c>
      <c r="AN49" s="71">
        <f>IFERROR(s_RadSpec!$H$23*AN23,".")*$B$49</f>
        <v>3.8480000000000003E-6</v>
      </c>
      <c r="AO49" s="71">
        <f>IFERROR(s_RadSpec!$L$23*AO23,".")*$B$49</f>
        <v>1.4315478410958905E-14</v>
      </c>
      <c r="AP49" s="49">
        <f t="shared" ref="AP49:AP62" si="87">IFERROR(IF(AN49&gt;0.01,1-EXP(-AN49),AN49),".")</f>
        <v>3.8480000000000003E-6</v>
      </c>
      <c r="AQ49" s="49">
        <f t="shared" ref="AQ49:AQ62" si="88">IFERROR(IF(AO49&gt;0.01,1-EXP(-AO49),AO49),".")</f>
        <v>1.4315478410958905E-14</v>
      </c>
      <c r="AR49" s="49">
        <f t="shared" ref="AR49:AR62" si="89">IFERROR(IF(SUM(AN49:AO49)&gt;0.01,1-EXP(-SUM(AN49:AO49)),SUM(AN49:AO49)),".")</f>
        <v>3.8480000143154788E-6</v>
      </c>
      <c r="AS49" s="63">
        <f t="shared" ref="AS49:AX49" si="90">IFERROR(AS23/$B49,0)</f>
        <v>9.7219521679953314</v>
      </c>
      <c r="AT49" s="63">
        <f t="shared" si="90"/>
        <v>701.14881508687063</v>
      </c>
      <c r="AU49" s="63">
        <f t="shared" si="90"/>
        <v>2859397.6964692152</v>
      </c>
      <c r="AV49" s="63">
        <f t="shared" si="90"/>
        <v>9.7219521679953314</v>
      </c>
      <c r="AW49" s="63">
        <f t="shared" si="90"/>
        <v>0</v>
      </c>
      <c r="AX49" s="63">
        <f t="shared" si="90"/>
        <v>0</v>
      </c>
      <c r="AY49" s="71">
        <f>IFERROR(s_RadSpec!$E$23*AY23,".")*$B$49</f>
        <v>5.1429999999999999E-7</v>
      </c>
      <c r="AZ49" s="71">
        <f>IFERROR(s_RadSpec!$E$23*AZ23,".")*$B$49</f>
        <v>7.1311537471264363E-9</v>
      </c>
      <c r="BA49" s="71">
        <f>IFERROR(s_RadSpec!$E$23*BA23,".")*$B$49</f>
        <v>1.7486199999999997E-12</v>
      </c>
      <c r="BB49" s="71">
        <f>IFERROR(s_RadSpec!$E$23*BB23,".")*$B$49</f>
        <v>5.1429999999999999E-7</v>
      </c>
      <c r="BC49" s="71">
        <f>IFERROR(s_RadSpec!$E$23*BC23,".")*$B$49</f>
        <v>0</v>
      </c>
      <c r="BD49" s="71">
        <f>IFERROR(s_RadSpec!$E$23*BD23,".")*$B$49</f>
        <v>0</v>
      </c>
      <c r="BE49" s="49">
        <f t="shared" ref="BE49:BE62" si="91">IFERROR(IF(AY49&gt;0.01,1-EXP(-AY49),AY49),".")</f>
        <v>5.1429999999999999E-7</v>
      </c>
      <c r="BF49" s="49">
        <f t="shared" ref="BF49:BJ62" si="92">IFERROR(IF(AZ49&gt;0.01,1-EXP(-AZ49),AZ49),".")</f>
        <v>7.1311537471264363E-9</v>
      </c>
      <c r="BG49" s="49">
        <f t="shared" si="92"/>
        <v>1.7486199999999997E-12</v>
      </c>
      <c r="BH49" s="49">
        <f t="shared" si="92"/>
        <v>5.1429999999999999E-7</v>
      </c>
      <c r="BI49" s="49">
        <f t="shared" si="92"/>
        <v>0</v>
      </c>
      <c r="BJ49" s="49">
        <f t="shared" si="92"/>
        <v>0</v>
      </c>
    </row>
    <row r="50" spans="1:62" x14ac:dyDescent="0.25">
      <c r="A50" s="48" t="s">
        <v>1090</v>
      </c>
      <c r="B50" s="15">
        <v>1</v>
      </c>
      <c r="C50" s="60">
        <f>IFERROR(C25/$B50,0)</f>
        <v>0</v>
      </c>
      <c r="D50" s="60">
        <f>IFERROR(D25/$B50,0)</f>
        <v>745392755.04087865</v>
      </c>
      <c r="E50" s="60">
        <f>IFERROR(E25/$B50,0)</f>
        <v>166234.45835585767</v>
      </c>
      <c r="F50" s="63">
        <f t="shared" si="77"/>
        <v>166197.39368956827</v>
      </c>
      <c r="G50" s="71">
        <f>IFERROR(s_RadSpec!$D$25*G25,".")*$B$50</f>
        <v>0</v>
      </c>
      <c r="H50" s="71">
        <f>IFERROR(s_RadSpec!$G$25*$H$25,".")*B50</f>
        <v>6.707873085948883E-15</v>
      </c>
      <c r="I50" s="71">
        <f>IFERROR(s_RadSpec!$F$25*$I$25,".")*B50</f>
        <v>3.0077999768835605E-11</v>
      </c>
      <c r="J50" s="49">
        <f t="shared" si="78"/>
        <v>0</v>
      </c>
      <c r="K50" s="49">
        <f t="shared" si="79"/>
        <v>6.707873085948883E-15</v>
      </c>
      <c r="L50" s="49">
        <f t="shared" si="80"/>
        <v>3.0077999768835605E-11</v>
      </c>
      <c r="M50" s="49">
        <f t="shared" si="81"/>
        <v>3.0084707641921557E-11</v>
      </c>
      <c r="N50" s="60">
        <f>IFERROR(N25/$B50,0)</f>
        <v>166234.45835585767</v>
      </c>
      <c r="O50" s="60">
        <f>IFERROR(O25/$B50,0)</f>
        <v>1412475.6472451682</v>
      </c>
      <c r="P50" s="60">
        <f>IFERROR(P25/$B50,0)</f>
        <v>359029.12788618507</v>
      </c>
      <c r="Q50" s="60">
        <f>IFERROR(Q25/$B50,0)</f>
        <v>209461.26276041163</v>
      </c>
      <c r="R50" s="60">
        <f>IFERROR(R25/$B50,0)</f>
        <v>2579685.4453026024</v>
      </c>
      <c r="S50" s="71">
        <f>IFERROR(s_RadSpec!$F$25*S25,".")*$B$50</f>
        <v>3.0077999768835605E-11</v>
      </c>
      <c r="T50" s="71">
        <f>IFERROR(s_RadSpec!$M$25*T25,".")*$B$50</f>
        <v>3.5398840395951491E-12</v>
      </c>
      <c r="U50" s="71">
        <f>IFERROR(s_RadSpec!$N$25*U25,".")*$B$50</f>
        <v>1.3926446663082546E-11</v>
      </c>
      <c r="V50" s="71">
        <f>IFERROR(s_RadSpec!$O$25*V25,".")*$B$50</f>
        <v>2.3870762231196692E-11</v>
      </c>
      <c r="W50" s="71">
        <f>IFERROR(s_RadSpec!$K$25*W25,".")*$B$50</f>
        <v>1.9382208048289732E-12</v>
      </c>
      <c r="X50" s="49">
        <f t="shared" si="82"/>
        <v>3.0077999768835605E-11</v>
      </c>
      <c r="Y50" s="49">
        <f t="shared" si="82"/>
        <v>3.5398840395951491E-12</v>
      </c>
      <c r="Z50" s="49">
        <f t="shared" si="82"/>
        <v>1.3926446663082546E-11</v>
      </c>
      <c r="AA50" s="49">
        <f t="shared" si="82"/>
        <v>2.3870762231196692E-11</v>
      </c>
      <c r="AB50" s="49">
        <f t="shared" si="82"/>
        <v>1.9382208048289732E-12</v>
      </c>
      <c r="AC50" s="60">
        <f>IFERROR(AC25/$B50,0)</f>
        <v>2406.0150375939847</v>
      </c>
      <c r="AD50" s="60">
        <f>IFERROR(AD25/$B50,0)</f>
        <v>5397387.6968869064</v>
      </c>
      <c r="AE50" s="60">
        <f t="shared" si="83"/>
        <v>2404.942976572775</v>
      </c>
      <c r="AF50" s="71">
        <f>IFERROR(s_RadSpec!$G$25*AF$25,".")*$B$50</f>
        <v>2.0781249999999998E-9</v>
      </c>
      <c r="AG50" s="71">
        <f>IFERROR(s_RadSpec!$J$25*AG25,".")*$B$50</f>
        <v>9.2637406849315067E-13</v>
      </c>
      <c r="AH50" s="49">
        <f t="shared" si="84"/>
        <v>2.0781249999999998E-9</v>
      </c>
      <c r="AI50" s="49">
        <f t="shared" si="84"/>
        <v>9.2637406849315067E-13</v>
      </c>
      <c r="AJ50" s="49">
        <f t="shared" si="85"/>
        <v>2.0790513740684931E-9</v>
      </c>
      <c r="AK50" s="60">
        <f>IFERROR(AK25/$B50,0)</f>
        <v>0</v>
      </c>
      <c r="AL50" s="60">
        <f>IFERROR(AL25/$B50,0)</f>
        <v>6231203404.2132893</v>
      </c>
      <c r="AM50" s="63">
        <f t="shared" si="86"/>
        <v>6231203404.2132893</v>
      </c>
      <c r="AN50" s="71">
        <f>IFERROR(s_RadSpec!$H$25*AN25,".")*$B$50</f>
        <v>0</v>
      </c>
      <c r="AO50" s="71">
        <f>IFERROR(s_RadSpec!$L$25*AO25,".")*$B$50</f>
        <v>8.024132219178082E-16</v>
      </c>
      <c r="AP50" s="49">
        <f t="shared" si="87"/>
        <v>0</v>
      </c>
      <c r="AQ50" s="49">
        <f t="shared" si="88"/>
        <v>8.024132219178082E-16</v>
      </c>
      <c r="AR50" s="49">
        <f t="shared" si="89"/>
        <v>8.024132219178082E-16</v>
      </c>
      <c r="AS50" s="63">
        <f t="shared" ref="AS50:AX50" si="93">IFERROR(AS25/$B50,0)</f>
        <v>0</v>
      </c>
      <c r="AT50" s="63">
        <f t="shared" si="93"/>
        <v>0</v>
      </c>
      <c r="AU50" s="63">
        <f t="shared" si="93"/>
        <v>0</v>
      </c>
      <c r="AV50" s="63">
        <f t="shared" si="93"/>
        <v>0</v>
      </c>
      <c r="AW50" s="63">
        <f t="shared" si="93"/>
        <v>0</v>
      </c>
      <c r="AX50" s="63">
        <f t="shared" si="93"/>
        <v>0</v>
      </c>
      <c r="AY50" s="71">
        <f>IFERROR(s_RadSpec!$E$25*AY25,".")*$B$50</f>
        <v>0</v>
      </c>
      <c r="AZ50" s="71">
        <f>IFERROR(s_RadSpec!$E$25*AZ25,".")*$B$50</f>
        <v>0</v>
      </c>
      <c r="BA50" s="71">
        <f>IFERROR(s_RadSpec!$E$25*BA25,".")*$B$50</f>
        <v>0</v>
      </c>
      <c r="BB50" s="71">
        <f>IFERROR(s_RadSpec!$E$25*BB25,".")*$B$50</f>
        <v>0</v>
      </c>
      <c r="BC50" s="71">
        <f>IFERROR(s_RadSpec!$E$25*BC25,".")*$B$50</f>
        <v>0</v>
      </c>
      <c r="BD50" s="71">
        <f>IFERROR(s_RadSpec!$E$25*BD25,".")*$B$50</f>
        <v>0</v>
      </c>
      <c r="BE50" s="49">
        <f t="shared" si="91"/>
        <v>0</v>
      </c>
      <c r="BF50" s="49">
        <f t="shared" si="92"/>
        <v>0</v>
      </c>
      <c r="BG50" s="49">
        <f t="shared" si="92"/>
        <v>0</v>
      </c>
      <c r="BH50" s="49">
        <f t="shared" si="92"/>
        <v>0</v>
      </c>
      <c r="BI50" s="49">
        <f t="shared" si="92"/>
        <v>0</v>
      </c>
      <c r="BJ50" s="49">
        <f t="shared" si="92"/>
        <v>0</v>
      </c>
    </row>
    <row r="51" spans="1:62" x14ac:dyDescent="0.25">
      <c r="A51" s="48" t="s">
        <v>1076</v>
      </c>
      <c r="B51" s="15">
        <v>1</v>
      </c>
      <c r="C51" s="60">
        <f>IFERROR(C21/$B51,0)</f>
        <v>0</v>
      </c>
      <c r="D51" s="60">
        <f>IFERROR(D21/$B51,0)</f>
        <v>122265861.97792831</v>
      </c>
      <c r="E51" s="60">
        <f>IFERROR(E21/$B51,0)</f>
        <v>0</v>
      </c>
      <c r="F51" s="63">
        <f t="shared" si="77"/>
        <v>122265861.97792831</v>
      </c>
      <c r="G51" s="71">
        <f>IFERROR(s_RadSpec!$D$21*G21,".")*$B$51</f>
        <v>0</v>
      </c>
      <c r="H51" s="71">
        <f>IFERROR(s_RadSpec!$G$21*$H$21,".")*B51</f>
        <v>4.0894489427495383E-14</v>
      </c>
      <c r="I51" s="71">
        <f>IFERROR(s_RadSpec!$F$21*$I$21,".")*B51</f>
        <v>0</v>
      </c>
      <c r="J51" s="49">
        <f t="shared" si="78"/>
        <v>0</v>
      </c>
      <c r="K51" s="49">
        <f t="shared" si="79"/>
        <v>4.0894489427495383E-14</v>
      </c>
      <c r="L51" s="49">
        <f t="shared" si="80"/>
        <v>0</v>
      </c>
      <c r="M51" s="49">
        <f t="shared" si="81"/>
        <v>4.0894489427495383E-14</v>
      </c>
      <c r="N51" s="60">
        <f>IFERROR(N21/$B51,0)</f>
        <v>0</v>
      </c>
      <c r="O51" s="60">
        <f>IFERROR(O21/$B51,0)</f>
        <v>0</v>
      </c>
      <c r="P51" s="60">
        <f>IFERROR(P21/$B51,0)</f>
        <v>0</v>
      </c>
      <c r="Q51" s="60">
        <f>IFERROR(Q21/$B51,0)</f>
        <v>0</v>
      </c>
      <c r="R51" s="60">
        <f>IFERROR(R21/$B51,0)</f>
        <v>0</v>
      </c>
      <c r="S51" s="71">
        <f>IFERROR(s_RadSpec!$F$21*S21,".")*$B$51</f>
        <v>0</v>
      </c>
      <c r="T51" s="71">
        <f>IFERROR(s_RadSpec!$M$21*T21,".")*$B$51</f>
        <v>0</v>
      </c>
      <c r="U51" s="71">
        <f>IFERROR(s_RadSpec!$N$21*U21,".")*$B$51</f>
        <v>0</v>
      </c>
      <c r="V51" s="71">
        <f>IFERROR(s_RadSpec!$O$21*V21,".")*$B$51</f>
        <v>0</v>
      </c>
      <c r="W51" s="71">
        <f>IFERROR(s_RadSpec!$K$21*W21,".")*$B$51</f>
        <v>0</v>
      </c>
      <c r="X51" s="49">
        <f t="shared" si="82"/>
        <v>0</v>
      </c>
      <c r="Y51" s="49">
        <f t="shared" si="82"/>
        <v>0</v>
      </c>
      <c r="Z51" s="49">
        <f t="shared" si="82"/>
        <v>0</v>
      </c>
      <c r="AA51" s="49">
        <f t="shared" si="82"/>
        <v>0</v>
      </c>
      <c r="AB51" s="49">
        <f t="shared" si="82"/>
        <v>0</v>
      </c>
      <c r="AC51" s="60">
        <f>IFERROR(AC21/$B51,0)</f>
        <v>394.65570400822202</v>
      </c>
      <c r="AD51" s="60">
        <f>IFERROR(AD21/$B51,0)</f>
        <v>221963576883.81067</v>
      </c>
      <c r="AE51" s="60">
        <f t="shared" si="83"/>
        <v>394.65570330651622</v>
      </c>
      <c r="AF51" s="71">
        <f>IFERROR(s_RadSpec!$G$21*AF21,".")*$B$51</f>
        <v>1.2669270833333332E-8</v>
      </c>
      <c r="AG51" s="71">
        <f>IFERROR(s_RadSpec!$J$21*AG21,".")*$B$51</f>
        <v>2.2526218356164382E-17</v>
      </c>
      <c r="AH51" s="49">
        <f t="shared" si="84"/>
        <v>1.2669270833333332E-8</v>
      </c>
      <c r="AI51" s="49">
        <f t="shared" si="84"/>
        <v>2.2526218356164382E-17</v>
      </c>
      <c r="AJ51" s="49">
        <f t="shared" si="85"/>
        <v>1.2669270855859549E-8</v>
      </c>
      <c r="AK51" s="60">
        <f>IFERROR(AK21/$B51,0)</f>
        <v>0</v>
      </c>
      <c r="AL51" s="60">
        <f>IFERROR(AL21/$B51,0)</f>
        <v>433162176597736.69</v>
      </c>
      <c r="AM51" s="63">
        <f t="shared" si="86"/>
        <v>433162176597736.63</v>
      </c>
      <c r="AN51" s="71">
        <f>IFERROR(s_RadSpec!$H$21*AN21,".")*$B$51</f>
        <v>0</v>
      </c>
      <c r="AO51" s="71">
        <f>IFERROR(s_RadSpec!$L$21*AO21,".")*$B$51</f>
        <v>1.1543020767123286E-20</v>
      </c>
      <c r="AP51" s="49">
        <f t="shared" si="87"/>
        <v>0</v>
      </c>
      <c r="AQ51" s="49">
        <f t="shared" si="88"/>
        <v>1.1543020767123286E-20</v>
      </c>
      <c r="AR51" s="49">
        <f t="shared" si="89"/>
        <v>1.1543020767123286E-20</v>
      </c>
      <c r="AS51" s="63">
        <f t="shared" ref="AS51:AX51" si="94">IFERROR(AS21/$B51,0)</f>
        <v>0</v>
      </c>
      <c r="AT51" s="63">
        <f t="shared" si="94"/>
        <v>0</v>
      </c>
      <c r="AU51" s="63">
        <f t="shared" si="94"/>
        <v>0</v>
      </c>
      <c r="AV51" s="63">
        <f t="shared" si="94"/>
        <v>0</v>
      </c>
      <c r="AW51" s="63">
        <f t="shared" si="94"/>
        <v>0</v>
      </c>
      <c r="AX51" s="63">
        <f t="shared" si="94"/>
        <v>0</v>
      </c>
      <c r="AY51" s="71">
        <f>IFERROR(s_RadSpec!$E$21*AY21,".")*$B$51</f>
        <v>0</v>
      </c>
      <c r="AZ51" s="71">
        <f>IFERROR(s_RadSpec!$E$21*AZ21,".")*$B$51</f>
        <v>0</v>
      </c>
      <c r="BA51" s="71">
        <f>IFERROR(s_RadSpec!$E$21*BA21,".")*$B$51</f>
        <v>0</v>
      </c>
      <c r="BB51" s="71">
        <f>IFERROR(s_RadSpec!$E$21*BB21,".")*$B$51</f>
        <v>0</v>
      </c>
      <c r="BC51" s="71">
        <f>IFERROR(s_RadSpec!$E$21*BC21,".")*$B$51</f>
        <v>0</v>
      </c>
      <c r="BD51" s="71">
        <f>IFERROR(s_RadSpec!$E$21*BD21,".")*$B$51</f>
        <v>0</v>
      </c>
      <c r="BE51" s="49">
        <f t="shared" si="91"/>
        <v>0</v>
      </c>
      <c r="BF51" s="49">
        <f t="shared" si="92"/>
        <v>0</v>
      </c>
      <c r="BG51" s="49">
        <f t="shared" si="92"/>
        <v>0</v>
      </c>
      <c r="BH51" s="49">
        <f t="shared" si="92"/>
        <v>0</v>
      </c>
      <c r="BI51" s="49">
        <f t="shared" si="92"/>
        <v>0</v>
      </c>
      <c r="BJ51" s="49">
        <f t="shared" si="92"/>
        <v>0</v>
      </c>
    </row>
    <row r="52" spans="1:62" x14ac:dyDescent="0.25">
      <c r="A52" s="48" t="s">
        <v>1077</v>
      </c>
      <c r="B52" s="51">
        <v>0.99980000000000002</v>
      </c>
      <c r="C52" s="60">
        <f>IFERROR(C17/$B52,0)</f>
        <v>229672.33231716033</v>
      </c>
      <c r="D52" s="60">
        <f>IFERROR(D17/$B52,0)</f>
        <v>21876904.100166284</v>
      </c>
      <c r="E52" s="60">
        <f>IFERROR(E17/$B52,0)</f>
        <v>389.35334880072151</v>
      </c>
      <c r="F52" s="63">
        <f t="shared" si="77"/>
        <v>388.68750640822168</v>
      </c>
      <c r="G52" s="71">
        <f>IFERROR(s_RadSpec!$D$17*G17,".")*$B$52</f>
        <v>2.1770145099999999E-11</v>
      </c>
      <c r="H52" s="71">
        <f>IFERROR(s_RadSpec!$G$17*$H$17,".")*B52</f>
        <v>2.2855153439933008E-13</v>
      </c>
      <c r="I52" s="71">
        <f>IFERROR(s_RadSpec!$F$17*$I$17,".")*B52</f>
        <v>1.2841805561454399E-8</v>
      </c>
      <c r="J52" s="49">
        <f t="shared" si="78"/>
        <v>2.1770145099999999E-11</v>
      </c>
      <c r="K52" s="49">
        <f t="shared" si="79"/>
        <v>2.2855153439933008E-13</v>
      </c>
      <c r="L52" s="49">
        <f t="shared" si="80"/>
        <v>1.2841805561454399E-8</v>
      </c>
      <c r="M52" s="49">
        <f t="shared" si="81"/>
        <v>1.2863804258088797E-8</v>
      </c>
      <c r="N52" s="60">
        <f>IFERROR(N17/$B52,0)</f>
        <v>389.35334880072151</v>
      </c>
      <c r="O52" s="60">
        <f>IFERROR(O17/$B52,0)</f>
        <v>2991.1436974026237</v>
      </c>
      <c r="P52" s="60">
        <f>IFERROR(P17/$B52,0)</f>
        <v>809.14560386543269</v>
      </c>
      <c r="Q52" s="60">
        <f>IFERROR(Q17/$B52,0)</f>
        <v>486.78038157571626</v>
      </c>
      <c r="R52" s="60">
        <f>IFERROR(R17/$B52,0)</f>
        <v>5809.4580166652122</v>
      </c>
      <c r="S52" s="71">
        <f>IFERROR(s_RadSpec!$F$17*S17,".")*$B$52</f>
        <v>1.2841805561454399E-8</v>
      </c>
      <c r="T52" s="71">
        <f>IFERROR(s_RadSpec!$M$17*T17,".")*$B$52</f>
        <v>1.6716014026145843E-9</v>
      </c>
      <c r="U52" s="71">
        <f>IFERROR(s_RadSpec!$N$17*U17,".")*$B$52</f>
        <v>6.1793575545786921E-9</v>
      </c>
      <c r="V52" s="71">
        <f>IFERROR(s_RadSpec!$O$17*V17,".")*$B$52</f>
        <v>1.0271572539170364E-8</v>
      </c>
      <c r="W52" s="71">
        <f>IFERROR(s_RadSpec!$K$17*W17,".")*$B$52</f>
        <v>8.6066548474174794E-10</v>
      </c>
      <c r="X52" s="49">
        <f t="shared" si="82"/>
        <v>1.2841805561454399E-8</v>
      </c>
      <c r="Y52" s="49">
        <f t="shared" si="82"/>
        <v>1.6716014026145843E-9</v>
      </c>
      <c r="Z52" s="49">
        <f t="shared" si="82"/>
        <v>6.1793575545786921E-9</v>
      </c>
      <c r="AA52" s="49">
        <f t="shared" si="82"/>
        <v>1.0271572539170364E-8</v>
      </c>
      <c r="AB52" s="49">
        <f t="shared" si="82"/>
        <v>8.6066548474174794E-10</v>
      </c>
      <c r="AC52" s="60">
        <f>IFERROR(AC17/$B52,0)</f>
        <v>70.615336525661448</v>
      </c>
      <c r="AD52" s="60">
        <f>IFERROR(AD17/$B52,0)</f>
        <v>8595.49790676669</v>
      </c>
      <c r="AE52" s="60">
        <f t="shared" si="83"/>
        <v>70.039931426207886</v>
      </c>
      <c r="AF52" s="71">
        <f>IFERROR(s_RadSpec!$G$17*AF17,".")*$B$52</f>
        <v>7.0806148437499995E-8</v>
      </c>
      <c r="AG52" s="71">
        <f>IFERROR(s_RadSpec!$J$17*AG17,".")*$B$52</f>
        <v>5.8169986826054795E-10</v>
      </c>
      <c r="AH52" s="49">
        <f t="shared" si="84"/>
        <v>7.0806148437499995E-8</v>
      </c>
      <c r="AI52" s="49">
        <f t="shared" si="84"/>
        <v>5.8169986826054795E-10</v>
      </c>
      <c r="AJ52" s="49">
        <f t="shared" si="85"/>
        <v>7.1387848305760545E-8</v>
      </c>
      <c r="AK52" s="60">
        <f>IFERROR(AK17/$B52,0)</f>
        <v>1451.7955700177106</v>
      </c>
      <c r="AL52" s="60">
        <f>IFERROR(AL17/$B52,0)</f>
        <v>9821818.9432033002</v>
      </c>
      <c r="AM52" s="63">
        <f t="shared" si="86"/>
        <v>1451.581007024063</v>
      </c>
      <c r="AN52" s="71">
        <f>IFERROR(s_RadSpec!$H$17*AN17,".")*$B$52</f>
        <v>3.4440110600000002E-9</v>
      </c>
      <c r="AO52" s="71">
        <f>IFERROR(s_RadSpec!$L$17*AO17,".")*$B$52</f>
        <v>5.0907067508712322E-13</v>
      </c>
      <c r="AP52" s="49">
        <f t="shared" si="87"/>
        <v>3.4440110600000002E-9</v>
      </c>
      <c r="AQ52" s="49">
        <f t="shared" si="88"/>
        <v>5.0907067508712322E-13</v>
      </c>
      <c r="AR52" s="49">
        <f t="shared" si="89"/>
        <v>3.4445201306750873E-9</v>
      </c>
      <c r="AS52" s="63">
        <f t="shared" ref="AS52:AX52" si="95">IFERROR(AS17/$B52,0)</f>
        <v>10317.722715164033</v>
      </c>
      <c r="AT52" s="63">
        <f t="shared" si="95"/>
        <v>1819445.9952555352</v>
      </c>
      <c r="AU52" s="63">
        <f t="shared" si="95"/>
        <v>7369801939.4028807</v>
      </c>
      <c r="AV52" s="63">
        <f t="shared" si="95"/>
        <v>10317.722715164033</v>
      </c>
      <c r="AW52" s="63">
        <f t="shared" si="95"/>
        <v>0</v>
      </c>
      <c r="AX52" s="63">
        <f t="shared" si="95"/>
        <v>0</v>
      </c>
      <c r="AY52" s="71">
        <f>IFERROR(s_RadSpec!$E$17*AY17,".")*$B$52</f>
        <v>4.8460306000000015E-10</v>
      </c>
      <c r="AZ52" s="71">
        <f>IFERROR(s_RadSpec!$E$17*AZ17,".")*$B$52</f>
        <v>2.7480892607080463E-12</v>
      </c>
      <c r="BA52" s="71">
        <f>IFERROR(s_RadSpec!$E$17*BA17,".")*$B$52</f>
        <v>6.7844428400000003E-16</v>
      </c>
      <c r="BB52" s="71">
        <f>IFERROR(s_RadSpec!$E$17*BB17,".")*$B$52</f>
        <v>4.8460306000000015E-10</v>
      </c>
      <c r="BC52" s="71">
        <f>IFERROR(s_RadSpec!$E$17*BC17,".")*$B$52</f>
        <v>0</v>
      </c>
      <c r="BD52" s="71">
        <f>IFERROR(s_RadSpec!$E$17*BD17,".")*$B$52</f>
        <v>0</v>
      </c>
      <c r="BE52" s="49">
        <f t="shared" si="91"/>
        <v>4.8460306000000015E-10</v>
      </c>
      <c r="BF52" s="49">
        <f t="shared" si="92"/>
        <v>2.7480892607080463E-12</v>
      </c>
      <c r="BG52" s="49">
        <f t="shared" si="92"/>
        <v>6.7844428400000003E-16</v>
      </c>
      <c r="BH52" s="49">
        <f t="shared" si="92"/>
        <v>4.8460306000000015E-10</v>
      </c>
      <c r="BI52" s="49">
        <f t="shared" si="92"/>
        <v>0</v>
      </c>
      <c r="BJ52" s="49">
        <f t="shared" si="92"/>
        <v>0</v>
      </c>
    </row>
    <row r="53" spans="1:62" x14ac:dyDescent="0.25">
      <c r="A53" s="48" t="s">
        <v>1091</v>
      </c>
      <c r="B53" s="15">
        <v>2.0000000000000001E-4</v>
      </c>
      <c r="C53" s="60">
        <f>IFERROR(C5/$B53,0)</f>
        <v>0</v>
      </c>
      <c r="D53" s="60">
        <f>IFERROR(D5/$B53,0)</f>
        <v>0</v>
      </c>
      <c r="E53" s="60">
        <f>IFERROR(E5/$B53,0)</f>
        <v>0</v>
      </c>
      <c r="F53" s="63">
        <f t="shared" si="77"/>
        <v>0</v>
      </c>
      <c r="G53" s="71">
        <f>IFERROR(s_RadSpec!$D$5*G5,".")*$B$53</f>
        <v>0</v>
      </c>
      <c r="H53" s="71">
        <f>IFERROR(s_RadSpec!$G$5*$H$5,".")*B53</f>
        <v>0</v>
      </c>
      <c r="I53" s="71">
        <f>IFERROR(s_RadSpec!$F$5*$I$5,".")*B53</f>
        <v>0</v>
      </c>
      <c r="J53" s="49">
        <f t="shared" si="78"/>
        <v>0</v>
      </c>
      <c r="K53" s="49">
        <f t="shared" si="79"/>
        <v>0</v>
      </c>
      <c r="L53" s="49">
        <f t="shared" si="80"/>
        <v>0</v>
      </c>
      <c r="M53" s="49">
        <f t="shared" si="81"/>
        <v>0</v>
      </c>
      <c r="N53" s="60">
        <f>IFERROR(N5/$B53,0)</f>
        <v>0</v>
      </c>
      <c r="O53" s="60">
        <f>IFERROR(O5/$B53,0)</f>
        <v>0</v>
      </c>
      <c r="P53" s="60">
        <f>IFERROR(P5/$B53,0)</f>
        <v>0</v>
      </c>
      <c r="Q53" s="60">
        <f>IFERROR(Q5/$B53,0)</f>
        <v>0</v>
      </c>
      <c r="R53" s="60">
        <f>IFERROR(R5/$B53,0)</f>
        <v>0</v>
      </c>
      <c r="S53" s="71">
        <f>IFERROR(s_RadSpec!$F$5*S5,".")*$B$53</f>
        <v>0</v>
      </c>
      <c r="T53" s="71">
        <f>IFERROR(s_RadSpec!$M$5*T5,".")*$B$53</f>
        <v>0</v>
      </c>
      <c r="U53" s="71">
        <f>IFERROR(s_RadSpec!$N$5*U5,".")*$B$53</f>
        <v>0</v>
      </c>
      <c r="V53" s="71">
        <f>IFERROR(s_RadSpec!$O$5*V5,".")*$B$53</f>
        <v>0</v>
      </c>
      <c r="W53" s="71">
        <f>IFERROR(s_RadSpec!$K$5*W5,".")*$B$53</f>
        <v>0</v>
      </c>
      <c r="X53" s="49">
        <f t="shared" si="82"/>
        <v>0</v>
      </c>
      <c r="Y53" s="49">
        <f t="shared" si="82"/>
        <v>0</v>
      </c>
      <c r="Z53" s="49">
        <f t="shared" si="82"/>
        <v>0</v>
      </c>
      <c r="AA53" s="49">
        <f t="shared" si="82"/>
        <v>0</v>
      </c>
      <c r="AB53" s="49">
        <f t="shared" si="82"/>
        <v>0</v>
      </c>
      <c r="AC53" s="60">
        <f>IFERROR(AC5/$B53,0)</f>
        <v>0</v>
      </c>
      <c r="AD53" s="60">
        <f>IFERROR(AD5/$B53,0)</f>
        <v>1420903200506.2122</v>
      </c>
      <c r="AE53" s="60">
        <f t="shared" si="83"/>
        <v>1420903200506.2122</v>
      </c>
      <c r="AF53" s="71">
        <f>IFERROR(s_RadSpec!$G$5*AF5,".")*$B$53</f>
        <v>0</v>
      </c>
      <c r="AG53" s="71">
        <f>IFERROR(s_RadSpec!$J$5*AG5,".")*$B$53</f>
        <v>3.5188885479452048E-18</v>
      </c>
      <c r="AH53" s="49">
        <f t="shared" si="84"/>
        <v>0</v>
      </c>
      <c r="AI53" s="49">
        <f t="shared" si="84"/>
        <v>3.5188885479452048E-18</v>
      </c>
      <c r="AJ53" s="49">
        <f t="shared" si="85"/>
        <v>3.5188885479452048E-18</v>
      </c>
      <c r="AK53" s="60">
        <f>IFERROR(AK5/$B53,0)</f>
        <v>0</v>
      </c>
      <c r="AL53" s="60">
        <f>IFERROR(AL5/$B53,0)</f>
        <v>2136209823084510</v>
      </c>
      <c r="AM53" s="63">
        <f t="shared" si="86"/>
        <v>2136209823084510.3</v>
      </c>
      <c r="AN53" s="71">
        <f>IFERROR(s_RadSpec!$H$5*AN5,".")*$B$53</f>
        <v>0</v>
      </c>
      <c r="AO53" s="71">
        <f>IFERROR(s_RadSpec!$L$5*AO5,".")*$B$53</f>
        <v>2.3405940493150688E-21</v>
      </c>
      <c r="AP53" s="49">
        <f t="shared" si="87"/>
        <v>0</v>
      </c>
      <c r="AQ53" s="49">
        <f t="shared" si="88"/>
        <v>2.3405940493150688E-21</v>
      </c>
      <c r="AR53" s="49">
        <f t="shared" si="89"/>
        <v>2.3405940493150688E-21</v>
      </c>
      <c r="AS53" s="63">
        <f t="shared" ref="AS53:AX53" si="96">IFERROR(AS5/$B53,0)</f>
        <v>0</v>
      </c>
      <c r="AT53" s="63">
        <f t="shared" si="96"/>
        <v>0</v>
      </c>
      <c r="AU53" s="63">
        <f t="shared" si="96"/>
        <v>0</v>
      </c>
      <c r="AV53" s="63">
        <f t="shared" si="96"/>
        <v>0</v>
      </c>
      <c r="AW53" s="63">
        <f t="shared" si="96"/>
        <v>0</v>
      </c>
      <c r="AX53" s="63">
        <f t="shared" si="96"/>
        <v>0</v>
      </c>
      <c r="AY53" s="71">
        <f>IFERROR(s_RadSpec!$E$5*AY5,".")*$B$53</f>
        <v>0</v>
      </c>
      <c r="AZ53" s="71">
        <f>IFERROR(s_RadSpec!$E$5*AZ5,".")*$B$53</f>
        <v>0</v>
      </c>
      <c r="BA53" s="71">
        <f>IFERROR(s_RadSpec!$E$5*BA5,".")*$B$53</f>
        <v>0</v>
      </c>
      <c r="BB53" s="71">
        <f>IFERROR(s_RadSpec!$E$5*BB5,".")*$B$53</f>
        <v>0</v>
      </c>
      <c r="BC53" s="71">
        <f>IFERROR(s_RadSpec!$E$5*BC5,".")*$B$53</f>
        <v>0</v>
      </c>
      <c r="BD53" s="71">
        <f>IFERROR(s_RadSpec!$E$5*BD5,".")*$B$53</f>
        <v>0</v>
      </c>
      <c r="BE53" s="49">
        <f t="shared" si="91"/>
        <v>0</v>
      </c>
      <c r="BF53" s="49">
        <f t="shared" si="92"/>
        <v>0</v>
      </c>
      <c r="BG53" s="49">
        <f t="shared" si="92"/>
        <v>0</v>
      </c>
      <c r="BH53" s="49">
        <f t="shared" si="92"/>
        <v>0</v>
      </c>
      <c r="BI53" s="49">
        <f t="shared" si="92"/>
        <v>0</v>
      </c>
      <c r="BJ53" s="49">
        <f t="shared" si="92"/>
        <v>0</v>
      </c>
    </row>
    <row r="54" spans="1:62" x14ac:dyDescent="0.25">
      <c r="A54" s="48" t="s">
        <v>1092</v>
      </c>
      <c r="B54" s="15">
        <v>0.99999979999999999</v>
      </c>
      <c r="C54" s="60">
        <f>IFERROR(C9/$B54,0)</f>
        <v>450826.22906477912</v>
      </c>
      <c r="D54" s="60">
        <f>IFERROR(D9/$B54,0)</f>
        <v>27499932.384989772</v>
      </c>
      <c r="E54" s="60">
        <f>IFERROR(E9/$B54,0)</f>
        <v>19.472253819293741</v>
      </c>
      <c r="F54" s="63">
        <f t="shared" si="77"/>
        <v>19.471399016020005</v>
      </c>
      <c r="G54" s="71">
        <f>IFERROR(s_RadSpec!$D$9*G9,".")*$B$54</f>
        <v>1.1090747781850001E-11</v>
      </c>
      <c r="H54" s="71">
        <f>IFERROR(s_RadSpec!$G$9*$H$9,".")*B54</f>
        <v>1.8181862886067087E-13</v>
      </c>
      <c r="I54" s="71">
        <f>IFERROR(s_RadSpec!$F$9*$I$9,".")*B54</f>
        <v>2.5677561757364918E-7</v>
      </c>
      <c r="J54" s="49">
        <f t="shared" si="78"/>
        <v>1.1090747781850001E-11</v>
      </c>
      <c r="K54" s="49">
        <f t="shared" si="79"/>
        <v>1.8181862886067087E-13</v>
      </c>
      <c r="L54" s="49">
        <f t="shared" si="80"/>
        <v>2.5677561757364918E-7</v>
      </c>
      <c r="M54" s="49">
        <f t="shared" si="81"/>
        <v>2.5678689014005987E-7</v>
      </c>
      <c r="N54" s="60">
        <f>IFERROR(N9/$B54,0)</f>
        <v>19.472253819293741</v>
      </c>
      <c r="O54" s="60">
        <f>IFERROR(O9/$B54,0)</f>
        <v>220.82791392735382</v>
      </c>
      <c r="P54" s="60">
        <f>IFERROR(P9/$B54,0)</f>
        <v>54.077930126026764</v>
      </c>
      <c r="Q54" s="60">
        <f>IFERROR(Q9/$B54,0)</f>
        <v>27.661695215197614</v>
      </c>
      <c r="R54" s="60">
        <f>IFERROR(R9/$B54,0)</f>
        <v>403.94915967697193</v>
      </c>
      <c r="S54" s="71">
        <f>IFERROR(s_RadSpec!$F$9*S9,".")*$B$54</f>
        <v>2.5677561757364918E-7</v>
      </c>
      <c r="T54" s="71">
        <f>IFERROR(s_RadSpec!$M$9*T9,".")*$B$54</f>
        <v>2.2642065086232076E-8</v>
      </c>
      <c r="U54" s="71">
        <f>IFERROR(s_RadSpec!$N$9*U9,".")*$B$54</f>
        <v>9.2459160111115018E-8</v>
      </c>
      <c r="V54" s="71">
        <f>IFERROR(s_RadSpec!$O$9*V9,".")*$B$54</f>
        <v>1.8075537168282251E-7</v>
      </c>
      <c r="W54" s="71">
        <f>IFERROR(s_RadSpec!$K$9*W9,".")*$B$54</f>
        <v>1.2377795275025144E-8</v>
      </c>
      <c r="X54" s="49">
        <f t="shared" si="82"/>
        <v>2.5677561757364918E-7</v>
      </c>
      <c r="Y54" s="49">
        <f t="shared" si="82"/>
        <v>2.2642065086232076E-8</v>
      </c>
      <c r="Z54" s="49">
        <f t="shared" si="82"/>
        <v>9.2459160111115018E-8</v>
      </c>
      <c r="AA54" s="49">
        <f t="shared" si="82"/>
        <v>1.8075537168282251E-7</v>
      </c>
      <c r="AB54" s="49">
        <f t="shared" si="82"/>
        <v>1.2377795275025144E-8</v>
      </c>
      <c r="AC54" s="60">
        <f>IFERROR(AC9/$B54,0)</f>
        <v>88.76562108183434</v>
      </c>
      <c r="AD54" s="60">
        <f>IFERROR(AD9/$B54,0)</f>
        <v>1309.3142057847958</v>
      </c>
      <c r="AE54" s="60">
        <f t="shared" si="83"/>
        <v>83.129794475493171</v>
      </c>
      <c r="AF54" s="71">
        <f>IFERROR(s_RadSpec!$G$9*AF9,".")*$B$54</f>
        <v>5.6328113734374991E-8</v>
      </c>
      <c r="AG54" s="71">
        <f>IFERROR(s_RadSpec!$J$9*AG9,".")*$B$54</f>
        <v>3.8187930581590436E-9</v>
      </c>
      <c r="AH54" s="49">
        <f t="shared" si="84"/>
        <v>5.6328113734374991E-8</v>
      </c>
      <c r="AI54" s="49">
        <f t="shared" si="84"/>
        <v>3.8187930581590436E-9</v>
      </c>
      <c r="AJ54" s="49">
        <f t="shared" si="85"/>
        <v>6.0146906792534032E-8</v>
      </c>
      <c r="AK54" s="60">
        <f>IFERROR(AK9/$B54,0)</f>
        <v>2603.7603499454253</v>
      </c>
      <c r="AL54" s="60">
        <f>IFERROR(AL9/$B54,0)</f>
        <v>1512574.6772473548</v>
      </c>
      <c r="AM54" s="63">
        <f t="shared" si="86"/>
        <v>2599.2859145972702</v>
      </c>
      <c r="AN54" s="71">
        <f>IFERROR(s_RadSpec!$H$9*AN9,".")*$B$54</f>
        <v>1.9202996159399999E-9</v>
      </c>
      <c r="AO54" s="71">
        <f>IFERROR(s_RadSpec!$L$9*AO9,".")*$B$54</f>
        <v>3.3056219142179504E-12</v>
      </c>
      <c r="AP54" s="49">
        <f t="shared" si="87"/>
        <v>1.9202996159399999E-9</v>
      </c>
      <c r="AQ54" s="49">
        <f t="shared" si="88"/>
        <v>3.3056219142179504E-12</v>
      </c>
      <c r="AR54" s="49">
        <f t="shared" si="89"/>
        <v>1.9236052378542178E-9</v>
      </c>
      <c r="AS54" s="63">
        <f t="shared" ref="AS54:AX54" si="97">IFERROR(AS9/$B54,0)</f>
        <v>18847.302951487804</v>
      </c>
      <c r="AT54" s="63">
        <f t="shared" si="97"/>
        <v>785304.28964532528</v>
      </c>
      <c r="AU54" s="63">
        <f t="shared" si="97"/>
        <v>4711825737.8719511</v>
      </c>
      <c r="AV54" s="63">
        <f t="shared" si="97"/>
        <v>18847.302951487804</v>
      </c>
      <c r="AW54" s="63">
        <f t="shared" si="97"/>
        <v>0</v>
      </c>
      <c r="AX54" s="63">
        <f t="shared" si="97"/>
        <v>0</v>
      </c>
      <c r="AY54" s="71">
        <f>IFERROR(s_RadSpec!$E$9*AY9,".")*$B$54</f>
        <v>2.6528994694200003E-10</v>
      </c>
      <c r="AZ54" s="71">
        <f>IFERROR(s_RadSpec!$E$9*AZ9,".")*$B$54</f>
        <v>6.3669587266080006E-12</v>
      </c>
      <c r="BA54" s="71">
        <f>IFERROR(s_RadSpec!$E$9*BA9,".")*$B$54</f>
        <v>1.061159787768E-15</v>
      </c>
      <c r="BB54" s="71">
        <f>IFERROR(s_RadSpec!$E$9*BB9,".")*$B$54</f>
        <v>2.6528994694200003E-10</v>
      </c>
      <c r="BC54" s="71">
        <f>IFERROR(s_RadSpec!$E$9*BC9,".")*$B$54</f>
        <v>0</v>
      </c>
      <c r="BD54" s="71">
        <f>IFERROR(s_RadSpec!$E$9*BD9,".")*$B$54</f>
        <v>0</v>
      </c>
      <c r="BE54" s="49">
        <f t="shared" si="91"/>
        <v>2.6528994694200003E-10</v>
      </c>
      <c r="BF54" s="49">
        <f t="shared" si="92"/>
        <v>6.3669587266080006E-12</v>
      </c>
      <c r="BG54" s="49">
        <f t="shared" si="92"/>
        <v>1.061159787768E-15</v>
      </c>
      <c r="BH54" s="49">
        <f t="shared" si="92"/>
        <v>2.6528994694200003E-10</v>
      </c>
      <c r="BI54" s="49">
        <f t="shared" si="92"/>
        <v>0</v>
      </c>
      <c r="BJ54" s="49">
        <f t="shared" si="92"/>
        <v>0</v>
      </c>
    </row>
    <row r="55" spans="1:62" x14ac:dyDescent="0.25">
      <c r="A55" s="48" t="s">
        <v>1093</v>
      </c>
      <c r="B55" s="15">
        <v>1.9999999999999999E-7</v>
      </c>
      <c r="C55" s="60">
        <f>IFERROR(C24/$B55,0)</f>
        <v>0</v>
      </c>
      <c r="D55" s="60">
        <f>IFERROR(D24/$B55,0)</f>
        <v>0</v>
      </c>
      <c r="E55" s="60">
        <f>IFERROR(E24/$B55,0)</f>
        <v>372667996709.4668</v>
      </c>
      <c r="F55" s="63">
        <f t="shared" si="77"/>
        <v>372667996709.4668</v>
      </c>
      <c r="G55" s="71">
        <f>IFERROR(s_RadSpec!$D$24*G24,".")*$B$55</f>
        <v>0</v>
      </c>
      <c r="H55" s="71">
        <f>IFERROR(s_RadSpec!$G$24*$H$24,".")*B55</f>
        <v>0</v>
      </c>
      <c r="I55" s="71">
        <f>IFERROR(s_RadSpec!$F$24*$I$24,".")*B55</f>
        <v>1.3416767858115856E-17</v>
      </c>
      <c r="J55" s="49">
        <f t="shared" si="78"/>
        <v>0</v>
      </c>
      <c r="K55" s="49">
        <f t="shared" si="79"/>
        <v>0</v>
      </c>
      <c r="L55" s="49">
        <f t="shared" si="80"/>
        <v>1.3416767858115856E-17</v>
      </c>
      <c r="M55" s="49">
        <f t="shared" si="81"/>
        <v>1.3416767858115856E-17</v>
      </c>
      <c r="N55" s="60">
        <f>IFERROR(N24/$B55,0)</f>
        <v>372667996709.4668</v>
      </c>
      <c r="O55" s="60">
        <f>IFERROR(O24/$B55,0)</f>
        <v>3283164707562.605</v>
      </c>
      <c r="P55" s="60">
        <f>IFERROR(P24/$B55,0)</f>
        <v>823486819320.16638</v>
      </c>
      <c r="Q55" s="60">
        <f>IFERROR(Q24/$B55,0)</f>
        <v>444337311285.73126</v>
      </c>
      <c r="R55" s="60">
        <f>IFERROR(R24/$B55,0)</f>
        <v>5585802339124.5645</v>
      </c>
      <c r="S55" s="71">
        <f>IFERROR(s_RadSpec!$F$24*S24,".")*$B$55</f>
        <v>1.3416767858115856E-17</v>
      </c>
      <c r="T55" s="71">
        <f>IFERROR(s_RadSpec!$M$24*T24,".")*$B$55</f>
        <v>1.5229208539196192E-18</v>
      </c>
      <c r="U55" s="71">
        <f>IFERROR(s_RadSpec!$N$24*U24,".")*$B$55</f>
        <v>6.0717425982941333E-18</v>
      </c>
      <c r="V55" s="71">
        <f>IFERROR(s_RadSpec!$O$24*V24,".")*$B$55</f>
        <v>1.1252712461917809E-17</v>
      </c>
      <c r="W55" s="71">
        <f>IFERROR(s_RadSpec!$K$24*W24,".")*$B$55</f>
        <v>8.951265541529393E-19</v>
      </c>
      <c r="X55" s="49">
        <f t="shared" si="82"/>
        <v>1.3416767858115856E-17</v>
      </c>
      <c r="Y55" s="49">
        <f t="shared" si="82"/>
        <v>1.5229208539196192E-18</v>
      </c>
      <c r="Z55" s="49">
        <f t="shared" si="82"/>
        <v>6.0717425982941333E-18</v>
      </c>
      <c r="AA55" s="49">
        <f t="shared" si="82"/>
        <v>1.1252712461917809E-17</v>
      </c>
      <c r="AB55" s="49">
        <f t="shared" si="82"/>
        <v>8.951265541529393E-19</v>
      </c>
      <c r="AC55" s="60">
        <f>IFERROR(AC24/$B55,0)</f>
        <v>0</v>
      </c>
      <c r="AD55" s="60">
        <f>IFERROR(AD24/$B55,0)</f>
        <v>13740602378521.611</v>
      </c>
      <c r="AE55" s="60">
        <f t="shared" si="83"/>
        <v>13740602378521.611</v>
      </c>
      <c r="AF55" s="71">
        <f>IFERROR(s_RadSpec!$G$24*AF24,".")*$B$55</f>
        <v>0</v>
      </c>
      <c r="AG55" s="71">
        <f>IFERROR(s_RadSpec!$J$24*AG24,".")*$B$55</f>
        <v>3.6388506575342455E-19</v>
      </c>
      <c r="AH55" s="49">
        <f t="shared" si="84"/>
        <v>0</v>
      </c>
      <c r="AI55" s="49">
        <f t="shared" si="84"/>
        <v>3.6388506575342455E-19</v>
      </c>
      <c r="AJ55" s="49">
        <f t="shared" si="85"/>
        <v>3.6388506575342455E-19</v>
      </c>
      <c r="AK55" s="60">
        <f>IFERROR(AK24/$B55,0)</f>
        <v>0</v>
      </c>
      <c r="AL55" s="60">
        <f>IFERROR(AL24/$B55,0)</f>
        <v>1.5814436970220912E+16</v>
      </c>
      <c r="AM55" s="63">
        <f t="shared" si="86"/>
        <v>1.5814436970220914E+16</v>
      </c>
      <c r="AN55" s="71">
        <f>IFERROR(s_RadSpec!$H$24*AN24,".")*$B$55</f>
        <v>0</v>
      </c>
      <c r="AO55" s="71">
        <f>IFERROR(s_RadSpec!$L$24*AO24,".")*$B$55</f>
        <v>3.1616680438356164E-22</v>
      </c>
      <c r="AP55" s="49">
        <f t="shared" si="87"/>
        <v>0</v>
      </c>
      <c r="AQ55" s="49">
        <f t="shared" si="88"/>
        <v>3.1616680438356164E-22</v>
      </c>
      <c r="AR55" s="49">
        <f t="shared" si="89"/>
        <v>3.1616680438356164E-22</v>
      </c>
      <c r="AS55" s="63">
        <f t="shared" ref="AS55:AX55" si="98">IFERROR(AS24/$B55,0)</f>
        <v>0</v>
      </c>
      <c r="AT55" s="63">
        <f t="shared" si="98"/>
        <v>0</v>
      </c>
      <c r="AU55" s="63">
        <f t="shared" si="98"/>
        <v>0</v>
      </c>
      <c r="AV55" s="63">
        <f t="shared" si="98"/>
        <v>0</v>
      </c>
      <c r="AW55" s="63">
        <f t="shared" si="98"/>
        <v>0</v>
      </c>
      <c r="AX55" s="63">
        <f t="shared" si="98"/>
        <v>0</v>
      </c>
      <c r="AY55" s="71">
        <f>IFERROR(s_RadSpec!$E$24*AY24,".")*$B$55</f>
        <v>0</v>
      </c>
      <c r="AZ55" s="71">
        <f>IFERROR(s_RadSpec!$E$24*AZ24,".")*$B$55</f>
        <v>0</v>
      </c>
      <c r="BA55" s="71">
        <f>IFERROR(s_RadSpec!$E$24*BA24,".")*$B$55</f>
        <v>0</v>
      </c>
      <c r="BB55" s="71">
        <f>IFERROR(s_RadSpec!$E$24*BB24,".")*$B$55</f>
        <v>0</v>
      </c>
      <c r="BC55" s="71">
        <f>IFERROR(s_RadSpec!$E$24*BC24,".")*$B$55</f>
        <v>0</v>
      </c>
      <c r="BD55" s="71">
        <f>IFERROR(s_RadSpec!$E$24*BD24,".")*$B$55</f>
        <v>0</v>
      </c>
      <c r="BE55" s="49">
        <f t="shared" si="91"/>
        <v>0</v>
      </c>
      <c r="BF55" s="49">
        <f t="shared" si="92"/>
        <v>0</v>
      </c>
      <c r="BG55" s="49">
        <f t="shared" si="92"/>
        <v>0</v>
      </c>
      <c r="BH55" s="49">
        <f t="shared" si="92"/>
        <v>0</v>
      </c>
      <c r="BI55" s="49">
        <f t="shared" si="92"/>
        <v>0</v>
      </c>
      <c r="BJ55" s="49">
        <f t="shared" si="92"/>
        <v>0</v>
      </c>
    </row>
    <row r="56" spans="1:62" x14ac:dyDescent="0.25">
      <c r="A56" s="48" t="s">
        <v>1094</v>
      </c>
      <c r="B56" s="15">
        <v>0.99979000004200003</v>
      </c>
      <c r="C56" s="60">
        <f>IFERROR(C20/$B56,0)</f>
        <v>0</v>
      </c>
      <c r="D56" s="60">
        <f>IFERROR(D20/$B56,0)</f>
        <v>0</v>
      </c>
      <c r="E56" s="60">
        <f>IFERROR(E20/$B56,0)</f>
        <v>513103.80113653484</v>
      </c>
      <c r="F56" s="63">
        <f t="shared" si="77"/>
        <v>513103.80113653489</v>
      </c>
      <c r="G56" s="71">
        <f>IFERROR(s_RadSpec!$D$20*G20,".")*$B$56</f>
        <v>0</v>
      </c>
      <c r="H56" s="71">
        <f>IFERROR(s_RadSpec!$G$20*$H$20,".")*B56</f>
        <v>0</v>
      </c>
      <c r="I56" s="71">
        <f>IFERROR(s_RadSpec!$F$20*$I$20,".")*B56</f>
        <v>9.7446169545516966E-12</v>
      </c>
      <c r="J56" s="49">
        <f t="shared" si="78"/>
        <v>0</v>
      </c>
      <c r="K56" s="49">
        <f t="shared" si="79"/>
        <v>0</v>
      </c>
      <c r="L56" s="49">
        <f t="shared" si="80"/>
        <v>9.7446169545516966E-12</v>
      </c>
      <c r="M56" s="49">
        <f t="shared" si="81"/>
        <v>9.7446169545516966E-12</v>
      </c>
      <c r="N56" s="60">
        <f>IFERROR(N20/$B56,0)</f>
        <v>513103.80113653484</v>
      </c>
      <c r="O56" s="60">
        <f>IFERROR(O20/$B56,0)</f>
        <v>5115249.1771076825</v>
      </c>
      <c r="P56" s="60">
        <f>IFERROR(P20/$B56,0)</f>
        <v>1269778.829777376</v>
      </c>
      <c r="Q56" s="60">
        <f>IFERROR(Q20/$B56,0)</f>
        <v>678828.93246943515</v>
      </c>
      <c r="R56" s="60">
        <f>IFERROR(R20/$B56,0)</f>
        <v>8946427.7650501411</v>
      </c>
      <c r="S56" s="71">
        <f>IFERROR(s_RadSpec!$F$20*S20,".")*$B$56</f>
        <v>9.7446169545516966E-12</v>
      </c>
      <c r="T56" s="71">
        <f>IFERROR(s_RadSpec!$M$20*T20,".")*$B$56</f>
        <v>9.7746948914562007E-13</v>
      </c>
      <c r="U56" s="71">
        <f>IFERROR(s_RadSpec!$N$20*U20,".")*$B$56</f>
        <v>3.9376936225000886E-12</v>
      </c>
      <c r="V56" s="71">
        <f>IFERROR(s_RadSpec!$O$20*V20,".")*$B$56</f>
        <v>7.3656259491048255E-12</v>
      </c>
      <c r="W56" s="71">
        <f>IFERROR(s_RadSpec!$K$20*W20,".")*$B$56</f>
        <v>5.5888228590330286E-13</v>
      </c>
      <c r="X56" s="49">
        <f t="shared" si="82"/>
        <v>9.7446169545516966E-12</v>
      </c>
      <c r="Y56" s="49">
        <f t="shared" si="82"/>
        <v>9.7746948914562007E-13</v>
      </c>
      <c r="Z56" s="49">
        <f t="shared" si="82"/>
        <v>3.9376936225000886E-12</v>
      </c>
      <c r="AA56" s="49">
        <f t="shared" si="82"/>
        <v>7.3656259491048255E-12</v>
      </c>
      <c r="AB56" s="49">
        <f t="shared" si="82"/>
        <v>5.5888228590330286E-13</v>
      </c>
      <c r="AC56" s="60">
        <f>IFERROR(AC20/$B56,0)</f>
        <v>0</v>
      </c>
      <c r="AD56" s="60">
        <f>IFERROR(AD20/$B56,0)</f>
        <v>24522695.185458336</v>
      </c>
      <c r="AE56" s="60">
        <f t="shared" si="83"/>
        <v>24522695.185458336</v>
      </c>
      <c r="AF56" s="71">
        <f>IFERROR(s_RadSpec!$G$20*AF20,".")*$B$56</f>
        <v>0</v>
      </c>
      <c r="AG56" s="71">
        <f>IFERROR(s_RadSpec!$J$20*AG20,".")*$B$56</f>
        <v>2.0389275983681185E-13</v>
      </c>
      <c r="AH56" s="49">
        <f t="shared" si="84"/>
        <v>0</v>
      </c>
      <c r="AI56" s="49">
        <f t="shared" si="84"/>
        <v>2.0389275983681185E-13</v>
      </c>
      <c r="AJ56" s="49">
        <f t="shared" si="85"/>
        <v>2.0389275983681185E-13</v>
      </c>
      <c r="AK56" s="60">
        <f>IFERROR(AK20/$B56,0)</f>
        <v>0</v>
      </c>
      <c r="AL56" s="60">
        <f>IFERROR(AL20/$B56,0)</f>
        <v>28295417521.682697</v>
      </c>
      <c r="AM56" s="63">
        <f t="shared" si="86"/>
        <v>28295417521.682697</v>
      </c>
      <c r="AN56" s="71">
        <f>IFERROR(s_RadSpec!$H$20*AN20,".")*$B$56</f>
        <v>0</v>
      </c>
      <c r="AO56" s="71">
        <f>IFERROR(s_RadSpec!$L$20*AO20,".")*$B$56</f>
        <v>1.7670705852523696E-16</v>
      </c>
      <c r="AP56" s="49">
        <f t="shared" si="87"/>
        <v>0</v>
      </c>
      <c r="AQ56" s="49">
        <f t="shared" si="88"/>
        <v>1.7670705852523696E-16</v>
      </c>
      <c r="AR56" s="49">
        <f t="shared" si="89"/>
        <v>1.7670705852523696E-16</v>
      </c>
      <c r="AS56" s="63">
        <f t="shared" ref="AS56:AX56" si="99">IFERROR(AS20/$B56,0)</f>
        <v>0</v>
      </c>
      <c r="AT56" s="63">
        <f t="shared" si="99"/>
        <v>0</v>
      </c>
      <c r="AU56" s="63">
        <f t="shared" si="99"/>
        <v>0</v>
      </c>
      <c r="AV56" s="63">
        <f t="shared" si="99"/>
        <v>0</v>
      </c>
      <c r="AW56" s="63">
        <f t="shared" si="99"/>
        <v>0</v>
      </c>
      <c r="AX56" s="63">
        <f t="shared" si="99"/>
        <v>0</v>
      </c>
      <c r="AY56" s="71">
        <f>IFERROR(s_RadSpec!$E$20*AY20,".")*$B$56</f>
        <v>0</v>
      </c>
      <c r="AZ56" s="71">
        <f>IFERROR(s_RadSpec!$E$20*AZ20,".")*$B$56</f>
        <v>0</v>
      </c>
      <c r="BA56" s="71">
        <f>IFERROR(s_RadSpec!$E$20*BA20,".")*$B$56</f>
        <v>0</v>
      </c>
      <c r="BB56" s="71">
        <f>IFERROR(s_RadSpec!$E$20*BB20,".")*$B$56</f>
        <v>0</v>
      </c>
      <c r="BC56" s="71">
        <f>IFERROR(s_RadSpec!$E$20*BC20,".")*$B$56</f>
        <v>0</v>
      </c>
      <c r="BD56" s="71">
        <f>IFERROR(s_RadSpec!$E$20*BD20,".")*$B$56</f>
        <v>0</v>
      </c>
      <c r="BE56" s="49">
        <f t="shared" si="91"/>
        <v>0</v>
      </c>
      <c r="BF56" s="49">
        <f t="shared" si="92"/>
        <v>0</v>
      </c>
      <c r="BG56" s="49">
        <f t="shared" si="92"/>
        <v>0</v>
      </c>
      <c r="BH56" s="49">
        <f t="shared" si="92"/>
        <v>0</v>
      </c>
      <c r="BI56" s="49">
        <f t="shared" si="92"/>
        <v>0</v>
      </c>
      <c r="BJ56" s="49">
        <f t="shared" si="92"/>
        <v>0</v>
      </c>
    </row>
    <row r="57" spans="1:62" x14ac:dyDescent="0.25">
      <c r="A57" s="48" t="s">
        <v>1095</v>
      </c>
      <c r="B57" s="15">
        <v>2.0999995799999999E-4</v>
      </c>
      <c r="C57" s="60">
        <f>IFERROR(C29/$B57,0)</f>
        <v>0</v>
      </c>
      <c r="D57" s="60">
        <f>IFERROR(D29/$B57,0)</f>
        <v>0</v>
      </c>
      <c r="E57" s="60">
        <f>IFERROR(E29/$B57,0)</f>
        <v>55171.353442684893</v>
      </c>
      <c r="F57" s="63">
        <f t="shared" si="77"/>
        <v>55171.353442684893</v>
      </c>
      <c r="G57" s="71">
        <f>IFERROR(s_RadSpec!$D$29*G29,".")*$B$57</f>
        <v>0</v>
      </c>
      <c r="H57" s="71">
        <f>IFERROR(s_RadSpec!$G$29*$H$29,".")*B57</f>
        <v>0</v>
      </c>
      <c r="I57" s="71">
        <f>IFERROR(s_RadSpec!$F$29*$I$29,".")*B57</f>
        <v>9.0626741741876643E-11</v>
      </c>
      <c r="J57" s="49">
        <f t="shared" si="78"/>
        <v>0</v>
      </c>
      <c r="K57" s="49">
        <f t="shared" si="79"/>
        <v>0</v>
      </c>
      <c r="L57" s="49">
        <f t="shared" si="80"/>
        <v>9.0626741741876643E-11</v>
      </c>
      <c r="M57" s="49">
        <f t="shared" si="81"/>
        <v>9.0626741741876643E-11</v>
      </c>
      <c r="N57" s="60">
        <f>IFERROR(N29/$B57,0)</f>
        <v>55171.353442684893</v>
      </c>
      <c r="O57" s="60">
        <f>IFERROR(O29/$B57,0)</f>
        <v>594954.97069257929</v>
      </c>
      <c r="P57" s="60">
        <f>IFERROR(P29/$B57,0)</f>
        <v>147955.82931916363</v>
      </c>
      <c r="Q57" s="60">
        <f>IFERROR(Q29/$B57,0)</f>
        <v>78630.718751434921</v>
      </c>
      <c r="R57" s="60">
        <f>IFERROR(R29/$B57,0)</f>
        <v>1103614.3570383762</v>
      </c>
      <c r="S57" s="71">
        <f>IFERROR(s_RadSpec!$F$29*S29,".")*$B$57</f>
        <v>9.0626741741876643E-11</v>
      </c>
      <c r="T57" s="71">
        <f>IFERROR(s_RadSpec!$M$29*T29,".")*$B$57</f>
        <v>8.403997354925137E-12</v>
      </c>
      <c r="U57" s="71">
        <f>IFERROR(s_RadSpec!$N$29*U29,".")*$B$57</f>
        <v>3.3793869582618646E-11</v>
      </c>
      <c r="V57" s="71">
        <f>IFERROR(s_RadSpec!$O$29*V29,".")*$B$57</f>
        <v>6.3588379699362168E-11</v>
      </c>
      <c r="W57" s="71">
        <f>IFERROR(s_RadSpec!$K$29*W29,".")*$B$57</f>
        <v>4.5305680993656505E-12</v>
      </c>
      <c r="X57" s="49">
        <f t="shared" si="82"/>
        <v>9.0626741741876643E-11</v>
      </c>
      <c r="Y57" s="49">
        <f t="shared" si="82"/>
        <v>8.403997354925137E-12</v>
      </c>
      <c r="Z57" s="49">
        <f t="shared" si="82"/>
        <v>3.3793869582618646E-11</v>
      </c>
      <c r="AA57" s="49">
        <f t="shared" si="82"/>
        <v>6.3588379699362168E-11</v>
      </c>
      <c r="AB57" s="49">
        <f t="shared" si="82"/>
        <v>4.5305680993656505E-12</v>
      </c>
      <c r="AC57" s="60">
        <f>IFERROR(AC29/$B57,0)</f>
        <v>0</v>
      </c>
      <c r="AD57" s="60">
        <f>IFERROR(AD29/$B57,0)</f>
        <v>3370337.1065349863</v>
      </c>
      <c r="AE57" s="60">
        <f t="shared" si="83"/>
        <v>3370337.1065349863</v>
      </c>
      <c r="AF57" s="71">
        <f>IFERROR(s_RadSpec!$G$29*AF29,".")*$B$57</f>
        <v>0</v>
      </c>
      <c r="AG57" s="71">
        <f>IFERROR(s_RadSpec!$J$29*AG29,".")*$B$57</f>
        <v>1.4835311252115235E-12</v>
      </c>
      <c r="AH57" s="49">
        <f t="shared" si="84"/>
        <v>0</v>
      </c>
      <c r="AI57" s="49">
        <f t="shared" si="84"/>
        <v>1.4835311252115235E-12</v>
      </c>
      <c r="AJ57" s="49">
        <f t="shared" si="85"/>
        <v>1.4835311252115235E-12</v>
      </c>
      <c r="AK57" s="60">
        <f>IFERROR(AK29/$B57,0)</f>
        <v>0</v>
      </c>
      <c r="AL57" s="60">
        <f>IFERROR(AL29/$B57,0)</f>
        <v>3883214492.3120499</v>
      </c>
      <c r="AM57" s="63">
        <f t="shared" si="86"/>
        <v>3883214492.3120499</v>
      </c>
      <c r="AN57" s="71">
        <f>IFERROR(s_RadSpec!$H$29*AN29,".")*$B$57</f>
        <v>0</v>
      </c>
      <c r="AO57" s="71">
        <f>IFERROR(s_RadSpec!$L$29*AO29,".")*$B$57</f>
        <v>1.287593052070379E-15</v>
      </c>
      <c r="AP57" s="49">
        <f t="shared" si="87"/>
        <v>0</v>
      </c>
      <c r="AQ57" s="49">
        <f t="shared" si="88"/>
        <v>1.287593052070379E-15</v>
      </c>
      <c r="AR57" s="49">
        <f t="shared" si="89"/>
        <v>1.287593052070379E-15</v>
      </c>
      <c r="AS57" s="63">
        <f t="shared" ref="AS57:AX57" si="100">IFERROR(AS29/$B57,0)</f>
        <v>0</v>
      </c>
      <c r="AT57" s="63">
        <f t="shared" si="100"/>
        <v>0</v>
      </c>
      <c r="AU57" s="63">
        <f t="shared" si="100"/>
        <v>0</v>
      </c>
      <c r="AV57" s="63">
        <f t="shared" si="100"/>
        <v>0</v>
      </c>
      <c r="AW57" s="63">
        <f t="shared" si="100"/>
        <v>0</v>
      </c>
      <c r="AX57" s="63">
        <f t="shared" si="100"/>
        <v>0</v>
      </c>
      <c r="AY57" s="71">
        <f>IFERROR(s_RadSpec!$E$29*AY29,".")*$B$57</f>
        <v>0</v>
      </c>
      <c r="AZ57" s="71">
        <f>IFERROR(s_RadSpec!$E$29*AZ29,".")*$B$57</f>
        <v>0</v>
      </c>
      <c r="BA57" s="71">
        <f>IFERROR(s_RadSpec!$E$29*BA29,".")*$B$57</f>
        <v>0</v>
      </c>
      <c r="BB57" s="71">
        <f>IFERROR(s_RadSpec!$E$29*BB29,".")*$B$57</f>
        <v>0</v>
      </c>
      <c r="BC57" s="71">
        <f>IFERROR(s_RadSpec!$E$29*BC29,".")*$B$57</f>
        <v>0</v>
      </c>
      <c r="BD57" s="71">
        <f>IFERROR(s_RadSpec!$E$29*BD29,".")*$B$57</f>
        <v>0</v>
      </c>
      <c r="BE57" s="49">
        <f t="shared" si="91"/>
        <v>0</v>
      </c>
      <c r="BF57" s="49">
        <f t="shared" si="92"/>
        <v>0</v>
      </c>
      <c r="BG57" s="49">
        <f t="shared" si="92"/>
        <v>0</v>
      </c>
      <c r="BH57" s="49">
        <f t="shared" si="92"/>
        <v>0</v>
      </c>
      <c r="BI57" s="49">
        <f t="shared" si="92"/>
        <v>0</v>
      </c>
      <c r="BJ57" s="49">
        <f t="shared" si="92"/>
        <v>0</v>
      </c>
    </row>
    <row r="58" spans="1:62" x14ac:dyDescent="0.25">
      <c r="A58" s="48" t="s">
        <v>1096</v>
      </c>
      <c r="B58" s="15">
        <v>1</v>
      </c>
      <c r="C58" s="60">
        <f>IFERROR(C16/$B58,0)</f>
        <v>105.90527831907143</v>
      </c>
      <c r="D58" s="60">
        <f>IFERROR(D16/$B58,0)</f>
        <v>107068.32240239423</v>
      </c>
      <c r="E58" s="60">
        <f>IFERROR(E16/$B58,0)</f>
        <v>2837162236.6369786</v>
      </c>
      <c r="F58" s="63">
        <f t="shared" si="77"/>
        <v>105.80062302026512</v>
      </c>
      <c r="G58" s="71">
        <f>IFERROR(s_RadSpec!$D$16*G16,".")*$B$58</f>
        <v>4.7212E-8</v>
      </c>
      <c r="H58" s="71">
        <f>IFERROR(s_RadSpec!$G$16*$H$16,".")*B58</f>
        <v>4.6699153286520449E-11</v>
      </c>
      <c r="I58" s="71">
        <f>IFERROR(s_RadSpec!$F$16*$I$16,".")*B58</f>
        <v>1.7623243166829734E-15</v>
      </c>
      <c r="J58" s="49">
        <f t="shared" si="78"/>
        <v>4.7212E-8</v>
      </c>
      <c r="K58" s="49">
        <f t="shared" si="79"/>
        <v>4.6699153286520449E-11</v>
      </c>
      <c r="L58" s="49">
        <f t="shared" si="80"/>
        <v>1.7623243166829734E-15</v>
      </c>
      <c r="M58" s="49">
        <f t="shared" si="81"/>
        <v>4.7258700915610836E-8</v>
      </c>
      <c r="N58" s="60">
        <f>IFERROR(N16/$B58,0)</f>
        <v>2837162236.6369786</v>
      </c>
      <c r="O58" s="60">
        <f>IFERROR(O16/$B58,0)</f>
        <v>7864177107.0580359</v>
      </c>
      <c r="P58" s="60">
        <f>IFERROR(P16/$B58,0)</f>
        <v>3069306829.3555741</v>
      </c>
      <c r="Q58" s="60">
        <f>IFERROR(Q16/$B58,0)</f>
        <v>3051156026.9797559</v>
      </c>
      <c r="R58" s="60">
        <f>IFERROR(R16/$B58,0)</f>
        <v>102073046240.44627</v>
      </c>
      <c r="S58" s="71">
        <f>IFERROR(s_RadSpec!$F$16*S16,".")*$B$58</f>
        <v>1.7623243166829734E-15</v>
      </c>
      <c r="T58" s="71">
        <f>IFERROR(s_RadSpec!$M$16*T16,".")*$B$58</f>
        <v>6.3579442984728029E-16</v>
      </c>
      <c r="U58" s="71">
        <f>IFERROR(s_RadSpec!$N$16*U16,".")*$B$58</f>
        <v>1.6290323118493145E-15</v>
      </c>
      <c r="V58" s="71">
        <f>IFERROR(s_RadSpec!$O$16*V16,".")*$B$58</f>
        <v>1.6387231448630129E-15</v>
      </c>
      <c r="W58" s="71">
        <f>IFERROR(s_RadSpec!$K$16*W16,".")*$B$58</f>
        <v>4.8984528082191768E-17</v>
      </c>
      <c r="X58" s="49">
        <f t="shared" si="82"/>
        <v>1.7623243166829734E-15</v>
      </c>
      <c r="Y58" s="49">
        <f t="shared" si="82"/>
        <v>6.3579442984728029E-16</v>
      </c>
      <c r="Z58" s="49">
        <f t="shared" si="82"/>
        <v>1.6290323118493145E-15</v>
      </c>
      <c r="AA58" s="49">
        <f t="shared" si="82"/>
        <v>1.6387231448630129E-15</v>
      </c>
      <c r="AB58" s="49">
        <f t="shared" si="82"/>
        <v>4.8984528082191768E-17</v>
      </c>
      <c r="AC58" s="60">
        <f>IFERROR(AC16/$B58,0)</f>
        <v>0.34560034560034564</v>
      </c>
      <c r="AD58" s="60">
        <f>IFERROR(AD16/$B58,0)</f>
        <v>2226222.22512546</v>
      </c>
      <c r="AE58" s="60">
        <f t="shared" si="83"/>
        <v>0.3456002919491068</v>
      </c>
      <c r="AF58" s="71">
        <f>IFERROR(s_RadSpec!$G$16*AF16,".")*$B$58</f>
        <v>1.4467578124999998E-5</v>
      </c>
      <c r="AG58" s="71">
        <f>IFERROR(s_RadSpec!$J$16*AG16,".")*$B$58</f>
        <v>2.2459572739726024E-12</v>
      </c>
      <c r="AH58" s="49">
        <f t="shared" si="84"/>
        <v>1.4467578124999998E-5</v>
      </c>
      <c r="AI58" s="49">
        <f t="shared" si="84"/>
        <v>2.2459572739726024E-12</v>
      </c>
      <c r="AJ58" s="49">
        <f t="shared" si="85"/>
        <v>1.4467580370957272E-5</v>
      </c>
      <c r="AK58" s="60">
        <f>IFERROR(AK16/$B58,0)</f>
        <v>0.56541897546081643</v>
      </c>
      <c r="AL58" s="60">
        <f>IFERROR(AL16/$B58,0)</f>
        <v>2410786921.1673522</v>
      </c>
      <c r="AM58" s="63">
        <f t="shared" si="86"/>
        <v>0.56541897532820462</v>
      </c>
      <c r="AN58" s="71">
        <f>IFERROR(s_RadSpec!$H$16*AN16,".")*$B$58</f>
        <v>8.8429999999999999E-6</v>
      </c>
      <c r="AO58" s="71">
        <f>IFERROR(s_RadSpec!$L$16*AO16,".")*$B$58</f>
        <v>2.0740115835616435E-15</v>
      </c>
      <c r="AP58" s="49">
        <f t="shared" si="87"/>
        <v>8.8429999999999999E-6</v>
      </c>
      <c r="AQ58" s="49">
        <f t="shared" si="88"/>
        <v>2.0740115835616435E-15</v>
      </c>
      <c r="AR58" s="49">
        <f t="shared" si="89"/>
        <v>8.8430000020740109E-6</v>
      </c>
      <c r="AS58" s="63">
        <f t="shared" ref="AS58:AX58" si="101">IFERROR(AS16/$B58,0)</f>
        <v>4.2495325514193434</v>
      </c>
      <c r="AT58" s="63">
        <f t="shared" si="101"/>
        <v>749.37030155157061</v>
      </c>
      <c r="AU58" s="63">
        <f t="shared" si="101"/>
        <v>3035380.3938709595</v>
      </c>
      <c r="AV58" s="63">
        <f t="shared" si="101"/>
        <v>4.2495325514193434</v>
      </c>
      <c r="AW58" s="63">
        <f t="shared" si="101"/>
        <v>0</v>
      </c>
      <c r="AX58" s="63">
        <f t="shared" si="101"/>
        <v>0</v>
      </c>
      <c r="AY58" s="71">
        <f>IFERROR(s_RadSpec!$E$16*AY16,".")*$B$58</f>
        <v>1.1766000000000001E-6</v>
      </c>
      <c r="AZ58" s="71">
        <f>IFERROR(s_RadSpec!$E$16*AZ16,".")*$B$58</f>
        <v>6.6722686896551723E-9</v>
      </c>
      <c r="BA58" s="71">
        <f>IFERROR(s_RadSpec!$E$16*BA16,".")*$B$58</f>
        <v>1.6472399999999998E-12</v>
      </c>
      <c r="BB58" s="71">
        <f>IFERROR(s_RadSpec!$E$16*BB16,".")*$B$58</f>
        <v>1.1766000000000001E-6</v>
      </c>
      <c r="BC58" s="71">
        <f>IFERROR(s_RadSpec!$E$16*BC16,".")*$B$58</f>
        <v>0</v>
      </c>
      <c r="BD58" s="71">
        <f>IFERROR(s_RadSpec!$E$16*BD16,".")*$B$58</f>
        <v>0</v>
      </c>
      <c r="BE58" s="49">
        <f t="shared" si="91"/>
        <v>1.1766000000000001E-6</v>
      </c>
      <c r="BF58" s="49">
        <f t="shared" si="92"/>
        <v>6.6722686896551723E-9</v>
      </c>
      <c r="BG58" s="49">
        <f t="shared" si="92"/>
        <v>1.6472399999999998E-12</v>
      </c>
      <c r="BH58" s="49">
        <f t="shared" si="92"/>
        <v>1.1766000000000001E-6</v>
      </c>
      <c r="BI58" s="49">
        <f t="shared" si="92"/>
        <v>0</v>
      </c>
      <c r="BJ58" s="49">
        <f t="shared" si="92"/>
        <v>0</v>
      </c>
    </row>
    <row r="59" spans="1:62" x14ac:dyDescent="0.25">
      <c r="A59" s="48" t="s">
        <v>1097</v>
      </c>
      <c r="B59" s="15">
        <v>1</v>
      </c>
      <c r="C59" s="60">
        <f>IFERROR(C7/$B59,0)</f>
        <v>7571.6562619490196</v>
      </c>
      <c r="D59" s="60">
        <f>IFERROR(D7/$B59,0)</f>
        <v>3734334.171595701</v>
      </c>
      <c r="E59" s="60">
        <f>IFERROR(E7/$B59,0)</f>
        <v>182539.38926211183</v>
      </c>
      <c r="F59" s="63">
        <f t="shared" si="77"/>
        <v>7255.9696753668986</v>
      </c>
      <c r="G59" s="71">
        <f>IFERROR(s_RadSpec!$D$7*G7,".")*$B$59</f>
        <v>6.6035750000000001E-10</v>
      </c>
      <c r="H59" s="71">
        <f>IFERROR(s_RadSpec!$G$7*$H$7,".")*B59</f>
        <v>1.3389267725505863E-12</v>
      </c>
      <c r="I59" s="71">
        <f>IFERROR(s_RadSpec!$F$7*$I$7,".")*B59</f>
        <v>2.7391348356164392E-11</v>
      </c>
      <c r="J59" s="49">
        <f t="shared" si="78"/>
        <v>6.6035750000000001E-10</v>
      </c>
      <c r="K59" s="49">
        <f t="shared" si="79"/>
        <v>1.3389267725505863E-12</v>
      </c>
      <c r="L59" s="49">
        <f t="shared" si="80"/>
        <v>2.7391348356164392E-11</v>
      </c>
      <c r="M59" s="49">
        <f t="shared" si="81"/>
        <v>6.8908777512871505E-10</v>
      </c>
      <c r="N59" s="60">
        <f>IFERROR(N7/$B59,0)</f>
        <v>182539.38926211183</v>
      </c>
      <c r="O59" s="60">
        <f>IFERROR(O7/$B59,0)</f>
        <v>841783.91024743556</v>
      </c>
      <c r="P59" s="60">
        <f>IFERROR(P7/$B59,0)</f>
        <v>286492.04085549054</v>
      </c>
      <c r="Q59" s="60">
        <f>IFERROR(Q7/$B59,0)</f>
        <v>201668.97778547814</v>
      </c>
      <c r="R59" s="60">
        <f>IFERROR(R7/$B59,0)</f>
        <v>285180.97075697954</v>
      </c>
      <c r="S59" s="71">
        <f>IFERROR(s_RadSpec!$F$7*S7,".")*$B$59</f>
        <v>2.7391348356164392E-11</v>
      </c>
      <c r="T59" s="71">
        <f>IFERROR(s_RadSpec!$M$7*T7,".")*$B$59</f>
        <v>5.9397666540457973E-12</v>
      </c>
      <c r="U59" s="71">
        <f>IFERROR(s_RadSpec!$N$7*U7,".")*$B$59</f>
        <v>1.7452491821656046E-11</v>
      </c>
      <c r="V59" s="71">
        <f>IFERROR(s_RadSpec!$O$7*V7,".")*$B$59</f>
        <v>2.4793104298464101E-11</v>
      </c>
      <c r="W59" s="71">
        <f>IFERROR(s_RadSpec!$K$7*W7,".")*$B$59</f>
        <v>1.7532726628737134E-11</v>
      </c>
      <c r="X59" s="49">
        <f t="shared" si="82"/>
        <v>2.7391348356164392E-11</v>
      </c>
      <c r="Y59" s="49">
        <f t="shared" si="82"/>
        <v>5.9397666540457973E-12</v>
      </c>
      <c r="Z59" s="49">
        <f t="shared" si="82"/>
        <v>1.7452491821656046E-11</v>
      </c>
      <c r="AA59" s="49">
        <f t="shared" si="82"/>
        <v>2.4793104298464101E-11</v>
      </c>
      <c r="AB59" s="49">
        <f t="shared" si="82"/>
        <v>1.7532726628737134E-11</v>
      </c>
      <c r="AC59" s="60">
        <f>IFERROR(AC7/$B59,0)</f>
        <v>12.053865712402297</v>
      </c>
      <c r="AD59" s="60">
        <f>IFERROR(AD7/$B59,0)</f>
        <v>1656152.0747622075</v>
      </c>
      <c r="AE59" s="60">
        <f t="shared" si="83"/>
        <v>12.053777982161012</v>
      </c>
      <c r="AF59" s="71">
        <f>IFERROR(s_RadSpec!$G$7*AF7,".")*$B$59</f>
        <v>4.1480468749999999E-7</v>
      </c>
      <c r="AG59" s="71">
        <f>IFERROR(s_RadSpec!$J$7*AG7,".")*$B$59</f>
        <v>3.019046424657534E-12</v>
      </c>
      <c r="AH59" s="49">
        <f t="shared" si="84"/>
        <v>4.1480468749999999E-7</v>
      </c>
      <c r="AI59" s="49">
        <f t="shared" si="84"/>
        <v>3.019046424657534E-12</v>
      </c>
      <c r="AJ59" s="49">
        <f t="shared" si="85"/>
        <v>4.1480770654642464E-7</v>
      </c>
      <c r="AK59" s="60">
        <f>IFERROR(AK7/$B59,0)</f>
        <v>56.072670180553999</v>
      </c>
      <c r="AL59" s="60">
        <f>IFERROR(AL7/$B59,0)</f>
        <v>2799391380.1017914</v>
      </c>
      <c r="AM59" s="63">
        <f t="shared" si="86"/>
        <v>56.0726690574012</v>
      </c>
      <c r="AN59" s="71">
        <f>IFERROR(s_RadSpec!$H$7*AN7,".")*$B$59</f>
        <v>8.9169999999999997E-8</v>
      </c>
      <c r="AO59" s="71">
        <f>IFERROR(s_RadSpec!$L$7*AO7,".")*$B$59</f>
        <v>1.7861025205479451E-15</v>
      </c>
      <c r="AP59" s="49">
        <f t="shared" si="87"/>
        <v>8.9169999999999997E-8</v>
      </c>
      <c r="AQ59" s="49">
        <f t="shared" si="88"/>
        <v>1.7861025205479451E-15</v>
      </c>
      <c r="AR59" s="49">
        <f t="shared" si="89"/>
        <v>8.917000178610252E-8</v>
      </c>
      <c r="AS59" s="63">
        <f t="shared" ref="AS59:AX59" si="102">IFERROR(AS7/$B59,0)</f>
        <v>383.90663390663389</v>
      </c>
      <c r="AT59" s="63">
        <f t="shared" si="102"/>
        <v>15996.109746109745</v>
      </c>
      <c r="AU59" s="63">
        <f t="shared" si="102"/>
        <v>95976658.476658478</v>
      </c>
      <c r="AV59" s="63">
        <f t="shared" si="102"/>
        <v>383.90663390663389</v>
      </c>
      <c r="AW59" s="63">
        <f t="shared" si="102"/>
        <v>0</v>
      </c>
      <c r="AX59" s="63">
        <f t="shared" si="102"/>
        <v>0</v>
      </c>
      <c r="AY59" s="71">
        <f>IFERROR(s_RadSpec!$E$7*AY7,".")*$B$59</f>
        <v>1.3024E-8</v>
      </c>
      <c r="AZ59" s="71">
        <f>IFERROR(s_RadSpec!$E$7*AZ7,".")*$B$59</f>
        <v>3.1257599999999999E-10</v>
      </c>
      <c r="BA59" s="71">
        <f>IFERROR(s_RadSpec!$E$7*BA7,".")*$B$59</f>
        <v>5.2096000000000001E-14</v>
      </c>
      <c r="BB59" s="71">
        <f>IFERROR(s_RadSpec!$E$7*BB7,".")*$B$59</f>
        <v>1.3024E-8</v>
      </c>
      <c r="BC59" s="71">
        <f>IFERROR(s_RadSpec!$E$7*BC7,".")*$B$59</f>
        <v>0</v>
      </c>
      <c r="BD59" s="71">
        <f>IFERROR(s_RadSpec!$E$7*BD7,".")*$B$59</f>
        <v>0</v>
      </c>
      <c r="BE59" s="49">
        <f t="shared" si="91"/>
        <v>1.3024E-8</v>
      </c>
      <c r="BF59" s="49">
        <f t="shared" si="92"/>
        <v>3.1257599999999999E-10</v>
      </c>
      <c r="BG59" s="49">
        <f t="shared" si="92"/>
        <v>5.2096000000000001E-14</v>
      </c>
      <c r="BH59" s="49">
        <f t="shared" si="92"/>
        <v>1.3024E-8</v>
      </c>
      <c r="BI59" s="49">
        <f t="shared" si="92"/>
        <v>0</v>
      </c>
      <c r="BJ59" s="49">
        <f t="shared" si="92"/>
        <v>0</v>
      </c>
    </row>
    <row r="60" spans="1:62" x14ac:dyDescent="0.25">
      <c r="A60" s="48" t="s">
        <v>1098</v>
      </c>
      <c r="B60" s="15">
        <v>1.9000000000000001E-8</v>
      </c>
      <c r="C60" s="60">
        <f>IFERROR(C12/$B60,0)</f>
        <v>0</v>
      </c>
      <c r="D60" s="60">
        <f>IFERROR(D12/$B60,0)</f>
        <v>0</v>
      </c>
      <c r="E60" s="60">
        <f>IFERROR(E12/$B60,0)</f>
        <v>42685786517.689896</v>
      </c>
      <c r="F60" s="63">
        <f t="shared" si="77"/>
        <v>42685786517.689896</v>
      </c>
      <c r="G60" s="71">
        <f>IFERROR(s_RadSpec!$D$12*G12,".")*$B$60</f>
        <v>0</v>
      </c>
      <c r="H60" s="71">
        <f>IFERROR(s_RadSpec!$G$12*$H$12,".")*B60</f>
        <v>0</v>
      </c>
      <c r="I60" s="71">
        <f>IFERROR(s_RadSpec!$F$12*$I$12,".")*B60</f>
        <v>1.1713500928295874E-16</v>
      </c>
      <c r="J60" s="49">
        <f t="shared" si="78"/>
        <v>0</v>
      </c>
      <c r="K60" s="49">
        <f t="shared" si="79"/>
        <v>0</v>
      </c>
      <c r="L60" s="49">
        <f t="shared" si="80"/>
        <v>1.1713500928295874E-16</v>
      </c>
      <c r="M60" s="49">
        <f t="shared" si="81"/>
        <v>1.1713500928295874E-16</v>
      </c>
      <c r="N60" s="60">
        <f>IFERROR(N12/$B60,0)</f>
        <v>42685786517.689896</v>
      </c>
      <c r="O60" s="60">
        <f>IFERROR(O12/$B60,0)</f>
        <v>336995642406.28101</v>
      </c>
      <c r="P60" s="60">
        <f>IFERROR(P12/$B60,0)</f>
        <v>87608907067.107285</v>
      </c>
      <c r="Q60" s="60">
        <f>IFERROR(Q12/$B60,0)</f>
        <v>52460258220.427177</v>
      </c>
      <c r="R60" s="60">
        <f>IFERROR(R12/$B60,0)</f>
        <v>571890864309.82019</v>
      </c>
      <c r="S60" s="71">
        <f>IFERROR(s_RadSpec!$F$12*S12,".")*$B$60</f>
        <v>1.1713500928295874E-16</v>
      </c>
      <c r="T60" s="71">
        <f>IFERROR(s_RadSpec!$M$12*T12,".")*$B$60</f>
        <v>1.4836987102557289E-17</v>
      </c>
      <c r="U60" s="71">
        <f>IFERROR(s_RadSpec!$N$12*U12,".")*$B$60</f>
        <v>5.707182257358905E-17</v>
      </c>
      <c r="V60" s="71">
        <f>IFERROR(s_RadSpec!$O$12*V12,".")*$B$60</f>
        <v>9.5310243784752831E-17</v>
      </c>
      <c r="W60" s="71">
        <f>IFERROR(s_RadSpec!$K$12*W12,".")*$B$60</f>
        <v>8.7429268625128169E-18</v>
      </c>
      <c r="X60" s="49">
        <f t="shared" si="82"/>
        <v>1.1713500928295874E-16</v>
      </c>
      <c r="Y60" s="49">
        <f t="shared" si="82"/>
        <v>1.4836987102557289E-17</v>
      </c>
      <c r="Z60" s="49">
        <f t="shared" si="82"/>
        <v>5.707182257358905E-17</v>
      </c>
      <c r="AA60" s="49">
        <f t="shared" si="82"/>
        <v>9.5310243784752831E-17</v>
      </c>
      <c r="AB60" s="49">
        <f t="shared" si="82"/>
        <v>8.7429268625128169E-18</v>
      </c>
      <c r="AC60" s="60">
        <f>IFERROR(AC12/$B60,0)</f>
        <v>0</v>
      </c>
      <c r="AD60" s="60">
        <f>IFERROR(AD12/$B60,0)</f>
        <v>929085931724.18591</v>
      </c>
      <c r="AE60" s="60">
        <f t="shared" si="83"/>
        <v>929085931724.18604</v>
      </c>
      <c r="AF60" s="71">
        <f>IFERROR(s_RadSpec!$G$12*AF12,".")*$B$60</f>
        <v>0</v>
      </c>
      <c r="AG60" s="71">
        <f>IFERROR(s_RadSpec!$J$12*AG12,".")*$B$60</f>
        <v>5.3816335273972592E-18</v>
      </c>
      <c r="AH60" s="49">
        <f t="shared" si="84"/>
        <v>0</v>
      </c>
      <c r="AI60" s="49">
        <f t="shared" si="84"/>
        <v>5.3816335273972592E-18</v>
      </c>
      <c r="AJ60" s="49">
        <f t="shared" si="85"/>
        <v>5.3816335273972592E-18</v>
      </c>
      <c r="AK60" s="60">
        <f>IFERROR(AK12/$B60,0)</f>
        <v>0</v>
      </c>
      <c r="AL60" s="60">
        <f>IFERROR(AL12/$B60,0)</f>
        <v>1067193299953456.8</v>
      </c>
      <c r="AM60" s="63">
        <f t="shared" si="86"/>
        <v>1067193299953456.8</v>
      </c>
      <c r="AN60" s="71">
        <f>IFERROR(s_RadSpec!$H$12*AN12,".")*$B$60</f>
        <v>0</v>
      </c>
      <c r="AO60" s="71">
        <f>IFERROR(s_RadSpec!$L$12*AO12,".")*$B$60</f>
        <v>4.6851868356164388E-21</v>
      </c>
      <c r="AP60" s="49">
        <f t="shared" si="87"/>
        <v>0</v>
      </c>
      <c r="AQ60" s="49">
        <f t="shared" si="88"/>
        <v>4.6851868356164388E-21</v>
      </c>
      <c r="AR60" s="49">
        <f t="shared" si="89"/>
        <v>4.6851868356164388E-21</v>
      </c>
      <c r="AS60" s="63">
        <f t="shared" ref="AS60:AX60" si="103">IFERROR(AS12/$B60,0)</f>
        <v>0</v>
      </c>
      <c r="AT60" s="63">
        <f t="shared" si="103"/>
        <v>0</v>
      </c>
      <c r="AU60" s="63">
        <f t="shared" si="103"/>
        <v>0</v>
      </c>
      <c r="AV60" s="63">
        <f t="shared" si="103"/>
        <v>0</v>
      </c>
      <c r="AW60" s="63">
        <f t="shared" si="103"/>
        <v>0</v>
      </c>
      <c r="AX60" s="63">
        <f t="shared" si="103"/>
        <v>0</v>
      </c>
      <c r="AY60" s="71">
        <f>IFERROR(s_RadSpec!$E$12*AY12,".")*$B$60</f>
        <v>0</v>
      </c>
      <c r="AZ60" s="71">
        <f>IFERROR(s_RadSpec!$E$12*AZ12,".")*$B$60</f>
        <v>0</v>
      </c>
      <c r="BA60" s="71">
        <f>IFERROR(s_RadSpec!$E$12*BA12,".")*$B$60</f>
        <v>0</v>
      </c>
      <c r="BB60" s="71">
        <f>IFERROR(s_RadSpec!$E$12*BB12,".")*$B$60</f>
        <v>0</v>
      </c>
      <c r="BC60" s="71">
        <f>IFERROR(s_RadSpec!$E$12*BC12,".")*$B$60</f>
        <v>0</v>
      </c>
      <c r="BD60" s="71">
        <f>IFERROR(s_RadSpec!$E$12*BD12,".")*$B$60</f>
        <v>0</v>
      </c>
      <c r="BE60" s="49">
        <f t="shared" si="91"/>
        <v>0</v>
      </c>
      <c r="BF60" s="49">
        <f t="shared" si="92"/>
        <v>0</v>
      </c>
      <c r="BG60" s="49">
        <f t="shared" si="92"/>
        <v>0</v>
      </c>
      <c r="BH60" s="49">
        <f t="shared" si="92"/>
        <v>0</v>
      </c>
      <c r="BI60" s="49">
        <f t="shared" si="92"/>
        <v>0</v>
      </c>
      <c r="BJ60" s="49">
        <f t="shared" si="92"/>
        <v>0</v>
      </c>
    </row>
    <row r="61" spans="1:62" x14ac:dyDescent="0.25">
      <c r="A61" s="48" t="s">
        <v>1099</v>
      </c>
      <c r="B61" s="15">
        <v>1</v>
      </c>
      <c r="C61" s="60">
        <f>IFERROR(C18/$B61,0)</f>
        <v>55.525479254292819</v>
      </c>
      <c r="D61" s="60">
        <f>IFERROR(D18/$B61,0)</f>
        <v>117174.26099649776</v>
      </c>
      <c r="E61" s="60">
        <f>IFERROR(E18/$B61,0)</f>
        <v>4371036.4041738901</v>
      </c>
      <c r="F61" s="63">
        <f t="shared" si="77"/>
        <v>55.498475139020705</v>
      </c>
      <c r="G61" s="71">
        <f>IFERROR(s_RadSpec!$D$18*G18,".")*$B$61</f>
        <v>9.0048749999999994E-8</v>
      </c>
      <c r="H61" s="71">
        <f>IFERROR(s_RadSpec!$G$18*$H$18,".")*B61</f>
        <v>4.267148738535202E-11</v>
      </c>
      <c r="I61" s="71">
        <f>IFERROR(s_RadSpec!$F$18*$I$18,".")*B61</f>
        <v>1.1438934700304744E-12</v>
      </c>
      <c r="J61" s="49">
        <f t="shared" si="78"/>
        <v>9.0048749999999994E-8</v>
      </c>
      <c r="K61" s="49">
        <f t="shared" si="79"/>
        <v>4.267148738535202E-11</v>
      </c>
      <c r="L61" s="49">
        <f t="shared" si="80"/>
        <v>1.1438934700304744E-12</v>
      </c>
      <c r="M61" s="49">
        <f t="shared" si="81"/>
        <v>9.009256538085539E-8</v>
      </c>
      <c r="N61" s="60">
        <f>IFERROR(N18/$B61,0)</f>
        <v>4371036.4041738901</v>
      </c>
      <c r="O61" s="60">
        <f>IFERROR(O18/$B61,0)</f>
        <v>43561048.251042835</v>
      </c>
      <c r="P61" s="60">
        <f>IFERROR(P18/$B61,0)</f>
        <v>10744255.016255267</v>
      </c>
      <c r="Q61" s="60">
        <f>IFERROR(Q18/$B61,0)</f>
        <v>5713963.7431073114</v>
      </c>
      <c r="R61" s="60">
        <f>IFERROR(R18/$B61,0)</f>
        <v>76172735.333280876</v>
      </c>
      <c r="S61" s="71">
        <f>IFERROR(s_RadSpec!$F$18*S18,".")*$B$61</f>
        <v>1.1438934700304744E-12</v>
      </c>
      <c r="T61" s="71">
        <f>IFERROR(s_RadSpec!$M$18*T18,".")*$B$61</f>
        <v>1.1478144353149956E-13</v>
      </c>
      <c r="U61" s="71">
        <f>IFERROR(s_RadSpec!$N$18*U18,".")*$B$61</f>
        <v>4.6536497806831359E-13</v>
      </c>
      <c r="V61" s="71">
        <f>IFERROR(s_RadSpec!$O$18*V18,".")*$B$61</f>
        <v>8.7504930461475924E-13</v>
      </c>
      <c r="W61" s="71">
        <f>IFERROR(s_RadSpec!$K$18*W18,".")*$B$61</f>
        <v>6.5640284258184352E-14</v>
      </c>
      <c r="X61" s="49">
        <f t="shared" si="82"/>
        <v>1.1438934700304744E-12</v>
      </c>
      <c r="Y61" s="49">
        <f t="shared" si="82"/>
        <v>1.1478144353149956E-13</v>
      </c>
      <c r="Z61" s="49">
        <f t="shared" si="82"/>
        <v>4.6536497806831359E-13</v>
      </c>
      <c r="AA61" s="49">
        <f t="shared" si="82"/>
        <v>8.7504930461475924E-13</v>
      </c>
      <c r="AB61" s="49">
        <f t="shared" si="82"/>
        <v>6.5640284258184352E-14</v>
      </c>
      <c r="AC61" s="60">
        <f>IFERROR(AC18/$B61,0)</f>
        <v>0.37822078638405171</v>
      </c>
      <c r="AD61" s="60">
        <f>IFERROR(AD18/$B61,0)</f>
        <v>209563377.05789945</v>
      </c>
      <c r="AE61" s="60">
        <f t="shared" si="83"/>
        <v>0.37822078570143736</v>
      </c>
      <c r="AF61" s="71">
        <f>IFERROR(s_RadSpec!$G$18*AF18,".")*$B$61</f>
        <v>1.3219791666666667E-5</v>
      </c>
      <c r="AG61" s="71">
        <f>IFERROR(s_RadSpec!$J$18*AG18,".")*$B$61</f>
        <v>2.3859130684931505E-14</v>
      </c>
      <c r="AH61" s="49">
        <f t="shared" si="84"/>
        <v>1.3219791666666667E-5</v>
      </c>
      <c r="AI61" s="49">
        <f t="shared" si="84"/>
        <v>2.3859130684931505E-14</v>
      </c>
      <c r="AJ61" s="49">
        <f t="shared" si="85"/>
        <v>1.3219791690525798E-5</v>
      </c>
      <c r="AK61" s="60">
        <f>IFERROR(AK18/$B61,0)</f>
        <v>0.28153153153153154</v>
      </c>
      <c r="AL61" s="60">
        <f>IFERROR(AL18/$B61,0)</f>
        <v>241388960703.75806</v>
      </c>
      <c r="AM61" s="63">
        <f t="shared" si="86"/>
        <v>0.28153153153120314</v>
      </c>
      <c r="AN61" s="71">
        <f>IFERROR(s_RadSpec!$H$18*AN18,".")*$B$61</f>
        <v>1.7759999999999999E-5</v>
      </c>
      <c r="AO61" s="71">
        <f>IFERROR(s_RadSpec!$L$18*AO18,".")*$B$61</f>
        <v>2.0713457589041095E-17</v>
      </c>
      <c r="AP61" s="49">
        <f t="shared" si="87"/>
        <v>1.7759999999999999E-5</v>
      </c>
      <c r="AQ61" s="49">
        <f t="shared" si="88"/>
        <v>2.0713457589041095E-17</v>
      </c>
      <c r="AR61" s="49">
        <f t="shared" si="89"/>
        <v>1.7760000000020714E-5</v>
      </c>
      <c r="AS61" s="63">
        <f t="shared" ref="AS61:AX61" si="104">IFERROR(AS18/$B61,0)</f>
        <v>2.2189677362091151</v>
      </c>
      <c r="AT61" s="63">
        <f t="shared" si="104"/>
        <v>55.458894399876179</v>
      </c>
      <c r="AU61" s="63">
        <f t="shared" si="104"/>
        <v>221896.7736209115</v>
      </c>
      <c r="AV61" s="63">
        <f t="shared" si="104"/>
        <v>2.2189677362091151</v>
      </c>
      <c r="AW61" s="63">
        <f t="shared" si="104"/>
        <v>0.11553936333307539</v>
      </c>
      <c r="AX61" s="63">
        <f t="shared" si="104"/>
        <v>462.2849450435657</v>
      </c>
      <c r="AY61" s="71">
        <f>IFERROR(s_RadSpec!$E$18*AY18,".")*$B$61</f>
        <v>2.2533000000000001E-6</v>
      </c>
      <c r="AZ61" s="71">
        <f>IFERROR(s_RadSpec!$E$18*AZ18,".")*$B$61</f>
        <v>9.0156864000000014E-8</v>
      </c>
      <c r="BA61" s="71">
        <f>IFERROR(s_RadSpec!$E$18*BA18,".")*$B$61</f>
        <v>2.2533000000000002E-11</v>
      </c>
      <c r="BB61" s="71">
        <f>IFERROR(s_RadSpec!$E$18*BB18,".")*$B$61</f>
        <v>2.2533000000000001E-6</v>
      </c>
      <c r="BC61" s="71">
        <f>IFERROR(s_RadSpec!$E$18*BC18,".")*$B$61</f>
        <v>4.3275294720000007E-5</v>
      </c>
      <c r="BD61" s="71">
        <f>IFERROR(s_RadSpec!$E$18*BD18,".")*$B$61</f>
        <v>1.0815839999999999E-8</v>
      </c>
      <c r="BE61" s="49">
        <f t="shared" si="91"/>
        <v>2.2533000000000001E-6</v>
      </c>
      <c r="BF61" s="49">
        <f t="shared" si="92"/>
        <v>9.0156864000000014E-8</v>
      </c>
      <c r="BG61" s="49">
        <f t="shared" si="92"/>
        <v>2.2533000000000002E-11</v>
      </c>
      <c r="BH61" s="49">
        <f t="shared" si="92"/>
        <v>2.2533000000000001E-6</v>
      </c>
      <c r="BI61" s="49">
        <f t="shared" si="92"/>
        <v>4.3275294720000007E-5</v>
      </c>
      <c r="BJ61" s="49">
        <f t="shared" si="92"/>
        <v>1.0815839999999999E-8</v>
      </c>
    </row>
    <row r="62" spans="1:62" x14ac:dyDescent="0.25">
      <c r="A62" s="48" t="s">
        <v>1100</v>
      </c>
      <c r="B62" s="15">
        <v>1.339E-6</v>
      </c>
      <c r="C62" s="60">
        <f>IFERROR(C27/$B62,0)</f>
        <v>0</v>
      </c>
      <c r="D62" s="60">
        <f>IFERROR(D27/$B62,0)</f>
        <v>0</v>
      </c>
      <c r="E62" s="60">
        <f>IFERROR(E27/$B62,0)</f>
        <v>39539371105.095078</v>
      </c>
      <c r="F62" s="63">
        <f t="shared" si="77"/>
        <v>39539371105.095078</v>
      </c>
      <c r="G62" s="71">
        <f>IFERROR(s_RadSpec!$D$27*G27,".")*$B$62</f>
        <v>0</v>
      </c>
      <c r="H62" s="71">
        <f>IFERROR(s_RadSpec!$G$27*$H$27,".")*B62</f>
        <v>0</v>
      </c>
      <c r="I62" s="71">
        <f>IFERROR(s_RadSpec!$F$27*$I$27,".")*B62</f>
        <v>1.2645623489331867E-16</v>
      </c>
      <c r="J62" s="49">
        <f t="shared" si="78"/>
        <v>0</v>
      </c>
      <c r="K62" s="49">
        <f t="shared" si="79"/>
        <v>0</v>
      </c>
      <c r="L62" s="49">
        <f t="shared" si="80"/>
        <v>1.2645623489331867E-16</v>
      </c>
      <c r="M62" s="49">
        <f t="shared" si="81"/>
        <v>1.2645623489331867E-16</v>
      </c>
      <c r="N62" s="60">
        <f>IFERROR(N27/$B62,0)</f>
        <v>39539371105.095078</v>
      </c>
      <c r="O62" s="60">
        <f>IFERROR(O27/$B62,0)</f>
        <v>345369999984.93762</v>
      </c>
      <c r="P62" s="60">
        <f>IFERROR(P27/$B62,0)</f>
        <v>99588532388.797089</v>
      </c>
      <c r="Q62" s="60">
        <f>IFERROR(Q27/$B62,0)</f>
        <v>54493855464.768463</v>
      </c>
      <c r="R62" s="60">
        <f>IFERROR(R27/$B62,0)</f>
        <v>261394122616.366</v>
      </c>
      <c r="S62" s="71">
        <f>IFERROR(s_RadSpec!$F$27*S27,".")*$B$62</f>
        <v>1.2645623489331867E-16</v>
      </c>
      <c r="T62" s="71">
        <f>IFERROR(s_RadSpec!$M$27*T27,".")*$B$62</f>
        <v>1.4477227322054784E-17</v>
      </c>
      <c r="U62" s="71">
        <f>IFERROR(s_RadSpec!$N$27*U27,".")*$B$62</f>
        <v>5.0206583831156641E-17</v>
      </c>
      <c r="V62" s="71">
        <f>IFERROR(s_RadSpec!$O$27*V27,".")*$B$62</f>
        <v>9.1753463897092328E-17</v>
      </c>
      <c r="W62" s="71">
        <f>IFERROR(s_RadSpec!$K$27*W27,".")*$B$62</f>
        <v>1.9128203610523518E-17</v>
      </c>
      <c r="X62" s="49">
        <f t="shared" si="82"/>
        <v>1.2645623489331867E-16</v>
      </c>
      <c r="Y62" s="49">
        <f t="shared" si="82"/>
        <v>1.4477227322054784E-17</v>
      </c>
      <c r="Z62" s="49">
        <f t="shared" si="82"/>
        <v>5.0206583831156641E-17</v>
      </c>
      <c r="AA62" s="49">
        <f t="shared" si="82"/>
        <v>9.1753463897092328E-17</v>
      </c>
      <c r="AB62" s="49">
        <f t="shared" si="82"/>
        <v>1.9128203610523518E-17</v>
      </c>
      <c r="AC62" s="60">
        <f>IFERROR(AC27/$B62,0)</f>
        <v>0</v>
      </c>
      <c r="AD62" s="60">
        <f>IFERROR(AD27/$B62,0)</f>
        <v>696020382196.11377</v>
      </c>
      <c r="AE62" s="60">
        <f t="shared" si="83"/>
        <v>696020382196.11377</v>
      </c>
      <c r="AF62" s="71">
        <f>IFERROR(s_RadSpec!$G$27*AF27,".")*$B$62</f>
        <v>0</v>
      </c>
      <c r="AG62" s="71">
        <f>IFERROR(s_RadSpec!$J$27*AG27,".")*$B$62</f>
        <v>7.1836976730821903E-18</v>
      </c>
      <c r="AH62" s="49">
        <f t="shared" si="84"/>
        <v>0</v>
      </c>
      <c r="AI62" s="49">
        <f t="shared" si="84"/>
        <v>7.1836976730821903E-18</v>
      </c>
      <c r="AJ62" s="49">
        <f t="shared" si="85"/>
        <v>7.1836976730821903E-18</v>
      </c>
      <c r="AK62" s="60">
        <f>IFERROR(AK27/$B62,0)</f>
        <v>0</v>
      </c>
      <c r="AL62" s="60">
        <f>IFERROR(AL27/$B62,0)</f>
        <v>1111699221563237.3</v>
      </c>
      <c r="AM62" s="63">
        <f t="shared" si="86"/>
        <v>1111699221563237.3</v>
      </c>
      <c r="AN62" s="71">
        <f>IFERROR(s_RadSpec!$H$27*AN27,".")*$B$62</f>
        <v>0</v>
      </c>
      <c r="AO62" s="71">
        <f>IFERROR(s_RadSpec!$L$27*AO27,".")*$B$62</f>
        <v>4.4976194127123279E-21</v>
      </c>
      <c r="AP62" s="49">
        <f t="shared" si="87"/>
        <v>0</v>
      </c>
      <c r="AQ62" s="49">
        <f t="shared" si="88"/>
        <v>4.4976194127123279E-21</v>
      </c>
      <c r="AR62" s="49">
        <f t="shared" si="89"/>
        <v>4.4976194127123279E-21</v>
      </c>
      <c r="AS62" s="63">
        <f t="shared" ref="AS62:AX62" si="105">IFERROR(AS27/$B62,0)</f>
        <v>0</v>
      </c>
      <c r="AT62" s="63">
        <f t="shared" si="105"/>
        <v>0</v>
      </c>
      <c r="AU62" s="63">
        <f t="shared" si="105"/>
        <v>0</v>
      </c>
      <c r="AV62" s="63">
        <f t="shared" si="105"/>
        <v>0</v>
      </c>
      <c r="AW62" s="63">
        <f t="shared" si="105"/>
        <v>0</v>
      </c>
      <c r="AX62" s="63">
        <f t="shared" si="105"/>
        <v>0</v>
      </c>
      <c r="AY62" s="71">
        <f>IFERROR(s_RadSpec!$E$27*AY27,".")*$B$62</f>
        <v>0</v>
      </c>
      <c r="AZ62" s="71">
        <f>IFERROR(s_RadSpec!$E$27*AZ27,".")*$B$62</f>
        <v>0</v>
      </c>
      <c r="BA62" s="71">
        <f>IFERROR(s_RadSpec!$E$27*BA27,".")*$B$62</f>
        <v>0</v>
      </c>
      <c r="BB62" s="71">
        <f>IFERROR(s_RadSpec!$E$27*BB27,".")*$B$62</f>
        <v>0</v>
      </c>
      <c r="BC62" s="71">
        <f>IFERROR(s_RadSpec!$E$27*BC27,".")*$B$62</f>
        <v>0</v>
      </c>
      <c r="BD62" s="71">
        <f>IFERROR(s_RadSpec!$E$27*BD27,".")*$B$62</f>
        <v>0</v>
      </c>
      <c r="BE62" s="49">
        <f t="shared" si="91"/>
        <v>0</v>
      </c>
      <c r="BF62" s="49">
        <f t="shared" si="92"/>
        <v>0</v>
      </c>
      <c r="BG62" s="49">
        <f t="shared" si="92"/>
        <v>0</v>
      </c>
      <c r="BH62" s="49">
        <f t="shared" si="92"/>
        <v>0</v>
      </c>
      <c r="BI62" s="49">
        <f t="shared" si="92"/>
        <v>0</v>
      </c>
      <c r="BJ62" s="49">
        <f t="shared" si="92"/>
        <v>0</v>
      </c>
    </row>
    <row r="63" spans="1:62" x14ac:dyDescent="0.25">
      <c r="A63" s="57" t="s">
        <v>35</v>
      </c>
      <c r="B63" s="57" t="s">
        <v>1259</v>
      </c>
      <c r="C63" s="58">
        <f>1/SUM(1/C66,1/C68,1/C72,1/C73,1/C75)</f>
        <v>36.243973683746454</v>
      </c>
      <c r="D63" s="58">
        <f>1/SUM(1/D64,1/D65,1/D66,1/D68,1/D72,1/D73,1/D75)</f>
        <v>54844.081584679639</v>
      </c>
      <c r="E63" s="58">
        <f>1/SUM(1/E64,1/E66,1/E68,1/E69,1/E70,1/E71,1/E72,1/E73,1/E74,1/E75,1/E76)</f>
        <v>18.533866636248327</v>
      </c>
      <c r="F63" s="62">
        <f>1/SUM(1/F64,1/F66,1/F68,1/F69,1/F70,1/F71,1/F72,1/F73,1/F74,1/F75,1/F76)</f>
        <v>12.260265682989846</v>
      </c>
      <c r="G63" s="70"/>
      <c r="H63" s="70"/>
      <c r="I63" s="70"/>
      <c r="J63" s="47">
        <f>IFERROR(IF(SUM(G64:G76)&gt;0.01,1-EXP(-SUM(G64:G76)),SUM(G64:G76)),".")</f>
        <v>1.3795396839288184E-7</v>
      </c>
      <c r="K63" s="47">
        <f>IFERROR(IF(SUM(H64:H76)&gt;0.01,1-EXP(-SUM(H64:H76)),SUM(H64:H76)),".")</f>
        <v>9.1167539970196497E-11</v>
      </c>
      <c r="L63" s="47">
        <f>IFERROR(IF(SUM(I64:I76)&gt;0.01,1-EXP(-SUM(I64:I76)),SUM(I64:I76)),".")</f>
        <v>2.6977640975472734E-7</v>
      </c>
      <c r="M63" s="47">
        <f>IFERROR(IF(SUM(G64:I76)&gt;0.01,1-EXP(-SUM(G64:I76)),SUM(G64:I76)),".")</f>
        <v>4.0782154568757942E-7</v>
      </c>
      <c r="N63" s="59">
        <f t="shared" ref="N63:R63" si="106">1/SUM(1/N64,1/N66,1/N68,1/N69,1/N70,1/N71,1/N72,1/N73,1/N74,1/N75,1/N76)</f>
        <v>18.533866636248327</v>
      </c>
      <c r="O63" s="59">
        <f t="shared" si="106"/>
        <v>205.48528118418463</v>
      </c>
      <c r="P63" s="59">
        <f t="shared" si="106"/>
        <v>50.654406673363511</v>
      </c>
      <c r="Q63" s="59">
        <f t="shared" si="106"/>
        <v>26.157818418428711</v>
      </c>
      <c r="R63" s="59">
        <f t="shared" si="106"/>
        <v>376.98614560013419</v>
      </c>
      <c r="S63" s="70"/>
      <c r="T63" s="70"/>
      <c r="U63" s="70"/>
      <c r="V63" s="70"/>
      <c r="W63" s="70"/>
      <c r="X63" s="47">
        <f>IFERROR(IF(SUM(S64:S76)&gt;0.01,1-EXP(-SUM(S64:S76)),SUM(S64:S76)),".")</f>
        <v>2.6977640975472734E-7</v>
      </c>
      <c r="Y63" s="47">
        <f t="shared" ref="Y63:AB63" si="107">IFERROR(IF(SUM(T64:T76)&gt;0.01,1-EXP(-SUM(T64:T76)),SUM(T64:T76)),".")</f>
        <v>2.4332643054459466E-8</v>
      </c>
      <c r="Z63" s="47">
        <f t="shared" si="107"/>
        <v>9.8708095274744083E-8</v>
      </c>
      <c r="AA63" s="47">
        <f t="shared" si="107"/>
        <v>1.9114743898051516E-7</v>
      </c>
      <c r="AB63" s="47">
        <f t="shared" si="107"/>
        <v>1.3263086875620771E-8</v>
      </c>
      <c r="AC63" s="58">
        <f>1/SUM(1/AC64,1/AC65,1/AC66,1/AC68,1/AC72,1/AC73,1/AC75)</f>
        <v>0.17702839761104722</v>
      </c>
      <c r="AD63" s="58">
        <f t="shared" ref="AD63" si="108">1/SUM(1/AD64,1/AD65,1/AD66,1/AD67,1/AD68,1/AD69,1/AD70,1/AD71,1/AD72,1/AD73,1/AD74,1/AD75,1/AD76)</f>
        <v>1134.1994739107167</v>
      </c>
      <c r="AE63" s="59">
        <f>1/SUM(1/AE64,1/AE65,1/AE66,1/AE67,1/AE68,1/AE69,1/AE70,1/AE71,1/AE72,1/AE73,1/AE74,1/AE75,1/AE76)</f>
        <v>0.1770007709337518</v>
      </c>
      <c r="AF63" s="70"/>
      <c r="AG63" s="70"/>
      <c r="AH63" s="47">
        <f>IFERROR(IF(SUM(AF64:AF76)&gt;0.01,1-EXP(-SUM(AF64:AF76)),SUM(AF64:AF76)),".")</f>
        <v>2.8244056137171872E-5</v>
      </c>
      <c r="AI63" s="47">
        <f>IFERROR(IF(SUM(AG64:AG76)&gt;0.01,1-EXP(-SUM(AG64:AG76)),SUM(AG64:AG76)),".")</f>
        <v>4.4083956261767724E-9</v>
      </c>
      <c r="AJ63" s="47">
        <f>IFERROR(IF(SUM(AF64:AG76)&gt;0.01,1-EXP(-SUM(AF64:AG76)),SUM(AF64:AG76)),".")</f>
        <v>2.8248464532798049E-5</v>
      </c>
      <c r="AK63" s="58">
        <f>1/SUM(1/AK66,1/AK68,1/AK72,1/AK73,1/AK75)</f>
        <v>0.18728321281716925</v>
      </c>
      <c r="AL63" s="58">
        <f t="shared" ref="AL63:AM63" si="109">1/SUM(1/AL64,1/AL65,1/AL66,1/AL67,1/AL68,1/AL69,1/AL70,1/AL71,1/AL72,1/AL73,1/AL74,1/AL75,1/AL76)</f>
        <v>1308612.7131784654</v>
      </c>
      <c r="AM63" s="62">
        <f t="shared" si="109"/>
        <v>0.187283186013978</v>
      </c>
      <c r="AN63" s="70"/>
      <c r="AO63" s="70"/>
      <c r="AP63" s="47">
        <f>IFERROR(IF(SUM(AN64:AN76)&gt;0.01,1-EXP(-SUM(AN64:AN76)),SUM(AN64:AN76)),".")</f>
        <v>2.669753431067594E-5</v>
      </c>
      <c r="AQ63" s="47">
        <f>IFERROR(IF(SUM(AO64:AO76)&gt;0.01,1-EXP(-SUM(AO64:AO76)),SUM(AO64:AO76)),".")</f>
        <v>3.8208401535818752E-12</v>
      </c>
      <c r="AR63" s="47">
        <f>IFERROR(IF(SUM(AN64:AO76)&gt;0.01,1-EXP(-SUM(AN64:AO76)),SUM(AN64:AO76)),".")</f>
        <v>2.6697538131516096E-5</v>
      </c>
      <c r="AS63" s="61">
        <f>1/SUM(1/AS66,1/AS68,1/AS72,1/AS73,1/AS75)</f>
        <v>1.4519377140075558</v>
      </c>
      <c r="AT63" s="61">
        <f>1/SUM(1/AT66,1/AT68,1/AT72,1/AT73,1/AT75)</f>
        <v>51.466367526667469</v>
      </c>
      <c r="AU63" s="61">
        <f>1/SUM(1/AU66,1/AU68,1/AU72,1/AU73,1/AU75)</f>
        <v>206321.05311910089</v>
      </c>
      <c r="AV63" s="61">
        <f>1/SUM(1/AV66,1/AV68,1/AV72,1/AV73,1/AV75)</f>
        <v>1.4519377140075558</v>
      </c>
      <c r="AW63" s="61">
        <f>1/SUM(1/AW75)</f>
        <v>0.11553936333307538</v>
      </c>
      <c r="AX63" s="61">
        <f>1/SUM(1/AX75)</f>
        <v>462.2849450435657</v>
      </c>
      <c r="AY63" s="70"/>
      <c r="AZ63" s="70"/>
      <c r="BA63" s="70"/>
      <c r="BB63" s="70"/>
      <c r="BC63" s="70"/>
      <c r="BD63" s="70"/>
      <c r="BE63" s="47">
        <f>IFERROR(IF(SUM(AY64:AY76)&gt;0.01,1-EXP(-SUM(AY64:AY76)),SUM(AY64:AY76)),".")</f>
        <v>3.4436738930069421E-6</v>
      </c>
      <c r="BF63" s="47">
        <f t="shared" ref="BF63:BJ63" si="110">IFERROR(IF(SUM(AZ64:AZ76)&gt;0.01,1-EXP(-SUM(AZ64:AZ76)),SUM(AZ64:AZ76)),".")</f>
        <v>9.7150823737642507E-8</v>
      </c>
      <c r="BG63" s="47">
        <f t="shared" si="110"/>
        <v>2.4234075604071771E-11</v>
      </c>
      <c r="BH63" s="47">
        <f t="shared" si="110"/>
        <v>3.4436738930069421E-6</v>
      </c>
      <c r="BI63" s="47">
        <f t="shared" si="110"/>
        <v>4.3275294720000007E-5</v>
      </c>
      <c r="BJ63" s="47">
        <f t="shared" si="110"/>
        <v>1.0815839999999999E-8</v>
      </c>
    </row>
    <row r="64" spans="1:62" x14ac:dyDescent="0.25">
      <c r="A64" s="48" t="s">
        <v>1090</v>
      </c>
      <c r="B64" s="45">
        <v>1</v>
      </c>
      <c r="C64" s="60">
        <f>IFERROR(C25/$B50,0)</f>
        <v>0</v>
      </c>
      <c r="D64" s="60">
        <f>IFERROR(D25/$B50,0)</f>
        <v>745392755.04087865</v>
      </c>
      <c r="E64" s="60">
        <f>IFERROR(E25/$B50,0)</f>
        <v>166234.45835585767</v>
      </c>
      <c r="F64" s="63">
        <f t="shared" ref="F64:F76" si="111">IF(AND(C64&lt;&gt;0,D64&lt;&gt;0,E64&lt;&gt;0),1/((1/C64)+(1/D64)+(1/E64)),IF(AND(C64&lt;&gt;0,D64&lt;&gt;0,E64=0), 1/((1/C64)+(1/D64)),IF(AND(C64&lt;&gt;0,D64=0,E64&lt;&gt;0),1/((1/C64)+(1/E64)),IF(AND(C64=0,D64&lt;&gt;0,E64&lt;&gt;0),1/((1/D64)+(1/E64)),IF(AND(C64&lt;&gt;0,D64=0,E64=0),1/((1/C64)),IF(AND(C64=0,D64&lt;&gt;0,E64=0),1/((1/D64)),IF(AND(C64=0,D64=0,E64&lt;&gt;0),1/((1/E64)),IF(AND(C64=0,D64=0,E64=0),0))))))))</f>
        <v>166197.39368956827</v>
      </c>
      <c r="G64" s="71">
        <f>IFERROR(s_RadSpec!$D$25*G25,".")*$B$64</f>
        <v>0</v>
      </c>
      <c r="H64" s="71">
        <f>IFERROR(s_RadSpec!$G$25*$H$25,".")*B64</f>
        <v>6.707873085948883E-15</v>
      </c>
      <c r="I64" s="71">
        <f>IFERROR(s_RadSpec!$F$25*$I$25,".")*B64</f>
        <v>3.0077999768835605E-11</v>
      </c>
      <c r="J64" s="49">
        <f t="shared" ref="J64:J76" si="112">IFERROR(IF(G64&gt;0.01,1-EXP(-G64),G64),".")</f>
        <v>0</v>
      </c>
      <c r="K64" s="49">
        <f t="shared" ref="K64:K76" si="113">IFERROR(IF(H64&gt;0.01,1-EXP(-H64),H64),".")</f>
        <v>6.707873085948883E-15</v>
      </c>
      <c r="L64" s="49">
        <f t="shared" ref="L64:L76" si="114">IFERROR(IF(I64&gt;0.01,1-EXP(-I64),I64),".")</f>
        <v>3.0077999768835605E-11</v>
      </c>
      <c r="M64" s="49">
        <f t="shared" ref="M64:M76" si="115">IFERROR(IF(SUM(G64:I64)&gt;0.01,1-EXP(-SUM(G64:I64)),SUM(G64:I64)),".")</f>
        <v>3.0084707641921557E-11</v>
      </c>
      <c r="N64" s="60">
        <f>IFERROR(N25/$B50,0)</f>
        <v>166234.45835585767</v>
      </c>
      <c r="O64" s="60">
        <f>IFERROR(O25/$B50,0)</f>
        <v>1412475.6472451682</v>
      </c>
      <c r="P64" s="60">
        <f>IFERROR(P25/$B50,0)</f>
        <v>359029.12788618507</v>
      </c>
      <c r="Q64" s="60">
        <f>IFERROR(Q25/$B50,0)</f>
        <v>209461.26276041163</v>
      </c>
      <c r="R64" s="60">
        <f>IFERROR(R25/$B50,0)</f>
        <v>2579685.4453026024</v>
      </c>
      <c r="S64" s="71">
        <f>IFERROR(s_RadSpec!$F$25*S25,".")*$B$64</f>
        <v>3.0077999768835605E-11</v>
      </c>
      <c r="T64" s="71">
        <f>IFERROR(s_RadSpec!$M$25*T25,".")*$B$64</f>
        <v>3.5398840395951491E-12</v>
      </c>
      <c r="U64" s="71">
        <f>IFERROR(s_RadSpec!$N$25*U25,".")*$B$64</f>
        <v>1.3926446663082546E-11</v>
      </c>
      <c r="V64" s="71">
        <f>IFERROR(s_RadSpec!$O$25*V25,".")*$B$64</f>
        <v>2.3870762231196692E-11</v>
      </c>
      <c r="W64" s="71">
        <f>IFERROR(s_RadSpec!$K$25*W25,".")*$B$64</f>
        <v>1.9382208048289732E-12</v>
      </c>
      <c r="X64" s="49">
        <f t="shared" ref="X64:AB76" si="116">IFERROR(IF(S64&gt;0.01,1-EXP(-S64),S64),".")</f>
        <v>3.0077999768835605E-11</v>
      </c>
      <c r="Y64" s="49">
        <f t="shared" si="116"/>
        <v>3.5398840395951491E-12</v>
      </c>
      <c r="Z64" s="49">
        <f t="shared" si="116"/>
        <v>1.3926446663082546E-11</v>
      </c>
      <c r="AA64" s="49">
        <f t="shared" si="116"/>
        <v>2.3870762231196692E-11</v>
      </c>
      <c r="AB64" s="49">
        <f t="shared" si="116"/>
        <v>1.9382208048289732E-12</v>
      </c>
      <c r="AC64" s="60">
        <f>IFERROR(AC25/$B50,0)</f>
        <v>2406.0150375939847</v>
      </c>
      <c r="AD64" s="60">
        <f>IFERROR(AD25/$B50,0)</f>
        <v>5397387.6968869064</v>
      </c>
      <c r="AE64" s="60">
        <f t="shared" ref="AE64:AE76" si="117">IFERROR(IF(AND(AC64&lt;&gt;0,AD64&lt;&gt;0),1/((1/AC64)+(1/AD64)),IF(AND(AC64&lt;&gt;0,AD64=0),1/((1/AC64)),IF(AND(AC64=0,AD64&lt;&gt;0),1/((1/AD64)),IF(AND(AC64=".",AD64="."),".")))),".")</f>
        <v>2404.942976572775</v>
      </c>
      <c r="AF64" s="71">
        <f>IFERROR(s_RadSpec!$G$25*AF25,".")*$B$64</f>
        <v>2.0781249999999998E-9</v>
      </c>
      <c r="AG64" s="71">
        <f>IFERROR(s_RadSpec!$J$25*AG25,".")*$B$64</f>
        <v>9.2637406849315067E-13</v>
      </c>
      <c r="AH64" s="49">
        <f t="shared" ref="AH64:AI76" si="118">IFERROR(IF(AF64&gt;0.01,1-EXP(-AF64),AF64),".")</f>
        <v>2.0781249999999998E-9</v>
      </c>
      <c r="AI64" s="49">
        <f t="shared" si="118"/>
        <v>9.2637406849315067E-13</v>
      </c>
      <c r="AJ64" s="49">
        <f t="shared" ref="AJ64:AJ76" si="119">IFERROR(IF(SUM(AF64:AG64)&gt;0.01,1-EXP(-SUM(AF64:AG64)),SUM(AF64:AG64)),".")</f>
        <v>2.0790513740684931E-9</v>
      </c>
      <c r="AK64" s="60">
        <f>IFERROR(AK25/$B50,0)</f>
        <v>0</v>
      </c>
      <c r="AL64" s="60">
        <f>IFERROR(AL25/$B50,0)</f>
        <v>6231203404.2132893</v>
      </c>
      <c r="AM64" s="63">
        <f t="shared" ref="AM64:AM76" si="120">IFERROR(IF(AND(AK64&lt;&gt;0,AL64&lt;&gt;0),1/((1/AK64)+(1/AL64)),IF(AND(AK64&lt;&gt;0,AL64=0),1/((1/AK64)),IF(AND(AK64=0,AL64&lt;&gt;0),1/((1/AL64)),IF(AND(AK64=0,AL64=0),0)))),0)</f>
        <v>6231203404.2132893</v>
      </c>
      <c r="AN64" s="71">
        <f>IFERROR(s_RadSpec!$H$25*AN25,".")*$B$64</f>
        <v>0</v>
      </c>
      <c r="AO64" s="71">
        <f>IFERROR(s_RadSpec!$L$25*AO25,".")*$B$64</f>
        <v>8.024132219178082E-16</v>
      </c>
      <c r="AP64" s="49">
        <f t="shared" ref="AP64:AP76" si="121">IFERROR(IF(AN64&gt;0.01,1-EXP(-AN64),AN64),".")</f>
        <v>0</v>
      </c>
      <c r="AQ64" s="49">
        <f t="shared" ref="AQ64:AQ76" si="122">IFERROR(IF(AO64&gt;0.01,1-EXP(-AO64),AO64),".")</f>
        <v>8.024132219178082E-16</v>
      </c>
      <c r="AR64" s="49">
        <f t="shared" ref="AR64:AR76" si="123">IFERROR(IF(SUM(AN64:AO64)&gt;0.01,1-EXP(-SUM(AN64:AO64)),SUM(AN64:AO64)),".")</f>
        <v>8.024132219178082E-16</v>
      </c>
      <c r="AS64" s="63">
        <f t="shared" ref="AS64:AX64" si="124">IFERROR(AS25/$B50,0)</f>
        <v>0</v>
      </c>
      <c r="AT64" s="63">
        <f t="shared" si="124"/>
        <v>0</v>
      </c>
      <c r="AU64" s="63">
        <f t="shared" si="124"/>
        <v>0</v>
      </c>
      <c r="AV64" s="63">
        <f t="shared" si="124"/>
        <v>0</v>
      </c>
      <c r="AW64" s="63">
        <f t="shared" si="124"/>
        <v>0</v>
      </c>
      <c r="AX64" s="63">
        <f t="shared" si="124"/>
        <v>0</v>
      </c>
      <c r="AY64" s="71">
        <f>IFERROR(s_RadSpec!$E$25*AY25,".")*$B$64</f>
        <v>0</v>
      </c>
      <c r="AZ64" s="71">
        <f>IFERROR(s_RadSpec!$E$25*AZ25,".")*$B$64</f>
        <v>0</v>
      </c>
      <c r="BA64" s="71">
        <f>IFERROR(s_RadSpec!$E$25*BA25,".")*$B$64</f>
        <v>0</v>
      </c>
      <c r="BB64" s="71">
        <f>IFERROR(s_RadSpec!$E$25*BB25,".")*$B$64</f>
        <v>0</v>
      </c>
      <c r="BC64" s="71">
        <f>IFERROR(s_RadSpec!$E$25*BC25,".")*$B$64</f>
        <v>0</v>
      </c>
      <c r="BD64" s="71">
        <f>IFERROR(s_RadSpec!$E$25*BD25,".")*$B$64</f>
        <v>0</v>
      </c>
      <c r="BE64" s="49">
        <f t="shared" ref="BE64:BE76" si="125">IFERROR(IF(AY64&gt;0.01,1-EXP(-AY64),AY64),".")</f>
        <v>0</v>
      </c>
      <c r="BF64" s="49">
        <f t="shared" ref="BF64:BJ76" si="126">IFERROR(IF(AZ64&gt;0.01,1-EXP(-AZ64),AZ64),".")</f>
        <v>0</v>
      </c>
      <c r="BG64" s="49">
        <f t="shared" si="126"/>
        <v>0</v>
      </c>
      <c r="BH64" s="49">
        <f t="shared" si="126"/>
        <v>0</v>
      </c>
      <c r="BI64" s="49">
        <f t="shared" si="126"/>
        <v>0</v>
      </c>
      <c r="BJ64" s="49">
        <f t="shared" si="126"/>
        <v>0</v>
      </c>
    </row>
    <row r="65" spans="1:62" x14ac:dyDescent="0.25">
      <c r="A65" s="48" t="s">
        <v>1076</v>
      </c>
      <c r="B65" s="45">
        <v>1</v>
      </c>
      <c r="C65" s="60">
        <f>IFERROR(C21/$B51,0)</f>
        <v>0</v>
      </c>
      <c r="D65" s="60">
        <f>IFERROR(D21/$B51,0)</f>
        <v>122265861.97792831</v>
      </c>
      <c r="E65" s="60">
        <f>IFERROR(E21/$B51,0)</f>
        <v>0</v>
      </c>
      <c r="F65" s="63">
        <f t="shared" si="111"/>
        <v>122265861.97792831</v>
      </c>
      <c r="G65" s="71">
        <f>IFERROR(s_RadSpec!$D$21*G21,".")*$B$65</f>
        <v>0</v>
      </c>
      <c r="H65" s="71">
        <f>IFERROR(s_RadSpec!$G$21*$H$21,".")*B65</f>
        <v>4.0894489427495383E-14</v>
      </c>
      <c r="I65" s="71">
        <f>IFERROR(s_RadSpec!$F$21*$I$21,".")*B65</f>
        <v>0</v>
      </c>
      <c r="J65" s="49">
        <f t="shared" si="112"/>
        <v>0</v>
      </c>
      <c r="K65" s="49">
        <f t="shared" si="113"/>
        <v>4.0894489427495383E-14</v>
      </c>
      <c r="L65" s="49">
        <f t="shared" si="114"/>
        <v>0</v>
      </c>
      <c r="M65" s="49">
        <f t="shared" si="115"/>
        <v>4.0894489427495383E-14</v>
      </c>
      <c r="N65" s="60">
        <f>IFERROR(N21/$B51,0)</f>
        <v>0</v>
      </c>
      <c r="O65" s="60">
        <f>IFERROR(O21/$B51,0)</f>
        <v>0</v>
      </c>
      <c r="P65" s="60">
        <f>IFERROR(P21/$B51,0)</f>
        <v>0</v>
      </c>
      <c r="Q65" s="60">
        <f>IFERROR(Q21/$B51,0)</f>
        <v>0</v>
      </c>
      <c r="R65" s="60">
        <f>IFERROR(R21/$B51,0)</f>
        <v>0</v>
      </c>
      <c r="S65" s="71">
        <f>IFERROR(s_RadSpec!$F$21*S21,".")*$B$65</f>
        <v>0</v>
      </c>
      <c r="T65" s="71">
        <f>IFERROR(s_RadSpec!$M$21*T21,".")*$B$65</f>
        <v>0</v>
      </c>
      <c r="U65" s="71">
        <f>IFERROR(s_RadSpec!$N$21*U21,".")*$B$65</f>
        <v>0</v>
      </c>
      <c r="V65" s="71">
        <f>IFERROR(s_RadSpec!$O$21*V21,".")*$B$65</f>
        <v>0</v>
      </c>
      <c r="W65" s="71">
        <f>IFERROR(s_RadSpec!$K$21*W21,".")*$B$65</f>
        <v>0</v>
      </c>
      <c r="X65" s="49">
        <f t="shared" si="116"/>
        <v>0</v>
      </c>
      <c r="Y65" s="49">
        <f t="shared" si="116"/>
        <v>0</v>
      </c>
      <c r="Z65" s="49">
        <f t="shared" si="116"/>
        <v>0</v>
      </c>
      <c r="AA65" s="49">
        <f t="shared" si="116"/>
        <v>0</v>
      </c>
      <c r="AB65" s="49">
        <f t="shared" si="116"/>
        <v>0</v>
      </c>
      <c r="AC65" s="60">
        <f>IFERROR(AC21/$B51,0)</f>
        <v>394.65570400822202</v>
      </c>
      <c r="AD65" s="60">
        <f>IFERROR(AD21/$B51,0)</f>
        <v>221963576883.81067</v>
      </c>
      <c r="AE65" s="60">
        <f t="shared" si="117"/>
        <v>394.65570330651622</v>
      </c>
      <c r="AF65" s="71">
        <f>IFERROR(s_RadSpec!$G$21*AF21,".")*$B$65</f>
        <v>1.2669270833333332E-8</v>
      </c>
      <c r="AG65" s="71">
        <f>IFERROR(s_RadSpec!$J$21*AG21,".")*$B$65</f>
        <v>2.2526218356164382E-17</v>
      </c>
      <c r="AH65" s="49">
        <f t="shared" si="118"/>
        <v>1.2669270833333332E-8</v>
      </c>
      <c r="AI65" s="49">
        <f t="shared" si="118"/>
        <v>2.2526218356164382E-17</v>
      </c>
      <c r="AJ65" s="49">
        <f t="shared" si="119"/>
        <v>1.2669270855859549E-8</v>
      </c>
      <c r="AK65" s="60">
        <f>IFERROR(AK21/$B51,0)</f>
        <v>0</v>
      </c>
      <c r="AL65" s="60">
        <f>IFERROR(AL21/$B51,0)</f>
        <v>433162176597736.69</v>
      </c>
      <c r="AM65" s="63">
        <f t="shared" si="120"/>
        <v>433162176597736.63</v>
      </c>
      <c r="AN65" s="71">
        <f>IFERROR(s_RadSpec!$H$21*AN21,".")*$B$65</f>
        <v>0</v>
      </c>
      <c r="AO65" s="71">
        <f>IFERROR(s_RadSpec!$L$21*AO21,".")*$B$65</f>
        <v>1.1543020767123286E-20</v>
      </c>
      <c r="AP65" s="49">
        <f t="shared" si="121"/>
        <v>0</v>
      </c>
      <c r="AQ65" s="49">
        <f t="shared" si="122"/>
        <v>1.1543020767123286E-20</v>
      </c>
      <c r="AR65" s="49">
        <f t="shared" si="123"/>
        <v>1.1543020767123286E-20</v>
      </c>
      <c r="AS65" s="63">
        <f t="shared" ref="AS65:AX65" si="127">IFERROR(AS21/$B51,0)</f>
        <v>0</v>
      </c>
      <c r="AT65" s="63">
        <f t="shared" si="127"/>
        <v>0</v>
      </c>
      <c r="AU65" s="63">
        <f t="shared" si="127"/>
        <v>0</v>
      </c>
      <c r="AV65" s="63">
        <f t="shared" si="127"/>
        <v>0</v>
      </c>
      <c r="AW65" s="63">
        <f t="shared" si="127"/>
        <v>0</v>
      </c>
      <c r="AX65" s="63">
        <f t="shared" si="127"/>
        <v>0</v>
      </c>
      <c r="AY65" s="71">
        <f>IFERROR(s_RadSpec!$E$21*AY21,".")*$B$65</f>
        <v>0</v>
      </c>
      <c r="AZ65" s="71">
        <f>IFERROR(s_RadSpec!$E$21*AZ21,".")*$B$65</f>
        <v>0</v>
      </c>
      <c r="BA65" s="71">
        <f>IFERROR(s_RadSpec!$E$21*BA21,".")*$B$65</f>
        <v>0</v>
      </c>
      <c r="BB65" s="71">
        <f>IFERROR(s_RadSpec!$E$21*BB21,".")*$B$65</f>
        <v>0</v>
      </c>
      <c r="BC65" s="71">
        <f>IFERROR(s_RadSpec!$E$21*BC21,".")*$B$65</f>
        <v>0</v>
      </c>
      <c r="BD65" s="71">
        <f>IFERROR(s_RadSpec!$E$21*BD21,".")*$B$65</f>
        <v>0</v>
      </c>
      <c r="BE65" s="49">
        <f t="shared" si="125"/>
        <v>0</v>
      </c>
      <c r="BF65" s="49">
        <f t="shared" si="126"/>
        <v>0</v>
      </c>
      <c r="BG65" s="49">
        <f t="shared" si="126"/>
        <v>0</v>
      </c>
      <c r="BH65" s="49">
        <f t="shared" si="126"/>
        <v>0</v>
      </c>
      <c r="BI65" s="49">
        <f t="shared" si="126"/>
        <v>0</v>
      </c>
      <c r="BJ65" s="49">
        <f t="shared" si="126"/>
        <v>0</v>
      </c>
    </row>
    <row r="66" spans="1:62" x14ac:dyDescent="0.25">
      <c r="A66" s="48" t="s">
        <v>1077</v>
      </c>
      <c r="B66" s="52">
        <v>0.99980000000000002</v>
      </c>
      <c r="C66" s="60">
        <f>IFERROR(C17/$B52,0)</f>
        <v>229672.33231716033</v>
      </c>
      <c r="D66" s="60">
        <f>IFERROR(D17/$B52,0)</f>
        <v>21876904.100166284</v>
      </c>
      <c r="E66" s="60">
        <f>IFERROR(E17/$B52,0)</f>
        <v>389.35334880072151</v>
      </c>
      <c r="F66" s="63">
        <f t="shared" si="111"/>
        <v>388.68750640822168</v>
      </c>
      <c r="G66" s="71">
        <f>IFERROR(s_RadSpec!$D$17*G17,".")*$B$66</f>
        <v>2.1770145099999999E-11</v>
      </c>
      <c r="H66" s="71">
        <f>IFERROR(s_RadSpec!$G$17*$H$17,".")*B66</f>
        <v>2.2855153439933008E-13</v>
      </c>
      <c r="I66" s="71">
        <f>IFERROR(s_RadSpec!$F$17*$I$17,".")*B66</f>
        <v>1.2841805561454399E-8</v>
      </c>
      <c r="J66" s="49">
        <f t="shared" si="112"/>
        <v>2.1770145099999999E-11</v>
      </c>
      <c r="K66" s="49">
        <f t="shared" si="113"/>
        <v>2.2855153439933008E-13</v>
      </c>
      <c r="L66" s="49">
        <f t="shared" si="114"/>
        <v>1.2841805561454399E-8</v>
      </c>
      <c r="M66" s="49">
        <f t="shared" si="115"/>
        <v>1.2863804258088797E-8</v>
      </c>
      <c r="N66" s="60">
        <f>IFERROR(N17/$B52,0)</f>
        <v>389.35334880072151</v>
      </c>
      <c r="O66" s="60">
        <f>IFERROR(O17/$B52,0)</f>
        <v>2991.1436974026237</v>
      </c>
      <c r="P66" s="60">
        <f>IFERROR(P17/$B52,0)</f>
        <v>809.14560386543269</v>
      </c>
      <c r="Q66" s="60">
        <f>IFERROR(Q17/$B52,0)</f>
        <v>486.78038157571626</v>
      </c>
      <c r="R66" s="60">
        <f>IFERROR(R17/$B52,0)</f>
        <v>5809.4580166652122</v>
      </c>
      <c r="S66" s="71">
        <f>IFERROR(s_RadSpec!$F$17*S17,".")*$B$66</f>
        <v>1.2841805561454399E-8</v>
      </c>
      <c r="T66" s="71">
        <f>IFERROR(s_RadSpec!$M$17*T17,".")*$B$66</f>
        <v>1.6716014026145843E-9</v>
      </c>
      <c r="U66" s="71">
        <f>IFERROR(s_RadSpec!$N$17*U17,".")*$B$66</f>
        <v>6.1793575545786921E-9</v>
      </c>
      <c r="V66" s="71">
        <f>IFERROR(s_RadSpec!$O$17*V17,".")*$B$66</f>
        <v>1.0271572539170364E-8</v>
      </c>
      <c r="W66" s="71">
        <f>IFERROR(s_RadSpec!$K$17*W17,".")*$B$66</f>
        <v>8.6066548474174794E-10</v>
      </c>
      <c r="X66" s="49">
        <f t="shared" si="116"/>
        <v>1.2841805561454399E-8</v>
      </c>
      <c r="Y66" s="49">
        <f t="shared" si="116"/>
        <v>1.6716014026145843E-9</v>
      </c>
      <c r="Z66" s="49">
        <f t="shared" si="116"/>
        <v>6.1793575545786921E-9</v>
      </c>
      <c r="AA66" s="49">
        <f t="shared" si="116"/>
        <v>1.0271572539170364E-8</v>
      </c>
      <c r="AB66" s="49">
        <f t="shared" si="116"/>
        <v>8.6066548474174794E-10</v>
      </c>
      <c r="AC66" s="60">
        <f>IFERROR(AC17/$B52,0)</f>
        <v>70.615336525661448</v>
      </c>
      <c r="AD66" s="60">
        <f>IFERROR(AD17/$B52,0)</f>
        <v>8595.49790676669</v>
      </c>
      <c r="AE66" s="60">
        <f t="shared" si="117"/>
        <v>70.039931426207886</v>
      </c>
      <c r="AF66" s="71">
        <f>IFERROR(s_RadSpec!$G$17*AF17,".")*$B$66</f>
        <v>7.0806148437499995E-8</v>
      </c>
      <c r="AG66" s="71">
        <f>IFERROR(s_RadSpec!$J$17*AG17,".")*$B$66</f>
        <v>5.8169986826054795E-10</v>
      </c>
      <c r="AH66" s="49">
        <f t="shared" si="118"/>
        <v>7.0806148437499995E-8</v>
      </c>
      <c r="AI66" s="49">
        <f t="shared" si="118"/>
        <v>5.8169986826054795E-10</v>
      </c>
      <c r="AJ66" s="49">
        <f t="shared" si="119"/>
        <v>7.1387848305760545E-8</v>
      </c>
      <c r="AK66" s="60">
        <f>IFERROR(AK17/$B52,0)</f>
        <v>1451.7955700177106</v>
      </c>
      <c r="AL66" s="60">
        <f>IFERROR(AL17/$B52,0)</f>
        <v>9821818.9432033002</v>
      </c>
      <c r="AM66" s="63">
        <f t="shared" si="120"/>
        <v>1451.581007024063</v>
      </c>
      <c r="AN66" s="71">
        <f>IFERROR(s_RadSpec!$H$17*AN17,".")*$B$66</f>
        <v>3.4440110600000002E-9</v>
      </c>
      <c r="AO66" s="71">
        <f>IFERROR(s_RadSpec!$L$17*AO17,".")*$B$66</f>
        <v>5.0907067508712322E-13</v>
      </c>
      <c r="AP66" s="49">
        <f t="shared" si="121"/>
        <v>3.4440110600000002E-9</v>
      </c>
      <c r="AQ66" s="49">
        <f t="shared" si="122"/>
        <v>5.0907067508712322E-13</v>
      </c>
      <c r="AR66" s="49">
        <f t="shared" si="123"/>
        <v>3.4445201306750873E-9</v>
      </c>
      <c r="AS66" s="63">
        <f t="shared" ref="AS66:AX66" si="128">IFERROR(AS17/$B52,0)</f>
        <v>10317.722715164033</v>
      </c>
      <c r="AT66" s="63">
        <f t="shared" si="128"/>
        <v>1819445.9952555352</v>
      </c>
      <c r="AU66" s="63">
        <f t="shared" si="128"/>
        <v>7369801939.4028807</v>
      </c>
      <c r="AV66" s="63">
        <f t="shared" si="128"/>
        <v>10317.722715164033</v>
      </c>
      <c r="AW66" s="63">
        <f t="shared" si="128"/>
        <v>0</v>
      </c>
      <c r="AX66" s="63">
        <f t="shared" si="128"/>
        <v>0</v>
      </c>
      <c r="AY66" s="71">
        <f>IFERROR(s_RadSpec!$E$17*AY17,".")*$B$66</f>
        <v>4.8460306000000015E-10</v>
      </c>
      <c r="AZ66" s="71">
        <f>IFERROR(s_RadSpec!$E$17*AZ17,".")*$B$66</f>
        <v>2.7480892607080463E-12</v>
      </c>
      <c r="BA66" s="71">
        <f>IFERROR(s_RadSpec!$E$17*BA17,".")*$B$66</f>
        <v>6.7844428400000003E-16</v>
      </c>
      <c r="BB66" s="71">
        <f>IFERROR(s_RadSpec!$E$17*BB17,".")*$B$66</f>
        <v>4.8460306000000015E-10</v>
      </c>
      <c r="BC66" s="71">
        <f>IFERROR(s_RadSpec!$E$17*BC17,".")*$B$66</f>
        <v>0</v>
      </c>
      <c r="BD66" s="71">
        <f>IFERROR(s_RadSpec!$E$17*BD17,".")*$B$66</f>
        <v>0</v>
      </c>
      <c r="BE66" s="49">
        <f t="shared" si="125"/>
        <v>4.8460306000000015E-10</v>
      </c>
      <c r="BF66" s="49">
        <f t="shared" si="126"/>
        <v>2.7480892607080463E-12</v>
      </c>
      <c r="BG66" s="49">
        <f t="shared" si="126"/>
        <v>6.7844428400000003E-16</v>
      </c>
      <c r="BH66" s="49">
        <f t="shared" si="126"/>
        <v>4.8460306000000015E-10</v>
      </c>
      <c r="BI66" s="49">
        <f t="shared" si="126"/>
        <v>0</v>
      </c>
      <c r="BJ66" s="49">
        <f t="shared" si="126"/>
        <v>0</v>
      </c>
    </row>
    <row r="67" spans="1:62" x14ac:dyDescent="0.25">
      <c r="A67" s="48" t="s">
        <v>1091</v>
      </c>
      <c r="B67" s="45">
        <v>2.0000000000000001E-4</v>
      </c>
      <c r="C67" s="60">
        <f>IFERROR(C5/$B53,0)</f>
        <v>0</v>
      </c>
      <c r="D67" s="60">
        <f>IFERROR(D5/$B53,0)</f>
        <v>0</v>
      </c>
      <c r="E67" s="60">
        <f>IFERROR(E5/$B53,0)</f>
        <v>0</v>
      </c>
      <c r="F67" s="63">
        <f t="shared" si="111"/>
        <v>0</v>
      </c>
      <c r="G67" s="71">
        <f>IFERROR(s_RadSpec!$D$5*G5,".")*$B$67</f>
        <v>0</v>
      </c>
      <c r="H67" s="71">
        <f>IFERROR(s_RadSpec!$G$5*$H$5,".")*B67</f>
        <v>0</v>
      </c>
      <c r="I67" s="71">
        <f>IFERROR(s_RadSpec!$F$5*$I$5,".")*B67</f>
        <v>0</v>
      </c>
      <c r="J67" s="49">
        <f t="shared" si="112"/>
        <v>0</v>
      </c>
      <c r="K67" s="49">
        <f t="shared" si="113"/>
        <v>0</v>
      </c>
      <c r="L67" s="49">
        <f t="shared" si="114"/>
        <v>0</v>
      </c>
      <c r="M67" s="49">
        <f t="shared" si="115"/>
        <v>0</v>
      </c>
      <c r="N67" s="60">
        <f>IFERROR(N5/$B53,0)</f>
        <v>0</v>
      </c>
      <c r="O67" s="60">
        <f>IFERROR(O5/$B53,0)</f>
        <v>0</v>
      </c>
      <c r="P67" s="60">
        <f>IFERROR(P5/$B53,0)</f>
        <v>0</v>
      </c>
      <c r="Q67" s="60">
        <f>IFERROR(Q5/$B53,0)</f>
        <v>0</v>
      </c>
      <c r="R67" s="60">
        <f>IFERROR(R5/$B53,0)</f>
        <v>0</v>
      </c>
      <c r="S67" s="71">
        <f>IFERROR(s_RadSpec!$F$5*S5,".")*$B$67</f>
        <v>0</v>
      </c>
      <c r="T67" s="71">
        <f>IFERROR(s_RadSpec!$M$5*T5,".")*$B$67</f>
        <v>0</v>
      </c>
      <c r="U67" s="71">
        <f>IFERROR(s_RadSpec!$N$5*U5,".")*$B$67</f>
        <v>0</v>
      </c>
      <c r="V67" s="71">
        <f>IFERROR(s_RadSpec!$O$5*V5,".")*$B$67</f>
        <v>0</v>
      </c>
      <c r="W67" s="71">
        <f>IFERROR(s_RadSpec!$K$5*W5,".")*$B$67</f>
        <v>0</v>
      </c>
      <c r="X67" s="49">
        <f t="shared" si="116"/>
        <v>0</v>
      </c>
      <c r="Y67" s="49">
        <f t="shared" si="116"/>
        <v>0</v>
      </c>
      <c r="Z67" s="49">
        <f t="shared" si="116"/>
        <v>0</v>
      </c>
      <c r="AA67" s="49">
        <f t="shared" si="116"/>
        <v>0</v>
      </c>
      <c r="AB67" s="49">
        <f t="shared" si="116"/>
        <v>0</v>
      </c>
      <c r="AC67" s="60">
        <f>IFERROR(AC5/$B53,0)</f>
        <v>0</v>
      </c>
      <c r="AD67" s="60">
        <f>IFERROR(AD5/$B53,0)</f>
        <v>1420903200506.2122</v>
      </c>
      <c r="AE67" s="60">
        <f t="shared" si="117"/>
        <v>1420903200506.2122</v>
      </c>
      <c r="AF67" s="71">
        <f>IFERROR(s_RadSpec!$G$5*AF5,".")*$B$67</f>
        <v>0</v>
      </c>
      <c r="AG67" s="71">
        <f>IFERROR(s_RadSpec!$J$5*AG5,".")*$B$67</f>
        <v>3.5188885479452048E-18</v>
      </c>
      <c r="AH67" s="49">
        <f t="shared" si="118"/>
        <v>0</v>
      </c>
      <c r="AI67" s="49">
        <f t="shared" si="118"/>
        <v>3.5188885479452048E-18</v>
      </c>
      <c r="AJ67" s="49">
        <f t="shared" si="119"/>
        <v>3.5188885479452048E-18</v>
      </c>
      <c r="AK67" s="60">
        <f>IFERROR(AK5/$B53,0)</f>
        <v>0</v>
      </c>
      <c r="AL67" s="60">
        <f>IFERROR(AL5/$B53,0)</f>
        <v>2136209823084510</v>
      </c>
      <c r="AM67" s="63">
        <f t="shared" si="120"/>
        <v>2136209823084510.3</v>
      </c>
      <c r="AN67" s="71">
        <f>IFERROR(s_RadSpec!$H$5*AN5,".")*$B$67</f>
        <v>0</v>
      </c>
      <c r="AO67" s="71">
        <f>IFERROR(s_RadSpec!$L$5*AO5,".")*$B$67</f>
        <v>2.3405940493150688E-21</v>
      </c>
      <c r="AP67" s="49">
        <f t="shared" si="121"/>
        <v>0</v>
      </c>
      <c r="AQ67" s="49">
        <f t="shared" si="122"/>
        <v>2.3405940493150688E-21</v>
      </c>
      <c r="AR67" s="49">
        <f t="shared" si="123"/>
        <v>2.3405940493150688E-21</v>
      </c>
      <c r="AS67" s="63">
        <f t="shared" ref="AS67:AX67" si="129">IFERROR(AS5/$B53,0)</f>
        <v>0</v>
      </c>
      <c r="AT67" s="63">
        <f t="shared" si="129"/>
        <v>0</v>
      </c>
      <c r="AU67" s="63">
        <f t="shared" si="129"/>
        <v>0</v>
      </c>
      <c r="AV67" s="63">
        <f t="shared" si="129"/>
        <v>0</v>
      </c>
      <c r="AW67" s="63">
        <f t="shared" si="129"/>
        <v>0</v>
      </c>
      <c r="AX67" s="63">
        <f t="shared" si="129"/>
        <v>0</v>
      </c>
      <c r="AY67" s="71">
        <f>IFERROR(s_RadSpec!$E$5*AY5,".")*$B$67</f>
        <v>0</v>
      </c>
      <c r="AZ67" s="71">
        <f>IFERROR(s_RadSpec!$E$5*AZ5,".")*$B$67</f>
        <v>0</v>
      </c>
      <c r="BA67" s="71">
        <f>IFERROR(s_RadSpec!$E$5*BA5,".")*$B$67</f>
        <v>0</v>
      </c>
      <c r="BB67" s="71">
        <f>IFERROR(s_RadSpec!$E$5*BB5,".")*$B$67</f>
        <v>0</v>
      </c>
      <c r="BC67" s="71">
        <f>IFERROR(s_RadSpec!$E$5*BC5,".")*$B$67</f>
        <v>0</v>
      </c>
      <c r="BD67" s="71">
        <f>IFERROR(s_RadSpec!$E$5*BD5,".")*$B$67</f>
        <v>0</v>
      </c>
      <c r="BE67" s="49">
        <f t="shared" si="125"/>
        <v>0</v>
      </c>
      <c r="BF67" s="49">
        <f t="shared" si="126"/>
        <v>0</v>
      </c>
      <c r="BG67" s="49">
        <f t="shared" si="126"/>
        <v>0</v>
      </c>
      <c r="BH67" s="49">
        <f t="shared" si="126"/>
        <v>0</v>
      </c>
      <c r="BI67" s="49">
        <f t="shared" si="126"/>
        <v>0</v>
      </c>
      <c r="BJ67" s="49">
        <f t="shared" si="126"/>
        <v>0</v>
      </c>
    </row>
    <row r="68" spans="1:62" x14ac:dyDescent="0.25">
      <c r="A68" s="48" t="s">
        <v>1092</v>
      </c>
      <c r="B68" s="45">
        <v>0.99999979999999999</v>
      </c>
      <c r="C68" s="60">
        <f>IFERROR(C9/$B54,0)</f>
        <v>450826.22906477912</v>
      </c>
      <c r="D68" s="60">
        <f>IFERROR(D9/$B54,0)</f>
        <v>27499932.384989772</v>
      </c>
      <c r="E68" s="60">
        <f>IFERROR(E9/$B54,0)</f>
        <v>19.472253819293741</v>
      </c>
      <c r="F68" s="63">
        <f t="shared" si="111"/>
        <v>19.471399016020005</v>
      </c>
      <c r="G68" s="71">
        <f>IFERROR(s_RadSpec!$D$9*G9,".")*$B$68</f>
        <v>1.1090747781850001E-11</v>
      </c>
      <c r="H68" s="71">
        <f>IFERROR(s_RadSpec!$G$9*$H$9,".")*B68</f>
        <v>1.8181862886067087E-13</v>
      </c>
      <c r="I68" s="71">
        <f>IFERROR(s_RadSpec!$F$9*$I$9,".")*B68</f>
        <v>2.5677561757364918E-7</v>
      </c>
      <c r="J68" s="49">
        <f t="shared" si="112"/>
        <v>1.1090747781850001E-11</v>
      </c>
      <c r="K68" s="49">
        <f t="shared" si="113"/>
        <v>1.8181862886067087E-13</v>
      </c>
      <c r="L68" s="49">
        <f t="shared" si="114"/>
        <v>2.5677561757364918E-7</v>
      </c>
      <c r="M68" s="49">
        <f t="shared" si="115"/>
        <v>2.5678689014005987E-7</v>
      </c>
      <c r="N68" s="60">
        <f>IFERROR(N9/$B54,0)</f>
        <v>19.472253819293741</v>
      </c>
      <c r="O68" s="60">
        <f>IFERROR(O9/$B54,0)</f>
        <v>220.82791392735382</v>
      </c>
      <c r="P68" s="60">
        <f>IFERROR(P9/$B54,0)</f>
        <v>54.077930126026764</v>
      </c>
      <c r="Q68" s="60">
        <f>IFERROR(Q9/$B54,0)</f>
        <v>27.661695215197614</v>
      </c>
      <c r="R68" s="60">
        <f>IFERROR(R9/$B54,0)</f>
        <v>403.94915967697193</v>
      </c>
      <c r="S68" s="71">
        <f>IFERROR(s_RadSpec!$F$9*S9,".")*$B$68</f>
        <v>2.5677561757364918E-7</v>
      </c>
      <c r="T68" s="71">
        <f>IFERROR(s_RadSpec!$M$9*T9,".")*$B$68</f>
        <v>2.2642065086232076E-8</v>
      </c>
      <c r="U68" s="71">
        <f>IFERROR(s_RadSpec!$N$9*U9,".")*$B$68</f>
        <v>9.2459160111115018E-8</v>
      </c>
      <c r="V68" s="71">
        <f>IFERROR(s_RadSpec!$O$9*V9,".")*$B$68</f>
        <v>1.8075537168282251E-7</v>
      </c>
      <c r="W68" s="71">
        <f>IFERROR(s_RadSpec!$K$9*W9,".")*$B$68</f>
        <v>1.2377795275025144E-8</v>
      </c>
      <c r="X68" s="49">
        <f t="shared" si="116"/>
        <v>2.5677561757364918E-7</v>
      </c>
      <c r="Y68" s="49">
        <f t="shared" si="116"/>
        <v>2.2642065086232076E-8</v>
      </c>
      <c r="Z68" s="49">
        <f t="shared" si="116"/>
        <v>9.2459160111115018E-8</v>
      </c>
      <c r="AA68" s="49">
        <f t="shared" si="116"/>
        <v>1.8075537168282251E-7</v>
      </c>
      <c r="AB68" s="49">
        <f t="shared" si="116"/>
        <v>1.2377795275025144E-8</v>
      </c>
      <c r="AC68" s="60">
        <f>IFERROR(AC9/$B54,0)</f>
        <v>88.76562108183434</v>
      </c>
      <c r="AD68" s="60">
        <f>IFERROR(AD9/$B54,0)</f>
        <v>1309.3142057847958</v>
      </c>
      <c r="AE68" s="60">
        <f t="shared" si="117"/>
        <v>83.129794475493171</v>
      </c>
      <c r="AF68" s="71">
        <f>IFERROR(s_RadSpec!$G$9*AF9,".")*$B$68</f>
        <v>5.6328113734374991E-8</v>
      </c>
      <c r="AG68" s="71">
        <f>IFERROR(s_RadSpec!$J$9*AG9,".")*$B$68</f>
        <v>3.8187930581590436E-9</v>
      </c>
      <c r="AH68" s="49">
        <f t="shared" si="118"/>
        <v>5.6328113734374991E-8</v>
      </c>
      <c r="AI68" s="49">
        <f t="shared" si="118"/>
        <v>3.8187930581590436E-9</v>
      </c>
      <c r="AJ68" s="49">
        <f t="shared" si="119"/>
        <v>6.0146906792534032E-8</v>
      </c>
      <c r="AK68" s="60">
        <f>IFERROR(AK9/$B54,0)</f>
        <v>2603.7603499454253</v>
      </c>
      <c r="AL68" s="60">
        <f>IFERROR(AL9/$B54,0)</f>
        <v>1512574.6772473548</v>
      </c>
      <c r="AM68" s="63">
        <f t="shared" si="120"/>
        <v>2599.2859145972702</v>
      </c>
      <c r="AN68" s="71">
        <f>IFERROR(s_RadSpec!$H$9*AN9,".")*$B$68</f>
        <v>1.9202996159399999E-9</v>
      </c>
      <c r="AO68" s="71">
        <f>IFERROR(s_RadSpec!$L$9*AO9,".")*$B$68</f>
        <v>3.3056219142179504E-12</v>
      </c>
      <c r="AP68" s="49">
        <f t="shared" si="121"/>
        <v>1.9202996159399999E-9</v>
      </c>
      <c r="AQ68" s="49">
        <f t="shared" si="122"/>
        <v>3.3056219142179504E-12</v>
      </c>
      <c r="AR68" s="49">
        <f t="shared" si="123"/>
        <v>1.9236052378542178E-9</v>
      </c>
      <c r="AS68" s="63">
        <f t="shared" ref="AS68:AX68" si="130">IFERROR(AS9/$B54,0)</f>
        <v>18847.302951487804</v>
      </c>
      <c r="AT68" s="63">
        <f t="shared" si="130"/>
        <v>785304.28964532528</v>
      </c>
      <c r="AU68" s="63">
        <f t="shared" si="130"/>
        <v>4711825737.8719511</v>
      </c>
      <c r="AV68" s="63">
        <f t="shared" si="130"/>
        <v>18847.302951487804</v>
      </c>
      <c r="AW68" s="63">
        <f t="shared" si="130"/>
        <v>0</v>
      </c>
      <c r="AX68" s="63">
        <f t="shared" si="130"/>
        <v>0</v>
      </c>
      <c r="AY68" s="71">
        <f>IFERROR(s_RadSpec!$E$9*AY9,".")*$B$68</f>
        <v>2.6528994694200003E-10</v>
      </c>
      <c r="AZ68" s="71">
        <f>IFERROR(s_RadSpec!$E$9*AZ9,".")*$B$68</f>
        <v>6.3669587266080006E-12</v>
      </c>
      <c r="BA68" s="71">
        <f>IFERROR(s_RadSpec!$E$9*BA9,".")*$B$68</f>
        <v>1.061159787768E-15</v>
      </c>
      <c r="BB68" s="71">
        <f>IFERROR(s_RadSpec!$E$9*BB9,".")*$B$68</f>
        <v>2.6528994694200003E-10</v>
      </c>
      <c r="BC68" s="71">
        <f>IFERROR(s_RadSpec!$E$9*BC9,".")*$B$68</f>
        <v>0</v>
      </c>
      <c r="BD68" s="71">
        <f>IFERROR(s_RadSpec!$E$9*BD9,".")*$B$68</f>
        <v>0</v>
      </c>
      <c r="BE68" s="49">
        <f t="shared" si="125"/>
        <v>2.6528994694200003E-10</v>
      </c>
      <c r="BF68" s="49">
        <f t="shared" si="126"/>
        <v>6.3669587266080006E-12</v>
      </c>
      <c r="BG68" s="49">
        <f t="shared" si="126"/>
        <v>1.061159787768E-15</v>
      </c>
      <c r="BH68" s="49">
        <f t="shared" si="126"/>
        <v>2.6528994694200003E-10</v>
      </c>
      <c r="BI68" s="49">
        <f t="shared" si="126"/>
        <v>0</v>
      </c>
      <c r="BJ68" s="49">
        <f t="shared" si="126"/>
        <v>0</v>
      </c>
    </row>
    <row r="69" spans="1:62" x14ac:dyDescent="0.25">
      <c r="A69" s="48" t="s">
        <v>1093</v>
      </c>
      <c r="B69" s="45">
        <v>1.9999999999999999E-7</v>
      </c>
      <c r="C69" s="60">
        <f>IFERROR(C24/$B55,0)</f>
        <v>0</v>
      </c>
      <c r="D69" s="60">
        <f>IFERROR(D24/$B55,0)</f>
        <v>0</v>
      </c>
      <c r="E69" s="60">
        <f>IFERROR(E24/$B55,0)</f>
        <v>372667996709.4668</v>
      </c>
      <c r="F69" s="63">
        <f t="shared" si="111"/>
        <v>372667996709.4668</v>
      </c>
      <c r="G69" s="71">
        <f>IFERROR(s_RadSpec!$D$24*G24,".")*$B$69</f>
        <v>0</v>
      </c>
      <c r="H69" s="71">
        <f>IFERROR(s_RadSpec!$G$24*$H$24,".")*B69</f>
        <v>0</v>
      </c>
      <c r="I69" s="71">
        <f>IFERROR(s_RadSpec!$F$24*$I$24,".")*B69</f>
        <v>1.3416767858115856E-17</v>
      </c>
      <c r="J69" s="49">
        <f t="shared" si="112"/>
        <v>0</v>
      </c>
      <c r="K69" s="49">
        <f t="shared" si="113"/>
        <v>0</v>
      </c>
      <c r="L69" s="49">
        <f t="shared" si="114"/>
        <v>1.3416767858115856E-17</v>
      </c>
      <c r="M69" s="49">
        <f t="shared" si="115"/>
        <v>1.3416767858115856E-17</v>
      </c>
      <c r="N69" s="60">
        <f>IFERROR(N24/$B55,0)</f>
        <v>372667996709.4668</v>
      </c>
      <c r="O69" s="60">
        <f>IFERROR(O24/$B55,0)</f>
        <v>3283164707562.605</v>
      </c>
      <c r="P69" s="60">
        <f>IFERROR(P24/$B55,0)</f>
        <v>823486819320.16638</v>
      </c>
      <c r="Q69" s="60">
        <f>IFERROR(Q24/$B55,0)</f>
        <v>444337311285.73126</v>
      </c>
      <c r="R69" s="60">
        <f>IFERROR(R24/$B55,0)</f>
        <v>5585802339124.5645</v>
      </c>
      <c r="S69" s="71">
        <f>IFERROR(s_RadSpec!$F$24*S24,".")*$B$69</f>
        <v>1.3416767858115856E-17</v>
      </c>
      <c r="T69" s="71">
        <f>IFERROR(s_RadSpec!$M$24*T24,".")*$B$69</f>
        <v>1.5229208539196192E-18</v>
      </c>
      <c r="U69" s="71">
        <f>IFERROR(s_RadSpec!$N$24*U24,".")*$B$69</f>
        <v>6.0717425982941333E-18</v>
      </c>
      <c r="V69" s="71">
        <f>IFERROR(s_RadSpec!$O$24*V24,".")*$B$69</f>
        <v>1.1252712461917809E-17</v>
      </c>
      <c r="W69" s="71">
        <f>IFERROR(s_RadSpec!$K$24*W24,".")*$B$69</f>
        <v>8.951265541529393E-19</v>
      </c>
      <c r="X69" s="49">
        <f t="shared" si="116"/>
        <v>1.3416767858115856E-17</v>
      </c>
      <c r="Y69" s="49">
        <f t="shared" si="116"/>
        <v>1.5229208539196192E-18</v>
      </c>
      <c r="Z69" s="49">
        <f t="shared" si="116"/>
        <v>6.0717425982941333E-18</v>
      </c>
      <c r="AA69" s="49">
        <f t="shared" si="116"/>
        <v>1.1252712461917809E-17</v>
      </c>
      <c r="AB69" s="49">
        <f t="shared" si="116"/>
        <v>8.951265541529393E-19</v>
      </c>
      <c r="AC69" s="60">
        <f>IFERROR(AC24/$B55,0)</f>
        <v>0</v>
      </c>
      <c r="AD69" s="60">
        <f>IFERROR(AD24/$B55,0)</f>
        <v>13740602378521.611</v>
      </c>
      <c r="AE69" s="60">
        <f t="shared" si="117"/>
        <v>13740602378521.611</v>
      </c>
      <c r="AF69" s="71">
        <f>IFERROR(s_RadSpec!$G$24*AF24,".")*$B$69</f>
        <v>0</v>
      </c>
      <c r="AG69" s="71">
        <f>IFERROR(s_RadSpec!$J$24*AG24,".")*$B$69</f>
        <v>3.6388506575342455E-19</v>
      </c>
      <c r="AH69" s="49">
        <f t="shared" si="118"/>
        <v>0</v>
      </c>
      <c r="AI69" s="49">
        <f t="shared" si="118"/>
        <v>3.6388506575342455E-19</v>
      </c>
      <c r="AJ69" s="49">
        <f t="shared" si="119"/>
        <v>3.6388506575342455E-19</v>
      </c>
      <c r="AK69" s="60">
        <f>IFERROR(AK24/$B55,0)</f>
        <v>0</v>
      </c>
      <c r="AL69" s="60">
        <f>IFERROR(AL24/$B55,0)</f>
        <v>1.5814436970220912E+16</v>
      </c>
      <c r="AM69" s="63">
        <f t="shared" si="120"/>
        <v>1.5814436970220914E+16</v>
      </c>
      <c r="AN69" s="71">
        <f>IFERROR(s_RadSpec!$H$24*AN24,".")*$B$69</f>
        <v>0</v>
      </c>
      <c r="AO69" s="71">
        <f>IFERROR(s_RadSpec!$L$24*AO24,".")*$B$69</f>
        <v>3.1616680438356164E-22</v>
      </c>
      <c r="AP69" s="49">
        <f t="shared" si="121"/>
        <v>0</v>
      </c>
      <c r="AQ69" s="49">
        <f t="shared" si="122"/>
        <v>3.1616680438356164E-22</v>
      </c>
      <c r="AR69" s="49">
        <f t="shared" si="123"/>
        <v>3.1616680438356164E-22</v>
      </c>
      <c r="AS69" s="63">
        <f t="shared" ref="AS69:AX69" si="131">IFERROR(AS24/$B55,0)</f>
        <v>0</v>
      </c>
      <c r="AT69" s="63">
        <f t="shared" si="131"/>
        <v>0</v>
      </c>
      <c r="AU69" s="63">
        <f t="shared" si="131"/>
        <v>0</v>
      </c>
      <c r="AV69" s="63">
        <f t="shared" si="131"/>
        <v>0</v>
      </c>
      <c r="AW69" s="63">
        <f t="shared" si="131"/>
        <v>0</v>
      </c>
      <c r="AX69" s="63">
        <f t="shared" si="131"/>
        <v>0</v>
      </c>
      <c r="AY69" s="71">
        <f>IFERROR(s_RadSpec!$E$24*AY24,".")*$B$69</f>
        <v>0</v>
      </c>
      <c r="AZ69" s="71">
        <f>IFERROR(s_RadSpec!$E$24*AZ24,".")*$B$69</f>
        <v>0</v>
      </c>
      <c r="BA69" s="71">
        <f>IFERROR(s_RadSpec!$E$24*BA24,".")*$B$69</f>
        <v>0</v>
      </c>
      <c r="BB69" s="71">
        <f>IFERROR(s_RadSpec!$E$24*BB24,".")*$B$69</f>
        <v>0</v>
      </c>
      <c r="BC69" s="71">
        <f>IFERROR(s_RadSpec!$E$24*BC24,".")*$B$69</f>
        <v>0</v>
      </c>
      <c r="BD69" s="71">
        <f>IFERROR(s_RadSpec!$E$24*BD24,".")*$B$69</f>
        <v>0</v>
      </c>
      <c r="BE69" s="49">
        <f t="shared" si="125"/>
        <v>0</v>
      </c>
      <c r="BF69" s="49">
        <f t="shared" si="126"/>
        <v>0</v>
      </c>
      <c r="BG69" s="49">
        <f t="shared" si="126"/>
        <v>0</v>
      </c>
      <c r="BH69" s="49">
        <f t="shared" si="126"/>
        <v>0</v>
      </c>
      <c r="BI69" s="49">
        <f t="shared" si="126"/>
        <v>0</v>
      </c>
      <c r="BJ69" s="49">
        <f t="shared" si="126"/>
        <v>0</v>
      </c>
    </row>
    <row r="70" spans="1:62" x14ac:dyDescent="0.25">
      <c r="A70" s="48" t="s">
        <v>1094</v>
      </c>
      <c r="B70" s="45">
        <v>0.99979000004200003</v>
      </c>
      <c r="C70" s="60">
        <f>IFERROR(C20/$B56,0)</f>
        <v>0</v>
      </c>
      <c r="D70" s="60">
        <f>IFERROR(D20/$B56,0)</f>
        <v>0</v>
      </c>
      <c r="E70" s="60">
        <f>IFERROR(E20/$B56,0)</f>
        <v>513103.80113653484</v>
      </c>
      <c r="F70" s="63">
        <f t="shared" si="111"/>
        <v>513103.80113653489</v>
      </c>
      <c r="G70" s="71">
        <f>IFERROR(s_RadSpec!$D$20*G20,".")*$B$70</f>
        <v>0</v>
      </c>
      <c r="H70" s="71">
        <f>IFERROR(s_RadSpec!$G$20*$H$20,".")*B70</f>
        <v>0</v>
      </c>
      <c r="I70" s="71">
        <f>IFERROR(s_RadSpec!$F$20*$I$20,".")*B70</f>
        <v>9.7446169545516966E-12</v>
      </c>
      <c r="J70" s="49">
        <f t="shared" si="112"/>
        <v>0</v>
      </c>
      <c r="K70" s="49">
        <f t="shared" si="113"/>
        <v>0</v>
      </c>
      <c r="L70" s="49">
        <f t="shared" si="114"/>
        <v>9.7446169545516966E-12</v>
      </c>
      <c r="M70" s="49">
        <f t="shared" si="115"/>
        <v>9.7446169545516966E-12</v>
      </c>
      <c r="N70" s="60">
        <f>IFERROR(N20/$B56,0)</f>
        <v>513103.80113653484</v>
      </c>
      <c r="O70" s="60">
        <f>IFERROR(O20/$B56,0)</f>
        <v>5115249.1771076825</v>
      </c>
      <c r="P70" s="60">
        <f>IFERROR(P20/$B56,0)</f>
        <v>1269778.829777376</v>
      </c>
      <c r="Q70" s="60">
        <f>IFERROR(Q20/$B56,0)</f>
        <v>678828.93246943515</v>
      </c>
      <c r="R70" s="60">
        <f>IFERROR(R20/$B56,0)</f>
        <v>8946427.7650501411</v>
      </c>
      <c r="S70" s="71">
        <f>IFERROR(s_RadSpec!$F$20*S20,".")*$B$70</f>
        <v>9.7446169545516966E-12</v>
      </c>
      <c r="T70" s="71">
        <f>IFERROR(s_RadSpec!$M$20*T20,".")*$B$70</f>
        <v>9.7746948914562007E-13</v>
      </c>
      <c r="U70" s="71">
        <f>IFERROR(s_RadSpec!$N$20*U20,".")*$B$70</f>
        <v>3.9376936225000886E-12</v>
      </c>
      <c r="V70" s="71">
        <f>IFERROR(s_RadSpec!$O$20*V20,".")*$B$70</f>
        <v>7.3656259491048255E-12</v>
      </c>
      <c r="W70" s="71">
        <f>IFERROR(s_RadSpec!$K$20*W20,".")*$B$70</f>
        <v>5.5888228590330286E-13</v>
      </c>
      <c r="X70" s="49">
        <f t="shared" si="116"/>
        <v>9.7446169545516966E-12</v>
      </c>
      <c r="Y70" s="49">
        <f t="shared" si="116"/>
        <v>9.7746948914562007E-13</v>
      </c>
      <c r="Z70" s="49">
        <f t="shared" si="116"/>
        <v>3.9376936225000886E-12</v>
      </c>
      <c r="AA70" s="49">
        <f t="shared" si="116"/>
        <v>7.3656259491048255E-12</v>
      </c>
      <c r="AB70" s="49">
        <f t="shared" si="116"/>
        <v>5.5888228590330286E-13</v>
      </c>
      <c r="AC70" s="60">
        <f>IFERROR(AC20/$B56,0)</f>
        <v>0</v>
      </c>
      <c r="AD70" s="60">
        <f>IFERROR(AD20/$B56,0)</f>
        <v>24522695.185458336</v>
      </c>
      <c r="AE70" s="60">
        <f t="shared" si="117"/>
        <v>24522695.185458336</v>
      </c>
      <c r="AF70" s="71">
        <f>IFERROR(s_RadSpec!$G$20*AF20,".")*$B$70</f>
        <v>0</v>
      </c>
      <c r="AG70" s="71">
        <f>IFERROR(s_RadSpec!$J$20*AG20,".")*$B$70</f>
        <v>2.0389275983681185E-13</v>
      </c>
      <c r="AH70" s="49">
        <f t="shared" si="118"/>
        <v>0</v>
      </c>
      <c r="AI70" s="49">
        <f t="shared" si="118"/>
        <v>2.0389275983681185E-13</v>
      </c>
      <c r="AJ70" s="49">
        <f t="shared" si="119"/>
        <v>2.0389275983681185E-13</v>
      </c>
      <c r="AK70" s="60">
        <f>IFERROR(AK20/$B56,0)</f>
        <v>0</v>
      </c>
      <c r="AL70" s="60">
        <f>IFERROR(AL20/$B56,0)</f>
        <v>28295417521.682697</v>
      </c>
      <c r="AM70" s="63">
        <f t="shared" si="120"/>
        <v>28295417521.682697</v>
      </c>
      <c r="AN70" s="71">
        <f>IFERROR(s_RadSpec!$H$20*AN20,".")*$B$70</f>
        <v>0</v>
      </c>
      <c r="AO70" s="71">
        <f>IFERROR(s_RadSpec!$L$20*AO20,".")*$B$70</f>
        <v>1.7670705852523696E-16</v>
      </c>
      <c r="AP70" s="49">
        <f t="shared" si="121"/>
        <v>0</v>
      </c>
      <c r="AQ70" s="49">
        <f t="shared" si="122"/>
        <v>1.7670705852523696E-16</v>
      </c>
      <c r="AR70" s="49">
        <f t="shared" si="123"/>
        <v>1.7670705852523696E-16</v>
      </c>
      <c r="AS70" s="63">
        <f t="shared" ref="AS70:AX70" si="132">IFERROR(AS20/$B56,0)</f>
        <v>0</v>
      </c>
      <c r="AT70" s="63">
        <f t="shared" si="132"/>
        <v>0</v>
      </c>
      <c r="AU70" s="63">
        <f t="shared" si="132"/>
        <v>0</v>
      </c>
      <c r="AV70" s="63">
        <f t="shared" si="132"/>
        <v>0</v>
      </c>
      <c r="AW70" s="63">
        <f t="shared" si="132"/>
        <v>0</v>
      </c>
      <c r="AX70" s="63">
        <f t="shared" si="132"/>
        <v>0</v>
      </c>
      <c r="AY70" s="71">
        <f>IFERROR(s_RadSpec!$E$20*AY20,".")*$B$70</f>
        <v>0</v>
      </c>
      <c r="AZ70" s="71">
        <f>IFERROR(s_RadSpec!$E$20*AZ20,".")*$B$70</f>
        <v>0</v>
      </c>
      <c r="BA70" s="71">
        <f>IFERROR(s_RadSpec!$E$20*BA20,".")*$B$70</f>
        <v>0</v>
      </c>
      <c r="BB70" s="71">
        <f>IFERROR(s_RadSpec!$E$20*BB20,".")*$B$70</f>
        <v>0</v>
      </c>
      <c r="BC70" s="71">
        <f>IFERROR(s_RadSpec!$E$20*BC20,".")*$B$70</f>
        <v>0</v>
      </c>
      <c r="BD70" s="71">
        <f>IFERROR(s_RadSpec!$E$20*BD20,".")*$B$70</f>
        <v>0</v>
      </c>
      <c r="BE70" s="49">
        <f t="shared" si="125"/>
        <v>0</v>
      </c>
      <c r="BF70" s="49">
        <f t="shared" si="126"/>
        <v>0</v>
      </c>
      <c r="BG70" s="49">
        <f t="shared" si="126"/>
        <v>0</v>
      </c>
      <c r="BH70" s="49">
        <f t="shared" si="126"/>
        <v>0</v>
      </c>
      <c r="BI70" s="49">
        <f t="shared" si="126"/>
        <v>0</v>
      </c>
      <c r="BJ70" s="49">
        <f t="shared" si="126"/>
        <v>0</v>
      </c>
    </row>
    <row r="71" spans="1:62" x14ac:dyDescent="0.25">
      <c r="A71" s="48" t="s">
        <v>1095</v>
      </c>
      <c r="B71" s="45">
        <v>2.0999995799999999E-4</v>
      </c>
      <c r="C71" s="60">
        <f>IFERROR(C29/$B57,0)</f>
        <v>0</v>
      </c>
      <c r="D71" s="60">
        <f>IFERROR(D29/$B57,0)</f>
        <v>0</v>
      </c>
      <c r="E71" s="60">
        <f>IFERROR(E29/$B57,0)</f>
        <v>55171.353442684893</v>
      </c>
      <c r="F71" s="63">
        <f t="shared" si="111"/>
        <v>55171.353442684893</v>
      </c>
      <c r="G71" s="71">
        <f>IFERROR(s_RadSpec!$D$29*G29,".")*$B$71</f>
        <v>0</v>
      </c>
      <c r="H71" s="71">
        <f>IFERROR(s_RadSpec!$G$29*$H$29,".")*B71</f>
        <v>0</v>
      </c>
      <c r="I71" s="71">
        <f>IFERROR(s_RadSpec!$F$29*$I$29,".")*B71</f>
        <v>9.0626741741876643E-11</v>
      </c>
      <c r="J71" s="49">
        <f t="shared" si="112"/>
        <v>0</v>
      </c>
      <c r="K71" s="49">
        <f t="shared" si="113"/>
        <v>0</v>
      </c>
      <c r="L71" s="49">
        <f t="shared" si="114"/>
        <v>9.0626741741876643E-11</v>
      </c>
      <c r="M71" s="49">
        <f t="shared" si="115"/>
        <v>9.0626741741876643E-11</v>
      </c>
      <c r="N71" s="60">
        <f>IFERROR(N29/$B57,0)</f>
        <v>55171.353442684893</v>
      </c>
      <c r="O71" s="60">
        <f>IFERROR(O29/$B57,0)</f>
        <v>594954.97069257929</v>
      </c>
      <c r="P71" s="60">
        <f>IFERROR(P29/$B57,0)</f>
        <v>147955.82931916363</v>
      </c>
      <c r="Q71" s="60">
        <f>IFERROR(Q29/$B57,0)</f>
        <v>78630.718751434921</v>
      </c>
      <c r="R71" s="60">
        <f>IFERROR(R29/$B57,0)</f>
        <v>1103614.3570383762</v>
      </c>
      <c r="S71" s="71">
        <f>IFERROR(s_RadSpec!$F$29*S29,".")*$B$71</f>
        <v>9.0626741741876643E-11</v>
      </c>
      <c r="T71" s="71">
        <f>IFERROR(s_RadSpec!$M$29*T29,".")*$B$71</f>
        <v>8.403997354925137E-12</v>
      </c>
      <c r="U71" s="71">
        <f>IFERROR(s_RadSpec!$N$29*U29,".")*$B$71</f>
        <v>3.3793869582618646E-11</v>
      </c>
      <c r="V71" s="71">
        <f>IFERROR(s_RadSpec!$O$29*V29,".")*$B$71</f>
        <v>6.3588379699362168E-11</v>
      </c>
      <c r="W71" s="71">
        <f>IFERROR(s_RadSpec!$K$29*W29,".")*$B$71</f>
        <v>4.5305680993656505E-12</v>
      </c>
      <c r="X71" s="49">
        <f t="shared" si="116"/>
        <v>9.0626741741876643E-11</v>
      </c>
      <c r="Y71" s="49">
        <f t="shared" si="116"/>
        <v>8.403997354925137E-12</v>
      </c>
      <c r="Z71" s="49">
        <f t="shared" si="116"/>
        <v>3.3793869582618646E-11</v>
      </c>
      <c r="AA71" s="49">
        <f t="shared" si="116"/>
        <v>6.3588379699362168E-11</v>
      </c>
      <c r="AB71" s="49">
        <f t="shared" si="116"/>
        <v>4.5305680993656505E-12</v>
      </c>
      <c r="AC71" s="60">
        <f>IFERROR(AC29/$B57,0)</f>
        <v>0</v>
      </c>
      <c r="AD71" s="60">
        <f>IFERROR(AD29/$B57,0)</f>
        <v>3370337.1065349863</v>
      </c>
      <c r="AE71" s="60">
        <f t="shared" si="117"/>
        <v>3370337.1065349863</v>
      </c>
      <c r="AF71" s="71">
        <f>IFERROR(s_RadSpec!$G$29*AF29,".")*$B$71</f>
        <v>0</v>
      </c>
      <c r="AG71" s="71">
        <f>IFERROR(s_RadSpec!$J$29*AG29,".")*$B$71</f>
        <v>1.4835311252115235E-12</v>
      </c>
      <c r="AH71" s="49">
        <f t="shared" si="118"/>
        <v>0</v>
      </c>
      <c r="AI71" s="49">
        <f t="shared" si="118"/>
        <v>1.4835311252115235E-12</v>
      </c>
      <c r="AJ71" s="49">
        <f t="shared" si="119"/>
        <v>1.4835311252115235E-12</v>
      </c>
      <c r="AK71" s="60">
        <f>IFERROR(AK29/$B57,0)</f>
        <v>0</v>
      </c>
      <c r="AL71" s="60">
        <f>IFERROR(AL29/$B57,0)</f>
        <v>3883214492.3120499</v>
      </c>
      <c r="AM71" s="63">
        <f t="shared" si="120"/>
        <v>3883214492.3120499</v>
      </c>
      <c r="AN71" s="71">
        <f>IFERROR(s_RadSpec!$H$29*AN29,".")*$B$71</f>
        <v>0</v>
      </c>
      <c r="AO71" s="71">
        <f>IFERROR(s_RadSpec!$L$29*AO29,".")*$B$71</f>
        <v>1.287593052070379E-15</v>
      </c>
      <c r="AP71" s="49">
        <f t="shared" si="121"/>
        <v>0</v>
      </c>
      <c r="AQ71" s="49">
        <f t="shared" si="122"/>
        <v>1.287593052070379E-15</v>
      </c>
      <c r="AR71" s="49">
        <f t="shared" si="123"/>
        <v>1.287593052070379E-15</v>
      </c>
      <c r="AS71" s="63">
        <f t="shared" ref="AS71:AX71" si="133">IFERROR(AS29/$B57,0)</f>
        <v>0</v>
      </c>
      <c r="AT71" s="63">
        <f t="shared" si="133"/>
        <v>0</v>
      </c>
      <c r="AU71" s="63">
        <f t="shared" si="133"/>
        <v>0</v>
      </c>
      <c r="AV71" s="63">
        <f t="shared" si="133"/>
        <v>0</v>
      </c>
      <c r="AW71" s="63">
        <f t="shared" si="133"/>
        <v>0</v>
      </c>
      <c r="AX71" s="63">
        <f t="shared" si="133"/>
        <v>0</v>
      </c>
      <c r="AY71" s="71">
        <f>IFERROR(s_RadSpec!$E$29*AY29,".")*$B$71</f>
        <v>0</v>
      </c>
      <c r="AZ71" s="71">
        <f>IFERROR(s_RadSpec!$E$29*AZ29,".")*$B$71</f>
        <v>0</v>
      </c>
      <c r="BA71" s="71">
        <f>IFERROR(s_RadSpec!$E$29*BA29,".")*$B$71</f>
        <v>0</v>
      </c>
      <c r="BB71" s="71">
        <f>IFERROR(s_RadSpec!$E$29*BB29,".")*$B$71</f>
        <v>0</v>
      </c>
      <c r="BC71" s="71">
        <f>IFERROR(s_RadSpec!$E$29*BC29,".")*$B$71</f>
        <v>0</v>
      </c>
      <c r="BD71" s="71">
        <f>IFERROR(s_RadSpec!$E$29*BD29,".")*$B$71</f>
        <v>0</v>
      </c>
      <c r="BE71" s="49">
        <f t="shared" si="125"/>
        <v>0</v>
      </c>
      <c r="BF71" s="49">
        <f t="shared" si="126"/>
        <v>0</v>
      </c>
      <c r="BG71" s="49">
        <f t="shared" si="126"/>
        <v>0</v>
      </c>
      <c r="BH71" s="49">
        <f t="shared" si="126"/>
        <v>0</v>
      </c>
      <c r="BI71" s="49">
        <f t="shared" si="126"/>
        <v>0</v>
      </c>
      <c r="BJ71" s="49">
        <f t="shared" si="126"/>
        <v>0</v>
      </c>
    </row>
    <row r="72" spans="1:62" x14ac:dyDescent="0.25">
      <c r="A72" s="48" t="s">
        <v>1096</v>
      </c>
      <c r="B72" s="45">
        <v>1</v>
      </c>
      <c r="C72" s="60">
        <f>IFERROR(C16/$B58,0)</f>
        <v>105.90527831907143</v>
      </c>
      <c r="D72" s="60">
        <f>IFERROR(D16/$B58,0)</f>
        <v>107068.32240239423</v>
      </c>
      <c r="E72" s="60">
        <f>IFERROR(E16/$B58,0)</f>
        <v>2837162236.6369786</v>
      </c>
      <c r="F72" s="63">
        <f t="shared" si="111"/>
        <v>105.80062302026512</v>
      </c>
      <c r="G72" s="71">
        <f>IFERROR(s_RadSpec!$D$16*G16,".")*$B$72</f>
        <v>4.7212E-8</v>
      </c>
      <c r="H72" s="71">
        <f>IFERROR(s_RadSpec!$G$16*$H$16,".")*B72</f>
        <v>4.6699153286520449E-11</v>
      </c>
      <c r="I72" s="71">
        <f>IFERROR(s_RadSpec!$F$16*$I$16,".")*B72</f>
        <v>1.7623243166829734E-15</v>
      </c>
      <c r="J72" s="49">
        <f t="shared" si="112"/>
        <v>4.7212E-8</v>
      </c>
      <c r="K72" s="49">
        <f t="shared" si="113"/>
        <v>4.6699153286520449E-11</v>
      </c>
      <c r="L72" s="49">
        <f t="shared" si="114"/>
        <v>1.7623243166829734E-15</v>
      </c>
      <c r="M72" s="49">
        <f t="shared" si="115"/>
        <v>4.7258700915610836E-8</v>
      </c>
      <c r="N72" s="60">
        <f>IFERROR(N16/$B58,0)</f>
        <v>2837162236.6369786</v>
      </c>
      <c r="O72" s="60">
        <f>IFERROR(O16/$B58,0)</f>
        <v>7864177107.0580359</v>
      </c>
      <c r="P72" s="60">
        <f>IFERROR(P16/$B58,0)</f>
        <v>3069306829.3555741</v>
      </c>
      <c r="Q72" s="60">
        <f>IFERROR(Q16/$B58,0)</f>
        <v>3051156026.9797559</v>
      </c>
      <c r="R72" s="60">
        <f>IFERROR(R16/$B58,0)</f>
        <v>102073046240.44627</v>
      </c>
      <c r="S72" s="71">
        <f>IFERROR(s_RadSpec!$F$16*S16,".")*$B$72</f>
        <v>1.7623243166829734E-15</v>
      </c>
      <c r="T72" s="71">
        <f>IFERROR(s_RadSpec!$M$16*T16,".")*$B$72</f>
        <v>6.3579442984728029E-16</v>
      </c>
      <c r="U72" s="71">
        <f>IFERROR(s_RadSpec!$N$16*U16,".")*$B$72</f>
        <v>1.6290323118493145E-15</v>
      </c>
      <c r="V72" s="71">
        <f>IFERROR(s_RadSpec!$O$16*V16,".")*$B$72</f>
        <v>1.6387231448630129E-15</v>
      </c>
      <c r="W72" s="71">
        <f>IFERROR(s_RadSpec!$K$16*W16,".")*$B$72</f>
        <v>4.8984528082191768E-17</v>
      </c>
      <c r="X72" s="49">
        <f t="shared" si="116"/>
        <v>1.7623243166829734E-15</v>
      </c>
      <c r="Y72" s="49">
        <f t="shared" si="116"/>
        <v>6.3579442984728029E-16</v>
      </c>
      <c r="Z72" s="49">
        <f t="shared" si="116"/>
        <v>1.6290323118493145E-15</v>
      </c>
      <c r="AA72" s="49">
        <f t="shared" si="116"/>
        <v>1.6387231448630129E-15</v>
      </c>
      <c r="AB72" s="49">
        <f t="shared" si="116"/>
        <v>4.8984528082191768E-17</v>
      </c>
      <c r="AC72" s="60">
        <f>IFERROR(AC16/$B58,0)</f>
        <v>0.34560034560034564</v>
      </c>
      <c r="AD72" s="60">
        <f>IFERROR(AD16/$B58,0)</f>
        <v>2226222.22512546</v>
      </c>
      <c r="AE72" s="60">
        <f t="shared" si="117"/>
        <v>0.3456002919491068</v>
      </c>
      <c r="AF72" s="71">
        <f>IFERROR(s_RadSpec!$G$16*AF16,".")*$B$72</f>
        <v>1.4467578124999998E-5</v>
      </c>
      <c r="AG72" s="71">
        <f>IFERROR(s_RadSpec!$J$16*AG16,".")*$B$72</f>
        <v>2.2459572739726024E-12</v>
      </c>
      <c r="AH72" s="49">
        <f t="shared" si="118"/>
        <v>1.4467578124999998E-5</v>
      </c>
      <c r="AI72" s="49">
        <f t="shared" si="118"/>
        <v>2.2459572739726024E-12</v>
      </c>
      <c r="AJ72" s="49">
        <f t="shared" si="119"/>
        <v>1.4467580370957272E-5</v>
      </c>
      <c r="AK72" s="60">
        <f>IFERROR(AK16/$B58,0)</f>
        <v>0.56541897546081643</v>
      </c>
      <c r="AL72" s="60">
        <f>IFERROR(AL16/$B58,0)</f>
        <v>2410786921.1673522</v>
      </c>
      <c r="AM72" s="63">
        <f t="shared" si="120"/>
        <v>0.56541897532820462</v>
      </c>
      <c r="AN72" s="71">
        <f>IFERROR(s_RadSpec!$H$16*AN16,".")*$B$72</f>
        <v>8.8429999999999999E-6</v>
      </c>
      <c r="AO72" s="71">
        <f>IFERROR(s_RadSpec!$L$16*AO16,".")*$B$72</f>
        <v>2.0740115835616435E-15</v>
      </c>
      <c r="AP72" s="49">
        <f t="shared" si="121"/>
        <v>8.8429999999999999E-6</v>
      </c>
      <c r="AQ72" s="49">
        <f t="shared" si="122"/>
        <v>2.0740115835616435E-15</v>
      </c>
      <c r="AR72" s="49">
        <f t="shared" si="123"/>
        <v>8.8430000020740109E-6</v>
      </c>
      <c r="AS72" s="63">
        <f t="shared" ref="AS72:AX72" si="134">IFERROR(AS16/$B58,0)</f>
        <v>4.2495325514193434</v>
      </c>
      <c r="AT72" s="63">
        <f t="shared" si="134"/>
        <v>749.37030155157061</v>
      </c>
      <c r="AU72" s="63">
        <f t="shared" si="134"/>
        <v>3035380.3938709595</v>
      </c>
      <c r="AV72" s="63">
        <f t="shared" si="134"/>
        <v>4.2495325514193434</v>
      </c>
      <c r="AW72" s="63">
        <f t="shared" si="134"/>
        <v>0</v>
      </c>
      <c r="AX72" s="63">
        <f t="shared" si="134"/>
        <v>0</v>
      </c>
      <c r="AY72" s="71">
        <f>IFERROR(s_RadSpec!$E$16*AY16,".")*$B$72</f>
        <v>1.1766000000000001E-6</v>
      </c>
      <c r="AZ72" s="71">
        <f>IFERROR(s_RadSpec!$E$16*AZ16,".")*$B$72</f>
        <v>6.6722686896551723E-9</v>
      </c>
      <c r="BA72" s="71">
        <f>IFERROR(s_RadSpec!$E$16*BA16,".")*$B$72</f>
        <v>1.6472399999999998E-12</v>
      </c>
      <c r="BB72" s="71">
        <f>IFERROR(s_RadSpec!$E$16*BB16,".")*$B$72</f>
        <v>1.1766000000000001E-6</v>
      </c>
      <c r="BC72" s="71">
        <f>IFERROR(s_RadSpec!$E$16*BC16,".")*$B$72</f>
        <v>0</v>
      </c>
      <c r="BD72" s="71">
        <f>IFERROR(s_RadSpec!$E$16*BD16,".")*$B$72</f>
        <v>0</v>
      </c>
      <c r="BE72" s="49">
        <f t="shared" si="125"/>
        <v>1.1766000000000001E-6</v>
      </c>
      <c r="BF72" s="49">
        <f t="shared" si="126"/>
        <v>6.6722686896551723E-9</v>
      </c>
      <c r="BG72" s="49">
        <f t="shared" si="126"/>
        <v>1.6472399999999998E-12</v>
      </c>
      <c r="BH72" s="49">
        <f t="shared" si="126"/>
        <v>1.1766000000000001E-6</v>
      </c>
      <c r="BI72" s="49">
        <f t="shared" si="126"/>
        <v>0</v>
      </c>
      <c r="BJ72" s="49">
        <f t="shared" si="126"/>
        <v>0</v>
      </c>
    </row>
    <row r="73" spans="1:62" x14ac:dyDescent="0.25">
      <c r="A73" s="48" t="s">
        <v>1097</v>
      </c>
      <c r="B73" s="45">
        <v>1</v>
      </c>
      <c r="C73" s="60">
        <f>IFERROR(C7/$B59,0)</f>
        <v>7571.6562619490196</v>
      </c>
      <c r="D73" s="60">
        <f>IFERROR(D7/$B59,0)</f>
        <v>3734334.171595701</v>
      </c>
      <c r="E73" s="60">
        <f>IFERROR(E7/$B59,0)</f>
        <v>182539.38926211183</v>
      </c>
      <c r="F73" s="63">
        <f t="shared" si="111"/>
        <v>7255.9696753668986</v>
      </c>
      <c r="G73" s="71">
        <f>IFERROR(s_RadSpec!$D$7*G7,".")*$B$73</f>
        <v>6.6035750000000001E-10</v>
      </c>
      <c r="H73" s="71">
        <f>IFERROR(s_RadSpec!$G$7*$H$7,".")*B73</f>
        <v>1.3389267725505863E-12</v>
      </c>
      <c r="I73" s="71">
        <f>IFERROR(s_RadSpec!$F$7*$I$7,".")*B73</f>
        <v>2.7391348356164392E-11</v>
      </c>
      <c r="J73" s="49">
        <f t="shared" si="112"/>
        <v>6.6035750000000001E-10</v>
      </c>
      <c r="K73" s="49">
        <f t="shared" si="113"/>
        <v>1.3389267725505863E-12</v>
      </c>
      <c r="L73" s="49">
        <f t="shared" si="114"/>
        <v>2.7391348356164392E-11</v>
      </c>
      <c r="M73" s="49">
        <f t="shared" si="115"/>
        <v>6.8908777512871505E-10</v>
      </c>
      <c r="N73" s="60">
        <f>IFERROR(N7/$B59,0)</f>
        <v>182539.38926211183</v>
      </c>
      <c r="O73" s="60">
        <f>IFERROR(O7/$B59,0)</f>
        <v>841783.91024743556</v>
      </c>
      <c r="P73" s="60">
        <f>IFERROR(P7/$B59,0)</f>
        <v>286492.04085549054</v>
      </c>
      <c r="Q73" s="60">
        <f>IFERROR(Q7/$B59,0)</f>
        <v>201668.97778547814</v>
      </c>
      <c r="R73" s="60">
        <f>IFERROR(R7/$B59,0)</f>
        <v>285180.97075697954</v>
      </c>
      <c r="S73" s="71">
        <f>IFERROR(s_RadSpec!$F$7*S7,".")*$B$73</f>
        <v>2.7391348356164392E-11</v>
      </c>
      <c r="T73" s="71">
        <f>IFERROR(s_RadSpec!$M$7*T7,".")*$B$73</f>
        <v>5.9397666540457973E-12</v>
      </c>
      <c r="U73" s="71">
        <f>IFERROR(s_RadSpec!$N$7*U7,".")*$B$73</f>
        <v>1.7452491821656046E-11</v>
      </c>
      <c r="V73" s="71">
        <f>IFERROR(s_RadSpec!$O$7*V7,".")*$B$73</f>
        <v>2.4793104298464101E-11</v>
      </c>
      <c r="W73" s="71">
        <f>IFERROR(s_RadSpec!$K$7*W7,".")*$B$73</f>
        <v>1.7532726628737134E-11</v>
      </c>
      <c r="X73" s="49">
        <f t="shared" si="116"/>
        <v>2.7391348356164392E-11</v>
      </c>
      <c r="Y73" s="49">
        <f t="shared" si="116"/>
        <v>5.9397666540457973E-12</v>
      </c>
      <c r="Z73" s="49">
        <f t="shared" si="116"/>
        <v>1.7452491821656046E-11</v>
      </c>
      <c r="AA73" s="49">
        <f t="shared" si="116"/>
        <v>2.4793104298464101E-11</v>
      </c>
      <c r="AB73" s="49">
        <f t="shared" si="116"/>
        <v>1.7532726628737134E-11</v>
      </c>
      <c r="AC73" s="60">
        <f>IFERROR(AC7/$B59,0)</f>
        <v>12.053865712402297</v>
      </c>
      <c r="AD73" s="60">
        <f>IFERROR(AD7/$B59,0)</f>
        <v>1656152.0747622075</v>
      </c>
      <c r="AE73" s="60">
        <f t="shared" si="117"/>
        <v>12.053777982161012</v>
      </c>
      <c r="AF73" s="71">
        <f>IFERROR(s_RadSpec!$G$7*AF7,".")*$B$73</f>
        <v>4.1480468749999999E-7</v>
      </c>
      <c r="AG73" s="71">
        <f>IFERROR(s_RadSpec!$J$7*AG7,".")*$B$73</f>
        <v>3.019046424657534E-12</v>
      </c>
      <c r="AH73" s="49">
        <f t="shared" si="118"/>
        <v>4.1480468749999999E-7</v>
      </c>
      <c r="AI73" s="49">
        <f t="shared" si="118"/>
        <v>3.019046424657534E-12</v>
      </c>
      <c r="AJ73" s="49">
        <f t="shared" si="119"/>
        <v>4.1480770654642464E-7</v>
      </c>
      <c r="AK73" s="60">
        <f>IFERROR(AK7/$B59,0)</f>
        <v>56.072670180553999</v>
      </c>
      <c r="AL73" s="60">
        <f>IFERROR(AL7/$B59,0)</f>
        <v>2799391380.1017914</v>
      </c>
      <c r="AM73" s="63">
        <f t="shared" si="120"/>
        <v>56.0726690574012</v>
      </c>
      <c r="AN73" s="71">
        <f>IFERROR(s_RadSpec!$H$7*AN7,".")*$B$73</f>
        <v>8.9169999999999997E-8</v>
      </c>
      <c r="AO73" s="71">
        <f>IFERROR(s_RadSpec!$L$7*AO7,".")*$B$73</f>
        <v>1.7861025205479451E-15</v>
      </c>
      <c r="AP73" s="49">
        <f t="shared" si="121"/>
        <v>8.9169999999999997E-8</v>
      </c>
      <c r="AQ73" s="49">
        <f t="shared" si="122"/>
        <v>1.7861025205479451E-15</v>
      </c>
      <c r="AR73" s="49">
        <f t="shared" si="123"/>
        <v>8.917000178610252E-8</v>
      </c>
      <c r="AS73" s="63">
        <f t="shared" ref="AS73:AX73" si="135">IFERROR(AS7/$B59,0)</f>
        <v>383.90663390663389</v>
      </c>
      <c r="AT73" s="63">
        <f t="shared" si="135"/>
        <v>15996.109746109745</v>
      </c>
      <c r="AU73" s="63">
        <f t="shared" si="135"/>
        <v>95976658.476658478</v>
      </c>
      <c r="AV73" s="63">
        <f t="shared" si="135"/>
        <v>383.90663390663389</v>
      </c>
      <c r="AW73" s="63">
        <f t="shared" si="135"/>
        <v>0</v>
      </c>
      <c r="AX73" s="63">
        <f t="shared" si="135"/>
        <v>0</v>
      </c>
      <c r="AY73" s="71">
        <f>IFERROR(s_RadSpec!$E$7*AY7,".")*$B$73</f>
        <v>1.3024E-8</v>
      </c>
      <c r="AZ73" s="71">
        <f>IFERROR(s_RadSpec!$E$7*AZ7,".")*$B$73</f>
        <v>3.1257599999999999E-10</v>
      </c>
      <c r="BA73" s="71">
        <f>IFERROR(s_RadSpec!$E$7*BA7,".")*$B$73</f>
        <v>5.2096000000000001E-14</v>
      </c>
      <c r="BB73" s="71">
        <f>IFERROR(s_RadSpec!$E$7*BB7,".")*$B$73</f>
        <v>1.3024E-8</v>
      </c>
      <c r="BC73" s="71">
        <f>IFERROR(s_RadSpec!$E$7*BC7,".")*$B$73</f>
        <v>0</v>
      </c>
      <c r="BD73" s="71">
        <f>IFERROR(s_RadSpec!$E$7*BD7,".")*$B$73</f>
        <v>0</v>
      </c>
      <c r="BE73" s="49">
        <f t="shared" si="125"/>
        <v>1.3024E-8</v>
      </c>
      <c r="BF73" s="49">
        <f t="shared" si="126"/>
        <v>3.1257599999999999E-10</v>
      </c>
      <c r="BG73" s="49">
        <f t="shared" si="126"/>
        <v>5.2096000000000001E-14</v>
      </c>
      <c r="BH73" s="49">
        <f t="shared" si="126"/>
        <v>1.3024E-8</v>
      </c>
      <c r="BI73" s="49">
        <f t="shared" si="126"/>
        <v>0</v>
      </c>
      <c r="BJ73" s="49">
        <f t="shared" si="126"/>
        <v>0</v>
      </c>
    </row>
    <row r="74" spans="1:62" x14ac:dyDescent="0.25">
      <c r="A74" s="48" t="s">
        <v>1098</v>
      </c>
      <c r="B74" s="45">
        <v>1.9000000000000001E-8</v>
      </c>
      <c r="C74" s="60">
        <f>IFERROR(C12/$B60,0)</f>
        <v>0</v>
      </c>
      <c r="D74" s="60">
        <f>IFERROR(D12/$B60,0)</f>
        <v>0</v>
      </c>
      <c r="E74" s="60">
        <f>IFERROR(E12/$B60,0)</f>
        <v>42685786517.689896</v>
      </c>
      <c r="F74" s="63">
        <f t="shared" si="111"/>
        <v>42685786517.689896</v>
      </c>
      <c r="G74" s="71">
        <f>IFERROR(s_RadSpec!$D$12*G12,".")*$B$74</f>
        <v>0</v>
      </c>
      <c r="H74" s="71">
        <f>IFERROR(s_RadSpec!$G$12*$H$12,".")*B74</f>
        <v>0</v>
      </c>
      <c r="I74" s="71">
        <f>IFERROR(s_RadSpec!$F$12*$I$12,".")*B74</f>
        <v>1.1713500928295874E-16</v>
      </c>
      <c r="J74" s="49">
        <f t="shared" si="112"/>
        <v>0</v>
      </c>
      <c r="K74" s="49">
        <f t="shared" si="113"/>
        <v>0</v>
      </c>
      <c r="L74" s="49">
        <f t="shared" si="114"/>
        <v>1.1713500928295874E-16</v>
      </c>
      <c r="M74" s="49">
        <f t="shared" si="115"/>
        <v>1.1713500928295874E-16</v>
      </c>
      <c r="N74" s="60">
        <f>IFERROR(N12/$B60,0)</f>
        <v>42685786517.689896</v>
      </c>
      <c r="O74" s="60">
        <f>IFERROR(O12/$B60,0)</f>
        <v>336995642406.28101</v>
      </c>
      <c r="P74" s="60">
        <f>IFERROR(P12/$B60,0)</f>
        <v>87608907067.107285</v>
      </c>
      <c r="Q74" s="60">
        <f>IFERROR(Q12/$B60,0)</f>
        <v>52460258220.427177</v>
      </c>
      <c r="R74" s="60">
        <f>IFERROR(R12/$B60,0)</f>
        <v>571890864309.82019</v>
      </c>
      <c r="S74" s="71">
        <f>IFERROR(s_RadSpec!$F$12*S12,".")*$B$74</f>
        <v>1.1713500928295874E-16</v>
      </c>
      <c r="T74" s="71">
        <f>IFERROR(s_RadSpec!$M$12*T12,".")*$B$74</f>
        <v>1.4836987102557289E-17</v>
      </c>
      <c r="U74" s="71">
        <f>IFERROR(s_RadSpec!$N$12*U12,".")*$B$74</f>
        <v>5.707182257358905E-17</v>
      </c>
      <c r="V74" s="71">
        <f>IFERROR(s_RadSpec!$O$12*V12,".")*$B$74</f>
        <v>9.5310243784752831E-17</v>
      </c>
      <c r="W74" s="71">
        <f>IFERROR(s_RadSpec!$K$12*W12,".")*$B$74</f>
        <v>8.7429268625128169E-18</v>
      </c>
      <c r="X74" s="49">
        <f t="shared" si="116"/>
        <v>1.1713500928295874E-16</v>
      </c>
      <c r="Y74" s="49">
        <f t="shared" si="116"/>
        <v>1.4836987102557289E-17</v>
      </c>
      <c r="Z74" s="49">
        <f t="shared" si="116"/>
        <v>5.707182257358905E-17</v>
      </c>
      <c r="AA74" s="49">
        <f t="shared" si="116"/>
        <v>9.5310243784752831E-17</v>
      </c>
      <c r="AB74" s="49">
        <f t="shared" si="116"/>
        <v>8.7429268625128169E-18</v>
      </c>
      <c r="AC74" s="60">
        <f>IFERROR(AC12/$B60,0)</f>
        <v>0</v>
      </c>
      <c r="AD74" s="60">
        <f>IFERROR(AD12/$B60,0)</f>
        <v>929085931724.18591</v>
      </c>
      <c r="AE74" s="60">
        <f t="shared" si="117"/>
        <v>929085931724.18604</v>
      </c>
      <c r="AF74" s="71">
        <f>IFERROR(s_RadSpec!$G$12*AF12,".")*$B$74</f>
        <v>0</v>
      </c>
      <c r="AG74" s="71">
        <f>IFERROR(s_RadSpec!$J$12*AG12,".")*$B$74</f>
        <v>5.3816335273972592E-18</v>
      </c>
      <c r="AH74" s="49">
        <f t="shared" si="118"/>
        <v>0</v>
      </c>
      <c r="AI74" s="49">
        <f t="shared" si="118"/>
        <v>5.3816335273972592E-18</v>
      </c>
      <c r="AJ74" s="49">
        <f t="shared" si="119"/>
        <v>5.3816335273972592E-18</v>
      </c>
      <c r="AK74" s="60">
        <f>IFERROR(AK12/$B60,0)</f>
        <v>0</v>
      </c>
      <c r="AL74" s="60">
        <f>IFERROR(AL12/$B60,0)</f>
        <v>1067193299953456.8</v>
      </c>
      <c r="AM74" s="63">
        <f t="shared" si="120"/>
        <v>1067193299953456.8</v>
      </c>
      <c r="AN74" s="71">
        <f>IFERROR(s_RadSpec!$H$12*AN12,".")*$B$74</f>
        <v>0</v>
      </c>
      <c r="AO74" s="71">
        <f>IFERROR(s_RadSpec!$L$12*AO12,".")*$B$74</f>
        <v>4.6851868356164388E-21</v>
      </c>
      <c r="AP74" s="49">
        <f t="shared" si="121"/>
        <v>0</v>
      </c>
      <c r="AQ74" s="49">
        <f t="shared" si="122"/>
        <v>4.6851868356164388E-21</v>
      </c>
      <c r="AR74" s="49">
        <f t="shared" si="123"/>
        <v>4.6851868356164388E-21</v>
      </c>
      <c r="AS74" s="63">
        <f t="shared" ref="AS74:AX74" si="136">IFERROR(AS12/$B60,0)</f>
        <v>0</v>
      </c>
      <c r="AT74" s="63">
        <f t="shared" si="136"/>
        <v>0</v>
      </c>
      <c r="AU74" s="63">
        <f t="shared" si="136"/>
        <v>0</v>
      </c>
      <c r="AV74" s="63">
        <f t="shared" si="136"/>
        <v>0</v>
      </c>
      <c r="AW74" s="63">
        <f t="shared" si="136"/>
        <v>0</v>
      </c>
      <c r="AX74" s="63">
        <f t="shared" si="136"/>
        <v>0</v>
      </c>
      <c r="AY74" s="71">
        <f>IFERROR(s_RadSpec!$E$12*AY12,".")*$B$74</f>
        <v>0</v>
      </c>
      <c r="AZ74" s="71">
        <f>IFERROR(s_RadSpec!$E$12*AZ12,".")*$B$74</f>
        <v>0</v>
      </c>
      <c r="BA74" s="71">
        <f>IFERROR(s_RadSpec!$E$12*BA12,".")*$B$74</f>
        <v>0</v>
      </c>
      <c r="BB74" s="71">
        <f>IFERROR(s_RadSpec!$E$12*BB12,".")*$B$74</f>
        <v>0</v>
      </c>
      <c r="BC74" s="71">
        <f>IFERROR(s_RadSpec!$E$12*BC12,".")*$B$74</f>
        <v>0</v>
      </c>
      <c r="BD74" s="71">
        <f>IFERROR(s_RadSpec!$E$12*BD12,".")*$B$74</f>
        <v>0</v>
      </c>
      <c r="BE74" s="49">
        <f t="shared" si="125"/>
        <v>0</v>
      </c>
      <c r="BF74" s="49">
        <f t="shared" si="126"/>
        <v>0</v>
      </c>
      <c r="BG74" s="49">
        <f t="shared" si="126"/>
        <v>0</v>
      </c>
      <c r="BH74" s="49">
        <f t="shared" si="126"/>
        <v>0</v>
      </c>
      <c r="BI74" s="49">
        <f t="shared" si="126"/>
        <v>0</v>
      </c>
      <c r="BJ74" s="49">
        <f t="shared" si="126"/>
        <v>0</v>
      </c>
    </row>
    <row r="75" spans="1:62" x14ac:dyDescent="0.25">
      <c r="A75" s="48" t="s">
        <v>1099</v>
      </c>
      <c r="B75" s="45">
        <v>1</v>
      </c>
      <c r="C75" s="60">
        <f>IFERROR(C18/$B61,0)</f>
        <v>55.525479254292819</v>
      </c>
      <c r="D75" s="60">
        <f>IFERROR(D18/$B61,0)</f>
        <v>117174.26099649776</v>
      </c>
      <c r="E75" s="60">
        <f>IFERROR(E18/$B61,0)</f>
        <v>4371036.4041738901</v>
      </c>
      <c r="F75" s="63">
        <f t="shared" si="111"/>
        <v>55.498475139020705</v>
      </c>
      <c r="G75" s="71">
        <f>IFERROR(s_RadSpec!$D$18*G18,".")*$B$75</f>
        <v>9.0048749999999994E-8</v>
      </c>
      <c r="H75" s="71">
        <f>IFERROR(s_RadSpec!$G$18*$H$18,".")*B75</f>
        <v>4.267148738535202E-11</v>
      </c>
      <c r="I75" s="71">
        <f>IFERROR(s_RadSpec!$F$18*$I$18,".")*B75</f>
        <v>1.1438934700304744E-12</v>
      </c>
      <c r="J75" s="49">
        <f t="shared" si="112"/>
        <v>9.0048749999999994E-8</v>
      </c>
      <c r="K75" s="49">
        <f t="shared" si="113"/>
        <v>4.267148738535202E-11</v>
      </c>
      <c r="L75" s="49">
        <f t="shared" si="114"/>
        <v>1.1438934700304744E-12</v>
      </c>
      <c r="M75" s="49">
        <f t="shared" si="115"/>
        <v>9.009256538085539E-8</v>
      </c>
      <c r="N75" s="60">
        <f>IFERROR(N18/$B61,0)</f>
        <v>4371036.4041738901</v>
      </c>
      <c r="O75" s="60">
        <f>IFERROR(O18/$B61,0)</f>
        <v>43561048.251042835</v>
      </c>
      <c r="P75" s="60">
        <f>IFERROR(P18/$B61,0)</f>
        <v>10744255.016255267</v>
      </c>
      <c r="Q75" s="60">
        <f>IFERROR(Q18/$B61,0)</f>
        <v>5713963.7431073114</v>
      </c>
      <c r="R75" s="60">
        <f>IFERROR(R18/$B61,0)</f>
        <v>76172735.333280876</v>
      </c>
      <c r="S75" s="71">
        <f>IFERROR(s_RadSpec!$F$18*S18,".")*$B$75</f>
        <v>1.1438934700304744E-12</v>
      </c>
      <c r="T75" s="71">
        <f>IFERROR(s_RadSpec!$M$18*T18,".")*$B$75</f>
        <v>1.1478144353149956E-13</v>
      </c>
      <c r="U75" s="71">
        <f>IFERROR(s_RadSpec!$N$18*U18,".")*$B$75</f>
        <v>4.6536497806831359E-13</v>
      </c>
      <c r="V75" s="71">
        <f>IFERROR(s_RadSpec!$O$18*V18,".")*$B$75</f>
        <v>8.7504930461475924E-13</v>
      </c>
      <c r="W75" s="71">
        <f>IFERROR(s_RadSpec!$K$18*W18,".")*$B$75</f>
        <v>6.5640284258184352E-14</v>
      </c>
      <c r="X75" s="49">
        <f t="shared" si="116"/>
        <v>1.1438934700304744E-12</v>
      </c>
      <c r="Y75" s="49">
        <f t="shared" si="116"/>
        <v>1.1478144353149956E-13</v>
      </c>
      <c r="Z75" s="49">
        <f t="shared" si="116"/>
        <v>4.6536497806831359E-13</v>
      </c>
      <c r="AA75" s="49">
        <f t="shared" si="116"/>
        <v>8.7504930461475924E-13</v>
      </c>
      <c r="AB75" s="49">
        <f t="shared" si="116"/>
        <v>6.5640284258184352E-14</v>
      </c>
      <c r="AC75" s="60">
        <f>IFERROR(AC18/$B61,0)</f>
        <v>0.37822078638405171</v>
      </c>
      <c r="AD75" s="60">
        <f>IFERROR(AD18/$B61,0)</f>
        <v>209563377.05789945</v>
      </c>
      <c r="AE75" s="60">
        <f t="shared" si="117"/>
        <v>0.37822078570143736</v>
      </c>
      <c r="AF75" s="71">
        <f>IFERROR(s_RadSpec!$G$18*AF18,".")*$B$75</f>
        <v>1.3219791666666667E-5</v>
      </c>
      <c r="AG75" s="71">
        <f>IFERROR(s_RadSpec!$J$18*AG18,".")*$B$75</f>
        <v>2.3859130684931505E-14</v>
      </c>
      <c r="AH75" s="49">
        <f t="shared" si="118"/>
        <v>1.3219791666666667E-5</v>
      </c>
      <c r="AI75" s="49">
        <f t="shared" si="118"/>
        <v>2.3859130684931505E-14</v>
      </c>
      <c r="AJ75" s="49">
        <f t="shared" si="119"/>
        <v>1.3219791690525798E-5</v>
      </c>
      <c r="AK75" s="60">
        <f>IFERROR(AK18/$B61,0)</f>
        <v>0.28153153153153154</v>
      </c>
      <c r="AL75" s="60">
        <f>IFERROR(AL18/$B61,0)</f>
        <v>241388960703.75806</v>
      </c>
      <c r="AM75" s="63">
        <f t="shared" si="120"/>
        <v>0.28153153153120314</v>
      </c>
      <c r="AN75" s="71">
        <f>IFERROR(s_RadSpec!$H$18*AN18,".")*$B$75</f>
        <v>1.7759999999999999E-5</v>
      </c>
      <c r="AO75" s="71">
        <f>IFERROR(s_RadSpec!$L$18*AO18,".")*$B$75</f>
        <v>2.0713457589041095E-17</v>
      </c>
      <c r="AP75" s="49">
        <f t="shared" si="121"/>
        <v>1.7759999999999999E-5</v>
      </c>
      <c r="AQ75" s="49">
        <f t="shared" si="122"/>
        <v>2.0713457589041095E-17</v>
      </c>
      <c r="AR75" s="49">
        <f t="shared" si="123"/>
        <v>1.7760000000020714E-5</v>
      </c>
      <c r="AS75" s="63">
        <f t="shared" ref="AS75:AX75" si="137">IFERROR(AS18/$B61,0)</f>
        <v>2.2189677362091151</v>
      </c>
      <c r="AT75" s="63">
        <f t="shared" si="137"/>
        <v>55.458894399876179</v>
      </c>
      <c r="AU75" s="63">
        <f t="shared" si="137"/>
        <v>221896.7736209115</v>
      </c>
      <c r="AV75" s="63">
        <f t="shared" si="137"/>
        <v>2.2189677362091151</v>
      </c>
      <c r="AW75" s="63">
        <f t="shared" si="137"/>
        <v>0.11553936333307539</v>
      </c>
      <c r="AX75" s="63">
        <f t="shared" si="137"/>
        <v>462.2849450435657</v>
      </c>
      <c r="AY75" s="71">
        <f>IFERROR(s_RadSpec!$E$18*AY18,".")*$B$75</f>
        <v>2.2533000000000001E-6</v>
      </c>
      <c r="AZ75" s="71">
        <f>IFERROR(s_RadSpec!$E$18*AZ18,".")*$B$75</f>
        <v>9.0156864000000014E-8</v>
      </c>
      <c r="BA75" s="71">
        <f>IFERROR(s_RadSpec!$E$18*BA18,".")*$B$75</f>
        <v>2.2533000000000002E-11</v>
      </c>
      <c r="BB75" s="71">
        <f>IFERROR(s_RadSpec!$E$18*BB18,".")*$B$75</f>
        <v>2.2533000000000001E-6</v>
      </c>
      <c r="BC75" s="71">
        <f>IFERROR(s_RadSpec!$E$18*BC18,".")*$B$75</f>
        <v>4.3275294720000007E-5</v>
      </c>
      <c r="BD75" s="71">
        <f>IFERROR(s_RadSpec!$E$18*BD18,".")*$B$75</f>
        <v>1.0815839999999999E-8</v>
      </c>
      <c r="BE75" s="49">
        <f t="shared" si="125"/>
        <v>2.2533000000000001E-6</v>
      </c>
      <c r="BF75" s="49">
        <f t="shared" si="126"/>
        <v>9.0156864000000014E-8</v>
      </c>
      <c r="BG75" s="49">
        <f t="shared" si="126"/>
        <v>2.2533000000000002E-11</v>
      </c>
      <c r="BH75" s="49">
        <f t="shared" si="126"/>
        <v>2.2533000000000001E-6</v>
      </c>
      <c r="BI75" s="49">
        <f t="shared" si="126"/>
        <v>4.3275294720000007E-5</v>
      </c>
      <c r="BJ75" s="49">
        <f t="shared" si="126"/>
        <v>1.0815839999999999E-8</v>
      </c>
    </row>
    <row r="76" spans="1:62" x14ac:dyDescent="0.25">
      <c r="A76" s="48" t="s">
        <v>1100</v>
      </c>
      <c r="B76" s="45">
        <v>1.339E-6</v>
      </c>
      <c r="C76" s="60">
        <f>IFERROR(C27/$B62,0)</f>
        <v>0</v>
      </c>
      <c r="D76" s="60">
        <f>IFERROR(D27/$B62,0)</f>
        <v>0</v>
      </c>
      <c r="E76" s="60">
        <f>IFERROR(E27/$B62,0)</f>
        <v>39539371105.095078</v>
      </c>
      <c r="F76" s="63">
        <f t="shared" si="111"/>
        <v>39539371105.095078</v>
      </c>
      <c r="G76" s="71">
        <f>IFERROR(s_RadSpec!$D$27*G27,".")*$B$76</f>
        <v>0</v>
      </c>
      <c r="H76" s="71">
        <f>IFERROR(s_RadSpec!$G$27*$H$27,".")*B76</f>
        <v>0</v>
      </c>
      <c r="I76" s="71">
        <f>IFERROR(s_RadSpec!$F$27*$I$27,".")*B76</f>
        <v>1.2645623489331867E-16</v>
      </c>
      <c r="J76" s="49">
        <f t="shared" si="112"/>
        <v>0</v>
      </c>
      <c r="K76" s="49">
        <f t="shared" si="113"/>
        <v>0</v>
      </c>
      <c r="L76" s="49">
        <f t="shared" si="114"/>
        <v>1.2645623489331867E-16</v>
      </c>
      <c r="M76" s="49">
        <f t="shared" si="115"/>
        <v>1.2645623489331867E-16</v>
      </c>
      <c r="N76" s="60">
        <f>IFERROR(N27/$B62,0)</f>
        <v>39539371105.095078</v>
      </c>
      <c r="O76" s="60">
        <f>IFERROR(O27/$B62,0)</f>
        <v>345369999984.93762</v>
      </c>
      <c r="P76" s="60">
        <f>IFERROR(P27/$B62,0)</f>
        <v>99588532388.797089</v>
      </c>
      <c r="Q76" s="60">
        <f>IFERROR(Q27/$B62,0)</f>
        <v>54493855464.768463</v>
      </c>
      <c r="R76" s="60">
        <f>IFERROR(R27/$B62,0)</f>
        <v>261394122616.366</v>
      </c>
      <c r="S76" s="71">
        <f>IFERROR(s_RadSpec!$F$27*S27,".")*$B$76</f>
        <v>1.2645623489331867E-16</v>
      </c>
      <c r="T76" s="71">
        <f>IFERROR(s_RadSpec!$M$27*T27,".")*$B$76</f>
        <v>1.4477227322054784E-17</v>
      </c>
      <c r="U76" s="71">
        <f>IFERROR(s_RadSpec!$N$27*U27,".")*$B$76</f>
        <v>5.0206583831156641E-17</v>
      </c>
      <c r="V76" s="71">
        <f>IFERROR(s_RadSpec!$O$27*V27,".")*$B$76</f>
        <v>9.1753463897092328E-17</v>
      </c>
      <c r="W76" s="71">
        <f>IFERROR(s_RadSpec!$K$27*W27,".")*$B$76</f>
        <v>1.9128203610523518E-17</v>
      </c>
      <c r="X76" s="49">
        <f t="shared" si="116"/>
        <v>1.2645623489331867E-16</v>
      </c>
      <c r="Y76" s="49">
        <f t="shared" si="116"/>
        <v>1.4477227322054784E-17</v>
      </c>
      <c r="Z76" s="49">
        <f t="shared" si="116"/>
        <v>5.0206583831156641E-17</v>
      </c>
      <c r="AA76" s="49">
        <f t="shared" si="116"/>
        <v>9.1753463897092328E-17</v>
      </c>
      <c r="AB76" s="49">
        <f t="shared" si="116"/>
        <v>1.9128203610523518E-17</v>
      </c>
      <c r="AC76" s="60">
        <f>IFERROR(AC27/$B62,0)</f>
        <v>0</v>
      </c>
      <c r="AD76" s="60">
        <f>IFERROR(AD27/$B62,0)</f>
        <v>696020382196.11377</v>
      </c>
      <c r="AE76" s="60">
        <f t="shared" si="117"/>
        <v>696020382196.11377</v>
      </c>
      <c r="AF76" s="71">
        <f>IFERROR(s_RadSpec!$G$27*AF27,".")*$B$76</f>
        <v>0</v>
      </c>
      <c r="AG76" s="71">
        <f>IFERROR(s_RadSpec!$J$27*AG27,".")*$B$76</f>
        <v>7.1836976730821903E-18</v>
      </c>
      <c r="AH76" s="49">
        <f t="shared" si="118"/>
        <v>0</v>
      </c>
      <c r="AI76" s="49">
        <f t="shared" si="118"/>
        <v>7.1836976730821903E-18</v>
      </c>
      <c r="AJ76" s="49">
        <f t="shared" si="119"/>
        <v>7.1836976730821903E-18</v>
      </c>
      <c r="AK76" s="60">
        <f>IFERROR(AK27/$B62,0)</f>
        <v>0</v>
      </c>
      <c r="AL76" s="60">
        <f>IFERROR(AL27/$B62,0)</f>
        <v>1111699221563237.3</v>
      </c>
      <c r="AM76" s="63">
        <f t="shared" si="120"/>
        <v>1111699221563237.3</v>
      </c>
      <c r="AN76" s="71">
        <f>IFERROR(s_RadSpec!$H$27*AN27,".")*$B$76</f>
        <v>0</v>
      </c>
      <c r="AO76" s="71">
        <f>IFERROR(s_RadSpec!$L$27*AO27,".")*$B$76</f>
        <v>4.4976194127123279E-21</v>
      </c>
      <c r="AP76" s="49">
        <f t="shared" si="121"/>
        <v>0</v>
      </c>
      <c r="AQ76" s="49">
        <f t="shared" si="122"/>
        <v>4.4976194127123279E-21</v>
      </c>
      <c r="AR76" s="49">
        <f t="shared" si="123"/>
        <v>4.4976194127123279E-21</v>
      </c>
      <c r="AS76" s="63">
        <f t="shared" ref="AS76:AX76" si="138">IFERROR(AS27/$B62,0)</f>
        <v>0</v>
      </c>
      <c r="AT76" s="63">
        <f t="shared" si="138"/>
        <v>0</v>
      </c>
      <c r="AU76" s="63">
        <f t="shared" si="138"/>
        <v>0</v>
      </c>
      <c r="AV76" s="63">
        <f t="shared" si="138"/>
        <v>0</v>
      </c>
      <c r="AW76" s="63">
        <f t="shared" si="138"/>
        <v>0</v>
      </c>
      <c r="AX76" s="63">
        <f t="shared" si="138"/>
        <v>0</v>
      </c>
      <c r="AY76" s="71">
        <f>IFERROR(s_RadSpec!$E$27*AY27,".")*$B$76</f>
        <v>0</v>
      </c>
      <c r="AZ76" s="71">
        <f>IFERROR(s_RadSpec!$E$27*AZ27,".")*$B$76</f>
        <v>0</v>
      </c>
      <c r="BA76" s="71">
        <f>IFERROR(s_RadSpec!$E$27*BA27,".")*$B$76</f>
        <v>0</v>
      </c>
      <c r="BB76" s="71">
        <f>IFERROR(s_RadSpec!$E$27*BB27,".")*$B$76</f>
        <v>0</v>
      </c>
      <c r="BC76" s="71">
        <f>IFERROR(s_RadSpec!$E$27*BC27,".")*$B$76</f>
        <v>0</v>
      </c>
      <c r="BD76" s="71">
        <f>IFERROR(s_RadSpec!$E$27*BD27,".")*$B$76</f>
        <v>0</v>
      </c>
      <c r="BE76" s="49">
        <f t="shared" si="125"/>
        <v>0</v>
      </c>
      <c r="BF76" s="49">
        <f t="shared" si="126"/>
        <v>0</v>
      </c>
      <c r="BG76" s="49">
        <f t="shared" si="126"/>
        <v>0</v>
      </c>
      <c r="BH76" s="49">
        <f t="shared" si="126"/>
        <v>0</v>
      </c>
      <c r="BI76" s="49">
        <f t="shared" si="126"/>
        <v>0</v>
      </c>
      <c r="BJ76" s="49">
        <f t="shared" si="126"/>
        <v>0</v>
      </c>
    </row>
  </sheetData>
  <sheetProtection algorithmName="SHA-512" hashValue="eJBD4oocOYpCAIgz27xXqmU1fzQltdvBxiK2942Aon8Eqjn/AgYHD3whZBriLQ7jcpvvgWeVnuE2cC8mz8swRQ==" saltValue="2lwicubrO+cl6hBQ6CDaFg==" spinCount="100000" sheet="1" objects="1" scenarios="1" formatColumns="0" formatRows="0" autoFilter="0"/>
  <autoFilter ref="A1:BJ76" xr:uid="{00000000-0009-0000-0000-000016000000}"/>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theme="9" tint="-0.499984740745262"/>
  </sheetPr>
  <dimension ref="A1:F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RowHeight="15" x14ac:dyDescent="0.25"/>
  <cols>
    <col min="1" max="1" width="14.5703125" style="4" bestFit="1" customWidth="1"/>
    <col min="2" max="2" width="11.7109375" style="4" bestFit="1" customWidth="1"/>
    <col min="3" max="4" width="16.28515625" bestFit="1" customWidth="1"/>
    <col min="5" max="5" width="13.85546875" bestFit="1" customWidth="1"/>
    <col min="6" max="6" width="13.7109375" bestFit="1" customWidth="1"/>
  </cols>
  <sheetData>
    <row r="1" spans="1:6" x14ac:dyDescent="0.25">
      <c r="A1" s="78" t="s">
        <v>51</v>
      </c>
      <c r="B1" s="79" t="s">
        <v>350</v>
      </c>
      <c r="C1" s="112" t="s">
        <v>1391</v>
      </c>
      <c r="D1" s="112" t="s">
        <v>1392</v>
      </c>
      <c r="E1" s="112" t="s">
        <v>1393</v>
      </c>
      <c r="F1" s="112" t="s">
        <v>1394</v>
      </c>
    </row>
    <row r="2" spans="1:6" x14ac:dyDescent="0.25">
      <c r="A2" s="44" t="s">
        <v>12</v>
      </c>
      <c r="B2" s="42" t="s">
        <v>1074</v>
      </c>
      <c r="C2" s="123">
        <f>IF(s_RadSpec!AV2*s_DAF=0,".",s_RadSpec!AV2*s_DAF)</f>
        <v>109.22353435187127</v>
      </c>
      <c r="D2" s="123">
        <f>IFERROR(s_res!AS2*s_DAF,".")</f>
        <v>55.981317935301938</v>
      </c>
      <c r="E2" s="123">
        <f t="shared" ref="E2:E30" si="0">IFERROR((C2*s_ls2gw*s_ED_s2gw)/(s_ρb*s_d_s*1000),".")</f>
        <v>0.38228237023154943</v>
      </c>
      <c r="F2" s="123">
        <f t="shared" ref="F2:F30" si="1">IFERROR((D2*s_ls2gw*s_ED_s2gw)/(s_ρb*s_d_s*1000),".")</f>
        <v>0.19593461277355678</v>
      </c>
    </row>
    <row r="3" spans="1:6" x14ac:dyDescent="0.25">
      <c r="A3" s="46" t="s">
        <v>13</v>
      </c>
      <c r="B3" s="42" t="s">
        <v>351</v>
      </c>
      <c r="C3" s="123">
        <f>IF(s_RadSpec!AV3*s_DAF=0,".",s_RadSpec!AV3*s_DAF)</f>
        <v>109.22353435187127</v>
      </c>
      <c r="D3" s="123">
        <f>IFERROR(s_res!AS3*s_DAF,".")</f>
        <v>105.40420880197587</v>
      </c>
      <c r="E3" s="123">
        <f t="shared" si="0"/>
        <v>0.38228237023154943</v>
      </c>
      <c r="F3" s="123">
        <f t="shared" si="1"/>
        <v>0.36891473080691556</v>
      </c>
    </row>
    <row r="4" spans="1:6" x14ac:dyDescent="0.25">
      <c r="A4" s="44" t="s">
        <v>14</v>
      </c>
      <c r="B4" s="42" t="s">
        <v>1074</v>
      </c>
      <c r="C4" s="123">
        <f>IF(s_RadSpec!AV4*s_DAF=0,".",s_RadSpec!AV4*s_DAF)</f>
        <v>109.22353435187127</v>
      </c>
      <c r="D4" s="123">
        <f>IFERROR(s_res!AS4*s_DAF,".")</f>
        <v>74629803927.559143</v>
      </c>
      <c r="E4" s="123">
        <f t="shared" si="0"/>
        <v>0.38228237023154943</v>
      </c>
      <c r="F4" s="123">
        <f t="shared" si="1"/>
        <v>261204313.74645698</v>
      </c>
    </row>
    <row r="5" spans="1:6" x14ac:dyDescent="0.25">
      <c r="A5" s="44" t="s">
        <v>15</v>
      </c>
      <c r="B5" s="42" t="s">
        <v>1074</v>
      </c>
      <c r="C5" s="123">
        <f>IF(s_RadSpec!AV5*s_DAF=0,".",s_RadSpec!AV5*s_DAF)</f>
        <v>109.22353435187127</v>
      </c>
      <c r="D5" s="123">
        <f>IFERROR(s_res!AS5*s_DAF,".")</f>
        <v>3110991826593.0112</v>
      </c>
      <c r="E5" s="123">
        <f t="shared" si="0"/>
        <v>0.38228237023154943</v>
      </c>
      <c r="F5" s="123">
        <f t="shared" si="1"/>
        <v>10888471393.075539</v>
      </c>
    </row>
    <row r="6" spans="1:6" x14ac:dyDescent="0.25">
      <c r="A6" s="44" t="s">
        <v>16</v>
      </c>
      <c r="B6" s="42" t="s">
        <v>1074</v>
      </c>
      <c r="C6" s="123" t="str">
        <f>IF(s_RadSpec!AV6*s_DAF=0,".",s_RadSpec!AV6*s_DAF)</f>
        <v>.</v>
      </c>
      <c r="D6" s="123">
        <f>IFERROR(s_res!AS6*s_DAF,".")</f>
        <v>29182166.920391701</v>
      </c>
      <c r="E6" s="123" t="str">
        <f t="shared" si="0"/>
        <v>.</v>
      </c>
      <c r="F6" s="123">
        <f t="shared" si="1"/>
        <v>102137.58422137095</v>
      </c>
    </row>
    <row r="7" spans="1:6" x14ac:dyDescent="0.25">
      <c r="A7" s="44" t="s">
        <v>17</v>
      </c>
      <c r="B7" s="42" t="s">
        <v>1074</v>
      </c>
      <c r="C7" s="123">
        <f>IF(s_RadSpec!AV7*s_DAF=0,".",s_RadSpec!AV7*s_DAF)</f>
        <v>109.22353435187127</v>
      </c>
      <c r="D7" s="123">
        <f>IFERROR(s_res!AS7*s_DAF,".")</f>
        <v>810.78406913802996</v>
      </c>
      <c r="E7" s="123">
        <f t="shared" si="0"/>
        <v>0.38228237023154943</v>
      </c>
      <c r="F7" s="123">
        <f t="shared" si="1"/>
        <v>2.8377442419831049</v>
      </c>
    </row>
    <row r="8" spans="1:6" x14ac:dyDescent="0.25">
      <c r="A8" s="44" t="s">
        <v>18</v>
      </c>
      <c r="B8" s="42" t="s">
        <v>1074</v>
      </c>
      <c r="C8" s="123">
        <f>IF(s_RadSpec!AV8*s_DAF=0,".",s_RadSpec!AV8*s_DAF)</f>
        <v>109.22353435187127</v>
      </c>
      <c r="D8" s="123">
        <f>IFERROR(s_res!AS8*s_DAF,".")</f>
        <v>14483.52032600609</v>
      </c>
      <c r="E8" s="123">
        <f t="shared" si="0"/>
        <v>0.38228237023154943</v>
      </c>
      <c r="F8" s="123">
        <f t="shared" si="1"/>
        <v>50.692321141021317</v>
      </c>
    </row>
    <row r="9" spans="1:6" x14ac:dyDescent="0.25">
      <c r="A9" s="44" t="s">
        <v>19</v>
      </c>
      <c r="B9" s="42" t="s">
        <v>1074</v>
      </c>
      <c r="C9" s="123">
        <f>IF(s_RadSpec!AV9*s_DAF=0,".",s_RadSpec!AV9*s_DAF)</f>
        <v>109.22353435187127</v>
      </c>
      <c r="D9" s="123">
        <f>IFERROR(s_res!AS9*s_DAF,".")</f>
        <v>38568.800826553248</v>
      </c>
      <c r="E9" s="123">
        <f t="shared" si="0"/>
        <v>0.38228237023154943</v>
      </c>
      <c r="F9" s="123">
        <f t="shared" si="1"/>
        <v>134.99080289293636</v>
      </c>
    </row>
    <row r="10" spans="1:6" x14ac:dyDescent="0.25">
      <c r="A10" s="46" t="s">
        <v>20</v>
      </c>
      <c r="B10" s="42" t="s">
        <v>351</v>
      </c>
      <c r="C10" s="123">
        <f>IF(s_RadSpec!AV10*s_DAF=0,".",s_RadSpec!AV10*s_DAF)</f>
        <v>1456.3137913582837</v>
      </c>
      <c r="D10" s="123">
        <f>IFERROR(s_res!AS10*s_DAF,".")</f>
        <v>330.93637254911579</v>
      </c>
      <c r="E10" s="123">
        <f t="shared" si="0"/>
        <v>5.0970982697539924</v>
      </c>
      <c r="F10" s="123">
        <f t="shared" si="1"/>
        <v>1.1582773039219054</v>
      </c>
    </row>
    <row r="11" spans="1:6" x14ac:dyDescent="0.25">
      <c r="A11" s="44" t="s">
        <v>21</v>
      </c>
      <c r="B11" s="42" t="s">
        <v>1074</v>
      </c>
      <c r="C11" s="123">
        <f>IF(s_RadSpec!AV11*s_DAF=0,".",s_RadSpec!AV11*s_DAF)</f>
        <v>109.22353435187127</v>
      </c>
      <c r="D11" s="123">
        <f>IFERROR(s_res!AS11*s_DAF,".")</f>
        <v>629366549.25084412</v>
      </c>
      <c r="E11" s="123">
        <f t="shared" si="0"/>
        <v>0.38228237023154943</v>
      </c>
      <c r="F11" s="123">
        <f t="shared" si="1"/>
        <v>2202782.9223779547</v>
      </c>
    </row>
    <row r="12" spans="1:6" x14ac:dyDescent="0.25">
      <c r="A12" s="44" t="s">
        <v>22</v>
      </c>
      <c r="B12" s="42" t="s">
        <v>1074</v>
      </c>
      <c r="C12" s="123" t="str">
        <f>IF(s_RadSpec!AV12*s_DAF=0,".",s_RadSpec!AV12*s_DAF)</f>
        <v>.</v>
      </c>
      <c r="D12" s="123">
        <f>IFERROR(s_res!AS12*s_DAF,".")</f>
        <v>147645990.47290078</v>
      </c>
      <c r="E12" s="123" t="str">
        <f t="shared" si="0"/>
        <v>.</v>
      </c>
      <c r="F12" s="123">
        <f t="shared" si="1"/>
        <v>516760.96665515268</v>
      </c>
    </row>
    <row r="13" spans="1:6" x14ac:dyDescent="0.25">
      <c r="A13" s="44" t="s">
        <v>23</v>
      </c>
      <c r="B13" s="42" t="s">
        <v>1074</v>
      </c>
      <c r="C13" s="123">
        <f>IF(s_RadSpec!AV13*s_DAF=0,".",s_RadSpec!AV13*s_DAF)</f>
        <v>109.22353435187127</v>
      </c>
      <c r="D13" s="123">
        <f>IFERROR(s_res!AS13*s_DAF,".")</f>
        <v>165.42551931527174</v>
      </c>
      <c r="E13" s="123">
        <f t="shared" si="0"/>
        <v>0.38228237023154943</v>
      </c>
      <c r="F13" s="123">
        <f t="shared" si="1"/>
        <v>0.57898931760345118</v>
      </c>
    </row>
    <row r="14" spans="1:6" x14ac:dyDescent="0.25">
      <c r="A14" s="44" t="s">
        <v>24</v>
      </c>
      <c r="B14" s="42" t="s">
        <v>1074</v>
      </c>
      <c r="C14" s="123">
        <f>IF(s_RadSpec!AV14*s_DAF=0,".",s_RadSpec!AV14*s_DAF)</f>
        <v>2184.4706870374253</v>
      </c>
      <c r="D14" s="123">
        <f>IFERROR(s_res!AS14*s_DAF,".")</f>
        <v>1647.8391712119897</v>
      </c>
      <c r="E14" s="123">
        <f t="shared" si="0"/>
        <v>7.6456474046309886</v>
      </c>
      <c r="F14" s="123">
        <f t="shared" si="1"/>
        <v>5.7674370992419641</v>
      </c>
    </row>
    <row r="15" spans="1:6" x14ac:dyDescent="0.25">
      <c r="A15" s="44" t="s">
        <v>25</v>
      </c>
      <c r="B15" s="42" t="s">
        <v>1074</v>
      </c>
      <c r="C15" s="123" t="str">
        <f>IF(s_RadSpec!AV15*s_DAF=0,".",s_RadSpec!AV15*s_DAF)</f>
        <v>.</v>
      </c>
      <c r="D15" s="123">
        <f>IFERROR(s_res!AS15*s_DAF,".")</f>
        <v>39451.356121655641</v>
      </c>
      <c r="E15" s="123" t="str">
        <f t="shared" si="0"/>
        <v>.</v>
      </c>
      <c r="F15" s="123">
        <f t="shared" si="1"/>
        <v>138.07974642579475</v>
      </c>
    </row>
    <row r="16" spans="1:6" x14ac:dyDescent="0.25">
      <c r="A16" s="44" t="s">
        <v>26</v>
      </c>
      <c r="B16" s="42" t="s">
        <v>1074</v>
      </c>
      <c r="C16" s="123" t="str">
        <f>IF(s_RadSpec!AV16*s_DAF=0,".",s_RadSpec!AV16*s_DAF)</f>
        <v>.</v>
      </c>
      <c r="D16" s="123">
        <f>IFERROR(s_res!AS16*s_DAF,".")</f>
        <v>11.055140903588846</v>
      </c>
      <c r="E16" s="123" t="str">
        <f t="shared" si="0"/>
        <v>.</v>
      </c>
      <c r="F16" s="123">
        <f t="shared" si="1"/>
        <v>3.8692993162560967E-2</v>
      </c>
    </row>
    <row r="17" spans="1:6" x14ac:dyDescent="0.25">
      <c r="A17" s="44" t="s">
        <v>27</v>
      </c>
      <c r="B17" s="42" t="s">
        <v>1074</v>
      </c>
      <c r="C17" s="123" t="str">
        <f>IF(s_RadSpec!AV17*s_DAF=0,".",s_RadSpec!AV17*s_DAF)</f>
        <v>.</v>
      </c>
      <c r="D17" s="123">
        <f>IFERROR(s_res!AS17*s_DAF,".")</f>
        <v>27842.440568003614</v>
      </c>
      <c r="E17" s="123" t="str">
        <f t="shared" si="0"/>
        <v>.</v>
      </c>
      <c r="F17" s="123">
        <f t="shared" si="1"/>
        <v>97.44854198801265</v>
      </c>
    </row>
    <row r="18" spans="1:6" x14ac:dyDescent="0.25">
      <c r="A18" s="44" t="s">
        <v>28</v>
      </c>
      <c r="B18" s="42" t="s">
        <v>1074</v>
      </c>
      <c r="C18" s="123">
        <f>IF(s_RadSpec!AV18*s_DAF=0,".",s_RadSpec!AV18*s_DAF)</f>
        <v>109.22353435187127</v>
      </c>
      <c r="D18" s="123">
        <f>IFERROR(s_res!AS18*s_DAF,".")</f>
        <v>6.0499245233103265</v>
      </c>
      <c r="E18" s="123">
        <f t="shared" si="0"/>
        <v>0.38228237023154943</v>
      </c>
      <c r="F18" s="123">
        <f t="shared" si="1"/>
        <v>2.117473583158614E-2</v>
      </c>
    </row>
    <row r="19" spans="1:6" x14ac:dyDescent="0.25">
      <c r="A19" s="44" t="s">
        <v>29</v>
      </c>
      <c r="B19" s="42" t="s">
        <v>1074</v>
      </c>
      <c r="C19" s="123">
        <f>IF(s_RadSpec!AV19*s_DAF=0,".",s_RadSpec!AV19*s_DAF)</f>
        <v>109.22353435187127</v>
      </c>
      <c r="D19" s="123">
        <f>IFERROR(s_res!AS19*s_DAF,".")</f>
        <v>456764351797.43536</v>
      </c>
      <c r="E19" s="123">
        <f t="shared" si="0"/>
        <v>0.38228237023154943</v>
      </c>
      <c r="F19" s="123">
        <f t="shared" si="1"/>
        <v>1598675231.2910237</v>
      </c>
    </row>
    <row r="20" spans="1:6" x14ac:dyDescent="0.25">
      <c r="A20" s="44" t="s">
        <v>30</v>
      </c>
      <c r="B20" s="42" t="s">
        <v>1074</v>
      </c>
      <c r="C20" s="123">
        <f>IF(s_RadSpec!AV20*s_DAF=0,".",s_RadSpec!AV20*s_DAF)</f>
        <v>109.22353435187127</v>
      </c>
      <c r="D20" s="123">
        <f>IFERROR(s_res!AS20*s_DAF,".")</f>
        <v>205991766496.88263</v>
      </c>
      <c r="E20" s="123">
        <f t="shared" si="0"/>
        <v>0.38228237023154943</v>
      </c>
      <c r="F20" s="123">
        <f t="shared" si="1"/>
        <v>720971182.73908913</v>
      </c>
    </row>
    <row r="21" spans="1:6" x14ac:dyDescent="0.25">
      <c r="A21" s="44" t="s">
        <v>31</v>
      </c>
      <c r="B21" s="42" t="s">
        <v>1074</v>
      </c>
      <c r="C21" s="123">
        <f>IF(s_RadSpec!AV21*s_DAF=0,".",s_RadSpec!AV21*s_DAF)</f>
        <v>109.22353435187127</v>
      </c>
      <c r="D21" s="123">
        <f>IFERROR(s_res!AS21*s_DAF,".")</f>
        <v>3154100258370281</v>
      </c>
      <c r="E21" s="123">
        <f t="shared" si="0"/>
        <v>0.38228237023154943</v>
      </c>
      <c r="F21" s="123">
        <f t="shared" si="1"/>
        <v>11039350904295.984</v>
      </c>
    </row>
    <row r="22" spans="1:6" x14ac:dyDescent="0.25">
      <c r="A22" s="44" t="s">
        <v>32</v>
      </c>
      <c r="B22" s="42" t="s">
        <v>1074</v>
      </c>
      <c r="C22" s="123" t="str">
        <f>IF(s_RadSpec!AV22*s_DAF=0,".",s_RadSpec!AV22*s_DAF)</f>
        <v>.</v>
      </c>
      <c r="D22" s="123">
        <f>IFERROR(s_res!AS22*s_DAF,".")</f>
        <v>83.79718703954795</v>
      </c>
      <c r="E22" s="123" t="str">
        <f t="shared" si="0"/>
        <v>.</v>
      </c>
      <c r="F22" s="123">
        <f t="shared" si="1"/>
        <v>0.29329015463841784</v>
      </c>
    </row>
    <row r="23" spans="1:6" x14ac:dyDescent="0.25">
      <c r="A23" s="46" t="s">
        <v>33</v>
      </c>
      <c r="B23" s="42" t="s">
        <v>351</v>
      </c>
      <c r="C23" s="123">
        <f>IF(s_RadSpec!AV23*s_DAF=0,".",s_RadSpec!AV23*s_DAF)</f>
        <v>36.407844783957088</v>
      </c>
      <c r="D23" s="123">
        <f>IFERROR(s_res!AS23*s_DAF,".")</f>
        <v>2.5474538344664728</v>
      </c>
      <c r="E23" s="123">
        <f t="shared" si="0"/>
        <v>0.12742745674384981</v>
      </c>
      <c r="F23" s="123">
        <f t="shared" si="1"/>
        <v>8.9160884206326545E-3</v>
      </c>
    </row>
    <row r="24" spans="1:6" x14ac:dyDescent="0.25">
      <c r="A24" s="44" t="s">
        <v>34</v>
      </c>
      <c r="B24" s="42" t="s">
        <v>1074</v>
      </c>
      <c r="C24" s="123" t="str">
        <f>IF(s_RadSpec!AV24*s_DAF=0,".",s_RadSpec!AV24*s_DAF)</f>
        <v>.</v>
      </c>
      <c r="D24" s="123">
        <f>IFERROR(s_res!AS24*s_DAF,".")</f>
        <v>23030782662.299023</v>
      </c>
      <c r="E24" s="123" t="str">
        <f t="shared" si="0"/>
        <v>.</v>
      </c>
      <c r="F24" s="123">
        <f t="shared" si="1"/>
        <v>80607739.318046585</v>
      </c>
    </row>
    <row r="25" spans="1:6" x14ac:dyDescent="0.25">
      <c r="A25" s="46" t="s">
        <v>35</v>
      </c>
      <c r="B25" s="42" t="s">
        <v>351</v>
      </c>
      <c r="C25" s="123" t="str">
        <f>IF(s_RadSpec!AV25*s_DAF=0,".",s_RadSpec!AV25*s_DAF)</f>
        <v>.</v>
      </c>
      <c r="D25" s="123">
        <f>IFERROR(s_res!AS25*s_DAF,".")</f>
        <v>35039.101755783267</v>
      </c>
      <c r="E25" s="123" t="str">
        <f t="shared" si="0"/>
        <v>.</v>
      </c>
      <c r="F25" s="123">
        <f t="shared" si="1"/>
        <v>122.63685614524144</v>
      </c>
    </row>
    <row r="26" spans="1:6" x14ac:dyDescent="0.25">
      <c r="A26" s="44" t="s">
        <v>36</v>
      </c>
      <c r="B26" s="42" t="s">
        <v>1074</v>
      </c>
      <c r="C26" s="123">
        <f>IF(s_RadSpec!AV26*s_DAF=0,".",s_RadSpec!AV26*s_DAF)</f>
        <v>109.22353435187127</v>
      </c>
      <c r="D26" s="123">
        <f>IFERROR(s_res!AS26*s_DAF,".")</f>
        <v>48.628329302162264</v>
      </c>
      <c r="E26" s="123">
        <f t="shared" si="0"/>
        <v>0.38228237023154943</v>
      </c>
      <c r="F26" s="123">
        <f t="shared" si="1"/>
        <v>0.1701991525575679</v>
      </c>
    </row>
    <row r="27" spans="1:6" x14ac:dyDescent="0.25">
      <c r="A27" s="44" t="s">
        <v>37</v>
      </c>
      <c r="B27" s="42" t="s">
        <v>1074</v>
      </c>
      <c r="C27" s="123" t="str">
        <f>IF(s_RadSpec!AV27*s_DAF=0,".",s_RadSpec!AV27*s_DAF)</f>
        <v>.</v>
      </c>
      <c r="D27" s="123">
        <f>IFERROR(s_res!AS27*s_DAF,".")</f>
        <v>10839090570.431206</v>
      </c>
      <c r="E27" s="123" t="str">
        <f t="shared" si="0"/>
        <v>.</v>
      </c>
      <c r="F27" s="123">
        <f t="shared" si="1"/>
        <v>37936816.996509224</v>
      </c>
    </row>
    <row r="28" spans="1:6" x14ac:dyDescent="0.25">
      <c r="A28" s="44" t="s">
        <v>38</v>
      </c>
      <c r="B28" s="42" t="s">
        <v>1074</v>
      </c>
      <c r="C28" s="123" t="str">
        <f>IF(s_RadSpec!AV28*s_DAF=0,".",s_RadSpec!AV28*s_DAF)</f>
        <v>.</v>
      </c>
      <c r="D28" s="123">
        <f>IFERROR(s_res!AS28*s_DAF,".")</f>
        <v>7672614.6734513035</v>
      </c>
      <c r="E28" s="123" t="str">
        <f t="shared" si="0"/>
        <v>.</v>
      </c>
      <c r="F28" s="123">
        <f t="shared" si="1"/>
        <v>26854.151357079558</v>
      </c>
    </row>
    <row r="29" spans="1:6" x14ac:dyDescent="0.25">
      <c r="A29" s="44" t="s">
        <v>39</v>
      </c>
      <c r="B29" s="42" t="s">
        <v>1074</v>
      </c>
      <c r="C29" s="123" t="str">
        <f>IF(s_RadSpec!AV29*s_DAF=0,".",s_RadSpec!AV29*s_DAF)</f>
        <v>.</v>
      </c>
      <c r="D29" s="123">
        <f>IFERROR(s_res!AS29*s_DAF,".")</f>
        <v>5937936.5733666606</v>
      </c>
      <c r="E29" s="123" t="str">
        <f t="shared" si="0"/>
        <v>.</v>
      </c>
      <c r="F29" s="123">
        <f t="shared" si="1"/>
        <v>20782.778006783312</v>
      </c>
    </row>
    <row r="30" spans="1:6" x14ac:dyDescent="0.25">
      <c r="A30" s="44" t="s">
        <v>40</v>
      </c>
      <c r="B30" s="42" t="s">
        <v>1074</v>
      </c>
      <c r="C30" s="123">
        <f>IF(s_RadSpec!AV30*s_DAF=0,".",s_RadSpec!AV30*s_DAF)</f>
        <v>2105887.3930773539</v>
      </c>
      <c r="D30" s="123">
        <f>IFERROR(s_res!AS30*s_DAF,".")</f>
        <v>146.16796940025264</v>
      </c>
      <c r="E30" s="123">
        <f t="shared" si="0"/>
        <v>7370.6058757707387</v>
      </c>
      <c r="F30" s="123">
        <f t="shared" si="1"/>
        <v>0.51158789290088424</v>
      </c>
    </row>
    <row r="31" spans="1:6" x14ac:dyDescent="0.25">
      <c r="A31" s="82" t="s">
        <v>13</v>
      </c>
      <c r="B31" s="82" t="s">
        <v>1074</v>
      </c>
      <c r="C31" s="58">
        <f>1/SUM(1/C32,1/C33,1/C34,1/C35,1/C36,1/C38,1/C39,1/C40,1/C41,1/C42)</f>
        <v>13.603773719183023</v>
      </c>
      <c r="D31" s="58">
        <f>1/SUM(1/D32,1/D33,1/D34,1/D35,1/D36,1/D37,1/D38,1/D39,1/D40,1/D41,1/D42,1/D43,1/D44)</f>
        <v>13.61733473832912</v>
      </c>
      <c r="E31" s="58">
        <f>1/SUM(1/E32,1/E33,1/E34,1/E35,1/E36,1/E38,1/E39,1/E40,1/E41,1/E42)</f>
        <v>4.7613208017140571E-2</v>
      </c>
      <c r="F31" s="58">
        <f>1/SUM(1/F32,1/F33,1/F34,1/F35,1/F36,1/F37,1/F38,1/F39,1/F40,1/F41,1/F42,1/F43,1/F44)</f>
        <v>4.766067158415193E-2</v>
      </c>
    </row>
    <row r="32" spans="1:6" x14ac:dyDescent="0.25">
      <c r="A32" s="83" t="s">
        <v>1102</v>
      </c>
      <c r="B32" s="42">
        <v>1</v>
      </c>
      <c r="C32" s="60">
        <f>IFERROR(C3/$B32,0)</f>
        <v>109.22353435187127</v>
      </c>
      <c r="D32" s="60">
        <f>IFERROR(D3/$B32,0)</f>
        <v>105.40420880197587</v>
      </c>
      <c r="E32" s="124">
        <f>IFERROR((C32*s_ls2gw*s_ED_s2gw)/(s_ρb*s_d_s*1000),".")</f>
        <v>0.38228237023154943</v>
      </c>
      <c r="F32" s="124">
        <f>IFERROR((D32*s_ls2gw*s_ED_s2gw)/(s_ρb*s_d_s*1000),".")</f>
        <v>0.36891473080691556</v>
      </c>
    </row>
    <row r="33" spans="1:6" x14ac:dyDescent="0.25">
      <c r="A33" s="83" t="s">
        <v>1078</v>
      </c>
      <c r="B33" s="42">
        <v>1</v>
      </c>
      <c r="C33" s="60">
        <f>IFERROR(C13/$B33,0)</f>
        <v>109.22353435187127</v>
      </c>
      <c r="D33" s="60">
        <f>IFERROR(D13/$B33,0)</f>
        <v>165.42551931527174</v>
      </c>
      <c r="E33" s="124">
        <f t="shared" ref="E33:E44" si="2">IFERROR((C33*s_ls2gw*s_ED_s2gw)/(s_ρb*s_d_s*1000),".")</f>
        <v>0.38228237023154943</v>
      </c>
      <c r="F33" s="124">
        <f t="shared" ref="F33:F44" si="3">IFERROR((D33*s_ls2gw*s_ED_s2gw)/(s_ρb*s_d_s*1000),".")</f>
        <v>0.57898931760345118</v>
      </c>
    </row>
    <row r="34" spans="1:6" x14ac:dyDescent="0.25">
      <c r="A34" s="83" t="s">
        <v>1079</v>
      </c>
      <c r="B34" s="42">
        <v>1</v>
      </c>
      <c r="C34" s="60">
        <f>IFERROR(C14/$B34,0)</f>
        <v>2184.4706870374253</v>
      </c>
      <c r="D34" s="60">
        <f>IFERROR(D14/$B34,0)</f>
        <v>1647.8391712119897</v>
      </c>
      <c r="E34" s="124">
        <f t="shared" si="2"/>
        <v>7.6456474046309886</v>
      </c>
      <c r="F34" s="124">
        <f t="shared" si="3"/>
        <v>5.7674370992419641</v>
      </c>
    </row>
    <row r="35" spans="1:6" x14ac:dyDescent="0.25">
      <c r="A35" s="83" t="s">
        <v>1080</v>
      </c>
      <c r="B35" s="42">
        <v>1</v>
      </c>
      <c r="C35" s="60">
        <f>IFERROR(C30/$B35,0)</f>
        <v>2105887.3930773539</v>
      </c>
      <c r="D35" s="60">
        <f>IFERROR(D30/$B35,0)</f>
        <v>146.16796940025264</v>
      </c>
      <c r="E35" s="124">
        <f t="shared" si="2"/>
        <v>7370.6058757707387</v>
      </c>
      <c r="F35" s="124">
        <f t="shared" si="3"/>
        <v>0.51158789290088424</v>
      </c>
    </row>
    <row r="36" spans="1:6" x14ac:dyDescent="0.25">
      <c r="A36" s="83" t="s">
        <v>1081</v>
      </c>
      <c r="B36" s="42">
        <v>1</v>
      </c>
      <c r="C36" s="60">
        <f>IFERROR(C26/$B36,0)</f>
        <v>109.22353435187127</v>
      </c>
      <c r="D36" s="60">
        <f>IFERROR(D26/$B36,0)</f>
        <v>48.628329302162264</v>
      </c>
      <c r="E36" s="124">
        <f t="shared" si="2"/>
        <v>0.38228237023154943</v>
      </c>
      <c r="F36" s="124">
        <f t="shared" si="3"/>
        <v>0.1701991525575679</v>
      </c>
    </row>
    <row r="37" spans="1:6" x14ac:dyDescent="0.25">
      <c r="A37" s="83" t="s">
        <v>1082</v>
      </c>
      <c r="B37" s="42">
        <v>1</v>
      </c>
      <c r="C37" s="60">
        <f>IFERROR(C22/$B37,0)</f>
        <v>0</v>
      </c>
      <c r="D37" s="60">
        <f>IFERROR(D22/$B37,0)</f>
        <v>83.79718703954795</v>
      </c>
      <c r="E37" s="124">
        <f t="shared" si="2"/>
        <v>0</v>
      </c>
      <c r="F37" s="124">
        <f t="shared" si="3"/>
        <v>0.29329015463841784</v>
      </c>
    </row>
    <row r="38" spans="1:6" x14ac:dyDescent="0.25">
      <c r="A38" s="83" t="s">
        <v>1083</v>
      </c>
      <c r="B38" s="42">
        <v>1</v>
      </c>
      <c r="C38" s="60">
        <f>IFERROR(C2/$B38,0)</f>
        <v>109.22353435187127</v>
      </c>
      <c r="D38" s="60">
        <f>IFERROR(D2/$B38,0)</f>
        <v>55.981317935301938</v>
      </c>
      <c r="E38" s="124">
        <f t="shared" si="2"/>
        <v>0.38228237023154943</v>
      </c>
      <c r="F38" s="124">
        <f t="shared" si="3"/>
        <v>0.19593461277355678</v>
      </c>
    </row>
    <row r="39" spans="1:6" x14ac:dyDescent="0.25">
      <c r="A39" s="83" t="s">
        <v>1084</v>
      </c>
      <c r="B39" s="42">
        <v>1</v>
      </c>
      <c r="C39" s="60">
        <f>IFERROR(C11/$B39,0)</f>
        <v>109.22353435187127</v>
      </c>
      <c r="D39" s="60">
        <f>IFERROR(D11/$B39,0)</f>
        <v>629366549.25084412</v>
      </c>
      <c r="E39" s="124">
        <f t="shared" si="2"/>
        <v>0.38228237023154943</v>
      </c>
      <c r="F39" s="124">
        <f t="shared" si="3"/>
        <v>2202782.9223779547</v>
      </c>
    </row>
    <row r="40" spans="1:6" x14ac:dyDescent="0.25">
      <c r="A40" s="83" t="s">
        <v>1085</v>
      </c>
      <c r="B40" s="42">
        <v>1</v>
      </c>
      <c r="C40" s="60">
        <f>IFERROR(C4/$B40,0)</f>
        <v>109.22353435187127</v>
      </c>
      <c r="D40" s="60">
        <f>IFERROR(D4/$B40,0)</f>
        <v>74629803927.559143</v>
      </c>
      <c r="E40" s="124">
        <f t="shared" si="2"/>
        <v>0.38228237023154943</v>
      </c>
      <c r="F40" s="124">
        <f t="shared" si="3"/>
        <v>261204313.74645698</v>
      </c>
    </row>
    <row r="41" spans="1:6" x14ac:dyDescent="0.25">
      <c r="A41" s="83" t="s">
        <v>1086</v>
      </c>
      <c r="B41" s="84">
        <v>0.99987999999999999</v>
      </c>
      <c r="C41" s="60">
        <f>IFERROR(C8/$B41,0)</f>
        <v>109.23664274900115</v>
      </c>
      <c r="D41" s="60">
        <f>IFERROR(D8/$B41,0)</f>
        <v>14485.258557032934</v>
      </c>
      <c r="E41" s="124">
        <f t="shared" si="2"/>
        <v>0.38232824962150402</v>
      </c>
      <c r="F41" s="124">
        <f t="shared" si="3"/>
        <v>50.698404949615266</v>
      </c>
    </row>
    <row r="42" spans="1:6" x14ac:dyDescent="0.25">
      <c r="A42" s="83" t="s">
        <v>1087</v>
      </c>
      <c r="B42" s="42">
        <v>0.97898250799999997</v>
      </c>
      <c r="C42" s="60">
        <f>IFERROR(C19/$B42,0)</f>
        <v>111.56842278521208</v>
      </c>
      <c r="D42" s="60">
        <f>IFERROR(D19/$B42,0)</f>
        <v>466570493410.11859</v>
      </c>
      <c r="E42" s="124">
        <f t="shared" si="2"/>
        <v>0.39048947974824227</v>
      </c>
      <c r="F42" s="124">
        <f t="shared" si="3"/>
        <v>1632996726.935415</v>
      </c>
    </row>
    <row r="43" spans="1:6" x14ac:dyDescent="0.25">
      <c r="A43" s="83" t="s">
        <v>1088</v>
      </c>
      <c r="B43" s="42">
        <v>2.0897492E-2</v>
      </c>
      <c r="C43" s="60">
        <f>IFERROR(C28/$B43,0)</f>
        <v>0</v>
      </c>
      <c r="D43" s="60">
        <f>IFERROR(D28/$B43,0)</f>
        <v>367154808.50292003</v>
      </c>
      <c r="E43" s="124">
        <f t="shared" si="2"/>
        <v>0</v>
      </c>
      <c r="F43" s="124">
        <f t="shared" si="3"/>
        <v>1285041.8297602201</v>
      </c>
    </row>
    <row r="44" spans="1:6" x14ac:dyDescent="0.25">
      <c r="A44" s="83" t="s">
        <v>1089</v>
      </c>
      <c r="B44" s="42">
        <v>0.99987999999999999</v>
      </c>
      <c r="C44" s="60">
        <f>IFERROR(C15/$B44,0)</f>
        <v>0</v>
      </c>
      <c r="D44" s="60">
        <f>IFERROR(D15/$B44,0)</f>
        <v>39456.090852557951</v>
      </c>
      <c r="E44" s="124">
        <f t="shared" si="2"/>
        <v>0</v>
      </c>
      <c r="F44" s="124">
        <f t="shared" si="3"/>
        <v>138.09631798395282</v>
      </c>
    </row>
    <row r="45" spans="1:6" x14ac:dyDescent="0.25">
      <c r="A45" s="82" t="s">
        <v>20</v>
      </c>
      <c r="B45" s="82" t="s">
        <v>1074</v>
      </c>
      <c r="C45" s="58">
        <f t="shared" ref="C45:E45" si="4">IFERROR(IF(AND(C46&lt;&gt;0,C47&lt;&gt;0),1/SUM(1/C46,1/C47),IF(AND(C46&lt;&gt;0,C47=0),1/(1/C46),IF(AND(C46=0,C47&lt;&gt;0),1/(1/C47),IF(AND(C46=0,C47=0),".")))),".")</f>
        <v>1456.3137913582837</v>
      </c>
      <c r="D45" s="58">
        <f t="shared" si="4"/>
        <v>330.93282985046704</v>
      </c>
      <c r="E45" s="125">
        <f t="shared" si="4"/>
        <v>5.0970982697539924</v>
      </c>
      <c r="F45" s="125">
        <f>IFERROR(IF(AND(F46&lt;&gt;0,F47&lt;&gt;0),1/SUM(1/F46,1/F47),IF(AND(F46&lt;&gt;0,F47=0),1/(1/F46),IF(AND(F46=0,F47&lt;&gt;0),1/(1/F47),IF(AND(F46=0,F47=0),".")))),".")</f>
        <v>1.1582649044766349</v>
      </c>
    </row>
    <row r="46" spans="1:6" x14ac:dyDescent="0.25">
      <c r="A46" s="83" t="s">
        <v>1101</v>
      </c>
      <c r="B46" s="42">
        <v>1</v>
      </c>
      <c r="C46" s="60">
        <f>IFERROR(C10/$B46,0)</f>
        <v>1456.3137913582837</v>
      </c>
      <c r="D46" s="60">
        <f>IFERROR(D10/$B46,0)</f>
        <v>330.93637254911579</v>
      </c>
      <c r="E46" s="124">
        <f>IFERROR((C46*s_ls2gw*s_ED_s2gw)/(s_ρb*s_d_s*1000),".")</f>
        <v>5.0970982697539924</v>
      </c>
      <c r="F46" s="124">
        <f>IFERROR((D46*s_ls2gw*s_ED_s2gw)/(s_ρb*s_d_s*1000),".")</f>
        <v>1.1582773039219054</v>
      </c>
    </row>
    <row r="47" spans="1:6" x14ac:dyDescent="0.25">
      <c r="A47" s="83" t="s">
        <v>1075</v>
      </c>
      <c r="B47" s="85">
        <v>0.94399</v>
      </c>
      <c r="C47" s="60">
        <f>IFERROR(C6/$B$47,0)</f>
        <v>0</v>
      </c>
      <c r="D47" s="60">
        <f>IFERROR(D6/$B$47,0)</f>
        <v>30913639.890668016</v>
      </c>
      <c r="E47" s="124">
        <f>IFERROR((C47*s_ls2gw*s_ED_s2gw)/(s_ρb*s_d_s*1000),".")</f>
        <v>0</v>
      </c>
      <c r="F47" s="124">
        <f>IFERROR((D47*s_ls2gw*s_ED_s2gw)/(s_ρb*s_d_s*1000),".")</f>
        <v>108197.73961733805</v>
      </c>
    </row>
    <row r="48" spans="1:6" x14ac:dyDescent="0.25">
      <c r="A48" s="82" t="s">
        <v>33</v>
      </c>
      <c r="B48" s="82" t="s">
        <v>1074</v>
      </c>
      <c r="C48" s="58">
        <f>1/SUM(1/C49,1/C51,1/C53,1/C54,1/C56,1/C59,1/C61)</f>
        <v>13.652959201435214</v>
      </c>
      <c r="D48" s="58">
        <f>1/SUM(1/D49,1/D50,1/D51,1/D52,1/D53,1/D54,1/D55,1/D56,1/D57,1/D58,1/D59,1/D60,1/D61,1/D62)</f>
        <v>1.5393625533658284</v>
      </c>
      <c r="E48" s="58">
        <f>1/SUM(1/E49,1/E51,1/E53,1/E54,1/E56,1/E59,1/E61)</f>
        <v>4.7785357205023242E-2</v>
      </c>
      <c r="F48" s="58">
        <f>1/SUM(1/F49,1/F50,1/F51,1/F52,1/F53,1/F54,1/F55,1/F56,1/F57,1/F58,1/F59,1/F60,1/F61,1/F62)</f>
        <v>5.3877689367804009E-3</v>
      </c>
    </row>
    <row r="49" spans="1:6" x14ac:dyDescent="0.25">
      <c r="A49" s="83" t="s">
        <v>1103</v>
      </c>
      <c r="B49" s="42">
        <v>1</v>
      </c>
      <c r="C49" s="60">
        <f>IFERROR(C23/$B49,0)</f>
        <v>36.407844783957088</v>
      </c>
      <c r="D49" s="60">
        <f>IFERROR(D23/$B49,0)</f>
        <v>2.5474538344664728</v>
      </c>
      <c r="E49" s="124">
        <f t="shared" ref="E49:E62" si="5">IFERROR((C49*s_ls2gw*s_ED_s2gw)/(s_ρb*s_d_s*1000),".")</f>
        <v>0.12742745674384981</v>
      </c>
      <c r="F49" s="124">
        <f t="shared" ref="F49:F62" si="6">IFERROR((D49*s_ls2gw*s_ED_s2gw)/(s_ρb*s_d_s*1000),".")</f>
        <v>8.9160884206326545E-3</v>
      </c>
    </row>
    <row r="50" spans="1:6" x14ac:dyDescent="0.25">
      <c r="A50" s="83" t="s">
        <v>1090</v>
      </c>
      <c r="B50" s="42">
        <v>1</v>
      </c>
      <c r="C50" s="60">
        <f>IFERROR(C25/$B50,0)</f>
        <v>0</v>
      </c>
      <c r="D50" s="60">
        <f>IFERROR(D25/$B50,0)</f>
        <v>35039.101755783267</v>
      </c>
      <c r="E50" s="124">
        <f t="shared" si="5"/>
        <v>0</v>
      </c>
      <c r="F50" s="124">
        <f t="shared" si="6"/>
        <v>122.63685614524144</v>
      </c>
    </row>
    <row r="51" spans="1:6" x14ac:dyDescent="0.25">
      <c r="A51" s="83" t="s">
        <v>1076</v>
      </c>
      <c r="B51" s="42">
        <v>1</v>
      </c>
      <c r="C51" s="60">
        <f>IFERROR(C21/$B51,0)</f>
        <v>109.22353435187127</v>
      </c>
      <c r="D51" s="60">
        <f>IFERROR(D21/$B51,0)</f>
        <v>3154100258370281</v>
      </c>
      <c r="E51" s="124">
        <f t="shared" si="5"/>
        <v>0.38228237023154943</v>
      </c>
      <c r="F51" s="124">
        <f t="shared" si="6"/>
        <v>11039350904295.984</v>
      </c>
    </row>
    <row r="52" spans="1:6" x14ac:dyDescent="0.25">
      <c r="A52" s="83" t="s">
        <v>1077</v>
      </c>
      <c r="B52" s="85">
        <v>0.99980000000000002</v>
      </c>
      <c r="C52" s="60">
        <f>IFERROR(C17/$B52,0)</f>
        <v>0</v>
      </c>
      <c r="D52" s="60">
        <f>IFERROR(D17/$B52,0)</f>
        <v>27848.010170037622</v>
      </c>
      <c r="E52" s="124">
        <f t="shared" si="5"/>
        <v>0</v>
      </c>
      <c r="F52" s="124">
        <f t="shared" si="6"/>
        <v>97.468035595131681</v>
      </c>
    </row>
    <row r="53" spans="1:6" x14ac:dyDescent="0.25">
      <c r="A53" s="83" t="s">
        <v>1091</v>
      </c>
      <c r="B53" s="42">
        <v>2.0000000000000001E-4</v>
      </c>
      <c r="C53" s="60">
        <f>IFERROR(C5/$B53,0)</f>
        <v>546117.67175935628</v>
      </c>
      <c r="D53" s="60">
        <f>IFERROR(D5/$B53,0)</f>
        <v>1.5554959132965056E+16</v>
      </c>
      <c r="E53" s="124">
        <f t="shared" si="5"/>
        <v>1911.4118511577469</v>
      </c>
      <c r="F53" s="124">
        <f t="shared" si="6"/>
        <v>54442356965377.695</v>
      </c>
    </row>
    <row r="54" spans="1:6" x14ac:dyDescent="0.25">
      <c r="A54" s="83" t="s">
        <v>1092</v>
      </c>
      <c r="B54" s="42">
        <v>0.99999979999999999</v>
      </c>
      <c r="C54" s="60">
        <f>IFERROR(C9/$B54,0)</f>
        <v>109.22355619658251</v>
      </c>
      <c r="D54" s="60">
        <f>IFERROR(D9/$B54,0)</f>
        <v>38568.80854031496</v>
      </c>
      <c r="E54" s="124">
        <f t="shared" si="5"/>
        <v>0.38228244668803879</v>
      </c>
      <c r="F54" s="124">
        <f t="shared" si="6"/>
        <v>134.99082989110238</v>
      </c>
    </row>
    <row r="55" spans="1:6" x14ac:dyDescent="0.25">
      <c r="A55" s="83" t="s">
        <v>1093</v>
      </c>
      <c r="B55" s="42">
        <v>1.9999999999999999E-7</v>
      </c>
      <c r="C55" s="60">
        <f>IFERROR(C24/$B55,0)</f>
        <v>0</v>
      </c>
      <c r="D55" s="60">
        <f>IFERROR(D24/$B55,0)</f>
        <v>1.1515391331149512E+17</v>
      </c>
      <c r="E55" s="124">
        <f t="shared" si="5"/>
        <v>0</v>
      </c>
      <c r="F55" s="124">
        <f t="shared" si="6"/>
        <v>403038696590232.94</v>
      </c>
    </row>
    <row r="56" spans="1:6" x14ac:dyDescent="0.25">
      <c r="A56" s="83" t="s">
        <v>1094</v>
      </c>
      <c r="B56" s="42">
        <v>0.99979000004200003</v>
      </c>
      <c r="C56" s="60">
        <f>IFERROR(C20/$B56,0)</f>
        <v>109.24647610726544</v>
      </c>
      <c r="D56" s="60">
        <f>IFERROR(D20/$B56,0)</f>
        <v>206035033845.33667</v>
      </c>
      <c r="E56" s="124">
        <f t="shared" si="5"/>
        <v>0.38236266637542904</v>
      </c>
      <c r="F56" s="124">
        <f t="shared" si="6"/>
        <v>721122618.45867836</v>
      </c>
    </row>
    <row r="57" spans="1:6" x14ac:dyDescent="0.25">
      <c r="A57" s="83" t="s">
        <v>1095</v>
      </c>
      <c r="B57" s="42">
        <v>2.0999995799999999E-4</v>
      </c>
      <c r="C57" s="60">
        <f>IFERROR(C29/$B57,0)</f>
        <v>0</v>
      </c>
      <c r="D57" s="60">
        <f>IFERROR(D29/$B57,0)</f>
        <v>28275894099.781967</v>
      </c>
      <c r="E57" s="124">
        <f t="shared" si="5"/>
        <v>0</v>
      </c>
      <c r="F57" s="124">
        <f t="shared" si="6"/>
        <v>98965629.349236891</v>
      </c>
    </row>
    <row r="58" spans="1:6" x14ac:dyDescent="0.25">
      <c r="A58" s="83" t="s">
        <v>1096</v>
      </c>
      <c r="B58" s="42">
        <v>1</v>
      </c>
      <c r="C58" s="60">
        <f>IFERROR(C16/$B58,0)</f>
        <v>0</v>
      </c>
      <c r="D58" s="60">
        <f>IFERROR(D16/$B58,0)</f>
        <v>11.055140903588846</v>
      </c>
      <c r="E58" s="124">
        <f t="shared" si="5"/>
        <v>0</v>
      </c>
      <c r="F58" s="124">
        <f t="shared" si="6"/>
        <v>3.8692993162560967E-2</v>
      </c>
    </row>
    <row r="59" spans="1:6" x14ac:dyDescent="0.25">
      <c r="A59" s="83" t="s">
        <v>1097</v>
      </c>
      <c r="B59" s="42">
        <v>1</v>
      </c>
      <c r="C59" s="60">
        <f>IFERROR(C7/$B59,0)</f>
        <v>109.22353435187127</v>
      </c>
      <c r="D59" s="60">
        <f>IFERROR(D7/$B59,0)</f>
        <v>810.78406913802996</v>
      </c>
      <c r="E59" s="124">
        <f t="shared" si="5"/>
        <v>0.38228237023154943</v>
      </c>
      <c r="F59" s="124">
        <f t="shared" si="6"/>
        <v>2.8377442419831049</v>
      </c>
    </row>
    <row r="60" spans="1:6" x14ac:dyDescent="0.25">
      <c r="A60" s="83" t="s">
        <v>1098</v>
      </c>
      <c r="B60" s="86">
        <v>1.9000000000000001E-8</v>
      </c>
      <c r="C60" s="60">
        <f>IFERROR(C12/$B60,0)</f>
        <v>0</v>
      </c>
      <c r="D60" s="60">
        <f>IFERROR(D12/$B60,0)</f>
        <v>7770841603836882</v>
      </c>
      <c r="E60" s="124">
        <f t="shared" si="5"/>
        <v>0</v>
      </c>
      <c r="F60" s="124">
        <f t="shared" si="6"/>
        <v>27197945613429.09</v>
      </c>
    </row>
    <row r="61" spans="1:6" x14ac:dyDescent="0.25">
      <c r="A61" s="83" t="s">
        <v>1099</v>
      </c>
      <c r="B61" s="42">
        <v>1</v>
      </c>
      <c r="C61" s="60">
        <f>IFERROR(C18/$B61,0)</f>
        <v>109.22353435187127</v>
      </c>
      <c r="D61" s="60">
        <f>IFERROR(D18/$B61,0)</f>
        <v>6.0499245233103265</v>
      </c>
      <c r="E61" s="124">
        <f t="shared" si="5"/>
        <v>0.38228237023154943</v>
      </c>
      <c r="F61" s="124">
        <f t="shared" si="6"/>
        <v>2.117473583158614E-2</v>
      </c>
    </row>
    <row r="62" spans="1:6" x14ac:dyDescent="0.25">
      <c r="A62" s="83" t="s">
        <v>1100</v>
      </c>
      <c r="B62" s="42">
        <v>1.339E-6</v>
      </c>
      <c r="C62" s="60">
        <f>IFERROR(C27/$B62,0)</f>
        <v>0</v>
      </c>
      <c r="D62" s="60">
        <f>IFERROR(D27/$B62,0)</f>
        <v>8094914541024052</v>
      </c>
      <c r="E62" s="124">
        <f t="shared" si="5"/>
        <v>0</v>
      </c>
      <c r="F62" s="124">
        <f t="shared" si="6"/>
        <v>28332200893584.184</v>
      </c>
    </row>
    <row r="63" spans="1:6" x14ac:dyDescent="0.25">
      <c r="A63" s="82" t="s">
        <v>35</v>
      </c>
      <c r="B63" s="82" t="s">
        <v>1074</v>
      </c>
      <c r="C63" s="58">
        <f>1/SUM(1/C65,1/C67,1/C68,1/C70,1/C73,1/C75)</f>
        <v>21.84475143348368</v>
      </c>
      <c r="D63" s="58">
        <f>1/SUM(1/D64,1/D65,1/D66,1/D67,1/D68,1/D69,1/D70,1/D71,1/D72,1/D73,1/D74,1/D75,1/D76)</f>
        <v>3.8899801166065004</v>
      </c>
      <c r="E63" s="58">
        <f>1/SUM(1/E65,1/E67,1/E68,1/E70,1/E73,1/E75)</f>
        <v>7.6456630017192884E-2</v>
      </c>
      <c r="F63" s="58">
        <f>1/SUM(1/F64,1/F65,1/F66,1/F67,1/F68,1/F69,1/F70,1/F71,1/F72,1/F73,1/F74,1/F75,1/F76)</f>
        <v>1.3614930408122752E-2</v>
      </c>
    </row>
    <row r="64" spans="1:6" x14ac:dyDescent="0.25">
      <c r="A64" s="83" t="s">
        <v>1090</v>
      </c>
      <c r="B64" s="42">
        <v>1</v>
      </c>
      <c r="C64" s="60">
        <f>IFERROR(C25/$B50,0)</f>
        <v>0</v>
      </c>
      <c r="D64" s="60">
        <f>IFERROR(D25/$B50,0)</f>
        <v>35039.101755783267</v>
      </c>
      <c r="E64" s="124">
        <f t="shared" ref="E64:E76" si="7">IFERROR((C64*s_ls2gw*s_ED_s2gw)/(s_ρb*s_d_s*1000),".")</f>
        <v>0</v>
      </c>
      <c r="F64" s="124">
        <f t="shared" ref="F64:F76" si="8">IFERROR((D64*s_ls2gw*s_ED_s2gw)/(s_ρb*s_d_s*1000),".")</f>
        <v>122.63685614524144</v>
      </c>
    </row>
    <row r="65" spans="1:6" x14ac:dyDescent="0.25">
      <c r="A65" s="83" t="s">
        <v>1076</v>
      </c>
      <c r="B65" s="42">
        <v>1</v>
      </c>
      <c r="C65" s="60">
        <f>IFERROR(C21/$B51,0)</f>
        <v>109.22353435187127</v>
      </c>
      <c r="D65" s="60">
        <f>IFERROR(D21/$B51,0)</f>
        <v>3154100258370281</v>
      </c>
      <c r="E65" s="124">
        <f t="shared" si="7"/>
        <v>0.38228237023154943</v>
      </c>
      <c r="F65" s="124">
        <f t="shared" si="8"/>
        <v>11039350904295.984</v>
      </c>
    </row>
    <row r="66" spans="1:6" x14ac:dyDescent="0.25">
      <c r="A66" s="83" t="s">
        <v>1077</v>
      </c>
      <c r="B66" s="85">
        <v>0.99980000000000002</v>
      </c>
      <c r="C66" s="60">
        <f>IFERROR(C17/$B52,0)</f>
        <v>0</v>
      </c>
      <c r="D66" s="60">
        <f>IFERROR(D17/$B52,0)</f>
        <v>27848.010170037622</v>
      </c>
      <c r="E66" s="124">
        <f t="shared" si="7"/>
        <v>0</v>
      </c>
      <c r="F66" s="124">
        <f t="shared" si="8"/>
        <v>97.468035595131681</v>
      </c>
    </row>
    <row r="67" spans="1:6" x14ac:dyDescent="0.25">
      <c r="A67" s="83" t="s">
        <v>1091</v>
      </c>
      <c r="B67" s="42">
        <v>2.0000000000000001E-4</v>
      </c>
      <c r="C67" s="60">
        <f>IFERROR(C5/$B53,0)</f>
        <v>546117.67175935628</v>
      </c>
      <c r="D67" s="60">
        <f>IFERROR(D5/$B53,0)</f>
        <v>1.5554959132965056E+16</v>
      </c>
      <c r="E67" s="124">
        <f t="shared" si="7"/>
        <v>1911.4118511577469</v>
      </c>
      <c r="F67" s="124">
        <f t="shared" si="8"/>
        <v>54442356965377.695</v>
      </c>
    </row>
    <row r="68" spans="1:6" x14ac:dyDescent="0.25">
      <c r="A68" s="83" t="s">
        <v>1092</v>
      </c>
      <c r="B68" s="42">
        <v>0.99999979999999999</v>
      </c>
      <c r="C68" s="60">
        <f>IFERROR(C9/$B54,0)</f>
        <v>109.22355619658251</v>
      </c>
      <c r="D68" s="60">
        <f>IFERROR(D9/$B54,0)</f>
        <v>38568.80854031496</v>
      </c>
      <c r="E68" s="124">
        <f t="shared" si="7"/>
        <v>0.38228244668803879</v>
      </c>
      <c r="F68" s="124">
        <f t="shared" si="8"/>
        <v>134.99082989110238</v>
      </c>
    </row>
    <row r="69" spans="1:6" x14ac:dyDescent="0.25">
      <c r="A69" s="83" t="s">
        <v>1093</v>
      </c>
      <c r="B69" s="42">
        <v>1.9999999999999999E-7</v>
      </c>
      <c r="C69" s="60">
        <f>IFERROR(C24/$B55,0)</f>
        <v>0</v>
      </c>
      <c r="D69" s="60">
        <f>IFERROR(D24/$B55,0)</f>
        <v>1.1515391331149512E+17</v>
      </c>
      <c r="E69" s="124">
        <f t="shared" si="7"/>
        <v>0</v>
      </c>
      <c r="F69" s="124">
        <f t="shared" si="8"/>
        <v>403038696590232.94</v>
      </c>
    </row>
    <row r="70" spans="1:6" x14ac:dyDescent="0.25">
      <c r="A70" s="83" t="s">
        <v>1094</v>
      </c>
      <c r="B70" s="42">
        <v>0.99979000004200003</v>
      </c>
      <c r="C70" s="60">
        <f>IFERROR(C20/$B56,0)</f>
        <v>109.24647610726544</v>
      </c>
      <c r="D70" s="60">
        <f>IFERROR(D20/$B56,0)</f>
        <v>206035033845.33667</v>
      </c>
      <c r="E70" s="124">
        <f t="shared" si="7"/>
        <v>0.38236266637542904</v>
      </c>
      <c r="F70" s="124">
        <f t="shared" si="8"/>
        <v>721122618.45867836</v>
      </c>
    </row>
    <row r="71" spans="1:6" x14ac:dyDescent="0.25">
      <c r="A71" s="83" t="s">
        <v>1095</v>
      </c>
      <c r="B71" s="42">
        <v>2.0999995799999999E-4</v>
      </c>
      <c r="C71" s="60">
        <f>IFERROR(C29/$B57,0)</f>
        <v>0</v>
      </c>
      <c r="D71" s="60">
        <f>IFERROR(D29/$B57,0)</f>
        <v>28275894099.781967</v>
      </c>
      <c r="E71" s="124">
        <f t="shared" si="7"/>
        <v>0</v>
      </c>
      <c r="F71" s="124">
        <f t="shared" si="8"/>
        <v>98965629.349236891</v>
      </c>
    </row>
    <row r="72" spans="1:6" x14ac:dyDescent="0.25">
      <c r="A72" s="83" t="s">
        <v>1096</v>
      </c>
      <c r="B72" s="42">
        <v>1</v>
      </c>
      <c r="C72" s="60">
        <f>IFERROR(C16/$B58,0)</f>
        <v>0</v>
      </c>
      <c r="D72" s="60">
        <f>IFERROR(D16/$B58,0)</f>
        <v>11.055140903588846</v>
      </c>
      <c r="E72" s="124">
        <f t="shared" si="7"/>
        <v>0</v>
      </c>
      <c r="F72" s="124">
        <f t="shared" si="8"/>
        <v>3.8692993162560967E-2</v>
      </c>
    </row>
    <row r="73" spans="1:6" x14ac:dyDescent="0.25">
      <c r="A73" s="83" t="s">
        <v>1097</v>
      </c>
      <c r="B73" s="42">
        <v>1</v>
      </c>
      <c r="C73" s="60">
        <f>IFERROR(C7/$B59,0)</f>
        <v>109.22353435187127</v>
      </c>
      <c r="D73" s="60">
        <f>IFERROR(D7/$B59,0)</f>
        <v>810.78406913802996</v>
      </c>
      <c r="E73" s="124">
        <f t="shared" si="7"/>
        <v>0.38228237023154943</v>
      </c>
      <c r="F73" s="124">
        <f t="shared" si="8"/>
        <v>2.8377442419831049</v>
      </c>
    </row>
    <row r="74" spans="1:6" x14ac:dyDescent="0.25">
      <c r="A74" s="83" t="s">
        <v>1098</v>
      </c>
      <c r="B74" s="86">
        <v>1.9000000000000001E-8</v>
      </c>
      <c r="C74" s="60">
        <f>IFERROR(C12/$B60,0)</f>
        <v>0</v>
      </c>
      <c r="D74" s="60">
        <f>IFERROR(D12/$B60,0)</f>
        <v>7770841603836882</v>
      </c>
      <c r="E74" s="124">
        <f t="shared" si="7"/>
        <v>0</v>
      </c>
      <c r="F74" s="124">
        <f t="shared" si="8"/>
        <v>27197945613429.09</v>
      </c>
    </row>
    <row r="75" spans="1:6" x14ac:dyDescent="0.25">
      <c r="A75" s="83" t="s">
        <v>1099</v>
      </c>
      <c r="B75" s="42">
        <v>1</v>
      </c>
      <c r="C75" s="60">
        <f>IFERROR(C18/$B61,0)</f>
        <v>109.22353435187127</v>
      </c>
      <c r="D75" s="60">
        <f>IFERROR(D18/$B61,0)</f>
        <v>6.0499245233103265</v>
      </c>
      <c r="E75" s="124">
        <f t="shared" si="7"/>
        <v>0.38228237023154943</v>
      </c>
      <c r="F75" s="124">
        <f t="shared" si="8"/>
        <v>2.117473583158614E-2</v>
      </c>
    </row>
    <row r="76" spans="1:6" x14ac:dyDescent="0.25">
      <c r="A76" s="83" t="s">
        <v>1100</v>
      </c>
      <c r="B76" s="42">
        <v>1.339E-6</v>
      </c>
      <c r="C76" s="60">
        <f>IFERROR(C27/$B62,0)</f>
        <v>0</v>
      </c>
      <c r="D76" s="60">
        <f>IFERROR(D27/$B62,0)</f>
        <v>8094914541024052</v>
      </c>
      <c r="E76" s="124">
        <f t="shared" si="7"/>
        <v>0</v>
      </c>
      <c r="F76" s="124">
        <f t="shared" si="8"/>
        <v>28332200893584.184</v>
      </c>
    </row>
  </sheetData>
  <sheetProtection algorithmName="SHA-512" hashValue="tY/ctCD6YdNFC5WPTkTMg/DBxEFiFblgzyI9MU5zGyCRMnQsIuy+qrLG+pX5cR+1+TZAqib7DGI4h3cuwZQJLA==" saltValue="f6RMI6uRWJjENp/znmUmQA==" spinCount="100000" sheet="1" objects="1" scenarios="1" formatColumns="0" formatRows="0" autoFilter="0"/>
  <autoFilter ref="A1:F76" xr:uid="{00000000-0009-0000-0000-000017000000}"/>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BC30"/>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4" bestFit="1" customWidth="1"/>
    <col min="2" max="2" width="11.5703125" style="4" bestFit="1" customWidth="1"/>
    <col min="3" max="3" width="10.28515625" style="4" customWidth="1"/>
    <col min="4" max="4" width="9" style="4" bestFit="1" customWidth="1"/>
    <col min="5" max="8" width="9" style="5" bestFit="1" customWidth="1"/>
    <col min="9" max="9" width="9.85546875" style="5" bestFit="1" customWidth="1"/>
    <col min="10" max="10" width="11" style="5" bestFit="1" customWidth="1"/>
    <col min="11" max="11" width="9.7109375" style="5" customWidth="1"/>
    <col min="12" max="12" width="10.7109375" style="5" customWidth="1"/>
    <col min="13" max="14" width="10.7109375" style="5" bestFit="1" customWidth="1"/>
    <col min="15" max="15" width="11.85546875" style="5" bestFit="1" customWidth="1"/>
    <col min="16" max="17" width="9.7109375" style="5" bestFit="1" customWidth="1"/>
    <col min="18" max="19" width="10.7109375" style="5" bestFit="1" customWidth="1"/>
    <col min="20" max="20" width="11.85546875" style="5" bestFit="1" customWidth="1"/>
    <col min="21" max="21" width="9.85546875" style="5" bestFit="1" customWidth="1"/>
    <col min="22" max="22" width="9.7109375" style="5" bestFit="1" customWidth="1"/>
    <col min="23" max="24" width="10.7109375" style="5" bestFit="1" customWidth="1"/>
    <col min="25" max="25" width="11.85546875" style="5" bestFit="1" customWidth="1"/>
    <col min="26" max="26" width="10.42578125" style="5" customWidth="1"/>
    <col min="27" max="27" width="10.28515625" style="5" customWidth="1"/>
    <col min="28" max="29" width="11.28515625" style="5" customWidth="1"/>
    <col min="30" max="30" width="12.42578125" style="5" bestFit="1" customWidth="1"/>
    <col min="31" max="31" width="12.5703125" style="5" bestFit="1" customWidth="1"/>
    <col min="32" max="32" width="10.5703125" style="5" customWidth="1"/>
    <col min="33" max="33" width="11" style="5" bestFit="1" customWidth="1"/>
    <col min="34" max="34" width="10.5703125" style="5" bestFit="1" customWidth="1"/>
    <col min="35" max="35" width="10.28515625" style="5" bestFit="1" customWidth="1"/>
    <col min="36" max="36" width="14.5703125" style="5" bestFit="1" customWidth="1"/>
    <col min="37" max="37" width="10.28515625" style="5" bestFit="1" customWidth="1"/>
    <col min="38" max="38" width="12.42578125" style="5" bestFit="1" customWidth="1"/>
    <col min="39" max="39" width="11.7109375" style="5" bestFit="1" customWidth="1"/>
    <col min="40" max="40" width="16.28515625" style="5" bestFit="1" customWidth="1"/>
    <col min="41" max="41" width="11.5703125" style="5" bestFit="1" customWidth="1"/>
    <col min="42" max="42" width="16.140625" style="5" bestFit="1" customWidth="1"/>
    <col min="43" max="43" width="9.85546875" style="5" bestFit="1" customWidth="1"/>
    <col min="44" max="44" width="9.5703125" style="5" bestFit="1" customWidth="1"/>
    <col min="45" max="45" width="9" style="5" bestFit="1" customWidth="1"/>
    <col min="46" max="46" width="11.85546875" style="5" bestFit="1" customWidth="1"/>
    <col min="47" max="47" width="11.28515625" style="5" bestFit="1" customWidth="1"/>
    <col min="48" max="48" width="9" style="5" bestFit="1" customWidth="1"/>
    <col min="49" max="49" width="8.5703125" style="4" bestFit="1" customWidth="1"/>
    <col min="50" max="50" width="11.5703125" style="4" bestFit="1" customWidth="1"/>
    <col min="51" max="51" width="11.42578125" style="5" bestFit="1" customWidth="1"/>
    <col min="52" max="52" width="11" style="4" bestFit="1" customWidth="1"/>
    <col min="53" max="53" width="12.7109375" style="4" bestFit="1" customWidth="1"/>
    <col min="54" max="55" width="9" style="4" bestFit="1" customWidth="1"/>
    <col min="56" max="16384" width="9.140625" style="4"/>
  </cols>
  <sheetData>
    <row r="1" spans="1:55" s="9" customFormat="1" x14ac:dyDescent="0.25">
      <c r="A1" s="78" t="s">
        <v>51</v>
      </c>
      <c r="B1" s="79" t="s">
        <v>350</v>
      </c>
      <c r="C1" s="79" t="s">
        <v>362</v>
      </c>
      <c r="D1" s="6" t="s">
        <v>0</v>
      </c>
      <c r="E1" s="6" t="s">
        <v>1</v>
      </c>
      <c r="F1" s="6" t="s">
        <v>2</v>
      </c>
      <c r="G1" s="6" t="s">
        <v>3</v>
      </c>
      <c r="H1" s="6" t="s">
        <v>4</v>
      </c>
      <c r="I1" s="6" t="s">
        <v>5</v>
      </c>
      <c r="J1" s="6" t="s">
        <v>6</v>
      </c>
      <c r="K1" s="6" t="s">
        <v>7</v>
      </c>
      <c r="L1" s="6" t="s">
        <v>8</v>
      </c>
      <c r="M1" s="6" t="s">
        <v>9</v>
      </c>
      <c r="N1" s="6" t="s">
        <v>10</v>
      </c>
      <c r="O1" s="6" t="s">
        <v>11</v>
      </c>
      <c r="P1" s="11" t="s">
        <v>41</v>
      </c>
      <c r="Q1" s="11" t="s">
        <v>42</v>
      </c>
      <c r="R1" s="11" t="s">
        <v>43</v>
      </c>
      <c r="S1" s="11" t="s">
        <v>44</v>
      </c>
      <c r="T1" s="11" t="s">
        <v>45</v>
      </c>
      <c r="U1" s="13" t="s">
        <v>46</v>
      </c>
      <c r="V1" s="13" t="s">
        <v>47</v>
      </c>
      <c r="W1" s="13" t="s">
        <v>48</v>
      </c>
      <c r="X1" s="13" t="s">
        <v>49</v>
      </c>
      <c r="Y1" s="13" t="s">
        <v>50</v>
      </c>
      <c r="Z1" s="6" t="s">
        <v>363</v>
      </c>
      <c r="AA1" s="6" t="s">
        <v>364</v>
      </c>
      <c r="AB1" s="6" t="s">
        <v>365</v>
      </c>
      <c r="AC1" s="6" t="s">
        <v>366</v>
      </c>
      <c r="AD1" s="6" t="s">
        <v>367</v>
      </c>
      <c r="AE1" s="110" t="s">
        <v>337</v>
      </c>
      <c r="AF1" s="7" t="s">
        <v>338</v>
      </c>
      <c r="AG1" s="108" t="s">
        <v>339</v>
      </c>
      <c r="AH1" s="108" t="s">
        <v>340</v>
      </c>
      <c r="AI1" s="108" t="s">
        <v>341</v>
      </c>
      <c r="AJ1" s="108" t="s">
        <v>342</v>
      </c>
      <c r="AK1" s="108" t="s">
        <v>343</v>
      </c>
      <c r="AL1" s="108" t="s">
        <v>344</v>
      </c>
      <c r="AM1" s="108" t="s">
        <v>1070</v>
      </c>
      <c r="AN1" s="108" t="s">
        <v>1073</v>
      </c>
      <c r="AO1" s="108" t="s">
        <v>1071</v>
      </c>
      <c r="AP1" s="108" t="s">
        <v>1072</v>
      </c>
      <c r="AQ1" s="109" t="s">
        <v>345</v>
      </c>
      <c r="AR1" s="108" t="s">
        <v>346</v>
      </c>
      <c r="AS1" s="109" t="s">
        <v>209</v>
      </c>
      <c r="AT1" s="8" t="s">
        <v>347</v>
      </c>
      <c r="AU1" s="8" t="s">
        <v>348</v>
      </c>
      <c r="AV1" s="107" t="s">
        <v>354</v>
      </c>
      <c r="AW1" s="9" t="s">
        <v>355</v>
      </c>
      <c r="AX1" s="10" t="s">
        <v>360</v>
      </c>
      <c r="AY1" s="10" t="s">
        <v>359</v>
      </c>
      <c r="AZ1" s="10" t="s">
        <v>358</v>
      </c>
      <c r="BA1" s="106" t="s">
        <v>361</v>
      </c>
      <c r="BB1" s="9" t="s">
        <v>373</v>
      </c>
      <c r="BC1" s="9" t="s">
        <v>376</v>
      </c>
    </row>
    <row r="2" spans="1:55" s="3" customFormat="1" x14ac:dyDescent="0.25">
      <c r="A2" s="44" t="s">
        <v>12</v>
      </c>
      <c r="B2" s="42" t="s">
        <v>1074</v>
      </c>
      <c r="C2" s="42"/>
      <c r="D2" s="5">
        <v>5</v>
      </c>
      <c r="E2" s="5">
        <v>5</v>
      </c>
      <c r="F2" s="5">
        <v>5</v>
      </c>
      <c r="G2" s="5">
        <v>5</v>
      </c>
      <c r="H2" s="5">
        <v>5</v>
      </c>
      <c r="I2" s="5">
        <v>5</v>
      </c>
      <c r="J2" s="5">
        <v>5</v>
      </c>
      <c r="K2" s="5">
        <v>5</v>
      </c>
      <c r="L2" s="5">
        <v>5</v>
      </c>
      <c r="M2" s="5">
        <v>5</v>
      </c>
      <c r="N2" s="5">
        <v>5</v>
      </c>
      <c r="O2" s="5">
        <v>5</v>
      </c>
      <c r="P2" s="12">
        <v>0.98115942028985503</v>
      </c>
      <c r="Q2" s="12">
        <v>0.94192634560906496</v>
      </c>
      <c r="R2" s="12">
        <v>0.931707317073171</v>
      </c>
      <c r="S2" s="12">
        <v>0.91452991452991494</v>
      </c>
      <c r="T2" s="12">
        <v>0.91685393258426995</v>
      </c>
      <c r="U2" s="12">
        <v>1.1999999999999999E-3</v>
      </c>
      <c r="V2" s="12">
        <v>0.02</v>
      </c>
      <c r="W2" s="12">
        <v>0.01</v>
      </c>
      <c r="X2" s="12">
        <v>1.4999999999999999E-2</v>
      </c>
      <c r="Y2" s="12">
        <v>1.7999999999999999E-2</v>
      </c>
      <c r="Z2" s="105">
        <f t="shared" ref="Z2:AD17" si="0">0.4*U2</f>
        <v>4.7999999999999996E-4</v>
      </c>
      <c r="AA2" s="105">
        <f t="shared" si="0"/>
        <v>8.0000000000000002E-3</v>
      </c>
      <c r="AB2" s="105">
        <f t="shared" si="0"/>
        <v>4.0000000000000001E-3</v>
      </c>
      <c r="AC2" s="105">
        <f t="shared" si="0"/>
        <v>6.0000000000000001E-3</v>
      </c>
      <c r="AD2" s="105">
        <f t="shared" si="0"/>
        <v>7.1999999999999998E-3</v>
      </c>
      <c r="AE2" s="5">
        <v>5</v>
      </c>
      <c r="AF2" s="15">
        <v>225</v>
      </c>
      <c r="AG2" s="5">
        <v>5</v>
      </c>
      <c r="AH2" s="5">
        <v>5</v>
      </c>
      <c r="AI2" s="5">
        <v>5</v>
      </c>
      <c r="AJ2" s="5">
        <v>5</v>
      </c>
      <c r="AK2" s="5">
        <v>5</v>
      </c>
      <c r="AL2" s="5">
        <v>5</v>
      </c>
      <c r="AM2" s="5">
        <v>5</v>
      </c>
      <c r="AN2" s="5">
        <v>5</v>
      </c>
      <c r="AO2" s="5">
        <v>5</v>
      </c>
      <c r="AP2" s="5">
        <v>5</v>
      </c>
      <c r="AQ2" s="5">
        <v>5</v>
      </c>
      <c r="AR2" s="5">
        <v>5</v>
      </c>
      <c r="AS2" s="5">
        <v>5</v>
      </c>
      <c r="AT2" s="15">
        <v>5.0000000000000001E-4</v>
      </c>
      <c r="AU2" s="15">
        <v>25.294499999999999</v>
      </c>
      <c r="AV2" s="5">
        <v>5</v>
      </c>
      <c r="AW2" s="42">
        <v>225</v>
      </c>
      <c r="AX2" s="105">
        <f t="shared" ref="AX2:AX30" si="1">AZ2+s_lambda_HL</f>
        <v>5.5000000000000002E-5</v>
      </c>
      <c r="AY2" s="105">
        <f t="shared" ref="AY2:AY30" si="2">AZ2+(0.693/s_t_w)</f>
        <v>0.1386</v>
      </c>
      <c r="AZ2" s="105">
        <v>0</v>
      </c>
      <c r="BA2" s="5">
        <v>10</v>
      </c>
      <c r="BB2" s="105">
        <f t="shared" ref="BB2" si="3">AR2</f>
        <v>5</v>
      </c>
      <c r="BC2" s="105">
        <f t="shared" ref="BC2" si="4">AQ2</f>
        <v>5</v>
      </c>
    </row>
    <row r="3" spans="1:55" s="3" customFormat="1" x14ac:dyDescent="0.25">
      <c r="A3" s="46" t="s">
        <v>13</v>
      </c>
      <c r="B3" s="42" t="s">
        <v>351</v>
      </c>
      <c r="C3" s="42"/>
      <c r="D3" s="5">
        <v>5</v>
      </c>
      <c r="E3" s="5">
        <v>5</v>
      </c>
      <c r="F3" s="5">
        <v>5</v>
      </c>
      <c r="G3" s="5">
        <v>5</v>
      </c>
      <c r="H3" s="5">
        <v>5</v>
      </c>
      <c r="I3" s="5">
        <v>5</v>
      </c>
      <c r="J3" s="5">
        <v>5</v>
      </c>
      <c r="K3" s="5">
        <v>5</v>
      </c>
      <c r="L3" s="5">
        <v>5</v>
      </c>
      <c r="M3" s="5">
        <v>5</v>
      </c>
      <c r="N3" s="5">
        <v>5</v>
      </c>
      <c r="O3" s="5">
        <v>5</v>
      </c>
      <c r="P3" s="12">
        <v>0.98581560283687897</v>
      </c>
      <c r="Q3" s="12">
        <v>0.95726495726495697</v>
      </c>
      <c r="R3" s="12">
        <v>0.93096234309623405</v>
      </c>
      <c r="S3" s="12">
        <v>0.90049751243781095</v>
      </c>
      <c r="T3" s="12">
        <v>0.87357630979498901</v>
      </c>
      <c r="U3" s="12">
        <v>6.7000000000000002E-5</v>
      </c>
      <c r="V3" s="12">
        <v>1.4999999999999999E-4</v>
      </c>
      <c r="W3" s="12">
        <v>1.1E-4</v>
      </c>
      <c r="X3" s="12">
        <v>1.4999999999999999E-4</v>
      </c>
      <c r="Y3" s="12">
        <v>1.4999999999999999E-4</v>
      </c>
      <c r="Z3" s="105">
        <f t="shared" si="0"/>
        <v>2.6800000000000001E-5</v>
      </c>
      <c r="AA3" s="105">
        <f t="shared" si="0"/>
        <v>5.9999999999999995E-5</v>
      </c>
      <c r="AB3" s="105">
        <f t="shared" si="0"/>
        <v>4.4000000000000006E-5</v>
      </c>
      <c r="AC3" s="105">
        <f t="shared" si="0"/>
        <v>5.9999999999999995E-5</v>
      </c>
      <c r="AD3" s="105">
        <f t="shared" si="0"/>
        <v>5.9999999999999995E-5</v>
      </c>
      <c r="AE3" s="5">
        <v>5</v>
      </c>
      <c r="AF3" s="15">
        <v>241</v>
      </c>
      <c r="AG3" s="5">
        <v>5</v>
      </c>
      <c r="AH3" s="5">
        <v>5</v>
      </c>
      <c r="AI3" s="5">
        <v>5</v>
      </c>
      <c r="AJ3" s="5">
        <v>5</v>
      </c>
      <c r="AK3" s="5">
        <v>5</v>
      </c>
      <c r="AL3" s="5">
        <v>5</v>
      </c>
      <c r="AM3" s="5">
        <v>5</v>
      </c>
      <c r="AN3" s="5">
        <v>5</v>
      </c>
      <c r="AO3" s="5">
        <v>5</v>
      </c>
      <c r="AP3" s="5">
        <v>5</v>
      </c>
      <c r="AQ3" s="5">
        <v>5</v>
      </c>
      <c r="AR3" s="5">
        <v>5</v>
      </c>
      <c r="AS3" s="5">
        <v>5</v>
      </c>
      <c r="AT3" s="15">
        <v>5.0000000000000001E-4</v>
      </c>
      <c r="AU3" s="15">
        <v>1.60342434058306E-3</v>
      </c>
      <c r="AV3" s="5">
        <v>5</v>
      </c>
      <c r="AW3" s="42">
        <v>241</v>
      </c>
      <c r="AX3" s="105">
        <f t="shared" si="1"/>
        <v>5.5000000000000002E-5</v>
      </c>
      <c r="AY3" s="105">
        <f t="shared" si="2"/>
        <v>0.1386</v>
      </c>
      <c r="AZ3" s="105">
        <v>0</v>
      </c>
      <c r="BA3" s="5">
        <v>157753</v>
      </c>
      <c r="BB3" s="105">
        <f>AR3</f>
        <v>5</v>
      </c>
      <c r="BC3" s="105">
        <f>AQ3</f>
        <v>5</v>
      </c>
    </row>
    <row r="4" spans="1:55" s="3" customFormat="1" x14ac:dyDescent="0.25">
      <c r="A4" s="44" t="s">
        <v>14</v>
      </c>
      <c r="B4" s="42" t="s">
        <v>1074</v>
      </c>
      <c r="C4" s="42"/>
      <c r="D4" s="5">
        <v>5</v>
      </c>
      <c r="E4" s="5">
        <v>5</v>
      </c>
      <c r="F4" s="5">
        <v>5</v>
      </c>
      <c r="G4" s="5">
        <v>5</v>
      </c>
      <c r="H4" s="5">
        <v>5</v>
      </c>
      <c r="I4" s="5">
        <v>5</v>
      </c>
      <c r="J4" s="5">
        <v>5</v>
      </c>
      <c r="K4" s="5">
        <v>5</v>
      </c>
      <c r="L4" s="5">
        <v>5</v>
      </c>
      <c r="M4" s="5">
        <v>5</v>
      </c>
      <c r="N4" s="5">
        <v>5</v>
      </c>
      <c r="O4" s="5">
        <v>5</v>
      </c>
      <c r="P4" s="12">
        <v>0.914201183431953</v>
      </c>
      <c r="Q4" s="12">
        <v>0.85714285714285698</v>
      </c>
      <c r="R4" s="12">
        <v>0.90909090909090895</v>
      </c>
      <c r="S4" s="12">
        <v>0.91269841269841301</v>
      </c>
      <c r="T4" s="12">
        <v>0.89869753979739497</v>
      </c>
      <c r="U4" s="12">
        <v>1.4E-2</v>
      </c>
      <c r="V4" s="12">
        <v>4.4999999999999998E-2</v>
      </c>
      <c r="W4" s="12">
        <v>2.5999999999999999E-2</v>
      </c>
      <c r="X4" s="12">
        <v>3.5999999999999997E-2</v>
      </c>
      <c r="Y4" s="12">
        <v>4.2000000000000003E-2</v>
      </c>
      <c r="Z4" s="105">
        <f t="shared" si="0"/>
        <v>5.6000000000000008E-3</v>
      </c>
      <c r="AA4" s="105">
        <f t="shared" si="0"/>
        <v>1.7999999999999999E-2</v>
      </c>
      <c r="AB4" s="105">
        <f t="shared" si="0"/>
        <v>1.04E-2</v>
      </c>
      <c r="AC4" s="105">
        <f t="shared" si="0"/>
        <v>1.44E-2</v>
      </c>
      <c r="AD4" s="105">
        <f t="shared" si="0"/>
        <v>1.6800000000000002E-2</v>
      </c>
      <c r="AE4" s="5">
        <v>5</v>
      </c>
      <c r="AF4" s="15">
        <v>217</v>
      </c>
      <c r="AG4" s="5">
        <v>5</v>
      </c>
      <c r="AH4" s="5">
        <v>5</v>
      </c>
      <c r="AI4" s="5">
        <v>5</v>
      </c>
      <c r="AJ4" s="5">
        <v>5</v>
      </c>
      <c r="AK4" s="5">
        <v>5</v>
      </c>
      <c r="AL4" s="5">
        <v>5</v>
      </c>
      <c r="AM4" s="5">
        <v>5</v>
      </c>
      <c r="AN4" s="5">
        <v>5</v>
      </c>
      <c r="AO4" s="5">
        <v>5</v>
      </c>
      <c r="AP4" s="5">
        <v>5</v>
      </c>
      <c r="AQ4" s="5">
        <v>5</v>
      </c>
      <c r="AR4" s="5">
        <v>5</v>
      </c>
      <c r="AS4" s="5">
        <v>5</v>
      </c>
      <c r="AT4" s="15"/>
      <c r="AU4" s="15">
        <v>676608297.21362197</v>
      </c>
      <c r="AV4" s="5">
        <v>5</v>
      </c>
      <c r="AW4" s="42">
        <v>217</v>
      </c>
      <c r="AX4" s="105">
        <f t="shared" si="1"/>
        <v>5.5000000000000002E-5</v>
      </c>
      <c r="AY4" s="105">
        <f t="shared" si="2"/>
        <v>0.1386</v>
      </c>
      <c r="AZ4" s="105">
        <v>0</v>
      </c>
      <c r="BA4" s="5">
        <v>3.7384259259259298E-7</v>
      </c>
      <c r="BB4" s="105">
        <f t="shared" ref="BB4:BB21" si="5">AR4</f>
        <v>5</v>
      </c>
      <c r="BC4" s="105">
        <f t="shared" ref="BC4:BC30" si="6">AQ4</f>
        <v>5</v>
      </c>
    </row>
    <row r="5" spans="1:55" s="3" customFormat="1" x14ac:dyDescent="0.25">
      <c r="A5" s="44" t="s">
        <v>15</v>
      </c>
      <c r="B5" s="42" t="s">
        <v>1074</v>
      </c>
      <c r="C5" s="42"/>
      <c r="D5" s="5">
        <v>5</v>
      </c>
      <c r="E5" s="5">
        <v>5</v>
      </c>
      <c r="F5" s="5">
        <v>5</v>
      </c>
      <c r="G5" s="5">
        <v>5</v>
      </c>
      <c r="H5" s="5">
        <v>5</v>
      </c>
      <c r="I5" s="5">
        <v>5</v>
      </c>
      <c r="J5" s="5">
        <v>5</v>
      </c>
      <c r="K5" s="5">
        <v>5</v>
      </c>
      <c r="L5" s="5">
        <v>5</v>
      </c>
      <c r="M5" s="5">
        <v>5</v>
      </c>
      <c r="N5" s="5">
        <v>5</v>
      </c>
      <c r="O5" s="5">
        <v>5</v>
      </c>
      <c r="P5" s="12">
        <v>0.9</v>
      </c>
      <c r="Q5" s="12">
        <v>0.9</v>
      </c>
      <c r="R5" s="12">
        <v>0.9</v>
      </c>
      <c r="S5" s="12">
        <v>0.9</v>
      </c>
      <c r="T5" s="12">
        <v>0.9</v>
      </c>
      <c r="U5" s="12">
        <v>0</v>
      </c>
      <c r="V5" s="12">
        <v>0</v>
      </c>
      <c r="W5" s="12">
        <v>0</v>
      </c>
      <c r="X5" s="12">
        <v>0</v>
      </c>
      <c r="Y5" s="12">
        <v>0</v>
      </c>
      <c r="Z5" s="105">
        <f t="shared" si="0"/>
        <v>0</v>
      </c>
      <c r="AA5" s="105">
        <f t="shared" si="0"/>
        <v>0</v>
      </c>
      <c r="AB5" s="105">
        <f t="shared" si="0"/>
        <v>0</v>
      </c>
      <c r="AC5" s="105">
        <f t="shared" si="0"/>
        <v>0</v>
      </c>
      <c r="AD5" s="105">
        <f t="shared" si="0"/>
        <v>0</v>
      </c>
      <c r="AE5" s="5">
        <v>5</v>
      </c>
      <c r="AF5" s="15">
        <v>218</v>
      </c>
      <c r="AG5" s="5">
        <v>5</v>
      </c>
      <c r="AH5" s="5">
        <v>5</v>
      </c>
      <c r="AI5" s="5">
        <v>5</v>
      </c>
      <c r="AJ5" s="5">
        <v>5</v>
      </c>
      <c r="AK5" s="5">
        <v>5</v>
      </c>
      <c r="AL5" s="5">
        <v>5</v>
      </c>
      <c r="AM5" s="5">
        <v>5</v>
      </c>
      <c r="AN5" s="5">
        <v>5</v>
      </c>
      <c r="AO5" s="5">
        <v>5</v>
      </c>
      <c r="AP5" s="5">
        <v>5</v>
      </c>
      <c r="AQ5" s="5">
        <v>5</v>
      </c>
      <c r="AR5" s="5">
        <v>5</v>
      </c>
      <c r="AS5" s="5">
        <v>5</v>
      </c>
      <c r="AT5" s="15"/>
      <c r="AU5" s="15">
        <v>14569632</v>
      </c>
      <c r="AV5" s="5">
        <v>5</v>
      </c>
      <c r="AW5" s="42">
        <v>218</v>
      </c>
      <c r="AX5" s="105">
        <f t="shared" si="1"/>
        <v>5.5000000000000002E-5</v>
      </c>
      <c r="AY5" s="105">
        <f t="shared" si="2"/>
        <v>0.1386</v>
      </c>
      <c r="AZ5" s="105">
        <v>0</v>
      </c>
      <c r="BA5" s="5">
        <v>1.7361111111111101E-5</v>
      </c>
      <c r="BB5" s="105">
        <f t="shared" si="5"/>
        <v>5</v>
      </c>
      <c r="BC5" s="105">
        <f t="shared" si="6"/>
        <v>5</v>
      </c>
    </row>
    <row r="6" spans="1:55" s="3" customFormat="1" x14ac:dyDescent="0.25">
      <c r="A6" s="44" t="s">
        <v>16</v>
      </c>
      <c r="B6" s="42" t="s">
        <v>1074</v>
      </c>
      <c r="C6" s="42"/>
      <c r="D6" s="5">
        <v>5</v>
      </c>
      <c r="E6" s="5">
        <v>5</v>
      </c>
      <c r="F6" s="5">
        <v>5</v>
      </c>
      <c r="G6" s="5">
        <v>5</v>
      </c>
      <c r="H6" s="5">
        <v>5</v>
      </c>
      <c r="I6" s="5">
        <v>5</v>
      </c>
      <c r="J6" s="5">
        <v>5</v>
      </c>
      <c r="K6" s="5">
        <v>5</v>
      </c>
      <c r="L6" s="5">
        <v>5</v>
      </c>
      <c r="M6" s="5">
        <v>5</v>
      </c>
      <c r="N6" s="5">
        <v>5</v>
      </c>
      <c r="O6" s="5">
        <v>5</v>
      </c>
      <c r="P6" s="12">
        <v>0.88636363636363602</v>
      </c>
      <c r="Q6" s="12">
        <v>0.91519434628975305</v>
      </c>
      <c r="R6" s="12">
        <v>0.93487394957983205</v>
      </c>
      <c r="S6" s="12">
        <v>0.91752577319587603</v>
      </c>
      <c r="T6" s="12">
        <v>0.95541401273885396</v>
      </c>
      <c r="U6" s="12">
        <v>2.7E-2</v>
      </c>
      <c r="V6" s="12">
        <v>8.2000000000000003E-2</v>
      </c>
      <c r="W6" s="12">
        <v>4.2999999999999997E-2</v>
      </c>
      <c r="X6" s="12">
        <v>6.2E-2</v>
      </c>
      <c r="Y6" s="12">
        <v>7.1999999999999995E-2</v>
      </c>
      <c r="Z6" s="105">
        <f t="shared" si="0"/>
        <v>1.0800000000000001E-2</v>
      </c>
      <c r="AA6" s="105">
        <f t="shared" si="0"/>
        <v>3.2800000000000003E-2</v>
      </c>
      <c r="AB6" s="105">
        <f t="shared" si="0"/>
        <v>1.72E-2</v>
      </c>
      <c r="AC6" s="105">
        <f t="shared" si="0"/>
        <v>2.4800000000000003E-2</v>
      </c>
      <c r="AD6" s="105">
        <f t="shared" si="0"/>
        <v>2.8799999999999999E-2</v>
      </c>
      <c r="AE6" s="5">
        <v>5</v>
      </c>
      <c r="AF6" s="15">
        <v>137</v>
      </c>
      <c r="AG6" s="5">
        <v>5</v>
      </c>
      <c r="AH6" s="5">
        <v>5</v>
      </c>
      <c r="AI6" s="5">
        <v>5</v>
      </c>
      <c r="AJ6" s="5">
        <v>5</v>
      </c>
      <c r="AK6" s="5">
        <v>5</v>
      </c>
      <c r="AL6" s="5">
        <v>5</v>
      </c>
      <c r="AM6" s="5">
        <v>5</v>
      </c>
      <c r="AN6" s="5">
        <v>5</v>
      </c>
      <c r="AO6" s="5">
        <v>5</v>
      </c>
      <c r="AP6" s="5">
        <v>5</v>
      </c>
      <c r="AQ6" s="5">
        <v>5</v>
      </c>
      <c r="AR6" s="5">
        <v>5</v>
      </c>
      <c r="AS6" s="5">
        <v>5</v>
      </c>
      <c r="AT6" s="15"/>
      <c r="AU6" s="15">
        <v>142727.58620689699</v>
      </c>
      <c r="AV6" s="5">
        <v>5</v>
      </c>
      <c r="AW6" s="42">
        <v>137</v>
      </c>
      <c r="AX6" s="105">
        <f t="shared" si="1"/>
        <v>5.5000000000000002E-5</v>
      </c>
      <c r="AY6" s="105">
        <f t="shared" si="2"/>
        <v>0.1386</v>
      </c>
      <c r="AZ6" s="105">
        <v>0</v>
      </c>
      <c r="BA6" s="5">
        <v>1.77222222222222E-3</v>
      </c>
      <c r="BB6" s="105">
        <f t="shared" si="5"/>
        <v>5</v>
      </c>
      <c r="BC6" s="105">
        <f t="shared" si="6"/>
        <v>5</v>
      </c>
    </row>
    <row r="7" spans="1:55" s="3" customFormat="1" x14ac:dyDescent="0.25">
      <c r="A7" s="44" t="s">
        <v>17</v>
      </c>
      <c r="B7" s="42" t="s">
        <v>1074</v>
      </c>
      <c r="C7" s="42"/>
      <c r="D7" s="5">
        <v>5</v>
      </c>
      <c r="E7" s="5">
        <v>5</v>
      </c>
      <c r="F7" s="5">
        <v>5</v>
      </c>
      <c r="G7" s="5">
        <v>5</v>
      </c>
      <c r="H7" s="5">
        <v>5</v>
      </c>
      <c r="I7" s="5">
        <v>5</v>
      </c>
      <c r="J7" s="5">
        <v>5</v>
      </c>
      <c r="K7" s="5">
        <v>5</v>
      </c>
      <c r="L7" s="5">
        <v>5</v>
      </c>
      <c r="M7" s="5">
        <v>5</v>
      </c>
      <c r="N7" s="5">
        <v>5</v>
      </c>
      <c r="O7" s="5">
        <v>5</v>
      </c>
      <c r="P7" s="12">
        <v>0.90997566909975702</v>
      </c>
      <c r="Q7" s="12">
        <v>0.867088607594937</v>
      </c>
      <c r="R7" s="12">
        <v>0.90839694656488501</v>
      </c>
      <c r="S7" s="12">
        <v>0.92993630573248398</v>
      </c>
      <c r="T7" s="12">
        <v>0.87429854096520798</v>
      </c>
      <c r="U7" s="12">
        <v>1.4E-2</v>
      </c>
      <c r="V7" s="12">
        <v>0.04</v>
      </c>
      <c r="W7" s="12">
        <v>2.4E-2</v>
      </c>
      <c r="X7" s="12">
        <v>3.2000000000000001E-2</v>
      </c>
      <c r="Y7" s="12">
        <v>3.6999999999999998E-2</v>
      </c>
      <c r="Z7" s="105">
        <f t="shared" si="0"/>
        <v>5.6000000000000008E-3</v>
      </c>
      <c r="AA7" s="105">
        <f t="shared" si="0"/>
        <v>1.6E-2</v>
      </c>
      <c r="AB7" s="105">
        <f t="shared" si="0"/>
        <v>9.6000000000000009E-3</v>
      </c>
      <c r="AC7" s="105">
        <f t="shared" si="0"/>
        <v>1.2800000000000001E-2</v>
      </c>
      <c r="AD7" s="105">
        <f t="shared" si="0"/>
        <v>1.4800000000000001E-2</v>
      </c>
      <c r="AE7" s="5">
        <v>5</v>
      </c>
      <c r="AF7" s="15">
        <v>210</v>
      </c>
      <c r="AG7" s="5">
        <v>5</v>
      </c>
      <c r="AH7" s="5">
        <v>5</v>
      </c>
      <c r="AI7" s="5">
        <v>5</v>
      </c>
      <c r="AJ7" s="5">
        <v>5</v>
      </c>
      <c r="AK7" s="5">
        <v>5</v>
      </c>
      <c r="AL7" s="5">
        <v>5</v>
      </c>
      <c r="AM7" s="5">
        <v>5</v>
      </c>
      <c r="AN7" s="5">
        <v>5</v>
      </c>
      <c r="AO7" s="5">
        <v>5</v>
      </c>
      <c r="AP7" s="5">
        <v>5</v>
      </c>
      <c r="AQ7" s="5">
        <v>5</v>
      </c>
      <c r="AR7" s="5">
        <v>5</v>
      </c>
      <c r="AS7" s="5">
        <v>5</v>
      </c>
      <c r="AT7" s="15">
        <v>0.05</v>
      </c>
      <c r="AU7" s="15">
        <v>50.457809694793497</v>
      </c>
      <c r="AV7" s="5">
        <v>5</v>
      </c>
      <c r="AW7" s="42">
        <v>210</v>
      </c>
      <c r="AX7" s="105">
        <f t="shared" si="1"/>
        <v>5.5000000000000002E-5</v>
      </c>
      <c r="AY7" s="105">
        <f t="shared" si="2"/>
        <v>0.1386</v>
      </c>
      <c r="AZ7" s="105">
        <v>0</v>
      </c>
      <c r="BA7" s="5">
        <v>5.0129999999999999</v>
      </c>
      <c r="BB7" s="105">
        <f t="shared" si="5"/>
        <v>5</v>
      </c>
      <c r="BC7" s="105">
        <f t="shared" si="6"/>
        <v>5</v>
      </c>
    </row>
    <row r="8" spans="1:55" s="3" customFormat="1" x14ac:dyDescent="0.25">
      <c r="A8" s="44" t="s">
        <v>18</v>
      </c>
      <c r="B8" s="42" t="s">
        <v>1074</v>
      </c>
      <c r="C8" s="42"/>
      <c r="D8" s="5">
        <v>5</v>
      </c>
      <c r="E8" s="5">
        <v>5</v>
      </c>
      <c r="F8" s="5">
        <v>5</v>
      </c>
      <c r="G8" s="5">
        <v>5</v>
      </c>
      <c r="H8" s="5">
        <v>5</v>
      </c>
      <c r="I8" s="5">
        <v>5</v>
      </c>
      <c r="J8" s="5">
        <v>5</v>
      </c>
      <c r="K8" s="5">
        <v>5</v>
      </c>
      <c r="L8" s="5">
        <v>5</v>
      </c>
      <c r="M8" s="5">
        <v>5</v>
      </c>
      <c r="N8" s="5">
        <v>5</v>
      </c>
      <c r="O8" s="5">
        <v>5</v>
      </c>
      <c r="P8" s="12">
        <v>0.88690476190476197</v>
      </c>
      <c r="Q8" s="12">
        <v>0.97311827956989205</v>
      </c>
      <c r="R8" s="12">
        <v>0.93904761904761902</v>
      </c>
      <c r="S8" s="12">
        <v>0.93809523809523798</v>
      </c>
      <c r="T8" s="12">
        <v>0.89295774647887305</v>
      </c>
      <c r="U8" s="12">
        <v>0.02</v>
      </c>
      <c r="V8" s="12">
        <v>6.2E-2</v>
      </c>
      <c r="W8" s="12">
        <v>3.5000000000000003E-2</v>
      </c>
      <c r="X8" s="12">
        <v>4.8000000000000001E-2</v>
      </c>
      <c r="Y8" s="12">
        <v>5.5E-2</v>
      </c>
      <c r="Z8" s="105">
        <f t="shared" si="0"/>
        <v>8.0000000000000002E-3</v>
      </c>
      <c r="AA8" s="105">
        <f t="shared" si="0"/>
        <v>2.4800000000000003E-2</v>
      </c>
      <c r="AB8" s="105">
        <f t="shared" si="0"/>
        <v>1.4000000000000002E-2</v>
      </c>
      <c r="AC8" s="105">
        <f t="shared" si="0"/>
        <v>1.9200000000000002E-2</v>
      </c>
      <c r="AD8" s="105">
        <f t="shared" si="0"/>
        <v>2.2000000000000002E-2</v>
      </c>
      <c r="AE8" s="5">
        <v>5</v>
      </c>
      <c r="AF8" s="15">
        <v>213</v>
      </c>
      <c r="AG8" s="5">
        <v>5</v>
      </c>
      <c r="AH8" s="5">
        <v>5</v>
      </c>
      <c r="AI8" s="5">
        <v>5</v>
      </c>
      <c r="AJ8" s="5">
        <v>5</v>
      </c>
      <c r="AK8" s="5">
        <v>5</v>
      </c>
      <c r="AL8" s="5">
        <v>5</v>
      </c>
      <c r="AM8" s="5">
        <v>5</v>
      </c>
      <c r="AN8" s="5">
        <v>5</v>
      </c>
      <c r="AO8" s="5">
        <v>5</v>
      </c>
      <c r="AP8" s="5">
        <v>5</v>
      </c>
      <c r="AQ8" s="5">
        <v>5</v>
      </c>
      <c r="AR8" s="5">
        <v>5</v>
      </c>
      <c r="AS8" s="5">
        <v>5</v>
      </c>
      <c r="AT8" s="15">
        <v>0.05</v>
      </c>
      <c r="AU8" s="15">
        <v>7989.4889230094304</v>
      </c>
      <c r="AV8" s="5">
        <v>5</v>
      </c>
      <c r="AW8" s="42">
        <v>213</v>
      </c>
      <c r="AX8" s="105">
        <f t="shared" si="1"/>
        <v>5.5000000000000002E-5</v>
      </c>
      <c r="AY8" s="105">
        <f t="shared" si="2"/>
        <v>0.1386</v>
      </c>
      <c r="AZ8" s="105">
        <v>0</v>
      </c>
      <c r="BA8" s="5">
        <v>3.16597222222222E-2</v>
      </c>
      <c r="BB8" s="105">
        <f t="shared" si="5"/>
        <v>5</v>
      </c>
      <c r="BC8" s="105">
        <f t="shared" si="6"/>
        <v>5</v>
      </c>
    </row>
    <row r="9" spans="1:55" s="3" customFormat="1" x14ac:dyDescent="0.25">
      <c r="A9" s="44" t="s">
        <v>19</v>
      </c>
      <c r="B9" s="42" t="s">
        <v>1074</v>
      </c>
      <c r="C9" s="42"/>
      <c r="D9" s="5">
        <v>5</v>
      </c>
      <c r="E9" s="5">
        <v>5</v>
      </c>
      <c r="F9" s="5">
        <v>5</v>
      </c>
      <c r="G9" s="5">
        <v>5</v>
      </c>
      <c r="H9" s="5">
        <v>5</v>
      </c>
      <c r="I9" s="5">
        <v>5</v>
      </c>
      <c r="J9" s="5">
        <v>5</v>
      </c>
      <c r="K9" s="5">
        <v>5</v>
      </c>
      <c r="L9" s="5">
        <v>5</v>
      </c>
      <c r="M9" s="5">
        <v>5</v>
      </c>
      <c r="N9" s="5">
        <v>5</v>
      </c>
      <c r="O9" s="5">
        <v>5</v>
      </c>
      <c r="P9" s="12">
        <v>0.86585365853658502</v>
      </c>
      <c r="Q9" s="12">
        <v>0.94236311239193105</v>
      </c>
      <c r="R9" s="12">
        <v>0.934579439252336</v>
      </c>
      <c r="S9" s="12">
        <v>0.94453004622496095</v>
      </c>
      <c r="T9" s="12">
        <v>0.9375</v>
      </c>
      <c r="U9" s="12">
        <v>3.9E-2</v>
      </c>
      <c r="V9" s="12">
        <v>0.13</v>
      </c>
      <c r="W9" s="12">
        <v>6.4000000000000001E-2</v>
      </c>
      <c r="X9" s="12">
        <v>0.09</v>
      </c>
      <c r="Y9" s="12">
        <v>0.11</v>
      </c>
      <c r="Z9" s="105">
        <f t="shared" si="0"/>
        <v>1.5600000000000001E-2</v>
      </c>
      <c r="AA9" s="105">
        <f t="shared" si="0"/>
        <v>5.2000000000000005E-2</v>
      </c>
      <c r="AB9" s="105">
        <f t="shared" si="0"/>
        <v>2.5600000000000001E-2</v>
      </c>
      <c r="AC9" s="105">
        <f t="shared" si="0"/>
        <v>3.5999999999999997E-2</v>
      </c>
      <c r="AD9" s="105">
        <f t="shared" si="0"/>
        <v>4.4000000000000004E-2</v>
      </c>
      <c r="AE9" s="5">
        <v>5</v>
      </c>
      <c r="AF9" s="15">
        <v>214</v>
      </c>
      <c r="AG9" s="5">
        <v>5</v>
      </c>
      <c r="AH9" s="5">
        <v>5</v>
      </c>
      <c r="AI9" s="5">
        <v>5</v>
      </c>
      <c r="AJ9" s="5">
        <v>5</v>
      </c>
      <c r="AK9" s="5">
        <v>5</v>
      </c>
      <c r="AL9" s="5">
        <v>5</v>
      </c>
      <c r="AM9" s="5">
        <v>5</v>
      </c>
      <c r="AN9" s="5">
        <v>5</v>
      </c>
      <c r="AO9" s="5">
        <v>5</v>
      </c>
      <c r="AP9" s="5">
        <v>5</v>
      </c>
      <c r="AQ9" s="5">
        <v>5</v>
      </c>
      <c r="AR9" s="5">
        <v>5</v>
      </c>
      <c r="AS9" s="5">
        <v>5</v>
      </c>
      <c r="AT9" s="15">
        <v>0.05</v>
      </c>
      <c r="AU9" s="15">
        <v>18303.557788944701</v>
      </c>
      <c r="AV9" s="5">
        <v>5</v>
      </c>
      <c r="AW9" s="42">
        <v>214</v>
      </c>
      <c r="AX9" s="105">
        <f t="shared" si="1"/>
        <v>5.5000000000000002E-5</v>
      </c>
      <c r="AY9" s="105">
        <f t="shared" si="2"/>
        <v>0.1386</v>
      </c>
      <c r="AZ9" s="105">
        <v>0</v>
      </c>
      <c r="BA9" s="5">
        <v>1.38194444444444E-2</v>
      </c>
      <c r="BB9" s="105">
        <f t="shared" si="5"/>
        <v>5</v>
      </c>
      <c r="BC9" s="105">
        <f t="shared" si="6"/>
        <v>5</v>
      </c>
    </row>
    <row r="10" spans="1:55" s="3" customFormat="1" x14ac:dyDescent="0.25">
      <c r="A10" s="46" t="s">
        <v>20</v>
      </c>
      <c r="B10" s="42" t="s">
        <v>351</v>
      </c>
      <c r="C10" s="42"/>
      <c r="D10" s="5">
        <v>5</v>
      </c>
      <c r="E10" s="5">
        <v>5</v>
      </c>
      <c r="F10" s="5">
        <v>5</v>
      </c>
      <c r="G10" s="5">
        <v>5</v>
      </c>
      <c r="H10" s="5">
        <v>5</v>
      </c>
      <c r="I10" s="5">
        <v>5</v>
      </c>
      <c r="J10" s="5">
        <v>5</v>
      </c>
      <c r="K10" s="5">
        <v>5</v>
      </c>
      <c r="L10" s="5">
        <v>5</v>
      </c>
      <c r="M10" s="5">
        <v>5</v>
      </c>
      <c r="N10" s="5">
        <v>5</v>
      </c>
      <c r="O10" s="5">
        <v>5</v>
      </c>
      <c r="P10" s="12">
        <v>0.90521327014218</v>
      </c>
      <c r="Q10" s="12">
        <v>0.85365853658536595</v>
      </c>
      <c r="R10" s="12">
        <v>0.91304347826086996</v>
      </c>
      <c r="S10" s="12">
        <v>0.92797118847538995</v>
      </c>
      <c r="T10" s="12">
        <v>0.87368421052631595</v>
      </c>
      <c r="U10" s="12">
        <v>2.7E-2</v>
      </c>
      <c r="V10" s="12">
        <v>7.4999999999999997E-2</v>
      </c>
      <c r="W10" s="12">
        <v>4.4999999999999998E-2</v>
      </c>
      <c r="X10" s="12">
        <v>6.2E-2</v>
      </c>
      <c r="Y10" s="12">
        <v>7.1999999999999995E-2</v>
      </c>
      <c r="Z10" s="105">
        <f t="shared" si="0"/>
        <v>1.0800000000000001E-2</v>
      </c>
      <c r="AA10" s="105">
        <f t="shared" si="0"/>
        <v>0.03</v>
      </c>
      <c r="AB10" s="105">
        <f t="shared" si="0"/>
        <v>1.7999999999999999E-2</v>
      </c>
      <c r="AC10" s="105">
        <f t="shared" si="0"/>
        <v>2.4800000000000003E-2</v>
      </c>
      <c r="AD10" s="105">
        <f t="shared" si="0"/>
        <v>2.8799999999999999E-2</v>
      </c>
      <c r="AE10" s="5">
        <v>5</v>
      </c>
      <c r="AF10" s="15">
        <v>137</v>
      </c>
      <c r="AG10" s="5">
        <v>5</v>
      </c>
      <c r="AH10" s="5">
        <v>5</v>
      </c>
      <c r="AI10" s="5">
        <v>5</v>
      </c>
      <c r="AJ10" s="5">
        <v>5</v>
      </c>
      <c r="AK10" s="5">
        <v>5</v>
      </c>
      <c r="AL10" s="5">
        <v>5</v>
      </c>
      <c r="AM10" s="5">
        <v>5</v>
      </c>
      <c r="AN10" s="5">
        <v>5</v>
      </c>
      <c r="AO10" s="5">
        <v>5</v>
      </c>
      <c r="AP10" s="5">
        <v>5</v>
      </c>
      <c r="AQ10" s="5">
        <v>5</v>
      </c>
      <c r="AR10" s="5">
        <v>5</v>
      </c>
      <c r="AS10" s="5">
        <v>5</v>
      </c>
      <c r="AT10" s="15">
        <v>1</v>
      </c>
      <c r="AU10" s="15">
        <v>2.2972045705420802E-2</v>
      </c>
      <c r="AV10" s="5">
        <v>5</v>
      </c>
      <c r="AW10" s="42">
        <v>137</v>
      </c>
      <c r="AX10" s="105">
        <f t="shared" si="1"/>
        <v>5.5000000000000002E-5</v>
      </c>
      <c r="AY10" s="105">
        <f t="shared" si="2"/>
        <v>0.1386</v>
      </c>
      <c r="AZ10" s="105">
        <v>0</v>
      </c>
      <c r="BA10" s="5">
        <v>11010.9915</v>
      </c>
      <c r="BB10" s="105">
        <f t="shared" si="5"/>
        <v>5</v>
      </c>
      <c r="BC10" s="105">
        <f t="shared" si="6"/>
        <v>5</v>
      </c>
    </row>
    <row r="11" spans="1:55" s="3" customFormat="1" x14ac:dyDescent="0.25">
      <c r="A11" s="44" t="s">
        <v>21</v>
      </c>
      <c r="B11" s="42" t="s">
        <v>1074</v>
      </c>
      <c r="C11" s="42"/>
      <c r="D11" s="5">
        <v>5</v>
      </c>
      <c r="E11" s="5">
        <v>5</v>
      </c>
      <c r="F11" s="5">
        <v>5</v>
      </c>
      <c r="G11" s="5">
        <v>5</v>
      </c>
      <c r="H11" s="5">
        <v>5</v>
      </c>
      <c r="I11" s="5">
        <v>5</v>
      </c>
      <c r="J11" s="5">
        <v>5</v>
      </c>
      <c r="K11" s="5">
        <v>5</v>
      </c>
      <c r="L11" s="5">
        <v>5</v>
      </c>
      <c r="M11" s="5">
        <v>5</v>
      </c>
      <c r="N11" s="5">
        <v>5</v>
      </c>
      <c r="O11" s="5">
        <v>5</v>
      </c>
      <c r="P11" s="12">
        <v>0.92753623188405798</v>
      </c>
      <c r="Q11" s="12">
        <v>0.82352941176470595</v>
      </c>
      <c r="R11" s="12">
        <v>0.890625</v>
      </c>
      <c r="S11" s="12">
        <v>0.908496732026144</v>
      </c>
      <c r="T11" s="12">
        <v>0.88038277511961704</v>
      </c>
      <c r="U11" s="12">
        <v>9.7999999999999997E-3</v>
      </c>
      <c r="V11" s="12">
        <v>2.5999999999999999E-2</v>
      </c>
      <c r="W11" s="12">
        <v>1.9E-2</v>
      </c>
      <c r="X11" s="12">
        <v>2.4E-2</v>
      </c>
      <c r="Y11" s="12">
        <v>2.5999999999999999E-2</v>
      </c>
      <c r="Z11" s="105">
        <f t="shared" si="0"/>
        <v>3.9199999999999999E-3</v>
      </c>
      <c r="AA11" s="105">
        <f t="shared" si="0"/>
        <v>1.04E-2</v>
      </c>
      <c r="AB11" s="105">
        <f t="shared" si="0"/>
        <v>7.6E-3</v>
      </c>
      <c r="AC11" s="105">
        <f t="shared" si="0"/>
        <v>9.6000000000000009E-3</v>
      </c>
      <c r="AD11" s="105">
        <f t="shared" si="0"/>
        <v>1.04E-2</v>
      </c>
      <c r="AE11" s="5">
        <v>5</v>
      </c>
      <c r="AF11" s="15">
        <v>221</v>
      </c>
      <c r="AG11" s="5">
        <v>5</v>
      </c>
      <c r="AH11" s="5">
        <v>5</v>
      </c>
      <c r="AI11" s="5">
        <v>5</v>
      </c>
      <c r="AJ11" s="5">
        <v>5</v>
      </c>
      <c r="AK11" s="5">
        <v>5</v>
      </c>
      <c r="AL11" s="5">
        <v>5</v>
      </c>
      <c r="AM11" s="5">
        <v>5</v>
      </c>
      <c r="AN11" s="5">
        <v>5</v>
      </c>
      <c r="AO11" s="5">
        <v>5</v>
      </c>
      <c r="AP11" s="5">
        <v>5</v>
      </c>
      <c r="AQ11" s="5">
        <v>5</v>
      </c>
      <c r="AR11" s="5">
        <v>5</v>
      </c>
      <c r="AS11" s="5">
        <v>5</v>
      </c>
      <c r="AT11" s="15"/>
      <c r="AU11" s="15">
        <v>74334.857142857101</v>
      </c>
      <c r="AV11" s="5">
        <v>5</v>
      </c>
      <c r="AW11" s="42">
        <v>221</v>
      </c>
      <c r="AX11" s="105">
        <f t="shared" si="1"/>
        <v>5.5000000000000002E-5</v>
      </c>
      <c r="AY11" s="105">
        <f t="shared" si="2"/>
        <v>0.1386</v>
      </c>
      <c r="AZ11" s="105">
        <v>0</v>
      </c>
      <c r="BA11" s="5">
        <v>3.4027777777777802E-3</v>
      </c>
      <c r="BB11" s="105">
        <f t="shared" si="5"/>
        <v>5</v>
      </c>
      <c r="BC11" s="105">
        <f t="shared" si="6"/>
        <v>5</v>
      </c>
    </row>
    <row r="12" spans="1:55" s="3" customFormat="1" x14ac:dyDescent="0.25">
      <c r="A12" s="44" t="s">
        <v>22</v>
      </c>
      <c r="B12" s="42" t="s">
        <v>1074</v>
      </c>
      <c r="C12" s="42"/>
      <c r="D12" s="5">
        <v>5</v>
      </c>
      <c r="E12" s="5">
        <v>5</v>
      </c>
      <c r="F12" s="5">
        <v>5</v>
      </c>
      <c r="G12" s="5">
        <v>5</v>
      </c>
      <c r="H12" s="5">
        <v>5</v>
      </c>
      <c r="I12" s="5">
        <v>5</v>
      </c>
      <c r="J12" s="5">
        <v>5</v>
      </c>
      <c r="K12" s="5">
        <v>5</v>
      </c>
      <c r="L12" s="5">
        <v>5</v>
      </c>
      <c r="M12" s="5">
        <v>5</v>
      </c>
      <c r="N12" s="5">
        <v>5</v>
      </c>
      <c r="O12" s="5">
        <v>5</v>
      </c>
      <c r="P12" s="12">
        <v>0.90184049079754602</v>
      </c>
      <c r="Q12" s="12">
        <v>0.89376053962900504</v>
      </c>
      <c r="R12" s="12">
        <v>0.92254901960784297</v>
      </c>
      <c r="S12" s="12">
        <v>0.92845528455284598</v>
      </c>
      <c r="T12" s="12">
        <v>0.88405797101449302</v>
      </c>
      <c r="U12" s="12">
        <v>1.6E-2</v>
      </c>
      <c r="V12" s="12">
        <v>0.05</v>
      </c>
      <c r="W12" s="12">
        <v>2.7E-2</v>
      </c>
      <c r="X12" s="12">
        <v>3.6999999999999998E-2</v>
      </c>
      <c r="Y12" s="12">
        <v>4.3999999999999997E-2</v>
      </c>
      <c r="Z12" s="105">
        <f t="shared" si="0"/>
        <v>6.4000000000000003E-3</v>
      </c>
      <c r="AA12" s="105">
        <f t="shared" si="0"/>
        <v>2.0000000000000004E-2</v>
      </c>
      <c r="AB12" s="105">
        <f t="shared" si="0"/>
        <v>1.0800000000000001E-2</v>
      </c>
      <c r="AC12" s="105">
        <f t="shared" si="0"/>
        <v>1.4800000000000001E-2</v>
      </c>
      <c r="AD12" s="105">
        <f t="shared" si="0"/>
        <v>1.7600000000000001E-2</v>
      </c>
      <c r="AE12" s="5">
        <v>5</v>
      </c>
      <c r="AF12" s="15">
        <v>206</v>
      </c>
      <c r="AG12" s="5">
        <v>5</v>
      </c>
      <c r="AH12" s="5">
        <v>5</v>
      </c>
      <c r="AI12" s="5">
        <v>5</v>
      </c>
      <c r="AJ12" s="5">
        <v>5</v>
      </c>
      <c r="AK12" s="5">
        <v>5</v>
      </c>
      <c r="AL12" s="5">
        <v>5</v>
      </c>
      <c r="AM12" s="5">
        <v>5</v>
      </c>
      <c r="AN12" s="5">
        <v>5</v>
      </c>
      <c r="AO12" s="5">
        <v>5</v>
      </c>
      <c r="AP12" s="5">
        <v>5</v>
      </c>
      <c r="AQ12" s="5">
        <v>5</v>
      </c>
      <c r="AR12" s="5">
        <v>5</v>
      </c>
      <c r="AS12" s="5">
        <v>5</v>
      </c>
      <c r="AT12" s="15"/>
      <c r="AU12" s="15">
        <v>44692.122699386498</v>
      </c>
      <c r="AV12" s="5">
        <v>5</v>
      </c>
      <c r="AW12" s="42">
        <v>206</v>
      </c>
      <c r="AX12" s="105">
        <f t="shared" si="1"/>
        <v>5.5000000000000002E-5</v>
      </c>
      <c r="AY12" s="105">
        <f t="shared" si="2"/>
        <v>0.1386</v>
      </c>
      <c r="AZ12" s="105">
        <v>0</v>
      </c>
      <c r="BA12" s="5">
        <v>5.6597222222222196E-3</v>
      </c>
      <c r="BB12" s="105">
        <f t="shared" si="5"/>
        <v>5</v>
      </c>
      <c r="BC12" s="105">
        <f t="shared" si="6"/>
        <v>5</v>
      </c>
    </row>
    <row r="13" spans="1:55" s="3" customFormat="1" x14ac:dyDescent="0.25">
      <c r="A13" s="44" t="s">
        <v>23</v>
      </c>
      <c r="B13" s="42" t="s">
        <v>1074</v>
      </c>
      <c r="C13" s="42"/>
      <c r="D13" s="5">
        <v>5</v>
      </c>
      <c r="E13" s="5">
        <v>5</v>
      </c>
      <c r="F13" s="5">
        <v>5</v>
      </c>
      <c r="G13" s="5">
        <v>5</v>
      </c>
      <c r="H13" s="5">
        <v>5</v>
      </c>
      <c r="I13" s="5">
        <v>5</v>
      </c>
      <c r="J13" s="5">
        <v>5</v>
      </c>
      <c r="K13" s="5">
        <v>5</v>
      </c>
      <c r="L13" s="5">
        <v>5</v>
      </c>
      <c r="M13" s="5">
        <v>5</v>
      </c>
      <c r="N13" s="5">
        <v>5</v>
      </c>
      <c r="O13" s="5">
        <v>5</v>
      </c>
      <c r="P13" s="12">
        <v>0.98969072164948502</v>
      </c>
      <c r="Q13" s="12">
        <v>0.98540145985401395</v>
      </c>
      <c r="R13" s="12">
        <v>0.95212765957446799</v>
      </c>
      <c r="S13" s="12">
        <v>0.93488372093023298</v>
      </c>
      <c r="T13" s="12">
        <v>0.93722466960352402</v>
      </c>
      <c r="U13" s="12">
        <v>2.7999999999999998E-4</v>
      </c>
      <c r="V13" s="12">
        <v>5.8999999999999999E-3</v>
      </c>
      <c r="W13" s="12">
        <v>2.8E-3</v>
      </c>
      <c r="X13" s="12">
        <v>4.7999999999999996E-3</v>
      </c>
      <c r="Y13" s="12">
        <v>5.7999999999999996E-3</v>
      </c>
      <c r="Z13" s="105">
        <f t="shared" si="0"/>
        <v>1.12E-4</v>
      </c>
      <c r="AA13" s="105">
        <f t="shared" si="0"/>
        <v>2.3600000000000001E-3</v>
      </c>
      <c r="AB13" s="105">
        <f t="shared" si="0"/>
        <v>1.1200000000000001E-3</v>
      </c>
      <c r="AC13" s="105">
        <f t="shared" si="0"/>
        <v>1.9199999999999998E-3</v>
      </c>
      <c r="AD13" s="105">
        <f t="shared" si="0"/>
        <v>2.32E-3</v>
      </c>
      <c r="AE13" s="5">
        <v>5</v>
      </c>
      <c r="AF13" s="15">
        <v>237</v>
      </c>
      <c r="AG13" s="5">
        <v>5</v>
      </c>
      <c r="AH13" s="5">
        <v>5</v>
      </c>
      <c r="AI13" s="5">
        <v>5</v>
      </c>
      <c r="AJ13" s="5">
        <v>5</v>
      </c>
      <c r="AK13" s="5">
        <v>5</v>
      </c>
      <c r="AL13" s="5">
        <v>5</v>
      </c>
      <c r="AM13" s="5">
        <v>5</v>
      </c>
      <c r="AN13" s="5">
        <v>5</v>
      </c>
      <c r="AO13" s="5">
        <v>5</v>
      </c>
      <c r="AP13" s="5">
        <v>5</v>
      </c>
      <c r="AQ13" s="5">
        <v>5</v>
      </c>
      <c r="AR13" s="5">
        <v>5</v>
      </c>
      <c r="AS13" s="5">
        <v>5</v>
      </c>
      <c r="AT13" s="15">
        <v>5.0000000000000001E-4</v>
      </c>
      <c r="AU13" s="15">
        <v>3.2322761194029798E-7</v>
      </c>
      <c r="AV13" s="5">
        <v>5</v>
      </c>
      <c r="AW13" s="42">
        <v>237</v>
      </c>
      <c r="AX13" s="105">
        <f t="shared" si="1"/>
        <v>5.5000000000000002E-5</v>
      </c>
      <c r="AY13" s="105">
        <f t="shared" si="2"/>
        <v>0.1386</v>
      </c>
      <c r="AZ13" s="105">
        <v>0</v>
      </c>
      <c r="BA13" s="5">
        <v>782560000</v>
      </c>
      <c r="BB13" s="105">
        <f t="shared" si="5"/>
        <v>5</v>
      </c>
      <c r="BC13" s="105">
        <f t="shared" si="6"/>
        <v>5</v>
      </c>
    </row>
    <row r="14" spans="1:55" s="3" customFormat="1" x14ac:dyDescent="0.25">
      <c r="A14" s="44" t="s">
        <v>24</v>
      </c>
      <c r="B14" s="42" t="s">
        <v>1074</v>
      </c>
      <c r="C14" s="42"/>
      <c r="D14" s="5">
        <v>5</v>
      </c>
      <c r="E14" s="5">
        <v>5</v>
      </c>
      <c r="F14" s="5">
        <v>5</v>
      </c>
      <c r="G14" s="5">
        <v>5</v>
      </c>
      <c r="H14" s="5">
        <v>5</v>
      </c>
      <c r="I14" s="5">
        <v>5</v>
      </c>
      <c r="J14" s="5">
        <v>5</v>
      </c>
      <c r="K14" s="5">
        <v>5</v>
      </c>
      <c r="L14" s="5">
        <v>5</v>
      </c>
      <c r="M14" s="5">
        <v>5</v>
      </c>
      <c r="N14" s="5">
        <v>5</v>
      </c>
      <c r="O14" s="5">
        <v>5</v>
      </c>
      <c r="P14" s="12">
        <v>0.93203883495145601</v>
      </c>
      <c r="Q14" s="12">
        <v>0.922115384615385</v>
      </c>
      <c r="R14" s="12">
        <v>0.92718446601941695</v>
      </c>
      <c r="S14" s="12">
        <v>0.93043478260869505</v>
      </c>
      <c r="T14" s="12">
        <v>0.88959999999999995</v>
      </c>
      <c r="U14" s="12">
        <v>8.2000000000000007E-3</v>
      </c>
      <c r="V14" s="12">
        <v>4.2000000000000003E-2</v>
      </c>
      <c r="W14" s="12">
        <v>2.3E-2</v>
      </c>
      <c r="X14" s="12">
        <v>3.1E-2</v>
      </c>
      <c r="Y14" s="12">
        <v>3.6999999999999998E-2</v>
      </c>
      <c r="Z14" s="105">
        <f t="shared" si="0"/>
        <v>3.2800000000000004E-3</v>
      </c>
      <c r="AA14" s="105">
        <f t="shared" si="0"/>
        <v>1.6800000000000002E-2</v>
      </c>
      <c r="AB14" s="105">
        <f t="shared" si="0"/>
        <v>9.1999999999999998E-3</v>
      </c>
      <c r="AC14" s="105">
        <f t="shared" si="0"/>
        <v>1.2400000000000001E-2</v>
      </c>
      <c r="AD14" s="105">
        <f t="shared" si="0"/>
        <v>1.4800000000000001E-2</v>
      </c>
      <c r="AE14" s="5">
        <v>5</v>
      </c>
      <c r="AF14" s="15">
        <v>233</v>
      </c>
      <c r="AG14" s="5">
        <v>5</v>
      </c>
      <c r="AH14" s="5">
        <v>5</v>
      </c>
      <c r="AI14" s="5">
        <v>5</v>
      </c>
      <c r="AJ14" s="5">
        <v>5</v>
      </c>
      <c r="AK14" s="5">
        <v>5</v>
      </c>
      <c r="AL14" s="5">
        <v>5</v>
      </c>
      <c r="AM14" s="5">
        <v>5</v>
      </c>
      <c r="AN14" s="5">
        <v>5</v>
      </c>
      <c r="AO14" s="5">
        <v>5</v>
      </c>
      <c r="AP14" s="5">
        <v>5</v>
      </c>
      <c r="AQ14" s="5">
        <v>5</v>
      </c>
      <c r="AR14" s="5">
        <v>5</v>
      </c>
      <c r="AS14" s="5">
        <v>5</v>
      </c>
      <c r="AT14" s="15">
        <v>5.0000000000000001E-4</v>
      </c>
      <c r="AU14" s="15">
        <v>9.3797975303148302</v>
      </c>
      <c r="AV14" s="5">
        <v>5</v>
      </c>
      <c r="AW14" s="42">
        <v>233</v>
      </c>
      <c r="AX14" s="105">
        <f t="shared" si="1"/>
        <v>5.5000000000000002E-5</v>
      </c>
      <c r="AY14" s="105">
        <f t="shared" si="2"/>
        <v>0.1386</v>
      </c>
      <c r="AZ14" s="105">
        <v>0</v>
      </c>
      <c r="BA14" s="5">
        <v>26.966999999999999</v>
      </c>
      <c r="BB14" s="105">
        <f t="shared" si="5"/>
        <v>5</v>
      </c>
      <c r="BC14" s="105">
        <f t="shared" si="6"/>
        <v>5</v>
      </c>
    </row>
    <row r="15" spans="1:55" s="3" customFormat="1" x14ac:dyDescent="0.25">
      <c r="A15" s="44" t="s">
        <v>25</v>
      </c>
      <c r="B15" s="42" t="s">
        <v>1074</v>
      </c>
      <c r="C15" s="42"/>
      <c r="D15" s="5">
        <v>5</v>
      </c>
      <c r="E15" s="5">
        <v>5</v>
      </c>
      <c r="F15" s="5">
        <v>5</v>
      </c>
      <c r="G15" s="5">
        <v>5</v>
      </c>
      <c r="H15" s="5">
        <v>5</v>
      </c>
      <c r="I15" s="5">
        <v>5</v>
      </c>
      <c r="J15" s="5">
        <v>5</v>
      </c>
      <c r="K15" s="5">
        <v>5</v>
      </c>
      <c r="L15" s="5">
        <v>5</v>
      </c>
      <c r="M15" s="5">
        <v>5</v>
      </c>
      <c r="N15" s="5">
        <v>5</v>
      </c>
      <c r="O15" s="5">
        <v>5</v>
      </c>
      <c r="P15" s="12">
        <v>0.9</v>
      </c>
      <c r="Q15" s="12">
        <v>0.9</v>
      </c>
      <c r="R15" s="12">
        <v>0.9</v>
      </c>
      <c r="S15" s="12">
        <v>0.9</v>
      </c>
      <c r="T15" s="12">
        <v>0.9</v>
      </c>
      <c r="U15" s="12">
        <v>0</v>
      </c>
      <c r="V15" s="12">
        <v>0</v>
      </c>
      <c r="W15" s="12">
        <v>0</v>
      </c>
      <c r="X15" s="12">
        <v>0</v>
      </c>
      <c r="Y15" s="12">
        <v>0</v>
      </c>
      <c r="Z15" s="105">
        <f t="shared" si="0"/>
        <v>0</v>
      </c>
      <c r="AA15" s="105">
        <f t="shared" si="0"/>
        <v>0</v>
      </c>
      <c r="AB15" s="105">
        <f t="shared" si="0"/>
        <v>0</v>
      </c>
      <c r="AC15" s="105">
        <f t="shared" si="0"/>
        <v>0</v>
      </c>
      <c r="AD15" s="105">
        <f t="shared" si="0"/>
        <v>0</v>
      </c>
      <c r="AE15" s="5">
        <v>5</v>
      </c>
      <c r="AF15" s="15">
        <v>209</v>
      </c>
      <c r="AG15" s="5">
        <v>5</v>
      </c>
      <c r="AH15" s="5">
        <v>5</v>
      </c>
      <c r="AI15" s="5">
        <v>5</v>
      </c>
      <c r="AJ15" s="5">
        <v>5</v>
      </c>
      <c r="AK15" s="5">
        <v>5</v>
      </c>
      <c r="AL15" s="5">
        <v>5</v>
      </c>
      <c r="AM15" s="5">
        <v>5</v>
      </c>
      <c r="AN15" s="5">
        <v>5</v>
      </c>
      <c r="AO15" s="5">
        <v>5</v>
      </c>
      <c r="AP15" s="5">
        <v>5</v>
      </c>
      <c r="AQ15" s="5">
        <v>5</v>
      </c>
      <c r="AR15" s="5">
        <v>5</v>
      </c>
      <c r="AS15" s="5">
        <v>5</v>
      </c>
      <c r="AT15" s="15">
        <v>0.2</v>
      </c>
      <c r="AU15" s="15">
        <v>1866.1789117737501</v>
      </c>
      <c r="AV15" s="5">
        <v>5</v>
      </c>
      <c r="AW15" s="42">
        <v>209</v>
      </c>
      <c r="AX15" s="105">
        <f t="shared" si="1"/>
        <v>5.5000000000000002E-5</v>
      </c>
      <c r="AY15" s="105">
        <f t="shared" si="2"/>
        <v>0.1386</v>
      </c>
      <c r="AZ15" s="105">
        <v>0</v>
      </c>
      <c r="BA15" s="5">
        <v>0.135541666666667</v>
      </c>
      <c r="BB15" s="105">
        <f t="shared" si="5"/>
        <v>5</v>
      </c>
      <c r="BC15" s="105">
        <f t="shared" si="6"/>
        <v>5</v>
      </c>
    </row>
    <row r="16" spans="1:55" s="3" customFormat="1" x14ac:dyDescent="0.25">
      <c r="A16" s="44" t="s">
        <v>26</v>
      </c>
      <c r="B16" s="42" t="s">
        <v>1074</v>
      </c>
      <c r="C16" s="42"/>
      <c r="D16" s="5">
        <v>5</v>
      </c>
      <c r="E16" s="5">
        <v>5</v>
      </c>
      <c r="F16" s="5">
        <v>5</v>
      </c>
      <c r="G16" s="5">
        <v>5</v>
      </c>
      <c r="H16" s="5">
        <v>5</v>
      </c>
      <c r="I16" s="5">
        <v>5</v>
      </c>
      <c r="J16" s="5">
        <v>5</v>
      </c>
      <c r="K16" s="5">
        <v>5</v>
      </c>
      <c r="L16" s="5">
        <v>5</v>
      </c>
      <c r="M16" s="5">
        <v>5</v>
      </c>
      <c r="N16" s="5">
        <v>5</v>
      </c>
      <c r="O16" s="5">
        <v>5</v>
      </c>
      <c r="P16" s="12">
        <v>1</v>
      </c>
      <c r="Q16" s="12">
        <v>0.94642857142857095</v>
      </c>
      <c r="R16" s="12">
        <v>0.97425742574257401</v>
      </c>
      <c r="S16" s="12">
        <v>0.94932432432432401</v>
      </c>
      <c r="T16" s="12">
        <v>0.94444444444444398</v>
      </c>
      <c r="U16" s="12">
        <v>9.9999999999999995E-8</v>
      </c>
      <c r="V16" s="12">
        <v>4.4000000000000002E-6</v>
      </c>
      <c r="W16" s="12">
        <v>2.3999999999999999E-6</v>
      </c>
      <c r="X16" s="12">
        <v>4.0999999999999997E-6</v>
      </c>
      <c r="Y16" s="12">
        <v>4.0999999999999997E-6</v>
      </c>
      <c r="Z16" s="105">
        <f t="shared" si="0"/>
        <v>4.0000000000000001E-8</v>
      </c>
      <c r="AA16" s="105">
        <f t="shared" si="0"/>
        <v>1.7600000000000001E-6</v>
      </c>
      <c r="AB16" s="105">
        <f t="shared" si="0"/>
        <v>9.5999999999999991E-7</v>
      </c>
      <c r="AC16" s="105">
        <f t="shared" si="0"/>
        <v>1.64E-6</v>
      </c>
      <c r="AD16" s="105">
        <f t="shared" si="0"/>
        <v>1.64E-6</v>
      </c>
      <c r="AE16" s="5">
        <v>5</v>
      </c>
      <c r="AF16" s="15">
        <v>210</v>
      </c>
      <c r="AG16" s="5">
        <v>5</v>
      </c>
      <c r="AH16" s="5">
        <v>5</v>
      </c>
      <c r="AI16" s="5">
        <v>5</v>
      </c>
      <c r="AJ16" s="5">
        <v>5</v>
      </c>
      <c r="AK16" s="5">
        <v>5</v>
      </c>
      <c r="AL16" s="5">
        <v>5</v>
      </c>
      <c r="AM16" s="5">
        <v>5</v>
      </c>
      <c r="AN16" s="5">
        <v>5</v>
      </c>
      <c r="AO16" s="5">
        <v>5</v>
      </c>
      <c r="AP16" s="5">
        <v>5</v>
      </c>
      <c r="AQ16" s="5">
        <v>5</v>
      </c>
      <c r="AR16" s="5">
        <v>5</v>
      </c>
      <c r="AS16" s="5">
        <v>5</v>
      </c>
      <c r="AT16" s="15">
        <v>0.2</v>
      </c>
      <c r="AU16" s="15">
        <v>3.1216216216216199E-2</v>
      </c>
      <c r="AV16" s="5">
        <v>5</v>
      </c>
      <c r="AW16" s="42">
        <v>210</v>
      </c>
      <c r="AX16" s="105">
        <f t="shared" si="1"/>
        <v>5.5000000000000002E-5</v>
      </c>
      <c r="AY16" s="105">
        <f t="shared" si="2"/>
        <v>0.1386</v>
      </c>
      <c r="AZ16" s="105">
        <v>0</v>
      </c>
      <c r="BA16" s="5">
        <v>8103</v>
      </c>
      <c r="BB16" s="105">
        <f t="shared" si="5"/>
        <v>5</v>
      </c>
      <c r="BC16" s="105">
        <f t="shared" si="6"/>
        <v>5</v>
      </c>
    </row>
    <row r="17" spans="1:55" s="3" customFormat="1" x14ac:dyDescent="0.25">
      <c r="A17" s="44" t="s">
        <v>27</v>
      </c>
      <c r="B17" s="42" t="s">
        <v>1074</v>
      </c>
      <c r="C17" s="42"/>
      <c r="D17" s="5">
        <v>5</v>
      </c>
      <c r="E17" s="5">
        <v>5</v>
      </c>
      <c r="F17" s="5">
        <v>5</v>
      </c>
      <c r="G17" s="5">
        <v>5</v>
      </c>
      <c r="H17" s="5">
        <v>5</v>
      </c>
      <c r="I17" s="5">
        <v>5</v>
      </c>
      <c r="J17" s="5">
        <v>5</v>
      </c>
      <c r="K17" s="5">
        <v>5</v>
      </c>
      <c r="L17" s="5">
        <v>5</v>
      </c>
      <c r="M17" s="5">
        <v>5</v>
      </c>
      <c r="N17" s="5">
        <v>5</v>
      </c>
      <c r="O17" s="5">
        <v>5</v>
      </c>
      <c r="P17" s="12">
        <v>0.901685393258427</v>
      </c>
      <c r="Q17" s="12">
        <v>0.92436974789916004</v>
      </c>
      <c r="R17" s="12">
        <v>0.92558139534883699</v>
      </c>
      <c r="S17" s="12">
        <v>0.9296875</v>
      </c>
      <c r="T17" s="12">
        <v>0.87916666666666698</v>
      </c>
      <c r="U17" s="12">
        <v>1.4999999999999999E-2</v>
      </c>
      <c r="V17" s="12">
        <v>4.9000000000000002E-2</v>
      </c>
      <c r="W17" s="12">
        <v>2.8000000000000001E-2</v>
      </c>
      <c r="X17" s="12">
        <v>3.6999999999999998E-2</v>
      </c>
      <c r="Y17" s="12">
        <v>4.3999999999999997E-2</v>
      </c>
      <c r="Z17" s="105">
        <f t="shared" si="0"/>
        <v>6.0000000000000001E-3</v>
      </c>
      <c r="AA17" s="105">
        <f t="shared" si="0"/>
        <v>1.9600000000000003E-2</v>
      </c>
      <c r="AB17" s="105">
        <f t="shared" si="0"/>
        <v>1.1200000000000002E-2</v>
      </c>
      <c r="AC17" s="105">
        <f t="shared" si="0"/>
        <v>1.4800000000000001E-2</v>
      </c>
      <c r="AD17" s="105">
        <f t="shared" si="0"/>
        <v>1.7600000000000001E-2</v>
      </c>
      <c r="AE17" s="5">
        <v>5</v>
      </c>
      <c r="AF17" s="15">
        <v>214</v>
      </c>
      <c r="AG17" s="5">
        <v>5</v>
      </c>
      <c r="AH17" s="5">
        <v>5</v>
      </c>
      <c r="AI17" s="5">
        <v>5</v>
      </c>
      <c r="AJ17" s="5">
        <v>5</v>
      </c>
      <c r="AK17" s="5">
        <v>5</v>
      </c>
      <c r="AL17" s="5">
        <v>5</v>
      </c>
      <c r="AM17" s="5">
        <v>5</v>
      </c>
      <c r="AN17" s="5">
        <v>5</v>
      </c>
      <c r="AO17" s="5">
        <v>5</v>
      </c>
      <c r="AP17" s="5">
        <v>5</v>
      </c>
      <c r="AQ17" s="5">
        <v>5</v>
      </c>
      <c r="AR17" s="5">
        <v>5</v>
      </c>
      <c r="AS17" s="5">
        <v>5</v>
      </c>
      <c r="AT17" s="15">
        <v>0.2</v>
      </c>
      <c r="AU17" s="15">
        <v>13591.0746268657</v>
      </c>
      <c r="AV17" s="5">
        <v>5</v>
      </c>
      <c r="AW17" s="42">
        <v>214</v>
      </c>
      <c r="AX17" s="105">
        <f t="shared" si="1"/>
        <v>5.5000000000000002E-5</v>
      </c>
      <c r="AY17" s="105">
        <f t="shared" si="2"/>
        <v>0.1386</v>
      </c>
      <c r="AZ17" s="105">
        <v>0</v>
      </c>
      <c r="BA17" s="5">
        <v>1.8611111111111099E-2</v>
      </c>
      <c r="BB17" s="105">
        <f t="shared" si="5"/>
        <v>5</v>
      </c>
      <c r="BC17" s="105">
        <f t="shared" si="6"/>
        <v>5</v>
      </c>
    </row>
    <row r="18" spans="1:55" s="3" customFormat="1" x14ac:dyDescent="0.25">
      <c r="A18" s="44" t="s">
        <v>28</v>
      </c>
      <c r="B18" s="42" t="s">
        <v>1074</v>
      </c>
      <c r="C18" s="42"/>
      <c r="D18" s="5">
        <v>5</v>
      </c>
      <c r="E18" s="5">
        <v>5</v>
      </c>
      <c r="F18" s="5">
        <v>5</v>
      </c>
      <c r="G18" s="5">
        <v>5</v>
      </c>
      <c r="H18" s="5">
        <v>5</v>
      </c>
      <c r="I18" s="5">
        <v>5</v>
      </c>
      <c r="J18" s="5">
        <v>5</v>
      </c>
      <c r="K18" s="5">
        <v>5</v>
      </c>
      <c r="L18" s="5">
        <v>5</v>
      </c>
      <c r="M18" s="5">
        <v>5</v>
      </c>
      <c r="N18" s="5">
        <v>5</v>
      </c>
      <c r="O18" s="5">
        <v>5</v>
      </c>
      <c r="P18" s="12">
        <v>0.88135593220339004</v>
      </c>
      <c r="Q18" s="12">
        <v>0.93612334801762098</v>
      </c>
      <c r="R18" s="12">
        <v>0.93633952254641895</v>
      </c>
      <c r="S18" s="12">
        <v>0.93013100436681195</v>
      </c>
      <c r="T18" s="12">
        <v>0.94466403162055301</v>
      </c>
      <c r="U18" s="12">
        <v>0.03</v>
      </c>
      <c r="V18" s="12">
        <v>9.5000000000000001E-2</v>
      </c>
      <c r="W18" s="12">
        <v>4.8000000000000001E-2</v>
      </c>
      <c r="X18" s="12">
        <v>6.9000000000000006E-2</v>
      </c>
      <c r="Y18" s="12">
        <v>8.2000000000000003E-2</v>
      </c>
      <c r="Z18" s="105">
        <f t="shared" ref="Z18:AD30" si="7">0.4*U18</f>
        <v>1.2E-2</v>
      </c>
      <c r="AA18" s="105">
        <f t="shared" si="7"/>
        <v>3.8000000000000006E-2</v>
      </c>
      <c r="AB18" s="105">
        <f t="shared" si="7"/>
        <v>1.9200000000000002E-2</v>
      </c>
      <c r="AC18" s="105">
        <f t="shared" si="7"/>
        <v>2.7600000000000003E-2</v>
      </c>
      <c r="AD18" s="105">
        <f t="shared" si="7"/>
        <v>3.2800000000000003E-2</v>
      </c>
      <c r="AE18" s="5">
        <v>5</v>
      </c>
      <c r="AF18" s="15">
        <v>210</v>
      </c>
      <c r="AG18" s="5">
        <v>5</v>
      </c>
      <c r="AH18" s="5">
        <v>5</v>
      </c>
      <c r="AI18" s="5">
        <v>5</v>
      </c>
      <c r="AJ18" s="5">
        <v>5</v>
      </c>
      <c r="AK18" s="5">
        <v>5</v>
      </c>
      <c r="AL18" s="5">
        <v>5</v>
      </c>
      <c r="AM18" s="5">
        <v>5</v>
      </c>
      <c r="AN18" s="5">
        <v>5</v>
      </c>
      <c r="AO18" s="5">
        <v>5</v>
      </c>
      <c r="AP18" s="5">
        <v>5</v>
      </c>
      <c r="AQ18" s="5">
        <v>5</v>
      </c>
      <c r="AR18" s="5">
        <v>5</v>
      </c>
      <c r="AS18" s="5">
        <v>5</v>
      </c>
      <c r="AT18" s="15"/>
      <c r="AU18" s="15">
        <v>1.8279542695265101</v>
      </c>
      <c r="AV18" s="5">
        <v>5</v>
      </c>
      <c r="AW18" s="42">
        <v>210</v>
      </c>
      <c r="AX18" s="105">
        <f t="shared" si="1"/>
        <v>5.5000000000000002E-5</v>
      </c>
      <c r="AY18" s="105">
        <f t="shared" si="2"/>
        <v>0.1386</v>
      </c>
      <c r="AZ18" s="105">
        <v>0</v>
      </c>
      <c r="BA18" s="5">
        <v>138.376</v>
      </c>
      <c r="BB18" s="105">
        <f t="shared" si="5"/>
        <v>5</v>
      </c>
      <c r="BC18" s="105">
        <f t="shared" si="6"/>
        <v>5</v>
      </c>
    </row>
    <row r="19" spans="1:55" s="3" customFormat="1" x14ac:dyDescent="0.25">
      <c r="A19" s="44" t="s">
        <v>29</v>
      </c>
      <c r="B19" s="42" t="s">
        <v>1074</v>
      </c>
      <c r="C19" s="42"/>
      <c r="D19" s="5">
        <v>5</v>
      </c>
      <c r="E19" s="5">
        <v>5</v>
      </c>
      <c r="F19" s="5">
        <v>5</v>
      </c>
      <c r="G19" s="5">
        <v>5</v>
      </c>
      <c r="H19" s="5">
        <v>5</v>
      </c>
      <c r="I19" s="5">
        <v>5</v>
      </c>
      <c r="J19" s="5">
        <v>5</v>
      </c>
      <c r="K19" s="5">
        <v>5</v>
      </c>
      <c r="L19" s="5">
        <v>5</v>
      </c>
      <c r="M19" s="5">
        <v>5</v>
      </c>
      <c r="N19" s="5">
        <v>5</v>
      </c>
      <c r="O19" s="5">
        <v>5</v>
      </c>
      <c r="P19" s="12">
        <v>0.87991266375545796</v>
      </c>
      <c r="Q19" s="12">
        <v>0.93714285714285706</v>
      </c>
      <c r="R19" s="12">
        <v>0.93493150684931503</v>
      </c>
      <c r="S19" s="12">
        <v>0.93220338983050799</v>
      </c>
      <c r="T19" s="12">
        <v>0.94871794871794901</v>
      </c>
      <c r="U19" s="12">
        <v>2.9000000000000001E-2</v>
      </c>
      <c r="V19" s="12">
        <v>9.2999999999999999E-2</v>
      </c>
      <c r="W19" s="12">
        <v>4.7E-2</v>
      </c>
      <c r="X19" s="12">
        <v>6.8000000000000005E-2</v>
      </c>
      <c r="Y19" s="12">
        <v>0.08</v>
      </c>
      <c r="Z19" s="105">
        <f t="shared" si="7"/>
        <v>1.1600000000000001E-2</v>
      </c>
      <c r="AA19" s="105">
        <f t="shared" si="7"/>
        <v>3.7200000000000004E-2</v>
      </c>
      <c r="AB19" s="105">
        <f t="shared" si="7"/>
        <v>1.8800000000000001E-2</v>
      </c>
      <c r="AC19" s="105">
        <f t="shared" si="7"/>
        <v>2.7200000000000002E-2</v>
      </c>
      <c r="AD19" s="105">
        <f t="shared" si="7"/>
        <v>3.2000000000000001E-2</v>
      </c>
      <c r="AE19" s="5">
        <v>5</v>
      </c>
      <c r="AF19" s="15">
        <v>213</v>
      </c>
      <c r="AG19" s="5">
        <v>5</v>
      </c>
      <c r="AH19" s="5">
        <v>5</v>
      </c>
      <c r="AI19" s="5">
        <v>5</v>
      </c>
      <c r="AJ19" s="5">
        <v>5</v>
      </c>
      <c r="AK19" s="5">
        <v>5</v>
      </c>
      <c r="AL19" s="5">
        <v>5</v>
      </c>
      <c r="AM19" s="5">
        <v>5</v>
      </c>
      <c r="AN19" s="5">
        <v>5</v>
      </c>
      <c r="AO19" s="5">
        <v>5</v>
      </c>
      <c r="AP19" s="5">
        <v>5</v>
      </c>
      <c r="AQ19" s="5">
        <v>5</v>
      </c>
      <c r="AR19" s="5">
        <v>5</v>
      </c>
      <c r="AS19" s="5">
        <v>5</v>
      </c>
      <c r="AT19" s="15"/>
      <c r="AU19" s="15">
        <v>5203440000000</v>
      </c>
      <c r="AV19" s="5">
        <v>5</v>
      </c>
      <c r="AW19" s="42">
        <v>213</v>
      </c>
      <c r="AX19" s="105">
        <f t="shared" si="1"/>
        <v>5.5000000000000002E-5</v>
      </c>
      <c r="AY19" s="105">
        <f t="shared" si="2"/>
        <v>0.1386</v>
      </c>
      <c r="AZ19" s="105">
        <v>0</v>
      </c>
      <c r="BA19" s="5">
        <v>4.8611111111111103E-11</v>
      </c>
      <c r="BB19" s="105">
        <f t="shared" si="5"/>
        <v>5</v>
      </c>
      <c r="BC19" s="105">
        <f t="shared" si="6"/>
        <v>5</v>
      </c>
    </row>
    <row r="20" spans="1:55" s="3" customFormat="1" x14ac:dyDescent="0.25">
      <c r="A20" s="44" t="s">
        <v>30</v>
      </c>
      <c r="B20" s="42" t="s">
        <v>1074</v>
      </c>
      <c r="C20" s="42"/>
      <c r="D20" s="5">
        <v>5</v>
      </c>
      <c r="E20" s="5">
        <v>5</v>
      </c>
      <c r="F20" s="5">
        <v>5</v>
      </c>
      <c r="G20" s="5">
        <v>5</v>
      </c>
      <c r="H20" s="5">
        <v>5</v>
      </c>
      <c r="I20" s="5">
        <v>5</v>
      </c>
      <c r="J20" s="5">
        <v>5</v>
      </c>
      <c r="K20" s="5">
        <v>5</v>
      </c>
      <c r="L20" s="5">
        <v>5</v>
      </c>
      <c r="M20" s="5">
        <v>5</v>
      </c>
      <c r="N20" s="5">
        <v>5</v>
      </c>
      <c r="O20" s="5">
        <v>5</v>
      </c>
      <c r="P20" s="12">
        <v>0.87920792079207899</v>
      </c>
      <c r="Q20" s="12">
        <v>0.93298969072164994</v>
      </c>
      <c r="R20" s="12">
        <v>0.93633540372670798</v>
      </c>
      <c r="S20" s="12">
        <v>0.930946291560102</v>
      </c>
      <c r="T20" s="12">
        <v>0.94444444444444398</v>
      </c>
      <c r="U20" s="12">
        <v>0.03</v>
      </c>
      <c r="V20" s="12">
        <v>9.5000000000000001E-2</v>
      </c>
      <c r="W20" s="12">
        <v>4.8000000000000001E-2</v>
      </c>
      <c r="X20" s="12">
        <v>6.9000000000000006E-2</v>
      </c>
      <c r="Y20" s="12">
        <v>8.1000000000000003E-2</v>
      </c>
      <c r="Z20" s="105">
        <f t="shared" si="7"/>
        <v>1.2E-2</v>
      </c>
      <c r="AA20" s="105">
        <f t="shared" si="7"/>
        <v>3.8000000000000006E-2</v>
      </c>
      <c r="AB20" s="105">
        <f t="shared" si="7"/>
        <v>1.9200000000000002E-2</v>
      </c>
      <c r="AC20" s="105">
        <f t="shared" si="7"/>
        <v>2.7600000000000003E-2</v>
      </c>
      <c r="AD20" s="105">
        <f t="shared" si="7"/>
        <v>3.2400000000000005E-2</v>
      </c>
      <c r="AE20" s="5">
        <v>5</v>
      </c>
      <c r="AF20" s="15">
        <v>214</v>
      </c>
      <c r="AG20" s="5">
        <v>5</v>
      </c>
      <c r="AH20" s="5">
        <v>5</v>
      </c>
      <c r="AI20" s="5">
        <v>5</v>
      </c>
      <c r="AJ20" s="5">
        <v>5</v>
      </c>
      <c r="AK20" s="5">
        <v>5</v>
      </c>
      <c r="AL20" s="5">
        <v>5</v>
      </c>
      <c r="AM20" s="5">
        <v>5</v>
      </c>
      <c r="AN20" s="5">
        <v>5</v>
      </c>
      <c r="AO20" s="5">
        <v>5</v>
      </c>
      <c r="AP20" s="5">
        <v>5</v>
      </c>
      <c r="AQ20" s="5">
        <v>5</v>
      </c>
      <c r="AR20" s="5">
        <v>5</v>
      </c>
      <c r="AS20" s="5">
        <v>5</v>
      </c>
      <c r="AT20" s="15"/>
      <c r="AU20" s="15">
        <v>133015508216.677</v>
      </c>
      <c r="AV20" s="5">
        <v>5</v>
      </c>
      <c r="AW20" s="42">
        <v>214</v>
      </c>
      <c r="AX20" s="105">
        <f t="shared" si="1"/>
        <v>5.5000000000000002E-5</v>
      </c>
      <c r="AY20" s="105">
        <f t="shared" si="2"/>
        <v>0.1386</v>
      </c>
      <c r="AZ20" s="105">
        <v>0</v>
      </c>
      <c r="BA20" s="5">
        <v>1.9016203703703698E-9</v>
      </c>
      <c r="BB20" s="105">
        <f t="shared" si="5"/>
        <v>5</v>
      </c>
      <c r="BC20" s="105">
        <f t="shared" si="6"/>
        <v>5</v>
      </c>
    </row>
    <row r="21" spans="1:55" s="3" customFormat="1" x14ac:dyDescent="0.25">
      <c r="A21" s="44" t="s">
        <v>31</v>
      </c>
      <c r="B21" s="42" t="s">
        <v>1074</v>
      </c>
      <c r="C21" s="42"/>
      <c r="D21" s="5">
        <v>5</v>
      </c>
      <c r="E21" s="5">
        <v>5</v>
      </c>
      <c r="F21" s="5">
        <v>5</v>
      </c>
      <c r="G21" s="5">
        <v>5</v>
      </c>
      <c r="H21" s="5">
        <v>5</v>
      </c>
      <c r="I21" s="5">
        <v>5</v>
      </c>
      <c r="J21" s="5">
        <v>5</v>
      </c>
      <c r="K21" s="5">
        <v>5</v>
      </c>
      <c r="L21" s="5">
        <v>5</v>
      </c>
      <c r="M21" s="5">
        <v>5</v>
      </c>
      <c r="N21" s="5">
        <v>5</v>
      </c>
      <c r="O21" s="5">
        <v>5</v>
      </c>
      <c r="P21" s="12">
        <v>0.9</v>
      </c>
      <c r="Q21" s="12">
        <v>0.9</v>
      </c>
      <c r="R21" s="12">
        <v>0.9</v>
      </c>
      <c r="S21" s="12">
        <v>0.9</v>
      </c>
      <c r="T21" s="12">
        <v>0.9</v>
      </c>
      <c r="U21" s="12">
        <v>0</v>
      </c>
      <c r="V21" s="12">
        <v>0</v>
      </c>
      <c r="W21" s="12">
        <v>0</v>
      </c>
      <c r="X21" s="12">
        <v>0</v>
      </c>
      <c r="Y21" s="12">
        <v>0</v>
      </c>
      <c r="Z21" s="105">
        <f t="shared" si="7"/>
        <v>0</v>
      </c>
      <c r="AA21" s="105">
        <f t="shared" si="7"/>
        <v>0</v>
      </c>
      <c r="AB21" s="105">
        <f t="shared" si="7"/>
        <v>0</v>
      </c>
      <c r="AC21" s="105">
        <f t="shared" si="7"/>
        <v>0</v>
      </c>
      <c r="AD21" s="105">
        <f t="shared" si="7"/>
        <v>0</v>
      </c>
      <c r="AE21" s="5">
        <v>5</v>
      </c>
      <c r="AF21" s="15">
        <v>218</v>
      </c>
      <c r="AG21" s="5">
        <v>5</v>
      </c>
      <c r="AH21" s="5">
        <v>5</v>
      </c>
      <c r="AI21" s="5">
        <v>5</v>
      </c>
      <c r="AJ21" s="5">
        <v>5</v>
      </c>
      <c r="AK21" s="5">
        <v>5</v>
      </c>
      <c r="AL21" s="5">
        <v>5</v>
      </c>
      <c r="AM21" s="5">
        <v>5</v>
      </c>
      <c r="AN21" s="5">
        <v>5</v>
      </c>
      <c r="AO21" s="5">
        <v>5</v>
      </c>
      <c r="AP21" s="5">
        <v>5</v>
      </c>
      <c r="AQ21" s="5">
        <v>5</v>
      </c>
      <c r="AR21" s="5">
        <v>5</v>
      </c>
      <c r="AS21" s="5">
        <v>5</v>
      </c>
      <c r="AT21" s="15"/>
      <c r="AU21" s="15">
        <v>117497.032258065</v>
      </c>
      <c r="AV21" s="5">
        <v>5</v>
      </c>
      <c r="AW21" s="42">
        <v>218</v>
      </c>
      <c r="AX21" s="105">
        <f t="shared" si="1"/>
        <v>5.5000000000000002E-5</v>
      </c>
      <c r="AY21" s="105">
        <f t="shared" si="2"/>
        <v>0.1386</v>
      </c>
      <c r="AZ21" s="105">
        <v>0</v>
      </c>
      <c r="BA21" s="5">
        <v>2.1527777777777799E-3</v>
      </c>
      <c r="BB21" s="105">
        <f t="shared" si="5"/>
        <v>5</v>
      </c>
      <c r="BC21" s="105">
        <f t="shared" si="6"/>
        <v>5</v>
      </c>
    </row>
    <row r="22" spans="1:55" s="3" customFormat="1" x14ac:dyDescent="0.25">
      <c r="A22" s="44" t="s">
        <v>32</v>
      </c>
      <c r="B22" s="42" t="s">
        <v>1074</v>
      </c>
      <c r="C22" s="42"/>
      <c r="D22" s="5">
        <v>5</v>
      </c>
      <c r="E22" s="5">
        <v>5</v>
      </c>
      <c r="F22" s="5">
        <v>5</v>
      </c>
      <c r="G22" s="5">
        <v>5</v>
      </c>
      <c r="H22" s="5">
        <v>5</v>
      </c>
      <c r="I22" s="5">
        <v>5</v>
      </c>
      <c r="J22" s="5">
        <v>5</v>
      </c>
      <c r="K22" s="5">
        <v>5</v>
      </c>
      <c r="L22" s="5">
        <v>5</v>
      </c>
      <c r="M22" s="5">
        <v>5</v>
      </c>
      <c r="N22" s="5">
        <v>5</v>
      </c>
      <c r="O22" s="5">
        <v>5</v>
      </c>
      <c r="P22" s="12">
        <v>0.98748261474269805</v>
      </c>
      <c r="Q22" s="12">
        <v>0.86834733893557403</v>
      </c>
      <c r="R22" s="12">
        <v>0.98884758364312197</v>
      </c>
      <c r="S22" s="12">
        <v>0.95495495495495497</v>
      </c>
      <c r="T22" s="12">
        <v>0.95760598503740701</v>
      </c>
      <c r="U22" s="12">
        <v>4.1000000000000003E-9</v>
      </c>
      <c r="V22" s="12">
        <v>2.4E-8</v>
      </c>
      <c r="W22" s="12">
        <v>2.3000000000000001E-8</v>
      </c>
      <c r="X22" s="12">
        <v>3.1E-8</v>
      </c>
      <c r="Y22" s="12">
        <v>2.9999999999999997E-8</v>
      </c>
      <c r="Z22" s="105">
        <f t="shared" si="7"/>
        <v>1.6400000000000001E-9</v>
      </c>
      <c r="AA22" s="105">
        <f t="shared" si="7"/>
        <v>9.5999999999999999E-9</v>
      </c>
      <c r="AB22" s="105">
        <f t="shared" si="7"/>
        <v>9.2000000000000013E-9</v>
      </c>
      <c r="AC22" s="105">
        <f t="shared" si="7"/>
        <v>1.24E-8</v>
      </c>
      <c r="AD22" s="105">
        <f t="shared" si="7"/>
        <v>1.2E-8</v>
      </c>
      <c r="AE22" s="5">
        <v>5</v>
      </c>
      <c r="AF22" s="15">
        <v>225</v>
      </c>
      <c r="AG22" s="5">
        <v>5</v>
      </c>
      <c r="AH22" s="5">
        <v>5</v>
      </c>
      <c r="AI22" s="5">
        <v>5</v>
      </c>
      <c r="AJ22" s="5">
        <v>5</v>
      </c>
      <c r="AK22" s="5">
        <v>5</v>
      </c>
      <c r="AL22" s="5">
        <v>5</v>
      </c>
      <c r="AM22" s="5">
        <v>5</v>
      </c>
      <c r="AN22" s="5">
        <v>5</v>
      </c>
      <c r="AO22" s="5">
        <v>5</v>
      </c>
      <c r="AP22" s="5">
        <v>5</v>
      </c>
      <c r="AQ22" s="5">
        <v>5</v>
      </c>
      <c r="AR22" s="5">
        <v>5</v>
      </c>
      <c r="AS22" s="5">
        <v>5</v>
      </c>
      <c r="AT22" s="15">
        <v>0.2</v>
      </c>
      <c r="AU22" s="15">
        <v>16.976174496644301</v>
      </c>
      <c r="AV22" s="5">
        <v>5</v>
      </c>
      <c r="AW22" s="42">
        <v>225</v>
      </c>
      <c r="AX22" s="105">
        <f t="shared" si="1"/>
        <v>5.5000000000000002E-5</v>
      </c>
      <c r="AY22" s="105">
        <f t="shared" si="2"/>
        <v>0.1386</v>
      </c>
      <c r="AZ22" s="105">
        <v>0</v>
      </c>
      <c r="BA22" s="5">
        <v>14.9</v>
      </c>
      <c r="BB22" s="105">
        <f>AR22</f>
        <v>5</v>
      </c>
      <c r="BC22" s="105">
        <f t="shared" si="6"/>
        <v>5</v>
      </c>
    </row>
    <row r="23" spans="1:55" s="3" customFormat="1" x14ac:dyDescent="0.25">
      <c r="A23" s="46" t="s">
        <v>33</v>
      </c>
      <c r="B23" s="42" t="s">
        <v>351</v>
      </c>
      <c r="C23" s="42">
        <v>1</v>
      </c>
      <c r="D23" s="5">
        <v>5</v>
      </c>
      <c r="E23" s="5">
        <v>5</v>
      </c>
      <c r="F23" s="5">
        <v>5</v>
      </c>
      <c r="G23" s="5">
        <v>5</v>
      </c>
      <c r="H23" s="5">
        <v>5</v>
      </c>
      <c r="I23" s="5">
        <v>5</v>
      </c>
      <c r="J23" s="5">
        <v>5</v>
      </c>
      <c r="K23" s="5">
        <v>5</v>
      </c>
      <c r="L23" s="5">
        <v>5</v>
      </c>
      <c r="M23" s="5">
        <v>5</v>
      </c>
      <c r="N23" s="5">
        <v>5</v>
      </c>
      <c r="O23" s="5">
        <v>5</v>
      </c>
      <c r="P23" s="12">
        <v>0.927927927927928</v>
      </c>
      <c r="Q23" s="12">
        <v>0.82729805013927604</v>
      </c>
      <c r="R23" s="12">
        <v>0.88145896656534894</v>
      </c>
      <c r="S23" s="12">
        <v>0.89258312020460395</v>
      </c>
      <c r="T23" s="12">
        <v>0.88349514563106801</v>
      </c>
      <c r="U23" s="12">
        <v>3.5000000000000003E-2</v>
      </c>
      <c r="V23" s="12">
        <v>0.11</v>
      </c>
      <c r="W23" s="12">
        <v>5.8000000000000003E-2</v>
      </c>
      <c r="X23" s="12">
        <v>8.1000000000000003E-2</v>
      </c>
      <c r="Y23" s="12">
        <v>0.1</v>
      </c>
      <c r="Z23" s="105">
        <f t="shared" si="7"/>
        <v>1.4000000000000002E-2</v>
      </c>
      <c r="AA23" s="105">
        <f t="shared" si="7"/>
        <v>4.4000000000000004E-2</v>
      </c>
      <c r="AB23" s="105">
        <f t="shared" si="7"/>
        <v>2.3200000000000002E-2</v>
      </c>
      <c r="AC23" s="105">
        <f t="shared" si="7"/>
        <v>3.2400000000000005E-2</v>
      </c>
      <c r="AD23" s="105">
        <f t="shared" si="7"/>
        <v>4.0000000000000008E-2</v>
      </c>
      <c r="AE23" s="5">
        <v>5</v>
      </c>
      <c r="AF23" s="15">
        <v>226</v>
      </c>
      <c r="AG23" s="5">
        <v>5</v>
      </c>
      <c r="AH23" s="5">
        <v>5</v>
      </c>
      <c r="AI23" s="5">
        <v>5</v>
      </c>
      <c r="AJ23" s="5">
        <v>5</v>
      </c>
      <c r="AK23" s="5">
        <v>5</v>
      </c>
      <c r="AL23" s="5">
        <v>5</v>
      </c>
      <c r="AM23" s="5">
        <v>5</v>
      </c>
      <c r="AN23" s="5">
        <v>5</v>
      </c>
      <c r="AO23" s="5">
        <v>5</v>
      </c>
      <c r="AP23" s="5">
        <v>5</v>
      </c>
      <c r="AQ23" s="5">
        <v>5</v>
      </c>
      <c r="AR23" s="5">
        <v>5</v>
      </c>
      <c r="AS23" s="5">
        <v>5</v>
      </c>
      <c r="AT23" s="15">
        <v>0.2</v>
      </c>
      <c r="AU23" s="15">
        <v>4.3312500000000002E-4</v>
      </c>
      <c r="AV23" s="5">
        <v>5</v>
      </c>
      <c r="AW23" s="42">
        <v>226</v>
      </c>
      <c r="AX23" s="105">
        <f t="shared" si="1"/>
        <v>5.5000000000000002E-5</v>
      </c>
      <c r="AY23" s="105">
        <f t="shared" si="2"/>
        <v>0.1386</v>
      </c>
      <c r="AZ23" s="105">
        <v>0</v>
      </c>
      <c r="BA23" s="5">
        <v>584000</v>
      </c>
      <c r="BB23" s="105">
        <f t="shared" ref="BB23:BB30" si="8">AR23</f>
        <v>5</v>
      </c>
      <c r="BC23" s="105">
        <f t="shared" si="6"/>
        <v>5</v>
      </c>
    </row>
    <row r="24" spans="1:55" s="3" customFormat="1" x14ac:dyDescent="0.25">
      <c r="A24" s="44" t="s">
        <v>34</v>
      </c>
      <c r="B24" s="42" t="s">
        <v>1074</v>
      </c>
      <c r="C24" s="42"/>
      <c r="D24" s="5">
        <v>5</v>
      </c>
      <c r="E24" s="5">
        <v>5</v>
      </c>
      <c r="F24" s="5">
        <v>5</v>
      </c>
      <c r="G24" s="5">
        <v>5</v>
      </c>
      <c r="H24" s="5">
        <v>5</v>
      </c>
      <c r="I24" s="5">
        <v>5</v>
      </c>
      <c r="J24" s="5">
        <v>5</v>
      </c>
      <c r="K24" s="5">
        <v>5</v>
      </c>
      <c r="L24" s="5">
        <v>5</v>
      </c>
      <c r="M24" s="5">
        <v>5</v>
      </c>
      <c r="N24" s="5">
        <v>5</v>
      </c>
      <c r="O24" s="5">
        <v>5</v>
      </c>
      <c r="P24" s="12">
        <v>0.886075949367089</v>
      </c>
      <c r="Q24" s="12">
        <v>0.91340782122904995</v>
      </c>
      <c r="R24" s="12">
        <v>0.93388429752066104</v>
      </c>
      <c r="S24" s="12">
        <v>0.91913746630727799</v>
      </c>
      <c r="T24" s="12">
        <v>0.95499999999999996</v>
      </c>
      <c r="U24" s="12">
        <v>2.5999999999999999E-2</v>
      </c>
      <c r="V24" s="12">
        <v>7.5999999999999998E-2</v>
      </c>
      <c r="W24" s="12">
        <v>4.1000000000000002E-2</v>
      </c>
      <c r="X24" s="12">
        <v>5.8999999999999997E-2</v>
      </c>
      <c r="Y24" s="12">
        <v>6.8000000000000005E-2</v>
      </c>
      <c r="Z24" s="105">
        <f t="shared" si="7"/>
        <v>1.04E-2</v>
      </c>
      <c r="AA24" s="105">
        <f t="shared" si="7"/>
        <v>3.04E-2</v>
      </c>
      <c r="AB24" s="105">
        <f t="shared" si="7"/>
        <v>1.6400000000000001E-2</v>
      </c>
      <c r="AC24" s="105">
        <f t="shared" si="7"/>
        <v>2.3599999999999999E-2</v>
      </c>
      <c r="AD24" s="105">
        <f t="shared" si="7"/>
        <v>2.7200000000000002E-2</v>
      </c>
      <c r="AE24" s="5">
        <v>5</v>
      </c>
      <c r="AF24" s="15">
        <v>218</v>
      </c>
      <c r="AG24" s="5">
        <v>5</v>
      </c>
      <c r="AH24" s="5">
        <v>5</v>
      </c>
      <c r="AI24" s="5">
        <v>5</v>
      </c>
      <c r="AJ24" s="5">
        <v>5</v>
      </c>
      <c r="AK24" s="5">
        <v>5</v>
      </c>
      <c r="AL24" s="5">
        <v>5</v>
      </c>
      <c r="AM24" s="5">
        <v>5</v>
      </c>
      <c r="AN24" s="5">
        <v>5</v>
      </c>
      <c r="AO24" s="5">
        <v>5</v>
      </c>
      <c r="AP24" s="5">
        <v>5</v>
      </c>
      <c r="AQ24" s="5">
        <v>5</v>
      </c>
      <c r="AR24" s="5">
        <v>5</v>
      </c>
      <c r="AS24" s="5">
        <v>5</v>
      </c>
      <c r="AT24" s="15"/>
      <c r="AU24" s="15">
        <v>624412800</v>
      </c>
      <c r="AV24" s="5">
        <v>5</v>
      </c>
      <c r="AW24" s="42">
        <v>218</v>
      </c>
      <c r="AX24" s="105">
        <f t="shared" si="1"/>
        <v>5.5000000000000002E-5</v>
      </c>
      <c r="AY24" s="105">
        <f t="shared" si="2"/>
        <v>0.1386</v>
      </c>
      <c r="AZ24" s="105">
        <v>0</v>
      </c>
      <c r="BA24" s="5">
        <v>4.05092592592593E-7</v>
      </c>
      <c r="BB24" s="105">
        <f t="shared" si="8"/>
        <v>5</v>
      </c>
      <c r="BC24" s="105">
        <f t="shared" si="6"/>
        <v>5</v>
      </c>
    </row>
    <row r="25" spans="1:55" s="3" customFormat="1" x14ac:dyDescent="0.25">
      <c r="A25" s="46" t="s">
        <v>35</v>
      </c>
      <c r="B25" s="42" t="s">
        <v>351</v>
      </c>
      <c r="C25" s="42">
        <v>1</v>
      </c>
      <c r="D25" s="5">
        <v>5</v>
      </c>
      <c r="E25" s="5">
        <v>5</v>
      </c>
      <c r="F25" s="5">
        <v>5</v>
      </c>
      <c r="G25" s="5">
        <v>5</v>
      </c>
      <c r="H25" s="5">
        <v>5</v>
      </c>
      <c r="I25" s="5">
        <v>5</v>
      </c>
      <c r="J25" s="5">
        <v>5</v>
      </c>
      <c r="K25" s="5">
        <v>5</v>
      </c>
      <c r="L25" s="5">
        <v>5</v>
      </c>
      <c r="M25" s="5">
        <v>5</v>
      </c>
      <c r="N25" s="5">
        <v>5</v>
      </c>
      <c r="O25" s="5">
        <v>5</v>
      </c>
      <c r="P25" s="12">
        <v>0.881287726358149</v>
      </c>
      <c r="Q25" s="12">
        <v>0.94318181818181801</v>
      </c>
      <c r="R25" s="12">
        <v>0.93949044585987296</v>
      </c>
      <c r="S25" s="12">
        <v>0.93193717277486898</v>
      </c>
      <c r="T25" s="12">
        <v>0.91981132075471705</v>
      </c>
      <c r="U25" s="12">
        <v>2.1999999999999999E-2</v>
      </c>
      <c r="V25" s="12">
        <v>6.6000000000000003E-2</v>
      </c>
      <c r="W25" s="12">
        <v>3.6999999999999998E-2</v>
      </c>
      <c r="X25" s="12">
        <v>5.1999999999999998E-2</v>
      </c>
      <c r="Y25" s="12">
        <v>5.8999999999999997E-2</v>
      </c>
      <c r="Z25" s="105">
        <f t="shared" si="7"/>
        <v>8.8000000000000005E-3</v>
      </c>
      <c r="AA25" s="105">
        <f t="shared" si="7"/>
        <v>2.6400000000000003E-2</v>
      </c>
      <c r="AB25" s="105">
        <f t="shared" si="7"/>
        <v>1.4800000000000001E-2</v>
      </c>
      <c r="AC25" s="105">
        <f t="shared" si="7"/>
        <v>2.0799999999999999E-2</v>
      </c>
      <c r="AD25" s="105">
        <f t="shared" si="7"/>
        <v>2.3599999999999999E-2</v>
      </c>
      <c r="AE25" s="5">
        <v>5</v>
      </c>
      <c r="AF25" s="15">
        <v>222</v>
      </c>
      <c r="AG25" s="5">
        <v>5</v>
      </c>
      <c r="AH25" s="5">
        <v>5</v>
      </c>
      <c r="AI25" s="5">
        <v>5</v>
      </c>
      <c r="AJ25" s="5">
        <v>5</v>
      </c>
      <c r="AK25" s="5">
        <v>5</v>
      </c>
      <c r="AL25" s="5">
        <v>5</v>
      </c>
      <c r="AM25" s="5">
        <v>5</v>
      </c>
      <c r="AN25" s="5">
        <v>5</v>
      </c>
      <c r="AO25" s="5">
        <v>5</v>
      </c>
      <c r="AP25" s="5">
        <v>5</v>
      </c>
      <c r="AQ25" s="5">
        <v>5</v>
      </c>
      <c r="AR25" s="5">
        <v>5</v>
      </c>
      <c r="AS25" s="5">
        <v>5</v>
      </c>
      <c r="AT25" s="15"/>
      <c r="AU25" s="15">
        <v>66.155355041192607</v>
      </c>
      <c r="AV25" s="5">
        <v>5</v>
      </c>
      <c r="AW25" s="42">
        <v>222</v>
      </c>
      <c r="AX25" s="105">
        <f t="shared" si="1"/>
        <v>5.5000000000000002E-5</v>
      </c>
      <c r="AY25" s="105">
        <f t="shared" si="2"/>
        <v>0.1386</v>
      </c>
      <c r="AZ25" s="105">
        <v>0</v>
      </c>
      <c r="BA25" s="5">
        <v>3.8235000000000001</v>
      </c>
      <c r="BB25" s="105">
        <f t="shared" si="8"/>
        <v>5</v>
      </c>
      <c r="BC25" s="105">
        <f t="shared" si="6"/>
        <v>5</v>
      </c>
    </row>
    <row r="26" spans="1:55" s="3" customFormat="1" x14ac:dyDescent="0.25">
      <c r="A26" s="44" t="s">
        <v>36</v>
      </c>
      <c r="B26" s="42" t="s">
        <v>1074</v>
      </c>
      <c r="C26" s="42"/>
      <c r="D26" s="5">
        <v>5</v>
      </c>
      <c r="E26" s="5">
        <v>5</v>
      </c>
      <c r="F26" s="5">
        <v>5</v>
      </c>
      <c r="G26" s="5">
        <v>5</v>
      </c>
      <c r="H26" s="5">
        <v>5</v>
      </c>
      <c r="I26" s="5">
        <v>5</v>
      </c>
      <c r="J26" s="5">
        <v>5</v>
      </c>
      <c r="K26" s="5">
        <v>5</v>
      </c>
      <c r="L26" s="5">
        <v>5</v>
      </c>
      <c r="M26" s="5">
        <v>5</v>
      </c>
      <c r="N26" s="5">
        <v>5</v>
      </c>
      <c r="O26" s="5">
        <v>5</v>
      </c>
      <c r="P26" s="12">
        <v>0.97538461538461496</v>
      </c>
      <c r="Q26" s="12">
        <v>0.95145631067961201</v>
      </c>
      <c r="R26" s="12">
        <v>0.91964285714285698</v>
      </c>
      <c r="S26" s="12">
        <v>0.91074681238615696</v>
      </c>
      <c r="T26" s="12">
        <v>0.91954022988505801</v>
      </c>
      <c r="U26" s="12">
        <v>1.1000000000000001E-3</v>
      </c>
      <c r="V26" s="12">
        <v>1.2E-2</v>
      </c>
      <c r="W26" s="12">
        <v>6.7999999999999996E-3</v>
      </c>
      <c r="X26" s="12">
        <v>9.4999999999999998E-3</v>
      </c>
      <c r="Y26" s="12">
        <v>1.0999999999999999E-2</v>
      </c>
      <c r="Z26" s="105">
        <f t="shared" si="7"/>
        <v>4.4000000000000007E-4</v>
      </c>
      <c r="AA26" s="105">
        <f t="shared" si="7"/>
        <v>4.8000000000000004E-3</v>
      </c>
      <c r="AB26" s="105">
        <f t="shared" si="7"/>
        <v>2.7200000000000002E-3</v>
      </c>
      <c r="AC26" s="105">
        <f t="shared" si="7"/>
        <v>3.8E-3</v>
      </c>
      <c r="AD26" s="105">
        <f t="shared" si="7"/>
        <v>4.4000000000000003E-3</v>
      </c>
      <c r="AE26" s="5">
        <v>5</v>
      </c>
      <c r="AF26" s="15">
        <v>229</v>
      </c>
      <c r="AG26" s="5">
        <v>5</v>
      </c>
      <c r="AH26" s="5">
        <v>5</v>
      </c>
      <c r="AI26" s="5">
        <v>5</v>
      </c>
      <c r="AJ26" s="5">
        <v>5</v>
      </c>
      <c r="AK26" s="5">
        <v>5</v>
      </c>
      <c r="AL26" s="5">
        <v>5</v>
      </c>
      <c r="AM26" s="5">
        <v>5</v>
      </c>
      <c r="AN26" s="5">
        <v>5</v>
      </c>
      <c r="AO26" s="5">
        <v>5</v>
      </c>
      <c r="AP26" s="5">
        <v>5</v>
      </c>
      <c r="AQ26" s="5">
        <v>5</v>
      </c>
      <c r="AR26" s="5">
        <v>5</v>
      </c>
      <c r="AS26" s="5">
        <v>5</v>
      </c>
      <c r="AT26" s="15">
        <v>5.0000000000000001E-4</v>
      </c>
      <c r="AU26" s="15">
        <v>9.4414168937329696E-5</v>
      </c>
      <c r="AV26" s="5">
        <v>5</v>
      </c>
      <c r="AW26" s="42">
        <v>229</v>
      </c>
      <c r="AX26" s="105">
        <f t="shared" si="1"/>
        <v>5.5000000000000002E-5</v>
      </c>
      <c r="AY26" s="105">
        <f t="shared" si="2"/>
        <v>0.1386</v>
      </c>
      <c r="AZ26" s="105">
        <v>0</v>
      </c>
      <c r="BA26" s="5">
        <v>2679100</v>
      </c>
      <c r="BB26" s="105">
        <f t="shared" si="8"/>
        <v>5</v>
      </c>
      <c r="BC26" s="105">
        <f t="shared" si="6"/>
        <v>5</v>
      </c>
    </row>
    <row r="27" spans="1:55" s="3" customFormat="1" x14ac:dyDescent="0.25">
      <c r="A27" s="44" t="s">
        <v>37</v>
      </c>
      <c r="B27" s="42" t="s">
        <v>1074</v>
      </c>
      <c r="C27" s="42"/>
      <c r="D27" s="5">
        <v>5</v>
      </c>
      <c r="E27" s="5">
        <v>5</v>
      </c>
      <c r="F27" s="5">
        <v>5</v>
      </c>
      <c r="G27" s="5">
        <v>5</v>
      </c>
      <c r="H27" s="5">
        <v>5</v>
      </c>
      <c r="I27" s="5">
        <v>5</v>
      </c>
      <c r="J27" s="5">
        <v>5</v>
      </c>
      <c r="K27" s="5">
        <v>5</v>
      </c>
      <c r="L27" s="5">
        <v>5</v>
      </c>
      <c r="M27" s="5">
        <v>5</v>
      </c>
      <c r="N27" s="5">
        <v>5</v>
      </c>
      <c r="O27" s="5">
        <v>5</v>
      </c>
      <c r="P27" s="12">
        <v>0.94202898550724601</v>
      </c>
      <c r="Q27" s="12">
        <v>0.96767241379310298</v>
      </c>
      <c r="R27" s="12">
        <v>0.91346153846153799</v>
      </c>
      <c r="S27" s="12">
        <v>0.90301003344481601</v>
      </c>
      <c r="T27" s="12">
        <v>0.91029900332225899</v>
      </c>
      <c r="U27" s="12">
        <v>6.1999999999999998E-3</v>
      </c>
      <c r="V27" s="12">
        <v>5.6000000000000001E-2</v>
      </c>
      <c r="W27" s="12">
        <v>0.02</v>
      </c>
      <c r="X27" s="12">
        <v>3.3000000000000002E-2</v>
      </c>
      <c r="Y27" s="12">
        <v>4.4999999999999998E-2</v>
      </c>
      <c r="Z27" s="105">
        <f t="shared" si="7"/>
        <v>2.48E-3</v>
      </c>
      <c r="AA27" s="105">
        <f t="shared" si="7"/>
        <v>2.2400000000000003E-2</v>
      </c>
      <c r="AB27" s="105">
        <f t="shared" si="7"/>
        <v>8.0000000000000002E-3</v>
      </c>
      <c r="AC27" s="105">
        <f t="shared" si="7"/>
        <v>1.3200000000000002E-2</v>
      </c>
      <c r="AD27" s="105">
        <f t="shared" si="7"/>
        <v>1.7999999999999999E-2</v>
      </c>
      <c r="AE27" s="5">
        <v>5</v>
      </c>
      <c r="AF27" s="15">
        <v>206</v>
      </c>
      <c r="AG27" s="5">
        <v>5</v>
      </c>
      <c r="AH27" s="5">
        <v>5</v>
      </c>
      <c r="AI27" s="5">
        <v>5</v>
      </c>
      <c r="AJ27" s="5">
        <v>5</v>
      </c>
      <c r="AK27" s="5">
        <v>5</v>
      </c>
      <c r="AL27" s="5">
        <v>5</v>
      </c>
      <c r="AM27" s="5">
        <v>5</v>
      </c>
      <c r="AN27" s="5">
        <v>5</v>
      </c>
      <c r="AO27" s="5">
        <v>5</v>
      </c>
      <c r="AP27" s="5">
        <v>5</v>
      </c>
      <c r="AQ27" s="5">
        <v>5</v>
      </c>
      <c r="AR27" s="5">
        <v>5</v>
      </c>
      <c r="AS27" s="5">
        <v>5</v>
      </c>
      <c r="AT27" s="15"/>
      <c r="AU27" s="15">
        <v>86724</v>
      </c>
      <c r="AV27" s="5">
        <v>5</v>
      </c>
      <c r="AW27" s="42">
        <v>206</v>
      </c>
      <c r="AX27" s="105">
        <f t="shared" si="1"/>
        <v>5.5000000000000002E-5</v>
      </c>
      <c r="AY27" s="105">
        <f t="shared" si="2"/>
        <v>0.1386</v>
      </c>
      <c r="AZ27" s="105">
        <v>0</v>
      </c>
      <c r="BA27" s="5">
        <v>2.9166666666666698E-3</v>
      </c>
      <c r="BB27" s="105">
        <f t="shared" si="8"/>
        <v>5</v>
      </c>
      <c r="BC27" s="105">
        <f t="shared" si="6"/>
        <v>5</v>
      </c>
    </row>
    <row r="28" spans="1:55" s="3" customFormat="1" x14ac:dyDescent="0.25">
      <c r="A28" s="44" t="s">
        <v>38</v>
      </c>
      <c r="B28" s="42" t="s">
        <v>1074</v>
      </c>
      <c r="C28" s="42"/>
      <c r="D28" s="5">
        <v>5</v>
      </c>
      <c r="E28" s="5">
        <v>5</v>
      </c>
      <c r="F28" s="5">
        <v>5</v>
      </c>
      <c r="G28" s="5">
        <v>5</v>
      </c>
      <c r="H28" s="5">
        <v>5</v>
      </c>
      <c r="I28" s="5">
        <v>5</v>
      </c>
      <c r="J28" s="5">
        <v>5</v>
      </c>
      <c r="K28" s="5">
        <v>5</v>
      </c>
      <c r="L28" s="5">
        <v>5</v>
      </c>
      <c r="M28" s="5">
        <v>5</v>
      </c>
      <c r="N28" s="5">
        <v>5</v>
      </c>
      <c r="O28" s="5">
        <v>5</v>
      </c>
      <c r="P28" s="12">
        <v>0.86776859504132198</v>
      </c>
      <c r="Q28" s="12">
        <v>0.94199999999999995</v>
      </c>
      <c r="R28" s="12">
        <v>0.93081761006289299</v>
      </c>
      <c r="S28" s="12">
        <v>0.94166666666666698</v>
      </c>
      <c r="T28" s="12">
        <v>0.91360294117647101</v>
      </c>
      <c r="U28" s="12">
        <v>3.5999999999999997E-2</v>
      </c>
      <c r="V28" s="12">
        <v>0.13</v>
      </c>
      <c r="W28" s="12">
        <v>5.8999999999999997E-2</v>
      </c>
      <c r="X28" s="12">
        <v>8.4000000000000005E-2</v>
      </c>
      <c r="Y28" s="12">
        <v>0.1</v>
      </c>
      <c r="Z28" s="105">
        <f t="shared" si="7"/>
        <v>1.44E-2</v>
      </c>
      <c r="AA28" s="105">
        <f t="shared" si="7"/>
        <v>5.2000000000000005E-2</v>
      </c>
      <c r="AB28" s="105">
        <f t="shared" si="7"/>
        <v>2.3599999999999999E-2</v>
      </c>
      <c r="AC28" s="105">
        <f t="shared" si="7"/>
        <v>3.3600000000000005E-2</v>
      </c>
      <c r="AD28" s="105">
        <f t="shared" si="7"/>
        <v>4.0000000000000008E-2</v>
      </c>
      <c r="AE28" s="5">
        <v>5</v>
      </c>
      <c r="AF28" s="15">
        <v>209</v>
      </c>
      <c r="AG28" s="5">
        <v>5</v>
      </c>
      <c r="AH28" s="5">
        <v>5</v>
      </c>
      <c r="AI28" s="5">
        <v>5</v>
      </c>
      <c r="AJ28" s="5">
        <v>5</v>
      </c>
      <c r="AK28" s="5">
        <v>5</v>
      </c>
      <c r="AL28" s="5">
        <v>5</v>
      </c>
      <c r="AM28" s="5">
        <v>5</v>
      </c>
      <c r="AN28" s="5">
        <v>5</v>
      </c>
      <c r="AO28" s="5">
        <v>5</v>
      </c>
      <c r="AP28" s="5">
        <v>5</v>
      </c>
      <c r="AQ28" s="5">
        <v>5</v>
      </c>
      <c r="AR28" s="5">
        <v>5</v>
      </c>
      <c r="AS28" s="5">
        <v>5</v>
      </c>
      <c r="AT28" s="15"/>
      <c r="AU28" s="15">
        <v>168551.966682092</v>
      </c>
      <c r="AV28" s="5">
        <v>5</v>
      </c>
      <c r="AW28" s="42">
        <v>209</v>
      </c>
      <c r="AX28" s="105">
        <f t="shared" si="1"/>
        <v>5.5000000000000002E-5</v>
      </c>
      <c r="AY28" s="105">
        <f t="shared" si="2"/>
        <v>0.1386</v>
      </c>
      <c r="AZ28" s="105">
        <v>0</v>
      </c>
      <c r="BA28" s="5">
        <v>1.5006944444444399E-3</v>
      </c>
      <c r="BB28" s="105">
        <f t="shared" si="8"/>
        <v>5</v>
      </c>
      <c r="BC28" s="105">
        <f t="shared" si="6"/>
        <v>5</v>
      </c>
    </row>
    <row r="29" spans="1:55" s="3" customFormat="1" x14ac:dyDescent="0.25">
      <c r="A29" s="44" t="s">
        <v>39</v>
      </c>
      <c r="B29" s="42" t="s">
        <v>1074</v>
      </c>
      <c r="C29" s="42"/>
      <c r="D29" s="5">
        <v>5</v>
      </c>
      <c r="E29" s="5">
        <v>5</v>
      </c>
      <c r="F29" s="5">
        <v>5</v>
      </c>
      <c r="G29" s="5">
        <v>5</v>
      </c>
      <c r="H29" s="5">
        <v>5</v>
      </c>
      <c r="I29" s="5">
        <v>5</v>
      </c>
      <c r="J29" s="5">
        <v>5</v>
      </c>
      <c r="K29" s="5">
        <v>5</v>
      </c>
      <c r="L29" s="5">
        <v>5</v>
      </c>
      <c r="M29" s="5">
        <v>5</v>
      </c>
      <c r="N29" s="5">
        <v>5</v>
      </c>
      <c r="O29" s="5">
        <v>5</v>
      </c>
      <c r="P29" s="12">
        <v>0.87301587301587302</v>
      </c>
      <c r="Q29" s="12">
        <v>0.93846153846153801</v>
      </c>
      <c r="R29" s="12">
        <v>0.94059405940594099</v>
      </c>
      <c r="S29" s="12">
        <v>0.94308943089430897</v>
      </c>
      <c r="T29" s="12">
        <v>0.93390804597701205</v>
      </c>
      <c r="U29" s="12">
        <v>3.5999999999999997E-2</v>
      </c>
      <c r="V29" s="12">
        <v>0.12</v>
      </c>
      <c r="W29" s="12">
        <v>0.06</v>
      </c>
      <c r="X29" s="12">
        <v>8.4000000000000005E-2</v>
      </c>
      <c r="Y29" s="12">
        <v>0.1</v>
      </c>
      <c r="Z29" s="105">
        <f t="shared" si="7"/>
        <v>1.44E-2</v>
      </c>
      <c r="AA29" s="105">
        <f t="shared" si="7"/>
        <v>4.8000000000000001E-2</v>
      </c>
      <c r="AB29" s="105">
        <f t="shared" si="7"/>
        <v>2.4E-2</v>
      </c>
      <c r="AC29" s="105">
        <f t="shared" si="7"/>
        <v>3.3600000000000005E-2</v>
      </c>
      <c r="AD29" s="105">
        <f t="shared" si="7"/>
        <v>4.0000000000000008E-2</v>
      </c>
      <c r="AE29" s="5">
        <v>5</v>
      </c>
      <c r="AF29" s="15">
        <v>210</v>
      </c>
      <c r="AG29" s="5">
        <v>5</v>
      </c>
      <c r="AH29" s="5">
        <v>5</v>
      </c>
      <c r="AI29" s="5">
        <v>5</v>
      </c>
      <c r="AJ29" s="5">
        <v>5</v>
      </c>
      <c r="AK29" s="5">
        <v>5</v>
      </c>
      <c r="AL29" s="5">
        <v>5</v>
      </c>
      <c r="AM29" s="5">
        <v>5</v>
      </c>
      <c r="AN29" s="5">
        <v>5</v>
      </c>
      <c r="AO29" s="5">
        <v>5</v>
      </c>
      <c r="AP29" s="5">
        <v>5</v>
      </c>
      <c r="AQ29" s="5">
        <v>5</v>
      </c>
      <c r="AR29" s="5">
        <v>5</v>
      </c>
      <c r="AS29" s="5">
        <v>5</v>
      </c>
      <c r="AT29" s="15"/>
      <c r="AU29" s="15">
        <v>280185.23076923098</v>
      </c>
      <c r="AV29" s="5">
        <v>5</v>
      </c>
      <c r="AW29" s="42">
        <v>210</v>
      </c>
      <c r="AX29" s="105">
        <f t="shared" si="1"/>
        <v>5.5000000000000002E-5</v>
      </c>
      <c r="AY29" s="105">
        <f t="shared" si="2"/>
        <v>0.1386</v>
      </c>
      <c r="AZ29" s="105">
        <v>0</v>
      </c>
      <c r="BA29" s="5">
        <v>9.0277777777777795E-4</v>
      </c>
      <c r="BB29" s="105">
        <f t="shared" si="8"/>
        <v>5</v>
      </c>
      <c r="BC29" s="105">
        <f t="shared" si="6"/>
        <v>5</v>
      </c>
    </row>
    <row r="30" spans="1:55" s="3" customFormat="1" x14ac:dyDescent="0.25">
      <c r="A30" s="44" t="s">
        <v>40</v>
      </c>
      <c r="B30" s="42" t="s">
        <v>1074</v>
      </c>
      <c r="C30" s="42"/>
      <c r="D30" s="5">
        <v>5</v>
      </c>
      <c r="E30" s="5">
        <v>5</v>
      </c>
      <c r="F30" s="5">
        <v>5</v>
      </c>
      <c r="G30" s="5">
        <v>5</v>
      </c>
      <c r="H30" s="5">
        <v>5</v>
      </c>
      <c r="I30" s="5">
        <v>5</v>
      </c>
      <c r="J30" s="5">
        <v>5</v>
      </c>
      <c r="K30" s="5">
        <v>5</v>
      </c>
      <c r="L30" s="5">
        <v>5</v>
      </c>
      <c r="M30" s="5">
        <v>5</v>
      </c>
      <c r="N30" s="5">
        <v>5</v>
      </c>
      <c r="O30" s="5">
        <v>5</v>
      </c>
      <c r="P30" s="111">
        <v>1</v>
      </c>
      <c r="Q30" s="111">
        <v>1</v>
      </c>
      <c r="R30" s="111">
        <v>0.97979797979798</v>
      </c>
      <c r="S30" s="111">
        <v>0.97103448275862103</v>
      </c>
      <c r="T30" s="111">
        <v>0.96124031007751898</v>
      </c>
      <c r="U30" s="5">
        <v>1E-4</v>
      </c>
      <c r="V30" s="5">
        <v>1.2E-2</v>
      </c>
      <c r="W30" s="5">
        <v>2.5000000000000001E-3</v>
      </c>
      <c r="X30" s="5">
        <v>7.0000000000000001E-3</v>
      </c>
      <c r="Y30" s="5">
        <v>9.4999999999999998E-3</v>
      </c>
      <c r="Z30" s="105">
        <f t="shared" si="7"/>
        <v>4.0000000000000003E-5</v>
      </c>
      <c r="AA30" s="105">
        <f t="shared" si="7"/>
        <v>4.8000000000000004E-3</v>
      </c>
      <c r="AB30" s="105">
        <f t="shared" si="7"/>
        <v>1E-3</v>
      </c>
      <c r="AC30" s="105">
        <f t="shared" si="7"/>
        <v>2.8000000000000004E-3</v>
      </c>
      <c r="AD30" s="105">
        <f t="shared" si="7"/>
        <v>3.8E-3</v>
      </c>
      <c r="AE30" s="5">
        <v>5</v>
      </c>
      <c r="AF30" s="15">
        <v>233</v>
      </c>
      <c r="AG30" s="5">
        <v>5</v>
      </c>
      <c r="AH30" s="5">
        <v>5</v>
      </c>
      <c r="AI30" s="5">
        <v>5</v>
      </c>
      <c r="AJ30" s="5">
        <v>5</v>
      </c>
      <c r="AK30" s="5">
        <v>5</v>
      </c>
      <c r="AL30" s="5">
        <v>5</v>
      </c>
      <c r="AM30" s="5">
        <v>5</v>
      </c>
      <c r="AN30" s="5">
        <v>5</v>
      </c>
      <c r="AO30" s="5">
        <v>5</v>
      </c>
      <c r="AP30" s="5">
        <v>5</v>
      </c>
      <c r="AQ30" s="5">
        <v>5</v>
      </c>
      <c r="AR30" s="5">
        <v>5</v>
      </c>
      <c r="AS30" s="5">
        <v>5</v>
      </c>
      <c r="AT30" s="15">
        <v>0.02</v>
      </c>
      <c r="AU30" s="15">
        <v>4.3530150753768799E-6</v>
      </c>
      <c r="AV30" s="5">
        <v>5</v>
      </c>
      <c r="AW30" s="42">
        <v>233</v>
      </c>
      <c r="AX30" s="105">
        <f t="shared" si="1"/>
        <v>5.5000000000000002E-5</v>
      </c>
      <c r="AY30" s="105">
        <f t="shared" si="2"/>
        <v>0.1386</v>
      </c>
      <c r="AZ30" s="105">
        <v>0</v>
      </c>
      <c r="BA30" s="5">
        <v>58108000</v>
      </c>
      <c r="BB30" s="105">
        <f t="shared" si="8"/>
        <v>5</v>
      </c>
      <c r="BC30" s="105">
        <f t="shared" si="6"/>
        <v>5</v>
      </c>
    </row>
  </sheetData>
  <sheetProtection algorithmName="SHA-512" hashValue="3TdJTnNdxDMiN7oxXNZruYpJG/yyn13PW3EEYSFr4uj2rqLZZGR21zc7/j0judBHsEtySGKKToEZN4XwZKjmRA==" saltValue="dem1dzWoGRvb0vgQSlE0+g==" spinCount="100000" sheet="1" objects="1" scenarios="1" formatColumns="0" formatRows="0" autoFilter="0"/>
  <autoFilter ref="A1:BD1299" xr:uid="{00000000-0009-0000-0000-00001800000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Z30"/>
  <sheetViews>
    <sheetView zoomScale="90" zoomScaleNormal="90" workbookViewId="0"/>
  </sheetViews>
  <sheetFormatPr defaultRowHeight="15" x14ac:dyDescent="0.25"/>
  <cols>
    <col min="1" max="1" width="15.42578125" style="4" bestFit="1" customWidth="1"/>
    <col min="2" max="2" width="11.5703125" style="4" bestFit="1" customWidth="1"/>
    <col min="3" max="3" width="14.85546875" bestFit="1" customWidth="1"/>
    <col min="4" max="4" width="14.7109375" bestFit="1" customWidth="1"/>
    <col min="5" max="5" width="14" bestFit="1" customWidth="1"/>
    <col min="6" max="6" width="14.5703125" bestFit="1" customWidth="1"/>
    <col min="7" max="7" width="13.7109375" bestFit="1" customWidth="1"/>
    <col min="8" max="8" width="14" bestFit="1" customWidth="1"/>
    <col min="9" max="9" width="13.28515625" bestFit="1" customWidth="1"/>
    <col min="10" max="10" width="14.7109375" bestFit="1" customWidth="1"/>
    <col min="11" max="11" width="13.7109375" bestFit="1" customWidth="1"/>
    <col min="12" max="12" width="15.7109375" bestFit="1" customWidth="1"/>
    <col min="13" max="13" width="13" bestFit="1" customWidth="1"/>
    <col min="14" max="15" width="13.7109375" bestFit="1" customWidth="1"/>
    <col min="16" max="16" width="15" bestFit="1" customWidth="1"/>
    <col min="17" max="17" width="15.140625" bestFit="1" customWidth="1"/>
    <col min="18" max="18" width="13.85546875" bestFit="1" customWidth="1"/>
    <col min="19" max="19" width="13.140625" bestFit="1" customWidth="1"/>
    <col min="20" max="20" width="14.5703125" bestFit="1" customWidth="1"/>
    <col min="21" max="21" width="15" bestFit="1" customWidth="1"/>
    <col min="22" max="22" width="14" bestFit="1" customWidth="1"/>
    <col min="23" max="23" width="14.7109375" bestFit="1" customWidth="1"/>
    <col min="24" max="24" width="13.42578125" bestFit="1" customWidth="1"/>
    <col min="25" max="25" width="13.140625" bestFit="1" customWidth="1"/>
    <col min="26" max="26" width="15.42578125" bestFit="1" customWidth="1"/>
  </cols>
  <sheetData>
    <row r="1" spans="1:26" x14ac:dyDescent="0.25">
      <c r="A1" s="78" t="s">
        <v>51</v>
      </c>
      <c r="B1" s="78" t="s">
        <v>350</v>
      </c>
      <c r="C1" s="112" t="s">
        <v>643</v>
      </c>
      <c r="D1" s="112" t="s">
        <v>644</v>
      </c>
      <c r="E1" s="112" t="s">
        <v>645</v>
      </c>
      <c r="F1" s="112" t="s">
        <v>646</v>
      </c>
      <c r="G1" s="112" t="s">
        <v>647</v>
      </c>
      <c r="H1" s="112" t="s">
        <v>648</v>
      </c>
      <c r="I1" s="112" t="s">
        <v>649</v>
      </c>
      <c r="J1" s="112" t="s">
        <v>650</v>
      </c>
      <c r="K1" s="112" t="s">
        <v>651</v>
      </c>
      <c r="L1" s="112" t="s">
        <v>652</v>
      </c>
      <c r="M1" s="112" t="s">
        <v>653</v>
      </c>
      <c r="N1" s="112" t="s">
        <v>654</v>
      </c>
      <c r="O1" s="112" t="s">
        <v>655</v>
      </c>
      <c r="P1" s="112" t="s">
        <v>656</v>
      </c>
      <c r="Q1" s="112" t="s">
        <v>657</v>
      </c>
      <c r="R1" s="112" t="s">
        <v>658</v>
      </c>
      <c r="S1" s="112" t="s">
        <v>659</v>
      </c>
      <c r="T1" s="112" t="s">
        <v>660</v>
      </c>
      <c r="U1" s="112" t="s">
        <v>661</v>
      </c>
      <c r="V1" s="112" t="s">
        <v>662</v>
      </c>
      <c r="W1" s="112" t="s">
        <v>663</v>
      </c>
      <c r="X1" s="112" t="s">
        <v>664</v>
      </c>
      <c r="Y1" s="112" t="s">
        <v>665</v>
      </c>
      <c r="Z1" s="112" t="s">
        <v>735</v>
      </c>
    </row>
    <row r="2" spans="1:26" x14ac:dyDescent="0.25">
      <c r="A2" s="44" t="s">
        <v>12</v>
      </c>
      <c r="B2" s="42" t="s">
        <v>1074</v>
      </c>
      <c r="C2" s="5">
        <v>5</v>
      </c>
      <c r="D2" s="5">
        <v>5</v>
      </c>
      <c r="E2" s="5">
        <v>5</v>
      </c>
      <c r="F2" s="5">
        <v>5</v>
      </c>
      <c r="G2" s="5">
        <v>5</v>
      </c>
      <c r="H2" s="5">
        <v>5</v>
      </c>
      <c r="I2" s="5">
        <v>5</v>
      </c>
      <c r="J2" s="5">
        <v>5</v>
      </c>
      <c r="K2" s="5">
        <v>5</v>
      </c>
      <c r="L2" s="5">
        <v>5</v>
      </c>
      <c r="M2" s="5">
        <v>5</v>
      </c>
      <c r="N2" s="5">
        <v>5</v>
      </c>
      <c r="O2" s="5">
        <v>5</v>
      </c>
      <c r="P2" s="5">
        <v>5</v>
      </c>
      <c r="Q2" s="5">
        <v>5</v>
      </c>
      <c r="R2" s="5">
        <v>5</v>
      </c>
      <c r="S2" s="5">
        <v>5</v>
      </c>
      <c r="T2" s="5">
        <v>5</v>
      </c>
      <c r="U2" s="5">
        <v>5</v>
      </c>
      <c r="V2" s="5">
        <v>5</v>
      </c>
      <c r="W2" s="5">
        <v>5</v>
      </c>
      <c r="X2" s="5">
        <v>5</v>
      </c>
      <c r="Y2" s="5">
        <v>5</v>
      </c>
      <c r="Z2" s="5">
        <v>5</v>
      </c>
    </row>
    <row r="3" spans="1:26" x14ac:dyDescent="0.25">
      <c r="A3" s="46" t="s">
        <v>13</v>
      </c>
      <c r="B3" s="42" t="s">
        <v>351</v>
      </c>
      <c r="C3" s="5">
        <v>5</v>
      </c>
      <c r="D3" s="5">
        <v>5</v>
      </c>
      <c r="E3" s="5">
        <v>5</v>
      </c>
      <c r="F3" s="5">
        <v>5</v>
      </c>
      <c r="G3" s="5">
        <v>5</v>
      </c>
      <c r="H3" s="5">
        <v>5</v>
      </c>
      <c r="I3" s="5">
        <v>5</v>
      </c>
      <c r="J3" s="5">
        <v>5</v>
      </c>
      <c r="K3" s="5">
        <v>5</v>
      </c>
      <c r="L3" s="5">
        <v>5</v>
      </c>
      <c r="M3" s="5">
        <v>5</v>
      </c>
      <c r="N3" s="5">
        <v>5</v>
      </c>
      <c r="O3" s="5">
        <v>5</v>
      </c>
      <c r="P3" s="5">
        <v>5</v>
      </c>
      <c r="Q3" s="5">
        <v>5</v>
      </c>
      <c r="R3" s="5">
        <v>5</v>
      </c>
      <c r="S3" s="5">
        <v>5</v>
      </c>
      <c r="T3" s="5">
        <v>5</v>
      </c>
      <c r="U3" s="5">
        <v>5</v>
      </c>
      <c r="V3" s="5">
        <v>5</v>
      </c>
      <c r="W3" s="5">
        <v>5</v>
      </c>
      <c r="X3" s="5">
        <v>5</v>
      </c>
      <c r="Y3" s="5">
        <v>5</v>
      </c>
      <c r="Z3" s="5">
        <v>5</v>
      </c>
    </row>
    <row r="4" spans="1:26" x14ac:dyDescent="0.25">
      <c r="A4" s="44" t="s">
        <v>14</v>
      </c>
      <c r="B4" s="42" t="s">
        <v>1074</v>
      </c>
      <c r="C4" s="5">
        <v>5</v>
      </c>
      <c r="D4" s="5">
        <v>5</v>
      </c>
      <c r="E4" s="5">
        <v>5</v>
      </c>
      <c r="F4" s="5">
        <v>5</v>
      </c>
      <c r="G4" s="5">
        <v>5</v>
      </c>
      <c r="H4" s="5">
        <v>5</v>
      </c>
      <c r="I4" s="5">
        <v>5</v>
      </c>
      <c r="J4" s="5">
        <v>5</v>
      </c>
      <c r="K4" s="5">
        <v>5</v>
      </c>
      <c r="L4" s="5">
        <v>5</v>
      </c>
      <c r="M4" s="5">
        <v>5</v>
      </c>
      <c r="N4" s="5">
        <v>5</v>
      </c>
      <c r="O4" s="5">
        <v>5</v>
      </c>
      <c r="P4" s="5">
        <v>5</v>
      </c>
      <c r="Q4" s="5">
        <v>5</v>
      </c>
      <c r="R4" s="5">
        <v>5</v>
      </c>
      <c r="S4" s="5">
        <v>5</v>
      </c>
      <c r="T4" s="5">
        <v>5</v>
      </c>
      <c r="U4" s="5">
        <v>5</v>
      </c>
      <c r="V4" s="5">
        <v>5</v>
      </c>
      <c r="W4" s="5">
        <v>5</v>
      </c>
      <c r="X4" s="5">
        <v>5</v>
      </c>
      <c r="Y4" s="5">
        <v>5</v>
      </c>
      <c r="Z4" s="5">
        <v>5</v>
      </c>
    </row>
    <row r="5" spans="1:26" x14ac:dyDescent="0.25">
      <c r="A5" s="44" t="s">
        <v>15</v>
      </c>
      <c r="B5" s="42" t="s">
        <v>1074</v>
      </c>
      <c r="C5" s="5">
        <v>5</v>
      </c>
      <c r="D5" s="5">
        <v>5</v>
      </c>
      <c r="E5" s="5">
        <v>5</v>
      </c>
      <c r="F5" s="5">
        <v>5</v>
      </c>
      <c r="G5" s="5">
        <v>5</v>
      </c>
      <c r="H5" s="5">
        <v>5</v>
      </c>
      <c r="I5" s="5">
        <v>5</v>
      </c>
      <c r="J5" s="5">
        <v>5</v>
      </c>
      <c r="K5" s="5">
        <v>5</v>
      </c>
      <c r="L5" s="5">
        <v>5</v>
      </c>
      <c r="M5" s="5">
        <v>5</v>
      </c>
      <c r="N5" s="5">
        <v>5</v>
      </c>
      <c r="O5" s="5">
        <v>5</v>
      </c>
      <c r="P5" s="5">
        <v>5</v>
      </c>
      <c r="Q5" s="5">
        <v>5</v>
      </c>
      <c r="R5" s="5">
        <v>5</v>
      </c>
      <c r="S5" s="5">
        <v>5</v>
      </c>
      <c r="T5" s="5">
        <v>5</v>
      </c>
      <c r="U5" s="5">
        <v>5</v>
      </c>
      <c r="V5" s="5">
        <v>5</v>
      </c>
      <c r="W5" s="5">
        <v>5</v>
      </c>
      <c r="X5" s="5">
        <v>5</v>
      </c>
      <c r="Y5" s="5">
        <v>5</v>
      </c>
      <c r="Z5" s="5">
        <v>5</v>
      </c>
    </row>
    <row r="6" spans="1:26" x14ac:dyDescent="0.25">
      <c r="A6" s="44" t="s">
        <v>16</v>
      </c>
      <c r="B6" s="42" t="s">
        <v>1074</v>
      </c>
      <c r="C6" s="5">
        <v>5</v>
      </c>
      <c r="D6" s="5">
        <v>5</v>
      </c>
      <c r="E6" s="5">
        <v>5</v>
      </c>
      <c r="F6" s="5">
        <v>5</v>
      </c>
      <c r="G6" s="5">
        <v>5</v>
      </c>
      <c r="H6" s="5">
        <v>5</v>
      </c>
      <c r="I6" s="5">
        <v>5</v>
      </c>
      <c r="J6" s="5">
        <v>5</v>
      </c>
      <c r="K6" s="5">
        <v>5</v>
      </c>
      <c r="L6" s="5">
        <v>5</v>
      </c>
      <c r="M6" s="5">
        <v>5</v>
      </c>
      <c r="N6" s="5">
        <v>5</v>
      </c>
      <c r="O6" s="5">
        <v>5</v>
      </c>
      <c r="P6" s="5">
        <v>5</v>
      </c>
      <c r="Q6" s="5">
        <v>5</v>
      </c>
      <c r="R6" s="5">
        <v>5</v>
      </c>
      <c r="S6" s="5">
        <v>5</v>
      </c>
      <c r="T6" s="5">
        <v>5</v>
      </c>
      <c r="U6" s="5">
        <v>5</v>
      </c>
      <c r="V6" s="5">
        <v>5</v>
      </c>
      <c r="W6" s="5">
        <v>5</v>
      </c>
      <c r="X6" s="5">
        <v>5</v>
      </c>
      <c r="Y6" s="5">
        <v>5</v>
      </c>
      <c r="Z6" s="5">
        <v>5</v>
      </c>
    </row>
    <row r="7" spans="1:26" x14ac:dyDescent="0.25">
      <c r="A7" s="44" t="s">
        <v>17</v>
      </c>
      <c r="B7" s="42" t="s">
        <v>1074</v>
      </c>
      <c r="C7" s="5">
        <v>5</v>
      </c>
      <c r="D7" s="5">
        <v>5</v>
      </c>
      <c r="E7" s="5">
        <v>5</v>
      </c>
      <c r="F7" s="5">
        <v>5</v>
      </c>
      <c r="G7" s="5">
        <v>5</v>
      </c>
      <c r="H7" s="5">
        <v>5</v>
      </c>
      <c r="I7" s="5">
        <v>5</v>
      </c>
      <c r="J7" s="5">
        <v>5</v>
      </c>
      <c r="K7" s="5">
        <v>5</v>
      </c>
      <c r="L7" s="5">
        <v>5</v>
      </c>
      <c r="M7" s="5">
        <v>5</v>
      </c>
      <c r="N7" s="5">
        <v>5</v>
      </c>
      <c r="O7" s="5">
        <v>5</v>
      </c>
      <c r="P7" s="5">
        <v>5</v>
      </c>
      <c r="Q7" s="5">
        <v>5</v>
      </c>
      <c r="R7" s="5">
        <v>5</v>
      </c>
      <c r="S7" s="5">
        <v>5</v>
      </c>
      <c r="T7" s="5">
        <v>5</v>
      </c>
      <c r="U7" s="5">
        <v>5</v>
      </c>
      <c r="V7" s="5">
        <v>5</v>
      </c>
      <c r="W7" s="5">
        <v>5</v>
      </c>
      <c r="X7" s="5">
        <v>5</v>
      </c>
      <c r="Y7" s="5">
        <v>5</v>
      </c>
      <c r="Z7" s="5">
        <v>5</v>
      </c>
    </row>
    <row r="8" spans="1:26" x14ac:dyDescent="0.25">
      <c r="A8" s="44" t="s">
        <v>18</v>
      </c>
      <c r="B8" s="42" t="s">
        <v>1074</v>
      </c>
      <c r="C8" s="5">
        <v>5</v>
      </c>
      <c r="D8" s="5">
        <v>5</v>
      </c>
      <c r="E8" s="5">
        <v>5</v>
      </c>
      <c r="F8" s="5">
        <v>5</v>
      </c>
      <c r="G8" s="5">
        <v>5</v>
      </c>
      <c r="H8" s="5">
        <v>5</v>
      </c>
      <c r="I8" s="5">
        <v>5</v>
      </c>
      <c r="J8" s="5">
        <v>5</v>
      </c>
      <c r="K8" s="5">
        <v>5</v>
      </c>
      <c r="L8" s="5">
        <v>5</v>
      </c>
      <c r="M8" s="5">
        <v>5</v>
      </c>
      <c r="N8" s="5">
        <v>5</v>
      </c>
      <c r="O8" s="5">
        <v>5</v>
      </c>
      <c r="P8" s="5">
        <v>5</v>
      </c>
      <c r="Q8" s="5">
        <v>5</v>
      </c>
      <c r="R8" s="5">
        <v>5</v>
      </c>
      <c r="S8" s="5">
        <v>5</v>
      </c>
      <c r="T8" s="5">
        <v>5</v>
      </c>
      <c r="U8" s="5">
        <v>5</v>
      </c>
      <c r="V8" s="5">
        <v>5</v>
      </c>
      <c r="W8" s="5">
        <v>5</v>
      </c>
      <c r="X8" s="5">
        <v>5</v>
      </c>
      <c r="Y8" s="5">
        <v>5</v>
      </c>
      <c r="Z8" s="5">
        <v>5</v>
      </c>
    </row>
    <row r="9" spans="1:26" x14ac:dyDescent="0.25">
      <c r="A9" s="44" t="s">
        <v>19</v>
      </c>
      <c r="B9" s="42" t="s">
        <v>1074</v>
      </c>
      <c r="C9" s="5">
        <v>5</v>
      </c>
      <c r="D9" s="5">
        <v>5</v>
      </c>
      <c r="E9" s="5">
        <v>5</v>
      </c>
      <c r="F9" s="5">
        <v>5</v>
      </c>
      <c r="G9" s="5">
        <v>5</v>
      </c>
      <c r="H9" s="5">
        <v>5</v>
      </c>
      <c r="I9" s="5">
        <v>5</v>
      </c>
      <c r="J9" s="5">
        <v>5</v>
      </c>
      <c r="K9" s="5">
        <v>5</v>
      </c>
      <c r="L9" s="5">
        <v>5</v>
      </c>
      <c r="M9" s="5">
        <v>5</v>
      </c>
      <c r="N9" s="5">
        <v>5</v>
      </c>
      <c r="O9" s="5">
        <v>5</v>
      </c>
      <c r="P9" s="5">
        <v>5</v>
      </c>
      <c r="Q9" s="5">
        <v>5</v>
      </c>
      <c r="R9" s="5">
        <v>5</v>
      </c>
      <c r="S9" s="5">
        <v>5</v>
      </c>
      <c r="T9" s="5">
        <v>5</v>
      </c>
      <c r="U9" s="5">
        <v>5</v>
      </c>
      <c r="V9" s="5">
        <v>5</v>
      </c>
      <c r="W9" s="5">
        <v>5</v>
      </c>
      <c r="X9" s="5">
        <v>5</v>
      </c>
      <c r="Y9" s="5">
        <v>5</v>
      </c>
      <c r="Z9" s="5">
        <v>5</v>
      </c>
    </row>
    <row r="10" spans="1:26" x14ac:dyDescent="0.25">
      <c r="A10" s="46" t="s">
        <v>20</v>
      </c>
      <c r="B10" s="42" t="s">
        <v>351</v>
      </c>
      <c r="C10" s="5">
        <v>5</v>
      </c>
      <c r="D10" s="5">
        <v>5</v>
      </c>
      <c r="E10" s="5">
        <v>5</v>
      </c>
      <c r="F10" s="5">
        <v>5</v>
      </c>
      <c r="G10" s="5">
        <v>5</v>
      </c>
      <c r="H10" s="5">
        <v>5</v>
      </c>
      <c r="I10" s="5">
        <v>5</v>
      </c>
      <c r="J10" s="5">
        <v>5</v>
      </c>
      <c r="K10" s="5">
        <v>5</v>
      </c>
      <c r="L10" s="5">
        <v>5</v>
      </c>
      <c r="M10" s="5">
        <v>5</v>
      </c>
      <c r="N10" s="5">
        <v>5</v>
      </c>
      <c r="O10" s="5">
        <v>5</v>
      </c>
      <c r="P10" s="5">
        <v>5</v>
      </c>
      <c r="Q10" s="5">
        <v>5</v>
      </c>
      <c r="R10" s="5">
        <v>5</v>
      </c>
      <c r="S10" s="5">
        <v>5</v>
      </c>
      <c r="T10" s="5">
        <v>5</v>
      </c>
      <c r="U10" s="5">
        <v>5</v>
      </c>
      <c r="V10" s="5">
        <v>5</v>
      </c>
      <c r="W10" s="5">
        <v>5</v>
      </c>
      <c r="X10" s="5">
        <v>5</v>
      </c>
      <c r="Y10" s="5">
        <v>5</v>
      </c>
      <c r="Z10" s="5">
        <v>5</v>
      </c>
    </row>
    <row r="11" spans="1:26" x14ac:dyDescent="0.25">
      <c r="A11" s="44" t="s">
        <v>21</v>
      </c>
      <c r="B11" s="42" t="s">
        <v>1074</v>
      </c>
      <c r="C11" s="5">
        <v>5</v>
      </c>
      <c r="D11" s="5">
        <v>5</v>
      </c>
      <c r="E11" s="5">
        <v>5</v>
      </c>
      <c r="F11" s="5">
        <v>5</v>
      </c>
      <c r="G11" s="5">
        <v>5</v>
      </c>
      <c r="H11" s="5">
        <v>5</v>
      </c>
      <c r="I11" s="5">
        <v>5</v>
      </c>
      <c r="J11" s="5">
        <v>5</v>
      </c>
      <c r="K11" s="5">
        <v>5</v>
      </c>
      <c r="L11" s="5">
        <v>5</v>
      </c>
      <c r="M11" s="5">
        <v>5</v>
      </c>
      <c r="N11" s="5">
        <v>5</v>
      </c>
      <c r="O11" s="5">
        <v>5</v>
      </c>
      <c r="P11" s="5">
        <v>5</v>
      </c>
      <c r="Q11" s="5">
        <v>5</v>
      </c>
      <c r="R11" s="5">
        <v>5</v>
      </c>
      <c r="S11" s="5">
        <v>5</v>
      </c>
      <c r="T11" s="5">
        <v>5</v>
      </c>
      <c r="U11" s="5">
        <v>5</v>
      </c>
      <c r="V11" s="5">
        <v>5</v>
      </c>
      <c r="W11" s="5">
        <v>5</v>
      </c>
      <c r="X11" s="5">
        <v>5</v>
      </c>
      <c r="Y11" s="5">
        <v>5</v>
      </c>
      <c r="Z11" s="5">
        <v>5</v>
      </c>
    </row>
    <row r="12" spans="1:26" x14ac:dyDescent="0.25">
      <c r="A12" s="44" t="s">
        <v>22</v>
      </c>
      <c r="B12" s="42" t="s">
        <v>1074</v>
      </c>
      <c r="C12" s="5">
        <v>5</v>
      </c>
      <c r="D12" s="5">
        <v>5</v>
      </c>
      <c r="E12" s="5">
        <v>5</v>
      </c>
      <c r="F12" s="5">
        <v>5</v>
      </c>
      <c r="G12" s="5">
        <v>5</v>
      </c>
      <c r="H12" s="5">
        <v>5</v>
      </c>
      <c r="I12" s="5">
        <v>5</v>
      </c>
      <c r="J12" s="5">
        <v>5</v>
      </c>
      <c r="K12" s="5">
        <v>5</v>
      </c>
      <c r="L12" s="5">
        <v>5</v>
      </c>
      <c r="M12" s="5">
        <v>5</v>
      </c>
      <c r="N12" s="5">
        <v>5</v>
      </c>
      <c r="O12" s="5">
        <v>5</v>
      </c>
      <c r="P12" s="5">
        <v>5</v>
      </c>
      <c r="Q12" s="5">
        <v>5</v>
      </c>
      <c r="R12" s="5">
        <v>5</v>
      </c>
      <c r="S12" s="5">
        <v>5</v>
      </c>
      <c r="T12" s="5">
        <v>5</v>
      </c>
      <c r="U12" s="5">
        <v>5</v>
      </c>
      <c r="V12" s="5">
        <v>5</v>
      </c>
      <c r="W12" s="5">
        <v>5</v>
      </c>
      <c r="X12" s="5">
        <v>5</v>
      </c>
      <c r="Y12" s="5">
        <v>5</v>
      </c>
      <c r="Z12" s="5">
        <v>5</v>
      </c>
    </row>
    <row r="13" spans="1:26" x14ac:dyDescent="0.25">
      <c r="A13" s="44" t="s">
        <v>23</v>
      </c>
      <c r="B13" s="42" t="s">
        <v>1074</v>
      </c>
      <c r="C13" s="5">
        <v>5</v>
      </c>
      <c r="D13" s="5">
        <v>5</v>
      </c>
      <c r="E13" s="5">
        <v>5</v>
      </c>
      <c r="F13" s="5">
        <v>5</v>
      </c>
      <c r="G13" s="5">
        <v>5</v>
      </c>
      <c r="H13" s="5">
        <v>5</v>
      </c>
      <c r="I13" s="5">
        <v>5</v>
      </c>
      <c r="J13" s="5">
        <v>5</v>
      </c>
      <c r="K13" s="5">
        <v>5</v>
      </c>
      <c r="L13" s="5">
        <v>5</v>
      </c>
      <c r="M13" s="5">
        <v>5</v>
      </c>
      <c r="N13" s="5">
        <v>5</v>
      </c>
      <c r="O13" s="5">
        <v>5</v>
      </c>
      <c r="P13" s="5">
        <v>5</v>
      </c>
      <c r="Q13" s="5">
        <v>5</v>
      </c>
      <c r="R13" s="5">
        <v>5</v>
      </c>
      <c r="S13" s="5">
        <v>5</v>
      </c>
      <c r="T13" s="5">
        <v>5</v>
      </c>
      <c r="U13" s="5">
        <v>5</v>
      </c>
      <c r="V13" s="5">
        <v>5</v>
      </c>
      <c r="W13" s="5">
        <v>5</v>
      </c>
      <c r="X13" s="5">
        <v>5</v>
      </c>
      <c r="Y13" s="5">
        <v>5</v>
      </c>
      <c r="Z13" s="5">
        <v>5</v>
      </c>
    </row>
    <row r="14" spans="1:26" x14ac:dyDescent="0.25">
      <c r="A14" s="44" t="s">
        <v>24</v>
      </c>
      <c r="B14" s="42" t="s">
        <v>1074</v>
      </c>
      <c r="C14" s="5">
        <v>5</v>
      </c>
      <c r="D14" s="5">
        <v>5</v>
      </c>
      <c r="E14" s="5">
        <v>5</v>
      </c>
      <c r="F14" s="5">
        <v>5</v>
      </c>
      <c r="G14" s="5">
        <v>5</v>
      </c>
      <c r="H14" s="5">
        <v>5</v>
      </c>
      <c r="I14" s="5">
        <v>5</v>
      </c>
      <c r="J14" s="5">
        <v>5</v>
      </c>
      <c r="K14" s="5">
        <v>5</v>
      </c>
      <c r="L14" s="5">
        <v>5</v>
      </c>
      <c r="M14" s="5">
        <v>5</v>
      </c>
      <c r="N14" s="5">
        <v>5</v>
      </c>
      <c r="O14" s="5">
        <v>5</v>
      </c>
      <c r="P14" s="5">
        <v>5</v>
      </c>
      <c r="Q14" s="5">
        <v>5</v>
      </c>
      <c r="R14" s="5">
        <v>5</v>
      </c>
      <c r="S14" s="5">
        <v>5</v>
      </c>
      <c r="T14" s="5">
        <v>5</v>
      </c>
      <c r="U14" s="5">
        <v>5</v>
      </c>
      <c r="V14" s="5">
        <v>5</v>
      </c>
      <c r="W14" s="5">
        <v>5</v>
      </c>
      <c r="X14" s="5">
        <v>5</v>
      </c>
      <c r="Y14" s="5">
        <v>5</v>
      </c>
      <c r="Z14" s="5">
        <v>5</v>
      </c>
    </row>
    <row r="15" spans="1:26" x14ac:dyDescent="0.25">
      <c r="A15" s="44" t="s">
        <v>25</v>
      </c>
      <c r="B15" s="42" t="s">
        <v>1074</v>
      </c>
      <c r="C15" s="5">
        <v>5</v>
      </c>
      <c r="D15" s="5">
        <v>5</v>
      </c>
      <c r="E15" s="5">
        <v>5</v>
      </c>
      <c r="F15" s="5">
        <v>5</v>
      </c>
      <c r="G15" s="5">
        <v>5</v>
      </c>
      <c r="H15" s="5">
        <v>5</v>
      </c>
      <c r="I15" s="5">
        <v>5</v>
      </c>
      <c r="J15" s="5">
        <v>5</v>
      </c>
      <c r="K15" s="5">
        <v>5</v>
      </c>
      <c r="L15" s="5">
        <v>5</v>
      </c>
      <c r="M15" s="5">
        <v>5</v>
      </c>
      <c r="N15" s="5">
        <v>5</v>
      </c>
      <c r="O15" s="5">
        <v>5</v>
      </c>
      <c r="P15" s="5">
        <v>5</v>
      </c>
      <c r="Q15" s="5">
        <v>5</v>
      </c>
      <c r="R15" s="5">
        <v>5</v>
      </c>
      <c r="S15" s="5">
        <v>5</v>
      </c>
      <c r="T15" s="5">
        <v>5</v>
      </c>
      <c r="U15" s="5">
        <v>5</v>
      </c>
      <c r="V15" s="5">
        <v>5</v>
      </c>
      <c r="W15" s="5">
        <v>5</v>
      </c>
      <c r="X15" s="5">
        <v>5</v>
      </c>
      <c r="Y15" s="5">
        <v>5</v>
      </c>
      <c r="Z15" s="5">
        <v>5</v>
      </c>
    </row>
    <row r="16" spans="1:26" x14ac:dyDescent="0.25">
      <c r="A16" s="44" t="s">
        <v>26</v>
      </c>
      <c r="B16" s="42" t="s">
        <v>1074</v>
      </c>
      <c r="C16" s="5">
        <v>5</v>
      </c>
      <c r="D16" s="5">
        <v>5</v>
      </c>
      <c r="E16" s="5">
        <v>5</v>
      </c>
      <c r="F16" s="5">
        <v>5</v>
      </c>
      <c r="G16" s="5">
        <v>5</v>
      </c>
      <c r="H16" s="5">
        <v>5</v>
      </c>
      <c r="I16" s="5">
        <v>5</v>
      </c>
      <c r="J16" s="5">
        <v>5</v>
      </c>
      <c r="K16" s="5">
        <v>5</v>
      </c>
      <c r="L16" s="5">
        <v>5</v>
      </c>
      <c r="M16" s="5">
        <v>5</v>
      </c>
      <c r="N16" s="5">
        <v>5</v>
      </c>
      <c r="O16" s="5">
        <v>5</v>
      </c>
      <c r="P16" s="5">
        <v>5</v>
      </c>
      <c r="Q16" s="5">
        <v>5</v>
      </c>
      <c r="R16" s="5">
        <v>5</v>
      </c>
      <c r="S16" s="5">
        <v>5</v>
      </c>
      <c r="T16" s="5">
        <v>5</v>
      </c>
      <c r="U16" s="5">
        <v>5</v>
      </c>
      <c r="V16" s="5">
        <v>5</v>
      </c>
      <c r="W16" s="5">
        <v>5</v>
      </c>
      <c r="X16" s="5">
        <v>5</v>
      </c>
      <c r="Y16" s="5">
        <v>5</v>
      </c>
      <c r="Z16" s="5">
        <v>5</v>
      </c>
    </row>
    <row r="17" spans="1:26" x14ac:dyDescent="0.25">
      <c r="A17" s="44" t="s">
        <v>27</v>
      </c>
      <c r="B17" s="42" t="s">
        <v>1074</v>
      </c>
      <c r="C17" s="5">
        <v>5</v>
      </c>
      <c r="D17" s="5">
        <v>5</v>
      </c>
      <c r="E17" s="5">
        <v>5</v>
      </c>
      <c r="F17" s="5">
        <v>5</v>
      </c>
      <c r="G17" s="5">
        <v>5</v>
      </c>
      <c r="H17" s="5">
        <v>5</v>
      </c>
      <c r="I17" s="5">
        <v>5</v>
      </c>
      <c r="J17" s="5">
        <v>5</v>
      </c>
      <c r="K17" s="5">
        <v>5</v>
      </c>
      <c r="L17" s="5">
        <v>5</v>
      </c>
      <c r="M17" s="5">
        <v>5</v>
      </c>
      <c r="N17" s="5">
        <v>5</v>
      </c>
      <c r="O17" s="5">
        <v>5</v>
      </c>
      <c r="P17" s="5">
        <v>5</v>
      </c>
      <c r="Q17" s="5">
        <v>5</v>
      </c>
      <c r="R17" s="5">
        <v>5</v>
      </c>
      <c r="S17" s="5">
        <v>5</v>
      </c>
      <c r="T17" s="5">
        <v>5</v>
      </c>
      <c r="U17" s="5">
        <v>5</v>
      </c>
      <c r="V17" s="5">
        <v>5</v>
      </c>
      <c r="W17" s="5">
        <v>5</v>
      </c>
      <c r="X17" s="5">
        <v>5</v>
      </c>
      <c r="Y17" s="5">
        <v>5</v>
      </c>
      <c r="Z17" s="5">
        <v>5</v>
      </c>
    </row>
    <row r="18" spans="1:26" x14ac:dyDescent="0.25">
      <c r="A18" s="44" t="s">
        <v>28</v>
      </c>
      <c r="B18" s="42" t="s">
        <v>1074</v>
      </c>
      <c r="C18" s="5">
        <v>5</v>
      </c>
      <c r="D18" s="5">
        <v>5</v>
      </c>
      <c r="E18" s="5">
        <v>5</v>
      </c>
      <c r="F18" s="5">
        <v>5</v>
      </c>
      <c r="G18" s="5">
        <v>5</v>
      </c>
      <c r="H18" s="5">
        <v>5</v>
      </c>
      <c r="I18" s="5">
        <v>5</v>
      </c>
      <c r="J18" s="5">
        <v>5</v>
      </c>
      <c r="K18" s="5">
        <v>5</v>
      </c>
      <c r="L18" s="5">
        <v>5</v>
      </c>
      <c r="M18" s="5">
        <v>5</v>
      </c>
      <c r="N18" s="5">
        <v>5</v>
      </c>
      <c r="O18" s="5">
        <v>5</v>
      </c>
      <c r="P18" s="5">
        <v>5</v>
      </c>
      <c r="Q18" s="5">
        <v>5</v>
      </c>
      <c r="R18" s="5">
        <v>5</v>
      </c>
      <c r="S18" s="5">
        <v>5</v>
      </c>
      <c r="T18" s="5">
        <v>5</v>
      </c>
      <c r="U18" s="5">
        <v>5</v>
      </c>
      <c r="V18" s="5">
        <v>5</v>
      </c>
      <c r="W18" s="5">
        <v>5</v>
      </c>
      <c r="X18" s="5">
        <v>5</v>
      </c>
      <c r="Y18" s="5">
        <v>5</v>
      </c>
      <c r="Z18" s="5">
        <v>5</v>
      </c>
    </row>
    <row r="19" spans="1:26" x14ac:dyDescent="0.25">
      <c r="A19" s="44" t="s">
        <v>29</v>
      </c>
      <c r="B19" s="42" t="s">
        <v>1074</v>
      </c>
      <c r="C19" s="5">
        <v>5</v>
      </c>
      <c r="D19" s="5">
        <v>5</v>
      </c>
      <c r="E19" s="5">
        <v>5</v>
      </c>
      <c r="F19" s="5">
        <v>5</v>
      </c>
      <c r="G19" s="5">
        <v>5</v>
      </c>
      <c r="H19" s="5">
        <v>5</v>
      </c>
      <c r="I19" s="5">
        <v>5</v>
      </c>
      <c r="J19" s="5">
        <v>5</v>
      </c>
      <c r="K19" s="5">
        <v>5</v>
      </c>
      <c r="L19" s="5">
        <v>5</v>
      </c>
      <c r="M19" s="5">
        <v>5</v>
      </c>
      <c r="N19" s="5">
        <v>5</v>
      </c>
      <c r="O19" s="5">
        <v>5</v>
      </c>
      <c r="P19" s="5">
        <v>5</v>
      </c>
      <c r="Q19" s="5">
        <v>5</v>
      </c>
      <c r="R19" s="5">
        <v>5</v>
      </c>
      <c r="S19" s="5">
        <v>5</v>
      </c>
      <c r="T19" s="5">
        <v>5</v>
      </c>
      <c r="U19" s="5">
        <v>5</v>
      </c>
      <c r="V19" s="5">
        <v>5</v>
      </c>
      <c r="W19" s="5">
        <v>5</v>
      </c>
      <c r="X19" s="5">
        <v>5</v>
      </c>
      <c r="Y19" s="5">
        <v>5</v>
      </c>
      <c r="Z19" s="5">
        <v>5</v>
      </c>
    </row>
    <row r="20" spans="1:26" x14ac:dyDescent="0.25">
      <c r="A20" s="44" t="s">
        <v>30</v>
      </c>
      <c r="B20" s="42" t="s">
        <v>1074</v>
      </c>
      <c r="C20" s="5">
        <v>5</v>
      </c>
      <c r="D20" s="5">
        <v>5</v>
      </c>
      <c r="E20" s="5">
        <v>5</v>
      </c>
      <c r="F20" s="5">
        <v>5</v>
      </c>
      <c r="G20" s="5">
        <v>5</v>
      </c>
      <c r="H20" s="5">
        <v>5</v>
      </c>
      <c r="I20" s="5">
        <v>5</v>
      </c>
      <c r="J20" s="5">
        <v>5</v>
      </c>
      <c r="K20" s="5">
        <v>5</v>
      </c>
      <c r="L20" s="5">
        <v>5</v>
      </c>
      <c r="M20" s="5">
        <v>5</v>
      </c>
      <c r="N20" s="5">
        <v>5</v>
      </c>
      <c r="O20" s="5">
        <v>5</v>
      </c>
      <c r="P20" s="5">
        <v>5</v>
      </c>
      <c r="Q20" s="5">
        <v>5</v>
      </c>
      <c r="R20" s="5">
        <v>5</v>
      </c>
      <c r="S20" s="5">
        <v>5</v>
      </c>
      <c r="T20" s="5">
        <v>5</v>
      </c>
      <c r="U20" s="5">
        <v>5</v>
      </c>
      <c r="V20" s="5">
        <v>5</v>
      </c>
      <c r="W20" s="5">
        <v>5</v>
      </c>
      <c r="X20" s="5">
        <v>5</v>
      </c>
      <c r="Y20" s="5">
        <v>5</v>
      </c>
      <c r="Z20" s="5">
        <v>5</v>
      </c>
    </row>
    <row r="21" spans="1:26" x14ac:dyDescent="0.25">
      <c r="A21" s="44" t="s">
        <v>31</v>
      </c>
      <c r="B21" s="42" t="s">
        <v>1074</v>
      </c>
      <c r="C21" s="5">
        <v>5</v>
      </c>
      <c r="D21" s="5">
        <v>5</v>
      </c>
      <c r="E21" s="5">
        <v>5</v>
      </c>
      <c r="F21" s="5">
        <v>5</v>
      </c>
      <c r="G21" s="5">
        <v>5</v>
      </c>
      <c r="H21" s="5">
        <v>5</v>
      </c>
      <c r="I21" s="5">
        <v>5</v>
      </c>
      <c r="J21" s="5">
        <v>5</v>
      </c>
      <c r="K21" s="5">
        <v>5</v>
      </c>
      <c r="L21" s="5">
        <v>5</v>
      </c>
      <c r="M21" s="5">
        <v>5</v>
      </c>
      <c r="N21" s="5">
        <v>5</v>
      </c>
      <c r="O21" s="5">
        <v>5</v>
      </c>
      <c r="P21" s="5">
        <v>5</v>
      </c>
      <c r="Q21" s="5">
        <v>5</v>
      </c>
      <c r="R21" s="5">
        <v>5</v>
      </c>
      <c r="S21" s="5">
        <v>5</v>
      </c>
      <c r="T21" s="5">
        <v>5</v>
      </c>
      <c r="U21" s="5">
        <v>5</v>
      </c>
      <c r="V21" s="5">
        <v>5</v>
      </c>
      <c r="W21" s="5">
        <v>5</v>
      </c>
      <c r="X21" s="5">
        <v>5</v>
      </c>
      <c r="Y21" s="5">
        <v>5</v>
      </c>
      <c r="Z21" s="5">
        <v>5</v>
      </c>
    </row>
    <row r="22" spans="1:26" x14ac:dyDescent="0.25">
      <c r="A22" s="44" t="s">
        <v>32</v>
      </c>
      <c r="B22" s="42" t="s">
        <v>1074</v>
      </c>
      <c r="C22" s="5">
        <v>5</v>
      </c>
      <c r="D22" s="5">
        <v>5</v>
      </c>
      <c r="E22" s="5">
        <v>5</v>
      </c>
      <c r="F22" s="5">
        <v>5</v>
      </c>
      <c r="G22" s="5">
        <v>5</v>
      </c>
      <c r="H22" s="5">
        <v>5</v>
      </c>
      <c r="I22" s="5">
        <v>5</v>
      </c>
      <c r="J22" s="5">
        <v>5</v>
      </c>
      <c r="K22" s="5">
        <v>5</v>
      </c>
      <c r="L22" s="5">
        <v>5</v>
      </c>
      <c r="M22" s="5">
        <v>5</v>
      </c>
      <c r="N22" s="5">
        <v>5</v>
      </c>
      <c r="O22" s="5">
        <v>5</v>
      </c>
      <c r="P22" s="5">
        <v>5</v>
      </c>
      <c r="Q22" s="5">
        <v>5</v>
      </c>
      <c r="R22" s="5">
        <v>5</v>
      </c>
      <c r="S22" s="5">
        <v>5</v>
      </c>
      <c r="T22" s="5">
        <v>5</v>
      </c>
      <c r="U22" s="5">
        <v>5</v>
      </c>
      <c r="V22" s="5">
        <v>5</v>
      </c>
      <c r="W22" s="5">
        <v>5</v>
      </c>
      <c r="X22" s="5">
        <v>5</v>
      </c>
      <c r="Y22" s="5">
        <v>5</v>
      </c>
      <c r="Z22" s="5">
        <v>5</v>
      </c>
    </row>
    <row r="23" spans="1:26" x14ac:dyDescent="0.25">
      <c r="A23" s="46" t="s">
        <v>33</v>
      </c>
      <c r="B23" s="42" t="s">
        <v>351</v>
      </c>
      <c r="C23" s="5">
        <v>5</v>
      </c>
      <c r="D23" s="5">
        <v>5</v>
      </c>
      <c r="E23" s="5">
        <v>5</v>
      </c>
      <c r="F23" s="5">
        <v>5</v>
      </c>
      <c r="G23" s="5">
        <v>5</v>
      </c>
      <c r="H23" s="5">
        <v>5</v>
      </c>
      <c r="I23" s="5">
        <v>5</v>
      </c>
      <c r="J23" s="5">
        <v>5</v>
      </c>
      <c r="K23" s="5">
        <v>5</v>
      </c>
      <c r="L23" s="5">
        <v>5</v>
      </c>
      <c r="M23" s="5">
        <v>5</v>
      </c>
      <c r="N23" s="5">
        <v>5</v>
      </c>
      <c r="O23" s="5">
        <v>5</v>
      </c>
      <c r="P23" s="5">
        <v>5</v>
      </c>
      <c r="Q23" s="5">
        <v>5</v>
      </c>
      <c r="R23" s="5">
        <v>5</v>
      </c>
      <c r="S23" s="5">
        <v>5</v>
      </c>
      <c r="T23" s="5">
        <v>5</v>
      </c>
      <c r="U23" s="5">
        <v>5</v>
      </c>
      <c r="V23" s="5">
        <v>5</v>
      </c>
      <c r="W23" s="5">
        <v>5</v>
      </c>
      <c r="X23" s="5">
        <v>5</v>
      </c>
      <c r="Y23" s="5">
        <v>5</v>
      </c>
      <c r="Z23" s="5">
        <v>5</v>
      </c>
    </row>
    <row r="24" spans="1:26" x14ac:dyDescent="0.25">
      <c r="A24" s="44" t="s">
        <v>34</v>
      </c>
      <c r="B24" s="42" t="s">
        <v>1074</v>
      </c>
      <c r="C24" s="5">
        <v>5</v>
      </c>
      <c r="D24" s="5">
        <v>5</v>
      </c>
      <c r="E24" s="5">
        <v>5</v>
      </c>
      <c r="F24" s="5">
        <v>5</v>
      </c>
      <c r="G24" s="5">
        <v>5</v>
      </c>
      <c r="H24" s="5">
        <v>5</v>
      </c>
      <c r="I24" s="5">
        <v>5</v>
      </c>
      <c r="J24" s="5">
        <v>5</v>
      </c>
      <c r="K24" s="5">
        <v>5</v>
      </c>
      <c r="L24" s="5">
        <v>5</v>
      </c>
      <c r="M24" s="5">
        <v>5</v>
      </c>
      <c r="N24" s="5">
        <v>5</v>
      </c>
      <c r="O24" s="5">
        <v>5</v>
      </c>
      <c r="P24" s="5">
        <v>5</v>
      </c>
      <c r="Q24" s="5">
        <v>5</v>
      </c>
      <c r="R24" s="5">
        <v>5</v>
      </c>
      <c r="S24" s="5">
        <v>5</v>
      </c>
      <c r="T24" s="5">
        <v>5</v>
      </c>
      <c r="U24" s="5">
        <v>5</v>
      </c>
      <c r="V24" s="5">
        <v>5</v>
      </c>
      <c r="W24" s="5">
        <v>5</v>
      </c>
      <c r="X24" s="5">
        <v>5</v>
      </c>
      <c r="Y24" s="5">
        <v>5</v>
      </c>
      <c r="Z24" s="5">
        <v>5</v>
      </c>
    </row>
    <row r="25" spans="1:26" x14ac:dyDescent="0.25">
      <c r="A25" s="46" t="s">
        <v>35</v>
      </c>
      <c r="B25" s="42" t="s">
        <v>351</v>
      </c>
      <c r="C25" s="5">
        <v>5</v>
      </c>
      <c r="D25" s="5">
        <v>5</v>
      </c>
      <c r="E25" s="5">
        <v>5</v>
      </c>
      <c r="F25" s="5">
        <v>5</v>
      </c>
      <c r="G25" s="5">
        <v>5</v>
      </c>
      <c r="H25" s="5">
        <v>5</v>
      </c>
      <c r="I25" s="5">
        <v>5</v>
      </c>
      <c r="J25" s="5">
        <v>5</v>
      </c>
      <c r="K25" s="5">
        <v>5</v>
      </c>
      <c r="L25" s="5">
        <v>5</v>
      </c>
      <c r="M25" s="5">
        <v>5</v>
      </c>
      <c r="N25" s="5">
        <v>5</v>
      </c>
      <c r="O25" s="5">
        <v>5</v>
      </c>
      <c r="P25" s="5">
        <v>5</v>
      </c>
      <c r="Q25" s="5">
        <v>5</v>
      </c>
      <c r="R25" s="5">
        <v>5</v>
      </c>
      <c r="S25" s="5">
        <v>5</v>
      </c>
      <c r="T25" s="5">
        <v>5</v>
      </c>
      <c r="U25" s="5">
        <v>5</v>
      </c>
      <c r="V25" s="5">
        <v>5</v>
      </c>
      <c r="W25" s="5">
        <v>5</v>
      </c>
      <c r="X25" s="5">
        <v>5</v>
      </c>
      <c r="Y25" s="5">
        <v>5</v>
      </c>
      <c r="Z25" s="5">
        <v>5</v>
      </c>
    </row>
    <row r="26" spans="1:26" x14ac:dyDescent="0.25">
      <c r="A26" s="44" t="s">
        <v>36</v>
      </c>
      <c r="B26" s="42" t="s">
        <v>1074</v>
      </c>
      <c r="C26" s="5">
        <v>5</v>
      </c>
      <c r="D26" s="5">
        <v>5</v>
      </c>
      <c r="E26" s="5">
        <v>5</v>
      </c>
      <c r="F26" s="5">
        <v>5</v>
      </c>
      <c r="G26" s="5">
        <v>5</v>
      </c>
      <c r="H26" s="5">
        <v>5</v>
      </c>
      <c r="I26" s="5">
        <v>5</v>
      </c>
      <c r="J26" s="5">
        <v>5</v>
      </c>
      <c r="K26" s="5">
        <v>5</v>
      </c>
      <c r="L26" s="5">
        <v>5</v>
      </c>
      <c r="M26" s="5">
        <v>5</v>
      </c>
      <c r="N26" s="5">
        <v>5</v>
      </c>
      <c r="O26" s="5">
        <v>5</v>
      </c>
      <c r="P26" s="5">
        <v>5</v>
      </c>
      <c r="Q26" s="5">
        <v>5</v>
      </c>
      <c r="R26" s="5">
        <v>5</v>
      </c>
      <c r="S26" s="5">
        <v>5</v>
      </c>
      <c r="T26" s="5">
        <v>5</v>
      </c>
      <c r="U26" s="5">
        <v>5</v>
      </c>
      <c r="V26" s="5">
        <v>5</v>
      </c>
      <c r="W26" s="5">
        <v>5</v>
      </c>
      <c r="X26" s="5">
        <v>5</v>
      </c>
      <c r="Y26" s="5">
        <v>5</v>
      </c>
      <c r="Z26" s="5">
        <v>5</v>
      </c>
    </row>
    <row r="27" spans="1:26" x14ac:dyDescent="0.25">
      <c r="A27" s="44" t="s">
        <v>37</v>
      </c>
      <c r="B27" s="42" t="s">
        <v>1074</v>
      </c>
      <c r="C27" s="5">
        <v>5</v>
      </c>
      <c r="D27" s="5">
        <v>5</v>
      </c>
      <c r="E27" s="5">
        <v>5</v>
      </c>
      <c r="F27" s="5">
        <v>5</v>
      </c>
      <c r="G27" s="5">
        <v>5</v>
      </c>
      <c r="H27" s="5">
        <v>5</v>
      </c>
      <c r="I27" s="5">
        <v>5</v>
      </c>
      <c r="J27" s="5">
        <v>5</v>
      </c>
      <c r="K27" s="5">
        <v>5</v>
      </c>
      <c r="L27" s="5">
        <v>5</v>
      </c>
      <c r="M27" s="5">
        <v>5</v>
      </c>
      <c r="N27" s="5">
        <v>5</v>
      </c>
      <c r="O27" s="5">
        <v>5</v>
      </c>
      <c r="P27" s="5">
        <v>5</v>
      </c>
      <c r="Q27" s="5">
        <v>5</v>
      </c>
      <c r="R27" s="5">
        <v>5</v>
      </c>
      <c r="S27" s="5">
        <v>5</v>
      </c>
      <c r="T27" s="5">
        <v>5</v>
      </c>
      <c r="U27" s="5">
        <v>5</v>
      </c>
      <c r="V27" s="5">
        <v>5</v>
      </c>
      <c r="W27" s="5">
        <v>5</v>
      </c>
      <c r="X27" s="5">
        <v>5</v>
      </c>
      <c r="Y27" s="5">
        <v>5</v>
      </c>
      <c r="Z27" s="5">
        <v>5</v>
      </c>
    </row>
    <row r="28" spans="1:26" x14ac:dyDescent="0.25">
      <c r="A28" s="44" t="s">
        <v>38</v>
      </c>
      <c r="B28" s="42" t="s">
        <v>1074</v>
      </c>
      <c r="C28" s="5">
        <v>5</v>
      </c>
      <c r="D28" s="5">
        <v>5</v>
      </c>
      <c r="E28" s="5">
        <v>5</v>
      </c>
      <c r="F28" s="5">
        <v>5</v>
      </c>
      <c r="G28" s="5">
        <v>5</v>
      </c>
      <c r="H28" s="5">
        <v>5</v>
      </c>
      <c r="I28" s="5">
        <v>5</v>
      </c>
      <c r="J28" s="5">
        <v>5</v>
      </c>
      <c r="K28" s="5">
        <v>5</v>
      </c>
      <c r="L28" s="5">
        <v>5</v>
      </c>
      <c r="M28" s="5">
        <v>5</v>
      </c>
      <c r="N28" s="5">
        <v>5</v>
      </c>
      <c r="O28" s="5">
        <v>5</v>
      </c>
      <c r="P28" s="5">
        <v>5</v>
      </c>
      <c r="Q28" s="5">
        <v>5</v>
      </c>
      <c r="R28" s="5">
        <v>5</v>
      </c>
      <c r="S28" s="5">
        <v>5</v>
      </c>
      <c r="T28" s="5">
        <v>5</v>
      </c>
      <c r="U28" s="5">
        <v>5</v>
      </c>
      <c r="V28" s="5">
        <v>5</v>
      </c>
      <c r="W28" s="5">
        <v>5</v>
      </c>
      <c r="X28" s="5">
        <v>5</v>
      </c>
      <c r="Y28" s="5">
        <v>5</v>
      </c>
      <c r="Z28" s="5">
        <v>5</v>
      </c>
    </row>
    <row r="29" spans="1:26" x14ac:dyDescent="0.25">
      <c r="A29" s="44" t="s">
        <v>39</v>
      </c>
      <c r="B29" s="42" t="s">
        <v>1074</v>
      </c>
      <c r="C29" s="5">
        <v>5</v>
      </c>
      <c r="D29" s="5">
        <v>5</v>
      </c>
      <c r="E29" s="5">
        <v>5</v>
      </c>
      <c r="F29" s="5">
        <v>5</v>
      </c>
      <c r="G29" s="5">
        <v>5</v>
      </c>
      <c r="H29" s="5">
        <v>5</v>
      </c>
      <c r="I29" s="5">
        <v>5</v>
      </c>
      <c r="J29" s="5">
        <v>5</v>
      </c>
      <c r="K29" s="5">
        <v>5</v>
      </c>
      <c r="L29" s="5">
        <v>5</v>
      </c>
      <c r="M29" s="5">
        <v>5</v>
      </c>
      <c r="N29" s="5">
        <v>5</v>
      </c>
      <c r="O29" s="5">
        <v>5</v>
      </c>
      <c r="P29" s="5">
        <v>5</v>
      </c>
      <c r="Q29" s="5">
        <v>5</v>
      </c>
      <c r="R29" s="5">
        <v>5</v>
      </c>
      <c r="S29" s="5">
        <v>5</v>
      </c>
      <c r="T29" s="5">
        <v>5</v>
      </c>
      <c r="U29" s="5">
        <v>5</v>
      </c>
      <c r="V29" s="5">
        <v>5</v>
      </c>
      <c r="W29" s="5">
        <v>5</v>
      </c>
      <c r="X29" s="5">
        <v>5</v>
      </c>
      <c r="Y29" s="5">
        <v>5</v>
      </c>
      <c r="Z29" s="5">
        <v>5</v>
      </c>
    </row>
    <row r="30" spans="1:26" x14ac:dyDescent="0.25">
      <c r="A30" s="44" t="s">
        <v>40</v>
      </c>
      <c r="B30" s="42" t="s">
        <v>1074</v>
      </c>
      <c r="C30" s="5">
        <v>5</v>
      </c>
      <c r="D30" s="5">
        <v>5</v>
      </c>
      <c r="E30" s="5">
        <v>5</v>
      </c>
      <c r="F30" s="5">
        <v>5</v>
      </c>
      <c r="G30" s="5">
        <v>5</v>
      </c>
      <c r="H30" s="5">
        <v>5</v>
      </c>
      <c r="I30" s="5">
        <v>5</v>
      </c>
      <c r="J30" s="5">
        <v>5</v>
      </c>
      <c r="K30" s="5">
        <v>5</v>
      </c>
      <c r="L30" s="5">
        <v>5</v>
      </c>
      <c r="M30" s="5">
        <v>5</v>
      </c>
      <c r="N30" s="5">
        <v>5</v>
      </c>
      <c r="O30" s="5">
        <v>5</v>
      </c>
      <c r="P30" s="5">
        <v>5</v>
      </c>
      <c r="Q30" s="5">
        <v>5</v>
      </c>
      <c r="R30" s="5">
        <v>5</v>
      </c>
      <c r="S30" s="5">
        <v>5</v>
      </c>
      <c r="T30" s="5">
        <v>5</v>
      </c>
      <c r="U30" s="5">
        <v>5</v>
      </c>
      <c r="V30" s="5">
        <v>5</v>
      </c>
      <c r="W30" s="5">
        <v>5</v>
      </c>
      <c r="X30" s="5">
        <v>5</v>
      </c>
      <c r="Y30" s="5">
        <v>5</v>
      </c>
      <c r="Z30" s="5">
        <v>5</v>
      </c>
    </row>
  </sheetData>
  <sheetProtection algorithmName="SHA-512" hashValue="Gjo7Fv2mLLuqLg2WU4gSNh8FvbwL1wpoKzpEc8sNKD+dWGEz3ZsVk5V/MuWk8HsbRvfdOBeoVPDlo1gY4p5KbQ==" saltValue="yVN4SmFhlxDPRyTz+REzKg==" spinCount="100000" sheet="1" objects="1" scenarios="1" formatColumns="0" formatRows="0" autoFilter="0"/>
  <autoFilter ref="A1:Z30" xr:uid="{00000000-0009-0000-0000-00001900000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BV30"/>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4.5703125" style="4" bestFit="1" customWidth="1"/>
    <col min="2" max="2" width="10.7109375" style="4" bestFit="1" customWidth="1"/>
    <col min="3" max="3" width="14" style="1" bestFit="1" customWidth="1"/>
    <col min="4" max="4" width="13.85546875" style="1" bestFit="1" customWidth="1"/>
    <col min="5" max="5" width="13.140625" style="1" bestFit="1" customWidth="1"/>
    <col min="6" max="6" width="13.85546875" style="1" bestFit="1" customWidth="1"/>
    <col min="7" max="7" width="13.140625" style="1" bestFit="1" customWidth="1"/>
    <col min="8" max="8" width="13.28515625" style="1" bestFit="1" customWidth="1"/>
    <col min="9" max="9" width="12.5703125" style="1" bestFit="1" customWidth="1"/>
    <col min="10" max="10" width="14" style="1" bestFit="1" customWidth="1"/>
    <col min="11" max="11" width="13.140625" style="1" bestFit="1" customWidth="1"/>
    <col min="12" max="12" width="14.85546875" style="1" bestFit="1" customWidth="1"/>
    <col min="13" max="13" width="12.28515625" style="1" bestFit="1" customWidth="1"/>
    <col min="14" max="14" width="12.85546875" style="1" bestFit="1" customWidth="1"/>
    <col min="15" max="15" width="13" style="1" bestFit="1" customWidth="1"/>
    <col min="16" max="16" width="14.140625" style="1" bestFit="1" customWidth="1"/>
    <col min="17" max="17" width="14.28515625" style="1" bestFit="1" customWidth="1"/>
    <col min="18" max="18" width="13.140625" style="1" bestFit="1" customWidth="1"/>
    <col min="19" max="19" width="12.42578125" style="1" bestFit="1" customWidth="1"/>
    <col min="20" max="20" width="13.85546875" style="1" bestFit="1" customWidth="1"/>
    <col min="21" max="21" width="14.140625" style="1" bestFit="1" customWidth="1"/>
    <col min="22" max="22" width="13.28515625" style="1" bestFit="1" customWidth="1"/>
    <col min="23" max="23" width="14" style="1" bestFit="1" customWidth="1"/>
    <col min="24" max="24" width="12.85546875" style="1" bestFit="1" customWidth="1"/>
    <col min="25" max="25" width="12.42578125" style="1" bestFit="1" customWidth="1"/>
    <col min="26" max="26" width="14.28515625" style="1" bestFit="1" customWidth="1"/>
    <col min="27" max="27" width="13.5703125" style="1" bestFit="1" customWidth="1"/>
    <col min="28" max="28" width="13.42578125" style="1" bestFit="1" customWidth="1"/>
    <col min="29" max="29" width="12.85546875" style="1" bestFit="1" customWidth="1"/>
    <col min="30" max="30" width="13.42578125" style="1" bestFit="1" customWidth="1"/>
    <col min="31" max="31" width="12.7109375" style="1" bestFit="1" customWidth="1"/>
    <col min="32" max="32" width="13" style="1" bestFit="1" customWidth="1"/>
    <col min="33" max="33" width="12.140625" style="1" bestFit="1" customWidth="1"/>
    <col min="34" max="34" width="13.5703125" style="1" bestFit="1" customWidth="1"/>
    <col min="35" max="35" width="12.7109375" style="1" bestFit="1" customWidth="1"/>
    <col min="36" max="36" width="14.42578125" style="1" bestFit="1" customWidth="1"/>
    <col min="37" max="37" width="12" style="1" bestFit="1" customWidth="1"/>
    <col min="38" max="38" width="12.5703125" style="1" bestFit="1" customWidth="1"/>
    <col min="39" max="39" width="12.7109375" style="1" bestFit="1" customWidth="1"/>
    <col min="40" max="40" width="13.85546875" style="1" bestFit="1" customWidth="1"/>
    <col min="41" max="41" width="14" style="1" bestFit="1" customWidth="1"/>
    <col min="42" max="42" width="12.7109375" style="1" bestFit="1" customWidth="1"/>
    <col min="43" max="43" width="12" style="1" bestFit="1" customWidth="1"/>
    <col min="44" max="44" width="13.42578125" style="1" bestFit="1" customWidth="1"/>
    <col min="45" max="45" width="13.85546875" style="1" bestFit="1" customWidth="1"/>
    <col min="46" max="46" width="12.85546875" style="1" bestFit="1" customWidth="1"/>
    <col min="47" max="47" width="13.5703125" style="1" bestFit="1" customWidth="1"/>
    <col min="48" max="48" width="12.42578125" style="1" bestFit="1" customWidth="1"/>
    <col min="49" max="49" width="12" style="1" bestFit="1" customWidth="1"/>
    <col min="50" max="50" width="14" style="1" bestFit="1" customWidth="1"/>
    <col min="51" max="51" width="14.140625" style="1" bestFit="1" customWidth="1"/>
    <col min="52" max="52" width="14" style="1" bestFit="1" customWidth="1"/>
    <col min="53" max="53" width="13.42578125" style="1" bestFit="1" customWidth="1"/>
    <col min="54" max="54" width="14" style="1" bestFit="1" customWidth="1"/>
    <col min="55" max="55" width="13.42578125" style="1" bestFit="1" customWidth="1"/>
    <col min="56" max="56" width="13.5703125" style="1" bestFit="1" customWidth="1"/>
    <col min="57" max="57" width="12.85546875" style="1" bestFit="1" customWidth="1"/>
    <col min="58" max="58" width="14.140625" style="1" bestFit="1" customWidth="1"/>
    <col min="59" max="59" width="13.42578125" style="1" bestFit="1" customWidth="1"/>
    <col min="60" max="60" width="15.140625" style="1" bestFit="1" customWidth="1"/>
    <col min="61" max="61" width="12.5703125" style="1" bestFit="1" customWidth="1"/>
    <col min="62" max="62" width="13.140625" style="1" bestFit="1" customWidth="1"/>
    <col min="63" max="63" width="13.28515625" style="1" bestFit="1" customWidth="1"/>
    <col min="64" max="64" width="14.42578125" style="1" bestFit="1" customWidth="1"/>
    <col min="65" max="65" width="14.5703125" style="1" bestFit="1" customWidth="1"/>
    <col min="66" max="66" width="13.42578125" style="1" bestFit="1" customWidth="1"/>
    <col min="67" max="67" width="12.7109375" style="1" bestFit="1" customWidth="1"/>
    <col min="68" max="68" width="14.140625" style="1" bestFit="1" customWidth="1"/>
    <col min="69" max="69" width="14.5703125" style="1" bestFit="1" customWidth="1"/>
    <col min="70" max="70" width="13.5703125" style="1" bestFit="1" customWidth="1"/>
    <col min="71" max="71" width="14.140625" style="1" bestFit="1" customWidth="1"/>
    <col min="72" max="72" width="13.140625" style="1" bestFit="1" customWidth="1"/>
    <col min="73" max="73" width="12.7109375" style="1" bestFit="1" customWidth="1"/>
    <col min="74" max="74" width="14.5703125" style="1" bestFit="1" customWidth="1"/>
  </cols>
  <sheetData>
    <row r="1" spans="1:74" x14ac:dyDescent="0.25">
      <c r="A1" s="78" t="s">
        <v>51</v>
      </c>
      <c r="B1" s="79" t="s">
        <v>350</v>
      </c>
      <c r="C1" s="113" t="s">
        <v>666</v>
      </c>
      <c r="D1" s="113" t="s">
        <v>667</v>
      </c>
      <c r="E1" s="113" t="s">
        <v>668</v>
      </c>
      <c r="F1" s="113" t="s">
        <v>669</v>
      </c>
      <c r="G1" s="113" t="s">
        <v>670</v>
      </c>
      <c r="H1" s="113" t="s">
        <v>671</v>
      </c>
      <c r="I1" s="113" t="s">
        <v>672</v>
      </c>
      <c r="J1" s="113" t="s">
        <v>673</v>
      </c>
      <c r="K1" s="113" t="s">
        <v>674</v>
      </c>
      <c r="L1" s="113" t="s">
        <v>675</v>
      </c>
      <c r="M1" s="113" t="s">
        <v>676</v>
      </c>
      <c r="N1" s="113" t="s">
        <v>677</v>
      </c>
      <c r="O1" s="113" t="s">
        <v>678</v>
      </c>
      <c r="P1" s="113" t="s">
        <v>679</v>
      </c>
      <c r="Q1" s="113" t="s">
        <v>680</v>
      </c>
      <c r="R1" s="113" t="s">
        <v>681</v>
      </c>
      <c r="S1" s="113" t="s">
        <v>682</v>
      </c>
      <c r="T1" s="113" t="s">
        <v>683</v>
      </c>
      <c r="U1" s="113" t="s">
        <v>684</v>
      </c>
      <c r="V1" s="113" t="s">
        <v>685</v>
      </c>
      <c r="W1" s="113" t="s">
        <v>686</v>
      </c>
      <c r="X1" s="113" t="s">
        <v>687</v>
      </c>
      <c r="Y1" s="113" t="s">
        <v>688</v>
      </c>
      <c r="Z1" s="113" t="s">
        <v>736</v>
      </c>
      <c r="AA1" s="113" t="s">
        <v>689</v>
      </c>
      <c r="AB1" s="113" t="s">
        <v>690</v>
      </c>
      <c r="AC1" s="113" t="s">
        <v>691</v>
      </c>
      <c r="AD1" s="113" t="s">
        <v>692</v>
      </c>
      <c r="AE1" s="113" t="s">
        <v>693</v>
      </c>
      <c r="AF1" s="113" t="s">
        <v>694</v>
      </c>
      <c r="AG1" s="113" t="s">
        <v>695</v>
      </c>
      <c r="AH1" s="113" t="s">
        <v>696</v>
      </c>
      <c r="AI1" s="113" t="s">
        <v>697</v>
      </c>
      <c r="AJ1" s="113" t="s">
        <v>698</v>
      </c>
      <c r="AK1" s="113" t="s">
        <v>699</v>
      </c>
      <c r="AL1" s="113" t="s">
        <v>700</v>
      </c>
      <c r="AM1" s="113" t="s">
        <v>701</v>
      </c>
      <c r="AN1" s="113" t="s">
        <v>702</v>
      </c>
      <c r="AO1" s="113" t="s">
        <v>703</v>
      </c>
      <c r="AP1" s="113" t="s">
        <v>704</v>
      </c>
      <c r="AQ1" s="113" t="s">
        <v>705</v>
      </c>
      <c r="AR1" s="113" t="s">
        <v>706</v>
      </c>
      <c r="AS1" s="113" t="s">
        <v>707</v>
      </c>
      <c r="AT1" s="113" t="s">
        <v>708</v>
      </c>
      <c r="AU1" s="113" t="s">
        <v>709</v>
      </c>
      <c r="AV1" s="113" t="s">
        <v>710</v>
      </c>
      <c r="AW1" s="113" t="s">
        <v>711</v>
      </c>
      <c r="AX1" s="113" t="s">
        <v>737</v>
      </c>
      <c r="AY1" s="113" t="s">
        <v>712</v>
      </c>
      <c r="AZ1" s="113" t="s">
        <v>713</v>
      </c>
      <c r="BA1" s="113" t="s">
        <v>714</v>
      </c>
      <c r="BB1" s="113" t="s">
        <v>715</v>
      </c>
      <c r="BC1" s="113" t="s">
        <v>716</v>
      </c>
      <c r="BD1" s="113" t="s">
        <v>717</v>
      </c>
      <c r="BE1" s="113" t="s">
        <v>718</v>
      </c>
      <c r="BF1" s="113" t="s">
        <v>719</v>
      </c>
      <c r="BG1" s="113" t="s">
        <v>720</v>
      </c>
      <c r="BH1" s="113" t="s">
        <v>721</v>
      </c>
      <c r="BI1" s="113" t="s">
        <v>722</v>
      </c>
      <c r="BJ1" s="113" t="s">
        <v>723</v>
      </c>
      <c r="BK1" s="113" t="s">
        <v>724</v>
      </c>
      <c r="BL1" s="113" t="s">
        <v>725</v>
      </c>
      <c r="BM1" s="113" t="s">
        <v>726</v>
      </c>
      <c r="BN1" s="113" t="s">
        <v>727</v>
      </c>
      <c r="BO1" s="113" t="s">
        <v>728</v>
      </c>
      <c r="BP1" s="113" t="s">
        <v>729</v>
      </c>
      <c r="BQ1" s="113" t="s">
        <v>730</v>
      </c>
      <c r="BR1" s="113" t="s">
        <v>731</v>
      </c>
      <c r="BS1" s="113" t="s">
        <v>732</v>
      </c>
      <c r="BT1" s="113" t="s">
        <v>733</v>
      </c>
      <c r="BU1" s="113" t="s">
        <v>734</v>
      </c>
      <c r="BV1" s="113" t="s">
        <v>738</v>
      </c>
    </row>
    <row r="2" spans="1:74" x14ac:dyDescent="0.25">
      <c r="A2" s="44" t="s">
        <v>12</v>
      </c>
      <c r="B2" s="42" t="s">
        <v>1074</v>
      </c>
      <c r="C2" s="116">
        <f>IFERROR(IF(up_Bv!C2=0,".",((s_Ir*s_F*up_Bv!C2*(1-EXP(-up_RadSpec!$AX2*s_t_b)))/(s_P*up_RadSpec!$AX2))),".")</f>
        <v>993.50362303732038</v>
      </c>
      <c r="D2" s="116">
        <f>IFERROR(IF(up_Bv!D2=0,".",((s_Ir*s_F*up_Bv!D2*(1-EXP(-up_RadSpec!AX2*s_t_b)))/(s_P*up_RadSpec!AX2))),".")</f>
        <v>993.50362303732038</v>
      </c>
      <c r="E2" s="116">
        <f>IFERROR(IF(up_Bv!E2=0,".",((s_Ir*s_F*up_Bv!E2*(1-EXP(-up_RadSpec!AX2*s_t_b)))/(s_P*up_RadSpec!AX2))),".")</f>
        <v>993.50362303732038</v>
      </c>
      <c r="F2" s="116">
        <f>IFERROR(IF(up_Bv!F2=0,".",((s_Ir*s_F*up_Bv!F2*(1-EXP(-up_RadSpec!AX2*s_t_b)))/(s_P*up_RadSpec!AX2))),".")</f>
        <v>993.50362303732038</v>
      </c>
      <c r="G2" s="116">
        <f>IFERROR(IF(up_Bv!G2=0,".",((s_Ir*s_F*up_Bv!G2*(1-EXP(-up_RadSpec!AX2*s_t_b)))/(s_P*up_RadSpec!AX2))),".")</f>
        <v>993.50362303732038</v>
      </c>
      <c r="H2" s="116">
        <f>IFERROR(IF(up_Bv!H2=0,".",((s_Ir*s_F*up_Bv!H2*(1-EXP(-up_RadSpec!AX2*s_t_b)))/(s_P*up_RadSpec!AX2))),".")</f>
        <v>993.50362303732038</v>
      </c>
      <c r="I2" s="116">
        <f>IFERROR(IF(up_Bv!I2=0,".",((s_Ir*s_F*up_Bv!I2*(1-EXP(-up_RadSpec!AX2*s_t_b)))/(s_P*up_RadSpec!AX2))),".")</f>
        <v>993.50362303732038</v>
      </c>
      <c r="J2" s="116">
        <f>IFERROR(IF(up_Bv!J2=0,".",((s_Ir*s_F*up_Bv!J2*(1-EXP(-up_RadSpec!AX2*s_t_b)))/(s_P*up_RadSpec!AX2))),".")</f>
        <v>993.50362303732038</v>
      </c>
      <c r="K2" s="116">
        <f>IFERROR(IF(up_Bv!K2=0,".",((s_Ir*s_F*up_Bv!K2*(1-EXP(-up_RadSpec!AX2*s_t_b)))/(s_P*up_RadSpec!AX2))),".")</f>
        <v>993.50362303732038</v>
      </c>
      <c r="L2" s="116">
        <f>IFERROR(IF(up_Bv!L2=0,".",((s_Ir*s_F*up_Bv!L2*(1-EXP(-up_RadSpec!AX2*s_t_b)))/(s_P*up_RadSpec!AX2))),".")</f>
        <v>993.50362303732038</v>
      </c>
      <c r="M2" s="116">
        <f>IFERROR(IF(up_Bv!M2=0,".",((s_Ir*s_F*up_Bv!M2*(1-EXP(-up_RadSpec!AX2*s_t_b)))/(s_P*up_RadSpec!AX2))),".")</f>
        <v>993.50362303732038</v>
      </c>
      <c r="N2" s="116">
        <f>IFERROR(IF(up_Bv!N2=0,".",((s_Ir*s_F*up_Bv!N2*(1-EXP(-up_RadSpec!AX2*s_t_b)))/(s_P*up_RadSpec!AX2))),".")</f>
        <v>993.50362303732038</v>
      </c>
      <c r="O2" s="116">
        <f>IFERROR(IF(up_Bv!O2=0,".",((s_Ir*s_F*up_Bv!O2*(1-EXP(-up_RadSpec!AX2*s_t_b)))/(s_P*up_RadSpec!AX2))),".")</f>
        <v>993.50362303732038</v>
      </c>
      <c r="P2" s="116">
        <f>IFERROR(IF(up_Bv!P2=0,".",((s_Ir*s_F*up_Bv!P2*(1-EXP(-up_RadSpec!AX2*s_t_b)))/(s_P*up_RadSpec!AX2))),".")</f>
        <v>993.50362303732038</v>
      </c>
      <c r="Q2" s="116">
        <f>IFERROR(IF(up_Bv!Q2=0,".",((s_Ir*s_F*up_Bv!Q2*(1-EXP(-up_RadSpec!AX2*s_t_b)))/(s_P*up_RadSpec!AX2))),".")</f>
        <v>993.50362303732038</v>
      </c>
      <c r="R2" s="116">
        <f>IFERROR(IF(up_Bv!R2=0,".",((s_Ir*s_F*up_Bv!R2*(1-EXP(-up_RadSpec!AX2*s_t_b)))/(s_P*up_RadSpec!AX2))),".")</f>
        <v>993.50362303732038</v>
      </c>
      <c r="S2" s="116">
        <f>IFERROR(IF(up_Bv!S2=0,".",((s_Ir*s_F*up_Bv!S2*(1-EXP(-up_RadSpec!AX2*s_t_b)))/(s_P*up_RadSpec!AX2))),".")</f>
        <v>993.50362303732038</v>
      </c>
      <c r="T2" s="116">
        <f>IFERROR(IF(up_Bv!T2=0,".",((s_Ir*s_F*up_Bv!T2*(1-EXP(-up_RadSpec!AX2*s_t_b)))/(s_P*up_RadSpec!AX2))),".")</f>
        <v>993.50362303732038</v>
      </c>
      <c r="U2" s="116">
        <f>IFERROR(IF(up_Bv!U2=0,".",((s_Ir*s_F*up_Bv!U2*(1-EXP(-up_RadSpec!AX2*s_t_b)))/(s_P*up_RadSpec!AX2))),".")</f>
        <v>993.50362303732038</v>
      </c>
      <c r="V2" s="116">
        <f>IFERROR(IF(up_Bv!V2=0,".",((s_Ir*s_F*up_Bv!V2*(1-EXP(-up_RadSpec!AX2*s_t_b)))/(s_P*up_RadSpec!AX2))),".")</f>
        <v>993.50362303732038</v>
      </c>
      <c r="W2" s="116">
        <f>IFERROR(IF(up_Bv!W2=0,".",((s_Ir*s_F*up_Bv!W2*(1-EXP(-up_RadSpec!AX2*s_t_b)))/(s_P*up_RadSpec!AX2))),".")</f>
        <v>993.50362303732038</v>
      </c>
      <c r="X2" s="116">
        <f>IFERROR(IF(up_Bv!X2=0,".",((s_Ir*s_F*up_Bv!X2*(1-EXP(-up_RadSpec!AX2*s_t_b)))/(s_P*up_RadSpec!AX2))),".")</f>
        <v>993.50362303732038</v>
      </c>
      <c r="Y2" s="116">
        <f>IFERROR(IF(up_Bv!Y2=0,".",((s_Ir*s_F*up_Bv!Y2*(1-EXP(-up_RadSpec!AX2*s_t_b)))/(s_P*up_RadSpec!AX2))),".")</f>
        <v>993.50362303732038</v>
      </c>
      <c r="Z2" s="116">
        <f>IFERROR(IF(up_Bv!Z2=0,".",((s_Ir*s_F*up_Bv!Z2*(1-EXP(-up_RadSpec!AX2*s_t_b)))/(s_P*up_RadSpec!AX2))),".")</f>
        <v>993.50362303732038</v>
      </c>
      <c r="AA2" s="116">
        <f>IFERROR(IF(up_Bv!C2=0,".",((s_Ir*s_F*s_MLF_apple*(1-EXP(-up_RadSpec!AX2*s_t_b)))/(s_P*up_RadSpec!AX2))),".")</f>
        <v>2.6824597822007652</v>
      </c>
      <c r="AB2" s="116">
        <f>IFERROR(IF(up_Bv!D2=0,".",((s_Ir*s_F*s_MLF_asparagus*(1-EXP(-up_RadSpec!AX2*s_t_b)))/(s_P*up_RadSpec!AX2))),".")</f>
        <v>2.6824597822007652</v>
      </c>
      <c r="AC2" s="116">
        <f>IFERROR(IF(up_Bv!E2=0,".",((s_Ir*s_F*s_MLF_beet*(1-EXP(-up_RadSpec!AX2*s_t_b)))/(s_P*up_RadSpec!AX2))),".")</f>
        <v>2.6824597822007652</v>
      </c>
      <c r="AD2" s="116">
        <f>IFERROR(IF(up_Bv!F2=0,".",((s_Ir*s_F*s_MLF_berries*(1-EXP(-up_RadSpec!AX2*s_t_b)))/(s_P*up_RadSpec!AX2))),".")</f>
        <v>2.6824597822007652</v>
      </c>
      <c r="AE2" s="116">
        <f>IFERROR(IF(up_Bv!G2=0,".",((s_Ir*s_F*s_MLF_broccoli*(1-EXP(-up_RadSpec!AX2*s_t_b)))/(s_P*up_RadSpec!AX2))),".")</f>
        <v>2.6824597822007652</v>
      </c>
      <c r="AF2" s="116">
        <f>IFERROR(IF(up_Bv!H2=0,".",((s_Ir*s_F*s_MLF_cabbage*(1-EXP(-up_RadSpec!AX2*s_t_b)))/(s_P*up_RadSpec!AX2))),".")</f>
        <v>2.6824597822007652</v>
      </c>
      <c r="AG2" s="116">
        <f>IFERROR(IF(up_Bv!I2=0,".",((s_Ir*s_F*s_MLF_carrot*(1-EXP(-up_RadSpec!AX2*s_t_b)))/(s_P*up_RadSpec!AX2))),".")</f>
        <v>2.6824597822007652</v>
      </c>
      <c r="AH2" s="116">
        <f>IFERROR(IF(up_Bv!J2=0,".",((s_Ir*s_F*s_MLF_citrus*(1-EXP(-up_RadSpec!AX2*s_t_b)))/(s_P*up_RadSpec!AX2))),".")</f>
        <v>2.6824597822007652</v>
      </c>
      <c r="AI2" s="116">
        <f>IFERROR(IF(up_Bv!K2=0,".",((s_Ir*s_F*s_MLF_corn*(1-EXP(-up_RadSpec!AX2*s_t_b)))/(s_P*up_RadSpec!AX2))),".")</f>
        <v>2.6824597822007652</v>
      </c>
      <c r="AJ2" s="116">
        <f>IFERROR(IF(up_Bv!L2=0,".",((s_Ir*s_F*s_MLF_cucumber*(1-EXP(-up_RadSpec!AX2*s_t_b)))/(s_P*up_RadSpec!AX2))),".")</f>
        <v>2.6824597822007652</v>
      </c>
      <c r="AK2" s="116">
        <f>IFERROR(IF(up_Bv!M2=0,".",((s_Ir*s_F*s_MLF_lettuce*(1-EXP(-up_RadSpec!AX2*s_t_b)))/(s_P*up_RadSpec!AX2))),".")</f>
        <v>2.6824597822007652</v>
      </c>
      <c r="AL2" s="116">
        <f>IFERROR(IF(up_Bv!N2=0,".",((s_Ir*s_F*s_MLF_lima_bean*(1-EXP(-up_RadSpec!AX2*s_t_b)))/(s_P*up_RadSpec!AX2))),".")</f>
        <v>2.6824597822007652</v>
      </c>
      <c r="AM2" s="116">
        <f>IFERROR(IF(up_Bv!O2=0,".",((s_Ir*s_F*s_MLF_okra*(1-EXP(-up_RadSpec!AX2*s_t_b)))/(s_P*up_RadSpec!AX2))),".")</f>
        <v>2.6824597822007652</v>
      </c>
      <c r="AN2" s="116">
        <f>IFERROR(IF(up_Bv!P2=0,".",((s_Ir*s_F*s_MLF_onion*(1-EXP(-up_RadSpec!AX2*s_t_b)))/(s_P*up_RadSpec!AX2))),".")</f>
        <v>2.6824597822007652</v>
      </c>
      <c r="AO2" s="116">
        <f>IFERROR(IF(up_Bv!Q2=0,".",((s_Ir*s_F*s_MLF_peach*(1-EXP(-up_RadSpec!AX2*s_t_b)))/(s_P*up_RadSpec!AX2))),".")</f>
        <v>2.6824597822007652</v>
      </c>
      <c r="AP2" s="116">
        <f>IFERROR(IF(up_Bv!R2=0,".",((s_Ir*s_F*s_MLF_pear*(1-EXP(-up_RadSpec!AX2*s_t_b)))/(s_P*up_RadSpec!AX2))),".")</f>
        <v>2.6824597822007652</v>
      </c>
      <c r="AQ2" s="116">
        <f>IFERROR(IF(up_Bv!S2=0,".",((s_Ir*s_F*s_MLF_peas*(1-EXP(-up_RadSpec!AX2*s_t_b)))/(s_P*up_RadSpec!AX2))),".")</f>
        <v>2.6824597822007652</v>
      </c>
      <c r="AR2" s="116">
        <f>IFERROR(IF(up_Bv!T2=0,".",((s_Ir*s_F*s_MLF_potato*(1-EXP(-up_RadSpec!AX2*s_t_b)))/(s_P*up_RadSpec!AX2))),".")</f>
        <v>2.6824597822007652</v>
      </c>
      <c r="AS2" s="116">
        <f>IFERROR(IF(up_Bv!U2=0,".",((s_Ir*s_F*s_MLF_pumpkin*(1-EXP(-up_RadSpec!AX2*s_t_b)))/(s_P*up_RadSpec!AX2))),".")</f>
        <v>2.6824597822007652</v>
      </c>
      <c r="AT2" s="116">
        <f>IFERROR(IF(up_Bv!V2=0,".",((s_Ir*s_F*s_MLF_snap_bean*(1-EXP(-up_RadSpec!AX2*s_t_b)))/(s_P*up_RadSpec!AX2))),".")</f>
        <v>2.6824597822007652</v>
      </c>
      <c r="AU2" s="116">
        <f>IFERROR(IF(up_Bv!W2=0,".",((s_Ir*s_F*s_MLF_strawberry*(1-EXP(-up_RadSpec!AX2*s_t_b)))/(s_P*up_RadSpec!AX2))),".")</f>
        <v>2.6824597822007652</v>
      </c>
      <c r="AV2" s="116">
        <f>IFERROR(IF(up_Bv!X2=0,".",((s_Ir*s_F*s_MLF_tomato*(1-EXP(-up_RadSpec!AX2*s_t_b)))/(s_P*up_RadSpec!AX2))),".")</f>
        <v>2.6824597822007652</v>
      </c>
      <c r="AW2" s="116">
        <f>IFERROR(IF(up_Bv!Y2=0,".",((s_Ir*s_F*s_MLF_rice*(1-EXP(-up_RadSpec!AX2*s_t_b)))/(s_P*up_RadSpec!AX2))),".")</f>
        <v>2.6824597822007652</v>
      </c>
      <c r="AX2" s="116">
        <f>IFERROR(IF(up_Bv!Z2=0,".",((s_Ir*s_F*s_MLF_cereal*(1-EXP(-up_RadSpec!AX2*s_t_b)))/(s_P*up_RadSpec!AX2))),".")</f>
        <v>2.6824597822007652</v>
      </c>
      <c r="AY2" s="116">
        <f>IFERROR(IF(up_Bv!C2=0,".",((s_Ir*s_F*s_I_f*s_T*(1-EXP(-up_RadSpec!AY2*s_t_v)))/(s_Y_v*up_RadSpec!AY2))),".")</f>
        <v>9.0143481925428208</v>
      </c>
      <c r="AZ2" s="116">
        <f>IFERROR(IF(up_Bv!D2=0,".",((s_Ir*s_F*s_I_f*s_T*(1-EXP(-up_RadSpec!AY2*s_t_v)))/(s_Y_v*up_RadSpec!AY2))),".")</f>
        <v>9.0143481925428208</v>
      </c>
      <c r="BA2" s="116">
        <f>IFERROR(IF(up_Bv!E2=0,".",((s_Ir*s_F*s_I_f*s_T*(1-EXP(-up_RadSpec!AY2*s_t_v)))/(s_Y_v*up_RadSpec!AY2))),".")</f>
        <v>9.0143481925428208</v>
      </c>
      <c r="BB2" s="116">
        <f>IFERROR(IF(up_Bv!F2=0,".",((s_Ir*s_F*s_I_f*s_T*(1-EXP(-up_RadSpec!AY2*s_t_v)))/(s_Y_v*up_RadSpec!AY2))),".")</f>
        <v>9.0143481925428208</v>
      </c>
      <c r="BC2" s="116">
        <f>IFERROR(IF(up_Bv!G2=0,".",((s_Ir*s_F*s_I_f*s_T*(1-EXP(-up_RadSpec!AY2*s_t_v)))/(s_Y_v*up_RadSpec!AY2))),".")</f>
        <v>9.0143481925428208</v>
      </c>
      <c r="BD2" s="116">
        <f>IFERROR(IF(up_Bv!H2=0,".",((s_Ir*s_F*s_I_f*s_T*(1-EXP(-up_RadSpec!AY2*s_t_v)))/(s_Y_v*up_RadSpec!AY2))),".")</f>
        <v>9.0143481925428208</v>
      </c>
      <c r="BE2" s="116">
        <f>IFERROR(IF(up_Bv!I2=0,".",((s_Ir*s_F*s_I_f*s_T*(1-EXP(-up_RadSpec!AY2*s_t_v)))/(s_Y_v*up_RadSpec!AY2))),".")</f>
        <v>9.0143481925428208</v>
      </c>
      <c r="BF2" s="116">
        <f>IFERROR(IF(up_Bv!J2=0,".",((s_Ir*s_F*s_I_f*s_T*(1-EXP(-up_RadSpec!AY2*s_t_v)))/(s_Y_v*up_RadSpec!AY2))),".")</f>
        <v>9.0143481925428208</v>
      </c>
      <c r="BG2" s="116">
        <f>IFERROR(IF(up_Bv!K2=0,".",((s_Ir*s_F*s_I_f*s_T*(1-EXP(-up_RadSpec!AY2*s_t_v)))/(s_Y_v*up_RadSpec!AY2))),".")</f>
        <v>9.0143481925428208</v>
      </c>
      <c r="BH2" s="116">
        <f>IFERROR(IF(up_Bv!L2=0,".",((s_Ir*s_F*s_I_f*s_T*(1-EXP(-up_RadSpec!AY2*s_t_v)))/(s_Y_v*up_RadSpec!AY2))),".")</f>
        <v>9.0143481925428208</v>
      </c>
      <c r="BI2" s="116">
        <f>IFERROR(IF(up_Bv!M2=0,".",((s_Ir*s_F*s_I_f*s_T*(1-EXP(-up_RadSpec!AY2*s_t_v)))/(s_Y_v*up_RadSpec!AY2))),".")</f>
        <v>9.0143481925428208</v>
      </c>
      <c r="BJ2" s="116">
        <f>IFERROR(IF(up_Bv!N2=0,".",((s_Ir*s_F*s_I_f*s_T*(1-EXP(-up_RadSpec!AY2*s_t_v)))/(s_Y_v*up_RadSpec!AY2))),".")</f>
        <v>9.0143481925428208</v>
      </c>
      <c r="BK2" s="116">
        <f>IFERROR(IF(up_Bv!O2=0,".",((s_Ir*s_F*s_I_f*s_T*(1-EXP(-up_RadSpec!AY2*s_t_v)))/(s_Y_v*up_RadSpec!AY2))),".")</f>
        <v>9.0143481925428208</v>
      </c>
      <c r="BL2" s="116">
        <f>IFERROR(IF(up_Bv!P2=0,".",((s_Ir*s_F*s_I_f*s_T*(1-EXP(-up_RadSpec!AY2*s_t_v)))/(s_Y_v*up_RadSpec!AY2))),".")</f>
        <v>9.0143481925428208</v>
      </c>
      <c r="BM2" s="116">
        <f>IFERROR(IF(up_Bv!Q2=0,".",((s_Ir*s_F*s_I_f*s_T*(1-EXP(-up_RadSpec!AY2*s_t_v)))/(s_Y_v*up_RadSpec!AY2))),".")</f>
        <v>9.0143481925428208</v>
      </c>
      <c r="BN2" s="116">
        <f>IFERROR(IF(up_Bv!R2=0,".",((s_Ir*s_F*s_I_f*s_T*(1-EXP(-up_RadSpec!AY2*s_t_v)))/(s_Y_v*up_RadSpec!AY2))),".")</f>
        <v>9.0143481925428208</v>
      </c>
      <c r="BO2" s="116">
        <f>IFERROR(IF(up_Bv!S2=0,".",((s_Ir*s_F*s_I_f*s_T*(1-EXP(-up_RadSpec!AY2*s_t_v)))/(s_Y_v*up_RadSpec!AY2))),".")</f>
        <v>9.0143481925428208</v>
      </c>
      <c r="BP2" s="116">
        <f>IFERROR(IF(up_Bv!T2=0,".",((s_Ir*s_F*s_I_f*s_T*(1-EXP(-up_RadSpec!AY2*s_t_v)))/(s_Y_v*up_RadSpec!AY2))),".")</f>
        <v>9.0143481925428208</v>
      </c>
      <c r="BQ2" s="116">
        <f>IFERROR(IF(up_Bv!U2=0,".",((s_Ir*s_F*s_I_f*s_T*(1-EXP(-up_RadSpec!AY2*s_t_v)))/(s_Y_v*up_RadSpec!AY2))),".")</f>
        <v>9.0143481925428208</v>
      </c>
      <c r="BR2" s="116">
        <f>IFERROR(IF(up_Bv!V2=0,".",((s_Ir*s_F*s_I_f*s_T*(1-EXP(-up_RadSpec!AY2*s_t_v)))/(s_Y_v*up_RadSpec!AY2))),".")</f>
        <v>9.0143481925428208</v>
      </c>
      <c r="BS2" s="116">
        <f>IFERROR(IF(up_Bv!W2=0,".",((s_Ir*s_F*s_I_f*s_T*(1-EXP(-up_RadSpec!AY2*s_t_v)))/(s_Y_v*up_RadSpec!AY2))),".")</f>
        <v>9.0143481925428208</v>
      </c>
      <c r="BT2" s="116">
        <f>IFERROR(IF(up_Bv!X2=0,".",((s_Ir*s_F*s_I_f*s_T*(1-EXP(-up_RadSpec!AY2*s_t_v)))/(s_Y_v*up_RadSpec!AY2))),".")</f>
        <v>9.0143481925428208</v>
      </c>
      <c r="BU2" s="116">
        <f>IFERROR(IF(up_Bv!Y2=0,".",((s_Ir*s_F*s_I_f*s_T*(1-EXP(-up_RadSpec!AY2*s_t_v)))/(s_Y_v*up_RadSpec!AY2))),".")</f>
        <v>9.0143481925428208</v>
      </c>
      <c r="BV2" s="116">
        <f>IFERROR(IF(up_Bv!Z2=0,".",((s_Ir*s_F*s_I_f*s_T*(1-EXP(-up_RadSpec!AY2*s_t_v)))/(s_Y_v*up_RadSpec!AY2))),".")</f>
        <v>9.0143481925428208</v>
      </c>
    </row>
    <row r="3" spans="1:74" x14ac:dyDescent="0.25">
      <c r="A3" s="46" t="s">
        <v>13</v>
      </c>
      <c r="B3" s="42" t="s">
        <v>351</v>
      </c>
      <c r="C3" s="116">
        <f>IFERROR(IF(up_Bv!C3=0,".",((s_Ir*s_F*up_Bv!C3*(1-EXP(-up_RadSpec!$AX3*s_t_b)))/(s_P*up_RadSpec!$AX3))),".")</f>
        <v>993.50362303732038</v>
      </c>
      <c r="D3" s="116">
        <f>IFERROR(IF(up_Bv!D3=0,".",((s_Ir*s_F*up_Bv!D3*(1-EXP(-up_RadSpec!AX3*s_t_b)))/(s_P*up_RadSpec!AX3))),".")</f>
        <v>993.50362303732038</v>
      </c>
      <c r="E3" s="116">
        <f>IFERROR(IF(up_Bv!E3=0,".",((s_Ir*s_F*up_Bv!E3*(1-EXP(-up_RadSpec!AX3*s_t_b)))/(s_P*up_RadSpec!AX3))),".")</f>
        <v>993.50362303732038</v>
      </c>
      <c r="F3" s="116">
        <f>IFERROR(IF(up_Bv!F3=0,".",((s_Ir*s_F*up_Bv!F3*(1-EXP(-up_RadSpec!AX3*s_t_b)))/(s_P*up_RadSpec!AX3))),".")</f>
        <v>993.50362303732038</v>
      </c>
      <c r="G3" s="116">
        <f>IFERROR(IF(up_Bv!G3=0,".",((s_Ir*s_F*up_Bv!G3*(1-EXP(-up_RadSpec!AX3*s_t_b)))/(s_P*up_RadSpec!AX3))),".")</f>
        <v>993.50362303732038</v>
      </c>
      <c r="H3" s="116">
        <f>IFERROR(IF(up_Bv!H3=0,".",((s_Ir*s_F*up_Bv!H3*(1-EXP(-up_RadSpec!AX3*s_t_b)))/(s_P*up_RadSpec!AX3))),".")</f>
        <v>993.50362303732038</v>
      </c>
      <c r="I3" s="116">
        <f>IFERROR(IF(up_Bv!I3=0,".",((s_Ir*s_F*up_Bv!I3*(1-EXP(-up_RadSpec!AX3*s_t_b)))/(s_P*up_RadSpec!AX3))),".")</f>
        <v>993.50362303732038</v>
      </c>
      <c r="J3" s="116">
        <f>IFERROR(IF(up_Bv!J3=0,".",((s_Ir*s_F*up_Bv!J3*(1-EXP(-up_RadSpec!AX3*s_t_b)))/(s_P*up_RadSpec!AX3))),".")</f>
        <v>993.50362303732038</v>
      </c>
      <c r="K3" s="116">
        <f>IFERROR(IF(up_Bv!K3=0,".",((s_Ir*s_F*up_Bv!K3*(1-EXP(-up_RadSpec!AX3*s_t_b)))/(s_P*up_RadSpec!AX3))),".")</f>
        <v>993.50362303732038</v>
      </c>
      <c r="L3" s="116">
        <f>IFERROR(IF(up_Bv!L3=0,".",((s_Ir*s_F*up_Bv!L3*(1-EXP(-up_RadSpec!AX3*s_t_b)))/(s_P*up_RadSpec!AX3))),".")</f>
        <v>993.50362303732038</v>
      </c>
      <c r="M3" s="116">
        <f>IFERROR(IF(up_Bv!M3=0,".",((s_Ir*s_F*up_Bv!M3*(1-EXP(-up_RadSpec!AX3*s_t_b)))/(s_P*up_RadSpec!AX3))),".")</f>
        <v>993.50362303732038</v>
      </c>
      <c r="N3" s="116">
        <f>IFERROR(IF(up_Bv!N3=0,".",((s_Ir*s_F*up_Bv!N3*(1-EXP(-up_RadSpec!AX3*s_t_b)))/(s_P*up_RadSpec!AX3))),".")</f>
        <v>993.50362303732038</v>
      </c>
      <c r="O3" s="116">
        <f>IFERROR(IF(up_Bv!O3=0,".",((s_Ir*s_F*up_Bv!O3*(1-EXP(-up_RadSpec!AX3*s_t_b)))/(s_P*up_RadSpec!AX3))),".")</f>
        <v>993.50362303732038</v>
      </c>
      <c r="P3" s="116">
        <f>IFERROR(IF(up_Bv!P3=0,".",((s_Ir*s_F*up_Bv!P3*(1-EXP(-up_RadSpec!AX3*s_t_b)))/(s_P*up_RadSpec!AX3))),".")</f>
        <v>993.50362303732038</v>
      </c>
      <c r="Q3" s="116">
        <f>IFERROR(IF(up_Bv!Q3=0,".",((s_Ir*s_F*up_Bv!Q3*(1-EXP(-up_RadSpec!AX3*s_t_b)))/(s_P*up_RadSpec!AX3))),".")</f>
        <v>993.50362303732038</v>
      </c>
      <c r="R3" s="116">
        <f>IFERROR(IF(up_Bv!R3=0,".",((s_Ir*s_F*up_Bv!R3*(1-EXP(-up_RadSpec!AX3*s_t_b)))/(s_P*up_RadSpec!AX3))),".")</f>
        <v>993.50362303732038</v>
      </c>
      <c r="S3" s="116">
        <f>IFERROR(IF(up_Bv!S3=0,".",((s_Ir*s_F*up_Bv!S3*(1-EXP(-up_RadSpec!AX3*s_t_b)))/(s_P*up_RadSpec!AX3))),".")</f>
        <v>993.50362303732038</v>
      </c>
      <c r="T3" s="116">
        <f>IFERROR(IF(up_Bv!T3=0,".",((s_Ir*s_F*up_Bv!T3*(1-EXP(-up_RadSpec!AX3*s_t_b)))/(s_P*up_RadSpec!AX3))),".")</f>
        <v>993.50362303732038</v>
      </c>
      <c r="U3" s="116">
        <f>IFERROR(IF(up_Bv!U3=0,".",((s_Ir*s_F*up_Bv!U3*(1-EXP(-up_RadSpec!AX3*s_t_b)))/(s_P*up_RadSpec!AX3))),".")</f>
        <v>993.50362303732038</v>
      </c>
      <c r="V3" s="116">
        <f>IFERROR(IF(up_Bv!V3=0,".",((s_Ir*s_F*up_Bv!V3*(1-EXP(-up_RadSpec!AX3*s_t_b)))/(s_P*up_RadSpec!AX3))),".")</f>
        <v>993.50362303732038</v>
      </c>
      <c r="W3" s="116">
        <f>IFERROR(IF(up_Bv!W3=0,".",((s_Ir*s_F*up_Bv!W3*(1-EXP(-up_RadSpec!AX3*s_t_b)))/(s_P*up_RadSpec!AX3))),".")</f>
        <v>993.50362303732038</v>
      </c>
      <c r="X3" s="116">
        <f>IFERROR(IF(up_Bv!X3=0,".",((s_Ir*s_F*up_Bv!X3*(1-EXP(-up_RadSpec!AX3*s_t_b)))/(s_P*up_RadSpec!AX3))),".")</f>
        <v>993.50362303732038</v>
      </c>
      <c r="Y3" s="116">
        <f>IFERROR(IF(up_Bv!Y3=0,".",((s_Ir*s_F*up_Bv!Y3*(1-EXP(-up_RadSpec!AX3*s_t_b)))/(s_P*up_RadSpec!AX3))),".")</f>
        <v>993.50362303732038</v>
      </c>
      <c r="Z3" s="116">
        <f>IFERROR(IF(up_Bv!Z3=0,".",((s_Ir*s_F*up_Bv!Z3*(1-EXP(-up_RadSpec!AX3*s_t_b)))/(s_P*up_RadSpec!AX3))),".")</f>
        <v>993.50362303732038</v>
      </c>
      <c r="AA3" s="116">
        <f>IFERROR(IF(up_Bv!C3=0,".",((s_Ir*s_F*s_MLF_apple*(1-EXP(-up_RadSpec!AX3*s_t_b)))/(s_P*up_RadSpec!AX3))),".")</f>
        <v>2.6824597822007652</v>
      </c>
      <c r="AB3" s="116">
        <f>IFERROR(IF(up_Bv!D3=0,".",((s_Ir*s_F*s_MLF_asparagus*(1-EXP(-up_RadSpec!AX3*s_t_b)))/(s_P*up_RadSpec!AX3))),".")</f>
        <v>2.6824597822007652</v>
      </c>
      <c r="AC3" s="116">
        <f>IFERROR(IF(up_Bv!E3=0,".",((s_Ir*s_F*s_MLF_beet*(1-EXP(-up_RadSpec!AX3*s_t_b)))/(s_P*up_RadSpec!AX3))),".")</f>
        <v>2.6824597822007652</v>
      </c>
      <c r="AD3" s="116">
        <f>IFERROR(IF(up_Bv!F3=0,".",((s_Ir*s_F*s_MLF_berries*(1-EXP(-up_RadSpec!AX3*s_t_b)))/(s_P*up_RadSpec!AX3))),".")</f>
        <v>2.6824597822007652</v>
      </c>
      <c r="AE3" s="116">
        <f>IFERROR(IF(up_Bv!G3=0,".",((s_Ir*s_F*s_MLF_broccoli*(1-EXP(-up_RadSpec!AX3*s_t_b)))/(s_P*up_RadSpec!AX3))),".")</f>
        <v>2.6824597822007652</v>
      </c>
      <c r="AF3" s="116">
        <f>IFERROR(IF(up_Bv!H3=0,".",((s_Ir*s_F*s_MLF_cabbage*(1-EXP(-up_RadSpec!AX3*s_t_b)))/(s_P*up_RadSpec!AX3))),".")</f>
        <v>2.6824597822007652</v>
      </c>
      <c r="AG3" s="116">
        <f>IFERROR(IF(up_Bv!I3=0,".",((s_Ir*s_F*s_MLF_carrot*(1-EXP(-up_RadSpec!AX3*s_t_b)))/(s_P*up_RadSpec!AX3))),".")</f>
        <v>2.6824597822007652</v>
      </c>
      <c r="AH3" s="116">
        <f>IFERROR(IF(up_Bv!J3=0,".",((s_Ir*s_F*s_MLF_citrus*(1-EXP(-up_RadSpec!AX3*s_t_b)))/(s_P*up_RadSpec!AX3))),".")</f>
        <v>2.6824597822007652</v>
      </c>
      <c r="AI3" s="116">
        <f>IFERROR(IF(up_Bv!K3=0,".",((s_Ir*s_F*s_MLF_corn*(1-EXP(-up_RadSpec!AX3*s_t_b)))/(s_P*up_RadSpec!AX3))),".")</f>
        <v>2.6824597822007652</v>
      </c>
      <c r="AJ3" s="116">
        <f>IFERROR(IF(up_Bv!L3=0,".",((s_Ir*s_F*s_MLF_cucumber*(1-EXP(-up_RadSpec!AX3*s_t_b)))/(s_P*up_RadSpec!AX3))),".")</f>
        <v>2.6824597822007652</v>
      </c>
      <c r="AK3" s="116">
        <f>IFERROR(IF(up_Bv!M3=0,".",((s_Ir*s_F*s_MLF_lettuce*(1-EXP(-up_RadSpec!AX3*s_t_b)))/(s_P*up_RadSpec!AX3))),".")</f>
        <v>2.6824597822007652</v>
      </c>
      <c r="AL3" s="116">
        <f>IFERROR(IF(up_Bv!N3=0,".",((s_Ir*s_F*s_MLF_lima_bean*(1-EXP(-up_RadSpec!AX3*s_t_b)))/(s_P*up_RadSpec!AX3))),".")</f>
        <v>2.6824597822007652</v>
      </c>
      <c r="AM3" s="116">
        <f>IFERROR(IF(up_Bv!O3=0,".",((s_Ir*s_F*s_MLF_okra*(1-EXP(-up_RadSpec!AX3*s_t_b)))/(s_P*up_RadSpec!AX3))),".")</f>
        <v>2.6824597822007652</v>
      </c>
      <c r="AN3" s="116">
        <f>IFERROR(IF(up_Bv!P3=0,".",((s_Ir*s_F*s_MLF_onion*(1-EXP(-up_RadSpec!AX3*s_t_b)))/(s_P*up_RadSpec!AX3))),".")</f>
        <v>2.6824597822007652</v>
      </c>
      <c r="AO3" s="116">
        <f>IFERROR(IF(up_Bv!Q3=0,".",((s_Ir*s_F*s_MLF_peach*(1-EXP(-up_RadSpec!AX3*s_t_b)))/(s_P*up_RadSpec!AX3))),".")</f>
        <v>2.6824597822007652</v>
      </c>
      <c r="AP3" s="116">
        <f>IFERROR(IF(up_Bv!R3=0,".",((s_Ir*s_F*s_MLF_pear*(1-EXP(-up_RadSpec!AX3*s_t_b)))/(s_P*up_RadSpec!AX3))),".")</f>
        <v>2.6824597822007652</v>
      </c>
      <c r="AQ3" s="116">
        <f>IFERROR(IF(up_Bv!S3=0,".",((s_Ir*s_F*s_MLF_peas*(1-EXP(-up_RadSpec!AX3*s_t_b)))/(s_P*up_RadSpec!AX3))),".")</f>
        <v>2.6824597822007652</v>
      </c>
      <c r="AR3" s="116">
        <f>IFERROR(IF(up_Bv!T3=0,".",((s_Ir*s_F*s_MLF_potato*(1-EXP(-up_RadSpec!AX3*s_t_b)))/(s_P*up_RadSpec!AX3))),".")</f>
        <v>2.6824597822007652</v>
      </c>
      <c r="AS3" s="116">
        <f>IFERROR(IF(up_Bv!U3=0,".",((s_Ir*s_F*s_MLF_pumpkin*(1-EXP(-up_RadSpec!AX3*s_t_b)))/(s_P*up_RadSpec!AX3))),".")</f>
        <v>2.6824597822007652</v>
      </c>
      <c r="AT3" s="116">
        <f>IFERROR(IF(up_Bv!V3=0,".",((s_Ir*s_F*s_MLF_snap_bean*(1-EXP(-up_RadSpec!AX3*s_t_b)))/(s_P*up_RadSpec!AX3))),".")</f>
        <v>2.6824597822007652</v>
      </c>
      <c r="AU3" s="116">
        <f>IFERROR(IF(up_Bv!W3=0,".",((s_Ir*s_F*s_MLF_strawberry*(1-EXP(-up_RadSpec!AX3*s_t_b)))/(s_P*up_RadSpec!AX3))),".")</f>
        <v>2.6824597822007652</v>
      </c>
      <c r="AV3" s="116">
        <f>IFERROR(IF(up_Bv!X3=0,".",((s_Ir*s_F*s_MLF_tomato*(1-EXP(-up_RadSpec!AX3*s_t_b)))/(s_P*up_RadSpec!AX3))),".")</f>
        <v>2.6824597822007652</v>
      </c>
      <c r="AW3" s="116">
        <f>IFERROR(IF(up_Bv!Y3=0,".",((s_Ir*s_F*s_MLF_rice*(1-EXP(-up_RadSpec!AX3*s_t_b)))/(s_P*up_RadSpec!AX3))),".")</f>
        <v>2.6824597822007652</v>
      </c>
      <c r="AX3" s="116">
        <f>IFERROR(IF(up_Bv!Z3=0,".",((s_Ir*s_F*s_MLF_cereal*(1-EXP(-up_RadSpec!AX3*s_t_b)))/(s_P*up_RadSpec!AX3))),".")</f>
        <v>2.6824597822007652</v>
      </c>
      <c r="AY3" s="116">
        <f>IFERROR(IF(up_Bv!C3=0,".",((s_Ir*s_F*s_I_f*s_T*(1-EXP(-up_RadSpec!AY3*s_t_v)))/(s_Y_v*up_RadSpec!AY3))),".")</f>
        <v>9.0143481925428208</v>
      </c>
      <c r="AZ3" s="116">
        <f>IFERROR(IF(up_Bv!D3=0,".",((s_Ir*s_F*s_I_f*s_T*(1-EXP(-up_RadSpec!AY3*s_t_v)))/(s_Y_v*up_RadSpec!AY3))),".")</f>
        <v>9.0143481925428208</v>
      </c>
      <c r="BA3" s="116">
        <f>IFERROR(IF(up_Bv!E3=0,".",((s_Ir*s_F*s_I_f*s_T*(1-EXP(-up_RadSpec!AY3*s_t_v)))/(s_Y_v*up_RadSpec!AY3))),".")</f>
        <v>9.0143481925428208</v>
      </c>
      <c r="BB3" s="116">
        <f>IFERROR(IF(up_Bv!F3=0,".",((s_Ir*s_F*s_I_f*s_T*(1-EXP(-up_RadSpec!AY3*s_t_v)))/(s_Y_v*up_RadSpec!AY3))),".")</f>
        <v>9.0143481925428208</v>
      </c>
      <c r="BC3" s="116">
        <f>IFERROR(IF(up_Bv!G3=0,".",((s_Ir*s_F*s_I_f*s_T*(1-EXP(-up_RadSpec!AY3*s_t_v)))/(s_Y_v*up_RadSpec!AY3))),".")</f>
        <v>9.0143481925428208</v>
      </c>
      <c r="BD3" s="116">
        <f>IFERROR(IF(up_Bv!H3=0,".",((s_Ir*s_F*s_I_f*s_T*(1-EXP(-up_RadSpec!AY3*s_t_v)))/(s_Y_v*up_RadSpec!AY3))),".")</f>
        <v>9.0143481925428208</v>
      </c>
      <c r="BE3" s="116">
        <f>IFERROR(IF(up_Bv!I3=0,".",((s_Ir*s_F*s_I_f*s_T*(1-EXP(-up_RadSpec!AY3*s_t_v)))/(s_Y_v*up_RadSpec!AY3))),".")</f>
        <v>9.0143481925428208</v>
      </c>
      <c r="BF3" s="116">
        <f>IFERROR(IF(up_Bv!J3=0,".",((s_Ir*s_F*s_I_f*s_T*(1-EXP(-up_RadSpec!AY3*s_t_v)))/(s_Y_v*up_RadSpec!AY3))),".")</f>
        <v>9.0143481925428208</v>
      </c>
      <c r="BG3" s="116">
        <f>IFERROR(IF(up_Bv!K3=0,".",((s_Ir*s_F*s_I_f*s_T*(1-EXP(-up_RadSpec!AY3*s_t_v)))/(s_Y_v*up_RadSpec!AY3))),".")</f>
        <v>9.0143481925428208</v>
      </c>
      <c r="BH3" s="116">
        <f>IFERROR(IF(up_Bv!L3=0,".",((s_Ir*s_F*s_I_f*s_T*(1-EXP(-up_RadSpec!AY3*s_t_v)))/(s_Y_v*up_RadSpec!AY3))),".")</f>
        <v>9.0143481925428208</v>
      </c>
      <c r="BI3" s="116">
        <f>IFERROR(IF(up_Bv!M3=0,".",((s_Ir*s_F*s_I_f*s_T*(1-EXP(-up_RadSpec!AY3*s_t_v)))/(s_Y_v*up_RadSpec!AY3))),".")</f>
        <v>9.0143481925428208</v>
      </c>
      <c r="BJ3" s="116">
        <f>IFERROR(IF(up_Bv!N3=0,".",((s_Ir*s_F*s_I_f*s_T*(1-EXP(-up_RadSpec!AY3*s_t_v)))/(s_Y_v*up_RadSpec!AY3))),".")</f>
        <v>9.0143481925428208</v>
      </c>
      <c r="BK3" s="116">
        <f>IFERROR(IF(up_Bv!O3=0,".",((s_Ir*s_F*s_I_f*s_T*(1-EXP(-up_RadSpec!AY3*s_t_v)))/(s_Y_v*up_RadSpec!AY3))),".")</f>
        <v>9.0143481925428208</v>
      </c>
      <c r="BL3" s="116">
        <f>IFERROR(IF(up_Bv!P3=0,".",((s_Ir*s_F*s_I_f*s_T*(1-EXP(-up_RadSpec!AY3*s_t_v)))/(s_Y_v*up_RadSpec!AY3))),".")</f>
        <v>9.0143481925428208</v>
      </c>
      <c r="BM3" s="116">
        <f>IFERROR(IF(up_Bv!Q3=0,".",((s_Ir*s_F*s_I_f*s_T*(1-EXP(-up_RadSpec!AY3*s_t_v)))/(s_Y_v*up_RadSpec!AY3))),".")</f>
        <v>9.0143481925428208</v>
      </c>
      <c r="BN3" s="116">
        <f>IFERROR(IF(up_Bv!R3=0,".",((s_Ir*s_F*s_I_f*s_T*(1-EXP(-up_RadSpec!AY3*s_t_v)))/(s_Y_v*up_RadSpec!AY3))),".")</f>
        <v>9.0143481925428208</v>
      </c>
      <c r="BO3" s="116">
        <f>IFERROR(IF(up_Bv!S3=0,".",((s_Ir*s_F*s_I_f*s_T*(1-EXP(-up_RadSpec!AY3*s_t_v)))/(s_Y_v*up_RadSpec!AY3))),".")</f>
        <v>9.0143481925428208</v>
      </c>
      <c r="BP3" s="116">
        <f>IFERROR(IF(up_Bv!T3=0,".",((s_Ir*s_F*s_I_f*s_T*(1-EXP(-up_RadSpec!AY3*s_t_v)))/(s_Y_v*up_RadSpec!AY3))),".")</f>
        <v>9.0143481925428208</v>
      </c>
      <c r="BQ3" s="116">
        <f>IFERROR(IF(up_Bv!U3=0,".",((s_Ir*s_F*s_I_f*s_T*(1-EXP(-up_RadSpec!AY3*s_t_v)))/(s_Y_v*up_RadSpec!AY3))),".")</f>
        <v>9.0143481925428208</v>
      </c>
      <c r="BR3" s="116">
        <f>IFERROR(IF(up_Bv!V3=0,".",((s_Ir*s_F*s_I_f*s_T*(1-EXP(-up_RadSpec!AY3*s_t_v)))/(s_Y_v*up_RadSpec!AY3))),".")</f>
        <v>9.0143481925428208</v>
      </c>
      <c r="BS3" s="116">
        <f>IFERROR(IF(up_Bv!W3=0,".",((s_Ir*s_F*s_I_f*s_T*(1-EXP(-up_RadSpec!AY3*s_t_v)))/(s_Y_v*up_RadSpec!AY3))),".")</f>
        <v>9.0143481925428208</v>
      </c>
      <c r="BT3" s="116">
        <f>IFERROR(IF(up_Bv!X3=0,".",((s_Ir*s_F*s_I_f*s_T*(1-EXP(-up_RadSpec!AY3*s_t_v)))/(s_Y_v*up_RadSpec!AY3))),".")</f>
        <v>9.0143481925428208</v>
      </c>
      <c r="BU3" s="116">
        <f>IFERROR(IF(up_Bv!Y3=0,".",((s_Ir*s_F*s_I_f*s_T*(1-EXP(-up_RadSpec!AY3*s_t_v)))/(s_Y_v*up_RadSpec!AY3))),".")</f>
        <v>9.0143481925428208</v>
      </c>
      <c r="BV3" s="116">
        <f>IFERROR(IF(up_Bv!Z3=0,".",((s_Ir*s_F*s_I_f*s_T*(1-EXP(-up_RadSpec!AY3*s_t_v)))/(s_Y_v*up_RadSpec!AY3))),".")</f>
        <v>9.0143481925428208</v>
      </c>
    </row>
    <row r="4" spans="1:74" x14ac:dyDescent="0.25">
      <c r="A4" s="44" t="s">
        <v>14</v>
      </c>
      <c r="B4" s="42" t="s">
        <v>1074</v>
      </c>
      <c r="C4" s="116">
        <f>IFERROR(IF(up_Bv!C4=0,".",((s_Ir*s_F*up_Bv!C4*(1-EXP(-up_RadSpec!$AX4*s_t_b)))/(s_P*up_RadSpec!$AX4))),".")</f>
        <v>993.50362303732038</v>
      </c>
      <c r="D4" s="116">
        <f>IFERROR(IF(up_Bv!D4=0,".",((s_Ir*s_F*up_Bv!D4*(1-EXP(-up_RadSpec!AX4*s_t_b)))/(s_P*up_RadSpec!AX4))),".")</f>
        <v>993.50362303732038</v>
      </c>
      <c r="E4" s="116">
        <f>IFERROR(IF(up_Bv!E4=0,".",((s_Ir*s_F*up_Bv!E4*(1-EXP(-up_RadSpec!AX4*s_t_b)))/(s_P*up_RadSpec!AX4))),".")</f>
        <v>993.50362303732038</v>
      </c>
      <c r="F4" s="116">
        <f>IFERROR(IF(up_Bv!F4=0,".",((s_Ir*s_F*up_Bv!F4*(1-EXP(-up_RadSpec!AX4*s_t_b)))/(s_P*up_RadSpec!AX4))),".")</f>
        <v>993.50362303732038</v>
      </c>
      <c r="G4" s="116">
        <f>IFERROR(IF(up_Bv!G4=0,".",((s_Ir*s_F*up_Bv!G4*(1-EXP(-up_RadSpec!AX4*s_t_b)))/(s_P*up_RadSpec!AX4))),".")</f>
        <v>993.50362303732038</v>
      </c>
      <c r="H4" s="116">
        <f>IFERROR(IF(up_Bv!H4=0,".",((s_Ir*s_F*up_Bv!H4*(1-EXP(-up_RadSpec!AX4*s_t_b)))/(s_P*up_RadSpec!AX4))),".")</f>
        <v>993.50362303732038</v>
      </c>
      <c r="I4" s="116">
        <f>IFERROR(IF(up_Bv!I4=0,".",((s_Ir*s_F*up_Bv!I4*(1-EXP(-up_RadSpec!AX4*s_t_b)))/(s_P*up_RadSpec!AX4))),".")</f>
        <v>993.50362303732038</v>
      </c>
      <c r="J4" s="116">
        <f>IFERROR(IF(up_Bv!J4=0,".",((s_Ir*s_F*up_Bv!J4*(1-EXP(-up_RadSpec!AX4*s_t_b)))/(s_P*up_RadSpec!AX4))),".")</f>
        <v>993.50362303732038</v>
      </c>
      <c r="K4" s="116">
        <f>IFERROR(IF(up_Bv!K4=0,".",((s_Ir*s_F*up_Bv!K4*(1-EXP(-up_RadSpec!AX4*s_t_b)))/(s_P*up_RadSpec!AX4))),".")</f>
        <v>993.50362303732038</v>
      </c>
      <c r="L4" s="116">
        <f>IFERROR(IF(up_Bv!L4=0,".",((s_Ir*s_F*up_Bv!L4*(1-EXP(-up_RadSpec!AX4*s_t_b)))/(s_P*up_RadSpec!AX4))),".")</f>
        <v>993.50362303732038</v>
      </c>
      <c r="M4" s="116">
        <f>IFERROR(IF(up_Bv!M4=0,".",((s_Ir*s_F*up_Bv!M4*(1-EXP(-up_RadSpec!AX4*s_t_b)))/(s_P*up_RadSpec!AX4))),".")</f>
        <v>993.50362303732038</v>
      </c>
      <c r="N4" s="116">
        <f>IFERROR(IF(up_Bv!N4=0,".",((s_Ir*s_F*up_Bv!N4*(1-EXP(-up_RadSpec!AX4*s_t_b)))/(s_P*up_RadSpec!AX4))),".")</f>
        <v>993.50362303732038</v>
      </c>
      <c r="O4" s="116">
        <f>IFERROR(IF(up_Bv!O4=0,".",((s_Ir*s_F*up_Bv!O4*(1-EXP(-up_RadSpec!AX4*s_t_b)))/(s_P*up_RadSpec!AX4))),".")</f>
        <v>993.50362303732038</v>
      </c>
      <c r="P4" s="116">
        <f>IFERROR(IF(up_Bv!P4=0,".",((s_Ir*s_F*up_Bv!P4*(1-EXP(-up_RadSpec!AX4*s_t_b)))/(s_P*up_RadSpec!AX4))),".")</f>
        <v>993.50362303732038</v>
      </c>
      <c r="Q4" s="116">
        <f>IFERROR(IF(up_Bv!Q4=0,".",((s_Ir*s_F*up_Bv!Q4*(1-EXP(-up_RadSpec!AX4*s_t_b)))/(s_P*up_RadSpec!AX4))),".")</f>
        <v>993.50362303732038</v>
      </c>
      <c r="R4" s="116">
        <f>IFERROR(IF(up_Bv!R4=0,".",((s_Ir*s_F*up_Bv!R4*(1-EXP(-up_RadSpec!AX4*s_t_b)))/(s_P*up_RadSpec!AX4))),".")</f>
        <v>993.50362303732038</v>
      </c>
      <c r="S4" s="116">
        <f>IFERROR(IF(up_Bv!S4=0,".",((s_Ir*s_F*up_Bv!S4*(1-EXP(-up_RadSpec!AX4*s_t_b)))/(s_P*up_RadSpec!AX4))),".")</f>
        <v>993.50362303732038</v>
      </c>
      <c r="T4" s="116">
        <f>IFERROR(IF(up_Bv!T4=0,".",((s_Ir*s_F*up_Bv!T4*(1-EXP(-up_RadSpec!AX4*s_t_b)))/(s_P*up_RadSpec!AX4))),".")</f>
        <v>993.50362303732038</v>
      </c>
      <c r="U4" s="116">
        <f>IFERROR(IF(up_Bv!U4=0,".",((s_Ir*s_F*up_Bv!U4*(1-EXP(-up_RadSpec!AX4*s_t_b)))/(s_P*up_RadSpec!AX4))),".")</f>
        <v>993.50362303732038</v>
      </c>
      <c r="V4" s="116">
        <f>IFERROR(IF(up_Bv!V4=0,".",((s_Ir*s_F*up_Bv!V4*(1-EXP(-up_RadSpec!AX4*s_t_b)))/(s_P*up_RadSpec!AX4))),".")</f>
        <v>993.50362303732038</v>
      </c>
      <c r="W4" s="116">
        <f>IFERROR(IF(up_Bv!W4=0,".",((s_Ir*s_F*up_Bv!W4*(1-EXP(-up_RadSpec!AX4*s_t_b)))/(s_P*up_RadSpec!AX4))),".")</f>
        <v>993.50362303732038</v>
      </c>
      <c r="X4" s="116">
        <f>IFERROR(IF(up_Bv!X4=0,".",((s_Ir*s_F*up_Bv!X4*(1-EXP(-up_RadSpec!AX4*s_t_b)))/(s_P*up_RadSpec!AX4))),".")</f>
        <v>993.50362303732038</v>
      </c>
      <c r="Y4" s="116">
        <f>IFERROR(IF(up_Bv!Y4=0,".",((s_Ir*s_F*up_Bv!Y4*(1-EXP(-up_RadSpec!AX4*s_t_b)))/(s_P*up_RadSpec!AX4))),".")</f>
        <v>993.50362303732038</v>
      </c>
      <c r="Z4" s="116">
        <f>IFERROR(IF(up_Bv!Z4=0,".",((s_Ir*s_F*up_Bv!Z4*(1-EXP(-up_RadSpec!AX4*s_t_b)))/(s_P*up_RadSpec!AX4))),".")</f>
        <v>993.50362303732038</v>
      </c>
      <c r="AA4" s="116">
        <f>IFERROR(IF(up_Bv!C4=0,".",((s_Ir*s_F*s_MLF_apple*(1-EXP(-up_RadSpec!AX4*s_t_b)))/(s_P*up_RadSpec!AX4))),".")</f>
        <v>2.6824597822007652</v>
      </c>
      <c r="AB4" s="116">
        <f>IFERROR(IF(up_Bv!D4=0,".",((s_Ir*s_F*s_MLF_asparagus*(1-EXP(-up_RadSpec!AX4*s_t_b)))/(s_P*up_RadSpec!AX4))),".")</f>
        <v>2.6824597822007652</v>
      </c>
      <c r="AC4" s="116">
        <f>IFERROR(IF(up_Bv!E4=0,".",((s_Ir*s_F*s_MLF_beet*(1-EXP(-up_RadSpec!AX4*s_t_b)))/(s_P*up_RadSpec!AX4))),".")</f>
        <v>2.6824597822007652</v>
      </c>
      <c r="AD4" s="116">
        <f>IFERROR(IF(up_Bv!F4=0,".",((s_Ir*s_F*s_MLF_berries*(1-EXP(-up_RadSpec!AX4*s_t_b)))/(s_P*up_RadSpec!AX4))),".")</f>
        <v>2.6824597822007652</v>
      </c>
      <c r="AE4" s="116">
        <f>IFERROR(IF(up_Bv!G4=0,".",((s_Ir*s_F*s_MLF_broccoli*(1-EXP(-up_RadSpec!AX4*s_t_b)))/(s_P*up_RadSpec!AX4))),".")</f>
        <v>2.6824597822007652</v>
      </c>
      <c r="AF4" s="116">
        <f>IFERROR(IF(up_Bv!H4=0,".",((s_Ir*s_F*s_MLF_cabbage*(1-EXP(-up_RadSpec!AX4*s_t_b)))/(s_P*up_RadSpec!AX4))),".")</f>
        <v>2.6824597822007652</v>
      </c>
      <c r="AG4" s="116">
        <f>IFERROR(IF(up_Bv!I4=0,".",((s_Ir*s_F*s_MLF_carrot*(1-EXP(-up_RadSpec!AX4*s_t_b)))/(s_P*up_RadSpec!AX4))),".")</f>
        <v>2.6824597822007652</v>
      </c>
      <c r="AH4" s="116">
        <f>IFERROR(IF(up_Bv!J4=0,".",((s_Ir*s_F*s_MLF_citrus*(1-EXP(-up_RadSpec!AX4*s_t_b)))/(s_P*up_RadSpec!AX4))),".")</f>
        <v>2.6824597822007652</v>
      </c>
      <c r="AI4" s="116">
        <f>IFERROR(IF(up_Bv!K4=0,".",((s_Ir*s_F*s_MLF_corn*(1-EXP(-up_RadSpec!AX4*s_t_b)))/(s_P*up_RadSpec!AX4))),".")</f>
        <v>2.6824597822007652</v>
      </c>
      <c r="AJ4" s="116">
        <f>IFERROR(IF(up_Bv!L4=0,".",((s_Ir*s_F*s_MLF_cucumber*(1-EXP(-up_RadSpec!AX4*s_t_b)))/(s_P*up_RadSpec!AX4))),".")</f>
        <v>2.6824597822007652</v>
      </c>
      <c r="AK4" s="116">
        <f>IFERROR(IF(up_Bv!M4=0,".",((s_Ir*s_F*s_MLF_lettuce*(1-EXP(-up_RadSpec!AX4*s_t_b)))/(s_P*up_RadSpec!AX4))),".")</f>
        <v>2.6824597822007652</v>
      </c>
      <c r="AL4" s="116">
        <f>IFERROR(IF(up_Bv!N4=0,".",((s_Ir*s_F*s_MLF_lima_bean*(1-EXP(-up_RadSpec!AX4*s_t_b)))/(s_P*up_RadSpec!AX4))),".")</f>
        <v>2.6824597822007652</v>
      </c>
      <c r="AM4" s="116">
        <f>IFERROR(IF(up_Bv!O4=0,".",((s_Ir*s_F*s_MLF_okra*(1-EXP(-up_RadSpec!AX4*s_t_b)))/(s_P*up_RadSpec!AX4))),".")</f>
        <v>2.6824597822007652</v>
      </c>
      <c r="AN4" s="116">
        <f>IFERROR(IF(up_Bv!P4=0,".",((s_Ir*s_F*s_MLF_onion*(1-EXP(-up_RadSpec!AX4*s_t_b)))/(s_P*up_RadSpec!AX4))),".")</f>
        <v>2.6824597822007652</v>
      </c>
      <c r="AO4" s="116">
        <f>IFERROR(IF(up_Bv!Q4=0,".",((s_Ir*s_F*s_MLF_peach*(1-EXP(-up_RadSpec!AX4*s_t_b)))/(s_P*up_RadSpec!AX4))),".")</f>
        <v>2.6824597822007652</v>
      </c>
      <c r="AP4" s="116">
        <f>IFERROR(IF(up_Bv!R4=0,".",((s_Ir*s_F*s_MLF_pear*(1-EXP(-up_RadSpec!AX4*s_t_b)))/(s_P*up_RadSpec!AX4))),".")</f>
        <v>2.6824597822007652</v>
      </c>
      <c r="AQ4" s="116">
        <f>IFERROR(IF(up_Bv!S4=0,".",((s_Ir*s_F*s_MLF_peas*(1-EXP(-up_RadSpec!AX4*s_t_b)))/(s_P*up_RadSpec!AX4))),".")</f>
        <v>2.6824597822007652</v>
      </c>
      <c r="AR4" s="116">
        <f>IFERROR(IF(up_Bv!T4=0,".",((s_Ir*s_F*s_MLF_potato*(1-EXP(-up_RadSpec!AX4*s_t_b)))/(s_P*up_RadSpec!AX4))),".")</f>
        <v>2.6824597822007652</v>
      </c>
      <c r="AS4" s="116">
        <f>IFERROR(IF(up_Bv!U4=0,".",((s_Ir*s_F*s_MLF_pumpkin*(1-EXP(-up_RadSpec!AX4*s_t_b)))/(s_P*up_RadSpec!AX4))),".")</f>
        <v>2.6824597822007652</v>
      </c>
      <c r="AT4" s="116">
        <f>IFERROR(IF(up_Bv!V4=0,".",((s_Ir*s_F*s_MLF_snap_bean*(1-EXP(-up_RadSpec!AX4*s_t_b)))/(s_P*up_RadSpec!AX4))),".")</f>
        <v>2.6824597822007652</v>
      </c>
      <c r="AU4" s="116">
        <f>IFERROR(IF(up_Bv!W4=0,".",((s_Ir*s_F*s_MLF_strawberry*(1-EXP(-up_RadSpec!AX4*s_t_b)))/(s_P*up_RadSpec!AX4))),".")</f>
        <v>2.6824597822007652</v>
      </c>
      <c r="AV4" s="116">
        <f>IFERROR(IF(up_Bv!X4=0,".",((s_Ir*s_F*s_MLF_tomato*(1-EXP(-up_RadSpec!AX4*s_t_b)))/(s_P*up_RadSpec!AX4))),".")</f>
        <v>2.6824597822007652</v>
      </c>
      <c r="AW4" s="116">
        <f>IFERROR(IF(up_Bv!Y4=0,".",((s_Ir*s_F*s_MLF_rice*(1-EXP(-up_RadSpec!AX4*s_t_b)))/(s_P*up_RadSpec!AX4))),".")</f>
        <v>2.6824597822007652</v>
      </c>
      <c r="AX4" s="116">
        <f>IFERROR(IF(up_Bv!Z4=0,".",((s_Ir*s_F*s_MLF_cereal*(1-EXP(-up_RadSpec!AX4*s_t_b)))/(s_P*up_RadSpec!AX4))),".")</f>
        <v>2.6824597822007652</v>
      </c>
      <c r="AY4" s="116">
        <f>IFERROR(IF(up_Bv!C4=0,".",((s_Ir*s_F*s_I_f*s_T*(1-EXP(-up_RadSpec!AY4*s_t_v)))/(s_Y_v*up_RadSpec!AY4))),".")</f>
        <v>9.0143481925428208</v>
      </c>
      <c r="AZ4" s="116">
        <f>IFERROR(IF(up_Bv!D4=0,".",((s_Ir*s_F*s_I_f*s_T*(1-EXP(-up_RadSpec!AY4*s_t_v)))/(s_Y_v*up_RadSpec!AY4))),".")</f>
        <v>9.0143481925428208</v>
      </c>
      <c r="BA4" s="116">
        <f>IFERROR(IF(up_Bv!E4=0,".",((s_Ir*s_F*s_I_f*s_T*(1-EXP(-up_RadSpec!AY4*s_t_v)))/(s_Y_v*up_RadSpec!AY4))),".")</f>
        <v>9.0143481925428208</v>
      </c>
      <c r="BB4" s="116">
        <f>IFERROR(IF(up_Bv!F4=0,".",((s_Ir*s_F*s_I_f*s_T*(1-EXP(-up_RadSpec!AY4*s_t_v)))/(s_Y_v*up_RadSpec!AY4))),".")</f>
        <v>9.0143481925428208</v>
      </c>
      <c r="BC4" s="116">
        <f>IFERROR(IF(up_Bv!G4=0,".",((s_Ir*s_F*s_I_f*s_T*(1-EXP(-up_RadSpec!AY4*s_t_v)))/(s_Y_v*up_RadSpec!AY4))),".")</f>
        <v>9.0143481925428208</v>
      </c>
      <c r="BD4" s="116">
        <f>IFERROR(IF(up_Bv!H4=0,".",((s_Ir*s_F*s_I_f*s_T*(1-EXP(-up_RadSpec!AY4*s_t_v)))/(s_Y_v*up_RadSpec!AY4))),".")</f>
        <v>9.0143481925428208</v>
      </c>
      <c r="BE4" s="116">
        <f>IFERROR(IF(up_Bv!I4=0,".",((s_Ir*s_F*s_I_f*s_T*(1-EXP(-up_RadSpec!AY4*s_t_v)))/(s_Y_v*up_RadSpec!AY4))),".")</f>
        <v>9.0143481925428208</v>
      </c>
      <c r="BF4" s="116">
        <f>IFERROR(IF(up_Bv!J4=0,".",((s_Ir*s_F*s_I_f*s_T*(1-EXP(-up_RadSpec!AY4*s_t_v)))/(s_Y_v*up_RadSpec!AY4))),".")</f>
        <v>9.0143481925428208</v>
      </c>
      <c r="BG4" s="116">
        <f>IFERROR(IF(up_Bv!K4=0,".",((s_Ir*s_F*s_I_f*s_T*(1-EXP(-up_RadSpec!AY4*s_t_v)))/(s_Y_v*up_RadSpec!AY4))),".")</f>
        <v>9.0143481925428208</v>
      </c>
      <c r="BH4" s="116">
        <f>IFERROR(IF(up_Bv!L4=0,".",((s_Ir*s_F*s_I_f*s_T*(1-EXP(-up_RadSpec!AY4*s_t_v)))/(s_Y_v*up_RadSpec!AY4))),".")</f>
        <v>9.0143481925428208</v>
      </c>
      <c r="BI4" s="116">
        <f>IFERROR(IF(up_Bv!M4=0,".",((s_Ir*s_F*s_I_f*s_T*(1-EXP(-up_RadSpec!AY4*s_t_v)))/(s_Y_v*up_RadSpec!AY4))),".")</f>
        <v>9.0143481925428208</v>
      </c>
      <c r="BJ4" s="116">
        <f>IFERROR(IF(up_Bv!N4=0,".",((s_Ir*s_F*s_I_f*s_T*(1-EXP(-up_RadSpec!AY4*s_t_v)))/(s_Y_v*up_RadSpec!AY4))),".")</f>
        <v>9.0143481925428208</v>
      </c>
      <c r="BK4" s="116">
        <f>IFERROR(IF(up_Bv!O4=0,".",((s_Ir*s_F*s_I_f*s_T*(1-EXP(-up_RadSpec!AY4*s_t_v)))/(s_Y_v*up_RadSpec!AY4))),".")</f>
        <v>9.0143481925428208</v>
      </c>
      <c r="BL4" s="116">
        <f>IFERROR(IF(up_Bv!P4=0,".",((s_Ir*s_F*s_I_f*s_T*(1-EXP(-up_RadSpec!AY4*s_t_v)))/(s_Y_v*up_RadSpec!AY4))),".")</f>
        <v>9.0143481925428208</v>
      </c>
      <c r="BM4" s="116">
        <f>IFERROR(IF(up_Bv!Q4=0,".",((s_Ir*s_F*s_I_f*s_T*(1-EXP(-up_RadSpec!AY4*s_t_v)))/(s_Y_v*up_RadSpec!AY4))),".")</f>
        <v>9.0143481925428208</v>
      </c>
      <c r="BN4" s="116">
        <f>IFERROR(IF(up_Bv!R4=0,".",((s_Ir*s_F*s_I_f*s_T*(1-EXP(-up_RadSpec!AY4*s_t_v)))/(s_Y_v*up_RadSpec!AY4))),".")</f>
        <v>9.0143481925428208</v>
      </c>
      <c r="BO4" s="116">
        <f>IFERROR(IF(up_Bv!S4=0,".",((s_Ir*s_F*s_I_f*s_T*(1-EXP(-up_RadSpec!AY4*s_t_v)))/(s_Y_v*up_RadSpec!AY4))),".")</f>
        <v>9.0143481925428208</v>
      </c>
      <c r="BP4" s="116">
        <f>IFERROR(IF(up_Bv!T4=0,".",((s_Ir*s_F*s_I_f*s_T*(1-EXP(-up_RadSpec!AY4*s_t_v)))/(s_Y_v*up_RadSpec!AY4))),".")</f>
        <v>9.0143481925428208</v>
      </c>
      <c r="BQ4" s="116">
        <f>IFERROR(IF(up_Bv!U4=0,".",((s_Ir*s_F*s_I_f*s_T*(1-EXP(-up_RadSpec!AY4*s_t_v)))/(s_Y_v*up_RadSpec!AY4))),".")</f>
        <v>9.0143481925428208</v>
      </c>
      <c r="BR4" s="116">
        <f>IFERROR(IF(up_Bv!V4=0,".",((s_Ir*s_F*s_I_f*s_T*(1-EXP(-up_RadSpec!AY4*s_t_v)))/(s_Y_v*up_RadSpec!AY4))),".")</f>
        <v>9.0143481925428208</v>
      </c>
      <c r="BS4" s="116">
        <f>IFERROR(IF(up_Bv!W4=0,".",((s_Ir*s_F*s_I_f*s_T*(1-EXP(-up_RadSpec!AY4*s_t_v)))/(s_Y_v*up_RadSpec!AY4))),".")</f>
        <v>9.0143481925428208</v>
      </c>
      <c r="BT4" s="116">
        <f>IFERROR(IF(up_Bv!X4=0,".",((s_Ir*s_F*s_I_f*s_T*(1-EXP(-up_RadSpec!AY4*s_t_v)))/(s_Y_v*up_RadSpec!AY4))),".")</f>
        <v>9.0143481925428208</v>
      </c>
      <c r="BU4" s="116">
        <f>IFERROR(IF(up_Bv!Y4=0,".",((s_Ir*s_F*s_I_f*s_T*(1-EXP(-up_RadSpec!AY4*s_t_v)))/(s_Y_v*up_RadSpec!AY4))),".")</f>
        <v>9.0143481925428208</v>
      </c>
      <c r="BV4" s="116">
        <f>IFERROR(IF(up_Bv!Z4=0,".",((s_Ir*s_F*s_I_f*s_T*(1-EXP(-up_RadSpec!AY4*s_t_v)))/(s_Y_v*up_RadSpec!AY4))),".")</f>
        <v>9.0143481925428208</v>
      </c>
    </row>
    <row r="5" spans="1:74" x14ac:dyDescent="0.25">
      <c r="A5" s="44" t="s">
        <v>15</v>
      </c>
      <c r="B5" s="42" t="s">
        <v>1074</v>
      </c>
      <c r="C5" s="116">
        <f>IFERROR(IF(up_Bv!C5=0,".",((s_Ir*s_F*up_Bv!C5*(1-EXP(-up_RadSpec!$AX5*s_t_b)))/(s_P*up_RadSpec!$AX5))),".")</f>
        <v>993.50362303732038</v>
      </c>
      <c r="D5" s="116">
        <f>IFERROR(IF(up_Bv!D5=0,".",((s_Ir*s_F*up_Bv!D5*(1-EXP(-up_RadSpec!AX5*s_t_b)))/(s_P*up_RadSpec!AX5))),".")</f>
        <v>993.50362303732038</v>
      </c>
      <c r="E5" s="116">
        <f>IFERROR(IF(up_Bv!E5=0,".",((s_Ir*s_F*up_Bv!E5*(1-EXP(-up_RadSpec!AX5*s_t_b)))/(s_P*up_RadSpec!AX5))),".")</f>
        <v>993.50362303732038</v>
      </c>
      <c r="F5" s="116">
        <f>IFERROR(IF(up_Bv!F5=0,".",((s_Ir*s_F*up_Bv!F5*(1-EXP(-up_RadSpec!AX5*s_t_b)))/(s_P*up_RadSpec!AX5))),".")</f>
        <v>993.50362303732038</v>
      </c>
      <c r="G5" s="116">
        <f>IFERROR(IF(up_Bv!G5=0,".",((s_Ir*s_F*up_Bv!G5*(1-EXP(-up_RadSpec!AX5*s_t_b)))/(s_P*up_RadSpec!AX5))),".")</f>
        <v>993.50362303732038</v>
      </c>
      <c r="H5" s="116">
        <f>IFERROR(IF(up_Bv!H5=0,".",((s_Ir*s_F*up_Bv!H5*(1-EXP(-up_RadSpec!AX5*s_t_b)))/(s_P*up_RadSpec!AX5))),".")</f>
        <v>993.50362303732038</v>
      </c>
      <c r="I5" s="116">
        <f>IFERROR(IF(up_Bv!I5=0,".",((s_Ir*s_F*up_Bv!I5*(1-EXP(-up_RadSpec!AX5*s_t_b)))/(s_P*up_RadSpec!AX5))),".")</f>
        <v>993.50362303732038</v>
      </c>
      <c r="J5" s="116">
        <f>IFERROR(IF(up_Bv!J5=0,".",((s_Ir*s_F*up_Bv!J5*(1-EXP(-up_RadSpec!AX5*s_t_b)))/(s_P*up_RadSpec!AX5))),".")</f>
        <v>993.50362303732038</v>
      </c>
      <c r="K5" s="116">
        <f>IFERROR(IF(up_Bv!K5=0,".",((s_Ir*s_F*up_Bv!K5*(1-EXP(-up_RadSpec!AX5*s_t_b)))/(s_P*up_RadSpec!AX5))),".")</f>
        <v>993.50362303732038</v>
      </c>
      <c r="L5" s="116">
        <f>IFERROR(IF(up_Bv!L5=0,".",((s_Ir*s_F*up_Bv!L5*(1-EXP(-up_RadSpec!AX5*s_t_b)))/(s_P*up_RadSpec!AX5))),".")</f>
        <v>993.50362303732038</v>
      </c>
      <c r="M5" s="116">
        <f>IFERROR(IF(up_Bv!M5=0,".",((s_Ir*s_F*up_Bv!M5*(1-EXP(-up_RadSpec!AX5*s_t_b)))/(s_P*up_RadSpec!AX5))),".")</f>
        <v>993.50362303732038</v>
      </c>
      <c r="N5" s="116">
        <f>IFERROR(IF(up_Bv!N5=0,".",((s_Ir*s_F*up_Bv!N5*(1-EXP(-up_RadSpec!AX5*s_t_b)))/(s_P*up_RadSpec!AX5))),".")</f>
        <v>993.50362303732038</v>
      </c>
      <c r="O5" s="116">
        <f>IFERROR(IF(up_Bv!O5=0,".",((s_Ir*s_F*up_Bv!O5*(1-EXP(-up_RadSpec!AX5*s_t_b)))/(s_P*up_RadSpec!AX5))),".")</f>
        <v>993.50362303732038</v>
      </c>
      <c r="P5" s="116">
        <f>IFERROR(IF(up_Bv!P5=0,".",((s_Ir*s_F*up_Bv!P5*(1-EXP(-up_RadSpec!AX5*s_t_b)))/(s_P*up_RadSpec!AX5))),".")</f>
        <v>993.50362303732038</v>
      </c>
      <c r="Q5" s="116">
        <f>IFERROR(IF(up_Bv!Q5=0,".",((s_Ir*s_F*up_Bv!Q5*(1-EXP(-up_RadSpec!AX5*s_t_b)))/(s_P*up_RadSpec!AX5))),".")</f>
        <v>993.50362303732038</v>
      </c>
      <c r="R5" s="116">
        <f>IFERROR(IF(up_Bv!R5=0,".",((s_Ir*s_F*up_Bv!R5*(1-EXP(-up_RadSpec!AX5*s_t_b)))/(s_P*up_RadSpec!AX5))),".")</f>
        <v>993.50362303732038</v>
      </c>
      <c r="S5" s="116">
        <f>IFERROR(IF(up_Bv!S5=0,".",((s_Ir*s_F*up_Bv!S5*(1-EXP(-up_RadSpec!AX5*s_t_b)))/(s_P*up_RadSpec!AX5))),".")</f>
        <v>993.50362303732038</v>
      </c>
      <c r="T5" s="116">
        <f>IFERROR(IF(up_Bv!T5=0,".",((s_Ir*s_F*up_Bv!T5*(1-EXP(-up_RadSpec!AX5*s_t_b)))/(s_P*up_RadSpec!AX5))),".")</f>
        <v>993.50362303732038</v>
      </c>
      <c r="U5" s="116">
        <f>IFERROR(IF(up_Bv!U5=0,".",((s_Ir*s_F*up_Bv!U5*(1-EXP(-up_RadSpec!AX5*s_t_b)))/(s_P*up_RadSpec!AX5))),".")</f>
        <v>993.50362303732038</v>
      </c>
      <c r="V5" s="116">
        <f>IFERROR(IF(up_Bv!V5=0,".",((s_Ir*s_F*up_Bv!V5*(1-EXP(-up_RadSpec!AX5*s_t_b)))/(s_P*up_RadSpec!AX5))),".")</f>
        <v>993.50362303732038</v>
      </c>
      <c r="W5" s="116">
        <f>IFERROR(IF(up_Bv!W5=0,".",((s_Ir*s_F*up_Bv!W5*(1-EXP(-up_RadSpec!AX5*s_t_b)))/(s_P*up_RadSpec!AX5))),".")</f>
        <v>993.50362303732038</v>
      </c>
      <c r="X5" s="116">
        <f>IFERROR(IF(up_Bv!X5=0,".",((s_Ir*s_F*up_Bv!X5*(1-EXP(-up_RadSpec!AX5*s_t_b)))/(s_P*up_RadSpec!AX5))),".")</f>
        <v>993.50362303732038</v>
      </c>
      <c r="Y5" s="116">
        <f>IFERROR(IF(up_Bv!Y5=0,".",((s_Ir*s_F*up_Bv!Y5*(1-EXP(-up_RadSpec!AX5*s_t_b)))/(s_P*up_RadSpec!AX5))),".")</f>
        <v>993.50362303732038</v>
      </c>
      <c r="Z5" s="116">
        <f>IFERROR(IF(up_Bv!Z5=0,".",((s_Ir*s_F*up_Bv!Z5*(1-EXP(-up_RadSpec!AX5*s_t_b)))/(s_P*up_RadSpec!AX5))),".")</f>
        <v>993.50362303732038</v>
      </c>
      <c r="AA5" s="116">
        <f>IFERROR(IF(up_Bv!C5=0,".",((s_Ir*s_F*s_MLF_apple*(1-EXP(-up_RadSpec!AX5*s_t_b)))/(s_P*up_RadSpec!AX5))),".")</f>
        <v>2.6824597822007652</v>
      </c>
      <c r="AB5" s="116">
        <f>IFERROR(IF(up_Bv!D5=0,".",((s_Ir*s_F*s_MLF_asparagus*(1-EXP(-up_RadSpec!AX5*s_t_b)))/(s_P*up_RadSpec!AX5))),".")</f>
        <v>2.6824597822007652</v>
      </c>
      <c r="AC5" s="116">
        <f>IFERROR(IF(up_Bv!E5=0,".",((s_Ir*s_F*s_MLF_beet*(1-EXP(-up_RadSpec!AX5*s_t_b)))/(s_P*up_RadSpec!AX5))),".")</f>
        <v>2.6824597822007652</v>
      </c>
      <c r="AD5" s="116">
        <f>IFERROR(IF(up_Bv!F5=0,".",((s_Ir*s_F*s_MLF_berries*(1-EXP(-up_RadSpec!AX5*s_t_b)))/(s_P*up_RadSpec!AX5))),".")</f>
        <v>2.6824597822007652</v>
      </c>
      <c r="AE5" s="116">
        <f>IFERROR(IF(up_Bv!G5=0,".",((s_Ir*s_F*s_MLF_broccoli*(1-EXP(-up_RadSpec!AX5*s_t_b)))/(s_P*up_RadSpec!AX5))),".")</f>
        <v>2.6824597822007652</v>
      </c>
      <c r="AF5" s="116">
        <f>IFERROR(IF(up_Bv!H5=0,".",((s_Ir*s_F*s_MLF_cabbage*(1-EXP(-up_RadSpec!AX5*s_t_b)))/(s_P*up_RadSpec!AX5))),".")</f>
        <v>2.6824597822007652</v>
      </c>
      <c r="AG5" s="116">
        <f>IFERROR(IF(up_Bv!I5=0,".",((s_Ir*s_F*s_MLF_carrot*(1-EXP(-up_RadSpec!AX5*s_t_b)))/(s_P*up_RadSpec!AX5))),".")</f>
        <v>2.6824597822007652</v>
      </c>
      <c r="AH5" s="116">
        <f>IFERROR(IF(up_Bv!J5=0,".",((s_Ir*s_F*s_MLF_citrus*(1-EXP(-up_RadSpec!AX5*s_t_b)))/(s_P*up_RadSpec!AX5))),".")</f>
        <v>2.6824597822007652</v>
      </c>
      <c r="AI5" s="116">
        <f>IFERROR(IF(up_Bv!K5=0,".",((s_Ir*s_F*s_MLF_corn*(1-EXP(-up_RadSpec!AX5*s_t_b)))/(s_P*up_RadSpec!AX5))),".")</f>
        <v>2.6824597822007652</v>
      </c>
      <c r="AJ5" s="116">
        <f>IFERROR(IF(up_Bv!L5=0,".",((s_Ir*s_F*s_MLF_cucumber*(1-EXP(-up_RadSpec!AX5*s_t_b)))/(s_P*up_RadSpec!AX5))),".")</f>
        <v>2.6824597822007652</v>
      </c>
      <c r="AK5" s="116">
        <f>IFERROR(IF(up_Bv!M5=0,".",((s_Ir*s_F*s_MLF_lettuce*(1-EXP(-up_RadSpec!AX5*s_t_b)))/(s_P*up_RadSpec!AX5))),".")</f>
        <v>2.6824597822007652</v>
      </c>
      <c r="AL5" s="116">
        <f>IFERROR(IF(up_Bv!N5=0,".",((s_Ir*s_F*s_MLF_lima_bean*(1-EXP(-up_RadSpec!AX5*s_t_b)))/(s_P*up_RadSpec!AX5))),".")</f>
        <v>2.6824597822007652</v>
      </c>
      <c r="AM5" s="116">
        <f>IFERROR(IF(up_Bv!O5=0,".",((s_Ir*s_F*s_MLF_okra*(1-EXP(-up_RadSpec!AX5*s_t_b)))/(s_P*up_RadSpec!AX5))),".")</f>
        <v>2.6824597822007652</v>
      </c>
      <c r="AN5" s="116">
        <f>IFERROR(IF(up_Bv!P5=0,".",((s_Ir*s_F*s_MLF_onion*(1-EXP(-up_RadSpec!AX5*s_t_b)))/(s_P*up_RadSpec!AX5))),".")</f>
        <v>2.6824597822007652</v>
      </c>
      <c r="AO5" s="116">
        <f>IFERROR(IF(up_Bv!Q5=0,".",((s_Ir*s_F*s_MLF_peach*(1-EXP(-up_RadSpec!AX5*s_t_b)))/(s_P*up_RadSpec!AX5))),".")</f>
        <v>2.6824597822007652</v>
      </c>
      <c r="AP5" s="116">
        <f>IFERROR(IF(up_Bv!R5=0,".",((s_Ir*s_F*s_MLF_pear*(1-EXP(-up_RadSpec!AX5*s_t_b)))/(s_P*up_RadSpec!AX5))),".")</f>
        <v>2.6824597822007652</v>
      </c>
      <c r="AQ5" s="116">
        <f>IFERROR(IF(up_Bv!S5=0,".",((s_Ir*s_F*s_MLF_peas*(1-EXP(-up_RadSpec!AX5*s_t_b)))/(s_P*up_RadSpec!AX5))),".")</f>
        <v>2.6824597822007652</v>
      </c>
      <c r="AR5" s="116">
        <f>IFERROR(IF(up_Bv!T5=0,".",((s_Ir*s_F*s_MLF_potato*(1-EXP(-up_RadSpec!AX5*s_t_b)))/(s_P*up_RadSpec!AX5))),".")</f>
        <v>2.6824597822007652</v>
      </c>
      <c r="AS5" s="116">
        <f>IFERROR(IF(up_Bv!U5=0,".",((s_Ir*s_F*s_MLF_pumpkin*(1-EXP(-up_RadSpec!AX5*s_t_b)))/(s_P*up_RadSpec!AX5))),".")</f>
        <v>2.6824597822007652</v>
      </c>
      <c r="AT5" s="116">
        <f>IFERROR(IF(up_Bv!V5=0,".",((s_Ir*s_F*s_MLF_snap_bean*(1-EXP(-up_RadSpec!AX5*s_t_b)))/(s_P*up_RadSpec!AX5))),".")</f>
        <v>2.6824597822007652</v>
      </c>
      <c r="AU5" s="116">
        <f>IFERROR(IF(up_Bv!W5=0,".",((s_Ir*s_F*s_MLF_strawberry*(1-EXP(-up_RadSpec!AX5*s_t_b)))/(s_P*up_RadSpec!AX5))),".")</f>
        <v>2.6824597822007652</v>
      </c>
      <c r="AV5" s="116">
        <f>IFERROR(IF(up_Bv!X5=0,".",((s_Ir*s_F*s_MLF_tomato*(1-EXP(-up_RadSpec!AX5*s_t_b)))/(s_P*up_RadSpec!AX5))),".")</f>
        <v>2.6824597822007652</v>
      </c>
      <c r="AW5" s="116">
        <f>IFERROR(IF(up_Bv!Y5=0,".",((s_Ir*s_F*s_MLF_rice*(1-EXP(-up_RadSpec!AX5*s_t_b)))/(s_P*up_RadSpec!AX5))),".")</f>
        <v>2.6824597822007652</v>
      </c>
      <c r="AX5" s="116">
        <f>IFERROR(IF(up_Bv!Z5=0,".",((s_Ir*s_F*s_MLF_cereal*(1-EXP(-up_RadSpec!AX5*s_t_b)))/(s_P*up_RadSpec!AX5))),".")</f>
        <v>2.6824597822007652</v>
      </c>
      <c r="AY5" s="116">
        <f>IFERROR(IF(up_Bv!C5=0,".",((s_Ir*s_F*s_I_f*s_T*(1-EXP(-up_RadSpec!AY5*s_t_v)))/(s_Y_v*up_RadSpec!AY5))),".")</f>
        <v>9.0143481925428208</v>
      </c>
      <c r="AZ5" s="116">
        <f>IFERROR(IF(up_Bv!D5=0,".",((s_Ir*s_F*s_I_f*s_T*(1-EXP(-up_RadSpec!AY5*s_t_v)))/(s_Y_v*up_RadSpec!AY5))),".")</f>
        <v>9.0143481925428208</v>
      </c>
      <c r="BA5" s="116">
        <f>IFERROR(IF(up_Bv!E5=0,".",((s_Ir*s_F*s_I_f*s_T*(1-EXP(-up_RadSpec!AY5*s_t_v)))/(s_Y_v*up_RadSpec!AY5))),".")</f>
        <v>9.0143481925428208</v>
      </c>
      <c r="BB5" s="116">
        <f>IFERROR(IF(up_Bv!F5=0,".",((s_Ir*s_F*s_I_f*s_T*(1-EXP(-up_RadSpec!AY5*s_t_v)))/(s_Y_v*up_RadSpec!AY5))),".")</f>
        <v>9.0143481925428208</v>
      </c>
      <c r="BC5" s="116">
        <f>IFERROR(IF(up_Bv!G5=0,".",((s_Ir*s_F*s_I_f*s_T*(1-EXP(-up_RadSpec!AY5*s_t_v)))/(s_Y_v*up_RadSpec!AY5))),".")</f>
        <v>9.0143481925428208</v>
      </c>
      <c r="BD5" s="116">
        <f>IFERROR(IF(up_Bv!H5=0,".",((s_Ir*s_F*s_I_f*s_T*(1-EXP(-up_RadSpec!AY5*s_t_v)))/(s_Y_v*up_RadSpec!AY5))),".")</f>
        <v>9.0143481925428208</v>
      </c>
      <c r="BE5" s="116">
        <f>IFERROR(IF(up_Bv!I5=0,".",((s_Ir*s_F*s_I_f*s_T*(1-EXP(-up_RadSpec!AY5*s_t_v)))/(s_Y_v*up_RadSpec!AY5))),".")</f>
        <v>9.0143481925428208</v>
      </c>
      <c r="BF5" s="116">
        <f>IFERROR(IF(up_Bv!J5=0,".",((s_Ir*s_F*s_I_f*s_T*(1-EXP(-up_RadSpec!AY5*s_t_v)))/(s_Y_v*up_RadSpec!AY5))),".")</f>
        <v>9.0143481925428208</v>
      </c>
      <c r="BG5" s="116">
        <f>IFERROR(IF(up_Bv!K5=0,".",((s_Ir*s_F*s_I_f*s_T*(1-EXP(-up_RadSpec!AY5*s_t_v)))/(s_Y_v*up_RadSpec!AY5))),".")</f>
        <v>9.0143481925428208</v>
      </c>
      <c r="BH5" s="116">
        <f>IFERROR(IF(up_Bv!L5=0,".",((s_Ir*s_F*s_I_f*s_T*(1-EXP(-up_RadSpec!AY5*s_t_v)))/(s_Y_v*up_RadSpec!AY5))),".")</f>
        <v>9.0143481925428208</v>
      </c>
      <c r="BI5" s="116">
        <f>IFERROR(IF(up_Bv!M5=0,".",((s_Ir*s_F*s_I_f*s_T*(1-EXP(-up_RadSpec!AY5*s_t_v)))/(s_Y_v*up_RadSpec!AY5))),".")</f>
        <v>9.0143481925428208</v>
      </c>
      <c r="BJ5" s="116">
        <f>IFERROR(IF(up_Bv!N5=0,".",((s_Ir*s_F*s_I_f*s_T*(1-EXP(-up_RadSpec!AY5*s_t_v)))/(s_Y_v*up_RadSpec!AY5))),".")</f>
        <v>9.0143481925428208</v>
      </c>
      <c r="BK5" s="116">
        <f>IFERROR(IF(up_Bv!O5=0,".",((s_Ir*s_F*s_I_f*s_T*(1-EXP(-up_RadSpec!AY5*s_t_v)))/(s_Y_v*up_RadSpec!AY5))),".")</f>
        <v>9.0143481925428208</v>
      </c>
      <c r="BL5" s="116">
        <f>IFERROR(IF(up_Bv!P5=0,".",((s_Ir*s_F*s_I_f*s_T*(1-EXP(-up_RadSpec!AY5*s_t_v)))/(s_Y_v*up_RadSpec!AY5))),".")</f>
        <v>9.0143481925428208</v>
      </c>
      <c r="BM5" s="116">
        <f>IFERROR(IF(up_Bv!Q5=0,".",((s_Ir*s_F*s_I_f*s_T*(1-EXP(-up_RadSpec!AY5*s_t_v)))/(s_Y_v*up_RadSpec!AY5))),".")</f>
        <v>9.0143481925428208</v>
      </c>
      <c r="BN5" s="116">
        <f>IFERROR(IF(up_Bv!R5=0,".",((s_Ir*s_F*s_I_f*s_T*(1-EXP(-up_RadSpec!AY5*s_t_v)))/(s_Y_v*up_RadSpec!AY5))),".")</f>
        <v>9.0143481925428208</v>
      </c>
      <c r="BO5" s="116">
        <f>IFERROR(IF(up_Bv!S5=0,".",((s_Ir*s_F*s_I_f*s_T*(1-EXP(-up_RadSpec!AY5*s_t_v)))/(s_Y_v*up_RadSpec!AY5))),".")</f>
        <v>9.0143481925428208</v>
      </c>
      <c r="BP5" s="116">
        <f>IFERROR(IF(up_Bv!T5=0,".",((s_Ir*s_F*s_I_f*s_T*(1-EXP(-up_RadSpec!AY5*s_t_v)))/(s_Y_v*up_RadSpec!AY5))),".")</f>
        <v>9.0143481925428208</v>
      </c>
      <c r="BQ5" s="116">
        <f>IFERROR(IF(up_Bv!U5=0,".",((s_Ir*s_F*s_I_f*s_T*(1-EXP(-up_RadSpec!AY5*s_t_v)))/(s_Y_v*up_RadSpec!AY5))),".")</f>
        <v>9.0143481925428208</v>
      </c>
      <c r="BR5" s="116">
        <f>IFERROR(IF(up_Bv!V5=0,".",((s_Ir*s_F*s_I_f*s_T*(1-EXP(-up_RadSpec!AY5*s_t_v)))/(s_Y_v*up_RadSpec!AY5))),".")</f>
        <v>9.0143481925428208</v>
      </c>
      <c r="BS5" s="116">
        <f>IFERROR(IF(up_Bv!W5=0,".",((s_Ir*s_F*s_I_f*s_T*(1-EXP(-up_RadSpec!AY5*s_t_v)))/(s_Y_v*up_RadSpec!AY5))),".")</f>
        <v>9.0143481925428208</v>
      </c>
      <c r="BT5" s="116">
        <f>IFERROR(IF(up_Bv!X5=0,".",((s_Ir*s_F*s_I_f*s_T*(1-EXP(-up_RadSpec!AY5*s_t_v)))/(s_Y_v*up_RadSpec!AY5))),".")</f>
        <v>9.0143481925428208</v>
      </c>
      <c r="BU5" s="116">
        <f>IFERROR(IF(up_Bv!Y5=0,".",((s_Ir*s_F*s_I_f*s_T*(1-EXP(-up_RadSpec!AY5*s_t_v)))/(s_Y_v*up_RadSpec!AY5))),".")</f>
        <v>9.0143481925428208</v>
      </c>
      <c r="BV5" s="116">
        <f>IFERROR(IF(up_Bv!Z5=0,".",((s_Ir*s_F*s_I_f*s_T*(1-EXP(-up_RadSpec!AY5*s_t_v)))/(s_Y_v*up_RadSpec!AY5))),".")</f>
        <v>9.0143481925428208</v>
      </c>
    </row>
    <row r="6" spans="1:74" x14ac:dyDescent="0.25">
      <c r="A6" s="44" t="s">
        <v>16</v>
      </c>
      <c r="B6" s="42" t="s">
        <v>1074</v>
      </c>
      <c r="C6" s="116">
        <f>IFERROR(IF(up_Bv!C6=0,".",((s_Ir*s_F*up_Bv!C6*(1-EXP(-up_RadSpec!$AX6*s_t_b)))/(s_P*up_RadSpec!$AX6))),".")</f>
        <v>993.50362303732038</v>
      </c>
      <c r="D6" s="116">
        <f>IFERROR(IF(up_Bv!D6=0,".",((s_Ir*s_F*up_Bv!D6*(1-EXP(-up_RadSpec!AX6*s_t_b)))/(s_P*up_RadSpec!AX6))),".")</f>
        <v>993.50362303732038</v>
      </c>
      <c r="E6" s="116">
        <f>IFERROR(IF(up_Bv!E6=0,".",((s_Ir*s_F*up_Bv!E6*(1-EXP(-up_RadSpec!AX6*s_t_b)))/(s_P*up_RadSpec!AX6))),".")</f>
        <v>993.50362303732038</v>
      </c>
      <c r="F6" s="116">
        <f>IFERROR(IF(up_Bv!F6=0,".",((s_Ir*s_F*up_Bv!F6*(1-EXP(-up_RadSpec!AX6*s_t_b)))/(s_P*up_RadSpec!AX6))),".")</f>
        <v>993.50362303732038</v>
      </c>
      <c r="G6" s="116">
        <f>IFERROR(IF(up_Bv!G6=0,".",((s_Ir*s_F*up_Bv!G6*(1-EXP(-up_RadSpec!AX6*s_t_b)))/(s_P*up_RadSpec!AX6))),".")</f>
        <v>993.50362303732038</v>
      </c>
      <c r="H6" s="116">
        <f>IFERROR(IF(up_Bv!H6=0,".",((s_Ir*s_F*up_Bv!H6*(1-EXP(-up_RadSpec!AX6*s_t_b)))/(s_P*up_RadSpec!AX6))),".")</f>
        <v>993.50362303732038</v>
      </c>
      <c r="I6" s="116">
        <f>IFERROR(IF(up_Bv!I6=0,".",((s_Ir*s_F*up_Bv!I6*(1-EXP(-up_RadSpec!AX6*s_t_b)))/(s_P*up_RadSpec!AX6))),".")</f>
        <v>993.50362303732038</v>
      </c>
      <c r="J6" s="116">
        <f>IFERROR(IF(up_Bv!J6=0,".",((s_Ir*s_F*up_Bv!J6*(1-EXP(-up_RadSpec!AX6*s_t_b)))/(s_P*up_RadSpec!AX6))),".")</f>
        <v>993.50362303732038</v>
      </c>
      <c r="K6" s="116">
        <f>IFERROR(IF(up_Bv!K6=0,".",((s_Ir*s_F*up_Bv!K6*(1-EXP(-up_RadSpec!AX6*s_t_b)))/(s_P*up_RadSpec!AX6))),".")</f>
        <v>993.50362303732038</v>
      </c>
      <c r="L6" s="116">
        <f>IFERROR(IF(up_Bv!L6=0,".",((s_Ir*s_F*up_Bv!L6*(1-EXP(-up_RadSpec!AX6*s_t_b)))/(s_P*up_RadSpec!AX6))),".")</f>
        <v>993.50362303732038</v>
      </c>
      <c r="M6" s="116">
        <f>IFERROR(IF(up_Bv!M6=0,".",((s_Ir*s_F*up_Bv!M6*(1-EXP(-up_RadSpec!AX6*s_t_b)))/(s_P*up_RadSpec!AX6))),".")</f>
        <v>993.50362303732038</v>
      </c>
      <c r="N6" s="116">
        <f>IFERROR(IF(up_Bv!N6=0,".",((s_Ir*s_F*up_Bv!N6*(1-EXP(-up_RadSpec!AX6*s_t_b)))/(s_P*up_RadSpec!AX6))),".")</f>
        <v>993.50362303732038</v>
      </c>
      <c r="O6" s="116">
        <f>IFERROR(IF(up_Bv!O6=0,".",((s_Ir*s_F*up_Bv!O6*(1-EXP(-up_RadSpec!AX6*s_t_b)))/(s_P*up_RadSpec!AX6))),".")</f>
        <v>993.50362303732038</v>
      </c>
      <c r="P6" s="116">
        <f>IFERROR(IF(up_Bv!P6=0,".",((s_Ir*s_F*up_Bv!P6*(1-EXP(-up_RadSpec!AX6*s_t_b)))/(s_P*up_RadSpec!AX6))),".")</f>
        <v>993.50362303732038</v>
      </c>
      <c r="Q6" s="116">
        <f>IFERROR(IF(up_Bv!Q6=0,".",((s_Ir*s_F*up_Bv!Q6*(1-EXP(-up_RadSpec!AX6*s_t_b)))/(s_P*up_RadSpec!AX6))),".")</f>
        <v>993.50362303732038</v>
      </c>
      <c r="R6" s="116">
        <f>IFERROR(IF(up_Bv!R6=0,".",((s_Ir*s_F*up_Bv!R6*(1-EXP(-up_RadSpec!AX6*s_t_b)))/(s_P*up_RadSpec!AX6))),".")</f>
        <v>993.50362303732038</v>
      </c>
      <c r="S6" s="116">
        <f>IFERROR(IF(up_Bv!S6=0,".",((s_Ir*s_F*up_Bv!S6*(1-EXP(-up_RadSpec!AX6*s_t_b)))/(s_P*up_RadSpec!AX6))),".")</f>
        <v>993.50362303732038</v>
      </c>
      <c r="T6" s="116">
        <f>IFERROR(IF(up_Bv!T6=0,".",((s_Ir*s_F*up_Bv!T6*(1-EXP(-up_RadSpec!AX6*s_t_b)))/(s_P*up_RadSpec!AX6))),".")</f>
        <v>993.50362303732038</v>
      </c>
      <c r="U6" s="116">
        <f>IFERROR(IF(up_Bv!U6=0,".",((s_Ir*s_F*up_Bv!U6*(1-EXP(-up_RadSpec!AX6*s_t_b)))/(s_P*up_RadSpec!AX6))),".")</f>
        <v>993.50362303732038</v>
      </c>
      <c r="V6" s="116">
        <f>IFERROR(IF(up_Bv!V6=0,".",((s_Ir*s_F*up_Bv!V6*(1-EXP(-up_RadSpec!AX6*s_t_b)))/(s_P*up_RadSpec!AX6))),".")</f>
        <v>993.50362303732038</v>
      </c>
      <c r="W6" s="116">
        <f>IFERROR(IF(up_Bv!W6=0,".",((s_Ir*s_F*up_Bv!W6*(1-EXP(-up_RadSpec!AX6*s_t_b)))/(s_P*up_RadSpec!AX6))),".")</f>
        <v>993.50362303732038</v>
      </c>
      <c r="X6" s="116">
        <f>IFERROR(IF(up_Bv!X6=0,".",((s_Ir*s_F*up_Bv!X6*(1-EXP(-up_RadSpec!AX6*s_t_b)))/(s_P*up_RadSpec!AX6))),".")</f>
        <v>993.50362303732038</v>
      </c>
      <c r="Y6" s="116">
        <f>IFERROR(IF(up_Bv!Y6=0,".",((s_Ir*s_F*up_Bv!Y6*(1-EXP(-up_RadSpec!AX6*s_t_b)))/(s_P*up_RadSpec!AX6))),".")</f>
        <v>993.50362303732038</v>
      </c>
      <c r="Z6" s="116">
        <f>IFERROR(IF(up_Bv!Z6=0,".",((s_Ir*s_F*up_Bv!Z6*(1-EXP(-up_RadSpec!AX6*s_t_b)))/(s_P*up_RadSpec!AX6))),".")</f>
        <v>993.50362303732038</v>
      </c>
      <c r="AA6" s="116">
        <f>IFERROR(IF(up_Bv!C6=0,".",((s_Ir*s_F*s_MLF_apple*(1-EXP(-up_RadSpec!AX6*s_t_b)))/(s_P*up_RadSpec!AX6))),".")</f>
        <v>2.6824597822007652</v>
      </c>
      <c r="AB6" s="116">
        <f>IFERROR(IF(up_Bv!D6=0,".",((s_Ir*s_F*s_MLF_asparagus*(1-EXP(-up_RadSpec!AX6*s_t_b)))/(s_P*up_RadSpec!AX6))),".")</f>
        <v>2.6824597822007652</v>
      </c>
      <c r="AC6" s="116">
        <f>IFERROR(IF(up_Bv!E6=0,".",((s_Ir*s_F*s_MLF_beet*(1-EXP(-up_RadSpec!AX6*s_t_b)))/(s_P*up_RadSpec!AX6))),".")</f>
        <v>2.6824597822007652</v>
      </c>
      <c r="AD6" s="116">
        <f>IFERROR(IF(up_Bv!F6=0,".",((s_Ir*s_F*s_MLF_berries*(1-EXP(-up_RadSpec!AX6*s_t_b)))/(s_P*up_RadSpec!AX6))),".")</f>
        <v>2.6824597822007652</v>
      </c>
      <c r="AE6" s="116">
        <f>IFERROR(IF(up_Bv!G6=0,".",((s_Ir*s_F*s_MLF_broccoli*(1-EXP(-up_RadSpec!AX6*s_t_b)))/(s_P*up_RadSpec!AX6))),".")</f>
        <v>2.6824597822007652</v>
      </c>
      <c r="AF6" s="116">
        <f>IFERROR(IF(up_Bv!H6=0,".",((s_Ir*s_F*s_MLF_cabbage*(1-EXP(-up_RadSpec!AX6*s_t_b)))/(s_P*up_RadSpec!AX6))),".")</f>
        <v>2.6824597822007652</v>
      </c>
      <c r="AG6" s="116">
        <f>IFERROR(IF(up_Bv!I6=0,".",((s_Ir*s_F*s_MLF_carrot*(1-EXP(-up_RadSpec!AX6*s_t_b)))/(s_P*up_RadSpec!AX6))),".")</f>
        <v>2.6824597822007652</v>
      </c>
      <c r="AH6" s="116">
        <f>IFERROR(IF(up_Bv!J6=0,".",((s_Ir*s_F*s_MLF_citrus*(1-EXP(-up_RadSpec!AX6*s_t_b)))/(s_P*up_RadSpec!AX6))),".")</f>
        <v>2.6824597822007652</v>
      </c>
      <c r="AI6" s="116">
        <f>IFERROR(IF(up_Bv!K6=0,".",((s_Ir*s_F*s_MLF_corn*(1-EXP(-up_RadSpec!AX6*s_t_b)))/(s_P*up_RadSpec!AX6))),".")</f>
        <v>2.6824597822007652</v>
      </c>
      <c r="AJ6" s="116">
        <f>IFERROR(IF(up_Bv!L6=0,".",((s_Ir*s_F*s_MLF_cucumber*(1-EXP(-up_RadSpec!AX6*s_t_b)))/(s_P*up_RadSpec!AX6))),".")</f>
        <v>2.6824597822007652</v>
      </c>
      <c r="AK6" s="116">
        <f>IFERROR(IF(up_Bv!M6=0,".",((s_Ir*s_F*s_MLF_lettuce*(1-EXP(-up_RadSpec!AX6*s_t_b)))/(s_P*up_RadSpec!AX6))),".")</f>
        <v>2.6824597822007652</v>
      </c>
      <c r="AL6" s="116">
        <f>IFERROR(IF(up_Bv!N6=0,".",((s_Ir*s_F*s_MLF_lima_bean*(1-EXP(-up_RadSpec!AX6*s_t_b)))/(s_P*up_RadSpec!AX6))),".")</f>
        <v>2.6824597822007652</v>
      </c>
      <c r="AM6" s="116">
        <f>IFERROR(IF(up_Bv!O6=0,".",((s_Ir*s_F*s_MLF_okra*(1-EXP(-up_RadSpec!AX6*s_t_b)))/(s_P*up_RadSpec!AX6))),".")</f>
        <v>2.6824597822007652</v>
      </c>
      <c r="AN6" s="116">
        <f>IFERROR(IF(up_Bv!P6=0,".",((s_Ir*s_F*s_MLF_onion*(1-EXP(-up_RadSpec!AX6*s_t_b)))/(s_P*up_RadSpec!AX6))),".")</f>
        <v>2.6824597822007652</v>
      </c>
      <c r="AO6" s="116">
        <f>IFERROR(IF(up_Bv!Q6=0,".",((s_Ir*s_F*s_MLF_peach*(1-EXP(-up_RadSpec!AX6*s_t_b)))/(s_P*up_RadSpec!AX6))),".")</f>
        <v>2.6824597822007652</v>
      </c>
      <c r="AP6" s="116">
        <f>IFERROR(IF(up_Bv!R6=0,".",((s_Ir*s_F*s_MLF_pear*(1-EXP(-up_RadSpec!AX6*s_t_b)))/(s_P*up_RadSpec!AX6))),".")</f>
        <v>2.6824597822007652</v>
      </c>
      <c r="AQ6" s="116">
        <f>IFERROR(IF(up_Bv!S6=0,".",((s_Ir*s_F*s_MLF_peas*(1-EXP(-up_RadSpec!AX6*s_t_b)))/(s_P*up_RadSpec!AX6))),".")</f>
        <v>2.6824597822007652</v>
      </c>
      <c r="AR6" s="116">
        <f>IFERROR(IF(up_Bv!T6=0,".",((s_Ir*s_F*s_MLF_potato*(1-EXP(-up_RadSpec!AX6*s_t_b)))/(s_P*up_RadSpec!AX6))),".")</f>
        <v>2.6824597822007652</v>
      </c>
      <c r="AS6" s="116">
        <f>IFERROR(IF(up_Bv!U6=0,".",((s_Ir*s_F*s_MLF_pumpkin*(1-EXP(-up_RadSpec!AX6*s_t_b)))/(s_P*up_RadSpec!AX6))),".")</f>
        <v>2.6824597822007652</v>
      </c>
      <c r="AT6" s="116">
        <f>IFERROR(IF(up_Bv!V6=0,".",((s_Ir*s_F*s_MLF_snap_bean*(1-EXP(-up_RadSpec!AX6*s_t_b)))/(s_P*up_RadSpec!AX6))),".")</f>
        <v>2.6824597822007652</v>
      </c>
      <c r="AU6" s="116">
        <f>IFERROR(IF(up_Bv!W6=0,".",((s_Ir*s_F*s_MLF_strawberry*(1-EXP(-up_RadSpec!AX6*s_t_b)))/(s_P*up_RadSpec!AX6))),".")</f>
        <v>2.6824597822007652</v>
      </c>
      <c r="AV6" s="116">
        <f>IFERROR(IF(up_Bv!X6=0,".",((s_Ir*s_F*s_MLF_tomato*(1-EXP(-up_RadSpec!AX6*s_t_b)))/(s_P*up_RadSpec!AX6))),".")</f>
        <v>2.6824597822007652</v>
      </c>
      <c r="AW6" s="116">
        <f>IFERROR(IF(up_Bv!Y6=0,".",((s_Ir*s_F*s_MLF_rice*(1-EXP(-up_RadSpec!AX6*s_t_b)))/(s_P*up_RadSpec!AX6))),".")</f>
        <v>2.6824597822007652</v>
      </c>
      <c r="AX6" s="116">
        <f>IFERROR(IF(up_Bv!Z6=0,".",((s_Ir*s_F*s_MLF_cereal*(1-EXP(-up_RadSpec!AX6*s_t_b)))/(s_P*up_RadSpec!AX6))),".")</f>
        <v>2.6824597822007652</v>
      </c>
      <c r="AY6" s="116">
        <f>IFERROR(IF(up_Bv!C6=0,".",((s_Ir*s_F*s_I_f*s_T*(1-EXP(-up_RadSpec!AY6*s_t_v)))/(s_Y_v*up_RadSpec!AY6))),".")</f>
        <v>9.0143481925428208</v>
      </c>
      <c r="AZ6" s="116">
        <f>IFERROR(IF(up_Bv!D6=0,".",((s_Ir*s_F*s_I_f*s_T*(1-EXP(-up_RadSpec!AY6*s_t_v)))/(s_Y_v*up_RadSpec!AY6))),".")</f>
        <v>9.0143481925428208</v>
      </c>
      <c r="BA6" s="116">
        <f>IFERROR(IF(up_Bv!E6=0,".",((s_Ir*s_F*s_I_f*s_T*(1-EXP(-up_RadSpec!AY6*s_t_v)))/(s_Y_v*up_RadSpec!AY6))),".")</f>
        <v>9.0143481925428208</v>
      </c>
      <c r="BB6" s="116">
        <f>IFERROR(IF(up_Bv!F6=0,".",((s_Ir*s_F*s_I_f*s_T*(1-EXP(-up_RadSpec!AY6*s_t_v)))/(s_Y_v*up_RadSpec!AY6))),".")</f>
        <v>9.0143481925428208</v>
      </c>
      <c r="BC6" s="116">
        <f>IFERROR(IF(up_Bv!G6=0,".",((s_Ir*s_F*s_I_f*s_T*(1-EXP(-up_RadSpec!AY6*s_t_v)))/(s_Y_v*up_RadSpec!AY6))),".")</f>
        <v>9.0143481925428208</v>
      </c>
      <c r="BD6" s="116">
        <f>IFERROR(IF(up_Bv!H6=0,".",((s_Ir*s_F*s_I_f*s_T*(1-EXP(-up_RadSpec!AY6*s_t_v)))/(s_Y_v*up_RadSpec!AY6))),".")</f>
        <v>9.0143481925428208</v>
      </c>
      <c r="BE6" s="116">
        <f>IFERROR(IF(up_Bv!I6=0,".",((s_Ir*s_F*s_I_f*s_T*(1-EXP(-up_RadSpec!AY6*s_t_v)))/(s_Y_v*up_RadSpec!AY6))),".")</f>
        <v>9.0143481925428208</v>
      </c>
      <c r="BF6" s="116">
        <f>IFERROR(IF(up_Bv!J6=0,".",((s_Ir*s_F*s_I_f*s_T*(1-EXP(-up_RadSpec!AY6*s_t_v)))/(s_Y_v*up_RadSpec!AY6))),".")</f>
        <v>9.0143481925428208</v>
      </c>
      <c r="BG6" s="116">
        <f>IFERROR(IF(up_Bv!K6=0,".",((s_Ir*s_F*s_I_f*s_T*(1-EXP(-up_RadSpec!AY6*s_t_v)))/(s_Y_v*up_RadSpec!AY6))),".")</f>
        <v>9.0143481925428208</v>
      </c>
      <c r="BH6" s="116">
        <f>IFERROR(IF(up_Bv!L6=0,".",((s_Ir*s_F*s_I_f*s_T*(1-EXP(-up_RadSpec!AY6*s_t_v)))/(s_Y_v*up_RadSpec!AY6))),".")</f>
        <v>9.0143481925428208</v>
      </c>
      <c r="BI6" s="116">
        <f>IFERROR(IF(up_Bv!M6=0,".",((s_Ir*s_F*s_I_f*s_T*(1-EXP(-up_RadSpec!AY6*s_t_v)))/(s_Y_v*up_RadSpec!AY6))),".")</f>
        <v>9.0143481925428208</v>
      </c>
      <c r="BJ6" s="116">
        <f>IFERROR(IF(up_Bv!N6=0,".",((s_Ir*s_F*s_I_f*s_T*(1-EXP(-up_RadSpec!AY6*s_t_v)))/(s_Y_v*up_RadSpec!AY6))),".")</f>
        <v>9.0143481925428208</v>
      </c>
      <c r="BK6" s="116">
        <f>IFERROR(IF(up_Bv!O6=0,".",((s_Ir*s_F*s_I_f*s_T*(1-EXP(-up_RadSpec!AY6*s_t_v)))/(s_Y_v*up_RadSpec!AY6))),".")</f>
        <v>9.0143481925428208</v>
      </c>
      <c r="BL6" s="116">
        <f>IFERROR(IF(up_Bv!P6=0,".",((s_Ir*s_F*s_I_f*s_T*(1-EXP(-up_RadSpec!AY6*s_t_v)))/(s_Y_v*up_RadSpec!AY6))),".")</f>
        <v>9.0143481925428208</v>
      </c>
      <c r="BM6" s="116">
        <f>IFERROR(IF(up_Bv!Q6=0,".",((s_Ir*s_F*s_I_f*s_T*(1-EXP(-up_RadSpec!AY6*s_t_v)))/(s_Y_v*up_RadSpec!AY6))),".")</f>
        <v>9.0143481925428208</v>
      </c>
      <c r="BN6" s="116">
        <f>IFERROR(IF(up_Bv!R6=0,".",((s_Ir*s_F*s_I_f*s_T*(1-EXP(-up_RadSpec!AY6*s_t_v)))/(s_Y_v*up_RadSpec!AY6))),".")</f>
        <v>9.0143481925428208</v>
      </c>
      <c r="BO6" s="116">
        <f>IFERROR(IF(up_Bv!S6=0,".",((s_Ir*s_F*s_I_f*s_T*(1-EXP(-up_RadSpec!AY6*s_t_v)))/(s_Y_v*up_RadSpec!AY6))),".")</f>
        <v>9.0143481925428208</v>
      </c>
      <c r="BP6" s="116">
        <f>IFERROR(IF(up_Bv!T6=0,".",((s_Ir*s_F*s_I_f*s_T*(1-EXP(-up_RadSpec!AY6*s_t_v)))/(s_Y_v*up_RadSpec!AY6))),".")</f>
        <v>9.0143481925428208</v>
      </c>
      <c r="BQ6" s="116">
        <f>IFERROR(IF(up_Bv!U6=0,".",((s_Ir*s_F*s_I_f*s_T*(1-EXP(-up_RadSpec!AY6*s_t_v)))/(s_Y_v*up_RadSpec!AY6))),".")</f>
        <v>9.0143481925428208</v>
      </c>
      <c r="BR6" s="116">
        <f>IFERROR(IF(up_Bv!V6=0,".",((s_Ir*s_F*s_I_f*s_T*(1-EXP(-up_RadSpec!AY6*s_t_v)))/(s_Y_v*up_RadSpec!AY6))),".")</f>
        <v>9.0143481925428208</v>
      </c>
      <c r="BS6" s="116">
        <f>IFERROR(IF(up_Bv!W6=0,".",((s_Ir*s_F*s_I_f*s_T*(1-EXP(-up_RadSpec!AY6*s_t_v)))/(s_Y_v*up_RadSpec!AY6))),".")</f>
        <v>9.0143481925428208</v>
      </c>
      <c r="BT6" s="116">
        <f>IFERROR(IF(up_Bv!X6=0,".",((s_Ir*s_F*s_I_f*s_T*(1-EXP(-up_RadSpec!AY6*s_t_v)))/(s_Y_v*up_RadSpec!AY6))),".")</f>
        <v>9.0143481925428208</v>
      </c>
      <c r="BU6" s="116">
        <f>IFERROR(IF(up_Bv!Y6=0,".",((s_Ir*s_F*s_I_f*s_T*(1-EXP(-up_RadSpec!AY6*s_t_v)))/(s_Y_v*up_RadSpec!AY6))),".")</f>
        <v>9.0143481925428208</v>
      </c>
      <c r="BV6" s="116">
        <f>IFERROR(IF(up_Bv!Z6=0,".",((s_Ir*s_F*s_I_f*s_T*(1-EXP(-up_RadSpec!AY6*s_t_v)))/(s_Y_v*up_RadSpec!AY6))),".")</f>
        <v>9.0143481925428208</v>
      </c>
    </row>
    <row r="7" spans="1:74" x14ac:dyDescent="0.25">
      <c r="A7" s="44" t="s">
        <v>17</v>
      </c>
      <c r="B7" s="42" t="s">
        <v>1074</v>
      </c>
      <c r="C7" s="116">
        <f>IFERROR(IF(up_Bv!C7=0,".",((s_Ir*s_F*up_Bv!C7*(1-EXP(-up_RadSpec!$AX7*s_t_b)))/(s_P*up_RadSpec!$AX7))),".")</f>
        <v>993.50362303732038</v>
      </c>
      <c r="D7" s="116">
        <f>IFERROR(IF(up_Bv!D7=0,".",((s_Ir*s_F*up_Bv!D7*(1-EXP(-up_RadSpec!AX7*s_t_b)))/(s_P*up_RadSpec!AX7))),".")</f>
        <v>993.50362303732038</v>
      </c>
      <c r="E7" s="116">
        <f>IFERROR(IF(up_Bv!E7=0,".",((s_Ir*s_F*up_Bv!E7*(1-EXP(-up_RadSpec!AX7*s_t_b)))/(s_P*up_RadSpec!AX7))),".")</f>
        <v>993.50362303732038</v>
      </c>
      <c r="F7" s="116">
        <f>IFERROR(IF(up_Bv!F7=0,".",((s_Ir*s_F*up_Bv!F7*(1-EXP(-up_RadSpec!AX7*s_t_b)))/(s_P*up_RadSpec!AX7))),".")</f>
        <v>993.50362303732038</v>
      </c>
      <c r="G7" s="116">
        <f>IFERROR(IF(up_Bv!G7=0,".",((s_Ir*s_F*up_Bv!G7*(1-EXP(-up_RadSpec!AX7*s_t_b)))/(s_P*up_RadSpec!AX7))),".")</f>
        <v>993.50362303732038</v>
      </c>
      <c r="H7" s="116">
        <f>IFERROR(IF(up_Bv!H7=0,".",((s_Ir*s_F*up_Bv!H7*(1-EXP(-up_RadSpec!AX7*s_t_b)))/(s_P*up_RadSpec!AX7))),".")</f>
        <v>993.50362303732038</v>
      </c>
      <c r="I7" s="116">
        <f>IFERROR(IF(up_Bv!I7=0,".",((s_Ir*s_F*up_Bv!I7*(1-EXP(-up_RadSpec!AX7*s_t_b)))/(s_P*up_RadSpec!AX7))),".")</f>
        <v>993.50362303732038</v>
      </c>
      <c r="J7" s="116">
        <f>IFERROR(IF(up_Bv!J7=0,".",((s_Ir*s_F*up_Bv!J7*(1-EXP(-up_RadSpec!AX7*s_t_b)))/(s_P*up_RadSpec!AX7))),".")</f>
        <v>993.50362303732038</v>
      </c>
      <c r="K7" s="116">
        <f>IFERROR(IF(up_Bv!K7=0,".",((s_Ir*s_F*up_Bv!K7*(1-EXP(-up_RadSpec!AX7*s_t_b)))/(s_P*up_RadSpec!AX7))),".")</f>
        <v>993.50362303732038</v>
      </c>
      <c r="L7" s="116">
        <f>IFERROR(IF(up_Bv!L7=0,".",((s_Ir*s_F*up_Bv!L7*(1-EXP(-up_RadSpec!AX7*s_t_b)))/(s_P*up_RadSpec!AX7))),".")</f>
        <v>993.50362303732038</v>
      </c>
      <c r="M7" s="116">
        <f>IFERROR(IF(up_Bv!M7=0,".",((s_Ir*s_F*up_Bv!M7*(1-EXP(-up_RadSpec!AX7*s_t_b)))/(s_P*up_RadSpec!AX7))),".")</f>
        <v>993.50362303732038</v>
      </c>
      <c r="N7" s="116">
        <f>IFERROR(IF(up_Bv!N7=0,".",((s_Ir*s_F*up_Bv!N7*(1-EXP(-up_RadSpec!AX7*s_t_b)))/(s_P*up_RadSpec!AX7))),".")</f>
        <v>993.50362303732038</v>
      </c>
      <c r="O7" s="116">
        <f>IFERROR(IF(up_Bv!O7=0,".",((s_Ir*s_F*up_Bv!O7*(1-EXP(-up_RadSpec!AX7*s_t_b)))/(s_P*up_RadSpec!AX7))),".")</f>
        <v>993.50362303732038</v>
      </c>
      <c r="P7" s="116">
        <f>IFERROR(IF(up_Bv!P7=0,".",((s_Ir*s_F*up_Bv!P7*(1-EXP(-up_RadSpec!AX7*s_t_b)))/(s_P*up_RadSpec!AX7))),".")</f>
        <v>993.50362303732038</v>
      </c>
      <c r="Q7" s="116">
        <f>IFERROR(IF(up_Bv!Q7=0,".",((s_Ir*s_F*up_Bv!Q7*(1-EXP(-up_RadSpec!AX7*s_t_b)))/(s_P*up_RadSpec!AX7))),".")</f>
        <v>993.50362303732038</v>
      </c>
      <c r="R7" s="116">
        <f>IFERROR(IF(up_Bv!R7=0,".",((s_Ir*s_F*up_Bv!R7*(1-EXP(-up_RadSpec!AX7*s_t_b)))/(s_P*up_RadSpec!AX7))),".")</f>
        <v>993.50362303732038</v>
      </c>
      <c r="S7" s="116">
        <f>IFERROR(IF(up_Bv!S7=0,".",((s_Ir*s_F*up_Bv!S7*(1-EXP(-up_RadSpec!AX7*s_t_b)))/(s_P*up_RadSpec!AX7))),".")</f>
        <v>993.50362303732038</v>
      </c>
      <c r="T7" s="116">
        <f>IFERROR(IF(up_Bv!T7=0,".",((s_Ir*s_F*up_Bv!T7*(1-EXP(-up_RadSpec!AX7*s_t_b)))/(s_P*up_RadSpec!AX7))),".")</f>
        <v>993.50362303732038</v>
      </c>
      <c r="U7" s="116">
        <f>IFERROR(IF(up_Bv!U7=0,".",((s_Ir*s_F*up_Bv!U7*(1-EXP(-up_RadSpec!AX7*s_t_b)))/(s_P*up_RadSpec!AX7))),".")</f>
        <v>993.50362303732038</v>
      </c>
      <c r="V7" s="116">
        <f>IFERROR(IF(up_Bv!V7=0,".",((s_Ir*s_F*up_Bv!V7*(1-EXP(-up_RadSpec!AX7*s_t_b)))/(s_P*up_RadSpec!AX7))),".")</f>
        <v>993.50362303732038</v>
      </c>
      <c r="W7" s="116">
        <f>IFERROR(IF(up_Bv!W7=0,".",((s_Ir*s_F*up_Bv!W7*(1-EXP(-up_RadSpec!AX7*s_t_b)))/(s_P*up_RadSpec!AX7))),".")</f>
        <v>993.50362303732038</v>
      </c>
      <c r="X7" s="116">
        <f>IFERROR(IF(up_Bv!X7=0,".",((s_Ir*s_F*up_Bv!X7*(1-EXP(-up_RadSpec!AX7*s_t_b)))/(s_P*up_RadSpec!AX7))),".")</f>
        <v>993.50362303732038</v>
      </c>
      <c r="Y7" s="116">
        <f>IFERROR(IF(up_Bv!Y7=0,".",((s_Ir*s_F*up_Bv!Y7*(1-EXP(-up_RadSpec!AX7*s_t_b)))/(s_P*up_RadSpec!AX7))),".")</f>
        <v>993.50362303732038</v>
      </c>
      <c r="Z7" s="116">
        <f>IFERROR(IF(up_Bv!Z7=0,".",((s_Ir*s_F*up_Bv!Z7*(1-EXP(-up_RadSpec!AX7*s_t_b)))/(s_P*up_RadSpec!AX7))),".")</f>
        <v>993.50362303732038</v>
      </c>
      <c r="AA7" s="116">
        <f>IFERROR(IF(up_Bv!C7=0,".",((s_Ir*s_F*s_MLF_apple*(1-EXP(-up_RadSpec!AX7*s_t_b)))/(s_P*up_RadSpec!AX7))),".")</f>
        <v>2.6824597822007652</v>
      </c>
      <c r="AB7" s="116">
        <f>IFERROR(IF(up_Bv!D7=0,".",((s_Ir*s_F*s_MLF_asparagus*(1-EXP(-up_RadSpec!AX7*s_t_b)))/(s_P*up_RadSpec!AX7))),".")</f>
        <v>2.6824597822007652</v>
      </c>
      <c r="AC7" s="116">
        <f>IFERROR(IF(up_Bv!E7=0,".",((s_Ir*s_F*s_MLF_beet*(1-EXP(-up_RadSpec!AX7*s_t_b)))/(s_P*up_RadSpec!AX7))),".")</f>
        <v>2.6824597822007652</v>
      </c>
      <c r="AD7" s="116">
        <f>IFERROR(IF(up_Bv!F7=0,".",((s_Ir*s_F*s_MLF_berries*(1-EXP(-up_RadSpec!AX7*s_t_b)))/(s_P*up_RadSpec!AX7))),".")</f>
        <v>2.6824597822007652</v>
      </c>
      <c r="AE7" s="116">
        <f>IFERROR(IF(up_Bv!G7=0,".",((s_Ir*s_F*s_MLF_broccoli*(1-EXP(-up_RadSpec!AX7*s_t_b)))/(s_P*up_RadSpec!AX7))),".")</f>
        <v>2.6824597822007652</v>
      </c>
      <c r="AF7" s="116">
        <f>IFERROR(IF(up_Bv!H7=0,".",((s_Ir*s_F*s_MLF_cabbage*(1-EXP(-up_RadSpec!AX7*s_t_b)))/(s_P*up_RadSpec!AX7))),".")</f>
        <v>2.6824597822007652</v>
      </c>
      <c r="AG7" s="116">
        <f>IFERROR(IF(up_Bv!I7=0,".",((s_Ir*s_F*s_MLF_carrot*(1-EXP(-up_RadSpec!AX7*s_t_b)))/(s_P*up_RadSpec!AX7))),".")</f>
        <v>2.6824597822007652</v>
      </c>
      <c r="AH7" s="116">
        <f>IFERROR(IF(up_Bv!J7=0,".",((s_Ir*s_F*s_MLF_citrus*(1-EXP(-up_RadSpec!AX7*s_t_b)))/(s_P*up_RadSpec!AX7))),".")</f>
        <v>2.6824597822007652</v>
      </c>
      <c r="AI7" s="116">
        <f>IFERROR(IF(up_Bv!K7=0,".",((s_Ir*s_F*s_MLF_corn*(1-EXP(-up_RadSpec!AX7*s_t_b)))/(s_P*up_RadSpec!AX7))),".")</f>
        <v>2.6824597822007652</v>
      </c>
      <c r="AJ7" s="116">
        <f>IFERROR(IF(up_Bv!L7=0,".",((s_Ir*s_F*s_MLF_cucumber*(1-EXP(-up_RadSpec!AX7*s_t_b)))/(s_P*up_RadSpec!AX7))),".")</f>
        <v>2.6824597822007652</v>
      </c>
      <c r="AK7" s="116">
        <f>IFERROR(IF(up_Bv!M7=0,".",((s_Ir*s_F*s_MLF_lettuce*(1-EXP(-up_RadSpec!AX7*s_t_b)))/(s_P*up_RadSpec!AX7))),".")</f>
        <v>2.6824597822007652</v>
      </c>
      <c r="AL7" s="116">
        <f>IFERROR(IF(up_Bv!N7=0,".",((s_Ir*s_F*s_MLF_lima_bean*(1-EXP(-up_RadSpec!AX7*s_t_b)))/(s_P*up_RadSpec!AX7))),".")</f>
        <v>2.6824597822007652</v>
      </c>
      <c r="AM7" s="116">
        <f>IFERROR(IF(up_Bv!O7=0,".",((s_Ir*s_F*s_MLF_okra*(1-EXP(-up_RadSpec!AX7*s_t_b)))/(s_P*up_RadSpec!AX7))),".")</f>
        <v>2.6824597822007652</v>
      </c>
      <c r="AN7" s="116">
        <f>IFERROR(IF(up_Bv!P7=0,".",((s_Ir*s_F*s_MLF_onion*(1-EXP(-up_RadSpec!AX7*s_t_b)))/(s_P*up_RadSpec!AX7))),".")</f>
        <v>2.6824597822007652</v>
      </c>
      <c r="AO7" s="116">
        <f>IFERROR(IF(up_Bv!Q7=0,".",((s_Ir*s_F*s_MLF_peach*(1-EXP(-up_RadSpec!AX7*s_t_b)))/(s_P*up_RadSpec!AX7))),".")</f>
        <v>2.6824597822007652</v>
      </c>
      <c r="AP7" s="116">
        <f>IFERROR(IF(up_Bv!R7=0,".",((s_Ir*s_F*s_MLF_pear*(1-EXP(-up_RadSpec!AX7*s_t_b)))/(s_P*up_RadSpec!AX7))),".")</f>
        <v>2.6824597822007652</v>
      </c>
      <c r="AQ7" s="116">
        <f>IFERROR(IF(up_Bv!S7=0,".",((s_Ir*s_F*s_MLF_peas*(1-EXP(-up_RadSpec!AX7*s_t_b)))/(s_P*up_RadSpec!AX7))),".")</f>
        <v>2.6824597822007652</v>
      </c>
      <c r="AR7" s="116">
        <f>IFERROR(IF(up_Bv!T7=0,".",((s_Ir*s_F*s_MLF_potato*(1-EXP(-up_RadSpec!AX7*s_t_b)))/(s_P*up_RadSpec!AX7))),".")</f>
        <v>2.6824597822007652</v>
      </c>
      <c r="AS7" s="116">
        <f>IFERROR(IF(up_Bv!U7=0,".",((s_Ir*s_F*s_MLF_pumpkin*(1-EXP(-up_RadSpec!AX7*s_t_b)))/(s_P*up_RadSpec!AX7))),".")</f>
        <v>2.6824597822007652</v>
      </c>
      <c r="AT7" s="116">
        <f>IFERROR(IF(up_Bv!V7=0,".",((s_Ir*s_F*s_MLF_snap_bean*(1-EXP(-up_RadSpec!AX7*s_t_b)))/(s_P*up_RadSpec!AX7))),".")</f>
        <v>2.6824597822007652</v>
      </c>
      <c r="AU7" s="116">
        <f>IFERROR(IF(up_Bv!W7=0,".",((s_Ir*s_F*s_MLF_strawberry*(1-EXP(-up_RadSpec!AX7*s_t_b)))/(s_P*up_RadSpec!AX7))),".")</f>
        <v>2.6824597822007652</v>
      </c>
      <c r="AV7" s="116">
        <f>IFERROR(IF(up_Bv!X7=0,".",((s_Ir*s_F*s_MLF_tomato*(1-EXP(-up_RadSpec!AX7*s_t_b)))/(s_P*up_RadSpec!AX7))),".")</f>
        <v>2.6824597822007652</v>
      </c>
      <c r="AW7" s="116">
        <f>IFERROR(IF(up_Bv!Y7=0,".",((s_Ir*s_F*s_MLF_rice*(1-EXP(-up_RadSpec!AX7*s_t_b)))/(s_P*up_RadSpec!AX7))),".")</f>
        <v>2.6824597822007652</v>
      </c>
      <c r="AX7" s="116">
        <f>IFERROR(IF(up_Bv!Z7=0,".",((s_Ir*s_F*s_MLF_cereal*(1-EXP(-up_RadSpec!AX7*s_t_b)))/(s_P*up_RadSpec!AX7))),".")</f>
        <v>2.6824597822007652</v>
      </c>
      <c r="AY7" s="116">
        <f>IFERROR(IF(up_Bv!C7=0,".",((s_Ir*s_F*s_I_f*s_T*(1-EXP(-up_RadSpec!AY7*s_t_v)))/(s_Y_v*up_RadSpec!AY7))),".")</f>
        <v>9.0143481925428208</v>
      </c>
      <c r="AZ7" s="116">
        <f>IFERROR(IF(up_Bv!D7=0,".",((s_Ir*s_F*s_I_f*s_T*(1-EXP(-up_RadSpec!AY7*s_t_v)))/(s_Y_v*up_RadSpec!AY7))),".")</f>
        <v>9.0143481925428208</v>
      </c>
      <c r="BA7" s="116">
        <f>IFERROR(IF(up_Bv!E7=0,".",((s_Ir*s_F*s_I_f*s_T*(1-EXP(-up_RadSpec!AY7*s_t_v)))/(s_Y_v*up_RadSpec!AY7))),".")</f>
        <v>9.0143481925428208</v>
      </c>
      <c r="BB7" s="116">
        <f>IFERROR(IF(up_Bv!F7=0,".",((s_Ir*s_F*s_I_f*s_T*(1-EXP(-up_RadSpec!AY7*s_t_v)))/(s_Y_v*up_RadSpec!AY7))),".")</f>
        <v>9.0143481925428208</v>
      </c>
      <c r="BC7" s="116">
        <f>IFERROR(IF(up_Bv!G7=0,".",((s_Ir*s_F*s_I_f*s_T*(1-EXP(-up_RadSpec!AY7*s_t_v)))/(s_Y_v*up_RadSpec!AY7))),".")</f>
        <v>9.0143481925428208</v>
      </c>
      <c r="BD7" s="116">
        <f>IFERROR(IF(up_Bv!H7=0,".",((s_Ir*s_F*s_I_f*s_T*(1-EXP(-up_RadSpec!AY7*s_t_v)))/(s_Y_v*up_RadSpec!AY7))),".")</f>
        <v>9.0143481925428208</v>
      </c>
      <c r="BE7" s="116">
        <f>IFERROR(IF(up_Bv!I7=0,".",((s_Ir*s_F*s_I_f*s_T*(1-EXP(-up_RadSpec!AY7*s_t_v)))/(s_Y_v*up_RadSpec!AY7))),".")</f>
        <v>9.0143481925428208</v>
      </c>
      <c r="BF7" s="116">
        <f>IFERROR(IF(up_Bv!J7=0,".",((s_Ir*s_F*s_I_f*s_T*(1-EXP(-up_RadSpec!AY7*s_t_v)))/(s_Y_v*up_RadSpec!AY7))),".")</f>
        <v>9.0143481925428208</v>
      </c>
      <c r="BG7" s="116">
        <f>IFERROR(IF(up_Bv!K7=0,".",((s_Ir*s_F*s_I_f*s_T*(1-EXP(-up_RadSpec!AY7*s_t_v)))/(s_Y_v*up_RadSpec!AY7))),".")</f>
        <v>9.0143481925428208</v>
      </c>
      <c r="BH7" s="116">
        <f>IFERROR(IF(up_Bv!L7=0,".",((s_Ir*s_F*s_I_f*s_T*(1-EXP(-up_RadSpec!AY7*s_t_v)))/(s_Y_v*up_RadSpec!AY7))),".")</f>
        <v>9.0143481925428208</v>
      </c>
      <c r="BI7" s="116">
        <f>IFERROR(IF(up_Bv!M7=0,".",((s_Ir*s_F*s_I_f*s_T*(1-EXP(-up_RadSpec!AY7*s_t_v)))/(s_Y_v*up_RadSpec!AY7))),".")</f>
        <v>9.0143481925428208</v>
      </c>
      <c r="BJ7" s="116">
        <f>IFERROR(IF(up_Bv!N7=0,".",((s_Ir*s_F*s_I_f*s_T*(1-EXP(-up_RadSpec!AY7*s_t_v)))/(s_Y_v*up_RadSpec!AY7))),".")</f>
        <v>9.0143481925428208</v>
      </c>
      <c r="BK7" s="116">
        <f>IFERROR(IF(up_Bv!O7=0,".",((s_Ir*s_F*s_I_f*s_T*(1-EXP(-up_RadSpec!AY7*s_t_v)))/(s_Y_v*up_RadSpec!AY7))),".")</f>
        <v>9.0143481925428208</v>
      </c>
      <c r="BL7" s="116">
        <f>IFERROR(IF(up_Bv!P7=0,".",((s_Ir*s_F*s_I_f*s_T*(1-EXP(-up_RadSpec!AY7*s_t_v)))/(s_Y_v*up_RadSpec!AY7))),".")</f>
        <v>9.0143481925428208</v>
      </c>
      <c r="BM7" s="116">
        <f>IFERROR(IF(up_Bv!Q7=0,".",((s_Ir*s_F*s_I_f*s_T*(1-EXP(-up_RadSpec!AY7*s_t_v)))/(s_Y_v*up_RadSpec!AY7))),".")</f>
        <v>9.0143481925428208</v>
      </c>
      <c r="BN7" s="116">
        <f>IFERROR(IF(up_Bv!R7=0,".",((s_Ir*s_F*s_I_f*s_T*(1-EXP(-up_RadSpec!AY7*s_t_v)))/(s_Y_v*up_RadSpec!AY7))),".")</f>
        <v>9.0143481925428208</v>
      </c>
      <c r="BO7" s="116">
        <f>IFERROR(IF(up_Bv!S7=0,".",((s_Ir*s_F*s_I_f*s_T*(1-EXP(-up_RadSpec!AY7*s_t_v)))/(s_Y_v*up_RadSpec!AY7))),".")</f>
        <v>9.0143481925428208</v>
      </c>
      <c r="BP7" s="116">
        <f>IFERROR(IF(up_Bv!T7=0,".",((s_Ir*s_F*s_I_f*s_T*(1-EXP(-up_RadSpec!AY7*s_t_v)))/(s_Y_v*up_RadSpec!AY7))),".")</f>
        <v>9.0143481925428208</v>
      </c>
      <c r="BQ7" s="116">
        <f>IFERROR(IF(up_Bv!U7=0,".",((s_Ir*s_F*s_I_f*s_T*(1-EXP(-up_RadSpec!AY7*s_t_v)))/(s_Y_v*up_RadSpec!AY7))),".")</f>
        <v>9.0143481925428208</v>
      </c>
      <c r="BR7" s="116">
        <f>IFERROR(IF(up_Bv!V7=0,".",((s_Ir*s_F*s_I_f*s_T*(1-EXP(-up_RadSpec!AY7*s_t_v)))/(s_Y_v*up_RadSpec!AY7))),".")</f>
        <v>9.0143481925428208</v>
      </c>
      <c r="BS7" s="116">
        <f>IFERROR(IF(up_Bv!W7=0,".",((s_Ir*s_F*s_I_f*s_T*(1-EXP(-up_RadSpec!AY7*s_t_v)))/(s_Y_v*up_RadSpec!AY7))),".")</f>
        <v>9.0143481925428208</v>
      </c>
      <c r="BT7" s="116">
        <f>IFERROR(IF(up_Bv!X7=0,".",((s_Ir*s_F*s_I_f*s_T*(1-EXP(-up_RadSpec!AY7*s_t_v)))/(s_Y_v*up_RadSpec!AY7))),".")</f>
        <v>9.0143481925428208</v>
      </c>
      <c r="BU7" s="116">
        <f>IFERROR(IF(up_Bv!Y7=0,".",((s_Ir*s_F*s_I_f*s_T*(1-EXP(-up_RadSpec!AY7*s_t_v)))/(s_Y_v*up_RadSpec!AY7))),".")</f>
        <v>9.0143481925428208</v>
      </c>
      <c r="BV7" s="116">
        <f>IFERROR(IF(up_Bv!Z7=0,".",((s_Ir*s_F*s_I_f*s_T*(1-EXP(-up_RadSpec!AY7*s_t_v)))/(s_Y_v*up_RadSpec!AY7))),".")</f>
        <v>9.0143481925428208</v>
      </c>
    </row>
    <row r="8" spans="1:74" x14ac:dyDescent="0.25">
      <c r="A8" s="44" t="s">
        <v>18</v>
      </c>
      <c r="B8" s="42" t="s">
        <v>1074</v>
      </c>
      <c r="C8" s="116">
        <f>IFERROR(IF(up_Bv!C8=0,".",((s_Ir*s_F*up_Bv!C8*(1-EXP(-up_RadSpec!$AX8*s_t_b)))/(s_P*up_RadSpec!$AX8))),".")</f>
        <v>993.50362303732038</v>
      </c>
      <c r="D8" s="116">
        <f>IFERROR(IF(up_Bv!D8=0,".",((s_Ir*s_F*up_Bv!D8*(1-EXP(-up_RadSpec!AX8*s_t_b)))/(s_P*up_RadSpec!AX8))),".")</f>
        <v>993.50362303732038</v>
      </c>
      <c r="E8" s="116">
        <f>IFERROR(IF(up_Bv!E8=0,".",((s_Ir*s_F*up_Bv!E8*(1-EXP(-up_RadSpec!AX8*s_t_b)))/(s_P*up_RadSpec!AX8))),".")</f>
        <v>993.50362303732038</v>
      </c>
      <c r="F8" s="116">
        <f>IFERROR(IF(up_Bv!F8=0,".",((s_Ir*s_F*up_Bv!F8*(1-EXP(-up_RadSpec!AX8*s_t_b)))/(s_P*up_RadSpec!AX8))),".")</f>
        <v>993.50362303732038</v>
      </c>
      <c r="G8" s="116">
        <f>IFERROR(IF(up_Bv!G8=0,".",((s_Ir*s_F*up_Bv!G8*(1-EXP(-up_RadSpec!AX8*s_t_b)))/(s_P*up_RadSpec!AX8))),".")</f>
        <v>993.50362303732038</v>
      </c>
      <c r="H8" s="116">
        <f>IFERROR(IF(up_Bv!H8=0,".",((s_Ir*s_F*up_Bv!H8*(1-EXP(-up_RadSpec!AX8*s_t_b)))/(s_P*up_RadSpec!AX8))),".")</f>
        <v>993.50362303732038</v>
      </c>
      <c r="I8" s="116">
        <f>IFERROR(IF(up_Bv!I8=0,".",((s_Ir*s_F*up_Bv!I8*(1-EXP(-up_RadSpec!AX8*s_t_b)))/(s_P*up_RadSpec!AX8))),".")</f>
        <v>993.50362303732038</v>
      </c>
      <c r="J8" s="116">
        <f>IFERROR(IF(up_Bv!J8=0,".",((s_Ir*s_F*up_Bv!J8*(1-EXP(-up_RadSpec!AX8*s_t_b)))/(s_P*up_RadSpec!AX8))),".")</f>
        <v>993.50362303732038</v>
      </c>
      <c r="K8" s="116">
        <f>IFERROR(IF(up_Bv!K8=0,".",((s_Ir*s_F*up_Bv!K8*(1-EXP(-up_RadSpec!AX8*s_t_b)))/(s_P*up_RadSpec!AX8))),".")</f>
        <v>993.50362303732038</v>
      </c>
      <c r="L8" s="116">
        <f>IFERROR(IF(up_Bv!L8=0,".",((s_Ir*s_F*up_Bv!L8*(1-EXP(-up_RadSpec!AX8*s_t_b)))/(s_P*up_RadSpec!AX8))),".")</f>
        <v>993.50362303732038</v>
      </c>
      <c r="M8" s="116">
        <f>IFERROR(IF(up_Bv!M8=0,".",((s_Ir*s_F*up_Bv!M8*(1-EXP(-up_RadSpec!AX8*s_t_b)))/(s_P*up_RadSpec!AX8))),".")</f>
        <v>993.50362303732038</v>
      </c>
      <c r="N8" s="116">
        <f>IFERROR(IF(up_Bv!N8=0,".",((s_Ir*s_F*up_Bv!N8*(1-EXP(-up_RadSpec!AX8*s_t_b)))/(s_P*up_RadSpec!AX8))),".")</f>
        <v>993.50362303732038</v>
      </c>
      <c r="O8" s="116">
        <f>IFERROR(IF(up_Bv!O8=0,".",((s_Ir*s_F*up_Bv!O8*(1-EXP(-up_RadSpec!AX8*s_t_b)))/(s_P*up_RadSpec!AX8))),".")</f>
        <v>993.50362303732038</v>
      </c>
      <c r="P8" s="116">
        <f>IFERROR(IF(up_Bv!P8=0,".",((s_Ir*s_F*up_Bv!P8*(1-EXP(-up_RadSpec!AX8*s_t_b)))/(s_P*up_RadSpec!AX8))),".")</f>
        <v>993.50362303732038</v>
      </c>
      <c r="Q8" s="116">
        <f>IFERROR(IF(up_Bv!Q8=0,".",((s_Ir*s_F*up_Bv!Q8*(1-EXP(-up_RadSpec!AX8*s_t_b)))/(s_P*up_RadSpec!AX8))),".")</f>
        <v>993.50362303732038</v>
      </c>
      <c r="R8" s="116">
        <f>IFERROR(IF(up_Bv!R8=0,".",((s_Ir*s_F*up_Bv!R8*(1-EXP(-up_RadSpec!AX8*s_t_b)))/(s_P*up_RadSpec!AX8))),".")</f>
        <v>993.50362303732038</v>
      </c>
      <c r="S8" s="116">
        <f>IFERROR(IF(up_Bv!S8=0,".",((s_Ir*s_F*up_Bv!S8*(1-EXP(-up_RadSpec!AX8*s_t_b)))/(s_P*up_RadSpec!AX8))),".")</f>
        <v>993.50362303732038</v>
      </c>
      <c r="T8" s="116">
        <f>IFERROR(IF(up_Bv!T8=0,".",((s_Ir*s_F*up_Bv!T8*(1-EXP(-up_RadSpec!AX8*s_t_b)))/(s_P*up_RadSpec!AX8))),".")</f>
        <v>993.50362303732038</v>
      </c>
      <c r="U8" s="116">
        <f>IFERROR(IF(up_Bv!U8=0,".",((s_Ir*s_F*up_Bv!U8*(1-EXP(-up_RadSpec!AX8*s_t_b)))/(s_P*up_RadSpec!AX8))),".")</f>
        <v>993.50362303732038</v>
      </c>
      <c r="V8" s="116">
        <f>IFERROR(IF(up_Bv!V8=0,".",((s_Ir*s_F*up_Bv!V8*(1-EXP(-up_RadSpec!AX8*s_t_b)))/(s_P*up_RadSpec!AX8))),".")</f>
        <v>993.50362303732038</v>
      </c>
      <c r="W8" s="116">
        <f>IFERROR(IF(up_Bv!W8=0,".",((s_Ir*s_F*up_Bv!W8*(1-EXP(-up_RadSpec!AX8*s_t_b)))/(s_P*up_RadSpec!AX8))),".")</f>
        <v>993.50362303732038</v>
      </c>
      <c r="X8" s="116">
        <f>IFERROR(IF(up_Bv!X8=0,".",((s_Ir*s_F*up_Bv!X8*(1-EXP(-up_RadSpec!AX8*s_t_b)))/(s_P*up_RadSpec!AX8))),".")</f>
        <v>993.50362303732038</v>
      </c>
      <c r="Y8" s="116">
        <f>IFERROR(IF(up_Bv!Y8=0,".",((s_Ir*s_F*up_Bv!Y8*(1-EXP(-up_RadSpec!AX8*s_t_b)))/(s_P*up_RadSpec!AX8))),".")</f>
        <v>993.50362303732038</v>
      </c>
      <c r="Z8" s="116">
        <f>IFERROR(IF(up_Bv!Z8=0,".",((s_Ir*s_F*up_Bv!Z8*(1-EXP(-up_RadSpec!AX8*s_t_b)))/(s_P*up_RadSpec!AX8))),".")</f>
        <v>993.50362303732038</v>
      </c>
      <c r="AA8" s="116">
        <f>IFERROR(IF(up_Bv!C8=0,".",((s_Ir*s_F*s_MLF_apple*(1-EXP(-up_RadSpec!AX8*s_t_b)))/(s_P*up_RadSpec!AX8))),".")</f>
        <v>2.6824597822007652</v>
      </c>
      <c r="AB8" s="116">
        <f>IFERROR(IF(up_Bv!D8=0,".",((s_Ir*s_F*s_MLF_asparagus*(1-EXP(-up_RadSpec!AX8*s_t_b)))/(s_P*up_RadSpec!AX8))),".")</f>
        <v>2.6824597822007652</v>
      </c>
      <c r="AC8" s="116">
        <f>IFERROR(IF(up_Bv!E8=0,".",((s_Ir*s_F*s_MLF_beet*(1-EXP(-up_RadSpec!AX8*s_t_b)))/(s_P*up_RadSpec!AX8))),".")</f>
        <v>2.6824597822007652</v>
      </c>
      <c r="AD8" s="116">
        <f>IFERROR(IF(up_Bv!F8=0,".",((s_Ir*s_F*s_MLF_berries*(1-EXP(-up_RadSpec!AX8*s_t_b)))/(s_P*up_RadSpec!AX8))),".")</f>
        <v>2.6824597822007652</v>
      </c>
      <c r="AE8" s="116">
        <f>IFERROR(IF(up_Bv!G8=0,".",((s_Ir*s_F*s_MLF_broccoli*(1-EXP(-up_RadSpec!AX8*s_t_b)))/(s_P*up_RadSpec!AX8))),".")</f>
        <v>2.6824597822007652</v>
      </c>
      <c r="AF8" s="116">
        <f>IFERROR(IF(up_Bv!H8=0,".",((s_Ir*s_F*s_MLF_cabbage*(1-EXP(-up_RadSpec!AX8*s_t_b)))/(s_P*up_RadSpec!AX8))),".")</f>
        <v>2.6824597822007652</v>
      </c>
      <c r="AG8" s="116">
        <f>IFERROR(IF(up_Bv!I8=0,".",((s_Ir*s_F*s_MLF_carrot*(1-EXP(-up_RadSpec!AX8*s_t_b)))/(s_P*up_RadSpec!AX8))),".")</f>
        <v>2.6824597822007652</v>
      </c>
      <c r="AH8" s="116">
        <f>IFERROR(IF(up_Bv!J8=0,".",((s_Ir*s_F*s_MLF_citrus*(1-EXP(-up_RadSpec!AX8*s_t_b)))/(s_P*up_RadSpec!AX8))),".")</f>
        <v>2.6824597822007652</v>
      </c>
      <c r="AI8" s="116">
        <f>IFERROR(IF(up_Bv!K8=0,".",((s_Ir*s_F*s_MLF_corn*(1-EXP(-up_RadSpec!AX8*s_t_b)))/(s_P*up_RadSpec!AX8))),".")</f>
        <v>2.6824597822007652</v>
      </c>
      <c r="AJ8" s="116">
        <f>IFERROR(IF(up_Bv!L8=0,".",((s_Ir*s_F*s_MLF_cucumber*(1-EXP(-up_RadSpec!AX8*s_t_b)))/(s_P*up_RadSpec!AX8))),".")</f>
        <v>2.6824597822007652</v>
      </c>
      <c r="AK8" s="116">
        <f>IFERROR(IF(up_Bv!M8=0,".",((s_Ir*s_F*s_MLF_lettuce*(1-EXP(-up_RadSpec!AX8*s_t_b)))/(s_P*up_RadSpec!AX8))),".")</f>
        <v>2.6824597822007652</v>
      </c>
      <c r="AL8" s="116">
        <f>IFERROR(IF(up_Bv!N8=0,".",((s_Ir*s_F*s_MLF_lima_bean*(1-EXP(-up_RadSpec!AX8*s_t_b)))/(s_P*up_RadSpec!AX8))),".")</f>
        <v>2.6824597822007652</v>
      </c>
      <c r="AM8" s="116">
        <f>IFERROR(IF(up_Bv!O8=0,".",((s_Ir*s_F*s_MLF_okra*(1-EXP(-up_RadSpec!AX8*s_t_b)))/(s_P*up_RadSpec!AX8))),".")</f>
        <v>2.6824597822007652</v>
      </c>
      <c r="AN8" s="116">
        <f>IFERROR(IF(up_Bv!P8=0,".",((s_Ir*s_F*s_MLF_onion*(1-EXP(-up_RadSpec!AX8*s_t_b)))/(s_P*up_RadSpec!AX8))),".")</f>
        <v>2.6824597822007652</v>
      </c>
      <c r="AO8" s="116">
        <f>IFERROR(IF(up_Bv!Q8=0,".",((s_Ir*s_F*s_MLF_peach*(1-EXP(-up_RadSpec!AX8*s_t_b)))/(s_P*up_RadSpec!AX8))),".")</f>
        <v>2.6824597822007652</v>
      </c>
      <c r="AP8" s="116">
        <f>IFERROR(IF(up_Bv!R8=0,".",((s_Ir*s_F*s_MLF_pear*(1-EXP(-up_RadSpec!AX8*s_t_b)))/(s_P*up_RadSpec!AX8))),".")</f>
        <v>2.6824597822007652</v>
      </c>
      <c r="AQ8" s="116">
        <f>IFERROR(IF(up_Bv!S8=0,".",((s_Ir*s_F*s_MLF_peas*(1-EXP(-up_RadSpec!AX8*s_t_b)))/(s_P*up_RadSpec!AX8))),".")</f>
        <v>2.6824597822007652</v>
      </c>
      <c r="AR8" s="116">
        <f>IFERROR(IF(up_Bv!T8=0,".",((s_Ir*s_F*s_MLF_potato*(1-EXP(-up_RadSpec!AX8*s_t_b)))/(s_P*up_RadSpec!AX8))),".")</f>
        <v>2.6824597822007652</v>
      </c>
      <c r="AS8" s="116">
        <f>IFERROR(IF(up_Bv!U8=0,".",((s_Ir*s_F*s_MLF_pumpkin*(1-EXP(-up_RadSpec!AX8*s_t_b)))/(s_P*up_RadSpec!AX8))),".")</f>
        <v>2.6824597822007652</v>
      </c>
      <c r="AT8" s="116">
        <f>IFERROR(IF(up_Bv!V8=0,".",((s_Ir*s_F*s_MLF_snap_bean*(1-EXP(-up_RadSpec!AX8*s_t_b)))/(s_P*up_RadSpec!AX8))),".")</f>
        <v>2.6824597822007652</v>
      </c>
      <c r="AU8" s="116">
        <f>IFERROR(IF(up_Bv!W8=0,".",((s_Ir*s_F*s_MLF_strawberry*(1-EXP(-up_RadSpec!AX8*s_t_b)))/(s_P*up_RadSpec!AX8))),".")</f>
        <v>2.6824597822007652</v>
      </c>
      <c r="AV8" s="116">
        <f>IFERROR(IF(up_Bv!X8=0,".",((s_Ir*s_F*s_MLF_tomato*(1-EXP(-up_RadSpec!AX8*s_t_b)))/(s_P*up_RadSpec!AX8))),".")</f>
        <v>2.6824597822007652</v>
      </c>
      <c r="AW8" s="116">
        <f>IFERROR(IF(up_Bv!Y8=0,".",((s_Ir*s_F*s_MLF_rice*(1-EXP(-up_RadSpec!AX8*s_t_b)))/(s_P*up_RadSpec!AX8))),".")</f>
        <v>2.6824597822007652</v>
      </c>
      <c r="AX8" s="116">
        <f>IFERROR(IF(up_Bv!Z8=0,".",((s_Ir*s_F*s_MLF_cereal*(1-EXP(-up_RadSpec!AX8*s_t_b)))/(s_P*up_RadSpec!AX8))),".")</f>
        <v>2.6824597822007652</v>
      </c>
      <c r="AY8" s="116">
        <f>IFERROR(IF(up_Bv!C8=0,".",((s_Ir*s_F*s_I_f*s_T*(1-EXP(-up_RadSpec!AY8*s_t_v)))/(s_Y_v*up_RadSpec!AY8))),".")</f>
        <v>9.0143481925428208</v>
      </c>
      <c r="AZ8" s="116">
        <f>IFERROR(IF(up_Bv!D8=0,".",((s_Ir*s_F*s_I_f*s_T*(1-EXP(-up_RadSpec!AY8*s_t_v)))/(s_Y_v*up_RadSpec!AY8))),".")</f>
        <v>9.0143481925428208</v>
      </c>
      <c r="BA8" s="116">
        <f>IFERROR(IF(up_Bv!E8=0,".",((s_Ir*s_F*s_I_f*s_T*(1-EXP(-up_RadSpec!AY8*s_t_v)))/(s_Y_v*up_RadSpec!AY8))),".")</f>
        <v>9.0143481925428208</v>
      </c>
      <c r="BB8" s="116">
        <f>IFERROR(IF(up_Bv!F8=0,".",((s_Ir*s_F*s_I_f*s_T*(1-EXP(-up_RadSpec!AY8*s_t_v)))/(s_Y_v*up_RadSpec!AY8))),".")</f>
        <v>9.0143481925428208</v>
      </c>
      <c r="BC8" s="116">
        <f>IFERROR(IF(up_Bv!G8=0,".",((s_Ir*s_F*s_I_f*s_T*(1-EXP(-up_RadSpec!AY8*s_t_v)))/(s_Y_v*up_RadSpec!AY8))),".")</f>
        <v>9.0143481925428208</v>
      </c>
      <c r="BD8" s="116">
        <f>IFERROR(IF(up_Bv!H8=0,".",((s_Ir*s_F*s_I_f*s_T*(1-EXP(-up_RadSpec!AY8*s_t_v)))/(s_Y_v*up_RadSpec!AY8))),".")</f>
        <v>9.0143481925428208</v>
      </c>
      <c r="BE8" s="116">
        <f>IFERROR(IF(up_Bv!I8=0,".",((s_Ir*s_F*s_I_f*s_T*(1-EXP(-up_RadSpec!AY8*s_t_v)))/(s_Y_v*up_RadSpec!AY8))),".")</f>
        <v>9.0143481925428208</v>
      </c>
      <c r="BF8" s="116">
        <f>IFERROR(IF(up_Bv!J8=0,".",((s_Ir*s_F*s_I_f*s_T*(1-EXP(-up_RadSpec!AY8*s_t_v)))/(s_Y_v*up_RadSpec!AY8))),".")</f>
        <v>9.0143481925428208</v>
      </c>
      <c r="BG8" s="116">
        <f>IFERROR(IF(up_Bv!K8=0,".",((s_Ir*s_F*s_I_f*s_T*(1-EXP(-up_RadSpec!AY8*s_t_v)))/(s_Y_v*up_RadSpec!AY8))),".")</f>
        <v>9.0143481925428208</v>
      </c>
      <c r="BH8" s="116">
        <f>IFERROR(IF(up_Bv!L8=0,".",((s_Ir*s_F*s_I_f*s_T*(1-EXP(-up_RadSpec!AY8*s_t_v)))/(s_Y_v*up_RadSpec!AY8))),".")</f>
        <v>9.0143481925428208</v>
      </c>
      <c r="BI8" s="116">
        <f>IFERROR(IF(up_Bv!M8=0,".",((s_Ir*s_F*s_I_f*s_T*(1-EXP(-up_RadSpec!AY8*s_t_v)))/(s_Y_v*up_RadSpec!AY8))),".")</f>
        <v>9.0143481925428208</v>
      </c>
      <c r="BJ8" s="116">
        <f>IFERROR(IF(up_Bv!N8=0,".",((s_Ir*s_F*s_I_f*s_T*(1-EXP(-up_RadSpec!AY8*s_t_v)))/(s_Y_v*up_RadSpec!AY8))),".")</f>
        <v>9.0143481925428208</v>
      </c>
      <c r="BK8" s="116">
        <f>IFERROR(IF(up_Bv!O8=0,".",((s_Ir*s_F*s_I_f*s_T*(1-EXP(-up_RadSpec!AY8*s_t_v)))/(s_Y_v*up_RadSpec!AY8))),".")</f>
        <v>9.0143481925428208</v>
      </c>
      <c r="BL8" s="116">
        <f>IFERROR(IF(up_Bv!P8=0,".",((s_Ir*s_F*s_I_f*s_T*(1-EXP(-up_RadSpec!AY8*s_t_v)))/(s_Y_v*up_RadSpec!AY8))),".")</f>
        <v>9.0143481925428208</v>
      </c>
      <c r="BM8" s="116">
        <f>IFERROR(IF(up_Bv!Q8=0,".",((s_Ir*s_F*s_I_f*s_T*(1-EXP(-up_RadSpec!AY8*s_t_v)))/(s_Y_v*up_RadSpec!AY8))),".")</f>
        <v>9.0143481925428208</v>
      </c>
      <c r="BN8" s="116">
        <f>IFERROR(IF(up_Bv!R8=0,".",((s_Ir*s_F*s_I_f*s_T*(1-EXP(-up_RadSpec!AY8*s_t_v)))/(s_Y_v*up_RadSpec!AY8))),".")</f>
        <v>9.0143481925428208</v>
      </c>
      <c r="BO8" s="116">
        <f>IFERROR(IF(up_Bv!S8=0,".",((s_Ir*s_F*s_I_f*s_T*(1-EXP(-up_RadSpec!AY8*s_t_v)))/(s_Y_v*up_RadSpec!AY8))),".")</f>
        <v>9.0143481925428208</v>
      </c>
      <c r="BP8" s="116">
        <f>IFERROR(IF(up_Bv!T8=0,".",((s_Ir*s_F*s_I_f*s_T*(1-EXP(-up_RadSpec!AY8*s_t_v)))/(s_Y_v*up_RadSpec!AY8))),".")</f>
        <v>9.0143481925428208</v>
      </c>
      <c r="BQ8" s="116">
        <f>IFERROR(IF(up_Bv!U8=0,".",((s_Ir*s_F*s_I_f*s_T*(1-EXP(-up_RadSpec!AY8*s_t_v)))/(s_Y_v*up_RadSpec!AY8))),".")</f>
        <v>9.0143481925428208</v>
      </c>
      <c r="BR8" s="116">
        <f>IFERROR(IF(up_Bv!V8=0,".",((s_Ir*s_F*s_I_f*s_T*(1-EXP(-up_RadSpec!AY8*s_t_v)))/(s_Y_v*up_RadSpec!AY8))),".")</f>
        <v>9.0143481925428208</v>
      </c>
      <c r="BS8" s="116">
        <f>IFERROR(IF(up_Bv!W8=0,".",((s_Ir*s_F*s_I_f*s_T*(1-EXP(-up_RadSpec!AY8*s_t_v)))/(s_Y_v*up_RadSpec!AY8))),".")</f>
        <v>9.0143481925428208</v>
      </c>
      <c r="BT8" s="116">
        <f>IFERROR(IF(up_Bv!X8=0,".",((s_Ir*s_F*s_I_f*s_T*(1-EXP(-up_RadSpec!AY8*s_t_v)))/(s_Y_v*up_RadSpec!AY8))),".")</f>
        <v>9.0143481925428208</v>
      </c>
      <c r="BU8" s="116">
        <f>IFERROR(IF(up_Bv!Y8=0,".",((s_Ir*s_F*s_I_f*s_T*(1-EXP(-up_RadSpec!AY8*s_t_v)))/(s_Y_v*up_RadSpec!AY8))),".")</f>
        <v>9.0143481925428208</v>
      </c>
      <c r="BV8" s="116">
        <f>IFERROR(IF(up_Bv!Z8=0,".",((s_Ir*s_F*s_I_f*s_T*(1-EXP(-up_RadSpec!AY8*s_t_v)))/(s_Y_v*up_RadSpec!AY8))),".")</f>
        <v>9.0143481925428208</v>
      </c>
    </row>
    <row r="9" spans="1:74" x14ac:dyDescent="0.25">
      <c r="A9" s="44" t="s">
        <v>19</v>
      </c>
      <c r="B9" s="42" t="s">
        <v>1074</v>
      </c>
      <c r="C9" s="116">
        <f>IFERROR(IF(up_Bv!C9=0,".",((s_Ir*s_F*up_Bv!C9*(1-EXP(-up_RadSpec!$AX9*s_t_b)))/(s_P*up_RadSpec!$AX9))),".")</f>
        <v>993.50362303732038</v>
      </c>
      <c r="D9" s="116">
        <f>IFERROR(IF(up_Bv!D9=0,".",((s_Ir*s_F*up_Bv!D9*(1-EXP(-up_RadSpec!AX9*s_t_b)))/(s_P*up_RadSpec!AX9))),".")</f>
        <v>993.50362303732038</v>
      </c>
      <c r="E9" s="116">
        <f>IFERROR(IF(up_Bv!E9=0,".",((s_Ir*s_F*up_Bv!E9*(1-EXP(-up_RadSpec!AX9*s_t_b)))/(s_P*up_RadSpec!AX9))),".")</f>
        <v>993.50362303732038</v>
      </c>
      <c r="F9" s="116">
        <f>IFERROR(IF(up_Bv!F9=0,".",((s_Ir*s_F*up_Bv!F9*(1-EXP(-up_RadSpec!AX9*s_t_b)))/(s_P*up_RadSpec!AX9))),".")</f>
        <v>993.50362303732038</v>
      </c>
      <c r="G9" s="116">
        <f>IFERROR(IF(up_Bv!G9=0,".",((s_Ir*s_F*up_Bv!G9*(1-EXP(-up_RadSpec!AX9*s_t_b)))/(s_P*up_RadSpec!AX9))),".")</f>
        <v>993.50362303732038</v>
      </c>
      <c r="H9" s="116">
        <f>IFERROR(IF(up_Bv!H9=0,".",((s_Ir*s_F*up_Bv!H9*(1-EXP(-up_RadSpec!AX9*s_t_b)))/(s_P*up_RadSpec!AX9))),".")</f>
        <v>993.50362303732038</v>
      </c>
      <c r="I9" s="116">
        <f>IFERROR(IF(up_Bv!I9=0,".",((s_Ir*s_F*up_Bv!I9*(1-EXP(-up_RadSpec!AX9*s_t_b)))/(s_P*up_RadSpec!AX9))),".")</f>
        <v>993.50362303732038</v>
      </c>
      <c r="J9" s="116">
        <f>IFERROR(IF(up_Bv!J9=0,".",((s_Ir*s_F*up_Bv!J9*(1-EXP(-up_RadSpec!AX9*s_t_b)))/(s_P*up_RadSpec!AX9))),".")</f>
        <v>993.50362303732038</v>
      </c>
      <c r="K9" s="116">
        <f>IFERROR(IF(up_Bv!K9=0,".",((s_Ir*s_F*up_Bv!K9*(1-EXP(-up_RadSpec!AX9*s_t_b)))/(s_P*up_RadSpec!AX9))),".")</f>
        <v>993.50362303732038</v>
      </c>
      <c r="L9" s="116">
        <f>IFERROR(IF(up_Bv!L9=0,".",((s_Ir*s_F*up_Bv!L9*(1-EXP(-up_RadSpec!AX9*s_t_b)))/(s_P*up_RadSpec!AX9))),".")</f>
        <v>993.50362303732038</v>
      </c>
      <c r="M9" s="116">
        <f>IFERROR(IF(up_Bv!M9=0,".",((s_Ir*s_F*up_Bv!M9*(1-EXP(-up_RadSpec!AX9*s_t_b)))/(s_P*up_RadSpec!AX9))),".")</f>
        <v>993.50362303732038</v>
      </c>
      <c r="N9" s="116">
        <f>IFERROR(IF(up_Bv!N9=0,".",((s_Ir*s_F*up_Bv!N9*(1-EXP(-up_RadSpec!AX9*s_t_b)))/(s_P*up_RadSpec!AX9))),".")</f>
        <v>993.50362303732038</v>
      </c>
      <c r="O9" s="116">
        <f>IFERROR(IF(up_Bv!O9=0,".",((s_Ir*s_F*up_Bv!O9*(1-EXP(-up_RadSpec!AX9*s_t_b)))/(s_P*up_RadSpec!AX9))),".")</f>
        <v>993.50362303732038</v>
      </c>
      <c r="P9" s="116">
        <f>IFERROR(IF(up_Bv!P9=0,".",((s_Ir*s_F*up_Bv!P9*(1-EXP(-up_RadSpec!AX9*s_t_b)))/(s_P*up_RadSpec!AX9))),".")</f>
        <v>993.50362303732038</v>
      </c>
      <c r="Q9" s="116">
        <f>IFERROR(IF(up_Bv!Q9=0,".",((s_Ir*s_F*up_Bv!Q9*(1-EXP(-up_RadSpec!AX9*s_t_b)))/(s_P*up_RadSpec!AX9))),".")</f>
        <v>993.50362303732038</v>
      </c>
      <c r="R9" s="116">
        <f>IFERROR(IF(up_Bv!R9=0,".",((s_Ir*s_F*up_Bv!R9*(1-EXP(-up_RadSpec!AX9*s_t_b)))/(s_P*up_RadSpec!AX9))),".")</f>
        <v>993.50362303732038</v>
      </c>
      <c r="S9" s="116">
        <f>IFERROR(IF(up_Bv!S9=0,".",((s_Ir*s_F*up_Bv!S9*(1-EXP(-up_RadSpec!AX9*s_t_b)))/(s_P*up_RadSpec!AX9))),".")</f>
        <v>993.50362303732038</v>
      </c>
      <c r="T9" s="116">
        <f>IFERROR(IF(up_Bv!T9=0,".",((s_Ir*s_F*up_Bv!T9*(1-EXP(-up_RadSpec!AX9*s_t_b)))/(s_P*up_RadSpec!AX9))),".")</f>
        <v>993.50362303732038</v>
      </c>
      <c r="U9" s="116">
        <f>IFERROR(IF(up_Bv!U9=0,".",((s_Ir*s_F*up_Bv!U9*(1-EXP(-up_RadSpec!AX9*s_t_b)))/(s_P*up_RadSpec!AX9))),".")</f>
        <v>993.50362303732038</v>
      </c>
      <c r="V9" s="116">
        <f>IFERROR(IF(up_Bv!V9=0,".",((s_Ir*s_F*up_Bv!V9*(1-EXP(-up_RadSpec!AX9*s_t_b)))/(s_P*up_RadSpec!AX9))),".")</f>
        <v>993.50362303732038</v>
      </c>
      <c r="W9" s="116">
        <f>IFERROR(IF(up_Bv!W9=0,".",((s_Ir*s_F*up_Bv!W9*(1-EXP(-up_RadSpec!AX9*s_t_b)))/(s_P*up_RadSpec!AX9))),".")</f>
        <v>993.50362303732038</v>
      </c>
      <c r="X9" s="116">
        <f>IFERROR(IF(up_Bv!X9=0,".",((s_Ir*s_F*up_Bv!X9*(1-EXP(-up_RadSpec!AX9*s_t_b)))/(s_P*up_RadSpec!AX9))),".")</f>
        <v>993.50362303732038</v>
      </c>
      <c r="Y9" s="116">
        <f>IFERROR(IF(up_Bv!Y9=0,".",((s_Ir*s_F*up_Bv!Y9*(1-EXP(-up_RadSpec!AX9*s_t_b)))/(s_P*up_RadSpec!AX9))),".")</f>
        <v>993.50362303732038</v>
      </c>
      <c r="Z9" s="116">
        <f>IFERROR(IF(up_Bv!Z9=0,".",((s_Ir*s_F*up_Bv!Z9*(1-EXP(-up_RadSpec!AX9*s_t_b)))/(s_P*up_RadSpec!AX9))),".")</f>
        <v>993.50362303732038</v>
      </c>
      <c r="AA9" s="116">
        <f>IFERROR(IF(up_Bv!C9=0,".",((s_Ir*s_F*s_MLF_apple*(1-EXP(-up_RadSpec!AX9*s_t_b)))/(s_P*up_RadSpec!AX9))),".")</f>
        <v>2.6824597822007652</v>
      </c>
      <c r="AB9" s="116">
        <f>IFERROR(IF(up_Bv!D9=0,".",((s_Ir*s_F*s_MLF_asparagus*(1-EXP(-up_RadSpec!AX9*s_t_b)))/(s_P*up_RadSpec!AX9))),".")</f>
        <v>2.6824597822007652</v>
      </c>
      <c r="AC9" s="116">
        <f>IFERROR(IF(up_Bv!E9=0,".",((s_Ir*s_F*s_MLF_beet*(1-EXP(-up_RadSpec!AX9*s_t_b)))/(s_P*up_RadSpec!AX9))),".")</f>
        <v>2.6824597822007652</v>
      </c>
      <c r="AD9" s="116">
        <f>IFERROR(IF(up_Bv!F9=0,".",((s_Ir*s_F*s_MLF_berries*(1-EXP(-up_RadSpec!AX9*s_t_b)))/(s_P*up_RadSpec!AX9))),".")</f>
        <v>2.6824597822007652</v>
      </c>
      <c r="AE9" s="116">
        <f>IFERROR(IF(up_Bv!G9=0,".",((s_Ir*s_F*s_MLF_broccoli*(1-EXP(-up_RadSpec!AX9*s_t_b)))/(s_P*up_RadSpec!AX9))),".")</f>
        <v>2.6824597822007652</v>
      </c>
      <c r="AF9" s="116">
        <f>IFERROR(IF(up_Bv!H9=0,".",((s_Ir*s_F*s_MLF_cabbage*(1-EXP(-up_RadSpec!AX9*s_t_b)))/(s_P*up_RadSpec!AX9))),".")</f>
        <v>2.6824597822007652</v>
      </c>
      <c r="AG9" s="116">
        <f>IFERROR(IF(up_Bv!I9=0,".",((s_Ir*s_F*s_MLF_carrot*(1-EXP(-up_RadSpec!AX9*s_t_b)))/(s_P*up_RadSpec!AX9))),".")</f>
        <v>2.6824597822007652</v>
      </c>
      <c r="AH9" s="116">
        <f>IFERROR(IF(up_Bv!J9=0,".",((s_Ir*s_F*s_MLF_citrus*(1-EXP(-up_RadSpec!AX9*s_t_b)))/(s_P*up_RadSpec!AX9))),".")</f>
        <v>2.6824597822007652</v>
      </c>
      <c r="AI9" s="116">
        <f>IFERROR(IF(up_Bv!K9=0,".",((s_Ir*s_F*s_MLF_corn*(1-EXP(-up_RadSpec!AX9*s_t_b)))/(s_P*up_RadSpec!AX9))),".")</f>
        <v>2.6824597822007652</v>
      </c>
      <c r="AJ9" s="116">
        <f>IFERROR(IF(up_Bv!L9=0,".",((s_Ir*s_F*s_MLF_cucumber*(1-EXP(-up_RadSpec!AX9*s_t_b)))/(s_P*up_RadSpec!AX9))),".")</f>
        <v>2.6824597822007652</v>
      </c>
      <c r="AK9" s="116">
        <f>IFERROR(IF(up_Bv!M9=0,".",((s_Ir*s_F*s_MLF_lettuce*(1-EXP(-up_RadSpec!AX9*s_t_b)))/(s_P*up_RadSpec!AX9))),".")</f>
        <v>2.6824597822007652</v>
      </c>
      <c r="AL9" s="116">
        <f>IFERROR(IF(up_Bv!N9=0,".",((s_Ir*s_F*s_MLF_lima_bean*(1-EXP(-up_RadSpec!AX9*s_t_b)))/(s_P*up_RadSpec!AX9))),".")</f>
        <v>2.6824597822007652</v>
      </c>
      <c r="AM9" s="116">
        <f>IFERROR(IF(up_Bv!O9=0,".",((s_Ir*s_F*s_MLF_okra*(1-EXP(-up_RadSpec!AX9*s_t_b)))/(s_P*up_RadSpec!AX9))),".")</f>
        <v>2.6824597822007652</v>
      </c>
      <c r="AN9" s="116">
        <f>IFERROR(IF(up_Bv!P9=0,".",((s_Ir*s_F*s_MLF_onion*(1-EXP(-up_RadSpec!AX9*s_t_b)))/(s_P*up_RadSpec!AX9))),".")</f>
        <v>2.6824597822007652</v>
      </c>
      <c r="AO9" s="116">
        <f>IFERROR(IF(up_Bv!Q9=0,".",((s_Ir*s_F*s_MLF_peach*(1-EXP(-up_RadSpec!AX9*s_t_b)))/(s_P*up_RadSpec!AX9))),".")</f>
        <v>2.6824597822007652</v>
      </c>
      <c r="AP9" s="116">
        <f>IFERROR(IF(up_Bv!R9=0,".",((s_Ir*s_F*s_MLF_pear*(1-EXP(-up_RadSpec!AX9*s_t_b)))/(s_P*up_RadSpec!AX9))),".")</f>
        <v>2.6824597822007652</v>
      </c>
      <c r="AQ9" s="116">
        <f>IFERROR(IF(up_Bv!S9=0,".",((s_Ir*s_F*s_MLF_peas*(1-EXP(-up_RadSpec!AX9*s_t_b)))/(s_P*up_RadSpec!AX9))),".")</f>
        <v>2.6824597822007652</v>
      </c>
      <c r="AR9" s="116">
        <f>IFERROR(IF(up_Bv!T9=0,".",((s_Ir*s_F*s_MLF_potato*(1-EXP(-up_RadSpec!AX9*s_t_b)))/(s_P*up_RadSpec!AX9))),".")</f>
        <v>2.6824597822007652</v>
      </c>
      <c r="AS9" s="116">
        <f>IFERROR(IF(up_Bv!U9=0,".",((s_Ir*s_F*s_MLF_pumpkin*(1-EXP(-up_RadSpec!AX9*s_t_b)))/(s_P*up_RadSpec!AX9))),".")</f>
        <v>2.6824597822007652</v>
      </c>
      <c r="AT9" s="116">
        <f>IFERROR(IF(up_Bv!V9=0,".",((s_Ir*s_F*s_MLF_snap_bean*(1-EXP(-up_RadSpec!AX9*s_t_b)))/(s_P*up_RadSpec!AX9))),".")</f>
        <v>2.6824597822007652</v>
      </c>
      <c r="AU9" s="116">
        <f>IFERROR(IF(up_Bv!W9=0,".",((s_Ir*s_F*s_MLF_strawberry*(1-EXP(-up_RadSpec!AX9*s_t_b)))/(s_P*up_RadSpec!AX9))),".")</f>
        <v>2.6824597822007652</v>
      </c>
      <c r="AV9" s="116">
        <f>IFERROR(IF(up_Bv!X9=0,".",((s_Ir*s_F*s_MLF_tomato*(1-EXP(-up_RadSpec!AX9*s_t_b)))/(s_P*up_RadSpec!AX9))),".")</f>
        <v>2.6824597822007652</v>
      </c>
      <c r="AW9" s="116">
        <f>IFERROR(IF(up_Bv!Y9=0,".",((s_Ir*s_F*s_MLF_rice*(1-EXP(-up_RadSpec!AX9*s_t_b)))/(s_P*up_RadSpec!AX9))),".")</f>
        <v>2.6824597822007652</v>
      </c>
      <c r="AX9" s="116">
        <f>IFERROR(IF(up_Bv!Z9=0,".",((s_Ir*s_F*s_MLF_cereal*(1-EXP(-up_RadSpec!AX9*s_t_b)))/(s_P*up_RadSpec!AX9))),".")</f>
        <v>2.6824597822007652</v>
      </c>
      <c r="AY9" s="116">
        <f>IFERROR(IF(up_Bv!C9=0,".",((s_Ir*s_F*s_I_f*s_T*(1-EXP(-up_RadSpec!AY9*s_t_v)))/(s_Y_v*up_RadSpec!AY9))),".")</f>
        <v>9.0143481925428208</v>
      </c>
      <c r="AZ9" s="116">
        <f>IFERROR(IF(up_Bv!D9=0,".",((s_Ir*s_F*s_I_f*s_T*(1-EXP(-up_RadSpec!AY9*s_t_v)))/(s_Y_v*up_RadSpec!AY9))),".")</f>
        <v>9.0143481925428208</v>
      </c>
      <c r="BA9" s="116">
        <f>IFERROR(IF(up_Bv!E9=0,".",((s_Ir*s_F*s_I_f*s_T*(1-EXP(-up_RadSpec!AY9*s_t_v)))/(s_Y_v*up_RadSpec!AY9))),".")</f>
        <v>9.0143481925428208</v>
      </c>
      <c r="BB9" s="116">
        <f>IFERROR(IF(up_Bv!F9=0,".",((s_Ir*s_F*s_I_f*s_T*(1-EXP(-up_RadSpec!AY9*s_t_v)))/(s_Y_v*up_RadSpec!AY9))),".")</f>
        <v>9.0143481925428208</v>
      </c>
      <c r="BC9" s="116">
        <f>IFERROR(IF(up_Bv!G9=0,".",((s_Ir*s_F*s_I_f*s_T*(1-EXP(-up_RadSpec!AY9*s_t_v)))/(s_Y_v*up_RadSpec!AY9))),".")</f>
        <v>9.0143481925428208</v>
      </c>
      <c r="BD9" s="116">
        <f>IFERROR(IF(up_Bv!H9=0,".",((s_Ir*s_F*s_I_f*s_T*(1-EXP(-up_RadSpec!AY9*s_t_v)))/(s_Y_v*up_RadSpec!AY9))),".")</f>
        <v>9.0143481925428208</v>
      </c>
      <c r="BE9" s="116">
        <f>IFERROR(IF(up_Bv!I9=0,".",((s_Ir*s_F*s_I_f*s_T*(1-EXP(-up_RadSpec!AY9*s_t_v)))/(s_Y_v*up_RadSpec!AY9))),".")</f>
        <v>9.0143481925428208</v>
      </c>
      <c r="BF9" s="116">
        <f>IFERROR(IF(up_Bv!J9=0,".",((s_Ir*s_F*s_I_f*s_T*(1-EXP(-up_RadSpec!AY9*s_t_v)))/(s_Y_v*up_RadSpec!AY9))),".")</f>
        <v>9.0143481925428208</v>
      </c>
      <c r="BG9" s="116">
        <f>IFERROR(IF(up_Bv!K9=0,".",((s_Ir*s_F*s_I_f*s_T*(1-EXP(-up_RadSpec!AY9*s_t_v)))/(s_Y_v*up_RadSpec!AY9))),".")</f>
        <v>9.0143481925428208</v>
      </c>
      <c r="BH9" s="116">
        <f>IFERROR(IF(up_Bv!L9=0,".",((s_Ir*s_F*s_I_f*s_T*(1-EXP(-up_RadSpec!AY9*s_t_v)))/(s_Y_v*up_RadSpec!AY9))),".")</f>
        <v>9.0143481925428208</v>
      </c>
      <c r="BI9" s="116">
        <f>IFERROR(IF(up_Bv!M9=0,".",((s_Ir*s_F*s_I_f*s_T*(1-EXP(-up_RadSpec!AY9*s_t_v)))/(s_Y_v*up_RadSpec!AY9))),".")</f>
        <v>9.0143481925428208</v>
      </c>
      <c r="BJ9" s="116">
        <f>IFERROR(IF(up_Bv!N9=0,".",((s_Ir*s_F*s_I_f*s_T*(1-EXP(-up_RadSpec!AY9*s_t_v)))/(s_Y_v*up_RadSpec!AY9))),".")</f>
        <v>9.0143481925428208</v>
      </c>
      <c r="BK9" s="116">
        <f>IFERROR(IF(up_Bv!O9=0,".",((s_Ir*s_F*s_I_f*s_T*(1-EXP(-up_RadSpec!AY9*s_t_v)))/(s_Y_v*up_RadSpec!AY9))),".")</f>
        <v>9.0143481925428208</v>
      </c>
      <c r="BL9" s="116">
        <f>IFERROR(IF(up_Bv!P9=0,".",((s_Ir*s_F*s_I_f*s_T*(1-EXP(-up_RadSpec!AY9*s_t_v)))/(s_Y_v*up_RadSpec!AY9))),".")</f>
        <v>9.0143481925428208</v>
      </c>
      <c r="BM9" s="116">
        <f>IFERROR(IF(up_Bv!Q9=0,".",((s_Ir*s_F*s_I_f*s_T*(1-EXP(-up_RadSpec!AY9*s_t_v)))/(s_Y_v*up_RadSpec!AY9))),".")</f>
        <v>9.0143481925428208</v>
      </c>
      <c r="BN9" s="116">
        <f>IFERROR(IF(up_Bv!R9=0,".",((s_Ir*s_F*s_I_f*s_T*(1-EXP(-up_RadSpec!AY9*s_t_v)))/(s_Y_v*up_RadSpec!AY9))),".")</f>
        <v>9.0143481925428208</v>
      </c>
      <c r="BO9" s="116">
        <f>IFERROR(IF(up_Bv!S9=0,".",((s_Ir*s_F*s_I_f*s_T*(1-EXP(-up_RadSpec!AY9*s_t_v)))/(s_Y_v*up_RadSpec!AY9))),".")</f>
        <v>9.0143481925428208</v>
      </c>
      <c r="BP9" s="116">
        <f>IFERROR(IF(up_Bv!T9=0,".",((s_Ir*s_F*s_I_f*s_T*(1-EXP(-up_RadSpec!AY9*s_t_v)))/(s_Y_v*up_RadSpec!AY9))),".")</f>
        <v>9.0143481925428208</v>
      </c>
      <c r="BQ9" s="116">
        <f>IFERROR(IF(up_Bv!U9=0,".",((s_Ir*s_F*s_I_f*s_T*(1-EXP(-up_RadSpec!AY9*s_t_v)))/(s_Y_v*up_RadSpec!AY9))),".")</f>
        <v>9.0143481925428208</v>
      </c>
      <c r="BR9" s="116">
        <f>IFERROR(IF(up_Bv!V9=0,".",((s_Ir*s_F*s_I_f*s_T*(1-EXP(-up_RadSpec!AY9*s_t_v)))/(s_Y_v*up_RadSpec!AY9))),".")</f>
        <v>9.0143481925428208</v>
      </c>
      <c r="BS9" s="116">
        <f>IFERROR(IF(up_Bv!W9=0,".",((s_Ir*s_F*s_I_f*s_T*(1-EXP(-up_RadSpec!AY9*s_t_v)))/(s_Y_v*up_RadSpec!AY9))),".")</f>
        <v>9.0143481925428208</v>
      </c>
      <c r="BT9" s="116">
        <f>IFERROR(IF(up_Bv!X9=0,".",((s_Ir*s_F*s_I_f*s_T*(1-EXP(-up_RadSpec!AY9*s_t_v)))/(s_Y_v*up_RadSpec!AY9))),".")</f>
        <v>9.0143481925428208</v>
      </c>
      <c r="BU9" s="116">
        <f>IFERROR(IF(up_Bv!Y9=0,".",((s_Ir*s_F*s_I_f*s_T*(1-EXP(-up_RadSpec!AY9*s_t_v)))/(s_Y_v*up_RadSpec!AY9))),".")</f>
        <v>9.0143481925428208</v>
      </c>
      <c r="BV9" s="116">
        <f>IFERROR(IF(up_Bv!Z9=0,".",((s_Ir*s_F*s_I_f*s_T*(1-EXP(-up_RadSpec!AY9*s_t_v)))/(s_Y_v*up_RadSpec!AY9))),".")</f>
        <v>9.0143481925428208</v>
      </c>
    </row>
    <row r="10" spans="1:74" x14ac:dyDescent="0.25">
      <c r="A10" s="46" t="s">
        <v>20</v>
      </c>
      <c r="B10" s="42" t="s">
        <v>351</v>
      </c>
      <c r="C10" s="116">
        <f>IFERROR(IF(up_Bv!C10=0,".",((s_Ir*s_F*up_Bv!C10*(1-EXP(-up_RadSpec!$AX10*s_t_b)))/(s_P*up_RadSpec!$AX10))),".")</f>
        <v>993.50362303732038</v>
      </c>
      <c r="D10" s="116">
        <f>IFERROR(IF(up_Bv!D10=0,".",((s_Ir*s_F*up_Bv!D10*(1-EXP(-up_RadSpec!AX10*s_t_b)))/(s_P*up_RadSpec!AX10))),".")</f>
        <v>993.50362303732038</v>
      </c>
      <c r="E10" s="116">
        <f>IFERROR(IF(up_Bv!E10=0,".",((s_Ir*s_F*up_Bv!E10*(1-EXP(-up_RadSpec!AX10*s_t_b)))/(s_P*up_RadSpec!AX10))),".")</f>
        <v>993.50362303732038</v>
      </c>
      <c r="F10" s="116">
        <f>IFERROR(IF(up_Bv!F10=0,".",((s_Ir*s_F*up_Bv!F10*(1-EXP(-up_RadSpec!AX10*s_t_b)))/(s_P*up_RadSpec!AX10))),".")</f>
        <v>993.50362303732038</v>
      </c>
      <c r="G10" s="116">
        <f>IFERROR(IF(up_Bv!G10=0,".",((s_Ir*s_F*up_Bv!G10*(1-EXP(-up_RadSpec!AX10*s_t_b)))/(s_P*up_RadSpec!AX10))),".")</f>
        <v>993.50362303732038</v>
      </c>
      <c r="H10" s="116">
        <f>IFERROR(IF(up_Bv!H10=0,".",((s_Ir*s_F*up_Bv!H10*(1-EXP(-up_RadSpec!AX10*s_t_b)))/(s_P*up_RadSpec!AX10))),".")</f>
        <v>993.50362303732038</v>
      </c>
      <c r="I10" s="116">
        <f>IFERROR(IF(up_Bv!I10=0,".",((s_Ir*s_F*up_Bv!I10*(1-EXP(-up_RadSpec!AX10*s_t_b)))/(s_P*up_RadSpec!AX10))),".")</f>
        <v>993.50362303732038</v>
      </c>
      <c r="J10" s="116">
        <f>IFERROR(IF(up_Bv!J10=0,".",((s_Ir*s_F*up_Bv!J10*(1-EXP(-up_RadSpec!AX10*s_t_b)))/(s_P*up_RadSpec!AX10))),".")</f>
        <v>993.50362303732038</v>
      </c>
      <c r="K10" s="116">
        <f>IFERROR(IF(up_Bv!K10=0,".",((s_Ir*s_F*up_Bv!K10*(1-EXP(-up_RadSpec!AX10*s_t_b)))/(s_P*up_RadSpec!AX10))),".")</f>
        <v>993.50362303732038</v>
      </c>
      <c r="L10" s="116">
        <f>IFERROR(IF(up_Bv!L10=0,".",((s_Ir*s_F*up_Bv!L10*(1-EXP(-up_RadSpec!AX10*s_t_b)))/(s_P*up_RadSpec!AX10))),".")</f>
        <v>993.50362303732038</v>
      </c>
      <c r="M10" s="116">
        <f>IFERROR(IF(up_Bv!M10=0,".",((s_Ir*s_F*up_Bv!M10*(1-EXP(-up_RadSpec!AX10*s_t_b)))/(s_P*up_RadSpec!AX10))),".")</f>
        <v>993.50362303732038</v>
      </c>
      <c r="N10" s="116">
        <f>IFERROR(IF(up_Bv!N10=0,".",((s_Ir*s_F*up_Bv!N10*(1-EXP(-up_RadSpec!AX10*s_t_b)))/(s_P*up_RadSpec!AX10))),".")</f>
        <v>993.50362303732038</v>
      </c>
      <c r="O10" s="116">
        <f>IFERROR(IF(up_Bv!O10=0,".",((s_Ir*s_F*up_Bv!O10*(1-EXP(-up_RadSpec!AX10*s_t_b)))/(s_P*up_RadSpec!AX10))),".")</f>
        <v>993.50362303732038</v>
      </c>
      <c r="P10" s="116">
        <f>IFERROR(IF(up_Bv!P10=0,".",((s_Ir*s_F*up_Bv!P10*(1-EXP(-up_RadSpec!AX10*s_t_b)))/(s_P*up_RadSpec!AX10))),".")</f>
        <v>993.50362303732038</v>
      </c>
      <c r="Q10" s="116">
        <f>IFERROR(IF(up_Bv!Q10=0,".",((s_Ir*s_F*up_Bv!Q10*(1-EXP(-up_RadSpec!AX10*s_t_b)))/(s_P*up_RadSpec!AX10))),".")</f>
        <v>993.50362303732038</v>
      </c>
      <c r="R10" s="116">
        <f>IFERROR(IF(up_Bv!R10=0,".",((s_Ir*s_F*up_Bv!R10*(1-EXP(-up_RadSpec!AX10*s_t_b)))/(s_P*up_RadSpec!AX10))),".")</f>
        <v>993.50362303732038</v>
      </c>
      <c r="S10" s="116">
        <f>IFERROR(IF(up_Bv!S10=0,".",((s_Ir*s_F*up_Bv!S10*(1-EXP(-up_RadSpec!AX10*s_t_b)))/(s_P*up_RadSpec!AX10))),".")</f>
        <v>993.50362303732038</v>
      </c>
      <c r="T10" s="116">
        <f>IFERROR(IF(up_Bv!T10=0,".",((s_Ir*s_F*up_Bv!T10*(1-EXP(-up_RadSpec!AX10*s_t_b)))/(s_P*up_RadSpec!AX10))),".")</f>
        <v>993.50362303732038</v>
      </c>
      <c r="U10" s="116">
        <f>IFERROR(IF(up_Bv!U10=0,".",((s_Ir*s_F*up_Bv!U10*(1-EXP(-up_RadSpec!AX10*s_t_b)))/(s_P*up_RadSpec!AX10))),".")</f>
        <v>993.50362303732038</v>
      </c>
      <c r="V10" s="116">
        <f>IFERROR(IF(up_Bv!V10=0,".",((s_Ir*s_F*up_Bv!V10*(1-EXP(-up_RadSpec!AX10*s_t_b)))/(s_P*up_RadSpec!AX10))),".")</f>
        <v>993.50362303732038</v>
      </c>
      <c r="W10" s="116">
        <f>IFERROR(IF(up_Bv!W10=0,".",((s_Ir*s_F*up_Bv!W10*(1-EXP(-up_RadSpec!AX10*s_t_b)))/(s_P*up_RadSpec!AX10))),".")</f>
        <v>993.50362303732038</v>
      </c>
      <c r="X10" s="116">
        <f>IFERROR(IF(up_Bv!X10=0,".",((s_Ir*s_F*up_Bv!X10*(1-EXP(-up_RadSpec!AX10*s_t_b)))/(s_P*up_RadSpec!AX10))),".")</f>
        <v>993.50362303732038</v>
      </c>
      <c r="Y10" s="116">
        <f>IFERROR(IF(up_Bv!Y10=0,".",((s_Ir*s_F*up_Bv!Y10*(1-EXP(-up_RadSpec!AX10*s_t_b)))/(s_P*up_RadSpec!AX10))),".")</f>
        <v>993.50362303732038</v>
      </c>
      <c r="Z10" s="116">
        <f>IFERROR(IF(up_Bv!Z10=0,".",((s_Ir*s_F*up_Bv!Z10*(1-EXP(-up_RadSpec!AX10*s_t_b)))/(s_P*up_RadSpec!AX10))),".")</f>
        <v>993.50362303732038</v>
      </c>
      <c r="AA10" s="116">
        <f>IFERROR(IF(up_Bv!C10=0,".",((s_Ir*s_F*s_MLF_apple*(1-EXP(-up_RadSpec!AX10*s_t_b)))/(s_P*up_RadSpec!AX10))),".")</f>
        <v>2.6824597822007652</v>
      </c>
      <c r="AB10" s="116">
        <f>IFERROR(IF(up_Bv!D10=0,".",((s_Ir*s_F*s_MLF_asparagus*(1-EXP(-up_RadSpec!AX10*s_t_b)))/(s_P*up_RadSpec!AX10))),".")</f>
        <v>2.6824597822007652</v>
      </c>
      <c r="AC10" s="116">
        <f>IFERROR(IF(up_Bv!E10=0,".",((s_Ir*s_F*s_MLF_beet*(1-EXP(-up_RadSpec!AX10*s_t_b)))/(s_P*up_RadSpec!AX10))),".")</f>
        <v>2.6824597822007652</v>
      </c>
      <c r="AD10" s="116">
        <f>IFERROR(IF(up_Bv!F10=0,".",((s_Ir*s_F*s_MLF_berries*(1-EXP(-up_RadSpec!AX10*s_t_b)))/(s_P*up_RadSpec!AX10))),".")</f>
        <v>2.6824597822007652</v>
      </c>
      <c r="AE10" s="116">
        <f>IFERROR(IF(up_Bv!G10=0,".",((s_Ir*s_F*s_MLF_broccoli*(1-EXP(-up_RadSpec!AX10*s_t_b)))/(s_P*up_RadSpec!AX10))),".")</f>
        <v>2.6824597822007652</v>
      </c>
      <c r="AF10" s="116">
        <f>IFERROR(IF(up_Bv!H10=0,".",((s_Ir*s_F*s_MLF_cabbage*(1-EXP(-up_RadSpec!AX10*s_t_b)))/(s_P*up_RadSpec!AX10))),".")</f>
        <v>2.6824597822007652</v>
      </c>
      <c r="AG10" s="116">
        <f>IFERROR(IF(up_Bv!I10=0,".",((s_Ir*s_F*s_MLF_carrot*(1-EXP(-up_RadSpec!AX10*s_t_b)))/(s_P*up_RadSpec!AX10))),".")</f>
        <v>2.6824597822007652</v>
      </c>
      <c r="AH10" s="116">
        <f>IFERROR(IF(up_Bv!J10=0,".",((s_Ir*s_F*s_MLF_citrus*(1-EXP(-up_RadSpec!AX10*s_t_b)))/(s_P*up_RadSpec!AX10))),".")</f>
        <v>2.6824597822007652</v>
      </c>
      <c r="AI10" s="116">
        <f>IFERROR(IF(up_Bv!K10=0,".",((s_Ir*s_F*s_MLF_corn*(1-EXP(-up_RadSpec!AX10*s_t_b)))/(s_P*up_RadSpec!AX10))),".")</f>
        <v>2.6824597822007652</v>
      </c>
      <c r="AJ10" s="116">
        <f>IFERROR(IF(up_Bv!L10=0,".",((s_Ir*s_F*s_MLF_cucumber*(1-EXP(-up_RadSpec!AX10*s_t_b)))/(s_P*up_RadSpec!AX10))),".")</f>
        <v>2.6824597822007652</v>
      </c>
      <c r="AK10" s="116">
        <f>IFERROR(IF(up_Bv!M10=0,".",((s_Ir*s_F*s_MLF_lettuce*(1-EXP(-up_RadSpec!AX10*s_t_b)))/(s_P*up_RadSpec!AX10))),".")</f>
        <v>2.6824597822007652</v>
      </c>
      <c r="AL10" s="116">
        <f>IFERROR(IF(up_Bv!N10=0,".",((s_Ir*s_F*s_MLF_lima_bean*(1-EXP(-up_RadSpec!AX10*s_t_b)))/(s_P*up_RadSpec!AX10))),".")</f>
        <v>2.6824597822007652</v>
      </c>
      <c r="AM10" s="116">
        <f>IFERROR(IF(up_Bv!O10=0,".",((s_Ir*s_F*s_MLF_okra*(1-EXP(-up_RadSpec!AX10*s_t_b)))/(s_P*up_RadSpec!AX10))),".")</f>
        <v>2.6824597822007652</v>
      </c>
      <c r="AN10" s="116">
        <f>IFERROR(IF(up_Bv!P10=0,".",((s_Ir*s_F*s_MLF_onion*(1-EXP(-up_RadSpec!AX10*s_t_b)))/(s_P*up_RadSpec!AX10))),".")</f>
        <v>2.6824597822007652</v>
      </c>
      <c r="AO10" s="116">
        <f>IFERROR(IF(up_Bv!Q10=0,".",((s_Ir*s_F*s_MLF_peach*(1-EXP(-up_RadSpec!AX10*s_t_b)))/(s_P*up_RadSpec!AX10))),".")</f>
        <v>2.6824597822007652</v>
      </c>
      <c r="AP10" s="116">
        <f>IFERROR(IF(up_Bv!R10=0,".",((s_Ir*s_F*s_MLF_pear*(1-EXP(-up_RadSpec!AX10*s_t_b)))/(s_P*up_RadSpec!AX10))),".")</f>
        <v>2.6824597822007652</v>
      </c>
      <c r="AQ10" s="116">
        <f>IFERROR(IF(up_Bv!S10=0,".",((s_Ir*s_F*s_MLF_peas*(1-EXP(-up_RadSpec!AX10*s_t_b)))/(s_P*up_RadSpec!AX10))),".")</f>
        <v>2.6824597822007652</v>
      </c>
      <c r="AR10" s="116">
        <f>IFERROR(IF(up_Bv!T10=0,".",((s_Ir*s_F*s_MLF_potato*(1-EXP(-up_RadSpec!AX10*s_t_b)))/(s_P*up_RadSpec!AX10))),".")</f>
        <v>2.6824597822007652</v>
      </c>
      <c r="AS10" s="116">
        <f>IFERROR(IF(up_Bv!U10=0,".",((s_Ir*s_F*s_MLF_pumpkin*(1-EXP(-up_RadSpec!AX10*s_t_b)))/(s_P*up_RadSpec!AX10))),".")</f>
        <v>2.6824597822007652</v>
      </c>
      <c r="AT10" s="116">
        <f>IFERROR(IF(up_Bv!V10=0,".",((s_Ir*s_F*s_MLF_snap_bean*(1-EXP(-up_RadSpec!AX10*s_t_b)))/(s_P*up_RadSpec!AX10))),".")</f>
        <v>2.6824597822007652</v>
      </c>
      <c r="AU10" s="116">
        <f>IFERROR(IF(up_Bv!W10=0,".",((s_Ir*s_F*s_MLF_strawberry*(1-EXP(-up_RadSpec!AX10*s_t_b)))/(s_P*up_RadSpec!AX10))),".")</f>
        <v>2.6824597822007652</v>
      </c>
      <c r="AV10" s="116">
        <f>IFERROR(IF(up_Bv!X10=0,".",((s_Ir*s_F*s_MLF_tomato*(1-EXP(-up_RadSpec!AX10*s_t_b)))/(s_P*up_RadSpec!AX10))),".")</f>
        <v>2.6824597822007652</v>
      </c>
      <c r="AW10" s="116">
        <f>IFERROR(IF(up_Bv!Y10=0,".",((s_Ir*s_F*s_MLF_rice*(1-EXP(-up_RadSpec!AX10*s_t_b)))/(s_P*up_RadSpec!AX10))),".")</f>
        <v>2.6824597822007652</v>
      </c>
      <c r="AX10" s="116">
        <f>IFERROR(IF(up_Bv!Z10=0,".",((s_Ir*s_F*s_MLF_cereal*(1-EXP(-up_RadSpec!AX10*s_t_b)))/(s_P*up_RadSpec!AX10))),".")</f>
        <v>2.6824597822007652</v>
      </c>
      <c r="AY10" s="116">
        <f>IFERROR(IF(up_Bv!C10=0,".",((s_Ir*s_F*s_I_f*s_T*(1-EXP(-up_RadSpec!AY10*s_t_v)))/(s_Y_v*up_RadSpec!AY10))),".")</f>
        <v>9.0143481925428208</v>
      </c>
      <c r="AZ10" s="116">
        <f>IFERROR(IF(up_Bv!D10=0,".",((s_Ir*s_F*s_I_f*s_T*(1-EXP(-up_RadSpec!AY10*s_t_v)))/(s_Y_v*up_RadSpec!AY10))),".")</f>
        <v>9.0143481925428208</v>
      </c>
      <c r="BA10" s="116">
        <f>IFERROR(IF(up_Bv!E10=0,".",((s_Ir*s_F*s_I_f*s_T*(1-EXP(-up_RadSpec!AY10*s_t_v)))/(s_Y_v*up_RadSpec!AY10))),".")</f>
        <v>9.0143481925428208</v>
      </c>
      <c r="BB10" s="116">
        <f>IFERROR(IF(up_Bv!F10=0,".",((s_Ir*s_F*s_I_f*s_T*(1-EXP(-up_RadSpec!AY10*s_t_v)))/(s_Y_v*up_RadSpec!AY10))),".")</f>
        <v>9.0143481925428208</v>
      </c>
      <c r="BC10" s="116">
        <f>IFERROR(IF(up_Bv!G10=0,".",((s_Ir*s_F*s_I_f*s_T*(1-EXP(-up_RadSpec!AY10*s_t_v)))/(s_Y_v*up_RadSpec!AY10))),".")</f>
        <v>9.0143481925428208</v>
      </c>
      <c r="BD10" s="116">
        <f>IFERROR(IF(up_Bv!H10=0,".",((s_Ir*s_F*s_I_f*s_T*(1-EXP(-up_RadSpec!AY10*s_t_v)))/(s_Y_v*up_RadSpec!AY10))),".")</f>
        <v>9.0143481925428208</v>
      </c>
      <c r="BE10" s="116">
        <f>IFERROR(IF(up_Bv!I10=0,".",((s_Ir*s_F*s_I_f*s_T*(1-EXP(-up_RadSpec!AY10*s_t_v)))/(s_Y_v*up_RadSpec!AY10))),".")</f>
        <v>9.0143481925428208</v>
      </c>
      <c r="BF10" s="116">
        <f>IFERROR(IF(up_Bv!J10=0,".",((s_Ir*s_F*s_I_f*s_T*(1-EXP(-up_RadSpec!AY10*s_t_v)))/(s_Y_v*up_RadSpec!AY10))),".")</f>
        <v>9.0143481925428208</v>
      </c>
      <c r="BG10" s="116">
        <f>IFERROR(IF(up_Bv!K10=0,".",((s_Ir*s_F*s_I_f*s_T*(1-EXP(-up_RadSpec!AY10*s_t_v)))/(s_Y_v*up_RadSpec!AY10))),".")</f>
        <v>9.0143481925428208</v>
      </c>
      <c r="BH10" s="116">
        <f>IFERROR(IF(up_Bv!L10=0,".",((s_Ir*s_F*s_I_f*s_T*(1-EXP(-up_RadSpec!AY10*s_t_v)))/(s_Y_v*up_RadSpec!AY10))),".")</f>
        <v>9.0143481925428208</v>
      </c>
      <c r="BI10" s="116">
        <f>IFERROR(IF(up_Bv!M10=0,".",((s_Ir*s_F*s_I_f*s_T*(1-EXP(-up_RadSpec!AY10*s_t_v)))/(s_Y_v*up_RadSpec!AY10))),".")</f>
        <v>9.0143481925428208</v>
      </c>
      <c r="BJ10" s="116">
        <f>IFERROR(IF(up_Bv!N10=0,".",((s_Ir*s_F*s_I_f*s_T*(1-EXP(-up_RadSpec!AY10*s_t_v)))/(s_Y_v*up_RadSpec!AY10))),".")</f>
        <v>9.0143481925428208</v>
      </c>
      <c r="BK10" s="116">
        <f>IFERROR(IF(up_Bv!O10=0,".",((s_Ir*s_F*s_I_f*s_T*(1-EXP(-up_RadSpec!AY10*s_t_v)))/(s_Y_v*up_RadSpec!AY10))),".")</f>
        <v>9.0143481925428208</v>
      </c>
      <c r="BL10" s="116">
        <f>IFERROR(IF(up_Bv!P10=0,".",((s_Ir*s_F*s_I_f*s_T*(1-EXP(-up_RadSpec!AY10*s_t_v)))/(s_Y_v*up_RadSpec!AY10))),".")</f>
        <v>9.0143481925428208</v>
      </c>
      <c r="BM10" s="116">
        <f>IFERROR(IF(up_Bv!Q10=0,".",((s_Ir*s_F*s_I_f*s_T*(1-EXP(-up_RadSpec!AY10*s_t_v)))/(s_Y_v*up_RadSpec!AY10))),".")</f>
        <v>9.0143481925428208</v>
      </c>
      <c r="BN10" s="116">
        <f>IFERROR(IF(up_Bv!R10=0,".",((s_Ir*s_F*s_I_f*s_T*(1-EXP(-up_RadSpec!AY10*s_t_v)))/(s_Y_v*up_RadSpec!AY10))),".")</f>
        <v>9.0143481925428208</v>
      </c>
      <c r="BO10" s="116">
        <f>IFERROR(IF(up_Bv!S10=0,".",((s_Ir*s_F*s_I_f*s_T*(1-EXP(-up_RadSpec!AY10*s_t_v)))/(s_Y_v*up_RadSpec!AY10))),".")</f>
        <v>9.0143481925428208</v>
      </c>
      <c r="BP10" s="116">
        <f>IFERROR(IF(up_Bv!T10=0,".",((s_Ir*s_F*s_I_f*s_T*(1-EXP(-up_RadSpec!AY10*s_t_v)))/(s_Y_v*up_RadSpec!AY10))),".")</f>
        <v>9.0143481925428208</v>
      </c>
      <c r="BQ10" s="116">
        <f>IFERROR(IF(up_Bv!U10=0,".",((s_Ir*s_F*s_I_f*s_T*(1-EXP(-up_RadSpec!AY10*s_t_v)))/(s_Y_v*up_RadSpec!AY10))),".")</f>
        <v>9.0143481925428208</v>
      </c>
      <c r="BR10" s="116">
        <f>IFERROR(IF(up_Bv!V10=0,".",((s_Ir*s_F*s_I_f*s_T*(1-EXP(-up_RadSpec!AY10*s_t_v)))/(s_Y_v*up_RadSpec!AY10))),".")</f>
        <v>9.0143481925428208</v>
      </c>
      <c r="BS10" s="116">
        <f>IFERROR(IF(up_Bv!W10=0,".",((s_Ir*s_F*s_I_f*s_T*(1-EXP(-up_RadSpec!AY10*s_t_v)))/(s_Y_v*up_RadSpec!AY10))),".")</f>
        <v>9.0143481925428208</v>
      </c>
      <c r="BT10" s="116">
        <f>IFERROR(IF(up_Bv!X10=0,".",((s_Ir*s_F*s_I_f*s_T*(1-EXP(-up_RadSpec!AY10*s_t_v)))/(s_Y_v*up_RadSpec!AY10))),".")</f>
        <v>9.0143481925428208</v>
      </c>
      <c r="BU10" s="116">
        <f>IFERROR(IF(up_Bv!Y10=0,".",((s_Ir*s_F*s_I_f*s_T*(1-EXP(-up_RadSpec!AY10*s_t_v)))/(s_Y_v*up_RadSpec!AY10))),".")</f>
        <v>9.0143481925428208</v>
      </c>
      <c r="BV10" s="116">
        <f>IFERROR(IF(up_Bv!Z10=0,".",((s_Ir*s_F*s_I_f*s_T*(1-EXP(-up_RadSpec!AY10*s_t_v)))/(s_Y_v*up_RadSpec!AY10))),".")</f>
        <v>9.0143481925428208</v>
      </c>
    </row>
    <row r="11" spans="1:74" x14ac:dyDescent="0.25">
      <c r="A11" s="44" t="s">
        <v>21</v>
      </c>
      <c r="B11" s="42" t="s">
        <v>1074</v>
      </c>
      <c r="C11" s="116">
        <f>IFERROR(IF(up_Bv!C11=0,".",((s_Ir*s_F*up_Bv!C11*(1-EXP(-up_RadSpec!$AX11*s_t_b)))/(s_P*up_RadSpec!$AX11))),".")</f>
        <v>993.50362303732038</v>
      </c>
      <c r="D11" s="116">
        <f>IFERROR(IF(up_Bv!D11=0,".",((s_Ir*s_F*up_Bv!D11*(1-EXP(-up_RadSpec!AX11*s_t_b)))/(s_P*up_RadSpec!AX11))),".")</f>
        <v>993.50362303732038</v>
      </c>
      <c r="E11" s="116">
        <f>IFERROR(IF(up_Bv!E11=0,".",((s_Ir*s_F*up_Bv!E11*(1-EXP(-up_RadSpec!AX11*s_t_b)))/(s_P*up_RadSpec!AX11))),".")</f>
        <v>993.50362303732038</v>
      </c>
      <c r="F11" s="116">
        <f>IFERROR(IF(up_Bv!F11=0,".",((s_Ir*s_F*up_Bv!F11*(1-EXP(-up_RadSpec!AX11*s_t_b)))/(s_P*up_RadSpec!AX11))),".")</f>
        <v>993.50362303732038</v>
      </c>
      <c r="G11" s="116">
        <f>IFERROR(IF(up_Bv!G11=0,".",((s_Ir*s_F*up_Bv!G11*(1-EXP(-up_RadSpec!AX11*s_t_b)))/(s_P*up_RadSpec!AX11))),".")</f>
        <v>993.50362303732038</v>
      </c>
      <c r="H11" s="116">
        <f>IFERROR(IF(up_Bv!H11=0,".",((s_Ir*s_F*up_Bv!H11*(1-EXP(-up_RadSpec!AX11*s_t_b)))/(s_P*up_RadSpec!AX11))),".")</f>
        <v>993.50362303732038</v>
      </c>
      <c r="I11" s="116">
        <f>IFERROR(IF(up_Bv!I11=0,".",((s_Ir*s_F*up_Bv!I11*(1-EXP(-up_RadSpec!AX11*s_t_b)))/(s_P*up_RadSpec!AX11))),".")</f>
        <v>993.50362303732038</v>
      </c>
      <c r="J11" s="116">
        <f>IFERROR(IF(up_Bv!J11=0,".",((s_Ir*s_F*up_Bv!J11*(1-EXP(-up_RadSpec!AX11*s_t_b)))/(s_P*up_RadSpec!AX11))),".")</f>
        <v>993.50362303732038</v>
      </c>
      <c r="K11" s="116">
        <f>IFERROR(IF(up_Bv!K11=0,".",((s_Ir*s_F*up_Bv!K11*(1-EXP(-up_RadSpec!AX11*s_t_b)))/(s_P*up_RadSpec!AX11))),".")</f>
        <v>993.50362303732038</v>
      </c>
      <c r="L11" s="116">
        <f>IFERROR(IF(up_Bv!L11=0,".",((s_Ir*s_F*up_Bv!L11*(1-EXP(-up_RadSpec!AX11*s_t_b)))/(s_P*up_RadSpec!AX11))),".")</f>
        <v>993.50362303732038</v>
      </c>
      <c r="M11" s="116">
        <f>IFERROR(IF(up_Bv!M11=0,".",((s_Ir*s_F*up_Bv!M11*(1-EXP(-up_RadSpec!AX11*s_t_b)))/(s_P*up_RadSpec!AX11))),".")</f>
        <v>993.50362303732038</v>
      </c>
      <c r="N11" s="116">
        <f>IFERROR(IF(up_Bv!N11=0,".",((s_Ir*s_F*up_Bv!N11*(1-EXP(-up_RadSpec!AX11*s_t_b)))/(s_P*up_RadSpec!AX11))),".")</f>
        <v>993.50362303732038</v>
      </c>
      <c r="O11" s="116">
        <f>IFERROR(IF(up_Bv!O11=0,".",((s_Ir*s_F*up_Bv!O11*(1-EXP(-up_RadSpec!AX11*s_t_b)))/(s_P*up_RadSpec!AX11))),".")</f>
        <v>993.50362303732038</v>
      </c>
      <c r="P11" s="116">
        <f>IFERROR(IF(up_Bv!P11=0,".",((s_Ir*s_F*up_Bv!P11*(1-EXP(-up_RadSpec!AX11*s_t_b)))/(s_P*up_RadSpec!AX11))),".")</f>
        <v>993.50362303732038</v>
      </c>
      <c r="Q11" s="116">
        <f>IFERROR(IF(up_Bv!Q11=0,".",((s_Ir*s_F*up_Bv!Q11*(1-EXP(-up_RadSpec!AX11*s_t_b)))/(s_P*up_RadSpec!AX11))),".")</f>
        <v>993.50362303732038</v>
      </c>
      <c r="R11" s="116">
        <f>IFERROR(IF(up_Bv!R11=0,".",((s_Ir*s_F*up_Bv!R11*(1-EXP(-up_RadSpec!AX11*s_t_b)))/(s_P*up_RadSpec!AX11))),".")</f>
        <v>993.50362303732038</v>
      </c>
      <c r="S11" s="116">
        <f>IFERROR(IF(up_Bv!S11=0,".",((s_Ir*s_F*up_Bv!S11*(1-EXP(-up_RadSpec!AX11*s_t_b)))/(s_P*up_RadSpec!AX11))),".")</f>
        <v>993.50362303732038</v>
      </c>
      <c r="T11" s="116">
        <f>IFERROR(IF(up_Bv!T11=0,".",((s_Ir*s_F*up_Bv!T11*(1-EXP(-up_RadSpec!AX11*s_t_b)))/(s_P*up_RadSpec!AX11))),".")</f>
        <v>993.50362303732038</v>
      </c>
      <c r="U11" s="116">
        <f>IFERROR(IF(up_Bv!U11=0,".",((s_Ir*s_F*up_Bv!U11*(1-EXP(-up_RadSpec!AX11*s_t_b)))/(s_P*up_RadSpec!AX11))),".")</f>
        <v>993.50362303732038</v>
      </c>
      <c r="V11" s="116">
        <f>IFERROR(IF(up_Bv!V11=0,".",((s_Ir*s_F*up_Bv!V11*(1-EXP(-up_RadSpec!AX11*s_t_b)))/(s_P*up_RadSpec!AX11))),".")</f>
        <v>993.50362303732038</v>
      </c>
      <c r="W11" s="116">
        <f>IFERROR(IF(up_Bv!W11=0,".",((s_Ir*s_F*up_Bv!W11*(1-EXP(-up_RadSpec!AX11*s_t_b)))/(s_P*up_RadSpec!AX11))),".")</f>
        <v>993.50362303732038</v>
      </c>
      <c r="X11" s="116">
        <f>IFERROR(IF(up_Bv!X11=0,".",((s_Ir*s_F*up_Bv!X11*(1-EXP(-up_RadSpec!AX11*s_t_b)))/(s_P*up_RadSpec!AX11))),".")</f>
        <v>993.50362303732038</v>
      </c>
      <c r="Y11" s="116">
        <f>IFERROR(IF(up_Bv!Y11=0,".",((s_Ir*s_F*up_Bv!Y11*(1-EXP(-up_RadSpec!AX11*s_t_b)))/(s_P*up_RadSpec!AX11))),".")</f>
        <v>993.50362303732038</v>
      </c>
      <c r="Z11" s="116">
        <f>IFERROR(IF(up_Bv!Z11=0,".",((s_Ir*s_F*up_Bv!Z11*(1-EXP(-up_RadSpec!AX11*s_t_b)))/(s_P*up_RadSpec!AX11))),".")</f>
        <v>993.50362303732038</v>
      </c>
      <c r="AA11" s="116">
        <f>IFERROR(IF(up_Bv!C11=0,".",((s_Ir*s_F*s_MLF_apple*(1-EXP(-up_RadSpec!AX11*s_t_b)))/(s_P*up_RadSpec!AX11))),".")</f>
        <v>2.6824597822007652</v>
      </c>
      <c r="AB11" s="116">
        <f>IFERROR(IF(up_Bv!D11=0,".",((s_Ir*s_F*s_MLF_asparagus*(1-EXP(-up_RadSpec!AX11*s_t_b)))/(s_P*up_RadSpec!AX11))),".")</f>
        <v>2.6824597822007652</v>
      </c>
      <c r="AC11" s="116">
        <f>IFERROR(IF(up_Bv!E11=0,".",((s_Ir*s_F*s_MLF_beet*(1-EXP(-up_RadSpec!AX11*s_t_b)))/(s_P*up_RadSpec!AX11))),".")</f>
        <v>2.6824597822007652</v>
      </c>
      <c r="AD11" s="116">
        <f>IFERROR(IF(up_Bv!F11=0,".",((s_Ir*s_F*s_MLF_berries*(1-EXP(-up_RadSpec!AX11*s_t_b)))/(s_P*up_RadSpec!AX11))),".")</f>
        <v>2.6824597822007652</v>
      </c>
      <c r="AE11" s="116">
        <f>IFERROR(IF(up_Bv!G11=0,".",((s_Ir*s_F*s_MLF_broccoli*(1-EXP(-up_RadSpec!AX11*s_t_b)))/(s_P*up_RadSpec!AX11))),".")</f>
        <v>2.6824597822007652</v>
      </c>
      <c r="AF11" s="116">
        <f>IFERROR(IF(up_Bv!H11=0,".",((s_Ir*s_F*s_MLF_cabbage*(1-EXP(-up_RadSpec!AX11*s_t_b)))/(s_P*up_RadSpec!AX11))),".")</f>
        <v>2.6824597822007652</v>
      </c>
      <c r="AG11" s="116">
        <f>IFERROR(IF(up_Bv!I11=0,".",((s_Ir*s_F*s_MLF_carrot*(1-EXP(-up_RadSpec!AX11*s_t_b)))/(s_P*up_RadSpec!AX11))),".")</f>
        <v>2.6824597822007652</v>
      </c>
      <c r="AH11" s="116">
        <f>IFERROR(IF(up_Bv!J11=0,".",((s_Ir*s_F*s_MLF_citrus*(1-EXP(-up_RadSpec!AX11*s_t_b)))/(s_P*up_RadSpec!AX11))),".")</f>
        <v>2.6824597822007652</v>
      </c>
      <c r="AI11" s="116">
        <f>IFERROR(IF(up_Bv!K11=0,".",((s_Ir*s_F*s_MLF_corn*(1-EXP(-up_RadSpec!AX11*s_t_b)))/(s_P*up_RadSpec!AX11))),".")</f>
        <v>2.6824597822007652</v>
      </c>
      <c r="AJ11" s="116">
        <f>IFERROR(IF(up_Bv!L11=0,".",((s_Ir*s_F*s_MLF_cucumber*(1-EXP(-up_RadSpec!AX11*s_t_b)))/(s_P*up_RadSpec!AX11))),".")</f>
        <v>2.6824597822007652</v>
      </c>
      <c r="AK11" s="116">
        <f>IFERROR(IF(up_Bv!M11=0,".",((s_Ir*s_F*s_MLF_lettuce*(1-EXP(-up_RadSpec!AX11*s_t_b)))/(s_P*up_RadSpec!AX11))),".")</f>
        <v>2.6824597822007652</v>
      </c>
      <c r="AL11" s="116">
        <f>IFERROR(IF(up_Bv!N11=0,".",((s_Ir*s_F*s_MLF_lima_bean*(1-EXP(-up_RadSpec!AX11*s_t_b)))/(s_P*up_RadSpec!AX11))),".")</f>
        <v>2.6824597822007652</v>
      </c>
      <c r="AM11" s="116">
        <f>IFERROR(IF(up_Bv!O11=0,".",((s_Ir*s_F*s_MLF_okra*(1-EXP(-up_RadSpec!AX11*s_t_b)))/(s_P*up_RadSpec!AX11))),".")</f>
        <v>2.6824597822007652</v>
      </c>
      <c r="AN11" s="116">
        <f>IFERROR(IF(up_Bv!P11=0,".",((s_Ir*s_F*s_MLF_onion*(1-EXP(-up_RadSpec!AX11*s_t_b)))/(s_P*up_RadSpec!AX11))),".")</f>
        <v>2.6824597822007652</v>
      </c>
      <c r="AO11" s="116">
        <f>IFERROR(IF(up_Bv!Q11=0,".",((s_Ir*s_F*s_MLF_peach*(1-EXP(-up_RadSpec!AX11*s_t_b)))/(s_P*up_RadSpec!AX11))),".")</f>
        <v>2.6824597822007652</v>
      </c>
      <c r="AP11" s="116">
        <f>IFERROR(IF(up_Bv!R11=0,".",((s_Ir*s_F*s_MLF_pear*(1-EXP(-up_RadSpec!AX11*s_t_b)))/(s_P*up_RadSpec!AX11))),".")</f>
        <v>2.6824597822007652</v>
      </c>
      <c r="AQ11" s="116">
        <f>IFERROR(IF(up_Bv!S11=0,".",((s_Ir*s_F*s_MLF_peas*(1-EXP(-up_RadSpec!AX11*s_t_b)))/(s_P*up_RadSpec!AX11))),".")</f>
        <v>2.6824597822007652</v>
      </c>
      <c r="AR11" s="116">
        <f>IFERROR(IF(up_Bv!T11=0,".",((s_Ir*s_F*s_MLF_potato*(1-EXP(-up_RadSpec!AX11*s_t_b)))/(s_P*up_RadSpec!AX11))),".")</f>
        <v>2.6824597822007652</v>
      </c>
      <c r="AS11" s="116">
        <f>IFERROR(IF(up_Bv!U11=0,".",((s_Ir*s_F*s_MLF_pumpkin*(1-EXP(-up_RadSpec!AX11*s_t_b)))/(s_P*up_RadSpec!AX11))),".")</f>
        <v>2.6824597822007652</v>
      </c>
      <c r="AT11" s="116">
        <f>IFERROR(IF(up_Bv!V11=0,".",((s_Ir*s_F*s_MLF_snap_bean*(1-EXP(-up_RadSpec!AX11*s_t_b)))/(s_P*up_RadSpec!AX11))),".")</f>
        <v>2.6824597822007652</v>
      </c>
      <c r="AU11" s="116">
        <f>IFERROR(IF(up_Bv!W11=0,".",((s_Ir*s_F*s_MLF_strawberry*(1-EXP(-up_RadSpec!AX11*s_t_b)))/(s_P*up_RadSpec!AX11))),".")</f>
        <v>2.6824597822007652</v>
      </c>
      <c r="AV11" s="116">
        <f>IFERROR(IF(up_Bv!X11=0,".",((s_Ir*s_F*s_MLF_tomato*(1-EXP(-up_RadSpec!AX11*s_t_b)))/(s_P*up_RadSpec!AX11))),".")</f>
        <v>2.6824597822007652</v>
      </c>
      <c r="AW11" s="116">
        <f>IFERROR(IF(up_Bv!Y11=0,".",((s_Ir*s_F*s_MLF_rice*(1-EXP(-up_RadSpec!AX11*s_t_b)))/(s_P*up_RadSpec!AX11))),".")</f>
        <v>2.6824597822007652</v>
      </c>
      <c r="AX11" s="116">
        <f>IFERROR(IF(up_Bv!Z11=0,".",((s_Ir*s_F*s_MLF_cereal*(1-EXP(-up_RadSpec!AX11*s_t_b)))/(s_P*up_RadSpec!AX11))),".")</f>
        <v>2.6824597822007652</v>
      </c>
      <c r="AY11" s="116">
        <f>IFERROR(IF(up_Bv!C11=0,".",((s_Ir*s_F*s_I_f*s_T*(1-EXP(-up_RadSpec!AY11*s_t_v)))/(s_Y_v*up_RadSpec!AY11))),".")</f>
        <v>9.0143481925428208</v>
      </c>
      <c r="AZ11" s="116">
        <f>IFERROR(IF(up_Bv!D11=0,".",((s_Ir*s_F*s_I_f*s_T*(1-EXP(-up_RadSpec!AY11*s_t_v)))/(s_Y_v*up_RadSpec!AY11))),".")</f>
        <v>9.0143481925428208</v>
      </c>
      <c r="BA11" s="116">
        <f>IFERROR(IF(up_Bv!E11=0,".",((s_Ir*s_F*s_I_f*s_T*(1-EXP(-up_RadSpec!AY11*s_t_v)))/(s_Y_v*up_RadSpec!AY11))),".")</f>
        <v>9.0143481925428208</v>
      </c>
      <c r="BB11" s="116">
        <f>IFERROR(IF(up_Bv!F11=0,".",((s_Ir*s_F*s_I_f*s_T*(1-EXP(-up_RadSpec!AY11*s_t_v)))/(s_Y_v*up_RadSpec!AY11))),".")</f>
        <v>9.0143481925428208</v>
      </c>
      <c r="BC11" s="116">
        <f>IFERROR(IF(up_Bv!G11=0,".",((s_Ir*s_F*s_I_f*s_T*(1-EXP(-up_RadSpec!AY11*s_t_v)))/(s_Y_v*up_RadSpec!AY11))),".")</f>
        <v>9.0143481925428208</v>
      </c>
      <c r="BD11" s="116">
        <f>IFERROR(IF(up_Bv!H11=0,".",((s_Ir*s_F*s_I_f*s_T*(1-EXP(-up_RadSpec!AY11*s_t_v)))/(s_Y_v*up_RadSpec!AY11))),".")</f>
        <v>9.0143481925428208</v>
      </c>
      <c r="BE11" s="116">
        <f>IFERROR(IF(up_Bv!I11=0,".",((s_Ir*s_F*s_I_f*s_T*(1-EXP(-up_RadSpec!AY11*s_t_v)))/(s_Y_v*up_RadSpec!AY11))),".")</f>
        <v>9.0143481925428208</v>
      </c>
      <c r="BF11" s="116">
        <f>IFERROR(IF(up_Bv!J11=0,".",((s_Ir*s_F*s_I_f*s_T*(1-EXP(-up_RadSpec!AY11*s_t_v)))/(s_Y_v*up_RadSpec!AY11))),".")</f>
        <v>9.0143481925428208</v>
      </c>
      <c r="BG11" s="116">
        <f>IFERROR(IF(up_Bv!K11=0,".",((s_Ir*s_F*s_I_f*s_T*(1-EXP(-up_RadSpec!AY11*s_t_v)))/(s_Y_v*up_RadSpec!AY11))),".")</f>
        <v>9.0143481925428208</v>
      </c>
      <c r="BH11" s="116">
        <f>IFERROR(IF(up_Bv!L11=0,".",((s_Ir*s_F*s_I_f*s_T*(1-EXP(-up_RadSpec!AY11*s_t_v)))/(s_Y_v*up_RadSpec!AY11))),".")</f>
        <v>9.0143481925428208</v>
      </c>
      <c r="BI11" s="116">
        <f>IFERROR(IF(up_Bv!M11=0,".",((s_Ir*s_F*s_I_f*s_T*(1-EXP(-up_RadSpec!AY11*s_t_v)))/(s_Y_v*up_RadSpec!AY11))),".")</f>
        <v>9.0143481925428208</v>
      </c>
      <c r="BJ11" s="116">
        <f>IFERROR(IF(up_Bv!N11=0,".",((s_Ir*s_F*s_I_f*s_T*(1-EXP(-up_RadSpec!AY11*s_t_v)))/(s_Y_v*up_RadSpec!AY11))),".")</f>
        <v>9.0143481925428208</v>
      </c>
      <c r="BK11" s="116">
        <f>IFERROR(IF(up_Bv!O11=0,".",((s_Ir*s_F*s_I_f*s_T*(1-EXP(-up_RadSpec!AY11*s_t_v)))/(s_Y_v*up_RadSpec!AY11))),".")</f>
        <v>9.0143481925428208</v>
      </c>
      <c r="BL11" s="116">
        <f>IFERROR(IF(up_Bv!P11=0,".",((s_Ir*s_F*s_I_f*s_T*(1-EXP(-up_RadSpec!AY11*s_t_v)))/(s_Y_v*up_RadSpec!AY11))),".")</f>
        <v>9.0143481925428208</v>
      </c>
      <c r="BM11" s="116">
        <f>IFERROR(IF(up_Bv!Q11=0,".",((s_Ir*s_F*s_I_f*s_T*(1-EXP(-up_RadSpec!AY11*s_t_v)))/(s_Y_v*up_RadSpec!AY11))),".")</f>
        <v>9.0143481925428208</v>
      </c>
      <c r="BN11" s="116">
        <f>IFERROR(IF(up_Bv!R11=0,".",((s_Ir*s_F*s_I_f*s_T*(1-EXP(-up_RadSpec!AY11*s_t_v)))/(s_Y_v*up_RadSpec!AY11))),".")</f>
        <v>9.0143481925428208</v>
      </c>
      <c r="BO11" s="116">
        <f>IFERROR(IF(up_Bv!S11=0,".",((s_Ir*s_F*s_I_f*s_T*(1-EXP(-up_RadSpec!AY11*s_t_v)))/(s_Y_v*up_RadSpec!AY11))),".")</f>
        <v>9.0143481925428208</v>
      </c>
      <c r="BP11" s="116">
        <f>IFERROR(IF(up_Bv!T11=0,".",((s_Ir*s_F*s_I_f*s_T*(1-EXP(-up_RadSpec!AY11*s_t_v)))/(s_Y_v*up_RadSpec!AY11))),".")</f>
        <v>9.0143481925428208</v>
      </c>
      <c r="BQ11" s="116">
        <f>IFERROR(IF(up_Bv!U11=0,".",((s_Ir*s_F*s_I_f*s_T*(1-EXP(-up_RadSpec!AY11*s_t_v)))/(s_Y_v*up_RadSpec!AY11))),".")</f>
        <v>9.0143481925428208</v>
      </c>
      <c r="BR11" s="116">
        <f>IFERROR(IF(up_Bv!V11=0,".",((s_Ir*s_F*s_I_f*s_T*(1-EXP(-up_RadSpec!AY11*s_t_v)))/(s_Y_v*up_RadSpec!AY11))),".")</f>
        <v>9.0143481925428208</v>
      </c>
      <c r="BS11" s="116">
        <f>IFERROR(IF(up_Bv!W11=0,".",((s_Ir*s_F*s_I_f*s_T*(1-EXP(-up_RadSpec!AY11*s_t_v)))/(s_Y_v*up_RadSpec!AY11))),".")</f>
        <v>9.0143481925428208</v>
      </c>
      <c r="BT11" s="116">
        <f>IFERROR(IF(up_Bv!X11=0,".",((s_Ir*s_F*s_I_f*s_T*(1-EXP(-up_RadSpec!AY11*s_t_v)))/(s_Y_v*up_RadSpec!AY11))),".")</f>
        <v>9.0143481925428208</v>
      </c>
      <c r="BU11" s="116">
        <f>IFERROR(IF(up_Bv!Y11=0,".",((s_Ir*s_F*s_I_f*s_T*(1-EXP(-up_RadSpec!AY11*s_t_v)))/(s_Y_v*up_RadSpec!AY11))),".")</f>
        <v>9.0143481925428208</v>
      </c>
      <c r="BV11" s="116">
        <f>IFERROR(IF(up_Bv!Z11=0,".",((s_Ir*s_F*s_I_f*s_T*(1-EXP(-up_RadSpec!AY11*s_t_v)))/(s_Y_v*up_RadSpec!AY11))),".")</f>
        <v>9.0143481925428208</v>
      </c>
    </row>
    <row r="12" spans="1:74" x14ac:dyDescent="0.25">
      <c r="A12" s="44" t="s">
        <v>22</v>
      </c>
      <c r="B12" s="42" t="s">
        <v>1074</v>
      </c>
      <c r="C12" s="116">
        <f>IFERROR(IF(up_Bv!C12=0,".",((s_Ir*s_F*up_Bv!C12*(1-EXP(-up_RadSpec!$AX12*s_t_b)))/(s_P*up_RadSpec!$AX12))),".")</f>
        <v>993.50362303732038</v>
      </c>
      <c r="D12" s="116">
        <f>IFERROR(IF(up_Bv!D12=0,".",((s_Ir*s_F*up_Bv!D12*(1-EXP(-up_RadSpec!AX12*s_t_b)))/(s_P*up_RadSpec!AX12))),".")</f>
        <v>993.50362303732038</v>
      </c>
      <c r="E12" s="116">
        <f>IFERROR(IF(up_Bv!E12=0,".",((s_Ir*s_F*up_Bv!E12*(1-EXP(-up_RadSpec!AX12*s_t_b)))/(s_P*up_RadSpec!AX12))),".")</f>
        <v>993.50362303732038</v>
      </c>
      <c r="F12" s="116">
        <f>IFERROR(IF(up_Bv!F12=0,".",((s_Ir*s_F*up_Bv!F12*(1-EXP(-up_RadSpec!AX12*s_t_b)))/(s_P*up_RadSpec!AX12))),".")</f>
        <v>993.50362303732038</v>
      </c>
      <c r="G12" s="116">
        <f>IFERROR(IF(up_Bv!G12=0,".",((s_Ir*s_F*up_Bv!G12*(1-EXP(-up_RadSpec!AX12*s_t_b)))/(s_P*up_RadSpec!AX12))),".")</f>
        <v>993.50362303732038</v>
      </c>
      <c r="H12" s="116">
        <f>IFERROR(IF(up_Bv!H12=0,".",((s_Ir*s_F*up_Bv!H12*(1-EXP(-up_RadSpec!AX12*s_t_b)))/(s_P*up_RadSpec!AX12))),".")</f>
        <v>993.50362303732038</v>
      </c>
      <c r="I12" s="116">
        <f>IFERROR(IF(up_Bv!I12=0,".",((s_Ir*s_F*up_Bv!I12*(1-EXP(-up_RadSpec!AX12*s_t_b)))/(s_P*up_RadSpec!AX12))),".")</f>
        <v>993.50362303732038</v>
      </c>
      <c r="J12" s="116">
        <f>IFERROR(IF(up_Bv!J12=0,".",((s_Ir*s_F*up_Bv!J12*(1-EXP(-up_RadSpec!AX12*s_t_b)))/(s_P*up_RadSpec!AX12))),".")</f>
        <v>993.50362303732038</v>
      </c>
      <c r="K12" s="116">
        <f>IFERROR(IF(up_Bv!K12=0,".",((s_Ir*s_F*up_Bv!K12*(1-EXP(-up_RadSpec!AX12*s_t_b)))/(s_P*up_RadSpec!AX12))),".")</f>
        <v>993.50362303732038</v>
      </c>
      <c r="L12" s="116">
        <f>IFERROR(IF(up_Bv!L12=0,".",((s_Ir*s_F*up_Bv!L12*(1-EXP(-up_RadSpec!AX12*s_t_b)))/(s_P*up_RadSpec!AX12))),".")</f>
        <v>993.50362303732038</v>
      </c>
      <c r="M12" s="116">
        <f>IFERROR(IF(up_Bv!M12=0,".",((s_Ir*s_F*up_Bv!M12*(1-EXP(-up_RadSpec!AX12*s_t_b)))/(s_P*up_RadSpec!AX12))),".")</f>
        <v>993.50362303732038</v>
      </c>
      <c r="N12" s="116">
        <f>IFERROR(IF(up_Bv!N12=0,".",((s_Ir*s_F*up_Bv!N12*(1-EXP(-up_RadSpec!AX12*s_t_b)))/(s_P*up_RadSpec!AX12))),".")</f>
        <v>993.50362303732038</v>
      </c>
      <c r="O12" s="116">
        <f>IFERROR(IF(up_Bv!O12=0,".",((s_Ir*s_F*up_Bv!O12*(1-EXP(-up_RadSpec!AX12*s_t_b)))/(s_P*up_RadSpec!AX12))),".")</f>
        <v>993.50362303732038</v>
      </c>
      <c r="P12" s="116">
        <f>IFERROR(IF(up_Bv!P12=0,".",((s_Ir*s_F*up_Bv!P12*(1-EXP(-up_RadSpec!AX12*s_t_b)))/(s_P*up_RadSpec!AX12))),".")</f>
        <v>993.50362303732038</v>
      </c>
      <c r="Q12" s="116">
        <f>IFERROR(IF(up_Bv!Q12=0,".",((s_Ir*s_F*up_Bv!Q12*(1-EXP(-up_RadSpec!AX12*s_t_b)))/(s_P*up_RadSpec!AX12))),".")</f>
        <v>993.50362303732038</v>
      </c>
      <c r="R12" s="116">
        <f>IFERROR(IF(up_Bv!R12=0,".",((s_Ir*s_F*up_Bv!R12*(1-EXP(-up_RadSpec!AX12*s_t_b)))/(s_P*up_RadSpec!AX12))),".")</f>
        <v>993.50362303732038</v>
      </c>
      <c r="S12" s="116">
        <f>IFERROR(IF(up_Bv!S12=0,".",((s_Ir*s_F*up_Bv!S12*(1-EXP(-up_RadSpec!AX12*s_t_b)))/(s_P*up_RadSpec!AX12))),".")</f>
        <v>993.50362303732038</v>
      </c>
      <c r="T12" s="116">
        <f>IFERROR(IF(up_Bv!T12=0,".",((s_Ir*s_F*up_Bv!T12*(1-EXP(-up_RadSpec!AX12*s_t_b)))/(s_P*up_RadSpec!AX12))),".")</f>
        <v>993.50362303732038</v>
      </c>
      <c r="U12" s="116">
        <f>IFERROR(IF(up_Bv!U12=0,".",((s_Ir*s_F*up_Bv!U12*(1-EXP(-up_RadSpec!AX12*s_t_b)))/(s_P*up_RadSpec!AX12))),".")</f>
        <v>993.50362303732038</v>
      </c>
      <c r="V12" s="116">
        <f>IFERROR(IF(up_Bv!V12=0,".",((s_Ir*s_F*up_Bv!V12*(1-EXP(-up_RadSpec!AX12*s_t_b)))/(s_P*up_RadSpec!AX12))),".")</f>
        <v>993.50362303732038</v>
      </c>
      <c r="W12" s="116">
        <f>IFERROR(IF(up_Bv!W12=0,".",((s_Ir*s_F*up_Bv!W12*(1-EXP(-up_RadSpec!AX12*s_t_b)))/(s_P*up_RadSpec!AX12))),".")</f>
        <v>993.50362303732038</v>
      </c>
      <c r="X12" s="116">
        <f>IFERROR(IF(up_Bv!X12=0,".",((s_Ir*s_F*up_Bv!X12*(1-EXP(-up_RadSpec!AX12*s_t_b)))/(s_P*up_RadSpec!AX12))),".")</f>
        <v>993.50362303732038</v>
      </c>
      <c r="Y12" s="116">
        <f>IFERROR(IF(up_Bv!Y12=0,".",((s_Ir*s_F*up_Bv!Y12*(1-EXP(-up_RadSpec!AX12*s_t_b)))/(s_P*up_RadSpec!AX12))),".")</f>
        <v>993.50362303732038</v>
      </c>
      <c r="Z12" s="116">
        <f>IFERROR(IF(up_Bv!Z12=0,".",((s_Ir*s_F*up_Bv!Z12*(1-EXP(-up_RadSpec!AX12*s_t_b)))/(s_P*up_RadSpec!AX12))),".")</f>
        <v>993.50362303732038</v>
      </c>
      <c r="AA12" s="116">
        <f>IFERROR(IF(up_Bv!C12=0,".",((s_Ir*s_F*s_MLF_apple*(1-EXP(-up_RadSpec!AX12*s_t_b)))/(s_P*up_RadSpec!AX12))),".")</f>
        <v>2.6824597822007652</v>
      </c>
      <c r="AB12" s="116">
        <f>IFERROR(IF(up_Bv!D12=0,".",((s_Ir*s_F*s_MLF_asparagus*(1-EXP(-up_RadSpec!AX12*s_t_b)))/(s_P*up_RadSpec!AX12))),".")</f>
        <v>2.6824597822007652</v>
      </c>
      <c r="AC12" s="116">
        <f>IFERROR(IF(up_Bv!E12=0,".",((s_Ir*s_F*s_MLF_beet*(1-EXP(-up_RadSpec!AX12*s_t_b)))/(s_P*up_RadSpec!AX12))),".")</f>
        <v>2.6824597822007652</v>
      </c>
      <c r="AD12" s="116">
        <f>IFERROR(IF(up_Bv!F12=0,".",((s_Ir*s_F*s_MLF_berries*(1-EXP(-up_RadSpec!AX12*s_t_b)))/(s_P*up_RadSpec!AX12))),".")</f>
        <v>2.6824597822007652</v>
      </c>
      <c r="AE12" s="116">
        <f>IFERROR(IF(up_Bv!G12=0,".",((s_Ir*s_F*s_MLF_broccoli*(1-EXP(-up_RadSpec!AX12*s_t_b)))/(s_P*up_RadSpec!AX12))),".")</f>
        <v>2.6824597822007652</v>
      </c>
      <c r="AF12" s="116">
        <f>IFERROR(IF(up_Bv!H12=0,".",((s_Ir*s_F*s_MLF_cabbage*(1-EXP(-up_RadSpec!AX12*s_t_b)))/(s_P*up_RadSpec!AX12))),".")</f>
        <v>2.6824597822007652</v>
      </c>
      <c r="AG12" s="116">
        <f>IFERROR(IF(up_Bv!I12=0,".",((s_Ir*s_F*s_MLF_carrot*(1-EXP(-up_RadSpec!AX12*s_t_b)))/(s_P*up_RadSpec!AX12))),".")</f>
        <v>2.6824597822007652</v>
      </c>
      <c r="AH12" s="116">
        <f>IFERROR(IF(up_Bv!J12=0,".",((s_Ir*s_F*s_MLF_citrus*(1-EXP(-up_RadSpec!AX12*s_t_b)))/(s_P*up_RadSpec!AX12))),".")</f>
        <v>2.6824597822007652</v>
      </c>
      <c r="AI12" s="116">
        <f>IFERROR(IF(up_Bv!K12=0,".",((s_Ir*s_F*s_MLF_corn*(1-EXP(-up_RadSpec!AX12*s_t_b)))/(s_P*up_RadSpec!AX12))),".")</f>
        <v>2.6824597822007652</v>
      </c>
      <c r="AJ12" s="116">
        <f>IFERROR(IF(up_Bv!L12=0,".",((s_Ir*s_F*s_MLF_cucumber*(1-EXP(-up_RadSpec!AX12*s_t_b)))/(s_P*up_RadSpec!AX12))),".")</f>
        <v>2.6824597822007652</v>
      </c>
      <c r="AK12" s="116">
        <f>IFERROR(IF(up_Bv!M12=0,".",((s_Ir*s_F*s_MLF_lettuce*(1-EXP(-up_RadSpec!AX12*s_t_b)))/(s_P*up_RadSpec!AX12))),".")</f>
        <v>2.6824597822007652</v>
      </c>
      <c r="AL12" s="116">
        <f>IFERROR(IF(up_Bv!N12=0,".",((s_Ir*s_F*s_MLF_lima_bean*(1-EXP(-up_RadSpec!AX12*s_t_b)))/(s_P*up_RadSpec!AX12))),".")</f>
        <v>2.6824597822007652</v>
      </c>
      <c r="AM12" s="116">
        <f>IFERROR(IF(up_Bv!O12=0,".",((s_Ir*s_F*s_MLF_okra*(1-EXP(-up_RadSpec!AX12*s_t_b)))/(s_P*up_RadSpec!AX12))),".")</f>
        <v>2.6824597822007652</v>
      </c>
      <c r="AN12" s="116">
        <f>IFERROR(IF(up_Bv!P12=0,".",((s_Ir*s_F*s_MLF_onion*(1-EXP(-up_RadSpec!AX12*s_t_b)))/(s_P*up_RadSpec!AX12))),".")</f>
        <v>2.6824597822007652</v>
      </c>
      <c r="AO12" s="116">
        <f>IFERROR(IF(up_Bv!Q12=0,".",((s_Ir*s_F*s_MLF_peach*(1-EXP(-up_RadSpec!AX12*s_t_b)))/(s_P*up_RadSpec!AX12))),".")</f>
        <v>2.6824597822007652</v>
      </c>
      <c r="AP12" s="116">
        <f>IFERROR(IF(up_Bv!R12=0,".",((s_Ir*s_F*s_MLF_pear*(1-EXP(-up_RadSpec!AX12*s_t_b)))/(s_P*up_RadSpec!AX12))),".")</f>
        <v>2.6824597822007652</v>
      </c>
      <c r="AQ12" s="116">
        <f>IFERROR(IF(up_Bv!S12=0,".",((s_Ir*s_F*s_MLF_peas*(1-EXP(-up_RadSpec!AX12*s_t_b)))/(s_P*up_RadSpec!AX12))),".")</f>
        <v>2.6824597822007652</v>
      </c>
      <c r="AR12" s="116">
        <f>IFERROR(IF(up_Bv!T12=0,".",((s_Ir*s_F*s_MLF_potato*(1-EXP(-up_RadSpec!AX12*s_t_b)))/(s_P*up_RadSpec!AX12))),".")</f>
        <v>2.6824597822007652</v>
      </c>
      <c r="AS12" s="116">
        <f>IFERROR(IF(up_Bv!U12=0,".",((s_Ir*s_F*s_MLF_pumpkin*(1-EXP(-up_RadSpec!AX12*s_t_b)))/(s_P*up_RadSpec!AX12))),".")</f>
        <v>2.6824597822007652</v>
      </c>
      <c r="AT12" s="116">
        <f>IFERROR(IF(up_Bv!V12=0,".",((s_Ir*s_F*s_MLF_snap_bean*(1-EXP(-up_RadSpec!AX12*s_t_b)))/(s_P*up_RadSpec!AX12))),".")</f>
        <v>2.6824597822007652</v>
      </c>
      <c r="AU12" s="116">
        <f>IFERROR(IF(up_Bv!W12=0,".",((s_Ir*s_F*s_MLF_strawberry*(1-EXP(-up_RadSpec!AX12*s_t_b)))/(s_P*up_RadSpec!AX12))),".")</f>
        <v>2.6824597822007652</v>
      </c>
      <c r="AV12" s="116">
        <f>IFERROR(IF(up_Bv!X12=0,".",((s_Ir*s_F*s_MLF_tomato*(1-EXP(-up_RadSpec!AX12*s_t_b)))/(s_P*up_RadSpec!AX12))),".")</f>
        <v>2.6824597822007652</v>
      </c>
      <c r="AW12" s="116">
        <f>IFERROR(IF(up_Bv!Y12=0,".",((s_Ir*s_F*s_MLF_rice*(1-EXP(-up_RadSpec!AX12*s_t_b)))/(s_P*up_RadSpec!AX12))),".")</f>
        <v>2.6824597822007652</v>
      </c>
      <c r="AX12" s="116">
        <f>IFERROR(IF(up_Bv!Z12=0,".",((s_Ir*s_F*s_MLF_cereal*(1-EXP(-up_RadSpec!AX12*s_t_b)))/(s_P*up_RadSpec!AX12))),".")</f>
        <v>2.6824597822007652</v>
      </c>
      <c r="AY12" s="116">
        <f>IFERROR(IF(up_Bv!C12=0,".",((s_Ir*s_F*s_I_f*s_T*(1-EXP(-up_RadSpec!AY12*s_t_v)))/(s_Y_v*up_RadSpec!AY12))),".")</f>
        <v>9.0143481925428208</v>
      </c>
      <c r="AZ12" s="116">
        <f>IFERROR(IF(up_Bv!D12=0,".",((s_Ir*s_F*s_I_f*s_T*(1-EXP(-up_RadSpec!AY12*s_t_v)))/(s_Y_v*up_RadSpec!AY12))),".")</f>
        <v>9.0143481925428208</v>
      </c>
      <c r="BA12" s="116">
        <f>IFERROR(IF(up_Bv!E12=0,".",((s_Ir*s_F*s_I_f*s_T*(1-EXP(-up_RadSpec!AY12*s_t_v)))/(s_Y_v*up_RadSpec!AY12))),".")</f>
        <v>9.0143481925428208</v>
      </c>
      <c r="BB12" s="116">
        <f>IFERROR(IF(up_Bv!F12=0,".",((s_Ir*s_F*s_I_f*s_T*(1-EXP(-up_RadSpec!AY12*s_t_v)))/(s_Y_v*up_RadSpec!AY12))),".")</f>
        <v>9.0143481925428208</v>
      </c>
      <c r="BC12" s="116">
        <f>IFERROR(IF(up_Bv!G12=0,".",((s_Ir*s_F*s_I_f*s_T*(1-EXP(-up_RadSpec!AY12*s_t_v)))/(s_Y_v*up_RadSpec!AY12))),".")</f>
        <v>9.0143481925428208</v>
      </c>
      <c r="BD12" s="116">
        <f>IFERROR(IF(up_Bv!H12=0,".",((s_Ir*s_F*s_I_f*s_T*(1-EXP(-up_RadSpec!AY12*s_t_v)))/(s_Y_v*up_RadSpec!AY12))),".")</f>
        <v>9.0143481925428208</v>
      </c>
      <c r="BE12" s="116">
        <f>IFERROR(IF(up_Bv!I12=0,".",((s_Ir*s_F*s_I_f*s_T*(1-EXP(-up_RadSpec!AY12*s_t_v)))/(s_Y_v*up_RadSpec!AY12))),".")</f>
        <v>9.0143481925428208</v>
      </c>
      <c r="BF12" s="116">
        <f>IFERROR(IF(up_Bv!J12=0,".",((s_Ir*s_F*s_I_f*s_T*(1-EXP(-up_RadSpec!AY12*s_t_v)))/(s_Y_v*up_RadSpec!AY12))),".")</f>
        <v>9.0143481925428208</v>
      </c>
      <c r="BG12" s="116">
        <f>IFERROR(IF(up_Bv!K12=0,".",((s_Ir*s_F*s_I_f*s_T*(1-EXP(-up_RadSpec!AY12*s_t_v)))/(s_Y_v*up_RadSpec!AY12))),".")</f>
        <v>9.0143481925428208</v>
      </c>
      <c r="BH12" s="116">
        <f>IFERROR(IF(up_Bv!L12=0,".",((s_Ir*s_F*s_I_f*s_T*(1-EXP(-up_RadSpec!AY12*s_t_v)))/(s_Y_v*up_RadSpec!AY12))),".")</f>
        <v>9.0143481925428208</v>
      </c>
      <c r="BI12" s="116">
        <f>IFERROR(IF(up_Bv!M12=0,".",((s_Ir*s_F*s_I_f*s_T*(1-EXP(-up_RadSpec!AY12*s_t_v)))/(s_Y_v*up_RadSpec!AY12))),".")</f>
        <v>9.0143481925428208</v>
      </c>
      <c r="BJ12" s="116">
        <f>IFERROR(IF(up_Bv!N12=0,".",((s_Ir*s_F*s_I_f*s_T*(1-EXP(-up_RadSpec!AY12*s_t_v)))/(s_Y_v*up_RadSpec!AY12))),".")</f>
        <v>9.0143481925428208</v>
      </c>
      <c r="BK12" s="116">
        <f>IFERROR(IF(up_Bv!O12=0,".",((s_Ir*s_F*s_I_f*s_T*(1-EXP(-up_RadSpec!AY12*s_t_v)))/(s_Y_v*up_RadSpec!AY12))),".")</f>
        <v>9.0143481925428208</v>
      </c>
      <c r="BL12" s="116">
        <f>IFERROR(IF(up_Bv!P12=0,".",((s_Ir*s_F*s_I_f*s_T*(1-EXP(-up_RadSpec!AY12*s_t_v)))/(s_Y_v*up_RadSpec!AY12))),".")</f>
        <v>9.0143481925428208</v>
      </c>
      <c r="BM12" s="116">
        <f>IFERROR(IF(up_Bv!Q12=0,".",((s_Ir*s_F*s_I_f*s_T*(1-EXP(-up_RadSpec!AY12*s_t_v)))/(s_Y_v*up_RadSpec!AY12))),".")</f>
        <v>9.0143481925428208</v>
      </c>
      <c r="BN12" s="116">
        <f>IFERROR(IF(up_Bv!R12=0,".",((s_Ir*s_F*s_I_f*s_T*(1-EXP(-up_RadSpec!AY12*s_t_v)))/(s_Y_v*up_RadSpec!AY12))),".")</f>
        <v>9.0143481925428208</v>
      </c>
      <c r="BO12" s="116">
        <f>IFERROR(IF(up_Bv!S12=0,".",((s_Ir*s_F*s_I_f*s_T*(1-EXP(-up_RadSpec!AY12*s_t_v)))/(s_Y_v*up_RadSpec!AY12))),".")</f>
        <v>9.0143481925428208</v>
      </c>
      <c r="BP12" s="116">
        <f>IFERROR(IF(up_Bv!T12=0,".",((s_Ir*s_F*s_I_f*s_T*(1-EXP(-up_RadSpec!AY12*s_t_v)))/(s_Y_v*up_RadSpec!AY12))),".")</f>
        <v>9.0143481925428208</v>
      </c>
      <c r="BQ12" s="116">
        <f>IFERROR(IF(up_Bv!U12=0,".",((s_Ir*s_F*s_I_f*s_T*(1-EXP(-up_RadSpec!AY12*s_t_v)))/(s_Y_v*up_RadSpec!AY12))),".")</f>
        <v>9.0143481925428208</v>
      </c>
      <c r="BR12" s="116">
        <f>IFERROR(IF(up_Bv!V12=0,".",((s_Ir*s_F*s_I_f*s_T*(1-EXP(-up_RadSpec!AY12*s_t_v)))/(s_Y_v*up_RadSpec!AY12))),".")</f>
        <v>9.0143481925428208</v>
      </c>
      <c r="BS12" s="116">
        <f>IFERROR(IF(up_Bv!W12=0,".",((s_Ir*s_F*s_I_f*s_T*(1-EXP(-up_RadSpec!AY12*s_t_v)))/(s_Y_v*up_RadSpec!AY12))),".")</f>
        <v>9.0143481925428208</v>
      </c>
      <c r="BT12" s="116">
        <f>IFERROR(IF(up_Bv!X12=0,".",((s_Ir*s_F*s_I_f*s_T*(1-EXP(-up_RadSpec!AY12*s_t_v)))/(s_Y_v*up_RadSpec!AY12))),".")</f>
        <v>9.0143481925428208</v>
      </c>
      <c r="BU12" s="116">
        <f>IFERROR(IF(up_Bv!Y12=0,".",((s_Ir*s_F*s_I_f*s_T*(1-EXP(-up_RadSpec!AY12*s_t_v)))/(s_Y_v*up_RadSpec!AY12))),".")</f>
        <v>9.0143481925428208</v>
      </c>
      <c r="BV12" s="116">
        <f>IFERROR(IF(up_Bv!Z12=0,".",((s_Ir*s_F*s_I_f*s_T*(1-EXP(-up_RadSpec!AY12*s_t_v)))/(s_Y_v*up_RadSpec!AY12))),".")</f>
        <v>9.0143481925428208</v>
      </c>
    </row>
    <row r="13" spans="1:74" x14ac:dyDescent="0.25">
      <c r="A13" s="44" t="s">
        <v>23</v>
      </c>
      <c r="B13" s="42" t="s">
        <v>1074</v>
      </c>
      <c r="C13" s="116">
        <f>IFERROR(IF(up_Bv!C13=0,".",((s_Ir*s_F*up_Bv!C13*(1-EXP(-up_RadSpec!$AX13*s_t_b)))/(s_P*up_RadSpec!$AX13))),".")</f>
        <v>993.50362303732038</v>
      </c>
      <c r="D13" s="116">
        <f>IFERROR(IF(up_Bv!D13=0,".",((s_Ir*s_F*up_Bv!D13*(1-EXP(-up_RadSpec!AX13*s_t_b)))/(s_P*up_RadSpec!AX13))),".")</f>
        <v>993.50362303732038</v>
      </c>
      <c r="E13" s="116">
        <f>IFERROR(IF(up_Bv!E13=0,".",((s_Ir*s_F*up_Bv!E13*(1-EXP(-up_RadSpec!AX13*s_t_b)))/(s_P*up_RadSpec!AX13))),".")</f>
        <v>993.50362303732038</v>
      </c>
      <c r="F13" s="116">
        <f>IFERROR(IF(up_Bv!F13=0,".",((s_Ir*s_F*up_Bv!F13*(1-EXP(-up_RadSpec!AX13*s_t_b)))/(s_P*up_RadSpec!AX13))),".")</f>
        <v>993.50362303732038</v>
      </c>
      <c r="G13" s="116">
        <f>IFERROR(IF(up_Bv!G13=0,".",((s_Ir*s_F*up_Bv!G13*(1-EXP(-up_RadSpec!AX13*s_t_b)))/(s_P*up_RadSpec!AX13))),".")</f>
        <v>993.50362303732038</v>
      </c>
      <c r="H13" s="116">
        <f>IFERROR(IF(up_Bv!H13=0,".",((s_Ir*s_F*up_Bv!H13*(1-EXP(-up_RadSpec!AX13*s_t_b)))/(s_P*up_RadSpec!AX13))),".")</f>
        <v>993.50362303732038</v>
      </c>
      <c r="I13" s="116">
        <f>IFERROR(IF(up_Bv!I13=0,".",((s_Ir*s_F*up_Bv!I13*(1-EXP(-up_RadSpec!AX13*s_t_b)))/(s_P*up_RadSpec!AX13))),".")</f>
        <v>993.50362303732038</v>
      </c>
      <c r="J13" s="116">
        <f>IFERROR(IF(up_Bv!J13=0,".",((s_Ir*s_F*up_Bv!J13*(1-EXP(-up_RadSpec!AX13*s_t_b)))/(s_P*up_RadSpec!AX13))),".")</f>
        <v>993.50362303732038</v>
      </c>
      <c r="K13" s="116">
        <f>IFERROR(IF(up_Bv!K13=0,".",((s_Ir*s_F*up_Bv!K13*(1-EXP(-up_RadSpec!AX13*s_t_b)))/(s_P*up_RadSpec!AX13))),".")</f>
        <v>993.50362303732038</v>
      </c>
      <c r="L13" s="116">
        <f>IFERROR(IF(up_Bv!L13=0,".",((s_Ir*s_F*up_Bv!L13*(1-EXP(-up_RadSpec!AX13*s_t_b)))/(s_P*up_RadSpec!AX13))),".")</f>
        <v>993.50362303732038</v>
      </c>
      <c r="M13" s="116">
        <f>IFERROR(IF(up_Bv!M13=0,".",((s_Ir*s_F*up_Bv!M13*(1-EXP(-up_RadSpec!AX13*s_t_b)))/(s_P*up_RadSpec!AX13))),".")</f>
        <v>993.50362303732038</v>
      </c>
      <c r="N13" s="116">
        <f>IFERROR(IF(up_Bv!N13=0,".",((s_Ir*s_F*up_Bv!N13*(1-EXP(-up_RadSpec!AX13*s_t_b)))/(s_P*up_RadSpec!AX13))),".")</f>
        <v>993.50362303732038</v>
      </c>
      <c r="O13" s="116">
        <f>IFERROR(IF(up_Bv!O13=0,".",((s_Ir*s_F*up_Bv!O13*(1-EXP(-up_RadSpec!AX13*s_t_b)))/(s_P*up_RadSpec!AX13))),".")</f>
        <v>993.50362303732038</v>
      </c>
      <c r="P13" s="116">
        <f>IFERROR(IF(up_Bv!P13=0,".",((s_Ir*s_F*up_Bv!P13*(1-EXP(-up_RadSpec!AX13*s_t_b)))/(s_P*up_RadSpec!AX13))),".")</f>
        <v>993.50362303732038</v>
      </c>
      <c r="Q13" s="116">
        <f>IFERROR(IF(up_Bv!Q13=0,".",((s_Ir*s_F*up_Bv!Q13*(1-EXP(-up_RadSpec!AX13*s_t_b)))/(s_P*up_RadSpec!AX13))),".")</f>
        <v>993.50362303732038</v>
      </c>
      <c r="R13" s="116">
        <f>IFERROR(IF(up_Bv!R13=0,".",((s_Ir*s_F*up_Bv!R13*(1-EXP(-up_RadSpec!AX13*s_t_b)))/(s_P*up_RadSpec!AX13))),".")</f>
        <v>993.50362303732038</v>
      </c>
      <c r="S13" s="116">
        <f>IFERROR(IF(up_Bv!S13=0,".",((s_Ir*s_F*up_Bv!S13*(1-EXP(-up_RadSpec!AX13*s_t_b)))/(s_P*up_RadSpec!AX13))),".")</f>
        <v>993.50362303732038</v>
      </c>
      <c r="T13" s="116">
        <f>IFERROR(IF(up_Bv!T13=0,".",((s_Ir*s_F*up_Bv!T13*(1-EXP(-up_RadSpec!AX13*s_t_b)))/(s_P*up_RadSpec!AX13))),".")</f>
        <v>993.50362303732038</v>
      </c>
      <c r="U13" s="116">
        <f>IFERROR(IF(up_Bv!U13=0,".",((s_Ir*s_F*up_Bv!U13*(1-EXP(-up_RadSpec!AX13*s_t_b)))/(s_P*up_RadSpec!AX13))),".")</f>
        <v>993.50362303732038</v>
      </c>
      <c r="V13" s="116">
        <f>IFERROR(IF(up_Bv!V13=0,".",((s_Ir*s_F*up_Bv!V13*(1-EXP(-up_RadSpec!AX13*s_t_b)))/(s_P*up_RadSpec!AX13))),".")</f>
        <v>993.50362303732038</v>
      </c>
      <c r="W13" s="116">
        <f>IFERROR(IF(up_Bv!W13=0,".",((s_Ir*s_F*up_Bv!W13*(1-EXP(-up_RadSpec!AX13*s_t_b)))/(s_P*up_RadSpec!AX13))),".")</f>
        <v>993.50362303732038</v>
      </c>
      <c r="X13" s="116">
        <f>IFERROR(IF(up_Bv!X13=0,".",((s_Ir*s_F*up_Bv!X13*(1-EXP(-up_RadSpec!AX13*s_t_b)))/(s_P*up_RadSpec!AX13))),".")</f>
        <v>993.50362303732038</v>
      </c>
      <c r="Y13" s="116">
        <f>IFERROR(IF(up_Bv!Y13=0,".",((s_Ir*s_F*up_Bv!Y13*(1-EXP(-up_RadSpec!AX13*s_t_b)))/(s_P*up_RadSpec!AX13))),".")</f>
        <v>993.50362303732038</v>
      </c>
      <c r="Z13" s="116">
        <f>IFERROR(IF(up_Bv!Z13=0,".",((s_Ir*s_F*up_Bv!Z13*(1-EXP(-up_RadSpec!AX13*s_t_b)))/(s_P*up_RadSpec!AX13))),".")</f>
        <v>993.50362303732038</v>
      </c>
      <c r="AA13" s="116">
        <f>IFERROR(IF(up_Bv!C13=0,".",((s_Ir*s_F*s_MLF_apple*(1-EXP(-up_RadSpec!AX13*s_t_b)))/(s_P*up_RadSpec!AX13))),".")</f>
        <v>2.6824597822007652</v>
      </c>
      <c r="AB13" s="116">
        <f>IFERROR(IF(up_Bv!D13=0,".",((s_Ir*s_F*s_MLF_asparagus*(1-EXP(-up_RadSpec!AX13*s_t_b)))/(s_P*up_RadSpec!AX13))),".")</f>
        <v>2.6824597822007652</v>
      </c>
      <c r="AC13" s="116">
        <f>IFERROR(IF(up_Bv!E13=0,".",((s_Ir*s_F*s_MLF_beet*(1-EXP(-up_RadSpec!AX13*s_t_b)))/(s_P*up_RadSpec!AX13))),".")</f>
        <v>2.6824597822007652</v>
      </c>
      <c r="AD13" s="116">
        <f>IFERROR(IF(up_Bv!F13=0,".",((s_Ir*s_F*s_MLF_berries*(1-EXP(-up_RadSpec!AX13*s_t_b)))/(s_P*up_RadSpec!AX13))),".")</f>
        <v>2.6824597822007652</v>
      </c>
      <c r="AE13" s="116">
        <f>IFERROR(IF(up_Bv!G13=0,".",((s_Ir*s_F*s_MLF_broccoli*(1-EXP(-up_RadSpec!AX13*s_t_b)))/(s_P*up_RadSpec!AX13))),".")</f>
        <v>2.6824597822007652</v>
      </c>
      <c r="AF13" s="116">
        <f>IFERROR(IF(up_Bv!H13=0,".",((s_Ir*s_F*s_MLF_cabbage*(1-EXP(-up_RadSpec!AX13*s_t_b)))/(s_P*up_RadSpec!AX13))),".")</f>
        <v>2.6824597822007652</v>
      </c>
      <c r="AG13" s="116">
        <f>IFERROR(IF(up_Bv!I13=0,".",((s_Ir*s_F*s_MLF_carrot*(1-EXP(-up_RadSpec!AX13*s_t_b)))/(s_P*up_RadSpec!AX13))),".")</f>
        <v>2.6824597822007652</v>
      </c>
      <c r="AH13" s="116">
        <f>IFERROR(IF(up_Bv!J13=0,".",((s_Ir*s_F*s_MLF_citrus*(1-EXP(-up_RadSpec!AX13*s_t_b)))/(s_P*up_RadSpec!AX13))),".")</f>
        <v>2.6824597822007652</v>
      </c>
      <c r="AI13" s="116">
        <f>IFERROR(IF(up_Bv!K13=0,".",((s_Ir*s_F*s_MLF_corn*(1-EXP(-up_RadSpec!AX13*s_t_b)))/(s_P*up_RadSpec!AX13))),".")</f>
        <v>2.6824597822007652</v>
      </c>
      <c r="AJ13" s="116">
        <f>IFERROR(IF(up_Bv!L13=0,".",((s_Ir*s_F*s_MLF_cucumber*(1-EXP(-up_RadSpec!AX13*s_t_b)))/(s_P*up_RadSpec!AX13))),".")</f>
        <v>2.6824597822007652</v>
      </c>
      <c r="AK13" s="116">
        <f>IFERROR(IF(up_Bv!M13=0,".",((s_Ir*s_F*s_MLF_lettuce*(1-EXP(-up_RadSpec!AX13*s_t_b)))/(s_P*up_RadSpec!AX13))),".")</f>
        <v>2.6824597822007652</v>
      </c>
      <c r="AL13" s="116">
        <f>IFERROR(IF(up_Bv!N13=0,".",((s_Ir*s_F*s_MLF_lima_bean*(1-EXP(-up_RadSpec!AX13*s_t_b)))/(s_P*up_RadSpec!AX13))),".")</f>
        <v>2.6824597822007652</v>
      </c>
      <c r="AM13" s="116">
        <f>IFERROR(IF(up_Bv!O13=0,".",((s_Ir*s_F*s_MLF_okra*(1-EXP(-up_RadSpec!AX13*s_t_b)))/(s_P*up_RadSpec!AX13))),".")</f>
        <v>2.6824597822007652</v>
      </c>
      <c r="AN13" s="116">
        <f>IFERROR(IF(up_Bv!P13=0,".",((s_Ir*s_F*s_MLF_onion*(1-EXP(-up_RadSpec!AX13*s_t_b)))/(s_P*up_RadSpec!AX13))),".")</f>
        <v>2.6824597822007652</v>
      </c>
      <c r="AO13" s="116">
        <f>IFERROR(IF(up_Bv!Q13=0,".",((s_Ir*s_F*s_MLF_peach*(1-EXP(-up_RadSpec!AX13*s_t_b)))/(s_P*up_RadSpec!AX13))),".")</f>
        <v>2.6824597822007652</v>
      </c>
      <c r="AP13" s="116">
        <f>IFERROR(IF(up_Bv!R13=0,".",((s_Ir*s_F*s_MLF_pear*(1-EXP(-up_RadSpec!AX13*s_t_b)))/(s_P*up_RadSpec!AX13))),".")</f>
        <v>2.6824597822007652</v>
      </c>
      <c r="AQ13" s="116">
        <f>IFERROR(IF(up_Bv!S13=0,".",((s_Ir*s_F*s_MLF_peas*(1-EXP(-up_RadSpec!AX13*s_t_b)))/(s_P*up_RadSpec!AX13))),".")</f>
        <v>2.6824597822007652</v>
      </c>
      <c r="AR13" s="116">
        <f>IFERROR(IF(up_Bv!T13=0,".",((s_Ir*s_F*s_MLF_potato*(1-EXP(-up_RadSpec!AX13*s_t_b)))/(s_P*up_RadSpec!AX13))),".")</f>
        <v>2.6824597822007652</v>
      </c>
      <c r="AS13" s="116">
        <f>IFERROR(IF(up_Bv!U13=0,".",((s_Ir*s_F*s_MLF_pumpkin*(1-EXP(-up_RadSpec!AX13*s_t_b)))/(s_P*up_RadSpec!AX13))),".")</f>
        <v>2.6824597822007652</v>
      </c>
      <c r="AT13" s="116">
        <f>IFERROR(IF(up_Bv!V13=0,".",((s_Ir*s_F*s_MLF_snap_bean*(1-EXP(-up_RadSpec!AX13*s_t_b)))/(s_P*up_RadSpec!AX13))),".")</f>
        <v>2.6824597822007652</v>
      </c>
      <c r="AU13" s="116">
        <f>IFERROR(IF(up_Bv!W13=0,".",((s_Ir*s_F*s_MLF_strawberry*(1-EXP(-up_RadSpec!AX13*s_t_b)))/(s_P*up_RadSpec!AX13))),".")</f>
        <v>2.6824597822007652</v>
      </c>
      <c r="AV13" s="116">
        <f>IFERROR(IF(up_Bv!X13=0,".",((s_Ir*s_F*s_MLF_tomato*(1-EXP(-up_RadSpec!AX13*s_t_b)))/(s_P*up_RadSpec!AX13))),".")</f>
        <v>2.6824597822007652</v>
      </c>
      <c r="AW13" s="116">
        <f>IFERROR(IF(up_Bv!Y13=0,".",((s_Ir*s_F*s_MLF_rice*(1-EXP(-up_RadSpec!AX13*s_t_b)))/(s_P*up_RadSpec!AX13))),".")</f>
        <v>2.6824597822007652</v>
      </c>
      <c r="AX13" s="116">
        <f>IFERROR(IF(up_Bv!Z13=0,".",((s_Ir*s_F*s_MLF_cereal*(1-EXP(-up_RadSpec!AX13*s_t_b)))/(s_P*up_RadSpec!AX13))),".")</f>
        <v>2.6824597822007652</v>
      </c>
      <c r="AY13" s="116">
        <f>IFERROR(IF(up_Bv!C13=0,".",((s_Ir*s_F*s_I_f*s_T*(1-EXP(-up_RadSpec!AY13*s_t_v)))/(s_Y_v*up_RadSpec!AY13))),".")</f>
        <v>9.0143481925428208</v>
      </c>
      <c r="AZ13" s="116">
        <f>IFERROR(IF(up_Bv!D13=0,".",((s_Ir*s_F*s_I_f*s_T*(1-EXP(-up_RadSpec!AY13*s_t_v)))/(s_Y_v*up_RadSpec!AY13))),".")</f>
        <v>9.0143481925428208</v>
      </c>
      <c r="BA13" s="116">
        <f>IFERROR(IF(up_Bv!E13=0,".",((s_Ir*s_F*s_I_f*s_T*(1-EXP(-up_RadSpec!AY13*s_t_v)))/(s_Y_v*up_RadSpec!AY13))),".")</f>
        <v>9.0143481925428208</v>
      </c>
      <c r="BB13" s="116">
        <f>IFERROR(IF(up_Bv!F13=0,".",((s_Ir*s_F*s_I_f*s_T*(1-EXP(-up_RadSpec!AY13*s_t_v)))/(s_Y_v*up_RadSpec!AY13))),".")</f>
        <v>9.0143481925428208</v>
      </c>
      <c r="BC13" s="116">
        <f>IFERROR(IF(up_Bv!G13=0,".",((s_Ir*s_F*s_I_f*s_T*(1-EXP(-up_RadSpec!AY13*s_t_v)))/(s_Y_v*up_RadSpec!AY13))),".")</f>
        <v>9.0143481925428208</v>
      </c>
      <c r="BD13" s="116">
        <f>IFERROR(IF(up_Bv!H13=0,".",((s_Ir*s_F*s_I_f*s_T*(1-EXP(-up_RadSpec!AY13*s_t_v)))/(s_Y_v*up_RadSpec!AY13))),".")</f>
        <v>9.0143481925428208</v>
      </c>
      <c r="BE13" s="116">
        <f>IFERROR(IF(up_Bv!I13=0,".",((s_Ir*s_F*s_I_f*s_T*(1-EXP(-up_RadSpec!AY13*s_t_v)))/(s_Y_v*up_RadSpec!AY13))),".")</f>
        <v>9.0143481925428208</v>
      </c>
      <c r="BF13" s="116">
        <f>IFERROR(IF(up_Bv!J13=0,".",((s_Ir*s_F*s_I_f*s_T*(1-EXP(-up_RadSpec!AY13*s_t_v)))/(s_Y_v*up_RadSpec!AY13))),".")</f>
        <v>9.0143481925428208</v>
      </c>
      <c r="BG13" s="116">
        <f>IFERROR(IF(up_Bv!K13=0,".",((s_Ir*s_F*s_I_f*s_T*(1-EXP(-up_RadSpec!AY13*s_t_v)))/(s_Y_v*up_RadSpec!AY13))),".")</f>
        <v>9.0143481925428208</v>
      </c>
      <c r="BH13" s="116">
        <f>IFERROR(IF(up_Bv!L13=0,".",((s_Ir*s_F*s_I_f*s_T*(1-EXP(-up_RadSpec!AY13*s_t_v)))/(s_Y_v*up_RadSpec!AY13))),".")</f>
        <v>9.0143481925428208</v>
      </c>
      <c r="BI13" s="116">
        <f>IFERROR(IF(up_Bv!M13=0,".",((s_Ir*s_F*s_I_f*s_T*(1-EXP(-up_RadSpec!AY13*s_t_v)))/(s_Y_v*up_RadSpec!AY13))),".")</f>
        <v>9.0143481925428208</v>
      </c>
      <c r="BJ13" s="116">
        <f>IFERROR(IF(up_Bv!N13=0,".",((s_Ir*s_F*s_I_f*s_T*(1-EXP(-up_RadSpec!AY13*s_t_v)))/(s_Y_v*up_RadSpec!AY13))),".")</f>
        <v>9.0143481925428208</v>
      </c>
      <c r="BK13" s="116">
        <f>IFERROR(IF(up_Bv!O13=0,".",((s_Ir*s_F*s_I_f*s_T*(1-EXP(-up_RadSpec!AY13*s_t_v)))/(s_Y_v*up_RadSpec!AY13))),".")</f>
        <v>9.0143481925428208</v>
      </c>
      <c r="BL13" s="116">
        <f>IFERROR(IF(up_Bv!P13=0,".",((s_Ir*s_F*s_I_f*s_T*(1-EXP(-up_RadSpec!AY13*s_t_v)))/(s_Y_v*up_RadSpec!AY13))),".")</f>
        <v>9.0143481925428208</v>
      </c>
      <c r="BM13" s="116">
        <f>IFERROR(IF(up_Bv!Q13=0,".",((s_Ir*s_F*s_I_f*s_T*(1-EXP(-up_RadSpec!AY13*s_t_v)))/(s_Y_v*up_RadSpec!AY13))),".")</f>
        <v>9.0143481925428208</v>
      </c>
      <c r="BN13" s="116">
        <f>IFERROR(IF(up_Bv!R13=0,".",((s_Ir*s_F*s_I_f*s_T*(1-EXP(-up_RadSpec!AY13*s_t_v)))/(s_Y_v*up_RadSpec!AY13))),".")</f>
        <v>9.0143481925428208</v>
      </c>
      <c r="BO13" s="116">
        <f>IFERROR(IF(up_Bv!S13=0,".",((s_Ir*s_F*s_I_f*s_T*(1-EXP(-up_RadSpec!AY13*s_t_v)))/(s_Y_v*up_RadSpec!AY13))),".")</f>
        <v>9.0143481925428208</v>
      </c>
      <c r="BP13" s="116">
        <f>IFERROR(IF(up_Bv!T13=0,".",((s_Ir*s_F*s_I_f*s_T*(1-EXP(-up_RadSpec!AY13*s_t_v)))/(s_Y_v*up_RadSpec!AY13))),".")</f>
        <v>9.0143481925428208</v>
      </c>
      <c r="BQ13" s="116">
        <f>IFERROR(IF(up_Bv!U13=0,".",((s_Ir*s_F*s_I_f*s_T*(1-EXP(-up_RadSpec!AY13*s_t_v)))/(s_Y_v*up_RadSpec!AY13))),".")</f>
        <v>9.0143481925428208</v>
      </c>
      <c r="BR13" s="116">
        <f>IFERROR(IF(up_Bv!V13=0,".",((s_Ir*s_F*s_I_f*s_T*(1-EXP(-up_RadSpec!AY13*s_t_v)))/(s_Y_v*up_RadSpec!AY13))),".")</f>
        <v>9.0143481925428208</v>
      </c>
      <c r="BS13" s="116">
        <f>IFERROR(IF(up_Bv!W13=0,".",((s_Ir*s_F*s_I_f*s_T*(1-EXP(-up_RadSpec!AY13*s_t_v)))/(s_Y_v*up_RadSpec!AY13))),".")</f>
        <v>9.0143481925428208</v>
      </c>
      <c r="BT13" s="116">
        <f>IFERROR(IF(up_Bv!X13=0,".",((s_Ir*s_F*s_I_f*s_T*(1-EXP(-up_RadSpec!AY13*s_t_v)))/(s_Y_v*up_RadSpec!AY13))),".")</f>
        <v>9.0143481925428208</v>
      </c>
      <c r="BU13" s="116">
        <f>IFERROR(IF(up_Bv!Y13=0,".",((s_Ir*s_F*s_I_f*s_T*(1-EXP(-up_RadSpec!AY13*s_t_v)))/(s_Y_v*up_RadSpec!AY13))),".")</f>
        <v>9.0143481925428208</v>
      </c>
      <c r="BV13" s="116">
        <f>IFERROR(IF(up_Bv!Z13=0,".",((s_Ir*s_F*s_I_f*s_T*(1-EXP(-up_RadSpec!AY13*s_t_v)))/(s_Y_v*up_RadSpec!AY13))),".")</f>
        <v>9.0143481925428208</v>
      </c>
    </row>
    <row r="14" spans="1:74" x14ac:dyDescent="0.25">
      <c r="A14" s="44" t="s">
        <v>24</v>
      </c>
      <c r="B14" s="42" t="s">
        <v>1074</v>
      </c>
      <c r="C14" s="116">
        <f>IFERROR(IF(up_Bv!C14=0,".",((s_Ir*s_F*up_Bv!C14*(1-EXP(-up_RadSpec!$AX14*s_t_b)))/(s_P*up_RadSpec!$AX14))),".")</f>
        <v>993.50362303732038</v>
      </c>
      <c r="D14" s="116">
        <f>IFERROR(IF(up_Bv!D14=0,".",((s_Ir*s_F*up_Bv!D14*(1-EXP(-up_RadSpec!AX14*s_t_b)))/(s_P*up_RadSpec!AX14))),".")</f>
        <v>993.50362303732038</v>
      </c>
      <c r="E14" s="116">
        <f>IFERROR(IF(up_Bv!E14=0,".",((s_Ir*s_F*up_Bv!E14*(1-EXP(-up_RadSpec!AX14*s_t_b)))/(s_P*up_RadSpec!AX14))),".")</f>
        <v>993.50362303732038</v>
      </c>
      <c r="F14" s="116">
        <f>IFERROR(IF(up_Bv!F14=0,".",((s_Ir*s_F*up_Bv!F14*(1-EXP(-up_RadSpec!AX14*s_t_b)))/(s_P*up_RadSpec!AX14))),".")</f>
        <v>993.50362303732038</v>
      </c>
      <c r="G14" s="116">
        <f>IFERROR(IF(up_Bv!G14=0,".",((s_Ir*s_F*up_Bv!G14*(1-EXP(-up_RadSpec!AX14*s_t_b)))/(s_P*up_RadSpec!AX14))),".")</f>
        <v>993.50362303732038</v>
      </c>
      <c r="H14" s="116">
        <f>IFERROR(IF(up_Bv!H14=0,".",((s_Ir*s_F*up_Bv!H14*(1-EXP(-up_RadSpec!AX14*s_t_b)))/(s_P*up_RadSpec!AX14))),".")</f>
        <v>993.50362303732038</v>
      </c>
      <c r="I14" s="116">
        <f>IFERROR(IF(up_Bv!I14=0,".",((s_Ir*s_F*up_Bv!I14*(1-EXP(-up_RadSpec!AX14*s_t_b)))/(s_P*up_RadSpec!AX14))),".")</f>
        <v>993.50362303732038</v>
      </c>
      <c r="J14" s="116">
        <f>IFERROR(IF(up_Bv!J14=0,".",((s_Ir*s_F*up_Bv!J14*(1-EXP(-up_RadSpec!AX14*s_t_b)))/(s_P*up_RadSpec!AX14))),".")</f>
        <v>993.50362303732038</v>
      </c>
      <c r="K14" s="116">
        <f>IFERROR(IF(up_Bv!K14=0,".",((s_Ir*s_F*up_Bv!K14*(1-EXP(-up_RadSpec!AX14*s_t_b)))/(s_P*up_RadSpec!AX14))),".")</f>
        <v>993.50362303732038</v>
      </c>
      <c r="L14" s="116">
        <f>IFERROR(IF(up_Bv!L14=0,".",((s_Ir*s_F*up_Bv!L14*(1-EXP(-up_RadSpec!AX14*s_t_b)))/(s_P*up_RadSpec!AX14))),".")</f>
        <v>993.50362303732038</v>
      </c>
      <c r="M14" s="116">
        <f>IFERROR(IF(up_Bv!M14=0,".",((s_Ir*s_F*up_Bv!M14*(1-EXP(-up_RadSpec!AX14*s_t_b)))/(s_P*up_RadSpec!AX14))),".")</f>
        <v>993.50362303732038</v>
      </c>
      <c r="N14" s="116">
        <f>IFERROR(IF(up_Bv!N14=0,".",((s_Ir*s_F*up_Bv!N14*(1-EXP(-up_RadSpec!AX14*s_t_b)))/(s_P*up_RadSpec!AX14))),".")</f>
        <v>993.50362303732038</v>
      </c>
      <c r="O14" s="116">
        <f>IFERROR(IF(up_Bv!O14=0,".",((s_Ir*s_F*up_Bv!O14*(1-EXP(-up_RadSpec!AX14*s_t_b)))/(s_P*up_RadSpec!AX14))),".")</f>
        <v>993.50362303732038</v>
      </c>
      <c r="P14" s="116">
        <f>IFERROR(IF(up_Bv!P14=0,".",((s_Ir*s_F*up_Bv!P14*(1-EXP(-up_RadSpec!AX14*s_t_b)))/(s_P*up_RadSpec!AX14))),".")</f>
        <v>993.50362303732038</v>
      </c>
      <c r="Q14" s="116">
        <f>IFERROR(IF(up_Bv!Q14=0,".",((s_Ir*s_F*up_Bv!Q14*(1-EXP(-up_RadSpec!AX14*s_t_b)))/(s_P*up_RadSpec!AX14))),".")</f>
        <v>993.50362303732038</v>
      </c>
      <c r="R14" s="116">
        <f>IFERROR(IF(up_Bv!R14=0,".",((s_Ir*s_F*up_Bv!R14*(1-EXP(-up_RadSpec!AX14*s_t_b)))/(s_P*up_RadSpec!AX14))),".")</f>
        <v>993.50362303732038</v>
      </c>
      <c r="S14" s="116">
        <f>IFERROR(IF(up_Bv!S14=0,".",((s_Ir*s_F*up_Bv!S14*(1-EXP(-up_RadSpec!AX14*s_t_b)))/(s_P*up_RadSpec!AX14))),".")</f>
        <v>993.50362303732038</v>
      </c>
      <c r="T14" s="116">
        <f>IFERROR(IF(up_Bv!T14=0,".",((s_Ir*s_F*up_Bv!T14*(1-EXP(-up_RadSpec!AX14*s_t_b)))/(s_P*up_RadSpec!AX14))),".")</f>
        <v>993.50362303732038</v>
      </c>
      <c r="U14" s="116">
        <f>IFERROR(IF(up_Bv!U14=0,".",((s_Ir*s_F*up_Bv!U14*(1-EXP(-up_RadSpec!AX14*s_t_b)))/(s_P*up_RadSpec!AX14))),".")</f>
        <v>993.50362303732038</v>
      </c>
      <c r="V14" s="116">
        <f>IFERROR(IF(up_Bv!V14=0,".",((s_Ir*s_F*up_Bv!V14*(1-EXP(-up_RadSpec!AX14*s_t_b)))/(s_P*up_RadSpec!AX14))),".")</f>
        <v>993.50362303732038</v>
      </c>
      <c r="W14" s="116">
        <f>IFERROR(IF(up_Bv!W14=0,".",((s_Ir*s_F*up_Bv!W14*(1-EXP(-up_RadSpec!AX14*s_t_b)))/(s_P*up_RadSpec!AX14))),".")</f>
        <v>993.50362303732038</v>
      </c>
      <c r="X14" s="116">
        <f>IFERROR(IF(up_Bv!X14=0,".",((s_Ir*s_F*up_Bv!X14*(1-EXP(-up_RadSpec!AX14*s_t_b)))/(s_P*up_RadSpec!AX14))),".")</f>
        <v>993.50362303732038</v>
      </c>
      <c r="Y14" s="116">
        <f>IFERROR(IF(up_Bv!Y14=0,".",((s_Ir*s_F*up_Bv!Y14*(1-EXP(-up_RadSpec!AX14*s_t_b)))/(s_P*up_RadSpec!AX14))),".")</f>
        <v>993.50362303732038</v>
      </c>
      <c r="Z14" s="116">
        <f>IFERROR(IF(up_Bv!Z14=0,".",((s_Ir*s_F*up_Bv!Z14*(1-EXP(-up_RadSpec!AX14*s_t_b)))/(s_P*up_RadSpec!AX14))),".")</f>
        <v>993.50362303732038</v>
      </c>
      <c r="AA14" s="116">
        <f>IFERROR(IF(up_Bv!C14=0,".",((s_Ir*s_F*s_MLF_apple*(1-EXP(-up_RadSpec!AX14*s_t_b)))/(s_P*up_RadSpec!AX14))),".")</f>
        <v>2.6824597822007652</v>
      </c>
      <c r="AB14" s="116">
        <f>IFERROR(IF(up_Bv!D14=0,".",((s_Ir*s_F*s_MLF_asparagus*(1-EXP(-up_RadSpec!AX14*s_t_b)))/(s_P*up_RadSpec!AX14))),".")</f>
        <v>2.6824597822007652</v>
      </c>
      <c r="AC14" s="116">
        <f>IFERROR(IF(up_Bv!E14=0,".",((s_Ir*s_F*s_MLF_beet*(1-EXP(-up_RadSpec!AX14*s_t_b)))/(s_P*up_RadSpec!AX14))),".")</f>
        <v>2.6824597822007652</v>
      </c>
      <c r="AD14" s="116">
        <f>IFERROR(IF(up_Bv!F14=0,".",((s_Ir*s_F*s_MLF_berries*(1-EXP(-up_RadSpec!AX14*s_t_b)))/(s_P*up_RadSpec!AX14))),".")</f>
        <v>2.6824597822007652</v>
      </c>
      <c r="AE14" s="116">
        <f>IFERROR(IF(up_Bv!G14=0,".",((s_Ir*s_F*s_MLF_broccoli*(1-EXP(-up_RadSpec!AX14*s_t_b)))/(s_P*up_RadSpec!AX14))),".")</f>
        <v>2.6824597822007652</v>
      </c>
      <c r="AF14" s="116">
        <f>IFERROR(IF(up_Bv!H14=0,".",((s_Ir*s_F*s_MLF_cabbage*(1-EXP(-up_RadSpec!AX14*s_t_b)))/(s_P*up_RadSpec!AX14))),".")</f>
        <v>2.6824597822007652</v>
      </c>
      <c r="AG14" s="116">
        <f>IFERROR(IF(up_Bv!I14=0,".",((s_Ir*s_F*s_MLF_carrot*(1-EXP(-up_RadSpec!AX14*s_t_b)))/(s_P*up_RadSpec!AX14))),".")</f>
        <v>2.6824597822007652</v>
      </c>
      <c r="AH14" s="116">
        <f>IFERROR(IF(up_Bv!J14=0,".",((s_Ir*s_F*s_MLF_citrus*(1-EXP(-up_RadSpec!AX14*s_t_b)))/(s_P*up_RadSpec!AX14))),".")</f>
        <v>2.6824597822007652</v>
      </c>
      <c r="AI14" s="116">
        <f>IFERROR(IF(up_Bv!K14=0,".",((s_Ir*s_F*s_MLF_corn*(1-EXP(-up_RadSpec!AX14*s_t_b)))/(s_P*up_RadSpec!AX14))),".")</f>
        <v>2.6824597822007652</v>
      </c>
      <c r="AJ14" s="116">
        <f>IFERROR(IF(up_Bv!L14=0,".",((s_Ir*s_F*s_MLF_cucumber*(1-EXP(-up_RadSpec!AX14*s_t_b)))/(s_P*up_RadSpec!AX14))),".")</f>
        <v>2.6824597822007652</v>
      </c>
      <c r="AK14" s="116">
        <f>IFERROR(IF(up_Bv!M14=0,".",((s_Ir*s_F*s_MLF_lettuce*(1-EXP(-up_RadSpec!AX14*s_t_b)))/(s_P*up_RadSpec!AX14))),".")</f>
        <v>2.6824597822007652</v>
      </c>
      <c r="AL14" s="116">
        <f>IFERROR(IF(up_Bv!N14=0,".",((s_Ir*s_F*s_MLF_lima_bean*(1-EXP(-up_RadSpec!AX14*s_t_b)))/(s_P*up_RadSpec!AX14))),".")</f>
        <v>2.6824597822007652</v>
      </c>
      <c r="AM14" s="116">
        <f>IFERROR(IF(up_Bv!O14=0,".",((s_Ir*s_F*s_MLF_okra*(1-EXP(-up_RadSpec!AX14*s_t_b)))/(s_P*up_RadSpec!AX14))),".")</f>
        <v>2.6824597822007652</v>
      </c>
      <c r="AN14" s="116">
        <f>IFERROR(IF(up_Bv!P14=0,".",((s_Ir*s_F*s_MLF_onion*(1-EXP(-up_RadSpec!AX14*s_t_b)))/(s_P*up_RadSpec!AX14))),".")</f>
        <v>2.6824597822007652</v>
      </c>
      <c r="AO14" s="116">
        <f>IFERROR(IF(up_Bv!Q14=0,".",((s_Ir*s_F*s_MLF_peach*(1-EXP(-up_RadSpec!AX14*s_t_b)))/(s_P*up_RadSpec!AX14))),".")</f>
        <v>2.6824597822007652</v>
      </c>
      <c r="AP14" s="116">
        <f>IFERROR(IF(up_Bv!R14=0,".",((s_Ir*s_F*s_MLF_pear*(1-EXP(-up_RadSpec!AX14*s_t_b)))/(s_P*up_RadSpec!AX14))),".")</f>
        <v>2.6824597822007652</v>
      </c>
      <c r="AQ14" s="116">
        <f>IFERROR(IF(up_Bv!S14=0,".",((s_Ir*s_F*s_MLF_peas*(1-EXP(-up_RadSpec!AX14*s_t_b)))/(s_P*up_RadSpec!AX14))),".")</f>
        <v>2.6824597822007652</v>
      </c>
      <c r="AR14" s="116">
        <f>IFERROR(IF(up_Bv!T14=0,".",((s_Ir*s_F*s_MLF_potato*(1-EXP(-up_RadSpec!AX14*s_t_b)))/(s_P*up_RadSpec!AX14))),".")</f>
        <v>2.6824597822007652</v>
      </c>
      <c r="AS14" s="116">
        <f>IFERROR(IF(up_Bv!U14=0,".",((s_Ir*s_F*s_MLF_pumpkin*(1-EXP(-up_RadSpec!AX14*s_t_b)))/(s_P*up_RadSpec!AX14))),".")</f>
        <v>2.6824597822007652</v>
      </c>
      <c r="AT14" s="116">
        <f>IFERROR(IF(up_Bv!V14=0,".",((s_Ir*s_F*s_MLF_snap_bean*(1-EXP(-up_RadSpec!AX14*s_t_b)))/(s_P*up_RadSpec!AX14))),".")</f>
        <v>2.6824597822007652</v>
      </c>
      <c r="AU14" s="116">
        <f>IFERROR(IF(up_Bv!W14=0,".",((s_Ir*s_F*s_MLF_strawberry*(1-EXP(-up_RadSpec!AX14*s_t_b)))/(s_P*up_RadSpec!AX14))),".")</f>
        <v>2.6824597822007652</v>
      </c>
      <c r="AV14" s="116">
        <f>IFERROR(IF(up_Bv!X14=0,".",((s_Ir*s_F*s_MLF_tomato*(1-EXP(-up_RadSpec!AX14*s_t_b)))/(s_P*up_RadSpec!AX14))),".")</f>
        <v>2.6824597822007652</v>
      </c>
      <c r="AW14" s="116">
        <f>IFERROR(IF(up_Bv!Y14=0,".",((s_Ir*s_F*s_MLF_rice*(1-EXP(-up_RadSpec!AX14*s_t_b)))/(s_P*up_RadSpec!AX14))),".")</f>
        <v>2.6824597822007652</v>
      </c>
      <c r="AX14" s="116">
        <f>IFERROR(IF(up_Bv!Z14=0,".",((s_Ir*s_F*s_MLF_cereal*(1-EXP(-up_RadSpec!AX14*s_t_b)))/(s_P*up_RadSpec!AX14))),".")</f>
        <v>2.6824597822007652</v>
      </c>
      <c r="AY14" s="116">
        <f>IFERROR(IF(up_Bv!C14=0,".",((s_Ir*s_F*s_I_f*s_T*(1-EXP(-up_RadSpec!AY14*s_t_v)))/(s_Y_v*up_RadSpec!AY14))),".")</f>
        <v>9.0143481925428208</v>
      </c>
      <c r="AZ14" s="116">
        <f>IFERROR(IF(up_Bv!D14=0,".",((s_Ir*s_F*s_I_f*s_T*(1-EXP(-up_RadSpec!AY14*s_t_v)))/(s_Y_v*up_RadSpec!AY14))),".")</f>
        <v>9.0143481925428208</v>
      </c>
      <c r="BA14" s="116">
        <f>IFERROR(IF(up_Bv!E14=0,".",((s_Ir*s_F*s_I_f*s_T*(1-EXP(-up_RadSpec!AY14*s_t_v)))/(s_Y_v*up_RadSpec!AY14))),".")</f>
        <v>9.0143481925428208</v>
      </c>
      <c r="BB14" s="116">
        <f>IFERROR(IF(up_Bv!F14=0,".",((s_Ir*s_F*s_I_f*s_T*(1-EXP(-up_RadSpec!AY14*s_t_v)))/(s_Y_v*up_RadSpec!AY14))),".")</f>
        <v>9.0143481925428208</v>
      </c>
      <c r="BC14" s="116">
        <f>IFERROR(IF(up_Bv!G14=0,".",((s_Ir*s_F*s_I_f*s_T*(1-EXP(-up_RadSpec!AY14*s_t_v)))/(s_Y_v*up_RadSpec!AY14))),".")</f>
        <v>9.0143481925428208</v>
      </c>
      <c r="BD14" s="116">
        <f>IFERROR(IF(up_Bv!H14=0,".",((s_Ir*s_F*s_I_f*s_T*(1-EXP(-up_RadSpec!AY14*s_t_v)))/(s_Y_v*up_RadSpec!AY14))),".")</f>
        <v>9.0143481925428208</v>
      </c>
      <c r="BE14" s="116">
        <f>IFERROR(IF(up_Bv!I14=0,".",((s_Ir*s_F*s_I_f*s_T*(1-EXP(-up_RadSpec!AY14*s_t_v)))/(s_Y_v*up_RadSpec!AY14))),".")</f>
        <v>9.0143481925428208</v>
      </c>
      <c r="BF14" s="116">
        <f>IFERROR(IF(up_Bv!J14=0,".",((s_Ir*s_F*s_I_f*s_T*(1-EXP(-up_RadSpec!AY14*s_t_v)))/(s_Y_v*up_RadSpec!AY14))),".")</f>
        <v>9.0143481925428208</v>
      </c>
      <c r="BG14" s="116">
        <f>IFERROR(IF(up_Bv!K14=0,".",((s_Ir*s_F*s_I_f*s_T*(1-EXP(-up_RadSpec!AY14*s_t_v)))/(s_Y_v*up_RadSpec!AY14))),".")</f>
        <v>9.0143481925428208</v>
      </c>
      <c r="BH14" s="116">
        <f>IFERROR(IF(up_Bv!L14=0,".",((s_Ir*s_F*s_I_f*s_T*(1-EXP(-up_RadSpec!AY14*s_t_v)))/(s_Y_v*up_RadSpec!AY14))),".")</f>
        <v>9.0143481925428208</v>
      </c>
      <c r="BI14" s="116">
        <f>IFERROR(IF(up_Bv!M14=0,".",((s_Ir*s_F*s_I_f*s_T*(1-EXP(-up_RadSpec!AY14*s_t_v)))/(s_Y_v*up_RadSpec!AY14))),".")</f>
        <v>9.0143481925428208</v>
      </c>
      <c r="BJ14" s="116">
        <f>IFERROR(IF(up_Bv!N14=0,".",((s_Ir*s_F*s_I_f*s_T*(1-EXP(-up_RadSpec!AY14*s_t_v)))/(s_Y_v*up_RadSpec!AY14))),".")</f>
        <v>9.0143481925428208</v>
      </c>
      <c r="BK14" s="116">
        <f>IFERROR(IF(up_Bv!O14=0,".",((s_Ir*s_F*s_I_f*s_T*(1-EXP(-up_RadSpec!AY14*s_t_v)))/(s_Y_v*up_RadSpec!AY14))),".")</f>
        <v>9.0143481925428208</v>
      </c>
      <c r="BL14" s="116">
        <f>IFERROR(IF(up_Bv!P14=0,".",((s_Ir*s_F*s_I_f*s_T*(1-EXP(-up_RadSpec!AY14*s_t_v)))/(s_Y_v*up_RadSpec!AY14))),".")</f>
        <v>9.0143481925428208</v>
      </c>
      <c r="BM14" s="116">
        <f>IFERROR(IF(up_Bv!Q14=0,".",((s_Ir*s_F*s_I_f*s_T*(1-EXP(-up_RadSpec!AY14*s_t_v)))/(s_Y_v*up_RadSpec!AY14))),".")</f>
        <v>9.0143481925428208</v>
      </c>
      <c r="BN14" s="116">
        <f>IFERROR(IF(up_Bv!R14=0,".",((s_Ir*s_F*s_I_f*s_T*(1-EXP(-up_RadSpec!AY14*s_t_v)))/(s_Y_v*up_RadSpec!AY14))),".")</f>
        <v>9.0143481925428208</v>
      </c>
      <c r="BO14" s="116">
        <f>IFERROR(IF(up_Bv!S14=0,".",((s_Ir*s_F*s_I_f*s_T*(1-EXP(-up_RadSpec!AY14*s_t_v)))/(s_Y_v*up_RadSpec!AY14))),".")</f>
        <v>9.0143481925428208</v>
      </c>
      <c r="BP14" s="116">
        <f>IFERROR(IF(up_Bv!T14=0,".",((s_Ir*s_F*s_I_f*s_T*(1-EXP(-up_RadSpec!AY14*s_t_v)))/(s_Y_v*up_RadSpec!AY14))),".")</f>
        <v>9.0143481925428208</v>
      </c>
      <c r="BQ14" s="116">
        <f>IFERROR(IF(up_Bv!U14=0,".",((s_Ir*s_F*s_I_f*s_T*(1-EXP(-up_RadSpec!AY14*s_t_v)))/(s_Y_v*up_RadSpec!AY14))),".")</f>
        <v>9.0143481925428208</v>
      </c>
      <c r="BR14" s="116">
        <f>IFERROR(IF(up_Bv!V14=0,".",((s_Ir*s_F*s_I_f*s_T*(1-EXP(-up_RadSpec!AY14*s_t_v)))/(s_Y_v*up_RadSpec!AY14))),".")</f>
        <v>9.0143481925428208</v>
      </c>
      <c r="BS14" s="116">
        <f>IFERROR(IF(up_Bv!W14=0,".",((s_Ir*s_F*s_I_f*s_T*(1-EXP(-up_RadSpec!AY14*s_t_v)))/(s_Y_v*up_RadSpec!AY14))),".")</f>
        <v>9.0143481925428208</v>
      </c>
      <c r="BT14" s="116">
        <f>IFERROR(IF(up_Bv!X14=0,".",((s_Ir*s_F*s_I_f*s_T*(1-EXP(-up_RadSpec!AY14*s_t_v)))/(s_Y_v*up_RadSpec!AY14))),".")</f>
        <v>9.0143481925428208</v>
      </c>
      <c r="BU14" s="116">
        <f>IFERROR(IF(up_Bv!Y14=0,".",((s_Ir*s_F*s_I_f*s_T*(1-EXP(-up_RadSpec!AY14*s_t_v)))/(s_Y_v*up_RadSpec!AY14))),".")</f>
        <v>9.0143481925428208</v>
      </c>
      <c r="BV14" s="116">
        <f>IFERROR(IF(up_Bv!Z14=0,".",((s_Ir*s_F*s_I_f*s_T*(1-EXP(-up_RadSpec!AY14*s_t_v)))/(s_Y_v*up_RadSpec!AY14))),".")</f>
        <v>9.0143481925428208</v>
      </c>
    </row>
    <row r="15" spans="1:74" x14ac:dyDescent="0.25">
      <c r="A15" s="44" t="s">
        <v>25</v>
      </c>
      <c r="B15" s="42" t="s">
        <v>1074</v>
      </c>
      <c r="C15" s="116">
        <f>IFERROR(IF(up_Bv!C15=0,".",((s_Ir*s_F*up_Bv!C15*(1-EXP(-up_RadSpec!$AX15*s_t_b)))/(s_P*up_RadSpec!$AX15))),".")</f>
        <v>993.50362303732038</v>
      </c>
      <c r="D15" s="116">
        <f>IFERROR(IF(up_Bv!D15=0,".",((s_Ir*s_F*up_Bv!D15*(1-EXP(-up_RadSpec!AX15*s_t_b)))/(s_P*up_RadSpec!AX15))),".")</f>
        <v>993.50362303732038</v>
      </c>
      <c r="E15" s="116">
        <f>IFERROR(IF(up_Bv!E15=0,".",((s_Ir*s_F*up_Bv!E15*(1-EXP(-up_RadSpec!AX15*s_t_b)))/(s_P*up_RadSpec!AX15))),".")</f>
        <v>993.50362303732038</v>
      </c>
      <c r="F15" s="116">
        <f>IFERROR(IF(up_Bv!F15=0,".",((s_Ir*s_F*up_Bv!F15*(1-EXP(-up_RadSpec!AX15*s_t_b)))/(s_P*up_RadSpec!AX15))),".")</f>
        <v>993.50362303732038</v>
      </c>
      <c r="G15" s="116">
        <f>IFERROR(IF(up_Bv!G15=0,".",((s_Ir*s_F*up_Bv!G15*(1-EXP(-up_RadSpec!AX15*s_t_b)))/(s_P*up_RadSpec!AX15))),".")</f>
        <v>993.50362303732038</v>
      </c>
      <c r="H15" s="116">
        <f>IFERROR(IF(up_Bv!H15=0,".",((s_Ir*s_F*up_Bv!H15*(1-EXP(-up_RadSpec!AX15*s_t_b)))/(s_P*up_RadSpec!AX15))),".")</f>
        <v>993.50362303732038</v>
      </c>
      <c r="I15" s="116">
        <f>IFERROR(IF(up_Bv!I15=0,".",((s_Ir*s_F*up_Bv!I15*(1-EXP(-up_RadSpec!AX15*s_t_b)))/(s_P*up_RadSpec!AX15))),".")</f>
        <v>993.50362303732038</v>
      </c>
      <c r="J15" s="116">
        <f>IFERROR(IF(up_Bv!J15=0,".",((s_Ir*s_F*up_Bv!J15*(1-EXP(-up_RadSpec!AX15*s_t_b)))/(s_P*up_RadSpec!AX15))),".")</f>
        <v>993.50362303732038</v>
      </c>
      <c r="K15" s="116">
        <f>IFERROR(IF(up_Bv!K15=0,".",((s_Ir*s_F*up_Bv!K15*(1-EXP(-up_RadSpec!AX15*s_t_b)))/(s_P*up_RadSpec!AX15))),".")</f>
        <v>993.50362303732038</v>
      </c>
      <c r="L15" s="116">
        <f>IFERROR(IF(up_Bv!L15=0,".",((s_Ir*s_F*up_Bv!L15*(1-EXP(-up_RadSpec!AX15*s_t_b)))/(s_P*up_RadSpec!AX15))),".")</f>
        <v>993.50362303732038</v>
      </c>
      <c r="M15" s="116">
        <f>IFERROR(IF(up_Bv!M15=0,".",((s_Ir*s_F*up_Bv!M15*(1-EXP(-up_RadSpec!AX15*s_t_b)))/(s_P*up_RadSpec!AX15))),".")</f>
        <v>993.50362303732038</v>
      </c>
      <c r="N15" s="116">
        <f>IFERROR(IF(up_Bv!N15=0,".",((s_Ir*s_F*up_Bv!N15*(1-EXP(-up_RadSpec!AX15*s_t_b)))/(s_P*up_RadSpec!AX15))),".")</f>
        <v>993.50362303732038</v>
      </c>
      <c r="O15" s="116">
        <f>IFERROR(IF(up_Bv!O15=0,".",((s_Ir*s_F*up_Bv!O15*(1-EXP(-up_RadSpec!AX15*s_t_b)))/(s_P*up_RadSpec!AX15))),".")</f>
        <v>993.50362303732038</v>
      </c>
      <c r="P15" s="116">
        <f>IFERROR(IF(up_Bv!P15=0,".",((s_Ir*s_F*up_Bv!P15*(1-EXP(-up_RadSpec!AX15*s_t_b)))/(s_P*up_RadSpec!AX15))),".")</f>
        <v>993.50362303732038</v>
      </c>
      <c r="Q15" s="116">
        <f>IFERROR(IF(up_Bv!Q15=0,".",((s_Ir*s_F*up_Bv!Q15*(1-EXP(-up_RadSpec!AX15*s_t_b)))/(s_P*up_RadSpec!AX15))),".")</f>
        <v>993.50362303732038</v>
      </c>
      <c r="R15" s="116">
        <f>IFERROR(IF(up_Bv!R15=0,".",((s_Ir*s_F*up_Bv!R15*(1-EXP(-up_RadSpec!AX15*s_t_b)))/(s_P*up_RadSpec!AX15))),".")</f>
        <v>993.50362303732038</v>
      </c>
      <c r="S15" s="116">
        <f>IFERROR(IF(up_Bv!S15=0,".",((s_Ir*s_F*up_Bv!S15*(1-EXP(-up_RadSpec!AX15*s_t_b)))/(s_P*up_RadSpec!AX15))),".")</f>
        <v>993.50362303732038</v>
      </c>
      <c r="T15" s="116">
        <f>IFERROR(IF(up_Bv!T15=0,".",((s_Ir*s_F*up_Bv!T15*(1-EXP(-up_RadSpec!AX15*s_t_b)))/(s_P*up_RadSpec!AX15))),".")</f>
        <v>993.50362303732038</v>
      </c>
      <c r="U15" s="116">
        <f>IFERROR(IF(up_Bv!U15=0,".",((s_Ir*s_F*up_Bv!U15*(1-EXP(-up_RadSpec!AX15*s_t_b)))/(s_P*up_RadSpec!AX15))),".")</f>
        <v>993.50362303732038</v>
      </c>
      <c r="V15" s="116">
        <f>IFERROR(IF(up_Bv!V15=0,".",((s_Ir*s_F*up_Bv!V15*(1-EXP(-up_RadSpec!AX15*s_t_b)))/(s_P*up_RadSpec!AX15))),".")</f>
        <v>993.50362303732038</v>
      </c>
      <c r="W15" s="116">
        <f>IFERROR(IF(up_Bv!W15=0,".",((s_Ir*s_F*up_Bv!W15*(1-EXP(-up_RadSpec!AX15*s_t_b)))/(s_P*up_RadSpec!AX15))),".")</f>
        <v>993.50362303732038</v>
      </c>
      <c r="X15" s="116">
        <f>IFERROR(IF(up_Bv!X15=0,".",((s_Ir*s_F*up_Bv!X15*(1-EXP(-up_RadSpec!AX15*s_t_b)))/(s_P*up_RadSpec!AX15))),".")</f>
        <v>993.50362303732038</v>
      </c>
      <c r="Y15" s="116">
        <f>IFERROR(IF(up_Bv!Y15=0,".",((s_Ir*s_F*up_Bv!Y15*(1-EXP(-up_RadSpec!AX15*s_t_b)))/(s_P*up_RadSpec!AX15))),".")</f>
        <v>993.50362303732038</v>
      </c>
      <c r="Z15" s="116">
        <f>IFERROR(IF(up_Bv!Z15=0,".",((s_Ir*s_F*up_Bv!Z15*(1-EXP(-up_RadSpec!AX15*s_t_b)))/(s_P*up_RadSpec!AX15))),".")</f>
        <v>993.50362303732038</v>
      </c>
      <c r="AA15" s="116">
        <f>IFERROR(IF(up_Bv!C15=0,".",((s_Ir*s_F*s_MLF_apple*(1-EXP(-up_RadSpec!AX15*s_t_b)))/(s_P*up_RadSpec!AX15))),".")</f>
        <v>2.6824597822007652</v>
      </c>
      <c r="AB15" s="116">
        <f>IFERROR(IF(up_Bv!D15=0,".",((s_Ir*s_F*s_MLF_asparagus*(1-EXP(-up_RadSpec!AX15*s_t_b)))/(s_P*up_RadSpec!AX15))),".")</f>
        <v>2.6824597822007652</v>
      </c>
      <c r="AC15" s="116">
        <f>IFERROR(IF(up_Bv!E15=0,".",((s_Ir*s_F*s_MLF_beet*(1-EXP(-up_RadSpec!AX15*s_t_b)))/(s_P*up_RadSpec!AX15))),".")</f>
        <v>2.6824597822007652</v>
      </c>
      <c r="AD15" s="116">
        <f>IFERROR(IF(up_Bv!F15=0,".",((s_Ir*s_F*s_MLF_berries*(1-EXP(-up_RadSpec!AX15*s_t_b)))/(s_P*up_RadSpec!AX15))),".")</f>
        <v>2.6824597822007652</v>
      </c>
      <c r="AE15" s="116">
        <f>IFERROR(IF(up_Bv!G15=0,".",((s_Ir*s_F*s_MLF_broccoli*(1-EXP(-up_RadSpec!AX15*s_t_b)))/(s_P*up_RadSpec!AX15))),".")</f>
        <v>2.6824597822007652</v>
      </c>
      <c r="AF15" s="116">
        <f>IFERROR(IF(up_Bv!H15=0,".",((s_Ir*s_F*s_MLF_cabbage*(1-EXP(-up_RadSpec!AX15*s_t_b)))/(s_P*up_RadSpec!AX15))),".")</f>
        <v>2.6824597822007652</v>
      </c>
      <c r="AG15" s="116">
        <f>IFERROR(IF(up_Bv!I15=0,".",((s_Ir*s_F*s_MLF_carrot*(1-EXP(-up_RadSpec!AX15*s_t_b)))/(s_P*up_RadSpec!AX15))),".")</f>
        <v>2.6824597822007652</v>
      </c>
      <c r="AH15" s="116">
        <f>IFERROR(IF(up_Bv!J15=0,".",((s_Ir*s_F*s_MLF_citrus*(1-EXP(-up_RadSpec!AX15*s_t_b)))/(s_P*up_RadSpec!AX15))),".")</f>
        <v>2.6824597822007652</v>
      </c>
      <c r="AI15" s="116">
        <f>IFERROR(IF(up_Bv!K15=0,".",((s_Ir*s_F*s_MLF_corn*(1-EXP(-up_RadSpec!AX15*s_t_b)))/(s_P*up_RadSpec!AX15))),".")</f>
        <v>2.6824597822007652</v>
      </c>
      <c r="AJ15" s="116">
        <f>IFERROR(IF(up_Bv!L15=0,".",((s_Ir*s_F*s_MLF_cucumber*(1-EXP(-up_RadSpec!AX15*s_t_b)))/(s_P*up_RadSpec!AX15))),".")</f>
        <v>2.6824597822007652</v>
      </c>
      <c r="AK15" s="116">
        <f>IFERROR(IF(up_Bv!M15=0,".",((s_Ir*s_F*s_MLF_lettuce*(1-EXP(-up_RadSpec!AX15*s_t_b)))/(s_P*up_RadSpec!AX15))),".")</f>
        <v>2.6824597822007652</v>
      </c>
      <c r="AL15" s="116">
        <f>IFERROR(IF(up_Bv!N15=0,".",((s_Ir*s_F*s_MLF_lima_bean*(1-EXP(-up_RadSpec!AX15*s_t_b)))/(s_P*up_RadSpec!AX15))),".")</f>
        <v>2.6824597822007652</v>
      </c>
      <c r="AM15" s="116">
        <f>IFERROR(IF(up_Bv!O15=0,".",((s_Ir*s_F*s_MLF_okra*(1-EXP(-up_RadSpec!AX15*s_t_b)))/(s_P*up_RadSpec!AX15))),".")</f>
        <v>2.6824597822007652</v>
      </c>
      <c r="AN15" s="116">
        <f>IFERROR(IF(up_Bv!P15=0,".",((s_Ir*s_F*s_MLF_onion*(1-EXP(-up_RadSpec!AX15*s_t_b)))/(s_P*up_RadSpec!AX15))),".")</f>
        <v>2.6824597822007652</v>
      </c>
      <c r="AO15" s="116">
        <f>IFERROR(IF(up_Bv!Q15=0,".",((s_Ir*s_F*s_MLF_peach*(1-EXP(-up_RadSpec!AX15*s_t_b)))/(s_P*up_RadSpec!AX15))),".")</f>
        <v>2.6824597822007652</v>
      </c>
      <c r="AP15" s="116">
        <f>IFERROR(IF(up_Bv!R15=0,".",((s_Ir*s_F*s_MLF_pear*(1-EXP(-up_RadSpec!AX15*s_t_b)))/(s_P*up_RadSpec!AX15))),".")</f>
        <v>2.6824597822007652</v>
      </c>
      <c r="AQ15" s="116">
        <f>IFERROR(IF(up_Bv!S15=0,".",((s_Ir*s_F*s_MLF_peas*(1-EXP(-up_RadSpec!AX15*s_t_b)))/(s_P*up_RadSpec!AX15))),".")</f>
        <v>2.6824597822007652</v>
      </c>
      <c r="AR15" s="116">
        <f>IFERROR(IF(up_Bv!T15=0,".",((s_Ir*s_F*s_MLF_potato*(1-EXP(-up_RadSpec!AX15*s_t_b)))/(s_P*up_RadSpec!AX15))),".")</f>
        <v>2.6824597822007652</v>
      </c>
      <c r="AS15" s="116">
        <f>IFERROR(IF(up_Bv!U15=0,".",((s_Ir*s_F*s_MLF_pumpkin*(1-EXP(-up_RadSpec!AX15*s_t_b)))/(s_P*up_RadSpec!AX15))),".")</f>
        <v>2.6824597822007652</v>
      </c>
      <c r="AT15" s="116">
        <f>IFERROR(IF(up_Bv!V15=0,".",((s_Ir*s_F*s_MLF_snap_bean*(1-EXP(-up_RadSpec!AX15*s_t_b)))/(s_P*up_RadSpec!AX15))),".")</f>
        <v>2.6824597822007652</v>
      </c>
      <c r="AU15" s="116">
        <f>IFERROR(IF(up_Bv!W15=0,".",((s_Ir*s_F*s_MLF_strawberry*(1-EXP(-up_RadSpec!AX15*s_t_b)))/(s_P*up_RadSpec!AX15))),".")</f>
        <v>2.6824597822007652</v>
      </c>
      <c r="AV15" s="116">
        <f>IFERROR(IF(up_Bv!X15=0,".",((s_Ir*s_F*s_MLF_tomato*(1-EXP(-up_RadSpec!AX15*s_t_b)))/(s_P*up_RadSpec!AX15))),".")</f>
        <v>2.6824597822007652</v>
      </c>
      <c r="AW15" s="116">
        <f>IFERROR(IF(up_Bv!Y15=0,".",((s_Ir*s_F*s_MLF_rice*(1-EXP(-up_RadSpec!AX15*s_t_b)))/(s_P*up_RadSpec!AX15))),".")</f>
        <v>2.6824597822007652</v>
      </c>
      <c r="AX15" s="116">
        <f>IFERROR(IF(up_Bv!Z15=0,".",((s_Ir*s_F*s_MLF_cereal*(1-EXP(-up_RadSpec!AX15*s_t_b)))/(s_P*up_RadSpec!AX15))),".")</f>
        <v>2.6824597822007652</v>
      </c>
      <c r="AY15" s="116">
        <f>IFERROR(IF(up_Bv!C15=0,".",((s_Ir*s_F*s_I_f*s_T*(1-EXP(-up_RadSpec!AY15*s_t_v)))/(s_Y_v*up_RadSpec!AY15))),".")</f>
        <v>9.0143481925428208</v>
      </c>
      <c r="AZ15" s="116">
        <f>IFERROR(IF(up_Bv!D15=0,".",((s_Ir*s_F*s_I_f*s_T*(1-EXP(-up_RadSpec!AY15*s_t_v)))/(s_Y_v*up_RadSpec!AY15))),".")</f>
        <v>9.0143481925428208</v>
      </c>
      <c r="BA15" s="116">
        <f>IFERROR(IF(up_Bv!E15=0,".",((s_Ir*s_F*s_I_f*s_T*(1-EXP(-up_RadSpec!AY15*s_t_v)))/(s_Y_v*up_RadSpec!AY15))),".")</f>
        <v>9.0143481925428208</v>
      </c>
      <c r="BB15" s="116">
        <f>IFERROR(IF(up_Bv!F15=0,".",((s_Ir*s_F*s_I_f*s_T*(1-EXP(-up_RadSpec!AY15*s_t_v)))/(s_Y_v*up_RadSpec!AY15))),".")</f>
        <v>9.0143481925428208</v>
      </c>
      <c r="BC15" s="116">
        <f>IFERROR(IF(up_Bv!G15=0,".",((s_Ir*s_F*s_I_f*s_T*(1-EXP(-up_RadSpec!AY15*s_t_v)))/(s_Y_v*up_RadSpec!AY15))),".")</f>
        <v>9.0143481925428208</v>
      </c>
      <c r="BD15" s="116">
        <f>IFERROR(IF(up_Bv!H15=0,".",((s_Ir*s_F*s_I_f*s_T*(1-EXP(-up_RadSpec!AY15*s_t_v)))/(s_Y_v*up_RadSpec!AY15))),".")</f>
        <v>9.0143481925428208</v>
      </c>
      <c r="BE15" s="116">
        <f>IFERROR(IF(up_Bv!I15=0,".",((s_Ir*s_F*s_I_f*s_T*(1-EXP(-up_RadSpec!AY15*s_t_v)))/(s_Y_v*up_RadSpec!AY15))),".")</f>
        <v>9.0143481925428208</v>
      </c>
      <c r="BF15" s="116">
        <f>IFERROR(IF(up_Bv!J15=0,".",((s_Ir*s_F*s_I_f*s_T*(1-EXP(-up_RadSpec!AY15*s_t_v)))/(s_Y_v*up_RadSpec!AY15))),".")</f>
        <v>9.0143481925428208</v>
      </c>
      <c r="BG15" s="116">
        <f>IFERROR(IF(up_Bv!K15=0,".",((s_Ir*s_F*s_I_f*s_T*(1-EXP(-up_RadSpec!AY15*s_t_v)))/(s_Y_v*up_RadSpec!AY15))),".")</f>
        <v>9.0143481925428208</v>
      </c>
      <c r="BH15" s="116">
        <f>IFERROR(IF(up_Bv!L15=0,".",((s_Ir*s_F*s_I_f*s_T*(1-EXP(-up_RadSpec!AY15*s_t_v)))/(s_Y_v*up_RadSpec!AY15))),".")</f>
        <v>9.0143481925428208</v>
      </c>
      <c r="BI15" s="116">
        <f>IFERROR(IF(up_Bv!M15=0,".",((s_Ir*s_F*s_I_f*s_T*(1-EXP(-up_RadSpec!AY15*s_t_v)))/(s_Y_v*up_RadSpec!AY15))),".")</f>
        <v>9.0143481925428208</v>
      </c>
      <c r="BJ15" s="116">
        <f>IFERROR(IF(up_Bv!N15=0,".",((s_Ir*s_F*s_I_f*s_T*(1-EXP(-up_RadSpec!AY15*s_t_v)))/(s_Y_v*up_RadSpec!AY15))),".")</f>
        <v>9.0143481925428208</v>
      </c>
      <c r="BK15" s="116">
        <f>IFERROR(IF(up_Bv!O15=0,".",((s_Ir*s_F*s_I_f*s_T*(1-EXP(-up_RadSpec!AY15*s_t_v)))/(s_Y_v*up_RadSpec!AY15))),".")</f>
        <v>9.0143481925428208</v>
      </c>
      <c r="BL15" s="116">
        <f>IFERROR(IF(up_Bv!P15=0,".",((s_Ir*s_F*s_I_f*s_T*(1-EXP(-up_RadSpec!AY15*s_t_v)))/(s_Y_v*up_RadSpec!AY15))),".")</f>
        <v>9.0143481925428208</v>
      </c>
      <c r="BM15" s="116">
        <f>IFERROR(IF(up_Bv!Q15=0,".",((s_Ir*s_F*s_I_f*s_T*(1-EXP(-up_RadSpec!AY15*s_t_v)))/(s_Y_v*up_RadSpec!AY15))),".")</f>
        <v>9.0143481925428208</v>
      </c>
      <c r="BN15" s="116">
        <f>IFERROR(IF(up_Bv!R15=0,".",((s_Ir*s_F*s_I_f*s_T*(1-EXP(-up_RadSpec!AY15*s_t_v)))/(s_Y_v*up_RadSpec!AY15))),".")</f>
        <v>9.0143481925428208</v>
      </c>
      <c r="BO15" s="116">
        <f>IFERROR(IF(up_Bv!S15=0,".",((s_Ir*s_F*s_I_f*s_T*(1-EXP(-up_RadSpec!AY15*s_t_v)))/(s_Y_v*up_RadSpec!AY15))),".")</f>
        <v>9.0143481925428208</v>
      </c>
      <c r="BP15" s="116">
        <f>IFERROR(IF(up_Bv!T15=0,".",((s_Ir*s_F*s_I_f*s_T*(1-EXP(-up_RadSpec!AY15*s_t_v)))/(s_Y_v*up_RadSpec!AY15))),".")</f>
        <v>9.0143481925428208</v>
      </c>
      <c r="BQ15" s="116">
        <f>IFERROR(IF(up_Bv!U15=0,".",((s_Ir*s_F*s_I_f*s_T*(1-EXP(-up_RadSpec!AY15*s_t_v)))/(s_Y_v*up_RadSpec!AY15))),".")</f>
        <v>9.0143481925428208</v>
      </c>
      <c r="BR15" s="116">
        <f>IFERROR(IF(up_Bv!V15=0,".",((s_Ir*s_F*s_I_f*s_T*(1-EXP(-up_RadSpec!AY15*s_t_v)))/(s_Y_v*up_RadSpec!AY15))),".")</f>
        <v>9.0143481925428208</v>
      </c>
      <c r="BS15" s="116">
        <f>IFERROR(IF(up_Bv!W15=0,".",((s_Ir*s_F*s_I_f*s_T*(1-EXP(-up_RadSpec!AY15*s_t_v)))/(s_Y_v*up_RadSpec!AY15))),".")</f>
        <v>9.0143481925428208</v>
      </c>
      <c r="BT15" s="116">
        <f>IFERROR(IF(up_Bv!X15=0,".",((s_Ir*s_F*s_I_f*s_T*(1-EXP(-up_RadSpec!AY15*s_t_v)))/(s_Y_v*up_RadSpec!AY15))),".")</f>
        <v>9.0143481925428208</v>
      </c>
      <c r="BU15" s="116">
        <f>IFERROR(IF(up_Bv!Y15=0,".",((s_Ir*s_F*s_I_f*s_T*(1-EXP(-up_RadSpec!AY15*s_t_v)))/(s_Y_v*up_RadSpec!AY15))),".")</f>
        <v>9.0143481925428208</v>
      </c>
      <c r="BV15" s="116">
        <f>IFERROR(IF(up_Bv!Z15=0,".",((s_Ir*s_F*s_I_f*s_T*(1-EXP(-up_RadSpec!AY15*s_t_v)))/(s_Y_v*up_RadSpec!AY15))),".")</f>
        <v>9.0143481925428208</v>
      </c>
    </row>
    <row r="16" spans="1:74" x14ac:dyDescent="0.25">
      <c r="A16" s="44" t="s">
        <v>26</v>
      </c>
      <c r="B16" s="42" t="s">
        <v>1074</v>
      </c>
      <c r="C16" s="116">
        <f>IFERROR(IF(up_Bv!C16=0,".",((s_Ir*s_F*up_Bv!C16*(1-EXP(-up_RadSpec!$AX16*s_t_b)))/(s_P*up_RadSpec!$AX16))),".")</f>
        <v>993.50362303732038</v>
      </c>
      <c r="D16" s="116">
        <f>IFERROR(IF(up_Bv!D16=0,".",((s_Ir*s_F*up_Bv!D16*(1-EXP(-up_RadSpec!AX16*s_t_b)))/(s_P*up_RadSpec!AX16))),".")</f>
        <v>993.50362303732038</v>
      </c>
      <c r="E16" s="116">
        <f>IFERROR(IF(up_Bv!E16=0,".",((s_Ir*s_F*up_Bv!E16*(1-EXP(-up_RadSpec!AX16*s_t_b)))/(s_P*up_RadSpec!AX16))),".")</f>
        <v>993.50362303732038</v>
      </c>
      <c r="F16" s="116">
        <f>IFERROR(IF(up_Bv!F16=0,".",((s_Ir*s_F*up_Bv!F16*(1-EXP(-up_RadSpec!AX16*s_t_b)))/(s_P*up_RadSpec!AX16))),".")</f>
        <v>993.50362303732038</v>
      </c>
      <c r="G16" s="116">
        <f>IFERROR(IF(up_Bv!G16=0,".",((s_Ir*s_F*up_Bv!G16*(1-EXP(-up_RadSpec!AX16*s_t_b)))/(s_P*up_RadSpec!AX16))),".")</f>
        <v>993.50362303732038</v>
      </c>
      <c r="H16" s="116">
        <f>IFERROR(IF(up_Bv!H16=0,".",((s_Ir*s_F*up_Bv!H16*(1-EXP(-up_RadSpec!AX16*s_t_b)))/(s_P*up_RadSpec!AX16))),".")</f>
        <v>993.50362303732038</v>
      </c>
      <c r="I16" s="116">
        <f>IFERROR(IF(up_Bv!I16=0,".",((s_Ir*s_F*up_Bv!I16*(1-EXP(-up_RadSpec!AX16*s_t_b)))/(s_P*up_RadSpec!AX16))),".")</f>
        <v>993.50362303732038</v>
      </c>
      <c r="J16" s="116">
        <f>IFERROR(IF(up_Bv!J16=0,".",((s_Ir*s_F*up_Bv!J16*(1-EXP(-up_RadSpec!AX16*s_t_b)))/(s_P*up_RadSpec!AX16))),".")</f>
        <v>993.50362303732038</v>
      </c>
      <c r="K16" s="116">
        <f>IFERROR(IF(up_Bv!K16=0,".",((s_Ir*s_F*up_Bv!K16*(1-EXP(-up_RadSpec!AX16*s_t_b)))/(s_P*up_RadSpec!AX16))),".")</f>
        <v>993.50362303732038</v>
      </c>
      <c r="L16" s="116">
        <f>IFERROR(IF(up_Bv!L16=0,".",((s_Ir*s_F*up_Bv!L16*(1-EXP(-up_RadSpec!AX16*s_t_b)))/(s_P*up_RadSpec!AX16))),".")</f>
        <v>993.50362303732038</v>
      </c>
      <c r="M16" s="116">
        <f>IFERROR(IF(up_Bv!M16=0,".",((s_Ir*s_F*up_Bv!M16*(1-EXP(-up_RadSpec!AX16*s_t_b)))/(s_P*up_RadSpec!AX16))),".")</f>
        <v>993.50362303732038</v>
      </c>
      <c r="N16" s="116">
        <f>IFERROR(IF(up_Bv!N16=0,".",((s_Ir*s_F*up_Bv!N16*(1-EXP(-up_RadSpec!AX16*s_t_b)))/(s_P*up_RadSpec!AX16))),".")</f>
        <v>993.50362303732038</v>
      </c>
      <c r="O16" s="116">
        <f>IFERROR(IF(up_Bv!O16=0,".",((s_Ir*s_F*up_Bv!O16*(1-EXP(-up_RadSpec!AX16*s_t_b)))/(s_P*up_RadSpec!AX16))),".")</f>
        <v>993.50362303732038</v>
      </c>
      <c r="P16" s="116">
        <f>IFERROR(IF(up_Bv!P16=0,".",((s_Ir*s_F*up_Bv!P16*(1-EXP(-up_RadSpec!AX16*s_t_b)))/(s_P*up_RadSpec!AX16))),".")</f>
        <v>993.50362303732038</v>
      </c>
      <c r="Q16" s="116">
        <f>IFERROR(IF(up_Bv!Q16=0,".",((s_Ir*s_F*up_Bv!Q16*(1-EXP(-up_RadSpec!AX16*s_t_b)))/(s_P*up_RadSpec!AX16))),".")</f>
        <v>993.50362303732038</v>
      </c>
      <c r="R16" s="116">
        <f>IFERROR(IF(up_Bv!R16=0,".",((s_Ir*s_F*up_Bv!R16*(1-EXP(-up_RadSpec!AX16*s_t_b)))/(s_P*up_RadSpec!AX16))),".")</f>
        <v>993.50362303732038</v>
      </c>
      <c r="S16" s="116">
        <f>IFERROR(IF(up_Bv!S16=0,".",((s_Ir*s_F*up_Bv!S16*(1-EXP(-up_RadSpec!AX16*s_t_b)))/(s_P*up_RadSpec!AX16))),".")</f>
        <v>993.50362303732038</v>
      </c>
      <c r="T16" s="116">
        <f>IFERROR(IF(up_Bv!T16=0,".",((s_Ir*s_F*up_Bv!T16*(1-EXP(-up_RadSpec!AX16*s_t_b)))/(s_P*up_RadSpec!AX16))),".")</f>
        <v>993.50362303732038</v>
      </c>
      <c r="U16" s="116">
        <f>IFERROR(IF(up_Bv!U16=0,".",((s_Ir*s_F*up_Bv!U16*(1-EXP(-up_RadSpec!AX16*s_t_b)))/(s_P*up_RadSpec!AX16))),".")</f>
        <v>993.50362303732038</v>
      </c>
      <c r="V16" s="116">
        <f>IFERROR(IF(up_Bv!V16=0,".",((s_Ir*s_F*up_Bv!V16*(1-EXP(-up_RadSpec!AX16*s_t_b)))/(s_P*up_RadSpec!AX16))),".")</f>
        <v>993.50362303732038</v>
      </c>
      <c r="W16" s="116">
        <f>IFERROR(IF(up_Bv!W16=0,".",((s_Ir*s_F*up_Bv!W16*(1-EXP(-up_RadSpec!AX16*s_t_b)))/(s_P*up_RadSpec!AX16))),".")</f>
        <v>993.50362303732038</v>
      </c>
      <c r="X16" s="116">
        <f>IFERROR(IF(up_Bv!X16=0,".",((s_Ir*s_F*up_Bv!X16*(1-EXP(-up_RadSpec!AX16*s_t_b)))/(s_P*up_RadSpec!AX16))),".")</f>
        <v>993.50362303732038</v>
      </c>
      <c r="Y16" s="116">
        <f>IFERROR(IF(up_Bv!Y16=0,".",((s_Ir*s_F*up_Bv!Y16*(1-EXP(-up_RadSpec!AX16*s_t_b)))/(s_P*up_RadSpec!AX16))),".")</f>
        <v>993.50362303732038</v>
      </c>
      <c r="Z16" s="116">
        <f>IFERROR(IF(up_Bv!Z16=0,".",((s_Ir*s_F*up_Bv!Z16*(1-EXP(-up_RadSpec!AX16*s_t_b)))/(s_P*up_RadSpec!AX16))),".")</f>
        <v>993.50362303732038</v>
      </c>
      <c r="AA16" s="116">
        <f>IFERROR(IF(up_Bv!C16=0,".",((s_Ir*s_F*s_MLF_apple*(1-EXP(-up_RadSpec!AX16*s_t_b)))/(s_P*up_RadSpec!AX16))),".")</f>
        <v>2.6824597822007652</v>
      </c>
      <c r="AB16" s="116">
        <f>IFERROR(IF(up_Bv!D16=0,".",((s_Ir*s_F*s_MLF_asparagus*(1-EXP(-up_RadSpec!AX16*s_t_b)))/(s_P*up_RadSpec!AX16))),".")</f>
        <v>2.6824597822007652</v>
      </c>
      <c r="AC16" s="116">
        <f>IFERROR(IF(up_Bv!E16=0,".",((s_Ir*s_F*s_MLF_beet*(1-EXP(-up_RadSpec!AX16*s_t_b)))/(s_P*up_RadSpec!AX16))),".")</f>
        <v>2.6824597822007652</v>
      </c>
      <c r="AD16" s="116">
        <f>IFERROR(IF(up_Bv!F16=0,".",((s_Ir*s_F*s_MLF_berries*(1-EXP(-up_RadSpec!AX16*s_t_b)))/(s_P*up_RadSpec!AX16))),".")</f>
        <v>2.6824597822007652</v>
      </c>
      <c r="AE16" s="116">
        <f>IFERROR(IF(up_Bv!G16=0,".",((s_Ir*s_F*s_MLF_broccoli*(1-EXP(-up_RadSpec!AX16*s_t_b)))/(s_P*up_RadSpec!AX16))),".")</f>
        <v>2.6824597822007652</v>
      </c>
      <c r="AF16" s="116">
        <f>IFERROR(IF(up_Bv!H16=0,".",((s_Ir*s_F*s_MLF_cabbage*(1-EXP(-up_RadSpec!AX16*s_t_b)))/(s_P*up_RadSpec!AX16))),".")</f>
        <v>2.6824597822007652</v>
      </c>
      <c r="AG16" s="116">
        <f>IFERROR(IF(up_Bv!I16=0,".",((s_Ir*s_F*s_MLF_carrot*(1-EXP(-up_RadSpec!AX16*s_t_b)))/(s_P*up_RadSpec!AX16))),".")</f>
        <v>2.6824597822007652</v>
      </c>
      <c r="AH16" s="116">
        <f>IFERROR(IF(up_Bv!J16=0,".",((s_Ir*s_F*s_MLF_citrus*(1-EXP(-up_RadSpec!AX16*s_t_b)))/(s_P*up_RadSpec!AX16))),".")</f>
        <v>2.6824597822007652</v>
      </c>
      <c r="AI16" s="116">
        <f>IFERROR(IF(up_Bv!K16=0,".",((s_Ir*s_F*s_MLF_corn*(1-EXP(-up_RadSpec!AX16*s_t_b)))/(s_P*up_RadSpec!AX16))),".")</f>
        <v>2.6824597822007652</v>
      </c>
      <c r="AJ16" s="116">
        <f>IFERROR(IF(up_Bv!L16=0,".",((s_Ir*s_F*s_MLF_cucumber*(1-EXP(-up_RadSpec!AX16*s_t_b)))/(s_P*up_RadSpec!AX16))),".")</f>
        <v>2.6824597822007652</v>
      </c>
      <c r="AK16" s="116">
        <f>IFERROR(IF(up_Bv!M16=0,".",((s_Ir*s_F*s_MLF_lettuce*(1-EXP(-up_RadSpec!AX16*s_t_b)))/(s_P*up_RadSpec!AX16))),".")</f>
        <v>2.6824597822007652</v>
      </c>
      <c r="AL16" s="116">
        <f>IFERROR(IF(up_Bv!N16=0,".",((s_Ir*s_F*s_MLF_lima_bean*(1-EXP(-up_RadSpec!AX16*s_t_b)))/(s_P*up_RadSpec!AX16))),".")</f>
        <v>2.6824597822007652</v>
      </c>
      <c r="AM16" s="116">
        <f>IFERROR(IF(up_Bv!O16=0,".",((s_Ir*s_F*s_MLF_okra*(1-EXP(-up_RadSpec!AX16*s_t_b)))/(s_P*up_RadSpec!AX16))),".")</f>
        <v>2.6824597822007652</v>
      </c>
      <c r="AN16" s="116">
        <f>IFERROR(IF(up_Bv!P16=0,".",((s_Ir*s_F*s_MLF_onion*(1-EXP(-up_RadSpec!AX16*s_t_b)))/(s_P*up_RadSpec!AX16))),".")</f>
        <v>2.6824597822007652</v>
      </c>
      <c r="AO16" s="116">
        <f>IFERROR(IF(up_Bv!Q16=0,".",((s_Ir*s_F*s_MLF_peach*(1-EXP(-up_RadSpec!AX16*s_t_b)))/(s_P*up_RadSpec!AX16))),".")</f>
        <v>2.6824597822007652</v>
      </c>
      <c r="AP16" s="116">
        <f>IFERROR(IF(up_Bv!R16=0,".",((s_Ir*s_F*s_MLF_pear*(1-EXP(-up_RadSpec!AX16*s_t_b)))/(s_P*up_RadSpec!AX16))),".")</f>
        <v>2.6824597822007652</v>
      </c>
      <c r="AQ16" s="116">
        <f>IFERROR(IF(up_Bv!S16=0,".",((s_Ir*s_F*s_MLF_peas*(1-EXP(-up_RadSpec!AX16*s_t_b)))/(s_P*up_RadSpec!AX16))),".")</f>
        <v>2.6824597822007652</v>
      </c>
      <c r="AR16" s="116">
        <f>IFERROR(IF(up_Bv!T16=0,".",((s_Ir*s_F*s_MLF_potato*(1-EXP(-up_RadSpec!AX16*s_t_b)))/(s_P*up_RadSpec!AX16))),".")</f>
        <v>2.6824597822007652</v>
      </c>
      <c r="AS16" s="116">
        <f>IFERROR(IF(up_Bv!U16=0,".",((s_Ir*s_F*s_MLF_pumpkin*(1-EXP(-up_RadSpec!AX16*s_t_b)))/(s_P*up_RadSpec!AX16))),".")</f>
        <v>2.6824597822007652</v>
      </c>
      <c r="AT16" s="116">
        <f>IFERROR(IF(up_Bv!V16=0,".",((s_Ir*s_F*s_MLF_snap_bean*(1-EXP(-up_RadSpec!AX16*s_t_b)))/(s_P*up_RadSpec!AX16))),".")</f>
        <v>2.6824597822007652</v>
      </c>
      <c r="AU16" s="116">
        <f>IFERROR(IF(up_Bv!W16=0,".",((s_Ir*s_F*s_MLF_strawberry*(1-EXP(-up_RadSpec!AX16*s_t_b)))/(s_P*up_RadSpec!AX16))),".")</f>
        <v>2.6824597822007652</v>
      </c>
      <c r="AV16" s="116">
        <f>IFERROR(IF(up_Bv!X16=0,".",((s_Ir*s_F*s_MLF_tomato*(1-EXP(-up_RadSpec!AX16*s_t_b)))/(s_P*up_RadSpec!AX16))),".")</f>
        <v>2.6824597822007652</v>
      </c>
      <c r="AW16" s="116">
        <f>IFERROR(IF(up_Bv!Y16=0,".",((s_Ir*s_F*s_MLF_rice*(1-EXP(-up_RadSpec!AX16*s_t_b)))/(s_P*up_RadSpec!AX16))),".")</f>
        <v>2.6824597822007652</v>
      </c>
      <c r="AX16" s="116">
        <f>IFERROR(IF(up_Bv!Z16=0,".",((s_Ir*s_F*s_MLF_cereal*(1-EXP(-up_RadSpec!AX16*s_t_b)))/(s_P*up_RadSpec!AX16))),".")</f>
        <v>2.6824597822007652</v>
      </c>
      <c r="AY16" s="116">
        <f>IFERROR(IF(up_Bv!C16=0,".",((s_Ir*s_F*s_I_f*s_T*(1-EXP(-up_RadSpec!AY16*s_t_v)))/(s_Y_v*up_RadSpec!AY16))),".")</f>
        <v>9.0143481925428208</v>
      </c>
      <c r="AZ16" s="116">
        <f>IFERROR(IF(up_Bv!D16=0,".",((s_Ir*s_F*s_I_f*s_T*(1-EXP(-up_RadSpec!AY16*s_t_v)))/(s_Y_v*up_RadSpec!AY16))),".")</f>
        <v>9.0143481925428208</v>
      </c>
      <c r="BA16" s="116">
        <f>IFERROR(IF(up_Bv!E16=0,".",((s_Ir*s_F*s_I_f*s_T*(1-EXP(-up_RadSpec!AY16*s_t_v)))/(s_Y_v*up_RadSpec!AY16))),".")</f>
        <v>9.0143481925428208</v>
      </c>
      <c r="BB16" s="116">
        <f>IFERROR(IF(up_Bv!F16=0,".",((s_Ir*s_F*s_I_f*s_T*(1-EXP(-up_RadSpec!AY16*s_t_v)))/(s_Y_v*up_RadSpec!AY16))),".")</f>
        <v>9.0143481925428208</v>
      </c>
      <c r="BC16" s="116">
        <f>IFERROR(IF(up_Bv!G16=0,".",((s_Ir*s_F*s_I_f*s_T*(1-EXP(-up_RadSpec!AY16*s_t_v)))/(s_Y_v*up_RadSpec!AY16))),".")</f>
        <v>9.0143481925428208</v>
      </c>
      <c r="BD16" s="116">
        <f>IFERROR(IF(up_Bv!H16=0,".",((s_Ir*s_F*s_I_f*s_T*(1-EXP(-up_RadSpec!AY16*s_t_v)))/(s_Y_v*up_RadSpec!AY16))),".")</f>
        <v>9.0143481925428208</v>
      </c>
      <c r="BE16" s="116">
        <f>IFERROR(IF(up_Bv!I16=0,".",((s_Ir*s_F*s_I_f*s_T*(1-EXP(-up_RadSpec!AY16*s_t_v)))/(s_Y_v*up_RadSpec!AY16))),".")</f>
        <v>9.0143481925428208</v>
      </c>
      <c r="BF16" s="116">
        <f>IFERROR(IF(up_Bv!J16=0,".",((s_Ir*s_F*s_I_f*s_T*(1-EXP(-up_RadSpec!AY16*s_t_v)))/(s_Y_v*up_RadSpec!AY16))),".")</f>
        <v>9.0143481925428208</v>
      </c>
      <c r="BG16" s="116">
        <f>IFERROR(IF(up_Bv!K16=0,".",((s_Ir*s_F*s_I_f*s_T*(1-EXP(-up_RadSpec!AY16*s_t_v)))/(s_Y_v*up_RadSpec!AY16))),".")</f>
        <v>9.0143481925428208</v>
      </c>
      <c r="BH16" s="116">
        <f>IFERROR(IF(up_Bv!L16=0,".",((s_Ir*s_F*s_I_f*s_T*(1-EXP(-up_RadSpec!AY16*s_t_v)))/(s_Y_v*up_RadSpec!AY16))),".")</f>
        <v>9.0143481925428208</v>
      </c>
      <c r="BI16" s="116">
        <f>IFERROR(IF(up_Bv!M16=0,".",((s_Ir*s_F*s_I_f*s_T*(1-EXP(-up_RadSpec!AY16*s_t_v)))/(s_Y_v*up_RadSpec!AY16))),".")</f>
        <v>9.0143481925428208</v>
      </c>
      <c r="BJ16" s="116">
        <f>IFERROR(IF(up_Bv!N16=0,".",((s_Ir*s_F*s_I_f*s_T*(1-EXP(-up_RadSpec!AY16*s_t_v)))/(s_Y_v*up_RadSpec!AY16))),".")</f>
        <v>9.0143481925428208</v>
      </c>
      <c r="BK16" s="116">
        <f>IFERROR(IF(up_Bv!O16=0,".",((s_Ir*s_F*s_I_f*s_T*(1-EXP(-up_RadSpec!AY16*s_t_v)))/(s_Y_v*up_RadSpec!AY16))),".")</f>
        <v>9.0143481925428208</v>
      </c>
      <c r="BL16" s="116">
        <f>IFERROR(IF(up_Bv!P16=0,".",((s_Ir*s_F*s_I_f*s_T*(1-EXP(-up_RadSpec!AY16*s_t_v)))/(s_Y_v*up_RadSpec!AY16))),".")</f>
        <v>9.0143481925428208</v>
      </c>
      <c r="BM16" s="116">
        <f>IFERROR(IF(up_Bv!Q16=0,".",((s_Ir*s_F*s_I_f*s_T*(1-EXP(-up_RadSpec!AY16*s_t_v)))/(s_Y_v*up_RadSpec!AY16))),".")</f>
        <v>9.0143481925428208</v>
      </c>
      <c r="BN16" s="116">
        <f>IFERROR(IF(up_Bv!R16=0,".",((s_Ir*s_F*s_I_f*s_T*(1-EXP(-up_RadSpec!AY16*s_t_v)))/(s_Y_v*up_RadSpec!AY16))),".")</f>
        <v>9.0143481925428208</v>
      </c>
      <c r="BO16" s="116">
        <f>IFERROR(IF(up_Bv!S16=0,".",((s_Ir*s_F*s_I_f*s_T*(1-EXP(-up_RadSpec!AY16*s_t_v)))/(s_Y_v*up_RadSpec!AY16))),".")</f>
        <v>9.0143481925428208</v>
      </c>
      <c r="BP16" s="116">
        <f>IFERROR(IF(up_Bv!T16=0,".",((s_Ir*s_F*s_I_f*s_T*(1-EXP(-up_RadSpec!AY16*s_t_v)))/(s_Y_v*up_RadSpec!AY16))),".")</f>
        <v>9.0143481925428208</v>
      </c>
      <c r="BQ16" s="116">
        <f>IFERROR(IF(up_Bv!U16=0,".",((s_Ir*s_F*s_I_f*s_T*(1-EXP(-up_RadSpec!AY16*s_t_v)))/(s_Y_v*up_RadSpec!AY16))),".")</f>
        <v>9.0143481925428208</v>
      </c>
      <c r="BR16" s="116">
        <f>IFERROR(IF(up_Bv!V16=0,".",((s_Ir*s_F*s_I_f*s_T*(1-EXP(-up_RadSpec!AY16*s_t_v)))/(s_Y_v*up_RadSpec!AY16))),".")</f>
        <v>9.0143481925428208</v>
      </c>
      <c r="BS16" s="116">
        <f>IFERROR(IF(up_Bv!W16=0,".",((s_Ir*s_F*s_I_f*s_T*(1-EXP(-up_RadSpec!AY16*s_t_v)))/(s_Y_v*up_RadSpec!AY16))),".")</f>
        <v>9.0143481925428208</v>
      </c>
      <c r="BT16" s="116">
        <f>IFERROR(IF(up_Bv!X16=0,".",((s_Ir*s_F*s_I_f*s_T*(1-EXP(-up_RadSpec!AY16*s_t_v)))/(s_Y_v*up_RadSpec!AY16))),".")</f>
        <v>9.0143481925428208</v>
      </c>
      <c r="BU16" s="116">
        <f>IFERROR(IF(up_Bv!Y16=0,".",((s_Ir*s_F*s_I_f*s_T*(1-EXP(-up_RadSpec!AY16*s_t_v)))/(s_Y_v*up_RadSpec!AY16))),".")</f>
        <v>9.0143481925428208</v>
      </c>
      <c r="BV16" s="116">
        <f>IFERROR(IF(up_Bv!Z16=0,".",((s_Ir*s_F*s_I_f*s_T*(1-EXP(-up_RadSpec!AY16*s_t_v)))/(s_Y_v*up_RadSpec!AY16))),".")</f>
        <v>9.0143481925428208</v>
      </c>
    </row>
    <row r="17" spans="1:74" x14ac:dyDescent="0.25">
      <c r="A17" s="44" t="s">
        <v>27</v>
      </c>
      <c r="B17" s="42" t="s">
        <v>1074</v>
      </c>
      <c r="C17" s="116">
        <f>IFERROR(IF(up_Bv!C17=0,".",((s_Ir*s_F*up_Bv!C17*(1-EXP(-up_RadSpec!$AX17*s_t_b)))/(s_P*up_RadSpec!$AX17))),".")</f>
        <v>993.50362303732038</v>
      </c>
      <c r="D17" s="116">
        <f>IFERROR(IF(up_Bv!D17=0,".",((s_Ir*s_F*up_Bv!D17*(1-EXP(-up_RadSpec!AX17*s_t_b)))/(s_P*up_RadSpec!AX17))),".")</f>
        <v>993.50362303732038</v>
      </c>
      <c r="E17" s="116">
        <f>IFERROR(IF(up_Bv!E17=0,".",((s_Ir*s_F*up_Bv!E17*(1-EXP(-up_RadSpec!AX17*s_t_b)))/(s_P*up_RadSpec!AX17))),".")</f>
        <v>993.50362303732038</v>
      </c>
      <c r="F17" s="116">
        <f>IFERROR(IF(up_Bv!F17=0,".",((s_Ir*s_F*up_Bv!F17*(1-EXP(-up_RadSpec!AX17*s_t_b)))/(s_P*up_RadSpec!AX17))),".")</f>
        <v>993.50362303732038</v>
      </c>
      <c r="G17" s="116">
        <f>IFERROR(IF(up_Bv!G17=0,".",((s_Ir*s_F*up_Bv!G17*(1-EXP(-up_RadSpec!AX17*s_t_b)))/(s_P*up_RadSpec!AX17))),".")</f>
        <v>993.50362303732038</v>
      </c>
      <c r="H17" s="116">
        <f>IFERROR(IF(up_Bv!H17=0,".",((s_Ir*s_F*up_Bv!H17*(1-EXP(-up_RadSpec!AX17*s_t_b)))/(s_P*up_RadSpec!AX17))),".")</f>
        <v>993.50362303732038</v>
      </c>
      <c r="I17" s="116">
        <f>IFERROR(IF(up_Bv!I17=0,".",((s_Ir*s_F*up_Bv!I17*(1-EXP(-up_RadSpec!AX17*s_t_b)))/(s_P*up_RadSpec!AX17))),".")</f>
        <v>993.50362303732038</v>
      </c>
      <c r="J17" s="116">
        <f>IFERROR(IF(up_Bv!J17=0,".",((s_Ir*s_F*up_Bv!J17*(1-EXP(-up_RadSpec!AX17*s_t_b)))/(s_P*up_RadSpec!AX17))),".")</f>
        <v>993.50362303732038</v>
      </c>
      <c r="K17" s="116">
        <f>IFERROR(IF(up_Bv!K17=0,".",((s_Ir*s_F*up_Bv!K17*(1-EXP(-up_RadSpec!AX17*s_t_b)))/(s_P*up_RadSpec!AX17))),".")</f>
        <v>993.50362303732038</v>
      </c>
      <c r="L17" s="116">
        <f>IFERROR(IF(up_Bv!L17=0,".",((s_Ir*s_F*up_Bv!L17*(1-EXP(-up_RadSpec!AX17*s_t_b)))/(s_P*up_RadSpec!AX17))),".")</f>
        <v>993.50362303732038</v>
      </c>
      <c r="M17" s="116">
        <f>IFERROR(IF(up_Bv!M17=0,".",((s_Ir*s_F*up_Bv!M17*(1-EXP(-up_RadSpec!AX17*s_t_b)))/(s_P*up_RadSpec!AX17))),".")</f>
        <v>993.50362303732038</v>
      </c>
      <c r="N17" s="116">
        <f>IFERROR(IF(up_Bv!N17=0,".",((s_Ir*s_F*up_Bv!N17*(1-EXP(-up_RadSpec!AX17*s_t_b)))/(s_P*up_RadSpec!AX17))),".")</f>
        <v>993.50362303732038</v>
      </c>
      <c r="O17" s="116">
        <f>IFERROR(IF(up_Bv!O17=0,".",((s_Ir*s_F*up_Bv!O17*(1-EXP(-up_RadSpec!AX17*s_t_b)))/(s_P*up_RadSpec!AX17))),".")</f>
        <v>993.50362303732038</v>
      </c>
      <c r="P17" s="116">
        <f>IFERROR(IF(up_Bv!P17=0,".",((s_Ir*s_F*up_Bv!P17*(1-EXP(-up_RadSpec!AX17*s_t_b)))/(s_P*up_RadSpec!AX17))),".")</f>
        <v>993.50362303732038</v>
      </c>
      <c r="Q17" s="116">
        <f>IFERROR(IF(up_Bv!Q17=0,".",((s_Ir*s_F*up_Bv!Q17*(1-EXP(-up_RadSpec!AX17*s_t_b)))/(s_P*up_RadSpec!AX17))),".")</f>
        <v>993.50362303732038</v>
      </c>
      <c r="R17" s="116">
        <f>IFERROR(IF(up_Bv!R17=0,".",((s_Ir*s_F*up_Bv!R17*(1-EXP(-up_RadSpec!AX17*s_t_b)))/(s_P*up_RadSpec!AX17))),".")</f>
        <v>993.50362303732038</v>
      </c>
      <c r="S17" s="116">
        <f>IFERROR(IF(up_Bv!S17=0,".",((s_Ir*s_F*up_Bv!S17*(1-EXP(-up_RadSpec!AX17*s_t_b)))/(s_P*up_RadSpec!AX17))),".")</f>
        <v>993.50362303732038</v>
      </c>
      <c r="T17" s="116">
        <f>IFERROR(IF(up_Bv!T17=0,".",((s_Ir*s_F*up_Bv!T17*(1-EXP(-up_RadSpec!AX17*s_t_b)))/(s_P*up_RadSpec!AX17))),".")</f>
        <v>993.50362303732038</v>
      </c>
      <c r="U17" s="116">
        <f>IFERROR(IF(up_Bv!U17=0,".",((s_Ir*s_F*up_Bv!U17*(1-EXP(-up_RadSpec!AX17*s_t_b)))/(s_P*up_RadSpec!AX17))),".")</f>
        <v>993.50362303732038</v>
      </c>
      <c r="V17" s="116">
        <f>IFERROR(IF(up_Bv!V17=0,".",((s_Ir*s_F*up_Bv!V17*(1-EXP(-up_RadSpec!AX17*s_t_b)))/(s_P*up_RadSpec!AX17))),".")</f>
        <v>993.50362303732038</v>
      </c>
      <c r="W17" s="116">
        <f>IFERROR(IF(up_Bv!W17=0,".",((s_Ir*s_F*up_Bv!W17*(1-EXP(-up_RadSpec!AX17*s_t_b)))/(s_P*up_RadSpec!AX17))),".")</f>
        <v>993.50362303732038</v>
      </c>
      <c r="X17" s="116">
        <f>IFERROR(IF(up_Bv!X17=0,".",((s_Ir*s_F*up_Bv!X17*(1-EXP(-up_RadSpec!AX17*s_t_b)))/(s_P*up_RadSpec!AX17))),".")</f>
        <v>993.50362303732038</v>
      </c>
      <c r="Y17" s="116">
        <f>IFERROR(IF(up_Bv!Y17=0,".",((s_Ir*s_F*up_Bv!Y17*(1-EXP(-up_RadSpec!AX17*s_t_b)))/(s_P*up_RadSpec!AX17))),".")</f>
        <v>993.50362303732038</v>
      </c>
      <c r="Z17" s="116">
        <f>IFERROR(IF(up_Bv!Z17=0,".",((s_Ir*s_F*up_Bv!Z17*(1-EXP(-up_RadSpec!AX17*s_t_b)))/(s_P*up_RadSpec!AX17))),".")</f>
        <v>993.50362303732038</v>
      </c>
      <c r="AA17" s="116">
        <f>IFERROR(IF(up_Bv!C17=0,".",((s_Ir*s_F*s_MLF_apple*(1-EXP(-up_RadSpec!AX17*s_t_b)))/(s_P*up_RadSpec!AX17))),".")</f>
        <v>2.6824597822007652</v>
      </c>
      <c r="AB17" s="116">
        <f>IFERROR(IF(up_Bv!D17=0,".",((s_Ir*s_F*s_MLF_asparagus*(1-EXP(-up_RadSpec!AX17*s_t_b)))/(s_P*up_RadSpec!AX17))),".")</f>
        <v>2.6824597822007652</v>
      </c>
      <c r="AC17" s="116">
        <f>IFERROR(IF(up_Bv!E17=0,".",((s_Ir*s_F*s_MLF_beet*(1-EXP(-up_RadSpec!AX17*s_t_b)))/(s_P*up_RadSpec!AX17))),".")</f>
        <v>2.6824597822007652</v>
      </c>
      <c r="AD17" s="116">
        <f>IFERROR(IF(up_Bv!F17=0,".",((s_Ir*s_F*s_MLF_berries*(1-EXP(-up_RadSpec!AX17*s_t_b)))/(s_P*up_RadSpec!AX17))),".")</f>
        <v>2.6824597822007652</v>
      </c>
      <c r="AE17" s="116">
        <f>IFERROR(IF(up_Bv!G17=0,".",((s_Ir*s_F*s_MLF_broccoli*(1-EXP(-up_RadSpec!AX17*s_t_b)))/(s_P*up_RadSpec!AX17))),".")</f>
        <v>2.6824597822007652</v>
      </c>
      <c r="AF17" s="116">
        <f>IFERROR(IF(up_Bv!H17=0,".",((s_Ir*s_F*s_MLF_cabbage*(1-EXP(-up_RadSpec!AX17*s_t_b)))/(s_P*up_RadSpec!AX17))),".")</f>
        <v>2.6824597822007652</v>
      </c>
      <c r="AG17" s="116">
        <f>IFERROR(IF(up_Bv!I17=0,".",((s_Ir*s_F*s_MLF_carrot*(1-EXP(-up_RadSpec!AX17*s_t_b)))/(s_P*up_RadSpec!AX17))),".")</f>
        <v>2.6824597822007652</v>
      </c>
      <c r="AH17" s="116">
        <f>IFERROR(IF(up_Bv!J17=0,".",((s_Ir*s_F*s_MLF_citrus*(1-EXP(-up_RadSpec!AX17*s_t_b)))/(s_P*up_RadSpec!AX17))),".")</f>
        <v>2.6824597822007652</v>
      </c>
      <c r="AI17" s="116">
        <f>IFERROR(IF(up_Bv!K17=0,".",((s_Ir*s_F*s_MLF_corn*(1-EXP(-up_RadSpec!AX17*s_t_b)))/(s_P*up_RadSpec!AX17))),".")</f>
        <v>2.6824597822007652</v>
      </c>
      <c r="AJ17" s="116">
        <f>IFERROR(IF(up_Bv!L17=0,".",((s_Ir*s_F*s_MLF_cucumber*(1-EXP(-up_RadSpec!AX17*s_t_b)))/(s_P*up_RadSpec!AX17))),".")</f>
        <v>2.6824597822007652</v>
      </c>
      <c r="AK17" s="116">
        <f>IFERROR(IF(up_Bv!M17=0,".",((s_Ir*s_F*s_MLF_lettuce*(1-EXP(-up_RadSpec!AX17*s_t_b)))/(s_P*up_RadSpec!AX17))),".")</f>
        <v>2.6824597822007652</v>
      </c>
      <c r="AL17" s="116">
        <f>IFERROR(IF(up_Bv!N17=0,".",((s_Ir*s_F*s_MLF_lima_bean*(1-EXP(-up_RadSpec!AX17*s_t_b)))/(s_P*up_RadSpec!AX17))),".")</f>
        <v>2.6824597822007652</v>
      </c>
      <c r="AM17" s="116">
        <f>IFERROR(IF(up_Bv!O17=0,".",((s_Ir*s_F*s_MLF_okra*(1-EXP(-up_RadSpec!AX17*s_t_b)))/(s_P*up_RadSpec!AX17))),".")</f>
        <v>2.6824597822007652</v>
      </c>
      <c r="AN17" s="116">
        <f>IFERROR(IF(up_Bv!P17=0,".",((s_Ir*s_F*s_MLF_onion*(1-EXP(-up_RadSpec!AX17*s_t_b)))/(s_P*up_RadSpec!AX17))),".")</f>
        <v>2.6824597822007652</v>
      </c>
      <c r="AO17" s="116">
        <f>IFERROR(IF(up_Bv!Q17=0,".",((s_Ir*s_F*s_MLF_peach*(1-EXP(-up_RadSpec!AX17*s_t_b)))/(s_P*up_RadSpec!AX17))),".")</f>
        <v>2.6824597822007652</v>
      </c>
      <c r="AP17" s="116">
        <f>IFERROR(IF(up_Bv!R17=0,".",((s_Ir*s_F*s_MLF_pear*(1-EXP(-up_RadSpec!AX17*s_t_b)))/(s_P*up_RadSpec!AX17))),".")</f>
        <v>2.6824597822007652</v>
      </c>
      <c r="AQ17" s="116">
        <f>IFERROR(IF(up_Bv!S17=0,".",((s_Ir*s_F*s_MLF_peas*(1-EXP(-up_RadSpec!AX17*s_t_b)))/(s_P*up_RadSpec!AX17))),".")</f>
        <v>2.6824597822007652</v>
      </c>
      <c r="AR17" s="116">
        <f>IFERROR(IF(up_Bv!T17=0,".",((s_Ir*s_F*s_MLF_potato*(1-EXP(-up_RadSpec!AX17*s_t_b)))/(s_P*up_RadSpec!AX17))),".")</f>
        <v>2.6824597822007652</v>
      </c>
      <c r="AS17" s="116">
        <f>IFERROR(IF(up_Bv!U17=0,".",((s_Ir*s_F*s_MLF_pumpkin*(1-EXP(-up_RadSpec!AX17*s_t_b)))/(s_P*up_RadSpec!AX17))),".")</f>
        <v>2.6824597822007652</v>
      </c>
      <c r="AT17" s="116">
        <f>IFERROR(IF(up_Bv!V17=0,".",((s_Ir*s_F*s_MLF_snap_bean*(1-EXP(-up_RadSpec!AX17*s_t_b)))/(s_P*up_RadSpec!AX17))),".")</f>
        <v>2.6824597822007652</v>
      </c>
      <c r="AU17" s="116">
        <f>IFERROR(IF(up_Bv!W17=0,".",((s_Ir*s_F*s_MLF_strawberry*(1-EXP(-up_RadSpec!AX17*s_t_b)))/(s_P*up_RadSpec!AX17))),".")</f>
        <v>2.6824597822007652</v>
      </c>
      <c r="AV17" s="116">
        <f>IFERROR(IF(up_Bv!X17=0,".",((s_Ir*s_F*s_MLF_tomato*(1-EXP(-up_RadSpec!AX17*s_t_b)))/(s_P*up_RadSpec!AX17))),".")</f>
        <v>2.6824597822007652</v>
      </c>
      <c r="AW17" s="116">
        <f>IFERROR(IF(up_Bv!Y17=0,".",((s_Ir*s_F*s_MLF_rice*(1-EXP(-up_RadSpec!AX17*s_t_b)))/(s_P*up_RadSpec!AX17))),".")</f>
        <v>2.6824597822007652</v>
      </c>
      <c r="AX17" s="116">
        <f>IFERROR(IF(up_Bv!Z17=0,".",((s_Ir*s_F*s_MLF_cereal*(1-EXP(-up_RadSpec!AX17*s_t_b)))/(s_P*up_RadSpec!AX17))),".")</f>
        <v>2.6824597822007652</v>
      </c>
      <c r="AY17" s="116">
        <f>IFERROR(IF(up_Bv!C17=0,".",((s_Ir*s_F*s_I_f*s_T*(1-EXP(-up_RadSpec!AY17*s_t_v)))/(s_Y_v*up_RadSpec!AY17))),".")</f>
        <v>9.0143481925428208</v>
      </c>
      <c r="AZ17" s="116">
        <f>IFERROR(IF(up_Bv!D17=0,".",((s_Ir*s_F*s_I_f*s_T*(1-EXP(-up_RadSpec!AY17*s_t_v)))/(s_Y_v*up_RadSpec!AY17))),".")</f>
        <v>9.0143481925428208</v>
      </c>
      <c r="BA17" s="116">
        <f>IFERROR(IF(up_Bv!E17=0,".",((s_Ir*s_F*s_I_f*s_T*(1-EXP(-up_RadSpec!AY17*s_t_v)))/(s_Y_v*up_RadSpec!AY17))),".")</f>
        <v>9.0143481925428208</v>
      </c>
      <c r="BB17" s="116">
        <f>IFERROR(IF(up_Bv!F17=0,".",((s_Ir*s_F*s_I_f*s_T*(1-EXP(-up_RadSpec!AY17*s_t_v)))/(s_Y_v*up_RadSpec!AY17))),".")</f>
        <v>9.0143481925428208</v>
      </c>
      <c r="BC17" s="116">
        <f>IFERROR(IF(up_Bv!G17=0,".",((s_Ir*s_F*s_I_f*s_T*(1-EXP(-up_RadSpec!AY17*s_t_v)))/(s_Y_v*up_RadSpec!AY17))),".")</f>
        <v>9.0143481925428208</v>
      </c>
      <c r="BD17" s="116">
        <f>IFERROR(IF(up_Bv!H17=0,".",((s_Ir*s_F*s_I_f*s_T*(1-EXP(-up_RadSpec!AY17*s_t_v)))/(s_Y_v*up_RadSpec!AY17))),".")</f>
        <v>9.0143481925428208</v>
      </c>
      <c r="BE17" s="116">
        <f>IFERROR(IF(up_Bv!I17=0,".",((s_Ir*s_F*s_I_f*s_T*(1-EXP(-up_RadSpec!AY17*s_t_v)))/(s_Y_v*up_RadSpec!AY17))),".")</f>
        <v>9.0143481925428208</v>
      </c>
      <c r="BF17" s="116">
        <f>IFERROR(IF(up_Bv!J17=0,".",((s_Ir*s_F*s_I_f*s_T*(1-EXP(-up_RadSpec!AY17*s_t_v)))/(s_Y_v*up_RadSpec!AY17))),".")</f>
        <v>9.0143481925428208</v>
      </c>
      <c r="BG17" s="116">
        <f>IFERROR(IF(up_Bv!K17=0,".",((s_Ir*s_F*s_I_f*s_T*(1-EXP(-up_RadSpec!AY17*s_t_v)))/(s_Y_v*up_RadSpec!AY17))),".")</f>
        <v>9.0143481925428208</v>
      </c>
      <c r="BH17" s="116">
        <f>IFERROR(IF(up_Bv!L17=0,".",((s_Ir*s_F*s_I_f*s_T*(1-EXP(-up_RadSpec!AY17*s_t_v)))/(s_Y_v*up_RadSpec!AY17))),".")</f>
        <v>9.0143481925428208</v>
      </c>
      <c r="BI17" s="116">
        <f>IFERROR(IF(up_Bv!M17=0,".",((s_Ir*s_F*s_I_f*s_T*(1-EXP(-up_RadSpec!AY17*s_t_v)))/(s_Y_v*up_RadSpec!AY17))),".")</f>
        <v>9.0143481925428208</v>
      </c>
      <c r="BJ17" s="116">
        <f>IFERROR(IF(up_Bv!N17=0,".",((s_Ir*s_F*s_I_f*s_T*(1-EXP(-up_RadSpec!AY17*s_t_v)))/(s_Y_v*up_RadSpec!AY17))),".")</f>
        <v>9.0143481925428208</v>
      </c>
      <c r="BK17" s="116">
        <f>IFERROR(IF(up_Bv!O17=0,".",((s_Ir*s_F*s_I_f*s_T*(1-EXP(-up_RadSpec!AY17*s_t_v)))/(s_Y_v*up_RadSpec!AY17))),".")</f>
        <v>9.0143481925428208</v>
      </c>
      <c r="BL17" s="116">
        <f>IFERROR(IF(up_Bv!P17=0,".",((s_Ir*s_F*s_I_f*s_T*(1-EXP(-up_RadSpec!AY17*s_t_v)))/(s_Y_v*up_RadSpec!AY17))),".")</f>
        <v>9.0143481925428208</v>
      </c>
      <c r="BM17" s="116">
        <f>IFERROR(IF(up_Bv!Q17=0,".",((s_Ir*s_F*s_I_f*s_T*(1-EXP(-up_RadSpec!AY17*s_t_v)))/(s_Y_v*up_RadSpec!AY17))),".")</f>
        <v>9.0143481925428208</v>
      </c>
      <c r="BN17" s="116">
        <f>IFERROR(IF(up_Bv!R17=0,".",((s_Ir*s_F*s_I_f*s_T*(1-EXP(-up_RadSpec!AY17*s_t_v)))/(s_Y_v*up_RadSpec!AY17))),".")</f>
        <v>9.0143481925428208</v>
      </c>
      <c r="BO17" s="116">
        <f>IFERROR(IF(up_Bv!S17=0,".",((s_Ir*s_F*s_I_f*s_T*(1-EXP(-up_RadSpec!AY17*s_t_v)))/(s_Y_v*up_RadSpec!AY17))),".")</f>
        <v>9.0143481925428208</v>
      </c>
      <c r="BP17" s="116">
        <f>IFERROR(IF(up_Bv!T17=0,".",((s_Ir*s_F*s_I_f*s_T*(1-EXP(-up_RadSpec!AY17*s_t_v)))/(s_Y_v*up_RadSpec!AY17))),".")</f>
        <v>9.0143481925428208</v>
      </c>
      <c r="BQ17" s="116">
        <f>IFERROR(IF(up_Bv!U17=0,".",((s_Ir*s_F*s_I_f*s_T*(1-EXP(-up_RadSpec!AY17*s_t_v)))/(s_Y_v*up_RadSpec!AY17))),".")</f>
        <v>9.0143481925428208</v>
      </c>
      <c r="BR17" s="116">
        <f>IFERROR(IF(up_Bv!V17=0,".",((s_Ir*s_F*s_I_f*s_T*(1-EXP(-up_RadSpec!AY17*s_t_v)))/(s_Y_v*up_RadSpec!AY17))),".")</f>
        <v>9.0143481925428208</v>
      </c>
      <c r="BS17" s="116">
        <f>IFERROR(IF(up_Bv!W17=0,".",((s_Ir*s_F*s_I_f*s_T*(1-EXP(-up_RadSpec!AY17*s_t_v)))/(s_Y_v*up_RadSpec!AY17))),".")</f>
        <v>9.0143481925428208</v>
      </c>
      <c r="BT17" s="116">
        <f>IFERROR(IF(up_Bv!X17=0,".",((s_Ir*s_F*s_I_f*s_T*(1-EXP(-up_RadSpec!AY17*s_t_v)))/(s_Y_v*up_RadSpec!AY17))),".")</f>
        <v>9.0143481925428208</v>
      </c>
      <c r="BU17" s="116">
        <f>IFERROR(IF(up_Bv!Y17=0,".",((s_Ir*s_F*s_I_f*s_T*(1-EXP(-up_RadSpec!AY17*s_t_v)))/(s_Y_v*up_RadSpec!AY17))),".")</f>
        <v>9.0143481925428208</v>
      </c>
      <c r="BV17" s="116">
        <f>IFERROR(IF(up_Bv!Z17=0,".",((s_Ir*s_F*s_I_f*s_T*(1-EXP(-up_RadSpec!AY17*s_t_v)))/(s_Y_v*up_RadSpec!AY17))),".")</f>
        <v>9.0143481925428208</v>
      </c>
    </row>
    <row r="18" spans="1:74" x14ac:dyDescent="0.25">
      <c r="A18" s="44" t="s">
        <v>28</v>
      </c>
      <c r="B18" s="42" t="s">
        <v>1074</v>
      </c>
      <c r="C18" s="116">
        <f>IFERROR(IF(up_Bv!C18=0,".",((s_Ir*s_F*up_Bv!C18*(1-EXP(-up_RadSpec!$AX18*s_t_b)))/(s_P*up_RadSpec!$AX18))),".")</f>
        <v>993.50362303732038</v>
      </c>
      <c r="D18" s="116">
        <f>IFERROR(IF(up_Bv!D18=0,".",((s_Ir*s_F*up_Bv!D18*(1-EXP(-up_RadSpec!AX18*s_t_b)))/(s_P*up_RadSpec!AX18))),".")</f>
        <v>993.50362303732038</v>
      </c>
      <c r="E18" s="116">
        <f>IFERROR(IF(up_Bv!E18=0,".",((s_Ir*s_F*up_Bv!E18*(1-EXP(-up_RadSpec!AX18*s_t_b)))/(s_P*up_RadSpec!AX18))),".")</f>
        <v>993.50362303732038</v>
      </c>
      <c r="F18" s="116">
        <f>IFERROR(IF(up_Bv!F18=0,".",((s_Ir*s_F*up_Bv!F18*(1-EXP(-up_RadSpec!AX18*s_t_b)))/(s_P*up_RadSpec!AX18))),".")</f>
        <v>993.50362303732038</v>
      </c>
      <c r="G18" s="116">
        <f>IFERROR(IF(up_Bv!G18=0,".",((s_Ir*s_F*up_Bv!G18*(1-EXP(-up_RadSpec!AX18*s_t_b)))/(s_P*up_RadSpec!AX18))),".")</f>
        <v>993.50362303732038</v>
      </c>
      <c r="H18" s="116">
        <f>IFERROR(IF(up_Bv!H18=0,".",((s_Ir*s_F*up_Bv!H18*(1-EXP(-up_RadSpec!AX18*s_t_b)))/(s_P*up_RadSpec!AX18))),".")</f>
        <v>993.50362303732038</v>
      </c>
      <c r="I18" s="116">
        <f>IFERROR(IF(up_Bv!I18=0,".",((s_Ir*s_F*up_Bv!I18*(1-EXP(-up_RadSpec!AX18*s_t_b)))/(s_P*up_RadSpec!AX18))),".")</f>
        <v>993.50362303732038</v>
      </c>
      <c r="J18" s="116">
        <f>IFERROR(IF(up_Bv!J18=0,".",((s_Ir*s_F*up_Bv!J18*(1-EXP(-up_RadSpec!AX18*s_t_b)))/(s_P*up_RadSpec!AX18))),".")</f>
        <v>993.50362303732038</v>
      </c>
      <c r="K18" s="116">
        <f>IFERROR(IF(up_Bv!K18=0,".",((s_Ir*s_F*up_Bv!K18*(1-EXP(-up_RadSpec!AX18*s_t_b)))/(s_P*up_RadSpec!AX18))),".")</f>
        <v>993.50362303732038</v>
      </c>
      <c r="L18" s="116">
        <f>IFERROR(IF(up_Bv!L18=0,".",((s_Ir*s_F*up_Bv!L18*(1-EXP(-up_RadSpec!AX18*s_t_b)))/(s_P*up_RadSpec!AX18))),".")</f>
        <v>993.50362303732038</v>
      </c>
      <c r="M18" s="116">
        <f>IFERROR(IF(up_Bv!M18=0,".",((s_Ir*s_F*up_Bv!M18*(1-EXP(-up_RadSpec!AX18*s_t_b)))/(s_P*up_RadSpec!AX18))),".")</f>
        <v>993.50362303732038</v>
      </c>
      <c r="N18" s="116">
        <f>IFERROR(IF(up_Bv!N18=0,".",((s_Ir*s_F*up_Bv!N18*(1-EXP(-up_RadSpec!AX18*s_t_b)))/(s_P*up_RadSpec!AX18))),".")</f>
        <v>993.50362303732038</v>
      </c>
      <c r="O18" s="116">
        <f>IFERROR(IF(up_Bv!O18=0,".",((s_Ir*s_F*up_Bv!O18*(1-EXP(-up_RadSpec!AX18*s_t_b)))/(s_P*up_RadSpec!AX18))),".")</f>
        <v>993.50362303732038</v>
      </c>
      <c r="P18" s="116">
        <f>IFERROR(IF(up_Bv!P18=0,".",((s_Ir*s_F*up_Bv!P18*(1-EXP(-up_RadSpec!AX18*s_t_b)))/(s_P*up_RadSpec!AX18))),".")</f>
        <v>993.50362303732038</v>
      </c>
      <c r="Q18" s="116">
        <f>IFERROR(IF(up_Bv!Q18=0,".",((s_Ir*s_F*up_Bv!Q18*(1-EXP(-up_RadSpec!AX18*s_t_b)))/(s_P*up_RadSpec!AX18))),".")</f>
        <v>993.50362303732038</v>
      </c>
      <c r="R18" s="116">
        <f>IFERROR(IF(up_Bv!R18=0,".",((s_Ir*s_F*up_Bv!R18*(1-EXP(-up_RadSpec!AX18*s_t_b)))/(s_P*up_RadSpec!AX18))),".")</f>
        <v>993.50362303732038</v>
      </c>
      <c r="S18" s="116">
        <f>IFERROR(IF(up_Bv!S18=0,".",((s_Ir*s_F*up_Bv!S18*(1-EXP(-up_RadSpec!AX18*s_t_b)))/(s_P*up_RadSpec!AX18))),".")</f>
        <v>993.50362303732038</v>
      </c>
      <c r="T18" s="116">
        <f>IFERROR(IF(up_Bv!T18=0,".",((s_Ir*s_F*up_Bv!T18*(1-EXP(-up_RadSpec!AX18*s_t_b)))/(s_P*up_RadSpec!AX18))),".")</f>
        <v>993.50362303732038</v>
      </c>
      <c r="U18" s="116">
        <f>IFERROR(IF(up_Bv!U18=0,".",((s_Ir*s_F*up_Bv!U18*(1-EXP(-up_RadSpec!AX18*s_t_b)))/(s_P*up_RadSpec!AX18))),".")</f>
        <v>993.50362303732038</v>
      </c>
      <c r="V18" s="116">
        <f>IFERROR(IF(up_Bv!V18=0,".",((s_Ir*s_F*up_Bv!V18*(1-EXP(-up_RadSpec!AX18*s_t_b)))/(s_P*up_RadSpec!AX18))),".")</f>
        <v>993.50362303732038</v>
      </c>
      <c r="W18" s="116">
        <f>IFERROR(IF(up_Bv!W18=0,".",((s_Ir*s_F*up_Bv!W18*(1-EXP(-up_RadSpec!AX18*s_t_b)))/(s_P*up_RadSpec!AX18))),".")</f>
        <v>993.50362303732038</v>
      </c>
      <c r="X18" s="116">
        <f>IFERROR(IF(up_Bv!X18=0,".",((s_Ir*s_F*up_Bv!X18*(1-EXP(-up_RadSpec!AX18*s_t_b)))/(s_P*up_RadSpec!AX18))),".")</f>
        <v>993.50362303732038</v>
      </c>
      <c r="Y18" s="116">
        <f>IFERROR(IF(up_Bv!Y18=0,".",((s_Ir*s_F*up_Bv!Y18*(1-EXP(-up_RadSpec!AX18*s_t_b)))/(s_P*up_RadSpec!AX18))),".")</f>
        <v>993.50362303732038</v>
      </c>
      <c r="Z18" s="116">
        <f>IFERROR(IF(up_Bv!Z18=0,".",((s_Ir*s_F*up_Bv!Z18*(1-EXP(-up_RadSpec!AX18*s_t_b)))/(s_P*up_RadSpec!AX18))),".")</f>
        <v>993.50362303732038</v>
      </c>
      <c r="AA18" s="116">
        <f>IFERROR(IF(up_Bv!C18=0,".",((s_Ir*s_F*s_MLF_apple*(1-EXP(-up_RadSpec!AX18*s_t_b)))/(s_P*up_RadSpec!AX18))),".")</f>
        <v>2.6824597822007652</v>
      </c>
      <c r="AB18" s="116">
        <f>IFERROR(IF(up_Bv!D18=0,".",((s_Ir*s_F*s_MLF_asparagus*(1-EXP(-up_RadSpec!AX18*s_t_b)))/(s_P*up_RadSpec!AX18))),".")</f>
        <v>2.6824597822007652</v>
      </c>
      <c r="AC18" s="116">
        <f>IFERROR(IF(up_Bv!E18=0,".",((s_Ir*s_F*s_MLF_beet*(1-EXP(-up_RadSpec!AX18*s_t_b)))/(s_P*up_RadSpec!AX18))),".")</f>
        <v>2.6824597822007652</v>
      </c>
      <c r="AD18" s="116">
        <f>IFERROR(IF(up_Bv!F18=0,".",((s_Ir*s_F*s_MLF_berries*(1-EXP(-up_RadSpec!AX18*s_t_b)))/(s_P*up_RadSpec!AX18))),".")</f>
        <v>2.6824597822007652</v>
      </c>
      <c r="AE18" s="116">
        <f>IFERROR(IF(up_Bv!G18=0,".",((s_Ir*s_F*s_MLF_broccoli*(1-EXP(-up_RadSpec!AX18*s_t_b)))/(s_P*up_RadSpec!AX18))),".")</f>
        <v>2.6824597822007652</v>
      </c>
      <c r="AF18" s="116">
        <f>IFERROR(IF(up_Bv!H18=0,".",((s_Ir*s_F*s_MLF_cabbage*(1-EXP(-up_RadSpec!AX18*s_t_b)))/(s_P*up_RadSpec!AX18))),".")</f>
        <v>2.6824597822007652</v>
      </c>
      <c r="AG18" s="116">
        <f>IFERROR(IF(up_Bv!I18=0,".",((s_Ir*s_F*s_MLF_carrot*(1-EXP(-up_RadSpec!AX18*s_t_b)))/(s_P*up_RadSpec!AX18))),".")</f>
        <v>2.6824597822007652</v>
      </c>
      <c r="AH18" s="116">
        <f>IFERROR(IF(up_Bv!J18=0,".",((s_Ir*s_F*s_MLF_citrus*(1-EXP(-up_RadSpec!AX18*s_t_b)))/(s_P*up_RadSpec!AX18))),".")</f>
        <v>2.6824597822007652</v>
      </c>
      <c r="AI18" s="116">
        <f>IFERROR(IF(up_Bv!K18=0,".",((s_Ir*s_F*s_MLF_corn*(1-EXP(-up_RadSpec!AX18*s_t_b)))/(s_P*up_RadSpec!AX18))),".")</f>
        <v>2.6824597822007652</v>
      </c>
      <c r="AJ18" s="116">
        <f>IFERROR(IF(up_Bv!L18=0,".",((s_Ir*s_F*s_MLF_cucumber*(1-EXP(-up_RadSpec!AX18*s_t_b)))/(s_P*up_RadSpec!AX18))),".")</f>
        <v>2.6824597822007652</v>
      </c>
      <c r="AK18" s="116">
        <f>IFERROR(IF(up_Bv!M18=0,".",((s_Ir*s_F*s_MLF_lettuce*(1-EXP(-up_RadSpec!AX18*s_t_b)))/(s_P*up_RadSpec!AX18))),".")</f>
        <v>2.6824597822007652</v>
      </c>
      <c r="AL18" s="116">
        <f>IFERROR(IF(up_Bv!N18=0,".",((s_Ir*s_F*s_MLF_lima_bean*(1-EXP(-up_RadSpec!AX18*s_t_b)))/(s_P*up_RadSpec!AX18))),".")</f>
        <v>2.6824597822007652</v>
      </c>
      <c r="AM18" s="116">
        <f>IFERROR(IF(up_Bv!O18=0,".",((s_Ir*s_F*s_MLF_okra*(1-EXP(-up_RadSpec!AX18*s_t_b)))/(s_P*up_RadSpec!AX18))),".")</f>
        <v>2.6824597822007652</v>
      </c>
      <c r="AN18" s="116">
        <f>IFERROR(IF(up_Bv!P18=0,".",((s_Ir*s_F*s_MLF_onion*(1-EXP(-up_RadSpec!AX18*s_t_b)))/(s_P*up_RadSpec!AX18))),".")</f>
        <v>2.6824597822007652</v>
      </c>
      <c r="AO18" s="116">
        <f>IFERROR(IF(up_Bv!Q18=0,".",((s_Ir*s_F*s_MLF_peach*(1-EXP(-up_RadSpec!AX18*s_t_b)))/(s_P*up_RadSpec!AX18))),".")</f>
        <v>2.6824597822007652</v>
      </c>
      <c r="AP18" s="116">
        <f>IFERROR(IF(up_Bv!R18=0,".",((s_Ir*s_F*s_MLF_pear*(1-EXP(-up_RadSpec!AX18*s_t_b)))/(s_P*up_RadSpec!AX18))),".")</f>
        <v>2.6824597822007652</v>
      </c>
      <c r="AQ18" s="116">
        <f>IFERROR(IF(up_Bv!S18=0,".",((s_Ir*s_F*s_MLF_peas*(1-EXP(-up_RadSpec!AX18*s_t_b)))/(s_P*up_RadSpec!AX18))),".")</f>
        <v>2.6824597822007652</v>
      </c>
      <c r="AR18" s="116">
        <f>IFERROR(IF(up_Bv!T18=0,".",((s_Ir*s_F*s_MLF_potato*(1-EXP(-up_RadSpec!AX18*s_t_b)))/(s_P*up_RadSpec!AX18))),".")</f>
        <v>2.6824597822007652</v>
      </c>
      <c r="AS18" s="116">
        <f>IFERROR(IF(up_Bv!U18=0,".",((s_Ir*s_F*s_MLF_pumpkin*(1-EXP(-up_RadSpec!AX18*s_t_b)))/(s_P*up_RadSpec!AX18))),".")</f>
        <v>2.6824597822007652</v>
      </c>
      <c r="AT18" s="116">
        <f>IFERROR(IF(up_Bv!V18=0,".",((s_Ir*s_F*s_MLF_snap_bean*(1-EXP(-up_RadSpec!AX18*s_t_b)))/(s_P*up_RadSpec!AX18))),".")</f>
        <v>2.6824597822007652</v>
      </c>
      <c r="AU18" s="116">
        <f>IFERROR(IF(up_Bv!W18=0,".",((s_Ir*s_F*s_MLF_strawberry*(1-EXP(-up_RadSpec!AX18*s_t_b)))/(s_P*up_RadSpec!AX18))),".")</f>
        <v>2.6824597822007652</v>
      </c>
      <c r="AV18" s="116">
        <f>IFERROR(IF(up_Bv!X18=0,".",((s_Ir*s_F*s_MLF_tomato*(1-EXP(-up_RadSpec!AX18*s_t_b)))/(s_P*up_RadSpec!AX18))),".")</f>
        <v>2.6824597822007652</v>
      </c>
      <c r="AW18" s="116">
        <f>IFERROR(IF(up_Bv!Y18=0,".",((s_Ir*s_F*s_MLF_rice*(1-EXP(-up_RadSpec!AX18*s_t_b)))/(s_P*up_RadSpec!AX18))),".")</f>
        <v>2.6824597822007652</v>
      </c>
      <c r="AX18" s="116">
        <f>IFERROR(IF(up_Bv!Z18=0,".",((s_Ir*s_F*s_MLF_cereal*(1-EXP(-up_RadSpec!AX18*s_t_b)))/(s_P*up_RadSpec!AX18))),".")</f>
        <v>2.6824597822007652</v>
      </c>
      <c r="AY18" s="116">
        <f>IFERROR(IF(up_Bv!C18=0,".",((s_Ir*s_F*s_I_f*s_T*(1-EXP(-up_RadSpec!AY18*s_t_v)))/(s_Y_v*up_RadSpec!AY18))),".")</f>
        <v>9.0143481925428208</v>
      </c>
      <c r="AZ18" s="116">
        <f>IFERROR(IF(up_Bv!D18=0,".",((s_Ir*s_F*s_I_f*s_T*(1-EXP(-up_RadSpec!AY18*s_t_v)))/(s_Y_v*up_RadSpec!AY18))),".")</f>
        <v>9.0143481925428208</v>
      </c>
      <c r="BA18" s="116">
        <f>IFERROR(IF(up_Bv!E18=0,".",((s_Ir*s_F*s_I_f*s_T*(1-EXP(-up_RadSpec!AY18*s_t_v)))/(s_Y_v*up_RadSpec!AY18))),".")</f>
        <v>9.0143481925428208</v>
      </c>
      <c r="BB18" s="116">
        <f>IFERROR(IF(up_Bv!F18=0,".",((s_Ir*s_F*s_I_f*s_T*(1-EXP(-up_RadSpec!AY18*s_t_v)))/(s_Y_v*up_RadSpec!AY18))),".")</f>
        <v>9.0143481925428208</v>
      </c>
      <c r="BC18" s="116">
        <f>IFERROR(IF(up_Bv!G18=0,".",((s_Ir*s_F*s_I_f*s_T*(1-EXP(-up_RadSpec!AY18*s_t_v)))/(s_Y_v*up_RadSpec!AY18))),".")</f>
        <v>9.0143481925428208</v>
      </c>
      <c r="BD18" s="116">
        <f>IFERROR(IF(up_Bv!H18=0,".",((s_Ir*s_F*s_I_f*s_T*(1-EXP(-up_RadSpec!AY18*s_t_v)))/(s_Y_v*up_RadSpec!AY18))),".")</f>
        <v>9.0143481925428208</v>
      </c>
      <c r="BE18" s="116">
        <f>IFERROR(IF(up_Bv!I18=0,".",((s_Ir*s_F*s_I_f*s_T*(1-EXP(-up_RadSpec!AY18*s_t_v)))/(s_Y_v*up_RadSpec!AY18))),".")</f>
        <v>9.0143481925428208</v>
      </c>
      <c r="BF18" s="116">
        <f>IFERROR(IF(up_Bv!J18=0,".",((s_Ir*s_F*s_I_f*s_T*(1-EXP(-up_RadSpec!AY18*s_t_v)))/(s_Y_v*up_RadSpec!AY18))),".")</f>
        <v>9.0143481925428208</v>
      </c>
      <c r="BG18" s="116">
        <f>IFERROR(IF(up_Bv!K18=0,".",((s_Ir*s_F*s_I_f*s_T*(1-EXP(-up_RadSpec!AY18*s_t_v)))/(s_Y_v*up_RadSpec!AY18))),".")</f>
        <v>9.0143481925428208</v>
      </c>
      <c r="BH18" s="116">
        <f>IFERROR(IF(up_Bv!L18=0,".",((s_Ir*s_F*s_I_f*s_T*(1-EXP(-up_RadSpec!AY18*s_t_v)))/(s_Y_v*up_RadSpec!AY18))),".")</f>
        <v>9.0143481925428208</v>
      </c>
      <c r="BI18" s="116">
        <f>IFERROR(IF(up_Bv!M18=0,".",((s_Ir*s_F*s_I_f*s_T*(1-EXP(-up_RadSpec!AY18*s_t_v)))/(s_Y_v*up_RadSpec!AY18))),".")</f>
        <v>9.0143481925428208</v>
      </c>
      <c r="BJ18" s="116">
        <f>IFERROR(IF(up_Bv!N18=0,".",((s_Ir*s_F*s_I_f*s_T*(1-EXP(-up_RadSpec!AY18*s_t_v)))/(s_Y_v*up_RadSpec!AY18))),".")</f>
        <v>9.0143481925428208</v>
      </c>
      <c r="BK18" s="116">
        <f>IFERROR(IF(up_Bv!O18=0,".",((s_Ir*s_F*s_I_f*s_T*(1-EXP(-up_RadSpec!AY18*s_t_v)))/(s_Y_v*up_RadSpec!AY18))),".")</f>
        <v>9.0143481925428208</v>
      </c>
      <c r="BL18" s="116">
        <f>IFERROR(IF(up_Bv!P18=0,".",((s_Ir*s_F*s_I_f*s_T*(1-EXP(-up_RadSpec!AY18*s_t_v)))/(s_Y_v*up_RadSpec!AY18))),".")</f>
        <v>9.0143481925428208</v>
      </c>
      <c r="BM18" s="116">
        <f>IFERROR(IF(up_Bv!Q18=0,".",((s_Ir*s_F*s_I_f*s_T*(1-EXP(-up_RadSpec!AY18*s_t_v)))/(s_Y_v*up_RadSpec!AY18))),".")</f>
        <v>9.0143481925428208</v>
      </c>
      <c r="BN18" s="116">
        <f>IFERROR(IF(up_Bv!R18=0,".",((s_Ir*s_F*s_I_f*s_T*(1-EXP(-up_RadSpec!AY18*s_t_v)))/(s_Y_v*up_RadSpec!AY18))),".")</f>
        <v>9.0143481925428208</v>
      </c>
      <c r="BO18" s="116">
        <f>IFERROR(IF(up_Bv!S18=0,".",((s_Ir*s_F*s_I_f*s_T*(1-EXP(-up_RadSpec!AY18*s_t_v)))/(s_Y_v*up_RadSpec!AY18))),".")</f>
        <v>9.0143481925428208</v>
      </c>
      <c r="BP18" s="116">
        <f>IFERROR(IF(up_Bv!T18=0,".",((s_Ir*s_F*s_I_f*s_T*(1-EXP(-up_RadSpec!AY18*s_t_v)))/(s_Y_v*up_RadSpec!AY18))),".")</f>
        <v>9.0143481925428208</v>
      </c>
      <c r="BQ18" s="116">
        <f>IFERROR(IF(up_Bv!U18=0,".",((s_Ir*s_F*s_I_f*s_T*(1-EXP(-up_RadSpec!AY18*s_t_v)))/(s_Y_v*up_RadSpec!AY18))),".")</f>
        <v>9.0143481925428208</v>
      </c>
      <c r="BR18" s="116">
        <f>IFERROR(IF(up_Bv!V18=0,".",((s_Ir*s_F*s_I_f*s_T*(1-EXP(-up_RadSpec!AY18*s_t_v)))/(s_Y_v*up_RadSpec!AY18))),".")</f>
        <v>9.0143481925428208</v>
      </c>
      <c r="BS18" s="116">
        <f>IFERROR(IF(up_Bv!W18=0,".",((s_Ir*s_F*s_I_f*s_T*(1-EXP(-up_RadSpec!AY18*s_t_v)))/(s_Y_v*up_RadSpec!AY18))),".")</f>
        <v>9.0143481925428208</v>
      </c>
      <c r="BT18" s="116">
        <f>IFERROR(IF(up_Bv!X18=0,".",((s_Ir*s_F*s_I_f*s_T*(1-EXP(-up_RadSpec!AY18*s_t_v)))/(s_Y_v*up_RadSpec!AY18))),".")</f>
        <v>9.0143481925428208</v>
      </c>
      <c r="BU18" s="116">
        <f>IFERROR(IF(up_Bv!Y18=0,".",((s_Ir*s_F*s_I_f*s_T*(1-EXP(-up_RadSpec!AY18*s_t_v)))/(s_Y_v*up_RadSpec!AY18))),".")</f>
        <v>9.0143481925428208</v>
      </c>
      <c r="BV18" s="116">
        <f>IFERROR(IF(up_Bv!Z18=0,".",((s_Ir*s_F*s_I_f*s_T*(1-EXP(-up_RadSpec!AY18*s_t_v)))/(s_Y_v*up_RadSpec!AY18))),".")</f>
        <v>9.0143481925428208</v>
      </c>
    </row>
    <row r="19" spans="1:74" x14ac:dyDescent="0.25">
      <c r="A19" s="44" t="s">
        <v>29</v>
      </c>
      <c r="B19" s="42" t="s">
        <v>1074</v>
      </c>
      <c r="C19" s="116">
        <f>IFERROR(IF(up_Bv!C19=0,".",((s_Ir*s_F*up_Bv!C19*(1-EXP(-up_RadSpec!$AX19*s_t_b)))/(s_P*up_RadSpec!$AX19))),".")</f>
        <v>993.50362303732038</v>
      </c>
      <c r="D19" s="116">
        <f>IFERROR(IF(up_Bv!D19=0,".",((s_Ir*s_F*up_Bv!D19*(1-EXP(-up_RadSpec!AX19*s_t_b)))/(s_P*up_RadSpec!AX19))),".")</f>
        <v>993.50362303732038</v>
      </c>
      <c r="E19" s="116">
        <f>IFERROR(IF(up_Bv!E19=0,".",((s_Ir*s_F*up_Bv!E19*(1-EXP(-up_RadSpec!AX19*s_t_b)))/(s_P*up_RadSpec!AX19))),".")</f>
        <v>993.50362303732038</v>
      </c>
      <c r="F19" s="116">
        <f>IFERROR(IF(up_Bv!F19=0,".",((s_Ir*s_F*up_Bv!F19*(1-EXP(-up_RadSpec!AX19*s_t_b)))/(s_P*up_RadSpec!AX19))),".")</f>
        <v>993.50362303732038</v>
      </c>
      <c r="G19" s="116">
        <f>IFERROR(IF(up_Bv!G19=0,".",((s_Ir*s_F*up_Bv!G19*(1-EXP(-up_RadSpec!AX19*s_t_b)))/(s_P*up_RadSpec!AX19))),".")</f>
        <v>993.50362303732038</v>
      </c>
      <c r="H19" s="116">
        <f>IFERROR(IF(up_Bv!H19=0,".",((s_Ir*s_F*up_Bv!H19*(1-EXP(-up_RadSpec!AX19*s_t_b)))/(s_P*up_RadSpec!AX19))),".")</f>
        <v>993.50362303732038</v>
      </c>
      <c r="I19" s="116">
        <f>IFERROR(IF(up_Bv!I19=0,".",((s_Ir*s_F*up_Bv!I19*(1-EXP(-up_RadSpec!AX19*s_t_b)))/(s_P*up_RadSpec!AX19))),".")</f>
        <v>993.50362303732038</v>
      </c>
      <c r="J19" s="116">
        <f>IFERROR(IF(up_Bv!J19=0,".",((s_Ir*s_F*up_Bv!J19*(1-EXP(-up_RadSpec!AX19*s_t_b)))/(s_P*up_RadSpec!AX19))),".")</f>
        <v>993.50362303732038</v>
      </c>
      <c r="K19" s="116">
        <f>IFERROR(IF(up_Bv!K19=0,".",((s_Ir*s_F*up_Bv!K19*(1-EXP(-up_RadSpec!AX19*s_t_b)))/(s_P*up_RadSpec!AX19))),".")</f>
        <v>993.50362303732038</v>
      </c>
      <c r="L19" s="116">
        <f>IFERROR(IF(up_Bv!L19=0,".",((s_Ir*s_F*up_Bv!L19*(1-EXP(-up_RadSpec!AX19*s_t_b)))/(s_P*up_RadSpec!AX19))),".")</f>
        <v>993.50362303732038</v>
      </c>
      <c r="M19" s="116">
        <f>IFERROR(IF(up_Bv!M19=0,".",((s_Ir*s_F*up_Bv!M19*(1-EXP(-up_RadSpec!AX19*s_t_b)))/(s_P*up_RadSpec!AX19))),".")</f>
        <v>993.50362303732038</v>
      </c>
      <c r="N19" s="116">
        <f>IFERROR(IF(up_Bv!N19=0,".",((s_Ir*s_F*up_Bv!N19*(1-EXP(-up_RadSpec!AX19*s_t_b)))/(s_P*up_RadSpec!AX19))),".")</f>
        <v>993.50362303732038</v>
      </c>
      <c r="O19" s="116">
        <f>IFERROR(IF(up_Bv!O19=0,".",((s_Ir*s_F*up_Bv!O19*(1-EXP(-up_RadSpec!AX19*s_t_b)))/(s_P*up_RadSpec!AX19))),".")</f>
        <v>993.50362303732038</v>
      </c>
      <c r="P19" s="116">
        <f>IFERROR(IF(up_Bv!P19=0,".",((s_Ir*s_F*up_Bv!P19*(1-EXP(-up_RadSpec!AX19*s_t_b)))/(s_P*up_RadSpec!AX19))),".")</f>
        <v>993.50362303732038</v>
      </c>
      <c r="Q19" s="116">
        <f>IFERROR(IF(up_Bv!Q19=0,".",((s_Ir*s_F*up_Bv!Q19*(1-EXP(-up_RadSpec!AX19*s_t_b)))/(s_P*up_RadSpec!AX19))),".")</f>
        <v>993.50362303732038</v>
      </c>
      <c r="R19" s="116">
        <f>IFERROR(IF(up_Bv!R19=0,".",((s_Ir*s_F*up_Bv!R19*(1-EXP(-up_RadSpec!AX19*s_t_b)))/(s_P*up_RadSpec!AX19))),".")</f>
        <v>993.50362303732038</v>
      </c>
      <c r="S19" s="116">
        <f>IFERROR(IF(up_Bv!S19=0,".",((s_Ir*s_F*up_Bv!S19*(1-EXP(-up_RadSpec!AX19*s_t_b)))/(s_P*up_RadSpec!AX19))),".")</f>
        <v>993.50362303732038</v>
      </c>
      <c r="T19" s="116">
        <f>IFERROR(IF(up_Bv!T19=0,".",((s_Ir*s_F*up_Bv!T19*(1-EXP(-up_RadSpec!AX19*s_t_b)))/(s_P*up_RadSpec!AX19))),".")</f>
        <v>993.50362303732038</v>
      </c>
      <c r="U19" s="116">
        <f>IFERROR(IF(up_Bv!U19=0,".",((s_Ir*s_F*up_Bv!U19*(1-EXP(-up_RadSpec!AX19*s_t_b)))/(s_P*up_RadSpec!AX19))),".")</f>
        <v>993.50362303732038</v>
      </c>
      <c r="V19" s="116">
        <f>IFERROR(IF(up_Bv!V19=0,".",((s_Ir*s_F*up_Bv!V19*(1-EXP(-up_RadSpec!AX19*s_t_b)))/(s_P*up_RadSpec!AX19))),".")</f>
        <v>993.50362303732038</v>
      </c>
      <c r="W19" s="116">
        <f>IFERROR(IF(up_Bv!W19=0,".",((s_Ir*s_F*up_Bv!W19*(1-EXP(-up_RadSpec!AX19*s_t_b)))/(s_P*up_RadSpec!AX19))),".")</f>
        <v>993.50362303732038</v>
      </c>
      <c r="X19" s="116">
        <f>IFERROR(IF(up_Bv!X19=0,".",((s_Ir*s_F*up_Bv!X19*(1-EXP(-up_RadSpec!AX19*s_t_b)))/(s_P*up_RadSpec!AX19))),".")</f>
        <v>993.50362303732038</v>
      </c>
      <c r="Y19" s="116">
        <f>IFERROR(IF(up_Bv!Y19=0,".",((s_Ir*s_F*up_Bv!Y19*(1-EXP(-up_RadSpec!AX19*s_t_b)))/(s_P*up_RadSpec!AX19))),".")</f>
        <v>993.50362303732038</v>
      </c>
      <c r="Z19" s="116">
        <f>IFERROR(IF(up_Bv!Z19=0,".",((s_Ir*s_F*up_Bv!Z19*(1-EXP(-up_RadSpec!AX19*s_t_b)))/(s_P*up_RadSpec!AX19))),".")</f>
        <v>993.50362303732038</v>
      </c>
      <c r="AA19" s="116">
        <f>IFERROR(IF(up_Bv!C19=0,".",((s_Ir*s_F*s_MLF_apple*(1-EXP(-up_RadSpec!AX19*s_t_b)))/(s_P*up_RadSpec!AX19))),".")</f>
        <v>2.6824597822007652</v>
      </c>
      <c r="AB19" s="116">
        <f>IFERROR(IF(up_Bv!D19=0,".",((s_Ir*s_F*s_MLF_asparagus*(1-EXP(-up_RadSpec!AX19*s_t_b)))/(s_P*up_RadSpec!AX19))),".")</f>
        <v>2.6824597822007652</v>
      </c>
      <c r="AC19" s="116">
        <f>IFERROR(IF(up_Bv!E19=0,".",((s_Ir*s_F*s_MLF_beet*(1-EXP(-up_RadSpec!AX19*s_t_b)))/(s_P*up_RadSpec!AX19))),".")</f>
        <v>2.6824597822007652</v>
      </c>
      <c r="AD19" s="116">
        <f>IFERROR(IF(up_Bv!F19=0,".",((s_Ir*s_F*s_MLF_berries*(1-EXP(-up_RadSpec!AX19*s_t_b)))/(s_P*up_RadSpec!AX19))),".")</f>
        <v>2.6824597822007652</v>
      </c>
      <c r="AE19" s="116">
        <f>IFERROR(IF(up_Bv!G19=0,".",((s_Ir*s_F*s_MLF_broccoli*(1-EXP(-up_RadSpec!AX19*s_t_b)))/(s_P*up_RadSpec!AX19))),".")</f>
        <v>2.6824597822007652</v>
      </c>
      <c r="AF19" s="116">
        <f>IFERROR(IF(up_Bv!H19=0,".",((s_Ir*s_F*s_MLF_cabbage*(1-EXP(-up_RadSpec!AX19*s_t_b)))/(s_P*up_RadSpec!AX19))),".")</f>
        <v>2.6824597822007652</v>
      </c>
      <c r="AG19" s="116">
        <f>IFERROR(IF(up_Bv!I19=0,".",((s_Ir*s_F*s_MLF_carrot*(1-EXP(-up_RadSpec!AX19*s_t_b)))/(s_P*up_RadSpec!AX19))),".")</f>
        <v>2.6824597822007652</v>
      </c>
      <c r="AH19" s="116">
        <f>IFERROR(IF(up_Bv!J19=0,".",((s_Ir*s_F*s_MLF_citrus*(1-EXP(-up_RadSpec!AX19*s_t_b)))/(s_P*up_RadSpec!AX19))),".")</f>
        <v>2.6824597822007652</v>
      </c>
      <c r="AI19" s="116">
        <f>IFERROR(IF(up_Bv!K19=0,".",((s_Ir*s_F*s_MLF_corn*(1-EXP(-up_RadSpec!AX19*s_t_b)))/(s_P*up_RadSpec!AX19))),".")</f>
        <v>2.6824597822007652</v>
      </c>
      <c r="AJ19" s="116">
        <f>IFERROR(IF(up_Bv!L19=0,".",((s_Ir*s_F*s_MLF_cucumber*(1-EXP(-up_RadSpec!AX19*s_t_b)))/(s_P*up_RadSpec!AX19))),".")</f>
        <v>2.6824597822007652</v>
      </c>
      <c r="AK19" s="116">
        <f>IFERROR(IF(up_Bv!M19=0,".",((s_Ir*s_F*s_MLF_lettuce*(1-EXP(-up_RadSpec!AX19*s_t_b)))/(s_P*up_RadSpec!AX19))),".")</f>
        <v>2.6824597822007652</v>
      </c>
      <c r="AL19" s="116">
        <f>IFERROR(IF(up_Bv!N19=0,".",((s_Ir*s_F*s_MLF_lima_bean*(1-EXP(-up_RadSpec!AX19*s_t_b)))/(s_P*up_RadSpec!AX19))),".")</f>
        <v>2.6824597822007652</v>
      </c>
      <c r="AM19" s="116">
        <f>IFERROR(IF(up_Bv!O19=0,".",((s_Ir*s_F*s_MLF_okra*(1-EXP(-up_RadSpec!AX19*s_t_b)))/(s_P*up_RadSpec!AX19))),".")</f>
        <v>2.6824597822007652</v>
      </c>
      <c r="AN19" s="116">
        <f>IFERROR(IF(up_Bv!P19=0,".",((s_Ir*s_F*s_MLF_onion*(1-EXP(-up_RadSpec!AX19*s_t_b)))/(s_P*up_RadSpec!AX19))),".")</f>
        <v>2.6824597822007652</v>
      </c>
      <c r="AO19" s="116">
        <f>IFERROR(IF(up_Bv!Q19=0,".",((s_Ir*s_F*s_MLF_peach*(1-EXP(-up_RadSpec!AX19*s_t_b)))/(s_P*up_RadSpec!AX19))),".")</f>
        <v>2.6824597822007652</v>
      </c>
      <c r="AP19" s="116">
        <f>IFERROR(IF(up_Bv!R19=0,".",((s_Ir*s_F*s_MLF_pear*(1-EXP(-up_RadSpec!AX19*s_t_b)))/(s_P*up_RadSpec!AX19))),".")</f>
        <v>2.6824597822007652</v>
      </c>
      <c r="AQ19" s="116">
        <f>IFERROR(IF(up_Bv!S19=0,".",((s_Ir*s_F*s_MLF_peas*(1-EXP(-up_RadSpec!AX19*s_t_b)))/(s_P*up_RadSpec!AX19))),".")</f>
        <v>2.6824597822007652</v>
      </c>
      <c r="AR19" s="116">
        <f>IFERROR(IF(up_Bv!T19=0,".",((s_Ir*s_F*s_MLF_potato*(1-EXP(-up_RadSpec!AX19*s_t_b)))/(s_P*up_RadSpec!AX19))),".")</f>
        <v>2.6824597822007652</v>
      </c>
      <c r="AS19" s="116">
        <f>IFERROR(IF(up_Bv!U19=0,".",((s_Ir*s_F*s_MLF_pumpkin*(1-EXP(-up_RadSpec!AX19*s_t_b)))/(s_P*up_RadSpec!AX19))),".")</f>
        <v>2.6824597822007652</v>
      </c>
      <c r="AT19" s="116">
        <f>IFERROR(IF(up_Bv!V19=0,".",((s_Ir*s_F*s_MLF_snap_bean*(1-EXP(-up_RadSpec!AX19*s_t_b)))/(s_P*up_RadSpec!AX19))),".")</f>
        <v>2.6824597822007652</v>
      </c>
      <c r="AU19" s="116">
        <f>IFERROR(IF(up_Bv!W19=0,".",((s_Ir*s_F*s_MLF_strawberry*(1-EXP(-up_RadSpec!AX19*s_t_b)))/(s_P*up_RadSpec!AX19))),".")</f>
        <v>2.6824597822007652</v>
      </c>
      <c r="AV19" s="116">
        <f>IFERROR(IF(up_Bv!X19=0,".",((s_Ir*s_F*s_MLF_tomato*(1-EXP(-up_RadSpec!AX19*s_t_b)))/(s_P*up_RadSpec!AX19))),".")</f>
        <v>2.6824597822007652</v>
      </c>
      <c r="AW19" s="116">
        <f>IFERROR(IF(up_Bv!Y19=0,".",((s_Ir*s_F*s_MLF_rice*(1-EXP(-up_RadSpec!AX19*s_t_b)))/(s_P*up_RadSpec!AX19))),".")</f>
        <v>2.6824597822007652</v>
      </c>
      <c r="AX19" s="116">
        <f>IFERROR(IF(up_Bv!Z19=0,".",((s_Ir*s_F*s_MLF_cereal*(1-EXP(-up_RadSpec!AX19*s_t_b)))/(s_P*up_RadSpec!AX19))),".")</f>
        <v>2.6824597822007652</v>
      </c>
      <c r="AY19" s="116">
        <f>IFERROR(IF(up_Bv!C19=0,".",((s_Ir*s_F*s_I_f*s_T*(1-EXP(-up_RadSpec!AY19*s_t_v)))/(s_Y_v*up_RadSpec!AY19))),".")</f>
        <v>9.0143481925428208</v>
      </c>
      <c r="AZ19" s="116">
        <f>IFERROR(IF(up_Bv!D19=0,".",((s_Ir*s_F*s_I_f*s_T*(1-EXP(-up_RadSpec!AY19*s_t_v)))/(s_Y_v*up_RadSpec!AY19))),".")</f>
        <v>9.0143481925428208</v>
      </c>
      <c r="BA19" s="116">
        <f>IFERROR(IF(up_Bv!E19=0,".",((s_Ir*s_F*s_I_f*s_T*(1-EXP(-up_RadSpec!AY19*s_t_v)))/(s_Y_v*up_RadSpec!AY19))),".")</f>
        <v>9.0143481925428208</v>
      </c>
      <c r="BB19" s="116">
        <f>IFERROR(IF(up_Bv!F19=0,".",((s_Ir*s_F*s_I_f*s_T*(1-EXP(-up_RadSpec!AY19*s_t_v)))/(s_Y_v*up_RadSpec!AY19))),".")</f>
        <v>9.0143481925428208</v>
      </c>
      <c r="BC19" s="116">
        <f>IFERROR(IF(up_Bv!G19=0,".",((s_Ir*s_F*s_I_f*s_T*(1-EXP(-up_RadSpec!AY19*s_t_v)))/(s_Y_v*up_RadSpec!AY19))),".")</f>
        <v>9.0143481925428208</v>
      </c>
      <c r="BD19" s="116">
        <f>IFERROR(IF(up_Bv!H19=0,".",((s_Ir*s_F*s_I_f*s_T*(1-EXP(-up_RadSpec!AY19*s_t_v)))/(s_Y_v*up_RadSpec!AY19))),".")</f>
        <v>9.0143481925428208</v>
      </c>
      <c r="BE19" s="116">
        <f>IFERROR(IF(up_Bv!I19=0,".",((s_Ir*s_F*s_I_f*s_T*(1-EXP(-up_RadSpec!AY19*s_t_v)))/(s_Y_v*up_RadSpec!AY19))),".")</f>
        <v>9.0143481925428208</v>
      </c>
      <c r="BF19" s="116">
        <f>IFERROR(IF(up_Bv!J19=0,".",((s_Ir*s_F*s_I_f*s_T*(1-EXP(-up_RadSpec!AY19*s_t_v)))/(s_Y_v*up_RadSpec!AY19))),".")</f>
        <v>9.0143481925428208</v>
      </c>
      <c r="BG19" s="116">
        <f>IFERROR(IF(up_Bv!K19=0,".",((s_Ir*s_F*s_I_f*s_T*(1-EXP(-up_RadSpec!AY19*s_t_v)))/(s_Y_v*up_RadSpec!AY19))),".")</f>
        <v>9.0143481925428208</v>
      </c>
      <c r="BH19" s="116">
        <f>IFERROR(IF(up_Bv!L19=0,".",((s_Ir*s_F*s_I_f*s_T*(1-EXP(-up_RadSpec!AY19*s_t_v)))/(s_Y_v*up_RadSpec!AY19))),".")</f>
        <v>9.0143481925428208</v>
      </c>
      <c r="BI19" s="116">
        <f>IFERROR(IF(up_Bv!M19=0,".",((s_Ir*s_F*s_I_f*s_T*(1-EXP(-up_RadSpec!AY19*s_t_v)))/(s_Y_v*up_RadSpec!AY19))),".")</f>
        <v>9.0143481925428208</v>
      </c>
      <c r="BJ19" s="116">
        <f>IFERROR(IF(up_Bv!N19=0,".",((s_Ir*s_F*s_I_f*s_T*(1-EXP(-up_RadSpec!AY19*s_t_v)))/(s_Y_v*up_RadSpec!AY19))),".")</f>
        <v>9.0143481925428208</v>
      </c>
      <c r="BK19" s="116">
        <f>IFERROR(IF(up_Bv!O19=0,".",((s_Ir*s_F*s_I_f*s_T*(1-EXP(-up_RadSpec!AY19*s_t_v)))/(s_Y_v*up_RadSpec!AY19))),".")</f>
        <v>9.0143481925428208</v>
      </c>
      <c r="BL19" s="116">
        <f>IFERROR(IF(up_Bv!P19=0,".",((s_Ir*s_F*s_I_f*s_T*(1-EXP(-up_RadSpec!AY19*s_t_v)))/(s_Y_v*up_RadSpec!AY19))),".")</f>
        <v>9.0143481925428208</v>
      </c>
      <c r="BM19" s="116">
        <f>IFERROR(IF(up_Bv!Q19=0,".",((s_Ir*s_F*s_I_f*s_T*(1-EXP(-up_RadSpec!AY19*s_t_v)))/(s_Y_v*up_RadSpec!AY19))),".")</f>
        <v>9.0143481925428208</v>
      </c>
      <c r="BN19" s="116">
        <f>IFERROR(IF(up_Bv!R19=0,".",((s_Ir*s_F*s_I_f*s_T*(1-EXP(-up_RadSpec!AY19*s_t_v)))/(s_Y_v*up_RadSpec!AY19))),".")</f>
        <v>9.0143481925428208</v>
      </c>
      <c r="BO19" s="116">
        <f>IFERROR(IF(up_Bv!S19=0,".",((s_Ir*s_F*s_I_f*s_T*(1-EXP(-up_RadSpec!AY19*s_t_v)))/(s_Y_v*up_RadSpec!AY19))),".")</f>
        <v>9.0143481925428208</v>
      </c>
      <c r="BP19" s="116">
        <f>IFERROR(IF(up_Bv!T19=0,".",((s_Ir*s_F*s_I_f*s_T*(1-EXP(-up_RadSpec!AY19*s_t_v)))/(s_Y_v*up_RadSpec!AY19))),".")</f>
        <v>9.0143481925428208</v>
      </c>
      <c r="BQ19" s="116">
        <f>IFERROR(IF(up_Bv!U19=0,".",((s_Ir*s_F*s_I_f*s_T*(1-EXP(-up_RadSpec!AY19*s_t_v)))/(s_Y_v*up_RadSpec!AY19))),".")</f>
        <v>9.0143481925428208</v>
      </c>
      <c r="BR19" s="116">
        <f>IFERROR(IF(up_Bv!V19=0,".",((s_Ir*s_F*s_I_f*s_T*(1-EXP(-up_RadSpec!AY19*s_t_v)))/(s_Y_v*up_RadSpec!AY19))),".")</f>
        <v>9.0143481925428208</v>
      </c>
      <c r="BS19" s="116">
        <f>IFERROR(IF(up_Bv!W19=0,".",((s_Ir*s_F*s_I_f*s_T*(1-EXP(-up_RadSpec!AY19*s_t_v)))/(s_Y_v*up_RadSpec!AY19))),".")</f>
        <v>9.0143481925428208</v>
      </c>
      <c r="BT19" s="116">
        <f>IFERROR(IF(up_Bv!X19=0,".",((s_Ir*s_F*s_I_f*s_T*(1-EXP(-up_RadSpec!AY19*s_t_v)))/(s_Y_v*up_RadSpec!AY19))),".")</f>
        <v>9.0143481925428208</v>
      </c>
      <c r="BU19" s="116">
        <f>IFERROR(IF(up_Bv!Y19=0,".",((s_Ir*s_F*s_I_f*s_T*(1-EXP(-up_RadSpec!AY19*s_t_v)))/(s_Y_v*up_RadSpec!AY19))),".")</f>
        <v>9.0143481925428208</v>
      </c>
      <c r="BV19" s="116">
        <f>IFERROR(IF(up_Bv!Z19=0,".",((s_Ir*s_F*s_I_f*s_T*(1-EXP(-up_RadSpec!AY19*s_t_v)))/(s_Y_v*up_RadSpec!AY19))),".")</f>
        <v>9.0143481925428208</v>
      </c>
    </row>
    <row r="20" spans="1:74" x14ac:dyDescent="0.25">
      <c r="A20" s="44" t="s">
        <v>30</v>
      </c>
      <c r="B20" s="42" t="s">
        <v>1074</v>
      </c>
      <c r="C20" s="116">
        <f>IFERROR(IF(up_Bv!C20=0,".",((s_Ir*s_F*up_Bv!C20*(1-EXP(-up_RadSpec!$AX20*s_t_b)))/(s_P*up_RadSpec!$AX20))),".")</f>
        <v>993.50362303732038</v>
      </c>
      <c r="D20" s="116">
        <f>IFERROR(IF(up_Bv!D20=0,".",((s_Ir*s_F*up_Bv!D20*(1-EXP(-up_RadSpec!AX20*s_t_b)))/(s_P*up_RadSpec!AX20))),".")</f>
        <v>993.50362303732038</v>
      </c>
      <c r="E20" s="116">
        <f>IFERROR(IF(up_Bv!E20=0,".",((s_Ir*s_F*up_Bv!E20*(1-EXP(-up_RadSpec!AX20*s_t_b)))/(s_P*up_RadSpec!AX20))),".")</f>
        <v>993.50362303732038</v>
      </c>
      <c r="F20" s="116">
        <f>IFERROR(IF(up_Bv!F20=0,".",((s_Ir*s_F*up_Bv!F20*(1-EXP(-up_RadSpec!AX20*s_t_b)))/(s_P*up_RadSpec!AX20))),".")</f>
        <v>993.50362303732038</v>
      </c>
      <c r="G20" s="116">
        <f>IFERROR(IF(up_Bv!G20=0,".",((s_Ir*s_F*up_Bv!G20*(1-EXP(-up_RadSpec!AX20*s_t_b)))/(s_P*up_RadSpec!AX20))),".")</f>
        <v>993.50362303732038</v>
      </c>
      <c r="H20" s="116">
        <f>IFERROR(IF(up_Bv!H20=0,".",((s_Ir*s_F*up_Bv!H20*(1-EXP(-up_RadSpec!AX20*s_t_b)))/(s_P*up_RadSpec!AX20))),".")</f>
        <v>993.50362303732038</v>
      </c>
      <c r="I20" s="116">
        <f>IFERROR(IF(up_Bv!I20=0,".",((s_Ir*s_F*up_Bv!I20*(1-EXP(-up_RadSpec!AX20*s_t_b)))/(s_P*up_RadSpec!AX20))),".")</f>
        <v>993.50362303732038</v>
      </c>
      <c r="J20" s="116">
        <f>IFERROR(IF(up_Bv!J20=0,".",((s_Ir*s_F*up_Bv!J20*(1-EXP(-up_RadSpec!AX20*s_t_b)))/(s_P*up_RadSpec!AX20))),".")</f>
        <v>993.50362303732038</v>
      </c>
      <c r="K20" s="116">
        <f>IFERROR(IF(up_Bv!K20=0,".",((s_Ir*s_F*up_Bv!K20*(1-EXP(-up_RadSpec!AX20*s_t_b)))/(s_P*up_RadSpec!AX20))),".")</f>
        <v>993.50362303732038</v>
      </c>
      <c r="L20" s="116">
        <f>IFERROR(IF(up_Bv!L20=0,".",((s_Ir*s_F*up_Bv!L20*(1-EXP(-up_RadSpec!AX20*s_t_b)))/(s_P*up_RadSpec!AX20))),".")</f>
        <v>993.50362303732038</v>
      </c>
      <c r="M20" s="116">
        <f>IFERROR(IF(up_Bv!M20=0,".",((s_Ir*s_F*up_Bv!M20*(1-EXP(-up_RadSpec!AX20*s_t_b)))/(s_P*up_RadSpec!AX20))),".")</f>
        <v>993.50362303732038</v>
      </c>
      <c r="N20" s="116">
        <f>IFERROR(IF(up_Bv!N20=0,".",((s_Ir*s_F*up_Bv!N20*(1-EXP(-up_RadSpec!AX20*s_t_b)))/(s_P*up_RadSpec!AX20))),".")</f>
        <v>993.50362303732038</v>
      </c>
      <c r="O20" s="116">
        <f>IFERROR(IF(up_Bv!O20=0,".",((s_Ir*s_F*up_Bv!O20*(1-EXP(-up_RadSpec!AX20*s_t_b)))/(s_P*up_RadSpec!AX20))),".")</f>
        <v>993.50362303732038</v>
      </c>
      <c r="P20" s="116">
        <f>IFERROR(IF(up_Bv!P20=0,".",((s_Ir*s_F*up_Bv!P20*(1-EXP(-up_RadSpec!AX20*s_t_b)))/(s_P*up_RadSpec!AX20))),".")</f>
        <v>993.50362303732038</v>
      </c>
      <c r="Q20" s="116">
        <f>IFERROR(IF(up_Bv!Q20=0,".",((s_Ir*s_F*up_Bv!Q20*(1-EXP(-up_RadSpec!AX20*s_t_b)))/(s_P*up_RadSpec!AX20))),".")</f>
        <v>993.50362303732038</v>
      </c>
      <c r="R20" s="116">
        <f>IFERROR(IF(up_Bv!R20=0,".",((s_Ir*s_F*up_Bv!R20*(1-EXP(-up_RadSpec!AX20*s_t_b)))/(s_P*up_RadSpec!AX20))),".")</f>
        <v>993.50362303732038</v>
      </c>
      <c r="S20" s="116">
        <f>IFERROR(IF(up_Bv!S20=0,".",((s_Ir*s_F*up_Bv!S20*(1-EXP(-up_RadSpec!AX20*s_t_b)))/(s_P*up_RadSpec!AX20))),".")</f>
        <v>993.50362303732038</v>
      </c>
      <c r="T20" s="116">
        <f>IFERROR(IF(up_Bv!T20=0,".",((s_Ir*s_F*up_Bv!T20*(1-EXP(-up_RadSpec!AX20*s_t_b)))/(s_P*up_RadSpec!AX20))),".")</f>
        <v>993.50362303732038</v>
      </c>
      <c r="U20" s="116">
        <f>IFERROR(IF(up_Bv!U20=0,".",((s_Ir*s_F*up_Bv!U20*(1-EXP(-up_RadSpec!AX20*s_t_b)))/(s_P*up_RadSpec!AX20))),".")</f>
        <v>993.50362303732038</v>
      </c>
      <c r="V20" s="116">
        <f>IFERROR(IF(up_Bv!V20=0,".",((s_Ir*s_F*up_Bv!V20*(1-EXP(-up_RadSpec!AX20*s_t_b)))/(s_P*up_RadSpec!AX20))),".")</f>
        <v>993.50362303732038</v>
      </c>
      <c r="W20" s="116">
        <f>IFERROR(IF(up_Bv!W20=0,".",((s_Ir*s_F*up_Bv!W20*(1-EXP(-up_RadSpec!AX20*s_t_b)))/(s_P*up_RadSpec!AX20))),".")</f>
        <v>993.50362303732038</v>
      </c>
      <c r="X20" s="116">
        <f>IFERROR(IF(up_Bv!X20=0,".",((s_Ir*s_F*up_Bv!X20*(1-EXP(-up_RadSpec!AX20*s_t_b)))/(s_P*up_RadSpec!AX20))),".")</f>
        <v>993.50362303732038</v>
      </c>
      <c r="Y20" s="116">
        <f>IFERROR(IF(up_Bv!Y20=0,".",((s_Ir*s_F*up_Bv!Y20*(1-EXP(-up_RadSpec!AX20*s_t_b)))/(s_P*up_RadSpec!AX20))),".")</f>
        <v>993.50362303732038</v>
      </c>
      <c r="Z20" s="116">
        <f>IFERROR(IF(up_Bv!Z20=0,".",((s_Ir*s_F*up_Bv!Z20*(1-EXP(-up_RadSpec!AX20*s_t_b)))/(s_P*up_RadSpec!AX20))),".")</f>
        <v>993.50362303732038</v>
      </c>
      <c r="AA20" s="116">
        <f>IFERROR(IF(up_Bv!C20=0,".",((s_Ir*s_F*s_MLF_apple*(1-EXP(-up_RadSpec!AX20*s_t_b)))/(s_P*up_RadSpec!AX20))),".")</f>
        <v>2.6824597822007652</v>
      </c>
      <c r="AB20" s="116">
        <f>IFERROR(IF(up_Bv!D20=0,".",((s_Ir*s_F*s_MLF_asparagus*(1-EXP(-up_RadSpec!AX20*s_t_b)))/(s_P*up_RadSpec!AX20))),".")</f>
        <v>2.6824597822007652</v>
      </c>
      <c r="AC20" s="116">
        <f>IFERROR(IF(up_Bv!E20=0,".",((s_Ir*s_F*s_MLF_beet*(1-EXP(-up_RadSpec!AX20*s_t_b)))/(s_P*up_RadSpec!AX20))),".")</f>
        <v>2.6824597822007652</v>
      </c>
      <c r="AD20" s="116">
        <f>IFERROR(IF(up_Bv!F20=0,".",((s_Ir*s_F*s_MLF_berries*(1-EXP(-up_RadSpec!AX20*s_t_b)))/(s_P*up_RadSpec!AX20))),".")</f>
        <v>2.6824597822007652</v>
      </c>
      <c r="AE20" s="116">
        <f>IFERROR(IF(up_Bv!G20=0,".",((s_Ir*s_F*s_MLF_broccoli*(1-EXP(-up_RadSpec!AX20*s_t_b)))/(s_P*up_RadSpec!AX20))),".")</f>
        <v>2.6824597822007652</v>
      </c>
      <c r="AF20" s="116">
        <f>IFERROR(IF(up_Bv!H20=0,".",((s_Ir*s_F*s_MLF_cabbage*(1-EXP(-up_RadSpec!AX20*s_t_b)))/(s_P*up_RadSpec!AX20))),".")</f>
        <v>2.6824597822007652</v>
      </c>
      <c r="AG20" s="116">
        <f>IFERROR(IF(up_Bv!I20=0,".",((s_Ir*s_F*s_MLF_carrot*(1-EXP(-up_RadSpec!AX20*s_t_b)))/(s_P*up_RadSpec!AX20))),".")</f>
        <v>2.6824597822007652</v>
      </c>
      <c r="AH20" s="116">
        <f>IFERROR(IF(up_Bv!J20=0,".",((s_Ir*s_F*s_MLF_citrus*(1-EXP(-up_RadSpec!AX20*s_t_b)))/(s_P*up_RadSpec!AX20))),".")</f>
        <v>2.6824597822007652</v>
      </c>
      <c r="AI20" s="116">
        <f>IFERROR(IF(up_Bv!K20=0,".",((s_Ir*s_F*s_MLF_corn*(1-EXP(-up_RadSpec!AX20*s_t_b)))/(s_P*up_RadSpec!AX20))),".")</f>
        <v>2.6824597822007652</v>
      </c>
      <c r="AJ20" s="116">
        <f>IFERROR(IF(up_Bv!L20=0,".",((s_Ir*s_F*s_MLF_cucumber*(1-EXP(-up_RadSpec!AX20*s_t_b)))/(s_P*up_RadSpec!AX20))),".")</f>
        <v>2.6824597822007652</v>
      </c>
      <c r="AK20" s="116">
        <f>IFERROR(IF(up_Bv!M20=0,".",((s_Ir*s_F*s_MLF_lettuce*(1-EXP(-up_RadSpec!AX20*s_t_b)))/(s_P*up_RadSpec!AX20))),".")</f>
        <v>2.6824597822007652</v>
      </c>
      <c r="AL20" s="116">
        <f>IFERROR(IF(up_Bv!N20=0,".",((s_Ir*s_F*s_MLF_lima_bean*(1-EXP(-up_RadSpec!AX20*s_t_b)))/(s_P*up_RadSpec!AX20))),".")</f>
        <v>2.6824597822007652</v>
      </c>
      <c r="AM20" s="116">
        <f>IFERROR(IF(up_Bv!O20=0,".",((s_Ir*s_F*s_MLF_okra*(1-EXP(-up_RadSpec!AX20*s_t_b)))/(s_P*up_RadSpec!AX20))),".")</f>
        <v>2.6824597822007652</v>
      </c>
      <c r="AN20" s="116">
        <f>IFERROR(IF(up_Bv!P20=0,".",((s_Ir*s_F*s_MLF_onion*(1-EXP(-up_RadSpec!AX20*s_t_b)))/(s_P*up_RadSpec!AX20))),".")</f>
        <v>2.6824597822007652</v>
      </c>
      <c r="AO20" s="116">
        <f>IFERROR(IF(up_Bv!Q20=0,".",((s_Ir*s_F*s_MLF_peach*(1-EXP(-up_RadSpec!AX20*s_t_b)))/(s_P*up_RadSpec!AX20))),".")</f>
        <v>2.6824597822007652</v>
      </c>
      <c r="AP20" s="116">
        <f>IFERROR(IF(up_Bv!R20=0,".",((s_Ir*s_F*s_MLF_pear*(1-EXP(-up_RadSpec!AX20*s_t_b)))/(s_P*up_RadSpec!AX20))),".")</f>
        <v>2.6824597822007652</v>
      </c>
      <c r="AQ20" s="116">
        <f>IFERROR(IF(up_Bv!S20=0,".",((s_Ir*s_F*s_MLF_peas*(1-EXP(-up_RadSpec!AX20*s_t_b)))/(s_P*up_RadSpec!AX20))),".")</f>
        <v>2.6824597822007652</v>
      </c>
      <c r="AR20" s="116">
        <f>IFERROR(IF(up_Bv!T20=0,".",((s_Ir*s_F*s_MLF_potato*(1-EXP(-up_RadSpec!AX20*s_t_b)))/(s_P*up_RadSpec!AX20))),".")</f>
        <v>2.6824597822007652</v>
      </c>
      <c r="AS20" s="116">
        <f>IFERROR(IF(up_Bv!U20=0,".",((s_Ir*s_F*s_MLF_pumpkin*(1-EXP(-up_RadSpec!AX20*s_t_b)))/(s_P*up_RadSpec!AX20))),".")</f>
        <v>2.6824597822007652</v>
      </c>
      <c r="AT20" s="116">
        <f>IFERROR(IF(up_Bv!V20=0,".",((s_Ir*s_F*s_MLF_snap_bean*(1-EXP(-up_RadSpec!AX20*s_t_b)))/(s_P*up_RadSpec!AX20))),".")</f>
        <v>2.6824597822007652</v>
      </c>
      <c r="AU20" s="116">
        <f>IFERROR(IF(up_Bv!W20=0,".",((s_Ir*s_F*s_MLF_strawberry*(1-EXP(-up_RadSpec!AX20*s_t_b)))/(s_P*up_RadSpec!AX20))),".")</f>
        <v>2.6824597822007652</v>
      </c>
      <c r="AV20" s="116">
        <f>IFERROR(IF(up_Bv!X20=0,".",((s_Ir*s_F*s_MLF_tomato*(1-EXP(-up_RadSpec!AX20*s_t_b)))/(s_P*up_RadSpec!AX20))),".")</f>
        <v>2.6824597822007652</v>
      </c>
      <c r="AW20" s="116">
        <f>IFERROR(IF(up_Bv!Y20=0,".",((s_Ir*s_F*s_MLF_rice*(1-EXP(-up_RadSpec!AX20*s_t_b)))/(s_P*up_RadSpec!AX20))),".")</f>
        <v>2.6824597822007652</v>
      </c>
      <c r="AX20" s="116">
        <f>IFERROR(IF(up_Bv!Z20=0,".",((s_Ir*s_F*s_MLF_cereal*(1-EXP(-up_RadSpec!AX20*s_t_b)))/(s_P*up_RadSpec!AX20))),".")</f>
        <v>2.6824597822007652</v>
      </c>
      <c r="AY20" s="116">
        <f>IFERROR(IF(up_Bv!C20=0,".",((s_Ir*s_F*s_I_f*s_T*(1-EXP(-up_RadSpec!AY20*s_t_v)))/(s_Y_v*up_RadSpec!AY20))),".")</f>
        <v>9.0143481925428208</v>
      </c>
      <c r="AZ20" s="116">
        <f>IFERROR(IF(up_Bv!D20=0,".",((s_Ir*s_F*s_I_f*s_T*(1-EXP(-up_RadSpec!AY20*s_t_v)))/(s_Y_v*up_RadSpec!AY20))),".")</f>
        <v>9.0143481925428208</v>
      </c>
      <c r="BA20" s="116">
        <f>IFERROR(IF(up_Bv!E20=0,".",((s_Ir*s_F*s_I_f*s_T*(1-EXP(-up_RadSpec!AY20*s_t_v)))/(s_Y_v*up_RadSpec!AY20))),".")</f>
        <v>9.0143481925428208</v>
      </c>
      <c r="BB20" s="116">
        <f>IFERROR(IF(up_Bv!F20=0,".",((s_Ir*s_F*s_I_f*s_T*(1-EXP(-up_RadSpec!AY20*s_t_v)))/(s_Y_v*up_RadSpec!AY20))),".")</f>
        <v>9.0143481925428208</v>
      </c>
      <c r="BC20" s="116">
        <f>IFERROR(IF(up_Bv!G20=0,".",((s_Ir*s_F*s_I_f*s_T*(1-EXP(-up_RadSpec!AY20*s_t_v)))/(s_Y_v*up_RadSpec!AY20))),".")</f>
        <v>9.0143481925428208</v>
      </c>
      <c r="BD20" s="116">
        <f>IFERROR(IF(up_Bv!H20=0,".",((s_Ir*s_F*s_I_f*s_T*(1-EXP(-up_RadSpec!AY20*s_t_v)))/(s_Y_v*up_RadSpec!AY20))),".")</f>
        <v>9.0143481925428208</v>
      </c>
      <c r="BE20" s="116">
        <f>IFERROR(IF(up_Bv!I20=0,".",((s_Ir*s_F*s_I_f*s_T*(1-EXP(-up_RadSpec!AY20*s_t_v)))/(s_Y_v*up_RadSpec!AY20))),".")</f>
        <v>9.0143481925428208</v>
      </c>
      <c r="BF20" s="116">
        <f>IFERROR(IF(up_Bv!J20=0,".",((s_Ir*s_F*s_I_f*s_T*(1-EXP(-up_RadSpec!AY20*s_t_v)))/(s_Y_v*up_RadSpec!AY20))),".")</f>
        <v>9.0143481925428208</v>
      </c>
      <c r="BG20" s="116">
        <f>IFERROR(IF(up_Bv!K20=0,".",((s_Ir*s_F*s_I_f*s_T*(1-EXP(-up_RadSpec!AY20*s_t_v)))/(s_Y_v*up_RadSpec!AY20))),".")</f>
        <v>9.0143481925428208</v>
      </c>
      <c r="BH20" s="116">
        <f>IFERROR(IF(up_Bv!L20=0,".",((s_Ir*s_F*s_I_f*s_T*(1-EXP(-up_RadSpec!AY20*s_t_v)))/(s_Y_v*up_RadSpec!AY20))),".")</f>
        <v>9.0143481925428208</v>
      </c>
      <c r="BI20" s="116">
        <f>IFERROR(IF(up_Bv!M20=0,".",((s_Ir*s_F*s_I_f*s_T*(1-EXP(-up_RadSpec!AY20*s_t_v)))/(s_Y_v*up_RadSpec!AY20))),".")</f>
        <v>9.0143481925428208</v>
      </c>
      <c r="BJ20" s="116">
        <f>IFERROR(IF(up_Bv!N20=0,".",((s_Ir*s_F*s_I_f*s_T*(1-EXP(-up_RadSpec!AY20*s_t_v)))/(s_Y_v*up_RadSpec!AY20))),".")</f>
        <v>9.0143481925428208</v>
      </c>
      <c r="BK20" s="116">
        <f>IFERROR(IF(up_Bv!O20=0,".",((s_Ir*s_F*s_I_f*s_T*(1-EXP(-up_RadSpec!AY20*s_t_v)))/(s_Y_v*up_RadSpec!AY20))),".")</f>
        <v>9.0143481925428208</v>
      </c>
      <c r="BL20" s="116">
        <f>IFERROR(IF(up_Bv!P20=0,".",((s_Ir*s_F*s_I_f*s_T*(1-EXP(-up_RadSpec!AY20*s_t_v)))/(s_Y_v*up_RadSpec!AY20))),".")</f>
        <v>9.0143481925428208</v>
      </c>
      <c r="BM20" s="116">
        <f>IFERROR(IF(up_Bv!Q20=0,".",((s_Ir*s_F*s_I_f*s_T*(1-EXP(-up_RadSpec!AY20*s_t_v)))/(s_Y_v*up_RadSpec!AY20))),".")</f>
        <v>9.0143481925428208</v>
      </c>
      <c r="BN20" s="116">
        <f>IFERROR(IF(up_Bv!R20=0,".",((s_Ir*s_F*s_I_f*s_T*(1-EXP(-up_RadSpec!AY20*s_t_v)))/(s_Y_v*up_RadSpec!AY20))),".")</f>
        <v>9.0143481925428208</v>
      </c>
      <c r="BO20" s="116">
        <f>IFERROR(IF(up_Bv!S20=0,".",((s_Ir*s_F*s_I_f*s_T*(1-EXP(-up_RadSpec!AY20*s_t_v)))/(s_Y_v*up_RadSpec!AY20))),".")</f>
        <v>9.0143481925428208</v>
      </c>
      <c r="BP20" s="116">
        <f>IFERROR(IF(up_Bv!T20=0,".",((s_Ir*s_F*s_I_f*s_T*(1-EXP(-up_RadSpec!AY20*s_t_v)))/(s_Y_v*up_RadSpec!AY20))),".")</f>
        <v>9.0143481925428208</v>
      </c>
      <c r="BQ20" s="116">
        <f>IFERROR(IF(up_Bv!U20=0,".",((s_Ir*s_F*s_I_f*s_T*(1-EXP(-up_RadSpec!AY20*s_t_v)))/(s_Y_v*up_RadSpec!AY20))),".")</f>
        <v>9.0143481925428208</v>
      </c>
      <c r="BR20" s="116">
        <f>IFERROR(IF(up_Bv!V20=0,".",((s_Ir*s_F*s_I_f*s_T*(1-EXP(-up_RadSpec!AY20*s_t_v)))/(s_Y_v*up_RadSpec!AY20))),".")</f>
        <v>9.0143481925428208</v>
      </c>
      <c r="BS20" s="116">
        <f>IFERROR(IF(up_Bv!W20=0,".",((s_Ir*s_F*s_I_f*s_T*(1-EXP(-up_RadSpec!AY20*s_t_v)))/(s_Y_v*up_RadSpec!AY20))),".")</f>
        <v>9.0143481925428208</v>
      </c>
      <c r="BT20" s="116">
        <f>IFERROR(IF(up_Bv!X20=0,".",((s_Ir*s_F*s_I_f*s_T*(1-EXP(-up_RadSpec!AY20*s_t_v)))/(s_Y_v*up_RadSpec!AY20))),".")</f>
        <v>9.0143481925428208</v>
      </c>
      <c r="BU20" s="116">
        <f>IFERROR(IF(up_Bv!Y20=0,".",((s_Ir*s_F*s_I_f*s_T*(1-EXP(-up_RadSpec!AY20*s_t_v)))/(s_Y_v*up_RadSpec!AY20))),".")</f>
        <v>9.0143481925428208</v>
      </c>
      <c r="BV20" s="116">
        <f>IFERROR(IF(up_Bv!Z20=0,".",((s_Ir*s_F*s_I_f*s_T*(1-EXP(-up_RadSpec!AY20*s_t_v)))/(s_Y_v*up_RadSpec!AY20))),".")</f>
        <v>9.0143481925428208</v>
      </c>
    </row>
    <row r="21" spans="1:74" x14ac:dyDescent="0.25">
      <c r="A21" s="44" t="s">
        <v>31</v>
      </c>
      <c r="B21" s="42" t="s">
        <v>1074</v>
      </c>
      <c r="C21" s="116">
        <f>IFERROR(IF(up_Bv!C21=0,".",((s_Ir*s_F*up_Bv!C21*(1-EXP(-up_RadSpec!$AX21*s_t_b)))/(s_P*up_RadSpec!$AX21))),".")</f>
        <v>993.50362303732038</v>
      </c>
      <c r="D21" s="116">
        <f>IFERROR(IF(up_Bv!D21=0,".",((s_Ir*s_F*up_Bv!D21*(1-EXP(-up_RadSpec!AX21*s_t_b)))/(s_P*up_RadSpec!AX21))),".")</f>
        <v>993.50362303732038</v>
      </c>
      <c r="E21" s="116">
        <f>IFERROR(IF(up_Bv!E21=0,".",((s_Ir*s_F*up_Bv!E21*(1-EXP(-up_RadSpec!AX21*s_t_b)))/(s_P*up_RadSpec!AX21))),".")</f>
        <v>993.50362303732038</v>
      </c>
      <c r="F21" s="116">
        <f>IFERROR(IF(up_Bv!F21=0,".",((s_Ir*s_F*up_Bv!F21*(1-EXP(-up_RadSpec!AX21*s_t_b)))/(s_P*up_RadSpec!AX21))),".")</f>
        <v>993.50362303732038</v>
      </c>
      <c r="G21" s="116">
        <f>IFERROR(IF(up_Bv!G21=0,".",((s_Ir*s_F*up_Bv!G21*(1-EXP(-up_RadSpec!AX21*s_t_b)))/(s_P*up_RadSpec!AX21))),".")</f>
        <v>993.50362303732038</v>
      </c>
      <c r="H21" s="116">
        <f>IFERROR(IF(up_Bv!H21=0,".",((s_Ir*s_F*up_Bv!H21*(1-EXP(-up_RadSpec!AX21*s_t_b)))/(s_P*up_RadSpec!AX21))),".")</f>
        <v>993.50362303732038</v>
      </c>
      <c r="I21" s="116">
        <f>IFERROR(IF(up_Bv!I21=0,".",((s_Ir*s_F*up_Bv!I21*(1-EXP(-up_RadSpec!AX21*s_t_b)))/(s_P*up_RadSpec!AX21))),".")</f>
        <v>993.50362303732038</v>
      </c>
      <c r="J21" s="116">
        <f>IFERROR(IF(up_Bv!J21=0,".",((s_Ir*s_F*up_Bv!J21*(1-EXP(-up_RadSpec!AX21*s_t_b)))/(s_P*up_RadSpec!AX21))),".")</f>
        <v>993.50362303732038</v>
      </c>
      <c r="K21" s="116">
        <f>IFERROR(IF(up_Bv!K21=0,".",((s_Ir*s_F*up_Bv!K21*(1-EXP(-up_RadSpec!AX21*s_t_b)))/(s_P*up_RadSpec!AX21))),".")</f>
        <v>993.50362303732038</v>
      </c>
      <c r="L21" s="116">
        <f>IFERROR(IF(up_Bv!L21=0,".",((s_Ir*s_F*up_Bv!L21*(1-EXP(-up_RadSpec!AX21*s_t_b)))/(s_P*up_RadSpec!AX21))),".")</f>
        <v>993.50362303732038</v>
      </c>
      <c r="M21" s="116">
        <f>IFERROR(IF(up_Bv!M21=0,".",((s_Ir*s_F*up_Bv!M21*(1-EXP(-up_RadSpec!AX21*s_t_b)))/(s_P*up_RadSpec!AX21))),".")</f>
        <v>993.50362303732038</v>
      </c>
      <c r="N21" s="116">
        <f>IFERROR(IF(up_Bv!N21=0,".",((s_Ir*s_F*up_Bv!N21*(1-EXP(-up_RadSpec!AX21*s_t_b)))/(s_P*up_RadSpec!AX21))),".")</f>
        <v>993.50362303732038</v>
      </c>
      <c r="O21" s="116">
        <f>IFERROR(IF(up_Bv!O21=0,".",((s_Ir*s_F*up_Bv!O21*(1-EXP(-up_RadSpec!AX21*s_t_b)))/(s_P*up_RadSpec!AX21))),".")</f>
        <v>993.50362303732038</v>
      </c>
      <c r="P21" s="116">
        <f>IFERROR(IF(up_Bv!P21=0,".",((s_Ir*s_F*up_Bv!P21*(1-EXP(-up_RadSpec!AX21*s_t_b)))/(s_P*up_RadSpec!AX21))),".")</f>
        <v>993.50362303732038</v>
      </c>
      <c r="Q21" s="116">
        <f>IFERROR(IF(up_Bv!Q21=0,".",((s_Ir*s_F*up_Bv!Q21*(1-EXP(-up_RadSpec!AX21*s_t_b)))/(s_P*up_RadSpec!AX21))),".")</f>
        <v>993.50362303732038</v>
      </c>
      <c r="R21" s="116">
        <f>IFERROR(IF(up_Bv!R21=0,".",((s_Ir*s_F*up_Bv!R21*(1-EXP(-up_RadSpec!AX21*s_t_b)))/(s_P*up_RadSpec!AX21))),".")</f>
        <v>993.50362303732038</v>
      </c>
      <c r="S21" s="116">
        <f>IFERROR(IF(up_Bv!S21=0,".",((s_Ir*s_F*up_Bv!S21*(1-EXP(-up_RadSpec!AX21*s_t_b)))/(s_P*up_RadSpec!AX21))),".")</f>
        <v>993.50362303732038</v>
      </c>
      <c r="T21" s="116">
        <f>IFERROR(IF(up_Bv!T21=0,".",((s_Ir*s_F*up_Bv!T21*(1-EXP(-up_RadSpec!AX21*s_t_b)))/(s_P*up_RadSpec!AX21))),".")</f>
        <v>993.50362303732038</v>
      </c>
      <c r="U21" s="116">
        <f>IFERROR(IF(up_Bv!U21=0,".",((s_Ir*s_F*up_Bv!U21*(1-EXP(-up_RadSpec!AX21*s_t_b)))/(s_P*up_RadSpec!AX21))),".")</f>
        <v>993.50362303732038</v>
      </c>
      <c r="V21" s="116">
        <f>IFERROR(IF(up_Bv!V21=0,".",((s_Ir*s_F*up_Bv!V21*(1-EXP(-up_RadSpec!AX21*s_t_b)))/(s_P*up_RadSpec!AX21))),".")</f>
        <v>993.50362303732038</v>
      </c>
      <c r="W21" s="116">
        <f>IFERROR(IF(up_Bv!W21=0,".",((s_Ir*s_F*up_Bv!W21*(1-EXP(-up_RadSpec!AX21*s_t_b)))/(s_P*up_RadSpec!AX21))),".")</f>
        <v>993.50362303732038</v>
      </c>
      <c r="X21" s="116">
        <f>IFERROR(IF(up_Bv!X21=0,".",((s_Ir*s_F*up_Bv!X21*(1-EXP(-up_RadSpec!AX21*s_t_b)))/(s_P*up_RadSpec!AX21))),".")</f>
        <v>993.50362303732038</v>
      </c>
      <c r="Y21" s="116">
        <f>IFERROR(IF(up_Bv!Y21=0,".",((s_Ir*s_F*up_Bv!Y21*(1-EXP(-up_RadSpec!AX21*s_t_b)))/(s_P*up_RadSpec!AX21))),".")</f>
        <v>993.50362303732038</v>
      </c>
      <c r="Z21" s="116">
        <f>IFERROR(IF(up_Bv!Z21=0,".",((s_Ir*s_F*up_Bv!Z21*(1-EXP(-up_RadSpec!AX21*s_t_b)))/(s_P*up_RadSpec!AX21))),".")</f>
        <v>993.50362303732038</v>
      </c>
      <c r="AA21" s="116">
        <f>IFERROR(IF(up_Bv!C21=0,".",((s_Ir*s_F*s_MLF_apple*(1-EXP(-up_RadSpec!AX21*s_t_b)))/(s_P*up_RadSpec!AX21))),".")</f>
        <v>2.6824597822007652</v>
      </c>
      <c r="AB21" s="116">
        <f>IFERROR(IF(up_Bv!D21=0,".",((s_Ir*s_F*s_MLF_asparagus*(1-EXP(-up_RadSpec!AX21*s_t_b)))/(s_P*up_RadSpec!AX21))),".")</f>
        <v>2.6824597822007652</v>
      </c>
      <c r="AC21" s="116">
        <f>IFERROR(IF(up_Bv!E21=0,".",((s_Ir*s_F*s_MLF_beet*(1-EXP(-up_RadSpec!AX21*s_t_b)))/(s_P*up_RadSpec!AX21))),".")</f>
        <v>2.6824597822007652</v>
      </c>
      <c r="AD21" s="116">
        <f>IFERROR(IF(up_Bv!F21=0,".",((s_Ir*s_F*s_MLF_berries*(1-EXP(-up_RadSpec!AX21*s_t_b)))/(s_P*up_RadSpec!AX21))),".")</f>
        <v>2.6824597822007652</v>
      </c>
      <c r="AE21" s="116">
        <f>IFERROR(IF(up_Bv!G21=0,".",((s_Ir*s_F*s_MLF_broccoli*(1-EXP(-up_RadSpec!AX21*s_t_b)))/(s_P*up_RadSpec!AX21))),".")</f>
        <v>2.6824597822007652</v>
      </c>
      <c r="AF21" s="116">
        <f>IFERROR(IF(up_Bv!H21=0,".",((s_Ir*s_F*s_MLF_cabbage*(1-EXP(-up_RadSpec!AX21*s_t_b)))/(s_P*up_RadSpec!AX21))),".")</f>
        <v>2.6824597822007652</v>
      </c>
      <c r="AG21" s="116">
        <f>IFERROR(IF(up_Bv!I21=0,".",((s_Ir*s_F*s_MLF_carrot*(1-EXP(-up_RadSpec!AX21*s_t_b)))/(s_P*up_RadSpec!AX21))),".")</f>
        <v>2.6824597822007652</v>
      </c>
      <c r="AH21" s="116">
        <f>IFERROR(IF(up_Bv!J21=0,".",((s_Ir*s_F*s_MLF_citrus*(1-EXP(-up_RadSpec!AX21*s_t_b)))/(s_P*up_RadSpec!AX21))),".")</f>
        <v>2.6824597822007652</v>
      </c>
      <c r="AI21" s="116">
        <f>IFERROR(IF(up_Bv!K21=0,".",((s_Ir*s_F*s_MLF_corn*(1-EXP(-up_RadSpec!AX21*s_t_b)))/(s_P*up_RadSpec!AX21))),".")</f>
        <v>2.6824597822007652</v>
      </c>
      <c r="AJ21" s="116">
        <f>IFERROR(IF(up_Bv!L21=0,".",((s_Ir*s_F*s_MLF_cucumber*(1-EXP(-up_RadSpec!AX21*s_t_b)))/(s_P*up_RadSpec!AX21))),".")</f>
        <v>2.6824597822007652</v>
      </c>
      <c r="AK21" s="116">
        <f>IFERROR(IF(up_Bv!M21=0,".",((s_Ir*s_F*s_MLF_lettuce*(1-EXP(-up_RadSpec!AX21*s_t_b)))/(s_P*up_RadSpec!AX21))),".")</f>
        <v>2.6824597822007652</v>
      </c>
      <c r="AL21" s="116">
        <f>IFERROR(IF(up_Bv!N21=0,".",((s_Ir*s_F*s_MLF_lima_bean*(1-EXP(-up_RadSpec!AX21*s_t_b)))/(s_P*up_RadSpec!AX21))),".")</f>
        <v>2.6824597822007652</v>
      </c>
      <c r="AM21" s="116">
        <f>IFERROR(IF(up_Bv!O21=0,".",((s_Ir*s_F*s_MLF_okra*(1-EXP(-up_RadSpec!AX21*s_t_b)))/(s_P*up_RadSpec!AX21))),".")</f>
        <v>2.6824597822007652</v>
      </c>
      <c r="AN21" s="116">
        <f>IFERROR(IF(up_Bv!P21=0,".",((s_Ir*s_F*s_MLF_onion*(1-EXP(-up_RadSpec!AX21*s_t_b)))/(s_P*up_RadSpec!AX21))),".")</f>
        <v>2.6824597822007652</v>
      </c>
      <c r="AO21" s="116">
        <f>IFERROR(IF(up_Bv!Q21=0,".",((s_Ir*s_F*s_MLF_peach*(1-EXP(-up_RadSpec!AX21*s_t_b)))/(s_P*up_RadSpec!AX21))),".")</f>
        <v>2.6824597822007652</v>
      </c>
      <c r="AP21" s="116">
        <f>IFERROR(IF(up_Bv!R21=0,".",((s_Ir*s_F*s_MLF_pear*(1-EXP(-up_RadSpec!AX21*s_t_b)))/(s_P*up_RadSpec!AX21))),".")</f>
        <v>2.6824597822007652</v>
      </c>
      <c r="AQ21" s="116">
        <f>IFERROR(IF(up_Bv!S21=0,".",((s_Ir*s_F*s_MLF_peas*(1-EXP(-up_RadSpec!AX21*s_t_b)))/(s_P*up_RadSpec!AX21))),".")</f>
        <v>2.6824597822007652</v>
      </c>
      <c r="AR21" s="116">
        <f>IFERROR(IF(up_Bv!T21=0,".",((s_Ir*s_F*s_MLF_potato*(1-EXP(-up_RadSpec!AX21*s_t_b)))/(s_P*up_RadSpec!AX21))),".")</f>
        <v>2.6824597822007652</v>
      </c>
      <c r="AS21" s="116">
        <f>IFERROR(IF(up_Bv!U21=0,".",((s_Ir*s_F*s_MLF_pumpkin*(1-EXP(-up_RadSpec!AX21*s_t_b)))/(s_P*up_RadSpec!AX21))),".")</f>
        <v>2.6824597822007652</v>
      </c>
      <c r="AT21" s="116">
        <f>IFERROR(IF(up_Bv!V21=0,".",((s_Ir*s_F*s_MLF_snap_bean*(1-EXP(-up_RadSpec!AX21*s_t_b)))/(s_P*up_RadSpec!AX21))),".")</f>
        <v>2.6824597822007652</v>
      </c>
      <c r="AU21" s="116">
        <f>IFERROR(IF(up_Bv!W21=0,".",((s_Ir*s_F*s_MLF_strawberry*(1-EXP(-up_RadSpec!AX21*s_t_b)))/(s_P*up_RadSpec!AX21))),".")</f>
        <v>2.6824597822007652</v>
      </c>
      <c r="AV21" s="116">
        <f>IFERROR(IF(up_Bv!X21=0,".",((s_Ir*s_F*s_MLF_tomato*(1-EXP(-up_RadSpec!AX21*s_t_b)))/(s_P*up_RadSpec!AX21))),".")</f>
        <v>2.6824597822007652</v>
      </c>
      <c r="AW21" s="116">
        <f>IFERROR(IF(up_Bv!Y21=0,".",((s_Ir*s_F*s_MLF_rice*(1-EXP(-up_RadSpec!AX21*s_t_b)))/(s_P*up_RadSpec!AX21))),".")</f>
        <v>2.6824597822007652</v>
      </c>
      <c r="AX21" s="116">
        <f>IFERROR(IF(up_Bv!Z21=0,".",((s_Ir*s_F*s_MLF_cereal*(1-EXP(-up_RadSpec!AX21*s_t_b)))/(s_P*up_RadSpec!AX21))),".")</f>
        <v>2.6824597822007652</v>
      </c>
      <c r="AY21" s="116">
        <f>IFERROR(IF(up_Bv!C21=0,".",((s_Ir*s_F*s_I_f*s_T*(1-EXP(-up_RadSpec!AY21*s_t_v)))/(s_Y_v*up_RadSpec!AY21))),".")</f>
        <v>9.0143481925428208</v>
      </c>
      <c r="AZ21" s="116">
        <f>IFERROR(IF(up_Bv!D21=0,".",((s_Ir*s_F*s_I_f*s_T*(1-EXP(-up_RadSpec!AY21*s_t_v)))/(s_Y_v*up_RadSpec!AY21))),".")</f>
        <v>9.0143481925428208</v>
      </c>
      <c r="BA21" s="116">
        <f>IFERROR(IF(up_Bv!E21=0,".",((s_Ir*s_F*s_I_f*s_T*(1-EXP(-up_RadSpec!AY21*s_t_v)))/(s_Y_v*up_RadSpec!AY21))),".")</f>
        <v>9.0143481925428208</v>
      </c>
      <c r="BB21" s="116">
        <f>IFERROR(IF(up_Bv!F21=0,".",((s_Ir*s_F*s_I_f*s_T*(1-EXP(-up_RadSpec!AY21*s_t_v)))/(s_Y_v*up_RadSpec!AY21))),".")</f>
        <v>9.0143481925428208</v>
      </c>
      <c r="BC21" s="116">
        <f>IFERROR(IF(up_Bv!G21=0,".",((s_Ir*s_F*s_I_f*s_T*(1-EXP(-up_RadSpec!AY21*s_t_v)))/(s_Y_v*up_RadSpec!AY21))),".")</f>
        <v>9.0143481925428208</v>
      </c>
      <c r="BD21" s="116">
        <f>IFERROR(IF(up_Bv!H21=0,".",((s_Ir*s_F*s_I_f*s_T*(1-EXP(-up_RadSpec!AY21*s_t_v)))/(s_Y_v*up_RadSpec!AY21))),".")</f>
        <v>9.0143481925428208</v>
      </c>
      <c r="BE21" s="116">
        <f>IFERROR(IF(up_Bv!I21=0,".",((s_Ir*s_F*s_I_f*s_T*(1-EXP(-up_RadSpec!AY21*s_t_v)))/(s_Y_v*up_RadSpec!AY21))),".")</f>
        <v>9.0143481925428208</v>
      </c>
      <c r="BF21" s="116">
        <f>IFERROR(IF(up_Bv!J21=0,".",((s_Ir*s_F*s_I_f*s_T*(1-EXP(-up_RadSpec!AY21*s_t_v)))/(s_Y_v*up_RadSpec!AY21))),".")</f>
        <v>9.0143481925428208</v>
      </c>
      <c r="BG21" s="116">
        <f>IFERROR(IF(up_Bv!K21=0,".",((s_Ir*s_F*s_I_f*s_T*(1-EXP(-up_RadSpec!AY21*s_t_v)))/(s_Y_v*up_RadSpec!AY21))),".")</f>
        <v>9.0143481925428208</v>
      </c>
      <c r="BH21" s="116">
        <f>IFERROR(IF(up_Bv!L21=0,".",((s_Ir*s_F*s_I_f*s_T*(1-EXP(-up_RadSpec!AY21*s_t_v)))/(s_Y_v*up_RadSpec!AY21))),".")</f>
        <v>9.0143481925428208</v>
      </c>
      <c r="BI21" s="116">
        <f>IFERROR(IF(up_Bv!M21=0,".",((s_Ir*s_F*s_I_f*s_T*(1-EXP(-up_RadSpec!AY21*s_t_v)))/(s_Y_v*up_RadSpec!AY21))),".")</f>
        <v>9.0143481925428208</v>
      </c>
      <c r="BJ21" s="116">
        <f>IFERROR(IF(up_Bv!N21=0,".",((s_Ir*s_F*s_I_f*s_T*(1-EXP(-up_RadSpec!AY21*s_t_v)))/(s_Y_v*up_RadSpec!AY21))),".")</f>
        <v>9.0143481925428208</v>
      </c>
      <c r="BK21" s="116">
        <f>IFERROR(IF(up_Bv!O21=0,".",((s_Ir*s_F*s_I_f*s_T*(1-EXP(-up_RadSpec!AY21*s_t_v)))/(s_Y_v*up_RadSpec!AY21))),".")</f>
        <v>9.0143481925428208</v>
      </c>
      <c r="BL21" s="116">
        <f>IFERROR(IF(up_Bv!P21=0,".",((s_Ir*s_F*s_I_f*s_T*(1-EXP(-up_RadSpec!AY21*s_t_v)))/(s_Y_v*up_RadSpec!AY21))),".")</f>
        <v>9.0143481925428208</v>
      </c>
      <c r="BM21" s="116">
        <f>IFERROR(IF(up_Bv!Q21=0,".",((s_Ir*s_F*s_I_f*s_T*(1-EXP(-up_RadSpec!AY21*s_t_v)))/(s_Y_v*up_RadSpec!AY21))),".")</f>
        <v>9.0143481925428208</v>
      </c>
      <c r="BN21" s="116">
        <f>IFERROR(IF(up_Bv!R21=0,".",((s_Ir*s_F*s_I_f*s_T*(1-EXP(-up_RadSpec!AY21*s_t_v)))/(s_Y_v*up_RadSpec!AY21))),".")</f>
        <v>9.0143481925428208</v>
      </c>
      <c r="BO21" s="116">
        <f>IFERROR(IF(up_Bv!S21=0,".",((s_Ir*s_F*s_I_f*s_T*(1-EXP(-up_RadSpec!AY21*s_t_v)))/(s_Y_v*up_RadSpec!AY21))),".")</f>
        <v>9.0143481925428208</v>
      </c>
      <c r="BP21" s="116">
        <f>IFERROR(IF(up_Bv!T21=0,".",((s_Ir*s_F*s_I_f*s_T*(1-EXP(-up_RadSpec!AY21*s_t_v)))/(s_Y_v*up_RadSpec!AY21))),".")</f>
        <v>9.0143481925428208</v>
      </c>
      <c r="BQ21" s="116">
        <f>IFERROR(IF(up_Bv!U21=0,".",((s_Ir*s_F*s_I_f*s_T*(1-EXP(-up_RadSpec!AY21*s_t_v)))/(s_Y_v*up_RadSpec!AY21))),".")</f>
        <v>9.0143481925428208</v>
      </c>
      <c r="BR21" s="116">
        <f>IFERROR(IF(up_Bv!V21=0,".",((s_Ir*s_F*s_I_f*s_T*(1-EXP(-up_RadSpec!AY21*s_t_v)))/(s_Y_v*up_RadSpec!AY21))),".")</f>
        <v>9.0143481925428208</v>
      </c>
      <c r="BS21" s="116">
        <f>IFERROR(IF(up_Bv!W21=0,".",((s_Ir*s_F*s_I_f*s_T*(1-EXP(-up_RadSpec!AY21*s_t_v)))/(s_Y_v*up_RadSpec!AY21))),".")</f>
        <v>9.0143481925428208</v>
      </c>
      <c r="BT21" s="116">
        <f>IFERROR(IF(up_Bv!X21=0,".",((s_Ir*s_F*s_I_f*s_T*(1-EXP(-up_RadSpec!AY21*s_t_v)))/(s_Y_v*up_RadSpec!AY21))),".")</f>
        <v>9.0143481925428208</v>
      </c>
      <c r="BU21" s="116">
        <f>IFERROR(IF(up_Bv!Y21=0,".",((s_Ir*s_F*s_I_f*s_T*(1-EXP(-up_RadSpec!AY21*s_t_v)))/(s_Y_v*up_RadSpec!AY21))),".")</f>
        <v>9.0143481925428208</v>
      </c>
      <c r="BV21" s="116">
        <f>IFERROR(IF(up_Bv!Z21=0,".",((s_Ir*s_F*s_I_f*s_T*(1-EXP(-up_RadSpec!AY21*s_t_v)))/(s_Y_v*up_RadSpec!AY21))),".")</f>
        <v>9.0143481925428208</v>
      </c>
    </row>
    <row r="22" spans="1:74" x14ac:dyDescent="0.25">
      <c r="A22" s="44" t="s">
        <v>32</v>
      </c>
      <c r="B22" s="42" t="s">
        <v>1074</v>
      </c>
      <c r="C22" s="116">
        <f>IFERROR(IF(up_Bv!C22=0,".",((s_Ir*s_F*up_Bv!C22*(1-EXP(-up_RadSpec!$AX22*s_t_b)))/(s_P*up_RadSpec!$AX22))),".")</f>
        <v>993.50362303732038</v>
      </c>
      <c r="D22" s="116">
        <f>IFERROR(IF(up_Bv!D22=0,".",((s_Ir*s_F*up_Bv!D22*(1-EXP(-up_RadSpec!AX22*s_t_b)))/(s_P*up_RadSpec!AX22))),".")</f>
        <v>993.50362303732038</v>
      </c>
      <c r="E22" s="116">
        <f>IFERROR(IF(up_Bv!E22=0,".",((s_Ir*s_F*up_Bv!E22*(1-EXP(-up_RadSpec!AX22*s_t_b)))/(s_P*up_RadSpec!AX22))),".")</f>
        <v>993.50362303732038</v>
      </c>
      <c r="F22" s="116">
        <f>IFERROR(IF(up_Bv!F22=0,".",((s_Ir*s_F*up_Bv!F22*(1-EXP(-up_RadSpec!AX22*s_t_b)))/(s_P*up_RadSpec!AX22))),".")</f>
        <v>993.50362303732038</v>
      </c>
      <c r="G22" s="116">
        <f>IFERROR(IF(up_Bv!G22=0,".",((s_Ir*s_F*up_Bv!G22*(1-EXP(-up_RadSpec!AX22*s_t_b)))/(s_P*up_RadSpec!AX22))),".")</f>
        <v>993.50362303732038</v>
      </c>
      <c r="H22" s="116">
        <f>IFERROR(IF(up_Bv!H22=0,".",((s_Ir*s_F*up_Bv!H22*(1-EXP(-up_RadSpec!AX22*s_t_b)))/(s_P*up_RadSpec!AX22))),".")</f>
        <v>993.50362303732038</v>
      </c>
      <c r="I22" s="116">
        <f>IFERROR(IF(up_Bv!I22=0,".",((s_Ir*s_F*up_Bv!I22*(1-EXP(-up_RadSpec!AX22*s_t_b)))/(s_P*up_RadSpec!AX22))),".")</f>
        <v>993.50362303732038</v>
      </c>
      <c r="J22" s="116">
        <f>IFERROR(IF(up_Bv!J22=0,".",((s_Ir*s_F*up_Bv!J22*(1-EXP(-up_RadSpec!AX22*s_t_b)))/(s_P*up_RadSpec!AX22))),".")</f>
        <v>993.50362303732038</v>
      </c>
      <c r="K22" s="116">
        <f>IFERROR(IF(up_Bv!K22=0,".",((s_Ir*s_F*up_Bv!K22*(1-EXP(-up_RadSpec!AX22*s_t_b)))/(s_P*up_RadSpec!AX22))),".")</f>
        <v>993.50362303732038</v>
      </c>
      <c r="L22" s="116">
        <f>IFERROR(IF(up_Bv!L22=0,".",((s_Ir*s_F*up_Bv!L22*(1-EXP(-up_RadSpec!AX22*s_t_b)))/(s_P*up_RadSpec!AX22))),".")</f>
        <v>993.50362303732038</v>
      </c>
      <c r="M22" s="116">
        <f>IFERROR(IF(up_Bv!M22=0,".",((s_Ir*s_F*up_Bv!M22*(1-EXP(-up_RadSpec!AX22*s_t_b)))/(s_P*up_RadSpec!AX22))),".")</f>
        <v>993.50362303732038</v>
      </c>
      <c r="N22" s="116">
        <f>IFERROR(IF(up_Bv!N22=0,".",((s_Ir*s_F*up_Bv!N22*(1-EXP(-up_RadSpec!AX22*s_t_b)))/(s_P*up_RadSpec!AX22))),".")</f>
        <v>993.50362303732038</v>
      </c>
      <c r="O22" s="116">
        <f>IFERROR(IF(up_Bv!O22=0,".",((s_Ir*s_F*up_Bv!O22*(1-EXP(-up_RadSpec!AX22*s_t_b)))/(s_P*up_RadSpec!AX22))),".")</f>
        <v>993.50362303732038</v>
      </c>
      <c r="P22" s="116">
        <f>IFERROR(IF(up_Bv!P22=0,".",((s_Ir*s_F*up_Bv!P22*(1-EXP(-up_RadSpec!AX22*s_t_b)))/(s_P*up_RadSpec!AX22))),".")</f>
        <v>993.50362303732038</v>
      </c>
      <c r="Q22" s="116">
        <f>IFERROR(IF(up_Bv!Q22=0,".",((s_Ir*s_F*up_Bv!Q22*(1-EXP(-up_RadSpec!AX22*s_t_b)))/(s_P*up_RadSpec!AX22))),".")</f>
        <v>993.50362303732038</v>
      </c>
      <c r="R22" s="116">
        <f>IFERROR(IF(up_Bv!R22=0,".",((s_Ir*s_F*up_Bv!R22*(1-EXP(-up_RadSpec!AX22*s_t_b)))/(s_P*up_RadSpec!AX22))),".")</f>
        <v>993.50362303732038</v>
      </c>
      <c r="S22" s="116">
        <f>IFERROR(IF(up_Bv!S22=0,".",((s_Ir*s_F*up_Bv!S22*(1-EXP(-up_RadSpec!AX22*s_t_b)))/(s_P*up_RadSpec!AX22))),".")</f>
        <v>993.50362303732038</v>
      </c>
      <c r="T22" s="116">
        <f>IFERROR(IF(up_Bv!T22=0,".",((s_Ir*s_F*up_Bv!T22*(1-EXP(-up_RadSpec!AX22*s_t_b)))/(s_P*up_RadSpec!AX22))),".")</f>
        <v>993.50362303732038</v>
      </c>
      <c r="U22" s="116">
        <f>IFERROR(IF(up_Bv!U22=0,".",((s_Ir*s_F*up_Bv!U22*(1-EXP(-up_RadSpec!AX22*s_t_b)))/(s_P*up_RadSpec!AX22))),".")</f>
        <v>993.50362303732038</v>
      </c>
      <c r="V22" s="116">
        <f>IFERROR(IF(up_Bv!V22=0,".",((s_Ir*s_F*up_Bv!V22*(1-EXP(-up_RadSpec!AX22*s_t_b)))/(s_P*up_RadSpec!AX22))),".")</f>
        <v>993.50362303732038</v>
      </c>
      <c r="W22" s="116">
        <f>IFERROR(IF(up_Bv!W22=0,".",((s_Ir*s_F*up_Bv!W22*(1-EXP(-up_RadSpec!AX22*s_t_b)))/(s_P*up_RadSpec!AX22))),".")</f>
        <v>993.50362303732038</v>
      </c>
      <c r="X22" s="116">
        <f>IFERROR(IF(up_Bv!X22=0,".",((s_Ir*s_F*up_Bv!X22*(1-EXP(-up_RadSpec!AX22*s_t_b)))/(s_P*up_RadSpec!AX22))),".")</f>
        <v>993.50362303732038</v>
      </c>
      <c r="Y22" s="116">
        <f>IFERROR(IF(up_Bv!Y22=0,".",((s_Ir*s_F*up_Bv!Y22*(1-EXP(-up_RadSpec!AX22*s_t_b)))/(s_P*up_RadSpec!AX22))),".")</f>
        <v>993.50362303732038</v>
      </c>
      <c r="Z22" s="116">
        <f>IFERROR(IF(up_Bv!Z22=0,".",((s_Ir*s_F*up_Bv!Z22*(1-EXP(-up_RadSpec!AX22*s_t_b)))/(s_P*up_RadSpec!AX22))),".")</f>
        <v>993.50362303732038</v>
      </c>
      <c r="AA22" s="116">
        <f>IFERROR(IF(up_Bv!C22=0,".",((s_Ir*s_F*s_MLF_apple*(1-EXP(-up_RadSpec!AX22*s_t_b)))/(s_P*up_RadSpec!AX22))),".")</f>
        <v>2.6824597822007652</v>
      </c>
      <c r="AB22" s="116">
        <f>IFERROR(IF(up_Bv!D22=0,".",((s_Ir*s_F*s_MLF_asparagus*(1-EXP(-up_RadSpec!AX22*s_t_b)))/(s_P*up_RadSpec!AX22))),".")</f>
        <v>2.6824597822007652</v>
      </c>
      <c r="AC22" s="116">
        <f>IFERROR(IF(up_Bv!E22=0,".",((s_Ir*s_F*s_MLF_beet*(1-EXP(-up_RadSpec!AX22*s_t_b)))/(s_P*up_RadSpec!AX22))),".")</f>
        <v>2.6824597822007652</v>
      </c>
      <c r="AD22" s="116">
        <f>IFERROR(IF(up_Bv!F22=0,".",((s_Ir*s_F*s_MLF_berries*(1-EXP(-up_RadSpec!AX22*s_t_b)))/(s_P*up_RadSpec!AX22))),".")</f>
        <v>2.6824597822007652</v>
      </c>
      <c r="AE22" s="116">
        <f>IFERROR(IF(up_Bv!G22=0,".",((s_Ir*s_F*s_MLF_broccoli*(1-EXP(-up_RadSpec!AX22*s_t_b)))/(s_P*up_RadSpec!AX22))),".")</f>
        <v>2.6824597822007652</v>
      </c>
      <c r="AF22" s="116">
        <f>IFERROR(IF(up_Bv!H22=0,".",((s_Ir*s_F*s_MLF_cabbage*(1-EXP(-up_RadSpec!AX22*s_t_b)))/(s_P*up_RadSpec!AX22))),".")</f>
        <v>2.6824597822007652</v>
      </c>
      <c r="AG22" s="116">
        <f>IFERROR(IF(up_Bv!I22=0,".",((s_Ir*s_F*s_MLF_carrot*(1-EXP(-up_RadSpec!AX22*s_t_b)))/(s_P*up_RadSpec!AX22))),".")</f>
        <v>2.6824597822007652</v>
      </c>
      <c r="AH22" s="116">
        <f>IFERROR(IF(up_Bv!J22=0,".",((s_Ir*s_F*s_MLF_citrus*(1-EXP(-up_RadSpec!AX22*s_t_b)))/(s_P*up_RadSpec!AX22))),".")</f>
        <v>2.6824597822007652</v>
      </c>
      <c r="AI22" s="116">
        <f>IFERROR(IF(up_Bv!K22=0,".",((s_Ir*s_F*s_MLF_corn*(1-EXP(-up_RadSpec!AX22*s_t_b)))/(s_P*up_RadSpec!AX22))),".")</f>
        <v>2.6824597822007652</v>
      </c>
      <c r="AJ22" s="116">
        <f>IFERROR(IF(up_Bv!L22=0,".",((s_Ir*s_F*s_MLF_cucumber*(1-EXP(-up_RadSpec!AX22*s_t_b)))/(s_P*up_RadSpec!AX22))),".")</f>
        <v>2.6824597822007652</v>
      </c>
      <c r="AK22" s="116">
        <f>IFERROR(IF(up_Bv!M22=0,".",((s_Ir*s_F*s_MLF_lettuce*(1-EXP(-up_RadSpec!AX22*s_t_b)))/(s_P*up_RadSpec!AX22))),".")</f>
        <v>2.6824597822007652</v>
      </c>
      <c r="AL22" s="116">
        <f>IFERROR(IF(up_Bv!N22=0,".",((s_Ir*s_F*s_MLF_lima_bean*(1-EXP(-up_RadSpec!AX22*s_t_b)))/(s_P*up_RadSpec!AX22))),".")</f>
        <v>2.6824597822007652</v>
      </c>
      <c r="AM22" s="116">
        <f>IFERROR(IF(up_Bv!O22=0,".",((s_Ir*s_F*s_MLF_okra*(1-EXP(-up_RadSpec!AX22*s_t_b)))/(s_P*up_RadSpec!AX22))),".")</f>
        <v>2.6824597822007652</v>
      </c>
      <c r="AN22" s="116">
        <f>IFERROR(IF(up_Bv!P22=0,".",((s_Ir*s_F*s_MLF_onion*(1-EXP(-up_RadSpec!AX22*s_t_b)))/(s_P*up_RadSpec!AX22))),".")</f>
        <v>2.6824597822007652</v>
      </c>
      <c r="AO22" s="116">
        <f>IFERROR(IF(up_Bv!Q22=0,".",((s_Ir*s_F*s_MLF_peach*(1-EXP(-up_RadSpec!AX22*s_t_b)))/(s_P*up_RadSpec!AX22))),".")</f>
        <v>2.6824597822007652</v>
      </c>
      <c r="AP22" s="116">
        <f>IFERROR(IF(up_Bv!R22=0,".",((s_Ir*s_F*s_MLF_pear*(1-EXP(-up_RadSpec!AX22*s_t_b)))/(s_P*up_RadSpec!AX22))),".")</f>
        <v>2.6824597822007652</v>
      </c>
      <c r="AQ22" s="116">
        <f>IFERROR(IF(up_Bv!S22=0,".",((s_Ir*s_F*s_MLF_peas*(1-EXP(-up_RadSpec!AX22*s_t_b)))/(s_P*up_RadSpec!AX22))),".")</f>
        <v>2.6824597822007652</v>
      </c>
      <c r="AR22" s="116">
        <f>IFERROR(IF(up_Bv!T22=0,".",((s_Ir*s_F*s_MLF_potato*(1-EXP(-up_RadSpec!AX22*s_t_b)))/(s_P*up_RadSpec!AX22))),".")</f>
        <v>2.6824597822007652</v>
      </c>
      <c r="AS22" s="116">
        <f>IFERROR(IF(up_Bv!U22=0,".",((s_Ir*s_F*s_MLF_pumpkin*(1-EXP(-up_RadSpec!AX22*s_t_b)))/(s_P*up_RadSpec!AX22))),".")</f>
        <v>2.6824597822007652</v>
      </c>
      <c r="AT22" s="116">
        <f>IFERROR(IF(up_Bv!V22=0,".",((s_Ir*s_F*s_MLF_snap_bean*(1-EXP(-up_RadSpec!AX22*s_t_b)))/(s_P*up_RadSpec!AX22))),".")</f>
        <v>2.6824597822007652</v>
      </c>
      <c r="AU22" s="116">
        <f>IFERROR(IF(up_Bv!W22=0,".",((s_Ir*s_F*s_MLF_strawberry*(1-EXP(-up_RadSpec!AX22*s_t_b)))/(s_P*up_RadSpec!AX22))),".")</f>
        <v>2.6824597822007652</v>
      </c>
      <c r="AV22" s="116">
        <f>IFERROR(IF(up_Bv!X22=0,".",((s_Ir*s_F*s_MLF_tomato*(1-EXP(-up_RadSpec!AX22*s_t_b)))/(s_P*up_RadSpec!AX22))),".")</f>
        <v>2.6824597822007652</v>
      </c>
      <c r="AW22" s="116">
        <f>IFERROR(IF(up_Bv!Y22=0,".",((s_Ir*s_F*s_MLF_rice*(1-EXP(-up_RadSpec!AX22*s_t_b)))/(s_P*up_RadSpec!AX22))),".")</f>
        <v>2.6824597822007652</v>
      </c>
      <c r="AX22" s="116">
        <f>IFERROR(IF(up_Bv!Z22=0,".",((s_Ir*s_F*s_MLF_cereal*(1-EXP(-up_RadSpec!AX22*s_t_b)))/(s_P*up_RadSpec!AX22))),".")</f>
        <v>2.6824597822007652</v>
      </c>
      <c r="AY22" s="116">
        <f>IFERROR(IF(up_Bv!C22=0,".",((s_Ir*s_F*s_I_f*s_T*(1-EXP(-up_RadSpec!AY22*s_t_v)))/(s_Y_v*up_RadSpec!AY22))),".")</f>
        <v>9.0143481925428208</v>
      </c>
      <c r="AZ22" s="116">
        <f>IFERROR(IF(up_Bv!D22=0,".",((s_Ir*s_F*s_I_f*s_T*(1-EXP(-up_RadSpec!AY22*s_t_v)))/(s_Y_v*up_RadSpec!AY22))),".")</f>
        <v>9.0143481925428208</v>
      </c>
      <c r="BA22" s="116">
        <f>IFERROR(IF(up_Bv!E22=0,".",((s_Ir*s_F*s_I_f*s_T*(1-EXP(-up_RadSpec!AY22*s_t_v)))/(s_Y_v*up_RadSpec!AY22))),".")</f>
        <v>9.0143481925428208</v>
      </c>
      <c r="BB22" s="116">
        <f>IFERROR(IF(up_Bv!F22=0,".",((s_Ir*s_F*s_I_f*s_T*(1-EXP(-up_RadSpec!AY22*s_t_v)))/(s_Y_v*up_RadSpec!AY22))),".")</f>
        <v>9.0143481925428208</v>
      </c>
      <c r="BC22" s="116">
        <f>IFERROR(IF(up_Bv!G22=0,".",((s_Ir*s_F*s_I_f*s_T*(1-EXP(-up_RadSpec!AY22*s_t_v)))/(s_Y_v*up_RadSpec!AY22))),".")</f>
        <v>9.0143481925428208</v>
      </c>
      <c r="BD22" s="116">
        <f>IFERROR(IF(up_Bv!H22=0,".",((s_Ir*s_F*s_I_f*s_T*(1-EXP(-up_RadSpec!AY22*s_t_v)))/(s_Y_v*up_RadSpec!AY22))),".")</f>
        <v>9.0143481925428208</v>
      </c>
      <c r="BE22" s="116">
        <f>IFERROR(IF(up_Bv!I22=0,".",((s_Ir*s_F*s_I_f*s_T*(1-EXP(-up_RadSpec!AY22*s_t_v)))/(s_Y_v*up_RadSpec!AY22))),".")</f>
        <v>9.0143481925428208</v>
      </c>
      <c r="BF22" s="116">
        <f>IFERROR(IF(up_Bv!J22=0,".",((s_Ir*s_F*s_I_f*s_T*(1-EXP(-up_RadSpec!AY22*s_t_v)))/(s_Y_v*up_RadSpec!AY22))),".")</f>
        <v>9.0143481925428208</v>
      </c>
      <c r="BG22" s="116">
        <f>IFERROR(IF(up_Bv!K22=0,".",((s_Ir*s_F*s_I_f*s_T*(1-EXP(-up_RadSpec!AY22*s_t_v)))/(s_Y_v*up_RadSpec!AY22))),".")</f>
        <v>9.0143481925428208</v>
      </c>
      <c r="BH22" s="116">
        <f>IFERROR(IF(up_Bv!L22=0,".",((s_Ir*s_F*s_I_f*s_T*(1-EXP(-up_RadSpec!AY22*s_t_v)))/(s_Y_v*up_RadSpec!AY22))),".")</f>
        <v>9.0143481925428208</v>
      </c>
      <c r="BI22" s="116">
        <f>IFERROR(IF(up_Bv!M22=0,".",((s_Ir*s_F*s_I_f*s_T*(1-EXP(-up_RadSpec!AY22*s_t_v)))/(s_Y_v*up_RadSpec!AY22))),".")</f>
        <v>9.0143481925428208</v>
      </c>
      <c r="BJ22" s="116">
        <f>IFERROR(IF(up_Bv!N22=0,".",((s_Ir*s_F*s_I_f*s_T*(1-EXP(-up_RadSpec!AY22*s_t_v)))/(s_Y_v*up_RadSpec!AY22))),".")</f>
        <v>9.0143481925428208</v>
      </c>
      <c r="BK22" s="116">
        <f>IFERROR(IF(up_Bv!O22=0,".",((s_Ir*s_F*s_I_f*s_T*(1-EXP(-up_RadSpec!AY22*s_t_v)))/(s_Y_v*up_RadSpec!AY22))),".")</f>
        <v>9.0143481925428208</v>
      </c>
      <c r="BL22" s="116">
        <f>IFERROR(IF(up_Bv!P22=0,".",((s_Ir*s_F*s_I_f*s_T*(1-EXP(-up_RadSpec!AY22*s_t_v)))/(s_Y_v*up_RadSpec!AY22))),".")</f>
        <v>9.0143481925428208</v>
      </c>
      <c r="BM22" s="116">
        <f>IFERROR(IF(up_Bv!Q22=0,".",((s_Ir*s_F*s_I_f*s_T*(1-EXP(-up_RadSpec!AY22*s_t_v)))/(s_Y_v*up_RadSpec!AY22))),".")</f>
        <v>9.0143481925428208</v>
      </c>
      <c r="BN22" s="116">
        <f>IFERROR(IF(up_Bv!R22=0,".",((s_Ir*s_F*s_I_f*s_T*(1-EXP(-up_RadSpec!AY22*s_t_v)))/(s_Y_v*up_RadSpec!AY22))),".")</f>
        <v>9.0143481925428208</v>
      </c>
      <c r="BO22" s="116">
        <f>IFERROR(IF(up_Bv!S22=0,".",((s_Ir*s_F*s_I_f*s_T*(1-EXP(-up_RadSpec!AY22*s_t_v)))/(s_Y_v*up_RadSpec!AY22))),".")</f>
        <v>9.0143481925428208</v>
      </c>
      <c r="BP22" s="116">
        <f>IFERROR(IF(up_Bv!T22=0,".",((s_Ir*s_F*s_I_f*s_T*(1-EXP(-up_RadSpec!AY22*s_t_v)))/(s_Y_v*up_RadSpec!AY22))),".")</f>
        <v>9.0143481925428208</v>
      </c>
      <c r="BQ22" s="116">
        <f>IFERROR(IF(up_Bv!U22=0,".",((s_Ir*s_F*s_I_f*s_T*(1-EXP(-up_RadSpec!AY22*s_t_v)))/(s_Y_v*up_RadSpec!AY22))),".")</f>
        <v>9.0143481925428208</v>
      </c>
      <c r="BR22" s="116">
        <f>IFERROR(IF(up_Bv!V22=0,".",((s_Ir*s_F*s_I_f*s_T*(1-EXP(-up_RadSpec!AY22*s_t_v)))/(s_Y_v*up_RadSpec!AY22))),".")</f>
        <v>9.0143481925428208</v>
      </c>
      <c r="BS22" s="116">
        <f>IFERROR(IF(up_Bv!W22=0,".",((s_Ir*s_F*s_I_f*s_T*(1-EXP(-up_RadSpec!AY22*s_t_v)))/(s_Y_v*up_RadSpec!AY22))),".")</f>
        <v>9.0143481925428208</v>
      </c>
      <c r="BT22" s="116">
        <f>IFERROR(IF(up_Bv!X22=0,".",((s_Ir*s_F*s_I_f*s_T*(1-EXP(-up_RadSpec!AY22*s_t_v)))/(s_Y_v*up_RadSpec!AY22))),".")</f>
        <v>9.0143481925428208</v>
      </c>
      <c r="BU22" s="116">
        <f>IFERROR(IF(up_Bv!Y22=0,".",((s_Ir*s_F*s_I_f*s_T*(1-EXP(-up_RadSpec!AY22*s_t_v)))/(s_Y_v*up_RadSpec!AY22))),".")</f>
        <v>9.0143481925428208</v>
      </c>
      <c r="BV22" s="116">
        <f>IFERROR(IF(up_Bv!Z22=0,".",((s_Ir*s_F*s_I_f*s_T*(1-EXP(-up_RadSpec!AY22*s_t_v)))/(s_Y_v*up_RadSpec!AY22))),".")</f>
        <v>9.0143481925428208</v>
      </c>
    </row>
    <row r="23" spans="1:74" x14ac:dyDescent="0.25">
      <c r="A23" s="46" t="s">
        <v>33</v>
      </c>
      <c r="B23" s="42" t="s">
        <v>351</v>
      </c>
      <c r="C23" s="116">
        <f>IFERROR(IF(up_Bv!C23=0,".",((s_Ir*s_F*up_Bv!C23*(1-EXP(-up_RadSpec!$AX23*s_t_b)))/(s_P*up_RadSpec!$AX23))),".")</f>
        <v>993.50362303732038</v>
      </c>
      <c r="D23" s="116">
        <f>IFERROR(IF(up_Bv!D23=0,".",((s_Ir*s_F*up_Bv!D23*(1-EXP(-up_RadSpec!AX23*s_t_b)))/(s_P*up_RadSpec!AX23))),".")</f>
        <v>993.50362303732038</v>
      </c>
      <c r="E23" s="116">
        <f>IFERROR(IF(up_Bv!E23=0,".",((s_Ir*s_F*up_Bv!E23*(1-EXP(-up_RadSpec!AX23*s_t_b)))/(s_P*up_RadSpec!AX23))),".")</f>
        <v>993.50362303732038</v>
      </c>
      <c r="F23" s="116">
        <f>IFERROR(IF(up_Bv!F23=0,".",((s_Ir*s_F*up_Bv!F23*(1-EXP(-up_RadSpec!AX23*s_t_b)))/(s_P*up_RadSpec!AX23))),".")</f>
        <v>993.50362303732038</v>
      </c>
      <c r="G23" s="116">
        <f>IFERROR(IF(up_Bv!G23=0,".",((s_Ir*s_F*up_Bv!G23*(1-EXP(-up_RadSpec!AX23*s_t_b)))/(s_P*up_RadSpec!AX23))),".")</f>
        <v>993.50362303732038</v>
      </c>
      <c r="H23" s="116">
        <f>IFERROR(IF(up_Bv!H23=0,".",((s_Ir*s_F*up_Bv!H23*(1-EXP(-up_RadSpec!AX23*s_t_b)))/(s_P*up_RadSpec!AX23))),".")</f>
        <v>993.50362303732038</v>
      </c>
      <c r="I23" s="116">
        <f>IFERROR(IF(up_Bv!I23=0,".",((s_Ir*s_F*up_Bv!I23*(1-EXP(-up_RadSpec!AX23*s_t_b)))/(s_P*up_RadSpec!AX23))),".")</f>
        <v>993.50362303732038</v>
      </c>
      <c r="J23" s="116">
        <f>IFERROR(IF(up_Bv!J23=0,".",((s_Ir*s_F*up_Bv!J23*(1-EXP(-up_RadSpec!AX23*s_t_b)))/(s_P*up_RadSpec!AX23))),".")</f>
        <v>993.50362303732038</v>
      </c>
      <c r="K23" s="116">
        <f>IFERROR(IF(up_Bv!K23=0,".",((s_Ir*s_F*up_Bv!K23*(1-EXP(-up_RadSpec!AX23*s_t_b)))/(s_P*up_RadSpec!AX23))),".")</f>
        <v>993.50362303732038</v>
      </c>
      <c r="L23" s="116">
        <f>IFERROR(IF(up_Bv!L23=0,".",((s_Ir*s_F*up_Bv!L23*(1-EXP(-up_RadSpec!AX23*s_t_b)))/(s_P*up_RadSpec!AX23))),".")</f>
        <v>993.50362303732038</v>
      </c>
      <c r="M23" s="116">
        <f>IFERROR(IF(up_Bv!M23=0,".",((s_Ir*s_F*up_Bv!M23*(1-EXP(-up_RadSpec!AX23*s_t_b)))/(s_P*up_RadSpec!AX23))),".")</f>
        <v>993.50362303732038</v>
      </c>
      <c r="N23" s="116">
        <f>IFERROR(IF(up_Bv!N23=0,".",((s_Ir*s_F*up_Bv!N23*(1-EXP(-up_RadSpec!AX23*s_t_b)))/(s_P*up_RadSpec!AX23))),".")</f>
        <v>993.50362303732038</v>
      </c>
      <c r="O23" s="116">
        <f>IFERROR(IF(up_Bv!O23=0,".",((s_Ir*s_F*up_Bv!O23*(1-EXP(-up_RadSpec!AX23*s_t_b)))/(s_P*up_RadSpec!AX23))),".")</f>
        <v>993.50362303732038</v>
      </c>
      <c r="P23" s="116">
        <f>IFERROR(IF(up_Bv!P23=0,".",((s_Ir*s_F*up_Bv!P23*(1-EXP(-up_RadSpec!AX23*s_t_b)))/(s_P*up_RadSpec!AX23))),".")</f>
        <v>993.50362303732038</v>
      </c>
      <c r="Q23" s="116">
        <f>IFERROR(IF(up_Bv!Q23=0,".",((s_Ir*s_F*up_Bv!Q23*(1-EXP(-up_RadSpec!AX23*s_t_b)))/(s_P*up_RadSpec!AX23))),".")</f>
        <v>993.50362303732038</v>
      </c>
      <c r="R23" s="116">
        <f>IFERROR(IF(up_Bv!R23=0,".",((s_Ir*s_F*up_Bv!R23*(1-EXP(-up_RadSpec!AX23*s_t_b)))/(s_P*up_RadSpec!AX23))),".")</f>
        <v>993.50362303732038</v>
      </c>
      <c r="S23" s="116">
        <f>IFERROR(IF(up_Bv!S23=0,".",((s_Ir*s_F*up_Bv!S23*(1-EXP(-up_RadSpec!AX23*s_t_b)))/(s_P*up_RadSpec!AX23))),".")</f>
        <v>993.50362303732038</v>
      </c>
      <c r="T23" s="116">
        <f>IFERROR(IF(up_Bv!T23=0,".",((s_Ir*s_F*up_Bv!T23*(1-EXP(-up_RadSpec!AX23*s_t_b)))/(s_P*up_RadSpec!AX23))),".")</f>
        <v>993.50362303732038</v>
      </c>
      <c r="U23" s="116">
        <f>IFERROR(IF(up_Bv!U23=0,".",((s_Ir*s_F*up_Bv!U23*(1-EXP(-up_RadSpec!AX23*s_t_b)))/(s_P*up_RadSpec!AX23))),".")</f>
        <v>993.50362303732038</v>
      </c>
      <c r="V23" s="116">
        <f>IFERROR(IF(up_Bv!V23=0,".",((s_Ir*s_F*up_Bv!V23*(1-EXP(-up_RadSpec!AX23*s_t_b)))/(s_P*up_RadSpec!AX23))),".")</f>
        <v>993.50362303732038</v>
      </c>
      <c r="W23" s="116">
        <f>IFERROR(IF(up_Bv!W23=0,".",((s_Ir*s_F*up_Bv!W23*(1-EXP(-up_RadSpec!AX23*s_t_b)))/(s_P*up_RadSpec!AX23))),".")</f>
        <v>993.50362303732038</v>
      </c>
      <c r="X23" s="116">
        <f>IFERROR(IF(up_Bv!X23=0,".",((s_Ir*s_F*up_Bv!X23*(1-EXP(-up_RadSpec!AX23*s_t_b)))/(s_P*up_RadSpec!AX23))),".")</f>
        <v>993.50362303732038</v>
      </c>
      <c r="Y23" s="116">
        <f>IFERROR(IF(up_Bv!Y23=0,".",((s_Ir*s_F*up_Bv!Y23*(1-EXP(-up_RadSpec!AX23*s_t_b)))/(s_P*up_RadSpec!AX23))),".")</f>
        <v>993.50362303732038</v>
      </c>
      <c r="Z23" s="116">
        <f>IFERROR(IF(up_Bv!Z23=0,".",((s_Ir*s_F*up_Bv!Z23*(1-EXP(-up_RadSpec!AX23*s_t_b)))/(s_P*up_RadSpec!AX23))),".")</f>
        <v>993.50362303732038</v>
      </c>
      <c r="AA23" s="116">
        <f>IFERROR(IF(up_Bv!C23=0,".",((s_Ir*s_F*s_MLF_apple*(1-EXP(-up_RadSpec!AX23*s_t_b)))/(s_P*up_RadSpec!AX23))),".")</f>
        <v>2.6824597822007652</v>
      </c>
      <c r="AB23" s="116">
        <f>IFERROR(IF(up_Bv!D23=0,".",((s_Ir*s_F*s_MLF_asparagus*(1-EXP(-up_RadSpec!AX23*s_t_b)))/(s_P*up_RadSpec!AX23))),".")</f>
        <v>2.6824597822007652</v>
      </c>
      <c r="AC23" s="116">
        <f>IFERROR(IF(up_Bv!E23=0,".",((s_Ir*s_F*s_MLF_beet*(1-EXP(-up_RadSpec!AX23*s_t_b)))/(s_P*up_RadSpec!AX23))),".")</f>
        <v>2.6824597822007652</v>
      </c>
      <c r="AD23" s="116">
        <f>IFERROR(IF(up_Bv!F23=0,".",((s_Ir*s_F*s_MLF_berries*(1-EXP(-up_RadSpec!AX23*s_t_b)))/(s_P*up_RadSpec!AX23))),".")</f>
        <v>2.6824597822007652</v>
      </c>
      <c r="AE23" s="116">
        <f>IFERROR(IF(up_Bv!G23=0,".",((s_Ir*s_F*s_MLF_broccoli*(1-EXP(-up_RadSpec!AX23*s_t_b)))/(s_P*up_RadSpec!AX23))),".")</f>
        <v>2.6824597822007652</v>
      </c>
      <c r="AF23" s="116">
        <f>IFERROR(IF(up_Bv!H23=0,".",((s_Ir*s_F*s_MLF_cabbage*(1-EXP(-up_RadSpec!AX23*s_t_b)))/(s_P*up_RadSpec!AX23))),".")</f>
        <v>2.6824597822007652</v>
      </c>
      <c r="AG23" s="116">
        <f>IFERROR(IF(up_Bv!I23=0,".",((s_Ir*s_F*s_MLF_carrot*(1-EXP(-up_RadSpec!AX23*s_t_b)))/(s_P*up_RadSpec!AX23))),".")</f>
        <v>2.6824597822007652</v>
      </c>
      <c r="AH23" s="116">
        <f>IFERROR(IF(up_Bv!J23=0,".",((s_Ir*s_F*s_MLF_citrus*(1-EXP(-up_RadSpec!AX23*s_t_b)))/(s_P*up_RadSpec!AX23))),".")</f>
        <v>2.6824597822007652</v>
      </c>
      <c r="AI23" s="116">
        <f>IFERROR(IF(up_Bv!K23=0,".",((s_Ir*s_F*s_MLF_corn*(1-EXP(-up_RadSpec!AX23*s_t_b)))/(s_P*up_RadSpec!AX23))),".")</f>
        <v>2.6824597822007652</v>
      </c>
      <c r="AJ23" s="116">
        <f>IFERROR(IF(up_Bv!L23=0,".",((s_Ir*s_F*s_MLF_cucumber*(1-EXP(-up_RadSpec!AX23*s_t_b)))/(s_P*up_RadSpec!AX23))),".")</f>
        <v>2.6824597822007652</v>
      </c>
      <c r="AK23" s="116">
        <f>IFERROR(IF(up_Bv!M23=0,".",((s_Ir*s_F*s_MLF_lettuce*(1-EXP(-up_RadSpec!AX23*s_t_b)))/(s_P*up_RadSpec!AX23))),".")</f>
        <v>2.6824597822007652</v>
      </c>
      <c r="AL23" s="116">
        <f>IFERROR(IF(up_Bv!N23=0,".",((s_Ir*s_F*s_MLF_lima_bean*(1-EXP(-up_RadSpec!AX23*s_t_b)))/(s_P*up_RadSpec!AX23))),".")</f>
        <v>2.6824597822007652</v>
      </c>
      <c r="AM23" s="116">
        <f>IFERROR(IF(up_Bv!O23=0,".",((s_Ir*s_F*s_MLF_okra*(1-EXP(-up_RadSpec!AX23*s_t_b)))/(s_P*up_RadSpec!AX23))),".")</f>
        <v>2.6824597822007652</v>
      </c>
      <c r="AN23" s="116">
        <f>IFERROR(IF(up_Bv!P23=0,".",((s_Ir*s_F*s_MLF_onion*(1-EXP(-up_RadSpec!AX23*s_t_b)))/(s_P*up_RadSpec!AX23))),".")</f>
        <v>2.6824597822007652</v>
      </c>
      <c r="AO23" s="116">
        <f>IFERROR(IF(up_Bv!Q23=0,".",((s_Ir*s_F*s_MLF_peach*(1-EXP(-up_RadSpec!AX23*s_t_b)))/(s_P*up_RadSpec!AX23))),".")</f>
        <v>2.6824597822007652</v>
      </c>
      <c r="AP23" s="116">
        <f>IFERROR(IF(up_Bv!R23=0,".",((s_Ir*s_F*s_MLF_pear*(1-EXP(-up_RadSpec!AX23*s_t_b)))/(s_P*up_RadSpec!AX23))),".")</f>
        <v>2.6824597822007652</v>
      </c>
      <c r="AQ23" s="116">
        <f>IFERROR(IF(up_Bv!S23=0,".",((s_Ir*s_F*s_MLF_peas*(1-EXP(-up_RadSpec!AX23*s_t_b)))/(s_P*up_RadSpec!AX23))),".")</f>
        <v>2.6824597822007652</v>
      </c>
      <c r="AR23" s="116">
        <f>IFERROR(IF(up_Bv!T23=0,".",((s_Ir*s_F*s_MLF_potato*(1-EXP(-up_RadSpec!AX23*s_t_b)))/(s_P*up_RadSpec!AX23))),".")</f>
        <v>2.6824597822007652</v>
      </c>
      <c r="AS23" s="116">
        <f>IFERROR(IF(up_Bv!U23=0,".",((s_Ir*s_F*s_MLF_pumpkin*(1-EXP(-up_RadSpec!AX23*s_t_b)))/(s_P*up_RadSpec!AX23))),".")</f>
        <v>2.6824597822007652</v>
      </c>
      <c r="AT23" s="116">
        <f>IFERROR(IF(up_Bv!V23=0,".",((s_Ir*s_F*s_MLF_snap_bean*(1-EXP(-up_RadSpec!AX23*s_t_b)))/(s_P*up_RadSpec!AX23))),".")</f>
        <v>2.6824597822007652</v>
      </c>
      <c r="AU23" s="116">
        <f>IFERROR(IF(up_Bv!W23=0,".",((s_Ir*s_F*s_MLF_strawberry*(1-EXP(-up_RadSpec!AX23*s_t_b)))/(s_P*up_RadSpec!AX23))),".")</f>
        <v>2.6824597822007652</v>
      </c>
      <c r="AV23" s="116">
        <f>IFERROR(IF(up_Bv!X23=0,".",((s_Ir*s_F*s_MLF_tomato*(1-EXP(-up_RadSpec!AX23*s_t_b)))/(s_P*up_RadSpec!AX23))),".")</f>
        <v>2.6824597822007652</v>
      </c>
      <c r="AW23" s="116">
        <f>IFERROR(IF(up_Bv!Y23=0,".",((s_Ir*s_F*s_MLF_rice*(1-EXP(-up_RadSpec!AX23*s_t_b)))/(s_P*up_RadSpec!AX23))),".")</f>
        <v>2.6824597822007652</v>
      </c>
      <c r="AX23" s="116">
        <f>IFERROR(IF(up_Bv!Z23=0,".",((s_Ir*s_F*s_MLF_cereal*(1-EXP(-up_RadSpec!AX23*s_t_b)))/(s_P*up_RadSpec!AX23))),".")</f>
        <v>2.6824597822007652</v>
      </c>
      <c r="AY23" s="116">
        <f>IFERROR(IF(up_Bv!C23=0,".",((s_Ir*s_F*s_I_f*s_T*(1-EXP(-up_RadSpec!AY23*s_t_v)))/(s_Y_v*up_RadSpec!AY23))),".")</f>
        <v>9.0143481925428208</v>
      </c>
      <c r="AZ23" s="116">
        <f>IFERROR(IF(up_Bv!D23=0,".",((s_Ir*s_F*s_I_f*s_T*(1-EXP(-up_RadSpec!AY23*s_t_v)))/(s_Y_v*up_RadSpec!AY23))),".")</f>
        <v>9.0143481925428208</v>
      </c>
      <c r="BA23" s="116">
        <f>IFERROR(IF(up_Bv!E23=0,".",((s_Ir*s_F*s_I_f*s_T*(1-EXP(-up_RadSpec!AY23*s_t_v)))/(s_Y_v*up_RadSpec!AY23))),".")</f>
        <v>9.0143481925428208</v>
      </c>
      <c r="BB23" s="116">
        <f>IFERROR(IF(up_Bv!F23=0,".",((s_Ir*s_F*s_I_f*s_T*(1-EXP(-up_RadSpec!AY23*s_t_v)))/(s_Y_v*up_RadSpec!AY23))),".")</f>
        <v>9.0143481925428208</v>
      </c>
      <c r="BC23" s="116">
        <f>IFERROR(IF(up_Bv!G23=0,".",((s_Ir*s_F*s_I_f*s_T*(1-EXP(-up_RadSpec!AY23*s_t_v)))/(s_Y_v*up_RadSpec!AY23))),".")</f>
        <v>9.0143481925428208</v>
      </c>
      <c r="BD23" s="116">
        <f>IFERROR(IF(up_Bv!H23=0,".",((s_Ir*s_F*s_I_f*s_T*(1-EXP(-up_RadSpec!AY23*s_t_v)))/(s_Y_v*up_RadSpec!AY23))),".")</f>
        <v>9.0143481925428208</v>
      </c>
      <c r="BE23" s="116">
        <f>IFERROR(IF(up_Bv!I23=0,".",((s_Ir*s_F*s_I_f*s_T*(1-EXP(-up_RadSpec!AY23*s_t_v)))/(s_Y_v*up_RadSpec!AY23))),".")</f>
        <v>9.0143481925428208</v>
      </c>
      <c r="BF23" s="116">
        <f>IFERROR(IF(up_Bv!J23=0,".",((s_Ir*s_F*s_I_f*s_T*(1-EXP(-up_RadSpec!AY23*s_t_v)))/(s_Y_v*up_RadSpec!AY23))),".")</f>
        <v>9.0143481925428208</v>
      </c>
      <c r="BG23" s="116">
        <f>IFERROR(IF(up_Bv!K23=0,".",((s_Ir*s_F*s_I_f*s_T*(1-EXP(-up_RadSpec!AY23*s_t_v)))/(s_Y_v*up_RadSpec!AY23))),".")</f>
        <v>9.0143481925428208</v>
      </c>
      <c r="BH23" s="116">
        <f>IFERROR(IF(up_Bv!L23=0,".",((s_Ir*s_F*s_I_f*s_T*(1-EXP(-up_RadSpec!AY23*s_t_v)))/(s_Y_v*up_RadSpec!AY23))),".")</f>
        <v>9.0143481925428208</v>
      </c>
      <c r="BI23" s="116">
        <f>IFERROR(IF(up_Bv!M23=0,".",((s_Ir*s_F*s_I_f*s_T*(1-EXP(-up_RadSpec!AY23*s_t_v)))/(s_Y_v*up_RadSpec!AY23))),".")</f>
        <v>9.0143481925428208</v>
      </c>
      <c r="BJ23" s="116">
        <f>IFERROR(IF(up_Bv!N23=0,".",((s_Ir*s_F*s_I_f*s_T*(1-EXP(-up_RadSpec!AY23*s_t_v)))/(s_Y_v*up_RadSpec!AY23))),".")</f>
        <v>9.0143481925428208</v>
      </c>
      <c r="BK23" s="116">
        <f>IFERROR(IF(up_Bv!O23=0,".",((s_Ir*s_F*s_I_f*s_T*(1-EXP(-up_RadSpec!AY23*s_t_v)))/(s_Y_v*up_RadSpec!AY23))),".")</f>
        <v>9.0143481925428208</v>
      </c>
      <c r="BL23" s="116">
        <f>IFERROR(IF(up_Bv!P23=0,".",((s_Ir*s_F*s_I_f*s_T*(1-EXP(-up_RadSpec!AY23*s_t_v)))/(s_Y_v*up_RadSpec!AY23))),".")</f>
        <v>9.0143481925428208</v>
      </c>
      <c r="BM23" s="116">
        <f>IFERROR(IF(up_Bv!Q23=0,".",((s_Ir*s_F*s_I_f*s_T*(1-EXP(-up_RadSpec!AY23*s_t_v)))/(s_Y_v*up_RadSpec!AY23))),".")</f>
        <v>9.0143481925428208</v>
      </c>
      <c r="BN23" s="116">
        <f>IFERROR(IF(up_Bv!R23=0,".",((s_Ir*s_F*s_I_f*s_T*(1-EXP(-up_RadSpec!AY23*s_t_v)))/(s_Y_v*up_RadSpec!AY23))),".")</f>
        <v>9.0143481925428208</v>
      </c>
      <c r="BO23" s="116">
        <f>IFERROR(IF(up_Bv!S23=0,".",((s_Ir*s_F*s_I_f*s_T*(1-EXP(-up_RadSpec!AY23*s_t_v)))/(s_Y_v*up_RadSpec!AY23))),".")</f>
        <v>9.0143481925428208</v>
      </c>
      <c r="BP23" s="116">
        <f>IFERROR(IF(up_Bv!T23=0,".",((s_Ir*s_F*s_I_f*s_T*(1-EXP(-up_RadSpec!AY23*s_t_v)))/(s_Y_v*up_RadSpec!AY23))),".")</f>
        <v>9.0143481925428208</v>
      </c>
      <c r="BQ23" s="116">
        <f>IFERROR(IF(up_Bv!U23=0,".",((s_Ir*s_F*s_I_f*s_T*(1-EXP(-up_RadSpec!AY23*s_t_v)))/(s_Y_v*up_RadSpec!AY23))),".")</f>
        <v>9.0143481925428208</v>
      </c>
      <c r="BR23" s="116">
        <f>IFERROR(IF(up_Bv!V23=0,".",((s_Ir*s_F*s_I_f*s_T*(1-EXP(-up_RadSpec!AY23*s_t_v)))/(s_Y_v*up_RadSpec!AY23))),".")</f>
        <v>9.0143481925428208</v>
      </c>
      <c r="BS23" s="116">
        <f>IFERROR(IF(up_Bv!W23=0,".",((s_Ir*s_F*s_I_f*s_T*(1-EXP(-up_RadSpec!AY23*s_t_v)))/(s_Y_v*up_RadSpec!AY23))),".")</f>
        <v>9.0143481925428208</v>
      </c>
      <c r="BT23" s="116">
        <f>IFERROR(IF(up_Bv!X23=0,".",((s_Ir*s_F*s_I_f*s_T*(1-EXP(-up_RadSpec!AY23*s_t_v)))/(s_Y_v*up_RadSpec!AY23))),".")</f>
        <v>9.0143481925428208</v>
      </c>
      <c r="BU23" s="116">
        <f>IFERROR(IF(up_Bv!Y23=0,".",((s_Ir*s_F*s_I_f*s_T*(1-EXP(-up_RadSpec!AY23*s_t_v)))/(s_Y_v*up_RadSpec!AY23))),".")</f>
        <v>9.0143481925428208</v>
      </c>
      <c r="BV23" s="116">
        <f>IFERROR(IF(up_Bv!Z23=0,".",((s_Ir*s_F*s_I_f*s_T*(1-EXP(-up_RadSpec!AY23*s_t_v)))/(s_Y_v*up_RadSpec!AY23))),".")</f>
        <v>9.0143481925428208</v>
      </c>
    </row>
    <row r="24" spans="1:74" x14ac:dyDescent="0.25">
      <c r="A24" s="44" t="s">
        <v>34</v>
      </c>
      <c r="B24" s="42" t="s">
        <v>1074</v>
      </c>
      <c r="C24" s="116">
        <f>IFERROR(IF(up_Bv!C24=0,".",((s_Ir*s_F*up_Bv!C24*(1-EXP(-up_RadSpec!$AX24*s_t_b)))/(s_P*up_RadSpec!$AX24))),".")</f>
        <v>993.50362303732038</v>
      </c>
      <c r="D24" s="116">
        <f>IFERROR(IF(up_Bv!D24=0,".",((s_Ir*s_F*up_Bv!D24*(1-EXP(-up_RadSpec!AX24*s_t_b)))/(s_P*up_RadSpec!AX24))),".")</f>
        <v>993.50362303732038</v>
      </c>
      <c r="E24" s="116">
        <f>IFERROR(IF(up_Bv!E24=0,".",((s_Ir*s_F*up_Bv!E24*(1-EXP(-up_RadSpec!AX24*s_t_b)))/(s_P*up_RadSpec!AX24))),".")</f>
        <v>993.50362303732038</v>
      </c>
      <c r="F24" s="116">
        <f>IFERROR(IF(up_Bv!F24=0,".",((s_Ir*s_F*up_Bv!F24*(1-EXP(-up_RadSpec!AX24*s_t_b)))/(s_P*up_RadSpec!AX24))),".")</f>
        <v>993.50362303732038</v>
      </c>
      <c r="G24" s="116">
        <f>IFERROR(IF(up_Bv!G24=0,".",((s_Ir*s_F*up_Bv!G24*(1-EXP(-up_RadSpec!AX24*s_t_b)))/(s_P*up_RadSpec!AX24))),".")</f>
        <v>993.50362303732038</v>
      </c>
      <c r="H24" s="116">
        <f>IFERROR(IF(up_Bv!H24=0,".",((s_Ir*s_F*up_Bv!H24*(1-EXP(-up_RadSpec!AX24*s_t_b)))/(s_P*up_RadSpec!AX24))),".")</f>
        <v>993.50362303732038</v>
      </c>
      <c r="I24" s="116">
        <f>IFERROR(IF(up_Bv!I24=0,".",((s_Ir*s_F*up_Bv!I24*(1-EXP(-up_RadSpec!AX24*s_t_b)))/(s_P*up_RadSpec!AX24))),".")</f>
        <v>993.50362303732038</v>
      </c>
      <c r="J24" s="116">
        <f>IFERROR(IF(up_Bv!J24=0,".",((s_Ir*s_F*up_Bv!J24*(1-EXP(-up_RadSpec!AX24*s_t_b)))/(s_P*up_RadSpec!AX24))),".")</f>
        <v>993.50362303732038</v>
      </c>
      <c r="K24" s="116">
        <f>IFERROR(IF(up_Bv!K24=0,".",((s_Ir*s_F*up_Bv!K24*(1-EXP(-up_RadSpec!AX24*s_t_b)))/(s_P*up_RadSpec!AX24))),".")</f>
        <v>993.50362303732038</v>
      </c>
      <c r="L24" s="116">
        <f>IFERROR(IF(up_Bv!L24=0,".",((s_Ir*s_F*up_Bv!L24*(1-EXP(-up_RadSpec!AX24*s_t_b)))/(s_P*up_RadSpec!AX24))),".")</f>
        <v>993.50362303732038</v>
      </c>
      <c r="M24" s="116">
        <f>IFERROR(IF(up_Bv!M24=0,".",((s_Ir*s_F*up_Bv!M24*(1-EXP(-up_RadSpec!AX24*s_t_b)))/(s_P*up_RadSpec!AX24))),".")</f>
        <v>993.50362303732038</v>
      </c>
      <c r="N24" s="116">
        <f>IFERROR(IF(up_Bv!N24=0,".",((s_Ir*s_F*up_Bv!N24*(1-EXP(-up_RadSpec!AX24*s_t_b)))/(s_P*up_RadSpec!AX24))),".")</f>
        <v>993.50362303732038</v>
      </c>
      <c r="O24" s="116">
        <f>IFERROR(IF(up_Bv!O24=0,".",((s_Ir*s_F*up_Bv!O24*(1-EXP(-up_RadSpec!AX24*s_t_b)))/(s_P*up_RadSpec!AX24))),".")</f>
        <v>993.50362303732038</v>
      </c>
      <c r="P24" s="116">
        <f>IFERROR(IF(up_Bv!P24=0,".",((s_Ir*s_F*up_Bv!P24*(1-EXP(-up_RadSpec!AX24*s_t_b)))/(s_P*up_RadSpec!AX24))),".")</f>
        <v>993.50362303732038</v>
      </c>
      <c r="Q24" s="116">
        <f>IFERROR(IF(up_Bv!Q24=0,".",((s_Ir*s_F*up_Bv!Q24*(1-EXP(-up_RadSpec!AX24*s_t_b)))/(s_P*up_RadSpec!AX24))),".")</f>
        <v>993.50362303732038</v>
      </c>
      <c r="R24" s="116">
        <f>IFERROR(IF(up_Bv!R24=0,".",((s_Ir*s_F*up_Bv!R24*(1-EXP(-up_RadSpec!AX24*s_t_b)))/(s_P*up_RadSpec!AX24))),".")</f>
        <v>993.50362303732038</v>
      </c>
      <c r="S24" s="116">
        <f>IFERROR(IF(up_Bv!S24=0,".",((s_Ir*s_F*up_Bv!S24*(1-EXP(-up_RadSpec!AX24*s_t_b)))/(s_P*up_RadSpec!AX24))),".")</f>
        <v>993.50362303732038</v>
      </c>
      <c r="T24" s="116">
        <f>IFERROR(IF(up_Bv!T24=0,".",((s_Ir*s_F*up_Bv!T24*(1-EXP(-up_RadSpec!AX24*s_t_b)))/(s_P*up_RadSpec!AX24))),".")</f>
        <v>993.50362303732038</v>
      </c>
      <c r="U24" s="116">
        <f>IFERROR(IF(up_Bv!U24=0,".",((s_Ir*s_F*up_Bv!U24*(1-EXP(-up_RadSpec!AX24*s_t_b)))/(s_P*up_RadSpec!AX24))),".")</f>
        <v>993.50362303732038</v>
      </c>
      <c r="V24" s="116">
        <f>IFERROR(IF(up_Bv!V24=0,".",((s_Ir*s_F*up_Bv!V24*(1-EXP(-up_RadSpec!AX24*s_t_b)))/(s_P*up_RadSpec!AX24))),".")</f>
        <v>993.50362303732038</v>
      </c>
      <c r="W24" s="116">
        <f>IFERROR(IF(up_Bv!W24=0,".",((s_Ir*s_F*up_Bv!W24*(1-EXP(-up_RadSpec!AX24*s_t_b)))/(s_P*up_RadSpec!AX24))),".")</f>
        <v>993.50362303732038</v>
      </c>
      <c r="X24" s="116">
        <f>IFERROR(IF(up_Bv!X24=0,".",((s_Ir*s_F*up_Bv!X24*(1-EXP(-up_RadSpec!AX24*s_t_b)))/(s_P*up_RadSpec!AX24))),".")</f>
        <v>993.50362303732038</v>
      </c>
      <c r="Y24" s="116">
        <f>IFERROR(IF(up_Bv!Y24=0,".",((s_Ir*s_F*up_Bv!Y24*(1-EXP(-up_RadSpec!AX24*s_t_b)))/(s_P*up_RadSpec!AX24))),".")</f>
        <v>993.50362303732038</v>
      </c>
      <c r="Z24" s="116">
        <f>IFERROR(IF(up_Bv!Z24=0,".",((s_Ir*s_F*up_Bv!Z24*(1-EXP(-up_RadSpec!AX24*s_t_b)))/(s_P*up_RadSpec!AX24))),".")</f>
        <v>993.50362303732038</v>
      </c>
      <c r="AA24" s="116">
        <f>IFERROR(IF(up_Bv!C24=0,".",((s_Ir*s_F*s_MLF_apple*(1-EXP(-up_RadSpec!AX24*s_t_b)))/(s_P*up_RadSpec!AX24))),".")</f>
        <v>2.6824597822007652</v>
      </c>
      <c r="AB24" s="116">
        <f>IFERROR(IF(up_Bv!D24=0,".",((s_Ir*s_F*s_MLF_asparagus*(1-EXP(-up_RadSpec!AX24*s_t_b)))/(s_P*up_RadSpec!AX24))),".")</f>
        <v>2.6824597822007652</v>
      </c>
      <c r="AC24" s="116">
        <f>IFERROR(IF(up_Bv!E24=0,".",((s_Ir*s_F*s_MLF_beet*(1-EXP(-up_RadSpec!AX24*s_t_b)))/(s_P*up_RadSpec!AX24))),".")</f>
        <v>2.6824597822007652</v>
      </c>
      <c r="AD24" s="116">
        <f>IFERROR(IF(up_Bv!F24=0,".",((s_Ir*s_F*s_MLF_berries*(1-EXP(-up_RadSpec!AX24*s_t_b)))/(s_P*up_RadSpec!AX24))),".")</f>
        <v>2.6824597822007652</v>
      </c>
      <c r="AE24" s="116">
        <f>IFERROR(IF(up_Bv!G24=0,".",((s_Ir*s_F*s_MLF_broccoli*(1-EXP(-up_RadSpec!AX24*s_t_b)))/(s_P*up_RadSpec!AX24))),".")</f>
        <v>2.6824597822007652</v>
      </c>
      <c r="AF24" s="116">
        <f>IFERROR(IF(up_Bv!H24=0,".",((s_Ir*s_F*s_MLF_cabbage*(1-EXP(-up_RadSpec!AX24*s_t_b)))/(s_P*up_RadSpec!AX24))),".")</f>
        <v>2.6824597822007652</v>
      </c>
      <c r="AG24" s="116">
        <f>IFERROR(IF(up_Bv!I24=0,".",((s_Ir*s_F*s_MLF_carrot*(1-EXP(-up_RadSpec!AX24*s_t_b)))/(s_P*up_RadSpec!AX24))),".")</f>
        <v>2.6824597822007652</v>
      </c>
      <c r="AH24" s="116">
        <f>IFERROR(IF(up_Bv!J24=0,".",((s_Ir*s_F*s_MLF_citrus*(1-EXP(-up_RadSpec!AX24*s_t_b)))/(s_P*up_RadSpec!AX24))),".")</f>
        <v>2.6824597822007652</v>
      </c>
      <c r="AI24" s="116">
        <f>IFERROR(IF(up_Bv!K24=0,".",((s_Ir*s_F*s_MLF_corn*(1-EXP(-up_RadSpec!AX24*s_t_b)))/(s_P*up_RadSpec!AX24))),".")</f>
        <v>2.6824597822007652</v>
      </c>
      <c r="AJ24" s="116">
        <f>IFERROR(IF(up_Bv!L24=0,".",((s_Ir*s_F*s_MLF_cucumber*(1-EXP(-up_RadSpec!AX24*s_t_b)))/(s_P*up_RadSpec!AX24))),".")</f>
        <v>2.6824597822007652</v>
      </c>
      <c r="AK24" s="116">
        <f>IFERROR(IF(up_Bv!M24=0,".",((s_Ir*s_F*s_MLF_lettuce*(1-EXP(-up_RadSpec!AX24*s_t_b)))/(s_P*up_RadSpec!AX24))),".")</f>
        <v>2.6824597822007652</v>
      </c>
      <c r="AL24" s="116">
        <f>IFERROR(IF(up_Bv!N24=0,".",((s_Ir*s_F*s_MLF_lima_bean*(1-EXP(-up_RadSpec!AX24*s_t_b)))/(s_P*up_RadSpec!AX24))),".")</f>
        <v>2.6824597822007652</v>
      </c>
      <c r="AM24" s="116">
        <f>IFERROR(IF(up_Bv!O24=0,".",((s_Ir*s_F*s_MLF_okra*(1-EXP(-up_RadSpec!AX24*s_t_b)))/(s_P*up_RadSpec!AX24))),".")</f>
        <v>2.6824597822007652</v>
      </c>
      <c r="AN24" s="116">
        <f>IFERROR(IF(up_Bv!P24=0,".",((s_Ir*s_F*s_MLF_onion*(1-EXP(-up_RadSpec!AX24*s_t_b)))/(s_P*up_RadSpec!AX24))),".")</f>
        <v>2.6824597822007652</v>
      </c>
      <c r="AO24" s="116">
        <f>IFERROR(IF(up_Bv!Q24=0,".",((s_Ir*s_F*s_MLF_peach*(1-EXP(-up_RadSpec!AX24*s_t_b)))/(s_P*up_RadSpec!AX24))),".")</f>
        <v>2.6824597822007652</v>
      </c>
      <c r="AP24" s="116">
        <f>IFERROR(IF(up_Bv!R24=0,".",((s_Ir*s_F*s_MLF_pear*(1-EXP(-up_RadSpec!AX24*s_t_b)))/(s_P*up_RadSpec!AX24))),".")</f>
        <v>2.6824597822007652</v>
      </c>
      <c r="AQ24" s="116">
        <f>IFERROR(IF(up_Bv!S24=0,".",((s_Ir*s_F*s_MLF_peas*(1-EXP(-up_RadSpec!AX24*s_t_b)))/(s_P*up_RadSpec!AX24))),".")</f>
        <v>2.6824597822007652</v>
      </c>
      <c r="AR24" s="116">
        <f>IFERROR(IF(up_Bv!T24=0,".",((s_Ir*s_F*s_MLF_potato*(1-EXP(-up_RadSpec!AX24*s_t_b)))/(s_P*up_RadSpec!AX24))),".")</f>
        <v>2.6824597822007652</v>
      </c>
      <c r="AS24" s="116">
        <f>IFERROR(IF(up_Bv!U24=0,".",((s_Ir*s_F*s_MLF_pumpkin*(1-EXP(-up_RadSpec!AX24*s_t_b)))/(s_P*up_RadSpec!AX24))),".")</f>
        <v>2.6824597822007652</v>
      </c>
      <c r="AT24" s="116">
        <f>IFERROR(IF(up_Bv!V24=0,".",((s_Ir*s_F*s_MLF_snap_bean*(1-EXP(-up_RadSpec!AX24*s_t_b)))/(s_P*up_RadSpec!AX24))),".")</f>
        <v>2.6824597822007652</v>
      </c>
      <c r="AU24" s="116">
        <f>IFERROR(IF(up_Bv!W24=0,".",((s_Ir*s_F*s_MLF_strawberry*(1-EXP(-up_RadSpec!AX24*s_t_b)))/(s_P*up_RadSpec!AX24))),".")</f>
        <v>2.6824597822007652</v>
      </c>
      <c r="AV24" s="116">
        <f>IFERROR(IF(up_Bv!X24=0,".",((s_Ir*s_F*s_MLF_tomato*(1-EXP(-up_RadSpec!AX24*s_t_b)))/(s_P*up_RadSpec!AX24))),".")</f>
        <v>2.6824597822007652</v>
      </c>
      <c r="AW24" s="116">
        <f>IFERROR(IF(up_Bv!Y24=0,".",((s_Ir*s_F*s_MLF_rice*(1-EXP(-up_RadSpec!AX24*s_t_b)))/(s_P*up_RadSpec!AX24))),".")</f>
        <v>2.6824597822007652</v>
      </c>
      <c r="AX24" s="116">
        <f>IFERROR(IF(up_Bv!Z24=0,".",((s_Ir*s_F*s_MLF_cereal*(1-EXP(-up_RadSpec!AX24*s_t_b)))/(s_P*up_RadSpec!AX24))),".")</f>
        <v>2.6824597822007652</v>
      </c>
      <c r="AY24" s="116">
        <f>IFERROR(IF(up_Bv!C24=0,".",((s_Ir*s_F*s_I_f*s_T*(1-EXP(-up_RadSpec!AY24*s_t_v)))/(s_Y_v*up_RadSpec!AY24))),".")</f>
        <v>9.0143481925428208</v>
      </c>
      <c r="AZ24" s="116">
        <f>IFERROR(IF(up_Bv!D24=0,".",((s_Ir*s_F*s_I_f*s_T*(1-EXP(-up_RadSpec!AY24*s_t_v)))/(s_Y_v*up_RadSpec!AY24))),".")</f>
        <v>9.0143481925428208</v>
      </c>
      <c r="BA24" s="116">
        <f>IFERROR(IF(up_Bv!E24=0,".",((s_Ir*s_F*s_I_f*s_T*(1-EXP(-up_RadSpec!AY24*s_t_v)))/(s_Y_v*up_RadSpec!AY24))),".")</f>
        <v>9.0143481925428208</v>
      </c>
      <c r="BB24" s="116">
        <f>IFERROR(IF(up_Bv!F24=0,".",((s_Ir*s_F*s_I_f*s_T*(1-EXP(-up_RadSpec!AY24*s_t_v)))/(s_Y_v*up_RadSpec!AY24))),".")</f>
        <v>9.0143481925428208</v>
      </c>
      <c r="BC24" s="116">
        <f>IFERROR(IF(up_Bv!G24=0,".",((s_Ir*s_F*s_I_f*s_T*(1-EXP(-up_RadSpec!AY24*s_t_v)))/(s_Y_v*up_RadSpec!AY24))),".")</f>
        <v>9.0143481925428208</v>
      </c>
      <c r="BD24" s="116">
        <f>IFERROR(IF(up_Bv!H24=0,".",((s_Ir*s_F*s_I_f*s_T*(1-EXP(-up_RadSpec!AY24*s_t_v)))/(s_Y_v*up_RadSpec!AY24))),".")</f>
        <v>9.0143481925428208</v>
      </c>
      <c r="BE24" s="116">
        <f>IFERROR(IF(up_Bv!I24=0,".",((s_Ir*s_F*s_I_f*s_T*(1-EXP(-up_RadSpec!AY24*s_t_v)))/(s_Y_v*up_RadSpec!AY24))),".")</f>
        <v>9.0143481925428208</v>
      </c>
      <c r="BF24" s="116">
        <f>IFERROR(IF(up_Bv!J24=0,".",((s_Ir*s_F*s_I_f*s_T*(1-EXP(-up_RadSpec!AY24*s_t_v)))/(s_Y_v*up_RadSpec!AY24))),".")</f>
        <v>9.0143481925428208</v>
      </c>
      <c r="BG24" s="116">
        <f>IFERROR(IF(up_Bv!K24=0,".",((s_Ir*s_F*s_I_f*s_T*(1-EXP(-up_RadSpec!AY24*s_t_v)))/(s_Y_v*up_RadSpec!AY24))),".")</f>
        <v>9.0143481925428208</v>
      </c>
      <c r="BH24" s="116">
        <f>IFERROR(IF(up_Bv!L24=0,".",((s_Ir*s_F*s_I_f*s_T*(1-EXP(-up_RadSpec!AY24*s_t_v)))/(s_Y_v*up_RadSpec!AY24))),".")</f>
        <v>9.0143481925428208</v>
      </c>
      <c r="BI24" s="116">
        <f>IFERROR(IF(up_Bv!M24=0,".",((s_Ir*s_F*s_I_f*s_T*(1-EXP(-up_RadSpec!AY24*s_t_v)))/(s_Y_v*up_RadSpec!AY24))),".")</f>
        <v>9.0143481925428208</v>
      </c>
      <c r="BJ24" s="116">
        <f>IFERROR(IF(up_Bv!N24=0,".",((s_Ir*s_F*s_I_f*s_T*(1-EXP(-up_RadSpec!AY24*s_t_v)))/(s_Y_v*up_RadSpec!AY24))),".")</f>
        <v>9.0143481925428208</v>
      </c>
      <c r="BK24" s="116">
        <f>IFERROR(IF(up_Bv!O24=0,".",((s_Ir*s_F*s_I_f*s_T*(1-EXP(-up_RadSpec!AY24*s_t_v)))/(s_Y_v*up_RadSpec!AY24))),".")</f>
        <v>9.0143481925428208</v>
      </c>
      <c r="BL24" s="116">
        <f>IFERROR(IF(up_Bv!P24=0,".",((s_Ir*s_F*s_I_f*s_T*(1-EXP(-up_RadSpec!AY24*s_t_v)))/(s_Y_v*up_RadSpec!AY24))),".")</f>
        <v>9.0143481925428208</v>
      </c>
      <c r="BM24" s="116">
        <f>IFERROR(IF(up_Bv!Q24=0,".",((s_Ir*s_F*s_I_f*s_T*(1-EXP(-up_RadSpec!AY24*s_t_v)))/(s_Y_v*up_RadSpec!AY24))),".")</f>
        <v>9.0143481925428208</v>
      </c>
      <c r="BN24" s="116">
        <f>IFERROR(IF(up_Bv!R24=0,".",((s_Ir*s_F*s_I_f*s_T*(1-EXP(-up_RadSpec!AY24*s_t_v)))/(s_Y_v*up_RadSpec!AY24))),".")</f>
        <v>9.0143481925428208</v>
      </c>
      <c r="BO24" s="116">
        <f>IFERROR(IF(up_Bv!S24=0,".",((s_Ir*s_F*s_I_f*s_T*(1-EXP(-up_RadSpec!AY24*s_t_v)))/(s_Y_v*up_RadSpec!AY24))),".")</f>
        <v>9.0143481925428208</v>
      </c>
      <c r="BP24" s="116">
        <f>IFERROR(IF(up_Bv!T24=0,".",((s_Ir*s_F*s_I_f*s_T*(1-EXP(-up_RadSpec!AY24*s_t_v)))/(s_Y_v*up_RadSpec!AY24))),".")</f>
        <v>9.0143481925428208</v>
      </c>
      <c r="BQ24" s="116">
        <f>IFERROR(IF(up_Bv!U24=0,".",((s_Ir*s_F*s_I_f*s_T*(1-EXP(-up_RadSpec!AY24*s_t_v)))/(s_Y_v*up_RadSpec!AY24))),".")</f>
        <v>9.0143481925428208</v>
      </c>
      <c r="BR24" s="116">
        <f>IFERROR(IF(up_Bv!V24=0,".",((s_Ir*s_F*s_I_f*s_T*(1-EXP(-up_RadSpec!AY24*s_t_v)))/(s_Y_v*up_RadSpec!AY24))),".")</f>
        <v>9.0143481925428208</v>
      </c>
      <c r="BS24" s="116">
        <f>IFERROR(IF(up_Bv!W24=0,".",((s_Ir*s_F*s_I_f*s_T*(1-EXP(-up_RadSpec!AY24*s_t_v)))/(s_Y_v*up_RadSpec!AY24))),".")</f>
        <v>9.0143481925428208</v>
      </c>
      <c r="BT24" s="116">
        <f>IFERROR(IF(up_Bv!X24=0,".",((s_Ir*s_F*s_I_f*s_T*(1-EXP(-up_RadSpec!AY24*s_t_v)))/(s_Y_v*up_RadSpec!AY24))),".")</f>
        <v>9.0143481925428208</v>
      </c>
      <c r="BU24" s="116">
        <f>IFERROR(IF(up_Bv!Y24=0,".",((s_Ir*s_F*s_I_f*s_T*(1-EXP(-up_RadSpec!AY24*s_t_v)))/(s_Y_v*up_RadSpec!AY24))),".")</f>
        <v>9.0143481925428208</v>
      </c>
      <c r="BV24" s="116">
        <f>IFERROR(IF(up_Bv!Z24=0,".",((s_Ir*s_F*s_I_f*s_T*(1-EXP(-up_RadSpec!AY24*s_t_v)))/(s_Y_v*up_RadSpec!AY24))),".")</f>
        <v>9.0143481925428208</v>
      </c>
    </row>
    <row r="25" spans="1:74" x14ac:dyDescent="0.25">
      <c r="A25" s="46" t="s">
        <v>35</v>
      </c>
      <c r="B25" s="42" t="s">
        <v>351</v>
      </c>
      <c r="C25" s="116">
        <f>IFERROR(IF(up_Bv!C25=0,".",((s_Ir*s_F*up_Bv!C25*(1-EXP(-up_RadSpec!$AX25*s_t_b)))/(s_P*up_RadSpec!$AX25))),".")</f>
        <v>993.50362303732038</v>
      </c>
      <c r="D25" s="116">
        <f>IFERROR(IF(up_Bv!D25=0,".",((s_Ir*s_F*up_Bv!D25*(1-EXP(-up_RadSpec!AX25*s_t_b)))/(s_P*up_RadSpec!AX25))),".")</f>
        <v>993.50362303732038</v>
      </c>
      <c r="E25" s="116">
        <f>IFERROR(IF(up_Bv!E25=0,".",((s_Ir*s_F*up_Bv!E25*(1-EXP(-up_RadSpec!AX25*s_t_b)))/(s_P*up_RadSpec!AX25))),".")</f>
        <v>993.50362303732038</v>
      </c>
      <c r="F25" s="116">
        <f>IFERROR(IF(up_Bv!F25=0,".",((s_Ir*s_F*up_Bv!F25*(1-EXP(-up_RadSpec!AX25*s_t_b)))/(s_P*up_RadSpec!AX25))),".")</f>
        <v>993.50362303732038</v>
      </c>
      <c r="G25" s="116">
        <f>IFERROR(IF(up_Bv!G25=0,".",((s_Ir*s_F*up_Bv!G25*(1-EXP(-up_RadSpec!AX25*s_t_b)))/(s_P*up_RadSpec!AX25))),".")</f>
        <v>993.50362303732038</v>
      </c>
      <c r="H25" s="116">
        <f>IFERROR(IF(up_Bv!H25=0,".",((s_Ir*s_F*up_Bv!H25*(1-EXP(-up_RadSpec!AX25*s_t_b)))/(s_P*up_RadSpec!AX25))),".")</f>
        <v>993.50362303732038</v>
      </c>
      <c r="I25" s="116">
        <f>IFERROR(IF(up_Bv!I25=0,".",((s_Ir*s_F*up_Bv!I25*(1-EXP(-up_RadSpec!AX25*s_t_b)))/(s_P*up_RadSpec!AX25))),".")</f>
        <v>993.50362303732038</v>
      </c>
      <c r="J25" s="116">
        <f>IFERROR(IF(up_Bv!J25=0,".",((s_Ir*s_F*up_Bv!J25*(1-EXP(-up_RadSpec!AX25*s_t_b)))/(s_P*up_RadSpec!AX25))),".")</f>
        <v>993.50362303732038</v>
      </c>
      <c r="K25" s="116">
        <f>IFERROR(IF(up_Bv!K25=0,".",((s_Ir*s_F*up_Bv!K25*(1-EXP(-up_RadSpec!AX25*s_t_b)))/(s_P*up_RadSpec!AX25))),".")</f>
        <v>993.50362303732038</v>
      </c>
      <c r="L25" s="116">
        <f>IFERROR(IF(up_Bv!L25=0,".",((s_Ir*s_F*up_Bv!L25*(1-EXP(-up_RadSpec!AX25*s_t_b)))/(s_P*up_RadSpec!AX25))),".")</f>
        <v>993.50362303732038</v>
      </c>
      <c r="M25" s="116">
        <f>IFERROR(IF(up_Bv!M25=0,".",((s_Ir*s_F*up_Bv!M25*(1-EXP(-up_RadSpec!AX25*s_t_b)))/(s_P*up_RadSpec!AX25))),".")</f>
        <v>993.50362303732038</v>
      </c>
      <c r="N25" s="116">
        <f>IFERROR(IF(up_Bv!N25=0,".",((s_Ir*s_F*up_Bv!N25*(1-EXP(-up_RadSpec!AX25*s_t_b)))/(s_P*up_RadSpec!AX25))),".")</f>
        <v>993.50362303732038</v>
      </c>
      <c r="O25" s="116">
        <f>IFERROR(IF(up_Bv!O25=0,".",((s_Ir*s_F*up_Bv!O25*(1-EXP(-up_RadSpec!AX25*s_t_b)))/(s_P*up_RadSpec!AX25))),".")</f>
        <v>993.50362303732038</v>
      </c>
      <c r="P25" s="116">
        <f>IFERROR(IF(up_Bv!P25=0,".",((s_Ir*s_F*up_Bv!P25*(1-EXP(-up_RadSpec!AX25*s_t_b)))/(s_P*up_RadSpec!AX25))),".")</f>
        <v>993.50362303732038</v>
      </c>
      <c r="Q25" s="116">
        <f>IFERROR(IF(up_Bv!Q25=0,".",((s_Ir*s_F*up_Bv!Q25*(1-EXP(-up_RadSpec!AX25*s_t_b)))/(s_P*up_RadSpec!AX25))),".")</f>
        <v>993.50362303732038</v>
      </c>
      <c r="R25" s="116">
        <f>IFERROR(IF(up_Bv!R25=0,".",((s_Ir*s_F*up_Bv!R25*(1-EXP(-up_RadSpec!AX25*s_t_b)))/(s_P*up_RadSpec!AX25))),".")</f>
        <v>993.50362303732038</v>
      </c>
      <c r="S25" s="116">
        <f>IFERROR(IF(up_Bv!S25=0,".",((s_Ir*s_F*up_Bv!S25*(1-EXP(-up_RadSpec!AX25*s_t_b)))/(s_P*up_RadSpec!AX25))),".")</f>
        <v>993.50362303732038</v>
      </c>
      <c r="T25" s="116">
        <f>IFERROR(IF(up_Bv!T25=0,".",((s_Ir*s_F*up_Bv!T25*(1-EXP(-up_RadSpec!AX25*s_t_b)))/(s_P*up_RadSpec!AX25))),".")</f>
        <v>993.50362303732038</v>
      </c>
      <c r="U25" s="116">
        <f>IFERROR(IF(up_Bv!U25=0,".",((s_Ir*s_F*up_Bv!U25*(1-EXP(-up_RadSpec!AX25*s_t_b)))/(s_P*up_RadSpec!AX25))),".")</f>
        <v>993.50362303732038</v>
      </c>
      <c r="V25" s="116">
        <f>IFERROR(IF(up_Bv!V25=0,".",((s_Ir*s_F*up_Bv!V25*(1-EXP(-up_RadSpec!AX25*s_t_b)))/(s_P*up_RadSpec!AX25))),".")</f>
        <v>993.50362303732038</v>
      </c>
      <c r="W25" s="116">
        <f>IFERROR(IF(up_Bv!W25=0,".",((s_Ir*s_F*up_Bv!W25*(1-EXP(-up_RadSpec!AX25*s_t_b)))/(s_P*up_RadSpec!AX25))),".")</f>
        <v>993.50362303732038</v>
      </c>
      <c r="X25" s="116">
        <f>IFERROR(IF(up_Bv!X25=0,".",((s_Ir*s_F*up_Bv!X25*(1-EXP(-up_RadSpec!AX25*s_t_b)))/(s_P*up_RadSpec!AX25))),".")</f>
        <v>993.50362303732038</v>
      </c>
      <c r="Y25" s="116">
        <f>IFERROR(IF(up_Bv!Y25=0,".",((s_Ir*s_F*up_Bv!Y25*(1-EXP(-up_RadSpec!AX25*s_t_b)))/(s_P*up_RadSpec!AX25))),".")</f>
        <v>993.50362303732038</v>
      </c>
      <c r="Z25" s="116">
        <f>IFERROR(IF(up_Bv!Z25=0,".",((s_Ir*s_F*up_Bv!Z25*(1-EXP(-up_RadSpec!AX25*s_t_b)))/(s_P*up_RadSpec!AX25))),".")</f>
        <v>993.50362303732038</v>
      </c>
      <c r="AA25" s="116">
        <f>IFERROR(IF(up_Bv!C25=0,".",((s_Ir*s_F*s_MLF_apple*(1-EXP(-up_RadSpec!AX25*s_t_b)))/(s_P*up_RadSpec!AX25))),".")</f>
        <v>2.6824597822007652</v>
      </c>
      <c r="AB25" s="116">
        <f>IFERROR(IF(up_Bv!D25=0,".",((s_Ir*s_F*s_MLF_asparagus*(1-EXP(-up_RadSpec!AX25*s_t_b)))/(s_P*up_RadSpec!AX25))),".")</f>
        <v>2.6824597822007652</v>
      </c>
      <c r="AC25" s="116">
        <f>IFERROR(IF(up_Bv!E25=0,".",((s_Ir*s_F*s_MLF_beet*(1-EXP(-up_RadSpec!AX25*s_t_b)))/(s_P*up_RadSpec!AX25))),".")</f>
        <v>2.6824597822007652</v>
      </c>
      <c r="AD25" s="116">
        <f>IFERROR(IF(up_Bv!F25=0,".",((s_Ir*s_F*s_MLF_berries*(1-EXP(-up_RadSpec!AX25*s_t_b)))/(s_P*up_RadSpec!AX25))),".")</f>
        <v>2.6824597822007652</v>
      </c>
      <c r="AE25" s="116">
        <f>IFERROR(IF(up_Bv!G25=0,".",((s_Ir*s_F*s_MLF_broccoli*(1-EXP(-up_RadSpec!AX25*s_t_b)))/(s_P*up_RadSpec!AX25))),".")</f>
        <v>2.6824597822007652</v>
      </c>
      <c r="AF25" s="116">
        <f>IFERROR(IF(up_Bv!H25=0,".",((s_Ir*s_F*s_MLF_cabbage*(1-EXP(-up_RadSpec!AX25*s_t_b)))/(s_P*up_RadSpec!AX25))),".")</f>
        <v>2.6824597822007652</v>
      </c>
      <c r="AG25" s="116">
        <f>IFERROR(IF(up_Bv!I25=0,".",((s_Ir*s_F*s_MLF_carrot*(1-EXP(-up_RadSpec!AX25*s_t_b)))/(s_P*up_RadSpec!AX25))),".")</f>
        <v>2.6824597822007652</v>
      </c>
      <c r="AH25" s="116">
        <f>IFERROR(IF(up_Bv!J25=0,".",((s_Ir*s_F*s_MLF_citrus*(1-EXP(-up_RadSpec!AX25*s_t_b)))/(s_P*up_RadSpec!AX25))),".")</f>
        <v>2.6824597822007652</v>
      </c>
      <c r="AI25" s="116">
        <f>IFERROR(IF(up_Bv!K25=0,".",((s_Ir*s_F*s_MLF_corn*(1-EXP(-up_RadSpec!AX25*s_t_b)))/(s_P*up_RadSpec!AX25))),".")</f>
        <v>2.6824597822007652</v>
      </c>
      <c r="AJ25" s="116">
        <f>IFERROR(IF(up_Bv!L25=0,".",((s_Ir*s_F*s_MLF_cucumber*(1-EXP(-up_RadSpec!AX25*s_t_b)))/(s_P*up_RadSpec!AX25))),".")</f>
        <v>2.6824597822007652</v>
      </c>
      <c r="AK25" s="116">
        <f>IFERROR(IF(up_Bv!M25=0,".",((s_Ir*s_F*s_MLF_lettuce*(1-EXP(-up_RadSpec!AX25*s_t_b)))/(s_P*up_RadSpec!AX25))),".")</f>
        <v>2.6824597822007652</v>
      </c>
      <c r="AL25" s="116">
        <f>IFERROR(IF(up_Bv!N25=0,".",((s_Ir*s_F*s_MLF_lima_bean*(1-EXP(-up_RadSpec!AX25*s_t_b)))/(s_P*up_RadSpec!AX25))),".")</f>
        <v>2.6824597822007652</v>
      </c>
      <c r="AM25" s="116">
        <f>IFERROR(IF(up_Bv!O25=0,".",((s_Ir*s_F*s_MLF_okra*(1-EXP(-up_RadSpec!AX25*s_t_b)))/(s_P*up_RadSpec!AX25))),".")</f>
        <v>2.6824597822007652</v>
      </c>
      <c r="AN25" s="116">
        <f>IFERROR(IF(up_Bv!P25=0,".",((s_Ir*s_F*s_MLF_onion*(1-EXP(-up_RadSpec!AX25*s_t_b)))/(s_P*up_RadSpec!AX25))),".")</f>
        <v>2.6824597822007652</v>
      </c>
      <c r="AO25" s="116">
        <f>IFERROR(IF(up_Bv!Q25=0,".",((s_Ir*s_F*s_MLF_peach*(1-EXP(-up_RadSpec!AX25*s_t_b)))/(s_P*up_RadSpec!AX25))),".")</f>
        <v>2.6824597822007652</v>
      </c>
      <c r="AP25" s="116">
        <f>IFERROR(IF(up_Bv!R25=0,".",((s_Ir*s_F*s_MLF_pear*(1-EXP(-up_RadSpec!AX25*s_t_b)))/(s_P*up_RadSpec!AX25))),".")</f>
        <v>2.6824597822007652</v>
      </c>
      <c r="AQ25" s="116">
        <f>IFERROR(IF(up_Bv!S25=0,".",((s_Ir*s_F*s_MLF_peas*(1-EXP(-up_RadSpec!AX25*s_t_b)))/(s_P*up_RadSpec!AX25))),".")</f>
        <v>2.6824597822007652</v>
      </c>
      <c r="AR25" s="116">
        <f>IFERROR(IF(up_Bv!T25=0,".",((s_Ir*s_F*s_MLF_potato*(1-EXP(-up_RadSpec!AX25*s_t_b)))/(s_P*up_RadSpec!AX25))),".")</f>
        <v>2.6824597822007652</v>
      </c>
      <c r="AS25" s="116">
        <f>IFERROR(IF(up_Bv!U25=0,".",((s_Ir*s_F*s_MLF_pumpkin*(1-EXP(-up_RadSpec!AX25*s_t_b)))/(s_P*up_RadSpec!AX25))),".")</f>
        <v>2.6824597822007652</v>
      </c>
      <c r="AT25" s="116">
        <f>IFERROR(IF(up_Bv!V25=0,".",((s_Ir*s_F*s_MLF_snap_bean*(1-EXP(-up_RadSpec!AX25*s_t_b)))/(s_P*up_RadSpec!AX25))),".")</f>
        <v>2.6824597822007652</v>
      </c>
      <c r="AU25" s="116">
        <f>IFERROR(IF(up_Bv!W25=0,".",((s_Ir*s_F*s_MLF_strawberry*(1-EXP(-up_RadSpec!AX25*s_t_b)))/(s_P*up_RadSpec!AX25))),".")</f>
        <v>2.6824597822007652</v>
      </c>
      <c r="AV25" s="116">
        <f>IFERROR(IF(up_Bv!X25=0,".",((s_Ir*s_F*s_MLF_tomato*(1-EXP(-up_RadSpec!AX25*s_t_b)))/(s_P*up_RadSpec!AX25))),".")</f>
        <v>2.6824597822007652</v>
      </c>
      <c r="AW25" s="116">
        <f>IFERROR(IF(up_Bv!Y25=0,".",((s_Ir*s_F*s_MLF_rice*(1-EXP(-up_RadSpec!AX25*s_t_b)))/(s_P*up_RadSpec!AX25))),".")</f>
        <v>2.6824597822007652</v>
      </c>
      <c r="AX25" s="116">
        <f>IFERROR(IF(up_Bv!Z25=0,".",((s_Ir*s_F*s_MLF_cereal*(1-EXP(-up_RadSpec!AX25*s_t_b)))/(s_P*up_RadSpec!AX25))),".")</f>
        <v>2.6824597822007652</v>
      </c>
      <c r="AY25" s="116">
        <f>IFERROR(IF(up_Bv!C25=0,".",((s_Ir*s_F*s_I_f*s_T*(1-EXP(-up_RadSpec!AY25*s_t_v)))/(s_Y_v*up_RadSpec!AY25))),".")</f>
        <v>9.0143481925428208</v>
      </c>
      <c r="AZ25" s="116">
        <f>IFERROR(IF(up_Bv!D25=0,".",((s_Ir*s_F*s_I_f*s_T*(1-EXP(-up_RadSpec!AY25*s_t_v)))/(s_Y_v*up_RadSpec!AY25))),".")</f>
        <v>9.0143481925428208</v>
      </c>
      <c r="BA25" s="116">
        <f>IFERROR(IF(up_Bv!E25=0,".",((s_Ir*s_F*s_I_f*s_T*(1-EXP(-up_RadSpec!AY25*s_t_v)))/(s_Y_v*up_RadSpec!AY25))),".")</f>
        <v>9.0143481925428208</v>
      </c>
      <c r="BB25" s="116">
        <f>IFERROR(IF(up_Bv!F25=0,".",((s_Ir*s_F*s_I_f*s_T*(1-EXP(-up_RadSpec!AY25*s_t_v)))/(s_Y_v*up_RadSpec!AY25))),".")</f>
        <v>9.0143481925428208</v>
      </c>
      <c r="BC25" s="116">
        <f>IFERROR(IF(up_Bv!G25=0,".",((s_Ir*s_F*s_I_f*s_T*(1-EXP(-up_RadSpec!AY25*s_t_v)))/(s_Y_v*up_RadSpec!AY25))),".")</f>
        <v>9.0143481925428208</v>
      </c>
      <c r="BD25" s="116">
        <f>IFERROR(IF(up_Bv!H25=0,".",((s_Ir*s_F*s_I_f*s_T*(1-EXP(-up_RadSpec!AY25*s_t_v)))/(s_Y_v*up_RadSpec!AY25))),".")</f>
        <v>9.0143481925428208</v>
      </c>
      <c r="BE25" s="116">
        <f>IFERROR(IF(up_Bv!I25=0,".",((s_Ir*s_F*s_I_f*s_T*(1-EXP(-up_RadSpec!AY25*s_t_v)))/(s_Y_v*up_RadSpec!AY25))),".")</f>
        <v>9.0143481925428208</v>
      </c>
      <c r="BF25" s="116">
        <f>IFERROR(IF(up_Bv!J25=0,".",((s_Ir*s_F*s_I_f*s_T*(1-EXP(-up_RadSpec!AY25*s_t_v)))/(s_Y_v*up_RadSpec!AY25))),".")</f>
        <v>9.0143481925428208</v>
      </c>
      <c r="BG25" s="116">
        <f>IFERROR(IF(up_Bv!K25=0,".",((s_Ir*s_F*s_I_f*s_T*(1-EXP(-up_RadSpec!AY25*s_t_v)))/(s_Y_v*up_RadSpec!AY25))),".")</f>
        <v>9.0143481925428208</v>
      </c>
      <c r="BH25" s="116">
        <f>IFERROR(IF(up_Bv!L25=0,".",((s_Ir*s_F*s_I_f*s_T*(1-EXP(-up_RadSpec!AY25*s_t_v)))/(s_Y_v*up_RadSpec!AY25))),".")</f>
        <v>9.0143481925428208</v>
      </c>
      <c r="BI25" s="116">
        <f>IFERROR(IF(up_Bv!M25=0,".",((s_Ir*s_F*s_I_f*s_T*(1-EXP(-up_RadSpec!AY25*s_t_v)))/(s_Y_v*up_RadSpec!AY25))),".")</f>
        <v>9.0143481925428208</v>
      </c>
      <c r="BJ25" s="116">
        <f>IFERROR(IF(up_Bv!N25=0,".",((s_Ir*s_F*s_I_f*s_T*(1-EXP(-up_RadSpec!AY25*s_t_v)))/(s_Y_v*up_RadSpec!AY25))),".")</f>
        <v>9.0143481925428208</v>
      </c>
      <c r="BK25" s="116">
        <f>IFERROR(IF(up_Bv!O25=0,".",((s_Ir*s_F*s_I_f*s_T*(1-EXP(-up_RadSpec!AY25*s_t_v)))/(s_Y_v*up_RadSpec!AY25))),".")</f>
        <v>9.0143481925428208</v>
      </c>
      <c r="BL25" s="116">
        <f>IFERROR(IF(up_Bv!P25=0,".",((s_Ir*s_F*s_I_f*s_T*(1-EXP(-up_RadSpec!AY25*s_t_v)))/(s_Y_v*up_RadSpec!AY25))),".")</f>
        <v>9.0143481925428208</v>
      </c>
      <c r="BM25" s="116">
        <f>IFERROR(IF(up_Bv!Q25=0,".",((s_Ir*s_F*s_I_f*s_T*(1-EXP(-up_RadSpec!AY25*s_t_v)))/(s_Y_v*up_RadSpec!AY25))),".")</f>
        <v>9.0143481925428208</v>
      </c>
      <c r="BN25" s="116">
        <f>IFERROR(IF(up_Bv!R25=0,".",((s_Ir*s_F*s_I_f*s_T*(1-EXP(-up_RadSpec!AY25*s_t_v)))/(s_Y_v*up_RadSpec!AY25))),".")</f>
        <v>9.0143481925428208</v>
      </c>
      <c r="BO25" s="116">
        <f>IFERROR(IF(up_Bv!S25=0,".",((s_Ir*s_F*s_I_f*s_T*(1-EXP(-up_RadSpec!AY25*s_t_v)))/(s_Y_v*up_RadSpec!AY25))),".")</f>
        <v>9.0143481925428208</v>
      </c>
      <c r="BP25" s="116">
        <f>IFERROR(IF(up_Bv!T25=0,".",((s_Ir*s_F*s_I_f*s_T*(1-EXP(-up_RadSpec!AY25*s_t_v)))/(s_Y_v*up_RadSpec!AY25))),".")</f>
        <v>9.0143481925428208</v>
      </c>
      <c r="BQ25" s="116">
        <f>IFERROR(IF(up_Bv!U25=0,".",((s_Ir*s_F*s_I_f*s_T*(1-EXP(-up_RadSpec!AY25*s_t_v)))/(s_Y_v*up_RadSpec!AY25))),".")</f>
        <v>9.0143481925428208</v>
      </c>
      <c r="BR25" s="116">
        <f>IFERROR(IF(up_Bv!V25=0,".",((s_Ir*s_F*s_I_f*s_T*(1-EXP(-up_RadSpec!AY25*s_t_v)))/(s_Y_v*up_RadSpec!AY25))),".")</f>
        <v>9.0143481925428208</v>
      </c>
      <c r="BS25" s="116">
        <f>IFERROR(IF(up_Bv!W25=0,".",((s_Ir*s_F*s_I_f*s_T*(1-EXP(-up_RadSpec!AY25*s_t_v)))/(s_Y_v*up_RadSpec!AY25))),".")</f>
        <v>9.0143481925428208</v>
      </c>
      <c r="BT25" s="116">
        <f>IFERROR(IF(up_Bv!X25=0,".",((s_Ir*s_F*s_I_f*s_T*(1-EXP(-up_RadSpec!AY25*s_t_v)))/(s_Y_v*up_RadSpec!AY25))),".")</f>
        <v>9.0143481925428208</v>
      </c>
      <c r="BU25" s="116">
        <f>IFERROR(IF(up_Bv!Y25=0,".",((s_Ir*s_F*s_I_f*s_T*(1-EXP(-up_RadSpec!AY25*s_t_v)))/(s_Y_v*up_RadSpec!AY25))),".")</f>
        <v>9.0143481925428208</v>
      </c>
      <c r="BV25" s="116">
        <f>IFERROR(IF(up_Bv!Z25=0,".",((s_Ir*s_F*s_I_f*s_T*(1-EXP(-up_RadSpec!AY25*s_t_v)))/(s_Y_v*up_RadSpec!AY25))),".")</f>
        <v>9.0143481925428208</v>
      </c>
    </row>
    <row r="26" spans="1:74" x14ac:dyDescent="0.25">
      <c r="A26" s="44" t="s">
        <v>36</v>
      </c>
      <c r="B26" s="42" t="s">
        <v>1074</v>
      </c>
      <c r="C26" s="116">
        <f>IFERROR(IF(up_Bv!C26=0,".",((s_Ir*s_F*up_Bv!C26*(1-EXP(-up_RadSpec!$AX26*s_t_b)))/(s_P*up_RadSpec!$AX26))),".")</f>
        <v>993.50362303732038</v>
      </c>
      <c r="D26" s="116">
        <f>IFERROR(IF(up_Bv!D26=0,".",((s_Ir*s_F*up_Bv!D26*(1-EXP(-up_RadSpec!AX26*s_t_b)))/(s_P*up_RadSpec!AX26))),".")</f>
        <v>993.50362303732038</v>
      </c>
      <c r="E26" s="116">
        <f>IFERROR(IF(up_Bv!E26=0,".",((s_Ir*s_F*up_Bv!E26*(1-EXP(-up_RadSpec!AX26*s_t_b)))/(s_P*up_RadSpec!AX26))),".")</f>
        <v>993.50362303732038</v>
      </c>
      <c r="F26" s="116">
        <f>IFERROR(IF(up_Bv!F26=0,".",((s_Ir*s_F*up_Bv!F26*(1-EXP(-up_RadSpec!AX26*s_t_b)))/(s_P*up_RadSpec!AX26))),".")</f>
        <v>993.50362303732038</v>
      </c>
      <c r="G26" s="116">
        <f>IFERROR(IF(up_Bv!G26=0,".",((s_Ir*s_F*up_Bv!G26*(1-EXP(-up_RadSpec!AX26*s_t_b)))/(s_P*up_RadSpec!AX26))),".")</f>
        <v>993.50362303732038</v>
      </c>
      <c r="H26" s="116">
        <f>IFERROR(IF(up_Bv!H26=0,".",((s_Ir*s_F*up_Bv!H26*(1-EXP(-up_RadSpec!AX26*s_t_b)))/(s_P*up_RadSpec!AX26))),".")</f>
        <v>993.50362303732038</v>
      </c>
      <c r="I26" s="116">
        <f>IFERROR(IF(up_Bv!I26=0,".",((s_Ir*s_F*up_Bv!I26*(1-EXP(-up_RadSpec!AX26*s_t_b)))/(s_P*up_RadSpec!AX26))),".")</f>
        <v>993.50362303732038</v>
      </c>
      <c r="J26" s="116">
        <f>IFERROR(IF(up_Bv!J26=0,".",((s_Ir*s_F*up_Bv!J26*(1-EXP(-up_RadSpec!AX26*s_t_b)))/(s_P*up_RadSpec!AX26))),".")</f>
        <v>993.50362303732038</v>
      </c>
      <c r="K26" s="116">
        <f>IFERROR(IF(up_Bv!K26=0,".",((s_Ir*s_F*up_Bv!K26*(1-EXP(-up_RadSpec!AX26*s_t_b)))/(s_P*up_RadSpec!AX26))),".")</f>
        <v>993.50362303732038</v>
      </c>
      <c r="L26" s="116">
        <f>IFERROR(IF(up_Bv!L26=0,".",((s_Ir*s_F*up_Bv!L26*(1-EXP(-up_RadSpec!AX26*s_t_b)))/(s_P*up_RadSpec!AX26))),".")</f>
        <v>993.50362303732038</v>
      </c>
      <c r="M26" s="116">
        <f>IFERROR(IF(up_Bv!M26=0,".",((s_Ir*s_F*up_Bv!M26*(1-EXP(-up_RadSpec!AX26*s_t_b)))/(s_P*up_RadSpec!AX26))),".")</f>
        <v>993.50362303732038</v>
      </c>
      <c r="N26" s="116">
        <f>IFERROR(IF(up_Bv!N26=0,".",((s_Ir*s_F*up_Bv!N26*(1-EXP(-up_RadSpec!AX26*s_t_b)))/(s_P*up_RadSpec!AX26))),".")</f>
        <v>993.50362303732038</v>
      </c>
      <c r="O26" s="116">
        <f>IFERROR(IF(up_Bv!O26=0,".",((s_Ir*s_F*up_Bv!O26*(1-EXP(-up_RadSpec!AX26*s_t_b)))/(s_P*up_RadSpec!AX26))),".")</f>
        <v>993.50362303732038</v>
      </c>
      <c r="P26" s="116">
        <f>IFERROR(IF(up_Bv!P26=0,".",((s_Ir*s_F*up_Bv!P26*(1-EXP(-up_RadSpec!AX26*s_t_b)))/(s_P*up_RadSpec!AX26))),".")</f>
        <v>993.50362303732038</v>
      </c>
      <c r="Q26" s="116">
        <f>IFERROR(IF(up_Bv!Q26=0,".",((s_Ir*s_F*up_Bv!Q26*(1-EXP(-up_RadSpec!AX26*s_t_b)))/(s_P*up_RadSpec!AX26))),".")</f>
        <v>993.50362303732038</v>
      </c>
      <c r="R26" s="116">
        <f>IFERROR(IF(up_Bv!R26=0,".",((s_Ir*s_F*up_Bv!R26*(1-EXP(-up_RadSpec!AX26*s_t_b)))/(s_P*up_RadSpec!AX26))),".")</f>
        <v>993.50362303732038</v>
      </c>
      <c r="S26" s="116">
        <f>IFERROR(IF(up_Bv!S26=0,".",((s_Ir*s_F*up_Bv!S26*(1-EXP(-up_RadSpec!AX26*s_t_b)))/(s_P*up_RadSpec!AX26))),".")</f>
        <v>993.50362303732038</v>
      </c>
      <c r="T26" s="116">
        <f>IFERROR(IF(up_Bv!T26=0,".",((s_Ir*s_F*up_Bv!T26*(1-EXP(-up_RadSpec!AX26*s_t_b)))/(s_P*up_RadSpec!AX26))),".")</f>
        <v>993.50362303732038</v>
      </c>
      <c r="U26" s="116">
        <f>IFERROR(IF(up_Bv!U26=0,".",((s_Ir*s_F*up_Bv!U26*(1-EXP(-up_RadSpec!AX26*s_t_b)))/(s_P*up_RadSpec!AX26))),".")</f>
        <v>993.50362303732038</v>
      </c>
      <c r="V26" s="116">
        <f>IFERROR(IF(up_Bv!V26=0,".",((s_Ir*s_F*up_Bv!V26*(1-EXP(-up_RadSpec!AX26*s_t_b)))/(s_P*up_RadSpec!AX26))),".")</f>
        <v>993.50362303732038</v>
      </c>
      <c r="W26" s="116">
        <f>IFERROR(IF(up_Bv!W26=0,".",((s_Ir*s_F*up_Bv!W26*(1-EXP(-up_RadSpec!AX26*s_t_b)))/(s_P*up_RadSpec!AX26))),".")</f>
        <v>993.50362303732038</v>
      </c>
      <c r="X26" s="116">
        <f>IFERROR(IF(up_Bv!X26=0,".",((s_Ir*s_F*up_Bv!X26*(1-EXP(-up_RadSpec!AX26*s_t_b)))/(s_P*up_RadSpec!AX26))),".")</f>
        <v>993.50362303732038</v>
      </c>
      <c r="Y26" s="116">
        <f>IFERROR(IF(up_Bv!Y26=0,".",((s_Ir*s_F*up_Bv!Y26*(1-EXP(-up_RadSpec!AX26*s_t_b)))/(s_P*up_RadSpec!AX26))),".")</f>
        <v>993.50362303732038</v>
      </c>
      <c r="Z26" s="116">
        <f>IFERROR(IF(up_Bv!Z26=0,".",((s_Ir*s_F*up_Bv!Z26*(1-EXP(-up_RadSpec!AX26*s_t_b)))/(s_P*up_RadSpec!AX26))),".")</f>
        <v>993.50362303732038</v>
      </c>
      <c r="AA26" s="116">
        <f>IFERROR(IF(up_Bv!C26=0,".",((s_Ir*s_F*s_MLF_apple*(1-EXP(-up_RadSpec!AX26*s_t_b)))/(s_P*up_RadSpec!AX26))),".")</f>
        <v>2.6824597822007652</v>
      </c>
      <c r="AB26" s="116">
        <f>IFERROR(IF(up_Bv!D26=0,".",((s_Ir*s_F*s_MLF_asparagus*(1-EXP(-up_RadSpec!AX26*s_t_b)))/(s_P*up_RadSpec!AX26))),".")</f>
        <v>2.6824597822007652</v>
      </c>
      <c r="AC26" s="116">
        <f>IFERROR(IF(up_Bv!E26=0,".",((s_Ir*s_F*s_MLF_beet*(1-EXP(-up_RadSpec!AX26*s_t_b)))/(s_P*up_RadSpec!AX26))),".")</f>
        <v>2.6824597822007652</v>
      </c>
      <c r="AD26" s="116">
        <f>IFERROR(IF(up_Bv!F26=0,".",((s_Ir*s_F*s_MLF_berries*(1-EXP(-up_RadSpec!AX26*s_t_b)))/(s_P*up_RadSpec!AX26))),".")</f>
        <v>2.6824597822007652</v>
      </c>
      <c r="AE26" s="116">
        <f>IFERROR(IF(up_Bv!G26=0,".",((s_Ir*s_F*s_MLF_broccoli*(1-EXP(-up_RadSpec!AX26*s_t_b)))/(s_P*up_RadSpec!AX26))),".")</f>
        <v>2.6824597822007652</v>
      </c>
      <c r="AF26" s="116">
        <f>IFERROR(IF(up_Bv!H26=0,".",((s_Ir*s_F*s_MLF_cabbage*(1-EXP(-up_RadSpec!AX26*s_t_b)))/(s_P*up_RadSpec!AX26))),".")</f>
        <v>2.6824597822007652</v>
      </c>
      <c r="AG26" s="116">
        <f>IFERROR(IF(up_Bv!I26=0,".",((s_Ir*s_F*s_MLF_carrot*(1-EXP(-up_RadSpec!AX26*s_t_b)))/(s_P*up_RadSpec!AX26))),".")</f>
        <v>2.6824597822007652</v>
      </c>
      <c r="AH26" s="116">
        <f>IFERROR(IF(up_Bv!J26=0,".",((s_Ir*s_F*s_MLF_citrus*(1-EXP(-up_RadSpec!AX26*s_t_b)))/(s_P*up_RadSpec!AX26))),".")</f>
        <v>2.6824597822007652</v>
      </c>
      <c r="AI26" s="116">
        <f>IFERROR(IF(up_Bv!K26=0,".",((s_Ir*s_F*s_MLF_corn*(1-EXP(-up_RadSpec!AX26*s_t_b)))/(s_P*up_RadSpec!AX26))),".")</f>
        <v>2.6824597822007652</v>
      </c>
      <c r="AJ26" s="116">
        <f>IFERROR(IF(up_Bv!L26=0,".",((s_Ir*s_F*s_MLF_cucumber*(1-EXP(-up_RadSpec!AX26*s_t_b)))/(s_P*up_RadSpec!AX26))),".")</f>
        <v>2.6824597822007652</v>
      </c>
      <c r="AK26" s="116">
        <f>IFERROR(IF(up_Bv!M26=0,".",((s_Ir*s_F*s_MLF_lettuce*(1-EXP(-up_RadSpec!AX26*s_t_b)))/(s_P*up_RadSpec!AX26))),".")</f>
        <v>2.6824597822007652</v>
      </c>
      <c r="AL26" s="116">
        <f>IFERROR(IF(up_Bv!N26=0,".",((s_Ir*s_F*s_MLF_lima_bean*(1-EXP(-up_RadSpec!AX26*s_t_b)))/(s_P*up_RadSpec!AX26))),".")</f>
        <v>2.6824597822007652</v>
      </c>
      <c r="AM26" s="116">
        <f>IFERROR(IF(up_Bv!O26=0,".",((s_Ir*s_F*s_MLF_okra*(1-EXP(-up_RadSpec!AX26*s_t_b)))/(s_P*up_RadSpec!AX26))),".")</f>
        <v>2.6824597822007652</v>
      </c>
      <c r="AN26" s="116">
        <f>IFERROR(IF(up_Bv!P26=0,".",((s_Ir*s_F*s_MLF_onion*(1-EXP(-up_RadSpec!AX26*s_t_b)))/(s_P*up_RadSpec!AX26))),".")</f>
        <v>2.6824597822007652</v>
      </c>
      <c r="AO26" s="116">
        <f>IFERROR(IF(up_Bv!Q26=0,".",((s_Ir*s_F*s_MLF_peach*(1-EXP(-up_RadSpec!AX26*s_t_b)))/(s_P*up_RadSpec!AX26))),".")</f>
        <v>2.6824597822007652</v>
      </c>
      <c r="AP26" s="116">
        <f>IFERROR(IF(up_Bv!R26=0,".",((s_Ir*s_F*s_MLF_pear*(1-EXP(-up_RadSpec!AX26*s_t_b)))/(s_P*up_RadSpec!AX26))),".")</f>
        <v>2.6824597822007652</v>
      </c>
      <c r="AQ26" s="116">
        <f>IFERROR(IF(up_Bv!S26=0,".",((s_Ir*s_F*s_MLF_peas*(1-EXP(-up_RadSpec!AX26*s_t_b)))/(s_P*up_RadSpec!AX26))),".")</f>
        <v>2.6824597822007652</v>
      </c>
      <c r="AR26" s="116">
        <f>IFERROR(IF(up_Bv!T26=0,".",((s_Ir*s_F*s_MLF_potato*(1-EXP(-up_RadSpec!AX26*s_t_b)))/(s_P*up_RadSpec!AX26))),".")</f>
        <v>2.6824597822007652</v>
      </c>
      <c r="AS26" s="116">
        <f>IFERROR(IF(up_Bv!U26=0,".",((s_Ir*s_F*s_MLF_pumpkin*(1-EXP(-up_RadSpec!AX26*s_t_b)))/(s_P*up_RadSpec!AX26))),".")</f>
        <v>2.6824597822007652</v>
      </c>
      <c r="AT26" s="116">
        <f>IFERROR(IF(up_Bv!V26=0,".",((s_Ir*s_F*s_MLF_snap_bean*(1-EXP(-up_RadSpec!AX26*s_t_b)))/(s_P*up_RadSpec!AX26))),".")</f>
        <v>2.6824597822007652</v>
      </c>
      <c r="AU26" s="116">
        <f>IFERROR(IF(up_Bv!W26=0,".",((s_Ir*s_F*s_MLF_strawberry*(1-EXP(-up_RadSpec!AX26*s_t_b)))/(s_P*up_RadSpec!AX26))),".")</f>
        <v>2.6824597822007652</v>
      </c>
      <c r="AV26" s="116">
        <f>IFERROR(IF(up_Bv!X26=0,".",((s_Ir*s_F*s_MLF_tomato*(1-EXP(-up_RadSpec!AX26*s_t_b)))/(s_P*up_RadSpec!AX26))),".")</f>
        <v>2.6824597822007652</v>
      </c>
      <c r="AW26" s="116">
        <f>IFERROR(IF(up_Bv!Y26=0,".",((s_Ir*s_F*s_MLF_rice*(1-EXP(-up_RadSpec!AX26*s_t_b)))/(s_P*up_RadSpec!AX26))),".")</f>
        <v>2.6824597822007652</v>
      </c>
      <c r="AX26" s="116">
        <f>IFERROR(IF(up_Bv!Z26=0,".",((s_Ir*s_F*s_MLF_cereal*(1-EXP(-up_RadSpec!AX26*s_t_b)))/(s_P*up_RadSpec!AX26))),".")</f>
        <v>2.6824597822007652</v>
      </c>
      <c r="AY26" s="116">
        <f>IFERROR(IF(up_Bv!C26=0,".",((s_Ir*s_F*s_I_f*s_T*(1-EXP(-up_RadSpec!AY26*s_t_v)))/(s_Y_v*up_RadSpec!AY26))),".")</f>
        <v>9.0143481925428208</v>
      </c>
      <c r="AZ26" s="116">
        <f>IFERROR(IF(up_Bv!D26=0,".",((s_Ir*s_F*s_I_f*s_T*(1-EXP(-up_RadSpec!AY26*s_t_v)))/(s_Y_v*up_RadSpec!AY26))),".")</f>
        <v>9.0143481925428208</v>
      </c>
      <c r="BA26" s="116">
        <f>IFERROR(IF(up_Bv!E26=0,".",((s_Ir*s_F*s_I_f*s_T*(1-EXP(-up_RadSpec!AY26*s_t_v)))/(s_Y_v*up_RadSpec!AY26))),".")</f>
        <v>9.0143481925428208</v>
      </c>
      <c r="BB26" s="116">
        <f>IFERROR(IF(up_Bv!F26=0,".",((s_Ir*s_F*s_I_f*s_T*(1-EXP(-up_RadSpec!AY26*s_t_v)))/(s_Y_v*up_RadSpec!AY26))),".")</f>
        <v>9.0143481925428208</v>
      </c>
      <c r="BC26" s="116">
        <f>IFERROR(IF(up_Bv!G26=0,".",((s_Ir*s_F*s_I_f*s_T*(1-EXP(-up_RadSpec!AY26*s_t_v)))/(s_Y_v*up_RadSpec!AY26))),".")</f>
        <v>9.0143481925428208</v>
      </c>
      <c r="BD26" s="116">
        <f>IFERROR(IF(up_Bv!H26=0,".",((s_Ir*s_F*s_I_f*s_T*(1-EXP(-up_RadSpec!AY26*s_t_v)))/(s_Y_v*up_RadSpec!AY26))),".")</f>
        <v>9.0143481925428208</v>
      </c>
      <c r="BE26" s="116">
        <f>IFERROR(IF(up_Bv!I26=0,".",((s_Ir*s_F*s_I_f*s_T*(1-EXP(-up_RadSpec!AY26*s_t_v)))/(s_Y_v*up_RadSpec!AY26))),".")</f>
        <v>9.0143481925428208</v>
      </c>
      <c r="BF26" s="116">
        <f>IFERROR(IF(up_Bv!J26=0,".",((s_Ir*s_F*s_I_f*s_T*(1-EXP(-up_RadSpec!AY26*s_t_v)))/(s_Y_v*up_RadSpec!AY26))),".")</f>
        <v>9.0143481925428208</v>
      </c>
      <c r="BG26" s="116">
        <f>IFERROR(IF(up_Bv!K26=0,".",((s_Ir*s_F*s_I_f*s_T*(1-EXP(-up_RadSpec!AY26*s_t_v)))/(s_Y_v*up_RadSpec!AY26))),".")</f>
        <v>9.0143481925428208</v>
      </c>
      <c r="BH26" s="116">
        <f>IFERROR(IF(up_Bv!L26=0,".",((s_Ir*s_F*s_I_f*s_T*(1-EXP(-up_RadSpec!AY26*s_t_v)))/(s_Y_v*up_RadSpec!AY26))),".")</f>
        <v>9.0143481925428208</v>
      </c>
      <c r="BI26" s="116">
        <f>IFERROR(IF(up_Bv!M26=0,".",((s_Ir*s_F*s_I_f*s_T*(1-EXP(-up_RadSpec!AY26*s_t_v)))/(s_Y_v*up_RadSpec!AY26))),".")</f>
        <v>9.0143481925428208</v>
      </c>
      <c r="BJ26" s="116">
        <f>IFERROR(IF(up_Bv!N26=0,".",((s_Ir*s_F*s_I_f*s_T*(1-EXP(-up_RadSpec!AY26*s_t_v)))/(s_Y_v*up_RadSpec!AY26))),".")</f>
        <v>9.0143481925428208</v>
      </c>
      <c r="BK26" s="116">
        <f>IFERROR(IF(up_Bv!O26=0,".",((s_Ir*s_F*s_I_f*s_T*(1-EXP(-up_RadSpec!AY26*s_t_v)))/(s_Y_v*up_RadSpec!AY26))),".")</f>
        <v>9.0143481925428208</v>
      </c>
      <c r="BL26" s="116">
        <f>IFERROR(IF(up_Bv!P26=0,".",((s_Ir*s_F*s_I_f*s_T*(1-EXP(-up_RadSpec!AY26*s_t_v)))/(s_Y_v*up_RadSpec!AY26))),".")</f>
        <v>9.0143481925428208</v>
      </c>
      <c r="BM26" s="116">
        <f>IFERROR(IF(up_Bv!Q26=0,".",((s_Ir*s_F*s_I_f*s_T*(1-EXP(-up_RadSpec!AY26*s_t_v)))/(s_Y_v*up_RadSpec!AY26))),".")</f>
        <v>9.0143481925428208</v>
      </c>
      <c r="BN26" s="116">
        <f>IFERROR(IF(up_Bv!R26=0,".",((s_Ir*s_F*s_I_f*s_T*(1-EXP(-up_RadSpec!AY26*s_t_v)))/(s_Y_v*up_RadSpec!AY26))),".")</f>
        <v>9.0143481925428208</v>
      </c>
      <c r="BO26" s="116">
        <f>IFERROR(IF(up_Bv!S26=0,".",((s_Ir*s_F*s_I_f*s_T*(1-EXP(-up_RadSpec!AY26*s_t_v)))/(s_Y_v*up_RadSpec!AY26))),".")</f>
        <v>9.0143481925428208</v>
      </c>
      <c r="BP26" s="116">
        <f>IFERROR(IF(up_Bv!T26=0,".",((s_Ir*s_F*s_I_f*s_T*(1-EXP(-up_RadSpec!AY26*s_t_v)))/(s_Y_v*up_RadSpec!AY26))),".")</f>
        <v>9.0143481925428208</v>
      </c>
      <c r="BQ26" s="116">
        <f>IFERROR(IF(up_Bv!U26=0,".",((s_Ir*s_F*s_I_f*s_T*(1-EXP(-up_RadSpec!AY26*s_t_v)))/(s_Y_v*up_RadSpec!AY26))),".")</f>
        <v>9.0143481925428208</v>
      </c>
      <c r="BR26" s="116">
        <f>IFERROR(IF(up_Bv!V26=0,".",((s_Ir*s_F*s_I_f*s_T*(1-EXP(-up_RadSpec!AY26*s_t_v)))/(s_Y_v*up_RadSpec!AY26))),".")</f>
        <v>9.0143481925428208</v>
      </c>
      <c r="BS26" s="116">
        <f>IFERROR(IF(up_Bv!W26=0,".",((s_Ir*s_F*s_I_f*s_T*(1-EXP(-up_RadSpec!AY26*s_t_v)))/(s_Y_v*up_RadSpec!AY26))),".")</f>
        <v>9.0143481925428208</v>
      </c>
      <c r="BT26" s="116">
        <f>IFERROR(IF(up_Bv!X26=0,".",((s_Ir*s_F*s_I_f*s_T*(1-EXP(-up_RadSpec!AY26*s_t_v)))/(s_Y_v*up_RadSpec!AY26))),".")</f>
        <v>9.0143481925428208</v>
      </c>
      <c r="BU26" s="116">
        <f>IFERROR(IF(up_Bv!Y26=0,".",((s_Ir*s_F*s_I_f*s_T*(1-EXP(-up_RadSpec!AY26*s_t_v)))/(s_Y_v*up_RadSpec!AY26))),".")</f>
        <v>9.0143481925428208</v>
      </c>
      <c r="BV26" s="116">
        <f>IFERROR(IF(up_Bv!Z26=0,".",((s_Ir*s_F*s_I_f*s_T*(1-EXP(-up_RadSpec!AY26*s_t_v)))/(s_Y_v*up_RadSpec!AY26))),".")</f>
        <v>9.0143481925428208</v>
      </c>
    </row>
    <row r="27" spans="1:74" x14ac:dyDescent="0.25">
      <c r="A27" s="44" t="s">
        <v>37</v>
      </c>
      <c r="B27" s="42" t="s">
        <v>1074</v>
      </c>
      <c r="C27" s="116">
        <f>IFERROR(IF(up_Bv!C27=0,".",((s_Ir*s_F*up_Bv!C27*(1-EXP(-up_RadSpec!$AX27*s_t_b)))/(s_P*up_RadSpec!$AX27))),".")</f>
        <v>993.50362303732038</v>
      </c>
      <c r="D27" s="116">
        <f>IFERROR(IF(up_Bv!D27=0,".",((s_Ir*s_F*up_Bv!D27*(1-EXP(-up_RadSpec!AX27*s_t_b)))/(s_P*up_RadSpec!AX27))),".")</f>
        <v>993.50362303732038</v>
      </c>
      <c r="E27" s="116">
        <f>IFERROR(IF(up_Bv!E27=0,".",((s_Ir*s_F*up_Bv!E27*(1-EXP(-up_RadSpec!AX27*s_t_b)))/(s_P*up_RadSpec!AX27))),".")</f>
        <v>993.50362303732038</v>
      </c>
      <c r="F27" s="116">
        <f>IFERROR(IF(up_Bv!F27=0,".",((s_Ir*s_F*up_Bv!F27*(1-EXP(-up_RadSpec!AX27*s_t_b)))/(s_P*up_RadSpec!AX27))),".")</f>
        <v>993.50362303732038</v>
      </c>
      <c r="G27" s="116">
        <f>IFERROR(IF(up_Bv!G27=0,".",((s_Ir*s_F*up_Bv!G27*(1-EXP(-up_RadSpec!AX27*s_t_b)))/(s_P*up_RadSpec!AX27))),".")</f>
        <v>993.50362303732038</v>
      </c>
      <c r="H27" s="116">
        <f>IFERROR(IF(up_Bv!H27=0,".",((s_Ir*s_F*up_Bv!H27*(1-EXP(-up_RadSpec!AX27*s_t_b)))/(s_P*up_RadSpec!AX27))),".")</f>
        <v>993.50362303732038</v>
      </c>
      <c r="I27" s="116">
        <f>IFERROR(IF(up_Bv!I27=0,".",((s_Ir*s_F*up_Bv!I27*(1-EXP(-up_RadSpec!AX27*s_t_b)))/(s_P*up_RadSpec!AX27))),".")</f>
        <v>993.50362303732038</v>
      </c>
      <c r="J27" s="116">
        <f>IFERROR(IF(up_Bv!J27=0,".",((s_Ir*s_F*up_Bv!J27*(1-EXP(-up_RadSpec!AX27*s_t_b)))/(s_P*up_RadSpec!AX27))),".")</f>
        <v>993.50362303732038</v>
      </c>
      <c r="K27" s="116">
        <f>IFERROR(IF(up_Bv!K27=0,".",((s_Ir*s_F*up_Bv!K27*(1-EXP(-up_RadSpec!AX27*s_t_b)))/(s_P*up_RadSpec!AX27))),".")</f>
        <v>993.50362303732038</v>
      </c>
      <c r="L27" s="116">
        <f>IFERROR(IF(up_Bv!L27=0,".",((s_Ir*s_F*up_Bv!L27*(1-EXP(-up_RadSpec!AX27*s_t_b)))/(s_P*up_RadSpec!AX27))),".")</f>
        <v>993.50362303732038</v>
      </c>
      <c r="M27" s="116">
        <f>IFERROR(IF(up_Bv!M27=0,".",((s_Ir*s_F*up_Bv!M27*(1-EXP(-up_RadSpec!AX27*s_t_b)))/(s_P*up_RadSpec!AX27))),".")</f>
        <v>993.50362303732038</v>
      </c>
      <c r="N27" s="116">
        <f>IFERROR(IF(up_Bv!N27=0,".",((s_Ir*s_F*up_Bv!N27*(1-EXP(-up_RadSpec!AX27*s_t_b)))/(s_P*up_RadSpec!AX27))),".")</f>
        <v>993.50362303732038</v>
      </c>
      <c r="O27" s="116">
        <f>IFERROR(IF(up_Bv!O27=0,".",((s_Ir*s_F*up_Bv!O27*(1-EXP(-up_RadSpec!AX27*s_t_b)))/(s_P*up_RadSpec!AX27))),".")</f>
        <v>993.50362303732038</v>
      </c>
      <c r="P27" s="116">
        <f>IFERROR(IF(up_Bv!P27=0,".",((s_Ir*s_F*up_Bv!P27*(1-EXP(-up_RadSpec!AX27*s_t_b)))/(s_P*up_RadSpec!AX27))),".")</f>
        <v>993.50362303732038</v>
      </c>
      <c r="Q27" s="116">
        <f>IFERROR(IF(up_Bv!Q27=0,".",((s_Ir*s_F*up_Bv!Q27*(1-EXP(-up_RadSpec!AX27*s_t_b)))/(s_P*up_RadSpec!AX27))),".")</f>
        <v>993.50362303732038</v>
      </c>
      <c r="R27" s="116">
        <f>IFERROR(IF(up_Bv!R27=0,".",((s_Ir*s_F*up_Bv!R27*(1-EXP(-up_RadSpec!AX27*s_t_b)))/(s_P*up_RadSpec!AX27))),".")</f>
        <v>993.50362303732038</v>
      </c>
      <c r="S27" s="116">
        <f>IFERROR(IF(up_Bv!S27=0,".",((s_Ir*s_F*up_Bv!S27*(1-EXP(-up_RadSpec!AX27*s_t_b)))/(s_P*up_RadSpec!AX27))),".")</f>
        <v>993.50362303732038</v>
      </c>
      <c r="T27" s="116">
        <f>IFERROR(IF(up_Bv!T27=0,".",((s_Ir*s_F*up_Bv!T27*(1-EXP(-up_RadSpec!AX27*s_t_b)))/(s_P*up_RadSpec!AX27))),".")</f>
        <v>993.50362303732038</v>
      </c>
      <c r="U27" s="116">
        <f>IFERROR(IF(up_Bv!U27=0,".",((s_Ir*s_F*up_Bv!U27*(1-EXP(-up_RadSpec!AX27*s_t_b)))/(s_P*up_RadSpec!AX27))),".")</f>
        <v>993.50362303732038</v>
      </c>
      <c r="V27" s="116">
        <f>IFERROR(IF(up_Bv!V27=0,".",((s_Ir*s_F*up_Bv!V27*(1-EXP(-up_RadSpec!AX27*s_t_b)))/(s_P*up_RadSpec!AX27))),".")</f>
        <v>993.50362303732038</v>
      </c>
      <c r="W27" s="116">
        <f>IFERROR(IF(up_Bv!W27=0,".",((s_Ir*s_F*up_Bv!W27*(1-EXP(-up_RadSpec!AX27*s_t_b)))/(s_P*up_RadSpec!AX27))),".")</f>
        <v>993.50362303732038</v>
      </c>
      <c r="X27" s="116">
        <f>IFERROR(IF(up_Bv!X27=0,".",((s_Ir*s_F*up_Bv!X27*(1-EXP(-up_RadSpec!AX27*s_t_b)))/(s_P*up_RadSpec!AX27))),".")</f>
        <v>993.50362303732038</v>
      </c>
      <c r="Y27" s="116">
        <f>IFERROR(IF(up_Bv!Y27=0,".",((s_Ir*s_F*up_Bv!Y27*(1-EXP(-up_RadSpec!AX27*s_t_b)))/(s_P*up_RadSpec!AX27))),".")</f>
        <v>993.50362303732038</v>
      </c>
      <c r="Z27" s="116">
        <f>IFERROR(IF(up_Bv!Z27=0,".",((s_Ir*s_F*up_Bv!Z27*(1-EXP(-up_RadSpec!AX27*s_t_b)))/(s_P*up_RadSpec!AX27))),".")</f>
        <v>993.50362303732038</v>
      </c>
      <c r="AA27" s="116">
        <f>IFERROR(IF(up_Bv!C27=0,".",((s_Ir*s_F*s_MLF_apple*(1-EXP(-up_RadSpec!AX27*s_t_b)))/(s_P*up_RadSpec!AX27))),".")</f>
        <v>2.6824597822007652</v>
      </c>
      <c r="AB27" s="116">
        <f>IFERROR(IF(up_Bv!D27=0,".",((s_Ir*s_F*s_MLF_asparagus*(1-EXP(-up_RadSpec!AX27*s_t_b)))/(s_P*up_RadSpec!AX27))),".")</f>
        <v>2.6824597822007652</v>
      </c>
      <c r="AC27" s="116">
        <f>IFERROR(IF(up_Bv!E27=0,".",((s_Ir*s_F*s_MLF_beet*(1-EXP(-up_RadSpec!AX27*s_t_b)))/(s_P*up_RadSpec!AX27))),".")</f>
        <v>2.6824597822007652</v>
      </c>
      <c r="AD27" s="116">
        <f>IFERROR(IF(up_Bv!F27=0,".",((s_Ir*s_F*s_MLF_berries*(1-EXP(-up_RadSpec!AX27*s_t_b)))/(s_P*up_RadSpec!AX27))),".")</f>
        <v>2.6824597822007652</v>
      </c>
      <c r="AE27" s="116">
        <f>IFERROR(IF(up_Bv!G27=0,".",((s_Ir*s_F*s_MLF_broccoli*(1-EXP(-up_RadSpec!AX27*s_t_b)))/(s_P*up_RadSpec!AX27))),".")</f>
        <v>2.6824597822007652</v>
      </c>
      <c r="AF27" s="116">
        <f>IFERROR(IF(up_Bv!H27=0,".",((s_Ir*s_F*s_MLF_cabbage*(1-EXP(-up_RadSpec!AX27*s_t_b)))/(s_P*up_RadSpec!AX27))),".")</f>
        <v>2.6824597822007652</v>
      </c>
      <c r="AG27" s="116">
        <f>IFERROR(IF(up_Bv!I27=0,".",((s_Ir*s_F*s_MLF_carrot*(1-EXP(-up_RadSpec!AX27*s_t_b)))/(s_P*up_RadSpec!AX27))),".")</f>
        <v>2.6824597822007652</v>
      </c>
      <c r="AH27" s="116">
        <f>IFERROR(IF(up_Bv!J27=0,".",((s_Ir*s_F*s_MLF_citrus*(1-EXP(-up_RadSpec!AX27*s_t_b)))/(s_P*up_RadSpec!AX27))),".")</f>
        <v>2.6824597822007652</v>
      </c>
      <c r="AI27" s="116">
        <f>IFERROR(IF(up_Bv!K27=0,".",((s_Ir*s_F*s_MLF_corn*(1-EXP(-up_RadSpec!AX27*s_t_b)))/(s_P*up_RadSpec!AX27))),".")</f>
        <v>2.6824597822007652</v>
      </c>
      <c r="AJ27" s="116">
        <f>IFERROR(IF(up_Bv!L27=0,".",((s_Ir*s_F*s_MLF_cucumber*(1-EXP(-up_RadSpec!AX27*s_t_b)))/(s_P*up_RadSpec!AX27))),".")</f>
        <v>2.6824597822007652</v>
      </c>
      <c r="AK27" s="116">
        <f>IFERROR(IF(up_Bv!M27=0,".",((s_Ir*s_F*s_MLF_lettuce*(1-EXP(-up_RadSpec!AX27*s_t_b)))/(s_P*up_RadSpec!AX27))),".")</f>
        <v>2.6824597822007652</v>
      </c>
      <c r="AL27" s="116">
        <f>IFERROR(IF(up_Bv!N27=0,".",((s_Ir*s_F*s_MLF_lima_bean*(1-EXP(-up_RadSpec!AX27*s_t_b)))/(s_P*up_RadSpec!AX27))),".")</f>
        <v>2.6824597822007652</v>
      </c>
      <c r="AM27" s="116">
        <f>IFERROR(IF(up_Bv!O27=0,".",((s_Ir*s_F*s_MLF_okra*(1-EXP(-up_RadSpec!AX27*s_t_b)))/(s_P*up_RadSpec!AX27))),".")</f>
        <v>2.6824597822007652</v>
      </c>
      <c r="AN27" s="116">
        <f>IFERROR(IF(up_Bv!P27=0,".",((s_Ir*s_F*s_MLF_onion*(1-EXP(-up_RadSpec!AX27*s_t_b)))/(s_P*up_RadSpec!AX27))),".")</f>
        <v>2.6824597822007652</v>
      </c>
      <c r="AO27" s="116">
        <f>IFERROR(IF(up_Bv!Q27=0,".",((s_Ir*s_F*s_MLF_peach*(1-EXP(-up_RadSpec!AX27*s_t_b)))/(s_P*up_RadSpec!AX27))),".")</f>
        <v>2.6824597822007652</v>
      </c>
      <c r="AP27" s="116">
        <f>IFERROR(IF(up_Bv!R27=0,".",((s_Ir*s_F*s_MLF_pear*(1-EXP(-up_RadSpec!AX27*s_t_b)))/(s_P*up_RadSpec!AX27))),".")</f>
        <v>2.6824597822007652</v>
      </c>
      <c r="AQ27" s="116">
        <f>IFERROR(IF(up_Bv!S27=0,".",((s_Ir*s_F*s_MLF_peas*(1-EXP(-up_RadSpec!AX27*s_t_b)))/(s_P*up_RadSpec!AX27))),".")</f>
        <v>2.6824597822007652</v>
      </c>
      <c r="AR27" s="116">
        <f>IFERROR(IF(up_Bv!T27=0,".",((s_Ir*s_F*s_MLF_potato*(1-EXP(-up_RadSpec!AX27*s_t_b)))/(s_P*up_RadSpec!AX27))),".")</f>
        <v>2.6824597822007652</v>
      </c>
      <c r="AS27" s="116">
        <f>IFERROR(IF(up_Bv!U27=0,".",((s_Ir*s_F*s_MLF_pumpkin*(1-EXP(-up_RadSpec!AX27*s_t_b)))/(s_P*up_RadSpec!AX27))),".")</f>
        <v>2.6824597822007652</v>
      </c>
      <c r="AT27" s="116">
        <f>IFERROR(IF(up_Bv!V27=0,".",((s_Ir*s_F*s_MLF_snap_bean*(1-EXP(-up_RadSpec!AX27*s_t_b)))/(s_P*up_RadSpec!AX27))),".")</f>
        <v>2.6824597822007652</v>
      </c>
      <c r="AU27" s="116">
        <f>IFERROR(IF(up_Bv!W27=0,".",((s_Ir*s_F*s_MLF_strawberry*(1-EXP(-up_RadSpec!AX27*s_t_b)))/(s_P*up_RadSpec!AX27))),".")</f>
        <v>2.6824597822007652</v>
      </c>
      <c r="AV27" s="116">
        <f>IFERROR(IF(up_Bv!X27=0,".",((s_Ir*s_F*s_MLF_tomato*(1-EXP(-up_RadSpec!AX27*s_t_b)))/(s_P*up_RadSpec!AX27))),".")</f>
        <v>2.6824597822007652</v>
      </c>
      <c r="AW27" s="116">
        <f>IFERROR(IF(up_Bv!Y27=0,".",((s_Ir*s_F*s_MLF_rice*(1-EXP(-up_RadSpec!AX27*s_t_b)))/(s_P*up_RadSpec!AX27))),".")</f>
        <v>2.6824597822007652</v>
      </c>
      <c r="AX27" s="116">
        <f>IFERROR(IF(up_Bv!Z27=0,".",((s_Ir*s_F*s_MLF_cereal*(1-EXP(-up_RadSpec!AX27*s_t_b)))/(s_P*up_RadSpec!AX27))),".")</f>
        <v>2.6824597822007652</v>
      </c>
      <c r="AY27" s="116">
        <f>IFERROR(IF(up_Bv!C27=0,".",((s_Ir*s_F*s_I_f*s_T*(1-EXP(-up_RadSpec!AY27*s_t_v)))/(s_Y_v*up_RadSpec!AY27))),".")</f>
        <v>9.0143481925428208</v>
      </c>
      <c r="AZ27" s="116">
        <f>IFERROR(IF(up_Bv!D27=0,".",((s_Ir*s_F*s_I_f*s_T*(1-EXP(-up_RadSpec!AY27*s_t_v)))/(s_Y_v*up_RadSpec!AY27))),".")</f>
        <v>9.0143481925428208</v>
      </c>
      <c r="BA27" s="116">
        <f>IFERROR(IF(up_Bv!E27=0,".",((s_Ir*s_F*s_I_f*s_T*(1-EXP(-up_RadSpec!AY27*s_t_v)))/(s_Y_v*up_RadSpec!AY27))),".")</f>
        <v>9.0143481925428208</v>
      </c>
      <c r="BB27" s="116">
        <f>IFERROR(IF(up_Bv!F27=0,".",((s_Ir*s_F*s_I_f*s_T*(1-EXP(-up_RadSpec!AY27*s_t_v)))/(s_Y_v*up_RadSpec!AY27))),".")</f>
        <v>9.0143481925428208</v>
      </c>
      <c r="BC27" s="116">
        <f>IFERROR(IF(up_Bv!G27=0,".",((s_Ir*s_F*s_I_f*s_T*(1-EXP(-up_RadSpec!AY27*s_t_v)))/(s_Y_v*up_RadSpec!AY27))),".")</f>
        <v>9.0143481925428208</v>
      </c>
      <c r="BD27" s="116">
        <f>IFERROR(IF(up_Bv!H27=0,".",((s_Ir*s_F*s_I_f*s_T*(1-EXP(-up_RadSpec!AY27*s_t_v)))/(s_Y_v*up_RadSpec!AY27))),".")</f>
        <v>9.0143481925428208</v>
      </c>
      <c r="BE27" s="116">
        <f>IFERROR(IF(up_Bv!I27=0,".",((s_Ir*s_F*s_I_f*s_T*(1-EXP(-up_RadSpec!AY27*s_t_v)))/(s_Y_v*up_RadSpec!AY27))),".")</f>
        <v>9.0143481925428208</v>
      </c>
      <c r="BF27" s="116">
        <f>IFERROR(IF(up_Bv!J27=0,".",((s_Ir*s_F*s_I_f*s_T*(1-EXP(-up_RadSpec!AY27*s_t_v)))/(s_Y_v*up_RadSpec!AY27))),".")</f>
        <v>9.0143481925428208</v>
      </c>
      <c r="BG27" s="116">
        <f>IFERROR(IF(up_Bv!K27=0,".",((s_Ir*s_F*s_I_f*s_T*(1-EXP(-up_RadSpec!AY27*s_t_v)))/(s_Y_v*up_RadSpec!AY27))),".")</f>
        <v>9.0143481925428208</v>
      </c>
      <c r="BH27" s="116">
        <f>IFERROR(IF(up_Bv!L27=0,".",((s_Ir*s_F*s_I_f*s_T*(1-EXP(-up_RadSpec!AY27*s_t_v)))/(s_Y_v*up_RadSpec!AY27))),".")</f>
        <v>9.0143481925428208</v>
      </c>
      <c r="BI27" s="116">
        <f>IFERROR(IF(up_Bv!M27=0,".",((s_Ir*s_F*s_I_f*s_T*(1-EXP(-up_RadSpec!AY27*s_t_v)))/(s_Y_v*up_RadSpec!AY27))),".")</f>
        <v>9.0143481925428208</v>
      </c>
      <c r="BJ27" s="116">
        <f>IFERROR(IF(up_Bv!N27=0,".",((s_Ir*s_F*s_I_f*s_T*(1-EXP(-up_RadSpec!AY27*s_t_v)))/(s_Y_v*up_RadSpec!AY27))),".")</f>
        <v>9.0143481925428208</v>
      </c>
      <c r="BK27" s="116">
        <f>IFERROR(IF(up_Bv!O27=0,".",((s_Ir*s_F*s_I_f*s_T*(1-EXP(-up_RadSpec!AY27*s_t_v)))/(s_Y_v*up_RadSpec!AY27))),".")</f>
        <v>9.0143481925428208</v>
      </c>
      <c r="BL27" s="116">
        <f>IFERROR(IF(up_Bv!P27=0,".",((s_Ir*s_F*s_I_f*s_T*(1-EXP(-up_RadSpec!AY27*s_t_v)))/(s_Y_v*up_RadSpec!AY27))),".")</f>
        <v>9.0143481925428208</v>
      </c>
      <c r="BM27" s="116">
        <f>IFERROR(IF(up_Bv!Q27=0,".",((s_Ir*s_F*s_I_f*s_T*(1-EXP(-up_RadSpec!AY27*s_t_v)))/(s_Y_v*up_RadSpec!AY27))),".")</f>
        <v>9.0143481925428208</v>
      </c>
      <c r="BN27" s="116">
        <f>IFERROR(IF(up_Bv!R27=0,".",((s_Ir*s_F*s_I_f*s_T*(1-EXP(-up_RadSpec!AY27*s_t_v)))/(s_Y_v*up_RadSpec!AY27))),".")</f>
        <v>9.0143481925428208</v>
      </c>
      <c r="BO27" s="116">
        <f>IFERROR(IF(up_Bv!S27=0,".",((s_Ir*s_F*s_I_f*s_T*(1-EXP(-up_RadSpec!AY27*s_t_v)))/(s_Y_v*up_RadSpec!AY27))),".")</f>
        <v>9.0143481925428208</v>
      </c>
      <c r="BP27" s="116">
        <f>IFERROR(IF(up_Bv!T27=0,".",((s_Ir*s_F*s_I_f*s_T*(1-EXP(-up_RadSpec!AY27*s_t_v)))/(s_Y_v*up_RadSpec!AY27))),".")</f>
        <v>9.0143481925428208</v>
      </c>
      <c r="BQ27" s="116">
        <f>IFERROR(IF(up_Bv!U27=0,".",((s_Ir*s_F*s_I_f*s_T*(1-EXP(-up_RadSpec!AY27*s_t_v)))/(s_Y_v*up_RadSpec!AY27))),".")</f>
        <v>9.0143481925428208</v>
      </c>
      <c r="BR27" s="116">
        <f>IFERROR(IF(up_Bv!V27=0,".",((s_Ir*s_F*s_I_f*s_T*(1-EXP(-up_RadSpec!AY27*s_t_v)))/(s_Y_v*up_RadSpec!AY27))),".")</f>
        <v>9.0143481925428208</v>
      </c>
      <c r="BS27" s="116">
        <f>IFERROR(IF(up_Bv!W27=0,".",((s_Ir*s_F*s_I_f*s_T*(1-EXP(-up_RadSpec!AY27*s_t_v)))/(s_Y_v*up_RadSpec!AY27))),".")</f>
        <v>9.0143481925428208</v>
      </c>
      <c r="BT27" s="116">
        <f>IFERROR(IF(up_Bv!X27=0,".",((s_Ir*s_F*s_I_f*s_T*(1-EXP(-up_RadSpec!AY27*s_t_v)))/(s_Y_v*up_RadSpec!AY27))),".")</f>
        <v>9.0143481925428208</v>
      </c>
      <c r="BU27" s="116">
        <f>IFERROR(IF(up_Bv!Y27=0,".",((s_Ir*s_F*s_I_f*s_T*(1-EXP(-up_RadSpec!AY27*s_t_v)))/(s_Y_v*up_RadSpec!AY27))),".")</f>
        <v>9.0143481925428208</v>
      </c>
      <c r="BV27" s="116">
        <f>IFERROR(IF(up_Bv!Z27=0,".",((s_Ir*s_F*s_I_f*s_T*(1-EXP(-up_RadSpec!AY27*s_t_v)))/(s_Y_v*up_RadSpec!AY27))),".")</f>
        <v>9.0143481925428208</v>
      </c>
    </row>
    <row r="28" spans="1:74" x14ac:dyDescent="0.25">
      <c r="A28" s="44" t="s">
        <v>38</v>
      </c>
      <c r="B28" s="42" t="s">
        <v>1074</v>
      </c>
      <c r="C28" s="116">
        <f>IFERROR(IF(up_Bv!C28=0,".",((s_Ir*s_F*up_Bv!C28*(1-EXP(-up_RadSpec!$AX28*s_t_b)))/(s_P*up_RadSpec!$AX28))),".")</f>
        <v>993.50362303732038</v>
      </c>
      <c r="D28" s="116">
        <f>IFERROR(IF(up_Bv!D28=0,".",((s_Ir*s_F*up_Bv!D28*(1-EXP(-up_RadSpec!AX28*s_t_b)))/(s_P*up_RadSpec!AX28))),".")</f>
        <v>993.50362303732038</v>
      </c>
      <c r="E28" s="116">
        <f>IFERROR(IF(up_Bv!E28=0,".",((s_Ir*s_F*up_Bv!E28*(1-EXP(-up_RadSpec!AX28*s_t_b)))/(s_P*up_RadSpec!AX28))),".")</f>
        <v>993.50362303732038</v>
      </c>
      <c r="F28" s="116">
        <f>IFERROR(IF(up_Bv!F28=0,".",((s_Ir*s_F*up_Bv!F28*(1-EXP(-up_RadSpec!AX28*s_t_b)))/(s_P*up_RadSpec!AX28))),".")</f>
        <v>993.50362303732038</v>
      </c>
      <c r="G28" s="116">
        <f>IFERROR(IF(up_Bv!G28=0,".",((s_Ir*s_F*up_Bv!G28*(1-EXP(-up_RadSpec!AX28*s_t_b)))/(s_P*up_RadSpec!AX28))),".")</f>
        <v>993.50362303732038</v>
      </c>
      <c r="H28" s="116">
        <f>IFERROR(IF(up_Bv!H28=0,".",((s_Ir*s_F*up_Bv!H28*(1-EXP(-up_RadSpec!AX28*s_t_b)))/(s_P*up_RadSpec!AX28))),".")</f>
        <v>993.50362303732038</v>
      </c>
      <c r="I28" s="116">
        <f>IFERROR(IF(up_Bv!I28=0,".",((s_Ir*s_F*up_Bv!I28*(1-EXP(-up_RadSpec!AX28*s_t_b)))/(s_P*up_RadSpec!AX28))),".")</f>
        <v>993.50362303732038</v>
      </c>
      <c r="J28" s="116">
        <f>IFERROR(IF(up_Bv!J28=0,".",((s_Ir*s_F*up_Bv!J28*(1-EXP(-up_RadSpec!AX28*s_t_b)))/(s_P*up_RadSpec!AX28))),".")</f>
        <v>993.50362303732038</v>
      </c>
      <c r="K28" s="116">
        <f>IFERROR(IF(up_Bv!K28=0,".",((s_Ir*s_F*up_Bv!K28*(1-EXP(-up_RadSpec!AX28*s_t_b)))/(s_P*up_RadSpec!AX28))),".")</f>
        <v>993.50362303732038</v>
      </c>
      <c r="L28" s="116">
        <f>IFERROR(IF(up_Bv!L28=0,".",((s_Ir*s_F*up_Bv!L28*(1-EXP(-up_RadSpec!AX28*s_t_b)))/(s_P*up_RadSpec!AX28))),".")</f>
        <v>993.50362303732038</v>
      </c>
      <c r="M28" s="116">
        <f>IFERROR(IF(up_Bv!M28=0,".",((s_Ir*s_F*up_Bv!M28*(1-EXP(-up_RadSpec!AX28*s_t_b)))/(s_P*up_RadSpec!AX28))),".")</f>
        <v>993.50362303732038</v>
      </c>
      <c r="N28" s="116">
        <f>IFERROR(IF(up_Bv!N28=0,".",((s_Ir*s_F*up_Bv!N28*(1-EXP(-up_RadSpec!AX28*s_t_b)))/(s_P*up_RadSpec!AX28))),".")</f>
        <v>993.50362303732038</v>
      </c>
      <c r="O28" s="116">
        <f>IFERROR(IF(up_Bv!O28=0,".",((s_Ir*s_F*up_Bv!O28*(1-EXP(-up_RadSpec!AX28*s_t_b)))/(s_P*up_RadSpec!AX28))),".")</f>
        <v>993.50362303732038</v>
      </c>
      <c r="P28" s="116">
        <f>IFERROR(IF(up_Bv!P28=0,".",((s_Ir*s_F*up_Bv!P28*(1-EXP(-up_RadSpec!AX28*s_t_b)))/(s_P*up_RadSpec!AX28))),".")</f>
        <v>993.50362303732038</v>
      </c>
      <c r="Q28" s="116">
        <f>IFERROR(IF(up_Bv!Q28=0,".",((s_Ir*s_F*up_Bv!Q28*(1-EXP(-up_RadSpec!AX28*s_t_b)))/(s_P*up_RadSpec!AX28))),".")</f>
        <v>993.50362303732038</v>
      </c>
      <c r="R28" s="116">
        <f>IFERROR(IF(up_Bv!R28=0,".",((s_Ir*s_F*up_Bv!R28*(1-EXP(-up_RadSpec!AX28*s_t_b)))/(s_P*up_RadSpec!AX28))),".")</f>
        <v>993.50362303732038</v>
      </c>
      <c r="S28" s="116">
        <f>IFERROR(IF(up_Bv!S28=0,".",((s_Ir*s_F*up_Bv!S28*(1-EXP(-up_RadSpec!AX28*s_t_b)))/(s_P*up_RadSpec!AX28))),".")</f>
        <v>993.50362303732038</v>
      </c>
      <c r="T28" s="116">
        <f>IFERROR(IF(up_Bv!T28=0,".",((s_Ir*s_F*up_Bv!T28*(1-EXP(-up_RadSpec!AX28*s_t_b)))/(s_P*up_RadSpec!AX28))),".")</f>
        <v>993.50362303732038</v>
      </c>
      <c r="U28" s="116">
        <f>IFERROR(IF(up_Bv!U28=0,".",((s_Ir*s_F*up_Bv!U28*(1-EXP(-up_RadSpec!AX28*s_t_b)))/(s_P*up_RadSpec!AX28))),".")</f>
        <v>993.50362303732038</v>
      </c>
      <c r="V28" s="116">
        <f>IFERROR(IF(up_Bv!V28=0,".",((s_Ir*s_F*up_Bv!V28*(1-EXP(-up_RadSpec!AX28*s_t_b)))/(s_P*up_RadSpec!AX28))),".")</f>
        <v>993.50362303732038</v>
      </c>
      <c r="W28" s="116">
        <f>IFERROR(IF(up_Bv!W28=0,".",((s_Ir*s_F*up_Bv!W28*(1-EXP(-up_RadSpec!AX28*s_t_b)))/(s_P*up_RadSpec!AX28))),".")</f>
        <v>993.50362303732038</v>
      </c>
      <c r="X28" s="116">
        <f>IFERROR(IF(up_Bv!X28=0,".",((s_Ir*s_F*up_Bv!X28*(1-EXP(-up_RadSpec!AX28*s_t_b)))/(s_P*up_RadSpec!AX28))),".")</f>
        <v>993.50362303732038</v>
      </c>
      <c r="Y28" s="116">
        <f>IFERROR(IF(up_Bv!Y28=0,".",((s_Ir*s_F*up_Bv!Y28*(1-EXP(-up_RadSpec!AX28*s_t_b)))/(s_P*up_RadSpec!AX28))),".")</f>
        <v>993.50362303732038</v>
      </c>
      <c r="Z28" s="116">
        <f>IFERROR(IF(up_Bv!Z28=0,".",((s_Ir*s_F*up_Bv!Z28*(1-EXP(-up_RadSpec!AX28*s_t_b)))/(s_P*up_RadSpec!AX28))),".")</f>
        <v>993.50362303732038</v>
      </c>
      <c r="AA28" s="116">
        <f>IFERROR(IF(up_Bv!C28=0,".",((s_Ir*s_F*s_MLF_apple*(1-EXP(-up_RadSpec!AX28*s_t_b)))/(s_P*up_RadSpec!AX28))),".")</f>
        <v>2.6824597822007652</v>
      </c>
      <c r="AB28" s="116">
        <f>IFERROR(IF(up_Bv!D28=0,".",((s_Ir*s_F*s_MLF_asparagus*(1-EXP(-up_RadSpec!AX28*s_t_b)))/(s_P*up_RadSpec!AX28))),".")</f>
        <v>2.6824597822007652</v>
      </c>
      <c r="AC28" s="116">
        <f>IFERROR(IF(up_Bv!E28=0,".",((s_Ir*s_F*s_MLF_beet*(1-EXP(-up_RadSpec!AX28*s_t_b)))/(s_P*up_RadSpec!AX28))),".")</f>
        <v>2.6824597822007652</v>
      </c>
      <c r="AD28" s="116">
        <f>IFERROR(IF(up_Bv!F28=0,".",((s_Ir*s_F*s_MLF_berries*(1-EXP(-up_RadSpec!AX28*s_t_b)))/(s_P*up_RadSpec!AX28))),".")</f>
        <v>2.6824597822007652</v>
      </c>
      <c r="AE28" s="116">
        <f>IFERROR(IF(up_Bv!G28=0,".",((s_Ir*s_F*s_MLF_broccoli*(1-EXP(-up_RadSpec!AX28*s_t_b)))/(s_P*up_RadSpec!AX28))),".")</f>
        <v>2.6824597822007652</v>
      </c>
      <c r="AF28" s="116">
        <f>IFERROR(IF(up_Bv!H28=0,".",((s_Ir*s_F*s_MLF_cabbage*(1-EXP(-up_RadSpec!AX28*s_t_b)))/(s_P*up_RadSpec!AX28))),".")</f>
        <v>2.6824597822007652</v>
      </c>
      <c r="AG28" s="116">
        <f>IFERROR(IF(up_Bv!I28=0,".",((s_Ir*s_F*s_MLF_carrot*(1-EXP(-up_RadSpec!AX28*s_t_b)))/(s_P*up_RadSpec!AX28))),".")</f>
        <v>2.6824597822007652</v>
      </c>
      <c r="AH28" s="116">
        <f>IFERROR(IF(up_Bv!J28=0,".",((s_Ir*s_F*s_MLF_citrus*(1-EXP(-up_RadSpec!AX28*s_t_b)))/(s_P*up_RadSpec!AX28))),".")</f>
        <v>2.6824597822007652</v>
      </c>
      <c r="AI28" s="116">
        <f>IFERROR(IF(up_Bv!K28=0,".",((s_Ir*s_F*s_MLF_corn*(1-EXP(-up_RadSpec!AX28*s_t_b)))/(s_P*up_RadSpec!AX28))),".")</f>
        <v>2.6824597822007652</v>
      </c>
      <c r="AJ28" s="116">
        <f>IFERROR(IF(up_Bv!L28=0,".",((s_Ir*s_F*s_MLF_cucumber*(1-EXP(-up_RadSpec!AX28*s_t_b)))/(s_P*up_RadSpec!AX28))),".")</f>
        <v>2.6824597822007652</v>
      </c>
      <c r="AK28" s="116">
        <f>IFERROR(IF(up_Bv!M28=0,".",((s_Ir*s_F*s_MLF_lettuce*(1-EXP(-up_RadSpec!AX28*s_t_b)))/(s_P*up_RadSpec!AX28))),".")</f>
        <v>2.6824597822007652</v>
      </c>
      <c r="AL28" s="116">
        <f>IFERROR(IF(up_Bv!N28=0,".",((s_Ir*s_F*s_MLF_lima_bean*(1-EXP(-up_RadSpec!AX28*s_t_b)))/(s_P*up_RadSpec!AX28))),".")</f>
        <v>2.6824597822007652</v>
      </c>
      <c r="AM28" s="116">
        <f>IFERROR(IF(up_Bv!O28=0,".",((s_Ir*s_F*s_MLF_okra*(1-EXP(-up_RadSpec!AX28*s_t_b)))/(s_P*up_RadSpec!AX28))),".")</f>
        <v>2.6824597822007652</v>
      </c>
      <c r="AN28" s="116">
        <f>IFERROR(IF(up_Bv!P28=0,".",((s_Ir*s_F*s_MLF_onion*(1-EXP(-up_RadSpec!AX28*s_t_b)))/(s_P*up_RadSpec!AX28))),".")</f>
        <v>2.6824597822007652</v>
      </c>
      <c r="AO28" s="116">
        <f>IFERROR(IF(up_Bv!Q28=0,".",((s_Ir*s_F*s_MLF_peach*(1-EXP(-up_RadSpec!AX28*s_t_b)))/(s_P*up_RadSpec!AX28))),".")</f>
        <v>2.6824597822007652</v>
      </c>
      <c r="AP28" s="116">
        <f>IFERROR(IF(up_Bv!R28=0,".",((s_Ir*s_F*s_MLF_pear*(1-EXP(-up_RadSpec!AX28*s_t_b)))/(s_P*up_RadSpec!AX28))),".")</f>
        <v>2.6824597822007652</v>
      </c>
      <c r="AQ28" s="116">
        <f>IFERROR(IF(up_Bv!S28=0,".",((s_Ir*s_F*s_MLF_peas*(1-EXP(-up_RadSpec!AX28*s_t_b)))/(s_P*up_RadSpec!AX28))),".")</f>
        <v>2.6824597822007652</v>
      </c>
      <c r="AR28" s="116">
        <f>IFERROR(IF(up_Bv!T28=0,".",((s_Ir*s_F*s_MLF_potato*(1-EXP(-up_RadSpec!AX28*s_t_b)))/(s_P*up_RadSpec!AX28))),".")</f>
        <v>2.6824597822007652</v>
      </c>
      <c r="AS28" s="116">
        <f>IFERROR(IF(up_Bv!U28=0,".",((s_Ir*s_F*s_MLF_pumpkin*(1-EXP(-up_RadSpec!AX28*s_t_b)))/(s_P*up_RadSpec!AX28))),".")</f>
        <v>2.6824597822007652</v>
      </c>
      <c r="AT28" s="116">
        <f>IFERROR(IF(up_Bv!V28=0,".",((s_Ir*s_F*s_MLF_snap_bean*(1-EXP(-up_RadSpec!AX28*s_t_b)))/(s_P*up_RadSpec!AX28))),".")</f>
        <v>2.6824597822007652</v>
      </c>
      <c r="AU28" s="116">
        <f>IFERROR(IF(up_Bv!W28=0,".",((s_Ir*s_F*s_MLF_strawberry*(1-EXP(-up_RadSpec!AX28*s_t_b)))/(s_P*up_RadSpec!AX28))),".")</f>
        <v>2.6824597822007652</v>
      </c>
      <c r="AV28" s="116">
        <f>IFERROR(IF(up_Bv!X28=0,".",((s_Ir*s_F*s_MLF_tomato*(1-EXP(-up_RadSpec!AX28*s_t_b)))/(s_P*up_RadSpec!AX28))),".")</f>
        <v>2.6824597822007652</v>
      </c>
      <c r="AW28" s="116">
        <f>IFERROR(IF(up_Bv!Y28=0,".",((s_Ir*s_F*s_MLF_rice*(1-EXP(-up_RadSpec!AX28*s_t_b)))/(s_P*up_RadSpec!AX28))),".")</f>
        <v>2.6824597822007652</v>
      </c>
      <c r="AX28" s="116">
        <f>IFERROR(IF(up_Bv!Z28=0,".",((s_Ir*s_F*s_MLF_cereal*(1-EXP(-up_RadSpec!AX28*s_t_b)))/(s_P*up_RadSpec!AX28))),".")</f>
        <v>2.6824597822007652</v>
      </c>
      <c r="AY28" s="116">
        <f>IFERROR(IF(up_Bv!C28=0,".",((s_Ir*s_F*s_I_f*s_T*(1-EXP(-up_RadSpec!AY28*s_t_v)))/(s_Y_v*up_RadSpec!AY28))),".")</f>
        <v>9.0143481925428208</v>
      </c>
      <c r="AZ28" s="116">
        <f>IFERROR(IF(up_Bv!D28=0,".",((s_Ir*s_F*s_I_f*s_T*(1-EXP(-up_RadSpec!AY28*s_t_v)))/(s_Y_v*up_RadSpec!AY28))),".")</f>
        <v>9.0143481925428208</v>
      </c>
      <c r="BA28" s="116">
        <f>IFERROR(IF(up_Bv!E28=0,".",((s_Ir*s_F*s_I_f*s_T*(1-EXP(-up_RadSpec!AY28*s_t_v)))/(s_Y_v*up_RadSpec!AY28))),".")</f>
        <v>9.0143481925428208</v>
      </c>
      <c r="BB28" s="116">
        <f>IFERROR(IF(up_Bv!F28=0,".",((s_Ir*s_F*s_I_f*s_T*(1-EXP(-up_RadSpec!AY28*s_t_v)))/(s_Y_v*up_RadSpec!AY28))),".")</f>
        <v>9.0143481925428208</v>
      </c>
      <c r="BC28" s="116">
        <f>IFERROR(IF(up_Bv!G28=0,".",((s_Ir*s_F*s_I_f*s_T*(1-EXP(-up_RadSpec!AY28*s_t_v)))/(s_Y_v*up_RadSpec!AY28))),".")</f>
        <v>9.0143481925428208</v>
      </c>
      <c r="BD28" s="116">
        <f>IFERROR(IF(up_Bv!H28=0,".",((s_Ir*s_F*s_I_f*s_T*(1-EXP(-up_RadSpec!AY28*s_t_v)))/(s_Y_v*up_RadSpec!AY28))),".")</f>
        <v>9.0143481925428208</v>
      </c>
      <c r="BE28" s="116">
        <f>IFERROR(IF(up_Bv!I28=0,".",((s_Ir*s_F*s_I_f*s_T*(1-EXP(-up_RadSpec!AY28*s_t_v)))/(s_Y_v*up_RadSpec!AY28))),".")</f>
        <v>9.0143481925428208</v>
      </c>
      <c r="BF28" s="116">
        <f>IFERROR(IF(up_Bv!J28=0,".",((s_Ir*s_F*s_I_f*s_T*(1-EXP(-up_RadSpec!AY28*s_t_v)))/(s_Y_v*up_RadSpec!AY28))),".")</f>
        <v>9.0143481925428208</v>
      </c>
      <c r="BG28" s="116">
        <f>IFERROR(IF(up_Bv!K28=0,".",((s_Ir*s_F*s_I_f*s_T*(1-EXP(-up_RadSpec!AY28*s_t_v)))/(s_Y_v*up_RadSpec!AY28))),".")</f>
        <v>9.0143481925428208</v>
      </c>
      <c r="BH28" s="116">
        <f>IFERROR(IF(up_Bv!L28=0,".",((s_Ir*s_F*s_I_f*s_T*(1-EXP(-up_RadSpec!AY28*s_t_v)))/(s_Y_v*up_RadSpec!AY28))),".")</f>
        <v>9.0143481925428208</v>
      </c>
      <c r="BI28" s="116">
        <f>IFERROR(IF(up_Bv!M28=0,".",((s_Ir*s_F*s_I_f*s_T*(1-EXP(-up_RadSpec!AY28*s_t_v)))/(s_Y_v*up_RadSpec!AY28))),".")</f>
        <v>9.0143481925428208</v>
      </c>
      <c r="BJ28" s="116">
        <f>IFERROR(IF(up_Bv!N28=0,".",((s_Ir*s_F*s_I_f*s_T*(1-EXP(-up_RadSpec!AY28*s_t_v)))/(s_Y_v*up_RadSpec!AY28))),".")</f>
        <v>9.0143481925428208</v>
      </c>
      <c r="BK28" s="116">
        <f>IFERROR(IF(up_Bv!O28=0,".",((s_Ir*s_F*s_I_f*s_T*(1-EXP(-up_RadSpec!AY28*s_t_v)))/(s_Y_v*up_RadSpec!AY28))),".")</f>
        <v>9.0143481925428208</v>
      </c>
      <c r="BL28" s="116">
        <f>IFERROR(IF(up_Bv!P28=0,".",((s_Ir*s_F*s_I_f*s_T*(1-EXP(-up_RadSpec!AY28*s_t_v)))/(s_Y_v*up_RadSpec!AY28))),".")</f>
        <v>9.0143481925428208</v>
      </c>
      <c r="BM28" s="116">
        <f>IFERROR(IF(up_Bv!Q28=0,".",((s_Ir*s_F*s_I_f*s_T*(1-EXP(-up_RadSpec!AY28*s_t_v)))/(s_Y_v*up_RadSpec!AY28))),".")</f>
        <v>9.0143481925428208</v>
      </c>
      <c r="BN28" s="116">
        <f>IFERROR(IF(up_Bv!R28=0,".",((s_Ir*s_F*s_I_f*s_T*(1-EXP(-up_RadSpec!AY28*s_t_v)))/(s_Y_v*up_RadSpec!AY28))),".")</f>
        <v>9.0143481925428208</v>
      </c>
      <c r="BO28" s="116">
        <f>IFERROR(IF(up_Bv!S28=0,".",((s_Ir*s_F*s_I_f*s_T*(1-EXP(-up_RadSpec!AY28*s_t_v)))/(s_Y_v*up_RadSpec!AY28))),".")</f>
        <v>9.0143481925428208</v>
      </c>
      <c r="BP28" s="116">
        <f>IFERROR(IF(up_Bv!T28=0,".",((s_Ir*s_F*s_I_f*s_T*(1-EXP(-up_RadSpec!AY28*s_t_v)))/(s_Y_v*up_RadSpec!AY28))),".")</f>
        <v>9.0143481925428208</v>
      </c>
      <c r="BQ28" s="116">
        <f>IFERROR(IF(up_Bv!U28=0,".",((s_Ir*s_F*s_I_f*s_T*(1-EXP(-up_RadSpec!AY28*s_t_v)))/(s_Y_v*up_RadSpec!AY28))),".")</f>
        <v>9.0143481925428208</v>
      </c>
      <c r="BR28" s="116">
        <f>IFERROR(IF(up_Bv!V28=0,".",((s_Ir*s_F*s_I_f*s_T*(1-EXP(-up_RadSpec!AY28*s_t_v)))/(s_Y_v*up_RadSpec!AY28))),".")</f>
        <v>9.0143481925428208</v>
      </c>
      <c r="BS28" s="116">
        <f>IFERROR(IF(up_Bv!W28=0,".",((s_Ir*s_F*s_I_f*s_T*(1-EXP(-up_RadSpec!AY28*s_t_v)))/(s_Y_v*up_RadSpec!AY28))),".")</f>
        <v>9.0143481925428208</v>
      </c>
      <c r="BT28" s="116">
        <f>IFERROR(IF(up_Bv!X28=0,".",((s_Ir*s_F*s_I_f*s_T*(1-EXP(-up_RadSpec!AY28*s_t_v)))/(s_Y_v*up_RadSpec!AY28))),".")</f>
        <v>9.0143481925428208</v>
      </c>
      <c r="BU28" s="116">
        <f>IFERROR(IF(up_Bv!Y28=0,".",((s_Ir*s_F*s_I_f*s_T*(1-EXP(-up_RadSpec!AY28*s_t_v)))/(s_Y_v*up_RadSpec!AY28))),".")</f>
        <v>9.0143481925428208</v>
      </c>
      <c r="BV28" s="116">
        <f>IFERROR(IF(up_Bv!Z28=0,".",((s_Ir*s_F*s_I_f*s_T*(1-EXP(-up_RadSpec!AY28*s_t_v)))/(s_Y_v*up_RadSpec!AY28))),".")</f>
        <v>9.0143481925428208</v>
      </c>
    </row>
    <row r="29" spans="1:74" x14ac:dyDescent="0.25">
      <c r="A29" s="44" t="s">
        <v>39</v>
      </c>
      <c r="B29" s="42" t="s">
        <v>1074</v>
      </c>
      <c r="C29" s="116">
        <f>IFERROR(IF(up_Bv!C29=0,".",((s_Ir*s_F*up_Bv!C29*(1-EXP(-up_RadSpec!$AX29*s_t_b)))/(s_P*up_RadSpec!$AX29))),".")</f>
        <v>993.50362303732038</v>
      </c>
      <c r="D29" s="116">
        <f>IFERROR(IF(up_Bv!D29=0,".",((s_Ir*s_F*up_Bv!D29*(1-EXP(-up_RadSpec!AX29*s_t_b)))/(s_P*up_RadSpec!AX29))),".")</f>
        <v>993.50362303732038</v>
      </c>
      <c r="E29" s="116">
        <f>IFERROR(IF(up_Bv!E29=0,".",((s_Ir*s_F*up_Bv!E29*(1-EXP(-up_RadSpec!AX29*s_t_b)))/(s_P*up_RadSpec!AX29))),".")</f>
        <v>993.50362303732038</v>
      </c>
      <c r="F29" s="116">
        <f>IFERROR(IF(up_Bv!F29=0,".",((s_Ir*s_F*up_Bv!F29*(1-EXP(-up_RadSpec!AX29*s_t_b)))/(s_P*up_RadSpec!AX29))),".")</f>
        <v>993.50362303732038</v>
      </c>
      <c r="G29" s="116">
        <f>IFERROR(IF(up_Bv!G29=0,".",((s_Ir*s_F*up_Bv!G29*(1-EXP(-up_RadSpec!AX29*s_t_b)))/(s_P*up_RadSpec!AX29))),".")</f>
        <v>993.50362303732038</v>
      </c>
      <c r="H29" s="116">
        <f>IFERROR(IF(up_Bv!H29=0,".",((s_Ir*s_F*up_Bv!H29*(1-EXP(-up_RadSpec!AX29*s_t_b)))/(s_P*up_RadSpec!AX29))),".")</f>
        <v>993.50362303732038</v>
      </c>
      <c r="I29" s="116">
        <f>IFERROR(IF(up_Bv!I29=0,".",((s_Ir*s_F*up_Bv!I29*(1-EXP(-up_RadSpec!AX29*s_t_b)))/(s_P*up_RadSpec!AX29))),".")</f>
        <v>993.50362303732038</v>
      </c>
      <c r="J29" s="116">
        <f>IFERROR(IF(up_Bv!J29=0,".",((s_Ir*s_F*up_Bv!J29*(1-EXP(-up_RadSpec!AX29*s_t_b)))/(s_P*up_RadSpec!AX29))),".")</f>
        <v>993.50362303732038</v>
      </c>
      <c r="K29" s="116">
        <f>IFERROR(IF(up_Bv!K29=0,".",((s_Ir*s_F*up_Bv!K29*(1-EXP(-up_RadSpec!AX29*s_t_b)))/(s_P*up_RadSpec!AX29))),".")</f>
        <v>993.50362303732038</v>
      </c>
      <c r="L29" s="116">
        <f>IFERROR(IF(up_Bv!L29=0,".",((s_Ir*s_F*up_Bv!L29*(1-EXP(-up_RadSpec!AX29*s_t_b)))/(s_P*up_RadSpec!AX29))),".")</f>
        <v>993.50362303732038</v>
      </c>
      <c r="M29" s="116">
        <f>IFERROR(IF(up_Bv!M29=0,".",((s_Ir*s_F*up_Bv!M29*(1-EXP(-up_RadSpec!AX29*s_t_b)))/(s_P*up_RadSpec!AX29))),".")</f>
        <v>993.50362303732038</v>
      </c>
      <c r="N29" s="116">
        <f>IFERROR(IF(up_Bv!N29=0,".",((s_Ir*s_F*up_Bv!N29*(1-EXP(-up_RadSpec!AX29*s_t_b)))/(s_P*up_RadSpec!AX29))),".")</f>
        <v>993.50362303732038</v>
      </c>
      <c r="O29" s="116">
        <f>IFERROR(IF(up_Bv!O29=0,".",((s_Ir*s_F*up_Bv!O29*(1-EXP(-up_RadSpec!AX29*s_t_b)))/(s_P*up_RadSpec!AX29))),".")</f>
        <v>993.50362303732038</v>
      </c>
      <c r="P29" s="116">
        <f>IFERROR(IF(up_Bv!P29=0,".",((s_Ir*s_F*up_Bv!P29*(1-EXP(-up_RadSpec!AX29*s_t_b)))/(s_P*up_RadSpec!AX29))),".")</f>
        <v>993.50362303732038</v>
      </c>
      <c r="Q29" s="116">
        <f>IFERROR(IF(up_Bv!Q29=0,".",((s_Ir*s_F*up_Bv!Q29*(1-EXP(-up_RadSpec!AX29*s_t_b)))/(s_P*up_RadSpec!AX29))),".")</f>
        <v>993.50362303732038</v>
      </c>
      <c r="R29" s="116">
        <f>IFERROR(IF(up_Bv!R29=0,".",((s_Ir*s_F*up_Bv!R29*(1-EXP(-up_RadSpec!AX29*s_t_b)))/(s_P*up_RadSpec!AX29))),".")</f>
        <v>993.50362303732038</v>
      </c>
      <c r="S29" s="116">
        <f>IFERROR(IF(up_Bv!S29=0,".",((s_Ir*s_F*up_Bv!S29*(1-EXP(-up_RadSpec!AX29*s_t_b)))/(s_P*up_RadSpec!AX29))),".")</f>
        <v>993.50362303732038</v>
      </c>
      <c r="T29" s="116">
        <f>IFERROR(IF(up_Bv!T29=0,".",((s_Ir*s_F*up_Bv!T29*(1-EXP(-up_RadSpec!AX29*s_t_b)))/(s_P*up_RadSpec!AX29))),".")</f>
        <v>993.50362303732038</v>
      </c>
      <c r="U29" s="116">
        <f>IFERROR(IF(up_Bv!U29=0,".",((s_Ir*s_F*up_Bv!U29*(1-EXP(-up_RadSpec!AX29*s_t_b)))/(s_P*up_RadSpec!AX29))),".")</f>
        <v>993.50362303732038</v>
      </c>
      <c r="V29" s="116">
        <f>IFERROR(IF(up_Bv!V29=0,".",((s_Ir*s_F*up_Bv!V29*(1-EXP(-up_RadSpec!AX29*s_t_b)))/(s_P*up_RadSpec!AX29))),".")</f>
        <v>993.50362303732038</v>
      </c>
      <c r="W29" s="116">
        <f>IFERROR(IF(up_Bv!W29=0,".",((s_Ir*s_F*up_Bv!W29*(1-EXP(-up_RadSpec!AX29*s_t_b)))/(s_P*up_RadSpec!AX29))),".")</f>
        <v>993.50362303732038</v>
      </c>
      <c r="X29" s="116">
        <f>IFERROR(IF(up_Bv!X29=0,".",((s_Ir*s_F*up_Bv!X29*(1-EXP(-up_RadSpec!AX29*s_t_b)))/(s_P*up_RadSpec!AX29))),".")</f>
        <v>993.50362303732038</v>
      </c>
      <c r="Y29" s="116">
        <f>IFERROR(IF(up_Bv!Y29=0,".",((s_Ir*s_F*up_Bv!Y29*(1-EXP(-up_RadSpec!AX29*s_t_b)))/(s_P*up_RadSpec!AX29))),".")</f>
        <v>993.50362303732038</v>
      </c>
      <c r="Z29" s="116">
        <f>IFERROR(IF(up_Bv!Z29=0,".",((s_Ir*s_F*up_Bv!Z29*(1-EXP(-up_RadSpec!AX29*s_t_b)))/(s_P*up_RadSpec!AX29))),".")</f>
        <v>993.50362303732038</v>
      </c>
      <c r="AA29" s="116">
        <f>IFERROR(IF(up_Bv!C29=0,".",((s_Ir*s_F*s_MLF_apple*(1-EXP(-up_RadSpec!AX29*s_t_b)))/(s_P*up_RadSpec!AX29))),".")</f>
        <v>2.6824597822007652</v>
      </c>
      <c r="AB29" s="116">
        <f>IFERROR(IF(up_Bv!D29=0,".",((s_Ir*s_F*s_MLF_asparagus*(1-EXP(-up_RadSpec!AX29*s_t_b)))/(s_P*up_RadSpec!AX29))),".")</f>
        <v>2.6824597822007652</v>
      </c>
      <c r="AC29" s="116">
        <f>IFERROR(IF(up_Bv!E29=0,".",((s_Ir*s_F*s_MLF_beet*(1-EXP(-up_RadSpec!AX29*s_t_b)))/(s_P*up_RadSpec!AX29))),".")</f>
        <v>2.6824597822007652</v>
      </c>
      <c r="AD29" s="116">
        <f>IFERROR(IF(up_Bv!F29=0,".",((s_Ir*s_F*s_MLF_berries*(1-EXP(-up_RadSpec!AX29*s_t_b)))/(s_P*up_RadSpec!AX29))),".")</f>
        <v>2.6824597822007652</v>
      </c>
      <c r="AE29" s="116">
        <f>IFERROR(IF(up_Bv!G29=0,".",((s_Ir*s_F*s_MLF_broccoli*(1-EXP(-up_RadSpec!AX29*s_t_b)))/(s_P*up_RadSpec!AX29))),".")</f>
        <v>2.6824597822007652</v>
      </c>
      <c r="AF29" s="116">
        <f>IFERROR(IF(up_Bv!H29=0,".",((s_Ir*s_F*s_MLF_cabbage*(1-EXP(-up_RadSpec!AX29*s_t_b)))/(s_P*up_RadSpec!AX29))),".")</f>
        <v>2.6824597822007652</v>
      </c>
      <c r="AG29" s="116">
        <f>IFERROR(IF(up_Bv!I29=0,".",((s_Ir*s_F*s_MLF_carrot*(1-EXP(-up_RadSpec!AX29*s_t_b)))/(s_P*up_RadSpec!AX29))),".")</f>
        <v>2.6824597822007652</v>
      </c>
      <c r="AH29" s="116">
        <f>IFERROR(IF(up_Bv!J29=0,".",((s_Ir*s_F*s_MLF_citrus*(1-EXP(-up_RadSpec!AX29*s_t_b)))/(s_P*up_RadSpec!AX29))),".")</f>
        <v>2.6824597822007652</v>
      </c>
      <c r="AI29" s="116">
        <f>IFERROR(IF(up_Bv!K29=0,".",((s_Ir*s_F*s_MLF_corn*(1-EXP(-up_RadSpec!AX29*s_t_b)))/(s_P*up_RadSpec!AX29))),".")</f>
        <v>2.6824597822007652</v>
      </c>
      <c r="AJ29" s="116">
        <f>IFERROR(IF(up_Bv!L29=0,".",((s_Ir*s_F*s_MLF_cucumber*(1-EXP(-up_RadSpec!AX29*s_t_b)))/(s_P*up_RadSpec!AX29))),".")</f>
        <v>2.6824597822007652</v>
      </c>
      <c r="AK29" s="116">
        <f>IFERROR(IF(up_Bv!M29=0,".",((s_Ir*s_F*s_MLF_lettuce*(1-EXP(-up_RadSpec!AX29*s_t_b)))/(s_P*up_RadSpec!AX29))),".")</f>
        <v>2.6824597822007652</v>
      </c>
      <c r="AL29" s="116">
        <f>IFERROR(IF(up_Bv!N29=0,".",((s_Ir*s_F*s_MLF_lima_bean*(1-EXP(-up_RadSpec!AX29*s_t_b)))/(s_P*up_RadSpec!AX29))),".")</f>
        <v>2.6824597822007652</v>
      </c>
      <c r="AM29" s="116">
        <f>IFERROR(IF(up_Bv!O29=0,".",((s_Ir*s_F*s_MLF_okra*(1-EXP(-up_RadSpec!AX29*s_t_b)))/(s_P*up_RadSpec!AX29))),".")</f>
        <v>2.6824597822007652</v>
      </c>
      <c r="AN29" s="116">
        <f>IFERROR(IF(up_Bv!P29=0,".",((s_Ir*s_F*s_MLF_onion*(1-EXP(-up_RadSpec!AX29*s_t_b)))/(s_P*up_RadSpec!AX29))),".")</f>
        <v>2.6824597822007652</v>
      </c>
      <c r="AO29" s="116">
        <f>IFERROR(IF(up_Bv!Q29=0,".",((s_Ir*s_F*s_MLF_peach*(1-EXP(-up_RadSpec!AX29*s_t_b)))/(s_P*up_RadSpec!AX29))),".")</f>
        <v>2.6824597822007652</v>
      </c>
      <c r="AP29" s="116">
        <f>IFERROR(IF(up_Bv!R29=0,".",((s_Ir*s_F*s_MLF_pear*(1-EXP(-up_RadSpec!AX29*s_t_b)))/(s_P*up_RadSpec!AX29))),".")</f>
        <v>2.6824597822007652</v>
      </c>
      <c r="AQ29" s="116">
        <f>IFERROR(IF(up_Bv!S29=0,".",((s_Ir*s_F*s_MLF_peas*(1-EXP(-up_RadSpec!AX29*s_t_b)))/(s_P*up_RadSpec!AX29))),".")</f>
        <v>2.6824597822007652</v>
      </c>
      <c r="AR29" s="116">
        <f>IFERROR(IF(up_Bv!T29=0,".",((s_Ir*s_F*s_MLF_potato*(1-EXP(-up_RadSpec!AX29*s_t_b)))/(s_P*up_RadSpec!AX29))),".")</f>
        <v>2.6824597822007652</v>
      </c>
      <c r="AS29" s="116">
        <f>IFERROR(IF(up_Bv!U29=0,".",((s_Ir*s_F*s_MLF_pumpkin*(1-EXP(-up_RadSpec!AX29*s_t_b)))/(s_P*up_RadSpec!AX29))),".")</f>
        <v>2.6824597822007652</v>
      </c>
      <c r="AT29" s="116">
        <f>IFERROR(IF(up_Bv!V29=0,".",((s_Ir*s_F*s_MLF_snap_bean*(1-EXP(-up_RadSpec!AX29*s_t_b)))/(s_P*up_RadSpec!AX29))),".")</f>
        <v>2.6824597822007652</v>
      </c>
      <c r="AU29" s="116">
        <f>IFERROR(IF(up_Bv!W29=0,".",((s_Ir*s_F*s_MLF_strawberry*(1-EXP(-up_RadSpec!AX29*s_t_b)))/(s_P*up_RadSpec!AX29))),".")</f>
        <v>2.6824597822007652</v>
      </c>
      <c r="AV29" s="116">
        <f>IFERROR(IF(up_Bv!X29=0,".",((s_Ir*s_F*s_MLF_tomato*(1-EXP(-up_RadSpec!AX29*s_t_b)))/(s_P*up_RadSpec!AX29))),".")</f>
        <v>2.6824597822007652</v>
      </c>
      <c r="AW29" s="116">
        <f>IFERROR(IF(up_Bv!Y29=0,".",((s_Ir*s_F*s_MLF_rice*(1-EXP(-up_RadSpec!AX29*s_t_b)))/(s_P*up_RadSpec!AX29))),".")</f>
        <v>2.6824597822007652</v>
      </c>
      <c r="AX29" s="116">
        <f>IFERROR(IF(up_Bv!Z29=0,".",((s_Ir*s_F*s_MLF_cereal*(1-EXP(-up_RadSpec!AX29*s_t_b)))/(s_P*up_RadSpec!AX29))),".")</f>
        <v>2.6824597822007652</v>
      </c>
      <c r="AY29" s="116">
        <f>IFERROR(IF(up_Bv!C29=0,".",((s_Ir*s_F*s_I_f*s_T*(1-EXP(-up_RadSpec!AY29*s_t_v)))/(s_Y_v*up_RadSpec!AY29))),".")</f>
        <v>9.0143481925428208</v>
      </c>
      <c r="AZ29" s="116">
        <f>IFERROR(IF(up_Bv!D29=0,".",((s_Ir*s_F*s_I_f*s_T*(1-EXP(-up_RadSpec!AY29*s_t_v)))/(s_Y_v*up_RadSpec!AY29))),".")</f>
        <v>9.0143481925428208</v>
      </c>
      <c r="BA29" s="116">
        <f>IFERROR(IF(up_Bv!E29=0,".",((s_Ir*s_F*s_I_f*s_T*(1-EXP(-up_RadSpec!AY29*s_t_v)))/(s_Y_v*up_RadSpec!AY29))),".")</f>
        <v>9.0143481925428208</v>
      </c>
      <c r="BB29" s="116">
        <f>IFERROR(IF(up_Bv!F29=0,".",((s_Ir*s_F*s_I_f*s_T*(1-EXP(-up_RadSpec!AY29*s_t_v)))/(s_Y_v*up_RadSpec!AY29))),".")</f>
        <v>9.0143481925428208</v>
      </c>
      <c r="BC29" s="116">
        <f>IFERROR(IF(up_Bv!G29=0,".",((s_Ir*s_F*s_I_f*s_T*(1-EXP(-up_RadSpec!AY29*s_t_v)))/(s_Y_v*up_RadSpec!AY29))),".")</f>
        <v>9.0143481925428208</v>
      </c>
      <c r="BD29" s="116">
        <f>IFERROR(IF(up_Bv!H29=0,".",((s_Ir*s_F*s_I_f*s_T*(1-EXP(-up_RadSpec!AY29*s_t_v)))/(s_Y_v*up_RadSpec!AY29))),".")</f>
        <v>9.0143481925428208</v>
      </c>
      <c r="BE29" s="116">
        <f>IFERROR(IF(up_Bv!I29=0,".",((s_Ir*s_F*s_I_f*s_T*(1-EXP(-up_RadSpec!AY29*s_t_v)))/(s_Y_v*up_RadSpec!AY29))),".")</f>
        <v>9.0143481925428208</v>
      </c>
      <c r="BF29" s="116">
        <f>IFERROR(IF(up_Bv!J29=0,".",((s_Ir*s_F*s_I_f*s_T*(1-EXP(-up_RadSpec!AY29*s_t_v)))/(s_Y_v*up_RadSpec!AY29))),".")</f>
        <v>9.0143481925428208</v>
      </c>
      <c r="BG29" s="116">
        <f>IFERROR(IF(up_Bv!K29=0,".",((s_Ir*s_F*s_I_f*s_T*(1-EXP(-up_RadSpec!AY29*s_t_v)))/(s_Y_v*up_RadSpec!AY29))),".")</f>
        <v>9.0143481925428208</v>
      </c>
      <c r="BH29" s="116">
        <f>IFERROR(IF(up_Bv!L29=0,".",((s_Ir*s_F*s_I_f*s_T*(1-EXP(-up_RadSpec!AY29*s_t_v)))/(s_Y_v*up_RadSpec!AY29))),".")</f>
        <v>9.0143481925428208</v>
      </c>
      <c r="BI29" s="116">
        <f>IFERROR(IF(up_Bv!M29=0,".",((s_Ir*s_F*s_I_f*s_T*(1-EXP(-up_RadSpec!AY29*s_t_v)))/(s_Y_v*up_RadSpec!AY29))),".")</f>
        <v>9.0143481925428208</v>
      </c>
      <c r="BJ29" s="116">
        <f>IFERROR(IF(up_Bv!N29=0,".",((s_Ir*s_F*s_I_f*s_T*(1-EXP(-up_RadSpec!AY29*s_t_v)))/(s_Y_v*up_RadSpec!AY29))),".")</f>
        <v>9.0143481925428208</v>
      </c>
      <c r="BK29" s="116">
        <f>IFERROR(IF(up_Bv!O29=0,".",((s_Ir*s_F*s_I_f*s_T*(1-EXP(-up_RadSpec!AY29*s_t_v)))/(s_Y_v*up_RadSpec!AY29))),".")</f>
        <v>9.0143481925428208</v>
      </c>
      <c r="BL29" s="116">
        <f>IFERROR(IF(up_Bv!P29=0,".",((s_Ir*s_F*s_I_f*s_T*(1-EXP(-up_RadSpec!AY29*s_t_v)))/(s_Y_v*up_RadSpec!AY29))),".")</f>
        <v>9.0143481925428208</v>
      </c>
      <c r="BM29" s="116">
        <f>IFERROR(IF(up_Bv!Q29=0,".",((s_Ir*s_F*s_I_f*s_T*(1-EXP(-up_RadSpec!AY29*s_t_v)))/(s_Y_v*up_RadSpec!AY29))),".")</f>
        <v>9.0143481925428208</v>
      </c>
      <c r="BN29" s="116">
        <f>IFERROR(IF(up_Bv!R29=0,".",((s_Ir*s_F*s_I_f*s_T*(1-EXP(-up_RadSpec!AY29*s_t_v)))/(s_Y_v*up_RadSpec!AY29))),".")</f>
        <v>9.0143481925428208</v>
      </c>
      <c r="BO29" s="116">
        <f>IFERROR(IF(up_Bv!S29=0,".",((s_Ir*s_F*s_I_f*s_T*(1-EXP(-up_RadSpec!AY29*s_t_v)))/(s_Y_v*up_RadSpec!AY29))),".")</f>
        <v>9.0143481925428208</v>
      </c>
      <c r="BP29" s="116">
        <f>IFERROR(IF(up_Bv!T29=0,".",((s_Ir*s_F*s_I_f*s_T*(1-EXP(-up_RadSpec!AY29*s_t_v)))/(s_Y_v*up_RadSpec!AY29))),".")</f>
        <v>9.0143481925428208</v>
      </c>
      <c r="BQ29" s="116">
        <f>IFERROR(IF(up_Bv!U29=0,".",((s_Ir*s_F*s_I_f*s_T*(1-EXP(-up_RadSpec!AY29*s_t_v)))/(s_Y_v*up_RadSpec!AY29))),".")</f>
        <v>9.0143481925428208</v>
      </c>
      <c r="BR29" s="116">
        <f>IFERROR(IF(up_Bv!V29=0,".",((s_Ir*s_F*s_I_f*s_T*(1-EXP(-up_RadSpec!AY29*s_t_v)))/(s_Y_v*up_RadSpec!AY29))),".")</f>
        <v>9.0143481925428208</v>
      </c>
      <c r="BS29" s="116">
        <f>IFERROR(IF(up_Bv!W29=0,".",((s_Ir*s_F*s_I_f*s_T*(1-EXP(-up_RadSpec!AY29*s_t_v)))/(s_Y_v*up_RadSpec!AY29))),".")</f>
        <v>9.0143481925428208</v>
      </c>
      <c r="BT29" s="116">
        <f>IFERROR(IF(up_Bv!X29=0,".",((s_Ir*s_F*s_I_f*s_T*(1-EXP(-up_RadSpec!AY29*s_t_v)))/(s_Y_v*up_RadSpec!AY29))),".")</f>
        <v>9.0143481925428208</v>
      </c>
      <c r="BU29" s="116">
        <f>IFERROR(IF(up_Bv!Y29=0,".",((s_Ir*s_F*s_I_f*s_T*(1-EXP(-up_RadSpec!AY29*s_t_v)))/(s_Y_v*up_RadSpec!AY29))),".")</f>
        <v>9.0143481925428208</v>
      </c>
      <c r="BV29" s="116">
        <f>IFERROR(IF(up_Bv!Z29=0,".",((s_Ir*s_F*s_I_f*s_T*(1-EXP(-up_RadSpec!AY29*s_t_v)))/(s_Y_v*up_RadSpec!AY29))),".")</f>
        <v>9.0143481925428208</v>
      </c>
    </row>
    <row r="30" spans="1:74" x14ac:dyDescent="0.25">
      <c r="A30" s="44" t="s">
        <v>40</v>
      </c>
      <c r="B30" s="42" t="s">
        <v>1074</v>
      </c>
      <c r="C30" s="116">
        <f>IFERROR(IF(up_Bv!C30=0,".",((s_Ir*s_F*up_Bv!C30*(1-EXP(-up_RadSpec!$AX30*s_t_b)))/(s_P*up_RadSpec!$AX30))),".")</f>
        <v>993.50362303732038</v>
      </c>
      <c r="D30" s="116">
        <f>IFERROR(IF(up_Bv!D30=0,".",((s_Ir*s_F*up_Bv!D30*(1-EXP(-up_RadSpec!AX30*s_t_b)))/(s_P*up_RadSpec!AX30))),".")</f>
        <v>993.50362303732038</v>
      </c>
      <c r="E30" s="116">
        <f>IFERROR(IF(up_Bv!E30=0,".",((s_Ir*s_F*up_Bv!E30*(1-EXP(-up_RadSpec!AX30*s_t_b)))/(s_P*up_RadSpec!AX30))),".")</f>
        <v>993.50362303732038</v>
      </c>
      <c r="F30" s="116">
        <f>IFERROR(IF(up_Bv!F30=0,".",((s_Ir*s_F*up_Bv!F30*(1-EXP(-up_RadSpec!AX30*s_t_b)))/(s_P*up_RadSpec!AX30))),".")</f>
        <v>993.50362303732038</v>
      </c>
      <c r="G30" s="116">
        <f>IFERROR(IF(up_Bv!G30=0,".",((s_Ir*s_F*up_Bv!G30*(1-EXP(-up_RadSpec!AX30*s_t_b)))/(s_P*up_RadSpec!AX30))),".")</f>
        <v>993.50362303732038</v>
      </c>
      <c r="H30" s="116">
        <f>IFERROR(IF(up_Bv!H30=0,".",((s_Ir*s_F*up_Bv!H30*(1-EXP(-up_RadSpec!AX30*s_t_b)))/(s_P*up_RadSpec!AX30))),".")</f>
        <v>993.50362303732038</v>
      </c>
      <c r="I30" s="116">
        <f>IFERROR(IF(up_Bv!I30=0,".",((s_Ir*s_F*up_Bv!I30*(1-EXP(-up_RadSpec!AX30*s_t_b)))/(s_P*up_RadSpec!AX30))),".")</f>
        <v>993.50362303732038</v>
      </c>
      <c r="J30" s="116">
        <f>IFERROR(IF(up_Bv!J30=0,".",((s_Ir*s_F*up_Bv!J30*(1-EXP(-up_RadSpec!AX30*s_t_b)))/(s_P*up_RadSpec!AX30))),".")</f>
        <v>993.50362303732038</v>
      </c>
      <c r="K30" s="116">
        <f>IFERROR(IF(up_Bv!K30=0,".",((s_Ir*s_F*up_Bv!K30*(1-EXP(-up_RadSpec!AX30*s_t_b)))/(s_P*up_RadSpec!AX30))),".")</f>
        <v>993.50362303732038</v>
      </c>
      <c r="L30" s="116">
        <f>IFERROR(IF(up_Bv!L30=0,".",((s_Ir*s_F*up_Bv!L30*(1-EXP(-up_RadSpec!AX30*s_t_b)))/(s_P*up_RadSpec!AX30))),".")</f>
        <v>993.50362303732038</v>
      </c>
      <c r="M30" s="116">
        <f>IFERROR(IF(up_Bv!M30=0,".",((s_Ir*s_F*up_Bv!M30*(1-EXP(-up_RadSpec!AX30*s_t_b)))/(s_P*up_RadSpec!AX30))),".")</f>
        <v>993.50362303732038</v>
      </c>
      <c r="N30" s="116">
        <f>IFERROR(IF(up_Bv!N30=0,".",((s_Ir*s_F*up_Bv!N30*(1-EXP(-up_RadSpec!AX30*s_t_b)))/(s_P*up_RadSpec!AX30))),".")</f>
        <v>993.50362303732038</v>
      </c>
      <c r="O30" s="116">
        <f>IFERROR(IF(up_Bv!O30=0,".",((s_Ir*s_F*up_Bv!O30*(1-EXP(-up_RadSpec!AX30*s_t_b)))/(s_P*up_RadSpec!AX30))),".")</f>
        <v>993.50362303732038</v>
      </c>
      <c r="P30" s="116">
        <f>IFERROR(IF(up_Bv!P30=0,".",((s_Ir*s_F*up_Bv!P30*(1-EXP(-up_RadSpec!AX30*s_t_b)))/(s_P*up_RadSpec!AX30))),".")</f>
        <v>993.50362303732038</v>
      </c>
      <c r="Q30" s="116">
        <f>IFERROR(IF(up_Bv!Q30=0,".",((s_Ir*s_F*up_Bv!Q30*(1-EXP(-up_RadSpec!AX30*s_t_b)))/(s_P*up_RadSpec!AX30))),".")</f>
        <v>993.50362303732038</v>
      </c>
      <c r="R30" s="116">
        <f>IFERROR(IF(up_Bv!R30=0,".",((s_Ir*s_F*up_Bv!R30*(1-EXP(-up_RadSpec!AX30*s_t_b)))/(s_P*up_RadSpec!AX30))),".")</f>
        <v>993.50362303732038</v>
      </c>
      <c r="S30" s="116">
        <f>IFERROR(IF(up_Bv!S30=0,".",((s_Ir*s_F*up_Bv!S30*(1-EXP(-up_RadSpec!AX30*s_t_b)))/(s_P*up_RadSpec!AX30))),".")</f>
        <v>993.50362303732038</v>
      </c>
      <c r="T30" s="116">
        <f>IFERROR(IF(up_Bv!T30=0,".",((s_Ir*s_F*up_Bv!T30*(1-EXP(-up_RadSpec!AX30*s_t_b)))/(s_P*up_RadSpec!AX30))),".")</f>
        <v>993.50362303732038</v>
      </c>
      <c r="U30" s="116">
        <f>IFERROR(IF(up_Bv!U30=0,".",((s_Ir*s_F*up_Bv!U30*(1-EXP(-up_RadSpec!AX30*s_t_b)))/(s_P*up_RadSpec!AX30))),".")</f>
        <v>993.50362303732038</v>
      </c>
      <c r="V30" s="116">
        <f>IFERROR(IF(up_Bv!V30=0,".",((s_Ir*s_F*up_Bv!V30*(1-EXP(-up_RadSpec!AX30*s_t_b)))/(s_P*up_RadSpec!AX30))),".")</f>
        <v>993.50362303732038</v>
      </c>
      <c r="W30" s="116">
        <f>IFERROR(IF(up_Bv!W30=0,".",((s_Ir*s_F*up_Bv!W30*(1-EXP(-up_RadSpec!AX30*s_t_b)))/(s_P*up_RadSpec!AX30))),".")</f>
        <v>993.50362303732038</v>
      </c>
      <c r="X30" s="116">
        <f>IFERROR(IF(up_Bv!X30=0,".",((s_Ir*s_F*up_Bv!X30*(1-EXP(-up_RadSpec!AX30*s_t_b)))/(s_P*up_RadSpec!AX30))),".")</f>
        <v>993.50362303732038</v>
      </c>
      <c r="Y30" s="116">
        <f>IFERROR(IF(up_Bv!Y30=0,".",((s_Ir*s_F*up_Bv!Y30*(1-EXP(-up_RadSpec!AX30*s_t_b)))/(s_P*up_RadSpec!AX30))),".")</f>
        <v>993.50362303732038</v>
      </c>
      <c r="Z30" s="116">
        <f>IFERROR(IF(up_Bv!Z30=0,".",((s_Ir*s_F*up_Bv!Z30*(1-EXP(-up_RadSpec!AX30*s_t_b)))/(s_P*up_RadSpec!AX30))),".")</f>
        <v>993.50362303732038</v>
      </c>
      <c r="AA30" s="116">
        <f>IFERROR(IF(up_Bv!C30=0,".",((s_Ir*s_F*s_MLF_apple*(1-EXP(-up_RadSpec!AX30*s_t_b)))/(s_P*up_RadSpec!AX30))),".")</f>
        <v>2.6824597822007652</v>
      </c>
      <c r="AB30" s="116">
        <f>IFERROR(IF(up_Bv!D30=0,".",((s_Ir*s_F*s_MLF_asparagus*(1-EXP(-up_RadSpec!AX30*s_t_b)))/(s_P*up_RadSpec!AX30))),".")</f>
        <v>2.6824597822007652</v>
      </c>
      <c r="AC30" s="116">
        <f>IFERROR(IF(up_Bv!E30=0,".",((s_Ir*s_F*s_MLF_beet*(1-EXP(-up_RadSpec!AX30*s_t_b)))/(s_P*up_RadSpec!AX30))),".")</f>
        <v>2.6824597822007652</v>
      </c>
      <c r="AD30" s="116">
        <f>IFERROR(IF(up_Bv!F30=0,".",((s_Ir*s_F*s_MLF_berries*(1-EXP(-up_RadSpec!AX30*s_t_b)))/(s_P*up_RadSpec!AX30))),".")</f>
        <v>2.6824597822007652</v>
      </c>
      <c r="AE30" s="116">
        <f>IFERROR(IF(up_Bv!G30=0,".",((s_Ir*s_F*s_MLF_broccoli*(1-EXP(-up_RadSpec!AX30*s_t_b)))/(s_P*up_RadSpec!AX30))),".")</f>
        <v>2.6824597822007652</v>
      </c>
      <c r="AF30" s="116">
        <f>IFERROR(IF(up_Bv!H30=0,".",((s_Ir*s_F*s_MLF_cabbage*(1-EXP(-up_RadSpec!AX30*s_t_b)))/(s_P*up_RadSpec!AX30))),".")</f>
        <v>2.6824597822007652</v>
      </c>
      <c r="AG30" s="116">
        <f>IFERROR(IF(up_Bv!I30=0,".",((s_Ir*s_F*s_MLF_carrot*(1-EXP(-up_RadSpec!AX30*s_t_b)))/(s_P*up_RadSpec!AX30))),".")</f>
        <v>2.6824597822007652</v>
      </c>
      <c r="AH30" s="116">
        <f>IFERROR(IF(up_Bv!J30=0,".",((s_Ir*s_F*s_MLF_citrus*(1-EXP(-up_RadSpec!AX30*s_t_b)))/(s_P*up_RadSpec!AX30))),".")</f>
        <v>2.6824597822007652</v>
      </c>
      <c r="AI30" s="116">
        <f>IFERROR(IF(up_Bv!K30=0,".",((s_Ir*s_F*s_MLF_corn*(1-EXP(-up_RadSpec!AX30*s_t_b)))/(s_P*up_RadSpec!AX30))),".")</f>
        <v>2.6824597822007652</v>
      </c>
      <c r="AJ30" s="116">
        <f>IFERROR(IF(up_Bv!L30=0,".",((s_Ir*s_F*s_MLF_cucumber*(1-EXP(-up_RadSpec!AX30*s_t_b)))/(s_P*up_RadSpec!AX30))),".")</f>
        <v>2.6824597822007652</v>
      </c>
      <c r="AK30" s="116">
        <f>IFERROR(IF(up_Bv!M30=0,".",((s_Ir*s_F*s_MLF_lettuce*(1-EXP(-up_RadSpec!AX30*s_t_b)))/(s_P*up_RadSpec!AX30))),".")</f>
        <v>2.6824597822007652</v>
      </c>
      <c r="AL30" s="116">
        <f>IFERROR(IF(up_Bv!N30=0,".",((s_Ir*s_F*s_MLF_lima_bean*(1-EXP(-up_RadSpec!AX30*s_t_b)))/(s_P*up_RadSpec!AX30))),".")</f>
        <v>2.6824597822007652</v>
      </c>
      <c r="AM30" s="116">
        <f>IFERROR(IF(up_Bv!O30=0,".",((s_Ir*s_F*s_MLF_okra*(1-EXP(-up_RadSpec!AX30*s_t_b)))/(s_P*up_RadSpec!AX30))),".")</f>
        <v>2.6824597822007652</v>
      </c>
      <c r="AN30" s="116">
        <f>IFERROR(IF(up_Bv!P30=0,".",((s_Ir*s_F*s_MLF_onion*(1-EXP(-up_RadSpec!AX30*s_t_b)))/(s_P*up_RadSpec!AX30))),".")</f>
        <v>2.6824597822007652</v>
      </c>
      <c r="AO30" s="116">
        <f>IFERROR(IF(up_Bv!Q30=0,".",((s_Ir*s_F*s_MLF_peach*(1-EXP(-up_RadSpec!AX30*s_t_b)))/(s_P*up_RadSpec!AX30))),".")</f>
        <v>2.6824597822007652</v>
      </c>
      <c r="AP30" s="116">
        <f>IFERROR(IF(up_Bv!R30=0,".",((s_Ir*s_F*s_MLF_pear*(1-EXP(-up_RadSpec!AX30*s_t_b)))/(s_P*up_RadSpec!AX30))),".")</f>
        <v>2.6824597822007652</v>
      </c>
      <c r="AQ30" s="116">
        <f>IFERROR(IF(up_Bv!S30=0,".",((s_Ir*s_F*s_MLF_peas*(1-EXP(-up_RadSpec!AX30*s_t_b)))/(s_P*up_RadSpec!AX30))),".")</f>
        <v>2.6824597822007652</v>
      </c>
      <c r="AR30" s="116">
        <f>IFERROR(IF(up_Bv!T30=0,".",((s_Ir*s_F*s_MLF_potato*(1-EXP(-up_RadSpec!AX30*s_t_b)))/(s_P*up_RadSpec!AX30))),".")</f>
        <v>2.6824597822007652</v>
      </c>
      <c r="AS30" s="116">
        <f>IFERROR(IF(up_Bv!U30=0,".",((s_Ir*s_F*s_MLF_pumpkin*(1-EXP(-up_RadSpec!AX30*s_t_b)))/(s_P*up_RadSpec!AX30))),".")</f>
        <v>2.6824597822007652</v>
      </c>
      <c r="AT30" s="116">
        <f>IFERROR(IF(up_Bv!V30=0,".",((s_Ir*s_F*s_MLF_snap_bean*(1-EXP(-up_RadSpec!AX30*s_t_b)))/(s_P*up_RadSpec!AX30))),".")</f>
        <v>2.6824597822007652</v>
      </c>
      <c r="AU30" s="116">
        <f>IFERROR(IF(up_Bv!W30=0,".",((s_Ir*s_F*s_MLF_strawberry*(1-EXP(-up_RadSpec!AX30*s_t_b)))/(s_P*up_RadSpec!AX30))),".")</f>
        <v>2.6824597822007652</v>
      </c>
      <c r="AV30" s="116">
        <f>IFERROR(IF(up_Bv!X30=0,".",((s_Ir*s_F*s_MLF_tomato*(1-EXP(-up_RadSpec!AX30*s_t_b)))/(s_P*up_RadSpec!AX30))),".")</f>
        <v>2.6824597822007652</v>
      </c>
      <c r="AW30" s="116">
        <f>IFERROR(IF(up_Bv!Y30=0,".",((s_Ir*s_F*s_MLF_rice*(1-EXP(-up_RadSpec!AX30*s_t_b)))/(s_P*up_RadSpec!AX30))),".")</f>
        <v>2.6824597822007652</v>
      </c>
      <c r="AX30" s="116">
        <f>IFERROR(IF(up_Bv!Z30=0,".",((s_Ir*s_F*s_MLF_cereal*(1-EXP(-up_RadSpec!AX30*s_t_b)))/(s_P*up_RadSpec!AX30))),".")</f>
        <v>2.6824597822007652</v>
      </c>
      <c r="AY30" s="116">
        <f>IFERROR(IF(up_Bv!C30=0,".",((s_Ir*s_F*s_I_f*s_T*(1-EXP(-up_RadSpec!AY30*s_t_v)))/(s_Y_v*up_RadSpec!AY30))),".")</f>
        <v>9.0143481925428208</v>
      </c>
      <c r="AZ30" s="116">
        <f>IFERROR(IF(up_Bv!D30=0,".",((s_Ir*s_F*s_I_f*s_T*(1-EXP(-up_RadSpec!AY30*s_t_v)))/(s_Y_v*up_RadSpec!AY30))),".")</f>
        <v>9.0143481925428208</v>
      </c>
      <c r="BA30" s="116">
        <f>IFERROR(IF(up_Bv!E30=0,".",((s_Ir*s_F*s_I_f*s_T*(1-EXP(-up_RadSpec!AY30*s_t_v)))/(s_Y_v*up_RadSpec!AY30))),".")</f>
        <v>9.0143481925428208</v>
      </c>
      <c r="BB30" s="116">
        <f>IFERROR(IF(up_Bv!F30=0,".",((s_Ir*s_F*s_I_f*s_T*(1-EXP(-up_RadSpec!AY30*s_t_v)))/(s_Y_v*up_RadSpec!AY30))),".")</f>
        <v>9.0143481925428208</v>
      </c>
      <c r="BC30" s="116">
        <f>IFERROR(IF(up_Bv!G30=0,".",((s_Ir*s_F*s_I_f*s_T*(1-EXP(-up_RadSpec!AY30*s_t_v)))/(s_Y_v*up_RadSpec!AY30))),".")</f>
        <v>9.0143481925428208</v>
      </c>
      <c r="BD30" s="116">
        <f>IFERROR(IF(up_Bv!H30=0,".",((s_Ir*s_F*s_I_f*s_T*(1-EXP(-up_RadSpec!AY30*s_t_v)))/(s_Y_v*up_RadSpec!AY30))),".")</f>
        <v>9.0143481925428208</v>
      </c>
      <c r="BE30" s="116">
        <f>IFERROR(IF(up_Bv!I30=0,".",((s_Ir*s_F*s_I_f*s_T*(1-EXP(-up_RadSpec!AY30*s_t_v)))/(s_Y_v*up_RadSpec!AY30))),".")</f>
        <v>9.0143481925428208</v>
      </c>
      <c r="BF30" s="116">
        <f>IFERROR(IF(up_Bv!J30=0,".",((s_Ir*s_F*s_I_f*s_T*(1-EXP(-up_RadSpec!AY30*s_t_v)))/(s_Y_v*up_RadSpec!AY30))),".")</f>
        <v>9.0143481925428208</v>
      </c>
      <c r="BG30" s="116">
        <f>IFERROR(IF(up_Bv!K30=0,".",((s_Ir*s_F*s_I_f*s_T*(1-EXP(-up_RadSpec!AY30*s_t_v)))/(s_Y_v*up_RadSpec!AY30))),".")</f>
        <v>9.0143481925428208</v>
      </c>
      <c r="BH30" s="116">
        <f>IFERROR(IF(up_Bv!L30=0,".",((s_Ir*s_F*s_I_f*s_T*(1-EXP(-up_RadSpec!AY30*s_t_v)))/(s_Y_v*up_RadSpec!AY30))),".")</f>
        <v>9.0143481925428208</v>
      </c>
      <c r="BI30" s="116">
        <f>IFERROR(IF(up_Bv!M30=0,".",((s_Ir*s_F*s_I_f*s_T*(1-EXP(-up_RadSpec!AY30*s_t_v)))/(s_Y_v*up_RadSpec!AY30))),".")</f>
        <v>9.0143481925428208</v>
      </c>
      <c r="BJ30" s="116">
        <f>IFERROR(IF(up_Bv!N30=0,".",((s_Ir*s_F*s_I_f*s_T*(1-EXP(-up_RadSpec!AY30*s_t_v)))/(s_Y_v*up_RadSpec!AY30))),".")</f>
        <v>9.0143481925428208</v>
      </c>
      <c r="BK30" s="116">
        <f>IFERROR(IF(up_Bv!O30=0,".",((s_Ir*s_F*s_I_f*s_T*(1-EXP(-up_RadSpec!AY30*s_t_v)))/(s_Y_v*up_RadSpec!AY30))),".")</f>
        <v>9.0143481925428208</v>
      </c>
      <c r="BL30" s="116">
        <f>IFERROR(IF(up_Bv!P30=0,".",((s_Ir*s_F*s_I_f*s_T*(1-EXP(-up_RadSpec!AY30*s_t_v)))/(s_Y_v*up_RadSpec!AY30))),".")</f>
        <v>9.0143481925428208</v>
      </c>
      <c r="BM30" s="116">
        <f>IFERROR(IF(up_Bv!Q30=0,".",((s_Ir*s_F*s_I_f*s_T*(1-EXP(-up_RadSpec!AY30*s_t_v)))/(s_Y_v*up_RadSpec!AY30))),".")</f>
        <v>9.0143481925428208</v>
      </c>
      <c r="BN30" s="116">
        <f>IFERROR(IF(up_Bv!R30=0,".",((s_Ir*s_F*s_I_f*s_T*(1-EXP(-up_RadSpec!AY30*s_t_v)))/(s_Y_v*up_RadSpec!AY30))),".")</f>
        <v>9.0143481925428208</v>
      </c>
      <c r="BO30" s="116">
        <f>IFERROR(IF(up_Bv!S30=0,".",((s_Ir*s_F*s_I_f*s_T*(1-EXP(-up_RadSpec!AY30*s_t_v)))/(s_Y_v*up_RadSpec!AY30))),".")</f>
        <v>9.0143481925428208</v>
      </c>
      <c r="BP30" s="116">
        <f>IFERROR(IF(up_Bv!T30=0,".",((s_Ir*s_F*s_I_f*s_T*(1-EXP(-up_RadSpec!AY30*s_t_v)))/(s_Y_v*up_RadSpec!AY30))),".")</f>
        <v>9.0143481925428208</v>
      </c>
      <c r="BQ30" s="116">
        <f>IFERROR(IF(up_Bv!U30=0,".",((s_Ir*s_F*s_I_f*s_T*(1-EXP(-up_RadSpec!AY30*s_t_v)))/(s_Y_v*up_RadSpec!AY30))),".")</f>
        <v>9.0143481925428208</v>
      </c>
      <c r="BR30" s="116">
        <f>IFERROR(IF(up_Bv!V30=0,".",((s_Ir*s_F*s_I_f*s_T*(1-EXP(-up_RadSpec!AY30*s_t_v)))/(s_Y_v*up_RadSpec!AY30))),".")</f>
        <v>9.0143481925428208</v>
      </c>
      <c r="BS30" s="116">
        <f>IFERROR(IF(up_Bv!W30=0,".",((s_Ir*s_F*s_I_f*s_T*(1-EXP(-up_RadSpec!AY30*s_t_v)))/(s_Y_v*up_RadSpec!AY30))),".")</f>
        <v>9.0143481925428208</v>
      </c>
      <c r="BT30" s="116">
        <f>IFERROR(IF(up_Bv!X30=0,".",((s_Ir*s_F*s_I_f*s_T*(1-EXP(-up_RadSpec!AY30*s_t_v)))/(s_Y_v*up_RadSpec!AY30))),".")</f>
        <v>9.0143481925428208</v>
      </c>
      <c r="BU30" s="116">
        <f>IFERROR(IF(up_Bv!Y30=0,".",((s_Ir*s_F*s_I_f*s_T*(1-EXP(-up_RadSpec!AY30*s_t_v)))/(s_Y_v*up_RadSpec!AY30))),".")</f>
        <v>9.0143481925428208</v>
      </c>
      <c r="BV30" s="116">
        <f>IFERROR(IF(up_Bv!Z30=0,".",((s_Ir*s_F*s_I_f*s_T*(1-EXP(-up_RadSpec!AY30*s_t_v)))/(s_Y_v*up_RadSpec!AY30))),".")</f>
        <v>9.0143481925428208</v>
      </c>
    </row>
  </sheetData>
  <sheetProtection algorithmName="SHA-512" hashValue="b9dj3I1kfSn9tTajUIhI1dx2MAC0HnBYzBlfrNtrENxciSVsY9YKCs74hK/ETE6jfitvyebPZyS12s0I5tgr7w==" saltValue="FP0vnTVzHmgEKihx8MhWkA==" spinCount="100000" sheet="1" objects="1" scenarios="1" formatColumns="0" formatRows="0" autoFilter="0"/>
  <autoFilter ref="A1:BV1299" xr:uid="{00000000-0009-0000-0000-00001A000000}"/>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BY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4.5703125" style="75" bestFit="1" customWidth="1"/>
    <col min="2" max="2" width="11.7109375" style="75" bestFit="1" customWidth="1"/>
    <col min="3" max="3" width="20.7109375" style="75" bestFit="1" customWidth="1"/>
    <col min="4" max="4" width="14.5703125" style="77" bestFit="1" customWidth="1"/>
    <col min="5" max="5" width="14.28515625" style="77" bestFit="1" customWidth="1"/>
    <col min="6" max="6" width="13.85546875" style="77" bestFit="1" customWidth="1"/>
    <col min="7" max="7" width="14.28515625" style="77" bestFit="1" customWidth="1"/>
    <col min="8" max="8" width="13.7109375" style="77" bestFit="1" customWidth="1"/>
    <col min="9" max="9" width="14" style="77" bestFit="1" customWidth="1"/>
    <col min="10" max="10" width="13.140625" style="77" bestFit="1" customWidth="1"/>
    <col min="11" max="11" width="14.5703125" style="77" bestFit="1" customWidth="1"/>
    <col min="12" max="12" width="13.7109375" style="77" bestFit="1" customWidth="1"/>
    <col min="13" max="13" width="15.42578125" style="77" bestFit="1" customWidth="1"/>
    <col min="14" max="14" width="12.85546875" style="77" bestFit="1" customWidth="1"/>
    <col min="15" max="15" width="13.42578125" style="77" bestFit="1" customWidth="1"/>
    <col min="16" max="16" width="13.5703125" style="77" bestFit="1" customWidth="1"/>
    <col min="17" max="17" width="14.7109375" style="77" bestFit="1" customWidth="1"/>
    <col min="18" max="18" width="15" style="77" bestFit="1" customWidth="1"/>
    <col min="19" max="19" width="13.7109375" style="77" bestFit="1" customWidth="1"/>
    <col min="20" max="20" width="13" style="77" bestFit="1" customWidth="1"/>
    <col min="21" max="21" width="14.42578125" style="77" bestFit="1" customWidth="1"/>
    <col min="22" max="22" width="14.85546875" style="77" bestFit="1" customWidth="1"/>
    <col min="23" max="23" width="13.85546875" style="77" bestFit="1" customWidth="1"/>
    <col min="24" max="24" width="14.5703125" style="77" bestFit="1" customWidth="1"/>
    <col min="25" max="25" width="13.42578125" style="77" bestFit="1" customWidth="1"/>
    <col min="26" max="26" width="13" style="77" bestFit="1" customWidth="1"/>
    <col min="27" max="27" width="15" style="77" bestFit="1" customWidth="1"/>
    <col min="28" max="28" width="20.5703125" style="77" bestFit="1" customWidth="1"/>
    <col min="29" max="29" width="14.28515625" style="77" bestFit="1" customWidth="1"/>
    <col min="30" max="30" width="14.140625" style="77" bestFit="1" customWidth="1"/>
    <col min="31" max="31" width="13.5703125" style="77" bestFit="1" customWidth="1"/>
    <col min="32" max="32" width="14.140625" style="77" bestFit="1" customWidth="1"/>
    <col min="33" max="33" width="13.42578125" style="77" bestFit="1" customWidth="1"/>
    <col min="34" max="34" width="13.7109375" style="77" bestFit="1" customWidth="1"/>
    <col min="35" max="35" width="13" style="77" bestFit="1" customWidth="1"/>
    <col min="36" max="36" width="14.28515625" style="77" bestFit="1" customWidth="1"/>
    <col min="37" max="37" width="13.42578125" style="77" bestFit="1" customWidth="1"/>
    <col min="38" max="38" width="15.28515625" style="77" bestFit="1" customWidth="1"/>
    <col min="39" max="39" width="12.7109375" style="77" bestFit="1" customWidth="1"/>
    <col min="40" max="40" width="13.28515625" style="77" bestFit="1" customWidth="1"/>
    <col min="41" max="41" width="13.42578125" style="77" bestFit="1" customWidth="1"/>
    <col min="42" max="42" width="14.5703125" style="77" bestFit="1" customWidth="1"/>
    <col min="43" max="43" width="14.7109375" style="77" bestFit="1" customWidth="1"/>
    <col min="44" max="44" width="13.42578125" style="77" bestFit="1" customWidth="1"/>
    <col min="45" max="45" width="12.85546875" style="77" bestFit="1" customWidth="1"/>
    <col min="46" max="46" width="14.140625" style="77" bestFit="1" customWidth="1"/>
    <col min="47" max="47" width="14.5703125" style="77" bestFit="1" customWidth="1"/>
    <col min="48" max="48" width="13.5703125" style="77" bestFit="1" customWidth="1"/>
    <col min="49" max="49" width="14.28515625" style="77" bestFit="1" customWidth="1"/>
    <col min="50" max="50" width="13.140625" style="77" bestFit="1" customWidth="1"/>
    <col min="51" max="51" width="12.85546875" style="77" bestFit="1" customWidth="1"/>
    <col min="52" max="52" width="13.85546875" style="77" bestFit="1" customWidth="1"/>
    <col min="53" max="53" width="20.7109375" style="77" bestFit="1" customWidth="1"/>
    <col min="54" max="54" width="14.5703125" style="77" bestFit="1" customWidth="1"/>
    <col min="55" max="55" width="14.7109375" style="77" bestFit="1" customWidth="1"/>
    <col min="56" max="56" width="13.85546875" style="77" bestFit="1" customWidth="1"/>
    <col min="57" max="57" width="14.42578125" style="77" bestFit="1" customWidth="1"/>
    <col min="58" max="58" width="13.85546875" style="77" bestFit="1" customWidth="1"/>
    <col min="59" max="59" width="14" style="77" bestFit="1" customWidth="1"/>
    <col min="60" max="60" width="13.42578125" style="77" bestFit="1" customWidth="1"/>
    <col min="61" max="61" width="14.7109375" style="77" bestFit="1" customWidth="1"/>
    <col min="62" max="62" width="13.85546875" style="77" bestFit="1" customWidth="1"/>
    <col min="63" max="63" width="15.5703125" style="77" bestFit="1" customWidth="1"/>
    <col min="64" max="64" width="13" style="77" bestFit="1" customWidth="1"/>
    <col min="65" max="66" width="13.85546875" style="77" bestFit="1" customWidth="1"/>
    <col min="67" max="67" width="14.7109375" style="77" bestFit="1" customWidth="1"/>
    <col min="68" max="68" width="15" style="77" bestFit="1" customWidth="1"/>
    <col min="69" max="69" width="13.85546875" style="77" bestFit="1" customWidth="1"/>
    <col min="70" max="70" width="13.140625" style="77" bestFit="1" customWidth="1"/>
    <col min="71" max="71" width="14.5703125" style="77" bestFit="1" customWidth="1"/>
    <col min="72" max="72" width="14.85546875" style="77" bestFit="1" customWidth="1"/>
    <col min="73" max="73" width="14" style="77" bestFit="1" customWidth="1"/>
    <col min="74" max="74" width="14.85546875" style="77" bestFit="1" customWidth="1"/>
    <col min="75" max="75" width="13.5703125" style="77" bestFit="1" customWidth="1"/>
    <col min="76" max="76" width="13.140625" style="77" bestFit="1" customWidth="1"/>
    <col min="77" max="77" width="14.28515625" style="77" bestFit="1" customWidth="1"/>
    <col min="78" max="16384" width="9.140625" style="77"/>
  </cols>
  <sheetData>
    <row r="1" spans="1:77" x14ac:dyDescent="0.25">
      <c r="A1" s="87" t="s">
        <v>51</v>
      </c>
      <c r="B1" s="88" t="s">
        <v>350</v>
      </c>
      <c r="C1" s="90" t="s">
        <v>1446</v>
      </c>
      <c r="D1" s="90" t="s">
        <v>1447</v>
      </c>
      <c r="E1" s="90" t="s">
        <v>1448</v>
      </c>
      <c r="F1" s="90" t="s">
        <v>1449</v>
      </c>
      <c r="G1" s="90" t="s">
        <v>1450</v>
      </c>
      <c r="H1" s="90" t="s">
        <v>1451</v>
      </c>
      <c r="I1" s="90" t="s">
        <v>1452</v>
      </c>
      <c r="J1" s="90" t="s">
        <v>1453</v>
      </c>
      <c r="K1" s="90" t="s">
        <v>1454</v>
      </c>
      <c r="L1" s="90" t="s">
        <v>1455</v>
      </c>
      <c r="M1" s="90" t="s">
        <v>1456</v>
      </c>
      <c r="N1" s="90" t="s">
        <v>1457</v>
      </c>
      <c r="O1" s="90" t="s">
        <v>1458</v>
      </c>
      <c r="P1" s="90" t="s">
        <v>1459</v>
      </c>
      <c r="Q1" s="90" t="s">
        <v>1460</v>
      </c>
      <c r="R1" s="90" t="s">
        <v>1461</v>
      </c>
      <c r="S1" s="90" t="s">
        <v>1462</v>
      </c>
      <c r="T1" s="90" t="s">
        <v>1463</v>
      </c>
      <c r="U1" s="90" t="s">
        <v>1464</v>
      </c>
      <c r="V1" s="90" t="s">
        <v>1465</v>
      </c>
      <c r="W1" s="90" t="s">
        <v>1466</v>
      </c>
      <c r="X1" s="90" t="s">
        <v>1467</v>
      </c>
      <c r="Y1" s="90" t="s">
        <v>1468</v>
      </c>
      <c r="Z1" s="90" t="s">
        <v>1469</v>
      </c>
      <c r="AA1" s="90" t="s">
        <v>1470</v>
      </c>
      <c r="AB1" s="90" t="s">
        <v>1421</v>
      </c>
      <c r="AC1" s="90" t="s">
        <v>1422</v>
      </c>
      <c r="AD1" s="90" t="s">
        <v>1423</v>
      </c>
      <c r="AE1" s="90" t="s">
        <v>1424</v>
      </c>
      <c r="AF1" s="90" t="s">
        <v>1425</v>
      </c>
      <c r="AG1" s="90" t="s">
        <v>1426</v>
      </c>
      <c r="AH1" s="90" t="s">
        <v>1427</v>
      </c>
      <c r="AI1" s="90" t="s">
        <v>1428</v>
      </c>
      <c r="AJ1" s="90" t="s">
        <v>1429</v>
      </c>
      <c r="AK1" s="90" t="s">
        <v>1430</v>
      </c>
      <c r="AL1" s="90" t="s">
        <v>1431</v>
      </c>
      <c r="AM1" s="90" t="s">
        <v>1432</v>
      </c>
      <c r="AN1" s="90" t="s">
        <v>1433</v>
      </c>
      <c r="AO1" s="90" t="s">
        <v>1434</v>
      </c>
      <c r="AP1" s="90" t="s">
        <v>1435</v>
      </c>
      <c r="AQ1" s="90" t="s">
        <v>1436</v>
      </c>
      <c r="AR1" s="90" t="s">
        <v>1437</v>
      </c>
      <c r="AS1" s="90" t="s">
        <v>1438</v>
      </c>
      <c r="AT1" s="90" t="s">
        <v>1439</v>
      </c>
      <c r="AU1" s="90" t="s">
        <v>1440</v>
      </c>
      <c r="AV1" s="90" t="s">
        <v>1441</v>
      </c>
      <c r="AW1" s="90" t="s">
        <v>1442</v>
      </c>
      <c r="AX1" s="90" t="s">
        <v>1443</v>
      </c>
      <c r="AY1" s="90" t="s">
        <v>1444</v>
      </c>
      <c r="AZ1" s="90" t="s">
        <v>1445</v>
      </c>
      <c r="BA1" s="91" t="s">
        <v>1149</v>
      </c>
      <c r="BB1" s="91" t="s">
        <v>1397</v>
      </c>
      <c r="BC1" s="91" t="s">
        <v>1398</v>
      </c>
      <c r="BD1" s="91" t="s">
        <v>1399</v>
      </c>
      <c r="BE1" s="91" t="s">
        <v>1400</v>
      </c>
      <c r="BF1" s="91" t="s">
        <v>1401</v>
      </c>
      <c r="BG1" s="91" t="s">
        <v>1402</v>
      </c>
      <c r="BH1" s="91" t="s">
        <v>1403</v>
      </c>
      <c r="BI1" s="91" t="s">
        <v>1404</v>
      </c>
      <c r="BJ1" s="91" t="s">
        <v>1405</v>
      </c>
      <c r="BK1" s="91" t="s">
        <v>1406</v>
      </c>
      <c r="BL1" s="91" t="s">
        <v>1407</v>
      </c>
      <c r="BM1" s="91" t="s">
        <v>1408</v>
      </c>
      <c r="BN1" s="91" t="s">
        <v>1409</v>
      </c>
      <c r="BO1" s="91" t="s">
        <v>1410</v>
      </c>
      <c r="BP1" s="91" t="s">
        <v>1411</v>
      </c>
      <c r="BQ1" s="91" t="s">
        <v>1412</v>
      </c>
      <c r="BR1" s="91" t="s">
        <v>1413</v>
      </c>
      <c r="BS1" s="91" t="s">
        <v>1414</v>
      </c>
      <c r="BT1" s="91" t="s">
        <v>1415</v>
      </c>
      <c r="BU1" s="91" t="s">
        <v>1416</v>
      </c>
      <c r="BV1" s="91" t="s">
        <v>1417</v>
      </c>
      <c r="BW1" s="91" t="s">
        <v>1418</v>
      </c>
      <c r="BX1" s="91" t="s">
        <v>1419</v>
      </c>
      <c r="BY1" s="91" t="s">
        <v>1420</v>
      </c>
    </row>
    <row r="2" spans="1:77" x14ac:dyDescent="0.25">
      <c r="A2" s="92" t="s">
        <v>12</v>
      </c>
      <c r="B2" s="90" t="s">
        <v>1074</v>
      </c>
      <c r="C2" s="115">
        <f t="shared" ref="C2:C65" si="0">IFERROR(1/SUM(1/D2,1/E2,1/Z2,1/AA2),".")</f>
        <v>1.8181818181818181E-11</v>
      </c>
      <c r="D2" s="115">
        <f>IFERROR(s_TR/(up_RadSpec!$E2*s_IFAP_res_adj*s_CF_apple),".")</f>
        <v>7.2727272727272723E-11</v>
      </c>
      <c r="E2" s="115">
        <f>IFERROR(s_TR/(up_RadSpec!$E2*s_IFAS_res_adj*s_CF_asparagus),".")</f>
        <v>7.2727272727272723E-11</v>
      </c>
      <c r="F2" s="115">
        <f>IFERROR(s_TR/(up_RadSpec!$E2*s_IFBT_res_adj*s_CF_beet),".")</f>
        <v>7.2727272727272723E-11</v>
      </c>
      <c r="G2" s="115">
        <f>IFERROR(s_TR/(up_RadSpec!$E2*s_IFBE_res_adj*s_CF_berries),".")</f>
        <v>7.2727272727272723E-11</v>
      </c>
      <c r="H2" s="115">
        <f>IFERROR(s_TR/(up_RadSpec!$E2*s_IFBR_res_adj*s_CF_broccoli),".")</f>
        <v>7.2727272727272723E-11</v>
      </c>
      <c r="I2" s="115">
        <f>IFERROR(s_TR/(up_RadSpec!$E2*s_IFCB_res_adj*s_CF_cabbage),".")</f>
        <v>7.2727272727272723E-11</v>
      </c>
      <c r="J2" s="115">
        <f>IFERROR(s_TR/(up_RadSpec!$E2*s_IFCR_res_adj*s_CF_carrot),".")</f>
        <v>7.2727272727272723E-11</v>
      </c>
      <c r="K2" s="115">
        <f>IFERROR(s_TR/(up_RadSpec!$E2*s_IFCI_res_adj*s_CF_citrus),".")</f>
        <v>7.2727272727272723E-11</v>
      </c>
      <c r="L2" s="115">
        <f>IFERROR(s_TR/(up_RadSpec!$E2*s_IFCO_res_adj*s_CF_corn),".")</f>
        <v>7.2727272727272723E-11</v>
      </c>
      <c r="M2" s="115">
        <f>IFERROR(s_TR/(up_RadSpec!$E2*s_IFCU_res_adj*s_CF_cucumber),".")</f>
        <v>7.2727272727272723E-11</v>
      </c>
      <c r="N2" s="115">
        <f>IFERROR(s_TR/(up_RadSpec!$E2*s_IFLE_res_adj*s_CF_lettuce),".")</f>
        <v>7.2727272727272723E-11</v>
      </c>
      <c r="O2" s="115">
        <f>IFERROR(s_TR/(up_RadSpec!$E2*s_IFLI_res_adj*s_CF_lima_bean),".")</f>
        <v>7.2727272727272723E-11</v>
      </c>
      <c r="P2" s="115">
        <f>IFERROR(s_TR/(up_RadSpec!$E2*s_IFOK_res_adj*s_CF_okra),".")</f>
        <v>7.2727272727272723E-11</v>
      </c>
      <c r="Q2" s="115">
        <f>IFERROR(s_TR/(up_RadSpec!$E2*s_IFON_res_adj*s_CF_onion),".")</f>
        <v>7.2727272727272723E-11</v>
      </c>
      <c r="R2" s="115">
        <f>IFERROR(s_TR/(up_RadSpec!$E2*s_IFPC_res_adj*s_CF_peach),".")</f>
        <v>7.2727272727272723E-11</v>
      </c>
      <c r="S2" s="115">
        <f>IFERROR(s_TR/(up_RadSpec!$E2*s_IFPR_res_adj*s_CF_pear),".")</f>
        <v>7.2727272727272723E-11</v>
      </c>
      <c r="T2" s="115">
        <f>IFERROR(s_TR/(up_RadSpec!$E2*s_IFPE_res_adj*s_CF_peas),".")</f>
        <v>7.2727272727272723E-11</v>
      </c>
      <c r="U2" s="115">
        <f>IFERROR(s_TR/(up_RadSpec!$E2*s_IFPT_res_adj*s_CF_potato),".")</f>
        <v>7.2727272727272723E-11</v>
      </c>
      <c r="V2" s="115">
        <f>IFERROR(s_TR/(up_RadSpec!$E2*s_IFPU_res_adj*s_CF_pumpkin),".")</f>
        <v>7.2727272727272723E-11</v>
      </c>
      <c r="W2" s="115">
        <f>IFERROR(s_TR/(up_RadSpec!$E2*s_IFSN_res_adj*s_CF_snap_bean),".")</f>
        <v>7.2727272727272723E-11</v>
      </c>
      <c r="X2" s="115">
        <f>IFERROR(s_TR/(up_RadSpec!$E2*s_IFST_res_adj*s_CF_strawberry),".")</f>
        <v>7.2727272727272723E-11</v>
      </c>
      <c r="Y2" s="115">
        <f>IFERROR(s_TR/(up_RadSpec!$E2*s_IFTO_res_adj*s_CF_tomato),".")</f>
        <v>7.2727272727272723E-11</v>
      </c>
      <c r="Z2" s="115">
        <f>IFERROR(s_TR/(up_RadSpec!$E2*s_IFRI_res_adj*s_CF_rice),".")</f>
        <v>7.2727272727272723E-11</v>
      </c>
      <c r="AA2" s="115">
        <f>IFERROR(s_TR/(up_RadSpec!$E2*s_IFCG_res_adj*s_CF_cereal),".")</f>
        <v>7.2727272727272723E-11</v>
      </c>
      <c r="AB2" s="115">
        <f>IFERROR(1/SUM(1/AC2,1/AD2,1/AY2,1/AZ2),".")</f>
        <v>1.8181818181818181E-11</v>
      </c>
      <c r="AC2" s="115">
        <f>IFERROR(s_TR/(up_RadSpec!$E2*s_IFAP_far_adj*s_CF_apple),".")</f>
        <v>7.2727272727272723E-11</v>
      </c>
      <c r="AD2" s="115">
        <f>IFERROR(s_TR/(up_RadSpec!$E2*s_IFAS_far_adj*s_CF_asparagus),".")</f>
        <v>7.2727272727272723E-11</v>
      </c>
      <c r="AE2" s="115">
        <f>IFERROR(s_TR/(up_RadSpec!$E2*s_IFBT_far_adj*s_CF_beet),".")</f>
        <v>7.2727272727272723E-11</v>
      </c>
      <c r="AF2" s="115">
        <f>IFERROR(s_TR/(up_RadSpec!$E2*s_IFBE_far_adj*s_CF_berries),".")</f>
        <v>7.2727272727272723E-11</v>
      </c>
      <c r="AG2" s="115">
        <f>IFERROR(s_TR/(up_RadSpec!$E2*s_IFBR_far_adj*s_CF_broccoli),".")</f>
        <v>7.2727272727272723E-11</v>
      </c>
      <c r="AH2" s="115">
        <f>IFERROR(s_TR/(up_RadSpec!$E2*s_IFCB_far_adj*s_CF_cabbage),".")</f>
        <v>7.2727272727272723E-11</v>
      </c>
      <c r="AI2" s="115">
        <f>IFERROR(s_TR/(up_RadSpec!$E2*s_IFCR_far_adj*s_CF_carrot),".")</f>
        <v>7.2727272727272723E-11</v>
      </c>
      <c r="AJ2" s="115">
        <f>IFERROR(s_TR/(up_RadSpec!$E2*s_IFCI_far_adj*s_CF_citrus),".")</f>
        <v>7.2727272727272723E-11</v>
      </c>
      <c r="AK2" s="115">
        <f>IFERROR(s_TR/(up_RadSpec!$E2*s_IFCO_far_adj*s_CF_corn),".")</f>
        <v>7.2727272727272723E-11</v>
      </c>
      <c r="AL2" s="115">
        <f>IFERROR(s_TR/(up_RadSpec!$E2*s_IFCU_far_adj*s_CF_cucumber),".")</f>
        <v>7.2727272727272723E-11</v>
      </c>
      <c r="AM2" s="115">
        <f>IFERROR(s_TR/(up_RadSpec!$E2*s_IFLE_far_adj*s_CF_lettuce),".")</f>
        <v>7.2727272727272723E-11</v>
      </c>
      <c r="AN2" s="115">
        <f>IFERROR(s_TR/(up_RadSpec!$E2*s_IFLI_far_adj*s_CF_lima_bean),".")</f>
        <v>7.2727272727272723E-11</v>
      </c>
      <c r="AO2" s="115">
        <f>IFERROR(s_TR/(up_RadSpec!$E2*s_IFOK_far_adj*s_CF_okra),".")</f>
        <v>7.2727272727272723E-11</v>
      </c>
      <c r="AP2" s="115">
        <f>IFERROR(s_TR/(up_RadSpec!$E2*s_IFON_far_adj*s_CF_onion),".")</f>
        <v>7.2727272727272723E-11</v>
      </c>
      <c r="AQ2" s="115">
        <f>IFERROR(s_TR/(up_RadSpec!$E2*s_IFPC_far_adj*s_CF_peach),".")</f>
        <v>7.2727272727272723E-11</v>
      </c>
      <c r="AR2" s="115">
        <f>IFERROR(s_TR/(up_RadSpec!$E2*s_IFPR_far_adj*s_CF_pear),".")</f>
        <v>7.2727272727272723E-11</v>
      </c>
      <c r="AS2" s="115">
        <f>IFERROR(s_TR/(up_RadSpec!$E2*s_IFPE_far_adj*s_CF_peas),".")</f>
        <v>7.2727272727272723E-11</v>
      </c>
      <c r="AT2" s="115">
        <f>IFERROR(s_TR/(up_RadSpec!$E2*s_IFPT_far_adj*s_CF_potato),".")</f>
        <v>7.2727272727272723E-11</v>
      </c>
      <c r="AU2" s="115">
        <f>IFERROR(s_TR/(up_RadSpec!$E2*s_IFPU_far_adj*s_CF_pumpkin),".")</f>
        <v>7.2727272727272723E-11</v>
      </c>
      <c r="AV2" s="115">
        <f>IFERROR(s_TR/(up_RadSpec!$E2*s_IFSN_far_adj*s_CF_snap_bean),".")</f>
        <v>7.2727272727272723E-11</v>
      </c>
      <c r="AW2" s="115">
        <f>IFERROR(s_TR/(up_RadSpec!$E2*s_IFST_far_adj*s_CF_strawberry),".")</f>
        <v>7.2727272727272723E-11</v>
      </c>
      <c r="AX2" s="115">
        <f>IFERROR(s_TR/(up_RadSpec!$E2*s_IFTO_far_adj*s_CF_tomato),".")</f>
        <v>7.2727272727272723E-11</v>
      </c>
      <c r="AY2" s="115">
        <f>IFERROR(s_TR/(up_RadSpec!$E2*s_IFRI_far_adj*s_CF_rice),".")</f>
        <v>7.2727272727272723E-11</v>
      </c>
      <c r="AZ2" s="115">
        <f>IFERROR(s_TR/(up_RadSpec!$E2*s_IFCG_far_adj*s_CF_cereal),".")</f>
        <v>7.2727272727272723E-11</v>
      </c>
      <c r="BA2" s="93">
        <f t="shared" ref="BA2:BA30" si="1">SUM(BB2:BC2,BX2:BY2)</f>
        <v>55000</v>
      </c>
      <c r="BB2" s="93">
        <f t="shared" ref="BB2:BB30" si="2">IFERROR(s_C*s_IFAP_far_adj*s_CF_apple,".")</f>
        <v>13750</v>
      </c>
      <c r="BC2" s="93">
        <f t="shared" ref="BC2:BC30" si="3">IFERROR(s_C*s_IFAS_far_adj*s_CF_asparagus,".")</f>
        <v>13750</v>
      </c>
      <c r="BD2" s="93">
        <f t="shared" ref="BD2:BD30" si="4">IFERROR(s_C*s_IFBT_far_adj*s_CF_beet,".")</f>
        <v>13750</v>
      </c>
      <c r="BE2" s="93">
        <f t="shared" ref="BE2:BE30" si="5">IFERROR(s_C*s_IFBR_far_adj*s_CF_berries,".")</f>
        <v>13750</v>
      </c>
      <c r="BF2" s="93">
        <f t="shared" ref="BF2:BF30" si="6">IFERROR(s_C*s_IFBR_far_adj*s_CF_broccoli,".")</f>
        <v>13750</v>
      </c>
      <c r="BG2" s="93">
        <f t="shared" ref="BG2:BG30" si="7">IFERROR(s_C*s_IFCB_far_adj*s_CF_cabbage,".")</f>
        <v>13750</v>
      </c>
      <c r="BH2" s="93">
        <f t="shared" ref="BH2:BH30" si="8">IFERROR(s_C*s_IFCR_far_adj*s_CF_carrot,".")</f>
        <v>13750</v>
      </c>
      <c r="BI2" s="93">
        <f t="shared" ref="BI2:BI30" si="9">IFERROR(s_C*s_IFCI_far_adj*s_CF_citrus,".")</f>
        <v>13750</v>
      </c>
      <c r="BJ2" s="93">
        <f t="shared" ref="BJ2:BJ30" si="10">IFERROR(s_C*s_IFCO_far_adj*s_CF_corn,".")</f>
        <v>13750</v>
      </c>
      <c r="BK2" s="93">
        <f t="shared" ref="BK2:BK30" si="11">IFERROR(s_C*s_IFCU_far_adj*s_CF_cucumber,".")</f>
        <v>13750</v>
      </c>
      <c r="BL2" s="93">
        <f t="shared" ref="BL2:BL30" si="12">IFERROR(s_C*s_IFLE_far_adj*s_CF_lettuce,".")</f>
        <v>13750</v>
      </c>
      <c r="BM2" s="93">
        <f t="shared" ref="BM2:BM30" si="13">IFERROR(s_C*s_IFLI_far_adj*s_CF_lima_bean,".")</f>
        <v>13750</v>
      </c>
      <c r="BN2" s="93">
        <f t="shared" ref="BN2:BN30" si="14">IFERROR(s_C*s_IFOK_far_adj*s_CF_okra,".")</f>
        <v>13750</v>
      </c>
      <c r="BO2" s="93">
        <f t="shared" ref="BO2:BO30" si="15">IFERROR(s_C*s_IFON_far_adj*s_CF_onion,".")</f>
        <v>13750</v>
      </c>
      <c r="BP2" s="93">
        <f t="shared" ref="BP2:BP30" si="16">IFERROR(s_C*s_IFPC_far_adj*s_CF_peach,".")</f>
        <v>13750</v>
      </c>
      <c r="BQ2" s="93">
        <f t="shared" ref="BQ2:BQ30" si="17">IFERROR(s_C*s_IFPR_far_adj*s_CF_pear,".")</f>
        <v>13750</v>
      </c>
      <c r="BR2" s="93">
        <f t="shared" ref="BR2:BR30" si="18">IFERROR(s_C*s_IFPE_far_adj*s_CF_peas,".")</f>
        <v>13750</v>
      </c>
      <c r="BS2" s="93">
        <f t="shared" ref="BS2:BS30" si="19">IFERROR(s_C*s_IFPT_far_adj*s_CF_potato,".")</f>
        <v>13750</v>
      </c>
      <c r="BT2" s="93">
        <f t="shared" ref="BT2:BT30" si="20">IFERROR(s_C*s_IFPU_far_adj*s_CF_pumpkin,".")</f>
        <v>13750</v>
      </c>
      <c r="BU2" s="93">
        <f t="shared" ref="BU2:BU30" si="21">IFERROR(s_C*s_IFSN_far_adj*s_CF_snap_bean,".")</f>
        <v>13750</v>
      </c>
      <c r="BV2" s="93">
        <f t="shared" ref="BV2:BV30" si="22">IFERROR(s_C*s_IFST_far_adj*s_CF_strawberry,".")</f>
        <v>13750</v>
      </c>
      <c r="BW2" s="93">
        <f t="shared" ref="BW2:BW30" si="23">IFERROR(s_C*s_IFTO_far_adj*s_CF_tomato,".")</f>
        <v>13750</v>
      </c>
      <c r="BX2" s="93">
        <f t="shared" ref="BX2:BX30" si="24">IFERROR(s_C*s_IFRI_far_adj*s_CF_rice,".")</f>
        <v>13750</v>
      </c>
      <c r="BY2" s="93">
        <f t="shared" ref="BY2:BY30" si="25">IFERROR(s_C*s_IFCG_far_adj*s_CF_cereal,".")</f>
        <v>13750</v>
      </c>
    </row>
    <row r="3" spans="1:77" x14ac:dyDescent="0.25">
      <c r="A3" s="94" t="s">
        <v>13</v>
      </c>
      <c r="B3" s="90" t="s">
        <v>351</v>
      </c>
      <c r="C3" s="115">
        <f t="shared" si="0"/>
        <v>1.8181818181818181E-11</v>
      </c>
      <c r="D3" s="115">
        <f>IFERROR(s_TR/(up_RadSpec!$E3*s_IFAP_res_adj*s_CF_apple),".")</f>
        <v>7.2727272727272723E-11</v>
      </c>
      <c r="E3" s="115">
        <f>IFERROR(s_TR/(up_RadSpec!$E3*s_IFAS_res_adj*s_CF_asparagus),".")</f>
        <v>7.2727272727272723E-11</v>
      </c>
      <c r="F3" s="115">
        <f>IFERROR(s_TR/(up_RadSpec!$E3*s_IFBT_res_adj*s_CF_beet),".")</f>
        <v>7.2727272727272723E-11</v>
      </c>
      <c r="G3" s="115">
        <f>IFERROR(s_TR/(up_RadSpec!$E3*s_IFBE_res_adj*s_CF_berries),".")</f>
        <v>7.2727272727272723E-11</v>
      </c>
      <c r="H3" s="115">
        <f>IFERROR(s_TR/(up_RadSpec!$E3*s_IFBR_res_adj*s_CF_broccoli),".")</f>
        <v>7.2727272727272723E-11</v>
      </c>
      <c r="I3" s="115">
        <f>IFERROR(s_TR/(up_RadSpec!$E3*s_IFCB_res_adj*s_CF_cabbage),".")</f>
        <v>7.2727272727272723E-11</v>
      </c>
      <c r="J3" s="115">
        <f>IFERROR(s_TR/(up_RadSpec!$E3*s_IFCR_res_adj*s_CF_carrot),".")</f>
        <v>7.2727272727272723E-11</v>
      </c>
      <c r="K3" s="115">
        <f>IFERROR(s_TR/(up_RadSpec!$E3*s_IFCI_res_adj*s_CF_citrus),".")</f>
        <v>7.2727272727272723E-11</v>
      </c>
      <c r="L3" s="115">
        <f>IFERROR(s_TR/(up_RadSpec!$E3*s_IFCO_res_adj*s_CF_corn),".")</f>
        <v>7.2727272727272723E-11</v>
      </c>
      <c r="M3" s="115">
        <f>IFERROR(s_TR/(up_RadSpec!$E3*s_IFCU_res_adj*s_CF_cucumber),".")</f>
        <v>7.2727272727272723E-11</v>
      </c>
      <c r="N3" s="115">
        <f>IFERROR(s_TR/(up_RadSpec!$E3*s_IFLE_res_adj*s_CF_lettuce),".")</f>
        <v>7.2727272727272723E-11</v>
      </c>
      <c r="O3" s="115">
        <f>IFERROR(s_TR/(up_RadSpec!$E3*s_IFLI_res_adj*s_CF_lima_bean),".")</f>
        <v>7.2727272727272723E-11</v>
      </c>
      <c r="P3" s="115">
        <f>IFERROR(s_TR/(up_RadSpec!$E3*s_IFOK_res_adj*s_CF_okra),".")</f>
        <v>7.2727272727272723E-11</v>
      </c>
      <c r="Q3" s="115">
        <f>IFERROR(s_TR/(up_RadSpec!$E3*s_IFON_res_adj*s_CF_onion),".")</f>
        <v>7.2727272727272723E-11</v>
      </c>
      <c r="R3" s="115">
        <f>IFERROR(s_TR/(up_RadSpec!$E3*s_IFPC_res_adj*s_CF_peach),".")</f>
        <v>7.2727272727272723E-11</v>
      </c>
      <c r="S3" s="115">
        <f>IFERROR(s_TR/(up_RadSpec!$E3*s_IFPR_res_adj*s_CF_pear),".")</f>
        <v>7.2727272727272723E-11</v>
      </c>
      <c r="T3" s="115">
        <f>IFERROR(s_TR/(up_RadSpec!$E3*s_IFPE_res_adj*s_CF_peas),".")</f>
        <v>7.2727272727272723E-11</v>
      </c>
      <c r="U3" s="115">
        <f>IFERROR(s_TR/(up_RadSpec!$E3*s_IFPT_res_adj*s_CF_potato),".")</f>
        <v>7.2727272727272723E-11</v>
      </c>
      <c r="V3" s="115">
        <f>IFERROR(s_TR/(up_RadSpec!$E3*s_IFPU_res_adj*s_CF_pumpkin),".")</f>
        <v>7.2727272727272723E-11</v>
      </c>
      <c r="W3" s="115">
        <f>IFERROR(s_TR/(up_RadSpec!$E3*s_IFSN_res_adj*s_CF_snap_bean),".")</f>
        <v>7.2727272727272723E-11</v>
      </c>
      <c r="X3" s="115">
        <f>IFERROR(s_TR/(up_RadSpec!$E3*s_IFST_res_adj*s_CF_strawberry),".")</f>
        <v>7.2727272727272723E-11</v>
      </c>
      <c r="Y3" s="115">
        <f>IFERROR(s_TR/(up_RadSpec!$E3*s_IFTO_res_adj*s_CF_tomato),".")</f>
        <v>7.2727272727272723E-11</v>
      </c>
      <c r="Z3" s="115">
        <f>IFERROR(s_TR/(up_RadSpec!$E3*s_IFRI_res_adj*s_CF_rice),".")</f>
        <v>7.2727272727272723E-11</v>
      </c>
      <c r="AA3" s="115">
        <f>IFERROR(s_TR/(up_RadSpec!$E3*s_IFCG_res_adj*s_CF_cereal),".")</f>
        <v>7.2727272727272723E-11</v>
      </c>
      <c r="AB3" s="115">
        <f t="shared" ref="AB3:AB66" si="26">IFERROR(1/SUM(1/AC3,1/AD3,1/AY3,1/AZ3),".")</f>
        <v>1.8181818181818181E-11</v>
      </c>
      <c r="AC3" s="115">
        <f>IFERROR(s_TR/(up_RadSpec!$E3*s_IFAP_far_adj*s_CF_apple),".")</f>
        <v>7.2727272727272723E-11</v>
      </c>
      <c r="AD3" s="115">
        <f>IFERROR(s_TR/(up_RadSpec!$E3*s_IFAS_far_adj*s_CF_asparagus),".")</f>
        <v>7.2727272727272723E-11</v>
      </c>
      <c r="AE3" s="115">
        <f>IFERROR(s_TR/(up_RadSpec!$E3*s_IFBT_far_adj*s_CF_beet),".")</f>
        <v>7.2727272727272723E-11</v>
      </c>
      <c r="AF3" s="115">
        <f>IFERROR(s_TR/(up_RadSpec!$E3*s_IFBE_far_adj*s_CF_berries),".")</f>
        <v>7.2727272727272723E-11</v>
      </c>
      <c r="AG3" s="115">
        <f>IFERROR(s_TR/(up_RadSpec!$E3*s_IFBR_far_adj*s_CF_broccoli),".")</f>
        <v>7.2727272727272723E-11</v>
      </c>
      <c r="AH3" s="115">
        <f>IFERROR(s_TR/(up_RadSpec!$E3*s_IFCB_far_adj*s_CF_cabbage),".")</f>
        <v>7.2727272727272723E-11</v>
      </c>
      <c r="AI3" s="115">
        <f>IFERROR(s_TR/(up_RadSpec!$E3*s_IFCR_far_adj*s_CF_carrot),".")</f>
        <v>7.2727272727272723E-11</v>
      </c>
      <c r="AJ3" s="115">
        <f>IFERROR(s_TR/(up_RadSpec!$E3*s_IFCI_far_adj*s_CF_citrus),".")</f>
        <v>7.2727272727272723E-11</v>
      </c>
      <c r="AK3" s="115">
        <f>IFERROR(s_TR/(up_RadSpec!$E3*s_IFCO_far_adj*s_CF_corn),".")</f>
        <v>7.2727272727272723E-11</v>
      </c>
      <c r="AL3" s="115">
        <f>IFERROR(s_TR/(up_RadSpec!$E3*s_IFCU_far_adj*s_CF_cucumber),".")</f>
        <v>7.2727272727272723E-11</v>
      </c>
      <c r="AM3" s="115">
        <f>IFERROR(s_TR/(up_RadSpec!$E3*s_IFLE_far_adj*s_CF_lettuce),".")</f>
        <v>7.2727272727272723E-11</v>
      </c>
      <c r="AN3" s="115">
        <f>IFERROR(s_TR/(up_RadSpec!$E3*s_IFLI_far_adj*s_CF_lima_bean),".")</f>
        <v>7.2727272727272723E-11</v>
      </c>
      <c r="AO3" s="115">
        <f>IFERROR(s_TR/(up_RadSpec!$E3*s_IFOK_far_adj*s_CF_okra),".")</f>
        <v>7.2727272727272723E-11</v>
      </c>
      <c r="AP3" s="115">
        <f>IFERROR(s_TR/(up_RadSpec!$E3*s_IFON_far_adj*s_CF_onion),".")</f>
        <v>7.2727272727272723E-11</v>
      </c>
      <c r="AQ3" s="115">
        <f>IFERROR(s_TR/(up_RadSpec!$E3*s_IFPC_far_adj*s_CF_peach),".")</f>
        <v>7.2727272727272723E-11</v>
      </c>
      <c r="AR3" s="115">
        <f>IFERROR(s_TR/(up_RadSpec!$E3*s_IFPR_far_adj*s_CF_pear),".")</f>
        <v>7.2727272727272723E-11</v>
      </c>
      <c r="AS3" s="115">
        <f>IFERROR(s_TR/(up_RadSpec!$E3*s_IFPE_far_adj*s_CF_peas),".")</f>
        <v>7.2727272727272723E-11</v>
      </c>
      <c r="AT3" s="115">
        <f>IFERROR(s_TR/(up_RadSpec!$E3*s_IFPT_far_adj*s_CF_potato),".")</f>
        <v>7.2727272727272723E-11</v>
      </c>
      <c r="AU3" s="115">
        <f>IFERROR(s_TR/(up_RadSpec!$E3*s_IFPU_far_adj*s_CF_pumpkin),".")</f>
        <v>7.2727272727272723E-11</v>
      </c>
      <c r="AV3" s="115">
        <f>IFERROR(s_TR/(up_RadSpec!$E3*s_IFSN_far_adj*s_CF_snap_bean),".")</f>
        <v>7.2727272727272723E-11</v>
      </c>
      <c r="AW3" s="115">
        <f>IFERROR(s_TR/(up_RadSpec!$E3*s_IFST_far_adj*s_CF_strawberry),".")</f>
        <v>7.2727272727272723E-11</v>
      </c>
      <c r="AX3" s="115">
        <f>IFERROR(s_TR/(up_RadSpec!$E3*s_IFTO_far_adj*s_CF_tomato),".")</f>
        <v>7.2727272727272723E-11</v>
      </c>
      <c r="AY3" s="115">
        <f>IFERROR(s_TR/(up_RadSpec!$E3*s_IFRI_far_adj*s_CF_rice),".")</f>
        <v>7.2727272727272723E-11</v>
      </c>
      <c r="AZ3" s="115">
        <f>IFERROR(s_TR/(up_RadSpec!$E3*s_IFCG_far_adj*s_CF_cereal),".")</f>
        <v>7.2727272727272723E-11</v>
      </c>
      <c r="BA3" s="93">
        <f t="shared" si="1"/>
        <v>55000</v>
      </c>
      <c r="BB3" s="93">
        <f t="shared" si="2"/>
        <v>13750</v>
      </c>
      <c r="BC3" s="93">
        <f t="shared" si="3"/>
        <v>13750</v>
      </c>
      <c r="BD3" s="93">
        <f t="shared" si="4"/>
        <v>13750</v>
      </c>
      <c r="BE3" s="93">
        <f t="shared" si="5"/>
        <v>13750</v>
      </c>
      <c r="BF3" s="93">
        <f t="shared" si="6"/>
        <v>13750</v>
      </c>
      <c r="BG3" s="93">
        <f t="shared" si="7"/>
        <v>13750</v>
      </c>
      <c r="BH3" s="93">
        <f t="shared" si="8"/>
        <v>13750</v>
      </c>
      <c r="BI3" s="93">
        <f t="shared" si="9"/>
        <v>13750</v>
      </c>
      <c r="BJ3" s="93">
        <f t="shared" si="10"/>
        <v>13750</v>
      </c>
      <c r="BK3" s="93">
        <f t="shared" si="11"/>
        <v>13750</v>
      </c>
      <c r="BL3" s="93">
        <f t="shared" si="12"/>
        <v>13750</v>
      </c>
      <c r="BM3" s="93">
        <f t="shared" si="13"/>
        <v>13750</v>
      </c>
      <c r="BN3" s="93">
        <f t="shared" si="14"/>
        <v>13750</v>
      </c>
      <c r="BO3" s="93">
        <f t="shared" si="15"/>
        <v>13750</v>
      </c>
      <c r="BP3" s="93">
        <f t="shared" si="16"/>
        <v>13750</v>
      </c>
      <c r="BQ3" s="93">
        <f t="shared" si="17"/>
        <v>13750</v>
      </c>
      <c r="BR3" s="93">
        <f t="shared" si="18"/>
        <v>13750</v>
      </c>
      <c r="BS3" s="93">
        <f t="shared" si="19"/>
        <v>13750</v>
      </c>
      <c r="BT3" s="93">
        <f t="shared" si="20"/>
        <v>13750</v>
      </c>
      <c r="BU3" s="93">
        <f t="shared" si="21"/>
        <v>13750</v>
      </c>
      <c r="BV3" s="93">
        <f t="shared" si="22"/>
        <v>13750</v>
      </c>
      <c r="BW3" s="93">
        <f t="shared" si="23"/>
        <v>13750</v>
      </c>
      <c r="BX3" s="93">
        <f t="shared" si="24"/>
        <v>13750</v>
      </c>
      <c r="BY3" s="93">
        <f t="shared" si="25"/>
        <v>13750</v>
      </c>
    </row>
    <row r="4" spans="1:77" x14ac:dyDescent="0.25">
      <c r="A4" s="92" t="s">
        <v>14</v>
      </c>
      <c r="B4" s="90" t="s">
        <v>1074</v>
      </c>
      <c r="C4" s="115">
        <f t="shared" si="0"/>
        <v>1.8181818181818181E-11</v>
      </c>
      <c r="D4" s="115">
        <f>IFERROR(s_TR/(up_RadSpec!$E4*s_IFAP_res_adj*s_CF_apple),".")</f>
        <v>7.2727272727272723E-11</v>
      </c>
      <c r="E4" s="115">
        <f>IFERROR(s_TR/(up_RadSpec!$E4*s_IFAS_res_adj*s_CF_asparagus),".")</f>
        <v>7.2727272727272723E-11</v>
      </c>
      <c r="F4" s="115">
        <f>IFERROR(s_TR/(up_RadSpec!$E4*s_IFBT_res_adj*s_CF_beet),".")</f>
        <v>7.2727272727272723E-11</v>
      </c>
      <c r="G4" s="115">
        <f>IFERROR(s_TR/(up_RadSpec!$E4*s_IFBE_res_adj*s_CF_berries),".")</f>
        <v>7.2727272727272723E-11</v>
      </c>
      <c r="H4" s="115">
        <f>IFERROR(s_TR/(up_RadSpec!$E4*s_IFBR_res_adj*s_CF_broccoli),".")</f>
        <v>7.2727272727272723E-11</v>
      </c>
      <c r="I4" s="115">
        <f>IFERROR(s_TR/(up_RadSpec!$E4*s_IFCB_res_adj*s_CF_cabbage),".")</f>
        <v>7.2727272727272723E-11</v>
      </c>
      <c r="J4" s="115">
        <f>IFERROR(s_TR/(up_RadSpec!$E4*s_IFCR_res_adj*s_CF_carrot),".")</f>
        <v>7.2727272727272723E-11</v>
      </c>
      <c r="K4" s="115">
        <f>IFERROR(s_TR/(up_RadSpec!$E4*s_IFCI_res_adj*s_CF_citrus),".")</f>
        <v>7.2727272727272723E-11</v>
      </c>
      <c r="L4" s="115">
        <f>IFERROR(s_TR/(up_RadSpec!$E4*s_IFCO_res_adj*s_CF_corn),".")</f>
        <v>7.2727272727272723E-11</v>
      </c>
      <c r="M4" s="115">
        <f>IFERROR(s_TR/(up_RadSpec!$E4*s_IFCU_res_adj*s_CF_cucumber),".")</f>
        <v>7.2727272727272723E-11</v>
      </c>
      <c r="N4" s="115">
        <f>IFERROR(s_TR/(up_RadSpec!$E4*s_IFLE_res_adj*s_CF_lettuce),".")</f>
        <v>7.2727272727272723E-11</v>
      </c>
      <c r="O4" s="115">
        <f>IFERROR(s_TR/(up_RadSpec!$E4*s_IFLI_res_adj*s_CF_lima_bean),".")</f>
        <v>7.2727272727272723E-11</v>
      </c>
      <c r="P4" s="115">
        <f>IFERROR(s_TR/(up_RadSpec!$E4*s_IFOK_res_adj*s_CF_okra),".")</f>
        <v>7.2727272727272723E-11</v>
      </c>
      <c r="Q4" s="115">
        <f>IFERROR(s_TR/(up_RadSpec!$E4*s_IFON_res_adj*s_CF_onion),".")</f>
        <v>7.2727272727272723E-11</v>
      </c>
      <c r="R4" s="115">
        <f>IFERROR(s_TR/(up_RadSpec!$E4*s_IFPC_res_adj*s_CF_peach),".")</f>
        <v>7.2727272727272723E-11</v>
      </c>
      <c r="S4" s="115">
        <f>IFERROR(s_TR/(up_RadSpec!$E4*s_IFPR_res_adj*s_CF_pear),".")</f>
        <v>7.2727272727272723E-11</v>
      </c>
      <c r="T4" s="115">
        <f>IFERROR(s_TR/(up_RadSpec!$E4*s_IFPE_res_adj*s_CF_peas),".")</f>
        <v>7.2727272727272723E-11</v>
      </c>
      <c r="U4" s="115">
        <f>IFERROR(s_TR/(up_RadSpec!$E4*s_IFPT_res_adj*s_CF_potato),".")</f>
        <v>7.2727272727272723E-11</v>
      </c>
      <c r="V4" s="115">
        <f>IFERROR(s_TR/(up_RadSpec!$E4*s_IFPU_res_adj*s_CF_pumpkin),".")</f>
        <v>7.2727272727272723E-11</v>
      </c>
      <c r="W4" s="115">
        <f>IFERROR(s_TR/(up_RadSpec!$E4*s_IFSN_res_adj*s_CF_snap_bean),".")</f>
        <v>7.2727272727272723E-11</v>
      </c>
      <c r="X4" s="115">
        <f>IFERROR(s_TR/(up_RadSpec!$E4*s_IFST_res_adj*s_CF_strawberry),".")</f>
        <v>7.2727272727272723E-11</v>
      </c>
      <c r="Y4" s="115">
        <f>IFERROR(s_TR/(up_RadSpec!$E4*s_IFTO_res_adj*s_CF_tomato),".")</f>
        <v>7.2727272727272723E-11</v>
      </c>
      <c r="Z4" s="115">
        <f>IFERROR(s_TR/(up_RadSpec!$E4*s_IFRI_res_adj*s_CF_rice),".")</f>
        <v>7.2727272727272723E-11</v>
      </c>
      <c r="AA4" s="115">
        <f>IFERROR(s_TR/(up_RadSpec!$E4*s_IFCG_res_adj*s_CF_cereal),".")</f>
        <v>7.2727272727272723E-11</v>
      </c>
      <c r="AB4" s="115">
        <f t="shared" si="26"/>
        <v>1.8181818181818181E-11</v>
      </c>
      <c r="AC4" s="115">
        <f>IFERROR(s_TR/(up_RadSpec!$E4*s_IFAP_far_adj*s_CF_apple),".")</f>
        <v>7.2727272727272723E-11</v>
      </c>
      <c r="AD4" s="115">
        <f>IFERROR(s_TR/(up_RadSpec!$E4*s_IFAS_far_adj*s_CF_asparagus),".")</f>
        <v>7.2727272727272723E-11</v>
      </c>
      <c r="AE4" s="115">
        <f>IFERROR(s_TR/(up_RadSpec!$E4*s_IFBT_far_adj*s_CF_beet),".")</f>
        <v>7.2727272727272723E-11</v>
      </c>
      <c r="AF4" s="115">
        <f>IFERROR(s_TR/(up_RadSpec!$E4*s_IFBE_far_adj*s_CF_berries),".")</f>
        <v>7.2727272727272723E-11</v>
      </c>
      <c r="AG4" s="115">
        <f>IFERROR(s_TR/(up_RadSpec!$E4*s_IFBR_far_adj*s_CF_broccoli),".")</f>
        <v>7.2727272727272723E-11</v>
      </c>
      <c r="AH4" s="115">
        <f>IFERROR(s_TR/(up_RadSpec!$E4*s_IFCB_far_adj*s_CF_cabbage),".")</f>
        <v>7.2727272727272723E-11</v>
      </c>
      <c r="AI4" s="115">
        <f>IFERROR(s_TR/(up_RadSpec!$E4*s_IFCR_far_adj*s_CF_carrot),".")</f>
        <v>7.2727272727272723E-11</v>
      </c>
      <c r="AJ4" s="115">
        <f>IFERROR(s_TR/(up_RadSpec!$E4*s_IFCI_far_adj*s_CF_citrus),".")</f>
        <v>7.2727272727272723E-11</v>
      </c>
      <c r="AK4" s="115">
        <f>IFERROR(s_TR/(up_RadSpec!$E4*s_IFCO_far_adj*s_CF_corn),".")</f>
        <v>7.2727272727272723E-11</v>
      </c>
      <c r="AL4" s="115">
        <f>IFERROR(s_TR/(up_RadSpec!$E4*s_IFCU_far_adj*s_CF_cucumber),".")</f>
        <v>7.2727272727272723E-11</v>
      </c>
      <c r="AM4" s="115">
        <f>IFERROR(s_TR/(up_RadSpec!$E4*s_IFLE_far_adj*s_CF_lettuce),".")</f>
        <v>7.2727272727272723E-11</v>
      </c>
      <c r="AN4" s="115">
        <f>IFERROR(s_TR/(up_RadSpec!$E4*s_IFLI_far_adj*s_CF_lima_bean),".")</f>
        <v>7.2727272727272723E-11</v>
      </c>
      <c r="AO4" s="115">
        <f>IFERROR(s_TR/(up_RadSpec!$E4*s_IFOK_far_adj*s_CF_okra),".")</f>
        <v>7.2727272727272723E-11</v>
      </c>
      <c r="AP4" s="115">
        <f>IFERROR(s_TR/(up_RadSpec!$E4*s_IFON_far_adj*s_CF_onion),".")</f>
        <v>7.2727272727272723E-11</v>
      </c>
      <c r="AQ4" s="115">
        <f>IFERROR(s_TR/(up_RadSpec!$E4*s_IFPC_far_adj*s_CF_peach),".")</f>
        <v>7.2727272727272723E-11</v>
      </c>
      <c r="AR4" s="115">
        <f>IFERROR(s_TR/(up_RadSpec!$E4*s_IFPR_far_adj*s_CF_pear),".")</f>
        <v>7.2727272727272723E-11</v>
      </c>
      <c r="AS4" s="115">
        <f>IFERROR(s_TR/(up_RadSpec!$E4*s_IFPE_far_adj*s_CF_peas),".")</f>
        <v>7.2727272727272723E-11</v>
      </c>
      <c r="AT4" s="115">
        <f>IFERROR(s_TR/(up_RadSpec!$E4*s_IFPT_far_adj*s_CF_potato),".")</f>
        <v>7.2727272727272723E-11</v>
      </c>
      <c r="AU4" s="115">
        <f>IFERROR(s_TR/(up_RadSpec!$E4*s_IFPU_far_adj*s_CF_pumpkin),".")</f>
        <v>7.2727272727272723E-11</v>
      </c>
      <c r="AV4" s="115">
        <f>IFERROR(s_TR/(up_RadSpec!$E4*s_IFSN_far_adj*s_CF_snap_bean),".")</f>
        <v>7.2727272727272723E-11</v>
      </c>
      <c r="AW4" s="115">
        <f>IFERROR(s_TR/(up_RadSpec!$E4*s_IFST_far_adj*s_CF_strawberry),".")</f>
        <v>7.2727272727272723E-11</v>
      </c>
      <c r="AX4" s="115">
        <f>IFERROR(s_TR/(up_RadSpec!$E4*s_IFTO_far_adj*s_CF_tomato),".")</f>
        <v>7.2727272727272723E-11</v>
      </c>
      <c r="AY4" s="115">
        <f>IFERROR(s_TR/(up_RadSpec!$E4*s_IFRI_far_adj*s_CF_rice),".")</f>
        <v>7.2727272727272723E-11</v>
      </c>
      <c r="AZ4" s="115">
        <f>IFERROR(s_TR/(up_RadSpec!$E4*s_IFCG_far_adj*s_CF_cereal),".")</f>
        <v>7.2727272727272723E-11</v>
      </c>
      <c r="BA4" s="93">
        <f t="shared" si="1"/>
        <v>55000</v>
      </c>
      <c r="BB4" s="93">
        <f t="shared" si="2"/>
        <v>13750</v>
      </c>
      <c r="BC4" s="93">
        <f t="shared" si="3"/>
        <v>13750</v>
      </c>
      <c r="BD4" s="93">
        <f t="shared" si="4"/>
        <v>13750</v>
      </c>
      <c r="BE4" s="93">
        <f t="shared" si="5"/>
        <v>13750</v>
      </c>
      <c r="BF4" s="93">
        <f t="shared" si="6"/>
        <v>13750</v>
      </c>
      <c r="BG4" s="93">
        <f t="shared" si="7"/>
        <v>13750</v>
      </c>
      <c r="BH4" s="93">
        <f t="shared" si="8"/>
        <v>13750</v>
      </c>
      <c r="BI4" s="93">
        <f t="shared" si="9"/>
        <v>13750</v>
      </c>
      <c r="BJ4" s="93">
        <f t="shared" si="10"/>
        <v>13750</v>
      </c>
      <c r="BK4" s="93">
        <f t="shared" si="11"/>
        <v>13750</v>
      </c>
      <c r="BL4" s="93">
        <f t="shared" si="12"/>
        <v>13750</v>
      </c>
      <c r="BM4" s="93">
        <f t="shared" si="13"/>
        <v>13750</v>
      </c>
      <c r="BN4" s="93">
        <f t="shared" si="14"/>
        <v>13750</v>
      </c>
      <c r="BO4" s="93">
        <f t="shared" si="15"/>
        <v>13750</v>
      </c>
      <c r="BP4" s="93">
        <f t="shared" si="16"/>
        <v>13750</v>
      </c>
      <c r="BQ4" s="93">
        <f t="shared" si="17"/>
        <v>13750</v>
      </c>
      <c r="BR4" s="93">
        <f t="shared" si="18"/>
        <v>13750</v>
      </c>
      <c r="BS4" s="93">
        <f t="shared" si="19"/>
        <v>13750</v>
      </c>
      <c r="BT4" s="93">
        <f t="shared" si="20"/>
        <v>13750</v>
      </c>
      <c r="BU4" s="93">
        <f t="shared" si="21"/>
        <v>13750</v>
      </c>
      <c r="BV4" s="93">
        <f t="shared" si="22"/>
        <v>13750</v>
      </c>
      <c r="BW4" s="93">
        <f t="shared" si="23"/>
        <v>13750</v>
      </c>
      <c r="BX4" s="93">
        <f t="shared" si="24"/>
        <v>13750</v>
      </c>
      <c r="BY4" s="93">
        <f t="shared" si="25"/>
        <v>13750</v>
      </c>
    </row>
    <row r="5" spans="1:77" x14ac:dyDescent="0.25">
      <c r="A5" s="92" t="s">
        <v>15</v>
      </c>
      <c r="B5" s="90" t="s">
        <v>1074</v>
      </c>
      <c r="C5" s="115">
        <f t="shared" si="0"/>
        <v>1.8181818181818181E-11</v>
      </c>
      <c r="D5" s="115">
        <f>IFERROR(s_TR/(up_RadSpec!$E5*s_IFAP_res_adj*s_CF_apple),".")</f>
        <v>7.2727272727272723E-11</v>
      </c>
      <c r="E5" s="115">
        <f>IFERROR(s_TR/(up_RadSpec!$E5*s_IFAS_res_adj*s_CF_asparagus),".")</f>
        <v>7.2727272727272723E-11</v>
      </c>
      <c r="F5" s="115">
        <f>IFERROR(s_TR/(up_RadSpec!$E5*s_IFBT_res_adj*s_CF_beet),".")</f>
        <v>7.2727272727272723E-11</v>
      </c>
      <c r="G5" s="115">
        <f>IFERROR(s_TR/(up_RadSpec!$E5*s_IFBE_res_adj*s_CF_berries),".")</f>
        <v>7.2727272727272723E-11</v>
      </c>
      <c r="H5" s="115">
        <f>IFERROR(s_TR/(up_RadSpec!$E5*s_IFBR_res_adj*s_CF_broccoli),".")</f>
        <v>7.2727272727272723E-11</v>
      </c>
      <c r="I5" s="115">
        <f>IFERROR(s_TR/(up_RadSpec!$E5*s_IFCB_res_adj*s_CF_cabbage),".")</f>
        <v>7.2727272727272723E-11</v>
      </c>
      <c r="J5" s="115">
        <f>IFERROR(s_TR/(up_RadSpec!$E5*s_IFCR_res_adj*s_CF_carrot),".")</f>
        <v>7.2727272727272723E-11</v>
      </c>
      <c r="K5" s="115">
        <f>IFERROR(s_TR/(up_RadSpec!$E5*s_IFCI_res_adj*s_CF_citrus),".")</f>
        <v>7.2727272727272723E-11</v>
      </c>
      <c r="L5" s="115">
        <f>IFERROR(s_TR/(up_RadSpec!$E5*s_IFCO_res_adj*s_CF_corn),".")</f>
        <v>7.2727272727272723E-11</v>
      </c>
      <c r="M5" s="115">
        <f>IFERROR(s_TR/(up_RadSpec!$E5*s_IFCU_res_adj*s_CF_cucumber),".")</f>
        <v>7.2727272727272723E-11</v>
      </c>
      <c r="N5" s="115">
        <f>IFERROR(s_TR/(up_RadSpec!$E5*s_IFLE_res_adj*s_CF_lettuce),".")</f>
        <v>7.2727272727272723E-11</v>
      </c>
      <c r="O5" s="115">
        <f>IFERROR(s_TR/(up_RadSpec!$E5*s_IFLI_res_adj*s_CF_lima_bean),".")</f>
        <v>7.2727272727272723E-11</v>
      </c>
      <c r="P5" s="115">
        <f>IFERROR(s_TR/(up_RadSpec!$E5*s_IFOK_res_adj*s_CF_okra),".")</f>
        <v>7.2727272727272723E-11</v>
      </c>
      <c r="Q5" s="115">
        <f>IFERROR(s_TR/(up_RadSpec!$E5*s_IFON_res_adj*s_CF_onion),".")</f>
        <v>7.2727272727272723E-11</v>
      </c>
      <c r="R5" s="115">
        <f>IFERROR(s_TR/(up_RadSpec!$E5*s_IFPC_res_adj*s_CF_peach),".")</f>
        <v>7.2727272727272723E-11</v>
      </c>
      <c r="S5" s="115">
        <f>IFERROR(s_TR/(up_RadSpec!$E5*s_IFPR_res_adj*s_CF_pear),".")</f>
        <v>7.2727272727272723E-11</v>
      </c>
      <c r="T5" s="115">
        <f>IFERROR(s_TR/(up_RadSpec!$E5*s_IFPE_res_adj*s_CF_peas),".")</f>
        <v>7.2727272727272723E-11</v>
      </c>
      <c r="U5" s="115">
        <f>IFERROR(s_TR/(up_RadSpec!$E5*s_IFPT_res_adj*s_CF_potato),".")</f>
        <v>7.2727272727272723E-11</v>
      </c>
      <c r="V5" s="115">
        <f>IFERROR(s_TR/(up_RadSpec!$E5*s_IFPU_res_adj*s_CF_pumpkin),".")</f>
        <v>7.2727272727272723E-11</v>
      </c>
      <c r="W5" s="115">
        <f>IFERROR(s_TR/(up_RadSpec!$E5*s_IFSN_res_adj*s_CF_snap_bean),".")</f>
        <v>7.2727272727272723E-11</v>
      </c>
      <c r="X5" s="115">
        <f>IFERROR(s_TR/(up_RadSpec!$E5*s_IFST_res_adj*s_CF_strawberry),".")</f>
        <v>7.2727272727272723E-11</v>
      </c>
      <c r="Y5" s="115">
        <f>IFERROR(s_TR/(up_RadSpec!$E5*s_IFTO_res_adj*s_CF_tomato),".")</f>
        <v>7.2727272727272723E-11</v>
      </c>
      <c r="Z5" s="115">
        <f>IFERROR(s_TR/(up_RadSpec!$E5*s_IFRI_res_adj*s_CF_rice),".")</f>
        <v>7.2727272727272723E-11</v>
      </c>
      <c r="AA5" s="115">
        <f>IFERROR(s_TR/(up_RadSpec!$E5*s_IFCG_res_adj*s_CF_cereal),".")</f>
        <v>7.2727272727272723E-11</v>
      </c>
      <c r="AB5" s="115">
        <f t="shared" si="26"/>
        <v>1.8181818181818181E-11</v>
      </c>
      <c r="AC5" s="115">
        <f>IFERROR(s_TR/(up_RadSpec!$E5*s_IFAP_far_adj*s_CF_apple),".")</f>
        <v>7.2727272727272723E-11</v>
      </c>
      <c r="AD5" s="115">
        <f>IFERROR(s_TR/(up_RadSpec!$E5*s_IFAS_far_adj*s_CF_asparagus),".")</f>
        <v>7.2727272727272723E-11</v>
      </c>
      <c r="AE5" s="115">
        <f>IFERROR(s_TR/(up_RadSpec!$E5*s_IFBT_far_adj*s_CF_beet),".")</f>
        <v>7.2727272727272723E-11</v>
      </c>
      <c r="AF5" s="115">
        <f>IFERROR(s_TR/(up_RadSpec!$E5*s_IFBE_far_adj*s_CF_berries),".")</f>
        <v>7.2727272727272723E-11</v>
      </c>
      <c r="AG5" s="115">
        <f>IFERROR(s_TR/(up_RadSpec!$E5*s_IFBR_far_adj*s_CF_broccoli),".")</f>
        <v>7.2727272727272723E-11</v>
      </c>
      <c r="AH5" s="115">
        <f>IFERROR(s_TR/(up_RadSpec!$E5*s_IFCB_far_adj*s_CF_cabbage),".")</f>
        <v>7.2727272727272723E-11</v>
      </c>
      <c r="AI5" s="115">
        <f>IFERROR(s_TR/(up_RadSpec!$E5*s_IFCR_far_adj*s_CF_carrot),".")</f>
        <v>7.2727272727272723E-11</v>
      </c>
      <c r="AJ5" s="115">
        <f>IFERROR(s_TR/(up_RadSpec!$E5*s_IFCI_far_adj*s_CF_citrus),".")</f>
        <v>7.2727272727272723E-11</v>
      </c>
      <c r="AK5" s="115">
        <f>IFERROR(s_TR/(up_RadSpec!$E5*s_IFCO_far_adj*s_CF_corn),".")</f>
        <v>7.2727272727272723E-11</v>
      </c>
      <c r="AL5" s="115">
        <f>IFERROR(s_TR/(up_RadSpec!$E5*s_IFCU_far_adj*s_CF_cucumber),".")</f>
        <v>7.2727272727272723E-11</v>
      </c>
      <c r="AM5" s="115">
        <f>IFERROR(s_TR/(up_RadSpec!$E5*s_IFLE_far_adj*s_CF_lettuce),".")</f>
        <v>7.2727272727272723E-11</v>
      </c>
      <c r="AN5" s="115">
        <f>IFERROR(s_TR/(up_RadSpec!$E5*s_IFLI_far_adj*s_CF_lima_bean),".")</f>
        <v>7.2727272727272723E-11</v>
      </c>
      <c r="AO5" s="115">
        <f>IFERROR(s_TR/(up_RadSpec!$E5*s_IFOK_far_adj*s_CF_okra),".")</f>
        <v>7.2727272727272723E-11</v>
      </c>
      <c r="AP5" s="115">
        <f>IFERROR(s_TR/(up_RadSpec!$E5*s_IFON_far_adj*s_CF_onion),".")</f>
        <v>7.2727272727272723E-11</v>
      </c>
      <c r="AQ5" s="115">
        <f>IFERROR(s_TR/(up_RadSpec!$E5*s_IFPC_far_adj*s_CF_peach),".")</f>
        <v>7.2727272727272723E-11</v>
      </c>
      <c r="AR5" s="115">
        <f>IFERROR(s_TR/(up_RadSpec!$E5*s_IFPR_far_adj*s_CF_pear),".")</f>
        <v>7.2727272727272723E-11</v>
      </c>
      <c r="AS5" s="115">
        <f>IFERROR(s_TR/(up_RadSpec!$E5*s_IFPE_far_adj*s_CF_peas),".")</f>
        <v>7.2727272727272723E-11</v>
      </c>
      <c r="AT5" s="115">
        <f>IFERROR(s_TR/(up_RadSpec!$E5*s_IFPT_far_adj*s_CF_potato),".")</f>
        <v>7.2727272727272723E-11</v>
      </c>
      <c r="AU5" s="115">
        <f>IFERROR(s_TR/(up_RadSpec!$E5*s_IFPU_far_adj*s_CF_pumpkin),".")</f>
        <v>7.2727272727272723E-11</v>
      </c>
      <c r="AV5" s="115">
        <f>IFERROR(s_TR/(up_RadSpec!$E5*s_IFSN_far_adj*s_CF_snap_bean),".")</f>
        <v>7.2727272727272723E-11</v>
      </c>
      <c r="AW5" s="115">
        <f>IFERROR(s_TR/(up_RadSpec!$E5*s_IFST_far_adj*s_CF_strawberry),".")</f>
        <v>7.2727272727272723E-11</v>
      </c>
      <c r="AX5" s="115">
        <f>IFERROR(s_TR/(up_RadSpec!$E5*s_IFTO_far_adj*s_CF_tomato),".")</f>
        <v>7.2727272727272723E-11</v>
      </c>
      <c r="AY5" s="115">
        <f>IFERROR(s_TR/(up_RadSpec!$E5*s_IFRI_far_adj*s_CF_rice),".")</f>
        <v>7.2727272727272723E-11</v>
      </c>
      <c r="AZ5" s="115">
        <f>IFERROR(s_TR/(up_RadSpec!$E5*s_IFCG_far_adj*s_CF_cereal),".")</f>
        <v>7.2727272727272723E-11</v>
      </c>
      <c r="BA5" s="93">
        <f t="shared" si="1"/>
        <v>55000</v>
      </c>
      <c r="BB5" s="93">
        <f t="shared" si="2"/>
        <v>13750</v>
      </c>
      <c r="BC5" s="93">
        <f t="shared" si="3"/>
        <v>13750</v>
      </c>
      <c r="BD5" s="93">
        <f t="shared" si="4"/>
        <v>13750</v>
      </c>
      <c r="BE5" s="93">
        <f t="shared" si="5"/>
        <v>13750</v>
      </c>
      <c r="BF5" s="93">
        <f t="shared" si="6"/>
        <v>13750</v>
      </c>
      <c r="BG5" s="93">
        <f t="shared" si="7"/>
        <v>13750</v>
      </c>
      <c r="BH5" s="93">
        <f t="shared" si="8"/>
        <v>13750</v>
      </c>
      <c r="BI5" s="93">
        <f t="shared" si="9"/>
        <v>13750</v>
      </c>
      <c r="BJ5" s="93">
        <f t="shared" si="10"/>
        <v>13750</v>
      </c>
      <c r="BK5" s="93">
        <f t="shared" si="11"/>
        <v>13750</v>
      </c>
      <c r="BL5" s="93">
        <f t="shared" si="12"/>
        <v>13750</v>
      </c>
      <c r="BM5" s="93">
        <f t="shared" si="13"/>
        <v>13750</v>
      </c>
      <c r="BN5" s="93">
        <f t="shared" si="14"/>
        <v>13750</v>
      </c>
      <c r="BO5" s="93">
        <f t="shared" si="15"/>
        <v>13750</v>
      </c>
      <c r="BP5" s="93">
        <f t="shared" si="16"/>
        <v>13750</v>
      </c>
      <c r="BQ5" s="93">
        <f t="shared" si="17"/>
        <v>13750</v>
      </c>
      <c r="BR5" s="93">
        <f t="shared" si="18"/>
        <v>13750</v>
      </c>
      <c r="BS5" s="93">
        <f t="shared" si="19"/>
        <v>13750</v>
      </c>
      <c r="BT5" s="93">
        <f t="shared" si="20"/>
        <v>13750</v>
      </c>
      <c r="BU5" s="93">
        <f t="shared" si="21"/>
        <v>13750</v>
      </c>
      <c r="BV5" s="93">
        <f t="shared" si="22"/>
        <v>13750</v>
      </c>
      <c r="BW5" s="93">
        <f t="shared" si="23"/>
        <v>13750</v>
      </c>
      <c r="BX5" s="93">
        <f t="shared" si="24"/>
        <v>13750</v>
      </c>
      <c r="BY5" s="93">
        <f t="shared" si="25"/>
        <v>13750</v>
      </c>
    </row>
    <row r="6" spans="1:77" x14ac:dyDescent="0.25">
      <c r="A6" s="92" t="s">
        <v>16</v>
      </c>
      <c r="B6" s="90" t="s">
        <v>1074</v>
      </c>
      <c r="C6" s="115">
        <f t="shared" si="0"/>
        <v>1.8181818181818181E-11</v>
      </c>
      <c r="D6" s="115">
        <f>IFERROR(s_TR/(up_RadSpec!$E6*s_IFAP_res_adj*s_CF_apple),".")</f>
        <v>7.2727272727272723E-11</v>
      </c>
      <c r="E6" s="115">
        <f>IFERROR(s_TR/(up_RadSpec!$E6*s_IFAS_res_adj*s_CF_asparagus),".")</f>
        <v>7.2727272727272723E-11</v>
      </c>
      <c r="F6" s="115">
        <f>IFERROR(s_TR/(up_RadSpec!$E6*s_IFBT_res_adj*s_CF_beet),".")</f>
        <v>7.2727272727272723E-11</v>
      </c>
      <c r="G6" s="115">
        <f>IFERROR(s_TR/(up_RadSpec!$E6*s_IFBE_res_adj*s_CF_berries),".")</f>
        <v>7.2727272727272723E-11</v>
      </c>
      <c r="H6" s="115">
        <f>IFERROR(s_TR/(up_RadSpec!$E6*s_IFBR_res_adj*s_CF_broccoli),".")</f>
        <v>7.2727272727272723E-11</v>
      </c>
      <c r="I6" s="115">
        <f>IFERROR(s_TR/(up_RadSpec!$E6*s_IFCB_res_adj*s_CF_cabbage),".")</f>
        <v>7.2727272727272723E-11</v>
      </c>
      <c r="J6" s="115">
        <f>IFERROR(s_TR/(up_RadSpec!$E6*s_IFCR_res_adj*s_CF_carrot),".")</f>
        <v>7.2727272727272723E-11</v>
      </c>
      <c r="K6" s="115">
        <f>IFERROR(s_TR/(up_RadSpec!$E6*s_IFCI_res_adj*s_CF_citrus),".")</f>
        <v>7.2727272727272723E-11</v>
      </c>
      <c r="L6" s="115">
        <f>IFERROR(s_TR/(up_RadSpec!$E6*s_IFCO_res_adj*s_CF_corn),".")</f>
        <v>7.2727272727272723E-11</v>
      </c>
      <c r="M6" s="115">
        <f>IFERROR(s_TR/(up_RadSpec!$E6*s_IFCU_res_adj*s_CF_cucumber),".")</f>
        <v>7.2727272727272723E-11</v>
      </c>
      <c r="N6" s="115">
        <f>IFERROR(s_TR/(up_RadSpec!$E6*s_IFLE_res_adj*s_CF_lettuce),".")</f>
        <v>7.2727272727272723E-11</v>
      </c>
      <c r="O6" s="115">
        <f>IFERROR(s_TR/(up_RadSpec!$E6*s_IFLI_res_adj*s_CF_lima_bean),".")</f>
        <v>7.2727272727272723E-11</v>
      </c>
      <c r="P6" s="115">
        <f>IFERROR(s_TR/(up_RadSpec!$E6*s_IFOK_res_adj*s_CF_okra),".")</f>
        <v>7.2727272727272723E-11</v>
      </c>
      <c r="Q6" s="115">
        <f>IFERROR(s_TR/(up_RadSpec!$E6*s_IFON_res_adj*s_CF_onion),".")</f>
        <v>7.2727272727272723E-11</v>
      </c>
      <c r="R6" s="115">
        <f>IFERROR(s_TR/(up_RadSpec!$E6*s_IFPC_res_adj*s_CF_peach),".")</f>
        <v>7.2727272727272723E-11</v>
      </c>
      <c r="S6" s="115">
        <f>IFERROR(s_TR/(up_RadSpec!$E6*s_IFPR_res_adj*s_CF_pear),".")</f>
        <v>7.2727272727272723E-11</v>
      </c>
      <c r="T6" s="115">
        <f>IFERROR(s_TR/(up_RadSpec!$E6*s_IFPE_res_adj*s_CF_peas),".")</f>
        <v>7.2727272727272723E-11</v>
      </c>
      <c r="U6" s="115">
        <f>IFERROR(s_TR/(up_RadSpec!$E6*s_IFPT_res_adj*s_CF_potato),".")</f>
        <v>7.2727272727272723E-11</v>
      </c>
      <c r="V6" s="115">
        <f>IFERROR(s_TR/(up_RadSpec!$E6*s_IFPU_res_adj*s_CF_pumpkin),".")</f>
        <v>7.2727272727272723E-11</v>
      </c>
      <c r="W6" s="115">
        <f>IFERROR(s_TR/(up_RadSpec!$E6*s_IFSN_res_adj*s_CF_snap_bean),".")</f>
        <v>7.2727272727272723E-11</v>
      </c>
      <c r="X6" s="115">
        <f>IFERROR(s_TR/(up_RadSpec!$E6*s_IFST_res_adj*s_CF_strawberry),".")</f>
        <v>7.2727272727272723E-11</v>
      </c>
      <c r="Y6" s="115">
        <f>IFERROR(s_TR/(up_RadSpec!$E6*s_IFTO_res_adj*s_CF_tomato),".")</f>
        <v>7.2727272727272723E-11</v>
      </c>
      <c r="Z6" s="115">
        <f>IFERROR(s_TR/(up_RadSpec!$E6*s_IFRI_res_adj*s_CF_rice),".")</f>
        <v>7.2727272727272723E-11</v>
      </c>
      <c r="AA6" s="115">
        <f>IFERROR(s_TR/(up_RadSpec!$E6*s_IFCG_res_adj*s_CF_cereal),".")</f>
        <v>7.2727272727272723E-11</v>
      </c>
      <c r="AB6" s="115">
        <f t="shared" si="26"/>
        <v>1.8181818181818181E-11</v>
      </c>
      <c r="AC6" s="115">
        <f>IFERROR(s_TR/(up_RadSpec!$E6*s_IFAP_far_adj*s_CF_apple),".")</f>
        <v>7.2727272727272723E-11</v>
      </c>
      <c r="AD6" s="115">
        <f>IFERROR(s_TR/(up_RadSpec!$E6*s_IFAS_far_adj*s_CF_asparagus),".")</f>
        <v>7.2727272727272723E-11</v>
      </c>
      <c r="AE6" s="115">
        <f>IFERROR(s_TR/(up_RadSpec!$E6*s_IFBT_far_adj*s_CF_beet),".")</f>
        <v>7.2727272727272723E-11</v>
      </c>
      <c r="AF6" s="115">
        <f>IFERROR(s_TR/(up_RadSpec!$E6*s_IFBE_far_adj*s_CF_berries),".")</f>
        <v>7.2727272727272723E-11</v>
      </c>
      <c r="AG6" s="115">
        <f>IFERROR(s_TR/(up_RadSpec!$E6*s_IFBR_far_adj*s_CF_broccoli),".")</f>
        <v>7.2727272727272723E-11</v>
      </c>
      <c r="AH6" s="115">
        <f>IFERROR(s_TR/(up_RadSpec!$E6*s_IFCB_far_adj*s_CF_cabbage),".")</f>
        <v>7.2727272727272723E-11</v>
      </c>
      <c r="AI6" s="115">
        <f>IFERROR(s_TR/(up_RadSpec!$E6*s_IFCR_far_adj*s_CF_carrot),".")</f>
        <v>7.2727272727272723E-11</v>
      </c>
      <c r="AJ6" s="115">
        <f>IFERROR(s_TR/(up_RadSpec!$E6*s_IFCI_far_adj*s_CF_citrus),".")</f>
        <v>7.2727272727272723E-11</v>
      </c>
      <c r="AK6" s="115">
        <f>IFERROR(s_TR/(up_RadSpec!$E6*s_IFCO_far_adj*s_CF_corn),".")</f>
        <v>7.2727272727272723E-11</v>
      </c>
      <c r="AL6" s="115">
        <f>IFERROR(s_TR/(up_RadSpec!$E6*s_IFCU_far_adj*s_CF_cucumber),".")</f>
        <v>7.2727272727272723E-11</v>
      </c>
      <c r="AM6" s="115">
        <f>IFERROR(s_TR/(up_RadSpec!$E6*s_IFLE_far_adj*s_CF_lettuce),".")</f>
        <v>7.2727272727272723E-11</v>
      </c>
      <c r="AN6" s="115">
        <f>IFERROR(s_TR/(up_RadSpec!$E6*s_IFLI_far_adj*s_CF_lima_bean),".")</f>
        <v>7.2727272727272723E-11</v>
      </c>
      <c r="AO6" s="115">
        <f>IFERROR(s_TR/(up_RadSpec!$E6*s_IFOK_far_adj*s_CF_okra),".")</f>
        <v>7.2727272727272723E-11</v>
      </c>
      <c r="AP6" s="115">
        <f>IFERROR(s_TR/(up_RadSpec!$E6*s_IFON_far_adj*s_CF_onion),".")</f>
        <v>7.2727272727272723E-11</v>
      </c>
      <c r="AQ6" s="115">
        <f>IFERROR(s_TR/(up_RadSpec!$E6*s_IFPC_far_adj*s_CF_peach),".")</f>
        <v>7.2727272727272723E-11</v>
      </c>
      <c r="AR6" s="115">
        <f>IFERROR(s_TR/(up_RadSpec!$E6*s_IFPR_far_adj*s_CF_pear),".")</f>
        <v>7.2727272727272723E-11</v>
      </c>
      <c r="AS6" s="115">
        <f>IFERROR(s_TR/(up_RadSpec!$E6*s_IFPE_far_adj*s_CF_peas),".")</f>
        <v>7.2727272727272723E-11</v>
      </c>
      <c r="AT6" s="115">
        <f>IFERROR(s_TR/(up_RadSpec!$E6*s_IFPT_far_adj*s_CF_potato),".")</f>
        <v>7.2727272727272723E-11</v>
      </c>
      <c r="AU6" s="115">
        <f>IFERROR(s_TR/(up_RadSpec!$E6*s_IFPU_far_adj*s_CF_pumpkin),".")</f>
        <v>7.2727272727272723E-11</v>
      </c>
      <c r="AV6" s="115">
        <f>IFERROR(s_TR/(up_RadSpec!$E6*s_IFSN_far_adj*s_CF_snap_bean),".")</f>
        <v>7.2727272727272723E-11</v>
      </c>
      <c r="AW6" s="115">
        <f>IFERROR(s_TR/(up_RadSpec!$E6*s_IFST_far_adj*s_CF_strawberry),".")</f>
        <v>7.2727272727272723E-11</v>
      </c>
      <c r="AX6" s="115">
        <f>IFERROR(s_TR/(up_RadSpec!$E6*s_IFTO_far_adj*s_CF_tomato),".")</f>
        <v>7.2727272727272723E-11</v>
      </c>
      <c r="AY6" s="115">
        <f>IFERROR(s_TR/(up_RadSpec!$E6*s_IFRI_far_adj*s_CF_rice),".")</f>
        <v>7.2727272727272723E-11</v>
      </c>
      <c r="AZ6" s="115">
        <f>IFERROR(s_TR/(up_RadSpec!$E6*s_IFCG_far_adj*s_CF_cereal),".")</f>
        <v>7.2727272727272723E-11</v>
      </c>
      <c r="BA6" s="93">
        <f t="shared" si="1"/>
        <v>55000</v>
      </c>
      <c r="BB6" s="93">
        <f t="shared" si="2"/>
        <v>13750</v>
      </c>
      <c r="BC6" s="93">
        <f t="shared" si="3"/>
        <v>13750</v>
      </c>
      <c r="BD6" s="93">
        <f t="shared" si="4"/>
        <v>13750</v>
      </c>
      <c r="BE6" s="93">
        <f t="shared" si="5"/>
        <v>13750</v>
      </c>
      <c r="BF6" s="93">
        <f t="shared" si="6"/>
        <v>13750</v>
      </c>
      <c r="BG6" s="93">
        <f t="shared" si="7"/>
        <v>13750</v>
      </c>
      <c r="BH6" s="93">
        <f t="shared" si="8"/>
        <v>13750</v>
      </c>
      <c r="BI6" s="93">
        <f t="shared" si="9"/>
        <v>13750</v>
      </c>
      <c r="BJ6" s="93">
        <f t="shared" si="10"/>
        <v>13750</v>
      </c>
      <c r="BK6" s="93">
        <f t="shared" si="11"/>
        <v>13750</v>
      </c>
      <c r="BL6" s="93">
        <f t="shared" si="12"/>
        <v>13750</v>
      </c>
      <c r="BM6" s="93">
        <f t="shared" si="13"/>
        <v>13750</v>
      </c>
      <c r="BN6" s="93">
        <f t="shared" si="14"/>
        <v>13750</v>
      </c>
      <c r="BO6" s="93">
        <f t="shared" si="15"/>
        <v>13750</v>
      </c>
      <c r="BP6" s="93">
        <f t="shared" si="16"/>
        <v>13750</v>
      </c>
      <c r="BQ6" s="93">
        <f t="shared" si="17"/>
        <v>13750</v>
      </c>
      <c r="BR6" s="93">
        <f t="shared" si="18"/>
        <v>13750</v>
      </c>
      <c r="BS6" s="93">
        <f t="shared" si="19"/>
        <v>13750</v>
      </c>
      <c r="BT6" s="93">
        <f t="shared" si="20"/>
        <v>13750</v>
      </c>
      <c r="BU6" s="93">
        <f t="shared" si="21"/>
        <v>13750</v>
      </c>
      <c r="BV6" s="93">
        <f t="shared" si="22"/>
        <v>13750</v>
      </c>
      <c r="BW6" s="93">
        <f t="shared" si="23"/>
        <v>13750</v>
      </c>
      <c r="BX6" s="93">
        <f t="shared" si="24"/>
        <v>13750</v>
      </c>
      <c r="BY6" s="93">
        <f t="shared" si="25"/>
        <v>13750</v>
      </c>
    </row>
    <row r="7" spans="1:77" x14ac:dyDescent="0.25">
      <c r="A7" s="92" t="s">
        <v>17</v>
      </c>
      <c r="B7" s="90" t="s">
        <v>1074</v>
      </c>
      <c r="C7" s="115">
        <f t="shared" si="0"/>
        <v>1.8181818181818181E-11</v>
      </c>
      <c r="D7" s="115">
        <f>IFERROR(s_TR/(up_RadSpec!$E7*s_IFAP_res_adj*s_CF_apple),".")</f>
        <v>7.2727272727272723E-11</v>
      </c>
      <c r="E7" s="115">
        <f>IFERROR(s_TR/(up_RadSpec!$E7*s_IFAS_res_adj*s_CF_asparagus),".")</f>
        <v>7.2727272727272723E-11</v>
      </c>
      <c r="F7" s="115">
        <f>IFERROR(s_TR/(up_RadSpec!$E7*s_IFBT_res_adj*s_CF_beet),".")</f>
        <v>7.2727272727272723E-11</v>
      </c>
      <c r="G7" s="115">
        <f>IFERROR(s_TR/(up_RadSpec!$E7*s_IFBE_res_adj*s_CF_berries),".")</f>
        <v>7.2727272727272723E-11</v>
      </c>
      <c r="H7" s="115">
        <f>IFERROR(s_TR/(up_RadSpec!$E7*s_IFBR_res_adj*s_CF_broccoli),".")</f>
        <v>7.2727272727272723E-11</v>
      </c>
      <c r="I7" s="115">
        <f>IFERROR(s_TR/(up_RadSpec!$E7*s_IFCB_res_adj*s_CF_cabbage),".")</f>
        <v>7.2727272727272723E-11</v>
      </c>
      <c r="J7" s="115">
        <f>IFERROR(s_TR/(up_RadSpec!$E7*s_IFCR_res_adj*s_CF_carrot),".")</f>
        <v>7.2727272727272723E-11</v>
      </c>
      <c r="K7" s="115">
        <f>IFERROR(s_TR/(up_RadSpec!$E7*s_IFCI_res_adj*s_CF_citrus),".")</f>
        <v>7.2727272727272723E-11</v>
      </c>
      <c r="L7" s="115">
        <f>IFERROR(s_TR/(up_RadSpec!$E7*s_IFCO_res_adj*s_CF_corn),".")</f>
        <v>7.2727272727272723E-11</v>
      </c>
      <c r="M7" s="115">
        <f>IFERROR(s_TR/(up_RadSpec!$E7*s_IFCU_res_adj*s_CF_cucumber),".")</f>
        <v>7.2727272727272723E-11</v>
      </c>
      <c r="N7" s="115">
        <f>IFERROR(s_TR/(up_RadSpec!$E7*s_IFLE_res_adj*s_CF_lettuce),".")</f>
        <v>7.2727272727272723E-11</v>
      </c>
      <c r="O7" s="115">
        <f>IFERROR(s_TR/(up_RadSpec!$E7*s_IFLI_res_adj*s_CF_lima_bean),".")</f>
        <v>7.2727272727272723E-11</v>
      </c>
      <c r="P7" s="115">
        <f>IFERROR(s_TR/(up_RadSpec!$E7*s_IFOK_res_adj*s_CF_okra),".")</f>
        <v>7.2727272727272723E-11</v>
      </c>
      <c r="Q7" s="115">
        <f>IFERROR(s_TR/(up_RadSpec!$E7*s_IFON_res_adj*s_CF_onion),".")</f>
        <v>7.2727272727272723E-11</v>
      </c>
      <c r="R7" s="115">
        <f>IFERROR(s_TR/(up_RadSpec!$E7*s_IFPC_res_adj*s_CF_peach),".")</f>
        <v>7.2727272727272723E-11</v>
      </c>
      <c r="S7" s="115">
        <f>IFERROR(s_TR/(up_RadSpec!$E7*s_IFPR_res_adj*s_CF_pear),".")</f>
        <v>7.2727272727272723E-11</v>
      </c>
      <c r="T7" s="115">
        <f>IFERROR(s_TR/(up_RadSpec!$E7*s_IFPE_res_adj*s_CF_peas),".")</f>
        <v>7.2727272727272723E-11</v>
      </c>
      <c r="U7" s="115">
        <f>IFERROR(s_TR/(up_RadSpec!$E7*s_IFPT_res_adj*s_CF_potato),".")</f>
        <v>7.2727272727272723E-11</v>
      </c>
      <c r="V7" s="115">
        <f>IFERROR(s_TR/(up_RadSpec!$E7*s_IFPU_res_adj*s_CF_pumpkin),".")</f>
        <v>7.2727272727272723E-11</v>
      </c>
      <c r="W7" s="115">
        <f>IFERROR(s_TR/(up_RadSpec!$E7*s_IFSN_res_adj*s_CF_snap_bean),".")</f>
        <v>7.2727272727272723E-11</v>
      </c>
      <c r="X7" s="115">
        <f>IFERROR(s_TR/(up_RadSpec!$E7*s_IFST_res_adj*s_CF_strawberry),".")</f>
        <v>7.2727272727272723E-11</v>
      </c>
      <c r="Y7" s="115">
        <f>IFERROR(s_TR/(up_RadSpec!$E7*s_IFTO_res_adj*s_CF_tomato),".")</f>
        <v>7.2727272727272723E-11</v>
      </c>
      <c r="Z7" s="115">
        <f>IFERROR(s_TR/(up_RadSpec!$E7*s_IFRI_res_adj*s_CF_rice),".")</f>
        <v>7.2727272727272723E-11</v>
      </c>
      <c r="AA7" s="115">
        <f>IFERROR(s_TR/(up_RadSpec!$E7*s_IFCG_res_adj*s_CF_cereal),".")</f>
        <v>7.2727272727272723E-11</v>
      </c>
      <c r="AB7" s="115">
        <f t="shared" si="26"/>
        <v>1.8181818181818181E-11</v>
      </c>
      <c r="AC7" s="115">
        <f>IFERROR(s_TR/(up_RadSpec!$E7*s_IFAP_far_adj*s_CF_apple),".")</f>
        <v>7.2727272727272723E-11</v>
      </c>
      <c r="AD7" s="115">
        <f>IFERROR(s_TR/(up_RadSpec!$E7*s_IFAS_far_adj*s_CF_asparagus),".")</f>
        <v>7.2727272727272723E-11</v>
      </c>
      <c r="AE7" s="115">
        <f>IFERROR(s_TR/(up_RadSpec!$E7*s_IFBT_far_adj*s_CF_beet),".")</f>
        <v>7.2727272727272723E-11</v>
      </c>
      <c r="AF7" s="115">
        <f>IFERROR(s_TR/(up_RadSpec!$E7*s_IFBE_far_adj*s_CF_berries),".")</f>
        <v>7.2727272727272723E-11</v>
      </c>
      <c r="AG7" s="115">
        <f>IFERROR(s_TR/(up_RadSpec!$E7*s_IFBR_far_adj*s_CF_broccoli),".")</f>
        <v>7.2727272727272723E-11</v>
      </c>
      <c r="AH7" s="115">
        <f>IFERROR(s_TR/(up_RadSpec!$E7*s_IFCB_far_adj*s_CF_cabbage),".")</f>
        <v>7.2727272727272723E-11</v>
      </c>
      <c r="AI7" s="115">
        <f>IFERROR(s_TR/(up_RadSpec!$E7*s_IFCR_far_adj*s_CF_carrot),".")</f>
        <v>7.2727272727272723E-11</v>
      </c>
      <c r="AJ7" s="115">
        <f>IFERROR(s_TR/(up_RadSpec!$E7*s_IFCI_far_adj*s_CF_citrus),".")</f>
        <v>7.2727272727272723E-11</v>
      </c>
      <c r="AK7" s="115">
        <f>IFERROR(s_TR/(up_RadSpec!$E7*s_IFCO_far_adj*s_CF_corn),".")</f>
        <v>7.2727272727272723E-11</v>
      </c>
      <c r="AL7" s="115">
        <f>IFERROR(s_TR/(up_RadSpec!$E7*s_IFCU_far_adj*s_CF_cucumber),".")</f>
        <v>7.2727272727272723E-11</v>
      </c>
      <c r="AM7" s="115">
        <f>IFERROR(s_TR/(up_RadSpec!$E7*s_IFLE_far_adj*s_CF_lettuce),".")</f>
        <v>7.2727272727272723E-11</v>
      </c>
      <c r="AN7" s="115">
        <f>IFERROR(s_TR/(up_RadSpec!$E7*s_IFLI_far_adj*s_CF_lima_bean),".")</f>
        <v>7.2727272727272723E-11</v>
      </c>
      <c r="AO7" s="115">
        <f>IFERROR(s_TR/(up_RadSpec!$E7*s_IFOK_far_adj*s_CF_okra),".")</f>
        <v>7.2727272727272723E-11</v>
      </c>
      <c r="AP7" s="115">
        <f>IFERROR(s_TR/(up_RadSpec!$E7*s_IFON_far_adj*s_CF_onion),".")</f>
        <v>7.2727272727272723E-11</v>
      </c>
      <c r="AQ7" s="115">
        <f>IFERROR(s_TR/(up_RadSpec!$E7*s_IFPC_far_adj*s_CF_peach),".")</f>
        <v>7.2727272727272723E-11</v>
      </c>
      <c r="AR7" s="115">
        <f>IFERROR(s_TR/(up_RadSpec!$E7*s_IFPR_far_adj*s_CF_pear),".")</f>
        <v>7.2727272727272723E-11</v>
      </c>
      <c r="AS7" s="115">
        <f>IFERROR(s_TR/(up_RadSpec!$E7*s_IFPE_far_adj*s_CF_peas),".")</f>
        <v>7.2727272727272723E-11</v>
      </c>
      <c r="AT7" s="115">
        <f>IFERROR(s_TR/(up_RadSpec!$E7*s_IFPT_far_adj*s_CF_potato),".")</f>
        <v>7.2727272727272723E-11</v>
      </c>
      <c r="AU7" s="115">
        <f>IFERROR(s_TR/(up_RadSpec!$E7*s_IFPU_far_adj*s_CF_pumpkin),".")</f>
        <v>7.2727272727272723E-11</v>
      </c>
      <c r="AV7" s="115">
        <f>IFERROR(s_TR/(up_RadSpec!$E7*s_IFSN_far_adj*s_CF_snap_bean),".")</f>
        <v>7.2727272727272723E-11</v>
      </c>
      <c r="AW7" s="115">
        <f>IFERROR(s_TR/(up_RadSpec!$E7*s_IFST_far_adj*s_CF_strawberry),".")</f>
        <v>7.2727272727272723E-11</v>
      </c>
      <c r="AX7" s="115">
        <f>IFERROR(s_TR/(up_RadSpec!$E7*s_IFTO_far_adj*s_CF_tomato),".")</f>
        <v>7.2727272727272723E-11</v>
      </c>
      <c r="AY7" s="115">
        <f>IFERROR(s_TR/(up_RadSpec!$E7*s_IFRI_far_adj*s_CF_rice),".")</f>
        <v>7.2727272727272723E-11</v>
      </c>
      <c r="AZ7" s="115">
        <f>IFERROR(s_TR/(up_RadSpec!$E7*s_IFCG_far_adj*s_CF_cereal),".")</f>
        <v>7.2727272727272723E-11</v>
      </c>
      <c r="BA7" s="93">
        <f t="shared" si="1"/>
        <v>55000</v>
      </c>
      <c r="BB7" s="93">
        <f t="shared" si="2"/>
        <v>13750</v>
      </c>
      <c r="BC7" s="93">
        <f t="shared" si="3"/>
        <v>13750</v>
      </c>
      <c r="BD7" s="93">
        <f t="shared" si="4"/>
        <v>13750</v>
      </c>
      <c r="BE7" s="93">
        <f t="shared" si="5"/>
        <v>13750</v>
      </c>
      <c r="BF7" s="93">
        <f t="shared" si="6"/>
        <v>13750</v>
      </c>
      <c r="BG7" s="93">
        <f t="shared" si="7"/>
        <v>13750</v>
      </c>
      <c r="BH7" s="93">
        <f t="shared" si="8"/>
        <v>13750</v>
      </c>
      <c r="BI7" s="93">
        <f t="shared" si="9"/>
        <v>13750</v>
      </c>
      <c r="BJ7" s="93">
        <f t="shared" si="10"/>
        <v>13750</v>
      </c>
      <c r="BK7" s="93">
        <f t="shared" si="11"/>
        <v>13750</v>
      </c>
      <c r="BL7" s="93">
        <f t="shared" si="12"/>
        <v>13750</v>
      </c>
      <c r="BM7" s="93">
        <f t="shared" si="13"/>
        <v>13750</v>
      </c>
      <c r="BN7" s="93">
        <f t="shared" si="14"/>
        <v>13750</v>
      </c>
      <c r="BO7" s="93">
        <f t="shared" si="15"/>
        <v>13750</v>
      </c>
      <c r="BP7" s="93">
        <f t="shared" si="16"/>
        <v>13750</v>
      </c>
      <c r="BQ7" s="93">
        <f t="shared" si="17"/>
        <v>13750</v>
      </c>
      <c r="BR7" s="93">
        <f t="shared" si="18"/>
        <v>13750</v>
      </c>
      <c r="BS7" s="93">
        <f t="shared" si="19"/>
        <v>13750</v>
      </c>
      <c r="BT7" s="93">
        <f t="shared" si="20"/>
        <v>13750</v>
      </c>
      <c r="BU7" s="93">
        <f t="shared" si="21"/>
        <v>13750</v>
      </c>
      <c r="BV7" s="93">
        <f t="shared" si="22"/>
        <v>13750</v>
      </c>
      <c r="BW7" s="93">
        <f t="shared" si="23"/>
        <v>13750</v>
      </c>
      <c r="BX7" s="93">
        <f t="shared" si="24"/>
        <v>13750</v>
      </c>
      <c r="BY7" s="93">
        <f t="shared" si="25"/>
        <v>13750</v>
      </c>
    </row>
    <row r="8" spans="1:77" x14ac:dyDescent="0.25">
      <c r="A8" s="92" t="s">
        <v>18</v>
      </c>
      <c r="B8" s="90" t="s">
        <v>1074</v>
      </c>
      <c r="C8" s="115">
        <f t="shared" si="0"/>
        <v>1.8181818181818181E-11</v>
      </c>
      <c r="D8" s="115">
        <f>IFERROR(s_TR/(up_RadSpec!$E8*s_IFAP_res_adj*s_CF_apple),".")</f>
        <v>7.2727272727272723E-11</v>
      </c>
      <c r="E8" s="115">
        <f>IFERROR(s_TR/(up_RadSpec!$E8*s_IFAS_res_adj*s_CF_asparagus),".")</f>
        <v>7.2727272727272723E-11</v>
      </c>
      <c r="F8" s="115">
        <f>IFERROR(s_TR/(up_RadSpec!$E8*s_IFBT_res_adj*s_CF_beet),".")</f>
        <v>7.2727272727272723E-11</v>
      </c>
      <c r="G8" s="115">
        <f>IFERROR(s_TR/(up_RadSpec!$E8*s_IFBE_res_adj*s_CF_berries),".")</f>
        <v>7.2727272727272723E-11</v>
      </c>
      <c r="H8" s="115">
        <f>IFERROR(s_TR/(up_RadSpec!$E8*s_IFBR_res_adj*s_CF_broccoli),".")</f>
        <v>7.2727272727272723E-11</v>
      </c>
      <c r="I8" s="115">
        <f>IFERROR(s_TR/(up_RadSpec!$E8*s_IFCB_res_adj*s_CF_cabbage),".")</f>
        <v>7.2727272727272723E-11</v>
      </c>
      <c r="J8" s="115">
        <f>IFERROR(s_TR/(up_RadSpec!$E8*s_IFCR_res_adj*s_CF_carrot),".")</f>
        <v>7.2727272727272723E-11</v>
      </c>
      <c r="K8" s="115">
        <f>IFERROR(s_TR/(up_RadSpec!$E8*s_IFCI_res_adj*s_CF_citrus),".")</f>
        <v>7.2727272727272723E-11</v>
      </c>
      <c r="L8" s="115">
        <f>IFERROR(s_TR/(up_RadSpec!$E8*s_IFCO_res_adj*s_CF_corn),".")</f>
        <v>7.2727272727272723E-11</v>
      </c>
      <c r="M8" s="115">
        <f>IFERROR(s_TR/(up_RadSpec!$E8*s_IFCU_res_adj*s_CF_cucumber),".")</f>
        <v>7.2727272727272723E-11</v>
      </c>
      <c r="N8" s="115">
        <f>IFERROR(s_TR/(up_RadSpec!$E8*s_IFLE_res_adj*s_CF_lettuce),".")</f>
        <v>7.2727272727272723E-11</v>
      </c>
      <c r="O8" s="115">
        <f>IFERROR(s_TR/(up_RadSpec!$E8*s_IFLI_res_adj*s_CF_lima_bean),".")</f>
        <v>7.2727272727272723E-11</v>
      </c>
      <c r="P8" s="115">
        <f>IFERROR(s_TR/(up_RadSpec!$E8*s_IFOK_res_adj*s_CF_okra),".")</f>
        <v>7.2727272727272723E-11</v>
      </c>
      <c r="Q8" s="115">
        <f>IFERROR(s_TR/(up_RadSpec!$E8*s_IFON_res_adj*s_CF_onion),".")</f>
        <v>7.2727272727272723E-11</v>
      </c>
      <c r="R8" s="115">
        <f>IFERROR(s_TR/(up_RadSpec!$E8*s_IFPC_res_adj*s_CF_peach),".")</f>
        <v>7.2727272727272723E-11</v>
      </c>
      <c r="S8" s="115">
        <f>IFERROR(s_TR/(up_RadSpec!$E8*s_IFPR_res_adj*s_CF_pear),".")</f>
        <v>7.2727272727272723E-11</v>
      </c>
      <c r="T8" s="115">
        <f>IFERROR(s_TR/(up_RadSpec!$E8*s_IFPE_res_adj*s_CF_peas),".")</f>
        <v>7.2727272727272723E-11</v>
      </c>
      <c r="U8" s="115">
        <f>IFERROR(s_TR/(up_RadSpec!$E8*s_IFPT_res_adj*s_CF_potato),".")</f>
        <v>7.2727272727272723E-11</v>
      </c>
      <c r="V8" s="115">
        <f>IFERROR(s_TR/(up_RadSpec!$E8*s_IFPU_res_adj*s_CF_pumpkin),".")</f>
        <v>7.2727272727272723E-11</v>
      </c>
      <c r="W8" s="115">
        <f>IFERROR(s_TR/(up_RadSpec!$E8*s_IFSN_res_adj*s_CF_snap_bean),".")</f>
        <v>7.2727272727272723E-11</v>
      </c>
      <c r="X8" s="115">
        <f>IFERROR(s_TR/(up_RadSpec!$E8*s_IFST_res_adj*s_CF_strawberry),".")</f>
        <v>7.2727272727272723E-11</v>
      </c>
      <c r="Y8" s="115">
        <f>IFERROR(s_TR/(up_RadSpec!$E8*s_IFTO_res_adj*s_CF_tomato),".")</f>
        <v>7.2727272727272723E-11</v>
      </c>
      <c r="Z8" s="115">
        <f>IFERROR(s_TR/(up_RadSpec!$E8*s_IFRI_res_adj*s_CF_rice),".")</f>
        <v>7.2727272727272723E-11</v>
      </c>
      <c r="AA8" s="115">
        <f>IFERROR(s_TR/(up_RadSpec!$E8*s_IFCG_res_adj*s_CF_cereal),".")</f>
        <v>7.2727272727272723E-11</v>
      </c>
      <c r="AB8" s="115">
        <f t="shared" si="26"/>
        <v>1.8181818181818181E-11</v>
      </c>
      <c r="AC8" s="115">
        <f>IFERROR(s_TR/(up_RadSpec!$E8*s_IFAP_far_adj*s_CF_apple),".")</f>
        <v>7.2727272727272723E-11</v>
      </c>
      <c r="AD8" s="115">
        <f>IFERROR(s_TR/(up_RadSpec!$E8*s_IFAS_far_adj*s_CF_asparagus),".")</f>
        <v>7.2727272727272723E-11</v>
      </c>
      <c r="AE8" s="115">
        <f>IFERROR(s_TR/(up_RadSpec!$E8*s_IFBT_far_adj*s_CF_beet),".")</f>
        <v>7.2727272727272723E-11</v>
      </c>
      <c r="AF8" s="115">
        <f>IFERROR(s_TR/(up_RadSpec!$E8*s_IFBE_far_adj*s_CF_berries),".")</f>
        <v>7.2727272727272723E-11</v>
      </c>
      <c r="AG8" s="115">
        <f>IFERROR(s_TR/(up_RadSpec!$E8*s_IFBR_far_adj*s_CF_broccoli),".")</f>
        <v>7.2727272727272723E-11</v>
      </c>
      <c r="AH8" s="115">
        <f>IFERROR(s_TR/(up_RadSpec!$E8*s_IFCB_far_adj*s_CF_cabbage),".")</f>
        <v>7.2727272727272723E-11</v>
      </c>
      <c r="AI8" s="115">
        <f>IFERROR(s_TR/(up_RadSpec!$E8*s_IFCR_far_adj*s_CF_carrot),".")</f>
        <v>7.2727272727272723E-11</v>
      </c>
      <c r="AJ8" s="115">
        <f>IFERROR(s_TR/(up_RadSpec!$E8*s_IFCI_far_adj*s_CF_citrus),".")</f>
        <v>7.2727272727272723E-11</v>
      </c>
      <c r="AK8" s="115">
        <f>IFERROR(s_TR/(up_RadSpec!$E8*s_IFCO_far_adj*s_CF_corn),".")</f>
        <v>7.2727272727272723E-11</v>
      </c>
      <c r="AL8" s="115">
        <f>IFERROR(s_TR/(up_RadSpec!$E8*s_IFCU_far_adj*s_CF_cucumber),".")</f>
        <v>7.2727272727272723E-11</v>
      </c>
      <c r="AM8" s="115">
        <f>IFERROR(s_TR/(up_RadSpec!$E8*s_IFLE_far_adj*s_CF_lettuce),".")</f>
        <v>7.2727272727272723E-11</v>
      </c>
      <c r="AN8" s="115">
        <f>IFERROR(s_TR/(up_RadSpec!$E8*s_IFLI_far_adj*s_CF_lima_bean),".")</f>
        <v>7.2727272727272723E-11</v>
      </c>
      <c r="AO8" s="115">
        <f>IFERROR(s_TR/(up_RadSpec!$E8*s_IFOK_far_adj*s_CF_okra),".")</f>
        <v>7.2727272727272723E-11</v>
      </c>
      <c r="AP8" s="115">
        <f>IFERROR(s_TR/(up_RadSpec!$E8*s_IFON_far_adj*s_CF_onion),".")</f>
        <v>7.2727272727272723E-11</v>
      </c>
      <c r="AQ8" s="115">
        <f>IFERROR(s_TR/(up_RadSpec!$E8*s_IFPC_far_adj*s_CF_peach),".")</f>
        <v>7.2727272727272723E-11</v>
      </c>
      <c r="AR8" s="115">
        <f>IFERROR(s_TR/(up_RadSpec!$E8*s_IFPR_far_adj*s_CF_pear),".")</f>
        <v>7.2727272727272723E-11</v>
      </c>
      <c r="AS8" s="115">
        <f>IFERROR(s_TR/(up_RadSpec!$E8*s_IFPE_far_adj*s_CF_peas),".")</f>
        <v>7.2727272727272723E-11</v>
      </c>
      <c r="AT8" s="115">
        <f>IFERROR(s_TR/(up_RadSpec!$E8*s_IFPT_far_adj*s_CF_potato),".")</f>
        <v>7.2727272727272723E-11</v>
      </c>
      <c r="AU8" s="115">
        <f>IFERROR(s_TR/(up_RadSpec!$E8*s_IFPU_far_adj*s_CF_pumpkin),".")</f>
        <v>7.2727272727272723E-11</v>
      </c>
      <c r="AV8" s="115">
        <f>IFERROR(s_TR/(up_RadSpec!$E8*s_IFSN_far_adj*s_CF_snap_bean),".")</f>
        <v>7.2727272727272723E-11</v>
      </c>
      <c r="AW8" s="115">
        <f>IFERROR(s_TR/(up_RadSpec!$E8*s_IFST_far_adj*s_CF_strawberry),".")</f>
        <v>7.2727272727272723E-11</v>
      </c>
      <c r="AX8" s="115">
        <f>IFERROR(s_TR/(up_RadSpec!$E8*s_IFTO_far_adj*s_CF_tomato),".")</f>
        <v>7.2727272727272723E-11</v>
      </c>
      <c r="AY8" s="115">
        <f>IFERROR(s_TR/(up_RadSpec!$E8*s_IFRI_far_adj*s_CF_rice),".")</f>
        <v>7.2727272727272723E-11</v>
      </c>
      <c r="AZ8" s="115">
        <f>IFERROR(s_TR/(up_RadSpec!$E8*s_IFCG_far_adj*s_CF_cereal),".")</f>
        <v>7.2727272727272723E-11</v>
      </c>
      <c r="BA8" s="93">
        <f t="shared" si="1"/>
        <v>55000</v>
      </c>
      <c r="BB8" s="93">
        <f t="shared" si="2"/>
        <v>13750</v>
      </c>
      <c r="BC8" s="93">
        <f t="shared" si="3"/>
        <v>13750</v>
      </c>
      <c r="BD8" s="93">
        <f t="shared" si="4"/>
        <v>13750</v>
      </c>
      <c r="BE8" s="93">
        <f t="shared" si="5"/>
        <v>13750</v>
      </c>
      <c r="BF8" s="93">
        <f t="shared" si="6"/>
        <v>13750</v>
      </c>
      <c r="BG8" s="93">
        <f t="shared" si="7"/>
        <v>13750</v>
      </c>
      <c r="BH8" s="93">
        <f t="shared" si="8"/>
        <v>13750</v>
      </c>
      <c r="BI8" s="93">
        <f t="shared" si="9"/>
        <v>13750</v>
      </c>
      <c r="BJ8" s="93">
        <f t="shared" si="10"/>
        <v>13750</v>
      </c>
      <c r="BK8" s="93">
        <f t="shared" si="11"/>
        <v>13750</v>
      </c>
      <c r="BL8" s="93">
        <f t="shared" si="12"/>
        <v>13750</v>
      </c>
      <c r="BM8" s="93">
        <f t="shared" si="13"/>
        <v>13750</v>
      </c>
      <c r="BN8" s="93">
        <f t="shared" si="14"/>
        <v>13750</v>
      </c>
      <c r="BO8" s="93">
        <f t="shared" si="15"/>
        <v>13750</v>
      </c>
      <c r="BP8" s="93">
        <f t="shared" si="16"/>
        <v>13750</v>
      </c>
      <c r="BQ8" s="93">
        <f t="shared" si="17"/>
        <v>13750</v>
      </c>
      <c r="BR8" s="93">
        <f t="shared" si="18"/>
        <v>13750</v>
      </c>
      <c r="BS8" s="93">
        <f t="shared" si="19"/>
        <v>13750</v>
      </c>
      <c r="BT8" s="93">
        <f t="shared" si="20"/>
        <v>13750</v>
      </c>
      <c r="BU8" s="93">
        <f t="shared" si="21"/>
        <v>13750</v>
      </c>
      <c r="BV8" s="93">
        <f t="shared" si="22"/>
        <v>13750</v>
      </c>
      <c r="BW8" s="93">
        <f t="shared" si="23"/>
        <v>13750</v>
      </c>
      <c r="BX8" s="93">
        <f t="shared" si="24"/>
        <v>13750</v>
      </c>
      <c r="BY8" s="93">
        <f t="shared" si="25"/>
        <v>13750</v>
      </c>
    </row>
    <row r="9" spans="1:77" x14ac:dyDescent="0.25">
      <c r="A9" s="92" t="s">
        <v>19</v>
      </c>
      <c r="B9" s="90" t="s">
        <v>1074</v>
      </c>
      <c r="C9" s="115">
        <f t="shared" si="0"/>
        <v>1.8181818181818181E-11</v>
      </c>
      <c r="D9" s="115">
        <f>IFERROR(s_TR/(up_RadSpec!$E9*s_IFAP_res_adj*s_CF_apple),".")</f>
        <v>7.2727272727272723E-11</v>
      </c>
      <c r="E9" s="115">
        <f>IFERROR(s_TR/(up_RadSpec!$E9*s_IFAS_res_adj*s_CF_asparagus),".")</f>
        <v>7.2727272727272723E-11</v>
      </c>
      <c r="F9" s="115">
        <f>IFERROR(s_TR/(up_RadSpec!$E9*s_IFBT_res_adj*s_CF_beet),".")</f>
        <v>7.2727272727272723E-11</v>
      </c>
      <c r="G9" s="115">
        <f>IFERROR(s_TR/(up_RadSpec!$E9*s_IFBE_res_adj*s_CF_berries),".")</f>
        <v>7.2727272727272723E-11</v>
      </c>
      <c r="H9" s="115">
        <f>IFERROR(s_TR/(up_RadSpec!$E9*s_IFBR_res_adj*s_CF_broccoli),".")</f>
        <v>7.2727272727272723E-11</v>
      </c>
      <c r="I9" s="115">
        <f>IFERROR(s_TR/(up_RadSpec!$E9*s_IFCB_res_adj*s_CF_cabbage),".")</f>
        <v>7.2727272727272723E-11</v>
      </c>
      <c r="J9" s="115">
        <f>IFERROR(s_TR/(up_RadSpec!$E9*s_IFCR_res_adj*s_CF_carrot),".")</f>
        <v>7.2727272727272723E-11</v>
      </c>
      <c r="K9" s="115">
        <f>IFERROR(s_TR/(up_RadSpec!$E9*s_IFCI_res_adj*s_CF_citrus),".")</f>
        <v>7.2727272727272723E-11</v>
      </c>
      <c r="L9" s="115">
        <f>IFERROR(s_TR/(up_RadSpec!$E9*s_IFCO_res_adj*s_CF_corn),".")</f>
        <v>7.2727272727272723E-11</v>
      </c>
      <c r="M9" s="115">
        <f>IFERROR(s_TR/(up_RadSpec!$E9*s_IFCU_res_adj*s_CF_cucumber),".")</f>
        <v>7.2727272727272723E-11</v>
      </c>
      <c r="N9" s="115">
        <f>IFERROR(s_TR/(up_RadSpec!$E9*s_IFLE_res_adj*s_CF_lettuce),".")</f>
        <v>7.2727272727272723E-11</v>
      </c>
      <c r="O9" s="115">
        <f>IFERROR(s_TR/(up_RadSpec!$E9*s_IFLI_res_adj*s_CF_lima_bean),".")</f>
        <v>7.2727272727272723E-11</v>
      </c>
      <c r="P9" s="115">
        <f>IFERROR(s_TR/(up_RadSpec!$E9*s_IFOK_res_adj*s_CF_okra),".")</f>
        <v>7.2727272727272723E-11</v>
      </c>
      <c r="Q9" s="115">
        <f>IFERROR(s_TR/(up_RadSpec!$E9*s_IFON_res_adj*s_CF_onion),".")</f>
        <v>7.2727272727272723E-11</v>
      </c>
      <c r="R9" s="115">
        <f>IFERROR(s_TR/(up_RadSpec!$E9*s_IFPC_res_adj*s_CF_peach),".")</f>
        <v>7.2727272727272723E-11</v>
      </c>
      <c r="S9" s="115">
        <f>IFERROR(s_TR/(up_RadSpec!$E9*s_IFPR_res_adj*s_CF_pear),".")</f>
        <v>7.2727272727272723E-11</v>
      </c>
      <c r="T9" s="115">
        <f>IFERROR(s_TR/(up_RadSpec!$E9*s_IFPE_res_adj*s_CF_peas),".")</f>
        <v>7.2727272727272723E-11</v>
      </c>
      <c r="U9" s="115">
        <f>IFERROR(s_TR/(up_RadSpec!$E9*s_IFPT_res_adj*s_CF_potato),".")</f>
        <v>7.2727272727272723E-11</v>
      </c>
      <c r="V9" s="115">
        <f>IFERROR(s_TR/(up_RadSpec!$E9*s_IFPU_res_adj*s_CF_pumpkin),".")</f>
        <v>7.2727272727272723E-11</v>
      </c>
      <c r="W9" s="115">
        <f>IFERROR(s_TR/(up_RadSpec!$E9*s_IFSN_res_adj*s_CF_snap_bean),".")</f>
        <v>7.2727272727272723E-11</v>
      </c>
      <c r="X9" s="115">
        <f>IFERROR(s_TR/(up_RadSpec!$E9*s_IFST_res_adj*s_CF_strawberry),".")</f>
        <v>7.2727272727272723E-11</v>
      </c>
      <c r="Y9" s="115">
        <f>IFERROR(s_TR/(up_RadSpec!$E9*s_IFTO_res_adj*s_CF_tomato),".")</f>
        <v>7.2727272727272723E-11</v>
      </c>
      <c r="Z9" s="115">
        <f>IFERROR(s_TR/(up_RadSpec!$E9*s_IFRI_res_adj*s_CF_rice),".")</f>
        <v>7.2727272727272723E-11</v>
      </c>
      <c r="AA9" s="115">
        <f>IFERROR(s_TR/(up_RadSpec!$E9*s_IFCG_res_adj*s_CF_cereal),".")</f>
        <v>7.2727272727272723E-11</v>
      </c>
      <c r="AB9" s="115">
        <f t="shared" si="26"/>
        <v>1.8181818181818181E-11</v>
      </c>
      <c r="AC9" s="115">
        <f>IFERROR(s_TR/(up_RadSpec!$E9*s_IFAP_far_adj*s_CF_apple),".")</f>
        <v>7.2727272727272723E-11</v>
      </c>
      <c r="AD9" s="115">
        <f>IFERROR(s_TR/(up_RadSpec!$E9*s_IFAS_far_adj*s_CF_asparagus),".")</f>
        <v>7.2727272727272723E-11</v>
      </c>
      <c r="AE9" s="115">
        <f>IFERROR(s_TR/(up_RadSpec!$E9*s_IFBT_far_adj*s_CF_beet),".")</f>
        <v>7.2727272727272723E-11</v>
      </c>
      <c r="AF9" s="115">
        <f>IFERROR(s_TR/(up_RadSpec!$E9*s_IFBE_far_adj*s_CF_berries),".")</f>
        <v>7.2727272727272723E-11</v>
      </c>
      <c r="AG9" s="115">
        <f>IFERROR(s_TR/(up_RadSpec!$E9*s_IFBR_far_adj*s_CF_broccoli),".")</f>
        <v>7.2727272727272723E-11</v>
      </c>
      <c r="AH9" s="115">
        <f>IFERROR(s_TR/(up_RadSpec!$E9*s_IFCB_far_adj*s_CF_cabbage),".")</f>
        <v>7.2727272727272723E-11</v>
      </c>
      <c r="AI9" s="115">
        <f>IFERROR(s_TR/(up_RadSpec!$E9*s_IFCR_far_adj*s_CF_carrot),".")</f>
        <v>7.2727272727272723E-11</v>
      </c>
      <c r="AJ9" s="115">
        <f>IFERROR(s_TR/(up_RadSpec!$E9*s_IFCI_far_adj*s_CF_citrus),".")</f>
        <v>7.2727272727272723E-11</v>
      </c>
      <c r="AK9" s="115">
        <f>IFERROR(s_TR/(up_RadSpec!$E9*s_IFCO_far_adj*s_CF_corn),".")</f>
        <v>7.2727272727272723E-11</v>
      </c>
      <c r="AL9" s="115">
        <f>IFERROR(s_TR/(up_RadSpec!$E9*s_IFCU_far_adj*s_CF_cucumber),".")</f>
        <v>7.2727272727272723E-11</v>
      </c>
      <c r="AM9" s="115">
        <f>IFERROR(s_TR/(up_RadSpec!$E9*s_IFLE_far_adj*s_CF_lettuce),".")</f>
        <v>7.2727272727272723E-11</v>
      </c>
      <c r="AN9" s="115">
        <f>IFERROR(s_TR/(up_RadSpec!$E9*s_IFLI_far_adj*s_CF_lima_bean),".")</f>
        <v>7.2727272727272723E-11</v>
      </c>
      <c r="AO9" s="115">
        <f>IFERROR(s_TR/(up_RadSpec!$E9*s_IFOK_far_adj*s_CF_okra),".")</f>
        <v>7.2727272727272723E-11</v>
      </c>
      <c r="AP9" s="115">
        <f>IFERROR(s_TR/(up_RadSpec!$E9*s_IFON_far_adj*s_CF_onion),".")</f>
        <v>7.2727272727272723E-11</v>
      </c>
      <c r="AQ9" s="115">
        <f>IFERROR(s_TR/(up_RadSpec!$E9*s_IFPC_far_adj*s_CF_peach),".")</f>
        <v>7.2727272727272723E-11</v>
      </c>
      <c r="AR9" s="115">
        <f>IFERROR(s_TR/(up_RadSpec!$E9*s_IFPR_far_adj*s_CF_pear),".")</f>
        <v>7.2727272727272723E-11</v>
      </c>
      <c r="AS9" s="115">
        <f>IFERROR(s_TR/(up_RadSpec!$E9*s_IFPE_far_adj*s_CF_peas),".")</f>
        <v>7.2727272727272723E-11</v>
      </c>
      <c r="AT9" s="115">
        <f>IFERROR(s_TR/(up_RadSpec!$E9*s_IFPT_far_adj*s_CF_potato),".")</f>
        <v>7.2727272727272723E-11</v>
      </c>
      <c r="AU9" s="115">
        <f>IFERROR(s_TR/(up_RadSpec!$E9*s_IFPU_far_adj*s_CF_pumpkin),".")</f>
        <v>7.2727272727272723E-11</v>
      </c>
      <c r="AV9" s="115">
        <f>IFERROR(s_TR/(up_RadSpec!$E9*s_IFSN_far_adj*s_CF_snap_bean),".")</f>
        <v>7.2727272727272723E-11</v>
      </c>
      <c r="AW9" s="115">
        <f>IFERROR(s_TR/(up_RadSpec!$E9*s_IFST_far_adj*s_CF_strawberry),".")</f>
        <v>7.2727272727272723E-11</v>
      </c>
      <c r="AX9" s="115">
        <f>IFERROR(s_TR/(up_RadSpec!$E9*s_IFTO_far_adj*s_CF_tomato),".")</f>
        <v>7.2727272727272723E-11</v>
      </c>
      <c r="AY9" s="115">
        <f>IFERROR(s_TR/(up_RadSpec!$E9*s_IFRI_far_adj*s_CF_rice),".")</f>
        <v>7.2727272727272723E-11</v>
      </c>
      <c r="AZ9" s="115">
        <f>IFERROR(s_TR/(up_RadSpec!$E9*s_IFCG_far_adj*s_CF_cereal),".")</f>
        <v>7.2727272727272723E-11</v>
      </c>
      <c r="BA9" s="93">
        <f t="shared" si="1"/>
        <v>55000</v>
      </c>
      <c r="BB9" s="93">
        <f t="shared" si="2"/>
        <v>13750</v>
      </c>
      <c r="BC9" s="93">
        <f t="shared" si="3"/>
        <v>13750</v>
      </c>
      <c r="BD9" s="93">
        <f t="shared" si="4"/>
        <v>13750</v>
      </c>
      <c r="BE9" s="93">
        <f t="shared" si="5"/>
        <v>13750</v>
      </c>
      <c r="BF9" s="93">
        <f t="shared" si="6"/>
        <v>13750</v>
      </c>
      <c r="BG9" s="93">
        <f t="shared" si="7"/>
        <v>13750</v>
      </c>
      <c r="BH9" s="93">
        <f t="shared" si="8"/>
        <v>13750</v>
      </c>
      <c r="BI9" s="93">
        <f t="shared" si="9"/>
        <v>13750</v>
      </c>
      <c r="BJ9" s="93">
        <f t="shared" si="10"/>
        <v>13750</v>
      </c>
      <c r="BK9" s="93">
        <f t="shared" si="11"/>
        <v>13750</v>
      </c>
      <c r="BL9" s="93">
        <f t="shared" si="12"/>
        <v>13750</v>
      </c>
      <c r="BM9" s="93">
        <f t="shared" si="13"/>
        <v>13750</v>
      </c>
      <c r="BN9" s="93">
        <f t="shared" si="14"/>
        <v>13750</v>
      </c>
      <c r="BO9" s="93">
        <f t="shared" si="15"/>
        <v>13750</v>
      </c>
      <c r="BP9" s="93">
        <f t="shared" si="16"/>
        <v>13750</v>
      </c>
      <c r="BQ9" s="93">
        <f t="shared" si="17"/>
        <v>13750</v>
      </c>
      <c r="BR9" s="93">
        <f t="shared" si="18"/>
        <v>13750</v>
      </c>
      <c r="BS9" s="93">
        <f t="shared" si="19"/>
        <v>13750</v>
      </c>
      <c r="BT9" s="93">
        <f t="shared" si="20"/>
        <v>13750</v>
      </c>
      <c r="BU9" s="93">
        <f t="shared" si="21"/>
        <v>13750</v>
      </c>
      <c r="BV9" s="93">
        <f t="shared" si="22"/>
        <v>13750</v>
      </c>
      <c r="BW9" s="93">
        <f t="shared" si="23"/>
        <v>13750</v>
      </c>
      <c r="BX9" s="93">
        <f t="shared" si="24"/>
        <v>13750</v>
      </c>
      <c r="BY9" s="93">
        <f t="shared" si="25"/>
        <v>13750</v>
      </c>
    </row>
    <row r="10" spans="1:77" x14ac:dyDescent="0.25">
      <c r="A10" s="94" t="s">
        <v>20</v>
      </c>
      <c r="B10" s="90" t="s">
        <v>351</v>
      </c>
      <c r="C10" s="115">
        <f t="shared" si="0"/>
        <v>1.8181818181818181E-11</v>
      </c>
      <c r="D10" s="115">
        <f>IFERROR(s_TR/(up_RadSpec!$E10*s_IFAP_res_adj*s_CF_apple),".")</f>
        <v>7.2727272727272723E-11</v>
      </c>
      <c r="E10" s="115">
        <f>IFERROR(s_TR/(up_RadSpec!$E10*s_IFAS_res_adj*s_CF_asparagus),".")</f>
        <v>7.2727272727272723E-11</v>
      </c>
      <c r="F10" s="115">
        <f>IFERROR(s_TR/(up_RadSpec!$E10*s_IFBT_res_adj*s_CF_beet),".")</f>
        <v>7.2727272727272723E-11</v>
      </c>
      <c r="G10" s="115">
        <f>IFERROR(s_TR/(up_RadSpec!$E10*s_IFBE_res_adj*s_CF_berries),".")</f>
        <v>7.2727272727272723E-11</v>
      </c>
      <c r="H10" s="115">
        <f>IFERROR(s_TR/(up_RadSpec!$E10*s_IFBR_res_adj*s_CF_broccoli),".")</f>
        <v>7.2727272727272723E-11</v>
      </c>
      <c r="I10" s="115">
        <f>IFERROR(s_TR/(up_RadSpec!$E10*s_IFCB_res_adj*s_CF_cabbage),".")</f>
        <v>7.2727272727272723E-11</v>
      </c>
      <c r="J10" s="115">
        <f>IFERROR(s_TR/(up_RadSpec!$E10*s_IFCR_res_adj*s_CF_carrot),".")</f>
        <v>7.2727272727272723E-11</v>
      </c>
      <c r="K10" s="115">
        <f>IFERROR(s_TR/(up_RadSpec!$E10*s_IFCI_res_adj*s_CF_citrus),".")</f>
        <v>7.2727272727272723E-11</v>
      </c>
      <c r="L10" s="115">
        <f>IFERROR(s_TR/(up_RadSpec!$E10*s_IFCO_res_adj*s_CF_corn),".")</f>
        <v>7.2727272727272723E-11</v>
      </c>
      <c r="M10" s="115">
        <f>IFERROR(s_TR/(up_RadSpec!$E10*s_IFCU_res_adj*s_CF_cucumber),".")</f>
        <v>7.2727272727272723E-11</v>
      </c>
      <c r="N10" s="115">
        <f>IFERROR(s_TR/(up_RadSpec!$E10*s_IFLE_res_adj*s_CF_lettuce),".")</f>
        <v>7.2727272727272723E-11</v>
      </c>
      <c r="O10" s="115">
        <f>IFERROR(s_TR/(up_RadSpec!$E10*s_IFLI_res_adj*s_CF_lima_bean),".")</f>
        <v>7.2727272727272723E-11</v>
      </c>
      <c r="P10" s="115">
        <f>IFERROR(s_TR/(up_RadSpec!$E10*s_IFOK_res_adj*s_CF_okra),".")</f>
        <v>7.2727272727272723E-11</v>
      </c>
      <c r="Q10" s="115">
        <f>IFERROR(s_TR/(up_RadSpec!$E10*s_IFON_res_adj*s_CF_onion),".")</f>
        <v>7.2727272727272723E-11</v>
      </c>
      <c r="R10" s="115">
        <f>IFERROR(s_TR/(up_RadSpec!$E10*s_IFPC_res_adj*s_CF_peach),".")</f>
        <v>7.2727272727272723E-11</v>
      </c>
      <c r="S10" s="115">
        <f>IFERROR(s_TR/(up_RadSpec!$E10*s_IFPR_res_adj*s_CF_pear),".")</f>
        <v>7.2727272727272723E-11</v>
      </c>
      <c r="T10" s="115">
        <f>IFERROR(s_TR/(up_RadSpec!$E10*s_IFPE_res_adj*s_CF_peas),".")</f>
        <v>7.2727272727272723E-11</v>
      </c>
      <c r="U10" s="115">
        <f>IFERROR(s_TR/(up_RadSpec!$E10*s_IFPT_res_adj*s_CF_potato),".")</f>
        <v>7.2727272727272723E-11</v>
      </c>
      <c r="V10" s="115">
        <f>IFERROR(s_TR/(up_RadSpec!$E10*s_IFPU_res_adj*s_CF_pumpkin),".")</f>
        <v>7.2727272727272723E-11</v>
      </c>
      <c r="W10" s="115">
        <f>IFERROR(s_TR/(up_RadSpec!$E10*s_IFSN_res_adj*s_CF_snap_bean),".")</f>
        <v>7.2727272727272723E-11</v>
      </c>
      <c r="X10" s="115">
        <f>IFERROR(s_TR/(up_RadSpec!$E10*s_IFST_res_adj*s_CF_strawberry),".")</f>
        <v>7.2727272727272723E-11</v>
      </c>
      <c r="Y10" s="115">
        <f>IFERROR(s_TR/(up_RadSpec!$E10*s_IFTO_res_adj*s_CF_tomato),".")</f>
        <v>7.2727272727272723E-11</v>
      </c>
      <c r="Z10" s="115">
        <f>IFERROR(s_TR/(up_RadSpec!$E10*s_IFRI_res_adj*s_CF_rice),".")</f>
        <v>7.2727272727272723E-11</v>
      </c>
      <c r="AA10" s="115">
        <f>IFERROR(s_TR/(up_RadSpec!$E10*s_IFCG_res_adj*s_CF_cereal),".")</f>
        <v>7.2727272727272723E-11</v>
      </c>
      <c r="AB10" s="115">
        <f t="shared" si="26"/>
        <v>1.8181818181818181E-11</v>
      </c>
      <c r="AC10" s="115">
        <f>IFERROR(s_TR/(up_RadSpec!$E10*s_IFAP_far_adj*s_CF_apple),".")</f>
        <v>7.2727272727272723E-11</v>
      </c>
      <c r="AD10" s="115">
        <f>IFERROR(s_TR/(up_RadSpec!$E10*s_IFAS_far_adj*s_CF_asparagus),".")</f>
        <v>7.2727272727272723E-11</v>
      </c>
      <c r="AE10" s="115">
        <f>IFERROR(s_TR/(up_RadSpec!$E10*s_IFBT_far_adj*s_CF_beet),".")</f>
        <v>7.2727272727272723E-11</v>
      </c>
      <c r="AF10" s="115">
        <f>IFERROR(s_TR/(up_RadSpec!$E10*s_IFBE_far_adj*s_CF_berries),".")</f>
        <v>7.2727272727272723E-11</v>
      </c>
      <c r="AG10" s="115">
        <f>IFERROR(s_TR/(up_RadSpec!$E10*s_IFBR_far_adj*s_CF_broccoli),".")</f>
        <v>7.2727272727272723E-11</v>
      </c>
      <c r="AH10" s="115">
        <f>IFERROR(s_TR/(up_RadSpec!$E10*s_IFCB_far_adj*s_CF_cabbage),".")</f>
        <v>7.2727272727272723E-11</v>
      </c>
      <c r="AI10" s="115">
        <f>IFERROR(s_TR/(up_RadSpec!$E10*s_IFCR_far_adj*s_CF_carrot),".")</f>
        <v>7.2727272727272723E-11</v>
      </c>
      <c r="AJ10" s="115">
        <f>IFERROR(s_TR/(up_RadSpec!$E10*s_IFCI_far_adj*s_CF_citrus),".")</f>
        <v>7.2727272727272723E-11</v>
      </c>
      <c r="AK10" s="115">
        <f>IFERROR(s_TR/(up_RadSpec!$E10*s_IFCO_far_adj*s_CF_corn),".")</f>
        <v>7.2727272727272723E-11</v>
      </c>
      <c r="AL10" s="115">
        <f>IFERROR(s_TR/(up_RadSpec!$E10*s_IFCU_far_adj*s_CF_cucumber),".")</f>
        <v>7.2727272727272723E-11</v>
      </c>
      <c r="AM10" s="115">
        <f>IFERROR(s_TR/(up_RadSpec!$E10*s_IFLE_far_adj*s_CF_lettuce),".")</f>
        <v>7.2727272727272723E-11</v>
      </c>
      <c r="AN10" s="115">
        <f>IFERROR(s_TR/(up_RadSpec!$E10*s_IFLI_far_adj*s_CF_lima_bean),".")</f>
        <v>7.2727272727272723E-11</v>
      </c>
      <c r="AO10" s="115">
        <f>IFERROR(s_TR/(up_RadSpec!$E10*s_IFOK_far_adj*s_CF_okra),".")</f>
        <v>7.2727272727272723E-11</v>
      </c>
      <c r="AP10" s="115">
        <f>IFERROR(s_TR/(up_RadSpec!$E10*s_IFON_far_adj*s_CF_onion),".")</f>
        <v>7.2727272727272723E-11</v>
      </c>
      <c r="AQ10" s="115">
        <f>IFERROR(s_TR/(up_RadSpec!$E10*s_IFPC_far_adj*s_CF_peach),".")</f>
        <v>7.2727272727272723E-11</v>
      </c>
      <c r="AR10" s="115">
        <f>IFERROR(s_TR/(up_RadSpec!$E10*s_IFPR_far_adj*s_CF_pear),".")</f>
        <v>7.2727272727272723E-11</v>
      </c>
      <c r="AS10" s="115">
        <f>IFERROR(s_TR/(up_RadSpec!$E10*s_IFPE_far_adj*s_CF_peas),".")</f>
        <v>7.2727272727272723E-11</v>
      </c>
      <c r="AT10" s="115">
        <f>IFERROR(s_TR/(up_RadSpec!$E10*s_IFPT_far_adj*s_CF_potato),".")</f>
        <v>7.2727272727272723E-11</v>
      </c>
      <c r="AU10" s="115">
        <f>IFERROR(s_TR/(up_RadSpec!$E10*s_IFPU_far_adj*s_CF_pumpkin),".")</f>
        <v>7.2727272727272723E-11</v>
      </c>
      <c r="AV10" s="115">
        <f>IFERROR(s_TR/(up_RadSpec!$E10*s_IFSN_far_adj*s_CF_snap_bean),".")</f>
        <v>7.2727272727272723E-11</v>
      </c>
      <c r="AW10" s="115">
        <f>IFERROR(s_TR/(up_RadSpec!$E10*s_IFST_far_adj*s_CF_strawberry),".")</f>
        <v>7.2727272727272723E-11</v>
      </c>
      <c r="AX10" s="115">
        <f>IFERROR(s_TR/(up_RadSpec!$E10*s_IFTO_far_adj*s_CF_tomato),".")</f>
        <v>7.2727272727272723E-11</v>
      </c>
      <c r="AY10" s="115">
        <f>IFERROR(s_TR/(up_RadSpec!$E10*s_IFRI_far_adj*s_CF_rice),".")</f>
        <v>7.2727272727272723E-11</v>
      </c>
      <c r="AZ10" s="115">
        <f>IFERROR(s_TR/(up_RadSpec!$E10*s_IFCG_far_adj*s_CF_cereal),".")</f>
        <v>7.2727272727272723E-11</v>
      </c>
      <c r="BA10" s="93">
        <f t="shared" si="1"/>
        <v>55000</v>
      </c>
      <c r="BB10" s="93">
        <f t="shared" si="2"/>
        <v>13750</v>
      </c>
      <c r="BC10" s="93">
        <f t="shared" si="3"/>
        <v>13750</v>
      </c>
      <c r="BD10" s="93">
        <f t="shared" si="4"/>
        <v>13750</v>
      </c>
      <c r="BE10" s="93">
        <f t="shared" si="5"/>
        <v>13750</v>
      </c>
      <c r="BF10" s="93">
        <f t="shared" si="6"/>
        <v>13750</v>
      </c>
      <c r="BG10" s="93">
        <f t="shared" si="7"/>
        <v>13750</v>
      </c>
      <c r="BH10" s="93">
        <f t="shared" si="8"/>
        <v>13750</v>
      </c>
      <c r="BI10" s="93">
        <f t="shared" si="9"/>
        <v>13750</v>
      </c>
      <c r="BJ10" s="93">
        <f t="shared" si="10"/>
        <v>13750</v>
      </c>
      <c r="BK10" s="93">
        <f t="shared" si="11"/>
        <v>13750</v>
      </c>
      <c r="BL10" s="93">
        <f t="shared" si="12"/>
        <v>13750</v>
      </c>
      <c r="BM10" s="93">
        <f t="shared" si="13"/>
        <v>13750</v>
      </c>
      <c r="BN10" s="93">
        <f t="shared" si="14"/>
        <v>13750</v>
      </c>
      <c r="BO10" s="93">
        <f t="shared" si="15"/>
        <v>13750</v>
      </c>
      <c r="BP10" s="93">
        <f t="shared" si="16"/>
        <v>13750</v>
      </c>
      <c r="BQ10" s="93">
        <f t="shared" si="17"/>
        <v>13750</v>
      </c>
      <c r="BR10" s="93">
        <f t="shared" si="18"/>
        <v>13750</v>
      </c>
      <c r="BS10" s="93">
        <f t="shared" si="19"/>
        <v>13750</v>
      </c>
      <c r="BT10" s="93">
        <f t="shared" si="20"/>
        <v>13750</v>
      </c>
      <c r="BU10" s="93">
        <f t="shared" si="21"/>
        <v>13750</v>
      </c>
      <c r="BV10" s="93">
        <f t="shared" si="22"/>
        <v>13750</v>
      </c>
      <c r="BW10" s="93">
        <f t="shared" si="23"/>
        <v>13750</v>
      </c>
      <c r="BX10" s="93">
        <f t="shared" si="24"/>
        <v>13750</v>
      </c>
      <c r="BY10" s="93">
        <f t="shared" si="25"/>
        <v>13750</v>
      </c>
    </row>
    <row r="11" spans="1:77" x14ac:dyDescent="0.25">
      <c r="A11" s="92" t="s">
        <v>21</v>
      </c>
      <c r="B11" s="90" t="s">
        <v>1074</v>
      </c>
      <c r="C11" s="115">
        <f t="shared" si="0"/>
        <v>1.8181818181818181E-11</v>
      </c>
      <c r="D11" s="115">
        <f>IFERROR(s_TR/(up_RadSpec!$E11*s_IFAP_res_adj*s_CF_apple),".")</f>
        <v>7.2727272727272723E-11</v>
      </c>
      <c r="E11" s="115">
        <f>IFERROR(s_TR/(up_RadSpec!$E11*s_IFAS_res_adj*s_CF_asparagus),".")</f>
        <v>7.2727272727272723E-11</v>
      </c>
      <c r="F11" s="115">
        <f>IFERROR(s_TR/(up_RadSpec!$E11*s_IFBT_res_adj*s_CF_beet),".")</f>
        <v>7.2727272727272723E-11</v>
      </c>
      <c r="G11" s="115">
        <f>IFERROR(s_TR/(up_RadSpec!$E11*s_IFBE_res_adj*s_CF_berries),".")</f>
        <v>7.2727272727272723E-11</v>
      </c>
      <c r="H11" s="115">
        <f>IFERROR(s_TR/(up_RadSpec!$E11*s_IFBR_res_adj*s_CF_broccoli),".")</f>
        <v>7.2727272727272723E-11</v>
      </c>
      <c r="I11" s="115">
        <f>IFERROR(s_TR/(up_RadSpec!$E11*s_IFCB_res_adj*s_CF_cabbage),".")</f>
        <v>7.2727272727272723E-11</v>
      </c>
      <c r="J11" s="115">
        <f>IFERROR(s_TR/(up_RadSpec!$E11*s_IFCR_res_adj*s_CF_carrot),".")</f>
        <v>7.2727272727272723E-11</v>
      </c>
      <c r="K11" s="115">
        <f>IFERROR(s_TR/(up_RadSpec!$E11*s_IFCI_res_adj*s_CF_citrus),".")</f>
        <v>7.2727272727272723E-11</v>
      </c>
      <c r="L11" s="115">
        <f>IFERROR(s_TR/(up_RadSpec!$E11*s_IFCO_res_adj*s_CF_corn),".")</f>
        <v>7.2727272727272723E-11</v>
      </c>
      <c r="M11" s="115">
        <f>IFERROR(s_TR/(up_RadSpec!$E11*s_IFCU_res_adj*s_CF_cucumber),".")</f>
        <v>7.2727272727272723E-11</v>
      </c>
      <c r="N11" s="115">
        <f>IFERROR(s_TR/(up_RadSpec!$E11*s_IFLE_res_adj*s_CF_lettuce),".")</f>
        <v>7.2727272727272723E-11</v>
      </c>
      <c r="O11" s="115">
        <f>IFERROR(s_TR/(up_RadSpec!$E11*s_IFLI_res_adj*s_CF_lima_bean),".")</f>
        <v>7.2727272727272723E-11</v>
      </c>
      <c r="P11" s="115">
        <f>IFERROR(s_TR/(up_RadSpec!$E11*s_IFOK_res_adj*s_CF_okra),".")</f>
        <v>7.2727272727272723E-11</v>
      </c>
      <c r="Q11" s="115">
        <f>IFERROR(s_TR/(up_RadSpec!$E11*s_IFON_res_adj*s_CF_onion),".")</f>
        <v>7.2727272727272723E-11</v>
      </c>
      <c r="R11" s="115">
        <f>IFERROR(s_TR/(up_RadSpec!$E11*s_IFPC_res_adj*s_CF_peach),".")</f>
        <v>7.2727272727272723E-11</v>
      </c>
      <c r="S11" s="115">
        <f>IFERROR(s_TR/(up_RadSpec!$E11*s_IFPR_res_adj*s_CF_pear),".")</f>
        <v>7.2727272727272723E-11</v>
      </c>
      <c r="T11" s="115">
        <f>IFERROR(s_TR/(up_RadSpec!$E11*s_IFPE_res_adj*s_CF_peas),".")</f>
        <v>7.2727272727272723E-11</v>
      </c>
      <c r="U11" s="115">
        <f>IFERROR(s_TR/(up_RadSpec!$E11*s_IFPT_res_adj*s_CF_potato),".")</f>
        <v>7.2727272727272723E-11</v>
      </c>
      <c r="V11" s="115">
        <f>IFERROR(s_TR/(up_RadSpec!$E11*s_IFPU_res_adj*s_CF_pumpkin),".")</f>
        <v>7.2727272727272723E-11</v>
      </c>
      <c r="W11" s="115">
        <f>IFERROR(s_TR/(up_RadSpec!$E11*s_IFSN_res_adj*s_CF_snap_bean),".")</f>
        <v>7.2727272727272723E-11</v>
      </c>
      <c r="X11" s="115">
        <f>IFERROR(s_TR/(up_RadSpec!$E11*s_IFST_res_adj*s_CF_strawberry),".")</f>
        <v>7.2727272727272723E-11</v>
      </c>
      <c r="Y11" s="115">
        <f>IFERROR(s_TR/(up_RadSpec!$E11*s_IFTO_res_adj*s_CF_tomato),".")</f>
        <v>7.2727272727272723E-11</v>
      </c>
      <c r="Z11" s="115">
        <f>IFERROR(s_TR/(up_RadSpec!$E11*s_IFRI_res_adj*s_CF_rice),".")</f>
        <v>7.2727272727272723E-11</v>
      </c>
      <c r="AA11" s="115">
        <f>IFERROR(s_TR/(up_RadSpec!$E11*s_IFCG_res_adj*s_CF_cereal),".")</f>
        <v>7.2727272727272723E-11</v>
      </c>
      <c r="AB11" s="115">
        <f t="shared" si="26"/>
        <v>1.8181818181818181E-11</v>
      </c>
      <c r="AC11" s="115">
        <f>IFERROR(s_TR/(up_RadSpec!$E11*s_IFAP_far_adj*s_CF_apple),".")</f>
        <v>7.2727272727272723E-11</v>
      </c>
      <c r="AD11" s="115">
        <f>IFERROR(s_TR/(up_RadSpec!$E11*s_IFAS_far_adj*s_CF_asparagus),".")</f>
        <v>7.2727272727272723E-11</v>
      </c>
      <c r="AE11" s="115">
        <f>IFERROR(s_TR/(up_RadSpec!$E11*s_IFBT_far_adj*s_CF_beet),".")</f>
        <v>7.2727272727272723E-11</v>
      </c>
      <c r="AF11" s="115">
        <f>IFERROR(s_TR/(up_RadSpec!$E11*s_IFBE_far_adj*s_CF_berries),".")</f>
        <v>7.2727272727272723E-11</v>
      </c>
      <c r="AG11" s="115">
        <f>IFERROR(s_TR/(up_RadSpec!$E11*s_IFBR_far_adj*s_CF_broccoli),".")</f>
        <v>7.2727272727272723E-11</v>
      </c>
      <c r="AH11" s="115">
        <f>IFERROR(s_TR/(up_RadSpec!$E11*s_IFCB_far_adj*s_CF_cabbage),".")</f>
        <v>7.2727272727272723E-11</v>
      </c>
      <c r="AI11" s="115">
        <f>IFERROR(s_TR/(up_RadSpec!$E11*s_IFCR_far_adj*s_CF_carrot),".")</f>
        <v>7.2727272727272723E-11</v>
      </c>
      <c r="AJ11" s="115">
        <f>IFERROR(s_TR/(up_RadSpec!$E11*s_IFCI_far_adj*s_CF_citrus),".")</f>
        <v>7.2727272727272723E-11</v>
      </c>
      <c r="AK11" s="115">
        <f>IFERROR(s_TR/(up_RadSpec!$E11*s_IFCO_far_adj*s_CF_corn),".")</f>
        <v>7.2727272727272723E-11</v>
      </c>
      <c r="AL11" s="115">
        <f>IFERROR(s_TR/(up_RadSpec!$E11*s_IFCU_far_adj*s_CF_cucumber),".")</f>
        <v>7.2727272727272723E-11</v>
      </c>
      <c r="AM11" s="115">
        <f>IFERROR(s_TR/(up_RadSpec!$E11*s_IFLE_far_adj*s_CF_lettuce),".")</f>
        <v>7.2727272727272723E-11</v>
      </c>
      <c r="AN11" s="115">
        <f>IFERROR(s_TR/(up_RadSpec!$E11*s_IFLI_far_adj*s_CF_lima_bean),".")</f>
        <v>7.2727272727272723E-11</v>
      </c>
      <c r="AO11" s="115">
        <f>IFERROR(s_TR/(up_RadSpec!$E11*s_IFOK_far_adj*s_CF_okra),".")</f>
        <v>7.2727272727272723E-11</v>
      </c>
      <c r="AP11" s="115">
        <f>IFERROR(s_TR/(up_RadSpec!$E11*s_IFON_far_adj*s_CF_onion),".")</f>
        <v>7.2727272727272723E-11</v>
      </c>
      <c r="AQ11" s="115">
        <f>IFERROR(s_TR/(up_RadSpec!$E11*s_IFPC_far_adj*s_CF_peach),".")</f>
        <v>7.2727272727272723E-11</v>
      </c>
      <c r="AR11" s="115">
        <f>IFERROR(s_TR/(up_RadSpec!$E11*s_IFPR_far_adj*s_CF_pear),".")</f>
        <v>7.2727272727272723E-11</v>
      </c>
      <c r="AS11" s="115">
        <f>IFERROR(s_TR/(up_RadSpec!$E11*s_IFPE_far_adj*s_CF_peas),".")</f>
        <v>7.2727272727272723E-11</v>
      </c>
      <c r="AT11" s="115">
        <f>IFERROR(s_TR/(up_RadSpec!$E11*s_IFPT_far_adj*s_CF_potato),".")</f>
        <v>7.2727272727272723E-11</v>
      </c>
      <c r="AU11" s="115">
        <f>IFERROR(s_TR/(up_RadSpec!$E11*s_IFPU_far_adj*s_CF_pumpkin),".")</f>
        <v>7.2727272727272723E-11</v>
      </c>
      <c r="AV11" s="115">
        <f>IFERROR(s_TR/(up_RadSpec!$E11*s_IFSN_far_adj*s_CF_snap_bean),".")</f>
        <v>7.2727272727272723E-11</v>
      </c>
      <c r="AW11" s="115">
        <f>IFERROR(s_TR/(up_RadSpec!$E11*s_IFST_far_adj*s_CF_strawberry),".")</f>
        <v>7.2727272727272723E-11</v>
      </c>
      <c r="AX11" s="115">
        <f>IFERROR(s_TR/(up_RadSpec!$E11*s_IFTO_far_adj*s_CF_tomato),".")</f>
        <v>7.2727272727272723E-11</v>
      </c>
      <c r="AY11" s="115">
        <f>IFERROR(s_TR/(up_RadSpec!$E11*s_IFRI_far_adj*s_CF_rice),".")</f>
        <v>7.2727272727272723E-11</v>
      </c>
      <c r="AZ11" s="115">
        <f>IFERROR(s_TR/(up_RadSpec!$E11*s_IFCG_far_adj*s_CF_cereal),".")</f>
        <v>7.2727272727272723E-11</v>
      </c>
      <c r="BA11" s="93">
        <f t="shared" si="1"/>
        <v>55000</v>
      </c>
      <c r="BB11" s="93">
        <f t="shared" si="2"/>
        <v>13750</v>
      </c>
      <c r="BC11" s="93">
        <f t="shared" si="3"/>
        <v>13750</v>
      </c>
      <c r="BD11" s="93">
        <f t="shared" si="4"/>
        <v>13750</v>
      </c>
      <c r="BE11" s="93">
        <f t="shared" si="5"/>
        <v>13750</v>
      </c>
      <c r="BF11" s="93">
        <f t="shared" si="6"/>
        <v>13750</v>
      </c>
      <c r="BG11" s="93">
        <f t="shared" si="7"/>
        <v>13750</v>
      </c>
      <c r="BH11" s="93">
        <f t="shared" si="8"/>
        <v>13750</v>
      </c>
      <c r="BI11" s="93">
        <f t="shared" si="9"/>
        <v>13750</v>
      </c>
      <c r="BJ11" s="93">
        <f t="shared" si="10"/>
        <v>13750</v>
      </c>
      <c r="BK11" s="93">
        <f t="shared" si="11"/>
        <v>13750</v>
      </c>
      <c r="BL11" s="93">
        <f t="shared" si="12"/>
        <v>13750</v>
      </c>
      <c r="BM11" s="93">
        <f t="shared" si="13"/>
        <v>13750</v>
      </c>
      <c r="BN11" s="93">
        <f t="shared" si="14"/>
        <v>13750</v>
      </c>
      <c r="BO11" s="93">
        <f t="shared" si="15"/>
        <v>13750</v>
      </c>
      <c r="BP11" s="93">
        <f t="shared" si="16"/>
        <v>13750</v>
      </c>
      <c r="BQ11" s="93">
        <f t="shared" si="17"/>
        <v>13750</v>
      </c>
      <c r="BR11" s="93">
        <f t="shared" si="18"/>
        <v>13750</v>
      </c>
      <c r="BS11" s="93">
        <f t="shared" si="19"/>
        <v>13750</v>
      </c>
      <c r="BT11" s="93">
        <f t="shared" si="20"/>
        <v>13750</v>
      </c>
      <c r="BU11" s="93">
        <f t="shared" si="21"/>
        <v>13750</v>
      </c>
      <c r="BV11" s="93">
        <f t="shared" si="22"/>
        <v>13750</v>
      </c>
      <c r="BW11" s="93">
        <f t="shared" si="23"/>
        <v>13750</v>
      </c>
      <c r="BX11" s="93">
        <f t="shared" si="24"/>
        <v>13750</v>
      </c>
      <c r="BY11" s="93">
        <f t="shared" si="25"/>
        <v>13750</v>
      </c>
    </row>
    <row r="12" spans="1:77" x14ac:dyDescent="0.25">
      <c r="A12" s="92" t="s">
        <v>22</v>
      </c>
      <c r="B12" s="90" t="s">
        <v>1074</v>
      </c>
      <c r="C12" s="115">
        <f t="shared" si="0"/>
        <v>1.8181818181818181E-11</v>
      </c>
      <c r="D12" s="115">
        <f>IFERROR(s_TR/(up_RadSpec!$E12*s_IFAP_res_adj*s_CF_apple),".")</f>
        <v>7.2727272727272723E-11</v>
      </c>
      <c r="E12" s="115">
        <f>IFERROR(s_TR/(up_RadSpec!$E12*s_IFAS_res_adj*s_CF_asparagus),".")</f>
        <v>7.2727272727272723E-11</v>
      </c>
      <c r="F12" s="115">
        <f>IFERROR(s_TR/(up_RadSpec!$E12*s_IFBT_res_adj*s_CF_beet),".")</f>
        <v>7.2727272727272723E-11</v>
      </c>
      <c r="G12" s="115">
        <f>IFERROR(s_TR/(up_RadSpec!$E12*s_IFBE_res_adj*s_CF_berries),".")</f>
        <v>7.2727272727272723E-11</v>
      </c>
      <c r="H12" s="115">
        <f>IFERROR(s_TR/(up_RadSpec!$E12*s_IFBR_res_adj*s_CF_broccoli),".")</f>
        <v>7.2727272727272723E-11</v>
      </c>
      <c r="I12" s="115">
        <f>IFERROR(s_TR/(up_RadSpec!$E12*s_IFCB_res_adj*s_CF_cabbage),".")</f>
        <v>7.2727272727272723E-11</v>
      </c>
      <c r="J12" s="115">
        <f>IFERROR(s_TR/(up_RadSpec!$E12*s_IFCR_res_adj*s_CF_carrot),".")</f>
        <v>7.2727272727272723E-11</v>
      </c>
      <c r="K12" s="115">
        <f>IFERROR(s_TR/(up_RadSpec!$E12*s_IFCI_res_adj*s_CF_citrus),".")</f>
        <v>7.2727272727272723E-11</v>
      </c>
      <c r="L12" s="115">
        <f>IFERROR(s_TR/(up_RadSpec!$E12*s_IFCO_res_adj*s_CF_corn),".")</f>
        <v>7.2727272727272723E-11</v>
      </c>
      <c r="M12" s="115">
        <f>IFERROR(s_TR/(up_RadSpec!$E12*s_IFCU_res_adj*s_CF_cucumber),".")</f>
        <v>7.2727272727272723E-11</v>
      </c>
      <c r="N12" s="115">
        <f>IFERROR(s_TR/(up_RadSpec!$E12*s_IFLE_res_adj*s_CF_lettuce),".")</f>
        <v>7.2727272727272723E-11</v>
      </c>
      <c r="O12" s="115">
        <f>IFERROR(s_TR/(up_RadSpec!$E12*s_IFLI_res_adj*s_CF_lima_bean),".")</f>
        <v>7.2727272727272723E-11</v>
      </c>
      <c r="P12" s="115">
        <f>IFERROR(s_TR/(up_RadSpec!$E12*s_IFOK_res_adj*s_CF_okra),".")</f>
        <v>7.2727272727272723E-11</v>
      </c>
      <c r="Q12" s="115">
        <f>IFERROR(s_TR/(up_RadSpec!$E12*s_IFON_res_adj*s_CF_onion),".")</f>
        <v>7.2727272727272723E-11</v>
      </c>
      <c r="R12" s="115">
        <f>IFERROR(s_TR/(up_RadSpec!$E12*s_IFPC_res_adj*s_CF_peach),".")</f>
        <v>7.2727272727272723E-11</v>
      </c>
      <c r="S12" s="115">
        <f>IFERROR(s_TR/(up_RadSpec!$E12*s_IFPR_res_adj*s_CF_pear),".")</f>
        <v>7.2727272727272723E-11</v>
      </c>
      <c r="T12" s="115">
        <f>IFERROR(s_TR/(up_RadSpec!$E12*s_IFPE_res_adj*s_CF_peas),".")</f>
        <v>7.2727272727272723E-11</v>
      </c>
      <c r="U12" s="115">
        <f>IFERROR(s_TR/(up_RadSpec!$E12*s_IFPT_res_adj*s_CF_potato),".")</f>
        <v>7.2727272727272723E-11</v>
      </c>
      <c r="V12" s="115">
        <f>IFERROR(s_TR/(up_RadSpec!$E12*s_IFPU_res_adj*s_CF_pumpkin),".")</f>
        <v>7.2727272727272723E-11</v>
      </c>
      <c r="W12" s="115">
        <f>IFERROR(s_TR/(up_RadSpec!$E12*s_IFSN_res_adj*s_CF_snap_bean),".")</f>
        <v>7.2727272727272723E-11</v>
      </c>
      <c r="X12" s="115">
        <f>IFERROR(s_TR/(up_RadSpec!$E12*s_IFST_res_adj*s_CF_strawberry),".")</f>
        <v>7.2727272727272723E-11</v>
      </c>
      <c r="Y12" s="115">
        <f>IFERROR(s_TR/(up_RadSpec!$E12*s_IFTO_res_adj*s_CF_tomato),".")</f>
        <v>7.2727272727272723E-11</v>
      </c>
      <c r="Z12" s="115">
        <f>IFERROR(s_TR/(up_RadSpec!$E12*s_IFRI_res_adj*s_CF_rice),".")</f>
        <v>7.2727272727272723E-11</v>
      </c>
      <c r="AA12" s="115">
        <f>IFERROR(s_TR/(up_RadSpec!$E12*s_IFCG_res_adj*s_CF_cereal),".")</f>
        <v>7.2727272727272723E-11</v>
      </c>
      <c r="AB12" s="115">
        <f t="shared" si="26"/>
        <v>1.8181818181818181E-11</v>
      </c>
      <c r="AC12" s="115">
        <f>IFERROR(s_TR/(up_RadSpec!$E12*s_IFAP_far_adj*s_CF_apple),".")</f>
        <v>7.2727272727272723E-11</v>
      </c>
      <c r="AD12" s="115">
        <f>IFERROR(s_TR/(up_RadSpec!$E12*s_IFAS_far_adj*s_CF_asparagus),".")</f>
        <v>7.2727272727272723E-11</v>
      </c>
      <c r="AE12" s="115">
        <f>IFERROR(s_TR/(up_RadSpec!$E12*s_IFBT_far_adj*s_CF_beet),".")</f>
        <v>7.2727272727272723E-11</v>
      </c>
      <c r="AF12" s="115">
        <f>IFERROR(s_TR/(up_RadSpec!$E12*s_IFBE_far_adj*s_CF_berries),".")</f>
        <v>7.2727272727272723E-11</v>
      </c>
      <c r="AG12" s="115">
        <f>IFERROR(s_TR/(up_RadSpec!$E12*s_IFBR_far_adj*s_CF_broccoli),".")</f>
        <v>7.2727272727272723E-11</v>
      </c>
      <c r="AH12" s="115">
        <f>IFERROR(s_TR/(up_RadSpec!$E12*s_IFCB_far_adj*s_CF_cabbage),".")</f>
        <v>7.2727272727272723E-11</v>
      </c>
      <c r="AI12" s="115">
        <f>IFERROR(s_TR/(up_RadSpec!$E12*s_IFCR_far_adj*s_CF_carrot),".")</f>
        <v>7.2727272727272723E-11</v>
      </c>
      <c r="AJ12" s="115">
        <f>IFERROR(s_TR/(up_RadSpec!$E12*s_IFCI_far_adj*s_CF_citrus),".")</f>
        <v>7.2727272727272723E-11</v>
      </c>
      <c r="AK12" s="115">
        <f>IFERROR(s_TR/(up_RadSpec!$E12*s_IFCO_far_adj*s_CF_corn),".")</f>
        <v>7.2727272727272723E-11</v>
      </c>
      <c r="AL12" s="115">
        <f>IFERROR(s_TR/(up_RadSpec!$E12*s_IFCU_far_adj*s_CF_cucumber),".")</f>
        <v>7.2727272727272723E-11</v>
      </c>
      <c r="AM12" s="115">
        <f>IFERROR(s_TR/(up_RadSpec!$E12*s_IFLE_far_adj*s_CF_lettuce),".")</f>
        <v>7.2727272727272723E-11</v>
      </c>
      <c r="AN12" s="115">
        <f>IFERROR(s_TR/(up_RadSpec!$E12*s_IFLI_far_adj*s_CF_lima_bean),".")</f>
        <v>7.2727272727272723E-11</v>
      </c>
      <c r="AO12" s="115">
        <f>IFERROR(s_TR/(up_RadSpec!$E12*s_IFOK_far_adj*s_CF_okra),".")</f>
        <v>7.2727272727272723E-11</v>
      </c>
      <c r="AP12" s="115">
        <f>IFERROR(s_TR/(up_RadSpec!$E12*s_IFON_far_adj*s_CF_onion),".")</f>
        <v>7.2727272727272723E-11</v>
      </c>
      <c r="AQ12" s="115">
        <f>IFERROR(s_TR/(up_RadSpec!$E12*s_IFPC_far_adj*s_CF_peach),".")</f>
        <v>7.2727272727272723E-11</v>
      </c>
      <c r="AR12" s="115">
        <f>IFERROR(s_TR/(up_RadSpec!$E12*s_IFPR_far_adj*s_CF_pear),".")</f>
        <v>7.2727272727272723E-11</v>
      </c>
      <c r="AS12" s="115">
        <f>IFERROR(s_TR/(up_RadSpec!$E12*s_IFPE_far_adj*s_CF_peas),".")</f>
        <v>7.2727272727272723E-11</v>
      </c>
      <c r="AT12" s="115">
        <f>IFERROR(s_TR/(up_RadSpec!$E12*s_IFPT_far_adj*s_CF_potato),".")</f>
        <v>7.2727272727272723E-11</v>
      </c>
      <c r="AU12" s="115">
        <f>IFERROR(s_TR/(up_RadSpec!$E12*s_IFPU_far_adj*s_CF_pumpkin),".")</f>
        <v>7.2727272727272723E-11</v>
      </c>
      <c r="AV12" s="115">
        <f>IFERROR(s_TR/(up_RadSpec!$E12*s_IFSN_far_adj*s_CF_snap_bean),".")</f>
        <v>7.2727272727272723E-11</v>
      </c>
      <c r="AW12" s="115">
        <f>IFERROR(s_TR/(up_RadSpec!$E12*s_IFST_far_adj*s_CF_strawberry),".")</f>
        <v>7.2727272727272723E-11</v>
      </c>
      <c r="AX12" s="115">
        <f>IFERROR(s_TR/(up_RadSpec!$E12*s_IFTO_far_adj*s_CF_tomato),".")</f>
        <v>7.2727272727272723E-11</v>
      </c>
      <c r="AY12" s="115">
        <f>IFERROR(s_TR/(up_RadSpec!$E12*s_IFRI_far_adj*s_CF_rice),".")</f>
        <v>7.2727272727272723E-11</v>
      </c>
      <c r="AZ12" s="115">
        <f>IFERROR(s_TR/(up_RadSpec!$E12*s_IFCG_far_adj*s_CF_cereal),".")</f>
        <v>7.2727272727272723E-11</v>
      </c>
      <c r="BA12" s="93">
        <f t="shared" si="1"/>
        <v>55000</v>
      </c>
      <c r="BB12" s="93">
        <f t="shared" si="2"/>
        <v>13750</v>
      </c>
      <c r="BC12" s="93">
        <f t="shared" si="3"/>
        <v>13750</v>
      </c>
      <c r="BD12" s="93">
        <f t="shared" si="4"/>
        <v>13750</v>
      </c>
      <c r="BE12" s="93">
        <f t="shared" si="5"/>
        <v>13750</v>
      </c>
      <c r="BF12" s="93">
        <f t="shared" si="6"/>
        <v>13750</v>
      </c>
      <c r="BG12" s="93">
        <f t="shared" si="7"/>
        <v>13750</v>
      </c>
      <c r="BH12" s="93">
        <f t="shared" si="8"/>
        <v>13750</v>
      </c>
      <c r="BI12" s="93">
        <f t="shared" si="9"/>
        <v>13750</v>
      </c>
      <c r="BJ12" s="93">
        <f t="shared" si="10"/>
        <v>13750</v>
      </c>
      <c r="BK12" s="93">
        <f t="shared" si="11"/>
        <v>13750</v>
      </c>
      <c r="BL12" s="93">
        <f t="shared" si="12"/>
        <v>13750</v>
      </c>
      <c r="BM12" s="93">
        <f t="shared" si="13"/>
        <v>13750</v>
      </c>
      <c r="BN12" s="93">
        <f t="shared" si="14"/>
        <v>13750</v>
      </c>
      <c r="BO12" s="93">
        <f t="shared" si="15"/>
        <v>13750</v>
      </c>
      <c r="BP12" s="93">
        <f t="shared" si="16"/>
        <v>13750</v>
      </c>
      <c r="BQ12" s="93">
        <f t="shared" si="17"/>
        <v>13750</v>
      </c>
      <c r="BR12" s="93">
        <f t="shared" si="18"/>
        <v>13750</v>
      </c>
      <c r="BS12" s="93">
        <f t="shared" si="19"/>
        <v>13750</v>
      </c>
      <c r="BT12" s="93">
        <f t="shared" si="20"/>
        <v>13750</v>
      </c>
      <c r="BU12" s="93">
        <f t="shared" si="21"/>
        <v>13750</v>
      </c>
      <c r="BV12" s="93">
        <f t="shared" si="22"/>
        <v>13750</v>
      </c>
      <c r="BW12" s="93">
        <f t="shared" si="23"/>
        <v>13750</v>
      </c>
      <c r="BX12" s="93">
        <f t="shared" si="24"/>
        <v>13750</v>
      </c>
      <c r="BY12" s="93">
        <f t="shared" si="25"/>
        <v>13750</v>
      </c>
    </row>
    <row r="13" spans="1:77" x14ac:dyDescent="0.25">
      <c r="A13" s="92" t="s">
        <v>23</v>
      </c>
      <c r="B13" s="90" t="s">
        <v>1074</v>
      </c>
      <c r="C13" s="115">
        <f t="shared" si="0"/>
        <v>1.8181818181818181E-11</v>
      </c>
      <c r="D13" s="115">
        <f>IFERROR(s_TR/(up_RadSpec!$E13*s_IFAP_res_adj*s_CF_apple),".")</f>
        <v>7.2727272727272723E-11</v>
      </c>
      <c r="E13" s="115">
        <f>IFERROR(s_TR/(up_RadSpec!$E13*s_IFAS_res_adj*s_CF_asparagus),".")</f>
        <v>7.2727272727272723E-11</v>
      </c>
      <c r="F13" s="115">
        <f>IFERROR(s_TR/(up_RadSpec!$E13*s_IFBT_res_adj*s_CF_beet),".")</f>
        <v>7.2727272727272723E-11</v>
      </c>
      <c r="G13" s="115">
        <f>IFERROR(s_TR/(up_RadSpec!$E13*s_IFBE_res_adj*s_CF_berries),".")</f>
        <v>7.2727272727272723E-11</v>
      </c>
      <c r="H13" s="115">
        <f>IFERROR(s_TR/(up_RadSpec!$E13*s_IFBR_res_adj*s_CF_broccoli),".")</f>
        <v>7.2727272727272723E-11</v>
      </c>
      <c r="I13" s="115">
        <f>IFERROR(s_TR/(up_RadSpec!$E13*s_IFCB_res_adj*s_CF_cabbage),".")</f>
        <v>7.2727272727272723E-11</v>
      </c>
      <c r="J13" s="115">
        <f>IFERROR(s_TR/(up_RadSpec!$E13*s_IFCR_res_adj*s_CF_carrot),".")</f>
        <v>7.2727272727272723E-11</v>
      </c>
      <c r="K13" s="115">
        <f>IFERROR(s_TR/(up_RadSpec!$E13*s_IFCI_res_adj*s_CF_citrus),".")</f>
        <v>7.2727272727272723E-11</v>
      </c>
      <c r="L13" s="115">
        <f>IFERROR(s_TR/(up_RadSpec!$E13*s_IFCO_res_adj*s_CF_corn),".")</f>
        <v>7.2727272727272723E-11</v>
      </c>
      <c r="M13" s="115">
        <f>IFERROR(s_TR/(up_RadSpec!$E13*s_IFCU_res_adj*s_CF_cucumber),".")</f>
        <v>7.2727272727272723E-11</v>
      </c>
      <c r="N13" s="115">
        <f>IFERROR(s_TR/(up_RadSpec!$E13*s_IFLE_res_adj*s_CF_lettuce),".")</f>
        <v>7.2727272727272723E-11</v>
      </c>
      <c r="O13" s="115">
        <f>IFERROR(s_TR/(up_RadSpec!$E13*s_IFLI_res_adj*s_CF_lima_bean),".")</f>
        <v>7.2727272727272723E-11</v>
      </c>
      <c r="P13" s="115">
        <f>IFERROR(s_TR/(up_RadSpec!$E13*s_IFOK_res_adj*s_CF_okra),".")</f>
        <v>7.2727272727272723E-11</v>
      </c>
      <c r="Q13" s="115">
        <f>IFERROR(s_TR/(up_RadSpec!$E13*s_IFON_res_adj*s_CF_onion),".")</f>
        <v>7.2727272727272723E-11</v>
      </c>
      <c r="R13" s="115">
        <f>IFERROR(s_TR/(up_RadSpec!$E13*s_IFPC_res_adj*s_CF_peach),".")</f>
        <v>7.2727272727272723E-11</v>
      </c>
      <c r="S13" s="115">
        <f>IFERROR(s_TR/(up_RadSpec!$E13*s_IFPR_res_adj*s_CF_pear),".")</f>
        <v>7.2727272727272723E-11</v>
      </c>
      <c r="T13" s="115">
        <f>IFERROR(s_TR/(up_RadSpec!$E13*s_IFPE_res_adj*s_CF_peas),".")</f>
        <v>7.2727272727272723E-11</v>
      </c>
      <c r="U13" s="115">
        <f>IFERROR(s_TR/(up_RadSpec!$E13*s_IFPT_res_adj*s_CF_potato),".")</f>
        <v>7.2727272727272723E-11</v>
      </c>
      <c r="V13" s="115">
        <f>IFERROR(s_TR/(up_RadSpec!$E13*s_IFPU_res_adj*s_CF_pumpkin),".")</f>
        <v>7.2727272727272723E-11</v>
      </c>
      <c r="W13" s="115">
        <f>IFERROR(s_TR/(up_RadSpec!$E13*s_IFSN_res_adj*s_CF_snap_bean),".")</f>
        <v>7.2727272727272723E-11</v>
      </c>
      <c r="X13" s="115">
        <f>IFERROR(s_TR/(up_RadSpec!$E13*s_IFST_res_adj*s_CF_strawberry),".")</f>
        <v>7.2727272727272723E-11</v>
      </c>
      <c r="Y13" s="115">
        <f>IFERROR(s_TR/(up_RadSpec!$E13*s_IFTO_res_adj*s_CF_tomato),".")</f>
        <v>7.2727272727272723E-11</v>
      </c>
      <c r="Z13" s="115">
        <f>IFERROR(s_TR/(up_RadSpec!$E13*s_IFRI_res_adj*s_CF_rice),".")</f>
        <v>7.2727272727272723E-11</v>
      </c>
      <c r="AA13" s="115">
        <f>IFERROR(s_TR/(up_RadSpec!$E13*s_IFCG_res_adj*s_CF_cereal),".")</f>
        <v>7.2727272727272723E-11</v>
      </c>
      <c r="AB13" s="115">
        <f t="shared" si="26"/>
        <v>1.8181818181818181E-11</v>
      </c>
      <c r="AC13" s="115">
        <f>IFERROR(s_TR/(up_RadSpec!$E13*s_IFAP_far_adj*s_CF_apple),".")</f>
        <v>7.2727272727272723E-11</v>
      </c>
      <c r="AD13" s="115">
        <f>IFERROR(s_TR/(up_RadSpec!$E13*s_IFAS_far_adj*s_CF_asparagus),".")</f>
        <v>7.2727272727272723E-11</v>
      </c>
      <c r="AE13" s="115">
        <f>IFERROR(s_TR/(up_RadSpec!$E13*s_IFBT_far_adj*s_CF_beet),".")</f>
        <v>7.2727272727272723E-11</v>
      </c>
      <c r="AF13" s="115">
        <f>IFERROR(s_TR/(up_RadSpec!$E13*s_IFBE_far_adj*s_CF_berries),".")</f>
        <v>7.2727272727272723E-11</v>
      </c>
      <c r="AG13" s="115">
        <f>IFERROR(s_TR/(up_RadSpec!$E13*s_IFBR_far_adj*s_CF_broccoli),".")</f>
        <v>7.2727272727272723E-11</v>
      </c>
      <c r="AH13" s="115">
        <f>IFERROR(s_TR/(up_RadSpec!$E13*s_IFCB_far_adj*s_CF_cabbage),".")</f>
        <v>7.2727272727272723E-11</v>
      </c>
      <c r="AI13" s="115">
        <f>IFERROR(s_TR/(up_RadSpec!$E13*s_IFCR_far_adj*s_CF_carrot),".")</f>
        <v>7.2727272727272723E-11</v>
      </c>
      <c r="AJ13" s="115">
        <f>IFERROR(s_TR/(up_RadSpec!$E13*s_IFCI_far_adj*s_CF_citrus),".")</f>
        <v>7.2727272727272723E-11</v>
      </c>
      <c r="AK13" s="115">
        <f>IFERROR(s_TR/(up_RadSpec!$E13*s_IFCO_far_adj*s_CF_corn),".")</f>
        <v>7.2727272727272723E-11</v>
      </c>
      <c r="AL13" s="115">
        <f>IFERROR(s_TR/(up_RadSpec!$E13*s_IFCU_far_adj*s_CF_cucumber),".")</f>
        <v>7.2727272727272723E-11</v>
      </c>
      <c r="AM13" s="115">
        <f>IFERROR(s_TR/(up_RadSpec!$E13*s_IFLE_far_adj*s_CF_lettuce),".")</f>
        <v>7.2727272727272723E-11</v>
      </c>
      <c r="AN13" s="115">
        <f>IFERROR(s_TR/(up_RadSpec!$E13*s_IFLI_far_adj*s_CF_lima_bean),".")</f>
        <v>7.2727272727272723E-11</v>
      </c>
      <c r="AO13" s="115">
        <f>IFERROR(s_TR/(up_RadSpec!$E13*s_IFOK_far_adj*s_CF_okra),".")</f>
        <v>7.2727272727272723E-11</v>
      </c>
      <c r="AP13" s="115">
        <f>IFERROR(s_TR/(up_RadSpec!$E13*s_IFON_far_adj*s_CF_onion),".")</f>
        <v>7.2727272727272723E-11</v>
      </c>
      <c r="AQ13" s="115">
        <f>IFERROR(s_TR/(up_RadSpec!$E13*s_IFPC_far_adj*s_CF_peach),".")</f>
        <v>7.2727272727272723E-11</v>
      </c>
      <c r="AR13" s="115">
        <f>IFERROR(s_TR/(up_RadSpec!$E13*s_IFPR_far_adj*s_CF_pear),".")</f>
        <v>7.2727272727272723E-11</v>
      </c>
      <c r="AS13" s="115">
        <f>IFERROR(s_TR/(up_RadSpec!$E13*s_IFPE_far_adj*s_CF_peas),".")</f>
        <v>7.2727272727272723E-11</v>
      </c>
      <c r="AT13" s="115">
        <f>IFERROR(s_TR/(up_RadSpec!$E13*s_IFPT_far_adj*s_CF_potato),".")</f>
        <v>7.2727272727272723E-11</v>
      </c>
      <c r="AU13" s="115">
        <f>IFERROR(s_TR/(up_RadSpec!$E13*s_IFPU_far_adj*s_CF_pumpkin),".")</f>
        <v>7.2727272727272723E-11</v>
      </c>
      <c r="AV13" s="115">
        <f>IFERROR(s_TR/(up_RadSpec!$E13*s_IFSN_far_adj*s_CF_snap_bean),".")</f>
        <v>7.2727272727272723E-11</v>
      </c>
      <c r="AW13" s="115">
        <f>IFERROR(s_TR/(up_RadSpec!$E13*s_IFST_far_adj*s_CF_strawberry),".")</f>
        <v>7.2727272727272723E-11</v>
      </c>
      <c r="AX13" s="115">
        <f>IFERROR(s_TR/(up_RadSpec!$E13*s_IFTO_far_adj*s_CF_tomato),".")</f>
        <v>7.2727272727272723E-11</v>
      </c>
      <c r="AY13" s="115">
        <f>IFERROR(s_TR/(up_RadSpec!$E13*s_IFRI_far_adj*s_CF_rice),".")</f>
        <v>7.2727272727272723E-11</v>
      </c>
      <c r="AZ13" s="115">
        <f>IFERROR(s_TR/(up_RadSpec!$E13*s_IFCG_far_adj*s_CF_cereal),".")</f>
        <v>7.2727272727272723E-11</v>
      </c>
      <c r="BA13" s="93">
        <f t="shared" si="1"/>
        <v>55000</v>
      </c>
      <c r="BB13" s="93">
        <f t="shared" si="2"/>
        <v>13750</v>
      </c>
      <c r="BC13" s="93">
        <f t="shared" si="3"/>
        <v>13750</v>
      </c>
      <c r="BD13" s="93">
        <f t="shared" si="4"/>
        <v>13750</v>
      </c>
      <c r="BE13" s="93">
        <f t="shared" si="5"/>
        <v>13750</v>
      </c>
      <c r="BF13" s="93">
        <f t="shared" si="6"/>
        <v>13750</v>
      </c>
      <c r="BG13" s="93">
        <f t="shared" si="7"/>
        <v>13750</v>
      </c>
      <c r="BH13" s="93">
        <f t="shared" si="8"/>
        <v>13750</v>
      </c>
      <c r="BI13" s="93">
        <f t="shared" si="9"/>
        <v>13750</v>
      </c>
      <c r="BJ13" s="93">
        <f t="shared" si="10"/>
        <v>13750</v>
      </c>
      <c r="BK13" s="93">
        <f t="shared" si="11"/>
        <v>13750</v>
      </c>
      <c r="BL13" s="93">
        <f t="shared" si="12"/>
        <v>13750</v>
      </c>
      <c r="BM13" s="93">
        <f t="shared" si="13"/>
        <v>13750</v>
      </c>
      <c r="BN13" s="93">
        <f t="shared" si="14"/>
        <v>13750</v>
      </c>
      <c r="BO13" s="93">
        <f t="shared" si="15"/>
        <v>13750</v>
      </c>
      <c r="BP13" s="93">
        <f t="shared" si="16"/>
        <v>13750</v>
      </c>
      <c r="BQ13" s="93">
        <f t="shared" si="17"/>
        <v>13750</v>
      </c>
      <c r="BR13" s="93">
        <f t="shared" si="18"/>
        <v>13750</v>
      </c>
      <c r="BS13" s="93">
        <f t="shared" si="19"/>
        <v>13750</v>
      </c>
      <c r="BT13" s="93">
        <f t="shared" si="20"/>
        <v>13750</v>
      </c>
      <c r="BU13" s="93">
        <f t="shared" si="21"/>
        <v>13750</v>
      </c>
      <c r="BV13" s="93">
        <f t="shared" si="22"/>
        <v>13750</v>
      </c>
      <c r="BW13" s="93">
        <f t="shared" si="23"/>
        <v>13750</v>
      </c>
      <c r="BX13" s="93">
        <f t="shared" si="24"/>
        <v>13750</v>
      </c>
      <c r="BY13" s="93">
        <f t="shared" si="25"/>
        <v>13750</v>
      </c>
    </row>
    <row r="14" spans="1:77" x14ac:dyDescent="0.25">
      <c r="A14" s="92" t="s">
        <v>24</v>
      </c>
      <c r="B14" s="90" t="s">
        <v>1074</v>
      </c>
      <c r="C14" s="115">
        <f t="shared" si="0"/>
        <v>1.8181818181818181E-11</v>
      </c>
      <c r="D14" s="115">
        <f>IFERROR(s_TR/(up_RadSpec!$E14*s_IFAP_res_adj*s_CF_apple),".")</f>
        <v>7.2727272727272723E-11</v>
      </c>
      <c r="E14" s="115">
        <f>IFERROR(s_TR/(up_RadSpec!$E14*s_IFAS_res_adj*s_CF_asparagus),".")</f>
        <v>7.2727272727272723E-11</v>
      </c>
      <c r="F14" s="115">
        <f>IFERROR(s_TR/(up_RadSpec!$E14*s_IFBT_res_adj*s_CF_beet),".")</f>
        <v>7.2727272727272723E-11</v>
      </c>
      <c r="G14" s="115">
        <f>IFERROR(s_TR/(up_RadSpec!$E14*s_IFBE_res_adj*s_CF_berries),".")</f>
        <v>7.2727272727272723E-11</v>
      </c>
      <c r="H14" s="115">
        <f>IFERROR(s_TR/(up_RadSpec!$E14*s_IFBR_res_adj*s_CF_broccoli),".")</f>
        <v>7.2727272727272723E-11</v>
      </c>
      <c r="I14" s="115">
        <f>IFERROR(s_TR/(up_RadSpec!$E14*s_IFCB_res_adj*s_CF_cabbage),".")</f>
        <v>7.2727272727272723E-11</v>
      </c>
      <c r="J14" s="115">
        <f>IFERROR(s_TR/(up_RadSpec!$E14*s_IFCR_res_adj*s_CF_carrot),".")</f>
        <v>7.2727272727272723E-11</v>
      </c>
      <c r="K14" s="115">
        <f>IFERROR(s_TR/(up_RadSpec!$E14*s_IFCI_res_adj*s_CF_citrus),".")</f>
        <v>7.2727272727272723E-11</v>
      </c>
      <c r="L14" s="115">
        <f>IFERROR(s_TR/(up_RadSpec!$E14*s_IFCO_res_adj*s_CF_corn),".")</f>
        <v>7.2727272727272723E-11</v>
      </c>
      <c r="M14" s="115">
        <f>IFERROR(s_TR/(up_RadSpec!$E14*s_IFCU_res_adj*s_CF_cucumber),".")</f>
        <v>7.2727272727272723E-11</v>
      </c>
      <c r="N14" s="115">
        <f>IFERROR(s_TR/(up_RadSpec!$E14*s_IFLE_res_adj*s_CF_lettuce),".")</f>
        <v>7.2727272727272723E-11</v>
      </c>
      <c r="O14" s="115">
        <f>IFERROR(s_TR/(up_RadSpec!$E14*s_IFLI_res_adj*s_CF_lima_bean),".")</f>
        <v>7.2727272727272723E-11</v>
      </c>
      <c r="P14" s="115">
        <f>IFERROR(s_TR/(up_RadSpec!$E14*s_IFOK_res_adj*s_CF_okra),".")</f>
        <v>7.2727272727272723E-11</v>
      </c>
      <c r="Q14" s="115">
        <f>IFERROR(s_TR/(up_RadSpec!$E14*s_IFON_res_adj*s_CF_onion),".")</f>
        <v>7.2727272727272723E-11</v>
      </c>
      <c r="R14" s="115">
        <f>IFERROR(s_TR/(up_RadSpec!$E14*s_IFPC_res_adj*s_CF_peach),".")</f>
        <v>7.2727272727272723E-11</v>
      </c>
      <c r="S14" s="115">
        <f>IFERROR(s_TR/(up_RadSpec!$E14*s_IFPR_res_adj*s_CF_pear),".")</f>
        <v>7.2727272727272723E-11</v>
      </c>
      <c r="T14" s="115">
        <f>IFERROR(s_TR/(up_RadSpec!$E14*s_IFPE_res_adj*s_CF_peas),".")</f>
        <v>7.2727272727272723E-11</v>
      </c>
      <c r="U14" s="115">
        <f>IFERROR(s_TR/(up_RadSpec!$E14*s_IFPT_res_adj*s_CF_potato),".")</f>
        <v>7.2727272727272723E-11</v>
      </c>
      <c r="V14" s="115">
        <f>IFERROR(s_TR/(up_RadSpec!$E14*s_IFPU_res_adj*s_CF_pumpkin),".")</f>
        <v>7.2727272727272723E-11</v>
      </c>
      <c r="W14" s="115">
        <f>IFERROR(s_TR/(up_RadSpec!$E14*s_IFSN_res_adj*s_CF_snap_bean),".")</f>
        <v>7.2727272727272723E-11</v>
      </c>
      <c r="X14" s="115">
        <f>IFERROR(s_TR/(up_RadSpec!$E14*s_IFST_res_adj*s_CF_strawberry),".")</f>
        <v>7.2727272727272723E-11</v>
      </c>
      <c r="Y14" s="115">
        <f>IFERROR(s_TR/(up_RadSpec!$E14*s_IFTO_res_adj*s_CF_tomato),".")</f>
        <v>7.2727272727272723E-11</v>
      </c>
      <c r="Z14" s="115">
        <f>IFERROR(s_TR/(up_RadSpec!$E14*s_IFRI_res_adj*s_CF_rice),".")</f>
        <v>7.2727272727272723E-11</v>
      </c>
      <c r="AA14" s="115">
        <f>IFERROR(s_TR/(up_RadSpec!$E14*s_IFCG_res_adj*s_CF_cereal),".")</f>
        <v>7.2727272727272723E-11</v>
      </c>
      <c r="AB14" s="115">
        <f t="shared" si="26"/>
        <v>1.8181818181818181E-11</v>
      </c>
      <c r="AC14" s="115">
        <f>IFERROR(s_TR/(up_RadSpec!$E14*s_IFAP_far_adj*s_CF_apple),".")</f>
        <v>7.2727272727272723E-11</v>
      </c>
      <c r="AD14" s="115">
        <f>IFERROR(s_TR/(up_RadSpec!$E14*s_IFAS_far_adj*s_CF_asparagus),".")</f>
        <v>7.2727272727272723E-11</v>
      </c>
      <c r="AE14" s="115">
        <f>IFERROR(s_TR/(up_RadSpec!$E14*s_IFBT_far_adj*s_CF_beet),".")</f>
        <v>7.2727272727272723E-11</v>
      </c>
      <c r="AF14" s="115">
        <f>IFERROR(s_TR/(up_RadSpec!$E14*s_IFBE_far_adj*s_CF_berries),".")</f>
        <v>7.2727272727272723E-11</v>
      </c>
      <c r="AG14" s="115">
        <f>IFERROR(s_TR/(up_RadSpec!$E14*s_IFBR_far_adj*s_CF_broccoli),".")</f>
        <v>7.2727272727272723E-11</v>
      </c>
      <c r="AH14" s="115">
        <f>IFERROR(s_TR/(up_RadSpec!$E14*s_IFCB_far_adj*s_CF_cabbage),".")</f>
        <v>7.2727272727272723E-11</v>
      </c>
      <c r="AI14" s="115">
        <f>IFERROR(s_TR/(up_RadSpec!$E14*s_IFCR_far_adj*s_CF_carrot),".")</f>
        <v>7.2727272727272723E-11</v>
      </c>
      <c r="AJ14" s="115">
        <f>IFERROR(s_TR/(up_RadSpec!$E14*s_IFCI_far_adj*s_CF_citrus),".")</f>
        <v>7.2727272727272723E-11</v>
      </c>
      <c r="AK14" s="115">
        <f>IFERROR(s_TR/(up_RadSpec!$E14*s_IFCO_far_adj*s_CF_corn),".")</f>
        <v>7.2727272727272723E-11</v>
      </c>
      <c r="AL14" s="115">
        <f>IFERROR(s_TR/(up_RadSpec!$E14*s_IFCU_far_adj*s_CF_cucumber),".")</f>
        <v>7.2727272727272723E-11</v>
      </c>
      <c r="AM14" s="115">
        <f>IFERROR(s_TR/(up_RadSpec!$E14*s_IFLE_far_adj*s_CF_lettuce),".")</f>
        <v>7.2727272727272723E-11</v>
      </c>
      <c r="AN14" s="115">
        <f>IFERROR(s_TR/(up_RadSpec!$E14*s_IFLI_far_adj*s_CF_lima_bean),".")</f>
        <v>7.2727272727272723E-11</v>
      </c>
      <c r="AO14" s="115">
        <f>IFERROR(s_TR/(up_RadSpec!$E14*s_IFOK_far_adj*s_CF_okra),".")</f>
        <v>7.2727272727272723E-11</v>
      </c>
      <c r="AP14" s="115">
        <f>IFERROR(s_TR/(up_RadSpec!$E14*s_IFON_far_adj*s_CF_onion),".")</f>
        <v>7.2727272727272723E-11</v>
      </c>
      <c r="AQ14" s="115">
        <f>IFERROR(s_TR/(up_RadSpec!$E14*s_IFPC_far_adj*s_CF_peach),".")</f>
        <v>7.2727272727272723E-11</v>
      </c>
      <c r="AR14" s="115">
        <f>IFERROR(s_TR/(up_RadSpec!$E14*s_IFPR_far_adj*s_CF_pear),".")</f>
        <v>7.2727272727272723E-11</v>
      </c>
      <c r="AS14" s="115">
        <f>IFERROR(s_TR/(up_RadSpec!$E14*s_IFPE_far_adj*s_CF_peas),".")</f>
        <v>7.2727272727272723E-11</v>
      </c>
      <c r="AT14" s="115">
        <f>IFERROR(s_TR/(up_RadSpec!$E14*s_IFPT_far_adj*s_CF_potato),".")</f>
        <v>7.2727272727272723E-11</v>
      </c>
      <c r="AU14" s="115">
        <f>IFERROR(s_TR/(up_RadSpec!$E14*s_IFPU_far_adj*s_CF_pumpkin),".")</f>
        <v>7.2727272727272723E-11</v>
      </c>
      <c r="AV14" s="115">
        <f>IFERROR(s_TR/(up_RadSpec!$E14*s_IFSN_far_adj*s_CF_snap_bean),".")</f>
        <v>7.2727272727272723E-11</v>
      </c>
      <c r="AW14" s="115">
        <f>IFERROR(s_TR/(up_RadSpec!$E14*s_IFST_far_adj*s_CF_strawberry),".")</f>
        <v>7.2727272727272723E-11</v>
      </c>
      <c r="AX14" s="115">
        <f>IFERROR(s_TR/(up_RadSpec!$E14*s_IFTO_far_adj*s_CF_tomato),".")</f>
        <v>7.2727272727272723E-11</v>
      </c>
      <c r="AY14" s="115">
        <f>IFERROR(s_TR/(up_RadSpec!$E14*s_IFRI_far_adj*s_CF_rice),".")</f>
        <v>7.2727272727272723E-11</v>
      </c>
      <c r="AZ14" s="115">
        <f>IFERROR(s_TR/(up_RadSpec!$E14*s_IFCG_far_adj*s_CF_cereal),".")</f>
        <v>7.2727272727272723E-11</v>
      </c>
      <c r="BA14" s="93">
        <f t="shared" si="1"/>
        <v>55000</v>
      </c>
      <c r="BB14" s="93">
        <f t="shared" si="2"/>
        <v>13750</v>
      </c>
      <c r="BC14" s="93">
        <f t="shared" si="3"/>
        <v>13750</v>
      </c>
      <c r="BD14" s="93">
        <f t="shared" si="4"/>
        <v>13750</v>
      </c>
      <c r="BE14" s="93">
        <f t="shared" si="5"/>
        <v>13750</v>
      </c>
      <c r="BF14" s="93">
        <f t="shared" si="6"/>
        <v>13750</v>
      </c>
      <c r="BG14" s="93">
        <f t="shared" si="7"/>
        <v>13750</v>
      </c>
      <c r="BH14" s="93">
        <f t="shared" si="8"/>
        <v>13750</v>
      </c>
      <c r="BI14" s="93">
        <f t="shared" si="9"/>
        <v>13750</v>
      </c>
      <c r="BJ14" s="93">
        <f t="shared" si="10"/>
        <v>13750</v>
      </c>
      <c r="BK14" s="93">
        <f t="shared" si="11"/>
        <v>13750</v>
      </c>
      <c r="BL14" s="93">
        <f t="shared" si="12"/>
        <v>13750</v>
      </c>
      <c r="BM14" s="93">
        <f t="shared" si="13"/>
        <v>13750</v>
      </c>
      <c r="BN14" s="93">
        <f t="shared" si="14"/>
        <v>13750</v>
      </c>
      <c r="BO14" s="93">
        <f t="shared" si="15"/>
        <v>13750</v>
      </c>
      <c r="BP14" s="93">
        <f t="shared" si="16"/>
        <v>13750</v>
      </c>
      <c r="BQ14" s="93">
        <f t="shared" si="17"/>
        <v>13750</v>
      </c>
      <c r="BR14" s="93">
        <f t="shared" si="18"/>
        <v>13750</v>
      </c>
      <c r="BS14" s="93">
        <f t="shared" si="19"/>
        <v>13750</v>
      </c>
      <c r="BT14" s="93">
        <f t="shared" si="20"/>
        <v>13750</v>
      </c>
      <c r="BU14" s="93">
        <f t="shared" si="21"/>
        <v>13750</v>
      </c>
      <c r="BV14" s="93">
        <f t="shared" si="22"/>
        <v>13750</v>
      </c>
      <c r="BW14" s="93">
        <f t="shared" si="23"/>
        <v>13750</v>
      </c>
      <c r="BX14" s="93">
        <f t="shared" si="24"/>
        <v>13750</v>
      </c>
      <c r="BY14" s="93">
        <f t="shared" si="25"/>
        <v>13750</v>
      </c>
    </row>
    <row r="15" spans="1:77" x14ac:dyDescent="0.25">
      <c r="A15" s="92" t="s">
        <v>25</v>
      </c>
      <c r="B15" s="90" t="s">
        <v>1074</v>
      </c>
      <c r="C15" s="115">
        <f t="shared" si="0"/>
        <v>1.8181818181818181E-11</v>
      </c>
      <c r="D15" s="115">
        <f>IFERROR(s_TR/(up_RadSpec!$E15*s_IFAP_res_adj*s_CF_apple),".")</f>
        <v>7.2727272727272723E-11</v>
      </c>
      <c r="E15" s="115">
        <f>IFERROR(s_TR/(up_RadSpec!$E15*s_IFAS_res_adj*s_CF_asparagus),".")</f>
        <v>7.2727272727272723E-11</v>
      </c>
      <c r="F15" s="115">
        <f>IFERROR(s_TR/(up_RadSpec!$E15*s_IFBT_res_adj*s_CF_beet),".")</f>
        <v>7.2727272727272723E-11</v>
      </c>
      <c r="G15" s="115">
        <f>IFERROR(s_TR/(up_RadSpec!$E15*s_IFBE_res_adj*s_CF_berries),".")</f>
        <v>7.2727272727272723E-11</v>
      </c>
      <c r="H15" s="115">
        <f>IFERROR(s_TR/(up_RadSpec!$E15*s_IFBR_res_adj*s_CF_broccoli),".")</f>
        <v>7.2727272727272723E-11</v>
      </c>
      <c r="I15" s="115">
        <f>IFERROR(s_TR/(up_RadSpec!$E15*s_IFCB_res_adj*s_CF_cabbage),".")</f>
        <v>7.2727272727272723E-11</v>
      </c>
      <c r="J15" s="115">
        <f>IFERROR(s_TR/(up_RadSpec!$E15*s_IFCR_res_adj*s_CF_carrot),".")</f>
        <v>7.2727272727272723E-11</v>
      </c>
      <c r="K15" s="115">
        <f>IFERROR(s_TR/(up_RadSpec!$E15*s_IFCI_res_adj*s_CF_citrus),".")</f>
        <v>7.2727272727272723E-11</v>
      </c>
      <c r="L15" s="115">
        <f>IFERROR(s_TR/(up_RadSpec!$E15*s_IFCO_res_adj*s_CF_corn),".")</f>
        <v>7.2727272727272723E-11</v>
      </c>
      <c r="M15" s="115">
        <f>IFERROR(s_TR/(up_RadSpec!$E15*s_IFCU_res_adj*s_CF_cucumber),".")</f>
        <v>7.2727272727272723E-11</v>
      </c>
      <c r="N15" s="115">
        <f>IFERROR(s_TR/(up_RadSpec!$E15*s_IFLE_res_adj*s_CF_lettuce),".")</f>
        <v>7.2727272727272723E-11</v>
      </c>
      <c r="O15" s="115">
        <f>IFERROR(s_TR/(up_RadSpec!$E15*s_IFLI_res_adj*s_CF_lima_bean),".")</f>
        <v>7.2727272727272723E-11</v>
      </c>
      <c r="P15" s="115">
        <f>IFERROR(s_TR/(up_RadSpec!$E15*s_IFOK_res_adj*s_CF_okra),".")</f>
        <v>7.2727272727272723E-11</v>
      </c>
      <c r="Q15" s="115">
        <f>IFERROR(s_TR/(up_RadSpec!$E15*s_IFON_res_adj*s_CF_onion),".")</f>
        <v>7.2727272727272723E-11</v>
      </c>
      <c r="R15" s="115">
        <f>IFERROR(s_TR/(up_RadSpec!$E15*s_IFPC_res_adj*s_CF_peach),".")</f>
        <v>7.2727272727272723E-11</v>
      </c>
      <c r="S15" s="115">
        <f>IFERROR(s_TR/(up_RadSpec!$E15*s_IFPR_res_adj*s_CF_pear),".")</f>
        <v>7.2727272727272723E-11</v>
      </c>
      <c r="T15" s="115">
        <f>IFERROR(s_TR/(up_RadSpec!$E15*s_IFPE_res_adj*s_CF_peas),".")</f>
        <v>7.2727272727272723E-11</v>
      </c>
      <c r="U15" s="115">
        <f>IFERROR(s_TR/(up_RadSpec!$E15*s_IFPT_res_adj*s_CF_potato),".")</f>
        <v>7.2727272727272723E-11</v>
      </c>
      <c r="V15" s="115">
        <f>IFERROR(s_TR/(up_RadSpec!$E15*s_IFPU_res_adj*s_CF_pumpkin),".")</f>
        <v>7.2727272727272723E-11</v>
      </c>
      <c r="W15" s="115">
        <f>IFERROR(s_TR/(up_RadSpec!$E15*s_IFSN_res_adj*s_CF_snap_bean),".")</f>
        <v>7.2727272727272723E-11</v>
      </c>
      <c r="X15" s="115">
        <f>IFERROR(s_TR/(up_RadSpec!$E15*s_IFST_res_adj*s_CF_strawberry),".")</f>
        <v>7.2727272727272723E-11</v>
      </c>
      <c r="Y15" s="115">
        <f>IFERROR(s_TR/(up_RadSpec!$E15*s_IFTO_res_adj*s_CF_tomato),".")</f>
        <v>7.2727272727272723E-11</v>
      </c>
      <c r="Z15" s="115">
        <f>IFERROR(s_TR/(up_RadSpec!$E15*s_IFRI_res_adj*s_CF_rice),".")</f>
        <v>7.2727272727272723E-11</v>
      </c>
      <c r="AA15" s="115">
        <f>IFERROR(s_TR/(up_RadSpec!$E15*s_IFCG_res_adj*s_CF_cereal),".")</f>
        <v>7.2727272727272723E-11</v>
      </c>
      <c r="AB15" s="115">
        <f t="shared" si="26"/>
        <v>1.8181818181818181E-11</v>
      </c>
      <c r="AC15" s="115">
        <f>IFERROR(s_TR/(up_RadSpec!$E15*s_IFAP_far_adj*s_CF_apple),".")</f>
        <v>7.2727272727272723E-11</v>
      </c>
      <c r="AD15" s="115">
        <f>IFERROR(s_TR/(up_RadSpec!$E15*s_IFAS_far_adj*s_CF_asparagus),".")</f>
        <v>7.2727272727272723E-11</v>
      </c>
      <c r="AE15" s="115">
        <f>IFERROR(s_TR/(up_RadSpec!$E15*s_IFBT_far_adj*s_CF_beet),".")</f>
        <v>7.2727272727272723E-11</v>
      </c>
      <c r="AF15" s="115">
        <f>IFERROR(s_TR/(up_RadSpec!$E15*s_IFBE_far_adj*s_CF_berries),".")</f>
        <v>7.2727272727272723E-11</v>
      </c>
      <c r="AG15" s="115">
        <f>IFERROR(s_TR/(up_RadSpec!$E15*s_IFBR_far_adj*s_CF_broccoli),".")</f>
        <v>7.2727272727272723E-11</v>
      </c>
      <c r="AH15" s="115">
        <f>IFERROR(s_TR/(up_RadSpec!$E15*s_IFCB_far_adj*s_CF_cabbage),".")</f>
        <v>7.2727272727272723E-11</v>
      </c>
      <c r="AI15" s="115">
        <f>IFERROR(s_TR/(up_RadSpec!$E15*s_IFCR_far_adj*s_CF_carrot),".")</f>
        <v>7.2727272727272723E-11</v>
      </c>
      <c r="AJ15" s="115">
        <f>IFERROR(s_TR/(up_RadSpec!$E15*s_IFCI_far_adj*s_CF_citrus),".")</f>
        <v>7.2727272727272723E-11</v>
      </c>
      <c r="AK15" s="115">
        <f>IFERROR(s_TR/(up_RadSpec!$E15*s_IFCO_far_adj*s_CF_corn),".")</f>
        <v>7.2727272727272723E-11</v>
      </c>
      <c r="AL15" s="115">
        <f>IFERROR(s_TR/(up_RadSpec!$E15*s_IFCU_far_adj*s_CF_cucumber),".")</f>
        <v>7.2727272727272723E-11</v>
      </c>
      <c r="AM15" s="115">
        <f>IFERROR(s_TR/(up_RadSpec!$E15*s_IFLE_far_adj*s_CF_lettuce),".")</f>
        <v>7.2727272727272723E-11</v>
      </c>
      <c r="AN15" s="115">
        <f>IFERROR(s_TR/(up_RadSpec!$E15*s_IFLI_far_adj*s_CF_lima_bean),".")</f>
        <v>7.2727272727272723E-11</v>
      </c>
      <c r="AO15" s="115">
        <f>IFERROR(s_TR/(up_RadSpec!$E15*s_IFOK_far_adj*s_CF_okra),".")</f>
        <v>7.2727272727272723E-11</v>
      </c>
      <c r="AP15" s="115">
        <f>IFERROR(s_TR/(up_RadSpec!$E15*s_IFON_far_adj*s_CF_onion),".")</f>
        <v>7.2727272727272723E-11</v>
      </c>
      <c r="AQ15" s="115">
        <f>IFERROR(s_TR/(up_RadSpec!$E15*s_IFPC_far_adj*s_CF_peach),".")</f>
        <v>7.2727272727272723E-11</v>
      </c>
      <c r="AR15" s="115">
        <f>IFERROR(s_TR/(up_RadSpec!$E15*s_IFPR_far_adj*s_CF_pear),".")</f>
        <v>7.2727272727272723E-11</v>
      </c>
      <c r="AS15" s="115">
        <f>IFERROR(s_TR/(up_RadSpec!$E15*s_IFPE_far_adj*s_CF_peas),".")</f>
        <v>7.2727272727272723E-11</v>
      </c>
      <c r="AT15" s="115">
        <f>IFERROR(s_TR/(up_RadSpec!$E15*s_IFPT_far_adj*s_CF_potato),".")</f>
        <v>7.2727272727272723E-11</v>
      </c>
      <c r="AU15" s="115">
        <f>IFERROR(s_TR/(up_RadSpec!$E15*s_IFPU_far_adj*s_CF_pumpkin),".")</f>
        <v>7.2727272727272723E-11</v>
      </c>
      <c r="AV15" s="115">
        <f>IFERROR(s_TR/(up_RadSpec!$E15*s_IFSN_far_adj*s_CF_snap_bean),".")</f>
        <v>7.2727272727272723E-11</v>
      </c>
      <c r="AW15" s="115">
        <f>IFERROR(s_TR/(up_RadSpec!$E15*s_IFST_far_adj*s_CF_strawberry),".")</f>
        <v>7.2727272727272723E-11</v>
      </c>
      <c r="AX15" s="115">
        <f>IFERROR(s_TR/(up_RadSpec!$E15*s_IFTO_far_adj*s_CF_tomato),".")</f>
        <v>7.2727272727272723E-11</v>
      </c>
      <c r="AY15" s="115">
        <f>IFERROR(s_TR/(up_RadSpec!$E15*s_IFRI_far_adj*s_CF_rice),".")</f>
        <v>7.2727272727272723E-11</v>
      </c>
      <c r="AZ15" s="115">
        <f>IFERROR(s_TR/(up_RadSpec!$E15*s_IFCG_far_adj*s_CF_cereal),".")</f>
        <v>7.2727272727272723E-11</v>
      </c>
      <c r="BA15" s="93">
        <f t="shared" si="1"/>
        <v>55000</v>
      </c>
      <c r="BB15" s="93">
        <f t="shared" si="2"/>
        <v>13750</v>
      </c>
      <c r="BC15" s="93">
        <f t="shared" si="3"/>
        <v>13750</v>
      </c>
      <c r="BD15" s="93">
        <f t="shared" si="4"/>
        <v>13750</v>
      </c>
      <c r="BE15" s="93">
        <f t="shared" si="5"/>
        <v>13750</v>
      </c>
      <c r="BF15" s="93">
        <f t="shared" si="6"/>
        <v>13750</v>
      </c>
      <c r="BG15" s="93">
        <f t="shared" si="7"/>
        <v>13750</v>
      </c>
      <c r="BH15" s="93">
        <f t="shared" si="8"/>
        <v>13750</v>
      </c>
      <c r="BI15" s="93">
        <f t="shared" si="9"/>
        <v>13750</v>
      </c>
      <c r="BJ15" s="93">
        <f t="shared" si="10"/>
        <v>13750</v>
      </c>
      <c r="BK15" s="93">
        <f t="shared" si="11"/>
        <v>13750</v>
      </c>
      <c r="BL15" s="93">
        <f t="shared" si="12"/>
        <v>13750</v>
      </c>
      <c r="BM15" s="93">
        <f t="shared" si="13"/>
        <v>13750</v>
      </c>
      <c r="BN15" s="93">
        <f t="shared" si="14"/>
        <v>13750</v>
      </c>
      <c r="BO15" s="93">
        <f t="shared" si="15"/>
        <v>13750</v>
      </c>
      <c r="BP15" s="93">
        <f t="shared" si="16"/>
        <v>13750</v>
      </c>
      <c r="BQ15" s="93">
        <f t="shared" si="17"/>
        <v>13750</v>
      </c>
      <c r="BR15" s="93">
        <f t="shared" si="18"/>
        <v>13750</v>
      </c>
      <c r="BS15" s="93">
        <f t="shared" si="19"/>
        <v>13750</v>
      </c>
      <c r="BT15" s="93">
        <f t="shared" si="20"/>
        <v>13750</v>
      </c>
      <c r="BU15" s="93">
        <f t="shared" si="21"/>
        <v>13750</v>
      </c>
      <c r="BV15" s="93">
        <f t="shared" si="22"/>
        <v>13750</v>
      </c>
      <c r="BW15" s="93">
        <f t="shared" si="23"/>
        <v>13750</v>
      </c>
      <c r="BX15" s="93">
        <f t="shared" si="24"/>
        <v>13750</v>
      </c>
      <c r="BY15" s="93">
        <f t="shared" si="25"/>
        <v>13750</v>
      </c>
    </row>
    <row r="16" spans="1:77" x14ac:dyDescent="0.25">
      <c r="A16" s="92" t="s">
        <v>26</v>
      </c>
      <c r="B16" s="90" t="s">
        <v>1074</v>
      </c>
      <c r="C16" s="115">
        <f t="shared" si="0"/>
        <v>1.8181818181818181E-11</v>
      </c>
      <c r="D16" s="115">
        <f>IFERROR(s_TR/(up_RadSpec!$E16*s_IFAP_res_adj*s_CF_apple),".")</f>
        <v>7.2727272727272723E-11</v>
      </c>
      <c r="E16" s="115">
        <f>IFERROR(s_TR/(up_RadSpec!$E16*s_IFAS_res_adj*s_CF_asparagus),".")</f>
        <v>7.2727272727272723E-11</v>
      </c>
      <c r="F16" s="115">
        <f>IFERROR(s_TR/(up_RadSpec!$E16*s_IFBT_res_adj*s_CF_beet),".")</f>
        <v>7.2727272727272723E-11</v>
      </c>
      <c r="G16" s="115">
        <f>IFERROR(s_TR/(up_RadSpec!$E16*s_IFBE_res_adj*s_CF_berries),".")</f>
        <v>7.2727272727272723E-11</v>
      </c>
      <c r="H16" s="115">
        <f>IFERROR(s_TR/(up_RadSpec!$E16*s_IFBR_res_adj*s_CF_broccoli),".")</f>
        <v>7.2727272727272723E-11</v>
      </c>
      <c r="I16" s="115">
        <f>IFERROR(s_TR/(up_RadSpec!$E16*s_IFCB_res_adj*s_CF_cabbage),".")</f>
        <v>7.2727272727272723E-11</v>
      </c>
      <c r="J16" s="115">
        <f>IFERROR(s_TR/(up_RadSpec!$E16*s_IFCR_res_adj*s_CF_carrot),".")</f>
        <v>7.2727272727272723E-11</v>
      </c>
      <c r="K16" s="115">
        <f>IFERROR(s_TR/(up_RadSpec!$E16*s_IFCI_res_adj*s_CF_citrus),".")</f>
        <v>7.2727272727272723E-11</v>
      </c>
      <c r="L16" s="115">
        <f>IFERROR(s_TR/(up_RadSpec!$E16*s_IFCO_res_adj*s_CF_corn),".")</f>
        <v>7.2727272727272723E-11</v>
      </c>
      <c r="M16" s="115">
        <f>IFERROR(s_TR/(up_RadSpec!$E16*s_IFCU_res_adj*s_CF_cucumber),".")</f>
        <v>7.2727272727272723E-11</v>
      </c>
      <c r="N16" s="115">
        <f>IFERROR(s_TR/(up_RadSpec!$E16*s_IFLE_res_adj*s_CF_lettuce),".")</f>
        <v>7.2727272727272723E-11</v>
      </c>
      <c r="O16" s="115">
        <f>IFERROR(s_TR/(up_RadSpec!$E16*s_IFLI_res_adj*s_CF_lima_bean),".")</f>
        <v>7.2727272727272723E-11</v>
      </c>
      <c r="P16" s="115">
        <f>IFERROR(s_TR/(up_RadSpec!$E16*s_IFOK_res_adj*s_CF_okra),".")</f>
        <v>7.2727272727272723E-11</v>
      </c>
      <c r="Q16" s="115">
        <f>IFERROR(s_TR/(up_RadSpec!$E16*s_IFON_res_adj*s_CF_onion),".")</f>
        <v>7.2727272727272723E-11</v>
      </c>
      <c r="R16" s="115">
        <f>IFERROR(s_TR/(up_RadSpec!$E16*s_IFPC_res_adj*s_CF_peach),".")</f>
        <v>7.2727272727272723E-11</v>
      </c>
      <c r="S16" s="115">
        <f>IFERROR(s_TR/(up_RadSpec!$E16*s_IFPR_res_adj*s_CF_pear),".")</f>
        <v>7.2727272727272723E-11</v>
      </c>
      <c r="T16" s="115">
        <f>IFERROR(s_TR/(up_RadSpec!$E16*s_IFPE_res_adj*s_CF_peas),".")</f>
        <v>7.2727272727272723E-11</v>
      </c>
      <c r="U16" s="115">
        <f>IFERROR(s_TR/(up_RadSpec!$E16*s_IFPT_res_adj*s_CF_potato),".")</f>
        <v>7.2727272727272723E-11</v>
      </c>
      <c r="V16" s="115">
        <f>IFERROR(s_TR/(up_RadSpec!$E16*s_IFPU_res_adj*s_CF_pumpkin),".")</f>
        <v>7.2727272727272723E-11</v>
      </c>
      <c r="W16" s="115">
        <f>IFERROR(s_TR/(up_RadSpec!$E16*s_IFSN_res_adj*s_CF_snap_bean),".")</f>
        <v>7.2727272727272723E-11</v>
      </c>
      <c r="X16" s="115">
        <f>IFERROR(s_TR/(up_RadSpec!$E16*s_IFST_res_adj*s_CF_strawberry),".")</f>
        <v>7.2727272727272723E-11</v>
      </c>
      <c r="Y16" s="115">
        <f>IFERROR(s_TR/(up_RadSpec!$E16*s_IFTO_res_adj*s_CF_tomato),".")</f>
        <v>7.2727272727272723E-11</v>
      </c>
      <c r="Z16" s="115">
        <f>IFERROR(s_TR/(up_RadSpec!$E16*s_IFRI_res_adj*s_CF_rice),".")</f>
        <v>7.2727272727272723E-11</v>
      </c>
      <c r="AA16" s="115">
        <f>IFERROR(s_TR/(up_RadSpec!$E16*s_IFCG_res_adj*s_CF_cereal),".")</f>
        <v>7.2727272727272723E-11</v>
      </c>
      <c r="AB16" s="115">
        <f t="shared" si="26"/>
        <v>1.8181818181818181E-11</v>
      </c>
      <c r="AC16" s="115">
        <f>IFERROR(s_TR/(up_RadSpec!$E16*s_IFAP_far_adj*s_CF_apple),".")</f>
        <v>7.2727272727272723E-11</v>
      </c>
      <c r="AD16" s="115">
        <f>IFERROR(s_TR/(up_RadSpec!$E16*s_IFAS_far_adj*s_CF_asparagus),".")</f>
        <v>7.2727272727272723E-11</v>
      </c>
      <c r="AE16" s="115">
        <f>IFERROR(s_TR/(up_RadSpec!$E16*s_IFBT_far_adj*s_CF_beet),".")</f>
        <v>7.2727272727272723E-11</v>
      </c>
      <c r="AF16" s="115">
        <f>IFERROR(s_TR/(up_RadSpec!$E16*s_IFBE_far_adj*s_CF_berries),".")</f>
        <v>7.2727272727272723E-11</v>
      </c>
      <c r="AG16" s="115">
        <f>IFERROR(s_TR/(up_RadSpec!$E16*s_IFBR_far_adj*s_CF_broccoli),".")</f>
        <v>7.2727272727272723E-11</v>
      </c>
      <c r="AH16" s="115">
        <f>IFERROR(s_TR/(up_RadSpec!$E16*s_IFCB_far_adj*s_CF_cabbage),".")</f>
        <v>7.2727272727272723E-11</v>
      </c>
      <c r="AI16" s="115">
        <f>IFERROR(s_TR/(up_RadSpec!$E16*s_IFCR_far_adj*s_CF_carrot),".")</f>
        <v>7.2727272727272723E-11</v>
      </c>
      <c r="AJ16" s="115">
        <f>IFERROR(s_TR/(up_RadSpec!$E16*s_IFCI_far_adj*s_CF_citrus),".")</f>
        <v>7.2727272727272723E-11</v>
      </c>
      <c r="AK16" s="115">
        <f>IFERROR(s_TR/(up_RadSpec!$E16*s_IFCO_far_adj*s_CF_corn),".")</f>
        <v>7.2727272727272723E-11</v>
      </c>
      <c r="AL16" s="115">
        <f>IFERROR(s_TR/(up_RadSpec!$E16*s_IFCU_far_adj*s_CF_cucumber),".")</f>
        <v>7.2727272727272723E-11</v>
      </c>
      <c r="AM16" s="115">
        <f>IFERROR(s_TR/(up_RadSpec!$E16*s_IFLE_far_adj*s_CF_lettuce),".")</f>
        <v>7.2727272727272723E-11</v>
      </c>
      <c r="AN16" s="115">
        <f>IFERROR(s_TR/(up_RadSpec!$E16*s_IFLI_far_adj*s_CF_lima_bean),".")</f>
        <v>7.2727272727272723E-11</v>
      </c>
      <c r="AO16" s="115">
        <f>IFERROR(s_TR/(up_RadSpec!$E16*s_IFOK_far_adj*s_CF_okra),".")</f>
        <v>7.2727272727272723E-11</v>
      </c>
      <c r="AP16" s="115">
        <f>IFERROR(s_TR/(up_RadSpec!$E16*s_IFON_far_adj*s_CF_onion),".")</f>
        <v>7.2727272727272723E-11</v>
      </c>
      <c r="AQ16" s="115">
        <f>IFERROR(s_TR/(up_RadSpec!$E16*s_IFPC_far_adj*s_CF_peach),".")</f>
        <v>7.2727272727272723E-11</v>
      </c>
      <c r="AR16" s="115">
        <f>IFERROR(s_TR/(up_RadSpec!$E16*s_IFPR_far_adj*s_CF_pear),".")</f>
        <v>7.2727272727272723E-11</v>
      </c>
      <c r="AS16" s="115">
        <f>IFERROR(s_TR/(up_RadSpec!$E16*s_IFPE_far_adj*s_CF_peas),".")</f>
        <v>7.2727272727272723E-11</v>
      </c>
      <c r="AT16" s="115">
        <f>IFERROR(s_TR/(up_RadSpec!$E16*s_IFPT_far_adj*s_CF_potato),".")</f>
        <v>7.2727272727272723E-11</v>
      </c>
      <c r="AU16" s="115">
        <f>IFERROR(s_TR/(up_RadSpec!$E16*s_IFPU_far_adj*s_CF_pumpkin),".")</f>
        <v>7.2727272727272723E-11</v>
      </c>
      <c r="AV16" s="115">
        <f>IFERROR(s_TR/(up_RadSpec!$E16*s_IFSN_far_adj*s_CF_snap_bean),".")</f>
        <v>7.2727272727272723E-11</v>
      </c>
      <c r="AW16" s="115">
        <f>IFERROR(s_TR/(up_RadSpec!$E16*s_IFST_far_adj*s_CF_strawberry),".")</f>
        <v>7.2727272727272723E-11</v>
      </c>
      <c r="AX16" s="115">
        <f>IFERROR(s_TR/(up_RadSpec!$E16*s_IFTO_far_adj*s_CF_tomato),".")</f>
        <v>7.2727272727272723E-11</v>
      </c>
      <c r="AY16" s="115">
        <f>IFERROR(s_TR/(up_RadSpec!$E16*s_IFRI_far_adj*s_CF_rice),".")</f>
        <v>7.2727272727272723E-11</v>
      </c>
      <c r="AZ16" s="115">
        <f>IFERROR(s_TR/(up_RadSpec!$E16*s_IFCG_far_adj*s_CF_cereal),".")</f>
        <v>7.2727272727272723E-11</v>
      </c>
      <c r="BA16" s="93">
        <f t="shared" si="1"/>
        <v>55000</v>
      </c>
      <c r="BB16" s="93">
        <f t="shared" si="2"/>
        <v>13750</v>
      </c>
      <c r="BC16" s="93">
        <f t="shared" si="3"/>
        <v>13750</v>
      </c>
      <c r="BD16" s="93">
        <f t="shared" si="4"/>
        <v>13750</v>
      </c>
      <c r="BE16" s="93">
        <f t="shared" si="5"/>
        <v>13750</v>
      </c>
      <c r="BF16" s="93">
        <f t="shared" si="6"/>
        <v>13750</v>
      </c>
      <c r="BG16" s="93">
        <f t="shared" si="7"/>
        <v>13750</v>
      </c>
      <c r="BH16" s="93">
        <f t="shared" si="8"/>
        <v>13750</v>
      </c>
      <c r="BI16" s="93">
        <f t="shared" si="9"/>
        <v>13750</v>
      </c>
      <c r="BJ16" s="93">
        <f t="shared" si="10"/>
        <v>13750</v>
      </c>
      <c r="BK16" s="93">
        <f t="shared" si="11"/>
        <v>13750</v>
      </c>
      <c r="BL16" s="93">
        <f t="shared" si="12"/>
        <v>13750</v>
      </c>
      <c r="BM16" s="93">
        <f t="shared" si="13"/>
        <v>13750</v>
      </c>
      <c r="BN16" s="93">
        <f t="shared" si="14"/>
        <v>13750</v>
      </c>
      <c r="BO16" s="93">
        <f t="shared" si="15"/>
        <v>13750</v>
      </c>
      <c r="BP16" s="93">
        <f t="shared" si="16"/>
        <v>13750</v>
      </c>
      <c r="BQ16" s="93">
        <f t="shared" si="17"/>
        <v>13750</v>
      </c>
      <c r="BR16" s="93">
        <f t="shared" si="18"/>
        <v>13750</v>
      </c>
      <c r="BS16" s="93">
        <f t="shared" si="19"/>
        <v>13750</v>
      </c>
      <c r="BT16" s="93">
        <f t="shared" si="20"/>
        <v>13750</v>
      </c>
      <c r="BU16" s="93">
        <f t="shared" si="21"/>
        <v>13750</v>
      </c>
      <c r="BV16" s="93">
        <f t="shared" si="22"/>
        <v>13750</v>
      </c>
      <c r="BW16" s="93">
        <f t="shared" si="23"/>
        <v>13750</v>
      </c>
      <c r="BX16" s="93">
        <f t="shared" si="24"/>
        <v>13750</v>
      </c>
      <c r="BY16" s="93">
        <f t="shared" si="25"/>
        <v>13750</v>
      </c>
    </row>
    <row r="17" spans="1:77" x14ac:dyDescent="0.25">
      <c r="A17" s="92" t="s">
        <v>27</v>
      </c>
      <c r="B17" s="90" t="s">
        <v>1074</v>
      </c>
      <c r="C17" s="115">
        <f t="shared" si="0"/>
        <v>1.8181818181818181E-11</v>
      </c>
      <c r="D17" s="115">
        <f>IFERROR(s_TR/(up_RadSpec!$E17*s_IFAP_res_adj*s_CF_apple),".")</f>
        <v>7.2727272727272723E-11</v>
      </c>
      <c r="E17" s="115">
        <f>IFERROR(s_TR/(up_RadSpec!$E17*s_IFAS_res_adj*s_CF_asparagus),".")</f>
        <v>7.2727272727272723E-11</v>
      </c>
      <c r="F17" s="115">
        <f>IFERROR(s_TR/(up_RadSpec!$E17*s_IFBT_res_adj*s_CF_beet),".")</f>
        <v>7.2727272727272723E-11</v>
      </c>
      <c r="G17" s="115">
        <f>IFERROR(s_TR/(up_RadSpec!$E17*s_IFBE_res_adj*s_CF_berries),".")</f>
        <v>7.2727272727272723E-11</v>
      </c>
      <c r="H17" s="115">
        <f>IFERROR(s_TR/(up_RadSpec!$E17*s_IFBR_res_adj*s_CF_broccoli),".")</f>
        <v>7.2727272727272723E-11</v>
      </c>
      <c r="I17" s="115">
        <f>IFERROR(s_TR/(up_RadSpec!$E17*s_IFCB_res_adj*s_CF_cabbage),".")</f>
        <v>7.2727272727272723E-11</v>
      </c>
      <c r="J17" s="115">
        <f>IFERROR(s_TR/(up_RadSpec!$E17*s_IFCR_res_adj*s_CF_carrot),".")</f>
        <v>7.2727272727272723E-11</v>
      </c>
      <c r="K17" s="115">
        <f>IFERROR(s_TR/(up_RadSpec!$E17*s_IFCI_res_adj*s_CF_citrus),".")</f>
        <v>7.2727272727272723E-11</v>
      </c>
      <c r="L17" s="115">
        <f>IFERROR(s_TR/(up_RadSpec!$E17*s_IFCO_res_adj*s_CF_corn),".")</f>
        <v>7.2727272727272723E-11</v>
      </c>
      <c r="M17" s="115">
        <f>IFERROR(s_TR/(up_RadSpec!$E17*s_IFCU_res_adj*s_CF_cucumber),".")</f>
        <v>7.2727272727272723E-11</v>
      </c>
      <c r="N17" s="115">
        <f>IFERROR(s_TR/(up_RadSpec!$E17*s_IFLE_res_adj*s_CF_lettuce),".")</f>
        <v>7.2727272727272723E-11</v>
      </c>
      <c r="O17" s="115">
        <f>IFERROR(s_TR/(up_RadSpec!$E17*s_IFLI_res_adj*s_CF_lima_bean),".")</f>
        <v>7.2727272727272723E-11</v>
      </c>
      <c r="P17" s="115">
        <f>IFERROR(s_TR/(up_RadSpec!$E17*s_IFOK_res_adj*s_CF_okra),".")</f>
        <v>7.2727272727272723E-11</v>
      </c>
      <c r="Q17" s="115">
        <f>IFERROR(s_TR/(up_RadSpec!$E17*s_IFON_res_adj*s_CF_onion),".")</f>
        <v>7.2727272727272723E-11</v>
      </c>
      <c r="R17" s="115">
        <f>IFERROR(s_TR/(up_RadSpec!$E17*s_IFPC_res_adj*s_CF_peach),".")</f>
        <v>7.2727272727272723E-11</v>
      </c>
      <c r="S17" s="115">
        <f>IFERROR(s_TR/(up_RadSpec!$E17*s_IFPR_res_adj*s_CF_pear),".")</f>
        <v>7.2727272727272723E-11</v>
      </c>
      <c r="T17" s="115">
        <f>IFERROR(s_TR/(up_RadSpec!$E17*s_IFPE_res_adj*s_CF_peas),".")</f>
        <v>7.2727272727272723E-11</v>
      </c>
      <c r="U17" s="115">
        <f>IFERROR(s_TR/(up_RadSpec!$E17*s_IFPT_res_adj*s_CF_potato),".")</f>
        <v>7.2727272727272723E-11</v>
      </c>
      <c r="V17" s="115">
        <f>IFERROR(s_TR/(up_RadSpec!$E17*s_IFPU_res_adj*s_CF_pumpkin),".")</f>
        <v>7.2727272727272723E-11</v>
      </c>
      <c r="W17" s="115">
        <f>IFERROR(s_TR/(up_RadSpec!$E17*s_IFSN_res_adj*s_CF_snap_bean),".")</f>
        <v>7.2727272727272723E-11</v>
      </c>
      <c r="X17" s="115">
        <f>IFERROR(s_TR/(up_RadSpec!$E17*s_IFST_res_adj*s_CF_strawberry),".")</f>
        <v>7.2727272727272723E-11</v>
      </c>
      <c r="Y17" s="115">
        <f>IFERROR(s_TR/(up_RadSpec!$E17*s_IFTO_res_adj*s_CF_tomato),".")</f>
        <v>7.2727272727272723E-11</v>
      </c>
      <c r="Z17" s="115">
        <f>IFERROR(s_TR/(up_RadSpec!$E17*s_IFRI_res_adj*s_CF_rice),".")</f>
        <v>7.2727272727272723E-11</v>
      </c>
      <c r="AA17" s="115">
        <f>IFERROR(s_TR/(up_RadSpec!$E17*s_IFCG_res_adj*s_CF_cereal),".")</f>
        <v>7.2727272727272723E-11</v>
      </c>
      <c r="AB17" s="115">
        <f t="shared" si="26"/>
        <v>1.8181818181818181E-11</v>
      </c>
      <c r="AC17" s="115">
        <f>IFERROR(s_TR/(up_RadSpec!$E17*s_IFAP_far_adj*s_CF_apple),".")</f>
        <v>7.2727272727272723E-11</v>
      </c>
      <c r="AD17" s="115">
        <f>IFERROR(s_TR/(up_RadSpec!$E17*s_IFAS_far_adj*s_CF_asparagus),".")</f>
        <v>7.2727272727272723E-11</v>
      </c>
      <c r="AE17" s="115">
        <f>IFERROR(s_TR/(up_RadSpec!$E17*s_IFBT_far_adj*s_CF_beet),".")</f>
        <v>7.2727272727272723E-11</v>
      </c>
      <c r="AF17" s="115">
        <f>IFERROR(s_TR/(up_RadSpec!$E17*s_IFBE_far_adj*s_CF_berries),".")</f>
        <v>7.2727272727272723E-11</v>
      </c>
      <c r="AG17" s="115">
        <f>IFERROR(s_TR/(up_RadSpec!$E17*s_IFBR_far_adj*s_CF_broccoli),".")</f>
        <v>7.2727272727272723E-11</v>
      </c>
      <c r="AH17" s="115">
        <f>IFERROR(s_TR/(up_RadSpec!$E17*s_IFCB_far_adj*s_CF_cabbage),".")</f>
        <v>7.2727272727272723E-11</v>
      </c>
      <c r="AI17" s="115">
        <f>IFERROR(s_TR/(up_RadSpec!$E17*s_IFCR_far_adj*s_CF_carrot),".")</f>
        <v>7.2727272727272723E-11</v>
      </c>
      <c r="AJ17" s="115">
        <f>IFERROR(s_TR/(up_RadSpec!$E17*s_IFCI_far_adj*s_CF_citrus),".")</f>
        <v>7.2727272727272723E-11</v>
      </c>
      <c r="AK17" s="115">
        <f>IFERROR(s_TR/(up_RadSpec!$E17*s_IFCO_far_adj*s_CF_corn),".")</f>
        <v>7.2727272727272723E-11</v>
      </c>
      <c r="AL17" s="115">
        <f>IFERROR(s_TR/(up_RadSpec!$E17*s_IFCU_far_adj*s_CF_cucumber),".")</f>
        <v>7.2727272727272723E-11</v>
      </c>
      <c r="AM17" s="115">
        <f>IFERROR(s_TR/(up_RadSpec!$E17*s_IFLE_far_adj*s_CF_lettuce),".")</f>
        <v>7.2727272727272723E-11</v>
      </c>
      <c r="AN17" s="115">
        <f>IFERROR(s_TR/(up_RadSpec!$E17*s_IFLI_far_adj*s_CF_lima_bean),".")</f>
        <v>7.2727272727272723E-11</v>
      </c>
      <c r="AO17" s="115">
        <f>IFERROR(s_TR/(up_RadSpec!$E17*s_IFOK_far_adj*s_CF_okra),".")</f>
        <v>7.2727272727272723E-11</v>
      </c>
      <c r="AP17" s="115">
        <f>IFERROR(s_TR/(up_RadSpec!$E17*s_IFON_far_adj*s_CF_onion),".")</f>
        <v>7.2727272727272723E-11</v>
      </c>
      <c r="AQ17" s="115">
        <f>IFERROR(s_TR/(up_RadSpec!$E17*s_IFPC_far_adj*s_CF_peach),".")</f>
        <v>7.2727272727272723E-11</v>
      </c>
      <c r="AR17" s="115">
        <f>IFERROR(s_TR/(up_RadSpec!$E17*s_IFPR_far_adj*s_CF_pear),".")</f>
        <v>7.2727272727272723E-11</v>
      </c>
      <c r="AS17" s="115">
        <f>IFERROR(s_TR/(up_RadSpec!$E17*s_IFPE_far_adj*s_CF_peas),".")</f>
        <v>7.2727272727272723E-11</v>
      </c>
      <c r="AT17" s="115">
        <f>IFERROR(s_TR/(up_RadSpec!$E17*s_IFPT_far_adj*s_CF_potato),".")</f>
        <v>7.2727272727272723E-11</v>
      </c>
      <c r="AU17" s="115">
        <f>IFERROR(s_TR/(up_RadSpec!$E17*s_IFPU_far_adj*s_CF_pumpkin),".")</f>
        <v>7.2727272727272723E-11</v>
      </c>
      <c r="AV17" s="115">
        <f>IFERROR(s_TR/(up_RadSpec!$E17*s_IFSN_far_adj*s_CF_snap_bean),".")</f>
        <v>7.2727272727272723E-11</v>
      </c>
      <c r="AW17" s="115">
        <f>IFERROR(s_TR/(up_RadSpec!$E17*s_IFST_far_adj*s_CF_strawberry),".")</f>
        <v>7.2727272727272723E-11</v>
      </c>
      <c r="AX17" s="115">
        <f>IFERROR(s_TR/(up_RadSpec!$E17*s_IFTO_far_adj*s_CF_tomato),".")</f>
        <v>7.2727272727272723E-11</v>
      </c>
      <c r="AY17" s="115">
        <f>IFERROR(s_TR/(up_RadSpec!$E17*s_IFRI_far_adj*s_CF_rice),".")</f>
        <v>7.2727272727272723E-11</v>
      </c>
      <c r="AZ17" s="115">
        <f>IFERROR(s_TR/(up_RadSpec!$E17*s_IFCG_far_adj*s_CF_cereal),".")</f>
        <v>7.2727272727272723E-11</v>
      </c>
      <c r="BA17" s="93">
        <f t="shared" si="1"/>
        <v>55000</v>
      </c>
      <c r="BB17" s="93">
        <f t="shared" si="2"/>
        <v>13750</v>
      </c>
      <c r="BC17" s="93">
        <f t="shared" si="3"/>
        <v>13750</v>
      </c>
      <c r="BD17" s="93">
        <f t="shared" si="4"/>
        <v>13750</v>
      </c>
      <c r="BE17" s="93">
        <f t="shared" si="5"/>
        <v>13750</v>
      </c>
      <c r="BF17" s="93">
        <f t="shared" si="6"/>
        <v>13750</v>
      </c>
      <c r="BG17" s="93">
        <f t="shared" si="7"/>
        <v>13750</v>
      </c>
      <c r="BH17" s="93">
        <f t="shared" si="8"/>
        <v>13750</v>
      </c>
      <c r="BI17" s="93">
        <f t="shared" si="9"/>
        <v>13750</v>
      </c>
      <c r="BJ17" s="93">
        <f t="shared" si="10"/>
        <v>13750</v>
      </c>
      <c r="BK17" s="93">
        <f t="shared" si="11"/>
        <v>13750</v>
      </c>
      <c r="BL17" s="93">
        <f t="shared" si="12"/>
        <v>13750</v>
      </c>
      <c r="BM17" s="93">
        <f t="shared" si="13"/>
        <v>13750</v>
      </c>
      <c r="BN17" s="93">
        <f t="shared" si="14"/>
        <v>13750</v>
      </c>
      <c r="BO17" s="93">
        <f t="shared" si="15"/>
        <v>13750</v>
      </c>
      <c r="BP17" s="93">
        <f t="shared" si="16"/>
        <v>13750</v>
      </c>
      <c r="BQ17" s="93">
        <f t="shared" si="17"/>
        <v>13750</v>
      </c>
      <c r="BR17" s="93">
        <f t="shared" si="18"/>
        <v>13750</v>
      </c>
      <c r="BS17" s="93">
        <f t="shared" si="19"/>
        <v>13750</v>
      </c>
      <c r="BT17" s="93">
        <f t="shared" si="20"/>
        <v>13750</v>
      </c>
      <c r="BU17" s="93">
        <f t="shared" si="21"/>
        <v>13750</v>
      </c>
      <c r="BV17" s="93">
        <f t="shared" si="22"/>
        <v>13750</v>
      </c>
      <c r="BW17" s="93">
        <f t="shared" si="23"/>
        <v>13750</v>
      </c>
      <c r="BX17" s="93">
        <f t="shared" si="24"/>
        <v>13750</v>
      </c>
      <c r="BY17" s="93">
        <f t="shared" si="25"/>
        <v>13750</v>
      </c>
    </row>
    <row r="18" spans="1:77" x14ac:dyDescent="0.25">
      <c r="A18" s="92" t="s">
        <v>28</v>
      </c>
      <c r="B18" s="90" t="s">
        <v>1074</v>
      </c>
      <c r="C18" s="115">
        <f t="shared" si="0"/>
        <v>1.8181818181818181E-11</v>
      </c>
      <c r="D18" s="115">
        <f>IFERROR(s_TR/(up_RadSpec!$E18*s_IFAP_res_adj*s_CF_apple),".")</f>
        <v>7.2727272727272723E-11</v>
      </c>
      <c r="E18" s="115">
        <f>IFERROR(s_TR/(up_RadSpec!$E18*s_IFAS_res_adj*s_CF_asparagus),".")</f>
        <v>7.2727272727272723E-11</v>
      </c>
      <c r="F18" s="115">
        <f>IFERROR(s_TR/(up_RadSpec!$E18*s_IFBT_res_adj*s_CF_beet),".")</f>
        <v>7.2727272727272723E-11</v>
      </c>
      <c r="G18" s="115">
        <f>IFERROR(s_TR/(up_RadSpec!$E18*s_IFBE_res_adj*s_CF_berries),".")</f>
        <v>7.2727272727272723E-11</v>
      </c>
      <c r="H18" s="115">
        <f>IFERROR(s_TR/(up_RadSpec!$E18*s_IFBR_res_adj*s_CF_broccoli),".")</f>
        <v>7.2727272727272723E-11</v>
      </c>
      <c r="I18" s="115">
        <f>IFERROR(s_TR/(up_RadSpec!$E18*s_IFCB_res_adj*s_CF_cabbage),".")</f>
        <v>7.2727272727272723E-11</v>
      </c>
      <c r="J18" s="115">
        <f>IFERROR(s_TR/(up_RadSpec!$E18*s_IFCR_res_adj*s_CF_carrot),".")</f>
        <v>7.2727272727272723E-11</v>
      </c>
      <c r="K18" s="115">
        <f>IFERROR(s_TR/(up_RadSpec!$E18*s_IFCI_res_adj*s_CF_citrus),".")</f>
        <v>7.2727272727272723E-11</v>
      </c>
      <c r="L18" s="115">
        <f>IFERROR(s_TR/(up_RadSpec!$E18*s_IFCO_res_adj*s_CF_corn),".")</f>
        <v>7.2727272727272723E-11</v>
      </c>
      <c r="M18" s="115">
        <f>IFERROR(s_TR/(up_RadSpec!$E18*s_IFCU_res_adj*s_CF_cucumber),".")</f>
        <v>7.2727272727272723E-11</v>
      </c>
      <c r="N18" s="115">
        <f>IFERROR(s_TR/(up_RadSpec!$E18*s_IFLE_res_adj*s_CF_lettuce),".")</f>
        <v>7.2727272727272723E-11</v>
      </c>
      <c r="O18" s="115">
        <f>IFERROR(s_TR/(up_RadSpec!$E18*s_IFLI_res_adj*s_CF_lima_bean),".")</f>
        <v>7.2727272727272723E-11</v>
      </c>
      <c r="P18" s="115">
        <f>IFERROR(s_TR/(up_RadSpec!$E18*s_IFOK_res_adj*s_CF_okra),".")</f>
        <v>7.2727272727272723E-11</v>
      </c>
      <c r="Q18" s="115">
        <f>IFERROR(s_TR/(up_RadSpec!$E18*s_IFON_res_adj*s_CF_onion),".")</f>
        <v>7.2727272727272723E-11</v>
      </c>
      <c r="R18" s="115">
        <f>IFERROR(s_TR/(up_RadSpec!$E18*s_IFPC_res_adj*s_CF_peach),".")</f>
        <v>7.2727272727272723E-11</v>
      </c>
      <c r="S18" s="115">
        <f>IFERROR(s_TR/(up_RadSpec!$E18*s_IFPR_res_adj*s_CF_pear),".")</f>
        <v>7.2727272727272723E-11</v>
      </c>
      <c r="T18" s="115">
        <f>IFERROR(s_TR/(up_RadSpec!$E18*s_IFPE_res_adj*s_CF_peas),".")</f>
        <v>7.2727272727272723E-11</v>
      </c>
      <c r="U18" s="115">
        <f>IFERROR(s_TR/(up_RadSpec!$E18*s_IFPT_res_adj*s_CF_potato),".")</f>
        <v>7.2727272727272723E-11</v>
      </c>
      <c r="V18" s="115">
        <f>IFERROR(s_TR/(up_RadSpec!$E18*s_IFPU_res_adj*s_CF_pumpkin),".")</f>
        <v>7.2727272727272723E-11</v>
      </c>
      <c r="W18" s="115">
        <f>IFERROR(s_TR/(up_RadSpec!$E18*s_IFSN_res_adj*s_CF_snap_bean),".")</f>
        <v>7.2727272727272723E-11</v>
      </c>
      <c r="X18" s="115">
        <f>IFERROR(s_TR/(up_RadSpec!$E18*s_IFST_res_adj*s_CF_strawberry),".")</f>
        <v>7.2727272727272723E-11</v>
      </c>
      <c r="Y18" s="115">
        <f>IFERROR(s_TR/(up_RadSpec!$E18*s_IFTO_res_adj*s_CF_tomato),".")</f>
        <v>7.2727272727272723E-11</v>
      </c>
      <c r="Z18" s="115">
        <f>IFERROR(s_TR/(up_RadSpec!$E18*s_IFRI_res_adj*s_CF_rice),".")</f>
        <v>7.2727272727272723E-11</v>
      </c>
      <c r="AA18" s="115">
        <f>IFERROR(s_TR/(up_RadSpec!$E18*s_IFCG_res_adj*s_CF_cereal),".")</f>
        <v>7.2727272727272723E-11</v>
      </c>
      <c r="AB18" s="115">
        <f t="shared" si="26"/>
        <v>1.8181818181818181E-11</v>
      </c>
      <c r="AC18" s="115">
        <f>IFERROR(s_TR/(up_RadSpec!$E18*s_IFAP_far_adj*s_CF_apple),".")</f>
        <v>7.2727272727272723E-11</v>
      </c>
      <c r="AD18" s="115">
        <f>IFERROR(s_TR/(up_RadSpec!$E18*s_IFAS_far_adj*s_CF_asparagus),".")</f>
        <v>7.2727272727272723E-11</v>
      </c>
      <c r="AE18" s="115">
        <f>IFERROR(s_TR/(up_RadSpec!$E18*s_IFBT_far_adj*s_CF_beet),".")</f>
        <v>7.2727272727272723E-11</v>
      </c>
      <c r="AF18" s="115">
        <f>IFERROR(s_TR/(up_RadSpec!$E18*s_IFBE_far_adj*s_CF_berries),".")</f>
        <v>7.2727272727272723E-11</v>
      </c>
      <c r="AG18" s="115">
        <f>IFERROR(s_TR/(up_RadSpec!$E18*s_IFBR_far_adj*s_CF_broccoli),".")</f>
        <v>7.2727272727272723E-11</v>
      </c>
      <c r="AH18" s="115">
        <f>IFERROR(s_TR/(up_RadSpec!$E18*s_IFCB_far_adj*s_CF_cabbage),".")</f>
        <v>7.2727272727272723E-11</v>
      </c>
      <c r="AI18" s="115">
        <f>IFERROR(s_TR/(up_RadSpec!$E18*s_IFCR_far_adj*s_CF_carrot),".")</f>
        <v>7.2727272727272723E-11</v>
      </c>
      <c r="AJ18" s="115">
        <f>IFERROR(s_TR/(up_RadSpec!$E18*s_IFCI_far_adj*s_CF_citrus),".")</f>
        <v>7.2727272727272723E-11</v>
      </c>
      <c r="AK18" s="115">
        <f>IFERROR(s_TR/(up_RadSpec!$E18*s_IFCO_far_adj*s_CF_corn),".")</f>
        <v>7.2727272727272723E-11</v>
      </c>
      <c r="AL18" s="115">
        <f>IFERROR(s_TR/(up_RadSpec!$E18*s_IFCU_far_adj*s_CF_cucumber),".")</f>
        <v>7.2727272727272723E-11</v>
      </c>
      <c r="AM18" s="115">
        <f>IFERROR(s_TR/(up_RadSpec!$E18*s_IFLE_far_adj*s_CF_lettuce),".")</f>
        <v>7.2727272727272723E-11</v>
      </c>
      <c r="AN18" s="115">
        <f>IFERROR(s_TR/(up_RadSpec!$E18*s_IFLI_far_adj*s_CF_lima_bean),".")</f>
        <v>7.2727272727272723E-11</v>
      </c>
      <c r="AO18" s="115">
        <f>IFERROR(s_TR/(up_RadSpec!$E18*s_IFOK_far_adj*s_CF_okra),".")</f>
        <v>7.2727272727272723E-11</v>
      </c>
      <c r="AP18" s="115">
        <f>IFERROR(s_TR/(up_RadSpec!$E18*s_IFON_far_adj*s_CF_onion),".")</f>
        <v>7.2727272727272723E-11</v>
      </c>
      <c r="AQ18" s="115">
        <f>IFERROR(s_TR/(up_RadSpec!$E18*s_IFPC_far_adj*s_CF_peach),".")</f>
        <v>7.2727272727272723E-11</v>
      </c>
      <c r="AR18" s="115">
        <f>IFERROR(s_TR/(up_RadSpec!$E18*s_IFPR_far_adj*s_CF_pear),".")</f>
        <v>7.2727272727272723E-11</v>
      </c>
      <c r="AS18" s="115">
        <f>IFERROR(s_TR/(up_RadSpec!$E18*s_IFPE_far_adj*s_CF_peas),".")</f>
        <v>7.2727272727272723E-11</v>
      </c>
      <c r="AT18" s="115">
        <f>IFERROR(s_TR/(up_RadSpec!$E18*s_IFPT_far_adj*s_CF_potato),".")</f>
        <v>7.2727272727272723E-11</v>
      </c>
      <c r="AU18" s="115">
        <f>IFERROR(s_TR/(up_RadSpec!$E18*s_IFPU_far_adj*s_CF_pumpkin),".")</f>
        <v>7.2727272727272723E-11</v>
      </c>
      <c r="AV18" s="115">
        <f>IFERROR(s_TR/(up_RadSpec!$E18*s_IFSN_far_adj*s_CF_snap_bean),".")</f>
        <v>7.2727272727272723E-11</v>
      </c>
      <c r="AW18" s="115">
        <f>IFERROR(s_TR/(up_RadSpec!$E18*s_IFST_far_adj*s_CF_strawberry),".")</f>
        <v>7.2727272727272723E-11</v>
      </c>
      <c r="AX18" s="115">
        <f>IFERROR(s_TR/(up_RadSpec!$E18*s_IFTO_far_adj*s_CF_tomato),".")</f>
        <v>7.2727272727272723E-11</v>
      </c>
      <c r="AY18" s="115">
        <f>IFERROR(s_TR/(up_RadSpec!$E18*s_IFRI_far_adj*s_CF_rice),".")</f>
        <v>7.2727272727272723E-11</v>
      </c>
      <c r="AZ18" s="115">
        <f>IFERROR(s_TR/(up_RadSpec!$E18*s_IFCG_far_adj*s_CF_cereal),".")</f>
        <v>7.2727272727272723E-11</v>
      </c>
      <c r="BA18" s="93">
        <f t="shared" si="1"/>
        <v>55000</v>
      </c>
      <c r="BB18" s="93">
        <f t="shared" si="2"/>
        <v>13750</v>
      </c>
      <c r="BC18" s="93">
        <f t="shared" si="3"/>
        <v>13750</v>
      </c>
      <c r="BD18" s="93">
        <f t="shared" si="4"/>
        <v>13750</v>
      </c>
      <c r="BE18" s="93">
        <f t="shared" si="5"/>
        <v>13750</v>
      </c>
      <c r="BF18" s="93">
        <f t="shared" si="6"/>
        <v>13750</v>
      </c>
      <c r="BG18" s="93">
        <f t="shared" si="7"/>
        <v>13750</v>
      </c>
      <c r="BH18" s="93">
        <f t="shared" si="8"/>
        <v>13750</v>
      </c>
      <c r="BI18" s="93">
        <f t="shared" si="9"/>
        <v>13750</v>
      </c>
      <c r="BJ18" s="93">
        <f t="shared" si="10"/>
        <v>13750</v>
      </c>
      <c r="BK18" s="93">
        <f t="shared" si="11"/>
        <v>13750</v>
      </c>
      <c r="BL18" s="93">
        <f t="shared" si="12"/>
        <v>13750</v>
      </c>
      <c r="BM18" s="93">
        <f t="shared" si="13"/>
        <v>13750</v>
      </c>
      <c r="BN18" s="93">
        <f t="shared" si="14"/>
        <v>13750</v>
      </c>
      <c r="BO18" s="93">
        <f t="shared" si="15"/>
        <v>13750</v>
      </c>
      <c r="BP18" s="93">
        <f t="shared" si="16"/>
        <v>13750</v>
      </c>
      <c r="BQ18" s="93">
        <f t="shared" si="17"/>
        <v>13750</v>
      </c>
      <c r="BR18" s="93">
        <f t="shared" si="18"/>
        <v>13750</v>
      </c>
      <c r="BS18" s="93">
        <f t="shared" si="19"/>
        <v>13750</v>
      </c>
      <c r="BT18" s="93">
        <f t="shared" si="20"/>
        <v>13750</v>
      </c>
      <c r="BU18" s="93">
        <f t="shared" si="21"/>
        <v>13750</v>
      </c>
      <c r="BV18" s="93">
        <f t="shared" si="22"/>
        <v>13750</v>
      </c>
      <c r="BW18" s="93">
        <f t="shared" si="23"/>
        <v>13750</v>
      </c>
      <c r="BX18" s="93">
        <f t="shared" si="24"/>
        <v>13750</v>
      </c>
      <c r="BY18" s="93">
        <f t="shared" si="25"/>
        <v>13750</v>
      </c>
    </row>
    <row r="19" spans="1:77" x14ac:dyDescent="0.25">
      <c r="A19" s="92" t="s">
        <v>29</v>
      </c>
      <c r="B19" s="90" t="s">
        <v>1074</v>
      </c>
      <c r="C19" s="115">
        <f t="shared" si="0"/>
        <v>1.8181818181818181E-11</v>
      </c>
      <c r="D19" s="115">
        <f>IFERROR(s_TR/(up_RadSpec!$E19*s_IFAP_res_adj*s_CF_apple),".")</f>
        <v>7.2727272727272723E-11</v>
      </c>
      <c r="E19" s="115">
        <f>IFERROR(s_TR/(up_RadSpec!$E19*s_IFAS_res_adj*s_CF_asparagus),".")</f>
        <v>7.2727272727272723E-11</v>
      </c>
      <c r="F19" s="115">
        <f>IFERROR(s_TR/(up_RadSpec!$E19*s_IFBT_res_adj*s_CF_beet),".")</f>
        <v>7.2727272727272723E-11</v>
      </c>
      <c r="G19" s="115">
        <f>IFERROR(s_TR/(up_RadSpec!$E19*s_IFBE_res_adj*s_CF_berries),".")</f>
        <v>7.2727272727272723E-11</v>
      </c>
      <c r="H19" s="115">
        <f>IFERROR(s_TR/(up_RadSpec!$E19*s_IFBR_res_adj*s_CF_broccoli),".")</f>
        <v>7.2727272727272723E-11</v>
      </c>
      <c r="I19" s="115">
        <f>IFERROR(s_TR/(up_RadSpec!$E19*s_IFCB_res_adj*s_CF_cabbage),".")</f>
        <v>7.2727272727272723E-11</v>
      </c>
      <c r="J19" s="115">
        <f>IFERROR(s_TR/(up_RadSpec!$E19*s_IFCR_res_adj*s_CF_carrot),".")</f>
        <v>7.2727272727272723E-11</v>
      </c>
      <c r="K19" s="115">
        <f>IFERROR(s_TR/(up_RadSpec!$E19*s_IFCI_res_adj*s_CF_citrus),".")</f>
        <v>7.2727272727272723E-11</v>
      </c>
      <c r="L19" s="115">
        <f>IFERROR(s_TR/(up_RadSpec!$E19*s_IFCO_res_adj*s_CF_corn),".")</f>
        <v>7.2727272727272723E-11</v>
      </c>
      <c r="M19" s="115">
        <f>IFERROR(s_TR/(up_RadSpec!$E19*s_IFCU_res_adj*s_CF_cucumber),".")</f>
        <v>7.2727272727272723E-11</v>
      </c>
      <c r="N19" s="115">
        <f>IFERROR(s_TR/(up_RadSpec!$E19*s_IFLE_res_adj*s_CF_lettuce),".")</f>
        <v>7.2727272727272723E-11</v>
      </c>
      <c r="O19" s="115">
        <f>IFERROR(s_TR/(up_RadSpec!$E19*s_IFLI_res_adj*s_CF_lima_bean),".")</f>
        <v>7.2727272727272723E-11</v>
      </c>
      <c r="P19" s="115">
        <f>IFERROR(s_TR/(up_RadSpec!$E19*s_IFOK_res_adj*s_CF_okra),".")</f>
        <v>7.2727272727272723E-11</v>
      </c>
      <c r="Q19" s="115">
        <f>IFERROR(s_TR/(up_RadSpec!$E19*s_IFON_res_adj*s_CF_onion),".")</f>
        <v>7.2727272727272723E-11</v>
      </c>
      <c r="R19" s="115">
        <f>IFERROR(s_TR/(up_RadSpec!$E19*s_IFPC_res_adj*s_CF_peach),".")</f>
        <v>7.2727272727272723E-11</v>
      </c>
      <c r="S19" s="115">
        <f>IFERROR(s_TR/(up_RadSpec!$E19*s_IFPR_res_adj*s_CF_pear),".")</f>
        <v>7.2727272727272723E-11</v>
      </c>
      <c r="T19" s="115">
        <f>IFERROR(s_TR/(up_RadSpec!$E19*s_IFPE_res_adj*s_CF_peas),".")</f>
        <v>7.2727272727272723E-11</v>
      </c>
      <c r="U19" s="115">
        <f>IFERROR(s_TR/(up_RadSpec!$E19*s_IFPT_res_adj*s_CF_potato),".")</f>
        <v>7.2727272727272723E-11</v>
      </c>
      <c r="V19" s="115">
        <f>IFERROR(s_TR/(up_RadSpec!$E19*s_IFPU_res_adj*s_CF_pumpkin),".")</f>
        <v>7.2727272727272723E-11</v>
      </c>
      <c r="W19" s="115">
        <f>IFERROR(s_TR/(up_RadSpec!$E19*s_IFSN_res_adj*s_CF_snap_bean),".")</f>
        <v>7.2727272727272723E-11</v>
      </c>
      <c r="X19" s="115">
        <f>IFERROR(s_TR/(up_RadSpec!$E19*s_IFST_res_adj*s_CF_strawberry),".")</f>
        <v>7.2727272727272723E-11</v>
      </c>
      <c r="Y19" s="115">
        <f>IFERROR(s_TR/(up_RadSpec!$E19*s_IFTO_res_adj*s_CF_tomato),".")</f>
        <v>7.2727272727272723E-11</v>
      </c>
      <c r="Z19" s="115">
        <f>IFERROR(s_TR/(up_RadSpec!$E19*s_IFRI_res_adj*s_CF_rice),".")</f>
        <v>7.2727272727272723E-11</v>
      </c>
      <c r="AA19" s="115">
        <f>IFERROR(s_TR/(up_RadSpec!$E19*s_IFCG_res_adj*s_CF_cereal),".")</f>
        <v>7.2727272727272723E-11</v>
      </c>
      <c r="AB19" s="115">
        <f t="shared" si="26"/>
        <v>1.8181818181818181E-11</v>
      </c>
      <c r="AC19" s="115">
        <f>IFERROR(s_TR/(up_RadSpec!$E19*s_IFAP_far_adj*s_CF_apple),".")</f>
        <v>7.2727272727272723E-11</v>
      </c>
      <c r="AD19" s="115">
        <f>IFERROR(s_TR/(up_RadSpec!$E19*s_IFAS_far_adj*s_CF_asparagus),".")</f>
        <v>7.2727272727272723E-11</v>
      </c>
      <c r="AE19" s="115">
        <f>IFERROR(s_TR/(up_RadSpec!$E19*s_IFBT_far_adj*s_CF_beet),".")</f>
        <v>7.2727272727272723E-11</v>
      </c>
      <c r="AF19" s="115">
        <f>IFERROR(s_TR/(up_RadSpec!$E19*s_IFBE_far_adj*s_CF_berries),".")</f>
        <v>7.2727272727272723E-11</v>
      </c>
      <c r="AG19" s="115">
        <f>IFERROR(s_TR/(up_RadSpec!$E19*s_IFBR_far_adj*s_CF_broccoli),".")</f>
        <v>7.2727272727272723E-11</v>
      </c>
      <c r="AH19" s="115">
        <f>IFERROR(s_TR/(up_RadSpec!$E19*s_IFCB_far_adj*s_CF_cabbage),".")</f>
        <v>7.2727272727272723E-11</v>
      </c>
      <c r="AI19" s="115">
        <f>IFERROR(s_TR/(up_RadSpec!$E19*s_IFCR_far_adj*s_CF_carrot),".")</f>
        <v>7.2727272727272723E-11</v>
      </c>
      <c r="AJ19" s="115">
        <f>IFERROR(s_TR/(up_RadSpec!$E19*s_IFCI_far_adj*s_CF_citrus),".")</f>
        <v>7.2727272727272723E-11</v>
      </c>
      <c r="AK19" s="115">
        <f>IFERROR(s_TR/(up_RadSpec!$E19*s_IFCO_far_adj*s_CF_corn),".")</f>
        <v>7.2727272727272723E-11</v>
      </c>
      <c r="AL19" s="115">
        <f>IFERROR(s_TR/(up_RadSpec!$E19*s_IFCU_far_adj*s_CF_cucumber),".")</f>
        <v>7.2727272727272723E-11</v>
      </c>
      <c r="AM19" s="115">
        <f>IFERROR(s_TR/(up_RadSpec!$E19*s_IFLE_far_adj*s_CF_lettuce),".")</f>
        <v>7.2727272727272723E-11</v>
      </c>
      <c r="AN19" s="115">
        <f>IFERROR(s_TR/(up_RadSpec!$E19*s_IFLI_far_adj*s_CF_lima_bean),".")</f>
        <v>7.2727272727272723E-11</v>
      </c>
      <c r="AO19" s="115">
        <f>IFERROR(s_TR/(up_RadSpec!$E19*s_IFOK_far_adj*s_CF_okra),".")</f>
        <v>7.2727272727272723E-11</v>
      </c>
      <c r="AP19" s="115">
        <f>IFERROR(s_TR/(up_RadSpec!$E19*s_IFON_far_adj*s_CF_onion),".")</f>
        <v>7.2727272727272723E-11</v>
      </c>
      <c r="AQ19" s="115">
        <f>IFERROR(s_TR/(up_RadSpec!$E19*s_IFPC_far_adj*s_CF_peach),".")</f>
        <v>7.2727272727272723E-11</v>
      </c>
      <c r="AR19" s="115">
        <f>IFERROR(s_TR/(up_RadSpec!$E19*s_IFPR_far_adj*s_CF_pear),".")</f>
        <v>7.2727272727272723E-11</v>
      </c>
      <c r="AS19" s="115">
        <f>IFERROR(s_TR/(up_RadSpec!$E19*s_IFPE_far_adj*s_CF_peas),".")</f>
        <v>7.2727272727272723E-11</v>
      </c>
      <c r="AT19" s="115">
        <f>IFERROR(s_TR/(up_RadSpec!$E19*s_IFPT_far_adj*s_CF_potato),".")</f>
        <v>7.2727272727272723E-11</v>
      </c>
      <c r="AU19" s="115">
        <f>IFERROR(s_TR/(up_RadSpec!$E19*s_IFPU_far_adj*s_CF_pumpkin),".")</f>
        <v>7.2727272727272723E-11</v>
      </c>
      <c r="AV19" s="115">
        <f>IFERROR(s_TR/(up_RadSpec!$E19*s_IFSN_far_adj*s_CF_snap_bean),".")</f>
        <v>7.2727272727272723E-11</v>
      </c>
      <c r="AW19" s="115">
        <f>IFERROR(s_TR/(up_RadSpec!$E19*s_IFST_far_adj*s_CF_strawberry),".")</f>
        <v>7.2727272727272723E-11</v>
      </c>
      <c r="AX19" s="115">
        <f>IFERROR(s_TR/(up_RadSpec!$E19*s_IFTO_far_adj*s_CF_tomato),".")</f>
        <v>7.2727272727272723E-11</v>
      </c>
      <c r="AY19" s="115">
        <f>IFERROR(s_TR/(up_RadSpec!$E19*s_IFRI_far_adj*s_CF_rice),".")</f>
        <v>7.2727272727272723E-11</v>
      </c>
      <c r="AZ19" s="115">
        <f>IFERROR(s_TR/(up_RadSpec!$E19*s_IFCG_far_adj*s_CF_cereal),".")</f>
        <v>7.2727272727272723E-11</v>
      </c>
      <c r="BA19" s="93">
        <f t="shared" si="1"/>
        <v>55000</v>
      </c>
      <c r="BB19" s="93">
        <f t="shared" si="2"/>
        <v>13750</v>
      </c>
      <c r="BC19" s="93">
        <f t="shared" si="3"/>
        <v>13750</v>
      </c>
      <c r="BD19" s="93">
        <f t="shared" si="4"/>
        <v>13750</v>
      </c>
      <c r="BE19" s="93">
        <f t="shared" si="5"/>
        <v>13750</v>
      </c>
      <c r="BF19" s="93">
        <f t="shared" si="6"/>
        <v>13750</v>
      </c>
      <c r="BG19" s="93">
        <f t="shared" si="7"/>
        <v>13750</v>
      </c>
      <c r="BH19" s="93">
        <f t="shared" si="8"/>
        <v>13750</v>
      </c>
      <c r="BI19" s="93">
        <f t="shared" si="9"/>
        <v>13750</v>
      </c>
      <c r="BJ19" s="93">
        <f t="shared" si="10"/>
        <v>13750</v>
      </c>
      <c r="BK19" s="93">
        <f t="shared" si="11"/>
        <v>13750</v>
      </c>
      <c r="BL19" s="93">
        <f t="shared" si="12"/>
        <v>13750</v>
      </c>
      <c r="BM19" s="93">
        <f t="shared" si="13"/>
        <v>13750</v>
      </c>
      <c r="BN19" s="93">
        <f t="shared" si="14"/>
        <v>13750</v>
      </c>
      <c r="BO19" s="93">
        <f t="shared" si="15"/>
        <v>13750</v>
      </c>
      <c r="BP19" s="93">
        <f t="shared" si="16"/>
        <v>13750</v>
      </c>
      <c r="BQ19" s="93">
        <f t="shared" si="17"/>
        <v>13750</v>
      </c>
      <c r="BR19" s="93">
        <f t="shared" si="18"/>
        <v>13750</v>
      </c>
      <c r="BS19" s="93">
        <f t="shared" si="19"/>
        <v>13750</v>
      </c>
      <c r="BT19" s="93">
        <f t="shared" si="20"/>
        <v>13750</v>
      </c>
      <c r="BU19" s="93">
        <f t="shared" si="21"/>
        <v>13750</v>
      </c>
      <c r="BV19" s="93">
        <f t="shared" si="22"/>
        <v>13750</v>
      </c>
      <c r="BW19" s="93">
        <f t="shared" si="23"/>
        <v>13750</v>
      </c>
      <c r="BX19" s="93">
        <f t="shared" si="24"/>
        <v>13750</v>
      </c>
      <c r="BY19" s="93">
        <f t="shared" si="25"/>
        <v>13750</v>
      </c>
    </row>
    <row r="20" spans="1:77" x14ac:dyDescent="0.25">
      <c r="A20" s="92" t="s">
        <v>30</v>
      </c>
      <c r="B20" s="90" t="s">
        <v>1074</v>
      </c>
      <c r="C20" s="115">
        <f t="shared" si="0"/>
        <v>1.8181818181818181E-11</v>
      </c>
      <c r="D20" s="115">
        <f>IFERROR(s_TR/(up_RadSpec!$E20*s_IFAP_res_adj*s_CF_apple),".")</f>
        <v>7.2727272727272723E-11</v>
      </c>
      <c r="E20" s="115">
        <f>IFERROR(s_TR/(up_RadSpec!$E20*s_IFAS_res_adj*s_CF_asparagus),".")</f>
        <v>7.2727272727272723E-11</v>
      </c>
      <c r="F20" s="115">
        <f>IFERROR(s_TR/(up_RadSpec!$E20*s_IFBT_res_adj*s_CF_beet),".")</f>
        <v>7.2727272727272723E-11</v>
      </c>
      <c r="G20" s="115">
        <f>IFERROR(s_TR/(up_RadSpec!$E20*s_IFBE_res_adj*s_CF_berries),".")</f>
        <v>7.2727272727272723E-11</v>
      </c>
      <c r="H20" s="115">
        <f>IFERROR(s_TR/(up_RadSpec!$E20*s_IFBR_res_adj*s_CF_broccoli),".")</f>
        <v>7.2727272727272723E-11</v>
      </c>
      <c r="I20" s="115">
        <f>IFERROR(s_TR/(up_RadSpec!$E20*s_IFCB_res_adj*s_CF_cabbage),".")</f>
        <v>7.2727272727272723E-11</v>
      </c>
      <c r="J20" s="115">
        <f>IFERROR(s_TR/(up_RadSpec!$E20*s_IFCR_res_adj*s_CF_carrot),".")</f>
        <v>7.2727272727272723E-11</v>
      </c>
      <c r="K20" s="115">
        <f>IFERROR(s_TR/(up_RadSpec!$E20*s_IFCI_res_adj*s_CF_citrus),".")</f>
        <v>7.2727272727272723E-11</v>
      </c>
      <c r="L20" s="115">
        <f>IFERROR(s_TR/(up_RadSpec!$E20*s_IFCO_res_adj*s_CF_corn),".")</f>
        <v>7.2727272727272723E-11</v>
      </c>
      <c r="M20" s="115">
        <f>IFERROR(s_TR/(up_RadSpec!$E20*s_IFCU_res_adj*s_CF_cucumber),".")</f>
        <v>7.2727272727272723E-11</v>
      </c>
      <c r="N20" s="115">
        <f>IFERROR(s_TR/(up_RadSpec!$E20*s_IFLE_res_adj*s_CF_lettuce),".")</f>
        <v>7.2727272727272723E-11</v>
      </c>
      <c r="O20" s="115">
        <f>IFERROR(s_TR/(up_RadSpec!$E20*s_IFLI_res_adj*s_CF_lima_bean),".")</f>
        <v>7.2727272727272723E-11</v>
      </c>
      <c r="P20" s="115">
        <f>IFERROR(s_TR/(up_RadSpec!$E20*s_IFOK_res_adj*s_CF_okra),".")</f>
        <v>7.2727272727272723E-11</v>
      </c>
      <c r="Q20" s="115">
        <f>IFERROR(s_TR/(up_RadSpec!$E20*s_IFON_res_adj*s_CF_onion),".")</f>
        <v>7.2727272727272723E-11</v>
      </c>
      <c r="R20" s="115">
        <f>IFERROR(s_TR/(up_RadSpec!$E20*s_IFPC_res_adj*s_CF_peach),".")</f>
        <v>7.2727272727272723E-11</v>
      </c>
      <c r="S20" s="115">
        <f>IFERROR(s_TR/(up_RadSpec!$E20*s_IFPR_res_adj*s_CF_pear),".")</f>
        <v>7.2727272727272723E-11</v>
      </c>
      <c r="T20" s="115">
        <f>IFERROR(s_TR/(up_RadSpec!$E20*s_IFPE_res_adj*s_CF_peas),".")</f>
        <v>7.2727272727272723E-11</v>
      </c>
      <c r="U20" s="115">
        <f>IFERROR(s_TR/(up_RadSpec!$E20*s_IFPT_res_adj*s_CF_potato),".")</f>
        <v>7.2727272727272723E-11</v>
      </c>
      <c r="V20" s="115">
        <f>IFERROR(s_TR/(up_RadSpec!$E20*s_IFPU_res_adj*s_CF_pumpkin),".")</f>
        <v>7.2727272727272723E-11</v>
      </c>
      <c r="W20" s="115">
        <f>IFERROR(s_TR/(up_RadSpec!$E20*s_IFSN_res_adj*s_CF_snap_bean),".")</f>
        <v>7.2727272727272723E-11</v>
      </c>
      <c r="X20" s="115">
        <f>IFERROR(s_TR/(up_RadSpec!$E20*s_IFST_res_adj*s_CF_strawberry),".")</f>
        <v>7.2727272727272723E-11</v>
      </c>
      <c r="Y20" s="115">
        <f>IFERROR(s_TR/(up_RadSpec!$E20*s_IFTO_res_adj*s_CF_tomato),".")</f>
        <v>7.2727272727272723E-11</v>
      </c>
      <c r="Z20" s="115">
        <f>IFERROR(s_TR/(up_RadSpec!$E20*s_IFRI_res_adj*s_CF_rice),".")</f>
        <v>7.2727272727272723E-11</v>
      </c>
      <c r="AA20" s="115">
        <f>IFERROR(s_TR/(up_RadSpec!$E20*s_IFCG_res_adj*s_CF_cereal),".")</f>
        <v>7.2727272727272723E-11</v>
      </c>
      <c r="AB20" s="115">
        <f t="shared" si="26"/>
        <v>1.8181818181818181E-11</v>
      </c>
      <c r="AC20" s="115">
        <f>IFERROR(s_TR/(up_RadSpec!$E20*s_IFAP_far_adj*s_CF_apple),".")</f>
        <v>7.2727272727272723E-11</v>
      </c>
      <c r="AD20" s="115">
        <f>IFERROR(s_TR/(up_RadSpec!$E20*s_IFAS_far_adj*s_CF_asparagus),".")</f>
        <v>7.2727272727272723E-11</v>
      </c>
      <c r="AE20" s="115">
        <f>IFERROR(s_TR/(up_RadSpec!$E20*s_IFBT_far_adj*s_CF_beet),".")</f>
        <v>7.2727272727272723E-11</v>
      </c>
      <c r="AF20" s="115">
        <f>IFERROR(s_TR/(up_RadSpec!$E20*s_IFBE_far_adj*s_CF_berries),".")</f>
        <v>7.2727272727272723E-11</v>
      </c>
      <c r="AG20" s="115">
        <f>IFERROR(s_TR/(up_RadSpec!$E20*s_IFBR_far_adj*s_CF_broccoli),".")</f>
        <v>7.2727272727272723E-11</v>
      </c>
      <c r="AH20" s="115">
        <f>IFERROR(s_TR/(up_RadSpec!$E20*s_IFCB_far_adj*s_CF_cabbage),".")</f>
        <v>7.2727272727272723E-11</v>
      </c>
      <c r="AI20" s="115">
        <f>IFERROR(s_TR/(up_RadSpec!$E20*s_IFCR_far_adj*s_CF_carrot),".")</f>
        <v>7.2727272727272723E-11</v>
      </c>
      <c r="AJ20" s="115">
        <f>IFERROR(s_TR/(up_RadSpec!$E20*s_IFCI_far_adj*s_CF_citrus),".")</f>
        <v>7.2727272727272723E-11</v>
      </c>
      <c r="AK20" s="115">
        <f>IFERROR(s_TR/(up_RadSpec!$E20*s_IFCO_far_adj*s_CF_corn),".")</f>
        <v>7.2727272727272723E-11</v>
      </c>
      <c r="AL20" s="115">
        <f>IFERROR(s_TR/(up_RadSpec!$E20*s_IFCU_far_adj*s_CF_cucumber),".")</f>
        <v>7.2727272727272723E-11</v>
      </c>
      <c r="AM20" s="115">
        <f>IFERROR(s_TR/(up_RadSpec!$E20*s_IFLE_far_adj*s_CF_lettuce),".")</f>
        <v>7.2727272727272723E-11</v>
      </c>
      <c r="AN20" s="115">
        <f>IFERROR(s_TR/(up_RadSpec!$E20*s_IFLI_far_adj*s_CF_lima_bean),".")</f>
        <v>7.2727272727272723E-11</v>
      </c>
      <c r="AO20" s="115">
        <f>IFERROR(s_TR/(up_RadSpec!$E20*s_IFOK_far_adj*s_CF_okra),".")</f>
        <v>7.2727272727272723E-11</v>
      </c>
      <c r="AP20" s="115">
        <f>IFERROR(s_TR/(up_RadSpec!$E20*s_IFON_far_adj*s_CF_onion),".")</f>
        <v>7.2727272727272723E-11</v>
      </c>
      <c r="AQ20" s="115">
        <f>IFERROR(s_TR/(up_RadSpec!$E20*s_IFPC_far_adj*s_CF_peach),".")</f>
        <v>7.2727272727272723E-11</v>
      </c>
      <c r="AR20" s="115">
        <f>IFERROR(s_TR/(up_RadSpec!$E20*s_IFPR_far_adj*s_CF_pear),".")</f>
        <v>7.2727272727272723E-11</v>
      </c>
      <c r="AS20" s="115">
        <f>IFERROR(s_TR/(up_RadSpec!$E20*s_IFPE_far_adj*s_CF_peas),".")</f>
        <v>7.2727272727272723E-11</v>
      </c>
      <c r="AT20" s="115">
        <f>IFERROR(s_TR/(up_RadSpec!$E20*s_IFPT_far_adj*s_CF_potato),".")</f>
        <v>7.2727272727272723E-11</v>
      </c>
      <c r="AU20" s="115">
        <f>IFERROR(s_TR/(up_RadSpec!$E20*s_IFPU_far_adj*s_CF_pumpkin),".")</f>
        <v>7.2727272727272723E-11</v>
      </c>
      <c r="AV20" s="115">
        <f>IFERROR(s_TR/(up_RadSpec!$E20*s_IFSN_far_adj*s_CF_snap_bean),".")</f>
        <v>7.2727272727272723E-11</v>
      </c>
      <c r="AW20" s="115">
        <f>IFERROR(s_TR/(up_RadSpec!$E20*s_IFST_far_adj*s_CF_strawberry),".")</f>
        <v>7.2727272727272723E-11</v>
      </c>
      <c r="AX20" s="115">
        <f>IFERROR(s_TR/(up_RadSpec!$E20*s_IFTO_far_adj*s_CF_tomato),".")</f>
        <v>7.2727272727272723E-11</v>
      </c>
      <c r="AY20" s="115">
        <f>IFERROR(s_TR/(up_RadSpec!$E20*s_IFRI_far_adj*s_CF_rice),".")</f>
        <v>7.2727272727272723E-11</v>
      </c>
      <c r="AZ20" s="115">
        <f>IFERROR(s_TR/(up_RadSpec!$E20*s_IFCG_far_adj*s_CF_cereal),".")</f>
        <v>7.2727272727272723E-11</v>
      </c>
      <c r="BA20" s="93">
        <f t="shared" si="1"/>
        <v>55000</v>
      </c>
      <c r="BB20" s="93">
        <f t="shared" si="2"/>
        <v>13750</v>
      </c>
      <c r="BC20" s="93">
        <f t="shared" si="3"/>
        <v>13750</v>
      </c>
      <c r="BD20" s="93">
        <f t="shared" si="4"/>
        <v>13750</v>
      </c>
      <c r="BE20" s="93">
        <f t="shared" si="5"/>
        <v>13750</v>
      </c>
      <c r="BF20" s="93">
        <f t="shared" si="6"/>
        <v>13750</v>
      </c>
      <c r="BG20" s="93">
        <f t="shared" si="7"/>
        <v>13750</v>
      </c>
      <c r="BH20" s="93">
        <f t="shared" si="8"/>
        <v>13750</v>
      </c>
      <c r="BI20" s="93">
        <f t="shared" si="9"/>
        <v>13750</v>
      </c>
      <c r="BJ20" s="93">
        <f t="shared" si="10"/>
        <v>13750</v>
      </c>
      <c r="BK20" s="93">
        <f t="shared" si="11"/>
        <v>13750</v>
      </c>
      <c r="BL20" s="93">
        <f t="shared" si="12"/>
        <v>13750</v>
      </c>
      <c r="BM20" s="93">
        <f t="shared" si="13"/>
        <v>13750</v>
      </c>
      <c r="BN20" s="93">
        <f t="shared" si="14"/>
        <v>13750</v>
      </c>
      <c r="BO20" s="93">
        <f t="shared" si="15"/>
        <v>13750</v>
      </c>
      <c r="BP20" s="93">
        <f t="shared" si="16"/>
        <v>13750</v>
      </c>
      <c r="BQ20" s="93">
        <f t="shared" si="17"/>
        <v>13750</v>
      </c>
      <c r="BR20" s="93">
        <f t="shared" si="18"/>
        <v>13750</v>
      </c>
      <c r="BS20" s="93">
        <f t="shared" si="19"/>
        <v>13750</v>
      </c>
      <c r="BT20" s="93">
        <f t="shared" si="20"/>
        <v>13750</v>
      </c>
      <c r="BU20" s="93">
        <f t="shared" si="21"/>
        <v>13750</v>
      </c>
      <c r="BV20" s="93">
        <f t="shared" si="22"/>
        <v>13750</v>
      </c>
      <c r="BW20" s="93">
        <f t="shared" si="23"/>
        <v>13750</v>
      </c>
      <c r="BX20" s="93">
        <f t="shared" si="24"/>
        <v>13750</v>
      </c>
      <c r="BY20" s="93">
        <f t="shared" si="25"/>
        <v>13750</v>
      </c>
    </row>
    <row r="21" spans="1:77" x14ac:dyDescent="0.25">
      <c r="A21" s="92" t="s">
        <v>31</v>
      </c>
      <c r="B21" s="90" t="s">
        <v>1074</v>
      </c>
      <c r="C21" s="115">
        <f t="shared" si="0"/>
        <v>1.8181818181818181E-11</v>
      </c>
      <c r="D21" s="115">
        <f>IFERROR(s_TR/(up_RadSpec!$E21*s_IFAP_res_adj*s_CF_apple),".")</f>
        <v>7.2727272727272723E-11</v>
      </c>
      <c r="E21" s="115">
        <f>IFERROR(s_TR/(up_RadSpec!$E21*s_IFAS_res_adj*s_CF_asparagus),".")</f>
        <v>7.2727272727272723E-11</v>
      </c>
      <c r="F21" s="115">
        <f>IFERROR(s_TR/(up_RadSpec!$E21*s_IFBT_res_adj*s_CF_beet),".")</f>
        <v>7.2727272727272723E-11</v>
      </c>
      <c r="G21" s="115">
        <f>IFERROR(s_TR/(up_RadSpec!$E21*s_IFBE_res_adj*s_CF_berries),".")</f>
        <v>7.2727272727272723E-11</v>
      </c>
      <c r="H21" s="115">
        <f>IFERROR(s_TR/(up_RadSpec!$E21*s_IFBR_res_adj*s_CF_broccoli),".")</f>
        <v>7.2727272727272723E-11</v>
      </c>
      <c r="I21" s="115">
        <f>IFERROR(s_TR/(up_RadSpec!$E21*s_IFCB_res_adj*s_CF_cabbage),".")</f>
        <v>7.2727272727272723E-11</v>
      </c>
      <c r="J21" s="115">
        <f>IFERROR(s_TR/(up_RadSpec!$E21*s_IFCR_res_adj*s_CF_carrot),".")</f>
        <v>7.2727272727272723E-11</v>
      </c>
      <c r="K21" s="115">
        <f>IFERROR(s_TR/(up_RadSpec!$E21*s_IFCI_res_adj*s_CF_citrus),".")</f>
        <v>7.2727272727272723E-11</v>
      </c>
      <c r="L21" s="115">
        <f>IFERROR(s_TR/(up_RadSpec!$E21*s_IFCO_res_adj*s_CF_corn),".")</f>
        <v>7.2727272727272723E-11</v>
      </c>
      <c r="M21" s="115">
        <f>IFERROR(s_TR/(up_RadSpec!$E21*s_IFCU_res_adj*s_CF_cucumber),".")</f>
        <v>7.2727272727272723E-11</v>
      </c>
      <c r="N21" s="115">
        <f>IFERROR(s_TR/(up_RadSpec!$E21*s_IFLE_res_adj*s_CF_lettuce),".")</f>
        <v>7.2727272727272723E-11</v>
      </c>
      <c r="O21" s="115">
        <f>IFERROR(s_TR/(up_RadSpec!$E21*s_IFLI_res_adj*s_CF_lima_bean),".")</f>
        <v>7.2727272727272723E-11</v>
      </c>
      <c r="P21" s="115">
        <f>IFERROR(s_TR/(up_RadSpec!$E21*s_IFOK_res_adj*s_CF_okra),".")</f>
        <v>7.2727272727272723E-11</v>
      </c>
      <c r="Q21" s="115">
        <f>IFERROR(s_TR/(up_RadSpec!$E21*s_IFON_res_adj*s_CF_onion),".")</f>
        <v>7.2727272727272723E-11</v>
      </c>
      <c r="R21" s="115">
        <f>IFERROR(s_TR/(up_RadSpec!$E21*s_IFPC_res_adj*s_CF_peach),".")</f>
        <v>7.2727272727272723E-11</v>
      </c>
      <c r="S21" s="115">
        <f>IFERROR(s_TR/(up_RadSpec!$E21*s_IFPR_res_adj*s_CF_pear),".")</f>
        <v>7.2727272727272723E-11</v>
      </c>
      <c r="T21" s="115">
        <f>IFERROR(s_TR/(up_RadSpec!$E21*s_IFPE_res_adj*s_CF_peas),".")</f>
        <v>7.2727272727272723E-11</v>
      </c>
      <c r="U21" s="115">
        <f>IFERROR(s_TR/(up_RadSpec!$E21*s_IFPT_res_adj*s_CF_potato),".")</f>
        <v>7.2727272727272723E-11</v>
      </c>
      <c r="V21" s="115">
        <f>IFERROR(s_TR/(up_RadSpec!$E21*s_IFPU_res_adj*s_CF_pumpkin),".")</f>
        <v>7.2727272727272723E-11</v>
      </c>
      <c r="W21" s="115">
        <f>IFERROR(s_TR/(up_RadSpec!$E21*s_IFSN_res_adj*s_CF_snap_bean),".")</f>
        <v>7.2727272727272723E-11</v>
      </c>
      <c r="X21" s="115">
        <f>IFERROR(s_TR/(up_RadSpec!$E21*s_IFST_res_adj*s_CF_strawberry),".")</f>
        <v>7.2727272727272723E-11</v>
      </c>
      <c r="Y21" s="115">
        <f>IFERROR(s_TR/(up_RadSpec!$E21*s_IFTO_res_adj*s_CF_tomato),".")</f>
        <v>7.2727272727272723E-11</v>
      </c>
      <c r="Z21" s="115">
        <f>IFERROR(s_TR/(up_RadSpec!$E21*s_IFRI_res_adj*s_CF_rice),".")</f>
        <v>7.2727272727272723E-11</v>
      </c>
      <c r="AA21" s="115">
        <f>IFERROR(s_TR/(up_RadSpec!$E21*s_IFCG_res_adj*s_CF_cereal),".")</f>
        <v>7.2727272727272723E-11</v>
      </c>
      <c r="AB21" s="115">
        <f t="shared" si="26"/>
        <v>1.8181818181818181E-11</v>
      </c>
      <c r="AC21" s="115">
        <f>IFERROR(s_TR/(up_RadSpec!$E21*s_IFAP_far_adj*s_CF_apple),".")</f>
        <v>7.2727272727272723E-11</v>
      </c>
      <c r="AD21" s="115">
        <f>IFERROR(s_TR/(up_RadSpec!$E21*s_IFAS_far_adj*s_CF_asparagus),".")</f>
        <v>7.2727272727272723E-11</v>
      </c>
      <c r="AE21" s="115">
        <f>IFERROR(s_TR/(up_RadSpec!$E21*s_IFBT_far_adj*s_CF_beet),".")</f>
        <v>7.2727272727272723E-11</v>
      </c>
      <c r="AF21" s="115">
        <f>IFERROR(s_TR/(up_RadSpec!$E21*s_IFBE_far_adj*s_CF_berries),".")</f>
        <v>7.2727272727272723E-11</v>
      </c>
      <c r="AG21" s="115">
        <f>IFERROR(s_TR/(up_RadSpec!$E21*s_IFBR_far_adj*s_CF_broccoli),".")</f>
        <v>7.2727272727272723E-11</v>
      </c>
      <c r="AH21" s="115">
        <f>IFERROR(s_TR/(up_RadSpec!$E21*s_IFCB_far_adj*s_CF_cabbage),".")</f>
        <v>7.2727272727272723E-11</v>
      </c>
      <c r="AI21" s="115">
        <f>IFERROR(s_TR/(up_RadSpec!$E21*s_IFCR_far_adj*s_CF_carrot),".")</f>
        <v>7.2727272727272723E-11</v>
      </c>
      <c r="AJ21" s="115">
        <f>IFERROR(s_TR/(up_RadSpec!$E21*s_IFCI_far_adj*s_CF_citrus),".")</f>
        <v>7.2727272727272723E-11</v>
      </c>
      <c r="AK21" s="115">
        <f>IFERROR(s_TR/(up_RadSpec!$E21*s_IFCO_far_adj*s_CF_corn),".")</f>
        <v>7.2727272727272723E-11</v>
      </c>
      <c r="AL21" s="115">
        <f>IFERROR(s_TR/(up_RadSpec!$E21*s_IFCU_far_adj*s_CF_cucumber),".")</f>
        <v>7.2727272727272723E-11</v>
      </c>
      <c r="AM21" s="115">
        <f>IFERROR(s_TR/(up_RadSpec!$E21*s_IFLE_far_adj*s_CF_lettuce),".")</f>
        <v>7.2727272727272723E-11</v>
      </c>
      <c r="AN21" s="115">
        <f>IFERROR(s_TR/(up_RadSpec!$E21*s_IFLI_far_adj*s_CF_lima_bean),".")</f>
        <v>7.2727272727272723E-11</v>
      </c>
      <c r="AO21" s="115">
        <f>IFERROR(s_TR/(up_RadSpec!$E21*s_IFOK_far_adj*s_CF_okra),".")</f>
        <v>7.2727272727272723E-11</v>
      </c>
      <c r="AP21" s="115">
        <f>IFERROR(s_TR/(up_RadSpec!$E21*s_IFON_far_adj*s_CF_onion),".")</f>
        <v>7.2727272727272723E-11</v>
      </c>
      <c r="AQ21" s="115">
        <f>IFERROR(s_TR/(up_RadSpec!$E21*s_IFPC_far_adj*s_CF_peach),".")</f>
        <v>7.2727272727272723E-11</v>
      </c>
      <c r="AR21" s="115">
        <f>IFERROR(s_TR/(up_RadSpec!$E21*s_IFPR_far_adj*s_CF_pear),".")</f>
        <v>7.2727272727272723E-11</v>
      </c>
      <c r="AS21" s="115">
        <f>IFERROR(s_TR/(up_RadSpec!$E21*s_IFPE_far_adj*s_CF_peas),".")</f>
        <v>7.2727272727272723E-11</v>
      </c>
      <c r="AT21" s="115">
        <f>IFERROR(s_TR/(up_RadSpec!$E21*s_IFPT_far_adj*s_CF_potato),".")</f>
        <v>7.2727272727272723E-11</v>
      </c>
      <c r="AU21" s="115">
        <f>IFERROR(s_TR/(up_RadSpec!$E21*s_IFPU_far_adj*s_CF_pumpkin),".")</f>
        <v>7.2727272727272723E-11</v>
      </c>
      <c r="AV21" s="115">
        <f>IFERROR(s_TR/(up_RadSpec!$E21*s_IFSN_far_adj*s_CF_snap_bean),".")</f>
        <v>7.2727272727272723E-11</v>
      </c>
      <c r="AW21" s="115">
        <f>IFERROR(s_TR/(up_RadSpec!$E21*s_IFST_far_adj*s_CF_strawberry),".")</f>
        <v>7.2727272727272723E-11</v>
      </c>
      <c r="AX21" s="115">
        <f>IFERROR(s_TR/(up_RadSpec!$E21*s_IFTO_far_adj*s_CF_tomato),".")</f>
        <v>7.2727272727272723E-11</v>
      </c>
      <c r="AY21" s="115">
        <f>IFERROR(s_TR/(up_RadSpec!$E21*s_IFRI_far_adj*s_CF_rice),".")</f>
        <v>7.2727272727272723E-11</v>
      </c>
      <c r="AZ21" s="115">
        <f>IFERROR(s_TR/(up_RadSpec!$E21*s_IFCG_far_adj*s_CF_cereal),".")</f>
        <v>7.2727272727272723E-11</v>
      </c>
      <c r="BA21" s="93">
        <f t="shared" si="1"/>
        <v>55000</v>
      </c>
      <c r="BB21" s="93">
        <f t="shared" si="2"/>
        <v>13750</v>
      </c>
      <c r="BC21" s="93">
        <f t="shared" si="3"/>
        <v>13750</v>
      </c>
      <c r="BD21" s="93">
        <f t="shared" si="4"/>
        <v>13750</v>
      </c>
      <c r="BE21" s="93">
        <f t="shared" si="5"/>
        <v>13750</v>
      </c>
      <c r="BF21" s="93">
        <f t="shared" si="6"/>
        <v>13750</v>
      </c>
      <c r="BG21" s="93">
        <f t="shared" si="7"/>
        <v>13750</v>
      </c>
      <c r="BH21" s="93">
        <f t="shared" si="8"/>
        <v>13750</v>
      </c>
      <c r="BI21" s="93">
        <f t="shared" si="9"/>
        <v>13750</v>
      </c>
      <c r="BJ21" s="93">
        <f t="shared" si="10"/>
        <v>13750</v>
      </c>
      <c r="BK21" s="93">
        <f t="shared" si="11"/>
        <v>13750</v>
      </c>
      <c r="BL21" s="93">
        <f t="shared" si="12"/>
        <v>13750</v>
      </c>
      <c r="BM21" s="93">
        <f t="shared" si="13"/>
        <v>13750</v>
      </c>
      <c r="BN21" s="93">
        <f t="shared" si="14"/>
        <v>13750</v>
      </c>
      <c r="BO21" s="93">
        <f t="shared" si="15"/>
        <v>13750</v>
      </c>
      <c r="BP21" s="93">
        <f t="shared" si="16"/>
        <v>13750</v>
      </c>
      <c r="BQ21" s="93">
        <f t="shared" si="17"/>
        <v>13750</v>
      </c>
      <c r="BR21" s="93">
        <f t="shared" si="18"/>
        <v>13750</v>
      </c>
      <c r="BS21" s="93">
        <f t="shared" si="19"/>
        <v>13750</v>
      </c>
      <c r="BT21" s="93">
        <f t="shared" si="20"/>
        <v>13750</v>
      </c>
      <c r="BU21" s="93">
        <f t="shared" si="21"/>
        <v>13750</v>
      </c>
      <c r="BV21" s="93">
        <f t="shared" si="22"/>
        <v>13750</v>
      </c>
      <c r="BW21" s="93">
        <f t="shared" si="23"/>
        <v>13750</v>
      </c>
      <c r="BX21" s="93">
        <f t="shared" si="24"/>
        <v>13750</v>
      </c>
      <c r="BY21" s="93">
        <f t="shared" si="25"/>
        <v>13750</v>
      </c>
    </row>
    <row r="22" spans="1:77" x14ac:dyDescent="0.25">
      <c r="A22" s="92" t="s">
        <v>32</v>
      </c>
      <c r="B22" s="90" t="s">
        <v>1074</v>
      </c>
      <c r="C22" s="115">
        <f t="shared" si="0"/>
        <v>1.8181818181818181E-11</v>
      </c>
      <c r="D22" s="115">
        <f>IFERROR(s_TR/(up_RadSpec!$E22*s_IFAP_res_adj*s_CF_apple),".")</f>
        <v>7.2727272727272723E-11</v>
      </c>
      <c r="E22" s="115">
        <f>IFERROR(s_TR/(up_RadSpec!$E22*s_IFAS_res_adj*s_CF_asparagus),".")</f>
        <v>7.2727272727272723E-11</v>
      </c>
      <c r="F22" s="115">
        <f>IFERROR(s_TR/(up_RadSpec!$E22*s_IFBT_res_adj*s_CF_beet),".")</f>
        <v>7.2727272727272723E-11</v>
      </c>
      <c r="G22" s="115">
        <f>IFERROR(s_TR/(up_RadSpec!$E22*s_IFBE_res_adj*s_CF_berries),".")</f>
        <v>7.2727272727272723E-11</v>
      </c>
      <c r="H22" s="115">
        <f>IFERROR(s_TR/(up_RadSpec!$E22*s_IFBR_res_adj*s_CF_broccoli),".")</f>
        <v>7.2727272727272723E-11</v>
      </c>
      <c r="I22" s="115">
        <f>IFERROR(s_TR/(up_RadSpec!$E22*s_IFCB_res_adj*s_CF_cabbage),".")</f>
        <v>7.2727272727272723E-11</v>
      </c>
      <c r="J22" s="115">
        <f>IFERROR(s_TR/(up_RadSpec!$E22*s_IFCR_res_adj*s_CF_carrot),".")</f>
        <v>7.2727272727272723E-11</v>
      </c>
      <c r="K22" s="115">
        <f>IFERROR(s_TR/(up_RadSpec!$E22*s_IFCI_res_adj*s_CF_citrus),".")</f>
        <v>7.2727272727272723E-11</v>
      </c>
      <c r="L22" s="115">
        <f>IFERROR(s_TR/(up_RadSpec!$E22*s_IFCO_res_adj*s_CF_corn),".")</f>
        <v>7.2727272727272723E-11</v>
      </c>
      <c r="M22" s="115">
        <f>IFERROR(s_TR/(up_RadSpec!$E22*s_IFCU_res_adj*s_CF_cucumber),".")</f>
        <v>7.2727272727272723E-11</v>
      </c>
      <c r="N22" s="115">
        <f>IFERROR(s_TR/(up_RadSpec!$E22*s_IFLE_res_adj*s_CF_lettuce),".")</f>
        <v>7.2727272727272723E-11</v>
      </c>
      <c r="O22" s="115">
        <f>IFERROR(s_TR/(up_RadSpec!$E22*s_IFLI_res_adj*s_CF_lima_bean),".")</f>
        <v>7.2727272727272723E-11</v>
      </c>
      <c r="P22" s="115">
        <f>IFERROR(s_TR/(up_RadSpec!$E22*s_IFOK_res_adj*s_CF_okra),".")</f>
        <v>7.2727272727272723E-11</v>
      </c>
      <c r="Q22" s="115">
        <f>IFERROR(s_TR/(up_RadSpec!$E22*s_IFON_res_adj*s_CF_onion),".")</f>
        <v>7.2727272727272723E-11</v>
      </c>
      <c r="R22" s="115">
        <f>IFERROR(s_TR/(up_RadSpec!$E22*s_IFPC_res_adj*s_CF_peach),".")</f>
        <v>7.2727272727272723E-11</v>
      </c>
      <c r="S22" s="115">
        <f>IFERROR(s_TR/(up_RadSpec!$E22*s_IFPR_res_adj*s_CF_pear),".")</f>
        <v>7.2727272727272723E-11</v>
      </c>
      <c r="T22" s="115">
        <f>IFERROR(s_TR/(up_RadSpec!$E22*s_IFPE_res_adj*s_CF_peas),".")</f>
        <v>7.2727272727272723E-11</v>
      </c>
      <c r="U22" s="115">
        <f>IFERROR(s_TR/(up_RadSpec!$E22*s_IFPT_res_adj*s_CF_potato),".")</f>
        <v>7.2727272727272723E-11</v>
      </c>
      <c r="V22" s="115">
        <f>IFERROR(s_TR/(up_RadSpec!$E22*s_IFPU_res_adj*s_CF_pumpkin),".")</f>
        <v>7.2727272727272723E-11</v>
      </c>
      <c r="W22" s="115">
        <f>IFERROR(s_TR/(up_RadSpec!$E22*s_IFSN_res_adj*s_CF_snap_bean),".")</f>
        <v>7.2727272727272723E-11</v>
      </c>
      <c r="X22" s="115">
        <f>IFERROR(s_TR/(up_RadSpec!$E22*s_IFST_res_adj*s_CF_strawberry),".")</f>
        <v>7.2727272727272723E-11</v>
      </c>
      <c r="Y22" s="115">
        <f>IFERROR(s_TR/(up_RadSpec!$E22*s_IFTO_res_adj*s_CF_tomato),".")</f>
        <v>7.2727272727272723E-11</v>
      </c>
      <c r="Z22" s="115">
        <f>IFERROR(s_TR/(up_RadSpec!$E22*s_IFRI_res_adj*s_CF_rice),".")</f>
        <v>7.2727272727272723E-11</v>
      </c>
      <c r="AA22" s="115">
        <f>IFERROR(s_TR/(up_RadSpec!$E22*s_IFCG_res_adj*s_CF_cereal),".")</f>
        <v>7.2727272727272723E-11</v>
      </c>
      <c r="AB22" s="115">
        <f t="shared" si="26"/>
        <v>1.8181818181818181E-11</v>
      </c>
      <c r="AC22" s="115">
        <f>IFERROR(s_TR/(up_RadSpec!$E22*s_IFAP_far_adj*s_CF_apple),".")</f>
        <v>7.2727272727272723E-11</v>
      </c>
      <c r="AD22" s="115">
        <f>IFERROR(s_TR/(up_RadSpec!$E22*s_IFAS_far_adj*s_CF_asparagus),".")</f>
        <v>7.2727272727272723E-11</v>
      </c>
      <c r="AE22" s="115">
        <f>IFERROR(s_TR/(up_RadSpec!$E22*s_IFBT_far_adj*s_CF_beet),".")</f>
        <v>7.2727272727272723E-11</v>
      </c>
      <c r="AF22" s="115">
        <f>IFERROR(s_TR/(up_RadSpec!$E22*s_IFBE_far_adj*s_CF_berries),".")</f>
        <v>7.2727272727272723E-11</v>
      </c>
      <c r="AG22" s="115">
        <f>IFERROR(s_TR/(up_RadSpec!$E22*s_IFBR_far_adj*s_CF_broccoli),".")</f>
        <v>7.2727272727272723E-11</v>
      </c>
      <c r="AH22" s="115">
        <f>IFERROR(s_TR/(up_RadSpec!$E22*s_IFCB_far_adj*s_CF_cabbage),".")</f>
        <v>7.2727272727272723E-11</v>
      </c>
      <c r="AI22" s="115">
        <f>IFERROR(s_TR/(up_RadSpec!$E22*s_IFCR_far_adj*s_CF_carrot),".")</f>
        <v>7.2727272727272723E-11</v>
      </c>
      <c r="AJ22" s="115">
        <f>IFERROR(s_TR/(up_RadSpec!$E22*s_IFCI_far_adj*s_CF_citrus),".")</f>
        <v>7.2727272727272723E-11</v>
      </c>
      <c r="AK22" s="115">
        <f>IFERROR(s_TR/(up_RadSpec!$E22*s_IFCO_far_adj*s_CF_corn),".")</f>
        <v>7.2727272727272723E-11</v>
      </c>
      <c r="AL22" s="115">
        <f>IFERROR(s_TR/(up_RadSpec!$E22*s_IFCU_far_adj*s_CF_cucumber),".")</f>
        <v>7.2727272727272723E-11</v>
      </c>
      <c r="AM22" s="115">
        <f>IFERROR(s_TR/(up_RadSpec!$E22*s_IFLE_far_adj*s_CF_lettuce),".")</f>
        <v>7.2727272727272723E-11</v>
      </c>
      <c r="AN22" s="115">
        <f>IFERROR(s_TR/(up_RadSpec!$E22*s_IFLI_far_adj*s_CF_lima_bean),".")</f>
        <v>7.2727272727272723E-11</v>
      </c>
      <c r="AO22" s="115">
        <f>IFERROR(s_TR/(up_RadSpec!$E22*s_IFOK_far_adj*s_CF_okra),".")</f>
        <v>7.2727272727272723E-11</v>
      </c>
      <c r="AP22" s="115">
        <f>IFERROR(s_TR/(up_RadSpec!$E22*s_IFON_far_adj*s_CF_onion),".")</f>
        <v>7.2727272727272723E-11</v>
      </c>
      <c r="AQ22" s="115">
        <f>IFERROR(s_TR/(up_RadSpec!$E22*s_IFPC_far_adj*s_CF_peach),".")</f>
        <v>7.2727272727272723E-11</v>
      </c>
      <c r="AR22" s="115">
        <f>IFERROR(s_TR/(up_RadSpec!$E22*s_IFPR_far_adj*s_CF_pear),".")</f>
        <v>7.2727272727272723E-11</v>
      </c>
      <c r="AS22" s="115">
        <f>IFERROR(s_TR/(up_RadSpec!$E22*s_IFPE_far_adj*s_CF_peas),".")</f>
        <v>7.2727272727272723E-11</v>
      </c>
      <c r="AT22" s="115">
        <f>IFERROR(s_TR/(up_RadSpec!$E22*s_IFPT_far_adj*s_CF_potato),".")</f>
        <v>7.2727272727272723E-11</v>
      </c>
      <c r="AU22" s="115">
        <f>IFERROR(s_TR/(up_RadSpec!$E22*s_IFPU_far_adj*s_CF_pumpkin),".")</f>
        <v>7.2727272727272723E-11</v>
      </c>
      <c r="AV22" s="115">
        <f>IFERROR(s_TR/(up_RadSpec!$E22*s_IFSN_far_adj*s_CF_snap_bean),".")</f>
        <v>7.2727272727272723E-11</v>
      </c>
      <c r="AW22" s="115">
        <f>IFERROR(s_TR/(up_RadSpec!$E22*s_IFST_far_adj*s_CF_strawberry),".")</f>
        <v>7.2727272727272723E-11</v>
      </c>
      <c r="AX22" s="115">
        <f>IFERROR(s_TR/(up_RadSpec!$E22*s_IFTO_far_adj*s_CF_tomato),".")</f>
        <v>7.2727272727272723E-11</v>
      </c>
      <c r="AY22" s="115">
        <f>IFERROR(s_TR/(up_RadSpec!$E22*s_IFRI_far_adj*s_CF_rice),".")</f>
        <v>7.2727272727272723E-11</v>
      </c>
      <c r="AZ22" s="115">
        <f>IFERROR(s_TR/(up_RadSpec!$E22*s_IFCG_far_adj*s_CF_cereal),".")</f>
        <v>7.2727272727272723E-11</v>
      </c>
      <c r="BA22" s="93">
        <f t="shared" si="1"/>
        <v>55000</v>
      </c>
      <c r="BB22" s="93">
        <f t="shared" si="2"/>
        <v>13750</v>
      </c>
      <c r="BC22" s="93">
        <f t="shared" si="3"/>
        <v>13750</v>
      </c>
      <c r="BD22" s="93">
        <f t="shared" si="4"/>
        <v>13750</v>
      </c>
      <c r="BE22" s="93">
        <f t="shared" si="5"/>
        <v>13750</v>
      </c>
      <c r="BF22" s="93">
        <f t="shared" si="6"/>
        <v>13750</v>
      </c>
      <c r="BG22" s="93">
        <f t="shared" si="7"/>
        <v>13750</v>
      </c>
      <c r="BH22" s="93">
        <f t="shared" si="8"/>
        <v>13750</v>
      </c>
      <c r="BI22" s="93">
        <f t="shared" si="9"/>
        <v>13750</v>
      </c>
      <c r="BJ22" s="93">
        <f t="shared" si="10"/>
        <v>13750</v>
      </c>
      <c r="BK22" s="93">
        <f t="shared" si="11"/>
        <v>13750</v>
      </c>
      <c r="BL22" s="93">
        <f t="shared" si="12"/>
        <v>13750</v>
      </c>
      <c r="BM22" s="93">
        <f t="shared" si="13"/>
        <v>13750</v>
      </c>
      <c r="BN22" s="93">
        <f t="shared" si="14"/>
        <v>13750</v>
      </c>
      <c r="BO22" s="93">
        <f t="shared" si="15"/>
        <v>13750</v>
      </c>
      <c r="BP22" s="93">
        <f t="shared" si="16"/>
        <v>13750</v>
      </c>
      <c r="BQ22" s="93">
        <f t="shared" si="17"/>
        <v>13750</v>
      </c>
      <c r="BR22" s="93">
        <f t="shared" si="18"/>
        <v>13750</v>
      </c>
      <c r="BS22" s="93">
        <f t="shared" si="19"/>
        <v>13750</v>
      </c>
      <c r="BT22" s="93">
        <f t="shared" si="20"/>
        <v>13750</v>
      </c>
      <c r="BU22" s="93">
        <f t="shared" si="21"/>
        <v>13750</v>
      </c>
      <c r="BV22" s="93">
        <f t="shared" si="22"/>
        <v>13750</v>
      </c>
      <c r="BW22" s="93">
        <f t="shared" si="23"/>
        <v>13750</v>
      </c>
      <c r="BX22" s="93">
        <f t="shared" si="24"/>
        <v>13750</v>
      </c>
      <c r="BY22" s="93">
        <f t="shared" si="25"/>
        <v>13750</v>
      </c>
    </row>
    <row r="23" spans="1:77" x14ac:dyDescent="0.25">
      <c r="A23" s="94" t="s">
        <v>33</v>
      </c>
      <c r="B23" s="90" t="s">
        <v>351</v>
      </c>
      <c r="C23" s="115">
        <f t="shared" si="0"/>
        <v>1.8181818181818181E-11</v>
      </c>
      <c r="D23" s="115">
        <f>IFERROR(s_TR/(up_RadSpec!$E23*s_IFAP_res_adj*s_CF_apple),".")</f>
        <v>7.2727272727272723E-11</v>
      </c>
      <c r="E23" s="115">
        <f>IFERROR(s_TR/(up_RadSpec!$E23*s_IFAS_res_adj*s_CF_asparagus),".")</f>
        <v>7.2727272727272723E-11</v>
      </c>
      <c r="F23" s="115">
        <f>IFERROR(s_TR/(up_RadSpec!$E23*s_IFBT_res_adj*s_CF_beet),".")</f>
        <v>7.2727272727272723E-11</v>
      </c>
      <c r="G23" s="115">
        <f>IFERROR(s_TR/(up_RadSpec!$E23*s_IFBE_res_adj*s_CF_berries),".")</f>
        <v>7.2727272727272723E-11</v>
      </c>
      <c r="H23" s="115">
        <f>IFERROR(s_TR/(up_RadSpec!$E23*s_IFBR_res_adj*s_CF_broccoli),".")</f>
        <v>7.2727272727272723E-11</v>
      </c>
      <c r="I23" s="115">
        <f>IFERROR(s_TR/(up_RadSpec!$E23*s_IFCB_res_adj*s_CF_cabbage),".")</f>
        <v>7.2727272727272723E-11</v>
      </c>
      <c r="J23" s="115">
        <f>IFERROR(s_TR/(up_RadSpec!$E23*s_IFCR_res_adj*s_CF_carrot),".")</f>
        <v>7.2727272727272723E-11</v>
      </c>
      <c r="K23" s="115">
        <f>IFERROR(s_TR/(up_RadSpec!$E23*s_IFCI_res_adj*s_CF_citrus),".")</f>
        <v>7.2727272727272723E-11</v>
      </c>
      <c r="L23" s="115">
        <f>IFERROR(s_TR/(up_RadSpec!$E23*s_IFCO_res_adj*s_CF_corn),".")</f>
        <v>7.2727272727272723E-11</v>
      </c>
      <c r="M23" s="115">
        <f>IFERROR(s_TR/(up_RadSpec!$E23*s_IFCU_res_adj*s_CF_cucumber),".")</f>
        <v>7.2727272727272723E-11</v>
      </c>
      <c r="N23" s="115">
        <f>IFERROR(s_TR/(up_RadSpec!$E23*s_IFLE_res_adj*s_CF_lettuce),".")</f>
        <v>7.2727272727272723E-11</v>
      </c>
      <c r="O23" s="115">
        <f>IFERROR(s_TR/(up_RadSpec!$E23*s_IFLI_res_adj*s_CF_lima_bean),".")</f>
        <v>7.2727272727272723E-11</v>
      </c>
      <c r="P23" s="115">
        <f>IFERROR(s_TR/(up_RadSpec!$E23*s_IFOK_res_adj*s_CF_okra),".")</f>
        <v>7.2727272727272723E-11</v>
      </c>
      <c r="Q23" s="115">
        <f>IFERROR(s_TR/(up_RadSpec!$E23*s_IFON_res_adj*s_CF_onion),".")</f>
        <v>7.2727272727272723E-11</v>
      </c>
      <c r="R23" s="115">
        <f>IFERROR(s_TR/(up_RadSpec!$E23*s_IFPC_res_adj*s_CF_peach),".")</f>
        <v>7.2727272727272723E-11</v>
      </c>
      <c r="S23" s="115">
        <f>IFERROR(s_TR/(up_RadSpec!$E23*s_IFPR_res_adj*s_CF_pear),".")</f>
        <v>7.2727272727272723E-11</v>
      </c>
      <c r="T23" s="115">
        <f>IFERROR(s_TR/(up_RadSpec!$E23*s_IFPE_res_adj*s_CF_peas),".")</f>
        <v>7.2727272727272723E-11</v>
      </c>
      <c r="U23" s="115">
        <f>IFERROR(s_TR/(up_RadSpec!$E23*s_IFPT_res_adj*s_CF_potato),".")</f>
        <v>7.2727272727272723E-11</v>
      </c>
      <c r="V23" s="115">
        <f>IFERROR(s_TR/(up_RadSpec!$E23*s_IFPU_res_adj*s_CF_pumpkin),".")</f>
        <v>7.2727272727272723E-11</v>
      </c>
      <c r="W23" s="115">
        <f>IFERROR(s_TR/(up_RadSpec!$E23*s_IFSN_res_adj*s_CF_snap_bean),".")</f>
        <v>7.2727272727272723E-11</v>
      </c>
      <c r="X23" s="115">
        <f>IFERROR(s_TR/(up_RadSpec!$E23*s_IFST_res_adj*s_CF_strawberry),".")</f>
        <v>7.2727272727272723E-11</v>
      </c>
      <c r="Y23" s="115">
        <f>IFERROR(s_TR/(up_RadSpec!$E23*s_IFTO_res_adj*s_CF_tomato),".")</f>
        <v>7.2727272727272723E-11</v>
      </c>
      <c r="Z23" s="115">
        <f>IFERROR(s_TR/(up_RadSpec!$E23*s_IFRI_res_adj*s_CF_rice),".")</f>
        <v>7.2727272727272723E-11</v>
      </c>
      <c r="AA23" s="115">
        <f>IFERROR(s_TR/(up_RadSpec!$E23*s_IFCG_res_adj*s_CF_cereal),".")</f>
        <v>7.2727272727272723E-11</v>
      </c>
      <c r="AB23" s="115">
        <f t="shared" si="26"/>
        <v>1.8181818181818181E-11</v>
      </c>
      <c r="AC23" s="115">
        <f>IFERROR(s_TR/(up_RadSpec!$E23*s_IFAP_far_adj*s_CF_apple),".")</f>
        <v>7.2727272727272723E-11</v>
      </c>
      <c r="AD23" s="115">
        <f>IFERROR(s_TR/(up_RadSpec!$E23*s_IFAS_far_adj*s_CF_asparagus),".")</f>
        <v>7.2727272727272723E-11</v>
      </c>
      <c r="AE23" s="115">
        <f>IFERROR(s_TR/(up_RadSpec!$E23*s_IFBT_far_adj*s_CF_beet),".")</f>
        <v>7.2727272727272723E-11</v>
      </c>
      <c r="AF23" s="115">
        <f>IFERROR(s_TR/(up_RadSpec!$E23*s_IFBE_far_adj*s_CF_berries),".")</f>
        <v>7.2727272727272723E-11</v>
      </c>
      <c r="AG23" s="115">
        <f>IFERROR(s_TR/(up_RadSpec!$E23*s_IFBR_far_adj*s_CF_broccoli),".")</f>
        <v>7.2727272727272723E-11</v>
      </c>
      <c r="AH23" s="115">
        <f>IFERROR(s_TR/(up_RadSpec!$E23*s_IFCB_far_adj*s_CF_cabbage),".")</f>
        <v>7.2727272727272723E-11</v>
      </c>
      <c r="AI23" s="115">
        <f>IFERROR(s_TR/(up_RadSpec!$E23*s_IFCR_far_adj*s_CF_carrot),".")</f>
        <v>7.2727272727272723E-11</v>
      </c>
      <c r="AJ23" s="115">
        <f>IFERROR(s_TR/(up_RadSpec!$E23*s_IFCI_far_adj*s_CF_citrus),".")</f>
        <v>7.2727272727272723E-11</v>
      </c>
      <c r="AK23" s="115">
        <f>IFERROR(s_TR/(up_RadSpec!$E23*s_IFCO_far_adj*s_CF_corn),".")</f>
        <v>7.2727272727272723E-11</v>
      </c>
      <c r="AL23" s="115">
        <f>IFERROR(s_TR/(up_RadSpec!$E23*s_IFCU_far_adj*s_CF_cucumber),".")</f>
        <v>7.2727272727272723E-11</v>
      </c>
      <c r="AM23" s="115">
        <f>IFERROR(s_TR/(up_RadSpec!$E23*s_IFLE_far_adj*s_CF_lettuce),".")</f>
        <v>7.2727272727272723E-11</v>
      </c>
      <c r="AN23" s="115">
        <f>IFERROR(s_TR/(up_RadSpec!$E23*s_IFLI_far_adj*s_CF_lima_bean),".")</f>
        <v>7.2727272727272723E-11</v>
      </c>
      <c r="AO23" s="115">
        <f>IFERROR(s_TR/(up_RadSpec!$E23*s_IFOK_far_adj*s_CF_okra),".")</f>
        <v>7.2727272727272723E-11</v>
      </c>
      <c r="AP23" s="115">
        <f>IFERROR(s_TR/(up_RadSpec!$E23*s_IFON_far_adj*s_CF_onion),".")</f>
        <v>7.2727272727272723E-11</v>
      </c>
      <c r="AQ23" s="115">
        <f>IFERROR(s_TR/(up_RadSpec!$E23*s_IFPC_far_adj*s_CF_peach),".")</f>
        <v>7.2727272727272723E-11</v>
      </c>
      <c r="AR23" s="115">
        <f>IFERROR(s_TR/(up_RadSpec!$E23*s_IFPR_far_adj*s_CF_pear),".")</f>
        <v>7.2727272727272723E-11</v>
      </c>
      <c r="AS23" s="115">
        <f>IFERROR(s_TR/(up_RadSpec!$E23*s_IFPE_far_adj*s_CF_peas),".")</f>
        <v>7.2727272727272723E-11</v>
      </c>
      <c r="AT23" s="115">
        <f>IFERROR(s_TR/(up_RadSpec!$E23*s_IFPT_far_adj*s_CF_potato),".")</f>
        <v>7.2727272727272723E-11</v>
      </c>
      <c r="AU23" s="115">
        <f>IFERROR(s_TR/(up_RadSpec!$E23*s_IFPU_far_adj*s_CF_pumpkin),".")</f>
        <v>7.2727272727272723E-11</v>
      </c>
      <c r="AV23" s="115">
        <f>IFERROR(s_TR/(up_RadSpec!$E23*s_IFSN_far_adj*s_CF_snap_bean),".")</f>
        <v>7.2727272727272723E-11</v>
      </c>
      <c r="AW23" s="115">
        <f>IFERROR(s_TR/(up_RadSpec!$E23*s_IFST_far_adj*s_CF_strawberry),".")</f>
        <v>7.2727272727272723E-11</v>
      </c>
      <c r="AX23" s="115">
        <f>IFERROR(s_TR/(up_RadSpec!$E23*s_IFTO_far_adj*s_CF_tomato),".")</f>
        <v>7.2727272727272723E-11</v>
      </c>
      <c r="AY23" s="115">
        <f>IFERROR(s_TR/(up_RadSpec!$E23*s_IFRI_far_adj*s_CF_rice),".")</f>
        <v>7.2727272727272723E-11</v>
      </c>
      <c r="AZ23" s="115">
        <f>IFERROR(s_TR/(up_RadSpec!$E23*s_IFCG_far_adj*s_CF_cereal),".")</f>
        <v>7.2727272727272723E-11</v>
      </c>
      <c r="BA23" s="93">
        <f t="shared" si="1"/>
        <v>55000</v>
      </c>
      <c r="BB23" s="93">
        <f t="shared" si="2"/>
        <v>13750</v>
      </c>
      <c r="BC23" s="93">
        <f t="shared" si="3"/>
        <v>13750</v>
      </c>
      <c r="BD23" s="93">
        <f t="shared" si="4"/>
        <v>13750</v>
      </c>
      <c r="BE23" s="93">
        <f t="shared" si="5"/>
        <v>13750</v>
      </c>
      <c r="BF23" s="93">
        <f t="shared" si="6"/>
        <v>13750</v>
      </c>
      <c r="BG23" s="93">
        <f t="shared" si="7"/>
        <v>13750</v>
      </c>
      <c r="BH23" s="93">
        <f t="shared" si="8"/>
        <v>13750</v>
      </c>
      <c r="BI23" s="93">
        <f t="shared" si="9"/>
        <v>13750</v>
      </c>
      <c r="BJ23" s="93">
        <f t="shared" si="10"/>
        <v>13750</v>
      </c>
      <c r="BK23" s="93">
        <f t="shared" si="11"/>
        <v>13750</v>
      </c>
      <c r="BL23" s="93">
        <f t="shared" si="12"/>
        <v>13750</v>
      </c>
      <c r="BM23" s="93">
        <f t="shared" si="13"/>
        <v>13750</v>
      </c>
      <c r="BN23" s="93">
        <f t="shared" si="14"/>
        <v>13750</v>
      </c>
      <c r="BO23" s="93">
        <f t="shared" si="15"/>
        <v>13750</v>
      </c>
      <c r="BP23" s="93">
        <f t="shared" si="16"/>
        <v>13750</v>
      </c>
      <c r="BQ23" s="93">
        <f t="shared" si="17"/>
        <v>13750</v>
      </c>
      <c r="BR23" s="93">
        <f t="shared" si="18"/>
        <v>13750</v>
      </c>
      <c r="BS23" s="93">
        <f t="shared" si="19"/>
        <v>13750</v>
      </c>
      <c r="BT23" s="93">
        <f t="shared" si="20"/>
        <v>13750</v>
      </c>
      <c r="BU23" s="93">
        <f t="shared" si="21"/>
        <v>13750</v>
      </c>
      <c r="BV23" s="93">
        <f t="shared" si="22"/>
        <v>13750</v>
      </c>
      <c r="BW23" s="93">
        <f t="shared" si="23"/>
        <v>13750</v>
      </c>
      <c r="BX23" s="93">
        <f t="shared" si="24"/>
        <v>13750</v>
      </c>
      <c r="BY23" s="93">
        <f t="shared" si="25"/>
        <v>13750</v>
      </c>
    </row>
    <row r="24" spans="1:77" x14ac:dyDescent="0.25">
      <c r="A24" s="92" t="s">
        <v>34</v>
      </c>
      <c r="B24" s="90" t="s">
        <v>1074</v>
      </c>
      <c r="C24" s="115">
        <f t="shared" si="0"/>
        <v>1.8181818181818181E-11</v>
      </c>
      <c r="D24" s="115">
        <f>IFERROR(s_TR/(up_RadSpec!$E24*s_IFAP_res_adj*s_CF_apple),".")</f>
        <v>7.2727272727272723E-11</v>
      </c>
      <c r="E24" s="115">
        <f>IFERROR(s_TR/(up_RadSpec!$E24*s_IFAS_res_adj*s_CF_asparagus),".")</f>
        <v>7.2727272727272723E-11</v>
      </c>
      <c r="F24" s="115">
        <f>IFERROR(s_TR/(up_RadSpec!$E24*s_IFBT_res_adj*s_CF_beet),".")</f>
        <v>7.2727272727272723E-11</v>
      </c>
      <c r="G24" s="115">
        <f>IFERROR(s_TR/(up_RadSpec!$E24*s_IFBE_res_adj*s_CF_berries),".")</f>
        <v>7.2727272727272723E-11</v>
      </c>
      <c r="H24" s="115">
        <f>IFERROR(s_TR/(up_RadSpec!$E24*s_IFBR_res_adj*s_CF_broccoli),".")</f>
        <v>7.2727272727272723E-11</v>
      </c>
      <c r="I24" s="115">
        <f>IFERROR(s_TR/(up_RadSpec!$E24*s_IFCB_res_adj*s_CF_cabbage),".")</f>
        <v>7.2727272727272723E-11</v>
      </c>
      <c r="J24" s="115">
        <f>IFERROR(s_TR/(up_RadSpec!$E24*s_IFCR_res_adj*s_CF_carrot),".")</f>
        <v>7.2727272727272723E-11</v>
      </c>
      <c r="K24" s="115">
        <f>IFERROR(s_TR/(up_RadSpec!$E24*s_IFCI_res_adj*s_CF_citrus),".")</f>
        <v>7.2727272727272723E-11</v>
      </c>
      <c r="L24" s="115">
        <f>IFERROR(s_TR/(up_RadSpec!$E24*s_IFCO_res_adj*s_CF_corn),".")</f>
        <v>7.2727272727272723E-11</v>
      </c>
      <c r="M24" s="115">
        <f>IFERROR(s_TR/(up_RadSpec!$E24*s_IFCU_res_adj*s_CF_cucumber),".")</f>
        <v>7.2727272727272723E-11</v>
      </c>
      <c r="N24" s="115">
        <f>IFERROR(s_TR/(up_RadSpec!$E24*s_IFLE_res_adj*s_CF_lettuce),".")</f>
        <v>7.2727272727272723E-11</v>
      </c>
      <c r="O24" s="115">
        <f>IFERROR(s_TR/(up_RadSpec!$E24*s_IFLI_res_adj*s_CF_lima_bean),".")</f>
        <v>7.2727272727272723E-11</v>
      </c>
      <c r="P24" s="115">
        <f>IFERROR(s_TR/(up_RadSpec!$E24*s_IFOK_res_adj*s_CF_okra),".")</f>
        <v>7.2727272727272723E-11</v>
      </c>
      <c r="Q24" s="115">
        <f>IFERROR(s_TR/(up_RadSpec!$E24*s_IFON_res_adj*s_CF_onion),".")</f>
        <v>7.2727272727272723E-11</v>
      </c>
      <c r="R24" s="115">
        <f>IFERROR(s_TR/(up_RadSpec!$E24*s_IFPC_res_adj*s_CF_peach),".")</f>
        <v>7.2727272727272723E-11</v>
      </c>
      <c r="S24" s="115">
        <f>IFERROR(s_TR/(up_RadSpec!$E24*s_IFPR_res_adj*s_CF_pear),".")</f>
        <v>7.2727272727272723E-11</v>
      </c>
      <c r="T24" s="115">
        <f>IFERROR(s_TR/(up_RadSpec!$E24*s_IFPE_res_adj*s_CF_peas),".")</f>
        <v>7.2727272727272723E-11</v>
      </c>
      <c r="U24" s="115">
        <f>IFERROR(s_TR/(up_RadSpec!$E24*s_IFPT_res_adj*s_CF_potato),".")</f>
        <v>7.2727272727272723E-11</v>
      </c>
      <c r="V24" s="115">
        <f>IFERROR(s_TR/(up_RadSpec!$E24*s_IFPU_res_adj*s_CF_pumpkin),".")</f>
        <v>7.2727272727272723E-11</v>
      </c>
      <c r="W24" s="115">
        <f>IFERROR(s_TR/(up_RadSpec!$E24*s_IFSN_res_adj*s_CF_snap_bean),".")</f>
        <v>7.2727272727272723E-11</v>
      </c>
      <c r="X24" s="115">
        <f>IFERROR(s_TR/(up_RadSpec!$E24*s_IFST_res_adj*s_CF_strawberry),".")</f>
        <v>7.2727272727272723E-11</v>
      </c>
      <c r="Y24" s="115">
        <f>IFERROR(s_TR/(up_RadSpec!$E24*s_IFTO_res_adj*s_CF_tomato),".")</f>
        <v>7.2727272727272723E-11</v>
      </c>
      <c r="Z24" s="115">
        <f>IFERROR(s_TR/(up_RadSpec!$E24*s_IFRI_res_adj*s_CF_rice),".")</f>
        <v>7.2727272727272723E-11</v>
      </c>
      <c r="AA24" s="115">
        <f>IFERROR(s_TR/(up_RadSpec!$E24*s_IFCG_res_adj*s_CF_cereal),".")</f>
        <v>7.2727272727272723E-11</v>
      </c>
      <c r="AB24" s="115">
        <f t="shared" si="26"/>
        <v>1.8181818181818181E-11</v>
      </c>
      <c r="AC24" s="115">
        <f>IFERROR(s_TR/(up_RadSpec!$E24*s_IFAP_far_adj*s_CF_apple),".")</f>
        <v>7.2727272727272723E-11</v>
      </c>
      <c r="AD24" s="115">
        <f>IFERROR(s_TR/(up_RadSpec!$E24*s_IFAS_far_adj*s_CF_asparagus),".")</f>
        <v>7.2727272727272723E-11</v>
      </c>
      <c r="AE24" s="115">
        <f>IFERROR(s_TR/(up_RadSpec!$E24*s_IFBT_far_adj*s_CF_beet),".")</f>
        <v>7.2727272727272723E-11</v>
      </c>
      <c r="AF24" s="115">
        <f>IFERROR(s_TR/(up_RadSpec!$E24*s_IFBE_far_adj*s_CF_berries),".")</f>
        <v>7.2727272727272723E-11</v>
      </c>
      <c r="AG24" s="115">
        <f>IFERROR(s_TR/(up_RadSpec!$E24*s_IFBR_far_adj*s_CF_broccoli),".")</f>
        <v>7.2727272727272723E-11</v>
      </c>
      <c r="AH24" s="115">
        <f>IFERROR(s_TR/(up_RadSpec!$E24*s_IFCB_far_adj*s_CF_cabbage),".")</f>
        <v>7.2727272727272723E-11</v>
      </c>
      <c r="AI24" s="115">
        <f>IFERROR(s_TR/(up_RadSpec!$E24*s_IFCR_far_adj*s_CF_carrot),".")</f>
        <v>7.2727272727272723E-11</v>
      </c>
      <c r="AJ24" s="115">
        <f>IFERROR(s_TR/(up_RadSpec!$E24*s_IFCI_far_adj*s_CF_citrus),".")</f>
        <v>7.2727272727272723E-11</v>
      </c>
      <c r="AK24" s="115">
        <f>IFERROR(s_TR/(up_RadSpec!$E24*s_IFCO_far_adj*s_CF_corn),".")</f>
        <v>7.2727272727272723E-11</v>
      </c>
      <c r="AL24" s="115">
        <f>IFERROR(s_TR/(up_RadSpec!$E24*s_IFCU_far_adj*s_CF_cucumber),".")</f>
        <v>7.2727272727272723E-11</v>
      </c>
      <c r="AM24" s="115">
        <f>IFERROR(s_TR/(up_RadSpec!$E24*s_IFLE_far_adj*s_CF_lettuce),".")</f>
        <v>7.2727272727272723E-11</v>
      </c>
      <c r="AN24" s="115">
        <f>IFERROR(s_TR/(up_RadSpec!$E24*s_IFLI_far_adj*s_CF_lima_bean),".")</f>
        <v>7.2727272727272723E-11</v>
      </c>
      <c r="AO24" s="115">
        <f>IFERROR(s_TR/(up_RadSpec!$E24*s_IFOK_far_adj*s_CF_okra),".")</f>
        <v>7.2727272727272723E-11</v>
      </c>
      <c r="AP24" s="115">
        <f>IFERROR(s_TR/(up_RadSpec!$E24*s_IFON_far_adj*s_CF_onion),".")</f>
        <v>7.2727272727272723E-11</v>
      </c>
      <c r="AQ24" s="115">
        <f>IFERROR(s_TR/(up_RadSpec!$E24*s_IFPC_far_adj*s_CF_peach),".")</f>
        <v>7.2727272727272723E-11</v>
      </c>
      <c r="AR24" s="115">
        <f>IFERROR(s_TR/(up_RadSpec!$E24*s_IFPR_far_adj*s_CF_pear),".")</f>
        <v>7.2727272727272723E-11</v>
      </c>
      <c r="AS24" s="115">
        <f>IFERROR(s_TR/(up_RadSpec!$E24*s_IFPE_far_adj*s_CF_peas),".")</f>
        <v>7.2727272727272723E-11</v>
      </c>
      <c r="AT24" s="115">
        <f>IFERROR(s_TR/(up_RadSpec!$E24*s_IFPT_far_adj*s_CF_potato),".")</f>
        <v>7.2727272727272723E-11</v>
      </c>
      <c r="AU24" s="115">
        <f>IFERROR(s_TR/(up_RadSpec!$E24*s_IFPU_far_adj*s_CF_pumpkin),".")</f>
        <v>7.2727272727272723E-11</v>
      </c>
      <c r="AV24" s="115">
        <f>IFERROR(s_TR/(up_RadSpec!$E24*s_IFSN_far_adj*s_CF_snap_bean),".")</f>
        <v>7.2727272727272723E-11</v>
      </c>
      <c r="AW24" s="115">
        <f>IFERROR(s_TR/(up_RadSpec!$E24*s_IFST_far_adj*s_CF_strawberry),".")</f>
        <v>7.2727272727272723E-11</v>
      </c>
      <c r="AX24" s="115">
        <f>IFERROR(s_TR/(up_RadSpec!$E24*s_IFTO_far_adj*s_CF_tomato),".")</f>
        <v>7.2727272727272723E-11</v>
      </c>
      <c r="AY24" s="115">
        <f>IFERROR(s_TR/(up_RadSpec!$E24*s_IFRI_far_adj*s_CF_rice),".")</f>
        <v>7.2727272727272723E-11</v>
      </c>
      <c r="AZ24" s="115">
        <f>IFERROR(s_TR/(up_RadSpec!$E24*s_IFCG_far_adj*s_CF_cereal),".")</f>
        <v>7.2727272727272723E-11</v>
      </c>
      <c r="BA24" s="93">
        <f t="shared" si="1"/>
        <v>55000</v>
      </c>
      <c r="BB24" s="93">
        <f t="shared" si="2"/>
        <v>13750</v>
      </c>
      <c r="BC24" s="93">
        <f t="shared" si="3"/>
        <v>13750</v>
      </c>
      <c r="BD24" s="93">
        <f t="shared" si="4"/>
        <v>13750</v>
      </c>
      <c r="BE24" s="93">
        <f t="shared" si="5"/>
        <v>13750</v>
      </c>
      <c r="BF24" s="93">
        <f t="shared" si="6"/>
        <v>13750</v>
      </c>
      <c r="BG24" s="93">
        <f t="shared" si="7"/>
        <v>13750</v>
      </c>
      <c r="BH24" s="93">
        <f t="shared" si="8"/>
        <v>13750</v>
      </c>
      <c r="BI24" s="93">
        <f t="shared" si="9"/>
        <v>13750</v>
      </c>
      <c r="BJ24" s="93">
        <f t="shared" si="10"/>
        <v>13750</v>
      </c>
      <c r="BK24" s="93">
        <f t="shared" si="11"/>
        <v>13750</v>
      </c>
      <c r="BL24" s="93">
        <f t="shared" si="12"/>
        <v>13750</v>
      </c>
      <c r="BM24" s="93">
        <f t="shared" si="13"/>
        <v>13750</v>
      </c>
      <c r="BN24" s="93">
        <f t="shared" si="14"/>
        <v>13750</v>
      </c>
      <c r="BO24" s="93">
        <f t="shared" si="15"/>
        <v>13750</v>
      </c>
      <c r="BP24" s="93">
        <f t="shared" si="16"/>
        <v>13750</v>
      </c>
      <c r="BQ24" s="93">
        <f t="shared" si="17"/>
        <v>13750</v>
      </c>
      <c r="BR24" s="93">
        <f t="shared" si="18"/>
        <v>13750</v>
      </c>
      <c r="BS24" s="93">
        <f t="shared" si="19"/>
        <v>13750</v>
      </c>
      <c r="BT24" s="93">
        <f t="shared" si="20"/>
        <v>13750</v>
      </c>
      <c r="BU24" s="93">
        <f t="shared" si="21"/>
        <v>13750</v>
      </c>
      <c r="BV24" s="93">
        <f t="shared" si="22"/>
        <v>13750</v>
      </c>
      <c r="BW24" s="93">
        <f t="shared" si="23"/>
        <v>13750</v>
      </c>
      <c r="BX24" s="93">
        <f t="shared" si="24"/>
        <v>13750</v>
      </c>
      <c r="BY24" s="93">
        <f t="shared" si="25"/>
        <v>13750</v>
      </c>
    </row>
    <row r="25" spans="1:77" x14ac:dyDescent="0.25">
      <c r="A25" s="94" t="s">
        <v>35</v>
      </c>
      <c r="B25" s="90" t="s">
        <v>351</v>
      </c>
      <c r="C25" s="115">
        <f t="shared" si="0"/>
        <v>1.8181818181818181E-11</v>
      </c>
      <c r="D25" s="115">
        <f>IFERROR(s_TR/(up_RadSpec!$E25*s_IFAP_res_adj*s_CF_apple),".")</f>
        <v>7.2727272727272723E-11</v>
      </c>
      <c r="E25" s="115">
        <f>IFERROR(s_TR/(up_RadSpec!$E25*s_IFAS_res_adj*s_CF_asparagus),".")</f>
        <v>7.2727272727272723E-11</v>
      </c>
      <c r="F25" s="115">
        <f>IFERROR(s_TR/(up_RadSpec!$E25*s_IFBT_res_adj*s_CF_beet),".")</f>
        <v>7.2727272727272723E-11</v>
      </c>
      <c r="G25" s="115">
        <f>IFERROR(s_TR/(up_RadSpec!$E25*s_IFBE_res_adj*s_CF_berries),".")</f>
        <v>7.2727272727272723E-11</v>
      </c>
      <c r="H25" s="115">
        <f>IFERROR(s_TR/(up_RadSpec!$E25*s_IFBR_res_adj*s_CF_broccoli),".")</f>
        <v>7.2727272727272723E-11</v>
      </c>
      <c r="I25" s="115">
        <f>IFERROR(s_TR/(up_RadSpec!$E25*s_IFCB_res_adj*s_CF_cabbage),".")</f>
        <v>7.2727272727272723E-11</v>
      </c>
      <c r="J25" s="115">
        <f>IFERROR(s_TR/(up_RadSpec!$E25*s_IFCR_res_adj*s_CF_carrot),".")</f>
        <v>7.2727272727272723E-11</v>
      </c>
      <c r="K25" s="115">
        <f>IFERROR(s_TR/(up_RadSpec!$E25*s_IFCI_res_adj*s_CF_citrus),".")</f>
        <v>7.2727272727272723E-11</v>
      </c>
      <c r="L25" s="115">
        <f>IFERROR(s_TR/(up_RadSpec!$E25*s_IFCO_res_adj*s_CF_corn),".")</f>
        <v>7.2727272727272723E-11</v>
      </c>
      <c r="M25" s="115">
        <f>IFERROR(s_TR/(up_RadSpec!$E25*s_IFCU_res_adj*s_CF_cucumber),".")</f>
        <v>7.2727272727272723E-11</v>
      </c>
      <c r="N25" s="115">
        <f>IFERROR(s_TR/(up_RadSpec!$E25*s_IFLE_res_adj*s_CF_lettuce),".")</f>
        <v>7.2727272727272723E-11</v>
      </c>
      <c r="O25" s="115">
        <f>IFERROR(s_TR/(up_RadSpec!$E25*s_IFLI_res_adj*s_CF_lima_bean),".")</f>
        <v>7.2727272727272723E-11</v>
      </c>
      <c r="P25" s="115">
        <f>IFERROR(s_TR/(up_RadSpec!$E25*s_IFOK_res_adj*s_CF_okra),".")</f>
        <v>7.2727272727272723E-11</v>
      </c>
      <c r="Q25" s="115">
        <f>IFERROR(s_TR/(up_RadSpec!$E25*s_IFON_res_adj*s_CF_onion),".")</f>
        <v>7.2727272727272723E-11</v>
      </c>
      <c r="R25" s="115">
        <f>IFERROR(s_TR/(up_RadSpec!$E25*s_IFPC_res_adj*s_CF_peach),".")</f>
        <v>7.2727272727272723E-11</v>
      </c>
      <c r="S25" s="115">
        <f>IFERROR(s_TR/(up_RadSpec!$E25*s_IFPR_res_adj*s_CF_pear),".")</f>
        <v>7.2727272727272723E-11</v>
      </c>
      <c r="T25" s="115">
        <f>IFERROR(s_TR/(up_RadSpec!$E25*s_IFPE_res_adj*s_CF_peas),".")</f>
        <v>7.2727272727272723E-11</v>
      </c>
      <c r="U25" s="115">
        <f>IFERROR(s_TR/(up_RadSpec!$E25*s_IFPT_res_adj*s_CF_potato),".")</f>
        <v>7.2727272727272723E-11</v>
      </c>
      <c r="V25" s="115">
        <f>IFERROR(s_TR/(up_RadSpec!$E25*s_IFPU_res_adj*s_CF_pumpkin),".")</f>
        <v>7.2727272727272723E-11</v>
      </c>
      <c r="W25" s="115">
        <f>IFERROR(s_TR/(up_RadSpec!$E25*s_IFSN_res_adj*s_CF_snap_bean),".")</f>
        <v>7.2727272727272723E-11</v>
      </c>
      <c r="X25" s="115">
        <f>IFERROR(s_TR/(up_RadSpec!$E25*s_IFST_res_adj*s_CF_strawberry),".")</f>
        <v>7.2727272727272723E-11</v>
      </c>
      <c r="Y25" s="115">
        <f>IFERROR(s_TR/(up_RadSpec!$E25*s_IFTO_res_adj*s_CF_tomato),".")</f>
        <v>7.2727272727272723E-11</v>
      </c>
      <c r="Z25" s="115">
        <f>IFERROR(s_TR/(up_RadSpec!$E25*s_IFRI_res_adj*s_CF_rice),".")</f>
        <v>7.2727272727272723E-11</v>
      </c>
      <c r="AA25" s="115">
        <f>IFERROR(s_TR/(up_RadSpec!$E25*s_IFCG_res_adj*s_CF_cereal),".")</f>
        <v>7.2727272727272723E-11</v>
      </c>
      <c r="AB25" s="115">
        <f t="shared" si="26"/>
        <v>1.8181818181818181E-11</v>
      </c>
      <c r="AC25" s="115">
        <f>IFERROR(s_TR/(up_RadSpec!$E25*s_IFAP_far_adj*s_CF_apple),".")</f>
        <v>7.2727272727272723E-11</v>
      </c>
      <c r="AD25" s="115">
        <f>IFERROR(s_TR/(up_RadSpec!$E25*s_IFAS_far_adj*s_CF_asparagus),".")</f>
        <v>7.2727272727272723E-11</v>
      </c>
      <c r="AE25" s="115">
        <f>IFERROR(s_TR/(up_RadSpec!$E25*s_IFBT_far_adj*s_CF_beet),".")</f>
        <v>7.2727272727272723E-11</v>
      </c>
      <c r="AF25" s="115">
        <f>IFERROR(s_TR/(up_RadSpec!$E25*s_IFBE_far_adj*s_CF_berries),".")</f>
        <v>7.2727272727272723E-11</v>
      </c>
      <c r="AG25" s="115">
        <f>IFERROR(s_TR/(up_RadSpec!$E25*s_IFBR_far_adj*s_CF_broccoli),".")</f>
        <v>7.2727272727272723E-11</v>
      </c>
      <c r="AH25" s="115">
        <f>IFERROR(s_TR/(up_RadSpec!$E25*s_IFCB_far_adj*s_CF_cabbage),".")</f>
        <v>7.2727272727272723E-11</v>
      </c>
      <c r="AI25" s="115">
        <f>IFERROR(s_TR/(up_RadSpec!$E25*s_IFCR_far_adj*s_CF_carrot),".")</f>
        <v>7.2727272727272723E-11</v>
      </c>
      <c r="AJ25" s="115">
        <f>IFERROR(s_TR/(up_RadSpec!$E25*s_IFCI_far_adj*s_CF_citrus),".")</f>
        <v>7.2727272727272723E-11</v>
      </c>
      <c r="AK25" s="115">
        <f>IFERROR(s_TR/(up_RadSpec!$E25*s_IFCO_far_adj*s_CF_corn),".")</f>
        <v>7.2727272727272723E-11</v>
      </c>
      <c r="AL25" s="115">
        <f>IFERROR(s_TR/(up_RadSpec!$E25*s_IFCU_far_adj*s_CF_cucumber),".")</f>
        <v>7.2727272727272723E-11</v>
      </c>
      <c r="AM25" s="115">
        <f>IFERROR(s_TR/(up_RadSpec!$E25*s_IFLE_far_adj*s_CF_lettuce),".")</f>
        <v>7.2727272727272723E-11</v>
      </c>
      <c r="AN25" s="115">
        <f>IFERROR(s_TR/(up_RadSpec!$E25*s_IFLI_far_adj*s_CF_lima_bean),".")</f>
        <v>7.2727272727272723E-11</v>
      </c>
      <c r="AO25" s="115">
        <f>IFERROR(s_TR/(up_RadSpec!$E25*s_IFOK_far_adj*s_CF_okra),".")</f>
        <v>7.2727272727272723E-11</v>
      </c>
      <c r="AP25" s="115">
        <f>IFERROR(s_TR/(up_RadSpec!$E25*s_IFON_far_adj*s_CF_onion),".")</f>
        <v>7.2727272727272723E-11</v>
      </c>
      <c r="AQ25" s="115">
        <f>IFERROR(s_TR/(up_RadSpec!$E25*s_IFPC_far_adj*s_CF_peach),".")</f>
        <v>7.2727272727272723E-11</v>
      </c>
      <c r="AR25" s="115">
        <f>IFERROR(s_TR/(up_RadSpec!$E25*s_IFPR_far_adj*s_CF_pear),".")</f>
        <v>7.2727272727272723E-11</v>
      </c>
      <c r="AS25" s="115">
        <f>IFERROR(s_TR/(up_RadSpec!$E25*s_IFPE_far_adj*s_CF_peas),".")</f>
        <v>7.2727272727272723E-11</v>
      </c>
      <c r="AT25" s="115">
        <f>IFERROR(s_TR/(up_RadSpec!$E25*s_IFPT_far_adj*s_CF_potato),".")</f>
        <v>7.2727272727272723E-11</v>
      </c>
      <c r="AU25" s="115">
        <f>IFERROR(s_TR/(up_RadSpec!$E25*s_IFPU_far_adj*s_CF_pumpkin),".")</f>
        <v>7.2727272727272723E-11</v>
      </c>
      <c r="AV25" s="115">
        <f>IFERROR(s_TR/(up_RadSpec!$E25*s_IFSN_far_adj*s_CF_snap_bean),".")</f>
        <v>7.2727272727272723E-11</v>
      </c>
      <c r="AW25" s="115">
        <f>IFERROR(s_TR/(up_RadSpec!$E25*s_IFST_far_adj*s_CF_strawberry),".")</f>
        <v>7.2727272727272723E-11</v>
      </c>
      <c r="AX25" s="115">
        <f>IFERROR(s_TR/(up_RadSpec!$E25*s_IFTO_far_adj*s_CF_tomato),".")</f>
        <v>7.2727272727272723E-11</v>
      </c>
      <c r="AY25" s="115">
        <f>IFERROR(s_TR/(up_RadSpec!$E25*s_IFRI_far_adj*s_CF_rice),".")</f>
        <v>7.2727272727272723E-11</v>
      </c>
      <c r="AZ25" s="115">
        <f>IFERROR(s_TR/(up_RadSpec!$E25*s_IFCG_far_adj*s_CF_cereal),".")</f>
        <v>7.2727272727272723E-11</v>
      </c>
      <c r="BA25" s="93">
        <f t="shared" si="1"/>
        <v>55000</v>
      </c>
      <c r="BB25" s="93">
        <f t="shared" si="2"/>
        <v>13750</v>
      </c>
      <c r="BC25" s="93">
        <f t="shared" si="3"/>
        <v>13750</v>
      </c>
      <c r="BD25" s="93">
        <f t="shared" si="4"/>
        <v>13750</v>
      </c>
      <c r="BE25" s="93">
        <f t="shared" si="5"/>
        <v>13750</v>
      </c>
      <c r="BF25" s="93">
        <f t="shared" si="6"/>
        <v>13750</v>
      </c>
      <c r="BG25" s="93">
        <f t="shared" si="7"/>
        <v>13750</v>
      </c>
      <c r="BH25" s="93">
        <f t="shared" si="8"/>
        <v>13750</v>
      </c>
      <c r="BI25" s="93">
        <f t="shared" si="9"/>
        <v>13750</v>
      </c>
      <c r="BJ25" s="93">
        <f t="shared" si="10"/>
        <v>13750</v>
      </c>
      <c r="BK25" s="93">
        <f t="shared" si="11"/>
        <v>13750</v>
      </c>
      <c r="BL25" s="93">
        <f t="shared" si="12"/>
        <v>13750</v>
      </c>
      <c r="BM25" s="93">
        <f t="shared" si="13"/>
        <v>13750</v>
      </c>
      <c r="BN25" s="93">
        <f t="shared" si="14"/>
        <v>13750</v>
      </c>
      <c r="BO25" s="93">
        <f t="shared" si="15"/>
        <v>13750</v>
      </c>
      <c r="BP25" s="93">
        <f t="shared" si="16"/>
        <v>13750</v>
      </c>
      <c r="BQ25" s="93">
        <f t="shared" si="17"/>
        <v>13750</v>
      </c>
      <c r="BR25" s="93">
        <f t="shared" si="18"/>
        <v>13750</v>
      </c>
      <c r="BS25" s="93">
        <f t="shared" si="19"/>
        <v>13750</v>
      </c>
      <c r="BT25" s="93">
        <f t="shared" si="20"/>
        <v>13750</v>
      </c>
      <c r="BU25" s="93">
        <f t="shared" si="21"/>
        <v>13750</v>
      </c>
      <c r="BV25" s="93">
        <f t="shared" si="22"/>
        <v>13750</v>
      </c>
      <c r="BW25" s="93">
        <f t="shared" si="23"/>
        <v>13750</v>
      </c>
      <c r="BX25" s="93">
        <f t="shared" si="24"/>
        <v>13750</v>
      </c>
      <c r="BY25" s="93">
        <f t="shared" si="25"/>
        <v>13750</v>
      </c>
    </row>
    <row r="26" spans="1:77" x14ac:dyDescent="0.25">
      <c r="A26" s="92" t="s">
        <v>36</v>
      </c>
      <c r="B26" s="90" t="s">
        <v>1074</v>
      </c>
      <c r="C26" s="115">
        <f t="shared" si="0"/>
        <v>1.8181818181818181E-11</v>
      </c>
      <c r="D26" s="115">
        <f>IFERROR(s_TR/(up_RadSpec!$E26*s_IFAP_res_adj*s_CF_apple),".")</f>
        <v>7.2727272727272723E-11</v>
      </c>
      <c r="E26" s="115">
        <f>IFERROR(s_TR/(up_RadSpec!$E26*s_IFAS_res_adj*s_CF_asparagus),".")</f>
        <v>7.2727272727272723E-11</v>
      </c>
      <c r="F26" s="115">
        <f>IFERROR(s_TR/(up_RadSpec!$E26*s_IFBT_res_adj*s_CF_beet),".")</f>
        <v>7.2727272727272723E-11</v>
      </c>
      <c r="G26" s="115">
        <f>IFERROR(s_TR/(up_RadSpec!$E26*s_IFBE_res_adj*s_CF_berries),".")</f>
        <v>7.2727272727272723E-11</v>
      </c>
      <c r="H26" s="115">
        <f>IFERROR(s_TR/(up_RadSpec!$E26*s_IFBR_res_adj*s_CF_broccoli),".")</f>
        <v>7.2727272727272723E-11</v>
      </c>
      <c r="I26" s="115">
        <f>IFERROR(s_TR/(up_RadSpec!$E26*s_IFCB_res_adj*s_CF_cabbage),".")</f>
        <v>7.2727272727272723E-11</v>
      </c>
      <c r="J26" s="115">
        <f>IFERROR(s_TR/(up_RadSpec!$E26*s_IFCR_res_adj*s_CF_carrot),".")</f>
        <v>7.2727272727272723E-11</v>
      </c>
      <c r="K26" s="115">
        <f>IFERROR(s_TR/(up_RadSpec!$E26*s_IFCI_res_adj*s_CF_citrus),".")</f>
        <v>7.2727272727272723E-11</v>
      </c>
      <c r="L26" s="115">
        <f>IFERROR(s_TR/(up_RadSpec!$E26*s_IFCO_res_adj*s_CF_corn),".")</f>
        <v>7.2727272727272723E-11</v>
      </c>
      <c r="M26" s="115">
        <f>IFERROR(s_TR/(up_RadSpec!$E26*s_IFCU_res_adj*s_CF_cucumber),".")</f>
        <v>7.2727272727272723E-11</v>
      </c>
      <c r="N26" s="115">
        <f>IFERROR(s_TR/(up_RadSpec!$E26*s_IFLE_res_adj*s_CF_lettuce),".")</f>
        <v>7.2727272727272723E-11</v>
      </c>
      <c r="O26" s="115">
        <f>IFERROR(s_TR/(up_RadSpec!$E26*s_IFLI_res_adj*s_CF_lima_bean),".")</f>
        <v>7.2727272727272723E-11</v>
      </c>
      <c r="P26" s="115">
        <f>IFERROR(s_TR/(up_RadSpec!$E26*s_IFOK_res_adj*s_CF_okra),".")</f>
        <v>7.2727272727272723E-11</v>
      </c>
      <c r="Q26" s="115">
        <f>IFERROR(s_TR/(up_RadSpec!$E26*s_IFON_res_adj*s_CF_onion),".")</f>
        <v>7.2727272727272723E-11</v>
      </c>
      <c r="R26" s="115">
        <f>IFERROR(s_TR/(up_RadSpec!$E26*s_IFPC_res_adj*s_CF_peach),".")</f>
        <v>7.2727272727272723E-11</v>
      </c>
      <c r="S26" s="115">
        <f>IFERROR(s_TR/(up_RadSpec!$E26*s_IFPR_res_adj*s_CF_pear),".")</f>
        <v>7.2727272727272723E-11</v>
      </c>
      <c r="T26" s="115">
        <f>IFERROR(s_TR/(up_RadSpec!$E26*s_IFPE_res_adj*s_CF_peas),".")</f>
        <v>7.2727272727272723E-11</v>
      </c>
      <c r="U26" s="115">
        <f>IFERROR(s_TR/(up_RadSpec!$E26*s_IFPT_res_adj*s_CF_potato),".")</f>
        <v>7.2727272727272723E-11</v>
      </c>
      <c r="V26" s="115">
        <f>IFERROR(s_TR/(up_RadSpec!$E26*s_IFPU_res_adj*s_CF_pumpkin),".")</f>
        <v>7.2727272727272723E-11</v>
      </c>
      <c r="W26" s="115">
        <f>IFERROR(s_TR/(up_RadSpec!$E26*s_IFSN_res_adj*s_CF_snap_bean),".")</f>
        <v>7.2727272727272723E-11</v>
      </c>
      <c r="X26" s="115">
        <f>IFERROR(s_TR/(up_RadSpec!$E26*s_IFST_res_adj*s_CF_strawberry),".")</f>
        <v>7.2727272727272723E-11</v>
      </c>
      <c r="Y26" s="115">
        <f>IFERROR(s_TR/(up_RadSpec!$E26*s_IFTO_res_adj*s_CF_tomato),".")</f>
        <v>7.2727272727272723E-11</v>
      </c>
      <c r="Z26" s="115">
        <f>IFERROR(s_TR/(up_RadSpec!$E26*s_IFRI_res_adj*s_CF_rice),".")</f>
        <v>7.2727272727272723E-11</v>
      </c>
      <c r="AA26" s="115">
        <f>IFERROR(s_TR/(up_RadSpec!$E26*s_IFCG_res_adj*s_CF_cereal),".")</f>
        <v>7.2727272727272723E-11</v>
      </c>
      <c r="AB26" s="115">
        <f t="shared" si="26"/>
        <v>1.8181818181818181E-11</v>
      </c>
      <c r="AC26" s="115">
        <f>IFERROR(s_TR/(up_RadSpec!$E26*s_IFAP_far_adj*s_CF_apple),".")</f>
        <v>7.2727272727272723E-11</v>
      </c>
      <c r="AD26" s="115">
        <f>IFERROR(s_TR/(up_RadSpec!$E26*s_IFAS_far_adj*s_CF_asparagus),".")</f>
        <v>7.2727272727272723E-11</v>
      </c>
      <c r="AE26" s="115">
        <f>IFERROR(s_TR/(up_RadSpec!$E26*s_IFBT_far_adj*s_CF_beet),".")</f>
        <v>7.2727272727272723E-11</v>
      </c>
      <c r="AF26" s="115">
        <f>IFERROR(s_TR/(up_RadSpec!$E26*s_IFBE_far_adj*s_CF_berries),".")</f>
        <v>7.2727272727272723E-11</v>
      </c>
      <c r="AG26" s="115">
        <f>IFERROR(s_TR/(up_RadSpec!$E26*s_IFBR_far_adj*s_CF_broccoli),".")</f>
        <v>7.2727272727272723E-11</v>
      </c>
      <c r="AH26" s="115">
        <f>IFERROR(s_TR/(up_RadSpec!$E26*s_IFCB_far_adj*s_CF_cabbage),".")</f>
        <v>7.2727272727272723E-11</v>
      </c>
      <c r="AI26" s="115">
        <f>IFERROR(s_TR/(up_RadSpec!$E26*s_IFCR_far_adj*s_CF_carrot),".")</f>
        <v>7.2727272727272723E-11</v>
      </c>
      <c r="AJ26" s="115">
        <f>IFERROR(s_TR/(up_RadSpec!$E26*s_IFCI_far_adj*s_CF_citrus),".")</f>
        <v>7.2727272727272723E-11</v>
      </c>
      <c r="AK26" s="115">
        <f>IFERROR(s_TR/(up_RadSpec!$E26*s_IFCO_far_adj*s_CF_corn),".")</f>
        <v>7.2727272727272723E-11</v>
      </c>
      <c r="AL26" s="115">
        <f>IFERROR(s_TR/(up_RadSpec!$E26*s_IFCU_far_adj*s_CF_cucumber),".")</f>
        <v>7.2727272727272723E-11</v>
      </c>
      <c r="AM26" s="115">
        <f>IFERROR(s_TR/(up_RadSpec!$E26*s_IFLE_far_adj*s_CF_lettuce),".")</f>
        <v>7.2727272727272723E-11</v>
      </c>
      <c r="AN26" s="115">
        <f>IFERROR(s_TR/(up_RadSpec!$E26*s_IFLI_far_adj*s_CF_lima_bean),".")</f>
        <v>7.2727272727272723E-11</v>
      </c>
      <c r="AO26" s="115">
        <f>IFERROR(s_TR/(up_RadSpec!$E26*s_IFOK_far_adj*s_CF_okra),".")</f>
        <v>7.2727272727272723E-11</v>
      </c>
      <c r="AP26" s="115">
        <f>IFERROR(s_TR/(up_RadSpec!$E26*s_IFON_far_adj*s_CF_onion),".")</f>
        <v>7.2727272727272723E-11</v>
      </c>
      <c r="AQ26" s="115">
        <f>IFERROR(s_TR/(up_RadSpec!$E26*s_IFPC_far_adj*s_CF_peach),".")</f>
        <v>7.2727272727272723E-11</v>
      </c>
      <c r="AR26" s="115">
        <f>IFERROR(s_TR/(up_RadSpec!$E26*s_IFPR_far_adj*s_CF_pear),".")</f>
        <v>7.2727272727272723E-11</v>
      </c>
      <c r="AS26" s="115">
        <f>IFERROR(s_TR/(up_RadSpec!$E26*s_IFPE_far_adj*s_CF_peas),".")</f>
        <v>7.2727272727272723E-11</v>
      </c>
      <c r="AT26" s="115">
        <f>IFERROR(s_TR/(up_RadSpec!$E26*s_IFPT_far_adj*s_CF_potato),".")</f>
        <v>7.2727272727272723E-11</v>
      </c>
      <c r="AU26" s="115">
        <f>IFERROR(s_TR/(up_RadSpec!$E26*s_IFPU_far_adj*s_CF_pumpkin),".")</f>
        <v>7.2727272727272723E-11</v>
      </c>
      <c r="AV26" s="115">
        <f>IFERROR(s_TR/(up_RadSpec!$E26*s_IFSN_far_adj*s_CF_snap_bean),".")</f>
        <v>7.2727272727272723E-11</v>
      </c>
      <c r="AW26" s="115">
        <f>IFERROR(s_TR/(up_RadSpec!$E26*s_IFST_far_adj*s_CF_strawberry),".")</f>
        <v>7.2727272727272723E-11</v>
      </c>
      <c r="AX26" s="115">
        <f>IFERROR(s_TR/(up_RadSpec!$E26*s_IFTO_far_adj*s_CF_tomato),".")</f>
        <v>7.2727272727272723E-11</v>
      </c>
      <c r="AY26" s="115">
        <f>IFERROR(s_TR/(up_RadSpec!$E26*s_IFRI_far_adj*s_CF_rice),".")</f>
        <v>7.2727272727272723E-11</v>
      </c>
      <c r="AZ26" s="115">
        <f>IFERROR(s_TR/(up_RadSpec!$E26*s_IFCG_far_adj*s_CF_cereal),".")</f>
        <v>7.2727272727272723E-11</v>
      </c>
      <c r="BA26" s="93">
        <f t="shared" si="1"/>
        <v>55000</v>
      </c>
      <c r="BB26" s="93">
        <f t="shared" si="2"/>
        <v>13750</v>
      </c>
      <c r="BC26" s="93">
        <f t="shared" si="3"/>
        <v>13750</v>
      </c>
      <c r="BD26" s="93">
        <f t="shared" si="4"/>
        <v>13750</v>
      </c>
      <c r="BE26" s="93">
        <f t="shared" si="5"/>
        <v>13750</v>
      </c>
      <c r="BF26" s="93">
        <f t="shared" si="6"/>
        <v>13750</v>
      </c>
      <c r="BG26" s="93">
        <f t="shared" si="7"/>
        <v>13750</v>
      </c>
      <c r="BH26" s="93">
        <f t="shared" si="8"/>
        <v>13750</v>
      </c>
      <c r="BI26" s="93">
        <f t="shared" si="9"/>
        <v>13750</v>
      </c>
      <c r="BJ26" s="93">
        <f t="shared" si="10"/>
        <v>13750</v>
      </c>
      <c r="BK26" s="93">
        <f t="shared" si="11"/>
        <v>13750</v>
      </c>
      <c r="BL26" s="93">
        <f t="shared" si="12"/>
        <v>13750</v>
      </c>
      <c r="BM26" s="93">
        <f t="shared" si="13"/>
        <v>13750</v>
      </c>
      <c r="BN26" s="93">
        <f t="shared" si="14"/>
        <v>13750</v>
      </c>
      <c r="BO26" s="93">
        <f t="shared" si="15"/>
        <v>13750</v>
      </c>
      <c r="BP26" s="93">
        <f t="shared" si="16"/>
        <v>13750</v>
      </c>
      <c r="BQ26" s="93">
        <f t="shared" si="17"/>
        <v>13750</v>
      </c>
      <c r="BR26" s="93">
        <f t="shared" si="18"/>
        <v>13750</v>
      </c>
      <c r="BS26" s="93">
        <f t="shared" si="19"/>
        <v>13750</v>
      </c>
      <c r="BT26" s="93">
        <f t="shared" si="20"/>
        <v>13750</v>
      </c>
      <c r="BU26" s="93">
        <f t="shared" si="21"/>
        <v>13750</v>
      </c>
      <c r="BV26" s="93">
        <f t="shared" si="22"/>
        <v>13750</v>
      </c>
      <c r="BW26" s="93">
        <f t="shared" si="23"/>
        <v>13750</v>
      </c>
      <c r="BX26" s="93">
        <f t="shared" si="24"/>
        <v>13750</v>
      </c>
      <c r="BY26" s="93">
        <f t="shared" si="25"/>
        <v>13750</v>
      </c>
    </row>
    <row r="27" spans="1:77" x14ac:dyDescent="0.25">
      <c r="A27" s="92" t="s">
        <v>37</v>
      </c>
      <c r="B27" s="90" t="s">
        <v>1074</v>
      </c>
      <c r="C27" s="115">
        <f t="shared" si="0"/>
        <v>1.8181818181818181E-11</v>
      </c>
      <c r="D27" s="115">
        <f>IFERROR(s_TR/(up_RadSpec!$E27*s_IFAP_res_adj*s_CF_apple),".")</f>
        <v>7.2727272727272723E-11</v>
      </c>
      <c r="E27" s="115">
        <f>IFERROR(s_TR/(up_RadSpec!$E27*s_IFAS_res_adj*s_CF_asparagus),".")</f>
        <v>7.2727272727272723E-11</v>
      </c>
      <c r="F27" s="115">
        <f>IFERROR(s_TR/(up_RadSpec!$E27*s_IFBT_res_adj*s_CF_beet),".")</f>
        <v>7.2727272727272723E-11</v>
      </c>
      <c r="G27" s="115">
        <f>IFERROR(s_TR/(up_RadSpec!$E27*s_IFBE_res_adj*s_CF_berries),".")</f>
        <v>7.2727272727272723E-11</v>
      </c>
      <c r="H27" s="115">
        <f>IFERROR(s_TR/(up_RadSpec!$E27*s_IFBR_res_adj*s_CF_broccoli),".")</f>
        <v>7.2727272727272723E-11</v>
      </c>
      <c r="I27" s="115">
        <f>IFERROR(s_TR/(up_RadSpec!$E27*s_IFCB_res_adj*s_CF_cabbage),".")</f>
        <v>7.2727272727272723E-11</v>
      </c>
      <c r="J27" s="115">
        <f>IFERROR(s_TR/(up_RadSpec!$E27*s_IFCR_res_adj*s_CF_carrot),".")</f>
        <v>7.2727272727272723E-11</v>
      </c>
      <c r="K27" s="115">
        <f>IFERROR(s_TR/(up_RadSpec!$E27*s_IFCI_res_adj*s_CF_citrus),".")</f>
        <v>7.2727272727272723E-11</v>
      </c>
      <c r="L27" s="115">
        <f>IFERROR(s_TR/(up_RadSpec!$E27*s_IFCO_res_adj*s_CF_corn),".")</f>
        <v>7.2727272727272723E-11</v>
      </c>
      <c r="M27" s="115">
        <f>IFERROR(s_TR/(up_RadSpec!$E27*s_IFCU_res_adj*s_CF_cucumber),".")</f>
        <v>7.2727272727272723E-11</v>
      </c>
      <c r="N27" s="115">
        <f>IFERROR(s_TR/(up_RadSpec!$E27*s_IFLE_res_adj*s_CF_lettuce),".")</f>
        <v>7.2727272727272723E-11</v>
      </c>
      <c r="O27" s="115">
        <f>IFERROR(s_TR/(up_RadSpec!$E27*s_IFLI_res_adj*s_CF_lima_bean),".")</f>
        <v>7.2727272727272723E-11</v>
      </c>
      <c r="P27" s="115">
        <f>IFERROR(s_TR/(up_RadSpec!$E27*s_IFOK_res_adj*s_CF_okra),".")</f>
        <v>7.2727272727272723E-11</v>
      </c>
      <c r="Q27" s="115">
        <f>IFERROR(s_TR/(up_RadSpec!$E27*s_IFON_res_adj*s_CF_onion),".")</f>
        <v>7.2727272727272723E-11</v>
      </c>
      <c r="R27" s="115">
        <f>IFERROR(s_TR/(up_RadSpec!$E27*s_IFPC_res_adj*s_CF_peach),".")</f>
        <v>7.2727272727272723E-11</v>
      </c>
      <c r="S27" s="115">
        <f>IFERROR(s_TR/(up_RadSpec!$E27*s_IFPR_res_adj*s_CF_pear),".")</f>
        <v>7.2727272727272723E-11</v>
      </c>
      <c r="T27" s="115">
        <f>IFERROR(s_TR/(up_RadSpec!$E27*s_IFPE_res_adj*s_CF_peas),".")</f>
        <v>7.2727272727272723E-11</v>
      </c>
      <c r="U27" s="115">
        <f>IFERROR(s_TR/(up_RadSpec!$E27*s_IFPT_res_adj*s_CF_potato),".")</f>
        <v>7.2727272727272723E-11</v>
      </c>
      <c r="V27" s="115">
        <f>IFERROR(s_TR/(up_RadSpec!$E27*s_IFPU_res_adj*s_CF_pumpkin),".")</f>
        <v>7.2727272727272723E-11</v>
      </c>
      <c r="W27" s="115">
        <f>IFERROR(s_TR/(up_RadSpec!$E27*s_IFSN_res_adj*s_CF_snap_bean),".")</f>
        <v>7.2727272727272723E-11</v>
      </c>
      <c r="X27" s="115">
        <f>IFERROR(s_TR/(up_RadSpec!$E27*s_IFST_res_adj*s_CF_strawberry),".")</f>
        <v>7.2727272727272723E-11</v>
      </c>
      <c r="Y27" s="115">
        <f>IFERROR(s_TR/(up_RadSpec!$E27*s_IFTO_res_adj*s_CF_tomato),".")</f>
        <v>7.2727272727272723E-11</v>
      </c>
      <c r="Z27" s="115">
        <f>IFERROR(s_TR/(up_RadSpec!$E27*s_IFRI_res_adj*s_CF_rice),".")</f>
        <v>7.2727272727272723E-11</v>
      </c>
      <c r="AA27" s="115">
        <f>IFERROR(s_TR/(up_RadSpec!$E27*s_IFCG_res_adj*s_CF_cereal),".")</f>
        <v>7.2727272727272723E-11</v>
      </c>
      <c r="AB27" s="115">
        <f t="shared" si="26"/>
        <v>1.8181818181818181E-11</v>
      </c>
      <c r="AC27" s="115">
        <f>IFERROR(s_TR/(up_RadSpec!$E27*s_IFAP_far_adj*s_CF_apple),".")</f>
        <v>7.2727272727272723E-11</v>
      </c>
      <c r="AD27" s="115">
        <f>IFERROR(s_TR/(up_RadSpec!$E27*s_IFAS_far_adj*s_CF_asparagus),".")</f>
        <v>7.2727272727272723E-11</v>
      </c>
      <c r="AE27" s="115">
        <f>IFERROR(s_TR/(up_RadSpec!$E27*s_IFBT_far_adj*s_CF_beet),".")</f>
        <v>7.2727272727272723E-11</v>
      </c>
      <c r="AF27" s="115">
        <f>IFERROR(s_TR/(up_RadSpec!$E27*s_IFBE_far_adj*s_CF_berries),".")</f>
        <v>7.2727272727272723E-11</v>
      </c>
      <c r="AG27" s="115">
        <f>IFERROR(s_TR/(up_RadSpec!$E27*s_IFBR_far_adj*s_CF_broccoli),".")</f>
        <v>7.2727272727272723E-11</v>
      </c>
      <c r="AH27" s="115">
        <f>IFERROR(s_TR/(up_RadSpec!$E27*s_IFCB_far_adj*s_CF_cabbage),".")</f>
        <v>7.2727272727272723E-11</v>
      </c>
      <c r="AI27" s="115">
        <f>IFERROR(s_TR/(up_RadSpec!$E27*s_IFCR_far_adj*s_CF_carrot),".")</f>
        <v>7.2727272727272723E-11</v>
      </c>
      <c r="AJ27" s="115">
        <f>IFERROR(s_TR/(up_RadSpec!$E27*s_IFCI_far_adj*s_CF_citrus),".")</f>
        <v>7.2727272727272723E-11</v>
      </c>
      <c r="AK27" s="115">
        <f>IFERROR(s_TR/(up_RadSpec!$E27*s_IFCO_far_adj*s_CF_corn),".")</f>
        <v>7.2727272727272723E-11</v>
      </c>
      <c r="AL27" s="115">
        <f>IFERROR(s_TR/(up_RadSpec!$E27*s_IFCU_far_adj*s_CF_cucumber),".")</f>
        <v>7.2727272727272723E-11</v>
      </c>
      <c r="AM27" s="115">
        <f>IFERROR(s_TR/(up_RadSpec!$E27*s_IFLE_far_adj*s_CF_lettuce),".")</f>
        <v>7.2727272727272723E-11</v>
      </c>
      <c r="AN27" s="115">
        <f>IFERROR(s_TR/(up_RadSpec!$E27*s_IFLI_far_adj*s_CF_lima_bean),".")</f>
        <v>7.2727272727272723E-11</v>
      </c>
      <c r="AO27" s="115">
        <f>IFERROR(s_TR/(up_RadSpec!$E27*s_IFOK_far_adj*s_CF_okra),".")</f>
        <v>7.2727272727272723E-11</v>
      </c>
      <c r="AP27" s="115">
        <f>IFERROR(s_TR/(up_RadSpec!$E27*s_IFON_far_adj*s_CF_onion),".")</f>
        <v>7.2727272727272723E-11</v>
      </c>
      <c r="AQ27" s="115">
        <f>IFERROR(s_TR/(up_RadSpec!$E27*s_IFPC_far_adj*s_CF_peach),".")</f>
        <v>7.2727272727272723E-11</v>
      </c>
      <c r="AR27" s="115">
        <f>IFERROR(s_TR/(up_RadSpec!$E27*s_IFPR_far_adj*s_CF_pear),".")</f>
        <v>7.2727272727272723E-11</v>
      </c>
      <c r="AS27" s="115">
        <f>IFERROR(s_TR/(up_RadSpec!$E27*s_IFPE_far_adj*s_CF_peas),".")</f>
        <v>7.2727272727272723E-11</v>
      </c>
      <c r="AT27" s="115">
        <f>IFERROR(s_TR/(up_RadSpec!$E27*s_IFPT_far_adj*s_CF_potato),".")</f>
        <v>7.2727272727272723E-11</v>
      </c>
      <c r="AU27" s="115">
        <f>IFERROR(s_TR/(up_RadSpec!$E27*s_IFPU_far_adj*s_CF_pumpkin),".")</f>
        <v>7.2727272727272723E-11</v>
      </c>
      <c r="AV27" s="115">
        <f>IFERROR(s_TR/(up_RadSpec!$E27*s_IFSN_far_adj*s_CF_snap_bean),".")</f>
        <v>7.2727272727272723E-11</v>
      </c>
      <c r="AW27" s="115">
        <f>IFERROR(s_TR/(up_RadSpec!$E27*s_IFST_far_adj*s_CF_strawberry),".")</f>
        <v>7.2727272727272723E-11</v>
      </c>
      <c r="AX27" s="115">
        <f>IFERROR(s_TR/(up_RadSpec!$E27*s_IFTO_far_adj*s_CF_tomato),".")</f>
        <v>7.2727272727272723E-11</v>
      </c>
      <c r="AY27" s="115">
        <f>IFERROR(s_TR/(up_RadSpec!$E27*s_IFRI_far_adj*s_CF_rice),".")</f>
        <v>7.2727272727272723E-11</v>
      </c>
      <c r="AZ27" s="115">
        <f>IFERROR(s_TR/(up_RadSpec!$E27*s_IFCG_far_adj*s_CF_cereal),".")</f>
        <v>7.2727272727272723E-11</v>
      </c>
      <c r="BA27" s="93">
        <f t="shared" si="1"/>
        <v>55000</v>
      </c>
      <c r="BB27" s="93">
        <f t="shared" si="2"/>
        <v>13750</v>
      </c>
      <c r="BC27" s="93">
        <f t="shared" si="3"/>
        <v>13750</v>
      </c>
      <c r="BD27" s="93">
        <f t="shared" si="4"/>
        <v>13750</v>
      </c>
      <c r="BE27" s="93">
        <f t="shared" si="5"/>
        <v>13750</v>
      </c>
      <c r="BF27" s="93">
        <f t="shared" si="6"/>
        <v>13750</v>
      </c>
      <c r="BG27" s="93">
        <f t="shared" si="7"/>
        <v>13750</v>
      </c>
      <c r="BH27" s="93">
        <f t="shared" si="8"/>
        <v>13750</v>
      </c>
      <c r="BI27" s="93">
        <f t="shared" si="9"/>
        <v>13750</v>
      </c>
      <c r="BJ27" s="93">
        <f t="shared" si="10"/>
        <v>13750</v>
      </c>
      <c r="BK27" s="93">
        <f t="shared" si="11"/>
        <v>13750</v>
      </c>
      <c r="BL27" s="93">
        <f t="shared" si="12"/>
        <v>13750</v>
      </c>
      <c r="BM27" s="93">
        <f t="shared" si="13"/>
        <v>13750</v>
      </c>
      <c r="BN27" s="93">
        <f t="shared" si="14"/>
        <v>13750</v>
      </c>
      <c r="BO27" s="93">
        <f t="shared" si="15"/>
        <v>13750</v>
      </c>
      <c r="BP27" s="93">
        <f t="shared" si="16"/>
        <v>13750</v>
      </c>
      <c r="BQ27" s="93">
        <f t="shared" si="17"/>
        <v>13750</v>
      </c>
      <c r="BR27" s="93">
        <f t="shared" si="18"/>
        <v>13750</v>
      </c>
      <c r="BS27" s="93">
        <f t="shared" si="19"/>
        <v>13750</v>
      </c>
      <c r="BT27" s="93">
        <f t="shared" si="20"/>
        <v>13750</v>
      </c>
      <c r="BU27" s="93">
        <f t="shared" si="21"/>
        <v>13750</v>
      </c>
      <c r="BV27" s="93">
        <f t="shared" si="22"/>
        <v>13750</v>
      </c>
      <c r="BW27" s="93">
        <f t="shared" si="23"/>
        <v>13750</v>
      </c>
      <c r="BX27" s="93">
        <f t="shared" si="24"/>
        <v>13750</v>
      </c>
      <c r="BY27" s="93">
        <f t="shared" si="25"/>
        <v>13750</v>
      </c>
    </row>
    <row r="28" spans="1:77" x14ac:dyDescent="0.25">
      <c r="A28" s="92" t="s">
        <v>38</v>
      </c>
      <c r="B28" s="90" t="s">
        <v>1074</v>
      </c>
      <c r="C28" s="115">
        <f t="shared" si="0"/>
        <v>1.8181818181818181E-11</v>
      </c>
      <c r="D28" s="115">
        <f>IFERROR(s_TR/(up_RadSpec!$E28*s_IFAP_res_adj*s_CF_apple),".")</f>
        <v>7.2727272727272723E-11</v>
      </c>
      <c r="E28" s="115">
        <f>IFERROR(s_TR/(up_RadSpec!$E28*s_IFAS_res_adj*s_CF_asparagus),".")</f>
        <v>7.2727272727272723E-11</v>
      </c>
      <c r="F28" s="115">
        <f>IFERROR(s_TR/(up_RadSpec!$E28*s_IFBT_res_adj*s_CF_beet),".")</f>
        <v>7.2727272727272723E-11</v>
      </c>
      <c r="G28" s="115">
        <f>IFERROR(s_TR/(up_RadSpec!$E28*s_IFBE_res_adj*s_CF_berries),".")</f>
        <v>7.2727272727272723E-11</v>
      </c>
      <c r="H28" s="115">
        <f>IFERROR(s_TR/(up_RadSpec!$E28*s_IFBR_res_adj*s_CF_broccoli),".")</f>
        <v>7.2727272727272723E-11</v>
      </c>
      <c r="I28" s="115">
        <f>IFERROR(s_TR/(up_RadSpec!$E28*s_IFCB_res_adj*s_CF_cabbage),".")</f>
        <v>7.2727272727272723E-11</v>
      </c>
      <c r="J28" s="115">
        <f>IFERROR(s_TR/(up_RadSpec!$E28*s_IFCR_res_adj*s_CF_carrot),".")</f>
        <v>7.2727272727272723E-11</v>
      </c>
      <c r="K28" s="115">
        <f>IFERROR(s_TR/(up_RadSpec!$E28*s_IFCI_res_adj*s_CF_citrus),".")</f>
        <v>7.2727272727272723E-11</v>
      </c>
      <c r="L28" s="115">
        <f>IFERROR(s_TR/(up_RadSpec!$E28*s_IFCO_res_adj*s_CF_corn),".")</f>
        <v>7.2727272727272723E-11</v>
      </c>
      <c r="M28" s="115">
        <f>IFERROR(s_TR/(up_RadSpec!$E28*s_IFCU_res_adj*s_CF_cucumber),".")</f>
        <v>7.2727272727272723E-11</v>
      </c>
      <c r="N28" s="115">
        <f>IFERROR(s_TR/(up_RadSpec!$E28*s_IFLE_res_adj*s_CF_lettuce),".")</f>
        <v>7.2727272727272723E-11</v>
      </c>
      <c r="O28" s="115">
        <f>IFERROR(s_TR/(up_RadSpec!$E28*s_IFLI_res_adj*s_CF_lima_bean),".")</f>
        <v>7.2727272727272723E-11</v>
      </c>
      <c r="P28" s="115">
        <f>IFERROR(s_TR/(up_RadSpec!$E28*s_IFOK_res_adj*s_CF_okra),".")</f>
        <v>7.2727272727272723E-11</v>
      </c>
      <c r="Q28" s="115">
        <f>IFERROR(s_TR/(up_RadSpec!$E28*s_IFON_res_adj*s_CF_onion),".")</f>
        <v>7.2727272727272723E-11</v>
      </c>
      <c r="R28" s="115">
        <f>IFERROR(s_TR/(up_RadSpec!$E28*s_IFPC_res_adj*s_CF_peach),".")</f>
        <v>7.2727272727272723E-11</v>
      </c>
      <c r="S28" s="115">
        <f>IFERROR(s_TR/(up_RadSpec!$E28*s_IFPR_res_adj*s_CF_pear),".")</f>
        <v>7.2727272727272723E-11</v>
      </c>
      <c r="T28" s="115">
        <f>IFERROR(s_TR/(up_RadSpec!$E28*s_IFPE_res_adj*s_CF_peas),".")</f>
        <v>7.2727272727272723E-11</v>
      </c>
      <c r="U28" s="115">
        <f>IFERROR(s_TR/(up_RadSpec!$E28*s_IFPT_res_adj*s_CF_potato),".")</f>
        <v>7.2727272727272723E-11</v>
      </c>
      <c r="V28" s="115">
        <f>IFERROR(s_TR/(up_RadSpec!$E28*s_IFPU_res_adj*s_CF_pumpkin),".")</f>
        <v>7.2727272727272723E-11</v>
      </c>
      <c r="W28" s="115">
        <f>IFERROR(s_TR/(up_RadSpec!$E28*s_IFSN_res_adj*s_CF_snap_bean),".")</f>
        <v>7.2727272727272723E-11</v>
      </c>
      <c r="X28" s="115">
        <f>IFERROR(s_TR/(up_RadSpec!$E28*s_IFST_res_adj*s_CF_strawberry),".")</f>
        <v>7.2727272727272723E-11</v>
      </c>
      <c r="Y28" s="115">
        <f>IFERROR(s_TR/(up_RadSpec!$E28*s_IFTO_res_adj*s_CF_tomato),".")</f>
        <v>7.2727272727272723E-11</v>
      </c>
      <c r="Z28" s="115">
        <f>IFERROR(s_TR/(up_RadSpec!$E28*s_IFRI_res_adj*s_CF_rice),".")</f>
        <v>7.2727272727272723E-11</v>
      </c>
      <c r="AA28" s="115">
        <f>IFERROR(s_TR/(up_RadSpec!$E28*s_IFCG_res_adj*s_CF_cereal),".")</f>
        <v>7.2727272727272723E-11</v>
      </c>
      <c r="AB28" s="115">
        <f t="shared" si="26"/>
        <v>1.8181818181818181E-11</v>
      </c>
      <c r="AC28" s="115">
        <f>IFERROR(s_TR/(up_RadSpec!$E28*s_IFAP_far_adj*s_CF_apple),".")</f>
        <v>7.2727272727272723E-11</v>
      </c>
      <c r="AD28" s="115">
        <f>IFERROR(s_TR/(up_RadSpec!$E28*s_IFAS_far_adj*s_CF_asparagus),".")</f>
        <v>7.2727272727272723E-11</v>
      </c>
      <c r="AE28" s="115">
        <f>IFERROR(s_TR/(up_RadSpec!$E28*s_IFBT_far_adj*s_CF_beet),".")</f>
        <v>7.2727272727272723E-11</v>
      </c>
      <c r="AF28" s="115">
        <f>IFERROR(s_TR/(up_RadSpec!$E28*s_IFBE_far_adj*s_CF_berries),".")</f>
        <v>7.2727272727272723E-11</v>
      </c>
      <c r="AG28" s="115">
        <f>IFERROR(s_TR/(up_RadSpec!$E28*s_IFBR_far_adj*s_CF_broccoli),".")</f>
        <v>7.2727272727272723E-11</v>
      </c>
      <c r="AH28" s="115">
        <f>IFERROR(s_TR/(up_RadSpec!$E28*s_IFCB_far_adj*s_CF_cabbage),".")</f>
        <v>7.2727272727272723E-11</v>
      </c>
      <c r="AI28" s="115">
        <f>IFERROR(s_TR/(up_RadSpec!$E28*s_IFCR_far_adj*s_CF_carrot),".")</f>
        <v>7.2727272727272723E-11</v>
      </c>
      <c r="AJ28" s="115">
        <f>IFERROR(s_TR/(up_RadSpec!$E28*s_IFCI_far_adj*s_CF_citrus),".")</f>
        <v>7.2727272727272723E-11</v>
      </c>
      <c r="AK28" s="115">
        <f>IFERROR(s_TR/(up_RadSpec!$E28*s_IFCO_far_adj*s_CF_corn),".")</f>
        <v>7.2727272727272723E-11</v>
      </c>
      <c r="AL28" s="115">
        <f>IFERROR(s_TR/(up_RadSpec!$E28*s_IFCU_far_adj*s_CF_cucumber),".")</f>
        <v>7.2727272727272723E-11</v>
      </c>
      <c r="AM28" s="115">
        <f>IFERROR(s_TR/(up_RadSpec!$E28*s_IFLE_far_adj*s_CF_lettuce),".")</f>
        <v>7.2727272727272723E-11</v>
      </c>
      <c r="AN28" s="115">
        <f>IFERROR(s_TR/(up_RadSpec!$E28*s_IFLI_far_adj*s_CF_lima_bean),".")</f>
        <v>7.2727272727272723E-11</v>
      </c>
      <c r="AO28" s="115">
        <f>IFERROR(s_TR/(up_RadSpec!$E28*s_IFOK_far_adj*s_CF_okra),".")</f>
        <v>7.2727272727272723E-11</v>
      </c>
      <c r="AP28" s="115">
        <f>IFERROR(s_TR/(up_RadSpec!$E28*s_IFON_far_adj*s_CF_onion),".")</f>
        <v>7.2727272727272723E-11</v>
      </c>
      <c r="AQ28" s="115">
        <f>IFERROR(s_TR/(up_RadSpec!$E28*s_IFPC_far_adj*s_CF_peach),".")</f>
        <v>7.2727272727272723E-11</v>
      </c>
      <c r="AR28" s="115">
        <f>IFERROR(s_TR/(up_RadSpec!$E28*s_IFPR_far_adj*s_CF_pear),".")</f>
        <v>7.2727272727272723E-11</v>
      </c>
      <c r="AS28" s="115">
        <f>IFERROR(s_TR/(up_RadSpec!$E28*s_IFPE_far_adj*s_CF_peas),".")</f>
        <v>7.2727272727272723E-11</v>
      </c>
      <c r="AT28" s="115">
        <f>IFERROR(s_TR/(up_RadSpec!$E28*s_IFPT_far_adj*s_CF_potato),".")</f>
        <v>7.2727272727272723E-11</v>
      </c>
      <c r="AU28" s="115">
        <f>IFERROR(s_TR/(up_RadSpec!$E28*s_IFPU_far_adj*s_CF_pumpkin),".")</f>
        <v>7.2727272727272723E-11</v>
      </c>
      <c r="AV28" s="115">
        <f>IFERROR(s_TR/(up_RadSpec!$E28*s_IFSN_far_adj*s_CF_snap_bean),".")</f>
        <v>7.2727272727272723E-11</v>
      </c>
      <c r="AW28" s="115">
        <f>IFERROR(s_TR/(up_RadSpec!$E28*s_IFST_far_adj*s_CF_strawberry),".")</f>
        <v>7.2727272727272723E-11</v>
      </c>
      <c r="AX28" s="115">
        <f>IFERROR(s_TR/(up_RadSpec!$E28*s_IFTO_far_adj*s_CF_tomato),".")</f>
        <v>7.2727272727272723E-11</v>
      </c>
      <c r="AY28" s="115">
        <f>IFERROR(s_TR/(up_RadSpec!$E28*s_IFRI_far_adj*s_CF_rice),".")</f>
        <v>7.2727272727272723E-11</v>
      </c>
      <c r="AZ28" s="115">
        <f>IFERROR(s_TR/(up_RadSpec!$E28*s_IFCG_far_adj*s_CF_cereal),".")</f>
        <v>7.2727272727272723E-11</v>
      </c>
      <c r="BA28" s="93">
        <f t="shared" si="1"/>
        <v>55000</v>
      </c>
      <c r="BB28" s="93">
        <f t="shared" si="2"/>
        <v>13750</v>
      </c>
      <c r="BC28" s="93">
        <f t="shared" si="3"/>
        <v>13750</v>
      </c>
      <c r="BD28" s="93">
        <f t="shared" si="4"/>
        <v>13750</v>
      </c>
      <c r="BE28" s="93">
        <f t="shared" si="5"/>
        <v>13750</v>
      </c>
      <c r="BF28" s="93">
        <f t="shared" si="6"/>
        <v>13750</v>
      </c>
      <c r="BG28" s="93">
        <f t="shared" si="7"/>
        <v>13750</v>
      </c>
      <c r="BH28" s="93">
        <f t="shared" si="8"/>
        <v>13750</v>
      </c>
      <c r="BI28" s="93">
        <f t="shared" si="9"/>
        <v>13750</v>
      </c>
      <c r="BJ28" s="93">
        <f t="shared" si="10"/>
        <v>13750</v>
      </c>
      <c r="BK28" s="93">
        <f t="shared" si="11"/>
        <v>13750</v>
      </c>
      <c r="BL28" s="93">
        <f t="shared" si="12"/>
        <v>13750</v>
      </c>
      <c r="BM28" s="93">
        <f t="shared" si="13"/>
        <v>13750</v>
      </c>
      <c r="BN28" s="93">
        <f t="shared" si="14"/>
        <v>13750</v>
      </c>
      <c r="BO28" s="93">
        <f t="shared" si="15"/>
        <v>13750</v>
      </c>
      <c r="BP28" s="93">
        <f t="shared" si="16"/>
        <v>13750</v>
      </c>
      <c r="BQ28" s="93">
        <f t="shared" si="17"/>
        <v>13750</v>
      </c>
      <c r="BR28" s="93">
        <f t="shared" si="18"/>
        <v>13750</v>
      </c>
      <c r="BS28" s="93">
        <f t="shared" si="19"/>
        <v>13750</v>
      </c>
      <c r="BT28" s="93">
        <f t="shared" si="20"/>
        <v>13750</v>
      </c>
      <c r="BU28" s="93">
        <f t="shared" si="21"/>
        <v>13750</v>
      </c>
      <c r="BV28" s="93">
        <f t="shared" si="22"/>
        <v>13750</v>
      </c>
      <c r="BW28" s="93">
        <f t="shared" si="23"/>
        <v>13750</v>
      </c>
      <c r="BX28" s="93">
        <f t="shared" si="24"/>
        <v>13750</v>
      </c>
      <c r="BY28" s="93">
        <f t="shared" si="25"/>
        <v>13750</v>
      </c>
    </row>
    <row r="29" spans="1:77" x14ac:dyDescent="0.25">
      <c r="A29" s="92" t="s">
        <v>39</v>
      </c>
      <c r="B29" s="90" t="s">
        <v>1074</v>
      </c>
      <c r="C29" s="115">
        <f t="shared" si="0"/>
        <v>1.8181818181818181E-11</v>
      </c>
      <c r="D29" s="115">
        <f>IFERROR(s_TR/(up_RadSpec!$E29*s_IFAP_res_adj*s_CF_apple),".")</f>
        <v>7.2727272727272723E-11</v>
      </c>
      <c r="E29" s="115">
        <f>IFERROR(s_TR/(up_RadSpec!$E29*s_IFAS_res_adj*s_CF_asparagus),".")</f>
        <v>7.2727272727272723E-11</v>
      </c>
      <c r="F29" s="115">
        <f>IFERROR(s_TR/(up_RadSpec!$E29*s_IFBT_res_adj*s_CF_beet),".")</f>
        <v>7.2727272727272723E-11</v>
      </c>
      <c r="G29" s="115">
        <f>IFERROR(s_TR/(up_RadSpec!$E29*s_IFBE_res_adj*s_CF_berries),".")</f>
        <v>7.2727272727272723E-11</v>
      </c>
      <c r="H29" s="115">
        <f>IFERROR(s_TR/(up_RadSpec!$E29*s_IFBR_res_adj*s_CF_broccoli),".")</f>
        <v>7.2727272727272723E-11</v>
      </c>
      <c r="I29" s="115">
        <f>IFERROR(s_TR/(up_RadSpec!$E29*s_IFCB_res_adj*s_CF_cabbage),".")</f>
        <v>7.2727272727272723E-11</v>
      </c>
      <c r="J29" s="115">
        <f>IFERROR(s_TR/(up_RadSpec!$E29*s_IFCR_res_adj*s_CF_carrot),".")</f>
        <v>7.2727272727272723E-11</v>
      </c>
      <c r="K29" s="115">
        <f>IFERROR(s_TR/(up_RadSpec!$E29*s_IFCI_res_adj*s_CF_citrus),".")</f>
        <v>7.2727272727272723E-11</v>
      </c>
      <c r="L29" s="115">
        <f>IFERROR(s_TR/(up_RadSpec!$E29*s_IFCO_res_adj*s_CF_corn),".")</f>
        <v>7.2727272727272723E-11</v>
      </c>
      <c r="M29" s="115">
        <f>IFERROR(s_TR/(up_RadSpec!$E29*s_IFCU_res_adj*s_CF_cucumber),".")</f>
        <v>7.2727272727272723E-11</v>
      </c>
      <c r="N29" s="115">
        <f>IFERROR(s_TR/(up_RadSpec!$E29*s_IFLE_res_adj*s_CF_lettuce),".")</f>
        <v>7.2727272727272723E-11</v>
      </c>
      <c r="O29" s="115">
        <f>IFERROR(s_TR/(up_RadSpec!$E29*s_IFLI_res_adj*s_CF_lima_bean),".")</f>
        <v>7.2727272727272723E-11</v>
      </c>
      <c r="P29" s="115">
        <f>IFERROR(s_TR/(up_RadSpec!$E29*s_IFOK_res_adj*s_CF_okra),".")</f>
        <v>7.2727272727272723E-11</v>
      </c>
      <c r="Q29" s="115">
        <f>IFERROR(s_TR/(up_RadSpec!$E29*s_IFON_res_adj*s_CF_onion),".")</f>
        <v>7.2727272727272723E-11</v>
      </c>
      <c r="R29" s="115">
        <f>IFERROR(s_TR/(up_RadSpec!$E29*s_IFPC_res_adj*s_CF_peach),".")</f>
        <v>7.2727272727272723E-11</v>
      </c>
      <c r="S29" s="115">
        <f>IFERROR(s_TR/(up_RadSpec!$E29*s_IFPR_res_adj*s_CF_pear),".")</f>
        <v>7.2727272727272723E-11</v>
      </c>
      <c r="T29" s="115">
        <f>IFERROR(s_TR/(up_RadSpec!$E29*s_IFPE_res_adj*s_CF_peas),".")</f>
        <v>7.2727272727272723E-11</v>
      </c>
      <c r="U29" s="115">
        <f>IFERROR(s_TR/(up_RadSpec!$E29*s_IFPT_res_adj*s_CF_potato),".")</f>
        <v>7.2727272727272723E-11</v>
      </c>
      <c r="V29" s="115">
        <f>IFERROR(s_TR/(up_RadSpec!$E29*s_IFPU_res_adj*s_CF_pumpkin),".")</f>
        <v>7.2727272727272723E-11</v>
      </c>
      <c r="W29" s="115">
        <f>IFERROR(s_TR/(up_RadSpec!$E29*s_IFSN_res_adj*s_CF_snap_bean),".")</f>
        <v>7.2727272727272723E-11</v>
      </c>
      <c r="X29" s="115">
        <f>IFERROR(s_TR/(up_RadSpec!$E29*s_IFST_res_adj*s_CF_strawberry),".")</f>
        <v>7.2727272727272723E-11</v>
      </c>
      <c r="Y29" s="115">
        <f>IFERROR(s_TR/(up_RadSpec!$E29*s_IFTO_res_adj*s_CF_tomato),".")</f>
        <v>7.2727272727272723E-11</v>
      </c>
      <c r="Z29" s="115">
        <f>IFERROR(s_TR/(up_RadSpec!$E29*s_IFRI_res_adj*s_CF_rice),".")</f>
        <v>7.2727272727272723E-11</v>
      </c>
      <c r="AA29" s="115">
        <f>IFERROR(s_TR/(up_RadSpec!$E29*s_IFCG_res_adj*s_CF_cereal),".")</f>
        <v>7.2727272727272723E-11</v>
      </c>
      <c r="AB29" s="115">
        <f t="shared" si="26"/>
        <v>1.8181818181818181E-11</v>
      </c>
      <c r="AC29" s="115">
        <f>IFERROR(s_TR/(up_RadSpec!$E29*s_IFAP_far_adj*s_CF_apple),".")</f>
        <v>7.2727272727272723E-11</v>
      </c>
      <c r="AD29" s="115">
        <f>IFERROR(s_TR/(up_RadSpec!$E29*s_IFAS_far_adj*s_CF_asparagus),".")</f>
        <v>7.2727272727272723E-11</v>
      </c>
      <c r="AE29" s="115">
        <f>IFERROR(s_TR/(up_RadSpec!$E29*s_IFBT_far_adj*s_CF_beet),".")</f>
        <v>7.2727272727272723E-11</v>
      </c>
      <c r="AF29" s="115">
        <f>IFERROR(s_TR/(up_RadSpec!$E29*s_IFBE_far_adj*s_CF_berries),".")</f>
        <v>7.2727272727272723E-11</v>
      </c>
      <c r="AG29" s="115">
        <f>IFERROR(s_TR/(up_RadSpec!$E29*s_IFBR_far_adj*s_CF_broccoli),".")</f>
        <v>7.2727272727272723E-11</v>
      </c>
      <c r="AH29" s="115">
        <f>IFERROR(s_TR/(up_RadSpec!$E29*s_IFCB_far_adj*s_CF_cabbage),".")</f>
        <v>7.2727272727272723E-11</v>
      </c>
      <c r="AI29" s="115">
        <f>IFERROR(s_TR/(up_RadSpec!$E29*s_IFCR_far_adj*s_CF_carrot),".")</f>
        <v>7.2727272727272723E-11</v>
      </c>
      <c r="AJ29" s="115">
        <f>IFERROR(s_TR/(up_RadSpec!$E29*s_IFCI_far_adj*s_CF_citrus),".")</f>
        <v>7.2727272727272723E-11</v>
      </c>
      <c r="AK29" s="115">
        <f>IFERROR(s_TR/(up_RadSpec!$E29*s_IFCO_far_adj*s_CF_corn),".")</f>
        <v>7.2727272727272723E-11</v>
      </c>
      <c r="AL29" s="115">
        <f>IFERROR(s_TR/(up_RadSpec!$E29*s_IFCU_far_adj*s_CF_cucumber),".")</f>
        <v>7.2727272727272723E-11</v>
      </c>
      <c r="AM29" s="115">
        <f>IFERROR(s_TR/(up_RadSpec!$E29*s_IFLE_far_adj*s_CF_lettuce),".")</f>
        <v>7.2727272727272723E-11</v>
      </c>
      <c r="AN29" s="115">
        <f>IFERROR(s_TR/(up_RadSpec!$E29*s_IFLI_far_adj*s_CF_lima_bean),".")</f>
        <v>7.2727272727272723E-11</v>
      </c>
      <c r="AO29" s="115">
        <f>IFERROR(s_TR/(up_RadSpec!$E29*s_IFOK_far_adj*s_CF_okra),".")</f>
        <v>7.2727272727272723E-11</v>
      </c>
      <c r="AP29" s="115">
        <f>IFERROR(s_TR/(up_RadSpec!$E29*s_IFON_far_adj*s_CF_onion),".")</f>
        <v>7.2727272727272723E-11</v>
      </c>
      <c r="AQ29" s="115">
        <f>IFERROR(s_TR/(up_RadSpec!$E29*s_IFPC_far_adj*s_CF_peach),".")</f>
        <v>7.2727272727272723E-11</v>
      </c>
      <c r="AR29" s="115">
        <f>IFERROR(s_TR/(up_RadSpec!$E29*s_IFPR_far_adj*s_CF_pear),".")</f>
        <v>7.2727272727272723E-11</v>
      </c>
      <c r="AS29" s="115">
        <f>IFERROR(s_TR/(up_RadSpec!$E29*s_IFPE_far_adj*s_CF_peas),".")</f>
        <v>7.2727272727272723E-11</v>
      </c>
      <c r="AT29" s="115">
        <f>IFERROR(s_TR/(up_RadSpec!$E29*s_IFPT_far_adj*s_CF_potato),".")</f>
        <v>7.2727272727272723E-11</v>
      </c>
      <c r="AU29" s="115">
        <f>IFERROR(s_TR/(up_RadSpec!$E29*s_IFPU_far_adj*s_CF_pumpkin),".")</f>
        <v>7.2727272727272723E-11</v>
      </c>
      <c r="AV29" s="115">
        <f>IFERROR(s_TR/(up_RadSpec!$E29*s_IFSN_far_adj*s_CF_snap_bean),".")</f>
        <v>7.2727272727272723E-11</v>
      </c>
      <c r="AW29" s="115">
        <f>IFERROR(s_TR/(up_RadSpec!$E29*s_IFST_far_adj*s_CF_strawberry),".")</f>
        <v>7.2727272727272723E-11</v>
      </c>
      <c r="AX29" s="115">
        <f>IFERROR(s_TR/(up_RadSpec!$E29*s_IFTO_far_adj*s_CF_tomato),".")</f>
        <v>7.2727272727272723E-11</v>
      </c>
      <c r="AY29" s="115">
        <f>IFERROR(s_TR/(up_RadSpec!$E29*s_IFRI_far_adj*s_CF_rice),".")</f>
        <v>7.2727272727272723E-11</v>
      </c>
      <c r="AZ29" s="115">
        <f>IFERROR(s_TR/(up_RadSpec!$E29*s_IFCG_far_adj*s_CF_cereal),".")</f>
        <v>7.2727272727272723E-11</v>
      </c>
      <c r="BA29" s="93">
        <f t="shared" si="1"/>
        <v>55000</v>
      </c>
      <c r="BB29" s="93">
        <f t="shared" si="2"/>
        <v>13750</v>
      </c>
      <c r="BC29" s="93">
        <f t="shared" si="3"/>
        <v>13750</v>
      </c>
      <c r="BD29" s="93">
        <f t="shared" si="4"/>
        <v>13750</v>
      </c>
      <c r="BE29" s="93">
        <f t="shared" si="5"/>
        <v>13750</v>
      </c>
      <c r="BF29" s="93">
        <f t="shared" si="6"/>
        <v>13750</v>
      </c>
      <c r="BG29" s="93">
        <f t="shared" si="7"/>
        <v>13750</v>
      </c>
      <c r="BH29" s="93">
        <f t="shared" si="8"/>
        <v>13750</v>
      </c>
      <c r="BI29" s="93">
        <f t="shared" si="9"/>
        <v>13750</v>
      </c>
      <c r="BJ29" s="93">
        <f t="shared" si="10"/>
        <v>13750</v>
      </c>
      <c r="BK29" s="93">
        <f t="shared" si="11"/>
        <v>13750</v>
      </c>
      <c r="BL29" s="93">
        <f t="shared" si="12"/>
        <v>13750</v>
      </c>
      <c r="BM29" s="93">
        <f t="shared" si="13"/>
        <v>13750</v>
      </c>
      <c r="BN29" s="93">
        <f t="shared" si="14"/>
        <v>13750</v>
      </c>
      <c r="BO29" s="93">
        <f t="shared" si="15"/>
        <v>13750</v>
      </c>
      <c r="BP29" s="93">
        <f t="shared" si="16"/>
        <v>13750</v>
      </c>
      <c r="BQ29" s="93">
        <f t="shared" si="17"/>
        <v>13750</v>
      </c>
      <c r="BR29" s="93">
        <f t="shared" si="18"/>
        <v>13750</v>
      </c>
      <c r="BS29" s="93">
        <f t="shared" si="19"/>
        <v>13750</v>
      </c>
      <c r="BT29" s="93">
        <f t="shared" si="20"/>
        <v>13750</v>
      </c>
      <c r="BU29" s="93">
        <f t="shared" si="21"/>
        <v>13750</v>
      </c>
      <c r="BV29" s="93">
        <f t="shared" si="22"/>
        <v>13750</v>
      </c>
      <c r="BW29" s="93">
        <f t="shared" si="23"/>
        <v>13750</v>
      </c>
      <c r="BX29" s="93">
        <f t="shared" si="24"/>
        <v>13750</v>
      </c>
      <c r="BY29" s="93">
        <f t="shared" si="25"/>
        <v>13750</v>
      </c>
    </row>
    <row r="30" spans="1:77" x14ac:dyDescent="0.25">
      <c r="A30" s="92" t="s">
        <v>40</v>
      </c>
      <c r="B30" s="90" t="s">
        <v>1074</v>
      </c>
      <c r="C30" s="115">
        <f t="shared" si="0"/>
        <v>1.8181818181818181E-11</v>
      </c>
      <c r="D30" s="115">
        <f>IFERROR(s_TR/(up_RadSpec!$E30*s_IFAP_res_adj*s_CF_apple),".")</f>
        <v>7.2727272727272723E-11</v>
      </c>
      <c r="E30" s="115">
        <f>IFERROR(s_TR/(up_RadSpec!$E30*s_IFAS_res_adj*s_CF_asparagus),".")</f>
        <v>7.2727272727272723E-11</v>
      </c>
      <c r="F30" s="115">
        <f>IFERROR(s_TR/(up_RadSpec!$E30*s_IFBT_res_adj*s_CF_beet),".")</f>
        <v>7.2727272727272723E-11</v>
      </c>
      <c r="G30" s="115">
        <f>IFERROR(s_TR/(up_RadSpec!$E30*s_IFBE_res_adj*s_CF_berries),".")</f>
        <v>7.2727272727272723E-11</v>
      </c>
      <c r="H30" s="115">
        <f>IFERROR(s_TR/(up_RadSpec!$E30*s_IFBR_res_adj*s_CF_broccoli),".")</f>
        <v>7.2727272727272723E-11</v>
      </c>
      <c r="I30" s="115">
        <f>IFERROR(s_TR/(up_RadSpec!$E30*s_IFCB_res_adj*s_CF_cabbage),".")</f>
        <v>7.2727272727272723E-11</v>
      </c>
      <c r="J30" s="115">
        <f>IFERROR(s_TR/(up_RadSpec!$E30*s_IFCR_res_adj*s_CF_carrot),".")</f>
        <v>7.2727272727272723E-11</v>
      </c>
      <c r="K30" s="115">
        <f>IFERROR(s_TR/(up_RadSpec!$E30*s_IFCI_res_adj*s_CF_citrus),".")</f>
        <v>7.2727272727272723E-11</v>
      </c>
      <c r="L30" s="115">
        <f>IFERROR(s_TR/(up_RadSpec!$E30*s_IFCO_res_adj*s_CF_corn),".")</f>
        <v>7.2727272727272723E-11</v>
      </c>
      <c r="M30" s="115">
        <f>IFERROR(s_TR/(up_RadSpec!$E30*s_IFCU_res_adj*s_CF_cucumber),".")</f>
        <v>7.2727272727272723E-11</v>
      </c>
      <c r="N30" s="115">
        <f>IFERROR(s_TR/(up_RadSpec!$E30*s_IFLE_res_adj*s_CF_lettuce),".")</f>
        <v>7.2727272727272723E-11</v>
      </c>
      <c r="O30" s="115">
        <f>IFERROR(s_TR/(up_RadSpec!$E30*s_IFLI_res_adj*s_CF_lima_bean),".")</f>
        <v>7.2727272727272723E-11</v>
      </c>
      <c r="P30" s="115">
        <f>IFERROR(s_TR/(up_RadSpec!$E30*s_IFOK_res_adj*s_CF_okra),".")</f>
        <v>7.2727272727272723E-11</v>
      </c>
      <c r="Q30" s="115">
        <f>IFERROR(s_TR/(up_RadSpec!$E30*s_IFON_res_adj*s_CF_onion),".")</f>
        <v>7.2727272727272723E-11</v>
      </c>
      <c r="R30" s="115">
        <f>IFERROR(s_TR/(up_RadSpec!$E30*s_IFPC_res_adj*s_CF_peach),".")</f>
        <v>7.2727272727272723E-11</v>
      </c>
      <c r="S30" s="115">
        <f>IFERROR(s_TR/(up_RadSpec!$E30*s_IFPR_res_adj*s_CF_pear),".")</f>
        <v>7.2727272727272723E-11</v>
      </c>
      <c r="T30" s="115">
        <f>IFERROR(s_TR/(up_RadSpec!$E30*s_IFPE_res_adj*s_CF_peas),".")</f>
        <v>7.2727272727272723E-11</v>
      </c>
      <c r="U30" s="115">
        <f>IFERROR(s_TR/(up_RadSpec!$E30*s_IFPT_res_adj*s_CF_potato),".")</f>
        <v>7.2727272727272723E-11</v>
      </c>
      <c r="V30" s="115">
        <f>IFERROR(s_TR/(up_RadSpec!$E30*s_IFPU_res_adj*s_CF_pumpkin),".")</f>
        <v>7.2727272727272723E-11</v>
      </c>
      <c r="W30" s="115">
        <f>IFERROR(s_TR/(up_RadSpec!$E30*s_IFSN_res_adj*s_CF_snap_bean),".")</f>
        <v>7.2727272727272723E-11</v>
      </c>
      <c r="X30" s="115">
        <f>IFERROR(s_TR/(up_RadSpec!$E30*s_IFST_res_adj*s_CF_strawberry),".")</f>
        <v>7.2727272727272723E-11</v>
      </c>
      <c r="Y30" s="115">
        <f>IFERROR(s_TR/(up_RadSpec!$E30*s_IFTO_res_adj*s_CF_tomato),".")</f>
        <v>7.2727272727272723E-11</v>
      </c>
      <c r="Z30" s="115">
        <f>IFERROR(s_TR/(up_RadSpec!$E30*s_IFRI_res_adj*s_CF_rice),".")</f>
        <v>7.2727272727272723E-11</v>
      </c>
      <c r="AA30" s="115">
        <f>IFERROR(s_TR/(up_RadSpec!$E30*s_IFCG_res_adj*s_CF_cereal),".")</f>
        <v>7.2727272727272723E-11</v>
      </c>
      <c r="AB30" s="115">
        <f t="shared" si="26"/>
        <v>1.8181818181818181E-11</v>
      </c>
      <c r="AC30" s="115">
        <f>IFERROR(s_TR/(up_RadSpec!$E30*s_IFAP_far_adj*s_CF_apple),".")</f>
        <v>7.2727272727272723E-11</v>
      </c>
      <c r="AD30" s="115">
        <f>IFERROR(s_TR/(up_RadSpec!$E30*s_IFAS_far_adj*s_CF_asparagus),".")</f>
        <v>7.2727272727272723E-11</v>
      </c>
      <c r="AE30" s="115">
        <f>IFERROR(s_TR/(up_RadSpec!$E30*s_IFBT_far_adj*s_CF_beet),".")</f>
        <v>7.2727272727272723E-11</v>
      </c>
      <c r="AF30" s="115">
        <f>IFERROR(s_TR/(up_RadSpec!$E30*s_IFBE_far_adj*s_CF_berries),".")</f>
        <v>7.2727272727272723E-11</v>
      </c>
      <c r="AG30" s="115">
        <f>IFERROR(s_TR/(up_RadSpec!$E30*s_IFBR_far_adj*s_CF_broccoli),".")</f>
        <v>7.2727272727272723E-11</v>
      </c>
      <c r="AH30" s="115">
        <f>IFERROR(s_TR/(up_RadSpec!$E30*s_IFCB_far_adj*s_CF_cabbage),".")</f>
        <v>7.2727272727272723E-11</v>
      </c>
      <c r="AI30" s="115">
        <f>IFERROR(s_TR/(up_RadSpec!$E30*s_IFCR_far_adj*s_CF_carrot),".")</f>
        <v>7.2727272727272723E-11</v>
      </c>
      <c r="AJ30" s="115">
        <f>IFERROR(s_TR/(up_RadSpec!$E30*s_IFCI_far_adj*s_CF_citrus),".")</f>
        <v>7.2727272727272723E-11</v>
      </c>
      <c r="AK30" s="115">
        <f>IFERROR(s_TR/(up_RadSpec!$E30*s_IFCO_far_adj*s_CF_corn),".")</f>
        <v>7.2727272727272723E-11</v>
      </c>
      <c r="AL30" s="115">
        <f>IFERROR(s_TR/(up_RadSpec!$E30*s_IFCU_far_adj*s_CF_cucumber),".")</f>
        <v>7.2727272727272723E-11</v>
      </c>
      <c r="AM30" s="115">
        <f>IFERROR(s_TR/(up_RadSpec!$E30*s_IFLE_far_adj*s_CF_lettuce),".")</f>
        <v>7.2727272727272723E-11</v>
      </c>
      <c r="AN30" s="115">
        <f>IFERROR(s_TR/(up_RadSpec!$E30*s_IFLI_far_adj*s_CF_lima_bean),".")</f>
        <v>7.2727272727272723E-11</v>
      </c>
      <c r="AO30" s="115">
        <f>IFERROR(s_TR/(up_RadSpec!$E30*s_IFOK_far_adj*s_CF_okra),".")</f>
        <v>7.2727272727272723E-11</v>
      </c>
      <c r="AP30" s="115">
        <f>IFERROR(s_TR/(up_RadSpec!$E30*s_IFON_far_adj*s_CF_onion),".")</f>
        <v>7.2727272727272723E-11</v>
      </c>
      <c r="AQ30" s="115">
        <f>IFERROR(s_TR/(up_RadSpec!$E30*s_IFPC_far_adj*s_CF_peach),".")</f>
        <v>7.2727272727272723E-11</v>
      </c>
      <c r="AR30" s="115">
        <f>IFERROR(s_TR/(up_RadSpec!$E30*s_IFPR_far_adj*s_CF_pear),".")</f>
        <v>7.2727272727272723E-11</v>
      </c>
      <c r="AS30" s="115">
        <f>IFERROR(s_TR/(up_RadSpec!$E30*s_IFPE_far_adj*s_CF_peas),".")</f>
        <v>7.2727272727272723E-11</v>
      </c>
      <c r="AT30" s="115">
        <f>IFERROR(s_TR/(up_RadSpec!$E30*s_IFPT_far_adj*s_CF_potato),".")</f>
        <v>7.2727272727272723E-11</v>
      </c>
      <c r="AU30" s="115">
        <f>IFERROR(s_TR/(up_RadSpec!$E30*s_IFPU_far_adj*s_CF_pumpkin),".")</f>
        <v>7.2727272727272723E-11</v>
      </c>
      <c r="AV30" s="115">
        <f>IFERROR(s_TR/(up_RadSpec!$E30*s_IFSN_far_adj*s_CF_snap_bean),".")</f>
        <v>7.2727272727272723E-11</v>
      </c>
      <c r="AW30" s="115">
        <f>IFERROR(s_TR/(up_RadSpec!$E30*s_IFST_far_adj*s_CF_strawberry),".")</f>
        <v>7.2727272727272723E-11</v>
      </c>
      <c r="AX30" s="115">
        <f>IFERROR(s_TR/(up_RadSpec!$E30*s_IFTO_far_adj*s_CF_tomato),".")</f>
        <v>7.2727272727272723E-11</v>
      </c>
      <c r="AY30" s="115">
        <f>IFERROR(s_TR/(up_RadSpec!$E30*s_IFRI_far_adj*s_CF_rice),".")</f>
        <v>7.2727272727272723E-11</v>
      </c>
      <c r="AZ30" s="115">
        <f>IFERROR(s_TR/(up_RadSpec!$E30*s_IFCG_far_adj*s_CF_cereal),".")</f>
        <v>7.2727272727272723E-11</v>
      </c>
      <c r="BA30" s="93">
        <f t="shared" si="1"/>
        <v>55000</v>
      </c>
      <c r="BB30" s="93">
        <f t="shared" si="2"/>
        <v>13750</v>
      </c>
      <c r="BC30" s="93">
        <f t="shared" si="3"/>
        <v>13750</v>
      </c>
      <c r="BD30" s="93">
        <f t="shared" si="4"/>
        <v>13750</v>
      </c>
      <c r="BE30" s="93">
        <f t="shared" si="5"/>
        <v>13750</v>
      </c>
      <c r="BF30" s="93">
        <f t="shared" si="6"/>
        <v>13750</v>
      </c>
      <c r="BG30" s="93">
        <f t="shared" si="7"/>
        <v>13750</v>
      </c>
      <c r="BH30" s="93">
        <f t="shared" si="8"/>
        <v>13750</v>
      </c>
      <c r="BI30" s="93">
        <f t="shared" si="9"/>
        <v>13750</v>
      </c>
      <c r="BJ30" s="93">
        <f t="shared" si="10"/>
        <v>13750</v>
      </c>
      <c r="BK30" s="93">
        <f t="shared" si="11"/>
        <v>13750</v>
      </c>
      <c r="BL30" s="93">
        <f t="shared" si="12"/>
        <v>13750</v>
      </c>
      <c r="BM30" s="93">
        <f t="shared" si="13"/>
        <v>13750</v>
      </c>
      <c r="BN30" s="93">
        <f t="shared" si="14"/>
        <v>13750</v>
      </c>
      <c r="BO30" s="93">
        <f t="shared" si="15"/>
        <v>13750</v>
      </c>
      <c r="BP30" s="93">
        <f t="shared" si="16"/>
        <v>13750</v>
      </c>
      <c r="BQ30" s="93">
        <f t="shared" si="17"/>
        <v>13750</v>
      </c>
      <c r="BR30" s="93">
        <f t="shared" si="18"/>
        <v>13750</v>
      </c>
      <c r="BS30" s="93">
        <f t="shared" si="19"/>
        <v>13750</v>
      </c>
      <c r="BT30" s="93">
        <f t="shared" si="20"/>
        <v>13750</v>
      </c>
      <c r="BU30" s="93">
        <f t="shared" si="21"/>
        <v>13750</v>
      </c>
      <c r="BV30" s="93">
        <f t="shared" si="22"/>
        <v>13750</v>
      </c>
      <c r="BW30" s="93">
        <f t="shared" si="23"/>
        <v>13750</v>
      </c>
      <c r="BX30" s="93">
        <f t="shared" si="24"/>
        <v>13750</v>
      </c>
      <c r="BY30" s="93">
        <f t="shared" si="25"/>
        <v>13750</v>
      </c>
    </row>
    <row r="31" spans="1:77" x14ac:dyDescent="0.25">
      <c r="A31" s="95" t="s">
        <v>13</v>
      </c>
      <c r="B31" s="95" t="s">
        <v>1074</v>
      </c>
      <c r="C31" s="96">
        <f t="shared" si="0"/>
        <v>1.515196971060647E-12</v>
      </c>
      <c r="D31" s="96">
        <f t="shared" ref="D31:AA31" si="27">IFERROR(1/SUM(D32:D44),0)</f>
        <v>6.0607878842425878E-12</v>
      </c>
      <c r="E31" s="96">
        <f t="shared" si="27"/>
        <v>6.0607878842425878E-12</v>
      </c>
      <c r="F31" s="96">
        <f t="shared" si="27"/>
        <v>6.0607878842425878E-12</v>
      </c>
      <c r="G31" s="96">
        <f t="shared" si="27"/>
        <v>6.0607878842425878E-12</v>
      </c>
      <c r="H31" s="96">
        <f t="shared" si="27"/>
        <v>6.0607878842425878E-12</v>
      </c>
      <c r="I31" s="96">
        <f t="shared" si="27"/>
        <v>6.0607878842425878E-12</v>
      </c>
      <c r="J31" s="96">
        <f t="shared" si="27"/>
        <v>6.0607878842425878E-12</v>
      </c>
      <c r="K31" s="96">
        <f t="shared" si="27"/>
        <v>6.0607878842425878E-12</v>
      </c>
      <c r="L31" s="96">
        <f t="shared" si="27"/>
        <v>6.0607878842425878E-12</v>
      </c>
      <c r="M31" s="96">
        <f t="shared" si="27"/>
        <v>6.0607878842425878E-12</v>
      </c>
      <c r="N31" s="96">
        <f t="shared" si="27"/>
        <v>6.0607878842425878E-12</v>
      </c>
      <c r="O31" s="96">
        <f t="shared" si="27"/>
        <v>6.0607878842425878E-12</v>
      </c>
      <c r="P31" s="96">
        <f t="shared" si="27"/>
        <v>6.0607878842425878E-12</v>
      </c>
      <c r="Q31" s="96">
        <f t="shared" si="27"/>
        <v>6.0607878842425878E-12</v>
      </c>
      <c r="R31" s="96">
        <f t="shared" si="27"/>
        <v>6.0607878842425878E-12</v>
      </c>
      <c r="S31" s="96">
        <f t="shared" si="27"/>
        <v>6.0607878842425878E-12</v>
      </c>
      <c r="T31" s="96">
        <f t="shared" si="27"/>
        <v>6.0607878842425878E-12</v>
      </c>
      <c r="U31" s="96">
        <f t="shared" si="27"/>
        <v>6.0607878842425878E-12</v>
      </c>
      <c r="V31" s="96">
        <f t="shared" si="27"/>
        <v>6.0607878842425878E-12</v>
      </c>
      <c r="W31" s="96">
        <f t="shared" si="27"/>
        <v>6.0607878842425878E-12</v>
      </c>
      <c r="X31" s="96">
        <f t="shared" si="27"/>
        <v>6.0607878842425878E-12</v>
      </c>
      <c r="Y31" s="96">
        <f t="shared" si="27"/>
        <v>6.0607878842425878E-12</v>
      </c>
      <c r="Z31" s="96">
        <f t="shared" si="27"/>
        <v>6.0607878842425878E-12</v>
      </c>
      <c r="AA31" s="96">
        <f t="shared" si="27"/>
        <v>6.0607878842425878E-12</v>
      </c>
      <c r="AB31" s="96">
        <f t="shared" si="26"/>
        <v>1.515196971060647E-12</v>
      </c>
      <c r="AC31" s="96">
        <f t="shared" ref="AC31:AZ31" si="28">IFERROR(1/SUM(AC32:AC44),0)</f>
        <v>6.0607878842425878E-12</v>
      </c>
      <c r="AD31" s="96">
        <f t="shared" si="28"/>
        <v>6.0607878842425878E-12</v>
      </c>
      <c r="AE31" s="96">
        <f t="shared" si="28"/>
        <v>6.0607878842425878E-12</v>
      </c>
      <c r="AF31" s="96">
        <f t="shared" si="28"/>
        <v>6.0607878842425878E-12</v>
      </c>
      <c r="AG31" s="96">
        <f t="shared" si="28"/>
        <v>6.0607878842425878E-12</v>
      </c>
      <c r="AH31" s="96">
        <f t="shared" si="28"/>
        <v>6.0607878842425878E-12</v>
      </c>
      <c r="AI31" s="96">
        <f t="shared" si="28"/>
        <v>6.0607878842425878E-12</v>
      </c>
      <c r="AJ31" s="96">
        <f t="shared" si="28"/>
        <v>6.0607878842425878E-12</v>
      </c>
      <c r="AK31" s="96">
        <f t="shared" si="28"/>
        <v>6.0607878842425878E-12</v>
      </c>
      <c r="AL31" s="96">
        <f t="shared" si="28"/>
        <v>6.0607878842425878E-12</v>
      </c>
      <c r="AM31" s="96">
        <f t="shared" si="28"/>
        <v>6.0607878842425878E-12</v>
      </c>
      <c r="AN31" s="96">
        <f t="shared" si="28"/>
        <v>6.0607878842425878E-12</v>
      </c>
      <c r="AO31" s="96">
        <f t="shared" si="28"/>
        <v>6.0607878842425878E-12</v>
      </c>
      <c r="AP31" s="96">
        <f t="shared" si="28"/>
        <v>6.0607878842425878E-12</v>
      </c>
      <c r="AQ31" s="96">
        <f t="shared" si="28"/>
        <v>6.0607878842425878E-12</v>
      </c>
      <c r="AR31" s="96">
        <f t="shared" si="28"/>
        <v>6.0607878842425878E-12</v>
      </c>
      <c r="AS31" s="96">
        <f t="shared" si="28"/>
        <v>6.0607878842425878E-12</v>
      </c>
      <c r="AT31" s="96">
        <f t="shared" si="28"/>
        <v>6.0607878842425878E-12</v>
      </c>
      <c r="AU31" s="96">
        <f t="shared" si="28"/>
        <v>6.0607878842425878E-12</v>
      </c>
      <c r="AV31" s="96">
        <f t="shared" si="28"/>
        <v>6.0607878842425878E-12</v>
      </c>
      <c r="AW31" s="96">
        <f t="shared" si="28"/>
        <v>6.0607878842425878E-12</v>
      </c>
      <c r="AX31" s="96">
        <f t="shared" si="28"/>
        <v>6.0607878842425878E-12</v>
      </c>
      <c r="AY31" s="96">
        <f t="shared" si="28"/>
        <v>6.0607878842425878E-12</v>
      </c>
      <c r="AZ31" s="96">
        <f t="shared" si="28"/>
        <v>6.0607878842425878E-12</v>
      </c>
      <c r="BA31" s="97">
        <f>IFERROR(IF(SUM(BB32:BC44,BX32:BY44)&gt;0.01,1-EXP(-SUM(BB32:BC44,BX32:BY44)),SUM(BB32:BC44,BX32:BY44)),".")</f>
        <v>1</v>
      </c>
      <c r="BB31" s="97">
        <f>IFERROR(IF(SUM(BB32:BB44)&gt;0.01,1-EXP(-(SUM(BB32:BB44))),SUM(BB32:BB44)),".")</f>
        <v>1</v>
      </c>
      <c r="BC31" s="97">
        <f t="shared" ref="BC31:BW31" si="29">IFERROR(IF(SUM(BC32:BC44)&gt;0.01,1-EXP(-(SUM(BC32:BC44))),SUM(BC32:BC44)),".")</f>
        <v>1</v>
      </c>
      <c r="BD31" s="97">
        <f t="shared" si="29"/>
        <v>1</v>
      </c>
      <c r="BE31" s="97">
        <f t="shared" si="29"/>
        <v>1</v>
      </c>
      <c r="BF31" s="97">
        <f t="shared" si="29"/>
        <v>1</v>
      </c>
      <c r="BG31" s="97">
        <f t="shared" si="29"/>
        <v>1</v>
      </c>
      <c r="BH31" s="97">
        <f t="shared" si="29"/>
        <v>1</v>
      </c>
      <c r="BI31" s="97">
        <f t="shared" si="29"/>
        <v>1</v>
      </c>
      <c r="BJ31" s="97">
        <f t="shared" si="29"/>
        <v>1</v>
      </c>
      <c r="BK31" s="97">
        <f t="shared" si="29"/>
        <v>1</v>
      </c>
      <c r="BL31" s="97">
        <f t="shared" si="29"/>
        <v>1</v>
      </c>
      <c r="BM31" s="97">
        <f t="shared" si="29"/>
        <v>1</v>
      </c>
      <c r="BN31" s="97">
        <f t="shared" si="29"/>
        <v>1</v>
      </c>
      <c r="BO31" s="97">
        <f t="shared" si="29"/>
        <v>1</v>
      </c>
      <c r="BP31" s="97">
        <f t="shared" si="29"/>
        <v>1</v>
      </c>
      <c r="BQ31" s="97">
        <f t="shared" si="29"/>
        <v>1</v>
      </c>
      <c r="BR31" s="97">
        <f t="shared" si="29"/>
        <v>1</v>
      </c>
      <c r="BS31" s="97">
        <f t="shared" si="29"/>
        <v>1</v>
      </c>
      <c r="BT31" s="97">
        <f t="shared" si="29"/>
        <v>1</v>
      </c>
      <c r="BU31" s="97">
        <f t="shared" si="29"/>
        <v>1</v>
      </c>
      <c r="BV31" s="97">
        <f t="shared" si="29"/>
        <v>1</v>
      </c>
      <c r="BW31" s="97">
        <f t="shared" si="29"/>
        <v>1</v>
      </c>
      <c r="BX31" s="97">
        <f>IFERROR(IF(SUM(BX32:BX44)&gt;0.01,1-EXP(-(SUM(BX32:BX44))),SUM(BX32:BX44)),".")</f>
        <v>1</v>
      </c>
      <c r="BY31" s="97">
        <f>IFERROR(IF(SUM(BY32:BY44)&gt;0.01,1-EXP(-(SUM(BY32:BY44))),SUM(BY32:BY44)),".")</f>
        <v>1</v>
      </c>
    </row>
    <row r="32" spans="1:77" x14ac:dyDescent="0.25">
      <c r="A32" s="99" t="s">
        <v>1102</v>
      </c>
      <c r="B32" s="90">
        <v>1</v>
      </c>
      <c r="C32" s="100">
        <f t="shared" si="0"/>
        <v>3437500000</v>
      </c>
      <c r="D32" s="100">
        <f t="shared" ref="D32:AA32" si="30">IFERROR($B32/D3,0)</f>
        <v>13750000000</v>
      </c>
      <c r="E32" s="100">
        <f t="shared" si="30"/>
        <v>13750000000</v>
      </c>
      <c r="F32" s="100">
        <f t="shared" si="30"/>
        <v>13750000000</v>
      </c>
      <c r="G32" s="100">
        <f t="shared" si="30"/>
        <v>13750000000</v>
      </c>
      <c r="H32" s="100">
        <f t="shared" si="30"/>
        <v>13750000000</v>
      </c>
      <c r="I32" s="100">
        <f t="shared" si="30"/>
        <v>13750000000</v>
      </c>
      <c r="J32" s="100">
        <f t="shared" si="30"/>
        <v>13750000000</v>
      </c>
      <c r="K32" s="100">
        <f t="shared" si="30"/>
        <v>13750000000</v>
      </c>
      <c r="L32" s="100">
        <f t="shared" si="30"/>
        <v>13750000000</v>
      </c>
      <c r="M32" s="100">
        <f t="shared" si="30"/>
        <v>13750000000</v>
      </c>
      <c r="N32" s="100">
        <f t="shared" si="30"/>
        <v>13750000000</v>
      </c>
      <c r="O32" s="100">
        <f t="shared" si="30"/>
        <v>13750000000</v>
      </c>
      <c r="P32" s="100">
        <f t="shared" si="30"/>
        <v>13750000000</v>
      </c>
      <c r="Q32" s="100">
        <f t="shared" si="30"/>
        <v>13750000000</v>
      </c>
      <c r="R32" s="100">
        <f t="shared" si="30"/>
        <v>13750000000</v>
      </c>
      <c r="S32" s="100">
        <f t="shared" si="30"/>
        <v>13750000000</v>
      </c>
      <c r="T32" s="100">
        <f t="shared" si="30"/>
        <v>13750000000</v>
      </c>
      <c r="U32" s="100">
        <f t="shared" si="30"/>
        <v>13750000000</v>
      </c>
      <c r="V32" s="100">
        <f t="shared" si="30"/>
        <v>13750000000</v>
      </c>
      <c r="W32" s="100">
        <f t="shared" si="30"/>
        <v>13750000000</v>
      </c>
      <c r="X32" s="100">
        <f t="shared" si="30"/>
        <v>13750000000</v>
      </c>
      <c r="Y32" s="100">
        <f t="shared" si="30"/>
        <v>13750000000</v>
      </c>
      <c r="Z32" s="100">
        <f t="shared" si="30"/>
        <v>13750000000</v>
      </c>
      <c r="AA32" s="100">
        <f t="shared" si="30"/>
        <v>13750000000</v>
      </c>
      <c r="AB32" s="100">
        <f t="shared" si="26"/>
        <v>3437500000</v>
      </c>
      <c r="AC32" s="100">
        <f t="shared" ref="AC32:AZ32" si="31">IFERROR($B32/AC3,0)</f>
        <v>13750000000</v>
      </c>
      <c r="AD32" s="100">
        <f t="shared" si="31"/>
        <v>13750000000</v>
      </c>
      <c r="AE32" s="100">
        <f t="shared" si="31"/>
        <v>13750000000</v>
      </c>
      <c r="AF32" s="100">
        <f t="shared" si="31"/>
        <v>13750000000</v>
      </c>
      <c r="AG32" s="100">
        <f t="shared" si="31"/>
        <v>13750000000</v>
      </c>
      <c r="AH32" s="100">
        <f t="shared" si="31"/>
        <v>13750000000</v>
      </c>
      <c r="AI32" s="100">
        <f t="shared" si="31"/>
        <v>13750000000</v>
      </c>
      <c r="AJ32" s="100">
        <f t="shared" si="31"/>
        <v>13750000000</v>
      </c>
      <c r="AK32" s="100">
        <f t="shared" si="31"/>
        <v>13750000000</v>
      </c>
      <c r="AL32" s="100">
        <f t="shared" si="31"/>
        <v>13750000000</v>
      </c>
      <c r="AM32" s="100">
        <f t="shared" si="31"/>
        <v>13750000000</v>
      </c>
      <c r="AN32" s="100">
        <f t="shared" si="31"/>
        <v>13750000000</v>
      </c>
      <c r="AO32" s="100">
        <f t="shared" si="31"/>
        <v>13750000000</v>
      </c>
      <c r="AP32" s="100">
        <f t="shared" si="31"/>
        <v>13750000000</v>
      </c>
      <c r="AQ32" s="100">
        <f t="shared" si="31"/>
        <v>13750000000</v>
      </c>
      <c r="AR32" s="100">
        <f t="shared" si="31"/>
        <v>13750000000</v>
      </c>
      <c r="AS32" s="100">
        <f t="shared" si="31"/>
        <v>13750000000</v>
      </c>
      <c r="AT32" s="100">
        <f t="shared" si="31"/>
        <v>13750000000</v>
      </c>
      <c r="AU32" s="100">
        <f t="shared" si="31"/>
        <v>13750000000</v>
      </c>
      <c r="AV32" s="100">
        <f t="shared" si="31"/>
        <v>13750000000</v>
      </c>
      <c r="AW32" s="100">
        <f t="shared" si="31"/>
        <v>13750000000</v>
      </c>
      <c r="AX32" s="100">
        <f t="shared" si="31"/>
        <v>13750000000</v>
      </c>
      <c r="AY32" s="100">
        <f t="shared" si="31"/>
        <v>13750000000</v>
      </c>
      <c r="AZ32" s="100">
        <f t="shared" si="31"/>
        <v>13750000000</v>
      </c>
      <c r="BA32" s="101">
        <f t="shared" ref="BA32:BA44" si="32">SUM(BB32:BC32,BX32:BY32)</f>
        <v>275000</v>
      </c>
      <c r="BB32" s="101">
        <f>IFERROR(up_RadSpec!$E$3*(BB3/$B32),".")</f>
        <v>68750</v>
      </c>
      <c r="BC32" s="101">
        <f>IFERROR(up_RadSpec!$E$3*(BC3/$B32),".")</f>
        <v>68750</v>
      </c>
      <c r="BD32" s="101">
        <f>IFERROR(up_RadSpec!$E$3*(BD3/$B32),".")</f>
        <v>68750</v>
      </c>
      <c r="BE32" s="101">
        <f>IFERROR(up_RadSpec!$E$3*(BE3/$B32),".")</f>
        <v>68750</v>
      </c>
      <c r="BF32" s="101">
        <f>IFERROR(up_RadSpec!$E$3*(BF3/$B32),".")</f>
        <v>68750</v>
      </c>
      <c r="BG32" s="101">
        <f>IFERROR(up_RadSpec!$E$3*(BG3/$B32),".")</f>
        <v>68750</v>
      </c>
      <c r="BH32" s="101">
        <f>IFERROR(up_RadSpec!$E$3*(BH3/$B32),".")</f>
        <v>68750</v>
      </c>
      <c r="BI32" s="101">
        <f>IFERROR(up_RadSpec!$E$3*(BI3/$B32),".")</f>
        <v>68750</v>
      </c>
      <c r="BJ32" s="101">
        <f>IFERROR(up_RadSpec!$E$3*(BJ3/$B32),".")</f>
        <v>68750</v>
      </c>
      <c r="BK32" s="101">
        <f>IFERROR(up_RadSpec!$E$3*(BK3/$B32),".")</f>
        <v>68750</v>
      </c>
      <c r="BL32" s="101">
        <f>IFERROR(up_RadSpec!$E$3*(BL3/$B32),".")</f>
        <v>68750</v>
      </c>
      <c r="BM32" s="101">
        <f>IFERROR(up_RadSpec!$E$3*(BM3/$B32),".")</f>
        <v>68750</v>
      </c>
      <c r="BN32" s="101">
        <f>IFERROR(up_RadSpec!$E$3*(BN3/$B32),".")</f>
        <v>68750</v>
      </c>
      <c r="BO32" s="101">
        <f>IFERROR(up_RadSpec!$E$3*(BO3/$B32),".")</f>
        <v>68750</v>
      </c>
      <c r="BP32" s="101">
        <f>IFERROR(up_RadSpec!$E$3*(BP3/$B32),".")</f>
        <v>68750</v>
      </c>
      <c r="BQ32" s="101">
        <f>IFERROR(up_RadSpec!$E$3*(BQ3/$B32),".")</f>
        <v>68750</v>
      </c>
      <c r="BR32" s="101">
        <f>IFERROR(up_RadSpec!$E$3*(BR3/$B32),".")</f>
        <v>68750</v>
      </c>
      <c r="BS32" s="101">
        <f>IFERROR(up_RadSpec!$E$3*(BS3/$B32),".")</f>
        <v>68750</v>
      </c>
      <c r="BT32" s="101">
        <f>IFERROR(up_RadSpec!$E$3*(BT3/$B32),".")</f>
        <v>68750</v>
      </c>
      <c r="BU32" s="101">
        <f>IFERROR(up_RadSpec!$E$3*(BU3/$B32),".")</f>
        <v>68750</v>
      </c>
      <c r="BV32" s="101">
        <f>IFERROR(up_RadSpec!$E$3*(BV3/$B32),".")</f>
        <v>68750</v>
      </c>
      <c r="BW32" s="101">
        <f>IFERROR(up_RadSpec!$E$3*(BW3/$B32),".")</f>
        <v>68750</v>
      </c>
      <c r="BX32" s="101">
        <f>IFERROR(up_RadSpec!$E$3*(BX3/$B32),".")</f>
        <v>68750</v>
      </c>
      <c r="BY32" s="101">
        <f>IFERROR(up_RadSpec!$E$3*(BY3/$B32),".")</f>
        <v>68750</v>
      </c>
    </row>
    <row r="33" spans="1:77" x14ac:dyDescent="0.25">
      <c r="A33" s="99" t="s">
        <v>1078</v>
      </c>
      <c r="B33" s="90">
        <v>1</v>
      </c>
      <c r="C33" s="100">
        <f t="shared" si="0"/>
        <v>3437500000</v>
      </c>
      <c r="D33" s="100">
        <f t="shared" ref="D33:AA34" si="33">IFERROR($B33/D13,0)</f>
        <v>13750000000</v>
      </c>
      <c r="E33" s="100">
        <f t="shared" si="33"/>
        <v>13750000000</v>
      </c>
      <c r="F33" s="100">
        <f t="shared" si="33"/>
        <v>13750000000</v>
      </c>
      <c r="G33" s="100">
        <f t="shared" si="33"/>
        <v>13750000000</v>
      </c>
      <c r="H33" s="100">
        <f t="shared" si="33"/>
        <v>13750000000</v>
      </c>
      <c r="I33" s="100">
        <f t="shared" si="33"/>
        <v>13750000000</v>
      </c>
      <c r="J33" s="100">
        <f t="shared" si="33"/>
        <v>13750000000</v>
      </c>
      <c r="K33" s="100">
        <f t="shared" si="33"/>
        <v>13750000000</v>
      </c>
      <c r="L33" s="100">
        <f t="shared" si="33"/>
        <v>13750000000</v>
      </c>
      <c r="M33" s="100">
        <f t="shared" si="33"/>
        <v>13750000000</v>
      </c>
      <c r="N33" s="100">
        <f t="shared" si="33"/>
        <v>13750000000</v>
      </c>
      <c r="O33" s="100">
        <f t="shared" si="33"/>
        <v>13750000000</v>
      </c>
      <c r="P33" s="100">
        <f t="shared" si="33"/>
        <v>13750000000</v>
      </c>
      <c r="Q33" s="100">
        <f t="shared" si="33"/>
        <v>13750000000</v>
      </c>
      <c r="R33" s="100">
        <f t="shared" si="33"/>
        <v>13750000000</v>
      </c>
      <c r="S33" s="100">
        <f t="shared" si="33"/>
        <v>13750000000</v>
      </c>
      <c r="T33" s="100">
        <f t="shared" si="33"/>
        <v>13750000000</v>
      </c>
      <c r="U33" s="100">
        <f t="shared" si="33"/>
        <v>13750000000</v>
      </c>
      <c r="V33" s="100">
        <f t="shared" si="33"/>
        <v>13750000000</v>
      </c>
      <c r="W33" s="100">
        <f t="shared" si="33"/>
        <v>13750000000</v>
      </c>
      <c r="X33" s="100">
        <f t="shared" si="33"/>
        <v>13750000000</v>
      </c>
      <c r="Y33" s="100">
        <f t="shared" si="33"/>
        <v>13750000000</v>
      </c>
      <c r="Z33" s="100">
        <f t="shared" si="33"/>
        <v>13750000000</v>
      </c>
      <c r="AA33" s="100">
        <f t="shared" si="33"/>
        <v>13750000000</v>
      </c>
      <c r="AB33" s="100">
        <f t="shared" si="26"/>
        <v>3437500000</v>
      </c>
      <c r="AC33" s="100">
        <f t="shared" ref="AC33:AZ34" si="34">IFERROR($B33/AC13,0)</f>
        <v>13750000000</v>
      </c>
      <c r="AD33" s="100">
        <f t="shared" si="34"/>
        <v>13750000000</v>
      </c>
      <c r="AE33" s="100">
        <f t="shared" si="34"/>
        <v>13750000000</v>
      </c>
      <c r="AF33" s="100">
        <f t="shared" si="34"/>
        <v>13750000000</v>
      </c>
      <c r="AG33" s="100">
        <f t="shared" si="34"/>
        <v>13750000000</v>
      </c>
      <c r="AH33" s="100">
        <f t="shared" si="34"/>
        <v>13750000000</v>
      </c>
      <c r="AI33" s="100">
        <f t="shared" si="34"/>
        <v>13750000000</v>
      </c>
      <c r="AJ33" s="100">
        <f t="shared" si="34"/>
        <v>13750000000</v>
      </c>
      <c r="AK33" s="100">
        <f t="shared" si="34"/>
        <v>13750000000</v>
      </c>
      <c r="AL33" s="100">
        <f t="shared" si="34"/>
        <v>13750000000</v>
      </c>
      <c r="AM33" s="100">
        <f t="shared" si="34"/>
        <v>13750000000</v>
      </c>
      <c r="AN33" s="100">
        <f t="shared" si="34"/>
        <v>13750000000</v>
      </c>
      <c r="AO33" s="100">
        <f t="shared" si="34"/>
        <v>13750000000</v>
      </c>
      <c r="AP33" s="100">
        <f t="shared" si="34"/>
        <v>13750000000</v>
      </c>
      <c r="AQ33" s="100">
        <f t="shared" si="34"/>
        <v>13750000000</v>
      </c>
      <c r="AR33" s="100">
        <f t="shared" si="34"/>
        <v>13750000000</v>
      </c>
      <c r="AS33" s="100">
        <f t="shared" si="34"/>
        <v>13750000000</v>
      </c>
      <c r="AT33" s="100">
        <f t="shared" si="34"/>
        <v>13750000000</v>
      </c>
      <c r="AU33" s="100">
        <f t="shared" si="34"/>
        <v>13750000000</v>
      </c>
      <c r="AV33" s="100">
        <f t="shared" si="34"/>
        <v>13750000000</v>
      </c>
      <c r="AW33" s="100">
        <f t="shared" si="34"/>
        <v>13750000000</v>
      </c>
      <c r="AX33" s="100">
        <f t="shared" si="34"/>
        <v>13750000000</v>
      </c>
      <c r="AY33" s="100">
        <f t="shared" si="34"/>
        <v>13750000000</v>
      </c>
      <c r="AZ33" s="100">
        <f t="shared" si="34"/>
        <v>13750000000</v>
      </c>
      <c r="BA33" s="101">
        <f t="shared" si="32"/>
        <v>275000</v>
      </c>
      <c r="BB33" s="101">
        <f>IFERROR(up_RadSpec!$E$13*(BB13/$B33),".")</f>
        <v>68750</v>
      </c>
      <c r="BC33" s="101">
        <f>IFERROR(up_RadSpec!$E$13*(BC13/$B33),".")</f>
        <v>68750</v>
      </c>
      <c r="BD33" s="101">
        <f>IFERROR(up_RadSpec!$E$13*(BD13/$B33),".")</f>
        <v>68750</v>
      </c>
      <c r="BE33" s="101">
        <f>IFERROR(up_RadSpec!$E$13*(BE13/$B33),".")</f>
        <v>68750</v>
      </c>
      <c r="BF33" s="101">
        <f>IFERROR(up_RadSpec!$E$13*(BF13/$B33),".")</f>
        <v>68750</v>
      </c>
      <c r="BG33" s="101">
        <f>IFERROR(up_RadSpec!$E$13*(BG13/$B33),".")</f>
        <v>68750</v>
      </c>
      <c r="BH33" s="101">
        <f>IFERROR(up_RadSpec!$E$13*(BH13/$B33),".")</f>
        <v>68750</v>
      </c>
      <c r="BI33" s="101">
        <f>IFERROR(up_RadSpec!$E$13*(BI13/$B33),".")</f>
        <v>68750</v>
      </c>
      <c r="BJ33" s="101">
        <f>IFERROR(up_RadSpec!$E$13*(BJ13/$B33),".")</f>
        <v>68750</v>
      </c>
      <c r="BK33" s="101">
        <f>IFERROR(up_RadSpec!$E$13*(BK13/$B33),".")</f>
        <v>68750</v>
      </c>
      <c r="BL33" s="101">
        <f>IFERROR(up_RadSpec!$E$13*(BL13/$B33),".")</f>
        <v>68750</v>
      </c>
      <c r="BM33" s="101">
        <f>IFERROR(up_RadSpec!$E$13*(BM13/$B33),".")</f>
        <v>68750</v>
      </c>
      <c r="BN33" s="101">
        <f>IFERROR(up_RadSpec!$E$13*(BN13/$B33),".")</f>
        <v>68750</v>
      </c>
      <c r="BO33" s="101">
        <f>IFERROR(up_RadSpec!$E$13*(BO13/$B33),".")</f>
        <v>68750</v>
      </c>
      <c r="BP33" s="101">
        <f>IFERROR(up_RadSpec!$E$13*(BP13/$B33),".")</f>
        <v>68750</v>
      </c>
      <c r="BQ33" s="101">
        <f>IFERROR(up_RadSpec!$E$13*(BQ13/$B33),".")</f>
        <v>68750</v>
      </c>
      <c r="BR33" s="101">
        <f>IFERROR(up_RadSpec!$E$13*(BR13/$B33),".")</f>
        <v>68750</v>
      </c>
      <c r="BS33" s="101">
        <f>IFERROR(up_RadSpec!$E$13*(BS13/$B33),".")</f>
        <v>68750</v>
      </c>
      <c r="BT33" s="101">
        <f>IFERROR(up_RadSpec!$E$13*(BT13/$B33),".")</f>
        <v>68750</v>
      </c>
      <c r="BU33" s="101">
        <f>IFERROR(up_RadSpec!$E$13*(BU13/$B33),".")</f>
        <v>68750</v>
      </c>
      <c r="BV33" s="101">
        <f>IFERROR(up_RadSpec!$E$13*(BV13/$B33),".")</f>
        <v>68750</v>
      </c>
      <c r="BW33" s="101">
        <f>IFERROR(up_RadSpec!$E$13*(BW13/$B33),".")</f>
        <v>68750</v>
      </c>
      <c r="BX33" s="101">
        <f>IFERROR(up_RadSpec!$E$13*(BX13/$B33),".")</f>
        <v>68750</v>
      </c>
      <c r="BY33" s="101">
        <f>IFERROR(up_RadSpec!$E$13*(BY13/$B33),".")</f>
        <v>68750</v>
      </c>
    </row>
    <row r="34" spans="1:77" x14ac:dyDescent="0.25">
      <c r="A34" s="99" t="s">
        <v>1079</v>
      </c>
      <c r="B34" s="90">
        <v>1</v>
      </c>
      <c r="C34" s="100">
        <f t="shared" si="0"/>
        <v>3437500000</v>
      </c>
      <c r="D34" s="100">
        <f t="shared" si="33"/>
        <v>13750000000</v>
      </c>
      <c r="E34" s="100">
        <f t="shared" si="33"/>
        <v>13750000000</v>
      </c>
      <c r="F34" s="100">
        <f t="shared" si="33"/>
        <v>13750000000</v>
      </c>
      <c r="G34" s="100">
        <f t="shared" si="33"/>
        <v>13750000000</v>
      </c>
      <c r="H34" s="100">
        <f t="shared" si="33"/>
        <v>13750000000</v>
      </c>
      <c r="I34" s="100">
        <f t="shared" si="33"/>
        <v>13750000000</v>
      </c>
      <c r="J34" s="100">
        <f t="shared" si="33"/>
        <v>13750000000</v>
      </c>
      <c r="K34" s="100">
        <f t="shared" si="33"/>
        <v>13750000000</v>
      </c>
      <c r="L34" s="100">
        <f t="shared" si="33"/>
        <v>13750000000</v>
      </c>
      <c r="M34" s="100">
        <f t="shared" si="33"/>
        <v>13750000000</v>
      </c>
      <c r="N34" s="100">
        <f t="shared" si="33"/>
        <v>13750000000</v>
      </c>
      <c r="O34" s="100">
        <f t="shared" si="33"/>
        <v>13750000000</v>
      </c>
      <c r="P34" s="100">
        <f t="shared" si="33"/>
        <v>13750000000</v>
      </c>
      <c r="Q34" s="100">
        <f t="shared" si="33"/>
        <v>13750000000</v>
      </c>
      <c r="R34" s="100">
        <f t="shared" si="33"/>
        <v>13750000000</v>
      </c>
      <c r="S34" s="100">
        <f t="shared" si="33"/>
        <v>13750000000</v>
      </c>
      <c r="T34" s="100">
        <f t="shared" si="33"/>
        <v>13750000000</v>
      </c>
      <c r="U34" s="100">
        <f t="shared" si="33"/>
        <v>13750000000</v>
      </c>
      <c r="V34" s="100">
        <f t="shared" si="33"/>
        <v>13750000000</v>
      </c>
      <c r="W34" s="100">
        <f t="shared" si="33"/>
        <v>13750000000</v>
      </c>
      <c r="X34" s="100">
        <f t="shared" si="33"/>
        <v>13750000000</v>
      </c>
      <c r="Y34" s="100">
        <f t="shared" si="33"/>
        <v>13750000000</v>
      </c>
      <c r="Z34" s="100">
        <f t="shared" si="33"/>
        <v>13750000000</v>
      </c>
      <c r="AA34" s="100">
        <f t="shared" si="33"/>
        <v>13750000000</v>
      </c>
      <c r="AB34" s="100">
        <f t="shared" si="26"/>
        <v>3437500000</v>
      </c>
      <c r="AC34" s="100">
        <f t="shared" si="34"/>
        <v>13750000000</v>
      </c>
      <c r="AD34" s="100">
        <f t="shared" si="34"/>
        <v>13750000000</v>
      </c>
      <c r="AE34" s="100">
        <f t="shared" si="34"/>
        <v>13750000000</v>
      </c>
      <c r="AF34" s="100">
        <f t="shared" si="34"/>
        <v>13750000000</v>
      </c>
      <c r="AG34" s="100">
        <f t="shared" si="34"/>
        <v>13750000000</v>
      </c>
      <c r="AH34" s="100">
        <f t="shared" si="34"/>
        <v>13750000000</v>
      </c>
      <c r="AI34" s="100">
        <f t="shared" si="34"/>
        <v>13750000000</v>
      </c>
      <c r="AJ34" s="100">
        <f t="shared" si="34"/>
        <v>13750000000</v>
      </c>
      <c r="AK34" s="100">
        <f t="shared" si="34"/>
        <v>13750000000</v>
      </c>
      <c r="AL34" s="100">
        <f t="shared" si="34"/>
        <v>13750000000</v>
      </c>
      <c r="AM34" s="100">
        <f t="shared" si="34"/>
        <v>13750000000</v>
      </c>
      <c r="AN34" s="100">
        <f t="shared" si="34"/>
        <v>13750000000</v>
      </c>
      <c r="AO34" s="100">
        <f t="shared" si="34"/>
        <v>13750000000</v>
      </c>
      <c r="AP34" s="100">
        <f t="shared" si="34"/>
        <v>13750000000</v>
      </c>
      <c r="AQ34" s="100">
        <f t="shared" si="34"/>
        <v>13750000000</v>
      </c>
      <c r="AR34" s="100">
        <f t="shared" si="34"/>
        <v>13750000000</v>
      </c>
      <c r="AS34" s="100">
        <f t="shared" si="34"/>
        <v>13750000000</v>
      </c>
      <c r="AT34" s="100">
        <f t="shared" si="34"/>
        <v>13750000000</v>
      </c>
      <c r="AU34" s="100">
        <f t="shared" si="34"/>
        <v>13750000000</v>
      </c>
      <c r="AV34" s="100">
        <f t="shared" si="34"/>
        <v>13750000000</v>
      </c>
      <c r="AW34" s="100">
        <f t="shared" si="34"/>
        <v>13750000000</v>
      </c>
      <c r="AX34" s="100">
        <f t="shared" si="34"/>
        <v>13750000000</v>
      </c>
      <c r="AY34" s="100">
        <f t="shared" si="34"/>
        <v>13750000000</v>
      </c>
      <c r="AZ34" s="100">
        <f t="shared" si="34"/>
        <v>13750000000</v>
      </c>
      <c r="BA34" s="101">
        <f t="shared" si="32"/>
        <v>275000</v>
      </c>
      <c r="BB34" s="101">
        <f>IFERROR(up_RadSpec!$E$14*(BB14/$B34),".")</f>
        <v>68750</v>
      </c>
      <c r="BC34" s="101">
        <f>IFERROR(up_RadSpec!$E$14*(BC14/$B34),".")</f>
        <v>68750</v>
      </c>
      <c r="BD34" s="101">
        <f>IFERROR(up_RadSpec!$E$14*(BD14/$B34),".")</f>
        <v>68750</v>
      </c>
      <c r="BE34" s="101">
        <f>IFERROR(up_RadSpec!$E$14*(BE14/$B34),".")</f>
        <v>68750</v>
      </c>
      <c r="BF34" s="101">
        <f>IFERROR(up_RadSpec!$E$14*(BF14/$B34),".")</f>
        <v>68750</v>
      </c>
      <c r="BG34" s="101">
        <f>IFERROR(up_RadSpec!$E$14*(BG14/$B34),".")</f>
        <v>68750</v>
      </c>
      <c r="BH34" s="101">
        <f>IFERROR(up_RadSpec!$E$14*(BH14/$B34),".")</f>
        <v>68750</v>
      </c>
      <c r="BI34" s="101">
        <f>IFERROR(up_RadSpec!$E$14*(BI14/$B34),".")</f>
        <v>68750</v>
      </c>
      <c r="BJ34" s="101">
        <f>IFERROR(up_RadSpec!$E$14*(BJ14/$B34),".")</f>
        <v>68750</v>
      </c>
      <c r="BK34" s="101">
        <f>IFERROR(up_RadSpec!$E$14*(BK14/$B34),".")</f>
        <v>68750</v>
      </c>
      <c r="BL34" s="101">
        <f>IFERROR(up_RadSpec!$E$14*(BL14/$B34),".")</f>
        <v>68750</v>
      </c>
      <c r="BM34" s="101">
        <f>IFERROR(up_RadSpec!$E$14*(BM14/$B34),".")</f>
        <v>68750</v>
      </c>
      <c r="BN34" s="101">
        <f>IFERROR(up_RadSpec!$E$14*(BN14/$B34),".")</f>
        <v>68750</v>
      </c>
      <c r="BO34" s="101">
        <f>IFERROR(up_RadSpec!$E$14*(BO14/$B34),".")</f>
        <v>68750</v>
      </c>
      <c r="BP34" s="101">
        <f>IFERROR(up_RadSpec!$E$14*(BP14/$B34),".")</f>
        <v>68750</v>
      </c>
      <c r="BQ34" s="101">
        <f>IFERROR(up_RadSpec!$E$14*(BQ14/$B34),".")</f>
        <v>68750</v>
      </c>
      <c r="BR34" s="101">
        <f>IFERROR(up_RadSpec!$E$14*(BR14/$B34),".")</f>
        <v>68750</v>
      </c>
      <c r="BS34" s="101">
        <f>IFERROR(up_RadSpec!$E$14*(BS14/$B34),".")</f>
        <v>68750</v>
      </c>
      <c r="BT34" s="101">
        <f>IFERROR(up_RadSpec!$E$14*(BT14/$B34),".")</f>
        <v>68750</v>
      </c>
      <c r="BU34" s="101">
        <f>IFERROR(up_RadSpec!$E$14*(BU14/$B34),".")</f>
        <v>68750</v>
      </c>
      <c r="BV34" s="101">
        <f>IFERROR(up_RadSpec!$E$14*(BV14/$B34),".")</f>
        <v>68750</v>
      </c>
      <c r="BW34" s="101">
        <f>IFERROR(up_RadSpec!$E$14*(BW14/$B34),".")</f>
        <v>68750</v>
      </c>
      <c r="BX34" s="101">
        <f>IFERROR(up_RadSpec!$E$14*(BX14/$B34),".")</f>
        <v>68750</v>
      </c>
      <c r="BY34" s="101">
        <f>IFERROR(up_RadSpec!$E$14*(BY14/$B34),".")</f>
        <v>68750</v>
      </c>
    </row>
    <row r="35" spans="1:77" x14ac:dyDescent="0.25">
      <c r="A35" s="99" t="s">
        <v>1080</v>
      </c>
      <c r="B35" s="90">
        <v>1</v>
      </c>
      <c r="C35" s="100">
        <f t="shared" si="0"/>
        <v>3437500000</v>
      </c>
      <c r="D35" s="100">
        <f t="shared" ref="D35:AA35" si="35">IFERROR($B35/D30,0)</f>
        <v>13750000000</v>
      </c>
      <c r="E35" s="100">
        <f t="shared" si="35"/>
        <v>13750000000</v>
      </c>
      <c r="F35" s="100">
        <f t="shared" si="35"/>
        <v>13750000000</v>
      </c>
      <c r="G35" s="100">
        <f t="shared" si="35"/>
        <v>13750000000</v>
      </c>
      <c r="H35" s="100">
        <f t="shared" si="35"/>
        <v>13750000000</v>
      </c>
      <c r="I35" s="100">
        <f t="shared" si="35"/>
        <v>13750000000</v>
      </c>
      <c r="J35" s="100">
        <f t="shared" si="35"/>
        <v>13750000000</v>
      </c>
      <c r="K35" s="100">
        <f t="shared" si="35"/>
        <v>13750000000</v>
      </c>
      <c r="L35" s="100">
        <f t="shared" si="35"/>
        <v>13750000000</v>
      </c>
      <c r="M35" s="100">
        <f t="shared" si="35"/>
        <v>13750000000</v>
      </c>
      <c r="N35" s="100">
        <f t="shared" si="35"/>
        <v>13750000000</v>
      </c>
      <c r="O35" s="100">
        <f t="shared" si="35"/>
        <v>13750000000</v>
      </c>
      <c r="P35" s="100">
        <f t="shared" si="35"/>
        <v>13750000000</v>
      </c>
      <c r="Q35" s="100">
        <f t="shared" si="35"/>
        <v>13750000000</v>
      </c>
      <c r="R35" s="100">
        <f t="shared" si="35"/>
        <v>13750000000</v>
      </c>
      <c r="S35" s="100">
        <f t="shared" si="35"/>
        <v>13750000000</v>
      </c>
      <c r="T35" s="100">
        <f t="shared" si="35"/>
        <v>13750000000</v>
      </c>
      <c r="U35" s="100">
        <f t="shared" si="35"/>
        <v>13750000000</v>
      </c>
      <c r="V35" s="100">
        <f t="shared" si="35"/>
        <v>13750000000</v>
      </c>
      <c r="W35" s="100">
        <f t="shared" si="35"/>
        <v>13750000000</v>
      </c>
      <c r="X35" s="100">
        <f t="shared" si="35"/>
        <v>13750000000</v>
      </c>
      <c r="Y35" s="100">
        <f t="shared" si="35"/>
        <v>13750000000</v>
      </c>
      <c r="Z35" s="100">
        <f t="shared" si="35"/>
        <v>13750000000</v>
      </c>
      <c r="AA35" s="100">
        <f t="shared" si="35"/>
        <v>13750000000</v>
      </c>
      <c r="AB35" s="100">
        <f t="shared" si="26"/>
        <v>3437500000</v>
      </c>
      <c r="AC35" s="100">
        <f t="shared" ref="AC35:AZ35" si="36">IFERROR($B35/AC30,0)</f>
        <v>13750000000</v>
      </c>
      <c r="AD35" s="100">
        <f t="shared" si="36"/>
        <v>13750000000</v>
      </c>
      <c r="AE35" s="100">
        <f t="shared" si="36"/>
        <v>13750000000</v>
      </c>
      <c r="AF35" s="100">
        <f t="shared" si="36"/>
        <v>13750000000</v>
      </c>
      <c r="AG35" s="100">
        <f t="shared" si="36"/>
        <v>13750000000</v>
      </c>
      <c r="AH35" s="100">
        <f t="shared" si="36"/>
        <v>13750000000</v>
      </c>
      <c r="AI35" s="100">
        <f t="shared" si="36"/>
        <v>13750000000</v>
      </c>
      <c r="AJ35" s="100">
        <f t="shared" si="36"/>
        <v>13750000000</v>
      </c>
      <c r="AK35" s="100">
        <f t="shared" si="36"/>
        <v>13750000000</v>
      </c>
      <c r="AL35" s="100">
        <f t="shared" si="36"/>
        <v>13750000000</v>
      </c>
      <c r="AM35" s="100">
        <f t="shared" si="36"/>
        <v>13750000000</v>
      </c>
      <c r="AN35" s="100">
        <f t="shared" si="36"/>
        <v>13750000000</v>
      </c>
      <c r="AO35" s="100">
        <f t="shared" si="36"/>
        <v>13750000000</v>
      </c>
      <c r="AP35" s="100">
        <f t="shared" si="36"/>
        <v>13750000000</v>
      </c>
      <c r="AQ35" s="100">
        <f t="shared" si="36"/>
        <v>13750000000</v>
      </c>
      <c r="AR35" s="100">
        <f t="shared" si="36"/>
        <v>13750000000</v>
      </c>
      <c r="AS35" s="100">
        <f t="shared" si="36"/>
        <v>13750000000</v>
      </c>
      <c r="AT35" s="100">
        <f t="shared" si="36"/>
        <v>13750000000</v>
      </c>
      <c r="AU35" s="100">
        <f t="shared" si="36"/>
        <v>13750000000</v>
      </c>
      <c r="AV35" s="100">
        <f t="shared" si="36"/>
        <v>13750000000</v>
      </c>
      <c r="AW35" s="100">
        <f t="shared" si="36"/>
        <v>13750000000</v>
      </c>
      <c r="AX35" s="100">
        <f t="shared" si="36"/>
        <v>13750000000</v>
      </c>
      <c r="AY35" s="100">
        <f t="shared" si="36"/>
        <v>13750000000</v>
      </c>
      <c r="AZ35" s="100">
        <f t="shared" si="36"/>
        <v>13750000000</v>
      </c>
      <c r="BA35" s="101">
        <f t="shared" si="32"/>
        <v>275000</v>
      </c>
      <c r="BB35" s="101">
        <f>IFERROR(up_RadSpec!$E$30*(BB30/$B35),".")</f>
        <v>68750</v>
      </c>
      <c r="BC35" s="101">
        <f>IFERROR(up_RadSpec!$E$30*(BC30/$B35),".")</f>
        <v>68750</v>
      </c>
      <c r="BD35" s="101">
        <f>IFERROR(up_RadSpec!$E$30*(BD30/$B35),".")</f>
        <v>68750</v>
      </c>
      <c r="BE35" s="101">
        <f>IFERROR(up_RadSpec!$E$30*(BE30/$B35),".")</f>
        <v>68750</v>
      </c>
      <c r="BF35" s="101">
        <f>IFERROR(up_RadSpec!$E$30*(BF30/$B35),".")</f>
        <v>68750</v>
      </c>
      <c r="BG35" s="101">
        <f>IFERROR(up_RadSpec!$E$30*(BG30/$B35),".")</f>
        <v>68750</v>
      </c>
      <c r="BH35" s="101">
        <f>IFERROR(up_RadSpec!$E$30*(BH30/$B35),".")</f>
        <v>68750</v>
      </c>
      <c r="BI35" s="101">
        <f>IFERROR(up_RadSpec!$E$30*(BI30/$B35),".")</f>
        <v>68750</v>
      </c>
      <c r="BJ35" s="101">
        <f>IFERROR(up_RadSpec!$E$30*(BJ30/$B35),".")</f>
        <v>68750</v>
      </c>
      <c r="BK35" s="101">
        <f>IFERROR(up_RadSpec!$E$30*(BK30/$B35),".")</f>
        <v>68750</v>
      </c>
      <c r="BL35" s="101">
        <f>IFERROR(up_RadSpec!$E$30*(BL30/$B35),".")</f>
        <v>68750</v>
      </c>
      <c r="BM35" s="101">
        <f>IFERROR(up_RadSpec!$E$30*(BM30/$B35),".")</f>
        <v>68750</v>
      </c>
      <c r="BN35" s="101">
        <f>IFERROR(up_RadSpec!$E$30*(BN30/$B35),".")</f>
        <v>68750</v>
      </c>
      <c r="BO35" s="101">
        <f>IFERROR(up_RadSpec!$E$30*(BO30/$B35),".")</f>
        <v>68750</v>
      </c>
      <c r="BP35" s="101">
        <f>IFERROR(up_RadSpec!$E$30*(BP30/$B35),".")</f>
        <v>68750</v>
      </c>
      <c r="BQ35" s="101">
        <f>IFERROR(up_RadSpec!$E$30*(BQ30/$B35),".")</f>
        <v>68750</v>
      </c>
      <c r="BR35" s="101">
        <f>IFERROR(up_RadSpec!$E$30*(BR30/$B35),".")</f>
        <v>68750</v>
      </c>
      <c r="BS35" s="101">
        <f>IFERROR(up_RadSpec!$E$30*(BS30/$B35),".")</f>
        <v>68750</v>
      </c>
      <c r="BT35" s="101">
        <f>IFERROR(up_RadSpec!$E$30*(BT30/$B35),".")</f>
        <v>68750</v>
      </c>
      <c r="BU35" s="101">
        <f>IFERROR(up_RadSpec!$E$30*(BU30/$B35),".")</f>
        <v>68750</v>
      </c>
      <c r="BV35" s="101">
        <f>IFERROR(up_RadSpec!$E$30*(BV30/$B35),".")</f>
        <v>68750</v>
      </c>
      <c r="BW35" s="101">
        <f>IFERROR(up_RadSpec!$E$30*(BW30/$B35),".")</f>
        <v>68750</v>
      </c>
      <c r="BX35" s="101">
        <f>IFERROR(up_RadSpec!$E$30*(BX30/$B35),".")</f>
        <v>68750</v>
      </c>
      <c r="BY35" s="101">
        <f>IFERROR(up_RadSpec!$E$30*(BY30/$B35),".")</f>
        <v>68750</v>
      </c>
    </row>
    <row r="36" spans="1:77" x14ac:dyDescent="0.25">
      <c r="A36" s="99" t="s">
        <v>1081</v>
      </c>
      <c r="B36" s="90">
        <v>1</v>
      </c>
      <c r="C36" s="100">
        <f t="shared" si="0"/>
        <v>3437500000</v>
      </c>
      <c r="D36" s="100">
        <f t="shared" ref="D36:AA36" si="37">IFERROR($B36/D26,0)</f>
        <v>13750000000</v>
      </c>
      <c r="E36" s="100">
        <f t="shared" si="37"/>
        <v>13750000000</v>
      </c>
      <c r="F36" s="100">
        <f t="shared" si="37"/>
        <v>13750000000</v>
      </c>
      <c r="G36" s="100">
        <f t="shared" si="37"/>
        <v>13750000000</v>
      </c>
      <c r="H36" s="100">
        <f t="shared" si="37"/>
        <v>13750000000</v>
      </c>
      <c r="I36" s="100">
        <f t="shared" si="37"/>
        <v>13750000000</v>
      </c>
      <c r="J36" s="100">
        <f t="shared" si="37"/>
        <v>13750000000</v>
      </c>
      <c r="K36" s="100">
        <f t="shared" si="37"/>
        <v>13750000000</v>
      </c>
      <c r="L36" s="100">
        <f t="shared" si="37"/>
        <v>13750000000</v>
      </c>
      <c r="M36" s="100">
        <f t="shared" si="37"/>
        <v>13750000000</v>
      </c>
      <c r="N36" s="100">
        <f t="shared" si="37"/>
        <v>13750000000</v>
      </c>
      <c r="O36" s="100">
        <f t="shared" si="37"/>
        <v>13750000000</v>
      </c>
      <c r="P36" s="100">
        <f t="shared" si="37"/>
        <v>13750000000</v>
      </c>
      <c r="Q36" s="100">
        <f t="shared" si="37"/>
        <v>13750000000</v>
      </c>
      <c r="R36" s="100">
        <f t="shared" si="37"/>
        <v>13750000000</v>
      </c>
      <c r="S36" s="100">
        <f t="shared" si="37"/>
        <v>13750000000</v>
      </c>
      <c r="T36" s="100">
        <f t="shared" si="37"/>
        <v>13750000000</v>
      </c>
      <c r="U36" s="100">
        <f t="shared" si="37"/>
        <v>13750000000</v>
      </c>
      <c r="V36" s="100">
        <f t="shared" si="37"/>
        <v>13750000000</v>
      </c>
      <c r="W36" s="100">
        <f t="shared" si="37"/>
        <v>13750000000</v>
      </c>
      <c r="X36" s="100">
        <f t="shared" si="37"/>
        <v>13750000000</v>
      </c>
      <c r="Y36" s="100">
        <f t="shared" si="37"/>
        <v>13750000000</v>
      </c>
      <c r="Z36" s="100">
        <f t="shared" si="37"/>
        <v>13750000000</v>
      </c>
      <c r="AA36" s="100">
        <f t="shared" si="37"/>
        <v>13750000000</v>
      </c>
      <c r="AB36" s="100">
        <f t="shared" si="26"/>
        <v>3437500000</v>
      </c>
      <c r="AC36" s="100">
        <f t="shared" ref="AC36:AZ36" si="38">IFERROR($B36/AC26,0)</f>
        <v>13750000000</v>
      </c>
      <c r="AD36" s="100">
        <f t="shared" si="38"/>
        <v>13750000000</v>
      </c>
      <c r="AE36" s="100">
        <f t="shared" si="38"/>
        <v>13750000000</v>
      </c>
      <c r="AF36" s="100">
        <f t="shared" si="38"/>
        <v>13750000000</v>
      </c>
      <c r="AG36" s="100">
        <f t="shared" si="38"/>
        <v>13750000000</v>
      </c>
      <c r="AH36" s="100">
        <f t="shared" si="38"/>
        <v>13750000000</v>
      </c>
      <c r="AI36" s="100">
        <f t="shared" si="38"/>
        <v>13750000000</v>
      </c>
      <c r="AJ36" s="100">
        <f t="shared" si="38"/>
        <v>13750000000</v>
      </c>
      <c r="AK36" s="100">
        <f t="shared" si="38"/>
        <v>13750000000</v>
      </c>
      <c r="AL36" s="100">
        <f t="shared" si="38"/>
        <v>13750000000</v>
      </c>
      <c r="AM36" s="100">
        <f t="shared" si="38"/>
        <v>13750000000</v>
      </c>
      <c r="AN36" s="100">
        <f t="shared" si="38"/>
        <v>13750000000</v>
      </c>
      <c r="AO36" s="100">
        <f t="shared" si="38"/>
        <v>13750000000</v>
      </c>
      <c r="AP36" s="100">
        <f t="shared" si="38"/>
        <v>13750000000</v>
      </c>
      <c r="AQ36" s="100">
        <f t="shared" si="38"/>
        <v>13750000000</v>
      </c>
      <c r="AR36" s="100">
        <f t="shared" si="38"/>
        <v>13750000000</v>
      </c>
      <c r="AS36" s="100">
        <f t="shared" si="38"/>
        <v>13750000000</v>
      </c>
      <c r="AT36" s="100">
        <f t="shared" si="38"/>
        <v>13750000000</v>
      </c>
      <c r="AU36" s="100">
        <f t="shared" si="38"/>
        <v>13750000000</v>
      </c>
      <c r="AV36" s="100">
        <f t="shared" si="38"/>
        <v>13750000000</v>
      </c>
      <c r="AW36" s="100">
        <f t="shared" si="38"/>
        <v>13750000000</v>
      </c>
      <c r="AX36" s="100">
        <f t="shared" si="38"/>
        <v>13750000000</v>
      </c>
      <c r="AY36" s="100">
        <f t="shared" si="38"/>
        <v>13750000000</v>
      </c>
      <c r="AZ36" s="100">
        <f t="shared" si="38"/>
        <v>13750000000</v>
      </c>
      <c r="BA36" s="101">
        <f t="shared" si="32"/>
        <v>275000</v>
      </c>
      <c r="BB36" s="101">
        <f>IFERROR(up_RadSpec!$E$26*(BB26/$B36),".")</f>
        <v>68750</v>
      </c>
      <c r="BC36" s="101">
        <f>IFERROR(up_RadSpec!$E$26*(BC26/$B36),".")</f>
        <v>68750</v>
      </c>
      <c r="BD36" s="101">
        <f>IFERROR(up_RadSpec!$E$26*(BD26/$B36),".")</f>
        <v>68750</v>
      </c>
      <c r="BE36" s="101">
        <f>IFERROR(up_RadSpec!$E$26*(BE26/$B36),".")</f>
        <v>68750</v>
      </c>
      <c r="BF36" s="101">
        <f>IFERROR(up_RadSpec!$E$26*(BF26/$B36),".")</f>
        <v>68750</v>
      </c>
      <c r="BG36" s="101">
        <f>IFERROR(up_RadSpec!$E$26*(BG26/$B36),".")</f>
        <v>68750</v>
      </c>
      <c r="BH36" s="101">
        <f>IFERROR(up_RadSpec!$E$26*(BH26/$B36),".")</f>
        <v>68750</v>
      </c>
      <c r="BI36" s="101">
        <f>IFERROR(up_RadSpec!$E$26*(BI26/$B36),".")</f>
        <v>68750</v>
      </c>
      <c r="BJ36" s="101">
        <f>IFERROR(up_RadSpec!$E$26*(BJ26/$B36),".")</f>
        <v>68750</v>
      </c>
      <c r="BK36" s="101">
        <f>IFERROR(up_RadSpec!$E$26*(BK26/$B36),".")</f>
        <v>68750</v>
      </c>
      <c r="BL36" s="101">
        <f>IFERROR(up_RadSpec!$E$26*(BL26/$B36),".")</f>
        <v>68750</v>
      </c>
      <c r="BM36" s="101">
        <f>IFERROR(up_RadSpec!$E$26*(BM26/$B36),".")</f>
        <v>68750</v>
      </c>
      <c r="BN36" s="101">
        <f>IFERROR(up_RadSpec!$E$26*(BN26/$B36),".")</f>
        <v>68750</v>
      </c>
      <c r="BO36" s="101">
        <f>IFERROR(up_RadSpec!$E$26*(BO26/$B36),".")</f>
        <v>68750</v>
      </c>
      <c r="BP36" s="101">
        <f>IFERROR(up_RadSpec!$E$26*(BP26/$B36),".")</f>
        <v>68750</v>
      </c>
      <c r="BQ36" s="101">
        <f>IFERROR(up_RadSpec!$E$26*(BQ26/$B36),".")</f>
        <v>68750</v>
      </c>
      <c r="BR36" s="101">
        <f>IFERROR(up_RadSpec!$E$26*(BR26/$B36),".")</f>
        <v>68750</v>
      </c>
      <c r="BS36" s="101">
        <f>IFERROR(up_RadSpec!$E$26*(BS26/$B36),".")</f>
        <v>68750</v>
      </c>
      <c r="BT36" s="101">
        <f>IFERROR(up_RadSpec!$E$26*(BT26/$B36),".")</f>
        <v>68750</v>
      </c>
      <c r="BU36" s="101">
        <f>IFERROR(up_RadSpec!$E$26*(BU26/$B36),".")</f>
        <v>68750</v>
      </c>
      <c r="BV36" s="101">
        <f>IFERROR(up_RadSpec!$E$26*(BV26/$B36),".")</f>
        <v>68750</v>
      </c>
      <c r="BW36" s="101">
        <f>IFERROR(up_RadSpec!$E$26*(BW26/$B36),".")</f>
        <v>68750</v>
      </c>
      <c r="BX36" s="101">
        <f>IFERROR(up_RadSpec!$E$26*(BX26/$B36),".")</f>
        <v>68750</v>
      </c>
      <c r="BY36" s="101">
        <f>IFERROR(up_RadSpec!$E$26*(BY26/$B36),".")</f>
        <v>68750</v>
      </c>
    </row>
    <row r="37" spans="1:77" x14ac:dyDescent="0.25">
      <c r="A37" s="99" t="s">
        <v>1082</v>
      </c>
      <c r="B37" s="90">
        <v>1</v>
      </c>
      <c r="C37" s="100">
        <f t="shared" si="0"/>
        <v>3437500000</v>
      </c>
      <c r="D37" s="100">
        <f t="shared" ref="D37:AA37" si="39">IFERROR($B37/D22,0)</f>
        <v>13750000000</v>
      </c>
      <c r="E37" s="100">
        <f t="shared" si="39"/>
        <v>13750000000</v>
      </c>
      <c r="F37" s="100">
        <f t="shared" si="39"/>
        <v>13750000000</v>
      </c>
      <c r="G37" s="100">
        <f t="shared" si="39"/>
        <v>13750000000</v>
      </c>
      <c r="H37" s="100">
        <f t="shared" si="39"/>
        <v>13750000000</v>
      </c>
      <c r="I37" s="100">
        <f t="shared" si="39"/>
        <v>13750000000</v>
      </c>
      <c r="J37" s="100">
        <f t="shared" si="39"/>
        <v>13750000000</v>
      </c>
      <c r="K37" s="100">
        <f t="shared" si="39"/>
        <v>13750000000</v>
      </c>
      <c r="L37" s="100">
        <f t="shared" si="39"/>
        <v>13750000000</v>
      </c>
      <c r="M37" s="100">
        <f t="shared" si="39"/>
        <v>13750000000</v>
      </c>
      <c r="N37" s="100">
        <f t="shared" si="39"/>
        <v>13750000000</v>
      </c>
      <c r="O37" s="100">
        <f t="shared" si="39"/>
        <v>13750000000</v>
      </c>
      <c r="P37" s="100">
        <f t="shared" si="39"/>
        <v>13750000000</v>
      </c>
      <c r="Q37" s="100">
        <f t="shared" si="39"/>
        <v>13750000000</v>
      </c>
      <c r="R37" s="100">
        <f t="shared" si="39"/>
        <v>13750000000</v>
      </c>
      <c r="S37" s="100">
        <f t="shared" si="39"/>
        <v>13750000000</v>
      </c>
      <c r="T37" s="100">
        <f t="shared" si="39"/>
        <v>13750000000</v>
      </c>
      <c r="U37" s="100">
        <f t="shared" si="39"/>
        <v>13750000000</v>
      </c>
      <c r="V37" s="100">
        <f t="shared" si="39"/>
        <v>13750000000</v>
      </c>
      <c r="W37" s="100">
        <f t="shared" si="39"/>
        <v>13750000000</v>
      </c>
      <c r="X37" s="100">
        <f t="shared" si="39"/>
        <v>13750000000</v>
      </c>
      <c r="Y37" s="100">
        <f t="shared" si="39"/>
        <v>13750000000</v>
      </c>
      <c r="Z37" s="100">
        <f t="shared" si="39"/>
        <v>13750000000</v>
      </c>
      <c r="AA37" s="100">
        <f t="shared" si="39"/>
        <v>13750000000</v>
      </c>
      <c r="AB37" s="100">
        <f t="shared" si="26"/>
        <v>3437500000</v>
      </c>
      <c r="AC37" s="100">
        <f t="shared" ref="AC37:AZ37" si="40">IFERROR($B37/AC22,0)</f>
        <v>13750000000</v>
      </c>
      <c r="AD37" s="100">
        <f t="shared" si="40"/>
        <v>13750000000</v>
      </c>
      <c r="AE37" s="100">
        <f t="shared" si="40"/>
        <v>13750000000</v>
      </c>
      <c r="AF37" s="100">
        <f t="shared" si="40"/>
        <v>13750000000</v>
      </c>
      <c r="AG37" s="100">
        <f t="shared" si="40"/>
        <v>13750000000</v>
      </c>
      <c r="AH37" s="100">
        <f t="shared" si="40"/>
        <v>13750000000</v>
      </c>
      <c r="AI37" s="100">
        <f t="shared" si="40"/>
        <v>13750000000</v>
      </c>
      <c r="AJ37" s="100">
        <f t="shared" si="40"/>
        <v>13750000000</v>
      </c>
      <c r="AK37" s="100">
        <f t="shared" si="40"/>
        <v>13750000000</v>
      </c>
      <c r="AL37" s="100">
        <f t="shared" si="40"/>
        <v>13750000000</v>
      </c>
      <c r="AM37" s="100">
        <f t="shared" si="40"/>
        <v>13750000000</v>
      </c>
      <c r="AN37" s="100">
        <f t="shared" si="40"/>
        <v>13750000000</v>
      </c>
      <c r="AO37" s="100">
        <f t="shared" si="40"/>
        <v>13750000000</v>
      </c>
      <c r="AP37" s="100">
        <f t="shared" si="40"/>
        <v>13750000000</v>
      </c>
      <c r="AQ37" s="100">
        <f t="shared" si="40"/>
        <v>13750000000</v>
      </c>
      <c r="AR37" s="100">
        <f t="shared" si="40"/>
        <v>13750000000</v>
      </c>
      <c r="AS37" s="100">
        <f t="shared" si="40"/>
        <v>13750000000</v>
      </c>
      <c r="AT37" s="100">
        <f t="shared" si="40"/>
        <v>13750000000</v>
      </c>
      <c r="AU37" s="100">
        <f t="shared" si="40"/>
        <v>13750000000</v>
      </c>
      <c r="AV37" s="100">
        <f t="shared" si="40"/>
        <v>13750000000</v>
      </c>
      <c r="AW37" s="100">
        <f t="shared" si="40"/>
        <v>13750000000</v>
      </c>
      <c r="AX37" s="100">
        <f t="shared" si="40"/>
        <v>13750000000</v>
      </c>
      <c r="AY37" s="100">
        <f t="shared" si="40"/>
        <v>13750000000</v>
      </c>
      <c r="AZ37" s="100">
        <f t="shared" si="40"/>
        <v>13750000000</v>
      </c>
      <c r="BA37" s="101">
        <f t="shared" si="32"/>
        <v>275000</v>
      </c>
      <c r="BB37" s="101">
        <f>IFERROR(up_RadSpec!$E$22*(BB22/$B37),".")</f>
        <v>68750</v>
      </c>
      <c r="BC37" s="101">
        <f>IFERROR(up_RadSpec!$E$22*(BC22/$B37),".")</f>
        <v>68750</v>
      </c>
      <c r="BD37" s="101">
        <f>IFERROR(up_RadSpec!$E$22*(BD22/$B37),".")</f>
        <v>68750</v>
      </c>
      <c r="BE37" s="101">
        <f>IFERROR(up_RadSpec!$E$22*(BE22/$B37),".")</f>
        <v>68750</v>
      </c>
      <c r="BF37" s="101">
        <f>IFERROR(up_RadSpec!$E$22*(BF22/$B37),".")</f>
        <v>68750</v>
      </c>
      <c r="BG37" s="101">
        <f>IFERROR(up_RadSpec!$E$22*(BG22/$B37),".")</f>
        <v>68750</v>
      </c>
      <c r="BH37" s="101">
        <f>IFERROR(up_RadSpec!$E$22*(BH22/$B37),".")</f>
        <v>68750</v>
      </c>
      <c r="BI37" s="101">
        <f>IFERROR(up_RadSpec!$E$22*(BI22/$B37),".")</f>
        <v>68750</v>
      </c>
      <c r="BJ37" s="101">
        <f>IFERROR(up_RadSpec!$E$22*(BJ22/$B37),".")</f>
        <v>68750</v>
      </c>
      <c r="BK37" s="101">
        <f>IFERROR(up_RadSpec!$E$22*(BK22/$B37),".")</f>
        <v>68750</v>
      </c>
      <c r="BL37" s="101">
        <f>IFERROR(up_RadSpec!$E$22*(BL22/$B37),".")</f>
        <v>68750</v>
      </c>
      <c r="BM37" s="101">
        <f>IFERROR(up_RadSpec!$E$22*(BM22/$B37),".")</f>
        <v>68750</v>
      </c>
      <c r="BN37" s="101">
        <f>IFERROR(up_RadSpec!$E$22*(BN22/$B37),".")</f>
        <v>68750</v>
      </c>
      <c r="BO37" s="101">
        <f>IFERROR(up_RadSpec!$E$22*(BO22/$B37),".")</f>
        <v>68750</v>
      </c>
      <c r="BP37" s="101">
        <f>IFERROR(up_RadSpec!$E$22*(BP22/$B37),".")</f>
        <v>68750</v>
      </c>
      <c r="BQ37" s="101">
        <f>IFERROR(up_RadSpec!$E$22*(BQ22/$B37),".")</f>
        <v>68750</v>
      </c>
      <c r="BR37" s="101">
        <f>IFERROR(up_RadSpec!$E$22*(BR22/$B37),".")</f>
        <v>68750</v>
      </c>
      <c r="BS37" s="101">
        <f>IFERROR(up_RadSpec!$E$22*(BS22/$B37),".")</f>
        <v>68750</v>
      </c>
      <c r="BT37" s="101">
        <f>IFERROR(up_RadSpec!$E$22*(BT22/$B37),".")</f>
        <v>68750</v>
      </c>
      <c r="BU37" s="101">
        <f>IFERROR(up_RadSpec!$E$22*(BU22/$B37),".")</f>
        <v>68750</v>
      </c>
      <c r="BV37" s="101">
        <f>IFERROR(up_RadSpec!$E$22*(BV22/$B37),".")</f>
        <v>68750</v>
      </c>
      <c r="BW37" s="101">
        <f>IFERROR(up_RadSpec!$E$22*(BW22/$B37),".")</f>
        <v>68750</v>
      </c>
      <c r="BX37" s="101">
        <f>IFERROR(up_RadSpec!$E$22*(BX22/$B37),".")</f>
        <v>68750</v>
      </c>
      <c r="BY37" s="101">
        <f>IFERROR(up_RadSpec!$E$22*(BY22/$B37),".")</f>
        <v>68750</v>
      </c>
    </row>
    <row r="38" spans="1:77" x14ac:dyDescent="0.25">
      <c r="A38" s="99" t="s">
        <v>1083</v>
      </c>
      <c r="B38" s="90">
        <v>1</v>
      </c>
      <c r="C38" s="100">
        <f t="shared" si="0"/>
        <v>3437500000</v>
      </c>
      <c r="D38" s="100">
        <f t="shared" ref="D38:AA38" si="41">IFERROR($B38/D2,0)</f>
        <v>13750000000</v>
      </c>
      <c r="E38" s="100">
        <f t="shared" si="41"/>
        <v>13750000000</v>
      </c>
      <c r="F38" s="100">
        <f t="shared" si="41"/>
        <v>13750000000</v>
      </c>
      <c r="G38" s="100">
        <f t="shared" si="41"/>
        <v>13750000000</v>
      </c>
      <c r="H38" s="100">
        <f t="shared" si="41"/>
        <v>13750000000</v>
      </c>
      <c r="I38" s="100">
        <f t="shared" si="41"/>
        <v>13750000000</v>
      </c>
      <c r="J38" s="100">
        <f t="shared" si="41"/>
        <v>13750000000</v>
      </c>
      <c r="K38" s="100">
        <f t="shared" si="41"/>
        <v>13750000000</v>
      </c>
      <c r="L38" s="100">
        <f t="shared" si="41"/>
        <v>13750000000</v>
      </c>
      <c r="M38" s="100">
        <f t="shared" si="41"/>
        <v>13750000000</v>
      </c>
      <c r="N38" s="100">
        <f t="shared" si="41"/>
        <v>13750000000</v>
      </c>
      <c r="O38" s="100">
        <f t="shared" si="41"/>
        <v>13750000000</v>
      </c>
      <c r="P38" s="100">
        <f t="shared" si="41"/>
        <v>13750000000</v>
      </c>
      <c r="Q38" s="100">
        <f t="shared" si="41"/>
        <v>13750000000</v>
      </c>
      <c r="R38" s="100">
        <f t="shared" si="41"/>
        <v>13750000000</v>
      </c>
      <c r="S38" s="100">
        <f t="shared" si="41"/>
        <v>13750000000</v>
      </c>
      <c r="T38" s="100">
        <f t="shared" si="41"/>
        <v>13750000000</v>
      </c>
      <c r="U38" s="100">
        <f t="shared" si="41"/>
        <v>13750000000</v>
      </c>
      <c r="V38" s="100">
        <f t="shared" si="41"/>
        <v>13750000000</v>
      </c>
      <c r="W38" s="100">
        <f t="shared" si="41"/>
        <v>13750000000</v>
      </c>
      <c r="X38" s="100">
        <f t="shared" si="41"/>
        <v>13750000000</v>
      </c>
      <c r="Y38" s="100">
        <f t="shared" si="41"/>
        <v>13750000000</v>
      </c>
      <c r="Z38" s="100">
        <f t="shared" si="41"/>
        <v>13750000000</v>
      </c>
      <c r="AA38" s="100">
        <f t="shared" si="41"/>
        <v>13750000000</v>
      </c>
      <c r="AB38" s="100">
        <f t="shared" si="26"/>
        <v>3437500000</v>
      </c>
      <c r="AC38" s="100">
        <f t="shared" ref="AC38:AZ38" si="42">IFERROR($B38/AC2,0)</f>
        <v>13750000000</v>
      </c>
      <c r="AD38" s="100">
        <f t="shared" si="42"/>
        <v>13750000000</v>
      </c>
      <c r="AE38" s="100">
        <f t="shared" si="42"/>
        <v>13750000000</v>
      </c>
      <c r="AF38" s="100">
        <f t="shared" si="42"/>
        <v>13750000000</v>
      </c>
      <c r="AG38" s="100">
        <f t="shared" si="42"/>
        <v>13750000000</v>
      </c>
      <c r="AH38" s="100">
        <f t="shared" si="42"/>
        <v>13750000000</v>
      </c>
      <c r="AI38" s="100">
        <f t="shared" si="42"/>
        <v>13750000000</v>
      </c>
      <c r="AJ38" s="100">
        <f t="shared" si="42"/>
        <v>13750000000</v>
      </c>
      <c r="AK38" s="100">
        <f t="shared" si="42"/>
        <v>13750000000</v>
      </c>
      <c r="AL38" s="100">
        <f t="shared" si="42"/>
        <v>13750000000</v>
      </c>
      <c r="AM38" s="100">
        <f t="shared" si="42"/>
        <v>13750000000</v>
      </c>
      <c r="AN38" s="100">
        <f t="shared" si="42"/>
        <v>13750000000</v>
      </c>
      <c r="AO38" s="100">
        <f t="shared" si="42"/>
        <v>13750000000</v>
      </c>
      <c r="AP38" s="100">
        <f t="shared" si="42"/>
        <v>13750000000</v>
      </c>
      <c r="AQ38" s="100">
        <f t="shared" si="42"/>
        <v>13750000000</v>
      </c>
      <c r="AR38" s="100">
        <f t="shared" si="42"/>
        <v>13750000000</v>
      </c>
      <c r="AS38" s="100">
        <f t="shared" si="42"/>
        <v>13750000000</v>
      </c>
      <c r="AT38" s="100">
        <f t="shared" si="42"/>
        <v>13750000000</v>
      </c>
      <c r="AU38" s="100">
        <f t="shared" si="42"/>
        <v>13750000000</v>
      </c>
      <c r="AV38" s="100">
        <f t="shared" si="42"/>
        <v>13750000000</v>
      </c>
      <c r="AW38" s="100">
        <f t="shared" si="42"/>
        <v>13750000000</v>
      </c>
      <c r="AX38" s="100">
        <f t="shared" si="42"/>
        <v>13750000000</v>
      </c>
      <c r="AY38" s="100">
        <f t="shared" si="42"/>
        <v>13750000000</v>
      </c>
      <c r="AZ38" s="100">
        <f t="shared" si="42"/>
        <v>13750000000</v>
      </c>
      <c r="BA38" s="101">
        <f t="shared" si="32"/>
        <v>275000</v>
      </c>
      <c r="BB38" s="101">
        <f>IFERROR(up_RadSpec!$E$2*(BB2/$B38),".")</f>
        <v>68750</v>
      </c>
      <c r="BC38" s="101">
        <f>IFERROR(up_RadSpec!$E$2*(BC2/$B38),".")</f>
        <v>68750</v>
      </c>
      <c r="BD38" s="101">
        <f>IFERROR(up_RadSpec!$E$2*(BD2/$B38),".")</f>
        <v>68750</v>
      </c>
      <c r="BE38" s="101">
        <f>IFERROR(up_RadSpec!$E$2*(BE2/$B38),".")</f>
        <v>68750</v>
      </c>
      <c r="BF38" s="101">
        <f>IFERROR(up_RadSpec!$E$2*(BF2/$B38),".")</f>
        <v>68750</v>
      </c>
      <c r="BG38" s="101">
        <f>IFERROR(up_RadSpec!$E$2*(BG2/$B38),".")</f>
        <v>68750</v>
      </c>
      <c r="BH38" s="101">
        <f>IFERROR(up_RadSpec!$E$2*(BH2/$B38),".")</f>
        <v>68750</v>
      </c>
      <c r="BI38" s="101">
        <f>IFERROR(up_RadSpec!$E$2*(BI2/$B38),".")</f>
        <v>68750</v>
      </c>
      <c r="BJ38" s="101">
        <f>IFERROR(up_RadSpec!$E$2*(BJ2/$B38),".")</f>
        <v>68750</v>
      </c>
      <c r="BK38" s="101">
        <f>IFERROR(up_RadSpec!$E$2*(BK2/$B38),".")</f>
        <v>68750</v>
      </c>
      <c r="BL38" s="101">
        <f>IFERROR(up_RadSpec!$E$2*(BL2/$B38),".")</f>
        <v>68750</v>
      </c>
      <c r="BM38" s="101">
        <f>IFERROR(up_RadSpec!$E$2*(BM2/$B38),".")</f>
        <v>68750</v>
      </c>
      <c r="BN38" s="101">
        <f>IFERROR(up_RadSpec!$E$2*(BN2/$B38),".")</f>
        <v>68750</v>
      </c>
      <c r="BO38" s="101">
        <f>IFERROR(up_RadSpec!$E$2*(BO2/$B38),".")</f>
        <v>68750</v>
      </c>
      <c r="BP38" s="101">
        <f>IFERROR(up_RadSpec!$E$2*(BP2/$B38),".")</f>
        <v>68750</v>
      </c>
      <c r="BQ38" s="101">
        <f>IFERROR(up_RadSpec!$E$2*(BQ2/$B38),".")</f>
        <v>68750</v>
      </c>
      <c r="BR38" s="101">
        <f>IFERROR(up_RadSpec!$E$2*(BR2/$B38),".")</f>
        <v>68750</v>
      </c>
      <c r="BS38" s="101">
        <f>IFERROR(up_RadSpec!$E$2*(BS2/$B38),".")</f>
        <v>68750</v>
      </c>
      <c r="BT38" s="101">
        <f>IFERROR(up_RadSpec!$E$2*(BT2/$B38),".")</f>
        <v>68750</v>
      </c>
      <c r="BU38" s="101">
        <f>IFERROR(up_RadSpec!$E$2*(BU2/$B38),".")</f>
        <v>68750</v>
      </c>
      <c r="BV38" s="101">
        <f>IFERROR(up_RadSpec!$E$2*(BV2/$B38),".")</f>
        <v>68750</v>
      </c>
      <c r="BW38" s="101">
        <f>IFERROR(up_RadSpec!$E$2*(BW2/$B38),".")</f>
        <v>68750</v>
      </c>
      <c r="BX38" s="101">
        <f>IFERROR(up_RadSpec!$E$2*(BX2/$B38),".")</f>
        <v>68750</v>
      </c>
      <c r="BY38" s="101">
        <f>IFERROR(up_RadSpec!$E$2*(BY2/$B38),".")</f>
        <v>68750</v>
      </c>
    </row>
    <row r="39" spans="1:77" x14ac:dyDescent="0.25">
      <c r="A39" s="99" t="s">
        <v>1084</v>
      </c>
      <c r="B39" s="90">
        <v>1</v>
      </c>
      <c r="C39" s="100">
        <f t="shared" si="0"/>
        <v>3437500000</v>
      </c>
      <c r="D39" s="100">
        <f t="shared" ref="D39:AA39" si="43">IFERROR($B39/D11,0)</f>
        <v>13750000000</v>
      </c>
      <c r="E39" s="100">
        <f t="shared" si="43"/>
        <v>13750000000</v>
      </c>
      <c r="F39" s="100">
        <f t="shared" si="43"/>
        <v>13750000000</v>
      </c>
      <c r="G39" s="100">
        <f t="shared" si="43"/>
        <v>13750000000</v>
      </c>
      <c r="H39" s="100">
        <f t="shared" si="43"/>
        <v>13750000000</v>
      </c>
      <c r="I39" s="100">
        <f t="shared" si="43"/>
        <v>13750000000</v>
      </c>
      <c r="J39" s="100">
        <f t="shared" si="43"/>
        <v>13750000000</v>
      </c>
      <c r="K39" s="100">
        <f t="shared" si="43"/>
        <v>13750000000</v>
      </c>
      <c r="L39" s="100">
        <f t="shared" si="43"/>
        <v>13750000000</v>
      </c>
      <c r="M39" s="100">
        <f t="shared" si="43"/>
        <v>13750000000</v>
      </c>
      <c r="N39" s="100">
        <f t="shared" si="43"/>
        <v>13750000000</v>
      </c>
      <c r="O39" s="100">
        <f t="shared" si="43"/>
        <v>13750000000</v>
      </c>
      <c r="P39" s="100">
        <f t="shared" si="43"/>
        <v>13750000000</v>
      </c>
      <c r="Q39" s="100">
        <f t="shared" si="43"/>
        <v>13750000000</v>
      </c>
      <c r="R39" s="100">
        <f t="shared" si="43"/>
        <v>13750000000</v>
      </c>
      <c r="S39" s="100">
        <f t="shared" si="43"/>
        <v>13750000000</v>
      </c>
      <c r="T39" s="100">
        <f t="shared" si="43"/>
        <v>13750000000</v>
      </c>
      <c r="U39" s="100">
        <f t="shared" si="43"/>
        <v>13750000000</v>
      </c>
      <c r="V39" s="100">
        <f t="shared" si="43"/>
        <v>13750000000</v>
      </c>
      <c r="W39" s="100">
        <f t="shared" si="43"/>
        <v>13750000000</v>
      </c>
      <c r="X39" s="100">
        <f t="shared" si="43"/>
        <v>13750000000</v>
      </c>
      <c r="Y39" s="100">
        <f t="shared" si="43"/>
        <v>13750000000</v>
      </c>
      <c r="Z39" s="100">
        <f t="shared" si="43"/>
        <v>13750000000</v>
      </c>
      <c r="AA39" s="100">
        <f t="shared" si="43"/>
        <v>13750000000</v>
      </c>
      <c r="AB39" s="100">
        <f t="shared" si="26"/>
        <v>3437500000</v>
      </c>
      <c r="AC39" s="100">
        <f t="shared" ref="AC39:AZ39" si="44">IFERROR($B39/AC11,0)</f>
        <v>13750000000</v>
      </c>
      <c r="AD39" s="100">
        <f t="shared" si="44"/>
        <v>13750000000</v>
      </c>
      <c r="AE39" s="100">
        <f t="shared" si="44"/>
        <v>13750000000</v>
      </c>
      <c r="AF39" s="100">
        <f t="shared" si="44"/>
        <v>13750000000</v>
      </c>
      <c r="AG39" s="100">
        <f t="shared" si="44"/>
        <v>13750000000</v>
      </c>
      <c r="AH39" s="100">
        <f t="shared" si="44"/>
        <v>13750000000</v>
      </c>
      <c r="AI39" s="100">
        <f t="shared" si="44"/>
        <v>13750000000</v>
      </c>
      <c r="AJ39" s="100">
        <f t="shared" si="44"/>
        <v>13750000000</v>
      </c>
      <c r="AK39" s="100">
        <f t="shared" si="44"/>
        <v>13750000000</v>
      </c>
      <c r="AL39" s="100">
        <f t="shared" si="44"/>
        <v>13750000000</v>
      </c>
      <c r="AM39" s="100">
        <f t="shared" si="44"/>
        <v>13750000000</v>
      </c>
      <c r="AN39" s="100">
        <f t="shared" si="44"/>
        <v>13750000000</v>
      </c>
      <c r="AO39" s="100">
        <f t="shared" si="44"/>
        <v>13750000000</v>
      </c>
      <c r="AP39" s="100">
        <f t="shared" si="44"/>
        <v>13750000000</v>
      </c>
      <c r="AQ39" s="100">
        <f t="shared" si="44"/>
        <v>13750000000</v>
      </c>
      <c r="AR39" s="100">
        <f t="shared" si="44"/>
        <v>13750000000</v>
      </c>
      <c r="AS39" s="100">
        <f t="shared" si="44"/>
        <v>13750000000</v>
      </c>
      <c r="AT39" s="100">
        <f t="shared" si="44"/>
        <v>13750000000</v>
      </c>
      <c r="AU39" s="100">
        <f t="shared" si="44"/>
        <v>13750000000</v>
      </c>
      <c r="AV39" s="100">
        <f t="shared" si="44"/>
        <v>13750000000</v>
      </c>
      <c r="AW39" s="100">
        <f t="shared" si="44"/>
        <v>13750000000</v>
      </c>
      <c r="AX39" s="100">
        <f t="shared" si="44"/>
        <v>13750000000</v>
      </c>
      <c r="AY39" s="100">
        <f t="shared" si="44"/>
        <v>13750000000</v>
      </c>
      <c r="AZ39" s="100">
        <f t="shared" si="44"/>
        <v>13750000000</v>
      </c>
      <c r="BA39" s="101">
        <f t="shared" si="32"/>
        <v>275000</v>
      </c>
      <c r="BB39" s="101">
        <f>IFERROR(up_RadSpec!$E$11*(BB11/$B39),".")</f>
        <v>68750</v>
      </c>
      <c r="BC39" s="101">
        <f>IFERROR(up_RadSpec!$E$11*(BC11/$B39),".")</f>
        <v>68750</v>
      </c>
      <c r="BD39" s="101">
        <f>IFERROR(up_RadSpec!$E$11*(BD11/$B39),".")</f>
        <v>68750</v>
      </c>
      <c r="BE39" s="101">
        <f>IFERROR(up_RadSpec!$E$11*(BE11/$B39),".")</f>
        <v>68750</v>
      </c>
      <c r="BF39" s="101">
        <f>IFERROR(up_RadSpec!$E$11*(BF11/$B39),".")</f>
        <v>68750</v>
      </c>
      <c r="BG39" s="101">
        <f>IFERROR(up_RadSpec!$E$11*(BG11/$B39),".")</f>
        <v>68750</v>
      </c>
      <c r="BH39" s="101">
        <f>IFERROR(up_RadSpec!$E$11*(BH11/$B39),".")</f>
        <v>68750</v>
      </c>
      <c r="BI39" s="101">
        <f>IFERROR(up_RadSpec!$E$11*(BI11/$B39),".")</f>
        <v>68750</v>
      </c>
      <c r="BJ39" s="101">
        <f>IFERROR(up_RadSpec!$E$11*(BJ11/$B39),".")</f>
        <v>68750</v>
      </c>
      <c r="BK39" s="101">
        <f>IFERROR(up_RadSpec!$E$11*(BK11/$B39),".")</f>
        <v>68750</v>
      </c>
      <c r="BL39" s="101">
        <f>IFERROR(up_RadSpec!$E$11*(BL11/$B39),".")</f>
        <v>68750</v>
      </c>
      <c r="BM39" s="101">
        <f>IFERROR(up_RadSpec!$E$11*(BM11/$B39),".")</f>
        <v>68750</v>
      </c>
      <c r="BN39" s="101">
        <f>IFERROR(up_RadSpec!$E$11*(BN11/$B39),".")</f>
        <v>68750</v>
      </c>
      <c r="BO39" s="101">
        <f>IFERROR(up_RadSpec!$E$11*(BO11/$B39),".")</f>
        <v>68750</v>
      </c>
      <c r="BP39" s="101">
        <f>IFERROR(up_RadSpec!$E$11*(BP11/$B39),".")</f>
        <v>68750</v>
      </c>
      <c r="BQ39" s="101">
        <f>IFERROR(up_RadSpec!$E$11*(BQ11/$B39),".")</f>
        <v>68750</v>
      </c>
      <c r="BR39" s="101">
        <f>IFERROR(up_RadSpec!$E$11*(BR11/$B39),".")</f>
        <v>68750</v>
      </c>
      <c r="BS39" s="101">
        <f>IFERROR(up_RadSpec!$E$11*(BS11/$B39),".")</f>
        <v>68750</v>
      </c>
      <c r="BT39" s="101">
        <f>IFERROR(up_RadSpec!$E$11*(BT11/$B39),".")</f>
        <v>68750</v>
      </c>
      <c r="BU39" s="101">
        <f>IFERROR(up_RadSpec!$E$11*(BU11/$B39),".")</f>
        <v>68750</v>
      </c>
      <c r="BV39" s="101">
        <f>IFERROR(up_RadSpec!$E$11*(BV11/$B39),".")</f>
        <v>68750</v>
      </c>
      <c r="BW39" s="101">
        <f>IFERROR(up_RadSpec!$E$11*(BW11/$B39),".")</f>
        <v>68750</v>
      </c>
      <c r="BX39" s="101">
        <f>IFERROR(up_RadSpec!$E$11*(BX11/$B39),".")</f>
        <v>68750</v>
      </c>
      <c r="BY39" s="101">
        <f>IFERROR(up_RadSpec!$E$11*(BY11/$B39),".")</f>
        <v>68750</v>
      </c>
    </row>
    <row r="40" spans="1:77" x14ac:dyDescent="0.25">
      <c r="A40" s="99" t="s">
        <v>1085</v>
      </c>
      <c r="B40" s="90">
        <v>1</v>
      </c>
      <c r="C40" s="100">
        <f t="shared" si="0"/>
        <v>3437500000</v>
      </c>
      <c r="D40" s="100">
        <f t="shared" ref="D40:AA40" si="45">IFERROR($B40/D4,0)</f>
        <v>13750000000</v>
      </c>
      <c r="E40" s="100">
        <f t="shared" si="45"/>
        <v>13750000000</v>
      </c>
      <c r="F40" s="100">
        <f t="shared" si="45"/>
        <v>13750000000</v>
      </c>
      <c r="G40" s="100">
        <f t="shared" si="45"/>
        <v>13750000000</v>
      </c>
      <c r="H40" s="100">
        <f t="shared" si="45"/>
        <v>13750000000</v>
      </c>
      <c r="I40" s="100">
        <f t="shared" si="45"/>
        <v>13750000000</v>
      </c>
      <c r="J40" s="100">
        <f t="shared" si="45"/>
        <v>13750000000</v>
      </c>
      <c r="K40" s="100">
        <f t="shared" si="45"/>
        <v>13750000000</v>
      </c>
      <c r="L40" s="100">
        <f t="shared" si="45"/>
        <v>13750000000</v>
      </c>
      <c r="M40" s="100">
        <f t="shared" si="45"/>
        <v>13750000000</v>
      </c>
      <c r="N40" s="100">
        <f t="shared" si="45"/>
        <v>13750000000</v>
      </c>
      <c r="O40" s="100">
        <f t="shared" si="45"/>
        <v>13750000000</v>
      </c>
      <c r="P40" s="100">
        <f t="shared" si="45"/>
        <v>13750000000</v>
      </c>
      <c r="Q40" s="100">
        <f t="shared" si="45"/>
        <v>13750000000</v>
      </c>
      <c r="R40" s="100">
        <f t="shared" si="45"/>
        <v>13750000000</v>
      </c>
      <c r="S40" s="100">
        <f t="shared" si="45"/>
        <v>13750000000</v>
      </c>
      <c r="T40" s="100">
        <f t="shared" si="45"/>
        <v>13750000000</v>
      </c>
      <c r="U40" s="100">
        <f t="shared" si="45"/>
        <v>13750000000</v>
      </c>
      <c r="V40" s="100">
        <f t="shared" si="45"/>
        <v>13750000000</v>
      </c>
      <c r="W40" s="100">
        <f t="shared" si="45"/>
        <v>13750000000</v>
      </c>
      <c r="X40" s="100">
        <f t="shared" si="45"/>
        <v>13750000000</v>
      </c>
      <c r="Y40" s="100">
        <f t="shared" si="45"/>
        <v>13750000000</v>
      </c>
      <c r="Z40" s="100">
        <f t="shared" si="45"/>
        <v>13750000000</v>
      </c>
      <c r="AA40" s="100">
        <f t="shared" si="45"/>
        <v>13750000000</v>
      </c>
      <c r="AB40" s="100">
        <f t="shared" si="26"/>
        <v>3437500000</v>
      </c>
      <c r="AC40" s="100">
        <f t="shared" ref="AC40:AZ40" si="46">IFERROR($B40/AC4,0)</f>
        <v>13750000000</v>
      </c>
      <c r="AD40" s="100">
        <f t="shared" si="46"/>
        <v>13750000000</v>
      </c>
      <c r="AE40" s="100">
        <f t="shared" si="46"/>
        <v>13750000000</v>
      </c>
      <c r="AF40" s="100">
        <f t="shared" si="46"/>
        <v>13750000000</v>
      </c>
      <c r="AG40" s="100">
        <f t="shared" si="46"/>
        <v>13750000000</v>
      </c>
      <c r="AH40" s="100">
        <f t="shared" si="46"/>
        <v>13750000000</v>
      </c>
      <c r="AI40" s="100">
        <f t="shared" si="46"/>
        <v>13750000000</v>
      </c>
      <c r="AJ40" s="100">
        <f t="shared" si="46"/>
        <v>13750000000</v>
      </c>
      <c r="AK40" s="100">
        <f t="shared" si="46"/>
        <v>13750000000</v>
      </c>
      <c r="AL40" s="100">
        <f t="shared" si="46"/>
        <v>13750000000</v>
      </c>
      <c r="AM40" s="100">
        <f t="shared" si="46"/>
        <v>13750000000</v>
      </c>
      <c r="AN40" s="100">
        <f t="shared" si="46"/>
        <v>13750000000</v>
      </c>
      <c r="AO40" s="100">
        <f t="shared" si="46"/>
        <v>13750000000</v>
      </c>
      <c r="AP40" s="100">
        <f t="shared" si="46"/>
        <v>13750000000</v>
      </c>
      <c r="AQ40" s="100">
        <f t="shared" si="46"/>
        <v>13750000000</v>
      </c>
      <c r="AR40" s="100">
        <f t="shared" si="46"/>
        <v>13750000000</v>
      </c>
      <c r="AS40" s="100">
        <f t="shared" si="46"/>
        <v>13750000000</v>
      </c>
      <c r="AT40" s="100">
        <f t="shared" si="46"/>
        <v>13750000000</v>
      </c>
      <c r="AU40" s="100">
        <f t="shared" si="46"/>
        <v>13750000000</v>
      </c>
      <c r="AV40" s="100">
        <f t="shared" si="46"/>
        <v>13750000000</v>
      </c>
      <c r="AW40" s="100">
        <f t="shared" si="46"/>
        <v>13750000000</v>
      </c>
      <c r="AX40" s="100">
        <f t="shared" si="46"/>
        <v>13750000000</v>
      </c>
      <c r="AY40" s="100">
        <f t="shared" si="46"/>
        <v>13750000000</v>
      </c>
      <c r="AZ40" s="100">
        <f t="shared" si="46"/>
        <v>13750000000</v>
      </c>
      <c r="BA40" s="101">
        <f t="shared" si="32"/>
        <v>275000</v>
      </c>
      <c r="BB40" s="101">
        <f>IFERROR(up_RadSpec!$E$4*(BB4/$B40),".")</f>
        <v>68750</v>
      </c>
      <c r="BC40" s="101">
        <f>IFERROR(up_RadSpec!$E$4*(BC4/$B40),".")</f>
        <v>68750</v>
      </c>
      <c r="BD40" s="101">
        <f>IFERROR(up_RadSpec!$E$4*(BD4/$B40),".")</f>
        <v>68750</v>
      </c>
      <c r="BE40" s="101">
        <f>IFERROR(up_RadSpec!$E$4*(BE4/$B40),".")</f>
        <v>68750</v>
      </c>
      <c r="BF40" s="101">
        <f>IFERROR(up_RadSpec!$E$4*(BF4/$B40),".")</f>
        <v>68750</v>
      </c>
      <c r="BG40" s="101">
        <f>IFERROR(up_RadSpec!$E$4*(BG4/$B40),".")</f>
        <v>68750</v>
      </c>
      <c r="BH40" s="101">
        <f>IFERROR(up_RadSpec!$E$4*(BH4/$B40),".")</f>
        <v>68750</v>
      </c>
      <c r="BI40" s="101">
        <f>IFERROR(up_RadSpec!$E$4*(BI4/$B40),".")</f>
        <v>68750</v>
      </c>
      <c r="BJ40" s="101">
        <f>IFERROR(up_RadSpec!$E$4*(BJ4/$B40),".")</f>
        <v>68750</v>
      </c>
      <c r="BK40" s="101">
        <f>IFERROR(up_RadSpec!$E$4*(BK4/$B40),".")</f>
        <v>68750</v>
      </c>
      <c r="BL40" s="101">
        <f>IFERROR(up_RadSpec!$E$4*(BL4/$B40),".")</f>
        <v>68750</v>
      </c>
      <c r="BM40" s="101">
        <f>IFERROR(up_RadSpec!$E$4*(BM4/$B40),".")</f>
        <v>68750</v>
      </c>
      <c r="BN40" s="101">
        <f>IFERROR(up_RadSpec!$E$4*(BN4/$B40),".")</f>
        <v>68750</v>
      </c>
      <c r="BO40" s="101">
        <f>IFERROR(up_RadSpec!$E$4*(BO4/$B40),".")</f>
        <v>68750</v>
      </c>
      <c r="BP40" s="101">
        <f>IFERROR(up_RadSpec!$E$4*(BP4/$B40),".")</f>
        <v>68750</v>
      </c>
      <c r="BQ40" s="101">
        <f>IFERROR(up_RadSpec!$E$4*(BQ4/$B40),".")</f>
        <v>68750</v>
      </c>
      <c r="BR40" s="101">
        <f>IFERROR(up_RadSpec!$E$4*(BR4/$B40),".")</f>
        <v>68750</v>
      </c>
      <c r="BS40" s="101">
        <f>IFERROR(up_RadSpec!$E$4*(BS4/$B40),".")</f>
        <v>68750</v>
      </c>
      <c r="BT40" s="101">
        <f>IFERROR(up_RadSpec!$E$4*(BT4/$B40),".")</f>
        <v>68750</v>
      </c>
      <c r="BU40" s="101">
        <f>IFERROR(up_RadSpec!$E$4*(BU4/$B40),".")</f>
        <v>68750</v>
      </c>
      <c r="BV40" s="101">
        <f>IFERROR(up_RadSpec!$E$4*(BV4/$B40),".")</f>
        <v>68750</v>
      </c>
      <c r="BW40" s="101">
        <f>IFERROR(up_RadSpec!$E$4*(BW4/$B40),".")</f>
        <v>68750</v>
      </c>
      <c r="BX40" s="101">
        <f>IFERROR(up_RadSpec!$E$4*(BX4/$B40),".")</f>
        <v>68750</v>
      </c>
      <c r="BY40" s="101">
        <f>IFERROR(up_RadSpec!$E$4*(BY4/$B40),".")</f>
        <v>68750</v>
      </c>
    </row>
    <row r="41" spans="1:77" x14ac:dyDescent="0.25">
      <c r="A41" s="99" t="s">
        <v>1086</v>
      </c>
      <c r="B41" s="102">
        <v>0.99987999999999999</v>
      </c>
      <c r="C41" s="100">
        <f t="shared" si="0"/>
        <v>3437087500</v>
      </c>
      <c r="D41" s="100">
        <f t="shared" ref="D41:AA41" si="47">IFERROR($B41/D8,0)</f>
        <v>13748350000</v>
      </c>
      <c r="E41" s="100">
        <f t="shared" si="47"/>
        <v>13748350000</v>
      </c>
      <c r="F41" s="100">
        <f t="shared" si="47"/>
        <v>13748350000</v>
      </c>
      <c r="G41" s="100">
        <f t="shared" si="47"/>
        <v>13748350000</v>
      </c>
      <c r="H41" s="100">
        <f t="shared" si="47"/>
        <v>13748350000</v>
      </c>
      <c r="I41" s="100">
        <f t="shared" si="47"/>
        <v>13748350000</v>
      </c>
      <c r="J41" s="100">
        <f t="shared" si="47"/>
        <v>13748350000</v>
      </c>
      <c r="K41" s="100">
        <f t="shared" si="47"/>
        <v>13748350000</v>
      </c>
      <c r="L41" s="100">
        <f t="shared" si="47"/>
        <v>13748350000</v>
      </c>
      <c r="M41" s="100">
        <f t="shared" si="47"/>
        <v>13748350000</v>
      </c>
      <c r="N41" s="100">
        <f t="shared" si="47"/>
        <v>13748350000</v>
      </c>
      <c r="O41" s="100">
        <f t="shared" si="47"/>
        <v>13748350000</v>
      </c>
      <c r="P41" s="100">
        <f t="shared" si="47"/>
        <v>13748350000</v>
      </c>
      <c r="Q41" s="100">
        <f t="shared" si="47"/>
        <v>13748350000</v>
      </c>
      <c r="R41" s="100">
        <f t="shared" si="47"/>
        <v>13748350000</v>
      </c>
      <c r="S41" s="100">
        <f t="shared" si="47"/>
        <v>13748350000</v>
      </c>
      <c r="T41" s="100">
        <f t="shared" si="47"/>
        <v>13748350000</v>
      </c>
      <c r="U41" s="100">
        <f t="shared" si="47"/>
        <v>13748350000</v>
      </c>
      <c r="V41" s="100">
        <f t="shared" si="47"/>
        <v>13748350000</v>
      </c>
      <c r="W41" s="100">
        <f t="shared" si="47"/>
        <v>13748350000</v>
      </c>
      <c r="X41" s="100">
        <f t="shared" si="47"/>
        <v>13748350000</v>
      </c>
      <c r="Y41" s="100">
        <f t="shared" si="47"/>
        <v>13748350000</v>
      </c>
      <c r="Z41" s="100">
        <f t="shared" si="47"/>
        <v>13748350000</v>
      </c>
      <c r="AA41" s="100">
        <f t="shared" si="47"/>
        <v>13748350000</v>
      </c>
      <c r="AB41" s="100">
        <f t="shared" si="26"/>
        <v>3437087500</v>
      </c>
      <c r="AC41" s="100">
        <f t="shared" ref="AC41:AZ41" si="48">IFERROR($B41/AC8,0)</f>
        <v>13748350000</v>
      </c>
      <c r="AD41" s="100">
        <f t="shared" si="48"/>
        <v>13748350000</v>
      </c>
      <c r="AE41" s="100">
        <f t="shared" si="48"/>
        <v>13748350000</v>
      </c>
      <c r="AF41" s="100">
        <f t="shared" si="48"/>
        <v>13748350000</v>
      </c>
      <c r="AG41" s="100">
        <f t="shared" si="48"/>
        <v>13748350000</v>
      </c>
      <c r="AH41" s="100">
        <f t="shared" si="48"/>
        <v>13748350000</v>
      </c>
      <c r="AI41" s="100">
        <f t="shared" si="48"/>
        <v>13748350000</v>
      </c>
      <c r="AJ41" s="100">
        <f t="shared" si="48"/>
        <v>13748350000</v>
      </c>
      <c r="AK41" s="100">
        <f t="shared" si="48"/>
        <v>13748350000</v>
      </c>
      <c r="AL41" s="100">
        <f t="shared" si="48"/>
        <v>13748350000</v>
      </c>
      <c r="AM41" s="100">
        <f t="shared" si="48"/>
        <v>13748350000</v>
      </c>
      <c r="AN41" s="100">
        <f t="shared" si="48"/>
        <v>13748350000</v>
      </c>
      <c r="AO41" s="100">
        <f t="shared" si="48"/>
        <v>13748350000</v>
      </c>
      <c r="AP41" s="100">
        <f t="shared" si="48"/>
        <v>13748350000</v>
      </c>
      <c r="AQ41" s="100">
        <f t="shared" si="48"/>
        <v>13748350000</v>
      </c>
      <c r="AR41" s="100">
        <f t="shared" si="48"/>
        <v>13748350000</v>
      </c>
      <c r="AS41" s="100">
        <f t="shared" si="48"/>
        <v>13748350000</v>
      </c>
      <c r="AT41" s="100">
        <f t="shared" si="48"/>
        <v>13748350000</v>
      </c>
      <c r="AU41" s="100">
        <f t="shared" si="48"/>
        <v>13748350000</v>
      </c>
      <c r="AV41" s="100">
        <f t="shared" si="48"/>
        <v>13748350000</v>
      </c>
      <c r="AW41" s="100">
        <f t="shared" si="48"/>
        <v>13748350000</v>
      </c>
      <c r="AX41" s="100">
        <f t="shared" si="48"/>
        <v>13748350000</v>
      </c>
      <c r="AY41" s="100">
        <f t="shared" si="48"/>
        <v>13748350000</v>
      </c>
      <c r="AZ41" s="100">
        <f t="shared" si="48"/>
        <v>13748350000</v>
      </c>
      <c r="BA41" s="101">
        <f t="shared" si="32"/>
        <v>275033.00396047527</v>
      </c>
      <c r="BB41" s="101">
        <f>IFERROR(up_RadSpec!$E$8*(BB8/$B41),".")</f>
        <v>68758.250990118817</v>
      </c>
      <c r="BC41" s="101">
        <f>IFERROR(up_RadSpec!$E$8*(BC8/$B41),".")</f>
        <v>68758.250990118817</v>
      </c>
      <c r="BD41" s="101">
        <f>IFERROR(up_RadSpec!$E$8*(BD8/$B41),".")</f>
        <v>68758.250990118817</v>
      </c>
      <c r="BE41" s="101">
        <f>IFERROR(up_RadSpec!$E$8*(BE8/$B41),".")</f>
        <v>68758.250990118817</v>
      </c>
      <c r="BF41" s="101">
        <f>IFERROR(up_RadSpec!$E$8*(BF8/$B41),".")</f>
        <v>68758.250990118817</v>
      </c>
      <c r="BG41" s="101">
        <f>IFERROR(up_RadSpec!$E$8*(BG8/$B41),".")</f>
        <v>68758.250990118817</v>
      </c>
      <c r="BH41" s="101">
        <f>IFERROR(up_RadSpec!$E$8*(BH8/$B41),".")</f>
        <v>68758.250990118817</v>
      </c>
      <c r="BI41" s="101">
        <f>IFERROR(up_RadSpec!$E$8*(BI8/$B41),".")</f>
        <v>68758.250990118817</v>
      </c>
      <c r="BJ41" s="101">
        <f>IFERROR(up_RadSpec!$E$8*(BJ8/$B41),".")</f>
        <v>68758.250990118817</v>
      </c>
      <c r="BK41" s="101">
        <f>IFERROR(up_RadSpec!$E$8*(BK8/$B41),".")</f>
        <v>68758.250990118817</v>
      </c>
      <c r="BL41" s="101">
        <f>IFERROR(up_RadSpec!$E$8*(BL8/$B41),".")</f>
        <v>68758.250990118817</v>
      </c>
      <c r="BM41" s="101">
        <f>IFERROR(up_RadSpec!$E$8*(BM8/$B41),".")</f>
        <v>68758.250990118817</v>
      </c>
      <c r="BN41" s="101">
        <f>IFERROR(up_RadSpec!$E$8*(BN8/$B41),".")</f>
        <v>68758.250990118817</v>
      </c>
      <c r="BO41" s="101">
        <f>IFERROR(up_RadSpec!$E$8*(BO8/$B41),".")</f>
        <v>68758.250990118817</v>
      </c>
      <c r="BP41" s="101">
        <f>IFERROR(up_RadSpec!$E$8*(BP8/$B41),".")</f>
        <v>68758.250990118817</v>
      </c>
      <c r="BQ41" s="101">
        <f>IFERROR(up_RadSpec!$E$8*(BQ8/$B41),".")</f>
        <v>68758.250990118817</v>
      </c>
      <c r="BR41" s="101">
        <f>IFERROR(up_RadSpec!$E$8*(BR8/$B41),".")</f>
        <v>68758.250990118817</v>
      </c>
      <c r="BS41" s="101">
        <f>IFERROR(up_RadSpec!$E$8*(BS8/$B41),".")</f>
        <v>68758.250990118817</v>
      </c>
      <c r="BT41" s="101">
        <f>IFERROR(up_RadSpec!$E$8*(BT8/$B41),".")</f>
        <v>68758.250990118817</v>
      </c>
      <c r="BU41" s="101">
        <f>IFERROR(up_RadSpec!$E$8*(BU8/$B41),".")</f>
        <v>68758.250990118817</v>
      </c>
      <c r="BV41" s="101">
        <f>IFERROR(up_RadSpec!$E$8*(BV8/$B41),".")</f>
        <v>68758.250990118817</v>
      </c>
      <c r="BW41" s="101">
        <f>IFERROR(up_RadSpec!$E$8*(BW8/$B41),".")</f>
        <v>68758.250990118817</v>
      </c>
      <c r="BX41" s="101">
        <f>IFERROR(up_RadSpec!$E$8*(BX8/$B41),".")</f>
        <v>68758.250990118817</v>
      </c>
      <c r="BY41" s="101">
        <f>IFERROR(up_RadSpec!$E$8*(BY8/$B41),".")</f>
        <v>68758.250990118817</v>
      </c>
    </row>
    <row r="42" spans="1:77" x14ac:dyDescent="0.25">
      <c r="A42" s="99" t="s">
        <v>1087</v>
      </c>
      <c r="B42" s="90">
        <v>0.97898250799999997</v>
      </c>
      <c r="C42" s="100">
        <f t="shared" si="0"/>
        <v>3365252371.25</v>
      </c>
      <c r="D42" s="100">
        <f t="shared" ref="D42:AA42" si="49">IFERROR($B42/D19,0)</f>
        <v>13461009485</v>
      </c>
      <c r="E42" s="100">
        <f t="shared" si="49"/>
        <v>13461009485</v>
      </c>
      <c r="F42" s="100">
        <f t="shared" si="49"/>
        <v>13461009485</v>
      </c>
      <c r="G42" s="100">
        <f t="shared" si="49"/>
        <v>13461009485</v>
      </c>
      <c r="H42" s="100">
        <f t="shared" si="49"/>
        <v>13461009485</v>
      </c>
      <c r="I42" s="100">
        <f t="shared" si="49"/>
        <v>13461009485</v>
      </c>
      <c r="J42" s="100">
        <f t="shared" si="49"/>
        <v>13461009485</v>
      </c>
      <c r="K42" s="100">
        <f t="shared" si="49"/>
        <v>13461009485</v>
      </c>
      <c r="L42" s="100">
        <f t="shared" si="49"/>
        <v>13461009485</v>
      </c>
      <c r="M42" s="100">
        <f t="shared" si="49"/>
        <v>13461009485</v>
      </c>
      <c r="N42" s="100">
        <f t="shared" si="49"/>
        <v>13461009485</v>
      </c>
      <c r="O42" s="100">
        <f t="shared" si="49"/>
        <v>13461009485</v>
      </c>
      <c r="P42" s="100">
        <f t="shared" si="49"/>
        <v>13461009485</v>
      </c>
      <c r="Q42" s="100">
        <f t="shared" si="49"/>
        <v>13461009485</v>
      </c>
      <c r="R42" s="100">
        <f t="shared" si="49"/>
        <v>13461009485</v>
      </c>
      <c r="S42" s="100">
        <f t="shared" si="49"/>
        <v>13461009485</v>
      </c>
      <c r="T42" s="100">
        <f t="shared" si="49"/>
        <v>13461009485</v>
      </c>
      <c r="U42" s="100">
        <f t="shared" si="49"/>
        <v>13461009485</v>
      </c>
      <c r="V42" s="100">
        <f t="shared" si="49"/>
        <v>13461009485</v>
      </c>
      <c r="W42" s="100">
        <f t="shared" si="49"/>
        <v>13461009485</v>
      </c>
      <c r="X42" s="100">
        <f t="shared" si="49"/>
        <v>13461009485</v>
      </c>
      <c r="Y42" s="100">
        <f t="shared" si="49"/>
        <v>13461009485</v>
      </c>
      <c r="Z42" s="100">
        <f t="shared" si="49"/>
        <v>13461009485</v>
      </c>
      <c r="AA42" s="100">
        <f t="shared" si="49"/>
        <v>13461009485</v>
      </c>
      <c r="AB42" s="100">
        <f t="shared" si="26"/>
        <v>3365252371.25</v>
      </c>
      <c r="AC42" s="100">
        <f t="shared" ref="AC42:AZ42" si="50">IFERROR($B42/AC19,0)</f>
        <v>13461009485</v>
      </c>
      <c r="AD42" s="100">
        <f t="shared" si="50"/>
        <v>13461009485</v>
      </c>
      <c r="AE42" s="100">
        <f t="shared" si="50"/>
        <v>13461009485</v>
      </c>
      <c r="AF42" s="100">
        <f t="shared" si="50"/>
        <v>13461009485</v>
      </c>
      <c r="AG42" s="100">
        <f t="shared" si="50"/>
        <v>13461009485</v>
      </c>
      <c r="AH42" s="100">
        <f t="shared" si="50"/>
        <v>13461009485</v>
      </c>
      <c r="AI42" s="100">
        <f t="shared" si="50"/>
        <v>13461009485</v>
      </c>
      <c r="AJ42" s="100">
        <f t="shared" si="50"/>
        <v>13461009485</v>
      </c>
      <c r="AK42" s="100">
        <f t="shared" si="50"/>
        <v>13461009485</v>
      </c>
      <c r="AL42" s="100">
        <f t="shared" si="50"/>
        <v>13461009485</v>
      </c>
      <c r="AM42" s="100">
        <f t="shared" si="50"/>
        <v>13461009485</v>
      </c>
      <c r="AN42" s="100">
        <f t="shared" si="50"/>
        <v>13461009485</v>
      </c>
      <c r="AO42" s="100">
        <f t="shared" si="50"/>
        <v>13461009485</v>
      </c>
      <c r="AP42" s="100">
        <f t="shared" si="50"/>
        <v>13461009485</v>
      </c>
      <c r="AQ42" s="100">
        <f t="shared" si="50"/>
        <v>13461009485</v>
      </c>
      <c r="AR42" s="100">
        <f t="shared" si="50"/>
        <v>13461009485</v>
      </c>
      <c r="AS42" s="100">
        <f t="shared" si="50"/>
        <v>13461009485</v>
      </c>
      <c r="AT42" s="100">
        <f t="shared" si="50"/>
        <v>13461009485</v>
      </c>
      <c r="AU42" s="100">
        <f t="shared" si="50"/>
        <v>13461009485</v>
      </c>
      <c r="AV42" s="100">
        <f t="shared" si="50"/>
        <v>13461009485</v>
      </c>
      <c r="AW42" s="100">
        <f t="shared" si="50"/>
        <v>13461009485</v>
      </c>
      <c r="AX42" s="100">
        <f t="shared" si="50"/>
        <v>13461009485</v>
      </c>
      <c r="AY42" s="100">
        <f t="shared" si="50"/>
        <v>13461009485</v>
      </c>
      <c r="AZ42" s="100">
        <f t="shared" si="50"/>
        <v>13461009485</v>
      </c>
      <c r="BA42" s="101">
        <f t="shared" si="32"/>
        <v>280903.89537378744</v>
      </c>
      <c r="BB42" s="101">
        <f>IFERROR(up_RadSpec!$E$19*(BB19/$B42),".")</f>
        <v>70225.97384344686</v>
      </c>
      <c r="BC42" s="101">
        <f>IFERROR(up_RadSpec!$E$19*(BC19/$B42),".")</f>
        <v>70225.97384344686</v>
      </c>
      <c r="BD42" s="101">
        <f>IFERROR(up_RadSpec!$E$19*(BD19/$B42),".")</f>
        <v>70225.97384344686</v>
      </c>
      <c r="BE42" s="101">
        <f>IFERROR(up_RadSpec!$E$19*(BE19/$B42),".")</f>
        <v>70225.97384344686</v>
      </c>
      <c r="BF42" s="101">
        <f>IFERROR(up_RadSpec!$E$19*(BF19/$B42),".")</f>
        <v>70225.97384344686</v>
      </c>
      <c r="BG42" s="101">
        <f>IFERROR(up_RadSpec!$E$19*(BG19/$B42),".")</f>
        <v>70225.97384344686</v>
      </c>
      <c r="BH42" s="101">
        <f>IFERROR(up_RadSpec!$E$19*(BH19/$B42),".")</f>
        <v>70225.97384344686</v>
      </c>
      <c r="BI42" s="101">
        <f>IFERROR(up_RadSpec!$E$19*(BI19/$B42),".")</f>
        <v>70225.97384344686</v>
      </c>
      <c r="BJ42" s="101">
        <f>IFERROR(up_RadSpec!$E$19*(BJ19/$B42),".")</f>
        <v>70225.97384344686</v>
      </c>
      <c r="BK42" s="101">
        <f>IFERROR(up_RadSpec!$E$19*(BK19/$B42),".")</f>
        <v>70225.97384344686</v>
      </c>
      <c r="BL42" s="101">
        <f>IFERROR(up_RadSpec!$E$19*(BL19/$B42),".")</f>
        <v>70225.97384344686</v>
      </c>
      <c r="BM42" s="101">
        <f>IFERROR(up_RadSpec!$E$19*(BM19/$B42),".")</f>
        <v>70225.97384344686</v>
      </c>
      <c r="BN42" s="101">
        <f>IFERROR(up_RadSpec!$E$19*(BN19/$B42),".")</f>
        <v>70225.97384344686</v>
      </c>
      <c r="BO42" s="101">
        <f>IFERROR(up_RadSpec!$E$19*(BO19/$B42),".")</f>
        <v>70225.97384344686</v>
      </c>
      <c r="BP42" s="101">
        <f>IFERROR(up_RadSpec!$E$19*(BP19/$B42),".")</f>
        <v>70225.97384344686</v>
      </c>
      <c r="BQ42" s="101">
        <f>IFERROR(up_RadSpec!$E$19*(BQ19/$B42),".")</f>
        <v>70225.97384344686</v>
      </c>
      <c r="BR42" s="101">
        <f>IFERROR(up_RadSpec!$E$19*(BR19/$B42),".")</f>
        <v>70225.97384344686</v>
      </c>
      <c r="BS42" s="101">
        <f>IFERROR(up_RadSpec!$E$19*(BS19/$B42),".")</f>
        <v>70225.97384344686</v>
      </c>
      <c r="BT42" s="101">
        <f>IFERROR(up_RadSpec!$E$19*(BT19/$B42),".")</f>
        <v>70225.97384344686</v>
      </c>
      <c r="BU42" s="101">
        <f>IFERROR(up_RadSpec!$E$19*(BU19/$B42),".")</f>
        <v>70225.97384344686</v>
      </c>
      <c r="BV42" s="101">
        <f>IFERROR(up_RadSpec!$E$19*(BV19/$B42),".")</f>
        <v>70225.97384344686</v>
      </c>
      <c r="BW42" s="101">
        <f>IFERROR(up_RadSpec!$E$19*(BW19/$B42),".")</f>
        <v>70225.97384344686</v>
      </c>
      <c r="BX42" s="101">
        <f>IFERROR(up_RadSpec!$E$19*(BX19/$B42),".")</f>
        <v>70225.97384344686</v>
      </c>
      <c r="BY42" s="101">
        <f>IFERROR(up_RadSpec!$E$19*(BY19/$B42),".")</f>
        <v>70225.97384344686</v>
      </c>
    </row>
    <row r="43" spans="1:77" x14ac:dyDescent="0.25">
      <c r="A43" s="99" t="s">
        <v>1088</v>
      </c>
      <c r="B43" s="90">
        <v>2.0897492E-2</v>
      </c>
      <c r="C43" s="100">
        <f t="shared" si="0"/>
        <v>71835128.75</v>
      </c>
      <c r="D43" s="100">
        <f t="shared" ref="D43:AA43" si="51">IFERROR($B43/D28,0)</f>
        <v>287340515</v>
      </c>
      <c r="E43" s="100">
        <f t="shared" si="51"/>
        <v>287340515</v>
      </c>
      <c r="F43" s="100">
        <f t="shared" si="51"/>
        <v>287340515</v>
      </c>
      <c r="G43" s="100">
        <f t="shared" si="51"/>
        <v>287340515</v>
      </c>
      <c r="H43" s="100">
        <f t="shared" si="51"/>
        <v>287340515</v>
      </c>
      <c r="I43" s="100">
        <f t="shared" si="51"/>
        <v>287340515</v>
      </c>
      <c r="J43" s="100">
        <f t="shared" si="51"/>
        <v>287340515</v>
      </c>
      <c r="K43" s="100">
        <f t="shared" si="51"/>
        <v>287340515</v>
      </c>
      <c r="L43" s="100">
        <f t="shared" si="51"/>
        <v>287340515</v>
      </c>
      <c r="M43" s="100">
        <f t="shared" si="51"/>
        <v>287340515</v>
      </c>
      <c r="N43" s="100">
        <f t="shared" si="51"/>
        <v>287340515</v>
      </c>
      <c r="O43" s="100">
        <f t="shared" si="51"/>
        <v>287340515</v>
      </c>
      <c r="P43" s="100">
        <f t="shared" si="51"/>
        <v>287340515</v>
      </c>
      <c r="Q43" s="100">
        <f t="shared" si="51"/>
        <v>287340515</v>
      </c>
      <c r="R43" s="100">
        <f t="shared" si="51"/>
        <v>287340515</v>
      </c>
      <c r="S43" s="100">
        <f t="shared" si="51"/>
        <v>287340515</v>
      </c>
      <c r="T43" s="100">
        <f t="shared" si="51"/>
        <v>287340515</v>
      </c>
      <c r="U43" s="100">
        <f t="shared" si="51"/>
        <v>287340515</v>
      </c>
      <c r="V43" s="100">
        <f t="shared" si="51"/>
        <v>287340515</v>
      </c>
      <c r="W43" s="100">
        <f t="shared" si="51"/>
        <v>287340515</v>
      </c>
      <c r="X43" s="100">
        <f t="shared" si="51"/>
        <v>287340515</v>
      </c>
      <c r="Y43" s="100">
        <f t="shared" si="51"/>
        <v>287340515</v>
      </c>
      <c r="Z43" s="100">
        <f t="shared" si="51"/>
        <v>287340515</v>
      </c>
      <c r="AA43" s="100">
        <f t="shared" si="51"/>
        <v>287340515</v>
      </c>
      <c r="AB43" s="100">
        <f t="shared" si="26"/>
        <v>71835128.75</v>
      </c>
      <c r="AC43" s="100">
        <f t="shared" ref="AC43:AZ43" si="52">IFERROR($B43/AC28,0)</f>
        <v>287340515</v>
      </c>
      <c r="AD43" s="100">
        <f t="shared" si="52"/>
        <v>287340515</v>
      </c>
      <c r="AE43" s="100">
        <f t="shared" si="52"/>
        <v>287340515</v>
      </c>
      <c r="AF43" s="100">
        <f t="shared" si="52"/>
        <v>287340515</v>
      </c>
      <c r="AG43" s="100">
        <f t="shared" si="52"/>
        <v>287340515</v>
      </c>
      <c r="AH43" s="100">
        <f t="shared" si="52"/>
        <v>287340515</v>
      </c>
      <c r="AI43" s="100">
        <f t="shared" si="52"/>
        <v>287340515</v>
      </c>
      <c r="AJ43" s="100">
        <f t="shared" si="52"/>
        <v>287340515</v>
      </c>
      <c r="AK43" s="100">
        <f t="shared" si="52"/>
        <v>287340515</v>
      </c>
      <c r="AL43" s="100">
        <f t="shared" si="52"/>
        <v>287340515</v>
      </c>
      <c r="AM43" s="100">
        <f t="shared" si="52"/>
        <v>287340515</v>
      </c>
      <c r="AN43" s="100">
        <f t="shared" si="52"/>
        <v>287340515</v>
      </c>
      <c r="AO43" s="100">
        <f t="shared" si="52"/>
        <v>287340515</v>
      </c>
      <c r="AP43" s="100">
        <f t="shared" si="52"/>
        <v>287340515</v>
      </c>
      <c r="AQ43" s="100">
        <f t="shared" si="52"/>
        <v>287340515</v>
      </c>
      <c r="AR43" s="100">
        <f t="shared" si="52"/>
        <v>287340515</v>
      </c>
      <c r="AS43" s="100">
        <f t="shared" si="52"/>
        <v>287340515</v>
      </c>
      <c r="AT43" s="100">
        <f t="shared" si="52"/>
        <v>287340515</v>
      </c>
      <c r="AU43" s="100">
        <f t="shared" si="52"/>
        <v>287340515</v>
      </c>
      <c r="AV43" s="100">
        <f t="shared" si="52"/>
        <v>287340515</v>
      </c>
      <c r="AW43" s="100">
        <f t="shared" si="52"/>
        <v>287340515</v>
      </c>
      <c r="AX43" s="100">
        <f t="shared" si="52"/>
        <v>287340515</v>
      </c>
      <c r="AY43" s="100">
        <f t="shared" si="52"/>
        <v>287340515</v>
      </c>
      <c r="AZ43" s="100">
        <f t="shared" si="52"/>
        <v>287340515</v>
      </c>
      <c r="BA43" s="101">
        <f t="shared" si="32"/>
        <v>13159473.873706948</v>
      </c>
      <c r="BB43" s="101">
        <f>IFERROR(up_RadSpec!$E$28*(BB28/$B43),".")</f>
        <v>3289868.468426737</v>
      </c>
      <c r="BC43" s="101">
        <f>IFERROR(up_RadSpec!$E$28*(BC28/$B43),".")</f>
        <v>3289868.468426737</v>
      </c>
      <c r="BD43" s="101">
        <f>IFERROR(up_RadSpec!$E$28*(BD28/$B43),".")</f>
        <v>3289868.468426737</v>
      </c>
      <c r="BE43" s="101">
        <f>IFERROR(up_RadSpec!$E$28*(BE28/$B43),".")</f>
        <v>3289868.468426737</v>
      </c>
      <c r="BF43" s="101">
        <f>IFERROR(up_RadSpec!$E$28*(BF28/$B43),".")</f>
        <v>3289868.468426737</v>
      </c>
      <c r="BG43" s="101">
        <f>IFERROR(up_RadSpec!$E$28*(BG28/$B43),".")</f>
        <v>3289868.468426737</v>
      </c>
      <c r="BH43" s="101">
        <f>IFERROR(up_RadSpec!$E$28*(BH28/$B43),".")</f>
        <v>3289868.468426737</v>
      </c>
      <c r="BI43" s="101">
        <f>IFERROR(up_RadSpec!$E$28*(BI28/$B43),".")</f>
        <v>3289868.468426737</v>
      </c>
      <c r="BJ43" s="101">
        <f>IFERROR(up_RadSpec!$E$28*(BJ28/$B43),".")</f>
        <v>3289868.468426737</v>
      </c>
      <c r="BK43" s="101">
        <f>IFERROR(up_RadSpec!$E$28*(BK28/$B43),".")</f>
        <v>3289868.468426737</v>
      </c>
      <c r="BL43" s="101">
        <f>IFERROR(up_RadSpec!$E$28*(BL28/$B43),".")</f>
        <v>3289868.468426737</v>
      </c>
      <c r="BM43" s="101">
        <f>IFERROR(up_RadSpec!$E$28*(BM28/$B43),".")</f>
        <v>3289868.468426737</v>
      </c>
      <c r="BN43" s="101">
        <f>IFERROR(up_RadSpec!$E$28*(BN28/$B43),".")</f>
        <v>3289868.468426737</v>
      </c>
      <c r="BO43" s="101">
        <f>IFERROR(up_RadSpec!$E$28*(BO28/$B43),".")</f>
        <v>3289868.468426737</v>
      </c>
      <c r="BP43" s="101">
        <f>IFERROR(up_RadSpec!$E$28*(BP28/$B43),".")</f>
        <v>3289868.468426737</v>
      </c>
      <c r="BQ43" s="101">
        <f>IFERROR(up_RadSpec!$E$28*(BQ28/$B43),".")</f>
        <v>3289868.468426737</v>
      </c>
      <c r="BR43" s="101">
        <f>IFERROR(up_RadSpec!$E$28*(BR28/$B43),".")</f>
        <v>3289868.468426737</v>
      </c>
      <c r="BS43" s="101">
        <f>IFERROR(up_RadSpec!$E$28*(BS28/$B43),".")</f>
        <v>3289868.468426737</v>
      </c>
      <c r="BT43" s="101">
        <f>IFERROR(up_RadSpec!$E$28*(BT28/$B43),".")</f>
        <v>3289868.468426737</v>
      </c>
      <c r="BU43" s="101">
        <f>IFERROR(up_RadSpec!$E$28*(BU28/$B43),".")</f>
        <v>3289868.468426737</v>
      </c>
      <c r="BV43" s="101">
        <f>IFERROR(up_RadSpec!$E$28*(BV28/$B43),".")</f>
        <v>3289868.468426737</v>
      </c>
      <c r="BW43" s="101">
        <f>IFERROR(up_RadSpec!$E$28*(BW28/$B43),".")</f>
        <v>3289868.468426737</v>
      </c>
      <c r="BX43" s="101">
        <f>IFERROR(up_RadSpec!$E$28*(BX28/$B43),".")</f>
        <v>3289868.468426737</v>
      </c>
      <c r="BY43" s="101">
        <f>IFERROR(up_RadSpec!$E$28*(BY28/$B43),".")</f>
        <v>3289868.468426737</v>
      </c>
    </row>
    <row r="44" spans="1:77" x14ac:dyDescent="0.25">
      <c r="A44" s="99" t="s">
        <v>1089</v>
      </c>
      <c r="B44" s="90">
        <v>0.99987999999999999</v>
      </c>
      <c r="C44" s="100">
        <f t="shared" si="0"/>
        <v>3437087500</v>
      </c>
      <c r="D44" s="100">
        <f t="shared" ref="D44:AA44" si="53">IFERROR($B44/D15,0)</f>
        <v>13748350000</v>
      </c>
      <c r="E44" s="100">
        <f t="shared" si="53"/>
        <v>13748350000</v>
      </c>
      <c r="F44" s="100">
        <f t="shared" si="53"/>
        <v>13748350000</v>
      </c>
      <c r="G44" s="100">
        <f t="shared" si="53"/>
        <v>13748350000</v>
      </c>
      <c r="H44" s="100">
        <f t="shared" si="53"/>
        <v>13748350000</v>
      </c>
      <c r="I44" s="100">
        <f t="shared" si="53"/>
        <v>13748350000</v>
      </c>
      <c r="J44" s="100">
        <f t="shared" si="53"/>
        <v>13748350000</v>
      </c>
      <c r="K44" s="100">
        <f t="shared" si="53"/>
        <v>13748350000</v>
      </c>
      <c r="L44" s="100">
        <f t="shared" si="53"/>
        <v>13748350000</v>
      </c>
      <c r="M44" s="100">
        <f t="shared" si="53"/>
        <v>13748350000</v>
      </c>
      <c r="N44" s="100">
        <f t="shared" si="53"/>
        <v>13748350000</v>
      </c>
      <c r="O44" s="100">
        <f t="shared" si="53"/>
        <v>13748350000</v>
      </c>
      <c r="P44" s="100">
        <f t="shared" si="53"/>
        <v>13748350000</v>
      </c>
      <c r="Q44" s="100">
        <f t="shared" si="53"/>
        <v>13748350000</v>
      </c>
      <c r="R44" s="100">
        <f t="shared" si="53"/>
        <v>13748350000</v>
      </c>
      <c r="S44" s="100">
        <f t="shared" si="53"/>
        <v>13748350000</v>
      </c>
      <c r="T44" s="100">
        <f t="shared" si="53"/>
        <v>13748350000</v>
      </c>
      <c r="U44" s="100">
        <f t="shared" si="53"/>
        <v>13748350000</v>
      </c>
      <c r="V44" s="100">
        <f t="shared" si="53"/>
        <v>13748350000</v>
      </c>
      <c r="W44" s="100">
        <f t="shared" si="53"/>
        <v>13748350000</v>
      </c>
      <c r="X44" s="100">
        <f t="shared" si="53"/>
        <v>13748350000</v>
      </c>
      <c r="Y44" s="100">
        <f t="shared" si="53"/>
        <v>13748350000</v>
      </c>
      <c r="Z44" s="100">
        <f t="shared" si="53"/>
        <v>13748350000</v>
      </c>
      <c r="AA44" s="100">
        <f t="shared" si="53"/>
        <v>13748350000</v>
      </c>
      <c r="AB44" s="100">
        <f t="shared" si="26"/>
        <v>3437087500</v>
      </c>
      <c r="AC44" s="100">
        <f t="shared" ref="AC44:AZ44" si="54">IFERROR($B44/AC15,0)</f>
        <v>13748350000</v>
      </c>
      <c r="AD44" s="100">
        <f t="shared" si="54"/>
        <v>13748350000</v>
      </c>
      <c r="AE44" s="100">
        <f t="shared" si="54"/>
        <v>13748350000</v>
      </c>
      <c r="AF44" s="100">
        <f t="shared" si="54"/>
        <v>13748350000</v>
      </c>
      <c r="AG44" s="100">
        <f t="shared" si="54"/>
        <v>13748350000</v>
      </c>
      <c r="AH44" s="100">
        <f t="shared" si="54"/>
        <v>13748350000</v>
      </c>
      <c r="AI44" s="100">
        <f t="shared" si="54"/>
        <v>13748350000</v>
      </c>
      <c r="AJ44" s="100">
        <f t="shared" si="54"/>
        <v>13748350000</v>
      </c>
      <c r="AK44" s="100">
        <f t="shared" si="54"/>
        <v>13748350000</v>
      </c>
      <c r="AL44" s="100">
        <f t="shared" si="54"/>
        <v>13748350000</v>
      </c>
      <c r="AM44" s="100">
        <f t="shared" si="54"/>
        <v>13748350000</v>
      </c>
      <c r="AN44" s="100">
        <f t="shared" si="54"/>
        <v>13748350000</v>
      </c>
      <c r="AO44" s="100">
        <f t="shared" si="54"/>
        <v>13748350000</v>
      </c>
      <c r="AP44" s="100">
        <f t="shared" si="54"/>
        <v>13748350000</v>
      </c>
      <c r="AQ44" s="100">
        <f t="shared" si="54"/>
        <v>13748350000</v>
      </c>
      <c r="AR44" s="100">
        <f t="shared" si="54"/>
        <v>13748350000</v>
      </c>
      <c r="AS44" s="100">
        <f t="shared" si="54"/>
        <v>13748350000</v>
      </c>
      <c r="AT44" s="100">
        <f t="shared" si="54"/>
        <v>13748350000</v>
      </c>
      <c r="AU44" s="100">
        <f t="shared" si="54"/>
        <v>13748350000</v>
      </c>
      <c r="AV44" s="100">
        <f t="shared" si="54"/>
        <v>13748350000</v>
      </c>
      <c r="AW44" s="100">
        <f t="shared" si="54"/>
        <v>13748350000</v>
      </c>
      <c r="AX44" s="100">
        <f t="shared" si="54"/>
        <v>13748350000</v>
      </c>
      <c r="AY44" s="100">
        <f t="shared" si="54"/>
        <v>13748350000</v>
      </c>
      <c r="AZ44" s="100">
        <f t="shared" si="54"/>
        <v>13748350000</v>
      </c>
      <c r="BA44" s="101">
        <f t="shared" si="32"/>
        <v>275033.00396047527</v>
      </c>
      <c r="BB44" s="101">
        <f>IFERROR(up_RadSpec!$E$15*(BB15/$B44),".")</f>
        <v>68758.250990118817</v>
      </c>
      <c r="BC44" s="101">
        <f>IFERROR(up_RadSpec!$E$15*(BC15/$B44),".")</f>
        <v>68758.250990118817</v>
      </c>
      <c r="BD44" s="101">
        <f>IFERROR(up_RadSpec!$E$15*(BD15/$B44),".")</f>
        <v>68758.250990118817</v>
      </c>
      <c r="BE44" s="101">
        <f>IFERROR(up_RadSpec!$E$15*(BE15/$B44),".")</f>
        <v>68758.250990118817</v>
      </c>
      <c r="BF44" s="101">
        <f>IFERROR(up_RadSpec!$E$15*(BF15/$B44),".")</f>
        <v>68758.250990118817</v>
      </c>
      <c r="BG44" s="101">
        <f>IFERROR(up_RadSpec!$E$15*(BG15/$B44),".")</f>
        <v>68758.250990118817</v>
      </c>
      <c r="BH44" s="101">
        <f>IFERROR(up_RadSpec!$E$15*(BH15/$B44),".")</f>
        <v>68758.250990118817</v>
      </c>
      <c r="BI44" s="101">
        <f>IFERROR(up_RadSpec!$E$15*(BI15/$B44),".")</f>
        <v>68758.250990118817</v>
      </c>
      <c r="BJ44" s="101">
        <f>IFERROR(up_RadSpec!$E$15*(BJ15/$B44),".")</f>
        <v>68758.250990118817</v>
      </c>
      <c r="BK44" s="101">
        <f>IFERROR(up_RadSpec!$E$15*(BK15/$B44),".")</f>
        <v>68758.250990118817</v>
      </c>
      <c r="BL44" s="101">
        <f>IFERROR(up_RadSpec!$E$15*(BL15/$B44),".")</f>
        <v>68758.250990118817</v>
      </c>
      <c r="BM44" s="101">
        <f>IFERROR(up_RadSpec!$E$15*(BM15/$B44),".")</f>
        <v>68758.250990118817</v>
      </c>
      <c r="BN44" s="101">
        <f>IFERROR(up_RadSpec!$E$15*(BN15/$B44),".")</f>
        <v>68758.250990118817</v>
      </c>
      <c r="BO44" s="101">
        <f>IFERROR(up_RadSpec!$E$15*(BO15/$B44),".")</f>
        <v>68758.250990118817</v>
      </c>
      <c r="BP44" s="101">
        <f>IFERROR(up_RadSpec!$E$15*(BP15/$B44),".")</f>
        <v>68758.250990118817</v>
      </c>
      <c r="BQ44" s="101">
        <f>IFERROR(up_RadSpec!$E$15*(BQ15/$B44),".")</f>
        <v>68758.250990118817</v>
      </c>
      <c r="BR44" s="101">
        <f>IFERROR(up_RadSpec!$E$15*(BR15/$B44),".")</f>
        <v>68758.250990118817</v>
      </c>
      <c r="BS44" s="101">
        <f>IFERROR(up_RadSpec!$E$15*(BS15/$B44),".")</f>
        <v>68758.250990118817</v>
      </c>
      <c r="BT44" s="101">
        <f>IFERROR(up_RadSpec!$E$15*(BT15/$B44),".")</f>
        <v>68758.250990118817</v>
      </c>
      <c r="BU44" s="101">
        <f>IFERROR(up_RadSpec!$E$15*(BU15/$B44),".")</f>
        <v>68758.250990118817</v>
      </c>
      <c r="BV44" s="101">
        <f>IFERROR(up_RadSpec!$E$15*(BV15/$B44),".")</f>
        <v>68758.250990118817</v>
      </c>
      <c r="BW44" s="101">
        <f>IFERROR(up_RadSpec!$E$15*(BW15/$B44),".")</f>
        <v>68758.250990118817</v>
      </c>
      <c r="BX44" s="101">
        <f>IFERROR(up_RadSpec!$E$15*(BX15/$B44),".")</f>
        <v>68758.250990118817</v>
      </c>
      <c r="BY44" s="101">
        <f>IFERROR(up_RadSpec!$E$15*(BY15/$B44),".")</f>
        <v>68758.250990118817</v>
      </c>
    </row>
    <row r="45" spans="1:77" x14ac:dyDescent="0.25">
      <c r="A45" s="95" t="s">
        <v>20</v>
      </c>
      <c r="B45" s="95" t="s">
        <v>1074</v>
      </c>
      <c r="C45" s="96">
        <f t="shared" si="0"/>
        <v>9.352835241857304E-12</v>
      </c>
      <c r="D45" s="96">
        <f t="shared" ref="D45:AA45" si="55">IFERROR(1/SUM(D46:D47),".")</f>
        <v>3.7411340967429216E-11</v>
      </c>
      <c r="E45" s="96">
        <f t="shared" si="55"/>
        <v>3.7411340967429216E-11</v>
      </c>
      <c r="F45" s="96">
        <f t="shared" si="55"/>
        <v>3.7411340967429216E-11</v>
      </c>
      <c r="G45" s="96">
        <f t="shared" si="55"/>
        <v>3.7411340967429216E-11</v>
      </c>
      <c r="H45" s="96">
        <f t="shared" si="55"/>
        <v>3.7411340967429216E-11</v>
      </c>
      <c r="I45" s="96">
        <f t="shared" si="55"/>
        <v>3.7411340967429216E-11</v>
      </c>
      <c r="J45" s="96">
        <f t="shared" si="55"/>
        <v>3.7411340967429216E-11</v>
      </c>
      <c r="K45" s="96">
        <f t="shared" si="55"/>
        <v>3.7411340967429216E-11</v>
      </c>
      <c r="L45" s="96">
        <f t="shared" si="55"/>
        <v>3.7411340967429216E-11</v>
      </c>
      <c r="M45" s="96">
        <f t="shared" si="55"/>
        <v>3.7411340967429216E-11</v>
      </c>
      <c r="N45" s="96">
        <f t="shared" si="55"/>
        <v>3.7411340967429216E-11</v>
      </c>
      <c r="O45" s="96">
        <f t="shared" si="55"/>
        <v>3.7411340967429216E-11</v>
      </c>
      <c r="P45" s="96">
        <f t="shared" si="55"/>
        <v>3.7411340967429216E-11</v>
      </c>
      <c r="Q45" s="96">
        <f t="shared" si="55"/>
        <v>3.7411340967429216E-11</v>
      </c>
      <c r="R45" s="96">
        <f t="shared" si="55"/>
        <v>3.7411340967429216E-11</v>
      </c>
      <c r="S45" s="96">
        <f t="shared" si="55"/>
        <v>3.7411340967429216E-11</v>
      </c>
      <c r="T45" s="96">
        <f t="shared" si="55"/>
        <v>3.7411340967429216E-11</v>
      </c>
      <c r="U45" s="96">
        <f t="shared" si="55"/>
        <v>3.7411340967429216E-11</v>
      </c>
      <c r="V45" s="96">
        <f t="shared" si="55"/>
        <v>3.7411340967429216E-11</v>
      </c>
      <c r="W45" s="96">
        <f t="shared" si="55"/>
        <v>3.7411340967429216E-11</v>
      </c>
      <c r="X45" s="96">
        <f t="shared" si="55"/>
        <v>3.7411340967429216E-11</v>
      </c>
      <c r="Y45" s="96">
        <f t="shared" si="55"/>
        <v>3.7411340967429216E-11</v>
      </c>
      <c r="Z45" s="96">
        <f t="shared" si="55"/>
        <v>3.7411340967429216E-11</v>
      </c>
      <c r="AA45" s="96">
        <f t="shared" si="55"/>
        <v>3.7411340967429216E-11</v>
      </c>
      <c r="AB45" s="96">
        <f t="shared" si="26"/>
        <v>9.352835241857304E-12</v>
      </c>
      <c r="AC45" s="96">
        <f t="shared" ref="AC45:AZ45" si="56">IFERROR(1/SUM(AC46:AC47),".")</f>
        <v>3.7411340967429216E-11</v>
      </c>
      <c r="AD45" s="96">
        <f t="shared" si="56"/>
        <v>3.7411340967429216E-11</v>
      </c>
      <c r="AE45" s="96">
        <f t="shared" si="56"/>
        <v>3.7411340967429216E-11</v>
      </c>
      <c r="AF45" s="96">
        <f t="shared" si="56"/>
        <v>3.7411340967429216E-11</v>
      </c>
      <c r="AG45" s="96">
        <f t="shared" si="56"/>
        <v>3.7411340967429216E-11</v>
      </c>
      <c r="AH45" s="96">
        <f t="shared" si="56"/>
        <v>3.7411340967429216E-11</v>
      </c>
      <c r="AI45" s="96">
        <f t="shared" si="56"/>
        <v>3.7411340967429216E-11</v>
      </c>
      <c r="AJ45" s="96">
        <f t="shared" si="56"/>
        <v>3.7411340967429216E-11</v>
      </c>
      <c r="AK45" s="96">
        <f t="shared" si="56"/>
        <v>3.7411340967429216E-11</v>
      </c>
      <c r="AL45" s="96">
        <f t="shared" si="56"/>
        <v>3.7411340967429216E-11</v>
      </c>
      <c r="AM45" s="96">
        <f t="shared" si="56"/>
        <v>3.7411340967429216E-11</v>
      </c>
      <c r="AN45" s="96">
        <f t="shared" si="56"/>
        <v>3.7411340967429216E-11</v>
      </c>
      <c r="AO45" s="96">
        <f t="shared" si="56"/>
        <v>3.7411340967429216E-11</v>
      </c>
      <c r="AP45" s="96">
        <f t="shared" si="56"/>
        <v>3.7411340967429216E-11</v>
      </c>
      <c r="AQ45" s="96">
        <f t="shared" si="56"/>
        <v>3.7411340967429216E-11</v>
      </c>
      <c r="AR45" s="96">
        <f t="shared" si="56"/>
        <v>3.7411340967429216E-11</v>
      </c>
      <c r="AS45" s="96">
        <f t="shared" si="56"/>
        <v>3.7411340967429216E-11</v>
      </c>
      <c r="AT45" s="96">
        <f t="shared" si="56"/>
        <v>3.7411340967429216E-11</v>
      </c>
      <c r="AU45" s="96">
        <f t="shared" si="56"/>
        <v>3.7411340967429216E-11</v>
      </c>
      <c r="AV45" s="96">
        <f t="shared" si="56"/>
        <v>3.7411340967429216E-11</v>
      </c>
      <c r="AW45" s="96">
        <f t="shared" si="56"/>
        <v>3.7411340967429216E-11</v>
      </c>
      <c r="AX45" s="96">
        <f t="shared" si="56"/>
        <v>3.7411340967429216E-11</v>
      </c>
      <c r="AY45" s="96">
        <f t="shared" si="56"/>
        <v>3.7411340967429216E-11</v>
      </c>
      <c r="AZ45" s="96">
        <f t="shared" si="56"/>
        <v>3.7411340967429216E-11</v>
      </c>
      <c r="BA45" s="97">
        <f>IFERROR(IF(SUM(BB46:BC47,BX46:BY47)&gt;0.01,1-EXP(-SUM(BB46:BC47,BX46:BY47)),SUM(BB46:BC47,BX46:BY47)),".")</f>
        <v>1</v>
      </c>
      <c r="BB45" s="97">
        <f>IFERROR(IF(SUM(BB46:BB47)&gt;0.01,1-EXP(-(SUM(BB46:BB47))),SUM(BB46:BB47)),".")</f>
        <v>1</v>
      </c>
      <c r="BC45" s="97">
        <f t="shared" ref="BC45:BW45" si="57">IFERROR(IF(SUM(BC46:BC47)&gt;0.01,1-EXP(-(SUM(BC46:BC47))),SUM(BC46:BC47)),".")</f>
        <v>1</v>
      </c>
      <c r="BD45" s="97">
        <f t="shared" si="57"/>
        <v>1</v>
      </c>
      <c r="BE45" s="97">
        <f t="shared" si="57"/>
        <v>1</v>
      </c>
      <c r="BF45" s="97">
        <f t="shared" si="57"/>
        <v>1</v>
      </c>
      <c r="BG45" s="97">
        <f t="shared" si="57"/>
        <v>1</v>
      </c>
      <c r="BH45" s="97">
        <f t="shared" si="57"/>
        <v>1</v>
      </c>
      <c r="BI45" s="97">
        <f t="shared" si="57"/>
        <v>1</v>
      </c>
      <c r="BJ45" s="97">
        <f t="shared" si="57"/>
        <v>1</v>
      </c>
      <c r="BK45" s="97">
        <f t="shared" si="57"/>
        <v>1</v>
      </c>
      <c r="BL45" s="97">
        <f t="shared" si="57"/>
        <v>1</v>
      </c>
      <c r="BM45" s="97">
        <f t="shared" si="57"/>
        <v>1</v>
      </c>
      <c r="BN45" s="97">
        <f t="shared" si="57"/>
        <v>1</v>
      </c>
      <c r="BO45" s="97">
        <f t="shared" si="57"/>
        <v>1</v>
      </c>
      <c r="BP45" s="97">
        <f t="shared" si="57"/>
        <v>1</v>
      </c>
      <c r="BQ45" s="97">
        <f t="shared" si="57"/>
        <v>1</v>
      </c>
      <c r="BR45" s="97">
        <f t="shared" si="57"/>
        <v>1</v>
      </c>
      <c r="BS45" s="97">
        <f t="shared" si="57"/>
        <v>1</v>
      </c>
      <c r="BT45" s="97">
        <f t="shared" si="57"/>
        <v>1</v>
      </c>
      <c r="BU45" s="97">
        <f t="shared" si="57"/>
        <v>1</v>
      </c>
      <c r="BV45" s="97">
        <f t="shared" si="57"/>
        <v>1</v>
      </c>
      <c r="BW45" s="97">
        <f t="shared" si="57"/>
        <v>1</v>
      </c>
      <c r="BX45" s="97">
        <f>IFERROR(IF(SUM(BX46:BX47)&gt;0.01,1-EXP(-(SUM(BX46:BX47))),SUM(BX46:BX47)),".")</f>
        <v>1</v>
      </c>
      <c r="BY45" s="97">
        <f>IFERROR(IF(SUM(BY46:BY47)&gt;0.01,1-EXP(-(SUM(BY46:BY47))),SUM(BY46:BY47)),".")</f>
        <v>1</v>
      </c>
    </row>
    <row r="46" spans="1:77" x14ac:dyDescent="0.25">
      <c r="A46" s="99" t="s">
        <v>1101</v>
      </c>
      <c r="B46" s="90">
        <v>1</v>
      </c>
      <c r="C46" s="100">
        <f t="shared" si="0"/>
        <v>3437500000</v>
      </c>
      <c r="D46" s="100">
        <f t="shared" ref="D46:AA46" si="58">IFERROR($B46/D10,0)</f>
        <v>13750000000</v>
      </c>
      <c r="E46" s="100">
        <f t="shared" si="58"/>
        <v>13750000000</v>
      </c>
      <c r="F46" s="100">
        <f t="shared" si="58"/>
        <v>13750000000</v>
      </c>
      <c r="G46" s="100">
        <f t="shared" si="58"/>
        <v>13750000000</v>
      </c>
      <c r="H46" s="100">
        <f t="shared" si="58"/>
        <v>13750000000</v>
      </c>
      <c r="I46" s="100">
        <f t="shared" si="58"/>
        <v>13750000000</v>
      </c>
      <c r="J46" s="100">
        <f t="shared" si="58"/>
        <v>13750000000</v>
      </c>
      <c r="K46" s="100">
        <f t="shared" si="58"/>
        <v>13750000000</v>
      </c>
      <c r="L46" s="100">
        <f t="shared" si="58"/>
        <v>13750000000</v>
      </c>
      <c r="M46" s="100">
        <f t="shared" si="58"/>
        <v>13750000000</v>
      </c>
      <c r="N46" s="100">
        <f t="shared" si="58"/>
        <v>13750000000</v>
      </c>
      <c r="O46" s="100">
        <f t="shared" si="58"/>
        <v>13750000000</v>
      </c>
      <c r="P46" s="100">
        <f t="shared" si="58"/>
        <v>13750000000</v>
      </c>
      <c r="Q46" s="100">
        <f t="shared" si="58"/>
        <v>13750000000</v>
      </c>
      <c r="R46" s="100">
        <f t="shared" si="58"/>
        <v>13750000000</v>
      </c>
      <c r="S46" s="100">
        <f t="shared" si="58"/>
        <v>13750000000</v>
      </c>
      <c r="T46" s="100">
        <f t="shared" si="58"/>
        <v>13750000000</v>
      </c>
      <c r="U46" s="100">
        <f t="shared" si="58"/>
        <v>13750000000</v>
      </c>
      <c r="V46" s="100">
        <f t="shared" si="58"/>
        <v>13750000000</v>
      </c>
      <c r="W46" s="100">
        <f t="shared" si="58"/>
        <v>13750000000</v>
      </c>
      <c r="X46" s="100">
        <f t="shared" si="58"/>
        <v>13750000000</v>
      </c>
      <c r="Y46" s="100">
        <f t="shared" si="58"/>
        <v>13750000000</v>
      </c>
      <c r="Z46" s="100">
        <f t="shared" si="58"/>
        <v>13750000000</v>
      </c>
      <c r="AA46" s="100">
        <f t="shared" si="58"/>
        <v>13750000000</v>
      </c>
      <c r="AB46" s="100">
        <f t="shared" si="26"/>
        <v>3437500000</v>
      </c>
      <c r="AC46" s="100">
        <f t="shared" ref="AC46:AZ46" si="59">IFERROR($B46/AC10,0)</f>
        <v>13750000000</v>
      </c>
      <c r="AD46" s="100">
        <f t="shared" si="59"/>
        <v>13750000000</v>
      </c>
      <c r="AE46" s="100">
        <f t="shared" si="59"/>
        <v>13750000000</v>
      </c>
      <c r="AF46" s="100">
        <f t="shared" si="59"/>
        <v>13750000000</v>
      </c>
      <c r="AG46" s="100">
        <f t="shared" si="59"/>
        <v>13750000000</v>
      </c>
      <c r="AH46" s="100">
        <f t="shared" si="59"/>
        <v>13750000000</v>
      </c>
      <c r="AI46" s="100">
        <f t="shared" si="59"/>
        <v>13750000000</v>
      </c>
      <c r="AJ46" s="100">
        <f t="shared" si="59"/>
        <v>13750000000</v>
      </c>
      <c r="AK46" s="100">
        <f t="shared" si="59"/>
        <v>13750000000</v>
      </c>
      <c r="AL46" s="100">
        <f t="shared" si="59"/>
        <v>13750000000</v>
      </c>
      <c r="AM46" s="100">
        <f t="shared" si="59"/>
        <v>13750000000</v>
      </c>
      <c r="AN46" s="100">
        <f t="shared" si="59"/>
        <v>13750000000</v>
      </c>
      <c r="AO46" s="100">
        <f t="shared" si="59"/>
        <v>13750000000</v>
      </c>
      <c r="AP46" s="100">
        <f t="shared" si="59"/>
        <v>13750000000</v>
      </c>
      <c r="AQ46" s="100">
        <f t="shared" si="59"/>
        <v>13750000000</v>
      </c>
      <c r="AR46" s="100">
        <f t="shared" si="59"/>
        <v>13750000000</v>
      </c>
      <c r="AS46" s="100">
        <f t="shared" si="59"/>
        <v>13750000000</v>
      </c>
      <c r="AT46" s="100">
        <f t="shared" si="59"/>
        <v>13750000000</v>
      </c>
      <c r="AU46" s="100">
        <f t="shared" si="59"/>
        <v>13750000000</v>
      </c>
      <c r="AV46" s="100">
        <f t="shared" si="59"/>
        <v>13750000000</v>
      </c>
      <c r="AW46" s="100">
        <f t="shared" si="59"/>
        <v>13750000000</v>
      </c>
      <c r="AX46" s="100">
        <f t="shared" si="59"/>
        <v>13750000000</v>
      </c>
      <c r="AY46" s="100">
        <f t="shared" si="59"/>
        <v>13750000000</v>
      </c>
      <c r="AZ46" s="100">
        <f t="shared" si="59"/>
        <v>13750000000</v>
      </c>
      <c r="BA46" s="101">
        <f t="shared" ref="BA46:BA47" si="60">SUM(BB46:BC46,BX46:BY46)</f>
        <v>275000</v>
      </c>
      <c r="BB46" s="101">
        <f>IFERROR(up_RadSpec!$E$10*(BB10/$B46),".")</f>
        <v>68750</v>
      </c>
      <c r="BC46" s="101">
        <f>IFERROR(up_RadSpec!$E$10*(BC10/$B46),".")</f>
        <v>68750</v>
      </c>
      <c r="BD46" s="101">
        <f>IFERROR(up_RadSpec!$E$10*(BE10/$B46),".")</f>
        <v>68750</v>
      </c>
      <c r="BE46" s="101">
        <f>IFERROR(up_RadSpec!$E$10*(BF10/$B46),".")</f>
        <v>68750</v>
      </c>
      <c r="BF46" s="101">
        <f>IFERROR(up_RadSpec!$E$10*(BG10/$B46),".")</f>
        <v>68750</v>
      </c>
      <c r="BG46" s="101">
        <f>IFERROR(up_RadSpec!$E$10*(BH10/$B46),".")</f>
        <v>68750</v>
      </c>
      <c r="BH46" s="101">
        <f>IFERROR(up_RadSpec!$E$10*(BI10/$B46),".")</f>
        <v>68750</v>
      </c>
      <c r="BI46" s="101">
        <f>IFERROR(up_RadSpec!$E$10*(BJ10/$B46),".")</f>
        <v>68750</v>
      </c>
      <c r="BJ46" s="101">
        <f>IFERROR(up_RadSpec!$E$10*(BK10/$B46),".")</f>
        <v>68750</v>
      </c>
      <c r="BK46" s="101">
        <f>IFERROR(up_RadSpec!$E$10*(BL10/$B46),".")</f>
        <v>68750</v>
      </c>
      <c r="BL46" s="101">
        <f>IFERROR(up_RadSpec!$E$10*(BM10/$B46),".")</f>
        <v>68750</v>
      </c>
      <c r="BM46" s="101">
        <f>IFERROR(up_RadSpec!$E$10*(BN10/$B46),".")</f>
        <v>68750</v>
      </c>
      <c r="BN46" s="101">
        <f>IFERROR(up_RadSpec!$E$10*(BO10/$B46),".")</f>
        <v>68750</v>
      </c>
      <c r="BO46" s="101">
        <f>IFERROR(up_RadSpec!$E$10*(BP10/$B46),".")</f>
        <v>68750</v>
      </c>
      <c r="BP46" s="101">
        <f>IFERROR(up_RadSpec!$E$10*(BQ10/$B46),".")</f>
        <v>68750</v>
      </c>
      <c r="BQ46" s="101">
        <f>IFERROR(up_RadSpec!$E$10*(BR10/$B46),".")</f>
        <v>68750</v>
      </c>
      <c r="BR46" s="101">
        <f>IFERROR(up_RadSpec!$E$10*(BS10/$B46),".")</f>
        <v>68750</v>
      </c>
      <c r="BS46" s="101">
        <f>IFERROR(up_RadSpec!$E$10*(BT10/$B46),".")</f>
        <v>68750</v>
      </c>
      <c r="BT46" s="101">
        <f>IFERROR(up_RadSpec!$E$10*(BU10/$B46),".")</f>
        <v>68750</v>
      </c>
      <c r="BU46" s="101">
        <f>IFERROR(up_RadSpec!$E$10*(BV10/$B46),".")</f>
        <v>68750</v>
      </c>
      <c r="BV46" s="101">
        <f>IFERROR(up_RadSpec!$E$10*(BW10/$B46),".")</f>
        <v>68750</v>
      </c>
      <c r="BW46" s="101">
        <f>IFERROR(up_RadSpec!$E$10*(BX10/$B46),".")</f>
        <v>68750</v>
      </c>
      <c r="BX46" s="101">
        <f>IFERROR(up_RadSpec!$E$10*(BY10/$B46),".")</f>
        <v>68750</v>
      </c>
      <c r="BY46" s="101">
        <f>IFERROR(up_RadSpec!$E$10*(BX10/$B46),".")</f>
        <v>68750</v>
      </c>
    </row>
    <row r="47" spans="1:77" x14ac:dyDescent="0.25">
      <c r="A47" s="99" t="s">
        <v>1075</v>
      </c>
      <c r="B47" s="103">
        <v>0.94399</v>
      </c>
      <c r="C47" s="100">
        <f t="shared" si="0"/>
        <v>3244965625</v>
      </c>
      <c r="D47" s="100">
        <f t="shared" ref="D47:AA47" si="61">IFERROR($B47/D6,0)</f>
        <v>12979862500</v>
      </c>
      <c r="E47" s="100">
        <f t="shared" si="61"/>
        <v>12979862500</v>
      </c>
      <c r="F47" s="100">
        <f t="shared" si="61"/>
        <v>12979862500</v>
      </c>
      <c r="G47" s="100">
        <f t="shared" si="61"/>
        <v>12979862500</v>
      </c>
      <c r="H47" s="100">
        <f t="shared" si="61"/>
        <v>12979862500</v>
      </c>
      <c r="I47" s="100">
        <f t="shared" si="61"/>
        <v>12979862500</v>
      </c>
      <c r="J47" s="100">
        <f t="shared" si="61"/>
        <v>12979862500</v>
      </c>
      <c r="K47" s="100">
        <f t="shared" si="61"/>
        <v>12979862500</v>
      </c>
      <c r="L47" s="100">
        <f t="shared" si="61"/>
        <v>12979862500</v>
      </c>
      <c r="M47" s="100">
        <f t="shared" si="61"/>
        <v>12979862500</v>
      </c>
      <c r="N47" s="100">
        <f t="shared" si="61"/>
        <v>12979862500</v>
      </c>
      <c r="O47" s="100">
        <f t="shared" si="61"/>
        <v>12979862500</v>
      </c>
      <c r="P47" s="100">
        <f t="shared" si="61"/>
        <v>12979862500</v>
      </c>
      <c r="Q47" s="100">
        <f t="shared" si="61"/>
        <v>12979862500</v>
      </c>
      <c r="R47" s="100">
        <f t="shared" si="61"/>
        <v>12979862500</v>
      </c>
      <c r="S47" s="100">
        <f t="shared" si="61"/>
        <v>12979862500</v>
      </c>
      <c r="T47" s="100">
        <f t="shared" si="61"/>
        <v>12979862500</v>
      </c>
      <c r="U47" s="100">
        <f t="shared" si="61"/>
        <v>12979862500</v>
      </c>
      <c r="V47" s="100">
        <f t="shared" si="61"/>
        <v>12979862500</v>
      </c>
      <c r="W47" s="100">
        <f t="shared" si="61"/>
        <v>12979862500</v>
      </c>
      <c r="X47" s="100">
        <f t="shared" si="61"/>
        <v>12979862500</v>
      </c>
      <c r="Y47" s="100">
        <f t="shared" si="61"/>
        <v>12979862500</v>
      </c>
      <c r="Z47" s="100">
        <f t="shared" si="61"/>
        <v>12979862500</v>
      </c>
      <c r="AA47" s="100">
        <f t="shared" si="61"/>
        <v>12979862500</v>
      </c>
      <c r="AB47" s="100">
        <f t="shared" si="26"/>
        <v>3244965625</v>
      </c>
      <c r="AC47" s="100">
        <f t="shared" ref="AC47:AZ47" si="62">IFERROR($B47/AC6,0)</f>
        <v>12979862500</v>
      </c>
      <c r="AD47" s="100">
        <f t="shared" si="62"/>
        <v>12979862500</v>
      </c>
      <c r="AE47" s="100">
        <f t="shared" si="62"/>
        <v>12979862500</v>
      </c>
      <c r="AF47" s="100">
        <f t="shared" si="62"/>
        <v>12979862500</v>
      </c>
      <c r="AG47" s="100">
        <f t="shared" si="62"/>
        <v>12979862500</v>
      </c>
      <c r="AH47" s="100">
        <f t="shared" si="62"/>
        <v>12979862500</v>
      </c>
      <c r="AI47" s="100">
        <f t="shared" si="62"/>
        <v>12979862500</v>
      </c>
      <c r="AJ47" s="100">
        <f t="shared" si="62"/>
        <v>12979862500</v>
      </c>
      <c r="AK47" s="100">
        <f t="shared" si="62"/>
        <v>12979862500</v>
      </c>
      <c r="AL47" s="100">
        <f t="shared" si="62"/>
        <v>12979862500</v>
      </c>
      <c r="AM47" s="100">
        <f t="shared" si="62"/>
        <v>12979862500</v>
      </c>
      <c r="AN47" s="100">
        <f t="shared" si="62"/>
        <v>12979862500</v>
      </c>
      <c r="AO47" s="100">
        <f t="shared" si="62"/>
        <v>12979862500</v>
      </c>
      <c r="AP47" s="100">
        <f t="shared" si="62"/>
        <v>12979862500</v>
      </c>
      <c r="AQ47" s="100">
        <f t="shared" si="62"/>
        <v>12979862500</v>
      </c>
      <c r="AR47" s="100">
        <f t="shared" si="62"/>
        <v>12979862500</v>
      </c>
      <c r="AS47" s="100">
        <f t="shared" si="62"/>
        <v>12979862500</v>
      </c>
      <c r="AT47" s="100">
        <f t="shared" si="62"/>
        <v>12979862500</v>
      </c>
      <c r="AU47" s="100">
        <f t="shared" si="62"/>
        <v>12979862500</v>
      </c>
      <c r="AV47" s="100">
        <f t="shared" si="62"/>
        <v>12979862500</v>
      </c>
      <c r="AW47" s="100">
        <f t="shared" si="62"/>
        <v>12979862500</v>
      </c>
      <c r="AX47" s="100">
        <f t="shared" si="62"/>
        <v>12979862500</v>
      </c>
      <c r="AY47" s="100">
        <f t="shared" si="62"/>
        <v>12979862500</v>
      </c>
      <c r="AZ47" s="100">
        <f t="shared" si="62"/>
        <v>12979862500</v>
      </c>
      <c r="BA47" s="101">
        <f t="shared" si="60"/>
        <v>291316.64530344604</v>
      </c>
      <c r="BB47" s="101">
        <f>IFERROR(up_RadSpec!$E$6*(BB6/$B47),".")</f>
        <v>72829.161325861511</v>
      </c>
      <c r="BC47" s="101">
        <f>IFERROR(up_RadSpec!$E$6*(BC6/$B47),".")</f>
        <v>72829.161325861511</v>
      </c>
      <c r="BD47" s="101">
        <f>IFERROR(up_RadSpec!$E$6*(BE6/$B47),".")</f>
        <v>72829.161325861511</v>
      </c>
      <c r="BE47" s="101">
        <f>IFERROR(up_RadSpec!$E$6*(BF6/$B47),".")</f>
        <v>72829.161325861511</v>
      </c>
      <c r="BF47" s="101">
        <f>IFERROR(up_RadSpec!$E$6*(BG6/$B47),".")</f>
        <v>72829.161325861511</v>
      </c>
      <c r="BG47" s="101">
        <f>IFERROR(up_RadSpec!$E$6*(BH6/$B47),".")</f>
        <v>72829.161325861511</v>
      </c>
      <c r="BH47" s="101">
        <f>IFERROR(up_RadSpec!$E$6*(BI6/$B47),".")</f>
        <v>72829.161325861511</v>
      </c>
      <c r="BI47" s="101">
        <f>IFERROR(up_RadSpec!$E$6*(BJ6/$B47),".")</f>
        <v>72829.161325861511</v>
      </c>
      <c r="BJ47" s="101">
        <f>IFERROR(up_RadSpec!$E$6*(BK6/$B47),".")</f>
        <v>72829.161325861511</v>
      </c>
      <c r="BK47" s="101">
        <f>IFERROR(up_RadSpec!$E$6*(BL6/$B47),".")</f>
        <v>72829.161325861511</v>
      </c>
      <c r="BL47" s="101">
        <f>IFERROR(up_RadSpec!$E$6*(BM6/$B47),".")</f>
        <v>72829.161325861511</v>
      </c>
      <c r="BM47" s="101">
        <f>IFERROR(up_RadSpec!$E$6*(BN6/$B47),".")</f>
        <v>72829.161325861511</v>
      </c>
      <c r="BN47" s="101">
        <f>IFERROR(up_RadSpec!$E$6*(BO6/$B47),".")</f>
        <v>72829.161325861511</v>
      </c>
      <c r="BO47" s="101">
        <f>IFERROR(up_RadSpec!$E$6*(BP6/$B47),".")</f>
        <v>72829.161325861511</v>
      </c>
      <c r="BP47" s="101">
        <f>IFERROR(up_RadSpec!$E$6*(BQ6/$B47),".")</f>
        <v>72829.161325861511</v>
      </c>
      <c r="BQ47" s="101">
        <f>IFERROR(up_RadSpec!$E$6*(BR6/$B47),".")</f>
        <v>72829.161325861511</v>
      </c>
      <c r="BR47" s="101">
        <f>IFERROR(up_RadSpec!$E$6*(BS6/$B47),".")</f>
        <v>72829.161325861511</v>
      </c>
      <c r="BS47" s="101">
        <f>IFERROR(up_RadSpec!$E$6*(BT6/$B47),".")</f>
        <v>72829.161325861511</v>
      </c>
      <c r="BT47" s="101">
        <f>IFERROR(up_RadSpec!$E$6*(BU6/$B47),".")</f>
        <v>72829.161325861511</v>
      </c>
      <c r="BU47" s="101">
        <f>IFERROR(up_RadSpec!$E$6*(BV6/$B47),".")</f>
        <v>72829.161325861511</v>
      </c>
      <c r="BV47" s="101">
        <f>IFERROR(up_RadSpec!$E$6*(BW6/$B47),".")</f>
        <v>72829.161325861511</v>
      </c>
      <c r="BW47" s="101">
        <f>IFERROR(up_RadSpec!$E$6*(BX6/$B47),".")</f>
        <v>72829.161325861511</v>
      </c>
      <c r="BX47" s="101">
        <f>IFERROR(up_RadSpec!$E$6*(BY6/$B47),".")</f>
        <v>72829.161325861511</v>
      </c>
      <c r="BY47" s="101">
        <f>IFERROR(up_RadSpec!$E$6*(BX6/$B47),".")</f>
        <v>72829.161325861511</v>
      </c>
    </row>
    <row r="48" spans="1:77" x14ac:dyDescent="0.25">
      <c r="A48" s="95" t="s">
        <v>33</v>
      </c>
      <c r="B48" s="95" t="s">
        <v>1074</v>
      </c>
      <c r="C48" s="96">
        <f t="shared" si="0"/>
        <v>2.0202017153760282E-12</v>
      </c>
      <c r="D48" s="96">
        <f t="shared" ref="D48:AA48" si="63">IFERROR(1/SUM(D49:D62),0)</f>
        <v>8.0808068615041129E-12</v>
      </c>
      <c r="E48" s="96">
        <f t="shared" si="63"/>
        <v>8.0808068615041129E-12</v>
      </c>
      <c r="F48" s="96">
        <f t="shared" si="63"/>
        <v>8.0808068615041129E-12</v>
      </c>
      <c r="G48" s="96">
        <f t="shared" si="63"/>
        <v>8.0808068615041129E-12</v>
      </c>
      <c r="H48" s="96">
        <f t="shared" si="63"/>
        <v>8.0808068615041129E-12</v>
      </c>
      <c r="I48" s="96">
        <f t="shared" si="63"/>
        <v>8.0808068615041129E-12</v>
      </c>
      <c r="J48" s="96">
        <f t="shared" si="63"/>
        <v>8.0808068615041129E-12</v>
      </c>
      <c r="K48" s="96">
        <f t="shared" si="63"/>
        <v>8.0808068615041129E-12</v>
      </c>
      <c r="L48" s="96">
        <f t="shared" si="63"/>
        <v>8.0808068615041129E-12</v>
      </c>
      <c r="M48" s="96">
        <f t="shared" si="63"/>
        <v>8.0808068615041129E-12</v>
      </c>
      <c r="N48" s="96">
        <f t="shared" si="63"/>
        <v>8.0808068615041129E-12</v>
      </c>
      <c r="O48" s="96">
        <f t="shared" si="63"/>
        <v>8.0808068615041129E-12</v>
      </c>
      <c r="P48" s="96">
        <f t="shared" si="63"/>
        <v>8.0808068615041129E-12</v>
      </c>
      <c r="Q48" s="96">
        <f t="shared" si="63"/>
        <v>8.0808068615041129E-12</v>
      </c>
      <c r="R48" s="96">
        <f t="shared" si="63"/>
        <v>8.0808068615041129E-12</v>
      </c>
      <c r="S48" s="96">
        <f t="shared" si="63"/>
        <v>8.0808068615041129E-12</v>
      </c>
      <c r="T48" s="96">
        <f t="shared" si="63"/>
        <v>8.0808068615041129E-12</v>
      </c>
      <c r="U48" s="96">
        <f t="shared" si="63"/>
        <v>8.0808068615041129E-12</v>
      </c>
      <c r="V48" s="96">
        <f t="shared" si="63"/>
        <v>8.0808068615041129E-12</v>
      </c>
      <c r="W48" s="96">
        <f t="shared" si="63"/>
        <v>8.0808068615041129E-12</v>
      </c>
      <c r="X48" s="96">
        <f t="shared" si="63"/>
        <v>8.0808068615041129E-12</v>
      </c>
      <c r="Y48" s="96">
        <f t="shared" si="63"/>
        <v>8.0808068615041129E-12</v>
      </c>
      <c r="Z48" s="96">
        <f t="shared" si="63"/>
        <v>8.0808068615041129E-12</v>
      </c>
      <c r="AA48" s="96">
        <f t="shared" si="63"/>
        <v>8.0808068615041129E-12</v>
      </c>
      <c r="AB48" s="96">
        <f t="shared" si="26"/>
        <v>2.0202017153760282E-12</v>
      </c>
      <c r="AC48" s="96">
        <f t="shared" ref="AC48:AZ48" si="64">IFERROR(1/SUM(AC49:AC62),0)</f>
        <v>8.0808068615041129E-12</v>
      </c>
      <c r="AD48" s="96">
        <f t="shared" si="64"/>
        <v>8.0808068615041129E-12</v>
      </c>
      <c r="AE48" s="96">
        <f t="shared" si="64"/>
        <v>8.0808068615041129E-12</v>
      </c>
      <c r="AF48" s="96">
        <f t="shared" si="64"/>
        <v>8.0808068615041129E-12</v>
      </c>
      <c r="AG48" s="96">
        <f t="shared" si="64"/>
        <v>8.0808068615041129E-12</v>
      </c>
      <c r="AH48" s="96">
        <f t="shared" si="64"/>
        <v>8.0808068615041129E-12</v>
      </c>
      <c r="AI48" s="96">
        <f t="shared" si="64"/>
        <v>8.0808068615041129E-12</v>
      </c>
      <c r="AJ48" s="96">
        <f t="shared" si="64"/>
        <v>8.0808068615041129E-12</v>
      </c>
      <c r="AK48" s="96">
        <f t="shared" si="64"/>
        <v>8.0808068615041129E-12</v>
      </c>
      <c r="AL48" s="96">
        <f t="shared" si="64"/>
        <v>8.0808068615041129E-12</v>
      </c>
      <c r="AM48" s="96">
        <f t="shared" si="64"/>
        <v>8.0808068615041129E-12</v>
      </c>
      <c r="AN48" s="96">
        <f t="shared" si="64"/>
        <v>8.0808068615041129E-12</v>
      </c>
      <c r="AO48" s="96">
        <f t="shared" si="64"/>
        <v>8.0808068615041129E-12</v>
      </c>
      <c r="AP48" s="96">
        <f t="shared" si="64"/>
        <v>8.0808068615041129E-12</v>
      </c>
      <c r="AQ48" s="96">
        <f t="shared" si="64"/>
        <v>8.0808068615041129E-12</v>
      </c>
      <c r="AR48" s="96">
        <f t="shared" si="64"/>
        <v>8.0808068615041129E-12</v>
      </c>
      <c r="AS48" s="96">
        <f t="shared" si="64"/>
        <v>8.0808068615041129E-12</v>
      </c>
      <c r="AT48" s="96">
        <f t="shared" si="64"/>
        <v>8.0808068615041129E-12</v>
      </c>
      <c r="AU48" s="96">
        <f t="shared" si="64"/>
        <v>8.0808068615041129E-12</v>
      </c>
      <c r="AV48" s="96">
        <f t="shared" si="64"/>
        <v>8.0808068615041129E-12</v>
      </c>
      <c r="AW48" s="96">
        <f t="shared" si="64"/>
        <v>8.0808068615041129E-12</v>
      </c>
      <c r="AX48" s="96">
        <f t="shared" si="64"/>
        <v>8.0808068615041129E-12</v>
      </c>
      <c r="AY48" s="96">
        <f t="shared" si="64"/>
        <v>8.0808068615041129E-12</v>
      </c>
      <c r="AZ48" s="96">
        <f t="shared" si="64"/>
        <v>8.0808068615041129E-12</v>
      </c>
      <c r="BA48" s="97">
        <f>IFERROR(IF(SUM(BB49:BC62,BX49:BY62)&gt;0.01,1-EXP(-SUM(BB49:BC62,BX49:BY62)),SUM(BB49:BC62,BX49:BY62)),".")</f>
        <v>1</v>
      </c>
      <c r="BB48" s="97">
        <f>IFERROR(IF(SUM(BB49:BB62)&gt;0.01,1-EXP(-(SUM(BB49:BB62))),SUM(BB49:BB62)),".")</f>
        <v>1</v>
      </c>
      <c r="BC48" s="97">
        <f t="shared" ref="BC48:BW48" si="65">IFERROR(IF(SUM(BC49:BC62)&gt;0.01,1-EXP(-(SUM(BC49:BC62))),SUM(BC49:BC62)),".")</f>
        <v>1</v>
      </c>
      <c r="BD48" s="97">
        <f t="shared" si="65"/>
        <v>1</v>
      </c>
      <c r="BE48" s="97">
        <f t="shared" si="65"/>
        <v>1</v>
      </c>
      <c r="BF48" s="97">
        <f t="shared" si="65"/>
        <v>1</v>
      </c>
      <c r="BG48" s="97">
        <f t="shared" si="65"/>
        <v>1</v>
      </c>
      <c r="BH48" s="97">
        <f t="shared" si="65"/>
        <v>1</v>
      </c>
      <c r="BI48" s="97">
        <f t="shared" si="65"/>
        <v>1</v>
      </c>
      <c r="BJ48" s="97">
        <f t="shared" si="65"/>
        <v>1</v>
      </c>
      <c r="BK48" s="97">
        <f t="shared" si="65"/>
        <v>1</v>
      </c>
      <c r="BL48" s="97">
        <f t="shared" si="65"/>
        <v>1</v>
      </c>
      <c r="BM48" s="97">
        <f t="shared" si="65"/>
        <v>1</v>
      </c>
      <c r="BN48" s="97">
        <f t="shared" si="65"/>
        <v>1</v>
      </c>
      <c r="BO48" s="97">
        <f t="shared" si="65"/>
        <v>1</v>
      </c>
      <c r="BP48" s="97">
        <f t="shared" si="65"/>
        <v>1</v>
      </c>
      <c r="BQ48" s="97">
        <f t="shared" si="65"/>
        <v>1</v>
      </c>
      <c r="BR48" s="97">
        <f t="shared" si="65"/>
        <v>1</v>
      </c>
      <c r="BS48" s="97">
        <f t="shared" si="65"/>
        <v>1</v>
      </c>
      <c r="BT48" s="97">
        <f t="shared" si="65"/>
        <v>1</v>
      </c>
      <c r="BU48" s="97">
        <f t="shared" si="65"/>
        <v>1</v>
      </c>
      <c r="BV48" s="97">
        <f t="shared" si="65"/>
        <v>1</v>
      </c>
      <c r="BW48" s="97">
        <f t="shared" si="65"/>
        <v>1</v>
      </c>
      <c r="BX48" s="97">
        <f>IFERROR(IF(SUM(BX49:BX62)&gt;0.01,1-EXP(-(SUM(BX49:BX62))),SUM(BX49:BX62)),".")</f>
        <v>1</v>
      </c>
      <c r="BY48" s="97">
        <f>IFERROR(IF(SUM(BY49:BY62)&gt;0.01,1-EXP(-(SUM(BY49:BY62))),SUM(BY49:BY62)),".")</f>
        <v>1</v>
      </c>
    </row>
    <row r="49" spans="1:77" x14ac:dyDescent="0.25">
      <c r="A49" s="99" t="s">
        <v>1103</v>
      </c>
      <c r="B49" s="90">
        <v>1</v>
      </c>
      <c r="C49" s="100">
        <f t="shared" si="0"/>
        <v>3437500000</v>
      </c>
      <c r="D49" s="100">
        <f t="shared" ref="D49:AA49" si="66">IFERROR($B49/D23,0)</f>
        <v>13750000000</v>
      </c>
      <c r="E49" s="100">
        <f t="shared" si="66"/>
        <v>13750000000</v>
      </c>
      <c r="F49" s="100">
        <f t="shared" si="66"/>
        <v>13750000000</v>
      </c>
      <c r="G49" s="100">
        <f t="shared" si="66"/>
        <v>13750000000</v>
      </c>
      <c r="H49" s="100">
        <f t="shared" si="66"/>
        <v>13750000000</v>
      </c>
      <c r="I49" s="100">
        <f t="shared" si="66"/>
        <v>13750000000</v>
      </c>
      <c r="J49" s="100">
        <f t="shared" si="66"/>
        <v>13750000000</v>
      </c>
      <c r="K49" s="100">
        <f t="shared" si="66"/>
        <v>13750000000</v>
      </c>
      <c r="L49" s="100">
        <f t="shared" si="66"/>
        <v>13750000000</v>
      </c>
      <c r="M49" s="100">
        <f t="shared" si="66"/>
        <v>13750000000</v>
      </c>
      <c r="N49" s="100">
        <f t="shared" si="66"/>
        <v>13750000000</v>
      </c>
      <c r="O49" s="100">
        <f t="shared" si="66"/>
        <v>13750000000</v>
      </c>
      <c r="P49" s="100">
        <f t="shared" si="66"/>
        <v>13750000000</v>
      </c>
      <c r="Q49" s="100">
        <f t="shared" si="66"/>
        <v>13750000000</v>
      </c>
      <c r="R49" s="100">
        <f t="shared" si="66"/>
        <v>13750000000</v>
      </c>
      <c r="S49" s="100">
        <f t="shared" si="66"/>
        <v>13750000000</v>
      </c>
      <c r="T49" s="100">
        <f t="shared" si="66"/>
        <v>13750000000</v>
      </c>
      <c r="U49" s="100">
        <f t="shared" si="66"/>
        <v>13750000000</v>
      </c>
      <c r="V49" s="100">
        <f t="shared" si="66"/>
        <v>13750000000</v>
      </c>
      <c r="W49" s="100">
        <f t="shared" si="66"/>
        <v>13750000000</v>
      </c>
      <c r="X49" s="100">
        <f t="shared" si="66"/>
        <v>13750000000</v>
      </c>
      <c r="Y49" s="100">
        <f t="shared" si="66"/>
        <v>13750000000</v>
      </c>
      <c r="Z49" s="100">
        <f t="shared" si="66"/>
        <v>13750000000</v>
      </c>
      <c r="AA49" s="100">
        <f t="shared" si="66"/>
        <v>13750000000</v>
      </c>
      <c r="AB49" s="100">
        <f t="shared" si="26"/>
        <v>3437500000</v>
      </c>
      <c r="AC49" s="100">
        <f t="shared" ref="AC49:AZ49" si="67">IFERROR($B49/AC23,0)</f>
        <v>13750000000</v>
      </c>
      <c r="AD49" s="100">
        <f t="shared" si="67"/>
        <v>13750000000</v>
      </c>
      <c r="AE49" s="100">
        <f t="shared" si="67"/>
        <v>13750000000</v>
      </c>
      <c r="AF49" s="100">
        <f t="shared" si="67"/>
        <v>13750000000</v>
      </c>
      <c r="AG49" s="100">
        <f t="shared" si="67"/>
        <v>13750000000</v>
      </c>
      <c r="AH49" s="100">
        <f t="shared" si="67"/>
        <v>13750000000</v>
      </c>
      <c r="AI49" s="100">
        <f t="shared" si="67"/>
        <v>13750000000</v>
      </c>
      <c r="AJ49" s="100">
        <f t="shared" si="67"/>
        <v>13750000000</v>
      </c>
      <c r="AK49" s="100">
        <f t="shared" si="67"/>
        <v>13750000000</v>
      </c>
      <c r="AL49" s="100">
        <f t="shared" si="67"/>
        <v>13750000000</v>
      </c>
      <c r="AM49" s="100">
        <f t="shared" si="67"/>
        <v>13750000000</v>
      </c>
      <c r="AN49" s="100">
        <f t="shared" si="67"/>
        <v>13750000000</v>
      </c>
      <c r="AO49" s="100">
        <f t="shared" si="67"/>
        <v>13750000000</v>
      </c>
      <c r="AP49" s="100">
        <f t="shared" si="67"/>
        <v>13750000000</v>
      </c>
      <c r="AQ49" s="100">
        <f t="shared" si="67"/>
        <v>13750000000</v>
      </c>
      <c r="AR49" s="100">
        <f t="shared" si="67"/>
        <v>13750000000</v>
      </c>
      <c r="AS49" s="100">
        <f t="shared" si="67"/>
        <v>13750000000</v>
      </c>
      <c r="AT49" s="100">
        <f t="shared" si="67"/>
        <v>13750000000</v>
      </c>
      <c r="AU49" s="100">
        <f t="shared" si="67"/>
        <v>13750000000</v>
      </c>
      <c r="AV49" s="100">
        <f t="shared" si="67"/>
        <v>13750000000</v>
      </c>
      <c r="AW49" s="100">
        <f t="shared" si="67"/>
        <v>13750000000</v>
      </c>
      <c r="AX49" s="100">
        <f t="shared" si="67"/>
        <v>13750000000</v>
      </c>
      <c r="AY49" s="100">
        <f t="shared" si="67"/>
        <v>13750000000</v>
      </c>
      <c r="AZ49" s="100">
        <f t="shared" si="67"/>
        <v>13750000000</v>
      </c>
      <c r="BA49" s="101">
        <f t="shared" ref="BA49:BA62" si="68">SUM(BB49:BC49,BX49:BY49)</f>
        <v>275000</v>
      </c>
      <c r="BB49" s="101">
        <f>IFERROR(up_RadSpec!$E$23*(BB23/$B49),".")</f>
        <v>68750</v>
      </c>
      <c r="BC49" s="101">
        <f>IFERROR(up_RadSpec!$E$23*(BC23/$B49),".")</f>
        <v>68750</v>
      </c>
      <c r="BD49" s="101">
        <f>IFERROR(up_RadSpec!$E$23*(BD23/$B49),".")</f>
        <v>68750</v>
      </c>
      <c r="BE49" s="101">
        <f>IFERROR(up_RadSpec!$E$23*(BE23/$B49),".")</f>
        <v>68750</v>
      </c>
      <c r="BF49" s="101">
        <f>IFERROR(up_RadSpec!$E$23*(BF23/$B49),".")</f>
        <v>68750</v>
      </c>
      <c r="BG49" s="101">
        <f>IFERROR(up_RadSpec!$E$23*(BG23/$B49),".")</f>
        <v>68750</v>
      </c>
      <c r="BH49" s="101">
        <f>IFERROR(up_RadSpec!$E$23*(BH23/$B49),".")</f>
        <v>68750</v>
      </c>
      <c r="BI49" s="101">
        <f>IFERROR(up_RadSpec!$E$23*(BI23/$B49),".")</f>
        <v>68750</v>
      </c>
      <c r="BJ49" s="101">
        <f>IFERROR(up_RadSpec!$E$23*(BJ23/$B49),".")</f>
        <v>68750</v>
      </c>
      <c r="BK49" s="101">
        <f>IFERROR(up_RadSpec!$E$23*(BK23/$B49),".")</f>
        <v>68750</v>
      </c>
      <c r="BL49" s="101">
        <f>IFERROR(up_RadSpec!$E$23*(BL23/$B49),".")</f>
        <v>68750</v>
      </c>
      <c r="BM49" s="101">
        <f>IFERROR(up_RadSpec!$E$23*(BM23/$B49),".")</f>
        <v>68750</v>
      </c>
      <c r="BN49" s="101">
        <f>IFERROR(up_RadSpec!$E$23*(BN23/$B49),".")</f>
        <v>68750</v>
      </c>
      <c r="BO49" s="101">
        <f>IFERROR(up_RadSpec!$E$23*(BO23/$B49),".")</f>
        <v>68750</v>
      </c>
      <c r="BP49" s="101">
        <f>IFERROR(up_RadSpec!$E$23*(BP23/$B49),".")</f>
        <v>68750</v>
      </c>
      <c r="BQ49" s="101">
        <f>IFERROR(up_RadSpec!$E$23*(BQ23/$B49),".")</f>
        <v>68750</v>
      </c>
      <c r="BR49" s="101">
        <f>IFERROR(up_RadSpec!$E$23*(BR23/$B49),".")</f>
        <v>68750</v>
      </c>
      <c r="BS49" s="101">
        <f>IFERROR(up_RadSpec!$E$23*(BS23/$B49),".")</f>
        <v>68750</v>
      </c>
      <c r="BT49" s="101">
        <f>IFERROR(up_RadSpec!$E$23*(BT23/$B49),".")</f>
        <v>68750</v>
      </c>
      <c r="BU49" s="101">
        <f>IFERROR(up_RadSpec!$E$23*(BU23/$B49),".")</f>
        <v>68750</v>
      </c>
      <c r="BV49" s="101">
        <f>IFERROR(up_RadSpec!$E$23*(BV23/$B49),".")</f>
        <v>68750</v>
      </c>
      <c r="BW49" s="101">
        <f>IFERROR(up_RadSpec!$E$23*(BW23/$B49),".")</f>
        <v>68750</v>
      </c>
      <c r="BX49" s="101">
        <f>IFERROR(up_RadSpec!$E$23*(BX23/$B49),".")</f>
        <v>68750</v>
      </c>
      <c r="BY49" s="101">
        <f>IFERROR(up_RadSpec!$E$23*(BY23/$B49),".")</f>
        <v>68750</v>
      </c>
    </row>
    <row r="50" spans="1:77" x14ac:dyDescent="0.25">
      <c r="A50" s="99" t="s">
        <v>1090</v>
      </c>
      <c r="B50" s="90">
        <v>1</v>
      </c>
      <c r="C50" s="100">
        <f t="shared" si="0"/>
        <v>3437500000</v>
      </c>
      <c r="D50" s="100">
        <f t="shared" ref="D50:AA50" si="69">IFERROR($B50/D25,0)</f>
        <v>13750000000</v>
      </c>
      <c r="E50" s="100">
        <f t="shared" si="69"/>
        <v>13750000000</v>
      </c>
      <c r="F50" s="100">
        <f t="shared" si="69"/>
        <v>13750000000</v>
      </c>
      <c r="G50" s="100">
        <f t="shared" si="69"/>
        <v>13750000000</v>
      </c>
      <c r="H50" s="100">
        <f t="shared" si="69"/>
        <v>13750000000</v>
      </c>
      <c r="I50" s="100">
        <f t="shared" si="69"/>
        <v>13750000000</v>
      </c>
      <c r="J50" s="100">
        <f t="shared" si="69"/>
        <v>13750000000</v>
      </c>
      <c r="K50" s="100">
        <f t="shared" si="69"/>
        <v>13750000000</v>
      </c>
      <c r="L50" s="100">
        <f t="shared" si="69"/>
        <v>13750000000</v>
      </c>
      <c r="M50" s="100">
        <f t="shared" si="69"/>
        <v>13750000000</v>
      </c>
      <c r="N50" s="100">
        <f t="shared" si="69"/>
        <v>13750000000</v>
      </c>
      <c r="O50" s="100">
        <f t="shared" si="69"/>
        <v>13750000000</v>
      </c>
      <c r="P50" s="100">
        <f t="shared" si="69"/>
        <v>13750000000</v>
      </c>
      <c r="Q50" s="100">
        <f t="shared" si="69"/>
        <v>13750000000</v>
      </c>
      <c r="R50" s="100">
        <f t="shared" si="69"/>
        <v>13750000000</v>
      </c>
      <c r="S50" s="100">
        <f t="shared" si="69"/>
        <v>13750000000</v>
      </c>
      <c r="T50" s="100">
        <f t="shared" si="69"/>
        <v>13750000000</v>
      </c>
      <c r="U50" s="100">
        <f t="shared" si="69"/>
        <v>13750000000</v>
      </c>
      <c r="V50" s="100">
        <f t="shared" si="69"/>
        <v>13750000000</v>
      </c>
      <c r="W50" s="100">
        <f t="shared" si="69"/>
        <v>13750000000</v>
      </c>
      <c r="X50" s="100">
        <f t="shared" si="69"/>
        <v>13750000000</v>
      </c>
      <c r="Y50" s="100">
        <f t="shared" si="69"/>
        <v>13750000000</v>
      </c>
      <c r="Z50" s="100">
        <f t="shared" si="69"/>
        <v>13750000000</v>
      </c>
      <c r="AA50" s="100">
        <f t="shared" si="69"/>
        <v>13750000000</v>
      </c>
      <c r="AB50" s="100">
        <f t="shared" si="26"/>
        <v>3437500000</v>
      </c>
      <c r="AC50" s="100">
        <f t="shared" ref="AC50:AZ50" si="70">IFERROR($B50/AC25,0)</f>
        <v>13750000000</v>
      </c>
      <c r="AD50" s="100">
        <f t="shared" si="70"/>
        <v>13750000000</v>
      </c>
      <c r="AE50" s="100">
        <f t="shared" si="70"/>
        <v>13750000000</v>
      </c>
      <c r="AF50" s="100">
        <f t="shared" si="70"/>
        <v>13750000000</v>
      </c>
      <c r="AG50" s="100">
        <f t="shared" si="70"/>
        <v>13750000000</v>
      </c>
      <c r="AH50" s="100">
        <f t="shared" si="70"/>
        <v>13750000000</v>
      </c>
      <c r="AI50" s="100">
        <f t="shared" si="70"/>
        <v>13750000000</v>
      </c>
      <c r="AJ50" s="100">
        <f t="shared" si="70"/>
        <v>13750000000</v>
      </c>
      <c r="AK50" s="100">
        <f t="shared" si="70"/>
        <v>13750000000</v>
      </c>
      <c r="AL50" s="100">
        <f t="shared" si="70"/>
        <v>13750000000</v>
      </c>
      <c r="AM50" s="100">
        <f t="shared" si="70"/>
        <v>13750000000</v>
      </c>
      <c r="AN50" s="100">
        <f t="shared" si="70"/>
        <v>13750000000</v>
      </c>
      <c r="AO50" s="100">
        <f t="shared" si="70"/>
        <v>13750000000</v>
      </c>
      <c r="AP50" s="100">
        <f t="shared" si="70"/>
        <v>13750000000</v>
      </c>
      <c r="AQ50" s="100">
        <f t="shared" si="70"/>
        <v>13750000000</v>
      </c>
      <c r="AR50" s="100">
        <f t="shared" si="70"/>
        <v>13750000000</v>
      </c>
      <c r="AS50" s="100">
        <f t="shared" si="70"/>
        <v>13750000000</v>
      </c>
      <c r="AT50" s="100">
        <f t="shared" si="70"/>
        <v>13750000000</v>
      </c>
      <c r="AU50" s="100">
        <f t="shared" si="70"/>
        <v>13750000000</v>
      </c>
      <c r="AV50" s="100">
        <f t="shared" si="70"/>
        <v>13750000000</v>
      </c>
      <c r="AW50" s="100">
        <f t="shared" si="70"/>
        <v>13750000000</v>
      </c>
      <c r="AX50" s="100">
        <f t="shared" si="70"/>
        <v>13750000000</v>
      </c>
      <c r="AY50" s="100">
        <f t="shared" si="70"/>
        <v>13750000000</v>
      </c>
      <c r="AZ50" s="100">
        <f t="shared" si="70"/>
        <v>13750000000</v>
      </c>
      <c r="BA50" s="101">
        <f t="shared" si="68"/>
        <v>275000</v>
      </c>
      <c r="BB50" s="101">
        <f>IFERROR(up_RadSpec!$E$25*(BB25/$B50),".")</f>
        <v>68750</v>
      </c>
      <c r="BC50" s="101">
        <f>IFERROR(up_RadSpec!$E$25*(BC25/$B50),".")</f>
        <v>68750</v>
      </c>
      <c r="BD50" s="101">
        <f>IFERROR(up_RadSpec!$E$25*(BD25/$B50),".")</f>
        <v>68750</v>
      </c>
      <c r="BE50" s="101">
        <f>IFERROR(up_RadSpec!$E$25*(BE25/$B50),".")</f>
        <v>68750</v>
      </c>
      <c r="BF50" s="101">
        <f>IFERROR(up_RadSpec!$E$25*(BF25/$B50),".")</f>
        <v>68750</v>
      </c>
      <c r="BG50" s="101">
        <f>IFERROR(up_RadSpec!$E$25*(BG25/$B50),".")</f>
        <v>68750</v>
      </c>
      <c r="BH50" s="101">
        <f>IFERROR(up_RadSpec!$E$25*(BH25/$B50),".")</f>
        <v>68750</v>
      </c>
      <c r="BI50" s="101">
        <f>IFERROR(up_RadSpec!$E$25*(BI25/$B50),".")</f>
        <v>68750</v>
      </c>
      <c r="BJ50" s="101">
        <f>IFERROR(up_RadSpec!$E$25*(BJ25/$B50),".")</f>
        <v>68750</v>
      </c>
      <c r="BK50" s="101">
        <f>IFERROR(up_RadSpec!$E$25*(BK25/$B50),".")</f>
        <v>68750</v>
      </c>
      <c r="BL50" s="101">
        <f>IFERROR(up_RadSpec!$E$25*(BL25/$B50),".")</f>
        <v>68750</v>
      </c>
      <c r="BM50" s="101">
        <f>IFERROR(up_RadSpec!$E$25*(BM25/$B50),".")</f>
        <v>68750</v>
      </c>
      <c r="BN50" s="101">
        <f>IFERROR(up_RadSpec!$E$25*(BN25/$B50),".")</f>
        <v>68750</v>
      </c>
      <c r="BO50" s="101">
        <f>IFERROR(up_RadSpec!$E$25*(BO25/$B50),".")</f>
        <v>68750</v>
      </c>
      <c r="BP50" s="101">
        <f>IFERROR(up_RadSpec!$E$25*(BP25/$B50),".")</f>
        <v>68750</v>
      </c>
      <c r="BQ50" s="101">
        <f>IFERROR(up_RadSpec!$E$25*(BQ25/$B50),".")</f>
        <v>68750</v>
      </c>
      <c r="BR50" s="101">
        <f>IFERROR(up_RadSpec!$E$25*(BR25/$B50),".")</f>
        <v>68750</v>
      </c>
      <c r="BS50" s="101">
        <f>IFERROR(up_RadSpec!$E$25*(BS25/$B50),".")</f>
        <v>68750</v>
      </c>
      <c r="BT50" s="101">
        <f>IFERROR(up_RadSpec!$E$25*(BT25/$B50),".")</f>
        <v>68750</v>
      </c>
      <c r="BU50" s="101">
        <f>IFERROR(up_RadSpec!$E$25*(BU25/$B50),".")</f>
        <v>68750</v>
      </c>
      <c r="BV50" s="101">
        <f>IFERROR(up_RadSpec!$E$25*(BV25/$B50),".")</f>
        <v>68750</v>
      </c>
      <c r="BW50" s="101">
        <f>IFERROR(up_RadSpec!$E$25*(BW25/$B50),".")</f>
        <v>68750</v>
      </c>
      <c r="BX50" s="101">
        <f>IFERROR(up_RadSpec!$E$25*(BX25/$B50),".")</f>
        <v>68750</v>
      </c>
      <c r="BY50" s="101">
        <f>IFERROR(up_RadSpec!$E$25*(BY25/$B50),".")</f>
        <v>68750</v>
      </c>
    </row>
    <row r="51" spans="1:77" x14ac:dyDescent="0.25">
      <c r="A51" s="99" t="s">
        <v>1076</v>
      </c>
      <c r="B51" s="90">
        <v>1</v>
      </c>
      <c r="C51" s="100">
        <f t="shared" si="0"/>
        <v>3437500000</v>
      </c>
      <c r="D51" s="100">
        <f t="shared" ref="D51:AA51" si="71">IFERROR($B51/D21,0)</f>
        <v>13750000000</v>
      </c>
      <c r="E51" s="100">
        <f t="shared" si="71"/>
        <v>13750000000</v>
      </c>
      <c r="F51" s="100">
        <f t="shared" si="71"/>
        <v>13750000000</v>
      </c>
      <c r="G51" s="100">
        <f t="shared" si="71"/>
        <v>13750000000</v>
      </c>
      <c r="H51" s="100">
        <f t="shared" si="71"/>
        <v>13750000000</v>
      </c>
      <c r="I51" s="100">
        <f t="shared" si="71"/>
        <v>13750000000</v>
      </c>
      <c r="J51" s="100">
        <f t="shared" si="71"/>
        <v>13750000000</v>
      </c>
      <c r="K51" s="100">
        <f t="shared" si="71"/>
        <v>13750000000</v>
      </c>
      <c r="L51" s="100">
        <f t="shared" si="71"/>
        <v>13750000000</v>
      </c>
      <c r="M51" s="100">
        <f t="shared" si="71"/>
        <v>13750000000</v>
      </c>
      <c r="N51" s="100">
        <f t="shared" si="71"/>
        <v>13750000000</v>
      </c>
      <c r="O51" s="100">
        <f t="shared" si="71"/>
        <v>13750000000</v>
      </c>
      <c r="P51" s="100">
        <f t="shared" si="71"/>
        <v>13750000000</v>
      </c>
      <c r="Q51" s="100">
        <f t="shared" si="71"/>
        <v>13750000000</v>
      </c>
      <c r="R51" s="100">
        <f t="shared" si="71"/>
        <v>13750000000</v>
      </c>
      <c r="S51" s="100">
        <f t="shared" si="71"/>
        <v>13750000000</v>
      </c>
      <c r="T51" s="100">
        <f t="shared" si="71"/>
        <v>13750000000</v>
      </c>
      <c r="U51" s="100">
        <f t="shared" si="71"/>
        <v>13750000000</v>
      </c>
      <c r="V51" s="100">
        <f t="shared" si="71"/>
        <v>13750000000</v>
      </c>
      <c r="W51" s="100">
        <f t="shared" si="71"/>
        <v>13750000000</v>
      </c>
      <c r="X51" s="100">
        <f t="shared" si="71"/>
        <v>13750000000</v>
      </c>
      <c r="Y51" s="100">
        <f t="shared" si="71"/>
        <v>13750000000</v>
      </c>
      <c r="Z51" s="100">
        <f t="shared" si="71"/>
        <v>13750000000</v>
      </c>
      <c r="AA51" s="100">
        <f t="shared" si="71"/>
        <v>13750000000</v>
      </c>
      <c r="AB51" s="100">
        <f t="shared" si="26"/>
        <v>3437500000</v>
      </c>
      <c r="AC51" s="100">
        <f t="shared" ref="AC51:AZ51" si="72">IFERROR($B51/AC21,0)</f>
        <v>13750000000</v>
      </c>
      <c r="AD51" s="100">
        <f t="shared" si="72"/>
        <v>13750000000</v>
      </c>
      <c r="AE51" s="100">
        <f t="shared" si="72"/>
        <v>13750000000</v>
      </c>
      <c r="AF51" s="100">
        <f t="shared" si="72"/>
        <v>13750000000</v>
      </c>
      <c r="AG51" s="100">
        <f t="shared" si="72"/>
        <v>13750000000</v>
      </c>
      <c r="AH51" s="100">
        <f t="shared" si="72"/>
        <v>13750000000</v>
      </c>
      <c r="AI51" s="100">
        <f t="shared" si="72"/>
        <v>13750000000</v>
      </c>
      <c r="AJ51" s="100">
        <f t="shared" si="72"/>
        <v>13750000000</v>
      </c>
      <c r="AK51" s="100">
        <f t="shared" si="72"/>
        <v>13750000000</v>
      </c>
      <c r="AL51" s="100">
        <f t="shared" si="72"/>
        <v>13750000000</v>
      </c>
      <c r="AM51" s="100">
        <f t="shared" si="72"/>
        <v>13750000000</v>
      </c>
      <c r="AN51" s="100">
        <f t="shared" si="72"/>
        <v>13750000000</v>
      </c>
      <c r="AO51" s="100">
        <f t="shared" si="72"/>
        <v>13750000000</v>
      </c>
      <c r="AP51" s="100">
        <f t="shared" si="72"/>
        <v>13750000000</v>
      </c>
      <c r="AQ51" s="100">
        <f t="shared" si="72"/>
        <v>13750000000</v>
      </c>
      <c r="AR51" s="100">
        <f t="shared" si="72"/>
        <v>13750000000</v>
      </c>
      <c r="AS51" s="100">
        <f t="shared" si="72"/>
        <v>13750000000</v>
      </c>
      <c r="AT51" s="100">
        <f t="shared" si="72"/>
        <v>13750000000</v>
      </c>
      <c r="AU51" s="100">
        <f t="shared" si="72"/>
        <v>13750000000</v>
      </c>
      <c r="AV51" s="100">
        <f t="shared" si="72"/>
        <v>13750000000</v>
      </c>
      <c r="AW51" s="100">
        <f t="shared" si="72"/>
        <v>13750000000</v>
      </c>
      <c r="AX51" s="100">
        <f t="shared" si="72"/>
        <v>13750000000</v>
      </c>
      <c r="AY51" s="100">
        <f t="shared" si="72"/>
        <v>13750000000</v>
      </c>
      <c r="AZ51" s="100">
        <f t="shared" si="72"/>
        <v>13750000000</v>
      </c>
      <c r="BA51" s="101">
        <f t="shared" si="68"/>
        <v>275000</v>
      </c>
      <c r="BB51" s="101">
        <f>IFERROR(up_RadSpec!$E$21*(BB21/$B51),".")</f>
        <v>68750</v>
      </c>
      <c r="BC51" s="101">
        <f>IFERROR(up_RadSpec!$E$21*(BC21/$B51),".")</f>
        <v>68750</v>
      </c>
      <c r="BD51" s="101">
        <f>IFERROR(up_RadSpec!$E$21*(BD21/$B51),".")</f>
        <v>68750</v>
      </c>
      <c r="BE51" s="101">
        <f>IFERROR(up_RadSpec!$E$21*(BE21/$B51),".")</f>
        <v>68750</v>
      </c>
      <c r="BF51" s="101">
        <f>IFERROR(up_RadSpec!$E$21*(BF21/$B51),".")</f>
        <v>68750</v>
      </c>
      <c r="BG51" s="101">
        <f>IFERROR(up_RadSpec!$E$21*(BG21/$B51),".")</f>
        <v>68750</v>
      </c>
      <c r="BH51" s="101">
        <f>IFERROR(up_RadSpec!$E$21*(BH21/$B51),".")</f>
        <v>68750</v>
      </c>
      <c r="BI51" s="101">
        <f>IFERROR(up_RadSpec!$E$21*(BI21/$B51),".")</f>
        <v>68750</v>
      </c>
      <c r="BJ51" s="101">
        <f>IFERROR(up_RadSpec!$E$21*(BJ21/$B51),".")</f>
        <v>68750</v>
      </c>
      <c r="BK51" s="101">
        <f>IFERROR(up_RadSpec!$E$21*(BK21/$B51),".")</f>
        <v>68750</v>
      </c>
      <c r="BL51" s="101">
        <f>IFERROR(up_RadSpec!$E$21*(BL21/$B51),".")</f>
        <v>68750</v>
      </c>
      <c r="BM51" s="101">
        <f>IFERROR(up_RadSpec!$E$21*(BM21/$B51),".")</f>
        <v>68750</v>
      </c>
      <c r="BN51" s="101">
        <f>IFERROR(up_RadSpec!$E$21*(BN21/$B51),".")</f>
        <v>68750</v>
      </c>
      <c r="BO51" s="101">
        <f>IFERROR(up_RadSpec!$E$21*(BO21/$B51),".")</f>
        <v>68750</v>
      </c>
      <c r="BP51" s="101">
        <f>IFERROR(up_RadSpec!$E$21*(BP21/$B51),".")</f>
        <v>68750</v>
      </c>
      <c r="BQ51" s="101">
        <f>IFERROR(up_RadSpec!$E$21*(BQ21/$B51),".")</f>
        <v>68750</v>
      </c>
      <c r="BR51" s="101">
        <f>IFERROR(up_RadSpec!$E$21*(BR21/$B51),".")</f>
        <v>68750</v>
      </c>
      <c r="BS51" s="101">
        <f>IFERROR(up_RadSpec!$E$21*(BS21/$B51),".")</f>
        <v>68750</v>
      </c>
      <c r="BT51" s="101">
        <f>IFERROR(up_RadSpec!$E$21*(BT21/$B51),".")</f>
        <v>68750</v>
      </c>
      <c r="BU51" s="101">
        <f>IFERROR(up_RadSpec!$E$21*(BU21/$B51),".")</f>
        <v>68750</v>
      </c>
      <c r="BV51" s="101">
        <f>IFERROR(up_RadSpec!$E$21*(BV21/$B51),".")</f>
        <v>68750</v>
      </c>
      <c r="BW51" s="101">
        <f>IFERROR(up_RadSpec!$E$21*(BW21/$B51),".")</f>
        <v>68750</v>
      </c>
      <c r="BX51" s="101">
        <f>IFERROR(up_RadSpec!$E$21*(BX21/$B51),".")</f>
        <v>68750</v>
      </c>
      <c r="BY51" s="101">
        <f>IFERROR(up_RadSpec!$E$21*(BY21/$B51),".")</f>
        <v>68750</v>
      </c>
    </row>
    <row r="52" spans="1:77" x14ac:dyDescent="0.25">
      <c r="A52" s="99" t="s">
        <v>1077</v>
      </c>
      <c r="B52" s="103">
        <v>0.99980000000000002</v>
      </c>
      <c r="C52" s="100">
        <f t="shared" si="0"/>
        <v>3436812500.0000005</v>
      </c>
      <c r="D52" s="100">
        <f t="shared" ref="D52:AA52" si="73">IFERROR($B52/D17,0)</f>
        <v>13747250000.000002</v>
      </c>
      <c r="E52" s="100">
        <f t="shared" si="73"/>
        <v>13747250000.000002</v>
      </c>
      <c r="F52" s="100">
        <f t="shared" si="73"/>
        <v>13747250000.000002</v>
      </c>
      <c r="G52" s="100">
        <f t="shared" si="73"/>
        <v>13747250000.000002</v>
      </c>
      <c r="H52" s="100">
        <f t="shared" si="73"/>
        <v>13747250000.000002</v>
      </c>
      <c r="I52" s="100">
        <f t="shared" si="73"/>
        <v>13747250000.000002</v>
      </c>
      <c r="J52" s="100">
        <f t="shared" si="73"/>
        <v>13747250000.000002</v>
      </c>
      <c r="K52" s="100">
        <f t="shared" si="73"/>
        <v>13747250000.000002</v>
      </c>
      <c r="L52" s="100">
        <f t="shared" si="73"/>
        <v>13747250000.000002</v>
      </c>
      <c r="M52" s="100">
        <f t="shared" si="73"/>
        <v>13747250000.000002</v>
      </c>
      <c r="N52" s="100">
        <f t="shared" si="73"/>
        <v>13747250000.000002</v>
      </c>
      <c r="O52" s="100">
        <f t="shared" si="73"/>
        <v>13747250000.000002</v>
      </c>
      <c r="P52" s="100">
        <f t="shared" si="73"/>
        <v>13747250000.000002</v>
      </c>
      <c r="Q52" s="100">
        <f t="shared" si="73"/>
        <v>13747250000.000002</v>
      </c>
      <c r="R52" s="100">
        <f t="shared" si="73"/>
        <v>13747250000.000002</v>
      </c>
      <c r="S52" s="100">
        <f t="shared" si="73"/>
        <v>13747250000.000002</v>
      </c>
      <c r="T52" s="100">
        <f t="shared" si="73"/>
        <v>13747250000.000002</v>
      </c>
      <c r="U52" s="100">
        <f t="shared" si="73"/>
        <v>13747250000.000002</v>
      </c>
      <c r="V52" s="100">
        <f t="shared" si="73"/>
        <v>13747250000.000002</v>
      </c>
      <c r="W52" s="100">
        <f t="shared" si="73"/>
        <v>13747250000.000002</v>
      </c>
      <c r="X52" s="100">
        <f t="shared" si="73"/>
        <v>13747250000.000002</v>
      </c>
      <c r="Y52" s="100">
        <f t="shared" si="73"/>
        <v>13747250000.000002</v>
      </c>
      <c r="Z52" s="100">
        <f t="shared" si="73"/>
        <v>13747250000.000002</v>
      </c>
      <c r="AA52" s="100">
        <f t="shared" si="73"/>
        <v>13747250000.000002</v>
      </c>
      <c r="AB52" s="100">
        <f t="shared" si="26"/>
        <v>3436812500.0000005</v>
      </c>
      <c r="AC52" s="100">
        <f t="shared" ref="AC52:AZ52" si="74">IFERROR($B52/AC17,0)</f>
        <v>13747250000.000002</v>
      </c>
      <c r="AD52" s="100">
        <f t="shared" si="74"/>
        <v>13747250000.000002</v>
      </c>
      <c r="AE52" s="100">
        <f t="shared" si="74"/>
        <v>13747250000.000002</v>
      </c>
      <c r="AF52" s="100">
        <f t="shared" si="74"/>
        <v>13747250000.000002</v>
      </c>
      <c r="AG52" s="100">
        <f t="shared" si="74"/>
        <v>13747250000.000002</v>
      </c>
      <c r="AH52" s="100">
        <f t="shared" si="74"/>
        <v>13747250000.000002</v>
      </c>
      <c r="AI52" s="100">
        <f t="shared" si="74"/>
        <v>13747250000.000002</v>
      </c>
      <c r="AJ52" s="100">
        <f t="shared" si="74"/>
        <v>13747250000.000002</v>
      </c>
      <c r="AK52" s="100">
        <f t="shared" si="74"/>
        <v>13747250000.000002</v>
      </c>
      <c r="AL52" s="100">
        <f t="shared" si="74"/>
        <v>13747250000.000002</v>
      </c>
      <c r="AM52" s="100">
        <f t="shared" si="74"/>
        <v>13747250000.000002</v>
      </c>
      <c r="AN52" s="100">
        <f t="shared" si="74"/>
        <v>13747250000.000002</v>
      </c>
      <c r="AO52" s="100">
        <f t="shared" si="74"/>
        <v>13747250000.000002</v>
      </c>
      <c r="AP52" s="100">
        <f t="shared" si="74"/>
        <v>13747250000.000002</v>
      </c>
      <c r="AQ52" s="100">
        <f t="shared" si="74"/>
        <v>13747250000.000002</v>
      </c>
      <c r="AR52" s="100">
        <f t="shared" si="74"/>
        <v>13747250000.000002</v>
      </c>
      <c r="AS52" s="100">
        <f t="shared" si="74"/>
        <v>13747250000.000002</v>
      </c>
      <c r="AT52" s="100">
        <f t="shared" si="74"/>
        <v>13747250000.000002</v>
      </c>
      <c r="AU52" s="100">
        <f t="shared" si="74"/>
        <v>13747250000.000002</v>
      </c>
      <c r="AV52" s="100">
        <f t="shared" si="74"/>
        <v>13747250000.000002</v>
      </c>
      <c r="AW52" s="100">
        <f t="shared" si="74"/>
        <v>13747250000.000002</v>
      </c>
      <c r="AX52" s="100">
        <f t="shared" si="74"/>
        <v>13747250000.000002</v>
      </c>
      <c r="AY52" s="100">
        <f t="shared" si="74"/>
        <v>13747250000.000002</v>
      </c>
      <c r="AZ52" s="100">
        <f t="shared" si="74"/>
        <v>13747250000.000002</v>
      </c>
      <c r="BA52" s="101">
        <f t="shared" si="68"/>
        <v>275055.01100220042</v>
      </c>
      <c r="BB52" s="101">
        <f>IFERROR(up_RadSpec!$E$17*(BB17/$B52),".")</f>
        <v>68763.752750550106</v>
      </c>
      <c r="BC52" s="101">
        <f>IFERROR(up_RadSpec!$E$17*(BC17/$B52),".")</f>
        <v>68763.752750550106</v>
      </c>
      <c r="BD52" s="101">
        <f>IFERROR(up_RadSpec!$E$17*(BD17/$B52),".")</f>
        <v>68763.752750550106</v>
      </c>
      <c r="BE52" s="101">
        <f>IFERROR(up_RadSpec!$E$17*(BE17/$B52),".")</f>
        <v>68763.752750550106</v>
      </c>
      <c r="BF52" s="101">
        <f>IFERROR(up_RadSpec!$E$17*(BF17/$B52),".")</f>
        <v>68763.752750550106</v>
      </c>
      <c r="BG52" s="101">
        <f>IFERROR(up_RadSpec!$E$17*(BG17/$B52),".")</f>
        <v>68763.752750550106</v>
      </c>
      <c r="BH52" s="101">
        <f>IFERROR(up_RadSpec!$E$17*(BH17/$B52),".")</f>
        <v>68763.752750550106</v>
      </c>
      <c r="BI52" s="101">
        <f>IFERROR(up_RadSpec!$E$17*(BI17/$B52),".")</f>
        <v>68763.752750550106</v>
      </c>
      <c r="BJ52" s="101">
        <f>IFERROR(up_RadSpec!$E$17*(BJ17/$B52),".")</f>
        <v>68763.752750550106</v>
      </c>
      <c r="BK52" s="101">
        <f>IFERROR(up_RadSpec!$E$17*(BK17/$B52),".")</f>
        <v>68763.752750550106</v>
      </c>
      <c r="BL52" s="101">
        <f>IFERROR(up_RadSpec!$E$17*(BL17/$B52),".")</f>
        <v>68763.752750550106</v>
      </c>
      <c r="BM52" s="101">
        <f>IFERROR(up_RadSpec!$E$17*(BM17/$B52),".")</f>
        <v>68763.752750550106</v>
      </c>
      <c r="BN52" s="101">
        <f>IFERROR(up_RadSpec!$E$17*(BN17/$B52),".")</f>
        <v>68763.752750550106</v>
      </c>
      <c r="BO52" s="101">
        <f>IFERROR(up_RadSpec!$E$17*(BO17/$B52),".")</f>
        <v>68763.752750550106</v>
      </c>
      <c r="BP52" s="101">
        <f>IFERROR(up_RadSpec!$E$17*(BP17/$B52),".")</f>
        <v>68763.752750550106</v>
      </c>
      <c r="BQ52" s="101">
        <f>IFERROR(up_RadSpec!$E$17*(BQ17/$B52),".")</f>
        <v>68763.752750550106</v>
      </c>
      <c r="BR52" s="101">
        <f>IFERROR(up_RadSpec!$E$17*(BR17/$B52),".")</f>
        <v>68763.752750550106</v>
      </c>
      <c r="BS52" s="101">
        <f>IFERROR(up_RadSpec!$E$17*(BS17/$B52),".")</f>
        <v>68763.752750550106</v>
      </c>
      <c r="BT52" s="101">
        <f>IFERROR(up_RadSpec!$E$17*(BT17/$B52),".")</f>
        <v>68763.752750550106</v>
      </c>
      <c r="BU52" s="101">
        <f>IFERROR(up_RadSpec!$E$17*(BU17/$B52),".")</f>
        <v>68763.752750550106</v>
      </c>
      <c r="BV52" s="101">
        <f>IFERROR(up_RadSpec!$E$17*(BV17/$B52),".")</f>
        <v>68763.752750550106</v>
      </c>
      <c r="BW52" s="101">
        <f>IFERROR(up_RadSpec!$E$17*(BW17/$B52),".")</f>
        <v>68763.752750550106</v>
      </c>
      <c r="BX52" s="101">
        <f>IFERROR(up_RadSpec!$E$17*(BX17/$B52),".")</f>
        <v>68763.752750550106</v>
      </c>
      <c r="BY52" s="101">
        <f>IFERROR(up_RadSpec!$E$17*(BY17/$B52),".")</f>
        <v>68763.752750550106</v>
      </c>
    </row>
    <row r="53" spans="1:77" x14ac:dyDescent="0.25">
      <c r="A53" s="99" t="s">
        <v>1091</v>
      </c>
      <c r="B53" s="90">
        <v>2.0000000000000001E-4</v>
      </c>
      <c r="C53" s="100">
        <f t="shared" si="0"/>
        <v>687500.00000000012</v>
      </c>
      <c r="D53" s="100">
        <f t="shared" ref="D53:AA53" si="75">IFERROR($B53/D5,0)</f>
        <v>2750000.0000000005</v>
      </c>
      <c r="E53" s="100">
        <f t="shared" si="75"/>
        <v>2750000.0000000005</v>
      </c>
      <c r="F53" s="100">
        <f t="shared" si="75"/>
        <v>2750000.0000000005</v>
      </c>
      <c r="G53" s="100">
        <f t="shared" si="75"/>
        <v>2750000.0000000005</v>
      </c>
      <c r="H53" s="100">
        <f t="shared" si="75"/>
        <v>2750000.0000000005</v>
      </c>
      <c r="I53" s="100">
        <f t="shared" si="75"/>
        <v>2750000.0000000005</v>
      </c>
      <c r="J53" s="100">
        <f t="shared" si="75"/>
        <v>2750000.0000000005</v>
      </c>
      <c r="K53" s="100">
        <f t="shared" si="75"/>
        <v>2750000.0000000005</v>
      </c>
      <c r="L53" s="100">
        <f t="shared" si="75"/>
        <v>2750000.0000000005</v>
      </c>
      <c r="M53" s="100">
        <f t="shared" si="75"/>
        <v>2750000.0000000005</v>
      </c>
      <c r="N53" s="100">
        <f t="shared" si="75"/>
        <v>2750000.0000000005</v>
      </c>
      <c r="O53" s="100">
        <f t="shared" si="75"/>
        <v>2750000.0000000005</v>
      </c>
      <c r="P53" s="100">
        <f t="shared" si="75"/>
        <v>2750000.0000000005</v>
      </c>
      <c r="Q53" s="100">
        <f t="shared" si="75"/>
        <v>2750000.0000000005</v>
      </c>
      <c r="R53" s="100">
        <f t="shared" si="75"/>
        <v>2750000.0000000005</v>
      </c>
      <c r="S53" s="100">
        <f t="shared" si="75"/>
        <v>2750000.0000000005</v>
      </c>
      <c r="T53" s="100">
        <f t="shared" si="75"/>
        <v>2750000.0000000005</v>
      </c>
      <c r="U53" s="100">
        <f t="shared" si="75"/>
        <v>2750000.0000000005</v>
      </c>
      <c r="V53" s="100">
        <f t="shared" si="75"/>
        <v>2750000.0000000005</v>
      </c>
      <c r="W53" s="100">
        <f t="shared" si="75"/>
        <v>2750000.0000000005</v>
      </c>
      <c r="X53" s="100">
        <f t="shared" si="75"/>
        <v>2750000.0000000005</v>
      </c>
      <c r="Y53" s="100">
        <f t="shared" si="75"/>
        <v>2750000.0000000005</v>
      </c>
      <c r="Z53" s="100">
        <f t="shared" si="75"/>
        <v>2750000.0000000005</v>
      </c>
      <c r="AA53" s="100">
        <f t="shared" si="75"/>
        <v>2750000.0000000005</v>
      </c>
      <c r="AB53" s="100">
        <f t="shared" si="26"/>
        <v>687500.00000000012</v>
      </c>
      <c r="AC53" s="100">
        <f t="shared" ref="AC53:AZ53" si="76">IFERROR($B53/AC5,0)</f>
        <v>2750000.0000000005</v>
      </c>
      <c r="AD53" s="100">
        <f t="shared" si="76"/>
        <v>2750000.0000000005</v>
      </c>
      <c r="AE53" s="100">
        <f t="shared" si="76"/>
        <v>2750000.0000000005</v>
      </c>
      <c r="AF53" s="100">
        <f t="shared" si="76"/>
        <v>2750000.0000000005</v>
      </c>
      <c r="AG53" s="100">
        <f t="shared" si="76"/>
        <v>2750000.0000000005</v>
      </c>
      <c r="AH53" s="100">
        <f t="shared" si="76"/>
        <v>2750000.0000000005</v>
      </c>
      <c r="AI53" s="100">
        <f t="shared" si="76"/>
        <v>2750000.0000000005</v>
      </c>
      <c r="AJ53" s="100">
        <f t="shared" si="76"/>
        <v>2750000.0000000005</v>
      </c>
      <c r="AK53" s="100">
        <f t="shared" si="76"/>
        <v>2750000.0000000005</v>
      </c>
      <c r="AL53" s="100">
        <f t="shared" si="76"/>
        <v>2750000.0000000005</v>
      </c>
      <c r="AM53" s="100">
        <f t="shared" si="76"/>
        <v>2750000.0000000005</v>
      </c>
      <c r="AN53" s="100">
        <f t="shared" si="76"/>
        <v>2750000.0000000005</v>
      </c>
      <c r="AO53" s="100">
        <f t="shared" si="76"/>
        <v>2750000.0000000005</v>
      </c>
      <c r="AP53" s="100">
        <f t="shared" si="76"/>
        <v>2750000.0000000005</v>
      </c>
      <c r="AQ53" s="100">
        <f t="shared" si="76"/>
        <v>2750000.0000000005</v>
      </c>
      <c r="AR53" s="100">
        <f t="shared" si="76"/>
        <v>2750000.0000000005</v>
      </c>
      <c r="AS53" s="100">
        <f t="shared" si="76"/>
        <v>2750000.0000000005</v>
      </c>
      <c r="AT53" s="100">
        <f t="shared" si="76"/>
        <v>2750000.0000000005</v>
      </c>
      <c r="AU53" s="100">
        <f t="shared" si="76"/>
        <v>2750000.0000000005</v>
      </c>
      <c r="AV53" s="100">
        <f t="shared" si="76"/>
        <v>2750000.0000000005</v>
      </c>
      <c r="AW53" s="100">
        <f t="shared" si="76"/>
        <v>2750000.0000000005</v>
      </c>
      <c r="AX53" s="100">
        <f t="shared" si="76"/>
        <v>2750000.0000000005</v>
      </c>
      <c r="AY53" s="100">
        <f t="shared" si="76"/>
        <v>2750000.0000000005</v>
      </c>
      <c r="AZ53" s="100">
        <f t="shared" si="76"/>
        <v>2750000.0000000005</v>
      </c>
      <c r="BA53" s="101">
        <f t="shared" si="68"/>
        <v>1375000000</v>
      </c>
      <c r="BB53" s="101">
        <f>IFERROR(up_RadSpec!$E$5*(BB5/$B53),".")</f>
        <v>343750000</v>
      </c>
      <c r="BC53" s="101">
        <f>IFERROR(up_RadSpec!$E$5*(BC5/$B53),".")</f>
        <v>343750000</v>
      </c>
      <c r="BD53" s="101">
        <f>IFERROR(up_RadSpec!$E$5*(BD5/$B53),".")</f>
        <v>343750000</v>
      </c>
      <c r="BE53" s="101">
        <f>IFERROR(up_RadSpec!$E$5*(BE5/$B53),".")</f>
        <v>343750000</v>
      </c>
      <c r="BF53" s="101">
        <f>IFERROR(up_RadSpec!$E$5*(BF5/$B53),".")</f>
        <v>343750000</v>
      </c>
      <c r="BG53" s="101">
        <f>IFERROR(up_RadSpec!$E$5*(BG5/$B53),".")</f>
        <v>343750000</v>
      </c>
      <c r="BH53" s="101">
        <f>IFERROR(up_RadSpec!$E$5*(BH5/$B53),".")</f>
        <v>343750000</v>
      </c>
      <c r="BI53" s="101">
        <f>IFERROR(up_RadSpec!$E$5*(BI5/$B53),".")</f>
        <v>343750000</v>
      </c>
      <c r="BJ53" s="101">
        <f>IFERROR(up_RadSpec!$E$5*(BJ5/$B53),".")</f>
        <v>343750000</v>
      </c>
      <c r="BK53" s="101">
        <f>IFERROR(up_RadSpec!$E$5*(BK5/$B53),".")</f>
        <v>343750000</v>
      </c>
      <c r="BL53" s="101">
        <f>IFERROR(up_RadSpec!$E$5*(BL5/$B53),".")</f>
        <v>343750000</v>
      </c>
      <c r="BM53" s="101">
        <f>IFERROR(up_RadSpec!$E$5*(BM5/$B53),".")</f>
        <v>343750000</v>
      </c>
      <c r="BN53" s="101">
        <f>IFERROR(up_RadSpec!$E$5*(BN5/$B53),".")</f>
        <v>343750000</v>
      </c>
      <c r="BO53" s="101">
        <f>IFERROR(up_RadSpec!$E$5*(BO5/$B53),".")</f>
        <v>343750000</v>
      </c>
      <c r="BP53" s="101">
        <f>IFERROR(up_RadSpec!$E$5*(BP5/$B53),".")</f>
        <v>343750000</v>
      </c>
      <c r="BQ53" s="101">
        <f>IFERROR(up_RadSpec!$E$5*(BQ5/$B53),".")</f>
        <v>343750000</v>
      </c>
      <c r="BR53" s="101">
        <f>IFERROR(up_RadSpec!$E$5*(BR5/$B53),".")</f>
        <v>343750000</v>
      </c>
      <c r="BS53" s="101">
        <f>IFERROR(up_RadSpec!$E$5*(BS5/$B53),".")</f>
        <v>343750000</v>
      </c>
      <c r="BT53" s="101">
        <f>IFERROR(up_RadSpec!$E$5*(BT5/$B53),".")</f>
        <v>343750000</v>
      </c>
      <c r="BU53" s="101">
        <f>IFERROR(up_RadSpec!$E$5*(BU5/$B53),".")</f>
        <v>343750000</v>
      </c>
      <c r="BV53" s="101">
        <f>IFERROR(up_RadSpec!$E$5*(BV5/$B53),".")</f>
        <v>343750000</v>
      </c>
      <c r="BW53" s="101">
        <f>IFERROR(up_RadSpec!$E$5*(BW5/$B53),".")</f>
        <v>343750000</v>
      </c>
      <c r="BX53" s="101">
        <f>IFERROR(up_RadSpec!$E$5*(BX5/$B53),".")</f>
        <v>343750000</v>
      </c>
      <c r="BY53" s="101">
        <f>IFERROR(up_RadSpec!$E$5*(BY5/$B53),".")</f>
        <v>343750000</v>
      </c>
    </row>
    <row r="54" spans="1:77" x14ac:dyDescent="0.25">
      <c r="A54" s="99" t="s">
        <v>1092</v>
      </c>
      <c r="B54" s="90">
        <v>0.99999979999999999</v>
      </c>
      <c r="C54" s="100">
        <f t="shared" si="0"/>
        <v>3437499312.5</v>
      </c>
      <c r="D54" s="100">
        <f t="shared" ref="D54:AA54" si="77">IFERROR($B54/D9,0)</f>
        <v>13749997250</v>
      </c>
      <c r="E54" s="100">
        <f t="shared" si="77"/>
        <v>13749997250</v>
      </c>
      <c r="F54" s="100">
        <f t="shared" si="77"/>
        <v>13749997250</v>
      </c>
      <c r="G54" s="100">
        <f t="shared" si="77"/>
        <v>13749997250</v>
      </c>
      <c r="H54" s="100">
        <f t="shared" si="77"/>
        <v>13749997250</v>
      </c>
      <c r="I54" s="100">
        <f t="shared" si="77"/>
        <v>13749997250</v>
      </c>
      <c r="J54" s="100">
        <f t="shared" si="77"/>
        <v>13749997250</v>
      </c>
      <c r="K54" s="100">
        <f t="shared" si="77"/>
        <v>13749997250</v>
      </c>
      <c r="L54" s="100">
        <f t="shared" si="77"/>
        <v>13749997250</v>
      </c>
      <c r="M54" s="100">
        <f t="shared" si="77"/>
        <v>13749997250</v>
      </c>
      <c r="N54" s="100">
        <f t="shared" si="77"/>
        <v>13749997250</v>
      </c>
      <c r="O54" s="100">
        <f t="shared" si="77"/>
        <v>13749997250</v>
      </c>
      <c r="P54" s="100">
        <f t="shared" si="77"/>
        <v>13749997250</v>
      </c>
      <c r="Q54" s="100">
        <f t="shared" si="77"/>
        <v>13749997250</v>
      </c>
      <c r="R54" s="100">
        <f t="shared" si="77"/>
        <v>13749997250</v>
      </c>
      <c r="S54" s="100">
        <f t="shared" si="77"/>
        <v>13749997250</v>
      </c>
      <c r="T54" s="100">
        <f t="shared" si="77"/>
        <v>13749997250</v>
      </c>
      <c r="U54" s="100">
        <f t="shared" si="77"/>
        <v>13749997250</v>
      </c>
      <c r="V54" s="100">
        <f t="shared" si="77"/>
        <v>13749997250</v>
      </c>
      <c r="W54" s="100">
        <f t="shared" si="77"/>
        <v>13749997250</v>
      </c>
      <c r="X54" s="100">
        <f t="shared" si="77"/>
        <v>13749997250</v>
      </c>
      <c r="Y54" s="100">
        <f t="shared" si="77"/>
        <v>13749997250</v>
      </c>
      <c r="Z54" s="100">
        <f t="shared" si="77"/>
        <v>13749997250</v>
      </c>
      <c r="AA54" s="100">
        <f t="shared" si="77"/>
        <v>13749997250</v>
      </c>
      <c r="AB54" s="100">
        <f t="shared" si="26"/>
        <v>3437499312.5</v>
      </c>
      <c r="AC54" s="100">
        <f t="shared" ref="AC54:AZ54" si="78">IFERROR($B54/AC9,0)</f>
        <v>13749997250</v>
      </c>
      <c r="AD54" s="100">
        <f t="shared" si="78"/>
        <v>13749997250</v>
      </c>
      <c r="AE54" s="100">
        <f t="shared" si="78"/>
        <v>13749997250</v>
      </c>
      <c r="AF54" s="100">
        <f t="shared" si="78"/>
        <v>13749997250</v>
      </c>
      <c r="AG54" s="100">
        <f t="shared" si="78"/>
        <v>13749997250</v>
      </c>
      <c r="AH54" s="100">
        <f t="shared" si="78"/>
        <v>13749997250</v>
      </c>
      <c r="AI54" s="100">
        <f t="shared" si="78"/>
        <v>13749997250</v>
      </c>
      <c r="AJ54" s="100">
        <f t="shared" si="78"/>
        <v>13749997250</v>
      </c>
      <c r="AK54" s="100">
        <f t="shared" si="78"/>
        <v>13749997250</v>
      </c>
      <c r="AL54" s="100">
        <f t="shared" si="78"/>
        <v>13749997250</v>
      </c>
      <c r="AM54" s="100">
        <f t="shared" si="78"/>
        <v>13749997250</v>
      </c>
      <c r="AN54" s="100">
        <f t="shared" si="78"/>
        <v>13749997250</v>
      </c>
      <c r="AO54" s="100">
        <f t="shared" si="78"/>
        <v>13749997250</v>
      </c>
      <c r="AP54" s="100">
        <f t="shared" si="78"/>
        <v>13749997250</v>
      </c>
      <c r="AQ54" s="100">
        <f t="shared" si="78"/>
        <v>13749997250</v>
      </c>
      <c r="AR54" s="100">
        <f t="shared" si="78"/>
        <v>13749997250</v>
      </c>
      <c r="AS54" s="100">
        <f t="shared" si="78"/>
        <v>13749997250</v>
      </c>
      <c r="AT54" s="100">
        <f t="shared" si="78"/>
        <v>13749997250</v>
      </c>
      <c r="AU54" s="100">
        <f t="shared" si="78"/>
        <v>13749997250</v>
      </c>
      <c r="AV54" s="100">
        <f t="shared" si="78"/>
        <v>13749997250</v>
      </c>
      <c r="AW54" s="100">
        <f t="shared" si="78"/>
        <v>13749997250</v>
      </c>
      <c r="AX54" s="100">
        <f t="shared" si="78"/>
        <v>13749997250</v>
      </c>
      <c r="AY54" s="100">
        <f t="shared" si="78"/>
        <v>13749997250</v>
      </c>
      <c r="AZ54" s="100">
        <f t="shared" si="78"/>
        <v>13749997250</v>
      </c>
      <c r="BA54" s="101">
        <f t="shared" si="68"/>
        <v>275000.05500001099</v>
      </c>
      <c r="BB54" s="101">
        <f>IFERROR(up_RadSpec!$E$9*(BB9/$B54),".")</f>
        <v>68750.013750002749</v>
      </c>
      <c r="BC54" s="101">
        <f>IFERROR(up_RadSpec!$E$9*(BC9/$B54),".")</f>
        <v>68750.013750002749</v>
      </c>
      <c r="BD54" s="101">
        <f>IFERROR(up_RadSpec!$E$9*(BD9/$B54),".")</f>
        <v>68750.013750002749</v>
      </c>
      <c r="BE54" s="101">
        <f>IFERROR(up_RadSpec!$E$9*(BE9/$B54),".")</f>
        <v>68750.013750002749</v>
      </c>
      <c r="BF54" s="101">
        <f>IFERROR(up_RadSpec!$E$9*(BF9/$B54),".")</f>
        <v>68750.013750002749</v>
      </c>
      <c r="BG54" s="101">
        <f>IFERROR(up_RadSpec!$E$9*(BG9/$B54),".")</f>
        <v>68750.013750002749</v>
      </c>
      <c r="BH54" s="101">
        <f>IFERROR(up_RadSpec!$E$9*(BH9/$B54),".")</f>
        <v>68750.013750002749</v>
      </c>
      <c r="BI54" s="101">
        <f>IFERROR(up_RadSpec!$E$9*(BI9/$B54),".")</f>
        <v>68750.013750002749</v>
      </c>
      <c r="BJ54" s="101">
        <f>IFERROR(up_RadSpec!$E$9*(BJ9/$B54),".")</f>
        <v>68750.013750002749</v>
      </c>
      <c r="BK54" s="101">
        <f>IFERROR(up_RadSpec!$E$9*(BK9/$B54),".")</f>
        <v>68750.013750002749</v>
      </c>
      <c r="BL54" s="101">
        <f>IFERROR(up_RadSpec!$E$9*(BL9/$B54),".")</f>
        <v>68750.013750002749</v>
      </c>
      <c r="BM54" s="101">
        <f>IFERROR(up_RadSpec!$E$9*(BM9/$B54),".")</f>
        <v>68750.013750002749</v>
      </c>
      <c r="BN54" s="101">
        <f>IFERROR(up_RadSpec!$E$9*(BN9/$B54),".")</f>
        <v>68750.013750002749</v>
      </c>
      <c r="BO54" s="101">
        <f>IFERROR(up_RadSpec!$E$9*(BO9/$B54),".")</f>
        <v>68750.013750002749</v>
      </c>
      <c r="BP54" s="101">
        <f>IFERROR(up_RadSpec!$E$9*(BP9/$B54),".")</f>
        <v>68750.013750002749</v>
      </c>
      <c r="BQ54" s="101">
        <f>IFERROR(up_RadSpec!$E$9*(BQ9/$B54),".")</f>
        <v>68750.013750002749</v>
      </c>
      <c r="BR54" s="101">
        <f>IFERROR(up_RadSpec!$E$9*(BR9/$B54),".")</f>
        <v>68750.013750002749</v>
      </c>
      <c r="BS54" s="101">
        <f>IFERROR(up_RadSpec!$E$9*(BS9/$B54),".")</f>
        <v>68750.013750002749</v>
      </c>
      <c r="BT54" s="101">
        <f>IFERROR(up_RadSpec!$E$9*(BT9/$B54),".")</f>
        <v>68750.013750002749</v>
      </c>
      <c r="BU54" s="101">
        <f>IFERROR(up_RadSpec!$E$9*(BU9/$B54),".")</f>
        <v>68750.013750002749</v>
      </c>
      <c r="BV54" s="101">
        <f>IFERROR(up_RadSpec!$E$9*(BV9/$B54),".")</f>
        <v>68750.013750002749</v>
      </c>
      <c r="BW54" s="101">
        <f>IFERROR(up_RadSpec!$E$9*(BW9/$B54),".")</f>
        <v>68750.013750002749</v>
      </c>
      <c r="BX54" s="101">
        <f>IFERROR(up_RadSpec!$E$9*(BX9/$B54),".")</f>
        <v>68750.013750002749</v>
      </c>
      <c r="BY54" s="101">
        <f>IFERROR(up_RadSpec!$E$9*(BY9/$B54),".")</f>
        <v>68750.013750002749</v>
      </c>
    </row>
    <row r="55" spans="1:77" x14ac:dyDescent="0.25">
      <c r="A55" s="99" t="s">
        <v>1093</v>
      </c>
      <c r="B55" s="90">
        <v>1.9999999999999999E-7</v>
      </c>
      <c r="C55" s="100">
        <f t="shared" si="0"/>
        <v>687.5</v>
      </c>
      <c r="D55" s="100">
        <f t="shared" ref="D55:AA55" si="79">IFERROR($B55/D24,0)</f>
        <v>2750</v>
      </c>
      <c r="E55" s="100">
        <f t="shared" si="79"/>
        <v>2750</v>
      </c>
      <c r="F55" s="100">
        <f t="shared" si="79"/>
        <v>2750</v>
      </c>
      <c r="G55" s="100">
        <f t="shared" si="79"/>
        <v>2750</v>
      </c>
      <c r="H55" s="100">
        <f t="shared" si="79"/>
        <v>2750</v>
      </c>
      <c r="I55" s="100">
        <f t="shared" si="79"/>
        <v>2750</v>
      </c>
      <c r="J55" s="100">
        <f t="shared" si="79"/>
        <v>2750</v>
      </c>
      <c r="K55" s="100">
        <f t="shared" si="79"/>
        <v>2750</v>
      </c>
      <c r="L55" s="100">
        <f t="shared" si="79"/>
        <v>2750</v>
      </c>
      <c r="M55" s="100">
        <f t="shared" si="79"/>
        <v>2750</v>
      </c>
      <c r="N55" s="100">
        <f t="shared" si="79"/>
        <v>2750</v>
      </c>
      <c r="O55" s="100">
        <f t="shared" si="79"/>
        <v>2750</v>
      </c>
      <c r="P55" s="100">
        <f t="shared" si="79"/>
        <v>2750</v>
      </c>
      <c r="Q55" s="100">
        <f t="shared" si="79"/>
        <v>2750</v>
      </c>
      <c r="R55" s="100">
        <f t="shared" si="79"/>
        <v>2750</v>
      </c>
      <c r="S55" s="100">
        <f t="shared" si="79"/>
        <v>2750</v>
      </c>
      <c r="T55" s="100">
        <f t="shared" si="79"/>
        <v>2750</v>
      </c>
      <c r="U55" s="100">
        <f t="shared" si="79"/>
        <v>2750</v>
      </c>
      <c r="V55" s="100">
        <f t="shared" si="79"/>
        <v>2750</v>
      </c>
      <c r="W55" s="100">
        <f t="shared" si="79"/>
        <v>2750</v>
      </c>
      <c r="X55" s="100">
        <f t="shared" si="79"/>
        <v>2750</v>
      </c>
      <c r="Y55" s="100">
        <f t="shared" si="79"/>
        <v>2750</v>
      </c>
      <c r="Z55" s="100">
        <f t="shared" si="79"/>
        <v>2750</v>
      </c>
      <c r="AA55" s="100">
        <f t="shared" si="79"/>
        <v>2750</v>
      </c>
      <c r="AB55" s="100">
        <f t="shared" si="26"/>
        <v>687.5</v>
      </c>
      <c r="AC55" s="100">
        <f t="shared" ref="AC55:AZ55" si="80">IFERROR($B55/AC24,0)</f>
        <v>2750</v>
      </c>
      <c r="AD55" s="100">
        <f t="shared" si="80"/>
        <v>2750</v>
      </c>
      <c r="AE55" s="100">
        <f t="shared" si="80"/>
        <v>2750</v>
      </c>
      <c r="AF55" s="100">
        <f t="shared" si="80"/>
        <v>2750</v>
      </c>
      <c r="AG55" s="100">
        <f t="shared" si="80"/>
        <v>2750</v>
      </c>
      <c r="AH55" s="100">
        <f t="shared" si="80"/>
        <v>2750</v>
      </c>
      <c r="AI55" s="100">
        <f t="shared" si="80"/>
        <v>2750</v>
      </c>
      <c r="AJ55" s="100">
        <f t="shared" si="80"/>
        <v>2750</v>
      </c>
      <c r="AK55" s="100">
        <f t="shared" si="80"/>
        <v>2750</v>
      </c>
      <c r="AL55" s="100">
        <f t="shared" si="80"/>
        <v>2750</v>
      </c>
      <c r="AM55" s="100">
        <f t="shared" si="80"/>
        <v>2750</v>
      </c>
      <c r="AN55" s="100">
        <f t="shared" si="80"/>
        <v>2750</v>
      </c>
      <c r="AO55" s="100">
        <f t="shared" si="80"/>
        <v>2750</v>
      </c>
      <c r="AP55" s="100">
        <f t="shared" si="80"/>
        <v>2750</v>
      </c>
      <c r="AQ55" s="100">
        <f t="shared" si="80"/>
        <v>2750</v>
      </c>
      <c r="AR55" s="100">
        <f t="shared" si="80"/>
        <v>2750</v>
      </c>
      <c r="AS55" s="100">
        <f t="shared" si="80"/>
        <v>2750</v>
      </c>
      <c r="AT55" s="100">
        <f t="shared" si="80"/>
        <v>2750</v>
      </c>
      <c r="AU55" s="100">
        <f t="shared" si="80"/>
        <v>2750</v>
      </c>
      <c r="AV55" s="100">
        <f t="shared" si="80"/>
        <v>2750</v>
      </c>
      <c r="AW55" s="100">
        <f t="shared" si="80"/>
        <v>2750</v>
      </c>
      <c r="AX55" s="100">
        <f t="shared" si="80"/>
        <v>2750</v>
      </c>
      <c r="AY55" s="100">
        <f t="shared" si="80"/>
        <v>2750</v>
      </c>
      <c r="AZ55" s="100">
        <f t="shared" si="80"/>
        <v>2750</v>
      </c>
      <c r="BA55" s="101">
        <f t="shared" si="68"/>
        <v>1375000000000</v>
      </c>
      <c r="BB55" s="101">
        <f>IFERROR(up_RadSpec!$E$24*(BB24/$B55),".")</f>
        <v>343750000000</v>
      </c>
      <c r="BC55" s="101">
        <f>IFERROR(up_RadSpec!$E$24*(BC24/$B55),".")</f>
        <v>343750000000</v>
      </c>
      <c r="BD55" s="101">
        <f>IFERROR(up_RadSpec!$E$24*(BD24/$B55),".")</f>
        <v>343750000000</v>
      </c>
      <c r="BE55" s="101">
        <f>IFERROR(up_RadSpec!$E$24*(BE24/$B55),".")</f>
        <v>343750000000</v>
      </c>
      <c r="BF55" s="101">
        <f>IFERROR(up_RadSpec!$E$24*(BF24/$B55),".")</f>
        <v>343750000000</v>
      </c>
      <c r="BG55" s="101">
        <f>IFERROR(up_RadSpec!$E$24*(BG24/$B55),".")</f>
        <v>343750000000</v>
      </c>
      <c r="BH55" s="101">
        <f>IFERROR(up_RadSpec!$E$24*(BH24/$B55),".")</f>
        <v>343750000000</v>
      </c>
      <c r="BI55" s="101">
        <f>IFERROR(up_RadSpec!$E$24*(BI24/$B55),".")</f>
        <v>343750000000</v>
      </c>
      <c r="BJ55" s="101">
        <f>IFERROR(up_RadSpec!$E$24*(BJ24/$B55),".")</f>
        <v>343750000000</v>
      </c>
      <c r="BK55" s="101">
        <f>IFERROR(up_RadSpec!$E$24*(BK24/$B55),".")</f>
        <v>343750000000</v>
      </c>
      <c r="BL55" s="101">
        <f>IFERROR(up_RadSpec!$E$24*(BL24/$B55),".")</f>
        <v>343750000000</v>
      </c>
      <c r="BM55" s="101">
        <f>IFERROR(up_RadSpec!$E$24*(BM24/$B55),".")</f>
        <v>343750000000</v>
      </c>
      <c r="BN55" s="101">
        <f>IFERROR(up_RadSpec!$E$24*(BN24/$B55),".")</f>
        <v>343750000000</v>
      </c>
      <c r="BO55" s="101">
        <f>IFERROR(up_RadSpec!$E$24*(BO24/$B55),".")</f>
        <v>343750000000</v>
      </c>
      <c r="BP55" s="101">
        <f>IFERROR(up_RadSpec!$E$24*(BP24/$B55),".")</f>
        <v>343750000000</v>
      </c>
      <c r="BQ55" s="101">
        <f>IFERROR(up_RadSpec!$E$24*(BQ24/$B55),".")</f>
        <v>343750000000</v>
      </c>
      <c r="BR55" s="101">
        <f>IFERROR(up_RadSpec!$E$24*(BR24/$B55),".")</f>
        <v>343750000000</v>
      </c>
      <c r="BS55" s="101">
        <f>IFERROR(up_RadSpec!$E$24*(BS24/$B55),".")</f>
        <v>343750000000</v>
      </c>
      <c r="BT55" s="101">
        <f>IFERROR(up_RadSpec!$E$24*(BT24/$B55),".")</f>
        <v>343750000000</v>
      </c>
      <c r="BU55" s="101">
        <f>IFERROR(up_RadSpec!$E$24*(BU24/$B55),".")</f>
        <v>343750000000</v>
      </c>
      <c r="BV55" s="101">
        <f>IFERROR(up_RadSpec!$E$24*(BV24/$B55),".")</f>
        <v>343750000000</v>
      </c>
      <c r="BW55" s="101">
        <f>IFERROR(up_RadSpec!$E$24*(BW24/$B55),".")</f>
        <v>343750000000</v>
      </c>
      <c r="BX55" s="101">
        <f>IFERROR(up_RadSpec!$E$24*(BX24/$B55),".")</f>
        <v>343750000000</v>
      </c>
      <c r="BY55" s="101">
        <f>IFERROR(up_RadSpec!$E$24*(BY24/$B55),".")</f>
        <v>343750000000</v>
      </c>
    </row>
    <row r="56" spans="1:77" x14ac:dyDescent="0.25">
      <c r="A56" s="99" t="s">
        <v>1094</v>
      </c>
      <c r="B56" s="90">
        <v>0.99979000004200003</v>
      </c>
      <c r="C56" s="100">
        <f t="shared" si="0"/>
        <v>3436778125.1443753</v>
      </c>
      <c r="D56" s="100">
        <f t="shared" ref="D56:AA56" si="81">IFERROR($B56/D20,0)</f>
        <v>13747112500.577501</v>
      </c>
      <c r="E56" s="100">
        <f t="shared" si="81"/>
        <v>13747112500.577501</v>
      </c>
      <c r="F56" s="100">
        <f t="shared" si="81"/>
        <v>13747112500.577501</v>
      </c>
      <c r="G56" s="100">
        <f t="shared" si="81"/>
        <v>13747112500.577501</v>
      </c>
      <c r="H56" s="100">
        <f t="shared" si="81"/>
        <v>13747112500.577501</v>
      </c>
      <c r="I56" s="100">
        <f t="shared" si="81"/>
        <v>13747112500.577501</v>
      </c>
      <c r="J56" s="100">
        <f t="shared" si="81"/>
        <v>13747112500.577501</v>
      </c>
      <c r="K56" s="100">
        <f t="shared" si="81"/>
        <v>13747112500.577501</v>
      </c>
      <c r="L56" s="100">
        <f t="shared" si="81"/>
        <v>13747112500.577501</v>
      </c>
      <c r="M56" s="100">
        <f t="shared" si="81"/>
        <v>13747112500.577501</v>
      </c>
      <c r="N56" s="100">
        <f t="shared" si="81"/>
        <v>13747112500.577501</v>
      </c>
      <c r="O56" s="100">
        <f t="shared" si="81"/>
        <v>13747112500.577501</v>
      </c>
      <c r="P56" s="100">
        <f t="shared" si="81"/>
        <v>13747112500.577501</v>
      </c>
      <c r="Q56" s="100">
        <f t="shared" si="81"/>
        <v>13747112500.577501</v>
      </c>
      <c r="R56" s="100">
        <f t="shared" si="81"/>
        <v>13747112500.577501</v>
      </c>
      <c r="S56" s="100">
        <f t="shared" si="81"/>
        <v>13747112500.577501</v>
      </c>
      <c r="T56" s="100">
        <f t="shared" si="81"/>
        <v>13747112500.577501</v>
      </c>
      <c r="U56" s="100">
        <f t="shared" si="81"/>
        <v>13747112500.577501</v>
      </c>
      <c r="V56" s="100">
        <f t="shared" si="81"/>
        <v>13747112500.577501</v>
      </c>
      <c r="W56" s="100">
        <f t="shared" si="81"/>
        <v>13747112500.577501</v>
      </c>
      <c r="X56" s="100">
        <f t="shared" si="81"/>
        <v>13747112500.577501</v>
      </c>
      <c r="Y56" s="100">
        <f t="shared" si="81"/>
        <v>13747112500.577501</v>
      </c>
      <c r="Z56" s="100">
        <f t="shared" si="81"/>
        <v>13747112500.577501</v>
      </c>
      <c r="AA56" s="100">
        <f t="shared" si="81"/>
        <v>13747112500.577501</v>
      </c>
      <c r="AB56" s="100">
        <f t="shared" si="26"/>
        <v>3436778125.1443753</v>
      </c>
      <c r="AC56" s="100">
        <f t="shared" ref="AC56:AZ56" si="82">IFERROR($B56/AC20,0)</f>
        <v>13747112500.577501</v>
      </c>
      <c r="AD56" s="100">
        <f t="shared" si="82"/>
        <v>13747112500.577501</v>
      </c>
      <c r="AE56" s="100">
        <f t="shared" si="82"/>
        <v>13747112500.577501</v>
      </c>
      <c r="AF56" s="100">
        <f t="shared" si="82"/>
        <v>13747112500.577501</v>
      </c>
      <c r="AG56" s="100">
        <f t="shared" si="82"/>
        <v>13747112500.577501</v>
      </c>
      <c r="AH56" s="100">
        <f t="shared" si="82"/>
        <v>13747112500.577501</v>
      </c>
      <c r="AI56" s="100">
        <f t="shared" si="82"/>
        <v>13747112500.577501</v>
      </c>
      <c r="AJ56" s="100">
        <f t="shared" si="82"/>
        <v>13747112500.577501</v>
      </c>
      <c r="AK56" s="100">
        <f t="shared" si="82"/>
        <v>13747112500.577501</v>
      </c>
      <c r="AL56" s="100">
        <f t="shared" si="82"/>
        <v>13747112500.577501</v>
      </c>
      <c r="AM56" s="100">
        <f t="shared" si="82"/>
        <v>13747112500.577501</v>
      </c>
      <c r="AN56" s="100">
        <f t="shared" si="82"/>
        <v>13747112500.577501</v>
      </c>
      <c r="AO56" s="100">
        <f t="shared" si="82"/>
        <v>13747112500.577501</v>
      </c>
      <c r="AP56" s="100">
        <f t="shared" si="82"/>
        <v>13747112500.577501</v>
      </c>
      <c r="AQ56" s="100">
        <f t="shared" si="82"/>
        <v>13747112500.577501</v>
      </c>
      <c r="AR56" s="100">
        <f t="shared" si="82"/>
        <v>13747112500.577501</v>
      </c>
      <c r="AS56" s="100">
        <f t="shared" si="82"/>
        <v>13747112500.577501</v>
      </c>
      <c r="AT56" s="100">
        <f t="shared" si="82"/>
        <v>13747112500.577501</v>
      </c>
      <c r="AU56" s="100">
        <f t="shared" si="82"/>
        <v>13747112500.577501</v>
      </c>
      <c r="AV56" s="100">
        <f t="shared" si="82"/>
        <v>13747112500.577501</v>
      </c>
      <c r="AW56" s="100">
        <f t="shared" si="82"/>
        <v>13747112500.577501</v>
      </c>
      <c r="AX56" s="100">
        <f t="shared" si="82"/>
        <v>13747112500.577501</v>
      </c>
      <c r="AY56" s="100">
        <f t="shared" si="82"/>
        <v>13747112500.577501</v>
      </c>
      <c r="AZ56" s="100">
        <f t="shared" si="82"/>
        <v>13747112500.577501</v>
      </c>
      <c r="BA56" s="101">
        <f t="shared" si="68"/>
        <v>275057.76211849245</v>
      </c>
      <c r="BB56" s="101">
        <f>IFERROR(up_RadSpec!$E$20*(BB20/$B56),".")</f>
        <v>68764.440529623113</v>
      </c>
      <c r="BC56" s="101">
        <f>IFERROR(up_RadSpec!$E$20*(BC20/$B56),".")</f>
        <v>68764.440529623113</v>
      </c>
      <c r="BD56" s="101">
        <f>IFERROR(up_RadSpec!$E$20*(BD20/$B56),".")</f>
        <v>68764.440529623113</v>
      </c>
      <c r="BE56" s="101">
        <f>IFERROR(up_RadSpec!$E$20*(BE20/$B56),".")</f>
        <v>68764.440529623113</v>
      </c>
      <c r="BF56" s="101">
        <f>IFERROR(up_RadSpec!$E$20*(BF20/$B56),".")</f>
        <v>68764.440529623113</v>
      </c>
      <c r="BG56" s="101">
        <f>IFERROR(up_RadSpec!$E$20*(BG20/$B56),".")</f>
        <v>68764.440529623113</v>
      </c>
      <c r="BH56" s="101">
        <f>IFERROR(up_RadSpec!$E$20*(BH20/$B56),".")</f>
        <v>68764.440529623113</v>
      </c>
      <c r="BI56" s="101">
        <f>IFERROR(up_RadSpec!$E$20*(BI20/$B56),".")</f>
        <v>68764.440529623113</v>
      </c>
      <c r="BJ56" s="101">
        <f>IFERROR(up_RadSpec!$E$20*(BJ20/$B56),".")</f>
        <v>68764.440529623113</v>
      </c>
      <c r="BK56" s="101">
        <f>IFERROR(up_RadSpec!$E$20*(BK20/$B56),".")</f>
        <v>68764.440529623113</v>
      </c>
      <c r="BL56" s="101">
        <f>IFERROR(up_RadSpec!$E$20*(BL20/$B56),".")</f>
        <v>68764.440529623113</v>
      </c>
      <c r="BM56" s="101">
        <f>IFERROR(up_RadSpec!$E$20*(BM20/$B56),".")</f>
        <v>68764.440529623113</v>
      </c>
      <c r="BN56" s="101">
        <f>IFERROR(up_RadSpec!$E$20*(BN20/$B56),".")</f>
        <v>68764.440529623113</v>
      </c>
      <c r="BO56" s="101">
        <f>IFERROR(up_RadSpec!$E$20*(BO20/$B56),".")</f>
        <v>68764.440529623113</v>
      </c>
      <c r="BP56" s="101">
        <f>IFERROR(up_RadSpec!$E$20*(BP20/$B56),".")</f>
        <v>68764.440529623113</v>
      </c>
      <c r="BQ56" s="101">
        <f>IFERROR(up_RadSpec!$E$20*(BQ20/$B56),".")</f>
        <v>68764.440529623113</v>
      </c>
      <c r="BR56" s="101">
        <f>IFERROR(up_RadSpec!$E$20*(BR20/$B56),".")</f>
        <v>68764.440529623113</v>
      </c>
      <c r="BS56" s="101">
        <f>IFERROR(up_RadSpec!$E$20*(BS20/$B56),".")</f>
        <v>68764.440529623113</v>
      </c>
      <c r="BT56" s="101">
        <f>IFERROR(up_RadSpec!$E$20*(BT20/$B56),".")</f>
        <v>68764.440529623113</v>
      </c>
      <c r="BU56" s="101">
        <f>IFERROR(up_RadSpec!$E$20*(BU20/$B56),".")</f>
        <v>68764.440529623113</v>
      </c>
      <c r="BV56" s="101">
        <f>IFERROR(up_RadSpec!$E$20*(BV20/$B56),".")</f>
        <v>68764.440529623113</v>
      </c>
      <c r="BW56" s="101">
        <f>IFERROR(up_RadSpec!$E$20*(BW20/$B56),".")</f>
        <v>68764.440529623113</v>
      </c>
      <c r="BX56" s="101">
        <f>IFERROR(up_RadSpec!$E$20*(BX20/$B56),".")</f>
        <v>68764.440529623113</v>
      </c>
      <c r="BY56" s="101">
        <f>IFERROR(up_RadSpec!$E$20*(BY20/$B56),".")</f>
        <v>68764.440529623113</v>
      </c>
    </row>
    <row r="57" spans="1:77" x14ac:dyDescent="0.25">
      <c r="A57" s="99" t="s">
        <v>1095</v>
      </c>
      <c r="B57" s="90">
        <v>2.0999995799999999E-4</v>
      </c>
      <c r="C57" s="100">
        <f t="shared" si="0"/>
        <v>721874.85562499997</v>
      </c>
      <c r="D57" s="100">
        <f t="shared" ref="D57:AA57" si="83">IFERROR($B57/D29,0)</f>
        <v>2887499.4224999999</v>
      </c>
      <c r="E57" s="100">
        <f t="shared" si="83"/>
        <v>2887499.4224999999</v>
      </c>
      <c r="F57" s="100">
        <f t="shared" si="83"/>
        <v>2887499.4224999999</v>
      </c>
      <c r="G57" s="100">
        <f t="shared" si="83"/>
        <v>2887499.4224999999</v>
      </c>
      <c r="H57" s="100">
        <f t="shared" si="83"/>
        <v>2887499.4224999999</v>
      </c>
      <c r="I57" s="100">
        <f t="shared" si="83"/>
        <v>2887499.4224999999</v>
      </c>
      <c r="J57" s="100">
        <f t="shared" si="83"/>
        <v>2887499.4224999999</v>
      </c>
      <c r="K57" s="100">
        <f t="shared" si="83"/>
        <v>2887499.4224999999</v>
      </c>
      <c r="L57" s="100">
        <f t="shared" si="83"/>
        <v>2887499.4224999999</v>
      </c>
      <c r="M57" s="100">
        <f t="shared" si="83"/>
        <v>2887499.4224999999</v>
      </c>
      <c r="N57" s="100">
        <f t="shared" si="83"/>
        <v>2887499.4224999999</v>
      </c>
      <c r="O57" s="100">
        <f t="shared" si="83"/>
        <v>2887499.4224999999</v>
      </c>
      <c r="P57" s="100">
        <f t="shared" si="83"/>
        <v>2887499.4224999999</v>
      </c>
      <c r="Q57" s="100">
        <f t="shared" si="83"/>
        <v>2887499.4224999999</v>
      </c>
      <c r="R57" s="100">
        <f t="shared" si="83"/>
        <v>2887499.4224999999</v>
      </c>
      <c r="S57" s="100">
        <f t="shared" si="83"/>
        <v>2887499.4224999999</v>
      </c>
      <c r="T57" s="100">
        <f t="shared" si="83"/>
        <v>2887499.4224999999</v>
      </c>
      <c r="U57" s="100">
        <f t="shared" si="83"/>
        <v>2887499.4224999999</v>
      </c>
      <c r="V57" s="100">
        <f t="shared" si="83"/>
        <v>2887499.4224999999</v>
      </c>
      <c r="W57" s="100">
        <f t="shared" si="83"/>
        <v>2887499.4224999999</v>
      </c>
      <c r="X57" s="100">
        <f t="shared" si="83"/>
        <v>2887499.4224999999</v>
      </c>
      <c r="Y57" s="100">
        <f t="shared" si="83"/>
        <v>2887499.4224999999</v>
      </c>
      <c r="Z57" s="100">
        <f t="shared" si="83"/>
        <v>2887499.4224999999</v>
      </c>
      <c r="AA57" s="100">
        <f t="shared" si="83"/>
        <v>2887499.4224999999</v>
      </c>
      <c r="AB57" s="100">
        <f t="shared" si="26"/>
        <v>721874.85562499997</v>
      </c>
      <c r="AC57" s="100">
        <f t="shared" ref="AC57:AZ57" si="84">IFERROR($B57/AC29,0)</f>
        <v>2887499.4224999999</v>
      </c>
      <c r="AD57" s="100">
        <f t="shared" si="84"/>
        <v>2887499.4224999999</v>
      </c>
      <c r="AE57" s="100">
        <f t="shared" si="84"/>
        <v>2887499.4224999999</v>
      </c>
      <c r="AF57" s="100">
        <f t="shared" si="84"/>
        <v>2887499.4224999999</v>
      </c>
      <c r="AG57" s="100">
        <f t="shared" si="84"/>
        <v>2887499.4224999999</v>
      </c>
      <c r="AH57" s="100">
        <f t="shared" si="84"/>
        <v>2887499.4224999999</v>
      </c>
      <c r="AI57" s="100">
        <f t="shared" si="84"/>
        <v>2887499.4224999999</v>
      </c>
      <c r="AJ57" s="100">
        <f t="shared" si="84"/>
        <v>2887499.4224999999</v>
      </c>
      <c r="AK57" s="100">
        <f t="shared" si="84"/>
        <v>2887499.4224999999</v>
      </c>
      <c r="AL57" s="100">
        <f t="shared" si="84"/>
        <v>2887499.4224999999</v>
      </c>
      <c r="AM57" s="100">
        <f t="shared" si="84"/>
        <v>2887499.4224999999</v>
      </c>
      <c r="AN57" s="100">
        <f t="shared" si="84"/>
        <v>2887499.4224999999</v>
      </c>
      <c r="AO57" s="100">
        <f t="shared" si="84"/>
        <v>2887499.4224999999</v>
      </c>
      <c r="AP57" s="100">
        <f t="shared" si="84"/>
        <v>2887499.4224999999</v>
      </c>
      <c r="AQ57" s="100">
        <f t="shared" si="84"/>
        <v>2887499.4224999999</v>
      </c>
      <c r="AR57" s="100">
        <f t="shared" si="84"/>
        <v>2887499.4224999999</v>
      </c>
      <c r="AS57" s="100">
        <f t="shared" si="84"/>
        <v>2887499.4224999999</v>
      </c>
      <c r="AT57" s="100">
        <f t="shared" si="84"/>
        <v>2887499.4224999999</v>
      </c>
      <c r="AU57" s="100">
        <f t="shared" si="84"/>
        <v>2887499.4224999999</v>
      </c>
      <c r="AV57" s="100">
        <f t="shared" si="84"/>
        <v>2887499.4224999999</v>
      </c>
      <c r="AW57" s="100">
        <f t="shared" si="84"/>
        <v>2887499.4224999999</v>
      </c>
      <c r="AX57" s="100">
        <f t="shared" si="84"/>
        <v>2887499.4224999999</v>
      </c>
      <c r="AY57" s="100">
        <f t="shared" si="84"/>
        <v>2887499.4224999999</v>
      </c>
      <c r="AZ57" s="100">
        <f t="shared" si="84"/>
        <v>2887499.4224999999</v>
      </c>
      <c r="BA57" s="101">
        <f t="shared" si="68"/>
        <v>1309524071.4286239</v>
      </c>
      <c r="BB57" s="101">
        <f>IFERROR(up_RadSpec!$E$29*(BB29/$B57),".")</f>
        <v>327381017.85715598</v>
      </c>
      <c r="BC57" s="101">
        <f>IFERROR(up_RadSpec!$E$29*(BC29/$B57),".")</f>
        <v>327381017.85715598</v>
      </c>
      <c r="BD57" s="101">
        <f>IFERROR(up_RadSpec!$E$29*(BD29/$B57),".")</f>
        <v>327381017.85715598</v>
      </c>
      <c r="BE57" s="101">
        <f>IFERROR(up_RadSpec!$E$29*(BE29/$B57),".")</f>
        <v>327381017.85715598</v>
      </c>
      <c r="BF57" s="101">
        <f>IFERROR(up_RadSpec!$E$29*(BF29/$B57),".")</f>
        <v>327381017.85715598</v>
      </c>
      <c r="BG57" s="101">
        <f>IFERROR(up_RadSpec!$E$29*(BG29/$B57),".")</f>
        <v>327381017.85715598</v>
      </c>
      <c r="BH57" s="101">
        <f>IFERROR(up_RadSpec!$E$29*(BH29/$B57),".")</f>
        <v>327381017.85715598</v>
      </c>
      <c r="BI57" s="101">
        <f>IFERROR(up_RadSpec!$E$29*(BI29/$B57),".")</f>
        <v>327381017.85715598</v>
      </c>
      <c r="BJ57" s="101">
        <f>IFERROR(up_RadSpec!$E$29*(BJ29/$B57),".")</f>
        <v>327381017.85715598</v>
      </c>
      <c r="BK57" s="101">
        <f>IFERROR(up_RadSpec!$E$29*(BK29/$B57),".")</f>
        <v>327381017.85715598</v>
      </c>
      <c r="BL57" s="101">
        <f>IFERROR(up_RadSpec!$E$29*(BL29/$B57),".")</f>
        <v>327381017.85715598</v>
      </c>
      <c r="BM57" s="101">
        <f>IFERROR(up_RadSpec!$E$29*(BM29/$B57),".")</f>
        <v>327381017.85715598</v>
      </c>
      <c r="BN57" s="101">
        <f>IFERROR(up_RadSpec!$E$29*(BN29/$B57),".")</f>
        <v>327381017.85715598</v>
      </c>
      <c r="BO57" s="101">
        <f>IFERROR(up_RadSpec!$E$29*(BO29/$B57),".")</f>
        <v>327381017.85715598</v>
      </c>
      <c r="BP57" s="101">
        <f>IFERROR(up_RadSpec!$E$29*(BP29/$B57),".")</f>
        <v>327381017.85715598</v>
      </c>
      <c r="BQ57" s="101">
        <f>IFERROR(up_RadSpec!$E$29*(BQ29/$B57),".")</f>
        <v>327381017.85715598</v>
      </c>
      <c r="BR57" s="101">
        <f>IFERROR(up_RadSpec!$E$29*(BR29/$B57),".")</f>
        <v>327381017.85715598</v>
      </c>
      <c r="BS57" s="101">
        <f>IFERROR(up_RadSpec!$E$29*(BS29/$B57),".")</f>
        <v>327381017.85715598</v>
      </c>
      <c r="BT57" s="101">
        <f>IFERROR(up_RadSpec!$E$29*(BT29/$B57),".")</f>
        <v>327381017.85715598</v>
      </c>
      <c r="BU57" s="101">
        <f>IFERROR(up_RadSpec!$E$29*(BU29/$B57),".")</f>
        <v>327381017.85715598</v>
      </c>
      <c r="BV57" s="101">
        <f>IFERROR(up_RadSpec!$E$29*(BV29/$B57),".")</f>
        <v>327381017.85715598</v>
      </c>
      <c r="BW57" s="101">
        <f>IFERROR(up_RadSpec!$E$29*(BW29/$B57),".")</f>
        <v>327381017.85715598</v>
      </c>
      <c r="BX57" s="101">
        <f>IFERROR(up_RadSpec!$E$29*(BX29/$B57),".")</f>
        <v>327381017.85715598</v>
      </c>
      <c r="BY57" s="101">
        <f>IFERROR(up_RadSpec!$E$29*(BY29/$B57),".")</f>
        <v>327381017.85715598</v>
      </c>
    </row>
    <row r="58" spans="1:77" x14ac:dyDescent="0.25">
      <c r="A58" s="99" t="s">
        <v>1096</v>
      </c>
      <c r="B58" s="90">
        <v>1</v>
      </c>
      <c r="C58" s="100">
        <f t="shared" si="0"/>
        <v>3437500000</v>
      </c>
      <c r="D58" s="100">
        <f t="shared" ref="D58:AA58" si="85">IFERROR($B58/D16,0)</f>
        <v>13750000000</v>
      </c>
      <c r="E58" s="100">
        <f t="shared" si="85"/>
        <v>13750000000</v>
      </c>
      <c r="F58" s="100">
        <f t="shared" si="85"/>
        <v>13750000000</v>
      </c>
      <c r="G58" s="100">
        <f t="shared" si="85"/>
        <v>13750000000</v>
      </c>
      <c r="H58" s="100">
        <f t="shared" si="85"/>
        <v>13750000000</v>
      </c>
      <c r="I58" s="100">
        <f t="shared" si="85"/>
        <v>13750000000</v>
      </c>
      <c r="J58" s="100">
        <f t="shared" si="85"/>
        <v>13750000000</v>
      </c>
      <c r="K58" s="100">
        <f t="shared" si="85"/>
        <v>13750000000</v>
      </c>
      <c r="L58" s="100">
        <f t="shared" si="85"/>
        <v>13750000000</v>
      </c>
      <c r="M58" s="100">
        <f t="shared" si="85"/>
        <v>13750000000</v>
      </c>
      <c r="N58" s="100">
        <f t="shared" si="85"/>
        <v>13750000000</v>
      </c>
      <c r="O58" s="100">
        <f t="shared" si="85"/>
        <v>13750000000</v>
      </c>
      <c r="P58" s="100">
        <f t="shared" si="85"/>
        <v>13750000000</v>
      </c>
      <c r="Q58" s="100">
        <f t="shared" si="85"/>
        <v>13750000000</v>
      </c>
      <c r="R58" s="100">
        <f t="shared" si="85"/>
        <v>13750000000</v>
      </c>
      <c r="S58" s="100">
        <f t="shared" si="85"/>
        <v>13750000000</v>
      </c>
      <c r="T58" s="100">
        <f t="shared" si="85"/>
        <v>13750000000</v>
      </c>
      <c r="U58" s="100">
        <f t="shared" si="85"/>
        <v>13750000000</v>
      </c>
      <c r="V58" s="100">
        <f t="shared" si="85"/>
        <v>13750000000</v>
      </c>
      <c r="W58" s="100">
        <f t="shared" si="85"/>
        <v>13750000000</v>
      </c>
      <c r="X58" s="100">
        <f t="shared" si="85"/>
        <v>13750000000</v>
      </c>
      <c r="Y58" s="100">
        <f t="shared" si="85"/>
        <v>13750000000</v>
      </c>
      <c r="Z58" s="100">
        <f t="shared" si="85"/>
        <v>13750000000</v>
      </c>
      <c r="AA58" s="100">
        <f t="shared" si="85"/>
        <v>13750000000</v>
      </c>
      <c r="AB58" s="100">
        <f t="shared" si="26"/>
        <v>3437500000</v>
      </c>
      <c r="AC58" s="100">
        <f t="shared" ref="AC58:AZ58" si="86">IFERROR($B58/AC16,0)</f>
        <v>13750000000</v>
      </c>
      <c r="AD58" s="100">
        <f t="shared" si="86"/>
        <v>13750000000</v>
      </c>
      <c r="AE58" s="100">
        <f t="shared" si="86"/>
        <v>13750000000</v>
      </c>
      <c r="AF58" s="100">
        <f t="shared" si="86"/>
        <v>13750000000</v>
      </c>
      <c r="AG58" s="100">
        <f t="shared" si="86"/>
        <v>13750000000</v>
      </c>
      <c r="AH58" s="100">
        <f t="shared" si="86"/>
        <v>13750000000</v>
      </c>
      <c r="AI58" s="100">
        <f t="shared" si="86"/>
        <v>13750000000</v>
      </c>
      <c r="AJ58" s="100">
        <f t="shared" si="86"/>
        <v>13750000000</v>
      </c>
      <c r="AK58" s="100">
        <f t="shared" si="86"/>
        <v>13750000000</v>
      </c>
      <c r="AL58" s="100">
        <f t="shared" si="86"/>
        <v>13750000000</v>
      </c>
      <c r="AM58" s="100">
        <f t="shared" si="86"/>
        <v>13750000000</v>
      </c>
      <c r="AN58" s="100">
        <f t="shared" si="86"/>
        <v>13750000000</v>
      </c>
      <c r="AO58" s="100">
        <f t="shared" si="86"/>
        <v>13750000000</v>
      </c>
      <c r="AP58" s="100">
        <f t="shared" si="86"/>
        <v>13750000000</v>
      </c>
      <c r="AQ58" s="100">
        <f t="shared" si="86"/>
        <v>13750000000</v>
      </c>
      <c r="AR58" s="100">
        <f t="shared" si="86"/>
        <v>13750000000</v>
      </c>
      <c r="AS58" s="100">
        <f t="shared" si="86"/>
        <v>13750000000</v>
      </c>
      <c r="AT58" s="100">
        <f t="shared" si="86"/>
        <v>13750000000</v>
      </c>
      <c r="AU58" s="100">
        <f t="shared" si="86"/>
        <v>13750000000</v>
      </c>
      <c r="AV58" s="100">
        <f t="shared" si="86"/>
        <v>13750000000</v>
      </c>
      <c r="AW58" s="100">
        <f t="shared" si="86"/>
        <v>13750000000</v>
      </c>
      <c r="AX58" s="100">
        <f t="shared" si="86"/>
        <v>13750000000</v>
      </c>
      <c r="AY58" s="100">
        <f t="shared" si="86"/>
        <v>13750000000</v>
      </c>
      <c r="AZ58" s="100">
        <f t="shared" si="86"/>
        <v>13750000000</v>
      </c>
      <c r="BA58" s="101">
        <f t="shared" si="68"/>
        <v>275000</v>
      </c>
      <c r="BB58" s="101">
        <f>IFERROR(up_RadSpec!$E$16*(BB16/$B58),".")</f>
        <v>68750</v>
      </c>
      <c r="BC58" s="101">
        <f>IFERROR(up_RadSpec!$E$16*(BC16/$B58),".")</f>
        <v>68750</v>
      </c>
      <c r="BD58" s="101">
        <f>IFERROR(up_RadSpec!$E$16*(BD16/$B58),".")</f>
        <v>68750</v>
      </c>
      <c r="BE58" s="101">
        <f>IFERROR(up_RadSpec!$E$16*(BE16/$B58),".")</f>
        <v>68750</v>
      </c>
      <c r="BF58" s="101">
        <f>IFERROR(up_RadSpec!$E$16*(BF16/$B58),".")</f>
        <v>68750</v>
      </c>
      <c r="BG58" s="101">
        <f>IFERROR(up_RadSpec!$E$16*(BG16/$B58),".")</f>
        <v>68750</v>
      </c>
      <c r="BH58" s="101">
        <f>IFERROR(up_RadSpec!$E$16*(BH16/$B58),".")</f>
        <v>68750</v>
      </c>
      <c r="BI58" s="101">
        <f>IFERROR(up_RadSpec!$E$16*(BI16/$B58),".")</f>
        <v>68750</v>
      </c>
      <c r="BJ58" s="101">
        <f>IFERROR(up_RadSpec!$E$16*(BJ16/$B58),".")</f>
        <v>68750</v>
      </c>
      <c r="BK58" s="101">
        <f>IFERROR(up_RadSpec!$E$16*(BK16/$B58),".")</f>
        <v>68750</v>
      </c>
      <c r="BL58" s="101">
        <f>IFERROR(up_RadSpec!$E$16*(BL16/$B58),".")</f>
        <v>68750</v>
      </c>
      <c r="BM58" s="101">
        <f>IFERROR(up_RadSpec!$E$16*(BM16/$B58),".")</f>
        <v>68750</v>
      </c>
      <c r="BN58" s="101">
        <f>IFERROR(up_RadSpec!$E$16*(BN16/$B58),".")</f>
        <v>68750</v>
      </c>
      <c r="BO58" s="101">
        <f>IFERROR(up_RadSpec!$E$16*(BO16/$B58),".")</f>
        <v>68750</v>
      </c>
      <c r="BP58" s="101">
        <f>IFERROR(up_RadSpec!$E$16*(BP16/$B58),".")</f>
        <v>68750</v>
      </c>
      <c r="BQ58" s="101">
        <f>IFERROR(up_RadSpec!$E$16*(BQ16/$B58),".")</f>
        <v>68750</v>
      </c>
      <c r="BR58" s="101">
        <f>IFERROR(up_RadSpec!$E$16*(BR16/$B58),".")</f>
        <v>68750</v>
      </c>
      <c r="BS58" s="101">
        <f>IFERROR(up_RadSpec!$E$16*(BS16/$B58),".")</f>
        <v>68750</v>
      </c>
      <c r="BT58" s="101">
        <f>IFERROR(up_RadSpec!$E$16*(BT16/$B58),".")</f>
        <v>68750</v>
      </c>
      <c r="BU58" s="101">
        <f>IFERROR(up_RadSpec!$E$16*(BU16/$B58),".")</f>
        <v>68750</v>
      </c>
      <c r="BV58" s="101">
        <f>IFERROR(up_RadSpec!$E$16*(BV16/$B58),".")</f>
        <v>68750</v>
      </c>
      <c r="BW58" s="101">
        <f>IFERROR(up_RadSpec!$E$16*(BW16/$B58),".")</f>
        <v>68750</v>
      </c>
      <c r="BX58" s="101">
        <f>IFERROR(up_RadSpec!$E$16*(BX16/$B58),".")</f>
        <v>68750</v>
      </c>
      <c r="BY58" s="101">
        <f>IFERROR(up_RadSpec!$E$16*(BY16/$B58),".")</f>
        <v>68750</v>
      </c>
    </row>
    <row r="59" spans="1:77" x14ac:dyDescent="0.25">
      <c r="A59" s="99" t="s">
        <v>1097</v>
      </c>
      <c r="B59" s="90">
        <v>1</v>
      </c>
      <c r="C59" s="100">
        <f t="shared" si="0"/>
        <v>3437500000</v>
      </c>
      <c r="D59" s="100">
        <f t="shared" ref="D59:AA59" si="87">IFERROR($B59/D7,0)</f>
        <v>13750000000</v>
      </c>
      <c r="E59" s="100">
        <f t="shared" si="87"/>
        <v>13750000000</v>
      </c>
      <c r="F59" s="100">
        <f t="shared" si="87"/>
        <v>13750000000</v>
      </c>
      <c r="G59" s="100">
        <f t="shared" si="87"/>
        <v>13750000000</v>
      </c>
      <c r="H59" s="100">
        <f t="shared" si="87"/>
        <v>13750000000</v>
      </c>
      <c r="I59" s="100">
        <f t="shared" si="87"/>
        <v>13750000000</v>
      </c>
      <c r="J59" s="100">
        <f t="shared" si="87"/>
        <v>13750000000</v>
      </c>
      <c r="K59" s="100">
        <f t="shared" si="87"/>
        <v>13750000000</v>
      </c>
      <c r="L59" s="100">
        <f t="shared" si="87"/>
        <v>13750000000</v>
      </c>
      <c r="M59" s="100">
        <f t="shared" si="87"/>
        <v>13750000000</v>
      </c>
      <c r="N59" s="100">
        <f t="shared" si="87"/>
        <v>13750000000</v>
      </c>
      <c r="O59" s="100">
        <f t="shared" si="87"/>
        <v>13750000000</v>
      </c>
      <c r="P59" s="100">
        <f t="shared" si="87"/>
        <v>13750000000</v>
      </c>
      <c r="Q59" s="100">
        <f t="shared" si="87"/>
        <v>13750000000</v>
      </c>
      <c r="R59" s="100">
        <f t="shared" si="87"/>
        <v>13750000000</v>
      </c>
      <c r="S59" s="100">
        <f t="shared" si="87"/>
        <v>13750000000</v>
      </c>
      <c r="T59" s="100">
        <f t="shared" si="87"/>
        <v>13750000000</v>
      </c>
      <c r="U59" s="100">
        <f t="shared" si="87"/>
        <v>13750000000</v>
      </c>
      <c r="V59" s="100">
        <f t="shared" si="87"/>
        <v>13750000000</v>
      </c>
      <c r="W59" s="100">
        <f t="shared" si="87"/>
        <v>13750000000</v>
      </c>
      <c r="X59" s="100">
        <f t="shared" si="87"/>
        <v>13750000000</v>
      </c>
      <c r="Y59" s="100">
        <f t="shared" si="87"/>
        <v>13750000000</v>
      </c>
      <c r="Z59" s="100">
        <f t="shared" si="87"/>
        <v>13750000000</v>
      </c>
      <c r="AA59" s="100">
        <f t="shared" si="87"/>
        <v>13750000000</v>
      </c>
      <c r="AB59" s="100">
        <f t="shared" si="26"/>
        <v>3437500000</v>
      </c>
      <c r="AC59" s="100">
        <f t="shared" ref="AC59:AZ59" si="88">IFERROR($B59/AC7,0)</f>
        <v>13750000000</v>
      </c>
      <c r="AD59" s="100">
        <f t="shared" si="88"/>
        <v>13750000000</v>
      </c>
      <c r="AE59" s="100">
        <f t="shared" si="88"/>
        <v>13750000000</v>
      </c>
      <c r="AF59" s="100">
        <f t="shared" si="88"/>
        <v>13750000000</v>
      </c>
      <c r="AG59" s="100">
        <f t="shared" si="88"/>
        <v>13750000000</v>
      </c>
      <c r="AH59" s="100">
        <f t="shared" si="88"/>
        <v>13750000000</v>
      </c>
      <c r="AI59" s="100">
        <f t="shared" si="88"/>
        <v>13750000000</v>
      </c>
      <c r="AJ59" s="100">
        <f t="shared" si="88"/>
        <v>13750000000</v>
      </c>
      <c r="AK59" s="100">
        <f t="shared" si="88"/>
        <v>13750000000</v>
      </c>
      <c r="AL59" s="100">
        <f t="shared" si="88"/>
        <v>13750000000</v>
      </c>
      <c r="AM59" s="100">
        <f t="shared" si="88"/>
        <v>13750000000</v>
      </c>
      <c r="AN59" s="100">
        <f t="shared" si="88"/>
        <v>13750000000</v>
      </c>
      <c r="AO59" s="100">
        <f t="shared" si="88"/>
        <v>13750000000</v>
      </c>
      <c r="AP59" s="100">
        <f t="shared" si="88"/>
        <v>13750000000</v>
      </c>
      <c r="AQ59" s="100">
        <f t="shared" si="88"/>
        <v>13750000000</v>
      </c>
      <c r="AR59" s="100">
        <f t="shared" si="88"/>
        <v>13750000000</v>
      </c>
      <c r="AS59" s="100">
        <f t="shared" si="88"/>
        <v>13750000000</v>
      </c>
      <c r="AT59" s="100">
        <f t="shared" si="88"/>
        <v>13750000000</v>
      </c>
      <c r="AU59" s="100">
        <f t="shared" si="88"/>
        <v>13750000000</v>
      </c>
      <c r="AV59" s="100">
        <f t="shared" si="88"/>
        <v>13750000000</v>
      </c>
      <c r="AW59" s="100">
        <f t="shared" si="88"/>
        <v>13750000000</v>
      </c>
      <c r="AX59" s="100">
        <f t="shared" si="88"/>
        <v>13750000000</v>
      </c>
      <c r="AY59" s="100">
        <f t="shared" si="88"/>
        <v>13750000000</v>
      </c>
      <c r="AZ59" s="100">
        <f t="shared" si="88"/>
        <v>13750000000</v>
      </c>
      <c r="BA59" s="101">
        <f t="shared" si="68"/>
        <v>275000</v>
      </c>
      <c r="BB59" s="101">
        <f>IFERROR(up_RadSpec!$E$7*(BB7/$B59),".")</f>
        <v>68750</v>
      </c>
      <c r="BC59" s="101">
        <f>IFERROR(up_RadSpec!$E$7*(BC7/$B59),".")</f>
        <v>68750</v>
      </c>
      <c r="BD59" s="101">
        <f>IFERROR(up_RadSpec!$E$7*(BD7/$B59),".")</f>
        <v>68750</v>
      </c>
      <c r="BE59" s="101">
        <f>IFERROR(up_RadSpec!$E$7*(BE7/$B59),".")</f>
        <v>68750</v>
      </c>
      <c r="BF59" s="101">
        <f>IFERROR(up_RadSpec!$E$7*(BF7/$B59),".")</f>
        <v>68750</v>
      </c>
      <c r="BG59" s="101">
        <f>IFERROR(up_RadSpec!$E$7*(BG7/$B59),".")</f>
        <v>68750</v>
      </c>
      <c r="BH59" s="101">
        <f>IFERROR(up_RadSpec!$E$7*(BH7/$B59),".")</f>
        <v>68750</v>
      </c>
      <c r="BI59" s="101">
        <f>IFERROR(up_RadSpec!$E$7*(BI7/$B59),".")</f>
        <v>68750</v>
      </c>
      <c r="BJ59" s="101">
        <f>IFERROR(up_RadSpec!$E$7*(BJ7/$B59),".")</f>
        <v>68750</v>
      </c>
      <c r="BK59" s="101">
        <f>IFERROR(up_RadSpec!$E$7*(BK7/$B59),".")</f>
        <v>68750</v>
      </c>
      <c r="BL59" s="101">
        <f>IFERROR(up_RadSpec!$E$7*(BL7/$B59),".")</f>
        <v>68750</v>
      </c>
      <c r="BM59" s="101">
        <f>IFERROR(up_RadSpec!$E$7*(BM7/$B59),".")</f>
        <v>68750</v>
      </c>
      <c r="BN59" s="101">
        <f>IFERROR(up_RadSpec!$E$7*(BN7/$B59),".")</f>
        <v>68750</v>
      </c>
      <c r="BO59" s="101">
        <f>IFERROR(up_RadSpec!$E$7*(BO7/$B59),".")</f>
        <v>68750</v>
      </c>
      <c r="BP59" s="101">
        <f>IFERROR(up_RadSpec!$E$7*(BP7/$B59),".")</f>
        <v>68750</v>
      </c>
      <c r="BQ59" s="101">
        <f>IFERROR(up_RadSpec!$E$7*(BQ7/$B59),".")</f>
        <v>68750</v>
      </c>
      <c r="BR59" s="101">
        <f>IFERROR(up_RadSpec!$E$7*(BR7/$B59),".")</f>
        <v>68750</v>
      </c>
      <c r="BS59" s="101">
        <f>IFERROR(up_RadSpec!$E$7*(BS7/$B59),".")</f>
        <v>68750</v>
      </c>
      <c r="BT59" s="101">
        <f>IFERROR(up_RadSpec!$E$7*(BT7/$B59),".")</f>
        <v>68750</v>
      </c>
      <c r="BU59" s="101">
        <f>IFERROR(up_RadSpec!$E$7*(BU7/$B59),".")</f>
        <v>68750</v>
      </c>
      <c r="BV59" s="101">
        <f>IFERROR(up_RadSpec!$E$7*(BV7/$B59),".")</f>
        <v>68750</v>
      </c>
      <c r="BW59" s="101">
        <f>IFERROR(up_RadSpec!$E$7*(BW7/$B59),".")</f>
        <v>68750</v>
      </c>
      <c r="BX59" s="101">
        <f>IFERROR(up_RadSpec!$E$7*(BX7/$B59),".")</f>
        <v>68750</v>
      </c>
      <c r="BY59" s="101">
        <f>IFERROR(up_RadSpec!$E$7*(BY7/$B59),".")</f>
        <v>68750</v>
      </c>
    </row>
    <row r="60" spans="1:77" x14ac:dyDescent="0.25">
      <c r="A60" s="99" t="s">
        <v>1098</v>
      </c>
      <c r="B60" s="104">
        <v>1.9000000000000001E-8</v>
      </c>
      <c r="C60" s="100">
        <f t="shared" si="0"/>
        <v>65.312500000000014</v>
      </c>
      <c r="D60" s="100">
        <f t="shared" ref="D60:AA60" si="89">IFERROR($B60/D12,0)</f>
        <v>261.25000000000006</v>
      </c>
      <c r="E60" s="100">
        <f t="shared" si="89"/>
        <v>261.25000000000006</v>
      </c>
      <c r="F60" s="100">
        <f t="shared" si="89"/>
        <v>261.25000000000006</v>
      </c>
      <c r="G60" s="100">
        <f t="shared" si="89"/>
        <v>261.25000000000006</v>
      </c>
      <c r="H60" s="100">
        <f t="shared" si="89"/>
        <v>261.25000000000006</v>
      </c>
      <c r="I60" s="100">
        <f t="shared" si="89"/>
        <v>261.25000000000006</v>
      </c>
      <c r="J60" s="100">
        <f t="shared" si="89"/>
        <v>261.25000000000006</v>
      </c>
      <c r="K60" s="100">
        <f t="shared" si="89"/>
        <v>261.25000000000006</v>
      </c>
      <c r="L60" s="100">
        <f t="shared" si="89"/>
        <v>261.25000000000006</v>
      </c>
      <c r="M60" s="100">
        <f t="shared" si="89"/>
        <v>261.25000000000006</v>
      </c>
      <c r="N60" s="100">
        <f t="shared" si="89"/>
        <v>261.25000000000006</v>
      </c>
      <c r="O60" s="100">
        <f t="shared" si="89"/>
        <v>261.25000000000006</v>
      </c>
      <c r="P60" s="100">
        <f t="shared" si="89"/>
        <v>261.25000000000006</v>
      </c>
      <c r="Q60" s="100">
        <f t="shared" si="89"/>
        <v>261.25000000000006</v>
      </c>
      <c r="R60" s="100">
        <f t="shared" si="89"/>
        <v>261.25000000000006</v>
      </c>
      <c r="S60" s="100">
        <f t="shared" si="89"/>
        <v>261.25000000000006</v>
      </c>
      <c r="T60" s="100">
        <f t="shared" si="89"/>
        <v>261.25000000000006</v>
      </c>
      <c r="U60" s="100">
        <f t="shared" si="89"/>
        <v>261.25000000000006</v>
      </c>
      <c r="V60" s="100">
        <f t="shared" si="89"/>
        <v>261.25000000000006</v>
      </c>
      <c r="W60" s="100">
        <f t="shared" si="89"/>
        <v>261.25000000000006</v>
      </c>
      <c r="X60" s="100">
        <f t="shared" si="89"/>
        <v>261.25000000000006</v>
      </c>
      <c r="Y60" s="100">
        <f t="shared" si="89"/>
        <v>261.25000000000006</v>
      </c>
      <c r="Z60" s="100">
        <f t="shared" si="89"/>
        <v>261.25000000000006</v>
      </c>
      <c r="AA60" s="100">
        <f t="shared" si="89"/>
        <v>261.25000000000006</v>
      </c>
      <c r="AB60" s="100">
        <f t="shared" si="26"/>
        <v>65.312500000000014</v>
      </c>
      <c r="AC60" s="100">
        <f t="shared" ref="AC60:AZ60" si="90">IFERROR($B60/AC12,0)</f>
        <v>261.25000000000006</v>
      </c>
      <c r="AD60" s="100">
        <f t="shared" si="90"/>
        <v>261.25000000000006</v>
      </c>
      <c r="AE60" s="100">
        <f t="shared" si="90"/>
        <v>261.25000000000006</v>
      </c>
      <c r="AF60" s="100">
        <f t="shared" si="90"/>
        <v>261.25000000000006</v>
      </c>
      <c r="AG60" s="100">
        <f t="shared" si="90"/>
        <v>261.25000000000006</v>
      </c>
      <c r="AH60" s="100">
        <f t="shared" si="90"/>
        <v>261.25000000000006</v>
      </c>
      <c r="AI60" s="100">
        <f t="shared" si="90"/>
        <v>261.25000000000006</v>
      </c>
      <c r="AJ60" s="100">
        <f t="shared" si="90"/>
        <v>261.25000000000006</v>
      </c>
      <c r="AK60" s="100">
        <f t="shared" si="90"/>
        <v>261.25000000000006</v>
      </c>
      <c r="AL60" s="100">
        <f t="shared" si="90"/>
        <v>261.25000000000006</v>
      </c>
      <c r="AM60" s="100">
        <f t="shared" si="90"/>
        <v>261.25000000000006</v>
      </c>
      <c r="AN60" s="100">
        <f t="shared" si="90"/>
        <v>261.25000000000006</v>
      </c>
      <c r="AO60" s="100">
        <f t="shared" si="90"/>
        <v>261.25000000000006</v>
      </c>
      <c r="AP60" s="100">
        <f t="shared" si="90"/>
        <v>261.25000000000006</v>
      </c>
      <c r="AQ60" s="100">
        <f t="shared" si="90"/>
        <v>261.25000000000006</v>
      </c>
      <c r="AR60" s="100">
        <f t="shared" si="90"/>
        <v>261.25000000000006</v>
      </c>
      <c r="AS60" s="100">
        <f t="shared" si="90"/>
        <v>261.25000000000006</v>
      </c>
      <c r="AT60" s="100">
        <f t="shared" si="90"/>
        <v>261.25000000000006</v>
      </c>
      <c r="AU60" s="100">
        <f t="shared" si="90"/>
        <v>261.25000000000006</v>
      </c>
      <c r="AV60" s="100">
        <f t="shared" si="90"/>
        <v>261.25000000000006</v>
      </c>
      <c r="AW60" s="100">
        <f t="shared" si="90"/>
        <v>261.25000000000006</v>
      </c>
      <c r="AX60" s="100">
        <f t="shared" si="90"/>
        <v>261.25000000000006</v>
      </c>
      <c r="AY60" s="100">
        <f t="shared" si="90"/>
        <v>261.25000000000006</v>
      </c>
      <c r="AZ60" s="100">
        <f t="shared" si="90"/>
        <v>261.25000000000006</v>
      </c>
      <c r="BA60" s="101">
        <f t="shared" si="68"/>
        <v>14473684210526.316</v>
      </c>
      <c r="BB60" s="101">
        <f>IFERROR(up_RadSpec!$E$12*(BB12/$B60),".")</f>
        <v>3618421052631.5791</v>
      </c>
      <c r="BC60" s="101">
        <f>IFERROR(up_RadSpec!$E$12*(BC12/$B60),".")</f>
        <v>3618421052631.5791</v>
      </c>
      <c r="BD60" s="101">
        <f>IFERROR(up_RadSpec!$E$12*(BD12/$B60),".")</f>
        <v>3618421052631.5791</v>
      </c>
      <c r="BE60" s="101">
        <f>IFERROR(up_RadSpec!$E$12*(BE12/$B60),".")</f>
        <v>3618421052631.5791</v>
      </c>
      <c r="BF60" s="101">
        <f>IFERROR(up_RadSpec!$E$12*(BF12/$B60),".")</f>
        <v>3618421052631.5791</v>
      </c>
      <c r="BG60" s="101">
        <f>IFERROR(up_RadSpec!$E$12*(BG12/$B60),".")</f>
        <v>3618421052631.5791</v>
      </c>
      <c r="BH60" s="101">
        <f>IFERROR(up_RadSpec!$E$12*(BH12/$B60),".")</f>
        <v>3618421052631.5791</v>
      </c>
      <c r="BI60" s="101">
        <f>IFERROR(up_RadSpec!$E$12*(BI12/$B60),".")</f>
        <v>3618421052631.5791</v>
      </c>
      <c r="BJ60" s="101">
        <f>IFERROR(up_RadSpec!$E$12*(BJ12/$B60),".")</f>
        <v>3618421052631.5791</v>
      </c>
      <c r="BK60" s="101">
        <f>IFERROR(up_RadSpec!$E$12*(BK12/$B60),".")</f>
        <v>3618421052631.5791</v>
      </c>
      <c r="BL60" s="101">
        <f>IFERROR(up_RadSpec!$E$12*(BL12/$B60),".")</f>
        <v>3618421052631.5791</v>
      </c>
      <c r="BM60" s="101">
        <f>IFERROR(up_RadSpec!$E$12*(BM12/$B60),".")</f>
        <v>3618421052631.5791</v>
      </c>
      <c r="BN60" s="101">
        <f>IFERROR(up_RadSpec!$E$12*(BN12/$B60),".")</f>
        <v>3618421052631.5791</v>
      </c>
      <c r="BO60" s="101">
        <f>IFERROR(up_RadSpec!$E$12*(BO12/$B60),".")</f>
        <v>3618421052631.5791</v>
      </c>
      <c r="BP60" s="101">
        <f>IFERROR(up_RadSpec!$E$12*(BP12/$B60),".")</f>
        <v>3618421052631.5791</v>
      </c>
      <c r="BQ60" s="101">
        <f>IFERROR(up_RadSpec!$E$12*(BQ12/$B60),".")</f>
        <v>3618421052631.5791</v>
      </c>
      <c r="BR60" s="101">
        <f>IFERROR(up_RadSpec!$E$12*(BR12/$B60),".")</f>
        <v>3618421052631.5791</v>
      </c>
      <c r="BS60" s="101">
        <f>IFERROR(up_RadSpec!$E$12*(BS12/$B60),".")</f>
        <v>3618421052631.5791</v>
      </c>
      <c r="BT60" s="101">
        <f>IFERROR(up_RadSpec!$E$12*(BT12/$B60),".")</f>
        <v>3618421052631.5791</v>
      </c>
      <c r="BU60" s="101">
        <f>IFERROR(up_RadSpec!$E$12*(BU12/$B60),".")</f>
        <v>3618421052631.5791</v>
      </c>
      <c r="BV60" s="101">
        <f>IFERROR(up_RadSpec!$E$12*(BV12/$B60),".")</f>
        <v>3618421052631.5791</v>
      </c>
      <c r="BW60" s="101">
        <f>IFERROR(up_RadSpec!$E$12*(BW12/$B60),".")</f>
        <v>3618421052631.5791</v>
      </c>
      <c r="BX60" s="101">
        <f>IFERROR(up_RadSpec!$E$12*(BX12/$B60),".")</f>
        <v>3618421052631.5791</v>
      </c>
      <c r="BY60" s="101">
        <f>IFERROR(up_RadSpec!$E$12*(BY12/$B60),".")</f>
        <v>3618421052631.5791</v>
      </c>
    </row>
    <row r="61" spans="1:77" x14ac:dyDescent="0.25">
      <c r="A61" s="99" t="s">
        <v>1099</v>
      </c>
      <c r="B61" s="90">
        <v>1</v>
      </c>
      <c r="C61" s="100">
        <f t="shared" si="0"/>
        <v>3437500000</v>
      </c>
      <c r="D61" s="100">
        <f t="shared" ref="D61:AA61" si="91">IFERROR($B61/D18,0)</f>
        <v>13750000000</v>
      </c>
      <c r="E61" s="100">
        <f t="shared" si="91"/>
        <v>13750000000</v>
      </c>
      <c r="F61" s="100">
        <f t="shared" si="91"/>
        <v>13750000000</v>
      </c>
      <c r="G61" s="100">
        <f t="shared" si="91"/>
        <v>13750000000</v>
      </c>
      <c r="H61" s="100">
        <f t="shared" si="91"/>
        <v>13750000000</v>
      </c>
      <c r="I61" s="100">
        <f t="shared" si="91"/>
        <v>13750000000</v>
      </c>
      <c r="J61" s="100">
        <f t="shared" si="91"/>
        <v>13750000000</v>
      </c>
      <c r="K61" s="100">
        <f t="shared" si="91"/>
        <v>13750000000</v>
      </c>
      <c r="L61" s="100">
        <f t="shared" si="91"/>
        <v>13750000000</v>
      </c>
      <c r="M61" s="100">
        <f t="shared" si="91"/>
        <v>13750000000</v>
      </c>
      <c r="N61" s="100">
        <f t="shared" si="91"/>
        <v>13750000000</v>
      </c>
      <c r="O61" s="100">
        <f t="shared" si="91"/>
        <v>13750000000</v>
      </c>
      <c r="P61" s="100">
        <f t="shared" si="91"/>
        <v>13750000000</v>
      </c>
      <c r="Q61" s="100">
        <f t="shared" si="91"/>
        <v>13750000000</v>
      </c>
      <c r="R61" s="100">
        <f t="shared" si="91"/>
        <v>13750000000</v>
      </c>
      <c r="S61" s="100">
        <f t="shared" si="91"/>
        <v>13750000000</v>
      </c>
      <c r="T61" s="100">
        <f t="shared" si="91"/>
        <v>13750000000</v>
      </c>
      <c r="U61" s="100">
        <f t="shared" si="91"/>
        <v>13750000000</v>
      </c>
      <c r="V61" s="100">
        <f t="shared" si="91"/>
        <v>13750000000</v>
      </c>
      <c r="W61" s="100">
        <f t="shared" si="91"/>
        <v>13750000000</v>
      </c>
      <c r="X61" s="100">
        <f t="shared" si="91"/>
        <v>13750000000</v>
      </c>
      <c r="Y61" s="100">
        <f t="shared" si="91"/>
        <v>13750000000</v>
      </c>
      <c r="Z61" s="100">
        <f t="shared" si="91"/>
        <v>13750000000</v>
      </c>
      <c r="AA61" s="100">
        <f t="shared" si="91"/>
        <v>13750000000</v>
      </c>
      <c r="AB61" s="100">
        <f t="shared" si="26"/>
        <v>3437500000</v>
      </c>
      <c r="AC61" s="100">
        <f t="shared" ref="AC61:AZ61" si="92">IFERROR($B61/AC18,0)</f>
        <v>13750000000</v>
      </c>
      <c r="AD61" s="100">
        <f t="shared" si="92"/>
        <v>13750000000</v>
      </c>
      <c r="AE61" s="100">
        <f t="shared" si="92"/>
        <v>13750000000</v>
      </c>
      <c r="AF61" s="100">
        <f t="shared" si="92"/>
        <v>13750000000</v>
      </c>
      <c r="AG61" s="100">
        <f t="shared" si="92"/>
        <v>13750000000</v>
      </c>
      <c r="AH61" s="100">
        <f t="shared" si="92"/>
        <v>13750000000</v>
      </c>
      <c r="AI61" s="100">
        <f t="shared" si="92"/>
        <v>13750000000</v>
      </c>
      <c r="AJ61" s="100">
        <f t="shared" si="92"/>
        <v>13750000000</v>
      </c>
      <c r="AK61" s="100">
        <f t="shared" si="92"/>
        <v>13750000000</v>
      </c>
      <c r="AL61" s="100">
        <f t="shared" si="92"/>
        <v>13750000000</v>
      </c>
      <c r="AM61" s="100">
        <f t="shared" si="92"/>
        <v>13750000000</v>
      </c>
      <c r="AN61" s="100">
        <f t="shared" si="92"/>
        <v>13750000000</v>
      </c>
      <c r="AO61" s="100">
        <f t="shared" si="92"/>
        <v>13750000000</v>
      </c>
      <c r="AP61" s="100">
        <f t="shared" si="92"/>
        <v>13750000000</v>
      </c>
      <c r="AQ61" s="100">
        <f t="shared" si="92"/>
        <v>13750000000</v>
      </c>
      <c r="AR61" s="100">
        <f t="shared" si="92"/>
        <v>13750000000</v>
      </c>
      <c r="AS61" s="100">
        <f t="shared" si="92"/>
        <v>13750000000</v>
      </c>
      <c r="AT61" s="100">
        <f t="shared" si="92"/>
        <v>13750000000</v>
      </c>
      <c r="AU61" s="100">
        <f t="shared" si="92"/>
        <v>13750000000</v>
      </c>
      <c r="AV61" s="100">
        <f t="shared" si="92"/>
        <v>13750000000</v>
      </c>
      <c r="AW61" s="100">
        <f t="shared" si="92"/>
        <v>13750000000</v>
      </c>
      <c r="AX61" s="100">
        <f t="shared" si="92"/>
        <v>13750000000</v>
      </c>
      <c r="AY61" s="100">
        <f t="shared" si="92"/>
        <v>13750000000</v>
      </c>
      <c r="AZ61" s="100">
        <f t="shared" si="92"/>
        <v>13750000000</v>
      </c>
      <c r="BA61" s="101">
        <f t="shared" si="68"/>
        <v>275000</v>
      </c>
      <c r="BB61" s="101">
        <f>IFERROR(up_RadSpec!$E$18*(BB18/$B61),".")</f>
        <v>68750</v>
      </c>
      <c r="BC61" s="101">
        <f>IFERROR(up_RadSpec!$E$18*(BC18/$B61),".")</f>
        <v>68750</v>
      </c>
      <c r="BD61" s="101">
        <f>IFERROR(up_RadSpec!$E$18*(BD18/$B61),".")</f>
        <v>68750</v>
      </c>
      <c r="BE61" s="101">
        <f>IFERROR(up_RadSpec!$E$18*(BE18/$B61),".")</f>
        <v>68750</v>
      </c>
      <c r="BF61" s="101">
        <f>IFERROR(up_RadSpec!$E$18*(BF18/$B61),".")</f>
        <v>68750</v>
      </c>
      <c r="BG61" s="101">
        <f>IFERROR(up_RadSpec!$E$18*(BG18/$B61),".")</f>
        <v>68750</v>
      </c>
      <c r="BH61" s="101">
        <f>IFERROR(up_RadSpec!$E$18*(BH18/$B61),".")</f>
        <v>68750</v>
      </c>
      <c r="BI61" s="101">
        <f>IFERROR(up_RadSpec!$E$18*(BI18/$B61),".")</f>
        <v>68750</v>
      </c>
      <c r="BJ61" s="101">
        <f>IFERROR(up_RadSpec!$E$18*(BJ18/$B61),".")</f>
        <v>68750</v>
      </c>
      <c r="BK61" s="101">
        <f>IFERROR(up_RadSpec!$E$18*(BK18/$B61),".")</f>
        <v>68750</v>
      </c>
      <c r="BL61" s="101">
        <f>IFERROR(up_RadSpec!$E$18*(BL18/$B61),".")</f>
        <v>68750</v>
      </c>
      <c r="BM61" s="101">
        <f>IFERROR(up_RadSpec!$E$18*(BM18/$B61),".")</f>
        <v>68750</v>
      </c>
      <c r="BN61" s="101">
        <f>IFERROR(up_RadSpec!$E$18*(BN18/$B61),".")</f>
        <v>68750</v>
      </c>
      <c r="BO61" s="101">
        <f>IFERROR(up_RadSpec!$E$18*(BO18/$B61),".")</f>
        <v>68750</v>
      </c>
      <c r="BP61" s="101">
        <f>IFERROR(up_RadSpec!$E$18*(BP18/$B61),".")</f>
        <v>68750</v>
      </c>
      <c r="BQ61" s="101">
        <f>IFERROR(up_RadSpec!$E$18*(BQ18/$B61),".")</f>
        <v>68750</v>
      </c>
      <c r="BR61" s="101">
        <f>IFERROR(up_RadSpec!$E$18*(BR18/$B61),".")</f>
        <v>68750</v>
      </c>
      <c r="BS61" s="101">
        <f>IFERROR(up_RadSpec!$E$18*(BS18/$B61),".")</f>
        <v>68750</v>
      </c>
      <c r="BT61" s="101">
        <f>IFERROR(up_RadSpec!$E$18*(BT18/$B61),".")</f>
        <v>68750</v>
      </c>
      <c r="BU61" s="101">
        <f>IFERROR(up_RadSpec!$E$18*(BU18/$B61),".")</f>
        <v>68750</v>
      </c>
      <c r="BV61" s="101">
        <f>IFERROR(up_RadSpec!$E$18*(BV18/$B61),".")</f>
        <v>68750</v>
      </c>
      <c r="BW61" s="101">
        <f>IFERROR(up_RadSpec!$E$18*(BW18/$B61),".")</f>
        <v>68750</v>
      </c>
      <c r="BX61" s="101">
        <f>IFERROR(up_RadSpec!$E$18*(BX18/$B61),".")</f>
        <v>68750</v>
      </c>
      <c r="BY61" s="101">
        <f>IFERROR(up_RadSpec!$E$18*(BY18/$B61),".")</f>
        <v>68750</v>
      </c>
    </row>
    <row r="62" spans="1:77" x14ac:dyDescent="0.25">
      <c r="A62" s="99" t="s">
        <v>1100</v>
      </c>
      <c r="B62" s="90">
        <v>1.339E-6</v>
      </c>
      <c r="C62" s="100">
        <f t="shared" si="0"/>
        <v>4602.8125</v>
      </c>
      <c r="D62" s="100">
        <f t="shared" ref="D62:AA62" si="93">IFERROR($B62/D27,0)</f>
        <v>18411.25</v>
      </c>
      <c r="E62" s="100">
        <f t="shared" si="93"/>
        <v>18411.25</v>
      </c>
      <c r="F62" s="100">
        <f t="shared" si="93"/>
        <v>18411.25</v>
      </c>
      <c r="G62" s="100">
        <f t="shared" si="93"/>
        <v>18411.25</v>
      </c>
      <c r="H62" s="100">
        <f t="shared" si="93"/>
        <v>18411.25</v>
      </c>
      <c r="I62" s="100">
        <f t="shared" si="93"/>
        <v>18411.25</v>
      </c>
      <c r="J62" s="100">
        <f t="shared" si="93"/>
        <v>18411.25</v>
      </c>
      <c r="K62" s="100">
        <f t="shared" si="93"/>
        <v>18411.25</v>
      </c>
      <c r="L62" s="100">
        <f t="shared" si="93"/>
        <v>18411.25</v>
      </c>
      <c r="M62" s="100">
        <f t="shared" si="93"/>
        <v>18411.25</v>
      </c>
      <c r="N62" s="100">
        <f t="shared" si="93"/>
        <v>18411.25</v>
      </c>
      <c r="O62" s="100">
        <f t="shared" si="93"/>
        <v>18411.25</v>
      </c>
      <c r="P62" s="100">
        <f t="shared" si="93"/>
        <v>18411.25</v>
      </c>
      <c r="Q62" s="100">
        <f t="shared" si="93"/>
        <v>18411.25</v>
      </c>
      <c r="R62" s="100">
        <f t="shared" si="93"/>
        <v>18411.25</v>
      </c>
      <c r="S62" s="100">
        <f t="shared" si="93"/>
        <v>18411.25</v>
      </c>
      <c r="T62" s="100">
        <f t="shared" si="93"/>
        <v>18411.25</v>
      </c>
      <c r="U62" s="100">
        <f t="shared" si="93"/>
        <v>18411.25</v>
      </c>
      <c r="V62" s="100">
        <f t="shared" si="93"/>
        <v>18411.25</v>
      </c>
      <c r="W62" s="100">
        <f t="shared" si="93"/>
        <v>18411.25</v>
      </c>
      <c r="X62" s="100">
        <f t="shared" si="93"/>
        <v>18411.25</v>
      </c>
      <c r="Y62" s="100">
        <f t="shared" si="93"/>
        <v>18411.25</v>
      </c>
      <c r="Z62" s="100">
        <f t="shared" si="93"/>
        <v>18411.25</v>
      </c>
      <c r="AA62" s="100">
        <f t="shared" si="93"/>
        <v>18411.25</v>
      </c>
      <c r="AB62" s="100">
        <f t="shared" si="26"/>
        <v>4602.8125</v>
      </c>
      <c r="AC62" s="100">
        <f t="shared" ref="AC62:AZ62" si="94">IFERROR($B62/AC27,0)</f>
        <v>18411.25</v>
      </c>
      <c r="AD62" s="100">
        <f t="shared" si="94"/>
        <v>18411.25</v>
      </c>
      <c r="AE62" s="100">
        <f t="shared" si="94"/>
        <v>18411.25</v>
      </c>
      <c r="AF62" s="100">
        <f t="shared" si="94"/>
        <v>18411.25</v>
      </c>
      <c r="AG62" s="100">
        <f t="shared" si="94"/>
        <v>18411.25</v>
      </c>
      <c r="AH62" s="100">
        <f t="shared" si="94"/>
        <v>18411.25</v>
      </c>
      <c r="AI62" s="100">
        <f t="shared" si="94"/>
        <v>18411.25</v>
      </c>
      <c r="AJ62" s="100">
        <f t="shared" si="94"/>
        <v>18411.25</v>
      </c>
      <c r="AK62" s="100">
        <f t="shared" si="94"/>
        <v>18411.25</v>
      </c>
      <c r="AL62" s="100">
        <f t="shared" si="94"/>
        <v>18411.25</v>
      </c>
      <c r="AM62" s="100">
        <f t="shared" si="94"/>
        <v>18411.25</v>
      </c>
      <c r="AN62" s="100">
        <f t="shared" si="94"/>
        <v>18411.25</v>
      </c>
      <c r="AO62" s="100">
        <f t="shared" si="94"/>
        <v>18411.25</v>
      </c>
      <c r="AP62" s="100">
        <f t="shared" si="94"/>
        <v>18411.25</v>
      </c>
      <c r="AQ62" s="100">
        <f t="shared" si="94"/>
        <v>18411.25</v>
      </c>
      <c r="AR62" s="100">
        <f t="shared" si="94"/>
        <v>18411.25</v>
      </c>
      <c r="AS62" s="100">
        <f t="shared" si="94"/>
        <v>18411.25</v>
      </c>
      <c r="AT62" s="100">
        <f t="shared" si="94"/>
        <v>18411.25</v>
      </c>
      <c r="AU62" s="100">
        <f t="shared" si="94"/>
        <v>18411.25</v>
      </c>
      <c r="AV62" s="100">
        <f t="shared" si="94"/>
        <v>18411.25</v>
      </c>
      <c r="AW62" s="100">
        <f t="shared" si="94"/>
        <v>18411.25</v>
      </c>
      <c r="AX62" s="100">
        <f t="shared" si="94"/>
        <v>18411.25</v>
      </c>
      <c r="AY62" s="100">
        <f t="shared" si="94"/>
        <v>18411.25</v>
      </c>
      <c r="AZ62" s="100">
        <f t="shared" si="94"/>
        <v>18411.25</v>
      </c>
      <c r="BA62" s="101">
        <f t="shared" si="68"/>
        <v>205377147124.71991</v>
      </c>
      <c r="BB62" s="101">
        <f>IFERROR(up_RadSpec!$E$27*(BB27/$B62),".")</f>
        <v>51344286781.179977</v>
      </c>
      <c r="BC62" s="101">
        <f>IFERROR(up_RadSpec!$E$27*(BC27/$B62),".")</f>
        <v>51344286781.179977</v>
      </c>
      <c r="BD62" s="101">
        <f>IFERROR(up_RadSpec!$E$27*(BD27/$B62),".")</f>
        <v>51344286781.179977</v>
      </c>
      <c r="BE62" s="101">
        <f>IFERROR(up_RadSpec!$E$27*(BE27/$B62),".")</f>
        <v>51344286781.179977</v>
      </c>
      <c r="BF62" s="101">
        <f>IFERROR(up_RadSpec!$E$27*(BF27/$B62),".")</f>
        <v>51344286781.179977</v>
      </c>
      <c r="BG62" s="101">
        <f>IFERROR(up_RadSpec!$E$27*(BG27/$B62),".")</f>
        <v>51344286781.179977</v>
      </c>
      <c r="BH62" s="101">
        <f>IFERROR(up_RadSpec!$E$27*(BH27/$B62),".")</f>
        <v>51344286781.179977</v>
      </c>
      <c r="BI62" s="101">
        <f>IFERROR(up_RadSpec!$E$27*(BI27/$B62),".")</f>
        <v>51344286781.179977</v>
      </c>
      <c r="BJ62" s="101">
        <f>IFERROR(up_RadSpec!$E$27*(BJ27/$B62),".")</f>
        <v>51344286781.179977</v>
      </c>
      <c r="BK62" s="101">
        <f>IFERROR(up_RadSpec!$E$27*(BK27/$B62),".")</f>
        <v>51344286781.179977</v>
      </c>
      <c r="BL62" s="101">
        <f>IFERROR(up_RadSpec!$E$27*(BL27/$B62),".")</f>
        <v>51344286781.179977</v>
      </c>
      <c r="BM62" s="101">
        <f>IFERROR(up_RadSpec!$E$27*(BM27/$B62),".")</f>
        <v>51344286781.179977</v>
      </c>
      <c r="BN62" s="101">
        <f>IFERROR(up_RadSpec!$E$27*(BN27/$B62),".")</f>
        <v>51344286781.179977</v>
      </c>
      <c r="BO62" s="101">
        <f>IFERROR(up_RadSpec!$E$27*(BO27/$B62),".")</f>
        <v>51344286781.179977</v>
      </c>
      <c r="BP62" s="101">
        <f>IFERROR(up_RadSpec!$E$27*(BP27/$B62),".")</f>
        <v>51344286781.179977</v>
      </c>
      <c r="BQ62" s="101">
        <f>IFERROR(up_RadSpec!$E$27*(BQ27/$B62),".")</f>
        <v>51344286781.179977</v>
      </c>
      <c r="BR62" s="101">
        <f>IFERROR(up_RadSpec!$E$27*(BR27/$B62),".")</f>
        <v>51344286781.179977</v>
      </c>
      <c r="BS62" s="101">
        <f>IFERROR(up_RadSpec!$E$27*(BS27/$B62),".")</f>
        <v>51344286781.179977</v>
      </c>
      <c r="BT62" s="101">
        <f>IFERROR(up_RadSpec!$E$27*(BT27/$B62),".")</f>
        <v>51344286781.179977</v>
      </c>
      <c r="BU62" s="101">
        <f>IFERROR(up_RadSpec!$E$27*(BU27/$B62),".")</f>
        <v>51344286781.179977</v>
      </c>
      <c r="BV62" s="101">
        <f>IFERROR(up_RadSpec!$E$27*(BV27/$B62),".")</f>
        <v>51344286781.179977</v>
      </c>
      <c r="BW62" s="101">
        <f>IFERROR(up_RadSpec!$E$27*(BW27/$B62),".")</f>
        <v>51344286781.179977</v>
      </c>
      <c r="BX62" s="101">
        <f>IFERROR(up_RadSpec!$E$27*(BX27/$B62),".")</f>
        <v>51344286781.179977</v>
      </c>
      <c r="BY62" s="101">
        <f>IFERROR(up_RadSpec!$E$27*(BY27/$B62),".")</f>
        <v>51344286781.179977</v>
      </c>
    </row>
    <row r="63" spans="1:77" x14ac:dyDescent="0.25">
      <c r="A63" s="95" t="s">
        <v>35</v>
      </c>
      <c r="B63" s="95" t="s">
        <v>1074</v>
      </c>
      <c r="C63" s="96">
        <f t="shared" si="0"/>
        <v>2.2727268869318836E-12</v>
      </c>
      <c r="D63" s="96">
        <f t="shared" ref="D63:AA63" si="95">IFERROR(1/SUM(D64:D76),0)</f>
        <v>9.0909075477275344E-12</v>
      </c>
      <c r="E63" s="96">
        <f t="shared" si="95"/>
        <v>9.0909075477275344E-12</v>
      </c>
      <c r="F63" s="96">
        <f t="shared" si="95"/>
        <v>9.0909075477275344E-12</v>
      </c>
      <c r="G63" s="96">
        <f t="shared" si="95"/>
        <v>9.0909075477275344E-12</v>
      </c>
      <c r="H63" s="96">
        <f t="shared" si="95"/>
        <v>9.0909075477275344E-12</v>
      </c>
      <c r="I63" s="96">
        <f t="shared" si="95"/>
        <v>9.0909075477275344E-12</v>
      </c>
      <c r="J63" s="96">
        <f t="shared" si="95"/>
        <v>9.0909075477275344E-12</v>
      </c>
      <c r="K63" s="96">
        <f t="shared" si="95"/>
        <v>9.0909075477275344E-12</v>
      </c>
      <c r="L63" s="96">
        <f t="shared" si="95"/>
        <v>9.0909075477275344E-12</v>
      </c>
      <c r="M63" s="96">
        <f t="shared" si="95"/>
        <v>9.0909075477275344E-12</v>
      </c>
      <c r="N63" s="96">
        <f t="shared" si="95"/>
        <v>9.0909075477275344E-12</v>
      </c>
      <c r="O63" s="96">
        <f t="shared" si="95"/>
        <v>9.0909075477275344E-12</v>
      </c>
      <c r="P63" s="96">
        <f t="shared" si="95"/>
        <v>9.0909075477275344E-12</v>
      </c>
      <c r="Q63" s="96">
        <f t="shared" si="95"/>
        <v>9.0909075477275344E-12</v>
      </c>
      <c r="R63" s="96">
        <f t="shared" si="95"/>
        <v>9.0909075477275344E-12</v>
      </c>
      <c r="S63" s="96">
        <f t="shared" si="95"/>
        <v>9.0909075477275344E-12</v>
      </c>
      <c r="T63" s="96">
        <f t="shared" si="95"/>
        <v>9.0909075477275344E-12</v>
      </c>
      <c r="U63" s="96">
        <f t="shared" si="95"/>
        <v>9.0909075477275344E-12</v>
      </c>
      <c r="V63" s="96">
        <f t="shared" si="95"/>
        <v>9.0909075477275344E-12</v>
      </c>
      <c r="W63" s="96">
        <f t="shared" si="95"/>
        <v>9.0909075477275344E-12</v>
      </c>
      <c r="X63" s="96">
        <f t="shared" si="95"/>
        <v>9.0909075477275344E-12</v>
      </c>
      <c r="Y63" s="96">
        <f t="shared" si="95"/>
        <v>9.0909075477275344E-12</v>
      </c>
      <c r="Z63" s="96">
        <f t="shared" si="95"/>
        <v>9.0909075477275344E-12</v>
      </c>
      <c r="AA63" s="96">
        <f t="shared" si="95"/>
        <v>9.0909075477275344E-12</v>
      </c>
      <c r="AB63" s="96">
        <f t="shared" si="26"/>
        <v>2.2727268869318836E-12</v>
      </c>
      <c r="AC63" s="96">
        <f t="shared" ref="AC63:AZ63" si="96">IFERROR(1/SUM(AC64:AC76),0)</f>
        <v>9.0909075477275344E-12</v>
      </c>
      <c r="AD63" s="96">
        <f t="shared" si="96"/>
        <v>9.0909075477275344E-12</v>
      </c>
      <c r="AE63" s="96">
        <f t="shared" si="96"/>
        <v>9.0909075477275344E-12</v>
      </c>
      <c r="AF63" s="96">
        <f t="shared" si="96"/>
        <v>9.0909075477275344E-12</v>
      </c>
      <c r="AG63" s="96">
        <f t="shared" si="96"/>
        <v>9.0909075477275344E-12</v>
      </c>
      <c r="AH63" s="96">
        <f t="shared" si="96"/>
        <v>9.0909075477275344E-12</v>
      </c>
      <c r="AI63" s="96">
        <f t="shared" si="96"/>
        <v>9.0909075477275344E-12</v>
      </c>
      <c r="AJ63" s="96">
        <f t="shared" si="96"/>
        <v>9.0909075477275344E-12</v>
      </c>
      <c r="AK63" s="96">
        <f t="shared" si="96"/>
        <v>9.0909075477275344E-12</v>
      </c>
      <c r="AL63" s="96">
        <f t="shared" si="96"/>
        <v>9.0909075477275344E-12</v>
      </c>
      <c r="AM63" s="96">
        <f t="shared" si="96"/>
        <v>9.0909075477275344E-12</v>
      </c>
      <c r="AN63" s="96">
        <f t="shared" si="96"/>
        <v>9.0909075477275344E-12</v>
      </c>
      <c r="AO63" s="96">
        <f t="shared" si="96"/>
        <v>9.0909075477275344E-12</v>
      </c>
      <c r="AP63" s="96">
        <f t="shared" si="96"/>
        <v>9.0909075477275344E-12</v>
      </c>
      <c r="AQ63" s="96">
        <f t="shared" si="96"/>
        <v>9.0909075477275344E-12</v>
      </c>
      <c r="AR63" s="96">
        <f t="shared" si="96"/>
        <v>9.0909075477275344E-12</v>
      </c>
      <c r="AS63" s="96">
        <f t="shared" si="96"/>
        <v>9.0909075477275344E-12</v>
      </c>
      <c r="AT63" s="96">
        <f t="shared" si="96"/>
        <v>9.0909075477275344E-12</v>
      </c>
      <c r="AU63" s="96">
        <f t="shared" si="96"/>
        <v>9.0909075477275344E-12</v>
      </c>
      <c r="AV63" s="96">
        <f t="shared" si="96"/>
        <v>9.0909075477275344E-12</v>
      </c>
      <c r="AW63" s="96">
        <f t="shared" si="96"/>
        <v>9.0909075477275344E-12</v>
      </c>
      <c r="AX63" s="96">
        <f t="shared" si="96"/>
        <v>9.0909075477275344E-12</v>
      </c>
      <c r="AY63" s="96">
        <f t="shared" si="96"/>
        <v>9.0909075477275344E-12</v>
      </c>
      <c r="AZ63" s="96">
        <f t="shared" si="96"/>
        <v>9.0909075477275344E-12</v>
      </c>
      <c r="BA63" s="97">
        <f>IFERROR(IF(SUM(BB64:BC76,BX64:BY76)&gt;0.01,1-EXP(-SUM(BB64:BC76,BX64:BY76)),SUM(BB64:BC76,BX64:BY76)),".")</f>
        <v>1</v>
      </c>
      <c r="BB63" s="97">
        <f>IFERROR(IF(SUM(BB64:BB76)&gt;0.01,1-EXP(-(SUM(BB64:BB76))),SUM(BB64:BB76)),".")</f>
        <v>1</v>
      </c>
      <c r="BC63" s="97">
        <f t="shared" ref="BC63:BW63" si="97">IFERROR(IF(SUM(BC64:BC76)&gt;0.01,1-EXP(-(SUM(BC64:BC76))),SUM(BC64:BC76)),".")</f>
        <v>1</v>
      </c>
      <c r="BD63" s="97">
        <f t="shared" si="97"/>
        <v>1</v>
      </c>
      <c r="BE63" s="97">
        <f t="shared" si="97"/>
        <v>1</v>
      </c>
      <c r="BF63" s="97">
        <f t="shared" si="97"/>
        <v>1</v>
      </c>
      <c r="BG63" s="97">
        <f t="shared" si="97"/>
        <v>1</v>
      </c>
      <c r="BH63" s="97">
        <f t="shared" si="97"/>
        <v>1</v>
      </c>
      <c r="BI63" s="97">
        <f t="shared" si="97"/>
        <v>1</v>
      </c>
      <c r="BJ63" s="97">
        <f t="shared" si="97"/>
        <v>1</v>
      </c>
      <c r="BK63" s="97">
        <f t="shared" si="97"/>
        <v>1</v>
      </c>
      <c r="BL63" s="97">
        <f t="shared" si="97"/>
        <v>1</v>
      </c>
      <c r="BM63" s="97">
        <f t="shared" si="97"/>
        <v>1</v>
      </c>
      <c r="BN63" s="97">
        <f t="shared" si="97"/>
        <v>1</v>
      </c>
      <c r="BO63" s="97">
        <f t="shared" si="97"/>
        <v>1</v>
      </c>
      <c r="BP63" s="97">
        <f t="shared" si="97"/>
        <v>1</v>
      </c>
      <c r="BQ63" s="97">
        <f t="shared" si="97"/>
        <v>1</v>
      </c>
      <c r="BR63" s="97">
        <f t="shared" si="97"/>
        <v>1</v>
      </c>
      <c r="BS63" s="97">
        <f t="shared" si="97"/>
        <v>1</v>
      </c>
      <c r="BT63" s="97">
        <f t="shared" si="97"/>
        <v>1</v>
      </c>
      <c r="BU63" s="97">
        <f t="shared" si="97"/>
        <v>1</v>
      </c>
      <c r="BV63" s="97">
        <f t="shared" si="97"/>
        <v>1</v>
      </c>
      <c r="BW63" s="97">
        <f t="shared" si="97"/>
        <v>1</v>
      </c>
      <c r="BX63" s="97">
        <f>IFERROR(IF(SUM(BX64:BX76)&gt;0.01,1-EXP(-(SUM(BX64:BX76))),SUM(BX64:BX76)),".")</f>
        <v>1</v>
      </c>
      <c r="BY63" s="97">
        <f>IFERROR(IF(SUM(BY64:BY76)&gt;0.01,1-EXP(-(SUM(BY64:BY76))),SUM(BY64:BY76)),".")</f>
        <v>1</v>
      </c>
    </row>
    <row r="64" spans="1:77" x14ac:dyDescent="0.25">
      <c r="A64" s="99" t="s">
        <v>1090</v>
      </c>
      <c r="B64" s="90">
        <v>1</v>
      </c>
      <c r="C64" s="100">
        <f t="shared" si="0"/>
        <v>3437500000</v>
      </c>
      <c r="D64" s="100">
        <f t="shared" ref="D64:AA64" si="98">IFERROR($B64/D25,0)</f>
        <v>13750000000</v>
      </c>
      <c r="E64" s="100">
        <f t="shared" si="98"/>
        <v>13750000000</v>
      </c>
      <c r="F64" s="100">
        <f t="shared" si="98"/>
        <v>13750000000</v>
      </c>
      <c r="G64" s="100">
        <f t="shared" si="98"/>
        <v>13750000000</v>
      </c>
      <c r="H64" s="100">
        <f t="shared" si="98"/>
        <v>13750000000</v>
      </c>
      <c r="I64" s="100">
        <f t="shared" si="98"/>
        <v>13750000000</v>
      </c>
      <c r="J64" s="100">
        <f t="shared" si="98"/>
        <v>13750000000</v>
      </c>
      <c r="K64" s="100">
        <f t="shared" si="98"/>
        <v>13750000000</v>
      </c>
      <c r="L64" s="100">
        <f t="shared" si="98"/>
        <v>13750000000</v>
      </c>
      <c r="M64" s="100">
        <f t="shared" si="98"/>
        <v>13750000000</v>
      </c>
      <c r="N64" s="100">
        <f t="shared" si="98"/>
        <v>13750000000</v>
      </c>
      <c r="O64" s="100">
        <f t="shared" si="98"/>
        <v>13750000000</v>
      </c>
      <c r="P64" s="100">
        <f t="shared" si="98"/>
        <v>13750000000</v>
      </c>
      <c r="Q64" s="100">
        <f t="shared" si="98"/>
        <v>13750000000</v>
      </c>
      <c r="R64" s="100">
        <f t="shared" si="98"/>
        <v>13750000000</v>
      </c>
      <c r="S64" s="100">
        <f t="shared" si="98"/>
        <v>13750000000</v>
      </c>
      <c r="T64" s="100">
        <f t="shared" si="98"/>
        <v>13750000000</v>
      </c>
      <c r="U64" s="100">
        <f t="shared" si="98"/>
        <v>13750000000</v>
      </c>
      <c r="V64" s="100">
        <f t="shared" si="98"/>
        <v>13750000000</v>
      </c>
      <c r="W64" s="100">
        <f t="shared" si="98"/>
        <v>13750000000</v>
      </c>
      <c r="X64" s="100">
        <f t="shared" si="98"/>
        <v>13750000000</v>
      </c>
      <c r="Y64" s="100">
        <f t="shared" si="98"/>
        <v>13750000000</v>
      </c>
      <c r="Z64" s="100">
        <f t="shared" si="98"/>
        <v>13750000000</v>
      </c>
      <c r="AA64" s="100">
        <f t="shared" si="98"/>
        <v>13750000000</v>
      </c>
      <c r="AB64" s="100">
        <f t="shared" si="26"/>
        <v>3437500000</v>
      </c>
      <c r="AC64" s="100">
        <f t="shared" ref="AC64:AZ64" si="99">IFERROR($B64/AC25,0)</f>
        <v>13750000000</v>
      </c>
      <c r="AD64" s="100">
        <f t="shared" si="99"/>
        <v>13750000000</v>
      </c>
      <c r="AE64" s="100">
        <f t="shared" si="99"/>
        <v>13750000000</v>
      </c>
      <c r="AF64" s="100">
        <f t="shared" si="99"/>
        <v>13750000000</v>
      </c>
      <c r="AG64" s="100">
        <f t="shared" si="99"/>
        <v>13750000000</v>
      </c>
      <c r="AH64" s="100">
        <f t="shared" si="99"/>
        <v>13750000000</v>
      </c>
      <c r="AI64" s="100">
        <f t="shared" si="99"/>
        <v>13750000000</v>
      </c>
      <c r="AJ64" s="100">
        <f t="shared" si="99"/>
        <v>13750000000</v>
      </c>
      <c r="AK64" s="100">
        <f t="shared" si="99"/>
        <v>13750000000</v>
      </c>
      <c r="AL64" s="100">
        <f t="shared" si="99"/>
        <v>13750000000</v>
      </c>
      <c r="AM64" s="100">
        <f t="shared" si="99"/>
        <v>13750000000</v>
      </c>
      <c r="AN64" s="100">
        <f t="shared" si="99"/>
        <v>13750000000</v>
      </c>
      <c r="AO64" s="100">
        <f t="shared" si="99"/>
        <v>13750000000</v>
      </c>
      <c r="AP64" s="100">
        <f t="shared" si="99"/>
        <v>13750000000</v>
      </c>
      <c r="AQ64" s="100">
        <f t="shared" si="99"/>
        <v>13750000000</v>
      </c>
      <c r="AR64" s="100">
        <f t="shared" si="99"/>
        <v>13750000000</v>
      </c>
      <c r="AS64" s="100">
        <f t="shared" si="99"/>
        <v>13750000000</v>
      </c>
      <c r="AT64" s="100">
        <f t="shared" si="99"/>
        <v>13750000000</v>
      </c>
      <c r="AU64" s="100">
        <f t="shared" si="99"/>
        <v>13750000000</v>
      </c>
      <c r="AV64" s="100">
        <f t="shared" si="99"/>
        <v>13750000000</v>
      </c>
      <c r="AW64" s="100">
        <f t="shared" si="99"/>
        <v>13750000000</v>
      </c>
      <c r="AX64" s="100">
        <f t="shared" si="99"/>
        <v>13750000000</v>
      </c>
      <c r="AY64" s="100">
        <f t="shared" si="99"/>
        <v>13750000000</v>
      </c>
      <c r="AZ64" s="100">
        <f t="shared" si="99"/>
        <v>13750000000</v>
      </c>
      <c r="BA64" s="101">
        <f t="shared" ref="BA64:BA76" si="100">SUM(BB64:BC64,BX64:BY64)</f>
        <v>275000</v>
      </c>
      <c r="BB64" s="101">
        <f>IFERROR(up_RadSpec!$E$25*(BB25/$B64),".")</f>
        <v>68750</v>
      </c>
      <c r="BC64" s="101">
        <f>IFERROR(up_RadSpec!$E$25*(BC25/$B64),".")</f>
        <v>68750</v>
      </c>
      <c r="BD64" s="101">
        <f>IFERROR(up_RadSpec!$E$25*(BD25/$B64),".")</f>
        <v>68750</v>
      </c>
      <c r="BE64" s="101">
        <f>IFERROR(up_RadSpec!$E$25*(BE25/$B64),".")</f>
        <v>68750</v>
      </c>
      <c r="BF64" s="101">
        <f>IFERROR(up_RadSpec!$E$25*(BF25/$B64),".")</f>
        <v>68750</v>
      </c>
      <c r="BG64" s="101">
        <f>IFERROR(up_RadSpec!$E$25*(BG25/$B64),".")</f>
        <v>68750</v>
      </c>
      <c r="BH64" s="101">
        <f>IFERROR(up_RadSpec!$E$25*(BH25/$B64),".")</f>
        <v>68750</v>
      </c>
      <c r="BI64" s="101">
        <f>IFERROR(up_RadSpec!$E$25*(BI25/$B64),".")</f>
        <v>68750</v>
      </c>
      <c r="BJ64" s="101">
        <f>IFERROR(up_RadSpec!$E$25*(BJ25/$B64),".")</f>
        <v>68750</v>
      </c>
      <c r="BK64" s="101">
        <f>IFERROR(up_RadSpec!$E$25*(BK25/$B64),".")</f>
        <v>68750</v>
      </c>
      <c r="BL64" s="101">
        <f>IFERROR(up_RadSpec!$E$25*(BL25/$B64),".")</f>
        <v>68750</v>
      </c>
      <c r="BM64" s="101">
        <f>IFERROR(up_RadSpec!$E$25*(BM25/$B64),".")</f>
        <v>68750</v>
      </c>
      <c r="BN64" s="101">
        <f>IFERROR(up_RadSpec!$E$25*(BN25/$B64),".")</f>
        <v>68750</v>
      </c>
      <c r="BO64" s="101">
        <f>IFERROR(up_RadSpec!$E$25*(BO25/$B64),".")</f>
        <v>68750</v>
      </c>
      <c r="BP64" s="101">
        <f>IFERROR(up_RadSpec!$E$25*(BP25/$B64),".")</f>
        <v>68750</v>
      </c>
      <c r="BQ64" s="101">
        <f>IFERROR(up_RadSpec!$E$25*(BQ25/$B64),".")</f>
        <v>68750</v>
      </c>
      <c r="BR64" s="101">
        <f>IFERROR(up_RadSpec!$E$25*(BR25/$B64),".")</f>
        <v>68750</v>
      </c>
      <c r="BS64" s="101">
        <f>IFERROR(up_RadSpec!$E$25*(BS25/$B64),".")</f>
        <v>68750</v>
      </c>
      <c r="BT64" s="101">
        <f>IFERROR(up_RadSpec!$E$25*(BT25/$B64),".")</f>
        <v>68750</v>
      </c>
      <c r="BU64" s="101">
        <f>IFERROR(up_RadSpec!$E$25*(BU25/$B64),".")</f>
        <v>68750</v>
      </c>
      <c r="BV64" s="101">
        <f>IFERROR(up_RadSpec!$E$25*(BV25/$B64),".")</f>
        <v>68750</v>
      </c>
      <c r="BW64" s="101">
        <f>IFERROR(up_RadSpec!$E$25*(BW25/$B64),".")</f>
        <v>68750</v>
      </c>
      <c r="BX64" s="101">
        <f>IFERROR(up_RadSpec!$E$25*(BX25/$B64),".")</f>
        <v>68750</v>
      </c>
      <c r="BY64" s="101">
        <f>IFERROR(up_RadSpec!$E$25*(BY25/$B64),".")</f>
        <v>68750</v>
      </c>
    </row>
    <row r="65" spans="1:77" x14ac:dyDescent="0.25">
      <c r="A65" s="99" t="s">
        <v>1076</v>
      </c>
      <c r="B65" s="90">
        <v>1</v>
      </c>
      <c r="C65" s="100">
        <f t="shared" si="0"/>
        <v>3437500000</v>
      </c>
      <c r="D65" s="100">
        <f t="shared" ref="D65:AA65" si="101">IFERROR($B65/D21,0)</f>
        <v>13750000000</v>
      </c>
      <c r="E65" s="100">
        <f t="shared" si="101"/>
        <v>13750000000</v>
      </c>
      <c r="F65" s="100">
        <f t="shared" si="101"/>
        <v>13750000000</v>
      </c>
      <c r="G65" s="100">
        <f t="shared" si="101"/>
        <v>13750000000</v>
      </c>
      <c r="H65" s="100">
        <f t="shared" si="101"/>
        <v>13750000000</v>
      </c>
      <c r="I65" s="100">
        <f t="shared" si="101"/>
        <v>13750000000</v>
      </c>
      <c r="J65" s="100">
        <f t="shared" si="101"/>
        <v>13750000000</v>
      </c>
      <c r="K65" s="100">
        <f t="shared" si="101"/>
        <v>13750000000</v>
      </c>
      <c r="L65" s="100">
        <f t="shared" si="101"/>
        <v>13750000000</v>
      </c>
      <c r="M65" s="100">
        <f t="shared" si="101"/>
        <v>13750000000</v>
      </c>
      <c r="N65" s="100">
        <f t="shared" si="101"/>
        <v>13750000000</v>
      </c>
      <c r="O65" s="100">
        <f t="shared" si="101"/>
        <v>13750000000</v>
      </c>
      <c r="P65" s="100">
        <f t="shared" si="101"/>
        <v>13750000000</v>
      </c>
      <c r="Q65" s="100">
        <f t="shared" si="101"/>
        <v>13750000000</v>
      </c>
      <c r="R65" s="100">
        <f t="shared" si="101"/>
        <v>13750000000</v>
      </c>
      <c r="S65" s="100">
        <f t="shared" si="101"/>
        <v>13750000000</v>
      </c>
      <c r="T65" s="100">
        <f t="shared" si="101"/>
        <v>13750000000</v>
      </c>
      <c r="U65" s="100">
        <f t="shared" si="101"/>
        <v>13750000000</v>
      </c>
      <c r="V65" s="100">
        <f t="shared" si="101"/>
        <v>13750000000</v>
      </c>
      <c r="W65" s="100">
        <f t="shared" si="101"/>
        <v>13750000000</v>
      </c>
      <c r="X65" s="100">
        <f t="shared" si="101"/>
        <v>13750000000</v>
      </c>
      <c r="Y65" s="100">
        <f t="shared" si="101"/>
        <v>13750000000</v>
      </c>
      <c r="Z65" s="100">
        <f t="shared" si="101"/>
        <v>13750000000</v>
      </c>
      <c r="AA65" s="100">
        <f t="shared" si="101"/>
        <v>13750000000</v>
      </c>
      <c r="AB65" s="100">
        <f t="shared" si="26"/>
        <v>3437500000</v>
      </c>
      <c r="AC65" s="100">
        <f t="shared" ref="AC65:AZ65" si="102">IFERROR($B65/AC21,0)</f>
        <v>13750000000</v>
      </c>
      <c r="AD65" s="100">
        <f t="shared" si="102"/>
        <v>13750000000</v>
      </c>
      <c r="AE65" s="100">
        <f t="shared" si="102"/>
        <v>13750000000</v>
      </c>
      <c r="AF65" s="100">
        <f t="shared" si="102"/>
        <v>13750000000</v>
      </c>
      <c r="AG65" s="100">
        <f t="shared" si="102"/>
        <v>13750000000</v>
      </c>
      <c r="AH65" s="100">
        <f t="shared" si="102"/>
        <v>13750000000</v>
      </c>
      <c r="AI65" s="100">
        <f t="shared" si="102"/>
        <v>13750000000</v>
      </c>
      <c r="AJ65" s="100">
        <f t="shared" si="102"/>
        <v>13750000000</v>
      </c>
      <c r="AK65" s="100">
        <f t="shared" si="102"/>
        <v>13750000000</v>
      </c>
      <c r="AL65" s="100">
        <f t="shared" si="102"/>
        <v>13750000000</v>
      </c>
      <c r="AM65" s="100">
        <f t="shared" si="102"/>
        <v>13750000000</v>
      </c>
      <c r="AN65" s="100">
        <f t="shared" si="102"/>
        <v>13750000000</v>
      </c>
      <c r="AO65" s="100">
        <f t="shared" si="102"/>
        <v>13750000000</v>
      </c>
      <c r="AP65" s="100">
        <f t="shared" si="102"/>
        <v>13750000000</v>
      </c>
      <c r="AQ65" s="100">
        <f t="shared" si="102"/>
        <v>13750000000</v>
      </c>
      <c r="AR65" s="100">
        <f t="shared" si="102"/>
        <v>13750000000</v>
      </c>
      <c r="AS65" s="100">
        <f t="shared" si="102"/>
        <v>13750000000</v>
      </c>
      <c r="AT65" s="100">
        <f t="shared" si="102"/>
        <v>13750000000</v>
      </c>
      <c r="AU65" s="100">
        <f t="shared" si="102"/>
        <v>13750000000</v>
      </c>
      <c r="AV65" s="100">
        <f t="shared" si="102"/>
        <v>13750000000</v>
      </c>
      <c r="AW65" s="100">
        <f t="shared" si="102"/>
        <v>13750000000</v>
      </c>
      <c r="AX65" s="100">
        <f t="shared" si="102"/>
        <v>13750000000</v>
      </c>
      <c r="AY65" s="100">
        <f t="shared" si="102"/>
        <v>13750000000</v>
      </c>
      <c r="AZ65" s="100">
        <f t="shared" si="102"/>
        <v>13750000000</v>
      </c>
      <c r="BA65" s="101">
        <f t="shared" si="100"/>
        <v>275000</v>
      </c>
      <c r="BB65" s="101">
        <f>IFERROR(up_RadSpec!$E$21*(BB21/$B65),".")</f>
        <v>68750</v>
      </c>
      <c r="BC65" s="101">
        <f>IFERROR(up_RadSpec!$E$21*(BC21/$B65),".")</f>
        <v>68750</v>
      </c>
      <c r="BD65" s="101">
        <f>IFERROR(up_RadSpec!$E$21*(BD21/$B65),".")</f>
        <v>68750</v>
      </c>
      <c r="BE65" s="101">
        <f>IFERROR(up_RadSpec!$E$21*(BE21/$B65),".")</f>
        <v>68750</v>
      </c>
      <c r="BF65" s="101">
        <f>IFERROR(up_RadSpec!$E$21*(BF21/$B65),".")</f>
        <v>68750</v>
      </c>
      <c r="BG65" s="101">
        <f>IFERROR(up_RadSpec!$E$21*(BG21/$B65),".")</f>
        <v>68750</v>
      </c>
      <c r="BH65" s="101">
        <f>IFERROR(up_RadSpec!$E$21*(BH21/$B65),".")</f>
        <v>68750</v>
      </c>
      <c r="BI65" s="101">
        <f>IFERROR(up_RadSpec!$E$21*(BI21/$B65),".")</f>
        <v>68750</v>
      </c>
      <c r="BJ65" s="101">
        <f>IFERROR(up_RadSpec!$E$21*(BJ21/$B65),".")</f>
        <v>68750</v>
      </c>
      <c r="BK65" s="101">
        <f>IFERROR(up_RadSpec!$E$21*(BK21/$B65),".")</f>
        <v>68750</v>
      </c>
      <c r="BL65" s="101">
        <f>IFERROR(up_RadSpec!$E$21*(BL21/$B65),".")</f>
        <v>68750</v>
      </c>
      <c r="BM65" s="101">
        <f>IFERROR(up_RadSpec!$E$21*(BM21/$B65),".")</f>
        <v>68750</v>
      </c>
      <c r="BN65" s="101">
        <f>IFERROR(up_RadSpec!$E$21*(BN21/$B65),".")</f>
        <v>68750</v>
      </c>
      <c r="BO65" s="101">
        <f>IFERROR(up_RadSpec!$E$21*(BO21/$B65),".")</f>
        <v>68750</v>
      </c>
      <c r="BP65" s="101">
        <f>IFERROR(up_RadSpec!$E$21*(BP21/$B65),".")</f>
        <v>68750</v>
      </c>
      <c r="BQ65" s="101">
        <f>IFERROR(up_RadSpec!$E$21*(BQ21/$B65),".")</f>
        <v>68750</v>
      </c>
      <c r="BR65" s="101">
        <f>IFERROR(up_RadSpec!$E$21*(BR21/$B65),".")</f>
        <v>68750</v>
      </c>
      <c r="BS65" s="101">
        <f>IFERROR(up_RadSpec!$E$21*(BS21/$B65),".")</f>
        <v>68750</v>
      </c>
      <c r="BT65" s="101">
        <f>IFERROR(up_RadSpec!$E$21*(BT21/$B65),".")</f>
        <v>68750</v>
      </c>
      <c r="BU65" s="101">
        <f>IFERROR(up_RadSpec!$E$21*(BU21/$B65),".")</f>
        <v>68750</v>
      </c>
      <c r="BV65" s="101">
        <f>IFERROR(up_RadSpec!$E$21*(BV21/$B65),".")</f>
        <v>68750</v>
      </c>
      <c r="BW65" s="101">
        <f>IFERROR(up_RadSpec!$E$21*(BW21/$B65),".")</f>
        <v>68750</v>
      </c>
      <c r="BX65" s="101">
        <f>IFERROR(up_RadSpec!$E$21*(BX21/$B65),".")</f>
        <v>68750</v>
      </c>
      <c r="BY65" s="101">
        <f>IFERROR(up_RadSpec!$E$21*(BY21/$B65),".")</f>
        <v>68750</v>
      </c>
    </row>
    <row r="66" spans="1:77" x14ac:dyDescent="0.25">
      <c r="A66" s="99" t="s">
        <v>1077</v>
      </c>
      <c r="B66" s="103">
        <v>0.99980000000000002</v>
      </c>
      <c r="C66" s="100">
        <f t="shared" ref="C66:C76" si="103">IFERROR(1/SUM(1/D66,1/E66,1/Z66,1/AA66),".")</f>
        <v>3436812500.0000005</v>
      </c>
      <c r="D66" s="100">
        <f t="shared" ref="D66:AA66" si="104">IFERROR($B66/D17,0)</f>
        <v>13747250000.000002</v>
      </c>
      <c r="E66" s="100">
        <f t="shared" si="104"/>
        <v>13747250000.000002</v>
      </c>
      <c r="F66" s="100">
        <f t="shared" si="104"/>
        <v>13747250000.000002</v>
      </c>
      <c r="G66" s="100">
        <f t="shared" si="104"/>
        <v>13747250000.000002</v>
      </c>
      <c r="H66" s="100">
        <f t="shared" si="104"/>
        <v>13747250000.000002</v>
      </c>
      <c r="I66" s="100">
        <f t="shared" si="104"/>
        <v>13747250000.000002</v>
      </c>
      <c r="J66" s="100">
        <f t="shared" si="104"/>
        <v>13747250000.000002</v>
      </c>
      <c r="K66" s="100">
        <f t="shared" si="104"/>
        <v>13747250000.000002</v>
      </c>
      <c r="L66" s="100">
        <f t="shared" si="104"/>
        <v>13747250000.000002</v>
      </c>
      <c r="M66" s="100">
        <f t="shared" si="104"/>
        <v>13747250000.000002</v>
      </c>
      <c r="N66" s="100">
        <f t="shared" si="104"/>
        <v>13747250000.000002</v>
      </c>
      <c r="O66" s="100">
        <f t="shared" si="104"/>
        <v>13747250000.000002</v>
      </c>
      <c r="P66" s="100">
        <f t="shared" si="104"/>
        <v>13747250000.000002</v>
      </c>
      <c r="Q66" s="100">
        <f t="shared" si="104"/>
        <v>13747250000.000002</v>
      </c>
      <c r="R66" s="100">
        <f t="shared" si="104"/>
        <v>13747250000.000002</v>
      </c>
      <c r="S66" s="100">
        <f t="shared" si="104"/>
        <v>13747250000.000002</v>
      </c>
      <c r="T66" s="100">
        <f t="shared" si="104"/>
        <v>13747250000.000002</v>
      </c>
      <c r="U66" s="100">
        <f t="shared" si="104"/>
        <v>13747250000.000002</v>
      </c>
      <c r="V66" s="100">
        <f t="shared" si="104"/>
        <v>13747250000.000002</v>
      </c>
      <c r="W66" s="100">
        <f t="shared" si="104"/>
        <v>13747250000.000002</v>
      </c>
      <c r="X66" s="100">
        <f t="shared" si="104"/>
        <v>13747250000.000002</v>
      </c>
      <c r="Y66" s="100">
        <f t="shared" si="104"/>
        <v>13747250000.000002</v>
      </c>
      <c r="Z66" s="100">
        <f t="shared" si="104"/>
        <v>13747250000.000002</v>
      </c>
      <c r="AA66" s="100">
        <f t="shared" si="104"/>
        <v>13747250000.000002</v>
      </c>
      <c r="AB66" s="100">
        <f t="shared" si="26"/>
        <v>3436812500.0000005</v>
      </c>
      <c r="AC66" s="100">
        <f t="shared" ref="AC66:AZ66" si="105">IFERROR($B66/AC17,0)</f>
        <v>13747250000.000002</v>
      </c>
      <c r="AD66" s="100">
        <f t="shared" si="105"/>
        <v>13747250000.000002</v>
      </c>
      <c r="AE66" s="100">
        <f t="shared" si="105"/>
        <v>13747250000.000002</v>
      </c>
      <c r="AF66" s="100">
        <f t="shared" si="105"/>
        <v>13747250000.000002</v>
      </c>
      <c r="AG66" s="100">
        <f t="shared" si="105"/>
        <v>13747250000.000002</v>
      </c>
      <c r="AH66" s="100">
        <f t="shared" si="105"/>
        <v>13747250000.000002</v>
      </c>
      <c r="AI66" s="100">
        <f t="shared" si="105"/>
        <v>13747250000.000002</v>
      </c>
      <c r="AJ66" s="100">
        <f t="shared" si="105"/>
        <v>13747250000.000002</v>
      </c>
      <c r="AK66" s="100">
        <f t="shared" si="105"/>
        <v>13747250000.000002</v>
      </c>
      <c r="AL66" s="100">
        <f t="shared" si="105"/>
        <v>13747250000.000002</v>
      </c>
      <c r="AM66" s="100">
        <f t="shared" si="105"/>
        <v>13747250000.000002</v>
      </c>
      <c r="AN66" s="100">
        <f t="shared" si="105"/>
        <v>13747250000.000002</v>
      </c>
      <c r="AO66" s="100">
        <f t="shared" si="105"/>
        <v>13747250000.000002</v>
      </c>
      <c r="AP66" s="100">
        <f t="shared" si="105"/>
        <v>13747250000.000002</v>
      </c>
      <c r="AQ66" s="100">
        <f t="shared" si="105"/>
        <v>13747250000.000002</v>
      </c>
      <c r="AR66" s="100">
        <f t="shared" si="105"/>
        <v>13747250000.000002</v>
      </c>
      <c r="AS66" s="100">
        <f t="shared" si="105"/>
        <v>13747250000.000002</v>
      </c>
      <c r="AT66" s="100">
        <f t="shared" si="105"/>
        <v>13747250000.000002</v>
      </c>
      <c r="AU66" s="100">
        <f t="shared" si="105"/>
        <v>13747250000.000002</v>
      </c>
      <c r="AV66" s="100">
        <f t="shared" si="105"/>
        <v>13747250000.000002</v>
      </c>
      <c r="AW66" s="100">
        <f t="shared" si="105"/>
        <v>13747250000.000002</v>
      </c>
      <c r="AX66" s="100">
        <f t="shared" si="105"/>
        <v>13747250000.000002</v>
      </c>
      <c r="AY66" s="100">
        <f t="shared" si="105"/>
        <v>13747250000.000002</v>
      </c>
      <c r="AZ66" s="100">
        <f t="shared" si="105"/>
        <v>13747250000.000002</v>
      </c>
      <c r="BA66" s="101">
        <f t="shared" si="100"/>
        <v>275055.01100220042</v>
      </c>
      <c r="BB66" s="101">
        <f>IFERROR(up_RadSpec!$E$17*(BB17/$B66),".")</f>
        <v>68763.752750550106</v>
      </c>
      <c r="BC66" s="101">
        <f>IFERROR(up_RadSpec!$E$17*(BC17/$B66),".")</f>
        <v>68763.752750550106</v>
      </c>
      <c r="BD66" s="101">
        <f>IFERROR(up_RadSpec!$E$17*(BD17/$B66),".")</f>
        <v>68763.752750550106</v>
      </c>
      <c r="BE66" s="101">
        <f>IFERROR(up_RadSpec!$E$17*(BE17/$B66),".")</f>
        <v>68763.752750550106</v>
      </c>
      <c r="BF66" s="101">
        <f>IFERROR(up_RadSpec!$E$17*(BF17/$B66),".")</f>
        <v>68763.752750550106</v>
      </c>
      <c r="BG66" s="101">
        <f>IFERROR(up_RadSpec!$E$17*(BG17/$B66),".")</f>
        <v>68763.752750550106</v>
      </c>
      <c r="BH66" s="101">
        <f>IFERROR(up_RadSpec!$E$17*(BH17/$B66),".")</f>
        <v>68763.752750550106</v>
      </c>
      <c r="BI66" s="101">
        <f>IFERROR(up_RadSpec!$E$17*(BI17/$B66),".")</f>
        <v>68763.752750550106</v>
      </c>
      <c r="BJ66" s="101">
        <f>IFERROR(up_RadSpec!$E$17*(BJ17/$B66),".")</f>
        <v>68763.752750550106</v>
      </c>
      <c r="BK66" s="101">
        <f>IFERROR(up_RadSpec!$E$17*(BK17/$B66),".")</f>
        <v>68763.752750550106</v>
      </c>
      <c r="BL66" s="101">
        <f>IFERROR(up_RadSpec!$E$17*(BL17/$B66),".")</f>
        <v>68763.752750550106</v>
      </c>
      <c r="BM66" s="101">
        <f>IFERROR(up_RadSpec!$E$17*(BM17/$B66),".")</f>
        <v>68763.752750550106</v>
      </c>
      <c r="BN66" s="101">
        <f>IFERROR(up_RadSpec!$E$17*(BN17/$B66),".")</f>
        <v>68763.752750550106</v>
      </c>
      <c r="BO66" s="101">
        <f>IFERROR(up_RadSpec!$E$17*(BO17/$B66),".")</f>
        <v>68763.752750550106</v>
      </c>
      <c r="BP66" s="101">
        <f>IFERROR(up_RadSpec!$E$17*(BP17/$B66),".")</f>
        <v>68763.752750550106</v>
      </c>
      <c r="BQ66" s="101">
        <f>IFERROR(up_RadSpec!$E$17*(BQ17/$B66),".")</f>
        <v>68763.752750550106</v>
      </c>
      <c r="BR66" s="101">
        <f>IFERROR(up_RadSpec!$E$17*(BR17/$B66),".")</f>
        <v>68763.752750550106</v>
      </c>
      <c r="BS66" s="101">
        <f>IFERROR(up_RadSpec!$E$17*(BS17/$B66),".")</f>
        <v>68763.752750550106</v>
      </c>
      <c r="BT66" s="101">
        <f>IFERROR(up_RadSpec!$E$17*(BT17/$B66),".")</f>
        <v>68763.752750550106</v>
      </c>
      <c r="BU66" s="101">
        <f>IFERROR(up_RadSpec!$E$17*(BU17/$B66),".")</f>
        <v>68763.752750550106</v>
      </c>
      <c r="BV66" s="101">
        <f>IFERROR(up_RadSpec!$E$17*(BV17/$B66),".")</f>
        <v>68763.752750550106</v>
      </c>
      <c r="BW66" s="101">
        <f>IFERROR(up_RadSpec!$E$17*(BW17/$B66),".")</f>
        <v>68763.752750550106</v>
      </c>
      <c r="BX66" s="101">
        <f>IFERROR(up_RadSpec!$E$17*(BX17/$B66),".")</f>
        <v>68763.752750550106</v>
      </c>
      <c r="BY66" s="101">
        <f>IFERROR(up_RadSpec!$E$17*(BY17/$B66),".")</f>
        <v>68763.752750550106</v>
      </c>
    </row>
    <row r="67" spans="1:77" x14ac:dyDescent="0.25">
      <c r="A67" s="99" t="s">
        <v>1091</v>
      </c>
      <c r="B67" s="90">
        <v>2.0000000000000001E-4</v>
      </c>
      <c r="C67" s="100">
        <f t="shared" si="103"/>
        <v>687500.00000000012</v>
      </c>
      <c r="D67" s="100">
        <f t="shared" ref="D67:AA67" si="106">IFERROR($B67/D5,0)</f>
        <v>2750000.0000000005</v>
      </c>
      <c r="E67" s="100">
        <f t="shared" si="106"/>
        <v>2750000.0000000005</v>
      </c>
      <c r="F67" s="100">
        <f t="shared" si="106"/>
        <v>2750000.0000000005</v>
      </c>
      <c r="G67" s="100">
        <f t="shared" si="106"/>
        <v>2750000.0000000005</v>
      </c>
      <c r="H67" s="100">
        <f t="shared" si="106"/>
        <v>2750000.0000000005</v>
      </c>
      <c r="I67" s="100">
        <f t="shared" si="106"/>
        <v>2750000.0000000005</v>
      </c>
      <c r="J67" s="100">
        <f t="shared" si="106"/>
        <v>2750000.0000000005</v>
      </c>
      <c r="K67" s="100">
        <f t="shared" si="106"/>
        <v>2750000.0000000005</v>
      </c>
      <c r="L67" s="100">
        <f t="shared" si="106"/>
        <v>2750000.0000000005</v>
      </c>
      <c r="M67" s="100">
        <f t="shared" si="106"/>
        <v>2750000.0000000005</v>
      </c>
      <c r="N67" s="100">
        <f t="shared" si="106"/>
        <v>2750000.0000000005</v>
      </c>
      <c r="O67" s="100">
        <f t="shared" si="106"/>
        <v>2750000.0000000005</v>
      </c>
      <c r="P67" s="100">
        <f t="shared" si="106"/>
        <v>2750000.0000000005</v>
      </c>
      <c r="Q67" s="100">
        <f t="shared" si="106"/>
        <v>2750000.0000000005</v>
      </c>
      <c r="R67" s="100">
        <f t="shared" si="106"/>
        <v>2750000.0000000005</v>
      </c>
      <c r="S67" s="100">
        <f t="shared" si="106"/>
        <v>2750000.0000000005</v>
      </c>
      <c r="T67" s="100">
        <f t="shared" si="106"/>
        <v>2750000.0000000005</v>
      </c>
      <c r="U67" s="100">
        <f t="shared" si="106"/>
        <v>2750000.0000000005</v>
      </c>
      <c r="V67" s="100">
        <f t="shared" si="106"/>
        <v>2750000.0000000005</v>
      </c>
      <c r="W67" s="100">
        <f t="shared" si="106"/>
        <v>2750000.0000000005</v>
      </c>
      <c r="X67" s="100">
        <f t="shared" si="106"/>
        <v>2750000.0000000005</v>
      </c>
      <c r="Y67" s="100">
        <f t="shared" si="106"/>
        <v>2750000.0000000005</v>
      </c>
      <c r="Z67" s="100">
        <f t="shared" si="106"/>
        <v>2750000.0000000005</v>
      </c>
      <c r="AA67" s="100">
        <f t="shared" si="106"/>
        <v>2750000.0000000005</v>
      </c>
      <c r="AB67" s="100">
        <f t="shared" ref="AB67:AB76" si="107">IFERROR(1/SUM(1/AC67,1/AD67,1/AY67,1/AZ67),".")</f>
        <v>687500.00000000012</v>
      </c>
      <c r="AC67" s="100">
        <f t="shared" ref="AC67:AZ67" si="108">IFERROR($B67/AC5,0)</f>
        <v>2750000.0000000005</v>
      </c>
      <c r="AD67" s="100">
        <f t="shared" si="108"/>
        <v>2750000.0000000005</v>
      </c>
      <c r="AE67" s="100">
        <f t="shared" si="108"/>
        <v>2750000.0000000005</v>
      </c>
      <c r="AF67" s="100">
        <f t="shared" si="108"/>
        <v>2750000.0000000005</v>
      </c>
      <c r="AG67" s="100">
        <f t="shared" si="108"/>
        <v>2750000.0000000005</v>
      </c>
      <c r="AH67" s="100">
        <f t="shared" si="108"/>
        <v>2750000.0000000005</v>
      </c>
      <c r="AI67" s="100">
        <f t="shared" si="108"/>
        <v>2750000.0000000005</v>
      </c>
      <c r="AJ67" s="100">
        <f t="shared" si="108"/>
        <v>2750000.0000000005</v>
      </c>
      <c r="AK67" s="100">
        <f t="shared" si="108"/>
        <v>2750000.0000000005</v>
      </c>
      <c r="AL67" s="100">
        <f t="shared" si="108"/>
        <v>2750000.0000000005</v>
      </c>
      <c r="AM67" s="100">
        <f t="shared" si="108"/>
        <v>2750000.0000000005</v>
      </c>
      <c r="AN67" s="100">
        <f t="shared" si="108"/>
        <v>2750000.0000000005</v>
      </c>
      <c r="AO67" s="100">
        <f t="shared" si="108"/>
        <v>2750000.0000000005</v>
      </c>
      <c r="AP67" s="100">
        <f t="shared" si="108"/>
        <v>2750000.0000000005</v>
      </c>
      <c r="AQ67" s="100">
        <f t="shared" si="108"/>
        <v>2750000.0000000005</v>
      </c>
      <c r="AR67" s="100">
        <f t="shared" si="108"/>
        <v>2750000.0000000005</v>
      </c>
      <c r="AS67" s="100">
        <f t="shared" si="108"/>
        <v>2750000.0000000005</v>
      </c>
      <c r="AT67" s="100">
        <f t="shared" si="108"/>
        <v>2750000.0000000005</v>
      </c>
      <c r="AU67" s="100">
        <f t="shared" si="108"/>
        <v>2750000.0000000005</v>
      </c>
      <c r="AV67" s="100">
        <f t="shared" si="108"/>
        <v>2750000.0000000005</v>
      </c>
      <c r="AW67" s="100">
        <f t="shared" si="108"/>
        <v>2750000.0000000005</v>
      </c>
      <c r="AX67" s="100">
        <f t="shared" si="108"/>
        <v>2750000.0000000005</v>
      </c>
      <c r="AY67" s="100">
        <f t="shared" si="108"/>
        <v>2750000.0000000005</v>
      </c>
      <c r="AZ67" s="100">
        <f t="shared" si="108"/>
        <v>2750000.0000000005</v>
      </c>
      <c r="BA67" s="101">
        <f t="shared" si="100"/>
        <v>1375000000</v>
      </c>
      <c r="BB67" s="101">
        <f>IFERROR(up_RadSpec!$E$5*(BB5/$B67),".")</f>
        <v>343750000</v>
      </c>
      <c r="BC67" s="101">
        <f>IFERROR(up_RadSpec!$E$5*(BC5/$B67),".")</f>
        <v>343750000</v>
      </c>
      <c r="BD67" s="101">
        <f>IFERROR(up_RadSpec!$E$5*(BD5/$B67),".")</f>
        <v>343750000</v>
      </c>
      <c r="BE67" s="101">
        <f>IFERROR(up_RadSpec!$E$5*(BE5/$B67),".")</f>
        <v>343750000</v>
      </c>
      <c r="BF67" s="101">
        <f>IFERROR(up_RadSpec!$E$5*(BF5/$B67),".")</f>
        <v>343750000</v>
      </c>
      <c r="BG67" s="101">
        <f>IFERROR(up_RadSpec!$E$5*(BG5/$B67),".")</f>
        <v>343750000</v>
      </c>
      <c r="BH67" s="101">
        <f>IFERROR(up_RadSpec!$E$5*(BH5/$B67),".")</f>
        <v>343750000</v>
      </c>
      <c r="BI67" s="101">
        <f>IFERROR(up_RadSpec!$E$5*(BI5/$B67),".")</f>
        <v>343750000</v>
      </c>
      <c r="BJ67" s="101">
        <f>IFERROR(up_RadSpec!$E$5*(BJ5/$B67),".")</f>
        <v>343750000</v>
      </c>
      <c r="BK67" s="101">
        <f>IFERROR(up_RadSpec!$E$5*(BK5/$B67),".")</f>
        <v>343750000</v>
      </c>
      <c r="BL67" s="101">
        <f>IFERROR(up_RadSpec!$E$5*(BL5/$B67),".")</f>
        <v>343750000</v>
      </c>
      <c r="BM67" s="101">
        <f>IFERROR(up_RadSpec!$E$5*(BM5/$B67),".")</f>
        <v>343750000</v>
      </c>
      <c r="BN67" s="101">
        <f>IFERROR(up_RadSpec!$E$5*(BN5/$B67),".")</f>
        <v>343750000</v>
      </c>
      <c r="BO67" s="101">
        <f>IFERROR(up_RadSpec!$E$5*(BO5/$B67),".")</f>
        <v>343750000</v>
      </c>
      <c r="BP67" s="101">
        <f>IFERROR(up_RadSpec!$E$5*(BP5/$B67),".")</f>
        <v>343750000</v>
      </c>
      <c r="BQ67" s="101">
        <f>IFERROR(up_RadSpec!$E$5*(BQ5/$B67),".")</f>
        <v>343750000</v>
      </c>
      <c r="BR67" s="101">
        <f>IFERROR(up_RadSpec!$E$5*(BR5/$B67),".")</f>
        <v>343750000</v>
      </c>
      <c r="BS67" s="101">
        <f>IFERROR(up_RadSpec!$E$5*(BS5/$B67),".")</f>
        <v>343750000</v>
      </c>
      <c r="BT67" s="101">
        <f>IFERROR(up_RadSpec!$E$5*(BT5/$B67),".")</f>
        <v>343750000</v>
      </c>
      <c r="BU67" s="101">
        <f>IFERROR(up_RadSpec!$E$5*(BU5/$B67),".")</f>
        <v>343750000</v>
      </c>
      <c r="BV67" s="101">
        <f>IFERROR(up_RadSpec!$E$5*(BV5/$B67),".")</f>
        <v>343750000</v>
      </c>
      <c r="BW67" s="101">
        <f>IFERROR(up_RadSpec!$E$5*(BW5/$B67),".")</f>
        <v>343750000</v>
      </c>
      <c r="BX67" s="101">
        <f>IFERROR(up_RadSpec!$E$5*(BX5/$B67),".")</f>
        <v>343750000</v>
      </c>
      <c r="BY67" s="101">
        <f>IFERROR(up_RadSpec!$E$5*(BY5/$B67),".")</f>
        <v>343750000</v>
      </c>
    </row>
    <row r="68" spans="1:77" x14ac:dyDescent="0.25">
      <c r="A68" s="99" t="s">
        <v>1092</v>
      </c>
      <c r="B68" s="90">
        <v>0.99999979999999999</v>
      </c>
      <c r="C68" s="100">
        <f t="shared" si="103"/>
        <v>3437499312.5</v>
      </c>
      <c r="D68" s="100">
        <f t="shared" ref="D68:AA68" si="109">IFERROR($B68/D9,0)</f>
        <v>13749997250</v>
      </c>
      <c r="E68" s="100">
        <f t="shared" si="109"/>
        <v>13749997250</v>
      </c>
      <c r="F68" s="100">
        <f t="shared" si="109"/>
        <v>13749997250</v>
      </c>
      <c r="G68" s="100">
        <f t="shared" si="109"/>
        <v>13749997250</v>
      </c>
      <c r="H68" s="100">
        <f t="shared" si="109"/>
        <v>13749997250</v>
      </c>
      <c r="I68" s="100">
        <f t="shared" si="109"/>
        <v>13749997250</v>
      </c>
      <c r="J68" s="100">
        <f t="shared" si="109"/>
        <v>13749997250</v>
      </c>
      <c r="K68" s="100">
        <f t="shared" si="109"/>
        <v>13749997250</v>
      </c>
      <c r="L68" s="100">
        <f t="shared" si="109"/>
        <v>13749997250</v>
      </c>
      <c r="M68" s="100">
        <f t="shared" si="109"/>
        <v>13749997250</v>
      </c>
      <c r="N68" s="100">
        <f t="shared" si="109"/>
        <v>13749997250</v>
      </c>
      <c r="O68" s="100">
        <f t="shared" si="109"/>
        <v>13749997250</v>
      </c>
      <c r="P68" s="100">
        <f t="shared" si="109"/>
        <v>13749997250</v>
      </c>
      <c r="Q68" s="100">
        <f t="shared" si="109"/>
        <v>13749997250</v>
      </c>
      <c r="R68" s="100">
        <f t="shared" si="109"/>
        <v>13749997250</v>
      </c>
      <c r="S68" s="100">
        <f t="shared" si="109"/>
        <v>13749997250</v>
      </c>
      <c r="T68" s="100">
        <f t="shared" si="109"/>
        <v>13749997250</v>
      </c>
      <c r="U68" s="100">
        <f t="shared" si="109"/>
        <v>13749997250</v>
      </c>
      <c r="V68" s="100">
        <f t="shared" si="109"/>
        <v>13749997250</v>
      </c>
      <c r="W68" s="100">
        <f t="shared" si="109"/>
        <v>13749997250</v>
      </c>
      <c r="X68" s="100">
        <f t="shared" si="109"/>
        <v>13749997250</v>
      </c>
      <c r="Y68" s="100">
        <f t="shared" si="109"/>
        <v>13749997250</v>
      </c>
      <c r="Z68" s="100">
        <f t="shared" si="109"/>
        <v>13749997250</v>
      </c>
      <c r="AA68" s="100">
        <f t="shared" si="109"/>
        <v>13749997250</v>
      </c>
      <c r="AB68" s="100">
        <f t="shared" si="107"/>
        <v>3437499312.5</v>
      </c>
      <c r="AC68" s="100">
        <f t="shared" ref="AC68:AZ68" si="110">IFERROR($B68/AC9,0)</f>
        <v>13749997250</v>
      </c>
      <c r="AD68" s="100">
        <f t="shared" si="110"/>
        <v>13749997250</v>
      </c>
      <c r="AE68" s="100">
        <f t="shared" si="110"/>
        <v>13749997250</v>
      </c>
      <c r="AF68" s="100">
        <f t="shared" si="110"/>
        <v>13749997250</v>
      </c>
      <c r="AG68" s="100">
        <f t="shared" si="110"/>
        <v>13749997250</v>
      </c>
      <c r="AH68" s="100">
        <f t="shared" si="110"/>
        <v>13749997250</v>
      </c>
      <c r="AI68" s="100">
        <f t="shared" si="110"/>
        <v>13749997250</v>
      </c>
      <c r="AJ68" s="100">
        <f t="shared" si="110"/>
        <v>13749997250</v>
      </c>
      <c r="AK68" s="100">
        <f t="shared" si="110"/>
        <v>13749997250</v>
      </c>
      <c r="AL68" s="100">
        <f t="shared" si="110"/>
        <v>13749997250</v>
      </c>
      <c r="AM68" s="100">
        <f t="shared" si="110"/>
        <v>13749997250</v>
      </c>
      <c r="AN68" s="100">
        <f t="shared" si="110"/>
        <v>13749997250</v>
      </c>
      <c r="AO68" s="100">
        <f t="shared" si="110"/>
        <v>13749997250</v>
      </c>
      <c r="AP68" s="100">
        <f t="shared" si="110"/>
        <v>13749997250</v>
      </c>
      <c r="AQ68" s="100">
        <f t="shared" si="110"/>
        <v>13749997250</v>
      </c>
      <c r="AR68" s="100">
        <f t="shared" si="110"/>
        <v>13749997250</v>
      </c>
      <c r="AS68" s="100">
        <f t="shared" si="110"/>
        <v>13749997250</v>
      </c>
      <c r="AT68" s="100">
        <f t="shared" si="110"/>
        <v>13749997250</v>
      </c>
      <c r="AU68" s="100">
        <f t="shared" si="110"/>
        <v>13749997250</v>
      </c>
      <c r="AV68" s="100">
        <f t="shared" si="110"/>
        <v>13749997250</v>
      </c>
      <c r="AW68" s="100">
        <f t="shared" si="110"/>
        <v>13749997250</v>
      </c>
      <c r="AX68" s="100">
        <f t="shared" si="110"/>
        <v>13749997250</v>
      </c>
      <c r="AY68" s="100">
        <f t="shared" si="110"/>
        <v>13749997250</v>
      </c>
      <c r="AZ68" s="100">
        <f t="shared" si="110"/>
        <v>13749997250</v>
      </c>
      <c r="BA68" s="101">
        <f t="shared" si="100"/>
        <v>275000.05500001099</v>
      </c>
      <c r="BB68" s="101">
        <f>IFERROR(up_RadSpec!$E$9*(BB9/$B68),".")</f>
        <v>68750.013750002749</v>
      </c>
      <c r="BC68" s="101">
        <f>IFERROR(up_RadSpec!$E$9*(BC9/$B68),".")</f>
        <v>68750.013750002749</v>
      </c>
      <c r="BD68" s="101">
        <f>IFERROR(up_RadSpec!$E$9*(BD9/$B68),".")</f>
        <v>68750.013750002749</v>
      </c>
      <c r="BE68" s="101">
        <f>IFERROR(up_RadSpec!$E$9*(BE9/$B68),".")</f>
        <v>68750.013750002749</v>
      </c>
      <c r="BF68" s="101">
        <f>IFERROR(up_RadSpec!$E$9*(BF9/$B68),".")</f>
        <v>68750.013750002749</v>
      </c>
      <c r="BG68" s="101">
        <f>IFERROR(up_RadSpec!$E$9*(BG9/$B68),".")</f>
        <v>68750.013750002749</v>
      </c>
      <c r="BH68" s="101">
        <f>IFERROR(up_RadSpec!$E$9*(BH9/$B68),".")</f>
        <v>68750.013750002749</v>
      </c>
      <c r="BI68" s="101">
        <f>IFERROR(up_RadSpec!$E$9*(BI9/$B68),".")</f>
        <v>68750.013750002749</v>
      </c>
      <c r="BJ68" s="101">
        <f>IFERROR(up_RadSpec!$E$9*(BJ9/$B68),".")</f>
        <v>68750.013750002749</v>
      </c>
      <c r="BK68" s="101">
        <f>IFERROR(up_RadSpec!$E$9*(BK9/$B68),".")</f>
        <v>68750.013750002749</v>
      </c>
      <c r="BL68" s="101">
        <f>IFERROR(up_RadSpec!$E$9*(BL9/$B68),".")</f>
        <v>68750.013750002749</v>
      </c>
      <c r="BM68" s="101">
        <f>IFERROR(up_RadSpec!$E$9*(BM9/$B68),".")</f>
        <v>68750.013750002749</v>
      </c>
      <c r="BN68" s="101">
        <f>IFERROR(up_RadSpec!$E$9*(BN9/$B68),".")</f>
        <v>68750.013750002749</v>
      </c>
      <c r="BO68" s="101">
        <f>IFERROR(up_RadSpec!$E$9*(BO9/$B68),".")</f>
        <v>68750.013750002749</v>
      </c>
      <c r="BP68" s="101">
        <f>IFERROR(up_RadSpec!$E$9*(BP9/$B68),".")</f>
        <v>68750.013750002749</v>
      </c>
      <c r="BQ68" s="101">
        <f>IFERROR(up_RadSpec!$E$9*(BQ9/$B68),".")</f>
        <v>68750.013750002749</v>
      </c>
      <c r="BR68" s="101">
        <f>IFERROR(up_RadSpec!$E$9*(BR9/$B68),".")</f>
        <v>68750.013750002749</v>
      </c>
      <c r="BS68" s="101">
        <f>IFERROR(up_RadSpec!$E$9*(BS9/$B68),".")</f>
        <v>68750.013750002749</v>
      </c>
      <c r="BT68" s="101">
        <f>IFERROR(up_RadSpec!$E$9*(BT9/$B68),".")</f>
        <v>68750.013750002749</v>
      </c>
      <c r="BU68" s="101">
        <f>IFERROR(up_RadSpec!$E$9*(BU9/$B68),".")</f>
        <v>68750.013750002749</v>
      </c>
      <c r="BV68" s="101">
        <f>IFERROR(up_RadSpec!$E$9*(BV9/$B68),".")</f>
        <v>68750.013750002749</v>
      </c>
      <c r="BW68" s="101">
        <f>IFERROR(up_RadSpec!$E$9*(BW9/$B68),".")</f>
        <v>68750.013750002749</v>
      </c>
      <c r="BX68" s="101">
        <f>IFERROR(up_RadSpec!$E$9*(BX9/$B68),".")</f>
        <v>68750.013750002749</v>
      </c>
      <c r="BY68" s="101">
        <f>IFERROR(up_RadSpec!$E$9*(BY9/$B68),".")</f>
        <v>68750.013750002749</v>
      </c>
    </row>
    <row r="69" spans="1:77" x14ac:dyDescent="0.25">
      <c r="A69" s="99" t="s">
        <v>1093</v>
      </c>
      <c r="B69" s="90">
        <v>1.9999999999999999E-7</v>
      </c>
      <c r="C69" s="100">
        <f t="shared" si="103"/>
        <v>687.5</v>
      </c>
      <c r="D69" s="100">
        <f t="shared" ref="D69:AA69" si="111">IFERROR($B69/D24,0)</f>
        <v>2750</v>
      </c>
      <c r="E69" s="100">
        <f t="shared" si="111"/>
        <v>2750</v>
      </c>
      <c r="F69" s="100">
        <f t="shared" si="111"/>
        <v>2750</v>
      </c>
      <c r="G69" s="100">
        <f t="shared" si="111"/>
        <v>2750</v>
      </c>
      <c r="H69" s="100">
        <f t="shared" si="111"/>
        <v>2750</v>
      </c>
      <c r="I69" s="100">
        <f t="shared" si="111"/>
        <v>2750</v>
      </c>
      <c r="J69" s="100">
        <f t="shared" si="111"/>
        <v>2750</v>
      </c>
      <c r="K69" s="100">
        <f t="shared" si="111"/>
        <v>2750</v>
      </c>
      <c r="L69" s="100">
        <f t="shared" si="111"/>
        <v>2750</v>
      </c>
      <c r="M69" s="100">
        <f t="shared" si="111"/>
        <v>2750</v>
      </c>
      <c r="N69" s="100">
        <f t="shared" si="111"/>
        <v>2750</v>
      </c>
      <c r="O69" s="100">
        <f t="shared" si="111"/>
        <v>2750</v>
      </c>
      <c r="P69" s="100">
        <f t="shared" si="111"/>
        <v>2750</v>
      </c>
      <c r="Q69" s="100">
        <f t="shared" si="111"/>
        <v>2750</v>
      </c>
      <c r="R69" s="100">
        <f t="shared" si="111"/>
        <v>2750</v>
      </c>
      <c r="S69" s="100">
        <f t="shared" si="111"/>
        <v>2750</v>
      </c>
      <c r="T69" s="100">
        <f t="shared" si="111"/>
        <v>2750</v>
      </c>
      <c r="U69" s="100">
        <f t="shared" si="111"/>
        <v>2750</v>
      </c>
      <c r="V69" s="100">
        <f t="shared" si="111"/>
        <v>2750</v>
      </c>
      <c r="W69" s="100">
        <f t="shared" si="111"/>
        <v>2750</v>
      </c>
      <c r="X69" s="100">
        <f t="shared" si="111"/>
        <v>2750</v>
      </c>
      <c r="Y69" s="100">
        <f t="shared" si="111"/>
        <v>2750</v>
      </c>
      <c r="Z69" s="100">
        <f t="shared" si="111"/>
        <v>2750</v>
      </c>
      <c r="AA69" s="100">
        <f t="shared" si="111"/>
        <v>2750</v>
      </c>
      <c r="AB69" s="100">
        <f t="shared" si="107"/>
        <v>687.5</v>
      </c>
      <c r="AC69" s="100">
        <f t="shared" ref="AC69:AZ69" si="112">IFERROR($B69/AC24,0)</f>
        <v>2750</v>
      </c>
      <c r="AD69" s="100">
        <f t="shared" si="112"/>
        <v>2750</v>
      </c>
      <c r="AE69" s="100">
        <f t="shared" si="112"/>
        <v>2750</v>
      </c>
      <c r="AF69" s="100">
        <f t="shared" si="112"/>
        <v>2750</v>
      </c>
      <c r="AG69" s="100">
        <f t="shared" si="112"/>
        <v>2750</v>
      </c>
      <c r="AH69" s="100">
        <f t="shared" si="112"/>
        <v>2750</v>
      </c>
      <c r="AI69" s="100">
        <f t="shared" si="112"/>
        <v>2750</v>
      </c>
      <c r="AJ69" s="100">
        <f t="shared" si="112"/>
        <v>2750</v>
      </c>
      <c r="AK69" s="100">
        <f t="shared" si="112"/>
        <v>2750</v>
      </c>
      <c r="AL69" s="100">
        <f t="shared" si="112"/>
        <v>2750</v>
      </c>
      <c r="AM69" s="100">
        <f t="shared" si="112"/>
        <v>2750</v>
      </c>
      <c r="AN69" s="100">
        <f t="shared" si="112"/>
        <v>2750</v>
      </c>
      <c r="AO69" s="100">
        <f t="shared" si="112"/>
        <v>2750</v>
      </c>
      <c r="AP69" s="100">
        <f t="shared" si="112"/>
        <v>2750</v>
      </c>
      <c r="AQ69" s="100">
        <f t="shared" si="112"/>
        <v>2750</v>
      </c>
      <c r="AR69" s="100">
        <f t="shared" si="112"/>
        <v>2750</v>
      </c>
      <c r="AS69" s="100">
        <f t="shared" si="112"/>
        <v>2750</v>
      </c>
      <c r="AT69" s="100">
        <f t="shared" si="112"/>
        <v>2750</v>
      </c>
      <c r="AU69" s="100">
        <f t="shared" si="112"/>
        <v>2750</v>
      </c>
      <c r="AV69" s="100">
        <f t="shared" si="112"/>
        <v>2750</v>
      </c>
      <c r="AW69" s="100">
        <f t="shared" si="112"/>
        <v>2750</v>
      </c>
      <c r="AX69" s="100">
        <f t="shared" si="112"/>
        <v>2750</v>
      </c>
      <c r="AY69" s="100">
        <f t="shared" si="112"/>
        <v>2750</v>
      </c>
      <c r="AZ69" s="100">
        <f t="shared" si="112"/>
        <v>2750</v>
      </c>
      <c r="BA69" s="101">
        <f t="shared" si="100"/>
        <v>1375000000000</v>
      </c>
      <c r="BB69" s="101">
        <f>IFERROR(up_RadSpec!$E$24*(BB24/$B69),".")</f>
        <v>343750000000</v>
      </c>
      <c r="BC69" s="101">
        <f>IFERROR(up_RadSpec!$E$24*(BC24/$B69),".")</f>
        <v>343750000000</v>
      </c>
      <c r="BD69" s="101">
        <f>IFERROR(up_RadSpec!$E$24*(BD24/$B69),".")</f>
        <v>343750000000</v>
      </c>
      <c r="BE69" s="101">
        <f>IFERROR(up_RadSpec!$E$24*(BE24/$B69),".")</f>
        <v>343750000000</v>
      </c>
      <c r="BF69" s="101">
        <f>IFERROR(up_RadSpec!$E$24*(BF24/$B69),".")</f>
        <v>343750000000</v>
      </c>
      <c r="BG69" s="101">
        <f>IFERROR(up_RadSpec!$E$24*(BG24/$B69),".")</f>
        <v>343750000000</v>
      </c>
      <c r="BH69" s="101">
        <f>IFERROR(up_RadSpec!$E$24*(BH24/$B69),".")</f>
        <v>343750000000</v>
      </c>
      <c r="BI69" s="101">
        <f>IFERROR(up_RadSpec!$E$24*(BI24/$B69),".")</f>
        <v>343750000000</v>
      </c>
      <c r="BJ69" s="101">
        <f>IFERROR(up_RadSpec!$E$24*(BJ24/$B69),".")</f>
        <v>343750000000</v>
      </c>
      <c r="BK69" s="101">
        <f>IFERROR(up_RadSpec!$E$24*(BK24/$B69),".")</f>
        <v>343750000000</v>
      </c>
      <c r="BL69" s="101">
        <f>IFERROR(up_RadSpec!$E$24*(BL24/$B69),".")</f>
        <v>343750000000</v>
      </c>
      <c r="BM69" s="101">
        <f>IFERROR(up_RadSpec!$E$24*(BM24/$B69),".")</f>
        <v>343750000000</v>
      </c>
      <c r="BN69" s="101">
        <f>IFERROR(up_RadSpec!$E$24*(BN24/$B69),".")</f>
        <v>343750000000</v>
      </c>
      <c r="BO69" s="101">
        <f>IFERROR(up_RadSpec!$E$24*(BO24/$B69),".")</f>
        <v>343750000000</v>
      </c>
      <c r="BP69" s="101">
        <f>IFERROR(up_RadSpec!$E$24*(BP24/$B69),".")</f>
        <v>343750000000</v>
      </c>
      <c r="BQ69" s="101">
        <f>IFERROR(up_RadSpec!$E$24*(BQ24/$B69),".")</f>
        <v>343750000000</v>
      </c>
      <c r="BR69" s="101">
        <f>IFERROR(up_RadSpec!$E$24*(BR24/$B69),".")</f>
        <v>343750000000</v>
      </c>
      <c r="BS69" s="101">
        <f>IFERROR(up_RadSpec!$E$24*(BS24/$B69),".")</f>
        <v>343750000000</v>
      </c>
      <c r="BT69" s="101">
        <f>IFERROR(up_RadSpec!$E$24*(BT24/$B69),".")</f>
        <v>343750000000</v>
      </c>
      <c r="BU69" s="101">
        <f>IFERROR(up_RadSpec!$E$24*(BU24/$B69),".")</f>
        <v>343750000000</v>
      </c>
      <c r="BV69" s="101">
        <f>IFERROR(up_RadSpec!$E$24*(BV24/$B69),".")</f>
        <v>343750000000</v>
      </c>
      <c r="BW69" s="101">
        <f>IFERROR(up_RadSpec!$E$24*(BW24/$B69),".")</f>
        <v>343750000000</v>
      </c>
      <c r="BX69" s="101">
        <f>IFERROR(up_RadSpec!$E$24*(BX24/$B69),".")</f>
        <v>343750000000</v>
      </c>
      <c r="BY69" s="101">
        <f>IFERROR(up_RadSpec!$E$24*(BY24/$B69),".")</f>
        <v>343750000000</v>
      </c>
    </row>
    <row r="70" spans="1:77" x14ac:dyDescent="0.25">
      <c r="A70" s="99" t="s">
        <v>1094</v>
      </c>
      <c r="B70" s="90">
        <v>0.99979000004200003</v>
      </c>
      <c r="C70" s="100">
        <f t="shared" si="103"/>
        <v>3436778125.1443753</v>
      </c>
      <c r="D70" s="100">
        <f t="shared" ref="D70:AA70" si="113">IFERROR($B70/D20,0)</f>
        <v>13747112500.577501</v>
      </c>
      <c r="E70" s="100">
        <f t="shared" si="113"/>
        <v>13747112500.577501</v>
      </c>
      <c r="F70" s="100">
        <f t="shared" si="113"/>
        <v>13747112500.577501</v>
      </c>
      <c r="G70" s="100">
        <f t="shared" si="113"/>
        <v>13747112500.577501</v>
      </c>
      <c r="H70" s="100">
        <f t="shared" si="113"/>
        <v>13747112500.577501</v>
      </c>
      <c r="I70" s="100">
        <f t="shared" si="113"/>
        <v>13747112500.577501</v>
      </c>
      <c r="J70" s="100">
        <f t="shared" si="113"/>
        <v>13747112500.577501</v>
      </c>
      <c r="K70" s="100">
        <f t="shared" si="113"/>
        <v>13747112500.577501</v>
      </c>
      <c r="L70" s="100">
        <f t="shared" si="113"/>
        <v>13747112500.577501</v>
      </c>
      <c r="M70" s="100">
        <f t="shared" si="113"/>
        <v>13747112500.577501</v>
      </c>
      <c r="N70" s="100">
        <f t="shared" si="113"/>
        <v>13747112500.577501</v>
      </c>
      <c r="O70" s="100">
        <f t="shared" si="113"/>
        <v>13747112500.577501</v>
      </c>
      <c r="P70" s="100">
        <f t="shared" si="113"/>
        <v>13747112500.577501</v>
      </c>
      <c r="Q70" s="100">
        <f t="shared" si="113"/>
        <v>13747112500.577501</v>
      </c>
      <c r="R70" s="100">
        <f t="shared" si="113"/>
        <v>13747112500.577501</v>
      </c>
      <c r="S70" s="100">
        <f t="shared" si="113"/>
        <v>13747112500.577501</v>
      </c>
      <c r="T70" s="100">
        <f t="shared" si="113"/>
        <v>13747112500.577501</v>
      </c>
      <c r="U70" s="100">
        <f t="shared" si="113"/>
        <v>13747112500.577501</v>
      </c>
      <c r="V70" s="100">
        <f t="shared" si="113"/>
        <v>13747112500.577501</v>
      </c>
      <c r="W70" s="100">
        <f t="shared" si="113"/>
        <v>13747112500.577501</v>
      </c>
      <c r="X70" s="100">
        <f t="shared" si="113"/>
        <v>13747112500.577501</v>
      </c>
      <c r="Y70" s="100">
        <f t="shared" si="113"/>
        <v>13747112500.577501</v>
      </c>
      <c r="Z70" s="100">
        <f t="shared" si="113"/>
        <v>13747112500.577501</v>
      </c>
      <c r="AA70" s="100">
        <f t="shared" si="113"/>
        <v>13747112500.577501</v>
      </c>
      <c r="AB70" s="100">
        <f t="shared" si="107"/>
        <v>3436778125.1443753</v>
      </c>
      <c r="AC70" s="100">
        <f t="shared" ref="AC70:AZ70" si="114">IFERROR($B70/AC20,0)</f>
        <v>13747112500.577501</v>
      </c>
      <c r="AD70" s="100">
        <f t="shared" si="114"/>
        <v>13747112500.577501</v>
      </c>
      <c r="AE70" s="100">
        <f t="shared" si="114"/>
        <v>13747112500.577501</v>
      </c>
      <c r="AF70" s="100">
        <f t="shared" si="114"/>
        <v>13747112500.577501</v>
      </c>
      <c r="AG70" s="100">
        <f t="shared" si="114"/>
        <v>13747112500.577501</v>
      </c>
      <c r="AH70" s="100">
        <f t="shared" si="114"/>
        <v>13747112500.577501</v>
      </c>
      <c r="AI70" s="100">
        <f t="shared" si="114"/>
        <v>13747112500.577501</v>
      </c>
      <c r="AJ70" s="100">
        <f t="shared" si="114"/>
        <v>13747112500.577501</v>
      </c>
      <c r="AK70" s="100">
        <f t="shared" si="114"/>
        <v>13747112500.577501</v>
      </c>
      <c r="AL70" s="100">
        <f t="shared" si="114"/>
        <v>13747112500.577501</v>
      </c>
      <c r="AM70" s="100">
        <f t="shared" si="114"/>
        <v>13747112500.577501</v>
      </c>
      <c r="AN70" s="100">
        <f t="shared" si="114"/>
        <v>13747112500.577501</v>
      </c>
      <c r="AO70" s="100">
        <f t="shared" si="114"/>
        <v>13747112500.577501</v>
      </c>
      <c r="AP70" s="100">
        <f t="shared" si="114"/>
        <v>13747112500.577501</v>
      </c>
      <c r="AQ70" s="100">
        <f t="shared" si="114"/>
        <v>13747112500.577501</v>
      </c>
      <c r="AR70" s="100">
        <f t="shared" si="114"/>
        <v>13747112500.577501</v>
      </c>
      <c r="AS70" s="100">
        <f t="shared" si="114"/>
        <v>13747112500.577501</v>
      </c>
      <c r="AT70" s="100">
        <f t="shared" si="114"/>
        <v>13747112500.577501</v>
      </c>
      <c r="AU70" s="100">
        <f t="shared" si="114"/>
        <v>13747112500.577501</v>
      </c>
      <c r="AV70" s="100">
        <f t="shared" si="114"/>
        <v>13747112500.577501</v>
      </c>
      <c r="AW70" s="100">
        <f t="shared" si="114"/>
        <v>13747112500.577501</v>
      </c>
      <c r="AX70" s="100">
        <f t="shared" si="114"/>
        <v>13747112500.577501</v>
      </c>
      <c r="AY70" s="100">
        <f t="shared" si="114"/>
        <v>13747112500.577501</v>
      </c>
      <c r="AZ70" s="100">
        <f t="shared" si="114"/>
        <v>13747112500.577501</v>
      </c>
      <c r="BA70" s="101">
        <f t="shared" si="100"/>
        <v>275057.76211849245</v>
      </c>
      <c r="BB70" s="101">
        <f>IFERROR(up_RadSpec!$E$20*(BB20/$B70),".")</f>
        <v>68764.440529623113</v>
      </c>
      <c r="BC70" s="101">
        <f>IFERROR(up_RadSpec!$E$20*(BC20/$B70),".")</f>
        <v>68764.440529623113</v>
      </c>
      <c r="BD70" s="101">
        <f>IFERROR(up_RadSpec!$E$20*(BD20/$B70),".")</f>
        <v>68764.440529623113</v>
      </c>
      <c r="BE70" s="101">
        <f>IFERROR(up_RadSpec!$E$20*(BE20/$B70),".")</f>
        <v>68764.440529623113</v>
      </c>
      <c r="BF70" s="101">
        <f>IFERROR(up_RadSpec!$E$20*(BF20/$B70),".")</f>
        <v>68764.440529623113</v>
      </c>
      <c r="BG70" s="101">
        <f>IFERROR(up_RadSpec!$E$20*(BG20/$B70),".")</f>
        <v>68764.440529623113</v>
      </c>
      <c r="BH70" s="101">
        <f>IFERROR(up_RadSpec!$E$20*(BH20/$B70),".")</f>
        <v>68764.440529623113</v>
      </c>
      <c r="BI70" s="101">
        <f>IFERROR(up_RadSpec!$E$20*(BI20/$B70),".")</f>
        <v>68764.440529623113</v>
      </c>
      <c r="BJ70" s="101">
        <f>IFERROR(up_RadSpec!$E$20*(BJ20/$B70),".")</f>
        <v>68764.440529623113</v>
      </c>
      <c r="BK70" s="101">
        <f>IFERROR(up_RadSpec!$E$20*(BK20/$B70),".")</f>
        <v>68764.440529623113</v>
      </c>
      <c r="BL70" s="101">
        <f>IFERROR(up_RadSpec!$E$20*(BL20/$B70),".")</f>
        <v>68764.440529623113</v>
      </c>
      <c r="BM70" s="101">
        <f>IFERROR(up_RadSpec!$E$20*(BM20/$B70),".")</f>
        <v>68764.440529623113</v>
      </c>
      <c r="BN70" s="101">
        <f>IFERROR(up_RadSpec!$E$20*(BN20/$B70),".")</f>
        <v>68764.440529623113</v>
      </c>
      <c r="BO70" s="101">
        <f>IFERROR(up_RadSpec!$E$20*(BO20/$B70),".")</f>
        <v>68764.440529623113</v>
      </c>
      <c r="BP70" s="101">
        <f>IFERROR(up_RadSpec!$E$20*(BP20/$B70),".")</f>
        <v>68764.440529623113</v>
      </c>
      <c r="BQ70" s="101">
        <f>IFERROR(up_RadSpec!$E$20*(BQ20/$B70),".")</f>
        <v>68764.440529623113</v>
      </c>
      <c r="BR70" s="101">
        <f>IFERROR(up_RadSpec!$E$20*(BR20/$B70),".")</f>
        <v>68764.440529623113</v>
      </c>
      <c r="BS70" s="101">
        <f>IFERROR(up_RadSpec!$E$20*(BS20/$B70),".")</f>
        <v>68764.440529623113</v>
      </c>
      <c r="BT70" s="101">
        <f>IFERROR(up_RadSpec!$E$20*(BT20/$B70),".")</f>
        <v>68764.440529623113</v>
      </c>
      <c r="BU70" s="101">
        <f>IFERROR(up_RadSpec!$E$20*(BU20/$B70),".")</f>
        <v>68764.440529623113</v>
      </c>
      <c r="BV70" s="101">
        <f>IFERROR(up_RadSpec!$E$20*(BV20/$B70),".")</f>
        <v>68764.440529623113</v>
      </c>
      <c r="BW70" s="101">
        <f>IFERROR(up_RadSpec!$E$20*(BW20/$B70),".")</f>
        <v>68764.440529623113</v>
      </c>
      <c r="BX70" s="101">
        <f>IFERROR(up_RadSpec!$E$20*(BX20/$B70),".")</f>
        <v>68764.440529623113</v>
      </c>
      <c r="BY70" s="101">
        <f>IFERROR(up_RadSpec!$E$20*(BY20/$B70),".")</f>
        <v>68764.440529623113</v>
      </c>
    </row>
    <row r="71" spans="1:77" x14ac:dyDescent="0.25">
      <c r="A71" s="99" t="s">
        <v>1095</v>
      </c>
      <c r="B71" s="90">
        <v>2.0999995799999999E-4</v>
      </c>
      <c r="C71" s="100">
        <f t="shared" si="103"/>
        <v>721874.85562499997</v>
      </c>
      <c r="D71" s="100">
        <f t="shared" ref="D71:AA71" si="115">IFERROR($B71/D29,0)</f>
        <v>2887499.4224999999</v>
      </c>
      <c r="E71" s="100">
        <f t="shared" si="115"/>
        <v>2887499.4224999999</v>
      </c>
      <c r="F71" s="100">
        <f t="shared" si="115"/>
        <v>2887499.4224999999</v>
      </c>
      <c r="G71" s="100">
        <f t="shared" si="115"/>
        <v>2887499.4224999999</v>
      </c>
      <c r="H71" s="100">
        <f t="shared" si="115"/>
        <v>2887499.4224999999</v>
      </c>
      <c r="I71" s="100">
        <f t="shared" si="115"/>
        <v>2887499.4224999999</v>
      </c>
      <c r="J71" s="100">
        <f t="shared" si="115"/>
        <v>2887499.4224999999</v>
      </c>
      <c r="K71" s="100">
        <f t="shared" si="115"/>
        <v>2887499.4224999999</v>
      </c>
      <c r="L71" s="100">
        <f t="shared" si="115"/>
        <v>2887499.4224999999</v>
      </c>
      <c r="M71" s="100">
        <f t="shared" si="115"/>
        <v>2887499.4224999999</v>
      </c>
      <c r="N71" s="100">
        <f t="shared" si="115"/>
        <v>2887499.4224999999</v>
      </c>
      <c r="O71" s="100">
        <f t="shared" si="115"/>
        <v>2887499.4224999999</v>
      </c>
      <c r="P71" s="100">
        <f t="shared" si="115"/>
        <v>2887499.4224999999</v>
      </c>
      <c r="Q71" s="100">
        <f t="shared" si="115"/>
        <v>2887499.4224999999</v>
      </c>
      <c r="R71" s="100">
        <f t="shared" si="115"/>
        <v>2887499.4224999999</v>
      </c>
      <c r="S71" s="100">
        <f t="shared" si="115"/>
        <v>2887499.4224999999</v>
      </c>
      <c r="T71" s="100">
        <f t="shared" si="115"/>
        <v>2887499.4224999999</v>
      </c>
      <c r="U71" s="100">
        <f t="shared" si="115"/>
        <v>2887499.4224999999</v>
      </c>
      <c r="V71" s="100">
        <f t="shared" si="115"/>
        <v>2887499.4224999999</v>
      </c>
      <c r="W71" s="100">
        <f t="shared" si="115"/>
        <v>2887499.4224999999</v>
      </c>
      <c r="X71" s="100">
        <f t="shared" si="115"/>
        <v>2887499.4224999999</v>
      </c>
      <c r="Y71" s="100">
        <f t="shared" si="115"/>
        <v>2887499.4224999999</v>
      </c>
      <c r="Z71" s="100">
        <f t="shared" si="115"/>
        <v>2887499.4224999999</v>
      </c>
      <c r="AA71" s="100">
        <f t="shared" si="115"/>
        <v>2887499.4224999999</v>
      </c>
      <c r="AB71" s="100">
        <f t="shared" si="107"/>
        <v>721874.85562499997</v>
      </c>
      <c r="AC71" s="100">
        <f t="shared" ref="AC71:AZ71" si="116">IFERROR($B71/AC29,0)</f>
        <v>2887499.4224999999</v>
      </c>
      <c r="AD71" s="100">
        <f t="shared" si="116"/>
        <v>2887499.4224999999</v>
      </c>
      <c r="AE71" s="100">
        <f t="shared" si="116"/>
        <v>2887499.4224999999</v>
      </c>
      <c r="AF71" s="100">
        <f t="shared" si="116"/>
        <v>2887499.4224999999</v>
      </c>
      <c r="AG71" s="100">
        <f t="shared" si="116"/>
        <v>2887499.4224999999</v>
      </c>
      <c r="AH71" s="100">
        <f t="shared" si="116"/>
        <v>2887499.4224999999</v>
      </c>
      <c r="AI71" s="100">
        <f t="shared" si="116"/>
        <v>2887499.4224999999</v>
      </c>
      <c r="AJ71" s="100">
        <f t="shared" si="116"/>
        <v>2887499.4224999999</v>
      </c>
      <c r="AK71" s="100">
        <f t="shared" si="116"/>
        <v>2887499.4224999999</v>
      </c>
      <c r="AL71" s="100">
        <f t="shared" si="116"/>
        <v>2887499.4224999999</v>
      </c>
      <c r="AM71" s="100">
        <f t="shared" si="116"/>
        <v>2887499.4224999999</v>
      </c>
      <c r="AN71" s="100">
        <f t="shared" si="116"/>
        <v>2887499.4224999999</v>
      </c>
      <c r="AO71" s="100">
        <f t="shared" si="116"/>
        <v>2887499.4224999999</v>
      </c>
      <c r="AP71" s="100">
        <f t="shared" si="116"/>
        <v>2887499.4224999999</v>
      </c>
      <c r="AQ71" s="100">
        <f t="shared" si="116"/>
        <v>2887499.4224999999</v>
      </c>
      <c r="AR71" s="100">
        <f t="shared" si="116"/>
        <v>2887499.4224999999</v>
      </c>
      <c r="AS71" s="100">
        <f t="shared" si="116"/>
        <v>2887499.4224999999</v>
      </c>
      <c r="AT71" s="100">
        <f t="shared" si="116"/>
        <v>2887499.4224999999</v>
      </c>
      <c r="AU71" s="100">
        <f t="shared" si="116"/>
        <v>2887499.4224999999</v>
      </c>
      <c r="AV71" s="100">
        <f t="shared" si="116"/>
        <v>2887499.4224999999</v>
      </c>
      <c r="AW71" s="100">
        <f t="shared" si="116"/>
        <v>2887499.4224999999</v>
      </c>
      <c r="AX71" s="100">
        <f t="shared" si="116"/>
        <v>2887499.4224999999</v>
      </c>
      <c r="AY71" s="100">
        <f t="shared" si="116"/>
        <v>2887499.4224999999</v>
      </c>
      <c r="AZ71" s="100">
        <f t="shared" si="116"/>
        <v>2887499.4224999999</v>
      </c>
      <c r="BA71" s="101">
        <f t="shared" si="100"/>
        <v>1309524071.4286239</v>
      </c>
      <c r="BB71" s="101">
        <f>IFERROR(up_RadSpec!$E$29*(BB29/$B71),".")</f>
        <v>327381017.85715598</v>
      </c>
      <c r="BC71" s="101">
        <f>IFERROR(up_RadSpec!$E$29*(BC29/$B71),".")</f>
        <v>327381017.85715598</v>
      </c>
      <c r="BD71" s="101">
        <f>IFERROR(up_RadSpec!$E$29*(BD29/$B71),".")</f>
        <v>327381017.85715598</v>
      </c>
      <c r="BE71" s="101">
        <f>IFERROR(up_RadSpec!$E$29*(BE29/$B71),".")</f>
        <v>327381017.85715598</v>
      </c>
      <c r="BF71" s="101">
        <f>IFERROR(up_RadSpec!$E$29*(BF29/$B71),".")</f>
        <v>327381017.85715598</v>
      </c>
      <c r="BG71" s="101">
        <f>IFERROR(up_RadSpec!$E$29*(BG29/$B71),".")</f>
        <v>327381017.85715598</v>
      </c>
      <c r="BH71" s="101">
        <f>IFERROR(up_RadSpec!$E$29*(BH29/$B71),".")</f>
        <v>327381017.85715598</v>
      </c>
      <c r="BI71" s="101">
        <f>IFERROR(up_RadSpec!$E$29*(BI29/$B71),".")</f>
        <v>327381017.85715598</v>
      </c>
      <c r="BJ71" s="101">
        <f>IFERROR(up_RadSpec!$E$29*(BJ29/$B71),".")</f>
        <v>327381017.85715598</v>
      </c>
      <c r="BK71" s="101">
        <f>IFERROR(up_RadSpec!$E$29*(BK29/$B71),".")</f>
        <v>327381017.85715598</v>
      </c>
      <c r="BL71" s="101">
        <f>IFERROR(up_RadSpec!$E$29*(BL29/$B71),".")</f>
        <v>327381017.85715598</v>
      </c>
      <c r="BM71" s="101">
        <f>IFERROR(up_RadSpec!$E$29*(BM29/$B71),".")</f>
        <v>327381017.85715598</v>
      </c>
      <c r="BN71" s="101">
        <f>IFERROR(up_RadSpec!$E$29*(BN29/$B71),".")</f>
        <v>327381017.85715598</v>
      </c>
      <c r="BO71" s="101">
        <f>IFERROR(up_RadSpec!$E$29*(BO29/$B71),".")</f>
        <v>327381017.85715598</v>
      </c>
      <c r="BP71" s="101">
        <f>IFERROR(up_RadSpec!$E$29*(BP29/$B71),".")</f>
        <v>327381017.85715598</v>
      </c>
      <c r="BQ71" s="101">
        <f>IFERROR(up_RadSpec!$E$29*(BQ29/$B71),".")</f>
        <v>327381017.85715598</v>
      </c>
      <c r="BR71" s="101">
        <f>IFERROR(up_RadSpec!$E$29*(BR29/$B71),".")</f>
        <v>327381017.85715598</v>
      </c>
      <c r="BS71" s="101">
        <f>IFERROR(up_RadSpec!$E$29*(BS29/$B71),".")</f>
        <v>327381017.85715598</v>
      </c>
      <c r="BT71" s="101">
        <f>IFERROR(up_RadSpec!$E$29*(BT29/$B71),".")</f>
        <v>327381017.85715598</v>
      </c>
      <c r="BU71" s="101">
        <f>IFERROR(up_RadSpec!$E$29*(BU29/$B71),".")</f>
        <v>327381017.85715598</v>
      </c>
      <c r="BV71" s="101">
        <f>IFERROR(up_RadSpec!$E$29*(BV29/$B71),".")</f>
        <v>327381017.85715598</v>
      </c>
      <c r="BW71" s="101">
        <f>IFERROR(up_RadSpec!$E$29*(BW29/$B71),".")</f>
        <v>327381017.85715598</v>
      </c>
      <c r="BX71" s="101">
        <f>IFERROR(up_RadSpec!$E$29*(BX29/$B71),".")</f>
        <v>327381017.85715598</v>
      </c>
      <c r="BY71" s="101">
        <f>IFERROR(up_RadSpec!$E$29*(BY29/$B71),".")</f>
        <v>327381017.85715598</v>
      </c>
    </row>
    <row r="72" spans="1:77" x14ac:dyDescent="0.25">
      <c r="A72" s="99" t="s">
        <v>1096</v>
      </c>
      <c r="B72" s="90">
        <v>1</v>
      </c>
      <c r="C72" s="100">
        <f t="shared" si="103"/>
        <v>3437500000</v>
      </c>
      <c r="D72" s="100">
        <f t="shared" ref="D72:AA72" si="117">IFERROR($B72/D16,0)</f>
        <v>13750000000</v>
      </c>
      <c r="E72" s="100">
        <f t="shared" si="117"/>
        <v>13750000000</v>
      </c>
      <c r="F72" s="100">
        <f t="shared" si="117"/>
        <v>13750000000</v>
      </c>
      <c r="G72" s="100">
        <f t="shared" si="117"/>
        <v>13750000000</v>
      </c>
      <c r="H72" s="100">
        <f t="shared" si="117"/>
        <v>13750000000</v>
      </c>
      <c r="I72" s="100">
        <f t="shared" si="117"/>
        <v>13750000000</v>
      </c>
      <c r="J72" s="100">
        <f t="shared" si="117"/>
        <v>13750000000</v>
      </c>
      <c r="K72" s="100">
        <f t="shared" si="117"/>
        <v>13750000000</v>
      </c>
      <c r="L72" s="100">
        <f t="shared" si="117"/>
        <v>13750000000</v>
      </c>
      <c r="M72" s="100">
        <f t="shared" si="117"/>
        <v>13750000000</v>
      </c>
      <c r="N72" s="100">
        <f t="shared" si="117"/>
        <v>13750000000</v>
      </c>
      <c r="O72" s="100">
        <f t="shared" si="117"/>
        <v>13750000000</v>
      </c>
      <c r="P72" s="100">
        <f t="shared" si="117"/>
        <v>13750000000</v>
      </c>
      <c r="Q72" s="100">
        <f t="shared" si="117"/>
        <v>13750000000</v>
      </c>
      <c r="R72" s="100">
        <f t="shared" si="117"/>
        <v>13750000000</v>
      </c>
      <c r="S72" s="100">
        <f t="shared" si="117"/>
        <v>13750000000</v>
      </c>
      <c r="T72" s="100">
        <f t="shared" si="117"/>
        <v>13750000000</v>
      </c>
      <c r="U72" s="100">
        <f t="shared" si="117"/>
        <v>13750000000</v>
      </c>
      <c r="V72" s="100">
        <f t="shared" si="117"/>
        <v>13750000000</v>
      </c>
      <c r="W72" s="100">
        <f t="shared" si="117"/>
        <v>13750000000</v>
      </c>
      <c r="X72" s="100">
        <f t="shared" si="117"/>
        <v>13750000000</v>
      </c>
      <c r="Y72" s="100">
        <f t="shared" si="117"/>
        <v>13750000000</v>
      </c>
      <c r="Z72" s="100">
        <f t="shared" si="117"/>
        <v>13750000000</v>
      </c>
      <c r="AA72" s="100">
        <f t="shared" si="117"/>
        <v>13750000000</v>
      </c>
      <c r="AB72" s="100">
        <f t="shared" si="107"/>
        <v>3437500000</v>
      </c>
      <c r="AC72" s="100">
        <f t="shared" ref="AC72:AZ72" si="118">IFERROR($B72/AC16,0)</f>
        <v>13750000000</v>
      </c>
      <c r="AD72" s="100">
        <f t="shared" si="118"/>
        <v>13750000000</v>
      </c>
      <c r="AE72" s="100">
        <f t="shared" si="118"/>
        <v>13750000000</v>
      </c>
      <c r="AF72" s="100">
        <f t="shared" si="118"/>
        <v>13750000000</v>
      </c>
      <c r="AG72" s="100">
        <f t="shared" si="118"/>
        <v>13750000000</v>
      </c>
      <c r="AH72" s="100">
        <f t="shared" si="118"/>
        <v>13750000000</v>
      </c>
      <c r="AI72" s="100">
        <f t="shared" si="118"/>
        <v>13750000000</v>
      </c>
      <c r="AJ72" s="100">
        <f t="shared" si="118"/>
        <v>13750000000</v>
      </c>
      <c r="AK72" s="100">
        <f t="shared" si="118"/>
        <v>13750000000</v>
      </c>
      <c r="AL72" s="100">
        <f t="shared" si="118"/>
        <v>13750000000</v>
      </c>
      <c r="AM72" s="100">
        <f t="shared" si="118"/>
        <v>13750000000</v>
      </c>
      <c r="AN72" s="100">
        <f t="shared" si="118"/>
        <v>13750000000</v>
      </c>
      <c r="AO72" s="100">
        <f t="shared" si="118"/>
        <v>13750000000</v>
      </c>
      <c r="AP72" s="100">
        <f t="shared" si="118"/>
        <v>13750000000</v>
      </c>
      <c r="AQ72" s="100">
        <f t="shared" si="118"/>
        <v>13750000000</v>
      </c>
      <c r="AR72" s="100">
        <f t="shared" si="118"/>
        <v>13750000000</v>
      </c>
      <c r="AS72" s="100">
        <f t="shared" si="118"/>
        <v>13750000000</v>
      </c>
      <c r="AT72" s="100">
        <f t="shared" si="118"/>
        <v>13750000000</v>
      </c>
      <c r="AU72" s="100">
        <f t="shared" si="118"/>
        <v>13750000000</v>
      </c>
      <c r="AV72" s="100">
        <f t="shared" si="118"/>
        <v>13750000000</v>
      </c>
      <c r="AW72" s="100">
        <f t="shared" si="118"/>
        <v>13750000000</v>
      </c>
      <c r="AX72" s="100">
        <f t="shared" si="118"/>
        <v>13750000000</v>
      </c>
      <c r="AY72" s="100">
        <f t="shared" si="118"/>
        <v>13750000000</v>
      </c>
      <c r="AZ72" s="100">
        <f t="shared" si="118"/>
        <v>13750000000</v>
      </c>
      <c r="BA72" s="101">
        <f t="shared" si="100"/>
        <v>275000</v>
      </c>
      <c r="BB72" s="101">
        <f>IFERROR(up_RadSpec!$E$16*(BB16/$B72),".")</f>
        <v>68750</v>
      </c>
      <c r="BC72" s="101">
        <f>IFERROR(up_RadSpec!$E$16*(BC16/$B72),".")</f>
        <v>68750</v>
      </c>
      <c r="BD72" s="101">
        <f>IFERROR(up_RadSpec!$E$16*(BD16/$B72),".")</f>
        <v>68750</v>
      </c>
      <c r="BE72" s="101">
        <f>IFERROR(up_RadSpec!$E$16*(BE16/$B72),".")</f>
        <v>68750</v>
      </c>
      <c r="BF72" s="101">
        <f>IFERROR(up_RadSpec!$E$16*(BF16/$B72),".")</f>
        <v>68750</v>
      </c>
      <c r="BG72" s="101">
        <f>IFERROR(up_RadSpec!$E$16*(BG16/$B72),".")</f>
        <v>68750</v>
      </c>
      <c r="BH72" s="101">
        <f>IFERROR(up_RadSpec!$E$16*(BH16/$B72),".")</f>
        <v>68750</v>
      </c>
      <c r="BI72" s="101">
        <f>IFERROR(up_RadSpec!$E$16*(BI16/$B72),".")</f>
        <v>68750</v>
      </c>
      <c r="BJ72" s="101">
        <f>IFERROR(up_RadSpec!$E$16*(BJ16/$B72),".")</f>
        <v>68750</v>
      </c>
      <c r="BK72" s="101">
        <f>IFERROR(up_RadSpec!$E$16*(BK16/$B72),".")</f>
        <v>68750</v>
      </c>
      <c r="BL72" s="101">
        <f>IFERROR(up_RadSpec!$E$16*(BL16/$B72),".")</f>
        <v>68750</v>
      </c>
      <c r="BM72" s="101">
        <f>IFERROR(up_RadSpec!$E$16*(BM16/$B72),".")</f>
        <v>68750</v>
      </c>
      <c r="BN72" s="101">
        <f>IFERROR(up_RadSpec!$E$16*(BN16/$B72),".")</f>
        <v>68750</v>
      </c>
      <c r="BO72" s="101">
        <f>IFERROR(up_RadSpec!$E$16*(BO16/$B72),".")</f>
        <v>68750</v>
      </c>
      <c r="BP72" s="101">
        <f>IFERROR(up_RadSpec!$E$16*(BP16/$B72),".")</f>
        <v>68750</v>
      </c>
      <c r="BQ72" s="101">
        <f>IFERROR(up_RadSpec!$E$16*(BQ16/$B72),".")</f>
        <v>68750</v>
      </c>
      <c r="BR72" s="101">
        <f>IFERROR(up_RadSpec!$E$16*(BR16/$B72),".")</f>
        <v>68750</v>
      </c>
      <c r="BS72" s="101">
        <f>IFERROR(up_RadSpec!$E$16*(BS16/$B72),".")</f>
        <v>68750</v>
      </c>
      <c r="BT72" s="101">
        <f>IFERROR(up_RadSpec!$E$16*(BT16/$B72),".")</f>
        <v>68750</v>
      </c>
      <c r="BU72" s="101">
        <f>IFERROR(up_RadSpec!$E$16*(BU16/$B72),".")</f>
        <v>68750</v>
      </c>
      <c r="BV72" s="101">
        <f>IFERROR(up_RadSpec!$E$16*(BV16/$B72),".")</f>
        <v>68750</v>
      </c>
      <c r="BW72" s="101">
        <f>IFERROR(up_RadSpec!$E$16*(BW16/$B72),".")</f>
        <v>68750</v>
      </c>
      <c r="BX72" s="101">
        <f>IFERROR(up_RadSpec!$E$16*(BX16/$B72),".")</f>
        <v>68750</v>
      </c>
      <c r="BY72" s="101">
        <f>IFERROR(up_RadSpec!$E$16*(BY16/$B72),".")</f>
        <v>68750</v>
      </c>
    </row>
    <row r="73" spans="1:77" x14ac:dyDescent="0.25">
      <c r="A73" s="99" t="s">
        <v>1097</v>
      </c>
      <c r="B73" s="90">
        <v>1</v>
      </c>
      <c r="C73" s="100">
        <f t="shared" si="103"/>
        <v>3437500000</v>
      </c>
      <c r="D73" s="100">
        <f t="shared" ref="D73:AA73" si="119">IFERROR($B73/D7,0)</f>
        <v>13750000000</v>
      </c>
      <c r="E73" s="100">
        <f t="shared" si="119"/>
        <v>13750000000</v>
      </c>
      <c r="F73" s="100">
        <f t="shared" si="119"/>
        <v>13750000000</v>
      </c>
      <c r="G73" s="100">
        <f t="shared" si="119"/>
        <v>13750000000</v>
      </c>
      <c r="H73" s="100">
        <f t="shared" si="119"/>
        <v>13750000000</v>
      </c>
      <c r="I73" s="100">
        <f t="shared" si="119"/>
        <v>13750000000</v>
      </c>
      <c r="J73" s="100">
        <f t="shared" si="119"/>
        <v>13750000000</v>
      </c>
      <c r="K73" s="100">
        <f t="shared" si="119"/>
        <v>13750000000</v>
      </c>
      <c r="L73" s="100">
        <f t="shared" si="119"/>
        <v>13750000000</v>
      </c>
      <c r="M73" s="100">
        <f t="shared" si="119"/>
        <v>13750000000</v>
      </c>
      <c r="N73" s="100">
        <f t="shared" si="119"/>
        <v>13750000000</v>
      </c>
      <c r="O73" s="100">
        <f t="shared" si="119"/>
        <v>13750000000</v>
      </c>
      <c r="P73" s="100">
        <f t="shared" si="119"/>
        <v>13750000000</v>
      </c>
      <c r="Q73" s="100">
        <f t="shared" si="119"/>
        <v>13750000000</v>
      </c>
      <c r="R73" s="100">
        <f t="shared" si="119"/>
        <v>13750000000</v>
      </c>
      <c r="S73" s="100">
        <f t="shared" si="119"/>
        <v>13750000000</v>
      </c>
      <c r="T73" s="100">
        <f t="shared" si="119"/>
        <v>13750000000</v>
      </c>
      <c r="U73" s="100">
        <f t="shared" si="119"/>
        <v>13750000000</v>
      </c>
      <c r="V73" s="100">
        <f t="shared" si="119"/>
        <v>13750000000</v>
      </c>
      <c r="W73" s="100">
        <f t="shared" si="119"/>
        <v>13750000000</v>
      </c>
      <c r="X73" s="100">
        <f t="shared" si="119"/>
        <v>13750000000</v>
      </c>
      <c r="Y73" s="100">
        <f t="shared" si="119"/>
        <v>13750000000</v>
      </c>
      <c r="Z73" s="100">
        <f t="shared" si="119"/>
        <v>13750000000</v>
      </c>
      <c r="AA73" s="100">
        <f t="shared" si="119"/>
        <v>13750000000</v>
      </c>
      <c r="AB73" s="100">
        <f t="shared" si="107"/>
        <v>3437500000</v>
      </c>
      <c r="AC73" s="100">
        <f t="shared" ref="AC73:AZ73" si="120">IFERROR($B73/AC7,0)</f>
        <v>13750000000</v>
      </c>
      <c r="AD73" s="100">
        <f t="shared" si="120"/>
        <v>13750000000</v>
      </c>
      <c r="AE73" s="100">
        <f t="shared" si="120"/>
        <v>13750000000</v>
      </c>
      <c r="AF73" s="100">
        <f t="shared" si="120"/>
        <v>13750000000</v>
      </c>
      <c r="AG73" s="100">
        <f t="shared" si="120"/>
        <v>13750000000</v>
      </c>
      <c r="AH73" s="100">
        <f t="shared" si="120"/>
        <v>13750000000</v>
      </c>
      <c r="AI73" s="100">
        <f t="shared" si="120"/>
        <v>13750000000</v>
      </c>
      <c r="AJ73" s="100">
        <f t="shared" si="120"/>
        <v>13750000000</v>
      </c>
      <c r="AK73" s="100">
        <f t="shared" si="120"/>
        <v>13750000000</v>
      </c>
      <c r="AL73" s="100">
        <f t="shared" si="120"/>
        <v>13750000000</v>
      </c>
      <c r="AM73" s="100">
        <f t="shared" si="120"/>
        <v>13750000000</v>
      </c>
      <c r="AN73" s="100">
        <f t="shared" si="120"/>
        <v>13750000000</v>
      </c>
      <c r="AO73" s="100">
        <f t="shared" si="120"/>
        <v>13750000000</v>
      </c>
      <c r="AP73" s="100">
        <f t="shared" si="120"/>
        <v>13750000000</v>
      </c>
      <c r="AQ73" s="100">
        <f t="shared" si="120"/>
        <v>13750000000</v>
      </c>
      <c r="AR73" s="100">
        <f t="shared" si="120"/>
        <v>13750000000</v>
      </c>
      <c r="AS73" s="100">
        <f t="shared" si="120"/>
        <v>13750000000</v>
      </c>
      <c r="AT73" s="100">
        <f t="shared" si="120"/>
        <v>13750000000</v>
      </c>
      <c r="AU73" s="100">
        <f t="shared" si="120"/>
        <v>13750000000</v>
      </c>
      <c r="AV73" s="100">
        <f t="shared" si="120"/>
        <v>13750000000</v>
      </c>
      <c r="AW73" s="100">
        <f t="shared" si="120"/>
        <v>13750000000</v>
      </c>
      <c r="AX73" s="100">
        <f t="shared" si="120"/>
        <v>13750000000</v>
      </c>
      <c r="AY73" s="100">
        <f t="shared" si="120"/>
        <v>13750000000</v>
      </c>
      <c r="AZ73" s="100">
        <f t="shared" si="120"/>
        <v>13750000000</v>
      </c>
      <c r="BA73" s="101">
        <f t="shared" si="100"/>
        <v>275000</v>
      </c>
      <c r="BB73" s="101">
        <f>IFERROR(up_RadSpec!$E$7*(BB7/$B73),".")</f>
        <v>68750</v>
      </c>
      <c r="BC73" s="101">
        <f>IFERROR(up_RadSpec!$E$7*(BC7/$B73),".")</f>
        <v>68750</v>
      </c>
      <c r="BD73" s="101">
        <f>IFERROR(up_RadSpec!$E$7*(BD7/$B73),".")</f>
        <v>68750</v>
      </c>
      <c r="BE73" s="101">
        <f>IFERROR(up_RadSpec!$E$7*(BE7/$B73),".")</f>
        <v>68750</v>
      </c>
      <c r="BF73" s="101">
        <f>IFERROR(up_RadSpec!$E$7*(BF7/$B73),".")</f>
        <v>68750</v>
      </c>
      <c r="BG73" s="101">
        <f>IFERROR(up_RadSpec!$E$7*(BG7/$B73),".")</f>
        <v>68750</v>
      </c>
      <c r="BH73" s="101">
        <f>IFERROR(up_RadSpec!$E$7*(BH7/$B73),".")</f>
        <v>68750</v>
      </c>
      <c r="BI73" s="101">
        <f>IFERROR(up_RadSpec!$E$7*(BI7/$B73),".")</f>
        <v>68750</v>
      </c>
      <c r="BJ73" s="101">
        <f>IFERROR(up_RadSpec!$E$7*(BJ7/$B73),".")</f>
        <v>68750</v>
      </c>
      <c r="BK73" s="101">
        <f>IFERROR(up_RadSpec!$E$7*(BK7/$B73),".")</f>
        <v>68750</v>
      </c>
      <c r="BL73" s="101">
        <f>IFERROR(up_RadSpec!$E$7*(BL7/$B73),".")</f>
        <v>68750</v>
      </c>
      <c r="BM73" s="101">
        <f>IFERROR(up_RadSpec!$E$7*(BM7/$B73),".")</f>
        <v>68750</v>
      </c>
      <c r="BN73" s="101">
        <f>IFERROR(up_RadSpec!$E$7*(BN7/$B73),".")</f>
        <v>68750</v>
      </c>
      <c r="BO73" s="101">
        <f>IFERROR(up_RadSpec!$E$7*(BO7/$B73),".")</f>
        <v>68750</v>
      </c>
      <c r="BP73" s="101">
        <f>IFERROR(up_RadSpec!$E$7*(BP7/$B73),".")</f>
        <v>68750</v>
      </c>
      <c r="BQ73" s="101">
        <f>IFERROR(up_RadSpec!$E$7*(BQ7/$B73),".")</f>
        <v>68750</v>
      </c>
      <c r="BR73" s="101">
        <f>IFERROR(up_RadSpec!$E$7*(BR7/$B73),".")</f>
        <v>68750</v>
      </c>
      <c r="BS73" s="101">
        <f>IFERROR(up_RadSpec!$E$7*(BS7/$B73),".")</f>
        <v>68750</v>
      </c>
      <c r="BT73" s="101">
        <f>IFERROR(up_RadSpec!$E$7*(BT7/$B73),".")</f>
        <v>68750</v>
      </c>
      <c r="BU73" s="101">
        <f>IFERROR(up_RadSpec!$E$7*(BU7/$B73),".")</f>
        <v>68750</v>
      </c>
      <c r="BV73" s="101">
        <f>IFERROR(up_RadSpec!$E$7*(BV7/$B73),".")</f>
        <v>68750</v>
      </c>
      <c r="BW73" s="101">
        <f>IFERROR(up_RadSpec!$E$7*(BW7/$B73),".")</f>
        <v>68750</v>
      </c>
      <c r="BX73" s="101">
        <f>IFERROR(up_RadSpec!$E$7*(BX7/$B73),".")</f>
        <v>68750</v>
      </c>
      <c r="BY73" s="101">
        <f>IFERROR(up_RadSpec!$E$7*(BY7/$B73),".")</f>
        <v>68750</v>
      </c>
    </row>
    <row r="74" spans="1:77" x14ac:dyDescent="0.25">
      <c r="A74" s="99" t="s">
        <v>1098</v>
      </c>
      <c r="B74" s="104">
        <v>1.9000000000000001E-8</v>
      </c>
      <c r="C74" s="100">
        <f t="shared" si="103"/>
        <v>65.312500000000014</v>
      </c>
      <c r="D74" s="100">
        <f t="shared" ref="D74:AA74" si="121">IFERROR($B74/D12,0)</f>
        <v>261.25000000000006</v>
      </c>
      <c r="E74" s="100">
        <f t="shared" si="121"/>
        <v>261.25000000000006</v>
      </c>
      <c r="F74" s="100">
        <f t="shared" si="121"/>
        <v>261.25000000000006</v>
      </c>
      <c r="G74" s="100">
        <f t="shared" si="121"/>
        <v>261.25000000000006</v>
      </c>
      <c r="H74" s="100">
        <f t="shared" si="121"/>
        <v>261.25000000000006</v>
      </c>
      <c r="I74" s="100">
        <f t="shared" si="121"/>
        <v>261.25000000000006</v>
      </c>
      <c r="J74" s="100">
        <f t="shared" si="121"/>
        <v>261.25000000000006</v>
      </c>
      <c r="K74" s="100">
        <f t="shared" si="121"/>
        <v>261.25000000000006</v>
      </c>
      <c r="L74" s="100">
        <f t="shared" si="121"/>
        <v>261.25000000000006</v>
      </c>
      <c r="M74" s="100">
        <f t="shared" si="121"/>
        <v>261.25000000000006</v>
      </c>
      <c r="N74" s="100">
        <f t="shared" si="121"/>
        <v>261.25000000000006</v>
      </c>
      <c r="O74" s="100">
        <f t="shared" si="121"/>
        <v>261.25000000000006</v>
      </c>
      <c r="P74" s="100">
        <f t="shared" si="121"/>
        <v>261.25000000000006</v>
      </c>
      <c r="Q74" s="100">
        <f t="shared" si="121"/>
        <v>261.25000000000006</v>
      </c>
      <c r="R74" s="100">
        <f t="shared" si="121"/>
        <v>261.25000000000006</v>
      </c>
      <c r="S74" s="100">
        <f t="shared" si="121"/>
        <v>261.25000000000006</v>
      </c>
      <c r="T74" s="100">
        <f t="shared" si="121"/>
        <v>261.25000000000006</v>
      </c>
      <c r="U74" s="100">
        <f t="shared" si="121"/>
        <v>261.25000000000006</v>
      </c>
      <c r="V74" s="100">
        <f t="shared" si="121"/>
        <v>261.25000000000006</v>
      </c>
      <c r="W74" s="100">
        <f t="shared" si="121"/>
        <v>261.25000000000006</v>
      </c>
      <c r="X74" s="100">
        <f t="shared" si="121"/>
        <v>261.25000000000006</v>
      </c>
      <c r="Y74" s="100">
        <f t="shared" si="121"/>
        <v>261.25000000000006</v>
      </c>
      <c r="Z74" s="100">
        <f t="shared" si="121"/>
        <v>261.25000000000006</v>
      </c>
      <c r="AA74" s="100">
        <f t="shared" si="121"/>
        <v>261.25000000000006</v>
      </c>
      <c r="AB74" s="100">
        <f t="shared" si="107"/>
        <v>65.312500000000014</v>
      </c>
      <c r="AC74" s="100">
        <f t="shared" ref="AC74:AZ74" si="122">IFERROR($B74/AC12,0)</f>
        <v>261.25000000000006</v>
      </c>
      <c r="AD74" s="100">
        <f t="shared" si="122"/>
        <v>261.25000000000006</v>
      </c>
      <c r="AE74" s="100">
        <f t="shared" si="122"/>
        <v>261.25000000000006</v>
      </c>
      <c r="AF74" s="100">
        <f t="shared" si="122"/>
        <v>261.25000000000006</v>
      </c>
      <c r="AG74" s="100">
        <f t="shared" si="122"/>
        <v>261.25000000000006</v>
      </c>
      <c r="AH74" s="100">
        <f t="shared" si="122"/>
        <v>261.25000000000006</v>
      </c>
      <c r="AI74" s="100">
        <f t="shared" si="122"/>
        <v>261.25000000000006</v>
      </c>
      <c r="AJ74" s="100">
        <f t="shared" si="122"/>
        <v>261.25000000000006</v>
      </c>
      <c r="AK74" s="100">
        <f t="shared" si="122"/>
        <v>261.25000000000006</v>
      </c>
      <c r="AL74" s="100">
        <f t="shared" si="122"/>
        <v>261.25000000000006</v>
      </c>
      <c r="AM74" s="100">
        <f t="shared" si="122"/>
        <v>261.25000000000006</v>
      </c>
      <c r="AN74" s="100">
        <f t="shared" si="122"/>
        <v>261.25000000000006</v>
      </c>
      <c r="AO74" s="100">
        <f t="shared" si="122"/>
        <v>261.25000000000006</v>
      </c>
      <c r="AP74" s="100">
        <f t="shared" si="122"/>
        <v>261.25000000000006</v>
      </c>
      <c r="AQ74" s="100">
        <f t="shared" si="122"/>
        <v>261.25000000000006</v>
      </c>
      <c r="AR74" s="100">
        <f t="shared" si="122"/>
        <v>261.25000000000006</v>
      </c>
      <c r="AS74" s="100">
        <f t="shared" si="122"/>
        <v>261.25000000000006</v>
      </c>
      <c r="AT74" s="100">
        <f t="shared" si="122"/>
        <v>261.25000000000006</v>
      </c>
      <c r="AU74" s="100">
        <f t="shared" si="122"/>
        <v>261.25000000000006</v>
      </c>
      <c r="AV74" s="100">
        <f t="shared" si="122"/>
        <v>261.25000000000006</v>
      </c>
      <c r="AW74" s="100">
        <f t="shared" si="122"/>
        <v>261.25000000000006</v>
      </c>
      <c r="AX74" s="100">
        <f t="shared" si="122"/>
        <v>261.25000000000006</v>
      </c>
      <c r="AY74" s="100">
        <f t="shared" si="122"/>
        <v>261.25000000000006</v>
      </c>
      <c r="AZ74" s="100">
        <f t="shared" si="122"/>
        <v>261.25000000000006</v>
      </c>
      <c r="BA74" s="101">
        <f t="shared" si="100"/>
        <v>14473684210526.316</v>
      </c>
      <c r="BB74" s="101">
        <f>IFERROR(up_RadSpec!$E$12*(BB12/$B74),".")</f>
        <v>3618421052631.5791</v>
      </c>
      <c r="BC74" s="101">
        <f>IFERROR(up_RadSpec!$E$12*(BC12/$B74),".")</f>
        <v>3618421052631.5791</v>
      </c>
      <c r="BD74" s="101">
        <f>IFERROR(up_RadSpec!$E$12*(BD12/$B74),".")</f>
        <v>3618421052631.5791</v>
      </c>
      <c r="BE74" s="101">
        <f>IFERROR(up_RadSpec!$E$12*(BE12/$B74),".")</f>
        <v>3618421052631.5791</v>
      </c>
      <c r="BF74" s="101">
        <f>IFERROR(up_RadSpec!$E$12*(BF12/$B74),".")</f>
        <v>3618421052631.5791</v>
      </c>
      <c r="BG74" s="101">
        <f>IFERROR(up_RadSpec!$E$12*(BG12/$B74),".")</f>
        <v>3618421052631.5791</v>
      </c>
      <c r="BH74" s="101">
        <f>IFERROR(up_RadSpec!$E$12*(BH12/$B74),".")</f>
        <v>3618421052631.5791</v>
      </c>
      <c r="BI74" s="101">
        <f>IFERROR(up_RadSpec!$E$12*(BI12/$B74),".")</f>
        <v>3618421052631.5791</v>
      </c>
      <c r="BJ74" s="101">
        <f>IFERROR(up_RadSpec!$E$12*(BJ12/$B74),".")</f>
        <v>3618421052631.5791</v>
      </c>
      <c r="BK74" s="101">
        <f>IFERROR(up_RadSpec!$E$12*(BK12/$B74),".")</f>
        <v>3618421052631.5791</v>
      </c>
      <c r="BL74" s="101">
        <f>IFERROR(up_RadSpec!$E$12*(BL12/$B74),".")</f>
        <v>3618421052631.5791</v>
      </c>
      <c r="BM74" s="101">
        <f>IFERROR(up_RadSpec!$E$12*(BM12/$B74),".")</f>
        <v>3618421052631.5791</v>
      </c>
      <c r="BN74" s="101">
        <f>IFERROR(up_RadSpec!$E$12*(BN12/$B74),".")</f>
        <v>3618421052631.5791</v>
      </c>
      <c r="BO74" s="101">
        <f>IFERROR(up_RadSpec!$E$12*(BO12/$B74),".")</f>
        <v>3618421052631.5791</v>
      </c>
      <c r="BP74" s="101">
        <f>IFERROR(up_RadSpec!$E$12*(BP12/$B74),".")</f>
        <v>3618421052631.5791</v>
      </c>
      <c r="BQ74" s="101">
        <f>IFERROR(up_RadSpec!$E$12*(BQ12/$B74),".")</f>
        <v>3618421052631.5791</v>
      </c>
      <c r="BR74" s="101">
        <f>IFERROR(up_RadSpec!$E$12*(BR12/$B74),".")</f>
        <v>3618421052631.5791</v>
      </c>
      <c r="BS74" s="101">
        <f>IFERROR(up_RadSpec!$E$12*(BS12/$B74),".")</f>
        <v>3618421052631.5791</v>
      </c>
      <c r="BT74" s="101">
        <f>IFERROR(up_RadSpec!$E$12*(BT12/$B74),".")</f>
        <v>3618421052631.5791</v>
      </c>
      <c r="BU74" s="101">
        <f>IFERROR(up_RadSpec!$E$12*(BU12/$B74),".")</f>
        <v>3618421052631.5791</v>
      </c>
      <c r="BV74" s="101">
        <f>IFERROR(up_RadSpec!$E$12*(BV12/$B74),".")</f>
        <v>3618421052631.5791</v>
      </c>
      <c r="BW74" s="101">
        <f>IFERROR(up_RadSpec!$E$12*(BW12/$B74),".")</f>
        <v>3618421052631.5791</v>
      </c>
      <c r="BX74" s="101">
        <f>IFERROR(up_RadSpec!$E$12*(BX12/$B74),".")</f>
        <v>3618421052631.5791</v>
      </c>
      <c r="BY74" s="101">
        <f>IFERROR(up_RadSpec!$E$12*(BY12/$B74),".")</f>
        <v>3618421052631.5791</v>
      </c>
    </row>
    <row r="75" spans="1:77" x14ac:dyDescent="0.25">
      <c r="A75" s="99" t="s">
        <v>1099</v>
      </c>
      <c r="B75" s="90">
        <v>1</v>
      </c>
      <c r="C75" s="100">
        <f t="shared" si="103"/>
        <v>3437500000</v>
      </c>
      <c r="D75" s="100">
        <f t="shared" ref="D75:AA75" si="123">IFERROR($B75/D18,0)</f>
        <v>13750000000</v>
      </c>
      <c r="E75" s="100">
        <f t="shared" si="123"/>
        <v>13750000000</v>
      </c>
      <c r="F75" s="100">
        <f t="shared" si="123"/>
        <v>13750000000</v>
      </c>
      <c r="G75" s="100">
        <f t="shared" si="123"/>
        <v>13750000000</v>
      </c>
      <c r="H75" s="100">
        <f t="shared" si="123"/>
        <v>13750000000</v>
      </c>
      <c r="I75" s="100">
        <f t="shared" si="123"/>
        <v>13750000000</v>
      </c>
      <c r="J75" s="100">
        <f t="shared" si="123"/>
        <v>13750000000</v>
      </c>
      <c r="K75" s="100">
        <f t="shared" si="123"/>
        <v>13750000000</v>
      </c>
      <c r="L75" s="100">
        <f t="shared" si="123"/>
        <v>13750000000</v>
      </c>
      <c r="M75" s="100">
        <f t="shared" si="123"/>
        <v>13750000000</v>
      </c>
      <c r="N75" s="100">
        <f t="shared" si="123"/>
        <v>13750000000</v>
      </c>
      <c r="O75" s="100">
        <f t="shared" si="123"/>
        <v>13750000000</v>
      </c>
      <c r="P75" s="100">
        <f t="shared" si="123"/>
        <v>13750000000</v>
      </c>
      <c r="Q75" s="100">
        <f t="shared" si="123"/>
        <v>13750000000</v>
      </c>
      <c r="R75" s="100">
        <f t="shared" si="123"/>
        <v>13750000000</v>
      </c>
      <c r="S75" s="100">
        <f t="shared" si="123"/>
        <v>13750000000</v>
      </c>
      <c r="T75" s="100">
        <f t="shared" si="123"/>
        <v>13750000000</v>
      </c>
      <c r="U75" s="100">
        <f t="shared" si="123"/>
        <v>13750000000</v>
      </c>
      <c r="V75" s="100">
        <f t="shared" si="123"/>
        <v>13750000000</v>
      </c>
      <c r="W75" s="100">
        <f t="shared" si="123"/>
        <v>13750000000</v>
      </c>
      <c r="X75" s="100">
        <f t="shared" si="123"/>
        <v>13750000000</v>
      </c>
      <c r="Y75" s="100">
        <f t="shared" si="123"/>
        <v>13750000000</v>
      </c>
      <c r="Z75" s="100">
        <f t="shared" si="123"/>
        <v>13750000000</v>
      </c>
      <c r="AA75" s="100">
        <f t="shared" si="123"/>
        <v>13750000000</v>
      </c>
      <c r="AB75" s="100">
        <f t="shared" si="107"/>
        <v>3437500000</v>
      </c>
      <c r="AC75" s="100">
        <f t="shared" ref="AC75:AZ75" si="124">IFERROR($B75/AC18,0)</f>
        <v>13750000000</v>
      </c>
      <c r="AD75" s="100">
        <f t="shared" si="124"/>
        <v>13750000000</v>
      </c>
      <c r="AE75" s="100">
        <f t="shared" si="124"/>
        <v>13750000000</v>
      </c>
      <c r="AF75" s="100">
        <f t="shared" si="124"/>
        <v>13750000000</v>
      </c>
      <c r="AG75" s="100">
        <f t="shared" si="124"/>
        <v>13750000000</v>
      </c>
      <c r="AH75" s="100">
        <f t="shared" si="124"/>
        <v>13750000000</v>
      </c>
      <c r="AI75" s="100">
        <f t="shared" si="124"/>
        <v>13750000000</v>
      </c>
      <c r="AJ75" s="100">
        <f t="shared" si="124"/>
        <v>13750000000</v>
      </c>
      <c r="AK75" s="100">
        <f t="shared" si="124"/>
        <v>13750000000</v>
      </c>
      <c r="AL75" s="100">
        <f t="shared" si="124"/>
        <v>13750000000</v>
      </c>
      <c r="AM75" s="100">
        <f t="shared" si="124"/>
        <v>13750000000</v>
      </c>
      <c r="AN75" s="100">
        <f t="shared" si="124"/>
        <v>13750000000</v>
      </c>
      <c r="AO75" s="100">
        <f t="shared" si="124"/>
        <v>13750000000</v>
      </c>
      <c r="AP75" s="100">
        <f t="shared" si="124"/>
        <v>13750000000</v>
      </c>
      <c r="AQ75" s="100">
        <f t="shared" si="124"/>
        <v>13750000000</v>
      </c>
      <c r="AR75" s="100">
        <f t="shared" si="124"/>
        <v>13750000000</v>
      </c>
      <c r="AS75" s="100">
        <f t="shared" si="124"/>
        <v>13750000000</v>
      </c>
      <c r="AT75" s="100">
        <f t="shared" si="124"/>
        <v>13750000000</v>
      </c>
      <c r="AU75" s="100">
        <f t="shared" si="124"/>
        <v>13750000000</v>
      </c>
      <c r="AV75" s="100">
        <f t="shared" si="124"/>
        <v>13750000000</v>
      </c>
      <c r="AW75" s="100">
        <f t="shared" si="124"/>
        <v>13750000000</v>
      </c>
      <c r="AX75" s="100">
        <f t="shared" si="124"/>
        <v>13750000000</v>
      </c>
      <c r="AY75" s="100">
        <f t="shared" si="124"/>
        <v>13750000000</v>
      </c>
      <c r="AZ75" s="100">
        <f t="shared" si="124"/>
        <v>13750000000</v>
      </c>
      <c r="BA75" s="101">
        <f t="shared" si="100"/>
        <v>275000</v>
      </c>
      <c r="BB75" s="101">
        <f>IFERROR(up_RadSpec!$E$18*(BB18/$B75),".")</f>
        <v>68750</v>
      </c>
      <c r="BC75" s="101">
        <f>IFERROR(up_RadSpec!$E$18*(BC18/$B75),".")</f>
        <v>68750</v>
      </c>
      <c r="BD75" s="101">
        <f>IFERROR(up_RadSpec!$E$18*(BD18/$B75),".")</f>
        <v>68750</v>
      </c>
      <c r="BE75" s="101">
        <f>IFERROR(up_RadSpec!$E$18*(BE18/$B75),".")</f>
        <v>68750</v>
      </c>
      <c r="BF75" s="101">
        <f>IFERROR(up_RadSpec!$E$18*(BF18/$B75),".")</f>
        <v>68750</v>
      </c>
      <c r="BG75" s="101">
        <f>IFERROR(up_RadSpec!$E$18*(BG18/$B75),".")</f>
        <v>68750</v>
      </c>
      <c r="BH75" s="101">
        <f>IFERROR(up_RadSpec!$E$18*(BH18/$B75),".")</f>
        <v>68750</v>
      </c>
      <c r="BI75" s="101">
        <f>IFERROR(up_RadSpec!$E$18*(BI18/$B75),".")</f>
        <v>68750</v>
      </c>
      <c r="BJ75" s="101">
        <f>IFERROR(up_RadSpec!$E$18*(BJ18/$B75),".")</f>
        <v>68750</v>
      </c>
      <c r="BK75" s="101">
        <f>IFERROR(up_RadSpec!$E$18*(BK18/$B75),".")</f>
        <v>68750</v>
      </c>
      <c r="BL75" s="101">
        <f>IFERROR(up_RadSpec!$E$18*(BL18/$B75),".")</f>
        <v>68750</v>
      </c>
      <c r="BM75" s="101">
        <f>IFERROR(up_RadSpec!$E$18*(BM18/$B75),".")</f>
        <v>68750</v>
      </c>
      <c r="BN75" s="101">
        <f>IFERROR(up_RadSpec!$E$18*(BN18/$B75),".")</f>
        <v>68750</v>
      </c>
      <c r="BO75" s="101">
        <f>IFERROR(up_RadSpec!$E$18*(BO18/$B75),".")</f>
        <v>68750</v>
      </c>
      <c r="BP75" s="101">
        <f>IFERROR(up_RadSpec!$E$18*(BP18/$B75),".")</f>
        <v>68750</v>
      </c>
      <c r="BQ75" s="101">
        <f>IFERROR(up_RadSpec!$E$18*(BQ18/$B75),".")</f>
        <v>68750</v>
      </c>
      <c r="BR75" s="101">
        <f>IFERROR(up_RadSpec!$E$18*(BR18/$B75),".")</f>
        <v>68750</v>
      </c>
      <c r="BS75" s="101">
        <f>IFERROR(up_RadSpec!$E$18*(BS18/$B75),".")</f>
        <v>68750</v>
      </c>
      <c r="BT75" s="101">
        <f>IFERROR(up_RadSpec!$E$18*(BT18/$B75),".")</f>
        <v>68750</v>
      </c>
      <c r="BU75" s="101">
        <f>IFERROR(up_RadSpec!$E$18*(BU18/$B75),".")</f>
        <v>68750</v>
      </c>
      <c r="BV75" s="101">
        <f>IFERROR(up_RadSpec!$E$18*(BV18/$B75),".")</f>
        <v>68750</v>
      </c>
      <c r="BW75" s="101">
        <f>IFERROR(up_RadSpec!$E$18*(BW18/$B75),".")</f>
        <v>68750</v>
      </c>
      <c r="BX75" s="101">
        <f>IFERROR(up_RadSpec!$E$18*(BX18/$B75),".")</f>
        <v>68750</v>
      </c>
      <c r="BY75" s="101">
        <f>IFERROR(up_RadSpec!$E$18*(BY18/$B75),".")</f>
        <v>68750</v>
      </c>
    </row>
    <row r="76" spans="1:77" x14ac:dyDescent="0.25">
      <c r="A76" s="99" t="s">
        <v>1100</v>
      </c>
      <c r="B76" s="90">
        <v>1.339E-6</v>
      </c>
      <c r="C76" s="100">
        <f t="shared" si="103"/>
        <v>4602.8125</v>
      </c>
      <c r="D76" s="100">
        <f t="shared" ref="D76:AA76" si="125">IFERROR($B76/D27,0)</f>
        <v>18411.25</v>
      </c>
      <c r="E76" s="100">
        <f t="shared" si="125"/>
        <v>18411.25</v>
      </c>
      <c r="F76" s="100">
        <f t="shared" si="125"/>
        <v>18411.25</v>
      </c>
      <c r="G76" s="100">
        <f t="shared" si="125"/>
        <v>18411.25</v>
      </c>
      <c r="H76" s="100">
        <f t="shared" si="125"/>
        <v>18411.25</v>
      </c>
      <c r="I76" s="100">
        <f t="shared" si="125"/>
        <v>18411.25</v>
      </c>
      <c r="J76" s="100">
        <f t="shared" si="125"/>
        <v>18411.25</v>
      </c>
      <c r="K76" s="100">
        <f t="shared" si="125"/>
        <v>18411.25</v>
      </c>
      <c r="L76" s="100">
        <f t="shared" si="125"/>
        <v>18411.25</v>
      </c>
      <c r="M76" s="100">
        <f t="shared" si="125"/>
        <v>18411.25</v>
      </c>
      <c r="N76" s="100">
        <f t="shared" si="125"/>
        <v>18411.25</v>
      </c>
      <c r="O76" s="100">
        <f t="shared" si="125"/>
        <v>18411.25</v>
      </c>
      <c r="P76" s="100">
        <f t="shared" si="125"/>
        <v>18411.25</v>
      </c>
      <c r="Q76" s="100">
        <f t="shared" si="125"/>
        <v>18411.25</v>
      </c>
      <c r="R76" s="100">
        <f t="shared" si="125"/>
        <v>18411.25</v>
      </c>
      <c r="S76" s="100">
        <f t="shared" si="125"/>
        <v>18411.25</v>
      </c>
      <c r="T76" s="100">
        <f t="shared" si="125"/>
        <v>18411.25</v>
      </c>
      <c r="U76" s="100">
        <f t="shared" si="125"/>
        <v>18411.25</v>
      </c>
      <c r="V76" s="100">
        <f t="shared" si="125"/>
        <v>18411.25</v>
      </c>
      <c r="W76" s="100">
        <f t="shared" si="125"/>
        <v>18411.25</v>
      </c>
      <c r="X76" s="100">
        <f t="shared" si="125"/>
        <v>18411.25</v>
      </c>
      <c r="Y76" s="100">
        <f t="shared" si="125"/>
        <v>18411.25</v>
      </c>
      <c r="Z76" s="100">
        <f t="shared" si="125"/>
        <v>18411.25</v>
      </c>
      <c r="AA76" s="100">
        <f t="shared" si="125"/>
        <v>18411.25</v>
      </c>
      <c r="AB76" s="100">
        <f t="shared" si="107"/>
        <v>4602.8125</v>
      </c>
      <c r="AC76" s="100">
        <f t="shared" ref="AC76:AZ76" si="126">IFERROR($B76/AC27,0)</f>
        <v>18411.25</v>
      </c>
      <c r="AD76" s="100">
        <f t="shared" si="126"/>
        <v>18411.25</v>
      </c>
      <c r="AE76" s="100">
        <f t="shared" si="126"/>
        <v>18411.25</v>
      </c>
      <c r="AF76" s="100">
        <f t="shared" si="126"/>
        <v>18411.25</v>
      </c>
      <c r="AG76" s="100">
        <f t="shared" si="126"/>
        <v>18411.25</v>
      </c>
      <c r="AH76" s="100">
        <f t="shared" si="126"/>
        <v>18411.25</v>
      </c>
      <c r="AI76" s="100">
        <f t="shared" si="126"/>
        <v>18411.25</v>
      </c>
      <c r="AJ76" s="100">
        <f t="shared" si="126"/>
        <v>18411.25</v>
      </c>
      <c r="AK76" s="100">
        <f t="shared" si="126"/>
        <v>18411.25</v>
      </c>
      <c r="AL76" s="100">
        <f t="shared" si="126"/>
        <v>18411.25</v>
      </c>
      <c r="AM76" s="100">
        <f t="shared" si="126"/>
        <v>18411.25</v>
      </c>
      <c r="AN76" s="100">
        <f t="shared" si="126"/>
        <v>18411.25</v>
      </c>
      <c r="AO76" s="100">
        <f t="shared" si="126"/>
        <v>18411.25</v>
      </c>
      <c r="AP76" s="100">
        <f t="shared" si="126"/>
        <v>18411.25</v>
      </c>
      <c r="AQ76" s="100">
        <f t="shared" si="126"/>
        <v>18411.25</v>
      </c>
      <c r="AR76" s="100">
        <f t="shared" si="126"/>
        <v>18411.25</v>
      </c>
      <c r="AS76" s="100">
        <f t="shared" si="126"/>
        <v>18411.25</v>
      </c>
      <c r="AT76" s="100">
        <f t="shared" si="126"/>
        <v>18411.25</v>
      </c>
      <c r="AU76" s="100">
        <f t="shared" si="126"/>
        <v>18411.25</v>
      </c>
      <c r="AV76" s="100">
        <f t="shared" si="126"/>
        <v>18411.25</v>
      </c>
      <c r="AW76" s="100">
        <f t="shared" si="126"/>
        <v>18411.25</v>
      </c>
      <c r="AX76" s="100">
        <f t="shared" si="126"/>
        <v>18411.25</v>
      </c>
      <c r="AY76" s="100">
        <f t="shared" si="126"/>
        <v>18411.25</v>
      </c>
      <c r="AZ76" s="100">
        <f t="shared" si="126"/>
        <v>18411.25</v>
      </c>
      <c r="BA76" s="101">
        <f t="shared" si="100"/>
        <v>205377147124.71991</v>
      </c>
      <c r="BB76" s="101">
        <f>IFERROR(up_RadSpec!$E$27*(BB27/$B76),".")</f>
        <v>51344286781.179977</v>
      </c>
      <c r="BC76" s="101">
        <f>IFERROR(up_RadSpec!$E$27*(BC27/$B76),".")</f>
        <v>51344286781.179977</v>
      </c>
      <c r="BD76" s="101">
        <f>IFERROR(up_RadSpec!$E$27*(BD27/$B76),".")</f>
        <v>51344286781.179977</v>
      </c>
      <c r="BE76" s="101">
        <f>IFERROR(up_RadSpec!$E$27*(BE27/$B76),".")</f>
        <v>51344286781.179977</v>
      </c>
      <c r="BF76" s="101">
        <f>IFERROR(up_RadSpec!$E$27*(BF27/$B76),".")</f>
        <v>51344286781.179977</v>
      </c>
      <c r="BG76" s="101">
        <f>IFERROR(up_RadSpec!$E$27*(BG27/$B76),".")</f>
        <v>51344286781.179977</v>
      </c>
      <c r="BH76" s="101">
        <f>IFERROR(up_RadSpec!$E$27*(BH27/$B76),".")</f>
        <v>51344286781.179977</v>
      </c>
      <c r="BI76" s="101">
        <f>IFERROR(up_RadSpec!$E$27*(BI27/$B76),".")</f>
        <v>51344286781.179977</v>
      </c>
      <c r="BJ76" s="101">
        <f>IFERROR(up_RadSpec!$E$27*(BJ27/$B76),".")</f>
        <v>51344286781.179977</v>
      </c>
      <c r="BK76" s="101">
        <f>IFERROR(up_RadSpec!$E$27*(BK27/$B76),".")</f>
        <v>51344286781.179977</v>
      </c>
      <c r="BL76" s="101">
        <f>IFERROR(up_RadSpec!$E$27*(BL27/$B76),".")</f>
        <v>51344286781.179977</v>
      </c>
      <c r="BM76" s="101">
        <f>IFERROR(up_RadSpec!$E$27*(BM27/$B76),".")</f>
        <v>51344286781.179977</v>
      </c>
      <c r="BN76" s="101">
        <f>IFERROR(up_RadSpec!$E$27*(BN27/$B76),".")</f>
        <v>51344286781.179977</v>
      </c>
      <c r="BO76" s="101">
        <f>IFERROR(up_RadSpec!$E$27*(BO27/$B76),".")</f>
        <v>51344286781.179977</v>
      </c>
      <c r="BP76" s="101">
        <f>IFERROR(up_RadSpec!$E$27*(BP27/$B76),".")</f>
        <v>51344286781.179977</v>
      </c>
      <c r="BQ76" s="101">
        <f>IFERROR(up_RadSpec!$E$27*(BQ27/$B76),".")</f>
        <v>51344286781.179977</v>
      </c>
      <c r="BR76" s="101">
        <f>IFERROR(up_RadSpec!$E$27*(BR27/$B76),".")</f>
        <v>51344286781.179977</v>
      </c>
      <c r="BS76" s="101">
        <f>IFERROR(up_RadSpec!$E$27*(BS27/$B76),".")</f>
        <v>51344286781.179977</v>
      </c>
      <c r="BT76" s="101">
        <f>IFERROR(up_RadSpec!$E$27*(BT27/$B76),".")</f>
        <v>51344286781.179977</v>
      </c>
      <c r="BU76" s="101">
        <f>IFERROR(up_RadSpec!$E$27*(BU27/$B76),".")</f>
        <v>51344286781.179977</v>
      </c>
      <c r="BV76" s="101">
        <f>IFERROR(up_RadSpec!$E$27*(BV27/$B76),".")</f>
        <v>51344286781.179977</v>
      </c>
      <c r="BW76" s="101">
        <f>IFERROR(up_RadSpec!$E$27*(BW27/$B76),".")</f>
        <v>51344286781.179977</v>
      </c>
      <c r="BX76" s="101">
        <f>IFERROR(up_RadSpec!$E$27*(BX27/$B76),".")</f>
        <v>51344286781.179977</v>
      </c>
      <c r="BY76" s="101">
        <f>IFERROR(up_RadSpec!$E$27*(BY27/$B76),".")</f>
        <v>51344286781.179977</v>
      </c>
    </row>
  </sheetData>
  <sheetProtection algorithmName="SHA-512" hashValue="qulqu2pvYXy+O3bj/rm7fvdiyHlgBVeZfyV6Svi4sguYW7vTR21hRgdBSiFwL/KqDCdI/b/Xhu0zCLREdSRBHg==" saltValue="zEFbjj5up6QbZ6wV9l+Y+g==" spinCount="100000" sheet="1" objects="1" scenarios="1" formatColumns="0" formatRows="0" autoFilter="0"/>
  <autoFilter ref="A1:BY76" xr:uid="{0D17F666-105E-4FEE-AC22-BBB8076B344D}"/>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CX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4.5703125" style="42" bestFit="1" customWidth="1"/>
    <col min="2" max="2" width="11.7109375" style="42" bestFit="1" customWidth="1"/>
    <col min="3" max="3" width="24.42578125" style="42" bestFit="1" customWidth="1"/>
    <col min="4" max="4" width="14.5703125" style="42" bestFit="1" customWidth="1"/>
    <col min="5" max="5" width="14.28515625" style="42" bestFit="1" customWidth="1"/>
    <col min="6" max="6" width="13.85546875" style="42" bestFit="1" customWidth="1"/>
    <col min="7" max="7" width="14.28515625" style="42" bestFit="1" customWidth="1"/>
    <col min="8" max="8" width="13.7109375" style="42" bestFit="1" customWidth="1"/>
    <col min="9" max="9" width="14" style="42" bestFit="1" customWidth="1"/>
    <col min="10" max="10" width="13.140625" style="42" bestFit="1" customWidth="1"/>
    <col min="11" max="11" width="14.5703125" style="42" bestFit="1" customWidth="1"/>
    <col min="12" max="12" width="13.7109375" style="42" bestFit="1" customWidth="1"/>
    <col min="13" max="13" width="15.42578125" style="42" bestFit="1" customWidth="1"/>
    <col min="14" max="14" width="12.85546875" style="42" bestFit="1" customWidth="1"/>
    <col min="15" max="15" width="13.42578125" style="42" bestFit="1" customWidth="1"/>
    <col min="16" max="16" width="13.5703125" style="42" bestFit="1" customWidth="1"/>
    <col min="17" max="17" width="14.7109375" style="42" bestFit="1" customWidth="1"/>
    <col min="18" max="18" width="15" style="42" bestFit="1" customWidth="1"/>
    <col min="19" max="19" width="13.7109375" style="42" bestFit="1" customWidth="1"/>
    <col min="20" max="20" width="13" style="42" bestFit="1" customWidth="1"/>
    <col min="21" max="21" width="14.42578125" style="42" bestFit="1" customWidth="1"/>
    <col min="22" max="22" width="14.85546875" style="42" bestFit="1" customWidth="1"/>
    <col min="23" max="23" width="13.85546875" style="42" bestFit="1" customWidth="1"/>
    <col min="24" max="24" width="14.5703125" style="42" bestFit="1" customWidth="1"/>
    <col min="25" max="25" width="13.42578125" style="42" bestFit="1" customWidth="1"/>
    <col min="26" max="26" width="13" style="42" bestFit="1" customWidth="1"/>
    <col min="27" max="27" width="15" style="42" bestFit="1" customWidth="1"/>
    <col min="28" max="28" width="20.7109375" style="42" bestFit="1" customWidth="1"/>
    <col min="29" max="30" width="14.7109375" style="42" bestFit="1" customWidth="1"/>
    <col min="31" max="31" width="13.85546875" style="42" bestFit="1" customWidth="1"/>
    <col min="32" max="32" width="14.5703125" style="42" bestFit="1" customWidth="1"/>
    <col min="33" max="33" width="13.85546875" style="42" bestFit="1" customWidth="1"/>
    <col min="34" max="34" width="14.140625" style="42" bestFit="1" customWidth="1"/>
    <col min="35" max="35" width="13.5703125" style="42" bestFit="1" customWidth="1"/>
    <col min="36" max="36" width="14.7109375" style="42" bestFit="1" customWidth="1"/>
    <col min="37" max="37" width="13.85546875" style="42" bestFit="1" customWidth="1"/>
    <col min="38" max="38" width="15.5703125" style="42" bestFit="1" customWidth="1"/>
    <col min="39" max="39" width="13.140625" style="42" bestFit="1" customWidth="1"/>
    <col min="40" max="40" width="13.85546875" style="42" bestFit="1" customWidth="1"/>
    <col min="41" max="41" width="14" style="42" bestFit="1" customWidth="1"/>
    <col min="42" max="42" width="14.7109375" style="42" bestFit="1" customWidth="1"/>
    <col min="43" max="43" width="15" style="42" bestFit="1" customWidth="1"/>
    <col min="44" max="44" width="14" style="42" bestFit="1" customWidth="1"/>
    <col min="45" max="45" width="13.28515625" style="42" bestFit="1" customWidth="1"/>
    <col min="46" max="46" width="14.7109375" style="42" bestFit="1" customWidth="1"/>
    <col min="47" max="47" width="14.85546875" style="42" bestFit="1" customWidth="1"/>
    <col min="48" max="48" width="14" style="42" bestFit="1" customWidth="1"/>
    <col min="49" max="49" width="14.85546875" style="42" bestFit="1" customWidth="1"/>
    <col min="50" max="50" width="13.5703125" style="42" bestFit="1" customWidth="1"/>
    <col min="51" max="51" width="13.28515625" style="42" bestFit="1" customWidth="1"/>
    <col min="52" max="52" width="15.140625" style="42" bestFit="1" customWidth="1"/>
    <col min="53" max="53" width="24.140625" style="42" bestFit="1" customWidth="1"/>
    <col min="54" max="54" width="14.28515625" style="42" bestFit="1" customWidth="1"/>
    <col min="55" max="55" width="14.140625" style="42" bestFit="1" customWidth="1"/>
    <col min="56" max="56" width="13.5703125" style="42" bestFit="1" customWidth="1"/>
    <col min="57" max="57" width="14.140625" style="42" bestFit="1" customWidth="1"/>
    <col min="58" max="58" width="13.42578125" style="42" bestFit="1" customWidth="1"/>
    <col min="59" max="59" width="13.7109375" style="42" bestFit="1" customWidth="1"/>
    <col min="60" max="60" width="13" style="42" bestFit="1" customWidth="1"/>
    <col min="61" max="61" width="14.28515625" style="42" bestFit="1" customWidth="1"/>
    <col min="62" max="62" width="13.42578125" style="42" bestFit="1" customWidth="1"/>
    <col min="63" max="63" width="15.28515625" style="42" bestFit="1" customWidth="1"/>
    <col min="64" max="64" width="12.7109375" style="42" bestFit="1" customWidth="1"/>
    <col min="65" max="65" width="13.28515625" style="42" bestFit="1" customWidth="1"/>
    <col min="66" max="66" width="13.42578125" style="42" bestFit="1" customWidth="1"/>
    <col min="67" max="67" width="14.5703125" style="42" bestFit="1" customWidth="1"/>
    <col min="68" max="68" width="14.7109375" style="42" bestFit="1" customWidth="1"/>
    <col min="69" max="69" width="13.42578125" style="42" bestFit="1" customWidth="1"/>
    <col min="70" max="70" width="12.85546875" style="42" bestFit="1" customWidth="1"/>
    <col min="71" max="71" width="14.140625" style="42" bestFit="1" customWidth="1"/>
    <col min="72" max="72" width="14.5703125" style="42" bestFit="1" customWidth="1"/>
    <col min="73" max="73" width="13.5703125" style="42" bestFit="1" customWidth="1"/>
    <col min="74" max="74" width="14.28515625" style="42" bestFit="1" customWidth="1"/>
    <col min="75" max="75" width="13.140625" style="42" bestFit="1" customWidth="1"/>
    <col min="76" max="76" width="12.85546875" style="42" bestFit="1" customWidth="1"/>
    <col min="77" max="77" width="13.85546875" style="42" bestFit="1" customWidth="1"/>
    <col min="78" max="78" width="20.7109375" style="42" bestFit="1" customWidth="1"/>
    <col min="79" max="79" width="14.5703125" style="42" bestFit="1" customWidth="1"/>
    <col min="80" max="80" width="14.7109375" style="42" bestFit="1" customWidth="1"/>
    <col min="81" max="81" width="13.85546875" style="42" bestFit="1" customWidth="1"/>
    <col min="82" max="82" width="14.42578125" style="42" bestFit="1" customWidth="1"/>
    <col min="83" max="83" width="13.85546875" style="42" bestFit="1" customWidth="1"/>
    <col min="84" max="84" width="14" style="42" bestFit="1" customWidth="1"/>
    <col min="85" max="85" width="13.42578125" style="42" bestFit="1" customWidth="1"/>
    <col min="86" max="86" width="14.7109375" style="42" bestFit="1" customWidth="1"/>
    <col min="87" max="87" width="13.85546875" style="42" bestFit="1" customWidth="1"/>
    <col min="88" max="88" width="15.5703125" style="42" bestFit="1" customWidth="1"/>
    <col min="89" max="89" width="13" style="42" bestFit="1" customWidth="1"/>
    <col min="90" max="91" width="13.85546875" style="42" bestFit="1" customWidth="1"/>
    <col min="92" max="92" width="14.7109375" style="42" bestFit="1" customWidth="1"/>
    <col min="93" max="93" width="15" style="42" bestFit="1" customWidth="1"/>
    <col min="94" max="94" width="13.85546875" style="42" bestFit="1" customWidth="1"/>
    <col min="95" max="95" width="13.140625" style="42" bestFit="1" customWidth="1"/>
    <col min="96" max="96" width="14.5703125" style="42" bestFit="1" customWidth="1"/>
    <col min="97" max="97" width="14.85546875" style="42" bestFit="1" customWidth="1"/>
    <col min="98" max="98" width="14" style="42" bestFit="1" customWidth="1"/>
    <col min="99" max="99" width="14.85546875" style="42" bestFit="1" customWidth="1"/>
    <col min="100" max="100" width="13.5703125" style="42" bestFit="1" customWidth="1"/>
    <col min="101" max="101" width="13.140625" style="42" bestFit="1" customWidth="1"/>
    <col min="102" max="102" width="14.28515625" style="42" bestFit="1" customWidth="1"/>
    <col min="103" max="16384" width="9.140625" style="42"/>
  </cols>
  <sheetData>
    <row r="1" spans="1:102" x14ac:dyDescent="0.25">
      <c r="A1" s="78" t="s">
        <v>51</v>
      </c>
      <c r="B1" s="79" t="s">
        <v>350</v>
      </c>
      <c r="C1" s="80" t="s">
        <v>1473</v>
      </c>
      <c r="D1" s="42" t="s">
        <v>1447</v>
      </c>
      <c r="E1" s="42" t="s">
        <v>1448</v>
      </c>
      <c r="F1" s="42" t="s">
        <v>1449</v>
      </c>
      <c r="G1" s="42" t="s">
        <v>1450</v>
      </c>
      <c r="H1" s="42" t="s">
        <v>1451</v>
      </c>
      <c r="I1" s="42" t="s">
        <v>1452</v>
      </c>
      <c r="J1" s="42" t="s">
        <v>1453</v>
      </c>
      <c r="K1" s="42" t="s">
        <v>1454</v>
      </c>
      <c r="L1" s="42" t="s">
        <v>1455</v>
      </c>
      <c r="M1" s="42" t="s">
        <v>1456</v>
      </c>
      <c r="N1" s="42" t="s">
        <v>1457</v>
      </c>
      <c r="O1" s="42" t="s">
        <v>1458</v>
      </c>
      <c r="P1" s="42" t="s">
        <v>1459</v>
      </c>
      <c r="Q1" s="42" t="s">
        <v>1460</v>
      </c>
      <c r="R1" s="42" t="s">
        <v>1461</v>
      </c>
      <c r="S1" s="42" t="s">
        <v>1462</v>
      </c>
      <c r="T1" s="42" t="s">
        <v>1463</v>
      </c>
      <c r="U1" s="42" t="s">
        <v>1464</v>
      </c>
      <c r="V1" s="42" t="s">
        <v>1465</v>
      </c>
      <c r="W1" s="42" t="s">
        <v>1466</v>
      </c>
      <c r="X1" s="42" t="s">
        <v>1467</v>
      </c>
      <c r="Y1" s="42" t="s">
        <v>1468</v>
      </c>
      <c r="Z1" s="42" t="s">
        <v>1469</v>
      </c>
      <c r="AA1" s="42" t="s">
        <v>1470</v>
      </c>
      <c r="AB1" s="81" t="s">
        <v>1124</v>
      </c>
      <c r="AC1" s="81" t="s">
        <v>1125</v>
      </c>
      <c r="AD1" s="81" t="s">
        <v>1126</v>
      </c>
      <c r="AE1" s="81" t="s">
        <v>1127</v>
      </c>
      <c r="AF1" s="81" t="s">
        <v>1128</v>
      </c>
      <c r="AG1" s="81" t="s">
        <v>1129</v>
      </c>
      <c r="AH1" s="81" t="s">
        <v>1130</v>
      </c>
      <c r="AI1" s="81" t="s">
        <v>1131</v>
      </c>
      <c r="AJ1" s="81" t="s">
        <v>1132</v>
      </c>
      <c r="AK1" s="81" t="s">
        <v>1133</v>
      </c>
      <c r="AL1" s="81" t="s">
        <v>1134</v>
      </c>
      <c r="AM1" s="81" t="s">
        <v>1135</v>
      </c>
      <c r="AN1" s="81" t="s">
        <v>1136</v>
      </c>
      <c r="AO1" s="81" t="s">
        <v>1137</v>
      </c>
      <c r="AP1" s="81" t="s">
        <v>1138</v>
      </c>
      <c r="AQ1" s="81" t="s">
        <v>1139</v>
      </c>
      <c r="AR1" s="81" t="s">
        <v>1140</v>
      </c>
      <c r="AS1" s="81" t="s">
        <v>1141</v>
      </c>
      <c r="AT1" s="81" t="s">
        <v>1142</v>
      </c>
      <c r="AU1" s="81" t="s">
        <v>1143</v>
      </c>
      <c r="AV1" s="81" t="s">
        <v>1144</v>
      </c>
      <c r="AW1" s="81" t="s">
        <v>1145</v>
      </c>
      <c r="AX1" s="81" t="s">
        <v>1146</v>
      </c>
      <c r="AY1" s="81" t="s">
        <v>1147</v>
      </c>
      <c r="AZ1" s="81" t="s">
        <v>1148</v>
      </c>
      <c r="BA1" s="42" t="s">
        <v>1471</v>
      </c>
      <c r="BB1" s="42" t="s">
        <v>1422</v>
      </c>
      <c r="BC1" s="42" t="s">
        <v>1423</v>
      </c>
      <c r="BD1" s="42" t="s">
        <v>1424</v>
      </c>
      <c r="BE1" s="42" t="s">
        <v>1425</v>
      </c>
      <c r="BF1" s="42" t="s">
        <v>1426</v>
      </c>
      <c r="BG1" s="42" t="s">
        <v>1427</v>
      </c>
      <c r="BH1" s="42" t="s">
        <v>1428</v>
      </c>
      <c r="BI1" s="42" t="s">
        <v>1429</v>
      </c>
      <c r="BJ1" s="42" t="s">
        <v>1430</v>
      </c>
      <c r="BK1" s="42" t="s">
        <v>1431</v>
      </c>
      <c r="BL1" s="42" t="s">
        <v>1432</v>
      </c>
      <c r="BM1" s="42" t="s">
        <v>1433</v>
      </c>
      <c r="BN1" s="42" t="s">
        <v>1434</v>
      </c>
      <c r="BO1" s="42" t="s">
        <v>1435</v>
      </c>
      <c r="BP1" s="42" t="s">
        <v>1436</v>
      </c>
      <c r="BQ1" s="42" t="s">
        <v>1437</v>
      </c>
      <c r="BR1" s="42" t="s">
        <v>1438</v>
      </c>
      <c r="BS1" s="42" t="s">
        <v>1439</v>
      </c>
      <c r="BT1" s="42" t="s">
        <v>1440</v>
      </c>
      <c r="BU1" s="42" t="s">
        <v>1441</v>
      </c>
      <c r="BV1" s="42" t="s">
        <v>1442</v>
      </c>
      <c r="BW1" s="42" t="s">
        <v>1443</v>
      </c>
      <c r="BX1" s="42" t="s">
        <v>1444</v>
      </c>
      <c r="BY1" s="42" t="s">
        <v>1445</v>
      </c>
      <c r="BZ1" s="81" t="s">
        <v>1149</v>
      </c>
      <c r="CA1" s="81" t="s">
        <v>1397</v>
      </c>
      <c r="CB1" s="81" t="s">
        <v>1398</v>
      </c>
      <c r="CC1" s="81" t="s">
        <v>1399</v>
      </c>
      <c r="CD1" s="81" t="s">
        <v>1400</v>
      </c>
      <c r="CE1" s="81" t="s">
        <v>1401</v>
      </c>
      <c r="CF1" s="81" t="s">
        <v>1402</v>
      </c>
      <c r="CG1" s="81" t="s">
        <v>1403</v>
      </c>
      <c r="CH1" s="81" t="s">
        <v>1404</v>
      </c>
      <c r="CI1" s="81" t="s">
        <v>1405</v>
      </c>
      <c r="CJ1" s="81" t="s">
        <v>1406</v>
      </c>
      <c r="CK1" s="81" t="s">
        <v>1407</v>
      </c>
      <c r="CL1" s="81" t="s">
        <v>1408</v>
      </c>
      <c r="CM1" s="81" t="s">
        <v>1409</v>
      </c>
      <c r="CN1" s="81" t="s">
        <v>1410</v>
      </c>
      <c r="CO1" s="81" t="s">
        <v>1411</v>
      </c>
      <c r="CP1" s="81" t="s">
        <v>1412</v>
      </c>
      <c r="CQ1" s="81" t="s">
        <v>1413</v>
      </c>
      <c r="CR1" s="81" t="s">
        <v>1414</v>
      </c>
      <c r="CS1" s="81" t="s">
        <v>1415</v>
      </c>
      <c r="CT1" s="81" t="s">
        <v>1416</v>
      </c>
      <c r="CU1" s="81" t="s">
        <v>1417</v>
      </c>
      <c r="CV1" s="81" t="s">
        <v>1418</v>
      </c>
      <c r="CW1" s="81" t="s">
        <v>1419</v>
      </c>
      <c r="CX1" s="81" t="s">
        <v>1420</v>
      </c>
    </row>
    <row r="2" spans="1:102" ht="15" customHeight="1" x14ac:dyDescent="0.25">
      <c r="A2" s="44" t="s">
        <v>12</v>
      </c>
      <c r="B2" s="42" t="s">
        <v>1074</v>
      </c>
      <c r="C2" s="117">
        <f t="shared" ref="C2:C30" si="0">IFERROR(1/SUM(1/D2,1/E2,1/Z2,1/AA2),".")</f>
        <v>3.6265718922545492E-12</v>
      </c>
      <c r="D2" s="117">
        <f>IFERROR((up_dir!D2/(up_Bv!C2+s_MLF_apple)),".")</f>
        <v>1.4506287569018197E-11</v>
      </c>
      <c r="E2" s="117">
        <f>IFERROR((up_dir!E2/(up_Bv!D2+s_MLF_asparagus)),".")</f>
        <v>1.4506287569018197E-11</v>
      </c>
      <c r="F2" s="117">
        <f>IFERROR((up_dir!F2/(up_Bv!E2+s_MLF_beet)),".")</f>
        <v>1.4506287569018197E-11</v>
      </c>
      <c r="G2" s="117">
        <f>IFERROR((up_dir!G2/(up_Bv!F2+s_MLF_berries)),".")</f>
        <v>1.4506287569018197E-11</v>
      </c>
      <c r="H2" s="117">
        <f>IFERROR((up_dir!H2/(up_Bv!G2+s_MLF_broccoli)),".")</f>
        <v>1.4506287569018197E-11</v>
      </c>
      <c r="I2" s="117">
        <f>IFERROR((up_dir!I2/(up_Bv!H2+s_MLF_cabbage)),".")</f>
        <v>1.4506287569018197E-11</v>
      </c>
      <c r="J2" s="117">
        <f>IFERROR((up_dir!J2/(up_Bv!I2+s_MLF_carrot)),".")</f>
        <v>1.4506287569018197E-11</v>
      </c>
      <c r="K2" s="117">
        <f>IFERROR((up_dir!K2/(up_Bv!J2+s_MLF_citrus)),".")</f>
        <v>1.4506287569018197E-11</v>
      </c>
      <c r="L2" s="117">
        <f>IFERROR((up_dir!L2/(up_Bv!K2+s_MLF_corn)),".")</f>
        <v>1.4506287569018197E-11</v>
      </c>
      <c r="M2" s="117">
        <f>IFERROR((up_dir!M2/(up_Bv!L2+s_MLF_cucumber)),".")</f>
        <v>1.4506287569018197E-11</v>
      </c>
      <c r="N2" s="117">
        <f>IFERROR((up_dir!N2/(up_Bv!M2+s_MLF_lettuce)),".")</f>
        <v>1.4506287569018197E-11</v>
      </c>
      <c r="O2" s="117">
        <f>IFERROR((up_dir!O2/(up_Bv!N2+s_MLF_lima_bean)),".")</f>
        <v>1.4506287569018197E-11</v>
      </c>
      <c r="P2" s="117">
        <f>IFERROR((up_dir!P2/(up_Bv!O2+s_MLF_okra)),".")</f>
        <v>1.4506287569018197E-11</v>
      </c>
      <c r="Q2" s="117">
        <f>IFERROR((up_dir!Q2/(up_Bv!P2+s_MLF_onion)),".")</f>
        <v>1.4506287569018197E-11</v>
      </c>
      <c r="R2" s="117">
        <f>IFERROR((up_dir!R2/(up_Bv!Q2+s_MLF_peach)),".")</f>
        <v>1.4506287569018197E-11</v>
      </c>
      <c r="S2" s="117">
        <f>IFERROR((up_dir!S2/(up_Bv!R2+s_MLF_pear)),".")</f>
        <v>1.4506287569018197E-11</v>
      </c>
      <c r="T2" s="117">
        <f>IFERROR((up_dir!T2/(up_Bv!S2+s_MLF_peas)),".")</f>
        <v>1.4506287569018197E-11</v>
      </c>
      <c r="U2" s="117">
        <f>IFERROR((up_dir!U2/(up_Bv!T2+s_MLF_potato)),".")</f>
        <v>1.4506287569018197E-11</v>
      </c>
      <c r="V2" s="117">
        <f>IFERROR((up_dir!V2/(up_Bv!U2+s_MLF_pumpkin)),".")</f>
        <v>1.4506287569018197E-11</v>
      </c>
      <c r="W2" s="117">
        <f>IFERROR((up_dir!W2/(up_Bv!V2+s_MLF_snap_bean)),".")</f>
        <v>1.4506287569018197E-11</v>
      </c>
      <c r="X2" s="117">
        <f>IFERROR((up_dir!X2/(up_Bv!W2+s_MLF_strawberry)),".")</f>
        <v>1.4506287569018197E-11</v>
      </c>
      <c r="Y2" s="117">
        <f>IFERROR((up_dir!Y2/(up_Bv!X2+s_MLF_tomato)),".")</f>
        <v>1.4506287569018197E-11</v>
      </c>
      <c r="Z2" s="117">
        <f>IFERROR((up_dir!Z2/(up_Bv!Y2+s_MLF_rice)),".")</f>
        <v>1.4506287569018197E-11</v>
      </c>
      <c r="AA2" s="117">
        <f>IFERROR((up_dir!AA2/(up_Bv!Z2+s_MLF_cereal)),".")</f>
        <v>1.4506287569018197E-11</v>
      </c>
      <c r="AB2" s="40">
        <f>SUM(AC2:AD2,AY2:AZ2)</f>
        <v>275742.5</v>
      </c>
      <c r="AC2" s="40">
        <f>s_C*(up_Bv!C2+s_MLF_apple)*s_IFAP_res_adj*s_CF_apple</f>
        <v>68935.625</v>
      </c>
      <c r="AD2" s="40">
        <f>s_C*(up_Bv!D2+s_MLF_asparagus)*s_IFAS_res_adj*s_CF_asparagus</f>
        <v>68935.625</v>
      </c>
      <c r="AE2" s="40">
        <f>s_C*(up_Bv!E2+s_MLF_beet)*s_IFBT_res_adj*s_CF_beet</f>
        <v>68935.625</v>
      </c>
      <c r="AF2" s="40">
        <f>s_C*(up_Bv!F2+s_MLF_berries)*s_IFBE_res_adj*s_CF_berries</f>
        <v>68935.625</v>
      </c>
      <c r="AG2" s="40">
        <f>s_C*(up_Bv!G2+s_MLF_broccoli)*s_IFBR_res_adj*s_CF_broccoli</f>
        <v>68935.625</v>
      </c>
      <c r="AH2" s="40">
        <f>s_C*(up_Bv!H2+s_MLF_cabbage)*s_IFCB_res_adj*s_CF_cabbage</f>
        <v>68935.625</v>
      </c>
      <c r="AI2" s="40">
        <f>s_C*(up_Bv!I2+s_MLF_carrot)*s_IFCR_res_adj*s_CF_carrot</f>
        <v>68935.625</v>
      </c>
      <c r="AJ2" s="40">
        <f>s_C*(up_Bv!J2+s_MLF_citrus)*s_IFCI_res_adj*s_CF_citrus</f>
        <v>68935.625</v>
      </c>
      <c r="AK2" s="40">
        <f>s_C*(up_Bv!K2+s_MLF_corn)*s_IFCO_res_adj*s_CF_corn</f>
        <v>68935.625</v>
      </c>
      <c r="AL2" s="40">
        <f>s_C*(up_Bv!L2+s_MLF_cucumber)*s_IFCU_res_adj*s_CF_cucumber</f>
        <v>68935.625</v>
      </c>
      <c r="AM2" s="40">
        <f>s_C*(up_Bv!M2+s_MLF_lettuce)*s_IFLE_res_adj*s_CF_lettuce</f>
        <v>68935.625</v>
      </c>
      <c r="AN2" s="40">
        <f>s_C*(up_Bv!N2+s_MLF_lima_bean)*s_IFLI_res_adj*s_CF_lima_bean</f>
        <v>68935.625</v>
      </c>
      <c r="AO2" s="40">
        <f>s_C*(up_Bv!O2+s_MLF_okra)*s_IFOK_res_adj*s_CF_okra</f>
        <v>68935.625</v>
      </c>
      <c r="AP2" s="40">
        <f>s_C*(up_Bv!P2+s_MLF_onion)*s_IFON_res_adj*s_CF_onion</f>
        <v>68935.625</v>
      </c>
      <c r="AQ2" s="40">
        <f>s_C*(up_Bv!Q2+s_MLF_peach)*s_IFPC_res_adj*s_CF_peach</f>
        <v>68935.625</v>
      </c>
      <c r="AR2" s="40">
        <f>s_C*(up_Bv!R2+s_MLF_pear)*s_IFPR_res_adj*s_CF_pear</f>
        <v>68935.625</v>
      </c>
      <c r="AS2" s="40">
        <f>s_C*(up_Bv!S2+s_MLF_peas)*s_IFPE_res_adj*s_CF_peas</f>
        <v>68935.625</v>
      </c>
      <c r="AT2" s="40">
        <f>s_C*(up_Bv!T2+s_MLF_potato)*s_IFPT_res_adj*s_CF_potato</f>
        <v>68935.625</v>
      </c>
      <c r="AU2" s="40">
        <f>s_C*(up_Bv!U2+s_MLF_pumpkin)*s_IFPU_res_adj*s_CF_pumpkin</f>
        <v>68935.625</v>
      </c>
      <c r="AV2" s="40">
        <f>s_C*(up_Bv!V2+s_MLF_snap_bean)*s_IFSN_res_adj*s_CF_snap_bean</f>
        <v>68935.625</v>
      </c>
      <c r="AW2" s="40">
        <f>s_C*(up_Bv!W2+s_MLF_strawberry)*s_IFST_res_adj*s_CF_strawberry</f>
        <v>68935.625</v>
      </c>
      <c r="AX2" s="40">
        <f>s_C*(up_Bv!X2+s_MLF_tomato)*s_IFTO_res_adj*s_CF_tomato</f>
        <v>68935.625</v>
      </c>
      <c r="AY2" s="40">
        <f>s_C*(up_Bv!Y2+s_MLF_rice)*s_IFRI_res_adj*s_CF_rice</f>
        <v>68935.625</v>
      </c>
      <c r="AZ2" s="40">
        <f>s_C*(up_Bv!Z2+s_MLF_cereal)*s_IFCG_res_adj*s_CF_cereal</f>
        <v>68935.625</v>
      </c>
      <c r="BA2" s="15">
        <f t="shared" ref="BA2:BA30" si="1">IFERROR(1/SUM(1/BB2,1/BC2,1/BX2,1/BY2),".")</f>
        <v>3.6265718922545492E-12</v>
      </c>
      <c r="BB2" s="15">
        <f>IFERROR((up_dir!AC2/(up_Bv!C2+s_MLF_apple)),".")</f>
        <v>1.4506287569018197E-11</v>
      </c>
      <c r="BC2" s="15">
        <f>IFERROR((up_dir!AD2/(up_Bv!D2+s_MLF_asparagus)),".")</f>
        <v>1.4506287569018197E-11</v>
      </c>
      <c r="BD2" s="15">
        <f>IFERROR((up_dir!AE2/(up_Bv!E2+s_MLF_beet)),".")</f>
        <v>1.4506287569018197E-11</v>
      </c>
      <c r="BE2" s="15">
        <f>IFERROR((up_dir!AF2/(up_Bv!F2+s_MLF_berries)),".")</f>
        <v>1.4506287569018197E-11</v>
      </c>
      <c r="BF2" s="15">
        <f>IFERROR((up_dir!AG2/(up_Bv!G2+s_MLF_broccoli)),".")</f>
        <v>1.4506287569018197E-11</v>
      </c>
      <c r="BG2" s="15">
        <f>IFERROR((up_dir!AH2/(up_Bv!H2+s_MLF_cabbage)),".")</f>
        <v>1.4506287569018197E-11</v>
      </c>
      <c r="BH2" s="15">
        <f>IFERROR((up_dir!AI2/(up_Bv!I2+s_MLF_carrot)),".")</f>
        <v>1.4506287569018197E-11</v>
      </c>
      <c r="BI2" s="15">
        <f>IFERROR((up_dir!AJ2/(up_Bv!J2+s_MLF_citrus)),".")</f>
        <v>1.4506287569018197E-11</v>
      </c>
      <c r="BJ2" s="15">
        <f>IFERROR((up_dir!AK2/(up_Bv!K2+s_MLF_corn)),".")</f>
        <v>1.4506287569018197E-11</v>
      </c>
      <c r="BK2" s="15">
        <f>IFERROR((up_dir!AL2/(up_Bv!L2+s_MLF_cucumber)),".")</f>
        <v>1.4506287569018197E-11</v>
      </c>
      <c r="BL2" s="15">
        <f>IFERROR((up_dir!AM2/(up_Bv!M2+s_MLF_lettuce)),".")</f>
        <v>1.4506287569018197E-11</v>
      </c>
      <c r="BM2" s="15">
        <f>IFERROR((up_dir!AN2/(up_Bv!N2+s_MLF_lima_bean)),".")</f>
        <v>1.4506287569018197E-11</v>
      </c>
      <c r="BN2" s="15">
        <f>IFERROR((up_dir!AO2/(up_Bv!O2+s_MLF_okra)),".")</f>
        <v>1.4506287569018197E-11</v>
      </c>
      <c r="BO2" s="15">
        <f>IFERROR((up_dir!AP2/(up_Bv!P2+s_MLF_onion)),".")</f>
        <v>1.4506287569018197E-11</v>
      </c>
      <c r="BP2" s="15">
        <f>IFERROR((up_dir!AQ2/(up_Bv!Q2+s_MLF_peach)),".")</f>
        <v>1.4506287569018197E-11</v>
      </c>
      <c r="BQ2" s="15">
        <f>IFERROR((up_dir!AR2/(up_Bv!R2+s_MLF_pear)),".")</f>
        <v>1.4506287569018197E-11</v>
      </c>
      <c r="BR2" s="15">
        <f>IFERROR((up_dir!AS2/(up_Bv!S2+s_MLF_peas)),".")</f>
        <v>1.4506287569018197E-11</v>
      </c>
      <c r="BS2" s="15">
        <f>IFERROR((up_dir!AT2/(up_Bv!T2+s_MLF_potato)),".")</f>
        <v>1.4506287569018197E-11</v>
      </c>
      <c r="BT2" s="15">
        <f>IFERROR((up_dir!AU2/(up_Bv!U2+s_MLF_pumpkin)),".")</f>
        <v>1.4506287569018197E-11</v>
      </c>
      <c r="BU2" s="15">
        <f>IFERROR((up_dir!AV2/(up_Bv!V2+s_MLF_snap_bean)),".")</f>
        <v>1.4506287569018197E-11</v>
      </c>
      <c r="BV2" s="15">
        <f>IFERROR((up_dir!AW2/(up_Bv!W2+s_MLF_strawberry)),".")</f>
        <v>1.4506287569018197E-11</v>
      </c>
      <c r="BW2" s="15">
        <f>IFERROR((up_dir!AX2/(up_Bv!X2+s_MLF_tomato)),".")</f>
        <v>1.4506287569018197E-11</v>
      </c>
      <c r="BX2" s="15">
        <f>IFERROR((up_dir!AY2/(up_Bv!Y2+s_MLF_rice)),".")</f>
        <v>1.4506287569018197E-11</v>
      </c>
      <c r="BY2" s="15">
        <f>IFERROR((up_dir!AZ2/(up_Bv!Z2+s_MLF_cereal)),".")</f>
        <v>1.4506287569018197E-11</v>
      </c>
      <c r="BZ2" s="40">
        <f>SUM(CA2:CB2,CW2:CX2)</f>
        <v>275742.5</v>
      </c>
      <c r="CA2" s="40">
        <f>IFERROR(s_C*(up_Bv!C2+s_MLF_apple)*s_IFAP_far_adj*s_CF_apple,".")</f>
        <v>68935.625</v>
      </c>
      <c r="CB2" s="40">
        <f>IFERROR(s_C*(up_Bv!D2+s_MLF_asparagus)*s_IFAS_far_adj*s_CF_asparagus,".")</f>
        <v>68935.625</v>
      </c>
      <c r="CC2" s="40">
        <f>IFERROR(s_C*(up_Bv!E2+s_MLF_beet)*s_IFBT_far_adj*s_CF_beet,".")</f>
        <v>68935.625</v>
      </c>
      <c r="CD2" s="40">
        <f>IFERROR(s_C*(up_Bv!F2+s_MLF_berries)*s_IFBR_far_adj*s_CF_berries,".")</f>
        <v>68935.625</v>
      </c>
      <c r="CE2" s="40">
        <f>IFERROR(s_C*(up_Bv!G2+s_MLF_broccoli)*s_IFBR_far_adj*s_CF_broccoli,".")</f>
        <v>68935.625</v>
      </c>
      <c r="CF2" s="40">
        <f>IFERROR(s_C*(up_Bv!H2+s_MLF_cabbage)*s_IFCB_far_adj*s_CF_cabbage,".")</f>
        <v>68935.625</v>
      </c>
      <c r="CG2" s="40">
        <f>IFERROR(s_C*(up_Bv!I2+s_MLF_carrot)*s_IFCR_far_adj*s_CF_carrot,".")</f>
        <v>68935.625</v>
      </c>
      <c r="CH2" s="40">
        <f>IFERROR(s_C*(up_Bv!J2+s_MLF_citrus)*s_IFCI_far_adj*s_CF_citrus,".")</f>
        <v>68935.625</v>
      </c>
      <c r="CI2" s="40">
        <f>IFERROR(s_C*(up_Bv!K2+s_MLF_corn)*s_IFCO_far_adj*s_CF_corn,".")</f>
        <v>68935.625</v>
      </c>
      <c r="CJ2" s="40">
        <f>IFERROR(s_C*(up_Bv!L2+s_MLF_cucumber)*s_IFCU_far_adj*s_CF_cucumber,".")</f>
        <v>68935.625</v>
      </c>
      <c r="CK2" s="40">
        <f>IFERROR(s_C*(up_Bv!M2+s_MLF_lettuce)*s_IFLE_far_adj*s_CF_lettuce,".")</f>
        <v>68935.625</v>
      </c>
      <c r="CL2" s="40">
        <f>IFERROR(s_C*(up_Bv!N2+s_MLF_lima_bean)*s_IFLI_far_adj*s_CF_lima_bean,".")</f>
        <v>68935.625</v>
      </c>
      <c r="CM2" s="40">
        <f>IFERROR(s_C*(up_Bv!O2+s_MLF_okra)*s_IFOK_far_adj*s_CF_okra,".")</f>
        <v>68935.625</v>
      </c>
      <c r="CN2" s="40">
        <f>IFERROR(s_C*(up_Bv!P2+s_MLF_onion)*s_IFON_far_adj*s_CF_onion,".")</f>
        <v>68935.625</v>
      </c>
      <c r="CO2" s="40">
        <f>IFERROR(s_C*(up_Bv!Q2+s_MLF_peach)*s_IFPC_far_adj*s_CF_peach,".")</f>
        <v>68935.625</v>
      </c>
      <c r="CP2" s="40">
        <f>IFERROR(s_C*(up_Bv!R2+s_MLF_pear)*s_IFPR_far_adj*s_CF_pear,".")</f>
        <v>68935.625</v>
      </c>
      <c r="CQ2" s="40">
        <f>IFERROR(s_C*(up_Bv!S2+s_MLF_peas)*s_IFPE_far_adj*s_CF_peas,".")</f>
        <v>68935.625</v>
      </c>
      <c r="CR2" s="40">
        <f>IFERROR(s_C*(up_Bv!T2+s_MLF_potato)*s_IFPT_far_adj*s_CF_potato,".")</f>
        <v>68935.625</v>
      </c>
      <c r="CS2" s="40">
        <f>IFERROR(s_C*(up_Bv!U2+s_MLF_pumpkin)*s_IFPU_far_adj*s_CF_pumpkin,".")</f>
        <v>68935.625</v>
      </c>
      <c r="CT2" s="40">
        <f>IFERROR(s_C*(up_Bv!V2+s_MLF_snap_bean)*s_IFSN_far_adj*s_CF_snap_bean,".")</f>
        <v>68935.625</v>
      </c>
      <c r="CU2" s="40">
        <f>IFERROR(s_C*(up_Bv!W2+s_MLF_strawberry)*s_IFST_far_adj*s_CF_strawberry,".")</f>
        <v>68935.625</v>
      </c>
      <c r="CV2" s="40">
        <f>IFERROR(s_C*(up_Bv!X2+s_MLF_tomato)*s_IFTO_far_adj*s_CF_tomato,".")</f>
        <v>68935.625</v>
      </c>
      <c r="CW2" s="40">
        <f>IFERROR(s_C*(up_Bv!Y2+s_MLF_rice)*s_IFRI_far_adj*s_CF_rice,".")</f>
        <v>68935.625</v>
      </c>
      <c r="CX2" s="40">
        <f>IFERROR(s_C*(up_Bv!Z2+s_MLF_cereal)*s_IFCG_far_adj*s_CF_cereal,".")</f>
        <v>68935.625</v>
      </c>
    </row>
    <row r="3" spans="1:102" x14ac:dyDescent="0.25">
      <c r="A3" s="46" t="s">
        <v>13</v>
      </c>
      <c r="B3" s="42" t="s">
        <v>351</v>
      </c>
      <c r="C3" s="117">
        <f t="shared" si="0"/>
        <v>3.6265718922545492E-12</v>
      </c>
      <c r="D3" s="117">
        <f>IFERROR((up_dir!D3/(up_Bv!C3+s_MLF_apple)),".")</f>
        <v>1.4506287569018197E-11</v>
      </c>
      <c r="E3" s="117">
        <f>IFERROR((up_dir!E3/(up_Bv!D3+s_MLF_asparagus)),".")</f>
        <v>1.4506287569018197E-11</v>
      </c>
      <c r="F3" s="117">
        <f>IFERROR((up_dir!F3/(up_Bv!E3+s_MLF_beet)),".")</f>
        <v>1.4506287569018197E-11</v>
      </c>
      <c r="G3" s="117">
        <f>IFERROR((up_dir!G3/(up_Bv!F3+s_MLF_berries)),".")</f>
        <v>1.4506287569018197E-11</v>
      </c>
      <c r="H3" s="117">
        <f>IFERROR((up_dir!H3/(up_Bv!G3+s_MLF_broccoli)),".")</f>
        <v>1.4506287569018197E-11</v>
      </c>
      <c r="I3" s="117">
        <f>IFERROR((up_dir!I3/(up_Bv!H3+s_MLF_cabbage)),".")</f>
        <v>1.4506287569018197E-11</v>
      </c>
      <c r="J3" s="117">
        <f>IFERROR((up_dir!J3/(up_Bv!I3+s_MLF_carrot)),".")</f>
        <v>1.4506287569018197E-11</v>
      </c>
      <c r="K3" s="117">
        <f>IFERROR((up_dir!K3/(up_Bv!J3+s_MLF_citrus)),".")</f>
        <v>1.4506287569018197E-11</v>
      </c>
      <c r="L3" s="117">
        <f>IFERROR((up_dir!L3/(up_Bv!K3+s_MLF_corn)),".")</f>
        <v>1.4506287569018197E-11</v>
      </c>
      <c r="M3" s="117">
        <f>IFERROR((up_dir!M3/(up_Bv!L3+s_MLF_cucumber)),".")</f>
        <v>1.4506287569018197E-11</v>
      </c>
      <c r="N3" s="117">
        <f>IFERROR((up_dir!N3/(up_Bv!M3+s_MLF_lettuce)),".")</f>
        <v>1.4506287569018197E-11</v>
      </c>
      <c r="O3" s="117">
        <f>IFERROR((up_dir!O3/(up_Bv!N3+s_MLF_lima_bean)),".")</f>
        <v>1.4506287569018197E-11</v>
      </c>
      <c r="P3" s="117">
        <f>IFERROR((up_dir!P3/(up_Bv!O3+s_MLF_okra)),".")</f>
        <v>1.4506287569018197E-11</v>
      </c>
      <c r="Q3" s="117">
        <f>IFERROR((up_dir!Q3/(up_Bv!P3+s_MLF_onion)),".")</f>
        <v>1.4506287569018197E-11</v>
      </c>
      <c r="R3" s="117">
        <f>IFERROR((up_dir!R3/(up_Bv!Q3+s_MLF_peach)),".")</f>
        <v>1.4506287569018197E-11</v>
      </c>
      <c r="S3" s="117">
        <f>IFERROR((up_dir!S3/(up_Bv!R3+s_MLF_pear)),".")</f>
        <v>1.4506287569018197E-11</v>
      </c>
      <c r="T3" s="117">
        <f>IFERROR((up_dir!T3/(up_Bv!S3+s_MLF_peas)),".")</f>
        <v>1.4506287569018197E-11</v>
      </c>
      <c r="U3" s="117">
        <f>IFERROR((up_dir!U3/(up_Bv!T3+s_MLF_potato)),".")</f>
        <v>1.4506287569018197E-11</v>
      </c>
      <c r="V3" s="117">
        <f>IFERROR((up_dir!V3/(up_Bv!U3+s_MLF_pumpkin)),".")</f>
        <v>1.4506287569018197E-11</v>
      </c>
      <c r="W3" s="117">
        <f>IFERROR((up_dir!W3/(up_Bv!V3+s_MLF_snap_bean)),".")</f>
        <v>1.4506287569018197E-11</v>
      </c>
      <c r="X3" s="117">
        <f>IFERROR((up_dir!X3/(up_Bv!W3+s_MLF_strawberry)),".")</f>
        <v>1.4506287569018197E-11</v>
      </c>
      <c r="Y3" s="117">
        <f>IFERROR((up_dir!Y3/(up_Bv!X3+s_MLF_tomato)),".")</f>
        <v>1.4506287569018197E-11</v>
      </c>
      <c r="Z3" s="117">
        <f>IFERROR((up_dir!Z3/(up_Bv!Y3+s_MLF_rice)),".")</f>
        <v>1.4506287569018197E-11</v>
      </c>
      <c r="AA3" s="117">
        <f>IFERROR((up_dir!AA3/(up_Bv!Z3+s_MLF_cereal)),".")</f>
        <v>1.4506287569018197E-11</v>
      </c>
      <c r="AB3" s="40">
        <f t="shared" ref="AB3:AB30" si="2">SUM(AC3:AD3,AY3:AZ3)</f>
        <v>275742.5</v>
      </c>
      <c r="AC3" s="40">
        <f>s_C*(up_Bv!C3+s_MLF_apple)*s_IFAP_res_adj*s_CF_apple</f>
        <v>68935.625</v>
      </c>
      <c r="AD3" s="40">
        <f>s_C*(up_Bv!D3+s_MLF_asparagus)*s_IFAS_res_adj*s_CF_asparagus</f>
        <v>68935.625</v>
      </c>
      <c r="AE3" s="40">
        <f>s_C*(up_Bv!E3+s_MLF_beet)*s_IFBT_res_adj*s_CF_beet</f>
        <v>68935.625</v>
      </c>
      <c r="AF3" s="40">
        <f>s_C*(up_Bv!F3+s_MLF_berries)*s_IFBE_res_adj*s_CF_berries</f>
        <v>68935.625</v>
      </c>
      <c r="AG3" s="40">
        <f>s_C*(up_Bv!G3+s_MLF_broccoli)*s_IFBR_res_adj*s_CF_broccoli</f>
        <v>68935.625</v>
      </c>
      <c r="AH3" s="40">
        <f>s_C*(up_Bv!H3+s_MLF_cabbage)*s_IFCB_res_adj*s_CF_cabbage</f>
        <v>68935.625</v>
      </c>
      <c r="AI3" s="40">
        <f>s_C*(up_Bv!I3+s_MLF_carrot)*s_IFCR_res_adj*s_CF_carrot</f>
        <v>68935.625</v>
      </c>
      <c r="AJ3" s="40">
        <f>s_C*(up_Bv!J3+s_MLF_citrus)*s_IFCI_res_adj*s_CF_citrus</f>
        <v>68935.625</v>
      </c>
      <c r="AK3" s="40">
        <f>s_C*(up_Bv!K3+s_MLF_corn)*s_IFCO_res_adj*s_CF_corn</f>
        <v>68935.625</v>
      </c>
      <c r="AL3" s="40">
        <f>s_C*(up_Bv!L3+s_MLF_cucumber)*s_IFCU_res_adj*s_CF_cucumber</f>
        <v>68935.625</v>
      </c>
      <c r="AM3" s="40">
        <f>s_C*(up_Bv!M3+s_MLF_lettuce)*s_IFLE_res_adj*s_CF_lettuce</f>
        <v>68935.625</v>
      </c>
      <c r="AN3" s="40">
        <f>s_C*(up_Bv!N3+s_MLF_lima_bean)*s_IFLI_res_adj*s_CF_lima_bean</f>
        <v>68935.625</v>
      </c>
      <c r="AO3" s="40">
        <f>s_C*(up_Bv!O3+s_MLF_okra)*s_IFOK_res_adj*s_CF_okra</f>
        <v>68935.625</v>
      </c>
      <c r="AP3" s="40">
        <f>s_C*(up_Bv!P3+s_MLF_onion)*s_IFON_res_adj*s_CF_onion</f>
        <v>68935.625</v>
      </c>
      <c r="AQ3" s="40">
        <f>s_C*(up_Bv!Q3+s_MLF_peach)*s_IFPC_res_adj*s_CF_peach</f>
        <v>68935.625</v>
      </c>
      <c r="AR3" s="40">
        <f>s_C*(up_Bv!R3+s_MLF_pear)*s_IFPR_res_adj*s_CF_pear</f>
        <v>68935.625</v>
      </c>
      <c r="AS3" s="40">
        <f>s_C*(up_Bv!S3+s_MLF_peas)*s_IFPE_res_adj*s_CF_peas</f>
        <v>68935.625</v>
      </c>
      <c r="AT3" s="40">
        <f>s_C*(up_Bv!T3+s_MLF_potato)*s_IFPT_res_adj*s_CF_potato</f>
        <v>68935.625</v>
      </c>
      <c r="AU3" s="40">
        <f>s_C*(up_Bv!U3+s_MLF_pumpkin)*s_IFPU_res_adj*s_CF_pumpkin</f>
        <v>68935.625</v>
      </c>
      <c r="AV3" s="40">
        <f>s_C*(up_Bv!V3+s_MLF_snap_bean)*s_IFSN_res_adj*s_CF_snap_bean</f>
        <v>68935.625</v>
      </c>
      <c r="AW3" s="40">
        <f>s_C*(up_Bv!W3+s_MLF_strawberry)*s_IFST_res_adj*s_CF_strawberry</f>
        <v>68935.625</v>
      </c>
      <c r="AX3" s="40">
        <f>s_C*(up_Bv!X3+s_MLF_tomato)*s_IFTO_res_adj*s_CF_tomato</f>
        <v>68935.625</v>
      </c>
      <c r="AY3" s="40">
        <f>s_C*(up_Bv!Y3+s_MLF_rice)*s_IFRI_res_adj*s_CF_rice</f>
        <v>68935.625</v>
      </c>
      <c r="AZ3" s="40">
        <f>s_C*(up_Bv!Z3+s_MLF_cereal)*s_IFCG_res_adj*s_CF_cereal</f>
        <v>68935.625</v>
      </c>
      <c r="BA3" s="15">
        <f t="shared" si="1"/>
        <v>3.6265718922545492E-12</v>
      </c>
      <c r="BB3" s="15">
        <f>IFERROR((up_dir!AC3/(up_Bv!C3+s_MLF_apple)),".")</f>
        <v>1.4506287569018197E-11</v>
      </c>
      <c r="BC3" s="15">
        <f>IFERROR((up_dir!AD3/(up_Bv!D3+s_MLF_asparagus)),".")</f>
        <v>1.4506287569018197E-11</v>
      </c>
      <c r="BD3" s="15">
        <f>IFERROR((up_dir!AE3/(up_Bv!E3+s_MLF_beet)),".")</f>
        <v>1.4506287569018197E-11</v>
      </c>
      <c r="BE3" s="15">
        <f>IFERROR((up_dir!AF3/(up_Bv!F3+s_MLF_berries)),".")</f>
        <v>1.4506287569018197E-11</v>
      </c>
      <c r="BF3" s="15">
        <f>IFERROR((up_dir!AG3/(up_Bv!G3+s_MLF_broccoli)),".")</f>
        <v>1.4506287569018197E-11</v>
      </c>
      <c r="BG3" s="15">
        <f>IFERROR((up_dir!AH3/(up_Bv!H3+s_MLF_cabbage)),".")</f>
        <v>1.4506287569018197E-11</v>
      </c>
      <c r="BH3" s="15">
        <f>IFERROR((up_dir!AI3/(up_Bv!I3+s_MLF_carrot)),".")</f>
        <v>1.4506287569018197E-11</v>
      </c>
      <c r="BI3" s="15">
        <f>IFERROR((up_dir!AJ3/(up_Bv!J3+s_MLF_citrus)),".")</f>
        <v>1.4506287569018197E-11</v>
      </c>
      <c r="BJ3" s="15">
        <f>IFERROR((up_dir!AK3/(up_Bv!K3+s_MLF_corn)),".")</f>
        <v>1.4506287569018197E-11</v>
      </c>
      <c r="BK3" s="15">
        <f>IFERROR((up_dir!AL3/(up_Bv!L3+s_MLF_cucumber)),".")</f>
        <v>1.4506287569018197E-11</v>
      </c>
      <c r="BL3" s="15">
        <f>IFERROR((up_dir!AM3/(up_Bv!M3+s_MLF_lettuce)),".")</f>
        <v>1.4506287569018197E-11</v>
      </c>
      <c r="BM3" s="15">
        <f>IFERROR((up_dir!AN3/(up_Bv!N3+s_MLF_lima_bean)),".")</f>
        <v>1.4506287569018197E-11</v>
      </c>
      <c r="BN3" s="15">
        <f>IFERROR((up_dir!AO3/(up_Bv!O3+s_MLF_okra)),".")</f>
        <v>1.4506287569018197E-11</v>
      </c>
      <c r="BO3" s="15">
        <f>IFERROR((up_dir!AP3/(up_Bv!P3+s_MLF_onion)),".")</f>
        <v>1.4506287569018197E-11</v>
      </c>
      <c r="BP3" s="15">
        <f>IFERROR((up_dir!AQ3/(up_Bv!Q3+s_MLF_peach)),".")</f>
        <v>1.4506287569018197E-11</v>
      </c>
      <c r="BQ3" s="15">
        <f>IFERROR((up_dir!AR3/(up_Bv!R3+s_MLF_pear)),".")</f>
        <v>1.4506287569018197E-11</v>
      </c>
      <c r="BR3" s="15">
        <f>IFERROR((up_dir!AS3/(up_Bv!S3+s_MLF_peas)),".")</f>
        <v>1.4506287569018197E-11</v>
      </c>
      <c r="BS3" s="15">
        <f>IFERROR((up_dir!AT3/(up_Bv!T3+s_MLF_potato)),".")</f>
        <v>1.4506287569018197E-11</v>
      </c>
      <c r="BT3" s="15">
        <f>IFERROR((up_dir!AU3/(up_Bv!U3+s_MLF_pumpkin)),".")</f>
        <v>1.4506287569018197E-11</v>
      </c>
      <c r="BU3" s="15">
        <f>IFERROR((up_dir!AV3/(up_Bv!V3+s_MLF_snap_bean)),".")</f>
        <v>1.4506287569018197E-11</v>
      </c>
      <c r="BV3" s="15">
        <f>IFERROR((up_dir!AW3/(up_Bv!W3+s_MLF_strawberry)),".")</f>
        <v>1.4506287569018197E-11</v>
      </c>
      <c r="BW3" s="15">
        <f>IFERROR((up_dir!AX3/(up_Bv!X3+s_MLF_tomato)),".")</f>
        <v>1.4506287569018197E-11</v>
      </c>
      <c r="BX3" s="15">
        <f>IFERROR((up_dir!AY3/(up_Bv!Y3+s_MLF_rice)),".")</f>
        <v>1.4506287569018197E-11</v>
      </c>
      <c r="BY3" s="15">
        <f>IFERROR((up_dir!AZ3/(up_Bv!Z3+s_MLF_cereal)),".")</f>
        <v>1.4506287569018197E-11</v>
      </c>
      <c r="BZ3" s="40">
        <f t="shared" ref="BZ3:BZ66" si="3">SUM(CA3:CB3,CW3:CX3)</f>
        <v>275742.5</v>
      </c>
      <c r="CA3" s="40">
        <f>IFERROR(s_C*(up_Bv!C3+s_MLF_apple)*s_IFAP_far_adj*s_CF_apple,".")</f>
        <v>68935.625</v>
      </c>
      <c r="CB3" s="40">
        <f>IFERROR(s_C*(up_Bv!D3+s_MLF_asparagus)*s_IFAS_far_adj*s_CF_asparagus,".")</f>
        <v>68935.625</v>
      </c>
      <c r="CC3" s="40">
        <f>IFERROR(s_C*(up_Bv!E3+s_MLF_beet)*s_IFBT_far_adj*s_CF_beet,".")</f>
        <v>68935.625</v>
      </c>
      <c r="CD3" s="40">
        <f>IFERROR(s_C*(up_Bv!F3+s_MLF_berries)*s_IFBR_far_adj*s_CF_berries,".")</f>
        <v>68935.625</v>
      </c>
      <c r="CE3" s="40">
        <f>IFERROR(s_C*(up_Bv!G3+s_MLF_broccoli)*s_IFBR_far_adj*s_CF_broccoli,".")</f>
        <v>68935.625</v>
      </c>
      <c r="CF3" s="40">
        <f>IFERROR(s_C*(up_Bv!H3+s_MLF_cabbage)*s_IFCB_far_adj*s_CF_cabbage,".")</f>
        <v>68935.625</v>
      </c>
      <c r="CG3" s="40">
        <f>IFERROR(s_C*(up_Bv!I3+s_MLF_carrot)*s_IFCR_far_adj*s_CF_carrot,".")</f>
        <v>68935.625</v>
      </c>
      <c r="CH3" s="40">
        <f>IFERROR(s_C*(up_Bv!J3+s_MLF_citrus)*s_IFCI_far_adj*s_CF_citrus,".")</f>
        <v>68935.625</v>
      </c>
      <c r="CI3" s="40">
        <f>IFERROR(s_C*(up_Bv!K3+s_MLF_corn)*s_IFCO_far_adj*s_CF_corn,".")</f>
        <v>68935.625</v>
      </c>
      <c r="CJ3" s="40">
        <f>IFERROR(s_C*(up_Bv!L3+s_MLF_cucumber)*s_IFCU_far_adj*s_CF_cucumber,".")</f>
        <v>68935.625</v>
      </c>
      <c r="CK3" s="40">
        <f>IFERROR(s_C*(up_Bv!M3+s_MLF_lettuce)*s_IFLE_far_adj*s_CF_lettuce,".")</f>
        <v>68935.625</v>
      </c>
      <c r="CL3" s="40">
        <f>IFERROR(s_C*(up_Bv!N3+s_MLF_lima_bean)*s_IFLI_far_adj*s_CF_lima_bean,".")</f>
        <v>68935.625</v>
      </c>
      <c r="CM3" s="40">
        <f>IFERROR(s_C*(up_Bv!O3+s_MLF_okra)*s_IFOK_far_adj*s_CF_okra,".")</f>
        <v>68935.625</v>
      </c>
      <c r="CN3" s="40">
        <f>IFERROR(s_C*(up_Bv!P3+s_MLF_onion)*s_IFON_far_adj*s_CF_onion,".")</f>
        <v>68935.625</v>
      </c>
      <c r="CO3" s="40">
        <f>IFERROR(s_C*(up_Bv!Q3+s_MLF_peach)*s_IFPC_far_adj*s_CF_peach,".")</f>
        <v>68935.625</v>
      </c>
      <c r="CP3" s="40">
        <f>IFERROR(s_C*(up_Bv!R3+s_MLF_pear)*s_IFPR_far_adj*s_CF_pear,".")</f>
        <v>68935.625</v>
      </c>
      <c r="CQ3" s="40">
        <f>IFERROR(s_C*(up_Bv!S3+s_MLF_peas)*s_IFPE_far_adj*s_CF_peas,".")</f>
        <v>68935.625</v>
      </c>
      <c r="CR3" s="40">
        <f>IFERROR(s_C*(up_Bv!T3+s_MLF_potato)*s_IFPT_far_adj*s_CF_potato,".")</f>
        <v>68935.625</v>
      </c>
      <c r="CS3" s="40">
        <f>IFERROR(s_C*(up_Bv!U3+s_MLF_pumpkin)*s_IFPU_far_adj*s_CF_pumpkin,".")</f>
        <v>68935.625</v>
      </c>
      <c r="CT3" s="40">
        <f>IFERROR(s_C*(up_Bv!V3+s_MLF_snap_bean)*s_IFSN_far_adj*s_CF_snap_bean,".")</f>
        <v>68935.625</v>
      </c>
      <c r="CU3" s="40">
        <f>IFERROR(s_C*(up_Bv!W3+s_MLF_strawberry)*s_IFST_far_adj*s_CF_strawberry,".")</f>
        <v>68935.625</v>
      </c>
      <c r="CV3" s="40">
        <f>IFERROR(s_C*(up_Bv!X3+s_MLF_tomato)*s_IFTO_far_adj*s_CF_tomato,".")</f>
        <v>68935.625</v>
      </c>
      <c r="CW3" s="40">
        <f>IFERROR(s_C*(up_Bv!Y3+s_MLF_rice)*s_IFRI_far_adj*s_CF_rice,".")</f>
        <v>68935.625</v>
      </c>
      <c r="CX3" s="40">
        <f>IFERROR(s_C*(up_Bv!Z3+s_MLF_cereal)*s_IFCG_far_adj*s_CF_cereal,".")</f>
        <v>68935.625</v>
      </c>
    </row>
    <row r="4" spans="1:102" ht="15" customHeight="1" x14ac:dyDescent="0.25">
      <c r="A4" s="44" t="s">
        <v>14</v>
      </c>
      <c r="B4" s="42" t="s">
        <v>1074</v>
      </c>
      <c r="C4" s="117">
        <f t="shared" si="0"/>
        <v>3.6265718922545492E-12</v>
      </c>
      <c r="D4" s="117">
        <f>IFERROR((up_dir!D4/(up_Bv!C4+s_MLF_apple)),".")</f>
        <v>1.4506287569018197E-11</v>
      </c>
      <c r="E4" s="117">
        <f>IFERROR((up_dir!E4/(up_Bv!D4+s_MLF_asparagus)),".")</f>
        <v>1.4506287569018197E-11</v>
      </c>
      <c r="F4" s="117">
        <f>IFERROR((up_dir!F4/(up_Bv!E4+s_MLF_beet)),".")</f>
        <v>1.4506287569018197E-11</v>
      </c>
      <c r="G4" s="117">
        <f>IFERROR((up_dir!G4/(up_Bv!F4+s_MLF_berries)),".")</f>
        <v>1.4506287569018197E-11</v>
      </c>
      <c r="H4" s="117">
        <f>IFERROR((up_dir!H4/(up_Bv!G4+s_MLF_broccoli)),".")</f>
        <v>1.4506287569018197E-11</v>
      </c>
      <c r="I4" s="117">
        <f>IFERROR((up_dir!I4/(up_Bv!H4+s_MLF_cabbage)),".")</f>
        <v>1.4506287569018197E-11</v>
      </c>
      <c r="J4" s="117">
        <f>IFERROR((up_dir!J4/(up_Bv!I4+s_MLF_carrot)),".")</f>
        <v>1.4506287569018197E-11</v>
      </c>
      <c r="K4" s="117">
        <f>IFERROR((up_dir!K4/(up_Bv!J4+s_MLF_citrus)),".")</f>
        <v>1.4506287569018197E-11</v>
      </c>
      <c r="L4" s="117">
        <f>IFERROR((up_dir!L4/(up_Bv!K4+s_MLF_corn)),".")</f>
        <v>1.4506287569018197E-11</v>
      </c>
      <c r="M4" s="117">
        <f>IFERROR((up_dir!M4/(up_Bv!L4+s_MLF_cucumber)),".")</f>
        <v>1.4506287569018197E-11</v>
      </c>
      <c r="N4" s="117">
        <f>IFERROR((up_dir!N4/(up_Bv!M4+s_MLF_lettuce)),".")</f>
        <v>1.4506287569018197E-11</v>
      </c>
      <c r="O4" s="117">
        <f>IFERROR((up_dir!O4/(up_Bv!N4+s_MLF_lima_bean)),".")</f>
        <v>1.4506287569018197E-11</v>
      </c>
      <c r="P4" s="117">
        <f>IFERROR((up_dir!P4/(up_Bv!O4+s_MLF_okra)),".")</f>
        <v>1.4506287569018197E-11</v>
      </c>
      <c r="Q4" s="117">
        <f>IFERROR((up_dir!Q4/(up_Bv!P4+s_MLF_onion)),".")</f>
        <v>1.4506287569018197E-11</v>
      </c>
      <c r="R4" s="117">
        <f>IFERROR((up_dir!R4/(up_Bv!Q4+s_MLF_peach)),".")</f>
        <v>1.4506287569018197E-11</v>
      </c>
      <c r="S4" s="117">
        <f>IFERROR((up_dir!S4/(up_Bv!R4+s_MLF_pear)),".")</f>
        <v>1.4506287569018197E-11</v>
      </c>
      <c r="T4" s="117">
        <f>IFERROR((up_dir!T4/(up_Bv!S4+s_MLF_peas)),".")</f>
        <v>1.4506287569018197E-11</v>
      </c>
      <c r="U4" s="117">
        <f>IFERROR((up_dir!U4/(up_Bv!T4+s_MLF_potato)),".")</f>
        <v>1.4506287569018197E-11</v>
      </c>
      <c r="V4" s="117">
        <f>IFERROR((up_dir!V4/(up_Bv!U4+s_MLF_pumpkin)),".")</f>
        <v>1.4506287569018197E-11</v>
      </c>
      <c r="W4" s="117">
        <f>IFERROR((up_dir!W4/(up_Bv!V4+s_MLF_snap_bean)),".")</f>
        <v>1.4506287569018197E-11</v>
      </c>
      <c r="X4" s="117">
        <f>IFERROR((up_dir!X4/(up_Bv!W4+s_MLF_strawberry)),".")</f>
        <v>1.4506287569018197E-11</v>
      </c>
      <c r="Y4" s="117">
        <f>IFERROR((up_dir!Y4/(up_Bv!X4+s_MLF_tomato)),".")</f>
        <v>1.4506287569018197E-11</v>
      </c>
      <c r="Z4" s="117">
        <f>IFERROR((up_dir!Z4/(up_Bv!Y4+s_MLF_rice)),".")</f>
        <v>1.4506287569018197E-11</v>
      </c>
      <c r="AA4" s="117">
        <f>IFERROR((up_dir!AA4/(up_Bv!Z4+s_MLF_cereal)),".")</f>
        <v>1.4506287569018197E-11</v>
      </c>
      <c r="AB4" s="40">
        <f t="shared" si="2"/>
        <v>275742.5</v>
      </c>
      <c r="AC4" s="40">
        <f>s_C*(up_Bv!C4+s_MLF_apple)*s_IFAP_res_adj*s_CF_apple</f>
        <v>68935.625</v>
      </c>
      <c r="AD4" s="40">
        <f>s_C*(up_Bv!D4+s_MLF_asparagus)*s_IFAS_res_adj*s_CF_asparagus</f>
        <v>68935.625</v>
      </c>
      <c r="AE4" s="40">
        <f>s_C*(up_Bv!E4+s_MLF_beet)*s_IFBT_res_adj*s_CF_beet</f>
        <v>68935.625</v>
      </c>
      <c r="AF4" s="40">
        <f>s_C*(up_Bv!F4+s_MLF_berries)*s_IFBE_res_adj*s_CF_berries</f>
        <v>68935.625</v>
      </c>
      <c r="AG4" s="40">
        <f>s_C*(up_Bv!G4+s_MLF_broccoli)*s_IFBR_res_adj*s_CF_broccoli</f>
        <v>68935.625</v>
      </c>
      <c r="AH4" s="40">
        <f>s_C*(up_Bv!H4+s_MLF_cabbage)*s_IFCB_res_adj*s_CF_cabbage</f>
        <v>68935.625</v>
      </c>
      <c r="AI4" s="40">
        <f>s_C*(up_Bv!I4+s_MLF_carrot)*s_IFCR_res_adj*s_CF_carrot</f>
        <v>68935.625</v>
      </c>
      <c r="AJ4" s="40">
        <f>s_C*(up_Bv!J4+s_MLF_citrus)*s_IFCI_res_adj*s_CF_citrus</f>
        <v>68935.625</v>
      </c>
      <c r="AK4" s="40">
        <f>s_C*(up_Bv!K4+s_MLF_corn)*s_IFCO_res_adj*s_CF_corn</f>
        <v>68935.625</v>
      </c>
      <c r="AL4" s="40">
        <f>s_C*(up_Bv!L4+s_MLF_cucumber)*s_IFCU_res_adj*s_CF_cucumber</f>
        <v>68935.625</v>
      </c>
      <c r="AM4" s="40">
        <f>s_C*(up_Bv!M4+s_MLF_lettuce)*s_IFLE_res_adj*s_CF_lettuce</f>
        <v>68935.625</v>
      </c>
      <c r="AN4" s="40">
        <f>s_C*(up_Bv!N4+s_MLF_lima_bean)*s_IFLI_res_adj*s_CF_lima_bean</f>
        <v>68935.625</v>
      </c>
      <c r="AO4" s="40">
        <f>s_C*(up_Bv!O4+s_MLF_okra)*s_IFOK_res_adj*s_CF_okra</f>
        <v>68935.625</v>
      </c>
      <c r="AP4" s="40">
        <f>s_C*(up_Bv!P4+s_MLF_onion)*s_IFON_res_adj*s_CF_onion</f>
        <v>68935.625</v>
      </c>
      <c r="AQ4" s="40">
        <f>s_C*(up_Bv!Q4+s_MLF_peach)*s_IFPC_res_adj*s_CF_peach</f>
        <v>68935.625</v>
      </c>
      <c r="AR4" s="40">
        <f>s_C*(up_Bv!R4+s_MLF_pear)*s_IFPR_res_adj*s_CF_pear</f>
        <v>68935.625</v>
      </c>
      <c r="AS4" s="40">
        <f>s_C*(up_Bv!S4+s_MLF_peas)*s_IFPE_res_adj*s_CF_peas</f>
        <v>68935.625</v>
      </c>
      <c r="AT4" s="40">
        <f>s_C*(up_Bv!T4+s_MLF_potato)*s_IFPT_res_adj*s_CF_potato</f>
        <v>68935.625</v>
      </c>
      <c r="AU4" s="40">
        <f>s_C*(up_Bv!U4+s_MLF_pumpkin)*s_IFPU_res_adj*s_CF_pumpkin</f>
        <v>68935.625</v>
      </c>
      <c r="AV4" s="40">
        <f>s_C*(up_Bv!V4+s_MLF_snap_bean)*s_IFSN_res_adj*s_CF_snap_bean</f>
        <v>68935.625</v>
      </c>
      <c r="AW4" s="40">
        <f>s_C*(up_Bv!W4+s_MLF_strawberry)*s_IFST_res_adj*s_CF_strawberry</f>
        <v>68935.625</v>
      </c>
      <c r="AX4" s="40">
        <f>s_C*(up_Bv!X4+s_MLF_tomato)*s_IFTO_res_adj*s_CF_tomato</f>
        <v>68935.625</v>
      </c>
      <c r="AY4" s="40">
        <f>s_C*(up_Bv!Y4+s_MLF_rice)*s_IFRI_res_adj*s_CF_rice</f>
        <v>68935.625</v>
      </c>
      <c r="AZ4" s="40">
        <f>s_C*(up_Bv!Z4+s_MLF_cereal)*s_IFCG_res_adj*s_CF_cereal</f>
        <v>68935.625</v>
      </c>
      <c r="BA4" s="15">
        <f t="shared" si="1"/>
        <v>3.6265718922545492E-12</v>
      </c>
      <c r="BB4" s="15">
        <f>IFERROR((up_dir!AC4/(up_Bv!C4+s_MLF_apple)),".")</f>
        <v>1.4506287569018197E-11</v>
      </c>
      <c r="BC4" s="15">
        <f>IFERROR((up_dir!AD4/(up_Bv!D4+s_MLF_asparagus)),".")</f>
        <v>1.4506287569018197E-11</v>
      </c>
      <c r="BD4" s="15">
        <f>IFERROR((up_dir!AE4/(up_Bv!E4+s_MLF_beet)),".")</f>
        <v>1.4506287569018197E-11</v>
      </c>
      <c r="BE4" s="15">
        <f>IFERROR((up_dir!AF4/(up_Bv!F4+s_MLF_berries)),".")</f>
        <v>1.4506287569018197E-11</v>
      </c>
      <c r="BF4" s="15">
        <f>IFERROR((up_dir!AG4/(up_Bv!G4+s_MLF_broccoli)),".")</f>
        <v>1.4506287569018197E-11</v>
      </c>
      <c r="BG4" s="15">
        <f>IFERROR((up_dir!AH4/(up_Bv!H4+s_MLF_cabbage)),".")</f>
        <v>1.4506287569018197E-11</v>
      </c>
      <c r="BH4" s="15">
        <f>IFERROR((up_dir!AI4/(up_Bv!I4+s_MLF_carrot)),".")</f>
        <v>1.4506287569018197E-11</v>
      </c>
      <c r="BI4" s="15">
        <f>IFERROR((up_dir!AJ4/(up_Bv!J4+s_MLF_citrus)),".")</f>
        <v>1.4506287569018197E-11</v>
      </c>
      <c r="BJ4" s="15">
        <f>IFERROR((up_dir!AK4/(up_Bv!K4+s_MLF_corn)),".")</f>
        <v>1.4506287569018197E-11</v>
      </c>
      <c r="BK4" s="15">
        <f>IFERROR((up_dir!AL4/(up_Bv!L4+s_MLF_cucumber)),".")</f>
        <v>1.4506287569018197E-11</v>
      </c>
      <c r="BL4" s="15">
        <f>IFERROR((up_dir!AM4/(up_Bv!M4+s_MLF_lettuce)),".")</f>
        <v>1.4506287569018197E-11</v>
      </c>
      <c r="BM4" s="15">
        <f>IFERROR((up_dir!AN4/(up_Bv!N4+s_MLF_lima_bean)),".")</f>
        <v>1.4506287569018197E-11</v>
      </c>
      <c r="BN4" s="15">
        <f>IFERROR((up_dir!AO4/(up_Bv!O4+s_MLF_okra)),".")</f>
        <v>1.4506287569018197E-11</v>
      </c>
      <c r="BO4" s="15">
        <f>IFERROR((up_dir!AP4/(up_Bv!P4+s_MLF_onion)),".")</f>
        <v>1.4506287569018197E-11</v>
      </c>
      <c r="BP4" s="15">
        <f>IFERROR((up_dir!AQ4/(up_Bv!Q4+s_MLF_peach)),".")</f>
        <v>1.4506287569018197E-11</v>
      </c>
      <c r="BQ4" s="15">
        <f>IFERROR((up_dir!AR4/(up_Bv!R4+s_MLF_pear)),".")</f>
        <v>1.4506287569018197E-11</v>
      </c>
      <c r="BR4" s="15">
        <f>IFERROR((up_dir!AS4/(up_Bv!S4+s_MLF_peas)),".")</f>
        <v>1.4506287569018197E-11</v>
      </c>
      <c r="BS4" s="15">
        <f>IFERROR((up_dir!AT4/(up_Bv!T4+s_MLF_potato)),".")</f>
        <v>1.4506287569018197E-11</v>
      </c>
      <c r="BT4" s="15">
        <f>IFERROR((up_dir!AU4/(up_Bv!U4+s_MLF_pumpkin)),".")</f>
        <v>1.4506287569018197E-11</v>
      </c>
      <c r="BU4" s="15">
        <f>IFERROR((up_dir!AV4/(up_Bv!V4+s_MLF_snap_bean)),".")</f>
        <v>1.4506287569018197E-11</v>
      </c>
      <c r="BV4" s="15">
        <f>IFERROR((up_dir!AW4/(up_Bv!W4+s_MLF_strawberry)),".")</f>
        <v>1.4506287569018197E-11</v>
      </c>
      <c r="BW4" s="15">
        <f>IFERROR((up_dir!AX4/(up_Bv!X4+s_MLF_tomato)),".")</f>
        <v>1.4506287569018197E-11</v>
      </c>
      <c r="BX4" s="15">
        <f>IFERROR((up_dir!AY4/(up_Bv!Y4+s_MLF_rice)),".")</f>
        <v>1.4506287569018197E-11</v>
      </c>
      <c r="BY4" s="15">
        <f>IFERROR((up_dir!AZ4/(up_Bv!Z4+s_MLF_cereal)),".")</f>
        <v>1.4506287569018197E-11</v>
      </c>
      <c r="BZ4" s="40">
        <f t="shared" si="3"/>
        <v>275742.5</v>
      </c>
      <c r="CA4" s="40">
        <f>IFERROR(s_C*(up_Bv!C4+s_MLF_apple)*s_IFAP_far_adj*s_CF_apple,".")</f>
        <v>68935.625</v>
      </c>
      <c r="CB4" s="40">
        <f>IFERROR(s_C*(up_Bv!D4+s_MLF_asparagus)*s_IFAS_far_adj*s_CF_asparagus,".")</f>
        <v>68935.625</v>
      </c>
      <c r="CC4" s="40">
        <f>IFERROR(s_C*(up_Bv!E4+s_MLF_beet)*s_IFBT_far_adj*s_CF_beet,".")</f>
        <v>68935.625</v>
      </c>
      <c r="CD4" s="40">
        <f>IFERROR(s_C*(up_Bv!F4+s_MLF_berries)*s_IFBR_far_adj*s_CF_berries,".")</f>
        <v>68935.625</v>
      </c>
      <c r="CE4" s="40">
        <f>IFERROR(s_C*(up_Bv!G4+s_MLF_broccoli)*s_IFBR_far_adj*s_CF_broccoli,".")</f>
        <v>68935.625</v>
      </c>
      <c r="CF4" s="40">
        <f>IFERROR(s_C*(up_Bv!H4+s_MLF_cabbage)*s_IFCB_far_adj*s_CF_cabbage,".")</f>
        <v>68935.625</v>
      </c>
      <c r="CG4" s="40">
        <f>IFERROR(s_C*(up_Bv!I4+s_MLF_carrot)*s_IFCR_far_adj*s_CF_carrot,".")</f>
        <v>68935.625</v>
      </c>
      <c r="CH4" s="40">
        <f>IFERROR(s_C*(up_Bv!J4+s_MLF_citrus)*s_IFCI_far_adj*s_CF_citrus,".")</f>
        <v>68935.625</v>
      </c>
      <c r="CI4" s="40">
        <f>IFERROR(s_C*(up_Bv!K4+s_MLF_corn)*s_IFCO_far_adj*s_CF_corn,".")</f>
        <v>68935.625</v>
      </c>
      <c r="CJ4" s="40">
        <f>IFERROR(s_C*(up_Bv!L4+s_MLF_cucumber)*s_IFCU_far_adj*s_CF_cucumber,".")</f>
        <v>68935.625</v>
      </c>
      <c r="CK4" s="40">
        <f>IFERROR(s_C*(up_Bv!M4+s_MLF_lettuce)*s_IFLE_far_adj*s_CF_lettuce,".")</f>
        <v>68935.625</v>
      </c>
      <c r="CL4" s="40">
        <f>IFERROR(s_C*(up_Bv!N4+s_MLF_lima_bean)*s_IFLI_far_adj*s_CF_lima_bean,".")</f>
        <v>68935.625</v>
      </c>
      <c r="CM4" s="40">
        <f>IFERROR(s_C*(up_Bv!O4+s_MLF_okra)*s_IFOK_far_adj*s_CF_okra,".")</f>
        <v>68935.625</v>
      </c>
      <c r="CN4" s="40">
        <f>IFERROR(s_C*(up_Bv!P4+s_MLF_onion)*s_IFON_far_adj*s_CF_onion,".")</f>
        <v>68935.625</v>
      </c>
      <c r="CO4" s="40">
        <f>IFERROR(s_C*(up_Bv!Q4+s_MLF_peach)*s_IFPC_far_adj*s_CF_peach,".")</f>
        <v>68935.625</v>
      </c>
      <c r="CP4" s="40">
        <f>IFERROR(s_C*(up_Bv!R4+s_MLF_pear)*s_IFPR_far_adj*s_CF_pear,".")</f>
        <v>68935.625</v>
      </c>
      <c r="CQ4" s="40">
        <f>IFERROR(s_C*(up_Bv!S4+s_MLF_peas)*s_IFPE_far_adj*s_CF_peas,".")</f>
        <v>68935.625</v>
      </c>
      <c r="CR4" s="40">
        <f>IFERROR(s_C*(up_Bv!T4+s_MLF_potato)*s_IFPT_far_adj*s_CF_potato,".")</f>
        <v>68935.625</v>
      </c>
      <c r="CS4" s="40">
        <f>IFERROR(s_C*(up_Bv!U4+s_MLF_pumpkin)*s_IFPU_far_adj*s_CF_pumpkin,".")</f>
        <v>68935.625</v>
      </c>
      <c r="CT4" s="40">
        <f>IFERROR(s_C*(up_Bv!V4+s_MLF_snap_bean)*s_IFSN_far_adj*s_CF_snap_bean,".")</f>
        <v>68935.625</v>
      </c>
      <c r="CU4" s="40">
        <f>IFERROR(s_C*(up_Bv!W4+s_MLF_strawberry)*s_IFST_far_adj*s_CF_strawberry,".")</f>
        <v>68935.625</v>
      </c>
      <c r="CV4" s="40">
        <f>IFERROR(s_C*(up_Bv!X4+s_MLF_tomato)*s_IFTO_far_adj*s_CF_tomato,".")</f>
        <v>68935.625</v>
      </c>
      <c r="CW4" s="40">
        <f>IFERROR(s_C*(up_Bv!Y4+s_MLF_rice)*s_IFRI_far_adj*s_CF_rice,".")</f>
        <v>68935.625</v>
      </c>
      <c r="CX4" s="40">
        <f>IFERROR(s_C*(up_Bv!Z4+s_MLF_cereal)*s_IFCG_far_adj*s_CF_cereal,".")</f>
        <v>68935.625</v>
      </c>
    </row>
    <row r="5" spans="1:102" ht="15" customHeight="1" x14ac:dyDescent="0.25">
      <c r="A5" s="44" t="s">
        <v>15</v>
      </c>
      <c r="B5" s="42" t="s">
        <v>1074</v>
      </c>
      <c r="C5" s="117">
        <f t="shared" si="0"/>
        <v>3.6265718922545492E-12</v>
      </c>
      <c r="D5" s="117">
        <f>IFERROR((up_dir!D5/(up_Bv!C5+s_MLF_apple)),".")</f>
        <v>1.4506287569018197E-11</v>
      </c>
      <c r="E5" s="117">
        <f>IFERROR((up_dir!E5/(up_Bv!D5+s_MLF_asparagus)),".")</f>
        <v>1.4506287569018197E-11</v>
      </c>
      <c r="F5" s="117">
        <f>IFERROR((up_dir!F5/(up_Bv!E5+s_MLF_beet)),".")</f>
        <v>1.4506287569018197E-11</v>
      </c>
      <c r="G5" s="117">
        <f>IFERROR((up_dir!G5/(up_Bv!F5+s_MLF_berries)),".")</f>
        <v>1.4506287569018197E-11</v>
      </c>
      <c r="H5" s="117">
        <f>IFERROR((up_dir!H5/(up_Bv!G5+s_MLF_broccoli)),".")</f>
        <v>1.4506287569018197E-11</v>
      </c>
      <c r="I5" s="117">
        <f>IFERROR((up_dir!I5/(up_Bv!H5+s_MLF_cabbage)),".")</f>
        <v>1.4506287569018197E-11</v>
      </c>
      <c r="J5" s="117">
        <f>IFERROR((up_dir!J5/(up_Bv!I5+s_MLF_carrot)),".")</f>
        <v>1.4506287569018197E-11</v>
      </c>
      <c r="K5" s="117">
        <f>IFERROR((up_dir!K5/(up_Bv!J5+s_MLF_citrus)),".")</f>
        <v>1.4506287569018197E-11</v>
      </c>
      <c r="L5" s="117">
        <f>IFERROR((up_dir!L5/(up_Bv!K5+s_MLF_corn)),".")</f>
        <v>1.4506287569018197E-11</v>
      </c>
      <c r="M5" s="117">
        <f>IFERROR((up_dir!M5/(up_Bv!L5+s_MLF_cucumber)),".")</f>
        <v>1.4506287569018197E-11</v>
      </c>
      <c r="N5" s="117">
        <f>IFERROR((up_dir!N5/(up_Bv!M5+s_MLF_lettuce)),".")</f>
        <v>1.4506287569018197E-11</v>
      </c>
      <c r="O5" s="117">
        <f>IFERROR((up_dir!O5/(up_Bv!N5+s_MLF_lima_bean)),".")</f>
        <v>1.4506287569018197E-11</v>
      </c>
      <c r="P5" s="117">
        <f>IFERROR((up_dir!P5/(up_Bv!O5+s_MLF_okra)),".")</f>
        <v>1.4506287569018197E-11</v>
      </c>
      <c r="Q5" s="117">
        <f>IFERROR((up_dir!Q5/(up_Bv!P5+s_MLF_onion)),".")</f>
        <v>1.4506287569018197E-11</v>
      </c>
      <c r="R5" s="117">
        <f>IFERROR((up_dir!R5/(up_Bv!Q5+s_MLF_peach)),".")</f>
        <v>1.4506287569018197E-11</v>
      </c>
      <c r="S5" s="117">
        <f>IFERROR((up_dir!S5/(up_Bv!R5+s_MLF_pear)),".")</f>
        <v>1.4506287569018197E-11</v>
      </c>
      <c r="T5" s="117">
        <f>IFERROR((up_dir!T5/(up_Bv!S5+s_MLF_peas)),".")</f>
        <v>1.4506287569018197E-11</v>
      </c>
      <c r="U5" s="117">
        <f>IFERROR((up_dir!U5/(up_Bv!T5+s_MLF_potato)),".")</f>
        <v>1.4506287569018197E-11</v>
      </c>
      <c r="V5" s="117">
        <f>IFERROR((up_dir!V5/(up_Bv!U5+s_MLF_pumpkin)),".")</f>
        <v>1.4506287569018197E-11</v>
      </c>
      <c r="W5" s="117">
        <f>IFERROR((up_dir!W5/(up_Bv!V5+s_MLF_snap_bean)),".")</f>
        <v>1.4506287569018197E-11</v>
      </c>
      <c r="X5" s="117">
        <f>IFERROR((up_dir!X5/(up_Bv!W5+s_MLF_strawberry)),".")</f>
        <v>1.4506287569018197E-11</v>
      </c>
      <c r="Y5" s="117">
        <f>IFERROR((up_dir!Y5/(up_Bv!X5+s_MLF_tomato)),".")</f>
        <v>1.4506287569018197E-11</v>
      </c>
      <c r="Z5" s="117">
        <f>IFERROR((up_dir!Z5/(up_Bv!Y5+s_MLF_rice)),".")</f>
        <v>1.4506287569018197E-11</v>
      </c>
      <c r="AA5" s="117">
        <f>IFERROR((up_dir!AA5/(up_Bv!Z5+s_MLF_cereal)),".")</f>
        <v>1.4506287569018197E-11</v>
      </c>
      <c r="AB5" s="40">
        <f t="shared" si="2"/>
        <v>275742.5</v>
      </c>
      <c r="AC5" s="40">
        <f>s_C*(up_Bv!C5+s_MLF_apple)*s_IFAP_res_adj*s_CF_apple</f>
        <v>68935.625</v>
      </c>
      <c r="AD5" s="40">
        <f>s_C*(up_Bv!D5+s_MLF_asparagus)*s_IFAS_res_adj*s_CF_asparagus</f>
        <v>68935.625</v>
      </c>
      <c r="AE5" s="40">
        <f>s_C*(up_Bv!E5+s_MLF_beet)*s_IFBT_res_adj*s_CF_beet</f>
        <v>68935.625</v>
      </c>
      <c r="AF5" s="40">
        <f>s_C*(up_Bv!F5+s_MLF_berries)*s_IFBE_res_adj*s_CF_berries</f>
        <v>68935.625</v>
      </c>
      <c r="AG5" s="40">
        <f>s_C*(up_Bv!G5+s_MLF_broccoli)*s_IFBR_res_adj*s_CF_broccoli</f>
        <v>68935.625</v>
      </c>
      <c r="AH5" s="40">
        <f>s_C*(up_Bv!H5+s_MLF_cabbage)*s_IFCB_res_adj*s_CF_cabbage</f>
        <v>68935.625</v>
      </c>
      <c r="AI5" s="40">
        <f>s_C*(up_Bv!I5+s_MLF_carrot)*s_IFCR_res_adj*s_CF_carrot</f>
        <v>68935.625</v>
      </c>
      <c r="AJ5" s="40">
        <f>s_C*(up_Bv!J5+s_MLF_citrus)*s_IFCI_res_adj*s_CF_citrus</f>
        <v>68935.625</v>
      </c>
      <c r="AK5" s="40">
        <f>s_C*(up_Bv!K5+s_MLF_corn)*s_IFCO_res_adj*s_CF_corn</f>
        <v>68935.625</v>
      </c>
      <c r="AL5" s="40">
        <f>s_C*(up_Bv!L5+s_MLF_cucumber)*s_IFCU_res_adj*s_CF_cucumber</f>
        <v>68935.625</v>
      </c>
      <c r="AM5" s="40">
        <f>s_C*(up_Bv!M5+s_MLF_lettuce)*s_IFLE_res_adj*s_CF_lettuce</f>
        <v>68935.625</v>
      </c>
      <c r="AN5" s="40">
        <f>s_C*(up_Bv!N5+s_MLF_lima_bean)*s_IFLI_res_adj*s_CF_lima_bean</f>
        <v>68935.625</v>
      </c>
      <c r="AO5" s="40">
        <f>s_C*(up_Bv!O5+s_MLF_okra)*s_IFOK_res_adj*s_CF_okra</f>
        <v>68935.625</v>
      </c>
      <c r="AP5" s="40">
        <f>s_C*(up_Bv!P5+s_MLF_onion)*s_IFON_res_adj*s_CF_onion</f>
        <v>68935.625</v>
      </c>
      <c r="AQ5" s="40">
        <f>s_C*(up_Bv!Q5+s_MLF_peach)*s_IFPC_res_adj*s_CF_peach</f>
        <v>68935.625</v>
      </c>
      <c r="AR5" s="40">
        <f>s_C*(up_Bv!R5+s_MLF_pear)*s_IFPR_res_adj*s_CF_pear</f>
        <v>68935.625</v>
      </c>
      <c r="AS5" s="40">
        <f>s_C*(up_Bv!S5+s_MLF_peas)*s_IFPE_res_adj*s_CF_peas</f>
        <v>68935.625</v>
      </c>
      <c r="AT5" s="40">
        <f>s_C*(up_Bv!T5+s_MLF_potato)*s_IFPT_res_adj*s_CF_potato</f>
        <v>68935.625</v>
      </c>
      <c r="AU5" s="40">
        <f>s_C*(up_Bv!U5+s_MLF_pumpkin)*s_IFPU_res_adj*s_CF_pumpkin</f>
        <v>68935.625</v>
      </c>
      <c r="AV5" s="40">
        <f>s_C*(up_Bv!V5+s_MLF_snap_bean)*s_IFSN_res_adj*s_CF_snap_bean</f>
        <v>68935.625</v>
      </c>
      <c r="AW5" s="40">
        <f>s_C*(up_Bv!W5+s_MLF_strawberry)*s_IFST_res_adj*s_CF_strawberry</f>
        <v>68935.625</v>
      </c>
      <c r="AX5" s="40">
        <f>s_C*(up_Bv!X5+s_MLF_tomato)*s_IFTO_res_adj*s_CF_tomato</f>
        <v>68935.625</v>
      </c>
      <c r="AY5" s="40">
        <f>s_C*(up_Bv!Y5+s_MLF_rice)*s_IFRI_res_adj*s_CF_rice</f>
        <v>68935.625</v>
      </c>
      <c r="AZ5" s="40">
        <f>s_C*(up_Bv!Z5+s_MLF_cereal)*s_IFCG_res_adj*s_CF_cereal</f>
        <v>68935.625</v>
      </c>
      <c r="BA5" s="15">
        <f t="shared" si="1"/>
        <v>3.6265718922545492E-12</v>
      </c>
      <c r="BB5" s="15">
        <f>IFERROR((up_dir!AC5/(up_Bv!C5+s_MLF_apple)),".")</f>
        <v>1.4506287569018197E-11</v>
      </c>
      <c r="BC5" s="15">
        <f>IFERROR((up_dir!AD5/(up_Bv!D5+s_MLF_asparagus)),".")</f>
        <v>1.4506287569018197E-11</v>
      </c>
      <c r="BD5" s="15">
        <f>IFERROR((up_dir!AE5/(up_Bv!E5+s_MLF_beet)),".")</f>
        <v>1.4506287569018197E-11</v>
      </c>
      <c r="BE5" s="15">
        <f>IFERROR((up_dir!AF5/(up_Bv!F5+s_MLF_berries)),".")</f>
        <v>1.4506287569018197E-11</v>
      </c>
      <c r="BF5" s="15">
        <f>IFERROR((up_dir!AG5/(up_Bv!G5+s_MLF_broccoli)),".")</f>
        <v>1.4506287569018197E-11</v>
      </c>
      <c r="BG5" s="15">
        <f>IFERROR((up_dir!AH5/(up_Bv!H5+s_MLF_cabbage)),".")</f>
        <v>1.4506287569018197E-11</v>
      </c>
      <c r="BH5" s="15">
        <f>IFERROR((up_dir!AI5/(up_Bv!I5+s_MLF_carrot)),".")</f>
        <v>1.4506287569018197E-11</v>
      </c>
      <c r="BI5" s="15">
        <f>IFERROR((up_dir!AJ5/(up_Bv!J5+s_MLF_citrus)),".")</f>
        <v>1.4506287569018197E-11</v>
      </c>
      <c r="BJ5" s="15">
        <f>IFERROR((up_dir!AK5/(up_Bv!K5+s_MLF_corn)),".")</f>
        <v>1.4506287569018197E-11</v>
      </c>
      <c r="BK5" s="15">
        <f>IFERROR((up_dir!AL5/(up_Bv!L5+s_MLF_cucumber)),".")</f>
        <v>1.4506287569018197E-11</v>
      </c>
      <c r="BL5" s="15">
        <f>IFERROR((up_dir!AM5/(up_Bv!M5+s_MLF_lettuce)),".")</f>
        <v>1.4506287569018197E-11</v>
      </c>
      <c r="BM5" s="15">
        <f>IFERROR((up_dir!AN5/(up_Bv!N5+s_MLF_lima_bean)),".")</f>
        <v>1.4506287569018197E-11</v>
      </c>
      <c r="BN5" s="15">
        <f>IFERROR((up_dir!AO5/(up_Bv!O5+s_MLF_okra)),".")</f>
        <v>1.4506287569018197E-11</v>
      </c>
      <c r="BO5" s="15">
        <f>IFERROR((up_dir!AP5/(up_Bv!P5+s_MLF_onion)),".")</f>
        <v>1.4506287569018197E-11</v>
      </c>
      <c r="BP5" s="15">
        <f>IFERROR((up_dir!AQ5/(up_Bv!Q5+s_MLF_peach)),".")</f>
        <v>1.4506287569018197E-11</v>
      </c>
      <c r="BQ5" s="15">
        <f>IFERROR((up_dir!AR5/(up_Bv!R5+s_MLF_pear)),".")</f>
        <v>1.4506287569018197E-11</v>
      </c>
      <c r="BR5" s="15">
        <f>IFERROR((up_dir!AS5/(up_Bv!S5+s_MLF_peas)),".")</f>
        <v>1.4506287569018197E-11</v>
      </c>
      <c r="BS5" s="15">
        <f>IFERROR((up_dir!AT5/(up_Bv!T5+s_MLF_potato)),".")</f>
        <v>1.4506287569018197E-11</v>
      </c>
      <c r="BT5" s="15">
        <f>IFERROR((up_dir!AU5/(up_Bv!U5+s_MLF_pumpkin)),".")</f>
        <v>1.4506287569018197E-11</v>
      </c>
      <c r="BU5" s="15">
        <f>IFERROR((up_dir!AV5/(up_Bv!V5+s_MLF_snap_bean)),".")</f>
        <v>1.4506287569018197E-11</v>
      </c>
      <c r="BV5" s="15">
        <f>IFERROR((up_dir!AW5/(up_Bv!W5+s_MLF_strawberry)),".")</f>
        <v>1.4506287569018197E-11</v>
      </c>
      <c r="BW5" s="15">
        <f>IFERROR((up_dir!AX5/(up_Bv!X5+s_MLF_tomato)),".")</f>
        <v>1.4506287569018197E-11</v>
      </c>
      <c r="BX5" s="15">
        <f>IFERROR((up_dir!AY5/(up_Bv!Y5+s_MLF_rice)),".")</f>
        <v>1.4506287569018197E-11</v>
      </c>
      <c r="BY5" s="15">
        <f>IFERROR((up_dir!AZ5/(up_Bv!Z5+s_MLF_cereal)),".")</f>
        <v>1.4506287569018197E-11</v>
      </c>
      <c r="BZ5" s="40">
        <f t="shared" si="3"/>
        <v>275742.5</v>
      </c>
      <c r="CA5" s="40">
        <f>IFERROR(s_C*(up_Bv!C5+s_MLF_apple)*s_IFAP_far_adj*s_CF_apple,".")</f>
        <v>68935.625</v>
      </c>
      <c r="CB5" s="40">
        <f>IFERROR(s_C*(up_Bv!D5+s_MLF_asparagus)*s_IFAS_far_adj*s_CF_asparagus,".")</f>
        <v>68935.625</v>
      </c>
      <c r="CC5" s="40">
        <f>IFERROR(s_C*(up_Bv!E5+s_MLF_beet)*s_IFBT_far_adj*s_CF_beet,".")</f>
        <v>68935.625</v>
      </c>
      <c r="CD5" s="40">
        <f>IFERROR(s_C*(up_Bv!F5+s_MLF_berries)*s_IFBR_far_adj*s_CF_berries,".")</f>
        <v>68935.625</v>
      </c>
      <c r="CE5" s="40">
        <f>IFERROR(s_C*(up_Bv!G5+s_MLF_broccoli)*s_IFBR_far_adj*s_CF_broccoli,".")</f>
        <v>68935.625</v>
      </c>
      <c r="CF5" s="40">
        <f>IFERROR(s_C*(up_Bv!H5+s_MLF_cabbage)*s_IFCB_far_adj*s_CF_cabbage,".")</f>
        <v>68935.625</v>
      </c>
      <c r="CG5" s="40">
        <f>IFERROR(s_C*(up_Bv!I5+s_MLF_carrot)*s_IFCR_far_adj*s_CF_carrot,".")</f>
        <v>68935.625</v>
      </c>
      <c r="CH5" s="40">
        <f>IFERROR(s_C*(up_Bv!J5+s_MLF_citrus)*s_IFCI_far_adj*s_CF_citrus,".")</f>
        <v>68935.625</v>
      </c>
      <c r="CI5" s="40">
        <f>IFERROR(s_C*(up_Bv!K5+s_MLF_corn)*s_IFCO_far_adj*s_CF_corn,".")</f>
        <v>68935.625</v>
      </c>
      <c r="CJ5" s="40">
        <f>IFERROR(s_C*(up_Bv!L5+s_MLF_cucumber)*s_IFCU_far_adj*s_CF_cucumber,".")</f>
        <v>68935.625</v>
      </c>
      <c r="CK5" s="40">
        <f>IFERROR(s_C*(up_Bv!M5+s_MLF_lettuce)*s_IFLE_far_adj*s_CF_lettuce,".")</f>
        <v>68935.625</v>
      </c>
      <c r="CL5" s="40">
        <f>IFERROR(s_C*(up_Bv!N5+s_MLF_lima_bean)*s_IFLI_far_adj*s_CF_lima_bean,".")</f>
        <v>68935.625</v>
      </c>
      <c r="CM5" s="40">
        <f>IFERROR(s_C*(up_Bv!O5+s_MLF_okra)*s_IFOK_far_adj*s_CF_okra,".")</f>
        <v>68935.625</v>
      </c>
      <c r="CN5" s="40">
        <f>IFERROR(s_C*(up_Bv!P5+s_MLF_onion)*s_IFON_far_adj*s_CF_onion,".")</f>
        <v>68935.625</v>
      </c>
      <c r="CO5" s="40">
        <f>IFERROR(s_C*(up_Bv!Q5+s_MLF_peach)*s_IFPC_far_adj*s_CF_peach,".")</f>
        <v>68935.625</v>
      </c>
      <c r="CP5" s="40">
        <f>IFERROR(s_C*(up_Bv!R5+s_MLF_pear)*s_IFPR_far_adj*s_CF_pear,".")</f>
        <v>68935.625</v>
      </c>
      <c r="CQ5" s="40">
        <f>IFERROR(s_C*(up_Bv!S5+s_MLF_peas)*s_IFPE_far_adj*s_CF_peas,".")</f>
        <v>68935.625</v>
      </c>
      <c r="CR5" s="40">
        <f>IFERROR(s_C*(up_Bv!T5+s_MLF_potato)*s_IFPT_far_adj*s_CF_potato,".")</f>
        <v>68935.625</v>
      </c>
      <c r="CS5" s="40">
        <f>IFERROR(s_C*(up_Bv!U5+s_MLF_pumpkin)*s_IFPU_far_adj*s_CF_pumpkin,".")</f>
        <v>68935.625</v>
      </c>
      <c r="CT5" s="40">
        <f>IFERROR(s_C*(up_Bv!V5+s_MLF_snap_bean)*s_IFSN_far_adj*s_CF_snap_bean,".")</f>
        <v>68935.625</v>
      </c>
      <c r="CU5" s="40">
        <f>IFERROR(s_C*(up_Bv!W5+s_MLF_strawberry)*s_IFST_far_adj*s_CF_strawberry,".")</f>
        <v>68935.625</v>
      </c>
      <c r="CV5" s="40">
        <f>IFERROR(s_C*(up_Bv!X5+s_MLF_tomato)*s_IFTO_far_adj*s_CF_tomato,".")</f>
        <v>68935.625</v>
      </c>
      <c r="CW5" s="40">
        <f>IFERROR(s_C*(up_Bv!Y5+s_MLF_rice)*s_IFRI_far_adj*s_CF_rice,".")</f>
        <v>68935.625</v>
      </c>
      <c r="CX5" s="40">
        <f>IFERROR(s_C*(up_Bv!Z5+s_MLF_cereal)*s_IFCG_far_adj*s_CF_cereal,".")</f>
        <v>68935.625</v>
      </c>
    </row>
    <row r="6" spans="1:102" ht="15" customHeight="1" x14ac:dyDescent="0.25">
      <c r="A6" s="44" t="s">
        <v>16</v>
      </c>
      <c r="B6" s="42" t="s">
        <v>1074</v>
      </c>
      <c r="C6" s="117">
        <f t="shared" si="0"/>
        <v>3.6265718922545492E-12</v>
      </c>
      <c r="D6" s="117">
        <f>IFERROR((up_dir!D6/(up_Bv!C6+s_MLF_apple)),".")</f>
        <v>1.4506287569018197E-11</v>
      </c>
      <c r="E6" s="117">
        <f>IFERROR((up_dir!E6/(up_Bv!D6+s_MLF_asparagus)),".")</f>
        <v>1.4506287569018197E-11</v>
      </c>
      <c r="F6" s="117">
        <f>IFERROR((up_dir!F6/(up_Bv!E6+s_MLF_beet)),".")</f>
        <v>1.4506287569018197E-11</v>
      </c>
      <c r="G6" s="117">
        <f>IFERROR((up_dir!G6/(up_Bv!F6+s_MLF_berries)),".")</f>
        <v>1.4506287569018197E-11</v>
      </c>
      <c r="H6" s="117">
        <f>IFERROR((up_dir!H6/(up_Bv!G6+s_MLF_broccoli)),".")</f>
        <v>1.4506287569018197E-11</v>
      </c>
      <c r="I6" s="117">
        <f>IFERROR((up_dir!I6/(up_Bv!H6+s_MLF_cabbage)),".")</f>
        <v>1.4506287569018197E-11</v>
      </c>
      <c r="J6" s="117">
        <f>IFERROR((up_dir!J6/(up_Bv!I6+s_MLF_carrot)),".")</f>
        <v>1.4506287569018197E-11</v>
      </c>
      <c r="K6" s="117">
        <f>IFERROR((up_dir!K6/(up_Bv!J6+s_MLF_citrus)),".")</f>
        <v>1.4506287569018197E-11</v>
      </c>
      <c r="L6" s="117">
        <f>IFERROR((up_dir!L6/(up_Bv!K6+s_MLF_corn)),".")</f>
        <v>1.4506287569018197E-11</v>
      </c>
      <c r="M6" s="117">
        <f>IFERROR((up_dir!M6/(up_Bv!L6+s_MLF_cucumber)),".")</f>
        <v>1.4506287569018197E-11</v>
      </c>
      <c r="N6" s="117">
        <f>IFERROR((up_dir!N6/(up_Bv!M6+s_MLF_lettuce)),".")</f>
        <v>1.4506287569018197E-11</v>
      </c>
      <c r="O6" s="117">
        <f>IFERROR((up_dir!O6/(up_Bv!N6+s_MLF_lima_bean)),".")</f>
        <v>1.4506287569018197E-11</v>
      </c>
      <c r="P6" s="117">
        <f>IFERROR((up_dir!P6/(up_Bv!O6+s_MLF_okra)),".")</f>
        <v>1.4506287569018197E-11</v>
      </c>
      <c r="Q6" s="117">
        <f>IFERROR((up_dir!Q6/(up_Bv!P6+s_MLF_onion)),".")</f>
        <v>1.4506287569018197E-11</v>
      </c>
      <c r="R6" s="117">
        <f>IFERROR((up_dir!R6/(up_Bv!Q6+s_MLF_peach)),".")</f>
        <v>1.4506287569018197E-11</v>
      </c>
      <c r="S6" s="117">
        <f>IFERROR((up_dir!S6/(up_Bv!R6+s_MLF_pear)),".")</f>
        <v>1.4506287569018197E-11</v>
      </c>
      <c r="T6" s="117">
        <f>IFERROR((up_dir!T6/(up_Bv!S6+s_MLF_peas)),".")</f>
        <v>1.4506287569018197E-11</v>
      </c>
      <c r="U6" s="117">
        <f>IFERROR((up_dir!U6/(up_Bv!T6+s_MLF_potato)),".")</f>
        <v>1.4506287569018197E-11</v>
      </c>
      <c r="V6" s="117">
        <f>IFERROR((up_dir!V6/(up_Bv!U6+s_MLF_pumpkin)),".")</f>
        <v>1.4506287569018197E-11</v>
      </c>
      <c r="W6" s="117">
        <f>IFERROR((up_dir!W6/(up_Bv!V6+s_MLF_snap_bean)),".")</f>
        <v>1.4506287569018197E-11</v>
      </c>
      <c r="X6" s="117">
        <f>IFERROR((up_dir!X6/(up_Bv!W6+s_MLF_strawberry)),".")</f>
        <v>1.4506287569018197E-11</v>
      </c>
      <c r="Y6" s="117">
        <f>IFERROR((up_dir!Y6/(up_Bv!X6+s_MLF_tomato)),".")</f>
        <v>1.4506287569018197E-11</v>
      </c>
      <c r="Z6" s="117">
        <f>IFERROR((up_dir!Z6/(up_Bv!Y6+s_MLF_rice)),".")</f>
        <v>1.4506287569018197E-11</v>
      </c>
      <c r="AA6" s="117">
        <f>IFERROR((up_dir!AA6/(up_Bv!Z6+s_MLF_cereal)),".")</f>
        <v>1.4506287569018197E-11</v>
      </c>
      <c r="AB6" s="40">
        <f t="shared" si="2"/>
        <v>275742.5</v>
      </c>
      <c r="AC6" s="40">
        <f>s_C*(up_Bv!C6+s_MLF_apple)*s_IFAP_res_adj*s_CF_apple</f>
        <v>68935.625</v>
      </c>
      <c r="AD6" s="40">
        <f>s_C*(up_Bv!D6+s_MLF_asparagus)*s_IFAS_res_adj*s_CF_asparagus</f>
        <v>68935.625</v>
      </c>
      <c r="AE6" s="40">
        <f>s_C*(up_Bv!E6+s_MLF_beet)*s_IFBT_res_adj*s_CF_beet</f>
        <v>68935.625</v>
      </c>
      <c r="AF6" s="40">
        <f>s_C*(up_Bv!F6+s_MLF_berries)*s_IFBE_res_adj*s_CF_berries</f>
        <v>68935.625</v>
      </c>
      <c r="AG6" s="40">
        <f>s_C*(up_Bv!G6+s_MLF_broccoli)*s_IFBR_res_adj*s_CF_broccoli</f>
        <v>68935.625</v>
      </c>
      <c r="AH6" s="40">
        <f>s_C*(up_Bv!H6+s_MLF_cabbage)*s_IFCB_res_adj*s_CF_cabbage</f>
        <v>68935.625</v>
      </c>
      <c r="AI6" s="40">
        <f>s_C*(up_Bv!I6+s_MLF_carrot)*s_IFCR_res_adj*s_CF_carrot</f>
        <v>68935.625</v>
      </c>
      <c r="AJ6" s="40">
        <f>s_C*(up_Bv!J6+s_MLF_citrus)*s_IFCI_res_adj*s_CF_citrus</f>
        <v>68935.625</v>
      </c>
      <c r="AK6" s="40">
        <f>s_C*(up_Bv!K6+s_MLF_corn)*s_IFCO_res_adj*s_CF_corn</f>
        <v>68935.625</v>
      </c>
      <c r="AL6" s="40">
        <f>s_C*(up_Bv!L6+s_MLF_cucumber)*s_IFCU_res_adj*s_CF_cucumber</f>
        <v>68935.625</v>
      </c>
      <c r="AM6" s="40">
        <f>s_C*(up_Bv!M6+s_MLF_lettuce)*s_IFLE_res_adj*s_CF_lettuce</f>
        <v>68935.625</v>
      </c>
      <c r="AN6" s="40">
        <f>s_C*(up_Bv!N6+s_MLF_lima_bean)*s_IFLI_res_adj*s_CF_lima_bean</f>
        <v>68935.625</v>
      </c>
      <c r="AO6" s="40">
        <f>s_C*(up_Bv!O6+s_MLF_okra)*s_IFOK_res_adj*s_CF_okra</f>
        <v>68935.625</v>
      </c>
      <c r="AP6" s="40">
        <f>s_C*(up_Bv!P6+s_MLF_onion)*s_IFON_res_adj*s_CF_onion</f>
        <v>68935.625</v>
      </c>
      <c r="AQ6" s="40">
        <f>s_C*(up_Bv!Q6+s_MLF_peach)*s_IFPC_res_adj*s_CF_peach</f>
        <v>68935.625</v>
      </c>
      <c r="AR6" s="40">
        <f>s_C*(up_Bv!R6+s_MLF_pear)*s_IFPR_res_adj*s_CF_pear</f>
        <v>68935.625</v>
      </c>
      <c r="AS6" s="40">
        <f>s_C*(up_Bv!S6+s_MLF_peas)*s_IFPE_res_adj*s_CF_peas</f>
        <v>68935.625</v>
      </c>
      <c r="AT6" s="40">
        <f>s_C*(up_Bv!T6+s_MLF_potato)*s_IFPT_res_adj*s_CF_potato</f>
        <v>68935.625</v>
      </c>
      <c r="AU6" s="40">
        <f>s_C*(up_Bv!U6+s_MLF_pumpkin)*s_IFPU_res_adj*s_CF_pumpkin</f>
        <v>68935.625</v>
      </c>
      <c r="AV6" s="40">
        <f>s_C*(up_Bv!V6+s_MLF_snap_bean)*s_IFSN_res_adj*s_CF_snap_bean</f>
        <v>68935.625</v>
      </c>
      <c r="AW6" s="40">
        <f>s_C*(up_Bv!W6+s_MLF_strawberry)*s_IFST_res_adj*s_CF_strawberry</f>
        <v>68935.625</v>
      </c>
      <c r="AX6" s="40">
        <f>s_C*(up_Bv!X6+s_MLF_tomato)*s_IFTO_res_adj*s_CF_tomato</f>
        <v>68935.625</v>
      </c>
      <c r="AY6" s="40">
        <f>s_C*(up_Bv!Y6+s_MLF_rice)*s_IFRI_res_adj*s_CF_rice</f>
        <v>68935.625</v>
      </c>
      <c r="AZ6" s="40">
        <f>s_C*(up_Bv!Z6+s_MLF_cereal)*s_IFCG_res_adj*s_CF_cereal</f>
        <v>68935.625</v>
      </c>
      <c r="BA6" s="15">
        <f t="shared" si="1"/>
        <v>3.6265718922545492E-12</v>
      </c>
      <c r="BB6" s="15">
        <f>IFERROR((up_dir!AC6/(up_Bv!C6+s_MLF_apple)),".")</f>
        <v>1.4506287569018197E-11</v>
      </c>
      <c r="BC6" s="15">
        <f>IFERROR((up_dir!AD6/(up_Bv!D6+s_MLF_asparagus)),".")</f>
        <v>1.4506287569018197E-11</v>
      </c>
      <c r="BD6" s="15">
        <f>IFERROR((up_dir!AE6/(up_Bv!E6+s_MLF_beet)),".")</f>
        <v>1.4506287569018197E-11</v>
      </c>
      <c r="BE6" s="15">
        <f>IFERROR((up_dir!AF6/(up_Bv!F6+s_MLF_berries)),".")</f>
        <v>1.4506287569018197E-11</v>
      </c>
      <c r="BF6" s="15">
        <f>IFERROR((up_dir!AG6/(up_Bv!G6+s_MLF_broccoli)),".")</f>
        <v>1.4506287569018197E-11</v>
      </c>
      <c r="BG6" s="15">
        <f>IFERROR((up_dir!AH6/(up_Bv!H6+s_MLF_cabbage)),".")</f>
        <v>1.4506287569018197E-11</v>
      </c>
      <c r="BH6" s="15">
        <f>IFERROR((up_dir!AI6/(up_Bv!I6+s_MLF_carrot)),".")</f>
        <v>1.4506287569018197E-11</v>
      </c>
      <c r="BI6" s="15">
        <f>IFERROR((up_dir!AJ6/(up_Bv!J6+s_MLF_citrus)),".")</f>
        <v>1.4506287569018197E-11</v>
      </c>
      <c r="BJ6" s="15">
        <f>IFERROR((up_dir!AK6/(up_Bv!K6+s_MLF_corn)),".")</f>
        <v>1.4506287569018197E-11</v>
      </c>
      <c r="BK6" s="15">
        <f>IFERROR((up_dir!AL6/(up_Bv!L6+s_MLF_cucumber)),".")</f>
        <v>1.4506287569018197E-11</v>
      </c>
      <c r="BL6" s="15">
        <f>IFERROR((up_dir!AM6/(up_Bv!M6+s_MLF_lettuce)),".")</f>
        <v>1.4506287569018197E-11</v>
      </c>
      <c r="BM6" s="15">
        <f>IFERROR((up_dir!AN6/(up_Bv!N6+s_MLF_lima_bean)),".")</f>
        <v>1.4506287569018197E-11</v>
      </c>
      <c r="BN6" s="15">
        <f>IFERROR((up_dir!AO6/(up_Bv!O6+s_MLF_okra)),".")</f>
        <v>1.4506287569018197E-11</v>
      </c>
      <c r="BO6" s="15">
        <f>IFERROR((up_dir!AP6/(up_Bv!P6+s_MLF_onion)),".")</f>
        <v>1.4506287569018197E-11</v>
      </c>
      <c r="BP6" s="15">
        <f>IFERROR((up_dir!AQ6/(up_Bv!Q6+s_MLF_peach)),".")</f>
        <v>1.4506287569018197E-11</v>
      </c>
      <c r="BQ6" s="15">
        <f>IFERROR((up_dir!AR6/(up_Bv!R6+s_MLF_pear)),".")</f>
        <v>1.4506287569018197E-11</v>
      </c>
      <c r="BR6" s="15">
        <f>IFERROR((up_dir!AS6/(up_Bv!S6+s_MLF_peas)),".")</f>
        <v>1.4506287569018197E-11</v>
      </c>
      <c r="BS6" s="15">
        <f>IFERROR((up_dir!AT6/(up_Bv!T6+s_MLF_potato)),".")</f>
        <v>1.4506287569018197E-11</v>
      </c>
      <c r="BT6" s="15">
        <f>IFERROR((up_dir!AU6/(up_Bv!U6+s_MLF_pumpkin)),".")</f>
        <v>1.4506287569018197E-11</v>
      </c>
      <c r="BU6" s="15">
        <f>IFERROR((up_dir!AV6/(up_Bv!V6+s_MLF_snap_bean)),".")</f>
        <v>1.4506287569018197E-11</v>
      </c>
      <c r="BV6" s="15">
        <f>IFERROR((up_dir!AW6/(up_Bv!W6+s_MLF_strawberry)),".")</f>
        <v>1.4506287569018197E-11</v>
      </c>
      <c r="BW6" s="15">
        <f>IFERROR((up_dir!AX6/(up_Bv!X6+s_MLF_tomato)),".")</f>
        <v>1.4506287569018197E-11</v>
      </c>
      <c r="BX6" s="15">
        <f>IFERROR((up_dir!AY6/(up_Bv!Y6+s_MLF_rice)),".")</f>
        <v>1.4506287569018197E-11</v>
      </c>
      <c r="BY6" s="15">
        <f>IFERROR((up_dir!AZ6/(up_Bv!Z6+s_MLF_cereal)),".")</f>
        <v>1.4506287569018197E-11</v>
      </c>
      <c r="BZ6" s="40">
        <f t="shared" si="3"/>
        <v>275742.5</v>
      </c>
      <c r="CA6" s="40">
        <f>IFERROR(s_C*(up_Bv!C6+s_MLF_apple)*s_IFAP_far_adj*s_CF_apple,".")</f>
        <v>68935.625</v>
      </c>
      <c r="CB6" s="40">
        <f>IFERROR(s_C*(up_Bv!D6+s_MLF_asparagus)*s_IFAS_far_adj*s_CF_asparagus,".")</f>
        <v>68935.625</v>
      </c>
      <c r="CC6" s="40">
        <f>IFERROR(s_C*(up_Bv!E6+s_MLF_beet)*s_IFBT_far_adj*s_CF_beet,".")</f>
        <v>68935.625</v>
      </c>
      <c r="CD6" s="40">
        <f>IFERROR(s_C*(up_Bv!F6+s_MLF_berries)*s_IFBR_far_adj*s_CF_berries,".")</f>
        <v>68935.625</v>
      </c>
      <c r="CE6" s="40">
        <f>IFERROR(s_C*(up_Bv!G6+s_MLF_broccoli)*s_IFBR_far_adj*s_CF_broccoli,".")</f>
        <v>68935.625</v>
      </c>
      <c r="CF6" s="40">
        <f>IFERROR(s_C*(up_Bv!H6+s_MLF_cabbage)*s_IFCB_far_adj*s_CF_cabbage,".")</f>
        <v>68935.625</v>
      </c>
      <c r="CG6" s="40">
        <f>IFERROR(s_C*(up_Bv!I6+s_MLF_carrot)*s_IFCR_far_adj*s_CF_carrot,".")</f>
        <v>68935.625</v>
      </c>
      <c r="CH6" s="40">
        <f>IFERROR(s_C*(up_Bv!J6+s_MLF_citrus)*s_IFCI_far_adj*s_CF_citrus,".")</f>
        <v>68935.625</v>
      </c>
      <c r="CI6" s="40">
        <f>IFERROR(s_C*(up_Bv!K6+s_MLF_corn)*s_IFCO_far_adj*s_CF_corn,".")</f>
        <v>68935.625</v>
      </c>
      <c r="CJ6" s="40">
        <f>IFERROR(s_C*(up_Bv!L6+s_MLF_cucumber)*s_IFCU_far_adj*s_CF_cucumber,".")</f>
        <v>68935.625</v>
      </c>
      <c r="CK6" s="40">
        <f>IFERROR(s_C*(up_Bv!M6+s_MLF_lettuce)*s_IFLE_far_adj*s_CF_lettuce,".")</f>
        <v>68935.625</v>
      </c>
      <c r="CL6" s="40">
        <f>IFERROR(s_C*(up_Bv!N6+s_MLF_lima_bean)*s_IFLI_far_adj*s_CF_lima_bean,".")</f>
        <v>68935.625</v>
      </c>
      <c r="CM6" s="40">
        <f>IFERROR(s_C*(up_Bv!O6+s_MLF_okra)*s_IFOK_far_adj*s_CF_okra,".")</f>
        <v>68935.625</v>
      </c>
      <c r="CN6" s="40">
        <f>IFERROR(s_C*(up_Bv!P6+s_MLF_onion)*s_IFON_far_adj*s_CF_onion,".")</f>
        <v>68935.625</v>
      </c>
      <c r="CO6" s="40">
        <f>IFERROR(s_C*(up_Bv!Q6+s_MLF_peach)*s_IFPC_far_adj*s_CF_peach,".")</f>
        <v>68935.625</v>
      </c>
      <c r="CP6" s="40">
        <f>IFERROR(s_C*(up_Bv!R6+s_MLF_pear)*s_IFPR_far_adj*s_CF_pear,".")</f>
        <v>68935.625</v>
      </c>
      <c r="CQ6" s="40">
        <f>IFERROR(s_C*(up_Bv!S6+s_MLF_peas)*s_IFPE_far_adj*s_CF_peas,".")</f>
        <v>68935.625</v>
      </c>
      <c r="CR6" s="40">
        <f>IFERROR(s_C*(up_Bv!T6+s_MLF_potato)*s_IFPT_far_adj*s_CF_potato,".")</f>
        <v>68935.625</v>
      </c>
      <c r="CS6" s="40">
        <f>IFERROR(s_C*(up_Bv!U6+s_MLF_pumpkin)*s_IFPU_far_adj*s_CF_pumpkin,".")</f>
        <v>68935.625</v>
      </c>
      <c r="CT6" s="40">
        <f>IFERROR(s_C*(up_Bv!V6+s_MLF_snap_bean)*s_IFSN_far_adj*s_CF_snap_bean,".")</f>
        <v>68935.625</v>
      </c>
      <c r="CU6" s="40">
        <f>IFERROR(s_C*(up_Bv!W6+s_MLF_strawberry)*s_IFST_far_adj*s_CF_strawberry,".")</f>
        <v>68935.625</v>
      </c>
      <c r="CV6" s="40">
        <f>IFERROR(s_C*(up_Bv!X6+s_MLF_tomato)*s_IFTO_far_adj*s_CF_tomato,".")</f>
        <v>68935.625</v>
      </c>
      <c r="CW6" s="40">
        <f>IFERROR(s_C*(up_Bv!Y6+s_MLF_rice)*s_IFRI_far_adj*s_CF_rice,".")</f>
        <v>68935.625</v>
      </c>
      <c r="CX6" s="40">
        <f>IFERROR(s_C*(up_Bv!Z6+s_MLF_cereal)*s_IFCG_far_adj*s_CF_cereal,".")</f>
        <v>68935.625</v>
      </c>
    </row>
    <row r="7" spans="1:102" ht="15" customHeight="1" x14ac:dyDescent="0.25">
      <c r="A7" s="44" t="s">
        <v>17</v>
      </c>
      <c r="B7" s="42" t="s">
        <v>1074</v>
      </c>
      <c r="C7" s="117">
        <f t="shared" si="0"/>
        <v>3.6265718922545492E-12</v>
      </c>
      <c r="D7" s="117">
        <f>IFERROR((up_dir!D7/(up_Bv!C7+s_MLF_apple)),".")</f>
        <v>1.4506287569018197E-11</v>
      </c>
      <c r="E7" s="117">
        <f>IFERROR((up_dir!E7/(up_Bv!D7+s_MLF_asparagus)),".")</f>
        <v>1.4506287569018197E-11</v>
      </c>
      <c r="F7" s="117">
        <f>IFERROR((up_dir!F7/(up_Bv!E7+s_MLF_beet)),".")</f>
        <v>1.4506287569018197E-11</v>
      </c>
      <c r="G7" s="117">
        <f>IFERROR((up_dir!G7/(up_Bv!F7+s_MLF_berries)),".")</f>
        <v>1.4506287569018197E-11</v>
      </c>
      <c r="H7" s="117">
        <f>IFERROR((up_dir!H7/(up_Bv!G7+s_MLF_broccoli)),".")</f>
        <v>1.4506287569018197E-11</v>
      </c>
      <c r="I7" s="117">
        <f>IFERROR((up_dir!I7/(up_Bv!H7+s_MLF_cabbage)),".")</f>
        <v>1.4506287569018197E-11</v>
      </c>
      <c r="J7" s="117">
        <f>IFERROR((up_dir!J7/(up_Bv!I7+s_MLF_carrot)),".")</f>
        <v>1.4506287569018197E-11</v>
      </c>
      <c r="K7" s="117">
        <f>IFERROR((up_dir!K7/(up_Bv!J7+s_MLF_citrus)),".")</f>
        <v>1.4506287569018197E-11</v>
      </c>
      <c r="L7" s="117">
        <f>IFERROR((up_dir!L7/(up_Bv!K7+s_MLF_corn)),".")</f>
        <v>1.4506287569018197E-11</v>
      </c>
      <c r="M7" s="117">
        <f>IFERROR((up_dir!M7/(up_Bv!L7+s_MLF_cucumber)),".")</f>
        <v>1.4506287569018197E-11</v>
      </c>
      <c r="N7" s="117">
        <f>IFERROR((up_dir!N7/(up_Bv!M7+s_MLF_lettuce)),".")</f>
        <v>1.4506287569018197E-11</v>
      </c>
      <c r="O7" s="117">
        <f>IFERROR((up_dir!O7/(up_Bv!N7+s_MLF_lima_bean)),".")</f>
        <v>1.4506287569018197E-11</v>
      </c>
      <c r="P7" s="117">
        <f>IFERROR((up_dir!P7/(up_Bv!O7+s_MLF_okra)),".")</f>
        <v>1.4506287569018197E-11</v>
      </c>
      <c r="Q7" s="117">
        <f>IFERROR((up_dir!Q7/(up_Bv!P7+s_MLF_onion)),".")</f>
        <v>1.4506287569018197E-11</v>
      </c>
      <c r="R7" s="117">
        <f>IFERROR((up_dir!R7/(up_Bv!Q7+s_MLF_peach)),".")</f>
        <v>1.4506287569018197E-11</v>
      </c>
      <c r="S7" s="117">
        <f>IFERROR((up_dir!S7/(up_Bv!R7+s_MLF_pear)),".")</f>
        <v>1.4506287569018197E-11</v>
      </c>
      <c r="T7" s="117">
        <f>IFERROR((up_dir!T7/(up_Bv!S7+s_MLF_peas)),".")</f>
        <v>1.4506287569018197E-11</v>
      </c>
      <c r="U7" s="117">
        <f>IFERROR((up_dir!U7/(up_Bv!T7+s_MLF_potato)),".")</f>
        <v>1.4506287569018197E-11</v>
      </c>
      <c r="V7" s="117">
        <f>IFERROR((up_dir!V7/(up_Bv!U7+s_MLF_pumpkin)),".")</f>
        <v>1.4506287569018197E-11</v>
      </c>
      <c r="W7" s="117">
        <f>IFERROR((up_dir!W7/(up_Bv!V7+s_MLF_snap_bean)),".")</f>
        <v>1.4506287569018197E-11</v>
      </c>
      <c r="X7" s="117">
        <f>IFERROR((up_dir!X7/(up_Bv!W7+s_MLF_strawberry)),".")</f>
        <v>1.4506287569018197E-11</v>
      </c>
      <c r="Y7" s="117">
        <f>IFERROR((up_dir!Y7/(up_Bv!X7+s_MLF_tomato)),".")</f>
        <v>1.4506287569018197E-11</v>
      </c>
      <c r="Z7" s="117">
        <f>IFERROR((up_dir!Z7/(up_Bv!Y7+s_MLF_rice)),".")</f>
        <v>1.4506287569018197E-11</v>
      </c>
      <c r="AA7" s="117">
        <f>IFERROR((up_dir!AA7/(up_Bv!Z7+s_MLF_cereal)),".")</f>
        <v>1.4506287569018197E-11</v>
      </c>
      <c r="AB7" s="40">
        <f t="shared" si="2"/>
        <v>275742.5</v>
      </c>
      <c r="AC7" s="40">
        <f>s_C*(up_Bv!C7+s_MLF_apple)*s_IFAP_res_adj*s_CF_apple</f>
        <v>68935.625</v>
      </c>
      <c r="AD7" s="40">
        <f>s_C*(up_Bv!D7+s_MLF_asparagus)*s_IFAS_res_adj*s_CF_asparagus</f>
        <v>68935.625</v>
      </c>
      <c r="AE7" s="40">
        <f>s_C*(up_Bv!E7+s_MLF_beet)*s_IFBT_res_adj*s_CF_beet</f>
        <v>68935.625</v>
      </c>
      <c r="AF7" s="40">
        <f>s_C*(up_Bv!F7+s_MLF_berries)*s_IFBE_res_adj*s_CF_berries</f>
        <v>68935.625</v>
      </c>
      <c r="AG7" s="40">
        <f>s_C*(up_Bv!G7+s_MLF_broccoli)*s_IFBR_res_adj*s_CF_broccoli</f>
        <v>68935.625</v>
      </c>
      <c r="AH7" s="40">
        <f>s_C*(up_Bv!H7+s_MLF_cabbage)*s_IFCB_res_adj*s_CF_cabbage</f>
        <v>68935.625</v>
      </c>
      <c r="AI7" s="40">
        <f>s_C*(up_Bv!I7+s_MLF_carrot)*s_IFCR_res_adj*s_CF_carrot</f>
        <v>68935.625</v>
      </c>
      <c r="AJ7" s="40">
        <f>s_C*(up_Bv!J7+s_MLF_citrus)*s_IFCI_res_adj*s_CF_citrus</f>
        <v>68935.625</v>
      </c>
      <c r="AK7" s="40">
        <f>s_C*(up_Bv!K7+s_MLF_corn)*s_IFCO_res_adj*s_CF_corn</f>
        <v>68935.625</v>
      </c>
      <c r="AL7" s="40">
        <f>s_C*(up_Bv!L7+s_MLF_cucumber)*s_IFCU_res_adj*s_CF_cucumber</f>
        <v>68935.625</v>
      </c>
      <c r="AM7" s="40">
        <f>s_C*(up_Bv!M7+s_MLF_lettuce)*s_IFLE_res_adj*s_CF_lettuce</f>
        <v>68935.625</v>
      </c>
      <c r="AN7" s="40">
        <f>s_C*(up_Bv!N7+s_MLF_lima_bean)*s_IFLI_res_adj*s_CF_lima_bean</f>
        <v>68935.625</v>
      </c>
      <c r="AO7" s="40">
        <f>s_C*(up_Bv!O7+s_MLF_okra)*s_IFOK_res_adj*s_CF_okra</f>
        <v>68935.625</v>
      </c>
      <c r="AP7" s="40">
        <f>s_C*(up_Bv!P7+s_MLF_onion)*s_IFON_res_adj*s_CF_onion</f>
        <v>68935.625</v>
      </c>
      <c r="AQ7" s="40">
        <f>s_C*(up_Bv!Q7+s_MLF_peach)*s_IFPC_res_adj*s_CF_peach</f>
        <v>68935.625</v>
      </c>
      <c r="AR7" s="40">
        <f>s_C*(up_Bv!R7+s_MLF_pear)*s_IFPR_res_adj*s_CF_pear</f>
        <v>68935.625</v>
      </c>
      <c r="AS7" s="40">
        <f>s_C*(up_Bv!S7+s_MLF_peas)*s_IFPE_res_adj*s_CF_peas</f>
        <v>68935.625</v>
      </c>
      <c r="AT7" s="40">
        <f>s_C*(up_Bv!T7+s_MLF_potato)*s_IFPT_res_adj*s_CF_potato</f>
        <v>68935.625</v>
      </c>
      <c r="AU7" s="40">
        <f>s_C*(up_Bv!U7+s_MLF_pumpkin)*s_IFPU_res_adj*s_CF_pumpkin</f>
        <v>68935.625</v>
      </c>
      <c r="AV7" s="40">
        <f>s_C*(up_Bv!V7+s_MLF_snap_bean)*s_IFSN_res_adj*s_CF_snap_bean</f>
        <v>68935.625</v>
      </c>
      <c r="AW7" s="40">
        <f>s_C*(up_Bv!W7+s_MLF_strawberry)*s_IFST_res_adj*s_CF_strawberry</f>
        <v>68935.625</v>
      </c>
      <c r="AX7" s="40">
        <f>s_C*(up_Bv!X7+s_MLF_tomato)*s_IFTO_res_adj*s_CF_tomato</f>
        <v>68935.625</v>
      </c>
      <c r="AY7" s="40">
        <f>s_C*(up_Bv!Y7+s_MLF_rice)*s_IFRI_res_adj*s_CF_rice</f>
        <v>68935.625</v>
      </c>
      <c r="AZ7" s="40">
        <f>s_C*(up_Bv!Z7+s_MLF_cereal)*s_IFCG_res_adj*s_CF_cereal</f>
        <v>68935.625</v>
      </c>
      <c r="BA7" s="15">
        <f t="shared" si="1"/>
        <v>3.6265718922545492E-12</v>
      </c>
      <c r="BB7" s="15">
        <f>IFERROR((up_dir!AC7/(up_Bv!C7+s_MLF_apple)),".")</f>
        <v>1.4506287569018197E-11</v>
      </c>
      <c r="BC7" s="15">
        <f>IFERROR((up_dir!AD7/(up_Bv!D7+s_MLF_asparagus)),".")</f>
        <v>1.4506287569018197E-11</v>
      </c>
      <c r="BD7" s="15">
        <f>IFERROR((up_dir!AE7/(up_Bv!E7+s_MLF_beet)),".")</f>
        <v>1.4506287569018197E-11</v>
      </c>
      <c r="BE7" s="15">
        <f>IFERROR((up_dir!AF7/(up_Bv!F7+s_MLF_berries)),".")</f>
        <v>1.4506287569018197E-11</v>
      </c>
      <c r="BF7" s="15">
        <f>IFERROR((up_dir!AG7/(up_Bv!G7+s_MLF_broccoli)),".")</f>
        <v>1.4506287569018197E-11</v>
      </c>
      <c r="BG7" s="15">
        <f>IFERROR((up_dir!AH7/(up_Bv!H7+s_MLF_cabbage)),".")</f>
        <v>1.4506287569018197E-11</v>
      </c>
      <c r="BH7" s="15">
        <f>IFERROR((up_dir!AI7/(up_Bv!I7+s_MLF_carrot)),".")</f>
        <v>1.4506287569018197E-11</v>
      </c>
      <c r="BI7" s="15">
        <f>IFERROR((up_dir!AJ7/(up_Bv!J7+s_MLF_citrus)),".")</f>
        <v>1.4506287569018197E-11</v>
      </c>
      <c r="BJ7" s="15">
        <f>IFERROR((up_dir!AK7/(up_Bv!K7+s_MLF_corn)),".")</f>
        <v>1.4506287569018197E-11</v>
      </c>
      <c r="BK7" s="15">
        <f>IFERROR((up_dir!AL7/(up_Bv!L7+s_MLF_cucumber)),".")</f>
        <v>1.4506287569018197E-11</v>
      </c>
      <c r="BL7" s="15">
        <f>IFERROR((up_dir!AM7/(up_Bv!M7+s_MLF_lettuce)),".")</f>
        <v>1.4506287569018197E-11</v>
      </c>
      <c r="BM7" s="15">
        <f>IFERROR((up_dir!AN7/(up_Bv!N7+s_MLF_lima_bean)),".")</f>
        <v>1.4506287569018197E-11</v>
      </c>
      <c r="BN7" s="15">
        <f>IFERROR((up_dir!AO7/(up_Bv!O7+s_MLF_okra)),".")</f>
        <v>1.4506287569018197E-11</v>
      </c>
      <c r="BO7" s="15">
        <f>IFERROR((up_dir!AP7/(up_Bv!P7+s_MLF_onion)),".")</f>
        <v>1.4506287569018197E-11</v>
      </c>
      <c r="BP7" s="15">
        <f>IFERROR((up_dir!AQ7/(up_Bv!Q7+s_MLF_peach)),".")</f>
        <v>1.4506287569018197E-11</v>
      </c>
      <c r="BQ7" s="15">
        <f>IFERROR((up_dir!AR7/(up_Bv!R7+s_MLF_pear)),".")</f>
        <v>1.4506287569018197E-11</v>
      </c>
      <c r="BR7" s="15">
        <f>IFERROR((up_dir!AS7/(up_Bv!S7+s_MLF_peas)),".")</f>
        <v>1.4506287569018197E-11</v>
      </c>
      <c r="BS7" s="15">
        <f>IFERROR((up_dir!AT7/(up_Bv!T7+s_MLF_potato)),".")</f>
        <v>1.4506287569018197E-11</v>
      </c>
      <c r="BT7" s="15">
        <f>IFERROR((up_dir!AU7/(up_Bv!U7+s_MLF_pumpkin)),".")</f>
        <v>1.4506287569018197E-11</v>
      </c>
      <c r="BU7" s="15">
        <f>IFERROR((up_dir!AV7/(up_Bv!V7+s_MLF_snap_bean)),".")</f>
        <v>1.4506287569018197E-11</v>
      </c>
      <c r="BV7" s="15">
        <f>IFERROR((up_dir!AW7/(up_Bv!W7+s_MLF_strawberry)),".")</f>
        <v>1.4506287569018197E-11</v>
      </c>
      <c r="BW7" s="15">
        <f>IFERROR((up_dir!AX7/(up_Bv!X7+s_MLF_tomato)),".")</f>
        <v>1.4506287569018197E-11</v>
      </c>
      <c r="BX7" s="15">
        <f>IFERROR((up_dir!AY7/(up_Bv!Y7+s_MLF_rice)),".")</f>
        <v>1.4506287569018197E-11</v>
      </c>
      <c r="BY7" s="15">
        <f>IFERROR((up_dir!AZ7/(up_Bv!Z7+s_MLF_cereal)),".")</f>
        <v>1.4506287569018197E-11</v>
      </c>
      <c r="BZ7" s="40">
        <f t="shared" si="3"/>
        <v>275742.5</v>
      </c>
      <c r="CA7" s="40">
        <f>IFERROR(s_C*(up_Bv!C7+s_MLF_apple)*s_IFAP_far_adj*s_CF_apple,".")</f>
        <v>68935.625</v>
      </c>
      <c r="CB7" s="40">
        <f>IFERROR(s_C*(up_Bv!D7+s_MLF_asparagus)*s_IFAS_far_adj*s_CF_asparagus,".")</f>
        <v>68935.625</v>
      </c>
      <c r="CC7" s="40">
        <f>IFERROR(s_C*(up_Bv!E7+s_MLF_beet)*s_IFBT_far_adj*s_CF_beet,".")</f>
        <v>68935.625</v>
      </c>
      <c r="CD7" s="40">
        <f>IFERROR(s_C*(up_Bv!F7+s_MLF_berries)*s_IFBR_far_adj*s_CF_berries,".")</f>
        <v>68935.625</v>
      </c>
      <c r="CE7" s="40">
        <f>IFERROR(s_C*(up_Bv!G7+s_MLF_broccoli)*s_IFBR_far_adj*s_CF_broccoli,".")</f>
        <v>68935.625</v>
      </c>
      <c r="CF7" s="40">
        <f>IFERROR(s_C*(up_Bv!H7+s_MLF_cabbage)*s_IFCB_far_adj*s_CF_cabbage,".")</f>
        <v>68935.625</v>
      </c>
      <c r="CG7" s="40">
        <f>IFERROR(s_C*(up_Bv!I7+s_MLF_carrot)*s_IFCR_far_adj*s_CF_carrot,".")</f>
        <v>68935.625</v>
      </c>
      <c r="CH7" s="40">
        <f>IFERROR(s_C*(up_Bv!J7+s_MLF_citrus)*s_IFCI_far_adj*s_CF_citrus,".")</f>
        <v>68935.625</v>
      </c>
      <c r="CI7" s="40">
        <f>IFERROR(s_C*(up_Bv!K7+s_MLF_corn)*s_IFCO_far_adj*s_CF_corn,".")</f>
        <v>68935.625</v>
      </c>
      <c r="CJ7" s="40">
        <f>IFERROR(s_C*(up_Bv!L7+s_MLF_cucumber)*s_IFCU_far_adj*s_CF_cucumber,".")</f>
        <v>68935.625</v>
      </c>
      <c r="CK7" s="40">
        <f>IFERROR(s_C*(up_Bv!M7+s_MLF_lettuce)*s_IFLE_far_adj*s_CF_lettuce,".")</f>
        <v>68935.625</v>
      </c>
      <c r="CL7" s="40">
        <f>IFERROR(s_C*(up_Bv!N7+s_MLF_lima_bean)*s_IFLI_far_adj*s_CF_lima_bean,".")</f>
        <v>68935.625</v>
      </c>
      <c r="CM7" s="40">
        <f>IFERROR(s_C*(up_Bv!O7+s_MLF_okra)*s_IFOK_far_adj*s_CF_okra,".")</f>
        <v>68935.625</v>
      </c>
      <c r="CN7" s="40">
        <f>IFERROR(s_C*(up_Bv!P7+s_MLF_onion)*s_IFON_far_adj*s_CF_onion,".")</f>
        <v>68935.625</v>
      </c>
      <c r="CO7" s="40">
        <f>IFERROR(s_C*(up_Bv!Q7+s_MLF_peach)*s_IFPC_far_adj*s_CF_peach,".")</f>
        <v>68935.625</v>
      </c>
      <c r="CP7" s="40">
        <f>IFERROR(s_C*(up_Bv!R7+s_MLF_pear)*s_IFPR_far_adj*s_CF_pear,".")</f>
        <v>68935.625</v>
      </c>
      <c r="CQ7" s="40">
        <f>IFERROR(s_C*(up_Bv!S7+s_MLF_peas)*s_IFPE_far_adj*s_CF_peas,".")</f>
        <v>68935.625</v>
      </c>
      <c r="CR7" s="40">
        <f>IFERROR(s_C*(up_Bv!T7+s_MLF_potato)*s_IFPT_far_adj*s_CF_potato,".")</f>
        <v>68935.625</v>
      </c>
      <c r="CS7" s="40">
        <f>IFERROR(s_C*(up_Bv!U7+s_MLF_pumpkin)*s_IFPU_far_adj*s_CF_pumpkin,".")</f>
        <v>68935.625</v>
      </c>
      <c r="CT7" s="40">
        <f>IFERROR(s_C*(up_Bv!V7+s_MLF_snap_bean)*s_IFSN_far_adj*s_CF_snap_bean,".")</f>
        <v>68935.625</v>
      </c>
      <c r="CU7" s="40">
        <f>IFERROR(s_C*(up_Bv!W7+s_MLF_strawberry)*s_IFST_far_adj*s_CF_strawberry,".")</f>
        <v>68935.625</v>
      </c>
      <c r="CV7" s="40">
        <f>IFERROR(s_C*(up_Bv!X7+s_MLF_tomato)*s_IFTO_far_adj*s_CF_tomato,".")</f>
        <v>68935.625</v>
      </c>
      <c r="CW7" s="40">
        <f>IFERROR(s_C*(up_Bv!Y7+s_MLF_rice)*s_IFRI_far_adj*s_CF_rice,".")</f>
        <v>68935.625</v>
      </c>
      <c r="CX7" s="40">
        <f>IFERROR(s_C*(up_Bv!Z7+s_MLF_cereal)*s_IFCG_far_adj*s_CF_cereal,".")</f>
        <v>68935.625</v>
      </c>
    </row>
    <row r="8" spans="1:102" ht="15" customHeight="1" x14ac:dyDescent="0.25">
      <c r="A8" s="44" t="s">
        <v>18</v>
      </c>
      <c r="B8" s="42" t="s">
        <v>1074</v>
      </c>
      <c r="C8" s="117">
        <f t="shared" si="0"/>
        <v>3.6265718922545492E-12</v>
      </c>
      <c r="D8" s="117">
        <f>IFERROR((up_dir!D8/(up_Bv!C8+s_MLF_apple)),".")</f>
        <v>1.4506287569018197E-11</v>
      </c>
      <c r="E8" s="117">
        <f>IFERROR((up_dir!E8/(up_Bv!D8+s_MLF_asparagus)),".")</f>
        <v>1.4506287569018197E-11</v>
      </c>
      <c r="F8" s="117">
        <f>IFERROR((up_dir!F8/(up_Bv!E8+s_MLF_beet)),".")</f>
        <v>1.4506287569018197E-11</v>
      </c>
      <c r="G8" s="117">
        <f>IFERROR((up_dir!G8/(up_Bv!F8+s_MLF_berries)),".")</f>
        <v>1.4506287569018197E-11</v>
      </c>
      <c r="H8" s="117">
        <f>IFERROR((up_dir!H8/(up_Bv!G8+s_MLF_broccoli)),".")</f>
        <v>1.4506287569018197E-11</v>
      </c>
      <c r="I8" s="117">
        <f>IFERROR((up_dir!I8/(up_Bv!H8+s_MLF_cabbage)),".")</f>
        <v>1.4506287569018197E-11</v>
      </c>
      <c r="J8" s="117">
        <f>IFERROR((up_dir!J8/(up_Bv!I8+s_MLF_carrot)),".")</f>
        <v>1.4506287569018197E-11</v>
      </c>
      <c r="K8" s="117">
        <f>IFERROR((up_dir!K8/(up_Bv!J8+s_MLF_citrus)),".")</f>
        <v>1.4506287569018197E-11</v>
      </c>
      <c r="L8" s="117">
        <f>IFERROR((up_dir!L8/(up_Bv!K8+s_MLF_corn)),".")</f>
        <v>1.4506287569018197E-11</v>
      </c>
      <c r="M8" s="117">
        <f>IFERROR((up_dir!M8/(up_Bv!L8+s_MLF_cucumber)),".")</f>
        <v>1.4506287569018197E-11</v>
      </c>
      <c r="N8" s="117">
        <f>IFERROR((up_dir!N8/(up_Bv!M8+s_MLF_lettuce)),".")</f>
        <v>1.4506287569018197E-11</v>
      </c>
      <c r="O8" s="117">
        <f>IFERROR((up_dir!O8/(up_Bv!N8+s_MLF_lima_bean)),".")</f>
        <v>1.4506287569018197E-11</v>
      </c>
      <c r="P8" s="117">
        <f>IFERROR((up_dir!P8/(up_Bv!O8+s_MLF_okra)),".")</f>
        <v>1.4506287569018197E-11</v>
      </c>
      <c r="Q8" s="117">
        <f>IFERROR((up_dir!Q8/(up_Bv!P8+s_MLF_onion)),".")</f>
        <v>1.4506287569018197E-11</v>
      </c>
      <c r="R8" s="117">
        <f>IFERROR((up_dir!R8/(up_Bv!Q8+s_MLF_peach)),".")</f>
        <v>1.4506287569018197E-11</v>
      </c>
      <c r="S8" s="117">
        <f>IFERROR((up_dir!S8/(up_Bv!R8+s_MLF_pear)),".")</f>
        <v>1.4506287569018197E-11</v>
      </c>
      <c r="T8" s="117">
        <f>IFERROR((up_dir!T8/(up_Bv!S8+s_MLF_peas)),".")</f>
        <v>1.4506287569018197E-11</v>
      </c>
      <c r="U8" s="117">
        <f>IFERROR((up_dir!U8/(up_Bv!T8+s_MLF_potato)),".")</f>
        <v>1.4506287569018197E-11</v>
      </c>
      <c r="V8" s="117">
        <f>IFERROR((up_dir!V8/(up_Bv!U8+s_MLF_pumpkin)),".")</f>
        <v>1.4506287569018197E-11</v>
      </c>
      <c r="W8" s="117">
        <f>IFERROR((up_dir!W8/(up_Bv!V8+s_MLF_snap_bean)),".")</f>
        <v>1.4506287569018197E-11</v>
      </c>
      <c r="X8" s="117">
        <f>IFERROR((up_dir!X8/(up_Bv!W8+s_MLF_strawberry)),".")</f>
        <v>1.4506287569018197E-11</v>
      </c>
      <c r="Y8" s="117">
        <f>IFERROR((up_dir!Y8/(up_Bv!X8+s_MLF_tomato)),".")</f>
        <v>1.4506287569018197E-11</v>
      </c>
      <c r="Z8" s="117">
        <f>IFERROR((up_dir!Z8/(up_Bv!Y8+s_MLF_rice)),".")</f>
        <v>1.4506287569018197E-11</v>
      </c>
      <c r="AA8" s="117">
        <f>IFERROR((up_dir!AA8/(up_Bv!Z8+s_MLF_cereal)),".")</f>
        <v>1.4506287569018197E-11</v>
      </c>
      <c r="AB8" s="40">
        <f t="shared" si="2"/>
        <v>275742.5</v>
      </c>
      <c r="AC8" s="40">
        <f>s_C*(up_Bv!C8+s_MLF_apple)*s_IFAP_res_adj*s_CF_apple</f>
        <v>68935.625</v>
      </c>
      <c r="AD8" s="40">
        <f>s_C*(up_Bv!D8+s_MLF_asparagus)*s_IFAS_res_adj*s_CF_asparagus</f>
        <v>68935.625</v>
      </c>
      <c r="AE8" s="40">
        <f>s_C*(up_Bv!E8+s_MLF_beet)*s_IFBT_res_adj*s_CF_beet</f>
        <v>68935.625</v>
      </c>
      <c r="AF8" s="40">
        <f>s_C*(up_Bv!F8+s_MLF_berries)*s_IFBE_res_adj*s_CF_berries</f>
        <v>68935.625</v>
      </c>
      <c r="AG8" s="40">
        <f>s_C*(up_Bv!G8+s_MLF_broccoli)*s_IFBR_res_adj*s_CF_broccoli</f>
        <v>68935.625</v>
      </c>
      <c r="AH8" s="40">
        <f>s_C*(up_Bv!H8+s_MLF_cabbage)*s_IFCB_res_adj*s_CF_cabbage</f>
        <v>68935.625</v>
      </c>
      <c r="AI8" s="40">
        <f>s_C*(up_Bv!I8+s_MLF_carrot)*s_IFCR_res_adj*s_CF_carrot</f>
        <v>68935.625</v>
      </c>
      <c r="AJ8" s="40">
        <f>s_C*(up_Bv!J8+s_MLF_citrus)*s_IFCI_res_adj*s_CF_citrus</f>
        <v>68935.625</v>
      </c>
      <c r="AK8" s="40">
        <f>s_C*(up_Bv!K8+s_MLF_corn)*s_IFCO_res_adj*s_CF_corn</f>
        <v>68935.625</v>
      </c>
      <c r="AL8" s="40">
        <f>s_C*(up_Bv!L8+s_MLF_cucumber)*s_IFCU_res_adj*s_CF_cucumber</f>
        <v>68935.625</v>
      </c>
      <c r="AM8" s="40">
        <f>s_C*(up_Bv!M8+s_MLF_lettuce)*s_IFLE_res_adj*s_CF_lettuce</f>
        <v>68935.625</v>
      </c>
      <c r="AN8" s="40">
        <f>s_C*(up_Bv!N8+s_MLF_lima_bean)*s_IFLI_res_adj*s_CF_lima_bean</f>
        <v>68935.625</v>
      </c>
      <c r="AO8" s="40">
        <f>s_C*(up_Bv!O8+s_MLF_okra)*s_IFOK_res_adj*s_CF_okra</f>
        <v>68935.625</v>
      </c>
      <c r="AP8" s="40">
        <f>s_C*(up_Bv!P8+s_MLF_onion)*s_IFON_res_adj*s_CF_onion</f>
        <v>68935.625</v>
      </c>
      <c r="AQ8" s="40">
        <f>s_C*(up_Bv!Q8+s_MLF_peach)*s_IFPC_res_adj*s_CF_peach</f>
        <v>68935.625</v>
      </c>
      <c r="AR8" s="40">
        <f>s_C*(up_Bv!R8+s_MLF_pear)*s_IFPR_res_adj*s_CF_pear</f>
        <v>68935.625</v>
      </c>
      <c r="AS8" s="40">
        <f>s_C*(up_Bv!S8+s_MLF_peas)*s_IFPE_res_adj*s_CF_peas</f>
        <v>68935.625</v>
      </c>
      <c r="AT8" s="40">
        <f>s_C*(up_Bv!T8+s_MLF_potato)*s_IFPT_res_adj*s_CF_potato</f>
        <v>68935.625</v>
      </c>
      <c r="AU8" s="40">
        <f>s_C*(up_Bv!U8+s_MLF_pumpkin)*s_IFPU_res_adj*s_CF_pumpkin</f>
        <v>68935.625</v>
      </c>
      <c r="AV8" s="40">
        <f>s_C*(up_Bv!V8+s_MLF_snap_bean)*s_IFSN_res_adj*s_CF_snap_bean</f>
        <v>68935.625</v>
      </c>
      <c r="AW8" s="40">
        <f>s_C*(up_Bv!W8+s_MLF_strawberry)*s_IFST_res_adj*s_CF_strawberry</f>
        <v>68935.625</v>
      </c>
      <c r="AX8" s="40">
        <f>s_C*(up_Bv!X8+s_MLF_tomato)*s_IFTO_res_adj*s_CF_tomato</f>
        <v>68935.625</v>
      </c>
      <c r="AY8" s="40">
        <f>s_C*(up_Bv!Y8+s_MLF_rice)*s_IFRI_res_adj*s_CF_rice</f>
        <v>68935.625</v>
      </c>
      <c r="AZ8" s="40">
        <f>s_C*(up_Bv!Z8+s_MLF_cereal)*s_IFCG_res_adj*s_CF_cereal</f>
        <v>68935.625</v>
      </c>
      <c r="BA8" s="15">
        <f t="shared" si="1"/>
        <v>3.6265718922545492E-12</v>
      </c>
      <c r="BB8" s="15">
        <f>IFERROR((up_dir!AC8/(up_Bv!C8+s_MLF_apple)),".")</f>
        <v>1.4506287569018197E-11</v>
      </c>
      <c r="BC8" s="15">
        <f>IFERROR((up_dir!AD8/(up_Bv!D8+s_MLF_asparagus)),".")</f>
        <v>1.4506287569018197E-11</v>
      </c>
      <c r="BD8" s="15">
        <f>IFERROR((up_dir!AE8/(up_Bv!E8+s_MLF_beet)),".")</f>
        <v>1.4506287569018197E-11</v>
      </c>
      <c r="BE8" s="15">
        <f>IFERROR((up_dir!AF8/(up_Bv!F8+s_MLF_berries)),".")</f>
        <v>1.4506287569018197E-11</v>
      </c>
      <c r="BF8" s="15">
        <f>IFERROR((up_dir!AG8/(up_Bv!G8+s_MLF_broccoli)),".")</f>
        <v>1.4506287569018197E-11</v>
      </c>
      <c r="BG8" s="15">
        <f>IFERROR((up_dir!AH8/(up_Bv!H8+s_MLF_cabbage)),".")</f>
        <v>1.4506287569018197E-11</v>
      </c>
      <c r="BH8" s="15">
        <f>IFERROR((up_dir!AI8/(up_Bv!I8+s_MLF_carrot)),".")</f>
        <v>1.4506287569018197E-11</v>
      </c>
      <c r="BI8" s="15">
        <f>IFERROR((up_dir!AJ8/(up_Bv!J8+s_MLF_citrus)),".")</f>
        <v>1.4506287569018197E-11</v>
      </c>
      <c r="BJ8" s="15">
        <f>IFERROR((up_dir!AK8/(up_Bv!K8+s_MLF_corn)),".")</f>
        <v>1.4506287569018197E-11</v>
      </c>
      <c r="BK8" s="15">
        <f>IFERROR((up_dir!AL8/(up_Bv!L8+s_MLF_cucumber)),".")</f>
        <v>1.4506287569018197E-11</v>
      </c>
      <c r="BL8" s="15">
        <f>IFERROR((up_dir!AM8/(up_Bv!M8+s_MLF_lettuce)),".")</f>
        <v>1.4506287569018197E-11</v>
      </c>
      <c r="BM8" s="15">
        <f>IFERROR((up_dir!AN8/(up_Bv!N8+s_MLF_lima_bean)),".")</f>
        <v>1.4506287569018197E-11</v>
      </c>
      <c r="BN8" s="15">
        <f>IFERROR((up_dir!AO8/(up_Bv!O8+s_MLF_okra)),".")</f>
        <v>1.4506287569018197E-11</v>
      </c>
      <c r="BO8" s="15">
        <f>IFERROR((up_dir!AP8/(up_Bv!P8+s_MLF_onion)),".")</f>
        <v>1.4506287569018197E-11</v>
      </c>
      <c r="BP8" s="15">
        <f>IFERROR((up_dir!AQ8/(up_Bv!Q8+s_MLF_peach)),".")</f>
        <v>1.4506287569018197E-11</v>
      </c>
      <c r="BQ8" s="15">
        <f>IFERROR((up_dir!AR8/(up_Bv!R8+s_MLF_pear)),".")</f>
        <v>1.4506287569018197E-11</v>
      </c>
      <c r="BR8" s="15">
        <f>IFERROR((up_dir!AS8/(up_Bv!S8+s_MLF_peas)),".")</f>
        <v>1.4506287569018197E-11</v>
      </c>
      <c r="BS8" s="15">
        <f>IFERROR((up_dir!AT8/(up_Bv!T8+s_MLF_potato)),".")</f>
        <v>1.4506287569018197E-11</v>
      </c>
      <c r="BT8" s="15">
        <f>IFERROR((up_dir!AU8/(up_Bv!U8+s_MLF_pumpkin)),".")</f>
        <v>1.4506287569018197E-11</v>
      </c>
      <c r="BU8" s="15">
        <f>IFERROR((up_dir!AV8/(up_Bv!V8+s_MLF_snap_bean)),".")</f>
        <v>1.4506287569018197E-11</v>
      </c>
      <c r="BV8" s="15">
        <f>IFERROR((up_dir!AW8/(up_Bv!W8+s_MLF_strawberry)),".")</f>
        <v>1.4506287569018197E-11</v>
      </c>
      <c r="BW8" s="15">
        <f>IFERROR((up_dir!AX8/(up_Bv!X8+s_MLF_tomato)),".")</f>
        <v>1.4506287569018197E-11</v>
      </c>
      <c r="BX8" s="15">
        <f>IFERROR((up_dir!AY8/(up_Bv!Y8+s_MLF_rice)),".")</f>
        <v>1.4506287569018197E-11</v>
      </c>
      <c r="BY8" s="15">
        <f>IFERROR((up_dir!AZ8/(up_Bv!Z8+s_MLF_cereal)),".")</f>
        <v>1.4506287569018197E-11</v>
      </c>
      <c r="BZ8" s="40">
        <f t="shared" si="3"/>
        <v>275742.5</v>
      </c>
      <c r="CA8" s="40">
        <f>IFERROR(s_C*(up_Bv!C8+s_MLF_apple)*s_IFAP_far_adj*s_CF_apple,".")</f>
        <v>68935.625</v>
      </c>
      <c r="CB8" s="40">
        <f>IFERROR(s_C*(up_Bv!D8+s_MLF_asparagus)*s_IFAS_far_adj*s_CF_asparagus,".")</f>
        <v>68935.625</v>
      </c>
      <c r="CC8" s="40">
        <f>IFERROR(s_C*(up_Bv!E8+s_MLF_beet)*s_IFBT_far_adj*s_CF_beet,".")</f>
        <v>68935.625</v>
      </c>
      <c r="CD8" s="40">
        <f>IFERROR(s_C*(up_Bv!F8+s_MLF_berries)*s_IFBR_far_adj*s_CF_berries,".")</f>
        <v>68935.625</v>
      </c>
      <c r="CE8" s="40">
        <f>IFERROR(s_C*(up_Bv!G8+s_MLF_broccoli)*s_IFBR_far_adj*s_CF_broccoli,".")</f>
        <v>68935.625</v>
      </c>
      <c r="CF8" s="40">
        <f>IFERROR(s_C*(up_Bv!H8+s_MLF_cabbage)*s_IFCB_far_adj*s_CF_cabbage,".")</f>
        <v>68935.625</v>
      </c>
      <c r="CG8" s="40">
        <f>IFERROR(s_C*(up_Bv!I8+s_MLF_carrot)*s_IFCR_far_adj*s_CF_carrot,".")</f>
        <v>68935.625</v>
      </c>
      <c r="CH8" s="40">
        <f>IFERROR(s_C*(up_Bv!J8+s_MLF_citrus)*s_IFCI_far_adj*s_CF_citrus,".")</f>
        <v>68935.625</v>
      </c>
      <c r="CI8" s="40">
        <f>IFERROR(s_C*(up_Bv!K8+s_MLF_corn)*s_IFCO_far_adj*s_CF_corn,".")</f>
        <v>68935.625</v>
      </c>
      <c r="CJ8" s="40">
        <f>IFERROR(s_C*(up_Bv!L8+s_MLF_cucumber)*s_IFCU_far_adj*s_CF_cucumber,".")</f>
        <v>68935.625</v>
      </c>
      <c r="CK8" s="40">
        <f>IFERROR(s_C*(up_Bv!M8+s_MLF_lettuce)*s_IFLE_far_adj*s_CF_lettuce,".")</f>
        <v>68935.625</v>
      </c>
      <c r="CL8" s="40">
        <f>IFERROR(s_C*(up_Bv!N8+s_MLF_lima_bean)*s_IFLI_far_adj*s_CF_lima_bean,".")</f>
        <v>68935.625</v>
      </c>
      <c r="CM8" s="40">
        <f>IFERROR(s_C*(up_Bv!O8+s_MLF_okra)*s_IFOK_far_adj*s_CF_okra,".")</f>
        <v>68935.625</v>
      </c>
      <c r="CN8" s="40">
        <f>IFERROR(s_C*(up_Bv!P8+s_MLF_onion)*s_IFON_far_adj*s_CF_onion,".")</f>
        <v>68935.625</v>
      </c>
      <c r="CO8" s="40">
        <f>IFERROR(s_C*(up_Bv!Q8+s_MLF_peach)*s_IFPC_far_adj*s_CF_peach,".")</f>
        <v>68935.625</v>
      </c>
      <c r="CP8" s="40">
        <f>IFERROR(s_C*(up_Bv!R8+s_MLF_pear)*s_IFPR_far_adj*s_CF_pear,".")</f>
        <v>68935.625</v>
      </c>
      <c r="CQ8" s="40">
        <f>IFERROR(s_C*(up_Bv!S8+s_MLF_peas)*s_IFPE_far_adj*s_CF_peas,".")</f>
        <v>68935.625</v>
      </c>
      <c r="CR8" s="40">
        <f>IFERROR(s_C*(up_Bv!T8+s_MLF_potato)*s_IFPT_far_adj*s_CF_potato,".")</f>
        <v>68935.625</v>
      </c>
      <c r="CS8" s="40">
        <f>IFERROR(s_C*(up_Bv!U8+s_MLF_pumpkin)*s_IFPU_far_adj*s_CF_pumpkin,".")</f>
        <v>68935.625</v>
      </c>
      <c r="CT8" s="40">
        <f>IFERROR(s_C*(up_Bv!V8+s_MLF_snap_bean)*s_IFSN_far_adj*s_CF_snap_bean,".")</f>
        <v>68935.625</v>
      </c>
      <c r="CU8" s="40">
        <f>IFERROR(s_C*(up_Bv!W8+s_MLF_strawberry)*s_IFST_far_adj*s_CF_strawberry,".")</f>
        <v>68935.625</v>
      </c>
      <c r="CV8" s="40">
        <f>IFERROR(s_C*(up_Bv!X8+s_MLF_tomato)*s_IFTO_far_adj*s_CF_tomato,".")</f>
        <v>68935.625</v>
      </c>
      <c r="CW8" s="40">
        <f>IFERROR(s_C*(up_Bv!Y8+s_MLF_rice)*s_IFRI_far_adj*s_CF_rice,".")</f>
        <v>68935.625</v>
      </c>
      <c r="CX8" s="40">
        <f>IFERROR(s_C*(up_Bv!Z8+s_MLF_cereal)*s_IFCG_far_adj*s_CF_cereal,".")</f>
        <v>68935.625</v>
      </c>
    </row>
    <row r="9" spans="1:102" ht="15" customHeight="1" x14ac:dyDescent="0.25">
      <c r="A9" s="44" t="s">
        <v>19</v>
      </c>
      <c r="B9" s="42" t="s">
        <v>1074</v>
      </c>
      <c r="C9" s="117">
        <f t="shared" si="0"/>
        <v>3.6265718922545492E-12</v>
      </c>
      <c r="D9" s="117">
        <f>IFERROR((up_dir!D9/(up_Bv!C9+s_MLF_apple)),".")</f>
        <v>1.4506287569018197E-11</v>
      </c>
      <c r="E9" s="117">
        <f>IFERROR((up_dir!E9/(up_Bv!D9+s_MLF_asparagus)),".")</f>
        <v>1.4506287569018197E-11</v>
      </c>
      <c r="F9" s="117">
        <f>IFERROR((up_dir!F9/(up_Bv!E9+s_MLF_beet)),".")</f>
        <v>1.4506287569018197E-11</v>
      </c>
      <c r="G9" s="117">
        <f>IFERROR((up_dir!G9/(up_Bv!F9+s_MLF_berries)),".")</f>
        <v>1.4506287569018197E-11</v>
      </c>
      <c r="H9" s="117">
        <f>IFERROR((up_dir!H9/(up_Bv!G9+s_MLF_broccoli)),".")</f>
        <v>1.4506287569018197E-11</v>
      </c>
      <c r="I9" s="117">
        <f>IFERROR((up_dir!I9/(up_Bv!H9+s_MLF_cabbage)),".")</f>
        <v>1.4506287569018197E-11</v>
      </c>
      <c r="J9" s="117">
        <f>IFERROR((up_dir!J9/(up_Bv!I9+s_MLF_carrot)),".")</f>
        <v>1.4506287569018197E-11</v>
      </c>
      <c r="K9" s="117">
        <f>IFERROR((up_dir!K9/(up_Bv!J9+s_MLF_citrus)),".")</f>
        <v>1.4506287569018197E-11</v>
      </c>
      <c r="L9" s="117">
        <f>IFERROR((up_dir!L9/(up_Bv!K9+s_MLF_corn)),".")</f>
        <v>1.4506287569018197E-11</v>
      </c>
      <c r="M9" s="117">
        <f>IFERROR((up_dir!M9/(up_Bv!L9+s_MLF_cucumber)),".")</f>
        <v>1.4506287569018197E-11</v>
      </c>
      <c r="N9" s="117">
        <f>IFERROR((up_dir!N9/(up_Bv!M9+s_MLF_lettuce)),".")</f>
        <v>1.4506287569018197E-11</v>
      </c>
      <c r="O9" s="117">
        <f>IFERROR((up_dir!O9/(up_Bv!N9+s_MLF_lima_bean)),".")</f>
        <v>1.4506287569018197E-11</v>
      </c>
      <c r="P9" s="117">
        <f>IFERROR((up_dir!P9/(up_Bv!O9+s_MLF_okra)),".")</f>
        <v>1.4506287569018197E-11</v>
      </c>
      <c r="Q9" s="117">
        <f>IFERROR((up_dir!Q9/(up_Bv!P9+s_MLF_onion)),".")</f>
        <v>1.4506287569018197E-11</v>
      </c>
      <c r="R9" s="117">
        <f>IFERROR((up_dir!R9/(up_Bv!Q9+s_MLF_peach)),".")</f>
        <v>1.4506287569018197E-11</v>
      </c>
      <c r="S9" s="117">
        <f>IFERROR((up_dir!S9/(up_Bv!R9+s_MLF_pear)),".")</f>
        <v>1.4506287569018197E-11</v>
      </c>
      <c r="T9" s="117">
        <f>IFERROR((up_dir!T9/(up_Bv!S9+s_MLF_peas)),".")</f>
        <v>1.4506287569018197E-11</v>
      </c>
      <c r="U9" s="117">
        <f>IFERROR((up_dir!U9/(up_Bv!T9+s_MLF_potato)),".")</f>
        <v>1.4506287569018197E-11</v>
      </c>
      <c r="V9" s="117">
        <f>IFERROR((up_dir!V9/(up_Bv!U9+s_MLF_pumpkin)),".")</f>
        <v>1.4506287569018197E-11</v>
      </c>
      <c r="W9" s="117">
        <f>IFERROR((up_dir!W9/(up_Bv!V9+s_MLF_snap_bean)),".")</f>
        <v>1.4506287569018197E-11</v>
      </c>
      <c r="X9" s="117">
        <f>IFERROR((up_dir!X9/(up_Bv!W9+s_MLF_strawberry)),".")</f>
        <v>1.4506287569018197E-11</v>
      </c>
      <c r="Y9" s="117">
        <f>IFERROR((up_dir!Y9/(up_Bv!X9+s_MLF_tomato)),".")</f>
        <v>1.4506287569018197E-11</v>
      </c>
      <c r="Z9" s="117">
        <f>IFERROR((up_dir!Z9/(up_Bv!Y9+s_MLF_rice)),".")</f>
        <v>1.4506287569018197E-11</v>
      </c>
      <c r="AA9" s="117">
        <f>IFERROR((up_dir!AA9/(up_Bv!Z9+s_MLF_cereal)),".")</f>
        <v>1.4506287569018197E-11</v>
      </c>
      <c r="AB9" s="40">
        <f t="shared" si="2"/>
        <v>275742.5</v>
      </c>
      <c r="AC9" s="40">
        <f>s_C*(up_Bv!C9+s_MLF_apple)*s_IFAP_res_adj*s_CF_apple</f>
        <v>68935.625</v>
      </c>
      <c r="AD9" s="40">
        <f>s_C*(up_Bv!D9+s_MLF_asparagus)*s_IFAS_res_adj*s_CF_asparagus</f>
        <v>68935.625</v>
      </c>
      <c r="AE9" s="40">
        <f>s_C*(up_Bv!E9+s_MLF_beet)*s_IFBT_res_adj*s_CF_beet</f>
        <v>68935.625</v>
      </c>
      <c r="AF9" s="40">
        <f>s_C*(up_Bv!F9+s_MLF_berries)*s_IFBE_res_adj*s_CF_berries</f>
        <v>68935.625</v>
      </c>
      <c r="AG9" s="40">
        <f>s_C*(up_Bv!G9+s_MLF_broccoli)*s_IFBR_res_adj*s_CF_broccoli</f>
        <v>68935.625</v>
      </c>
      <c r="AH9" s="40">
        <f>s_C*(up_Bv!H9+s_MLF_cabbage)*s_IFCB_res_adj*s_CF_cabbage</f>
        <v>68935.625</v>
      </c>
      <c r="AI9" s="40">
        <f>s_C*(up_Bv!I9+s_MLF_carrot)*s_IFCR_res_adj*s_CF_carrot</f>
        <v>68935.625</v>
      </c>
      <c r="AJ9" s="40">
        <f>s_C*(up_Bv!J9+s_MLF_citrus)*s_IFCI_res_adj*s_CF_citrus</f>
        <v>68935.625</v>
      </c>
      <c r="AK9" s="40">
        <f>s_C*(up_Bv!K9+s_MLF_corn)*s_IFCO_res_adj*s_CF_corn</f>
        <v>68935.625</v>
      </c>
      <c r="AL9" s="40">
        <f>s_C*(up_Bv!L9+s_MLF_cucumber)*s_IFCU_res_adj*s_CF_cucumber</f>
        <v>68935.625</v>
      </c>
      <c r="AM9" s="40">
        <f>s_C*(up_Bv!M9+s_MLF_lettuce)*s_IFLE_res_adj*s_CF_lettuce</f>
        <v>68935.625</v>
      </c>
      <c r="AN9" s="40">
        <f>s_C*(up_Bv!N9+s_MLF_lima_bean)*s_IFLI_res_adj*s_CF_lima_bean</f>
        <v>68935.625</v>
      </c>
      <c r="AO9" s="40">
        <f>s_C*(up_Bv!O9+s_MLF_okra)*s_IFOK_res_adj*s_CF_okra</f>
        <v>68935.625</v>
      </c>
      <c r="AP9" s="40">
        <f>s_C*(up_Bv!P9+s_MLF_onion)*s_IFON_res_adj*s_CF_onion</f>
        <v>68935.625</v>
      </c>
      <c r="AQ9" s="40">
        <f>s_C*(up_Bv!Q9+s_MLF_peach)*s_IFPC_res_adj*s_CF_peach</f>
        <v>68935.625</v>
      </c>
      <c r="AR9" s="40">
        <f>s_C*(up_Bv!R9+s_MLF_pear)*s_IFPR_res_adj*s_CF_pear</f>
        <v>68935.625</v>
      </c>
      <c r="AS9" s="40">
        <f>s_C*(up_Bv!S9+s_MLF_peas)*s_IFPE_res_adj*s_CF_peas</f>
        <v>68935.625</v>
      </c>
      <c r="AT9" s="40">
        <f>s_C*(up_Bv!T9+s_MLF_potato)*s_IFPT_res_adj*s_CF_potato</f>
        <v>68935.625</v>
      </c>
      <c r="AU9" s="40">
        <f>s_C*(up_Bv!U9+s_MLF_pumpkin)*s_IFPU_res_adj*s_CF_pumpkin</f>
        <v>68935.625</v>
      </c>
      <c r="AV9" s="40">
        <f>s_C*(up_Bv!V9+s_MLF_snap_bean)*s_IFSN_res_adj*s_CF_snap_bean</f>
        <v>68935.625</v>
      </c>
      <c r="AW9" s="40">
        <f>s_C*(up_Bv!W9+s_MLF_strawberry)*s_IFST_res_adj*s_CF_strawberry</f>
        <v>68935.625</v>
      </c>
      <c r="AX9" s="40">
        <f>s_C*(up_Bv!X9+s_MLF_tomato)*s_IFTO_res_adj*s_CF_tomato</f>
        <v>68935.625</v>
      </c>
      <c r="AY9" s="40">
        <f>s_C*(up_Bv!Y9+s_MLF_rice)*s_IFRI_res_adj*s_CF_rice</f>
        <v>68935.625</v>
      </c>
      <c r="AZ9" s="40">
        <f>s_C*(up_Bv!Z9+s_MLF_cereal)*s_IFCG_res_adj*s_CF_cereal</f>
        <v>68935.625</v>
      </c>
      <c r="BA9" s="15">
        <f t="shared" si="1"/>
        <v>3.6265718922545492E-12</v>
      </c>
      <c r="BB9" s="15">
        <f>IFERROR((up_dir!AC9/(up_Bv!C9+s_MLF_apple)),".")</f>
        <v>1.4506287569018197E-11</v>
      </c>
      <c r="BC9" s="15">
        <f>IFERROR((up_dir!AD9/(up_Bv!D9+s_MLF_asparagus)),".")</f>
        <v>1.4506287569018197E-11</v>
      </c>
      <c r="BD9" s="15">
        <f>IFERROR((up_dir!AE9/(up_Bv!E9+s_MLF_beet)),".")</f>
        <v>1.4506287569018197E-11</v>
      </c>
      <c r="BE9" s="15">
        <f>IFERROR((up_dir!AF9/(up_Bv!F9+s_MLF_berries)),".")</f>
        <v>1.4506287569018197E-11</v>
      </c>
      <c r="BF9" s="15">
        <f>IFERROR((up_dir!AG9/(up_Bv!G9+s_MLF_broccoli)),".")</f>
        <v>1.4506287569018197E-11</v>
      </c>
      <c r="BG9" s="15">
        <f>IFERROR((up_dir!AH9/(up_Bv!H9+s_MLF_cabbage)),".")</f>
        <v>1.4506287569018197E-11</v>
      </c>
      <c r="BH9" s="15">
        <f>IFERROR((up_dir!AI9/(up_Bv!I9+s_MLF_carrot)),".")</f>
        <v>1.4506287569018197E-11</v>
      </c>
      <c r="BI9" s="15">
        <f>IFERROR((up_dir!AJ9/(up_Bv!J9+s_MLF_citrus)),".")</f>
        <v>1.4506287569018197E-11</v>
      </c>
      <c r="BJ9" s="15">
        <f>IFERROR((up_dir!AK9/(up_Bv!K9+s_MLF_corn)),".")</f>
        <v>1.4506287569018197E-11</v>
      </c>
      <c r="BK9" s="15">
        <f>IFERROR((up_dir!AL9/(up_Bv!L9+s_MLF_cucumber)),".")</f>
        <v>1.4506287569018197E-11</v>
      </c>
      <c r="BL9" s="15">
        <f>IFERROR((up_dir!AM9/(up_Bv!M9+s_MLF_lettuce)),".")</f>
        <v>1.4506287569018197E-11</v>
      </c>
      <c r="BM9" s="15">
        <f>IFERROR((up_dir!AN9/(up_Bv!N9+s_MLF_lima_bean)),".")</f>
        <v>1.4506287569018197E-11</v>
      </c>
      <c r="BN9" s="15">
        <f>IFERROR((up_dir!AO9/(up_Bv!O9+s_MLF_okra)),".")</f>
        <v>1.4506287569018197E-11</v>
      </c>
      <c r="BO9" s="15">
        <f>IFERROR((up_dir!AP9/(up_Bv!P9+s_MLF_onion)),".")</f>
        <v>1.4506287569018197E-11</v>
      </c>
      <c r="BP9" s="15">
        <f>IFERROR((up_dir!AQ9/(up_Bv!Q9+s_MLF_peach)),".")</f>
        <v>1.4506287569018197E-11</v>
      </c>
      <c r="BQ9" s="15">
        <f>IFERROR((up_dir!AR9/(up_Bv!R9+s_MLF_pear)),".")</f>
        <v>1.4506287569018197E-11</v>
      </c>
      <c r="BR9" s="15">
        <f>IFERROR((up_dir!AS9/(up_Bv!S9+s_MLF_peas)),".")</f>
        <v>1.4506287569018197E-11</v>
      </c>
      <c r="BS9" s="15">
        <f>IFERROR((up_dir!AT9/(up_Bv!T9+s_MLF_potato)),".")</f>
        <v>1.4506287569018197E-11</v>
      </c>
      <c r="BT9" s="15">
        <f>IFERROR((up_dir!AU9/(up_Bv!U9+s_MLF_pumpkin)),".")</f>
        <v>1.4506287569018197E-11</v>
      </c>
      <c r="BU9" s="15">
        <f>IFERROR((up_dir!AV9/(up_Bv!V9+s_MLF_snap_bean)),".")</f>
        <v>1.4506287569018197E-11</v>
      </c>
      <c r="BV9" s="15">
        <f>IFERROR((up_dir!AW9/(up_Bv!W9+s_MLF_strawberry)),".")</f>
        <v>1.4506287569018197E-11</v>
      </c>
      <c r="BW9" s="15">
        <f>IFERROR((up_dir!AX9/(up_Bv!X9+s_MLF_tomato)),".")</f>
        <v>1.4506287569018197E-11</v>
      </c>
      <c r="BX9" s="15">
        <f>IFERROR((up_dir!AY9/(up_Bv!Y9+s_MLF_rice)),".")</f>
        <v>1.4506287569018197E-11</v>
      </c>
      <c r="BY9" s="15">
        <f>IFERROR((up_dir!AZ9/(up_Bv!Z9+s_MLF_cereal)),".")</f>
        <v>1.4506287569018197E-11</v>
      </c>
      <c r="BZ9" s="40">
        <f t="shared" si="3"/>
        <v>275742.5</v>
      </c>
      <c r="CA9" s="40">
        <f>IFERROR(s_C*(up_Bv!C9+s_MLF_apple)*s_IFAP_far_adj*s_CF_apple,".")</f>
        <v>68935.625</v>
      </c>
      <c r="CB9" s="40">
        <f>IFERROR(s_C*(up_Bv!D9+s_MLF_asparagus)*s_IFAS_far_adj*s_CF_asparagus,".")</f>
        <v>68935.625</v>
      </c>
      <c r="CC9" s="40">
        <f>IFERROR(s_C*(up_Bv!E9+s_MLF_beet)*s_IFBT_far_adj*s_CF_beet,".")</f>
        <v>68935.625</v>
      </c>
      <c r="CD9" s="40">
        <f>IFERROR(s_C*(up_Bv!F9+s_MLF_berries)*s_IFBR_far_adj*s_CF_berries,".")</f>
        <v>68935.625</v>
      </c>
      <c r="CE9" s="40">
        <f>IFERROR(s_C*(up_Bv!G9+s_MLF_broccoli)*s_IFBR_far_adj*s_CF_broccoli,".")</f>
        <v>68935.625</v>
      </c>
      <c r="CF9" s="40">
        <f>IFERROR(s_C*(up_Bv!H9+s_MLF_cabbage)*s_IFCB_far_adj*s_CF_cabbage,".")</f>
        <v>68935.625</v>
      </c>
      <c r="CG9" s="40">
        <f>IFERROR(s_C*(up_Bv!I9+s_MLF_carrot)*s_IFCR_far_adj*s_CF_carrot,".")</f>
        <v>68935.625</v>
      </c>
      <c r="CH9" s="40">
        <f>IFERROR(s_C*(up_Bv!J9+s_MLF_citrus)*s_IFCI_far_adj*s_CF_citrus,".")</f>
        <v>68935.625</v>
      </c>
      <c r="CI9" s="40">
        <f>IFERROR(s_C*(up_Bv!K9+s_MLF_corn)*s_IFCO_far_adj*s_CF_corn,".")</f>
        <v>68935.625</v>
      </c>
      <c r="CJ9" s="40">
        <f>IFERROR(s_C*(up_Bv!L9+s_MLF_cucumber)*s_IFCU_far_adj*s_CF_cucumber,".")</f>
        <v>68935.625</v>
      </c>
      <c r="CK9" s="40">
        <f>IFERROR(s_C*(up_Bv!M9+s_MLF_lettuce)*s_IFLE_far_adj*s_CF_lettuce,".")</f>
        <v>68935.625</v>
      </c>
      <c r="CL9" s="40">
        <f>IFERROR(s_C*(up_Bv!N9+s_MLF_lima_bean)*s_IFLI_far_adj*s_CF_lima_bean,".")</f>
        <v>68935.625</v>
      </c>
      <c r="CM9" s="40">
        <f>IFERROR(s_C*(up_Bv!O9+s_MLF_okra)*s_IFOK_far_adj*s_CF_okra,".")</f>
        <v>68935.625</v>
      </c>
      <c r="CN9" s="40">
        <f>IFERROR(s_C*(up_Bv!P9+s_MLF_onion)*s_IFON_far_adj*s_CF_onion,".")</f>
        <v>68935.625</v>
      </c>
      <c r="CO9" s="40">
        <f>IFERROR(s_C*(up_Bv!Q9+s_MLF_peach)*s_IFPC_far_adj*s_CF_peach,".")</f>
        <v>68935.625</v>
      </c>
      <c r="CP9" s="40">
        <f>IFERROR(s_C*(up_Bv!R9+s_MLF_pear)*s_IFPR_far_adj*s_CF_pear,".")</f>
        <v>68935.625</v>
      </c>
      <c r="CQ9" s="40">
        <f>IFERROR(s_C*(up_Bv!S9+s_MLF_peas)*s_IFPE_far_adj*s_CF_peas,".")</f>
        <v>68935.625</v>
      </c>
      <c r="CR9" s="40">
        <f>IFERROR(s_C*(up_Bv!T9+s_MLF_potato)*s_IFPT_far_adj*s_CF_potato,".")</f>
        <v>68935.625</v>
      </c>
      <c r="CS9" s="40">
        <f>IFERROR(s_C*(up_Bv!U9+s_MLF_pumpkin)*s_IFPU_far_adj*s_CF_pumpkin,".")</f>
        <v>68935.625</v>
      </c>
      <c r="CT9" s="40">
        <f>IFERROR(s_C*(up_Bv!V9+s_MLF_snap_bean)*s_IFSN_far_adj*s_CF_snap_bean,".")</f>
        <v>68935.625</v>
      </c>
      <c r="CU9" s="40">
        <f>IFERROR(s_C*(up_Bv!W9+s_MLF_strawberry)*s_IFST_far_adj*s_CF_strawberry,".")</f>
        <v>68935.625</v>
      </c>
      <c r="CV9" s="40">
        <f>IFERROR(s_C*(up_Bv!X9+s_MLF_tomato)*s_IFTO_far_adj*s_CF_tomato,".")</f>
        <v>68935.625</v>
      </c>
      <c r="CW9" s="40">
        <f>IFERROR(s_C*(up_Bv!Y9+s_MLF_rice)*s_IFRI_far_adj*s_CF_rice,".")</f>
        <v>68935.625</v>
      </c>
      <c r="CX9" s="40">
        <f>IFERROR(s_C*(up_Bv!Z9+s_MLF_cereal)*s_IFCG_far_adj*s_CF_cereal,".")</f>
        <v>68935.625</v>
      </c>
    </row>
    <row r="10" spans="1:102" x14ac:dyDescent="0.25">
      <c r="A10" s="46" t="s">
        <v>20</v>
      </c>
      <c r="B10" s="42" t="s">
        <v>351</v>
      </c>
      <c r="C10" s="117">
        <f t="shared" si="0"/>
        <v>3.6265718922545492E-12</v>
      </c>
      <c r="D10" s="117">
        <f>IFERROR((up_dir!D10/(up_Bv!C10+s_MLF_apple)),".")</f>
        <v>1.4506287569018197E-11</v>
      </c>
      <c r="E10" s="117">
        <f>IFERROR((up_dir!E10/(up_Bv!D10+s_MLF_asparagus)),".")</f>
        <v>1.4506287569018197E-11</v>
      </c>
      <c r="F10" s="117">
        <f>IFERROR((up_dir!F10/(up_Bv!E10+s_MLF_beet)),".")</f>
        <v>1.4506287569018197E-11</v>
      </c>
      <c r="G10" s="117">
        <f>IFERROR((up_dir!G10/(up_Bv!F10+s_MLF_berries)),".")</f>
        <v>1.4506287569018197E-11</v>
      </c>
      <c r="H10" s="117">
        <f>IFERROR((up_dir!H10/(up_Bv!G10+s_MLF_broccoli)),".")</f>
        <v>1.4506287569018197E-11</v>
      </c>
      <c r="I10" s="117">
        <f>IFERROR((up_dir!I10/(up_Bv!H10+s_MLF_cabbage)),".")</f>
        <v>1.4506287569018197E-11</v>
      </c>
      <c r="J10" s="117">
        <f>IFERROR((up_dir!J10/(up_Bv!I10+s_MLF_carrot)),".")</f>
        <v>1.4506287569018197E-11</v>
      </c>
      <c r="K10" s="117">
        <f>IFERROR((up_dir!K10/(up_Bv!J10+s_MLF_citrus)),".")</f>
        <v>1.4506287569018197E-11</v>
      </c>
      <c r="L10" s="117">
        <f>IFERROR((up_dir!L10/(up_Bv!K10+s_MLF_corn)),".")</f>
        <v>1.4506287569018197E-11</v>
      </c>
      <c r="M10" s="117">
        <f>IFERROR((up_dir!M10/(up_Bv!L10+s_MLF_cucumber)),".")</f>
        <v>1.4506287569018197E-11</v>
      </c>
      <c r="N10" s="117">
        <f>IFERROR((up_dir!N10/(up_Bv!M10+s_MLF_lettuce)),".")</f>
        <v>1.4506287569018197E-11</v>
      </c>
      <c r="O10" s="117">
        <f>IFERROR((up_dir!O10/(up_Bv!N10+s_MLF_lima_bean)),".")</f>
        <v>1.4506287569018197E-11</v>
      </c>
      <c r="P10" s="117">
        <f>IFERROR((up_dir!P10/(up_Bv!O10+s_MLF_okra)),".")</f>
        <v>1.4506287569018197E-11</v>
      </c>
      <c r="Q10" s="117">
        <f>IFERROR((up_dir!Q10/(up_Bv!P10+s_MLF_onion)),".")</f>
        <v>1.4506287569018197E-11</v>
      </c>
      <c r="R10" s="117">
        <f>IFERROR((up_dir!R10/(up_Bv!Q10+s_MLF_peach)),".")</f>
        <v>1.4506287569018197E-11</v>
      </c>
      <c r="S10" s="117">
        <f>IFERROR((up_dir!S10/(up_Bv!R10+s_MLF_pear)),".")</f>
        <v>1.4506287569018197E-11</v>
      </c>
      <c r="T10" s="117">
        <f>IFERROR((up_dir!T10/(up_Bv!S10+s_MLF_peas)),".")</f>
        <v>1.4506287569018197E-11</v>
      </c>
      <c r="U10" s="117">
        <f>IFERROR((up_dir!U10/(up_Bv!T10+s_MLF_potato)),".")</f>
        <v>1.4506287569018197E-11</v>
      </c>
      <c r="V10" s="117">
        <f>IFERROR((up_dir!V10/(up_Bv!U10+s_MLF_pumpkin)),".")</f>
        <v>1.4506287569018197E-11</v>
      </c>
      <c r="W10" s="117">
        <f>IFERROR((up_dir!W10/(up_Bv!V10+s_MLF_snap_bean)),".")</f>
        <v>1.4506287569018197E-11</v>
      </c>
      <c r="X10" s="117">
        <f>IFERROR((up_dir!X10/(up_Bv!W10+s_MLF_strawberry)),".")</f>
        <v>1.4506287569018197E-11</v>
      </c>
      <c r="Y10" s="117">
        <f>IFERROR((up_dir!Y10/(up_Bv!X10+s_MLF_tomato)),".")</f>
        <v>1.4506287569018197E-11</v>
      </c>
      <c r="Z10" s="117">
        <f>IFERROR((up_dir!Z10/(up_Bv!Y10+s_MLF_rice)),".")</f>
        <v>1.4506287569018197E-11</v>
      </c>
      <c r="AA10" s="117">
        <f>IFERROR((up_dir!AA10/(up_Bv!Z10+s_MLF_cereal)),".")</f>
        <v>1.4506287569018197E-11</v>
      </c>
      <c r="AB10" s="40">
        <f t="shared" si="2"/>
        <v>275742.5</v>
      </c>
      <c r="AC10" s="40">
        <f>s_C*(up_Bv!C10+s_MLF_apple)*s_IFAP_res_adj*s_CF_apple</f>
        <v>68935.625</v>
      </c>
      <c r="AD10" s="40">
        <f>s_C*(up_Bv!D10+s_MLF_asparagus)*s_IFAS_res_adj*s_CF_asparagus</f>
        <v>68935.625</v>
      </c>
      <c r="AE10" s="40">
        <f>s_C*(up_Bv!E10+s_MLF_beet)*s_IFBT_res_adj*s_CF_beet</f>
        <v>68935.625</v>
      </c>
      <c r="AF10" s="40">
        <f>s_C*(up_Bv!F10+s_MLF_berries)*s_IFBE_res_adj*s_CF_berries</f>
        <v>68935.625</v>
      </c>
      <c r="AG10" s="40">
        <f>s_C*(up_Bv!G10+s_MLF_broccoli)*s_IFBR_res_adj*s_CF_broccoli</f>
        <v>68935.625</v>
      </c>
      <c r="AH10" s="40">
        <f>s_C*(up_Bv!H10+s_MLF_cabbage)*s_IFCB_res_adj*s_CF_cabbage</f>
        <v>68935.625</v>
      </c>
      <c r="AI10" s="40">
        <f>s_C*(up_Bv!I10+s_MLF_carrot)*s_IFCR_res_adj*s_CF_carrot</f>
        <v>68935.625</v>
      </c>
      <c r="AJ10" s="40">
        <f>s_C*(up_Bv!J10+s_MLF_citrus)*s_IFCI_res_adj*s_CF_citrus</f>
        <v>68935.625</v>
      </c>
      <c r="AK10" s="40">
        <f>s_C*(up_Bv!K10+s_MLF_corn)*s_IFCO_res_adj*s_CF_corn</f>
        <v>68935.625</v>
      </c>
      <c r="AL10" s="40">
        <f>s_C*(up_Bv!L10+s_MLF_cucumber)*s_IFCU_res_adj*s_CF_cucumber</f>
        <v>68935.625</v>
      </c>
      <c r="AM10" s="40">
        <f>s_C*(up_Bv!M10+s_MLF_lettuce)*s_IFLE_res_adj*s_CF_lettuce</f>
        <v>68935.625</v>
      </c>
      <c r="AN10" s="40">
        <f>s_C*(up_Bv!N10+s_MLF_lima_bean)*s_IFLI_res_adj*s_CF_lima_bean</f>
        <v>68935.625</v>
      </c>
      <c r="AO10" s="40">
        <f>s_C*(up_Bv!O10+s_MLF_okra)*s_IFOK_res_adj*s_CF_okra</f>
        <v>68935.625</v>
      </c>
      <c r="AP10" s="40">
        <f>s_C*(up_Bv!P10+s_MLF_onion)*s_IFON_res_adj*s_CF_onion</f>
        <v>68935.625</v>
      </c>
      <c r="AQ10" s="40">
        <f>s_C*(up_Bv!Q10+s_MLF_peach)*s_IFPC_res_adj*s_CF_peach</f>
        <v>68935.625</v>
      </c>
      <c r="AR10" s="40">
        <f>s_C*(up_Bv!R10+s_MLF_pear)*s_IFPR_res_adj*s_CF_pear</f>
        <v>68935.625</v>
      </c>
      <c r="AS10" s="40">
        <f>s_C*(up_Bv!S10+s_MLF_peas)*s_IFPE_res_adj*s_CF_peas</f>
        <v>68935.625</v>
      </c>
      <c r="AT10" s="40">
        <f>s_C*(up_Bv!T10+s_MLF_potato)*s_IFPT_res_adj*s_CF_potato</f>
        <v>68935.625</v>
      </c>
      <c r="AU10" s="40">
        <f>s_C*(up_Bv!U10+s_MLF_pumpkin)*s_IFPU_res_adj*s_CF_pumpkin</f>
        <v>68935.625</v>
      </c>
      <c r="AV10" s="40">
        <f>s_C*(up_Bv!V10+s_MLF_snap_bean)*s_IFSN_res_adj*s_CF_snap_bean</f>
        <v>68935.625</v>
      </c>
      <c r="AW10" s="40">
        <f>s_C*(up_Bv!W10+s_MLF_strawberry)*s_IFST_res_adj*s_CF_strawberry</f>
        <v>68935.625</v>
      </c>
      <c r="AX10" s="40">
        <f>s_C*(up_Bv!X10+s_MLF_tomato)*s_IFTO_res_adj*s_CF_tomato</f>
        <v>68935.625</v>
      </c>
      <c r="AY10" s="40">
        <f>s_C*(up_Bv!Y10+s_MLF_rice)*s_IFRI_res_adj*s_CF_rice</f>
        <v>68935.625</v>
      </c>
      <c r="AZ10" s="40">
        <f>s_C*(up_Bv!Z10+s_MLF_cereal)*s_IFCG_res_adj*s_CF_cereal</f>
        <v>68935.625</v>
      </c>
      <c r="BA10" s="15">
        <f t="shared" si="1"/>
        <v>3.6265718922545492E-12</v>
      </c>
      <c r="BB10" s="15">
        <f>IFERROR((up_dir!AC10/(up_Bv!C10+s_MLF_apple)),".")</f>
        <v>1.4506287569018197E-11</v>
      </c>
      <c r="BC10" s="15">
        <f>IFERROR((up_dir!AD10/(up_Bv!D10+s_MLF_asparagus)),".")</f>
        <v>1.4506287569018197E-11</v>
      </c>
      <c r="BD10" s="15">
        <f>IFERROR((up_dir!AE10/(up_Bv!E10+s_MLF_beet)),".")</f>
        <v>1.4506287569018197E-11</v>
      </c>
      <c r="BE10" s="15">
        <f>IFERROR((up_dir!AF10/(up_Bv!F10+s_MLF_berries)),".")</f>
        <v>1.4506287569018197E-11</v>
      </c>
      <c r="BF10" s="15">
        <f>IFERROR((up_dir!AG10/(up_Bv!G10+s_MLF_broccoli)),".")</f>
        <v>1.4506287569018197E-11</v>
      </c>
      <c r="BG10" s="15">
        <f>IFERROR((up_dir!AH10/(up_Bv!H10+s_MLF_cabbage)),".")</f>
        <v>1.4506287569018197E-11</v>
      </c>
      <c r="BH10" s="15">
        <f>IFERROR((up_dir!AI10/(up_Bv!I10+s_MLF_carrot)),".")</f>
        <v>1.4506287569018197E-11</v>
      </c>
      <c r="BI10" s="15">
        <f>IFERROR((up_dir!AJ10/(up_Bv!J10+s_MLF_citrus)),".")</f>
        <v>1.4506287569018197E-11</v>
      </c>
      <c r="BJ10" s="15">
        <f>IFERROR((up_dir!AK10/(up_Bv!K10+s_MLF_corn)),".")</f>
        <v>1.4506287569018197E-11</v>
      </c>
      <c r="BK10" s="15">
        <f>IFERROR((up_dir!AL10/(up_Bv!L10+s_MLF_cucumber)),".")</f>
        <v>1.4506287569018197E-11</v>
      </c>
      <c r="BL10" s="15">
        <f>IFERROR((up_dir!AM10/(up_Bv!M10+s_MLF_lettuce)),".")</f>
        <v>1.4506287569018197E-11</v>
      </c>
      <c r="BM10" s="15">
        <f>IFERROR((up_dir!AN10/(up_Bv!N10+s_MLF_lima_bean)),".")</f>
        <v>1.4506287569018197E-11</v>
      </c>
      <c r="BN10" s="15">
        <f>IFERROR((up_dir!AO10/(up_Bv!O10+s_MLF_okra)),".")</f>
        <v>1.4506287569018197E-11</v>
      </c>
      <c r="BO10" s="15">
        <f>IFERROR((up_dir!AP10/(up_Bv!P10+s_MLF_onion)),".")</f>
        <v>1.4506287569018197E-11</v>
      </c>
      <c r="BP10" s="15">
        <f>IFERROR((up_dir!AQ10/(up_Bv!Q10+s_MLF_peach)),".")</f>
        <v>1.4506287569018197E-11</v>
      </c>
      <c r="BQ10" s="15">
        <f>IFERROR((up_dir!AR10/(up_Bv!R10+s_MLF_pear)),".")</f>
        <v>1.4506287569018197E-11</v>
      </c>
      <c r="BR10" s="15">
        <f>IFERROR((up_dir!AS10/(up_Bv!S10+s_MLF_peas)),".")</f>
        <v>1.4506287569018197E-11</v>
      </c>
      <c r="BS10" s="15">
        <f>IFERROR((up_dir!AT10/(up_Bv!T10+s_MLF_potato)),".")</f>
        <v>1.4506287569018197E-11</v>
      </c>
      <c r="BT10" s="15">
        <f>IFERROR((up_dir!AU10/(up_Bv!U10+s_MLF_pumpkin)),".")</f>
        <v>1.4506287569018197E-11</v>
      </c>
      <c r="BU10" s="15">
        <f>IFERROR((up_dir!AV10/(up_Bv!V10+s_MLF_snap_bean)),".")</f>
        <v>1.4506287569018197E-11</v>
      </c>
      <c r="BV10" s="15">
        <f>IFERROR((up_dir!AW10/(up_Bv!W10+s_MLF_strawberry)),".")</f>
        <v>1.4506287569018197E-11</v>
      </c>
      <c r="BW10" s="15">
        <f>IFERROR((up_dir!AX10/(up_Bv!X10+s_MLF_tomato)),".")</f>
        <v>1.4506287569018197E-11</v>
      </c>
      <c r="BX10" s="15">
        <f>IFERROR((up_dir!AY10/(up_Bv!Y10+s_MLF_rice)),".")</f>
        <v>1.4506287569018197E-11</v>
      </c>
      <c r="BY10" s="15">
        <f>IFERROR((up_dir!AZ10/(up_Bv!Z10+s_MLF_cereal)),".")</f>
        <v>1.4506287569018197E-11</v>
      </c>
      <c r="BZ10" s="40">
        <f t="shared" si="3"/>
        <v>275742.5</v>
      </c>
      <c r="CA10" s="40">
        <f>IFERROR(s_C*(up_Bv!C10+s_MLF_apple)*s_IFAP_far_adj*s_CF_apple,".")</f>
        <v>68935.625</v>
      </c>
      <c r="CB10" s="40">
        <f>IFERROR(s_C*(up_Bv!D10+s_MLF_asparagus)*s_IFAS_far_adj*s_CF_asparagus,".")</f>
        <v>68935.625</v>
      </c>
      <c r="CC10" s="40">
        <f>IFERROR(s_C*(up_Bv!E10+s_MLF_beet)*s_IFBT_far_adj*s_CF_beet,".")</f>
        <v>68935.625</v>
      </c>
      <c r="CD10" s="40">
        <f>IFERROR(s_C*(up_Bv!F10+s_MLF_berries)*s_IFBR_far_adj*s_CF_berries,".")</f>
        <v>68935.625</v>
      </c>
      <c r="CE10" s="40">
        <f>IFERROR(s_C*(up_Bv!G10+s_MLF_broccoli)*s_IFBR_far_adj*s_CF_broccoli,".")</f>
        <v>68935.625</v>
      </c>
      <c r="CF10" s="40">
        <f>IFERROR(s_C*(up_Bv!H10+s_MLF_cabbage)*s_IFCB_far_adj*s_CF_cabbage,".")</f>
        <v>68935.625</v>
      </c>
      <c r="CG10" s="40">
        <f>IFERROR(s_C*(up_Bv!I10+s_MLF_carrot)*s_IFCR_far_adj*s_CF_carrot,".")</f>
        <v>68935.625</v>
      </c>
      <c r="CH10" s="40">
        <f>IFERROR(s_C*(up_Bv!J10+s_MLF_citrus)*s_IFCI_far_adj*s_CF_citrus,".")</f>
        <v>68935.625</v>
      </c>
      <c r="CI10" s="40">
        <f>IFERROR(s_C*(up_Bv!K10+s_MLF_corn)*s_IFCO_far_adj*s_CF_corn,".")</f>
        <v>68935.625</v>
      </c>
      <c r="CJ10" s="40">
        <f>IFERROR(s_C*(up_Bv!L10+s_MLF_cucumber)*s_IFCU_far_adj*s_CF_cucumber,".")</f>
        <v>68935.625</v>
      </c>
      <c r="CK10" s="40">
        <f>IFERROR(s_C*(up_Bv!M10+s_MLF_lettuce)*s_IFLE_far_adj*s_CF_lettuce,".")</f>
        <v>68935.625</v>
      </c>
      <c r="CL10" s="40">
        <f>IFERROR(s_C*(up_Bv!N10+s_MLF_lima_bean)*s_IFLI_far_adj*s_CF_lima_bean,".")</f>
        <v>68935.625</v>
      </c>
      <c r="CM10" s="40">
        <f>IFERROR(s_C*(up_Bv!O10+s_MLF_okra)*s_IFOK_far_adj*s_CF_okra,".")</f>
        <v>68935.625</v>
      </c>
      <c r="CN10" s="40">
        <f>IFERROR(s_C*(up_Bv!P10+s_MLF_onion)*s_IFON_far_adj*s_CF_onion,".")</f>
        <v>68935.625</v>
      </c>
      <c r="CO10" s="40">
        <f>IFERROR(s_C*(up_Bv!Q10+s_MLF_peach)*s_IFPC_far_adj*s_CF_peach,".")</f>
        <v>68935.625</v>
      </c>
      <c r="CP10" s="40">
        <f>IFERROR(s_C*(up_Bv!R10+s_MLF_pear)*s_IFPR_far_adj*s_CF_pear,".")</f>
        <v>68935.625</v>
      </c>
      <c r="CQ10" s="40">
        <f>IFERROR(s_C*(up_Bv!S10+s_MLF_peas)*s_IFPE_far_adj*s_CF_peas,".")</f>
        <v>68935.625</v>
      </c>
      <c r="CR10" s="40">
        <f>IFERROR(s_C*(up_Bv!T10+s_MLF_potato)*s_IFPT_far_adj*s_CF_potato,".")</f>
        <v>68935.625</v>
      </c>
      <c r="CS10" s="40">
        <f>IFERROR(s_C*(up_Bv!U10+s_MLF_pumpkin)*s_IFPU_far_adj*s_CF_pumpkin,".")</f>
        <v>68935.625</v>
      </c>
      <c r="CT10" s="40">
        <f>IFERROR(s_C*(up_Bv!V10+s_MLF_snap_bean)*s_IFSN_far_adj*s_CF_snap_bean,".")</f>
        <v>68935.625</v>
      </c>
      <c r="CU10" s="40">
        <f>IFERROR(s_C*(up_Bv!W10+s_MLF_strawberry)*s_IFST_far_adj*s_CF_strawberry,".")</f>
        <v>68935.625</v>
      </c>
      <c r="CV10" s="40">
        <f>IFERROR(s_C*(up_Bv!X10+s_MLF_tomato)*s_IFTO_far_adj*s_CF_tomato,".")</f>
        <v>68935.625</v>
      </c>
      <c r="CW10" s="40">
        <f>IFERROR(s_C*(up_Bv!Y10+s_MLF_rice)*s_IFRI_far_adj*s_CF_rice,".")</f>
        <v>68935.625</v>
      </c>
      <c r="CX10" s="40">
        <f>IFERROR(s_C*(up_Bv!Z10+s_MLF_cereal)*s_IFCG_far_adj*s_CF_cereal,".")</f>
        <v>68935.625</v>
      </c>
    </row>
    <row r="11" spans="1:102" ht="15" customHeight="1" x14ac:dyDescent="0.25">
      <c r="A11" s="44" t="s">
        <v>21</v>
      </c>
      <c r="B11" s="42" t="s">
        <v>1074</v>
      </c>
      <c r="C11" s="117">
        <f t="shared" si="0"/>
        <v>3.6265718922545492E-12</v>
      </c>
      <c r="D11" s="117">
        <f>IFERROR((up_dir!D11/(up_Bv!C11+s_MLF_apple)),".")</f>
        <v>1.4506287569018197E-11</v>
      </c>
      <c r="E11" s="117">
        <f>IFERROR((up_dir!E11/(up_Bv!D11+s_MLF_asparagus)),".")</f>
        <v>1.4506287569018197E-11</v>
      </c>
      <c r="F11" s="117">
        <f>IFERROR((up_dir!F11/(up_Bv!E11+s_MLF_beet)),".")</f>
        <v>1.4506287569018197E-11</v>
      </c>
      <c r="G11" s="117">
        <f>IFERROR((up_dir!G11/(up_Bv!F11+s_MLF_berries)),".")</f>
        <v>1.4506287569018197E-11</v>
      </c>
      <c r="H11" s="117">
        <f>IFERROR((up_dir!H11/(up_Bv!G11+s_MLF_broccoli)),".")</f>
        <v>1.4506287569018197E-11</v>
      </c>
      <c r="I11" s="117">
        <f>IFERROR((up_dir!I11/(up_Bv!H11+s_MLF_cabbage)),".")</f>
        <v>1.4506287569018197E-11</v>
      </c>
      <c r="J11" s="117">
        <f>IFERROR((up_dir!J11/(up_Bv!I11+s_MLF_carrot)),".")</f>
        <v>1.4506287569018197E-11</v>
      </c>
      <c r="K11" s="117">
        <f>IFERROR((up_dir!K11/(up_Bv!J11+s_MLF_citrus)),".")</f>
        <v>1.4506287569018197E-11</v>
      </c>
      <c r="L11" s="117">
        <f>IFERROR((up_dir!L11/(up_Bv!K11+s_MLF_corn)),".")</f>
        <v>1.4506287569018197E-11</v>
      </c>
      <c r="M11" s="117">
        <f>IFERROR((up_dir!M11/(up_Bv!L11+s_MLF_cucumber)),".")</f>
        <v>1.4506287569018197E-11</v>
      </c>
      <c r="N11" s="117">
        <f>IFERROR((up_dir!N11/(up_Bv!M11+s_MLF_lettuce)),".")</f>
        <v>1.4506287569018197E-11</v>
      </c>
      <c r="O11" s="117">
        <f>IFERROR((up_dir!O11/(up_Bv!N11+s_MLF_lima_bean)),".")</f>
        <v>1.4506287569018197E-11</v>
      </c>
      <c r="P11" s="117">
        <f>IFERROR((up_dir!P11/(up_Bv!O11+s_MLF_okra)),".")</f>
        <v>1.4506287569018197E-11</v>
      </c>
      <c r="Q11" s="117">
        <f>IFERROR((up_dir!Q11/(up_Bv!P11+s_MLF_onion)),".")</f>
        <v>1.4506287569018197E-11</v>
      </c>
      <c r="R11" s="117">
        <f>IFERROR((up_dir!R11/(up_Bv!Q11+s_MLF_peach)),".")</f>
        <v>1.4506287569018197E-11</v>
      </c>
      <c r="S11" s="117">
        <f>IFERROR((up_dir!S11/(up_Bv!R11+s_MLF_pear)),".")</f>
        <v>1.4506287569018197E-11</v>
      </c>
      <c r="T11" s="117">
        <f>IFERROR((up_dir!T11/(up_Bv!S11+s_MLF_peas)),".")</f>
        <v>1.4506287569018197E-11</v>
      </c>
      <c r="U11" s="117">
        <f>IFERROR((up_dir!U11/(up_Bv!T11+s_MLF_potato)),".")</f>
        <v>1.4506287569018197E-11</v>
      </c>
      <c r="V11" s="117">
        <f>IFERROR((up_dir!V11/(up_Bv!U11+s_MLF_pumpkin)),".")</f>
        <v>1.4506287569018197E-11</v>
      </c>
      <c r="W11" s="117">
        <f>IFERROR((up_dir!W11/(up_Bv!V11+s_MLF_snap_bean)),".")</f>
        <v>1.4506287569018197E-11</v>
      </c>
      <c r="X11" s="117">
        <f>IFERROR((up_dir!X11/(up_Bv!W11+s_MLF_strawberry)),".")</f>
        <v>1.4506287569018197E-11</v>
      </c>
      <c r="Y11" s="117">
        <f>IFERROR((up_dir!Y11/(up_Bv!X11+s_MLF_tomato)),".")</f>
        <v>1.4506287569018197E-11</v>
      </c>
      <c r="Z11" s="117">
        <f>IFERROR((up_dir!Z11/(up_Bv!Y11+s_MLF_rice)),".")</f>
        <v>1.4506287569018197E-11</v>
      </c>
      <c r="AA11" s="117">
        <f>IFERROR((up_dir!AA11/(up_Bv!Z11+s_MLF_cereal)),".")</f>
        <v>1.4506287569018197E-11</v>
      </c>
      <c r="AB11" s="40">
        <f t="shared" si="2"/>
        <v>275742.5</v>
      </c>
      <c r="AC11" s="40">
        <f>s_C*(up_Bv!C11+s_MLF_apple)*s_IFAP_res_adj*s_CF_apple</f>
        <v>68935.625</v>
      </c>
      <c r="AD11" s="40">
        <f>s_C*(up_Bv!D11+s_MLF_asparagus)*s_IFAS_res_adj*s_CF_asparagus</f>
        <v>68935.625</v>
      </c>
      <c r="AE11" s="40">
        <f>s_C*(up_Bv!E11+s_MLF_beet)*s_IFBT_res_adj*s_CF_beet</f>
        <v>68935.625</v>
      </c>
      <c r="AF11" s="40">
        <f>s_C*(up_Bv!F11+s_MLF_berries)*s_IFBE_res_adj*s_CF_berries</f>
        <v>68935.625</v>
      </c>
      <c r="AG11" s="40">
        <f>s_C*(up_Bv!G11+s_MLF_broccoli)*s_IFBR_res_adj*s_CF_broccoli</f>
        <v>68935.625</v>
      </c>
      <c r="AH11" s="40">
        <f>s_C*(up_Bv!H11+s_MLF_cabbage)*s_IFCB_res_adj*s_CF_cabbage</f>
        <v>68935.625</v>
      </c>
      <c r="AI11" s="40">
        <f>s_C*(up_Bv!I11+s_MLF_carrot)*s_IFCR_res_adj*s_CF_carrot</f>
        <v>68935.625</v>
      </c>
      <c r="AJ11" s="40">
        <f>s_C*(up_Bv!J11+s_MLF_citrus)*s_IFCI_res_adj*s_CF_citrus</f>
        <v>68935.625</v>
      </c>
      <c r="AK11" s="40">
        <f>s_C*(up_Bv!K11+s_MLF_corn)*s_IFCO_res_adj*s_CF_corn</f>
        <v>68935.625</v>
      </c>
      <c r="AL11" s="40">
        <f>s_C*(up_Bv!L11+s_MLF_cucumber)*s_IFCU_res_adj*s_CF_cucumber</f>
        <v>68935.625</v>
      </c>
      <c r="AM11" s="40">
        <f>s_C*(up_Bv!M11+s_MLF_lettuce)*s_IFLE_res_adj*s_CF_lettuce</f>
        <v>68935.625</v>
      </c>
      <c r="AN11" s="40">
        <f>s_C*(up_Bv!N11+s_MLF_lima_bean)*s_IFLI_res_adj*s_CF_lima_bean</f>
        <v>68935.625</v>
      </c>
      <c r="AO11" s="40">
        <f>s_C*(up_Bv!O11+s_MLF_okra)*s_IFOK_res_adj*s_CF_okra</f>
        <v>68935.625</v>
      </c>
      <c r="AP11" s="40">
        <f>s_C*(up_Bv!P11+s_MLF_onion)*s_IFON_res_adj*s_CF_onion</f>
        <v>68935.625</v>
      </c>
      <c r="AQ11" s="40">
        <f>s_C*(up_Bv!Q11+s_MLF_peach)*s_IFPC_res_adj*s_CF_peach</f>
        <v>68935.625</v>
      </c>
      <c r="AR11" s="40">
        <f>s_C*(up_Bv!R11+s_MLF_pear)*s_IFPR_res_adj*s_CF_pear</f>
        <v>68935.625</v>
      </c>
      <c r="AS11" s="40">
        <f>s_C*(up_Bv!S11+s_MLF_peas)*s_IFPE_res_adj*s_CF_peas</f>
        <v>68935.625</v>
      </c>
      <c r="AT11" s="40">
        <f>s_C*(up_Bv!T11+s_MLF_potato)*s_IFPT_res_adj*s_CF_potato</f>
        <v>68935.625</v>
      </c>
      <c r="AU11" s="40">
        <f>s_C*(up_Bv!U11+s_MLF_pumpkin)*s_IFPU_res_adj*s_CF_pumpkin</f>
        <v>68935.625</v>
      </c>
      <c r="AV11" s="40">
        <f>s_C*(up_Bv!V11+s_MLF_snap_bean)*s_IFSN_res_adj*s_CF_snap_bean</f>
        <v>68935.625</v>
      </c>
      <c r="AW11" s="40">
        <f>s_C*(up_Bv!W11+s_MLF_strawberry)*s_IFST_res_adj*s_CF_strawberry</f>
        <v>68935.625</v>
      </c>
      <c r="AX11" s="40">
        <f>s_C*(up_Bv!X11+s_MLF_tomato)*s_IFTO_res_adj*s_CF_tomato</f>
        <v>68935.625</v>
      </c>
      <c r="AY11" s="40">
        <f>s_C*(up_Bv!Y11+s_MLF_rice)*s_IFRI_res_adj*s_CF_rice</f>
        <v>68935.625</v>
      </c>
      <c r="AZ11" s="40">
        <f>s_C*(up_Bv!Z11+s_MLF_cereal)*s_IFCG_res_adj*s_CF_cereal</f>
        <v>68935.625</v>
      </c>
      <c r="BA11" s="15">
        <f t="shared" si="1"/>
        <v>3.6265718922545492E-12</v>
      </c>
      <c r="BB11" s="15">
        <f>IFERROR((up_dir!AC11/(up_Bv!C11+s_MLF_apple)),".")</f>
        <v>1.4506287569018197E-11</v>
      </c>
      <c r="BC11" s="15">
        <f>IFERROR((up_dir!AD11/(up_Bv!D11+s_MLF_asparagus)),".")</f>
        <v>1.4506287569018197E-11</v>
      </c>
      <c r="BD11" s="15">
        <f>IFERROR((up_dir!AE11/(up_Bv!E11+s_MLF_beet)),".")</f>
        <v>1.4506287569018197E-11</v>
      </c>
      <c r="BE11" s="15">
        <f>IFERROR((up_dir!AF11/(up_Bv!F11+s_MLF_berries)),".")</f>
        <v>1.4506287569018197E-11</v>
      </c>
      <c r="BF11" s="15">
        <f>IFERROR((up_dir!AG11/(up_Bv!G11+s_MLF_broccoli)),".")</f>
        <v>1.4506287569018197E-11</v>
      </c>
      <c r="BG11" s="15">
        <f>IFERROR((up_dir!AH11/(up_Bv!H11+s_MLF_cabbage)),".")</f>
        <v>1.4506287569018197E-11</v>
      </c>
      <c r="BH11" s="15">
        <f>IFERROR((up_dir!AI11/(up_Bv!I11+s_MLF_carrot)),".")</f>
        <v>1.4506287569018197E-11</v>
      </c>
      <c r="BI11" s="15">
        <f>IFERROR((up_dir!AJ11/(up_Bv!J11+s_MLF_citrus)),".")</f>
        <v>1.4506287569018197E-11</v>
      </c>
      <c r="BJ11" s="15">
        <f>IFERROR((up_dir!AK11/(up_Bv!K11+s_MLF_corn)),".")</f>
        <v>1.4506287569018197E-11</v>
      </c>
      <c r="BK11" s="15">
        <f>IFERROR((up_dir!AL11/(up_Bv!L11+s_MLF_cucumber)),".")</f>
        <v>1.4506287569018197E-11</v>
      </c>
      <c r="BL11" s="15">
        <f>IFERROR((up_dir!AM11/(up_Bv!M11+s_MLF_lettuce)),".")</f>
        <v>1.4506287569018197E-11</v>
      </c>
      <c r="BM11" s="15">
        <f>IFERROR((up_dir!AN11/(up_Bv!N11+s_MLF_lima_bean)),".")</f>
        <v>1.4506287569018197E-11</v>
      </c>
      <c r="BN11" s="15">
        <f>IFERROR((up_dir!AO11/(up_Bv!O11+s_MLF_okra)),".")</f>
        <v>1.4506287569018197E-11</v>
      </c>
      <c r="BO11" s="15">
        <f>IFERROR((up_dir!AP11/(up_Bv!P11+s_MLF_onion)),".")</f>
        <v>1.4506287569018197E-11</v>
      </c>
      <c r="BP11" s="15">
        <f>IFERROR((up_dir!AQ11/(up_Bv!Q11+s_MLF_peach)),".")</f>
        <v>1.4506287569018197E-11</v>
      </c>
      <c r="BQ11" s="15">
        <f>IFERROR((up_dir!AR11/(up_Bv!R11+s_MLF_pear)),".")</f>
        <v>1.4506287569018197E-11</v>
      </c>
      <c r="BR11" s="15">
        <f>IFERROR((up_dir!AS11/(up_Bv!S11+s_MLF_peas)),".")</f>
        <v>1.4506287569018197E-11</v>
      </c>
      <c r="BS11" s="15">
        <f>IFERROR((up_dir!AT11/(up_Bv!T11+s_MLF_potato)),".")</f>
        <v>1.4506287569018197E-11</v>
      </c>
      <c r="BT11" s="15">
        <f>IFERROR((up_dir!AU11/(up_Bv!U11+s_MLF_pumpkin)),".")</f>
        <v>1.4506287569018197E-11</v>
      </c>
      <c r="BU11" s="15">
        <f>IFERROR((up_dir!AV11/(up_Bv!V11+s_MLF_snap_bean)),".")</f>
        <v>1.4506287569018197E-11</v>
      </c>
      <c r="BV11" s="15">
        <f>IFERROR((up_dir!AW11/(up_Bv!W11+s_MLF_strawberry)),".")</f>
        <v>1.4506287569018197E-11</v>
      </c>
      <c r="BW11" s="15">
        <f>IFERROR((up_dir!AX11/(up_Bv!X11+s_MLF_tomato)),".")</f>
        <v>1.4506287569018197E-11</v>
      </c>
      <c r="BX11" s="15">
        <f>IFERROR((up_dir!AY11/(up_Bv!Y11+s_MLF_rice)),".")</f>
        <v>1.4506287569018197E-11</v>
      </c>
      <c r="BY11" s="15">
        <f>IFERROR((up_dir!AZ11/(up_Bv!Z11+s_MLF_cereal)),".")</f>
        <v>1.4506287569018197E-11</v>
      </c>
      <c r="BZ11" s="40">
        <f t="shared" si="3"/>
        <v>275742.5</v>
      </c>
      <c r="CA11" s="40">
        <f>IFERROR(s_C*(up_Bv!C11+s_MLF_apple)*s_IFAP_far_adj*s_CF_apple,".")</f>
        <v>68935.625</v>
      </c>
      <c r="CB11" s="40">
        <f>IFERROR(s_C*(up_Bv!D11+s_MLF_asparagus)*s_IFAS_far_adj*s_CF_asparagus,".")</f>
        <v>68935.625</v>
      </c>
      <c r="CC11" s="40">
        <f>IFERROR(s_C*(up_Bv!E11+s_MLF_beet)*s_IFBT_far_adj*s_CF_beet,".")</f>
        <v>68935.625</v>
      </c>
      <c r="CD11" s="40">
        <f>IFERROR(s_C*(up_Bv!F11+s_MLF_berries)*s_IFBR_far_adj*s_CF_berries,".")</f>
        <v>68935.625</v>
      </c>
      <c r="CE11" s="40">
        <f>IFERROR(s_C*(up_Bv!G11+s_MLF_broccoli)*s_IFBR_far_adj*s_CF_broccoli,".")</f>
        <v>68935.625</v>
      </c>
      <c r="CF11" s="40">
        <f>IFERROR(s_C*(up_Bv!H11+s_MLF_cabbage)*s_IFCB_far_adj*s_CF_cabbage,".")</f>
        <v>68935.625</v>
      </c>
      <c r="CG11" s="40">
        <f>IFERROR(s_C*(up_Bv!I11+s_MLF_carrot)*s_IFCR_far_adj*s_CF_carrot,".")</f>
        <v>68935.625</v>
      </c>
      <c r="CH11" s="40">
        <f>IFERROR(s_C*(up_Bv!J11+s_MLF_citrus)*s_IFCI_far_adj*s_CF_citrus,".")</f>
        <v>68935.625</v>
      </c>
      <c r="CI11" s="40">
        <f>IFERROR(s_C*(up_Bv!K11+s_MLF_corn)*s_IFCO_far_adj*s_CF_corn,".")</f>
        <v>68935.625</v>
      </c>
      <c r="CJ11" s="40">
        <f>IFERROR(s_C*(up_Bv!L11+s_MLF_cucumber)*s_IFCU_far_adj*s_CF_cucumber,".")</f>
        <v>68935.625</v>
      </c>
      <c r="CK11" s="40">
        <f>IFERROR(s_C*(up_Bv!M11+s_MLF_lettuce)*s_IFLE_far_adj*s_CF_lettuce,".")</f>
        <v>68935.625</v>
      </c>
      <c r="CL11" s="40">
        <f>IFERROR(s_C*(up_Bv!N11+s_MLF_lima_bean)*s_IFLI_far_adj*s_CF_lima_bean,".")</f>
        <v>68935.625</v>
      </c>
      <c r="CM11" s="40">
        <f>IFERROR(s_C*(up_Bv!O11+s_MLF_okra)*s_IFOK_far_adj*s_CF_okra,".")</f>
        <v>68935.625</v>
      </c>
      <c r="CN11" s="40">
        <f>IFERROR(s_C*(up_Bv!P11+s_MLF_onion)*s_IFON_far_adj*s_CF_onion,".")</f>
        <v>68935.625</v>
      </c>
      <c r="CO11" s="40">
        <f>IFERROR(s_C*(up_Bv!Q11+s_MLF_peach)*s_IFPC_far_adj*s_CF_peach,".")</f>
        <v>68935.625</v>
      </c>
      <c r="CP11" s="40">
        <f>IFERROR(s_C*(up_Bv!R11+s_MLF_pear)*s_IFPR_far_adj*s_CF_pear,".")</f>
        <v>68935.625</v>
      </c>
      <c r="CQ11" s="40">
        <f>IFERROR(s_C*(up_Bv!S11+s_MLF_peas)*s_IFPE_far_adj*s_CF_peas,".")</f>
        <v>68935.625</v>
      </c>
      <c r="CR11" s="40">
        <f>IFERROR(s_C*(up_Bv!T11+s_MLF_potato)*s_IFPT_far_adj*s_CF_potato,".")</f>
        <v>68935.625</v>
      </c>
      <c r="CS11" s="40">
        <f>IFERROR(s_C*(up_Bv!U11+s_MLF_pumpkin)*s_IFPU_far_adj*s_CF_pumpkin,".")</f>
        <v>68935.625</v>
      </c>
      <c r="CT11" s="40">
        <f>IFERROR(s_C*(up_Bv!V11+s_MLF_snap_bean)*s_IFSN_far_adj*s_CF_snap_bean,".")</f>
        <v>68935.625</v>
      </c>
      <c r="CU11" s="40">
        <f>IFERROR(s_C*(up_Bv!W11+s_MLF_strawberry)*s_IFST_far_adj*s_CF_strawberry,".")</f>
        <v>68935.625</v>
      </c>
      <c r="CV11" s="40">
        <f>IFERROR(s_C*(up_Bv!X11+s_MLF_tomato)*s_IFTO_far_adj*s_CF_tomato,".")</f>
        <v>68935.625</v>
      </c>
      <c r="CW11" s="40">
        <f>IFERROR(s_C*(up_Bv!Y11+s_MLF_rice)*s_IFRI_far_adj*s_CF_rice,".")</f>
        <v>68935.625</v>
      </c>
      <c r="CX11" s="40">
        <f>IFERROR(s_C*(up_Bv!Z11+s_MLF_cereal)*s_IFCG_far_adj*s_CF_cereal,".")</f>
        <v>68935.625</v>
      </c>
    </row>
    <row r="12" spans="1:102" ht="15" customHeight="1" x14ac:dyDescent="0.25">
      <c r="A12" s="44" t="s">
        <v>22</v>
      </c>
      <c r="B12" s="42" t="s">
        <v>1074</v>
      </c>
      <c r="C12" s="117">
        <f t="shared" si="0"/>
        <v>3.6265718922545492E-12</v>
      </c>
      <c r="D12" s="117">
        <f>IFERROR((up_dir!D12/(up_Bv!C12+s_MLF_apple)),".")</f>
        <v>1.4506287569018197E-11</v>
      </c>
      <c r="E12" s="117">
        <f>IFERROR((up_dir!E12/(up_Bv!D12+s_MLF_asparagus)),".")</f>
        <v>1.4506287569018197E-11</v>
      </c>
      <c r="F12" s="117">
        <f>IFERROR((up_dir!F12/(up_Bv!E12+s_MLF_beet)),".")</f>
        <v>1.4506287569018197E-11</v>
      </c>
      <c r="G12" s="117">
        <f>IFERROR((up_dir!G12/(up_Bv!F12+s_MLF_berries)),".")</f>
        <v>1.4506287569018197E-11</v>
      </c>
      <c r="H12" s="117">
        <f>IFERROR((up_dir!H12/(up_Bv!G12+s_MLF_broccoli)),".")</f>
        <v>1.4506287569018197E-11</v>
      </c>
      <c r="I12" s="117">
        <f>IFERROR((up_dir!I12/(up_Bv!H12+s_MLF_cabbage)),".")</f>
        <v>1.4506287569018197E-11</v>
      </c>
      <c r="J12" s="117">
        <f>IFERROR((up_dir!J12/(up_Bv!I12+s_MLF_carrot)),".")</f>
        <v>1.4506287569018197E-11</v>
      </c>
      <c r="K12" s="117">
        <f>IFERROR((up_dir!K12/(up_Bv!J12+s_MLF_citrus)),".")</f>
        <v>1.4506287569018197E-11</v>
      </c>
      <c r="L12" s="117">
        <f>IFERROR((up_dir!L12/(up_Bv!K12+s_MLF_corn)),".")</f>
        <v>1.4506287569018197E-11</v>
      </c>
      <c r="M12" s="117">
        <f>IFERROR((up_dir!M12/(up_Bv!L12+s_MLF_cucumber)),".")</f>
        <v>1.4506287569018197E-11</v>
      </c>
      <c r="N12" s="117">
        <f>IFERROR((up_dir!N12/(up_Bv!M12+s_MLF_lettuce)),".")</f>
        <v>1.4506287569018197E-11</v>
      </c>
      <c r="O12" s="117">
        <f>IFERROR((up_dir!O12/(up_Bv!N12+s_MLF_lima_bean)),".")</f>
        <v>1.4506287569018197E-11</v>
      </c>
      <c r="P12" s="117">
        <f>IFERROR((up_dir!P12/(up_Bv!O12+s_MLF_okra)),".")</f>
        <v>1.4506287569018197E-11</v>
      </c>
      <c r="Q12" s="117">
        <f>IFERROR((up_dir!Q12/(up_Bv!P12+s_MLF_onion)),".")</f>
        <v>1.4506287569018197E-11</v>
      </c>
      <c r="R12" s="117">
        <f>IFERROR((up_dir!R12/(up_Bv!Q12+s_MLF_peach)),".")</f>
        <v>1.4506287569018197E-11</v>
      </c>
      <c r="S12" s="117">
        <f>IFERROR((up_dir!S12/(up_Bv!R12+s_MLF_pear)),".")</f>
        <v>1.4506287569018197E-11</v>
      </c>
      <c r="T12" s="117">
        <f>IFERROR((up_dir!T12/(up_Bv!S12+s_MLF_peas)),".")</f>
        <v>1.4506287569018197E-11</v>
      </c>
      <c r="U12" s="117">
        <f>IFERROR((up_dir!U12/(up_Bv!T12+s_MLF_potato)),".")</f>
        <v>1.4506287569018197E-11</v>
      </c>
      <c r="V12" s="117">
        <f>IFERROR((up_dir!V12/(up_Bv!U12+s_MLF_pumpkin)),".")</f>
        <v>1.4506287569018197E-11</v>
      </c>
      <c r="W12" s="117">
        <f>IFERROR((up_dir!W12/(up_Bv!V12+s_MLF_snap_bean)),".")</f>
        <v>1.4506287569018197E-11</v>
      </c>
      <c r="X12" s="117">
        <f>IFERROR((up_dir!X12/(up_Bv!W12+s_MLF_strawberry)),".")</f>
        <v>1.4506287569018197E-11</v>
      </c>
      <c r="Y12" s="117">
        <f>IFERROR((up_dir!Y12/(up_Bv!X12+s_MLF_tomato)),".")</f>
        <v>1.4506287569018197E-11</v>
      </c>
      <c r="Z12" s="117">
        <f>IFERROR((up_dir!Z12/(up_Bv!Y12+s_MLF_rice)),".")</f>
        <v>1.4506287569018197E-11</v>
      </c>
      <c r="AA12" s="117">
        <f>IFERROR((up_dir!AA12/(up_Bv!Z12+s_MLF_cereal)),".")</f>
        <v>1.4506287569018197E-11</v>
      </c>
      <c r="AB12" s="40">
        <f t="shared" si="2"/>
        <v>275742.5</v>
      </c>
      <c r="AC12" s="40">
        <f>s_C*(up_Bv!C12+s_MLF_apple)*s_IFAP_res_adj*s_CF_apple</f>
        <v>68935.625</v>
      </c>
      <c r="AD12" s="40">
        <f>s_C*(up_Bv!D12+s_MLF_asparagus)*s_IFAS_res_adj*s_CF_asparagus</f>
        <v>68935.625</v>
      </c>
      <c r="AE12" s="40">
        <f>s_C*(up_Bv!E12+s_MLF_beet)*s_IFBT_res_adj*s_CF_beet</f>
        <v>68935.625</v>
      </c>
      <c r="AF12" s="40">
        <f>s_C*(up_Bv!F12+s_MLF_berries)*s_IFBE_res_adj*s_CF_berries</f>
        <v>68935.625</v>
      </c>
      <c r="AG12" s="40">
        <f>s_C*(up_Bv!G12+s_MLF_broccoli)*s_IFBR_res_adj*s_CF_broccoli</f>
        <v>68935.625</v>
      </c>
      <c r="AH12" s="40">
        <f>s_C*(up_Bv!H12+s_MLF_cabbage)*s_IFCB_res_adj*s_CF_cabbage</f>
        <v>68935.625</v>
      </c>
      <c r="AI12" s="40">
        <f>s_C*(up_Bv!I12+s_MLF_carrot)*s_IFCR_res_adj*s_CF_carrot</f>
        <v>68935.625</v>
      </c>
      <c r="AJ12" s="40">
        <f>s_C*(up_Bv!J12+s_MLF_citrus)*s_IFCI_res_adj*s_CF_citrus</f>
        <v>68935.625</v>
      </c>
      <c r="AK12" s="40">
        <f>s_C*(up_Bv!K12+s_MLF_corn)*s_IFCO_res_adj*s_CF_corn</f>
        <v>68935.625</v>
      </c>
      <c r="AL12" s="40">
        <f>s_C*(up_Bv!L12+s_MLF_cucumber)*s_IFCU_res_adj*s_CF_cucumber</f>
        <v>68935.625</v>
      </c>
      <c r="AM12" s="40">
        <f>s_C*(up_Bv!M12+s_MLF_lettuce)*s_IFLE_res_adj*s_CF_lettuce</f>
        <v>68935.625</v>
      </c>
      <c r="AN12" s="40">
        <f>s_C*(up_Bv!N12+s_MLF_lima_bean)*s_IFLI_res_adj*s_CF_lima_bean</f>
        <v>68935.625</v>
      </c>
      <c r="AO12" s="40">
        <f>s_C*(up_Bv!O12+s_MLF_okra)*s_IFOK_res_adj*s_CF_okra</f>
        <v>68935.625</v>
      </c>
      <c r="AP12" s="40">
        <f>s_C*(up_Bv!P12+s_MLF_onion)*s_IFON_res_adj*s_CF_onion</f>
        <v>68935.625</v>
      </c>
      <c r="AQ12" s="40">
        <f>s_C*(up_Bv!Q12+s_MLF_peach)*s_IFPC_res_adj*s_CF_peach</f>
        <v>68935.625</v>
      </c>
      <c r="AR12" s="40">
        <f>s_C*(up_Bv!R12+s_MLF_pear)*s_IFPR_res_adj*s_CF_pear</f>
        <v>68935.625</v>
      </c>
      <c r="AS12" s="40">
        <f>s_C*(up_Bv!S12+s_MLF_peas)*s_IFPE_res_adj*s_CF_peas</f>
        <v>68935.625</v>
      </c>
      <c r="AT12" s="40">
        <f>s_C*(up_Bv!T12+s_MLF_potato)*s_IFPT_res_adj*s_CF_potato</f>
        <v>68935.625</v>
      </c>
      <c r="AU12" s="40">
        <f>s_C*(up_Bv!U12+s_MLF_pumpkin)*s_IFPU_res_adj*s_CF_pumpkin</f>
        <v>68935.625</v>
      </c>
      <c r="AV12" s="40">
        <f>s_C*(up_Bv!V12+s_MLF_snap_bean)*s_IFSN_res_adj*s_CF_snap_bean</f>
        <v>68935.625</v>
      </c>
      <c r="AW12" s="40">
        <f>s_C*(up_Bv!W12+s_MLF_strawberry)*s_IFST_res_adj*s_CF_strawberry</f>
        <v>68935.625</v>
      </c>
      <c r="AX12" s="40">
        <f>s_C*(up_Bv!X12+s_MLF_tomato)*s_IFTO_res_adj*s_CF_tomato</f>
        <v>68935.625</v>
      </c>
      <c r="AY12" s="40">
        <f>s_C*(up_Bv!Y12+s_MLF_rice)*s_IFRI_res_adj*s_CF_rice</f>
        <v>68935.625</v>
      </c>
      <c r="AZ12" s="40">
        <f>s_C*(up_Bv!Z12+s_MLF_cereal)*s_IFCG_res_adj*s_CF_cereal</f>
        <v>68935.625</v>
      </c>
      <c r="BA12" s="15">
        <f t="shared" si="1"/>
        <v>3.6265718922545492E-12</v>
      </c>
      <c r="BB12" s="15">
        <f>IFERROR((up_dir!AC12/(up_Bv!C12+s_MLF_apple)),".")</f>
        <v>1.4506287569018197E-11</v>
      </c>
      <c r="BC12" s="15">
        <f>IFERROR((up_dir!AD12/(up_Bv!D12+s_MLF_asparagus)),".")</f>
        <v>1.4506287569018197E-11</v>
      </c>
      <c r="BD12" s="15">
        <f>IFERROR((up_dir!AE12/(up_Bv!E12+s_MLF_beet)),".")</f>
        <v>1.4506287569018197E-11</v>
      </c>
      <c r="BE12" s="15">
        <f>IFERROR((up_dir!AF12/(up_Bv!F12+s_MLF_berries)),".")</f>
        <v>1.4506287569018197E-11</v>
      </c>
      <c r="BF12" s="15">
        <f>IFERROR((up_dir!AG12/(up_Bv!G12+s_MLF_broccoli)),".")</f>
        <v>1.4506287569018197E-11</v>
      </c>
      <c r="BG12" s="15">
        <f>IFERROR((up_dir!AH12/(up_Bv!H12+s_MLF_cabbage)),".")</f>
        <v>1.4506287569018197E-11</v>
      </c>
      <c r="BH12" s="15">
        <f>IFERROR((up_dir!AI12/(up_Bv!I12+s_MLF_carrot)),".")</f>
        <v>1.4506287569018197E-11</v>
      </c>
      <c r="BI12" s="15">
        <f>IFERROR((up_dir!AJ12/(up_Bv!J12+s_MLF_citrus)),".")</f>
        <v>1.4506287569018197E-11</v>
      </c>
      <c r="BJ12" s="15">
        <f>IFERROR((up_dir!AK12/(up_Bv!K12+s_MLF_corn)),".")</f>
        <v>1.4506287569018197E-11</v>
      </c>
      <c r="BK12" s="15">
        <f>IFERROR((up_dir!AL12/(up_Bv!L12+s_MLF_cucumber)),".")</f>
        <v>1.4506287569018197E-11</v>
      </c>
      <c r="BL12" s="15">
        <f>IFERROR((up_dir!AM12/(up_Bv!M12+s_MLF_lettuce)),".")</f>
        <v>1.4506287569018197E-11</v>
      </c>
      <c r="BM12" s="15">
        <f>IFERROR((up_dir!AN12/(up_Bv!N12+s_MLF_lima_bean)),".")</f>
        <v>1.4506287569018197E-11</v>
      </c>
      <c r="BN12" s="15">
        <f>IFERROR((up_dir!AO12/(up_Bv!O12+s_MLF_okra)),".")</f>
        <v>1.4506287569018197E-11</v>
      </c>
      <c r="BO12" s="15">
        <f>IFERROR((up_dir!AP12/(up_Bv!P12+s_MLF_onion)),".")</f>
        <v>1.4506287569018197E-11</v>
      </c>
      <c r="BP12" s="15">
        <f>IFERROR((up_dir!AQ12/(up_Bv!Q12+s_MLF_peach)),".")</f>
        <v>1.4506287569018197E-11</v>
      </c>
      <c r="BQ12" s="15">
        <f>IFERROR((up_dir!AR12/(up_Bv!R12+s_MLF_pear)),".")</f>
        <v>1.4506287569018197E-11</v>
      </c>
      <c r="BR12" s="15">
        <f>IFERROR((up_dir!AS12/(up_Bv!S12+s_MLF_peas)),".")</f>
        <v>1.4506287569018197E-11</v>
      </c>
      <c r="BS12" s="15">
        <f>IFERROR((up_dir!AT12/(up_Bv!T12+s_MLF_potato)),".")</f>
        <v>1.4506287569018197E-11</v>
      </c>
      <c r="BT12" s="15">
        <f>IFERROR((up_dir!AU12/(up_Bv!U12+s_MLF_pumpkin)),".")</f>
        <v>1.4506287569018197E-11</v>
      </c>
      <c r="BU12" s="15">
        <f>IFERROR((up_dir!AV12/(up_Bv!V12+s_MLF_snap_bean)),".")</f>
        <v>1.4506287569018197E-11</v>
      </c>
      <c r="BV12" s="15">
        <f>IFERROR((up_dir!AW12/(up_Bv!W12+s_MLF_strawberry)),".")</f>
        <v>1.4506287569018197E-11</v>
      </c>
      <c r="BW12" s="15">
        <f>IFERROR((up_dir!AX12/(up_Bv!X12+s_MLF_tomato)),".")</f>
        <v>1.4506287569018197E-11</v>
      </c>
      <c r="BX12" s="15">
        <f>IFERROR((up_dir!AY12/(up_Bv!Y12+s_MLF_rice)),".")</f>
        <v>1.4506287569018197E-11</v>
      </c>
      <c r="BY12" s="15">
        <f>IFERROR((up_dir!AZ12/(up_Bv!Z12+s_MLF_cereal)),".")</f>
        <v>1.4506287569018197E-11</v>
      </c>
      <c r="BZ12" s="40">
        <f t="shared" si="3"/>
        <v>275742.5</v>
      </c>
      <c r="CA12" s="40">
        <f>IFERROR(s_C*(up_Bv!C12+s_MLF_apple)*s_IFAP_far_adj*s_CF_apple,".")</f>
        <v>68935.625</v>
      </c>
      <c r="CB12" s="40">
        <f>IFERROR(s_C*(up_Bv!D12+s_MLF_asparagus)*s_IFAS_far_adj*s_CF_asparagus,".")</f>
        <v>68935.625</v>
      </c>
      <c r="CC12" s="40">
        <f>IFERROR(s_C*(up_Bv!E12+s_MLF_beet)*s_IFBT_far_adj*s_CF_beet,".")</f>
        <v>68935.625</v>
      </c>
      <c r="CD12" s="40">
        <f>IFERROR(s_C*(up_Bv!F12+s_MLF_berries)*s_IFBR_far_adj*s_CF_berries,".")</f>
        <v>68935.625</v>
      </c>
      <c r="CE12" s="40">
        <f>IFERROR(s_C*(up_Bv!G12+s_MLF_broccoli)*s_IFBR_far_adj*s_CF_broccoli,".")</f>
        <v>68935.625</v>
      </c>
      <c r="CF12" s="40">
        <f>IFERROR(s_C*(up_Bv!H12+s_MLF_cabbage)*s_IFCB_far_adj*s_CF_cabbage,".")</f>
        <v>68935.625</v>
      </c>
      <c r="CG12" s="40">
        <f>IFERROR(s_C*(up_Bv!I12+s_MLF_carrot)*s_IFCR_far_adj*s_CF_carrot,".")</f>
        <v>68935.625</v>
      </c>
      <c r="CH12" s="40">
        <f>IFERROR(s_C*(up_Bv!J12+s_MLF_citrus)*s_IFCI_far_adj*s_CF_citrus,".")</f>
        <v>68935.625</v>
      </c>
      <c r="CI12" s="40">
        <f>IFERROR(s_C*(up_Bv!K12+s_MLF_corn)*s_IFCO_far_adj*s_CF_corn,".")</f>
        <v>68935.625</v>
      </c>
      <c r="CJ12" s="40">
        <f>IFERROR(s_C*(up_Bv!L12+s_MLF_cucumber)*s_IFCU_far_adj*s_CF_cucumber,".")</f>
        <v>68935.625</v>
      </c>
      <c r="CK12" s="40">
        <f>IFERROR(s_C*(up_Bv!M12+s_MLF_lettuce)*s_IFLE_far_adj*s_CF_lettuce,".")</f>
        <v>68935.625</v>
      </c>
      <c r="CL12" s="40">
        <f>IFERROR(s_C*(up_Bv!N12+s_MLF_lima_bean)*s_IFLI_far_adj*s_CF_lima_bean,".")</f>
        <v>68935.625</v>
      </c>
      <c r="CM12" s="40">
        <f>IFERROR(s_C*(up_Bv!O12+s_MLF_okra)*s_IFOK_far_adj*s_CF_okra,".")</f>
        <v>68935.625</v>
      </c>
      <c r="CN12" s="40">
        <f>IFERROR(s_C*(up_Bv!P12+s_MLF_onion)*s_IFON_far_adj*s_CF_onion,".")</f>
        <v>68935.625</v>
      </c>
      <c r="CO12" s="40">
        <f>IFERROR(s_C*(up_Bv!Q12+s_MLF_peach)*s_IFPC_far_adj*s_CF_peach,".")</f>
        <v>68935.625</v>
      </c>
      <c r="CP12" s="40">
        <f>IFERROR(s_C*(up_Bv!R12+s_MLF_pear)*s_IFPR_far_adj*s_CF_pear,".")</f>
        <v>68935.625</v>
      </c>
      <c r="CQ12" s="40">
        <f>IFERROR(s_C*(up_Bv!S12+s_MLF_peas)*s_IFPE_far_adj*s_CF_peas,".")</f>
        <v>68935.625</v>
      </c>
      <c r="CR12" s="40">
        <f>IFERROR(s_C*(up_Bv!T12+s_MLF_potato)*s_IFPT_far_adj*s_CF_potato,".")</f>
        <v>68935.625</v>
      </c>
      <c r="CS12" s="40">
        <f>IFERROR(s_C*(up_Bv!U12+s_MLF_pumpkin)*s_IFPU_far_adj*s_CF_pumpkin,".")</f>
        <v>68935.625</v>
      </c>
      <c r="CT12" s="40">
        <f>IFERROR(s_C*(up_Bv!V12+s_MLF_snap_bean)*s_IFSN_far_adj*s_CF_snap_bean,".")</f>
        <v>68935.625</v>
      </c>
      <c r="CU12" s="40">
        <f>IFERROR(s_C*(up_Bv!W12+s_MLF_strawberry)*s_IFST_far_adj*s_CF_strawberry,".")</f>
        <v>68935.625</v>
      </c>
      <c r="CV12" s="40">
        <f>IFERROR(s_C*(up_Bv!X12+s_MLF_tomato)*s_IFTO_far_adj*s_CF_tomato,".")</f>
        <v>68935.625</v>
      </c>
      <c r="CW12" s="40">
        <f>IFERROR(s_C*(up_Bv!Y12+s_MLF_rice)*s_IFRI_far_adj*s_CF_rice,".")</f>
        <v>68935.625</v>
      </c>
      <c r="CX12" s="40">
        <f>IFERROR(s_C*(up_Bv!Z12+s_MLF_cereal)*s_IFCG_far_adj*s_CF_cereal,".")</f>
        <v>68935.625</v>
      </c>
    </row>
    <row r="13" spans="1:102" ht="15" customHeight="1" x14ac:dyDescent="0.25">
      <c r="A13" s="44" t="s">
        <v>23</v>
      </c>
      <c r="B13" s="42" t="s">
        <v>1074</v>
      </c>
      <c r="C13" s="117">
        <f t="shared" si="0"/>
        <v>3.6265718922545492E-12</v>
      </c>
      <c r="D13" s="117">
        <f>IFERROR((up_dir!D13/(up_Bv!C13+s_MLF_apple)),".")</f>
        <v>1.4506287569018197E-11</v>
      </c>
      <c r="E13" s="117">
        <f>IFERROR((up_dir!E13/(up_Bv!D13+s_MLF_asparagus)),".")</f>
        <v>1.4506287569018197E-11</v>
      </c>
      <c r="F13" s="117">
        <f>IFERROR((up_dir!F13/(up_Bv!E13+s_MLF_beet)),".")</f>
        <v>1.4506287569018197E-11</v>
      </c>
      <c r="G13" s="117">
        <f>IFERROR((up_dir!G13/(up_Bv!F13+s_MLF_berries)),".")</f>
        <v>1.4506287569018197E-11</v>
      </c>
      <c r="H13" s="117">
        <f>IFERROR((up_dir!H13/(up_Bv!G13+s_MLF_broccoli)),".")</f>
        <v>1.4506287569018197E-11</v>
      </c>
      <c r="I13" s="117">
        <f>IFERROR((up_dir!I13/(up_Bv!H13+s_MLF_cabbage)),".")</f>
        <v>1.4506287569018197E-11</v>
      </c>
      <c r="J13" s="117">
        <f>IFERROR((up_dir!J13/(up_Bv!I13+s_MLF_carrot)),".")</f>
        <v>1.4506287569018197E-11</v>
      </c>
      <c r="K13" s="117">
        <f>IFERROR((up_dir!K13/(up_Bv!J13+s_MLF_citrus)),".")</f>
        <v>1.4506287569018197E-11</v>
      </c>
      <c r="L13" s="117">
        <f>IFERROR((up_dir!L13/(up_Bv!K13+s_MLF_corn)),".")</f>
        <v>1.4506287569018197E-11</v>
      </c>
      <c r="M13" s="117">
        <f>IFERROR((up_dir!M13/(up_Bv!L13+s_MLF_cucumber)),".")</f>
        <v>1.4506287569018197E-11</v>
      </c>
      <c r="N13" s="117">
        <f>IFERROR((up_dir!N13/(up_Bv!M13+s_MLF_lettuce)),".")</f>
        <v>1.4506287569018197E-11</v>
      </c>
      <c r="O13" s="117">
        <f>IFERROR((up_dir!O13/(up_Bv!N13+s_MLF_lima_bean)),".")</f>
        <v>1.4506287569018197E-11</v>
      </c>
      <c r="P13" s="117">
        <f>IFERROR((up_dir!P13/(up_Bv!O13+s_MLF_okra)),".")</f>
        <v>1.4506287569018197E-11</v>
      </c>
      <c r="Q13" s="117">
        <f>IFERROR((up_dir!Q13/(up_Bv!P13+s_MLF_onion)),".")</f>
        <v>1.4506287569018197E-11</v>
      </c>
      <c r="R13" s="117">
        <f>IFERROR((up_dir!R13/(up_Bv!Q13+s_MLF_peach)),".")</f>
        <v>1.4506287569018197E-11</v>
      </c>
      <c r="S13" s="117">
        <f>IFERROR((up_dir!S13/(up_Bv!R13+s_MLF_pear)),".")</f>
        <v>1.4506287569018197E-11</v>
      </c>
      <c r="T13" s="117">
        <f>IFERROR((up_dir!T13/(up_Bv!S13+s_MLF_peas)),".")</f>
        <v>1.4506287569018197E-11</v>
      </c>
      <c r="U13" s="117">
        <f>IFERROR((up_dir!U13/(up_Bv!T13+s_MLF_potato)),".")</f>
        <v>1.4506287569018197E-11</v>
      </c>
      <c r="V13" s="117">
        <f>IFERROR((up_dir!V13/(up_Bv!U13+s_MLF_pumpkin)),".")</f>
        <v>1.4506287569018197E-11</v>
      </c>
      <c r="W13" s="117">
        <f>IFERROR((up_dir!W13/(up_Bv!V13+s_MLF_snap_bean)),".")</f>
        <v>1.4506287569018197E-11</v>
      </c>
      <c r="X13" s="117">
        <f>IFERROR((up_dir!X13/(up_Bv!W13+s_MLF_strawberry)),".")</f>
        <v>1.4506287569018197E-11</v>
      </c>
      <c r="Y13" s="117">
        <f>IFERROR((up_dir!Y13/(up_Bv!X13+s_MLF_tomato)),".")</f>
        <v>1.4506287569018197E-11</v>
      </c>
      <c r="Z13" s="117">
        <f>IFERROR((up_dir!Z13/(up_Bv!Y13+s_MLF_rice)),".")</f>
        <v>1.4506287569018197E-11</v>
      </c>
      <c r="AA13" s="117">
        <f>IFERROR((up_dir!AA13/(up_Bv!Z13+s_MLF_cereal)),".")</f>
        <v>1.4506287569018197E-11</v>
      </c>
      <c r="AB13" s="40">
        <f t="shared" si="2"/>
        <v>275742.5</v>
      </c>
      <c r="AC13" s="40">
        <f>s_C*(up_Bv!C13+s_MLF_apple)*s_IFAP_res_adj*s_CF_apple</f>
        <v>68935.625</v>
      </c>
      <c r="AD13" s="40">
        <f>s_C*(up_Bv!D13+s_MLF_asparagus)*s_IFAS_res_adj*s_CF_asparagus</f>
        <v>68935.625</v>
      </c>
      <c r="AE13" s="40">
        <f>s_C*(up_Bv!E13+s_MLF_beet)*s_IFBT_res_adj*s_CF_beet</f>
        <v>68935.625</v>
      </c>
      <c r="AF13" s="40">
        <f>s_C*(up_Bv!F13+s_MLF_berries)*s_IFBE_res_adj*s_CF_berries</f>
        <v>68935.625</v>
      </c>
      <c r="AG13" s="40">
        <f>s_C*(up_Bv!G13+s_MLF_broccoli)*s_IFBR_res_adj*s_CF_broccoli</f>
        <v>68935.625</v>
      </c>
      <c r="AH13" s="40">
        <f>s_C*(up_Bv!H13+s_MLF_cabbage)*s_IFCB_res_adj*s_CF_cabbage</f>
        <v>68935.625</v>
      </c>
      <c r="AI13" s="40">
        <f>s_C*(up_Bv!I13+s_MLF_carrot)*s_IFCR_res_adj*s_CF_carrot</f>
        <v>68935.625</v>
      </c>
      <c r="AJ13" s="40">
        <f>s_C*(up_Bv!J13+s_MLF_citrus)*s_IFCI_res_adj*s_CF_citrus</f>
        <v>68935.625</v>
      </c>
      <c r="AK13" s="40">
        <f>s_C*(up_Bv!K13+s_MLF_corn)*s_IFCO_res_adj*s_CF_corn</f>
        <v>68935.625</v>
      </c>
      <c r="AL13" s="40">
        <f>s_C*(up_Bv!L13+s_MLF_cucumber)*s_IFCU_res_adj*s_CF_cucumber</f>
        <v>68935.625</v>
      </c>
      <c r="AM13" s="40">
        <f>s_C*(up_Bv!M13+s_MLF_lettuce)*s_IFLE_res_adj*s_CF_lettuce</f>
        <v>68935.625</v>
      </c>
      <c r="AN13" s="40">
        <f>s_C*(up_Bv!N13+s_MLF_lima_bean)*s_IFLI_res_adj*s_CF_lima_bean</f>
        <v>68935.625</v>
      </c>
      <c r="AO13" s="40">
        <f>s_C*(up_Bv!O13+s_MLF_okra)*s_IFOK_res_adj*s_CF_okra</f>
        <v>68935.625</v>
      </c>
      <c r="AP13" s="40">
        <f>s_C*(up_Bv!P13+s_MLF_onion)*s_IFON_res_adj*s_CF_onion</f>
        <v>68935.625</v>
      </c>
      <c r="AQ13" s="40">
        <f>s_C*(up_Bv!Q13+s_MLF_peach)*s_IFPC_res_adj*s_CF_peach</f>
        <v>68935.625</v>
      </c>
      <c r="AR13" s="40">
        <f>s_C*(up_Bv!R13+s_MLF_pear)*s_IFPR_res_adj*s_CF_pear</f>
        <v>68935.625</v>
      </c>
      <c r="AS13" s="40">
        <f>s_C*(up_Bv!S13+s_MLF_peas)*s_IFPE_res_adj*s_CF_peas</f>
        <v>68935.625</v>
      </c>
      <c r="AT13" s="40">
        <f>s_C*(up_Bv!T13+s_MLF_potato)*s_IFPT_res_adj*s_CF_potato</f>
        <v>68935.625</v>
      </c>
      <c r="AU13" s="40">
        <f>s_C*(up_Bv!U13+s_MLF_pumpkin)*s_IFPU_res_adj*s_CF_pumpkin</f>
        <v>68935.625</v>
      </c>
      <c r="AV13" s="40">
        <f>s_C*(up_Bv!V13+s_MLF_snap_bean)*s_IFSN_res_adj*s_CF_snap_bean</f>
        <v>68935.625</v>
      </c>
      <c r="AW13" s="40">
        <f>s_C*(up_Bv!W13+s_MLF_strawberry)*s_IFST_res_adj*s_CF_strawberry</f>
        <v>68935.625</v>
      </c>
      <c r="AX13" s="40">
        <f>s_C*(up_Bv!X13+s_MLF_tomato)*s_IFTO_res_adj*s_CF_tomato</f>
        <v>68935.625</v>
      </c>
      <c r="AY13" s="40">
        <f>s_C*(up_Bv!Y13+s_MLF_rice)*s_IFRI_res_adj*s_CF_rice</f>
        <v>68935.625</v>
      </c>
      <c r="AZ13" s="40">
        <f>s_C*(up_Bv!Z13+s_MLF_cereal)*s_IFCG_res_adj*s_CF_cereal</f>
        <v>68935.625</v>
      </c>
      <c r="BA13" s="15">
        <f t="shared" si="1"/>
        <v>3.6265718922545492E-12</v>
      </c>
      <c r="BB13" s="15">
        <f>IFERROR((up_dir!AC13/(up_Bv!C13+s_MLF_apple)),".")</f>
        <v>1.4506287569018197E-11</v>
      </c>
      <c r="BC13" s="15">
        <f>IFERROR((up_dir!AD13/(up_Bv!D13+s_MLF_asparagus)),".")</f>
        <v>1.4506287569018197E-11</v>
      </c>
      <c r="BD13" s="15">
        <f>IFERROR((up_dir!AE13/(up_Bv!E13+s_MLF_beet)),".")</f>
        <v>1.4506287569018197E-11</v>
      </c>
      <c r="BE13" s="15">
        <f>IFERROR((up_dir!AF13/(up_Bv!F13+s_MLF_berries)),".")</f>
        <v>1.4506287569018197E-11</v>
      </c>
      <c r="BF13" s="15">
        <f>IFERROR((up_dir!AG13/(up_Bv!G13+s_MLF_broccoli)),".")</f>
        <v>1.4506287569018197E-11</v>
      </c>
      <c r="BG13" s="15">
        <f>IFERROR((up_dir!AH13/(up_Bv!H13+s_MLF_cabbage)),".")</f>
        <v>1.4506287569018197E-11</v>
      </c>
      <c r="BH13" s="15">
        <f>IFERROR((up_dir!AI13/(up_Bv!I13+s_MLF_carrot)),".")</f>
        <v>1.4506287569018197E-11</v>
      </c>
      <c r="BI13" s="15">
        <f>IFERROR((up_dir!AJ13/(up_Bv!J13+s_MLF_citrus)),".")</f>
        <v>1.4506287569018197E-11</v>
      </c>
      <c r="BJ13" s="15">
        <f>IFERROR((up_dir!AK13/(up_Bv!K13+s_MLF_corn)),".")</f>
        <v>1.4506287569018197E-11</v>
      </c>
      <c r="BK13" s="15">
        <f>IFERROR((up_dir!AL13/(up_Bv!L13+s_MLF_cucumber)),".")</f>
        <v>1.4506287569018197E-11</v>
      </c>
      <c r="BL13" s="15">
        <f>IFERROR((up_dir!AM13/(up_Bv!M13+s_MLF_lettuce)),".")</f>
        <v>1.4506287569018197E-11</v>
      </c>
      <c r="BM13" s="15">
        <f>IFERROR((up_dir!AN13/(up_Bv!N13+s_MLF_lima_bean)),".")</f>
        <v>1.4506287569018197E-11</v>
      </c>
      <c r="BN13" s="15">
        <f>IFERROR((up_dir!AO13/(up_Bv!O13+s_MLF_okra)),".")</f>
        <v>1.4506287569018197E-11</v>
      </c>
      <c r="BO13" s="15">
        <f>IFERROR((up_dir!AP13/(up_Bv!P13+s_MLF_onion)),".")</f>
        <v>1.4506287569018197E-11</v>
      </c>
      <c r="BP13" s="15">
        <f>IFERROR((up_dir!AQ13/(up_Bv!Q13+s_MLF_peach)),".")</f>
        <v>1.4506287569018197E-11</v>
      </c>
      <c r="BQ13" s="15">
        <f>IFERROR((up_dir!AR13/(up_Bv!R13+s_MLF_pear)),".")</f>
        <v>1.4506287569018197E-11</v>
      </c>
      <c r="BR13" s="15">
        <f>IFERROR((up_dir!AS13/(up_Bv!S13+s_MLF_peas)),".")</f>
        <v>1.4506287569018197E-11</v>
      </c>
      <c r="BS13" s="15">
        <f>IFERROR((up_dir!AT13/(up_Bv!T13+s_MLF_potato)),".")</f>
        <v>1.4506287569018197E-11</v>
      </c>
      <c r="BT13" s="15">
        <f>IFERROR((up_dir!AU13/(up_Bv!U13+s_MLF_pumpkin)),".")</f>
        <v>1.4506287569018197E-11</v>
      </c>
      <c r="BU13" s="15">
        <f>IFERROR((up_dir!AV13/(up_Bv!V13+s_MLF_snap_bean)),".")</f>
        <v>1.4506287569018197E-11</v>
      </c>
      <c r="BV13" s="15">
        <f>IFERROR((up_dir!AW13/(up_Bv!W13+s_MLF_strawberry)),".")</f>
        <v>1.4506287569018197E-11</v>
      </c>
      <c r="BW13" s="15">
        <f>IFERROR((up_dir!AX13/(up_Bv!X13+s_MLF_tomato)),".")</f>
        <v>1.4506287569018197E-11</v>
      </c>
      <c r="BX13" s="15">
        <f>IFERROR((up_dir!AY13/(up_Bv!Y13+s_MLF_rice)),".")</f>
        <v>1.4506287569018197E-11</v>
      </c>
      <c r="BY13" s="15">
        <f>IFERROR((up_dir!AZ13/(up_Bv!Z13+s_MLF_cereal)),".")</f>
        <v>1.4506287569018197E-11</v>
      </c>
      <c r="BZ13" s="40">
        <f t="shared" si="3"/>
        <v>275742.5</v>
      </c>
      <c r="CA13" s="40">
        <f>IFERROR(s_C*(up_Bv!C13+s_MLF_apple)*s_IFAP_far_adj*s_CF_apple,".")</f>
        <v>68935.625</v>
      </c>
      <c r="CB13" s="40">
        <f>IFERROR(s_C*(up_Bv!D13+s_MLF_asparagus)*s_IFAS_far_adj*s_CF_asparagus,".")</f>
        <v>68935.625</v>
      </c>
      <c r="CC13" s="40">
        <f>IFERROR(s_C*(up_Bv!E13+s_MLF_beet)*s_IFBT_far_adj*s_CF_beet,".")</f>
        <v>68935.625</v>
      </c>
      <c r="CD13" s="40">
        <f>IFERROR(s_C*(up_Bv!F13+s_MLF_berries)*s_IFBR_far_adj*s_CF_berries,".")</f>
        <v>68935.625</v>
      </c>
      <c r="CE13" s="40">
        <f>IFERROR(s_C*(up_Bv!G13+s_MLF_broccoli)*s_IFBR_far_adj*s_CF_broccoli,".")</f>
        <v>68935.625</v>
      </c>
      <c r="CF13" s="40">
        <f>IFERROR(s_C*(up_Bv!H13+s_MLF_cabbage)*s_IFCB_far_adj*s_CF_cabbage,".")</f>
        <v>68935.625</v>
      </c>
      <c r="CG13" s="40">
        <f>IFERROR(s_C*(up_Bv!I13+s_MLF_carrot)*s_IFCR_far_adj*s_CF_carrot,".")</f>
        <v>68935.625</v>
      </c>
      <c r="CH13" s="40">
        <f>IFERROR(s_C*(up_Bv!J13+s_MLF_citrus)*s_IFCI_far_adj*s_CF_citrus,".")</f>
        <v>68935.625</v>
      </c>
      <c r="CI13" s="40">
        <f>IFERROR(s_C*(up_Bv!K13+s_MLF_corn)*s_IFCO_far_adj*s_CF_corn,".")</f>
        <v>68935.625</v>
      </c>
      <c r="CJ13" s="40">
        <f>IFERROR(s_C*(up_Bv!L13+s_MLF_cucumber)*s_IFCU_far_adj*s_CF_cucumber,".")</f>
        <v>68935.625</v>
      </c>
      <c r="CK13" s="40">
        <f>IFERROR(s_C*(up_Bv!M13+s_MLF_lettuce)*s_IFLE_far_adj*s_CF_lettuce,".")</f>
        <v>68935.625</v>
      </c>
      <c r="CL13" s="40">
        <f>IFERROR(s_C*(up_Bv!N13+s_MLF_lima_bean)*s_IFLI_far_adj*s_CF_lima_bean,".")</f>
        <v>68935.625</v>
      </c>
      <c r="CM13" s="40">
        <f>IFERROR(s_C*(up_Bv!O13+s_MLF_okra)*s_IFOK_far_adj*s_CF_okra,".")</f>
        <v>68935.625</v>
      </c>
      <c r="CN13" s="40">
        <f>IFERROR(s_C*(up_Bv!P13+s_MLF_onion)*s_IFON_far_adj*s_CF_onion,".")</f>
        <v>68935.625</v>
      </c>
      <c r="CO13" s="40">
        <f>IFERROR(s_C*(up_Bv!Q13+s_MLF_peach)*s_IFPC_far_adj*s_CF_peach,".")</f>
        <v>68935.625</v>
      </c>
      <c r="CP13" s="40">
        <f>IFERROR(s_C*(up_Bv!R13+s_MLF_pear)*s_IFPR_far_adj*s_CF_pear,".")</f>
        <v>68935.625</v>
      </c>
      <c r="CQ13" s="40">
        <f>IFERROR(s_C*(up_Bv!S13+s_MLF_peas)*s_IFPE_far_adj*s_CF_peas,".")</f>
        <v>68935.625</v>
      </c>
      <c r="CR13" s="40">
        <f>IFERROR(s_C*(up_Bv!T13+s_MLF_potato)*s_IFPT_far_adj*s_CF_potato,".")</f>
        <v>68935.625</v>
      </c>
      <c r="CS13" s="40">
        <f>IFERROR(s_C*(up_Bv!U13+s_MLF_pumpkin)*s_IFPU_far_adj*s_CF_pumpkin,".")</f>
        <v>68935.625</v>
      </c>
      <c r="CT13" s="40">
        <f>IFERROR(s_C*(up_Bv!V13+s_MLF_snap_bean)*s_IFSN_far_adj*s_CF_snap_bean,".")</f>
        <v>68935.625</v>
      </c>
      <c r="CU13" s="40">
        <f>IFERROR(s_C*(up_Bv!W13+s_MLF_strawberry)*s_IFST_far_adj*s_CF_strawberry,".")</f>
        <v>68935.625</v>
      </c>
      <c r="CV13" s="40">
        <f>IFERROR(s_C*(up_Bv!X13+s_MLF_tomato)*s_IFTO_far_adj*s_CF_tomato,".")</f>
        <v>68935.625</v>
      </c>
      <c r="CW13" s="40">
        <f>IFERROR(s_C*(up_Bv!Y13+s_MLF_rice)*s_IFRI_far_adj*s_CF_rice,".")</f>
        <v>68935.625</v>
      </c>
      <c r="CX13" s="40">
        <f>IFERROR(s_C*(up_Bv!Z13+s_MLF_cereal)*s_IFCG_far_adj*s_CF_cereal,".")</f>
        <v>68935.625</v>
      </c>
    </row>
    <row r="14" spans="1:102" ht="15" customHeight="1" x14ac:dyDescent="0.25">
      <c r="A14" s="44" t="s">
        <v>24</v>
      </c>
      <c r="B14" s="42" t="s">
        <v>1074</v>
      </c>
      <c r="C14" s="117">
        <f t="shared" si="0"/>
        <v>3.6265718922545492E-12</v>
      </c>
      <c r="D14" s="117">
        <f>IFERROR((up_dir!D14/(up_Bv!C14+s_MLF_apple)),".")</f>
        <v>1.4506287569018197E-11</v>
      </c>
      <c r="E14" s="117">
        <f>IFERROR((up_dir!E14/(up_Bv!D14+s_MLF_asparagus)),".")</f>
        <v>1.4506287569018197E-11</v>
      </c>
      <c r="F14" s="117">
        <f>IFERROR((up_dir!F14/(up_Bv!E14+s_MLF_beet)),".")</f>
        <v>1.4506287569018197E-11</v>
      </c>
      <c r="G14" s="117">
        <f>IFERROR((up_dir!G14/(up_Bv!F14+s_MLF_berries)),".")</f>
        <v>1.4506287569018197E-11</v>
      </c>
      <c r="H14" s="117">
        <f>IFERROR((up_dir!H14/(up_Bv!G14+s_MLF_broccoli)),".")</f>
        <v>1.4506287569018197E-11</v>
      </c>
      <c r="I14" s="117">
        <f>IFERROR((up_dir!I14/(up_Bv!H14+s_MLF_cabbage)),".")</f>
        <v>1.4506287569018197E-11</v>
      </c>
      <c r="J14" s="117">
        <f>IFERROR((up_dir!J14/(up_Bv!I14+s_MLF_carrot)),".")</f>
        <v>1.4506287569018197E-11</v>
      </c>
      <c r="K14" s="117">
        <f>IFERROR((up_dir!K14/(up_Bv!J14+s_MLF_citrus)),".")</f>
        <v>1.4506287569018197E-11</v>
      </c>
      <c r="L14" s="117">
        <f>IFERROR((up_dir!L14/(up_Bv!K14+s_MLF_corn)),".")</f>
        <v>1.4506287569018197E-11</v>
      </c>
      <c r="M14" s="117">
        <f>IFERROR((up_dir!M14/(up_Bv!L14+s_MLF_cucumber)),".")</f>
        <v>1.4506287569018197E-11</v>
      </c>
      <c r="N14" s="117">
        <f>IFERROR((up_dir!N14/(up_Bv!M14+s_MLF_lettuce)),".")</f>
        <v>1.4506287569018197E-11</v>
      </c>
      <c r="O14" s="117">
        <f>IFERROR((up_dir!O14/(up_Bv!N14+s_MLF_lima_bean)),".")</f>
        <v>1.4506287569018197E-11</v>
      </c>
      <c r="P14" s="117">
        <f>IFERROR((up_dir!P14/(up_Bv!O14+s_MLF_okra)),".")</f>
        <v>1.4506287569018197E-11</v>
      </c>
      <c r="Q14" s="117">
        <f>IFERROR((up_dir!Q14/(up_Bv!P14+s_MLF_onion)),".")</f>
        <v>1.4506287569018197E-11</v>
      </c>
      <c r="R14" s="117">
        <f>IFERROR((up_dir!R14/(up_Bv!Q14+s_MLF_peach)),".")</f>
        <v>1.4506287569018197E-11</v>
      </c>
      <c r="S14" s="117">
        <f>IFERROR((up_dir!S14/(up_Bv!R14+s_MLF_pear)),".")</f>
        <v>1.4506287569018197E-11</v>
      </c>
      <c r="T14" s="117">
        <f>IFERROR((up_dir!T14/(up_Bv!S14+s_MLF_peas)),".")</f>
        <v>1.4506287569018197E-11</v>
      </c>
      <c r="U14" s="117">
        <f>IFERROR((up_dir!U14/(up_Bv!T14+s_MLF_potato)),".")</f>
        <v>1.4506287569018197E-11</v>
      </c>
      <c r="V14" s="117">
        <f>IFERROR((up_dir!V14/(up_Bv!U14+s_MLF_pumpkin)),".")</f>
        <v>1.4506287569018197E-11</v>
      </c>
      <c r="W14" s="117">
        <f>IFERROR((up_dir!W14/(up_Bv!V14+s_MLF_snap_bean)),".")</f>
        <v>1.4506287569018197E-11</v>
      </c>
      <c r="X14" s="117">
        <f>IFERROR((up_dir!X14/(up_Bv!W14+s_MLF_strawberry)),".")</f>
        <v>1.4506287569018197E-11</v>
      </c>
      <c r="Y14" s="117">
        <f>IFERROR((up_dir!Y14/(up_Bv!X14+s_MLF_tomato)),".")</f>
        <v>1.4506287569018197E-11</v>
      </c>
      <c r="Z14" s="117">
        <f>IFERROR((up_dir!Z14/(up_Bv!Y14+s_MLF_rice)),".")</f>
        <v>1.4506287569018197E-11</v>
      </c>
      <c r="AA14" s="117">
        <f>IFERROR((up_dir!AA14/(up_Bv!Z14+s_MLF_cereal)),".")</f>
        <v>1.4506287569018197E-11</v>
      </c>
      <c r="AB14" s="40">
        <f t="shared" si="2"/>
        <v>275742.5</v>
      </c>
      <c r="AC14" s="40">
        <f>s_C*(up_Bv!C14+s_MLF_apple)*s_IFAP_res_adj*s_CF_apple</f>
        <v>68935.625</v>
      </c>
      <c r="AD14" s="40">
        <f>s_C*(up_Bv!D14+s_MLF_asparagus)*s_IFAS_res_adj*s_CF_asparagus</f>
        <v>68935.625</v>
      </c>
      <c r="AE14" s="40">
        <f>s_C*(up_Bv!E14+s_MLF_beet)*s_IFBT_res_adj*s_CF_beet</f>
        <v>68935.625</v>
      </c>
      <c r="AF14" s="40">
        <f>s_C*(up_Bv!F14+s_MLF_berries)*s_IFBE_res_adj*s_CF_berries</f>
        <v>68935.625</v>
      </c>
      <c r="AG14" s="40">
        <f>s_C*(up_Bv!G14+s_MLF_broccoli)*s_IFBR_res_adj*s_CF_broccoli</f>
        <v>68935.625</v>
      </c>
      <c r="AH14" s="40">
        <f>s_C*(up_Bv!H14+s_MLF_cabbage)*s_IFCB_res_adj*s_CF_cabbage</f>
        <v>68935.625</v>
      </c>
      <c r="AI14" s="40">
        <f>s_C*(up_Bv!I14+s_MLF_carrot)*s_IFCR_res_adj*s_CF_carrot</f>
        <v>68935.625</v>
      </c>
      <c r="AJ14" s="40">
        <f>s_C*(up_Bv!J14+s_MLF_citrus)*s_IFCI_res_adj*s_CF_citrus</f>
        <v>68935.625</v>
      </c>
      <c r="AK14" s="40">
        <f>s_C*(up_Bv!K14+s_MLF_corn)*s_IFCO_res_adj*s_CF_corn</f>
        <v>68935.625</v>
      </c>
      <c r="AL14" s="40">
        <f>s_C*(up_Bv!L14+s_MLF_cucumber)*s_IFCU_res_adj*s_CF_cucumber</f>
        <v>68935.625</v>
      </c>
      <c r="AM14" s="40">
        <f>s_C*(up_Bv!M14+s_MLF_lettuce)*s_IFLE_res_adj*s_CF_lettuce</f>
        <v>68935.625</v>
      </c>
      <c r="AN14" s="40">
        <f>s_C*(up_Bv!N14+s_MLF_lima_bean)*s_IFLI_res_adj*s_CF_lima_bean</f>
        <v>68935.625</v>
      </c>
      <c r="AO14" s="40">
        <f>s_C*(up_Bv!O14+s_MLF_okra)*s_IFOK_res_adj*s_CF_okra</f>
        <v>68935.625</v>
      </c>
      <c r="AP14" s="40">
        <f>s_C*(up_Bv!P14+s_MLF_onion)*s_IFON_res_adj*s_CF_onion</f>
        <v>68935.625</v>
      </c>
      <c r="AQ14" s="40">
        <f>s_C*(up_Bv!Q14+s_MLF_peach)*s_IFPC_res_adj*s_CF_peach</f>
        <v>68935.625</v>
      </c>
      <c r="AR14" s="40">
        <f>s_C*(up_Bv!R14+s_MLF_pear)*s_IFPR_res_adj*s_CF_pear</f>
        <v>68935.625</v>
      </c>
      <c r="AS14" s="40">
        <f>s_C*(up_Bv!S14+s_MLF_peas)*s_IFPE_res_adj*s_CF_peas</f>
        <v>68935.625</v>
      </c>
      <c r="AT14" s="40">
        <f>s_C*(up_Bv!T14+s_MLF_potato)*s_IFPT_res_adj*s_CF_potato</f>
        <v>68935.625</v>
      </c>
      <c r="AU14" s="40">
        <f>s_C*(up_Bv!U14+s_MLF_pumpkin)*s_IFPU_res_adj*s_CF_pumpkin</f>
        <v>68935.625</v>
      </c>
      <c r="AV14" s="40">
        <f>s_C*(up_Bv!V14+s_MLF_snap_bean)*s_IFSN_res_adj*s_CF_snap_bean</f>
        <v>68935.625</v>
      </c>
      <c r="AW14" s="40">
        <f>s_C*(up_Bv!W14+s_MLF_strawberry)*s_IFST_res_adj*s_CF_strawberry</f>
        <v>68935.625</v>
      </c>
      <c r="AX14" s="40">
        <f>s_C*(up_Bv!X14+s_MLF_tomato)*s_IFTO_res_adj*s_CF_tomato</f>
        <v>68935.625</v>
      </c>
      <c r="AY14" s="40">
        <f>s_C*(up_Bv!Y14+s_MLF_rice)*s_IFRI_res_adj*s_CF_rice</f>
        <v>68935.625</v>
      </c>
      <c r="AZ14" s="40">
        <f>s_C*(up_Bv!Z14+s_MLF_cereal)*s_IFCG_res_adj*s_CF_cereal</f>
        <v>68935.625</v>
      </c>
      <c r="BA14" s="15">
        <f t="shared" si="1"/>
        <v>3.6265718922545492E-12</v>
      </c>
      <c r="BB14" s="15">
        <f>IFERROR((up_dir!AC14/(up_Bv!C14+s_MLF_apple)),".")</f>
        <v>1.4506287569018197E-11</v>
      </c>
      <c r="BC14" s="15">
        <f>IFERROR((up_dir!AD14/(up_Bv!D14+s_MLF_asparagus)),".")</f>
        <v>1.4506287569018197E-11</v>
      </c>
      <c r="BD14" s="15">
        <f>IFERROR((up_dir!AE14/(up_Bv!E14+s_MLF_beet)),".")</f>
        <v>1.4506287569018197E-11</v>
      </c>
      <c r="BE14" s="15">
        <f>IFERROR((up_dir!AF14/(up_Bv!F14+s_MLF_berries)),".")</f>
        <v>1.4506287569018197E-11</v>
      </c>
      <c r="BF14" s="15">
        <f>IFERROR((up_dir!AG14/(up_Bv!G14+s_MLF_broccoli)),".")</f>
        <v>1.4506287569018197E-11</v>
      </c>
      <c r="BG14" s="15">
        <f>IFERROR((up_dir!AH14/(up_Bv!H14+s_MLF_cabbage)),".")</f>
        <v>1.4506287569018197E-11</v>
      </c>
      <c r="BH14" s="15">
        <f>IFERROR((up_dir!AI14/(up_Bv!I14+s_MLF_carrot)),".")</f>
        <v>1.4506287569018197E-11</v>
      </c>
      <c r="BI14" s="15">
        <f>IFERROR((up_dir!AJ14/(up_Bv!J14+s_MLF_citrus)),".")</f>
        <v>1.4506287569018197E-11</v>
      </c>
      <c r="BJ14" s="15">
        <f>IFERROR((up_dir!AK14/(up_Bv!K14+s_MLF_corn)),".")</f>
        <v>1.4506287569018197E-11</v>
      </c>
      <c r="BK14" s="15">
        <f>IFERROR((up_dir!AL14/(up_Bv!L14+s_MLF_cucumber)),".")</f>
        <v>1.4506287569018197E-11</v>
      </c>
      <c r="BL14" s="15">
        <f>IFERROR((up_dir!AM14/(up_Bv!M14+s_MLF_lettuce)),".")</f>
        <v>1.4506287569018197E-11</v>
      </c>
      <c r="BM14" s="15">
        <f>IFERROR((up_dir!AN14/(up_Bv!N14+s_MLF_lima_bean)),".")</f>
        <v>1.4506287569018197E-11</v>
      </c>
      <c r="BN14" s="15">
        <f>IFERROR((up_dir!AO14/(up_Bv!O14+s_MLF_okra)),".")</f>
        <v>1.4506287569018197E-11</v>
      </c>
      <c r="BO14" s="15">
        <f>IFERROR((up_dir!AP14/(up_Bv!P14+s_MLF_onion)),".")</f>
        <v>1.4506287569018197E-11</v>
      </c>
      <c r="BP14" s="15">
        <f>IFERROR((up_dir!AQ14/(up_Bv!Q14+s_MLF_peach)),".")</f>
        <v>1.4506287569018197E-11</v>
      </c>
      <c r="BQ14" s="15">
        <f>IFERROR((up_dir!AR14/(up_Bv!R14+s_MLF_pear)),".")</f>
        <v>1.4506287569018197E-11</v>
      </c>
      <c r="BR14" s="15">
        <f>IFERROR((up_dir!AS14/(up_Bv!S14+s_MLF_peas)),".")</f>
        <v>1.4506287569018197E-11</v>
      </c>
      <c r="BS14" s="15">
        <f>IFERROR((up_dir!AT14/(up_Bv!T14+s_MLF_potato)),".")</f>
        <v>1.4506287569018197E-11</v>
      </c>
      <c r="BT14" s="15">
        <f>IFERROR((up_dir!AU14/(up_Bv!U14+s_MLF_pumpkin)),".")</f>
        <v>1.4506287569018197E-11</v>
      </c>
      <c r="BU14" s="15">
        <f>IFERROR((up_dir!AV14/(up_Bv!V14+s_MLF_snap_bean)),".")</f>
        <v>1.4506287569018197E-11</v>
      </c>
      <c r="BV14" s="15">
        <f>IFERROR((up_dir!AW14/(up_Bv!W14+s_MLF_strawberry)),".")</f>
        <v>1.4506287569018197E-11</v>
      </c>
      <c r="BW14" s="15">
        <f>IFERROR((up_dir!AX14/(up_Bv!X14+s_MLF_tomato)),".")</f>
        <v>1.4506287569018197E-11</v>
      </c>
      <c r="BX14" s="15">
        <f>IFERROR((up_dir!AY14/(up_Bv!Y14+s_MLF_rice)),".")</f>
        <v>1.4506287569018197E-11</v>
      </c>
      <c r="BY14" s="15">
        <f>IFERROR((up_dir!AZ14/(up_Bv!Z14+s_MLF_cereal)),".")</f>
        <v>1.4506287569018197E-11</v>
      </c>
      <c r="BZ14" s="40">
        <f t="shared" si="3"/>
        <v>275742.5</v>
      </c>
      <c r="CA14" s="40">
        <f>IFERROR(s_C*(up_Bv!C14+s_MLF_apple)*s_IFAP_far_adj*s_CF_apple,".")</f>
        <v>68935.625</v>
      </c>
      <c r="CB14" s="40">
        <f>IFERROR(s_C*(up_Bv!D14+s_MLF_asparagus)*s_IFAS_far_adj*s_CF_asparagus,".")</f>
        <v>68935.625</v>
      </c>
      <c r="CC14" s="40">
        <f>IFERROR(s_C*(up_Bv!E14+s_MLF_beet)*s_IFBT_far_adj*s_CF_beet,".")</f>
        <v>68935.625</v>
      </c>
      <c r="CD14" s="40">
        <f>IFERROR(s_C*(up_Bv!F14+s_MLF_berries)*s_IFBR_far_adj*s_CF_berries,".")</f>
        <v>68935.625</v>
      </c>
      <c r="CE14" s="40">
        <f>IFERROR(s_C*(up_Bv!G14+s_MLF_broccoli)*s_IFBR_far_adj*s_CF_broccoli,".")</f>
        <v>68935.625</v>
      </c>
      <c r="CF14" s="40">
        <f>IFERROR(s_C*(up_Bv!H14+s_MLF_cabbage)*s_IFCB_far_adj*s_CF_cabbage,".")</f>
        <v>68935.625</v>
      </c>
      <c r="CG14" s="40">
        <f>IFERROR(s_C*(up_Bv!I14+s_MLF_carrot)*s_IFCR_far_adj*s_CF_carrot,".")</f>
        <v>68935.625</v>
      </c>
      <c r="CH14" s="40">
        <f>IFERROR(s_C*(up_Bv!J14+s_MLF_citrus)*s_IFCI_far_adj*s_CF_citrus,".")</f>
        <v>68935.625</v>
      </c>
      <c r="CI14" s="40">
        <f>IFERROR(s_C*(up_Bv!K14+s_MLF_corn)*s_IFCO_far_adj*s_CF_corn,".")</f>
        <v>68935.625</v>
      </c>
      <c r="CJ14" s="40">
        <f>IFERROR(s_C*(up_Bv!L14+s_MLF_cucumber)*s_IFCU_far_adj*s_CF_cucumber,".")</f>
        <v>68935.625</v>
      </c>
      <c r="CK14" s="40">
        <f>IFERROR(s_C*(up_Bv!M14+s_MLF_lettuce)*s_IFLE_far_adj*s_CF_lettuce,".")</f>
        <v>68935.625</v>
      </c>
      <c r="CL14" s="40">
        <f>IFERROR(s_C*(up_Bv!N14+s_MLF_lima_bean)*s_IFLI_far_adj*s_CF_lima_bean,".")</f>
        <v>68935.625</v>
      </c>
      <c r="CM14" s="40">
        <f>IFERROR(s_C*(up_Bv!O14+s_MLF_okra)*s_IFOK_far_adj*s_CF_okra,".")</f>
        <v>68935.625</v>
      </c>
      <c r="CN14" s="40">
        <f>IFERROR(s_C*(up_Bv!P14+s_MLF_onion)*s_IFON_far_adj*s_CF_onion,".")</f>
        <v>68935.625</v>
      </c>
      <c r="CO14" s="40">
        <f>IFERROR(s_C*(up_Bv!Q14+s_MLF_peach)*s_IFPC_far_adj*s_CF_peach,".")</f>
        <v>68935.625</v>
      </c>
      <c r="CP14" s="40">
        <f>IFERROR(s_C*(up_Bv!R14+s_MLF_pear)*s_IFPR_far_adj*s_CF_pear,".")</f>
        <v>68935.625</v>
      </c>
      <c r="CQ14" s="40">
        <f>IFERROR(s_C*(up_Bv!S14+s_MLF_peas)*s_IFPE_far_adj*s_CF_peas,".")</f>
        <v>68935.625</v>
      </c>
      <c r="CR14" s="40">
        <f>IFERROR(s_C*(up_Bv!T14+s_MLF_potato)*s_IFPT_far_adj*s_CF_potato,".")</f>
        <v>68935.625</v>
      </c>
      <c r="CS14" s="40">
        <f>IFERROR(s_C*(up_Bv!U14+s_MLF_pumpkin)*s_IFPU_far_adj*s_CF_pumpkin,".")</f>
        <v>68935.625</v>
      </c>
      <c r="CT14" s="40">
        <f>IFERROR(s_C*(up_Bv!V14+s_MLF_snap_bean)*s_IFSN_far_adj*s_CF_snap_bean,".")</f>
        <v>68935.625</v>
      </c>
      <c r="CU14" s="40">
        <f>IFERROR(s_C*(up_Bv!W14+s_MLF_strawberry)*s_IFST_far_adj*s_CF_strawberry,".")</f>
        <v>68935.625</v>
      </c>
      <c r="CV14" s="40">
        <f>IFERROR(s_C*(up_Bv!X14+s_MLF_tomato)*s_IFTO_far_adj*s_CF_tomato,".")</f>
        <v>68935.625</v>
      </c>
      <c r="CW14" s="40">
        <f>IFERROR(s_C*(up_Bv!Y14+s_MLF_rice)*s_IFRI_far_adj*s_CF_rice,".")</f>
        <v>68935.625</v>
      </c>
      <c r="CX14" s="40">
        <f>IFERROR(s_C*(up_Bv!Z14+s_MLF_cereal)*s_IFCG_far_adj*s_CF_cereal,".")</f>
        <v>68935.625</v>
      </c>
    </row>
    <row r="15" spans="1:102" ht="15" customHeight="1" x14ac:dyDescent="0.25">
      <c r="A15" s="44" t="s">
        <v>25</v>
      </c>
      <c r="B15" s="42" t="s">
        <v>1074</v>
      </c>
      <c r="C15" s="117">
        <f t="shared" si="0"/>
        <v>3.6265718922545492E-12</v>
      </c>
      <c r="D15" s="117">
        <f>IFERROR((up_dir!D15/(up_Bv!C15+s_MLF_apple)),".")</f>
        <v>1.4506287569018197E-11</v>
      </c>
      <c r="E15" s="117">
        <f>IFERROR((up_dir!E15/(up_Bv!D15+s_MLF_asparagus)),".")</f>
        <v>1.4506287569018197E-11</v>
      </c>
      <c r="F15" s="117">
        <f>IFERROR((up_dir!F15/(up_Bv!E15+s_MLF_beet)),".")</f>
        <v>1.4506287569018197E-11</v>
      </c>
      <c r="G15" s="117">
        <f>IFERROR((up_dir!G15/(up_Bv!F15+s_MLF_berries)),".")</f>
        <v>1.4506287569018197E-11</v>
      </c>
      <c r="H15" s="117">
        <f>IFERROR((up_dir!H15/(up_Bv!G15+s_MLF_broccoli)),".")</f>
        <v>1.4506287569018197E-11</v>
      </c>
      <c r="I15" s="117">
        <f>IFERROR((up_dir!I15/(up_Bv!H15+s_MLF_cabbage)),".")</f>
        <v>1.4506287569018197E-11</v>
      </c>
      <c r="J15" s="117">
        <f>IFERROR((up_dir!J15/(up_Bv!I15+s_MLF_carrot)),".")</f>
        <v>1.4506287569018197E-11</v>
      </c>
      <c r="K15" s="117">
        <f>IFERROR((up_dir!K15/(up_Bv!J15+s_MLF_citrus)),".")</f>
        <v>1.4506287569018197E-11</v>
      </c>
      <c r="L15" s="117">
        <f>IFERROR((up_dir!L15/(up_Bv!K15+s_MLF_corn)),".")</f>
        <v>1.4506287569018197E-11</v>
      </c>
      <c r="M15" s="117">
        <f>IFERROR((up_dir!M15/(up_Bv!L15+s_MLF_cucumber)),".")</f>
        <v>1.4506287569018197E-11</v>
      </c>
      <c r="N15" s="117">
        <f>IFERROR((up_dir!N15/(up_Bv!M15+s_MLF_lettuce)),".")</f>
        <v>1.4506287569018197E-11</v>
      </c>
      <c r="O15" s="117">
        <f>IFERROR((up_dir!O15/(up_Bv!N15+s_MLF_lima_bean)),".")</f>
        <v>1.4506287569018197E-11</v>
      </c>
      <c r="P15" s="117">
        <f>IFERROR((up_dir!P15/(up_Bv!O15+s_MLF_okra)),".")</f>
        <v>1.4506287569018197E-11</v>
      </c>
      <c r="Q15" s="117">
        <f>IFERROR((up_dir!Q15/(up_Bv!P15+s_MLF_onion)),".")</f>
        <v>1.4506287569018197E-11</v>
      </c>
      <c r="R15" s="117">
        <f>IFERROR((up_dir!R15/(up_Bv!Q15+s_MLF_peach)),".")</f>
        <v>1.4506287569018197E-11</v>
      </c>
      <c r="S15" s="117">
        <f>IFERROR((up_dir!S15/(up_Bv!R15+s_MLF_pear)),".")</f>
        <v>1.4506287569018197E-11</v>
      </c>
      <c r="T15" s="117">
        <f>IFERROR((up_dir!T15/(up_Bv!S15+s_MLF_peas)),".")</f>
        <v>1.4506287569018197E-11</v>
      </c>
      <c r="U15" s="117">
        <f>IFERROR((up_dir!U15/(up_Bv!T15+s_MLF_potato)),".")</f>
        <v>1.4506287569018197E-11</v>
      </c>
      <c r="V15" s="117">
        <f>IFERROR((up_dir!V15/(up_Bv!U15+s_MLF_pumpkin)),".")</f>
        <v>1.4506287569018197E-11</v>
      </c>
      <c r="W15" s="117">
        <f>IFERROR((up_dir!W15/(up_Bv!V15+s_MLF_snap_bean)),".")</f>
        <v>1.4506287569018197E-11</v>
      </c>
      <c r="X15" s="117">
        <f>IFERROR((up_dir!X15/(up_Bv!W15+s_MLF_strawberry)),".")</f>
        <v>1.4506287569018197E-11</v>
      </c>
      <c r="Y15" s="117">
        <f>IFERROR((up_dir!Y15/(up_Bv!X15+s_MLF_tomato)),".")</f>
        <v>1.4506287569018197E-11</v>
      </c>
      <c r="Z15" s="117">
        <f>IFERROR((up_dir!Z15/(up_Bv!Y15+s_MLF_rice)),".")</f>
        <v>1.4506287569018197E-11</v>
      </c>
      <c r="AA15" s="117">
        <f>IFERROR((up_dir!AA15/(up_Bv!Z15+s_MLF_cereal)),".")</f>
        <v>1.4506287569018197E-11</v>
      </c>
      <c r="AB15" s="40">
        <f t="shared" si="2"/>
        <v>275742.5</v>
      </c>
      <c r="AC15" s="40">
        <f>s_C*(up_Bv!C15+s_MLF_apple)*s_IFAP_res_adj*s_CF_apple</f>
        <v>68935.625</v>
      </c>
      <c r="AD15" s="40">
        <f>s_C*(up_Bv!D15+s_MLF_asparagus)*s_IFAS_res_adj*s_CF_asparagus</f>
        <v>68935.625</v>
      </c>
      <c r="AE15" s="40">
        <f>s_C*(up_Bv!E15+s_MLF_beet)*s_IFBT_res_adj*s_CF_beet</f>
        <v>68935.625</v>
      </c>
      <c r="AF15" s="40">
        <f>s_C*(up_Bv!F15+s_MLF_berries)*s_IFBE_res_adj*s_CF_berries</f>
        <v>68935.625</v>
      </c>
      <c r="AG15" s="40">
        <f>s_C*(up_Bv!G15+s_MLF_broccoli)*s_IFBR_res_adj*s_CF_broccoli</f>
        <v>68935.625</v>
      </c>
      <c r="AH15" s="40">
        <f>s_C*(up_Bv!H15+s_MLF_cabbage)*s_IFCB_res_adj*s_CF_cabbage</f>
        <v>68935.625</v>
      </c>
      <c r="AI15" s="40">
        <f>s_C*(up_Bv!I15+s_MLF_carrot)*s_IFCR_res_adj*s_CF_carrot</f>
        <v>68935.625</v>
      </c>
      <c r="AJ15" s="40">
        <f>s_C*(up_Bv!J15+s_MLF_citrus)*s_IFCI_res_adj*s_CF_citrus</f>
        <v>68935.625</v>
      </c>
      <c r="AK15" s="40">
        <f>s_C*(up_Bv!K15+s_MLF_corn)*s_IFCO_res_adj*s_CF_corn</f>
        <v>68935.625</v>
      </c>
      <c r="AL15" s="40">
        <f>s_C*(up_Bv!L15+s_MLF_cucumber)*s_IFCU_res_adj*s_CF_cucumber</f>
        <v>68935.625</v>
      </c>
      <c r="AM15" s="40">
        <f>s_C*(up_Bv!M15+s_MLF_lettuce)*s_IFLE_res_adj*s_CF_lettuce</f>
        <v>68935.625</v>
      </c>
      <c r="AN15" s="40">
        <f>s_C*(up_Bv!N15+s_MLF_lima_bean)*s_IFLI_res_adj*s_CF_lima_bean</f>
        <v>68935.625</v>
      </c>
      <c r="AO15" s="40">
        <f>s_C*(up_Bv!O15+s_MLF_okra)*s_IFOK_res_adj*s_CF_okra</f>
        <v>68935.625</v>
      </c>
      <c r="AP15" s="40">
        <f>s_C*(up_Bv!P15+s_MLF_onion)*s_IFON_res_adj*s_CF_onion</f>
        <v>68935.625</v>
      </c>
      <c r="AQ15" s="40">
        <f>s_C*(up_Bv!Q15+s_MLF_peach)*s_IFPC_res_adj*s_CF_peach</f>
        <v>68935.625</v>
      </c>
      <c r="AR15" s="40">
        <f>s_C*(up_Bv!R15+s_MLF_pear)*s_IFPR_res_adj*s_CF_pear</f>
        <v>68935.625</v>
      </c>
      <c r="AS15" s="40">
        <f>s_C*(up_Bv!S15+s_MLF_peas)*s_IFPE_res_adj*s_CF_peas</f>
        <v>68935.625</v>
      </c>
      <c r="AT15" s="40">
        <f>s_C*(up_Bv!T15+s_MLF_potato)*s_IFPT_res_adj*s_CF_potato</f>
        <v>68935.625</v>
      </c>
      <c r="AU15" s="40">
        <f>s_C*(up_Bv!U15+s_MLF_pumpkin)*s_IFPU_res_adj*s_CF_pumpkin</f>
        <v>68935.625</v>
      </c>
      <c r="AV15" s="40">
        <f>s_C*(up_Bv!V15+s_MLF_snap_bean)*s_IFSN_res_adj*s_CF_snap_bean</f>
        <v>68935.625</v>
      </c>
      <c r="AW15" s="40">
        <f>s_C*(up_Bv!W15+s_MLF_strawberry)*s_IFST_res_adj*s_CF_strawberry</f>
        <v>68935.625</v>
      </c>
      <c r="AX15" s="40">
        <f>s_C*(up_Bv!X15+s_MLF_tomato)*s_IFTO_res_adj*s_CF_tomato</f>
        <v>68935.625</v>
      </c>
      <c r="AY15" s="40">
        <f>s_C*(up_Bv!Y15+s_MLF_rice)*s_IFRI_res_adj*s_CF_rice</f>
        <v>68935.625</v>
      </c>
      <c r="AZ15" s="40">
        <f>s_C*(up_Bv!Z15+s_MLF_cereal)*s_IFCG_res_adj*s_CF_cereal</f>
        <v>68935.625</v>
      </c>
      <c r="BA15" s="15">
        <f t="shared" si="1"/>
        <v>3.6265718922545492E-12</v>
      </c>
      <c r="BB15" s="15">
        <f>IFERROR((up_dir!AC15/(up_Bv!C15+s_MLF_apple)),".")</f>
        <v>1.4506287569018197E-11</v>
      </c>
      <c r="BC15" s="15">
        <f>IFERROR((up_dir!AD15/(up_Bv!D15+s_MLF_asparagus)),".")</f>
        <v>1.4506287569018197E-11</v>
      </c>
      <c r="BD15" s="15">
        <f>IFERROR((up_dir!AE15/(up_Bv!E15+s_MLF_beet)),".")</f>
        <v>1.4506287569018197E-11</v>
      </c>
      <c r="BE15" s="15">
        <f>IFERROR((up_dir!AF15/(up_Bv!F15+s_MLF_berries)),".")</f>
        <v>1.4506287569018197E-11</v>
      </c>
      <c r="BF15" s="15">
        <f>IFERROR((up_dir!AG15/(up_Bv!G15+s_MLF_broccoli)),".")</f>
        <v>1.4506287569018197E-11</v>
      </c>
      <c r="BG15" s="15">
        <f>IFERROR((up_dir!AH15/(up_Bv!H15+s_MLF_cabbage)),".")</f>
        <v>1.4506287569018197E-11</v>
      </c>
      <c r="BH15" s="15">
        <f>IFERROR((up_dir!AI15/(up_Bv!I15+s_MLF_carrot)),".")</f>
        <v>1.4506287569018197E-11</v>
      </c>
      <c r="BI15" s="15">
        <f>IFERROR((up_dir!AJ15/(up_Bv!J15+s_MLF_citrus)),".")</f>
        <v>1.4506287569018197E-11</v>
      </c>
      <c r="BJ15" s="15">
        <f>IFERROR((up_dir!AK15/(up_Bv!K15+s_MLF_corn)),".")</f>
        <v>1.4506287569018197E-11</v>
      </c>
      <c r="BK15" s="15">
        <f>IFERROR((up_dir!AL15/(up_Bv!L15+s_MLF_cucumber)),".")</f>
        <v>1.4506287569018197E-11</v>
      </c>
      <c r="BL15" s="15">
        <f>IFERROR((up_dir!AM15/(up_Bv!M15+s_MLF_lettuce)),".")</f>
        <v>1.4506287569018197E-11</v>
      </c>
      <c r="BM15" s="15">
        <f>IFERROR((up_dir!AN15/(up_Bv!N15+s_MLF_lima_bean)),".")</f>
        <v>1.4506287569018197E-11</v>
      </c>
      <c r="BN15" s="15">
        <f>IFERROR((up_dir!AO15/(up_Bv!O15+s_MLF_okra)),".")</f>
        <v>1.4506287569018197E-11</v>
      </c>
      <c r="BO15" s="15">
        <f>IFERROR((up_dir!AP15/(up_Bv!P15+s_MLF_onion)),".")</f>
        <v>1.4506287569018197E-11</v>
      </c>
      <c r="BP15" s="15">
        <f>IFERROR((up_dir!AQ15/(up_Bv!Q15+s_MLF_peach)),".")</f>
        <v>1.4506287569018197E-11</v>
      </c>
      <c r="BQ15" s="15">
        <f>IFERROR((up_dir!AR15/(up_Bv!R15+s_MLF_pear)),".")</f>
        <v>1.4506287569018197E-11</v>
      </c>
      <c r="BR15" s="15">
        <f>IFERROR((up_dir!AS15/(up_Bv!S15+s_MLF_peas)),".")</f>
        <v>1.4506287569018197E-11</v>
      </c>
      <c r="BS15" s="15">
        <f>IFERROR((up_dir!AT15/(up_Bv!T15+s_MLF_potato)),".")</f>
        <v>1.4506287569018197E-11</v>
      </c>
      <c r="BT15" s="15">
        <f>IFERROR((up_dir!AU15/(up_Bv!U15+s_MLF_pumpkin)),".")</f>
        <v>1.4506287569018197E-11</v>
      </c>
      <c r="BU15" s="15">
        <f>IFERROR((up_dir!AV15/(up_Bv!V15+s_MLF_snap_bean)),".")</f>
        <v>1.4506287569018197E-11</v>
      </c>
      <c r="BV15" s="15">
        <f>IFERROR((up_dir!AW15/(up_Bv!W15+s_MLF_strawberry)),".")</f>
        <v>1.4506287569018197E-11</v>
      </c>
      <c r="BW15" s="15">
        <f>IFERROR((up_dir!AX15/(up_Bv!X15+s_MLF_tomato)),".")</f>
        <v>1.4506287569018197E-11</v>
      </c>
      <c r="BX15" s="15">
        <f>IFERROR((up_dir!AY15/(up_Bv!Y15+s_MLF_rice)),".")</f>
        <v>1.4506287569018197E-11</v>
      </c>
      <c r="BY15" s="15">
        <f>IFERROR((up_dir!AZ15/(up_Bv!Z15+s_MLF_cereal)),".")</f>
        <v>1.4506287569018197E-11</v>
      </c>
      <c r="BZ15" s="40">
        <f t="shared" si="3"/>
        <v>275742.5</v>
      </c>
      <c r="CA15" s="40">
        <f>IFERROR(s_C*(up_Bv!C15+s_MLF_apple)*s_IFAP_far_adj*s_CF_apple,".")</f>
        <v>68935.625</v>
      </c>
      <c r="CB15" s="40">
        <f>IFERROR(s_C*(up_Bv!D15+s_MLF_asparagus)*s_IFAS_far_adj*s_CF_asparagus,".")</f>
        <v>68935.625</v>
      </c>
      <c r="CC15" s="40">
        <f>IFERROR(s_C*(up_Bv!E15+s_MLF_beet)*s_IFBT_far_adj*s_CF_beet,".")</f>
        <v>68935.625</v>
      </c>
      <c r="CD15" s="40">
        <f>IFERROR(s_C*(up_Bv!F15+s_MLF_berries)*s_IFBR_far_adj*s_CF_berries,".")</f>
        <v>68935.625</v>
      </c>
      <c r="CE15" s="40">
        <f>IFERROR(s_C*(up_Bv!G15+s_MLF_broccoli)*s_IFBR_far_adj*s_CF_broccoli,".")</f>
        <v>68935.625</v>
      </c>
      <c r="CF15" s="40">
        <f>IFERROR(s_C*(up_Bv!H15+s_MLF_cabbage)*s_IFCB_far_adj*s_CF_cabbage,".")</f>
        <v>68935.625</v>
      </c>
      <c r="CG15" s="40">
        <f>IFERROR(s_C*(up_Bv!I15+s_MLF_carrot)*s_IFCR_far_adj*s_CF_carrot,".")</f>
        <v>68935.625</v>
      </c>
      <c r="CH15" s="40">
        <f>IFERROR(s_C*(up_Bv!J15+s_MLF_citrus)*s_IFCI_far_adj*s_CF_citrus,".")</f>
        <v>68935.625</v>
      </c>
      <c r="CI15" s="40">
        <f>IFERROR(s_C*(up_Bv!K15+s_MLF_corn)*s_IFCO_far_adj*s_CF_corn,".")</f>
        <v>68935.625</v>
      </c>
      <c r="CJ15" s="40">
        <f>IFERROR(s_C*(up_Bv!L15+s_MLF_cucumber)*s_IFCU_far_adj*s_CF_cucumber,".")</f>
        <v>68935.625</v>
      </c>
      <c r="CK15" s="40">
        <f>IFERROR(s_C*(up_Bv!M15+s_MLF_lettuce)*s_IFLE_far_adj*s_CF_lettuce,".")</f>
        <v>68935.625</v>
      </c>
      <c r="CL15" s="40">
        <f>IFERROR(s_C*(up_Bv!N15+s_MLF_lima_bean)*s_IFLI_far_adj*s_CF_lima_bean,".")</f>
        <v>68935.625</v>
      </c>
      <c r="CM15" s="40">
        <f>IFERROR(s_C*(up_Bv!O15+s_MLF_okra)*s_IFOK_far_adj*s_CF_okra,".")</f>
        <v>68935.625</v>
      </c>
      <c r="CN15" s="40">
        <f>IFERROR(s_C*(up_Bv!P15+s_MLF_onion)*s_IFON_far_adj*s_CF_onion,".")</f>
        <v>68935.625</v>
      </c>
      <c r="CO15" s="40">
        <f>IFERROR(s_C*(up_Bv!Q15+s_MLF_peach)*s_IFPC_far_adj*s_CF_peach,".")</f>
        <v>68935.625</v>
      </c>
      <c r="CP15" s="40">
        <f>IFERROR(s_C*(up_Bv!R15+s_MLF_pear)*s_IFPR_far_adj*s_CF_pear,".")</f>
        <v>68935.625</v>
      </c>
      <c r="CQ15" s="40">
        <f>IFERROR(s_C*(up_Bv!S15+s_MLF_peas)*s_IFPE_far_adj*s_CF_peas,".")</f>
        <v>68935.625</v>
      </c>
      <c r="CR15" s="40">
        <f>IFERROR(s_C*(up_Bv!T15+s_MLF_potato)*s_IFPT_far_adj*s_CF_potato,".")</f>
        <v>68935.625</v>
      </c>
      <c r="CS15" s="40">
        <f>IFERROR(s_C*(up_Bv!U15+s_MLF_pumpkin)*s_IFPU_far_adj*s_CF_pumpkin,".")</f>
        <v>68935.625</v>
      </c>
      <c r="CT15" s="40">
        <f>IFERROR(s_C*(up_Bv!V15+s_MLF_snap_bean)*s_IFSN_far_adj*s_CF_snap_bean,".")</f>
        <v>68935.625</v>
      </c>
      <c r="CU15" s="40">
        <f>IFERROR(s_C*(up_Bv!W15+s_MLF_strawberry)*s_IFST_far_adj*s_CF_strawberry,".")</f>
        <v>68935.625</v>
      </c>
      <c r="CV15" s="40">
        <f>IFERROR(s_C*(up_Bv!X15+s_MLF_tomato)*s_IFTO_far_adj*s_CF_tomato,".")</f>
        <v>68935.625</v>
      </c>
      <c r="CW15" s="40">
        <f>IFERROR(s_C*(up_Bv!Y15+s_MLF_rice)*s_IFRI_far_adj*s_CF_rice,".")</f>
        <v>68935.625</v>
      </c>
      <c r="CX15" s="40">
        <f>IFERROR(s_C*(up_Bv!Z15+s_MLF_cereal)*s_IFCG_far_adj*s_CF_cereal,".")</f>
        <v>68935.625</v>
      </c>
    </row>
    <row r="16" spans="1:102" ht="15" customHeight="1" x14ac:dyDescent="0.25">
      <c r="A16" s="44" t="s">
        <v>26</v>
      </c>
      <c r="B16" s="42" t="s">
        <v>1074</v>
      </c>
      <c r="C16" s="117">
        <f t="shared" si="0"/>
        <v>3.6265718922545492E-12</v>
      </c>
      <c r="D16" s="117">
        <f>IFERROR((up_dir!D16/(up_Bv!C16+s_MLF_apple)),".")</f>
        <v>1.4506287569018197E-11</v>
      </c>
      <c r="E16" s="117">
        <f>IFERROR((up_dir!E16/(up_Bv!D16+s_MLF_asparagus)),".")</f>
        <v>1.4506287569018197E-11</v>
      </c>
      <c r="F16" s="117">
        <f>IFERROR((up_dir!F16/(up_Bv!E16+s_MLF_beet)),".")</f>
        <v>1.4506287569018197E-11</v>
      </c>
      <c r="G16" s="117">
        <f>IFERROR((up_dir!G16/(up_Bv!F16+s_MLF_berries)),".")</f>
        <v>1.4506287569018197E-11</v>
      </c>
      <c r="H16" s="117">
        <f>IFERROR((up_dir!H16/(up_Bv!G16+s_MLF_broccoli)),".")</f>
        <v>1.4506287569018197E-11</v>
      </c>
      <c r="I16" s="117">
        <f>IFERROR((up_dir!I16/(up_Bv!H16+s_MLF_cabbage)),".")</f>
        <v>1.4506287569018197E-11</v>
      </c>
      <c r="J16" s="117">
        <f>IFERROR((up_dir!J16/(up_Bv!I16+s_MLF_carrot)),".")</f>
        <v>1.4506287569018197E-11</v>
      </c>
      <c r="K16" s="117">
        <f>IFERROR((up_dir!K16/(up_Bv!J16+s_MLF_citrus)),".")</f>
        <v>1.4506287569018197E-11</v>
      </c>
      <c r="L16" s="117">
        <f>IFERROR((up_dir!L16/(up_Bv!K16+s_MLF_corn)),".")</f>
        <v>1.4506287569018197E-11</v>
      </c>
      <c r="M16" s="117">
        <f>IFERROR((up_dir!M16/(up_Bv!L16+s_MLF_cucumber)),".")</f>
        <v>1.4506287569018197E-11</v>
      </c>
      <c r="N16" s="117">
        <f>IFERROR((up_dir!N16/(up_Bv!M16+s_MLF_lettuce)),".")</f>
        <v>1.4506287569018197E-11</v>
      </c>
      <c r="O16" s="117">
        <f>IFERROR((up_dir!O16/(up_Bv!N16+s_MLF_lima_bean)),".")</f>
        <v>1.4506287569018197E-11</v>
      </c>
      <c r="P16" s="117">
        <f>IFERROR((up_dir!P16/(up_Bv!O16+s_MLF_okra)),".")</f>
        <v>1.4506287569018197E-11</v>
      </c>
      <c r="Q16" s="117">
        <f>IFERROR((up_dir!Q16/(up_Bv!P16+s_MLF_onion)),".")</f>
        <v>1.4506287569018197E-11</v>
      </c>
      <c r="R16" s="117">
        <f>IFERROR((up_dir!R16/(up_Bv!Q16+s_MLF_peach)),".")</f>
        <v>1.4506287569018197E-11</v>
      </c>
      <c r="S16" s="117">
        <f>IFERROR((up_dir!S16/(up_Bv!R16+s_MLF_pear)),".")</f>
        <v>1.4506287569018197E-11</v>
      </c>
      <c r="T16" s="117">
        <f>IFERROR((up_dir!T16/(up_Bv!S16+s_MLF_peas)),".")</f>
        <v>1.4506287569018197E-11</v>
      </c>
      <c r="U16" s="117">
        <f>IFERROR((up_dir!U16/(up_Bv!T16+s_MLF_potato)),".")</f>
        <v>1.4506287569018197E-11</v>
      </c>
      <c r="V16" s="117">
        <f>IFERROR((up_dir!V16/(up_Bv!U16+s_MLF_pumpkin)),".")</f>
        <v>1.4506287569018197E-11</v>
      </c>
      <c r="W16" s="117">
        <f>IFERROR((up_dir!W16/(up_Bv!V16+s_MLF_snap_bean)),".")</f>
        <v>1.4506287569018197E-11</v>
      </c>
      <c r="X16" s="117">
        <f>IFERROR((up_dir!X16/(up_Bv!W16+s_MLF_strawberry)),".")</f>
        <v>1.4506287569018197E-11</v>
      </c>
      <c r="Y16" s="117">
        <f>IFERROR((up_dir!Y16/(up_Bv!X16+s_MLF_tomato)),".")</f>
        <v>1.4506287569018197E-11</v>
      </c>
      <c r="Z16" s="117">
        <f>IFERROR((up_dir!Z16/(up_Bv!Y16+s_MLF_rice)),".")</f>
        <v>1.4506287569018197E-11</v>
      </c>
      <c r="AA16" s="117">
        <f>IFERROR((up_dir!AA16/(up_Bv!Z16+s_MLF_cereal)),".")</f>
        <v>1.4506287569018197E-11</v>
      </c>
      <c r="AB16" s="40">
        <f t="shared" si="2"/>
        <v>275742.5</v>
      </c>
      <c r="AC16" s="40">
        <f>s_C*(up_Bv!C16+s_MLF_apple)*s_IFAP_res_adj*s_CF_apple</f>
        <v>68935.625</v>
      </c>
      <c r="AD16" s="40">
        <f>s_C*(up_Bv!D16+s_MLF_asparagus)*s_IFAS_res_adj*s_CF_asparagus</f>
        <v>68935.625</v>
      </c>
      <c r="AE16" s="40">
        <f>s_C*(up_Bv!E16+s_MLF_beet)*s_IFBT_res_adj*s_CF_beet</f>
        <v>68935.625</v>
      </c>
      <c r="AF16" s="40">
        <f>s_C*(up_Bv!F16+s_MLF_berries)*s_IFBE_res_adj*s_CF_berries</f>
        <v>68935.625</v>
      </c>
      <c r="AG16" s="40">
        <f>s_C*(up_Bv!G16+s_MLF_broccoli)*s_IFBR_res_adj*s_CF_broccoli</f>
        <v>68935.625</v>
      </c>
      <c r="AH16" s="40">
        <f>s_C*(up_Bv!H16+s_MLF_cabbage)*s_IFCB_res_adj*s_CF_cabbage</f>
        <v>68935.625</v>
      </c>
      <c r="AI16" s="40">
        <f>s_C*(up_Bv!I16+s_MLF_carrot)*s_IFCR_res_adj*s_CF_carrot</f>
        <v>68935.625</v>
      </c>
      <c r="AJ16" s="40">
        <f>s_C*(up_Bv!J16+s_MLF_citrus)*s_IFCI_res_adj*s_CF_citrus</f>
        <v>68935.625</v>
      </c>
      <c r="AK16" s="40">
        <f>s_C*(up_Bv!K16+s_MLF_corn)*s_IFCO_res_adj*s_CF_corn</f>
        <v>68935.625</v>
      </c>
      <c r="AL16" s="40">
        <f>s_C*(up_Bv!L16+s_MLF_cucumber)*s_IFCU_res_adj*s_CF_cucumber</f>
        <v>68935.625</v>
      </c>
      <c r="AM16" s="40">
        <f>s_C*(up_Bv!M16+s_MLF_lettuce)*s_IFLE_res_adj*s_CF_lettuce</f>
        <v>68935.625</v>
      </c>
      <c r="AN16" s="40">
        <f>s_C*(up_Bv!N16+s_MLF_lima_bean)*s_IFLI_res_adj*s_CF_lima_bean</f>
        <v>68935.625</v>
      </c>
      <c r="AO16" s="40">
        <f>s_C*(up_Bv!O16+s_MLF_okra)*s_IFOK_res_adj*s_CF_okra</f>
        <v>68935.625</v>
      </c>
      <c r="AP16" s="40">
        <f>s_C*(up_Bv!P16+s_MLF_onion)*s_IFON_res_adj*s_CF_onion</f>
        <v>68935.625</v>
      </c>
      <c r="AQ16" s="40">
        <f>s_C*(up_Bv!Q16+s_MLF_peach)*s_IFPC_res_adj*s_CF_peach</f>
        <v>68935.625</v>
      </c>
      <c r="AR16" s="40">
        <f>s_C*(up_Bv!R16+s_MLF_pear)*s_IFPR_res_adj*s_CF_pear</f>
        <v>68935.625</v>
      </c>
      <c r="AS16" s="40">
        <f>s_C*(up_Bv!S16+s_MLF_peas)*s_IFPE_res_adj*s_CF_peas</f>
        <v>68935.625</v>
      </c>
      <c r="AT16" s="40">
        <f>s_C*(up_Bv!T16+s_MLF_potato)*s_IFPT_res_adj*s_CF_potato</f>
        <v>68935.625</v>
      </c>
      <c r="AU16" s="40">
        <f>s_C*(up_Bv!U16+s_MLF_pumpkin)*s_IFPU_res_adj*s_CF_pumpkin</f>
        <v>68935.625</v>
      </c>
      <c r="AV16" s="40">
        <f>s_C*(up_Bv!V16+s_MLF_snap_bean)*s_IFSN_res_adj*s_CF_snap_bean</f>
        <v>68935.625</v>
      </c>
      <c r="AW16" s="40">
        <f>s_C*(up_Bv!W16+s_MLF_strawberry)*s_IFST_res_adj*s_CF_strawberry</f>
        <v>68935.625</v>
      </c>
      <c r="AX16" s="40">
        <f>s_C*(up_Bv!X16+s_MLF_tomato)*s_IFTO_res_adj*s_CF_tomato</f>
        <v>68935.625</v>
      </c>
      <c r="AY16" s="40">
        <f>s_C*(up_Bv!Y16+s_MLF_rice)*s_IFRI_res_adj*s_CF_rice</f>
        <v>68935.625</v>
      </c>
      <c r="AZ16" s="40">
        <f>s_C*(up_Bv!Z16+s_MLF_cereal)*s_IFCG_res_adj*s_CF_cereal</f>
        <v>68935.625</v>
      </c>
      <c r="BA16" s="15">
        <f t="shared" si="1"/>
        <v>3.6265718922545492E-12</v>
      </c>
      <c r="BB16" s="15">
        <f>IFERROR((up_dir!AC16/(up_Bv!C16+s_MLF_apple)),".")</f>
        <v>1.4506287569018197E-11</v>
      </c>
      <c r="BC16" s="15">
        <f>IFERROR((up_dir!AD16/(up_Bv!D16+s_MLF_asparagus)),".")</f>
        <v>1.4506287569018197E-11</v>
      </c>
      <c r="BD16" s="15">
        <f>IFERROR((up_dir!AE16/(up_Bv!E16+s_MLF_beet)),".")</f>
        <v>1.4506287569018197E-11</v>
      </c>
      <c r="BE16" s="15">
        <f>IFERROR((up_dir!AF16/(up_Bv!F16+s_MLF_berries)),".")</f>
        <v>1.4506287569018197E-11</v>
      </c>
      <c r="BF16" s="15">
        <f>IFERROR((up_dir!AG16/(up_Bv!G16+s_MLF_broccoli)),".")</f>
        <v>1.4506287569018197E-11</v>
      </c>
      <c r="BG16" s="15">
        <f>IFERROR((up_dir!AH16/(up_Bv!H16+s_MLF_cabbage)),".")</f>
        <v>1.4506287569018197E-11</v>
      </c>
      <c r="BH16" s="15">
        <f>IFERROR((up_dir!AI16/(up_Bv!I16+s_MLF_carrot)),".")</f>
        <v>1.4506287569018197E-11</v>
      </c>
      <c r="BI16" s="15">
        <f>IFERROR((up_dir!AJ16/(up_Bv!J16+s_MLF_citrus)),".")</f>
        <v>1.4506287569018197E-11</v>
      </c>
      <c r="BJ16" s="15">
        <f>IFERROR((up_dir!AK16/(up_Bv!K16+s_MLF_corn)),".")</f>
        <v>1.4506287569018197E-11</v>
      </c>
      <c r="BK16" s="15">
        <f>IFERROR((up_dir!AL16/(up_Bv!L16+s_MLF_cucumber)),".")</f>
        <v>1.4506287569018197E-11</v>
      </c>
      <c r="BL16" s="15">
        <f>IFERROR((up_dir!AM16/(up_Bv!M16+s_MLF_lettuce)),".")</f>
        <v>1.4506287569018197E-11</v>
      </c>
      <c r="BM16" s="15">
        <f>IFERROR((up_dir!AN16/(up_Bv!N16+s_MLF_lima_bean)),".")</f>
        <v>1.4506287569018197E-11</v>
      </c>
      <c r="BN16" s="15">
        <f>IFERROR((up_dir!AO16/(up_Bv!O16+s_MLF_okra)),".")</f>
        <v>1.4506287569018197E-11</v>
      </c>
      <c r="BO16" s="15">
        <f>IFERROR((up_dir!AP16/(up_Bv!P16+s_MLF_onion)),".")</f>
        <v>1.4506287569018197E-11</v>
      </c>
      <c r="BP16" s="15">
        <f>IFERROR((up_dir!AQ16/(up_Bv!Q16+s_MLF_peach)),".")</f>
        <v>1.4506287569018197E-11</v>
      </c>
      <c r="BQ16" s="15">
        <f>IFERROR((up_dir!AR16/(up_Bv!R16+s_MLF_pear)),".")</f>
        <v>1.4506287569018197E-11</v>
      </c>
      <c r="BR16" s="15">
        <f>IFERROR((up_dir!AS16/(up_Bv!S16+s_MLF_peas)),".")</f>
        <v>1.4506287569018197E-11</v>
      </c>
      <c r="BS16" s="15">
        <f>IFERROR((up_dir!AT16/(up_Bv!T16+s_MLF_potato)),".")</f>
        <v>1.4506287569018197E-11</v>
      </c>
      <c r="BT16" s="15">
        <f>IFERROR((up_dir!AU16/(up_Bv!U16+s_MLF_pumpkin)),".")</f>
        <v>1.4506287569018197E-11</v>
      </c>
      <c r="BU16" s="15">
        <f>IFERROR((up_dir!AV16/(up_Bv!V16+s_MLF_snap_bean)),".")</f>
        <v>1.4506287569018197E-11</v>
      </c>
      <c r="BV16" s="15">
        <f>IFERROR((up_dir!AW16/(up_Bv!W16+s_MLF_strawberry)),".")</f>
        <v>1.4506287569018197E-11</v>
      </c>
      <c r="BW16" s="15">
        <f>IFERROR((up_dir!AX16/(up_Bv!X16+s_MLF_tomato)),".")</f>
        <v>1.4506287569018197E-11</v>
      </c>
      <c r="BX16" s="15">
        <f>IFERROR((up_dir!AY16/(up_Bv!Y16+s_MLF_rice)),".")</f>
        <v>1.4506287569018197E-11</v>
      </c>
      <c r="BY16" s="15">
        <f>IFERROR((up_dir!AZ16/(up_Bv!Z16+s_MLF_cereal)),".")</f>
        <v>1.4506287569018197E-11</v>
      </c>
      <c r="BZ16" s="40">
        <f t="shared" si="3"/>
        <v>275742.5</v>
      </c>
      <c r="CA16" s="40">
        <f>IFERROR(s_C*(up_Bv!C16+s_MLF_apple)*s_IFAP_far_adj*s_CF_apple,".")</f>
        <v>68935.625</v>
      </c>
      <c r="CB16" s="40">
        <f>IFERROR(s_C*(up_Bv!D16+s_MLF_asparagus)*s_IFAS_far_adj*s_CF_asparagus,".")</f>
        <v>68935.625</v>
      </c>
      <c r="CC16" s="40">
        <f>IFERROR(s_C*(up_Bv!E16+s_MLF_beet)*s_IFBT_far_adj*s_CF_beet,".")</f>
        <v>68935.625</v>
      </c>
      <c r="CD16" s="40">
        <f>IFERROR(s_C*(up_Bv!F16+s_MLF_berries)*s_IFBR_far_adj*s_CF_berries,".")</f>
        <v>68935.625</v>
      </c>
      <c r="CE16" s="40">
        <f>IFERROR(s_C*(up_Bv!G16+s_MLF_broccoli)*s_IFBR_far_adj*s_CF_broccoli,".")</f>
        <v>68935.625</v>
      </c>
      <c r="CF16" s="40">
        <f>IFERROR(s_C*(up_Bv!H16+s_MLF_cabbage)*s_IFCB_far_adj*s_CF_cabbage,".")</f>
        <v>68935.625</v>
      </c>
      <c r="CG16" s="40">
        <f>IFERROR(s_C*(up_Bv!I16+s_MLF_carrot)*s_IFCR_far_adj*s_CF_carrot,".")</f>
        <v>68935.625</v>
      </c>
      <c r="CH16" s="40">
        <f>IFERROR(s_C*(up_Bv!J16+s_MLF_citrus)*s_IFCI_far_adj*s_CF_citrus,".")</f>
        <v>68935.625</v>
      </c>
      <c r="CI16" s="40">
        <f>IFERROR(s_C*(up_Bv!K16+s_MLF_corn)*s_IFCO_far_adj*s_CF_corn,".")</f>
        <v>68935.625</v>
      </c>
      <c r="CJ16" s="40">
        <f>IFERROR(s_C*(up_Bv!L16+s_MLF_cucumber)*s_IFCU_far_adj*s_CF_cucumber,".")</f>
        <v>68935.625</v>
      </c>
      <c r="CK16" s="40">
        <f>IFERROR(s_C*(up_Bv!M16+s_MLF_lettuce)*s_IFLE_far_adj*s_CF_lettuce,".")</f>
        <v>68935.625</v>
      </c>
      <c r="CL16" s="40">
        <f>IFERROR(s_C*(up_Bv!N16+s_MLF_lima_bean)*s_IFLI_far_adj*s_CF_lima_bean,".")</f>
        <v>68935.625</v>
      </c>
      <c r="CM16" s="40">
        <f>IFERROR(s_C*(up_Bv!O16+s_MLF_okra)*s_IFOK_far_adj*s_CF_okra,".")</f>
        <v>68935.625</v>
      </c>
      <c r="CN16" s="40">
        <f>IFERROR(s_C*(up_Bv!P16+s_MLF_onion)*s_IFON_far_adj*s_CF_onion,".")</f>
        <v>68935.625</v>
      </c>
      <c r="CO16" s="40">
        <f>IFERROR(s_C*(up_Bv!Q16+s_MLF_peach)*s_IFPC_far_adj*s_CF_peach,".")</f>
        <v>68935.625</v>
      </c>
      <c r="CP16" s="40">
        <f>IFERROR(s_C*(up_Bv!R16+s_MLF_pear)*s_IFPR_far_adj*s_CF_pear,".")</f>
        <v>68935.625</v>
      </c>
      <c r="CQ16" s="40">
        <f>IFERROR(s_C*(up_Bv!S16+s_MLF_peas)*s_IFPE_far_adj*s_CF_peas,".")</f>
        <v>68935.625</v>
      </c>
      <c r="CR16" s="40">
        <f>IFERROR(s_C*(up_Bv!T16+s_MLF_potato)*s_IFPT_far_adj*s_CF_potato,".")</f>
        <v>68935.625</v>
      </c>
      <c r="CS16" s="40">
        <f>IFERROR(s_C*(up_Bv!U16+s_MLF_pumpkin)*s_IFPU_far_adj*s_CF_pumpkin,".")</f>
        <v>68935.625</v>
      </c>
      <c r="CT16" s="40">
        <f>IFERROR(s_C*(up_Bv!V16+s_MLF_snap_bean)*s_IFSN_far_adj*s_CF_snap_bean,".")</f>
        <v>68935.625</v>
      </c>
      <c r="CU16" s="40">
        <f>IFERROR(s_C*(up_Bv!W16+s_MLF_strawberry)*s_IFST_far_adj*s_CF_strawberry,".")</f>
        <v>68935.625</v>
      </c>
      <c r="CV16" s="40">
        <f>IFERROR(s_C*(up_Bv!X16+s_MLF_tomato)*s_IFTO_far_adj*s_CF_tomato,".")</f>
        <v>68935.625</v>
      </c>
      <c r="CW16" s="40">
        <f>IFERROR(s_C*(up_Bv!Y16+s_MLF_rice)*s_IFRI_far_adj*s_CF_rice,".")</f>
        <v>68935.625</v>
      </c>
      <c r="CX16" s="40">
        <f>IFERROR(s_C*(up_Bv!Z16+s_MLF_cereal)*s_IFCG_far_adj*s_CF_cereal,".")</f>
        <v>68935.625</v>
      </c>
    </row>
    <row r="17" spans="1:102" ht="15" customHeight="1" x14ac:dyDescent="0.25">
      <c r="A17" s="44" t="s">
        <v>27</v>
      </c>
      <c r="B17" s="42" t="s">
        <v>1074</v>
      </c>
      <c r="C17" s="117">
        <f t="shared" si="0"/>
        <v>3.6265718922545492E-12</v>
      </c>
      <c r="D17" s="117">
        <f>IFERROR((up_dir!D17/(up_Bv!C17+s_MLF_apple)),".")</f>
        <v>1.4506287569018197E-11</v>
      </c>
      <c r="E17" s="117">
        <f>IFERROR((up_dir!E17/(up_Bv!D17+s_MLF_asparagus)),".")</f>
        <v>1.4506287569018197E-11</v>
      </c>
      <c r="F17" s="117">
        <f>IFERROR((up_dir!F17/(up_Bv!E17+s_MLF_beet)),".")</f>
        <v>1.4506287569018197E-11</v>
      </c>
      <c r="G17" s="117">
        <f>IFERROR((up_dir!G17/(up_Bv!F17+s_MLF_berries)),".")</f>
        <v>1.4506287569018197E-11</v>
      </c>
      <c r="H17" s="117">
        <f>IFERROR((up_dir!H17/(up_Bv!G17+s_MLF_broccoli)),".")</f>
        <v>1.4506287569018197E-11</v>
      </c>
      <c r="I17" s="117">
        <f>IFERROR((up_dir!I17/(up_Bv!H17+s_MLF_cabbage)),".")</f>
        <v>1.4506287569018197E-11</v>
      </c>
      <c r="J17" s="117">
        <f>IFERROR((up_dir!J17/(up_Bv!I17+s_MLF_carrot)),".")</f>
        <v>1.4506287569018197E-11</v>
      </c>
      <c r="K17" s="117">
        <f>IFERROR((up_dir!K17/(up_Bv!J17+s_MLF_citrus)),".")</f>
        <v>1.4506287569018197E-11</v>
      </c>
      <c r="L17" s="117">
        <f>IFERROR((up_dir!L17/(up_Bv!K17+s_MLF_corn)),".")</f>
        <v>1.4506287569018197E-11</v>
      </c>
      <c r="M17" s="117">
        <f>IFERROR((up_dir!M17/(up_Bv!L17+s_MLF_cucumber)),".")</f>
        <v>1.4506287569018197E-11</v>
      </c>
      <c r="N17" s="117">
        <f>IFERROR((up_dir!N17/(up_Bv!M17+s_MLF_lettuce)),".")</f>
        <v>1.4506287569018197E-11</v>
      </c>
      <c r="O17" s="117">
        <f>IFERROR((up_dir!O17/(up_Bv!N17+s_MLF_lima_bean)),".")</f>
        <v>1.4506287569018197E-11</v>
      </c>
      <c r="P17" s="117">
        <f>IFERROR((up_dir!P17/(up_Bv!O17+s_MLF_okra)),".")</f>
        <v>1.4506287569018197E-11</v>
      </c>
      <c r="Q17" s="117">
        <f>IFERROR((up_dir!Q17/(up_Bv!P17+s_MLF_onion)),".")</f>
        <v>1.4506287569018197E-11</v>
      </c>
      <c r="R17" s="117">
        <f>IFERROR((up_dir!R17/(up_Bv!Q17+s_MLF_peach)),".")</f>
        <v>1.4506287569018197E-11</v>
      </c>
      <c r="S17" s="117">
        <f>IFERROR((up_dir!S17/(up_Bv!R17+s_MLF_pear)),".")</f>
        <v>1.4506287569018197E-11</v>
      </c>
      <c r="T17" s="117">
        <f>IFERROR((up_dir!T17/(up_Bv!S17+s_MLF_peas)),".")</f>
        <v>1.4506287569018197E-11</v>
      </c>
      <c r="U17" s="117">
        <f>IFERROR((up_dir!U17/(up_Bv!T17+s_MLF_potato)),".")</f>
        <v>1.4506287569018197E-11</v>
      </c>
      <c r="V17" s="117">
        <f>IFERROR((up_dir!V17/(up_Bv!U17+s_MLF_pumpkin)),".")</f>
        <v>1.4506287569018197E-11</v>
      </c>
      <c r="W17" s="117">
        <f>IFERROR((up_dir!W17/(up_Bv!V17+s_MLF_snap_bean)),".")</f>
        <v>1.4506287569018197E-11</v>
      </c>
      <c r="X17" s="117">
        <f>IFERROR((up_dir!X17/(up_Bv!W17+s_MLF_strawberry)),".")</f>
        <v>1.4506287569018197E-11</v>
      </c>
      <c r="Y17" s="117">
        <f>IFERROR((up_dir!Y17/(up_Bv!X17+s_MLF_tomato)),".")</f>
        <v>1.4506287569018197E-11</v>
      </c>
      <c r="Z17" s="117">
        <f>IFERROR((up_dir!Z17/(up_Bv!Y17+s_MLF_rice)),".")</f>
        <v>1.4506287569018197E-11</v>
      </c>
      <c r="AA17" s="117">
        <f>IFERROR((up_dir!AA17/(up_Bv!Z17+s_MLF_cereal)),".")</f>
        <v>1.4506287569018197E-11</v>
      </c>
      <c r="AB17" s="40">
        <f t="shared" si="2"/>
        <v>275742.5</v>
      </c>
      <c r="AC17" s="40">
        <f>s_C*(up_Bv!C17+s_MLF_apple)*s_IFAP_res_adj*s_CF_apple</f>
        <v>68935.625</v>
      </c>
      <c r="AD17" s="40">
        <f>s_C*(up_Bv!D17+s_MLF_asparagus)*s_IFAS_res_adj*s_CF_asparagus</f>
        <v>68935.625</v>
      </c>
      <c r="AE17" s="40">
        <f>s_C*(up_Bv!E17+s_MLF_beet)*s_IFBT_res_adj*s_CF_beet</f>
        <v>68935.625</v>
      </c>
      <c r="AF17" s="40">
        <f>s_C*(up_Bv!F17+s_MLF_berries)*s_IFBE_res_adj*s_CF_berries</f>
        <v>68935.625</v>
      </c>
      <c r="AG17" s="40">
        <f>s_C*(up_Bv!G17+s_MLF_broccoli)*s_IFBR_res_adj*s_CF_broccoli</f>
        <v>68935.625</v>
      </c>
      <c r="AH17" s="40">
        <f>s_C*(up_Bv!H17+s_MLF_cabbage)*s_IFCB_res_adj*s_CF_cabbage</f>
        <v>68935.625</v>
      </c>
      <c r="AI17" s="40">
        <f>s_C*(up_Bv!I17+s_MLF_carrot)*s_IFCR_res_adj*s_CF_carrot</f>
        <v>68935.625</v>
      </c>
      <c r="AJ17" s="40">
        <f>s_C*(up_Bv!J17+s_MLF_citrus)*s_IFCI_res_adj*s_CF_citrus</f>
        <v>68935.625</v>
      </c>
      <c r="AK17" s="40">
        <f>s_C*(up_Bv!K17+s_MLF_corn)*s_IFCO_res_adj*s_CF_corn</f>
        <v>68935.625</v>
      </c>
      <c r="AL17" s="40">
        <f>s_C*(up_Bv!L17+s_MLF_cucumber)*s_IFCU_res_adj*s_CF_cucumber</f>
        <v>68935.625</v>
      </c>
      <c r="AM17" s="40">
        <f>s_C*(up_Bv!M17+s_MLF_lettuce)*s_IFLE_res_adj*s_CF_lettuce</f>
        <v>68935.625</v>
      </c>
      <c r="AN17" s="40">
        <f>s_C*(up_Bv!N17+s_MLF_lima_bean)*s_IFLI_res_adj*s_CF_lima_bean</f>
        <v>68935.625</v>
      </c>
      <c r="AO17" s="40">
        <f>s_C*(up_Bv!O17+s_MLF_okra)*s_IFOK_res_adj*s_CF_okra</f>
        <v>68935.625</v>
      </c>
      <c r="AP17" s="40">
        <f>s_C*(up_Bv!P17+s_MLF_onion)*s_IFON_res_adj*s_CF_onion</f>
        <v>68935.625</v>
      </c>
      <c r="AQ17" s="40">
        <f>s_C*(up_Bv!Q17+s_MLF_peach)*s_IFPC_res_adj*s_CF_peach</f>
        <v>68935.625</v>
      </c>
      <c r="AR17" s="40">
        <f>s_C*(up_Bv!R17+s_MLF_pear)*s_IFPR_res_adj*s_CF_pear</f>
        <v>68935.625</v>
      </c>
      <c r="AS17" s="40">
        <f>s_C*(up_Bv!S17+s_MLF_peas)*s_IFPE_res_adj*s_CF_peas</f>
        <v>68935.625</v>
      </c>
      <c r="AT17" s="40">
        <f>s_C*(up_Bv!T17+s_MLF_potato)*s_IFPT_res_adj*s_CF_potato</f>
        <v>68935.625</v>
      </c>
      <c r="AU17" s="40">
        <f>s_C*(up_Bv!U17+s_MLF_pumpkin)*s_IFPU_res_adj*s_CF_pumpkin</f>
        <v>68935.625</v>
      </c>
      <c r="AV17" s="40">
        <f>s_C*(up_Bv!V17+s_MLF_snap_bean)*s_IFSN_res_adj*s_CF_snap_bean</f>
        <v>68935.625</v>
      </c>
      <c r="AW17" s="40">
        <f>s_C*(up_Bv!W17+s_MLF_strawberry)*s_IFST_res_adj*s_CF_strawberry</f>
        <v>68935.625</v>
      </c>
      <c r="AX17" s="40">
        <f>s_C*(up_Bv!X17+s_MLF_tomato)*s_IFTO_res_adj*s_CF_tomato</f>
        <v>68935.625</v>
      </c>
      <c r="AY17" s="40">
        <f>s_C*(up_Bv!Y17+s_MLF_rice)*s_IFRI_res_adj*s_CF_rice</f>
        <v>68935.625</v>
      </c>
      <c r="AZ17" s="40">
        <f>s_C*(up_Bv!Z17+s_MLF_cereal)*s_IFCG_res_adj*s_CF_cereal</f>
        <v>68935.625</v>
      </c>
      <c r="BA17" s="15">
        <f t="shared" si="1"/>
        <v>3.6265718922545492E-12</v>
      </c>
      <c r="BB17" s="15">
        <f>IFERROR((up_dir!AC17/(up_Bv!C17+s_MLF_apple)),".")</f>
        <v>1.4506287569018197E-11</v>
      </c>
      <c r="BC17" s="15">
        <f>IFERROR((up_dir!AD17/(up_Bv!D17+s_MLF_asparagus)),".")</f>
        <v>1.4506287569018197E-11</v>
      </c>
      <c r="BD17" s="15">
        <f>IFERROR((up_dir!AE17/(up_Bv!E17+s_MLF_beet)),".")</f>
        <v>1.4506287569018197E-11</v>
      </c>
      <c r="BE17" s="15">
        <f>IFERROR((up_dir!AF17/(up_Bv!F17+s_MLF_berries)),".")</f>
        <v>1.4506287569018197E-11</v>
      </c>
      <c r="BF17" s="15">
        <f>IFERROR((up_dir!AG17/(up_Bv!G17+s_MLF_broccoli)),".")</f>
        <v>1.4506287569018197E-11</v>
      </c>
      <c r="BG17" s="15">
        <f>IFERROR((up_dir!AH17/(up_Bv!H17+s_MLF_cabbage)),".")</f>
        <v>1.4506287569018197E-11</v>
      </c>
      <c r="BH17" s="15">
        <f>IFERROR((up_dir!AI17/(up_Bv!I17+s_MLF_carrot)),".")</f>
        <v>1.4506287569018197E-11</v>
      </c>
      <c r="BI17" s="15">
        <f>IFERROR((up_dir!AJ17/(up_Bv!J17+s_MLF_citrus)),".")</f>
        <v>1.4506287569018197E-11</v>
      </c>
      <c r="BJ17" s="15">
        <f>IFERROR((up_dir!AK17/(up_Bv!K17+s_MLF_corn)),".")</f>
        <v>1.4506287569018197E-11</v>
      </c>
      <c r="BK17" s="15">
        <f>IFERROR((up_dir!AL17/(up_Bv!L17+s_MLF_cucumber)),".")</f>
        <v>1.4506287569018197E-11</v>
      </c>
      <c r="BL17" s="15">
        <f>IFERROR((up_dir!AM17/(up_Bv!M17+s_MLF_lettuce)),".")</f>
        <v>1.4506287569018197E-11</v>
      </c>
      <c r="BM17" s="15">
        <f>IFERROR((up_dir!AN17/(up_Bv!N17+s_MLF_lima_bean)),".")</f>
        <v>1.4506287569018197E-11</v>
      </c>
      <c r="BN17" s="15">
        <f>IFERROR((up_dir!AO17/(up_Bv!O17+s_MLF_okra)),".")</f>
        <v>1.4506287569018197E-11</v>
      </c>
      <c r="BO17" s="15">
        <f>IFERROR((up_dir!AP17/(up_Bv!P17+s_MLF_onion)),".")</f>
        <v>1.4506287569018197E-11</v>
      </c>
      <c r="BP17" s="15">
        <f>IFERROR((up_dir!AQ17/(up_Bv!Q17+s_MLF_peach)),".")</f>
        <v>1.4506287569018197E-11</v>
      </c>
      <c r="BQ17" s="15">
        <f>IFERROR((up_dir!AR17/(up_Bv!R17+s_MLF_pear)),".")</f>
        <v>1.4506287569018197E-11</v>
      </c>
      <c r="BR17" s="15">
        <f>IFERROR((up_dir!AS17/(up_Bv!S17+s_MLF_peas)),".")</f>
        <v>1.4506287569018197E-11</v>
      </c>
      <c r="BS17" s="15">
        <f>IFERROR((up_dir!AT17/(up_Bv!T17+s_MLF_potato)),".")</f>
        <v>1.4506287569018197E-11</v>
      </c>
      <c r="BT17" s="15">
        <f>IFERROR((up_dir!AU17/(up_Bv!U17+s_MLF_pumpkin)),".")</f>
        <v>1.4506287569018197E-11</v>
      </c>
      <c r="BU17" s="15">
        <f>IFERROR((up_dir!AV17/(up_Bv!V17+s_MLF_snap_bean)),".")</f>
        <v>1.4506287569018197E-11</v>
      </c>
      <c r="BV17" s="15">
        <f>IFERROR((up_dir!AW17/(up_Bv!W17+s_MLF_strawberry)),".")</f>
        <v>1.4506287569018197E-11</v>
      </c>
      <c r="BW17" s="15">
        <f>IFERROR((up_dir!AX17/(up_Bv!X17+s_MLF_tomato)),".")</f>
        <v>1.4506287569018197E-11</v>
      </c>
      <c r="BX17" s="15">
        <f>IFERROR((up_dir!AY17/(up_Bv!Y17+s_MLF_rice)),".")</f>
        <v>1.4506287569018197E-11</v>
      </c>
      <c r="BY17" s="15">
        <f>IFERROR((up_dir!AZ17/(up_Bv!Z17+s_MLF_cereal)),".")</f>
        <v>1.4506287569018197E-11</v>
      </c>
      <c r="BZ17" s="40">
        <f t="shared" si="3"/>
        <v>275742.5</v>
      </c>
      <c r="CA17" s="40">
        <f>IFERROR(s_C*(up_Bv!C17+s_MLF_apple)*s_IFAP_far_adj*s_CF_apple,".")</f>
        <v>68935.625</v>
      </c>
      <c r="CB17" s="40">
        <f>IFERROR(s_C*(up_Bv!D17+s_MLF_asparagus)*s_IFAS_far_adj*s_CF_asparagus,".")</f>
        <v>68935.625</v>
      </c>
      <c r="CC17" s="40">
        <f>IFERROR(s_C*(up_Bv!E17+s_MLF_beet)*s_IFBT_far_adj*s_CF_beet,".")</f>
        <v>68935.625</v>
      </c>
      <c r="CD17" s="40">
        <f>IFERROR(s_C*(up_Bv!F17+s_MLF_berries)*s_IFBR_far_adj*s_CF_berries,".")</f>
        <v>68935.625</v>
      </c>
      <c r="CE17" s="40">
        <f>IFERROR(s_C*(up_Bv!G17+s_MLF_broccoli)*s_IFBR_far_adj*s_CF_broccoli,".")</f>
        <v>68935.625</v>
      </c>
      <c r="CF17" s="40">
        <f>IFERROR(s_C*(up_Bv!H17+s_MLF_cabbage)*s_IFCB_far_adj*s_CF_cabbage,".")</f>
        <v>68935.625</v>
      </c>
      <c r="CG17" s="40">
        <f>IFERROR(s_C*(up_Bv!I17+s_MLF_carrot)*s_IFCR_far_adj*s_CF_carrot,".")</f>
        <v>68935.625</v>
      </c>
      <c r="CH17" s="40">
        <f>IFERROR(s_C*(up_Bv!J17+s_MLF_citrus)*s_IFCI_far_adj*s_CF_citrus,".")</f>
        <v>68935.625</v>
      </c>
      <c r="CI17" s="40">
        <f>IFERROR(s_C*(up_Bv!K17+s_MLF_corn)*s_IFCO_far_adj*s_CF_corn,".")</f>
        <v>68935.625</v>
      </c>
      <c r="CJ17" s="40">
        <f>IFERROR(s_C*(up_Bv!L17+s_MLF_cucumber)*s_IFCU_far_adj*s_CF_cucumber,".")</f>
        <v>68935.625</v>
      </c>
      <c r="CK17" s="40">
        <f>IFERROR(s_C*(up_Bv!M17+s_MLF_lettuce)*s_IFLE_far_adj*s_CF_lettuce,".")</f>
        <v>68935.625</v>
      </c>
      <c r="CL17" s="40">
        <f>IFERROR(s_C*(up_Bv!N17+s_MLF_lima_bean)*s_IFLI_far_adj*s_CF_lima_bean,".")</f>
        <v>68935.625</v>
      </c>
      <c r="CM17" s="40">
        <f>IFERROR(s_C*(up_Bv!O17+s_MLF_okra)*s_IFOK_far_adj*s_CF_okra,".")</f>
        <v>68935.625</v>
      </c>
      <c r="CN17" s="40">
        <f>IFERROR(s_C*(up_Bv!P17+s_MLF_onion)*s_IFON_far_adj*s_CF_onion,".")</f>
        <v>68935.625</v>
      </c>
      <c r="CO17" s="40">
        <f>IFERROR(s_C*(up_Bv!Q17+s_MLF_peach)*s_IFPC_far_adj*s_CF_peach,".")</f>
        <v>68935.625</v>
      </c>
      <c r="CP17" s="40">
        <f>IFERROR(s_C*(up_Bv!R17+s_MLF_pear)*s_IFPR_far_adj*s_CF_pear,".")</f>
        <v>68935.625</v>
      </c>
      <c r="CQ17" s="40">
        <f>IFERROR(s_C*(up_Bv!S17+s_MLF_peas)*s_IFPE_far_adj*s_CF_peas,".")</f>
        <v>68935.625</v>
      </c>
      <c r="CR17" s="40">
        <f>IFERROR(s_C*(up_Bv!T17+s_MLF_potato)*s_IFPT_far_adj*s_CF_potato,".")</f>
        <v>68935.625</v>
      </c>
      <c r="CS17" s="40">
        <f>IFERROR(s_C*(up_Bv!U17+s_MLF_pumpkin)*s_IFPU_far_adj*s_CF_pumpkin,".")</f>
        <v>68935.625</v>
      </c>
      <c r="CT17" s="40">
        <f>IFERROR(s_C*(up_Bv!V17+s_MLF_snap_bean)*s_IFSN_far_adj*s_CF_snap_bean,".")</f>
        <v>68935.625</v>
      </c>
      <c r="CU17" s="40">
        <f>IFERROR(s_C*(up_Bv!W17+s_MLF_strawberry)*s_IFST_far_adj*s_CF_strawberry,".")</f>
        <v>68935.625</v>
      </c>
      <c r="CV17" s="40">
        <f>IFERROR(s_C*(up_Bv!X17+s_MLF_tomato)*s_IFTO_far_adj*s_CF_tomato,".")</f>
        <v>68935.625</v>
      </c>
      <c r="CW17" s="40">
        <f>IFERROR(s_C*(up_Bv!Y17+s_MLF_rice)*s_IFRI_far_adj*s_CF_rice,".")</f>
        <v>68935.625</v>
      </c>
      <c r="CX17" s="40">
        <f>IFERROR(s_C*(up_Bv!Z17+s_MLF_cereal)*s_IFCG_far_adj*s_CF_cereal,".")</f>
        <v>68935.625</v>
      </c>
    </row>
    <row r="18" spans="1:102" ht="15" customHeight="1" x14ac:dyDescent="0.25">
      <c r="A18" s="44" t="s">
        <v>28</v>
      </c>
      <c r="B18" s="42" t="s">
        <v>1074</v>
      </c>
      <c r="C18" s="117">
        <f t="shared" si="0"/>
        <v>3.6265718922545492E-12</v>
      </c>
      <c r="D18" s="117">
        <f>IFERROR((up_dir!D18/(up_Bv!C18+s_MLF_apple)),".")</f>
        <v>1.4506287569018197E-11</v>
      </c>
      <c r="E18" s="117">
        <f>IFERROR((up_dir!E18/(up_Bv!D18+s_MLF_asparagus)),".")</f>
        <v>1.4506287569018197E-11</v>
      </c>
      <c r="F18" s="117">
        <f>IFERROR((up_dir!F18/(up_Bv!E18+s_MLF_beet)),".")</f>
        <v>1.4506287569018197E-11</v>
      </c>
      <c r="G18" s="117">
        <f>IFERROR((up_dir!G18/(up_Bv!F18+s_MLF_berries)),".")</f>
        <v>1.4506287569018197E-11</v>
      </c>
      <c r="H18" s="117">
        <f>IFERROR((up_dir!H18/(up_Bv!G18+s_MLF_broccoli)),".")</f>
        <v>1.4506287569018197E-11</v>
      </c>
      <c r="I18" s="117">
        <f>IFERROR((up_dir!I18/(up_Bv!H18+s_MLF_cabbage)),".")</f>
        <v>1.4506287569018197E-11</v>
      </c>
      <c r="J18" s="117">
        <f>IFERROR((up_dir!J18/(up_Bv!I18+s_MLF_carrot)),".")</f>
        <v>1.4506287569018197E-11</v>
      </c>
      <c r="K18" s="117">
        <f>IFERROR((up_dir!K18/(up_Bv!J18+s_MLF_citrus)),".")</f>
        <v>1.4506287569018197E-11</v>
      </c>
      <c r="L18" s="117">
        <f>IFERROR((up_dir!L18/(up_Bv!K18+s_MLF_corn)),".")</f>
        <v>1.4506287569018197E-11</v>
      </c>
      <c r="M18" s="117">
        <f>IFERROR((up_dir!M18/(up_Bv!L18+s_MLF_cucumber)),".")</f>
        <v>1.4506287569018197E-11</v>
      </c>
      <c r="N18" s="117">
        <f>IFERROR((up_dir!N18/(up_Bv!M18+s_MLF_lettuce)),".")</f>
        <v>1.4506287569018197E-11</v>
      </c>
      <c r="O18" s="117">
        <f>IFERROR((up_dir!O18/(up_Bv!N18+s_MLF_lima_bean)),".")</f>
        <v>1.4506287569018197E-11</v>
      </c>
      <c r="P18" s="117">
        <f>IFERROR((up_dir!P18/(up_Bv!O18+s_MLF_okra)),".")</f>
        <v>1.4506287569018197E-11</v>
      </c>
      <c r="Q18" s="117">
        <f>IFERROR((up_dir!Q18/(up_Bv!P18+s_MLF_onion)),".")</f>
        <v>1.4506287569018197E-11</v>
      </c>
      <c r="R18" s="117">
        <f>IFERROR((up_dir!R18/(up_Bv!Q18+s_MLF_peach)),".")</f>
        <v>1.4506287569018197E-11</v>
      </c>
      <c r="S18" s="117">
        <f>IFERROR((up_dir!S18/(up_Bv!R18+s_MLF_pear)),".")</f>
        <v>1.4506287569018197E-11</v>
      </c>
      <c r="T18" s="117">
        <f>IFERROR((up_dir!T18/(up_Bv!S18+s_MLF_peas)),".")</f>
        <v>1.4506287569018197E-11</v>
      </c>
      <c r="U18" s="117">
        <f>IFERROR((up_dir!U18/(up_Bv!T18+s_MLF_potato)),".")</f>
        <v>1.4506287569018197E-11</v>
      </c>
      <c r="V18" s="117">
        <f>IFERROR((up_dir!V18/(up_Bv!U18+s_MLF_pumpkin)),".")</f>
        <v>1.4506287569018197E-11</v>
      </c>
      <c r="W18" s="117">
        <f>IFERROR((up_dir!W18/(up_Bv!V18+s_MLF_snap_bean)),".")</f>
        <v>1.4506287569018197E-11</v>
      </c>
      <c r="X18" s="117">
        <f>IFERROR((up_dir!X18/(up_Bv!W18+s_MLF_strawberry)),".")</f>
        <v>1.4506287569018197E-11</v>
      </c>
      <c r="Y18" s="117">
        <f>IFERROR((up_dir!Y18/(up_Bv!X18+s_MLF_tomato)),".")</f>
        <v>1.4506287569018197E-11</v>
      </c>
      <c r="Z18" s="117">
        <f>IFERROR((up_dir!Z18/(up_Bv!Y18+s_MLF_rice)),".")</f>
        <v>1.4506287569018197E-11</v>
      </c>
      <c r="AA18" s="117">
        <f>IFERROR((up_dir!AA18/(up_Bv!Z18+s_MLF_cereal)),".")</f>
        <v>1.4506287569018197E-11</v>
      </c>
      <c r="AB18" s="40">
        <f t="shared" si="2"/>
        <v>275742.5</v>
      </c>
      <c r="AC18" s="40">
        <f>s_C*(up_Bv!C18+s_MLF_apple)*s_IFAP_res_adj*s_CF_apple</f>
        <v>68935.625</v>
      </c>
      <c r="AD18" s="40">
        <f>s_C*(up_Bv!D18+s_MLF_asparagus)*s_IFAS_res_adj*s_CF_asparagus</f>
        <v>68935.625</v>
      </c>
      <c r="AE18" s="40">
        <f>s_C*(up_Bv!E18+s_MLF_beet)*s_IFBT_res_adj*s_CF_beet</f>
        <v>68935.625</v>
      </c>
      <c r="AF18" s="40">
        <f>s_C*(up_Bv!F18+s_MLF_berries)*s_IFBE_res_adj*s_CF_berries</f>
        <v>68935.625</v>
      </c>
      <c r="AG18" s="40">
        <f>s_C*(up_Bv!G18+s_MLF_broccoli)*s_IFBR_res_adj*s_CF_broccoli</f>
        <v>68935.625</v>
      </c>
      <c r="AH18" s="40">
        <f>s_C*(up_Bv!H18+s_MLF_cabbage)*s_IFCB_res_adj*s_CF_cabbage</f>
        <v>68935.625</v>
      </c>
      <c r="AI18" s="40">
        <f>s_C*(up_Bv!I18+s_MLF_carrot)*s_IFCR_res_adj*s_CF_carrot</f>
        <v>68935.625</v>
      </c>
      <c r="AJ18" s="40">
        <f>s_C*(up_Bv!J18+s_MLF_citrus)*s_IFCI_res_adj*s_CF_citrus</f>
        <v>68935.625</v>
      </c>
      <c r="AK18" s="40">
        <f>s_C*(up_Bv!K18+s_MLF_corn)*s_IFCO_res_adj*s_CF_corn</f>
        <v>68935.625</v>
      </c>
      <c r="AL18" s="40">
        <f>s_C*(up_Bv!L18+s_MLF_cucumber)*s_IFCU_res_adj*s_CF_cucumber</f>
        <v>68935.625</v>
      </c>
      <c r="AM18" s="40">
        <f>s_C*(up_Bv!M18+s_MLF_lettuce)*s_IFLE_res_adj*s_CF_lettuce</f>
        <v>68935.625</v>
      </c>
      <c r="AN18" s="40">
        <f>s_C*(up_Bv!N18+s_MLF_lima_bean)*s_IFLI_res_adj*s_CF_lima_bean</f>
        <v>68935.625</v>
      </c>
      <c r="AO18" s="40">
        <f>s_C*(up_Bv!O18+s_MLF_okra)*s_IFOK_res_adj*s_CF_okra</f>
        <v>68935.625</v>
      </c>
      <c r="AP18" s="40">
        <f>s_C*(up_Bv!P18+s_MLF_onion)*s_IFON_res_adj*s_CF_onion</f>
        <v>68935.625</v>
      </c>
      <c r="AQ18" s="40">
        <f>s_C*(up_Bv!Q18+s_MLF_peach)*s_IFPC_res_adj*s_CF_peach</f>
        <v>68935.625</v>
      </c>
      <c r="AR18" s="40">
        <f>s_C*(up_Bv!R18+s_MLF_pear)*s_IFPR_res_adj*s_CF_pear</f>
        <v>68935.625</v>
      </c>
      <c r="AS18" s="40">
        <f>s_C*(up_Bv!S18+s_MLF_peas)*s_IFPE_res_adj*s_CF_peas</f>
        <v>68935.625</v>
      </c>
      <c r="AT18" s="40">
        <f>s_C*(up_Bv!T18+s_MLF_potato)*s_IFPT_res_adj*s_CF_potato</f>
        <v>68935.625</v>
      </c>
      <c r="AU18" s="40">
        <f>s_C*(up_Bv!U18+s_MLF_pumpkin)*s_IFPU_res_adj*s_CF_pumpkin</f>
        <v>68935.625</v>
      </c>
      <c r="AV18" s="40">
        <f>s_C*(up_Bv!V18+s_MLF_snap_bean)*s_IFSN_res_adj*s_CF_snap_bean</f>
        <v>68935.625</v>
      </c>
      <c r="AW18" s="40">
        <f>s_C*(up_Bv!W18+s_MLF_strawberry)*s_IFST_res_adj*s_CF_strawberry</f>
        <v>68935.625</v>
      </c>
      <c r="AX18" s="40">
        <f>s_C*(up_Bv!X18+s_MLF_tomato)*s_IFTO_res_adj*s_CF_tomato</f>
        <v>68935.625</v>
      </c>
      <c r="AY18" s="40">
        <f>s_C*(up_Bv!Y18+s_MLF_rice)*s_IFRI_res_adj*s_CF_rice</f>
        <v>68935.625</v>
      </c>
      <c r="AZ18" s="40">
        <f>s_C*(up_Bv!Z18+s_MLF_cereal)*s_IFCG_res_adj*s_CF_cereal</f>
        <v>68935.625</v>
      </c>
      <c r="BA18" s="15">
        <f t="shared" si="1"/>
        <v>3.6265718922545492E-12</v>
      </c>
      <c r="BB18" s="15">
        <f>IFERROR((up_dir!AC18/(up_Bv!C18+s_MLF_apple)),".")</f>
        <v>1.4506287569018197E-11</v>
      </c>
      <c r="BC18" s="15">
        <f>IFERROR((up_dir!AD18/(up_Bv!D18+s_MLF_asparagus)),".")</f>
        <v>1.4506287569018197E-11</v>
      </c>
      <c r="BD18" s="15">
        <f>IFERROR((up_dir!AE18/(up_Bv!E18+s_MLF_beet)),".")</f>
        <v>1.4506287569018197E-11</v>
      </c>
      <c r="BE18" s="15">
        <f>IFERROR((up_dir!AF18/(up_Bv!F18+s_MLF_berries)),".")</f>
        <v>1.4506287569018197E-11</v>
      </c>
      <c r="BF18" s="15">
        <f>IFERROR((up_dir!AG18/(up_Bv!G18+s_MLF_broccoli)),".")</f>
        <v>1.4506287569018197E-11</v>
      </c>
      <c r="BG18" s="15">
        <f>IFERROR((up_dir!AH18/(up_Bv!H18+s_MLF_cabbage)),".")</f>
        <v>1.4506287569018197E-11</v>
      </c>
      <c r="BH18" s="15">
        <f>IFERROR((up_dir!AI18/(up_Bv!I18+s_MLF_carrot)),".")</f>
        <v>1.4506287569018197E-11</v>
      </c>
      <c r="BI18" s="15">
        <f>IFERROR((up_dir!AJ18/(up_Bv!J18+s_MLF_citrus)),".")</f>
        <v>1.4506287569018197E-11</v>
      </c>
      <c r="BJ18" s="15">
        <f>IFERROR((up_dir!AK18/(up_Bv!K18+s_MLF_corn)),".")</f>
        <v>1.4506287569018197E-11</v>
      </c>
      <c r="BK18" s="15">
        <f>IFERROR((up_dir!AL18/(up_Bv!L18+s_MLF_cucumber)),".")</f>
        <v>1.4506287569018197E-11</v>
      </c>
      <c r="BL18" s="15">
        <f>IFERROR((up_dir!AM18/(up_Bv!M18+s_MLF_lettuce)),".")</f>
        <v>1.4506287569018197E-11</v>
      </c>
      <c r="BM18" s="15">
        <f>IFERROR((up_dir!AN18/(up_Bv!N18+s_MLF_lima_bean)),".")</f>
        <v>1.4506287569018197E-11</v>
      </c>
      <c r="BN18" s="15">
        <f>IFERROR((up_dir!AO18/(up_Bv!O18+s_MLF_okra)),".")</f>
        <v>1.4506287569018197E-11</v>
      </c>
      <c r="BO18" s="15">
        <f>IFERROR((up_dir!AP18/(up_Bv!P18+s_MLF_onion)),".")</f>
        <v>1.4506287569018197E-11</v>
      </c>
      <c r="BP18" s="15">
        <f>IFERROR((up_dir!AQ18/(up_Bv!Q18+s_MLF_peach)),".")</f>
        <v>1.4506287569018197E-11</v>
      </c>
      <c r="BQ18" s="15">
        <f>IFERROR((up_dir!AR18/(up_Bv!R18+s_MLF_pear)),".")</f>
        <v>1.4506287569018197E-11</v>
      </c>
      <c r="BR18" s="15">
        <f>IFERROR((up_dir!AS18/(up_Bv!S18+s_MLF_peas)),".")</f>
        <v>1.4506287569018197E-11</v>
      </c>
      <c r="BS18" s="15">
        <f>IFERROR((up_dir!AT18/(up_Bv!T18+s_MLF_potato)),".")</f>
        <v>1.4506287569018197E-11</v>
      </c>
      <c r="BT18" s="15">
        <f>IFERROR((up_dir!AU18/(up_Bv!U18+s_MLF_pumpkin)),".")</f>
        <v>1.4506287569018197E-11</v>
      </c>
      <c r="BU18" s="15">
        <f>IFERROR((up_dir!AV18/(up_Bv!V18+s_MLF_snap_bean)),".")</f>
        <v>1.4506287569018197E-11</v>
      </c>
      <c r="BV18" s="15">
        <f>IFERROR((up_dir!AW18/(up_Bv!W18+s_MLF_strawberry)),".")</f>
        <v>1.4506287569018197E-11</v>
      </c>
      <c r="BW18" s="15">
        <f>IFERROR((up_dir!AX18/(up_Bv!X18+s_MLF_tomato)),".")</f>
        <v>1.4506287569018197E-11</v>
      </c>
      <c r="BX18" s="15">
        <f>IFERROR((up_dir!AY18/(up_Bv!Y18+s_MLF_rice)),".")</f>
        <v>1.4506287569018197E-11</v>
      </c>
      <c r="BY18" s="15">
        <f>IFERROR((up_dir!AZ18/(up_Bv!Z18+s_MLF_cereal)),".")</f>
        <v>1.4506287569018197E-11</v>
      </c>
      <c r="BZ18" s="40">
        <f t="shared" si="3"/>
        <v>275742.5</v>
      </c>
      <c r="CA18" s="40">
        <f>IFERROR(s_C*(up_Bv!C18+s_MLF_apple)*s_IFAP_far_adj*s_CF_apple,".")</f>
        <v>68935.625</v>
      </c>
      <c r="CB18" s="40">
        <f>IFERROR(s_C*(up_Bv!D18+s_MLF_asparagus)*s_IFAS_far_adj*s_CF_asparagus,".")</f>
        <v>68935.625</v>
      </c>
      <c r="CC18" s="40">
        <f>IFERROR(s_C*(up_Bv!E18+s_MLF_beet)*s_IFBT_far_adj*s_CF_beet,".")</f>
        <v>68935.625</v>
      </c>
      <c r="CD18" s="40">
        <f>IFERROR(s_C*(up_Bv!F18+s_MLF_berries)*s_IFBR_far_adj*s_CF_berries,".")</f>
        <v>68935.625</v>
      </c>
      <c r="CE18" s="40">
        <f>IFERROR(s_C*(up_Bv!G18+s_MLF_broccoli)*s_IFBR_far_adj*s_CF_broccoli,".")</f>
        <v>68935.625</v>
      </c>
      <c r="CF18" s="40">
        <f>IFERROR(s_C*(up_Bv!H18+s_MLF_cabbage)*s_IFCB_far_adj*s_CF_cabbage,".")</f>
        <v>68935.625</v>
      </c>
      <c r="CG18" s="40">
        <f>IFERROR(s_C*(up_Bv!I18+s_MLF_carrot)*s_IFCR_far_adj*s_CF_carrot,".")</f>
        <v>68935.625</v>
      </c>
      <c r="CH18" s="40">
        <f>IFERROR(s_C*(up_Bv!J18+s_MLF_citrus)*s_IFCI_far_adj*s_CF_citrus,".")</f>
        <v>68935.625</v>
      </c>
      <c r="CI18" s="40">
        <f>IFERROR(s_C*(up_Bv!K18+s_MLF_corn)*s_IFCO_far_adj*s_CF_corn,".")</f>
        <v>68935.625</v>
      </c>
      <c r="CJ18" s="40">
        <f>IFERROR(s_C*(up_Bv!L18+s_MLF_cucumber)*s_IFCU_far_adj*s_CF_cucumber,".")</f>
        <v>68935.625</v>
      </c>
      <c r="CK18" s="40">
        <f>IFERROR(s_C*(up_Bv!M18+s_MLF_lettuce)*s_IFLE_far_adj*s_CF_lettuce,".")</f>
        <v>68935.625</v>
      </c>
      <c r="CL18" s="40">
        <f>IFERROR(s_C*(up_Bv!N18+s_MLF_lima_bean)*s_IFLI_far_adj*s_CF_lima_bean,".")</f>
        <v>68935.625</v>
      </c>
      <c r="CM18" s="40">
        <f>IFERROR(s_C*(up_Bv!O18+s_MLF_okra)*s_IFOK_far_adj*s_CF_okra,".")</f>
        <v>68935.625</v>
      </c>
      <c r="CN18" s="40">
        <f>IFERROR(s_C*(up_Bv!P18+s_MLF_onion)*s_IFON_far_adj*s_CF_onion,".")</f>
        <v>68935.625</v>
      </c>
      <c r="CO18" s="40">
        <f>IFERROR(s_C*(up_Bv!Q18+s_MLF_peach)*s_IFPC_far_adj*s_CF_peach,".")</f>
        <v>68935.625</v>
      </c>
      <c r="CP18" s="40">
        <f>IFERROR(s_C*(up_Bv!R18+s_MLF_pear)*s_IFPR_far_adj*s_CF_pear,".")</f>
        <v>68935.625</v>
      </c>
      <c r="CQ18" s="40">
        <f>IFERROR(s_C*(up_Bv!S18+s_MLF_peas)*s_IFPE_far_adj*s_CF_peas,".")</f>
        <v>68935.625</v>
      </c>
      <c r="CR18" s="40">
        <f>IFERROR(s_C*(up_Bv!T18+s_MLF_potato)*s_IFPT_far_adj*s_CF_potato,".")</f>
        <v>68935.625</v>
      </c>
      <c r="CS18" s="40">
        <f>IFERROR(s_C*(up_Bv!U18+s_MLF_pumpkin)*s_IFPU_far_adj*s_CF_pumpkin,".")</f>
        <v>68935.625</v>
      </c>
      <c r="CT18" s="40">
        <f>IFERROR(s_C*(up_Bv!V18+s_MLF_snap_bean)*s_IFSN_far_adj*s_CF_snap_bean,".")</f>
        <v>68935.625</v>
      </c>
      <c r="CU18" s="40">
        <f>IFERROR(s_C*(up_Bv!W18+s_MLF_strawberry)*s_IFST_far_adj*s_CF_strawberry,".")</f>
        <v>68935.625</v>
      </c>
      <c r="CV18" s="40">
        <f>IFERROR(s_C*(up_Bv!X18+s_MLF_tomato)*s_IFTO_far_adj*s_CF_tomato,".")</f>
        <v>68935.625</v>
      </c>
      <c r="CW18" s="40">
        <f>IFERROR(s_C*(up_Bv!Y18+s_MLF_rice)*s_IFRI_far_adj*s_CF_rice,".")</f>
        <v>68935.625</v>
      </c>
      <c r="CX18" s="40">
        <f>IFERROR(s_C*(up_Bv!Z18+s_MLF_cereal)*s_IFCG_far_adj*s_CF_cereal,".")</f>
        <v>68935.625</v>
      </c>
    </row>
    <row r="19" spans="1:102" ht="15" customHeight="1" x14ac:dyDescent="0.25">
      <c r="A19" s="44" t="s">
        <v>29</v>
      </c>
      <c r="B19" s="42" t="s">
        <v>1074</v>
      </c>
      <c r="C19" s="117">
        <f t="shared" si="0"/>
        <v>3.6265718922545492E-12</v>
      </c>
      <c r="D19" s="117">
        <f>IFERROR((up_dir!D19/(up_Bv!C19+s_MLF_apple)),".")</f>
        <v>1.4506287569018197E-11</v>
      </c>
      <c r="E19" s="117">
        <f>IFERROR((up_dir!E19/(up_Bv!D19+s_MLF_asparagus)),".")</f>
        <v>1.4506287569018197E-11</v>
      </c>
      <c r="F19" s="117">
        <f>IFERROR((up_dir!F19/(up_Bv!E19+s_MLF_beet)),".")</f>
        <v>1.4506287569018197E-11</v>
      </c>
      <c r="G19" s="117">
        <f>IFERROR((up_dir!G19/(up_Bv!F19+s_MLF_berries)),".")</f>
        <v>1.4506287569018197E-11</v>
      </c>
      <c r="H19" s="117">
        <f>IFERROR((up_dir!H19/(up_Bv!G19+s_MLF_broccoli)),".")</f>
        <v>1.4506287569018197E-11</v>
      </c>
      <c r="I19" s="117">
        <f>IFERROR((up_dir!I19/(up_Bv!H19+s_MLF_cabbage)),".")</f>
        <v>1.4506287569018197E-11</v>
      </c>
      <c r="J19" s="117">
        <f>IFERROR((up_dir!J19/(up_Bv!I19+s_MLF_carrot)),".")</f>
        <v>1.4506287569018197E-11</v>
      </c>
      <c r="K19" s="117">
        <f>IFERROR((up_dir!K19/(up_Bv!J19+s_MLF_citrus)),".")</f>
        <v>1.4506287569018197E-11</v>
      </c>
      <c r="L19" s="117">
        <f>IFERROR((up_dir!L19/(up_Bv!K19+s_MLF_corn)),".")</f>
        <v>1.4506287569018197E-11</v>
      </c>
      <c r="M19" s="117">
        <f>IFERROR((up_dir!M19/(up_Bv!L19+s_MLF_cucumber)),".")</f>
        <v>1.4506287569018197E-11</v>
      </c>
      <c r="N19" s="117">
        <f>IFERROR((up_dir!N19/(up_Bv!M19+s_MLF_lettuce)),".")</f>
        <v>1.4506287569018197E-11</v>
      </c>
      <c r="O19" s="117">
        <f>IFERROR((up_dir!O19/(up_Bv!N19+s_MLF_lima_bean)),".")</f>
        <v>1.4506287569018197E-11</v>
      </c>
      <c r="P19" s="117">
        <f>IFERROR((up_dir!P19/(up_Bv!O19+s_MLF_okra)),".")</f>
        <v>1.4506287569018197E-11</v>
      </c>
      <c r="Q19" s="117">
        <f>IFERROR((up_dir!Q19/(up_Bv!P19+s_MLF_onion)),".")</f>
        <v>1.4506287569018197E-11</v>
      </c>
      <c r="R19" s="117">
        <f>IFERROR((up_dir!R19/(up_Bv!Q19+s_MLF_peach)),".")</f>
        <v>1.4506287569018197E-11</v>
      </c>
      <c r="S19" s="117">
        <f>IFERROR((up_dir!S19/(up_Bv!R19+s_MLF_pear)),".")</f>
        <v>1.4506287569018197E-11</v>
      </c>
      <c r="T19" s="117">
        <f>IFERROR((up_dir!T19/(up_Bv!S19+s_MLF_peas)),".")</f>
        <v>1.4506287569018197E-11</v>
      </c>
      <c r="U19" s="117">
        <f>IFERROR((up_dir!U19/(up_Bv!T19+s_MLF_potato)),".")</f>
        <v>1.4506287569018197E-11</v>
      </c>
      <c r="V19" s="117">
        <f>IFERROR((up_dir!V19/(up_Bv!U19+s_MLF_pumpkin)),".")</f>
        <v>1.4506287569018197E-11</v>
      </c>
      <c r="W19" s="117">
        <f>IFERROR((up_dir!W19/(up_Bv!V19+s_MLF_snap_bean)),".")</f>
        <v>1.4506287569018197E-11</v>
      </c>
      <c r="X19" s="117">
        <f>IFERROR((up_dir!X19/(up_Bv!W19+s_MLF_strawberry)),".")</f>
        <v>1.4506287569018197E-11</v>
      </c>
      <c r="Y19" s="117">
        <f>IFERROR((up_dir!Y19/(up_Bv!X19+s_MLF_tomato)),".")</f>
        <v>1.4506287569018197E-11</v>
      </c>
      <c r="Z19" s="117">
        <f>IFERROR((up_dir!Z19/(up_Bv!Y19+s_MLF_rice)),".")</f>
        <v>1.4506287569018197E-11</v>
      </c>
      <c r="AA19" s="117">
        <f>IFERROR((up_dir!AA19/(up_Bv!Z19+s_MLF_cereal)),".")</f>
        <v>1.4506287569018197E-11</v>
      </c>
      <c r="AB19" s="40">
        <f t="shared" si="2"/>
        <v>275742.5</v>
      </c>
      <c r="AC19" s="40">
        <f>s_C*(up_Bv!C19+s_MLF_apple)*s_IFAP_res_adj*s_CF_apple</f>
        <v>68935.625</v>
      </c>
      <c r="AD19" s="40">
        <f>s_C*(up_Bv!D19+s_MLF_asparagus)*s_IFAS_res_adj*s_CF_asparagus</f>
        <v>68935.625</v>
      </c>
      <c r="AE19" s="40">
        <f>s_C*(up_Bv!E19+s_MLF_beet)*s_IFBT_res_adj*s_CF_beet</f>
        <v>68935.625</v>
      </c>
      <c r="AF19" s="40">
        <f>s_C*(up_Bv!F19+s_MLF_berries)*s_IFBE_res_adj*s_CF_berries</f>
        <v>68935.625</v>
      </c>
      <c r="AG19" s="40">
        <f>s_C*(up_Bv!G19+s_MLF_broccoli)*s_IFBR_res_adj*s_CF_broccoli</f>
        <v>68935.625</v>
      </c>
      <c r="AH19" s="40">
        <f>s_C*(up_Bv!H19+s_MLF_cabbage)*s_IFCB_res_adj*s_CF_cabbage</f>
        <v>68935.625</v>
      </c>
      <c r="AI19" s="40">
        <f>s_C*(up_Bv!I19+s_MLF_carrot)*s_IFCR_res_adj*s_CF_carrot</f>
        <v>68935.625</v>
      </c>
      <c r="AJ19" s="40">
        <f>s_C*(up_Bv!J19+s_MLF_citrus)*s_IFCI_res_adj*s_CF_citrus</f>
        <v>68935.625</v>
      </c>
      <c r="AK19" s="40">
        <f>s_C*(up_Bv!K19+s_MLF_corn)*s_IFCO_res_adj*s_CF_corn</f>
        <v>68935.625</v>
      </c>
      <c r="AL19" s="40">
        <f>s_C*(up_Bv!L19+s_MLF_cucumber)*s_IFCU_res_adj*s_CF_cucumber</f>
        <v>68935.625</v>
      </c>
      <c r="AM19" s="40">
        <f>s_C*(up_Bv!M19+s_MLF_lettuce)*s_IFLE_res_adj*s_CF_lettuce</f>
        <v>68935.625</v>
      </c>
      <c r="AN19" s="40">
        <f>s_C*(up_Bv!N19+s_MLF_lima_bean)*s_IFLI_res_adj*s_CF_lima_bean</f>
        <v>68935.625</v>
      </c>
      <c r="AO19" s="40">
        <f>s_C*(up_Bv!O19+s_MLF_okra)*s_IFOK_res_adj*s_CF_okra</f>
        <v>68935.625</v>
      </c>
      <c r="AP19" s="40">
        <f>s_C*(up_Bv!P19+s_MLF_onion)*s_IFON_res_adj*s_CF_onion</f>
        <v>68935.625</v>
      </c>
      <c r="AQ19" s="40">
        <f>s_C*(up_Bv!Q19+s_MLF_peach)*s_IFPC_res_adj*s_CF_peach</f>
        <v>68935.625</v>
      </c>
      <c r="AR19" s="40">
        <f>s_C*(up_Bv!R19+s_MLF_pear)*s_IFPR_res_adj*s_CF_pear</f>
        <v>68935.625</v>
      </c>
      <c r="AS19" s="40">
        <f>s_C*(up_Bv!S19+s_MLF_peas)*s_IFPE_res_adj*s_CF_peas</f>
        <v>68935.625</v>
      </c>
      <c r="AT19" s="40">
        <f>s_C*(up_Bv!T19+s_MLF_potato)*s_IFPT_res_adj*s_CF_potato</f>
        <v>68935.625</v>
      </c>
      <c r="AU19" s="40">
        <f>s_C*(up_Bv!U19+s_MLF_pumpkin)*s_IFPU_res_adj*s_CF_pumpkin</f>
        <v>68935.625</v>
      </c>
      <c r="AV19" s="40">
        <f>s_C*(up_Bv!V19+s_MLF_snap_bean)*s_IFSN_res_adj*s_CF_snap_bean</f>
        <v>68935.625</v>
      </c>
      <c r="AW19" s="40">
        <f>s_C*(up_Bv!W19+s_MLF_strawberry)*s_IFST_res_adj*s_CF_strawberry</f>
        <v>68935.625</v>
      </c>
      <c r="AX19" s="40">
        <f>s_C*(up_Bv!X19+s_MLF_tomato)*s_IFTO_res_adj*s_CF_tomato</f>
        <v>68935.625</v>
      </c>
      <c r="AY19" s="40">
        <f>s_C*(up_Bv!Y19+s_MLF_rice)*s_IFRI_res_adj*s_CF_rice</f>
        <v>68935.625</v>
      </c>
      <c r="AZ19" s="40">
        <f>s_C*(up_Bv!Z19+s_MLF_cereal)*s_IFCG_res_adj*s_CF_cereal</f>
        <v>68935.625</v>
      </c>
      <c r="BA19" s="15">
        <f t="shared" si="1"/>
        <v>3.6265718922545492E-12</v>
      </c>
      <c r="BB19" s="15">
        <f>IFERROR((up_dir!AC19/(up_Bv!C19+s_MLF_apple)),".")</f>
        <v>1.4506287569018197E-11</v>
      </c>
      <c r="BC19" s="15">
        <f>IFERROR((up_dir!AD19/(up_Bv!D19+s_MLF_asparagus)),".")</f>
        <v>1.4506287569018197E-11</v>
      </c>
      <c r="BD19" s="15">
        <f>IFERROR((up_dir!AE19/(up_Bv!E19+s_MLF_beet)),".")</f>
        <v>1.4506287569018197E-11</v>
      </c>
      <c r="BE19" s="15">
        <f>IFERROR((up_dir!AF19/(up_Bv!F19+s_MLF_berries)),".")</f>
        <v>1.4506287569018197E-11</v>
      </c>
      <c r="BF19" s="15">
        <f>IFERROR((up_dir!AG19/(up_Bv!G19+s_MLF_broccoli)),".")</f>
        <v>1.4506287569018197E-11</v>
      </c>
      <c r="BG19" s="15">
        <f>IFERROR((up_dir!AH19/(up_Bv!H19+s_MLF_cabbage)),".")</f>
        <v>1.4506287569018197E-11</v>
      </c>
      <c r="BH19" s="15">
        <f>IFERROR((up_dir!AI19/(up_Bv!I19+s_MLF_carrot)),".")</f>
        <v>1.4506287569018197E-11</v>
      </c>
      <c r="BI19" s="15">
        <f>IFERROR((up_dir!AJ19/(up_Bv!J19+s_MLF_citrus)),".")</f>
        <v>1.4506287569018197E-11</v>
      </c>
      <c r="BJ19" s="15">
        <f>IFERROR((up_dir!AK19/(up_Bv!K19+s_MLF_corn)),".")</f>
        <v>1.4506287569018197E-11</v>
      </c>
      <c r="BK19" s="15">
        <f>IFERROR((up_dir!AL19/(up_Bv!L19+s_MLF_cucumber)),".")</f>
        <v>1.4506287569018197E-11</v>
      </c>
      <c r="BL19" s="15">
        <f>IFERROR((up_dir!AM19/(up_Bv!M19+s_MLF_lettuce)),".")</f>
        <v>1.4506287569018197E-11</v>
      </c>
      <c r="BM19" s="15">
        <f>IFERROR((up_dir!AN19/(up_Bv!N19+s_MLF_lima_bean)),".")</f>
        <v>1.4506287569018197E-11</v>
      </c>
      <c r="BN19" s="15">
        <f>IFERROR((up_dir!AO19/(up_Bv!O19+s_MLF_okra)),".")</f>
        <v>1.4506287569018197E-11</v>
      </c>
      <c r="BO19" s="15">
        <f>IFERROR((up_dir!AP19/(up_Bv!P19+s_MLF_onion)),".")</f>
        <v>1.4506287569018197E-11</v>
      </c>
      <c r="BP19" s="15">
        <f>IFERROR((up_dir!AQ19/(up_Bv!Q19+s_MLF_peach)),".")</f>
        <v>1.4506287569018197E-11</v>
      </c>
      <c r="BQ19" s="15">
        <f>IFERROR((up_dir!AR19/(up_Bv!R19+s_MLF_pear)),".")</f>
        <v>1.4506287569018197E-11</v>
      </c>
      <c r="BR19" s="15">
        <f>IFERROR((up_dir!AS19/(up_Bv!S19+s_MLF_peas)),".")</f>
        <v>1.4506287569018197E-11</v>
      </c>
      <c r="BS19" s="15">
        <f>IFERROR((up_dir!AT19/(up_Bv!T19+s_MLF_potato)),".")</f>
        <v>1.4506287569018197E-11</v>
      </c>
      <c r="BT19" s="15">
        <f>IFERROR((up_dir!AU19/(up_Bv!U19+s_MLF_pumpkin)),".")</f>
        <v>1.4506287569018197E-11</v>
      </c>
      <c r="BU19" s="15">
        <f>IFERROR((up_dir!AV19/(up_Bv!V19+s_MLF_snap_bean)),".")</f>
        <v>1.4506287569018197E-11</v>
      </c>
      <c r="BV19" s="15">
        <f>IFERROR((up_dir!AW19/(up_Bv!W19+s_MLF_strawberry)),".")</f>
        <v>1.4506287569018197E-11</v>
      </c>
      <c r="BW19" s="15">
        <f>IFERROR((up_dir!AX19/(up_Bv!X19+s_MLF_tomato)),".")</f>
        <v>1.4506287569018197E-11</v>
      </c>
      <c r="BX19" s="15">
        <f>IFERROR((up_dir!AY19/(up_Bv!Y19+s_MLF_rice)),".")</f>
        <v>1.4506287569018197E-11</v>
      </c>
      <c r="BY19" s="15">
        <f>IFERROR((up_dir!AZ19/(up_Bv!Z19+s_MLF_cereal)),".")</f>
        <v>1.4506287569018197E-11</v>
      </c>
      <c r="BZ19" s="40">
        <f t="shared" si="3"/>
        <v>275742.5</v>
      </c>
      <c r="CA19" s="40">
        <f>IFERROR(s_C*(up_Bv!C19+s_MLF_apple)*s_IFAP_far_adj*s_CF_apple,".")</f>
        <v>68935.625</v>
      </c>
      <c r="CB19" s="40">
        <f>IFERROR(s_C*(up_Bv!D19+s_MLF_asparagus)*s_IFAS_far_adj*s_CF_asparagus,".")</f>
        <v>68935.625</v>
      </c>
      <c r="CC19" s="40">
        <f>IFERROR(s_C*(up_Bv!E19+s_MLF_beet)*s_IFBT_far_adj*s_CF_beet,".")</f>
        <v>68935.625</v>
      </c>
      <c r="CD19" s="40">
        <f>IFERROR(s_C*(up_Bv!F19+s_MLF_berries)*s_IFBR_far_adj*s_CF_berries,".")</f>
        <v>68935.625</v>
      </c>
      <c r="CE19" s="40">
        <f>IFERROR(s_C*(up_Bv!G19+s_MLF_broccoli)*s_IFBR_far_adj*s_CF_broccoli,".")</f>
        <v>68935.625</v>
      </c>
      <c r="CF19" s="40">
        <f>IFERROR(s_C*(up_Bv!H19+s_MLF_cabbage)*s_IFCB_far_adj*s_CF_cabbage,".")</f>
        <v>68935.625</v>
      </c>
      <c r="CG19" s="40">
        <f>IFERROR(s_C*(up_Bv!I19+s_MLF_carrot)*s_IFCR_far_adj*s_CF_carrot,".")</f>
        <v>68935.625</v>
      </c>
      <c r="CH19" s="40">
        <f>IFERROR(s_C*(up_Bv!J19+s_MLF_citrus)*s_IFCI_far_adj*s_CF_citrus,".")</f>
        <v>68935.625</v>
      </c>
      <c r="CI19" s="40">
        <f>IFERROR(s_C*(up_Bv!K19+s_MLF_corn)*s_IFCO_far_adj*s_CF_corn,".")</f>
        <v>68935.625</v>
      </c>
      <c r="CJ19" s="40">
        <f>IFERROR(s_C*(up_Bv!L19+s_MLF_cucumber)*s_IFCU_far_adj*s_CF_cucumber,".")</f>
        <v>68935.625</v>
      </c>
      <c r="CK19" s="40">
        <f>IFERROR(s_C*(up_Bv!M19+s_MLF_lettuce)*s_IFLE_far_adj*s_CF_lettuce,".")</f>
        <v>68935.625</v>
      </c>
      <c r="CL19" s="40">
        <f>IFERROR(s_C*(up_Bv!N19+s_MLF_lima_bean)*s_IFLI_far_adj*s_CF_lima_bean,".")</f>
        <v>68935.625</v>
      </c>
      <c r="CM19" s="40">
        <f>IFERROR(s_C*(up_Bv!O19+s_MLF_okra)*s_IFOK_far_adj*s_CF_okra,".")</f>
        <v>68935.625</v>
      </c>
      <c r="CN19" s="40">
        <f>IFERROR(s_C*(up_Bv!P19+s_MLF_onion)*s_IFON_far_adj*s_CF_onion,".")</f>
        <v>68935.625</v>
      </c>
      <c r="CO19" s="40">
        <f>IFERROR(s_C*(up_Bv!Q19+s_MLF_peach)*s_IFPC_far_adj*s_CF_peach,".")</f>
        <v>68935.625</v>
      </c>
      <c r="CP19" s="40">
        <f>IFERROR(s_C*(up_Bv!R19+s_MLF_pear)*s_IFPR_far_adj*s_CF_pear,".")</f>
        <v>68935.625</v>
      </c>
      <c r="CQ19" s="40">
        <f>IFERROR(s_C*(up_Bv!S19+s_MLF_peas)*s_IFPE_far_adj*s_CF_peas,".")</f>
        <v>68935.625</v>
      </c>
      <c r="CR19" s="40">
        <f>IFERROR(s_C*(up_Bv!T19+s_MLF_potato)*s_IFPT_far_adj*s_CF_potato,".")</f>
        <v>68935.625</v>
      </c>
      <c r="CS19" s="40">
        <f>IFERROR(s_C*(up_Bv!U19+s_MLF_pumpkin)*s_IFPU_far_adj*s_CF_pumpkin,".")</f>
        <v>68935.625</v>
      </c>
      <c r="CT19" s="40">
        <f>IFERROR(s_C*(up_Bv!V19+s_MLF_snap_bean)*s_IFSN_far_adj*s_CF_snap_bean,".")</f>
        <v>68935.625</v>
      </c>
      <c r="CU19" s="40">
        <f>IFERROR(s_C*(up_Bv!W19+s_MLF_strawberry)*s_IFST_far_adj*s_CF_strawberry,".")</f>
        <v>68935.625</v>
      </c>
      <c r="CV19" s="40">
        <f>IFERROR(s_C*(up_Bv!X19+s_MLF_tomato)*s_IFTO_far_adj*s_CF_tomato,".")</f>
        <v>68935.625</v>
      </c>
      <c r="CW19" s="40">
        <f>IFERROR(s_C*(up_Bv!Y19+s_MLF_rice)*s_IFRI_far_adj*s_CF_rice,".")</f>
        <v>68935.625</v>
      </c>
      <c r="CX19" s="40">
        <f>IFERROR(s_C*(up_Bv!Z19+s_MLF_cereal)*s_IFCG_far_adj*s_CF_cereal,".")</f>
        <v>68935.625</v>
      </c>
    </row>
    <row r="20" spans="1:102" ht="15" customHeight="1" x14ac:dyDescent="0.25">
      <c r="A20" s="44" t="s">
        <v>30</v>
      </c>
      <c r="B20" s="42" t="s">
        <v>1074</v>
      </c>
      <c r="C20" s="117">
        <f t="shared" si="0"/>
        <v>3.6265718922545492E-12</v>
      </c>
      <c r="D20" s="117">
        <f>IFERROR((up_dir!D20/(up_Bv!C20+s_MLF_apple)),".")</f>
        <v>1.4506287569018197E-11</v>
      </c>
      <c r="E20" s="117">
        <f>IFERROR((up_dir!E20/(up_Bv!D20+s_MLF_asparagus)),".")</f>
        <v>1.4506287569018197E-11</v>
      </c>
      <c r="F20" s="117">
        <f>IFERROR((up_dir!F20/(up_Bv!E20+s_MLF_beet)),".")</f>
        <v>1.4506287569018197E-11</v>
      </c>
      <c r="G20" s="117">
        <f>IFERROR((up_dir!G20/(up_Bv!F20+s_MLF_berries)),".")</f>
        <v>1.4506287569018197E-11</v>
      </c>
      <c r="H20" s="117">
        <f>IFERROR((up_dir!H20/(up_Bv!G20+s_MLF_broccoli)),".")</f>
        <v>1.4506287569018197E-11</v>
      </c>
      <c r="I20" s="117">
        <f>IFERROR((up_dir!I20/(up_Bv!H20+s_MLF_cabbage)),".")</f>
        <v>1.4506287569018197E-11</v>
      </c>
      <c r="J20" s="117">
        <f>IFERROR((up_dir!J20/(up_Bv!I20+s_MLF_carrot)),".")</f>
        <v>1.4506287569018197E-11</v>
      </c>
      <c r="K20" s="117">
        <f>IFERROR((up_dir!K20/(up_Bv!J20+s_MLF_citrus)),".")</f>
        <v>1.4506287569018197E-11</v>
      </c>
      <c r="L20" s="117">
        <f>IFERROR((up_dir!L20/(up_Bv!K20+s_MLF_corn)),".")</f>
        <v>1.4506287569018197E-11</v>
      </c>
      <c r="M20" s="117">
        <f>IFERROR((up_dir!M20/(up_Bv!L20+s_MLF_cucumber)),".")</f>
        <v>1.4506287569018197E-11</v>
      </c>
      <c r="N20" s="117">
        <f>IFERROR((up_dir!N20/(up_Bv!M20+s_MLF_lettuce)),".")</f>
        <v>1.4506287569018197E-11</v>
      </c>
      <c r="O20" s="117">
        <f>IFERROR((up_dir!O20/(up_Bv!N20+s_MLF_lima_bean)),".")</f>
        <v>1.4506287569018197E-11</v>
      </c>
      <c r="P20" s="117">
        <f>IFERROR((up_dir!P20/(up_Bv!O20+s_MLF_okra)),".")</f>
        <v>1.4506287569018197E-11</v>
      </c>
      <c r="Q20" s="117">
        <f>IFERROR((up_dir!Q20/(up_Bv!P20+s_MLF_onion)),".")</f>
        <v>1.4506287569018197E-11</v>
      </c>
      <c r="R20" s="117">
        <f>IFERROR((up_dir!R20/(up_Bv!Q20+s_MLF_peach)),".")</f>
        <v>1.4506287569018197E-11</v>
      </c>
      <c r="S20" s="117">
        <f>IFERROR((up_dir!S20/(up_Bv!R20+s_MLF_pear)),".")</f>
        <v>1.4506287569018197E-11</v>
      </c>
      <c r="T20" s="117">
        <f>IFERROR((up_dir!T20/(up_Bv!S20+s_MLF_peas)),".")</f>
        <v>1.4506287569018197E-11</v>
      </c>
      <c r="U20" s="117">
        <f>IFERROR((up_dir!U20/(up_Bv!T20+s_MLF_potato)),".")</f>
        <v>1.4506287569018197E-11</v>
      </c>
      <c r="V20" s="117">
        <f>IFERROR((up_dir!V20/(up_Bv!U20+s_MLF_pumpkin)),".")</f>
        <v>1.4506287569018197E-11</v>
      </c>
      <c r="W20" s="117">
        <f>IFERROR((up_dir!W20/(up_Bv!V20+s_MLF_snap_bean)),".")</f>
        <v>1.4506287569018197E-11</v>
      </c>
      <c r="X20" s="117">
        <f>IFERROR((up_dir!X20/(up_Bv!W20+s_MLF_strawberry)),".")</f>
        <v>1.4506287569018197E-11</v>
      </c>
      <c r="Y20" s="117">
        <f>IFERROR((up_dir!Y20/(up_Bv!X20+s_MLF_tomato)),".")</f>
        <v>1.4506287569018197E-11</v>
      </c>
      <c r="Z20" s="117">
        <f>IFERROR((up_dir!Z20/(up_Bv!Y20+s_MLF_rice)),".")</f>
        <v>1.4506287569018197E-11</v>
      </c>
      <c r="AA20" s="117">
        <f>IFERROR((up_dir!AA20/(up_Bv!Z20+s_MLF_cereal)),".")</f>
        <v>1.4506287569018197E-11</v>
      </c>
      <c r="AB20" s="40">
        <f t="shared" si="2"/>
        <v>275742.5</v>
      </c>
      <c r="AC20" s="40">
        <f>s_C*(up_Bv!C20+s_MLF_apple)*s_IFAP_res_adj*s_CF_apple</f>
        <v>68935.625</v>
      </c>
      <c r="AD20" s="40">
        <f>s_C*(up_Bv!D20+s_MLF_asparagus)*s_IFAS_res_adj*s_CF_asparagus</f>
        <v>68935.625</v>
      </c>
      <c r="AE20" s="40">
        <f>s_C*(up_Bv!E20+s_MLF_beet)*s_IFBT_res_adj*s_CF_beet</f>
        <v>68935.625</v>
      </c>
      <c r="AF20" s="40">
        <f>s_C*(up_Bv!F20+s_MLF_berries)*s_IFBE_res_adj*s_CF_berries</f>
        <v>68935.625</v>
      </c>
      <c r="AG20" s="40">
        <f>s_C*(up_Bv!G20+s_MLF_broccoli)*s_IFBR_res_adj*s_CF_broccoli</f>
        <v>68935.625</v>
      </c>
      <c r="AH20" s="40">
        <f>s_C*(up_Bv!H20+s_MLF_cabbage)*s_IFCB_res_adj*s_CF_cabbage</f>
        <v>68935.625</v>
      </c>
      <c r="AI20" s="40">
        <f>s_C*(up_Bv!I20+s_MLF_carrot)*s_IFCR_res_adj*s_CF_carrot</f>
        <v>68935.625</v>
      </c>
      <c r="AJ20" s="40">
        <f>s_C*(up_Bv!J20+s_MLF_citrus)*s_IFCI_res_adj*s_CF_citrus</f>
        <v>68935.625</v>
      </c>
      <c r="AK20" s="40">
        <f>s_C*(up_Bv!K20+s_MLF_corn)*s_IFCO_res_adj*s_CF_corn</f>
        <v>68935.625</v>
      </c>
      <c r="AL20" s="40">
        <f>s_C*(up_Bv!L20+s_MLF_cucumber)*s_IFCU_res_adj*s_CF_cucumber</f>
        <v>68935.625</v>
      </c>
      <c r="AM20" s="40">
        <f>s_C*(up_Bv!M20+s_MLF_lettuce)*s_IFLE_res_adj*s_CF_lettuce</f>
        <v>68935.625</v>
      </c>
      <c r="AN20" s="40">
        <f>s_C*(up_Bv!N20+s_MLF_lima_bean)*s_IFLI_res_adj*s_CF_lima_bean</f>
        <v>68935.625</v>
      </c>
      <c r="AO20" s="40">
        <f>s_C*(up_Bv!O20+s_MLF_okra)*s_IFOK_res_adj*s_CF_okra</f>
        <v>68935.625</v>
      </c>
      <c r="AP20" s="40">
        <f>s_C*(up_Bv!P20+s_MLF_onion)*s_IFON_res_adj*s_CF_onion</f>
        <v>68935.625</v>
      </c>
      <c r="AQ20" s="40">
        <f>s_C*(up_Bv!Q20+s_MLF_peach)*s_IFPC_res_adj*s_CF_peach</f>
        <v>68935.625</v>
      </c>
      <c r="AR20" s="40">
        <f>s_C*(up_Bv!R20+s_MLF_pear)*s_IFPR_res_adj*s_CF_pear</f>
        <v>68935.625</v>
      </c>
      <c r="AS20" s="40">
        <f>s_C*(up_Bv!S20+s_MLF_peas)*s_IFPE_res_adj*s_CF_peas</f>
        <v>68935.625</v>
      </c>
      <c r="AT20" s="40">
        <f>s_C*(up_Bv!T20+s_MLF_potato)*s_IFPT_res_adj*s_CF_potato</f>
        <v>68935.625</v>
      </c>
      <c r="AU20" s="40">
        <f>s_C*(up_Bv!U20+s_MLF_pumpkin)*s_IFPU_res_adj*s_CF_pumpkin</f>
        <v>68935.625</v>
      </c>
      <c r="AV20" s="40">
        <f>s_C*(up_Bv!V20+s_MLF_snap_bean)*s_IFSN_res_adj*s_CF_snap_bean</f>
        <v>68935.625</v>
      </c>
      <c r="AW20" s="40">
        <f>s_C*(up_Bv!W20+s_MLF_strawberry)*s_IFST_res_adj*s_CF_strawberry</f>
        <v>68935.625</v>
      </c>
      <c r="AX20" s="40">
        <f>s_C*(up_Bv!X20+s_MLF_tomato)*s_IFTO_res_adj*s_CF_tomato</f>
        <v>68935.625</v>
      </c>
      <c r="AY20" s="40">
        <f>s_C*(up_Bv!Y20+s_MLF_rice)*s_IFRI_res_adj*s_CF_rice</f>
        <v>68935.625</v>
      </c>
      <c r="AZ20" s="40">
        <f>s_C*(up_Bv!Z20+s_MLF_cereal)*s_IFCG_res_adj*s_CF_cereal</f>
        <v>68935.625</v>
      </c>
      <c r="BA20" s="15">
        <f t="shared" si="1"/>
        <v>3.6265718922545492E-12</v>
      </c>
      <c r="BB20" s="15">
        <f>IFERROR((up_dir!AC20/(up_Bv!C20+s_MLF_apple)),".")</f>
        <v>1.4506287569018197E-11</v>
      </c>
      <c r="BC20" s="15">
        <f>IFERROR((up_dir!AD20/(up_Bv!D20+s_MLF_asparagus)),".")</f>
        <v>1.4506287569018197E-11</v>
      </c>
      <c r="BD20" s="15">
        <f>IFERROR((up_dir!AE20/(up_Bv!E20+s_MLF_beet)),".")</f>
        <v>1.4506287569018197E-11</v>
      </c>
      <c r="BE20" s="15">
        <f>IFERROR((up_dir!AF20/(up_Bv!F20+s_MLF_berries)),".")</f>
        <v>1.4506287569018197E-11</v>
      </c>
      <c r="BF20" s="15">
        <f>IFERROR((up_dir!AG20/(up_Bv!G20+s_MLF_broccoli)),".")</f>
        <v>1.4506287569018197E-11</v>
      </c>
      <c r="BG20" s="15">
        <f>IFERROR((up_dir!AH20/(up_Bv!H20+s_MLF_cabbage)),".")</f>
        <v>1.4506287569018197E-11</v>
      </c>
      <c r="BH20" s="15">
        <f>IFERROR((up_dir!AI20/(up_Bv!I20+s_MLF_carrot)),".")</f>
        <v>1.4506287569018197E-11</v>
      </c>
      <c r="BI20" s="15">
        <f>IFERROR((up_dir!AJ20/(up_Bv!J20+s_MLF_citrus)),".")</f>
        <v>1.4506287569018197E-11</v>
      </c>
      <c r="BJ20" s="15">
        <f>IFERROR((up_dir!AK20/(up_Bv!K20+s_MLF_corn)),".")</f>
        <v>1.4506287569018197E-11</v>
      </c>
      <c r="BK20" s="15">
        <f>IFERROR((up_dir!AL20/(up_Bv!L20+s_MLF_cucumber)),".")</f>
        <v>1.4506287569018197E-11</v>
      </c>
      <c r="BL20" s="15">
        <f>IFERROR((up_dir!AM20/(up_Bv!M20+s_MLF_lettuce)),".")</f>
        <v>1.4506287569018197E-11</v>
      </c>
      <c r="BM20" s="15">
        <f>IFERROR((up_dir!AN20/(up_Bv!N20+s_MLF_lima_bean)),".")</f>
        <v>1.4506287569018197E-11</v>
      </c>
      <c r="BN20" s="15">
        <f>IFERROR((up_dir!AO20/(up_Bv!O20+s_MLF_okra)),".")</f>
        <v>1.4506287569018197E-11</v>
      </c>
      <c r="BO20" s="15">
        <f>IFERROR((up_dir!AP20/(up_Bv!P20+s_MLF_onion)),".")</f>
        <v>1.4506287569018197E-11</v>
      </c>
      <c r="BP20" s="15">
        <f>IFERROR((up_dir!AQ20/(up_Bv!Q20+s_MLF_peach)),".")</f>
        <v>1.4506287569018197E-11</v>
      </c>
      <c r="BQ20" s="15">
        <f>IFERROR((up_dir!AR20/(up_Bv!R20+s_MLF_pear)),".")</f>
        <v>1.4506287569018197E-11</v>
      </c>
      <c r="BR20" s="15">
        <f>IFERROR((up_dir!AS20/(up_Bv!S20+s_MLF_peas)),".")</f>
        <v>1.4506287569018197E-11</v>
      </c>
      <c r="BS20" s="15">
        <f>IFERROR((up_dir!AT20/(up_Bv!T20+s_MLF_potato)),".")</f>
        <v>1.4506287569018197E-11</v>
      </c>
      <c r="BT20" s="15">
        <f>IFERROR((up_dir!AU20/(up_Bv!U20+s_MLF_pumpkin)),".")</f>
        <v>1.4506287569018197E-11</v>
      </c>
      <c r="BU20" s="15">
        <f>IFERROR((up_dir!AV20/(up_Bv!V20+s_MLF_snap_bean)),".")</f>
        <v>1.4506287569018197E-11</v>
      </c>
      <c r="BV20" s="15">
        <f>IFERROR((up_dir!AW20/(up_Bv!W20+s_MLF_strawberry)),".")</f>
        <v>1.4506287569018197E-11</v>
      </c>
      <c r="BW20" s="15">
        <f>IFERROR((up_dir!AX20/(up_Bv!X20+s_MLF_tomato)),".")</f>
        <v>1.4506287569018197E-11</v>
      </c>
      <c r="BX20" s="15">
        <f>IFERROR((up_dir!AY20/(up_Bv!Y20+s_MLF_rice)),".")</f>
        <v>1.4506287569018197E-11</v>
      </c>
      <c r="BY20" s="15">
        <f>IFERROR((up_dir!AZ20/(up_Bv!Z20+s_MLF_cereal)),".")</f>
        <v>1.4506287569018197E-11</v>
      </c>
      <c r="BZ20" s="40">
        <f t="shared" si="3"/>
        <v>275742.5</v>
      </c>
      <c r="CA20" s="40">
        <f>IFERROR(s_C*(up_Bv!C20+s_MLF_apple)*s_IFAP_far_adj*s_CF_apple,".")</f>
        <v>68935.625</v>
      </c>
      <c r="CB20" s="40">
        <f>IFERROR(s_C*(up_Bv!D20+s_MLF_asparagus)*s_IFAS_far_adj*s_CF_asparagus,".")</f>
        <v>68935.625</v>
      </c>
      <c r="CC20" s="40">
        <f>IFERROR(s_C*(up_Bv!E20+s_MLF_beet)*s_IFBT_far_adj*s_CF_beet,".")</f>
        <v>68935.625</v>
      </c>
      <c r="CD20" s="40">
        <f>IFERROR(s_C*(up_Bv!F20+s_MLF_berries)*s_IFBR_far_adj*s_CF_berries,".")</f>
        <v>68935.625</v>
      </c>
      <c r="CE20" s="40">
        <f>IFERROR(s_C*(up_Bv!G20+s_MLF_broccoli)*s_IFBR_far_adj*s_CF_broccoli,".")</f>
        <v>68935.625</v>
      </c>
      <c r="CF20" s="40">
        <f>IFERROR(s_C*(up_Bv!H20+s_MLF_cabbage)*s_IFCB_far_adj*s_CF_cabbage,".")</f>
        <v>68935.625</v>
      </c>
      <c r="CG20" s="40">
        <f>IFERROR(s_C*(up_Bv!I20+s_MLF_carrot)*s_IFCR_far_adj*s_CF_carrot,".")</f>
        <v>68935.625</v>
      </c>
      <c r="CH20" s="40">
        <f>IFERROR(s_C*(up_Bv!J20+s_MLF_citrus)*s_IFCI_far_adj*s_CF_citrus,".")</f>
        <v>68935.625</v>
      </c>
      <c r="CI20" s="40">
        <f>IFERROR(s_C*(up_Bv!K20+s_MLF_corn)*s_IFCO_far_adj*s_CF_corn,".")</f>
        <v>68935.625</v>
      </c>
      <c r="CJ20" s="40">
        <f>IFERROR(s_C*(up_Bv!L20+s_MLF_cucumber)*s_IFCU_far_adj*s_CF_cucumber,".")</f>
        <v>68935.625</v>
      </c>
      <c r="CK20" s="40">
        <f>IFERROR(s_C*(up_Bv!M20+s_MLF_lettuce)*s_IFLE_far_adj*s_CF_lettuce,".")</f>
        <v>68935.625</v>
      </c>
      <c r="CL20" s="40">
        <f>IFERROR(s_C*(up_Bv!N20+s_MLF_lima_bean)*s_IFLI_far_adj*s_CF_lima_bean,".")</f>
        <v>68935.625</v>
      </c>
      <c r="CM20" s="40">
        <f>IFERROR(s_C*(up_Bv!O20+s_MLF_okra)*s_IFOK_far_adj*s_CF_okra,".")</f>
        <v>68935.625</v>
      </c>
      <c r="CN20" s="40">
        <f>IFERROR(s_C*(up_Bv!P20+s_MLF_onion)*s_IFON_far_adj*s_CF_onion,".")</f>
        <v>68935.625</v>
      </c>
      <c r="CO20" s="40">
        <f>IFERROR(s_C*(up_Bv!Q20+s_MLF_peach)*s_IFPC_far_adj*s_CF_peach,".")</f>
        <v>68935.625</v>
      </c>
      <c r="CP20" s="40">
        <f>IFERROR(s_C*(up_Bv!R20+s_MLF_pear)*s_IFPR_far_adj*s_CF_pear,".")</f>
        <v>68935.625</v>
      </c>
      <c r="CQ20" s="40">
        <f>IFERROR(s_C*(up_Bv!S20+s_MLF_peas)*s_IFPE_far_adj*s_CF_peas,".")</f>
        <v>68935.625</v>
      </c>
      <c r="CR20" s="40">
        <f>IFERROR(s_C*(up_Bv!T20+s_MLF_potato)*s_IFPT_far_adj*s_CF_potato,".")</f>
        <v>68935.625</v>
      </c>
      <c r="CS20" s="40">
        <f>IFERROR(s_C*(up_Bv!U20+s_MLF_pumpkin)*s_IFPU_far_adj*s_CF_pumpkin,".")</f>
        <v>68935.625</v>
      </c>
      <c r="CT20" s="40">
        <f>IFERROR(s_C*(up_Bv!V20+s_MLF_snap_bean)*s_IFSN_far_adj*s_CF_snap_bean,".")</f>
        <v>68935.625</v>
      </c>
      <c r="CU20" s="40">
        <f>IFERROR(s_C*(up_Bv!W20+s_MLF_strawberry)*s_IFST_far_adj*s_CF_strawberry,".")</f>
        <v>68935.625</v>
      </c>
      <c r="CV20" s="40">
        <f>IFERROR(s_C*(up_Bv!X20+s_MLF_tomato)*s_IFTO_far_adj*s_CF_tomato,".")</f>
        <v>68935.625</v>
      </c>
      <c r="CW20" s="40">
        <f>IFERROR(s_C*(up_Bv!Y20+s_MLF_rice)*s_IFRI_far_adj*s_CF_rice,".")</f>
        <v>68935.625</v>
      </c>
      <c r="CX20" s="40">
        <f>IFERROR(s_C*(up_Bv!Z20+s_MLF_cereal)*s_IFCG_far_adj*s_CF_cereal,".")</f>
        <v>68935.625</v>
      </c>
    </row>
    <row r="21" spans="1:102" ht="15" customHeight="1" x14ac:dyDescent="0.25">
      <c r="A21" s="44" t="s">
        <v>31</v>
      </c>
      <c r="B21" s="42" t="s">
        <v>1074</v>
      </c>
      <c r="C21" s="117">
        <f t="shared" si="0"/>
        <v>3.6265718922545492E-12</v>
      </c>
      <c r="D21" s="117">
        <f>IFERROR((up_dir!D21/(up_Bv!C21+s_MLF_apple)),".")</f>
        <v>1.4506287569018197E-11</v>
      </c>
      <c r="E21" s="117">
        <f>IFERROR((up_dir!E21/(up_Bv!D21+s_MLF_asparagus)),".")</f>
        <v>1.4506287569018197E-11</v>
      </c>
      <c r="F21" s="117">
        <f>IFERROR((up_dir!F21/(up_Bv!E21+s_MLF_beet)),".")</f>
        <v>1.4506287569018197E-11</v>
      </c>
      <c r="G21" s="117">
        <f>IFERROR((up_dir!G21/(up_Bv!F21+s_MLF_berries)),".")</f>
        <v>1.4506287569018197E-11</v>
      </c>
      <c r="H21" s="117">
        <f>IFERROR((up_dir!H21/(up_Bv!G21+s_MLF_broccoli)),".")</f>
        <v>1.4506287569018197E-11</v>
      </c>
      <c r="I21" s="117">
        <f>IFERROR((up_dir!I21/(up_Bv!H21+s_MLF_cabbage)),".")</f>
        <v>1.4506287569018197E-11</v>
      </c>
      <c r="J21" s="117">
        <f>IFERROR((up_dir!J21/(up_Bv!I21+s_MLF_carrot)),".")</f>
        <v>1.4506287569018197E-11</v>
      </c>
      <c r="K21" s="117">
        <f>IFERROR((up_dir!K21/(up_Bv!J21+s_MLF_citrus)),".")</f>
        <v>1.4506287569018197E-11</v>
      </c>
      <c r="L21" s="117">
        <f>IFERROR((up_dir!L21/(up_Bv!K21+s_MLF_corn)),".")</f>
        <v>1.4506287569018197E-11</v>
      </c>
      <c r="M21" s="117">
        <f>IFERROR((up_dir!M21/(up_Bv!L21+s_MLF_cucumber)),".")</f>
        <v>1.4506287569018197E-11</v>
      </c>
      <c r="N21" s="117">
        <f>IFERROR((up_dir!N21/(up_Bv!M21+s_MLF_lettuce)),".")</f>
        <v>1.4506287569018197E-11</v>
      </c>
      <c r="O21" s="117">
        <f>IFERROR((up_dir!O21/(up_Bv!N21+s_MLF_lima_bean)),".")</f>
        <v>1.4506287569018197E-11</v>
      </c>
      <c r="P21" s="117">
        <f>IFERROR((up_dir!P21/(up_Bv!O21+s_MLF_okra)),".")</f>
        <v>1.4506287569018197E-11</v>
      </c>
      <c r="Q21" s="117">
        <f>IFERROR((up_dir!Q21/(up_Bv!P21+s_MLF_onion)),".")</f>
        <v>1.4506287569018197E-11</v>
      </c>
      <c r="R21" s="117">
        <f>IFERROR((up_dir!R21/(up_Bv!Q21+s_MLF_peach)),".")</f>
        <v>1.4506287569018197E-11</v>
      </c>
      <c r="S21" s="117">
        <f>IFERROR((up_dir!S21/(up_Bv!R21+s_MLF_pear)),".")</f>
        <v>1.4506287569018197E-11</v>
      </c>
      <c r="T21" s="117">
        <f>IFERROR((up_dir!T21/(up_Bv!S21+s_MLF_peas)),".")</f>
        <v>1.4506287569018197E-11</v>
      </c>
      <c r="U21" s="117">
        <f>IFERROR((up_dir!U21/(up_Bv!T21+s_MLF_potato)),".")</f>
        <v>1.4506287569018197E-11</v>
      </c>
      <c r="V21" s="117">
        <f>IFERROR((up_dir!V21/(up_Bv!U21+s_MLF_pumpkin)),".")</f>
        <v>1.4506287569018197E-11</v>
      </c>
      <c r="W21" s="117">
        <f>IFERROR((up_dir!W21/(up_Bv!V21+s_MLF_snap_bean)),".")</f>
        <v>1.4506287569018197E-11</v>
      </c>
      <c r="X21" s="117">
        <f>IFERROR((up_dir!X21/(up_Bv!W21+s_MLF_strawberry)),".")</f>
        <v>1.4506287569018197E-11</v>
      </c>
      <c r="Y21" s="117">
        <f>IFERROR((up_dir!Y21/(up_Bv!X21+s_MLF_tomato)),".")</f>
        <v>1.4506287569018197E-11</v>
      </c>
      <c r="Z21" s="117">
        <f>IFERROR((up_dir!Z21/(up_Bv!Y21+s_MLF_rice)),".")</f>
        <v>1.4506287569018197E-11</v>
      </c>
      <c r="AA21" s="117">
        <f>IFERROR((up_dir!AA21/(up_Bv!Z21+s_MLF_cereal)),".")</f>
        <v>1.4506287569018197E-11</v>
      </c>
      <c r="AB21" s="40">
        <f t="shared" si="2"/>
        <v>275742.5</v>
      </c>
      <c r="AC21" s="40">
        <f>s_C*(up_Bv!C21+s_MLF_apple)*s_IFAP_res_adj*s_CF_apple</f>
        <v>68935.625</v>
      </c>
      <c r="AD21" s="40">
        <f>s_C*(up_Bv!D21+s_MLF_asparagus)*s_IFAS_res_adj*s_CF_asparagus</f>
        <v>68935.625</v>
      </c>
      <c r="AE21" s="40">
        <f>s_C*(up_Bv!E21+s_MLF_beet)*s_IFBT_res_adj*s_CF_beet</f>
        <v>68935.625</v>
      </c>
      <c r="AF21" s="40">
        <f>s_C*(up_Bv!F21+s_MLF_berries)*s_IFBE_res_adj*s_CF_berries</f>
        <v>68935.625</v>
      </c>
      <c r="AG21" s="40">
        <f>s_C*(up_Bv!G21+s_MLF_broccoli)*s_IFBR_res_adj*s_CF_broccoli</f>
        <v>68935.625</v>
      </c>
      <c r="AH21" s="40">
        <f>s_C*(up_Bv!H21+s_MLF_cabbage)*s_IFCB_res_adj*s_CF_cabbage</f>
        <v>68935.625</v>
      </c>
      <c r="AI21" s="40">
        <f>s_C*(up_Bv!I21+s_MLF_carrot)*s_IFCR_res_adj*s_CF_carrot</f>
        <v>68935.625</v>
      </c>
      <c r="AJ21" s="40">
        <f>s_C*(up_Bv!J21+s_MLF_citrus)*s_IFCI_res_adj*s_CF_citrus</f>
        <v>68935.625</v>
      </c>
      <c r="AK21" s="40">
        <f>s_C*(up_Bv!K21+s_MLF_corn)*s_IFCO_res_adj*s_CF_corn</f>
        <v>68935.625</v>
      </c>
      <c r="AL21" s="40">
        <f>s_C*(up_Bv!L21+s_MLF_cucumber)*s_IFCU_res_adj*s_CF_cucumber</f>
        <v>68935.625</v>
      </c>
      <c r="AM21" s="40">
        <f>s_C*(up_Bv!M21+s_MLF_lettuce)*s_IFLE_res_adj*s_CF_lettuce</f>
        <v>68935.625</v>
      </c>
      <c r="AN21" s="40">
        <f>s_C*(up_Bv!N21+s_MLF_lima_bean)*s_IFLI_res_adj*s_CF_lima_bean</f>
        <v>68935.625</v>
      </c>
      <c r="AO21" s="40">
        <f>s_C*(up_Bv!O21+s_MLF_okra)*s_IFOK_res_adj*s_CF_okra</f>
        <v>68935.625</v>
      </c>
      <c r="AP21" s="40">
        <f>s_C*(up_Bv!P21+s_MLF_onion)*s_IFON_res_adj*s_CF_onion</f>
        <v>68935.625</v>
      </c>
      <c r="AQ21" s="40">
        <f>s_C*(up_Bv!Q21+s_MLF_peach)*s_IFPC_res_adj*s_CF_peach</f>
        <v>68935.625</v>
      </c>
      <c r="AR21" s="40">
        <f>s_C*(up_Bv!R21+s_MLF_pear)*s_IFPR_res_adj*s_CF_pear</f>
        <v>68935.625</v>
      </c>
      <c r="AS21" s="40">
        <f>s_C*(up_Bv!S21+s_MLF_peas)*s_IFPE_res_adj*s_CF_peas</f>
        <v>68935.625</v>
      </c>
      <c r="AT21" s="40">
        <f>s_C*(up_Bv!T21+s_MLF_potato)*s_IFPT_res_adj*s_CF_potato</f>
        <v>68935.625</v>
      </c>
      <c r="AU21" s="40">
        <f>s_C*(up_Bv!U21+s_MLF_pumpkin)*s_IFPU_res_adj*s_CF_pumpkin</f>
        <v>68935.625</v>
      </c>
      <c r="AV21" s="40">
        <f>s_C*(up_Bv!V21+s_MLF_snap_bean)*s_IFSN_res_adj*s_CF_snap_bean</f>
        <v>68935.625</v>
      </c>
      <c r="AW21" s="40">
        <f>s_C*(up_Bv!W21+s_MLF_strawberry)*s_IFST_res_adj*s_CF_strawberry</f>
        <v>68935.625</v>
      </c>
      <c r="AX21" s="40">
        <f>s_C*(up_Bv!X21+s_MLF_tomato)*s_IFTO_res_adj*s_CF_tomato</f>
        <v>68935.625</v>
      </c>
      <c r="AY21" s="40">
        <f>s_C*(up_Bv!Y21+s_MLF_rice)*s_IFRI_res_adj*s_CF_rice</f>
        <v>68935.625</v>
      </c>
      <c r="AZ21" s="40">
        <f>s_C*(up_Bv!Z21+s_MLF_cereal)*s_IFCG_res_adj*s_CF_cereal</f>
        <v>68935.625</v>
      </c>
      <c r="BA21" s="15">
        <f t="shared" si="1"/>
        <v>3.6265718922545492E-12</v>
      </c>
      <c r="BB21" s="15">
        <f>IFERROR((up_dir!AC21/(up_Bv!C21+s_MLF_apple)),".")</f>
        <v>1.4506287569018197E-11</v>
      </c>
      <c r="BC21" s="15">
        <f>IFERROR((up_dir!AD21/(up_Bv!D21+s_MLF_asparagus)),".")</f>
        <v>1.4506287569018197E-11</v>
      </c>
      <c r="BD21" s="15">
        <f>IFERROR((up_dir!AE21/(up_Bv!E21+s_MLF_beet)),".")</f>
        <v>1.4506287569018197E-11</v>
      </c>
      <c r="BE21" s="15">
        <f>IFERROR((up_dir!AF21/(up_Bv!F21+s_MLF_berries)),".")</f>
        <v>1.4506287569018197E-11</v>
      </c>
      <c r="BF21" s="15">
        <f>IFERROR((up_dir!AG21/(up_Bv!G21+s_MLF_broccoli)),".")</f>
        <v>1.4506287569018197E-11</v>
      </c>
      <c r="BG21" s="15">
        <f>IFERROR((up_dir!AH21/(up_Bv!H21+s_MLF_cabbage)),".")</f>
        <v>1.4506287569018197E-11</v>
      </c>
      <c r="BH21" s="15">
        <f>IFERROR((up_dir!AI21/(up_Bv!I21+s_MLF_carrot)),".")</f>
        <v>1.4506287569018197E-11</v>
      </c>
      <c r="BI21" s="15">
        <f>IFERROR((up_dir!AJ21/(up_Bv!J21+s_MLF_citrus)),".")</f>
        <v>1.4506287569018197E-11</v>
      </c>
      <c r="BJ21" s="15">
        <f>IFERROR((up_dir!AK21/(up_Bv!K21+s_MLF_corn)),".")</f>
        <v>1.4506287569018197E-11</v>
      </c>
      <c r="BK21" s="15">
        <f>IFERROR((up_dir!AL21/(up_Bv!L21+s_MLF_cucumber)),".")</f>
        <v>1.4506287569018197E-11</v>
      </c>
      <c r="BL21" s="15">
        <f>IFERROR((up_dir!AM21/(up_Bv!M21+s_MLF_lettuce)),".")</f>
        <v>1.4506287569018197E-11</v>
      </c>
      <c r="BM21" s="15">
        <f>IFERROR((up_dir!AN21/(up_Bv!N21+s_MLF_lima_bean)),".")</f>
        <v>1.4506287569018197E-11</v>
      </c>
      <c r="BN21" s="15">
        <f>IFERROR((up_dir!AO21/(up_Bv!O21+s_MLF_okra)),".")</f>
        <v>1.4506287569018197E-11</v>
      </c>
      <c r="BO21" s="15">
        <f>IFERROR((up_dir!AP21/(up_Bv!P21+s_MLF_onion)),".")</f>
        <v>1.4506287569018197E-11</v>
      </c>
      <c r="BP21" s="15">
        <f>IFERROR((up_dir!AQ21/(up_Bv!Q21+s_MLF_peach)),".")</f>
        <v>1.4506287569018197E-11</v>
      </c>
      <c r="BQ21" s="15">
        <f>IFERROR((up_dir!AR21/(up_Bv!R21+s_MLF_pear)),".")</f>
        <v>1.4506287569018197E-11</v>
      </c>
      <c r="BR21" s="15">
        <f>IFERROR((up_dir!AS21/(up_Bv!S21+s_MLF_peas)),".")</f>
        <v>1.4506287569018197E-11</v>
      </c>
      <c r="BS21" s="15">
        <f>IFERROR((up_dir!AT21/(up_Bv!T21+s_MLF_potato)),".")</f>
        <v>1.4506287569018197E-11</v>
      </c>
      <c r="BT21" s="15">
        <f>IFERROR((up_dir!AU21/(up_Bv!U21+s_MLF_pumpkin)),".")</f>
        <v>1.4506287569018197E-11</v>
      </c>
      <c r="BU21" s="15">
        <f>IFERROR((up_dir!AV21/(up_Bv!V21+s_MLF_snap_bean)),".")</f>
        <v>1.4506287569018197E-11</v>
      </c>
      <c r="BV21" s="15">
        <f>IFERROR((up_dir!AW21/(up_Bv!W21+s_MLF_strawberry)),".")</f>
        <v>1.4506287569018197E-11</v>
      </c>
      <c r="BW21" s="15">
        <f>IFERROR((up_dir!AX21/(up_Bv!X21+s_MLF_tomato)),".")</f>
        <v>1.4506287569018197E-11</v>
      </c>
      <c r="BX21" s="15">
        <f>IFERROR((up_dir!AY21/(up_Bv!Y21+s_MLF_rice)),".")</f>
        <v>1.4506287569018197E-11</v>
      </c>
      <c r="BY21" s="15">
        <f>IFERROR((up_dir!AZ21/(up_Bv!Z21+s_MLF_cereal)),".")</f>
        <v>1.4506287569018197E-11</v>
      </c>
      <c r="BZ21" s="40">
        <f t="shared" si="3"/>
        <v>275742.5</v>
      </c>
      <c r="CA21" s="40">
        <f>IFERROR(s_C*(up_Bv!C21+s_MLF_apple)*s_IFAP_far_adj*s_CF_apple,".")</f>
        <v>68935.625</v>
      </c>
      <c r="CB21" s="40">
        <f>IFERROR(s_C*(up_Bv!D21+s_MLF_asparagus)*s_IFAS_far_adj*s_CF_asparagus,".")</f>
        <v>68935.625</v>
      </c>
      <c r="CC21" s="40">
        <f>IFERROR(s_C*(up_Bv!E21+s_MLF_beet)*s_IFBT_far_adj*s_CF_beet,".")</f>
        <v>68935.625</v>
      </c>
      <c r="CD21" s="40">
        <f>IFERROR(s_C*(up_Bv!F21+s_MLF_berries)*s_IFBR_far_adj*s_CF_berries,".")</f>
        <v>68935.625</v>
      </c>
      <c r="CE21" s="40">
        <f>IFERROR(s_C*(up_Bv!G21+s_MLF_broccoli)*s_IFBR_far_adj*s_CF_broccoli,".")</f>
        <v>68935.625</v>
      </c>
      <c r="CF21" s="40">
        <f>IFERROR(s_C*(up_Bv!H21+s_MLF_cabbage)*s_IFCB_far_adj*s_CF_cabbage,".")</f>
        <v>68935.625</v>
      </c>
      <c r="CG21" s="40">
        <f>IFERROR(s_C*(up_Bv!I21+s_MLF_carrot)*s_IFCR_far_adj*s_CF_carrot,".")</f>
        <v>68935.625</v>
      </c>
      <c r="CH21" s="40">
        <f>IFERROR(s_C*(up_Bv!J21+s_MLF_citrus)*s_IFCI_far_adj*s_CF_citrus,".")</f>
        <v>68935.625</v>
      </c>
      <c r="CI21" s="40">
        <f>IFERROR(s_C*(up_Bv!K21+s_MLF_corn)*s_IFCO_far_adj*s_CF_corn,".")</f>
        <v>68935.625</v>
      </c>
      <c r="CJ21" s="40">
        <f>IFERROR(s_C*(up_Bv!L21+s_MLF_cucumber)*s_IFCU_far_adj*s_CF_cucumber,".")</f>
        <v>68935.625</v>
      </c>
      <c r="CK21" s="40">
        <f>IFERROR(s_C*(up_Bv!M21+s_MLF_lettuce)*s_IFLE_far_adj*s_CF_lettuce,".")</f>
        <v>68935.625</v>
      </c>
      <c r="CL21" s="40">
        <f>IFERROR(s_C*(up_Bv!N21+s_MLF_lima_bean)*s_IFLI_far_adj*s_CF_lima_bean,".")</f>
        <v>68935.625</v>
      </c>
      <c r="CM21" s="40">
        <f>IFERROR(s_C*(up_Bv!O21+s_MLF_okra)*s_IFOK_far_adj*s_CF_okra,".")</f>
        <v>68935.625</v>
      </c>
      <c r="CN21" s="40">
        <f>IFERROR(s_C*(up_Bv!P21+s_MLF_onion)*s_IFON_far_adj*s_CF_onion,".")</f>
        <v>68935.625</v>
      </c>
      <c r="CO21" s="40">
        <f>IFERROR(s_C*(up_Bv!Q21+s_MLF_peach)*s_IFPC_far_adj*s_CF_peach,".")</f>
        <v>68935.625</v>
      </c>
      <c r="CP21" s="40">
        <f>IFERROR(s_C*(up_Bv!R21+s_MLF_pear)*s_IFPR_far_adj*s_CF_pear,".")</f>
        <v>68935.625</v>
      </c>
      <c r="CQ21" s="40">
        <f>IFERROR(s_C*(up_Bv!S21+s_MLF_peas)*s_IFPE_far_adj*s_CF_peas,".")</f>
        <v>68935.625</v>
      </c>
      <c r="CR21" s="40">
        <f>IFERROR(s_C*(up_Bv!T21+s_MLF_potato)*s_IFPT_far_adj*s_CF_potato,".")</f>
        <v>68935.625</v>
      </c>
      <c r="CS21" s="40">
        <f>IFERROR(s_C*(up_Bv!U21+s_MLF_pumpkin)*s_IFPU_far_adj*s_CF_pumpkin,".")</f>
        <v>68935.625</v>
      </c>
      <c r="CT21" s="40">
        <f>IFERROR(s_C*(up_Bv!V21+s_MLF_snap_bean)*s_IFSN_far_adj*s_CF_snap_bean,".")</f>
        <v>68935.625</v>
      </c>
      <c r="CU21" s="40">
        <f>IFERROR(s_C*(up_Bv!W21+s_MLF_strawberry)*s_IFST_far_adj*s_CF_strawberry,".")</f>
        <v>68935.625</v>
      </c>
      <c r="CV21" s="40">
        <f>IFERROR(s_C*(up_Bv!X21+s_MLF_tomato)*s_IFTO_far_adj*s_CF_tomato,".")</f>
        <v>68935.625</v>
      </c>
      <c r="CW21" s="40">
        <f>IFERROR(s_C*(up_Bv!Y21+s_MLF_rice)*s_IFRI_far_adj*s_CF_rice,".")</f>
        <v>68935.625</v>
      </c>
      <c r="CX21" s="40">
        <f>IFERROR(s_C*(up_Bv!Z21+s_MLF_cereal)*s_IFCG_far_adj*s_CF_cereal,".")</f>
        <v>68935.625</v>
      </c>
    </row>
    <row r="22" spans="1:102" ht="15" customHeight="1" x14ac:dyDescent="0.25">
      <c r="A22" s="44" t="s">
        <v>32</v>
      </c>
      <c r="B22" s="42" t="s">
        <v>1074</v>
      </c>
      <c r="C22" s="117">
        <f t="shared" si="0"/>
        <v>3.6265718922545492E-12</v>
      </c>
      <c r="D22" s="117">
        <f>IFERROR((up_dir!D22/(up_Bv!C22+s_MLF_apple)),".")</f>
        <v>1.4506287569018197E-11</v>
      </c>
      <c r="E22" s="117">
        <f>IFERROR((up_dir!E22/(up_Bv!D22+s_MLF_asparagus)),".")</f>
        <v>1.4506287569018197E-11</v>
      </c>
      <c r="F22" s="117">
        <f>IFERROR((up_dir!F22/(up_Bv!E22+s_MLF_beet)),".")</f>
        <v>1.4506287569018197E-11</v>
      </c>
      <c r="G22" s="117">
        <f>IFERROR((up_dir!G22/(up_Bv!F22+s_MLF_berries)),".")</f>
        <v>1.4506287569018197E-11</v>
      </c>
      <c r="H22" s="117">
        <f>IFERROR((up_dir!H22/(up_Bv!G22+s_MLF_broccoli)),".")</f>
        <v>1.4506287569018197E-11</v>
      </c>
      <c r="I22" s="117">
        <f>IFERROR((up_dir!I22/(up_Bv!H22+s_MLF_cabbage)),".")</f>
        <v>1.4506287569018197E-11</v>
      </c>
      <c r="J22" s="117">
        <f>IFERROR((up_dir!J22/(up_Bv!I22+s_MLF_carrot)),".")</f>
        <v>1.4506287569018197E-11</v>
      </c>
      <c r="K22" s="117">
        <f>IFERROR((up_dir!K22/(up_Bv!J22+s_MLF_citrus)),".")</f>
        <v>1.4506287569018197E-11</v>
      </c>
      <c r="L22" s="117">
        <f>IFERROR((up_dir!L22/(up_Bv!K22+s_MLF_corn)),".")</f>
        <v>1.4506287569018197E-11</v>
      </c>
      <c r="M22" s="117">
        <f>IFERROR((up_dir!M22/(up_Bv!L22+s_MLF_cucumber)),".")</f>
        <v>1.4506287569018197E-11</v>
      </c>
      <c r="N22" s="117">
        <f>IFERROR((up_dir!N22/(up_Bv!M22+s_MLF_lettuce)),".")</f>
        <v>1.4506287569018197E-11</v>
      </c>
      <c r="O22" s="117">
        <f>IFERROR((up_dir!O22/(up_Bv!N22+s_MLF_lima_bean)),".")</f>
        <v>1.4506287569018197E-11</v>
      </c>
      <c r="P22" s="117">
        <f>IFERROR((up_dir!P22/(up_Bv!O22+s_MLF_okra)),".")</f>
        <v>1.4506287569018197E-11</v>
      </c>
      <c r="Q22" s="117">
        <f>IFERROR((up_dir!Q22/(up_Bv!P22+s_MLF_onion)),".")</f>
        <v>1.4506287569018197E-11</v>
      </c>
      <c r="R22" s="117">
        <f>IFERROR((up_dir!R22/(up_Bv!Q22+s_MLF_peach)),".")</f>
        <v>1.4506287569018197E-11</v>
      </c>
      <c r="S22" s="117">
        <f>IFERROR((up_dir!S22/(up_Bv!R22+s_MLF_pear)),".")</f>
        <v>1.4506287569018197E-11</v>
      </c>
      <c r="T22" s="117">
        <f>IFERROR((up_dir!T22/(up_Bv!S22+s_MLF_peas)),".")</f>
        <v>1.4506287569018197E-11</v>
      </c>
      <c r="U22" s="117">
        <f>IFERROR((up_dir!U22/(up_Bv!T22+s_MLF_potato)),".")</f>
        <v>1.4506287569018197E-11</v>
      </c>
      <c r="V22" s="117">
        <f>IFERROR((up_dir!V22/(up_Bv!U22+s_MLF_pumpkin)),".")</f>
        <v>1.4506287569018197E-11</v>
      </c>
      <c r="W22" s="117">
        <f>IFERROR((up_dir!W22/(up_Bv!V22+s_MLF_snap_bean)),".")</f>
        <v>1.4506287569018197E-11</v>
      </c>
      <c r="X22" s="117">
        <f>IFERROR((up_dir!X22/(up_Bv!W22+s_MLF_strawberry)),".")</f>
        <v>1.4506287569018197E-11</v>
      </c>
      <c r="Y22" s="117">
        <f>IFERROR((up_dir!Y22/(up_Bv!X22+s_MLF_tomato)),".")</f>
        <v>1.4506287569018197E-11</v>
      </c>
      <c r="Z22" s="117">
        <f>IFERROR((up_dir!Z22/(up_Bv!Y22+s_MLF_rice)),".")</f>
        <v>1.4506287569018197E-11</v>
      </c>
      <c r="AA22" s="117">
        <f>IFERROR((up_dir!AA22/(up_Bv!Z22+s_MLF_cereal)),".")</f>
        <v>1.4506287569018197E-11</v>
      </c>
      <c r="AB22" s="40">
        <f t="shared" si="2"/>
        <v>275742.5</v>
      </c>
      <c r="AC22" s="40">
        <f>s_C*(up_Bv!C22+s_MLF_apple)*s_IFAP_res_adj*s_CF_apple</f>
        <v>68935.625</v>
      </c>
      <c r="AD22" s="40">
        <f>s_C*(up_Bv!D22+s_MLF_asparagus)*s_IFAS_res_adj*s_CF_asparagus</f>
        <v>68935.625</v>
      </c>
      <c r="AE22" s="40">
        <f>s_C*(up_Bv!E22+s_MLF_beet)*s_IFBT_res_adj*s_CF_beet</f>
        <v>68935.625</v>
      </c>
      <c r="AF22" s="40">
        <f>s_C*(up_Bv!F22+s_MLF_berries)*s_IFBE_res_adj*s_CF_berries</f>
        <v>68935.625</v>
      </c>
      <c r="AG22" s="40">
        <f>s_C*(up_Bv!G22+s_MLF_broccoli)*s_IFBR_res_adj*s_CF_broccoli</f>
        <v>68935.625</v>
      </c>
      <c r="AH22" s="40">
        <f>s_C*(up_Bv!H22+s_MLF_cabbage)*s_IFCB_res_adj*s_CF_cabbage</f>
        <v>68935.625</v>
      </c>
      <c r="AI22" s="40">
        <f>s_C*(up_Bv!I22+s_MLF_carrot)*s_IFCR_res_adj*s_CF_carrot</f>
        <v>68935.625</v>
      </c>
      <c r="AJ22" s="40">
        <f>s_C*(up_Bv!J22+s_MLF_citrus)*s_IFCI_res_adj*s_CF_citrus</f>
        <v>68935.625</v>
      </c>
      <c r="AK22" s="40">
        <f>s_C*(up_Bv!K22+s_MLF_corn)*s_IFCO_res_adj*s_CF_corn</f>
        <v>68935.625</v>
      </c>
      <c r="AL22" s="40">
        <f>s_C*(up_Bv!L22+s_MLF_cucumber)*s_IFCU_res_adj*s_CF_cucumber</f>
        <v>68935.625</v>
      </c>
      <c r="AM22" s="40">
        <f>s_C*(up_Bv!M22+s_MLF_lettuce)*s_IFLE_res_adj*s_CF_lettuce</f>
        <v>68935.625</v>
      </c>
      <c r="AN22" s="40">
        <f>s_C*(up_Bv!N22+s_MLF_lima_bean)*s_IFLI_res_adj*s_CF_lima_bean</f>
        <v>68935.625</v>
      </c>
      <c r="AO22" s="40">
        <f>s_C*(up_Bv!O22+s_MLF_okra)*s_IFOK_res_adj*s_CF_okra</f>
        <v>68935.625</v>
      </c>
      <c r="AP22" s="40">
        <f>s_C*(up_Bv!P22+s_MLF_onion)*s_IFON_res_adj*s_CF_onion</f>
        <v>68935.625</v>
      </c>
      <c r="AQ22" s="40">
        <f>s_C*(up_Bv!Q22+s_MLF_peach)*s_IFPC_res_adj*s_CF_peach</f>
        <v>68935.625</v>
      </c>
      <c r="AR22" s="40">
        <f>s_C*(up_Bv!R22+s_MLF_pear)*s_IFPR_res_adj*s_CF_pear</f>
        <v>68935.625</v>
      </c>
      <c r="AS22" s="40">
        <f>s_C*(up_Bv!S22+s_MLF_peas)*s_IFPE_res_adj*s_CF_peas</f>
        <v>68935.625</v>
      </c>
      <c r="AT22" s="40">
        <f>s_C*(up_Bv!T22+s_MLF_potato)*s_IFPT_res_adj*s_CF_potato</f>
        <v>68935.625</v>
      </c>
      <c r="AU22" s="40">
        <f>s_C*(up_Bv!U22+s_MLF_pumpkin)*s_IFPU_res_adj*s_CF_pumpkin</f>
        <v>68935.625</v>
      </c>
      <c r="AV22" s="40">
        <f>s_C*(up_Bv!V22+s_MLF_snap_bean)*s_IFSN_res_adj*s_CF_snap_bean</f>
        <v>68935.625</v>
      </c>
      <c r="AW22" s="40">
        <f>s_C*(up_Bv!W22+s_MLF_strawberry)*s_IFST_res_adj*s_CF_strawberry</f>
        <v>68935.625</v>
      </c>
      <c r="AX22" s="40">
        <f>s_C*(up_Bv!X22+s_MLF_tomato)*s_IFTO_res_adj*s_CF_tomato</f>
        <v>68935.625</v>
      </c>
      <c r="AY22" s="40">
        <f>s_C*(up_Bv!Y22+s_MLF_rice)*s_IFRI_res_adj*s_CF_rice</f>
        <v>68935.625</v>
      </c>
      <c r="AZ22" s="40">
        <f>s_C*(up_Bv!Z22+s_MLF_cereal)*s_IFCG_res_adj*s_CF_cereal</f>
        <v>68935.625</v>
      </c>
      <c r="BA22" s="15">
        <f t="shared" si="1"/>
        <v>3.6265718922545492E-12</v>
      </c>
      <c r="BB22" s="15">
        <f>IFERROR((up_dir!AC22/(up_Bv!C22+s_MLF_apple)),".")</f>
        <v>1.4506287569018197E-11</v>
      </c>
      <c r="BC22" s="15">
        <f>IFERROR((up_dir!AD22/(up_Bv!D22+s_MLF_asparagus)),".")</f>
        <v>1.4506287569018197E-11</v>
      </c>
      <c r="BD22" s="15">
        <f>IFERROR((up_dir!AE22/(up_Bv!E22+s_MLF_beet)),".")</f>
        <v>1.4506287569018197E-11</v>
      </c>
      <c r="BE22" s="15">
        <f>IFERROR((up_dir!AF22/(up_Bv!F22+s_MLF_berries)),".")</f>
        <v>1.4506287569018197E-11</v>
      </c>
      <c r="BF22" s="15">
        <f>IFERROR((up_dir!AG22/(up_Bv!G22+s_MLF_broccoli)),".")</f>
        <v>1.4506287569018197E-11</v>
      </c>
      <c r="BG22" s="15">
        <f>IFERROR((up_dir!AH22/(up_Bv!H22+s_MLF_cabbage)),".")</f>
        <v>1.4506287569018197E-11</v>
      </c>
      <c r="BH22" s="15">
        <f>IFERROR((up_dir!AI22/(up_Bv!I22+s_MLF_carrot)),".")</f>
        <v>1.4506287569018197E-11</v>
      </c>
      <c r="BI22" s="15">
        <f>IFERROR((up_dir!AJ22/(up_Bv!J22+s_MLF_citrus)),".")</f>
        <v>1.4506287569018197E-11</v>
      </c>
      <c r="BJ22" s="15">
        <f>IFERROR((up_dir!AK22/(up_Bv!K22+s_MLF_corn)),".")</f>
        <v>1.4506287569018197E-11</v>
      </c>
      <c r="BK22" s="15">
        <f>IFERROR((up_dir!AL22/(up_Bv!L22+s_MLF_cucumber)),".")</f>
        <v>1.4506287569018197E-11</v>
      </c>
      <c r="BL22" s="15">
        <f>IFERROR((up_dir!AM22/(up_Bv!M22+s_MLF_lettuce)),".")</f>
        <v>1.4506287569018197E-11</v>
      </c>
      <c r="BM22" s="15">
        <f>IFERROR((up_dir!AN22/(up_Bv!N22+s_MLF_lima_bean)),".")</f>
        <v>1.4506287569018197E-11</v>
      </c>
      <c r="BN22" s="15">
        <f>IFERROR((up_dir!AO22/(up_Bv!O22+s_MLF_okra)),".")</f>
        <v>1.4506287569018197E-11</v>
      </c>
      <c r="BO22" s="15">
        <f>IFERROR((up_dir!AP22/(up_Bv!P22+s_MLF_onion)),".")</f>
        <v>1.4506287569018197E-11</v>
      </c>
      <c r="BP22" s="15">
        <f>IFERROR((up_dir!AQ22/(up_Bv!Q22+s_MLF_peach)),".")</f>
        <v>1.4506287569018197E-11</v>
      </c>
      <c r="BQ22" s="15">
        <f>IFERROR((up_dir!AR22/(up_Bv!R22+s_MLF_pear)),".")</f>
        <v>1.4506287569018197E-11</v>
      </c>
      <c r="BR22" s="15">
        <f>IFERROR((up_dir!AS22/(up_Bv!S22+s_MLF_peas)),".")</f>
        <v>1.4506287569018197E-11</v>
      </c>
      <c r="BS22" s="15">
        <f>IFERROR((up_dir!AT22/(up_Bv!T22+s_MLF_potato)),".")</f>
        <v>1.4506287569018197E-11</v>
      </c>
      <c r="BT22" s="15">
        <f>IFERROR((up_dir!AU22/(up_Bv!U22+s_MLF_pumpkin)),".")</f>
        <v>1.4506287569018197E-11</v>
      </c>
      <c r="BU22" s="15">
        <f>IFERROR((up_dir!AV22/(up_Bv!V22+s_MLF_snap_bean)),".")</f>
        <v>1.4506287569018197E-11</v>
      </c>
      <c r="BV22" s="15">
        <f>IFERROR((up_dir!AW22/(up_Bv!W22+s_MLF_strawberry)),".")</f>
        <v>1.4506287569018197E-11</v>
      </c>
      <c r="BW22" s="15">
        <f>IFERROR((up_dir!AX22/(up_Bv!X22+s_MLF_tomato)),".")</f>
        <v>1.4506287569018197E-11</v>
      </c>
      <c r="BX22" s="15">
        <f>IFERROR((up_dir!AY22/(up_Bv!Y22+s_MLF_rice)),".")</f>
        <v>1.4506287569018197E-11</v>
      </c>
      <c r="BY22" s="15">
        <f>IFERROR((up_dir!AZ22/(up_Bv!Z22+s_MLF_cereal)),".")</f>
        <v>1.4506287569018197E-11</v>
      </c>
      <c r="BZ22" s="40">
        <f t="shared" si="3"/>
        <v>275742.5</v>
      </c>
      <c r="CA22" s="40">
        <f>IFERROR(s_C*(up_Bv!C22+s_MLF_apple)*s_IFAP_far_adj*s_CF_apple,".")</f>
        <v>68935.625</v>
      </c>
      <c r="CB22" s="40">
        <f>IFERROR(s_C*(up_Bv!D22+s_MLF_asparagus)*s_IFAS_far_adj*s_CF_asparagus,".")</f>
        <v>68935.625</v>
      </c>
      <c r="CC22" s="40">
        <f>IFERROR(s_C*(up_Bv!E22+s_MLF_beet)*s_IFBT_far_adj*s_CF_beet,".")</f>
        <v>68935.625</v>
      </c>
      <c r="CD22" s="40">
        <f>IFERROR(s_C*(up_Bv!F22+s_MLF_berries)*s_IFBR_far_adj*s_CF_berries,".")</f>
        <v>68935.625</v>
      </c>
      <c r="CE22" s="40">
        <f>IFERROR(s_C*(up_Bv!G22+s_MLF_broccoli)*s_IFBR_far_adj*s_CF_broccoli,".")</f>
        <v>68935.625</v>
      </c>
      <c r="CF22" s="40">
        <f>IFERROR(s_C*(up_Bv!H22+s_MLF_cabbage)*s_IFCB_far_adj*s_CF_cabbage,".")</f>
        <v>68935.625</v>
      </c>
      <c r="CG22" s="40">
        <f>IFERROR(s_C*(up_Bv!I22+s_MLF_carrot)*s_IFCR_far_adj*s_CF_carrot,".")</f>
        <v>68935.625</v>
      </c>
      <c r="CH22" s="40">
        <f>IFERROR(s_C*(up_Bv!J22+s_MLF_citrus)*s_IFCI_far_adj*s_CF_citrus,".")</f>
        <v>68935.625</v>
      </c>
      <c r="CI22" s="40">
        <f>IFERROR(s_C*(up_Bv!K22+s_MLF_corn)*s_IFCO_far_adj*s_CF_corn,".")</f>
        <v>68935.625</v>
      </c>
      <c r="CJ22" s="40">
        <f>IFERROR(s_C*(up_Bv!L22+s_MLF_cucumber)*s_IFCU_far_adj*s_CF_cucumber,".")</f>
        <v>68935.625</v>
      </c>
      <c r="CK22" s="40">
        <f>IFERROR(s_C*(up_Bv!M22+s_MLF_lettuce)*s_IFLE_far_adj*s_CF_lettuce,".")</f>
        <v>68935.625</v>
      </c>
      <c r="CL22" s="40">
        <f>IFERROR(s_C*(up_Bv!N22+s_MLF_lima_bean)*s_IFLI_far_adj*s_CF_lima_bean,".")</f>
        <v>68935.625</v>
      </c>
      <c r="CM22" s="40">
        <f>IFERROR(s_C*(up_Bv!O22+s_MLF_okra)*s_IFOK_far_adj*s_CF_okra,".")</f>
        <v>68935.625</v>
      </c>
      <c r="CN22" s="40">
        <f>IFERROR(s_C*(up_Bv!P22+s_MLF_onion)*s_IFON_far_adj*s_CF_onion,".")</f>
        <v>68935.625</v>
      </c>
      <c r="CO22" s="40">
        <f>IFERROR(s_C*(up_Bv!Q22+s_MLF_peach)*s_IFPC_far_adj*s_CF_peach,".")</f>
        <v>68935.625</v>
      </c>
      <c r="CP22" s="40">
        <f>IFERROR(s_C*(up_Bv!R22+s_MLF_pear)*s_IFPR_far_adj*s_CF_pear,".")</f>
        <v>68935.625</v>
      </c>
      <c r="CQ22" s="40">
        <f>IFERROR(s_C*(up_Bv!S22+s_MLF_peas)*s_IFPE_far_adj*s_CF_peas,".")</f>
        <v>68935.625</v>
      </c>
      <c r="CR22" s="40">
        <f>IFERROR(s_C*(up_Bv!T22+s_MLF_potato)*s_IFPT_far_adj*s_CF_potato,".")</f>
        <v>68935.625</v>
      </c>
      <c r="CS22" s="40">
        <f>IFERROR(s_C*(up_Bv!U22+s_MLF_pumpkin)*s_IFPU_far_adj*s_CF_pumpkin,".")</f>
        <v>68935.625</v>
      </c>
      <c r="CT22" s="40">
        <f>IFERROR(s_C*(up_Bv!V22+s_MLF_snap_bean)*s_IFSN_far_adj*s_CF_snap_bean,".")</f>
        <v>68935.625</v>
      </c>
      <c r="CU22" s="40">
        <f>IFERROR(s_C*(up_Bv!W22+s_MLF_strawberry)*s_IFST_far_adj*s_CF_strawberry,".")</f>
        <v>68935.625</v>
      </c>
      <c r="CV22" s="40">
        <f>IFERROR(s_C*(up_Bv!X22+s_MLF_tomato)*s_IFTO_far_adj*s_CF_tomato,".")</f>
        <v>68935.625</v>
      </c>
      <c r="CW22" s="40">
        <f>IFERROR(s_C*(up_Bv!Y22+s_MLF_rice)*s_IFRI_far_adj*s_CF_rice,".")</f>
        <v>68935.625</v>
      </c>
      <c r="CX22" s="40">
        <f>IFERROR(s_C*(up_Bv!Z22+s_MLF_cereal)*s_IFCG_far_adj*s_CF_cereal,".")</f>
        <v>68935.625</v>
      </c>
    </row>
    <row r="23" spans="1:102" x14ac:dyDescent="0.25">
      <c r="A23" s="46" t="s">
        <v>33</v>
      </c>
      <c r="B23" s="42" t="s">
        <v>351</v>
      </c>
      <c r="C23" s="117">
        <f t="shared" si="0"/>
        <v>3.6265718922545492E-12</v>
      </c>
      <c r="D23" s="117">
        <f>IFERROR((up_dir!D23/(up_Bv!C23+s_MLF_apple)),".")</f>
        <v>1.4506287569018197E-11</v>
      </c>
      <c r="E23" s="117">
        <f>IFERROR((up_dir!E23/(up_Bv!D23+s_MLF_asparagus)),".")</f>
        <v>1.4506287569018197E-11</v>
      </c>
      <c r="F23" s="117">
        <f>IFERROR((up_dir!F23/(up_Bv!E23+s_MLF_beet)),".")</f>
        <v>1.4506287569018197E-11</v>
      </c>
      <c r="G23" s="117">
        <f>IFERROR((up_dir!G23/(up_Bv!F23+s_MLF_berries)),".")</f>
        <v>1.4506287569018197E-11</v>
      </c>
      <c r="H23" s="117">
        <f>IFERROR((up_dir!H23/(up_Bv!G23+s_MLF_broccoli)),".")</f>
        <v>1.4506287569018197E-11</v>
      </c>
      <c r="I23" s="117">
        <f>IFERROR((up_dir!I23/(up_Bv!H23+s_MLF_cabbage)),".")</f>
        <v>1.4506287569018197E-11</v>
      </c>
      <c r="J23" s="117">
        <f>IFERROR((up_dir!J23/(up_Bv!I23+s_MLF_carrot)),".")</f>
        <v>1.4506287569018197E-11</v>
      </c>
      <c r="K23" s="117">
        <f>IFERROR((up_dir!K23/(up_Bv!J23+s_MLF_citrus)),".")</f>
        <v>1.4506287569018197E-11</v>
      </c>
      <c r="L23" s="117">
        <f>IFERROR((up_dir!L23/(up_Bv!K23+s_MLF_corn)),".")</f>
        <v>1.4506287569018197E-11</v>
      </c>
      <c r="M23" s="117">
        <f>IFERROR((up_dir!M23/(up_Bv!L23+s_MLF_cucumber)),".")</f>
        <v>1.4506287569018197E-11</v>
      </c>
      <c r="N23" s="117">
        <f>IFERROR((up_dir!N23/(up_Bv!M23+s_MLF_lettuce)),".")</f>
        <v>1.4506287569018197E-11</v>
      </c>
      <c r="O23" s="117">
        <f>IFERROR((up_dir!O23/(up_Bv!N23+s_MLF_lima_bean)),".")</f>
        <v>1.4506287569018197E-11</v>
      </c>
      <c r="P23" s="117">
        <f>IFERROR((up_dir!P23/(up_Bv!O23+s_MLF_okra)),".")</f>
        <v>1.4506287569018197E-11</v>
      </c>
      <c r="Q23" s="117">
        <f>IFERROR((up_dir!Q23/(up_Bv!P23+s_MLF_onion)),".")</f>
        <v>1.4506287569018197E-11</v>
      </c>
      <c r="R23" s="117">
        <f>IFERROR((up_dir!R23/(up_Bv!Q23+s_MLF_peach)),".")</f>
        <v>1.4506287569018197E-11</v>
      </c>
      <c r="S23" s="117">
        <f>IFERROR((up_dir!S23/(up_Bv!R23+s_MLF_pear)),".")</f>
        <v>1.4506287569018197E-11</v>
      </c>
      <c r="T23" s="117">
        <f>IFERROR((up_dir!T23/(up_Bv!S23+s_MLF_peas)),".")</f>
        <v>1.4506287569018197E-11</v>
      </c>
      <c r="U23" s="117">
        <f>IFERROR((up_dir!U23/(up_Bv!T23+s_MLF_potato)),".")</f>
        <v>1.4506287569018197E-11</v>
      </c>
      <c r="V23" s="117">
        <f>IFERROR((up_dir!V23/(up_Bv!U23+s_MLF_pumpkin)),".")</f>
        <v>1.4506287569018197E-11</v>
      </c>
      <c r="W23" s="117">
        <f>IFERROR((up_dir!W23/(up_Bv!V23+s_MLF_snap_bean)),".")</f>
        <v>1.4506287569018197E-11</v>
      </c>
      <c r="X23" s="117">
        <f>IFERROR((up_dir!X23/(up_Bv!W23+s_MLF_strawberry)),".")</f>
        <v>1.4506287569018197E-11</v>
      </c>
      <c r="Y23" s="117">
        <f>IFERROR((up_dir!Y23/(up_Bv!X23+s_MLF_tomato)),".")</f>
        <v>1.4506287569018197E-11</v>
      </c>
      <c r="Z23" s="117">
        <f>IFERROR((up_dir!Z23/(up_Bv!Y23+s_MLF_rice)),".")</f>
        <v>1.4506287569018197E-11</v>
      </c>
      <c r="AA23" s="117">
        <f>IFERROR((up_dir!AA23/(up_Bv!Z23+s_MLF_cereal)),".")</f>
        <v>1.4506287569018197E-11</v>
      </c>
      <c r="AB23" s="40">
        <f t="shared" si="2"/>
        <v>275742.5</v>
      </c>
      <c r="AC23" s="40">
        <f>s_C*(up_Bv!C23+s_MLF_apple)*s_IFAP_res_adj*s_CF_apple</f>
        <v>68935.625</v>
      </c>
      <c r="AD23" s="40">
        <f>s_C*(up_Bv!D23+s_MLF_asparagus)*s_IFAS_res_adj*s_CF_asparagus</f>
        <v>68935.625</v>
      </c>
      <c r="AE23" s="40">
        <f>s_C*(up_Bv!E23+s_MLF_beet)*s_IFBT_res_adj*s_CF_beet</f>
        <v>68935.625</v>
      </c>
      <c r="AF23" s="40">
        <f>s_C*(up_Bv!F23+s_MLF_berries)*s_IFBE_res_adj*s_CF_berries</f>
        <v>68935.625</v>
      </c>
      <c r="AG23" s="40">
        <f>s_C*(up_Bv!G23+s_MLF_broccoli)*s_IFBR_res_adj*s_CF_broccoli</f>
        <v>68935.625</v>
      </c>
      <c r="AH23" s="40">
        <f>s_C*(up_Bv!H23+s_MLF_cabbage)*s_IFCB_res_adj*s_CF_cabbage</f>
        <v>68935.625</v>
      </c>
      <c r="AI23" s="40">
        <f>s_C*(up_Bv!I23+s_MLF_carrot)*s_IFCR_res_adj*s_CF_carrot</f>
        <v>68935.625</v>
      </c>
      <c r="AJ23" s="40">
        <f>s_C*(up_Bv!J23+s_MLF_citrus)*s_IFCI_res_adj*s_CF_citrus</f>
        <v>68935.625</v>
      </c>
      <c r="AK23" s="40">
        <f>s_C*(up_Bv!K23+s_MLF_corn)*s_IFCO_res_adj*s_CF_corn</f>
        <v>68935.625</v>
      </c>
      <c r="AL23" s="40">
        <f>s_C*(up_Bv!L23+s_MLF_cucumber)*s_IFCU_res_adj*s_CF_cucumber</f>
        <v>68935.625</v>
      </c>
      <c r="AM23" s="40">
        <f>s_C*(up_Bv!M23+s_MLF_lettuce)*s_IFLE_res_adj*s_CF_lettuce</f>
        <v>68935.625</v>
      </c>
      <c r="AN23" s="40">
        <f>s_C*(up_Bv!N23+s_MLF_lima_bean)*s_IFLI_res_adj*s_CF_lima_bean</f>
        <v>68935.625</v>
      </c>
      <c r="AO23" s="40">
        <f>s_C*(up_Bv!O23+s_MLF_okra)*s_IFOK_res_adj*s_CF_okra</f>
        <v>68935.625</v>
      </c>
      <c r="AP23" s="40">
        <f>s_C*(up_Bv!P23+s_MLF_onion)*s_IFON_res_adj*s_CF_onion</f>
        <v>68935.625</v>
      </c>
      <c r="AQ23" s="40">
        <f>s_C*(up_Bv!Q23+s_MLF_peach)*s_IFPC_res_adj*s_CF_peach</f>
        <v>68935.625</v>
      </c>
      <c r="AR23" s="40">
        <f>s_C*(up_Bv!R23+s_MLF_pear)*s_IFPR_res_adj*s_CF_pear</f>
        <v>68935.625</v>
      </c>
      <c r="AS23" s="40">
        <f>s_C*(up_Bv!S23+s_MLF_peas)*s_IFPE_res_adj*s_CF_peas</f>
        <v>68935.625</v>
      </c>
      <c r="AT23" s="40">
        <f>s_C*(up_Bv!T23+s_MLF_potato)*s_IFPT_res_adj*s_CF_potato</f>
        <v>68935.625</v>
      </c>
      <c r="AU23" s="40">
        <f>s_C*(up_Bv!U23+s_MLF_pumpkin)*s_IFPU_res_adj*s_CF_pumpkin</f>
        <v>68935.625</v>
      </c>
      <c r="AV23" s="40">
        <f>s_C*(up_Bv!V23+s_MLF_snap_bean)*s_IFSN_res_adj*s_CF_snap_bean</f>
        <v>68935.625</v>
      </c>
      <c r="AW23" s="40">
        <f>s_C*(up_Bv!W23+s_MLF_strawberry)*s_IFST_res_adj*s_CF_strawberry</f>
        <v>68935.625</v>
      </c>
      <c r="AX23" s="40">
        <f>s_C*(up_Bv!X23+s_MLF_tomato)*s_IFTO_res_adj*s_CF_tomato</f>
        <v>68935.625</v>
      </c>
      <c r="AY23" s="40">
        <f>s_C*(up_Bv!Y23+s_MLF_rice)*s_IFRI_res_adj*s_CF_rice</f>
        <v>68935.625</v>
      </c>
      <c r="AZ23" s="40">
        <f>s_C*(up_Bv!Z23+s_MLF_cereal)*s_IFCG_res_adj*s_CF_cereal</f>
        <v>68935.625</v>
      </c>
      <c r="BA23" s="15">
        <f t="shared" si="1"/>
        <v>3.6265718922545492E-12</v>
      </c>
      <c r="BB23" s="15">
        <f>IFERROR((up_dir!AC23/(up_Bv!C23+s_MLF_apple)),".")</f>
        <v>1.4506287569018197E-11</v>
      </c>
      <c r="BC23" s="15">
        <f>IFERROR((up_dir!AD23/(up_Bv!D23+s_MLF_asparagus)),".")</f>
        <v>1.4506287569018197E-11</v>
      </c>
      <c r="BD23" s="15">
        <f>IFERROR((up_dir!AE23/(up_Bv!E23+s_MLF_beet)),".")</f>
        <v>1.4506287569018197E-11</v>
      </c>
      <c r="BE23" s="15">
        <f>IFERROR((up_dir!AF23/(up_Bv!F23+s_MLF_berries)),".")</f>
        <v>1.4506287569018197E-11</v>
      </c>
      <c r="BF23" s="15">
        <f>IFERROR((up_dir!AG23/(up_Bv!G23+s_MLF_broccoli)),".")</f>
        <v>1.4506287569018197E-11</v>
      </c>
      <c r="BG23" s="15">
        <f>IFERROR((up_dir!AH23/(up_Bv!H23+s_MLF_cabbage)),".")</f>
        <v>1.4506287569018197E-11</v>
      </c>
      <c r="BH23" s="15">
        <f>IFERROR((up_dir!AI23/(up_Bv!I23+s_MLF_carrot)),".")</f>
        <v>1.4506287569018197E-11</v>
      </c>
      <c r="BI23" s="15">
        <f>IFERROR((up_dir!AJ23/(up_Bv!J23+s_MLF_citrus)),".")</f>
        <v>1.4506287569018197E-11</v>
      </c>
      <c r="BJ23" s="15">
        <f>IFERROR((up_dir!AK23/(up_Bv!K23+s_MLF_corn)),".")</f>
        <v>1.4506287569018197E-11</v>
      </c>
      <c r="BK23" s="15">
        <f>IFERROR((up_dir!AL23/(up_Bv!L23+s_MLF_cucumber)),".")</f>
        <v>1.4506287569018197E-11</v>
      </c>
      <c r="BL23" s="15">
        <f>IFERROR((up_dir!AM23/(up_Bv!M23+s_MLF_lettuce)),".")</f>
        <v>1.4506287569018197E-11</v>
      </c>
      <c r="BM23" s="15">
        <f>IFERROR((up_dir!AN23/(up_Bv!N23+s_MLF_lima_bean)),".")</f>
        <v>1.4506287569018197E-11</v>
      </c>
      <c r="BN23" s="15">
        <f>IFERROR((up_dir!AO23/(up_Bv!O23+s_MLF_okra)),".")</f>
        <v>1.4506287569018197E-11</v>
      </c>
      <c r="BO23" s="15">
        <f>IFERROR((up_dir!AP23/(up_Bv!P23+s_MLF_onion)),".")</f>
        <v>1.4506287569018197E-11</v>
      </c>
      <c r="BP23" s="15">
        <f>IFERROR((up_dir!AQ23/(up_Bv!Q23+s_MLF_peach)),".")</f>
        <v>1.4506287569018197E-11</v>
      </c>
      <c r="BQ23" s="15">
        <f>IFERROR((up_dir!AR23/(up_Bv!R23+s_MLF_pear)),".")</f>
        <v>1.4506287569018197E-11</v>
      </c>
      <c r="BR23" s="15">
        <f>IFERROR((up_dir!AS23/(up_Bv!S23+s_MLF_peas)),".")</f>
        <v>1.4506287569018197E-11</v>
      </c>
      <c r="BS23" s="15">
        <f>IFERROR((up_dir!AT23/(up_Bv!T23+s_MLF_potato)),".")</f>
        <v>1.4506287569018197E-11</v>
      </c>
      <c r="BT23" s="15">
        <f>IFERROR((up_dir!AU23/(up_Bv!U23+s_MLF_pumpkin)),".")</f>
        <v>1.4506287569018197E-11</v>
      </c>
      <c r="BU23" s="15">
        <f>IFERROR((up_dir!AV23/(up_Bv!V23+s_MLF_snap_bean)),".")</f>
        <v>1.4506287569018197E-11</v>
      </c>
      <c r="BV23" s="15">
        <f>IFERROR((up_dir!AW23/(up_Bv!W23+s_MLF_strawberry)),".")</f>
        <v>1.4506287569018197E-11</v>
      </c>
      <c r="BW23" s="15">
        <f>IFERROR((up_dir!AX23/(up_Bv!X23+s_MLF_tomato)),".")</f>
        <v>1.4506287569018197E-11</v>
      </c>
      <c r="BX23" s="15">
        <f>IFERROR((up_dir!AY23/(up_Bv!Y23+s_MLF_rice)),".")</f>
        <v>1.4506287569018197E-11</v>
      </c>
      <c r="BY23" s="15">
        <f>IFERROR((up_dir!AZ23/(up_Bv!Z23+s_MLF_cereal)),".")</f>
        <v>1.4506287569018197E-11</v>
      </c>
      <c r="BZ23" s="40">
        <f t="shared" si="3"/>
        <v>275742.5</v>
      </c>
      <c r="CA23" s="40">
        <f>IFERROR(s_C*(up_Bv!C23+s_MLF_apple)*s_IFAP_far_adj*s_CF_apple,".")</f>
        <v>68935.625</v>
      </c>
      <c r="CB23" s="40">
        <f>IFERROR(s_C*(up_Bv!D23+s_MLF_asparagus)*s_IFAS_far_adj*s_CF_asparagus,".")</f>
        <v>68935.625</v>
      </c>
      <c r="CC23" s="40">
        <f>IFERROR(s_C*(up_Bv!E23+s_MLF_beet)*s_IFBT_far_adj*s_CF_beet,".")</f>
        <v>68935.625</v>
      </c>
      <c r="CD23" s="40">
        <f>IFERROR(s_C*(up_Bv!F23+s_MLF_berries)*s_IFBR_far_adj*s_CF_berries,".")</f>
        <v>68935.625</v>
      </c>
      <c r="CE23" s="40">
        <f>IFERROR(s_C*(up_Bv!G23+s_MLF_broccoli)*s_IFBR_far_adj*s_CF_broccoli,".")</f>
        <v>68935.625</v>
      </c>
      <c r="CF23" s="40">
        <f>IFERROR(s_C*(up_Bv!H23+s_MLF_cabbage)*s_IFCB_far_adj*s_CF_cabbage,".")</f>
        <v>68935.625</v>
      </c>
      <c r="CG23" s="40">
        <f>IFERROR(s_C*(up_Bv!I23+s_MLF_carrot)*s_IFCR_far_adj*s_CF_carrot,".")</f>
        <v>68935.625</v>
      </c>
      <c r="CH23" s="40">
        <f>IFERROR(s_C*(up_Bv!J23+s_MLF_citrus)*s_IFCI_far_adj*s_CF_citrus,".")</f>
        <v>68935.625</v>
      </c>
      <c r="CI23" s="40">
        <f>IFERROR(s_C*(up_Bv!K23+s_MLF_corn)*s_IFCO_far_adj*s_CF_corn,".")</f>
        <v>68935.625</v>
      </c>
      <c r="CJ23" s="40">
        <f>IFERROR(s_C*(up_Bv!L23+s_MLF_cucumber)*s_IFCU_far_adj*s_CF_cucumber,".")</f>
        <v>68935.625</v>
      </c>
      <c r="CK23" s="40">
        <f>IFERROR(s_C*(up_Bv!M23+s_MLF_lettuce)*s_IFLE_far_adj*s_CF_lettuce,".")</f>
        <v>68935.625</v>
      </c>
      <c r="CL23" s="40">
        <f>IFERROR(s_C*(up_Bv!N23+s_MLF_lima_bean)*s_IFLI_far_adj*s_CF_lima_bean,".")</f>
        <v>68935.625</v>
      </c>
      <c r="CM23" s="40">
        <f>IFERROR(s_C*(up_Bv!O23+s_MLF_okra)*s_IFOK_far_adj*s_CF_okra,".")</f>
        <v>68935.625</v>
      </c>
      <c r="CN23" s="40">
        <f>IFERROR(s_C*(up_Bv!P23+s_MLF_onion)*s_IFON_far_adj*s_CF_onion,".")</f>
        <v>68935.625</v>
      </c>
      <c r="CO23" s="40">
        <f>IFERROR(s_C*(up_Bv!Q23+s_MLF_peach)*s_IFPC_far_adj*s_CF_peach,".")</f>
        <v>68935.625</v>
      </c>
      <c r="CP23" s="40">
        <f>IFERROR(s_C*(up_Bv!R23+s_MLF_pear)*s_IFPR_far_adj*s_CF_pear,".")</f>
        <v>68935.625</v>
      </c>
      <c r="CQ23" s="40">
        <f>IFERROR(s_C*(up_Bv!S23+s_MLF_peas)*s_IFPE_far_adj*s_CF_peas,".")</f>
        <v>68935.625</v>
      </c>
      <c r="CR23" s="40">
        <f>IFERROR(s_C*(up_Bv!T23+s_MLF_potato)*s_IFPT_far_adj*s_CF_potato,".")</f>
        <v>68935.625</v>
      </c>
      <c r="CS23" s="40">
        <f>IFERROR(s_C*(up_Bv!U23+s_MLF_pumpkin)*s_IFPU_far_adj*s_CF_pumpkin,".")</f>
        <v>68935.625</v>
      </c>
      <c r="CT23" s="40">
        <f>IFERROR(s_C*(up_Bv!V23+s_MLF_snap_bean)*s_IFSN_far_adj*s_CF_snap_bean,".")</f>
        <v>68935.625</v>
      </c>
      <c r="CU23" s="40">
        <f>IFERROR(s_C*(up_Bv!W23+s_MLF_strawberry)*s_IFST_far_adj*s_CF_strawberry,".")</f>
        <v>68935.625</v>
      </c>
      <c r="CV23" s="40">
        <f>IFERROR(s_C*(up_Bv!X23+s_MLF_tomato)*s_IFTO_far_adj*s_CF_tomato,".")</f>
        <v>68935.625</v>
      </c>
      <c r="CW23" s="40">
        <f>IFERROR(s_C*(up_Bv!Y23+s_MLF_rice)*s_IFRI_far_adj*s_CF_rice,".")</f>
        <v>68935.625</v>
      </c>
      <c r="CX23" s="40">
        <f>IFERROR(s_C*(up_Bv!Z23+s_MLF_cereal)*s_IFCG_far_adj*s_CF_cereal,".")</f>
        <v>68935.625</v>
      </c>
    </row>
    <row r="24" spans="1:102" ht="15" customHeight="1" x14ac:dyDescent="0.25">
      <c r="A24" s="44" t="s">
        <v>34</v>
      </c>
      <c r="B24" s="42" t="s">
        <v>1074</v>
      </c>
      <c r="C24" s="117">
        <f t="shared" si="0"/>
        <v>3.6265718922545492E-12</v>
      </c>
      <c r="D24" s="117">
        <f>IFERROR((up_dir!D24/(up_Bv!C24+s_MLF_apple)),".")</f>
        <v>1.4506287569018197E-11</v>
      </c>
      <c r="E24" s="117">
        <f>IFERROR((up_dir!E24/(up_Bv!D24+s_MLF_asparagus)),".")</f>
        <v>1.4506287569018197E-11</v>
      </c>
      <c r="F24" s="117">
        <f>IFERROR((up_dir!F24/(up_Bv!E24+s_MLF_beet)),".")</f>
        <v>1.4506287569018197E-11</v>
      </c>
      <c r="G24" s="117">
        <f>IFERROR((up_dir!G24/(up_Bv!F24+s_MLF_berries)),".")</f>
        <v>1.4506287569018197E-11</v>
      </c>
      <c r="H24" s="117">
        <f>IFERROR((up_dir!H24/(up_Bv!G24+s_MLF_broccoli)),".")</f>
        <v>1.4506287569018197E-11</v>
      </c>
      <c r="I24" s="117">
        <f>IFERROR((up_dir!I24/(up_Bv!H24+s_MLF_cabbage)),".")</f>
        <v>1.4506287569018197E-11</v>
      </c>
      <c r="J24" s="117">
        <f>IFERROR((up_dir!J24/(up_Bv!I24+s_MLF_carrot)),".")</f>
        <v>1.4506287569018197E-11</v>
      </c>
      <c r="K24" s="117">
        <f>IFERROR((up_dir!K24/(up_Bv!J24+s_MLF_citrus)),".")</f>
        <v>1.4506287569018197E-11</v>
      </c>
      <c r="L24" s="117">
        <f>IFERROR((up_dir!L24/(up_Bv!K24+s_MLF_corn)),".")</f>
        <v>1.4506287569018197E-11</v>
      </c>
      <c r="M24" s="117">
        <f>IFERROR((up_dir!M24/(up_Bv!L24+s_MLF_cucumber)),".")</f>
        <v>1.4506287569018197E-11</v>
      </c>
      <c r="N24" s="117">
        <f>IFERROR((up_dir!N24/(up_Bv!M24+s_MLF_lettuce)),".")</f>
        <v>1.4506287569018197E-11</v>
      </c>
      <c r="O24" s="117">
        <f>IFERROR((up_dir!O24/(up_Bv!N24+s_MLF_lima_bean)),".")</f>
        <v>1.4506287569018197E-11</v>
      </c>
      <c r="P24" s="117">
        <f>IFERROR((up_dir!P24/(up_Bv!O24+s_MLF_okra)),".")</f>
        <v>1.4506287569018197E-11</v>
      </c>
      <c r="Q24" s="117">
        <f>IFERROR((up_dir!Q24/(up_Bv!P24+s_MLF_onion)),".")</f>
        <v>1.4506287569018197E-11</v>
      </c>
      <c r="R24" s="117">
        <f>IFERROR((up_dir!R24/(up_Bv!Q24+s_MLF_peach)),".")</f>
        <v>1.4506287569018197E-11</v>
      </c>
      <c r="S24" s="117">
        <f>IFERROR((up_dir!S24/(up_Bv!R24+s_MLF_pear)),".")</f>
        <v>1.4506287569018197E-11</v>
      </c>
      <c r="T24" s="117">
        <f>IFERROR((up_dir!T24/(up_Bv!S24+s_MLF_peas)),".")</f>
        <v>1.4506287569018197E-11</v>
      </c>
      <c r="U24" s="117">
        <f>IFERROR((up_dir!U24/(up_Bv!T24+s_MLF_potato)),".")</f>
        <v>1.4506287569018197E-11</v>
      </c>
      <c r="V24" s="117">
        <f>IFERROR((up_dir!V24/(up_Bv!U24+s_MLF_pumpkin)),".")</f>
        <v>1.4506287569018197E-11</v>
      </c>
      <c r="W24" s="117">
        <f>IFERROR((up_dir!W24/(up_Bv!V24+s_MLF_snap_bean)),".")</f>
        <v>1.4506287569018197E-11</v>
      </c>
      <c r="X24" s="117">
        <f>IFERROR((up_dir!X24/(up_Bv!W24+s_MLF_strawberry)),".")</f>
        <v>1.4506287569018197E-11</v>
      </c>
      <c r="Y24" s="117">
        <f>IFERROR((up_dir!Y24/(up_Bv!X24+s_MLF_tomato)),".")</f>
        <v>1.4506287569018197E-11</v>
      </c>
      <c r="Z24" s="117">
        <f>IFERROR((up_dir!Z24/(up_Bv!Y24+s_MLF_rice)),".")</f>
        <v>1.4506287569018197E-11</v>
      </c>
      <c r="AA24" s="117">
        <f>IFERROR((up_dir!AA24/(up_Bv!Z24+s_MLF_cereal)),".")</f>
        <v>1.4506287569018197E-11</v>
      </c>
      <c r="AB24" s="40">
        <f t="shared" si="2"/>
        <v>275742.5</v>
      </c>
      <c r="AC24" s="40">
        <f>s_C*(up_Bv!C24+s_MLF_apple)*s_IFAP_res_adj*s_CF_apple</f>
        <v>68935.625</v>
      </c>
      <c r="AD24" s="40">
        <f>s_C*(up_Bv!D24+s_MLF_asparagus)*s_IFAS_res_adj*s_CF_asparagus</f>
        <v>68935.625</v>
      </c>
      <c r="AE24" s="40">
        <f>s_C*(up_Bv!E24+s_MLF_beet)*s_IFBT_res_adj*s_CF_beet</f>
        <v>68935.625</v>
      </c>
      <c r="AF24" s="40">
        <f>s_C*(up_Bv!F24+s_MLF_berries)*s_IFBE_res_adj*s_CF_berries</f>
        <v>68935.625</v>
      </c>
      <c r="AG24" s="40">
        <f>s_C*(up_Bv!G24+s_MLF_broccoli)*s_IFBR_res_adj*s_CF_broccoli</f>
        <v>68935.625</v>
      </c>
      <c r="AH24" s="40">
        <f>s_C*(up_Bv!H24+s_MLF_cabbage)*s_IFCB_res_adj*s_CF_cabbage</f>
        <v>68935.625</v>
      </c>
      <c r="AI24" s="40">
        <f>s_C*(up_Bv!I24+s_MLF_carrot)*s_IFCR_res_adj*s_CF_carrot</f>
        <v>68935.625</v>
      </c>
      <c r="AJ24" s="40">
        <f>s_C*(up_Bv!J24+s_MLF_citrus)*s_IFCI_res_adj*s_CF_citrus</f>
        <v>68935.625</v>
      </c>
      <c r="AK24" s="40">
        <f>s_C*(up_Bv!K24+s_MLF_corn)*s_IFCO_res_adj*s_CF_corn</f>
        <v>68935.625</v>
      </c>
      <c r="AL24" s="40">
        <f>s_C*(up_Bv!L24+s_MLF_cucumber)*s_IFCU_res_adj*s_CF_cucumber</f>
        <v>68935.625</v>
      </c>
      <c r="AM24" s="40">
        <f>s_C*(up_Bv!M24+s_MLF_lettuce)*s_IFLE_res_adj*s_CF_lettuce</f>
        <v>68935.625</v>
      </c>
      <c r="AN24" s="40">
        <f>s_C*(up_Bv!N24+s_MLF_lima_bean)*s_IFLI_res_adj*s_CF_lima_bean</f>
        <v>68935.625</v>
      </c>
      <c r="AO24" s="40">
        <f>s_C*(up_Bv!O24+s_MLF_okra)*s_IFOK_res_adj*s_CF_okra</f>
        <v>68935.625</v>
      </c>
      <c r="AP24" s="40">
        <f>s_C*(up_Bv!P24+s_MLF_onion)*s_IFON_res_adj*s_CF_onion</f>
        <v>68935.625</v>
      </c>
      <c r="AQ24" s="40">
        <f>s_C*(up_Bv!Q24+s_MLF_peach)*s_IFPC_res_adj*s_CF_peach</f>
        <v>68935.625</v>
      </c>
      <c r="AR24" s="40">
        <f>s_C*(up_Bv!R24+s_MLF_pear)*s_IFPR_res_adj*s_CF_pear</f>
        <v>68935.625</v>
      </c>
      <c r="AS24" s="40">
        <f>s_C*(up_Bv!S24+s_MLF_peas)*s_IFPE_res_adj*s_CF_peas</f>
        <v>68935.625</v>
      </c>
      <c r="AT24" s="40">
        <f>s_C*(up_Bv!T24+s_MLF_potato)*s_IFPT_res_adj*s_CF_potato</f>
        <v>68935.625</v>
      </c>
      <c r="AU24" s="40">
        <f>s_C*(up_Bv!U24+s_MLF_pumpkin)*s_IFPU_res_adj*s_CF_pumpkin</f>
        <v>68935.625</v>
      </c>
      <c r="AV24" s="40">
        <f>s_C*(up_Bv!V24+s_MLF_snap_bean)*s_IFSN_res_adj*s_CF_snap_bean</f>
        <v>68935.625</v>
      </c>
      <c r="AW24" s="40">
        <f>s_C*(up_Bv!W24+s_MLF_strawberry)*s_IFST_res_adj*s_CF_strawberry</f>
        <v>68935.625</v>
      </c>
      <c r="AX24" s="40">
        <f>s_C*(up_Bv!X24+s_MLF_tomato)*s_IFTO_res_adj*s_CF_tomato</f>
        <v>68935.625</v>
      </c>
      <c r="AY24" s="40">
        <f>s_C*(up_Bv!Y24+s_MLF_rice)*s_IFRI_res_adj*s_CF_rice</f>
        <v>68935.625</v>
      </c>
      <c r="AZ24" s="40">
        <f>s_C*(up_Bv!Z24+s_MLF_cereal)*s_IFCG_res_adj*s_CF_cereal</f>
        <v>68935.625</v>
      </c>
      <c r="BA24" s="15">
        <f t="shared" si="1"/>
        <v>3.6265718922545492E-12</v>
      </c>
      <c r="BB24" s="15">
        <f>IFERROR((up_dir!AC24/(up_Bv!C24+s_MLF_apple)),".")</f>
        <v>1.4506287569018197E-11</v>
      </c>
      <c r="BC24" s="15">
        <f>IFERROR((up_dir!AD24/(up_Bv!D24+s_MLF_asparagus)),".")</f>
        <v>1.4506287569018197E-11</v>
      </c>
      <c r="BD24" s="15">
        <f>IFERROR((up_dir!AE24/(up_Bv!E24+s_MLF_beet)),".")</f>
        <v>1.4506287569018197E-11</v>
      </c>
      <c r="BE24" s="15">
        <f>IFERROR((up_dir!AF24/(up_Bv!F24+s_MLF_berries)),".")</f>
        <v>1.4506287569018197E-11</v>
      </c>
      <c r="BF24" s="15">
        <f>IFERROR((up_dir!AG24/(up_Bv!G24+s_MLF_broccoli)),".")</f>
        <v>1.4506287569018197E-11</v>
      </c>
      <c r="BG24" s="15">
        <f>IFERROR((up_dir!AH24/(up_Bv!H24+s_MLF_cabbage)),".")</f>
        <v>1.4506287569018197E-11</v>
      </c>
      <c r="BH24" s="15">
        <f>IFERROR((up_dir!AI24/(up_Bv!I24+s_MLF_carrot)),".")</f>
        <v>1.4506287569018197E-11</v>
      </c>
      <c r="BI24" s="15">
        <f>IFERROR((up_dir!AJ24/(up_Bv!J24+s_MLF_citrus)),".")</f>
        <v>1.4506287569018197E-11</v>
      </c>
      <c r="BJ24" s="15">
        <f>IFERROR((up_dir!AK24/(up_Bv!K24+s_MLF_corn)),".")</f>
        <v>1.4506287569018197E-11</v>
      </c>
      <c r="BK24" s="15">
        <f>IFERROR((up_dir!AL24/(up_Bv!L24+s_MLF_cucumber)),".")</f>
        <v>1.4506287569018197E-11</v>
      </c>
      <c r="BL24" s="15">
        <f>IFERROR((up_dir!AM24/(up_Bv!M24+s_MLF_lettuce)),".")</f>
        <v>1.4506287569018197E-11</v>
      </c>
      <c r="BM24" s="15">
        <f>IFERROR((up_dir!AN24/(up_Bv!N24+s_MLF_lima_bean)),".")</f>
        <v>1.4506287569018197E-11</v>
      </c>
      <c r="BN24" s="15">
        <f>IFERROR((up_dir!AO24/(up_Bv!O24+s_MLF_okra)),".")</f>
        <v>1.4506287569018197E-11</v>
      </c>
      <c r="BO24" s="15">
        <f>IFERROR((up_dir!AP24/(up_Bv!P24+s_MLF_onion)),".")</f>
        <v>1.4506287569018197E-11</v>
      </c>
      <c r="BP24" s="15">
        <f>IFERROR((up_dir!AQ24/(up_Bv!Q24+s_MLF_peach)),".")</f>
        <v>1.4506287569018197E-11</v>
      </c>
      <c r="BQ24" s="15">
        <f>IFERROR((up_dir!AR24/(up_Bv!R24+s_MLF_pear)),".")</f>
        <v>1.4506287569018197E-11</v>
      </c>
      <c r="BR24" s="15">
        <f>IFERROR((up_dir!AS24/(up_Bv!S24+s_MLF_peas)),".")</f>
        <v>1.4506287569018197E-11</v>
      </c>
      <c r="BS24" s="15">
        <f>IFERROR((up_dir!AT24/(up_Bv!T24+s_MLF_potato)),".")</f>
        <v>1.4506287569018197E-11</v>
      </c>
      <c r="BT24" s="15">
        <f>IFERROR((up_dir!AU24/(up_Bv!U24+s_MLF_pumpkin)),".")</f>
        <v>1.4506287569018197E-11</v>
      </c>
      <c r="BU24" s="15">
        <f>IFERROR((up_dir!AV24/(up_Bv!V24+s_MLF_snap_bean)),".")</f>
        <v>1.4506287569018197E-11</v>
      </c>
      <c r="BV24" s="15">
        <f>IFERROR((up_dir!AW24/(up_Bv!W24+s_MLF_strawberry)),".")</f>
        <v>1.4506287569018197E-11</v>
      </c>
      <c r="BW24" s="15">
        <f>IFERROR((up_dir!AX24/(up_Bv!X24+s_MLF_tomato)),".")</f>
        <v>1.4506287569018197E-11</v>
      </c>
      <c r="BX24" s="15">
        <f>IFERROR((up_dir!AY24/(up_Bv!Y24+s_MLF_rice)),".")</f>
        <v>1.4506287569018197E-11</v>
      </c>
      <c r="BY24" s="15">
        <f>IFERROR((up_dir!AZ24/(up_Bv!Z24+s_MLF_cereal)),".")</f>
        <v>1.4506287569018197E-11</v>
      </c>
      <c r="BZ24" s="40">
        <f t="shared" si="3"/>
        <v>275742.5</v>
      </c>
      <c r="CA24" s="40">
        <f>IFERROR(s_C*(up_Bv!C24+s_MLF_apple)*s_IFAP_far_adj*s_CF_apple,".")</f>
        <v>68935.625</v>
      </c>
      <c r="CB24" s="40">
        <f>IFERROR(s_C*(up_Bv!D24+s_MLF_asparagus)*s_IFAS_far_adj*s_CF_asparagus,".")</f>
        <v>68935.625</v>
      </c>
      <c r="CC24" s="40">
        <f>IFERROR(s_C*(up_Bv!E24+s_MLF_beet)*s_IFBT_far_adj*s_CF_beet,".")</f>
        <v>68935.625</v>
      </c>
      <c r="CD24" s="40">
        <f>IFERROR(s_C*(up_Bv!F24+s_MLF_berries)*s_IFBR_far_adj*s_CF_berries,".")</f>
        <v>68935.625</v>
      </c>
      <c r="CE24" s="40">
        <f>IFERROR(s_C*(up_Bv!G24+s_MLF_broccoli)*s_IFBR_far_adj*s_CF_broccoli,".")</f>
        <v>68935.625</v>
      </c>
      <c r="CF24" s="40">
        <f>IFERROR(s_C*(up_Bv!H24+s_MLF_cabbage)*s_IFCB_far_adj*s_CF_cabbage,".")</f>
        <v>68935.625</v>
      </c>
      <c r="CG24" s="40">
        <f>IFERROR(s_C*(up_Bv!I24+s_MLF_carrot)*s_IFCR_far_adj*s_CF_carrot,".")</f>
        <v>68935.625</v>
      </c>
      <c r="CH24" s="40">
        <f>IFERROR(s_C*(up_Bv!J24+s_MLF_citrus)*s_IFCI_far_adj*s_CF_citrus,".")</f>
        <v>68935.625</v>
      </c>
      <c r="CI24" s="40">
        <f>IFERROR(s_C*(up_Bv!K24+s_MLF_corn)*s_IFCO_far_adj*s_CF_corn,".")</f>
        <v>68935.625</v>
      </c>
      <c r="CJ24" s="40">
        <f>IFERROR(s_C*(up_Bv!L24+s_MLF_cucumber)*s_IFCU_far_adj*s_CF_cucumber,".")</f>
        <v>68935.625</v>
      </c>
      <c r="CK24" s="40">
        <f>IFERROR(s_C*(up_Bv!M24+s_MLF_lettuce)*s_IFLE_far_adj*s_CF_lettuce,".")</f>
        <v>68935.625</v>
      </c>
      <c r="CL24" s="40">
        <f>IFERROR(s_C*(up_Bv!N24+s_MLF_lima_bean)*s_IFLI_far_adj*s_CF_lima_bean,".")</f>
        <v>68935.625</v>
      </c>
      <c r="CM24" s="40">
        <f>IFERROR(s_C*(up_Bv!O24+s_MLF_okra)*s_IFOK_far_adj*s_CF_okra,".")</f>
        <v>68935.625</v>
      </c>
      <c r="CN24" s="40">
        <f>IFERROR(s_C*(up_Bv!P24+s_MLF_onion)*s_IFON_far_adj*s_CF_onion,".")</f>
        <v>68935.625</v>
      </c>
      <c r="CO24" s="40">
        <f>IFERROR(s_C*(up_Bv!Q24+s_MLF_peach)*s_IFPC_far_adj*s_CF_peach,".")</f>
        <v>68935.625</v>
      </c>
      <c r="CP24" s="40">
        <f>IFERROR(s_C*(up_Bv!R24+s_MLF_pear)*s_IFPR_far_adj*s_CF_pear,".")</f>
        <v>68935.625</v>
      </c>
      <c r="CQ24" s="40">
        <f>IFERROR(s_C*(up_Bv!S24+s_MLF_peas)*s_IFPE_far_adj*s_CF_peas,".")</f>
        <v>68935.625</v>
      </c>
      <c r="CR24" s="40">
        <f>IFERROR(s_C*(up_Bv!T24+s_MLF_potato)*s_IFPT_far_adj*s_CF_potato,".")</f>
        <v>68935.625</v>
      </c>
      <c r="CS24" s="40">
        <f>IFERROR(s_C*(up_Bv!U24+s_MLF_pumpkin)*s_IFPU_far_adj*s_CF_pumpkin,".")</f>
        <v>68935.625</v>
      </c>
      <c r="CT24" s="40">
        <f>IFERROR(s_C*(up_Bv!V24+s_MLF_snap_bean)*s_IFSN_far_adj*s_CF_snap_bean,".")</f>
        <v>68935.625</v>
      </c>
      <c r="CU24" s="40">
        <f>IFERROR(s_C*(up_Bv!W24+s_MLF_strawberry)*s_IFST_far_adj*s_CF_strawberry,".")</f>
        <v>68935.625</v>
      </c>
      <c r="CV24" s="40">
        <f>IFERROR(s_C*(up_Bv!X24+s_MLF_tomato)*s_IFTO_far_adj*s_CF_tomato,".")</f>
        <v>68935.625</v>
      </c>
      <c r="CW24" s="40">
        <f>IFERROR(s_C*(up_Bv!Y24+s_MLF_rice)*s_IFRI_far_adj*s_CF_rice,".")</f>
        <v>68935.625</v>
      </c>
      <c r="CX24" s="40">
        <f>IFERROR(s_C*(up_Bv!Z24+s_MLF_cereal)*s_IFCG_far_adj*s_CF_cereal,".")</f>
        <v>68935.625</v>
      </c>
    </row>
    <row r="25" spans="1:102" x14ac:dyDescent="0.25">
      <c r="A25" s="46" t="s">
        <v>35</v>
      </c>
      <c r="B25" s="42" t="s">
        <v>351</v>
      </c>
      <c r="C25" s="117">
        <f t="shared" si="0"/>
        <v>3.6265718922545492E-12</v>
      </c>
      <c r="D25" s="117">
        <f>IFERROR((up_dir!D25/(up_Bv!C25+s_MLF_apple)),".")</f>
        <v>1.4506287569018197E-11</v>
      </c>
      <c r="E25" s="117">
        <f>IFERROR((up_dir!E25/(up_Bv!D25+s_MLF_asparagus)),".")</f>
        <v>1.4506287569018197E-11</v>
      </c>
      <c r="F25" s="117">
        <f>IFERROR((up_dir!F25/(up_Bv!E25+s_MLF_beet)),".")</f>
        <v>1.4506287569018197E-11</v>
      </c>
      <c r="G25" s="117">
        <f>IFERROR((up_dir!G25/(up_Bv!F25+s_MLF_berries)),".")</f>
        <v>1.4506287569018197E-11</v>
      </c>
      <c r="H25" s="117">
        <f>IFERROR((up_dir!H25/(up_Bv!G25+s_MLF_broccoli)),".")</f>
        <v>1.4506287569018197E-11</v>
      </c>
      <c r="I25" s="117">
        <f>IFERROR((up_dir!I25/(up_Bv!H25+s_MLF_cabbage)),".")</f>
        <v>1.4506287569018197E-11</v>
      </c>
      <c r="J25" s="117">
        <f>IFERROR((up_dir!J25/(up_Bv!I25+s_MLF_carrot)),".")</f>
        <v>1.4506287569018197E-11</v>
      </c>
      <c r="K25" s="117">
        <f>IFERROR((up_dir!K25/(up_Bv!J25+s_MLF_citrus)),".")</f>
        <v>1.4506287569018197E-11</v>
      </c>
      <c r="L25" s="117">
        <f>IFERROR((up_dir!L25/(up_Bv!K25+s_MLF_corn)),".")</f>
        <v>1.4506287569018197E-11</v>
      </c>
      <c r="M25" s="117">
        <f>IFERROR((up_dir!M25/(up_Bv!L25+s_MLF_cucumber)),".")</f>
        <v>1.4506287569018197E-11</v>
      </c>
      <c r="N25" s="117">
        <f>IFERROR((up_dir!N25/(up_Bv!M25+s_MLF_lettuce)),".")</f>
        <v>1.4506287569018197E-11</v>
      </c>
      <c r="O25" s="117">
        <f>IFERROR((up_dir!O25/(up_Bv!N25+s_MLF_lima_bean)),".")</f>
        <v>1.4506287569018197E-11</v>
      </c>
      <c r="P25" s="117">
        <f>IFERROR((up_dir!P25/(up_Bv!O25+s_MLF_okra)),".")</f>
        <v>1.4506287569018197E-11</v>
      </c>
      <c r="Q25" s="117">
        <f>IFERROR((up_dir!Q25/(up_Bv!P25+s_MLF_onion)),".")</f>
        <v>1.4506287569018197E-11</v>
      </c>
      <c r="R25" s="117">
        <f>IFERROR((up_dir!R25/(up_Bv!Q25+s_MLF_peach)),".")</f>
        <v>1.4506287569018197E-11</v>
      </c>
      <c r="S25" s="117">
        <f>IFERROR((up_dir!S25/(up_Bv!R25+s_MLF_pear)),".")</f>
        <v>1.4506287569018197E-11</v>
      </c>
      <c r="T25" s="117">
        <f>IFERROR((up_dir!T25/(up_Bv!S25+s_MLF_peas)),".")</f>
        <v>1.4506287569018197E-11</v>
      </c>
      <c r="U25" s="117">
        <f>IFERROR((up_dir!U25/(up_Bv!T25+s_MLF_potato)),".")</f>
        <v>1.4506287569018197E-11</v>
      </c>
      <c r="V25" s="117">
        <f>IFERROR((up_dir!V25/(up_Bv!U25+s_MLF_pumpkin)),".")</f>
        <v>1.4506287569018197E-11</v>
      </c>
      <c r="W25" s="117">
        <f>IFERROR((up_dir!W25/(up_Bv!V25+s_MLF_snap_bean)),".")</f>
        <v>1.4506287569018197E-11</v>
      </c>
      <c r="X25" s="117">
        <f>IFERROR((up_dir!X25/(up_Bv!W25+s_MLF_strawberry)),".")</f>
        <v>1.4506287569018197E-11</v>
      </c>
      <c r="Y25" s="117">
        <f>IFERROR((up_dir!Y25/(up_Bv!X25+s_MLF_tomato)),".")</f>
        <v>1.4506287569018197E-11</v>
      </c>
      <c r="Z25" s="117">
        <f>IFERROR((up_dir!Z25/(up_Bv!Y25+s_MLF_rice)),".")</f>
        <v>1.4506287569018197E-11</v>
      </c>
      <c r="AA25" s="117">
        <f>IFERROR((up_dir!AA25/(up_Bv!Z25+s_MLF_cereal)),".")</f>
        <v>1.4506287569018197E-11</v>
      </c>
      <c r="AB25" s="40">
        <f t="shared" si="2"/>
        <v>275742.5</v>
      </c>
      <c r="AC25" s="40">
        <f>s_C*(up_Bv!C25+s_MLF_apple)*s_IFAP_res_adj*s_CF_apple</f>
        <v>68935.625</v>
      </c>
      <c r="AD25" s="40">
        <f>s_C*(up_Bv!D25+s_MLF_asparagus)*s_IFAS_res_adj*s_CF_asparagus</f>
        <v>68935.625</v>
      </c>
      <c r="AE25" s="40">
        <f>s_C*(up_Bv!E25+s_MLF_beet)*s_IFBT_res_adj*s_CF_beet</f>
        <v>68935.625</v>
      </c>
      <c r="AF25" s="40">
        <f>s_C*(up_Bv!F25+s_MLF_berries)*s_IFBE_res_adj*s_CF_berries</f>
        <v>68935.625</v>
      </c>
      <c r="AG25" s="40">
        <f>s_C*(up_Bv!G25+s_MLF_broccoli)*s_IFBR_res_adj*s_CF_broccoli</f>
        <v>68935.625</v>
      </c>
      <c r="AH25" s="40">
        <f>s_C*(up_Bv!H25+s_MLF_cabbage)*s_IFCB_res_adj*s_CF_cabbage</f>
        <v>68935.625</v>
      </c>
      <c r="AI25" s="40">
        <f>s_C*(up_Bv!I25+s_MLF_carrot)*s_IFCR_res_adj*s_CF_carrot</f>
        <v>68935.625</v>
      </c>
      <c r="AJ25" s="40">
        <f>s_C*(up_Bv!J25+s_MLF_citrus)*s_IFCI_res_adj*s_CF_citrus</f>
        <v>68935.625</v>
      </c>
      <c r="AK25" s="40">
        <f>s_C*(up_Bv!K25+s_MLF_corn)*s_IFCO_res_adj*s_CF_corn</f>
        <v>68935.625</v>
      </c>
      <c r="AL25" s="40">
        <f>s_C*(up_Bv!L25+s_MLF_cucumber)*s_IFCU_res_adj*s_CF_cucumber</f>
        <v>68935.625</v>
      </c>
      <c r="AM25" s="40">
        <f>s_C*(up_Bv!M25+s_MLF_lettuce)*s_IFLE_res_adj*s_CF_lettuce</f>
        <v>68935.625</v>
      </c>
      <c r="AN25" s="40">
        <f>s_C*(up_Bv!N25+s_MLF_lima_bean)*s_IFLI_res_adj*s_CF_lima_bean</f>
        <v>68935.625</v>
      </c>
      <c r="AO25" s="40">
        <f>s_C*(up_Bv!O25+s_MLF_okra)*s_IFOK_res_adj*s_CF_okra</f>
        <v>68935.625</v>
      </c>
      <c r="AP25" s="40">
        <f>s_C*(up_Bv!P25+s_MLF_onion)*s_IFON_res_adj*s_CF_onion</f>
        <v>68935.625</v>
      </c>
      <c r="AQ25" s="40">
        <f>s_C*(up_Bv!Q25+s_MLF_peach)*s_IFPC_res_adj*s_CF_peach</f>
        <v>68935.625</v>
      </c>
      <c r="AR25" s="40">
        <f>s_C*(up_Bv!R25+s_MLF_pear)*s_IFPR_res_adj*s_CF_pear</f>
        <v>68935.625</v>
      </c>
      <c r="AS25" s="40">
        <f>s_C*(up_Bv!S25+s_MLF_peas)*s_IFPE_res_adj*s_CF_peas</f>
        <v>68935.625</v>
      </c>
      <c r="AT25" s="40">
        <f>s_C*(up_Bv!T25+s_MLF_potato)*s_IFPT_res_adj*s_CF_potato</f>
        <v>68935.625</v>
      </c>
      <c r="AU25" s="40">
        <f>s_C*(up_Bv!U25+s_MLF_pumpkin)*s_IFPU_res_adj*s_CF_pumpkin</f>
        <v>68935.625</v>
      </c>
      <c r="AV25" s="40">
        <f>s_C*(up_Bv!V25+s_MLF_snap_bean)*s_IFSN_res_adj*s_CF_snap_bean</f>
        <v>68935.625</v>
      </c>
      <c r="AW25" s="40">
        <f>s_C*(up_Bv!W25+s_MLF_strawberry)*s_IFST_res_adj*s_CF_strawberry</f>
        <v>68935.625</v>
      </c>
      <c r="AX25" s="40">
        <f>s_C*(up_Bv!X25+s_MLF_tomato)*s_IFTO_res_adj*s_CF_tomato</f>
        <v>68935.625</v>
      </c>
      <c r="AY25" s="40">
        <f>s_C*(up_Bv!Y25+s_MLF_rice)*s_IFRI_res_adj*s_CF_rice</f>
        <v>68935.625</v>
      </c>
      <c r="AZ25" s="40">
        <f>s_C*(up_Bv!Z25+s_MLF_cereal)*s_IFCG_res_adj*s_CF_cereal</f>
        <v>68935.625</v>
      </c>
      <c r="BA25" s="15">
        <f t="shared" si="1"/>
        <v>3.6265718922545492E-12</v>
      </c>
      <c r="BB25" s="15">
        <f>IFERROR((up_dir!AC25/(up_Bv!C25+s_MLF_apple)),".")</f>
        <v>1.4506287569018197E-11</v>
      </c>
      <c r="BC25" s="15">
        <f>IFERROR((up_dir!AD25/(up_Bv!D25+s_MLF_asparagus)),".")</f>
        <v>1.4506287569018197E-11</v>
      </c>
      <c r="BD25" s="15">
        <f>IFERROR((up_dir!AE25/(up_Bv!E25+s_MLF_beet)),".")</f>
        <v>1.4506287569018197E-11</v>
      </c>
      <c r="BE25" s="15">
        <f>IFERROR((up_dir!AF25/(up_Bv!F25+s_MLF_berries)),".")</f>
        <v>1.4506287569018197E-11</v>
      </c>
      <c r="BF25" s="15">
        <f>IFERROR((up_dir!AG25/(up_Bv!G25+s_MLF_broccoli)),".")</f>
        <v>1.4506287569018197E-11</v>
      </c>
      <c r="BG25" s="15">
        <f>IFERROR((up_dir!AH25/(up_Bv!H25+s_MLF_cabbage)),".")</f>
        <v>1.4506287569018197E-11</v>
      </c>
      <c r="BH25" s="15">
        <f>IFERROR((up_dir!AI25/(up_Bv!I25+s_MLF_carrot)),".")</f>
        <v>1.4506287569018197E-11</v>
      </c>
      <c r="BI25" s="15">
        <f>IFERROR((up_dir!AJ25/(up_Bv!J25+s_MLF_citrus)),".")</f>
        <v>1.4506287569018197E-11</v>
      </c>
      <c r="BJ25" s="15">
        <f>IFERROR((up_dir!AK25/(up_Bv!K25+s_MLF_corn)),".")</f>
        <v>1.4506287569018197E-11</v>
      </c>
      <c r="BK25" s="15">
        <f>IFERROR((up_dir!AL25/(up_Bv!L25+s_MLF_cucumber)),".")</f>
        <v>1.4506287569018197E-11</v>
      </c>
      <c r="BL25" s="15">
        <f>IFERROR((up_dir!AM25/(up_Bv!M25+s_MLF_lettuce)),".")</f>
        <v>1.4506287569018197E-11</v>
      </c>
      <c r="BM25" s="15">
        <f>IFERROR((up_dir!AN25/(up_Bv!N25+s_MLF_lima_bean)),".")</f>
        <v>1.4506287569018197E-11</v>
      </c>
      <c r="BN25" s="15">
        <f>IFERROR((up_dir!AO25/(up_Bv!O25+s_MLF_okra)),".")</f>
        <v>1.4506287569018197E-11</v>
      </c>
      <c r="BO25" s="15">
        <f>IFERROR((up_dir!AP25/(up_Bv!P25+s_MLF_onion)),".")</f>
        <v>1.4506287569018197E-11</v>
      </c>
      <c r="BP25" s="15">
        <f>IFERROR((up_dir!AQ25/(up_Bv!Q25+s_MLF_peach)),".")</f>
        <v>1.4506287569018197E-11</v>
      </c>
      <c r="BQ25" s="15">
        <f>IFERROR((up_dir!AR25/(up_Bv!R25+s_MLF_pear)),".")</f>
        <v>1.4506287569018197E-11</v>
      </c>
      <c r="BR25" s="15">
        <f>IFERROR((up_dir!AS25/(up_Bv!S25+s_MLF_peas)),".")</f>
        <v>1.4506287569018197E-11</v>
      </c>
      <c r="BS25" s="15">
        <f>IFERROR((up_dir!AT25/(up_Bv!T25+s_MLF_potato)),".")</f>
        <v>1.4506287569018197E-11</v>
      </c>
      <c r="BT25" s="15">
        <f>IFERROR((up_dir!AU25/(up_Bv!U25+s_MLF_pumpkin)),".")</f>
        <v>1.4506287569018197E-11</v>
      </c>
      <c r="BU25" s="15">
        <f>IFERROR((up_dir!AV25/(up_Bv!V25+s_MLF_snap_bean)),".")</f>
        <v>1.4506287569018197E-11</v>
      </c>
      <c r="BV25" s="15">
        <f>IFERROR((up_dir!AW25/(up_Bv!W25+s_MLF_strawberry)),".")</f>
        <v>1.4506287569018197E-11</v>
      </c>
      <c r="BW25" s="15">
        <f>IFERROR((up_dir!AX25/(up_Bv!X25+s_MLF_tomato)),".")</f>
        <v>1.4506287569018197E-11</v>
      </c>
      <c r="BX25" s="15">
        <f>IFERROR((up_dir!AY25/(up_Bv!Y25+s_MLF_rice)),".")</f>
        <v>1.4506287569018197E-11</v>
      </c>
      <c r="BY25" s="15">
        <f>IFERROR((up_dir!AZ25/(up_Bv!Z25+s_MLF_cereal)),".")</f>
        <v>1.4506287569018197E-11</v>
      </c>
      <c r="BZ25" s="40">
        <f t="shared" si="3"/>
        <v>275742.5</v>
      </c>
      <c r="CA25" s="40">
        <f>IFERROR(s_C*(up_Bv!C25+s_MLF_apple)*s_IFAP_far_adj*s_CF_apple,".")</f>
        <v>68935.625</v>
      </c>
      <c r="CB25" s="40">
        <f>IFERROR(s_C*(up_Bv!D25+s_MLF_asparagus)*s_IFAS_far_adj*s_CF_asparagus,".")</f>
        <v>68935.625</v>
      </c>
      <c r="CC25" s="40">
        <f>IFERROR(s_C*(up_Bv!E25+s_MLF_beet)*s_IFBT_far_adj*s_CF_beet,".")</f>
        <v>68935.625</v>
      </c>
      <c r="CD25" s="40">
        <f>IFERROR(s_C*(up_Bv!F25+s_MLF_berries)*s_IFBR_far_adj*s_CF_berries,".")</f>
        <v>68935.625</v>
      </c>
      <c r="CE25" s="40">
        <f>IFERROR(s_C*(up_Bv!G25+s_MLF_broccoli)*s_IFBR_far_adj*s_CF_broccoli,".")</f>
        <v>68935.625</v>
      </c>
      <c r="CF25" s="40">
        <f>IFERROR(s_C*(up_Bv!H25+s_MLF_cabbage)*s_IFCB_far_adj*s_CF_cabbage,".")</f>
        <v>68935.625</v>
      </c>
      <c r="CG25" s="40">
        <f>IFERROR(s_C*(up_Bv!I25+s_MLF_carrot)*s_IFCR_far_adj*s_CF_carrot,".")</f>
        <v>68935.625</v>
      </c>
      <c r="CH25" s="40">
        <f>IFERROR(s_C*(up_Bv!J25+s_MLF_citrus)*s_IFCI_far_adj*s_CF_citrus,".")</f>
        <v>68935.625</v>
      </c>
      <c r="CI25" s="40">
        <f>IFERROR(s_C*(up_Bv!K25+s_MLF_corn)*s_IFCO_far_adj*s_CF_corn,".")</f>
        <v>68935.625</v>
      </c>
      <c r="CJ25" s="40">
        <f>IFERROR(s_C*(up_Bv!L25+s_MLF_cucumber)*s_IFCU_far_adj*s_CF_cucumber,".")</f>
        <v>68935.625</v>
      </c>
      <c r="CK25" s="40">
        <f>IFERROR(s_C*(up_Bv!M25+s_MLF_lettuce)*s_IFLE_far_adj*s_CF_lettuce,".")</f>
        <v>68935.625</v>
      </c>
      <c r="CL25" s="40">
        <f>IFERROR(s_C*(up_Bv!N25+s_MLF_lima_bean)*s_IFLI_far_adj*s_CF_lima_bean,".")</f>
        <v>68935.625</v>
      </c>
      <c r="CM25" s="40">
        <f>IFERROR(s_C*(up_Bv!O25+s_MLF_okra)*s_IFOK_far_adj*s_CF_okra,".")</f>
        <v>68935.625</v>
      </c>
      <c r="CN25" s="40">
        <f>IFERROR(s_C*(up_Bv!P25+s_MLF_onion)*s_IFON_far_adj*s_CF_onion,".")</f>
        <v>68935.625</v>
      </c>
      <c r="CO25" s="40">
        <f>IFERROR(s_C*(up_Bv!Q25+s_MLF_peach)*s_IFPC_far_adj*s_CF_peach,".")</f>
        <v>68935.625</v>
      </c>
      <c r="CP25" s="40">
        <f>IFERROR(s_C*(up_Bv!R25+s_MLF_pear)*s_IFPR_far_adj*s_CF_pear,".")</f>
        <v>68935.625</v>
      </c>
      <c r="CQ25" s="40">
        <f>IFERROR(s_C*(up_Bv!S25+s_MLF_peas)*s_IFPE_far_adj*s_CF_peas,".")</f>
        <v>68935.625</v>
      </c>
      <c r="CR25" s="40">
        <f>IFERROR(s_C*(up_Bv!T25+s_MLF_potato)*s_IFPT_far_adj*s_CF_potato,".")</f>
        <v>68935.625</v>
      </c>
      <c r="CS25" s="40">
        <f>IFERROR(s_C*(up_Bv!U25+s_MLF_pumpkin)*s_IFPU_far_adj*s_CF_pumpkin,".")</f>
        <v>68935.625</v>
      </c>
      <c r="CT25" s="40">
        <f>IFERROR(s_C*(up_Bv!V25+s_MLF_snap_bean)*s_IFSN_far_adj*s_CF_snap_bean,".")</f>
        <v>68935.625</v>
      </c>
      <c r="CU25" s="40">
        <f>IFERROR(s_C*(up_Bv!W25+s_MLF_strawberry)*s_IFST_far_adj*s_CF_strawberry,".")</f>
        <v>68935.625</v>
      </c>
      <c r="CV25" s="40">
        <f>IFERROR(s_C*(up_Bv!X25+s_MLF_tomato)*s_IFTO_far_adj*s_CF_tomato,".")</f>
        <v>68935.625</v>
      </c>
      <c r="CW25" s="40">
        <f>IFERROR(s_C*(up_Bv!Y25+s_MLF_rice)*s_IFRI_far_adj*s_CF_rice,".")</f>
        <v>68935.625</v>
      </c>
      <c r="CX25" s="40">
        <f>IFERROR(s_C*(up_Bv!Z25+s_MLF_cereal)*s_IFCG_far_adj*s_CF_cereal,".")</f>
        <v>68935.625</v>
      </c>
    </row>
    <row r="26" spans="1:102" ht="15" customHeight="1" x14ac:dyDescent="0.25">
      <c r="A26" s="44" t="s">
        <v>36</v>
      </c>
      <c r="B26" s="42" t="s">
        <v>1074</v>
      </c>
      <c r="C26" s="117">
        <f t="shared" si="0"/>
        <v>3.6265718922545492E-12</v>
      </c>
      <c r="D26" s="117">
        <f>IFERROR((up_dir!D26/(up_Bv!C26+s_MLF_apple)),".")</f>
        <v>1.4506287569018197E-11</v>
      </c>
      <c r="E26" s="117">
        <f>IFERROR((up_dir!E26/(up_Bv!D26+s_MLF_asparagus)),".")</f>
        <v>1.4506287569018197E-11</v>
      </c>
      <c r="F26" s="117">
        <f>IFERROR((up_dir!F26/(up_Bv!E26+s_MLF_beet)),".")</f>
        <v>1.4506287569018197E-11</v>
      </c>
      <c r="G26" s="117">
        <f>IFERROR((up_dir!G26/(up_Bv!F26+s_MLF_berries)),".")</f>
        <v>1.4506287569018197E-11</v>
      </c>
      <c r="H26" s="117">
        <f>IFERROR((up_dir!H26/(up_Bv!G26+s_MLF_broccoli)),".")</f>
        <v>1.4506287569018197E-11</v>
      </c>
      <c r="I26" s="117">
        <f>IFERROR((up_dir!I26/(up_Bv!H26+s_MLF_cabbage)),".")</f>
        <v>1.4506287569018197E-11</v>
      </c>
      <c r="J26" s="117">
        <f>IFERROR((up_dir!J26/(up_Bv!I26+s_MLF_carrot)),".")</f>
        <v>1.4506287569018197E-11</v>
      </c>
      <c r="K26" s="117">
        <f>IFERROR((up_dir!K26/(up_Bv!J26+s_MLF_citrus)),".")</f>
        <v>1.4506287569018197E-11</v>
      </c>
      <c r="L26" s="117">
        <f>IFERROR((up_dir!L26/(up_Bv!K26+s_MLF_corn)),".")</f>
        <v>1.4506287569018197E-11</v>
      </c>
      <c r="M26" s="117">
        <f>IFERROR((up_dir!M26/(up_Bv!L26+s_MLF_cucumber)),".")</f>
        <v>1.4506287569018197E-11</v>
      </c>
      <c r="N26" s="117">
        <f>IFERROR((up_dir!N26/(up_Bv!M26+s_MLF_lettuce)),".")</f>
        <v>1.4506287569018197E-11</v>
      </c>
      <c r="O26" s="117">
        <f>IFERROR((up_dir!O26/(up_Bv!N26+s_MLF_lima_bean)),".")</f>
        <v>1.4506287569018197E-11</v>
      </c>
      <c r="P26" s="117">
        <f>IFERROR((up_dir!P26/(up_Bv!O26+s_MLF_okra)),".")</f>
        <v>1.4506287569018197E-11</v>
      </c>
      <c r="Q26" s="117">
        <f>IFERROR((up_dir!Q26/(up_Bv!P26+s_MLF_onion)),".")</f>
        <v>1.4506287569018197E-11</v>
      </c>
      <c r="R26" s="117">
        <f>IFERROR((up_dir!R26/(up_Bv!Q26+s_MLF_peach)),".")</f>
        <v>1.4506287569018197E-11</v>
      </c>
      <c r="S26" s="117">
        <f>IFERROR((up_dir!S26/(up_Bv!R26+s_MLF_pear)),".")</f>
        <v>1.4506287569018197E-11</v>
      </c>
      <c r="T26" s="117">
        <f>IFERROR((up_dir!T26/(up_Bv!S26+s_MLF_peas)),".")</f>
        <v>1.4506287569018197E-11</v>
      </c>
      <c r="U26" s="117">
        <f>IFERROR((up_dir!U26/(up_Bv!T26+s_MLF_potato)),".")</f>
        <v>1.4506287569018197E-11</v>
      </c>
      <c r="V26" s="117">
        <f>IFERROR((up_dir!V26/(up_Bv!U26+s_MLF_pumpkin)),".")</f>
        <v>1.4506287569018197E-11</v>
      </c>
      <c r="W26" s="117">
        <f>IFERROR((up_dir!W26/(up_Bv!V26+s_MLF_snap_bean)),".")</f>
        <v>1.4506287569018197E-11</v>
      </c>
      <c r="X26" s="117">
        <f>IFERROR((up_dir!X26/(up_Bv!W26+s_MLF_strawberry)),".")</f>
        <v>1.4506287569018197E-11</v>
      </c>
      <c r="Y26" s="117">
        <f>IFERROR((up_dir!Y26/(up_Bv!X26+s_MLF_tomato)),".")</f>
        <v>1.4506287569018197E-11</v>
      </c>
      <c r="Z26" s="117">
        <f>IFERROR((up_dir!Z26/(up_Bv!Y26+s_MLF_rice)),".")</f>
        <v>1.4506287569018197E-11</v>
      </c>
      <c r="AA26" s="117">
        <f>IFERROR((up_dir!AA26/(up_Bv!Z26+s_MLF_cereal)),".")</f>
        <v>1.4506287569018197E-11</v>
      </c>
      <c r="AB26" s="40">
        <f t="shared" si="2"/>
        <v>275742.5</v>
      </c>
      <c r="AC26" s="40">
        <f>s_C*(up_Bv!C26+s_MLF_apple)*s_IFAP_res_adj*s_CF_apple</f>
        <v>68935.625</v>
      </c>
      <c r="AD26" s="40">
        <f>s_C*(up_Bv!D26+s_MLF_asparagus)*s_IFAS_res_adj*s_CF_asparagus</f>
        <v>68935.625</v>
      </c>
      <c r="AE26" s="40">
        <f>s_C*(up_Bv!E26+s_MLF_beet)*s_IFBT_res_adj*s_CF_beet</f>
        <v>68935.625</v>
      </c>
      <c r="AF26" s="40">
        <f>s_C*(up_Bv!F26+s_MLF_berries)*s_IFBE_res_adj*s_CF_berries</f>
        <v>68935.625</v>
      </c>
      <c r="AG26" s="40">
        <f>s_C*(up_Bv!G26+s_MLF_broccoli)*s_IFBR_res_adj*s_CF_broccoli</f>
        <v>68935.625</v>
      </c>
      <c r="AH26" s="40">
        <f>s_C*(up_Bv!H26+s_MLF_cabbage)*s_IFCB_res_adj*s_CF_cabbage</f>
        <v>68935.625</v>
      </c>
      <c r="AI26" s="40">
        <f>s_C*(up_Bv!I26+s_MLF_carrot)*s_IFCR_res_adj*s_CF_carrot</f>
        <v>68935.625</v>
      </c>
      <c r="AJ26" s="40">
        <f>s_C*(up_Bv!J26+s_MLF_citrus)*s_IFCI_res_adj*s_CF_citrus</f>
        <v>68935.625</v>
      </c>
      <c r="AK26" s="40">
        <f>s_C*(up_Bv!K26+s_MLF_corn)*s_IFCO_res_adj*s_CF_corn</f>
        <v>68935.625</v>
      </c>
      <c r="AL26" s="40">
        <f>s_C*(up_Bv!L26+s_MLF_cucumber)*s_IFCU_res_adj*s_CF_cucumber</f>
        <v>68935.625</v>
      </c>
      <c r="AM26" s="40">
        <f>s_C*(up_Bv!M26+s_MLF_lettuce)*s_IFLE_res_adj*s_CF_lettuce</f>
        <v>68935.625</v>
      </c>
      <c r="AN26" s="40">
        <f>s_C*(up_Bv!N26+s_MLF_lima_bean)*s_IFLI_res_adj*s_CF_lima_bean</f>
        <v>68935.625</v>
      </c>
      <c r="AO26" s="40">
        <f>s_C*(up_Bv!O26+s_MLF_okra)*s_IFOK_res_adj*s_CF_okra</f>
        <v>68935.625</v>
      </c>
      <c r="AP26" s="40">
        <f>s_C*(up_Bv!P26+s_MLF_onion)*s_IFON_res_adj*s_CF_onion</f>
        <v>68935.625</v>
      </c>
      <c r="AQ26" s="40">
        <f>s_C*(up_Bv!Q26+s_MLF_peach)*s_IFPC_res_adj*s_CF_peach</f>
        <v>68935.625</v>
      </c>
      <c r="AR26" s="40">
        <f>s_C*(up_Bv!R26+s_MLF_pear)*s_IFPR_res_adj*s_CF_pear</f>
        <v>68935.625</v>
      </c>
      <c r="AS26" s="40">
        <f>s_C*(up_Bv!S26+s_MLF_peas)*s_IFPE_res_adj*s_CF_peas</f>
        <v>68935.625</v>
      </c>
      <c r="AT26" s="40">
        <f>s_C*(up_Bv!T26+s_MLF_potato)*s_IFPT_res_adj*s_CF_potato</f>
        <v>68935.625</v>
      </c>
      <c r="AU26" s="40">
        <f>s_C*(up_Bv!U26+s_MLF_pumpkin)*s_IFPU_res_adj*s_CF_pumpkin</f>
        <v>68935.625</v>
      </c>
      <c r="AV26" s="40">
        <f>s_C*(up_Bv!V26+s_MLF_snap_bean)*s_IFSN_res_adj*s_CF_snap_bean</f>
        <v>68935.625</v>
      </c>
      <c r="AW26" s="40">
        <f>s_C*(up_Bv!W26+s_MLF_strawberry)*s_IFST_res_adj*s_CF_strawberry</f>
        <v>68935.625</v>
      </c>
      <c r="AX26" s="40">
        <f>s_C*(up_Bv!X26+s_MLF_tomato)*s_IFTO_res_adj*s_CF_tomato</f>
        <v>68935.625</v>
      </c>
      <c r="AY26" s="40">
        <f>s_C*(up_Bv!Y26+s_MLF_rice)*s_IFRI_res_adj*s_CF_rice</f>
        <v>68935.625</v>
      </c>
      <c r="AZ26" s="40">
        <f>s_C*(up_Bv!Z26+s_MLF_cereal)*s_IFCG_res_adj*s_CF_cereal</f>
        <v>68935.625</v>
      </c>
      <c r="BA26" s="15">
        <f t="shared" si="1"/>
        <v>3.6265718922545492E-12</v>
      </c>
      <c r="BB26" s="15">
        <f>IFERROR((up_dir!AC26/(up_Bv!C26+s_MLF_apple)),".")</f>
        <v>1.4506287569018197E-11</v>
      </c>
      <c r="BC26" s="15">
        <f>IFERROR((up_dir!AD26/(up_Bv!D26+s_MLF_asparagus)),".")</f>
        <v>1.4506287569018197E-11</v>
      </c>
      <c r="BD26" s="15">
        <f>IFERROR((up_dir!AE26/(up_Bv!E26+s_MLF_beet)),".")</f>
        <v>1.4506287569018197E-11</v>
      </c>
      <c r="BE26" s="15">
        <f>IFERROR((up_dir!AF26/(up_Bv!F26+s_MLF_berries)),".")</f>
        <v>1.4506287569018197E-11</v>
      </c>
      <c r="BF26" s="15">
        <f>IFERROR((up_dir!AG26/(up_Bv!G26+s_MLF_broccoli)),".")</f>
        <v>1.4506287569018197E-11</v>
      </c>
      <c r="BG26" s="15">
        <f>IFERROR((up_dir!AH26/(up_Bv!H26+s_MLF_cabbage)),".")</f>
        <v>1.4506287569018197E-11</v>
      </c>
      <c r="BH26" s="15">
        <f>IFERROR((up_dir!AI26/(up_Bv!I26+s_MLF_carrot)),".")</f>
        <v>1.4506287569018197E-11</v>
      </c>
      <c r="BI26" s="15">
        <f>IFERROR((up_dir!AJ26/(up_Bv!J26+s_MLF_citrus)),".")</f>
        <v>1.4506287569018197E-11</v>
      </c>
      <c r="BJ26" s="15">
        <f>IFERROR((up_dir!AK26/(up_Bv!K26+s_MLF_corn)),".")</f>
        <v>1.4506287569018197E-11</v>
      </c>
      <c r="BK26" s="15">
        <f>IFERROR((up_dir!AL26/(up_Bv!L26+s_MLF_cucumber)),".")</f>
        <v>1.4506287569018197E-11</v>
      </c>
      <c r="BL26" s="15">
        <f>IFERROR((up_dir!AM26/(up_Bv!M26+s_MLF_lettuce)),".")</f>
        <v>1.4506287569018197E-11</v>
      </c>
      <c r="BM26" s="15">
        <f>IFERROR((up_dir!AN26/(up_Bv!N26+s_MLF_lima_bean)),".")</f>
        <v>1.4506287569018197E-11</v>
      </c>
      <c r="BN26" s="15">
        <f>IFERROR((up_dir!AO26/(up_Bv!O26+s_MLF_okra)),".")</f>
        <v>1.4506287569018197E-11</v>
      </c>
      <c r="BO26" s="15">
        <f>IFERROR((up_dir!AP26/(up_Bv!P26+s_MLF_onion)),".")</f>
        <v>1.4506287569018197E-11</v>
      </c>
      <c r="BP26" s="15">
        <f>IFERROR((up_dir!AQ26/(up_Bv!Q26+s_MLF_peach)),".")</f>
        <v>1.4506287569018197E-11</v>
      </c>
      <c r="BQ26" s="15">
        <f>IFERROR((up_dir!AR26/(up_Bv!R26+s_MLF_pear)),".")</f>
        <v>1.4506287569018197E-11</v>
      </c>
      <c r="BR26" s="15">
        <f>IFERROR((up_dir!AS26/(up_Bv!S26+s_MLF_peas)),".")</f>
        <v>1.4506287569018197E-11</v>
      </c>
      <c r="BS26" s="15">
        <f>IFERROR((up_dir!AT26/(up_Bv!T26+s_MLF_potato)),".")</f>
        <v>1.4506287569018197E-11</v>
      </c>
      <c r="BT26" s="15">
        <f>IFERROR((up_dir!AU26/(up_Bv!U26+s_MLF_pumpkin)),".")</f>
        <v>1.4506287569018197E-11</v>
      </c>
      <c r="BU26" s="15">
        <f>IFERROR((up_dir!AV26/(up_Bv!V26+s_MLF_snap_bean)),".")</f>
        <v>1.4506287569018197E-11</v>
      </c>
      <c r="BV26" s="15">
        <f>IFERROR((up_dir!AW26/(up_Bv!W26+s_MLF_strawberry)),".")</f>
        <v>1.4506287569018197E-11</v>
      </c>
      <c r="BW26" s="15">
        <f>IFERROR((up_dir!AX26/(up_Bv!X26+s_MLF_tomato)),".")</f>
        <v>1.4506287569018197E-11</v>
      </c>
      <c r="BX26" s="15">
        <f>IFERROR((up_dir!AY26/(up_Bv!Y26+s_MLF_rice)),".")</f>
        <v>1.4506287569018197E-11</v>
      </c>
      <c r="BY26" s="15">
        <f>IFERROR((up_dir!AZ26/(up_Bv!Z26+s_MLF_cereal)),".")</f>
        <v>1.4506287569018197E-11</v>
      </c>
      <c r="BZ26" s="40">
        <f t="shared" si="3"/>
        <v>275742.5</v>
      </c>
      <c r="CA26" s="40">
        <f>IFERROR(s_C*(up_Bv!C26+s_MLF_apple)*s_IFAP_far_adj*s_CF_apple,".")</f>
        <v>68935.625</v>
      </c>
      <c r="CB26" s="40">
        <f>IFERROR(s_C*(up_Bv!D26+s_MLF_asparagus)*s_IFAS_far_adj*s_CF_asparagus,".")</f>
        <v>68935.625</v>
      </c>
      <c r="CC26" s="40">
        <f>IFERROR(s_C*(up_Bv!E26+s_MLF_beet)*s_IFBT_far_adj*s_CF_beet,".")</f>
        <v>68935.625</v>
      </c>
      <c r="CD26" s="40">
        <f>IFERROR(s_C*(up_Bv!F26+s_MLF_berries)*s_IFBR_far_adj*s_CF_berries,".")</f>
        <v>68935.625</v>
      </c>
      <c r="CE26" s="40">
        <f>IFERROR(s_C*(up_Bv!G26+s_MLF_broccoli)*s_IFBR_far_adj*s_CF_broccoli,".")</f>
        <v>68935.625</v>
      </c>
      <c r="CF26" s="40">
        <f>IFERROR(s_C*(up_Bv!H26+s_MLF_cabbage)*s_IFCB_far_adj*s_CF_cabbage,".")</f>
        <v>68935.625</v>
      </c>
      <c r="CG26" s="40">
        <f>IFERROR(s_C*(up_Bv!I26+s_MLF_carrot)*s_IFCR_far_adj*s_CF_carrot,".")</f>
        <v>68935.625</v>
      </c>
      <c r="CH26" s="40">
        <f>IFERROR(s_C*(up_Bv!J26+s_MLF_citrus)*s_IFCI_far_adj*s_CF_citrus,".")</f>
        <v>68935.625</v>
      </c>
      <c r="CI26" s="40">
        <f>IFERROR(s_C*(up_Bv!K26+s_MLF_corn)*s_IFCO_far_adj*s_CF_corn,".")</f>
        <v>68935.625</v>
      </c>
      <c r="CJ26" s="40">
        <f>IFERROR(s_C*(up_Bv!L26+s_MLF_cucumber)*s_IFCU_far_adj*s_CF_cucumber,".")</f>
        <v>68935.625</v>
      </c>
      <c r="CK26" s="40">
        <f>IFERROR(s_C*(up_Bv!M26+s_MLF_lettuce)*s_IFLE_far_adj*s_CF_lettuce,".")</f>
        <v>68935.625</v>
      </c>
      <c r="CL26" s="40">
        <f>IFERROR(s_C*(up_Bv!N26+s_MLF_lima_bean)*s_IFLI_far_adj*s_CF_lima_bean,".")</f>
        <v>68935.625</v>
      </c>
      <c r="CM26" s="40">
        <f>IFERROR(s_C*(up_Bv!O26+s_MLF_okra)*s_IFOK_far_adj*s_CF_okra,".")</f>
        <v>68935.625</v>
      </c>
      <c r="CN26" s="40">
        <f>IFERROR(s_C*(up_Bv!P26+s_MLF_onion)*s_IFON_far_adj*s_CF_onion,".")</f>
        <v>68935.625</v>
      </c>
      <c r="CO26" s="40">
        <f>IFERROR(s_C*(up_Bv!Q26+s_MLF_peach)*s_IFPC_far_adj*s_CF_peach,".")</f>
        <v>68935.625</v>
      </c>
      <c r="CP26" s="40">
        <f>IFERROR(s_C*(up_Bv!R26+s_MLF_pear)*s_IFPR_far_adj*s_CF_pear,".")</f>
        <v>68935.625</v>
      </c>
      <c r="CQ26" s="40">
        <f>IFERROR(s_C*(up_Bv!S26+s_MLF_peas)*s_IFPE_far_adj*s_CF_peas,".")</f>
        <v>68935.625</v>
      </c>
      <c r="CR26" s="40">
        <f>IFERROR(s_C*(up_Bv!T26+s_MLF_potato)*s_IFPT_far_adj*s_CF_potato,".")</f>
        <v>68935.625</v>
      </c>
      <c r="CS26" s="40">
        <f>IFERROR(s_C*(up_Bv!U26+s_MLF_pumpkin)*s_IFPU_far_adj*s_CF_pumpkin,".")</f>
        <v>68935.625</v>
      </c>
      <c r="CT26" s="40">
        <f>IFERROR(s_C*(up_Bv!V26+s_MLF_snap_bean)*s_IFSN_far_adj*s_CF_snap_bean,".")</f>
        <v>68935.625</v>
      </c>
      <c r="CU26" s="40">
        <f>IFERROR(s_C*(up_Bv!W26+s_MLF_strawberry)*s_IFST_far_adj*s_CF_strawberry,".")</f>
        <v>68935.625</v>
      </c>
      <c r="CV26" s="40">
        <f>IFERROR(s_C*(up_Bv!X26+s_MLF_tomato)*s_IFTO_far_adj*s_CF_tomato,".")</f>
        <v>68935.625</v>
      </c>
      <c r="CW26" s="40">
        <f>IFERROR(s_C*(up_Bv!Y26+s_MLF_rice)*s_IFRI_far_adj*s_CF_rice,".")</f>
        <v>68935.625</v>
      </c>
      <c r="CX26" s="40">
        <f>IFERROR(s_C*(up_Bv!Z26+s_MLF_cereal)*s_IFCG_far_adj*s_CF_cereal,".")</f>
        <v>68935.625</v>
      </c>
    </row>
    <row r="27" spans="1:102" ht="15" customHeight="1" x14ac:dyDescent="0.25">
      <c r="A27" s="44" t="s">
        <v>37</v>
      </c>
      <c r="B27" s="42" t="s">
        <v>1074</v>
      </c>
      <c r="C27" s="117">
        <f t="shared" si="0"/>
        <v>3.6265718922545492E-12</v>
      </c>
      <c r="D27" s="117">
        <f>IFERROR((up_dir!D27/(up_Bv!C27+s_MLF_apple)),".")</f>
        <v>1.4506287569018197E-11</v>
      </c>
      <c r="E27" s="117">
        <f>IFERROR((up_dir!E27/(up_Bv!D27+s_MLF_asparagus)),".")</f>
        <v>1.4506287569018197E-11</v>
      </c>
      <c r="F27" s="117">
        <f>IFERROR((up_dir!F27/(up_Bv!E27+s_MLF_beet)),".")</f>
        <v>1.4506287569018197E-11</v>
      </c>
      <c r="G27" s="117">
        <f>IFERROR((up_dir!G27/(up_Bv!F27+s_MLF_berries)),".")</f>
        <v>1.4506287569018197E-11</v>
      </c>
      <c r="H27" s="117">
        <f>IFERROR((up_dir!H27/(up_Bv!G27+s_MLF_broccoli)),".")</f>
        <v>1.4506287569018197E-11</v>
      </c>
      <c r="I27" s="117">
        <f>IFERROR((up_dir!I27/(up_Bv!H27+s_MLF_cabbage)),".")</f>
        <v>1.4506287569018197E-11</v>
      </c>
      <c r="J27" s="117">
        <f>IFERROR((up_dir!J27/(up_Bv!I27+s_MLF_carrot)),".")</f>
        <v>1.4506287569018197E-11</v>
      </c>
      <c r="K27" s="117">
        <f>IFERROR((up_dir!K27/(up_Bv!J27+s_MLF_citrus)),".")</f>
        <v>1.4506287569018197E-11</v>
      </c>
      <c r="L27" s="117">
        <f>IFERROR((up_dir!L27/(up_Bv!K27+s_MLF_corn)),".")</f>
        <v>1.4506287569018197E-11</v>
      </c>
      <c r="M27" s="117">
        <f>IFERROR((up_dir!M27/(up_Bv!L27+s_MLF_cucumber)),".")</f>
        <v>1.4506287569018197E-11</v>
      </c>
      <c r="N27" s="117">
        <f>IFERROR((up_dir!N27/(up_Bv!M27+s_MLF_lettuce)),".")</f>
        <v>1.4506287569018197E-11</v>
      </c>
      <c r="O27" s="117">
        <f>IFERROR((up_dir!O27/(up_Bv!N27+s_MLF_lima_bean)),".")</f>
        <v>1.4506287569018197E-11</v>
      </c>
      <c r="P27" s="117">
        <f>IFERROR((up_dir!P27/(up_Bv!O27+s_MLF_okra)),".")</f>
        <v>1.4506287569018197E-11</v>
      </c>
      <c r="Q27" s="117">
        <f>IFERROR((up_dir!Q27/(up_Bv!P27+s_MLF_onion)),".")</f>
        <v>1.4506287569018197E-11</v>
      </c>
      <c r="R27" s="117">
        <f>IFERROR((up_dir!R27/(up_Bv!Q27+s_MLF_peach)),".")</f>
        <v>1.4506287569018197E-11</v>
      </c>
      <c r="S27" s="117">
        <f>IFERROR((up_dir!S27/(up_Bv!R27+s_MLF_pear)),".")</f>
        <v>1.4506287569018197E-11</v>
      </c>
      <c r="T27" s="117">
        <f>IFERROR((up_dir!T27/(up_Bv!S27+s_MLF_peas)),".")</f>
        <v>1.4506287569018197E-11</v>
      </c>
      <c r="U27" s="117">
        <f>IFERROR((up_dir!U27/(up_Bv!T27+s_MLF_potato)),".")</f>
        <v>1.4506287569018197E-11</v>
      </c>
      <c r="V27" s="117">
        <f>IFERROR((up_dir!V27/(up_Bv!U27+s_MLF_pumpkin)),".")</f>
        <v>1.4506287569018197E-11</v>
      </c>
      <c r="W27" s="117">
        <f>IFERROR((up_dir!W27/(up_Bv!V27+s_MLF_snap_bean)),".")</f>
        <v>1.4506287569018197E-11</v>
      </c>
      <c r="X27" s="117">
        <f>IFERROR((up_dir!X27/(up_Bv!W27+s_MLF_strawberry)),".")</f>
        <v>1.4506287569018197E-11</v>
      </c>
      <c r="Y27" s="117">
        <f>IFERROR((up_dir!Y27/(up_Bv!X27+s_MLF_tomato)),".")</f>
        <v>1.4506287569018197E-11</v>
      </c>
      <c r="Z27" s="117">
        <f>IFERROR((up_dir!Z27/(up_Bv!Y27+s_MLF_rice)),".")</f>
        <v>1.4506287569018197E-11</v>
      </c>
      <c r="AA27" s="117">
        <f>IFERROR((up_dir!AA27/(up_Bv!Z27+s_MLF_cereal)),".")</f>
        <v>1.4506287569018197E-11</v>
      </c>
      <c r="AB27" s="40">
        <f t="shared" si="2"/>
        <v>275742.5</v>
      </c>
      <c r="AC27" s="40">
        <f>s_C*(up_Bv!C27+s_MLF_apple)*s_IFAP_res_adj*s_CF_apple</f>
        <v>68935.625</v>
      </c>
      <c r="AD27" s="40">
        <f>s_C*(up_Bv!D27+s_MLF_asparagus)*s_IFAS_res_adj*s_CF_asparagus</f>
        <v>68935.625</v>
      </c>
      <c r="AE27" s="40">
        <f>s_C*(up_Bv!E27+s_MLF_beet)*s_IFBT_res_adj*s_CF_beet</f>
        <v>68935.625</v>
      </c>
      <c r="AF27" s="40">
        <f>s_C*(up_Bv!F27+s_MLF_berries)*s_IFBE_res_adj*s_CF_berries</f>
        <v>68935.625</v>
      </c>
      <c r="AG27" s="40">
        <f>s_C*(up_Bv!G27+s_MLF_broccoli)*s_IFBR_res_adj*s_CF_broccoli</f>
        <v>68935.625</v>
      </c>
      <c r="AH27" s="40">
        <f>s_C*(up_Bv!H27+s_MLF_cabbage)*s_IFCB_res_adj*s_CF_cabbage</f>
        <v>68935.625</v>
      </c>
      <c r="AI27" s="40">
        <f>s_C*(up_Bv!I27+s_MLF_carrot)*s_IFCR_res_adj*s_CF_carrot</f>
        <v>68935.625</v>
      </c>
      <c r="AJ27" s="40">
        <f>s_C*(up_Bv!J27+s_MLF_citrus)*s_IFCI_res_adj*s_CF_citrus</f>
        <v>68935.625</v>
      </c>
      <c r="AK27" s="40">
        <f>s_C*(up_Bv!K27+s_MLF_corn)*s_IFCO_res_adj*s_CF_corn</f>
        <v>68935.625</v>
      </c>
      <c r="AL27" s="40">
        <f>s_C*(up_Bv!L27+s_MLF_cucumber)*s_IFCU_res_adj*s_CF_cucumber</f>
        <v>68935.625</v>
      </c>
      <c r="AM27" s="40">
        <f>s_C*(up_Bv!M27+s_MLF_lettuce)*s_IFLE_res_adj*s_CF_lettuce</f>
        <v>68935.625</v>
      </c>
      <c r="AN27" s="40">
        <f>s_C*(up_Bv!N27+s_MLF_lima_bean)*s_IFLI_res_adj*s_CF_lima_bean</f>
        <v>68935.625</v>
      </c>
      <c r="AO27" s="40">
        <f>s_C*(up_Bv!O27+s_MLF_okra)*s_IFOK_res_adj*s_CF_okra</f>
        <v>68935.625</v>
      </c>
      <c r="AP27" s="40">
        <f>s_C*(up_Bv!P27+s_MLF_onion)*s_IFON_res_adj*s_CF_onion</f>
        <v>68935.625</v>
      </c>
      <c r="AQ27" s="40">
        <f>s_C*(up_Bv!Q27+s_MLF_peach)*s_IFPC_res_adj*s_CF_peach</f>
        <v>68935.625</v>
      </c>
      <c r="AR27" s="40">
        <f>s_C*(up_Bv!R27+s_MLF_pear)*s_IFPR_res_adj*s_CF_pear</f>
        <v>68935.625</v>
      </c>
      <c r="AS27" s="40">
        <f>s_C*(up_Bv!S27+s_MLF_peas)*s_IFPE_res_adj*s_CF_peas</f>
        <v>68935.625</v>
      </c>
      <c r="AT27" s="40">
        <f>s_C*(up_Bv!T27+s_MLF_potato)*s_IFPT_res_adj*s_CF_potato</f>
        <v>68935.625</v>
      </c>
      <c r="AU27" s="40">
        <f>s_C*(up_Bv!U27+s_MLF_pumpkin)*s_IFPU_res_adj*s_CF_pumpkin</f>
        <v>68935.625</v>
      </c>
      <c r="AV27" s="40">
        <f>s_C*(up_Bv!V27+s_MLF_snap_bean)*s_IFSN_res_adj*s_CF_snap_bean</f>
        <v>68935.625</v>
      </c>
      <c r="AW27" s="40">
        <f>s_C*(up_Bv!W27+s_MLF_strawberry)*s_IFST_res_adj*s_CF_strawberry</f>
        <v>68935.625</v>
      </c>
      <c r="AX27" s="40">
        <f>s_C*(up_Bv!X27+s_MLF_tomato)*s_IFTO_res_adj*s_CF_tomato</f>
        <v>68935.625</v>
      </c>
      <c r="AY27" s="40">
        <f>s_C*(up_Bv!Y27+s_MLF_rice)*s_IFRI_res_adj*s_CF_rice</f>
        <v>68935.625</v>
      </c>
      <c r="AZ27" s="40">
        <f>s_C*(up_Bv!Z27+s_MLF_cereal)*s_IFCG_res_adj*s_CF_cereal</f>
        <v>68935.625</v>
      </c>
      <c r="BA27" s="15">
        <f t="shared" si="1"/>
        <v>3.6265718922545492E-12</v>
      </c>
      <c r="BB27" s="15">
        <f>IFERROR((up_dir!AC27/(up_Bv!C27+s_MLF_apple)),".")</f>
        <v>1.4506287569018197E-11</v>
      </c>
      <c r="BC27" s="15">
        <f>IFERROR((up_dir!AD27/(up_Bv!D27+s_MLF_asparagus)),".")</f>
        <v>1.4506287569018197E-11</v>
      </c>
      <c r="BD27" s="15">
        <f>IFERROR((up_dir!AE27/(up_Bv!E27+s_MLF_beet)),".")</f>
        <v>1.4506287569018197E-11</v>
      </c>
      <c r="BE27" s="15">
        <f>IFERROR((up_dir!AF27/(up_Bv!F27+s_MLF_berries)),".")</f>
        <v>1.4506287569018197E-11</v>
      </c>
      <c r="BF27" s="15">
        <f>IFERROR((up_dir!AG27/(up_Bv!G27+s_MLF_broccoli)),".")</f>
        <v>1.4506287569018197E-11</v>
      </c>
      <c r="BG27" s="15">
        <f>IFERROR((up_dir!AH27/(up_Bv!H27+s_MLF_cabbage)),".")</f>
        <v>1.4506287569018197E-11</v>
      </c>
      <c r="BH27" s="15">
        <f>IFERROR((up_dir!AI27/(up_Bv!I27+s_MLF_carrot)),".")</f>
        <v>1.4506287569018197E-11</v>
      </c>
      <c r="BI27" s="15">
        <f>IFERROR((up_dir!AJ27/(up_Bv!J27+s_MLF_citrus)),".")</f>
        <v>1.4506287569018197E-11</v>
      </c>
      <c r="BJ27" s="15">
        <f>IFERROR((up_dir!AK27/(up_Bv!K27+s_MLF_corn)),".")</f>
        <v>1.4506287569018197E-11</v>
      </c>
      <c r="BK27" s="15">
        <f>IFERROR((up_dir!AL27/(up_Bv!L27+s_MLF_cucumber)),".")</f>
        <v>1.4506287569018197E-11</v>
      </c>
      <c r="BL27" s="15">
        <f>IFERROR((up_dir!AM27/(up_Bv!M27+s_MLF_lettuce)),".")</f>
        <v>1.4506287569018197E-11</v>
      </c>
      <c r="BM27" s="15">
        <f>IFERROR((up_dir!AN27/(up_Bv!N27+s_MLF_lima_bean)),".")</f>
        <v>1.4506287569018197E-11</v>
      </c>
      <c r="BN27" s="15">
        <f>IFERROR((up_dir!AO27/(up_Bv!O27+s_MLF_okra)),".")</f>
        <v>1.4506287569018197E-11</v>
      </c>
      <c r="BO27" s="15">
        <f>IFERROR((up_dir!AP27/(up_Bv!P27+s_MLF_onion)),".")</f>
        <v>1.4506287569018197E-11</v>
      </c>
      <c r="BP27" s="15">
        <f>IFERROR((up_dir!AQ27/(up_Bv!Q27+s_MLF_peach)),".")</f>
        <v>1.4506287569018197E-11</v>
      </c>
      <c r="BQ27" s="15">
        <f>IFERROR((up_dir!AR27/(up_Bv!R27+s_MLF_pear)),".")</f>
        <v>1.4506287569018197E-11</v>
      </c>
      <c r="BR27" s="15">
        <f>IFERROR((up_dir!AS27/(up_Bv!S27+s_MLF_peas)),".")</f>
        <v>1.4506287569018197E-11</v>
      </c>
      <c r="BS27" s="15">
        <f>IFERROR((up_dir!AT27/(up_Bv!T27+s_MLF_potato)),".")</f>
        <v>1.4506287569018197E-11</v>
      </c>
      <c r="BT27" s="15">
        <f>IFERROR((up_dir!AU27/(up_Bv!U27+s_MLF_pumpkin)),".")</f>
        <v>1.4506287569018197E-11</v>
      </c>
      <c r="BU27" s="15">
        <f>IFERROR((up_dir!AV27/(up_Bv!V27+s_MLF_snap_bean)),".")</f>
        <v>1.4506287569018197E-11</v>
      </c>
      <c r="BV27" s="15">
        <f>IFERROR((up_dir!AW27/(up_Bv!W27+s_MLF_strawberry)),".")</f>
        <v>1.4506287569018197E-11</v>
      </c>
      <c r="BW27" s="15">
        <f>IFERROR((up_dir!AX27/(up_Bv!X27+s_MLF_tomato)),".")</f>
        <v>1.4506287569018197E-11</v>
      </c>
      <c r="BX27" s="15">
        <f>IFERROR((up_dir!AY27/(up_Bv!Y27+s_MLF_rice)),".")</f>
        <v>1.4506287569018197E-11</v>
      </c>
      <c r="BY27" s="15">
        <f>IFERROR((up_dir!AZ27/(up_Bv!Z27+s_MLF_cereal)),".")</f>
        <v>1.4506287569018197E-11</v>
      </c>
      <c r="BZ27" s="40">
        <f t="shared" si="3"/>
        <v>275742.5</v>
      </c>
      <c r="CA27" s="40">
        <f>IFERROR(s_C*(up_Bv!C27+s_MLF_apple)*s_IFAP_far_adj*s_CF_apple,".")</f>
        <v>68935.625</v>
      </c>
      <c r="CB27" s="40">
        <f>IFERROR(s_C*(up_Bv!D27+s_MLF_asparagus)*s_IFAS_far_adj*s_CF_asparagus,".")</f>
        <v>68935.625</v>
      </c>
      <c r="CC27" s="40">
        <f>IFERROR(s_C*(up_Bv!E27+s_MLF_beet)*s_IFBT_far_adj*s_CF_beet,".")</f>
        <v>68935.625</v>
      </c>
      <c r="CD27" s="40">
        <f>IFERROR(s_C*(up_Bv!F27+s_MLF_berries)*s_IFBR_far_adj*s_CF_berries,".")</f>
        <v>68935.625</v>
      </c>
      <c r="CE27" s="40">
        <f>IFERROR(s_C*(up_Bv!G27+s_MLF_broccoli)*s_IFBR_far_adj*s_CF_broccoli,".")</f>
        <v>68935.625</v>
      </c>
      <c r="CF27" s="40">
        <f>IFERROR(s_C*(up_Bv!H27+s_MLF_cabbage)*s_IFCB_far_adj*s_CF_cabbage,".")</f>
        <v>68935.625</v>
      </c>
      <c r="CG27" s="40">
        <f>IFERROR(s_C*(up_Bv!I27+s_MLF_carrot)*s_IFCR_far_adj*s_CF_carrot,".")</f>
        <v>68935.625</v>
      </c>
      <c r="CH27" s="40">
        <f>IFERROR(s_C*(up_Bv!J27+s_MLF_citrus)*s_IFCI_far_adj*s_CF_citrus,".")</f>
        <v>68935.625</v>
      </c>
      <c r="CI27" s="40">
        <f>IFERROR(s_C*(up_Bv!K27+s_MLF_corn)*s_IFCO_far_adj*s_CF_corn,".")</f>
        <v>68935.625</v>
      </c>
      <c r="CJ27" s="40">
        <f>IFERROR(s_C*(up_Bv!L27+s_MLF_cucumber)*s_IFCU_far_adj*s_CF_cucumber,".")</f>
        <v>68935.625</v>
      </c>
      <c r="CK27" s="40">
        <f>IFERROR(s_C*(up_Bv!M27+s_MLF_lettuce)*s_IFLE_far_adj*s_CF_lettuce,".")</f>
        <v>68935.625</v>
      </c>
      <c r="CL27" s="40">
        <f>IFERROR(s_C*(up_Bv!N27+s_MLF_lima_bean)*s_IFLI_far_adj*s_CF_lima_bean,".")</f>
        <v>68935.625</v>
      </c>
      <c r="CM27" s="40">
        <f>IFERROR(s_C*(up_Bv!O27+s_MLF_okra)*s_IFOK_far_adj*s_CF_okra,".")</f>
        <v>68935.625</v>
      </c>
      <c r="CN27" s="40">
        <f>IFERROR(s_C*(up_Bv!P27+s_MLF_onion)*s_IFON_far_adj*s_CF_onion,".")</f>
        <v>68935.625</v>
      </c>
      <c r="CO27" s="40">
        <f>IFERROR(s_C*(up_Bv!Q27+s_MLF_peach)*s_IFPC_far_adj*s_CF_peach,".")</f>
        <v>68935.625</v>
      </c>
      <c r="CP27" s="40">
        <f>IFERROR(s_C*(up_Bv!R27+s_MLF_pear)*s_IFPR_far_adj*s_CF_pear,".")</f>
        <v>68935.625</v>
      </c>
      <c r="CQ27" s="40">
        <f>IFERROR(s_C*(up_Bv!S27+s_MLF_peas)*s_IFPE_far_adj*s_CF_peas,".")</f>
        <v>68935.625</v>
      </c>
      <c r="CR27" s="40">
        <f>IFERROR(s_C*(up_Bv!T27+s_MLF_potato)*s_IFPT_far_adj*s_CF_potato,".")</f>
        <v>68935.625</v>
      </c>
      <c r="CS27" s="40">
        <f>IFERROR(s_C*(up_Bv!U27+s_MLF_pumpkin)*s_IFPU_far_adj*s_CF_pumpkin,".")</f>
        <v>68935.625</v>
      </c>
      <c r="CT27" s="40">
        <f>IFERROR(s_C*(up_Bv!V27+s_MLF_snap_bean)*s_IFSN_far_adj*s_CF_snap_bean,".")</f>
        <v>68935.625</v>
      </c>
      <c r="CU27" s="40">
        <f>IFERROR(s_C*(up_Bv!W27+s_MLF_strawberry)*s_IFST_far_adj*s_CF_strawberry,".")</f>
        <v>68935.625</v>
      </c>
      <c r="CV27" s="40">
        <f>IFERROR(s_C*(up_Bv!X27+s_MLF_tomato)*s_IFTO_far_adj*s_CF_tomato,".")</f>
        <v>68935.625</v>
      </c>
      <c r="CW27" s="40">
        <f>IFERROR(s_C*(up_Bv!Y27+s_MLF_rice)*s_IFRI_far_adj*s_CF_rice,".")</f>
        <v>68935.625</v>
      </c>
      <c r="CX27" s="40">
        <f>IFERROR(s_C*(up_Bv!Z27+s_MLF_cereal)*s_IFCG_far_adj*s_CF_cereal,".")</f>
        <v>68935.625</v>
      </c>
    </row>
    <row r="28" spans="1:102" ht="15" customHeight="1" x14ac:dyDescent="0.25">
      <c r="A28" s="44" t="s">
        <v>38</v>
      </c>
      <c r="B28" s="42" t="s">
        <v>1074</v>
      </c>
      <c r="C28" s="117">
        <f t="shared" si="0"/>
        <v>3.6265718922545492E-12</v>
      </c>
      <c r="D28" s="117">
        <f>IFERROR((up_dir!D28/(up_Bv!C28+s_MLF_apple)),".")</f>
        <v>1.4506287569018197E-11</v>
      </c>
      <c r="E28" s="117">
        <f>IFERROR((up_dir!E28/(up_Bv!D28+s_MLF_asparagus)),".")</f>
        <v>1.4506287569018197E-11</v>
      </c>
      <c r="F28" s="117">
        <f>IFERROR((up_dir!F28/(up_Bv!E28+s_MLF_beet)),".")</f>
        <v>1.4506287569018197E-11</v>
      </c>
      <c r="G28" s="117">
        <f>IFERROR((up_dir!G28/(up_Bv!F28+s_MLF_berries)),".")</f>
        <v>1.4506287569018197E-11</v>
      </c>
      <c r="H28" s="117">
        <f>IFERROR((up_dir!H28/(up_Bv!G28+s_MLF_broccoli)),".")</f>
        <v>1.4506287569018197E-11</v>
      </c>
      <c r="I28" s="117">
        <f>IFERROR((up_dir!I28/(up_Bv!H28+s_MLF_cabbage)),".")</f>
        <v>1.4506287569018197E-11</v>
      </c>
      <c r="J28" s="117">
        <f>IFERROR((up_dir!J28/(up_Bv!I28+s_MLF_carrot)),".")</f>
        <v>1.4506287569018197E-11</v>
      </c>
      <c r="K28" s="117">
        <f>IFERROR((up_dir!K28/(up_Bv!J28+s_MLF_citrus)),".")</f>
        <v>1.4506287569018197E-11</v>
      </c>
      <c r="L28" s="117">
        <f>IFERROR((up_dir!L28/(up_Bv!K28+s_MLF_corn)),".")</f>
        <v>1.4506287569018197E-11</v>
      </c>
      <c r="M28" s="117">
        <f>IFERROR((up_dir!M28/(up_Bv!L28+s_MLF_cucumber)),".")</f>
        <v>1.4506287569018197E-11</v>
      </c>
      <c r="N28" s="117">
        <f>IFERROR((up_dir!N28/(up_Bv!M28+s_MLF_lettuce)),".")</f>
        <v>1.4506287569018197E-11</v>
      </c>
      <c r="O28" s="117">
        <f>IFERROR((up_dir!O28/(up_Bv!N28+s_MLF_lima_bean)),".")</f>
        <v>1.4506287569018197E-11</v>
      </c>
      <c r="P28" s="117">
        <f>IFERROR((up_dir!P28/(up_Bv!O28+s_MLF_okra)),".")</f>
        <v>1.4506287569018197E-11</v>
      </c>
      <c r="Q28" s="117">
        <f>IFERROR((up_dir!Q28/(up_Bv!P28+s_MLF_onion)),".")</f>
        <v>1.4506287569018197E-11</v>
      </c>
      <c r="R28" s="117">
        <f>IFERROR((up_dir!R28/(up_Bv!Q28+s_MLF_peach)),".")</f>
        <v>1.4506287569018197E-11</v>
      </c>
      <c r="S28" s="117">
        <f>IFERROR((up_dir!S28/(up_Bv!R28+s_MLF_pear)),".")</f>
        <v>1.4506287569018197E-11</v>
      </c>
      <c r="T28" s="117">
        <f>IFERROR((up_dir!T28/(up_Bv!S28+s_MLF_peas)),".")</f>
        <v>1.4506287569018197E-11</v>
      </c>
      <c r="U28" s="117">
        <f>IFERROR((up_dir!U28/(up_Bv!T28+s_MLF_potato)),".")</f>
        <v>1.4506287569018197E-11</v>
      </c>
      <c r="V28" s="117">
        <f>IFERROR((up_dir!V28/(up_Bv!U28+s_MLF_pumpkin)),".")</f>
        <v>1.4506287569018197E-11</v>
      </c>
      <c r="W28" s="117">
        <f>IFERROR((up_dir!W28/(up_Bv!V28+s_MLF_snap_bean)),".")</f>
        <v>1.4506287569018197E-11</v>
      </c>
      <c r="X28" s="117">
        <f>IFERROR((up_dir!X28/(up_Bv!W28+s_MLF_strawberry)),".")</f>
        <v>1.4506287569018197E-11</v>
      </c>
      <c r="Y28" s="117">
        <f>IFERROR((up_dir!Y28/(up_Bv!X28+s_MLF_tomato)),".")</f>
        <v>1.4506287569018197E-11</v>
      </c>
      <c r="Z28" s="117">
        <f>IFERROR((up_dir!Z28/(up_Bv!Y28+s_MLF_rice)),".")</f>
        <v>1.4506287569018197E-11</v>
      </c>
      <c r="AA28" s="117">
        <f>IFERROR((up_dir!AA28/(up_Bv!Z28+s_MLF_cereal)),".")</f>
        <v>1.4506287569018197E-11</v>
      </c>
      <c r="AB28" s="40">
        <f t="shared" si="2"/>
        <v>275742.5</v>
      </c>
      <c r="AC28" s="40">
        <f>s_C*(up_Bv!C28+s_MLF_apple)*s_IFAP_res_adj*s_CF_apple</f>
        <v>68935.625</v>
      </c>
      <c r="AD28" s="40">
        <f>s_C*(up_Bv!D28+s_MLF_asparagus)*s_IFAS_res_adj*s_CF_asparagus</f>
        <v>68935.625</v>
      </c>
      <c r="AE28" s="40">
        <f>s_C*(up_Bv!E28+s_MLF_beet)*s_IFBT_res_adj*s_CF_beet</f>
        <v>68935.625</v>
      </c>
      <c r="AF28" s="40">
        <f>s_C*(up_Bv!F28+s_MLF_berries)*s_IFBE_res_adj*s_CF_berries</f>
        <v>68935.625</v>
      </c>
      <c r="AG28" s="40">
        <f>s_C*(up_Bv!G28+s_MLF_broccoli)*s_IFBR_res_adj*s_CF_broccoli</f>
        <v>68935.625</v>
      </c>
      <c r="AH28" s="40">
        <f>s_C*(up_Bv!H28+s_MLF_cabbage)*s_IFCB_res_adj*s_CF_cabbage</f>
        <v>68935.625</v>
      </c>
      <c r="AI28" s="40">
        <f>s_C*(up_Bv!I28+s_MLF_carrot)*s_IFCR_res_adj*s_CF_carrot</f>
        <v>68935.625</v>
      </c>
      <c r="AJ28" s="40">
        <f>s_C*(up_Bv!J28+s_MLF_citrus)*s_IFCI_res_adj*s_CF_citrus</f>
        <v>68935.625</v>
      </c>
      <c r="AK28" s="40">
        <f>s_C*(up_Bv!K28+s_MLF_corn)*s_IFCO_res_adj*s_CF_corn</f>
        <v>68935.625</v>
      </c>
      <c r="AL28" s="40">
        <f>s_C*(up_Bv!L28+s_MLF_cucumber)*s_IFCU_res_adj*s_CF_cucumber</f>
        <v>68935.625</v>
      </c>
      <c r="AM28" s="40">
        <f>s_C*(up_Bv!M28+s_MLF_lettuce)*s_IFLE_res_adj*s_CF_lettuce</f>
        <v>68935.625</v>
      </c>
      <c r="AN28" s="40">
        <f>s_C*(up_Bv!N28+s_MLF_lima_bean)*s_IFLI_res_adj*s_CF_lima_bean</f>
        <v>68935.625</v>
      </c>
      <c r="AO28" s="40">
        <f>s_C*(up_Bv!O28+s_MLF_okra)*s_IFOK_res_adj*s_CF_okra</f>
        <v>68935.625</v>
      </c>
      <c r="AP28" s="40">
        <f>s_C*(up_Bv!P28+s_MLF_onion)*s_IFON_res_adj*s_CF_onion</f>
        <v>68935.625</v>
      </c>
      <c r="AQ28" s="40">
        <f>s_C*(up_Bv!Q28+s_MLF_peach)*s_IFPC_res_adj*s_CF_peach</f>
        <v>68935.625</v>
      </c>
      <c r="AR28" s="40">
        <f>s_C*(up_Bv!R28+s_MLF_pear)*s_IFPR_res_adj*s_CF_pear</f>
        <v>68935.625</v>
      </c>
      <c r="AS28" s="40">
        <f>s_C*(up_Bv!S28+s_MLF_peas)*s_IFPE_res_adj*s_CF_peas</f>
        <v>68935.625</v>
      </c>
      <c r="AT28" s="40">
        <f>s_C*(up_Bv!T28+s_MLF_potato)*s_IFPT_res_adj*s_CF_potato</f>
        <v>68935.625</v>
      </c>
      <c r="AU28" s="40">
        <f>s_C*(up_Bv!U28+s_MLF_pumpkin)*s_IFPU_res_adj*s_CF_pumpkin</f>
        <v>68935.625</v>
      </c>
      <c r="AV28" s="40">
        <f>s_C*(up_Bv!V28+s_MLF_snap_bean)*s_IFSN_res_adj*s_CF_snap_bean</f>
        <v>68935.625</v>
      </c>
      <c r="AW28" s="40">
        <f>s_C*(up_Bv!W28+s_MLF_strawberry)*s_IFST_res_adj*s_CF_strawberry</f>
        <v>68935.625</v>
      </c>
      <c r="AX28" s="40">
        <f>s_C*(up_Bv!X28+s_MLF_tomato)*s_IFTO_res_adj*s_CF_tomato</f>
        <v>68935.625</v>
      </c>
      <c r="AY28" s="40">
        <f>s_C*(up_Bv!Y28+s_MLF_rice)*s_IFRI_res_adj*s_CF_rice</f>
        <v>68935.625</v>
      </c>
      <c r="AZ28" s="40">
        <f>s_C*(up_Bv!Z28+s_MLF_cereal)*s_IFCG_res_adj*s_CF_cereal</f>
        <v>68935.625</v>
      </c>
      <c r="BA28" s="15">
        <f t="shared" si="1"/>
        <v>3.6265718922545492E-12</v>
      </c>
      <c r="BB28" s="15">
        <f>IFERROR((up_dir!AC28/(up_Bv!C28+s_MLF_apple)),".")</f>
        <v>1.4506287569018197E-11</v>
      </c>
      <c r="BC28" s="15">
        <f>IFERROR((up_dir!AD28/(up_Bv!D28+s_MLF_asparagus)),".")</f>
        <v>1.4506287569018197E-11</v>
      </c>
      <c r="BD28" s="15">
        <f>IFERROR((up_dir!AE28/(up_Bv!E28+s_MLF_beet)),".")</f>
        <v>1.4506287569018197E-11</v>
      </c>
      <c r="BE28" s="15">
        <f>IFERROR((up_dir!AF28/(up_Bv!F28+s_MLF_berries)),".")</f>
        <v>1.4506287569018197E-11</v>
      </c>
      <c r="BF28" s="15">
        <f>IFERROR((up_dir!AG28/(up_Bv!G28+s_MLF_broccoli)),".")</f>
        <v>1.4506287569018197E-11</v>
      </c>
      <c r="BG28" s="15">
        <f>IFERROR((up_dir!AH28/(up_Bv!H28+s_MLF_cabbage)),".")</f>
        <v>1.4506287569018197E-11</v>
      </c>
      <c r="BH28" s="15">
        <f>IFERROR((up_dir!AI28/(up_Bv!I28+s_MLF_carrot)),".")</f>
        <v>1.4506287569018197E-11</v>
      </c>
      <c r="BI28" s="15">
        <f>IFERROR((up_dir!AJ28/(up_Bv!J28+s_MLF_citrus)),".")</f>
        <v>1.4506287569018197E-11</v>
      </c>
      <c r="BJ28" s="15">
        <f>IFERROR((up_dir!AK28/(up_Bv!K28+s_MLF_corn)),".")</f>
        <v>1.4506287569018197E-11</v>
      </c>
      <c r="BK28" s="15">
        <f>IFERROR((up_dir!AL28/(up_Bv!L28+s_MLF_cucumber)),".")</f>
        <v>1.4506287569018197E-11</v>
      </c>
      <c r="BL28" s="15">
        <f>IFERROR((up_dir!AM28/(up_Bv!M28+s_MLF_lettuce)),".")</f>
        <v>1.4506287569018197E-11</v>
      </c>
      <c r="BM28" s="15">
        <f>IFERROR((up_dir!AN28/(up_Bv!N28+s_MLF_lima_bean)),".")</f>
        <v>1.4506287569018197E-11</v>
      </c>
      <c r="BN28" s="15">
        <f>IFERROR((up_dir!AO28/(up_Bv!O28+s_MLF_okra)),".")</f>
        <v>1.4506287569018197E-11</v>
      </c>
      <c r="BO28" s="15">
        <f>IFERROR((up_dir!AP28/(up_Bv!P28+s_MLF_onion)),".")</f>
        <v>1.4506287569018197E-11</v>
      </c>
      <c r="BP28" s="15">
        <f>IFERROR((up_dir!AQ28/(up_Bv!Q28+s_MLF_peach)),".")</f>
        <v>1.4506287569018197E-11</v>
      </c>
      <c r="BQ28" s="15">
        <f>IFERROR((up_dir!AR28/(up_Bv!R28+s_MLF_pear)),".")</f>
        <v>1.4506287569018197E-11</v>
      </c>
      <c r="BR28" s="15">
        <f>IFERROR((up_dir!AS28/(up_Bv!S28+s_MLF_peas)),".")</f>
        <v>1.4506287569018197E-11</v>
      </c>
      <c r="BS28" s="15">
        <f>IFERROR((up_dir!AT28/(up_Bv!T28+s_MLF_potato)),".")</f>
        <v>1.4506287569018197E-11</v>
      </c>
      <c r="BT28" s="15">
        <f>IFERROR((up_dir!AU28/(up_Bv!U28+s_MLF_pumpkin)),".")</f>
        <v>1.4506287569018197E-11</v>
      </c>
      <c r="BU28" s="15">
        <f>IFERROR((up_dir!AV28/(up_Bv!V28+s_MLF_snap_bean)),".")</f>
        <v>1.4506287569018197E-11</v>
      </c>
      <c r="BV28" s="15">
        <f>IFERROR((up_dir!AW28/(up_Bv!W28+s_MLF_strawberry)),".")</f>
        <v>1.4506287569018197E-11</v>
      </c>
      <c r="BW28" s="15">
        <f>IFERROR((up_dir!AX28/(up_Bv!X28+s_MLF_tomato)),".")</f>
        <v>1.4506287569018197E-11</v>
      </c>
      <c r="BX28" s="15">
        <f>IFERROR((up_dir!AY28/(up_Bv!Y28+s_MLF_rice)),".")</f>
        <v>1.4506287569018197E-11</v>
      </c>
      <c r="BY28" s="15">
        <f>IFERROR((up_dir!AZ28/(up_Bv!Z28+s_MLF_cereal)),".")</f>
        <v>1.4506287569018197E-11</v>
      </c>
      <c r="BZ28" s="40">
        <f t="shared" si="3"/>
        <v>275742.5</v>
      </c>
      <c r="CA28" s="40">
        <f>IFERROR(s_C*(up_Bv!C28+s_MLF_apple)*s_IFAP_far_adj*s_CF_apple,".")</f>
        <v>68935.625</v>
      </c>
      <c r="CB28" s="40">
        <f>IFERROR(s_C*(up_Bv!D28+s_MLF_asparagus)*s_IFAS_far_adj*s_CF_asparagus,".")</f>
        <v>68935.625</v>
      </c>
      <c r="CC28" s="40">
        <f>IFERROR(s_C*(up_Bv!E28+s_MLF_beet)*s_IFBT_far_adj*s_CF_beet,".")</f>
        <v>68935.625</v>
      </c>
      <c r="CD28" s="40">
        <f>IFERROR(s_C*(up_Bv!F28+s_MLF_berries)*s_IFBR_far_adj*s_CF_berries,".")</f>
        <v>68935.625</v>
      </c>
      <c r="CE28" s="40">
        <f>IFERROR(s_C*(up_Bv!G28+s_MLF_broccoli)*s_IFBR_far_adj*s_CF_broccoli,".")</f>
        <v>68935.625</v>
      </c>
      <c r="CF28" s="40">
        <f>IFERROR(s_C*(up_Bv!H28+s_MLF_cabbage)*s_IFCB_far_adj*s_CF_cabbage,".")</f>
        <v>68935.625</v>
      </c>
      <c r="CG28" s="40">
        <f>IFERROR(s_C*(up_Bv!I28+s_MLF_carrot)*s_IFCR_far_adj*s_CF_carrot,".")</f>
        <v>68935.625</v>
      </c>
      <c r="CH28" s="40">
        <f>IFERROR(s_C*(up_Bv!J28+s_MLF_citrus)*s_IFCI_far_adj*s_CF_citrus,".")</f>
        <v>68935.625</v>
      </c>
      <c r="CI28" s="40">
        <f>IFERROR(s_C*(up_Bv!K28+s_MLF_corn)*s_IFCO_far_adj*s_CF_corn,".")</f>
        <v>68935.625</v>
      </c>
      <c r="CJ28" s="40">
        <f>IFERROR(s_C*(up_Bv!L28+s_MLF_cucumber)*s_IFCU_far_adj*s_CF_cucumber,".")</f>
        <v>68935.625</v>
      </c>
      <c r="CK28" s="40">
        <f>IFERROR(s_C*(up_Bv!M28+s_MLF_lettuce)*s_IFLE_far_adj*s_CF_lettuce,".")</f>
        <v>68935.625</v>
      </c>
      <c r="CL28" s="40">
        <f>IFERROR(s_C*(up_Bv!N28+s_MLF_lima_bean)*s_IFLI_far_adj*s_CF_lima_bean,".")</f>
        <v>68935.625</v>
      </c>
      <c r="CM28" s="40">
        <f>IFERROR(s_C*(up_Bv!O28+s_MLF_okra)*s_IFOK_far_adj*s_CF_okra,".")</f>
        <v>68935.625</v>
      </c>
      <c r="CN28" s="40">
        <f>IFERROR(s_C*(up_Bv!P28+s_MLF_onion)*s_IFON_far_adj*s_CF_onion,".")</f>
        <v>68935.625</v>
      </c>
      <c r="CO28" s="40">
        <f>IFERROR(s_C*(up_Bv!Q28+s_MLF_peach)*s_IFPC_far_adj*s_CF_peach,".")</f>
        <v>68935.625</v>
      </c>
      <c r="CP28" s="40">
        <f>IFERROR(s_C*(up_Bv!R28+s_MLF_pear)*s_IFPR_far_adj*s_CF_pear,".")</f>
        <v>68935.625</v>
      </c>
      <c r="CQ28" s="40">
        <f>IFERROR(s_C*(up_Bv!S28+s_MLF_peas)*s_IFPE_far_adj*s_CF_peas,".")</f>
        <v>68935.625</v>
      </c>
      <c r="CR28" s="40">
        <f>IFERROR(s_C*(up_Bv!T28+s_MLF_potato)*s_IFPT_far_adj*s_CF_potato,".")</f>
        <v>68935.625</v>
      </c>
      <c r="CS28" s="40">
        <f>IFERROR(s_C*(up_Bv!U28+s_MLF_pumpkin)*s_IFPU_far_adj*s_CF_pumpkin,".")</f>
        <v>68935.625</v>
      </c>
      <c r="CT28" s="40">
        <f>IFERROR(s_C*(up_Bv!V28+s_MLF_snap_bean)*s_IFSN_far_adj*s_CF_snap_bean,".")</f>
        <v>68935.625</v>
      </c>
      <c r="CU28" s="40">
        <f>IFERROR(s_C*(up_Bv!W28+s_MLF_strawberry)*s_IFST_far_adj*s_CF_strawberry,".")</f>
        <v>68935.625</v>
      </c>
      <c r="CV28" s="40">
        <f>IFERROR(s_C*(up_Bv!X28+s_MLF_tomato)*s_IFTO_far_adj*s_CF_tomato,".")</f>
        <v>68935.625</v>
      </c>
      <c r="CW28" s="40">
        <f>IFERROR(s_C*(up_Bv!Y28+s_MLF_rice)*s_IFRI_far_adj*s_CF_rice,".")</f>
        <v>68935.625</v>
      </c>
      <c r="CX28" s="40">
        <f>IFERROR(s_C*(up_Bv!Z28+s_MLF_cereal)*s_IFCG_far_adj*s_CF_cereal,".")</f>
        <v>68935.625</v>
      </c>
    </row>
    <row r="29" spans="1:102" ht="15" customHeight="1" x14ac:dyDescent="0.25">
      <c r="A29" s="44" t="s">
        <v>39</v>
      </c>
      <c r="B29" s="42" t="s">
        <v>1074</v>
      </c>
      <c r="C29" s="117">
        <f t="shared" si="0"/>
        <v>3.6265718922545492E-12</v>
      </c>
      <c r="D29" s="117">
        <f>IFERROR((up_dir!D29/(up_Bv!C29+s_MLF_apple)),".")</f>
        <v>1.4506287569018197E-11</v>
      </c>
      <c r="E29" s="117">
        <f>IFERROR((up_dir!E29/(up_Bv!D29+s_MLF_asparagus)),".")</f>
        <v>1.4506287569018197E-11</v>
      </c>
      <c r="F29" s="117">
        <f>IFERROR((up_dir!F29/(up_Bv!E29+s_MLF_beet)),".")</f>
        <v>1.4506287569018197E-11</v>
      </c>
      <c r="G29" s="117">
        <f>IFERROR((up_dir!G29/(up_Bv!F29+s_MLF_berries)),".")</f>
        <v>1.4506287569018197E-11</v>
      </c>
      <c r="H29" s="117">
        <f>IFERROR((up_dir!H29/(up_Bv!G29+s_MLF_broccoli)),".")</f>
        <v>1.4506287569018197E-11</v>
      </c>
      <c r="I29" s="117">
        <f>IFERROR((up_dir!I29/(up_Bv!H29+s_MLF_cabbage)),".")</f>
        <v>1.4506287569018197E-11</v>
      </c>
      <c r="J29" s="117">
        <f>IFERROR((up_dir!J29/(up_Bv!I29+s_MLF_carrot)),".")</f>
        <v>1.4506287569018197E-11</v>
      </c>
      <c r="K29" s="117">
        <f>IFERROR((up_dir!K29/(up_Bv!J29+s_MLF_citrus)),".")</f>
        <v>1.4506287569018197E-11</v>
      </c>
      <c r="L29" s="117">
        <f>IFERROR((up_dir!L29/(up_Bv!K29+s_MLF_corn)),".")</f>
        <v>1.4506287569018197E-11</v>
      </c>
      <c r="M29" s="117">
        <f>IFERROR((up_dir!M29/(up_Bv!L29+s_MLF_cucumber)),".")</f>
        <v>1.4506287569018197E-11</v>
      </c>
      <c r="N29" s="117">
        <f>IFERROR((up_dir!N29/(up_Bv!M29+s_MLF_lettuce)),".")</f>
        <v>1.4506287569018197E-11</v>
      </c>
      <c r="O29" s="117">
        <f>IFERROR((up_dir!O29/(up_Bv!N29+s_MLF_lima_bean)),".")</f>
        <v>1.4506287569018197E-11</v>
      </c>
      <c r="P29" s="117">
        <f>IFERROR((up_dir!P29/(up_Bv!O29+s_MLF_okra)),".")</f>
        <v>1.4506287569018197E-11</v>
      </c>
      <c r="Q29" s="117">
        <f>IFERROR((up_dir!Q29/(up_Bv!P29+s_MLF_onion)),".")</f>
        <v>1.4506287569018197E-11</v>
      </c>
      <c r="R29" s="117">
        <f>IFERROR((up_dir!R29/(up_Bv!Q29+s_MLF_peach)),".")</f>
        <v>1.4506287569018197E-11</v>
      </c>
      <c r="S29" s="117">
        <f>IFERROR((up_dir!S29/(up_Bv!R29+s_MLF_pear)),".")</f>
        <v>1.4506287569018197E-11</v>
      </c>
      <c r="T29" s="117">
        <f>IFERROR((up_dir!T29/(up_Bv!S29+s_MLF_peas)),".")</f>
        <v>1.4506287569018197E-11</v>
      </c>
      <c r="U29" s="117">
        <f>IFERROR((up_dir!U29/(up_Bv!T29+s_MLF_potato)),".")</f>
        <v>1.4506287569018197E-11</v>
      </c>
      <c r="V29" s="117">
        <f>IFERROR((up_dir!V29/(up_Bv!U29+s_MLF_pumpkin)),".")</f>
        <v>1.4506287569018197E-11</v>
      </c>
      <c r="W29" s="117">
        <f>IFERROR((up_dir!W29/(up_Bv!V29+s_MLF_snap_bean)),".")</f>
        <v>1.4506287569018197E-11</v>
      </c>
      <c r="X29" s="117">
        <f>IFERROR((up_dir!X29/(up_Bv!W29+s_MLF_strawberry)),".")</f>
        <v>1.4506287569018197E-11</v>
      </c>
      <c r="Y29" s="117">
        <f>IFERROR((up_dir!Y29/(up_Bv!X29+s_MLF_tomato)),".")</f>
        <v>1.4506287569018197E-11</v>
      </c>
      <c r="Z29" s="117">
        <f>IFERROR((up_dir!Z29/(up_Bv!Y29+s_MLF_rice)),".")</f>
        <v>1.4506287569018197E-11</v>
      </c>
      <c r="AA29" s="117">
        <f>IFERROR((up_dir!AA29/(up_Bv!Z29+s_MLF_cereal)),".")</f>
        <v>1.4506287569018197E-11</v>
      </c>
      <c r="AB29" s="40">
        <f t="shared" si="2"/>
        <v>275742.5</v>
      </c>
      <c r="AC29" s="40">
        <f>s_C*(up_Bv!C29+s_MLF_apple)*s_IFAP_res_adj*s_CF_apple</f>
        <v>68935.625</v>
      </c>
      <c r="AD29" s="40">
        <f>s_C*(up_Bv!D29+s_MLF_asparagus)*s_IFAS_res_adj*s_CF_asparagus</f>
        <v>68935.625</v>
      </c>
      <c r="AE29" s="40">
        <f>s_C*(up_Bv!E29+s_MLF_beet)*s_IFBT_res_adj*s_CF_beet</f>
        <v>68935.625</v>
      </c>
      <c r="AF29" s="40">
        <f>s_C*(up_Bv!F29+s_MLF_berries)*s_IFBE_res_adj*s_CF_berries</f>
        <v>68935.625</v>
      </c>
      <c r="AG29" s="40">
        <f>s_C*(up_Bv!G29+s_MLF_broccoli)*s_IFBR_res_adj*s_CF_broccoli</f>
        <v>68935.625</v>
      </c>
      <c r="AH29" s="40">
        <f>s_C*(up_Bv!H29+s_MLF_cabbage)*s_IFCB_res_adj*s_CF_cabbage</f>
        <v>68935.625</v>
      </c>
      <c r="AI29" s="40">
        <f>s_C*(up_Bv!I29+s_MLF_carrot)*s_IFCR_res_adj*s_CF_carrot</f>
        <v>68935.625</v>
      </c>
      <c r="AJ29" s="40">
        <f>s_C*(up_Bv!J29+s_MLF_citrus)*s_IFCI_res_adj*s_CF_citrus</f>
        <v>68935.625</v>
      </c>
      <c r="AK29" s="40">
        <f>s_C*(up_Bv!K29+s_MLF_corn)*s_IFCO_res_adj*s_CF_corn</f>
        <v>68935.625</v>
      </c>
      <c r="AL29" s="40">
        <f>s_C*(up_Bv!L29+s_MLF_cucumber)*s_IFCU_res_adj*s_CF_cucumber</f>
        <v>68935.625</v>
      </c>
      <c r="AM29" s="40">
        <f>s_C*(up_Bv!M29+s_MLF_lettuce)*s_IFLE_res_adj*s_CF_lettuce</f>
        <v>68935.625</v>
      </c>
      <c r="AN29" s="40">
        <f>s_C*(up_Bv!N29+s_MLF_lima_bean)*s_IFLI_res_adj*s_CF_lima_bean</f>
        <v>68935.625</v>
      </c>
      <c r="AO29" s="40">
        <f>s_C*(up_Bv!O29+s_MLF_okra)*s_IFOK_res_adj*s_CF_okra</f>
        <v>68935.625</v>
      </c>
      <c r="AP29" s="40">
        <f>s_C*(up_Bv!P29+s_MLF_onion)*s_IFON_res_adj*s_CF_onion</f>
        <v>68935.625</v>
      </c>
      <c r="AQ29" s="40">
        <f>s_C*(up_Bv!Q29+s_MLF_peach)*s_IFPC_res_adj*s_CF_peach</f>
        <v>68935.625</v>
      </c>
      <c r="AR29" s="40">
        <f>s_C*(up_Bv!R29+s_MLF_pear)*s_IFPR_res_adj*s_CF_pear</f>
        <v>68935.625</v>
      </c>
      <c r="AS29" s="40">
        <f>s_C*(up_Bv!S29+s_MLF_peas)*s_IFPE_res_adj*s_CF_peas</f>
        <v>68935.625</v>
      </c>
      <c r="AT29" s="40">
        <f>s_C*(up_Bv!T29+s_MLF_potato)*s_IFPT_res_adj*s_CF_potato</f>
        <v>68935.625</v>
      </c>
      <c r="AU29" s="40">
        <f>s_C*(up_Bv!U29+s_MLF_pumpkin)*s_IFPU_res_adj*s_CF_pumpkin</f>
        <v>68935.625</v>
      </c>
      <c r="AV29" s="40">
        <f>s_C*(up_Bv!V29+s_MLF_snap_bean)*s_IFSN_res_adj*s_CF_snap_bean</f>
        <v>68935.625</v>
      </c>
      <c r="AW29" s="40">
        <f>s_C*(up_Bv!W29+s_MLF_strawberry)*s_IFST_res_adj*s_CF_strawberry</f>
        <v>68935.625</v>
      </c>
      <c r="AX29" s="40">
        <f>s_C*(up_Bv!X29+s_MLF_tomato)*s_IFTO_res_adj*s_CF_tomato</f>
        <v>68935.625</v>
      </c>
      <c r="AY29" s="40">
        <f>s_C*(up_Bv!Y29+s_MLF_rice)*s_IFRI_res_adj*s_CF_rice</f>
        <v>68935.625</v>
      </c>
      <c r="AZ29" s="40">
        <f>s_C*(up_Bv!Z29+s_MLF_cereal)*s_IFCG_res_adj*s_CF_cereal</f>
        <v>68935.625</v>
      </c>
      <c r="BA29" s="15">
        <f t="shared" si="1"/>
        <v>3.6265718922545492E-12</v>
      </c>
      <c r="BB29" s="15">
        <f>IFERROR((up_dir!AC29/(up_Bv!C29+s_MLF_apple)),".")</f>
        <v>1.4506287569018197E-11</v>
      </c>
      <c r="BC29" s="15">
        <f>IFERROR((up_dir!AD29/(up_Bv!D29+s_MLF_asparagus)),".")</f>
        <v>1.4506287569018197E-11</v>
      </c>
      <c r="BD29" s="15">
        <f>IFERROR((up_dir!AE29/(up_Bv!E29+s_MLF_beet)),".")</f>
        <v>1.4506287569018197E-11</v>
      </c>
      <c r="BE29" s="15">
        <f>IFERROR((up_dir!AF29/(up_Bv!F29+s_MLF_berries)),".")</f>
        <v>1.4506287569018197E-11</v>
      </c>
      <c r="BF29" s="15">
        <f>IFERROR((up_dir!AG29/(up_Bv!G29+s_MLF_broccoli)),".")</f>
        <v>1.4506287569018197E-11</v>
      </c>
      <c r="BG29" s="15">
        <f>IFERROR((up_dir!AH29/(up_Bv!H29+s_MLF_cabbage)),".")</f>
        <v>1.4506287569018197E-11</v>
      </c>
      <c r="BH29" s="15">
        <f>IFERROR((up_dir!AI29/(up_Bv!I29+s_MLF_carrot)),".")</f>
        <v>1.4506287569018197E-11</v>
      </c>
      <c r="BI29" s="15">
        <f>IFERROR((up_dir!AJ29/(up_Bv!J29+s_MLF_citrus)),".")</f>
        <v>1.4506287569018197E-11</v>
      </c>
      <c r="BJ29" s="15">
        <f>IFERROR((up_dir!AK29/(up_Bv!K29+s_MLF_corn)),".")</f>
        <v>1.4506287569018197E-11</v>
      </c>
      <c r="BK29" s="15">
        <f>IFERROR((up_dir!AL29/(up_Bv!L29+s_MLF_cucumber)),".")</f>
        <v>1.4506287569018197E-11</v>
      </c>
      <c r="BL29" s="15">
        <f>IFERROR((up_dir!AM29/(up_Bv!M29+s_MLF_lettuce)),".")</f>
        <v>1.4506287569018197E-11</v>
      </c>
      <c r="BM29" s="15">
        <f>IFERROR((up_dir!AN29/(up_Bv!N29+s_MLF_lima_bean)),".")</f>
        <v>1.4506287569018197E-11</v>
      </c>
      <c r="BN29" s="15">
        <f>IFERROR((up_dir!AO29/(up_Bv!O29+s_MLF_okra)),".")</f>
        <v>1.4506287569018197E-11</v>
      </c>
      <c r="BO29" s="15">
        <f>IFERROR((up_dir!AP29/(up_Bv!P29+s_MLF_onion)),".")</f>
        <v>1.4506287569018197E-11</v>
      </c>
      <c r="BP29" s="15">
        <f>IFERROR((up_dir!AQ29/(up_Bv!Q29+s_MLF_peach)),".")</f>
        <v>1.4506287569018197E-11</v>
      </c>
      <c r="BQ29" s="15">
        <f>IFERROR((up_dir!AR29/(up_Bv!R29+s_MLF_pear)),".")</f>
        <v>1.4506287569018197E-11</v>
      </c>
      <c r="BR29" s="15">
        <f>IFERROR((up_dir!AS29/(up_Bv!S29+s_MLF_peas)),".")</f>
        <v>1.4506287569018197E-11</v>
      </c>
      <c r="BS29" s="15">
        <f>IFERROR((up_dir!AT29/(up_Bv!T29+s_MLF_potato)),".")</f>
        <v>1.4506287569018197E-11</v>
      </c>
      <c r="BT29" s="15">
        <f>IFERROR((up_dir!AU29/(up_Bv!U29+s_MLF_pumpkin)),".")</f>
        <v>1.4506287569018197E-11</v>
      </c>
      <c r="BU29" s="15">
        <f>IFERROR((up_dir!AV29/(up_Bv!V29+s_MLF_snap_bean)),".")</f>
        <v>1.4506287569018197E-11</v>
      </c>
      <c r="BV29" s="15">
        <f>IFERROR((up_dir!AW29/(up_Bv!W29+s_MLF_strawberry)),".")</f>
        <v>1.4506287569018197E-11</v>
      </c>
      <c r="BW29" s="15">
        <f>IFERROR((up_dir!AX29/(up_Bv!X29+s_MLF_tomato)),".")</f>
        <v>1.4506287569018197E-11</v>
      </c>
      <c r="BX29" s="15">
        <f>IFERROR((up_dir!AY29/(up_Bv!Y29+s_MLF_rice)),".")</f>
        <v>1.4506287569018197E-11</v>
      </c>
      <c r="BY29" s="15">
        <f>IFERROR((up_dir!AZ29/(up_Bv!Z29+s_MLF_cereal)),".")</f>
        <v>1.4506287569018197E-11</v>
      </c>
      <c r="BZ29" s="40">
        <f t="shared" si="3"/>
        <v>275742.5</v>
      </c>
      <c r="CA29" s="40">
        <f>IFERROR(s_C*(up_Bv!C29+s_MLF_apple)*s_IFAP_far_adj*s_CF_apple,".")</f>
        <v>68935.625</v>
      </c>
      <c r="CB29" s="40">
        <f>IFERROR(s_C*(up_Bv!D29+s_MLF_asparagus)*s_IFAS_far_adj*s_CF_asparagus,".")</f>
        <v>68935.625</v>
      </c>
      <c r="CC29" s="40">
        <f>IFERROR(s_C*(up_Bv!E29+s_MLF_beet)*s_IFBT_far_adj*s_CF_beet,".")</f>
        <v>68935.625</v>
      </c>
      <c r="CD29" s="40">
        <f>IFERROR(s_C*(up_Bv!F29+s_MLF_berries)*s_IFBR_far_adj*s_CF_berries,".")</f>
        <v>68935.625</v>
      </c>
      <c r="CE29" s="40">
        <f>IFERROR(s_C*(up_Bv!G29+s_MLF_broccoli)*s_IFBR_far_adj*s_CF_broccoli,".")</f>
        <v>68935.625</v>
      </c>
      <c r="CF29" s="40">
        <f>IFERROR(s_C*(up_Bv!H29+s_MLF_cabbage)*s_IFCB_far_adj*s_CF_cabbage,".")</f>
        <v>68935.625</v>
      </c>
      <c r="CG29" s="40">
        <f>IFERROR(s_C*(up_Bv!I29+s_MLF_carrot)*s_IFCR_far_adj*s_CF_carrot,".")</f>
        <v>68935.625</v>
      </c>
      <c r="CH29" s="40">
        <f>IFERROR(s_C*(up_Bv!J29+s_MLF_citrus)*s_IFCI_far_adj*s_CF_citrus,".")</f>
        <v>68935.625</v>
      </c>
      <c r="CI29" s="40">
        <f>IFERROR(s_C*(up_Bv!K29+s_MLF_corn)*s_IFCO_far_adj*s_CF_corn,".")</f>
        <v>68935.625</v>
      </c>
      <c r="CJ29" s="40">
        <f>IFERROR(s_C*(up_Bv!L29+s_MLF_cucumber)*s_IFCU_far_adj*s_CF_cucumber,".")</f>
        <v>68935.625</v>
      </c>
      <c r="CK29" s="40">
        <f>IFERROR(s_C*(up_Bv!M29+s_MLF_lettuce)*s_IFLE_far_adj*s_CF_lettuce,".")</f>
        <v>68935.625</v>
      </c>
      <c r="CL29" s="40">
        <f>IFERROR(s_C*(up_Bv!N29+s_MLF_lima_bean)*s_IFLI_far_adj*s_CF_lima_bean,".")</f>
        <v>68935.625</v>
      </c>
      <c r="CM29" s="40">
        <f>IFERROR(s_C*(up_Bv!O29+s_MLF_okra)*s_IFOK_far_adj*s_CF_okra,".")</f>
        <v>68935.625</v>
      </c>
      <c r="CN29" s="40">
        <f>IFERROR(s_C*(up_Bv!P29+s_MLF_onion)*s_IFON_far_adj*s_CF_onion,".")</f>
        <v>68935.625</v>
      </c>
      <c r="CO29" s="40">
        <f>IFERROR(s_C*(up_Bv!Q29+s_MLF_peach)*s_IFPC_far_adj*s_CF_peach,".")</f>
        <v>68935.625</v>
      </c>
      <c r="CP29" s="40">
        <f>IFERROR(s_C*(up_Bv!R29+s_MLF_pear)*s_IFPR_far_adj*s_CF_pear,".")</f>
        <v>68935.625</v>
      </c>
      <c r="CQ29" s="40">
        <f>IFERROR(s_C*(up_Bv!S29+s_MLF_peas)*s_IFPE_far_adj*s_CF_peas,".")</f>
        <v>68935.625</v>
      </c>
      <c r="CR29" s="40">
        <f>IFERROR(s_C*(up_Bv!T29+s_MLF_potato)*s_IFPT_far_adj*s_CF_potato,".")</f>
        <v>68935.625</v>
      </c>
      <c r="CS29" s="40">
        <f>IFERROR(s_C*(up_Bv!U29+s_MLF_pumpkin)*s_IFPU_far_adj*s_CF_pumpkin,".")</f>
        <v>68935.625</v>
      </c>
      <c r="CT29" s="40">
        <f>IFERROR(s_C*(up_Bv!V29+s_MLF_snap_bean)*s_IFSN_far_adj*s_CF_snap_bean,".")</f>
        <v>68935.625</v>
      </c>
      <c r="CU29" s="40">
        <f>IFERROR(s_C*(up_Bv!W29+s_MLF_strawberry)*s_IFST_far_adj*s_CF_strawberry,".")</f>
        <v>68935.625</v>
      </c>
      <c r="CV29" s="40">
        <f>IFERROR(s_C*(up_Bv!X29+s_MLF_tomato)*s_IFTO_far_adj*s_CF_tomato,".")</f>
        <v>68935.625</v>
      </c>
      <c r="CW29" s="40">
        <f>IFERROR(s_C*(up_Bv!Y29+s_MLF_rice)*s_IFRI_far_adj*s_CF_rice,".")</f>
        <v>68935.625</v>
      </c>
      <c r="CX29" s="40">
        <f>IFERROR(s_C*(up_Bv!Z29+s_MLF_cereal)*s_IFCG_far_adj*s_CF_cereal,".")</f>
        <v>68935.625</v>
      </c>
    </row>
    <row r="30" spans="1:102" ht="15" customHeight="1" x14ac:dyDescent="0.25">
      <c r="A30" s="44" t="s">
        <v>40</v>
      </c>
      <c r="B30" s="42" t="s">
        <v>1074</v>
      </c>
      <c r="C30" s="117">
        <f t="shared" si="0"/>
        <v>3.6265718922545492E-12</v>
      </c>
      <c r="D30" s="117">
        <f>IFERROR((up_dir!D30/(up_Bv!C30+s_MLF_apple)),".")</f>
        <v>1.4506287569018197E-11</v>
      </c>
      <c r="E30" s="117">
        <f>IFERROR((up_dir!E30/(up_Bv!D30+s_MLF_asparagus)),".")</f>
        <v>1.4506287569018197E-11</v>
      </c>
      <c r="F30" s="117">
        <f>IFERROR((up_dir!F30/(up_Bv!E30+s_MLF_beet)),".")</f>
        <v>1.4506287569018197E-11</v>
      </c>
      <c r="G30" s="117">
        <f>IFERROR((up_dir!G30/(up_Bv!F30+s_MLF_berries)),".")</f>
        <v>1.4506287569018197E-11</v>
      </c>
      <c r="H30" s="117">
        <f>IFERROR((up_dir!H30/(up_Bv!G30+s_MLF_broccoli)),".")</f>
        <v>1.4506287569018197E-11</v>
      </c>
      <c r="I30" s="117">
        <f>IFERROR((up_dir!I30/(up_Bv!H30+s_MLF_cabbage)),".")</f>
        <v>1.4506287569018197E-11</v>
      </c>
      <c r="J30" s="117">
        <f>IFERROR((up_dir!J30/(up_Bv!I30+s_MLF_carrot)),".")</f>
        <v>1.4506287569018197E-11</v>
      </c>
      <c r="K30" s="117">
        <f>IFERROR((up_dir!K30/(up_Bv!J30+s_MLF_citrus)),".")</f>
        <v>1.4506287569018197E-11</v>
      </c>
      <c r="L30" s="117">
        <f>IFERROR((up_dir!L30/(up_Bv!K30+s_MLF_corn)),".")</f>
        <v>1.4506287569018197E-11</v>
      </c>
      <c r="M30" s="117">
        <f>IFERROR((up_dir!M30/(up_Bv!L30+s_MLF_cucumber)),".")</f>
        <v>1.4506287569018197E-11</v>
      </c>
      <c r="N30" s="117">
        <f>IFERROR((up_dir!N30/(up_Bv!M30+s_MLF_lettuce)),".")</f>
        <v>1.4506287569018197E-11</v>
      </c>
      <c r="O30" s="117">
        <f>IFERROR((up_dir!O30/(up_Bv!N30+s_MLF_lima_bean)),".")</f>
        <v>1.4506287569018197E-11</v>
      </c>
      <c r="P30" s="117">
        <f>IFERROR((up_dir!P30/(up_Bv!O30+s_MLF_okra)),".")</f>
        <v>1.4506287569018197E-11</v>
      </c>
      <c r="Q30" s="117">
        <f>IFERROR((up_dir!Q30/(up_Bv!P30+s_MLF_onion)),".")</f>
        <v>1.4506287569018197E-11</v>
      </c>
      <c r="R30" s="117">
        <f>IFERROR((up_dir!R30/(up_Bv!Q30+s_MLF_peach)),".")</f>
        <v>1.4506287569018197E-11</v>
      </c>
      <c r="S30" s="117">
        <f>IFERROR((up_dir!S30/(up_Bv!R30+s_MLF_pear)),".")</f>
        <v>1.4506287569018197E-11</v>
      </c>
      <c r="T30" s="117">
        <f>IFERROR((up_dir!T30/(up_Bv!S30+s_MLF_peas)),".")</f>
        <v>1.4506287569018197E-11</v>
      </c>
      <c r="U30" s="117">
        <f>IFERROR((up_dir!U30/(up_Bv!T30+s_MLF_potato)),".")</f>
        <v>1.4506287569018197E-11</v>
      </c>
      <c r="V30" s="117">
        <f>IFERROR((up_dir!V30/(up_Bv!U30+s_MLF_pumpkin)),".")</f>
        <v>1.4506287569018197E-11</v>
      </c>
      <c r="W30" s="117">
        <f>IFERROR((up_dir!W30/(up_Bv!V30+s_MLF_snap_bean)),".")</f>
        <v>1.4506287569018197E-11</v>
      </c>
      <c r="X30" s="117">
        <f>IFERROR((up_dir!X30/(up_Bv!W30+s_MLF_strawberry)),".")</f>
        <v>1.4506287569018197E-11</v>
      </c>
      <c r="Y30" s="117">
        <f>IFERROR((up_dir!Y30/(up_Bv!X30+s_MLF_tomato)),".")</f>
        <v>1.4506287569018197E-11</v>
      </c>
      <c r="Z30" s="117">
        <f>IFERROR((up_dir!Z30/(up_Bv!Y30+s_MLF_rice)),".")</f>
        <v>1.4506287569018197E-11</v>
      </c>
      <c r="AA30" s="117">
        <f>IFERROR((up_dir!AA30/(up_Bv!Z30+s_MLF_cereal)),".")</f>
        <v>1.4506287569018197E-11</v>
      </c>
      <c r="AB30" s="40">
        <f t="shared" si="2"/>
        <v>275742.5</v>
      </c>
      <c r="AC30" s="40">
        <f>s_C*(up_Bv!C30+s_MLF_apple)*s_IFAP_res_adj*s_CF_apple</f>
        <v>68935.625</v>
      </c>
      <c r="AD30" s="40">
        <f>s_C*(up_Bv!D30+s_MLF_asparagus)*s_IFAS_res_adj*s_CF_asparagus</f>
        <v>68935.625</v>
      </c>
      <c r="AE30" s="40">
        <f>s_C*(up_Bv!E30+s_MLF_beet)*s_IFBT_res_adj*s_CF_beet</f>
        <v>68935.625</v>
      </c>
      <c r="AF30" s="40">
        <f>s_C*(up_Bv!F30+s_MLF_berries)*s_IFBE_res_adj*s_CF_berries</f>
        <v>68935.625</v>
      </c>
      <c r="AG30" s="40">
        <f>s_C*(up_Bv!G30+s_MLF_broccoli)*s_IFBR_res_adj*s_CF_broccoli</f>
        <v>68935.625</v>
      </c>
      <c r="AH30" s="40">
        <f>s_C*(up_Bv!H30+s_MLF_cabbage)*s_IFCB_res_adj*s_CF_cabbage</f>
        <v>68935.625</v>
      </c>
      <c r="AI30" s="40">
        <f>s_C*(up_Bv!I30+s_MLF_carrot)*s_IFCR_res_adj*s_CF_carrot</f>
        <v>68935.625</v>
      </c>
      <c r="AJ30" s="40">
        <f>s_C*(up_Bv!J30+s_MLF_citrus)*s_IFCI_res_adj*s_CF_citrus</f>
        <v>68935.625</v>
      </c>
      <c r="AK30" s="40">
        <f>s_C*(up_Bv!K30+s_MLF_corn)*s_IFCO_res_adj*s_CF_corn</f>
        <v>68935.625</v>
      </c>
      <c r="AL30" s="40">
        <f>s_C*(up_Bv!L30+s_MLF_cucumber)*s_IFCU_res_adj*s_CF_cucumber</f>
        <v>68935.625</v>
      </c>
      <c r="AM30" s="40">
        <f>s_C*(up_Bv!M30+s_MLF_lettuce)*s_IFLE_res_adj*s_CF_lettuce</f>
        <v>68935.625</v>
      </c>
      <c r="AN30" s="40">
        <f>s_C*(up_Bv!N30+s_MLF_lima_bean)*s_IFLI_res_adj*s_CF_lima_bean</f>
        <v>68935.625</v>
      </c>
      <c r="AO30" s="40">
        <f>s_C*(up_Bv!O30+s_MLF_okra)*s_IFOK_res_adj*s_CF_okra</f>
        <v>68935.625</v>
      </c>
      <c r="AP30" s="40">
        <f>s_C*(up_Bv!P30+s_MLF_onion)*s_IFON_res_adj*s_CF_onion</f>
        <v>68935.625</v>
      </c>
      <c r="AQ30" s="40">
        <f>s_C*(up_Bv!Q30+s_MLF_peach)*s_IFPC_res_adj*s_CF_peach</f>
        <v>68935.625</v>
      </c>
      <c r="AR30" s="40">
        <f>s_C*(up_Bv!R30+s_MLF_pear)*s_IFPR_res_adj*s_CF_pear</f>
        <v>68935.625</v>
      </c>
      <c r="AS30" s="40">
        <f>s_C*(up_Bv!S30+s_MLF_peas)*s_IFPE_res_adj*s_CF_peas</f>
        <v>68935.625</v>
      </c>
      <c r="AT30" s="40">
        <f>s_C*(up_Bv!T30+s_MLF_potato)*s_IFPT_res_adj*s_CF_potato</f>
        <v>68935.625</v>
      </c>
      <c r="AU30" s="40">
        <f>s_C*(up_Bv!U30+s_MLF_pumpkin)*s_IFPU_res_adj*s_CF_pumpkin</f>
        <v>68935.625</v>
      </c>
      <c r="AV30" s="40">
        <f>s_C*(up_Bv!V30+s_MLF_snap_bean)*s_IFSN_res_adj*s_CF_snap_bean</f>
        <v>68935.625</v>
      </c>
      <c r="AW30" s="40">
        <f>s_C*(up_Bv!W30+s_MLF_strawberry)*s_IFST_res_adj*s_CF_strawberry</f>
        <v>68935.625</v>
      </c>
      <c r="AX30" s="40">
        <f>s_C*(up_Bv!X30+s_MLF_tomato)*s_IFTO_res_adj*s_CF_tomato</f>
        <v>68935.625</v>
      </c>
      <c r="AY30" s="40">
        <f>s_C*(up_Bv!Y30+s_MLF_rice)*s_IFRI_res_adj*s_CF_rice</f>
        <v>68935.625</v>
      </c>
      <c r="AZ30" s="40">
        <f>s_C*(up_Bv!Z30+s_MLF_cereal)*s_IFCG_res_adj*s_CF_cereal</f>
        <v>68935.625</v>
      </c>
      <c r="BA30" s="15">
        <f t="shared" si="1"/>
        <v>3.6265718922545492E-12</v>
      </c>
      <c r="BB30" s="15">
        <f>IFERROR((up_dir!AC30/(up_Bv!C30+s_MLF_apple)),".")</f>
        <v>1.4506287569018197E-11</v>
      </c>
      <c r="BC30" s="15">
        <f>IFERROR((up_dir!AD30/(up_Bv!D30+s_MLF_asparagus)),".")</f>
        <v>1.4506287569018197E-11</v>
      </c>
      <c r="BD30" s="15">
        <f>IFERROR((up_dir!AE30/(up_Bv!E30+s_MLF_beet)),".")</f>
        <v>1.4506287569018197E-11</v>
      </c>
      <c r="BE30" s="15">
        <f>IFERROR((up_dir!AF30/(up_Bv!F30+s_MLF_berries)),".")</f>
        <v>1.4506287569018197E-11</v>
      </c>
      <c r="BF30" s="15">
        <f>IFERROR((up_dir!AG30/(up_Bv!G30+s_MLF_broccoli)),".")</f>
        <v>1.4506287569018197E-11</v>
      </c>
      <c r="BG30" s="15">
        <f>IFERROR((up_dir!AH30/(up_Bv!H30+s_MLF_cabbage)),".")</f>
        <v>1.4506287569018197E-11</v>
      </c>
      <c r="BH30" s="15">
        <f>IFERROR((up_dir!AI30/(up_Bv!I30+s_MLF_carrot)),".")</f>
        <v>1.4506287569018197E-11</v>
      </c>
      <c r="BI30" s="15">
        <f>IFERROR((up_dir!AJ30/(up_Bv!J30+s_MLF_citrus)),".")</f>
        <v>1.4506287569018197E-11</v>
      </c>
      <c r="BJ30" s="15">
        <f>IFERROR((up_dir!AK30/(up_Bv!K30+s_MLF_corn)),".")</f>
        <v>1.4506287569018197E-11</v>
      </c>
      <c r="BK30" s="15">
        <f>IFERROR((up_dir!AL30/(up_Bv!L30+s_MLF_cucumber)),".")</f>
        <v>1.4506287569018197E-11</v>
      </c>
      <c r="BL30" s="15">
        <f>IFERROR((up_dir!AM30/(up_Bv!M30+s_MLF_lettuce)),".")</f>
        <v>1.4506287569018197E-11</v>
      </c>
      <c r="BM30" s="15">
        <f>IFERROR((up_dir!AN30/(up_Bv!N30+s_MLF_lima_bean)),".")</f>
        <v>1.4506287569018197E-11</v>
      </c>
      <c r="BN30" s="15">
        <f>IFERROR((up_dir!AO30/(up_Bv!O30+s_MLF_okra)),".")</f>
        <v>1.4506287569018197E-11</v>
      </c>
      <c r="BO30" s="15">
        <f>IFERROR((up_dir!AP30/(up_Bv!P30+s_MLF_onion)),".")</f>
        <v>1.4506287569018197E-11</v>
      </c>
      <c r="BP30" s="15">
        <f>IFERROR((up_dir!AQ30/(up_Bv!Q30+s_MLF_peach)),".")</f>
        <v>1.4506287569018197E-11</v>
      </c>
      <c r="BQ30" s="15">
        <f>IFERROR((up_dir!AR30/(up_Bv!R30+s_MLF_pear)),".")</f>
        <v>1.4506287569018197E-11</v>
      </c>
      <c r="BR30" s="15">
        <f>IFERROR((up_dir!AS30/(up_Bv!S30+s_MLF_peas)),".")</f>
        <v>1.4506287569018197E-11</v>
      </c>
      <c r="BS30" s="15">
        <f>IFERROR((up_dir!AT30/(up_Bv!T30+s_MLF_potato)),".")</f>
        <v>1.4506287569018197E-11</v>
      </c>
      <c r="BT30" s="15">
        <f>IFERROR((up_dir!AU30/(up_Bv!U30+s_MLF_pumpkin)),".")</f>
        <v>1.4506287569018197E-11</v>
      </c>
      <c r="BU30" s="15">
        <f>IFERROR((up_dir!AV30/(up_Bv!V30+s_MLF_snap_bean)),".")</f>
        <v>1.4506287569018197E-11</v>
      </c>
      <c r="BV30" s="15">
        <f>IFERROR((up_dir!AW30/(up_Bv!W30+s_MLF_strawberry)),".")</f>
        <v>1.4506287569018197E-11</v>
      </c>
      <c r="BW30" s="15">
        <f>IFERROR((up_dir!AX30/(up_Bv!X30+s_MLF_tomato)),".")</f>
        <v>1.4506287569018197E-11</v>
      </c>
      <c r="BX30" s="15">
        <f>IFERROR((up_dir!AY30/(up_Bv!Y30+s_MLF_rice)),".")</f>
        <v>1.4506287569018197E-11</v>
      </c>
      <c r="BY30" s="15">
        <f>IFERROR((up_dir!AZ30/(up_Bv!Z30+s_MLF_cereal)),".")</f>
        <v>1.4506287569018197E-11</v>
      </c>
      <c r="BZ30" s="40">
        <f t="shared" si="3"/>
        <v>275742.5</v>
      </c>
      <c r="CA30" s="40">
        <f>IFERROR(s_C*(up_Bv!C30+s_MLF_apple)*s_IFAP_far_adj*s_CF_apple,".")</f>
        <v>68935.625</v>
      </c>
      <c r="CB30" s="40">
        <f>IFERROR(s_C*(up_Bv!D30+s_MLF_asparagus)*s_IFAS_far_adj*s_CF_asparagus,".")</f>
        <v>68935.625</v>
      </c>
      <c r="CC30" s="40">
        <f>IFERROR(s_C*(up_Bv!E30+s_MLF_beet)*s_IFBT_far_adj*s_CF_beet,".")</f>
        <v>68935.625</v>
      </c>
      <c r="CD30" s="40">
        <f>IFERROR(s_C*(up_Bv!F30+s_MLF_berries)*s_IFBR_far_adj*s_CF_berries,".")</f>
        <v>68935.625</v>
      </c>
      <c r="CE30" s="40">
        <f>IFERROR(s_C*(up_Bv!G30+s_MLF_broccoli)*s_IFBR_far_adj*s_CF_broccoli,".")</f>
        <v>68935.625</v>
      </c>
      <c r="CF30" s="40">
        <f>IFERROR(s_C*(up_Bv!H30+s_MLF_cabbage)*s_IFCB_far_adj*s_CF_cabbage,".")</f>
        <v>68935.625</v>
      </c>
      <c r="CG30" s="40">
        <f>IFERROR(s_C*(up_Bv!I30+s_MLF_carrot)*s_IFCR_far_adj*s_CF_carrot,".")</f>
        <v>68935.625</v>
      </c>
      <c r="CH30" s="40">
        <f>IFERROR(s_C*(up_Bv!J30+s_MLF_citrus)*s_IFCI_far_adj*s_CF_citrus,".")</f>
        <v>68935.625</v>
      </c>
      <c r="CI30" s="40">
        <f>IFERROR(s_C*(up_Bv!K30+s_MLF_corn)*s_IFCO_far_adj*s_CF_corn,".")</f>
        <v>68935.625</v>
      </c>
      <c r="CJ30" s="40">
        <f>IFERROR(s_C*(up_Bv!L30+s_MLF_cucumber)*s_IFCU_far_adj*s_CF_cucumber,".")</f>
        <v>68935.625</v>
      </c>
      <c r="CK30" s="40">
        <f>IFERROR(s_C*(up_Bv!M30+s_MLF_lettuce)*s_IFLE_far_adj*s_CF_lettuce,".")</f>
        <v>68935.625</v>
      </c>
      <c r="CL30" s="40">
        <f>IFERROR(s_C*(up_Bv!N30+s_MLF_lima_bean)*s_IFLI_far_adj*s_CF_lima_bean,".")</f>
        <v>68935.625</v>
      </c>
      <c r="CM30" s="40">
        <f>IFERROR(s_C*(up_Bv!O30+s_MLF_okra)*s_IFOK_far_adj*s_CF_okra,".")</f>
        <v>68935.625</v>
      </c>
      <c r="CN30" s="40">
        <f>IFERROR(s_C*(up_Bv!P30+s_MLF_onion)*s_IFON_far_adj*s_CF_onion,".")</f>
        <v>68935.625</v>
      </c>
      <c r="CO30" s="40">
        <f>IFERROR(s_C*(up_Bv!Q30+s_MLF_peach)*s_IFPC_far_adj*s_CF_peach,".")</f>
        <v>68935.625</v>
      </c>
      <c r="CP30" s="40">
        <f>IFERROR(s_C*(up_Bv!R30+s_MLF_pear)*s_IFPR_far_adj*s_CF_pear,".")</f>
        <v>68935.625</v>
      </c>
      <c r="CQ30" s="40">
        <f>IFERROR(s_C*(up_Bv!S30+s_MLF_peas)*s_IFPE_far_adj*s_CF_peas,".")</f>
        <v>68935.625</v>
      </c>
      <c r="CR30" s="40">
        <f>IFERROR(s_C*(up_Bv!T30+s_MLF_potato)*s_IFPT_far_adj*s_CF_potato,".")</f>
        <v>68935.625</v>
      </c>
      <c r="CS30" s="40">
        <f>IFERROR(s_C*(up_Bv!U30+s_MLF_pumpkin)*s_IFPU_far_adj*s_CF_pumpkin,".")</f>
        <v>68935.625</v>
      </c>
      <c r="CT30" s="40">
        <f>IFERROR(s_C*(up_Bv!V30+s_MLF_snap_bean)*s_IFSN_far_adj*s_CF_snap_bean,".")</f>
        <v>68935.625</v>
      </c>
      <c r="CU30" s="40">
        <f>IFERROR(s_C*(up_Bv!W30+s_MLF_strawberry)*s_IFST_far_adj*s_CF_strawberry,".")</f>
        <v>68935.625</v>
      </c>
      <c r="CV30" s="40">
        <f>IFERROR(s_C*(up_Bv!X30+s_MLF_tomato)*s_IFTO_far_adj*s_CF_tomato,".")</f>
        <v>68935.625</v>
      </c>
      <c r="CW30" s="40">
        <f>IFERROR(s_C*(up_Bv!Y30+s_MLF_rice)*s_IFRI_far_adj*s_CF_rice,".")</f>
        <v>68935.625</v>
      </c>
      <c r="CX30" s="40">
        <f>IFERROR(s_C*(up_Bv!Z30+s_MLF_cereal)*s_IFCG_far_adj*s_CF_cereal,".")</f>
        <v>68935.625</v>
      </c>
    </row>
    <row r="31" spans="1:102" x14ac:dyDescent="0.25">
      <c r="A31" s="82" t="s">
        <v>13</v>
      </c>
      <c r="B31" s="82" t="s">
        <v>1074</v>
      </c>
      <c r="C31" s="58">
        <f>IFERROR(1/SUM(1/D31,1/E31,1/Z31,1/AA31),".")</f>
        <v>4.0296317815747855E-13</v>
      </c>
      <c r="D31" s="58">
        <f>1/SUM(1/D32,1/D33,1/D34,1/D35,1/D36,1/D37,1/D38,1/D41,1/D44)</f>
        <v>1.6118527126299142E-12</v>
      </c>
      <c r="E31" s="58">
        <f t="shared" ref="E31:Z31" si="4">1/SUM(1/E32,1/E33,1/E34,1/E35,1/E36,1/E37,1/E38,1/E41,1/E44)</f>
        <v>1.6118527126299142E-12</v>
      </c>
      <c r="F31" s="58">
        <f t="shared" si="4"/>
        <v>1.6118527126299142E-12</v>
      </c>
      <c r="G31" s="58">
        <f t="shared" si="4"/>
        <v>1.6118527126299142E-12</v>
      </c>
      <c r="H31" s="58">
        <f t="shared" si="4"/>
        <v>1.6118527126299142E-12</v>
      </c>
      <c r="I31" s="58">
        <f t="shared" si="4"/>
        <v>1.6118527126299142E-12</v>
      </c>
      <c r="J31" s="58">
        <f t="shared" si="4"/>
        <v>1.6118527126299142E-12</v>
      </c>
      <c r="K31" s="58">
        <f t="shared" si="4"/>
        <v>1.6118527126299142E-12</v>
      </c>
      <c r="L31" s="58">
        <f t="shared" si="4"/>
        <v>1.6118527126299142E-12</v>
      </c>
      <c r="M31" s="58">
        <f t="shared" si="4"/>
        <v>1.6118527126299142E-12</v>
      </c>
      <c r="N31" s="58">
        <f t="shared" si="4"/>
        <v>1.6118527126299142E-12</v>
      </c>
      <c r="O31" s="58">
        <f t="shared" si="4"/>
        <v>1.6118527126299142E-12</v>
      </c>
      <c r="P31" s="58">
        <f t="shared" si="4"/>
        <v>1.6118527126299142E-12</v>
      </c>
      <c r="Q31" s="58">
        <f t="shared" si="4"/>
        <v>1.6118527126299142E-12</v>
      </c>
      <c r="R31" s="58">
        <f t="shared" si="4"/>
        <v>1.6118527126299142E-12</v>
      </c>
      <c r="S31" s="58">
        <f t="shared" si="4"/>
        <v>1.6118527126299142E-12</v>
      </c>
      <c r="T31" s="58">
        <f t="shared" si="4"/>
        <v>1.6118527126299142E-12</v>
      </c>
      <c r="U31" s="58">
        <f t="shared" si="4"/>
        <v>1.6118527126299142E-12</v>
      </c>
      <c r="V31" s="58">
        <f t="shared" si="4"/>
        <v>1.6118527126299142E-12</v>
      </c>
      <c r="W31" s="58">
        <f t="shared" si="4"/>
        <v>1.6118527126299142E-12</v>
      </c>
      <c r="X31" s="58">
        <f t="shared" si="4"/>
        <v>1.6118527126299142E-12</v>
      </c>
      <c r="Y31" s="58">
        <f t="shared" si="4"/>
        <v>1.6118527126299142E-12</v>
      </c>
      <c r="Z31" s="58">
        <f t="shared" si="4"/>
        <v>1.6118527126299142E-12</v>
      </c>
      <c r="AA31" s="58">
        <f>1/SUM(1/AA32,1/AA33,1/AA34,1/AA35,1/AA36,1/AA37,1/AA38,1/AA41,1/AA44)</f>
        <v>1.6118527126299142E-12</v>
      </c>
      <c r="AB31" s="47">
        <f>IFERROR(IF(SUM(AC31:AY31)&gt;0.01,1-EXP(-SUM(AC31:AY31)),SUM(AC31:AY31)),".")</f>
        <v>0.9999999998973812</v>
      </c>
      <c r="AC31" s="47">
        <f t="shared" ref="AC31:AY31" si="5">IFERROR(IF(SUM(AC32:AC44)&gt;0.01,1-EXP(-(SUM(AC32:AC44))),SUM(AC32:AC44)),".")</f>
        <v>1</v>
      </c>
      <c r="AD31" s="47">
        <f t="shared" si="5"/>
        <v>1</v>
      </c>
      <c r="AE31" s="47">
        <f t="shared" si="5"/>
        <v>1</v>
      </c>
      <c r="AF31" s="47">
        <f t="shared" si="5"/>
        <v>1</v>
      </c>
      <c r="AG31" s="47">
        <f t="shared" si="5"/>
        <v>1</v>
      </c>
      <c r="AH31" s="47">
        <f t="shared" si="5"/>
        <v>1</v>
      </c>
      <c r="AI31" s="47">
        <f t="shared" si="5"/>
        <v>1</v>
      </c>
      <c r="AJ31" s="47">
        <f t="shared" si="5"/>
        <v>1</v>
      </c>
      <c r="AK31" s="47">
        <f t="shared" si="5"/>
        <v>1</v>
      </c>
      <c r="AL31" s="47">
        <f t="shared" si="5"/>
        <v>1</v>
      </c>
      <c r="AM31" s="47">
        <f t="shared" si="5"/>
        <v>1</v>
      </c>
      <c r="AN31" s="47">
        <f t="shared" si="5"/>
        <v>1</v>
      </c>
      <c r="AO31" s="47">
        <f t="shared" si="5"/>
        <v>1</v>
      </c>
      <c r="AP31" s="47">
        <f t="shared" si="5"/>
        <v>1</v>
      </c>
      <c r="AQ31" s="47">
        <f t="shared" si="5"/>
        <v>1</v>
      </c>
      <c r="AR31" s="47">
        <f t="shared" si="5"/>
        <v>1</v>
      </c>
      <c r="AS31" s="47">
        <f t="shared" si="5"/>
        <v>1</v>
      </c>
      <c r="AT31" s="47">
        <f t="shared" si="5"/>
        <v>1</v>
      </c>
      <c r="AU31" s="47">
        <f t="shared" si="5"/>
        <v>1</v>
      </c>
      <c r="AV31" s="47">
        <f t="shared" si="5"/>
        <v>1</v>
      </c>
      <c r="AW31" s="47">
        <f t="shared" si="5"/>
        <v>1</v>
      </c>
      <c r="AX31" s="47">
        <f t="shared" si="5"/>
        <v>1</v>
      </c>
      <c r="AY31" s="47">
        <f t="shared" si="5"/>
        <v>1</v>
      </c>
      <c r="AZ31" s="47">
        <f>IFERROR(IF(SUM(AZ32:AZ44)&gt;0.01,1-EXP(-(SUM(AZ32:AZ44))),SUM(AZ32:AZ44)),".")</f>
        <v>1</v>
      </c>
      <c r="BA31" s="58">
        <f>IFERROR(1/SUM(1/BB31,1/BC31,1/BX31,1/BY31),".")</f>
        <v>3.0222339105627744E-13</v>
      </c>
      <c r="BB31" s="58">
        <f>IFERROR(1/SUM(BB32:BB44),0)</f>
        <v>1.2088935642251098E-12</v>
      </c>
      <c r="BC31" s="58">
        <f>IFERROR(1/SUM(BC32:BC44),0)</f>
        <v>1.2088935642251098E-12</v>
      </c>
      <c r="BD31" s="58">
        <f t="shared" ref="BD31:BY31" si="6">IFERROR(1/SUM(BD32:BD44),0)</f>
        <v>1.2088935642251098E-12</v>
      </c>
      <c r="BE31" s="58">
        <f t="shared" si="6"/>
        <v>1.2088935642251098E-12</v>
      </c>
      <c r="BF31" s="58">
        <f t="shared" si="6"/>
        <v>1.2088935642251098E-12</v>
      </c>
      <c r="BG31" s="58">
        <f t="shared" si="6"/>
        <v>1.2088935642251098E-12</v>
      </c>
      <c r="BH31" s="58">
        <f t="shared" si="6"/>
        <v>1.2088935642251098E-12</v>
      </c>
      <c r="BI31" s="58">
        <f t="shared" si="6"/>
        <v>1.2088935642251098E-12</v>
      </c>
      <c r="BJ31" s="58">
        <f t="shared" si="6"/>
        <v>1.2088935642251098E-12</v>
      </c>
      <c r="BK31" s="58">
        <f t="shared" si="6"/>
        <v>1.2088935642251098E-12</v>
      </c>
      <c r="BL31" s="58">
        <f t="shared" si="6"/>
        <v>1.2088935642251098E-12</v>
      </c>
      <c r="BM31" s="58">
        <f t="shared" si="6"/>
        <v>1.2088935642251098E-12</v>
      </c>
      <c r="BN31" s="58">
        <f t="shared" si="6"/>
        <v>1.2088935642251098E-12</v>
      </c>
      <c r="BO31" s="58">
        <f t="shared" si="6"/>
        <v>1.2088935642251098E-12</v>
      </c>
      <c r="BP31" s="58">
        <f t="shared" si="6"/>
        <v>1.2088935642251098E-12</v>
      </c>
      <c r="BQ31" s="58">
        <f t="shared" si="6"/>
        <v>1.2088935642251098E-12</v>
      </c>
      <c r="BR31" s="58">
        <f t="shared" si="6"/>
        <v>1.2088935642251098E-12</v>
      </c>
      <c r="BS31" s="58">
        <f t="shared" si="6"/>
        <v>1.2088935642251098E-12</v>
      </c>
      <c r="BT31" s="58">
        <f t="shared" si="6"/>
        <v>1.2088935642251098E-12</v>
      </c>
      <c r="BU31" s="58">
        <f t="shared" si="6"/>
        <v>1.2088935642251098E-12</v>
      </c>
      <c r="BV31" s="58">
        <f t="shared" si="6"/>
        <v>1.2088935642251098E-12</v>
      </c>
      <c r="BW31" s="58">
        <f t="shared" si="6"/>
        <v>1.2088935642251098E-12</v>
      </c>
      <c r="BX31" s="58">
        <f t="shared" si="6"/>
        <v>1.2088935642251098E-12</v>
      </c>
      <c r="BY31" s="58">
        <f t="shared" si="6"/>
        <v>1.2088935642251098E-12</v>
      </c>
      <c r="BZ31" s="47">
        <f>IFERROR(IF(SUM(CA32:CB44,CW32:CX44)&gt;0.01,1-EXP(-SUM(CA32:CB44,CW32:CX44)),SUM(CA32:CB44,CW32:CX44)),".")</f>
        <v>1</v>
      </c>
      <c r="CA31" s="47">
        <f t="shared" ref="CA31:CV31" si="7">IFERROR(IF(SUM(CA32:CA44)&gt;0.01,1-EXP(-(SUM(CA32:CA44))),SUM(CA32:CA44)),".")</f>
        <v>1</v>
      </c>
      <c r="CB31" s="47">
        <f t="shared" si="7"/>
        <v>1</v>
      </c>
      <c r="CC31" s="47">
        <f t="shared" si="7"/>
        <v>1</v>
      </c>
      <c r="CD31" s="47">
        <f t="shared" si="7"/>
        <v>1</v>
      </c>
      <c r="CE31" s="47">
        <f t="shared" si="7"/>
        <v>1</v>
      </c>
      <c r="CF31" s="47">
        <f t="shared" si="7"/>
        <v>1</v>
      </c>
      <c r="CG31" s="47">
        <f t="shared" si="7"/>
        <v>1</v>
      </c>
      <c r="CH31" s="47">
        <f t="shared" si="7"/>
        <v>1</v>
      </c>
      <c r="CI31" s="47">
        <f t="shared" si="7"/>
        <v>1</v>
      </c>
      <c r="CJ31" s="47">
        <f t="shared" si="7"/>
        <v>1</v>
      </c>
      <c r="CK31" s="47">
        <f t="shared" si="7"/>
        <v>1</v>
      </c>
      <c r="CL31" s="47">
        <f t="shared" si="7"/>
        <v>1</v>
      </c>
      <c r="CM31" s="47">
        <f t="shared" si="7"/>
        <v>1</v>
      </c>
      <c r="CN31" s="47">
        <f t="shared" si="7"/>
        <v>1</v>
      </c>
      <c r="CO31" s="47">
        <f t="shared" si="7"/>
        <v>1</v>
      </c>
      <c r="CP31" s="47">
        <f t="shared" si="7"/>
        <v>1</v>
      </c>
      <c r="CQ31" s="47">
        <f t="shared" si="7"/>
        <v>1</v>
      </c>
      <c r="CR31" s="47">
        <f t="shared" si="7"/>
        <v>1</v>
      </c>
      <c r="CS31" s="47">
        <f t="shared" si="7"/>
        <v>1</v>
      </c>
      <c r="CT31" s="47">
        <f t="shared" si="7"/>
        <v>1</v>
      </c>
      <c r="CU31" s="47">
        <f t="shared" si="7"/>
        <v>1</v>
      </c>
      <c r="CV31" s="47">
        <f t="shared" si="7"/>
        <v>1</v>
      </c>
      <c r="CW31" s="47">
        <f>IFERROR(IF(SUM(CW32:CW44)&gt;0.01,1-EXP(-(SUM(CW32:CW44))),SUM(CW32:CW44)),".")</f>
        <v>1</v>
      </c>
      <c r="CX31" s="47">
        <f>IFERROR(IF(SUM(CX32:CX44)&gt;0.01,1-EXP(-(SUM(CX32:CX44))),SUM(CX32:CX44)),".")</f>
        <v>1</v>
      </c>
    </row>
    <row r="32" spans="1:102" x14ac:dyDescent="0.25">
      <c r="A32" s="83" t="s">
        <v>1102</v>
      </c>
      <c r="B32" s="42">
        <v>1</v>
      </c>
      <c r="C32" s="60">
        <f t="shared" ref="C32:C76" si="8">IFERROR(1/SUM(1/D32,1/E32,1/Z32,1/AA32),".")</f>
        <v>3.6265718922545492E-12</v>
      </c>
      <c r="D32" s="60">
        <f t="shared" ref="D32:AA32" si="9">IFERROR(D3/$B32,0)</f>
        <v>1.4506287569018197E-11</v>
      </c>
      <c r="E32" s="60">
        <f t="shared" si="9"/>
        <v>1.4506287569018197E-11</v>
      </c>
      <c r="F32" s="60">
        <f t="shared" si="9"/>
        <v>1.4506287569018197E-11</v>
      </c>
      <c r="G32" s="60">
        <f t="shared" si="9"/>
        <v>1.4506287569018197E-11</v>
      </c>
      <c r="H32" s="60">
        <f t="shared" si="9"/>
        <v>1.4506287569018197E-11</v>
      </c>
      <c r="I32" s="60">
        <f t="shared" si="9"/>
        <v>1.4506287569018197E-11</v>
      </c>
      <c r="J32" s="60">
        <f t="shared" si="9"/>
        <v>1.4506287569018197E-11</v>
      </c>
      <c r="K32" s="60">
        <f t="shared" si="9"/>
        <v>1.4506287569018197E-11</v>
      </c>
      <c r="L32" s="60">
        <f t="shared" si="9"/>
        <v>1.4506287569018197E-11</v>
      </c>
      <c r="M32" s="60">
        <f t="shared" si="9"/>
        <v>1.4506287569018197E-11</v>
      </c>
      <c r="N32" s="60">
        <f t="shared" si="9"/>
        <v>1.4506287569018197E-11</v>
      </c>
      <c r="O32" s="60">
        <f t="shared" si="9"/>
        <v>1.4506287569018197E-11</v>
      </c>
      <c r="P32" s="60">
        <f t="shared" si="9"/>
        <v>1.4506287569018197E-11</v>
      </c>
      <c r="Q32" s="60">
        <f t="shared" si="9"/>
        <v>1.4506287569018197E-11</v>
      </c>
      <c r="R32" s="60">
        <f t="shared" si="9"/>
        <v>1.4506287569018197E-11</v>
      </c>
      <c r="S32" s="60">
        <f t="shared" si="9"/>
        <v>1.4506287569018197E-11</v>
      </c>
      <c r="T32" s="60">
        <f t="shared" si="9"/>
        <v>1.4506287569018197E-11</v>
      </c>
      <c r="U32" s="60">
        <f t="shared" si="9"/>
        <v>1.4506287569018197E-11</v>
      </c>
      <c r="V32" s="60">
        <f t="shared" si="9"/>
        <v>1.4506287569018197E-11</v>
      </c>
      <c r="W32" s="60">
        <f t="shared" si="9"/>
        <v>1.4506287569018197E-11</v>
      </c>
      <c r="X32" s="60">
        <f t="shared" si="9"/>
        <v>1.4506287569018197E-11</v>
      </c>
      <c r="Y32" s="60">
        <f t="shared" si="9"/>
        <v>1.4506287569018197E-11</v>
      </c>
      <c r="Z32" s="60">
        <f t="shared" si="9"/>
        <v>1.4506287569018197E-11</v>
      </c>
      <c r="AA32" s="60">
        <f t="shared" si="9"/>
        <v>1.4506287569018197E-11</v>
      </c>
      <c r="AB32" s="49">
        <f t="shared" ref="AB32:AB44" si="10">SUM(AC32:AY32)</f>
        <v>7927596.875</v>
      </c>
      <c r="AC32" s="49">
        <f>IFERROR(up_RadSpec!$E$3*(AC3/$B32),".")</f>
        <v>344678.125</v>
      </c>
      <c r="AD32" s="49">
        <f>IFERROR(up_RadSpec!$E$3*(AD3/$B32),".")</f>
        <v>344678.125</v>
      </c>
      <c r="AE32" s="49">
        <f>IFERROR(up_RadSpec!$E$3*(AE3/$B32),".")</f>
        <v>344678.125</v>
      </c>
      <c r="AF32" s="49">
        <f>IFERROR(up_RadSpec!$E$3*(AF3/$B32),".")</f>
        <v>344678.125</v>
      </c>
      <c r="AG32" s="49">
        <f>IFERROR(up_RadSpec!$E$3*(AG3/$B32),".")</f>
        <v>344678.125</v>
      </c>
      <c r="AH32" s="49">
        <f>IFERROR(up_RadSpec!$E$3*(AH3/$B32),".")</f>
        <v>344678.125</v>
      </c>
      <c r="AI32" s="49">
        <f>IFERROR(up_RadSpec!$E$3*(AI3/$B32),".")</f>
        <v>344678.125</v>
      </c>
      <c r="AJ32" s="49">
        <f>IFERROR(up_RadSpec!$E$3*(AJ3/$B32),".")</f>
        <v>344678.125</v>
      </c>
      <c r="AK32" s="49">
        <f>IFERROR(up_RadSpec!$E$3*(AK3/$B32),".")</f>
        <v>344678.125</v>
      </c>
      <c r="AL32" s="49">
        <f>IFERROR(up_RadSpec!$E$3*(AL3/$B32),".")</f>
        <v>344678.125</v>
      </c>
      <c r="AM32" s="49">
        <f>IFERROR(up_RadSpec!$E$3*(AM3/$B32),".")</f>
        <v>344678.125</v>
      </c>
      <c r="AN32" s="49">
        <f>IFERROR(up_RadSpec!$E$3*(AN3/$B32),".")</f>
        <v>344678.125</v>
      </c>
      <c r="AO32" s="49">
        <f>IFERROR(up_RadSpec!$E$3*(AO3/$B32),".")</f>
        <v>344678.125</v>
      </c>
      <c r="AP32" s="49">
        <f>IFERROR(up_RadSpec!$E$3*(AP3/$B32),".")</f>
        <v>344678.125</v>
      </c>
      <c r="AQ32" s="49">
        <f>IFERROR(up_RadSpec!$E$3*(AQ3/$B32),".")</f>
        <v>344678.125</v>
      </c>
      <c r="AR32" s="49">
        <f>IFERROR(up_RadSpec!$E$3*(AR3/$B32),".")</f>
        <v>344678.125</v>
      </c>
      <c r="AS32" s="49">
        <f>IFERROR(up_RadSpec!$E$3*(AS3/$B32),".")</f>
        <v>344678.125</v>
      </c>
      <c r="AT32" s="49">
        <f>IFERROR(up_RadSpec!$E$3*(AT3/$B32),".")</f>
        <v>344678.125</v>
      </c>
      <c r="AU32" s="49">
        <f>IFERROR(up_RadSpec!$E$3*(AU3/$B32),".")</f>
        <v>344678.125</v>
      </c>
      <c r="AV32" s="49">
        <f>IFERROR(up_RadSpec!$E$3*(AV3/$B32),".")</f>
        <v>344678.125</v>
      </c>
      <c r="AW32" s="49">
        <f>IFERROR(up_RadSpec!$E$3*(AW3/$B32),".")</f>
        <v>344678.125</v>
      </c>
      <c r="AX32" s="49">
        <f>IFERROR(up_RadSpec!$E$3*(AX3/$B32),".")</f>
        <v>344678.125</v>
      </c>
      <c r="AY32" s="49">
        <f>IFERROR(up_RadSpec!$E$3*(AY3/$B32),".")</f>
        <v>344678.125</v>
      </c>
      <c r="AZ32" s="49">
        <f>IFERROR(up_RadSpec!$E$3*(AZ3/$B32),".")</f>
        <v>344678.125</v>
      </c>
      <c r="BA32" s="60">
        <f t="shared" ref="BA32:BA76" si="11">IFERROR(1/SUM(1/BB32,1/BC32,1/BX32,1/BY32),".")</f>
        <v>17233906250</v>
      </c>
      <c r="BB32" s="60">
        <f>IFERROR($B32/BB3,0)</f>
        <v>68935625000</v>
      </c>
      <c r="BC32" s="60">
        <f t="shared" ref="BC32:BY32" si="12">IFERROR($B32/BC3,0)</f>
        <v>68935625000</v>
      </c>
      <c r="BD32" s="60">
        <f t="shared" si="12"/>
        <v>68935625000</v>
      </c>
      <c r="BE32" s="60">
        <f t="shared" si="12"/>
        <v>68935625000</v>
      </c>
      <c r="BF32" s="60">
        <f t="shared" si="12"/>
        <v>68935625000</v>
      </c>
      <c r="BG32" s="60">
        <f t="shared" si="12"/>
        <v>68935625000</v>
      </c>
      <c r="BH32" s="60">
        <f t="shared" si="12"/>
        <v>68935625000</v>
      </c>
      <c r="BI32" s="60">
        <f t="shared" si="12"/>
        <v>68935625000</v>
      </c>
      <c r="BJ32" s="60">
        <f t="shared" si="12"/>
        <v>68935625000</v>
      </c>
      <c r="BK32" s="60">
        <f t="shared" si="12"/>
        <v>68935625000</v>
      </c>
      <c r="BL32" s="60">
        <f t="shared" si="12"/>
        <v>68935625000</v>
      </c>
      <c r="BM32" s="60">
        <f t="shared" si="12"/>
        <v>68935625000</v>
      </c>
      <c r="BN32" s="60">
        <f t="shared" si="12"/>
        <v>68935625000</v>
      </c>
      <c r="BO32" s="60">
        <f t="shared" si="12"/>
        <v>68935625000</v>
      </c>
      <c r="BP32" s="60">
        <f t="shared" si="12"/>
        <v>68935625000</v>
      </c>
      <c r="BQ32" s="60">
        <f t="shared" si="12"/>
        <v>68935625000</v>
      </c>
      <c r="BR32" s="60">
        <f t="shared" si="12"/>
        <v>68935625000</v>
      </c>
      <c r="BS32" s="60">
        <f t="shared" si="12"/>
        <v>68935625000</v>
      </c>
      <c r="BT32" s="60">
        <f t="shared" si="12"/>
        <v>68935625000</v>
      </c>
      <c r="BU32" s="60">
        <f t="shared" si="12"/>
        <v>68935625000</v>
      </c>
      <c r="BV32" s="60">
        <f t="shared" si="12"/>
        <v>68935625000</v>
      </c>
      <c r="BW32" s="60">
        <f t="shared" si="12"/>
        <v>68935625000</v>
      </c>
      <c r="BX32" s="60">
        <f t="shared" si="12"/>
        <v>68935625000</v>
      </c>
      <c r="BY32" s="60">
        <f t="shared" si="12"/>
        <v>68935625000</v>
      </c>
      <c r="BZ32" s="49">
        <f t="shared" si="3"/>
        <v>1378712.5</v>
      </c>
      <c r="CA32" s="49">
        <f>IFERROR(up_RadSpec!$E$3*(CA3/$B32),".")</f>
        <v>344678.125</v>
      </c>
      <c r="CB32" s="49">
        <f>IFERROR(up_RadSpec!$E$3*(CB3/$B32),".")</f>
        <v>344678.125</v>
      </c>
      <c r="CC32" s="49">
        <f>IFERROR(up_RadSpec!$E$3*(CC3/$B32),".")</f>
        <v>344678.125</v>
      </c>
      <c r="CD32" s="49">
        <f>IFERROR(up_RadSpec!$E$3*(CD3/$B32),".")</f>
        <v>344678.125</v>
      </c>
      <c r="CE32" s="49">
        <f>IFERROR(up_RadSpec!$E$3*(CE3/$B32),".")</f>
        <v>344678.125</v>
      </c>
      <c r="CF32" s="49">
        <f>IFERROR(up_RadSpec!$E$3*(CF3/$B32),".")</f>
        <v>344678.125</v>
      </c>
      <c r="CG32" s="49">
        <f>IFERROR(up_RadSpec!$E$3*(CG3/$B32),".")</f>
        <v>344678.125</v>
      </c>
      <c r="CH32" s="49">
        <f>IFERROR(up_RadSpec!$E$3*(CH3/$B32),".")</f>
        <v>344678.125</v>
      </c>
      <c r="CI32" s="49">
        <f>IFERROR(up_RadSpec!$E$3*(CI3/$B32),".")</f>
        <v>344678.125</v>
      </c>
      <c r="CJ32" s="49">
        <f>IFERROR(up_RadSpec!$E$3*(CJ3/$B32),".")</f>
        <v>344678.125</v>
      </c>
      <c r="CK32" s="49">
        <f>IFERROR(up_RadSpec!$E$3*(CK3/$B32),".")</f>
        <v>344678.125</v>
      </c>
      <c r="CL32" s="49">
        <f>IFERROR(up_RadSpec!$E$3*(CL3/$B32),".")</f>
        <v>344678.125</v>
      </c>
      <c r="CM32" s="49">
        <f>IFERROR(up_RadSpec!$E$3*(CM3/$B32),".")</f>
        <v>344678.125</v>
      </c>
      <c r="CN32" s="49">
        <f>IFERROR(up_RadSpec!$E$3*(CN3/$B32),".")</f>
        <v>344678.125</v>
      </c>
      <c r="CO32" s="49">
        <f>IFERROR(up_RadSpec!$E$3*(CO3/$B32),".")</f>
        <v>344678.125</v>
      </c>
      <c r="CP32" s="49">
        <f>IFERROR(up_RadSpec!$E$3*(CP3/$B32),".")</f>
        <v>344678.125</v>
      </c>
      <c r="CQ32" s="49">
        <f>IFERROR(up_RadSpec!$E$3*(CQ3/$B32),".")</f>
        <v>344678.125</v>
      </c>
      <c r="CR32" s="49">
        <f>IFERROR(up_RadSpec!$E$3*(CR3/$B32),".")</f>
        <v>344678.125</v>
      </c>
      <c r="CS32" s="49">
        <f>IFERROR(up_RadSpec!$E$3*(CS3/$B32),".")</f>
        <v>344678.125</v>
      </c>
      <c r="CT32" s="49">
        <f>IFERROR(up_RadSpec!$E$3*(CT3/$B32),".")</f>
        <v>344678.125</v>
      </c>
      <c r="CU32" s="49">
        <f>IFERROR(up_RadSpec!$E$3*(CU3/$B32),".")</f>
        <v>344678.125</v>
      </c>
      <c r="CV32" s="49">
        <f>IFERROR(up_RadSpec!$E$3*(CV3/$B32),".")</f>
        <v>344678.125</v>
      </c>
      <c r="CW32" s="49">
        <f>IFERROR(up_RadSpec!$E$3*(CW3/$B32),".")</f>
        <v>344678.125</v>
      </c>
      <c r="CX32" s="49">
        <f>IFERROR(up_RadSpec!$E$3*(CX3/$B32),".")</f>
        <v>344678.125</v>
      </c>
    </row>
    <row r="33" spans="1:102" x14ac:dyDescent="0.25">
      <c r="A33" s="83" t="s">
        <v>1078</v>
      </c>
      <c r="B33" s="42">
        <v>1</v>
      </c>
      <c r="C33" s="60">
        <f t="shared" si="8"/>
        <v>3.6265718922545492E-12</v>
      </c>
      <c r="D33" s="60">
        <f t="shared" ref="D33:AA34" si="13">IFERROR(D13/$B33,0)</f>
        <v>1.4506287569018197E-11</v>
      </c>
      <c r="E33" s="60">
        <f t="shared" si="13"/>
        <v>1.4506287569018197E-11</v>
      </c>
      <c r="F33" s="60">
        <f t="shared" si="13"/>
        <v>1.4506287569018197E-11</v>
      </c>
      <c r="G33" s="60">
        <f t="shared" si="13"/>
        <v>1.4506287569018197E-11</v>
      </c>
      <c r="H33" s="60">
        <f t="shared" si="13"/>
        <v>1.4506287569018197E-11</v>
      </c>
      <c r="I33" s="60">
        <f t="shared" si="13"/>
        <v>1.4506287569018197E-11</v>
      </c>
      <c r="J33" s="60">
        <f t="shared" si="13"/>
        <v>1.4506287569018197E-11</v>
      </c>
      <c r="K33" s="60">
        <f t="shared" si="13"/>
        <v>1.4506287569018197E-11</v>
      </c>
      <c r="L33" s="60">
        <f t="shared" si="13"/>
        <v>1.4506287569018197E-11</v>
      </c>
      <c r="M33" s="60">
        <f t="shared" si="13"/>
        <v>1.4506287569018197E-11</v>
      </c>
      <c r="N33" s="60">
        <f t="shared" si="13"/>
        <v>1.4506287569018197E-11</v>
      </c>
      <c r="O33" s="60">
        <f t="shared" si="13"/>
        <v>1.4506287569018197E-11</v>
      </c>
      <c r="P33" s="60">
        <f t="shared" si="13"/>
        <v>1.4506287569018197E-11</v>
      </c>
      <c r="Q33" s="60">
        <f t="shared" si="13"/>
        <v>1.4506287569018197E-11</v>
      </c>
      <c r="R33" s="60">
        <f t="shared" si="13"/>
        <v>1.4506287569018197E-11</v>
      </c>
      <c r="S33" s="60">
        <f t="shared" si="13"/>
        <v>1.4506287569018197E-11</v>
      </c>
      <c r="T33" s="60">
        <f t="shared" si="13"/>
        <v>1.4506287569018197E-11</v>
      </c>
      <c r="U33" s="60">
        <f t="shared" si="13"/>
        <v>1.4506287569018197E-11</v>
      </c>
      <c r="V33" s="60">
        <f t="shared" si="13"/>
        <v>1.4506287569018197E-11</v>
      </c>
      <c r="W33" s="60">
        <f t="shared" si="13"/>
        <v>1.4506287569018197E-11</v>
      </c>
      <c r="X33" s="60">
        <f t="shared" si="13"/>
        <v>1.4506287569018197E-11</v>
      </c>
      <c r="Y33" s="60">
        <f t="shared" si="13"/>
        <v>1.4506287569018197E-11</v>
      </c>
      <c r="Z33" s="60">
        <f t="shared" si="13"/>
        <v>1.4506287569018197E-11</v>
      </c>
      <c r="AA33" s="60">
        <f t="shared" si="13"/>
        <v>1.4506287569018197E-11</v>
      </c>
      <c r="AB33" s="49">
        <f t="shared" si="10"/>
        <v>7927596.875</v>
      </c>
      <c r="AC33" s="49">
        <f>IFERROR(up_RadSpec!$E$13*(AC13/$B33),".")</f>
        <v>344678.125</v>
      </c>
      <c r="AD33" s="49">
        <f>IFERROR(up_RadSpec!$E$13*(AD13/$B33),".")</f>
        <v>344678.125</v>
      </c>
      <c r="AE33" s="49">
        <f>IFERROR(up_RadSpec!$E$13*(AE13/$B33),".")</f>
        <v>344678.125</v>
      </c>
      <c r="AF33" s="49">
        <f>IFERROR(up_RadSpec!$E$13*(AF13/$B33),".")</f>
        <v>344678.125</v>
      </c>
      <c r="AG33" s="49">
        <f>IFERROR(up_RadSpec!$E$13*(AG13/$B33),".")</f>
        <v>344678.125</v>
      </c>
      <c r="AH33" s="49">
        <f>IFERROR(up_RadSpec!$E$13*(AH13/$B33),".")</f>
        <v>344678.125</v>
      </c>
      <c r="AI33" s="49">
        <f>IFERROR(up_RadSpec!$E$13*(AI13/$B33),".")</f>
        <v>344678.125</v>
      </c>
      <c r="AJ33" s="49">
        <f>IFERROR(up_RadSpec!$E$13*(AJ13/$B33),".")</f>
        <v>344678.125</v>
      </c>
      <c r="AK33" s="49">
        <f>IFERROR(up_RadSpec!$E$13*(AK13/$B33),".")</f>
        <v>344678.125</v>
      </c>
      <c r="AL33" s="49">
        <f>IFERROR(up_RadSpec!$E$13*(AL13/$B33),".")</f>
        <v>344678.125</v>
      </c>
      <c r="AM33" s="49">
        <f>IFERROR(up_RadSpec!$E$13*(AM13/$B33),".")</f>
        <v>344678.125</v>
      </c>
      <c r="AN33" s="49">
        <f>IFERROR(up_RadSpec!$E$13*(AN13/$B33),".")</f>
        <v>344678.125</v>
      </c>
      <c r="AO33" s="49">
        <f>IFERROR(up_RadSpec!$E$13*(AO13/$B33),".")</f>
        <v>344678.125</v>
      </c>
      <c r="AP33" s="49">
        <f>IFERROR(up_RadSpec!$E$13*(AP13/$B33),".")</f>
        <v>344678.125</v>
      </c>
      <c r="AQ33" s="49">
        <f>IFERROR(up_RadSpec!$E$13*(AQ13/$B33),".")</f>
        <v>344678.125</v>
      </c>
      <c r="AR33" s="49">
        <f>IFERROR(up_RadSpec!$E$13*(AR13/$B33),".")</f>
        <v>344678.125</v>
      </c>
      <c r="AS33" s="49">
        <f>IFERROR(up_RadSpec!$E$13*(AS13/$B33),".")</f>
        <v>344678.125</v>
      </c>
      <c r="AT33" s="49">
        <f>IFERROR(up_RadSpec!$E$13*(AT13/$B33),".")</f>
        <v>344678.125</v>
      </c>
      <c r="AU33" s="49">
        <f>IFERROR(up_RadSpec!$E$13*(AU13/$B33),".")</f>
        <v>344678.125</v>
      </c>
      <c r="AV33" s="49">
        <f>IFERROR(up_RadSpec!$E$13*(AV13/$B33),".")</f>
        <v>344678.125</v>
      </c>
      <c r="AW33" s="49">
        <f>IFERROR(up_RadSpec!$E$13*(AW13/$B33),".")</f>
        <v>344678.125</v>
      </c>
      <c r="AX33" s="49">
        <f>IFERROR(up_RadSpec!$E$13*(AX13/$B33),".")</f>
        <v>344678.125</v>
      </c>
      <c r="AY33" s="49">
        <f>IFERROR(up_RadSpec!$E$13*(AY13/$B33),".")</f>
        <v>344678.125</v>
      </c>
      <c r="AZ33" s="49">
        <f>IFERROR(up_RadSpec!$E$13*(AZ13/$B33),".")</f>
        <v>344678.125</v>
      </c>
      <c r="BA33" s="60">
        <f t="shared" si="11"/>
        <v>17233906250</v>
      </c>
      <c r="BB33" s="60">
        <f t="shared" ref="BB33:BY34" si="14">IFERROR($B33/BB13,0)</f>
        <v>68935625000</v>
      </c>
      <c r="BC33" s="60">
        <f t="shared" si="14"/>
        <v>68935625000</v>
      </c>
      <c r="BD33" s="60">
        <f t="shared" si="14"/>
        <v>68935625000</v>
      </c>
      <c r="BE33" s="60">
        <f t="shared" si="14"/>
        <v>68935625000</v>
      </c>
      <c r="BF33" s="60">
        <f t="shared" si="14"/>
        <v>68935625000</v>
      </c>
      <c r="BG33" s="60">
        <f t="shared" si="14"/>
        <v>68935625000</v>
      </c>
      <c r="BH33" s="60">
        <f t="shared" si="14"/>
        <v>68935625000</v>
      </c>
      <c r="BI33" s="60">
        <f t="shared" si="14"/>
        <v>68935625000</v>
      </c>
      <c r="BJ33" s="60">
        <f t="shared" si="14"/>
        <v>68935625000</v>
      </c>
      <c r="BK33" s="60">
        <f t="shared" si="14"/>
        <v>68935625000</v>
      </c>
      <c r="BL33" s="60">
        <f t="shared" si="14"/>
        <v>68935625000</v>
      </c>
      <c r="BM33" s="60">
        <f t="shared" si="14"/>
        <v>68935625000</v>
      </c>
      <c r="BN33" s="60">
        <f t="shared" si="14"/>
        <v>68935625000</v>
      </c>
      <c r="BO33" s="60">
        <f t="shared" si="14"/>
        <v>68935625000</v>
      </c>
      <c r="BP33" s="60">
        <f t="shared" si="14"/>
        <v>68935625000</v>
      </c>
      <c r="BQ33" s="60">
        <f t="shared" si="14"/>
        <v>68935625000</v>
      </c>
      <c r="BR33" s="60">
        <f t="shared" si="14"/>
        <v>68935625000</v>
      </c>
      <c r="BS33" s="60">
        <f t="shared" si="14"/>
        <v>68935625000</v>
      </c>
      <c r="BT33" s="60">
        <f t="shared" si="14"/>
        <v>68935625000</v>
      </c>
      <c r="BU33" s="60">
        <f t="shared" si="14"/>
        <v>68935625000</v>
      </c>
      <c r="BV33" s="60">
        <f t="shared" si="14"/>
        <v>68935625000</v>
      </c>
      <c r="BW33" s="60">
        <f t="shared" si="14"/>
        <v>68935625000</v>
      </c>
      <c r="BX33" s="60">
        <f t="shared" si="14"/>
        <v>68935625000</v>
      </c>
      <c r="BY33" s="60">
        <f t="shared" si="14"/>
        <v>68935625000</v>
      </c>
      <c r="BZ33" s="49">
        <f t="shared" si="3"/>
        <v>1378712.5</v>
      </c>
      <c r="CA33" s="49">
        <f>IFERROR(up_RadSpec!$E$13*(CA13/$B33),".")</f>
        <v>344678.125</v>
      </c>
      <c r="CB33" s="49">
        <f>IFERROR(up_RadSpec!$E$13*(CB13/$B33),".")</f>
        <v>344678.125</v>
      </c>
      <c r="CC33" s="49">
        <f>IFERROR(up_RadSpec!$E$13*(CC13/$B33),".")</f>
        <v>344678.125</v>
      </c>
      <c r="CD33" s="49">
        <f>IFERROR(up_RadSpec!$E$13*(CD13/$B33),".")</f>
        <v>344678.125</v>
      </c>
      <c r="CE33" s="49">
        <f>IFERROR(up_RadSpec!$E$13*(CE13/$B33),".")</f>
        <v>344678.125</v>
      </c>
      <c r="CF33" s="49">
        <f>IFERROR(up_RadSpec!$E$13*(CF13/$B33),".")</f>
        <v>344678.125</v>
      </c>
      <c r="CG33" s="49">
        <f>IFERROR(up_RadSpec!$E$13*(CG13/$B33),".")</f>
        <v>344678.125</v>
      </c>
      <c r="CH33" s="49">
        <f>IFERROR(up_RadSpec!$E$13*(CH13/$B33),".")</f>
        <v>344678.125</v>
      </c>
      <c r="CI33" s="49">
        <f>IFERROR(up_RadSpec!$E$13*(CI13/$B33),".")</f>
        <v>344678.125</v>
      </c>
      <c r="CJ33" s="49">
        <f>IFERROR(up_RadSpec!$E$13*(CJ13/$B33),".")</f>
        <v>344678.125</v>
      </c>
      <c r="CK33" s="49">
        <f>IFERROR(up_RadSpec!$E$13*(CK13/$B33),".")</f>
        <v>344678.125</v>
      </c>
      <c r="CL33" s="49">
        <f>IFERROR(up_RadSpec!$E$13*(CL13/$B33),".")</f>
        <v>344678.125</v>
      </c>
      <c r="CM33" s="49">
        <f>IFERROR(up_RadSpec!$E$13*(CM13/$B33),".")</f>
        <v>344678.125</v>
      </c>
      <c r="CN33" s="49">
        <f>IFERROR(up_RadSpec!$E$13*(CN13/$B33),".")</f>
        <v>344678.125</v>
      </c>
      <c r="CO33" s="49">
        <f>IFERROR(up_RadSpec!$E$13*(CO13/$B33),".")</f>
        <v>344678.125</v>
      </c>
      <c r="CP33" s="49">
        <f>IFERROR(up_RadSpec!$E$13*(CP13/$B33),".")</f>
        <v>344678.125</v>
      </c>
      <c r="CQ33" s="49">
        <f>IFERROR(up_RadSpec!$E$13*(CQ13/$B33),".")</f>
        <v>344678.125</v>
      </c>
      <c r="CR33" s="49">
        <f>IFERROR(up_RadSpec!$E$13*(CR13/$B33),".")</f>
        <v>344678.125</v>
      </c>
      <c r="CS33" s="49">
        <f>IFERROR(up_RadSpec!$E$13*(CS13/$B33),".")</f>
        <v>344678.125</v>
      </c>
      <c r="CT33" s="49">
        <f>IFERROR(up_RadSpec!$E$13*(CT13/$B33),".")</f>
        <v>344678.125</v>
      </c>
      <c r="CU33" s="49">
        <f>IFERROR(up_RadSpec!$E$13*(CU13/$B33),".")</f>
        <v>344678.125</v>
      </c>
      <c r="CV33" s="49">
        <f>IFERROR(up_RadSpec!$E$13*(CV13/$B33),".")</f>
        <v>344678.125</v>
      </c>
      <c r="CW33" s="49">
        <f>IFERROR(up_RadSpec!$E$13*(CW13/$B33),".")</f>
        <v>344678.125</v>
      </c>
      <c r="CX33" s="49">
        <f>IFERROR(up_RadSpec!$E$13*(CX13/$B33),".")</f>
        <v>344678.125</v>
      </c>
    </row>
    <row r="34" spans="1:102" x14ac:dyDescent="0.25">
      <c r="A34" s="83" t="s">
        <v>1079</v>
      </c>
      <c r="B34" s="42">
        <v>1</v>
      </c>
      <c r="C34" s="60">
        <f t="shared" si="8"/>
        <v>3.6265718922545492E-12</v>
      </c>
      <c r="D34" s="60">
        <f t="shared" si="13"/>
        <v>1.4506287569018197E-11</v>
      </c>
      <c r="E34" s="60">
        <f t="shared" si="13"/>
        <v>1.4506287569018197E-11</v>
      </c>
      <c r="F34" s="60">
        <f t="shared" si="13"/>
        <v>1.4506287569018197E-11</v>
      </c>
      <c r="G34" s="60">
        <f t="shared" si="13"/>
        <v>1.4506287569018197E-11</v>
      </c>
      <c r="H34" s="60">
        <f t="shared" si="13"/>
        <v>1.4506287569018197E-11</v>
      </c>
      <c r="I34" s="60">
        <f t="shared" si="13"/>
        <v>1.4506287569018197E-11</v>
      </c>
      <c r="J34" s="60">
        <f t="shared" si="13"/>
        <v>1.4506287569018197E-11</v>
      </c>
      <c r="K34" s="60">
        <f t="shared" si="13"/>
        <v>1.4506287569018197E-11</v>
      </c>
      <c r="L34" s="60">
        <f t="shared" si="13"/>
        <v>1.4506287569018197E-11</v>
      </c>
      <c r="M34" s="60">
        <f t="shared" si="13"/>
        <v>1.4506287569018197E-11</v>
      </c>
      <c r="N34" s="60">
        <f t="shared" si="13"/>
        <v>1.4506287569018197E-11</v>
      </c>
      <c r="O34" s="60">
        <f t="shared" si="13"/>
        <v>1.4506287569018197E-11</v>
      </c>
      <c r="P34" s="60">
        <f t="shared" si="13"/>
        <v>1.4506287569018197E-11</v>
      </c>
      <c r="Q34" s="60">
        <f t="shared" si="13"/>
        <v>1.4506287569018197E-11</v>
      </c>
      <c r="R34" s="60">
        <f t="shared" si="13"/>
        <v>1.4506287569018197E-11</v>
      </c>
      <c r="S34" s="60">
        <f t="shared" si="13"/>
        <v>1.4506287569018197E-11</v>
      </c>
      <c r="T34" s="60">
        <f t="shared" si="13"/>
        <v>1.4506287569018197E-11</v>
      </c>
      <c r="U34" s="60">
        <f t="shared" si="13"/>
        <v>1.4506287569018197E-11</v>
      </c>
      <c r="V34" s="60">
        <f t="shared" si="13"/>
        <v>1.4506287569018197E-11</v>
      </c>
      <c r="W34" s="60">
        <f t="shared" si="13"/>
        <v>1.4506287569018197E-11</v>
      </c>
      <c r="X34" s="60">
        <f t="shared" si="13"/>
        <v>1.4506287569018197E-11</v>
      </c>
      <c r="Y34" s="60">
        <f t="shared" si="13"/>
        <v>1.4506287569018197E-11</v>
      </c>
      <c r="Z34" s="60">
        <f t="shared" si="13"/>
        <v>1.4506287569018197E-11</v>
      </c>
      <c r="AA34" s="60">
        <f t="shared" si="13"/>
        <v>1.4506287569018197E-11</v>
      </c>
      <c r="AB34" s="49">
        <f t="shared" si="10"/>
        <v>7927596.875</v>
      </c>
      <c r="AC34" s="49">
        <f>IFERROR(up_RadSpec!$E$14*(AC14/$B34),".")</f>
        <v>344678.125</v>
      </c>
      <c r="AD34" s="49">
        <f>IFERROR(up_RadSpec!$E$14*(AD14/$B34),".")</f>
        <v>344678.125</v>
      </c>
      <c r="AE34" s="49">
        <f>IFERROR(up_RadSpec!$E$14*(AE14/$B34),".")</f>
        <v>344678.125</v>
      </c>
      <c r="AF34" s="49">
        <f>IFERROR(up_RadSpec!$E$14*(AF14/$B34),".")</f>
        <v>344678.125</v>
      </c>
      <c r="AG34" s="49">
        <f>IFERROR(up_RadSpec!$E$14*(AG14/$B34),".")</f>
        <v>344678.125</v>
      </c>
      <c r="AH34" s="49">
        <f>IFERROR(up_RadSpec!$E$14*(AH14/$B34),".")</f>
        <v>344678.125</v>
      </c>
      <c r="AI34" s="49">
        <f>IFERROR(up_RadSpec!$E$14*(AI14/$B34),".")</f>
        <v>344678.125</v>
      </c>
      <c r="AJ34" s="49">
        <f>IFERROR(up_RadSpec!$E$14*(AJ14/$B34),".")</f>
        <v>344678.125</v>
      </c>
      <c r="AK34" s="49">
        <f>IFERROR(up_RadSpec!$E$14*(AK14/$B34),".")</f>
        <v>344678.125</v>
      </c>
      <c r="AL34" s="49">
        <f>IFERROR(up_RadSpec!$E$14*(AL14/$B34),".")</f>
        <v>344678.125</v>
      </c>
      <c r="AM34" s="49">
        <f>IFERROR(up_RadSpec!$E$14*(AM14/$B34),".")</f>
        <v>344678.125</v>
      </c>
      <c r="AN34" s="49">
        <f>IFERROR(up_RadSpec!$E$14*(AN14/$B34),".")</f>
        <v>344678.125</v>
      </c>
      <c r="AO34" s="49">
        <f>IFERROR(up_RadSpec!$E$14*(AO14/$B34),".")</f>
        <v>344678.125</v>
      </c>
      <c r="AP34" s="49">
        <f>IFERROR(up_RadSpec!$E$14*(AP14/$B34),".")</f>
        <v>344678.125</v>
      </c>
      <c r="AQ34" s="49">
        <f>IFERROR(up_RadSpec!$E$14*(AQ14/$B34),".")</f>
        <v>344678.125</v>
      </c>
      <c r="AR34" s="49">
        <f>IFERROR(up_RadSpec!$E$14*(AR14/$B34),".")</f>
        <v>344678.125</v>
      </c>
      <c r="AS34" s="49">
        <f>IFERROR(up_RadSpec!$E$14*(AS14/$B34),".")</f>
        <v>344678.125</v>
      </c>
      <c r="AT34" s="49">
        <f>IFERROR(up_RadSpec!$E$14*(AT14/$B34),".")</f>
        <v>344678.125</v>
      </c>
      <c r="AU34" s="49">
        <f>IFERROR(up_RadSpec!$E$14*(AU14/$B34),".")</f>
        <v>344678.125</v>
      </c>
      <c r="AV34" s="49">
        <f>IFERROR(up_RadSpec!$E$14*(AV14/$B34),".")</f>
        <v>344678.125</v>
      </c>
      <c r="AW34" s="49">
        <f>IFERROR(up_RadSpec!$E$14*(AW14/$B34),".")</f>
        <v>344678.125</v>
      </c>
      <c r="AX34" s="49">
        <f>IFERROR(up_RadSpec!$E$14*(AX14/$B34),".")</f>
        <v>344678.125</v>
      </c>
      <c r="AY34" s="49">
        <f>IFERROR(up_RadSpec!$E$14*(AY14/$B34),".")</f>
        <v>344678.125</v>
      </c>
      <c r="AZ34" s="49">
        <f>IFERROR(up_RadSpec!$E$14*(AZ14/$B34),".")</f>
        <v>344678.125</v>
      </c>
      <c r="BA34" s="60">
        <f t="shared" si="11"/>
        <v>17233906250</v>
      </c>
      <c r="BB34" s="60">
        <f t="shared" si="14"/>
        <v>68935625000</v>
      </c>
      <c r="BC34" s="60">
        <f t="shared" si="14"/>
        <v>68935625000</v>
      </c>
      <c r="BD34" s="60">
        <f t="shared" si="14"/>
        <v>68935625000</v>
      </c>
      <c r="BE34" s="60">
        <f t="shared" si="14"/>
        <v>68935625000</v>
      </c>
      <c r="BF34" s="60">
        <f t="shared" si="14"/>
        <v>68935625000</v>
      </c>
      <c r="BG34" s="60">
        <f t="shared" si="14"/>
        <v>68935625000</v>
      </c>
      <c r="BH34" s="60">
        <f t="shared" si="14"/>
        <v>68935625000</v>
      </c>
      <c r="BI34" s="60">
        <f t="shared" si="14"/>
        <v>68935625000</v>
      </c>
      <c r="BJ34" s="60">
        <f t="shared" si="14"/>
        <v>68935625000</v>
      </c>
      <c r="BK34" s="60">
        <f t="shared" si="14"/>
        <v>68935625000</v>
      </c>
      <c r="BL34" s="60">
        <f t="shared" si="14"/>
        <v>68935625000</v>
      </c>
      <c r="BM34" s="60">
        <f t="shared" si="14"/>
        <v>68935625000</v>
      </c>
      <c r="BN34" s="60">
        <f t="shared" si="14"/>
        <v>68935625000</v>
      </c>
      <c r="BO34" s="60">
        <f t="shared" si="14"/>
        <v>68935625000</v>
      </c>
      <c r="BP34" s="60">
        <f t="shared" si="14"/>
        <v>68935625000</v>
      </c>
      <c r="BQ34" s="60">
        <f t="shared" si="14"/>
        <v>68935625000</v>
      </c>
      <c r="BR34" s="60">
        <f t="shared" si="14"/>
        <v>68935625000</v>
      </c>
      <c r="BS34" s="60">
        <f t="shared" si="14"/>
        <v>68935625000</v>
      </c>
      <c r="BT34" s="60">
        <f t="shared" si="14"/>
        <v>68935625000</v>
      </c>
      <c r="BU34" s="60">
        <f t="shared" si="14"/>
        <v>68935625000</v>
      </c>
      <c r="BV34" s="60">
        <f t="shared" si="14"/>
        <v>68935625000</v>
      </c>
      <c r="BW34" s="60">
        <f t="shared" si="14"/>
        <v>68935625000</v>
      </c>
      <c r="BX34" s="60">
        <f t="shared" si="14"/>
        <v>68935625000</v>
      </c>
      <c r="BY34" s="60">
        <f t="shared" si="14"/>
        <v>68935625000</v>
      </c>
      <c r="BZ34" s="49">
        <f t="shared" si="3"/>
        <v>1378712.5</v>
      </c>
      <c r="CA34" s="49">
        <f>IFERROR(up_RadSpec!$E$14*(CA14/$B34),".")</f>
        <v>344678.125</v>
      </c>
      <c r="CB34" s="49">
        <f>IFERROR(up_RadSpec!$E$14*(CB14/$B34),".")</f>
        <v>344678.125</v>
      </c>
      <c r="CC34" s="49">
        <f>IFERROR(up_RadSpec!$E$14*(CC14/$B34),".")</f>
        <v>344678.125</v>
      </c>
      <c r="CD34" s="49">
        <f>IFERROR(up_RadSpec!$E$14*(CD14/$B34),".")</f>
        <v>344678.125</v>
      </c>
      <c r="CE34" s="49">
        <f>IFERROR(up_RadSpec!$E$14*(CE14/$B34),".")</f>
        <v>344678.125</v>
      </c>
      <c r="CF34" s="49">
        <f>IFERROR(up_RadSpec!$E$14*(CF14/$B34),".")</f>
        <v>344678.125</v>
      </c>
      <c r="CG34" s="49">
        <f>IFERROR(up_RadSpec!$E$14*(CG14/$B34),".")</f>
        <v>344678.125</v>
      </c>
      <c r="CH34" s="49">
        <f>IFERROR(up_RadSpec!$E$14*(CH14/$B34),".")</f>
        <v>344678.125</v>
      </c>
      <c r="CI34" s="49">
        <f>IFERROR(up_RadSpec!$E$14*(CI14/$B34),".")</f>
        <v>344678.125</v>
      </c>
      <c r="CJ34" s="49">
        <f>IFERROR(up_RadSpec!$E$14*(CJ14/$B34),".")</f>
        <v>344678.125</v>
      </c>
      <c r="CK34" s="49">
        <f>IFERROR(up_RadSpec!$E$14*(CK14/$B34),".")</f>
        <v>344678.125</v>
      </c>
      <c r="CL34" s="49">
        <f>IFERROR(up_RadSpec!$E$14*(CL14/$B34),".")</f>
        <v>344678.125</v>
      </c>
      <c r="CM34" s="49">
        <f>IFERROR(up_RadSpec!$E$14*(CM14/$B34),".")</f>
        <v>344678.125</v>
      </c>
      <c r="CN34" s="49">
        <f>IFERROR(up_RadSpec!$E$14*(CN14/$B34),".")</f>
        <v>344678.125</v>
      </c>
      <c r="CO34" s="49">
        <f>IFERROR(up_RadSpec!$E$14*(CO14/$B34),".")</f>
        <v>344678.125</v>
      </c>
      <c r="CP34" s="49">
        <f>IFERROR(up_RadSpec!$E$14*(CP14/$B34),".")</f>
        <v>344678.125</v>
      </c>
      <c r="CQ34" s="49">
        <f>IFERROR(up_RadSpec!$E$14*(CQ14/$B34),".")</f>
        <v>344678.125</v>
      </c>
      <c r="CR34" s="49">
        <f>IFERROR(up_RadSpec!$E$14*(CR14/$B34),".")</f>
        <v>344678.125</v>
      </c>
      <c r="CS34" s="49">
        <f>IFERROR(up_RadSpec!$E$14*(CS14/$B34),".")</f>
        <v>344678.125</v>
      </c>
      <c r="CT34" s="49">
        <f>IFERROR(up_RadSpec!$E$14*(CT14/$B34),".")</f>
        <v>344678.125</v>
      </c>
      <c r="CU34" s="49">
        <f>IFERROR(up_RadSpec!$E$14*(CU14/$B34),".")</f>
        <v>344678.125</v>
      </c>
      <c r="CV34" s="49">
        <f>IFERROR(up_RadSpec!$E$14*(CV14/$B34),".")</f>
        <v>344678.125</v>
      </c>
      <c r="CW34" s="49">
        <f>IFERROR(up_RadSpec!$E$14*(CW14/$B34),".")</f>
        <v>344678.125</v>
      </c>
      <c r="CX34" s="49">
        <f>IFERROR(up_RadSpec!$E$14*(CX14/$B34),".")</f>
        <v>344678.125</v>
      </c>
    </row>
    <row r="35" spans="1:102" x14ac:dyDescent="0.25">
      <c r="A35" s="83" t="s">
        <v>1080</v>
      </c>
      <c r="B35" s="42">
        <v>1</v>
      </c>
      <c r="C35" s="60">
        <f t="shared" si="8"/>
        <v>3.6265718922545492E-12</v>
      </c>
      <c r="D35" s="60">
        <f t="shared" ref="D35:AA35" si="15">IFERROR(D30/$B35,0)</f>
        <v>1.4506287569018197E-11</v>
      </c>
      <c r="E35" s="60">
        <f t="shared" si="15"/>
        <v>1.4506287569018197E-11</v>
      </c>
      <c r="F35" s="60">
        <f t="shared" si="15"/>
        <v>1.4506287569018197E-11</v>
      </c>
      <c r="G35" s="60">
        <f t="shared" si="15"/>
        <v>1.4506287569018197E-11</v>
      </c>
      <c r="H35" s="60">
        <f t="shared" si="15"/>
        <v>1.4506287569018197E-11</v>
      </c>
      <c r="I35" s="60">
        <f t="shared" si="15"/>
        <v>1.4506287569018197E-11</v>
      </c>
      <c r="J35" s="60">
        <f t="shared" si="15"/>
        <v>1.4506287569018197E-11</v>
      </c>
      <c r="K35" s="60">
        <f t="shared" si="15"/>
        <v>1.4506287569018197E-11</v>
      </c>
      <c r="L35" s="60">
        <f t="shared" si="15"/>
        <v>1.4506287569018197E-11</v>
      </c>
      <c r="M35" s="60">
        <f t="shared" si="15"/>
        <v>1.4506287569018197E-11</v>
      </c>
      <c r="N35" s="60">
        <f t="shared" si="15"/>
        <v>1.4506287569018197E-11</v>
      </c>
      <c r="O35" s="60">
        <f t="shared" si="15"/>
        <v>1.4506287569018197E-11</v>
      </c>
      <c r="P35" s="60">
        <f t="shared" si="15"/>
        <v>1.4506287569018197E-11</v>
      </c>
      <c r="Q35" s="60">
        <f t="shared" si="15"/>
        <v>1.4506287569018197E-11</v>
      </c>
      <c r="R35" s="60">
        <f t="shared" si="15"/>
        <v>1.4506287569018197E-11</v>
      </c>
      <c r="S35" s="60">
        <f t="shared" si="15"/>
        <v>1.4506287569018197E-11</v>
      </c>
      <c r="T35" s="60">
        <f t="shared" si="15"/>
        <v>1.4506287569018197E-11</v>
      </c>
      <c r="U35" s="60">
        <f t="shared" si="15"/>
        <v>1.4506287569018197E-11</v>
      </c>
      <c r="V35" s="60">
        <f t="shared" si="15"/>
        <v>1.4506287569018197E-11</v>
      </c>
      <c r="W35" s="60">
        <f t="shared" si="15"/>
        <v>1.4506287569018197E-11</v>
      </c>
      <c r="X35" s="60">
        <f t="shared" si="15"/>
        <v>1.4506287569018197E-11</v>
      </c>
      <c r="Y35" s="60">
        <f t="shared" si="15"/>
        <v>1.4506287569018197E-11</v>
      </c>
      <c r="Z35" s="60">
        <f t="shared" si="15"/>
        <v>1.4506287569018197E-11</v>
      </c>
      <c r="AA35" s="60">
        <f t="shared" si="15"/>
        <v>1.4506287569018197E-11</v>
      </c>
      <c r="AB35" s="49">
        <f t="shared" si="10"/>
        <v>7927596.875</v>
      </c>
      <c r="AC35" s="49">
        <f>IFERROR(up_RadSpec!$E$30*(AC30/$B35),".")</f>
        <v>344678.125</v>
      </c>
      <c r="AD35" s="49">
        <f>IFERROR(up_RadSpec!$E$30*(AD30/$B35),".")</f>
        <v>344678.125</v>
      </c>
      <c r="AE35" s="49">
        <f>IFERROR(up_RadSpec!$E$30*(AE30/$B35),".")</f>
        <v>344678.125</v>
      </c>
      <c r="AF35" s="49">
        <f>IFERROR(up_RadSpec!$E$30*(AF30/$B35),".")</f>
        <v>344678.125</v>
      </c>
      <c r="AG35" s="49">
        <f>IFERROR(up_RadSpec!$E$30*(AG30/$B35),".")</f>
        <v>344678.125</v>
      </c>
      <c r="AH35" s="49">
        <f>IFERROR(up_RadSpec!$E$30*(AH30/$B35),".")</f>
        <v>344678.125</v>
      </c>
      <c r="AI35" s="49">
        <f>IFERROR(up_RadSpec!$E$30*(AI30/$B35),".")</f>
        <v>344678.125</v>
      </c>
      <c r="AJ35" s="49">
        <f>IFERROR(up_RadSpec!$E$30*(AJ30/$B35),".")</f>
        <v>344678.125</v>
      </c>
      <c r="AK35" s="49">
        <f>IFERROR(up_RadSpec!$E$30*(AK30/$B35),".")</f>
        <v>344678.125</v>
      </c>
      <c r="AL35" s="49">
        <f>IFERROR(up_RadSpec!$E$30*(AL30/$B35),".")</f>
        <v>344678.125</v>
      </c>
      <c r="AM35" s="49">
        <f>IFERROR(up_RadSpec!$E$30*(AM30/$B35),".")</f>
        <v>344678.125</v>
      </c>
      <c r="AN35" s="49">
        <f>IFERROR(up_RadSpec!$E$30*(AN30/$B35),".")</f>
        <v>344678.125</v>
      </c>
      <c r="AO35" s="49">
        <f>IFERROR(up_RadSpec!$E$30*(AO30/$B35),".")</f>
        <v>344678.125</v>
      </c>
      <c r="AP35" s="49">
        <f>IFERROR(up_RadSpec!$E$30*(AP30/$B35),".")</f>
        <v>344678.125</v>
      </c>
      <c r="AQ35" s="49">
        <f>IFERROR(up_RadSpec!$E$30*(AQ30/$B35),".")</f>
        <v>344678.125</v>
      </c>
      <c r="AR35" s="49">
        <f>IFERROR(up_RadSpec!$E$30*(AR30/$B35),".")</f>
        <v>344678.125</v>
      </c>
      <c r="AS35" s="49">
        <f>IFERROR(up_RadSpec!$E$30*(AS30/$B35),".")</f>
        <v>344678.125</v>
      </c>
      <c r="AT35" s="49">
        <f>IFERROR(up_RadSpec!$E$30*(AT30/$B35),".")</f>
        <v>344678.125</v>
      </c>
      <c r="AU35" s="49">
        <f>IFERROR(up_RadSpec!$E$30*(AU30/$B35),".")</f>
        <v>344678.125</v>
      </c>
      <c r="AV35" s="49">
        <f>IFERROR(up_RadSpec!$E$30*(AV30/$B35),".")</f>
        <v>344678.125</v>
      </c>
      <c r="AW35" s="49">
        <f>IFERROR(up_RadSpec!$E$30*(AW30/$B35),".")</f>
        <v>344678.125</v>
      </c>
      <c r="AX35" s="49">
        <f>IFERROR(up_RadSpec!$E$30*(AX30/$B35),".")</f>
        <v>344678.125</v>
      </c>
      <c r="AY35" s="49">
        <f>IFERROR(up_RadSpec!$E$30*(AY30/$B35),".")</f>
        <v>344678.125</v>
      </c>
      <c r="AZ35" s="49">
        <f>IFERROR(up_RadSpec!$E$30*(AZ30/$B35),".")</f>
        <v>344678.125</v>
      </c>
      <c r="BA35" s="60">
        <f t="shared" si="11"/>
        <v>17233906250</v>
      </c>
      <c r="BB35" s="60">
        <f t="shared" ref="BB35:BY35" si="16">IFERROR($B35/BB30,0)</f>
        <v>68935625000</v>
      </c>
      <c r="BC35" s="60">
        <f t="shared" si="16"/>
        <v>68935625000</v>
      </c>
      <c r="BD35" s="60">
        <f t="shared" si="16"/>
        <v>68935625000</v>
      </c>
      <c r="BE35" s="60">
        <f t="shared" si="16"/>
        <v>68935625000</v>
      </c>
      <c r="BF35" s="60">
        <f t="shared" si="16"/>
        <v>68935625000</v>
      </c>
      <c r="BG35" s="60">
        <f t="shared" si="16"/>
        <v>68935625000</v>
      </c>
      <c r="BH35" s="60">
        <f t="shared" si="16"/>
        <v>68935625000</v>
      </c>
      <c r="BI35" s="60">
        <f t="shared" si="16"/>
        <v>68935625000</v>
      </c>
      <c r="BJ35" s="60">
        <f t="shared" si="16"/>
        <v>68935625000</v>
      </c>
      <c r="BK35" s="60">
        <f t="shared" si="16"/>
        <v>68935625000</v>
      </c>
      <c r="BL35" s="60">
        <f t="shared" si="16"/>
        <v>68935625000</v>
      </c>
      <c r="BM35" s="60">
        <f t="shared" si="16"/>
        <v>68935625000</v>
      </c>
      <c r="BN35" s="60">
        <f t="shared" si="16"/>
        <v>68935625000</v>
      </c>
      <c r="BO35" s="60">
        <f t="shared" si="16"/>
        <v>68935625000</v>
      </c>
      <c r="BP35" s="60">
        <f t="shared" si="16"/>
        <v>68935625000</v>
      </c>
      <c r="BQ35" s="60">
        <f t="shared" si="16"/>
        <v>68935625000</v>
      </c>
      <c r="BR35" s="60">
        <f t="shared" si="16"/>
        <v>68935625000</v>
      </c>
      <c r="BS35" s="60">
        <f t="shared" si="16"/>
        <v>68935625000</v>
      </c>
      <c r="BT35" s="60">
        <f t="shared" si="16"/>
        <v>68935625000</v>
      </c>
      <c r="BU35" s="60">
        <f t="shared" si="16"/>
        <v>68935625000</v>
      </c>
      <c r="BV35" s="60">
        <f t="shared" si="16"/>
        <v>68935625000</v>
      </c>
      <c r="BW35" s="60">
        <f t="shared" si="16"/>
        <v>68935625000</v>
      </c>
      <c r="BX35" s="60">
        <f t="shared" si="16"/>
        <v>68935625000</v>
      </c>
      <c r="BY35" s="60">
        <f t="shared" si="16"/>
        <v>68935625000</v>
      </c>
      <c r="BZ35" s="49">
        <f t="shared" si="3"/>
        <v>1378712.5</v>
      </c>
      <c r="CA35" s="49">
        <f>IFERROR(up_RadSpec!$E$30*(CA30/$B35),".")</f>
        <v>344678.125</v>
      </c>
      <c r="CB35" s="49">
        <f>IFERROR(up_RadSpec!$E$30*(CB30/$B35),".")</f>
        <v>344678.125</v>
      </c>
      <c r="CC35" s="49">
        <f>IFERROR(up_RadSpec!$E$30*(CC30/$B35),".")</f>
        <v>344678.125</v>
      </c>
      <c r="CD35" s="49">
        <f>IFERROR(up_RadSpec!$E$30*(CD30/$B35),".")</f>
        <v>344678.125</v>
      </c>
      <c r="CE35" s="49">
        <f>IFERROR(up_RadSpec!$E$30*(CE30/$B35),".")</f>
        <v>344678.125</v>
      </c>
      <c r="CF35" s="49">
        <f>IFERROR(up_RadSpec!$E$30*(CF30/$B35),".")</f>
        <v>344678.125</v>
      </c>
      <c r="CG35" s="49">
        <f>IFERROR(up_RadSpec!$E$30*(CG30/$B35),".")</f>
        <v>344678.125</v>
      </c>
      <c r="CH35" s="49">
        <f>IFERROR(up_RadSpec!$E$30*(CH30/$B35),".")</f>
        <v>344678.125</v>
      </c>
      <c r="CI35" s="49">
        <f>IFERROR(up_RadSpec!$E$30*(CI30/$B35),".")</f>
        <v>344678.125</v>
      </c>
      <c r="CJ35" s="49">
        <f>IFERROR(up_RadSpec!$E$30*(CJ30/$B35),".")</f>
        <v>344678.125</v>
      </c>
      <c r="CK35" s="49">
        <f>IFERROR(up_RadSpec!$E$30*(CK30/$B35),".")</f>
        <v>344678.125</v>
      </c>
      <c r="CL35" s="49">
        <f>IFERROR(up_RadSpec!$E$30*(CL30/$B35),".")</f>
        <v>344678.125</v>
      </c>
      <c r="CM35" s="49">
        <f>IFERROR(up_RadSpec!$E$30*(CM30/$B35),".")</f>
        <v>344678.125</v>
      </c>
      <c r="CN35" s="49">
        <f>IFERROR(up_RadSpec!$E$30*(CN30/$B35),".")</f>
        <v>344678.125</v>
      </c>
      <c r="CO35" s="49">
        <f>IFERROR(up_RadSpec!$E$30*(CO30/$B35),".")</f>
        <v>344678.125</v>
      </c>
      <c r="CP35" s="49">
        <f>IFERROR(up_RadSpec!$E$30*(CP30/$B35),".")</f>
        <v>344678.125</v>
      </c>
      <c r="CQ35" s="49">
        <f>IFERROR(up_RadSpec!$E$30*(CQ30/$B35),".")</f>
        <v>344678.125</v>
      </c>
      <c r="CR35" s="49">
        <f>IFERROR(up_RadSpec!$E$30*(CR30/$B35),".")</f>
        <v>344678.125</v>
      </c>
      <c r="CS35" s="49">
        <f>IFERROR(up_RadSpec!$E$30*(CS30/$B35),".")</f>
        <v>344678.125</v>
      </c>
      <c r="CT35" s="49">
        <f>IFERROR(up_RadSpec!$E$30*(CT30/$B35),".")</f>
        <v>344678.125</v>
      </c>
      <c r="CU35" s="49">
        <f>IFERROR(up_RadSpec!$E$30*(CU30/$B35),".")</f>
        <v>344678.125</v>
      </c>
      <c r="CV35" s="49">
        <f>IFERROR(up_RadSpec!$E$30*(CV30/$B35),".")</f>
        <v>344678.125</v>
      </c>
      <c r="CW35" s="49">
        <f>IFERROR(up_RadSpec!$E$30*(CW30/$B35),".")</f>
        <v>344678.125</v>
      </c>
      <c r="CX35" s="49">
        <f>IFERROR(up_RadSpec!$E$30*(CX30/$B35),".")</f>
        <v>344678.125</v>
      </c>
    </row>
    <row r="36" spans="1:102" x14ac:dyDescent="0.25">
      <c r="A36" s="83" t="s">
        <v>1081</v>
      </c>
      <c r="B36" s="42">
        <v>1</v>
      </c>
      <c r="C36" s="60">
        <f t="shared" si="8"/>
        <v>3.6265718922545492E-12</v>
      </c>
      <c r="D36" s="60">
        <f t="shared" ref="D36:AA36" si="17">IFERROR(D26/$B36,0)</f>
        <v>1.4506287569018197E-11</v>
      </c>
      <c r="E36" s="60">
        <f t="shared" si="17"/>
        <v>1.4506287569018197E-11</v>
      </c>
      <c r="F36" s="60">
        <f t="shared" si="17"/>
        <v>1.4506287569018197E-11</v>
      </c>
      <c r="G36" s="60">
        <f t="shared" si="17"/>
        <v>1.4506287569018197E-11</v>
      </c>
      <c r="H36" s="60">
        <f t="shared" si="17"/>
        <v>1.4506287569018197E-11</v>
      </c>
      <c r="I36" s="60">
        <f t="shared" si="17"/>
        <v>1.4506287569018197E-11</v>
      </c>
      <c r="J36" s="60">
        <f t="shared" si="17"/>
        <v>1.4506287569018197E-11</v>
      </c>
      <c r="K36" s="60">
        <f t="shared" si="17"/>
        <v>1.4506287569018197E-11</v>
      </c>
      <c r="L36" s="60">
        <f t="shared" si="17"/>
        <v>1.4506287569018197E-11</v>
      </c>
      <c r="M36" s="60">
        <f t="shared" si="17"/>
        <v>1.4506287569018197E-11</v>
      </c>
      <c r="N36" s="60">
        <f t="shared" si="17"/>
        <v>1.4506287569018197E-11</v>
      </c>
      <c r="O36" s="60">
        <f t="shared" si="17"/>
        <v>1.4506287569018197E-11</v>
      </c>
      <c r="P36" s="60">
        <f t="shared" si="17"/>
        <v>1.4506287569018197E-11</v>
      </c>
      <c r="Q36" s="60">
        <f t="shared" si="17"/>
        <v>1.4506287569018197E-11</v>
      </c>
      <c r="R36" s="60">
        <f t="shared" si="17"/>
        <v>1.4506287569018197E-11</v>
      </c>
      <c r="S36" s="60">
        <f t="shared" si="17"/>
        <v>1.4506287569018197E-11</v>
      </c>
      <c r="T36" s="60">
        <f t="shared" si="17"/>
        <v>1.4506287569018197E-11</v>
      </c>
      <c r="U36" s="60">
        <f t="shared" si="17"/>
        <v>1.4506287569018197E-11</v>
      </c>
      <c r="V36" s="60">
        <f t="shared" si="17"/>
        <v>1.4506287569018197E-11</v>
      </c>
      <c r="W36" s="60">
        <f t="shared" si="17"/>
        <v>1.4506287569018197E-11</v>
      </c>
      <c r="X36" s="60">
        <f t="shared" si="17"/>
        <v>1.4506287569018197E-11</v>
      </c>
      <c r="Y36" s="60">
        <f t="shared" si="17"/>
        <v>1.4506287569018197E-11</v>
      </c>
      <c r="Z36" s="60">
        <f t="shared" si="17"/>
        <v>1.4506287569018197E-11</v>
      </c>
      <c r="AA36" s="60">
        <f t="shared" si="17"/>
        <v>1.4506287569018197E-11</v>
      </c>
      <c r="AB36" s="49">
        <f t="shared" si="10"/>
        <v>7927596.875</v>
      </c>
      <c r="AC36" s="49">
        <f>IFERROR(up_RadSpec!$E$26*(AC26/$B36),".")</f>
        <v>344678.125</v>
      </c>
      <c r="AD36" s="49">
        <f>IFERROR(up_RadSpec!$E$26*(AD26/$B36),".")</f>
        <v>344678.125</v>
      </c>
      <c r="AE36" s="49">
        <f>IFERROR(up_RadSpec!$E$26*(AE26/$B36),".")</f>
        <v>344678.125</v>
      </c>
      <c r="AF36" s="49">
        <f>IFERROR(up_RadSpec!$E$26*(AF26/$B36),".")</f>
        <v>344678.125</v>
      </c>
      <c r="AG36" s="49">
        <f>IFERROR(up_RadSpec!$E$26*(AG26/$B36),".")</f>
        <v>344678.125</v>
      </c>
      <c r="AH36" s="49">
        <f>IFERROR(up_RadSpec!$E$26*(AH26/$B36),".")</f>
        <v>344678.125</v>
      </c>
      <c r="AI36" s="49">
        <f>IFERROR(up_RadSpec!$E$26*(AI26/$B36),".")</f>
        <v>344678.125</v>
      </c>
      <c r="AJ36" s="49">
        <f>IFERROR(up_RadSpec!$E$26*(AJ26/$B36),".")</f>
        <v>344678.125</v>
      </c>
      <c r="AK36" s="49">
        <f>IFERROR(up_RadSpec!$E$26*(AK26/$B36),".")</f>
        <v>344678.125</v>
      </c>
      <c r="AL36" s="49">
        <f>IFERROR(up_RadSpec!$E$26*(AL26/$B36),".")</f>
        <v>344678.125</v>
      </c>
      <c r="AM36" s="49">
        <f>IFERROR(up_RadSpec!$E$26*(AM26/$B36),".")</f>
        <v>344678.125</v>
      </c>
      <c r="AN36" s="49">
        <f>IFERROR(up_RadSpec!$E$26*(AN26/$B36),".")</f>
        <v>344678.125</v>
      </c>
      <c r="AO36" s="49">
        <f>IFERROR(up_RadSpec!$E$26*(AO26/$B36),".")</f>
        <v>344678.125</v>
      </c>
      <c r="AP36" s="49">
        <f>IFERROR(up_RadSpec!$E$26*(AP26/$B36),".")</f>
        <v>344678.125</v>
      </c>
      <c r="AQ36" s="49">
        <f>IFERROR(up_RadSpec!$E$26*(AQ26/$B36),".")</f>
        <v>344678.125</v>
      </c>
      <c r="AR36" s="49">
        <f>IFERROR(up_RadSpec!$E$26*(AR26/$B36),".")</f>
        <v>344678.125</v>
      </c>
      <c r="AS36" s="49">
        <f>IFERROR(up_RadSpec!$E$26*(AS26/$B36),".")</f>
        <v>344678.125</v>
      </c>
      <c r="AT36" s="49">
        <f>IFERROR(up_RadSpec!$E$26*(AT26/$B36),".")</f>
        <v>344678.125</v>
      </c>
      <c r="AU36" s="49">
        <f>IFERROR(up_RadSpec!$E$26*(AU26/$B36),".")</f>
        <v>344678.125</v>
      </c>
      <c r="AV36" s="49">
        <f>IFERROR(up_RadSpec!$E$26*(AV26/$B36),".")</f>
        <v>344678.125</v>
      </c>
      <c r="AW36" s="49">
        <f>IFERROR(up_RadSpec!$E$26*(AW26/$B36),".")</f>
        <v>344678.125</v>
      </c>
      <c r="AX36" s="49">
        <f>IFERROR(up_RadSpec!$E$26*(AX26/$B36),".")</f>
        <v>344678.125</v>
      </c>
      <c r="AY36" s="49">
        <f>IFERROR(up_RadSpec!$E$26*(AY26/$B36),".")</f>
        <v>344678.125</v>
      </c>
      <c r="AZ36" s="49">
        <f>IFERROR(up_RadSpec!$E$26*(AZ26/$B36),".")</f>
        <v>344678.125</v>
      </c>
      <c r="BA36" s="60">
        <f t="shared" si="11"/>
        <v>17233906250</v>
      </c>
      <c r="BB36" s="60">
        <f t="shared" ref="BB36:BY36" si="18">IFERROR($B36/BB26,0)</f>
        <v>68935625000</v>
      </c>
      <c r="BC36" s="60">
        <f t="shared" si="18"/>
        <v>68935625000</v>
      </c>
      <c r="BD36" s="60">
        <f t="shared" si="18"/>
        <v>68935625000</v>
      </c>
      <c r="BE36" s="60">
        <f t="shared" si="18"/>
        <v>68935625000</v>
      </c>
      <c r="BF36" s="60">
        <f t="shared" si="18"/>
        <v>68935625000</v>
      </c>
      <c r="BG36" s="60">
        <f t="shared" si="18"/>
        <v>68935625000</v>
      </c>
      <c r="BH36" s="60">
        <f t="shared" si="18"/>
        <v>68935625000</v>
      </c>
      <c r="BI36" s="60">
        <f t="shared" si="18"/>
        <v>68935625000</v>
      </c>
      <c r="BJ36" s="60">
        <f t="shared" si="18"/>
        <v>68935625000</v>
      </c>
      <c r="BK36" s="60">
        <f t="shared" si="18"/>
        <v>68935625000</v>
      </c>
      <c r="BL36" s="60">
        <f t="shared" si="18"/>
        <v>68935625000</v>
      </c>
      <c r="BM36" s="60">
        <f t="shared" si="18"/>
        <v>68935625000</v>
      </c>
      <c r="BN36" s="60">
        <f t="shared" si="18"/>
        <v>68935625000</v>
      </c>
      <c r="BO36" s="60">
        <f t="shared" si="18"/>
        <v>68935625000</v>
      </c>
      <c r="BP36" s="60">
        <f t="shared" si="18"/>
        <v>68935625000</v>
      </c>
      <c r="BQ36" s="60">
        <f t="shared" si="18"/>
        <v>68935625000</v>
      </c>
      <c r="BR36" s="60">
        <f t="shared" si="18"/>
        <v>68935625000</v>
      </c>
      <c r="BS36" s="60">
        <f t="shared" si="18"/>
        <v>68935625000</v>
      </c>
      <c r="BT36" s="60">
        <f t="shared" si="18"/>
        <v>68935625000</v>
      </c>
      <c r="BU36" s="60">
        <f t="shared" si="18"/>
        <v>68935625000</v>
      </c>
      <c r="BV36" s="60">
        <f t="shared" si="18"/>
        <v>68935625000</v>
      </c>
      <c r="BW36" s="60">
        <f t="shared" si="18"/>
        <v>68935625000</v>
      </c>
      <c r="BX36" s="60">
        <f t="shared" si="18"/>
        <v>68935625000</v>
      </c>
      <c r="BY36" s="60">
        <f t="shared" si="18"/>
        <v>68935625000</v>
      </c>
      <c r="BZ36" s="49">
        <f t="shared" si="3"/>
        <v>1378712.5</v>
      </c>
      <c r="CA36" s="49">
        <f>IFERROR(up_RadSpec!$E$26*(CA26/$B36),".")</f>
        <v>344678.125</v>
      </c>
      <c r="CB36" s="49">
        <f>IFERROR(up_RadSpec!$E$26*(CB26/$B36),".")</f>
        <v>344678.125</v>
      </c>
      <c r="CC36" s="49">
        <f>IFERROR(up_RadSpec!$E$26*(CC26/$B36),".")</f>
        <v>344678.125</v>
      </c>
      <c r="CD36" s="49">
        <f>IFERROR(up_RadSpec!$E$26*(CD26/$B36),".")</f>
        <v>344678.125</v>
      </c>
      <c r="CE36" s="49">
        <f>IFERROR(up_RadSpec!$E$26*(CE26/$B36),".")</f>
        <v>344678.125</v>
      </c>
      <c r="CF36" s="49">
        <f>IFERROR(up_RadSpec!$E$26*(CF26/$B36),".")</f>
        <v>344678.125</v>
      </c>
      <c r="CG36" s="49">
        <f>IFERROR(up_RadSpec!$E$26*(CG26/$B36),".")</f>
        <v>344678.125</v>
      </c>
      <c r="CH36" s="49">
        <f>IFERROR(up_RadSpec!$E$26*(CH26/$B36),".")</f>
        <v>344678.125</v>
      </c>
      <c r="CI36" s="49">
        <f>IFERROR(up_RadSpec!$E$26*(CI26/$B36),".")</f>
        <v>344678.125</v>
      </c>
      <c r="CJ36" s="49">
        <f>IFERROR(up_RadSpec!$E$26*(CJ26/$B36),".")</f>
        <v>344678.125</v>
      </c>
      <c r="CK36" s="49">
        <f>IFERROR(up_RadSpec!$E$26*(CK26/$B36),".")</f>
        <v>344678.125</v>
      </c>
      <c r="CL36" s="49">
        <f>IFERROR(up_RadSpec!$E$26*(CL26/$B36),".")</f>
        <v>344678.125</v>
      </c>
      <c r="CM36" s="49">
        <f>IFERROR(up_RadSpec!$E$26*(CM26/$B36),".")</f>
        <v>344678.125</v>
      </c>
      <c r="CN36" s="49">
        <f>IFERROR(up_RadSpec!$E$26*(CN26/$B36),".")</f>
        <v>344678.125</v>
      </c>
      <c r="CO36" s="49">
        <f>IFERROR(up_RadSpec!$E$26*(CO26/$B36),".")</f>
        <v>344678.125</v>
      </c>
      <c r="CP36" s="49">
        <f>IFERROR(up_RadSpec!$E$26*(CP26/$B36),".")</f>
        <v>344678.125</v>
      </c>
      <c r="CQ36" s="49">
        <f>IFERROR(up_RadSpec!$E$26*(CQ26/$B36),".")</f>
        <v>344678.125</v>
      </c>
      <c r="CR36" s="49">
        <f>IFERROR(up_RadSpec!$E$26*(CR26/$B36),".")</f>
        <v>344678.125</v>
      </c>
      <c r="CS36" s="49">
        <f>IFERROR(up_RadSpec!$E$26*(CS26/$B36),".")</f>
        <v>344678.125</v>
      </c>
      <c r="CT36" s="49">
        <f>IFERROR(up_RadSpec!$E$26*(CT26/$B36),".")</f>
        <v>344678.125</v>
      </c>
      <c r="CU36" s="49">
        <f>IFERROR(up_RadSpec!$E$26*(CU26/$B36),".")</f>
        <v>344678.125</v>
      </c>
      <c r="CV36" s="49">
        <f>IFERROR(up_RadSpec!$E$26*(CV26/$B36),".")</f>
        <v>344678.125</v>
      </c>
      <c r="CW36" s="49">
        <f>IFERROR(up_RadSpec!$E$26*(CW26/$B36),".")</f>
        <v>344678.125</v>
      </c>
      <c r="CX36" s="49">
        <f>IFERROR(up_RadSpec!$E$26*(CX26/$B36),".")</f>
        <v>344678.125</v>
      </c>
    </row>
    <row r="37" spans="1:102" x14ac:dyDescent="0.25">
      <c r="A37" s="83" t="s">
        <v>1082</v>
      </c>
      <c r="B37" s="42">
        <v>1</v>
      </c>
      <c r="C37" s="60">
        <f t="shared" si="8"/>
        <v>3.6265718922545492E-12</v>
      </c>
      <c r="D37" s="60">
        <f t="shared" ref="D37:AA37" si="19">IFERROR(D22/$B37,0)</f>
        <v>1.4506287569018197E-11</v>
      </c>
      <c r="E37" s="60">
        <f t="shared" si="19"/>
        <v>1.4506287569018197E-11</v>
      </c>
      <c r="F37" s="60">
        <f t="shared" si="19"/>
        <v>1.4506287569018197E-11</v>
      </c>
      <c r="G37" s="60">
        <f t="shared" si="19"/>
        <v>1.4506287569018197E-11</v>
      </c>
      <c r="H37" s="60">
        <f t="shared" si="19"/>
        <v>1.4506287569018197E-11</v>
      </c>
      <c r="I37" s="60">
        <f t="shared" si="19"/>
        <v>1.4506287569018197E-11</v>
      </c>
      <c r="J37" s="60">
        <f t="shared" si="19"/>
        <v>1.4506287569018197E-11</v>
      </c>
      <c r="K37" s="60">
        <f t="shared" si="19"/>
        <v>1.4506287569018197E-11</v>
      </c>
      <c r="L37" s="60">
        <f t="shared" si="19"/>
        <v>1.4506287569018197E-11</v>
      </c>
      <c r="M37" s="60">
        <f t="shared" si="19"/>
        <v>1.4506287569018197E-11</v>
      </c>
      <c r="N37" s="60">
        <f t="shared" si="19"/>
        <v>1.4506287569018197E-11</v>
      </c>
      <c r="O37" s="60">
        <f t="shared" si="19"/>
        <v>1.4506287569018197E-11</v>
      </c>
      <c r="P37" s="60">
        <f t="shared" si="19"/>
        <v>1.4506287569018197E-11</v>
      </c>
      <c r="Q37" s="60">
        <f t="shared" si="19"/>
        <v>1.4506287569018197E-11</v>
      </c>
      <c r="R37" s="60">
        <f t="shared" si="19"/>
        <v>1.4506287569018197E-11</v>
      </c>
      <c r="S37" s="60">
        <f t="shared" si="19"/>
        <v>1.4506287569018197E-11</v>
      </c>
      <c r="T37" s="60">
        <f t="shared" si="19"/>
        <v>1.4506287569018197E-11</v>
      </c>
      <c r="U37" s="60">
        <f t="shared" si="19"/>
        <v>1.4506287569018197E-11</v>
      </c>
      <c r="V37" s="60">
        <f t="shared" si="19"/>
        <v>1.4506287569018197E-11</v>
      </c>
      <c r="W37" s="60">
        <f t="shared" si="19"/>
        <v>1.4506287569018197E-11</v>
      </c>
      <c r="X37" s="60">
        <f t="shared" si="19"/>
        <v>1.4506287569018197E-11</v>
      </c>
      <c r="Y37" s="60">
        <f t="shared" si="19"/>
        <v>1.4506287569018197E-11</v>
      </c>
      <c r="Z37" s="60">
        <f t="shared" si="19"/>
        <v>1.4506287569018197E-11</v>
      </c>
      <c r="AA37" s="60">
        <f t="shared" si="19"/>
        <v>1.4506287569018197E-11</v>
      </c>
      <c r="AB37" s="49">
        <f t="shared" si="10"/>
        <v>7927596.875</v>
      </c>
      <c r="AC37" s="49">
        <f>IFERROR(up_RadSpec!$E$22*(AC22/$B37),".")</f>
        <v>344678.125</v>
      </c>
      <c r="AD37" s="49">
        <f>IFERROR(up_RadSpec!$E$22*(AD22/$B37),".")</f>
        <v>344678.125</v>
      </c>
      <c r="AE37" s="49">
        <f>IFERROR(up_RadSpec!$E$22*(AE22/$B37),".")</f>
        <v>344678.125</v>
      </c>
      <c r="AF37" s="49">
        <f>IFERROR(up_RadSpec!$E$22*(AF22/$B37),".")</f>
        <v>344678.125</v>
      </c>
      <c r="AG37" s="49">
        <f>IFERROR(up_RadSpec!$E$22*(AG22/$B37),".")</f>
        <v>344678.125</v>
      </c>
      <c r="AH37" s="49">
        <f>IFERROR(up_RadSpec!$E$22*(AH22/$B37),".")</f>
        <v>344678.125</v>
      </c>
      <c r="AI37" s="49">
        <f>IFERROR(up_RadSpec!$E$22*(AI22/$B37),".")</f>
        <v>344678.125</v>
      </c>
      <c r="AJ37" s="49">
        <f>IFERROR(up_RadSpec!$E$22*(AJ22/$B37),".")</f>
        <v>344678.125</v>
      </c>
      <c r="AK37" s="49">
        <f>IFERROR(up_RadSpec!$E$22*(AK22/$B37),".")</f>
        <v>344678.125</v>
      </c>
      <c r="AL37" s="49">
        <f>IFERROR(up_RadSpec!$E$22*(AL22/$B37),".")</f>
        <v>344678.125</v>
      </c>
      <c r="AM37" s="49">
        <f>IFERROR(up_RadSpec!$E$22*(AM22/$B37),".")</f>
        <v>344678.125</v>
      </c>
      <c r="AN37" s="49">
        <f>IFERROR(up_RadSpec!$E$22*(AN22/$B37),".")</f>
        <v>344678.125</v>
      </c>
      <c r="AO37" s="49">
        <f>IFERROR(up_RadSpec!$E$22*(AO22/$B37),".")</f>
        <v>344678.125</v>
      </c>
      <c r="AP37" s="49">
        <f>IFERROR(up_RadSpec!$E$22*(AP22/$B37),".")</f>
        <v>344678.125</v>
      </c>
      <c r="AQ37" s="49">
        <f>IFERROR(up_RadSpec!$E$22*(AQ22/$B37),".")</f>
        <v>344678.125</v>
      </c>
      <c r="AR37" s="49">
        <f>IFERROR(up_RadSpec!$E$22*(AR22/$B37),".")</f>
        <v>344678.125</v>
      </c>
      <c r="AS37" s="49">
        <f>IFERROR(up_RadSpec!$E$22*(AS22/$B37),".")</f>
        <v>344678.125</v>
      </c>
      <c r="AT37" s="49">
        <f>IFERROR(up_RadSpec!$E$22*(AT22/$B37),".")</f>
        <v>344678.125</v>
      </c>
      <c r="AU37" s="49">
        <f>IFERROR(up_RadSpec!$E$22*(AU22/$B37),".")</f>
        <v>344678.125</v>
      </c>
      <c r="AV37" s="49">
        <f>IFERROR(up_RadSpec!$E$22*(AV22/$B37),".")</f>
        <v>344678.125</v>
      </c>
      <c r="AW37" s="49">
        <f>IFERROR(up_RadSpec!$E$22*(AW22/$B37),".")</f>
        <v>344678.125</v>
      </c>
      <c r="AX37" s="49">
        <f>IFERROR(up_RadSpec!$E$22*(AX22/$B37),".")</f>
        <v>344678.125</v>
      </c>
      <c r="AY37" s="49">
        <f>IFERROR(up_RadSpec!$E$22*(AY22/$B37),".")</f>
        <v>344678.125</v>
      </c>
      <c r="AZ37" s="49">
        <f>IFERROR(up_RadSpec!$E$22*(AZ22/$B37),".")</f>
        <v>344678.125</v>
      </c>
      <c r="BA37" s="60">
        <f t="shared" si="11"/>
        <v>17233906250</v>
      </c>
      <c r="BB37" s="60">
        <f t="shared" ref="BB37:BY37" si="20">IFERROR($B37/BB22,0)</f>
        <v>68935625000</v>
      </c>
      <c r="BC37" s="60">
        <f t="shared" si="20"/>
        <v>68935625000</v>
      </c>
      <c r="BD37" s="60">
        <f t="shared" si="20"/>
        <v>68935625000</v>
      </c>
      <c r="BE37" s="60">
        <f t="shared" si="20"/>
        <v>68935625000</v>
      </c>
      <c r="BF37" s="60">
        <f t="shared" si="20"/>
        <v>68935625000</v>
      </c>
      <c r="BG37" s="60">
        <f t="shared" si="20"/>
        <v>68935625000</v>
      </c>
      <c r="BH37" s="60">
        <f t="shared" si="20"/>
        <v>68935625000</v>
      </c>
      <c r="BI37" s="60">
        <f t="shared" si="20"/>
        <v>68935625000</v>
      </c>
      <c r="BJ37" s="60">
        <f t="shared" si="20"/>
        <v>68935625000</v>
      </c>
      <c r="BK37" s="60">
        <f t="shared" si="20"/>
        <v>68935625000</v>
      </c>
      <c r="BL37" s="60">
        <f t="shared" si="20"/>
        <v>68935625000</v>
      </c>
      <c r="BM37" s="60">
        <f t="shared" si="20"/>
        <v>68935625000</v>
      </c>
      <c r="BN37" s="60">
        <f t="shared" si="20"/>
        <v>68935625000</v>
      </c>
      <c r="BO37" s="60">
        <f t="shared" si="20"/>
        <v>68935625000</v>
      </c>
      <c r="BP37" s="60">
        <f t="shared" si="20"/>
        <v>68935625000</v>
      </c>
      <c r="BQ37" s="60">
        <f t="shared" si="20"/>
        <v>68935625000</v>
      </c>
      <c r="BR37" s="60">
        <f t="shared" si="20"/>
        <v>68935625000</v>
      </c>
      <c r="BS37" s="60">
        <f t="shared" si="20"/>
        <v>68935625000</v>
      </c>
      <c r="BT37" s="60">
        <f t="shared" si="20"/>
        <v>68935625000</v>
      </c>
      <c r="BU37" s="60">
        <f t="shared" si="20"/>
        <v>68935625000</v>
      </c>
      <c r="BV37" s="60">
        <f t="shared" si="20"/>
        <v>68935625000</v>
      </c>
      <c r="BW37" s="60">
        <f t="shared" si="20"/>
        <v>68935625000</v>
      </c>
      <c r="BX37" s="60">
        <f t="shared" si="20"/>
        <v>68935625000</v>
      </c>
      <c r="BY37" s="60">
        <f t="shared" si="20"/>
        <v>68935625000</v>
      </c>
      <c r="BZ37" s="49">
        <f t="shared" si="3"/>
        <v>1378712.5</v>
      </c>
      <c r="CA37" s="49">
        <f>IFERROR(up_RadSpec!$E$22*(CA22/$B37),".")</f>
        <v>344678.125</v>
      </c>
      <c r="CB37" s="49">
        <f>IFERROR(up_RadSpec!$E$22*(CB22/$B37),".")</f>
        <v>344678.125</v>
      </c>
      <c r="CC37" s="49">
        <f>IFERROR(up_RadSpec!$E$22*(CC22/$B37),".")</f>
        <v>344678.125</v>
      </c>
      <c r="CD37" s="49">
        <f>IFERROR(up_RadSpec!$E$22*(CD22/$B37),".")</f>
        <v>344678.125</v>
      </c>
      <c r="CE37" s="49">
        <f>IFERROR(up_RadSpec!$E$22*(CE22/$B37),".")</f>
        <v>344678.125</v>
      </c>
      <c r="CF37" s="49">
        <f>IFERROR(up_RadSpec!$E$22*(CF22/$B37),".")</f>
        <v>344678.125</v>
      </c>
      <c r="CG37" s="49">
        <f>IFERROR(up_RadSpec!$E$22*(CG22/$B37),".")</f>
        <v>344678.125</v>
      </c>
      <c r="CH37" s="49">
        <f>IFERROR(up_RadSpec!$E$22*(CH22/$B37),".")</f>
        <v>344678.125</v>
      </c>
      <c r="CI37" s="49">
        <f>IFERROR(up_RadSpec!$E$22*(CI22/$B37),".")</f>
        <v>344678.125</v>
      </c>
      <c r="CJ37" s="49">
        <f>IFERROR(up_RadSpec!$E$22*(CJ22/$B37),".")</f>
        <v>344678.125</v>
      </c>
      <c r="CK37" s="49">
        <f>IFERROR(up_RadSpec!$E$22*(CK22/$B37),".")</f>
        <v>344678.125</v>
      </c>
      <c r="CL37" s="49">
        <f>IFERROR(up_RadSpec!$E$22*(CL22/$B37),".")</f>
        <v>344678.125</v>
      </c>
      <c r="CM37" s="49">
        <f>IFERROR(up_RadSpec!$E$22*(CM22/$B37),".")</f>
        <v>344678.125</v>
      </c>
      <c r="CN37" s="49">
        <f>IFERROR(up_RadSpec!$E$22*(CN22/$B37),".")</f>
        <v>344678.125</v>
      </c>
      <c r="CO37" s="49">
        <f>IFERROR(up_RadSpec!$E$22*(CO22/$B37),".")</f>
        <v>344678.125</v>
      </c>
      <c r="CP37" s="49">
        <f>IFERROR(up_RadSpec!$E$22*(CP22/$B37),".")</f>
        <v>344678.125</v>
      </c>
      <c r="CQ37" s="49">
        <f>IFERROR(up_RadSpec!$E$22*(CQ22/$B37),".")</f>
        <v>344678.125</v>
      </c>
      <c r="CR37" s="49">
        <f>IFERROR(up_RadSpec!$E$22*(CR22/$B37),".")</f>
        <v>344678.125</v>
      </c>
      <c r="CS37" s="49">
        <f>IFERROR(up_RadSpec!$E$22*(CS22/$B37),".")</f>
        <v>344678.125</v>
      </c>
      <c r="CT37" s="49">
        <f>IFERROR(up_RadSpec!$E$22*(CT22/$B37),".")</f>
        <v>344678.125</v>
      </c>
      <c r="CU37" s="49">
        <f>IFERROR(up_RadSpec!$E$22*(CU22/$B37),".")</f>
        <v>344678.125</v>
      </c>
      <c r="CV37" s="49">
        <f>IFERROR(up_RadSpec!$E$22*(CV22/$B37),".")</f>
        <v>344678.125</v>
      </c>
      <c r="CW37" s="49">
        <f>IFERROR(up_RadSpec!$E$22*(CW22/$B37),".")</f>
        <v>344678.125</v>
      </c>
      <c r="CX37" s="49">
        <f>IFERROR(up_RadSpec!$E$22*(CX22/$B37),".")</f>
        <v>344678.125</v>
      </c>
    </row>
    <row r="38" spans="1:102" x14ac:dyDescent="0.25">
      <c r="A38" s="83" t="s">
        <v>1083</v>
      </c>
      <c r="B38" s="42">
        <v>1</v>
      </c>
      <c r="C38" s="60">
        <f t="shared" si="8"/>
        <v>3.6265718922545492E-12</v>
      </c>
      <c r="D38" s="60">
        <f t="shared" ref="D38:AA38" si="21">IFERROR(D2/$B38,0)</f>
        <v>1.4506287569018197E-11</v>
      </c>
      <c r="E38" s="60">
        <f t="shared" si="21"/>
        <v>1.4506287569018197E-11</v>
      </c>
      <c r="F38" s="60">
        <f t="shared" si="21"/>
        <v>1.4506287569018197E-11</v>
      </c>
      <c r="G38" s="60">
        <f t="shared" si="21"/>
        <v>1.4506287569018197E-11</v>
      </c>
      <c r="H38" s="60">
        <f t="shared" si="21"/>
        <v>1.4506287569018197E-11</v>
      </c>
      <c r="I38" s="60">
        <f t="shared" si="21"/>
        <v>1.4506287569018197E-11</v>
      </c>
      <c r="J38" s="60">
        <f t="shared" si="21"/>
        <v>1.4506287569018197E-11</v>
      </c>
      <c r="K38" s="60">
        <f t="shared" si="21"/>
        <v>1.4506287569018197E-11</v>
      </c>
      <c r="L38" s="60">
        <f t="shared" si="21"/>
        <v>1.4506287569018197E-11</v>
      </c>
      <c r="M38" s="60">
        <f t="shared" si="21"/>
        <v>1.4506287569018197E-11</v>
      </c>
      <c r="N38" s="60">
        <f t="shared" si="21"/>
        <v>1.4506287569018197E-11</v>
      </c>
      <c r="O38" s="60">
        <f t="shared" si="21"/>
        <v>1.4506287569018197E-11</v>
      </c>
      <c r="P38" s="60">
        <f t="shared" si="21"/>
        <v>1.4506287569018197E-11</v>
      </c>
      <c r="Q38" s="60">
        <f t="shared" si="21"/>
        <v>1.4506287569018197E-11</v>
      </c>
      <c r="R38" s="60">
        <f t="shared" si="21"/>
        <v>1.4506287569018197E-11</v>
      </c>
      <c r="S38" s="60">
        <f t="shared" si="21"/>
        <v>1.4506287569018197E-11</v>
      </c>
      <c r="T38" s="60">
        <f t="shared" si="21"/>
        <v>1.4506287569018197E-11</v>
      </c>
      <c r="U38" s="60">
        <f t="shared" si="21"/>
        <v>1.4506287569018197E-11</v>
      </c>
      <c r="V38" s="60">
        <f t="shared" si="21"/>
        <v>1.4506287569018197E-11</v>
      </c>
      <c r="W38" s="60">
        <f t="shared" si="21"/>
        <v>1.4506287569018197E-11</v>
      </c>
      <c r="X38" s="60">
        <f t="shared" si="21"/>
        <v>1.4506287569018197E-11</v>
      </c>
      <c r="Y38" s="60">
        <f t="shared" si="21"/>
        <v>1.4506287569018197E-11</v>
      </c>
      <c r="Z38" s="60">
        <f t="shared" si="21"/>
        <v>1.4506287569018197E-11</v>
      </c>
      <c r="AA38" s="60">
        <f t="shared" si="21"/>
        <v>1.4506287569018197E-11</v>
      </c>
      <c r="AB38" s="49">
        <f t="shared" si="10"/>
        <v>7927596.875</v>
      </c>
      <c r="AC38" s="49">
        <f>IFERROR(up_RadSpec!$E$2*(AC2/$B38),".")</f>
        <v>344678.125</v>
      </c>
      <c r="AD38" s="49">
        <f>IFERROR(up_RadSpec!$E$2*(AD2/$B38),".")</f>
        <v>344678.125</v>
      </c>
      <c r="AE38" s="49">
        <f>IFERROR(up_RadSpec!$E$2*(AE2/$B38),".")</f>
        <v>344678.125</v>
      </c>
      <c r="AF38" s="49">
        <f>IFERROR(up_RadSpec!$E$2*(AF2/$B38),".")</f>
        <v>344678.125</v>
      </c>
      <c r="AG38" s="49">
        <f>IFERROR(up_RadSpec!$E$2*(AG2/$B38),".")</f>
        <v>344678.125</v>
      </c>
      <c r="AH38" s="49">
        <f>IFERROR(up_RadSpec!$E$2*(AH2/$B38),".")</f>
        <v>344678.125</v>
      </c>
      <c r="AI38" s="49">
        <f>IFERROR(up_RadSpec!$E$2*(AI2/$B38),".")</f>
        <v>344678.125</v>
      </c>
      <c r="AJ38" s="49">
        <f>IFERROR(up_RadSpec!$E$2*(AJ2/$B38),".")</f>
        <v>344678.125</v>
      </c>
      <c r="AK38" s="49">
        <f>IFERROR(up_RadSpec!$E$2*(AK2/$B38),".")</f>
        <v>344678.125</v>
      </c>
      <c r="AL38" s="49">
        <f>IFERROR(up_RadSpec!$E$2*(AL2/$B38),".")</f>
        <v>344678.125</v>
      </c>
      <c r="AM38" s="49">
        <f>IFERROR(up_RadSpec!$E$2*(AM2/$B38),".")</f>
        <v>344678.125</v>
      </c>
      <c r="AN38" s="49">
        <f>IFERROR(up_RadSpec!$E$2*(AN2/$B38),".")</f>
        <v>344678.125</v>
      </c>
      <c r="AO38" s="49">
        <f>IFERROR(up_RadSpec!$E$2*(AO2/$B38),".")</f>
        <v>344678.125</v>
      </c>
      <c r="AP38" s="49">
        <f>IFERROR(up_RadSpec!$E$2*(AP2/$B38),".")</f>
        <v>344678.125</v>
      </c>
      <c r="AQ38" s="49">
        <f>IFERROR(up_RadSpec!$E$2*(AQ2/$B38),".")</f>
        <v>344678.125</v>
      </c>
      <c r="AR38" s="49">
        <f>IFERROR(up_RadSpec!$E$2*(AR2/$B38),".")</f>
        <v>344678.125</v>
      </c>
      <c r="AS38" s="49">
        <f>IFERROR(up_RadSpec!$E$2*(AS2/$B38),".")</f>
        <v>344678.125</v>
      </c>
      <c r="AT38" s="49">
        <f>IFERROR(up_RadSpec!$E$2*(AT2/$B38),".")</f>
        <v>344678.125</v>
      </c>
      <c r="AU38" s="49">
        <f>IFERROR(up_RadSpec!$E$2*(AU2/$B38),".")</f>
        <v>344678.125</v>
      </c>
      <c r="AV38" s="49">
        <f>IFERROR(up_RadSpec!$E$2*(AV2/$B38),".")</f>
        <v>344678.125</v>
      </c>
      <c r="AW38" s="49">
        <f>IFERROR(up_RadSpec!$E$2*(AW2/$B38),".")</f>
        <v>344678.125</v>
      </c>
      <c r="AX38" s="49">
        <f>IFERROR(up_RadSpec!$E$2*(AX2/$B38),".")</f>
        <v>344678.125</v>
      </c>
      <c r="AY38" s="49">
        <f>IFERROR(up_RadSpec!$E$2*(AY2/$B38),".")</f>
        <v>344678.125</v>
      </c>
      <c r="AZ38" s="49">
        <f>IFERROR(up_RadSpec!$E$2*(AZ2/$B38),".")</f>
        <v>344678.125</v>
      </c>
      <c r="BA38" s="60">
        <f t="shared" si="11"/>
        <v>17233906250</v>
      </c>
      <c r="BB38" s="60">
        <f t="shared" ref="BB38:BY38" si="22">IFERROR($B38/BB2,0)</f>
        <v>68935625000</v>
      </c>
      <c r="BC38" s="60">
        <f t="shared" si="22"/>
        <v>68935625000</v>
      </c>
      <c r="BD38" s="60">
        <f t="shared" si="22"/>
        <v>68935625000</v>
      </c>
      <c r="BE38" s="60">
        <f t="shared" si="22"/>
        <v>68935625000</v>
      </c>
      <c r="BF38" s="60">
        <f t="shared" si="22"/>
        <v>68935625000</v>
      </c>
      <c r="BG38" s="60">
        <f t="shared" si="22"/>
        <v>68935625000</v>
      </c>
      <c r="BH38" s="60">
        <f t="shared" si="22"/>
        <v>68935625000</v>
      </c>
      <c r="BI38" s="60">
        <f t="shared" si="22"/>
        <v>68935625000</v>
      </c>
      <c r="BJ38" s="60">
        <f t="shared" si="22"/>
        <v>68935625000</v>
      </c>
      <c r="BK38" s="60">
        <f t="shared" si="22"/>
        <v>68935625000</v>
      </c>
      <c r="BL38" s="60">
        <f t="shared" si="22"/>
        <v>68935625000</v>
      </c>
      <c r="BM38" s="60">
        <f t="shared" si="22"/>
        <v>68935625000</v>
      </c>
      <c r="BN38" s="60">
        <f t="shared" si="22"/>
        <v>68935625000</v>
      </c>
      <c r="BO38" s="60">
        <f t="shared" si="22"/>
        <v>68935625000</v>
      </c>
      <c r="BP38" s="60">
        <f t="shared" si="22"/>
        <v>68935625000</v>
      </c>
      <c r="BQ38" s="60">
        <f t="shared" si="22"/>
        <v>68935625000</v>
      </c>
      <c r="BR38" s="60">
        <f t="shared" si="22"/>
        <v>68935625000</v>
      </c>
      <c r="BS38" s="60">
        <f t="shared" si="22"/>
        <v>68935625000</v>
      </c>
      <c r="BT38" s="60">
        <f t="shared" si="22"/>
        <v>68935625000</v>
      </c>
      <c r="BU38" s="60">
        <f t="shared" si="22"/>
        <v>68935625000</v>
      </c>
      <c r="BV38" s="60">
        <f t="shared" si="22"/>
        <v>68935625000</v>
      </c>
      <c r="BW38" s="60">
        <f t="shared" si="22"/>
        <v>68935625000</v>
      </c>
      <c r="BX38" s="60">
        <f t="shared" si="22"/>
        <v>68935625000</v>
      </c>
      <c r="BY38" s="60">
        <f t="shared" si="22"/>
        <v>68935625000</v>
      </c>
      <c r="BZ38" s="49">
        <f t="shared" si="3"/>
        <v>1378712.5</v>
      </c>
      <c r="CA38" s="49">
        <f>IFERROR(up_RadSpec!$E$2*(CA2/$B38),".")</f>
        <v>344678.125</v>
      </c>
      <c r="CB38" s="49">
        <f>IFERROR(up_RadSpec!$E$2*(CB2/$B38),".")</f>
        <v>344678.125</v>
      </c>
      <c r="CC38" s="49">
        <f>IFERROR(up_RadSpec!$E$2*(CC2/$B38),".")</f>
        <v>344678.125</v>
      </c>
      <c r="CD38" s="49">
        <f>IFERROR(up_RadSpec!$E$2*(CD2/$B38),".")</f>
        <v>344678.125</v>
      </c>
      <c r="CE38" s="49">
        <f>IFERROR(up_RadSpec!$E$2*(CE2/$B38),".")</f>
        <v>344678.125</v>
      </c>
      <c r="CF38" s="49">
        <f>IFERROR(up_RadSpec!$E$2*(CF2/$B38),".")</f>
        <v>344678.125</v>
      </c>
      <c r="CG38" s="49">
        <f>IFERROR(up_RadSpec!$E$2*(CG2/$B38),".")</f>
        <v>344678.125</v>
      </c>
      <c r="CH38" s="49">
        <f>IFERROR(up_RadSpec!$E$2*(CH2/$B38),".")</f>
        <v>344678.125</v>
      </c>
      <c r="CI38" s="49">
        <f>IFERROR(up_RadSpec!$E$2*(CI2/$B38),".")</f>
        <v>344678.125</v>
      </c>
      <c r="CJ38" s="49">
        <f>IFERROR(up_RadSpec!$E$2*(CJ2/$B38),".")</f>
        <v>344678.125</v>
      </c>
      <c r="CK38" s="49">
        <f>IFERROR(up_RadSpec!$E$2*(CK2/$B38),".")</f>
        <v>344678.125</v>
      </c>
      <c r="CL38" s="49">
        <f>IFERROR(up_RadSpec!$E$2*(CL2/$B38),".")</f>
        <v>344678.125</v>
      </c>
      <c r="CM38" s="49">
        <f>IFERROR(up_RadSpec!$E$2*(CM2/$B38),".")</f>
        <v>344678.125</v>
      </c>
      <c r="CN38" s="49">
        <f>IFERROR(up_RadSpec!$E$2*(CN2/$B38),".")</f>
        <v>344678.125</v>
      </c>
      <c r="CO38" s="49">
        <f>IFERROR(up_RadSpec!$E$2*(CO2/$B38),".")</f>
        <v>344678.125</v>
      </c>
      <c r="CP38" s="49">
        <f>IFERROR(up_RadSpec!$E$2*(CP2/$B38),".")</f>
        <v>344678.125</v>
      </c>
      <c r="CQ38" s="49">
        <f>IFERROR(up_RadSpec!$E$2*(CQ2/$B38),".")</f>
        <v>344678.125</v>
      </c>
      <c r="CR38" s="49">
        <f>IFERROR(up_RadSpec!$E$2*(CR2/$B38),".")</f>
        <v>344678.125</v>
      </c>
      <c r="CS38" s="49">
        <f>IFERROR(up_RadSpec!$E$2*(CS2/$B38),".")</f>
        <v>344678.125</v>
      </c>
      <c r="CT38" s="49">
        <f>IFERROR(up_RadSpec!$E$2*(CT2/$B38),".")</f>
        <v>344678.125</v>
      </c>
      <c r="CU38" s="49">
        <f>IFERROR(up_RadSpec!$E$2*(CU2/$B38),".")</f>
        <v>344678.125</v>
      </c>
      <c r="CV38" s="49">
        <f>IFERROR(up_RadSpec!$E$2*(CV2/$B38),".")</f>
        <v>344678.125</v>
      </c>
      <c r="CW38" s="49">
        <f>IFERROR(up_RadSpec!$E$2*(CW2/$B38),".")</f>
        <v>344678.125</v>
      </c>
      <c r="CX38" s="49">
        <f>IFERROR(up_RadSpec!$E$2*(CX2/$B38),".")</f>
        <v>344678.125</v>
      </c>
    </row>
    <row r="39" spans="1:102" x14ac:dyDescent="0.25">
      <c r="A39" s="83" t="s">
        <v>1084</v>
      </c>
      <c r="B39" s="42">
        <v>1</v>
      </c>
      <c r="C39" s="60">
        <f t="shared" si="8"/>
        <v>3.6265718922545492E-12</v>
      </c>
      <c r="D39" s="60">
        <f t="shared" ref="D39:AA39" si="23">IFERROR(D11/$B39,0)</f>
        <v>1.4506287569018197E-11</v>
      </c>
      <c r="E39" s="60">
        <f t="shared" si="23"/>
        <v>1.4506287569018197E-11</v>
      </c>
      <c r="F39" s="60">
        <f t="shared" si="23"/>
        <v>1.4506287569018197E-11</v>
      </c>
      <c r="G39" s="60">
        <f t="shared" si="23"/>
        <v>1.4506287569018197E-11</v>
      </c>
      <c r="H39" s="60">
        <f t="shared" si="23"/>
        <v>1.4506287569018197E-11</v>
      </c>
      <c r="I39" s="60">
        <f t="shared" si="23"/>
        <v>1.4506287569018197E-11</v>
      </c>
      <c r="J39" s="60">
        <f t="shared" si="23"/>
        <v>1.4506287569018197E-11</v>
      </c>
      <c r="K39" s="60">
        <f t="shared" si="23"/>
        <v>1.4506287569018197E-11</v>
      </c>
      <c r="L39" s="60">
        <f t="shared" si="23"/>
        <v>1.4506287569018197E-11</v>
      </c>
      <c r="M39" s="60">
        <f t="shared" si="23"/>
        <v>1.4506287569018197E-11</v>
      </c>
      <c r="N39" s="60">
        <f t="shared" si="23"/>
        <v>1.4506287569018197E-11</v>
      </c>
      <c r="O39" s="60">
        <f t="shared" si="23"/>
        <v>1.4506287569018197E-11</v>
      </c>
      <c r="P39" s="60">
        <f t="shared" si="23"/>
        <v>1.4506287569018197E-11</v>
      </c>
      <c r="Q39" s="60">
        <f t="shared" si="23"/>
        <v>1.4506287569018197E-11</v>
      </c>
      <c r="R39" s="60">
        <f t="shared" si="23"/>
        <v>1.4506287569018197E-11</v>
      </c>
      <c r="S39" s="60">
        <f t="shared" si="23"/>
        <v>1.4506287569018197E-11</v>
      </c>
      <c r="T39" s="60">
        <f t="shared" si="23"/>
        <v>1.4506287569018197E-11</v>
      </c>
      <c r="U39" s="60">
        <f t="shared" si="23"/>
        <v>1.4506287569018197E-11</v>
      </c>
      <c r="V39" s="60">
        <f t="shared" si="23"/>
        <v>1.4506287569018197E-11</v>
      </c>
      <c r="W39" s="60">
        <f t="shared" si="23"/>
        <v>1.4506287569018197E-11</v>
      </c>
      <c r="X39" s="60">
        <f t="shared" si="23"/>
        <v>1.4506287569018197E-11</v>
      </c>
      <c r="Y39" s="60">
        <f t="shared" si="23"/>
        <v>1.4506287569018197E-11</v>
      </c>
      <c r="Z39" s="60">
        <f t="shared" si="23"/>
        <v>1.4506287569018197E-11</v>
      </c>
      <c r="AA39" s="60">
        <f t="shared" si="23"/>
        <v>1.4506287569018197E-11</v>
      </c>
      <c r="AB39" s="49">
        <f t="shared" si="10"/>
        <v>7927596.875</v>
      </c>
      <c r="AC39" s="49">
        <f>IFERROR(up_RadSpec!$E$11*(AC11/$B39),".")</f>
        <v>344678.125</v>
      </c>
      <c r="AD39" s="49">
        <f>IFERROR(up_RadSpec!$E$11*(AD11/$B39),".")</f>
        <v>344678.125</v>
      </c>
      <c r="AE39" s="49">
        <f>IFERROR(up_RadSpec!$E$11*(AE11/$B39),".")</f>
        <v>344678.125</v>
      </c>
      <c r="AF39" s="49">
        <f>IFERROR(up_RadSpec!$E$11*(AF11/$B39),".")</f>
        <v>344678.125</v>
      </c>
      <c r="AG39" s="49">
        <f>IFERROR(up_RadSpec!$E$11*(AG11/$B39),".")</f>
        <v>344678.125</v>
      </c>
      <c r="AH39" s="49">
        <f>IFERROR(up_RadSpec!$E$11*(AH11/$B39),".")</f>
        <v>344678.125</v>
      </c>
      <c r="AI39" s="49">
        <f>IFERROR(up_RadSpec!$E$11*(AI11/$B39),".")</f>
        <v>344678.125</v>
      </c>
      <c r="AJ39" s="49">
        <f>IFERROR(up_RadSpec!$E$11*(AJ11/$B39),".")</f>
        <v>344678.125</v>
      </c>
      <c r="AK39" s="49">
        <f>IFERROR(up_RadSpec!$E$11*(AK11/$B39),".")</f>
        <v>344678.125</v>
      </c>
      <c r="AL39" s="49">
        <f>IFERROR(up_RadSpec!$E$11*(AL11/$B39),".")</f>
        <v>344678.125</v>
      </c>
      <c r="AM39" s="49">
        <f>IFERROR(up_RadSpec!$E$11*(AM11/$B39),".")</f>
        <v>344678.125</v>
      </c>
      <c r="AN39" s="49">
        <f>IFERROR(up_RadSpec!$E$11*(AN11/$B39),".")</f>
        <v>344678.125</v>
      </c>
      <c r="AO39" s="49">
        <f>IFERROR(up_RadSpec!$E$11*(AO11/$B39),".")</f>
        <v>344678.125</v>
      </c>
      <c r="AP39" s="49">
        <f>IFERROR(up_RadSpec!$E$11*(AP11/$B39),".")</f>
        <v>344678.125</v>
      </c>
      <c r="AQ39" s="49">
        <f>IFERROR(up_RadSpec!$E$11*(AQ11/$B39),".")</f>
        <v>344678.125</v>
      </c>
      <c r="AR39" s="49">
        <f>IFERROR(up_RadSpec!$E$11*(AR11/$B39),".")</f>
        <v>344678.125</v>
      </c>
      <c r="AS39" s="49">
        <f>IFERROR(up_RadSpec!$E$11*(AS11/$B39),".")</f>
        <v>344678.125</v>
      </c>
      <c r="AT39" s="49">
        <f>IFERROR(up_RadSpec!$E$11*(AT11/$B39),".")</f>
        <v>344678.125</v>
      </c>
      <c r="AU39" s="49">
        <f>IFERROR(up_RadSpec!$E$11*(AU11/$B39),".")</f>
        <v>344678.125</v>
      </c>
      <c r="AV39" s="49">
        <f>IFERROR(up_RadSpec!$E$11*(AV11/$B39),".")</f>
        <v>344678.125</v>
      </c>
      <c r="AW39" s="49">
        <f>IFERROR(up_RadSpec!$E$11*(AW11/$B39),".")</f>
        <v>344678.125</v>
      </c>
      <c r="AX39" s="49">
        <f>IFERROR(up_RadSpec!$E$11*(AX11/$B39),".")</f>
        <v>344678.125</v>
      </c>
      <c r="AY39" s="49">
        <f>IFERROR(up_RadSpec!$E$11*(AY11/$B39),".")</f>
        <v>344678.125</v>
      </c>
      <c r="AZ39" s="49">
        <f>IFERROR(up_RadSpec!$E$11*(AZ11/$B39),".")</f>
        <v>344678.125</v>
      </c>
      <c r="BA39" s="60">
        <f t="shared" si="11"/>
        <v>17233906250</v>
      </c>
      <c r="BB39" s="60">
        <f t="shared" ref="BB39:BY39" si="24">IFERROR($B39/BB11,0)</f>
        <v>68935625000</v>
      </c>
      <c r="BC39" s="60">
        <f t="shared" si="24"/>
        <v>68935625000</v>
      </c>
      <c r="BD39" s="60">
        <f t="shared" si="24"/>
        <v>68935625000</v>
      </c>
      <c r="BE39" s="60">
        <f t="shared" si="24"/>
        <v>68935625000</v>
      </c>
      <c r="BF39" s="60">
        <f t="shared" si="24"/>
        <v>68935625000</v>
      </c>
      <c r="BG39" s="60">
        <f t="shared" si="24"/>
        <v>68935625000</v>
      </c>
      <c r="BH39" s="60">
        <f t="shared" si="24"/>
        <v>68935625000</v>
      </c>
      <c r="BI39" s="60">
        <f t="shared" si="24"/>
        <v>68935625000</v>
      </c>
      <c r="BJ39" s="60">
        <f t="shared" si="24"/>
        <v>68935625000</v>
      </c>
      <c r="BK39" s="60">
        <f t="shared" si="24"/>
        <v>68935625000</v>
      </c>
      <c r="BL39" s="60">
        <f t="shared" si="24"/>
        <v>68935625000</v>
      </c>
      <c r="BM39" s="60">
        <f t="shared" si="24"/>
        <v>68935625000</v>
      </c>
      <c r="BN39" s="60">
        <f t="shared" si="24"/>
        <v>68935625000</v>
      </c>
      <c r="BO39" s="60">
        <f t="shared" si="24"/>
        <v>68935625000</v>
      </c>
      <c r="BP39" s="60">
        <f t="shared" si="24"/>
        <v>68935625000</v>
      </c>
      <c r="BQ39" s="60">
        <f t="shared" si="24"/>
        <v>68935625000</v>
      </c>
      <c r="BR39" s="60">
        <f t="shared" si="24"/>
        <v>68935625000</v>
      </c>
      <c r="BS39" s="60">
        <f t="shared" si="24"/>
        <v>68935625000</v>
      </c>
      <c r="BT39" s="60">
        <f t="shared" si="24"/>
        <v>68935625000</v>
      </c>
      <c r="BU39" s="60">
        <f t="shared" si="24"/>
        <v>68935625000</v>
      </c>
      <c r="BV39" s="60">
        <f t="shared" si="24"/>
        <v>68935625000</v>
      </c>
      <c r="BW39" s="60">
        <f t="shared" si="24"/>
        <v>68935625000</v>
      </c>
      <c r="BX39" s="60">
        <f t="shared" si="24"/>
        <v>68935625000</v>
      </c>
      <c r="BY39" s="60">
        <f t="shared" si="24"/>
        <v>68935625000</v>
      </c>
      <c r="BZ39" s="49">
        <f t="shared" si="3"/>
        <v>1378712.5</v>
      </c>
      <c r="CA39" s="49">
        <f>IFERROR(up_RadSpec!$E$11*(CA11/$B39),".")</f>
        <v>344678.125</v>
      </c>
      <c r="CB39" s="49">
        <f>IFERROR(up_RadSpec!$E$11*(CB11/$B39),".")</f>
        <v>344678.125</v>
      </c>
      <c r="CC39" s="49">
        <f>IFERROR(up_RadSpec!$E$11*(CC11/$B39),".")</f>
        <v>344678.125</v>
      </c>
      <c r="CD39" s="49">
        <f>IFERROR(up_RadSpec!$E$11*(CD11/$B39),".")</f>
        <v>344678.125</v>
      </c>
      <c r="CE39" s="49">
        <f>IFERROR(up_RadSpec!$E$11*(CE11/$B39),".")</f>
        <v>344678.125</v>
      </c>
      <c r="CF39" s="49">
        <f>IFERROR(up_RadSpec!$E$11*(CF11/$B39),".")</f>
        <v>344678.125</v>
      </c>
      <c r="CG39" s="49">
        <f>IFERROR(up_RadSpec!$E$11*(CG11/$B39),".")</f>
        <v>344678.125</v>
      </c>
      <c r="CH39" s="49">
        <f>IFERROR(up_RadSpec!$E$11*(CH11/$B39),".")</f>
        <v>344678.125</v>
      </c>
      <c r="CI39" s="49">
        <f>IFERROR(up_RadSpec!$E$11*(CI11/$B39),".")</f>
        <v>344678.125</v>
      </c>
      <c r="CJ39" s="49">
        <f>IFERROR(up_RadSpec!$E$11*(CJ11/$B39),".")</f>
        <v>344678.125</v>
      </c>
      <c r="CK39" s="49">
        <f>IFERROR(up_RadSpec!$E$11*(CK11/$B39),".")</f>
        <v>344678.125</v>
      </c>
      <c r="CL39" s="49">
        <f>IFERROR(up_RadSpec!$E$11*(CL11/$B39),".")</f>
        <v>344678.125</v>
      </c>
      <c r="CM39" s="49">
        <f>IFERROR(up_RadSpec!$E$11*(CM11/$B39),".")</f>
        <v>344678.125</v>
      </c>
      <c r="CN39" s="49">
        <f>IFERROR(up_RadSpec!$E$11*(CN11/$B39),".")</f>
        <v>344678.125</v>
      </c>
      <c r="CO39" s="49">
        <f>IFERROR(up_RadSpec!$E$11*(CO11/$B39),".")</f>
        <v>344678.125</v>
      </c>
      <c r="CP39" s="49">
        <f>IFERROR(up_RadSpec!$E$11*(CP11/$B39),".")</f>
        <v>344678.125</v>
      </c>
      <c r="CQ39" s="49">
        <f>IFERROR(up_RadSpec!$E$11*(CQ11/$B39),".")</f>
        <v>344678.125</v>
      </c>
      <c r="CR39" s="49">
        <f>IFERROR(up_RadSpec!$E$11*(CR11/$B39),".")</f>
        <v>344678.125</v>
      </c>
      <c r="CS39" s="49">
        <f>IFERROR(up_RadSpec!$E$11*(CS11/$B39),".")</f>
        <v>344678.125</v>
      </c>
      <c r="CT39" s="49">
        <f>IFERROR(up_RadSpec!$E$11*(CT11/$B39),".")</f>
        <v>344678.125</v>
      </c>
      <c r="CU39" s="49">
        <f>IFERROR(up_RadSpec!$E$11*(CU11/$B39),".")</f>
        <v>344678.125</v>
      </c>
      <c r="CV39" s="49">
        <f>IFERROR(up_RadSpec!$E$11*(CV11/$B39),".")</f>
        <v>344678.125</v>
      </c>
      <c r="CW39" s="49">
        <f>IFERROR(up_RadSpec!$E$11*(CW11/$B39),".")</f>
        <v>344678.125</v>
      </c>
      <c r="CX39" s="49">
        <f>IFERROR(up_RadSpec!$E$11*(CX11/$B39),".")</f>
        <v>344678.125</v>
      </c>
    </row>
    <row r="40" spans="1:102" x14ac:dyDescent="0.25">
      <c r="A40" s="83" t="s">
        <v>1085</v>
      </c>
      <c r="B40" s="42">
        <v>1</v>
      </c>
      <c r="C40" s="60">
        <f t="shared" si="8"/>
        <v>3.6265718922545492E-12</v>
      </c>
      <c r="D40" s="60">
        <f t="shared" ref="D40:AA40" si="25">IFERROR(D4/$B40,0)</f>
        <v>1.4506287569018197E-11</v>
      </c>
      <c r="E40" s="60">
        <f t="shared" si="25"/>
        <v>1.4506287569018197E-11</v>
      </c>
      <c r="F40" s="60">
        <f t="shared" si="25"/>
        <v>1.4506287569018197E-11</v>
      </c>
      <c r="G40" s="60">
        <f t="shared" si="25"/>
        <v>1.4506287569018197E-11</v>
      </c>
      <c r="H40" s="60">
        <f t="shared" si="25"/>
        <v>1.4506287569018197E-11</v>
      </c>
      <c r="I40" s="60">
        <f t="shared" si="25"/>
        <v>1.4506287569018197E-11</v>
      </c>
      <c r="J40" s="60">
        <f t="shared" si="25"/>
        <v>1.4506287569018197E-11</v>
      </c>
      <c r="K40" s="60">
        <f t="shared" si="25"/>
        <v>1.4506287569018197E-11</v>
      </c>
      <c r="L40" s="60">
        <f t="shared" si="25"/>
        <v>1.4506287569018197E-11</v>
      </c>
      <c r="M40" s="60">
        <f t="shared" si="25"/>
        <v>1.4506287569018197E-11</v>
      </c>
      <c r="N40" s="60">
        <f t="shared" si="25"/>
        <v>1.4506287569018197E-11</v>
      </c>
      <c r="O40" s="60">
        <f t="shared" si="25"/>
        <v>1.4506287569018197E-11</v>
      </c>
      <c r="P40" s="60">
        <f t="shared" si="25"/>
        <v>1.4506287569018197E-11</v>
      </c>
      <c r="Q40" s="60">
        <f t="shared" si="25"/>
        <v>1.4506287569018197E-11</v>
      </c>
      <c r="R40" s="60">
        <f t="shared" si="25"/>
        <v>1.4506287569018197E-11</v>
      </c>
      <c r="S40" s="60">
        <f t="shared" si="25"/>
        <v>1.4506287569018197E-11</v>
      </c>
      <c r="T40" s="60">
        <f t="shared" si="25"/>
        <v>1.4506287569018197E-11</v>
      </c>
      <c r="U40" s="60">
        <f t="shared" si="25"/>
        <v>1.4506287569018197E-11</v>
      </c>
      <c r="V40" s="60">
        <f t="shared" si="25"/>
        <v>1.4506287569018197E-11</v>
      </c>
      <c r="W40" s="60">
        <f t="shared" si="25"/>
        <v>1.4506287569018197E-11</v>
      </c>
      <c r="X40" s="60">
        <f t="shared" si="25"/>
        <v>1.4506287569018197E-11</v>
      </c>
      <c r="Y40" s="60">
        <f t="shared" si="25"/>
        <v>1.4506287569018197E-11</v>
      </c>
      <c r="Z40" s="60">
        <f t="shared" si="25"/>
        <v>1.4506287569018197E-11</v>
      </c>
      <c r="AA40" s="60">
        <f t="shared" si="25"/>
        <v>1.4506287569018197E-11</v>
      </c>
      <c r="AB40" s="49">
        <f t="shared" si="10"/>
        <v>7927596.875</v>
      </c>
      <c r="AC40" s="49">
        <f>IFERROR(up_RadSpec!$E$4*(AC4/$B40),".")</f>
        <v>344678.125</v>
      </c>
      <c r="AD40" s="49">
        <f>IFERROR(up_RadSpec!$E$4*(AD4/$B40),".")</f>
        <v>344678.125</v>
      </c>
      <c r="AE40" s="49">
        <f>IFERROR(up_RadSpec!$E$4*(AE4/$B40),".")</f>
        <v>344678.125</v>
      </c>
      <c r="AF40" s="49">
        <f>IFERROR(up_RadSpec!$E$4*(AF4/$B40),".")</f>
        <v>344678.125</v>
      </c>
      <c r="AG40" s="49">
        <f>IFERROR(up_RadSpec!$E$4*(AG4/$B40),".")</f>
        <v>344678.125</v>
      </c>
      <c r="AH40" s="49">
        <f>IFERROR(up_RadSpec!$E$4*(AH4/$B40),".")</f>
        <v>344678.125</v>
      </c>
      <c r="AI40" s="49">
        <f>IFERROR(up_RadSpec!$E$4*(AI4/$B40),".")</f>
        <v>344678.125</v>
      </c>
      <c r="AJ40" s="49">
        <f>IFERROR(up_RadSpec!$E$4*(AJ4/$B40),".")</f>
        <v>344678.125</v>
      </c>
      <c r="AK40" s="49">
        <f>IFERROR(up_RadSpec!$E$4*(AK4/$B40),".")</f>
        <v>344678.125</v>
      </c>
      <c r="AL40" s="49">
        <f>IFERROR(up_RadSpec!$E$4*(AL4/$B40),".")</f>
        <v>344678.125</v>
      </c>
      <c r="AM40" s="49">
        <f>IFERROR(up_RadSpec!$E$4*(AM4/$B40),".")</f>
        <v>344678.125</v>
      </c>
      <c r="AN40" s="49">
        <f>IFERROR(up_RadSpec!$E$4*(AN4/$B40),".")</f>
        <v>344678.125</v>
      </c>
      <c r="AO40" s="49">
        <f>IFERROR(up_RadSpec!$E$4*(AO4/$B40),".")</f>
        <v>344678.125</v>
      </c>
      <c r="AP40" s="49">
        <f>IFERROR(up_RadSpec!$E$4*(AP4/$B40),".")</f>
        <v>344678.125</v>
      </c>
      <c r="AQ40" s="49">
        <f>IFERROR(up_RadSpec!$E$4*(AQ4/$B40),".")</f>
        <v>344678.125</v>
      </c>
      <c r="AR40" s="49">
        <f>IFERROR(up_RadSpec!$E$4*(AR4/$B40),".")</f>
        <v>344678.125</v>
      </c>
      <c r="AS40" s="49">
        <f>IFERROR(up_RadSpec!$E$4*(AS4/$B40),".")</f>
        <v>344678.125</v>
      </c>
      <c r="AT40" s="49">
        <f>IFERROR(up_RadSpec!$E$4*(AT4/$B40),".")</f>
        <v>344678.125</v>
      </c>
      <c r="AU40" s="49">
        <f>IFERROR(up_RadSpec!$E$4*(AU4/$B40),".")</f>
        <v>344678.125</v>
      </c>
      <c r="AV40" s="49">
        <f>IFERROR(up_RadSpec!$E$4*(AV4/$B40),".")</f>
        <v>344678.125</v>
      </c>
      <c r="AW40" s="49">
        <f>IFERROR(up_RadSpec!$E$4*(AW4/$B40),".")</f>
        <v>344678.125</v>
      </c>
      <c r="AX40" s="49">
        <f>IFERROR(up_RadSpec!$E$4*(AX4/$B40),".")</f>
        <v>344678.125</v>
      </c>
      <c r="AY40" s="49">
        <f>IFERROR(up_RadSpec!$E$4*(AY4/$B40),".")</f>
        <v>344678.125</v>
      </c>
      <c r="AZ40" s="49">
        <f>IFERROR(up_RadSpec!$E$4*(AZ4/$B40),".")</f>
        <v>344678.125</v>
      </c>
      <c r="BA40" s="60">
        <f t="shared" si="11"/>
        <v>17233906250</v>
      </c>
      <c r="BB40" s="60">
        <f t="shared" ref="BB40:BY40" si="26">IFERROR($B40/BB4,0)</f>
        <v>68935625000</v>
      </c>
      <c r="BC40" s="60">
        <f t="shared" si="26"/>
        <v>68935625000</v>
      </c>
      <c r="BD40" s="60">
        <f t="shared" si="26"/>
        <v>68935625000</v>
      </c>
      <c r="BE40" s="60">
        <f t="shared" si="26"/>
        <v>68935625000</v>
      </c>
      <c r="BF40" s="60">
        <f t="shared" si="26"/>
        <v>68935625000</v>
      </c>
      <c r="BG40" s="60">
        <f t="shared" si="26"/>
        <v>68935625000</v>
      </c>
      <c r="BH40" s="60">
        <f t="shared" si="26"/>
        <v>68935625000</v>
      </c>
      <c r="BI40" s="60">
        <f t="shared" si="26"/>
        <v>68935625000</v>
      </c>
      <c r="BJ40" s="60">
        <f t="shared" si="26"/>
        <v>68935625000</v>
      </c>
      <c r="BK40" s="60">
        <f t="shared" si="26"/>
        <v>68935625000</v>
      </c>
      <c r="BL40" s="60">
        <f t="shared" si="26"/>
        <v>68935625000</v>
      </c>
      <c r="BM40" s="60">
        <f t="shared" si="26"/>
        <v>68935625000</v>
      </c>
      <c r="BN40" s="60">
        <f t="shared" si="26"/>
        <v>68935625000</v>
      </c>
      <c r="BO40" s="60">
        <f t="shared" si="26"/>
        <v>68935625000</v>
      </c>
      <c r="BP40" s="60">
        <f t="shared" si="26"/>
        <v>68935625000</v>
      </c>
      <c r="BQ40" s="60">
        <f t="shared" si="26"/>
        <v>68935625000</v>
      </c>
      <c r="BR40" s="60">
        <f t="shared" si="26"/>
        <v>68935625000</v>
      </c>
      <c r="BS40" s="60">
        <f t="shared" si="26"/>
        <v>68935625000</v>
      </c>
      <c r="BT40" s="60">
        <f t="shared" si="26"/>
        <v>68935625000</v>
      </c>
      <c r="BU40" s="60">
        <f t="shared" si="26"/>
        <v>68935625000</v>
      </c>
      <c r="BV40" s="60">
        <f t="shared" si="26"/>
        <v>68935625000</v>
      </c>
      <c r="BW40" s="60">
        <f t="shared" si="26"/>
        <v>68935625000</v>
      </c>
      <c r="BX40" s="60">
        <f t="shared" si="26"/>
        <v>68935625000</v>
      </c>
      <c r="BY40" s="60">
        <f t="shared" si="26"/>
        <v>68935625000</v>
      </c>
      <c r="BZ40" s="49">
        <f t="shared" si="3"/>
        <v>1378712.5</v>
      </c>
      <c r="CA40" s="49">
        <f>IFERROR(up_RadSpec!$E$4*(CA4/$B40),".")</f>
        <v>344678.125</v>
      </c>
      <c r="CB40" s="49">
        <f>IFERROR(up_RadSpec!$E$4*(CB4/$B40),".")</f>
        <v>344678.125</v>
      </c>
      <c r="CC40" s="49">
        <f>IFERROR(up_RadSpec!$E$4*(CC4/$B40),".")</f>
        <v>344678.125</v>
      </c>
      <c r="CD40" s="49">
        <f>IFERROR(up_RadSpec!$E$4*(CD4/$B40),".")</f>
        <v>344678.125</v>
      </c>
      <c r="CE40" s="49">
        <f>IFERROR(up_RadSpec!$E$4*(CE4/$B40),".")</f>
        <v>344678.125</v>
      </c>
      <c r="CF40" s="49">
        <f>IFERROR(up_RadSpec!$E$4*(CF4/$B40),".")</f>
        <v>344678.125</v>
      </c>
      <c r="CG40" s="49">
        <f>IFERROR(up_RadSpec!$E$4*(CG4/$B40),".")</f>
        <v>344678.125</v>
      </c>
      <c r="CH40" s="49">
        <f>IFERROR(up_RadSpec!$E$4*(CH4/$B40),".")</f>
        <v>344678.125</v>
      </c>
      <c r="CI40" s="49">
        <f>IFERROR(up_RadSpec!$E$4*(CI4/$B40),".")</f>
        <v>344678.125</v>
      </c>
      <c r="CJ40" s="49">
        <f>IFERROR(up_RadSpec!$E$4*(CJ4/$B40),".")</f>
        <v>344678.125</v>
      </c>
      <c r="CK40" s="49">
        <f>IFERROR(up_RadSpec!$E$4*(CK4/$B40),".")</f>
        <v>344678.125</v>
      </c>
      <c r="CL40" s="49">
        <f>IFERROR(up_RadSpec!$E$4*(CL4/$B40),".")</f>
        <v>344678.125</v>
      </c>
      <c r="CM40" s="49">
        <f>IFERROR(up_RadSpec!$E$4*(CM4/$B40),".")</f>
        <v>344678.125</v>
      </c>
      <c r="CN40" s="49">
        <f>IFERROR(up_RadSpec!$E$4*(CN4/$B40),".")</f>
        <v>344678.125</v>
      </c>
      <c r="CO40" s="49">
        <f>IFERROR(up_RadSpec!$E$4*(CO4/$B40),".")</f>
        <v>344678.125</v>
      </c>
      <c r="CP40" s="49">
        <f>IFERROR(up_RadSpec!$E$4*(CP4/$B40),".")</f>
        <v>344678.125</v>
      </c>
      <c r="CQ40" s="49">
        <f>IFERROR(up_RadSpec!$E$4*(CQ4/$B40),".")</f>
        <v>344678.125</v>
      </c>
      <c r="CR40" s="49">
        <f>IFERROR(up_RadSpec!$E$4*(CR4/$B40),".")</f>
        <v>344678.125</v>
      </c>
      <c r="CS40" s="49">
        <f>IFERROR(up_RadSpec!$E$4*(CS4/$B40),".")</f>
        <v>344678.125</v>
      </c>
      <c r="CT40" s="49">
        <f>IFERROR(up_RadSpec!$E$4*(CT4/$B40),".")</f>
        <v>344678.125</v>
      </c>
      <c r="CU40" s="49">
        <f>IFERROR(up_RadSpec!$E$4*(CU4/$B40),".")</f>
        <v>344678.125</v>
      </c>
      <c r="CV40" s="49">
        <f>IFERROR(up_RadSpec!$E$4*(CV4/$B40),".")</f>
        <v>344678.125</v>
      </c>
      <c r="CW40" s="49">
        <f>IFERROR(up_RadSpec!$E$4*(CW4/$B40),".")</f>
        <v>344678.125</v>
      </c>
      <c r="CX40" s="49">
        <f>IFERROR(up_RadSpec!$E$4*(CX4/$B40),".")</f>
        <v>344678.125</v>
      </c>
    </row>
    <row r="41" spans="1:102" x14ac:dyDescent="0.25">
      <c r="A41" s="83" t="s">
        <v>1086</v>
      </c>
      <c r="B41" s="84">
        <v>0.99987999999999999</v>
      </c>
      <c r="C41" s="60">
        <f t="shared" si="8"/>
        <v>3.6270071331105223E-12</v>
      </c>
      <c r="D41" s="60">
        <f t="shared" ref="D41:AA41" si="27">IFERROR(D8/$B41,0)</f>
        <v>1.4508028532442089E-11</v>
      </c>
      <c r="E41" s="60">
        <f t="shared" si="27"/>
        <v>1.4508028532442089E-11</v>
      </c>
      <c r="F41" s="60">
        <f t="shared" si="27"/>
        <v>1.4508028532442089E-11</v>
      </c>
      <c r="G41" s="60">
        <f t="shared" si="27"/>
        <v>1.4508028532442089E-11</v>
      </c>
      <c r="H41" s="60">
        <f t="shared" si="27"/>
        <v>1.4508028532442089E-11</v>
      </c>
      <c r="I41" s="60">
        <f t="shared" si="27"/>
        <v>1.4508028532442089E-11</v>
      </c>
      <c r="J41" s="60">
        <f t="shared" si="27"/>
        <v>1.4508028532442089E-11</v>
      </c>
      <c r="K41" s="60">
        <f t="shared" si="27"/>
        <v>1.4508028532442089E-11</v>
      </c>
      <c r="L41" s="60">
        <f t="shared" si="27"/>
        <v>1.4508028532442089E-11</v>
      </c>
      <c r="M41" s="60">
        <f t="shared" si="27"/>
        <v>1.4508028532442089E-11</v>
      </c>
      <c r="N41" s="60">
        <f t="shared" si="27"/>
        <v>1.4508028532442089E-11</v>
      </c>
      <c r="O41" s="60">
        <f t="shared" si="27"/>
        <v>1.4508028532442089E-11</v>
      </c>
      <c r="P41" s="60">
        <f t="shared" si="27"/>
        <v>1.4508028532442089E-11</v>
      </c>
      <c r="Q41" s="60">
        <f t="shared" si="27"/>
        <v>1.4508028532442089E-11</v>
      </c>
      <c r="R41" s="60">
        <f t="shared" si="27"/>
        <v>1.4508028532442089E-11</v>
      </c>
      <c r="S41" s="60">
        <f t="shared" si="27"/>
        <v>1.4508028532442089E-11</v>
      </c>
      <c r="T41" s="60">
        <f t="shared" si="27"/>
        <v>1.4508028532442089E-11</v>
      </c>
      <c r="U41" s="60">
        <f t="shared" si="27"/>
        <v>1.4508028532442089E-11</v>
      </c>
      <c r="V41" s="60">
        <f t="shared" si="27"/>
        <v>1.4508028532442089E-11</v>
      </c>
      <c r="W41" s="60">
        <f t="shared" si="27"/>
        <v>1.4508028532442089E-11</v>
      </c>
      <c r="X41" s="60">
        <f t="shared" si="27"/>
        <v>1.4508028532442089E-11</v>
      </c>
      <c r="Y41" s="60">
        <f t="shared" si="27"/>
        <v>1.4508028532442089E-11</v>
      </c>
      <c r="Z41" s="60">
        <f t="shared" si="27"/>
        <v>1.4508028532442089E-11</v>
      </c>
      <c r="AA41" s="60">
        <f t="shared" si="27"/>
        <v>1.4508028532442089E-11</v>
      </c>
      <c r="AB41" s="49">
        <f t="shared" si="10"/>
        <v>7928548.3007960971</v>
      </c>
      <c r="AC41" s="49">
        <f>IFERROR(up_RadSpec!$E$8*(AC8/$B41),".")</f>
        <v>344719.49133896065</v>
      </c>
      <c r="AD41" s="49">
        <f>IFERROR(up_RadSpec!$E$8*(AD8/$B41),".")</f>
        <v>344719.49133896065</v>
      </c>
      <c r="AE41" s="49">
        <f>IFERROR(up_RadSpec!$E$8*(AE8/$B41),".")</f>
        <v>344719.49133896065</v>
      </c>
      <c r="AF41" s="49">
        <f>IFERROR(up_RadSpec!$E$8*(AF8/$B41),".")</f>
        <v>344719.49133896065</v>
      </c>
      <c r="AG41" s="49">
        <f>IFERROR(up_RadSpec!$E$8*(AG8/$B41),".")</f>
        <v>344719.49133896065</v>
      </c>
      <c r="AH41" s="49">
        <f>IFERROR(up_RadSpec!$E$8*(AH8/$B41),".")</f>
        <v>344719.49133896065</v>
      </c>
      <c r="AI41" s="49">
        <f>IFERROR(up_RadSpec!$E$8*(AI8/$B41),".")</f>
        <v>344719.49133896065</v>
      </c>
      <c r="AJ41" s="49">
        <f>IFERROR(up_RadSpec!$E$8*(AJ8/$B41),".")</f>
        <v>344719.49133896065</v>
      </c>
      <c r="AK41" s="49">
        <f>IFERROR(up_RadSpec!$E$8*(AK8/$B41),".")</f>
        <v>344719.49133896065</v>
      </c>
      <c r="AL41" s="49">
        <f>IFERROR(up_RadSpec!$E$8*(AL8/$B41),".")</f>
        <v>344719.49133896065</v>
      </c>
      <c r="AM41" s="49">
        <f>IFERROR(up_RadSpec!$E$8*(AM8/$B41),".")</f>
        <v>344719.49133896065</v>
      </c>
      <c r="AN41" s="49">
        <f>IFERROR(up_RadSpec!$E$8*(AN8/$B41),".")</f>
        <v>344719.49133896065</v>
      </c>
      <c r="AO41" s="49">
        <f>IFERROR(up_RadSpec!$E$8*(AO8/$B41),".")</f>
        <v>344719.49133896065</v>
      </c>
      <c r="AP41" s="49">
        <f>IFERROR(up_RadSpec!$E$8*(AP8/$B41),".")</f>
        <v>344719.49133896065</v>
      </c>
      <c r="AQ41" s="49">
        <f>IFERROR(up_RadSpec!$E$8*(AQ8/$B41),".")</f>
        <v>344719.49133896065</v>
      </c>
      <c r="AR41" s="49">
        <f>IFERROR(up_RadSpec!$E$8*(AR8/$B41),".")</f>
        <v>344719.49133896065</v>
      </c>
      <c r="AS41" s="49">
        <f>IFERROR(up_RadSpec!$E$8*(AS8/$B41),".")</f>
        <v>344719.49133896065</v>
      </c>
      <c r="AT41" s="49">
        <f>IFERROR(up_RadSpec!$E$8*(AT8/$B41),".")</f>
        <v>344719.49133896065</v>
      </c>
      <c r="AU41" s="49">
        <f>IFERROR(up_RadSpec!$E$8*(AU8/$B41),".")</f>
        <v>344719.49133896065</v>
      </c>
      <c r="AV41" s="49">
        <f>IFERROR(up_RadSpec!$E$8*(AV8/$B41),".")</f>
        <v>344719.49133896065</v>
      </c>
      <c r="AW41" s="49">
        <f>IFERROR(up_RadSpec!$E$8*(AW8/$B41),".")</f>
        <v>344719.49133896065</v>
      </c>
      <c r="AX41" s="49">
        <f>IFERROR(up_RadSpec!$E$8*(AX8/$B41),".")</f>
        <v>344719.49133896065</v>
      </c>
      <c r="AY41" s="49">
        <f>IFERROR(up_RadSpec!$E$8*(AY8/$B41),".")</f>
        <v>344719.49133896065</v>
      </c>
      <c r="AZ41" s="49">
        <f>IFERROR(up_RadSpec!$E$8*(AZ8/$B41),".")</f>
        <v>344719.49133896065</v>
      </c>
      <c r="BA41" s="60">
        <f>IFERROR(1/SUM(1/BB41,1/BC41,1/BX41,1/BY41),".")</f>
        <v>17231838181.25</v>
      </c>
      <c r="BB41" s="60">
        <f t="shared" ref="BB41:BY41" si="28">IFERROR($B41/BB8,0)</f>
        <v>68927352725</v>
      </c>
      <c r="BC41" s="60">
        <f t="shared" si="28"/>
        <v>68927352725</v>
      </c>
      <c r="BD41" s="60">
        <f t="shared" si="28"/>
        <v>68927352725</v>
      </c>
      <c r="BE41" s="60">
        <f t="shared" si="28"/>
        <v>68927352725</v>
      </c>
      <c r="BF41" s="60">
        <f t="shared" si="28"/>
        <v>68927352725</v>
      </c>
      <c r="BG41" s="60">
        <f t="shared" si="28"/>
        <v>68927352725</v>
      </c>
      <c r="BH41" s="60">
        <f t="shared" si="28"/>
        <v>68927352725</v>
      </c>
      <c r="BI41" s="60">
        <f t="shared" si="28"/>
        <v>68927352725</v>
      </c>
      <c r="BJ41" s="60">
        <f t="shared" si="28"/>
        <v>68927352725</v>
      </c>
      <c r="BK41" s="60">
        <f t="shared" si="28"/>
        <v>68927352725</v>
      </c>
      <c r="BL41" s="60">
        <f t="shared" si="28"/>
        <v>68927352725</v>
      </c>
      <c r="BM41" s="60">
        <f t="shared" si="28"/>
        <v>68927352725</v>
      </c>
      <c r="BN41" s="60">
        <f t="shared" si="28"/>
        <v>68927352725</v>
      </c>
      <c r="BO41" s="60">
        <f t="shared" si="28"/>
        <v>68927352725</v>
      </c>
      <c r="BP41" s="60">
        <f t="shared" si="28"/>
        <v>68927352725</v>
      </c>
      <c r="BQ41" s="60">
        <f t="shared" si="28"/>
        <v>68927352725</v>
      </c>
      <c r="BR41" s="60">
        <f t="shared" si="28"/>
        <v>68927352725</v>
      </c>
      <c r="BS41" s="60">
        <f t="shared" si="28"/>
        <v>68927352725</v>
      </c>
      <c r="BT41" s="60">
        <f t="shared" si="28"/>
        <v>68927352725</v>
      </c>
      <c r="BU41" s="60">
        <f t="shared" si="28"/>
        <v>68927352725</v>
      </c>
      <c r="BV41" s="60">
        <f t="shared" si="28"/>
        <v>68927352725</v>
      </c>
      <c r="BW41" s="60">
        <f t="shared" si="28"/>
        <v>68927352725</v>
      </c>
      <c r="BX41" s="60">
        <f t="shared" si="28"/>
        <v>68927352725</v>
      </c>
      <c r="BY41" s="60">
        <f t="shared" si="28"/>
        <v>68927352725</v>
      </c>
      <c r="BZ41" s="49">
        <f t="shared" si="3"/>
        <v>1378877.9653558426</v>
      </c>
      <c r="CA41" s="49">
        <f>IFERROR(up_RadSpec!$E$8*(CA8/$B41),".")</f>
        <v>344719.49133896065</v>
      </c>
      <c r="CB41" s="49">
        <f>IFERROR(up_RadSpec!$E$8*(CB8/$B41),".")</f>
        <v>344719.49133896065</v>
      </c>
      <c r="CC41" s="49">
        <f>IFERROR(up_RadSpec!$E$8*(CC8/$B41),".")</f>
        <v>344719.49133896065</v>
      </c>
      <c r="CD41" s="49">
        <f>IFERROR(up_RadSpec!$E$8*(CD8/$B41),".")</f>
        <v>344719.49133896065</v>
      </c>
      <c r="CE41" s="49">
        <f>IFERROR(up_RadSpec!$E$8*(CE8/$B41),".")</f>
        <v>344719.49133896065</v>
      </c>
      <c r="CF41" s="49">
        <f>IFERROR(up_RadSpec!$E$8*(CF8/$B41),".")</f>
        <v>344719.49133896065</v>
      </c>
      <c r="CG41" s="49">
        <f>IFERROR(up_RadSpec!$E$8*(CG8/$B41),".")</f>
        <v>344719.49133896065</v>
      </c>
      <c r="CH41" s="49">
        <f>IFERROR(up_RadSpec!$E$8*(CH8/$B41),".")</f>
        <v>344719.49133896065</v>
      </c>
      <c r="CI41" s="49">
        <f>IFERROR(up_RadSpec!$E$8*(CI8/$B41),".")</f>
        <v>344719.49133896065</v>
      </c>
      <c r="CJ41" s="49">
        <f>IFERROR(up_RadSpec!$E$8*(CJ8/$B41),".")</f>
        <v>344719.49133896065</v>
      </c>
      <c r="CK41" s="49">
        <f>IFERROR(up_RadSpec!$E$8*(CK8/$B41),".")</f>
        <v>344719.49133896065</v>
      </c>
      <c r="CL41" s="49">
        <f>IFERROR(up_RadSpec!$E$8*(CL8/$B41),".")</f>
        <v>344719.49133896065</v>
      </c>
      <c r="CM41" s="49">
        <f>IFERROR(up_RadSpec!$E$8*(CM8/$B41),".")</f>
        <v>344719.49133896065</v>
      </c>
      <c r="CN41" s="49">
        <f>IFERROR(up_RadSpec!$E$8*(CN8/$B41),".")</f>
        <v>344719.49133896065</v>
      </c>
      <c r="CO41" s="49">
        <f>IFERROR(up_RadSpec!$E$8*(CO8/$B41),".")</f>
        <v>344719.49133896065</v>
      </c>
      <c r="CP41" s="49">
        <f>IFERROR(up_RadSpec!$E$8*(CP8/$B41),".")</f>
        <v>344719.49133896065</v>
      </c>
      <c r="CQ41" s="49">
        <f>IFERROR(up_RadSpec!$E$8*(CQ8/$B41),".")</f>
        <v>344719.49133896065</v>
      </c>
      <c r="CR41" s="49">
        <f>IFERROR(up_RadSpec!$E$8*(CR8/$B41),".")</f>
        <v>344719.49133896065</v>
      </c>
      <c r="CS41" s="49">
        <f>IFERROR(up_RadSpec!$E$8*(CS8/$B41),".")</f>
        <v>344719.49133896065</v>
      </c>
      <c r="CT41" s="49">
        <f>IFERROR(up_RadSpec!$E$8*(CT8/$B41),".")</f>
        <v>344719.49133896065</v>
      </c>
      <c r="CU41" s="49">
        <f>IFERROR(up_RadSpec!$E$8*(CU8/$B41),".")</f>
        <v>344719.49133896065</v>
      </c>
      <c r="CV41" s="49">
        <f>IFERROR(up_RadSpec!$E$8*(CV8/$B41),".")</f>
        <v>344719.49133896065</v>
      </c>
      <c r="CW41" s="49">
        <f>IFERROR(up_RadSpec!$E$8*(CW8/$B41),".")</f>
        <v>344719.49133896065</v>
      </c>
      <c r="CX41" s="49">
        <f>IFERROR(up_RadSpec!$E$8*(CX8/$B41),".")</f>
        <v>344719.49133896065</v>
      </c>
    </row>
    <row r="42" spans="1:102" x14ac:dyDescent="0.25">
      <c r="A42" s="83" t="s">
        <v>1087</v>
      </c>
      <c r="B42" s="42">
        <v>0.97898250799999997</v>
      </c>
      <c r="C42" s="60">
        <f t="shared" si="8"/>
        <v>3.7044297141359646E-12</v>
      </c>
      <c r="D42" s="60">
        <f t="shared" ref="D42:AA42" si="29">IFERROR(D19/$B42,0)</f>
        <v>1.4817718856543858E-11</v>
      </c>
      <c r="E42" s="60">
        <f t="shared" si="29"/>
        <v>1.4817718856543858E-11</v>
      </c>
      <c r="F42" s="60">
        <f t="shared" si="29"/>
        <v>1.4817718856543858E-11</v>
      </c>
      <c r="G42" s="60">
        <f t="shared" si="29"/>
        <v>1.4817718856543858E-11</v>
      </c>
      <c r="H42" s="60">
        <f t="shared" si="29"/>
        <v>1.4817718856543858E-11</v>
      </c>
      <c r="I42" s="60">
        <f t="shared" si="29"/>
        <v>1.4817718856543858E-11</v>
      </c>
      <c r="J42" s="60">
        <f t="shared" si="29"/>
        <v>1.4817718856543858E-11</v>
      </c>
      <c r="K42" s="60">
        <f t="shared" si="29"/>
        <v>1.4817718856543858E-11</v>
      </c>
      <c r="L42" s="60">
        <f t="shared" si="29"/>
        <v>1.4817718856543858E-11</v>
      </c>
      <c r="M42" s="60">
        <f t="shared" si="29"/>
        <v>1.4817718856543858E-11</v>
      </c>
      <c r="N42" s="60">
        <f t="shared" si="29"/>
        <v>1.4817718856543858E-11</v>
      </c>
      <c r="O42" s="60">
        <f t="shared" si="29"/>
        <v>1.4817718856543858E-11</v>
      </c>
      <c r="P42" s="60">
        <f t="shared" si="29"/>
        <v>1.4817718856543858E-11</v>
      </c>
      <c r="Q42" s="60">
        <f t="shared" si="29"/>
        <v>1.4817718856543858E-11</v>
      </c>
      <c r="R42" s="60">
        <f t="shared" si="29"/>
        <v>1.4817718856543858E-11</v>
      </c>
      <c r="S42" s="60">
        <f t="shared" si="29"/>
        <v>1.4817718856543858E-11</v>
      </c>
      <c r="T42" s="60">
        <f t="shared" si="29"/>
        <v>1.4817718856543858E-11</v>
      </c>
      <c r="U42" s="60">
        <f t="shared" si="29"/>
        <v>1.4817718856543858E-11</v>
      </c>
      <c r="V42" s="60">
        <f t="shared" si="29"/>
        <v>1.4817718856543858E-11</v>
      </c>
      <c r="W42" s="60">
        <f t="shared" si="29"/>
        <v>1.4817718856543858E-11</v>
      </c>
      <c r="X42" s="60">
        <f t="shared" si="29"/>
        <v>1.4817718856543858E-11</v>
      </c>
      <c r="Y42" s="60">
        <f t="shared" si="29"/>
        <v>1.4817718856543858E-11</v>
      </c>
      <c r="Z42" s="60">
        <f t="shared" si="29"/>
        <v>1.4817718856543858E-11</v>
      </c>
      <c r="AA42" s="60">
        <f t="shared" si="29"/>
        <v>1.4817718856543858E-11</v>
      </c>
      <c r="AB42" s="49">
        <f t="shared" si="10"/>
        <v>8097792.1568747796</v>
      </c>
      <c r="AC42" s="49">
        <f>IFERROR(up_RadSpec!$E$19*(AC19/$B42),".")</f>
        <v>352077.91986412078</v>
      </c>
      <c r="AD42" s="49">
        <f>IFERROR(up_RadSpec!$E$19*(AD19/$B42),".")</f>
        <v>352077.91986412078</v>
      </c>
      <c r="AE42" s="49">
        <f>IFERROR(up_RadSpec!$E$19*(AE19/$B42),".")</f>
        <v>352077.91986412078</v>
      </c>
      <c r="AF42" s="49">
        <f>IFERROR(up_RadSpec!$E$19*(AF19/$B42),".")</f>
        <v>352077.91986412078</v>
      </c>
      <c r="AG42" s="49">
        <f>IFERROR(up_RadSpec!$E$19*(AG19/$B42),".")</f>
        <v>352077.91986412078</v>
      </c>
      <c r="AH42" s="49">
        <f>IFERROR(up_RadSpec!$E$19*(AH19/$B42),".")</f>
        <v>352077.91986412078</v>
      </c>
      <c r="AI42" s="49">
        <f>IFERROR(up_RadSpec!$E$19*(AI19/$B42),".")</f>
        <v>352077.91986412078</v>
      </c>
      <c r="AJ42" s="49">
        <f>IFERROR(up_RadSpec!$E$19*(AJ19/$B42),".")</f>
        <v>352077.91986412078</v>
      </c>
      <c r="AK42" s="49">
        <f>IFERROR(up_RadSpec!$E$19*(AK19/$B42),".")</f>
        <v>352077.91986412078</v>
      </c>
      <c r="AL42" s="49">
        <f>IFERROR(up_RadSpec!$E$19*(AL19/$B42),".")</f>
        <v>352077.91986412078</v>
      </c>
      <c r="AM42" s="49">
        <f>IFERROR(up_RadSpec!$E$19*(AM19/$B42),".")</f>
        <v>352077.91986412078</v>
      </c>
      <c r="AN42" s="49">
        <f>IFERROR(up_RadSpec!$E$19*(AN19/$B42),".")</f>
        <v>352077.91986412078</v>
      </c>
      <c r="AO42" s="49">
        <f>IFERROR(up_RadSpec!$E$19*(AO19/$B42),".")</f>
        <v>352077.91986412078</v>
      </c>
      <c r="AP42" s="49">
        <f>IFERROR(up_RadSpec!$E$19*(AP19/$B42),".")</f>
        <v>352077.91986412078</v>
      </c>
      <c r="AQ42" s="49">
        <f>IFERROR(up_RadSpec!$E$19*(AQ19/$B42),".")</f>
        <v>352077.91986412078</v>
      </c>
      <c r="AR42" s="49">
        <f>IFERROR(up_RadSpec!$E$19*(AR19/$B42),".")</f>
        <v>352077.91986412078</v>
      </c>
      <c r="AS42" s="49">
        <f>IFERROR(up_RadSpec!$E$19*(AS19/$B42),".")</f>
        <v>352077.91986412078</v>
      </c>
      <c r="AT42" s="49">
        <f>IFERROR(up_RadSpec!$E$19*(AT19/$B42),".")</f>
        <v>352077.91986412078</v>
      </c>
      <c r="AU42" s="49">
        <f>IFERROR(up_RadSpec!$E$19*(AU19/$B42),".")</f>
        <v>352077.91986412078</v>
      </c>
      <c r="AV42" s="49">
        <f>IFERROR(up_RadSpec!$E$19*(AV19/$B42),".")</f>
        <v>352077.91986412078</v>
      </c>
      <c r="AW42" s="49">
        <f>IFERROR(up_RadSpec!$E$19*(AW19/$B42),".")</f>
        <v>352077.91986412078</v>
      </c>
      <c r="AX42" s="49">
        <f>IFERROR(up_RadSpec!$E$19*(AX19/$B42),".")</f>
        <v>352077.91986412078</v>
      </c>
      <c r="AY42" s="49">
        <f>IFERROR(up_RadSpec!$E$19*(AY19/$B42),".")</f>
        <v>352077.91986412078</v>
      </c>
      <c r="AZ42" s="49">
        <f>IFERROR(up_RadSpec!$E$19*(AZ19/$B42),".")</f>
        <v>352077.91986412078</v>
      </c>
      <c r="BA42" s="60">
        <f t="shared" si="11"/>
        <v>16871692763.261873</v>
      </c>
      <c r="BB42" s="60">
        <f t="shared" ref="BB42:BY42" si="30">IFERROR($B42/BB19,0)</f>
        <v>67486771053.047493</v>
      </c>
      <c r="BC42" s="60">
        <f t="shared" si="30"/>
        <v>67486771053.047493</v>
      </c>
      <c r="BD42" s="60">
        <f t="shared" si="30"/>
        <v>67486771053.047493</v>
      </c>
      <c r="BE42" s="60">
        <f t="shared" si="30"/>
        <v>67486771053.047493</v>
      </c>
      <c r="BF42" s="60">
        <f t="shared" si="30"/>
        <v>67486771053.047493</v>
      </c>
      <c r="BG42" s="60">
        <f t="shared" si="30"/>
        <v>67486771053.047493</v>
      </c>
      <c r="BH42" s="60">
        <f t="shared" si="30"/>
        <v>67486771053.047493</v>
      </c>
      <c r="BI42" s="60">
        <f t="shared" si="30"/>
        <v>67486771053.047493</v>
      </c>
      <c r="BJ42" s="60">
        <f t="shared" si="30"/>
        <v>67486771053.047493</v>
      </c>
      <c r="BK42" s="60">
        <f t="shared" si="30"/>
        <v>67486771053.047493</v>
      </c>
      <c r="BL42" s="60">
        <f t="shared" si="30"/>
        <v>67486771053.047493</v>
      </c>
      <c r="BM42" s="60">
        <f t="shared" si="30"/>
        <v>67486771053.047493</v>
      </c>
      <c r="BN42" s="60">
        <f t="shared" si="30"/>
        <v>67486771053.047493</v>
      </c>
      <c r="BO42" s="60">
        <f t="shared" si="30"/>
        <v>67486771053.047493</v>
      </c>
      <c r="BP42" s="60">
        <f t="shared" si="30"/>
        <v>67486771053.047493</v>
      </c>
      <c r="BQ42" s="60">
        <f t="shared" si="30"/>
        <v>67486771053.047493</v>
      </c>
      <c r="BR42" s="60">
        <f t="shared" si="30"/>
        <v>67486771053.047493</v>
      </c>
      <c r="BS42" s="60">
        <f t="shared" si="30"/>
        <v>67486771053.047493</v>
      </c>
      <c r="BT42" s="60">
        <f t="shared" si="30"/>
        <v>67486771053.047493</v>
      </c>
      <c r="BU42" s="60">
        <f t="shared" si="30"/>
        <v>67486771053.047493</v>
      </c>
      <c r="BV42" s="60">
        <f t="shared" si="30"/>
        <v>67486771053.047493</v>
      </c>
      <c r="BW42" s="60">
        <f t="shared" si="30"/>
        <v>67486771053.047493</v>
      </c>
      <c r="BX42" s="60">
        <f t="shared" si="30"/>
        <v>67486771053.047493</v>
      </c>
      <c r="BY42" s="60">
        <f t="shared" si="30"/>
        <v>67486771053.047493</v>
      </c>
      <c r="BZ42" s="49">
        <f t="shared" si="3"/>
        <v>1408311.6794564831</v>
      </c>
      <c r="CA42" s="49">
        <f>IFERROR(up_RadSpec!$E$19*(CA19/$B42),".")</f>
        <v>352077.91986412078</v>
      </c>
      <c r="CB42" s="49">
        <f>IFERROR(up_RadSpec!$E$19*(CB19/$B42),".")</f>
        <v>352077.91986412078</v>
      </c>
      <c r="CC42" s="49">
        <f>IFERROR(up_RadSpec!$E$19*(CC19/$B42),".")</f>
        <v>352077.91986412078</v>
      </c>
      <c r="CD42" s="49">
        <f>IFERROR(up_RadSpec!$E$19*(CD19/$B42),".")</f>
        <v>352077.91986412078</v>
      </c>
      <c r="CE42" s="49">
        <f>IFERROR(up_RadSpec!$E$19*(CE19/$B42),".")</f>
        <v>352077.91986412078</v>
      </c>
      <c r="CF42" s="49">
        <f>IFERROR(up_RadSpec!$E$19*(CF19/$B42),".")</f>
        <v>352077.91986412078</v>
      </c>
      <c r="CG42" s="49">
        <f>IFERROR(up_RadSpec!$E$19*(CG19/$B42),".")</f>
        <v>352077.91986412078</v>
      </c>
      <c r="CH42" s="49">
        <f>IFERROR(up_RadSpec!$E$19*(CH19/$B42),".")</f>
        <v>352077.91986412078</v>
      </c>
      <c r="CI42" s="49">
        <f>IFERROR(up_RadSpec!$E$19*(CI19/$B42),".")</f>
        <v>352077.91986412078</v>
      </c>
      <c r="CJ42" s="49">
        <f>IFERROR(up_RadSpec!$E$19*(CJ19/$B42),".")</f>
        <v>352077.91986412078</v>
      </c>
      <c r="CK42" s="49">
        <f>IFERROR(up_RadSpec!$E$19*(CK19/$B42),".")</f>
        <v>352077.91986412078</v>
      </c>
      <c r="CL42" s="49">
        <f>IFERROR(up_RadSpec!$E$19*(CL19/$B42),".")</f>
        <v>352077.91986412078</v>
      </c>
      <c r="CM42" s="49">
        <f>IFERROR(up_RadSpec!$E$19*(CM19/$B42),".")</f>
        <v>352077.91986412078</v>
      </c>
      <c r="CN42" s="49">
        <f>IFERROR(up_RadSpec!$E$19*(CN19/$B42),".")</f>
        <v>352077.91986412078</v>
      </c>
      <c r="CO42" s="49">
        <f>IFERROR(up_RadSpec!$E$19*(CO19/$B42),".")</f>
        <v>352077.91986412078</v>
      </c>
      <c r="CP42" s="49">
        <f>IFERROR(up_RadSpec!$E$19*(CP19/$B42),".")</f>
        <v>352077.91986412078</v>
      </c>
      <c r="CQ42" s="49">
        <f>IFERROR(up_RadSpec!$E$19*(CQ19/$B42),".")</f>
        <v>352077.91986412078</v>
      </c>
      <c r="CR42" s="49">
        <f>IFERROR(up_RadSpec!$E$19*(CR19/$B42),".")</f>
        <v>352077.91986412078</v>
      </c>
      <c r="CS42" s="49">
        <f>IFERROR(up_RadSpec!$E$19*(CS19/$B42),".")</f>
        <v>352077.91986412078</v>
      </c>
      <c r="CT42" s="49">
        <f>IFERROR(up_RadSpec!$E$19*(CT19/$B42),".")</f>
        <v>352077.91986412078</v>
      </c>
      <c r="CU42" s="49">
        <f>IFERROR(up_RadSpec!$E$19*(CU19/$B42),".")</f>
        <v>352077.91986412078</v>
      </c>
      <c r="CV42" s="49">
        <f>IFERROR(up_RadSpec!$E$19*(CV19/$B42),".")</f>
        <v>352077.91986412078</v>
      </c>
      <c r="CW42" s="49">
        <f>IFERROR(up_RadSpec!$E$19*(CW19/$B42),".")</f>
        <v>352077.91986412078</v>
      </c>
      <c r="CX42" s="49">
        <f>IFERROR(up_RadSpec!$E$19*(CX19/$B42),".")</f>
        <v>352077.91986412078</v>
      </c>
    </row>
    <row r="43" spans="1:102" x14ac:dyDescent="0.25">
      <c r="A43" s="83" t="s">
        <v>1088</v>
      </c>
      <c r="B43" s="42">
        <v>2.0897492E-2</v>
      </c>
      <c r="C43" s="60">
        <f>IFERROR(1/SUM(1/D43,1/E43,1/Z43,1/AA43),".")</f>
        <v>1.7354101115361354E-10</v>
      </c>
      <c r="D43" s="60">
        <f t="shared" ref="D43:AA43" si="31">IFERROR(D28/$B43,0)</f>
        <v>6.9416404461445405E-10</v>
      </c>
      <c r="E43" s="60">
        <f t="shared" si="31"/>
        <v>6.9416404461445405E-10</v>
      </c>
      <c r="F43" s="60">
        <f t="shared" si="31"/>
        <v>6.9416404461445405E-10</v>
      </c>
      <c r="G43" s="60">
        <f t="shared" si="31"/>
        <v>6.9416404461445405E-10</v>
      </c>
      <c r="H43" s="60">
        <f t="shared" si="31"/>
        <v>6.9416404461445405E-10</v>
      </c>
      <c r="I43" s="60">
        <f t="shared" si="31"/>
        <v>6.9416404461445405E-10</v>
      </c>
      <c r="J43" s="60">
        <f t="shared" si="31"/>
        <v>6.9416404461445405E-10</v>
      </c>
      <c r="K43" s="60">
        <f t="shared" si="31"/>
        <v>6.9416404461445405E-10</v>
      </c>
      <c r="L43" s="60">
        <f t="shared" si="31"/>
        <v>6.9416404461445405E-10</v>
      </c>
      <c r="M43" s="60">
        <f t="shared" si="31"/>
        <v>6.9416404461445405E-10</v>
      </c>
      <c r="N43" s="60">
        <f t="shared" si="31"/>
        <v>6.9416404461445405E-10</v>
      </c>
      <c r="O43" s="60">
        <f t="shared" si="31"/>
        <v>6.9416404461445405E-10</v>
      </c>
      <c r="P43" s="60">
        <f t="shared" si="31"/>
        <v>6.9416404461445405E-10</v>
      </c>
      <c r="Q43" s="60">
        <f t="shared" si="31"/>
        <v>6.9416404461445405E-10</v>
      </c>
      <c r="R43" s="60">
        <f t="shared" si="31"/>
        <v>6.9416404461445405E-10</v>
      </c>
      <c r="S43" s="60">
        <f t="shared" si="31"/>
        <v>6.9416404461445405E-10</v>
      </c>
      <c r="T43" s="60">
        <f t="shared" si="31"/>
        <v>6.9416404461445405E-10</v>
      </c>
      <c r="U43" s="60">
        <f t="shared" si="31"/>
        <v>6.9416404461445405E-10</v>
      </c>
      <c r="V43" s="60">
        <f t="shared" si="31"/>
        <v>6.9416404461445405E-10</v>
      </c>
      <c r="W43" s="60">
        <f t="shared" si="31"/>
        <v>6.9416404461445405E-10</v>
      </c>
      <c r="X43" s="60">
        <f t="shared" si="31"/>
        <v>6.9416404461445405E-10</v>
      </c>
      <c r="Y43" s="60">
        <f t="shared" si="31"/>
        <v>6.9416404461445405E-10</v>
      </c>
      <c r="Z43" s="60">
        <f t="shared" si="31"/>
        <v>6.9416404461445405E-10</v>
      </c>
      <c r="AA43" s="60">
        <f t="shared" si="31"/>
        <v>6.9416404461445405E-10</v>
      </c>
      <c r="AB43" s="49">
        <f t="shared" si="10"/>
        <v>379356378.02852136</v>
      </c>
      <c r="AC43" s="49">
        <f>IFERROR(up_RadSpec!$E$28*(AC28/$B43),".")</f>
        <v>16493755.56645745</v>
      </c>
      <c r="AD43" s="49">
        <f>IFERROR(up_RadSpec!$E$28*(AD28/$B43),".")</f>
        <v>16493755.56645745</v>
      </c>
      <c r="AE43" s="49">
        <f>IFERROR(up_RadSpec!$E$28*(AE28/$B43),".")</f>
        <v>16493755.56645745</v>
      </c>
      <c r="AF43" s="49">
        <f>IFERROR(up_RadSpec!$E$28*(AF28/$B43),".")</f>
        <v>16493755.56645745</v>
      </c>
      <c r="AG43" s="49">
        <f>IFERROR(up_RadSpec!$E$28*(AG28/$B43),".")</f>
        <v>16493755.56645745</v>
      </c>
      <c r="AH43" s="49">
        <f>IFERROR(up_RadSpec!$E$28*(AH28/$B43),".")</f>
        <v>16493755.56645745</v>
      </c>
      <c r="AI43" s="49">
        <f>IFERROR(up_RadSpec!$E$28*(AI28/$B43),".")</f>
        <v>16493755.56645745</v>
      </c>
      <c r="AJ43" s="49">
        <f>IFERROR(up_RadSpec!$E$28*(AJ28/$B43),".")</f>
        <v>16493755.56645745</v>
      </c>
      <c r="AK43" s="49">
        <f>IFERROR(up_RadSpec!$E$28*(AK28/$B43),".")</f>
        <v>16493755.56645745</v>
      </c>
      <c r="AL43" s="49">
        <f>IFERROR(up_RadSpec!$E$28*(AL28/$B43),".")</f>
        <v>16493755.56645745</v>
      </c>
      <c r="AM43" s="49">
        <f>IFERROR(up_RadSpec!$E$28*(AM28/$B43),".")</f>
        <v>16493755.56645745</v>
      </c>
      <c r="AN43" s="49">
        <f>IFERROR(up_RadSpec!$E$28*(AN28/$B43),".")</f>
        <v>16493755.56645745</v>
      </c>
      <c r="AO43" s="49">
        <f>IFERROR(up_RadSpec!$E$28*(AO28/$B43),".")</f>
        <v>16493755.56645745</v>
      </c>
      <c r="AP43" s="49">
        <f>IFERROR(up_RadSpec!$E$28*(AP28/$B43),".")</f>
        <v>16493755.56645745</v>
      </c>
      <c r="AQ43" s="49">
        <f>IFERROR(up_RadSpec!$E$28*(AQ28/$B43),".")</f>
        <v>16493755.56645745</v>
      </c>
      <c r="AR43" s="49">
        <f>IFERROR(up_RadSpec!$E$28*(AR28/$B43),".")</f>
        <v>16493755.56645745</v>
      </c>
      <c r="AS43" s="49">
        <f>IFERROR(up_RadSpec!$E$28*(AS28/$B43),".")</f>
        <v>16493755.56645745</v>
      </c>
      <c r="AT43" s="49">
        <f>IFERROR(up_RadSpec!$E$28*(AT28/$B43),".")</f>
        <v>16493755.56645745</v>
      </c>
      <c r="AU43" s="49">
        <f>IFERROR(up_RadSpec!$E$28*(AU28/$B43),".")</f>
        <v>16493755.56645745</v>
      </c>
      <c r="AV43" s="49">
        <f>IFERROR(up_RadSpec!$E$28*(AV28/$B43),".")</f>
        <v>16493755.56645745</v>
      </c>
      <c r="AW43" s="49">
        <f>IFERROR(up_RadSpec!$E$28*(AW28/$B43),".")</f>
        <v>16493755.56645745</v>
      </c>
      <c r="AX43" s="49">
        <f>IFERROR(up_RadSpec!$E$28*(AX28/$B43),".")</f>
        <v>16493755.56645745</v>
      </c>
      <c r="AY43" s="49">
        <f>IFERROR(up_RadSpec!$E$28*(AY28/$B43),".")</f>
        <v>16493755.56645745</v>
      </c>
      <c r="AZ43" s="49">
        <f>IFERROR(up_RadSpec!$E$28*(AZ28/$B43),".")</f>
        <v>16493755.56645745</v>
      </c>
      <c r="BA43" s="60">
        <f t="shared" si="11"/>
        <v>360145417.98812497</v>
      </c>
      <c r="BB43" s="60">
        <f t="shared" ref="BB43:BY43" si="32">IFERROR($B43/BB28,0)</f>
        <v>1440581671.9524999</v>
      </c>
      <c r="BC43" s="60">
        <f t="shared" si="32"/>
        <v>1440581671.9524999</v>
      </c>
      <c r="BD43" s="60">
        <f t="shared" si="32"/>
        <v>1440581671.9524999</v>
      </c>
      <c r="BE43" s="60">
        <f t="shared" si="32"/>
        <v>1440581671.9524999</v>
      </c>
      <c r="BF43" s="60">
        <f t="shared" si="32"/>
        <v>1440581671.9524999</v>
      </c>
      <c r="BG43" s="60">
        <f t="shared" si="32"/>
        <v>1440581671.9524999</v>
      </c>
      <c r="BH43" s="60">
        <f t="shared" si="32"/>
        <v>1440581671.9524999</v>
      </c>
      <c r="BI43" s="60">
        <f t="shared" si="32"/>
        <v>1440581671.9524999</v>
      </c>
      <c r="BJ43" s="60">
        <f t="shared" si="32"/>
        <v>1440581671.9524999</v>
      </c>
      <c r="BK43" s="60">
        <f t="shared" si="32"/>
        <v>1440581671.9524999</v>
      </c>
      <c r="BL43" s="60">
        <f t="shared" si="32"/>
        <v>1440581671.9524999</v>
      </c>
      <c r="BM43" s="60">
        <f t="shared" si="32"/>
        <v>1440581671.9524999</v>
      </c>
      <c r="BN43" s="60">
        <f t="shared" si="32"/>
        <v>1440581671.9524999</v>
      </c>
      <c r="BO43" s="60">
        <f t="shared" si="32"/>
        <v>1440581671.9524999</v>
      </c>
      <c r="BP43" s="60">
        <f t="shared" si="32"/>
        <v>1440581671.9524999</v>
      </c>
      <c r="BQ43" s="60">
        <f t="shared" si="32"/>
        <v>1440581671.9524999</v>
      </c>
      <c r="BR43" s="60">
        <f t="shared" si="32"/>
        <v>1440581671.9524999</v>
      </c>
      <c r="BS43" s="60">
        <f t="shared" si="32"/>
        <v>1440581671.9524999</v>
      </c>
      <c r="BT43" s="60">
        <f t="shared" si="32"/>
        <v>1440581671.9524999</v>
      </c>
      <c r="BU43" s="60">
        <f t="shared" si="32"/>
        <v>1440581671.9524999</v>
      </c>
      <c r="BV43" s="60">
        <f t="shared" si="32"/>
        <v>1440581671.9524999</v>
      </c>
      <c r="BW43" s="60">
        <f t="shared" si="32"/>
        <v>1440581671.9524999</v>
      </c>
      <c r="BX43" s="60">
        <f t="shared" si="32"/>
        <v>1440581671.9524999</v>
      </c>
      <c r="BY43" s="60">
        <f t="shared" si="32"/>
        <v>1440581671.9524999</v>
      </c>
      <c r="BZ43" s="49">
        <f t="shared" si="3"/>
        <v>65975022.265829802</v>
      </c>
      <c r="CA43" s="49">
        <f>IFERROR(up_RadSpec!$E$28*(CA28/$B43),".")</f>
        <v>16493755.56645745</v>
      </c>
      <c r="CB43" s="49">
        <f>IFERROR(up_RadSpec!$E$28*(CB28/$B43),".")</f>
        <v>16493755.56645745</v>
      </c>
      <c r="CC43" s="49">
        <f>IFERROR(up_RadSpec!$E$28*(CC28/$B43),".")</f>
        <v>16493755.56645745</v>
      </c>
      <c r="CD43" s="49">
        <f>IFERROR(up_RadSpec!$E$28*(CD28/$B43),".")</f>
        <v>16493755.56645745</v>
      </c>
      <c r="CE43" s="49">
        <f>IFERROR(up_RadSpec!$E$28*(CE28/$B43),".")</f>
        <v>16493755.56645745</v>
      </c>
      <c r="CF43" s="49">
        <f>IFERROR(up_RadSpec!$E$28*(CF28/$B43),".")</f>
        <v>16493755.56645745</v>
      </c>
      <c r="CG43" s="49">
        <f>IFERROR(up_RadSpec!$E$28*(CG28/$B43),".")</f>
        <v>16493755.56645745</v>
      </c>
      <c r="CH43" s="49">
        <f>IFERROR(up_RadSpec!$E$28*(CH28/$B43),".")</f>
        <v>16493755.56645745</v>
      </c>
      <c r="CI43" s="49">
        <f>IFERROR(up_RadSpec!$E$28*(CI28/$B43),".")</f>
        <v>16493755.56645745</v>
      </c>
      <c r="CJ43" s="49">
        <f>IFERROR(up_RadSpec!$E$28*(CJ28/$B43),".")</f>
        <v>16493755.56645745</v>
      </c>
      <c r="CK43" s="49">
        <f>IFERROR(up_RadSpec!$E$28*(CK28/$B43),".")</f>
        <v>16493755.56645745</v>
      </c>
      <c r="CL43" s="49">
        <f>IFERROR(up_RadSpec!$E$28*(CL28/$B43),".")</f>
        <v>16493755.56645745</v>
      </c>
      <c r="CM43" s="49">
        <f>IFERROR(up_RadSpec!$E$28*(CM28/$B43),".")</f>
        <v>16493755.56645745</v>
      </c>
      <c r="CN43" s="49">
        <f>IFERROR(up_RadSpec!$E$28*(CN28/$B43),".")</f>
        <v>16493755.56645745</v>
      </c>
      <c r="CO43" s="49">
        <f>IFERROR(up_RadSpec!$E$28*(CO28/$B43),".")</f>
        <v>16493755.56645745</v>
      </c>
      <c r="CP43" s="49">
        <f>IFERROR(up_RadSpec!$E$28*(CP28/$B43),".")</f>
        <v>16493755.56645745</v>
      </c>
      <c r="CQ43" s="49">
        <f>IFERROR(up_RadSpec!$E$28*(CQ28/$B43),".")</f>
        <v>16493755.56645745</v>
      </c>
      <c r="CR43" s="49">
        <f>IFERROR(up_RadSpec!$E$28*(CR28/$B43),".")</f>
        <v>16493755.56645745</v>
      </c>
      <c r="CS43" s="49">
        <f>IFERROR(up_RadSpec!$E$28*(CS28/$B43),".")</f>
        <v>16493755.56645745</v>
      </c>
      <c r="CT43" s="49">
        <f>IFERROR(up_RadSpec!$E$28*(CT28/$B43),".")</f>
        <v>16493755.56645745</v>
      </c>
      <c r="CU43" s="49">
        <f>IFERROR(up_RadSpec!$E$28*(CU28/$B43),".")</f>
        <v>16493755.56645745</v>
      </c>
      <c r="CV43" s="49">
        <f>IFERROR(up_RadSpec!$E$28*(CV28/$B43),".")</f>
        <v>16493755.56645745</v>
      </c>
      <c r="CW43" s="49">
        <f>IFERROR(up_RadSpec!$E$28*(CW28/$B43),".")</f>
        <v>16493755.56645745</v>
      </c>
      <c r="CX43" s="49">
        <f>IFERROR(up_RadSpec!$E$28*(CX28/$B43),".")</f>
        <v>16493755.56645745</v>
      </c>
    </row>
    <row r="44" spans="1:102" x14ac:dyDescent="0.25">
      <c r="A44" s="83" t="s">
        <v>1089</v>
      </c>
      <c r="B44" s="42">
        <v>0.99987999999999999</v>
      </c>
      <c r="C44" s="60">
        <f t="shared" si="8"/>
        <v>3.6270071331105223E-12</v>
      </c>
      <c r="D44" s="60">
        <f t="shared" ref="D44:AA44" si="33">IFERROR(D15/$B44,0)</f>
        <v>1.4508028532442089E-11</v>
      </c>
      <c r="E44" s="60">
        <f t="shared" si="33"/>
        <v>1.4508028532442089E-11</v>
      </c>
      <c r="F44" s="60">
        <f t="shared" si="33"/>
        <v>1.4508028532442089E-11</v>
      </c>
      <c r="G44" s="60">
        <f t="shared" si="33"/>
        <v>1.4508028532442089E-11</v>
      </c>
      <c r="H44" s="60">
        <f t="shared" si="33"/>
        <v>1.4508028532442089E-11</v>
      </c>
      <c r="I44" s="60">
        <f t="shared" si="33"/>
        <v>1.4508028532442089E-11</v>
      </c>
      <c r="J44" s="60">
        <f t="shared" si="33"/>
        <v>1.4508028532442089E-11</v>
      </c>
      <c r="K44" s="60">
        <f t="shared" si="33"/>
        <v>1.4508028532442089E-11</v>
      </c>
      <c r="L44" s="60">
        <f t="shared" si="33"/>
        <v>1.4508028532442089E-11</v>
      </c>
      <c r="M44" s="60">
        <f t="shared" si="33"/>
        <v>1.4508028532442089E-11</v>
      </c>
      <c r="N44" s="60">
        <f t="shared" si="33"/>
        <v>1.4508028532442089E-11</v>
      </c>
      <c r="O44" s="60">
        <f t="shared" si="33"/>
        <v>1.4508028532442089E-11</v>
      </c>
      <c r="P44" s="60">
        <f t="shared" si="33"/>
        <v>1.4508028532442089E-11</v>
      </c>
      <c r="Q44" s="60">
        <f t="shared" si="33"/>
        <v>1.4508028532442089E-11</v>
      </c>
      <c r="R44" s="60">
        <f t="shared" si="33"/>
        <v>1.4508028532442089E-11</v>
      </c>
      <c r="S44" s="60">
        <f t="shared" si="33"/>
        <v>1.4508028532442089E-11</v>
      </c>
      <c r="T44" s="60">
        <f t="shared" si="33"/>
        <v>1.4508028532442089E-11</v>
      </c>
      <c r="U44" s="60">
        <f t="shared" si="33"/>
        <v>1.4508028532442089E-11</v>
      </c>
      <c r="V44" s="60">
        <f t="shared" si="33"/>
        <v>1.4508028532442089E-11</v>
      </c>
      <c r="W44" s="60">
        <f t="shared" si="33"/>
        <v>1.4508028532442089E-11</v>
      </c>
      <c r="X44" s="60">
        <f t="shared" si="33"/>
        <v>1.4508028532442089E-11</v>
      </c>
      <c r="Y44" s="60">
        <f t="shared" si="33"/>
        <v>1.4508028532442089E-11</v>
      </c>
      <c r="Z44" s="60">
        <f t="shared" si="33"/>
        <v>1.4508028532442089E-11</v>
      </c>
      <c r="AA44" s="60">
        <f t="shared" si="33"/>
        <v>1.4508028532442089E-11</v>
      </c>
      <c r="AB44" s="49">
        <f t="shared" si="10"/>
        <v>7928548.3007960971</v>
      </c>
      <c r="AC44" s="49">
        <f>IFERROR(up_RadSpec!$E$15*(AC15/$B44),".")</f>
        <v>344719.49133896065</v>
      </c>
      <c r="AD44" s="49">
        <f>IFERROR(up_RadSpec!$E$15*(AD15/$B44),".")</f>
        <v>344719.49133896065</v>
      </c>
      <c r="AE44" s="49">
        <f>IFERROR(up_RadSpec!$E$15*(AE15/$B44),".")</f>
        <v>344719.49133896065</v>
      </c>
      <c r="AF44" s="49">
        <f>IFERROR(up_RadSpec!$E$15*(AF15/$B44),".")</f>
        <v>344719.49133896065</v>
      </c>
      <c r="AG44" s="49">
        <f>IFERROR(up_RadSpec!$E$15*(AG15/$B44),".")</f>
        <v>344719.49133896065</v>
      </c>
      <c r="AH44" s="49">
        <f>IFERROR(up_RadSpec!$E$15*(AH15/$B44),".")</f>
        <v>344719.49133896065</v>
      </c>
      <c r="AI44" s="49">
        <f>IFERROR(up_RadSpec!$E$15*(AI15/$B44),".")</f>
        <v>344719.49133896065</v>
      </c>
      <c r="AJ44" s="49">
        <f>IFERROR(up_RadSpec!$E$15*(AJ15/$B44),".")</f>
        <v>344719.49133896065</v>
      </c>
      <c r="AK44" s="49">
        <f>IFERROR(up_RadSpec!$E$15*(AK15/$B44),".")</f>
        <v>344719.49133896065</v>
      </c>
      <c r="AL44" s="49">
        <f>IFERROR(up_RadSpec!$E$15*(AL15/$B44),".")</f>
        <v>344719.49133896065</v>
      </c>
      <c r="AM44" s="49">
        <f>IFERROR(up_RadSpec!$E$15*(AM15/$B44),".")</f>
        <v>344719.49133896065</v>
      </c>
      <c r="AN44" s="49">
        <f>IFERROR(up_RadSpec!$E$15*(AN15/$B44),".")</f>
        <v>344719.49133896065</v>
      </c>
      <c r="AO44" s="49">
        <f>IFERROR(up_RadSpec!$E$15*(AO15/$B44),".")</f>
        <v>344719.49133896065</v>
      </c>
      <c r="AP44" s="49">
        <f>IFERROR(up_RadSpec!$E$15*(AP15/$B44),".")</f>
        <v>344719.49133896065</v>
      </c>
      <c r="AQ44" s="49">
        <f>IFERROR(up_RadSpec!$E$15*(AQ15/$B44),".")</f>
        <v>344719.49133896065</v>
      </c>
      <c r="AR44" s="49">
        <f>IFERROR(up_RadSpec!$E$15*(AR15/$B44),".")</f>
        <v>344719.49133896065</v>
      </c>
      <c r="AS44" s="49">
        <f>IFERROR(up_RadSpec!$E$15*(AS15/$B44),".")</f>
        <v>344719.49133896065</v>
      </c>
      <c r="AT44" s="49">
        <f>IFERROR(up_RadSpec!$E$15*(AT15/$B44),".")</f>
        <v>344719.49133896065</v>
      </c>
      <c r="AU44" s="49">
        <f>IFERROR(up_RadSpec!$E$15*(AU15/$B44),".")</f>
        <v>344719.49133896065</v>
      </c>
      <c r="AV44" s="49">
        <f>IFERROR(up_RadSpec!$E$15*(AV15/$B44),".")</f>
        <v>344719.49133896065</v>
      </c>
      <c r="AW44" s="49">
        <f>IFERROR(up_RadSpec!$E$15*(AW15/$B44),".")</f>
        <v>344719.49133896065</v>
      </c>
      <c r="AX44" s="49">
        <f>IFERROR(up_RadSpec!$E$15*(AX15/$B44),".")</f>
        <v>344719.49133896065</v>
      </c>
      <c r="AY44" s="49">
        <f>IFERROR(up_RadSpec!$E$15*(AY15/$B44),".")</f>
        <v>344719.49133896065</v>
      </c>
      <c r="AZ44" s="49">
        <f>IFERROR(up_RadSpec!$E$15*(AZ15/$B44),".")</f>
        <v>344719.49133896065</v>
      </c>
      <c r="BA44" s="60">
        <f t="shared" si="11"/>
        <v>17231838181.25</v>
      </c>
      <c r="BB44" s="60">
        <f t="shared" ref="BB44:BY44" si="34">IFERROR($B44/BB15,0)</f>
        <v>68927352725</v>
      </c>
      <c r="BC44" s="60">
        <f t="shared" si="34"/>
        <v>68927352725</v>
      </c>
      <c r="BD44" s="60">
        <f t="shared" si="34"/>
        <v>68927352725</v>
      </c>
      <c r="BE44" s="60">
        <f t="shared" si="34"/>
        <v>68927352725</v>
      </c>
      <c r="BF44" s="60">
        <f t="shared" si="34"/>
        <v>68927352725</v>
      </c>
      <c r="BG44" s="60">
        <f t="shared" si="34"/>
        <v>68927352725</v>
      </c>
      <c r="BH44" s="60">
        <f t="shared" si="34"/>
        <v>68927352725</v>
      </c>
      <c r="BI44" s="60">
        <f t="shared" si="34"/>
        <v>68927352725</v>
      </c>
      <c r="BJ44" s="60">
        <f t="shared" si="34"/>
        <v>68927352725</v>
      </c>
      <c r="BK44" s="60">
        <f t="shared" si="34"/>
        <v>68927352725</v>
      </c>
      <c r="BL44" s="60">
        <f t="shared" si="34"/>
        <v>68927352725</v>
      </c>
      <c r="BM44" s="60">
        <f t="shared" si="34"/>
        <v>68927352725</v>
      </c>
      <c r="BN44" s="60">
        <f t="shared" si="34"/>
        <v>68927352725</v>
      </c>
      <c r="BO44" s="60">
        <f t="shared" si="34"/>
        <v>68927352725</v>
      </c>
      <c r="BP44" s="60">
        <f t="shared" si="34"/>
        <v>68927352725</v>
      </c>
      <c r="BQ44" s="60">
        <f t="shared" si="34"/>
        <v>68927352725</v>
      </c>
      <c r="BR44" s="60">
        <f t="shared" si="34"/>
        <v>68927352725</v>
      </c>
      <c r="BS44" s="60">
        <f t="shared" si="34"/>
        <v>68927352725</v>
      </c>
      <c r="BT44" s="60">
        <f t="shared" si="34"/>
        <v>68927352725</v>
      </c>
      <c r="BU44" s="60">
        <f t="shared" si="34"/>
        <v>68927352725</v>
      </c>
      <c r="BV44" s="60">
        <f t="shared" si="34"/>
        <v>68927352725</v>
      </c>
      <c r="BW44" s="60">
        <f t="shared" si="34"/>
        <v>68927352725</v>
      </c>
      <c r="BX44" s="60">
        <f t="shared" si="34"/>
        <v>68927352725</v>
      </c>
      <c r="BY44" s="60">
        <f t="shared" si="34"/>
        <v>68927352725</v>
      </c>
      <c r="BZ44" s="49">
        <f t="shared" si="3"/>
        <v>1378877.9653558426</v>
      </c>
      <c r="CA44" s="49">
        <f>IFERROR(up_RadSpec!$E$15*(CA15/$B44),".")</f>
        <v>344719.49133896065</v>
      </c>
      <c r="CB44" s="49">
        <f>IFERROR(up_RadSpec!$E$15*(CB15/$B44),".")</f>
        <v>344719.49133896065</v>
      </c>
      <c r="CC44" s="49">
        <f>IFERROR(up_RadSpec!$E$15*(CC15/$B44),".")</f>
        <v>344719.49133896065</v>
      </c>
      <c r="CD44" s="49">
        <f>IFERROR(up_RadSpec!$E$15*(CD15/$B44),".")</f>
        <v>344719.49133896065</v>
      </c>
      <c r="CE44" s="49">
        <f>IFERROR(up_RadSpec!$E$15*(CE15/$B44),".")</f>
        <v>344719.49133896065</v>
      </c>
      <c r="CF44" s="49">
        <f>IFERROR(up_RadSpec!$E$15*(CF15/$B44),".")</f>
        <v>344719.49133896065</v>
      </c>
      <c r="CG44" s="49">
        <f>IFERROR(up_RadSpec!$E$15*(CG15/$B44),".")</f>
        <v>344719.49133896065</v>
      </c>
      <c r="CH44" s="49">
        <f>IFERROR(up_RadSpec!$E$15*(CH15/$B44),".")</f>
        <v>344719.49133896065</v>
      </c>
      <c r="CI44" s="49">
        <f>IFERROR(up_RadSpec!$E$15*(CI15/$B44),".")</f>
        <v>344719.49133896065</v>
      </c>
      <c r="CJ44" s="49">
        <f>IFERROR(up_RadSpec!$E$15*(CJ15/$B44),".")</f>
        <v>344719.49133896065</v>
      </c>
      <c r="CK44" s="49">
        <f>IFERROR(up_RadSpec!$E$15*(CK15/$B44),".")</f>
        <v>344719.49133896065</v>
      </c>
      <c r="CL44" s="49">
        <f>IFERROR(up_RadSpec!$E$15*(CL15/$B44),".")</f>
        <v>344719.49133896065</v>
      </c>
      <c r="CM44" s="49">
        <f>IFERROR(up_RadSpec!$E$15*(CM15/$B44),".")</f>
        <v>344719.49133896065</v>
      </c>
      <c r="CN44" s="49">
        <f>IFERROR(up_RadSpec!$E$15*(CN15/$B44),".")</f>
        <v>344719.49133896065</v>
      </c>
      <c r="CO44" s="49">
        <f>IFERROR(up_RadSpec!$E$15*(CO15/$B44),".")</f>
        <v>344719.49133896065</v>
      </c>
      <c r="CP44" s="49">
        <f>IFERROR(up_RadSpec!$E$15*(CP15/$B44),".")</f>
        <v>344719.49133896065</v>
      </c>
      <c r="CQ44" s="49">
        <f>IFERROR(up_RadSpec!$E$15*(CQ15/$B44),".")</f>
        <v>344719.49133896065</v>
      </c>
      <c r="CR44" s="49">
        <f>IFERROR(up_RadSpec!$E$15*(CR15/$B44),".")</f>
        <v>344719.49133896065</v>
      </c>
      <c r="CS44" s="49">
        <f>IFERROR(up_RadSpec!$E$15*(CS15/$B44),".")</f>
        <v>344719.49133896065</v>
      </c>
      <c r="CT44" s="49">
        <f>IFERROR(up_RadSpec!$E$15*(CT15/$B44),".")</f>
        <v>344719.49133896065</v>
      </c>
      <c r="CU44" s="49">
        <f>IFERROR(up_RadSpec!$E$15*(CU15/$B44),".")</f>
        <v>344719.49133896065</v>
      </c>
      <c r="CV44" s="49">
        <f>IFERROR(up_RadSpec!$E$15*(CV15/$B44),".")</f>
        <v>344719.49133896065</v>
      </c>
      <c r="CW44" s="49">
        <f>IFERROR(up_RadSpec!$E$15*(CW15/$B44),".")</f>
        <v>344719.49133896065</v>
      </c>
      <c r="CX44" s="49">
        <f>IFERROR(up_RadSpec!$E$15*(CX15/$B44),".")</f>
        <v>344719.49133896065</v>
      </c>
    </row>
    <row r="45" spans="1:102" x14ac:dyDescent="0.25">
      <c r="A45" s="82" t="s">
        <v>20</v>
      </c>
      <c r="B45" s="82" t="s">
        <v>1074</v>
      </c>
      <c r="C45" s="58">
        <f t="shared" si="8"/>
        <v>1.8655301170554114E-12</v>
      </c>
      <c r="D45" s="58">
        <f t="shared" ref="D45:AA45" si="35">IFERROR(IF(AND(D46&lt;&gt;0,D47&lt;&gt;0),1/SUM(1/D46,1/D47),IF(AND(D46&lt;&gt;0,D47=0),1/(1/D46),IF(AND(D46=0,D47&lt;&gt;0),1/(1/D47),IF(AND(D46=0,D47=0),".")))),".")</f>
        <v>7.4621204682216454E-12</v>
      </c>
      <c r="E45" s="58">
        <f t="shared" si="35"/>
        <v>7.4621204682216454E-12</v>
      </c>
      <c r="F45" s="58">
        <f t="shared" si="35"/>
        <v>7.4621204682216454E-12</v>
      </c>
      <c r="G45" s="58">
        <f t="shared" si="35"/>
        <v>7.4621204682216454E-12</v>
      </c>
      <c r="H45" s="58">
        <f t="shared" si="35"/>
        <v>7.4621204682216454E-12</v>
      </c>
      <c r="I45" s="58">
        <f t="shared" si="35"/>
        <v>7.4621204682216454E-12</v>
      </c>
      <c r="J45" s="58">
        <f t="shared" si="35"/>
        <v>7.4621204682216454E-12</v>
      </c>
      <c r="K45" s="58">
        <f t="shared" si="35"/>
        <v>7.4621204682216454E-12</v>
      </c>
      <c r="L45" s="58">
        <f t="shared" si="35"/>
        <v>7.4621204682216454E-12</v>
      </c>
      <c r="M45" s="58">
        <f t="shared" si="35"/>
        <v>7.4621204682216454E-12</v>
      </c>
      <c r="N45" s="58">
        <f t="shared" si="35"/>
        <v>7.4621204682216454E-12</v>
      </c>
      <c r="O45" s="58">
        <f t="shared" si="35"/>
        <v>7.4621204682216454E-12</v>
      </c>
      <c r="P45" s="58">
        <f t="shared" si="35"/>
        <v>7.4621204682216454E-12</v>
      </c>
      <c r="Q45" s="58">
        <f t="shared" si="35"/>
        <v>7.4621204682216454E-12</v>
      </c>
      <c r="R45" s="58">
        <f t="shared" si="35"/>
        <v>7.4621204682216454E-12</v>
      </c>
      <c r="S45" s="58">
        <f t="shared" si="35"/>
        <v>7.4621204682216454E-12</v>
      </c>
      <c r="T45" s="58">
        <f t="shared" si="35"/>
        <v>7.4621204682216454E-12</v>
      </c>
      <c r="U45" s="58">
        <f t="shared" si="35"/>
        <v>7.4621204682216454E-12</v>
      </c>
      <c r="V45" s="58">
        <f t="shared" si="35"/>
        <v>7.4621204682216454E-12</v>
      </c>
      <c r="W45" s="58">
        <f t="shared" si="35"/>
        <v>7.4621204682216454E-12</v>
      </c>
      <c r="X45" s="58">
        <f t="shared" si="35"/>
        <v>7.4621204682216454E-12</v>
      </c>
      <c r="Y45" s="58">
        <f t="shared" si="35"/>
        <v>7.4621204682216454E-12</v>
      </c>
      <c r="Z45" s="58">
        <f t="shared" si="35"/>
        <v>7.4621204682216454E-12</v>
      </c>
      <c r="AA45" s="58">
        <f t="shared" si="35"/>
        <v>7.4621204682216454E-12</v>
      </c>
      <c r="AB45" s="47">
        <f>IFERROR(IF(SUM(AC45:AY45)&gt;0.01,1-EXP(-SUM(AC45:AY45)),SUM(AC45:AY45)),".")</f>
        <v>0.9999999998973812</v>
      </c>
      <c r="AC45" s="47">
        <f t="shared" ref="AC45:AY45" si="36">IFERROR(IF(SUM(AC46:AC47)&gt;0.01,1-EXP(-(SUM(AC46:AC47))),SUM(AC46:AC47)),".")</f>
        <v>1</v>
      </c>
      <c r="AD45" s="47">
        <f t="shared" si="36"/>
        <v>1</v>
      </c>
      <c r="AE45" s="47">
        <f t="shared" si="36"/>
        <v>1</v>
      </c>
      <c r="AF45" s="47">
        <f t="shared" si="36"/>
        <v>1</v>
      </c>
      <c r="AG45" s="47">
        <f t="shared" si="36"/>
        <v>1</v>
      </c>
      <c r="AH45" s="47">
        <f t="shared" si="36"/>
        <v>1</v>
      </c>
      <c r="AI45" s="47">
        <f t="shared" si="36"/>
        <v>1</v>
      </c>
      <c r="AJ45" s="47">
        <f t="shared" si="36"/>
        <v>1</v>
      </c>
      <c r="AK45" s="47">
        <f t="shared" si="36"/>
        <v>1</v>
      </c>
      <c r="AL45" s="47">
        <f t="shared" si="36"/>
        <v>1</v>
      </c>
      <c r="AM45" s="47">
        <f t="shared" si="36"/>
        <v>1</v>
      </c>
      <c r="AN45" s="47">
        <f t="shared" si="36"/>
        <v>1</v>
      </c>
      <c r="AO45" s="47">
        <f t="shared" si="36"/>
        <v>1</v>
      </c>
      <c r="AP45" s="47">
        <f t="shared" si="36"/>
        <v>1</v>
      </c>
      <c r="AQ45" s="47">
        <f t="shared" si="36"/>
        <v>1</v>
      </c>
      <c r="AR45" s="47">
        <f t="shared" si="36"/>
        <v>1</v>
      </c>
      <c r="AS45" s="47">
        <f t="shared" si="36"/>
        <v>1</v>
      </c>
      <c r="AT45" s="47">
        <f t="shared" si="36"/>
        <v>1</v>
      </c>
      <c r="AU45" s="47">
        <f t="shared" si="36"/>
        <v>1</v>
      </c>
      <c r="AV45" s="47">
        <f t="shared" si="36"/>
        <v>1</v>
      </c>
      <c r="AW45" s="47">
        <f t="shared" si="36"/>
        <v>1</v>
      </c>
      <c r="AX45" s="47">
        <f t="shared" si="36"/>
        <v>1</v>
      </c>
      <c r="AY45" s="47">
        <f t="shared" si="36"/>
        <v>1</v>
      </c>
      <c r="AZ45" s="47">
        <f>IFERROR(IF(SUM(AZ46:AZ47)&gt;0.01,1-EXP(-(SUM(AZ46:AZ47))),SUM(AZ46:AZ47)),".")</f>
        <v>1</v>
      </c>
      <c r="BA45" s="58">
        <f t="shared" si="11"/>
        <v>1.8655301170554114E-12</v>
      </c>
      <c r="BB45" s="58">
        <f>IFERROR(1/SUM(BB46:BB47),".")</f>
        <v>7.4621204682216454E-12</v>
      </c>
      <c r="BC45" s="58">
        <f t="shared" ref="BC45:BY45" si="37">IFERROR(1/SUM(BC46:BC47),".")</f>
        <v>7.4621204682216454E-12</v>
      </c>
      <c r="BD45" s="58">
        <f t="shared" si="37"/>
        <v>7.4621204682216454E-12</v>
      </c>
      <c r="BE45" s="58">
        <f t="shared" si="37"/>
        <v>7.4621204682216454E-12</v>
      </c>
      <c r="BF45" s="58">
        <f t="shared" si="37"/>
        <v>7.4621204682216454E-12</v>
      </c>
      <c r="BG45" s="58">
        <f t="shared" si="37"/>
        <v>7.4621204682216454E-12</v>
      </c>
      <c r="BH45" s="58">
        <f t="shared" si="37"/>
        <v>7.4621204682216454E-12</v>
      </c>
      <c r="BI45" s="58">
        <f t="shared" si="37"/>
        <v>7.4621204682216454E-12</v>
      </c>
      <c r="BJ45" s="58">
        <f t="shared" si="37"/>
        <v>7.4621204682216454E-12</v>
      </c>
      <c r="BK45" s="58">
        <f t="shared" si="37"/>
        <v>7.4621204682216454E-12</v>
      </c>
      <c r="BL45" s="58">
        <f t="shared" si="37"/>
        <v>7.4621204682216454E-12</v>
      </c>
      <c r="BM45" s="58">
        <f t="shared" si="37"/>
        <v>7.4621204682216454E-12</v>
      </c>
      <c r="BN45" s="58">
        <f t="shared" si="37"/>
        <v>7.4621204682216454E-12</v>
      </c>
      <c r="BO45" s="58">
        <f t="shared" si="37"/>
        <v>7.4621204682216454E-12</v>
      </c>
      <c r="BP45" s="58">
        <f t="shared" si="37"/>
        <v>7.4621204682216454E-12</v>
      </c>
      <c r="BQ45" s="58">
        <f t="shared" si="37"/>
        <v>7.4621204682216454E-12</v>
      </c>
      <c r="BR45" s="58">
        <f t="shared" si="37"/>
        <v>7.4621204682216454E-12</v>
      </c>
      <c r="BS45" s="58">
        <f t="shared" si="37"/>
        <v>7.4621204682216454E-12</v>
      </c>
      <c r="BT45" s="58">
        <f t="shared" si="37"/>
        <v>7.4621204682216454E-12</v>
      </c>
      <c r="BU45" s="58">
        <f t="shared" si="37"/>
        <v>7.4621204682216454E-12</v>
      </c>
      <c r="BV45" s="58">
        <f t="shared" si="37"/>
        <v>7.4621204682216454E-12</v>
      </c>
      <c r="BW45" s="58">
        <f t="shared" si="37"/>
        <v>7.4621204682216454E-12</v>
      </c>
      <c r="BX45" s="58">
        <f t="shared" si="37"/>
        <v>7.4621204682216454E-12</v>
      </c>
      <c r="BY45" s="58">
        <f t="shared" si="37"/>
        <v>7.4621204682216454E-12</v>
      </c>
      <c r="BZ45" s="47">
        <f>IFERROR(IF(SUM(CA46:CB47,CW46:CX47)&gt;0.01,1-EXP(-SUM(CA46:CB47,CW46:CX47)),SUM(CA46:CB47,CW46:CX47)),".")</f>
        <v>1</v>
      </c>
      <c r="CA45" s="47">
        <f t="shared" ref="CA45:CV45" si="38">IFERROR(IF(SUM(CA46:CA47)&gt;0.01,1-EXP(-(SUM(CA46:CA47))),SUM(CA46:CA47)),".")</f>
        <v>1</v>
      </c>
      <c r="CB45" s="47">
        <f t="shared" si="38"/>
        <v>1</v>
      </c>
      <c r="CC45" s="47">
        <f t="shared" si="38"/>
        <v>1</v>
      </c>
      <c r="CD45" s="47">
        <f t="shared" si="38"/>
        <v>1</v>
      </c>
      <c r="CE45" s="47">
        <f t="shared" si="38"/>
        <v>1</v>
      </c>
      <c r="CF45" s="47">
        <f t="shared" si="38"/>
        <v>1</v>
      </c>
      <c r="CG45" s="47">
        <f t="shared" si="38"/>
        <v>1</v>
      </c>
      <c r="CH45" s="47">
        <f t="shared" si="38"/>
        <v>1</v>
      </c>
      <c r="CI45" s="47">
        <f t="shared" si="38"/>
        <v>1</v>
      </c>
      <c r="CJ45" s="47">
        <f t="shared" si="38"/>
        <v>1</v>
      </c>
      <c r="CK45" s="47">
        <f t="shared" si="38"/>
        <v>1</v>
      </c>
      <c r="CL45" s="47">
        <f t="shared" si="38"/>
        <v>1</v>
      </c>
      <c r="CM45" s="47">
        <f t="shared" si="38"/>
        <v>1</v>
      </c>
      <c r="CN45" s="47">
        <f t="shared" si="38"/>
        <v>1</v>
      </c>
      <c r="CO45" s="47">
        <f t="shared" si="38"/>
        <v>1</v>
      </c>
      <c r="CP45" s="47">
        <f t="shared" si="38"/>
        <v>1</v>
      </c>
      <c r="CQ45" s="47">
        <f t="shared" si="38"/>
        <v>1</v>
      </c>
      <c r="CR45" s="47">
        <f t="shared" si="38"/>
        <v>1</v>
      </c>
      <c r="CS45" s="47">
        <f t="shared" si="38"/>
        <v>1</v>
      </c>
      <c r="CT45" s="47">
        <f t="shared" si="38"/>
        <v>1</v>
      </c>
      <c r="CU45" s="47">
        <f t="shared" si="38"/>
        <v>1</v>
      </c>
      <c r="CV45" s="47">
        <f t="shared" si="38"/>
        <v>1</v>
      </c>
      <c r="CW45" s="47">
        <f>IFERROR(IF(SUM(CW46:CW47)&gt;0.01,1-EXP(-(SUM(CW46:CW47))),SUM(CW46:CW47)),".")</f>
        <v>1</v>
      </c>
      <c r="CX45" s="47">
        <f>IFERROR(IF(SUM(CX46:CX47)&gt;0.01,1-EXP(-(SUM(CX46:CX47))),SUM(CX46:CX47)),".")</f>
        <v>1</v>
      </c>
    </row>
    <row r="46" spans="1:102" x14ac:dyDescent="0.25">
      <c r="A46" s="83" t="s">
        <v>1101</v>
      </c>
      <c r="B46" s="42">
        <v>1</v>
      </c>
      <c r="C46" s="60">
        <f t="shared" si="8"/>
        <v>3.6265718922545492E-12</v>
      </c>
      <c r="D46" s="60">
        <f t="shared" ref="D46:AA46" si="39">IFERROR(D10/$B46,0)</f>
        <v>1.4506287569018197E-11</v>
      </c>
      <c r="E46" s="60">
        <f t="shared" si="39"/>
        <v>1.4506287569018197E-11</v>
      </c>
      <c r="F46" s="60">
        <f t="shared" si="39"/>
        <v>1.4506287569018197E-11</v>
      </c>
      <c r="G46" s="60">
        <f t="shared" si="39"/>
        <v>1.4506287569018197E-11</v>
      </c>
      <c r="H46" s="60">
        <f t="shared" si="39"/>
        <v>1.4506287569018197E-11</v>
      </c>
      <c r="I46" s="60">
        <f t="shared" si="39"/>
        <v>1.4506287569018197E-11</v>
      </c>
      <c r="J46" s="60">
        <f t="shared" si="39"/>
        <v>1.4506287569018197E-11</v>
      </c>
      <c r="K46" s="60">
        <f t="shared" si="39"/>
        <v>1.4506287569018197E-11</v>
      </c>
      <c r="L46" s="60">
        <f t="shared" si="39"/>
        <v>1.4506287569018197E-11</v>
      </c>
      <c r="M46" s="60">
        <f t="shared" si="39"/>
        <v>1.4506287569018197E-11</v>
      </c>
      <c r="N46" s="60">
        <f t="shared" si="39"/>
        <v>1.4506287569018197E-11</v>
      </c>
      <c r="O46" s="60">
        <f t="shared" si="39"/>
        <v>1.4506287569018197E-11</v>
      </c>
      <c r="P46" s="60">
        <f t="shared" si="39"/>
        <v>1.4506287569018197E-11</v>
      </c>
      <c r="Q46" s="60">
        <f t="shared" si="39"/>
        <v>1.4506287569018197E-11</v>
      </c>
      <c r="R46" s="60">
        <f t="shared" si="39"/>
        <v>1.4506287569018197E-11</v>
      </c>
      <c r="S46" s="60">
        <f t="shared" si="39"/>
        <v>1.4506287569018197E-11</v>
      </c>
      <c r="T46" s="60">
        <f t="shared" si="39"/>
        <v>1.4506287569018197E-11</v>
      </c>
      <c r="U46" s="60">
        <f t="shared" si="39"/>
        <v>1.4506287569018197E-11</v>
      </c>
      <c r="V46" s="60">
        <f t="shared" si="39"/>
        <v>1.4506287569018197E-11</v>
      </c>
      <c r="W46" s="60">
        <f t="shared" si="39"/>
        <v>1.4506287569018197E-11</v>
      </c>
      <c r="X46" s="60">
        <f t="shared" si="39"/>
        <v>1.4506287569018197E-11</v>
      </c>
      <c r="Y46" s="60">
        <f t="shared" si="39"/>
        <v>1.4506287569018197E-11</v>
      </c>
      <c r="Z46" s="60">
        <f t="shared" si="39"/>
        <v>1.4506287569018197E-11</v>
      </c>
      <c r="AA46" s="60">
        <f t="shared" si="39"/>
        <v>1.4506287569018197E-11</v>
      </c>
      <c r="AB46" s="49">
        <f>SUM(AC46:AY46)</f>
        <v>7927596.875</v>
      </c>
      <c r="AC46" s="49">
        <f>IFERROR(up_RadSpec!$E$10*(AC10/$B46),".")</f>
        <v>344678.125</v>
      </c>
      <c r="AD46" s="49">
        <f>IFERROR(up_RadSpec!$E$10*(AD10/$B46),".")</f>
        <v>344678.125</v>
      </c>
      <c r="AE46" s="49">
        <f>IFERROR(up_RadSpec!$E$10*(AE10/$B46),".")</f>
        <v>344678.125</v>
      </c>
      <c r="AF46" s="49">
        <f>IFERROR(up_RadSpec!$E$10*(AF10/$B46),".")</f>
        <v>344678.125</v>
      </c>
      <c r="AG46" s="49">
        <f>IFERROR(up_RadSpec!$E$10*(AG10/$B46),".")</f>
        <v>344678.125</v>
      </c>
      <c r="AH46" s="49">
        <f>IFERROR(up_RadSpec!$E$10*(AH10/$B46),".")</f>
        <v>344678.125</v>
      </c>
      <c r="AI46" s="49">
        <f>IFERROR(up_RadSpec!$E$10*(AI10/$B46),".")</f>
        <v>344678.125</v>
      </c>
      <c r="AJ46" s="49">
        <f>IFERROR(up_RadSpec!$E$10*(AJ10/$B46),".")</f>
        <v>344678.125</v>
      </c>
      <c r="AK46" s="49">
        <f>IFERROR(up_RadSpec!$E$10*(AK10/$B46),".")</f>
        <v>344678.125</v>
      </c>
      <c r="AL46" s="49">
        <f>IFERROR(up_RadSpec!$E$10*(AL10/$B46),".")</f>
        <v>344678.125</v>
      </c>
      <c r="AM46" s="49">
        <f>IFERROR(up_RadSpec!$E$10*(AM10/$B46),".")</f>
        <v>344678.125</v>
      </c>
      <c r="AN46" s="49">
        <f>IFERROR(up_RadSpec!$E$10*(AN10/$B46),".")</f>
        <v>344678.125</v>
      </c>
      <c r="AO46" s="49">
        <f>IFERROR(up_RadSpec!$E$10*(AO10/$B46),".")</f>
        <v>344678.125</v>
      </c>
      <c r="AP46" s="49">
        <f>IFERROR(up_RadSpec!$E$10*(AP10/$B46),".")</f>
        <v>344678.125</v>
      </c>
      <c r="AQ46" s="49">
        <f>IFERROR(up_RadSpec!$E$10*(AQ10/$B46),".")</f>
        <v>344678.125</v>
      </c>
      <c r="AR46" s="49">
        <f>IFERROR(up_RadSpec!$E$10*(AR10/$B46),".")</f>
        <v>344678.125</v>
      </c>
      <c r="AS46" s="49">
        <f>IFERROR(up_RadSpec!$E$10*(AS10/$B46),".")</f>
        <v>344678.125</v>
      </c>
      <c r="AT46" s="49">
        <f>IFERROR(up_RadSpec!$E$10*(AT10/$B46),".")</f>
        <v>344678.125</v>
      </c>
      <c r="AU46" s="49">
        <f>IFERROR(up_RadSpec!$E$10*(AU10/$B46),".")</f>
        <v>344678.125</v>
      </c>
      <c r="AV46" s="49">
        <f>IFERROR(up_RadSpec!$E$10*(AV10/$B46),".")</f>
        <v>344678.125</v>
      </c>
      <c r="AW46" s="49">
        <f>IFERROR(up_RadSpec!$E$10*(AW10/$B46),".")</f>
        <v>344678.125</v>
      </c>
      <c r="AX46" s="49">
        <f>IFERROR(up_RadSpec!$E$10*(AX10/$B46),".")</f>
        <v>344678.125</v>
      </c>
      <c r="AY46" s="49">
        <f>IFERROR(up_RadSpec!$E$10*(AY10/$B46),".")</f>
        <v>344678.125</v>
      </c>
      <c r="AZ46" s="49">
        <f>IFERROR(up_RadSpec!$E$10*(AZ10/$B46),".")</f>
        <v>344678.125</v>
      </c>
      <c r="BA46" s="60">
        <f t="shared" si="11"/>
        <v>17233906250</v>
      </c>
      <c r="BB46" s="60">
        <f t="shared" ref="BB46:BY46" si="40">IFERROR($B46/BB10,0)</f>
        <v>68935625000</v>
      </c>
      <c r="BC46" s="60">
        <f t="shared" si="40"/>
        <v>68935625000</v>
      </c>
      <c r="BD46" s="60">
        <f t="shared" si="40"/>
        <v>68935625000</v>
      </c>
      <c r="BE46" s="60">
        <f t="shared" si="40"/>
        <v>68935625000</v>
      </c>
      <c r="BF46" s="60">
        <f t="shared" si="40"/>
        <v>68935625000</v>
      </c>
      <c r="BG46" s="60">
        <f t="shared" si="40"/>
        <v>68935625000</v>
      </c>
      <c r="BH46" s="60">
        <f t="shared" si="40"/>
        <v>68935625000</v>
      </c>
      <c r="BI46" s="60">
        <f t="shared" si="40"/>
        <v>68935625000</v>
      </c>
      <c r="BJ46" s="60">
        <f t="shared" si="40"/>
        <v>68935625000</v>
      </c>
      <c r="BK46" s="60">
        <f t="shared" si="40"/>
        <v>68935625000</v>
      </c>
      <c r="BL46" s="60">
        <f t="shared" si="40"/>
        <v>68935625000</v>
      </c>
      <c r="BM46" s="60">
        <f t="shared" si="40"/>
        <v>68935625000</v>
      </c>
      <c r="BN46" s="60">
        <f t="shared" si="40"/>
        <v>68935625000</v>
      </c>
      <c r="BO46" s="60">
        <f t="shared" si="40"/>
        <v>68935625000</v>
      </c>
      <c r="BP46" s="60">
        <f t="shared" si="40"/>
        <v>68935625000</v>
      </c>
      <c r="BQ46" s="60">
        <f t="shared" si="40"/>
        <v>68935625000</v>
      </c>
      <c r="BR46" s="60">
        <f t="shared" si="40"/>
        <v>68935625000</v>
      </c>
      <c r="BS46" s="60">
        <f t="shared" si="40"/>
        <v>68935625000</v>
      </c>
      <c r="BT46" s="60">
        <f t="shared" si="40"/>
        <v>68935625000</v>
      </c>
      <c r="BU46" s="60">
        <f t="shared" si="40"/>
        <v>68935625000</v>
      </c>
      <c r="BV46" s="60">
        <f t="shared" si="40"/>
        <v>68935625000</v>
      </c>
      <c r="BW46" s="60">
        <f t="shared" si="40"/>
        <v>68935625000</v>
      </c>
      <c r="BX46" s="60">
        <f t="shared" si="40"/>
        <v>68935625000</v>
      </c>
      <c r="BY46" s="60">
        <f t="shared" si="40"/>
        <v>68935625000</v>
      </c>
      <c r="BZ46" s="49">
        <f t="shared" si="3"/>
        <v>1378712.5</v>
      </c>
      <c r="CA46" s="49">
        <f>IFERROR(up_RadSpec!$E$10*(CA10/$B46),".")</f>
        <v>344678.125</v>
      </c>
      <c r="CB46" s="49">
        <f>IFERROR(up_RadSpec!$E$10*(CB10/$B46),".")</f>
        <v>344678.125</v>
      </c>
      <c r="CC46" s="49">
        <f>IFERROR(up_RadSpec!$E$10*(CC10/$B46),".")</f>
        <v>344678.125</v>
      </c>
      <c r="CD46" s="49">
        <f>IFERROR(up_RadSpec!$E$10*(CD10/$B46),".")</f>
        <v>344678.125</v>
      </c>
      <c r="CE46" s="49">
        <f>IFERROR(up_RadSpec!$E$10*(CE10/$B46),".")</f>
        <v>344678.125</v>
      </c>
      <c r="CF46" s="49">
        <f>IFERROR(up_RadSpec!$E$10*(CF10/$B46),".")</f>
        <v>344678.125</v>
      </c>
      <c r="CG46" s="49">
        <f>IFERROR(up_RadSpec!$E$10*(CG10/$B46),".")</f>
        <v>344678.125</v>
      </c>
      <c r="CH46" s="49">
        <f>IFERROR(up_RadSpec!$E$10*(CH10/$B46),".")</f>
        <v>344678.125</v>
      </c>
      <c r="CI46" s="49">
        <f>IFERROR(up_RadSpec!$E$10*(CI10/$B46),".")</f>
        <v>344678.125</v>
      </c>
      <c r="CJ46" s="49">
        <f>IFERROR(up_RadSpec!$E$10*(CJ10/$B46),".")</f>
        <v>344678.125</v>
      </c>
      <c r="CK46" s="49">
        <f>IFERROR(up_RadSpec!$E$10*(CK10/$B46),".")</f>
        <v>344678.125</v>
      </c>
      <c r="CL46" s="49">
        <f>IFERROR(up_RadSpec!$E$10*(CL10/$B46),".")</f>
        <v>344678.125</v>
      </c>
      <c r="CM46" s="49">
        <f>IFERROR(up_RadSpec!$E$10*(CM10/$B46),".")</f>
        <v>344678.125</v>
      </c>
      <c r="CN46" s="49">
        <f>IFERROR(up_RadSpec!$E$10*(CN10/$B46),".")</f>
        <v>344678.125</v>
      </c>
      <c r="CO46" s="49">
        <f>IFERROR(up_RadSpec!$E$10*(CO10/$B46),".")</f>
        <v>344678.125</v>
      </c>
      <c r="CP46" s="49">
        <f>IFERROR(up_RadSpec!$E$10*(CP10/$B46),".")</f>
        <v>344678.125</v>
      </c>
      <c r="CQ46" s="49">
        <f>IFERROR(up_RadSpec!$E$10*(CQ10/$B46),".")</f>
        <v>344678.125</v>
      </c>
      <c r="CR46" s="49">
        <f>IFERROR(up_RadSpec!$E$10*(CR10/$B46),".")</f>
        <v>344678.125</v>
      </c>
      <c r="CS46" s="49">
        <f>IFERROR(up_RadSpec!$E$10*(CS10/$B46),".")</f>
        <v>344678.125</v>
      </c>
      <c r="CT46" s="49">
        <f>IFERROR(up_RadSpec!$E$10*(CT10/$B46),".")</f>
        <v>344678.125</v>
      </c>
      <c r="CU46" s="49">
        <f>IFERROR(up_RadSpec!$E$10*(CU10/$B46),".")</f>
        <v>344678.125</v>
      </c>
      <c r="CV46" s="49">
        <f>IFERROR(up_RadSpec!$E$10*(CV10/$B46),".")</f>
        <v>344678.125</v>
      </c>
      <c r="CW46" s="49">
        <f>IFERROR(up_RadSpec!$E$10*(CW10/$B46),".")</f>
        <v>344678.125</v>
      </c>
      <c r="CX46" s="49">
        <f>IFERROR(up_RadSpec!$E$10*(CX10/$B46),".")</f>
        <v>344678.125</v>
      </c>
    </row>
    <row r="47" spans="1:102" x14ac:dyDescent="0.25">
      <c r="A47" s="83" t="s">
        <v>1075</v>
      </c>
      <c r="B47" s="85">
        <v>0.94399</v>
      </c>
      <c r="C47" s="60">
        <f t="shared" si="8"/>
        <v>3.8417482094667841E-12</v>
      </c>
      <c r="D47" s="60">
        <f t="shared" ref="D47:AA47" si="41">IFERROR(D6/$B$47,0)</f>
        <v>1.5366992837867136E-11</v>
      </c>
      <c r="E47" s="60">
        <f t="shared" si="41"/>
        <v>1.5366992837867136E-11</v>
      </c>
      <c r="F47" s="60">
        <f t="shared" si="41"/>
        <v>1.5366992837867136E-11</v>
      </c>
      <c r="G47" s="60">
        <f t="shared" si="41"/>
        <v>1.5366992837867136E-11</v>
      </c>
      <c r="H47" s="60">
        <f t="shared" si="41"/>
        <v>1.5366992837867136E-11</v>
      </c>
      <c r="I47" s="60">
        <f t="shared" si="41"/>
        <v>1.5366992837867136E-11</v>
      </c>
      <c r="J47" s="60">
        <f t="shared" si="41"/>
        <v>1.5366992837867136E-11</v>
      </c>
      <c r="K47" s="60">
        <f t="shared" si="41"/>
        <v>1.5366992837867136E-11</v>
      </c>
      <c r="L47" s="60">
        <f t="shared" si="41"/>
        <v>1.5366992837867136E-11</v>
      </c>
      <c r="M47" s="60">
        <f t="shared" si="41"/>
        <v>1.5366992837867136E-11</v>
      </c>
      <c r="N47" s="60">
        <f t="shared" si="41"/>
        <v>1.5366992837867136E-11</v>
      </c>
      <c r="O47" s="60">
        <f t="shared" si="41"/>
        <v>1.5366992837867136E-11</v>
      </c>
      <c r="P47" s="60">
        <f t="shared" si="41"/>
        <v>1.5366992837867136E-11</v>
      </c>
      <c r="Q47" s="60">
        <f t="shared" si="41"/>
        <v>1.5366992837867136E-11</v>
      </c>
      <c r="R47" s="60">
        <f t="shared" si="41"/>
        <v>1.5366992837867136E-11</v>
      </c>
      <c r="S47" s="60">
        <f t="shared" si="41"/>
        <v>1.5366992837867136E-11</v>
      </c>
      <c r="T47" s="60">
        <f t="shared" si="41"/>
        <v>1.5366992837867136E-11</v>
      </c>
      <c r="U47" s="60">
        <f t="shared" si="41"/>
        <v>1.5366992837867136E-11</v>
      </c>
      <c r="V47" s="60">
        <f t="shared" si="41"/>
        <v>1.5366992837867136E-11</v>
      </c>
      <c r="W47" s="60">
        <f t="shared" si="41"/>
        <v>1.5366992837867136E-11</v>
      </c>
      <c r="X47" s="60">
        <f t="shared" si="41"/>
        <v>1.5366992837867136E-11</v>
      </c>
      <c r="Y47" s="60">
        <f t="shared" si="41"/>
        <v>1.5366992837867136E-11</v>
      </c>
      <c r="Z47" s="60">
        <f t="shared" si="41"/>
        <v>1.5366992837867136E-11</v>
      </c>
      <c r="AA47" s="60">
        <f t="shared" si="41"/>
        <v>1.5366992837867136E-11</v>
      </c>
      <c r="AB47" s="49">
        <f>SUM(AC47:AY47)</f>
        <v>8397967.0070657562</v>
      </c>
      <c r="AC47" s="49">
        <f>IFERROR(up_RadSpec!$E$6*(AC6/$B47),".")</f>
        <v>365129.00030720665</v>
      </c>
      <c r="AD47" s="49">
        <f>IFERROR(up_RadSpec!$E$6*(AD6/$B47),".")</f>
        <v>365129.00030720665</v>
      </c>
      <c r="AE47" s="49">
        <f>IFERROR(up_RadSpec!$E$6*(AE6/$B47),".")</f>
        <v>365129.00030720665</v>
      </c>
      <c r="AF47" s="49">
        <f>IFERROR(up_RadSpec!$E$6*(AF6/$B47),".")</f>
        <v>365129.00030720665</v>
      </c>
      <c r="AG47" s="49">
        <f>IFERROR(up_RadSpec!$E$6*(AG6/$B47),".")</f>
        <v>365129.00030720665</v>
      </c>
      <c r="AH47" s="49">
        <f>IFERROR(up_RadSpec!$E$6*(AH6/$B47),".")</f>
        <v>365129.00030720665</v>
      </c>
      <c r="AI47" s="49">
        <f>IFERROR(up_RadSpec!$E$6*(AI6/$B47),".")</f>
        <v>365129.00030720665</v>
      </c>
      <c r="AJ47" s="49">
        <f>IFERROR(up_RadSpec!$E$6*(AJ6/$B47),".")</f>
        <v>365129.00030720665</v>
      </c>
      <c r="AK47" s="49">
        <f>IFERROR(up_RadSpec!$E$6*(AK6/$B47),".")</f>
        <v>365129.00030720665</v>
      </c>
      <c r="AL47" s="49">
        <f>IFERROR(up_RadSpec!$E$6*(AL6/$B47),".")</f>
        <v>365129.00030720665</v>
      </c>
      <c r="AM47" s="49">
        <f>IFERROR(up_RadSpec!$E$6*(AM6/$B47),".")</f>
        <v>365129.00030720665</v>
      </c>
      <c r="AN47" s="49">
        <f>IFERROR(up_RadSpec!$E$6*(AN6/$B47),".")</f>
        <v>365129.00030720665</v>
      </c>
      <c r="AO47" s="49">
        <f>IFERROR(up_RadSpec!$E$6*(AO6/$B47),".")</f>
        <v>365129.00030720665</v>
      </c>
      <c r="AP47" s="49">
        <f>IFERROR(up_RadSpec!$E$6*(AP6/$B47),".")</f>
        <v>365129.00030720665</v>
      </c>
      <c r="AQ47" s="49">
        <f>IFERROR(up_RadSpec!$E$6*(AQ6/$B47),".")</f>
        <v>365129.00030720665</v>
      </c>
      <c r="AR47" s="49">
        <f>IFERROR(up_RadSpec!$E$6*(AR6/$B47),".")</f>
        <v>365129.00030720665</v>
      </c>
      <c r="AS47" s="49">
        <f>IFERROR(up_RadSpec!$E$6*(AS6/$B47),".")</f>
        <v>365129.00030720665</v>
      </c>
      <c r="AT47" s="49">
        <f>IFERROR(up_RadSpec!$E$6*(AT6/$B47),".")</f>
        <v>365129.00030720665</v>
      </c>
      <c r="AU47" s="49">
        <f>IFERROR(up_RadSpec!$E$6*(AU6/$B47),".")</f>
        <v>365129.00030720665</v>
      </c>
      <c r="AV47" s="49">
        <f>IFERROR(up_RadSpec!$E$6*(AV6/$B47),".")</f>
        <v>365129.00030720665</v>
      </c>
      <c r="AW47" s="49">
        <f>IFERROR(up_RadSpec!$E$6*(AW6/$B47),".")</f>
        <v>365129.00030720665</v>
      </c>
      <c r="AX47" s="49">
        <f>IFERROR(up_RadSpec!$E$6*(AX6/$B47),".")</f>
        <v>365129.00030720665</v>
      </c>
      <c r="AY47" s="49">
        <f>IFERROR(up_RadSpec!$E$6*(AY6/$B47),".")</f>
        <v>365129.00030720665</v>
      </c>
      <c r="AZ47" s="49">
        <f>IFERROR(up_RadSpec!$E$6*(AZ6/$B47),".")</f>
        <v>365129.00030720665</v>
      </c>
      <c r="BA47" s="60">
        <f t="shared" si="11"/>
        <v>16268635160.937502</v>
      </c>
      <c r="BB47" s="60">
        <f t="shared" ref="BB47:BY47" si="42">IFERROR($B47/BB6,0)</f>
        <v>65074540643.75</v>
      </c>
      <c r="BC47" s="60">
        <f t="shared" si="42"/>
        <v>65074540643.75</v>
      </c>
      <c r="BD47" s="60">
        <f t="shared" si="42"/>
        <v>65074540643.75</v>
      </c>
      <c r="BE47" s="60">
        <f t="shared" si="42"/>
        <v>65074540643.75</v>
      </c>
      <c r="BF47" s="60">
        <f t="shared" si="42"/>
        <v>65074540643.75</v>
      </c>
      <c r="BG47" s="60">
        <f t="shared" si="42"/>
        <v>65074540643.75</v>
      </c>
      <c r="BH47" s="60">
        <f t="shared" si="42"/>
        <v>65074540643.75</v>
      </c>
      <c r="BI47" s="60">
        <f t="shared" si="42"/>
        <v>65074540643.75</v>
      </c>
      <c r="BJ47" s="60">
        <f t="shared" si="42"/>
        <v>65074540643.75</v>
      </c>
      <c r="BK47" s="60">
        <f t="shared" si="42"/>
        <v>65074540643.75</v>
      </c>
      <c r="BL47" s="60">
        <f t="shared" si="42"/>
        <v>65074540643.75</v>
      </c>
      <c r="BM47" s="60">
        <f t="shared" si="42"/>
        <v>65074540643.75</v>
      </c>
      <c r="BN47" s="60">
        <f t="shared" si="42"/>
        <v>65074540643.75</v>
      </c>
      <c r="BO47" s="60">
        <f t="shared" si="42"/>
        <v>65074540643.75</v>
      </c>
      <c r="BP47" s="60">
        <f t="shared" si="42"/>
        <v>65074540643.75</v>
      </c>
      <c r="BQ47" s="60">
        <f t="shared" si="42"/>
        <v>65074540643.75</v>
      </c>
      <c r="BR47" s="60">
        <f t="shared" si="42"/>
        <v>65074540643.75</v>
      </c>
      <c r="BS47" s="60">
        <f t="shared" si="42"/>
        <v>65074540643.75</v>
      </c>
      <c r="BT47" s="60">
        <f t="shared" si="42"/>
        <v>65074540643.75</v>
      </c>
      <c r="BU47" s="60">
        <f t="shared" si="42"/>
        <v>65074540643.75</v>
      </c>
      <c r="BV47" s="60">
        <f t="shared" si="42"/>
        <v>65074540643.75</v>
      </c>
      <c r="BW47" s="60">
        <f t="shared" si="42"/>
        <v>65074540643.75</v>
      </c>
      <c r="BX47" s="60">
        <f t="shared" si="42"/>
        <v>65074540643.75</v>
      </c>
      <c r="BY47" s="60">
        <f t="shared" si="42"/>
        <v>65074540643.75</v>
      </c>
      <c r="BZ47" s="49">
        <f t="shared" si="3"/>
        <v>1460516.0012288266</v>
      </c>
      <c r="CA47" s="49">
        <f>IFERROR(up_RadSpec!$E$6*(CA6/$B47),".")</f>
        <v>365129.00030720665</v>
      </c>
      <c r="CB47" s="49">
        <f>IFERROR(up_RadSpec!$E$6*(CB6/$B47),".")</f>
        <v>365129.00030720665</v>
      </c>
      <c r="CC47" s="49">
        <f>IFERROR(up_RadSpec!$E$6*(CC6/$B47),".")</f>
        <v>365129.00030720665</v>
      </c>
      <c r="CD47" s="49">
        <f>IFERROR(up_RadSpec!$E$6*(CD6/$B47),".")</f>
        <v>365129.00030720665</v>
      </c>
      <c r="CE47" s="49">
        <f>IFERROR(up_RadSpec!$E$6*(CE6/$B47),".")</f>
        <v>365129.00030720665</v>
      </c>
      <c r="CF47" s="49">
        <f>IFERROR(up_RadSpec!$E$6*(CF6/$B47),".")</f>
        <v>365129.00030720665</v>
      </c>
      <c r="CG47" s="49">
        <f>IFERROR(up_RadSpec!$E$6*(CG6/$B47),".")</f>
        <v>365129.00030720665</v>
      </c>
      <c r="CH47" s="49">
        <f>IFERROR(up_RadSpec!$E$6*(CH6/$B47),".")</f>
        <v>365129.00030720665</v>
      </c>
      <c r="CI47" s="49">
        <f>IFERROR(up_RadSpec!$E$6*(CI6/$B47),".")</f>
        <v>365129.00030720665</v>
      </c>
      <c r="CJ47" s="49">
        <f>IFERROR(up_RadSpec!$E$6*(CJ6/$B47),".")</f>
        <v>365129.00030720665</v>
      </c>
      <c r="CK47" s="49">
        <f>IFERROR(up_RadSpec!$E$6*(CK6/$B47),".")</f>
        <v>365129.00030720665</v>
      </c>
      <c r="CL47" s="49">
        <f>IFERROR(up_RadSpec!$E$6*(CL6/$B47),".")</f>
        <v>365129.00030720665</v>
      </c>
      <c r="CM47" s="49">
        <f>IFERROR(up_RadSpec!$E$6*(CM6/$B47),".")</f>
        <v>365129.00030720665</v>
      </c>
      <c r="CN47" s="49">
        <f>IFERROR(up_RadSpec!$E$6*(CN6/$B47),".")</f>
        <v>365129.00030720665</v>
      </c>
      <c r="CO47" s="49">
        <f>IFERROR(up_RadSpec!$E$6*(CO6/$B47),".")</f>
        <v>365129.00030720665</v>
      </c>
      <c r="CP47" s="49">
        <f>IFERROR(up_RadSpec!$E$6*(CP6/$B47),".")</f>
        <v>365129.00030720665</v>
      </c>
      <c r="CQ47" s="49">
        <f>IFERROR(up_RadSpec!$E$6*(CQ6/$B47),".")</f>
        <v>365129.00030720665</v>
      </c>
      <c r="CR47" s="49">
        <f>IFERROR(up_RadSpec!$E$6*(CR6/$B47),".")</f>
        <v>365129.00030720665</v>
      </c>
      <c r="CS47" s="49">
        <f>IFERROR(up_RadSpec!$E$6*(CS6/$B47),".")</f>
        <v>365129.00030720665</v>
      </c>
      <c r="CT47" s="49">
        <f>IFERROR(up_RadSpec!$E$6*(CT6/$B47),".")</f>
        <v>365129.00030720665</v>
      </c>
      <c r="CU47" s="49">
        <f>IFERROR(up_RadSpec!$E$6*(CU6/$B47),".")</f>
        <v>365129.00030720665</v>
      </c>
      <c r="CV47" s="49">
        <f>IFERROR(up_RadSpec!$E$6*(CV6/$B47),".")</f>
        <v>365129.00030720665</v>
      </c>
      <c r="CW47" s="49">
        <f>IFERROR(up_RadSpec!$E$6*(CW6/$B47),".")</f>
        <v>365129.00030720665</v>
      </c>
      <c r="CX47" s="49">
        <f>IFERROR(up_RadSpec!$E$6*(CX6/$B47),".")</f>
        <v>365129.00030720665</v>
      </c>
    </row>
    <row r="48" spans="1:102" x14ac:dyDescent="0.25">
      <c r="A48" s="82" t="s">
        <v>33</v>
      </c>
      <c r="B48" s="82" t="s">
        <v>1074</v>
      </c>
      <c r="C48" s="58">
        <f t="shared" si="8"/>
        <v>6.0444881715129044E-13</v>
      </c>
      <c r="D48" s="58">
        <f t="shared" ref="D48:AA48" si="43">1/SUM(1/D49,1/D52,1/D54,1/D58,1/D59,1/D61)</f>
        <v>2.4177952686051618E-12</v>
      </c>
      <c r="E48" s="58">
        <f t="shared" si="43"/>
        <v>2.4177952686051618E-12</v>
      </c>
      <c r="F48" s="58">
        <f t="shared" si="43"/>
        <v>2.4177952686051618E-12</v>
      </c>
      <c r="G48" s="58">
        <f t="shared" si="43"/>
        <v>2.4177952686051618E-12</v>
      </c>
      <c r="H48" s="58">
        <f t="shared" si="43"/>
        <v>2.4177952686051618E-12</v>
      </c>
      <c r="I48" s="58">
        <f t="shared" si="43"/>
        <v>2.4177952686051618E-12</v>
      </c>
      <c r="J48" s="58">
        <f t="shared" si="43"/>
        <v>2.4177952686051618E-12</v>
      </c>
      <c r="K48" s="58">
        <f t="shared" si="43"/>
        <v>2.4177952686051618E-12</v>
      </c>
      <c r="L48" s="58">
        <f t="shared" si="43"/>
        <v>2.4177952686051618E-12</v>
      </c>
      <c r="M48" s="58">
        <f t="shared" si="43"/>
        <v>2.4177952686051618E-12</v>
      </c>
      <c r="N48" s="58">
        <f t="shared" si="43"/>
        <v>2.4177952686051618E-12</v>
      </c>
      <c r="O48" s="58">
        <f t="shared" si="43"/>
        <v>2.4177952686051618E-12</v>
      </c>
      <c r="P48" s="58">
        <f t="shared" si="43"/>
        <v>2.4177952686051618E-12</v>
      </c>
      <c r="Q48" s="58">
        <f t="shared" si="43"/>
        <v>2.4177952686051618E-12</v>
      </c>
      <c r="R48" s="58">
        <f t="shared" si="43"/>
        <v>2.4177952686051618E-12</v>
      </c>
      <c r="S48" s="58">
        <f t="shared" si="43"/>
        <v>2.4177952686051618E-12</v>
      </c>
      <c r="T48" s="58">
        <f t="shared" si="43"/>
        <v>2.4177952686051618E-12</v>
      </c>
      <c r="U48" s="58">
        <f t="shared" si="43"/>
        <v>2.4177952686051618E-12</v>
      </c>
      <c r="V48" s="58">
        <f t="shared" si="43"/>
        <v>2.4177952686051618E-12</v>
      </c>
      <c r="W48" s="58">
        <f t="shared" si="43"/>
        <v>2.4177952686051618E-12</v>
      </c>
      <c r="X48" s="58">
        <f t="shared" si="43"/>
        <v>2.4177952686051618E-12</v>
      </c>
      <c r="Y48" s="58">
        <f t="shared" si="43"/>
        <v>2.4177952686051618E-12</v>
      </c>
      <c r="Z48" s="58">
        <f t="shared" si="43"/>
        <v>2.4177952686051618E-12</v>
      </c>
      <c r="AA48" s="58">
        <f t="shared" si="43"/>
        <v>2.4177952686051618E-12</v>
      </c>
      <c r="AB48" s="47">
        <f>IFERROR(IF(SUM(AC48:AY48)&gt;0.01,1-EXP(-SUM(AC48:AY48)),SUM(AC48:AY48)),".")</f>
        <v>0.9999999998973812</v>
      </c>
      <c r="AC48" s="47">
        <f t="shared" ref="AC48:AY48" si="44">IFERROR(IF(SUM(AC49:AC62)&gt;0.01,1-EXP(-(SUM(AC49:AC62))),SUM(AC49:AC62)),".")</f>
        <v>1</v>
      </c>
      <c r="AD48" s="47">
        <f t="shared" si="44"/>
        <v>1</v>
      </c>
      <c r="AE48" s="47">
        <f t="shared" si="44"/>
        <v>1</v>
      </c>
      <c r="AF48" s="47">
        <f t="shared" si="44"/>
        <v>1</v>
      </c>
      <c r="AG48" s="47">
        <f t="shared" si="44"/>
        <v>1</v>
      </c>
      <c r="AH48" s="47">
        <f t="shared" si="44"/>
        <v>1</v>
      </c>
      <c r="AI48" s="47">
        <f t="shared" si="44"/>
        <v>1</v>
      </c>
      <c r="AJ48" s="47">
        <f t="shared" si="44"/>
        <v>1</v>
      </c>
      <c r="AK48" s="47">
        <f t="shared" si="44"/>
        <v>1</v>
      </c>
      <c r="AL48" s="47">
        <f t="shared" si="44"/>
        <v>1</v>
      </c>
      <c r="AM48" s="47">
        <f t="shared" si="44"/>
        <v>1</v>
      </c>
      <c r="AN48" s="47">
        <f t="shared" si="44"/>
        <v>1</v>
      </c>
      <c r="AO48" s="47">
        <f t="shared" si="44"/>
        <v>1</v>
      </c>
      <c r="AP48" s="47">
        <f t="shared" si="44"/>
        <v>1</v>
      </c>
      <c r="AQ48" s="47">
        <f t="shared" si="44"/>
        <v>1</v>
      </c>
      <c r="AR48" s="47">
        <f t="shared" si="44"/>
        <v>1</v>
      </c>
      <c r="AS48" s="47">
        <f t="shared" si="44"/>
        <v>1</v>
      </c>
      <c r="AT48" s="47">
        <f t="shared" si="44"/>
        <v>1</v>
      </c>
      <c r="AU48" s="47">
        <f t="shared" si="44"/>
        <v>1</v>
      </c>
      <c r="AV48" s="47">
        <f t="shared" si="44"/>
        <v>1</v>
      </c>
      <c r="AW48" s="47">
        <f t="shared" si="44"/>
        <v>1</v>
      </c>
      <c r="AX48" s="47">
        <f t="shared" si="44"/>
        <v>1</v>
      </c>
      <c r="AY48" s="47">
        <f t="shared" si="44"/>
        <v>1</v>
      </c>
      <c r="AZ48" s="47">
        <f>IFERROR(IF(SUM(AZ49:AZ62)&gt;0.01,1-EXP(-(SUM(AZ49:AZ62))),SUM(AZ49:AZ62)),".")</f>
        <v>1</v>
      </c>
      <c r="BA48" s="58">
        <f t="shared" si="11"/>
        <v>4.0295237167169206E-13</v>
      </c>
      <c r="BB48" s="58">
        <f t="shared" ref="BB48:BY48" si="45">IFERROR(1/SUM(BB49:BB62),0)</f>
        <v>1.6118094866867682E-12</v>
      </c>
      <c r="BC48" s="58">
        <f t="shared" si="45"/>
        <v>1.6118094866867682E-12</v>
      </c>
      <c r="BD48" s="58">
        <f t="shared" si="45"/>
        <v>1.6118094866867682E-12</v>
      </c>
      <c r="BE48" s="58">
        <f t="shared" si="45"/>
        <v>1.6118094866867682E-12</v>
      </c>
      <c r="BF48" s="58">
        <f t="shared" si="45"/>
        <v>1.6118094866867682E-12</v>
      </c>
      <c r="BG48" s="58">
        <f t="shared" si="45"/>
        <v>1.6118094866867682E-12</v>
      </c>
      <c r="BH48" s="58">
        <f t="shared" si="45"/>
        <v>1.6118094866867682E-12</v>
      </c>
      <c r="BI48" s="58">
        <f t="shared" si="45"/>
        <v>1.6118094866867682E-12</v>
      </c>
      <c r="BJ48" s="58">
        <f t="shared" si="45"/>
        <v>1.6118094866867682E-12</v>
      </c>
      <c r="BK48" s="58">
        <f t="shared" si="45"/>
        <v>1.6118094866867682E-12</v>
      </c>
      <c r="BL48" s="58">
        <f t="shared" si="45"/>
        <v>1.6118094866867682E-12</v>
      </c>
      <c r="BM48" s="58">
        <f t="shared" si="45"/>
        <v>1.6118094866867682E-12</v>
      </c>
      <c r="BN48" s="58">
        <f t="shared" si="45"/>
        <v>1.6118094866867682E-12</v>
      </c>
      <c r="BO48" s="58">
        <f t="shared" si="45"/>
        <v>1.6118094866867682E-12</v>
      </c>
      <c r="BP48" s="58">
        <f t="shared" si="45"/>
        <v>1.6118094866867682E-12</v>
      </c>
      <c r="BQ48" s="58">
        <f t="shared" si="45"/>
        <v>1.6118094866867682E-12</v>
      </c>
      <c r="BR48" s="58">
        <f t="shared" si="45"/>
        <v>1.6118094866867682E-12</v>
      </c>
      <c r="BS48" s="58">
        <f t="shared" si="45"/>
        <v>1.6118094866867682E-12</v>
      </c>
      <c r="BT48" s="58">
        <f t="shared" si="45"/>
        <v>1.6118094866867682E-12</v>
      </c>
      <c r="BU48" s="58">
        <f t="shared" si="45"/>
        <v>1.6118094866867682E-12</v>
      </c>
      <c r="BV48" s="58">
        <f t="shared" si="45"/>
        <v>1.6118094866867682E-12</v>
      </c>
      <c r="BW48" s="58">
        <f t="shared" si="45"/>
        <v>1.6118094866867682E-12</v>
      </c>
      <c r="BX48" s="58">
        <f t="shared" si="45"/>
        <v>1.6118094866867682E-12</v>
      </c>
      <c r="BY48" s="58">
        <f t="shared" si="45"/>
        <v>1.6118094866867682E-12</v>
      </c>
      <c r="BZ48" s="47">
        <f>IFERROR(IF(SUM(CA49:CB62,CW49:CX62)&gt;0.01,1-EXP(-SUM(CA49:CB62,CW49:CX62)),SUM(CA49:CB62,CW49:CX62)),".")</f>
        <v>1</v>
      </c>
      <c r="CA48" s="47">
        <f t="shared" ref="CA48:CV48" si="46">IFERROR(IF(SUM(CA49:CA62)&gt;0.01,1-EXP(-(SUM(CA49:CA62))),SUM(CA49:CA62)),".")</f>
        <v>1</v>
      </c>
      <c r="CB48" s="47">
        <f t="shared" si="46"/>
        <v>1</v>
      </c>
      <c r="CC48" s="47">
        <f t="shared" si="46"/>
        <v>1</v>
      </c>
      <c r="CD48" s="47">
        <f t="shared" si="46"/>
        <v>1</v>
      </c>
      <c r="CE48" s="47">
        <f t="shared" si="46"/>
        <v>1</v>
      </c>
      <c r="CF48" s="47">
        <f t="shared" si="46"/>
        <v>1</v>
      </c>
      <c r="CG48" s="47">
        <f t="shared" si="46"/>
        <v>1</v>
      </c>
      <c r="CH48" s="47">
        <f t="shared" si="46"/>
        <v>1</v>
      </c>
      <c r="CI48" s="47">
        <f t="shared" si="46"/>
        <v>1</v>
      </c>
      <c r="CJ48" s="47">
        <f t="shared" si="46"/>
        <v>1</v>
      </c>
      <c r="CK48" s="47">
        <f t="shared" si="46"/>
        <v>1</v>
      </c>
      <c r="CL48" s="47">
        <f t="shared" si="46"/>
        <v>1</v>
      </c>
      <c r="CM48" s="47">
        <f t="shared" si="46"/>
        <v>1</v>
      </c>
      <c r="CN48" s="47">
        <f t="shared" si="46"/>
        <v>1</v>
      </c>
      <c r="CO48" s="47">
        <f t="shared" si="46"/>
        <v>1</v>
      </c>
      <c r="CP48" s="47">
        <f t="shared" si="46"/>
        <v>1</v>
      </c>
      <c r="CQ48" s="47">
        <f t="shared" si="46"/>
        <v>1</v>
      </c>
      <c r="CR48" s="47">
        <f t="shared" si="46"/>
        <v>1</v>
      </c>
      <c r="CS48" s="47">
        <f t="shared" si="46"/>
        <v>1</v>
      </c>
      <c r="CT48" s="47">
        <f t="shared" si="46"/>
        <v>1</v>
      </c>
      <c r="CU48" s="47">
        <f t="shared" si="46"/>
        <v>1</v>
      </c>
      <c r="CV48" s="47">
        <f t="shared" si="46"/>
        <v>1</v>
      </c>
      <c r="CW48" s="47">
        <f>IFERROR(IF(SUM(CW49:CW62)&gt;0.01,1-EXP(-(SUM(CW49:CW62))),SUM(CW49:CW62)),".")</f>
        <v>1</v>
      </c>
      <c r="CX48" s="47">
        <f>IFERROR(IF(SUM(CX49:CX62)&gt;0.01,1-EXP(-(SUM(CX49:CX62))),SUM(CX49:CX62)),".")</f>
        <v>1</v>
      </c>
    </row>
    <row r="49" spans="1:102" x14ac:dyDescent="0.25">
      <c r="A49" s="83" t="s">
        <v>1103</v>
      </c>
      <c r="B49" s="42">
        <v>1</v>
      </c>
      <c r="C49" s="60">
        <f t="shared" si="8"/>
        <v>3.6265718922545492E-12</v>
      </c>
      <c r="D49" s="60">
        <f t="shared" ref="D49:AA49" si="47">IFERROR(D23/$B49,0)</f>
        <v>1.4506287569018197E-11</v>
      </c>
      <c r="E49" s="60">
        <f t="shared" si="47"/>
        <v>1.4506287569018197E-11</v>
      </c>
      <c r="F49" s="60">
        <f t="shared" si="47"/>
        <v>1.4506287569018197E-11</v>
      </c>
      <c r="G49" s="60">
        <f t="shared" si="47"/>
        <v>1.4506287569018197E-11</v>
      </c>
      <c r="H49" s="60">
        <f t="shared" si="47"/>
        <v>1.4506287569018197E-11</v>
      </c>
      <c r="I49" s="60">
        <f t="shared" si="47"/>
        <v>1.4506287569018197E-11</v>
      </c>
      <c r="J49" s="60">
        <f t="shared" si="47"/>
        <v>1.4506287569018197E-11</v>
      </c>
      <c r="K49" s="60">
        <f t="shared" si="47"/>
        <v>1.4506287569018197E-11</v>
      </c>
      <c r="L49" s="60">
        <f t="shared" si="47"/>
        <v>1.4506287569018197E-11</v>
      </c>
      <c r="M49" s="60">
        <f t="shared" si="47"/>
        <v>1.4506287569018197E-11</v>
      </c>
      <c r="N49" s="60">
        <f t="shared" si="47"/>
        <v>1.4506287569018197E-11</v>
      </c>
      <c r="O49" s="60">
        <f t="shared" si="47"/>
        <v>1.4506287569018197E-11</v>
      </c>
      <c r="P49" s="60">
        <f t="shared" si="47"/>
        <v>1.4506287569018197E-11</v>
      </c>
      <c r="Q49" s="60">
        <f t="shared" si="47"/>
        <v>1.4506287569018197E-11</v>
      </c>
      <c r="R49" s="60">
        <f t="shared" si="47"/>
        <v>1.4506287569018197E-11</v>
      </c>
      <c r="S49" s="60">
        <f t="shared" si="47"/>
        <v>1.4506287569018197E-11</v>
      </c>
      <c r="T49" s="60">
        <f t="shared" si="47"/>
        <v>1.4506287569018197E-11</v>
      </c>
      <c r="U49" s="60">
        <f t="shared" si="47"/>
        <v>1.4506287569018197E-11</v>
      </c>
      <c r="V49" s="60">
        <f t="shared" si="47"/>
        <v>1.4506287569018197E-11</v>
      </c>
      <c r="W49" s="60">
        <f t="shared" si="47"/>
        <v>1.4506287569018197E-11</v>
      </c>
      <c r="X49" s="60">
        <f t="shared" si="47"/>
        <v>1.4506287569018197E-11</v>
      </c>
      <c r="Y49" s="60">
        <f t="shared" si="47"/>
        <v>1.4506287569018197E-11</v>
      </c>
      <c r="Z49" s="60">
        <f t="shared" si="47"/>
        <v>1.4506287569018197E-11</v>
      </c>
      <c r="AA49" s="60">
        <f t="shared" si="47"/>
        <v>1.4506287569018197E-11</v>
      </c>
      <c r="AB49" s="49">
        <f t="shared" ref="AB49:AB62" si="48">SUM(AC49:AY49)</f>
        <v>7927596.875</v>
      </c>
      <c r="AC49" s="49">
        <f>IFERROR(up_RadSpec!$E$23*($AZ$23/$B49),".")</f>
        <v>344678.125</v>
      </c>
      <c r="AD49" s="49">
        <f>IFERROR(up_RadSpec!$E$23*($AZ$23/$B49),".")</f>
        <v>344678.125</v>
      </c>
      <c r="AE49" s="49">
        <f>IFERROR(up_RadSpec!$E$23*($AZ$23/$B49),".")</f>
        <v>344678.125</v>
      </c>
      <c r="AF49" s="49">
        <f>IFERROR(up_RadSpec!$E$23*($AZ$23/$B49),".")</f>
        <v>344678.125</v>
      </c>
      <c r="AG49" s="49">
        <f>IFERROR(up_RadSpec!$E$23*($AZ$23/$B49),".")</f>
        <v>344678.125</v>
      </c>
      <c r="AH49" s="49">
        <f>IFERROR(up_RadSpec!$E$23*($AZ$23/$B49),".")</f>
        <v>344678.125</v>
      </c>
      <c r="AI49" s="49">
        <f>IFERROR(up_RadSpec!$E$23*($AZ$23/$B49),".")</f>
        <v>344678.125</v>
      </c>
      <c r="AJ49" s="49">
        <f>IFERROR(up_RadSpec!$E$23*($AZ$23/$B49),".")</f>
        <v>344678.125</v>
      </c>
      <c r="AK49" s="49">
        <f>IFERROR(up_RadSpec!$E$23*($AZ$23/$B49),".")</f>
        <v>344678.125</v>
      </c>
      <c r="AL49" s="49">
        <f>IFERROR(up_RadSpec!$E$23*($AZ$23/$B49),".")</f>
        <v>344678.125</v>
      </c>
      <c r="AM49" s="49">
        <f>IFERROR(up_RadSpec!$E$23*($AZ$23/$B49),".")</f>
        <v>344678.125</v>
      </c>
      <c r="AN49" s="49">
        <f>IFERROR(up_RadSpec!$E$23*($AZ$23/$B49),".")</f>
        <v>344678.125</v>
      </c>
      <c r="AO49" s="49">
        <f>IFERROR(up_RadSpec!$E$23*($AZ$23/$B49),".")</f>
        <v>344678.125</v>
      </c>
      <c r="AP49" s="49">
        <f>IFERROR(up_RadSpec!$E$23*($AZ$23/$B49),".")</f>
        <v>344678.125</v>
      </c>
      <c r="AQ49" s="49">
        <f>IFERROR(up_RadSpec!$E$23*($AZ$23/$B49),".")</f>
        <v>344678.125</v>
      </c>
      <c r="AR49" s="49">
        <f>IFERROR(up_RadSpec!$E$23*($AZ$23/$B49),".")</f>
        <v>344678.125</v>
      </c>
      <c r="AS49" s="49">
        <f>IFERROR(up_RadSpec!$E$23*($AZ$23/$B49),".")</f>
        <v>344678.125</v>
      </c>
      <c r="AT49" s="49">
        <f>IFERROR(up_RadSpec!$E$23*($AZ$23/$B49),".")</f>
        <v>344678.125</v>
      </c>
      <c r="AU49" s="49">
        <f>IFERROR(up_RadSpec!$E$23*($AZ$23/$B49),".")</f>
        <v>344678.125</v>
      </c>
      <c r="AV49" s="49">
        <f>IFERROR(up_RadSpec!$E$23*($AZ$23/$B49),".")</f>
        <v>344678.125</v>
      </c>
      <c r="AW49" s="49">
        <f>IFERROR(up_RadSpec!$E$23*($AZ$23/$B49),".")</f>
        <v>344678.125</v>
      </c>
      <c r="AX49" s="49">
        <f>IFERROR(up_RadSpec!$E$23*($AZ$23/$B49),".")</f>
        <v>344678.125</v>
      </c>
      <c r="AY49" s="49">
        <f>IFERROR(up_RadSpec!$E$23*($AZ$23/$B49),".")</f>
        <v>344678.125</v>
      </c>
      <c r="AZ49" s="49">
        <f>IFERROR(up_RadSpec!$E$23*($AZ$23/$B49),".")</f>
        <v>344678.125</v>
      </c>
      <c r="BA49" s="60">
        <f t="shared" si="11"/>
        <v>17233906250</v>
      </c>
      <c r="BB49" s="60">
        <f t="shared" ref="BB49:BY49" si="49">IFERROR($B49/BB23,0)</f>
        <v>68935625000</v>
      </c>
      <c r="BC49" s="60">
        <f t="shared" si="49"/>
        <v>68935625000</v>
      </c>
      <c r="BD49" s="60">
        <f t="shared" si="49"/>
        <v>68935625000</v>
      </c>
      <c r="BE49" s="60">
        <f t="shared" si="49"/>
        <v>68935625000</v>
      </c>
      <c r="BF49" s="60">
        <f t="shared" si="49"/>
        <v>68935625000</v>
      </c>
      <c r="BG49" s="60">
        <f t="shared" si="49"/>
        <v>68935625000</v>
      </c>
      <c r="BH49" s="60">
        <f t="shared" si="49"/>
        <v>68935625000</v>
      </c>
      <c r="BI49" s="60">
        <f t="shared" si="49"/>
        <v>68935625000</v>
      </c>
      <c r="BJ49" s="60">
        <f t="shared" si="49"/>
        <v>68935625000</v>
      </c>
      <c r="BK49" s="60">
        <f t="shared" si="49"/>
        <v>68935625000</v>
      </c>
      <c r="BL49" s="60">
        <f t="shared" si="49"/>
        <v>68935625000</v>
      </c>
      <c r="BM49" s="60">
        <f t="shared" si="49"/>
        <v>68935625000</v>
      </c>
      <c r="BN49" s="60">
        <f t="shared" si="49"/>
        <v>68935625000</v>
      </c>
      <c r="BO49" s="60">
        <f t="shared" si="49"/>
        <v>68935625000</v>
      </c>
      <c r="BP49" s="60">
        <f t="shared" si="49"/>
        <v>68935625000</v>
      </c>
      <c r="BQ49" s="60">
        <f t="shared" si="49"/>
        <v>68935625000</v>
      </c>
      <c r="BR49" s="60">
        <f t="shared" si="49"/>
        <v>68935625000</v>
      </c>
      <c r="BS49" s="60">
        <f t="shared" si="49"/>
        <v>68935625000</v>
      </c>
      <c r="BT49" s="60">
        <f t="shared" si="49"/>
        <v>68935625000</v>
      </c>
      <c r="BU49" s="60">
        <f t="shared" si="49"/>
        <v>68935625000</v>
      </c>
      <c r="BV49" s="60">
        <f t="shared" si="49"/>
        <v>68935625000</v>
      </c>
      <c r="BW49" s="60">
        <f t="shared" si="49"/>
        <v>68935625000</v>
      </c>
      <c r="BX49" s="60">
        <f t="shared" si="49"/>
        <v>68935625000</v>
      </c>
      <c r="BY49" s="60">
        <f t="shared" si="49"/>
        <v>68935625000</v>
      </c>
      <c r="BZ49" s="49">
        <f t="shared" si="3"/>
        <v>1378712.5</v>
      </c>
      <c r="CA49" s="49">
        <f>IFERROR(up_RadSpec!$E$23*(CA23/$B49),".")</f>
        <v>344678.125</v>
      </c>
      <c r="CB49" s="49">
        <f>IFERROR(up_RadSpec!$E$23*(CB23/$B49),".")</f>
        <v>344678.125</v>
      </c>
      <c r="CC49" s="49">
        <f>IFERROR(up_RadSpec!$E$23*(CC23/$B49),".")</f>
        <v>344678.125</v>
      </c>
      <c r="CD49" s="49">
        <f>IFERROR(up_RadSpec!$E$23*(CD23/$B49),".")</f>
        <v>344678.125</v>
      </c>
      <c r="CE49" s="49">
        <f>IFERROR(up_RadSpec!$E$23*(CE23/$B49),".")</f>
        <v>344678.125</v>
      </c>
      <c r="CF49" s="49">
        <f>IFERROR(up_RadSpec!$E$23*(CF23/$B49),".")</f>
        <v>344678.125</v>
      </c>
      <c r="CG49" s="49">
        <f>IFERROR(up_RadSpec!$E$23*(CG23/$B49),".")</f>
        <v>344678.125</v>
      </c>
      <c r="CH49" s="49">
        <f>IFERROR(up_RadSpec!$E$23*(CH23/$B49),".")</f>
        <v>344678.125</v>
      </c>
      <c r="CI49" s="49">
        <f>IFERROR(up_RadSpec!$E$23*(CI23/$B49),".")</f>
        <v>344678.125</v>
      </c>
      <c r="CJ49" s="49">
        <f>IFERROR(up_RadSpec!$E$23*(CJ23/$B49),".")</f>
        <v>344678.125</v>
      </c>
      <c r="CK49" s="49">
        <f>IFERROR(up_RadSpec!$E$23*(CK23/$B49),".")</f>
        <v>344678.125</v>
      </c>
      <c r="CL49" s="49">
        <f>IFERROR(up_RadSpec!$E$23*(CL23/$B49),".")</f>
        <v>344678.125</v>
      </c>
      <c r="CM49" s="49">
        <f>IFERROR(up_RadSpec!$E$23*(CM23/$B49),".")</f>
        <v>344678.125</v>
      </c>
      <c r="CN49" s="49">
        <f>IFERROR(up_RadSpec!$E$23*(CN23/$B49),".")</f>
        <v>344678.125</v>
      </c>
      <c r="CO49" s="49">
        <f>IFERROR(up_RadSpec!$E$23*(CO23/$B49),".")</f>
        <v>344678.125</v>
      </c>
      <c r="CP49" s="49">
        <f>IFERROR(up_RadSpec!$E$23*(CP23/$B49),".")</f>
        <v>344678.125</v>
      </c>
      <c r="CQ49" s="49">
        <f>IFERROR(up_RadSpec!$E$23*(CQ23/$B49),".")</f>
        <v>344678.125</v>
      </c>
      <c r="CR49" s="49">
        <f>IFERROR(up_RadSpec!$E$23*(CR23/$B49),".")</f>
        <v>344678.125</v>
      </c>
      <c r="CS49" s="49">
        <f>IFERROR(up_RadSpec!$E$23*(CS23/$B49),".")</f>
        <v>344678.125</v>
      </c>
      <c r="CT49" s="49">
        <f>IFERROR(up_RadSpec!$E$23*(CT23/$B49),".")</f>
        <v>344678.125</v>
      </c>
      <c r="CU49" s="49">
        <f>IFERROR(up_RadSpec!$E$23*(CU23/$B49),".")</f>
        <v>344678.125</v>
      </c>
      <c r="CV49" s="49">
        <f>IFERROR(up_RadSpec!$E$23*(CV23/$B49),".")</f>
        <v>344678.125</v>
      </c>
      <c r="CW49" s="49">
        <f>IFERROR(up_RadSpec!$E$23*(CW23/$B49),".")</f>
        <v>344678.125</v>
      </c>
      <c r="CX49" s="49">
        <f>IFERROR(up_RadSpec!$E$23*(CX23/$B49),".")</f>
        <v>344678.125</v>
      </c>
    </row>
    <row r="50" spans="1:102" x14ac:dyDescent="0.25">
      <c r="A50" s="83" t="s">
        <v>1090</v>
      </c>
      <c r="B50" s="42">
        <v>1</v>
      </c>
      <c r="C50" s="60">
        <f t="shared" si="8"/>
        <v>3.6265718922545492E-12</v>
      </c>
      <c r="D50" s="60">
        <f t="shared" ref="D50:AA50" si="50">IFERROR(D25/$B50,0)</f>
        <v>1.4506287569018197E-11</v>
      </c>
      <c r="E50" s="60">
        <f t="shared" si="50"/>
        <v>1.4506287569018197E-11</v>
      </c>
      <c r="F50" s="60">
        <f t="shared" si="50"/>
        <v>1.4506287569018197E-11</v>
      </c>
      <c r="G50" s="60">
        <f t="shared" si="50"/>
        <v>1.4506287569018197E-11</v>
      </c>
      <c r="H50" s="60">
        <f t="shared" si="50"/>
        <v>1.4506287569018197E-11</v>
      </c>
      <c r="I50" s="60">
        <f t="shared" si="50"/>
        <v>1.4506287569018197E-11</v>
      </c>
      <c r="J50" s="60">
        <f t="shared" si="50"/>
        <v>1.4506287569018197E-11</v>
      </c>
      <c r="K50" s="60">
        <f t="shared" si="50"/>
        <v>1.4506287569018197E-11</v>
      </c>
      <c r="L50" s="60">
        <f t="shared" si="50"/>
        <v>1.4506287569018197E-11</v>
      </c>
      <c r="M50" s="60">
        <f t="shared" si="50"/>
        <v>1.4506287569018197E-11</v>
      </c>
      <c r="N50" s="60">
        <f t="shared" si="50"/>
        <v>1.4506287569018197E-11</v>
      </c>
      <c r="O50" s="60">
        <f t="shared" si="50"/>
        <v>1.4506287569018197E-11</v>
      </c>
      <c r="P50" s="60">
        <f t="shared" si="50"/>
        <v>1.4506287569018197E-11</v>
      </c>
      <c r="Q50" s="60">
        <f t="shared" si="50"/>
        <v>1.4506287569018197E-11</v>
      </c>
      <c r="R50" s="60">
        <f t="shared" si="50"/>
        <v>1.4506287569018197E-11</v>
      </c>
      <c r="S50" s="60">
        <f t="shared" si="50"/>
        <v>1.4506287569018197E-11</v>
      </c>
      <c r="T50" s="60">
        <f t="shared" si="50"/>
        <v>1.4506287569018197E-11</v>
      </c>
      <c r="U50" s="60">
        <f t="shared" si="50"/>
        <v>1.4506287569018197E-11</v>
      </c>
      <c r="V50" s="60">
        <f t="shared" si="50"/>
        <v>1.4506287569018197E-11</v>
      </c>
      <c r="W50" s="60">
        <f t="shared" si="50"/>
        <v>1.4506287569018197E-11</v>
      </c>
      <c r="X50" s="60">
        <f t="shared" si="50"/>
        <v>1.4506287569018197E-11</v>
      </c>
      <c r="Y50" s="60">
        <f t="shared" si="50"/>
        <v>1.4506287569018197E-11</v>
      </c>
      <c r="Z50" s="60">
        <f t="shared" si="50"/>
        <v>1.4506287569018197E-11</v>
      </c>
      <c r="AA50" s="60">
        <f t="shared" si="50"/>
        <v>1.4506287569018197E-11</v>
      </c>
      <c r="AB50" s="49">
        <f t="shared" si="48"/>
        <v>7927596.875</v>
      </c>
      <c r="AC50" s="49">
        <f>IFERROR(up_RadSpec!$E$25*($AZ$25/$B50),".")</f>
        <v>344678.125</v>
      </c>
      <c r="AD50" s="49">
        <f>IFERROR(up_RadSpec!$E$25*($AZ$25/$B50),".")</f>
        <v>344678.125</v>
      </c>
      <c r="AE50" s="49">
        <f>IFERROR(up_RadSpec!$E$25*($AZ$25/$B50),".")</f>
        <v>344678.125</v>
      </c>
      <c r="AF50" s="49">
        <f>IFERROR(up_RadSpec!$E$25*($AZ$25/$B50),".")</f>
        <v>344678.125</v>
      </c>
      <c r="AG50" s="49">
        <f>IFERROR(up_RadSpec!$E$25*($AZ$25/$B50),".")</f>
        <v>344678.125</v>
      </c>
      <c r="AH50" s="49">
        <f>IFERROR(up_RadSpec!$E$25*($AZ$25/$B50),".")</f>
        <v>344678.125</v>
      </c>
      <c r="AI50" s="49">
        <f>IFERROR(up_RadSpec!$E$25*($AZ$25/$B50),".")</f>
        <v>344678.125</v>
      </c>
      <c r="AJ50" s="49">
        <f>IFERROR(up_RadSpec!$E$25*($AZ$25/$B50),".")</f>
        <v>344678.125</v>
      </c>
      <c r="AK50" s="49">
        <f>IFERROR(up_RadSpec!$E$25*($AZ$25/$B50),".")</f>
        <v>344678.125</v>
      </c>
      <c r="AL50" s="49">
        <f>IFERROR(up_RadSpec!$E$25*($AZ$25/$B50),".")</f>
        <v>344678.125</v>
      </c>
      <c r="AM50" s="49">
        <f>IFERROR(up_RadSpec!$E$25*($AZ$25/$B50),".")</f>
        <v>344678.125</v>
      </c>
      <c r="AN50" s="49">
        <f>IFERROR(up_RadSpec!$E$25*($AZ$25/$B50),".")</f>
        <v>344678.125</v>
      </c>
      <c r="AO50" s="49">
        <f>IFERROR(up_RadSpec!$E$25*($AZ$25/$B50),".")</f>
        <v>344678.125</v>
      </c>
      <c r="AP50" s="49">
        <f>IFERROR(up_RadSpec!$E$25*($AZ$25/$B50),".")</f>
        <v>344678.125</v>
      </c>
      <c r="AQ50" s="49">
        <f>IFERROR(up_RadSpec!$E$25*($AZ$25/$B50),".")</f>
        <v>344678.125</v>
      </c>
      <c r="AR50" s="49">
        <f>IFERROR(up_RadSpec!$E$25*($AZ$25/$B50),".")</f>
        <v>344678.125</v>
      </c>
      <c r="AS50" s="49">
        <f>IFERROR(up_RadSpec!$E$25*($AZ$25/$B50),".")</f>
        <v>344678.125</v>
      </c>
      <c r="AT50" s="49">
        <f>IFERROR(up_RadSpec!$E$25*($AZ$25/$B50),".")</f>
        <v>344678.125</v>
      </c>
      <c r="AU50" s="49">
        <f>IFERROR(up_RadSpec!$E$25*($AZ$25/$B50),".")</f>
        <v>344678.125</v>
      </c>
      <c r="AV50" s="49">
        <f>IFERROR(up_RadSpec!$E$25*($AZ$25/$B50),".")</f>
        <v>344678.125</v>
      </c>
      <c r="AW50" s="49">
        <f>IFERROR(up_RadSpec!$E$25*($AZ$25/$B50),".")</f>
        <v>344678.125</v>
      </c>
      <c r="AX50" s="49">
        <f>IFERROR(up_RadSpec!$E$25*($AZ$25/$B50),".")</f>
        <v>344678.125</v>
      </c>
      <c r="AY50" s="49">
        <f>IFERROR(up_RadSpec!$E$25*($AZ$25/$B50),".")</f>
        <v>344678.125</v>
      </c>
      <c r="AZ50" s="49">
        <f>IFERROR(up_RadSpec!$E$25*($AZ$25/$B50),".")</f>
        <v>344678.125</v>
      </c>
      <c r="BA50" s="60">
        <f t="shared" si="11"/>
        <v>17233906250</v>
      </c>
      <c r="BB50" s="60">
        <f t="shared" ref="BB50:BY50" si="51">IFERROR($B50/BB25,0)</f>
        <v>68935625000</v>
      </c>
      <c r="BC50" s="60">
        <f t="shared" si="51"/>
        <v>68935625000</v>
      </c>
      <c r="BD50" s="60">
        <f t="shared" si="51"/>
        <v>68935625000</v>
      </c>
      <c r="BE50" s="60">
        <f t="shared" si="51"/>
        <v>68935625000</v>
      </c>
      <c r="BF50" s="60">
        <f t="shared" si="51"/>
        <v>68935625000</v>
      </c>
      <c r="BG50" s="60">
        <f t="shared" si="51"/>
        <v>68935625000</v>
      </c>
      <c r="BH50" s="60">
        <f t="shared" si="51"/>
        <v>68935625000</v>
      </c>
      <c r="BI50" s="60">
        <f t="shared" si="51"/>
        <v>68935625000</v>
      </c>
      <c r="BJ50" s="60">
        <f t="shared" si="51"/>
        <v>68935625000</v>
      </c>
      <c r="BK50" s="60">
        <f t="shared" si="51"/>
        <v>68935625000</v>
      </c>
      <c r="BL50" s="60">
        <f t="shared" si="51"/>
        <v>68935625000</v>
      </c>
      <c r="BM50" s="60">
        <f t="shared" si="51"/>
        <v>68935625000</v>
      </c>
      <c r="BN50" s="60">
        <f t="shared" si="51"/>
        <v>68935625000</v>
      </c>
      <c r="BO50" s="60">
        <f t="shared" si="51"/>
        <v>68935625000</v>
      </c>
      <c r="BP50" s="60">
        <f t="shared" si="51"/>
        <v>68935625000</v>
      </c>
      <c r="BQ50" s="60">
        <f t="shared" si="51"/>
        <v>68935625000</v>
      </c>
      <c r="BR50" s="60">
        <f t="shared" si="51"/>
        <v>68935625000</v>
      </c>
      <c r="BS50" s="60">
        <f t="shared" si="51"/>
        <v>68935625000</v>
      </c>
      <c r="BT50" s="60">
        <f t="shared" si="51"/>
        <v>68935625000</v>
      </c>
      <c r="BU50" s="60">
        <f t="shared" si="51"/>
        <v>68935625000</v>
      </c>
      <c r="BV50" s="60">
        <f t="shared" si="51"/>
        <v>68935625000</v>
      </c>
      <c r="BW50" s="60">
        <f t="shared" si="51"/>
        <v>68935625000</v>
      </c>
      <c r="BX50" s="60">
        <f t="shared" si="51"/>
        <v>68935625000</v>
      </c>
      <c r="BY50" s="60">
        <f t="shared" si="51"/>
        <v>68935625000</v>
      </c>
      <c r="BZ50" s="49">
        <f t="shared" si="3"/>
        <v>1378712.5</v>
      </c>
      <c r="CA50" s="49">
        <f>IFERROR(up_RadSpec!$E$25*(CA25/$B50),".")</f>
        <v>344678.125</v>
      </c>
      <c r="CB50" s="49">
        <f>IFERROR(up_RadSpec!$E$25*(CB25/$B50),".")</f>
        <v>344678.125</v>
      </c>
      <c r="CC50" s="49">
        <f>IFERROR(up_RadSpec!$E$25*(CC25/$B50),".")</f>
        <v>344678.125</v>
      </c>
      <c r="CD50" s="49">
        <f>IFERROR(up_RadSpec!$E$25*(CD25/$B50),".")</f>
        <v>344678.125</v>
      </c>
      <c r="CE50" s="49">
        <f>IFERROR(up_RadSpec!$E$25*(CE25/$B50),".")</f>
        <v>344678.125</v>
      </c>
      <c r="CF50" s="49">
        <f>IFERROR(up_RadSpec!$E$25*(CF25/$B50),".")</f>
        <v>344678.125</v>
      </c>
      <c r="CG50" s="49">
        <f>IFERROR(up_RadSpec!$E$25*(CG25/$B50),".")</f>
        <v>344678.125</v>
      </c>
      <c r="CH50" s="49">
        <f>IFERROR(up_RadSpec!$E$25*(CH25/$B50),".")</f>
        <v>344678.125</v>
      </c>
      <c r="CI50" s="49">
        <f>IFERROR(up_RadSpec!$E$25*(CI25/$B50),".")</f>
        <v>344678.125</v>
      </c>
      <c r="CJ50" s="49">
        <f>IFERROR(up_RadSpec!$E$25*(CJ25/$B50),".")</f>
        <v>344678.125</v>
      </c>
      <c r="CK50" s="49">
        <f>IFERROR(up_RadSpec!$E$25*(CK25/$B50),".")</f>
        <v>344678.125</v>
      </c>
      <c r="CL50" s="49">
        <f>IFERROR(up_RadSpec!$E$25*(CL25/$B50),".")</f>
        <v>344678.125</v>
      </c>
      <c r="CM50" s="49">
        <f>IFERROR(up_RadSpec!$E$25*(CM25/$B50),".")</f>
        <v>344678.125</v>
      </c>
      <c r="CN50" s="49">
        <f>IFERROR(up_RadSpec!$E$25*(CN25/$B50),".")</f>
        <v>344678.125</v>
      </c>
      <c r="CO50" s="49">
        <f>IFERROR(up_RadSpec!$E$25*(CO25/$B50),".")</f>
        <v>344678.125</v>
      </c>
      <c r="CP50" s="49">
        <f>IFERROR(up_RadSpec!$E$25*(CP25/$B50),".")</f>
        <v>344678.125</v>
      </c>
      <c r="CQ50" s="49">
        <f>IFERROR(up_RadSpec!$E$25*(CQ25/$B50),".")</f>
        <v>344678.125</v>
      </c>
      <c r="CR50" s="49">
        <f>IFERROR(up_RadSpec!$E$25*(CR25/$B50),".")</f>
        <v>344678.125</v>
      </c>
      <c r="CS50" s="49">
        <f>IFERROR(up_RadSpec!$E$25*(CS25/$B50),".")</f>
        <v>344678.125</v>
      </c>
      <c r="CT50" s="49">
        <f>IFERROR(up_RadSpec!$E$25*(CT25/$B50),".")</f>
        <v>344678.125</v>
      </c>
      <c r="CU50" s="49">
        <f>IFERROR(up_RadSpec!$E$25*(CU25/$B50),".")</f>
        <v>344678.125</v>
      </c>
      <c r="CV50" s="49">
        <f>IFERROR(up_RadSpec!$E$25*(CV25/$B50),".")</f>
        <v>344678.125</v>
      </c>
      <c r="CW50" s="49">
        <f>IFERROR(up_RadSpec!$E$25*(CW25/$B50),".")</f>
        <v>344678.125</v>
      </c>
      <c r="CX50" s="49">
        <f>IFERROR(up_RadSpec!$E$25*(CX25/$B50),".")</f>
        <v>344678.125</v>
      </c>
    </row>
    <row r="51" spans="1:102" x14ac:dyDescent="0.25">
      <c r="A51" s="83" t="s">
        <v>1076</v>
      </c>
      <c r="B51" s="42">
        <v>1</v>
      </c>
      <c r="C51" s="60">
        <f t="shared" si="8"/>
        <v>3.6265718922545492E-12</v>
      </c>
      <c r="D51" s="60">
        <f t="shared" ref="D51:AA51" si="52">IFERROR(D21/$B51,0)</f>
        <v>1.4506287569018197E-11</v>
      </c>
      <c r="E51" s="60">
        <f t="shared" si="52"/>
        <v>1.4506287569018197E-11</v>
      </c>
      <c r="F51" s="60">
        <f t="shared" si="52"/>
        <v>1.4506287569018197E-11</v>
      </c>
      <c r="G51" s="60">
        <f t="shared" si="52"/>
        <v>1.4506287569018197E-11</v>
      </c>
      <c r="H51" s="60">
        <f t="shared" si="52"/>
        <v>1.4506287569018197E-11</v>
      </c>
      <c r="I51" s="60">
        <f t="shared" si="52"/>
        <v>1.4506287569018197E-11</v>
      </c>
      <c r="J51" s="60">
        <f t="shared" si="52"/>
        <v>1.4506287569018197E-11</v>
      </c>
      <c r="K51" s="60">
        <f t="shared" si="52"/>
        <v>1.4506287569018197E-11</v>
      </c>
      <c r="L51" s="60">
        <f t="shared" si="52"/>
        <v>1.4506287569018197E-11</v>
      </c>
      <c r="M51" s="60">
        <f t="shared" si="52"/>
        <v>1.4506287569018197E-11</v>
      </c>
      <c r="N51" s="60">
        <f t="shared" si="52"/>
        <v>1.4506287569018197E-11</v>
      </c>
      <c r="O51" s="60">
        <f t="shared" si="52"/>
        <v>1.4506287569018197E-11</v>
      </c>
      <c r="P51" s="60">
        <f t="shared" si="52"/>
        <v>1.4506287569018197E-11</v>
      </c>
      <c r="Q51" s="60">
        <f t="shared" si="52"/>
        <v>1.4506287569018197E-11</v>
      </c>
      <c r="R51" s="60">
        <f t="shared" si="52"/>
        <v>1.4506287569018197E-11</v>
      </c>
      <c r="S51" s="60">
        <f t="shared" si="52"/>
        <v>1.4506287569018197E-11</v>
      </c>
      <c r="T51" s="60">
        <f t="shared" si="52"/>
        <v>1.4506287569018197E-11</v>
      </c>
      <c r="U51" s="60">
        <f t="shared" si="52"/>
        <v>1.4506287569018197E-11</v>
      </c>
      <c r="V51" s="60">
        <f t="shared" si="52"/>
        <v>1.4506287569018197E-11</v>
      </c>
      <c r="W51" s="60">
        <f t="shared" si="52"/>
        <v>1.4506287569018197E-11</v>
      </c>
      <c r="X51" s="60">
        <f t="shared" si="52"/>
        <v>1.4506287569018197E-11</v>
      </c>
      <c r="Y51" s="60">
        <f t="shared" si="52"/>
        <v>1.4506287569018197E-11</v>
      </c>
      <c r="Z51" s="60">
        <f t="shared" si="52"/>
        <v>1.4506287569018197E-11</v>
      </c>
      <c r="AA51" s="60">
        <f t="shared" si="52"/>
        <v>1.4506287569018197E-11</v>
      </c>
      <c r="AB51" s="49">
        <f t="shared" si="48"/>
        <v>7927596.875</v>
      </c>
      <c r="AC51" s="49">
        <f>IFERROR(up_RadSpec!$E$21*($AZ$21/$B51),".")</f>
        <v>344678.125</v>
      </c>
      <c r="AD51" s="49">
        <f>IFERROR(up_RadSpec!$E$21*($AZ$21/$B51),".")</f>
        <v>344678.125</v>
      </c>
      <c r="AE51" s="49">
        <f>IFERROR(up_RadSpec!$E$21*($AZ$21/$B51),".")</f>
        <v>344678.125</v>
      </c>
      <c r="AF51" s="49">
        <f>IFERROR(up_RadSpec!$E$21*($AZ$21/$B51),".")</f>
        <v>344678.125</v>
      </c>
      <c r="AG51" s="49">
        <f>IFERROR(up_RadSpec!$E$21*($AZ$21/$B51),".")</f>
        <v>344678.125</v>
      </c>
      <c r="AH51" s="49">
        <f>IFERROR(up_RadSpec!$E$21*($AZ$21/$B51),".")</f>
        <v>344678.125</v>
      </c>
      <c r="AI51" s="49">
        <f>IFERROR(up_RadSpec!$E$21*($AZ$21/$B51),".")</f>
        <v>344678.125</v>
      </c>
      <c r="AJ51" s="49">
        <f>IFERROR(up_RadSpec!$E$21*($AZ$21/$B51),".")</f>
        <v>344678.125</v>
      </c>
      <c r="AK51" s="49">
        <f>IFERROR(up_RadSpec!$E$21*($AZ$21/$B51),".")</f>
        <v>344678.125</v>
      </c>
      <c r="AL51" s="49">
        <f>IFERROR(up_RadSpec!$E$21*($AZ$21/$B51),".")</f>
        <v>344678.125</v>
      </c>
      <c r="AM51" s="49">
        <f>IFERROR(up_RadSpec!$E$21*($AZ$21/$B51),".")</f>
        <v>344678.125</v>
      </c>
      <c r="AN51" s="49">
        <f>IFERROR(up_RadSpec!$E$21*($AZ$21/$B51),".")</f>
        <v>344678.125</v>
      </c>
      <c r="AO51" s="49">
        <f>IFERROR(up_RadSpec!$E$21*($AZ$21/$B51),".")</f>
        <v>344678.125</v>
      </c>
      <c r="AP51" s="49">
        <f>IFERROR(up_RadSpec!$E$21*($AZ$21/$B51),".")</f>
        <v>344678.125</v>
      </c>
      <c r="AQ51" s="49">
        <f>IFERROR(up_RadSpec!$E$21*($AZ$21/$B51),".")</f>
        <v>344678.125</v>
      </c>
      <c r="AR51" s="49">
        <f>IFERROR(up_RadSpec!$E$21*($AZ$21/$B51),".")</f>
        <v>344678.125</v>
      </c>
      <c r="AS51" s="49">
        <f>IFERROR(up_RadSpec!$E$21*($AZ$21/$B51),".")</f>
        <v>344678.125</v>
      </c>
      <c r="AT51" s="49">
        <f>IFERROR(up_RadSpec!$E$21*($AZ$21/$B51),".")</f>
        <v>344678.125</v>
      </c>
      <c r="AU51" s="49">
        <f>IFERROR(up_RadSpec!$E$21*($AZ$21/$B51),".")</f>
        <v>344678.125</v>
      </c>
      <c r="AV51" s="49">
        <f>IFERROR(up_RadSpec!$E$21*($AZ$21/$B51),".")</f>
        <v>344678.125</v>
      </c>
      <c r="AW51" s="49">
        <f>IFERROR(up_RadSpec!$E$21*($AZ$21/$B51),".")</f>
        <v>344678.125</v>
      </c>
      <c r="AX51" s="49">
        <f>IFERROR(up_RadSpec!$E$21*($AZ$21/$B51),".")</f>
        <v>344678.125</v>
      </c>
      <c r="AY51" s="49">
        <f>IFERROR(up_RadSpec!$E$21*($AZ$21/$B51),".")</f>
        <v>344678.125</v>
      </c>
      <c r="AZ51" s="49">
        <f>IFERROR(up_RadSpec!$E$21*($AZ$21/$B51),".")</f>
        <v>344678.125</v>
      </c>
      <c r="BA51" s="60">
        <f t="shared" si="11"/>
        <v>17233906250</v>
      </c>
      <c r="BB51" s="60">
        <f t="shared" ref="BB51:BY51" si="53">IFERROR($B51/BB21,0)</f>
        <v>68935625000</v>
      </c>
      <c r="BC51" s="60">
        <f t="shared" si="53"/>
        <v>68935625000</v>
      </c>
      <c r="BD51" s="60">
        <f t="shared" si="53"/>
        <v>68935625000</v>
      </c>
      <c r="BE51" s="60">
        <f t="shared" si="53"/>
        <v>68935625000</v>
      </c>
      <c r="BF51" s="60">
        <f t="shared" si="53"/>
        <v>68935625000</v>
      </c>
      <c r="BG51" s="60">
        <f t="shared" si="53"/>
        <v>68935625000</v>
      </c>
      <c r="BH51" s="60">
        <f t="shared" si="53"/>
        <v>68935625000</v>
      </c>
      <c r="BI51" s="60">
        <f t="shared" si="53"/>
        <v>68935625000</v>
      </c>
      <c r="BJ51" s="60">
        <f t="shared" si="53"/>
        <v>68935625000</v>
      </c>
      <c r="BK51" s="60">
        <f t="shared" si="53"/>
        <v>68935625000</v>
      </c>
      <c r="BL51" s="60">
        <f t="shared" si="53"/>
        <v>68935625000</v>
      </c>
      <c r="BM51" s="60">
        <f t="shared" si="53"/>
        <v>68935625000</v>
      </c>
      <c r="BN51" s="60">
        <f t="shared" si="53"/>
        <v>68935625000</v>
      </c>
      <c r="BO51" s="60">
        <f t="shared" si="53"/>
        <v>68935625000</v>
      </c>
      <c r="BP51" s="60">
        <f t="shared" si="53"/>
        <v>68935625000</v>
      </c>
      <c r="BQ51" s="60">
        <f t="shared" si="53"/>
        <v>68935625000</v>
      </c>
      <c r="BR51" s="60">
        <f t="shared" si="53"/>
        <v>68935625000</v>
      </c>
      <c r="BS51" s="60">
        <f t="shared" si="53"/>
        <v>68935625000</v>
      </c>
      <c r="BT51" s="60">
        <f t="shared" si="53"/>
        <v>68935625000</v>
      </c>
      <c r="BU51" s="60">
        <f t="shared" si="53"/>
        <v>68935625000</v>
      </c>
      <c r="BV51" s="60">
        <f t="shared" si="53"/>
        <v>68935625000</v>
      </c>
      <c r="BW51" s="60">
        <f t="shared" si="53"/>
        <v>68935625000</v>
      </c>
      <c r="BX51" s="60">
        <f t="shared" si="53"/>
        <v>68935625000</v>
      </c>
      <c r="BY51" s="60">
        <f t="shared" si="53"/>
        <v>68935625000</v>
      </c>
      <c r="BZ51" s="49">
        <f t="shared" si="3"/>
        <v>1378712.5</v>
      </c>
      <c r="CA51" s="49">
        <f>IFERROR(up_RadSpec!$E$21*(CA21/$B51),".")</f>
        <v>344678.125</v>
      </c>
      <c r="CB51" s="49">
        <f>IFERROR(up_RadSpec!$E$21*(CB21/$B51),".")</f>
        <v>344678.125</v>
      </c>
      <c r="CC51" s="49">
        <f>IFERROR(up_RadSpec!$E$21*(CC21/$B51),".")</f>
        <v>344678.125</v>
      </c>
      <c r="CD51" s="49">
        <f>IFERROR(up_RadSpec!$E$21*(CD21/$B51),".")</f>
        <v>344678.125</v>
      </c>
      <c r="CE51" s="49">
        <f>IFERROR(up_RadSpec!$E$21*(CE21/$B51),".")</f>
        <v>344678.125</v>
      </c>
      <c r="CF51" s="49">
        <f>IFERROR(up_RadSpec!$E$21*(CF21/$B51),".")</f>
        <v>344678.125</v>
      </c>
      <c r="CG51" s="49">
        <f>IFERROR(up_RadSpec!$E$21*(CG21/$B51),".")</f>
        <v>344678.125</v>
      </c>
      <c r="CH51" s="49">
        <f>IFERROR(up_RadSpec!$E$21*(CH21/$B51),".")</f>
        <v>344678.125</v>
      </c>
      <c r="CI51" s="49">
        <f>IFERROR(up_RadSpec!$E$21*(CI21/$B51),".")</f>
        <v>344678.125</v>
      </c>
      <c r="CJ51" s="49">
        <f>IFERROR(up_RadSpec!$E$21*(CJ21/$B51),".")</f>
        <v>344678.125</v>
      </c>
      <c r="CK51" s="49">
        <f>IFERROR(up_RadSpec!$E$21*(CK21/$B51),".")</f>
        <v>344678.125</v>
      </c>
      <c r="CL51" s="49">
        <f>IFERROR(up_RadSpec!$E$21*(CL21/$B51),".")</f>
        <v>344678.125</v>
      </c>
      <c r="CM51" s="49">
        <f>IFERROR(up_RadSpec!$E$21*(CM21/$B51),".")</f>
        <v>344678.125</v>
      </c>
      <c r="CN51" s="49">
        <f>IFERROR(up_RadSpec!$E$21*(CN21/$B51),".")</f>
        <v>344678.125</v>
      </c>
      <c r="CO51" s="49">
        <f>IFERROR(up_RadSpec!$E$21*(CO21/$B51),".")</f>
        <v>344678.125</v>
      </c>
      <c r="CP51" s="49">
        <f>IFERROR(up_RadSpec!$E$21*(CP21/$B51),".")</f>
        <v>344678.125</v>
      </c>
      <c r="CQ51" s="49">
        <f>IFERROR(up_RadSpec!$E$21*(CQ21/$B51),".")</f>
        <v>344678.125</v>
      </c>
      <c r="CR51" s="49">
        <f>IFERROR(up_RadSpec!$E$21*(CR21/$B51),".")</f>
        <v>344678.125</v>
      </c>
      <c r="CS51" s="49">
        <f>IFERROR(up_RadSpec!$E$21*(CS21/$B51),".")</f>
        <v>344678.125</v>
      </c>
      <c r="CT51" s="49">
        <f>IFERROR(up_RadSpec!$E$21*(CT21/$B51),".")</f>
        <v>344678.125</v>
      </c>
      <c r="CU51" s="49">
        <f>IFERROR(up_RadSpec!$E$21*(CU21/$B51),".")</f>
        <v>344678.125</v>
      </c>
      <c r="CV51" s="49">
        <f>IFERROR(up_RadSpec!$E$21*(CV21/$B51),".")</f>
        <v>344678.125</v>
      </c>
      <c r="CW51" s="49">
        <f>IFERROR(up_RadSpec!$E$21*(CW21/$B51),".")</f>
        <v>344678.125</v>
      </c>
      <c r="CX51" s="49">
        <f>IFERROR(up_RadSpec!$E$21*(CX21/$B51),".")</f>
        <v>344678.125</v>
      </c>
    </row>
    <row r="52" spans="1:102" x14ac:dyDescent="0.25">
      <c r="A52" s="83" t="s">
        <v>1077</v>
      </c>
      <c r="B52" s="85">
        <v>0.99980000000000002</v>
      </c>
      <c r="C52" s="60">
        <f t="shared" si="8"/>
        <v>3.6272973517248939E-12</v>
      </c>
      <c r="D52" s="60">
        <f t="shared" ref="D52:AA52" si="54">IFERROR(D17/$B52,0)</f>
        <v>1.4509189406899576E-11</v>
      </c>
      <c r="E52" s="60">
        <f t="shared" si="54"/>
        <v>1.4509189406899576E-11</v>
      </c>
      <c r="F52" s="60">
        <f t="shared" si="54"/>
        <v>1.4509189406899576E-11</v>
      </c>
      <c r="G52" s="60">
        <f t="shared" si="54"/>
        <v>1.4509189406899576E-11</v>
      </c>
      <c r="H52" s="60">
        <f t="shared" si="54"/>
        <v>1.4509189406899576E-11</v>
      </c>
      <c r="I52" s="60">
        <f t="shared" si="54"/>
        <v>1.4509189406899576E-11</v>
      </c>
      <c r="J52" s="60">
        <f t="shared" si="54"/>
        <v>1.4509189406899576E-11</v>
      </c>
      <c r="K52" s="60">
        <f t="shared" si="54"/>
        <v>1.4509189406899576E-11</v>
      </c>
      <c r="L52" s="60">
        <f t="shared" si="54"/>
        <v>1.4509189406899576E-11</v>
      </c>
      <c r="M52" s="60">
        <f t="shared" si="54"/>
        <v>1.4509189406899576E-11</v>
      </c>
      <c r="N52" s="60">
        <f t="shared" si="54"/>
        <v>1.4509189406899576E-11</v>
      </c>
      <c r="O52" s="60">
        <f t="shared" si="54"/>
        <v>1.4509189406899576E-11</v>
      </c>
      <c r="P52" s="60">
        <f t="shared" si="54"/>
        <v>1.4509189406899576E-11</v>
      </c>
      <c r="Q52" s="60">
        <f t="shared" si="54"/>
        <v>1.4509189406899576E-11</v>
      </c>
      <c r="R52" s="60">
        <f t="shared" si="54"/>
        <v>1.4509189406899576E-11</v>
      </c>
      <c r="S52" s="60">
        <f t="shared" si="54"/>
        <v>1.4509189406899576E-11</v>
      </c>
      <c r="T52" s="60">
        <f t="shared" si="54"/>
        <v>1.4509189406899576E-11</v>
      </c>
      <c r="U52" s="60">
        <f t="shared" si="54"/>
        <v>1.4509189406899576E-11</v>
      </c>
      <c r="V52" s="60">
        <f t="shared" si="54"/>
        <v>1.4509189406899576E-11</v>
      </c>
      <c r="W52" s="60">
        <f t="shared" si="54"/>
        <v>1.4509189406899576E-11</v>
      </c>
      <c r="X52" s="60">
        <f t="shared" si="54"/>
        <v>1.4509189406899576E-11</v>
      </c>
      <c r="Y52" s="60">
        <f t="shared" si="54"/>
        <v>1.4509189406899576E-11</v>
      </c>
      <c r="Z52" s="60">
        <f t="shared" si="54"/>
        <v>1.4509189406899576E-11</v>
      </c>
      <c r="AA52" s="60">
        <f t="shared" si="54"/>
        <v>1.4509189406899576E-11</v>
      </c>
      <c r="AB52" s="49">
        <f t="shared" si="48"/>
        <v>7929182.7115423055</v>
      </c>
      <c r="AC52" s="49">
        <f>IFERROR(up_RadSpec!$E$17*($AZ$17/$B52),".")</f>
        <v>344747.07441488293</v>
      </c>
      <c r="AD52" s="49">
        <f>IFERROR(up_RadSpec!$E$17*($AZ$17/$B52),".")</f>
        <v>344747.07441488293</v>
      </c>
      <c r="AE52" s="49">
        <f>IFERROR(up_RadSpec!$E$17*($AZ$17/$B52),".")</f>
        <v>344747.07441488293</v>
      </c>
      <c r="AF52" s="49">
        <f>IFERROR(up_RadSpec!$E$17*($AZ$17/$B52),".")</f>
        <v>344747.07441488293</v>
      </c>
      <c r="AG52" s="49">
        <f>IFERROR(up_RadSpec!$E$17*($AZ$17/$B52),".")</f>
        <v>344747.07441488293</v>
      </c>
      <c r="AH52" s="49">
        <f>IFERROR(up_RadSpec!$E$17*($AZ$17/$B52),".")</f>
        <v>344747.07441488293</v>
      </c>
      <c r="AI52" s="49">
        <f>IFERROR(up_RadSpec!$E$17*($AZ$17/$B52),".")</f>
        <v>344747.07441488293</v>
      </c>
      <c r="AJ52" s="49">
        <f>IFERROR(up_RadSpec!$E$17*($AZ$17/$B52),".")</f>
        <v>344747.07441488293</v>
      </c>
      <c r="AK52" s="49">
        <f>IFERROR(up_RadSpec!$E$17*($AZ$17/$B52),".")</f>
        <v>344747.07441488293</v>
      </c>
      <c r="AL52" s="49">
        <f>IFERROR(up_RadSpec!$E$17*($AZ$17/$B52),".")</f>
        <v>344747.07441488293</v>
      </c>
      <c r="AM52" s="49">
        <f>IFERROR(up_RadSpec!$E$17*($AZ$17/$B52),".")</f>
        <v>344747.07441488293</v>
      </c>
      <c r="AN52" s="49">
        <f>IFERROR(up_RadSpec!$E$17*($AZ$17/$B52),".")</f>
        <v>344747.07441488293</v>
      </c>
      <c r="AO52" s="49">
        <f>IFERROR(up_RadSpec!$E$17*($AZ$17/$B52),".")</f>
        <v>344747.07441488293</v>
      </c>
      <c r="AP52" s="49">
        <f>IFERROR(up_RadSpec!$E$17*($AZ$17/$B52),".")</f>
        <v>344747.07441488293</v>
      </c>
      <c r="AQ52" s="49">
        <f>IFERROR(up_RadSpec!$E$17*($AZ$17/$B52),".")</f>
        <v>344747.07441488293</v>
      </c>
      <c r="AR52" s="49">
        <f>IFERROR(up_RadSpec!$E$17*($AZ$17/$B52),".")</f>
        <v>344747.07441488293</v>
      </c>
      <c r="AS52" s="49">
        <f>IFERROR(up_RadSpec!$E$17*($AZ$17/$B52),".")</f>
        <v>344747.07441488293</v>
      </c>
      <c r="AT52" s="49">
        <f>IFERROR(up_RadSpec!$E$17*($AZ$17/$B52),".")</f>
        <v>344747.07441488293</v>
      </c>
      <c r="AU52" s="49">
        <f>IFERROR(up_RadSpec!$E$17*($AZ$17/$B52),".")</f>
        <v>344747.07441488293</v>
      </c>
      <c r="AV52" s="49">
        <f>IFERROR(up_RadSpec!$E$17*($AZ$17/$B52),".")</f>
        <v>344747.07441488293</v>
      </c>
      <c r="AW52" s="49">
        <f>IFERROR(up_RadSpec!$E$17*($AZ$17/$B52),".")</f>
        <v>344747.07441488293</v>
      </c>
      <c r="AX52" s="49">
        <f>IFERROR(up_RadSpec!$E$17*($AZ$17/$B52),".")</f>
        <v>344747.07441488293</v>
      </c>
      <c r="AY52" s="49">
        <f>IFERROR(up_RadSpec!$E$17*($AZ$17/$B52),".")</f>
        <v>344747.07441488293</v>
      </c>
      <c r="AZ52" s="49">
        <f>IFERROR(up_RadSpec!$E$17*($AZ$17/$B52),".")</f>
        <v>344747.07441488293</v>
      </c>
      <c r="BA52" s="60">
        <f t="shared" si="11"/>
        <v>17230459468.75</v>
      </c>
      <c r="BB52" s="60">
        <f t="shared" ref="BB52:BY52" si="55">IFERROR($B52/BB17,0)</f>
        <v>68921837875</v>
      </c>
      <c r="BC52" s="60">
        <f t="shared" si="55"/>
        <v>68921837875</v>
      </c>
      <c r="BD52" s="60">
        <f t="shared" si="55"/>
        <v>68921837875</v>
      </c>
      <c r="BE52" s="60">
        <f t="shared" si="55"/>
        <v>68921837875</v>
      </c>
      <c r="BF52" s="60">
        <f t="shared" si="55"/>
        <v>68921837875</v>
      </c>
      <c r="BG52" s="60">
        <f t="shared" si="55"/>
        <v>68921837875</v>
      </c>
      <c r="BH52" s="60">
        <f t="shared" si="55"/>
        <v>68921837875</v>
      </c>
      <c r="BI52" s="60">
        <f t="shared" si="55"/>
        <v>68921837875</v>
      </c>
      <c r="BJ52" s="60">
        <f t="shared" si="55"/>
        <v>68921837875</v>
      </c>
      <c r="BK52" s="60">
        <f t="shared" si="55"/>
        <v>68921837875</v>
      </c>
      <c r="BL52" s="60">
        <f t="shared" si="55"/>
        <v>68921837875</v>
      </c>
      <c r="BM52" s="60">
        <f t="shared" si="55"/>
        <v>68921837875</v>
      </c>
      <c r="BN52" s="60">
        <f t="shared" si="55"/>
        <v>68921837875</v>
      </c>
      <c r="BO52" s="60">
        <f t="shared" si="55"/>
        <v>68921837875</v>
      </c>
      <c r="BP52" s="60">
        <f t="shared" si="55"/>
        <v>68921837875</v>
      </c>
      <c r="BQ52" s="60">
        <f t="shared" si="55"/>
        <v>68921837875</v>
      </c>
      <c r="BR52" s="60">
        <f t="shared" si="55"/>
        <v>68921837875</v>
      </c>
      <c r="BS52" s="60">
        <f t="shared" si="55"/>
        <v>68921837875</v>
      </c>
      <c r="BT52" s="60">
        <f t="shared" si="55"/>
        <v>68921837875</v>
      </c>
      <c r="BU52" s="60">
        <f t="shared" si="55"/>
        <v>68921837875</v>
      </c>
      <c r="BV52" s="60">
        <f t="shared" si="55"/>
        <v>68921837875</v>
      </c>
      <c r="BW52" s="60">
        <f t="shared" si="55"/>
        <v>68921837875</v>
      </c>
      <c r="BX52" s="60">
        <f t="shared" si="55"/>
        <v>68921837875</v>
      </c>
      <c r="BY52" s="60">
        <f t="shared" si="55"/>
        <v>68921837875</v>
      </c>
      <c r="BZ52" s="49">
        <f t="shared" si="3"/>
        <v>1378988.2976595317</v>
      </c>
      <c r="CA52" s="49">
        <f>IFERROR(up_RadSpec!$E$17*(CA17/$B52),".")</f>
        <v>344747.07441488293</v>
      </c>
      <c r="CB52" s="49">
        <f>IFERROR(up_RadSpec!$E$17*(CB17/$B52),".")</f>
        <v>344747.07441488293</v>
      </c>
      <c r="CC52" s="49">
        <f>IFERROR(up_RadSpec!$E$17*(CC17/$B52),".")</f>
        <v>344747.07441488293</v>
      </c>
      <c r="CD52" s="49">
        <f>IFERROR(up_RadSpec!$E$17*(CD17/$B52),".")</f>
        <v>344747.07441488293</v>
      </c>
      <c r="CE52" s="49">
        <f>IFERROR(up_RadSpec!$E$17*(CE17/$B52),".")</f>
        <v>344747.07441488293</v>
      </c>
      <c r="CF52" s="49">
        <f>IFERROR(up_RadSpec!$E$17*(CF17/$B52),".")</f>
        <v>344747.07441488293</v>
      </c>
      <c r="CG52" s="49">
        <f>IFERROR(up_RadSpec!$E$17*(CG17/$B52),".")</f>
        <v>344747.07441488293</v>
      </c>
      <c r="CH52" s="49">
        <f>IFERROR(up_RadSpec!$E$17*(CH17/$B52),".")</f>
        <v>344747.07441488293</v>
      </c>
      <c r="CI52" s="49">
        <f>IFERROR(up_RadSpec!$E$17*(CI17/$B52),".")</f>
        <v>344747.07441488293</v>
      </c>
      <c r="CJ52" s="49">
        <f>IFERROR(up_RadSpec!$E$17*(CJ17/$B52),".")</f>
        <v>344747.07441488293</v>
      </c>
      <c r="CK52" s="49">
        <f>IFERROR(up_RadSpec!$E$17*(CK17/$B52),".")</f>
        <v>344747.07441488293</v>
      </c>
      <c r="CL52" s="49">
        <f>IFERROR(up_RadSpec!$E$17*(CL17/$B52),".")</f>
        <v>344747.07441488293</v>
      </c>
      <c r="CM52" s="49">
        <f>IFERROR(up_RadSpec!$E$17*(CM17/$B52),".")</f>
        <v>344747.07441488293</v>
      </c>
      <c r="CN52" s="49">
        <f>IFERROR(up_RadSpec!$E$17*(CN17/$B52),".")</f>
        <v>344747.07441488293</v>
      </c>
      <c r="CO52" s="49">
        <f>IFERROR(up_RadSpec!$E$17*(CO17/$B52),".")</f>
        <v>344747.07441488293</v>
      </c>
      <c r="CP52" s="49">
        <f>IFERROR(up_RadSpec!$E$17*(CP17/$B52),".")</f>
        <v>344747.07441488293</v>
      </c>
      <c r="CQ52" s="49">
        <f>IFERROR(up_RadSpec!$E$17*(CQ17/$B52),".")</f>
        <v>344747.07441488293</v>
      </c>
      <c r="CR52" s="49">
        <f>IFERROR(up_RadSpec!$E$17*(CR17/$B52),".")</f>
        <v>344747.07441488293</v>
      </c>
      <c r="CS52" s="49">
        <f>IFERROR(up_RadSpec!$E$17*(CS17/$B52),".")</f>
        <v>344747.07441488293</v>
      </c>
      <c r="CT52" s="49">
        <f>IFERROR(up_RadSpec!$E$17*(CT17/$B52),".")</f>
        <v>344747.07441488293</v>
      </c>
      <c r="CU52" s="49">
        <f>IFERROR(up_RadSpec!$E$17*(CU17/$B52),".")</f>
        <v>344747.07441488293</v>
      </c>
      <c r="CV52" s="49">
        <f>IFERROR(up_RadSpec!$E$17*(CV17/$B52),".")</f>
        <v>344747.07441488293</v>
      </c>
      <c r="CW52" s="49">
        <f>IFERROR(up_RadSpec!$E$17*(CW17/$B52),".")</f>
        <v>344747.07441488293</v>
      </c>
      <c r="CX52" s="49">
        <f>IFERROR(up_RadSpec!$E$17*(CX17/$B52),".")</f>
        <v>344747.07441488293</v>
      </c>
    </row>
    <row r="53" spans="1:102" x14ac:dyDescent="0.25">
      <c r="A53" s="83" t="s">
        <v>1091</v>
      </c>
      <c r="B53" s="42">
        <v>2.0000000000000001E-4</v>
      </c>
      <c r="C53" s="60">
        <f t="shared" si="8"/>
        <v>1.8132859461272745E-8</v>
      </c>
      <c r="D53" s="60">
        <f t="shared" ref="D53:AA53" si="56">IFERROR(D5/$B53,0)</f>
        <v>7.2531437845090978E-8</v>
      </c>
      <c r="E53" s="60">
        <f t="shared" si="56"/>
        <v>7.2531437845090978E-8</v>
      </c>
      <c r="F53" s="60">
        <f t="shared" si="56"/>
        <v>7.2531437845090978E-8</v>
      </c>
      <c r="G53" s="60">
        <f t="shared" si="56"/>
        <v>7.2531437845090978E-8</v>
      </c>
      <c r="H53" s="60">
        <f t="shared" si="56"/>
        <v>7.2531437845090978E-8</v>
      </c>
      <c r="I53" s="60">
        <f t="shared" si="56"/>
        <v>7.2531437845090978E-8</v>
      </c>
      <c r="J53" s="60">
        <f t="shared" si="56"/>
        <v>7.2531437845090978E-8</v>
      </c>
      <c r="K53" s="60">
        <f t="shared" si="56"/>
        <v>7.2531437845090978E-8</v>
      </c>
      <c r="L53" s="60">
        <f t="shared" si="56"/>
        <v>7.2531437845090978E-8</v>
      </c>
      <c r="M53" s="60">
        <f t="shared" si="56"/>
        <v>7.2531437845090978E-8</v>
      </c>
      <c r="N53" s="60">
        <f t="shared" si="56"/>
        <v>7.2531437845090978E-8</v>
      </c>
      <c r="O53" s="60">
        <f t="shared" si="56"/>
        <v>7.2531437845090978E-8</v>
      </c>
      <c r="P53" s="60">
        <f t="shared" si="56"/>
        <v>7.2531437845090978E-8</v>
      </c>
      <c r="Q53" s="60">
        <f t="shared" si="56"/>
        <v>7.2531437845090978E-8</v>
      </c>
      <c r="R53" s="60">
        <f t="shared" si="56"/>
        <v>7.2531437845090978E-8</v>
      </c>
      <c r="S53" s="60">
        <f t="shared" si="56"/>
        <v>7.2531437845090978E-8</v>
      </c>
      <c r="T53" s="60">
        <f t="shared" si="56"/>
        <v>7.2531437845090978E-8</v>
      </c>
      <c r="U53" s="60">
        <f t="shared" si="56"/>
        <v>7.2531437845090978E-8</v>
      </c>
      <c r="V53" s="60">
        <f t="shared" si="56"/>
        <v>7.2531437845090978E-8</v>
      </c>
      <c r="W53" s="60">
        <f t="shared" si="56"/>
        <v>7.2531437845090978E-8</v>
      </c>
      <c r="X53" s="60">
        <f t="shared" si="56"/>
        <v>7.2531437845090978E-8</v>
      </c>
      <c r="Y53" s="60">
        <f t="shared" si="56"/>
        <v>7.2531437845090978E-8</v>
      </c>
      <c r="Z53" s="60">
        <f t="shared" si="56"/>
        <v>7.2531437845090978E-8</v>
      </c>
      <c r="AA53" s="60">
        <f t="shared" si="56"/>
        <v>7.2531437845090978E-8</v>
      </c>
      <c r="AB53" s="49">
        <f t="shared" si="48"/>
        <v>39637984375</v>
      </c>
      <c r="AC53" s="49">
        <f>IFERROR(up_RadSpec!$E$5*($AZ$5/$B53),".")</f>
        <v>1723390625</v>
      </c>
      <c r="AD53" s="49">
        <f>IFERROR(up_RadSpec!$E$5*($AZ$5/$B53),".")</f>
        <v>1723390625</v>
      </c>
      <c r="AE53" s="49">
        <f>IFERROR(up_RadSpec!$E$5*($AZ$5/$B53),".")</f>
        <v>1723390625</v>
      </c>
      <c r="AF53" s="49">
        <f>IFERROR(up_RadSpec!$E$5*($AZ$5/$B53),".")</f>
        <v>1723390625</v>
      </c>
      <c r="AG53" s="49">
        <f>IFERROR(up_RadSpec!$E$5*($AZ$5/$B53),".")</f>
        <v>1723390625</v>
      </c>
      <c r="AH53" s="49">
        <f>IFERROR(up_RadSpec!$E$5*($AZ$5/$B53),".")</f>
        <v>1723390625</v>
      </c>
      <c r="AI53" s="49">
        <f>IFERROR(up_RadSpec!$E$5*($AZ$5/$B53),".")</f>
        <v>1723390625</v>
      </c>
      <c r="AJ53" s="49">
        <f>IFERROR(up_RadSpec!$E$5*($AZ$5/$B53),".")</f>
        <v>1723390625</v>
      </c>
      <c r="AK53" s="49">
        <f>IFERROR(up_RadSpec!$E$5*($AZ$5/$B53),".")</f>
        <v>1723390625</v>
      </c>
      <c r="AL53" s="49">
        <f>IFERROR(up_RadSpec!$E$5*($AZ$5/$B53),".")</f>
        <v>1723390625</v>
      </c>
      <c r="AM53" s="49">
        <f>IFERROR(up_RadSpec!$E$5*($AZ$5/$B53),".")</f>
        <v>1723390625</v>
      </c>
      <c r="AN53" s="49">
        <f>IFERROR(up_RadSpec!$E$5*($AZ$5/$B53),".")</f>
        <v>1723390625</v>
      </c>
      <c r="AO53" s="49">
        <f>IFERROR(up_RadSpec!$E$5*($AZ$5/$B53),".")</f>
        <v>1723390625</v>
      </c>
      <c r="AP53" s="49">
        <f>IFERROR(up_RadSpec!$E$5*($AZ$5/$B53),".")</f>
        <v>1723390625</v>
      </c>
      <c r="AQ53" s="49">
        <f>IFERROR(up_RadSpec!$E$5*($AZ$5/$B53),".")</f>
        <v>1723390625</v>
      </c>
      <c r="AR53" s="49">
        <f>IFERROR(up_RadSpec!$E$5*($AZ$5/$B53),".")</f>
        <v>1723390625</v>
      </c>
      <c r="AS53" s="49">
        <f>IFERROR(up_RadSpec!$E$5*($AZ$5/$B53),".")</f>
        <v>1723390625</v>
      </c>
      <c r="AT53" s="49">
        <f>IFERROR(up_RadSpec!$E$5*($AZ$5/$B53),".")</f>
        <v>1723390625</v>
      </c>
      <c r="AU53" s="49">
        <f>IFERROR(up_RadSpec!$E$5*($AZ$5/$B53),".")</f>
        <v>1723390625</v>
      </c>
      <c r="AV53" s="49">
        <f>IFERROR(up_RadSpec!$E$5*($AZ$5/$B53),".")</f>
        <v>1723390625</v>
      </c>
      <c r="AW53" s="49">
        <f>IFERROR(up_RadSpec!$E$5*($AZ$5/$B53),".")</f>
        <v>1723390625</v>
      </c>
      <c r="AX53" s="49">
        <f>IFERROR(up_RadSpec!$E$5*($AZ$5/$B53),".")</f>
        <v>1723390625</v>
      </c>
      <c r="AY53" s="49">
        <f>IFERROR(up_RadSpec!$E$5*($AZ$5/$B53),".")</f>
        <v>1723390625</v>
      </c>
      <c r="AZ53" s="49">
        <f>IFERROR(up_RadSpec!$E$5*($AZ$5/$B53),".")</f>
        <v>1723390625</v>
      </c>
      <c r="BA53" s="60">
        <f t="shared" si="11"/>
        <v>3446781.25</v>
      </c>
      <c r="BB53" s="60">
        <f t="shared" ref="BB53:BY53" si="57">IFERROR($B53/BB5,0)</f>
        <v>13787125</v>
      </c>
      <c r="BC53" s="60">
        <f t="shared" si="57"/>
        <v>13787125</v>
      </c>
      <c r="BD53" s="60">
        <f t="shared" si="57"/>
        <v>13787125</v>
      </c>
      <c r="BE53" s="60">
        <f t="shared" si="57"/>
        <v>13787125</v>
      </c>
      <c r="BF53" s="60">
        <f t="shared" si="57"/>
        <v>13787125</v>
      </c>
      <c r="BG53" s="60">
        <f t="shared" si="57"/>
        <v>13787125</v>
      </c>
      <c r="BH53" s="60">
        <f t="shared" si="57"/>
        <v>13787125</v>
      </c>
      <c r="BI53" s="60">
        <f t="shared" si="57"/>
        <v>13787125</v>
      </c>
      <c r="BJ53" s="60">
        <f t="shared" si="57"/>
        <v>13787125</v>
      </c>
      <c r="BK53" s="60">
        <f t="shared" si="57"/>
        <v>13787125</v>
      </c>
      <c r="BL53" s="60">
        <f t="shared" si="57"/>
        <v>13787125</v>
      </c>
      <c r="BM53" s="60">
        <f t="shared" si="57"/>
        <v>13787125</v>
      </c>
      <c r="BN53" s="60">
        <f t="shared" si="57"/>
        <v>13787125</v>
      </c>
      <c r="BO53" s="60">
        <f t="shared" si="57"/>
        <v>13787125</v>
      </c>
      <c r="BP53" s="60">
        <f t="shared" si="57"/>
        <v>13787125</v>
      </c>
      <c r="BQ53" s="60">
        <f t="shared" si="57"/>
        <v>13787125</v>
      </c>
      <c r="BR53" s="60">
        <f t="shared" si="57"/>
        <v>13787125</v>
      </c>
      <c r="BS53" s="60">
        <f t="shared" si="57"/>
        <v>13787125</v>
      </c>
      <c r="BT53" s="60">
        <f t="shared" si="57"/>
        <v>13787125</v>
      </c>
      <c r="BU53" s="60">
        <f t="shared" si="57"/>
        <v>13787125</v>
      </c>
      <c r="BV53" s="60">
        <f t="shared" si="57"/>
        <v>13787125</v>
      </c>
      <c r="BW53" s="60">
        <f t="shared" si="57"/>
        <v>13787125</v>
      </c>
      <c r="BX53" s="60">
        <f t="shared" si="57"/>
        <v>13787125</v>
      </c>
      <c r="BY53" s="60">
        <f t="shared" si="57"/>
        <v>13787125</v>
      </c>
      <c r="BZ53" s="49">
        <f t="shared" si="3"/>
        <v>6893562500</v>
      </c>
      <c r="CA53" s="49">
        <f>IFERROR(up_RadSpec!$E$5*(CA5/$B53),".")</f>
        <v>1723390625</v>
      </c>
      <c r="CB53" s="49">
        <f>IFERROR(up_RadSpec!$E$5*(CB5/$B53),".")</f>
        <v>1723390625</v>
      </c>
      <c r="CC53" s="49">
        <f>IFERROR(up_RadSpec!$E$5*(CC5/$B53),".")</f>
        <v>1723390625</v>
      </c>
      <c r="CD53" s="49">
        <f>IFERROR(up_RadSpec!$E$5*(CD5/$B53),".")</f>
        <v>1723390625</v>
      </c>
      <c r="CE53" s="49">
        <f>IFERROR(up_RadSpec!$E$5*(CE5/$B53),".")</f>
        <v>1723390625</v>
      </c>
      <c r="CF53" s="49">
        <f>IFERROR(up_RadSpec!$E$5*(CF5/$B53),".")</f>
        <v>1723390625</v>
      </c>
      <c r="CG53" s="49">
        <f>IFERROR(up_RadSpec!$E$5*(CG5/$B53),".")</f>
        <v>1723390625</v>
      </c>
      <c r="CH53" s="49">
        <f>IFERROR(up_RadSpec!$E$5*(CH5/$B53),".")</f>
        <v>1723390625</v>
      </c>
      <c r="CI53" s="49">
        <f>IFERROR(up_RadSpec!$E$5*(CI5/$B53),".")</f>
        <v>1723390625</v>
      </c>
      <c r="CJ53" s="49">
        <f>IFERROR(up_RadSpec!$E$5*(CJ5/$B53),".")</f>
        <v>1723390625</v>
      </c>
      <c r="CK53" s="49">
        <f>IFERROR(up_RadSpec!$E$5*(CK5/$B53),".")</f>
        <v>1723390625</v>
      </c>
      <c r="CL53" s="49">
        <f>IFERROR(up_RadSpec!$E$5*(CL5/$B53),".")</f>
        <v>1723390625</v>
      </c>
      <c r="CM53" s="49">
        <f>IFERROR(up_RadSpec!$E$5*(CM5/$B53),".")</f>
        <v>1723390625</v>
      </c>
      <c r="CN53" s="49">
        <f>IFERROR(up_RadSpec!$E$5*(CN5/$B53),".")</f>
        <v>1723390625</v>
      </c>
      <c r="CO53" s="49">
        <f>IFERROR(up_RadSpec!$E$5*(CO5/$B53),".")</f>
        <v>1723390625</v>
      </c>
      <c r="CP53" s="49">
        <f>IFERROR(up_RadSpec!$E$5*(CP5/$B53),".")</f>
        <v>1723390625</v>
      </c>
      <c r="CQ53" s="49">
        <f>IFERROR(up_RadSpec!$E$5*(CQ5/$B53),".")</f>
        <v>1723390625</v>
      </c>
      <c r="CR53" s="49">
        <f>IFERROR(up_RadSpec!$E$5*(CR5/$B53),".")</f>
        <v>1723390625</v>
      </c>
      <c r="CS53" s="49">
        <f>IFERROR(up_RadSpec!$E$5*(CS5/$B53),".")</f>
        <v>1723390625</v>
      </c>
      <c r="CT53" s="49">
        <f>IFERROR(up_RadSpec!$E$5*(CT5/$B53),".")</f>
        <v>1723390625</v>
      </c>
      <c r="CU53" s="49">
        <f>IFERROR(up_RadSpec!$E$5*(CU5/$B53),".")</f>
        <v>1723390625</v>
      </c>
      <c r="CV53" s="49">
        <f>IFERROR(up_RadSpec!$E$5*(CV5/$B53),".")</f>
        <v>1723390625</v>
      </c>
      <c r="CW53" s="49">
        <f>IFERROR(up_RadSpec!$E$5*(CW5/$B53),".")</f>
        <v>1723390625</v>
      </c>
      <c r="CX53" s="49">
        <f>IFERROR(up_RadSpec!$E$5*(CX5/$B53),".")</f>
        <v>1723390625</v>
      </c>
    </row>
    <row r="54" spans="1:102" x14ac:dyDescent="0.25">
      <c r="A54" s="83" t="s">
        <v>1092</v>
      </c>
      <c r="B54" s="42">
        <v>0.99999979999999999</v>
      </c>
      <c r="C54" s="60">
        <f t="shared" si="8"/>
        <v>3.6265726175690725E-12</v>
      </c>
      <c r="D54" s="60">
        <f t="shared" ref="D54:AA54" si="58">IFERROR(D9/$B54,0)</f>
        <v>1.4506290470276292E-11</v>
      </c>
      <c r="E54" s="60">
        <f t="shared" si="58"/>
        <v>1.4506290470276292E-11</v>
      </c>
      <c r="F54" s="60">
        <f t="shared" si="58"/>
        <v>1.4506290470276292E-11</v>
      </c>
      <c r="G54" s="60">
        <f t="shared" si="58"/>
        <v>1.4506290470276292E-11</v>
      </c>
      <c r="H54" s="60">
        <f t="shared" si="58"/>
        <v>1.4506290470276292E-11</v>
      </c>
      <c r="I54" s="60">
        <f t="shared" si="58"/>
        <v>1.4506290470276292E-11</v>
      </c>
      <c r="J54" s="60">
        <f t="shared" si="58"/>
        <v>1.4506290470276292E-11</v>
      </c>
      <c r="K54" s="60">
        <f t="shared" si="58"/>
        <v>1.4506290470276292E-11</v>
      </c>
      <c r="L54" s="60">
        <f t="shared" si="58"/>
        <v>1.4506290470276292E-11</v>
      </c>
      <c r="M54" s="60">
        <f t="shared" si="58"/>
        <v>1.4506290470276292E-11</v>
      </c>
      <c r="N54" s="60">
        <f t="shared" si="58"/>
        <v>1.4506290470276292E-11</v>
      </c>
      <c r="O54" s="60">
        <f t="shared" si="58"/>
        <v>1.4506290470276292E-11</v>
      </c>
      <c r="P54" s="60">
        <f t="shared" si="58"/>
        <v>1.4506290470276292E-11</v>
      </c>
      <c r="Q54" s="60">
        <f t="shared" si="58"/>
        <v>1.4506290470276292E-11</v>
      </c>
      <c r="R54" s="60">
        <f t="shared" si="58"/>
        <v>1.4506290470276292E-11</v>
      </c>
      <c r="S54" s="60">
        <f t="shared" si="58"/>
        <v>1.4506290470276292E-11</v>
      </c>
      <c r="T54" s="60">
        <f t="shared" si="58"/>
        <v>1.4506290470276292E-11</v>
      </c>
      <c r="U54" s="60">
        <f t="shared" si="58"/>
        <v>1.4506290470276292E-11</v>
      </c>
      <c r="V54" s="60">
        <f t="shared" si="58"/>
        <v>1.4506290470276292E-11</v>
      </c>
      <c r="W54" s="60">
        <f t="shared" si="58"/>
        <v>1.4506290470276292E-11</v>
      </c>
      <c r="X54" s="60">
        <f t="shared" si="58"/>
        <v>1.4506290470276292E-11</v>
      </c>
      <c r="Y54" s="60">
        <f t="shared" si="58"/>
        <v>1.4506290470276292E-11</v>
      </c>
      <c r="Z54" s="60">
        <f t="shared" si="58"/>
        <v>1.4506290470276292E-11</v>
      </c>
      <c r="AA54" s="60">
        <f t="shared" si="58"/>
        <v>1.4506290470276292E-11</v>
      </c>
      <c r="AB54" s="49">
        <f t="shared" si="48"/>
        <v>7927598.4605196863</v>
      </c>
      <c r="AC54" s="49">
        <f>IFERROR(up_RadSpec!$E$9*($AZ$9/$B54),".")</f>
        <v>344678.19393563876</v>
      </c>
      <c r="AD54" s="49">
        <f>IFERROR(up_RadSpec!$E$9*($AZ$9/$B54),".")</f>
        <v>344678.19393563876</v>
      </c>
      <c r="AE54" s="49">
        <f>IFERROR(up_RadSpec!$E$9*($AZ$9/$B54),".")</f>
        <v>344678.19393563876</v>
      </c>
      <c r="AF54" s="49">
        <f>IFERROR(up_RadSpec!$E$9*($AZ$9/$B54),".")</f>
        <v>344678.19393563876</v>
      </c>
      <c r="AG54" s="49">
        <f>IFERROR(up_RadSpec!$E$9*($AZ$9/$B54),".")</f>
        <v>344678.19393563876</v>
      </c>
      <c r="AH54" s="49">
        <f>IFERROR(up_RadSpec!$E$9*($AZ$9/$B54),".")</f>
        <v>344678.19393563876</v>
      </c>
      <c r="AI54" s="49">
        <f>IFERROR(up_RadSpec!$E$9*($AZ$9/$B54),".")</f>
        <v>344678.19393563876</v>
      </c>
      <c r="AJ54" s="49">
        <f>IFERROR(up_RadSpec!$E$9*($AZ$9/$B54),".")</f>
        <v>344678.19393563876</v>
      </c>
      <c r="AK54" s="49">
        <f>IFERROR(up_RadSpec!$E$9*($AZ$9/$B54),".")</f>
        <v>344678.19393563876</v>
      </c>
      <c r="AL54" s="49">
        <f>IFERROR(up_RadSpec!$E$9*($AZ$9/$B54),".")</f>
        <v>344678.19393563876</v>
      </c>
      <c r="AM54" s="49">
        <f>IFERROR(up_RadSpec!$E$9*($AZ$9/$B54),".")</f>
        <v>344678.19393563876</v>
      </c>
      <c r="AN54" s="49">
        <f>IFERROR(up_RadSpec!$E$9*($AZ$9/$B54),".")</f>
        <v>344678.19393563876</v>
      </c>
      <c r="AO54" s="49">
        <f>IFERROR(up_RadSpec!$E$9*($AZ$9/$B54),".")</f>
        <v>344678.19393563876</v>
      </c>
      <c r="AP54" s="49">
        <f>IFERROR(up_RadSpec!$E$9*($AZ$9/$B54),".")</f>
        <v>344678.19393563876</v>
      </c>
      <c r="AQ54" s="49">
        <f>IFERROR(up_RadSpec!$E$9*($AZ$9/$B54),".")</f>
        <v>344678.19393563876</v>
      </c>
      <c r="AR54" s="49">
        <f>IFERROR(up_RadSpec!$E$9*($AZ$9/$B54),".")</f>
        <v>344678.19393563876</v>
      </c>
      <c r="AS54" s="49">
        <f>IFERROR(up_RadSpec!$E$9*($AZ$9/$B54),".")</f>
        <v>344678.19393563876</v>
      </c>
      <c r="AT54" s="49">
        <f>IFERROR(up_RadSpec!$E$9*($AZ$9/$B54),".")</f>
        <v>344678.19393563876</v>
      </c>
      <c r="AU54" s="49">
        <f>IFERROR(up_RadSpec!$E$9*($AZ$9/$B54),".")</f>
        <v>344678.19393563876</v>
      </c>
      <c r="AV54" s="49">
        <f>IFERROR(up_RadSpec!$E$9*($AZ$9/$B54),".")</f>
        <v>344678.19393563876</v>
      </c>
      <c r="AW54" s="49">
        <f>IFERROR(up_RadSpec!$E$9*($AZ$9/$B54),".")</f>
        <v>344678.19393563876</v>
      </c>
      <c r="AX54" s="49">
        <f>IFERROR(up_RadSpec!$E$9*($AZ$9/$B54),".")</f>
        <v>344678.19393563876</v>
      </c>
      <c r="AY54" s="49">
        <f>IFERROR(up_RadSpec!$E$9*($AZ$9/$B54),".")</f>
        <v>344678.19393563876</v>
      </c>
      <c r="AZ54" s="49">
        <f>IFERROR(up_RadSpec!$E$9*($AZ$9/$B54),".")</f>
        <v>344678.19393563876</v>
      </c>
      <c r="BA54" s="60">
        <f t="shared" si="11"/>
        <v>17233902803.21875</v>
      </c>
      <c r="BB54" s="60">
        <f t="shared" ref="BB54:BY54" si="59">IFERROR($B54/BB9,0)</f>
        <v>68935611212.875</v>
      </c>
      <c r="BC54" s="60">
        <f t="shared" si="59"/>
        <v>68935611212.875</v>
      </c>
      <c r="BD54" s="60">
        <f t="shared" si="59"/>
        <v>68935611212.875</v>
      </c>
      <c r="BE54" s="60">
        <f t="shared" si="59"/>
        <v>68935611212.875</v>
      </c>
      <c r="BF54" s="60">
        <f t="shared" si="59"/>
        <v>68935611212.875</v>
      </c>
      <c r="BG54" s="60">
        <f t="shared" si="59"/>
        <v>68935611212.875</v>
      </c>
      <c r="BH54" s="60">
        <f t="shared" si="59"/>
        <v>68935611212.875</v>
      </c>
      <c r="BI54" s="60">
        <f t="shared" si="59"/>
        <v>68935611212.875</v>
      </c>
      <c r="BJ54" s="60">
        <f t="shared" si="59"/>
        <v>68935611212.875</v>
      </c>
      <c r="BK54" s="60">
        <f t="shared" si="59"/>
        <v>68935611212.875</v>
      </c>
      <c r="BL54" s="60">
        <f t="shared" si="59"/>
        <v>68935611212.875</v>
      </c>
      <c r="BM54" s="60">
        <f t="shared" si="59"/>
        <v>68935611212.875</v>
      </c>
      <c r="BN54" s="60">
        <f t="shared" si="59"/>
        <v>68935611212.875</v>
      </c>
      <c r="BO54" s="60">
        <f t="shared" si="59"/>
        <v>68935611212.875</v>
      </c>
      <c r="BP54" s="60">
        <f t="shared" si="59"/>
        <v>68935611212.875</v>
      </c>
      <c r="BQ54" s="60">
        <f t="shared" si="59"/>
        <v>68935611212.875</v>
      </c>
      <c r="BR54" s="60">
        <f t="shared" si="59"/>
        <v>68935611212.875</v>
      </c>
      <c r="BS54" s="60">
        <f t="shared" si="59"/>
        <v>68935611212.875</v>
      </c>
      <c r="BT54" s="60">
        <f t="shared" si="59"/>
        <v>68935611212.875</v>
      </c>
      <c r="BU54" s="60">
        <f t="shared" si="59"/>
        <v>68935611212.875</v>
      </c>
      <c r="BV54" s="60">
        <f t="shared" si="59"/>
        <v>68935611212.875</v>
      </c>
      <c r="BW54" s="60">
        <f t="shared" si="59"/>
        <v>68935611212.875</v>
      </c>
      <c r="BX54" s="60">
        <f t="shared" si="59"/>
        <v>68935611212.875</v>
      </c>
      <c r="BY54" s="60">
        <f t="shared" si="59"/>
        <v>68935611212.875</v>
      </c>
      <c r="BZ54" s="49">
        <f t="shared" si="3"/>
        <v>1378712.775742555</v>
      </c>
      <c r="CA54" s="49">
        <f>IFERROR(up_RadSpec!$E$9*(CA9/$B54),".")</f>
        <v>344678.19393563876</v>
      </c>
      <c r="CB54" s="49">
        <f>IFERROR(up_RadSpec!$E$9*(CB9/$B54),".")</f>
        <v>344678.19393563876</v>
      </c>
      <c r="CC54" s="49">
        <f>IFERROR(up_RadSpec!$E$9*(CC9/$B54),".")</f>
        <v>344678.19393563876</v>
      </c>
      <c r="CD54" s="49">
        <f>IFERROR(up_RadSpec!$E$9*(CD9/$B54),".")</f>
        <v>344678.19393563876</v>
      </c>
      <c r="CE54" s="49">
        <f>IFERROR(up_RadSpec!$E$9*(CE9/$B54),".")</f>
        <v>344678.19393563876</v>
      </c>
      <c r="CF54" s="49">
        <f>IFERROR(up_RadSpec!$E$9*(CF9/$B54),".")</f>
        <v>344678.19393563876</v>
      </c>
      <c r="CG54" s="49">
        <f>IFERROR(up_RadSpec!$E$9*(CG9/$B54),".")</f>
        <v>344678.19393563876</v>
      </c>
      <c r="CH54" s="49">
        <f>IFERROR(up_RadSpec!$E$9*(CH9/$B54),".")</f>
        <v>344678.19393563876</v>
      </c>
      <c r="CI54" s="49">
        <f>IFERROR(up_RadSpec!$E$9*(CI9/$B54),".")</f>
        <v>344678.19393563876</v>
      </c>
      <c r="CJ54" s="49">
        <f>IFERROR(up_RadSpec!$E$9*(CJ9/$B54),".")</f>
        <v>344678.19393563876</v>
      </c>
      <c r="CK54" s="49">
        <f>IFERROR(up_RadSpec!$E$9*(CK9/$B54),".")</f>
        <v>344678.19393563876</v>
      </c>
      <c r="CL54" s="49">
        <f>IFERROR(up_RadSpec!$E$9*(CL9/$B54),".")</f>
        <v>344678.19393563876</v>
      </c>
      <c r="CM54" s="49">
        <f>IFERROR(up_RadSpec!$E$9*(CM9/$B54),".")</f>
        <v>344678.19393563876</v>
      </c>
      <c r="CN54" s="49">
        <f>IFERROR(up_RadSpec!$E$9*(CN9/$B54),".")</f>
        <v>344678.19393563876</v>
      </c>
      <c r="CO54" s="49">
        <f>IFERROR(up_RadSpec!$E$9*(CO9/$B54),".")</f>
        <v>344678.19393563876</v>
      </c>
      <c r="CP54" s="49">
        <f>IFERROR(up_RadSpec!$E$9*(CP9/$B54),".")</f>
        <v>344678.19393563876</v>
      </c>
      <c r="CQ54" s="49">
        <f>IFERROR(up_RadSpec!$E$9*(CQ9/$B54),".")</f>
        <v>344678.19393563876</v>
      </c>
      <c r="CR54" s="49">
        <f>IFERROR(up_RadSpec!$E$9*(CR9/$B54),".")</f>
        <v>344678.19393563876</v>
      </c>
      <c r="CS54" s="49">
        <f>IFERROR(up_RadSpec!$E$9*(CS9/$B54),".")</f>
        <v>344678.19393563876</v>
      </c>
      <c r="CT54" s="49">
        <f>IFERROR(up_RadSpec!$E$9*(CT9/$B54),".")</f>
        <v>344678.19393563876</v>
      </c>
      <c r="CU54" s="49">
        <f>IFERROR(up_RadSpec!$E$9*(CU9/$B54),".")</f>
        <v>344678.19393563876</v>
      </c>
      <c r="CV54" s="49">
        <f>IFERROR(up_RadSpec!$E$9*(CV9/$B54),".")</f>
        <v>344678.19393563876</v>
      </c>
      <c r="CW54" s="49">
        <f>IFERROR(up_RadSpec!$E$9*(CW9/$B54),".")</f>
        <v>344678.19393563876</v>
      </c>
      <c r="CX54" s="49">
        <f>IFERROR(up_RadSpec!$E$9*(CX9/$B54),".")</f>
        <v>344678.19393563876</v>
      </c>
    </row>
    <row r="55" spans="1:102" x14ac:dyDescent="0.25">
      <c r="A55" s="83" t="s">
        <v>1093</v>
      </c>
      <c r="B55" s="42">
        <v>1.9999999999999999E-7</v>
      </c>
      <c r="C55" s="60">
        <f t="shared" si="8"/>
        <v>1.8132859461272745E-5</v>
      </c>
      <c r="D55" s="60">
        <f t="shared" ref="D55:AA55" si="60">IFERROR(D24/$B55,0)</f>
        <v>7.2531437845090981E-5</v>
      </c>
      <c r="E55" s="60">
        <f t="shared" si="60"/>
        <v>7.2531437845090981E-5</v>
      </c>
      <c r="F55" s="60">
        <f t="shared" si="60"/>
        <v>7.2531437845090981E-5</v>
      </c>
      <c r="G55" s="60">
        <f t="shared" si="60"/>
        <v>7.2531437845090981E-5</v>
      </c>
      <c r="H55" s="60">
        <f t="shared" si="60"/>
        <v>7.2531437845090981E-5</v>
      </c>
      <c r="I55" s="60">
        <f t="shared" si="60"/>
        <v>7.2531437845090981E-5</v>
      </c>
      <c r="J55" s="60">
        <f t="shared" si="60"/>
        <v>7.2531437845090981E-5</v>
      </c>
      <c r="K55" s="60">
        <f t="shared" si="60"/>
        <v>7.2531437845090981E-5</v>
      </c>
      <c r="L55" s="60">
        <f t="shared" si="60"/>
        <v>7.2531437845090981E-5</v>
      </c>
      <c r="M55" s="60">
        <f t="shared" si="60"/>
        <v>7.2531437845090981E-5</v>
      </c>
      <c r="N55" s="60">
        <f t="shared" si="60"/>
        <v>7.2531437845090981E-5</v>
      </c>
      <c r="O55" s="60">
        <f t="shared" si="60"/>
        <v>7.2531437845090981E-5</v>
      </c>
      <c r="P55" s="60">
        <f t="shared" si="60"/>
        <v>7.2531437845090981E-5</v>
      </c>
      <c r="Q55" s="60">
        <f t="shared" si="60"/>
        <v>7.2531437845090981E-5</v>
      </c>
      <c r="R55" s="60">
        <f t="shared" si="60"/>
        <v>7.2531437845090981E-5</v>
      </c>
      <c r="S55" s="60">
        <f t="shared" si="60"/>
        <v>7.2531437845090981E-5</v>
      </c>
      <c r="T55" s="60">
        <f t="shared" si="60"/>
        <v>7.2531437845090981E-5</v>
      </c>
      <c r="U55" s="60">
        <f t="shared" si="60"/>
        <v>7.2531437845090981E-5</v>
      </c>
      <c r="V55" s="60">
        <f t="shared" si="60"/>
        <v>7.2531437845090981E-5</v>
      </c>
      <c r="W55" s="60">
        <f t="shared" si="60"/>
        <v>7.2531437845090981E-5</v>
      </c>
      <c r="X55" s="60">
        <f t="shared" si="60"/>
        <v>7.2531437845090981E-5</v>
      </c>
      <c r="Y55" s="60">
        <f t="shared" si="60"/>
        <v>7.2531437845090981E-5</v>
      </c>
      <c r="Z55" s="60">
        <f t="shared" si="60"/>
        <v>7.2531437845090981E-5</v>
      </c>
      <c r="AA55" s="60">
        <f t="shared" si="60"/>
        <v>7.2531437845090981E-5</v>
      </c>
      <c r="AB55" s="49">
        <f t="shared" si="48"/>
        <v>39637984375000</v>
      </c>
      <c r="AC55" s="49">
        <f>IFERROR(up_RadSpec!$E$24*($AZ$24/$B55),".")</f>
        <v>1723390625000</v>
      </c>
      <c r="AD55" s="49">
        <f>IFERROR(up_RadSpec!$E$24*($AZ$24/$B55),".")</f>
        <v>1723390625000</v>
      </c>
      <c r="AE55" s="49">
        <f>IFERROR(up_RadSpec!$E$24*($AZ$24/$B55),".")</f>
        <v>1723390625000</v>
      </c>
      <c r="AF55" s="49">
        <f>IFERROR(up_RadSpec!$E$24*($AZ$24/$B55),".")</f>
        <v>1723390625000</v>
      </c>
      <c r="AG55" s="49">
        <f>IFERROR(up_RadSpec!$E$24*($AZ$24/$B55),".")</f>
        <v>1723390625000</v>
      </c>
      <c r="AH55" s="49">
        <f>IFERROR(up_RadSpec!$E$24*($AZ$24/$B55),".")</f>
        <v>1723390625000</v>
      </c>
      <c r="AI55" s="49">
        <f>IFERROR(up_RadSpec!$E$24*($AZ$24/$B55),".")</f>
        <v>1723390625000</v>
      </c>
      <c r="AJ55" s="49">
        <f>IFERROR(up_RadSpec!$E$24*($AZ$24/$B55),".")</f>
        <v>1723390625000</v>
      </c>
      <c r="AK55" s="49">
        <f>IFERROR(up_RadSpec!$E$24*($AZ$24/$B55),".")</f>
        <v>1723390625000</v>
      </c>
      <c r="AL55" s="49">
        <f>IFERROR(up_RadSpec!$E$24*($AZ$24/$B55),".")</f>
        <v>1723390625000</v>
      </c>
      <c r="AM55" s="49">
        <f>IFERROR(up_RadSpec!$E$24*($AZ$24/$B55),".")</f>
        <v>1723390625000</v>
      </c>
      <c r="AN55" s="49">
        <f>IFERROR(up_RadSpec!$E$24*($AZ$24/$B55),".")</f>
        <v>1723390625000</v>
      </c>
      <c r="AO55" s="49">
        <f>IFERROR(up_RadSpec!$E$24*($AZ$24/$B55),".")</f>
        <v>1723390625000</v>
      </c>
      <c r="AP55" s="49">
        <f>IFERROR(up_RadSpec!$E$24*($AZ$24/$B55),".")</f>
        <v>1723390625000</v>
      </c>
      <c r="AQ55" s="49">
        <f>IFERROR(up_RadSpec!$E$24*($AZ$24/$B55),".")</f>
        <v>1723390625000</v>
      </c>
      <c r="AR55" s="49">
        <f>IFERROR(up_RadSpec!$E$24*($AZ$24/$B55),".")</f>
        <v>1723390625000</v>
      </c>
      <c r="AS55" s="49">
        <f>IFERROR(up_RadSpec!$E$24*($AZ$24/$B55),".")</f>
        <v>1723390625000</v>
      </c>
      <c r="AT55" s="49">
        <f>IFERROR(up_RadSpec!$E$24*($AZ$24/$B55),".")</f>
        <v>1723390625000</v>
      </c>
      <c r="AU55" s="49">
        <f>IFERROR(up_RadSpec!$E$24*($AZ$24/$B55),".")</f>
        <v>1723390625000</v>
      </c>
      <c r="AV55" s="49">
        <f>IFERROR(up_RadSpec!$E$24*($AZ$24/$B55),".")</f>
        <v>1723390625000</v>
      </c>
      <c r="AW55" s="49">
        <f>IFERROR(up_RadSpec!$E$24*($AZ$24/$B55),".")</f>
        <v>1723390625000</v>
      </c>
      <c r="AX55" s="49">
        <f>IFERROR(up_RadSpec!$E$24*($AZ$24/$B55),".")</f>
        <v>1723390625000</v>
      </c>
      <c r="AY55" s="49">
        <f>IFERROR(up_RadSpec!$E$24*($AZ$24/$B55),".")</f>
        <v>1723390625000</v>
      </c>
      <c r="AZ55" s="49">
        <f>IFERROR(up_RadSpec!$E$24*($AZ$24/$B55),".")</f>
        <v>1723390625000</v>
      </c>
      <c r="BA55" s="60">
        <f t="shared" si="11"/>
        <v>3446.7812499999995</v>
      </c>
      <c r="BB55" s="60">
        <f t="shared" ref="BB55:BY55" si="61">IFERROR($B55/BB24,0)</f>
        <v>13787.124999999998</v>
      </c>
      <c r="BC55" s="60">
        <f t="shared" si="61"/>
        <v>13787.124999999998</v>
      </c>
      <c r="BD55" s="60">
        <f t="shared" si="61"/>
        <v>13787.124999999998</v>
      </c>
      <c r="BE55" s="60">
        <f t="shared" si="61"/>
        <v>13787.124999999998</v>
      </c>
      <c r="BF55" s="60">
        <f t="shared" si="61"/>
        <v>13787.124999999998</v>
      </c>
      <c r="BG55" s="60">
        <f t="shared" si="61"/>
        <v>13787.124999999998</v>
      </c>
      <c r="BH55" s="60">
        <f t="shared" si="61"/>
        <v>13787.124999999998</v>
      </c>
      <c r="BI55" s="60">
        <f t="shared" si="61"/>
        <v>13787.124999999998</v>
      </c>
      <c r="BJ55" s="60">
        <f t="shared" si="61"/>
        <v>13787.124999999998</v>
      </c>
      <c r="BK55" s="60">
        <f t="shared" si="61"/>
        <v>13787.124999999998</v>
      </c>
      <c r="BL55" s="60">
        <f t="shared" si="61"/>
        <v>13787.124999999998</v>
      </c>
      <c r="BM55" s="60">
        <f t="shared" si="61"/>
        <v>13787.124999999998</v>
      </c>
      <c r="BN55" s="60">
        <f t="shared" si="61"/>
        <v>13787.124999999998</v>
      </c>
      <c r="BO55" s="60">
        <f t="shared" si="61"/>
        <v>13787.124999999998</v>
      </c>
      <c r="BP55" s="60">
        <f t="shared" si="61"/>
        <v>13787.124999999998</v>
      </c>
      <c r="BQ55" s="60">
        <f t="shared" si="61"/>
        <v>13787.124999999998</v>
      </c>
      <c r="BR55" s="60">
        <f t="shared" si="61"/>
        <v>13787.124999999998</v>
      </c>
      <c r="BS55" s="60">
        <f t="shared" si="61"/>
        <v>13787.124999999998</v>
      </c>
      <c r="BT55" s="60">
        <f t="shared" si="61"/>
        <v>13787.124999999998</v>
      </c>
      <c r="BU55" s="60">
        <f t="shared" si="61"/>
        <v>13787.124999999998</v>
      </c>
      <c r="BV55" s="60">
        <f t="shared" si="61"/>
        <v>13787.124999999998</v>
      </c>
      <c r="BW55" s="60">
        <f t="shared" si="61"/>
        <v>13787.124999999998</v>
      </c>
      <c r="BX55" s="60">
        <f t="shared" si="61"/>
        <v>13787.124999999998</v>
      </c>
      <c r="BY55" s="60">
        <f t="shared" si="61"/>
        <v>13787.124999999998</v>
      </c>
      <c r="BZ55" s="49">
        <f t="shared" si="3"/>
        <v>6893562500000</v>
      </c>
      <c r="CA55" s="49">
        <f>IFERROR(up_RadSpec!$E$24*(CA24/$B55),".")</f>
        <v>1723390625000</v>
      </c>
      <c r="CB55" s="49">
        <f>IFERROR(up_RadSpec!$E$24*(CB24/$B55),".")</f>
        <v>1723390625000</v>
      </c>
      <c r="CC55" s="49">
        <f>IFERROR(up_RadSpec!$E$24*(CC24/$B55),".")</f>
        <v>1723390625000</v>
      </c>
      <c r="CD55" s="49">
        <f>IFERROR(up_RadSpec!$E$24*(CD24/$B55),".")</f>
        <v>1723390625000</v>
      </c>
      <c r="CE55" s="49">
        <f>IFERROR(up_RadSpec!$E$24*(CE24/$B55),".")</f>
        <v>1723390625000</v>
      </c>
      <c r="CF55" s="49">
        <f>IFERROR(up_RadSpec!$E$24*(CF24/$B55),".")</f>
        <v>1723390625000</v>
      </c>
      <c r="CG55" s="49">
        <f>IFERROR(up_RadSpec!$E$24*(CG24/$B55),".")</f>
        <v>1723390625000</v>
      </c>
      <c r="CH55" s="49">
        <f>IFERROR(up_RadSpec!$E$24*(CH24/$B55),".")</f>
        <v>1723390625000</v>
      </c>
      <c r="CI55" s="49">
        <f>IFERROR(up_RadSpec!$E$24*(CI24/$B55),".")</f>
        <v>1723390625000</v>
      </c>
      <c r="CJ55" s="49">
        <f>IFERROR(up_RadSpec!$E$24*(CJ24/$B55),".")</f>
        <v>1723390625000</v>
      </c>
      <c r="CK55" s="49">
        <f>IFERROR(up_RadSpec!$E$24*(CK24/$B55),".")</f>
        <v>1723390625000</v>
      </c>
      <c r="CL55" s="49">
        <f>IFERROR(up_RadSpec!$E$24*(CL24/$B55),".")</f>
        <v>1723390625000</v>
      </c>
      <c r="CM55" s="49">
        <f>IFERROR(up_RadSpec!$E$24*(CM24/$B55),".")</f>
        <v>1723390625000</v>
      </c>
      <c r="CN55" s="49">
        <f>IFERROR(up_RadSpec!$E$24*(CN24/$B55),".")</f>
        <v>1723390625000</v>
      </c>
      <c r="CO55" s="49">
        <f>IFERROR(up_RadSpec!$E$24*(CO24/$B55),".")</f>
        <v>1723390625000</v>
      </c>
      <c r="CP55" s="49">
        <f>IFERROR(up_RadSpec!$E$24*(CP24/$B55),".")</f>
        <v>1723390625000</v>
      </c>
      <c r="CQ55" s="49">
        <f>IFERROR(up_RadSpec!$E$24*(CQ24/$B55),".")</f>
        <v>1723390625000</v>
      </c>
      <c r="CR55" s="49">
        <f>IFERROR(up_RadSpec!$E$24*(CR24/$B55),".")</f>
        <v>1723390625000</v>
      </c>
      <c r="CS55" s="49">
        <f>IFERROR(up_RadSpec!$E$24*(CS24/$B55),".")</f>
        <v>1723390625000</v>
      </c>
      <c r="CT55" s="49">
        <f>IFERROR(up_RadSpec!$E$24*(CT24/$B55),".")</f>
        <v>1723390625000</v>
      </c>
      <c r="CU55" s="49">
        <f>IFERROR(up_RadSpec!$E$24*(CU24/$B55),".")</f>
        <v>1723390625000</v>
      </c>
      <c r="CV55" s="49">
        <f>IFERROR(up_RadSpec!$E$24*(CV24/$B55),".")</f>
        <v>1723390625000</v>
      </c>
      <c r="CW55" s="49">
        <f>IFERROR(up_RadSpec!$E$24*(CW24/$B55),".")</f>
        <v>1723390625000</v>
      </c>
      <c r="CX55" s="49">
        <f>IFERROR(up_RadSpec!$E$24*(CX24/$B55),".")</f>
        <v>1723390625000</v>
      </c>
    </row>
    <row r="56" spans="1:102" x14ac:dyDescent="0.25">
      <c r="A56" s="83" t="s">
        <v>1094</v>
      </c>
      <c r="B56" s="42">
        <v>0.99979000004200003</v>
      </c>
      <c r="C56" s="60">
        <f t="shared" si="8"/>
        <v>3.6273336321649558E-12</v>
      </c>
      <c r="D56" s="60">
        <f t="shared" ref="D56:AA56" si="62">IFERROR(D20/$B56,0)</f>
        <v>1.4509334528659823E-11</v>
      </c>
      <c r="E56" s="60">
        <f t="shared" si="62"/>
        <v>1.4509334528659823E-11</v>
      </c>
      <c r="F56" s="60">
        <f t="shared" si="62"/>
        <v>1.4509334528659823E-11</v>
      </c>
      <c r="G56" s="60">
        <f t="shared" si="62"/>
        <v>1.4509334528659823E-11</v>
      </c>
      <c r="H56" s="60">
        <f t="shared" si="62"/>
        <v>1.4509334528659823E-11</v>
      </c>
      <c r="I56" s="60">
        <f t="shared" si="62"/>
        <v>1.4509334528659823E-11</v>
      </c>
      <c r="J56" s="60">
        <f t="shared" si="62"/>
        <v>1.4509334528659823E-11</v>
      </c>
      <c r="K56" s="60">
        <f t="shared" si="62"/>
        <v>1.4509334528659823E-11</v>
      </c>
      <c r="L56" s="60">
        <f t="shared" si="62"/>
        <v>1.4509334528659823E-11</v>
      </c>
      <c r="M56" s="60">
        <f t="shared" si="62"/>
        <v>1.4509334528659823E-11</v>
      </c>
      <c r="N56" s="60">
        <f t="shared" si="62"/>
        <v>1.4509334528659823E-11</v>
      </c>
      <c r="O56" s="60">
        <f t="shared" si="62"/>
        <v>1.4509334528659823E-11</v>
      </c>
      <c r="P56" s="60">
        <f t="shared" si="62"/>
        <v>1.4509334528659823E-11</v>
      </c>
      <c r="Q56" s="60">
        <f t="shared" si="62"/>
        <v>1.4509334528659823E-11</v>
      </c>
      <c r="R56" s="60">
        <f t="shared" si="62"/>
        <v>1.4509334528659823E-11</v>
      </c>
      <c r="S56" s="60">
        <f t="shared" si="62"/>
        <v>1.4509334528659823E-11</v>
      </c>
      <c r="T56" s="60">
        <f t="shared" si="62"/>
        <v>1.4509334528659823E-11</v>
      </c>
      <c r="U56" s="60">
        <f t="shared" si="62"/>
        <v>1.4509334528659823E-11</v>
      </c>
      <c r="V56" s="60">
        <f t="shared" si="62"/>
        <v>1.4509334528659823E-11</v>
      </c>
      <c r="W56" s="60">
        <f t="shared" si="62"/>
        <v>1.4509334528659823E-11</v>
      </c>
      <c r="X56" s="60">
        <f t="shared" si="62"/>
        <v>1.4509334528659823E-11</v>
      </c>
      <c r="Y56" s="60">
        <f t="shared" si="62"/>
        <v>1.4509334528659823E-11</v>
      </c>
      <c r="Z56" s="60">
        <f t="shared" si="62"/>
        <v>1.4509334528659823E-11</v>
      </c>
      <c r="AA56" s="60">
        <f t="shared" si="62"/>
        <v>1.4509334528659823E-11</v>
      </c>
      <c r="AB56" s="49">
        <f t="shared" si="48"/>
        <v>7929262.0196911097</v>
      </c>
      <c r="AC56" s="49">
        <f>IFERROR(up_RadSpec!$E$20*($AZ$20/$B56),".")</f>
        <v>344750.52259526553</v>
      </c>
      <c r="AD56" s="49">
        <f>IFERROR(up_RadSpec!$E$20*($AZ$20/$B56),".")</f>
        <v>344750.52259526553</v>
      </c>
      <c r="AE56" s="49">
        <f>IFERROR(up_RadSpec!$E$20*($AZ$20/$B56),".")</f>
        <v>344750.52259526553</v>
      </c>
      <c r="AF56" s="49">
        <f>IFERROR(up_RadSpec!$E$20*($AZ$20/$B56),".")</f>
        <v>344750.52259526553</v>
      </c>
      <c r="AG56" s="49">
        <f>IFERROR(up_RadSpec!$E$20*($AZ$20/$B56),".")</f>
        <v>344750.52259526553</v>
      </c>
      <c r="AH56" s="49">
        <f>IFERROR(up_RadSpec!$E$20*($AZ$20/$B56),".")</f>
        <v>344750.52259526553</v>
      </c>
      <c r="AI56" s="49">
        <f>IFERROR(up_RadSpec!$E$20*($AZ$20/$B56),".")</f>
        <v>344750.52259526553</v>
      </c>
      <c r="AJ56" s="49">
        <f>IFERROR(up_RadSpec!$E$20*($AZ$20/$B56),".")</f>
        <v>344750.52259526553</v>
      </c>
      <c r="AK56" s="49">
        <f>IFERROR(up_RadSpec!$E$20*($AZ$20/$B56),".")</f>
        <v>344750.52259526553</v>
      </c>
      <c r="AL56" s="49">
        <f>IFERROR(up_RadSpec!$E$20*($AZ$20/$B56),".")</f>
        <v>344750.52259526553</v>
      </c>
      <c r="AM56" s="49">
        <f>IFERROR(up_RadSpec!$E$20*($AZ$20/$B56),".")</f>
        <v>344750.52259526553</v>
      </c>
      <c r="AN56" s="49">
        <f>IFERROR(up_RadSpec!$E$20*($AZ$20/$B56),".")</f>
        <v>344750.52259526553</v>
      </c>
      <c r="AO56" s="49">
        <f>IFERROR(up_RadSpec!$E$20*($AZ$20/$B56),".")</f>
        <v>344750.52259526553</v>
      </c>
      <c r="AP56" s="49">
        <f>IFERROR(up_RadSpec!$E$20*($AZ$20/$B56),".")</f>
        <v>344750.52259526553</v>
      </c>
      <c r="AQ56" s="49">
        <f>IFERROR(up_RadSpec!$E$20*($AZ$20/$B56),".")</f>
        <v>344750.52259526553</v>
      </c>
      <c r="AR56" s="49">
        <f>IFERROR(up_RadSpec!$E$20*($AZ$20/$B56),".")</f>
        <v>344750.52259526553</v>
      </c>
      <c r="AS56" s="49">
        <f>IFERROR(up_RadSpec!$E$20*($AZ$20/$B56),".")</f>
        <v>344750.52259526553</v>
      </c>
      <c r="AT56" s="49">
        <f>IFERROR(up_RadSpec!$E$20*($AZ$20/$B56),".")</f>
        <v>344750.52259526553</v>
      </c>
      <c r="AU56" s="49">
        <f>IFERROR(up_RadSpec!$E$20*($AZ$20/$B56),".")</f>
        <v>344750.52259526553</v>
      </c>
      <c r="AV56" s="49">
        <f>IFERROR(up_RadSpec!$E$20*($AZ$20/$B56),".")</f>
        <v>344750.52259526553</v>
      </c>
      <c r="AW56" s="49">
        <f>IFERROR(up_RadSpec!$E$20*($AZ$20/$B56),".")</f>
        <v>344750.52259526553</v>
      </c>
      <c r="AX56" s="49">
        <f>IFERROR(up_RadSpec!$E$20*($AZ$20/$B56),".")</f>
        <v>344750.52259526553</v>
      </c>
      <c r="AY56" s="49">
        <f>IFERROR(up_RadSpec!$E$20*($AZ$20/$B56),".")</f>
        <v>344750.52259526553</v>
      </c>
      <c r="AZ56" s="49">
        <f>IFERROR(up_RadSpec!$E$20*($AZ$20/$B56),".")</f>
        <v>344750.52259526553</v>
      </c>
      <c r="BA56" s="60">
        <f t="shared" si="11"/>
        <v>17230287130.411324</v>
      </c>
      <c r="BB56" s="60">
        <f t="shared" ref="BB56:BY56" si="63">IFERROR($B56/BB20,0)</f>
        <v>68921148521.645294</v>
      </c>
      <c r="BC56" s="60">
        <f t="shared" si="63"/>
        <v>68921148521.645294</v>
      </c>
      <c r="BD56" s="60">
        <f t="shared" si="63"/>
        <v>68921148521.645294</v>
      </c>
      <c r="BE56" s="60">
        <f t="shared" si="63"/>
        <v>68921148521.645294</v>
      </c>
      <c r="BF56" s="60">
        <f t="shared" si="63"/>
        <v>68921148521.645294</v>
      </c>
      <c r="BG56" s="60">
        <f t="shared" si="63"/>
        <v>68921148521.645294</v>
      </c>
      <c r="BH56" s="60">
        <f t="shared" si="63"/>
        <v>68921148521.645294</v>
      </c>
      <c r="BI56" s="60">
        <f t="shared" si="63"/>
        <v>68921148521.645294</v>
      </c>
      <c r="BJ56" s="60">
        <f t="shared" si="63"/>
        <v>68921148521.645294</v>
      </c>
      <c r="BK56" s="60">
        <f t="shared" si="63"/>
        <v>68921148521.645294</v>
      </c>
      <c r="BL56" s="60">
        <f t="shared" si="63"/>
        <v>68921148521.645294</v>
      </c>
      <c r="BM56" s="60">
        <f t="shared" si="63"/>
        <v>68921148521.645294</v>
      </c>
      <c r="BN56" s="60">
        <f t="shared" si="63"/>
        <v>68921148521.645294</v>
      </c>
      <c r="BO56" s="60">
        <f t="shared" si="63"/>
        <v>68921148521.645294</v>
      </c>
      <c r="BP56" s="60">
        <f t="shared" si="63"/>
        <v>68921148521.645294</v>
      </c>
      <c r="BQ56" s="60">
        <f t="shared" si="63"/>
        <v>68921148521.645294</v>
      </c>
      <c r="BR56" s="60">
        <f t="shared" si="63"/>
        <v>68921148521.645294</v>
      </c>
      <c r="BS56" s="60">
        <f t="shared" si="63"/>
        <v>68921148521.645294</v>
      </c>
      <c r="BT56" s="60">
        <f t="shared" si="63"/>
        <v>68921148521.645294</v>
      </c>
      <c r="BU56" s="60">
        <f t="shared" si="63"/>
        <v>68921148521.645294</v>
      </c>
      <c r="BV56" s="60">
        <f t="shared" si="63"/>
        <v>68921148521.645294</v>
      </c>
      <c r="BW56" s="60">
        <f t="shared" si="63"/>
        <v>68921148521.645294</v>
      </c>
      <c r="BX56" s="60">
        <f t="shared" si="63"/>
        <v>68921148521.645294</v>
      </c>
      <c r="BY56" s="60">
        <f t="shared" si="63"/>
        <v>68921148521.645294</v>
      </c>
      <c r="BZ56" s="49">
        <f t="shared" si="3"/>
        <v>1379002.0903810621</v>
      </c>
      <c r="CA56" s="49">
        <f>IFERROR(up_RadSpec!$E$20*(CA20/$B56),".")</f>
        <v>344750.52259526553</v>
      </c>
      <c r="CB56" s="49">
        <f>IFERROR(up_RadSpec!$E$20*(CB20/$B56),".")</f>
        <v>344750.52259526553</v>
      </c>
      <c r="CC56" s="49">
        <f>IFERROR(up_RadSpec!$E$20*(CC20/$B56),".")</f>
        <v>344750.52259526553</v>
      </c>
      <c r="CD56" s="49">
        <f>IFERROR(up_RadSpec!$E$20*(CD20/$B56),".")</f>
        <v>344750.52259526553</v>
      </c>
      <c r="CE56" s="49">
        <f>IFERROR(up_RadSpec!$E$20*(CE20/$B56),".")</f>
        <v>344750.52259526553</v>
      </c>
      <c r="CF56" s="49">
        <f>IFERROR(up_RadSpec!$E$20*(CF20/$B56),".")</f>
        <v>344750.52259526553</v>
      </c>
      <c r="CG56" s="49">
        <f>IFERROR(up_RadSpec!$E$20*(CG20/$B56),".")</f>
        <v>344750.52259526553</v>
      </c>
      <c r="CH56" s="49">
        <f>IFERROR(up_RadSpec!$E$20*(CH20/$B56),".")</f>
        <v>344750.52259526553</v>
      </c>
      <c r="CI56" s="49">
        <f>IFERROR(up_RadSpec!$E$20*(CI20/$B56),".")</f>
        <v>344750.52259526553</v>
      </c>
      <c r="CJ56" s="49">
        <f>IFERROR(up_RadSpec!$E$20*(CJ20/$B56),".")</f>
        <v>344750.52259526553</v>
      </c>
      <c r="CK56" s="49">
        <f>IFERROR(up_RadSpec!$E$20*(CK20/$B56),".")</f>
        <v>344750.52259526553</v>
      </c>
      <c r="CL56" s="49">
        <f>IFERROR(up_RadSpec!$E$20*(CL20/$B56),".")</f>
        <v>344750.52259526553</v>
      </c>
      <c r="CM56" s="49">
        <f>IFERROR(up_RadSpec!$E$20*(CM20/$B56),".")</f>
        <v>344750.52259526553</v>
      </c>
      <c r="CN56" s="49">
        <f>IFERROR(up_RadSpec!$E$20*(CN20/$B56),".")</f>
        <v>344750.52259526553</v>
      </c>
      <c r="CO56" s="49">
        <f>IFERROR(up_RadSpec!$E$20*(CO20/$B56),".")</f>
        <v>344750.52259526553</v>
      </c>
      <c r="CP56" s="49">
        <f>IFERROR(up_RadSpec!$E$20*(CP20/$B56),".")</f>
        <v>344750.52259526553</v>
      </c>
      <c r="CQ56" s="49">
        <f>IFERROR(up_RadSpec!$E$20*(CQ20/$B56),".")</f>
        <v>344750.52259526553</v>
      </c>
      <c r="CR56" s="49">
        <f>IFERROR(up_RadSpec!$E$20*(CR20/$B56),".")</f>
        <v>344750.52259526553</v>
      </c>
      <c r="CS56" s="49">
        <f>IFERROR(up_RadSpec!$E$20*(CS20/$B56),".")</f>
        <v>344750.52259526553</v>
      </c>
      <c r="CT56" s="49">
        <f>IFERROR(up_RadSpec!$E$20*(CT20/$B56),".")</f>
        <v>344750.52259526553</v>
      </c>
      <c r="CU56" s="49">
        <f>IFERROR(up_RadSpec!$E$20*(CU20/$B56),".")</f>
        <v>344750.52259526553</v>
      </c>
      <c r="CV56" s="49">
        <f>IFERROR(up_RadSpec!$E$20*(CV20/$B56),".")</f>
        <v>344750.52259526553</v>
      </c>
      <c r="CW56" s="49">
        <f>IFERROR(up_RadSpec!$E$20*(CW20/$B56),".")</f>
        <v>344750.52259526553</v>
      </c>
      <c r="CX56" s="49">
        <f>IFERROR(up_RadSpec!$E$20*(CX20/$B56),".")</f>
        <v>344750.52259526553</v>
      </c>
    </row>
    <row r="57" spans="1:102" x14ac:dyDescent="0.25">
      <c r="A57" s="83" t="s">
        <v>1095</v>
      </c>
      <c r="B57" s="42">
        <v>2.0999995799999999E-4</v>
      </c>
      <c r="C57" s="60">
        <f t="shared" si="8"/>
        <v>1.7269393416995584E-8</v>
      </c>
      <c r="D57" s="60">
        <f t="shared" ref="D57:AA57" si="64">IFERROR(D29/$B57,0)</f>
        <v>6.9077573667982336E-8</v>
      </c>
      <c r="E57" s="60">
        <f t="shared" si="64"/>
        <v>6.9077573667982336E-8</v>
      </c>
      <c r="F57" s="60">
        <f t="shared" si="64"/>
        <v>6.9077573667982336E-8</v>
      </c>
      <c r="G57" s="60">
        <f t="shared" si="64"/>
        <v>6.9077573667982336E-8</v>
      </c>
      <c r="H57" s="60">
        <f t="shared" si="64"/>
        <v>6.9077573667982336E-8</v>
      </c>
      <c r="I57" s="60">
        <f t="shared" si="64"/>
        <v>6.9077573667982336E-8</v>
      </c>
      <c r="J57" s="60">
        <f t="shared" si="64"/>
        <v>6.9077573667982336E-8</v>
      </c>
      <c r="K57" s="60">
        <f t="shared" si="64"/>
        <v>6.9077573667982336E-8</v>
      </c>
      <c r="L57" s="60">
        <f t="shared" si="64"/>
        <v>6.9077573667982336E-8</v>
      </c>
      <c r="M57" s="60">
        <f t="shared" si="64"/>
        <v>6.9077573667982336E-8</v>
      </c>
      <c r="N57" s="60">
        <f t="shared" si="64"/>
        <v>6.9077573667982336E-8</v>
      </c>
      <c r="O57" s="60">
        <f t="shared" si="64"/>
        <v>6.9077573667982336E-8</v>
      </c>
      <c r="P57" s="60">
        <f t="shared" si="64"/>
        <v>6.9077573667982336E-8</v>
      </c>
      <c r="Q57" s="60">
        <f t="shared" si="64"/>
        <v>6.9077573667982336E-8</v>
      </c>
      <c r="R57" s="60">
        <f t="shared" si="64"/>
        <v>6.9077573667982336E-8</v>
      </c>
      <c r="S57" s="60">
        <f t="shared" si="64"/>
        <v>6.9077573667982336E-8</v>
      </c>
      <c r="T57" s="60">
        <f t="shared" si="64"/>
        <v>6.9077573667982336E-8</v>
      </c>
      <c r="U57" s="60">
        <f t="shared" si="64"/>
        <v>6.9077573667982336E-8</v>
      </c>
      <c r="V57" s="60">
        <f t="shared" si="64"/>
        <v>6.9077573667982336E-8</v>
      </c>
      <c r="W57" s="60">
        <f t="shared" si="64"/>
        <v>6.9077573667982336E-8</v>
      </c>
      <c r="X57" s="60">
        <f t="shared" si="64"/>
        <v>6.9077573667982336E-8</v>
      </c>
      <c r="Y57" s="60">
        <f t="shared" si="64"/>
        <v>6.9077573667982336E-8</v>
      </c>
      <c r="Z57" s="60">
        <f t="shared" si="64"/>
        <v>6.9077573667982336E-8</v>
      </c>
      <c r="AA57" s="60">
        <f t="shared" si="64"/>
        <v>6.9077573667982336E-8</v>
      </c>
      <c r="AB57" s="49">
        <f t="shared" si="48"/>
        <v>37750468859.617577</v>
      </c>
      <c r="AC57" s="49">
        <f>IFERROR(up_RadSpec!$E$29*($AZ$29/$B57),".")</f>
        <v>1641324733.0268514</v>
      </c>
      <c r="AD57" s="49">
        <f>IFERROR(up_RadSpec!$E$29*($AZ$29/$B57),".")</f>
        <v>1641324733.0268514</v>
      </c>
      <c r="AE57" s="49">
        <f>IFERROR(up_RadSpec!$E$29*($AZ$29/$B57),".")</f>
        <v>1641324733.0268514</v>
      </c>
      <c r="AF57" s="49">
        <f>IFERROR(up_RadSpec!$E$29*($AZ$29/$B57),".")</f>
        <v>1641324733.0268514</v>
      </c>
      <c r="AG57" s="49">
        <f>IFERROR(up_RadSpec!$E$29*($AZ$29/$B57),".")</f>
        <v>1641324733.0268514</v>
      </c>
      <c r="AH57" s="49">
        <f>IFERROR(up_RadSpec!$E$29*($AZ$29/$B57),".")</f>
        <v>1641324733.0268514</v>
      </c>
      <c r="AI57" s="49">
        <f>IFERROR(up_RadSpec!$E$29*($AZ$29/$B57),".")</f>
        <v>1641324733.0268514</v>
      </c>
      <c r="AJ57" s="49">
        <f>IFERROR(up_RadSpec!$E$29*($AZ$29/$B57),".")</f>
        <v>1641324733.0268514</v>
      </c>
      <c r="AK57" s="49">
        <f>IFERROR(up_RadSpec!$E$29*($AZ$29/$B57),".")</f>
        <v>1641324733.0268514</v>
      </c>
      <c r="AL57" s="49">
        <f>IFERROR(up_RadSpec!$E$29*($AZ$29/$B57),".")</f>
        <v>1641324733.0268514</v>
      </c>
      <c r="AM57" s="49">
        <f>IFERROR(up_RadSpec!$E$29*($AZ$29/$B57),".")</f>
        <v>1641324733.0268514</v>
      </c>
      <c r="AN57" s="49">
        <f>IFERROR(up_RadSpec!$E$29*($AZ$29/$B57),".")</f>
        <v>1641324733.0268514</v>
      </c>
      <c r="AO57" s="49">
        <f>IFERROR(up_RadSpec!$E$29*($AZ$29/$B57),".")</f>
        <v>1641324733.0268514</v>
      </c>
      <c r="AP57" s="49">
        <f>IFERROR(up_RadSpec!$E$29*($AZ$29/$B57),".")</f>
        <v>1641324733.0268514</v>
      </c>
      <c r="AQ57" s="49">
        <f>IFERROR(up_RadSpec!$E$29*($AZ$29/$B57),".")</f>
        <v>1641324733.0268514</v>
      </c>
      <c r="AR57" s="49">
        <f>IFERROR(up_RadSpec!$E$29*($AZ$29/$B57),".")</f>
        <v>1641324733.0268514</v>
      </c>
      <c r="AS57" s="49">
        <f>IFERROR(up_RadSpec!$E$29*($AZ$29/$B57),".")</f>
        <v>1641324733.0268514</v>
      </c>
      <c r="AT57" s="49">
        <f>IFERROR(up_RadSpec!$E$29*($AZ$29/$B57),".")</f>
        <v>1641324733.0268514</v>
      </c>
      <c r="AU57" s="49">
        <f>IFERROR(up_RadSpec!$E$29*($AZ$29/$B57),".")</f>
        <v>1641324733.0268514</v>
      </c>
      <c r="AV57" s="49">
        <f>IFERROR(up_RadSpec!$E$29*($AZ$29/$B57),".")</f>
        <v>1641324733.0268514</v>
      </c>
      <c r="AW57" s="49">
        <f>IFERROR(up_RadSpec!$E$29*($AZ$29/$B57),".")</f>
        <v>1641324733.0268514</v>
      </c>
      <c r="AX57" s="49">
        <f>IFERROR(up_RadSpec!$E$29*($AZ$29/$B57),".")</f>
        <v>1641324733.0268514</v>
      </c>
      <c r="AY57" s="49">
        <f>IFERROR(up_RadSpec!$E$29*($AZ$29/$B57),".")</f>
        <v>1641324733.0268514</v>
      </c>
      <c r="AZ57" s="49">
        <f>IFERROR(up_RadSpec!$E$29*($AZ$29/$B57),".")</f>
        <v>1641324733.0268514</v>
      </c>
      <c r="BA57" s="60">
        <f t="shared" si="11"/>
        <v>3619119.5886759376</v>
      </c>
      <c r="BB57" s="60">
        <f t="shared" ref="BB57:BY57" si="65">IFERROR($B57/BB29,0)</f>
        <v>14476478.354703749</v>
      </c>
      <c r="BC57" s="60">
        <f t="shared" si="65"/>
        <v>14476478.354703749</v>
      </c>
      <c r="BD57" s="60">
        <f t="shared" si="65"/>
        <v>14476478.354703749</v>
      </c>
      <c r="BE57" s="60">
        <f t="shared" si="65"/>
        <v>14476478.354703749</v>
      </c>
      <c r="BF57" s="60">
        <f t="shared" si="65"/>
        <v>14476478.354703749</v>
      </c>
      <c r="BG57" s="60">
        <f t="shared" si="65"/>
        <v>14476478.354703749</v>
      </c>
      <c r="BH57" s="60">
        <f t="shared" si="65"/>
        <v>14476478.354703749</v>
      </c>
      <c r="BI57" s="60">
        <f t="shared" si="65"/>
        <v>14476478.354703749</v>
      </c>
      <c r="BJ57" s="60">
        <f t="shared" si="65"/>
        <v>14476478.354703749</v>
      </c>
      <c r="BK57" s="60">
        <f t="shared" si="65"/>
        <v>14476478.354703749</v>
      </c>
      <c r="BL57" s="60">
        <f t="shared" si="65"/>
        <v>14476478.354703749</v>
      </c>
      <c r="BM57" s="60">
        <f t="shared" si="65"/>
        <v>14476478.354703749</v>
      </c>
      <c r="BN57" s="60">
        <f t="shared" si="65"/>
        <v>14476478.354703749</v>
      </c>
      <c r="BO57" s="60">
        <f t="shared" si="65"/>
        <v>14476478.354703749</v>
      </c>
      <c r="BP57" s="60">
        <f t="shared" si="65"/>
        <v>14476478.354703749</v>
      </c>
      <c r="BQ57" s="60">
        <f t="shared" si="65"/>
        <v>14476478.354703749</v>
      </c>
      <c r="BR57" s="60">
        <f t="shared" si="65"/>
        <v>14476478.354703749</v>
      </c>
      <c r="BS57" s="60">
        <f t="shared" si="65"/>
        <v>14476478.354703749</v>
      </c>
      <c r="BT57" s="60">
        <f t="shared" si="65"/>
        <v>14476478.354703749</v>
      </c>
      <c r="BU57" s="60">
        <f t="shared" si="65"/>
        <v>14476478.354703749</v>
      </c>
      <c r="BV57" s="60">
        <f t="shared" si="65"/>
        <v>14476478.354703749</v>
      </c>
      <c r="BW57" s="60">
        <f t="shared" si="65"/>
        <v>14476478.354703749</v>
      </c>
      <c r="BX57" s="60">
        <f t="shared" si="65"/>
        <v>14476478.354703749</v>
      </c>
      <c r="BY57" s="60">
        <f t="shared" si="65"/>
        <v>14476478.354703749</v>
      </c>
      <c r="BZ57" s="49">
        <f t="shared" si="3"/>
        <v>6565298932.1074057</v>
      </c>
      <c r="CA57" s="49">
        <f>IFERROR(up_RadSpec!$E$29*(CA29/$B57),".")</f>
        <v>1641324733.0268514</v>
      </c>
      <c r="CB57" s="49">
        <f>IFERROR(up_RadSpec!$E$29*(CB29/$B57),".")</f>
        <v>1641324733.0268514</v>
      </c>
      <c r="CC57" s="49">
        <f>IFERROR(up_RadSpec!$E$29*(CC29/$B57),".")</f>
        <v>1641324733.0268514</v>
      </c>
      <c r="CD57" s="49">
        <f>IFERROR(up_RadSpec!$E$29*(CD29/$B57),".")</f>
        <v>1641324733.0268514</v>
      </c>
      <c r="CE57" s="49">
        <f>IFERROR(up_RadSpec!$E$29*(CE29/$B57),".")</f>
        <v>1641324733.0268514</v>
      </c>
      <c r="CF57" s="49">
        <f>IFERROR(up_RadSpec!$E$29*(CF29/$B57),".")</f>
        <v>1641324733.0268514</v>
      </c>
      <c r="CG57" s="49">
        <f>IFERROR(up_RadSpec!$E$29*(CG29/$B57),".")</f>
        <v>1641324733.0268514</v>
      </c>
      <c r="CH57" s="49">
        <f>IFERROR(up_RadSpec!$E$29*(CH29/$B57),".")</f>
        <v>1641324733.0268514</v>
      </c>
      <c r="CI57" s="49">
        <f>IFERROR(up_RadSpec!$E$29*(CI29/$B57),".")</f>
        <v>1641324733.0268514</v>
      </c>
      <c r="CJ57" s="49">
        <f>IFERROR(up_RadSpec!$E$29*(CJ29/$B57),".")</f>
        <v>1641324733.0268514</v>
      </c>
      <c r="CK57" s="49">
        <f>IFERROR(up_RadSpec!$E$29*(CK29/$B57),".")</f>
        <v>1641324733.0268514</v>
      </c>
      <c r="CL57" s="49">
        <f>IFERROR(up_RadSpec!$E$29*(CL29/$B57),".")</f>
        <v>1641324733.0268514</v>
      </c>
      <c r="CM57" s="49">
        <f>IFERROR(up_RadSpec!$E$29*(CM29/$B57),".")</f>
        <v>1641324733.0268514</v>
      </c>
      <c r="CN57" s="49">
        <f>IFERROR(up_RadSpec!$E$29*(CN29/$B57),".")</f>
        <v>1641324733.0268514</v>
      </c>
      <c r="CO57" s="49">
        <f>IFERROR(up_RadSpec!$E$29*(CO29/$B57),".")</f>
        <v>1641324733.0268514</v>
      </c>
      <c r="CP57" s="49">
        <f>IFERROR(up_RadSpec!$E$29*(CP29/$B57),".")</f>
        <v>1641324733.0268514</v>
      </c>
      <c r="CQ57" s="49">
        <f>IFERROR(up_RadSpec!$E$29*(CQ29/$B57),".")</f>
        <v>1641324733.0268514</v>
      </c>
      <c r="CR57" s="49">
        <f>IFERROR(up_RadSpec!$E$29*(CR29/$B57),".")</f>
        <v>1641324733.0268514</v>
      </c>
      <c r="CS57" s="49">
        <f>IFERROR(up_RadSpec!$E$29*(CS29/$B57),".")</f>
        <v>1641324733.0268514</v>
      </c>
      <c r="CT57" s="49">
        <f>IFERROR(up_RadSpec!$E$29*(CT29/$B57),".")</f>
        <v>1641324733.0268514</v>
      </c>
      <c r="CU57" s="49">
        <f>IFERROR(up_RadSpec!$E$29*(CU29/$B57),".")</f>
        <v>1641324733.0268514</v>
      </c>
      <c r="CV57" s="49">
        <f>IFERROR(up_RadSpec!$E$29*(CV29/$B57),".")</f>
        <v>1641324733.0268514</v>
      </c>
      <c r="CW57" s="49">
        <f>IFERROR(up_RadSpec!$E$29*(CW29/$B57),".")</f>
        <v>1641324733.0268514</v>
      </c>
      <c r="CX57" s="49">
        <f>IFERROR(up_RadSpec!$E$29*(CX29/$B57),".")</f>
        <v>1641324733.0268514</v>
      </c>
    </row>
    <row r="58" spans="1:102" x14ac:dyDescent="0.25">
      <c r="A58" s="83" t="s">
        <v>1096</v>
      </c>
      <c r="B58" s="42">
        <v>1</v>
      </c>
      <c r="C58" s="60">
        <f t="shared" si="8"/>
        <v>3.6265718922545492E-12</v>
      </c>
      <c r="D58" s="60">
        <f t="shared" ref="D58:AA58" si="66">IFERROR(D16/$B58,0)</f>
        <v>1.4506287569018197E-11</v>
      </c>
      <c r="E58" s="60">
        <f t="shared" si="66"/>
        <v>1.4506287569018197E-11</v>
      </c>
      <c r="F58" s="60">
        <f t="shared" si="66"/>
        <v>1.4506287569018197E-11</v>
      </c>
      <c r="G58" s="60">
        <f t="shared" si="66"/>
        <v>1.4506287569018197E-11</v>
      </c>
      <c r="H58" s="60">
        <f t="shared" si="66"/>
        <v>1.4506287569018197E-11</v>
      </c>
      <c r="I58" s="60">
        <f t="shared" si="66"/>
        <v>1.4506287569018197E-11</v>
      </c>
      <c r="J58" s="60">
        <f t="shared" si="66"/>
        <v>1.4506287569018197E-11</v>
      </c>
      <c r="K58" s="60">
        <f t="shared" si="66"/>
        <v>1.4506287569018197E-11</v>
      </c>
      <c r="L58" s="60">
        <f t="shared" si="66"/>
        <v>1.4506287569018197E-11</v>
      </c>
      <c r="M58" s="60">
        <f t="shared" si="66"/>
        <v>1.4506287569018197E-11</v>
      </c>
      <c r="N58" s="60">
        <f t="shared" si="66"/>
        <v>1.4506287569018197E-11</v>
      </c>
      <c r="O58" s="60">
        <f t="shared" si="66"/>
        <v>1.4506287569018197E-11</v>
      </c>
      <c r="P58" s="60">
        <f t="shared" si="66"/>
        <v>1.4506287569018197E-11</v>
      </c>
      <c r="Q58" s="60">
        <f t="shared" si="66"/>
        <v>1.4506287569018197E-11</v>
      </c>
      <c r="R58" s="60">
        <f t="shared" si="66"/>
        <v>1.4506287569018197E-11</v>
      </c>
      <c r="S58" s="60">
        <f t="shared" si="66"/>
        <v>1.4506287569018197E-11</v>
      </c>
      <c r="T58" s="60">
        <f t="shared" si="66"/>
        <v>1.4506287569018197E-11</v>
      </c>
      <c r="U58" s="60">
        <f t="shared" si="66"/>
        <v>1.4506287569018197E-11</v>
      </c>
      <c r="V58" s="60">
        <f t="shared" si="66"/>
        <v>1.4506287569018197E-11</v>
      </c>
      <c r="W58" s="60">
        <f t="shared" si="66"/>
        <v>1.4506287569018197E-11</v>
      </c>
      <c r="X58" s="60">
        <f t="shared" si="66"/>
        <v>1.4506287569018197E-11</v>
      </c>
      <c r="Y58" s="60">
        <f t="shared" si="66"/>
        <v>1.4506287569018197E-11</v>
      </c>
      <c r="Z58" s="60">
        <f t="shared" si="66"/>
        <v>1.4506287569018197E-11</v>
      </c>
      <c r="AA58" s="60">
        <f t="shared" si="66"/>
        <v>1.4506287569018197E-11</v>
      </c>
      <c r="AB58" s="49">
        <f t="shared" si="48"/>
        <v>7927596.875</v>
      </c>
      <c r="AC58" s="49">
        <f>IFERROR(up_RadSpec!$E$16*($AZ$16/$B58),".")</f>
        <v>344678.125</v>
      </c>
      <c r="AD58" s="49">
        <f>IFERROR(up_RadSpec!$E$16*($AZ$16/$B58),".")</f>
        <v>344678.125</v>
      </c>
      <c r="AE58" s="49">
        <f>IFERROR(up_RadSpec!$E$16*($AZ$16/$B58),".")</f>
        <v>344678.125</v>
      </c>
      <c r="AF58" s="49">
        <f>IFERROR(up_RadSpec!$E$16*($AZ$16/$B58),".")</f>
        <v>344678.125</v>
      </c>
      <c r="AG58" s="49">
        <f>IFERROR(up_RadSpec!$E$16*($AZ$16/$B58),".")</f>
        <v>344678.125</v>
      </c>
      <c r="AH58" s="49">
        <f>IFERROR(up_RadSpec!$E$16*($AZ$16/$B58),".")</f>
        <v>344678.125</v>
      </c>
      <c r="AI58" s="49">
        <f>IFERROR(up_RadSpec!$E$16*($AZ$16/$B58),".")</f>
        <v>344678.125</v>
      </c>
      <c r="AJ58" s="49">
        <f>IFERROR(up_RadSpec!$E$16*($AZ$16/$B58),".")</f>
        <v>344678.125</v>
      </c>
      <c r="AK58" s="49">
        <f>IFERROR(up_RadSpec!$E$16*($AZ$16/$B58),".")</f>
        <v>344678.125</v>
      </c>
      <c r="AL58" s="49">
        <f>IFERROR(up_RadSpec!$E$16*($AZ$16/$B58),".")</f>
        <v>344678.125</v>
      </c>
      <c r="AM58" s="49">
        <f>IFERROR(up_RadSpec!$E$16*($AZ$16/$B58),".")</f>
        <v>344678.125</v>
      </c>
      <c r="AN58" s="49">
        <f>IFERROR(up_RadSpec!$E$16*($AZ$16/$B58),".")</f>
        <v>344678.125</v>
      </c>
      <c r="AO58" s="49">
        <f>IFERROR(up_RadSpec!$E$16*($AZ$16/$B58),".")</f>
        <v>344678.125</v>
      </c>
      <c r="AP58" s="49">
        <f>IFERROR(up_RadSpec!$E$16*($AZ$16/$B58),".")</f>
        <v>344678.125</v>
      </c>
      <c r="AQ58" s="49">
        <f>IFERROR(up_RadSpec!$E$16*($AZ$16/$B58),".")</f>
        <v>344678.125</v>
      </c>
      <c r="AR58" s="49">
        <f>IFERROR(up_RadSpec!$E$16*($AZ$16/$B58),".")</f>
        <v>344678.125</v>
      </c>
      <c r="AS58" s="49">
        <f>IFERROR(up_RadSpec!$E$16*($AZ$16/$B58),".")</f>
        <v>344678.125</v>
      </c>
      <c r="AT58" s="49">
        <f>IFERROR(up_RadSpec!$E$16*($AZ$16/$B58),".")</f>
        <v>344678.125</v>
      </c>
      <c r="AU58" s="49">
        <f>IFERROR(up_RadSpec!$E$16*($AZ$16/$B58),".")</f>
        <v>344678.125</v>
      </c>
      <c r="AV58" s="49">
        <f>IFERROR(up_RadSpec!$E$16*($AZ$16/$B58),".")</f>
        <v>344678.125</v>
      </c>
      <c r="AW58" s="49">
        <f>IFERROR(up_RadSpec!$E$16*($AZ$16/$B58),".")</f>
        <v>344678.125</v>
      </c>
      <c r="AX58" s="49">
        <f>IFERROR(up_RadSpec!$E$16*($AZ$16/$B58),".")</f>
        <v>344678.125</v>
      </c>
      <c r="AY58" s="49">
        <f>IFERROR(up_RadSpec!$E$16*($AZ$16/$B58),".")</f>
        <v>344678.125</v>
      </c>
      <c r="AZ58" s="49">
        <f>IFERROR(up_RadSpec!$E$16*($AZ$16/$B58),".")</f>
        <v>344678.125</v>
      </c>
      <c r="BA58" s="60">
        <f t="shared" si="11"/>
        <v>17233906250</v>
      </c>
      <c r="BB58" s="60">
        <f t="shared" ref="BB58:BY58" si="67">IFERROR($B58/BB16,0)</f>
        <v>68935625000</v>
      </c>
      <c r="BC58" s="60">
        <f t="shared" si="67"/>
        <v>68935625000</v>
      </c>
      <c r="BD58" s="60">
        <f t="shared" si="67"/>
        <v>68935625000</v>
      </c>
      <c r="BE58" s="60">
        <f t="shared" si="67"/>
        <v>68935625000</v>
      </c>
      <c r="BF58" s="60">
        <f t="shared" si="67"/>
        <v>68935625000</v>
      </c>
      <c r="BG58" s="60">
        <f t="shared" si="67"/>
        <v>68935625000</v>
      </c>
      <c r="BH58" s="60">
        <f t="shared" si="67"/>
        <v>68935625000</v>
      </c>
      <c r="BI58" s="60">
        <f t="shared" si="67"/>
        <v>68935625000</v>
      </c>
      <c r="BJ58" s="60">
        <f t="shared" si="67"/>
        <v>68935625000</v>
      </c>
      <c r="BK58" s="60">
        <f t="shared" si="67"/>
        <v>68935625000</v>
      </c>
      <c r="BL58" s="60">
        <f t="shared" si="67"/>
        <v>68935625000</v>
      </c>
      <c r="BM58" s="60">
        <f t="shared" si="67"/>
        <v>68935625000</v>
      </c>
      <c r="BN58" s="60">
        <f t="shared" si="67"/>
        <v>68935625000</v>
      </c>
      <c r="BO58" s="60">
        <f t="shared" si="67"/>
        <v>68935625000</v>
      </c>
      <c r="BP58" s="60">
        <f t="shared" si="67"/>
        <v>68935625000</v>
      </c>
      <c r="BQ58" s="60">
        <f t="shared" si="67"/>
        <v>68935625000</v>
      </c>
      <c r="BR58" s="60">
        <f t="shared" si="67"/>
        <v>68935625000</v>
      </c>
      <c r="BS58" s="60">
        <f t="shared" si="67"/>
        <v>68935625000</v>
      </c>
      <c r="BT58" s="60">
        <f t="shared" si="67"/>
        <v>68935625000</v>
      </c>
      <c r="BU58" s="60">
        <f t="shared" si="67"/>
        <v>68935625000</v>
      </c>
      <c r="BV58" s="60">
        <f t="shared" si="67"/>
        <v>68935625000</v>
      </c>
      <c r="BW58" s="60">
        <f t="shared" si="67"/>
        <v>68935625000</v>
      </c>
      <c r="BX58" s="60">
        <f t="shared" si="67"/>
        <v>68935625000</v>
      </c>
      <c r="BY58" s="60">
        <f t="shared" si="67"/>
        <v>68935625000</v>
      </c>
      <c r="BZ58" s="49">
        <f t="shared" si="3"/>
        <v>1378712.5</v>
      </c>
      <c r="CA58" s="49">
        <f>IFERROR(up_RadSpec!$E$16*(CA16/$B58),".")</f>
        <v>344678.125</v>
      </c>
      <c r="CB58" s="49">
        <f>IFERROR(up_RadSpec!$E$16*(CB16/$B58),".")</f>
        <v>344678.125</v>
      </c>
      <c r="CC58" s="49">
        <f>IFERROR(up_RadSpec!$E$16*(CC16/$B58),".")</f>
        <v>344678.125</v>
      </c>
      <c r="CD58" s="49">
        <f>IFERROR(up_RadSpec!$E$16*(CD16/$B58),".")</f>
        <v>344678.125</v>
      </c>
      <c r="CE58" s="49">
        <f>IFERROR(up_RadSpec!$E$16*(CE16/$B58),".")</f>
        <v>344678.125</v>
      </c>
      <c r="CF58" s="49">
        <f>IFERROR(up_RadSpec!$E$16*(CF16/$B58),".")</f>
        <v>344678.125</v>
      </c>
      <c r="CG58" s="49">
        <f>IFERROR(up_RadSpec!$E$16*(CG16/$B58),".")</f>
        <v>344678.125</v>
      </c>
      <c r="CH58" s="49">
        <f>IFERROR(up_RadSpec!$E$16*(CH16/$B58),".")</f>
        <v>344678.125</v>
      </c>
      <c r="CI58" s="49">
        <f>IFERROR(up_RadSpec!$E$16*(CI16/$B58),".")</f>
        <v>344678.125</v>
      </c>
      <c r="CJ58" s="49">
        <f>IFERROR(up_RadSpec!$E$16*(CJ16/$B58),".")</f>
        <v>344678.125</v>
      </c>
      <c r="CK58" s="49">
        <f>IFERROR(up_RadSpec!$E$16*(CK16/$B58),".")</f>
        <v>344678.125</v>
      </c>
      <c r="CL58" s="49">
        <f>IFERROR(up_RadSpec!$E$16*(CL16/$B58),".")</f>
        <v>344678.125</v>
      </c>
      <c r="CM58" s="49">
        <f>IFERROR(up_RadSpec!$E$16*(CM16/$B58),".")</f>
        <v>344678.125</v>
      </c>
      <c r="CN58" s="49">
        <f>IFERROR(up_RadSpec!$E$16*(CN16/$B58),".")</f>
        <v>344678.125</v>
      </c>
      <c r="CO58" s="49">
        <f>IFERROR(up_RadSpec!$E$16*(CO16/$B58),".")</f>
        <v>344678.125</v>
      </c>
      <c r="CP58" s="49">
        <f>IFERROR(up_RadSpec!$E$16*(CP16/$B58),".")</f>
        <v>344678.125</v>
      </c>
      <c r="CQ58" s="49">
        <f>IFERROR(up_RadSpec!$E$16*(CQ16/$B58),".")</f>
        <v>344678.125</v>
      </c>
      <c r="CR58" s="49">
        <f>IFERROR(up_RadSpec!$E$16*(CR16/$B58),".")</f>
        <v>344678.125</v>
      </c>
      <c r="CS58" s="49">
        <f>IFERROR(up_RadSpec!$E$16*(CS16/$B58),".")</f>
        <v>344678.125</v>
      </c>
      <c r="CT58" s="49">
        <f>IFERROR(up_RadSpec!$E$16*(CT16/$B58),".")</f>
        <v>344678.125</v>
      </c>
      <c r="CU58" s="49">
        <f>IFERROR(up_RadSpec!$E$16*(CU16/$B58),".")</f>
        <v>344678.125</v>
      </c>
      <c r="CV58" s="49">
        <f>IFERROR(up_RadSpec!$E$16*(CV16/$B58),".")</f>
        <v>344678.125</v>
      </c>
      <c r="CW58" s="49">
        <f>IFERROR(up_RadSpec!$E$16*(CW16/$B58),".")</f>
        <v>344678.125</v>
      </c>
      <c r="CX58" s="49">
        <f>IFERROR(up_RadSpec!$E$16*(CX16/$B58),".")</f>
        <v>344678.125</v>
      </c>
    </row>
    <row r="59" spans="1:102" x14ac:dyDescent="0.25">
      <c r="A59" s="83" t="s">
        <v>1097</v>
      </c>
      <c r="B59" s="42">
        <v>1</v>
      </c>
      <c r="C59" s="60">
        <f t="shared" si="8"/>
        <v>3.6265718922545492E-12</v>
      </c>
      <c r="D59" s="60">
        <f t="shared" ref="D59:AA59" si="68">IFERROR(D7/$B59,0)</f>
        <v>1.4506287569018197E-11</v>
      </c>
      <c r="E59" s="60">
        <f t="shared" si="68"/>
        <v>1.4506287569018197E-11</v>
      </c>
      <c r="F59" s="60">
        <f t="shared" si="68"/>
        <v>1.4506287569018197E-11</v>
      </c>
      <c r="G59" s="60">
        <f t="shared" si="68"/>
        <v>1.4506287569018197E-11</v>
      </c>
      <c r="H59" s="60">
        <f t="shared" si="68"/>
        <v>1.4506287569018197E-11</v>
      </c>
      <c r="I59" s="60">
        <f t="shared" si="68"/>
        <v>1.4506287569018197E-11</v>
      </c>
      <c r="J59" s="60">
        <f t="shared" si="68"/>
        <v>1.4506287569018197E-11</v>
      </c>
      <c r="K59" s="60">
        <f t="shared" si="68"/>
        <v>1.4506287569018197E-11</v>
      </c>
      <c r="L59" s="60">
        <f t="shared" si="68"/>
        <v>1.4506287569018197E-11</v>
      </c>
      <c r="M59" s="60">
        <f t="shared" si="68"/>
        <v>1.4506287569018197E-11</v>
      </c>
      <c r="N59" s="60">
        <f t="shared" si="68"/>
        <v>1.4506287569018197E-11</v>
      </c>
      <c r="O59" s="60">
        <f t="shared" si="68"/>
        <v>1.4506287569018197E-11</v>
      </c>
      <c r="P59" s="60">
        <f t="shared" si="68"/>
        <v>1.4506287569018197E-11</v>
      </c>
      <c r="Q59" s="60">
        <f t="shared" si="68"/>
        <v>1.4506287569018197E-11</v>
      </c>
      <c r="R59" s="60">
        <f t="shared" si="68"/>
        <v>1.4506287569018197E-11</v>
      </c>
      <c r="S59" s="60">
        <f t="shared" si="68"/>
        <v>1.4506287569018197E-11</v>
      </c>
      <c r="T59" s="60">
        <f t="shared" si="68"/>
        <v>1.4506287569018197E-11</v>
      </c>
      <c r="U59" s="60">
        <f t="shared" si="68"/>
        <v>1.4506287569018197E-11</v>
      </c>
      <c r="V59" s="60">
        <f t="shared" si="68"/>
        <v>1.4506287569018197E-11</v>
      </c>
      <c r="W59" s="60">
        <f t="shared" si="68"/>
        <v>1.4506287569018197E-11</v>
      </c>
      <c r="X59" s="60">
        <f t="shared" si="68"/>
        <v>1.4506287569018197E-11</v>
      </c>
      <c r="Y59" s="60">
        <f t="shared" si="68"/>
        <v>1.4506287569018197E-11</v>
      </c>
      <c r="Z59" s="60">
        <f t="shared" si="68"/>
        <v>1.4506287569018197E-11</v>
      </c>
      <c r="AA59" s="60">
        <f t="shared" si="68"/>
        <v>1.4506287569018197E-11</v>
      </c>
      <c r="AB59" s="49">
        <f t="shared" si="48"/>
        <v>7927596.875</v>
      </c>
      <c r="AC59" s="49">
        <f>IFERROR(up_RadSpec!$E$7*($AZ$7/$B59),".")</f>
        <v>344678.125</v>
      </c>
      <c r="AD59" s="49">
        <f>IFERROR(up_RadSpec!$E$7*($AZ$7/$B59),".")</f>
        <v>344678.125</v>
      </c>
      <c r="AE59" s="49">
        <f>IFERROR(up_RadSpec!$E$7*($AZ$7/$B59),".")</f>
        <v>344678.125</v>
      </c>
      <c r="AF59" s="49">
        <f>IFERROR(up_RadSpec!$E$7*($AZ$7/$B59),".")</f>
        <v>344678.125</v>
      </c>
      <c r="AG59" s="49">
        <f>IFERROR(up_RadSpec!$E$7*($AZ$7/$B59),".")</f>
        <v>344678.125</v>
      </c>
      <c r="AH59" s="49">
        <f>IFERROR(up_RadSpec!$E$7*($AZ$7/$B59),".")</f>
        <v>344678.125</v>
      </c>
      <c r="AI59" s="49">
        <f>IFERROR(up_RadSpec!$E$7*($AZ$7/$B59),".")</f>
        <v>344678.125</v>
      </c>
      <c r="AJ59" s="49">
        <f>IFERROR(up_RadSpec!$E$7*($AZ$7/$B59),".")</f>
        <v>344678.125</v>
      </c>
      <c r="AK59" s="49">
        <f>IFERROR(up_RadSpec!$E$7*($AZ$7/$B59),".")</f>
        <v>344678.125</v>
      </c>
      <c r="AL59" s="49">
        <f>IFERROR(up_RadSpec!$E$7*($AZ$7/$B59),".")</f>
        <v>344678.125</v>
      </c>
      <c r="AM59" s="49">
        <f>IFERROR(up_RadSpec!$E$7*($AZ$7/$B59),".")</f>
        <v>344678.125</v>
      </c>
      <c r="AN59" s="49">
        <f>IFERROR(up_RadSpec!$E$7*($AZ$7/$B59),".")</f>
        <v>344678.125</v>
      </c>
      <c r="AO59" s="49">
        <f>IFERROR(up_RadSpec!$E$7*($AZ$7/$B59),".")</f>
        <v>344678.125</v>
      </c>
      <c r="AP59" s="49">
        <f>IFERROR(up_RadSpec!$E$7*($AZ$7/$B59),".")</f>
        <v>344678.125</v>
      </c>
      <c r="AQ59" s="49">
        <f>IFERROR(up_RadSpec!$E$7*($AZ$7/$B59),".")</f>
        <v>344678.125</v>
      </c>
      <c r="AR59" s="49">
        <f>IFERROR(up_RadSpec!$E$7*($AZ$7/$B59),".")</f>
        <v>344678.125</v>
      </c>
      <c r="AS59" s="49">
        <f>IFERROR(up_RadSpec!$E$7*($AZ$7/$B59),".")</f>
        <v>344678.125</v>
      </c>
      <c r="AT59" s="49">
        <f>IFERROR(up_RadSpec!$E$7*($AZ$7/$B59),".")</f>
        <v>344678.125</v>
      </c>
      <c r="AU59" s="49">
        <f>IFERROR(up_RadSpec!$E$7*($AZ$7/$B59),".")</f>
        <v>344678.125</v>
      </c>
      <c r="AV59" s="49">
        <f>IFERROR(up_RadSpec!$E$7*($AZ$7/$B59),".")</f>
        <v>344678.125</v>
      </c>
      <c r="AW59" s="49">
        <f>IFERROR(up_RadSpec!$E$7*($AZ$7/$B59),".")</f>
        <v>344678.125</v>
      </c>
      <c r="AX59" s="49">
        <f>IFERROR(up_RadSpec!$E$7*($AZ$7/$B59),".")</f>
        <v>344678.125</v>
      </c>
      <c r="AY59" s="49">
        <f>IFERROR(up_RadSpec!$E$7*($AZ$7/$B59),".")</f>
        <v>344678.125</v>
      </c>
      <c r="AZ59" s="49">
        <f>IFERROR(up_RadSpec!$E$7*($AZ$7/$B59),".")</f>
        <v>344678.125</v>
      </c>
      <c r="BA59" s="60">
        <f t="shared" si="11"/>
        <v>17233906250</v>
      </c>
      <c r="BB59" s="60">
        <f t="shared" ref="BB59:BY59" si="69">IFERROR($B59/BB7,0)</f>
        <v>68935625000</v>
      </c>
      <c r="BC59" s="60">
        <f t="shared" si="69"/>
        <v>68935625000</v>
      </c>
      <c r="BD59" s="60">
        <f t="shared" si="69"/>
        <v>68935625000</v>
      </c>
      <c r="BE59" s="60">
        <f t="shared" si="69"/>
        <v>68935625000</v>
      </c>
      <c r="BF59" s="60">
        <f t="shared" si="69"/>
        <v>68935625000</v>
      </c>
      <c r="BG59" s="60">
        <f t="shared" si="69"/>
        <v>68935625000</v>
      </c>
      <c r="BH59" s="60">
        <f t="shared" si="69"/>
        <v>68935625000</v>
      </c>
      <c r="BI59" s="60">
        <f t="shared" si="69"/>
        <v>68935625000</v>
      </c>
      <c r="BJ59" s="60">
        <f t="shared" si="69"/>
        <v>68935625000</v>
      </c>
      <c r="BK59" s="60">
        <f t="shared" si="69"/>
        <v>68935625000</v>
      </c>
      <c r="BL59" s="60">
        <f t="shared" si="69"/>
        <v>68935625000</v>
      </c>
      <c r="BM59" s="60">
        <f t="shared" si="69"/>
        <v>68935625000</v>
      </c>
      <c r="BN59" s="60">
        <f t="shared" si="69"/>
        <v>68935625000</v>
      </c>
      <c r="BO59" s="60">
        <f t="shared" si="69"/>
        <v>68935625000</v>
      </c>
      <c r="BP59" s="60">
        <f t="shared" si="69"/>
        <v>68935625000</v>
      </c>
      <c r="BQ59" s="60">
        <f t="shared" si="69"/>
        <v>68935625000</v>
      </c>
      <c r="BR59" s="60">
        <f t="shared" si="69"/>
        <v>68935625000</v>
      </c>
      <c r="BS59" s="60">
        <f t="shared" si="69"/>
        <v>68935625000</v>
      </c>
      <c r="BT59" s="60">
        <f t="shared" si="69"/>
        <v>68935625000</v>
      </c>
      <c r="BU59" s="60">
        <f t="shared" si="69"/>
        <v>68935625000</v>
      </c>
      <c r="BV59" s="60">
        <f t="shared" si="69"/>
        <v>68935625000</v>
      </c>
      <c r="BW59" s="60">
        <f t="shared" si="69"/>
        <v>68935625000</v>
      </c>
      <c r="BX59" s="60">
        <f t="shared" si="69"/>
        <v>68935625000</v>
      </c>
      <c r="BY59" s="60">
        <f t="shared" si="69"/>
        <v>68935625000</v>
      </c>
      <c r="BZ59" s="49">
        <f t="shared" si="3"/>
        <v>1378712.5</v>
      </c>
      <c r="CA59" s="49">
        <f>IFERROR(up_RadSpec!$E$7*(CA7/$B59),".")</f>
        <v>344678.125</v>
      </c>
      <c r="CB59" s="49">
        <f>IFERROR(up_RadSpec!$E$7*(CB7/$B59),".")</f>
        <v>344678.125</v>
      </c>
      <c r="CC59" s="49">
        <f>IFERROR(up_RadSpec!$E$7*(CC7/$B59),".")</f>
        <v>344678.125</v>
      </c>
      <c r="CD59" s="49">
        <f>IFERROR(up_RadSpec!$E$7*(CD7/$B59),".")</f>
        <v>344678.125</v>
      </c>
      <c r="CE59" s="49">
        <f>IFERROR(up_RadSpec!$E$7*(CE7/$B59),".")</f>
        <v>344678.125</v>
      </c>
      <c r="CF59" s="49">
        <f>IFERROR(up_RadSpec!$E$7*(CF7/$B59),".")</f>
        <v>344678.125</v>
      </c>
      <c r="CG59" s="49">
        <f>IFERROR(up_RadSpec!$E$7*(CG7/$B59),".")</f>
        <v>344678.125</v>
      </c>
      <c r="CH59" s="49">
        <f>IFERROR(up_RadSpec!$E$7*(CH7/$B59),".")</f>
        <v>344678.125</v>
      </c>
      <c r="CI59" s="49">
        <f>IFERROR(up_RadSpec!$E$7*(CI7/$B59),".")</f>
        <v>344678.125</v>
      </c>
      <c r="CJ59" s="49">
        <f>IFERROR(up_RadSpec!$E$7*(CJ7/$B59),".")</f>
        <v>344678.125</v>
      </c>
      <c r="CK59" s="49">
        <f>IFERROR(up_RadSpec!$E$7*(CK7/$B59),".")</f>
        <v>344678.125</v>
      </c>
      <c r="CL59" s="49">
        <f>IFERROR(up_RadSpec!$E$7*(CL7/$B59),".")</f>
        <v>344678.125</v>
      </c>
      <c r="CM59" s="49">
        <f>IFERROR(up_RadSpec!$E$7*(CM7/$B59),".")</f>
        <v>344678.125</v>
      </c>
      <c r="CN59" s="49">
        <f>IFERROR(up_RadSpec!$E$7*(CN7/$B59),".")</f>
        <v>344678.125</v>
      </c>
      <c r="CO59" s="49">
        <f>IFERROR(up_RadSpec!$E$7*(CO7/$B59),".")</f>
        <v>344678.125</v>
      </c>
      <c r="CP59" s="49">
        <f>IFERROR(up_RadSpec!$E$7*(CP7/$B59),".")</f>
        <v>344678.125</v>
      </c>
      <c r="CQ59" s="49">
        <f>IFERROR(up_RadSpec!$E$7*(CQ7/$B59),".")</f>
        <v>344678.125</v>
      </c>
      <c r="CR59" s="49">
        <f>IFERROR(up_RadSpec!$E$7*(CR7/$B59),".")</f>
        <v>344678.125</v>
      </c>
      <c r="CS59" s="49">
        <f>IFERROR(up_RadSpec!$E$7*(CS7/$B59),".")</f>
        <v>344678.125</v>
      </c>
      <c r="CT59" s="49">
        <f>IFERROR(up_RadSpec!$E$7*(CT7/$B59),".")</f>
        <v>344678.125</v>
      </c>
      <c r="CU59" s="49">
        <f>IFERROR(up_RadSpec!$E$7*(CU7/$B59),".")</f>
        <v>344678.125</v>
      </c>
      <c r="CV59" s="49">
        <f>IFERROR(up_RadSpec!$E$7*(CV7/$B59),".")</f>
        <v>344678.125</v>
      </c>
      <c r="CW59" s="49">
        <f>IFERROR(up_RadSpec!$E$7*(CW7/$B59),".")</f>
        <v>344678.125</v>
      </c>
      <c r="CX59" s="49">
        <f>IFERROR(up_RadSpec!$E$7*(CX7/$B59),".")</f>
        <v>344678.125</v>
      </c>
    </row>
    <row r="60" spans="1:102" x14ac:dyDescent="0.25">
      <c r="A60" s="83" t="s">
        <v>1098</v>
      </c>
      <c r="B60" s="86">
        <v>1.9000000000000001E-8</v>
      </c>
      <c r="C60" s="60">
        <f t="shared" si="8"/>
        <v>1.9087220485550257E-4</v>
      </c>
      <c r="D60" s="60">
        <f t="shared" ref="D60:AA60" si="70">IFERROR(D12/$B60,0)</f>
        <v>7.6348881942201027E-4</v>
      </c>
      <c r="E60" s="60">
        <f t="shared" si="70"/>
        <v>7.6348881942201027E-4</v>
      </c>
      <c r="F60" s="60">
        <f t="shared" si="70"/>
        <v>7.6348881942201027E-4</v>
      </c>
      <c r="G60" s="60">
        <f t="shared" si="70"/>
        <v>7.6348881942201027E-4</v>
      </c>
      <c r="H60" s="60">
        <f t="shared" si="70"/>
        <v>7.6348881942201027E-4</v>
      </c>
      <c r="I60" s="60">
        <f t="shared" si="70"/>
        <v>7.6348881942201027E-4</v>
      </c>
      <c r="J60" s="60">
        <f t="shared" si="70"/>
        <v>7.6348881942201027E-4</v>
      </c>
      <c r="K60" s="60">
        <f t="shared" si="70"/>
        <v>7.6348881942201027E-4</v>
      </c>
      <c r="L60" s="60">
        <f t="shared" si="70"/>
        <v>7.6348881942201027E-4</v>
      </c>
      <c r="M60" s="60">
        <f t="shared" si="70"/>
        <v>7.6348881942201027E-4</v>
      </c>
      <c r="N60" s="60">
        <f t="shared" si="70"/>
        <v>7.6348881942201027E-4</v>
      </c>
      <c r="O60" s="60">
        <f t="shared" si="70"/>
        <v>7.6348881942201027E-4</v>
      </c>
      <c r="P60" s="60">
        <f t="shared" si="70"/>
        <v>7.6348881942201027E-4</v>
      </c>
      <c r="Q60" s="60">
        <f t="shared" si="70"/>
        <v>7.6348881942201027E-4</v>
      </c>
      <c r="R60" s="60">
        <f t="shared" si="70"/>
        <v>7.6348881942201027E-4</v>
      </c>
      <c r="S60" s="60">
        <f t="shared" si="70"/>
        <v>7.6348881942201027E-4</v>
      </c>
      <c r="T60" s="60">
        <f t="shared" si="70"/>
        <v>7.6348881942201027E-4</v>
      </c>
      <c r="U60" s="60">
        <f t="shared" si="70"/>
        <v>7.6348881942201027E-4</v>
      </c>
      <c r="V60" s="60">
        <f t="shared" si="70"/>
        <v>7.6348881942201027E-4</v>
      </c>
      <c r="W60" s="60">
        <f t="shared" si="70"/>
        <v>7.6348881942201027E-4</v>
      </c>
      <c r="X60" s="60">
        <f t="shared" si="70"/>
        <v>7.6348881942201027E-4</v>
      </c>
      <c r="Y60" s="60">
        <f t="shared" si="70"/>
        <v>7.6348881942201027E-4</v>
      </c>
      <c r="Z60" s="60">
        <f t="shared" si="70"/>
        <v>7.6348881942201027E-4</v>
      </c>
      <c r="AA60" s="60">
        <f t="shared" si="70"/>
        <v>7.6348881942201027E-4</v>
      </c>
      <c r="AB60" s="49">
        <f t="shared" si="48"/>
        <v>417241940789473.94</v>
      </c>
      <c r="AC60" s="49">
        <f>IFERROR(up_RadSpec!$E$12*($AZ$12/$B60),".")</f>
        <v>18140953947368.422</v>
      </c>
      <c r="AD60" s="49">
        <f>IFERROR(up_RadSpec!$E$12*($AZ$12/$B60),".")</f>
        <v>18140953947368.422</v>
      </c>
      <c r="AE60" s="49">
        <f>IFERROR(up_RadSpec!$E$12*($AZ$12/$B60),".")</f>
        <v>18140953947368.422</v>
      </c>
      <c r="AF60" s="49">
        <f>IFERROR(up_RadSpec!$E$12*($AZ$12/$B60),".")</f>
        <v>18140953947368.422</v>
      </c>
      <c r="AG60" s="49">
        <f>IFERROR(up_RadSpec!$E$12*($AZ$12/$B60),".")</f>
        <v>18140953947368.422</v>
      </c>
      <c r="AH60" s="49">
        <f>IFERROR(up_RadSpec!$E$12*($AZ$12/$B60),".")</f>
        <v>18140953947368.422</v>
      </c>
      <c r="AI60" s="49">
        <f>IFERROR(up_RadSpec!$E$12*($AZ$12/$B60),".")</f>
        <v>18140953947368.422</v>
      </c>
      <c r="AJ60" s="49">
        <f>IFERROR(up_RadSpec!$E$12*($AZ$12/$B60),".")</f>
        <v>18140953947368.422</v>
      </c>
      <c r="AK60" s="49">
        <f>IFERROR(up_RadSpec!$E$12*($AZ$12/$B60),".")</f>
        <v>18140953947368.422</v>
      </c>
      <c r="AL60" s="49">
        <f>IFERROR(up_RadSpec!$E$12*($AZ$12/$B60),".")</f>
        <v>18140953947368.422</v>
      </c>
      <c r="AM60" s="49">
        <f>IFERROR(up_RadSpec!$E$12*($AZ$12/$B60),".")</f>
        <v>18140953947368.422</v>
      </c>
      <c r="AN60" s="49">
        <f>IFERROR(up_RadSpec!$E$12*($AZ$12/$B60),".")</f>
        <v>18140953947368.422</v>
      </c>
      <c r="AO60" s="49">
        <f>IFERROR(up_RadSpec!$E$12*($AZ$12/$B60),".")</f>
        <v>18140953947368.422</v>
      </c>
      <c r="AP60" s="49">
        <f>IFERROR(up_RadSpec!$E$12*($AZ$12/$B60),".")</f>
        <v>18140953947368.422</v>
      </c>
      <c r="AQ60" s="49">
        <f>IFERROR(up_RadSpec!$E$12*($AZ$12/$B60),".")</f>
        <v>18140953947368.422</v>
      </c>
      <c r="AR60" s="49">
        <f>IFERROR(up_RadSpec!$E$12*($AZ$12/$B60),".")</f>
        <v>18140953947368.422</v>
      </c>
      <c r="AS60" s="49">
        <f>IFERROR(up_RadSpec!$E$12*($AZ$12/$B60),".")</f>
        <v>18140953947368.422</v>
      </c>
      <c r="AT60" s="49">
        <f>IFERROR(up_RadSpec!$E$12*($AZ$12/$B60),".")</f>
        <v>18140953947368.422</v>
      </c>
      <c r="AU60" s="49">
        <f>IFERROR(up_RadSpec!$E$12*($AZ$12/$B60),".")</f>
        <v>18140953947368.422</v>
      </c>
      <c r="AV60" s="49">
        <f>IFERROR(up_RadSpec!$E$12*($AZ$12/$B60),".")</f>
        <v>18140953947368.422</v>
      </c>
      <c r="AW60" s="49">
        <f>IFERROR(up_RadSpec!$E$12*($AZ$12/$B60),".")</f>
        <v>18140953947368.422</v>
      </c>
      <c r="AX60" s="49">
        <f>IFERROR(up_RadSpec!$E$12*($AZ$12/$B60),".")</f>
        <v>18140953947368.422</v>
      </c>
      <c r="AY60" s="49">
        <f>IFERROR(up_RadSpec!$E$12*($AZ$12/$B60),".")</f>
        <v>18140953947368.422</v>
      </c>
      <c r="AZ60" s="49">
        <f>IFERROR(up_RadSpec!$E$12*($AZ$12/$B60),".")</f>
        <v>18140953947368.422</v>
      </c>
      <c r="BA60" s="60">
        <f t="shared" si="11"/>
        <v>327.44421875</v>
      </c>
      <c r="BB60" s="60">
        <f t="shared" ref="BB60:BY60" si="71">IFERROR($B60/BB12,0)</f>
        <v>1309.776875</v>
      </c>
      <c r="BC60" s="60">
        <f t="shared" si="71"/>
        <v>1309.776875</v>
      </c>
      <c r="BD60" s="60">
        <f t="shared" si="71"/>
        <v>1309.776875</v>
      </c>
      <c r="BE60" s="60">
        <f t="shared" si="71"/>
        <v>1309.776875</v>
      </c>
      <c r="BF60" s="60">
        <f t="shared" si="71"/>
        <v>1309.776875</v>
      </c>
      <c r="BG60" s="60">
        <f t="shared" si="71"/>
        <v>1309.776875</v>
      </c>
      <c r="BH60" s="60">
        <f t="shared" si="71"/>
        <v>1309.776875</v>
      </c>
      <c r="BI60" s="60">
        <f t="shared" si="71"/>
        <v>1309.776875</v>
      </c>
      <c r="BJ60" s="60">
        <f t="shared" si="71"/>
        <v>1309.776875</v>
      </c>
      <c r="BK60" s="60">
        <f t="shared" si="71"/>
        <v>1309.776875</v>
      </c>
      <c r="BL60" s="60">
        <f t="shared" si="71"/>
        <v>1309.776875</v>
      </c>
      <c r="BM60" s="60">
        <f t="shared" si="71"/>
        <v>1309.776875</v>
      </c>
      <c r="BN60" s="60">
        <f t="shared" si="71"/>
        <v>1309.776875</v>
      </c>
      <c r="BO60" s="60">
        <f t="shared" si="71"/>
        <v>1309.776875</v>
      </c>
      <c r="BP60" s="60">
        <f t="shared" si="71"/>
        <v>1309.776875</v>
      </c>
      <c r="BQ60" s="60">
        <f t="shared" si="71"/>
        <v>1309.776875</v>
      </c>
      <c r="BR60" s="60">
        <f t="shared" si="71"/>
        <v>1309.776875</v>
      </c>
      <c r="BS60" s="60">
        <f t="shared" si="71"/>
        <v>1309.776875</v>
      </c>
      <c r="BT60" s="60">
        <f t="shared" si="71"/>
        <v>1309.776875</v>
      </c>
      <c r="BU60" s="60">
        <f t="shared" si="71"/>
        <v>1309.776875</v>
      </c>
      <c r="BV60" s="60">
        <f t="shared" si="71"/>
        <v>1309.776875</v>
      </c>
      <c r="BW60" s="60">
        <f t="shared" si="71"/>
        <v>1309.776875</v>
      </c>
      <c r="BX60" s="60">
        <f t="shared" si="71"/>
        <v>1309.776875</v>
      </c>
      <c r="BY60" s="60">
        <f t="shared" si="71"/>
        <v>1309.776875</v>
      </c>
      <c r="BZ60" s="49">
        <f t="shared" si="3"/>
        <v>72563815789473.688</v>
      </c>
      <c r="CA60" s="49">
        <f>IFERROR(up_RadSpec!$E$12*(CA12/$B60),".")</f>
        <v>18140953947368.422</v>
      </c>
      <c r="CB60" s="49">
        <f>IFERROR(up_RadSpec!$E$12*(CB12/$B60),".")</f>
        <v>18140953947368.422</v>
      </c>
      <c r="CC60" s="49">
        <f>IFERROR(up_RadSpec!$E$12*(CC12/$B60),".")</f>
        <v>18140953947368.422</v>
      </c>
      <c r="CD60" s="49">
        <f>IFERROR(up_RadSpec!$E$12*(CD12/$B60),".")</f>
        <v>18140953947368.422</v>
      </c>
      <c r="CE60" s="49">
        <f>IFERROR(up_RadSpec!$E$12*(CE12/$B60),".")</f>
        <v>18140953947368.422</v>
      </c>
      <c r="CF60" s="49">
        <f>IFERROR(up_RadSpec!$E$12*(CF12/$B60),".")</f>
        <v>18140953947368.422</v>
      </c>
      <c r="CG60" s="49">
        <f>IFERROR(up_RadSpec!$E$12*(CG12/$B60),".")</f>
        <v>18140953947368.422</v>
      </c>
      <c r="CH60" s="49">
        <f>IFERROR(up_RadSpec!$E$12*(CH12/$B60),".")</f>
        <v>18140953947368.422</v>
      </c>
      <c r="CI60" s="49">
        <f>IFERROR(up_RadSpec!$E$12*(CI12/$B60),".")</f>
        <v>18140953947368.422</v>
      </c>
      <c r="CJ60" s="49">
        <f>IFERROR(up_RadSpec!$E$12*(CJ12/$B60),".")</f>
        <v>18140953947368.422</v>
      </c>
      <c r="CK60" s="49">
        <f>IFERROR(up_RadSpec!$E$12*(CK12/$B60),".")</f>
        <v>18140953947368.422</v>
      </c>
      <c r="CL60" s="49">
        <f>IFERROR(up_RadSpec!$E$12*(CL12/$B60),".")</f>
        <v>18140953947368.422</v>
      </c>
      <c r="CM60" s="49">
        <f>IFERROR(up_RadSpec!$E$12*(CM12/$B60),".")</f>
        <v>18140953947368.422</v>
      </c>
      <c r="CN60" s="49">
        <f>IFERROR(up_RadSpec!$E$12*(CN12/$B60),".")</f>
        <v>18140953947368.422</v>
      </c>
      <c r="CO60" s="49">
        <f>IFERROR(up_RadSpec!$E$12*(CO12/$B60),".")</f>
        <v>18140953947368.422</v>
      </c>
      <c r="CP60" s="49">
        <f>IFERROR(up_RadSpec!$E$12*(CP12/$B60),".")</f>
        <v>18140953947368.422</v>
      </c>
      <c r="CQ60" s="49">
        <f>IFERROR(up_RadSpec!$E$12*(CQ12/$B60),".")</f>
        <v>18140953947368.422</v>
      </c>
      <c r="CR60" s="49">
        <f>IFERROR(up_RadSpec!$E$12*(CR12/$B60),".")</f>
        <v>18140953947368.422</v>
      </c>
      <c r="CS60" s="49">
        <f>IFERROR(up_RadSpec!$E$12*(CS12/$B60),".")</f>
        <v>18140953947368.422</v>
      </c>
      <c r="CT60" s="49">
        <f>IFERROR(up_RadSpec!$E$12*(CT12/$B60),".")</f>
        <v>18140953947368.422</v>
      </c>
      <c r="CU60" s="49">
        <f>IFERROR(up_RadSpec!$E$12*(CU12/$B60),".")</f>
        <v>18140953947368.422</v>
      </c>
      <c r="CV60" s="49">
        <f>IFERROR(up_RadSpec!$E$12*(CV12/$B60),".")</f>
        <v>18140953947368.422</v>
      </c>
      <c r="CW60" s="49">
        <f>IFERROR(up_RadSpec!$E$12*(CW12/$B60),".")</f>
        <v>18140953947368.422</v>
      </c>
      <c r="CX60" s="49">
        <f>IFERROR(up_RadSpec!$E$12*(CX12/$B60),".")</f>
        <v>18140953947368.422</v>
      </c>
    </row>
    <row r="61" spans="1:102" x14ac:dyDescent="0.25">
      <c r="A61" s="83" t="s">
        <v>1099</v>
      </c>
      <c r="B61" s="42">
        <v>1</v>
      </c>
      <c r="C61" s="60">
        <f t="shared" si="8"/>
        <v>3.6265718922545492E-12</v>
      </c>
      <c r="D61" s="60">
        <f t="shared" ref="D61:AA61" si="72">IFERROR(D18/$B61,0)</f>
        <v>1.4506287569018197E-11</v>
      </c>
      <c r="E61" s="60">
        <f t="shared" si="72"/>
        <v>1.4506287569018197E-11</v>
      </c>
      <c r="F61" s="60">
        <f t="shared" si="72"/>
        <v>1.4506287569018197E-11</v>
      </c>
      <c r="G61" s="60">
        <f t="shared" si="72"/>
        <v>1.4506287569018197E-11</v>
      </c>
      <c r="H61" s="60">
        <f t="shared" si="72"/>
        <v>1.4506287569018197E-11</v>
      </c>
      <c r="I61" s="60">
        <f t="shared" si="72"/>
        <v>1.4506287569018197E-11</v>
      </c>
      <c r="J61" s="60">
        <f t="shared" si="72"/>
        <v>1.4506287569018197E-11</v>
      </c>
      <c r="K61" s="60">
        <f t="shared" si="72"/>
        <v>1.4506287569018197E-11</v>
      </c>
      <c r="L61" s="60">
        <f t="shared" si="72"/>
        <v>1.4506287569018197E-11</v>
      </c>
      <c r="M61" s="60">
        <f t="shared" si="72"/>
        <v>1.4506287569018197E-11</v>
      </c>
      <c r="N61" s="60">
        <f t="shared" si="72"/>
        <v>1.4506287569018197E-11</v>
      </c>
      <c r="O61" s="60">
        <f t="shared" si="72"/>
        <v>1.4506287569018197E-11</v>
      </c>
      <c r="P61" s="60">
        <f t="shared" si="72"/>
        <v>1.4506287569018197E-11</v>
      </c>
      <c r="Q61" s="60">
        <f t="shared" si="72"/>
        <v>1.4506287569018197E-11</v>
      </c>
      <c r="R61" s="60">
        <f t="shared" si="72"/>
        <v>1.4506287569018197E-11</v>
      </c>
      <c r="S61" s="60">
        <f t="shared" si="72"/>
        <v>1.4506287569018197E-11</v>
      </c>
      <c r="T61" s="60">
        <f t="shared" si="72"/>
        <v>1.4506287569018197E-11</v>
      </c>
      <c r="U61" s="60">
        <f t="shared" si="72"/>
        <v>1.4506287569018197E-11</v>
      </c>
      <c r="V61" s="60">
        <f t="shared" si="72"/>
        <v>1.4506287569018197E-11</v>
      </c>
      <c r="W61" s="60">
        <f t="shared" si="72"/>
        <v>1.4506287569018197E-11</v>
      </c>
      <c r="X61" s="60">
        <f t="shared" si="72"/>
        <v>1.4506287569018197E-11</v>
      </c>
      <c r="Y61" s="60">
        <f t="shared" si="72"/>
        <v>1.4506287569018197E-11</v>
      </c>
      <c r="Z61" s="60">
        <f t="shared" si="72"/>
        <v>1.4506287569018197E-11</v>
      </c>
      <c r="AA61" s="60">
        <f t="shared" si="72"/>
        <v>1.4506287569018197E-11</v>
      </c>
      <c r="AB61" s="49">
        <f t="shared" si="48"/>
        <v>7927596.875</v>
      </c>
      <c r="AC61" s="49">
        <f>IFERROR(up_RadSpec!$E$18*($AZ$18/$B61),".")</f>
        <v>344678.125</v>
      </c>
      <c r="AD61" s="49">
        <f>IFERROR(up_RadSpec!$E$18*($AZ$18/$B61),".")</f>
        <v>344678.125</v>
      </c>
      <c r="AE61" s="49">
        <f>IFERROR(up_RadSpec!$E$18*($AZ$18/$B61),".")</f>
        <v>344678.125</v>
      </c>
      <c r="AF61" s="49">
        <f>IFERROR(up_RadSpec!$E$18*($AZ$18/$B61),".")</f>
        <v>344678.125</v>
      </c>
      <c r="AG61" s="49">
        <f>IFERROR(up_RadSpec!$E$18*($AZ$18/$B61),".")</f>
        <v>344678.125</v>
      </c>
      <c r="AH61" s="49">
        <f>IFERROR(up_RadSpec!$E$18*($AZ$18/$B61),".")</f>
        <v>344678.125</v>
      </c>
      <c r="AI61" s="49">
        <f>IFERROR(up_RadSpec!$E$18*($AZ$18/$B61),".")</f>
        <v>344678.125</v>
      </c>
      <c r="AJ61" s="49">
        <f>IFERROR(up_RadSpec!$E$18*($AZ$18/$B61),".")</f>
        <v>344678.125</v>
      </c>
      <c r="AK61" s="49">
        <f>IFERROR(up_RadSpec!$E$18*($AZ$18/$B61),".")</f>
        <v>344678.125</v>
      </c>
      <c r="AL61" s="49">
        <f>IFERROR(up_RadSpec!$E$18*($AZ$18/$B61),".")</f>
        <v>344678.125</v>
      </c>
      <c r="AM61" s="49">
        <f>IFERROR(up_RadSpec!$E$18*($AZ$18/$B61),".")</f>
        <v>344678.125</v>
      </c>
      <c r="AN61" s="49">
        <f>IFERROR(up_RadSpec!$E$18*($AZ$18/$B61),".")</f>
        <v>344678.125</v>
      </c>
      <c r="AO61" s="49">
        <f>IFERROR(up_RadSpec!$E$18*($AZ$18/$B61),".")</f>
        <v>344678.125</v>
      </c>
      <c r="AP61" s="49">
        <f>IFERROR(up_RadSpec!$E$18*($AZ$18/$B61),".")</f>
        <v>344678.125</v>
      </c>
      <c r="AQ61" s="49">
        <f>IFERROR(up_RadSpec!$E$18*($AZ$18/$B61),".")</f>
        <v>344678.125</v>
      </c>
      <c r="AR61" s="49">
        <f>IFERROR(up_RadSpec!$E$18*($AZ$18/$B61),".")</f>
        <v>344678.125</v>
      </c>
      <c r="AS61" s="49">
        <f>IFERROR(up_RadSpec!$E$18*($AZ$18/$B61),".")</f>
        <v>344678.125</v>
      </c>
      <c r="AT61" s="49">
        <f>IFERROR(up_RadSpec!$E$18*($AZ$18/$B61),".")</f>
        <v>344678.125</v>
      </c>
      <c r="AU61" s="49">
        <f>IFERROR(up_RadSpec!$E$18*($AZ$18/$B61),".")</f>
        <v>344678.125</v>
      </c>
      <c r="AV61" s="49">
        <f>IFERROR(up_RadSpec!$E$18*($AZ$18/$B61),".")</f>
        <v>344678.125</v>
      </c>
      <c r="AW61" s="49">
        <f>IFERROR(up_RadSpec!$E$18*($AZ$18/$B61),".")</f>
        <v>344678.125</v>
      </c>
      <c r="AX61" s="49">
        <f>IFERROR(up_RadSpec!$E$18*($AZ$18/$B61),".")</f>
        <v>344678.125</v>
      </c>
      <c r="AY61" s="49">
        <f>IFERROR(up_RadSpec!$E$18*($AZ$18/$B61),".")</f>
        <v>344678.125</v>
      </c>
      <c r="AZ61" s="49">
        <f>IFERROR(up_RadSpec!$E$18*($AZ$18/$B61),".")</f>
        <v>344678.125</v>
      </c>
      <c r="BA61" s="60">
        <f t="shared" si="11"/>
        <v>17233906250</v>
      </c>
      <c r="BB61" s="60">
        <f t="shared" ref="BB61:BY61" si="73">IFERROR($B61/BB18,0)</f>
        <v>68935625000</v>
      </c>
      <c r="BC61" s="60">
        <f t="shared" si="73"/>
        <v>68935625000</v>
      </c>
      <c r="BD61" s="60">
        <f t="shared" si="73"/>
        <v>68935625000</v>
      </c>
      <c r="BE61" s="60">
        <f t="shared" si="73"/>
        <v>68935625000</v>
      </c>
      <c r="BF61" s="60">
        <f t="shared" si="73"/>
        <v>68935625000</v>
      </c>
      <c r="BG61" s="60">
        <f t="shared" si="73"/>
        <v>68935625000</v>
      </c>
      <c r="BH61" s="60">
        <f t="shared" si="73"/>
        <v>68935625000</v>
      </c>
      <c r="BI61" s="60">
        <f t="shared" si="73"/>
        <v>68935625000</v>
      </c>
      <c r="BJ61" s="60">
        <f t="shared" si="73"/>
        <v>68935625000</v>
      </c>
      <c r="BK61" s="60">
        <f t="shared" si="73"/>
        <v>68935625000</v>
      </c>
      <c r="BL61" s="60">
        <f t="shared" si="73"/>
        <v>68935625000</v>
      </c>
      <c r="BM61" s="60">
        <f t="shared" si="73"/>
        <v>68935625000</v>
      </c>
      <c r="BN61" s="60">
        <f t="shared" si="73"/>
        <v>68935625000</v>
      </c>
      <c r="BO61" s="60">
        <f t="shared" si="73"/>
        <v>68935625000</v>
      </c>
      <c r="BP61" s="60">
        <f t="shared" si="73"/>
        <v>68935625000</v>
      </c>
      <c r="BQ61" s="60">
        <f t="shared" si="73"/>
        <v>68935625000</v>
      </c>
      <c r="BR61" s="60">
        <f t="shared" si="73"/>
        <v>68935625000</v>
      </c>
      <c r="BS61" s="60">
        <f t="shared" si="73"/>
        <v>68935625000</v>
      </c>
      <c r="BT61" s="60">
        <f t="shared" si="73"/>
        <v>68935625000</v>
      </c>
      <c r="BU61" s="60">
        <f t="shared" si="73"/>
        <v>68935625000</v>
      </c>
      <c r="BV61" s="60">
        <f t="shared" si="73"/>
        <v>68935625000</v>
      </c>
      <c r="BW61" s="60">
        <f t="shared" si="73"/>
        <v>68935625000</v>
      </c>
      <c r="BX61" s="60">
        <f t="shared" si="73"/>
        <v>68935625000</v>
      </c>
      <c r="BY61" s="60">
        <f t="shared" si="73"/>
        <v>68935625000</v>
      </c>
      <c r="BZ61" s="49">
        <f t="shared" si="3"/>
        <v>1378712.5</v>
      </c>
      <c r="CA61" s="49">
        <f>IFERROR(up_RadSpec!$E$18*(CA18/$B61),".")</f>
        <v>344678.125</v>
      </c>
      <c r="CB61" s="49">
        <f>IFERROR(up_RadSpec!$E$18*(CB18/$B61),".")</f>
        <v>344678.125</v>
      </c>
      <c r="CC61" s="49">
        <f>IFERROR(up_RadSpec!$E$18*(CC18/$B61),".")</f>
        <v>344678.125</v>
      </c>
      <c r="CD61" s="49">
        <f>IFERROR(up_RadSpec!$E$18*(CD18/$B61),".")</f>
        <v>344678.125</v>
      </c>
      <c r="CE61" s="49">
        <f>IFERROR(up_RadSpec!$E$18*(CE18/$B61),".")</f>
        <v>344678.125</v>
      </c>
      <c r="CF61" s="49">
        <f>IFERROR(up_RadSpec!$E$18*(CF18/$B61),".")</f>
        <v>344678.125</v>
      </c>
      <c r="CG61" s="49">
        <f>IFERROR(up_RadSpec!$E$18*(CG18/$B61),".")</f>
        <v>344678.125</v>
      </c>
      <c r="CH61" s="49">
        <f>IFERROR(up_RadSpec!$E$18*(CH18/$B61),".")</f>
        <v>344678.125</v>
      </c>
      <c r="CI61" s="49">
        <f>IFERROR(up_RadSpec!$E$18*(CI18/$B61),".")</f>
        <v>344678.125</v>
      </c>
      <c r="CJ61" s="49">
        <f>IFERROR(up_RadSpec!$E$18*(CJ18/$B61),".")</f>
        <v>344678.125</v>
      </c>
      <c r="CK61" s="49">
        <f>IFERROR(up_RadSpec!$E$18*(CK18/$B61),".")</f>
        <v>344678.125</v>
      </c>
      <c r="CL61" s="49">
        <f>IFERROR(up_RadSpec!$E$18*(CL18/$B61),".")</f>
        <v>344678.125</v>
      </c>
      <c r="CM61" s="49">
        <f>IFERROR(up_RadSpec!$E$18*(CM18/$B61),".")</f>
        <v>344678.125</v>
      </c>
      <c r="CN61" s="49">
        <f>IFERROR(up_RadSpec!$E$18*(CN18/$B61),".")</f>
        <v>344678.125</v>
      </c>
      <c r="CO61" s="49">
        <f>IFERROR(up_RadSpec!$E$18*(CO18/$B61),".")</f>
        <v>344678.125</v>
      </c>
      <c r="CP61" s="49">
        <f>IFERROR(up_RadSpec!$E$18*(CP18/$B61),".")</f>
        <v>344678.125</v>
      </c>
      <c r="CQ61" s="49">
        <f>IFERROR(up_RadSpec!$E$18*(CQ18/$B61),".")</f>
        <v>344678.125</v>
      </c>
      <c r="CR61" s="49">
        <f>IFERROR(up_RadSpec!$E$18*(CR18/$B61),".")</f>
        <v>344678.125</v>
      </c>
      <c r="CS61" s="49">
        <f>IFERROR(up_RadSpec!$E$18*(CS18/$B61),".")</f>
        <v>344678.125</v>
      </c>
      <c r="CT61" s="49">
        <f>IFERROR(up_RadSpec!$E$18*(CT18/$B61),".")</f>
        <v>344678.125</v>
      </c>
      <c r="CU61" s="49">
        <f>IFERROR(up_RadSpec!$E$18*(CU18/$B61),".")</f>
        <v>344678.125</v>
      </c>
      <c r="CV61" s="49">
        <f>IFERROR(up_RadSpec!$E$18*(CV18/$B61),".")</f>
        <v>344678.125</v>
      </c>
      <c r="CW61" s="49">
        <f>IFERROR(up_RadSpec!$E$18*(CW18/$B61),".")</f>
        <v>344678.125</v>
      </c>
      <c r="CX61" s="49">
        <f>IFERROR(up_RadSpec!$E$18*(CX18/$B61),".")</f>
        <v>344678.125</v>
      </c>
    </row>
    <row r="62" spans="1:102" x14ac:dyDescent="0.25">
      <c r="A62" s="83" t="s">
        <v>1100</v>
      </c>
      <c r="B62" s="42">
        <v>1.339E-6</v>
      </c>
      <c r="C62" s="60">
        <f t="shared" si="8"/>
        <v>2.7084181420870421E-6</v>
      </c>
      <c r="D62" s="60">
        <f t="shared" ref="D62:AA62" si="74">IFERROR(D27/$B62,0)</f>
        <v>1.0833672568348168E-5</v>
      </c>
      <c r="E62" s="60">
        <f t="shared" si="74"/>
        <v>1.0833672568348168E-5</v>
      </c>
      <c r="F62" s="60">
        <f t="shared" si="74"/>
        <v>1.0833672568348168E-5</v>
      </c>
      <c r="G62" s="60">
        <f t="shared" si="74"/>
        <v>1.0833672568348168E-5</v>
      </c>
      <c r="H62" s="60">
        <f t="shared" si="74"/>
        <v>1.0833672568348168E-5</v>
      </c>
      <c r="I62" s="60">
        <f t="shared" si="74"/>
        <v>1.0833672568348168E-5</v>
      </c>
      <c r="J62" s="60">
        <f t="shared" si="74"/>
        <v>1.0833672568348168E-5</v>
      </c>
      <c r="K62" s="60">
        <f t="shared" si="74"/>
        <v>1.0833672568348168E-5</v>
      </c>
      <c r="L62" s="60">
        <f t="shared" si="74"/>
        <v>1.0833672568348168E-5</v>
      </c>
      <c r="M62" s="60">
        <f t="shared" si="74"/>
        <v>1.0833672568348168E-5</v>
      </c>
      <c r="N62" s="60">
        <f t="shared" si="74"/>
        <v>1.0833672568348168E-5</v>
      </c>
      <c r="O62" s="60">
        <f t="shared" si="74"/>
        <v>1.0833672568348168E-5</v>
      </c>
      <c r="P62" s="60">
        <f t="shared" si="74"/>
        <v>1.0833672568348168E-5</v>
      </c>
      <c r="Q62" s="60">
        <f t="shared" si="74"/>
        <v>1.0833672568348168E-5</v>
      </c>
      <c r="R62" s="60">
        <f t="shared" si="74"/>
        <v>1.0833672568348168E-5</v>
      </c>
      <c r="S62" s="60">
        <f t="shared" si="74"/>
        <v>1.0833672568348168E-5</v>
      </c>
      <c r="T62" s="60">
        <f t="shared" si="74"/>
        <v>1.0833672568348168E-5</v>
      </c>
      <c r="U62" s="60">
        <f t="shared" si="74"/>
        <v>1.0833672568348168E-5</v>
      </c>
      <c r="V62" s="60">
        <f t="shared" si="74"/>
        <v>1.0833672568348168E-5</v>
      </c>
      <c r="W62" s="60">
        <f t="shared" si="74"/>
        <v>1.0833672568348168E-5</v>
      </c>
      <c r="X62" s="60">
        <f t="shared" si="74"/>
        <v>1.0833672568348168E-5</v>
      </c>
      <c r="Y62" s="60">
        <f t="shared" si="74"/>
        <v>1.0833672568348168E-5</v>
      </c>
      <c r="Z62" s="60">
        <f t="shared" si="74"/>
        <v>1.0833672568348168E-5</v>
      </c>
      <c r="AA62" s="60">
        <f t="shared" si="74"/>
        <v>1.0833672568348168E-5</v>
      </c>
      <c r="AB62" s="49">
        <f t="shared" si="48"/>
        <v>5920535380881.2568</v>
      </c>
      <c r="AC62" s="49">
        <f>IFERROR(up_RadSpec!$E$27*($AZ$27/$B62),".")</f>
        <v>257414581777.44586</v>
      </c>
      <c r="AD62" s="49">
        <f>IFERROR(up_RadSpec!$E$27*($AZ$27/$B62),".")</f>
        <v>257414581777.44586</v>
      </c>
      <c r="AE62" s="49">
        <f>IFERROR(up_RadSpec!$E$27*($AZ$27/$B62),".")</f>
        <v>257414581777.44586</v>
      </c>
      <c r="AF62" s="49">
        <f>IFERROR(up_RadSpec!$E$27*($AZ$27/$B62),".")</f>
        <v>257414581777.44586</v>
      </c>
      <c r="AG62" s="49">
        <f>IFERROR(up_RadSpec!$E$27*($AZ$27/$B62),".")</f>
        <v>257414581777.44586</v>
      </c>
      <c r="AH62" s="49">
        <f>IFERROR(up_RadSpec!$E$27*($AZ$27/$B62),".")</f>
        <v>257414581777.44586</v>
      </c>
      <c r="AI62" s="49">
        <f>IFERROR(up_RadSpec!$E$27*($AZ$27/$B62),".")</f>
        <v>257414581777.44586</v>
      </c>
      <c r="AJ62" s="49">
        <f>IFERROR(up_RadSpec!$E$27*($AZ$27/$B62),".")</f>
        <v>257414581777.44586</v>
      </c>
      <c r="AK62" s="49">
        <f>IFERROR(up_RadSpec!$E$27*($AZ$27/$B62),".")</f>
        <v>257414581777.44586</v>
      </c>
      <c r="AL62" s="49">
        <f>IFERROR(up_RadSpec!$E$27*($AZ$27/$B62),".")</f>
        <v>257414581777.44586</v>
      </c>
      <c r="AM62" s="49">
        <f>IFERROR(up_RadSpec!$E$27*($AZ$27/$B62),".")</f>
        <v>257414581777.44586</v>
      </c>
      <c r="AN62" s="49">
        <f>IFERROR(up_RadSpec!$E$27*($AZ$27/$B62),".")</f>
        <v>257414581777.44586</v>
      </c>
      <c r="AO62" s="49">
        <f>IFERROR(up_RadSpec!$E$27*($AZ$27/$B62),".")</f>
        <v>257414581777.44586</v>
      </c>
      <c r="AP62" s="49">
        <f>IFERROR(up_RadSpec!$E$27*($AZ$27/$B62),".")</f>
        <v>257414581777.44586</v>
      </c>
      <c r="AQ62" s="49">
        <f>IFERROR(up_RadSpec!$E$27*($AZ$27/$B62),".")</f>
        <v>257414581777.44586</v>
      </c>
      <c r="AR62" s="49">
        <f>IFERROR(up_RadSpec!$E$27*($AZ$27/$B62),".")</f>
        <v>257414581777.44586</v>
      </c>
      <c r="AS62" s="49">
        <f>IFERROR(up_RadSpec!$E$27*($AZ$27/$B62),".")</f>
        <v>257414581777.44586</v>
      </c>
      <c r="AT62" s="49">
        <f>IFERROR(up_RadSpec!$E$27*($AZ$27/$B62),".")</f>
        <v>257414581777.44586</v>
      </c>
      <c r="AU62" s="49">
        <f>IFERROR(up_RadSpec!$E$27*($AZ$27/$B62),".")</f>
        <v>257414581777.44586</v>
      </c>
      <c r="AV62" s="49">
        <f>IFERROR(up_RadSpec!$E$27*($AZ$27/$B62),".")</f>
        <v>257414581777.44586</v>
      </c>
      <c r="AW62" s="49">
        <f>IFERROR(up_RadSpec!$E$27*($AZ$27/$B62),".")</f>
        <v>257414581777.44586</v>
      </c>
      <c r="AX62" s="49">
        <f>IFERROR(up_RadSpec!$E$27*($AZ$27/$B62),".")</f>
        <v>257414581777.44586</v>
      </c>
      <c r="AY62" s="49">
        <f>IFERROR(up_RadSpec!$E$27*($AZ$27/$B62),".")</f>
        <v>257414581777.44586</v>
      </c>
      <c r="AZ62" s="49">
        <f>IFERROR(up_RadSpec!$E$27*($AZ$27/$B62),".")</f>
        <v>257414581777.44586</v>
      </c>
      <c r="BA62" s="60">
        <f t="shared" si="11"/>
        <v>23076.200468750001</v>
      </c>
      <c r="BB62" s="60">
        <f t="shared" ref="BB62:BY62" si="75">IFERROR($B62/BB27,0)</f>
        <v>92304.801875000005</v>
      </c>
      <c r="BC62" s="60">
        <f t="shared" si="75"/>
        <v>92304.801875000005</v>
      </c>
      <c r="BD62" s="60">
        <f t="shared" si="75"/>
        <v>92304.801875000005</v>
      </c>
      <c r="BE62" s="60">
        <f t="shared" si="75"/>
        <v>92304.801875000005</v>
      </c>
      <c r="BF62" s="60">
        <f t="shared" si="75"/>
        <v>92304.801875000005</v>
      </c>
      <c r="BG62" s="60">
        <f t="shared" si="75"/>
        <v>92304.801875000005</v>
      </c>
      <c r="BH62" s="60">
        <f t="shared" si="75"/>
        <v>92304.801875000005</v>
      </c>
      <c r="BI62" s="60">
        <f t="shared" si="75"/>
        <v>92304.801875000005</v>
      </c>
      <c r="BJ62" s="60">
        <f t="shared" si="75"/>
        <v>92304.801875000005</v>
      </c>
      <c r="BK62" s="60">
        <f t="shared" si="75"/>
        <v>92304.801875000005</v>
      </c>
      <c r="BL62" s="60">
        <f t="shared" si="75"/>
        <v>92304.801875000005</v>
      </c>
      <c r="BM62" s="60">
        <f t="shared" si="75"/>
        <v>92304.801875000005</v>
      </c>
      <c r="BN62" s="60">
        <f t="shared" si="75"/>
        <v>92304.801875000005</v>
      </c>
      <c r="BO62" s="60">
        <f t="shared" si="75"/>
        <v>92304.801875000005</v>
      </c>
      <c r="BP62" s="60">
        <f t="shared" si="75"/>
        <v>92304.801875000005</v>
      </c>
      <c r="BQ62" s="60">
        <f t="shared" si="75"/>
        <v>92304.801875000005</v>
      </c>
      <c r="BR62" s="60">
        <f t="shared" si="75"/>
        <v>92304.801875000005</v>
      </c>
      <c r="BS62" s="60">
        <f t="shared" si="75"/>
        <v>92304.801875000005</v>
      </c>
      <c r="BT62" s="60">
        <f t="shared" si="75"/>
        <v>92304.801875000005</v>
      </c>
      <c r="BU62" s="60">
        <f t="shared" si="75"/>
        <v>92304.801875000005</v>
      </c>
      <c r="BV62" s="60">
        <f t="shared" si="75"/>
        <v>92304.801875000005</v>
      </c>
      <c r="BW62" s="60">
        <f t="shared" si="75"/>
        <v>92304.801875000005</v>
      </c>
      <c r="BX62" s="60">
        <f t="shared" si="75"/>
        <v>92304.801875000005</v>
      </c>
      <c r="BY62" s="60">
        <f t="shared" si="75"/>
        <v>92304.801875000005</v>
      </c>
      <c r="BZ62" s="49">
        <f t="shared" si="3"/>
        <v>1029658327109.7834</v>
      </c>
      <c r="CA62" s="49">
        <f>IFERROR(up_RadSpec!$E$27*(CA27/$B62),".")</f>
        <v>257414581777.44586</v>
      </c>
      <c r="CB62" s="49">
        <f>IFERROR(up_RadSpec!$E$27*(CB27/$B62),".")</f>
        <v>257414581777.44586</v>
      </c>
      <c r="CC62" s="49">
        <f>IFERROR(up_RadSpec!$E$27*(CC27/$B62),".")</f>
        <v>257414581777.44586</v>
      </c>
      <c r="CD62" s="49">
        <f>IFERROR(up_RadSpec!$E$27*(CD27/$B62),".")</f>
        <v>257414581777.44586</v>
      </c>
      <c r="CE62" s="49">
        <f>IFERROR(up_RadSpec!$E$27*(CE27/$B62),".")</f>
        <v>257414581777.44586</v>
      </c>
      <c r="CF62" s="49">
        <f>IFERROR(up_RadSpec!$E$27*(CF27/$B62),".")</f>
        <v>257414581777.44586</v>
      </c>
      <c r="CG62" s="49">
        <f>IFERROR(up_RadSpec!$E$27*(CG27/$B62),".")</f>
        <v>257414581777.44586</v>
      </c>
      <c r="CH62" s="49">
        <f>IFERROR(up_RadSpec!$E$27*(CH27/$B62),".")</f>
        <v>257414581777.44586</v>
      </c>
      <c r="CI62" s="49">
        <f>IFERROR(up_RadSpec!$E$27*(CI27/$B62),".")</f>
        <v>257414581777.44586</v>
      </c>
      <c r="CJ62" s="49">
        <f>IFERROR(up_RadSpec!$E$27*(CJ27/$B62),".")</f>
        <v>257414581777.44586</v>
      </c>
      <c r="CK62" s="49">
        <f>IFERROR(up_RadSpec!$E$27*(CK27/$B62),".")</f>
        <v>257414581777.44586</v>
      </c>
      <c r="CL62" s="49">
        <f>IFERROR(up_RadSpec!$E$27*(CL27/$B62),".")</f>
        <v>257414581777.44586</v>
      </c>
      <c r="CM62" s="49">
        <f>IFERROR(up_RadSpec!$E$27*(CM27/$B62),".")</f>
        <v>257414581777.44586</v>
      </c>
      <c r="CN62" s="49">
        <f>IFERROR(up_RadSpec!$E$27*(CN27/$B62),".")</f>
        <v>257414581777.44586</v>
      </c>
      <c r="CO62" s="49">
        <f>IFERROR(up_RadSpec!$E$27*(CO27/$B62),".")</f>
        <v>257414581777.44586</v>
      </c>
      <c r="CP62" s="49">
        <f>IFERROR(up_RadSpec!$E$27*(CP27/$B62),".")</f>
        <v>257414581777.44586</v>
      </c>
      <c r="CQ62" s="49">
        <f>IFERROR(up_RadSpec!$E$27*(CQ27/$B62),".")</f>
        <v>257414581777.44586</v>
      </c>
      <c r="CR62" s="49">
        <f>IFERROR(up_RadSpec!$E$27*(CR27/$B62),".")</f>
        <v>257414581777.44586</v>
      </c>
      <c r="CS62" s="49">
        <f>IFERROR(up_RadSpec!$E$27*(CS27/$B62),".")</f>
        <v>257414581777.44586</v>
      </c>
      <c r="CT62" s="49">
        <f>IFERROR(up_RadSpec!$E$27*(CT27/$B62),".")</f>
        <v>257414581777.44586</v>
      </c>
      <c r="CU62" s="49">
        <f>IFERROR(up_RadSpec!$E$27*(CU27/$B62),".")</f>
        <v>257414581777.44586</v>
      </c>
      <c r="CV62" s="49">
        <f>IFERROR(up_RadSpec!$E$27*(CV27/$B62),".")</f>
        <v>257414581777.44586</v>
      </c>
      <c r="CW62" s="49">
        <f>IFERROR(up_RadSpec!$E$27*(CW27/$B62),".")</f>
        <v>257414581777.44586</v>
      </c>
      <c r="CX62" s="49">
        <f>IFERROR(up_RadSpec!$E$27*(CX27/$B62),".")</f>
        <v>257414581777.44586</v>
      </c>
    </row>
    <row r="63" spans="1:102" x14ac:dyDescent="0.25">
      <c r="A63" s="82" t="s">
        <v>35</v>
      </c>
      <c r="B63" s="82" t="s">
        <v>1074</v>
      </c>
      <c r="C63" s="58">
        <f t="shared" si="8"/>
        <v>7.2534342120149472E-13</v>
      </c>
      <c r="D63" s="58">
        <f t="shared" ref="D63:AA63" si="76">1/SUM(1/D66,1/D68,1/D72,1/D73,1/D75)</f>
        <v>2.9013736848059789E-12</v>
      </c>
      <c r="E63" s="58">
        <f t="shared" si="76"/>
        <v>2.9013736848059789E-12</v>
      </c>
      <c r="F63" s="58">
        <f t="shared" si="76"/>
        <v>2.9013736848059789E-12</v>
      </c>
      <c r="G63" s="58">
        <f t="shared" si="76"/>
        <v>2.9013736848059789E-12</v>
      </c>
      <c r="H63" s="58">
        <f t="shared" si="76"/>
        <v>2.9013736848059789E-12</v>
      </c>
      <c r="I63" s="58">
        <f t="shared" si="76"/>
        <v>2.9013736848059789E-12</v>
      </c>
      <c r="J63" s="58">
        <f t="shared" si="76"/>
        <v>2.9013736848059789E-12</v>
      </c>
      <c r="K63" s="58">
        <f t="shared" si="76"/>
        <v>2.9013736848059789E-12</v>
      </c>
      <c r="L63" s="58">
        <f t="shared" si="76"/>
        <v>2.9013736848059789E-12</v>
      </c>
      <c r="M63" s="58">
        <f t="shared" si="76"/>
        <v>2.9013736848059789E-12</v>
      </c>
      <c r="N63" s="58">
        <f t="shared" si="76"/>
        <v>2.9013736848059789E-12</v>
      </c>
      <c r="O63" s="58">
        <f t="shared" si="76"/>
        <v>2.9013736848059789E-12</v>
      </c>
      <c r="P63" s="58">
        <f t="shared" si="76"/>
        <v>2.9013736848059789E-12</v>
      </c>
      <c r="Q63" s="58">
        <f t="shared" si="76"/>
        <v>2.9013736848059789E-12</v>
      </c>
      <c r="R63" s="58">
        <f t="shared" si="76"/>
        <v>2.9013736848059789E-12</v>
      </c>
      <c r="S63" s="58">
        <f t="shared" si="76"/>
        <v>2.9013736848059789E-12</v>
      </c>
      <c r="T63" s="58">
        <f t="shared" si="76"/>
        <v>2.9013736848059789E-12</v>
      </c>
      <c r="U63" s="58">
        <f t="shared" si="76"/>
        <v>2.9013736848059789E-12</v>
      </c>
      <c r="V63" s="58">
        <f t="shared" si="76"/>
        <v>2.9013736848059789E-12</v>
      </c>
      <c r="W63" s="58">
        <f t="shared" si="76"/>
        <v>2.9013736848059789E-12</v>
      </c>
      <c r="X63" s="58">
        <f t="shared" si="76"/>
        <v>2.9013736848059789E-12</v>
      </c>
      <c r="Y63" s="58">
        <f t="shared" si="76"/>
        <v>2.9013736848059789E-12</v>
      </c>
      <c r="Z63" s="58">
        <f t="shared" si="76"/>
        <v>2.9013736848059789E-12</v>
      </c>
      <c r="AA63" s="58">
        <f t="shared" si="76"/>
        <v>2.9013736848059789E-12</v>
      </c>
      <c r="AB63" s="47">
        <f>IFERROR(IF(SUM(AC63:AY63)&gt;0.01,1-EXP(-SUM(AC63:AY63)),SUM(AC63:AY63)),".")</f>
        <v>0.9999999998973812</v>
      </c>
      <c r="AC63" s="47">
        <f t="shared" ref="AC63:AY63" si="77">IFERROR(IF(SUM(AC64:AC76)&gt;0.01,1-EXP(-(SUM(AC64:AC76))),SUM(AC64:AC76)),".")</f>
        <v>1</v>
      </c>
      <c r="AD63" s="47">
        <f t="shared" si="77"/>
        <v>1</v>
      </c>
      <c r="AE63" s="47">
        <f t="shared" si="77"/>
        <v>1</v>
      </c>
      <c r="AF63" s="47">
        <f t="shared" si="77"/>
        <v>1</v>
      </c>
      <c r="AG63" s="47">
        <f t="shared" si="77"/>
        <v>1</v>
      </c>
      <c r="AH63" s="47">
        <f t="shared" si="77"/>
        <v>1</v>
      </c>
      <c r="AI63" s="47">
        <f t="shared" si="77"/>
        <v>1</v>
      </c>
      <c r="AJ63" s="47">
        <f t="shared" si="77"/>
        <v>1</v>
      </c>
      <c r="AK63" s="47">
        <f t="shared" si="77"/>
        <v>1</v>
      </c>
      <c r="AL63" s="47">
        <f t="shared" si="77"/>
        <v>1</v>
      </c>
      <c r="AM63" s="47">
        <f t="shared" si="77"/>
        <v>1</v>
      </c>
      <c r="AN63" s="47">
        <f t="shared" si="77"/>
        <v>1</v>
      </c>
      <c r="AO63" s="47">
        <f t="shared" si="77"/>
        <v>1</v>
      </c>
      <c r="AP63" s="47">
        <f t="shared" si="77"/>
        <v>1</v>
      </c>
      <c r="AQ63" s="47">
        <f t="shared" si="77"/>
        <v>1</v>
      </c>
      <c r="AR63" s="47">
        <f t="shared" si="77"/>
        <v>1</v>
      </c>
      <c r="AS63" s="47">
        <f t="shared" si="77"/>
        <v>1</v>
      </c>
      <c r="AT63" s="47">
        <f t="shared" si="77"/>
        <v>1</v>
      </c>
      <c r="AU63" s="47">
        <f t="shared" si="77"/>
        <v>1</v>
      </c>
      <c r="AV63" s="47">
        <f t="shared" si="77"/>
        <v>1</v>
      </c>
      <c r="AW63" s="47">
        <f t="shared" si="77"/>
        <v>1</v>
      </c>
      <c r="AX63" s="47">
        <f t="shared" si="77"/>
        <v>1</v>
      </c>
      <c r="AY63" s="47">
        <f t="shared" si="77"/>
        <v>1</v>
      </c>
      <c r="AZ63" s="47">
        <f>IFERROR(IF(SUM(AZ64:AZ76)&gt;0.01,1-EXP(-(SUM(AZ64:AZ76))),SUM(AZ64:AZ76)),".")</f>
        <v>1</v>
      </c>
      <c r="BA63" s="58">
        <f t="shared" si="11"/>
        <v>4.5332140958050938E-13</v>
      </c>
      <c r="BB63" s="58">
        <f t="shared" ref="BB63:BY63" si="78">IFERROR(1/SUM(BB64:BB76),0)</f>
        <v>1.8132856383220375E-12</v>
      </c>
      <c r="BC63" s="58">
        <f t="shared" si="78"/>
        <v>1.8132856383220375E-12</v>
      </c>
      <c r="BD63" s="58">
        <f t="shared" si="78"/>
        <v>1.8132856383220375E-12</v>
      </c>
      <c r="BE63" s="58">
        <f t="shared" si="78"/>
        <v>1.8132856383220375E-12</v>
      </c>
      <c r="BF63" s="58">
        <f t="shared" si="78"/>
        <v>1.8132856383220375E-12</v>
      </c>
      <c r="BG63" s="58">
        <f t="shared" si="78"/>
        <v>1.8132856383220375E-12</v>
      </c>
      <c r="BH63" s="58">
        <f t="shared" si="78"/>
        <v>1.8132856383220375E-12</v>
      </c>
      <c r="BI63" s="58">
        <f t="shared" si="78"/>
        <v>1.8132856383220375E-12</v>
      </c>
      <c r="BJ63" s="58">
        <f t="shared" si="78"/>
        <v>1.8132856383220375E-12</v>
      </c>
      <c r="BK63" s="58">
        <f t="shared" si="78"/>
        <v>1.8132856383220375E-12</v>
      </c>
      <c r="BL63" s="58">
        <f t="shared" si="78"/>
        <v>1.8132856383220375E-12</v>
      </c>
      <c r="BM63" s="58">
        <f t="shared" si="78"/>
        <v>1.8132856383220375E-12</v>
      </c>
      <c r="BN63" s="58">
        <f t="shared" si="78"/>
        <v>1.8132856383220375E-12</v>
      </c>
      <c r="BO63" s="58">
        <f t="shared" si="78"/>
        <v>1.8132856383220375E-12</v>
      </c>
      <c r="BP63" s="58">
        <f t="shared" si="78"/>
        <v>1.8132856383220375E-12</v>
      </c>
      <c r="BQ63" s="58">
        <f t="shared" si="78"/>
        <v>1.8132856383220375E-12</v>
      </c>
      <c r="BR63" s="58">
        <f t="shared" si="78"/>
        <v>1.8132856383220375E-12</v>
      </c>
      <c r="BS63" s="58">
        <f t="shared" si="78"/>
        <v>1.8132856383220375E-12</v>
      </c>
      <c r="BT63" s="58">
        <f t="shared" si="78"/>
        <v>1.8132856383220375E-12</v>
      </c>
      <c r="BU63" s="58">
        <f t="shared" si="78"/>
        <v>1.8132856383220375E-12</v>
      </c>
      <c r="BV63" s="58">
        <f t="shared" si="78"/>
        <v>1.8132856383220375E-12</v>
      </c>
      <c r="BW63" s="58">
        <f t="shared" si="78"/>
        <v>1.8132856383220375E-12</v>
      </c>
      <c r="BX63" s="58">
        <f t="shared" si="78"/>
        <v>1.8132856383220375E-12</v>
      </c>
      <c r="BY63" s="58">
        <f t="shared" si="78"/>
        <v>1.8132856383220375E-12</v>
      </c>
      <c r="BZ63" s="47">
        <f>IFERROR(IF(SUM(CA64:CB76,CW64:CX76)&gt;0.01,1-EXP(-SUM(CA64:CB76,CW64:CX76)),SUM(CA64:CB76,CW64:CX76)),".")</f>
        <v>1</v>
      </c>
      <c r="CA63" s="47">
        <f t="shared" ref="CA63:CV63" si="79">IFERROR(IF(SUM(CA64:CA76)&gt;0.01,1-EXP(-(SUM(CA64:CA76))),SUM(CA64:CA76)),".")</f>
        <v>1</v>
      </c>
      <c r="CB63" s="47">
        <f t="shared" si="79"/>
        <v>1</v>
      </c>
      <c r="CC63" s="47">
        <f t="shared" si="79"/>
        <v>1</v>
      </c>
      <c r="CD63" s="47">
        <f t="shared" si="79"/>
        <v>1</v>
      </c>
      <c r="CE63" s="47">
        <f t="shared" si="79"/>
        <v>1</v>
      </c>
      <c r="CF63" s="47">
        <f t="shared" si="79"/>
        <v>1</v>
      </c>
      <c r="CG63" s="47">
        <f t="shared" si="79"/>
        <v>1</v>
      </c>
      <c r="CH63" s="47">
        <f t="shared" si="79"/>
        <v>1</v>
      </c>
      <c r="CI63" s="47">
        <f t="shared" si="79"/>
        <v>1</v>
      </c>
      <c r="CJ63" s="47">
        <f t="shared" si="79"/>
        <v>1</v>
      </c>
      <c r="CK63" s="47">
        <f t="shared" si="79"/>
        <v>1</v>
      </c>
      <c r="CL63" s="47">
        <f t="shared" si="79"/>
        <v>1</v>
      </c>
      <c r="CM63" s="47">
        <f t="shared" si="79"/>
        <v>1</v>
      </c>
      <c r="CN63" s="47">
        <f t="shared" si="79"/>
        <v>1</v>
      </c>
      <c r="CO63" s="47">
        <f t="shared" si="79"/>
        <v>1</v>
      </c>
      <c r="CP63" s="47">
        <f t="shared" si="79"/>
        <v>1</v>
      </c>
      <c r="CQ63" s="47">
        <f t="shared" si="79"/>
        <v>1</v>
      </c>
      <c r="CR63" s="47">
        <f t="shared" si="79"/>
        <v>1</v>
      </c>
      <c r="CS63" s="47">
        <f t="shared" si="79"/>
        <v>1</v>
      </c>
      <c r="CT63" s="47">
        <f t="shared" si="79"/>
        <v>1</v>
      </c>
      <c r="CU63" s="47">
        <f t="shared" si="79"/>
        <v>1</v>
      </c>
      <c r="CV63" s="47">
        <f t="shared" si="79"/>
        <v>1</v>
      </c>
      <c r="CW63" s="47">
        <f>IFERROR(IF(SUM(CW64:CW76)&gt;0.01,1-EXP(-(SUM(CW64:CW76))),SUM(CW64:CW76)),".")</f>
        <v>1</v>
      </c>
      <c r="CX63" s="47">
        <f>IFERROR(IF(SUM(CX64:CX76)&gt;0.01,1-EXP(-(SUM(CX64:CX76))),SUM(CX64:CX76)),".")</f>
        <v>1</v>
      </c>
    </row>
    <row r="64" spans="1:102" x14ac:dyDescent="0.25">
      <c r="A64" s="83" t="s">
        <v>1090</v>
      </c>
      <c r="B64" s="42">
        <v>1</v>
      </c>
      <c r="C64" s="60">
        <f t="shared" si="8"/>
        <v>3.6265718922545492E-12</v>
      </c>
      <c r="D64" s="60">
        <f t="shared" ref="D64:AA64" si="80">IFERROR(D25/$B50,0)</f>
        <v>1.4506287569018197E-11</v>
      </c>
      <c r="E64" s="60">
        <f t="shared" si="80"/>
        <v>1.4506287569018197E-11</v>
      </c>
      <c r="F64" s="60">
        <f t="shared" si="80"/>
        <v>1.4506287569018197E-11</v>
      </c>
      <c r="G64" s="60">
        <f t="shared" si="80"/>
        <v>1.4506287569018197E-11</v>
      </c>
      <c r="H64" s="60">
        <f t="shared" si="80"/>
        <v>1.4506287569018197E-11</v>
      </c>
      <c r="I64" s="60">
        <f t="shared" si="80"/>
        <v>1.4506287569018197E-11</v>
      </c>
      <c r="J64" s="60">
        <f t="shared" si="80"/>
        <v>1.4506287569018197E-11</v>
      </c>
      <c r="K64" s="60">
        <f t="shared" si="80"/>
        <v>1.4506287569018197E-11</v>
      </c>
      <c r="L64" s="60">
        <f t="shared" si="80"/>
        <v>1.4506287569018197E-11</v>
      </c>
      <c r="M64" s="60">
        <f t="shared" si="80"/>
        <v>1.4506287569018197E-11</v>
      </c>
      <c r="N64" s="60">
        <f t="shared" si="80"/>
        <v>1.4506287569018197E-11</v>
      </c>
      <c r="O64" s="60">
        <f t="shared" si="80"/>
        <v>1.4506287569018197E-11</v>
      </c>
      <c r="P64" s="60">
        <f t="shared" si="80"/>
        <v>1.4506287569018197E-11</v>
      </c>
      <c r="Q64" s="60">
        <f t="shared" si="80"/>
        <v>1.4506287569018197E-11</v>
      </c>
      <c r="R64" s="60">
        <f t="shared" si="80"/>
        <v>1.4506287569018197E-11</v>
      </c>
      <c r="S64" s="60">
        <f t="shared" si="80"/>
        <v>1.4506287569018197E-11</v>
      </c>
      <c r="T64" s="60">
        <f t="shared" si="80"/>
        <v>1.4506287569018197E-11</v>
      </c>
      <c r="U64" s="60">
        <f t="shared" si="80"/>
        <v>1.4506287569018197E-11</v>
      </c>
      <c r="V64" s="60">
        <f t="shared" si="80"/>
        <v>1.4506287569018197E-11</v>
      </c>
      <c r="W64" s="60">
        <f t="shared" si="80"/>
        <v>1.4506287569018197E-11</v>
      </c>
      <c r="X64" s="60">
        <f t="shared" si="80"/>
        <v>1.4506287569018197E-11</v>
      </c>
      <c r="Y64" s="60">
        <f t="shared" si="80"/>
        <v>1.4506287569018197E-11</v>
      </c>
      <c r="Z64" s="60">
        <f t="shared" si="80"/>
        <v>1.4506287569018197E-11</v>
      </c>
      <c r="AA64" s="60">
        <f t="shared" si="80"/>
        <v>1.4506287569018197E-11</v>
      </c>
      <c r="AB64" s="49">
        <f t="shared" ref="AB64:AB76" si="81">SUM(AC64:AY64)</f>
        <v>7927596.875</v>
      </c>
      <c r="AC64" s="49">
        <f>IFERROR(up_RadSpec!$E$25*($AZ$25/$B64),".")</f>
        <v>344678.125</v>
      </c>
      <c r="AD64" s="49">
        <f>IFERROR(up_RadSpec!$E$25*($AZ$25/$B64),".")</f>
        <v>344678.125</v>
      </c>
      <c r="AE64" s="49">
        <f>IFERROR(up_RadSpec!$E$25*($AZ$25/$B64),".")</f>
        <v>344678.125</v>
      </c>
      <c r="AF64" s="49">
        <f>IFERROR(up_RadSpec!$E$25*($AZ$25/$B64),".")</f>
        <v>344678.125</v>
      </c>
      <c r="AG64" s="49">
        <f>IFERROR(up_RadSpec!$E$25*($AZ$25/$B64),".")</f>
        <v>344678.125</v>
      </c>
      <c r="AH64" s="49">
        <f>IFERROR(up_RadSpec!$E$25*($AZ$25/$B64),".")</f>
        <v>344678.125</v>
      </c>
      <c r="AI64" s="49">
        <f>IFERROR(up_RadSpec!$E$25*($AZ$25/$B64),".")</f>
        <v>344678.125</v>
      </c>
      <c r="AJ64" s="49">
        <f>IFERROR(up_RadSpec!$E$25*($AZ$25/$B64),".")</f>
        <v>344678.125</v>
      </c>
      <c r="AK64" s="49">
        <f>IFERROR(up_RadSpec!$E$25*($AZ$25/$B64),".")</f>
        <v>344678.125</v>
      </c>
      <c r="AL64" s="49">
        <f>IFERROR(up_RadSpec!$E$25*($AZ$25/$B64),".")</f>
        <v>344678.125</v>
      </c>
      <c r="AM64" s="49">
        <f>IFERROR(up_RadSpec!$E$25*($AZ$25/$B64),".")</f>
        <v>344678.125</v>
      </c>
      <c r="AN64" s="49">
        <f>IFERROR(up_RadSpec!$E$25*($AZ$25/$B64),".")</f>
        <v>344678.125</v>
      </c>
      <c r="AO64" s="49">
        <f>IFERROR(up_RadSpec!$E$25*($AZ$25/$B64),".")</f>
        <v>344678.125</v>
      </c>
      <c r="AP64" s="49">
        <f>IFERROR(up_RadSpec!$E$25*($AZ$25/$B64),".")</f>
        <v>344678.125</v>
      </c>
      <c r="AQ64" s="49">
        <f>IFERROR(up_RadSpec!$E$25*($AZ$25/$B64),".")</f>
        <v>344678.125</v>
      </c>
      <c r="AR64" s="49">
        <f>IFERROR(up_RadSpec!$E$25*($AZ$25/$B64),".")</f>
        <v>344678.125</v>
      </c>
      <c r="AS64" s="49">
        <f>IFERROR(up_RadSpec!$E$25*($AZ$25/$B64),".")</f>
        <v>344678.125</v>
      </c>
      <c r="AT64" s="49">
        <f>IFERROR(up_RadSpec!$E$25*($AZ$25/$B64),".")</f>
        <v>344678.125</v>
      </c>
      <c r="AU64" s="49">
        <f>IFERROR(up_RadSpec!$E$25*($AZ$25/$B64),".")</f>
        <v>344678.125</v>
      </c>
      <c r="AV64" s="49">
        <f>IFERROR(up_RadSpec!$E$25*($AZ$25/$B64),".")</f>
        <v>344678.125</v>
      </c>
      <c r="AW64" s="49">
        <f>IFERROR(up_RadSpec!$E$25*($AZ$25/$B64),".")</f>
        <v>344678.125</v>
      </c>
      <c r="AX64" s="49">
        <f>IFERROR(up_RadSpec!$E$25*($AZ$25/$B64),".")</f>
        <v>344678.125</v>
      </c>
      <c r="AY64" s="49">
        <f>IFERROR(up_RadSpec!$E$25*($AZ$25/$B64),".")</f>
        <v>344678.125</v>
      </c>
      <c r="AZ64" s="49">
        <f>IFERROR(up_RadSpec!$E$25*($AZ$25/$B64),".")</f>
        <v>344678.125</v>
      </c>
      <c r="BA64" s="60">
        <f t="shared" si="11"/>
        <v>17233906250</v>
      </c>
      <c r="BB64" s="60">
        <f t="shared" ref="BB64:BY64" si="82">IFERROR($B64/BB25,0)</f>
        <v>68935625000</v>
      </c>
      <c r="BC64" s="60">
        <f t="shared" si="82"/>
        <v>68935625000</v>
      </c>
      <c r="BD64" s="60">
        <f t="shared" si="82"/>
        <v>68935625000</v>
      </c>
      <c r="BE64" s="60">
        <f t="shared" si="82"/>
        <v>68935625000</v>
      </c>
      <c r="BF64" s="60">
        <f t="shared" si="82"/>
        <v>68935625000</v>
      </c>
      <c r="BG64" s="60">
        <f t="shared" si="82"/>
        <v>68935625000</v>
      </c>
      <c r="BH64" s="60">
        <f t="shared" si="82"/>
        <v>68935625000</v>
      </c>
      <c r="BI64" s="60">
        <f t="shared" si="82"/>
        <v>68935625000</v>
      </c>
      <c r="BJ64" s="60">
        <f t="shared" si="82"/>
        <v>68935625000</v>
      </c>
      <c r="BK64" s="60">
        <f t="shared" si="82"/>
        <v>68935625000</v>
      </c>
      <c r="BL64" s="60">
        <f t="shared" si="82"/>
        <v>68935625000</v>
      </c>
      <c r="BM64" s="60">
        <f t="shared" si="82"/>
        <v>68935625000</v>
      </c>
      <c r="BN64" s="60">
        <f t="shared" si="82"/>
        <v>68935625000</v>
      </c>
      <c r="BO64" s="60">
        <f t="shared" si="82"/>
        <v>68935625000</v>
      </c>
      <c r="BP64" s="60">
        <f t="shared" si="82"/>
        <v>68935625000</v>
      </c>
      <c r="BQ64" s="60">
        <f t="shared" si="82"/>
        <v>68935625000</v>
      </c>
      <c r="BR64" s="60">
        <f t="shared" si="82"/>
        <v>68935625000</v>
      </c>
      <c r="BS64" s="60">
        <f t="shared" si="82"/>
        <v>68935625000</v>
      </c>
      <c r="BT64" s="60">
        <f t="shared" si="82"/>
        <v>68935625000</v>
      </c>
      <c r="BU64" s="60">
        <f t="shared" si="82"/>
        <v>68935625000</v>
      </c>
      <c r="BV64" s="60">
        <f t="shared" si="82"/>
        <v>68935625000</v>
      </c>
      <c r="BW64" s="60">
        <f t="shared" si="82"/>
        <v>68935625000</v>
      </c>
      <c r="BX64" s="60">
        <f t="shared" si="82"/>
        <v>68935625000</v>
      </c>
      <c r="BY64" s="60">
        <f t="shared" si="82"/>
        <v>68935625000</v>
      </c>
      <c r="BZ64" s="49">
        <f t="shared" si="3"/>
        <v>1378712.5</v>
      </c>
      <c r="CA64" s="49">
        <f>IFERROR(up_RadSpec!$E$25*(CA25/$B64),".")</f>
        <v>344678.125</v>
      </c>
      <c r="CB64" s="49">
        <f>IFERROR(up_RadSpec!$E$25*(CB25/$B64),".")</f>
        <v>344678.125</v>
      </c>
      <c r="CC64" s="49">
        <f>IFERROR(up_RadSpec!$E$25*(CC25/$B64),".")</f>
        <v>344678.125</v>
      </c>
      <c r="CD64" s="49">
        <f>IFERROR(up_RadSpec!$E$25*(CD25/$B64),".")</f>
        <v>344678.125</v>
      </c>
      <c r="CE64" s="49">
        <f>IFERROR(up_RadSpec!$E$25*(CE25/$B64),".")</f>
        <v>344678.125</v>
      </c>
      <c r="CF64" s="49">
        <f>IFERROR(up_RadSpec!$E$25*(CF25/$B64),".")</f>
        <v>344678.125</v>
      </c>
      <c r="CG64" s="49">
        <f>IFERROR(up_RadSpec!$E$25*(CG25/$B64),".")</f>
        <v>344678.125</v>
      </c>
      <c r="CH64" s="49">
        <f>IFERROR(up_RadSpec!$E$25*(CH25/$B64),".")</f>
        <v>344678.125</v>
      </c>
      <c r="CI64" s="49">
        <f>IFERROR(up_RadSpec!$E$25*(CI25/$B64),".")</f>
        <v>344678.125</v>
      </c>
      <c r="CJ64" s="49">
        <f>IFERROR(up_RadSpec!$E$25*(CJ25/$B64),".")</f>
        <v>344678.125</v>
      </c>
      <c r="CK64" s="49">
        <f>IFERROR(up_RadSpec!$E$25*(CK25/$B64),".")</f>
        <v>344678.125</v>
      </c>
      <c r="CL64" s="49">
        <f>IFERROR(up_RadSpec!$E$25*(CL25/$B64),".")</f>
        <v>344678.125</v>
      </c>
      <c r="CM64" s="49">
        <f>IFERROR(up_RadSpec!$E$25*(CM25/$B64),".")</f>
        <v>344678.125</v>
      </c>
      <c r="CN64" s="49">
        <f>IFERROR(up_RadSpec!$E$25*(CN25/$B64),".")</f>
        <v>344678.125</v>
      </c>
      <c r="CO64" s="49">
        <f>IFERROR(up_RadSpec!$E$25*(CO25/$B64),".")</f>
        <v>344678.125</v>
      </c>
      <c r="CP64" s="49">
        <f>IFERROR(up_RadSpec!$E$25*(CP25/$B64),".")</f>
        <v>344678.125</v>
      </c>
      <c r="CQ64" s="49">
        <f>IFERROR(up_RadSpec!$E$25*(CQ25/$B64),".")</f>
        <v>344678.125</v>
      </c>
      <c r="CR64" s="49">
        <f>IFERROR(up_RadSpec!$E$25*(CR25/$B64),".")</f>
        <v>344678.125</v>
      </c>
      <c r="CS64" s="49">
        <f>IFERROR(up_RadSpec!$E$25*(CS25/$B64),".")</f>
        <v>344678.125</v>
      </c>
      <c r="CT64" s="49">
        <f>IFERROR(up_RadSpec!$E$25*(CT25/$B64),".")</f>
        <v>344678.125</v>
      </c>
      <c r="CU64" s="49">
        <f>IFERROR(up_RadSpec!$E$25*(CU25/$B64),".")</f>
        <v>344678.125</v>
      </c>
      <c r="CV64" s="49">
        <f>IFERROR(up_RadSpec!$E$25*(CV25/$B64),".")</f>
        <v>344678.125</v>
      </c>
      <c r="CW64" s="49">
        <f>IFERROR(up_RadSpec!$E$25*(CW25/$B64),".")</f>
        <v>344678.125</v>
      </c>
      <c r="CX64" s="49">
        <f>IFERROR(up_RadSpec!$E$25*(CX25/$B64),".")</f>
        <v>344678.125</v>
      </c>
    </row>
    <row r="65" spans="1:102" x14ac:dyDescent="0.25">
      <c r="A65" s="83" t="s">
        <v>1076</v>
      </c>
      <c r="B65" s="42">
        <v>1</v>
      </c>
      <c r="C65" s="60">
        <f t="shared" si="8"/>
        <v>3.6265718922545492E-12</v>
      </c>
      <c r="D65" s="60">
        <f t="shared" ref="D65:AA65" si="83">IFERROR(D21/$B51,0)</f>
        <v>1.4506287569018197E-11</v>
      </c>
      <c r="E65" s="60">
        <f t="shared" si="83"/>
        <v>1.4506287569018197E-11</v>
      </c>
      <c r="F65" s="60">
        <f t="shared" si="83"/>
        <v>1.4506287569018197E-11</v>
      </c>
      <c r="G65" s="60">
        <f t="shared" si="83"/>
        <v>1.4506287569018197E-11</v>
      </c>
      <c r="H65" s="60">
        <f t="shared" si="83"/>
        <v>1.4506287569018197E-11</v>
      </c>
      <c r="I65" s="60">
        <f t="shared" si="83"/>
        <v>1.4506287569018197E-11</v>
      </c>
      <c r="J65" s="60">
        <f t="shared" si="83"/>
        <v>1.4506287569018197E-11</v>
      </c>
      <c r="K65" s="60">
        <f t="shared" si="83"/>
        <v>1.4506287569018197E-11</v>
      </c>
      <c r="L65" s="60">
        <f t="shared" si="83"/>
        <v>1.4506287569018197E-11</v>
      </c>
      <c r="M65" s="60">
        <f t="shared" si="83"/>
        <v>1.4506287569018197E-11</v>
      </c>
      <c r="N65" s="60">
        <f t="shared" si="83"/>
        <v>1.4506287569018197E-11</v>
      </c>
      <c r="O65" s="60">
        <f t="shared" si="83"/>
        <v>1.4506287569018197E-11</v>
      </c>
      <c r="P65" s="60">
        <f t="shared" si="83"/>
        <v>1.4506287569018197E-11</v>
      </c>
      <c r="Q65" s="60">
        <f t="shared" si="83"/>
        <v>1.4506287569018197E-11</v>
      </c>
      <c r="R65" s="60">
        <f t="shared" si="83"/>
        <v>1.4506287569018197E-11</v>
      </c>
      <c r="S65" s="60">
        <f t="shared" si="83"/>
        <v>1.4506287569018197E-11</v>
      </c>
      <c r="T65" s="60">
        <f t="shared" si="83"/>
        <v>1.4506287569018197E-11</v>
      </c>
      <c r="U65" s="60">
        <f t="shared" si="83"/>
        <v>1.4506287569018197E-11</v>
      </c>
      <c r="V65" s="60">
        <f t="shared" si="83"/>
        <v>1.4506287569018197E-11</v>
      </c>
      <c r="W65" s="60">
        <f t="shared" si="83"/>
        <v>1.4506287569018197E-11</v>
      </c>
      <c r="X65" s="60">
        <f t="shared" si="83"/>
        <v>1.4506287569018197E-11</v>
      </c>
      <c r="Y65" s="60">
        <f t="shared" si="83"/>
        <v>1.4506287569018197E-11</v>
      </c>
      <c r="Z65" s="60">
        <f t="shared" si="83"/>
        <v>1.4506287569018197E-11</v>
      </c>
      <c r="AA65" s="60">
        <f t="shared" si="83"/>
        <v>1.4506287569018197E-11</v>
      </c>
      <c r="AB65" s="49">
        <f t="shared" si="81"/>
        <v>7927596.875</v>
      </c>
      <c r="AC65" s="49">
        <f>IFERROR(up_RadSpec!$E$21*($AZ$21/$B65),".")</f>
        <v>344678.125</v>
      </c>
      <c r="AD65" s="49">
        <f>IFERROR(up_RadSpec!$E$21*($AZ$21/$B65),".")</f>
        <v>344678.125</v>
      </c>
      <c r="AE65" s="49">
        <f>IFERROR(up_RadSpec!$E$21*($AZ$21/$B65),".")</f>
        <v>344678.125</v>
      </c>
      <c r="AF65" s="49">
        <f>IFERROR(up_RadSpec!$E$21*($AZ$21/$B65),".")</f>
        <v>344678.125</v>
      </c>
      <c r="AG65" s="49">
        <f>IFERROR(up_RadSpec!$E$21*($AZ$21/$B65),".")</f>
        <v>344678.125</v>
      </c>
      <c r="AH65" s="49">
        <f>IFERROR(up_RadSpec!$E$21*($AZ$21/$B65),".")</f>
        <v>344678.125</v>
      </c>
      <c r="AI65" s="49">
        <f>IFERROR(up_RadSpec!$E$21*($AZ$21/$B65),".")</f>
        <v>344678.125</v>
      </c>
      <c r="AJ65" s="49">
        <f>IFERROR(up_RadSpec!$E$21*($AZ$21/$B65),".")</f>
        <v>344678.125</v>
      </c>
      <c r="AK65" s="49">
        <f>IFERROR(up_RadSpec!$E$21*($AZ$21/$B65),".")</f>
        <v>344678.125</v>
      </c>
      <c r="AL65" s="49">
        <f>IFERROR(up_RadSpec!$E$21*($AZ$21/$B65),".")</f>
        <v>344678.125</v>
      </c>
      <c r="AM65" s="49">
        <f>IFERROR(up_RadSpec!$E$21*($AZ$21/$B65),".")</f>
        <v>344678.125</v>
      </c>
      <c r="AN65" s="49">
        <f>IFERROR(up_RadSpec!$E$21*($AZ$21/$B65),".")</f>
        <v>344678.125</v>
      </c>
      <c r="AO65" s="49">
        <f>IFERROR(up_RadSpec!$E$21*($AZ$21/$B65),".")</f>
        <v>344678.125</v>
      </c>
      <c r="AP65" s="49">
        <f>IFERROR(up_RadSpec!$E$21*($AZ$21/$B65),".")</f>
        <v>344678.125</v>
      </c>
      <c r="AQ65" s="49">
        <f>IFERROR(up_RadSpec!$E$21*($AZ$21/$B65),".")</f>
        <v>344678.125</v>
      </c>
      <c r="AR65" s="49">
        <f>IFERROR(up_RadSpec!$E$21*($AZ$21/$B65),".")</f>
        <v>344678.125</v>
      </c>
      <c r="AS65" s="49">
        <f>IFERROR(up_RadSpec!$E$21*($AZ$21/$B65),".")</f>
        <v>344678.125</v>
      </c>
      <c r="AT65" s="49">
        <f>IFERROR(up_RadSpec!$E$21*($AZ$21/$B65),".")</f>
        <v>344678.125</v>
      </c>
      <c r="AU65" s="49">
        <f>IFERROR(up_RadSpec!$E$21*($AZ$21/$B65),".")</f>
        <v>344678.125</v>
      </c>
      <c r="AV65" s="49">
        <f>IFERROR(up_RadSpec!$E$21*($AZ$21/$B65),".")</f>
        <v>344678.125</v>
      </c>
      <c r="AW65" s="49">
        <f>IFERROR(up_RadSpec!$E$21*($AZ$21/$B65),".")</f>
        <v>344678.125</v>
      </c>
      <c r="AX65" s="49">
        <f>IFERROR(up_RadSpec!$E$21*($AZ$21/$B65),".")</f>
        <v>344678.125</v>
      </c>
      <c r="AY65" s="49">
        <f>IFERROR(up_RadSpec!$E$21*($AZ$21/$B65),".")</f>
        <v>344678.125</v>
      </c>
      <c r="AZ65" s="49">
        <f>IFERROR(up_RadSpec!$E$21*($AZ$21/$B65),".")</f>
        <v>344678.125</v>
      </c>
      <c r="BA65" s="60">
        <f t="shared" si="11"/>
        <v>17233906250</v>
      </c>
      <c r="BB65" s="60">
        <f t="shared" ref="BB65:BY65" si="84">IFERROR($B65/BB21,0)</f>
        <v>68935625000</v>
      </c>
      <c r="BC65" s="60">
        <f t="shared" si="84"/>
        <v>68935625000</v>
      </c>
      <c r="BD65" s="60">
        <f t="shared" si="84"/>
        <v>68935625000</v>
      </c>
      <c r="BE65" s="60">
        <f t="shared" si="84"/>
        <v>68935625000</v>
      </c>
      <c r="BF65" s="60">
        <f t="shared" si="84"/>
        <v>68935625000</v>
      </c>
      <c r="BG65" s="60">
        <f t="shared" si="84"/>
        <v>68935625000</v>
      </c>
      <c r="BH65" s="60">
        <f t="shared" si="84"/>
        <v>68935625000</v>
      </c>
      <c r="BI65" s="60">
        <f t="shared" si="84"/>
        <v>68935625000</v>
      </c>
      <c r="BJ65" s="60">
        <f t="shared" si="84"/>
        <v>68935625000</v>
      </c>
      <c r="BK65" s="60">
        <f t="shared" si="84"/>
        <v>68935625000</v>
      </c>
      <c r="BL65" s="60">
        <f t="shared" si="84"/>
        <v>68935625000</v>
      </c>
      <c r="BM65" s="60">
        <f t="shared" si="84"/>
        <v>68935625000</v>
      </c>
      <c r="BN65" s="60">
        <f t="shared" si="84"/>
        <v>68935625000</v>
      </c>
      <c r="BO65" s="60">
        <f t="shared" si="84"/>
        <v>68935625000</v>
      </c>
      <c r="BP65" s="60">
        <f t="shared" si="84"/>
        <v>68935625000</v>
      </c>
      <c r="BQ65" s="60">
        <f t="shared" si="84"/>
        <v>68935625000</v>
      </c>
      <c r="BR65" s="60">
        <f t="shared" si="84"/>
        <v>68935625000</v>
      </c>
      <c r="BS65" s="60">
        <f t="shared" si="84"/>
        <v>68935625000</v>
      </c>
      <c r="BT65" s="60">
        <f t="shared" si="84"/>
        <v>68935625000</v>
      </c>
      <c r="BU65" s="60">
        <f t="shared" si="84"/>
        <v>68935625000</v>
      </c>
      <c r="BV65" s="60">
        <f t="shared" si="84"/>
        <v>68935625000</v>
      </c>
      <c r="BW65" s="60">
        <f t="shared" si="84"/>
        <v>68935625000</v>
      </c>
      <c r="BX65" s="60">
        <f t="shared" si="84"/>
        <v>68935625000</v>
      </c>
      <c r="BY65" s="60">
        <f t="shared" si="84"/>
        <v>68935625000</v>
      </c>
      <c r="BZ65" s="49">
        <f t="shared" si="3"/>
        <v>1378712.5</v>
      </c>
      <c r="CA65" s="49">
        <f>IFERROR(up_RadSpec!$E$21*(CA21/$B65),".")</f>
        <v>344678.125</v>
      </c>
      <c r="CB65" s="49">
        <f>IFERROR(up_RadSpec!$E$21*(CB21/$B65),".")</f>
        <v>344678.125</v>
      </c>
      <c r="CC65" s="49">
        <f>IFERROR(up_RadSpec!$E$21*(CC21/$B65),".")</f>
        <v>344678.125</v>
      </c>
      <c r="CD65" s="49">
        <f>IFERROR(up_RadSpec!$E$21*(CD21/$B65),".")</f>
        <v>344678.125</v>
      </c>
      <c r="CE65" s="49">
        <f>IFERROR(up_RadSpec!$E$21*(CE21/$B65),".")</f>
        <v>344678.125</v>
      </c>
      <c r="CF65" s="49">
        <f>IFERROR(up_RadSpec!$E$21*(CF21/$B65),".")</f>
        <v>344678.125</v>
      </c>
      <c r="CG65" s="49">
        <f>IFERROR(up_RadSpec!$E$21*(CG21/$B65),".")</f>
        <v>344678.125</v>
      </c>
      <c r="CH65" s="49">
        <f>IFERROR(up_RadSpec!$E$21*(CH21/$B65),".")</f>
        <v>344678.125</v>
      </c>
      <c r="CI65" s="49">
        <f>IFERROR(up_RadSpec!$E$21*(CI21/$B65),".")</f>
        <v>344678.125</v>
      </c>
      <c r="CJ65" s="49">
        <f>IFERROR(up_RadSpec!$E$21*(CJ21/$B65),".")</f>
        <v>344678.125</v>
      </c>
      <c r="CK65" s="49">
        <f>IFERROR(up_RadSpec!$E$21*(CK21/$B65),".")</f>
        <v>344678.125</v>
      </c>
      <c r="CL65" s="49">
        <f>IFERROR(up_RadSpec!$E$21*(CL21/$B65),".")</f>
        <v>344678.125</v>
      </c>
      <c r="CM65" s="49">
        <f>IFERROR(up_RadSpec!$E$21*(CM21/$B65),".")</f>
        <v>344678.125</v>
      </c>
      <c r="CN65" s="49">
        <f>IFERROR(up_RadSpec!$E$21*(CN21/$B65),".")</f>
        <v>344678.125</v>
      </c>
      <c r="CO65" s="49">
        <f>IFERROR(up_RadSpec!$E$21*(CO21/$B65),".")</f>
        <v>344678.125</v>
      </c>
      <c r="CP65" s="49">
        <f>IFERROR(up_RadSpec!$E$21*(CP21/$B65),".")</f>
        <v>344678.125</v>
      </c>
      <c r="CQ65" s="49">
        <f>IFERROR(up_RadSpec!$E$21*(CQ21/$B65),".")</f>
        <v>344678.125</v>
      </c>
      <c r="CR65" s="49">
        <f>IFERROR(up_RadSpec!$E$21*(CR21/$B65),".")</f>
        <v>344678.125</v>
      </c>
      <c r="CS65" s="49">
        <f>IFERROR(up_RadSpec!$E$21*(CS21/$B65),".")</f>
        <v>344678.125</v>
      </c>
      <c r="CT65" s="49">
        <f>IFERROR(up_RadSpec!$E$21*(CT21/$B65),".")</f>
        <v>344678.125</v>
      </c>
      <c r="CU65" s="49">
        <f>IFERROR(up_RadSpec!$E$21*(CU21/$B65),".")</f>
        <v>344678.125</v>
      </c>
      <c r="CV65" s="49">
        <f>IFERROR(up_RadSpec!$E$21*(CV21/$B65),".")</f>
        <v>344678.125</v>
      </c>
      <c r="CW65" s="49">
        <f>IFERROR(up_RadSpec!$E$21*(CW21/$B65),".")</f>
        <v>344678.125</v>
      </c>
      <c r="CX65" s="49">
        <f>IFERROR(up_RadSpec!$E$21*(CX21/$B65),".")</f>
        <v>344678.125</v>
      </c>
    </row>
    <row r="66" spans="1:102" x14ac:dyDescent="0.25">
      <c r="A66" s="83" t="s">
        <v>1077</v>
      </c>
      <c r="B66" s="85">
        <v>0.99980000000000002</v>
      </c>
      <c r="C66" s="60">
        <f t="shared" si="8"/>
        <v>3.6272973517248939E-12</v>
      </c>
      <c r="D66" s="60">
        <f t="shared" ref="D66:AA66" si="85">IFERROR(D17/$B52,0)</f>
        <v>1.4509189406899576E-11</v>
      </c>
      <c r="E66" s="60">
        <f t="shared" si="85"/>
        <v>1.4509189406899576E-11</v>
      </c>
      <c r="F66" s="60">
        <f t="shared" si="85"/>
        <v>1.4509189406899576E-11</v>
      </c>
      <c r="G66" s="60">
        <f t="shared" si="85"/>
        <v>1.4509189406899576E-11</v>
      </c>
      <c r="H66" s="60">
        <f t="shared" si="85"/>
        <v>1.4509189406899576E-11</v>
      </c>
      <c r="I66" s="60">
        <f t="shared" si="85"/>
        <v>1.4509189406899576E-11</v>
      </c>
      <c r="J66" s="60">
        <f t="shared" si="85"/>
        <v>1.4509189406899576E-11</v>
      </c>
      <c r="K66" s="60">
        <f t="shared" si="85"/>
        <v>1.4509189406899576E-11</v>
      </c>
      <c r="L66" s="60">
        <f t="shared" si="85"/>
        <v>1.4509189406899576E-11</v>
      </c>
      <c r="M66" s="60">
        <f t="shared" si="85"/>
        <v>1.4509189406899576E-11</v>
      </c>
      <c r="N66" s="60">
        <f t="shared" si="85"/>
        <v>1.4509189406899576E-11</v>
      </c>
      <c r="O66" s="60">
        <f t="shared" si="85"/>
        <v>1.4509189406899576E-11</v>
      </c>
      <c r="P66" s="60">
        <f t="shared" si="85"/>
        <v>1.4509189406899576E-11</v>
      </c>
      <c r="Q66" s="60">
        <f t="shared" si="85"/>
        <v>1.4509189406899576E-11</v>
      </c>
      <c r="R66" s="60">
        <f t="shared" si="85"/>
        <v>1.4509189406899576E-11</v>
      </c>
      <c r="S66" s="60">
        <f t="shared" si="85"/>
        <v>1.4509189406899576E-11</v>
      </c>
      <c r="T66" s="60">
        <f t="shared" si="85"/>
        <v>1.4509189406899576E-11</v>
      </c>
      <c r="U66" s="60">
        <f t="shared" si="85"/>
        <v>1.4509189406899576E-11</v>
      </c>
      <c r="V66" s="60">
        <f t="shared" si="85"/>
        <v>1.4509189406899576E-11</v>
      </c>
      <c r="W66" s="60">
        <f t="shared" si="85"/>
        <v>1.4509189406899576E-11</v>
      </c>
      <c r="X66" s="60">
        <f t="shared" si="85"/>
        <v>1.4509189406899576E-11</v>
      </c>
      <c r="Y66" s="60">
        <f t="shared" si="85"/>
        <v>1.4509189406899576E-11</v>
      </c>
      <c r="Z66" s="60">
        <f t="shared" si="85"/>
        <v>1.4509189406899576E-11</v>
      </c>
      <c r="AA66" s="60">
        <f t="shared" si="85"/>
        <v>1.4509189406899576E-11</v>
      </c>
      <c r="AB66" s="49">
        <f t="shared" si="81"/>
        <v>7929182.7115423055</v>
      </c>
      <c r="AC66" s="49">
        <f>IFERROR(up_RadSpec!$E$17*($AZ$17/$B66),".")</f>
        <v>344747.07441488293</v>
      </c>
      <c r="AD66" s="49">
        <f>IFERROR(up_RadSpec!$E$17*($AZ$17/$B66),".")</f>
        <v>344747.07441488293</v>
      </c>
      <c r="AE66" s="49">
        <f>IFERROR(up_RadSpec!$E$17*($AZ$17/$B66),".")</f>
        <v>344747.07441488293</v>
      </c>
      <c r="AF66" s="49">
        <f>IFERROR(up_RadSpec!$E$17*($AZ$17/$B66),".")</f>
        <v>344747.07441488293</v>
      </c>
      <c r="AG66" s="49">
        <f>IFERROR(up_RadSpec!$E$17*($AZ$17/$B66),".")</f>
        <v>344747.07441488293</v>
      </c>
      <c r="AH66" s="49">
        <f>IFERROR(up_RadSpec!$E$17*($AZ$17/$B66),".")</f>
        <v>344747.07441488293</v>
      </c>
      <c r="AI66" s="49">
        <f>IFERROR(up_RadSpec!$E$17*($AZ$17/$B66),".")</f>
        <v>344747.07441488293</v>
      </c>
      <c r="AJ66" s="49">
        <f>IFERROR(up_RadSpec!$E$17*($AZ$17/$B66),".")</f>
        <v>344747.07441488293</v>
      </c>
      <c r="AK66" s="49">
        <f>IFERROR(up_RadSpec!$E$17*($AZ$17/$B66),".")</f>
        <v>344747.07441488293</v>
      </c>
      <c r="AL66" s="49">
        <f>IFERROR(up_RadSpec!$E$17*($AZ$17/$B66),".")</f>
        <v>344747.07441488293</v>
      </c>
      <c r="AM66" s="49">
        <f>IFERROR(up_RadSpec!$E$17*($AZ$17/$B66),".")</f>
        <v>344747.07441488293</v>
      </c>
      <c r="AN66" s="49">
        <f>IFERROR(up_RadSpec!$E$17*($AZ$17/$B66),".")</f>
        <v>344747.07441488293</v>
      </c>
      <c r="AO66" s="49">
        <f>IFERROR(up_RadSpec!$E$17*($AZ$17/$B66),".")</f>
        <v>344747.07441488293</v>
      </c>
      <c r="AP66" s="49">
        <f>IFERROR(up_RadSpec!$E$17*($AZ$17/$B66),".")</f>
        <v>344747.07441488293</v>
      </c>
      <c r="AQ66" s="49">
        <f>IFERROR(up_RadSpec!$E$17*($AZ$17/$B66),".")</f>
        <v>344747.07441488293</v>
      </c>
      <c r="AR66" s="49">
        <f>IFERROR(up_RadSpec!$E$17*($AZ$17/$B66),".")</f>
        <v>344747.07441488293</v>
      </c>
      <c r="AS66" s="49">
        <f>IFERROR(up_RadSpec!$E$17*($AZ$17/$B66),".")</f>
        <v>344747.07441488293</v>
      </c>
      <c r="AT66" s="49">
        <f>IFERROR(up_RadSpec!$E$17*($AZ$17/$B66),".")</f>
        <v>344747.07441488293</v>
      </c>
      <c r="AU66" s="49">
        <f>IFERROR(up_RadSpec!$E$17*($AZ$17/$B66),".")</f>
        <v>344747.07441488293</v>
      </c>
      <c r="AV66" s="49">
        <f>IFERROR(up_RadSpec!$E$17*($AZ$17/$B66),".")</f>
        <v>344747.07441488293</v>
      </c>
      <c r="AW66" s="49">
        <f>IFERROR(up_RadSpec!$E$17*($AZ$17/$B66),".")</f>
        <v>344747.07441488293</v>
      </c>
      <c r="AX66" s="49">
        <f>IFERROR(up_RadSpec!$E$17*($AZ$17/$B66),".")</f>
        <v>344747.07441488293</v>
      </c>
      <c r="AY66" s="49">
        <f>IFERROR(up_RadSpec!$E$17*($AZ$17/$B66),".")</f>
        <v>344747.07441488293</v>
      </c>
      <c r="AZ66" s="49">
        <f>IFERROR(up_RadSpec!$E$17*($AZ$17/$B66),".")</f>
        <v>344747.07441488293</v>
      </c>
      <c r="BA66" s="60">
        <f t="shared" si="11"/>
        <v>17230459468.75</v>
      </c>
      <c r="BB66" s="60">
        <f t="shared" ref="BB66:BY66" si="86">IFERROR($B66/BB17,0)</f>
        <v>68921837875</v>
      </c>
      <c r="BC66" s="60">
        <f t="shared" si="86"/>
        <v>68921837875</v>
      </c>
      <c r="BD66" s="60">
        <f t="shared" si="86"/>
        <v>68921837875</v>
      </c>
      <c r="BE66" s="60">
        <f t="shared" si="86"/>
        <v>68921837875</v>
      </c>
      <c r="BF66" s="60">
        <f t="shared" si="86"/>
        <v>68921837875</v>
      </c>
      <c r="BG66" s="60">
        <f t="shared" si="86"/>
        <v>68921837875</v>
      </c>
      <c r="BH66" s="60">
        <f t="shared" si="86"/>
        <v>68921837875</v>
      </c>
      <c r="BI66" s="60">
        <f t="shared" si="86"/>
        <v>68921837875</v>
      </c>
      <c r="BJ66" s="60">
        <f t="shared" si="86"/>
        <v>68921837875</v>
      </c>
      <c r="BK66" s="60">
        <f t="shared" si="86"/>
        <v>68921837875</v>
      </c>
      <c r="BL66" s="60">
        <f t="shared" si="86"/>
        <v>68921837875</v>
      </c>
      <c r="BM66" s="60">
        <f t="shared" si="86"/>
        <v>68921837875</v>
      </c>
      <c r="BN66" s="60">
        <f t="shared" si="86"/>
        <v>68921837875</v>
      </c>
      <c r="BO66" s="60">
        <f t="shared" si="86"/>
        <v>68921837875</v>
      </c>
      <c r="BP66" s="60">
        <f t="shared" si="86"/>
        <v>68921837875</v>
      </c>
      <c r="BQ66" s="60">
        <f t="shared" si="86"/>
        <v>68921837875</v>
      </c>
      <c r="BR66" s="60">
        <f t="shared" si="86"/>
        <v>68921837875</v>
      </c>
      <c r="BS66" s="60">
        <f t="shared" si="86"/>
        <v>68921837875</v>
      </c>
      <c r="BT66" s="60">
        <f t="shared" si="86"/>
        <v>68921837875</v>
      </c>
      <c r="BU66" s="60">
        <f t="shared" si="86"/>
        <v>68921837875</v>
      </c>
      <c r="BV66" s="60">
        <f t="shared" si="86"/>
        <v>68921837875</v>
      </c>
      <c r="BW66" s="60">
        <f t="shared" si="86"/>
        <v>68921837875</v>
      </c>
      <c r="BX66" s="60">
        <f t="shared" si="86"/>
        <v>68921837875</v>
      </c>
      <c r="BY66" s="60">
        <f t="shared" si="86"/>
        <v>68921837875</v>
      </c>
      <c r="BZ66" s="49">
        <f t="shared" si="3"/>
        <v>1378988.2976595317</v>
      </c>
      <c r="CA66" s="49">
        <f>IFERROR(up_RadSpec!$E$17*(CA17/$B66),".")</f>
        <v>344747.07441488293</v>
      </c>
      <c r="CB66" s="49">
        <f>IFERROR(up_RadSpec!$E$17*(CB17/$B66),".")</f>
        <v>344747.07441488293</v>
      </c>
      <c r="CC66" s="49">
        <f>IFERROR(up_RadSpec!$E$17*(CC17/$B66),".")</f>
        <v>344747.07441488293</v>
      </c>
      <c r="CD66" s="49">
        <f>IFERROR(up_RadSpec!$E$17*(CD17/$B66),".")</f>
        <v>344747.07441488293</v>
      </c>
      <c r="CE66" s="49">
        <f>IFERROR(up_RadSpec!$E$17*(CE17/$B66),".")</f>
        <v>344747.07441488293</v>
      </c>
      <c r="CF66" s="49">
        <f>IFERROR(up_RadSpec!$E$17*(CF17/$B66),".")</f>
        <v>344747.07441488293</v>
      </c>
      <c r="CG66" s="49">
        <f>IFERROR(up_RadSpec!$E$17*(CG17/$B66),".")</f>
        <v>344747.07441488293</v>
      </c>
      <c r="CH66" s="49">
        <f>IFERROR(up_RadSpec!$E$17*(CH17/$B66),".")</f>
        <v>344747.07441488293</v>
      </c>
      <c r="CI66" s="49">
        <f>IFERROR(up_RadSpec!$E$17*(CI17/$B66),".")</f>
        <v>344747.07441488293</v>
      </c>
      <c r="CJ66" s="49">
        <f>IFERROR(up_RadSpec!$E$17*(CJ17/$B66),".")</f>
        <v>344747.07441488293</v>
      </c>
      <c r="CK66" s="49">
        <f>IFERROR(up_RadSpec!$E$17*(CK17/$B66),".")</f>
        <v>344747.07441488293</v>
      </c>
      <c r="CL66" s="49">
        <f>IFERROR(up_RadSpec!$E$17*(CL17/$B66),".")</f>
        <v>344747.07441488293</v>
      </c>
      <c r="CM66" s="49">
        <f>IFERROR(up_RadSpec!$E$17*(CM17/$B66),".")</f>
        <v>344747.07441488293</v>
      </c>
      <c r="CN66" s="49">
        <f>IFERROR(up_RadSpec!$E$17*(CN17/$B66),".")</f>
        <v>344747.07441488293</v>
      </c>
      <c r="CO66" s="49">
        <f>IFERROR(up_RadSpec!$E$17*(CO17/$B66),".")</f>
        <v>344747.07441488293</v>
      </c>
      <c r="CP66" s="49">
        <f>IFERROR(up_RadSpec!$E$17*(CP17/$B66),".")</f>
        <v>344747.07441488293</v>
      </c>
      <c r="CQ66" s="49">
        <f>IFERROR(up_RadSpec!$E$17*(CQ17/$B66),".")</f>
        <v>344747.07441488293</v>
      </c>
      <c r="CR66" s="49">
        <f>IFERROR(up_RadSpec!$E$17*(CR17/$B66),".")</f>
        <v>344747.07441488293</v>
      </c>
      <c r="CS66" s="49">
        <f>IFERROR(up_RadSpec!$E$17*(CS17/$B66),".")</f>
        <v>344747.07441488293</v>
      </c>
      <c r="CT66" s="49">
        <f>IFERROR(up_RadSpec!$E$17*(CT17/$B66),".")</f>
        <v>344747.07441488293</v>
      </c>
      <c r="CU66" s="49">
        <f>IFERROR(up_RadSpec!$E$17*(CU17/$B66),".")</f>
        <v>344747.07441488293</v>
      </c>
      <c r="CV66" s="49">
        <f>IFERROR(up_RadSpec!$E$17*(CV17/$B66),".")</f>
        <v>344747.07441488293</v>
      </c>
      <c r="CW66" s="49">
        <f>IFERROR(up_RadSpec!$E$17*(CW17/$B66),".")</f>
        <v>344747.07441488293</v>
      </c>
      <c r="CX66" s="49">
        <f>IFERROR(up_RadSpec!$E$17*(CX17/$B66),".")</f>
        <v>344747.07441488293</v>
      </c>
    </row>
    <row r="67" spans="1:102" x14ac:dyDescent="0.25">
      <c r="A67" s="83" t="s">
        <v>1091</v>
      </c>
      <c r="B67" s="42">
        <v>2.0000000000000001E-4</v>
      </c>
      <c r="C67" s="60">
        <f t="shared" si="8"/>
        <v>1.8132859461272745E-8</v>
      </c>
      <c r="D67" s="60">
        <f t="shared" ref="D67:AA67" si="87">IFERROR(D5/$B53,0)</f>
        <v>7.2531437845090978E-8</v>
      </c>
      <c r="E67" s="60">
        <f t="shared" si="87"/>
        <v>7.2531437845090978E-8</v>
      </c>
      <c r="F67" s="60">
        <f t="shared" si="87"/>
        <v>7.2531437845090978E-8</v>
      </c>
      <c r="G67" s="60">
        <f t="shared" si="87"/>
        <v>7.2531437845090978E-8</v>
      </c>
      <c r="H67" s="60">
        <f t="shared" si="87"/>
        <v>7.2531437845090978E-8</v>
      </c>
      <c r="I67" s="60">
        <f t="shared" si="87"/>
        <v>7.2531437845090978E-8</v>
      </c>
      <c r="J67" s="60">
        <f t="shared" si="87"/>
        <v>7.2531437845090978E-8</v>
      </c>
      <c r="K67" s="60">
        <f t="shared" si="87"/>
        <v>7.2531437845090978E-8</v>
      </c>
      <c r="L67" s="60">
        <f t="shared" si="87"/>
        <v>7.2531437845090978E-8</v>
      </c>
      <c r="M67" s="60">
        <f t="shared" si="87"/>
        <v>7.2531437845090978E-8</v>
      </c>
      <c r="N67" s="60">
        <f t="shared" si="87"/>
        <v>7.2531437845090978E-8</v>
      </c>
      <c r="O67" s="60">
        <f t="shared" si="87"/>
        <v>7.2531437845090978E-8</v>
      </c>
      <c r="P67" s="60">
        <f t="shared" si="87"/>
        <v>7.2531437845090978E-8</v>
      </c>
      <c r="Q67" s="60">
        <f t="shared" si="87"/>
        <v>7.2531437845090978E-8</v>
      </c>
      <c r="R67" s="60">
        <f t="shared" si="87"/>
        <v>7.2531437845090978E-8</v>
      </c>
      <c r="S67" s="60">
        <f t="shared" si="87"/>
        <v>7.2531437845090978E-8</v>
      </c>
      <c r="T67" s="60">
        <f t="shared" si="87"/>
        <v>7.2531437845090978E-8</v>
      </c>
      <c r="U67" s="60">
        <f t="shared" si="87"/>
        <v>7.2531437845090978E-8</v>
      </c>
      <c r="V67" s="60">
        <f t="shared" si="87"/>
        <v>7.2531437845090978E-8</v>
      </c>
      <c r="W67" s="60">
        <f t="shared" si="87"/>
        <v>7.2531437845090978E-8</v>
      </c>
      <c r="X67" s="60">
        <f t="shared" si="87"/>
        <v>7.2531437845090978E-8</v>
      </c>
      <c r="Y67" s="60">
        <f t="shared" si="87"/>
        <v>7.2531437845090978E-8</v>
      </c>
      <c r="Z67" s="60">
        <f t="shared" si="87"/>
        <v>7.2531437845090978E-8</v>
      </c>
      <c r="AA67" s="60">
        <f t="shared" si="87"/>
        <v>7.2531437845090978E-8</v>
      </c>
      <c r="AB67" s="49">
        <f t="shared" si="81"/>
        <v>39637984375</v>
      </c>
      <c r="AC67" s="49">
        <f>IFERROR(up_RadSpec!$E$5*($AZ$5/$B67),".")</f>
        <v>1723390625</v>
      </c>
      <c r="AD67" s="49">
        <f>IFERROR(up_RadSpec!$E$5*($AZ$5/$B67),".")</f>
        <v>1723390625</v>
      </c>
      <c r="AE67" s="49">
        <f>IFERROR(up_RadSpec!$E$5*($AZ$5/$B67),".")</f>
        <v>1723390625</v>
      </c>
      <c r="AF67" s="49">
        <f>IFERROR(up_RadSpec!$E$5*($AZ$5/$B67),".")</f>
        <v>1723390625</v>
      </c>
      <c r="AG67" s="49">
        <f>IFERROR(up_RadSpec!$E$5*($AZ$5/$B67),".")</f>
        <v>1723390625</v>
      </c>
      <c r="AH67" s="49">
        <f>IFERROR(up_RadSpec!$E$5*($AZ$5/$B67),".")</f>
        <v>1723390625</v>
      </c>
      <c r="AI67" s="49">
        <f>IFERROR(up_RadSpec!$E$5*($AZ$5/$B67),".")</f>
        <v>1723390625</v>
      </c>
      <c r="AJ67" s="49">
        <f>IFERROR(up_RadSpec!$E$5*($AZ$5/$B67),".")</f>
        <v>1723390625</v>
      </c>
      <c r="AK67" s="49">
        <f>IFERROR(up_RadSpec!$E$5*($AZ$5/$B67),".")</f>
        <v>1723390625</v>
      </c>
      <c r="AL67" s="49">
        <f>IFERROR(up_RadSpec!$E$5*($AZ$5/$B67),".")</f>
        <v>1723390625</v>
      </c>
      <c r="AM67" s="49">
        <f>IFERROR(up_RadSpec!$E$5*($AZ$5/$B67),".")</f>
        <v>1723390625</v>
      </c>
      <c r="AN67" s="49">
        <f>IFERROR(up_RadSpec!$E$5*($AZ$5/$B67),".")</f>
        <v>1723390625</v>
      </c>
      <c r="AO67" s="49">
        <f>IFERROR(up_RadSpec!$E$5*($AZ$5/$B67),".")</f>
        <v>1723390625</v>
      </c>
      <c r="AP67" s="49">
        <f>IFERROR(up_RadSpec!$E$5*($AZ$5/$B67),".")</f>
        <v>1723390625</v>
      </c>
      <c r="AQ67" s="49">
        <f>IFERROR(up_RadSpec!$E$5*($AZ$5/$B67),".")</f>
        <v>1723390625</v>
      </c>
      <c r="AR67" s="49">
        <f>IFERROR(up_RadSpec!$E$5*($AZ$5/$B67),".")</f>
        <v>1723390625</v>
      </c>
      <c r="AS67" s="49">
        <f>IFERROR(up_RadSpec!$E$5*($AZ$5/$B67),".")</f>
        <v>1723390625</v>
      </c>
      <c r="AT67" s="49">
        <f>IFERROR(up_RadSpec!$E$5*($AZ$5/$B67),".")</f>
        <v>1723390625</v>
      </c>
      <c r="AU67" s="49">
        <f>IFERROR(up_RadSpec!$E$5*($AZ$5/$B67),".")</f>
        <v>1723390625</v>
      </c>
      <c r="AV67" s="49">
        <f>IFERROR(up_RadSpec!$E$5*($AZ$5/$B67),".")</f>
        <v>1723390625</v>
      </c>
      <c r="AW67" s="49">
        <f>IFERROR(up_RadSpec!$E$5*($AZ$5/$B67),".")</f>
        <v>1723390625</v>
      </c>
      <c r="AX67" s="49">
        <f>IFERROR(up_RadSpec!$E$5*($AZ$5/$B67),".")</f>
        <v>1723390625</v>
      </c>
      <c r="AY67" s="49">
        <f>IFERROR(up_RadSpec!$E$5*($AZ$5/$B67),".")</f>
        <v>1723390625</v>
      </c>
      <c r="AZ67" s="49">
        <f>IFERROR(up_RadSpec!$E$5*($AZ$5/$B67),".")</f>
        <v>1723390625</v>
      </c>
      <c r="BA67" s="60">
        <f t="shared" si="11"/>
        <v>3446781.25</v>
      </c>
      <c r="BB67" s="60">
        <f t="shared" ref="BB67:BY67" si="88">IFERROR($B67/BB5,0)</f>
        <v>13787125</v>
      </c>
      <c r="BC67" s="60">
        <f t="shared" si="88"/>
        <v>13787125</v>
      </c>
      <c r="BD67" s="60">
        <f t="shared" si="88"/>
        <v>13787125</v>
      </c>
      <c r="BE67" s="60">
        <f t="shared" si="88"/>
        <v>13787125</v>
      </c>
      <c r="BF67" s="60">
        <f t="shared" si="88"/>
        <v>13787125</v>
      </c>
      <c r="BG67" s="60">
        <f t="shared" si="88"/>
        <v>13787125</v>
      </c>
      <c r="BH67" s="60">
        <f t="shared" si="88"/>
        <v>13787125</v>
      </c>
      <c r="BI67" s="60">
        <f t="shared" si="88"/>
        <v>13787125</v>
      </c>
      <c r="BJ67" s="60">
        <f t="shared" si="88"/>
        <v>13787125</v>
      </c>
      <c r="BK67" s="60">
        <f t="shared" si="88"/>
        <v>13787125</v>
      </c>
      <c r="BL67" s="60">
        <f t="shared" si="88"/>
        <v>13787125</v>
      </c>
      <c r="BM67" s="60">
        <f t="shared" si="88"/>
        <v>13787125</v>
      </c>
      <c r="BN67" s="60">
        <f t="shared" si="88"/>
        <v>13787125</v>
      </c>
      <c r="BO67" s="60">
        <f t="shared" si="88"/>
        <v>13787125</v>
      </c>
      <c r="BP67" s="60">
        <f t="shared" si="88"/>
        <v>13787125</v>
      </c>
      <c r="BQ67" s="60">
        <f t="shared" si="88"/>
        <v>13787125</v>
      </c>
      <c r="BR67" s="60">
        <f t="shared" si="88"/>
        <v>13787125</v>
      </c>
      <c r="BS67" s="60">
        <f t="shared" si="88"/>
        <v>13787125</v>
      </c>
      <c r="BT67" s="60">
        <f t="shared" si="88"/>
        <v>13787125</v>
      </c>
      <c r="BU67" s="60">
        <f t="shared" si="88"/>
        <v>13787125</v>
      </c>
      <c r="BV67" s="60">
        <f t="shared" si="88"/>
        <v>13787125</v>
      </c>
      <c r="BW67" s="60">
        <f t="shared" si="88"/>
        <v>13787125</v>
      </c>
      <c r="BX67" s="60">
        <f t="shared" si="88"/>
        <v>13787125</v>
      </c>
      <c r="BY67" s="60">
        <f t="shared" si="88"/>
        <v>13787125</v>
      </c>
      <c r="BZ67" s="49">
        <f t="shared" ref="BZ67:BZ76" si="89">SUM(CA67:CB67,CW67:CX67)</f>
        <v>6893562500</v>
      </c>
      <c r="CA67" s="49">
        <f>IFERROR(up_RadSpec!$E$5*(CA5/$B67),".")</f>
        <v>1723390625</v>
      </c>
      <c r="CB67" s="49">
        <f>IFERROR(up_RadSpec!$E$5*(CB5/$B67),".")</f>
        <v>1723390625</v>
      </c>
      <c r="CC67" s="49">
        <f>IFERROR(up_RadSpec!$E$5*(CC5/$B67),".")</f>
        <v>1723390625</v>
      </c>
      <c r="CD67" s="49">
        <f>IFERROR(up_RadSpec!$E$5*(CD5/$B67),".")</f>
        <v>1723390625</v>
      </c>
      <c r="CE67" s="49">
        <f>IFERROR(up_RadSpec!$E$5*(CE5/$B67),".")</f>
        <v>1723390625</v>
      </c>
      <c r="CF67" s="49">
        <f>IFERROR(up_RadSpec!$E$5*(CF5/$B67),".")</f>
        <v>1723390625</v>
      </c>
      <c r="CG67" s="49">
        <f>IFERROR(up_RadSpec!$E$5*(CG5/$B67),".")</f>
        <v>1723390625</v>
      </c>
      <c r="CH67" s="49">
        <f>IFERROR(up_RadSpec!$E$5*(CH5/$B67),".")</f>
        <v>1723390625</v>
      </c>
      <c r="CI67" s="49">
        <f>IFERROR(up_RadSpec!$E$5*(CI5/$B67),".")</f>
        <v>1723390625</v>
      </c>
      <c r="CJ67" s="49">
        <f>IFERROR(up_RadSpec!$E$5*(CJ5/$B67),".")</f>
        <v>1723390625</v>
      </c>
      <c r="CK67" s="49">
        <f>IFERROR(up_RadSpec!$E$5*(CK5/$B67),".")</f>
        <v>1723390625</v>
      </c>
      <c r="CL67" s="49">
        <f>IFERROR(up_RadSpec!$E$5*(CL5/$B67),".")</f>
        <v>1723390625</v>
      </c>
      <c r="CM67" s="49">
        <f>IFERROR(up_RadSpec!$E$5*(CM5/$B67),".")</f>
        <v>1723390625</v>
      </c>
      <c r="CN67" s="49">
        <f>IFERROR(up_RadSpec!$E$5*(CN5/$B67),".")</f>
        <v>1723390625</v>
      </c>
      <c r="CO67" s="49">
        <f>IFERROR(up_RadSpec!$E$5*(CO5/$B67),".")</f>
        <v>1723390625</v>
      </c>
      <c r="CP67" s="49">
        <f>IFERROR(up_RadSpec!$E$5*(CP5/$B67),".")</f>
        <v>1723390625</v>
      </c>
      <c r="CQ67" s="49">
        <f>IFERROR(up_RadSpec!$E$5*(CQ5/$B67),".")</f>
        <v>1723390625</v>
      </c>
      <c r="CR67" s="49">
        <f>IFERROR(up_RadSpec!$E$5*(CR5/$B67),".")</f>
        <v>1723390625</v>
      </c>
      <c r="CS67" s="49">
        <f>IFERROR(up_RadSpec!$E$5*(CS5/$B67),".")</f>
        <v>1723390625</v>
      </c>
      <c r="CT67" s="49">
        <f>IFERROR(up_RadSpec!$E$5*(CT5/$B67),".")</f>
        <v>1723390625</v>
      </c>
      <c r="CU67" s="49">
        <f>IFERROR(up_RadSpec!$E$5*(CU5/$B67),".")</f>
        <v>1723390625</v>
      </c>
      <c r="CV67" s="49">
        <f>IFERROR(up_RadSpec!$E$5*(CV5/$B67),".")</f>
        <v>1723390625</v>
      </c>
      <c r="CW67" s="49">
        <f>IFERROR(up_RadSpec!$E$5*(CW5/$B67),".")</f>
        <v>1723390625</v>
      </c>
      <c r="CX67" s="49">
        <f>IFERROR(up_RadSpec!$E$5*(CX5/$B67),".")</f>
        <v>1723390625</v>
      </c>
    </row>
    <row r="68" spans="1:102" x14ac:dyDescent="0.25">
      <c r="A68" s="83" t="s">
        <v>1092</v>
      </c>
      <c r="B68" s="42">
        <v>0.99999979999999999</v>
      </c>
      <c r="C68" s="60">
        <f t="shared" si="8"/>
        <v>3.6265726175690725E-12</v>
      </c>
      <c r="D68" s="60">
        <f t="shared" ref="D68:AA68" si="90">IFERROR(D9/$B54,0)</f>
        <v>1.4506290470276292E-11</v>
      </c>
      <c r="E68" s="60">
        <f t="shared" si="90"/>
        <v>1.4506290470276292E-11</v>
      </c>
      <c r="F68" s="60">
        <f t="shared" si="90"/>
        <v>1.4506290470276292E-11</v>
      </c>
      <c r="G68" s="60">
        <f t="shared" si="90"/>
        <v>1.4506290470276292E-11</v>
      </c>
      <c r="H68" s="60">
        <f t="shared" si="90"/>
        <v>1.4506290470276292E-11</v>
      </c>
      <c r="I68" s="60">
        <f t="shared" si="90"/>
        <v>1.4506290470276292E-11</v>
      </c>
      <c r="J68" s="60">
        <f t="shared" si="90"/>
        <v>1.4506290470276292E-11</v>
      </c>
      <c r="K68" s="60">
        <f t="shared" si="90"/>
        <v>1.4506290470276292E-11</v>
      </c>
      <c r="L68" s="60">
        <f t="shared" si="90"/>
        <v>1.4506290470276292E-11</v>
      </c>
      <c r="M68" s="60">
        <f t="shared" si="90"/>
        <v>1.4506290470276292E-11</v>
      </c>
      <c r="N68" s="60">
        <f t="shared" si="90"/>
        <v>1.4506290470276292E-11</v>
      </c>
      <c r="O68" s="60">
        <f t="shared" si="90"/>
        <v>1.4506290470276292E-11</v>
      </c>
      <c r="P68" s="60">
        <f t="shared" si="90"/>
        <v>1.4506290470276292E-11</v>
      </c>
      <c r="Q68" s="60">
        <f t="shared" si="90"/>
        <v>1.4506290470276292E-11</v>
      </c>
      <c r="R68" s="60">
        <f t="shared" si="90"/>
        <v>1.4506290470276292E-11</v>
      </c>
      <c r="S68" s="60">
        <f t="shared" si="90"/>
        <v>1.4506290470276292E-11</v>
      </c>
      <c r="T68" s="60">
        <f t="shared" si="90"/>
        <v>1.4506290470276292E-11</v>
      </c>
      <c r="U68" s="60">
        <f t="shared" si="90"/>
        <v>1.4506290470276292E-11</v>
      </c>
      <c r="V68" s="60">
        <f t="shared" si="90"/>
        <v>1.4506290470276292E-11</v>
      </c>
      <c r="W68" s="60">
        <f t="shared" si="90"/>
        <v>1.4506290470276292E-11</v>
      </c>
      <c r="X68" s="60">
        <f t="shared" si="90"/>
        <v>1.4506290470276292E-11</v>
      </c>
      <c r="Y68" s="60">
        <f t="shared" si="90"/>
        <v>1.4506290470276292E-11</v>
      </c>
      <c r="Z68" s="60">
        <f t="shared" si="90"/>
        <v>1.4506290470276292E-11</v>
      </c>
      <c r="AA68" s="60">
        <f t="shared" si="90"/>
        <v>1.4506290470276292E-11</v>
      </c>
      <c r="AB68" s="49">
        <f t="shared" si="81"/>
        <v>7927598.4605196863</v>
      </c>
      <c r="AC68" s="49">
        <f>IFERROR(up_RadSpec!$E$9*($AZ$9/$B68),".")</f>
        <v>344678.19393563876</v>
      </c>
      <c r="AD68" s="49">
        <f>IFERROR(up_RadSpec!$E$9*($AZ$9/$B68),".")</f>
        <v>344678.19393563876</v>
      </c>
      <c r="AE68" s="49">
        <f>IFERROR(up_RadSpec!$E$9*($AZ$9/$B68),".")</f>
        <v>344678.19393563876</v>
      </c>
      <c r="AF68" s="49">
        <f>IFERROR(up_RadSpec!$E$9*($AZ$9/$B68),".")</f>
        <v>344678.19393563876</v>
      </c>
      <c r="AG68" s="49">
        <f>IFERROR(up_RadSpec!$E$9*($AZ$9/$B68),".")</f>
        <v>344678.19393563876</v>
      </c>
      <c r="AH68" s="49">
        <f>IFERROR(up_RadSpec!$E$9*($AZ$9/$B68),".")</f>
        <v>344678.19393563876</v>
      </c>
      <c r="AI68" s="49">
        <f>IFERROR(up_RadSpec!$E$9*($AZ$9/$B68),".")</f>
        <v>344678.19393563876</v>
      </c>
      <c r="AJ68" s="49">
        <f>IFERROR(up_RadSpec!$E$9*($AZ$9/$B68),".")</f>
        <v>344678.19393563876</v>
      </c>
      <c r="AK68" s="49">
        <f>IFERROR(up_RadSpec!$E$9*($AZ$9/$B68),".")</f>
        <v>344678.19393563876</v>
      </c>
      <c r="AL68" s="49">
        <f>IFERROR(up_RadSpec!$E$9*($AZ$9/$B68),".")</f>
        <v>344678.19393563876</v>
      </c>
      <c r="AM68" s="49">
        <f>IFERROR(up_RadSpec!$E$9*($AZ$9/$B68),".")</f>
        <v>344678.19393563876</v>
      </c>
      <c r="AN68" s="49">
        <f>IFERROR(up_RadSpec!$E$9*($AZ$9/$B68),".")</f>
        <v>344678.19393563876</v>
      </c>
      <c r="AO68" s="49">
        <f>IFERROR(up_RadSpec!$E$9*($AZ$9/$B68),".")</f>
        <v>344678.19393563876</v>
      </c>
      <c r="AP68" s="49">
        <f>IFERROR(up_RadSpec!$E$9*($AZ$9/$B68),".")</f>
        <v>344678.19393563876</v>
      </c>
      <c r="AQ68" s="49">
        <f>IFERROR(up_RadSpec!$E$9*($AZ$9/$B68),".")</f>
        <v>344678.19393563876</v>
      </c>
      <c r="AR68" s="49">
        <f>IFERROR(up_RadSpec!$E$9*($AZ$9/$B68),".")</f>
        <v>344678.19393563876</v>
      </c>
      <c r="AS68" s="49">
        <f>IFERROR(up_RadSpec!$E$9*($AZ$9/$B68),".")</f>
        <v>344678.19393563876</v>
      </c>
      <c r="AT68" s="49">
        <f>IFERROR(up_RadSpec!$E$9*($AZ$9/$B68),".")</f>
        <v>344678.19393563876</v>
      </c>
      <c r="AU68" s="49">
        <f>IFERROR(up_RadSpec!$E$9*($AZ$9/$B68),".")</f>
        <v>344678.19393563876</v>
      </c>
      <c r="AV68" s="49">
        <f>IFERROR(up_RadSpec!$E$9*($AZ$9/$B68),".")</f>
        <v>344678.19393563876</v>
      </c>
      <c r="AW68" s="49">
        <f>IFERROR(up_RadSpec!$E$9*($AZ$9/$B68),".")</f>
        <v>344678.19393563876</v>
      </c>
      <c r="AX68" s="49">
        <f>IFERROR(up_RadSpec!$E$9*($AZ$9/$B68),".")</f>
        <v>344678.19393563876</v>
      </c>
      <c r="AY68" s="49">
        <f>IFERROR(up_RadSpec!$E$9*($AZ$9/$B68),".")</f>
        <v>344678.19393563876</v>
      </c>
      <c r="AZ68" s="49">
        <f>IFERROR(up_RadSpec!$E$9*($AZ$9/$B68),".")</f>
        <v>344678.19393563876</v>
      </c>
      <c r="BA68" s="60">
        <f t="shared" si="11"/>
        <v>17233902803.21875</v>
      </c>
      <c r="BB68" s="60">
        <f t="shared" ref="BB68:BY68" si="91">IFERROR($B68/BB9,0)</f>
        <v>68935611212.875</v>
      </c>
      <c r="BC68" s="60">
        <f t="shared" si="91"/>
        <v>68935611212.875</v>
      </c>
      <c r="BD68" s="60">
        <f t="shared" si="91"/>
        <v>68935611212.875</v>
      </c>
      <c r="BE68" s="60">
        <f t="shared" si="91"/>
        <v>68935611212.875</v>
      </c>
      <c r="BF68" s="60">
        <f t="shared" si="91"/>
        <v>68935611212.875</v>
      </c>
      <c r="BG68" s="60">
        <f t="shared" si="91"/>
        <v>68935611212.875</v>
      </c>
      <c r="BH68" s="60">
        <f t="shared" si="91"/>
        <v>68935611212.875</v>
      </c>
      <c r="BI68" s="60">
        <f t="shared" si="91"/>
        <v>68935611212.875</v>
      </c>
      <c r="BJ68" s="60">
        <f t="shared" si="91"/>
        <v>68935611212.875</v>
      </c>
      <c r="BK68" s="60">
        <f t="shared" si="91"/>
        <v>68935611212.875</v>
      </c>
      <c r="BL68" s="60">
        <f t="shared" si="91"/>
        <v>68935611212.875</v>
      </c>
      <c r="BM68" s="60">
        <f t="shared" si="91"/>
        <v>68935611212.875</v>
      </c>
      <c r="BN68" s="60">
        <f t="shared" si="91"/>
        <v>68935611212.875</v>
      </c>
      <c r="BO68" s="60">
        <f t="shared" si="91"/>
        <v>68935611212.875</v>
      </c>
      <c r="BP68" s="60">
        <f t="shared" si="91"/>
        <v>68935611212.875</v>
      </c>
      <c r="BQ68" s="60">
        <f t="shared" si="91"/>
        <v>68935611212.875</v>
      </c>
      <c r="BR68" s="60">
        <f t="shared" si="91"/>
        <v>68935611212.875</v>
      </c>
      <c r="BS68" s="60">
        <f t="shared" si="91"/>
        <v>68935611212.875</v>
      </c>
      <c r="BT68" s="60">
        <f t="shared" si="91"/>
        <v>68935611212.875</v>
      </c>
      <c r="BU68" s="60">
        <f t="shared" si="91"/>
        <v>68935611212.875</v>
      </c>
      <c r="BV68" s="60">
        <f t="shared" si="91"/>
        <v>68935611212.875</v>
      </c>
      <c r="BW68" s="60">
        <f t="shared" si="91"/>
        <v>68935611212.875</v>
      </c>
      <c r="BX68" s="60">
        <f t="shared" si="91"/>
        <v>68935611212.875</v>
      </c>
      <c r="BY68" s="60">
        <f t="shared" si="91"/>
        <v>68935611212.875</v>
      </c>
      <c r="BZ68" s="49">
        <f t="shared" si="89"/>
        <v>1378712.775742555</v>
      </c>
      <c r="CA68" s="49">
        <f>IFERROR(up_RadSpec!$E$9*(CA9/$B68),".")</f>
        <v>344678.19393563876</v>
      </c>
      <c r="CB68" s="49">
        <f>IFERROR(up_RadSpec!$E$9*(CB9/$B68),".")</f>
        <v>344678.19393563876</v>
      </c>
      <c r="CC68" s="49">
        <f>IFERROR(up_RadSpec!$E$9*(CC9/$B68),".")</f>
        <v>344678.19393563876</v>
      </c>
      <c r="CD68" s="49">
        <f>IFERROR(up_RadSpec!$E$9*(CD9/$B68),".")</f>
        <v>344678.19393563876</v>
      </c>
      <c r="CE68" s="49">
        <f>IFERROR(up_RadSpec!$E$9*(CE9/$B68),".")</f>
        <v>344678.19393563876</v>
      </c>
      <c r="CF68" s="49">
        <f>IFERROR(up_RadSpec!$E$9*(CF9/$B68),".")</f>
        <v>344678.19393563876</v>
      </c>
      <c r="CG68" s="49">
        <f>IFERROR(up_RadSpec!$E$9*(CG9/$B68),".")</f>
        <v>344678.19393563876</v>
      </c>
      <c r="CH68" s="49">
        <f>IFERROR(up_RadSpec!$E$9*(CH9/$B68),".")</f>
        <v>344678.19393563876</v>
      </c>
      <c r="CI68" s="49">
        <f>IFERROR(up_RadSpec!$E$9*(CI9/$B68),".")</f>
        <v>344678.19393563876</v>
      </c>
      <c r="CJ68" s="49">
        <f>IFERROR(up_RadSpec!$E$9*(CJ9/$B68),".")</f>
        <v>344678.19393563876</v>
      </c>
      <c r="CK68" s="49">
        <f>IFERROR(up_RadSpec!$E$9*(CK9/$B68),".")</f>
        <v>344678.19393563876</v>
      </c>
      <c r="CL68" s="49">
        <f>IFERROR(up_RadSpec!$E$9*(CL9/$B68),".")</f>
        <v>344678.19393563876</v>
      </c>
      <c r="CM68" s="49">
        <f>IFERROR(up_RadSpec!$E$9*(CM9/$B68),".")</f>
        <v>344678.19393563876</v>
      </c>
      <c r="CN68" s="49">
        <f>IFERROR(up_RadSpec!$E$9*(CN9/$B68),".")</f>
        <v>344678.19393563876</v>
      </c>
      <c r="CO68" s="49">
        <f>IFERROR(up_RadSpec!$E$9*(CO9/$B68),".")</f>
        <v>344678.19393563876</v>
      </c>
      <c r="CP68" s="49">
        <f>IFERROR(up_RadSpec!$E$9*(CP9/$B68),".")</f>
        <v>344678.19393563876</v>
      </c>
      <c r="CQ68" s="49">
        <f>IFERROR(up_RadSpec!$E$9*(CQ9/$B68),".")</f>
        <v>344678.19393563876</v>
      </c>
      <c r="CR68" s="49">
        <f>IFERROR(up_RadSpec!$E$9*(CR9/$B68),".")</f>
        <v>344678.19393563876</v>
      </c>
      <c r="CS68" s="49">
        <f>IFERROR(up_RadSpec!$E$9*(CS9/$B68),".")</f>
        <v>344678.19393563876</v>
      </c>
      <c r="CT68" s="49">
        <f>IFERROR(up_RadSpec!$E$9*(CT9/$B68),".")</f>
        <v>344678.19393563876</v>
      </c>
      <c r="CU68" s="49">
        <f>IFERROR(up_RadSpec!$E$9*(CU9/$B68),".")</f>
        <v>344678.19393563876</v>
      </c>
      <c r="CV68" s="49">
        <f>IFERROR(up_RadSpec!$E$9*(CV9/$B68),".")</f>
        <v>344678.19393563876</v>
      </c>
      <c r="CW68" s="49">
        <f>IFERROR(up_RadSpec!$E$9*(CW9/$B68),".")</f>
        <v>344678.19393563876</v>
      </c>
      <c r="CX68" s="49">
        <f>IFERROR(up_RadSpec!$E$9*(CX9/$B68),".")</f>
        <v>344678.19393563876</v>
      </c>
    </row>
    <row r="69" spans="1:102" x14ac:dyDescent="0.25">
      <c r="A69" s="83" t="s">
        <v>1093</v>
      </c>
      <c r="B69" s="42">
        <v>1.9999999999999999E-7</v>
      </c>
      <c r="C69" s="60">
        <f t="shared" si="8"/>
        <v>1.8132859461272745E-5</v>
      </c>
      <c r="D69" s="60">
        <f t="shared" ref="D69:AA69" si="92">IFERROR(D24/$B55,0)</f>
        <v>7.2531437845090981E-5</v>
      </c>
      <c r="E69" s="60">
        <f t="shared" si="92"/>
        <v>7.2531437845090981E-5</v>
      </c>
      <c r="F69" s="60">
        <f t="shared" si="92"/>
        <v>7.2531437845090981E-5</v>
      </c>
      <c r="G69" s="60">
        <f t="shared" si="92"/>
        <v>7.2531437845090981E-5</v>
      </c>
      <c r="H69" s="60">
        <f t="shared" si="92"/>
        <v>7.2531437845090981E-5</v>
      </c>
      <c r="I69" s="60">
        <f t="shared" si="92"/>
        <v>7.2531437845090981E-5</v>
      </c>
      <c r="J69" s="60">
        <f t="shared" si="92"/>
        <v>7.2531437845090981E-5</v>
      </c>
      <c r="K69" s="60">
        <f t="shared" si="92"/>
        <v>7.2531437845090981E-5</v>
      </c>
      <c r="L69" s="60">
        <f t="shared" si="92"/>
        <v>7.2531437845090981E-5</v>
      </c>
      <c r="M69" s="60">
        <f t="shared" si="92"/>
        <v>7.2531437845090981E-5</v>
      </c>
      <c r="N69" s="60">
        <f t="shared" si="92"/>
        <v>7.2531437845090981E-5</v>
      </c>
      <c r="O69" s="60">
        <f t="shared" si="92"/>
        <v>7.2531437845090981E-5</v>
      </c>
      <c r="P69" s="60">
        <f t="shared" si="92"/>
        <v>7.2531437845090981E-5</v>
      </c>
      <c r="Q69" s="60">
        <f t="shared" si="92"/>
        <v>7.2531437845090981E-5</v>
      </c>
      <c r="R69" s="60">
        <f t="shared" si="92"/>
        <v>7.2531437845090981E-5</v>
      </c>
      <c r="S69" s="60">
        <f t="shared" si="92"/>
        <v>7.2531437845090981E-5</v>
      </c>
      <c r="T69" s="60">
        <f t="shared" si="92"/>
        <v>7.2531437845090981E-5</v>
      </c>
      <c r="U69" s="60">
        <f t="shared" si="92"/>
        <v>7.2531437845090981E-5</v>
      </c>
      <c r="V69" s="60">
        <f t="shared" si="92"/>
        <v>7.2531437845090981E-5</v>
      </c>
      <c r="W69" s="60">
        <f t="shared" si="92"/>
        <v>7.2531437845090981E-5</v>
      </c>
      <c r="X69" s="60">
        <f t="shared" si="92"/>
        <v>7.2531437845090981E-5</v>
      </c>
      <c r="Y69" s="60">
        <f t="shared" si="92"/>
        <v>7.2531437845090981E-5</v>
      </c>
      <c r="Z69" s="60">
        <f t="shared" si="92"/>
        <v>7.2531437845090981E-5</v>
      </c>
      <c r="AA69" s="60">
        <f t="shared" si="92"/>
        <v>7.2531437845090981E-5</v>
      </c>
      <c r="AB69" s="49">
        <f t="shared" si="81"/>
        <v>39637984375000</v>
      </c>
      <c r="AC69" s="49">
        <f>IFERROR(up_RadSpec!$E$24*($AZ$24/$B69),".")</f>
        <v>1723390625000</v>
      </c>
      <c r="AD69" s="49">
        <f>IFERROR(up_RadSpec!$E$24*($AZ$24/$B69),".")</f>
        <v>1723390625000</v>
      </c>
      <c r="AE69" s="49">
        <f>IFERROR(up_RadSpec!$E$24*($AZ$24/$B69),".")</f>
        <v>1723390625000</v>
      </c>
      <c r="AF69" s="49">
        <f>IFERROR(up_RadSpec!$E$24*($AZ$24/$B69),".")</f>
        <v>1723390625000</v>
      </c>
      <c r="AG69" s="49">
        <f>IFERROR(up_RadSpec!$E$24*($AZ$24/$B69),".")</f>
        <v>1723390625000</v>
      </c>
      <c r="AH69" s="49">
        <f>IFERROR(up_RadSpec!$E$24*($AZ$24/$B69),".")</f>
        <v>1723390625000</v>
      </c>
      <c r="AI69" s="49">
        <f>IFERROR(up_RadSpec!$E$24*($AZ$24/$B69),".")</f>
        <v>1723390625000</v>
      </c>
      <c r="AJ69" s="49">
        <f>IFERROR(up_RadSpec!$E$24*($AZ$24/$B69),".")</f>
        <v>1723390625000</v>
      </c>
      <c r="AK69" s="49">
        <f>IFERROR(up_RadSpec!$E$24*($AZ$24/$B69),".")</f>
        <v>1723390625000</v>
      </c>
      <c r="AL69" s="49">
        <f>IFERROR(up_RadSpec!$E$24*($AZ$24/$B69),".")</f>
        <v>1723390625000</v>
      </c>
      <c r="AM69" s="49">
        <f>IFERROR(up_RadSpec!$E$24*($AZ$24/$B69),".")</f>
        <v>1723390625000</v>
      </c>
      <c r="AN69" s="49">
        <f>IFERROR(up_RadSpec!$E$24*($AZ$24/$B69),".")</f>
        <v>1723390625000</v>
      </c>
      <c r="AO69" s="49">
        <f>IFERROR(up_RadSpec!$E$24*($AZ$24/$B69),".")</f>
        <v>1723390625000</v>
      </c>
      <c r="AP69" s="49">
        <f>IFERROR(up_RadSpec!$E$24*($AZ$24/$B69),".")</f>
        <v>1723390625000</v>
      </c>
      <c r="AQ69" s="49">
        <f>IFERROR(up_RadSpec!$E$24*($AZ$24/$B69),".")</f>
        <v>1723390625000</v>
      </c>
      <c r="AR69" s="49">
        <f>IFERROR(up_RadSpec!$E$24*($AZ$24/$B69),".")</f>
        <v>1723390625000</v>
      </c>
      <c r="AS69" s="49">
        <f>IFERROR(up_RadSpec!$E$24*($AZ$24/$B69),".")</f>
        <v>1723390625000</v>
      </c>
      <c r="AT69" s="49">
        <f>IFERROR(up_RadSpec!$E$24*($AZ$24/$B69),".")</f>
        <v>1723390625000</v>
      </c>
      <c r="AU69" s="49">
        <f>IFERROR(up_RadSpec!$E$24*($AZ$24/$B69),".")</f>
        <v>1723390625000</v>
      </c>
      <c r="AV69" s="49">
        <f>IFERROR(up_RadSpec!$E$24*($AZ$24/$B69),".")</f>
        <v>1723390625000</v>
      </c>
      <c r="AW69" s="49">
        <f>IFERROR(up_RadSpec!$E$24*($AZ$24/$B69),".")</f>
        <v>1723390625000</v>
      </c>
      <c r="AX69" s="49">
        <f>IFERROR(up_RadSpec!$E$24*($AZ$24/$B69),".")</f>
        <v>1723390625000</v>
      </c>
      <c r="AY69" s="49">
        <f>IFERROR(up_RadSpec!$E$24*($AZ$24/$B69),".")</f>
        <v>1723390625000</v>
      </c>
      <c r="AZ69" s="49">
        <f>IFERROR(up_RadSpec!$E$24*($AZ$24/$B69),".")</f>
        <v>1723390625000</v>
      </c>
      <c r="BA69" s="60">
        <f t="shared" si="11"/>
        <v>3446.7812499999995</v>
      </c>
      <c r="BB69" s="60">
        <f t="shared" ref="BB69:BY69" si="93">IFERROR($B69/BB24,0)</f>
        <v>13787.124999999998</v>
      </c>
      <c r="BC69" s="60">
        <f t="shared" si="93"/>
        <v>13787.124999999998</v>
      </c>
      <c r="BD69" s="60">
        <f t="shared" si="93"/>
        <v>13787.124999999998</v>
      </c>
      <c r="BE69" s="60">
        <f t="shared" si="93"/>
        <v>13787.124999999998</v>
      </c>
      <c r="BF69" s="60">
        <f t="shared" si="93"/>
        <v>13787.124999999998</v>
      </c>
      <c r="BG69" s="60">
        <f t="shared" si="93"/>
        <v>13787.124999999998</v>
      </c>
      <c r="BH69" s="60">
        <f t="shared" si="93"/>
        <v>13787.124999999998</v>
      </c>
      <c r="BI69" s="60">
        <f t="shared" si="93"/>
        <v>13787.124999999998</v>
      </c>
      <c r="BJ69" s="60">
        <f t="shared" si="93"/>
        <v>13787.124999999998</v>
      </c>
      <c r="BK69" s="60">
        <f t="shared" si="93"/>
        <v>13787.124999999998</v>
      </c>
      <c r="BL69" s="60">
        <f t="shared" si="93"/>
        <v>13787.124999999998</v>
      </c>
      <c r="BM69" s="60">
        <f t="shared" si="93"/>
        <v>13787.124999999998</v>
      </c>
      <c r="BN69" s="60">
        <f t="shared" si="93"/>
        <v>13787.124999999998</v>
      </c>
      <c r="BO69" s="60">
        <f t="shared" si="93"/>
        <v>13787.124999999998</v>
      </c>
      <c r="BP69" s="60">
        <f t="shared" si="93"/>
        <v>13787.124999999998</v>
      </c>
      <c r="BQ69" s="60">
        <f t="shared" si="93"/>
        <v>13787.124999999998</v>
      </c>
      <c r="BR69" s="60">
        <f t="shared" si="93"/>
        <v>13787.124999999998</v>
      </c>
      <c r="BS69" s="60">
        <f t="shared" si="93"/>
        <v>13787.124999999998</v>
      </c>
      <c r="BT69" s="60">
        <f t="shared" si="93"/>
        <v>13787.124999999998</v>
      </c>
      <c r="BU69" s="60">
        <f t="shared" si="93"/>
        <v>13787.124999999998</v>
      </c>
      <c r="BV69" s="60">
        <f t="shared" si="93"/>
        <v>13787.124999999998</v>
      </c>
      <c r="BW69" s="60">
        <f t="shared" si="93"/>
        <v>13787.124999999998</v>
      </c>
      <c r="BX69" s="60">
        <f t="shared" si="93"/>
        <v>13787.124999999998</v>
      </c>
      <c r="BY69" s="60">
        <f t="shared" si="93"/>
        <v>13787.124999999998</v>
      </c>
      <c r="BZ69" s="49">
        <f t="shared" si="89"/>
        <v>6893562500000</v>
      </c>
      <c r="CA69" s="49">
        <f>IFERROR(up_RadSpec!$E$24*(CA24/$B69),".")</f>
        <v>1723390625000</v>
      </c>
      <c r="CB69" s="49">
        <f>IFERROR(up_RadSpec!$E$24*(CB24/$B69),".")</f>
        <v>1723390625000</v>
      </c>
      <c r="CC69" s="49">
        <f>IFERROR(up_RadSpec!$E$24*(CC24/$B69),".")</f>
        <v>1723390625000</v>
      </c>
      <c r="CD69" s="49">
        <f>IFERROR(up_RadSpec!$E$24*(CD24/$B69),".")</f>
        <v>1723390625000</v>
      </c>
      <c r="CE69" s="49">
        <f>IFERROR(up_RadSpec!$E$24*(CE24/$B69),".")</f>
        <v>1723390625000</v>
      </c>
      <c r="CF69" s="49">
        <f>IFERROR(up_RadSpec!$E$24*(CF24/$B69),".")</f>
        <v>1723390625000</v>
      </c>
      <c r="CG69" s="49">
        <f>IFERROR(up_RadSpec!$E$24*(CG24/$B69),".")</f>
        <v>1723390625000</v>
      </c>
      <c r="CH69" s="49">
        <f>IFERROR(up_RadSpec!$E$24*(CH24/$B69),".")</f>
        <v>1723390625000</v>
      </c>
      <c r="CI69" s="49">
        <f>IFERROR(up_RadSpec!$E$24*(CI24/$B69),".")</f>
        <v>1723390625000</v>
      </c>
      <c r="CJ69" s="49">
        <f>IFERROR(up_RadSpec!$E$24*(CJ24/$B69),".")</f>
        <v>1723390625000</v>
      </c>
      <c r="CK69" s="49">
        <f>IFERROR(up_RadSpec!$E$24*(CK24/$B69),".")</f>
        <v>1723390625000</v>
      </c>
      <c r="CL69" s="49">
        <f>IFERROR(up_RadSpec!$E$24*(CL24/$B69),".")</f>
        <v>1723390625000</v>
      </c>
      <c r="CM69" s="49">
        <f>IFERROR(up_RadSpec!$E$24*(CM24/$B69),".")</f>
        <v>1723390625000</v>
      </c>
      <c r="CN69" s="49">
        <f>IFERROR(up_RadSpec!$E$24*(CN24/$B69),".")</f>
        <v>1723390625000</v>
      </c>
      <c r="CO69" s="49">
        <f>IFERROR(up_RadSpec!$E$24*(CO24/$B69),".")</f>
        <v>1723390625000</v>
      </c>
      <c r="CP69" s="49">
        <f>IFERROR(up_RadSpec!$E$24*(CP24/$B69),".")</f>
        <v>1723390625000</v>
      </c>
      <c r="CQ69" s="49">
        <f>IFERROR(up_RadSpec!$E$24*(CQ24/$B69),".")</f>
        <v>1723390625000</v>
      </c>
      <c r="CR69" s="49">
        <f>IFERROR(up_RadSpec!$E$24*(CR24/$B69),".")</f>
        <v>1723390625000</v>
      </c>
      <c r="CS69" s="49">
        <f>IFERROR(up_RadSpec!$E$24*(CS24/$B69),".")</f>
        <v>1723390625000</v>
      </c>
      <c r="CT69" s="49">
        <f>IFERROR(up_RadSpec!$E$24*(CT24/$B69),".")</f>
        <v>1723390625000</v>
      </c>
      <c r="CU69" s="49">
        <f>IFERROR(up_RadSpec!$E$24*(CU24/$B69),".")</f>
        <v>1723390625000</v>
      </c>
      <c r="CV69" s="49">
        <f>IFERROR(up_RadSpec!$E$24*(CV24/$B69),".")</f>
        <v>1723390625000</v>
      </c>
      <c r="CW69" s="49">
        <f>IFERROR(up_RadSpec!$E$24*(CW24/$B69),".")</f>
        <v>1723390625000</v>
      </c>
      <c r="CX69" s="49">
        <f>IFERROR(up_RadSpec!$E$24*(CX24/$B69),".")</f>
        <v>1723390625000</v>
      </c>
    </row>
    <row r="70" spans="1:102" x14ac:dyDescent="0.25">
      <c r="A70" s="83" t="s">
        <v>1094</v>
      </c>
      <c r="B70" s="42">
        <v>0.99979000004200003</v>
      </c>
      <c r="C70" s="60">
        <f t="shared" si="8"/>
        <v>3.6273336321649558E-12</v>
      </c>
      <c r="D70" s="60">
        <f t="shared" ref="D70:AA70" si="94">IFERROR(D20/$B56,0)</f>
        <v>1.4509334528659823E-11</v>
      </c>
      <c r="E70" s="60">
        <f t="shared" si="94"/>
        <v>1.4509334528659823E-11</v>
      </c>
      <c r="F70" s="60">
        <f t="shared" si="94"/>
        <v>1.4509334528659823E-11</v>
      </c>
      <c r="G70" s="60">
        <f t="shared" si="94"/>
        <v>1.4509334528659823E-11</v>
      </c>
      <c r="H70" s="60">
        <f t="shared" si="94"/>
        <v>1.4509334528659823E-11</v>
      </c>
      <c r="I70" s="60">
        <f t="shared" si="94"/>
        <v>1.4509334528659823E-11</v>
      </c>
      <c r="J70" s="60">
        <f t="shared" si="94"/>
        <v>1.4509334528659823E-11</v>
      </c>
      <c r="K70" s="60">
        <f t="shared" si="94"/>
        <v>1.4509334528659823E-11</v>
      </c>
      <c r="L70" s="60">
        <f t="shared" si="94"/>
        <v>1.4509334528659823E-11</v>
      </c>
      <c r="M70" s="60">
        <f t="shared" si="94"/>
        <v>1.4509334528659823E-11</v>
      </c>
      <c r="N70" s="60">
        <f t="shared" si="94"/>
        <v>1.4509334528659823E-11</v>
      </c>
      <c r="O70" s="60">
        <f t="shared" si="94"/>
        <v>1.4509334528659823E-11</v>
      </c>
      <c r="P70" s="60">
        <f t="shared" si="94"/>
        <v>1.4509334528659823E-11</v>
      </c>
      <c r="Q70" s="60">
        <f t="shared" si="94"/>
        <v>1.4509334528659823E-11</v>
      </c>
      <c r="R70" s="60">
        <f t="shared" si="94"/>
        <v>1.4509334528659823E-11</v>
      </c>
      <c r="S70" s="60">
        <f t="shared" si="94"/>
        <v>1.4509334528659823E-11</v>
      </c>
      <c r="T70" s="60">
        <f t="shared" si="94"/>
        <v>1.4509334528659823E-11</v>
      </c>
      <c r="U70" s="60">
        <f t="shared" si="94"/>
        <v>1.4509334528659823E-11</v>
      </c>
      <c r="V70" s="60">
        <f t="shared" si="94"/>
        <v>1.4509334528659823E-11</v>
      </c>
      <c r="W70" s="60">
        <f t="shared" si="94"/>
        <v>1.4509334528659823E-11</v>
      </c>
      <c r="X70" s="60">
        <f t="shared" si="94"/>
        <v>1.4509334528659823E-11</v>
      </c>
      <c r="Y70" s="60">
        <f t="shared" si="94"/>
        <v>1.4509334528659823E-11</v>
      </c>
      <c r="Z70" s="60">
        <f t="shared" si="94"/>
        <v>1.4509334528659823E-11</v>
      </c>
      <c r="AA70" s="60">
        <f t="shared" si="94"/>
        <v>1.4509334528659823E-11</v>
      </c>
      <c r="AB70" s="49">
        <f t="shared" si="81"/>
        <v>7929262.0196911097</v>
      </c>
      <c r="AC70" s="49">
        <f>IFERROR(up_RadSpec!$E$20*($AZ$20/$B70),".")</f>
        <v>344750.52259526553</v>
      </c>
      <c r="AD70" s="49">
        <f>IFERROR(up_RadSpec!$E$20*($AZ$20/$B70),".")</f>
        <v>344750.52259526553</v>
      </c>
      <c r="AE70" s="49">
        <f>IFERROR(up_RadSpec!$E$20*($AZ$20/$B70),".")</f>
        <v>344750.52259526553</v>
      </c>
      <c r="AF70" s="49">
        <f>IFERROR(up_RadSpec!$E$20*($AZ$20/$B70),".")</f>
        <v>344750.52259526553</v>
      </c>
      <c r="AG70" s="49">
        <f>IFERROR(up_RadSpec!$E$20*($AZ$20/$B70),".")</f>
        <v>344750.52259526553</v>
      </c>
      <c r="AH70" s="49">
        <f>IFERROR(up_RadSpec!$E$20*($AZ$20/$B70),".")</f>
        <v>344750.52259526553</v>
      </c>
      <c r="AI70" s="49">
        <f>IFERROR(up_RadSpec!$E$20*($AZ$20/$B70),".")</f>
        <v>344750.52259526553</v>
      </c>
      <c r="AJ70" s="49">
        <f>IFERROR(up_RadSpec!$E$20*($AZ$20/$B70),".")</f>
        <v>344750.52259526553</v>
      </c>
      <c r="AK70" s="49">
        <f>IFERROR(up_RadSpec!$E$20*($AZ$20/$B70),".")</f>
        <v>344750.52259526553</v>
      </c>
      <c r="AL70" s="49">
        <f>IFERROR(up_RadSpec!$E$20*($AZ$20/$B70),".")</f>
        <v>344750.52259526553</v>
      </c>
      <c r="AM70" s="49">
        <f>IFERROR(up_RadSpec!$E$20*($AZ$20/$B70),".")</f>
        <v>344750.52259526553</v>
      </c>
      <c r="AN70" s="49">
        <f>IFERROR(up_RadSpec!$E$20*($AZ$20/$B70),".")</f>
        <v>344750.52259526553</v>
      </c>
      <c r="AO70" s="49">
        <f>IFERROR(up_RadSpec!$E$20*($AZ$20/$B70),".")</f>
        <v>344750.52259526553</v>
      </c>
      <c r="AP70" s="49">
        <f>IFERROR(up_RadSpec!$E$20*($AZ$20/$B70),".")</f>
        <v>344750.52259526553</v>
      </c>
      <c r="AQ70" s="49">
        <f>IFERROR(up_RadSpec!$E$20*($AZ$20/$B70),".")</f>
        <v>344750.52259526553</v>
      </c>
      <c r="AR70" s="49">
        <f>IFERROR(up_RadSpec!$E$20*($AZ$20/$B70),".")</f>
        <v>344750.52259526553</v>
      </c>
      <c r="AS70" s="49">
        <f>IFERROR(up_RadSpec!$E$20*($AZ$20/$B70),".")</f>
        <v>344750.52259526553</v>
      </c>
      <c r="AT70" s="49">
        <f>IFERROR(up_RadSpec!$E$20*($AZ$20/$B70),".")</f>
        <v>344750.52259526553</v>
      </c>
      <c r="AU70" s="49">
        <f>IFERROR(up_RadSpec!$E$20*($AZ$20/$B70),".")</f>
        <v>344750.52259526553</v>
      </c>
      <c r="AV70" s="49">
        <f>IFERROR(up_RadSpec!$E$20*($AZ$20/$B70),".")</f>
        <v>344750.52259526553</v>
      </c>
      <c r="AW70" s="49">
        <f>IFERROR(up_RadSpec!$E$20*($AZ$20/$B70),".")</f>
        <v>344750.52259526553</v>
      </c>
      <c r="AX70" s="49">
        <f>IFERROR(up_RadSpec!$E$20*($AZ$20/$B70),".")</f>
        <v>344750.52259526553</v>
      </c>
      <c r="AY70" s="49">
        <f>IFERROR(up_RadSpec!$E$20*($AZ$20/$B70),".")</f>
        <v>344750.52259526553</v>
      </c>
      <c r="AZ70" s="49">
        <f>IFERROR(up_RadSpec!$E$20*($AZ$20/$B70),".")</f>
        <v>344750.52259526553</v>
      </c>
      <c r="BA70" s="60">
        <f t="shared" si="11"/>
        <v>17230287130.411324</v>
      </c>
      <c r="BB70" s="60">
        <f t="shared" ref="BB70:BY70" si="95">IFERROR($B70/BB20,0)</f>
        <v>68921148521.645294</v>
      </c>
      <c r="BC70" s="60">
        <f t="shared" si="95"/>
        <v>68921148521.645294</v>
      </c>
      <c r="BD70" s="60">
        <f t="shared" si="95"/>
        <v>68921148521.645294</v>
      </c>
      <c r="BE70" s="60">
        <f t="shared" si="95"/>
        <v>68921148521.645294</v>
      </c>
      <c r="BF70" s="60">
        <f t="shared" si="95"/>
        <v>68921148521.645294</v>
      </c>
      <c r="BG70" s="60">
        <f t="shared" si="95"/>
        <v>68921148521.645294</v>
      </c>
      <c r="BH70" s="60">
        <f t="shared" si="95"/>
        <v>68921148521.645294</v>
      </c>
      <c r="BI70" s="60">
        <f t="shared" si="95"/>
        <v>68921148521.645294</v>
      </c>
      <c r="BJ70" s="60">
        <f t="shared" si="95"/>
        <v>68921148521.645294</v>
      </c>
      <c r="BK70" s="60">
        <f t="shared" si="95"/>
        <v>68921148521.645294</v>
      </c>
      <c r="BL70" s="60">
        <f t="shared" si="95"/>
        <v>68921148521.645294</v>
      </c>
      <c r="BM70" s="60">
        <f t="shared" si="95"/>
        <v>68921148521.645294</v>
      </c>
      <c r="BN70" s="60">
        <f t="shared" si="95"/>
        <v>68921148521.645294</v>
      </c>
      <c r="BO70" s="60">
        <f t="shared" si="95"/>
        <v>68921148521.645294</v>
      </c>
      <c r="BP70" s="60">
        <f t="shared" si="95"/>
        <v>68921148521.645294</v>
      </c>
      <c r="BQ70" s="60">
        <f t="shared" si="95"/>
        <v>68921148521.645294</v>
      </c>
      <c r="BR70" s="60">
        <f t="shared" si="95"/>
        <v>68921148521.645294</v>
      </c>
      <c r="BS70" s="60">
        <f t="shared" si="95"/>
        <v>68921148521.645294</v>
      </c>
      <c r="BT70" s="60">
        <f t="shared" si="95"/>
        <v>68921148521.645294</v>
      </c>
      <c r="BU70" s="60">
        <f t="shared" si="95"/>
        <v>68921148521.645294</v>
      </c>
      <c r="BV70" s="60">
        <f t="shared" si="95"/>
        <v>68921148521.645294</v>
      </c>
      <c r="BW70" s="60">
        <f t="shared" si="95"/>
        <v>68921148521.645294</v>
      </c>
      <c r="BX70" s="60">
        <f t="shared" si="95"/>
        <v>68921148521.645294</v>
      </c>
      <c r="BY70" s="60">
        <f t="shared" si="95"/>
        <v>68921148521.645294</v>
      </c>
      <c r="BZ70" s="49">
        <f t="shared" si="89"/>
        <v>1379002.0903810621</v>
      </c>
      <c r="CA70" s="49">
        <f>IFERROR(up_RadSpec!$E$20*(CA20/$B70),".")</f>
        <v>344750.52259526553</v>
      </c>
      <c r="CB70" s="49">
        <f>IFERROR(up_RadSpec!$E$20*(CB20/$B70),".")</f>
        <v>344750.52259526553</v>
      </c>
      <c r="CC70" s="49">
        <f>IFERROR(up_RadSpec!$E$20*(CC20/$B70),".")</f>
        <v>344750.52259526553</v>
      </c>
      <c r="CD70" s="49">
        <f>IFERROR(up_RadSpec!$E$20*(CD20/$B70),".")</f>
        <v>344750.52259526553</v>
      </c>
      <c r="CE70" s="49">
        <f>IFERROR(up_RadSpec!$E$20*(CE20/$B70),".")</f>
        <v>344750.52259526553</v>
      </c>
      <c r="CF70" s="49">
        <f>IFERROR(up_RadSpec!$E$20*(CF20/$B70),".")</f>
        <v>344750.52259526553</v>
      </c>
      <c r="CG70" s="49">
        <f>IFERROR(up_RadSpec!$E$20*(CG20/$B70),".")</f>
        <v>344750.52259526553</v>
      </c>
      <c r="CH70" s="49">
        <f>IFERROR(up_RadSpec!$E$20*(CH20/$B70),".")</f>
        <v>344750.52259526553</v>
      </c>
      <c r="CI70" s="49">
        <f>IFERROR(up_RadSpec!$E$20*(CI20/$B70),".")</f>
        <v>344750.52259526553</v>
      </c>
      <c r="CJ70" s="49">
        <f>IFERROR(up_RadSpec!$E$20*(CJ20/$B70),".")</f>
        <v>344750.52259526553</v>
      </c>
      <c r="CK70" s="49">
        <f>IFERROR(up_RadSpec!$E$20*(CK20/$B70),".")</f>
        <v>344750.52259526553</v>
      </c>
      <c r="CL70" s="49">
        <f>IFERROR(up_RadSpec!$E$20*(CL20/$B70),".")</f>
        <v>344750.52259526553</v>
      </c>
      <c r="CM70" s="49">
        <f>IFERROR(up_RadSpec!$E$20*(CM20/$B70),".")</f>
        <v>344750.52259526553</v>
      </c>
      <c r="CN70" s="49">
        <f>IFERROR(up_RadSpec!$E$20*(CN20/$B70),".")</f>
        <v>344750.52259526553</v>
      </c>
      <c r="CO70" s="49">
        <f>IFERROR(up_RadSpec!$E$20*(CO20/$B70),".")</f>
        <v>344750.52259526553</v>
      </c>
      <c r="CP70" s="49">
        <f>IFERROR(up_RadSpec!$E$20*(CP20/$B70),".")</f>
        <v>344750.52259526553</v>
      </c>
      <c r="CQ70" s="49">
        <f>IFERROR(up_RadSpec!$E$20*(CQ20/$B70),".")</f>
        <v>344750.52259526553</v>
      </c>
      <c r="CR70" s="49">
        <f>IFERROR(up_RadSpec!$E$20*(CR20/$B70),".")</f>
        <v>344750.52259526553</v>
      </c>
      <c r="CS70" s="49">
        <f>IFERROR(up_RadSpec!$E$20*(CS20/$B70),".")</f>
        <v>344750.52259526553</v>
      </c>
      <c r="CT70" s="49">
        <f>IFERROR(up_RadSpec!$E$20*(CT20/$B70),".")</f>
        <v>344750.52259526553</v>
      </c>
      <c r="CU70" s="49">
        <f>IFERROR(up_RadSpec!$E$20*(CU20/$B70),".")</f>
        <v>344750.52259526553</v>
      </c>
      <c r="CV70" s="49">
        <f>IFERROR(up_RadSpec!$E$20*(CV20/$B70),".")</f>
        <v>344750.52259526553</v>
      </c>
      <c r="CW70" s="49">
        <f>IFERROR(up_RadSpec!$E$20*(CW20/$B70),".")</f>
        <v>344750.52259526553</v>
      </c>
      <c r="CX70" s="49">
        <f>IFERROR(up_RadSpec!$E$20*(CX20/$B70),".")</f>
        <v>344750.52259526553</v>
      </c>
    </row>
    <row r="71" spans="1:102" x14ac:dyDescent="0.25">
      <c r="A71" s="83" t="s">
        <v>1095</v>
      </c>
      <c r="B71" s="42">
        <v>2.0999995799999999E-4</v>
      </c>
      <c r="C71" s="60">
        <f t="shared" si="8"/>
        <v>1.7269393416995584E-8</v>
      </c>
      <c r="D71" s="60">
        <f t="shared" ref="D71:AA71" si="96">IFERROR(D29/$B57,0)</f>
        <v>6.9077573667982336E-8</v>
      </c>
      <c r="E71" s="60">
        <f t="shared" si="96"/>
        <v>6.9077573667982336E-8</v>
      </c>
      <c r="F71" s="60">
        <f t="shared" si="96"/>
        <v>6.9077573667982336E-8</v>
      </c>
      <c r="G71" s="60">
        <f t="shared" si="96"/>
        <v>6.9077573667982336E-8</v>
      </c>
      <c r="H71" s="60">
        <f t="shared" si="96"/>
        <v>6.9077573667982336E-8</v>
      </c>
      <c r="I71" s="60">
        <f t="shared" si="96"/>
        <v>6.9077573667982336E-8</v>
      </c>
      <c r="J71" s="60">
        <f t="shared" si="96"/>
        <v>6.9077573667982336E-8</v>
      </c>
      <c r="K71" s="60">
        <f t="shared" si="96"/>
        <v>6.9077573667982336E-8</v>
      </c>
      <c r="L71" s="60">
        <f t="shared" si="96"/>
        <v>6.9077573667982336E-8</v>
      </c>
      <c r="M71" s="60">
        <f t="shared" si="96"/>
        <v>6.9077573667982336E-8</v>
      </c>
      <c r="N71" s="60">
        <f t="shared" si="96"/>
        <v>6.9077573667982336E-8</v>
      </c>
      <c r="O71" s="60">
        <f t="shared" si="96"/>
        <v>6.9077573667982336E-8</v>
      </c>
      <c r="P71" s="60">
        <f t="shared" si="96"/>
        <v>6.9077573667982336E-8</v>
      </c>
      <c r="Q71" s="60">
        <f t="shared" si="96"/>
        <v>6.9077573667982336E-8</v>
      </c>
      <c r="R71" s="60">
        <f t="shared" si="96"/>
        <v>6.9077573667982336E-8</v>
      </c>
      <c r="S71" s="60">
        <f t="shared" si="96"/>
        <v>6.9077573667982336E-8</v>
      </c>
      <c r="T71" s="60">
        <f t="shared" si="96"/>
        <v>6.9077573667982336E-8</v>
      </c>
      <c r="U71" s="60">
        <f t="shared" si="96"/>
        <v>6.9077573667982336E-8</v>
      </c>
      <c r="V71" s="60">
        <f t="shared" si="96"/>
        <v>6.9077573667982336E-8</v>
      </c>
      <c r="W71" s="60">
        <f t="shared" si="96"/>
        <v>6.9077573667982336E-8</v>
      </c>
      <c r="X71" s="60">
        <f t="shared" si="96"/>
        <v>6.9077573667982336E-8</v>
      </c>
      <c r="Y71" s="60">
        <f t="shared" si="96"/>
        <v>6.9077573667982336E-8</v>
      </c>
      <c r="Z71" s="60">
        <f t="shared" si="96"/>
        <v>6.9077573667982336E-8</v>
      </c>
      <c r="AA71" s="60">
        <f t="shared" si="96"/>
        <v>6.9077573667982336E-8</v>
      </c>
      <c r="AB71" s="49">
        <f t="shared" si="81"/>
        <v>37750468859.617577</v>
      </c>
      <c r="AC71" s="49">
        <f>IFERROR(up_RadSpec!$E$29*($AZ$29/$B71),".")</f>
        <v>1641324733.0268514</v>
      </c>
      <c r="AD71" s="49">
        <f>IFERROR(up_RadSpec!$E$29*($AZ$29/$B71),".")</f>
        <v>1641324733.0268514</v>
      </c>
      <c r="AE71" s="49">
        <f>IFERROR(up_RadSpec!$E$29*($AZ$29/$B71),".")</f>
        <v>1641324733.0268514</v>
      </c>
      <c r="AF71" s="49">
        <f>IFERROR(up_RadSpec!$E$29*($AZ$29/$B71),".")</f>
        <v>1641324733.0268514</v>
      </c>
      <c r="AG71" s="49">
        <f>IFERROR(up_RadSpec!$E$29*($AZ$29/$B71),".")</f>
        <v>1641324733.0268514</v>
      </c>
      <c r="AH71" s="49">
        <f>IFERROR(up_RadSpec!$E$29*($AZ$29/$B71),".")</f>
        <v>1641324733.0268514</v>
      </c>
      <c r="AI71" s="49">
        <f>IFERROR(up_RadSpec!$E$29*($AZ$29/$B71),".")</f>
        <v>1641324733.0268514</v>
      </c>
      <c r="AJ71" s="49">
        <f>IFERROR(up_RadSpec!$E$29*($AZ$29/$B71),".")</f>
        <v>1641324733.0268514</v>
      </c>
      <c r="AK71" s="49">
        <f>IFERROR(up_RadSpec!$E$29*($AZ$29/$B71),".")</f>
        <v>1641324733.0268514</v>
      </c>
      <c r="AL71" s="49">
        <f>IFERROR(up_RadSpec!$E$29*($AZ$29/$B71),".")</f>
        <v>1641324733.0268514</v>
      </c>
      <c r="AM71" s="49">
        <f>IFERROR(up_RadSpec!$E$29*($AZ$29/$B71),".")</f>
        <v>1641324733.0268514</v>
      </c>
      <c r="AN71" s="49">
        <f>IFERROR(up_RadSpec!$E$29*($AZ$29/$B71),".")</f>
        <v>1641324733.0268514</v>
      </c>
      <c r="AO71" s="49">
        <f>IFERROR(up_RadSpec!$E$29*($AZ$29/$B71),".")</f>
        <v>1641324733.0268514</v>
      </c>
      <c r="AP71" s="49">
        <f>IFERROR(up_RadSpec!$E$29*($AZ$29/$B71),".")</f>
        <v>1641324733.0268514</v>
      </c>
      <c r="AQ71" s="49">
        <f>IFERROR(up_RadSpec!$E$29*($AZ$29/$B71),".")</f>
        <v>1641324733.0268514</v>
      </c>
      <c r="AR71" s="49">
        <f>IFERROR(up_RadSpec!$E$29*($AZ$29/$B71),".")</f>
        <v>1641324733.0268514</v>
      </c>
      <c r="AS71" s="49">
        <f>IFERROR(up_RadSpec!$E$29*($AZ$29/$B71),".")</f>
        <v>1641324733.0268514</v>
      </c>
      <c r="AT71" s="49">
        <f>IFERROR(up_RadSpec!$E$29*($AZ$29/$B71),".")</f>
        <v>1641324733.0268514</v>
      </c>
      <c r="AU71" s="49">
        <f>IFERROR(up_RadSpec!$E$29*($AZ$29/$B71),".")</f>
        <v>1641324733.0268514</v>
      </c>
      <c r="AV71" s="49">
        <f>IFERROR(up_RadSpec!$E$29*($AZ$29/$B71),".")</f>
        <v>1641324733.0268514</v>
      </c>
      <c r="AW71" s="49">
        <f>IFERROR(up_RadSpec!$E$29*($AZ$29/$B71),".")</f>
        <v>1641324733.0268514</v>
      </c>
      <c r="AX71" s="49">
        <f>IFERROR(up_RadSpec!$E$29*($AZ$29/$B71),".")</f>
        <v>1641324733.0268514</v>
      </c>
      <c r="AY71" s="49">
        <f>IFERROR(up_RadSpec!$E$29*($AZ$29/$B71),".")</f>
        <v>1641324733.0268514</v>
      </c>
      <c r="AZ71" s="49">
        <f>IFERROR(up_RadSpec!$E$29*($AZ$29/$B71),".")</f>
        <v>1641324733.0268514</v>
      </c>
      <c r="BA71" s="60">
        <f t="shared" si="11"/>
        <v>3619119.5886759376</v>
      </c>
      <c r="BB71" s="60">
        <f t="shared" ref="BB71:BY71" si="97">IFERROR($B71/BB29,0)</f>
        <v>14476478.354703749</v>
      </c>
      <c r="BC71" s="60">
        <f t="shared" si="97"/>
        <v>14476478.354703749</v>
      </c>
      <c r="BD71" s="60">
        <f t="shared" si="97"/>
        <v>14476478.354703749</v>
      </c>
      <c r="BE71" s="60">
        <f t="shared" si="97"/>
        <v>14476478.354703749</v>
      </c>
      <c r="BF71" s="60">
        <f t="shared" si="97"/>
        <v>14476478.354703749</v>
      </c>
      <c r="BG71" s="60">
        <f t="shared" si="97"/>
        <v>14476478.354703749</v>
      </c>
      <c r="BH71" s="60">
        <f t="shared" si="97"/>
        <v>14476478.354703749</v>
      </c>
      <c r="BI71" s="60">
        <f t="shared" si="97"/>
        <v>14476478.354703749</v>
      </c>
      <c r="BJ71" s="60">
        <f t="shared" si="97"/>
        <v>14476478.354703749</v>
      </c>
      <c r="BK71" s="60">
        <f t="shared" si="97"/>
        <v>14476478.354703749</v>
      </c>
      <c r="BL71" s="60">
        <f t="shared" si="97"/>
        <v>14476478.354703749</v>
      </c>
      <c r="BM71" s="60">
        <f t="shared" si="97"/>
        <v>14476478.354703749</v>
      </c>
      <c r="BN71" s="60">
        <f t="shared" si="97"/>
        <v>14476478.354703749</v>
      </c>
      <c r="BO71" s="60">
        <f t="shared" si="97"/>
        <v>14476478.354703749</v>
      </c>
      <c r="BP71" s="60">
        <f t="shared" si="97"/>
        <v>14476478.354703749</v>
      </c>
      <c r="BQ71" s="60">
        <f t="shared" si="97"/>
        <v>14476478.354703749</v>
      </c>
      <c r="BR71" s="60">
        <f t="shared" si="97"/>
        <v>14476478.354703749</v>
      </c>
      <c r="BS71" s="60">
        <f t="shared" si="97"/>
        <v>14476478.354703749</v>
      </c>
      <c r="BT71" s="60">
        <f t="shared" si="97"/>
        <v>14476478.354703749</v>
      </c>
      <c r="BU71" s="60">
        <f t="shared" si="97"/>
        <v>14476478.354703749</v>
      </c>
      <c r="BV71" s="60">
        <f t="shared" si="97"/>
        <v>14476478.354703749</v>
      </c>
      <c r="BW71" s="60">
        <f t="shared" si="97"/>
        <v>14476478.354703749</v>
      </c>
      <c r="BX71" s="60">
        <f t="shared" si="97"/>
        <v>14476478.354703749</v>
      </c>
      <c r="BY71" s="60">
        <f t="shared" si="97"/>
        <v>14476478.354703749</v>
      </c>
      <c r="BZ71" s="49">
        <f t="shared" si="89"/>
        <v>6565298932.1074057</v>
      </c>
      <c r="CA71" s="49">
        <f>IFERROR(up_RadSpec!$E$29*(CA29/$B71),".")</f>
        <v>1641324733.0268514</v>
      </c>
      <c r="CB71" s="49">
        <f>IFERROR(up_RadSpec!$E$29*(CB29/$B71),".")</f>
        <v>1641324733.0268514</v>
      </c>
      <c r="CC71" s="49">
        <f>IFERROR(up_RadSpec!$E$29*(CC29/$B71),".")</f>
        <v>1641324733.0268514</v>
      </c>
      <c r="CD71" s="49">
        <f>IFERROR(up_RadSpec!$E$29*(CD29/$B71),".")</f>
        <v>1641324733.0268514</v>
      </c>
      <c r="CE71" s="49">
        <f>IFERROR(up_RadSpec!$E$29*(CE29/$B71),".")</f>
        <v>1641324733.0268514</v>
      </c>
      <c r="CF71" s="49">
        <f>IFERROR(up_RadSpec!$E$29*(CF29/$B71),".")</f>
        <v>1641324733.0268514</v>
      </c>
      <c r="CG71" s="49">
        <f>IFERROR(up_RadSpec!$E$29*(CG29/$B71),".")</f>
        <v>1641324733.0268514</v>
      </c>
      <c r="CH71" s="49">
        <f>IFERROR(up_RadSpec!$E$29*(CH29/$B71),".")</f>
        <v>1641324733.0268514</v>
      </c>
      <c r="CI71" s="49">
        <f>IFERROR(up_RadSpec!$E$29*(CI29/$B71),".")</f>
        <v>1641324733.0268514</v>
      </c>
      <c r="CJ71" s="49">
        <f>IFERROR(up_RadSpec!$E$29*(CJ29/$B71),".")</f>
        <v>1641324733.0268514</v>
      </c>
      <c r="CK71" s="49">
        <f>IFERROR(up_RadSpec!$E$29*(CK29/$B71),".")</f>
        <v>1641324733.0268514</v>
      </c>
      <c r="CL71" s="49">
        <f>IFERROR(up_RadSpec!$E$29*(CL29/$B71),".")</f>
        <v>1641324733.0268514</v>
      </c>
      <c r="CM71" s="49">
        <f>IFERROR(up_RadSpec!$E$29*(CM29/$B71),".")</f>
        <v>1641324733.0268514</v>
      </c>
      <c r="CN71" s="49">
        <f>IFERROR(up_RadSpec!$E$29*(CN29/$B71),".")</f>
        <v>1641324733.0268514</v>
      </c>
      <c r="CO71" s="49">
        <f>IFERROR(up_RadSpec!$E$29*(CO29/$B71),".")</f>
        <v>1641324733.0268514</v>
      </c>
      <c r="CP71" s="49">
        <f>IFERROR(up_RadSpec!$E$29*(CP29/$B71),".")</f>
        <v>1641324733.0268514</v>
      </c>
      <c r="CQ71" s="49">
        <f>IFERROR(up_RadSpec!$E$29*(CQ29/$B71),".")</f>
        <v>1641324733.0268514</v>
      </c>
      <c r="CR71" s="49">
        <f>IFERROR(up_RadSpec!$E$29*(CR29/$B71),".")</f>
        <v>1641324733.0268514</v>
      </c>
      <c r="CS71" s="49">
        <f>IFERROR(up_RadSpec!$E$29*(CS29/$B71),".")</f>
        <v>1641324733.0268514</v>
      </c>
      <c r="CT71" s="49">
        <f>IFERROR(up_RadSpec!$E$29*(CT29/$B71),".")</f>
        <v>1641324733.0268514</v>
      </c>
      <c r="CU71" s="49">
        <f>IFERROR(up_RadSpec!$E$29*(CU29/$B71),".")</f>
        <v>1641324733.0268514</v>
      </c>
      <c r="CV71" s="49">
        <f>IFERROR(up_RadSpec!$E$29*(CV29/$B71),".")</f>
        <v>1641324733.0268514</v>
      </c>
      <c r="CW71" s="49">
        <f>IFERROR(up_RadSpec!$E$29*(CW29/$B71),".")</f>
        <v>1641324733.0268514</v>
      </c>
      <c r="CX71" s="49">
        <f>IFERROR(up_RadSpec!$E$29*(CX29/$B71),".")</f>
        <v>1641324733.0268514</v>
      </c>
    </row>
    <row r="72" spans="1:102" x14ac:dyDescent="0.25">
      <c r="A72" s="83" t="s">
        <v>1096</v>
      </c>
      <c r="B72" s="42">
        <v>1</v>
      </c>
      <c r="C72" s="60">
        <f t="shared" si="8"/>
        <v>3.6265718922545492E-12</v>
      </c>
      <c r="D72" s="60">
        <f t="shared" ref="D72:AA72" si="98">IFERROR(D16/$B58,0)</f>
        <v>1.4506287569018197E-11</v>
      </c>
      <c r="E72" s="60">
        <f t="shared" si="98"/>
        <v>1.4506287569018197E-11</v>
      </c>
      <c r="F72" s="60">
        <f t="shared" si="98"/>
        <v>1.4506287569018197E-11</v>
      </c>
      <c r="G72" s="60">
        <f t="shared" si="98"/>
        <v>1.4506287569018197E-11</v>
      </c>
      <c r="H72" s="60">
        <f t="shared" si="98"/>
        <v>1.4506287569018197E-11</v>
      </c>
      <c r="I72" s="60">
        <f t="shared" si="98"/>
        <v>1.4506287569018197E-11</v>
      </c>
      <c r="J72" s="60">
        <f t="shared" si="98"/>
        <v>1.4506287569018197E-11</v>
      </c>
      <c r="K72" s="60">
        <f t="shared" si="98"/>
        <v>1.4506287569018197E-11</v>
      </c>
      <c r="L72" s="60">
        <f t="shared" si="98"/>
        <v>1.4506287569018197E-11</v>
      </c>
      <c r="M72" s="60">
        <f t="shared" si="98"/>
        <v>1.4506287569018197E-11</v>
      </c>
      <c r="N72" s="60">
        <f t="shared" si="98"/>
        <v>1.4506287569018197E-11</v>
      </c>
      <c r="O72" s="60">
        <f t="shared" si="98"/>
        <v>1.4506287569018197E-11</v>
      </c>
      <c r="P72" s="60">
        <f t="shared" si="98"/>
        <v>1.4506287569018197E-11</v>
      </c>
      <c r="Q72" s="60">
        <f t="shared" si="98"/>
        <v>1.4506287569018197E-11</v>
      </c>
      <c r="R72" s="60">
        <f t="shared" si="98"/>
        <v>1.4506287569018197E-11</v>
      </c>
      <c r="S72" s="60">
        <f t="shared" si="98"/>
        <v>1.4506287569018197E-11</v>
      </c>
      <c r="T72" s="60">
        <f t="shared" si="98"/>
        <v>1.4506287569018197E-11</v>
      </c>
      <c r="U72" s="60">
        <f t="shared" si="98"/>
        <v>1.4506287569018197E-11</v>
      </c>
      <c r="V72" s="60">
        <f t="shared" si="98"/>
        <v>1.4506287569018197E-11</v>
      </c>
      <c r="W72" s="60">
        <f t="shared" si="98"/>
        <v>1.4506287569018197E-11</v>
      </c>
      <c r="X72" s="60">
        <f t="shared" si="98"/>
        <v>1.4506287569018197E-11</v>
      </c>
      <c r="Y72" s="60">
        <f t="shared" si="98"/>
        <v>1.4506287569018197E-11</v>
      </c>
      <c r="Z72" s="60">
        <f t="shared" si="98"/>
        <v>1.4506287569018197E-11</v>
      </c>
      <c r="AA72" s="60">
        <f t="shared" si="98"/>
        <v>1.4506287569018197E-11</v>
      </c>
      <c r="AB72" s="49">
        <f t="shared" si="81"/>
        <v>7927596.875</v>
      </c>
      <c r="AC72" s="49">
        <f>IFERROR(up_RadSpec!$E$16*($AZ$16/$B72),".")</f>
        <v>344678.125</v>
      </c>
      <c r="AD72" s="49">
        <f>IFERROR(up_RadSpec!$E$16*($AZ$16/$B72),".")</f>
        <v>344678.125</v>
      </c>
      <c r="AE72" s="49">
        <f>IFERROR(up_RadSpec!$E$16*($AZ$16/$B72),".")</f>
        <v>344678.125</v>
      </c>
      <c r="AF72" s="49">
        <f>IFERROR(up_RadSpec!$E$16*($AZ$16/$B72),".")</f>
        <v>344678.125</v>
      </c>
      <c r="AG72" s="49">
        <f>IFERROR(up_RadSpec!$E$16*($AZ$16/$B72),".")</f>
        <v>344678.125</v>
      </c>
      <c r="AH72" s="49">
        <f>IFERROR(up_RadSpec!$E$16*($AZ$16/$B72),".")</f>
        <v>344678.125</v>
      </c>
      <c r="AI72" s="49">
        <f>IFERROR(up_RadSpec!$E$16*($AZ$16/$B72),".")</f>
        <v>344678.125</v>
      </c>
      <c r="AJ72" s="49">
        <f>IFERROR(up_RadSpec!$E$16*($AZ$16/$B72),".")</f>
        <v>344678.125</v>
      </c>
      <c r="AK72" s="49">
        <f>IFERROR(up_RadSpec!$E$16*($AZ$16/$B72),".")</f>
        <v>344678.125</v>
      </c>
      <c r="AL72" s="49">
        <f>IFERROR(up_RadSpec!$E$16*($AZ$16/$B72),".")</f>
        <v>344678.125</v>
      </c>
      <c r="AM72" s="49">
        <f>IFERROR(up_RadSpec!$E$16*($AZ$16/$B72),".")</f>
        <v>344678.125</v>
      </c>
      <c r="AN72" s="49">
        <f>IFERROR(up_RadSpec!$E$16*($AZ$16/$B72),".")</f>
        <v>344678.125</v>
      </c>
      <c r="AO72" s="49">
        <f>IFERROR(up_RadSpec!$E$16*($AZ$16/$B72),".")</f>
        <v>344678.125</v>
      </c>
      <c r="AP72" s="49">
        <f>IFERROR(up_RadSpec!$E$16*($AZ$16/$B72),".")</f>
        <v>344678.125</v>
      </c>
      <c r="AQ72" s="49">
        <f>IFERROR(up_RadSpec!$E$16*($AZ$16/$B72),".")</f>
        <v>344678.125</v>
      </c>
      <c r="AR72" s="49">
        <f>IFERROR(up_RadSpec!$E$16*($AZ$16/$B72),".")</f>
        <v>344678.125</v>
      </c>
      <c r="AS72" s="49">
        <f>IFERROR(up_RadSpec!$E$16*($AZ$16/$B72),".")</f>
        <v>344678.125</v>
      </c>
      <c r="AT72" s="49">
        <f>IFERROR(up_RadSpec!$E$16*($AZ$16/$B72),".")</f>
        <v>344678.125</v>
      </c>
      <c r="AU72" s="49">
        <f>IFERROR(up_RadSpec!$E$16*($AZ$16/$B72),".")</f>
        <v>344678.125</v>
      </c>
      <c r="AV72" s="49">
        <f>IFERROR(up_RadSpec!$E$16*($AZ$16/$B72),".")</f>
        <v>344678.125</v>
      </c>
      <c r="AW72" s="49">
        <f>IFERROR(up_RadSpec!$E$16*($AZ$16/$B72),".")</f>
        <v>344678.125</v>
      </c>
      <c r="AX72" s="49">
        <f>IFERROR(up_RadSpec!$E$16*($AZ$16/$B72),".")</f>
        <v>344678.125</v>
      </c>
      <c r="AY72" s="49">
        <f>IFERROR(up_RadSpec!$E$16*($AZ$16/$B72),".")</f>
        <v>344678.125</v>
      </c>
      <c r="AZ72" s="49">
        <f>IFERROR(up_RadSpec!$E$16*($AZ$16/$B72),".")</f>
        <v>344678.125</v>
      </c>
      <c r="BA72" s="60">
        <f t="shared" si="11"/>
        <v>17233906250</v>
      </c>
      <c r="BB72" s="60">
        <f t="shared" ref="BB72:BY72" si="99">IFERROR($B72/BB16,0)</f>
        <v>68935625000</v>
      </c>
      <c r="BC72" s="60">
        <f t="shared" si="99"/>
        <v>68935625000</v>
      </c>
      <c r="BD72" s="60">
        <f t="shared" si="99"/>
        <v>68935625000</v>
      </c>
      <c r="BE72" s="60">
        <f t="shared" si="99"/>
        <v>68935625000</v>
      </c>
      <c r="BF72" s="60">
        <f t="shared" si="99"/>
        <v>68935625000</v>
      </c>
      <c r="BG72" s="60">
        <f t="shared" si="99"/>
        <v>68935625000</v>
      </c>
      <c r="BH72" s="60">
        <f t="shared" si="99"/>
        <v>68935625000</v>
      </c>
      <c r="BI72" s="60">
        <f t="shared" si="99"/>
        <v>68935625000</v>
      </c>
      <c r="BJ72" s="60">
        <f t="shared" si="99"/>
        <v>68935625000</v>
      </c>
      <c r="BK72" s="60">
        <f t="shared" si="99"/>
        <v>68935625000</v>
      </c>
      <c r="BL72" s="60">
        <f t="shared" si="99"/>
        <v>68935625000</v>
      </c>
      <c r="BM72" s="60">
        <f t="shared" si="99"/>
        <v>68935625000</v>
      </c>
      <c r="BN72" s="60">
        <f t="shared" si="99"/>
        <v>68935625000</v>
      </c>
      <c r="BO72" s="60">
        <f t="shared" si="99"/>
        <v>68935625000</v>
      </c>
      <c r="BP72" s="60">
        <f t="shared" si="99"/>
        <v>68935625000</v>
      </c>
      <c r="BQ72" s="60">
        <f t="shared" si="99"/>
        <v>68935625000</v>
      </c>
      <c r="BR72" s="60">
        <f t="shared" si="99"/>
        <v>68935625000</v>
      </c>
      <c r="BS72" s="60">
        <f t="shared" si="99"/>
        <v>68935625000</v>
      </c>
      <c r="BT72" s="60">
        <f t="shared" si="99"/>
        <v>68935625000</v>
      </c>
      <c r="BU72" s="60">
        <f t="shared" si="99"/>
        <v>68935625000</v>
      </c>
      <c r="BV72" s="60">
        <f t="shared" si="99"/>
        <v>68935625000</v>
      </c>
      <c r="BW72" s="60">
        <f t="shared" si="99"/>
        <v>68935625000</v>
      </c>
      <c r="BX72" s="60">
        <f t="shared" si="99"/>
        <v>68935625000</v>
      </c>
      <c r="BY72" s="60">
        <f t="shared" si="99"/>
        <v>68935625000</v>
      </c>
      <c r="BZ72" s="49">
        <f t="shared" si="89"/>
        <v>1378712.5</v>
      </c>
      <c r="CA72" s="49">
        <f>IFERROR(up_RadSpec!$E$16*(CA16/$B72),".")</f>
        <v>344678.125</v>
      </c>
      <c r="CB72" s="49">
        <f>IFERROR(up_RadSpec!$E$16*(CB16/$B72),".")</f>
        <v>344678.125</v>
      </c>
      <c r="CC72" s="49">
        <f>IFERROR(up_RadSpec!$E$16*(CC16/$B72),".")</f>
        <v>344678.125</v>
      </c>
      <c r="CD72" s="49">
        <f>IFERROR(up_RadSpec!$E$16*(CD16/$B72),".")</f>
        <v>344678.125</v>
      </c>
      <c r="CE72" s="49">
        <f>IFERROR(up_RadSpec!$E$16*(CE16/$B72),".")</f>
        <v>344678.125</v>
      </c>
      <c r="CF72" s="49">
        <f>IFERROR(up_RadSpec!$E$16*(CF16/$B72),".")</f>
        <v>344678.125</v>
      </c>
      <c r="CG72" s="49">
        <f>IFERROR(up_RadSpec!$E$16*(CG16/$B72),".")</f>
        <v>344678.125</v>
      </c>
      <c r="CH72" s="49">
        <f>IFERROR(up_RadSpec!$E$16*(CH16/$B72),".")</f>
        <v>344678.125</v>
      </c>
      <c r="CI72" s="49">
        <f>IFERROR(up_RadSpec!$E$16*(CI16/$B72),".")</f>
        <v>344678.125</v>
      </c>
      <c r="CJ72" s="49">
        <f>IFERROR(up_RadSpec!$E$16*(CJ16/$B72),".")</f>
        <v>344678.125</v>
      </c>
      <c r="CK72" s="49">
        <f>IFERROR(up_RadSpec!$E$16*(CK16/$B72),".")</f>
        <v>344678.125</v>
      </c>
      <c r="CL72" s="49">
        <f>IFERROR(up_RadSpec!$E$16*(CL16/$B72),".")</f>
        <v>344678.125</v>
      </c>
      <c r="CM72" s="49">
        <f>IFERROR(up_RadSpec!$E$16*(CM16/$B72),".")</f>
        <v>344678.125</v>
      </c>
      <c r="CN72" s="49">
        <f>IFERROR(up_RadSpec!$E$16*(CN16/$B72),".")</f>
        <v>344678.125</v>
      </c>
      <c r="CO72" s="49">
        <f>IFERROR(up_RadSpec!$E$16*(CO16/$B72),".")</f>
        <v>344678.125</v>
      </c>
      <c r="CP72" s="49">
        <f>IFERROR(up_RadSpec!$E$16*(CP16/$B72),".")</f>
        <v>344678.125</v>
      </c>
      <c r="CQ72" s="49">
        <f>IFERROR(up_RadSpec!$E$16*(CQ16/$B72),".")</f>
        <v>344678.125</v>
      </c>
      <c r="CR72" s="49">
        <f>IFERROR(up_RadSpec!$E$16*(CR16/$B72),".")</f>
        <v>344678.125</v>
      </c>
      <c r="CS72" s="49">
        <f>IFERROR(up_RadSpec!$E$16*(CS16/$B72),".")</f>
        <v>344678.125</v>
      </c>
      <c r="CT72" s="49">
        <f>IFERROR(up_RadSpec!$E$16*(CT16/$B72),".")</f>
        <v>344678.125</v>
      </c>
      <c r="CU72" s="49">
        <f>IFERROR(up_RadSpec!$E$16*(CU16/$B72),".")</f>
        <v>344678.125</v>
      </c>
      <c r="CV72" s="49">
        <f>IFERROR(up_RadSpec!$E$16*(CV16/$B72),".")</f>
        <v>344678.125</v>
      </c>
      <c r="CW72" s="49">
        <f>IFERROR(up_RadSpec!$E$16*(CW16/$B72),".")</f>
        <v>344678.125</v>
      </c>
      <c r="CX72" s="49">
        <f>IFERROR(up_RadSpec!$E$16*(CX16/$B72),".")</f>
        <v>344678.125</v>
      </c>
    </row>
    <row r="73" spans="1:102" x14ac:dyDescent="0.25">
      <c r="A73" s="83" t="s">
        <v>1097</v>
      </c>
      <c r="B73" s="42">
        <v>1</v>
      </c>
      <c r="C73" s="60">
        <f t="shared" si="8"/>
        <v>3.6265718922545492E-12</v>
      </c>
      <c r="D73" s="60">
        <f t="shared" ref="D73:AA73" si="100">IFERROR(D7/$B59,0)</f>
        <v>1.4506287569018197E-11</v>
      </c>
      <c r="E73" s="60">
        <f t="shared" si="100"/>
        <v>1.4506287569018197E-11</v>
      </c>
      <c r="F73" s="60">
        <f t="shared" si="100"/>
        <v>1.4506287569018197E-11</v>
      </c>
      <c r="G73" s="60">
        <f t="shared" si="100"/>
        <v>1.4506287569018197E-11</v>
      </c>
      <c r="H73" s="60">
        <f t="shared" si="100"/>
        <v>1.4506287569018197E-11</v>
      </c>
      <c r="I73" s="60">
        <f t="shared" si="100"/>
        <v>1.4506287569018197E-11</v>
      </c>
      <c r="J73" s="60">
        <f t="shared" si="100"/>
        <v>1.4506287569018197E-11</v>
      </c>
      <c r="K73" s="60">
        <f t="shared" si="100"/>
        <v>1.4506287569018197E-11</v>
      </c>
      <c r="L73" s="60">
        <f t="shared" si="100"/>
        <v>1.4506287569018197E-11</v>
      </c>
      <c r="M73" s="60">
        <f t="shared" si="100"/>
        <v>1.4506287569018197E-11</v>
      </c>
      <c r="N73" s="60">
        <f t="shared" si="100"/>
        <v>1.4506287569018197E-11</v>
      </c>
      <c r="O73" s="60">
        <f t="shared" si="100"/>
        <v>1.4506287569018197E-11</v>
      </c>
      <c r="P73" s="60">
        <f t="shared" si="100"/>
        <v>1.4506287569018197E-11</v>
      </c>
      <c r="Q73" s="60">
        <f t="shared" si="100"/>
        <v>1.4506287569018197E-11</v>
      </c>
      <c r="R73" s="60">
        <f t="shared" si="100"/>
        <v>1.4506287569018197E-11</v>
      </c>
      <c r="S73" s="60">
        <f t="shared" si="100"/>
        <v>1.4506287569018197E-11</v>
      </c>
      <c r="T73" s="60">
        <f t="shared" si="100"/>
        <v>1.4506287569018197E-11</v>
      </c>
      <c r="U73" s="60">
        <f t="shared" si="100"/>
        <v>1.4506287569018197E-11</v>
      </c>
      <c r="V73" s="60">
        <f t="shared" si="100"/>
        <v>1.4506287569018197E-11</v>
      </c>
      <c r="W73" s="60">
        <f t="shared" si="100"/>
        <v>1.4506287569018197E-11</v>
      </c>
      <c r="X73" s="60">
        <f t="shared" si="100"/>
        <v>1.4506287569018197E-11</v>
      </c>
      <c r="Y73" s="60">
        <f t="shared" si="100"/>
        <v>1.4506287569018197E-11</v>
      </c>
      <c r="Z73" s="60">
        <f t="shared" si="100"/>
        <v>1.4506287569018197E-11</v>
      </c>
      <c r="AA73" s="60">
        <f t="shared" si="100"/>
        <v>1.4506287569018197E-11</v>
      </c>
      <c r="AB73" s="49">
        <f t="shared" si="81"/>
        <v>7927596.875</v>
      </c>
      <c r="AC73" s="49">
        <f>IFERROR(up_RadSpec!$E$7*($AZ$7/$B73),".")</f>
        <v>344678.125</v>
      </c>
      <c r="AD73" s="49">
        <f>IFERROR(up_RadSpec!$E$7*($AZ$7/$B73),".")</f>
        <v>344678.125</v>
      </c>
      <c r="AE73" s="49">
        <f>IFERROR(up_RadSpec!$E$7*($AZ$7/$B73),".")</f>
        <v>344678.125</v>
      </c>
      <c r="AF73" s="49">
        <f>IFERROR(up_RadSpec!$E$7*($AZ$7/$B73),".")</f>
        <v>344678.125</v>
      </c>
      <c r="AG73" s="49">
        <f>IFERROR(up_RadSpec!$E$7*($AZ$7/$B73),".")</f>
        <v>344678.125</v>
      </c>
      <c r="AH73" s="49">
        <f>IFERROR(up_RadSpec!$E$7*($AZ$7/$B73),".")</f>
        <v>344678.125</v>
      </c>
      <c r="AI73" s="49">
        <f>IFERROR(up_RadSpec!$E$7*($AZ$7/$B73),".")</f>
        <v>344678.125</v>
      </c>
      <c r="AJ73" s="49">
        <f>IFERROR(up_RadSpec!$E$7*($AZ$7/$B73),".")</f>
        <v>344678.125</v>
      </c>
      <c r="AK73" s="49">
        <f>IFERROR(up_RadSpec!$E$7*($AZ$7/$B73),".")</f>
        <v>344678.125</v>
      </c>
      <c r="AL73" s="49">
        <f>IFERROR(up_RadSpec!$E$7*($AZ$7/$B73),".")</f>
        <v>344678.125</v>
      </c>
      <c r="AM73" s="49">
        <f>IFERROR(up_RadSpec!$E$7*($AZ$7/$B73),".")</f>
        <v>344678.125</v>
      </c>
      <c r="AN73" s="49">
        <f>IFERROR(up_RadSpec!$E$7*($AZ$7/$B73),".")</f>
        <v>344678.125</v>
      </c>
      <c r="AO73" s="49">
        <f>IFERROR(up_RadSpec!$E$7*($AZ$7/$B73),".")</f>
        <v>344678.125</v>
      </c>
      <c r="AP73" s="49">
        <f>IFERROR(up_RadSpec!$E$7*($AZ$7/$B73),".")</f>
        <v>344678.125</v>
      </c>
      <c r="AQ73" s="49">
        <f>IFERROR(up_RadSpec!$E$7*($AZ$7/$B73),".")</f>
        <v>344678.125</v>
      </c>
      <c r="AR73" s="49">
        <f>IFERROR(up_RadSpec!$E$7*($AZ$7/$B73),".")</f>
        <v>344678.125</v>
      </c>
      <c r="AS73" s="49">
        <f>IFERROR(up_RadSpec!$E$7*($AZ$7/$B73),".")</f>
        <v>344678.125</v>
      </c>
      <c r="AT73" s="49">
        <f>IFERROR(up_RadSpec!$E$7*($AZ$7/$B73),".")</f>
        <v>344678.125</v>
      </c>
      <c r="AU73" s="49">
        <f>IFERROR(up_RadSpec!$E$7*($AZ$7/$B73),".")</f>
        <v>344678.125</v>
      </c>
      <c r="AV73" s="49">
        <f>IFERROR(up_RadSpec!$E$7*($AZ$7/$B73),".")</f>
        <v>344678.125</v>
      </c>
      <c r="AW73" s="49">
        <f>IFERROR(up_RadSpec!$E$7*($AZ$7/$B73),".")</f>
        <v>344678.125</v>
      </c>
      <c r="AX73" s="49">
        <f>IFERROR(up_RadSpec!$E$7*($AZ$7/$B73),".")</f>
        <v>344678.125</v>
      </c>
      <c r="AY73" s="49">
        <f>IFERROR(up_RadSpec!$E$7*($AZ$7/$B73),".")</f>
        <v>344678.125</v>
      </c>
      <c r="AZ73" s="49">
        <f>IFERROR(up_RadSpec!$E$7*($AZ$7/$B73),".")</f>
        <v>344678.125</v>
      </c>
      <c r="BA73" s="60">
        <f t="shared" si="11"/>
        <v>17233906250</v>
      </c>
      <c r="BB73" s="60">
        <f t="shared" ref="BB73:BY73" si="101">IFERROR($B73/BB7,0)</f>
        <v>68935625000</v>
      </c>
      <c r="BC73" s="60">
        <f t="shared" si="101"/>
        <v>68935625000</v>
      </c>
      <c r="BD73" s="60">
        <f t="shared" si="101"/>
        <v>68935625000</v>
      </c>
      <c r="BE73" s="60">
        <f t="shared" si="101"/>
        <v>68935625000</v>
      </c>
      <c r="BF73" s="60">
        <f t="shared" si="101"/>
        <v>68935625000</v>
      </c>
      <c r="BG73" s="60">
        <f t="shared" si="101"/>
        <v>68935625000</v>
      </c>
      <c r="BH73" s="60">
        <f t="shared" si="101"/>
        <v>68935625000</v>
      </c>
      <c r="BI73" s="60">
        <f t="shared" si="101"/>
        <v>68935625000</v>
      </c>
      <c r="BJ73" s="60">
        <f t="shared" si="101"/>
        <v>68935625000</v>
      </c>
      <c r="BK73" s="60">
        <f t="shared" si="101"/>
        <v>68935625000</v>
      </c>
      <c r="BL73" s="60">
        <f t="shared" si="101"/>
        <v>68935625000</v>
      </c>
      <c r="BM73" s="60">
        <f t="shared" si="101"/>
        <v>68935625000</v>
      </c>
      <c r="BN73" s="60">
        <f t="shared" si="101"/>
        <v>68935625000</v>
      </c>
      <c r="BO73" s="60">
        <f t="shared" si="101"/>
        <v>68935625000</v>
      </c>
      <c r="BP73" s="60">
        <f t="shared" si="101"/>
        <v>68935625000</v>
      </c>
      <c r="BQ73" s="60">
        <f t="shared" si="101"/>
        <v>68935625000</v>
      </c>
      <c r="BR73" s="60">
        <f t="shared" si="101"/>
        <v>68935625000</v>
      </c>
      <c r="BS73" s="60">
        <f t="shared" si="101"/>
        <v>68935625000</v>
      </c>
      <c r="BT73" s="60">
        <f t="shared" si="101"/>
        <v>68935625000</v>
      </c>
      <c r="BU73" s="60">
        <f t="shared" si="101"/>
        <v>68935625000</v>
      </c>
      <c r="BV73" s="60">
        <f t="shared" si="101"/>
        <v>68935625000</v>
      </c>
      <c r="BW73" s="60">
        <f t="shared" si="101"/>
        <v>68935625000</v>
      </c>
      <c r="BX73" s="60">
        <f t="shared" si="101"/>
        <v>68935625000</v>
      </c>
      <c r="BY73" s="60">
        <f t="shared" si="101"/>
        <v>68935625000</v>
      </c>
      <c r="BZ73" s="49">
        <f t="shared" si="89"/>
        <v>1378712.5</v>
      </c>
      <c r="CA73" s="49">
        <f>IFERROR(up_RadSpec!$E$7*(CA7/$B73),".")</f>
        <v>344678.125</v>
      </c>
      <c r="CB73" s="49">
        <f>IFERROR(up_RadSpec!$E$7*(CB7/$B73),".")</f>
        <v>344678.125</v>
      </c>
      <c r="CC73" s="49">
        <f>IFERROR(up_RadSpec!$E$7*(CC7/$B73),".")</f>
        <v>344678.125</v>
      </c>
      <c r="CD73" s="49">
        <f>IFERROR(up_RadSpec!$E$7*(CD7/$B73),".")</f>
        <v>344678.125</v>
      </c>
      <c r="CE73" s="49">
        <f>IFERROR(up_RadSpec!$E$7*(CE7/$B73),".")</f>
        <v>344678.125</v>
      </c>
      <c r="CF73" s="49">
        <f>IFERROR(up_RadSpec!$E$7*(CF7/$B73),".")</f>
        <v>344678.125</v>
      </c>
      <c r="CG73" s="49">
        <f>IFERROR(up_RadSpec!$E$7*(CG7/$B73),".")</f>
        <v>344678.125</v>
      </c>
      <c r="CH73" s="49">
        <f>IFERROR(up_RadSpec!$E$7*(CH7/$B73),".")</f>
        <v>344678.125</v>
      </c>
      <c r="CI73" s="49">
        <f>IFERROR(up_RadSpec!$E$7*(CI7/$B73),".")</f>
        <v>344678.125</v>
      </c>
      <c r="CJ73" s="49">
        <f>IFERROR(up_RadSpec!$E$7*(CJ7/$B73),".")</f>
        <v>344678.125</v>
      </c>
      <c r="CK73" s="49">
        <f>IFERROR(up_RadSpec!$E$7*(CK7/$B73),".")</f>
        <v>344678.125</v>
      </c>
      <c r="CL73" s="49">
        <f>IFERROR(up_RadSpec!$E$7*(CL7/$B73),".")</f>
        <v>344678.125</v>
      </c>
      <c r="CM73" s="49">
        <f>IFERROR(up_RadSpec!$E$7*(CM7/$B73),".")</f>
        <v>344678.125</v>
      </c>
      <c r="CN73" s="49">
        <f>IFERROR(up_RadSpec!$E$7*(CN7/$B73),".")</f>
        <v>344678.125</v>
      </c>
      <c r="CO73" s="49">
        <f>IFERROR(up_RadSpec!$E$7*(CO7/$B73),".")</f>
        <v>344678.125</v>
      </c>
      <c r="CP73" s="49">
        <f>IFERROR(up_RadSpec!$E$7*(CP7/$B73),".")</f>
        <v>344678.125</v>
      </c>
      <c r="CQ73" s="49">
        <f>IFERROR(up_RadSpec!$E$7*(CQ7/$B73),".")</f>
        <v>344678.125</v>
      </c>
      <c r="CR73" s="49">
        <f>IFERROR(up_RadSpec!$E$7*(CR7/$B73),".")</f>
        <v>344678.125</v>
      </c>
      <c r="CS73" s="49">
        <f>IFERROR(up_RadSpec!$E$7*(CS7/$B73),".")</f>
        <v>344678.125</v>
      </c>
      <c r="CT73" s="49">
        <f>IFERROR(up_RadSpec!$E$7*(CT7/$B73),".")</f>
        <v>344678.125</v>
      </c>
      <c r="CU73" s="49">
        <f>IFERROR(up_RadSpec!$E$7*(CU7/$B73),".")</f>
        <v>344678.125</v>
      </c>
      <c r="CV73" s="49">
        <f>IFERROR(up_RadSpec!$E$7*(CV7/$B73),".")</f>
        <v>344678.125</v>
      </c>
      <c r="CW73" s="49">
        <f>IFERROR(up_RadSpec!$E$7*(CW7/$B73),".")</f>
        <v>344678.125</v>
      </c>
      <c r="CX73" s="49">
        <f>IFERROR(up_RadSpec!$E$7*(CX7/$B73),".")</f>
        <v>344678.125</v>
      </c>
    </row>
    <row r="74" spans="1:102" x14ac:dyDescent="0.25">
      <c r="A74" s="83" t="s">
        <v>1098</v>
      </c>
      <c r="B74" s="86">
        <v>1.9000000000000001E-8</v>
      </c>
      <c r="C74" s="60">
        <f t="shared" si="8"/>
        <v>1.9087220485550257E-4</v>
      </c>
      <c r="D74" s="60">
        <f t="shared" ref="D74:AA74" si="102">IFERROR(D12/$B60,0)</f>
        <v>7.6348881942201027E-4</v>
      </c>
      <c r="E74" s="60">
        <f t="shared" si="102"/>
        <v>7.6348881942201027E-4</v>
      </c>
      <c r="F74" s="60">
        <f t="shared" si="102"/>
        <v>7.6348881942201027E-4</v>
      </c>
      <c r="G74" s="60">
        <f t="shared" si="102"/>
        <v>7.6348881942201027E-4</v>
      </c>
      <c r="H74" s="60">
        <f t="shared" si="102"/>
        <v>7.6348881942201027E-4</v>
      </c>
      <c r="I74" s="60">
        <f t="shared" si="102"/>
        <v>7.6348881942201027E-4</v>
      </c>
      <c r="J74" s="60">
        <f t="shared" si="102"/>
        <v>7.6348881942201027E-4</v>
      </c>
      <c r="K74" s="60">
        <f t="shared" si="102"/>
        <v>7.6348881942201027E-4</v>
      </c>
      <c r="L74" s="60">
        <f t="shared" si="102"/>
        <v>7.6348881942201027E-4</v>
      </c>
      <c r="M74" s="60">
        <f t="shared" si="102"/>
        <v>7.6348881942201027E-4</v>
      </c>
      <c r="N74" s="60">
        <f t="shared" si="102"/>
        <v>7.6348881942201027E-4</v>
      </c>
      <c r="O74" s="60">
        <f t="shared" si="102"/>
        <v>7.6348881942201027E-4</v>
      </c>
      <c r="P74" s="60">
        <f t="shared" si="102"/>
        <v>7.6348881942201027E-4</v>
      </c>
      <c r="Q74" s="60">
        <f t="shared" si="102"/>
        <v>7.6348881942201027E-4</v>
      </c>
      <c r="R74" s="60">
        <f t="shared" si="102"/>
        <v>7.6348881942201027E-4</v>
      </c>
      <c r="S74" s="60">
        <f t="shared" si="102"/>
        <v>7.6348881942201027E-4</v>
      </c>
      <c r="T74" s="60">
        <f t="shared" si="102"/>
        <v>7.6348881942201027E-4</v>
      </c>
      <c r="U74" s="60">
        <f t="shared" si="102"/>
        <v>7.6348881942201027E-4</v>
      </c>
      <c r="V74" s="60">
        <f t="shared" si="102"/>
        <v>7.6348881942201027E-4</v>
      </c>
      <c r="W74" s="60">
        <f t="shared" si="102"/>
        <v>7.6348881942201027E-4</v>
      </c>
      <c r="X74" s="60">
        <f t="shared" si="102"/>
        <v>7.6348881942201027E-4</v>
      </c>
      <c r="Y74" s="60">
        <f t="shared" si="102"/>
        <v>7.6348881942201027E-4</v>
      </c>
      <c r="Z74" s="60">
        <f t="shared" si="102"/>
        <v>7.6348881942201027E-4</v>
      </c>
      <c r="AA74" s="60">
        <f t="shared" si="102"/>
        <v>7.6348881942201027E-4</v>
      </c>
      <c r="AB74" s="49">
        <f t="shared" si="81"/>
        <v>417241940789473.94</v>
      </c>
      <c r="AC74" s="49">
        <f>IFERROR(up_RadSpec!$E$12*($AZ$12/$B74),".")</f>
        <v>18140953947368.422</v>
      </c>
      <c r="AD74" s="49">
        <f>IFERROR(up_RadSpec!$E$12*($AZ$12/$B74),".")</f>
        <v>18140953947368.422</v>
      </c>
      <c r="AE74" s="49">
        <f>IFERROR(up_RadSpec!$E$12*($AZ$12/$B74),".")</f>
        <v>18140953947368.422</v>
      </c>
      <c r="AF74" s="49">
        <f>IFERROR(up_RadSpec!$E$12*($AZ$12/$B74),".")</f>
        <v>18140953947368.422</v>
      </c>
      <c r="AG74" s="49">
        <f>IFERROR(up_RadSpec!$E$12*($AZ$12/$B74),".")</f>
        <v>18140953947368.422</v>
      </c>
      <c r="AH74" s="49">
        <f>IFERROR(up_RadSpec!$E$12*($AZ$12/$B74),".")</f>
        <v>18140953947368.422</v>
      </c>
      <c r="AI74" s="49">
        <f>IFERROR(up_RadSpec!$E$12*($AZ$12/$B74),".")</f>
        <v>18140953947368.422</v>
      </c>
      <c r="AJ74" s="49">
        <f>IFERROR(up_RadSpec!$E$12*($AZ$12/$B74),".")</f>
        <v>18140953947368.422</v>
      </c>
      <c r="AK74" s="49">
        <f>IFERROR(up_RadSpec!$E$12*($AZ$12/$B74),".")</f>
        <v>18140953947368.422</v>
      </c>
      <c r="AL74" s="49">
        <f>IFERROR(up_RadSpec!$E$12*($AZ$12/$B74),".")</f>
        <v>18140953947368.422</v>
      </c>
      <c r="AM74" s="49">
        <f>IFERROR(up_RadSpec!$E$12*($AZ$12/$B74),".")</f>
        <v>18140953947368.422</v>
      </c>
      <c r="AN74" s="49">
        <f>IFERROR(up_RadSpec!$E$12*($AZ$12/$B74),".")</f>
        <v>18140953947368.422</v>
      </c>
      <c r="AO74" s="49">
        <f>IFERROR(up_RadSpec!$E$12*($AZ$12/$B74),".")</f>
        <v>18140953947368.422</v>
      </c>
      <c r="AP74" s="49">
        <f>IFERROR(up_RadSpec!$E$12*($AZ$12/$B74),".")</f>
        <v>18140953947368.422</v>
      </c>
      <c r="AQ74" s="49">
        <f>IFERROR(up_RadSpec!$E$12*($AZ$12/$B74),".")</f>
        <v>18140953947368.422</v>
      </c>
      <c r="AR74" s="49">
        <f>IFERROR(up_RadSpec!$E$12*($AZ$12/$B74),".")</f>
        <v>18140953947368.422</v>
      </c>
      <c r="AS74" s="49">
        <f>IFERROR(up_RadSpec!$E$12*($AZ$12/$B74),".")</f>
        <v>18140953947368.422</v>
      </c>
      <c r="AT74" s="49">
        <f>IFERROR(up_RadSpec!$E$12*($AZ$12/$B74),".")</f>
        <v>18140953947368.422</v>
      </c>
      <c r="AU74" s="49">
        <f>IFERROR(up_RadSpec!$E$12*($AZ$12/$B74),".")</f>
        <v>18140953947368.422</v>
      </c>
      <c r="AV74" s="49">
        <f>IFERROR(up_RadSpec!$E$12*($AZ$12/$B74),".")</f>
        <v>18140953947368.422</v>
      </c>
      <c r="AW74" s="49">
        <f>IFERROR(up_RadSpec!$E$12*($AZ$12/$B74),".")</f>
        <v>18140953947368.422</v>
      </c>
      <c r="AX74" s="49">
        <f>IFERROR(up_RadSpec!$E$12*($AZ$12/$B74),".")</f>
        <v>18140953947368.422</v>
      </c>
      <c r="AY74" s="49">
        <f>IFERROR(up_RadSpec!$E$12*($AZ$12/$B74),".")</f>
        <v>18140953947368.422</v>
      </c>
      <c r="AZ74" s="49">
        <f>IFERROR(up_RadSpec!$E$12*($AZ$12/$B74),".")</f>
        <v>18140953947368.422</v>
      </c>
      <c r="BA74" s="60">
        <f t="shared" si="11"/>
        <v>327.44421875</v>
      </c>
      <c r="BB74" s="60">
        <f t="shared" ref="BB74:BY74" si="103">IFERROR($B74/BB12,0)</f>
        <v>1309.776875</v>
      </c>
      <c r="BC74" s="60">
        <f t="shared" si="103"/>
        <v>1309.776875</v>
      </c>
      <c r="BD74" s="60">
        <f t="shared" si="103"/>
        <v>1309.776875</v>
      </c>
      <c r="BE74" s="60">
        <f t="shared" si="103"/>
        <v>1309.776875</v>
      </c>
      <c r="BF74" s="60">
        <f t="shared" si="103"/>
        <v>1309.776875</v>
      </c>
      <c r="BG74" s="60">
        <f t="shared" si="103"/>
        <v>1309.776875</v>
      </c>
      <c r="BH74" s="60">
        <f t="shared" si="103"/>
        <v>1309.776875</v>
      </c>
      <c r="BI74" s="60">
        <f t="shared" si="103"/>
        <v>1309.776875</v>
      </c>
      <c r="BJ74" s="60">
        <f t="shared" si="103"/>
        <v>1309.776875</v>
      </c>
      <c r="BK74" s="60">
        <f t="shared" si="103"/>
        <v>1309.776875</v>
      </c>
      <c r="BL74" s="60">
        <f t="shared" si="103"/>
        <v>1309.776875</v>
      </c>
      <c r="BM74" s="60">
        <f t="shared" si="103"/>
        <v>1309.776875</v>
      </c>
      <c r="BN74" s="60">
        <f t="shared" si="103"/>
        <v>1309.776875</v>
      </c>
      <c r="BO74" s="60">
        <f t="shared" si="103"/>
        <v>1309.776875</v>
      </c>
      <c r="BP74" s="60">
        <f t="shared" si="103"/>
        <v>1309.776875</v>
      </c>
      <c r="BQ74" s="60">
        <f t="shared" si="103"/>
        <v>1309.776875</v>
      </c>
      <c r="BR74" s="60">
        <f t="shared" si="103"/>
        <v>1309.776875</v>
      </c>
      <c r="BS74" s="60">
        <f t="shared" si="103"/>
        <v>1309.776875</v>
      </c>
      <c r="BT74" s="60">
        <f t="shared" si="103"/>
        <v>1309.776875</v>
      </c>
      <c r="BU74" s="60">
        <f t="shared" si="103"/>
        <v>1309.776875</v>
      </c>
      <c r="BV74" s="60">
        <f t="shared" si="103"/>
        <v>1309.776875</v>
      </c>
      <c r="BW74" s="60">
        <f t="shared" si="103"/>
        <v>1309.776875</v>
      </c>
      <c r="BX74" s="60">
        <f t="shared" si="103"/>
        <v>1309.776875</v>
      </c>
      <c r="BY74" s="60">
        <f t="shared" si="103"/>
        <v>1309.776875</v>
      </c>
      <c r="BZ74" s="49">
        <f t="shared" si="89"/>
        <v>72563815789473.688</v>
      </c>
      <c r="CA74" s="49">
        <f>IFERROR(up_RadSpec!$E$12*(CA12/$B74),".")</f>
        <v>18140953947368.422</v>
      </c>
      <c r="CB74" s="49">
        <f>IFERROR(up_RadSpec!$E$12*(CB12/$B74),".")</f>
        <v>18140953947368.422</v>
      </c>
      <c r="CC74" s="49">
        <f>IFERROR(up_RadSpec!$E$12*(CC12/$B74),".")</f>
        <v>18140953947368.422</v>
      </c>
      <c r="CD74" s="49">
        <f>IFERROR(up_RadSpec!$E$12*(CD12/$B74),".")</f>
        <v>18140953947368.422</v>
      </c>
      <c r="CE74" s="49">
        <f>IFERROR(up_RadSpec!$E$12*(CE12/$B74),".")</f>
        <v>18140953947368.422</v>
      </c>
      <c r="CF74" s="49">
        <f>IFERROR(up_RadSpec!$E$12*(CF12/$B74),".")</f>
        <v>18140953947368.422</v>
      </c>
      <c r="CG74" s="49">
        <f>IFERROR(up_RadSpec!$E$12*(CG12/$B74),".")</f>
        <v>18140953947368.422</v>
      </c>
      <c r="CH74" s="49">
        <f>IFERROR(up_RadSpec!$E$12*(CH12/$B74),".")</f>
        <v>18140953947368.422</v>
      </c>
      <c r="CI74" s="49">
        <f>IFERROR(up_RadSpec!$E$12*(CI12/$B74),".")</f>
        <v>18140953947368.422</v>
      </c>
      <c r="CJ74" s="49">
        <f>IFERROR(up_RadSpec!$E$12*(CJ12/$B74),".")</f>
        <v>18140953947368.422</v>
      </c>
      <c r="CK74" s="49">
        <f>IFERROR(up_RadSpec!$E$12*(CK12/$B74),".")</f>
        <v>18140953947368.422</v>
      </c>
      <c r="CL74" s="49">
        <f>IFERROR(up_RadSpec!$E$12*(CL12/$B74),".")</f>
        <v>18140953947368.422</v>
      </c>
      <c r="CM74" s="49">
        <f>IFERROR(up_RadSpec!$E$12*(CM12/$B74),".")</f>
        <v>18140953947368.422</v>
      </c>
      <c r="CN74" s="49">
        <f>IFERROR(up_RadSpec!$E$12*(CN12/$B74),".")</f>
        <v>18140953947368.422</v>
      </c>
      <c r="CO74" s="49">
        <f>IFERROR(up_RadSpec!$E$12*(CO12/$B74),".")</f>
        <v>18140953947368.422</v>
      </c>
      <c r="CP74" s="49">
        <f>IFERROR(up_RadSpec!$E$12*(CP12/$B74),".")</f>
        <v>18140953947368.422</v>
      </c>
      <c r="CQ74" s="49">
        <f>IFERROR(up_RadSpec!$E$12*(CQ12/$B74),".")</f>
        <v>18140953947368.422</v>
      </c>
      <c r="CR74" s="49">
        <f>IFERROR(up_RadSpec!$E$12*(CR12/$B74),".")</f>
        <v>18140953947368.422</v>
      </c>
      <c r="CS74" s="49">
        <f>IFERROR(up_RadSpec!$E$12*(CS12/$B74),".")</f>
        <v>18140953947368.422</v>
      </c>
      <c r="CT74" s="49">
        <f>IFERROR(up_RadSpec!$E$12*(CT12/$B74),".")</f>
        <v>18140953947368.422</v>
      </c>
      <c r="CU74" s="49">
        <f>IFERROR(up_RadSpec!$E$12*(CU12/$B74),".")</f>
        <v>18140953947368.422</v>
      </c>
      <c r="CV74" s="49">
        <f>IFERROR(up_RadSpec!$E$12*(CV12/$B74),".")</f>
        <v>18140953947368.422</v>
      </c>
      <c r="CW74" s="49">
        <f>IFERROR(up_RadSpec!$E$12*(CW12/$B74),".")</f>
        <v>18140953947368.422</v>
      </c>
      <c r="CX74" s="49">
        <f>IFERROR(up_RadSpec!$E$12*(CX12/$B74),".")</f>
        <v>18140953947368.422</v>
      </c>
    </row>
    <row r="75" spans="1:102" x14ac:dyDescent="0.25">
      <c r="A75" s="83" t="s">
        <v>1099</v>
      </c>
      <c r="B75" s="42">
        <v>1</v>
      </c>
      <c r="C75" s="60">
        <f t="shared" si="8"/>
        <v>3.6265718922545492E-12</v>
      </c>
      <c r="D75" s="60">
        <f t="shared" ref="D75:AA75" si="104">IFERROR(D18/$B61,0)</f>
        <v>1.4506287569018197E-11</v>
      </c>
      <c r="E75" s="60">
        <f t="shared" si="104"/>
        <v>1.4506287569018197E-11</v>
      </c>
      <c r="F75" s="60">
        <f t="shared" si="104"/>
        <v>1.4506287569018197E-11</v>
      </c>
      <c r="G75" s="60">
        <f t="shared" si="104"/>
        <v>1.4506287569018197E-11</v>
      </c>
      <c r="H75" s="60">
        <f t="shared" si="104"/>
        <v>1.4506287569018197E-11</v>
      </c>
      <c r="I75" s="60">
        <f t="shared" si="104"/>
        <v>1.4506287569018197E-11</v>
      </c>
      <c r="J75" s="60">
        <f t="shared" si="104"/>
        <v>1.4506287569018197E-11</v>
      </c>
      <c r="K75" s="60">
        <f t="shared" si="104"/>
        <v>1.4506287569018197E-11</v>
      </c>
      <c r="L75" s="60">
        <f t="shared" si="104"/>
        <v>1.4506287569018197E-11</v>
      </c>
      <c r="M75" s="60">
        <f t="shared" si="104"/>
        <v>1.4506287569018197E-11</v>
      </c>
      <c r="N75" s="60">
        <f t="shared" si="104"/>
        <v>1.4506287569018197E-11</v>
      </c>
      <c r="O75" s="60">
        <f t="shared" si="104"/>
        <v>1.4506287569018197E-11</v>
      </c>
      <c r="P75" s="60">
        <f t="shared" si="104"/>
        <v>1.4506287569018197E-11</v>
      </c>
      <c r="Q75" s="60">
        <f t="shared" si="104"/>
        <v>1.4506287569018197E-11</v>
      </c>
      <c r="R75" s="60">
        <f t="shared" si="104"/>
        <v>1.4506287569018197E-11</v>
      </c>
      <c r="S75" s="60">
        <f t="shared" si="104"/>
        <v>1.4506287569018197E-11</v>
      </c>
      <c r="T75" s="60">
        <f t="shared" si="104"/>
        <v>1.4506287569018197E-11</v>
      </c>
      <c r="U75" s="60">
        <f t="shared" si="104"/>
        <v>1.4506287569018197E-11</v>
      </c>
      <c r="V75" s="60">
        <f t="shared" si="104"/>
        <v>1.4506287569018197E-11</v>
      </c>
      <c r="W75" s="60">
        <f t="shared" si="104"/>
        <v>1.4506287569018197E-11</v>
      </c>
      <c r="X75" s="60">
        <f t="shared" si="104"/>
        <v>1.4506287569018197E-11</v>
      </c>
      <c r="Y75" s="60">
        <f t="shared" si="104"/>
        <v>1.4506287569018197E-11</v>
      </c>
      <c r="Z75" s="60">
        <f t="shared" si="104"/>
        <v>1.4506287569018197E-11</v>
      </c>
      <c r="AA75" s="60">
        <f t="shared" si="104"/>
        <v>1.4506287569018197E-11</v>
      </c>
      <c r="AB75" s="49">
        <f t="shared" si="81"/>
        <v>7927596.875</v>
      </c>
      <c r="AC75" s="49">
        <f>IFERROR(up_RadSpec!$E$18*($AZ$18/$B75),".")</f>
        <v>344678.125</v>
      </c>
      <c r="AD75" s="49">
        <f>IFERROR(up_RadSpec!$E$18*($AZ$18/$B75),".")</f>
        <v>344678.125</v>
      </c>
      <c r="AE75" s="49">
        <f>IFERROR(up_RadSpec!$E$18*($AZ$18/$B75),".")</f>
        <v>344678.125</v>
      </c>
      <c r="AF75" s="49">
        <f>IFERROR(up_RadSpec!$E$18*($AZ$18/$B75),".")</f>
        <v>344678.125</v>
      </c>
      <c r="AG75" s="49">
        <f>IFERROR(up_RadSpec!$E$18*($AZ$18/$B75),".")</f>
        <v>344678.125</v>
      </c>
      <c r="AH75" s="49">
        <f>IFERROR(up_RadSpec!$E$18*($AZ$18/$B75),".")</f>
        <v>344678.125</v>
      </c>
      <c r="AI75" s="49">
        <f>IFERROR(up_RadSpec!$E$18*($AZ$18/$B75),".")</f>
        <v>344678.125</v>
      </c>
      <c r="AJ75" s="49">
        <f>IFERROR(up_RadSpec!$E$18*($AZ$18/$B75),".")</f>
        <v>344678.125</v>
      </c>
      <c r="AK75" s="49">
        <f>IFERROR(up_RadSpec!$E$18*($AZ$18/$B75),".")</f>
        <v>344678.125</v>
      </c>
      <c r="AL75" s="49">
        <f>IFERROR(up_RadSpec!$E$18*($AZ$18/$B75),".")</f>
        <v>344678.125</v>
      </c>
      <c r="AM75" s="49">
        <f>IFERROR(up_RadSpec!$E$18*($AZ$18/$B75),".")</f>
        <v>344678.125</v>
      </c>
      <c r="AN75" s="49">
        <f>IFERROR(up_RadSpec!$E$18*($AZ$18/$B75),".")</f>
        <v>344678.125</v>
      </c>
      <c r="AO75" s="49">
        <f>IFERROR(up_RadSpec!$E$18*($AZ$18/$B75),".")</f>
        <v>344678.125</v>
      </c>
      <c r="AP75" s="49">
        <f>IFERROR(up_RadSpec!$E$18*($AZ$18/$B75),".")</f>
        <v>344678.125</v>
      </c>
      <c r="AQ75" s="49">
        <f>IFERROR(up_RadSpec!$E$18*($AZ$18/$B75),".")</f>
        <v>344678.125</v>
      </c>
      <c r="AR75" s="49">
        <f>IFERROR(up_RadSpec!$E$18*($AZ$18/$B75),".")</f>
        <v>344678.125</v>
      </c>
      <c r="AS75" s="49">
        <f>IFERROR(up_RadSpec!$E$18*($AZ$18/$B75),".")</f>
        <v>344678.125</v>
      </c>
      <c r="AT75" s="49">
        <f>IFERROR(up_RadSpec!$E$18*($AZ$18/$B75),".")</f>
        <v>344678.125</v>
      </c>
      <c r="AU75" s="49">
        <f>IFERROR(up_RadSpec!$E$18*($AZ$18/$B75),".")</f>
        <v>344678.125</v>
      </c>
      <c r="AV75" s="49">
        <f>IFERROR(up_RadSpec!$E$18*($AZ$18/$B75),".")</f>
        <v>344678.125</v>
      </c>
      <c r="AW75" s="49">
        <f>IFERROR(up_RadSpec!$E$18*($AZ$18/$B75),".")</f>
        <v>344678.125</v>
      </c>
      <c r="AX75" s="49">
        <f>IFERROR(up_RadSpec!$E$18*($AZ$18/$B75),".")</f>
        <v>344678.125</v>
      </c>
      <c r="AY75" s="49">
        <f>IFERROR(up_RadSpec!$E$18*($AZ$18/$B75),".")</f>
        <v>344678.125</v>
      </c>
      <c r="AZ75" s="49">
        <f>IFERROR(up_RadSpec!$E$18*($AZ$18/$B75),".")</f>
        <v>344678.125</v>
      </c>
      <c r="BA75" s="60">
        <f t="shared" si="11"/>
        <v>17233906250</v>
      </c>
      <c r="BB75" s="60">
        <f t="shared" ref="BB75:BY75" si="105">IFERROR($B75/BB18,0)</f>
        <v>68935625000</v>
      </c>
      <c r="BC75" s="60">
        <f t="shared" si="105"/>
        <v>68935625000</v>
      </c>
      <c r="BD75" s="60">
        <f t="shared" si="105"/>
        <v>68935625000</v>
      </c>
      <c r="BE75" s="60">
        <f t="shared" si="105"/>
        <v>68935625000</v>
      </c>
      <c r="BF75" s="60">
        <f t="shared" si="105"/>
        <v>68935625000</v>
      </c>
      <c r="BG75" s="60">
        <f t="shared" si="105"/>
        <v>68935625000</v>
      </c>
      <c r="BH75" s="60">
        <f t="shared" si="105"/>
        <v>68935625000</v>
      </c>
      <c r="BI75" s="60">
        <f t="shared" si="105"/>
        <v>68935625000</v>
      </c>
      <c r="BJ75" s="60">
        <f t="shared" si="105"/>
        <v>68935625000</v>
      </c>
      <c r="BK75" s="60">
        <f t="shared" si="105"/>
        <v>68935625000</v>
      </c>
      <c r="BL75" s="60">
        <f t="shared" si="105"/>
        <v>68935625000</v>
      </c>
      <c r="BM75" s="60">
        <f t="shared" si="105"/>
        <v>68935625000</v>
      </c>
      <c r="BN75" s="60">
        <f t="shared" si="105"/>
        <v>68935625000</v>
      </c>
      <c r="BO75" s="60">
        <f t="shared" si="105"/>
        <v>68935625000</v>
      </c>
      <c r="BP75" s="60">
        <f t="shared" si="105"/>
        <v>68935625000</v>
      </c>
      <c r="BQ75" s="60">
        <f t="shared" si="105"/>
        <v>68935625000</v>
      </c>
      <c r="BR75" s="60">
        <f t="shared" si="105"/>
        <v>68935625000</v>
      </c>
      <c r="BS75" s="60">
        <f t="shared" si="105"/>
        <v>68935625000</v>
      </c>
      <c r="BT75" s="60">
        <f t="shared" si="105"/>
        <v>68935625000</v>
      </c>
      <c r="BU75" s="60">
        <f t="shared" si="105"/>
        <v>68935625000</v>
      </c>
      <c r="BV75" s="60">
        <f t="shared" si="105"/>
        <v>68935625000</v>
      </c>
      <c r="BW75" s="60">
        <f t="shared" si="105"/>
        <v>68935625000</v>
      </c>
      <c r="BX75" s="60">
        <f t="shared" si="105"/>
        <v>68935625000</v>
      </c>
      <c r="BY75" s="60">
        <f t="shared" si="105"/>
        <v>68935625000</v>
      </c>
      <c r="BZ75" s="49">
        <f t="shared" si="89"/>
        <v>1378712.5</v>
      </c>
      <c r="CA75" s="49">
        <f>IFERROR(up_RadSpec!$E$18*(CA18/$B75),".")</f>
        <v>344678.125</v>
      </c>
      <c r="CB75" s="49">
        <f>IFERROR(up_RadSpec!$E$18*(CB18/$B75),".")</f>
        <v>344678.125</v>
      </c>
      <c r="CC75" s="49">
        <f>IFERROR(up_RadSpec!$E$18*(CC18/$B75),".")</f>
        <v>344678.125</v>
      </c>
      <c r="CD75" s="49">
        <f>IFERROR(up_RadSpec!$E$18*(CD18/$B75),".")</f>
        <v>344678.125</v>
      </c>
      <c r="CE75" s="49">
        <f>IFERROR(up_RadSpec!$E$18*(CE18/$B75),".")</f>
        <v>344678.125</v>
      </c>
      <c r="CF75" s="49">
        <f>IFERROR(up_RadSpec!$E$18*(CF18/$B75),".")</f>
        <v>344678.125</v>
      </c>
      <c r="CG75" s="49">
        <f>IFERROR(up_RadSpec!$E$18*(CG18/$B75),".")</f>
        <v>344678.125</v>
      </c>
      <c r="CH75" s="49">
        <f>IFERROR(up_RadSpec!$E$18*(CH18/$B75),".")</f>
        <v>344678.125</v>
      </c>
      <c r="CI75" s="49">
        <f>IFERROR(up_RadSpec!$E$18*(CI18/$B75),".")</f>
        <v>344678.125</v>
      </c>
      <c r="CJ75" s="49">
        <f>IFERROR(up_RadSpec!$E$18*(CJ18/$B75),".")</f>
        <v>344678.125</v>
      </c>
      <c r="CK75" s="49">
        <f>IFERROR(up_RadSpec!$E$18*(CK18/$B75),".")</f>
        <v>344678.125</v>
      </c>
      <c r="CL75" s="49">
        <f>IFERROR(up_RadSpec!$E$18*(CL18/$B75),".")</f>
        <v>344678.125</v>
      </c>
      <c r="CM75" s="49">
        <f>IFERROR(up_RadSpec!$E$18*(CM18/$B75),".")</f>
        <v>344678.125</v>
      </c>
      <c r="CN75" s="49">
        <f>IFERROR(up_RadSpec!$E$18*(CN18/$B75),".")</f>
        <v>344678.125</v>
      </c>
      <c r="CO75" s="49">
        <f>IFERROR(up_RadSpec!$E$18*(CO18/$B75),".")</f>
        <v>344678.125</v>
      </c>
      <c r="CP75" s="49">
        <f>IFERROR(up_RadSpec!$E$18*(CP18/$B75),".")</f>
        <v>344678.125</v>
      </c>
      <c r="CQ75" s="49">
        <f>IFERROR(up_RadSpec!$E$18*(CQ18/$B75),".")</f>
        <v>344678.125</v>
      </c>
      <c r="CR75" s="49">
        <f>IFERROR(up_RadSpec!$E$18*(CR18/$B75),".")</f>
        <v>344678.125</v>
      </c>
      <c r="CS75" s="49">
        <f>IFERROR(up_RadSpec!$E$18*(CS18/$B75),".")</f>
        <v>344678.125</v>
      </c>
      <c r="CT75" s="49">
        <f>IFERROR(up_RadSpec!$E$18*(CT18/$B75),".")</f>
        <v>344678.125</v>
      </c>
      <c r="CU75" s="49">
        <f>IFERROR(up_RadSpec!$E$18*(CU18/$B75),".")</f>
        <v>344678.125</v>
      </c>
      <c r="CV75" s="49">
        <f>IFERROR(up_RadSpec!$E$18*(CV18/$B75),".")</f>
        <v>344678.125</v>
      </c>
      <c r="CW75" s="49">
        <f>IFERROR(up_RadSpec!$E$18*(CW18/$B75),".")</f>
        <v>344678.125</v>
      </c>
      <c r="CX75" s="49">
        <f>IFERROR(up_RadSpec!$E$18*(CX18/$B75),".")</f>
        <v>344678.125</v>
      </c>
    </row>
    <row r="76" spans="1:102" x14ac:dyDescent="0.25">
      <c r="A76" s="83" t="s">
        <v>1100</v>
      </c>
      <c r="B76" s="42">
        <v>1.339E-6</v>
      </c>
      <c r="C76" s="60">
        <f t="shared" si="8"/>
        <v>2.7084181420870421E-6</v>
      </c>
      <c r="D76" s="60">
        <f t="shared" ref="D76:AA76" si="106">IFERROR(D27/$B62,0)</f>
        <v>1.0833672568348168E-5</v>
      </c>
      <c r="E76" s="60">
        <f t="shared" si="106"/>
        <v>1.0833672568348168E-5</v>
      </c>
      <c r="F76" s="60">
        <f t="shared" si="106"/>
        <v>1.0833672568348168E-5</v>
      </c>
      <c r="G76" s="60">
        <f t="shared" si="106"/>
        <v>1.0833672568348168E-5</v>
      </c>
      <c r="H76" s="60">
        <f t="shared" si="106"/>
        <v>1.0833672568348168E-5</v>
      </c>
      <c r="I76" s="60">
        <f t="shared" si="106"/>
        <v>1.0833672568348168E-5</v>
      </c>
      <c r="J76" s="60">
        <f t="shared" si="106"/>
        <v>1.0833672568348168E-5</v>
      </c>
      <c r="K76" s="60">
        <f t="shared" si="106"/>
        <v>1.0833672568348168E-5</v>
      </c>
      <c r="L76" s="60">
        <f t="shared" si="106"/>
        <v>1.0833672568348168E-5</v>
      </c>
      <c r="M76" s="60">
        <f t="shared" si="106"/>
        <v>1.0833672568348168E-5</v>
      </c>
      <c r="N76" s="60">
        <f t="shared" si="106"/>
        <v>1.0833672568348168E-5</v>
      </c>
      <c r="O76" s="60">
        <f t="shared" si="106"/>
        <v>1.0833672568348168E-5</v>
      </c>
      <c r="P76" s="60">
        <f t="shared" si="106"/>
        <v>1.0833672568348168E-5</v>
      </c>
      <c r="Q76" s="60">
        <f t="shared" si="106"/>
        <v>1.0833672568348168E-5</v>
      </c>
      <c r="R76" s="60">
        <f t="shared" si="106"/>
        <v>1.0833672568348168E-5</v>
      </c>
      <c r="S76" s="60">
        <f t="shared" si="106"/>
        <v>1.0833672568348168E-5</v>
      </c>
      <c r="T76" s="60">
        <f t="shared" si="106"/>
        <v>1.0833672568348168E-5</v>
      </c>
      <c r="U76" s="60">
        <f t="shared" si="106"/>
        <v>1.0833672568348168E-5</v>
      </c>
      <c r="V76" s="60">
        <f t="shared" si="106"/>
        <v>1.0833672568348168E-5</v>
      </c>
      <c r="W76" s="60">
        <f t="shared" si="106"/>
        <v>1.0833672568348168E-5</v>
      </c>
      <c r="X76" s="60">
        <f t="shared" si="106"/>
        <v>1.0833672568348168E-5</v>
      </c>
      <c r="Y76" s="60">
        <f t="shared" si="106"/>
        <v>1.0833672568348168E-5</v>
      </c>
      <c r="Z76" s="60">
        <f t="shared" si="106"/>
        <v>1.0833672568348168E-5</v>
      </c>
      <c r="AA76" s="60">
        <f t="shared" si="106"/>
        <v>1.0833672568348168E-5</v>
      </c>
      <c r="AB76" s="49">
        <f t="shared" si="81"/>
        <v>5920535380881.2568</v>
      </c>
      <c r="AC76" s="49">
        <f>IFERROR(up_RadSpec!$E$27*($AZ$27/$B76),".")</f>
        <v>257414581777.44586</v>
      </c>
      <c r="AD76" s="49">
        <f>IFERROR(up_RadSpec!$E$27*($AZ$27/$B76),".")</f>
        <v>257414581777.44586</v>
      </c>
      <c r="AE76" s="49">
        <f>IFERROR(up_RadSpec!$E$27*($AZ$27/$B76),".")</f>
        <v>257414581777.44586</v>
      </c>
      <c r="AF76" s="49">
        <f>IFERROR(up_RadSpec!$E$27*($AZ$27/$B76),".")</f>
        <v>257414581777.44586</v>
      </c>
      <c r="AG76" s="49">
        <f>IFERROR(up_RadSpec!$E$27*($AZ$27/$B76),".")</f>
        <v>257414581777.44586</v>
      </c>
      <c r="AH76" s="49">
        <f>IFERROR(up_RadSpec!$E$27*($AZ$27/$B76),".")</f>
        <v>257414581777.44586</v>
      </c>
      <c r="AI76" s="49">
        <f>IFERROR(up_RadSpec!$E$27*($AZ$27/$B76),".")</f>
        <v>257414581777.44586</v>
      </c>
      <c r="AJ76" s="49">
        <f>IFERROR(up_RadSpec!$E$27*($AZ$27/$B76),".")</f>
        <v>257414581777.44586</v>
      </c>
      <c r="AK76" s="49">
        <f>IFERROR(up_RadSpec!$E$27*($AZ$27/$B76),".")</f>
        <v>257414581777.44586</v>
      </c>
      <c r="AL76" s="49">
        <f>IFERROR(up_RadSpec!$E$27*($AZ$27/$B76),".")</f>
        <v>257414581777.44586</v>
      </c>
      <c r="AM76" s="49">
        <f>IFERROR(up_RadSpec!$E$27*($AZ$27/$B76),".")</f>
        <v>257414581777.44586</v>
      </c>
      <c r="AN76" s="49">
        <f>IFERROR(up_RadSpec!$E$27*($AZ$27/$B76),".")</f>
        <v>257414581777.44586</v>
      </c>
      <c r="AO76" s="49">
        <f>IFERROR(up_RadSpec!$E$27*($AZ$27/$B76),".")</f>
        <v>257414581777.44586</v>
      </c>
      <c r="AP76" s="49">
        <f>IFERROR(up_RadSpec!$E$27*($AZ$27/$B76),".")</f>
        <v>257414581777.44586</v>
      </c>
      <c r="AQ76" s="49">
        <f>IFERROR(up_RadSpec!$E$27*($AZ$27/$B76),".")</f>
        <v>257414581777.44586</v>
      </c>
      <c r="AR76" s="49">
        <f>IFERROR(up_RadSpec!$E$27*($AZ$27/$B76),".")</f>
        <v>257414581777.44586</v>
      </c>
      <c r="AS76" s="49">
        <f>IFERROR(up_RadSpec!$E$27*($AZ$27/$B76),".")</f>
        <v>257414581777.44586</v>
      </c>
      <c r="AT76" s="49">
        <f>IFERROR(up_RadSpec!$E$27*($AZ$27/$B76),".")</f>
        <v>257414581777.44586</v>
      </c>
      <c r="AU76" s="49">
        <f>IFERROR(up_RadSpec!$E$27*($AZ$27/$B76),".")</f>
        <v>257414581777.44586</v>
      </c>
      <c r="AV76" s="49">
        <f>IFERROR(up_RadSpec!$E$27*($AZ$27/$B76),".")</f>
        <v>257414581777.44586</v>
      </c>
      <c r="AW76" s="49">
        <f>IFERROR(up_RadSpec!$E$27*($AZ$27/$B76),".")</f>
        <v>257414581777.44586</v>
      </c>
      <c r="AX76" s="49">
        <f>IFERROR(up_RadSpec!$E$27*($AZ$27/$B76),".")</f>
        <v>257414581777.44586</v>
      </c>
      <c r="AY76" s="49">
        <f>IFERROR(up_RadSpec!$E$27*($AZ$27/$B76),".")</f>
        <v>257414581777.44586</v>
      </c>
      <c r="AZ76" s="49">
        <f>IFERROR(up_RadSpec!$E$27*($AZ$27/$B76),".")</f>
        <v>257414581777.44586</v>
      </c>
      <c r="BA76" s="60">
        <f t="shared" si="11"/>
        <v>23076.200468750001</v>
      </c>
      <c r="BB76" s="60">
        <f t="shared" ref="BB76:BY76" si="107">IFERROR($B76/BB27,0)</f>
        <v>92304.801875000005</v>
      </c>
      <c r="BC76" s="60">
        <f t="shared" si="107"/>
        <v>92304.801875000005</v>
      </c>
      <c r="BD76" s="60">
        <f t="shared" si="107"/>
        <v>92304.801875000005</v>
      </c>
      <c r="BE76" s="60">
        <f t="shared" si="107"/>
        <v>92304.801875000005</v>
      </c>
      <c r="BF76" s="60">
        <f t="shared" si="107"/>
        <v>92304.801875000005</v>
      </c>
      <c r="BG76" s="60">
        <f t="shared" si="107"/>
        <v>92304.801875000005</v>
      </c>
      <c r="BH76" s="60">
        <f t="shared" si="107"/>
        <v>92304.801875000005</v>
      </c>
      <c r="BI76" s="60">
        <f t="shared" si="107"/>
        <v>92304.801875000005</v>
      </c>
      <c r="BJ76" s="60">
        <f t="shared" si="107"/>
        <v>92304.801875000005</v>
      </c>
      <c r="BK76" s="60">
        <f t="shared" si="107"/>
        <v>92304.801875000005</v>
      </c>
      <c r="BL76" s="60">
        <f t="shared" si="107"/>
        <v>92304.801875000005</v>
      </c>
      <c r="BM76" s="60">
        <f t="shared" si="107"/>
        <v>92304.801875000005</v>
      </c>
      <c r="BN76" s="60">
        <f t="shared" si="107"/>
        <v>92304.801875000005</v>
      </c>
      <c r="BO76" s="60">
        <f t="shared" si="107"/>
        <v>92304.801875000005</v>
      </c>
      <c r="BP76" s="60">
        <f t="shared" si="107"/>
        <v>92304.801875000005</v>
      </c>
      <c r="BQ76" s="60">
        <f t="shared" si="107"/>
        <v>92304.801875000005</v>
      </c>
      <c r="BR76" s="60">
        <f t="shared" si="107"/>
        <v>92304.801875000005</v>
      </c>
      <c r="BS76" s="60">
        <f t="shared" si="107"/>
        <v>92304.801875000005</v>
      </c>
      <c r="BT76" s="60">
        <f t="shared" si="107"/>
        <v>92304.801875000005</v>
      </c>
      <c r="BU76" s="60">
        <f t="shared" si="107"/>
        <v>92304.801875000005</v>
      </c>
      <c r="BV76" s="60">
        <f t="shared" si="107"/>
        <v>92304.801875000005</v>
      </c>
      <c r="BW76" s="60">
        <f t="shared" si="107"/>
        <v>92304.801875000005</v>
      </c>
      <c r="BX76" s="60">
        <f t="shared" si="107"/>
        <v>92304.801875000005</v>
      </c>
      <c r="BY76" s="60">
        <f t="shared" si="107"/>
        <v>92304.801875000005</v>
      </c>
      <c r="BZ76" s="49">
        <f t="shared" si="89"/>
        <v>1029658327109.7834</v>
      </c>
      <c r="CA76" s="49">
        <f>IFERROR(up_RadSpec!$E$27*(CA27/$B76),".")</f>
        <v>257414581777.44586</v>
      </c>
      <c r="CB76" s="49">
        <f>IFERROR(up_RadSpec!$E$27*(CB27/$B76),".")</f>
        <v>257414581777.44586</v>
      </c>
      <c r="CC76" s="49">
        <f>IFERROR(up_RadSpec!$E$27*(CC27/$B76),".")</f>
        <v>257414581777.44586</v>
      </c>
      <c r="CD76" s="49">
        <f>IFERROR(up_RadSpec!$E$27*(CD27/$B76),".")</f>
        <v>257414581777.44586</v>
      </c>
      <c r="CE76" s="49">
        <f>IFERROR(up_RadSpec!$E$27*(CE27/$B76),".")</f>
        <v>257414581777.44586</v>
      </c>
      <c r="CF76" s="49">
        <f>IFERROR(up_RadSpec!$E$27*(CF27/$B76),".")</f>
        <v>257414581777.44586</v>
      </c>
      <c r="CG76" s="49">
        <f>IFERROR(up_RadSpec!$E$27*(CG27/$B76),".")</f>
        <v>257414581777.44586</v>
      </c>
      <c r="CH76" s="49">
        <f>IFERROR(up_RadSpec!$E$27*(CH27/$B76),".")</f>
        <v>257414581777.44586</v>
      </c>
      <c r="CI76" s="49">
        <f>IFERROR(up_RadSpec!$E$27*(CI27/$B76),".")</f>
        <v>257414581777.44586</v>
      </c>
      <c r="CJ76" s="49">
        <f>IFERROR(up_RadSpec!$E$27*(CJ27/$B76),".")</f>
        <v>257414581777.44586</v>
      </c>
      <c r="CK76" s="49">
        <f>IFERROR(up_RadSpec!$E$27*(CK27/$B76),".")</f>
        <v>257414581777.44586</v>
      </c>
      <c r="CL76" s="49">
        <f>IFERROR(up_RadSpec!$E$27*(CL27/$B76),".")</f>
        <v>257414581777.44586</v>
      </c>
      <c r="CM76" s="49">
        <f>IFERROR(up_RadSpec!$E$27*(CM27/$B76),".")</f>
        <v>257414581777.44586</v>
      </c>
      <c r="CN76" s="49">
        <f>IFERROR(up_RadSpec!$E$27*(CN27/$B76),".")</f>
        <v>257414581777.44586</v>
      </c>
      <c r="CO76" s="49">
        <f>IFERROR(up_RadSpec!$E$27*(CO27/$B76),".")</f>
        <v>257414581777.44586</v>
      </c>
      <c r="CP76" s="49">
        <f>IFERROR(up_RadSpec!$E$27*(CP27/$B76),".")</f>
        <v>257414581777.44586</v>
      </c>
      <c r="CQ76" s="49">
        <f>IFERROR(up_RadSpec!$E$27*(CQ27/$B76),".")</f>
        <v>257414581777.44586</v>
      </c>
      <c r="CR76" s="49">
        <f>IFERROR(up_RadSpec!$E$27*(CR27/$B76),".")</f>
        <v>257414581777.44586</v>
      </c>
      <c r="CS76" s="49">
        <f>IFERROR(up_RadSpec!$E$27*(CS27/$B76),".")</f>
        <v>257414581777.44586</v>
      </c>
      <c r="CT76" s="49">
        <f>IFERROR(up_RadSpec!$E$27*(CT27/$B76),".")</f>
        <v>257414581777.44586</v>
      </c>
      <c r="CU76" s="49">
        <f>IFERROR(up_RadSpec!$E$27*(CU27/$B76),".")</f>
        <v>257414581777.44586</v>
      </c>
      <c r="CV76" s="49">
        <f>IFERROR(up_RadSpec!$E$27*(CV27/$B76),".")</f>
        <v>257414581777.44586</v>
      </c>
      <c r="CW76" s="49">
        <f>IFERROR(up_RadSpec!$E$27*(CW27/$B76),".")</f>
        <v>257414581777.44586</v>
      </c>
      <c r="CX76" s="49">
        <f>IFERROR(up_RadSpec!$E$27*(CX27/$B76),".")</f>
        <v>257414581777.44586</v>
      </c>
    </row>
  </sheetData>
  <sheetProtection algorithmName="SHA-512" hashValue="+UhtKbFFLzdec9uAXfgy0aBUpEiD+Klz5vAXhxzo/7Fz4hduAsnhjx7YpdSarvkR+Ej6Vr/irEMjKWXp29Zsdg==" saltValue="BodWxpwBKW3v/V72LhMetg==" spinCount="100000" sheet="1" objects="1" scenarios="1" formatColumns="0" formatRows="0" autoFilter="0"/>
  <autoFilter ref="A1:CX76" xr:uid="{6E27F3FE-A4C7-4CF2-9825-ED84E3DEE6B6}"/>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CX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4.5703125" style="90" bestFit="1" customWidth="1"/>
    <col min="2" max="2" width="11.7109375" style="90" bestFit="1" customWidth="1"/>
    <col min="3" max="3" width="22.85546875" style="90" bestFit="1" customWidth="1"/>
    <col min="4" max="4" width="14.5703125" style="90" bestFit="1" customWidth="1"/>
    <col min="5" max="5" width="14.28515625" style="90" bestFit="1" customWidth="1"/>
    <col min="6" max="6" width="13.85546875" style="90" bestFit="1" customWidth="1"/>
    <col min="7" max="7" width="14.28515625" style="90" bestFit="1" customWidth="1"/>
    <col min="8" max="8" width="13.7109375" style="90" bestFit="1" customWidth="1"/>
    <col min="9" max="9" width="14" style="90" bestFit="1" customWidth="1"/>
    <col min="10" max="10" width="13.140625" style="90" bestFit="1" customWidth="1"/>
    <col min="11" max="11" width="14.5703125" style="90" bestFit="1" customWidth="1"/>
    <col min="12" max="12" width="13.7109375" style="90" bestFit="1" customWidth="1"/>
    <col min="13" max="13" width="15.42578125" style="90" bestFit="1" customWidth="1"/>
    <col min="14" max="14" width="12.85546875" style="90" bestFit="1" customWidth="1"/>
    <col min="15" max="15" width="13.42578125" style="90" bestFit="1" customWidth="1"/>
    <col min="16" max="16" width="13.5703125" style="90" bestFit="1" customWidth="1"/>
    <col min="17" max="17" width="14.7109375" style="90" bestFit="1" customWidth="1"/>
    <col min="18" max="18" width="15" style="90" bestFit="1" customWidth="1"/>
    <col min="19" max="19" width="13.7109375" style="90" bestFit="1" customWidth="1"/>
    <col min="20" max="20" width="13" style="90" bestFit="1" customWidth="1"/>
    <col min="21" max="21" width="14.42578125" style="90" bestFit="1" customWidth="1"/>
    <col min="22" max="22" width="14.85546875" style="90" bestFit="1" customWidth="1"/>
    <col min="23" max="23" width="13.85546875" style="90" bestFit="1" customWidth="1"/>
    <col min="24" max="24" width="14.5703125" style="90" bestFit="1" customWidth="1"/>
    <col min="25" max="25" width="13.42578125" style="90" bestFit="1" customWidth="1"/>
    <col min="26" max="26" width="13" style="90" bestFit="1" customWidth="1"/>
    <col min="27" max="27" width="15" style="90" bestFit="1" customWidth="1"/>
    <col min="28" max="28" width="20.7109375" style="90" bestFit="1" customWidth="1"/>
    <col min="29" max="30" width="14.7109375" style="90" bestFit="1" customWidth="1"/>
    <col min="31" max="31" width="13.85546875" style="90" bestFit="1" customWidth="1"/>
    <col min="32" max="32" width="14.5703125" style="90" bestFit="1" customWidth="1"/>
    <col min="33" max="33" width="13.85546875" style="90" bestFit="1" customWidth="1"/>
    <col min="34" max="34" width="14.140625" style="90" bestFit="1" customWidth="1"/>
    <col min="35" max="35" width="13.5703125" style="90" bestFit="1" customWidth="1"/>
    <col min="36" max="36" width="14.7109375" style="90" bestFit="1" customWidth="1"/>
    <col min="37" max="37" width="13.85546875" style="90" bestFit="1" customWidth="1"/>
    <col min="38" max="38" width="15.5703125" style="90" bestFit="1" customWidth="1"/>
    <col min="39" max="39" width="13.140625" style="90" bestFit="1" customWidth="1"/>
    <col min="40" max="40" width="13.85546875" style="90" bestFit="1" customWidth="1"/>
    <col min="41" max="41" width="14" style="90" bestFit="1" customWidth="1"/>
    <col min="42" max="42" width="14.7109375" style="90" bestFit="1" customWidth="1"/>
    <col min="43" max="43" width="15" style="90" bestFit="1" customWidth="1"/>
    <col min="44" max="44" width="14" style="90" bestFit="1" customWidth="1"/>
    <col min="45" max="45" width="13.28515625" style="90" bestFit="1" customWidth="1"/>
    <col min="46" max="46" width="14.7109375" style="90" bestFit="1" customWidth="1"/>
    <col min="47" max="47" width="14.85546875" style="90" bestFit="1" customWidth="1"/>
    <col min="48" max="48" width="14" style="90" bestFit="1" customWidth="1"/>
    <col min="49" max="49" width="14.85546875" style="90" bestFit="1" customWidth="1"/>
    <col min="50" max="50" width="13.5703125" style="90" bestFit="1" customWidth="1"/>
    <col min="51" max="51" width="13.28515625" style="90" bestFit="1" customWidth="1"/>
    <col min="52" max="52" width="15.140625" style="90" bestFit="1" customWidth="1"/>
    <col min="53" max="53" width="26.140625" style="90" bestFit="1" customWidth="1"/>
    <col min="54" max="54" width="14.28515625" style="90" bestFit="1" customWidth="1"/>
    <col min="55" max="55" width="14.140625" style="90" bestFit="1" customWidth="1"/>
    <col min="56" max="56" width="13.5703125" style="90" bestFit="1" customWidth="1"/>
    <col min="57" max="57" width="14.140625" style="90" bestFit="1" customWidth="1"/>
    <col min="58" max="58" width="13.42578125" style="90" bestFit="1" customWidth="1"/>
    <col min="59" max="59" width="13.7109375" style="90" bestFit="1" customWidth="1"/>
    <col min="60" max="60" width="13" style="90" bestFit="1" customWidth="1"/>
    <col min="61" max="61" width="14.28515625" style="90" bestFit="1" customWidth="1"/>
    <col min="62" max="62" width="13.42578125" style="90" bestFit="1" customWidth="1"/>
    <col min="63" max="63" width="15.28515625" style="90" bestFit="1" customWidth="1"/>
    <col min="64" max="64" width="12.7109375" style="90" bestFit="1" customWidth="1"/>
    <col min="65" max="65" width="13.28515625" style="90" bestFit="1" customWidth="1"/>
    <col min="66" max="66" width="13.42578125" style="90" bestFit="1" customWidth="1"/>
    <col min="67" max="67" width="14.5703125" style="90" bestFit="1" customWidth="1"/>
    <col min="68" max="68" width="14.7109375" style="90" bestFit="1" customWidth="1"/>
    <col min="69" max="69" width="13.42578125" style="90" bestFit="1" customWidth="1"/>
    <col min="70" max="70" width="12.85546875" style="90" bestFit="1" customWidth="1"/>
    <col min="71" max="71" width="14.140625" style="90" bestFit="1" customWidth="1"/>
    <col min="72" max="72" width="14.5703125" style="90" bestFit="1" customWidth="1"/>
    <col min="73" max="73" width="13.5703125" style="90" bestFit="1" customWidth="1"/>
    <col min="74" max="74" width="14.28515625" style="90" bestFit="1" customWidth="1"/>
    <col min="75" max="75" width="13.140625" style="90" bestFit="1" customWidth="1"/>
    <col min="76" max="76" width="12.85546875" style="90" bestFit="1" customWidth="1"/>
    <col min="77" max="77" width="13.85546875" style="90" bestFit="1" customWidth="1"/>
    <col min="78" max="78" width="20.7109375" style="90" bestFit="1" customWidth="1"/>
    <col min="79" max="79" width="14.5703125" style="90" bestFit="1" customWidth="1"/>
    <col min="80" max="80" width="14.7109375" style="90" bestFit="1" customWidth="1"/>
    <col min="81" max="81" width="13.85546875" style="90" bestFit="1" customWidth="1"/>
    <col min="82" max="82" width="14.42578125" style="90" bestFit="1" customWidth="1"/>
    <col min="83" max="83" width="13.85546875" style="90" bestFit="1" customWidth="1"/>
    <col min="84" max="84" width="14" style="90" bestFit="1" customWidth="1"/>
    <col min="85" max="85" width="13.42578125" style="90" bestFit="1" customWidth="1"/>
    <col min="86" max="86" width="14.7109375" style="90" bestFit="1" customWidth="1"/>
    <col min="87" max="87" width="13.85546875" style="90" bestFit="1" customWidth="1"/>
    <col min="88" max="88" width="15.5703125" style="90" bestFit="1" customWidth="1"/>
    <col min="89" max="89" width="13" style="90" bestFit="1" customWidth="1"/>
    <col min="90" max="91" width="13.85546875" style="90" bestFit="1" customWidth="1"/>
    <col min="92" max="92" width="14.7109375" style="90" bestFit="1" customWidth="1"/>
    <col min="93" max="93" width="15" style="90" bestFit="1" customWidth="1"/>
    <col min="94" max="94" width="13.85546875" style="90" bestFit="1" customWidth="1"/>
    <col min="95" max="95" width="13.140625" style="90" bestFit="1" customWidth="1"/>
    <col min="96" max="96" width="14.5703125" style="90" bestFit="1" customWidth="1"/>
    <col min="97" max="97" width="14.85546875" style="90" bestFit="1" customWidth="1"/>
    <col min="98" max="98" width="14" style="90" bestFit="1" customWidth="1"/>
    <col min="99" max="99" width="14.85546875" style="90" bestFit="1" customWidth="1"/>
    <col min="100" max="100" width="13.5703125" style="90" bestFit="1" customWidth="1"/>
    <col min="101" max="101" width="13.140625" style="90" bestFit="1" customWidth="1"/>
    <col min="102" max="102" width="14.28515625" style="90" bestFit="1" customWidth="1"/>
    <col min="103" max="16384" width="9.140625" style="90"/>
  </cols>
  <sheetData>
    <row r="1" spans="1:102" x14ac:dyDescent="0.25">
      <c r="A1" s="87" t="s">
        <v>51</v>
      </c>
      <c r="B1" s="88" t="s">
        <v>350</v>
      </c>
      <c r="C1" s="89" t="s">
        <v>1472</v>
      </c>
      <c r="D1" s="90" t="s">
        <v>1447</v>
      </c>
      <c r="E1" s="90" t="s">
        <v>1448</v>
      </c>
      <c r="F1" s="90" t="s">
        <v>1449</v>
      </c>
      <c r="G1" s="90" t="s">
        <v>1450</v>
      </c>
      <c r="H1" s="90" t="s">
        <v>1451</v>
      </c>
      <c r="I1" s="90" t="s">
        <v>1452</v>
      </c>
      <c r="J1" s="90" t="s">
        <v>1453</v>
      </c>
      <c r="K1" s="90" t="s">
        <v>1454</v>
      </c>
      <c r="L1" s="90" t="s">
        <v>1455</v>
      </c>
      <c r="M1" s="90" t="s">
        <v>1456</v>
      </c>
      <c r="N1" s="90" t="s">
        <v>1457</v>
      </c>
      <c r="O1" s="90" t="s">
        <v>1458</v>
      </c>
      <c r="P1" s="90" t="s">
        <v>1459</v>
      </c>
      <c r="Q1" s="90" t="s">
        <v>1460</v>
      </c>
      <c r="R1" s="90" t="s">
        <v>1461</v>
      </c>
      <c r="S1" s="90" t="s">
        <v>1462</v>
      </c>
      <c r="T1" s="90" t="s">
        <v>1463</v>
      </c>
      <c r="U1" s="90" t="s">
        <v>1464</v>
      </c>
      <c r="V1" s="90" t="s">
        <v>1465</v>
      </c>
      <c r="W1" s="90" t="s">
        <v>1466</v>
      </c>
      <c r="X1" s="90" t="s">
        <v>1467</v>
      </c>
      <c r="Y1" s="90" t="s">
        <v>1468</v>
      </c>
      <c r="Z1" s="90" t="s">
        <v>1469</v>
      </c>
      <c r="AA1" s="90" t="s">
        <v>1470</v>
      </c>
      <c r="AB1" s="91" t="s">
        <v>1124</v>
      </c>
      <c r="AC1" s="91" t="s">
        <v>1125</v>
      </c>
      <c r="AD1" s="91" t="s">
        <v>1126</v>
      </c>
      <c r="AE1" s="91" t="s">
        <v>1127</v>
      </c>
      <c r="AF1" s="91" t="s">
        <v>1128</v>
      </c>
      <c r="AG1" s="91" t="s">
        <v>1129</v>
      </c>
      <c r="AH1" s="91" t="s">
        <v>1130</v>
      </c>
      <c r="AI1" s="91" t="s">
        <v>1131</v>
      </c>
      <c r="AJ1" s="91" t="s">
        <v>1132</v>
      </c>
      <c r="AK1" s="91" t="s">
        <v>1133</v>
      </c>
      <c r="AL1" s="91" t="s">
        <v>1134</v>
      </c>
      <c r="AM1" s="91" t="s">
        <v>1135</v>
      </c>
      <c r="AN1" s="91" t="s">
        <v>1136</v>
      </c>
      <c r="AO1" s="91" t="s">
        <v>1137</v>
      </c>
      <c r="AP1" s="91" t="s">
        <v>1138</v>
      </c>
      <c r="AQ1" s="91" t="s">
        <v>1139</v>
      </c>
      <c r="AR1" s="91" t="s">
        <v>1140</v>
      </c>
      <c r="AS1" s="91" t="s">
        <v>1141</v>
      </c>
      <c r="AT1" s="91" t="s">
        <v>1142</v>
      </c>
      <c r="AU1" s="91" t="s">
        <v>1143</v>
      </c>
      <c r="AV1" s="91" t="s">
        <v>1144</v>
      </c>
      <c r="AW1" s="91" t="s">
        <v>1145</v>
      </c>
      <c r="AX1" s="91" t="s">
        <v>1146</v>
      </c>
      <c r="AY1" s="91" t="s">
        <v>1147</v>
      </c>
      <c r="AZ1" s="91" t="s">
        <v>1148</v>
      </c>
      <c r="BA1" s="90" t="s">
        <v>1474</v>
      </c>
      <c r="BB1" s="90" t="s">
        <v>1422</v>
      </c>
      <c r="BC1" s="90" t="s">
        <v>1423</v>
      </c>
      <c r="BD1" s="90" t="s">
        <v>1424</v>
      </c>
      <c r="BE1" s="90" t="s">
        <v>1425</v>
      </c>
      <c r="BF1" s="90" t="s">
        <v>1426</v>
      </c>
      <c r="BG1" s="90" t="s">
        <v>1427</v>
      </c>
      <c r="BH1" s="90" t="s">
        <v>1428</v>
      </c>
      <c r="BI1" s="90" t="s">
        <v>1429</v>
      </c>
      <c r="BJ1" s="90" t="s">
        <v>1430</v>
      </c>
      <c r="BK1" s="90" t="s">
        <v>1431</v>
      </c>
      <c r="BL1" s="90" t="s">
        <v>1432</v>
      </c>
      <c r="BM1" s="90" t="s">
        <v>1433</v>
      </c>
      <c r="BN1" s="90" t="s">
        <v>1434</v>
      </c>
      <c r="BO1" s="90" t="s">
        <v>1435</v>
      </c>
      <c r="BP1" s="90" t="s">
        <v>1436</v>
      </c>
      <c r="BQ1" s="90" t="s">
        <v>1437</v>
      </c>
      <c r="BR1" s="90" t="s">
        <v>1438</v>
      </c>
      <c r="BS1" s="90" t="s">
        <v>1439</v>
      </c>
      <c r="BT1" s="90" t="s">
        <v>1440</v>
      </c>
      <c r="BU1" s="90" t="s">
        <v>1441</v>
      </c>
      <c r="BV1" s="90" t="s">
        <v>1442</v>
      </c>
      <c r="BW1" s="90" t="s">
        <v>1443</v>
      </c>
      <c r="BX1" s="90" t="s">
        <v>1444</v>
      </c>
      <c r="BY1" s="90" t="s">
        <v>1445</v>
      </c>
      <c r="BZ1" s="91" t="s">
        <v>1149</v>
      </c>
      <c r="CA1" s="91" t="s">
        <v>1397</v>
      </c>
      <c r="CB1" s="91" t="s">
        <v>1398</v>
      </c>
      <c r="CC1" s="91" t="s">
        <v>1399</v>
      </c>
      <c r="CD1" s="91" t="s">
        <v>1400</v>
      </c>
      <c r="CE1" s="91" t="s">
        <v>1401</v>
      </c>
      <c r="CF1" s="91" t="s">
        <v>1402</v>
      </c>
      <c r="CG1" s="91" t="s">
        <v>1403</v>
      </c>
      <c r="CH1" s="91" t="s">
        <v>1404</v>
      </c>
      <c r="CI1" s="91" t="s">
        <v>1405</v>
      </c>
      <c r="CJ1" s="91" t="s">
        <v>1406</v>
      </c>
      <c r="CK1" s="91" t="s">
        <v>1407</v>
      </c>
      <c r="CL1" s="91" t="s">
        <v>1408</v>
      </c>
      <c r="CM1" s="91" t="s">
        <v>1409</v>
      </c>
      <c r="CN1" s="91" t="s">
        <v>1410</v>
      </c>
      <c r="CO1" s="91" t="s">
        <v>1411</v>
      </c>
      <c r="CP1" s="91" t="s">
        <v>1412</v>
      </c>
      <c r="CQ1" s="91" t="s">
        <v>1413</v>
      </c>
      <c r="CR1" s="91" t="s">
        <v>1414</v>
      </c>
      <c r="CS1" s="91" t="s">
        <v>1415</v>
      </c>
      <c r="CT1" s="91" t="s">
        <v>1416</v>
      </c>
      <c r="CU1" s="91" t="s">
        <v>1417</v>
      </c>
      <c r="CV1" s="91" t="s">
        <v>1418</v>
      </c>
      <c r="CW1" s="91" t="s">
        <v>1419</v>
      </c>
      <c r="CX1" s="91" t="s">
        <v>1420</v>
      </c>
    </row>
    <row r="2" spans="1:102" ht="15" customHeight="1" x14ac:dyDescent="0.25">
      <c r="A2" s="92" t="s">
        <v>12</v>
      </c>
      <c r="B2" s="90" t="s">
        <v>1074</v>
      </c>
      <c r="C2" s="76">
        <f t="shared" ref="C2:C65" si="0">IFERROR(1/SUM(1/D2,1/E2,1/Z2,1/AA2),".")</f>
        <v>1.8087754064641833E-11</v>
      </c>
      <c r="D2" s="76">
        <f>IFERROR(IF(AND(up_Irr!C2&lt;&gt;".",up_Irr!AA2&lt;&gt;".",up_Irr!AY2&lt;&gt;"."),up_dir!D2/((1/1000)*(up_Irr!C2+up_Irr!AA2+up_Irr!AY2)),IF(AND(up_Irr!C2&lt;&gt;".",up_Irr!AA2&lt;&gt;".",up_Irr!AY2="."),up_dir!D2/((1/1000)*(up_Irr!C2+up_Irr!AA2)),IF(AND(up_Irr!C2&lt;&gt;".",up_Irr!AA2=".",up_Irr!AY2&lt;&gt;"."),up_dir!D2/((1/1000)*(up_Irr!C2+up_Irr!AY2)),IF(AND(up_Irr!C2=".",up_Irr!AA2&lt;&gt;".",up_Irr!AY2&lt;&gt;"."),up_dir!D2/((1/1000)*(up_Irr!AA2+up_Irr!AY2)),IF(AND(up_Irr!C2=".",up_Irr!AA2=".",up_Irr!AY2&lt;&gt;"."),up_dir!D2/((1/1000)*(up_Irr!AY2)),IF(AND(up_Irr!C2=".",up_Irr!AA2&lt;&gt;".",up_Irr!AY2="."),up_dir!D2/((1/1000)*(up_Irr!AA2)),IF(AND(up_Irr!C2&lt;&gt;".",up_Irr!AA2=".",up_Irr!AY2="."),up_dir!D2/((1/1000)*(up_Irr!C2)),IF(AND(up_Irr!C2=".",up_Irr!AA2=".",up_Irr!AY2="."),up_dir!D2*1000)))))))),".")</f>
        <v>7.2351016258567334E-11</v>
      </c>
      <c r="E2" s="76">
        <f>IFERROR(IF(AND(up_Irr!D2&lt;&gt;".",up_Irr!AB2&lt;&gt;".",up_Irr!AZ2&lt;&gt;"."),up_dir!E2/((1/1000)*(up_Irr!D2+up_Irr!AB2+up_Irr!AZ2)),IF(AND(up_Irr!D2&lt;&gt;".",up_Irr!AB2&lt;&gt;".",up_Irr!AZ2="."),up_dir!E2/((1/1000)*(up_Irr!D2+up_Irr!AB2)),IF(AND(up_Irr!D2&lt;&gt;".",up_Irr!AB2=".",up_Irr!AZ2&lt;&gt;"."),up_dir!E2/((1/1000)*(up_Irr!D2+up_Irr!AZ2)),IF(AND(up_Irr!D2=".",up_Irr!AB2&lt;&gt;".",up_Irr!AZ2&lt;&gt;"."),up_dir!E2/((1/1000)*(up_Irr!AB2+up_Irr!AZ2)),IF(AND(up_Irr!D2=".",up_Irr!AB2=".",up_Irr!AZ2&lt;&gt;"."),up_dir!E2/((1/1000)*(up_Irr!AZ2)),IF(AND(up_Irr!D2=".",up_Irr!AB2&lt;&gt;".",up_Irr!AZ2="."),up_dir!E2/((1/1000)*(up_Irr!AB2)),IF(AND(up_Irr!D2&lt;&gt;".",up_Irr!AB2=".",up_Irr!AZ2="."),up_dir!E2/((1/1000)*(up_Irr!D2)),IF(AND(up_Irr!D2=".",up_Irr!AB2=".",up_Irr!AZ2="."),up_dir!E2*1000)))))))),".")</f>
        <v>7.2351016258567334E-11</v>
      </c>
      <c r="F2" s="76">
        <f>IFERROR(IF(AND(up_Irr!E2&lt;&gt;".",up_Irr!AC2&lt;&gt;".",up_Irr!BA2&lt;&gt;"."),up_dir!F2/((1/1000)*(up_Irr!E2+up_Irr!AC2+up_Irr!BA2)),IF(AND(up_Irr!E2&lt;&gt;".",up_Irr!AC2&lt;&gt;".",up_Irr!BA2="."),up_dir!F2/((1/1000)*(up_Irr!E2+up_Irr!AC2)),IF(AND(up_Irr!E2&lt;&gt;".",up_Irr!AC2=".",up_Irr!BA2&lt;&gt;"."),up_dir!F2/((1/1000)*(up_Irr!E2+up_Irr!BA2)),IF(AND(up_Irr!E2=".",up_Irr!AC2&lt;&gt;".",up_Irr!BA2&lt;&gt;"."),up_dir!F2/((1/1000)*(up_Irr!AC2+up_Irr!BA2)),IF(AND(up_Irr!E2=".",up_Irr!AC2=".",up_Irr!BA2&lt;&gt;"."),up_dir!F2/((1/1000)*(up_Irr!BA2)),IF(AND(up_Irr!E2=".",up_Irr!AC2&lt;&gt;".",up_Irr!BA2="."),up_dir!F2/((1/1000)*(up_Irr!AC2)),IF(AND(up_Irr!E2&lt;&gt;".",up_Irr!AC2=".",up_Irr!BA2="."),up_dir!F2/((1/1000)*(up_Irr!E2)),IF(AND(up_Irr!E2=".",up_Irr!AC2=".",up_Irr!BA2="."),up_dir!F2*1000)))))))),".")</f>
        <v>7.2351016258567334E-11</v>
      </c>
      <c r="G2" s="76">
        <f>IFERROR(IF(AND(up_Irr!F2&lt;&gt;".",up_Irr!AD2&lt;&gt;".",up_Irr!BB2&lt;&gt;"."),up_dir!G2/((1/1000)*(up_Irr!F2+up_Irr!AD2+up_Irr!BB2)),IF(AND(up_Irr!F2&lt;&gt;".",up_Irr!AD2&lt;&gt;".",up_Irr!BB2="."),up_dir!G2/((1/1000)*(up_Irr!F2+up_Irr!AD2)),IF(AND(up_Irr!F2&lt;&gt;".",up_Irr!AD2=".",up_Irr!BB2&lt;&gt;"."),up_dir!G2/((1/1000)*(up_Irr!F2+up_Irr!BB2)),IF(AND(up_Irr!F2=".",up_Irr!AD2&lt;&gt;".",up_Irr!BB2&lt;&gt;"."),up_dir!G2/((1/1000)*(up_Irr!AD2+up_Irr!BB2)),IF(AND(up_Irr!F2=".",up_Irr!AD2=".",up_Irr!BB2&lt;&gt;"."),up_dir!G2/((1/1000)*(up_Irr!BB2)),IF(AND(up_Irr!F2=".",up_Irr!AD2&lt;&gt;".",up_Irr!BB2="."),up_dir!G2/((1/1000)*(up_Irr!AD2)),IF(AND(up_Irr!F2&lt;&gt;".",up_Irr!AD2=".",up_Irr!BB2="."),up_dir!G2/((1/1000)*(up_Irr!F2)),IF(AND(up_Irr!F2=".",up_Irr!AD2=".",up_Irr!BB2="."),up_dir!G2*1000)))))))),".")</f>
        <v>7.2351016258567334E-11</v>
      </c>
      <c r="H2" s="76">
        <f>IFERROR(IF(AND(up_Irr!G2&lt;&gt;".",up_Irr!AE2&lt;&gt;".",up_Irr!BC2&lt;&gt;"."),up_dir!H2/((1/1000)*(up_Irr!G2+up_Irr!AE2+up_Irr!BC2)),IF(AND(up_Irr!G2&lt;&gt;".",up_Irr!AE2&lt;&gt;".",up_Irr!BC2="."),up_dir!H2/((1/1000)*(up_Irr!G2+up_Irr!AE2)),IF(AND(up_Irr!G2&lt;&gt;".",up_Irr!AE2=".",up_Irr!BC2&lt;&gt;"."),up_dir!H2/((1/1000)*(up_Irr!G2+up_Irr!BC2)),IF(AND(up_Irr!G2=".",up_Irr!AE2&lt;&gt;".",up_Irr!BC2&lt;&gt;"."),up_dir!H2/((1/1000)*(up_Irr!AE2+up_Irr!BC2)),IF(AND(up_Irr!G2=".",up_Irr!AE2=".",up_Irr!BC2&lt;&gt;"."),up_dir!H2/((1/1000)*(up_Irr!BC2)),IF(AND(up_Irr!G2=".",up_Irr!AE2&lt;&gt;".",up_Irr!BC2="."),up_dir!H2/((1/1000)*(up_Irr!AE2)),IF(AND(up_Irr!G2&lt;&gt;".",up_Irr!AE2=".",up_Irr!BC2="."),up_dir!H2/((1/1000)*(up_Irr!G2)),IF(AND(up_Irr!G2=".",up_Irr!AE2=".",up_Irr!BC2="."),up_dir!H2*1000)))))))),".")</f>
        <v>7.2351016258567334E-11</v>
      </c>
      <c r="I2" s="76">
        <f>IFERROR(IF(AND(up_Irr!H2&lt;&gt;".",up_Irr!AF2&lt;&gt;".",up_Irr!BD2&lt;&gt;"."),up_dir!I2/((1/1000)*(up_Irr!H2+up_Irr!AF2+up_Irr!BD2)),IF(AND(up_Irr!H2&lt;&gt;".",up_Irr!AF2&lt;&gt;".",up_Irr!BD2="."),up_dir!I2/((1/1000)*(up_Irr!H2+up_Irr!AF2)),IF(AND(up_Irr!H2&lt;&gt;".",up_Irr!AF2=".",up_Irr!BD2&lt;&gt;"."),up_dir!I2/((1/1000)*(up_Irr!H2+up_Irr!BD2)),IF(AND(up_Irr!H2=".",up_Irr!AF2&lt;&gt;".",up_Irr!BD2&lt;&gt;"."),up_dir!I2/((1/1000)*(up_Irr!AF2+up_Irr!BD2)),IF(AND(up_Irr!H2=".",up_Irr!AF2=".",up_Irr!BD2&lt;&gt;"."),up_dir!I2/((1/1000)*(up_Irr!BD2)),IF(AND(up_Irr!H2=".",up_Irr!AF2&lt;&gt;".",up_Irr!BD2="."),up_dir!I2/((1/1000)*(up_Irr!AF2)),IF(AND(up_Irr!H2&lt;&gt;".",up_Irr!AF2=".",up_Irr!BD2="."),up_dir!I2/((1/1000)*(up_Irr!H2)),IF(AND(up_Irr!H2=".",up_Irr!AF2=".",up_Irr!BD2="."),up_dir!I2*1000)))))))),".")</f>
        <v>7.2351016258567334E-11</v>
      </c>
      <c r="J2" s="76">
        <f>IFERROR(IF(AND(up_Irr!I2&lt;&gt;".",up_Irr!AG2&lt;&gt;".",up_Irr!BE2&lt;&gt;"."),up_dir!J2/((1/1000)*(up_Irr!I2+up_Irr!AG2+up_Irr!BE2)),IF(AND(up_Irr!I2&lt;&gt;".",up_Irr!AG2&lt;&gt;".",up_Irr!BE2="."),up_dir!J2/((1/1000)*(up_Irr!I2+up_Irr!AG2)),IF(AND(up_Irr!I2&lt;&gt;".",up_Irr!AG2=".",up_Irr!BE2&lt;&gt;"."),up_dir!J2/((1/1000)*(up_Irr!I2+up_Irr!BE2)),IF(AND(up_Irr!I2=".",up_Irr!AG2&lt;&gt;".",up_Irr!BE2&lt;&gt;"."),up_dir!J2/((1/1000)*(up_Irr!AG2+up_Irr!BE2)),IF(AND(up_Irr!I2=".",up_Irr!AG2=".",up_Irr!BE2&lt;&gt;"."),up_dir!J2/((1/1000)*(up_Irr!BE2)),IF(AND(up_Irr!I2=".",up_Irr!AG2&lt;&gt;".",up_Irr!BE2="."),up_dir!J2/((1/1000)*(up_Irr!AG2)),IF(AND(up_Irr!I2&lt;&gt;".",up_Irr!AG2=".",up_Irr!BE2="."),up_dir!J2/((1/1000)*(up_Irr!I2)),IF(AND(up_Irr!I2=".",up_Irr!AG2=".",up_Irr!BE2="."),up_dir!J2*1000)))))))),".")</f>
        <v>7.2351016258567334E-11</v>
      </c>
      <c r="K2" s="76">
        <f>IFERROR(IF(AND(up_Irr!J2&lt;&gt;".",up_Irr!AH2&lt;&gt;".",up_Irr!BF2&lt;&gt;"."),up_dir!K2/((1/1000)*(up_Irr!J2+up_Irr!AH2+up_Irr!BF2)),IF(AND(up_Irr!J2&lt;&gt;".",up_Irr!AH2&lt;&gt;".",up_Irr!BF2="."),up_dir!K2/((1/1000)*(up_Irr!J2+up_Irr!AH2)),IF(AND(up_Irr!J2&lt;&gt;".",up_Irr!AH2=".",up_Irr!BF2&lt;&gt;"."),up_dir!K2/((1/1000)*(up_Irr!J2+up_Irr!BF2)),IF(AND(up_Irr!J2=".",up_Irr!AH2&lt;&gt;".",up_Irr!BF2&lt;&gt;"."),up_dir!K2/((1/1000)*(up_Irr!AH2+up_Irr!BF2)),IF(AND(up_Irr!J2=".",up_Irr!AH2=".",up_Irr!BF2&lt;&gt;"."),up_dir!K2/((1/1000)*(up_Irr!BF2)),IF(AND(up_Irr!J2=".",up_Irr!AH2&lt;&gt;".",up_Irr!BF2="."),up_dir!K2/((1/1000)*(up_Irr!AH2)),IF(AND(up_Irr!J2&lt;&gt;".",up_Irr!AH2=".",up_Irr!BF2="."),up_dir!K2/((1/1000)*(up_Irr!J2)),IF(AND(up_Irr!J2=".",up_Irr!AH2=".",up_Irr!BF2="."),up_dir!K2*1000)))))))),".")</f>
        <v>7.2351016258567334E-11</v>
      </c>
      <c r="L2" s="76">
        <f>IFERROR(IF(AND(up_Irr!K2&lt;&gt;".",up_Irr!AI2&lt;&gt;".",up_Irr!BG2&lt;&gt;"."),up_dir!L2/((1/1000)*(up_Irr!K2+up_Irr!AI2+up_Irr!BG2)),IF(AND(up_Irr!K2&lt;&gt;".",up_Irr!AI2&lt;&gt;".",up_Irr!BG2="."),up_dir!L2/((1/1000)*(up_Irr!K2+up_Irr!AI2)),IF(AND(up_Irr!K2&lt;&gt;".",up_Irr!AI2=".",up_Irr!BG2&lt;&gt;"."),up_dir!L2/((1/1000)*(up_Irr!K2+up_Irr!BG2)),IF(AND(up_Irr!K2=".",up_Irr!AI2&lt;&gt;".",up_Irr!BG2&lt;&gt;"."),up_dir!L2/((1/1000)*(up_Irr!AI2+up_Irr!BG2)),IF(AND(up_Irr!K2=".",up_Irr!AI2=".",up_Irr!BG2&lt;&gt;"."),up_dir!L2/((1/1000)*(up_Irr!BG2)),IF(AND(up_Irr!K2=".",up_Irr!AI2&lt;&gt;".",up_Irr!BG2="."),up_dir!L2/((1/1000)*(up_Irr!AI2)),IF(AND(up_Irr!K2&lt;&gt;".",up_Irr!AI2=".",up_Irr!BG2="."),up_dir!L2/((1/1000)*(up_Irr!K2)),IF(AND(up_Irr!K2=".",up_Irr!AI2=".",up_Irr!BG2="."),up_dir!L2*1000)))))))),".")</f>
        <v>7.2351016258567334E-11</v>
      </c>
      <c r="M2" s="76">
        <f>IFERROR(IF(AND(up_Irr!L2&lt;&gt;".",up_Irr!AJ2&lt;&gt;".",up_Irr!BH2&lt;&gt;"."),up_dir!M2/((1/1000)*(up_Irr!L2+up_Irr!AJ2+up_Irr!BH2)),IF(AND(up_Irr!L2&lt;&gt;".",up_Irr!AJ2&lt;&gt;".",up_Irr!BH2="."),up_dir!M2/((1/1000)*(up_Irr!L2+up_Irr!AJ2)),IF(AND(up_Irr!L2&lt;&gt;".",up_Irr!AJ2=".",up_Irr!BH2&lt;&gt;"."),up_dir!M2/((1/1000)*(up_Irr!L2+up_Irr!BH2)),IF(AND(up_Irr!L2=".",up_Irr!AJ2&lt;&gt;".",up_Irr!BH2&lt;&gt;"."),up_dir!M2/((1/1000)*(up_Irr!AJ2+up_Irr!BH2)),IF(AND(up_Irr!L2=".",up_Irr!AJ2=".",up_Irr!BH2&lt;&gt;"."),up_dir!M2/((1/1000)*(up_Irr!BH2)),IF(AND(up_Irr!L2=".",up_Irr!AJ2&lt;&gt;".",up_Irr!BH2="."),up_dir!M2/((1/1000)*(up_Irr!AJ2)),IF(AND(up_Irr!L2&lt;&gt;".",up_Irr!AJ2=".",up_Irr!BH2="."),up_dir!M2/((1/1000)*(up_Irr!L2)),IF(AND(up_Irr!L2=".",up_Irr!AJ2=".",up_Irr!BH2="."),up_dir!M2*1000)))))))),".")</f>
        <v>7.2351016258567334E-11</v>
      </c>
      <c r="N2" s="76">
        <f>IFERROR(IF(AND(up_Irr!M2&lt;&gt;".",up_Irr!AK2&lt;&gt;".",up_Irr!BI2&lt;&gt;"."),up_dir!N2/((1/1000)*(up_Irr!M2+up_Irr!AK2+up_Irr!BI2)),IF(AND(up_Irr!M2&lt;&gt;".",up_Irr!AK2&lt;&gt;".",up_Irr!BI2="."),up_dir!N2/((1/1000)*(up_Irr!M2+up_Irr!AK2)),IF(AND(up_Irr!M2&lt;&gt;".",up_Irr!AK2=".",up_Irr!BI2&lt;&gt;"."),up_dir!N2/((1/1000)*(up_Irr!M2+up_Irr!BI2)),IF(AND(up_Irr!M2=".",up_Irr!AK2&lt;&gt;".",up_Irr!BI2&lt;&gt;"."),up_dir!N2/((1/1000)*(up_Irr!AK2+up_Irr!BI2)),IF(AND(up_Irr!M2=".",up_Irr!AK2=".",up_Irr!BI2&lt;&gt;"."),up_dir!N2/((1/1000)*(up_Irr!BI2)),IF(AND(up_Irr!M2=".",up_Irr!AK2&lt;&gt;".",up_Irr!BI2="."),up_dir!N2/((1/1000)*(up_Irr!AK2)),IF(AND(up_Irr!M2&lt;&gt;".",up_Irr!AK2=".",up_Irr!BI2="."),up_dir!N2/((1/1000)*(up_Irr!M2)),IF(AND(up_Irr!M2=".",up_Irr!AK2=".",up_Irr!BI2="."),up_dir!N2*1000)))))))),".")</f>
        <v>7.2351016258567334E-11</v>
      </c>
      <c r="O2" s="76">
        <f>IFERROR(IF(AND(up_Irr!N2&lt;&gt;".",up_Irr!AL2&lt;&gt;".",up_Irr!BJ2&lt;&gt;"."),up_dir!O2/((1/1000)*(up_Irr!N2+up_Irr!AL2+up_Irr!BJ2)),IF(AND(up_Irr!N2&lt;&gt;".",up_Irr!AL2&lt;&gt;".",up_Irr!BJ2="."),up_dir!O2/((1/1000)*(up_Irr!N2+up_Irr!AL2)),IF(AND(up_Irr!N2&lt;&gt;".",up_Irr!AL2=".",up_Irr!BJ2&lt;&gt;"."),up_dir!O2/((1/1000)*(up_Irr!N2+up_Irr!BJ2)),IF(AND(up_Irr!N2=".",up_Irr!AL2&lt;&gt;".",up_Irr!BJ2&lt;&gt;"."),up_dir!O2/((1/1000)*(up_Irr!AL2+up_Irr!BJ2)),IF(AND(up_Irr!N2=".",up_Irr!AL2=".",up_Irr!BJ2&lt;&gt;"."),up_dir!O2/((1/1000)*(up_Irr!BJ2)),IF(AND(up_Irr!N2=".",up_Irr!AL2&lt;&gt;".",up_Irr!BJ2="."),up_dir!O2/((1/1000)*(up_Irr!AL2)),IF(AND(up_Irr!N2&lt;&gt;".",up_Irr!AL2=".",up_Irr!BJ2="."),up_dir!O2/((1/1000)*(up_Irr!N2)),IF(AND(up_Irr!N2=".",up_Irr!AL2=".",up_Irr!BJ2="."),up_dir!O2*1000)))))))),".")</f>
        <v>7.2351016258567334E-11</v>
      </c>
      <c r="P2" s="76">
        <f>IFERROR(IF(AND(up_Irr!O2&lt;&gt;".",up_Irr!AM2&lt;&gt;".",up_Irr!BK2&lt;&gt;"."),up_dir!P2/((1/1000)*(up_Irr!O2+up_Irr!AM2+up_Irr!BK2)),IF(AND(up_Irr!O2&lt;&gt;".",up_Irr!AM2&lt;&gt;".",up_Irr!BK2="."),up_dir!P2/((1/1000)*(up_Irr!O2+up_Irr!AM2)),IF(AND(up_Irr!O2&lt;&gt;".",up_Irr!AM2=".",up_Irr!BK2&lt;&gt;"."),up_dir!P2/((1/1000)*(up_Irr!O2+up_Irr!BK2)),IF(AND(up_Irr!O2=".",up_Irr!AM2&lt;&gt;".",up_Irr!BK2&lt;&gt;"."),up_dir!P2/((1/1000)*(up_Irr!AM2+up_Irr!BK2)),IF(AND(up_Irr!O2=".",up_Irr!AM2=".",up_Irr!BK2&lt;&gt;"."),up_dir!P2/((1/1000)*(up_Irr!BK2)),IF(AND(up_Irr!O2=".",up_Irr!AM2&lt;&gt;".",up_Irr!BK2="."),up_dir!P2/((1/1000)*(up_Irr!AM2)),IF(AND(up_Irr!O2&lt;&gt;".",up_Irr!AM2=".",up_Irr!BK2="."),up_dir!P2/((1/1000)*(up_Irr!O2)),IF(AND(up_Irr!O2=".",up_Irr!AM2=".",up_Irr!BK2="."),up_dir!P2*1000)))))))),".")</f>
        <v>7.2351016258567334E-11</v>
      </c>
      <c r="Q2" s="76">
        <f>IFERROR(IF(AND(up_Irr!P2&lt;&gt;".",up_Irr!AN2&lt;&gt;".",up_Irr!BL2&lt;&gt;"."),up_dir!Q2/((1/1000)*(up_Irr!P2+up_Irr!AN2+up_Irr!BL2)),IF(AND(up_Irr!P2&lt;&gt;".",up_Irr!AN2&lt;&gt;".",up_Irr!BL2="."),up_dir!Q2/((1/1000)*(up_Irr!P2+up_Irr!AN2)),IF(AND(up_Irr!P2&lt;&gt;".",up_Irr!AN2=".",up_Irr!BL2&lt;&gt;"."),up_dir!Q2/((1/1000)*(up_Irr!P2+up_Irr!BL2)),IF(AND(up_Irr!P2=".",up_Irr!AN2&lt;&gt;".",up_Irr!BL2&lt;&gt;"."),up_dir!Q2/((1/1000)*(up_Irr!AN2+up_Irr!BL2)),IF(AND(up_Irr!P2=".",up_Irr!AN2=".",up_Irr!BL2&lt;&gt;"."),up_dir!Q2/((1/1000)*(up_Irr!BL2)),IF(AND(up_Irr!P2=".",up_Irr!AN2&lt;&gt;".",up_Irr!BL2="."),up_dir!Q2/((1/1000)*(up_Irr!AN2)),IF(AND(up_Irr!P2&lt;&gt;".",up_Irr!AN2=".",up_Irr!BL2="."),up_dir!Q2/((1/1000)*(up_Irr!P2)),IF(AND(up_Irr!P2=".",up_Irr!AN2=".",up_Irr!BL2="."),up_dir!Q2*1000)))))))),".")</f>
        <v>7.2351016258567334E-11</v>
      </c>
      <c r="R2" s="76">
        <f>IFERROR(IF(AND(up_Irr!Q2&lt;&gt;".",up_Irr!AO2&lt;&gt;".",up_Irr!BM2&lt;&gt;"."),up_dir!R2/((1/1000)*(up_Irr!Q2+up_Irr!AO2+up_Irr!BM2)),IF(AND(up_Irr!Q2&lt;&gt;".",up_Irr!AO2&lt;&gt;".",up_Irr!BM2="."),up_dir!R2/((1/1000)*(up_Irr!Q2+up_Irr!AO2)),IF(AND(up_Irr!Q2&lt;&gt;".",up_Irr!AO2=".",up_Irr!BM2&lt;&gt;"."),up_dir!R2/((1/1000)*(up_Irr!Q2+up_Irr!BM2)),IF(AND(up_Irr!Q2=".",up_Irr!AO2&lt;&gt;".",up_Irr!BM2&lt;&gt;"."),up_dir!R2/((1/1000)*(up_Irr!AO2+up_Irr!BM2)),IF(AND(up_Irr!Q2=".",up_Irr!AO2=".",up_Irr!BM2&lt;&gt;"."),up_dir!R2/((1/1000)*(up_Irr!BM2)),IF(AND(up_Irr!Q2=".",up_Irr!AO2&lt;&gt;".",up_Irr!BM2="."),up_dir!R2/((1/1000)*(up_Irr!AO2)),IF(AND(up_Irr!Q2&lt;&gt;".",up_Irr!AO2=".",up_Irr!BM2="."),up_dir!R2/((1/1000)*(up_Irr!Q2)),IF(AND(up_Irr!Q2=".",up_Irr!AO2=".",up_Irr!BM2="."),up_dir!R2*1000)))))))),".")</f>
        <v>7.2351016258567334E-11</v>
      </c>
      <c r="S2" s="76">
        <f>IFERROR(IF(AND(up_Irr!R2&lt;&gt;".",up_Irr!AP2&lt;&gt;".",up_Irr!BN2&lt;&gt;"."),up_dir!S2/((1/1000)*(up_Irr!R2+up_Irr!AP2+up_Irr!BN2)),IF(AND(up_Irr!R2&lt;&gt;".",up_Irr!AP2&lt;&gt;".",up_Irr!BN2="."),up_dir!S2/((1/1000)*(up_Irr!R2+up_Irr!AP2)),IF(AND(up_Irr!R2&lt;&gt;".",up_Irr!AP2=".",up_Irr!BN2&lt;&gt;"."),up_dir!S2/((1/1000)*(up_Irr!R2+up_Irr!BN2)),IF(AND(up_Irr!R2=".",up_Irr!AP2&lt;&gt;".",up_Irr!BN2&lt;&gt;"."),up_dir!S2/((1/1000)*(up_Irr!AP2+up_Irr!BN2)),IF(AND(up_Irr!R2=".",up_Irr!AP2=".",up_Irr!BN2&lt;&gt;"."),up_dir!S2/((1/1000)*(up_Irr!BN2)),IF(AND(up_Irr!R2=".",up_Irr!AP2&lt;&gt;".",up_Irr!BN2="."),up_dir!S2/((1/1000)*(up_Irr!AP2)),IF(AND(up_Irr!R2&lt;&gt;".",up_Irr!AP2=".",up_Irr!BN2="."),up_dir!S2/((1/1000)*(up_Irr!R2)),IF(AND(up_Irr!R2=".",up_Irr!AP2=".",up_Irr!BN2="."),up_dir!S2*1000)))))))),".")</f>
        <v>7.2351016258567334E-11</v>
      </c>
      <c r="T2" s="76">
        <f>IFERROR(IF(AND(up_Irr!S2&lt;&gt;".",up_Irr!AQ2&lt;&gt;".",up_Irr!BO2&lt;&gt;"."),up_dir!T2/((1/1000)*(up_Irr!S2+up_Irr!AQ2+up_Irr!BO2)),IF(AND(up_Irr!S2&lt;&gt;".",up_Irr!AQ2&lt;&gt;".",up_Irr!BO2="."),up_dir!T2/((1/1000)*(up_Irr!S2+up_Irr!AQ2)),IF(AND(up_Irr!S2&lt;&gt;".",up_Irr!AQ2=".",up_Irr!BO2&lt;&gt;"."),up_dir!T2/((1/1000)*(up_Irr!S2+up_Irr!BO2)),IF(AND(up_Irr!S2=".",up_Irr!AQ2&lt;&gt;".",up_Irr!BO2&lt;&gt;"."),up_dir!T2/((1/1000)*(up_Irr!AQ2+up_Irr!BO2)),IF(AND(up_Irr!S2=".",up_Irr!AQ2=".",up_Irr!BO2&lt;&gt;"."),up_dir!T2/((1/1000)*(up_Irr!BO2)),IF(AND(up_Irr!S2=".",up_Irr!AQ2&lt;&gt;".",up_Irr!BO2="."),up_dir!T2/((1/1000)*(up_Irr!AQ2)),IF(AND(up_Irr!S2&lt;&gt;".",up_Irr!AQ2=".",up_Irr!BO2="."),up_dir!T2/((1/1000)*(up_Irr!S2)),IF(AND(up_Irr!S2=".",up_Irr!AQ2=".",up_Irr!BO2="."),up_dir!T2*1000)))))))),".")</f>
        <v>7.2351016258567334E-11</v>
      </c>
      <c r="U2" s="76">
        <f>IFERROR(IF(AND(up_Irr!T2&lt;&gt;".",up_Irr!AR2&lt;&gt;".",up_Irr!BP2&lt;&gt;"."),up_dir!U2/((1/1000)*(up_Irr!T2+up_Irr!AR2+up_Irr!BP2)),IF(AND(up_Irr!T2&lt;&gt;".",up_Irr!AR2&lt;&gt;".",up_Irr!BP2="."),up_dir!U2/((1/1000)*(up_Irr!T2+up_Irr!AR2)),IF(AND(up_Irr!T2&lt;&gt;".",up_Irr!AR2=".",up_Irr!BP2&lt;&gt;"."),up_dir!U2/((1/1000)*(up_Irr!T2+up_Irr!BP2)),IF(AND(up_Irr!T2=".",up_Irr!AR2&lt;&gt;".",up_Irr!BP2&lt;&gt;"."),up_dir!U2/((1/1000)*(up_Irr!AR2+up_Irr!BP2)),IF(AND(up_Irr!T2=".",up_Irr!AR2=".",up_Irr!BP2&lt;&gt;"."),up_dir!U2/((1/1000)*(up_Irr!BP2)),IF(AND(up_Irr!T2=".",up_Irr!AR2&lt;&gt;".",up_Irr!BP2="."),up_dir!U2/((1/1000)*(up_Irr!AR2)),IF(AND(up_Irr!T2&lt;&gt;".",up_Irr!AR2=".",up_Irr!BP2="."),up_dir!U2/((1/1000)*(up_Irr!T2)),IF(AND(up_Irr!T2=".",up_Irr!AR2=".",up_Irr!BP2="."),up_dir!U2*1000)))))))),".")</f>
        <v>7.2351016258567334E-11</v>
      </c>
      <c r="V2" s="76">
        <f>IFERROR(IF(AND(up_Irr!U2&lt;&gt;".",up_Irr!AS2&lt;&gt;".",up_Irr!BQ2&lt;&gt;"."),up_dir!V2/((1/1000)*(up_Irr!U2+up_Irr!AS2+up_Irr!BQ2)),IF(AND(up_Irr!U2&lt;&gt;".",up_Irr!AS2&lt;&gt;".",up_Irr!BQ2="."),up_dir!V2/((1/1000)*(up_Irr!U2+up_Irr!AS2)),IF(AND(up_Irr!U2&lt;&gt;".",up_Irr!AS2=".",up_Irr!BQ2&lt;&gt;"."),up_dir!V2/((1/1000)*(up_Irr!U2+up_Irr!BQ2)),IF(AND(up_Irr!U2=".",up_Irr!AS2&lt;&gt;".",up_Irr!BQ2&lt;&gt;"."),up_dir!V2/((1/1000)*(up_Irr!AS2+up_Irr!BQ2)),IF(AND(up_Irr!U2=".",up_Irr!AS2=".",up_Irr!BQ2&lt;&gt;"."),up_dir!V2/((1/1000)*(up_Irr!BQ2)),IF(AND(up_Irr!U2=".",up_Irr!AS2&lt;&gt;".",up_Irr!BQ2="."),up_dir!V2/((1/1000)*(up_Irr!AS2)),IF(AND(up_Irr!U2&lt;&gt;".",up_Irr!AS2=".",up_Irr!BQ2="."),up_dir!V2/((1/1000)*(up_Irr!U2)),IF(AND(up_Irr!U2=".",up_Irr!AS2=".",up_Irr!BQ2="."),up_dir!V2*1000)))))))),".")</f>
        <v>7.2351016258567334E-11</v>
      </c>
      <c r="W2" s="76">
        <f>IFERROR(IF(AND(up_Irr!V2&lt;&gt;".",up_Irr!AT2&lt;&gt;".",up_Irr!BR2&lt;&gt;"."),up_dir!W2/((1/1000)*(up_Irr!V2+up_Irr!AT2+up_Irr!BR2)),IF(AND(up_Irr!V2&lt;&gt;".",up_Irr!AT2&lt;&gt;".",up_Irr!BR2="."),up_dir!W2/((1/1000)*(up_Irr!V2+up_Irr!AT2)),IF(AND(up_Irr!V2&lt;&gt;".",up_Irr!AT2=".",up_Irr!BR2&lt;&gt;"."),up_dir!W2/((1/1000)*(up_Irr!V2+up_Irr!BR2)),IF(AND(up_Irr!V2=".",up_Irr!AT2&lt;&gt;".",up_Irr!BR2&lt;&gt;"."),up_dir!W2/((1/1000)*(up_Irr!AT2+up_Irr!BR2)),IF(AND(up_Irr!V2=".",up_Irr!AT2=".",up_Irr!BR2&lt;&gt;"."),up_dir!W2/((1/1000)*(up_Irr!BR2)),IF(AND(up_Irr!V2=".",up_Irr!AT2&lt;&gt;".",up_Irr!BR2="."),up_dir!W2/((1/1000)*(up_Irr!AT2)),IF(AND(up_Irr!V2&lt;&gt;".",up_Irr!AT2=".",up_Irr!BR2="."),up_dir!W2/((1/1000)*(up_Irr!V2)),IF(AND(up_Irr!V2=".",up_Irr!AT2=".",up_Irr!BR2="."),up_dir!W2*1000)))))))),".")</f>
        <v>7.2351016258567334E-11</v>
      </c>
      <c r="X2" s="76">
        <f>IFERROR(IF(AND(up_Irr!W2&lt;&gt;".",up_Irr!AU2&lt;&gt;".",up_Irr!BS2&lt;&gt;"."),up_dir!X2/((1/1000)*(up_Irr!W2+up_Irr!AU2+up_Irr!BS2)),IF(AND(up_Irr!W2&lt;&gt;".",up_Irr!AU2&lt;&gt;".",up_Irr!BS2="."),up_dir!X2/((1/1000)*(up_Irr!W2+up_Irr!AU2)),IF(AND(up_Irr!W2&lt;&gt;".",up_Irr!AU2=".",up_Irr!BS2&lt;&gt;"."),up_dir!X2/((1/1000)*(up_Irr!W2+up_Irr!BS2)),IF(AND(up_Irr!W2=".",up_Irr!AU2&lt;&gt;".",up_Irr!BS2&lt;&gt;"."),up_dir!X2/((1/1000)*(up_Irr!AU2+up_Irr!BS2)),IF(AND(up_Irr!W2=".",up_Irr!AU2=".",up_Irr!BS2&lt;&gt;"."),up_dir!X2/((1/1000)*(up_Irr!BS2)),IF(AND(up_Irr!W2=".",up_Irr!AU2&lt;&gt;".",up_Irr!BS2="."),up_dir!X2/((1/1000)*(up_Irr!AU2)),IF(AND(up_Irr!W2&lt;&gt;".",up_Irr!AU2=".",up_Irr!BS2="."),up_dir!X2/((1/1000)*(up_Irr!W2)),IF(AND(up_Irr!W2=".",up_Irr!AU2=".",up_Irr!BS2="."),up_dir!X2*1000)))))))),".")</f>
        <v>7.2351016258567334E-11</v>
      </c>
      <c r="Y2" s="76">
        <f>IFERROR(IF(AND(up_Irr!X2&lt;&gt;".",up_Irr!AV2&lt;&gt;".",up_Irr!BT2&lt;&gt;"."),up_dir!Y2/((1/1000)*(up_Irr!X2+up_Irr!AV2+up_Irr!BT2)),IF(AND(up_Irr!X2&lt;&gt;".",up_Irr!AV2&lt;&gt;".",up_Irr!BT2="."),up_dir!Y2/((1/1000)*(up_Irr!X2+up_Irr!AV2)),IF(AND(up_Irr!X2&lt;&gt;".",up_Irr!AV2=".",up_Irr!BT2&lt;&gt;"."),up_dir!Y2/((1/1000)*(up_Irr!X2+up_Irr!BT2)),IF(AND(up_Irr!X2=".",up_Irr!AV2&lt;&gt;".",up_Irr!BT2&lt;&gt;"."),up_dir!Y2/((1/1000)*(up_Irr!AV2+up_Irr!BT2)),IF(AND(up_Irr!X2=".",up_Irr!AV2=".",up_Irr!BT2&lt;&gt;"."),up_dir!Y2/((1/1000)*(up_Irr!BT2)),IF(AND(up_Irr!X2=".",up_Irr!AV2&lt;&gt;".",up_Irr!BT2="."),up_dir!Y2/((1/1000)*(up_Irr!AV2)),IF(AND(up_Irr!X2&lt;&gt;".",up_Irr!AV2=".",up_Irr!BT2="."),up_dir!Y2/((1/1000)*(up_Irr!X2)),IF(AND(up_Irr!X2=".",up_Irr!AV2=".",up_Irr!BT2="."),up_dir!Y2*1000)))))))),".")</f>
        <v>7.2351016258567334E-11</v>
      </c>
      <c r="Z2" s="76">
        <f>IFERROR(IF(AND(up_Irr!Y2&lt;&gt;".",up_Irr!AW2&lt;&gt;".",up_Irr!BU2&lt;&gt;"."),up_dir!Z2/((1/1000)*(up_Irr!Y2+up_Irr!AW2+up_Irr!BU2)),IF(AND(up_Irr!Y2&lt;&gt;".",up_Irr!AW2&lt;&gt;".",up_Irr!BU2="."),up_dir!Z2/((1/1000)*(up_Irr!Y2+up_Irr!AW2)),IF(AND(up_Irr!Y2&lt;&gt;".",up_Irr!AW2=".",up_Irr!BU2&lt;&gt;"."),up_dir!Z2/((1/1000)*(up_Irr!Y2+up_Irr!BU2)),IF(AND(up_Irr!Y2=".",up_Irr!AW2&lt;&gt;".",up_Irr!BU2&lt;&gt;"."),up_dir!Z2/((1/1000)*(up_Irr!AW2+up_Irr!BU2)),IF(AND(up_Irr!Y2=".",up_Irr!AW2=".",up_Irr!BU2&lt;&gt;"."),up_dir!Z2/((1/1000)*(up_Irr!BU2)),IF(AND(up_Irr!Y2=".",up_Irr!AW2&lt;&gt;".",up_Irr!BU2="."),up_dir!Z2/((1/1000)*(up_Irr!AW2)),IF(AND(up_Irr!Y2&lt;&gt;".",up_Irr!AW2=".",up_Irr!BU2="."),up_dir!Z2/((1/1000)*(up_Irr!Y2)),IF(AND(up_Irr!Y2=".",up_Irr!AW2=".",up_Irr!BU2="."),up_dir!Z2*1000)))))))),".")</f>
        <v>7.2351016258567334E-11</v>
      </c>
      <c r="AA2" s="76">
        <f>IFERROR(IF(AND(up_Irr!Z2&lt;&gt;".",up_Irr!AX2&lt;&gt;".",up_Irr!BV2&lt;&gt;"."),up_dir!AA2/((1/1000)*(up_Irr!Z2+up_Irr!AX2+up_Irr!BV2)),IF(AND(up_Irr!Z2&lt;&gt;".",up_Irr!AX2&lt;&gt;".",up_Irr!BV2="."),up_dir!AA2/((1/1000)*(up_Irr!Z2+up_Irr!AX2)),IF(AND(up_Irr!Z2&lt;&gt;".",up_Irr!AX2=".",up_Irr!BV2&lt;&gt;"."),up_dir!AA2/((1/1000)*(up_Irr!Z2+up_Irr!BV2)),IF(AND(up_Irr!Z2=".",up_Irr!AX2&lt;&gt;".",up_Irr!BV2&lt;&gt;"."),up_dir!AA2/((1/1000)*(up_Irr!AX2+up_Irr!BV2)),IF(AND(up_Irr!Z2=".",up_Irr!AX2=".",up_Irr!BV2&lt;&gt;"."),up_dir!AA2/((1/1000)*(up_Irr!BV2)),IF(AND(up_Irr!Z2=".",up_Irr!AX2&lt;&gt;".",up_Irr!BV2="."),up_dir!AA2/((1/1000)*(up_Irr!AX2)),IF(AND(up_Irr!Z2&lt;&gt;".",up_Irr!AX2=".",up_Irr!BV2="."),up_dir!AA2/((1/1000)*(up_Irr!Z2)),IF(AND(up_Irr!Z2=".",up_Irr!AX2=".",up_Irr!BV2="."),up_dir!AA2*1000)))))))),".")</f>
        <v>7.2351016258567334E-11</v>
      </c>
      <c r="AB2" s="93">
        <f>SUM(AC2:AD2,AY2:AZ2)</f>
        <v>55286.023705663516</v>
      </c>
      <c r="AC2" s="93">
        <f>IFERROR(s_C*s_IFAP_res_adj*s_CF_apple*0.001*(up_Irr!C2+up_Irr!AA2+up_Irr!AY2),".")</f>
        <v>13821.505926415879</v>
      </c>
      <c r="AD2" s="93">
        <f>IFERROR(s_C*s_IFAS_res_adj*s_CF_asparagus*0.001*(up_Irr!D2+up_Irr!AB2+up_Irr!AZ2),".")</f>
        <v>13821.505926415879</v>
      </c>
      <c r="AE2" s="93">
        <f>IFERROR(s_C*s_IFBT_res_adj*s_CF_beet*0.001*(up_Irr!E2+up_Irr!AC2+up_Irr!BA2),".")</f>
        <v>13821.505926415879</v>
      </c>
      <c r="AF2" s="93">
        <f>IFERROR(s_C*s_IFBE_res_adj*s_CF_berries*0.001*(up_Irr!F2+up_Irr!AD2+up_Irr!BB2),".")</f>
        <v>13821.505926415879</v>
      </c>
      <c r="AG2" s="93">
        <f>IFERROR(s_C*s_IFBR_res_adj*s_CF_broccoli*0.001*(up_Irr!G2+up_Irr!AE2+up_Irr!BC2),".")</f>
        <v>13821.505926415879</v>
      </c>
      <c r="AH2" s="93">
        <f>IFERROR(s_C*s_IFCB_res_adj*s_CF_cabbage*0.001*(up_Irr!H2+up_Irr!AF2+up_Irr!BD2),".")</f>
        <v>13821.505926415879</v>
      </c>
      <c r="AI2" s="93">
        <f>IFERROR(s_C*s_IFCR_res_adj*s_CF_carrot*0.001*(up_Irr!I2+up_Irr!AG2+up_Irr!BE2),".")</f>
        <v>13821.505926415879</v>
      </c>
      <c r="AJ2" s="93">
        <f>IFERROR(s_C*s_IFCI_res_adj*s_CF_citrus*0.001*(up_Irr!J2+up_Irr!AH2+up_Irr!BF2),".")</f>
        <v>13821.505926415879</v>
      </c>
      <c r="AK2" s="93">
        <f>IFERROR(s_C*s_IFCO_res_adj*s_CF_corn*0.001*(up_Irr!K2+up_Irr!AI2+up_Irr!BG2),".")</f>
        <v>13821.505926415879</v>
      </c>
      <c r="AL2" s="93">
        <f>IFERROR(s_C*s_IFCU_res_adj*s_CF_cucumber*0.001*(up_Irr!L2+up_Irr!AJ2+up_Irr!BH2),".")</f>
        <v>13821.505926415879</v>
      </c>
      <c r="AM2" s="93">
        <f>IFERROR(s_C*s_IFLE_res_adj*s_CF_lettuce*0.001*(up_Irr!M2+up_Irr!AK2+up_Irr!BI2),".")</f>
        <v>13821.505926415879</v>
      </c>
      <c r="AN2" s="93">
        <f>IFERROR(s_C*s_IFLI_res_adj*s_CF_lima_bean*0.001*(up_Irr!N2+up_Irr!AL2+up_Irr!BJ2),".")</f>
        <v>13821.505926415879</v>
      </c>
      <c r="AO2" s="93">
        <f>IFERROR(s_C*s_IFOK_res_adj*s_CF_okra*0.001*(up_Irr!O2+up_Irr!AM2+up_Irr!BK2),".")</f>
        <v>13821.505926415879</v>
      </c>
      <c r="AP2" s="93">
        <f>IFERROR(s_C*s_IFON_res_adj*s_CF_onion*0.001*(up_Irr!P2+up_Irr!AN2+up_Irr!BL2),".")</f>
        <v>13821.505926415879</v>
      </c>
      <c r="AQ2" s="93">
        <f>IFERROR(s_C*s_IFPC_res_adj*s_CF_peach*0.001*(up_Irr!Q2+up_Irr!AO2+up_Irr!BM2),".")</f>
        <v>13821.505926415879</v>
      </c>
      <c r="AR2" s="93">
        <f>IFERROR(s_C*s_IFPR_res_adj*s_CF_pear*0.001*(up_Irr!R2+up_Irr!AP2+up_Irr!BN2),".")</f>
        <v>13821.505926415879</v>
      </c>
      <c r="AS2" s="93">
        <f>IFERROR(s_C*s_IFPE_res_adj*s_CF_peas*0.001*(up_Irr!S2+up_Irr!AQ2+up_Irr!BO2),".")</f>
        <v>13821.505926415879</v>
      </c>
      <c r="AT2" s="93">
        <f>IFERROR(s_C*s_IFPT_res_adj*s_CF_potato*0.001*(up_Irr!T2+up_Irr!AR2+up_Irr!BP2),".")</f>
        <v>13821.505926415879</v>
      </c>
      <c r="AU2" s="93">
        <f>IFERROR(s_C*s_IFPU_res_adj*s_CF_pumpkin*0.001*(up_Irr!U2+up_Irr!AS2+up_Irr!BQ2),".")</f>
        <v>13821.505926415879</v>
      </c>
      <c r="AV2" s="93">
        <f>IFERROR(s_C*s_IFSN_res_adj*s_CF_snap_bean*0.001*(up_Irr!V2+up_Irr!AT2+up_Irr!BR2),".")</f>
        <v>13821.505926415879</v>
      </c>
      <c r="AW2" s="93">
        <f>IFERROR(s_C*s_IFST_res_adj*s_CF_strawberry*0.001*(up_Irr!W2+up_Irr!AU2+up_Irr!BS2),".")</f>
        <v>13821.505926415879</v>
      </c>
      <c r="AX2" s="93">
        <f>IFERROR(s_C*s_IFTO_res_adj*s_CF_tomato*0.001*(up_Irr!X2+up_Irr!AV2+up_Irr!BT2),".")</f>
        <v>13821.505926415879</v>
      </c>
      <c r="AY2" s="93">
        <f>IFERROR(s_C*s_IFRI_res_adj*s_CF_rice*0.001*(up_Irr!Y2+up_Irr!AW2+up_Irr!BU2),".")</f>
        <v>13821.505926415879</v>
      </c>
      <c r="AZ2" s="93">
        <f>IFERROR(s_C*s_IFCG_res_adj*s_CF_cereal*0.001*(up_Irr!Z2+up_Irr!AX2+up_Irr!BV2),".")</f>
        <v>13821.505926415879</v>
      </c>
      <c r="BA2" s="76">
        <f t="shared" ref="BA2" si="1">IFERROR(1/SUM(1/BB2,1/BC2,1/BX2,1/BY2),".")</f>
        <v>1.8087754064641833E-11</v>
      </c>
      <c r="BB2" s="76">
        <f>IFERROR(IF(AND(up_Irr!C2&lt;&gt;".",up_Irr!AA2&lt;&gt;".",up_Irr!AY2&lt;&gt;"."),up_dir!AC2/((1/1000)*(up_Irr!C2+up_Irr!AA2+up_Irr!AY2)),IF(AND(up_Irr!C2&lt;&gt;".",up_Irr!AA2&lt;&gt;".",up_Irr!AY2="."),up_dir!AC2/((1/1000)*(up_Irr!C2+up_Irr!AA2)),IF(AND(up_Irr!C2&lt;&gt;".",up_Irr!AA2=".",up_Irr!AY2&lt;&gt;"."),up_dir!AC2/((1/1000)*(up_Irr!C2+up_Irr!AY2)),IF(AND(up_Irr!C2=".",up_Irr!AA2&lt;&gt;".",up_Irr!AY2&lt;&gt;"."),up_dir!AC2/((1/1000)*(up_Irr!AA2+up_Irr!AY2)),IF(AND(up_Irr!C2=".",up_Irr!AA2=".",up_Irr!AY2&lt;&gt;"."),up_dir!AC2/((1/1000)*(up_Irr!AY2)),IF(AND(up_Irr!C2=".",up_Irr!AA2&lt;&gt;".",up_Irr!AY2="."),up_dir!AC2/((1/1000)*(up_Irr!AA2)),IF(AND(up_Irr!C2&lt;&gt;".",up_Irr!AA2=".",up_Irr!AY2="."),up_dir!AC2/((1/1000)*(up_Irr!C2)),IF(AND(up_Irr!C2=".",up_Irr!AA2=".",up_Irr!AY2="."),up_dir!AC2*1000)))))))),".")</f>
        <v>7.2351016258567334E-11</v>
      </c>
      <c r="BC2" s="76">
        <f>IFERROR(IF(AND(up_Irr!D2&lt;&gt;".",up_Irr!AB2&lt;&gt;".",up_Irr!AZ2&lt;&gt;"."),up_dir!AD2/((1/1000)*(up_Irr!D2+up_Irr!AB2+up_Irr!AZ2)),IF(AND(up_Irr!D2&lt;&gt;".",up_Irr!AB2&lt;&gt;".",up_Irr!AZ2="."),up_dir!AD2/((1/1000)*(up_Irr!D2+up_Irr!AB2)),IF(AND(up_Irr!D2&lt;&gt;".",up_Irr!AB2=".",up_Irr!AZ2&lt;&gt;"."),up_dir!AD2/((1/1000)*(up_Irr!D2+up_Irr!AZ2)),IF(AND(up_Irr!D2=".",up_Irr!AB2&lt;&gt;".",up_Irr!AZ2&lt;&gt;"."),up_dir!AD2/((1/1000)*(up_Irr!AB2+up_Irr!AZ2)),IF(AND(up_Irr!D2=".",up_Irr!AB2=".",up_Irr!AZ2&lt;&gt;"."),up_dir!AD2/((1/1000)*(up_Irr!AZ2)),IF(AND(up_Irr!D2=".",up_Irr!AB2&lt;&gt;".",up_Irr!AZ2="."),up_dir!AD2/((1/1000)*(up_Irr!AB2)),IF(AND(up_Irr!D2&lt;&gt;".",up_Irr!AB2=".",up_Irr!AZ2="."),up_dir!AD2/((1/1000)*(up_Irr!D2)),IF(AND(up_Irr!D2=".",up_Irr!AB2=".",up_Irr!AZ2="."),up_dir!AD2*1000)))))))),".")</f>
        <v>7.2351016258567334E-11</v>
      </c>
      <c r="BD2" s="76">
        <f>IFERROR(IF(AND(up_Irr!E2&lt;&gt;".",up_Irr!AC2&lt;&gt;".",up_Irr!BA2&lt;&gt;"."),up_dir!AE2/((1/1000)*(up_Irr!E2+up_Irr!AC2+up_Irr!BA2)),IF(AND(up_Irr!E2&lt;&gt;".",up_Irr!AC2&lt;&gt;".",up_Irr!BA2="."),up_dir!AE2/((1/1000)*(up_Irr!E2+up_Irr!AC2)),IF(AND(up_Irr!E2&lt;&gt;".",up_Irr!AC2=".",up_Irr!BA2&lt;&gt;"."),up_dir!AE2/((1/1000)*(up_Irr!E2+up_Irr!BA2)),IF(AND(up_Irr!E2=".",up_Irr!AC2&lt;&gt;".",up_Irr!BA2&lt;&gt;"."),up_dir!AE2/((1/1000)*(up_Irr!AC2+up_Irr!BA2)),IF(AND(up_Irr!E2=".",up_Irr!AC2=".",up_Irr!BA2&lt;&gt;"."),up_dir!AE2/((1/1000)*(up_Irr!BA2)),IF(AND(up_Irr!E2=".",up_Irr!AC2&lt;&gt;".",up_Irr!BA2="."),up_dir!AE2/((1/1000)*(up_Irr!AC2)),IF(AND(up_Irr!E2&lt;&gt;".",up_Irr!AC2=".",up_Irr!BA2="."),up_dir!AE2/((1/1000)*(up_Irr!E2)),IF(AND(up_Irr!E2=".",up_Irr!AC2=".",up_Irr!BA2="."),up_dir!AE2*1000)))))))),".")</f>
        <v>7.2351016258567334E-11</v>
      </c>
      <c r="BE2" s="76">
        <f>IFERROR(IF(AND(up_Irr!F2&lt;&gt;".",up_Irr!AD2&lt;&gt;".",up_Irr!BB2&lt;&gt;"."),up_dir!AF2/((1/1000)*(up_Irr!F2+up_Irr!AD2+up_Irr!BB2)),IF(AND(up_Irr!F2&lt;&gt;".",up_Irr!AD2&lt;&gt;".",up_Irr!BB2="."),up_dir!AF2/((1/1000)*(up_Irr!F2+up_Irr!AD2)),IF(AND(up_Irr!F2&lt;&gt;".",up_Irr!AD2=".",up_Irr!BB2&lt;&gt;"."),up_dir!AF2/((1/1000)*(up_Irr!F2+up_Irr!BB2)),IF(AND(up_Irr!F2=".",up_Irr!AD2&lt;&gt;".",up_Irr!BB2&lt;&gt;"."),up_dir!AF2/((1/1000)*(up_Irr!AD2+up_Irr!BB2)),IF(AND(up_Irr!F2=".",up_Irr!AD2=".",up_Irr!BB2&lt;&gt;"."),up_dir!AF2/((1/1000)*(up_Irr!BB2)),IF(AND(up_Irr!F2=".",up_Irr!AD2&lt;&gt;".",up_Irr!BB2="."),up_dir!AF2/((1/1000)*(up_Irr!AD2)),IF(AND(up_Irr!F2&lt;&gt;".",up_Irr!AD2=".",up_Irr!BB2="."),up_dir!AF2/((1/1000)*(up_Irr!F2)),IF(AND(up_Irr!F2=".",up_Irr!AD2=".",up_Irr!BB2="."),up_dir!AF2*1000)))))))),".")</f>
        <v>7.2351016258567334E-11</v>
      </c>
      <c r="BF2" s="76">
        <f>IFERROR(IF(AND(up_Irr!G2&lt;&gt;".",up_Irr!AE2&lt;&gt;".",up_Irr!BC2&lt;&gt;"."),up_dir!AG2/((1/1000)*(up_Irr!G2+up_Irr!AE2+up_Irr!BC2)),IF(AND(up_Irr!G2&lt;&gt;".",up_Irr!AE2&lt;&gt;".",up_Irr!BC2="."),up_dir!AG2/((1/1000)*(up_Irr!G2+up_Irr!AE2)),IF(AND(up_Irr!G2&lt;&gt;".",up_Irr!AE2=".",up_Irr!BC2&lt;&gt;"."),up_dir!AG2/((1/1000)*(up_Irr!G2+up_Irr!BC2)),IF(AND(up_Irr!G2=".",up_Irr!AE2&lt;&gt;".",up_Irr!BC2&lt;&gt;"."),up_dir!AG2/((1/1000)*(up_Irr!AE2+up_Irr!BC2)),IF(AND(up_Irr!G2=".",up_Irr!AE2=".",up_Irr!BC2&lt;&gt;"."),up_dir!AG2/((1/1000)*(up_Irr!BC2)),IF(AND(up_Irr!G2=".",up_Irr!AE2&lt;&gt;".",up_Irr!BC2="."),up_dir!AG2/((1/1000)*(up_Irr!AE2)),IF(AND(up_Irr!G2&lt;&gt;".",up_Irr!AE2=".",up_Irr!BC2="."),up_dir!AG2/((1/1000)*(up_Irr!G2)),IF(AND(up_Irr!G2=".",up_Irr!AE2=".",up_Irr!BC2="."),up_dir!AG2*1000)))))))),".")</f>
        <v>7.2351016258567334E-11</v>
      </c>
      <c r="BG2" s="76">
        <f>IFERROR(IF(AND(up_Irr!H2&lt;&gt;".",up_Irr!AF2&lt;&gt;".",up_Irr!BD2&lt;&gt;"."),up_dir!AH2/((1/1000)*(up_Irr!H2+up_Irr!AF2+up_Irr!BD2)),IF(AND(up_Irr!H2&lt;&gt;".",up_Irr!AF2&lt;&gt;".",up_Irr!BD2="."),up_dir!AH2/((1/1000)*(up_Irr!H2+up_Irr!AF2)),IF(AND(up_Irr!H2&lt;&gt;".",up_Irr!AF2=".",up_Irr!BD2&lt;&gt;"."),up_dir!AH2/((1/1000)*(up_Irr!H2+up_Irr!BD2)),IF(AND(up_Irr!H2=".",up_Irr!AF2&lt;&gt;".",up_Irr!BD2&lt;&gt;"."),up_dir!AH2/((1/1000)*(up_Irr!AF2+up_Irr!BD2)),IF(AND(up_Irr!H2=".",up_Irr!AF2=".",up_Irr!BD2&lt;&gt;"."),up_dir!AH2/((1/1000)*(up_Irr!BD2)),IF(AND(up_Irr!H2=".",up_Irr!AF2&lt;&gt;".",up_Irr!BD2="."),up_dir!AH2/((1/1000)*(up_Irr!AF2)),IF(AND(up_Irr!H2&lt;&gt;".",up_Irr!AF2=".",up_Irr!BD2="."),up_dir!AH2/((1/1000)*(up_Irr!H2)),IF(AND(up_Irr!H2=".",up_Irr!AF2=".",up_Irr!BD2="."),up_dir!AH2*1000)))))))),".")</f>
        <v>7.2351016258567334E-11</v>
      </c>
      <c r="BH2" s="76">
        <f>IFERROR(IF(AND(up_Irr!I2&lt;&gt;".",up_Irr!AG2&lt;&gt;".",up_Irr!BE2&lt;&gt;"."),up_dir!AI2/((1/1000)*(up_Irr!I2+up_Irr!AG2+up_Irr!BE2)),IF(AND(up_Irr!I2&lt;&gt;".",up_Irr!AG2&lt;&gt;".",up_Irr!BE2="."),up_dir!AI2/((1/1000)*(up_Irr!I2+up_Irr!AG2)),IF(AND(up_Irr!I2&lt;&gt;".",up_Irr!AG2=".",up_Irr!BE2&lt;&gt;"."),up_dir!AI2/((1/1000)*(up_Irr!I2+up_Irr!BE2)),IF(AND(up_Irr!I2=".",up_Irr!AG2&lt;&gt;".",up_Irr!BE2&lt;&gt;"."),up_dir!AI2/((1/1000)*(up_Irr!AG2+up_Irr!BE2)),IF(AND(up_Irr!I2=".",up_Irr!AG2=".",up_Irr!BE2&lt;&gt;"."),up_dir!AI2/((1/1000)*(up_Irr!BE2)),IF(AND(up_Irr!I2=".",up_Irr!AG2&lt;&gt;".",up_Irr!BE2="."),up_dir!AI2/((1/1000)*(up_Irr!AG2)),IF(AND(up_Irr!I2&lt;&gt;".",up_Irr!AG2=".",up_Irr!BE2="."),up_dir!AI2/((1/1000)*(up_Irr!I2)),IF(AND(up_Irr!I2=".",up_Irr!AG2=".",up_Irr!BE2="."),up_dir!AI2*1000)))))))),".")</f>
        <v>7.2351016258567334E-11</v>
      </c>
      <c r="BI2" s="76">
        <f>IFERROR(IF(AND(up_Irr!J2&lt;&gt;".",up_Irr!AH2&lt;&gt;".",up_Irr!BF2&lt;&gt;"."),up_dir!AJ2/((1/1000)*(up_Irr!J2+up_Irr!AH2+up_Irr!BF2)),IF(AND(up_Irr!J2&lt;&gt;".",up_Irr!AH2&lt;&gt;".",up_Irr!BF2="."),up_dir!AJ2/((1/1000)*(up_Irr!J2+up_Irr!AH2)),IF(AND(up_Irr!J2&lt;&gt;".",up_Irr!AH2=".",up_Irr!BF2&lt;&gt;"."),up_dir!AJ2/((1/1000)*(up_Irr!J2+up_Irr!BF2)),IF(AND(up_Irr!J2=".",up_Irr!AH2&lt;&gt;".",up_Irr!BF2&lt;&gt;"."),up_dir!AJ2/((1/1000)*(up_Irr!AH2+up_Irr!BF2)),IF(AND(up_Irr!J2=".",up_Irr!AH2=".",up_Irr!BF2&lt;&gt;"."),up_dir!AJ2/((1/1000)*(up_Irr!BF2)),IF(AND(up_Irr!J2=".",up_Irr!AH2&lt;&gt;".",up_Irr!BF2="."),up_dir!AJ2/((1/1000)*(up_Irr!AH2)),IF(AND(up_Irr!J2&lt;&gt;".",up_Irr!AH2=".",up_Irr!BF2="."),up_dir!AJ2/((1/1000)*(up_Irr!J2)),IF(AND(up_Irr!J2=".",up_Irr!AH2=".",up_Irr!BF2="."),up_dir!AJ2*1000)))))))),".")</f>
        <v>7.2351016258567334E-11</v>
      </c>
      <c r="BJ2" s="76">
        <f>IFERROR(IF(AND(up_Irr!K2&lt;&gt;".",up_Irr!AI2&lt;&gt;".",up_Irr!BG2&lt;&gt;"."),up_dir!AK2/((1/1000)*(up_Irr!K2+up_Irr!AI2+up_Irr!BG2)),IF(AND(up_Irr!K2&lt;&gt;".",up_Irr!AI2&lt;&gt;".",up_Irr!BG2="."),up_dir!AK2/((1/1000)*(up_Irr!K2+up_Irr!AI2)),IF(AND(up_Irr!K2&lt;&gt;".",up_Irr!AI2=".",up_Irr!BG2&lt;&gt;"."),up_dir!AK2/((1/1000)*(up_Irr!K2+up_Irr!BG2)),IF(AND(up_Irr!K2=".",up_Irr!AI2&lt;&gt;".",up_Irr!BG2&lt;&gt;"."),up_dir!AK2/((1/1000)*(up_Irr!AI2+up_Irr!BG2)),IF(AND(up_Irr!K2=".",up_Irr!AI2=".",up_Irr!BG2&lt;&gt;"."),up_dir!AK2/((1/1000)*(up_Irr!BG2)),IF(AND(up_Irr!K2=".",up_Irr!AI2&lt;&gt;".",up_Irr!BG2="."),up_dir!AK2/((1/1000)*(up_Irr!AI2)),IF(AND(up_Irr!K2&lt;&gt;".",up_Irr!AI2=".",up_Irr!BG2="."),up_dir!AK2/((1/1000)*(up_Irr!K2)),IF(AND(up_Irr!K2=".",up_Irr!AI2=".",up_Irr!BG2="."),up_dir!AK2*1000)))))))),".")</f>
        <v>7.2351016258567334E-11</v>
      </c>
      <c r="BK2" s="76">
        <f>IFERROR(IF(AND(up_Irr!L2&lt;&gt;".",up_Irr!AJ2&lt;&gt;".",up_Irr!BH2&lt;&gt;"."),up_dir!AL2/((1/1000)*(up_Irr!L2+up_Irr!AJ2+up_Irr!BH2)),IF(AND(up_Irr!L2&lt;&gt;".",up_Irr!AJ2&lt;&gt;".",up_Irr!BH2="."),up_dir!AL2/((1/1000)*(up_Irr!L2+up_Irr!AJ2)),IF(AND(up_Irr!L2&lt;&gt;".",up_Irr!AJ2=".",up_Irr!BH2&lt;&gt;"."),up_dir!AL2/((1/1000)*(up_Irr!L2+up_Irr!BH2)),IF(AND(up_Irr!L2=".",up_Irr!AJ2&lt;&gt;".",up_Irr!BH2&lt;&gt;"."),up_dir!AL2/((1/1000)*(up_Irr!AJ2+up_Irr!BH2)),IF(AND(up_Irr!L2=".",up_Irr!AJ2=".",up_Irr!BH2&lt;&gt;"."),up_dir!AL2/((1/1000)*(up_Irr!BH2)),IF(AND(up_Irr!L2=".",up_Irr!AJ2&lt;&gt;".",up_Irr!BH2="."),up_dir!AL2/((1/1000)*(up_Irr!AJ2)),IF(AND(up_Irr!L2&lt;&gt;".",up_Irr!AJ2=".",up_Irr!BH2="."),up_dir!AL2/((1/1000)*(up_Irr!L2)),IF(AND(up_Irr!L2=".",up_Irr!AJ2=".",up_Irr!BH2="."),up_dir!AL2*1000)))))))),".")</f>
        <v>7.2351016258567334E-11</v>
      </c>
      <c r="BL2" s="76">
        <f>IFERROR(IF(AND(up_Irr!M2&lt;&gt;".",up_Irr!AK2&lt;&gt;".",up_Irr!BI2&lt;&gt;"."),up_dir!AM2/((1/1000)*(up_Irr!M2+up_Irr!AK2+up_Irr!BI2)),IF(AND(up_Irr!M2&lt;&gt;".",up_Irr!AK2&lt;&gt;".",up_Irr!BI2="."),up_dir!AM2/((1/1000)*(up_Irr!M2+up_Irr!AK2)),IF(AND(up_Irr!M2&lt;&gt;".",up_Irr!AK2=".",up_Irr!BI2&lt;&gt;"."),up_dir!AM2/((1/1000)*(up_Irr!M2+up_Irr!BI2)),IF(AND(up_Irr!M2=".",up_Irr!AK2&lt;&gt;".",up_Irr!BI2&lt;&gt;"."),up_dir!AM2/((1/1000)*(up_Irr!AK2+up_Irr!BI2)),IF(AND(up_Irr!M2=".",up_Irr!AK2=".",up_Irr!BI2&lt;&gt;"."),up_dir!AM2/((1/1000)*(up_Irr!BI2)),IF(AND(up_Irr!M2=".",up_Irr!AK2&lt;&gt;".",up_Irr!BI2="."),up_dir!AM2/((1/1000)*(up_Irr!AK2)),IF(AND(up_Irr!M2&lt;&gt;".",up_Irr!AK2=".",up_Irr!BI2="."),up_dir!AM2/((1/1000)*(up_Irr!M2)),IF(AND(up_Irr!M2=".",up_Irr!AK2=".",up_Irr!BI2="."),up_dir!AM2*1000)))))))),".")</f>
        <v>7.2351016258567334E-11</v>
      </c>
      <c r="BM2" s="76">
        <f>IFERROR(IF(AND(up_Irr!N2&lt;&gt;".",up_Irr!AL2&lt;&gt;".",up_Irr!BJ2&lt;&gt;"."),up_dir!AN2/((1/1000)*(up_Irr!N2+up_Irr!AL2+up_Irr!BJ2)),IF(AND(up_Irr!N2&lt;&gt;".",up_Irr!AL2&lt;&gt;".",up_Irr!BJ2="."),up_dir!AN2/((1/1000)*(up_Irr!N2+up_Irr!AL2)),IF(AND(up_Irr!N2&lt;&gt;".",up_Irr!AL2=".",up_Irr!BJ2&lt;&gt;"."),up_dir!AN2/((1/1000)*(up_Irr!N2+up_Irr!BJ2)),IF(AND(up_Irr!N2=".",up_Irr!AL2&lt;&gt;".",up_Irr!BJ2&lt;&gt;"."),up_dir!AN2/((1/1000)*(up_Irr!AL2+up_Irr!BJ2)),IF(AND(up_Irr!N2=".",up_Irr!AL2=".",up_Irr!BJ2&lt;&gt;"."),up_dir!AN2/((1/1000)*(up_Irr!BJ2)),IF(AND(up_Irr!N2=".",up_Irr!AL2&lt;&gt;".",up_Irr!BJ2="."),up_dir!AN2/((1/1000)*(up_Irr!AL2)),IF(AND(up_Irr!N2&lt;&gt;".",up_Irr!AL2=".",up_Irr!BJ2="."),up_dir!AN2/((1/1000)*(up_Irr!N2)),IF(AND(up_Irr!N2=".",up_Irr!AL2=".",up_Irr!BJ2="."),up_dir!AN2*1000)))))))),".")</f>
        <v>7.2351016258567334E-11</v>
      </c>
      <c r="BN2" s="76">
        <f>IFERROR(IF(AND(up_Irr!O2&lt;&gt;".",up_Irr!AM2&lt;&gt;".",up_Irr!BK2&lt;&gt;"."),up_dir!AO2/((1/1000)*(up_Irr!O2+up_Irr!AM2+up_Irr!BK2)),IF(AND(up_Irr!O2&lt;&gt;".",up_Irr!AM2&lt;&gt;".",up_Irr!BK2="."),up_dir!AO2/((1/1000)*(up_Irr!O2+up_Irr!AM2)),IF(AND(up_Irr!O2&lt;&gt;".",up_Irr!AM2=".",up_Irr!BK2&lt;&gt;"."),up_dir!AO2/((1/1000)*(up_Irr!O2+up_Irr!BK2)),IF(AND(up_Irr!O2=".",up_Irr!AM2&lt;&gt;".",up_Irr!BK2&lt;&gt;"."),up_dir!AO2/((1/1000)*(up_Irr!AM2+up_Irr!BK2)),IF(AND(up_Irr!O2=".",up_Irr!AM2=".",up_Irr!BK2&lt;&gt;"."),up_dir!AO2/((1/1000)*(up_Irr!BK2)),IF(AND(up_Irr!O2=".",up_Irr!AM2&lt;&gt;".",up_Irr!BK2="."),up_dir!AO2/((1/1000)*(up_Irr!AM2)),IF(AND(up_Irr!O2&lt;&gt;".",up_Irr!AM2=".",up_Irr!BK2="."),up_dir!AO2/((1/1000)*(up_Irr!O2)),IF(AND(up_Irr!O2=".",up_Irr!AM2=".",up_Irr!BK2="."),up_dir!AO2*1000)))))))),".")</f>
        <v>7.2351016258567334E-11</v>
      </c>
      <c r="BO2" s="76">
        <f>IFERROR(IF(AND(up_Irr!P2&lt;&gt;".",up_Irr!AN2&lt;&gt;".",up_Irr!BL2&lt;&gt;"."),up_dir!AP2/((1/1000)*(up_Irr!P2+up_Irr!AN2+up_Irr!BL2)),IF(AND(up_Irr!P2&lt;&gt;".",up_Irr!AN2&lt;&gt;".",up_Irr!BL2="."),up_dir!AP2/((1/1000)*(up_Irr!P2+up_Irr!AN2)),IF(AND(up_Irr!P2&lt;&gt;".",up_Irr!AN2=".",up_Irr!BL2&lt;&gt;"."),up_dir!AP2/((1/1000)*(up_Irr!P2+up_Irr!BL2)),IF(AND(up_Irr!P2=".",up_Irr!AN2&lt;&gt;".",up_Irr!BL2&lt;&gt;"."),up_dir!AP2/((1/1000)*(up_Irr!AN2+up_Irr!BL2)),IF(AND(up_Irr!P2=".",up_Irr!AN2=".",up_Irr!BL2&lt;&gt;"."),up_dir!AP2/((1/1000)*(up_Irr!BL2)),IF(AND(up_Irr!P2=".",up_Irr!AN2&lt;&gt;".",up_Irr!BL2="."),up_dir!AP2/((1/1000)*(up_Irr!AN2)),IF(AND(up_Irr!P2&lt;&gt;".",up_Irr!AN2=".",up_Irr!BL2="."),up_dir!AP2/((1/1000)*(up_Irr!P2)),IF(AND(up_Irr!P2=".",up_Irr!AN2=".",up_Irr!BL2="."),up_dir!AP2*1000)))))))),".")</f>
        <v>7.2351016258567334E-11</v>
      </c>
      <c r="BP2" s="76">
        <f>IFERROR(IF(AND(up_Irr!Q2&lt;&gt;".",up_Irr!AO2&lt;&gt;".",up_Irr!BM2&lt;&gt;"."),up_dir!AQ2/((1/1000)*(up_Irr!Q2+up_Irr!AO2+up_Irr!BM2)),IF(AND(up_Irr!Q2&lt;&gt;".",up_Irr!AO2&lt;&gt;".",up_Irr!BM2="."),up_dir!AQ2/((1/1000)*(up_Irr!Q2+up_Irr!AO2)),IF(AND(up_Irr!Q2&lt;&gt;".",up_Irr!AO2=".",up_Irr!BM2&lt;&gt;"."),up_dir!AQ2/((1/1000)*(up_Irr!Q2+up_Irr!BM2)),IF(AND(up_Irr!Q2=".",up_Irr!AO2&lt;&gt;".",up_Irr!BM2&lt;&gt;"."),up_dir!AQ2/((1/1000)*(up_Irr!AO2+up_Irr!BM2)),IF(AND(up_Irr!Q2=".",up_Irr!AO2=".",up_Irr!BM2&lt;&gt;"."),up_dir!AQ2/((1/1000)*(up_Irr!BM2)),IF(AND(up_Irr!Q2=".",up_Irr!AO2&lt;&gt;".",up_Irr!BM2="."),up_dir!AQ2/((1/1000)*(up_Irr!AO2)),IF(AND(up_Irr!Q2&lt;&gt;".",up_Irr!AO2=".",up_Irr!BM2="."),up_dir!AQ2/((1/1000)*(up_Irr!Q2)),IF(AND(up_Irr!Q2=".",up_Irr!AO2=".",up_Irr!BM2="."),up_dir!AQ2*1000)))))))),".")</f>
        <v>7.2351016258567334E-11</v>
      </c>
      <c r="BQ2" s="76">
        <f>IFERROR(IF(AND(up_Irr!R2&lt;&gt;".",up_Irr!AP2&lt;&gt;".",up_Irr!BN2&lt;&gt;"."),up_dir!AR2/((1/1000)*(up_Irr!R2+up_Irr!AP2+up_Irr!BN2)),IF(AND(up_Irr!R2&lt;&gt;".",up_Irr!AP2&lt;&gt;".",up_Irr!BN2="."),up_dir!AR2/((1/1000)*(up_Irr!R2+up_Irr!AP2)),IF(AND(up_Irr!R2&lt;&gt;".",up_Irr!AP2=".",up_Irr!BN2&lt;&gt;"."),up_dir!AR2/((1/1000)*(up_Irr!R2+up_Irr!BN2)),IF(AND(up_Irr!R2=".",up_Irr!AP2&lt;&gt;".",up_Irr!BN2&lt;&gt;"."),up_dir!AR2/((1/1000)*(up_Irr!AP2+up_Irr!BN2)),IF(AND(up_Irr!R2=".",up_Irr!AP2=".",up_Irr!BN2&lt;&gt;"."),up_dir!AR2/((1/1000)*(up_Irr!BN2)),IF(AND(up_Irr!R2=".",up_Irr!AP2&lt;&gt;".",up_Irr!BN2="."),up_dir!AR2/((1/1000)*(up_Irr!AP2)),IF(AND(up_Irr!R2&lt;&gt;".",up_Irr!AP2=".",up_Irr!BN2="."),up_dir!AR2/((1/1000)*(up_Irr!R2)),IF(AND(up_Irr!R2=".",up_Irr!AP2=".",up_Irr!BN2="."),up_dir!AR2*1000)))))))),".")</f>
        <v>7.2351016258567334E-11</v>
      </c>
      <c r="BR2" s="76">
        <f>IFERROR(IF(AND(up_Irr!S2&lt;&gt;".",up_Irr!AQ2&lt;&gt;".",up_Irr!BO2&lt;&gt;"."),up_dir!AS2/((1/1000)*(up_Irr!S2+up_Irr!AQ2+up_Irr!BO2)),IF(AND(up_Irr!S2&lt;&gt;".",up_Irr!AQ2&lt;&gt;".",up_Irr!BO2="."),up_dir!AS2/((1/1000)*(up_Irr!S2+up_Irr!AQ2)),IF(AND(up_Irr!S2&lt;&gt;".",up_Irr!AQ2=".",up_Irr!BO2&lt;&gt;"."),up_dir!AS2/((1/1000)*(up_Irr!S2+up_Irr!BO2)),IF(AND(up_Irr!S2=".",up_Irr!AQ2&lt;&gt;".",up_Irr!BO2&lt;&gt;"."),up_dir!AS2/((1/1000)*(up_Irr!AQ2+up_Irr!BO2)),IF(AND(up_Irr!S2=".",up_Irr!AQ2=".",up_Irr!BO2&lt;&gt;"."),up_dir!AS2/((1/1000)*(up_Irr!BO2)),IF(AND(up_Irr!S2=".",up_Irr!AQ2&lt;&gt;".",up_Irr!BO2="."),up_dir!AS2/((1/1000)*(up_Irr!AQ2)),IF(AND(up_Irr!S2&lt;&gt;".",up_Irr!AQ2=".",up_Irr!BO2="."),up_dir!AS2/((1/1000)*(up_Irr!S2)),IF(AND(up_Irr!S2=".",up_Irr!AQ2=".",up_Irr!BO2="."),up_dir!AS2*1000)))))))),".")</f>
        <v>7.2351016258567334E-11</v>
      </c>
      <c r="BS2" s="76">
        <f>IFERROR(IF(AND(up_Irr!T2&lt;&gt;".",up_Irr!AR2&lt;&gt;".",up_Irr!BP2&lt;&gt;"."),up_dir!AT2/((1/1000)*(up_Irr!T2+up_Irr!AR2+up_Irr!BP2)),IF(AND(up_Irr!T2&lt;&gt;".",up_Irr!AR2&lt;&gt;".",up_Irr!BP2="."),up_dir!AT2/((1/1000)*(up_Irr!T2+up_Irr!AR2)),IF(AND(up_Irr!T2&lt;&gt;".",up_Irr!AR2=".",up_Irr!BP2&lt;&gt;"."),up_dir!AT2/((1/1000)*(up_Irr!T2+up_Irr!BP2)),IF(AND(up_Irr!T2=".",up_Irr!AR2&lt;&gt;".",up_Irr!BP2&lt;&gt;"."),up_dir!AT2/((1/1000)*(up_Irr!AR2+up_Irr!BP2)),IF(AND(up_Irr!T2=".",up_Irr!AR2=".",up_Irr!BP2&lt;&gt;"."),up_dir!AT2/((1/1000)*(up_Irr!BP2)),IF(AND(up_Irr!T2=".",up_Irr!AR2&lt;&gt;".",up_Irr!BP2="."),up_dir!AT2/((1/1000)*(up_Irr!AR2)),IF(AND(up_Irr!T2&lt;&gt;".",up_Irr!AR2=".",up_Irr!BP2="."),up_dir!AT2/((1/1000)*(up_Irr!T2)),IF(AND(up_Irr!T2=".",up_Irr!AR2=".",up_Irr!BP2="."),up_dir!AT2*1000)))))))),".")</f>
        <v>7.2351016258567334E-11</v>
      </c>
      <c r="BT2" s="76">
        <f>IFERROR(IF(AND(up_Irr!U2&lt;&gt;".",up_Irr!AS2&lt;&gt;".",up_Irr!BQ2&lt;&gt;"."),up_dir!AU2/((1/1000)*(up_Irr!U2+up_Irr!AS2+up_Irr!BQ2)),IF(AND(up_Irr!U2&lt;&gt;".",up_Irr!AS2&lt;&gt;".",up_Irr!BQ2="."),up_dir!AU2/((1/1000)*(up_Irr!U2+up_Irr!AS2)),IF(AND(up_Irr!U2&lt;&gt;".",up_Irr!AS2=".",up_Irr!BQ2&lt;&gt;"."),up_dir!AU2/((1/1000)*(up_Irr!U2+up_Irr!BQ2)),IF(AND(up_Irr!U2=".",up_Irr!AS2&lt;&gt;".",up_Irr!BQ2&lt;&gt;"."),up_dir!AU2/((1/1000)*(up_Irr!AS2+up_Irr!BQ2)),IF(AND(up_Irr!U2=".",up_Irr!AS2=".",up_Irr!BQ2&lt;&gt;"."),up_dir!AU2/((1/1000)*(up_Irr!BQ2)),IF(AND(up_Irr!U2=".",up_Irr!AS2&lt;&gt;".",up_Irr!BQ2="."),up_dir!AU2/((1/1000)*(up_Irr!AS2)),IF(AND(up_Irr!U2&lt;&gt;".",up_Irr!AS2=".",up_Irr!BQ2="."),up_dir!AU2/((1/1000)*(up_Irr!U2)),IF(AND(up_Irr!U2=".",up_Irr!AS2=".",up_Irr!BQ2="."),up_dir!AU2*1000)))))))),".")</f>
        <v>7.2351016258567334E-11</v>
      </c>
      <c r="BU2" s="76">
        <f>IFERROR(IF(AND(up_Irr!V2&lt;&gt;".",up_Irr!AT2&lt;&gt;".",up_Irr!BR2&lt;&gt;"."),up_dir!AV2/((1/1000)*(up_Irr!V2+up_Irr!AT2+up_Irr!BR2)),IF(AND(up_Irr!V2&lt;&gt;".",up_Irr!AT2&lt;&gt;".",up_Irr!BR2="."),up_dir!AV2/((1/1000)*(up_Irr!V2+up_Irr!AT2)),IF(AND(up_Irr!V2&lt;&gt;".",up_Irr!AT2=".",up_Irr!BR2&lt;&gt;"."),up_dir!AV2/((1/1000)*(up_Irr!V2+up_Irr!BR2)),IF(AND(up_Irr!V2=".",up_Irr!AT2&lt;&gt;".",up_Irr!BR2&lt;&gt;"."),up_dir!AV2/((1/1000)*(up_Irr!AT2+up_Irr!BR2)),IF(AND(up_Irr!V2=".",up_Irr!AT2=".",up_Irr!BR2&lt;&gt;"."),up_dir!AV2/((1/1000)*(up_Irr!BR2)),IF(AND(up_Irr!V2=".",up_Irr!AT2&lt;&gt;".",up_Irr!BR2="."),up_dir!AV2/((1/1000)*(up_Irr!AT2)),IF(AND(up_Irr!V2&lt;&gt;".",up_Irr!AT2=".",up_Irr!BR2="."),up_dir!AV2/((1/1000)*(up_Irr!V2)),IF(AND(up_Irr!V2=".",up_Irr!AT2=".",up_Irr!BR2="."),up_dir!AV2*1000)))))))),".")</f>
        <v>7.2351016258567334E-11</v>
      </c>
      <c r="BV2" s="76">
        <f>IFERROR(IF(AND(up_Irr!W2&lt;&gt;".",up_Irr!AU2&lt;&gt;".",up_Irr!BS2&lt;&gt;"."),up_dir!AW2/((1/1000)*(up_Irr!W2+up_Irr!AU2+up_Irr!BS2)),IF(AND(up_Irr!W2&lt;&gt;".",up_Irr!AU2&lt;&gt;".",up_Irr!BS2="."),up_dir!AW2/((1/1000)*(up_Irr!W2+up_Irr!AU2)),IF(AND(up_Irr!W2&lt;&gt;".",up_Irr!AU2=".",up_Irr!BS2&lt;&gt;"."),up_dir!AW2/((1/1000)*(up_Irr!W2+up_Irr!BS2)),IF(AND(up_Irr!W2=".",up_Irr!AU2&lt;&gt;".",up_Irr!BS2&lt;&gt;"."),up_dir!AW2/((1/1000)*(up_Irr!AU2+up_Irr!BS2)),IF(AND(up_Irr!W2=".",up_Irr!AU2=".",up_Irr!BS2&lt;&gt;"."),up_dir!AW2/((1/1000)*(up_Irr!BS2)),IF(AND(up_Irr!W2=".",up_Irr!AU2&lt;&gt;".",up_Irr!BS2="."),up_dir!AW2/((1/1000)*(up_Irr!AU2)),IF(AND(up_Irr!W2&lt;&gt;".",up_Irr!AU2=".",up_Irr!BS2="."),up_dir!AW2/((1/1000)*(up_Irr!W2)),IF(AND(up_Irr!W2=".",up_Irr!AU2=".",up_Irr!BS2="."),up_dir!AW2*1000)))))))),".")</f>
        <v>7.2351016258567334E-11</v>
      </c>
      <c r="BW2" s="76">
        <f>IFERROR(IF(AND(up_Irr!X2&lt;&gt;".",up_Irr!AV2&lt;&gt;".",up_Irr!BT2&lt;&gt;"."),up_dir!AX2/((1/1000)*(up_Irr!X2+up_Irr!AV2+up_Irr!BT2)),IF(AND(up_Irr!X2&lt;&gt;".",up_Irr!AV2&lt;&gt;".",up_Irr!BT2="."),up_dir!AX2/((1/1000)*(up_Irr!X2+up_Irr!AV2)),IF(AND(up_Irr!X2&lt;&gt;".",up_Irr!AV2=".",up_Irr!BT2&lt;&gt;"."),up_dir!AX2/((1/1000)*(up_Irr!X2+up_Irr!BT2)),IF(AND(up_Irr!X2=".",up_Irr!AV2&lt;&gt;".",up_Irr!BT2&lt;&gt;"."),up_dir!AX2/((1/1000)*(up_Irr!AV2+up_Irr!BT2)),IF(AND(up_Irr!X2=".",up_Irr!AV2=".",up_Irr!BT2&lt;&gt;"."),up_dir!AX2/((1/1000)*(up_Irr!BT2)),IF(AND(up_Irr!X2=".",up_Irr!AV2&lt;&gt;".",up_Irr!BT2="."),up_dir!AX2/((1/1000)*(up_Irr!AV2)),IF(AND(up_Irr!X2&lt;&gt;".",up_Irr!AV2=".",up_Irr!BT2="."),up_dir!AX2/((1/1000)*(up_Irr!X2)),IF(AND(up_Irr!X2=".",up_Irr!AV2=".",up_Irr!BT2="."),up_dir!AX2*1000)))))))),".")</f>
        <v>7.2351016258567334E-11</v>
      </c>
      <c r="BX2" s="76">
        <f>IFERROR(IF(AND(up_Irr!Y2&lt;&gt;".",up_Irr!AW2&lt;&gt;".",up_Irr!BU2&lt;&gt;"."),up_dir!AY2/((1/1000)*(up_Irr!Y2+up_Irr!AW2+up_Irr!BU2)),IF(AND(up_Irr!Y2&lt;&gt;".",up_Irr!AW2&lt;&gt;".",up_Irr!BU2="."),up_dir!AY2/((1/1000)*(up_Irr!Y2+up_Irr!AW2)),IF(AND(up_Irr!Y2&lt;&gt;".",up_Irr!AW2=".",up_Irr!BU2&lt;&gt;"."),up_dir!AY2/((1/1000)*(up_Irr!Y2+up_Irr!BU2)),IF(AND(up_Irr!Y2=".",up_Irr!AW2&lt;&gt;".",up_Irr!BU2&lt;&gt;"."),up_dir!AY2/((1/1000)*(up_Irr!AW2+up_Irr!BU2)),IF(AND(up_Irr!Y2=".",up_Irr!AW2=".",up_Irr!BU2&lt;&gt;"."),up_dir!AY2/((1/1000)*(up_Irr!BU2)),IF(AND(up_Irr!Y2=".",up_Irr!AW2&lt;&gt;".",up_Irr!BU2="."),up_dir!AY2/((1/1000)*(up_Irr!AW2)),IF(AND(up_Irr!Y2&lt;&gt;".",up_Irr!AW2=".",up_Irr!BU2="."),up_dir!AY2/((1/1000)*(up_Irr!Y2)),IF(AND(up_Irr!Y2=".",up_Irr!AW2=".",up_Irr!BU2="."),up_dir!AY2*1000)))))))),".")</f>
        <v>7.2351016258567334E-11</v>
      </c>
      <c r="BY2" s="76">
        <f>IFERROR(IF(AND(up_Irr!Z2&lt;&gt;".",up_Irr!AX2&lt;&gt;".",up_Irr!BV2&lt;&gt;"."),up_dir!AZ2/((1/1000)*(up_Irr!Z2+up_Irr!AX2+up_Irr!BV2)),IF(AND(up_Irr!Z2&lt;&gt;".",up_Irr!AX2&lt;&gt;".",up_Irr!BV2="."),up_dir!AZ2/((1/1000)*(up_Irr!Z2+up_Irr!AX2)),IF(AND(up_Irr!Z2&lt;&gt;".",up_Irr!AX2=".",up_Irr!BV2&lt;&gt;"."),up_dir!AZ2/((1/1000)*(up_Irr!Z2+up_Irr!BV2)),IF(AND(up_Irr!Z2=".",up_Irr!AX2&lt;&gt;".",up_Irr!BV2&lt;&gt;"."),up_dir!AZ2/((1/1000)*(up_Irr!AX2+up_Irr!BV2)),IF(AND(up_Irr!Z2=".",up_Irr!AX2=".",up_Irr!BV2&lt;&gt;"."),up_dir!AZ2/((1/1000)*(up_Irr!BV2)),IF(AND(up_Irr!Z2=".",up_Irr!AX2&lt;&gt;".",up_Irr!BV2="."),up_dir!AZ2/((1/1000)*(up_Irr!AX2)),IF(AND(up_Irr!Z2&lt;&gt;".",up_Irr!AX2=".",up_Irr!BV2="."),up_dir!AZ2/((1/1000)*(up_Irr!Z2)),IF(AND(up_Irr!Z2=".",up_Irr!AX2=".",up_Irr!BV2="."),up_dir!AZ2*1000)))))))),".")</f>
        <v>7.2351016258567334E-11</v>
      </c>
      <c r="BZ2" s="93">
        <f>SUM(CA2:CB2,CW2:CX2)</f>
        <v>55286.023705663516</v>
      </c>
      <c r="CA2" s="93">
        <f>IFERROR(s_C*s_IFAP_far_adj*s_CF_apple*(1/1000)*(up_Irr!C2+up_Irr!AA2+up_Irr!AY2),".")</f>
        <v>13821.505926415879</v>
      </c>
      <c r="CB2" s="93">
        <f>IFERROR(s_C*s_IFAS_far_adj*s_CF_asparagus*(1/1000)*(up_Irr!D2+up_Irr!AB2+up_Irr!AZ2),".")</f>
        <v>13821.505926415879</v>
      </c>
      <c r="CC2" s="93">
        <f>IFERROR(s_C*s_IFBT_far_adj*s_CF_beet*(1/1000)*(up_Irr!E2+up_Irr!AC2+up_Irr!BA2),".")</f>
        <v>13821.505926415879</v>
      </c>
      <c r="CD2" s="93">
        <f>IFERROR(s_C*s_IFBE_far_adj*s_CF_berries*(1/1000)*(up_Irr!F2+up_Irr!AD2+up_Irr!BB2),".")</f>
        <v>13821.505926415879</v>
      </c>
      <c r="CE2" s="93">
        <f>IFERROR(s_C*s_IFBR_far_adj*s_CF_broccoli*(1/1000)*(up_Irr!G2+up_Irr!AE2+up_Irr!BC2),".")</f>
        <v>13821.505926415879</v>
      </c>
      <c r="CF2" s="93">
        <f>IFERROR(s_C*s_IFCB_far_adj*s_CF_cabbage*(1/1000)*(up_Irr!H2+up_Irr!AF2+up_Irr!BD2),".")</f>
        <v>13821.505926415879</v>
      </c>
      <c r="CG2" s="93">
        <f>IFERROR(s_C*s_IFCR_far_adj*s_CF_carrot*(1/1000)*(up_Irr!I2+up_Irr!AG2+up_Irr!BE2),".")</f>
        <v>13821.505926415879</v>
      </c>
      <c r="CH2" s="93">
        <f>IFERROR(s_C*s_IFCI_far_adj*s_CF_citrus*(1/1000)*(up_Irr!J2+up_Irr!AH2+up_Irr!BF2),".")</f>
        <v>13821.505926415879</v>
      </c>
      <c r="CI2" s="93">
        <f>IFERROR(s_C*s_IFCO_far_adj*s_CF_corn*(1/1000)*(up_Irr!K2+up_Irr!AI2+up_Irr!BG2),".")</f>
        <v>13821.505926415879</v>
      </c>
      <c r="CJ2" s="93">
        <f>IFERROR(s_C*s_IFCU_far_adj*s_CF_cucumber*(1/1000)*(up_Irr!L2+up_Irr!AJ2+up_Irr!BH2),".")</f>
        <v>13821.505926415879</v>
      </c>
      <c r="CK2" s="93">
        <f>IFERROR(s_C*s_IFLE_far_adj*s_CF_lettuce*(1/1000)*(up_Irr!M2+up_Irr!AK2+up_Irr!BI2),".")</f>
        <v>13821.505926415879</v>
      </c>
      <c r="CL2" s="93">
        <f>IFERROR(s_C*s_IFLI_far_adj*s_CF_lima_bean*(1/1000)*(up_Irr!N2+up_Irr!AL2+up_Irr!BJ2),".")</f>
        <v>13821.505926415879</v>
      </c>
      <c r="CM2" s="93">
        <f>IFERROR(s_C*s_IFOK_far_adj*s_CF_okra*(1/1000)*(up_Irr!O2+up_Irr!AM2+up_Irr!BK2),".")</f>
        <v>13821.505926415879</v>
      </c>
      <c r="CN2" s="93">
        <f>IFERROR(s_C*s_IFON_far_adj*s_CF_onion*(1/1000)*(up_Irr!P2+up_Irr!AN2+up_Irr!BL2),".")</f>
        <v>13821.505926415879</v>
      </c>
      <c r="CO2" s="93">
        <f>IFERROR(s_C*s_IFPC_far_adj*s_CF_peach*(1/1000)*(up_Irr!Q2+up_Irr!AO2+up_Irr!BM2),".")</f>
        <v>13821.505926415879</v>
      </c>
      <c r="CP2" s="93">
        <f>IFERROR(s_C*s_IFPR_far_adj*s_CF_pear*(1/1000)*(up_Irr!R2+up_Irr!AP2+up_Irr!BN2),".")</f>
        <v>13821.505926415879</v>
      </c>
      <c r="CQ2" s="93">
        <f>IFERROR(s_C*s_IFPE_far_adj*s_CF_peas*(1/1000)*(up_Irr!S2+up_Irr!AQ2+up_Irr!BO2),".")</f>
        <v>13821.505926415879</v>
      </c>
      <c r="CR2" s="93">
        <f>IFERROR(s_C*s_IFPT_far_adj*s_CF_potato*(1/1000)*(up_Irr!T2+up_Irr!AR2+up_Irr!BP2),".")</f>
        <v>13821.505926415879</v>
      </c>
      <c r="CS2" s="93">
        <f>IFERROR(s_C*s_IFPU_far_adj*s_CF_pumpkin*(1/1000)*(up_Irr!U2+up_Irr!AS2+up_Irr!BQ2),".")</f>
        <v>13821.505926415879</v>
      </c>
      <c r="CT2" s="93">
        <f>IFERROR(s_C*s_IFSN_far_adj*s_CF_snap_bean*(1/1000)*(up_Irr!V2+up_Irr!AT2+up_Irr!BR2),".")</f>
        <v>13821.505926415879</v>
      </c>
      <c r="CU2" s="93">
        <f>IFERROR(s_C*s_IFST_far_adj*s_CF_strawberry*(1/1000)*(up_Irr!W2+up_Irr!AU2+up_Irr!BS2),".")</f>
        <v>13821.505926415879</v>
      </c>
      <c r="CV2" s="93">
        <f>IFERROR(s_C*s_IFTO_far_adj*s_CF_tomato*(1/1000)*(up_Irr!X2+up_Irr!AV2+up_Irr!BT2),".")</f>
        <v>13821.505926415879</v>
      </c>
      <c r="CW2" s="93">
        <f>IFERROR(s_C*s_IFRI_far_adj*s_CF_rice*(1/1000)*(up_Irr!Y2+up_Irr!AW2+up_Irr!BU2),".")</f>
        <v>13821.505926415879</v>
      </c>
      <c r="CX2" s="93">
        <f>IFERROR(s_C*s_IFCG_far_adj*s_CF_cereal*(1/1000)*(up_Irr!Z2+up_Irr!AX2+up_Irr!BV2),".")</f>
        <v>13821.505926415879</v>
      </c>
    </row>
    <row r="3" spans="1:102" x14ac:dyDescent="0.25">
      <c r="A3" s="94" t="s">
        <v>13</v>
      </c>
      <c r="B3" s="90" t="s">
        <v>351</v>
      </c>
      <c r="C3" s="76">
        <f t="shared" si="0"/>
        <v>1.8087754064641833E-11</v>
      </c>
      <c r="D3" s="76">
        <f>IFERROR(IF(AND(up_Irr!C3&lt;&gt;".",up_Irr!AA3&lt;&gt;".",up_Irr!AY3&lt;&gt;"."),up_dir!D3/((1/1000)*(up_Irr!C3+up_Irr!AA3+up_Irr!AY3)),IF(AND(up_Irr!C3&lt;&gt;".",up_Irr!AA3&lt;&gt;".",up_Irr!AY3="."),up_dir!D3/((1/1000)*(up_Irr!C3+up_Irr!AA3)),IF(AND(up_Irr!C3&lt;&gt;".",up_Irr!AA3=".",up_Irr!AY3&lt;&gt;"."),up_dir!D3/((1/1000)*(up_Irr!C3+up_Irr!AY3)),IF(AND(up_Irr!C3=".",up_Irr!AA3&lt;&gt;".",up_Irr!AY3&lt;&gt;"."),up_dir!D3/((1/1000)*(up_Irr!AA3+up_Irr!AY3)),IF(AND(up_Irr!C3=".",up_Irr!AA3=".",up_Irr!AY3&lt;&gt;"."),up_dir!D3/((1/1000)*(up_Irr!AY3)),IF(AND(up_Irr!C3=".",up_Irr!AA3&lt;&gt;".",up_Irr!AY3="."),up_dir!D3/((1/1000)*(up_Irr!AA3)),IF(AND(up_Irr!C3&lt;&gt;".",up_Irr!AA3=".",up_Irr!AY3="."),up_dir!D3/((1/1000)*(up_Irr!C3)),IF(AND(up_Irr!C3=".",up_Irr!AA3=".",up_Irr!AY3="."),up_dir!D3*1000)))))))),".")</f>
        <v>7.2351016258567334E-11</v>
      </c>
      <c r="E3" s="76">
        <f>IFERROR(IF(AND(up_Irr!D3&lt;&gt;".",up_Irr!AB3&lt;&gt;".",up_Irr!AZ3&lt;&gt;"."),up_dir!E3/((1/1000)*(up_Irr!D3+up_Irr!AB3+up_Irr!AZ3)),IF(AND(up_Irr!D3&lt;&gt;".",up_Irr!AB3&lt;&gt;".",up_Irr!AZ3="."),up_dir!E3/((1/1000)*(up_Irr!D3+up_Irr!AB3)),IF(AND(up_Irr!D3&lt;&gt;".",up_Irr!AB3=".",up_Irr!AZ3&lt;&gt;"."),up_dir!E3/((1/1000)*(up_Irr!D3+up_Irr!AZ3)),IF(AND(up_Irr!D3=".",up_Irr!AB3&lt;&gt;".",up_Irr!AZ3&lt;&gt;"."),up_dir!E3/((1/1000)*(up_Irr!AB3+up_Irr!AZ3)),IF(AND(up_Irr!D3=".",up_Irr!AB3=".",up_Irr!AZ3&lt;&gt;"."),up_dir!E3/((1/1000)*(up_Irr!AZ3)),IF(AND(up_Irr!D3=".",up_Irr!AB3&lt;&gt;".",up_Irr!AZ3="."),up_dir!E3/((1/1000)*(up_Irr!AB3)),IF(AND(up_Irr!D3&lt;&gt;".",up_Irr!AB3=".",up_Irr!AZ3="."),up_dir!E3/((1/1000)*(up_Irr!D3)),IF(AND(up_Irr!D3=".",up_Irr!AB3=".",up_Irr!AZ3="."),up_dir!E3*1000)))))))),".")</f>
        <v>7.2351016258567334E-11</v>
      </c>
      <c r="F3" s="76">
        <f>IFERROR(IF(AND(up_Irr!E3&lt;&gt;".",up_Irr!AC3&lt;&gt;".",up_Irr!BA3&lt;&gt;"."),up_dir!F3/((1/1000)*(up_Irr!E3+up_Irr!AC3+up_Irr!BA3)),IF(AND(up_Irr!E3&lt;&gt;".",up_Irr!AC3&lt;&gt;".",up_Irr!BA3="."),up_dir!F3/((1/1000)*(up_Irr!E3+up_Irr!AC3)),IF(AND(up_Irr!E3&lt;&gt;".",up_Irr!AC3=".",up_Irr!BA3&lt;&gt;"."),up_dir!F3/((1/1000)*(up_Irr!E3+up_Irr!BA3)),IF(AND(up_Irr!E3=".",up_Irr!AC3&lt;&gt;".",up_Irr!BA3&lt;&gt;"."),up_dir!F3/((1/1000)*(up_Irr!AC3+up_Irr!BA3)),IF(AND(up_Irr!E3=".",up_Irr!AC3=".",up_Irr!BA3&lt;&gt;"."),up_dir!F3/((1/1000)*(up_Irr!BA3)),IF(AND(up_Irr!E3=".",up_Irr!AC3&lt;&gt;".",up_Irr!BA3="."),up_dir!F3/((1/1000)*(up_Irr!AC3)),IF(AND(up_Irr!E3&lt;&gt;".",up_Irr!AC3=".",up_Irr!BA3="."),up_dir!F3/((1/1000)*(up_Irr!E3)),IF(AND(up_Irr!E3=".",up_Irr!AC3=".",up_Irr!BA3="."),up_dir!F3*1000)))))))),".")</f>
        <v>7.2351016258567334E-11</v>
      </c>
      <c r="G3" s="76">
        <f>IFERROR(IF(AND(up_Irr!F3&lt;&gt;".",up_Irr!AD3&lt;&gt;".",up_Irr!BB3&lt;&gt;"."),up_dir!G3/((1/1000)*(up_Irr!F3+up_Irr!AD3+up_Irr!BB3)),IF(AND(up_Irr!F3&lt;&gt;".",up_Irr!AD3&lt;&gt;".",up_Irr!BB3="."),up_dir!G3/((1/1000)*(up_Irr!F3+up_Irr!AD3)),IF(AND(up_Irr!F3&lt;&gt;".",up_Irr!AD3=".",up_Irr!BB3&lt;&gt;"."),up_dir!G3/((1/1000)*(up_Irr!F3+up_Irr!BB3)),IF(AND(up_Irr!F3=".",up_Irr!AD3&lt;&gt;".",up_Irr!BB3&lt;&gt;"."),up_dir!G3/((1/1000)*(up_Irr!AD3+up_Irr!BB3)),IF(AND(up_Irr!F3=".",up_Irr!AD3=".",up_Irr!BB3&lt;&gt;"."),up_dir!G3/((1/1000)*(up_Irr!BB3)),IF(AND(up_Irr!F3=".",up_Irr!AD3&lt;&gt;".",up_Irr!BB3="."),up_dir!G3/((1/1000)*(up_Irr!AD3)),IF(AND(up_Irr!F3&lt;&gt;".",up_Irr!AD3=".",up_Irr!BB3="."),up_dir!G3/((1/1000)*(up_Irr!F3)),IF(AND(up_Irr!F3=".",up_Irr!AD3=".",up_Irr!BB3="."),up_dir!G3*1000)))))))),".")</f>
        <v>7.2351016258567334E-11</v>
      </c>
      <c r="H3" s="76">
        <f>IFERROR(IF(AND(up_Irr!G3&lt;&gt;".",up_Irr!AE3&lt;&gt;".",up_Irr!BC3&lt;&gt;"."),up_dir!H3/((1/1000)*(up_Irr!G3+up_Irr!AE3+up_Irr!BC3)),IF(AND(up_Irr!G3&lt;&gt;".",up_Irr!AE3&lt;&gt;".",up_Irr!BC3="."),up_dir!H3/((1/1000)*(up_Irr!G3+up_Irr!AE3)),IF(AND(up_Irr!G3&lt;&gt;".",up_Irr!AE3=".",up_Irr!BC3&lt;&gt;"."),up_dir!H3/((1/1000)*(up_Irr!G3+up_Irr!BC3)),IF(AND(up_Irr!G3=".",up_Irr!AE3&lt;&gt;".",up_Irr!BC3&lt;&gt;"."),up_dir!H3/((1/1000)*(up_Irr!AE3+up_Irr!BC3)),IF(AND(up_Irr!G3=".",up_Irr!AE3=".",up_Irr!BC3&lt;&gt;"."),up_dir!H3/((1/1000)*(up_Irr!BC3)),IF(AND(up_Irr!G3=".",up_Irr!AE3&lt;&gt;".",up_Irr!BC3="."),up_dir!H3/((1/1000)*(up_Irr!AE3)),IF(AND(up_Irr!G3&lt;&gt;".",up_Irr!AE3=".",up_Irr!BC3="."),up_dir!H3/((1/1000)*(up_Irr!G3)),IF(AND(up_Irr!G3=".",up_Irr!AE3=".",up_Irr!BC3="."),up_dir!H3*1000)))))))),".")</f>
        <v>7.2351016258567334E-11</v>
      </c>
      <c r="I3" s="76">
        <f>IFERROR(IF(AND(up_Irr!H3&lt;&gt;".",up_Irr!AF3&lt;&gt;".",up_Irr!BD3&lt;&gt;"."),up_dir!I3/((1/1000)*(up_Irr!H3+up_Irr!AF3+up_Irr!BD3)),IF(AND(up_Irr!H3&lt;&gt;".",up_Irr!AF3&lt;&gt;".",up_Irr!BD3="."),up_dir!I3/((1/1000)*(up_Irr!H3+up_Irr!AF3)),IF(AND(up_Irr!H3&lt;&gt;".",up_Irr!AF3=".",up_Irr!BD3&lt;&gt;"."),up_dir!I3/((1/1000)*(up_Irr!H3+up_Irr!BD3)),IF(AND(up_Irr!H3=".",up_Irr!AF3&lt;&gt;".",up_Irr!BD3&lt;&gt;"."),up_dir!I3/((1/1000)*(up_Irr!AF3+up_Irr!BD3)),IF(AND(up_Irr!H3=".",up_Irr!AF3=".",up_Irr!BD3&lt;&gt;"."),up_dir!I3/((1/1000)*(up_Irr!BD3)),IF(AND(up_Irr!H3=".",up_Irr!AF3&lt;&gt;".",up_Irr!BD3="."),up_dir!I3/((1/1000)*(up_Irr!AF3)),IF(AND(up_Irr!H3&lt;&gt;".",up_Irr!AF3=".",up_Irr!BD3="."),up_dir!I3/((1/1000)*(up_Irr!H3)),IF(AND(up_Irr!H3=".",up_Irr!AF3=".",up_Irr!BD3="."),up_dir!I3*1000)))))))),".")</f>
        <v>7.2351016258567334E-11</v>
      </c>
      <c r="J3" s="76">
        <f>IFERROR(IF(AND(up_Irr!I3&lt;&gt;".",up_Irr!AG3&lt;&gt;".",up_Irr!BE3&lt;&gt;"."),up_dir!J3/((1/1000)*(up_Irr!I3+up_Irr!AG3+up_Irr!BE3)),IF(AND(up_Irr!I3&lt;&gt;".",up_Irr!AG3&lt;&gt;".",up_Irr!BE3="."),up_dir!J3/((1/1000)*(up_Irr!I3+up_Irr!AG3)),IF(AND(up_Irr!I3&lt;&gt;".",up_Irr!AG3=".",up_Irr!BE3&lt;&gt;"."),up_dir!J3/((1/1000)*(up_Irr!I3+up_Irr!BE3)),IF(AND(up_Irr!I3=".",up_Irr!AG3&lt;&gt;".",up_Irr!BE3&lt;&gt;"."),up_dir!J3/((1/1000)*(up_Irr!AG3+up_Irr!BE3)),IF(AND(up_Irr!I3=".",up_Irr!AG3=".",up_Irr!BE3&lt;&gt;"."),up_dir!J3/((1/1000)*(up_Irr!BE3)),IF(AND(up_Irr!I3=".",up_Irr!AG3&lt;&gt;".",up_Irr!BE3="."),up_dir!J3/((1/1000)*(up_Irr!AG3)),IF(AND(up_Irr!I3&lt;&gt;".",up_Irr!AG3=".",up_Irr!BE3="."),up_dir!J3/((1/1000)*(up_Irr!I3)),IF(AND(up_Irr!I3=".",up_Irr!AG3=".",up_Irr!BE3="."),up_dir!J3*1000)))))))),".")</f>
        <v>7.2351016258567334E-11</v>
      </c>
      <c r="K3" s="76">
        <f>IFERROR(IF(AND(up_Irr!J3&lt;&gt;".",up_Irr!AH3&lt;&gt;".",up_Irr!BF3&lt;&gt;"."),up_dir!K3/((1/1000)*(up_Irr!J3+up_Irr!AH3+up_Irr!BF3)),IF(AND(up_Irr!J3&lt;&gt;".",up_Irr!AH3&lt;&gt;".",up_Irr!BF3="."),up_dir!K3/((1/1000)*(up_Irr!J3+up_Irr!AH3)),IF(AND(up_Irr!J3&lt;&gt;".",up_Irr!AH3=".",up_Irr!BF3&lt;&gt;"."),up_dir!K3/((1/1000)*(up_Irr!J3+up_Irr!BF3)),IF(AND(up_Irr!J3=".",up_Irr!AH3&lt;&gt;".",up_Irr!BF3&lt;&gt;"."),up_dir!K3/((1/1000)*(up_Irr!AH3+up_Irr!BF3)),IF(AND(up_Irr!J3=".",up_Irr!AH3=".",up_Irr!BF3&lt;&gt;"."),up_dir!K3/((1/1000)*(up_Irr!BF3)),IF(AND(up_Irr!J3=".",up_Irr!AH3&lt;&gt;".",up_Irr!BF3="."),up_dir!K3/((1/1000)*(up_Irr!AH3)),IF(AND(up_Irr!J3&lt;&gt;".",up_Irr!AH3=".",up_Irr!BF3="."),up_dir!K3/((1/1000)*(up_Irr!J3)),IF(AND(up_Irr!J3=".",up_Irr!AH3=".",up_Irr!BF3="."),up_dir!K3*1000)))))))),".")</f>
        <v>7.2351016258567334E-11</v>
      </c>
      <c r="L3" s="76">
        <f>IFERROR(IF(AND(up_Irr!K3&lt;&gt;".",up_Irr!AI3&lt;&gt;".",up_Irr!BG3&lt;&gt;"."),up_dir!L3/((1/1000)*(up_Irr!K3+up_Irr!AI3+up_Irr!BG3)),IF(AND(up_Irr!K3&lt;&gt;".",up_Irr!AI3&lt;&gt;".",up_Irr!BG3="."),up_dir!L3/((1/1000)*(up_Irr!K3+up_Irr!AI3)),IF(AND(up_Irr!K3&lt;&gt;".",up_Irr!AI3=".",up_Irr!BG3&lt;&gt;"."),up_dir!L3/((1/1000)*(up_Irr!K3+up_Irr!BG3)),IF(AND(up_Irr!K3=".",up_Irr!AI3&lt;&gt;".",up_Irr!BG3&lt;&gt;"."),up_dir!L3/((1/1000)*(up_Irr!AI3+up_Irr!BG3)),IF(AND(up_Irr!K3=".",up_Irr!AI3=".",up_Irr!BG3&lt;&gt;"."),up_dir!L3/((1/1000)*(up_Irr!BG3)),IF(AND(up_Irr!K3=".",up_Irr!AI3&lt;&gt;".",up_Irr!BG3="."),up_dir!L3/((1/1000)*(up_Irr!AI3)),IF(AND(up_Irr!K3&lt;&gt;".",up_Irr!AI3=".",up_Irr!BG3="."),up_dir!L3/((1/1000)*(up_Irr!K3)),IF(AND(up_Irr!K3=".",up_Irr!AI3=".",up_Irr!BG3="."),up_dir!L3*1000)))))))),".")</f>
        <v>7.2351016258567334E-11</v>
      </c>
      <c r="M3" s="76">
        <f>IFERROR(IF(AND(up_Irr!L3&lt;&gt;".",up_Irr!AJ3&lt;&gt;".",up_Irr!BH3&lt;&gt;"."),up_dir!M3/((1/1000)*(up_Irr!L3+up_Irr!AJ3+up_Irr!BH3)),IF(AND(up_Irr!L3&lt;&gt;".",up_Irr!AJ3&lt;&gt;".",up_Irr!BH3="."),up_dir!M3/((1/1000)*(up_Irr!L3+up_Irr!AJ3)),IF(AND(up_Irr!L3&lt;&gt;".",up_Irr!AJ3=".",up_Irr!BH3&lt;&gt;"."),up_dir!M3/((1/1000)*(up_Irr!L3+up_Irr!BH3)),IF(AND(up_Irr!L3=".",up_Irr!AJ3&lt;&gt;".",up_Irr!BH3&lt;&gt;"."),up_dir!M3/((1/1000)*(up_Irr!AJ3+up_Irr!BH3)),IF(AND(up_Irr!L3=".",up_Irr!AJ3=".",up_Irr!BH3&lt;&gt;"."),up_dir!M3/((1/1000)*(up_Irr!BH3)),IF(AND(up_Irr!L3=".",up_Irr!AJ3&lt;&gt;".",up_Irr!BH3="."),up_dir!M3/((1/1000)*(up_Irr!AJ3)),IF(AND(up_Irr!L3&lt;&gt;".",up_Irr!AJ3=".",up_Irr!BH3="."),up_dir!M3/((1/1000)*(up_Irr!L3)),IF(AND(up_Irr!L3=".",up_Irr!AJ3=".",up_Irr!BH3="."),up_dir!M3*1000)))))))),".")</f>
        <v>7.2351016258567334E-11</v>
      </c>
      <c r="N3" s="76">
        <f>IFERROR(IF(AND(up_Irr!M3&lt;&gt;".",up_Irr!AK3&lt;&gt;".",up_Irr!BI3&lt;&gt;"."),up_dir!N3/((1/1000)*(up_Irr!M3+up_Irr!AK3+up_Irr!BI3)),IF(AND(up_Irr!M3&lt;&gt;".",up_Irr!AK3&lt;&gt;".",up_Irr!BI3="."),up_dir!N3/((1/1000)*(up_Irr!M3+up_Irr!AK3)),IF(AND(up_Irr!M3&lt;&gt;".",up_Irr!AK3=".",up_Irr!BI3&lt;&gt;"."),up_dir!N3/((1/1000)*(up_Irr!M3+up_Irr!BI3)),IF(AND(up_Irr!M3=".",up_Irr!AK3&lt;&gt;".",up_Irr!BI3&lt;&gt;"."),up_dir!N3/((1/1000)*(up_Irr!AK3+up_Irr!BI3)),IF(AND(up_Irr!M3=".",up_Irr!AK3=".",up_Irr!BI3&lt;&gt;"."),up_dir!N3/((1/1000)*(up_Irr!BI3)),IF(AND(up_Irr!M3=".",up_Irr!AK3&lt;&gt;".",up_Irr!BI3="."),up_dir!N3/((1/1000)*(up_Irr!AK3)),IF(AND(up_Irr!M3&lt;&gt;".",up_Irr!AK3=".",up_Irr!BI3="."),up_dir!N3/((1/1000)*(up_Irr!M3)),IF(AND(up_Irr!M3=".",up_Irr!AK3=".",up_Irr!BI3="."),up_dir!N3*1000)))))))),".")</f>
        <v>7.2351016258567334E-11</v>
      </c>
      <c r="O3" s="76">
        <f>IFERROR(IF(AND(up_Irr!N3&lt;&gt;".",up_Irr!AL3&lt;&gt;".",up_Irr!BJ3&lt;&gt;"."),up_dir!O3/((1/1000)*(up_Irr!N3+up_Irr!AL3+up_Irr!BJ3)),IF(AND(up_Irr!N3&lt;&gt;".",up_Irr!AL3&lt;&gt;".",up_Irr!BJ3="."),up_dir!O3/((1/1000)*(up_Irr!N3+up_Irr!AL3)),IF(AND(up_Irr!N3&lt;&gt;".",up_Irr!AL3=".",up_Irr!BJ3&lt;&gt;"."),up_dir!O3/((1/1000)*(up_Irr!N3+up_Irr!BJ3)),IF(AND(up_Irr!N3=".",up_Irr!AL3&lt;&gt;".",up_Irr!BJ3&lt;&gt;"."),up_dir!O3/((1/1000)*(up_Irr!AL3+up_Irr!BJ3)),IF(AND(up_Irr!N3=".",up_Irr!AL3=".",up_Irr!BJ3&lt;&gt;"."),up_dir!O3/((1/1000)*(up_Irr!BJ3)),IF(AND(up_Irr!N3=".",up_Irr!AL3&lt;&gt;".",up_Irr!BJ3="."),up_dir!O3/((1/1000)*(up_Irr!AL3)),IF(AND(up_Irr!N3&lt;&gt;".",up_Irr!AL3=".",up_Irr!BJ3="."),up_dir!O3/((1/1000)*(up_Irr!N3)),IF(AND(up_Irr!N3=".",up_Irr!AL3=".",up_Irr!BJ3="."),up_dir!O3*1000)))))))),".")</f>
        <v>7.2351016258567334E-11</v>
      </c>
      <c r="P3" s="76">
        <f>IFERROR(IF(AND(up_Irr!O3&lt;&gt;".",up_Irr!AM3&lt;&gt;".",up_Irr!BK3&lt;&gt;"."),up_dir!P3/((1/1000)*(up_Irr!O3+up_Irr!AM3+up_Irr!BK3)),IF(AND(up_Irr!O3&lt;&gt;".",up_Irr!AM3&lt;&gt;".",up_Irr!BK3="."),up_dir!P3/((1/1000)*(up_Irr!O3+up_Irr!AM3)),IF(AND(up_Irr!O3&lt;&gt;".",up_Irr!AM3=".",up_Irr!BK3&lt;&gt;"."),up_dir!P3/((1/1000)*(up_Irr!O3+up_Irr!BK3)),IF(AND(up_Irr!O3=".",up_Irr!AM3&lt;&gt;".",up_Irr!BK3&lt;&gt;"."),up_dir!P3/((1/1000)*(up_Irr!AM3+up_Irr!BK3)),IF(AND(up_Irr!O3=".",up_Irr!AM3=".",up_Irr!BK3&lt;&gt;"."),up_dir!P3/((1/1000)*(up_Irr!BK3)),IF(AND(up_Irr!O3=".",up_Irr!AM3&lt;&gt;".",up_Irr!BK3="."),up_dir!P3/((1/1000)*(up_Irr!AM3)),IF(AND(up_Irr!O3&lt;&gt;".",up_Irr!AM3=".",up_Irr!BK3="."),up_dir!P3/((1/1000)*(up_Irr!O3)),IF(AND(up_Irr!O3=".",up_Irr!AM3=".",up_Irr!BK3="."),up_dir!P3*1000)))))))),".")</f>
        <v>7.2351016258567334E-11</v>
      </c>
      <c r="Q3" s="76">
        <f>IFERROR(IF(AND(up_Irr!P3&lt;&gt;".",up_Irr!AN3&lt;&gt;".",up_Irr!BL3&lt;&gt;"."),up_dir!Q3/((1/1000)*(up_Irr!P3+up_Irr!AN3+up_Irr!BL3)),IF(AND(up_Irr!P3&lt;&gt;".",up_Irr!AN3&lt;&gt;".",up_Irr!BL3="."),up_dir!Q3/((1/1000)*(up_Irr!P3+up_Irr!AN3)),IF(AND(up_Irr!P3&lt;&gt;".",up_Irr!AN3=".",up_Irr!BL3&lt;&gt;"."),up_dir!Q3/((1/1000)*(up_Irr!P3+up_Irr!BL3)),IF(AND(up_Irr!P3=".",up_Irr!AN3&lt;&gt;".",up_Irr!BL3&lt;&gt;"."),up_dir!Q3/((1/1000)*(up_Irr!AN3+up_Irr!BL3)),IF(AND(up_Irr!P3=".",up_Irr!AN3=".",up_Irr!BL3&lt;&gt;"."),up_dir!Q3/((1/1000)*(up_Irr!BL3)),IF(AND(up_Irr!P3=".",up_Irr!AN3&lt;&gt;".",up_Irr!BL3="."),up_dir!Q3/((1/1000)*(up_Irr!AN3)),IF(AND(up_Irr!P3&lt;&gt;".",up_Irr!AN3=".",up_Irr!BL3="."),up_dir!Q3/((1/1000)*(up_Irr!P3)),IF(AND(up_Irr!P3=".",up_Irr!AN3=".",up_Irr!BL3="."),up_dir!Q3*1000)))))))),".")</f>
        <v>7.2351016258567334E-11</v>
      </c>
      <c r="R3" s="76">
        <f>IFERROR(IF(AND(up_Irr!Q3&lt;&gt;".",up_Irr!AO3&lt;&gt;".",up_Irr!BM3&lt;&gt;"."),up_dir!R3/((1/1000)*(up_Irr!Q3+up_Irr!AO3+up_Irr!BM3)),IF(AND(up_Irr!Q3&lt;&gt;".",up_Irr!AO3&lt;&gt;".",up_Irr!BM3="."),up_dir!R3/((1/1000)*(up_Irr!Q3+up_Irr!AO3)),IF(AND(up_Irr!Q3&lt;&gt;".",up_Irr!AO3=".",up_Irr!BM3&lt;&gt;"."),up_dir!R3/((1/1000)*(up_Irr!Q3+up_Irr!BM3)),IF(AND(up_Irr!Q3=".",up_Irr!AO3&lt;&gt;".",up_Irr!BM3&lt;&gt;"."),up_dir!R3/((1/1000)*(up_Irr!AO3+up_Irr!BM3)),IF(AND(up_Irr!Q3=".",up_Irr!AO3=".",up_Irr!BM3&lt;&gt;"."),up_dir!R3/((1/1000)*(up_Irr!BM3)),IF(AND(up_Irr!Q3=".",up_Irr!AO3&lt;&gt;".",up_Irr!BM3="."),up_dir!R3/((1/1000)*(up_Irr!AO3)),IF(AND(up_Irr!Q3&lt;&gt;".",up_Irr!AO3=".",up_Irr!BM3="."),up_dir!R3/((1/1000)*(up_Irr!Q3)),IF(AND(up_Irr!Q3=".",up_Irr!AO3=".",up_Irr!BM3="."),up_dir!R3*1000)))))))),".")</f>
        <v>7.2351016258567334E-11</v>
      </c>
      <c r="S3" s="76">
        <f>IFERROR(IF(AND(up_Irr!R3&lt;&gt;".",up_Irr!AP3&lt;&gt;".",up_Irr!BN3&lt;&gt;"."),up_dir!S3/((1/1000)*(up_Irr!R3+up_Irr!AP3+up_Irr!BN3)),IF(AND(up_Irr!R3&lt;&gt;".",up_Irr!AP3&lt;&gt;".",up_Irr!BN3="."),up_dir!S3/((1/1000)*(up_Irr!R3+up_Irr!AP3)),IF(AND(up_Irr!R3&lt;&gt;".",up_Irr!AP3=".",up_Irr!BN3&lt;&gt;"."),up_dir!S3/((1/1000)*(up_Irr!R3+up_Irr!BN3)),IF(AND(up_Irr!R3=".",up_Irr!AP3&lt;&gt;".",up_Irr!BN3&lt;&gt;"."),up_dir!S3/((1/1000)*(up_Irr!AP3+up_Irr!BN3)),IF(AND(up_Irr!R3=".",up_Irr!AP3=".",up_Irr!BN3&lt;&gt;"."),up_dir!S3/((1/1000)*(up_Irr!BN3)),IF(AND(up_Irr!R3=".",up_Irr!AP3&lt;&gt;".",up_Irr!BN3="."),up_dir!S3/((1/1000)*(up_Irr!AP3)),IF(AND(up_Irr!R3&lt;&gt;".",up_Irr!AP3=".",up_Irr!BN3="."),up_dir!S3/((1/1000)*(up_Irr!R3)),IF(AND(up_Irr!R3=".",up_Irr!AP3=".",up_Irr!BN3="."),up_dir!S3*1000)))))))),".")</f>
        <v>7.2351016258567334E-11</v>
      </c>
      <c r="T3" s="76">
        <f>IFERROR(IF(AND(up_Irr!S3&lt;&gt;".",up_Irr!AQ3&lt;&gt;".",up_Irr!BO3&lt;&gt;"."),up_dir!T3/((1/1000)*(up_Irr!S3+up_Irr!AQ3+up_Irr!BO3)),IF(AND(up_Irr!S3&lt;&gt;".",up_Irr!AQ3&lt;&gt;".",up_Irr!BO3="."),up_dir!T3/((1/1000)*(up_Irr!S3+up_Irr!AQ3)),IF(AND(up_Irr!S3&lt;&gt;".",up_Irr!AQ3=".",up_Irr!BO3&lt;&gt;"."),up_dir!T3/((1/1000)*(up_Irr!S3+up_Irr!BO3)),IF(AND(up_Irr!S3=".",up_Irr!AQ3&lt;&gt;".",up_Irr!BO3&lt;&gt;"."),up_dir!T3/((1/1000)*(up_Irr!AQ3+up_Irr!BO3)),IF(AND(up_Irr!S3=".",up_Irr!AQ3=".",up_Irr!BO3&lt;&gt;"."),up_dir!T3/((1/1000)*(up_Irr!BO3)),IF(AND(up_Irr!S3=".",up_Irr!AQ3&lt;&gt;".",up_Irr!BO3="."),up_dir!T3/((1/1000)*(up_Irr!AQ3)),IF(AND(up_Irr!S3&lt;&gt;".",up_Irr!AQ3=".",up_Irr!BO3="."),up_dir!T3/((1/1000)*(up_Irr!S3)),IF(AND(up_Irr!S3=".",up_Irr!AQ3=".",up_Irr!BO3="."),up_dir!T3*1000)))))))),".")</f>
        <v>7.2351016258567334E-11</v>
      </c>
      <c r="U3" s="76">
        <f>IFERROR(IF(AND(up_Irr!T3&lt;&gt;".",up_Irr!AR3&lt;&gt;".",up_Irr!BP3&lt;&gt;"."),up_dir!U3/((1/1000)*(up_Irr!T3+up_Irr!AR3+up_Irr!BP3)),IF(AND(up_Irr!T3&lt;&gt;".",up_Irr!AR3&lt;&gt;".",up_Irr!BP3="."),up_dir!U3/((1/1000)*(up_Irr!T3+up_Irr!AR3)),IF(AND(up_Irr!T3&lt;&gt;".",up_Irr!AR3=".",up_Irr!BP3&lt;&gt;"."),up_dir!U3/((1/1000)*(up_Irr!T3+up_Irr!BP3)),IF(AND(up_Irr!T3=".",up_Irr!AR3&lt;&gt;".",up_Irr!BP3&lt;&gt;"."),up_dir!U3/((1/1000)*(up_Irr!AR3+up_Irr!BP3)),IF(AND(up_Irr!T3=".",up_Irr!AR3=".",up_Irr!BP3&lt;&gt;"."),up_dir!U3/((1/1000)*(up_Irr!BP3)),IF(AND(up_Irr!T3=".",up_Irr!AR3&lt;&gt;".",up_Irr!BP3="."),up_dir!U3/((1/1000)*(up_Irr!AR3)),IF(AND(up_Irr!T3&lt;&gt;".",up_Irr!AR3=".",up_Irr!BP3="."),up_dir!U3/((1/1000)*(up_Irr!T3)),IF(AND(up_Irr!T3=".",up_Irr!AR3=".",up_Irr!BP3="."),up_dir!U3*1000)))))))),".")</f>
        <v>7.2351016258567334E-11</v>
      </c>
      <c r="V3" s="76">
        <f>IFERROR(IF(AND(up_Irr!U3&lt;&gt;".",up_Irr!AS3&lt;&gt;".",up_Irr!BQ3&lt;&gt;"."),up_dir!V3/((1/1000)*(up_Irr!U3+up_Irr!AS3+up_Irr!BQ3)),IF(AND(up_Irr!U3&lt;&gt;".",up_Irr!AS3&lt;&gt;".",up_Irr!BQ3="."),up_dir!V3/((1/1000)*(up_Irr!U3+up_Irr!AS3)),IF(AND(up_Irr!U3&lt;&gt;".",up_Irr!AS3=".",up_Irr!BQ3&lt;&gt;"."),up_dir!V3/((1/1000)*(up_Irr!U3+up_Irr!BQ3)),IF(AND(up_Irr!U3=".",up_Irr!AS3&lt;&gt;".",up_Irr!BQ3&lt;&gt;"."),up_dir!V3/((1/1000)*(up_Irr!AS3+up_Irr!BQ3)),IF(AND(up_Irr!U3=".",up_Irr!AS3=".",up_Irr!BQ3&lt;&gt;"."),up_dir!V3/((1/1000)*(up_Irr!BQ3)),IF(AND(up_Irr!U3=".",up_Irr!AS3&lt;&gt;".",up_Irr!BQ3="."),up_dir!V3/((1/1000)*(up_Irr!AS3)),IF(AND(up_Irr!U3&lt;&gt;".",up_Irr!AS3=".",up_Irr!BQ3="."),up_dir!V3/((1/1000)*(up_Irr!U3)),IF(AND(up_Irr!U3=".",up_Irr!AS3=".",up_Irr!BQ3="."),up_dir!V3*1000)))))))),".")</f>
        <v>7.2351016258567334E-11</v>
      </c>
      <c r="W3" s="76">
        <f>IFERROR(IF(AND(up_Irr!V3&lt;&gt;".",up_Irr!AT3&lt;&gt;".",up_Irr!BR3&lt;&gt;"."),up_dir!W3/((1/1000)*(up_Irr!V3+up_Irr!AT3+up_Irr!BR3)),IF(AND(up_Irr!V3&lt;&gt;".",up_Irr!AT3&lt;&gt;".",up_Irr!BR3="."),up_dir!W3/((1/1000)*(up_Irr!V3+up_Irr!AT3)),IF(AND(up_Irr!V3&lt;&gt;".",up_Irr!AT3=".",up_Irr!BR3&lt;&gt;"."),up_dir!W3/((1/1000)*(up_Irr!V3+up_Irr!BR3)),IF(AND(up_Irr!V3=".",up_Irr!AT3&lt;&gt;".",up_Irr!BR3&lt;&gt;"."),up_dir!W3/((1/1000)*(up_Irr!AT3+up_Irr!BR3)),IF(AND(up_Irr!V3=".",up_Irr!AT3=".",up_Irr!BR3&lt;&gt;"."),up_dir!W3/((1/1000)*(up_Irr!BR3)),IF(AND(up_Irr!V3=".",up_Irr!AT3&lt;&gt;".",up_Irr!BR3="."),up_dir!W3/((1/1000)*(up_Irr!AT3)),IF(AND(up_Irr!V3&lt;&gt;".",up_Irr!AT3=".",up_Irr!BR3="."),up_dir!W3/((1/1000)*(up_Irr!V3)),IF(AND(up_Irr!V3=".",up_Irr!AT3=".",up_Irr!BR3="."),up_dir!W3*1000)))))))),".")</f>
        <v>7.2351016258567334E-11</v>
      </c>
      <c r="X3" s="76">
        <f>IFERROR(IF(AND(up_Irr!W3&lt;&gt;".",up_Irr!AU3&lt;&gt;".",up_Irr!BS3&lt;&gt;"."),up_dir!X3/((1/1000)*(up_Irr!W3+up_Irr!AU3+up_Irr!BS3)),IF(AND(up_Irr!W3&lt;&gt;".",up_Irr!AU3&lt;&gt;".",up_Irr!BS3="."),up_dir!X3/((1/1000)*(up_Irr!W3+up_Irr!AU3)),IF(AND(up_Irr!W3&lt;&gt;".",up_Irr!AU3=".",up_Irr!BS3&lt;&gt;"."),up_dir!X3/((1/1000)*(up_Irr!W3+up_Irr!BS3)),IF(AND(up_Irr!W3=".",up_Irr!AU3&lt;&gt;".",up_Irr!BS3&lt;&gt;"."),up_dir!X3/((1/1000)*(up_Irr!AU3+up_Irr!BS3)),IF(AND(up_Irr!W3=".",up_Irr!AU3=".",up_Irr!BS3&lt;&gt;"."),up_dir!X3/((1/1000)*(up_Irr!BS3)),IF(AND(up_Irr!W3=".",up_Irr!AU3&lt;&gt;".",up_Irr!BS3="."),up_dir!X3/((1/1000)*(up_Irr!AU3)),IF(AND(up_Irr!W3&lt;&gt;".",up_Irr!AU3=".",up_Irr!BS3="."),up_dir!X3/((1/1000)*(up_Irr!W3)),IF(AND(up_Irr!W3=".",up_Irr!AU3=".",up_Irr!BS3="."),up_dir!X3*1000)))))))),".")</f>
        <v>7.2351016258567334E-11</v>
      </c>
      <c r="Y3" s="76">
        <f>IFERROR(IF(AND(up_Irr!X3&lt;&gt;".",up_Irr!AV3&lt;&gt;".",up_Irr!BT3&lt;&gt;"."),up_dir!Y3/((1/1000)*(up_Irr!X3+up_Irr!AV3+up_Irr!BT3)),IF(AND(up_Irr!X3&lt;&gt;".",up_Irr!AV3&lt;&gt;".",up_Irr!BT3="."),up_dir!Y3/((1/1000)*(up_Irr!X3+up_Irr!AV3)),IF(AND(up_Irr!X3&lt;&gt;".",up_Irr!AV3=".",up_Irr!BT3&lt;&gt;"."),up_dir!Y3/((1/1000)*(up_Irr!X3+up_Irr!BT3)),IF(AND(up_Irr!X3=".",up_Irr!AV3&lt;&gt;".",up_Irr!BT3&lt;&gt;"."),up_dir!Y3/((1/1000)*(up_Irr!AV3+up_Irr!BT3)),IF(AND(up_Irr!X3=".",up_Irr!AV3=".",up_Irr!BT3&lt;&gt;"."),up_dir!Y3/((1/1000)*(up_Irr!BT3)),IF(AND(up_Irr!X3=".",up_Irr!AV3&lt;&gt;".",up_Irr!BT3="."),up_dir!Y3/((1/1000)*(up_Irr!AV3)),IF(AND(up_Irr!X3&lt;&gt;".",up_Irr!AV3=".",up_Irr!BT3="."),up_dir!Y3/((1/1000)*(up_Irr!X3)),IF(AND(up_Irr!X3=".",up_Irr!AV3=".",up_Irr!BT3="."),up_dir!Y3*1000)))))))),".")</f>
        <v>7.2351016258567334E-11</v>
      </c>
      <c r="Z3" s="76">
        <f>IFERROR(IF(AND(up_Irr!Y3&lt;&gt;".",up_Irr!AW3&lt;&gt;".",up_Irr!BU3&lt;&gt;"."),up_dir!Z3/((1/1000)*(up_Irr!Y3+up_Irr!AW3+up_Irr!BU3)),IF(AND(up_Irr!Y3&lt;&gt;".",up_Irr!AW3&lt;&gt;".",up_Irr!BU3="."),up_dir!Z3/((1/1000)*(up_Irr!Y3+up_Irr!AW3)),IF(AND(up_Irr!Y3&lt;&gt;".",up_Irr!AW3=".",up_Irr!BU3&lt;&gt;"."),up_dir!Z3/((1/1000)*(up_Irr!Y3+up_Irr!BU3)),IF(AND(up_Irr!Y3=".",up_Irr!AW3&lt;&gt;".",up_Irr!BU3&lt;&gt;"."),up_dir!Z3/((1/1000)*(up_Irr!AW3+up_Irr!BU3)),IF(AND(up_Irr!Y3=".",up_Irr!AW3=".",up_Irr!BU3&lt;&gt;"."),up_dir!Z3/((1/1000)*(up_Irr!BU3)),IF(AND(up_Irr!Y3=".",up_Irr!AW3&lt;&gt;".",up_Irr!BU3="."),up_dir!Z3/((1/1000)*(up_Irr!AW3)),IF(AND(up_Irr!Y3&lt;&gt;".",up_Irr!AW3=".",up_Irr!BU3="."),up_dir!Z3/((1/1000)*(up_Irr!Y3)),IF(AND(up_Irr!Y3=".",up_Irr!AW3=".",up_Irr!BU3="."),up_dir!Z3*1000)))))))),".")</f>
        <v>7.2351016258567334E-11</v>
      </c>
      <c r="AA3" s="76">
        <f>IFERROR(IF(AND(up_Irr!Z3&lt;&gt;".",up_Irr!AX3&lt;&gt;".",up_Irr!BV3&lt;&gt;"."),up_dir!AA3/((1/1000)*(up_Irr!Z3+up_Irr!AX3+up_Irr!BV3)),IF(AND(up_Irr!Z3&lt;&gt;".",up_Irr!AX3&lt;&gt;".",up_Irr!BV3="."),up_dir!AA3/((1/1000)*(up_Irr!Z3+up_Irr!AX3)),IF(AND(up_Irr!Z3&lt;&gt;".",up_Irr!AX3=".",up_Irr!BV3&lt;&gt;"."),up_dir!AA3/((1/1000)*(up_Irr!Z3+up_Irr!BV3)),IF(AND(up_Irr!Z3=".",up_Irr!AX3&lt;&gt;".",up_Irr!BV3&lt;&gt;"."),up_dir!AA3/((1/1000)*(up_Irr!AX3+up_Irr!BV3)),IF(AND(up_Irr!Z3=".",up_Irr!AX3=".",up_Irr!BV3&lt;&gt;"."),up_dir!AA3/((1/1000)*(up_Irr!BV3)),IF(AND(up_Irr!Z3=".",up_Irr!AX3&lt;&gt;".",up_Irr!BV3="."),up_dir!AA3/((1/1000)*(up_Irr!AX3)),IF(AND(up_Irr!Z3&lt;&gt;".",up_Irr!AX3=".",up_Irr!BV3="."),up_dir!AA3/((1/1000)*(up_Irr!Z3)),IF(AND(up_Irr!Z3=".",up_Irr!AX3=".",up_Irr!BV3="."),up_dir!AA3*1000)))))))),".")</f>
        <v>7.2351016258567334E-11</v>
      </c>
      <c r="AB3" s="93">
        <f>SUM(AC3:AD3,AY3:AZ3)</f>
        <v>55286.023705663516</v>
      </c>
      <c r="AC3" s="93">
        <f>IFERROR(s_C*s_IFAP_res_adj*s_CF_apple*0.001*(up_Irr!C3+up_Irr!AA3+up_Irr!AY3),".")</f>
        <v>13821.505926415879</v>
      </c>
      <c r="AD3" s="93">
        <f>IFERROR(s_C*s_IFAS_res_adj*s_CF_asparagus*0.001*(up_Irr!D3+up_Irr!AB3+up_Irr!AZ3),".")</f>
        <v>13821.505926415879</v>
      </c>
      <c r="AE3" s="93">
        <f>IFERROR(s_C*s_IFBT_res_adj*s_CF_beet*0.001*(up_Irr!E3+up_Irr!AC3+up_Irr!BA3),".")</f>
        <v>13821.505926415879</v>
      </c>
      <c r="AF3" s="93">
        <f>IFERROR(s_C*s_IFBE_res_adj*s_CF_berries*0.001*(up_Irr!F3+up_Irr!AD3+up_Irr!BB3),".")</f>
        <v>13821.505926415879</v>
      </c>
      <c r="AG3" s="93">
        <f>IFERROR(s_C*s_IFBR_res_adj*s_CF_broccoli*0.001*(up_Irr!G3+up_Irr!AE3+up_Irr!BC3),".")</f>
        <v>13821.505926415879</v>
      </c>
      <c r="AH3" s="93">
        <f>IFERROR(s_C*s_IFCB_res_adj*s_CF_cabbage*0.001*(up_Irr!H3+up_Irr!AF3+up_Irr!BD3),".")</f>
        <v>13821.505926415879</v>
      </c>
      <c r="AI3" s="93">
        <f>IFERROR(s_C*s_IFCR_res_adj*s_CF_carrot*0.001*(up_Irr!I3+up_Irr!AG3+up_Irr!BE3),".")</f>
        <v>13821.505926415879</v>
      </c>
      <c r="AJ3" s="93">
        <f>IFERROR(s_C*s_IFCI_res_adj*s_CF_citrus*0.001*(up_Irr!J3+up_Irr!AH3+up_Irr!BF3),".")</f>
        <v>13821.505926415879</v>
      </c>
      <c r="AK3" s="93">
        <f>IFERROR(s_C*s_IFCO_res_adj*s_CF_corn*0.001*(up_Irr!K3+up_Irr!AI3+up_Irr!BG3),".")</f>
        <v>13821.505926415879</v>
      </c>
      <c r="AL3" s="93">
        <f>IFERROR(s_C*s_IFCU_res_adj*s_CF_cucumber*0.001*(up_Irr!L3+up_Irr!AJ3+up_Irr!BH3),".")</f>
        <v>13821.505926415879</v>
      </c>
      <c r="AM3" s="93">
        <f>IFERROR(s_C*s_IFLE_res_adj*s_CF_lettuce*0.001*(up_Irr!M3+up_Irr!AK3+up_Irr!BI3),".")</f>
        <v>13821.505926415879</v>
      </c>
      <c r="AN3" s="93">
        <f>IFERROR(s_C*s_IFLI_res_adj*s_CF_lima_bean*0.001*(up_Irr!N3+up_Irr!AL3+up_Irr!BJ3),".")</f>
        <v>13821.505926415879</v>
      </c>
      <c r="AO3" s="93">
        <f>IFERROR(s_C*s_IFOK_res_adj*s_CF_okra*0.001*(up_Irr!O3+up_Irr!AM3+up_Irr!BK3),".")</f>
        <v>13821.505926415879</v>
      </c>
      <c r="AP3" s="93">
        <f>IFERROR(s_C*s_IFON_res_adj*s_CF_onion*0.001*(up_Irr!P3+up_Irr!AN3+up_Irr!BL3),".")</f>
        <v>13821.505926415879</v>
      </c>
      <c r="AQ3" s="93">
        <f>IFERROR(s_C*s_IFPC_res_adj*s_CF_peach*0.001*(up_Irr!Q3+up_Irr!AO3+up_Irr!BM3),".")</f>
        <v>13821.505926415879</v>
      </c>
      <c r="AR3" s="93">
        <f>IFERROR(s_C*s_IFPR_res_adj*s_CF_pear*0.001*(up_Irr!R3+up_Irr!AP3+up_Irr!BN3),".")</f>
        <v>13821.505926415879</v>
      </c>
      <c r="AS3" s="93">
        <f>IFERROR(s_C*s_IFPE_res_adj*s_CF_peas*0.001*(up_Irr!S3+up_Irr!AQ3+up_Irr!BO3),".")</f>
        <v>13821.505926415879</v>
      </c>
      <c r="AT3" s="93">
        <f>IFERROR(s_C*s_IFPT_res_adj*s_CF_potato*0.001*(up_Irr!T3+up_Irr!AR3+up_Irr!BP3),".")</f>
        <v>13821.505926415879</v>
      </c>
      <c r="AU3" s="93">
        <f>IFERROR(s_C*s_IFPU_res_adj*s_CF_pumpkin*0.001*(up_Irr!U3+up_Irr!AS3+up_Irr!BQ3),".")</f>
        <v>13821.505926415879</v>
      </c>
      <c r="AV3" s="93">
        <f>IFERROR(s_C*s_IFSN_res_adj*s_CF_snap_bean*0.001*(up_Irr!V3+up_Irr!AT3+up_Irr!BR3),".")</f>
        <v>13821.505926415879</v>
      </c>
      <c r="AW3" s="93">
        <f>IFERROR(s_C*s_IFST_res_adj*s_CF_strawberry*0.001*(up_Irr!W3+up_Irr!AU3+up_Irr!BS3),".")</f>
        <v>13821.505926415879</v>
      </c>
      <c r="AX3" s="93">
        <f>IFERROR(s_C*s_IFTO_res_adj*s_CF_tomato*0.001*(up_Irr!X3+up_Irr!AV3+up_Irr!BT3),".")</f>
        <v>13821.505926415879</v>
      </c>
      <c r="AY3" s="93">
        <f>IFERROR(s_C*s_IFRI_res_adj*s_CF_rice*0.001*(up_Irr!Y3+up_Irr!AW3+up_Irr!BU3),".")</f>
        <v>13821.505926415879</v>
      </c>
      <c r="AZ3" s="93">
        <f>IFERROR(s_C*s_IFCG_res_adj*s_CF_cereal*0.001*(up_Irr!Z3+up_Irr!AX3+up_Irr!BV3),".")</f>
        <v>13821.505926415879</v>
      </c>
      <c r="BA3" s="76">
        <f>IFERROR(1/SUM(1/BB3,1/BC3,1/BX3,1/BY3),".")</f>
        <v>1.8087754064641833E-11</v>
      </c>
      <c r="BB3" s="76">
        <f>IFERROR(IF(AND(up_Irr!C3&lt;&gt;".",up_Irr!AA3&lt;&gt;".",up_Irr!AY3&lt;&gt;"."),up_dir!AC3/((1/1000)*(up_Irr!C3+up_Irr!AA3+up_Irr!AY3)),IF(AND(up_Irr!C3&lt;&gt;".",up_Irr!AA3&lt;&gt;".",up_Irr!AY3="."),up_dir!AC3/((1/1000)*(up_Irr!C3+up_Irr!AA3)),IF(AND(up_Irr!C3&lt;&gt;".",up_Irr!AA3=".",up_Irr!AY3&lt;&gt;"."),up_dir!AC3/((1/1000)*(up_Irr!C3+up_Irr!AY3)),IF(AND(up_Irr!C3=".",up_Irr!AA3&lt;&gt;".",up_Irr!AY3&lt;&gt;"."),up_dir!AC3/((1/1000)*(up_Irr!AA3+up_Irr!AY3)),IF(AND(up_Irr!C3=".",up_Irr!AA3=".",up_Irr!AY3&lt;&gt;"."),up_dir!AC3/((1/1000)*(up_Irr!AY3)),IF(AND(up_Irr!C3=".",up_Irr!AA3&lt;&gt;".",up_Irr!AY3="."),up_dir!AC3/((1/1000)*(up_Irr!AA3)),IF(AND(up_Irr!C3&lt;&gt;".",up_Irr!AA3=".",up_Irr!AY3="."),up_dir!AC3/((1/1000)*(up_Irr!C3)),IF(AND(up_Irr!C3=".",up_Irr!AA3=".",up_Irr!AY3="."),up_dir!AC3*1000)))))))),".")</f>
        <v>7.2351016258567334E-11</v>
      </c>
      <c r="BC3" s="76">
        <f>IFERROR(IF(AND(up_Irr!D3&lt;&gt;".",up_Irr!AB3&lt;&gt;".",up_Irr!AZ3&lt;&gt;"."),up_dir!AD3/((1/1000)*(up_Irr!D3+up_Irr!AB3+up_Irr!AZ3)),IF(AND(up_Irr!D3&lt;&gt;".",up_Irr!AB3&lt;&gt;".",up_Irr!AZ3="."),up_dir!AD3/((1/1000)*(up_Irr!D3+up_Irr!AB3)),IF(AND(up_Irr!D3&lt;&gt;".",up_Irr!AB3=".",up_Irr!AZ3&lt;&gt;"."),up_dir!AD3/((1/1000)*(up_Irr!D3+up_Irr!AZ3)),IF(AND(up_Irr!D3=".",up_Irr!AB3&lt;&gt;".",up_Irr!AZ3&lt;&gt;"."),up_dir!AD3/((1/1000)*(up_Irr!AB3+up_Irr!AZ3)),IF(AND(up_Irr!D3=".",up_Irr!AB3=".",up_Irr!AZ3&lt;&gt;"."),up_dir!AD3/((1/1000)*(up_Irr!AZ3)),IF(AND(up_Irr!D3=".",up_Irr!AB3&lt;&gt;".",up_Irr!AZ3="."),up_dir!AD3/((1/1000)*(up_Irr!AB3)),IF(AND(up_Irr!D3&lt;&gt;".",up_Irr!AB3=".",up_Irr!AZ3="."),up_dir!AD3/((1/1000)*(up_Irr!D3)),IF(AND(up_Irr!D3=".",up_Irr!AB3=".",up_Irr!AZ3="."),up_dir!AD3*1000)))))))),".")</f>
        <v>7.2351016258567334E-11</v>
      </c>
      <c r="BD3" s="76">
        <f>IFERROR(IF(AND(up_Irr!E3&lt;&gt;".",up_Irr!AC3&lt;&gt;".",up_Irr!BA3&lt;&gt;"."),up_dir!AE3/((1/1000)*(up_Irr!E3+up_Irr!AC3+up_Irr!BA3)),IF(AND(up_Irr!E3&lt;&gt;".",up_Irr!AC3&lt;&gt;".",up_Irr!BA3="."),up_dir!AE3/((1/1000)*(up_Irr!E3+up_Irr!AC3)),IF(AND(up_Irr!E3&lt;&gt;".",up_Irr!AC3=".",up_Irr!BA3&lt;&gt;"."),up_dir!AE3/((1/1000)*(up_Irr!E3+up_Irr!BA3)),IF(AND(up_Irr!E3=".",up_Irr!AC3&lt;&gt;".",up_Irr!BA3&lt;&gt;"."),up_dir!AE3/((1/1000)*(up_Irr!AC3+up_Irr!BA3)),IF(AND(up_Irr!E3=".",up_Irr!AC3=".",up_Irr!BA3&lt;&gt;"."),up_dir!AE3/((1/1000)*(up_Irr!BA3)),IF(AND(up_Irr!E3=".",up_Irr!AC3&lt;&gt;".",up_Irr!BA3="."),up_dir!AE3/((1/1000)*(up_Irr!AC3)),IF(AND(up_Irr!E3&lt;&gt;".",up_Irr!AC3=".",up_Irr!BA3="."),up_dir!AE3/((1/1000)*(up_Irr!E3)),IF(AND(up_Irr!E3=".",up_Irr!AC3=".",up_Irr!BA3="."),up_dir!AE3*1000)))))))),".")</f>
        <v>7.2351016258567334E-11</v>
      </c>
      <c r="BE3" s="76">
        <f>IFERROR(IF(AND(up_Irr!F3&lt;&gt;".",up_Irr!AD3&lt;&gt;".",up_Irr!BB3&lt;&gt;"."),up_dir!AF3/((1/1000)*(up_Irr!F3+up_Irr!AD3+up_Irr!BB3)),IF(AND(up_Irr!F3&lt;&gt;".",up_Irr!AD3&lt;&gt;".",up_Irr!BB3="."),up_dir!AF3/((1/1000)*(up_Irr!F3+up_Irr!AD3)),IF(AND(up_Irr!F3&lt;&gt;".",up_Irr!AD3=".",up_Irr!BB3&lt;&gt;"."),up_dir!AF3/((1/1000)*(up_Irr!F3+up_Irr!BB3)),IF(AND(up_Irr!F3=".",up_Irr!AD3&lt;&gt;".",up_Irr!BB3&lt;&gt;"."),up_dir!AF3/((1/1000)*(up_Irr!AD3+up_Irr!BB3)),IF(AND(up_Irr!F3=".",up_Irr!AD3=".",up_Irr!BB3&lt;&gt;"."),up_dir!AF3/((1/1000)*(up_Irr!BB3)),IF(AND(up_Irr!F3=".",up_Irr!AD3&lt;&gt;".",up_Irr!BB3="."),up_dir!AF3/((1/1000)*(up_Irr!AD3)),IF(AND(up_Irr!F3&lt;&gt;".",up_Irr!AD3=".",up_Irr!BB3="."),up_dir!AF3/((1/1000)*(up_Irr!F3)),IF(AND(up_Irr!F3=".",up_Irr!AD3=".",up_Irr!BB3="."),up_dir!AF3*1000)))))))),".")</f>
        <v>7.2351016258567334E-11</v>
      </c>
      <c r="BF3" s="76">
        <f>IFERROR(IF(AND(up_Irr!G3&lt;&gt;".",up_Irr!AE3&lt;&gt;".",up_Irr!BC3&lt;&gt;"."),up_dir!AG3/((1/1000)*(up_Irr!G3+up_Irr!AE3+up_Irr!BC3)),IF(AND(up_Irr!G3&lt;&gt;".",up_Irr!AE3&lt;&gt;".",up_Irr!BC3="."),up_dir!AG3/((1/1000)*(up_Irr!G3+up_Irr!AE3)),IF(AND(up_Irr!G3&lt;&gt;".",up_Irr!AE3=".",up_Irr!BC3&lt;&gt;"."),up_dir!AG3/((1/1000)*(up_Irr!G3+up_Irr!BC3)),IF(AND(up_Irr!G3=".",up_Irr!AE3&lt;&gt;".",up_Irr!BC3&lt;&gt;"."),up_dir!AG3/((1/1000)*(up_Irr!AE3+up_Irr!BC3)),IF(AND(up_Irr!G3=".",up_Irr!AE3=".",up_Irr!BC3&lt;&gt;"."),up_dir!AG3/((1/1000)*(up_Irr!BC3)),IF(AND(up_Irr!G3=".",up_Irr!AE3&lt;&gt;".",up_Irr!BC3="."),up_dir!AG3/((1/1000)*(up_Irr!AE3)),IF(AND(up_Irr!G3&lt;&gt;".",up_Irr!AE3=".",up_Irr!BC3="."),up_dir!AG3/((1/1000)*(up_Irr!G3)),IF(AND(up_Irr!G3=".",up_Irr!AE3=".",up_Irr!BC3="."),up_dir!AG3*1000)))))))),".")</f>
        <v>7.2351016258567334E-11</v>
      </c>
      <c r="BG3" s="76">
        <f>IFERROR(IF(AND(up_Irr!H3&lt;&gt;".",up_Irr!AF3&lt;&gt;".",up_Irr!BD3&lt;&gt;"."),up_dir!AH3/((1/1000)*(up_Irr!H3+up_Irr!AF3+up_Irr!BD3)),IF(AND(up_Irr!H3&lt;&gt;".",up_Irr!AF3&lt;&gt;".",up_Irr!BD3="."),up_dir!AH3/((1/1000)*(up_Irr!H3+up_Irr!AF3)),IF(AND(up_Irr!H3&lt;&gt;".",up_Irr!AF3=".",up_Irr!BD3&lt;&gt;"."),up_dir!AH3/((1/1000)*(up_Irr!H3+up_Irr!BD3)),IF(AND(up_Irr!H3=".",up_Irr!AF3&lt;&gt;".",up_Irr!BD3&lt;&gt;"."),up_dir!AH3/((1/1000)*(up_Irr!AF3+up_Irr!BD3)),IF(AND(up_Irr!H3=".",up_Irr!AF3=".",up_Irr!BD3&lt;&gt;"."),up_dir!AH3/((1/1000)*(up_Irr!BD3)),IF(AND(up_Irr!H3=".",up_Irr!AF3&lt;&gt;".",up_Irr!BD3="."),up_dir!AH3/((1/1000)*(up_Irr!AF3)),IF(AND(up_Irr!H3&lt;&gt;".",up_Irr!AF3=".",up_Irr!BD3="."),up_dir!AH3/((1/1000)*(up_Irr!H3)),IF(AND(up_Irr!H3=".",up_Irr!AF3=".",up_Irr!BD3="."),up_dir!AH3*1000)))))))),".")</f>
        <v>7.2351016258567334E-11</v>
      </c>
      <c r="BH3" s="76">
        <f>IFERROR(IF(AND(up_Irr!I3&lt;&gt;".",up_Irr!AG3&lt;&gt;".",up_Irr!BE3&lt;&gt;"."),up_dir!AI3/((1/1000)*(up_Irr!I3+up_Irr!AG3+up_Irr!BE3)),IF(AND(up_Irr!I3&lt;&gt;".",up_Irr!AG3&lt;&gt;".",up_Irr!BE3="."),up_dir!AI3/((1/1000)*(up_Irr!I3+up_Irr!AG3)),IF(AND(up_Irr!I3&lt;&gt;".",up_Irr!AG3=".",up_Irr!BE3&lt;&gt;"."),up_dir!AI3/((1/1000)*(up_Irr!I3+up_Irr!BE3)),IF(AND(up_Irr!I3=".",up_Irr!AG3&lt;&gt;".",up_Irr!BE3&lt;&gt;"."),up_dir!AI3/((1/1000)*(up_Irr!AG3+up_Irr!BE3)),IF(AND(up_Irr!I3=".",up_Irr!AG3=".",up_Irr!BE3&lt;&gt;"."),up_dir!AI3/((1/1000)*(up_Irr!BE3)),IF(AND(up_Irr!I3=".",up_Irr!AG3&lt;&gt;".",up_Irr!BE3="."),up_dir!AI3/((1/1000)*(up_Irr!AG3)),IF(AND(up_Irr!I3&lt;&gt;".",up_Irr!AG3=".",up_Irr!BE3="."),up_dir!AI3/((1/1000)*(up_Irr!I3)),IF(AND(up_Irr!I3=".",up_Irr!AG3=".",up_Irr!BE3="."),up_dir!AI3*1000)))))))),".")</f>
        <v>7.2351016258567334E-11</v>
      </c>
      <c r="BI3" s="76">
        <f>IFERROR(IF(AND(up_Irr!J3&lt;&gt;".",up_Irr!AH3&lt;&gt;".",up_Irr!BF3&lt;&gt;"."),up_dir!AJ3/((1/1000)*(up_Irr!J3+up_Irr!AH3+up_Irr!BF3)),IF(AND(up_Irr!J3&lt;&gt;".",up_Irr!AH3&lt;&gt;".",up_Irr!BF3="."),up_dir!AJ3/((1/1000)*(up_Irr!J3+up_Irr!AH3)),IF(AND(up_Irr!J3&lt;&gt;".",up_Irr!AH3=".",up_Irr!BF3&lt;&gt;"."),up_dir!AJ3/((1/1000)*(up_Irr!J3+up_Irr!BF3)),IF(AND(up_Irr!J3=".",up_Irr!AH3&lt;&gt;".",up_Irr!BF3&lt;&gt;"."),up_dir!AJ3/((1/1000)*(up_Irr!AH3+up_Irr!BF3)),IF(AND(up_Irr!J3=".",up_Irr!AH3=".",up_Irr!BF3&lt;&gt;"."),up_dir!AJ3/((1/1000)*(up_Irr!BF3)),IF(AND(up_Irr!J3=".",up_Irr!AH3&lt;&gt;".",up_Irr!BF3="."),up_dir!AJ3/((1/1000)*(up_Irr!AH3)),IF(AND(up_Irr!J3&lt;&gt;".",up_Irr!AH3=".",up_Irr!BF3="."),up_dir!AJ3/((1/1000)*(up_Irr!J3)),IF(AND(up_Irr!J3=".",up_Irr!AH3=".",up_Irr!BF3="."),up_dir!AJ3*1000)))))))),".")</f>
        <v>7.2351016258567334E-11</v>
      </c>
      <c r="BJ3" s="76">
        <f>IFERROR(IF(AND(up_Irr!K3&lt;&gt;".",up_Irr!AI3&lt;&gt;".",up_Irr!BG3&lt;&gt;"."),up_dir!AK3/((1/1000)*(up_Irr!K3+up_Irr!AI3+up_Irr!BG3)),IF(AND(up_Irr!K3&lt;&gt;".",up_Irr!AI3&lt;&gt;".",up_Irr!BG3="."),up_dir!AK3/((1/1000)*(up_Irr!K3+up_Irr!AI3)),IF(AND(up_Irr!K3&lt;&gt;".",up_Irr!AI3=".",up_Irr!BG3&lt;&gt;"."),up_dir!AK3/((1/1000)*(up_Irr!K3+up_Irr!BG3)),IF(AND(up_Irr!K3=".",up_Irr!AI3&lt;&gt;".",up_Irr!BG3&lt;&gt;"."),up_dir!AK3/((1/1000)*(up_Irr!AI3+up_Irr!BG3)),IF(AND(up_Irr!K3=".",up_Irr!AI3=".",up_Irr!BG3&lt;&gt;"."),up_dir!AK3/((1/1000)*(up_Irr!BG3)),IF(AND(up_Irr!K3=".",up_Irr!AI3&lt;&gt;".",up_Irr!BG3="."),up_dir!AK3/((1/1000)*(up_Irr!AI3)),IF(AND(up_Irr!K3&lt;&gt;".",up_Irr!AI3=".",up_Irr!BG3="."),up_dir!AK3/((1/1000)*(up_Irr!K3)),IF(AND(up_Irr!K3=".",up_Irr!AI3=".",up_Irr!BG3="."),up_dir!AK3*1000)))))))),".")</f>
        <v>7.2351016258567334E-11</v>
      </c>
      <c r="BK3" s="76">
        <f>IFERROR(IF(AND(up_Irr!L3&lt;&gt;".",up_Irr!AJ3&lt;&gt;".",up_Irr!BH3&lt;&gt;"."),up_dir!AL3/((1/1000)*(up_Irr!L3+up_Irr!AJ3+up_Irr!BH3)),IF(AND(up_Irr!L3&lt;&gt;".",up_Irr!AJ3&lt;&gt;".",up_Irr!BH3="."),up_dir!AL3/((1/1000)*(up_Irr!L3+up_Irr!AJ3)),IF(AND(up_Irr!L3&lt;&gt;".",up_Irr!AJ3=".",up_Irr!BH3&lt;&gt;"."),up_dir!AL3/((1/1000)*(up_Irr!L3+up_Irr!BH3)),IF(AND(up_Irr!L3=".",up_Irr!AJ3&lt;&gt;".",up_Irr!BH3&lt;&gt;"."),up_dir!AL3/((1/1000)*(up_Irr!AJ3+up_Irr!BH3)),IF(AND(up_Irr!L3=".",up_Irr!AJ3=".",up_Irr!BH3&lt;&gt;"."),up_dir!AL3/((1/1000)*(up_Irr!BH3)),IF(AND(up_Irr!L3=".",up_Irr!AJ3&lt;&gt;".",up_Irr!BH3="."),up_dir!AL3/((1/1000)*(up_Irr!AJ3)),IF(AND(up_Irr!L3&lt;&gt;".",up_Irr!AJ3=".",up_Irr!BH3="."),up_dir!AL3/((1/1000)*(up_Irr!L3)),IF(AND(up_Irr!L3=".",up_Irr!AJ3=".",up_Irr!BH3="."),up_dir!AL3*1000)))))))),".")</f>
        <v>7.2351016258567334E-11</v>
      </c>
      <c r="BL3" s="76">
        <f>IFERROR(IF(AND(up_Irr!M3&lt;&gt;".",up_Irr!AK3&lt;&gt;".",up_Irr!BI3&lt;&gt;"."),up_dir!AM3/((1/1000)*(up_Irr!M3+up_Irr!AK3+up_Irr!BI3)),IF(AND(up_Irr!M3&lt;&gt;".",up_Irr!AK3&lt;&gt;".",up_Irr!BI3="."),up_dir!AM3/((1/1000)*(up_Irr!M3+up_Irr!AK3)),IF(AND(up_Irr!M3&lt;&gt;".",up_Irr!AK3=".",up_Irr!BI3&lt;&gt;"."),up_dir!AM3/((1/1000)*(up_Irr!M3+up_Irr!BI3)),IF(AND(up_Irr!M3=".",up_Irr!AK3&lt;&gt;".",up_Irr!BI3&lt;&gt;"."),up_dir!AM3/((1/1000)*(up_Irr!AK3+up_Irr!BI3)),IF(AND(up_Irr!M3=".",up_Irr!AK3=".",up_Irr!BI3&lt;&gt;"."),up_dir!AM3/((1/1000)*(up_Irr!BI3)),IF(AND(up_Irr!M3=".",up_Irr!AK3&lt;&gt;".",up_Irr!BI3="."),up_dir!AM3/((1/1000)*(up_Irr!AK3)),IF(AND(up_Irr!M3&lt;&gt;".",up_Irr!AK3=".",up_Irr!BI3="."),up_dir!AM3/((1/1000)*(up_Irr!M3)),IF(AND(up_Irr!M3=".",up_Irr!AK3=".",up_Irr!BI3="."),up_dir!AM3*1000)))))))),".")</f>
        <v>7.2351016258567334E-11</v>
      </c>
      <c r="BM3" s="76">
        <f>IFERROR(IF(AND(up_Irr!N3&lt;&gt;".",up_Irr!AL3&lt;&gt;".",up_Irr!BJ3&lt;&gt;"."),up_dir!AN3/((1/1000)*(up_Irr!N3+up_Irr!AL3+up_Irr!BJ3)),IF(AND(up_Irr!N3&lt;&gt;".",up_Irr!AL3&lt;&gt;".",up_Irr!BJ3="."),up_dir!AN3/((1/1000)*(up_Irr!N3+up_Irr!AL3)),IF(AND(up_Irr!N3&lt;&gt;".",up_Irr!AL3=".",up_Irr!BJ3&lt;&gt;"."),up_dir!AN3/((1/1000)*(up_Irr!N3+up_Irr!BJ3)),IF(AND(up_Irr!N3=".",up_Irr!AL3&lt;&gt;".",up_Irr!BJ3&lt;&gt;"."),up_dir!AN3/((1/1000)*(up_Irr!AL3+up_Irr!BJ3)),IF(AND(up_Irr!N3=".",up_Irr!AL3=".",up_Irr!BJ3&lt;&gt;"."),up_dir!AN3/((1/1000)*(up_Irr!BJ3)),IF(AND(up_Irr!N3=".",up_Irr!AL3&lt;&gt;".",up_Irr!BJ3="."),up_dir!AN3/((1/1000)*(up_Irr!AL3)),IF(AND(up_Irr!N3&lt;&gt;".",up_Irr!AL3=".",up_Irr!BJ3="."),up_dir!AN3/((1/1000)*(up_Irr!N3)),IF(AND(up_Irr!N3=".",up_Irr!AL3=".",up_Irr!BJ3="."),up_dir!AN3*1000)))))))),".")</f>
        <v>7.2351016258567334E-11</v>
      </c>
      <c r="BN3" s="76">
        <f>IFERROR(IF(AND(up_Irr!O3&lt;&gt;".",up_Irr!AM3&lt;&gt;".",up_Irr!BK3&lt;&gt;"."),up_dir!AO3/((1/1000)*(up_Irr!O3+up_Irr!AM3+up_Irr!BK3)),IF(AND(up_Irr!O3&lt;&gt;".",up_Irr!AM3&lt;&gt;".",up_Irr!BK3="."),up_dir!AO3/((1/1000)*(up_Irr!O3+up_Irr!AM3)),IF(AND(up_Irr!O3&lt;&gt;".",up_Irr!AM3=".",up_Irr!BK3&lt;&gt;"."),up_dir!AO3/((1/1000)*(up_Irr!O3+up_Irr!BK3)),IF(AND(up_Irr!O3=".",up_Irr!AM3&lt;&gt;".",up_Irr!BK3&lt;&gt;"."),up_dir!AO3/((1/1000)*(up_Irr!AM3+up_Irr!BK3)),IF(AND(up_Irr!O3=".",up_Irr!AM3=".",up_Irr!BK3&lt;&gt;"."),up_dir!AO3/((1/1000)*(up_Irr!BK3)),IF(AND(up_Irr!O3=".",up_Irr!AM3&lt;&gt;".",up_Irr!BK3="."),up_dir!AO3/((1/1000)*(up_Irr!AM3)),IF(AND(up_Irr!O3&lt;&gt;".",up_Irr!AM3=".",up_Irr!BK3="."),up_dir!AO3/((1/1000)*(up_Irr!O3)),IF(AND(up_Irr!O3=".",up_Irr!AM3=".",up_Irr!BK3="."),up_dir!AO3*1000)))))))),".")</f>
        <v>7.2351016258567334E-11</v>
      </c>
      <c r="BO3" s="76">
        <f>IFERROR(IF(AND(up_Irr!P3&lt;&gt;".",up_Irr!AN3&lt;&gt;".",up_Irr!BL3&lt;&gt;"."),up_dir!AP3/((1/1000)*(up_Irr!P3+up_Irr!AN3+up_Irr!BL3)),IF(AND(up_Irr!P3&lt;&gt;".",up_Irr!AN3&lt;&gt;".",up_Irr!BL3="."),up_dir!AP3/((1/1000)*(up_Irr!P3+up_Irr!AN3)),IF(AND(up_Irr!P3&lt;&gt;".",up_Irr!AN3=".",up_Irr!BL3&lt;&gt;"."),up_dir!AP3/((1/1000)*(up_Irr!P3+up_Irr!BL3)),IF(AND(up_Irr!P3=".",up_Irr!AN3&lt;&gt;".",up_Irr!BL3&lt;&gt;"."),up_dir!AP3/((1/1000)*(up_Irr!AN3+up_Irr!BL3)),IF(AND(up_Irr!P3=".",up_Irr!AN3=".",up_Irr!BL3&lt;&gt;"."),up_dir!AP3/((1/1000)*(up_Irr!BL3)),IF(AND(up_Irr!P3=".",up_Irr!AN3&lt;&gt;".",up_Irr!BL3="."),up_dir!AP3/((1/1000)*(up_Irr!AN3)),IF(AND(up_Irr!P3&lt;&gt;".",up_Irr!AN3=".",up_Irr!BL3="."),up_dir!AP3/((1/1000)*(up_Irr!P3)),IF(AND(up_Irr!P3=".",up_Irr!AN3=".",up_Irr!BL3="."),up_dir!AP3*1000)))))))),".")</f>
        <v>7.2351016258567334E-11</v>
      </c>
      <c r="BP3" s="76">
        <f>IFERROR(IF(AND(up_Irr!Q3&lt;&gt;".",up_Irr!AO3&lt;&gt;".",up_Irr!BM3&lt;&gt;"."),up_dir!AQ3/((1/1000)*(up_Irr!Q3+up_Irr!AO3+up_Irr!BM3)),IF(AND(up_Irr!Q3&lt;&gt;".",up_Irr!AO3&lt;&gt;".",up_Irr!BM3="."),up_dir!AQ3/((1/1000)*(up_Irr!Q3+up_Irr!AO3)),IF(AND(up_Irr!Q3&lt;&gt;".",up_Irr!AO3=".",up_Irr!BM3&lt;&gt;"."),up_dir!AQ3/((1/1000)*(up_Irr!Q3+up_Irr!BM3)),IF(AND(up_Irr!Q3=".",up_Irr!AO3&lt;&gt;".",up_Irr!BM3&lt;&gt;"."),up_dir!AQ3/((1/1000)*(up_Irr!AO3+up_Irr!BM3)),IF(AND(up_Irr!Q3=".",up_Irr!AO3=".",up_Irr!BM3&lt;&gt;"."),up_dir!AQ3/((1/1000)*(up_Irr!BM3)),IF(AND(up_Irr!Q3=".",up_Irr!AO3&lt;&gt;".",up_Irr!BM3="."),up_dir!AQ3/((1/1000)*(up_Irr!AO3)),IF(AND(up_Irr!Q3&lt;&gt;".",up_Irr!AO3=".",up_Irr!BM3="."),up_dir!AQ3/((1/1000)*(up_Irr!Q3)),IF(AND(up_Irr!Q3=".",up_Irr!AO3=".",up_Irr!BM3="."),up_dir!AQ3*1000)))))))),".")</f>
        <v>7.2351016258567334E-11</v>
      </c>
      <c r="BQ3" s="76">
        <f>IFERROR(IF(AND(up_Irr!R3&lt;&gt;".",up_Irr!AP3&lt;&gt;".",up_Irr!BN3&lt;&gt;"."),up_dir!AR3/((1/1000)*(up_Irr!R3+up_Irr!AP3+up_Irr!BN3)),IF(AND(up_Irr!R3&lt;&gt;".",up_Irr!AP3&lt;&gt;".",up_Irr!BN3="."),up_dir!AR3/((1/1000)*(up_Irr!R3+up_Irr!AP3)),IF(AND(up_Irr!R3&lt;&gt;".",up_Irr!AP3=".",up_Irr!BN3&lt;&gt;"."),up_dir!AR3/((1/1000)*(up_Irr!R3+up_Irr!BN3)),IF(AND(up_Irr!R3=".",up_Irr!AP3&lt;&gt;".",up_Irr!BN3&lt;&gt;"."),up_dir!AR3/((1/1000)*(up_Irr!AP3+up_Irr!BN3)),IF(AND(up_Irr!R3=".",up_Irr!AP3=".",up_Irr!BN3&lt;&gt;"."),up_dir!AR3/((1/1000)*(up_Irr!BN3)),IF(AND(up_Irr!R3=".",up_Irr!AP3&lt;&gt;".",up_Irr!BN3="."),up_dir!AR3/((1/1000)*(up_Irr!AP3)),IF(AND(up_Irr!R3&lt;&gt;".",up_Irr!AP3=".",up_Irr!BN3="."),up_dir!AR3/((1/1000)*(up_Irr!R3)),IF(AND(up_Irr!R3=".",up_Irr!AP3=".",up_Irr!BN3="."),up_dir!AR3*1000)))))))),".")</f>
        <v>7.2351016258567334E-11</v>
      </c>
      <c r="BR3" s="76">
        <f>IFERROR(IF(AND(up_Irr!S3&lt;&gt;".",up_Irr!AQ3&lt;&gt;".",up_Irr!BO3&lt;&gt;"."),up_dir!AS3/((1/1000)*(up_Irr!S3+up_Irr!AQ3+up_Irr!BO3)),IF(AND(up_Irr!S3&lt;&gt;".",up_Irr!AQ3&lt;&gt;".",up_Irr!BO3="."),up_dir!AS3/((1/1000)*(up_Irr!S3+up_Irr!AQ3)),IF(AND(up_Irr!S3&lt;&gt;".",up_Irr!AQ3=".",up_Irr!BO3&lt;&gt;"."),up_dir!AS3/((1/1000)*(up_Irr!S3+up_Irr!BO3)),IF(AND(up_Irr!S3=".",up_Irr!AQ3&lt;&gt;".",up_Irr!BO3&lt;&gt;"."),up_dir!AS3/((1/1000)*(up_Irr!AQ3+up_Irr!BO3)),IF(AND(up_Irr!S3=".",up_Irr!AQ3=".",up_Irr!BO3&lt;&gt;"."),up_dir!AS3/((1/1000)*(up_Irr!BO3)),IF(AND(up_Irr!S3=".",up_Irr!AQ3&lt;&gt;".",up_Irr!BO3="."),up_dir!AS3/((1/1000)*(up_Irr!AQ3)),IF(AND(up_Irr!S3&lt;&gt;".",up_Irr!AQ3=".",up_Irr!BO3="."),up_dir!AS3/((1/1000)*(up_Irr!S3)),IF(AND(up_Irr!S3=".",up_Irr!AQ3=".",up_Irr!BO3="."),up_dir!AS3*1000)))))))),".")</f>
        <v>7.2351016258567334E-11</v>
      </c>
      <c r="BS3" s="76">
        <f>IFERROR(IF(AND(up_Irr!T3&lt;&gt;".",up_Irr!AR3&lt;&gt;".",up_Irr!BP3&lt;&gt;"."),up_dir!AT3/((1/1000)*(up_Irr!T3+up_Irr!AR3+up_Irr!BP3)),IF(AND(up_Irr!T3&lt;&gt;".",up_Irr!AR3&lt;&gt;".",up_Irr!BP3="."),up_dir!AT3/((1/1000)*(up_Irr!T3+up_Irr!AR3)),IF(AND(up_Irr!T3&lt;&gt;".",up_Irr!AR3=".",up_Irr!BP3&lt;&gt;"."),up_dir!AT3/((1/1000)*(up_Irr!T3+up_Irr!BP3)),IF(AND(up_Irr!T3=".",up_Irr!AR3&lt;&gt;".",up_Irr!BP3&lt;&gt;"."),up_dir!AT3/((1/1000)*(up_Irr!AR3+up_Irr!BP3)),IF(AND(up_Irr!T3=".",up_Irr!AR3=".",up_Irr!BP3&lt;&gt;"."),up_dir!AT3/((1/1000)*(up_Irr!BP3)),IF(AND(up_Irr!T3=".",up_Irr!AR3&lt;&gt;".",up_Irr!BP3="."),up_dir!AT3/((1/1000)*(up_Irr!AR3)),IF(AND(up_Irr!T3&lt;&gt;".",up_Irr!AR3=".",up_Irr!BP3="."),up_dir!AT3/((1/1000)*(up_Irr!T3)),IF(AND(up_Irr!T3=".",up_Irr!AR3=".",up_Irr!BP3="."),up_dir!AT3*1000)))))))),".")</f>
        <v>7.2351016258567334E-11</v>
      </c>
      <c r="BT3" s="76">
        <f>IFERROR(IF(AND(up_Irr!U3&lt;&gt;".",up_Irr!AS3&lt;&gt;".",up_Irr!BQ3&lt;&gt;"."),up_dir!AU3/((1/1000)*(up_Irr!U3+up_Irr!AS3+up_Irr!BQ3)),IF(AND(up_Irr!U3&lt;&gt;".",up_Irr!AS3&lt;&gt;".",up_Irr!BQ3="."),up_dir!AU3/((1/1000)*(up_Irr!U3+up_Irr!AS3)),IF(AND(up_Irr!U3&lt;&gt;".",up_Irr!AS3=".",up_Irr!BQ3&lt;&gt;"."),up_dir!AU3/((1/1000)*(up_Irr!U3+up_Irr!BQ3)),IF(AND(up_Irr!U3=".",up_Irr!AS3&lt;&gt;".",up_Irr!BQ3&lt;&gt;"."),up_dir!AU3/((1/1000)*(up_Irr!AS3+up_Irr!BQ3)),IF(AND(up_Irr!U3=".",up_Irr!AS3=".",up_Irr!BQ3&lt;&gt;"."),up_dir!AU3/((1/1000)*(up_Irr!BQ3)),IF(AND(up_Irr!U3=".",up_Irr!AS3&lt;&gt;".",up_Irr!BQ3="."),up_dir!AU3/((1/1000)*(up_Irr!AS3)),IF(AND(up_Irr!U3&lt;&gt;".",up_Irr!AS3=".",up_Irr!BQ3="."),up_dir!AU3/((1/1000)*(up_Irr!U3)),IF(AND(up_Irr!U3=".",up_Irr!AS3=".",up_Irr!BQ3="."),up_dir!AU3*1000)))))))),".")</f>
        <v>7.2351016258567334E-11</v>
      </c>
      <c r="BU3" s="76">
        <f>IFERROR(IF(AND(up_Irr!V3&lt;&gt;".",up_Irr!AT3&lt;&gt;".",up_Irr!BR3&lt;&gt;"."),up_dir!AV3/((1/1000)*(up_Irr!V3+up_Irr!AT3+up_Irr!BR3)),IF(AND(up_Irr!V3&lt;&gt;".",up_Irr!AT3&lt;&gt;".",up_Irr!BR3="."),up_dir!AV3/((1/1000)*(up_Irr!V3+up_Irr!AT3)),IF(AND(up_Irr!V3&lt;&gt;".",up_Irr!AT3=".",up_Irr!BR3&lt;&gt;"."),up_dir!AV3/((1/1000)*(up_Irr!V3+up_Irr!BR3)),IF(AND(up_Irr!V3=".",up_Irr!AT3&lt;&gt;".",up_Irr!BR3&lt;&gt;"."),up_dir!AV3/((1/1000)*(up_Irr!AT3+up_Irr!BR3)),IF(AND(up_Irr!V3=".",up_Irr!AT3=".",up_Irr!BR3&lt;&gt;"."),up_dir!AV3/((1/1000)*(up_Irr!BR3)),IF(AND(up_Irr!V3=".",up_Irr!AT3&lt;&gt;".",up_Irr!BR3="."),up_dir!AV3/((1/1000)*(up_Irr!AT3)),IF(AND(up_Irr!V3&lt;&gt;".",up_Irr!AT3=".",up_Irr!BR3="."),up_dir!AV3/((1/1000)*(up_Irr!V3)),IF(AND(up_Irr!V3=".",up_Irr!AT3=".",up_Irr!BR3="."),up_dir!AV3*1000)))))))),".")</f>
        <v>7.2351016258567334E-11</v>
      </c>
      <c r="BV3" s="76">
        <f>IFERROR(IF(AND(up_Irr!W3&lt;&gt;".",up_Irr!AU3&lt;&gt;".",up_Irr!BS3&lt;&gt;"."),up_dir!AW3/((1/1000)*(up_Irr!W3+up_Irr!AU3+up_Irr!BS3)),IF(AND(up_Irr!W3&lt;&gt;".",up_Irr!AU3&lt;&gt;".",up_Irr!BS3="."),up_dir!AW3/((1/1000)*(up_Irr!W3+up_Irr!AU3)),IF(AND(up_Irr!W3&lt;&gt;".",up_Irr!AU3=".",up_Irr!BS3&lt;&gt;"."),up_dir!AW3/((1/1000)*(up_Irr!W3+up_Irr!BS3)),IF(AND(up_Irr!W3=".",up_Irr!AU3&lt;&gt;".",up_Irr!BS3&lt;&gt;"."),up_dir!AW3/((1/1000)*(up_Irr!AU3+up_Irr!BS3)),IF(AND(up_Irr!W3=".",up_Irr!AU3=".",up_Irr!BS3&lt;&gt;"."),up_dir!AW3/((1/1000)*(up_Irr!BS3)),IF(AND(up_Irr!W3=".",up_Irr!AU3&lt;&gt;".",up_Irr!BS3="."),up_dir!AW3/((1/1000)*(up_Irr!AU3)),IF(AND(up_Irr!W3&lt;&gt;".",up_Irr!AU3=".",up_Irr!BS3="."),up_dir!AW3/((1/1000)*(up_Irr!W3)),IF(AND(up_Irr!W3=".",up_Irr!AU3=".",up_Irr!BS3="."),up_dir!AW3*1000)))))))),".")</f>
        <v>7.2351016258567334E-11</v>
      </c>
      <c r="BW3" s="76">
        <f>IFERROR(IF(AND(up_Irr!X3&lt;&gt;".",up_Irr!AV3&lt;&gt;".",up_Irr!BT3&lt;&gt;"."),up_dir!AX3/((1/1000)*(up_Irr!X3+up_Irr!AV3+up_Irr!BT3)),IF(AND(up_Irr!X3&lt;&gt;".",up_Irr!AV3&lt;&gt;".",up_Irr!BT3="."),up_dir!AX3/((1/1000)*(up_Irr!X3+up_Irr!AV3)),IF(AND(up_Irr!X3&lt;&gt;".",up_Irr!AV3=".",up_Irr!BT3&lt;&gt;"."),up_dir!AX3/((1/1000)*(up_Irr!X3+up_Irr!BT3)),IF(AND(up_Irr!X3=".",up_Irr!AV3&lt;&gt;".",up_Irr!BT3&lt;&gt;"."),up_dir!AX3/((1/1000)*(up_Irr!AV3+up_Irr!BT3)),IF(AND(up_Irr!X3=".",up_Irr!AV3=".",up_Irr!BT3&lt;&gt;"."),up_dir!AX3/((1/1000)*(up_Irr!BT3)),IF(AND(up_Irr!X3=".",up_Irr!AV3&lt;&gt;".",up_Irr!BT3="."),up_dir!AX3/((1/1000)*(up_Irr!AV3)),IF(AND(up_Irr!X3&lt;&gt;".",up_Irr!AV3=".",up_Irr!BT3="."),up_dir!AX3/((1/1000)*(up_Irr!X3)),IF(AND(up_Irr!X3=".",up_Irr!AV3=".",up_Irr!BT3="."),up_dir!AX3*1000)))))))),".")</f>
        <v>7.2351016258567334E-11</v>
      </c>
      <c r="BX3" s="76">
        <f>IFERROR(IF(AND(up_Irr!Y3&lt;&gt;".",up_Irr!AW3&lt;&gt;".",up_Irr!BU3&lt;&gt;"."),up_dir!AY3/((1/1000)*(up_Irr!Y3+up_Irr!AW3+up_Irr!BU3)),IF(AND(up_Irr!Y3&lt;&gt;".",up_Irr!AW3&lt;&gt;".",up_Irr!BU3="."),up_dir!AY3/((1/1000)*(up_Irr!Y3+up_Irr!AW3)),IF(AND(up_Irr!Y3&lt;&gt;".",up_Irr!AW3=".",up_Irr!BU3&lt;&gt;"."),up_dir!AY3/((1/1000)*(up_Irr!Y3+up_Irr!BU3)),IF(AND(up_Irr!Y3=".",up_Irr!AW3&lt;&gt;".",up_Irr!BU3&lt;&gt;"."),up_dir!AY3/((1/1000)*(up_Irr!AW3+up_Irr!BU3)),IF(AND(up_Irr!Y3=".",up_Irr!AW3=".",up_Irr!BU3&lt;&gt;"."),up_dir!AY3/((1/1000)*(up_Irr!BU3)),IF(AND(up_Irr!Y3=".",up_Irr!AW3&lt;&gt;".",up_Irr!BU3="."),up_dir!AY3/((1/1000)*(up_Irr!AW3)),IF(AND(up_Irr!Y3&lt;&gt;".",up_Irr!AW3=".",up_Irr!BU3="."),up_dir!AY3/((1/1000)*(up_Irr!Y3)),IF(AND(up_Irr!Y3=".",up_Irr!AW3=".",up_Irr!BU3="."),up_dir!AY3*1000)))))))),".")</f>
        <v>7.2351016258567334E-11</v>
      </c>
      <c r="BY3" s="76">
        <f>IFERROR(IF(AND(up_Irr!Z3&lt;&gt;".",up_Irr!AX3&lt;&gt;".",up_Irr!BV3&lt;&gt;"."),up_dir!AZ3/((1/1000)*(up_Irr!Z3+up_Irr!AX3+up_Irr!BV3)),IF(AND(up_Irr!Z3&lt;&gt;".",up_Irr!AX3&lt;&gt;".",up_Irr!BV3="."),up_dir!AZ3/((1/1000)*(up_Irr!Z3+up_Irr!AX3)),IF(AND(up_Irr!Z3&lt;&gt;".",up_Irr!AX3=".",up_Irr!BV3&lt;&gt;"."),up_dir!AZ3/((1/1000)*(up_Irr!Z3+up_Irr!BV3)),IF(AND(up_Irr!Z3=".",up_Irr!AX3&lt;&gt;".",up_Irr!BV3&lt;&gt;"."),up_dir!AZ3/((1/1000)*(up_Irr!AX3+up_Irr!BV3)),IF(AND(up_Irr!Z3=".",up_Irr!AX3=".",up_Irr!BV3&lt;&gt;"."),up_dir!AZ3/((1/1000)*(up_Irr!BV3)),IF(AND(up_Irr!Z3=".",up_Irr!AX3&lt;&gt;".",up_Irr!BV3="."),up_dir!AZ3/((1/1000)*(up_Irr!AX3)),IF(AND(up_Irr!Z3&lt;&gt;".",up_Irr!AX3=".",up_Irr!BV3="."),up_dir!AZ3/((1/1000)*(up_Irr!Z3)),IF(AND(up_Irr!Z3=".",up_Irr!AX3=".",up_Irr!BV3="."),up_dir!AZ3*1000)))))))),".")</f>
        <v>7.2351016258567334E-11</v>
      </c>
      <c r="BZ3" s="93">
        <f>SUM(CA3:CB3,CW3:CX3)</f>
        <v>55286.023705663516</v>
      </c>
      <c r="CA3" s="93">
        <f>IFERROR(s_C*s_IFAP_far_adj*s_CF_apple*(1/1000)*(up_Irr!C3+up_Irr!AA3+up_Irr!AY3),".")</f>
        <v>13821.505926415879</v>
      </c>
      <c r="CB3" s="93">
        <f>IFERROR(s_C*s_IFAS_far_adj*s_CF_asparagus*(1/1000)*(up_Irr!D3+up_Irr!AB3+up_Irr!AZ3),".")</f>
        <v>13821.505926415879</v>
      </c>
      <c r="CC3" s="93">
        <f>IFERROR(s_C*s_IFBT_far_adj*s_CF_beet*(1/1000)*(up_Irr!E3+up_Irr!AC3+up_Irr!BA3),".")</f>
        <v>13821.505926415879</v>
      </c>
      <c r="CD3" s="93">
        <f>IFERROR(s_C*s_IFBE_far_adj*s_CF_berries*(1/1000)*(up_Irr!F3+up_Irr!AD3+up_Irr!BB3),".")</f>
        <v>13821.505926415879</v>
      </c>
      <c r="CE3" s="93">
        <f>IFERROR(s_C*s_IFBR_far_adj*s_CF_broccoli*(1/1000)*(up_Irr!G3+up_Irr!AE3+up_Irr!BC3),".")</f>
        <v>13821.505926415879</v>
      </c>
      <c r="CF3" s="93">
        <f>IFERROR(s_C*s_IFCB_far_adj*s_CF_cabbage*(1/1000)*(up_Irr!H3+up_Irr!AF3+up_Irr!BD3),".")</f>
        <v>13821.505926415879</v>
      </c>
      <c r="CG3" s="93">
        <f>IFERROR(s_C*s_IFCR_far_adj*s_CF_carrot*(1/1000)*(up_Irr!I3+up_Irr!AG3+up_Irr!BE3),".")</f>
        <v>13821.505926415879</v>
      </c>
      <c r="CH3" s="93">
        <f>IFERROR(s_C*s_IFCI_far_adj*s_CF_citrus*(1/1000)*(up_Irr!J3+up_Irr!AH3+up_Irr!BF3),".")</f>
        <v>13821.505926415879</v>
      </c>
      <c r="CI3" s="93">
        <f>IFERROR(s_C*s_IFCO_far_adj*s_CF_corn*(1/1000)*(up_Irr!K3+up_Irr!AI3+up_Irr!BG3),".")</f>
        <v>13821.505926415879</v>
      </c>
      <c r="CJ3" s="93">
        <f>IFERROR(s_C*s_IFCU_far_adj*s_CF_cucumber*(1/1000)*(up_Irr!L3+up_Irr!AJ3+up_Irr!BH3),".")</f>
        <v>13821.505926415879</v>
      </c>
      <c r="CK3" s="93">
        <f>IFERROR(s_C*s_IFLE_far_adj*s_CF_lettuce*(1/1000)*(up_Irr!M3+up_Irr!AK3+up_Irr!BI3),".")</f>
        <v>13821.505926415879</v>
      </c>
      <c r="CL3" s="93">
        <f>IFERROR(s_C*s_IFLI_far_adj*s_CF_lima_bean*(1/1000)*(up_Irr!N3+up_Irr!AL3+up_Irr!BJ3),".")</f>
        <v>13821.505926415879</v>
      </c>
      <c r="CM3" s="93">
        <f>IFERROR(s_C*s_IFOK_far_adj*s_CF_okra*(1/1000)*(up_Irr!O3+up_Irr!AM3+up_Irr!BK3),".")</f>
        <v>13821.505926415879</v>
      </c>
      <c r="CN3" s="93">
        <f>IFERROR(s_C*s_IFON_far_adj*s_CF_onion*(1/1000)*(up_Irr!P3+up_Irr!AN3+up_Irr!BL3),".")</f>
        <v>13821.505926415879</v>
      </c>
      <c r="CO3" s="93">
        <f>IFERROR(s_C*s_IFPC_far_adj*s_CF_peach*(1/1000)*(up_Irr!Q3+up_Irr!AO3+up_Irr!BM3),".")</f>
        <v>13821.505926415879</v>
      </c>
      <c r="CP3" s="93">
        <f>IFERROR(s_C*s_IFPR_far_adj*s_CF_pear*(1/1000)*(up_Irr!R3+up_Irr!AP3+up_Irr!BN3),".")</f>
        <v>13821.505926415879</v>
      </c>
      <c r="CQ3" s="93">
        <f>IFERROR(s_C*s_IFPE_far_adj*s_CF_peas*(1/1000)*(up_Irr!S3+up_Irr!AQ3+up_Irr!BO3),".")</f>
        <v>13821.505926415879</v>
      </c>
      <c r="CR3" s="93">
        <f>IFERROR(s_C*s_IFPT_far_adj*s_CF_potato*(1/1000)*(up_Irr!T3+up_Irr!AR3+up_Irr!BP3),".")</f>
        <v>13821.505926415879</v>
      </c>
      <c r="CS3" s="93">
        <f>IFERROR(s_C*s_IFPU_far_adj*s_CF_pumpkin*(1/1000)*(up_Irr!U3+up_Irr!AS3+up_Irr!BQ3),".")</f>
        <v>13821.505926415879</v>
      </c>
      <c r="CT3" s="93">
        <f>IFERROR(s_C*s_IFSN_far_adj*s_CF_snap_bean*(1/1000)*(up_Irr!V3+up_Irr!AT3+up_Irr!BR3),".")</f>
        <v>13821.505926415879</v>
      </c>
      <c r="CU3" s="93">
        <f>IFERROR(s_C*s_IFST_far_adj*s_CF_strawberry*(1/1000)*(up_Irr!W3+up_Irr!AU3+up_Irr!BS3),".")</f>
        <v>13821.505926415879</v>
      </c>
      <c r="CV3" s="93">
        <f>IFERROR(s_C*s_IFTO_far_adj*s_CF_tomato*(1/1000)*(up_Irr!X3+up_Irr!AV3+up_Irr!BT3),".")</f>
        <v>13821.505926415879</v>
      </c>
      <c r="CW3" s="93">
        <f>IFERROR(s_C*s_IFRI_far_adj*s_CF_rice*(1/1000)*(up_Irr!Y3+up_Irr!AW3+up_Irr!BU3),".")</f>
        <v>13821.505926415879</v>
      </c>
      <c r="CX3" s="93">
        <f>IFERROR(s_C*s_IFCG_far_adj*s_CF_cereal*(1/1000)*(up_Irr!Z3+up_Irr!AX3+up_Irr!BV3),".")</f>
        <v>13821.505926415879</v>
      </c>
    </row>
    <row r="4" spans="1:102" ht="15" customHeight="1" x14ac:dyDescent="0.25">
      <c r="A4" s="92" t="s">
        <v>14</v>
      </c>
      <c r="B4" s="90" t="s">
        <v>1074</v>
      </c>
      <c r="C4" s="76">
        <f t="shared" si="0"/>
        <v>1.8087754064641833E-11</v>
      </c>
      <c r="D4" s="76">
        <f>IFERROR(IF(AND(up_Irr!C4&lt;&gt;".",up_Irr!AA4&lt;&gt;".",up_Irr!AY4&lt;&gt;"."),up_dir!D4/((1/1000)*(up_Irr!C4+up_Irr!AA4+up_Irr!AY4)),IF(AND(up_Irr!C4&lt;&gt;".",up_Irr!AA4&lt;&gt;".",up_Irr!AY4="."),up_dir!D4/((1/1000)*(up_Irr!C4+up_Irr!AA4)),IF(AND(up_Irr!C4&lt;&gt;".",up_Irr!AA4=".",up_Irr!AY4&lt;&gt;"."),up_dir!D4/((1/1000)*(up_Irr!C4+up_Irr!AY4)),IF(AND(up_Irr!C4=".",up_Irr!AA4&lt;&gt;".",up_Irr!AY4&lt;&gt;"."),up_dir!D4/((1/1000)*(up_Irr!AA4+up_Irr!AY4)),IF(AND(up_Irr!C4=".",up_Irr!AA4=".",up_Irr!AY4&lt;&gt;"."),up_dir!D4/((1/1000)*(up_Irr!AY4)),IF(AND(up_Irr!C4=".",up_Irr!AA4&lt;&gt;".",up_Irr!AY4="."),up_dir!D4/((1/1000)*(up_Irr!AA4)),IF(AND(up_Irr!C4&lt;&gt;".",up_Irr!AA4=".",up_Irr!AY4="."),up_dir!D4/((1/1000)*(up_Irr!C4)),IF(AND(up_Irr!C4=".",up_Irr!AA4=".",up_Irr!AY4="."),up_dir!D4*1000)))))))),".")</f>
        <v>7.2351016258567334E-11</v>
      </c>
      <c r="E4" s="76">
        <f>IFERROR(IF(AND(up_Irr!D4&lt;&gt;".",up_Irr!AB4&lt;&gt;".",up_Irr!AZ4&lt;&gt;"."),up_dir!E4/((1/1000)*(up_Irr!D4+up_Irr!AB4+up_Irr!AZ4)),IF(AND(up_Irr!D4&lt;&gt;".",up_Irr!AB4&lt;&gt;".",up_Irr!AZ4="."),up_dir!E4/((1/1000)*(up_Irr!D4+up_Irr!AB4)),IF(AND(up_Irr!D4&lt;&gt;".",up_Irr!AB4=".",up_Irr!AZ4&lt;&gt;"."),up_dir!E4/((1/1000)*(up_Irr!D4+up_Irr!AZ4)),IF(AND(up_Irr!D4=".",up_Irr!AB4&lt;&gt;".",up_Irr!AZ4&lt;&gt;"."),up_dir!E4/((1/1000)*(up_Irr!AB4+up_Irr!AZ4)),IF(AND(up_Irr!D4=".",up_Irr!AB4=".",up_Irr!AZ4&lt;&gt;"."),up_dir!E4/((1/1000)*(up_Irr!AZ4)),IF(AND(up_Irr!D4=".",up_Irr!AB4&lt;&gt;".",up_Irr!AZ4="."),up_dir!E4/((1/1000)*(up_Irr!AB4)),IF(AND(up_Irr!D4&lt;&gt;".",up_Irr!AB4=".",up_Irr!AZ4="."),up_dir!E4/((1/1000)*(up_Irr!D4)),IF(AND(up_Irr!D4=".",up_Irr!AB4=".",up_Irr!AZ4="."),up_dir!E4*1000)))))))),".")</f>
        <v>7.2351016258567334E-11</v>
      </c>
      <c r="F4" s="76">
        <f>IFERROR(IF(AND(up_Irr!E4&lt;&gt;".",up_Irr!AC4&lt;&gt;".",up_Irr!BA4&lt;&gt;"."),up_dir!F4/((1/1000)*(up_Irr!E4+up_Irr!AC4+up_Irr!BA4)),IF(AND(up_Irr!E4&lt;&gt;".",up_Irr!AC4&lt;&gt;".",up_Irr!BA4="."),up_dir!F4/((1/1000)*(up_Irr!E4+up_Irr!AC4)),IF(AND(up_Irr!E4&lt;&gt;".",up_Irr!AC4=".",up_Irr!BA4&lt;&gt;"."),up_dir!F4/((1/1000)*(up_Irr!E4+up_Irr!BA4)),IF(AND(up_Irr!E4=".",up_Irr!AC4&lt;&gt;".",up_Irr!BA4&lt;&gt;"."),up_dir!F4/((1/1000)*(up_Irr!AC4+up_Irr!BA4)),IF(AND(up_Irr!E4=".",up_Irr!AC4=".",up_Irr!BA4&lt;&gt;"."),up_dir!F4/((1/1000)*(up_Irr!BA4)),IF(AND(up_Irr!E4=".",up_Irr!AC4&lt;&gt;".",up_Irr!BA4="."),up_dir!F4/((1/1000)*(up_Irr!AC4)),IF(AND(up_Irr!E4&lt;&gt;".",up_Irr!AC4=".",up_Irr!BA4="."),up_dir!F4/((1/1000)*(up_Irr!E4)),IF(AND(up_Irr!E4=".",up_Irr!AC4=".",up_Irr!BA4="."),up_dir!F4*1000)))))))),".")</f>
        <v>7.2351016258567334E-11</v>
      </c>
      <c r="G4" s="76">
        <f>IFERROR(IF(AND(up_Irr!F4&lt;&gt;".",up_Irr!AD4&lt;&gt;".",up_Irr!BB4&lt;&gt;"."),up_dir!G4/((1/1000)*(up_Irr!F4+up_Irr!AD4+up_Irr!BB4)),IF(AND(up_Irr!F4&lt;&gt;".",up_Irr!AD4&lt;&gt;".",up_Irr!BB4="."),up_dir!G4/((1/1000)*(up_Irr!F4+up_Irr!AD4)),IF(AND(up_Irr!F4&lt;&gt;".",up_Irr!AD4=".",up_Irr!BB4&lt;&gt;"."),up_dir!G4/((1/1000)*(up_Irr!F4+up_Irr!BB4)),IF(AND(up_Irr!F4=".",up_Irr!AD4&lt;&gt;".",up_Irr!BB4&lt;&gt;"."),up_dir!G4/((1/1000)*(up_Irr!AD4+up_Irr!BB4)),IF(AND(up_Irr!F4=".",up_Irr!AD4=".",up_Irr!BB4&lt;&gt;"."),up_dir!G4/((1/1000)*(up_Irr!BB4)),IF(AND(up_Irr!F4=".",up_Irr!AD4&lt;&gt;".",up_Irr!BB4="."),up_dir!G4/((1/1000)*(up_Irr!AD4)),IF(AND(up_Irr!F4&lt;&gt;".",up_Irr!AD4=".",up_Irr!BB4="."),up_dir!G4/((1/1000)*(up_Irr!F4)),IF(AND(up_Irr!F4=".",up_Irr!AD4=".",up_Irr!BB4="."),up_dir!G4*1000)))))))),".")</f>
        <v>7.2351016258567334E-11</v>
      </c>
      <c r="H4" s="76">
        <f>IFERROR(IF(AND(up_Irr!G4&lt;&gt;".",up_Irr!AE4&lt;&gt;".",up_Irr!BC4&lt;&gt;"."),up_dir!H4/((1/1000)*(up_Irr!G4+up_Irr!AE4+up_Irr!BC4)),IF(AND(up_Irr!G4&lt;&gt;".",up_Irr!AE4&lt;&gt;".",up_Irr!BC4="."),up_dir!H4/((1/1000)*(up_Irr!G4+up_Irr!AE4)),IF(AND(up_Irr!G4&lt;&gt;".",up_Irr!AE4=".",up_Irr!BC4&lt;&gt;"."),up_dir!H4/((1/1000)*(up_Irr!G4+up_Irr!BC4)),IF(AND(up_Irr!G4=".",up_Irr!AE4&lt;&gt;".",up_Irr!BC4&lt;&gt;"."),up_dir!H4/((1/1000)*(up_Irr!AE4+up_Irr!BC4)),IF(AND(up_Irr!G4=".",up_Irr!AE4=".",up_Irr!BC4&lt;&gt;"."),up_dir!H4/((1/1000)*(up_Irr!BC4)),IF(AND(up_Irr!G4=".",up_Irr!AE4&lt;&gt;".",up_Irr!BC4="."),up_dir!H4/((1/1000)*(up_Irr!AE4)),IF(AND(up_Irr!G4&lt;&gt;".",up_Irr!AE4=".",up_Irr!BC4="."),up_dir!H4/((1/1000)*(up_Irr!G4)),IF(AND(up_Irr!G4=".",up_Irr!AE4=".",up_Irr!BC4="."),up_dir!H4*1000)))))))),".")</f>
        <v>7.2351016258567334E-11</v>
      </c>
      <c r="I4" s="76">
        <f>IFERROR(IF(AND(up_Irr!H4&lt;&gt;".",up_Irr!AF4&lt;&gt;".",up_Irr!BD4&lt;&gt;"."),up_dir!I4/((1/1000)*(up_Irr!H4+up_Irr!AF4+up_Irr!BD4)),IF(AND(up_Irr!H4&lt;&gt;".",up_Irr!AF4&lt;&gt;".",up_Irr!BD4="."),up_dir!I4/((1/1000)*(up_Irr!H4+up_Irr!AF4)),IF(AND(up_Irr!H4&lt;&gt;".",up_Irr!AF4=".",up_Irr!BD4&lt;&gt;"."),up_dir!I4/((1/1000)*(up_Irr!H4+up_Irr!BD4)),IF(AND(up_Irr!H4=".",up_Irr!AF4&lt;&gt;".",up_Irr!BD4&lt;&gt;"."),up_dir!I4/((1/1000)*(up_Irr!AF4+up_Irr!BD4)),IF(AND(up_Irr!H4=".",up_Irr!AF4=".",up_Irr!BD4&lt;&gt;"."),up_dir!I4/((1/1000)*(up_Irr!BD4)),IF(AND(up_Irr!H4=".",up_Irr!AF4&lt;&gt;".",up_Irr!BD4="."),up_dir!I4/((1/1000)*(up_Irr!AF4)),IF(AND(up_Irr!H4&lt;&gt;".",up_Irr!AF4=".",up_Irr!BD4="."),up_dir!I4/((1/1000)*(up_Irr!H4)),IF(AND(up_Irr!H4=".",up_Irr!AF4=".",up_Irr!BD4="."),up_dir!I4*1000)))))))),".")</f>
        <v>7.2351016258567334E-11</v>
      </c>
      <c r="J4" s="76">
        <f>IFERROR(IF(AND(up_Irr!I4&lt;&gt;".",up_Irr!AG4&lt;&gt;".",up_Irr!BE4&lt;&gt;"."),up_dir!J4/((1/1000)*(up_Irr!I4+up_Irr!AG4+up_Irr!BE4)),IF(AND(up_Irr!I4&lt;&gt;".",up_Irr!AG4&lt;&gt;".",up_Irr!BE4="."),up_dir!J4/((1/1000)*(up_Irr!I4+up_Irr!AG4)),IF(AND(up_Irr!I4&lt;&gt;".",up_Irr!AG4=".",up_Irr!BE4&lt;&gt;"."),up_dir!J4/((1/1000)*(up_Irr!I4+up_Irr!BE4)),IF(AND(up_Irr!I4=".",up_Irr!AG4&lt;&gt;".",up_Irr!BE4&lt;&gt;"."),up_dir!J4/((1/1000)*(up_Irr!AG4+up_Irr!BE4)),IF(AND(up_Irr!I4=".",up_Irr!AG4=".",up_Irr!BE4&lt;&gt;"."),up_dir!J4/((1/1000)*(up_Irr!BE4)),IF(AND(up_Irr!I4=".",up_Irr!AG4&lt;&gt;".",up_Irr!BE4="."),up_dir!J4/((1/1000)*(up_Irr!AG4)),IF(AND(up_Irr!I4&lt;&gt;".",up_Irr!AG4=".",up_Irr!BE4="."),up_dir!J4/((1/1000)*(up_Irr!I4)),IF(AND(up_Irr!I4=".",up_Irr!AG4=".",up_Irr!BE4="."),up_dir!J4*1000)))))))),".")</f>
        <v>7.2351016258567334E-11</v>
      </c>
      <c r="K4" s="76">
        <f>IFERROR(IF(AND(up_Irr!J4&lt;&gt;".",up_Irr!AH4&lt;&gt;".",up_Irr!BF4&lt;&gt;"."),up_dir!K4/((1/1000)*(up_Irr!J4+up_Irr!AH4+up_Irr!BF4)),IF(AND(up_Irr!J4&lt;&gt;".",up_Irr!AH4&lt;&gt;".",up_Irr!BF4="."),up_dir!K4/((1/1000)*(up_Irr!J4+up_Irr!AH4)),IF(AND(up_Irr!J4&lt;&gt;".",up_Irr!AH4=".",up_Irr!BF4&lt;&gt;"."),up_dir!K4/((1/1000)*(up_Irr!J4+up_Irr!BF4)),IF(AND(up_Irr!J4=".",up_Irr!AH4&lt;&gt;".",up_Irr!BF4&lt;&gt;"."),up_dir!K4/((1/1000)*(up_Irr!AH4+up_Irr!BF4)),IF(AND(up_Irr!J4=".",up_Irr!AH4=".",up_Irr!BF4&lt;&gt;"."),up_dir!K4/((1/1000)*(up_Irr!BF4)),IF(AND(up_Irr!J4=".",up_Irr!AH4&lt;&gt;".",up_Irr!BF4="."),up_dir!K4/((1/1000)*(up_Irr!AH4)),IF(AND(up_Irr!J4&lt;&gt;".",up_Irr!AH4=".",up_Irr!BF4="."),up_dir!K4/((1/1000)*(up_Irr!J4)),IF(AND(up_Irr!J4=".",up_Irr!AH4=".",up_Irr!BF4="."),up_dir!K4*1000)))))))),".")</f>
        <v>7.2351016258567334E-11</v>
      </c>
      <c r="L4" s="76">
        <f>IFERROR(IF(AND(up_Irr!K4&lt;&gt;".",up_Irr!AI4&lt;&gt;".",up_Irr!BG4&lt;&gt;"."),up_dir!L4/((1/1000)*(up_Irr!K4+up_Irr!AI4+up_Irr!BG4)),IF(AND(up_Irr!K4&lt;&gt;".",up_Irr!AI4&lt;&gt;".",up_Irr!BG4="."),up_dir!L4/((1/1000)*(up_Irr!K4+up_Irr!AI4)),IF(AND(up_Irr!K4&lt;&gt;".",up_Irr!AI4=".",up_Irr!BG4&lt;&gt;"."),up_dir!L4/((1/1000)*(up_Irr!K4+up_Irr!BG4)),IF(AND(up_Irr!K4=".",up_Irr!AI4&lt;&gt;".",up_Irr!BG4&lt;&gt;"."),up_dir!L4/((1/1000)*(up_Irr!AI4+up_Irr!BG4)),IF(AND(up_Irr!K4=".",up_Irr!AI4=".",up_Irr!BG4&lt;&gt;"."),up_dir!L4/((1/1000)*(up_Irr!BG4)),IF(AND(up_Irr!K4=".",up_Irr!AI4&lt;&gt;".",up_Irr!BG4="."),up_dir!L4/((1/1000)*(up_Irr!AI4)),IF(AND(up_Irr!K4&lt;&gt;".",up_Irr!AI4=".",up_Irr!BG4="."),up_dir!L4/((1/1000)*(up_Irr!K4)),IF(AND(up_Irr!K4=".",up_Irr!AI4=".",up_Irr!BG4="."),up_dir!L4*1000)))))))),".")</f>
        <v>7.2351016258567334E-11</v>
      </c>
      <c r="M4" s="76">
        <f>IFERROR(IF(AND(up_Irr!L4&lt;&gt;".",up_Irr!AJ4&lt;&gt;".",up_Irr!BH4&lt;&gt;"."),up_dir!M4/((1/1000)*(up_Irr!L4+up_Irr!AJ4+up_Irr!BH4)),IF(AND(up_Irr!L4&lt;&gt;".",up_Irr!AJ4&lt;&gt;".",up_Irr!BH4="."),up_dir!M4/((1/1000)*(up_Irr!L4+up_Irr!AJ4)),IF(AND(up_Irr!L4&lt;&gt;".",up_Irr!AJ4=".",up_Irr!BH4&lt;&gt;"."),up_dir!M4/((1/1000)*(up_Irr!L4+up_Irr!BH4)),IF(AND(up_Irr!L4=".",up_Irr!AJ4&lt;&gt;".",up_Irr!BH4&lt;&gt;"."),up_dir!M4/((1/1000)*(up_Irr!AJ4+up_Irr!BH4)),IF(AND(up_Irr!L4=".",up_Irr!AJ4=".",up_Irr!BH4&lt;&gt;"."),up_dir!M4/((1/1000)*(up_Irr!BH4)),IF(AND(up_Irr!L4=".",up_Irr!AJ4&lt;&gt;".",up_Irr!BH4="."),up_dir!M4/((1/1000)*(up_Irr!AJ4)),IF(AND(up_Irr!L4&lt;&gt;".",up_Irr!AJ4=".",up_Irr!BH4="."),up_dir!M4/((1/1000)*(up_Irr!L4)),IF(AND(up_Irr!L4=".",up_Irr!AJ4=".",up_Irr!BH4="."),up_dir!M4*1000)))))))),".")</f>
        <v>7.2351016258567334E-11</v>
      </c>
      <c r="N4" s="76">
        <f>IFERROR(IF(AND(up_Irr!M4&lt;&gt;".",up_Irr!AK4&lt;&gt;".",up_Irr!BI4&lt;&gt;"."),up_dir!N4/((1/1000)*(up_Irr!M4+up_Irr!AK4+up_Irr!BI4)),IF(AND(up_Irr!M4&lt;&gt;".",up_Irr!AK4&lt;&gt;".",up_Irr!BI4="."),up_dir!N4/((1/1000)*(up_Irr!M4+up_Irr!AK4)),IF(AND(up_Irr!M4&lt;&gt;".",up_Irr!AK4=".",up_Irr!BI4&lt;&gt;"."),up_dir!N4/((1/1000)*(up_Irr!M4+up_Irr!BI4)),IF(AND(up_Irr!M4=".",up_Irr!AK4&lt;&gt;".",up_Irr!BI4&lt;&gt;"."),up_dir!N4/((1/1000)*(up_Irr!AK4+up_Irr!BI4)),IF(AND(up_Irr!M4=".",up_Irr!AK4=".",up_Irr!BI4&lt;&gt;"."),up_dir!N4/((1/1000)*(up_Irr!BI4)),IF(AND(up_Irr!M4=".",up_Irr!AK4&lt;&gt;".",up_Irr!BI4="."),up_dir!N4/((1/1000)*(up_Irr!AK4)),IF(AND(up_Irr!M4&lt;&gt;".",up_Irr!AK4=".",up_Irr!BI4="."),up_dir!N4/((1/1000)*(up_Irr!M4)),IF(AND(up_Irr!M4=".",up_Irr!AK4=".",up_Irr!BI4="."),up_dir!N4*1000)))))))),".")</f>
        <v>7.2351016258567334E-11</v>
      </c>
      <c r="O4" s="76">
        <f>IFERROR(IF(AND(up_Irr!N4&lt;&gt;".",up_Irr!AL4&lt;&gt;".",up_Irr!BJ4&lt;&gt;"."),up_dir!O4/((1/1000)*(up_Irr!N4+up_Irr!AL4+up_Irr!BJ4)),IF(AND(up_Irr!N4&lt;&gt;".",up_Irr!AL4&lt;&gt;".",up_Irr!BJ4="."),up_dir!O4/((1/1000)*(up_Irr!N4+up_Irr!AL4)),IF(AND(up_Irr!N4&lt;&gt;".",up_Irr!AL4=".",up_Irr!BJ4&lt;&gt;"."),up_dir!O4/((1/1000)*(up_Irr!N4+up_Irr!BJ4)),IF(AND(up_Irr!N4=".",up_Irr!AL4&lt;&gt;".",up_Irr!BJ4&lt;&gt;"."),up_dir!O4/((1/1000)*(up_Irr!AL4+up_Irr!BJ4)),IF(AND(up_Irr!N4=".",up_Irr!AL4=".",up_Irr!BJ4&lt;&gt;"."),up_dir!O4/((1/1000)*(up_Irr!BJ4)),IF(AND(up_Irr!N4=".",up_Irr!AL4&lt;&gt;".",up_Irr!BJ4="."),up_dir!O4/((1/1000)*(up_Irr!AL4)),IF(AND(up_Irr!N4&lt;&gt;".",up_Irr!AL4=".",up_Irr!BJ4="."),up_dir!O4/((1/1000)*(up_Irr!N4)),IF(AND(up_Irr!N4=".",up_Irr!AL4=".",up_Irr!BJ4="."),up_dir!O4*1000)))))))),".")</f>
        <v>7.2351016258567334E-11</v>
      </c>
      <c r="P4" s="76">
        <f>IFERROR(IF(AND(up_Irr!O4&lt;&gt;".",up_Irr!AM4&lt;&gt;".",up_Irr!BK4&lt;&gt;"."),up_dir!P4/((1/1000)*(up_Irr!O4+up_Irr!AM4+up_Irr!BK4)),IF(AND(up_Irr!O4&lt;&gt;".",up_Irr!AM4&lt;&gt;".",up_Irr!BK4="."),up_dir!P4/((1/1000)*(up_Irr!O4+up_Irr!AM4)),IF(AND(up_Irr!O4&lt;&gt;".",up_Irr!AM4=".",up_Irr!BK4&lt;&gt;"."),up_dir!P4/((1/1000)*(up_Irr!O4+up_Irr!BK4)),IF(AND(up_Irr!O4=".",up_Irr!AM4&lt;&gt;".",up_Irr!BK4&lt;&gt;"."),up_dir!P4/((1/1000)*(up_Irr!AM4+up_Irr!BK4)),IF(AND(up_Irr!O4=".",up_Irr!AM4=".",up_Irr!BK4&lt;&gt;"."),up_dir!P4/((1/1000)*(up_Irr!BK4)),IF(AND(up_Irr!O4=".",up_Irr!AM4&lt;&gt;".",up_Irr!BK4="."),up_dir!P4/((1/1000)*(up_Irr!AM4)),IF(AND(up_Irr!O4&lt;&gt;".",up_Irr!AM4=".",up_Irr!BK4="."),up_dir!P4/((1/1000)*(up_Irr!O4)),IF(AND(up_Irr!O4=".",up_Irr!AM4=".",up_Irr!BK4="."),up_dir!P4*1000)))))))),".")</f>
        <v>7.2351016258567334E-11</v>
      </c>
      <c r="Q4" s="76">
        <f>IFERROR(IF(AND(up_Irr!P4&lt;&gt;".",up_Irr!AN4&lt;&gt;".",up_Irr!BL4&lt;&gt;"."),up_dir!Q4/((1/1000)*(up_Irr!P4+up_Irr!AN4+up_Irr!BL4)),IF(AND(up_Irr!P4&lt;&gt;".",up_Irr!AN4&lt;&gt;".",up_Irr!BL4="."),up_dir!Q4/((1/1000)*(up_Irr!P4+up_Irr!AN4)),IF(AND(up_Irr!P4&lt;&gt;".",up_Irr!AN4=".",up_Irr!BL4&lt;&gt;"."),up_dir!Q4/((1/1000)*(up_Irr!P4+up_Irr!BL4)),IF(AND(up_Irr!P4=".",up_Irr!AN4&lt;&gt;".",up_Irr!BL4&lt;&gt;"."),up_dir!Q4/((1/1000)*(up_Irr!AN4+up_Irr!BL4)),IF(AND(up_Irr!P4=".",up_Irr!AN4=".",up_Irr!BL4&lt;&gt;"."),up_dir!Q4/((1/1000)*(up_Irr!BL4)),IF(AND(up_Irr!P4=".",up_Irr!AN4&lt;&gt;".",up_Irr!BL4="."),up_dir!Q4/((1/1000)*(up_Irr!AN4)),IF(AND(up_Irr!P4&lt;&gt;".",up_Irr!AN4=".",up_Irr!BL4="."),up_dir!Q4/((1/1000)*(up_Irr!P4)),IF(AND(up_Irr!P4=".",up_Irr!AN4=".",up_Irr!BL4="."),up_dir!Q4*1000)))))))),".")</f>
        <v>7.2351016258567334E-11</v>
      </c>
      <c r="R4" s="76">
        <f>IFERROR(IF(AND(up_Irr!Q4&lt;&gt;".",up_Irr!AO4&lt;&gt;".",up_Irr!BM4&lt;&gt;"."),up_dir!R4/((1/1000)*(up_Irr!Q4+up_Irr!AO4+up_Irr!BM4)),IF(AND(up_Irr!Q4&lt;&gt;".",up_Irr!AO4&lt;&gt;".",up_Irr!BM4="."),up_dir!R4/((1/1000)*(up_Irr!Q4+up_Irr!AO4)),IF(AND(up_Irr!Q4&lt;&gt;".",up_Irr!AO4=".",up_Irr!BM4&lt;&gt;"."),up_dir!R4/((1/1000)*(up_Irr!Q4+up_Irr!BM4)),IF(AND(up_Irr!Q4=".",up_Irr!AO4&lt;&gt;".",up_Irr!BM4&lt;&gt;"."),up_dir!R4/((1/1000)*(up_Irr!AO4+up_Irr!BM4)),IF(AND(up_Irr!Q4=".",up_Irr!AO4=".",up_Irr!BM4&lt;&gt;"."),up_dir!R4/((1/1000)*(up_Irr!BM4)),IF(AND(up_Irr!Q4=".",up_Irr!AO4&lt;&gt;".",up_Irr!BM4="."),up_dir!R4/((1/1000)*(up_Irr!AO4)),IF(AND(up_Irr!Q4&lt;&gt;".",up_Irr!AO4=".",up_Irr!BM4="."),up_dir!R4/((1/1000)*(up_Irr!Q4)),IF(AND(up_Irr!Q4=".",up_Irr!AO4=".",up_Irr!BM4="."),up_dir!R4*1000)))))))),".")</f>
        <v>7.2351016258567334E-11</v>
      </c>
      <c r="S4" s="76">
        <f>IFERROR(IF(AND(up_Irr!R4&lt;&gt;".",up_Irr!AP4&lt;&gt;".",up_Irr!BN4&lt;&gt;"."),up_dir!S4/((1/1000)*(up_Irr!R4+up_Irr!AP4+up_Irr!BN4)),IF(AND(up_Irr!R4&lt;&gt;".",up_Irr!AP4&lt;&gt;".",up_Irr!BN4="."),up_dir!S4/((1/1000)*(up_Irr!R4+up_Irr!AP4)),IF(AND(up_Irr!R4&lt;&gt;".",up_Irr!AP4=".",up_Irr!BN4&lt;&gt;"."),up_dir!S4/((1/1000)*(up_Irr!R4+up_Irr!BN4)),IF(AND(up_Irr!R4=".",up_Irr!AP4&lt;&gt;".",up_Irr!BN4&lt;&gt;"."),up_dir!S4/((1/1000)*(up_Irr!AP4+up_Irr!BN4)),IF(AND(up_Irr!R4=".",up_Irr!AP4=".",up_Irr!BN4&lt;&gt;"."),up_dir!S4/((1/1000)*(up_Irr!BN4)),IF(AND(up_Irr!R4=".",up_Irr!AP4&lt;&gt;".",up_Irr!BN4="."),up_dir!S4/((1/1000)*(up_Irr!AP4)),IF(AND(up_Irr!R4&lt;&gt;".",up_Irr!AP4=".",up_Irr!BN4="."),up_dir!S4/((1/1000)*(up_Irr!R4)),IF(AND(up_Irr!R4=".",up_Irr!AP4=".",up_Irr!BN4="."),up_dir!S4*1000)))))))),".")</f>
        <v>7.2351016258567334E-11</v>
      </c>
      <c r="T4" s="76">
        <f>IFERROR(IF(AND(up_Irr!S4&lt;&gt;".",up_Irr!AQ4&lt;&gt;".",up_Irr!BO4&lt;&gt;"."),up_dir!T4/((1/1000)*(up_Irr!S4+up_Irr!AQ4+up_Irr!BO4)),IF(AND(up_Irr!S4&lt;&gt;".",up_Irr!AQ4&lt;&gt;".",up_Irr!BO4="."),up_dir!T4/((1/1000)*(up_Irr!S4+up_Irr!AQ4)),IF(AND(up_Irr!S4&lt;&gt;".",up_Irr!AQ4=".",up_Irr!BO4&lt;&gt;"."),up_dir!T4/((1/1000)*(up_Irr!S4+up_Irr!BO4)),IF(AND(up_Irr!S4=".",up_Irr!AQ4&lt;&gt;".",up_Irr!BO4&lt;&gt;"."),up_dir!T4/((1/1000)*(up_Irr!AQ4+up_Irr!BO4)),IF(AND(up_Irr!S4=".",up_Irr!AQ4=".",up_Irr!BO4&lt;&gt;"."),up_dir!T4/((1/1000)*(up_Irr!BO4)),IF(AND(up_Irr!S4=".",up_Irr!AQ4&lt;&gt;".",up_Irr!BO4="."),up_dir!T4/((1/1000)*(up_Irr!AQ4)),IF(AND(up_Irr!S4&lt;&gt;".",up_Irr!AQ4=".",up_Irr!BO4="."),up_dir!T4/((1/1000)*(up_Irr!S4)),IF(AND(up_Irr!S4=".",up_Irr!AQ4=".",up_Irr!BO4="."),up_dir!T4*1000)))))))),".")</f>
        <v>7.2351016258567334E-11</v>
      </c>
      <c r="U4" s="76">
        <f>IFERROR(IF(AND(up_Irr!T4&lt;&gt;".",up_Irr!AR4&lt;&gt;".",up_Irr!BP4&lt;&gt;"."),up_dir!U4/((1/1000)*(up_Irr!T4+up_Irr!AR4+up_Irr!BP4)),IF(AND(up_Irr!T4&lt;&gt;".",up_Irr!AR4&lt;&gt;".",up_Irr!BP4="."),up_dir!U4/((1/1000)*(up_Irr!T4+up_Irr!AR4)),IF(AND(up_Irr!T4&lt;&gt;".",up_Irr!AR4=".",up_Irr!BP4&lt;&gt;"."),up_dir!U4/((1/1000)*(up_Irr!T4+up_Irr!BP4)),IF(AND(up_Irr!T4=".",up_Irr!AR4&lt;&gt;".",up_Irr!BP4&lt;&gt;"."),up_dir!U4/((1/1000)*(up_Irr!AR4+up_Irr!BP4)),IF(AND(up_Irr!T4=".",up_Irr!AR4=".",up_Irr!BP4&lt;&gt;"."),up_dir!U4/((1/1000)*(up_Irr!BP4)),IF(AND(up_Irr!T4=".",up_Irr!AR4&lt;&gt;".",up_Irr!BP4="."),up_dir!U4/((1/1000)*(up_Irr!AR4)),IF(AND(up_Irr!T4&lt;&gt;".",up_Irr!AR4=".",up_Irr!BP4="."),up_dir!U4/((1/1000)*(up_Irr!T4)),IF(AND(up_Irr!T4=".",up_Irr!AR4=".",up_Irr!BP4="."),up_dir!U4*1000)))))))),".")</f>
        <v>7.2351016258567334E-11</v>
      </c>
      <c r="V4" s="76">
        <f>IFERROR(IF(AND(up_Irr!U4&lt;&gt;".",up_Irr!AS4&lt;&gt;".",up_Irr!BQ4&lt;&gt;"."),up_dir!V4/((1/1000)*(up_Irr!U4+up_Irr!AS4+up_Irr!BQ4)),IF(AND(up_Irr!U4&lt;&gt;".",up_Irr!AS4&lt;&gt;".",up_Irr!BQ4="."),up_dir!V4/((1/1000)*(up_Irr!U4+up_Irr!AS4)),IF(AND(up_Irr!U4&lt;&gt;".",up_Irr!AS4=".",up_Irr!BQ4&lt;&gt;"."),up_dir!V4/((1/1000)*(up_Irr!U4+up_Irr!BQ4)),IF(AND(up_Irr!U4=".",up_Irr!AS4&lt;&gt;".",up_Irr!BQ4&lt;&gt;"."),up_dir!V4/((1/1000)*(up_Irr!AS4+up_Irr!BQ4)),IF(AND(up_Irr!U4=".",up_Irr!AS4=".",up_Irr!BQ4&lt;&gt;"."),up_dir!V4/((1/1000)*(up_Irr!BQ4)),IF(AND(up_Irr!U4=".",up_Irr!AS4&lt;&gt;".",up_Irr!BQ4="."),up_dir!V4/((1/1000)*(up_Irr!AS4)),IF(AND(up_Irr!U4&lt;&gt;".",up_Irr!AS4=".",up_Irr!BQ4="."),up_dir!V4/((1/1000)*(up_Irr!U4)),IF(AND(up_Irr!U4=".",up_Irr!AS4=".",up_Irr!BQ4="."),up_dir!V4*1000)))))))),".")</f>
        <v>7.2351016258567334E-11</v>
      </c>
      <c r="W4" s="76">
        <f>IFERROR(IF(AND(up_Irr!V4&lt;&gt;".",up_Irr!AT4&lt;&gt;".",up_Irr!BR4&lt;&gt;"."),up_dir!W4/((1/1000)*(up_Irr!V4+up_Irr!AT4+up_Irr!BR4)),IF(AND(up_Irr!V4&lt;&gt;".",up_Irr!AT4&lt;&gt;".",up_Irr!BR4="."),up_dir!W4/((1/1000)*(up_Irr!V4+up_Irr!AT4)),IF(AND(up_Irr!V4&lt;&gt;".",up_Irr!AT4=".",up_Irr!BR4&lt;&gt;"."),up_dir!W4/((1/1000)*(up_Irr!V4+up_Irr!BR4)),IF(AND(up_Irr!V4=".",up_Irr!AT4&lt;&gt;".",up_Irr!BR4&lt;&gt;"."),up_dir!W4/((1/1000)*(up_Irr!AT4+up_Irr!BR4)),IF(AND(up_Irr!V4=".",up_Irr!AT4=".",up_Irr!BR4&lt;&gt;"."),up_dir!W4/((1/1000)*(up_Irr!BR4)),IF(AND(up_Irr!V4=".",up_Irr!AT4&lt;&gt;".",up_Irr!BR4="."),up_dir!W4/((1/1000)*(up_Irr!AT4)),IF(AND(up_Irr!V4&lt;&gt;".",up_Irr!AT4=".",up_Irr!BR4="."),up_dir!W4/((1/1000)*(up_Irr!V4)),IF(AND(up_Irr!V4=".",up_Irr!AT4=".",up_Irr!BR4="."),up_dir!W4*1000)))))))),".")</f>
        <v>7.2351016258567334E-11</v>
      </c>
      <c r="X4" s="76">
        <f>IFERROR(IF(AND(up_Irr!W4&lt;&gt;".",up_Irr!AU4&lt;&gt;".",up_Irr!BS4&lt;&gt;"."),up_dir!X4/((1/1000)*(up_Irr!W4+up_Irr!AU4+up_Irr!BS4)),IF(AND(up_Irr!W4&lt;&gt;".",up_Irr!AU4&lt;&gt;".",up_Irr!BS4="."),up_dir!X4/((1/1000)*(up_Irr!W4+up_Irr!AU4)),IF(AND(up_Irr!W4&lt;&gt;".",up_Irr!AU4=".",up_Irr!BS4&lt;&gt;"."),up_dir!X4/((1/1000)*(up_Irr!W4+up_Irr!BS4)),IF(AND(up_Irr!W4=".",up_Irr!AU4&lt;&gt;".",up_Irr!BS4&lt;&gt;"."),up_dir!X4/((1/1000)*(up_Irr!AU4+up_Irr!BS4)),IF(AND(up_Irr!W4=".",up_Irr!AU4=".",up_Irr!BS4&lt;&gt;"."),up_dir!X4/((1/1000)*(up_Irr!BS4)),IF(AND(up_Irr!W4=".",up_Irr!AU4&lt;&gt;".",up_Irr!BS4="."),up_dir!X4/((1/1000)*(up_Irr!AU4)),IF(AND(up_Irr!W4&lt;&gt;".",up_Irr!AU4=".",up_Irr!BS4="."),up_dir!X4/((1/1000)*(up_Irr!W4)),IF(AND(up_Irr!W4=".",up_Irr!AU4=".",up_Irr!BS4="."),up_dir!X4*1000)))))))),".")</f>
        <v>7.2351016258567334E-11</v>
      </c>
      <c r="Y4" s="76">
        <f>IFERROR(IF(AND(up_Irr!X4&lt;&gt;".",up_Irr!AV4&lt;&gt;".",up_Irr!BT4&lt;&gt;"."),up_dir!Y4/((1/1000)*(up_Irr!X4+up_Irr!AV4+up_Irr!BT4)),IF(AND(up_Irr!X4&lt;&gt;".",up_Irr!AV4&lt;&gt;".",up_Irr!BT4="."),up_dir!Y4/((1/1000)*(up_Irr!X4+up_Irr!AV4)),IF(AND(up_Irr!X4&lt;&gt;".",up_Irr!AV4=".",up_Irr!BT4&lt;&gt;"."),up_dir!Y4/((1/1000)*(up_Irr!X4+up_Irr!BT4)),IF(AND(up_Irr!X4=".",up_Irr!AV4&lt;&gt;".",up_Irr!BT4&lt;&gt;"."),up_dir!Y4/((1/1000)*(up_Irr!AV4+up_Irr!BT4)),IF(AND(up_Irr!X4=".",up_Irr!AV4=".",up_Irr!BT4&lt;&gt;"."),up_dir!Y4/((1/1000)*(up_Irr!BT4)),IF(AND(up_Irr!X4=".",up_Irr!AV4&lt;&gt;".",up_Irr!BT4="."),up_dir!Y4/((1/1000)*(up_Irr!AV4)),IF(AND(up_Irr!X4&lt;&gt;".",up_Irr!AV4=".",up_Irr!BT4="."),up_dir!Y4/((1/1000)*(up_Irr!X4)),IF(AND(up_Irr!X4=".",up_Irr!AV4=".",up_Irr!BT4="."),up_dir!Y4*1000)))))))),".")</f>
        <v>7.2351016258567334E-11</v>
      </c>
      <c r="Z4" s="76">
        <f>IFERROR(IF(AND(up_Irr!Y4&lt;&gt;".",up_Irr!AW4&lt;&gt;".",up_Irr!BU4&lt;&gt;"."),up_dir!Z4/((1/1000)*(up_Irr!Y4+up_Irr!AW4+up_Irr!BU4)),IF(AND(up_Irr!Y4&lt;&gt;".",up_Irr!AW4&lt;&gt;".",up_Irr!BU4="."),up_dir!Z4/((1/1000)*(up_Irr!Y4+up_Irr!AW4)),IF(AND(up_Irr!Y4&lt;&gt;".",up_Irr!AW4=".",up_Irr!BU4&lt;&gt;"."),up_dir!Z4/((1/1000)*(up_Irr!Y4+up_Irr!BU4)),IF(AND(up_Irr!Y4=".",up_Irr!AW4&lt;&gt;".",up_Irr!BU4&lt;&gt;"."),up_dir!Z4/((1/1000)*(up_Irr!AW4+up_Irr!BU4)),IF(AND(up_Irr!Y4=".",up_Irr!AW4=".",up_Irr!BU4&lt;&gt;"."),up_dir!Z4/((1/1000)*(up_Irr!BU4)),IF(AND(up_Irr!Y4=".",up_Irr!AW4&lt;&gt;".",up_Irr!BU4="."),up_dir!Z4/((1/1000)*(up_Irr!AW4)),IF(AND(up_Irr!Y4&lt;&gt;".",up_Irr!AW4=".",up_Irr!BU4="."),up_dir!Z4/((1/1000)*(up_Irr!Y4)),IF(AND(up_Irr!Y4=".",up_Irr!AW4=".",up_Irr!BU4="."),up_dir!Z4*1000)))))))),".")</f>
        <v>7.2351016258567334E-11</v>
      </c>
      <c r="AA4" s="76">
        <f>IFERROR(IF(AND(up_Irr!Z4&lt;&gt;".",up_Irr!AX4&lt;&gt;".",up_Irr!BV4&lt;&gt;"."),up_dir!AA4/((1/1000)*(up_Irr!Z4+up_Irr!AX4+up_Irr!BV4)),IF(AND(up_Irr!Z4&lt;&gt;".",up_Irr!AX4&lt;&gt;".",up_Irr!BV4="."),up_dir!AA4/((1/1000)*(up_Irr!Z4+up_Irr!AX4)),IF(AND(up_Irr!Z4&lt;&gt;".",up_Irr!AX4=".",up_Irr!BV4&lt;&gt;"."),up_dir!AA4/((1/1000)*(up_Irr!Z4+up_Irr!BV4)),IF(AND(up_Irr!Z4=".",up_Irr!AX4&lt;&gt;".",up_Irr!BV4&lt;&gt;"."),up_dir!AA4/((1/1000)*(up_Irr!AX4+up_Irr!BV4)),IF(AND(up_Irr!Z4=".",up_Irr!AX4=".",up_Irr!BV4&lt;&gt;"."),up_dir!AA4/((1/1000)*(up_Irr!BV4)),IF(AND(up_Irr!Z4=".",up_Irr!AX4&lt;&gt;".",up_Irr!BV4="."),up_dir!AA4/((1/1000)*(up_Irr!AX4)),IF(AND(up_Irr!Z4&lt;&gt;".",up_Irr!AX4=".",up_Irr!BV4="."),up_dir!AA4/((1/1000)*(up_Irr!Z4)),IF(AND(up_Irr!Z4=".",up_Irr!AX4=".",up_Irr!BV4="."),up_dir!AA4*1000)))))))),".")</f>
        <v>7.2351016258567334E-11</v>
      </c>
      <c r="AB4" s="93">
        <f t="shared" ref="AB4:AB5" si="2">SUM(AC4:AD4,AY4:AZ4)</f>
        <v>55286.023705663516</v>
      </c>
      <c r="AC4" s="93">
        <f>IFERROR(s_C*s_IFAP_res_adj*s_CF_apple*0.001*(up_Irr!C4+up_Irr!AA4+up_Irr!AY4),".")</f>
        <v>13821.505926415879</v>
      </c>
      <c r="AD4" s="93">
        <f>IFERROR(s_C*s_IFAS_res_adj*s_CF_asparagus*0.001*(up_Irr!D4+up_Irr!AB4+up_Irr!AZ4),".")</f>
        <v>13821.505926415879</v>
      </c>
      <c r="AE4" s="93">
        <f>IFERROR(s_C*s_IFBT_res_adj*s_CF_beet*0.001*(up_Irr!E4+up_Irr!AC4+up_Irr!BA4),".")</f>
        <v>13821.505926415879</v>
      </c>
      <c r="AF4" s="93">
        <f>IFERROR(s_C*s_IFBE_res_adj*s_CF_berries*0.001*(up_Irr!F4+up_Irr!AD4+up_Irr!BB4),".")</f>
        <v>13821.505926415879</v>
      </c>
      <c r="AG4" s="93">
        <f>IFERROR(s_C*s_IFBR_res_adj*s_CF_broccoli*0.001*(up_Irr!G4+up_Irr!AE4+up_Irr!BC4),".")</f>
        <v>13821.505926415879</v>
      </c>
      <c r="AH4" s="93">
        <f>IFERROR(s_C*s_IFCB_res_adj*s_CF_cabbage*0.001*(up_Irr!H4+up_Irr!AF4+up_Irr!BD4),".")</f>
        <v>13821.505926415879</v>
      </c>
      <c r="AI4" s="93">
        <f>IFERROR(s_C*s_IFCR_res_adj*s_CF_carrot*0.001*(up_Irr!I4+up_Irr!AG4+up_Irr!BE4),".")</f>
        <v>13821.505926415879</v>
      </c>
      <c r="AJ4" s="93">
        <f>IFERROR(s_C*s_IFCI_res_adj*s_CF_citrus*0.001*(up_Irr!J4+up_Irr!AH4+up_Irr!BF4),".")</f>
        <v>13821.505926415879</v>
      </c>
      <c r="AK4" s="93">
        <f>IFERROR(s_C*s_IFCO_res_adj*s_CF_corn*0.001*(up_Irr!K4+up_Irr!AI4+up_Irr!BG4),".")</f>
        <v>13821.505926415879</v>
      </c>
      <c r="AL4" s="93">
        <f>IFERROR(s_C*s_IFCU_res_adj*s_CF_cucumber*0.001*(up_Irr!L4+up_Irr!AJ4+up_Irr!BH4),".")</f>
        <v>13821.505926415879</v>
      </c>
      <c r="AM4" s="93">
        <f>IFERROR(s_C*s_IFLE_res_adj*s_CF_lettuce*0.001*(up_Irr!M4+up_Irr!AK4+up_Irr!BI4),".")</f>
        <v>13821.505926415879</v>
      </c>
      <c r="AN4" s="93">
        <f>IFERROR(s_C*s_IFLI_res_adj*s_CF_lima_bean*0.001*(up_Irr!N4+up_Irr!AL4+up_Irr!BJ4),".")</f>
        <v>13821.505926415879</v>
      </c>
      <c r="AO4" s="93">
        <f>IFERROR(s_C*s_IFOK_res_adj*s_CF_okra*0.001*(up_Irr!O4+up_Irr!AM4+up_Irr!BK4),".")</f>
        <v>13821.505926415879</v>
      </c>
      <c r="AP4" s="93">
        <f>IFERROR(s_C*s_IFON_res_adj*s_CF_onion*0.001*(up_Irr!P4+up_Irr!AN4+up_Irr!BL4),".")</f>
        <v>13821.505926415879</v>
      </c>
      <c r="AQ4" s="93">
        <f>IFERROR(s_C*s_IFPC_res_adj*s_CF_peach*0.001*(up_Irr!Q4+up_Irr!AO4+up_Irr!BM4),".")</f>
        <v>13821.505926415879</v>
      </c>
      <c r="AR4" s="93">
        <f>IFERROR(s_C*s_IFPR_res_adj*s_CF_pear*0.001*(up_Irr!R4+up_Irr!AP4+up_Irr!BN4),".")</f>
        <v>13821.505926415879</v>
      </c>
      <c r="AS4" s="93">
        <f>IFERROR(s_C*s_IFPE_res_adj*s_CF_peas*0.001*(up_Irr!S4+up_Irr!AQ4+up_Irr!BO4),".")</f>
        <v>13821.505926415879</v>
      </c>
      <c r="AT4" s="93">
        <f>IFERROR(s_C*s_IFPT_res_adj*s_CF_potato*0.001*(up_Irr!T4+up_Irr!AR4+up_Irr!BP4),".")</f>
        <v>13821.505926415879</v>
      </c>
      <c r="AU4" s="93">
        <f>IFERROR(s_C*s_IFPU_res_adj*s_CF_pumpkin*0.001*(up_Irr!U4+up_Irr!AS4+up_Irr!BQ4),".")</f>
        <v>13821.505926415879</v>
      </c>
      <c r="AV4" s="93">
        <f>IFERROR(s_C*s_IFSN_res_adj*s_CF_snap_bean*0.001*(up_Irr!V4+up_Irr!AT4+up_Irr!BR4),".")</f>
        <v>13821.505926415879</v>
      </c>
      <c r="AW4" s="93">
        <f>IFERROR(s_C*s_IFST_res_adj*s_CF_strawberry*0.001*(up_Irr!W4+up_Irr!AU4+up_Irr!BS4),".")</f>
        <v>13821.505926415879</v>
      </c>
      <c r="AX4" s="93">
        <f>IFERROR(s_C*s_IFTO_res_adj*s_CF_tomato*0.001*(up_Irr!X4+up_Irr!AV4+up_Irr!BT4),".")</f>
        <v>13821.505926415879</v>
      </c>
      <c r="AY4" s="93">
        <f>IFERROR(s_C*s_IFRI_res_adj*s_CF_rice*0.001*(up_Irr!Y4+up_Irr!AW4+up_Irr!BU4),".")</f>
        <v>13821.505926415879</v>
      </c>
      <c r="AZ4" s="93">
        <f>IFERROR(s_C*s_IFCG_res_adj*s_CF_cereal*0.001*(up_Irr!Z4+up_Irr!AX4+up_Irr!BV4),".")</f>
        <v>13821.505926415879</v>
      </c>
      <c r="BA4" s="76">
        <f t="shared" ref="BA4:BA20" si="3">IFERROR(1/SUM(1/BB4,1/BC4,1/BX4,1/BY4),".")</f>
        <v>1.8087754064641833E-11</v>
      </c>
      <c r="BB4" s="76">
        <f>IFERROR(IF(AND(up_Irr!C4&lt;&gt;".",up_Irr!AA4&lt;&gt;".",up_Irr!AY4&lt;&gt;"."),up_dir!AC4/((1/1000)*(up_Irr!C4+up_Irr!AA4+up_Irr!AY4)),IF(AND(up_Irr!C4&lt;&gt;".",up_Irr!AA4&lt;&gt;".",up_Irr!AY4="."),up_dir!AC4/((1/1000)*(up_Irr!C4+up_Irr!AA4)),IF(AND(up_Irr!C4&lt;&gt;".",up_Irr!AA4=".",up_Irr!AY4&lt;&gt;"."),up_dir!AC4/((1/1000)*(up_Irr!C4+up_Irr!AY4)),IF(AND(up_Irr!C4=".",up_Irr!AA4&lt;&gt;".",up_Irr!AY4&lt;&gt;"."),up_dir!AC4/((1/1000)*(up_Irr!AA4+up_Irr!AY4)),IF(AND(up_Irr!C4=".",up_Irr!AA4=".",up_Irr!AY4&lt;&gt;"."),up_dir!AC4/((1/1000)*(up_Irr!AY4)),IF(AND(up_Irr!C4=".",up_Irr!AA4&lt;&gt;".",up_Irr!AY4="."),up_dir!AC4/((1/1000)*(up_Irr!AA4)),IF(AND(up_Irr!C4&lt;&gt;".",up_Irr!AA4=".",up_Irr!AY4="."),up_dir!AC4/((1/1000)*(up_Irr!C4)),IF(AND(up_Irr!C4=".",up_Irr!AA4=".",up_Irr!AY4="."),up_dir!AC4*1000)))))))),".")</f>
        <v>7.2351016258567334E-11</v>
      </c>
      <c r="BC4" s="76">
        <f>IFERROR(IF(AND(up_Irr!D4&lt;&gt;".",up_Irr!AB4&lt;&gt;".",up_Irr!AZ4&lt;&gt;"."),up_dir!AD4/((1/1000)*(up_Irr!D4+up_Irr!AB4+up_Irr!AZ4)),IF(AND(up_Irr!D4&lt;&gt;".",up_Irr!AB4&lt;&gt;".",up_Irr!AZ4="."),up_dir!AD4/((1/1000)*(up_Irr!D4+up_Irr!AB4)),IF(AND(up_Irr!D4&lt;&gt;".",up_Irr!AB4=".",up_Irr!AZ4&lt;&gt;"."),up_dir!AD4/((1/1000)*(up_Irr!D4+up_Irr!AZ4)),IF(AND(up_Irr!D4=".",up_Irr!AB4&lt;&gt;".",up_Irr!AZ4&lt;&gt;"."),up_dir!AD4/((1/1000)*(up_Irr!AB4+up_Irr!AZ4)),IF(AND(up_Irr!D4=".",up_Irr!AB4=".",up_Irr!AZ4&lt;&gt;"."),up_dir!AD4/((1/1000)*(up_Irr!AZ4)),IF(AND(up_Irr!D4=".",up_Irr!AB4&lt;&gt;".",up_Irr!AZ4="."),up_dir!AD4/((1/1000)*(up_Irr!AB4)),IF(AND(up_Irr!D4&lt;&gt;".",up_Irr!AB4=".",up_Irr!AZ4="."),up_dir!AD4/((1/1000)*(up_Irr!D4)),IF(AND(up_Irr!D4=".",up_Irr!AB4=".",up_Irr!AZ4="."),up_dir!AD4*1000)))))))),".")</f>
        <v>7.2351016258567334E-11</v>
      </c>
      <c r="BD4" s="76">
        <f>IFERROR(IF(AND(up_Irr!E4&lt;&gt;".",up_Irr!AC4&lt;&gt;".",up_Irr!BA4&lt;&gt;"."),up_dir!AE4/((1/1000)*(up_Irr!E4+up_Irr!AC4+up_Irr!BA4)),IF(AND(up_Irr!E4&lt;&gt;".",up_Irr!AC4&lt;&gt;".",up_Irr!BA4="."),up_dir!AE4/((1/1000)*(up_Irr!E4+up_Irr!AC4)),IF(AND(up_Irr!E4&lt;&gt;".",up_Irr!AC4=".",up_Irr!BA4&lt;&gt;"."),up_dir!AE4/((1/1000)*(up_Irr!E4+up_Irr!BA4)),IF(AND(up_Irr!E4=".",up_Irr!AC4&lt;&gt;".",up_Irr!BA4&lt;&gt;"."),up_dir!AE4/((1/1000)*(up_Irr!AC4+up_Irr!BA4)),IF(AND(up_Irr!E4=".",up_Irr!AC4=".",up_Irr!BA4&lt;&gt;"."),up_dir!AE4/((1/1000)*(up_Irr!BA4)),IF(AND(up_Irr!E4=".",up_Irr!AC4&lt;&gt;".",up_Irr!BA4="."),up_dir!AE4/((1/1000)*(up_Irr!AC4)),IF(AND(up_Irr!E4&lt;&gt;".",up_Irr!AC4=".",up_Irr!BA4="."),up_dir!AE4/((1/1000)*(up_Irr!E4)),IF(AND(up_Irr!E4=".",up_Irr!AC4=".",up_Irr!BA4="."),up_dir!AE4*1000)))))))),".")</f>
        <v>7.2351016258567334E-11</v>
      </c>
      <c r="BE4" s="76">
        <f>IFERROR(IF(AND(up_Irr!F4&lt;&gt;".",up_Irr!AD4&lt;&gt;".",up_Irr!BB4&lt;&gt;"."),up_dir!AF4/((1/1000)*(up_Irr!F4+up_Irr!AD4+up_Irr!BB4)),IF(AND(up_Irr!F4&lt;&gt;".",up_Irr!AD4&lt;&gt;".",up_Irr!BB4="."),up_dir!AF4/((1/1000)*(up_Irr!F4+up_Irr!AD4)),IF(AND(up_Irr!F4&lt;&gt;".",up_Irr!AD4=".",up_Irr!BB4&lt;&gt;"."),up_dir!AF4/((1/1000)*(up_Irr!F4+up_Irr!BB4)),IF(AND(up_Irr!F4=".",up_Irr!AD4&lt;&gt;".",up_Irr!BB4&lt;&gt;"."),up_dir!AF4/((1/1000)*(up_Irr!AD4+up_Irr!BB4)),IF(AND(up_Irr!F4=".",up_Irr!AD4=".",up_Irr!BB4&lt;&gt;"."),up_dir!AF4/((1/1000)*(up_Irr!BB4)),IF(AND(up_Irr!F4=".",up_Irr!AD4&lt;&gt;".",up_Irr!BB4="."),up_dir!AF4/((1/1000)*(up_Irr!AD4)),IF(AND(up_Irr!F4&lt;&gt;".",up_Irr!AD4=".",up_Irr!BB4="."),up_dir!AF4/((1/1000)*(up_Irr!F4)),IF(AND(up_Irr!F4=".",up_Irr!AD4=".",up_Irr!BB4="."),up_dir!AF4*1000)))))))),".")</f>
        <v>7.2351016258567334E-11</v>
      </c>
      <c r="BF4" s="76">
        <f>IFERROR(IF(AND(up_Irr!G4&lt;&gt;".",up_Irr!AE4&lt;&gt;".",up_Irr!BC4&lt;&gt;"."),up_dir!AG4/((1/1000)*(up_Irr!G4+up_Irr!AE4+up_Irr!BC4)),IF(AND(up_Irr!G4&lt;&gt;".",up_Irr!AE4&lt;&gt;".",up_Irr!BC4="."),up_dir!AG4/((1/1000)*(up_Irr!G4+up_Irr!AE4)),IF(AND(up_Irr!G4&lt;&gt;".",up_Irr!AE4=".",up_Irr!BC4&lt;&gt;"."),up_dir!AG4/((1/1000)*(up_Irr!G4+up_Irr!BC4)),IF(AND(up_Irr!G4=".",up_Irr!AE4&lt;&gt;".",up_Irr!BC4&lt;&gt;"."),up_dir!AG4/((1/1000)*(up_Irr!AE4+up_Irr!BC4)),IF(AND(up_Irr!G4=".",up_Irr!AE4=".",up_Irr!BC4&lt;&gt;"."),up_dir!AG4/((1/1000)*(up_Irr!BC4)),IF(AND(up_Irr!G4=".",up_Irr!AE4&lt;&gt;".",up_Irr!BC4="."),up_dir!AG4/((1/1000)*(up_Irr!AE4)),IF(AND(up_Irr!G4&lt;&gt;".",up_Irr!AE4=".",up_Irr!BC4="."),up_dir!AG4/((1/1000)*(up_Irr!G4)),IF(AND(up_Irr!G4=".",up_Irr!AE4=".",up_Irr!BC4="."),up_dir!AG4*1000)))))))),".")</f>
        <v>7.2351016258567334E-11</v>
      </c>
      <c r="BG4" s="76">
        <f>IFERROR(IF(AND(up_Irr!H4&lt;&gt;".",up_Irr!AF4&lt;&gt;".",up_Irr!BD4&lt;&gt;"."),up_dir!AH4/((1/1000)*(up_Irr!H4+up_Irr!AF4+up_Irr!BD4)),IF(AND(up_Irr!H4&lt;&gt;".",up_Irr!AF4&lt;&gt;".",up_Irr!BD4="."),up_dir!AH4/((1/1000)*(up_Irr!H4+up_Irr!AF4)),IF(AND(up_Irr!H4&lt;&gt;".",up_Irr!AF4=".",up_Irr!BD4&lt;&gt;"."),up_dir!AH4/((1/1000)*(up_Irr!H4+up_Irr!BD4)),IF(AND(up_Irr!H4=".",up_Irr!AF4&lt;&gt;".",up_Irr!BD4&lt;&gt;"."),up_dir!AH4/((1/1000)*(up_Irr!AF4+up_Irr!BD4)),IF(AND(up_Irr!H4=".",up_Irr!AF4=".",up_Irr!BD4&lt;&gt;"."),up_dir!AH4/((1/1000)*(up_Irr!BD4)),IF(AND(up_Irr!H4=".",up_Irr!AF4&lt;&gt;".",up_Irr!BD4="."),up_dir!AH4/((1/1000)*(up_Irr!AF4)),IF(AND(up_Irr!H4&lt;&gt;".",up_Irr!AF4=".",up_Irr!BD4="."),up_dir!AH4/((1/1000)*(up_Irr!H4)),IF(AND(up_Irr!H4=".",up_Irr!AF4=".",up_Irr!BD4="."),up_dir!AH4*1000)))))))),".")</f>
        <v>7.2351016258567334E-11</v>
      </c>
      <c r="BH4" s="76">
        <f>IFERROR(IF(AND(up_Irr!I4&lt;&gt;".",up_Irr!AG4&lt;&gt;".",up_Irr!BE4&lt;&gt;"."),up_dir!AI4/((1/1000)*(up_Irr!I4+up_Irr!AG4+up_Irr!BE4)),IF(AND(up_Irr!I4&lt;&gt;".",up_Irr!AG4&lt;&gt;".",up_Irr!BE4="."),up_dir!AI4/((1/1000)*(up_Irr!I4+up_Irr!AG4)),IF(AND(up_Irr!I4&lt;&gt;".",up_Irr!AG4=".",up_Irr!BE4&lt;&gt;"."),up_dir!AI4/((1/1000)*(up_Irr!I4+up_Irr!BE4)),IF(AND(up_Irr!I4=".",up_Irr!AG4&lt;&gt;".",up_Irr!BE4&lt;&gt;"."),up_dir!AI4/((1/1000)*(up_Irr!AG4+up_Irr!BE4)),IF(AND(up_Irr!I4=".",up_Irr!AG4=".",up_Irr!BE4&lt;&gt;"."),up_dir!AI4/((1/1000)*(up_Irr!BE4)),IF(AND(up_Irr!I4=".",up_Irr!AG4&lt;&gt;".",up_Irr!BE4="."),up_dir!AI4/((1/1000)*(up_Irr!AG4)),IF(AND(up_Irr!I4&lt;&gt;".",up_Irr!AG4=".",up_Irr!BE4="."),up_dir!AI4/((1/1000)*(up_Irr!I4)),IF(AND(up_Irr!I4=".",up_Irr!AG4=".",up_Irr!BE4="."),up_dir!AI4*1000)))))))),".")</f>
        <v>7.2351016258567334E-11</v>
      </c>
      <c r="BI4" s="76">
        <f>IFERROR(IF(AND(up_Irr!J4&lt;&gt;".",up_Irr!AH4&lt;&gt;".",up_Irr!BF4&lt;&gt;"."),up_dir!AJ4/((1/1000)*(up_Irr!J4+up_Irr!AH4+up_Irr!BF4)),IF(AND(up_Irr!J4&lt;&gt;".",up_Irr!AH4&lt;&gt;".",up_Irr!BF4="."),up_dir!AJ4/((1/1000)*(up_Irr!J4+up_Irr!AH4)),IF(AND(up_Irr!J4&lt;&gt;".",up_Irr!AH4=".",up_Irr!BF4&lt;&gt;"."),up_dir!AJ4/((1/1000)*(up_Irr!J4+up_Irr!BF4)),IF(AND(up_Irr!J4=".",up_Irr!AH4&lt;&gt;".",up_Irr!BF4&lt;&gt;"."),up_dir!AJ4/((1/1000)*(up_Irr!AH4+up_Irr!BF4)),IF(AND(up_Irr!J4=".",up_Irr!AH4=".",up_Irr!BF4&lt;&gt;"."),up_dir!AJ4/((1/1000)*(up_Irr!BF4)),IF(AND(up_Irr!J4=".",up_Irr!AH4&lt;&gt;".",up_Irr!BF4="."),up_dir!AJ4/((1/1000)*(up_Irr!AH4)),IF(AND(up_Irr!J4&lt;&gt;".",up_Irr!AH4=".",up_Irr!BF4="."),up_dir!AJ4/((1/1000)*(up_Irr!J4)),IF(AND(up_Irr!J4=".",up_Irr!AH4=".",up_Irr!BF4="."),up_dir!AJ4*1000)))))))),".")</f>
        <v>7.2351016258567334E-11</v>
      </c>
      <c r="BJ4" s="76">
        <f>IFERROR(IF(AND(up_Irr!K4&lt;&gt;".",up_Irr!AI4&lt;&gt;".",up_Irr!BG4&lt;&gt;"."),up_dir!AK4/((1/1000)*(up_Irr!K4+up_Irr!AI4+up_Irr!BG4)),IF(AND(up_Irr!K4&lt;&gt;".",up_Irr!AI4&lt;&gt;".",up_Irr!BG4="."),up_dir!AK4/((1/1000)*(up_Irr!K4+up_Irr!AI4)),IF(AND(up_Irr!K4&lt;&gt;".",up_Irr!AI4=".",up_Irr!BG4&lt;&gt;"."),up_dir!AK4/((1/1000)*(up_Irr!K4+up_Irr!BG4)),IF(AND(up_Irr!K4=".",up_Irr!AI4&lt;&gt;".",up_Irr!BG4&lt;&gt;"."),up_dir!AK4/((1/1000)*(up_Irr!AI4+up_Irr!BG4)),IF(AND(up_Irr!K4=".",up_Irr!AI4=".",up_Irr!BG4&lt;&gt;"."),up_dir!AK4/((1/1000)*(up_Irr!BG4)),IF(AND(up_Irr!K4=".",up_Irr!AI4&lt;&gt;".",up_Irr!BG4="."),up_dir!AK4/((1/1000)*(up_Irr!AI4)),IF(AND(up_Irr!K4&lt;&gt;".",up_Irr!AI4=".",up_Irr!BG4="."),up_dir!AK4/((1/1000)*(up_Irr!K4)),IF(AND(up_Irr!K4=".",up_Irr!AI4=".",up_Irr!BG4="."),up_dir!AK4*1000)))))))),".")</f>
        <v>7.2351016258567334E-11</v>
      </c>
      <c r="BK4" s="76">
        <f>IFERROR(IF(AND(up_Irr!L4&lt;&gt;".",up_Irr!AJ4&lt;&gt;".",up_Irr!BH4&lt;&gt;"."),up_dir!AL4/((1/1000)*(up_Irr!L4+up_Irr!AJ4+up_Irr!BH4)),IF(AND(up_Irr!L4&lt;&gt;".",up_Irr!AJ4&lt;&gt;".",up_Irr!BH4="."),up_dir!AL4/((1/1000)*(up_Irr!L4+up_Irr!AJ4)),IF(AND(up_Irr!L4&lt;&gt;".",up_Irr!AJ4=".",up_Irr!BH4&lt;&gt;"."),up_dir!AL4/((1/1000)*(up_Irr!L4+up_Irr!BH4)),IF(AND(up_Irr!L4=".",up_Irr!AJ4&lt;&gt;".",up_Irr!BH4&lt;&gt;"."),up_dir!AL4/((1/1000)*(up_Irr!AJ4+up_Irr!BH4)),IF(AND(up_Irr!L4=".",up_Irr!AJ4=".",up_Irr!BH4&lt;&gt;"."),up_dir!AL4/((1/1000)*(up_Irr!BH4)),IF(AND(up_Irr!L4=".",up_Irr!AJ4&lt;&gt;".",up_Irr!BH4="."),up_dir!AL4/((1/1000)*(up_Irr!AJ4)),IF(AND(up_Irr!L4&lt;&gt;".",up_Irr!AJ4=".",up_Irr!BH4="."),up_dir!AL4/((1/1000)*(up_Irr!L4)),IF(AND(up_Irr!L4=".",up_Irr!AJ4=".",up_Irr!BH4="."),up_dir!AL4*1000)))))))),".")</f>
        <v>7.2351016258567334E-11</v>
      </c>
      <c r="BL4" s="76">
        <f>IFERROR(IF(AND(up_Irr!M4&lt;&gt;".",up_Irr!AK4&lt;&gt;".",up_Irr!BI4&lt;&gt;"."),up_dir!AM4/((1/1000)*(up_Irr!M4+up_Irr!AK4+up_Irr!BI4)),IF(AND(up_Irr!M4&lt;&gt;".",up_Irr!AK4&lt;&gt;".",up_Irr!BI4="."),up_dir!AM4/((1/1000)*(up_Irr!M4+up_Irr!AK4)),IF(AND(up_Irr!M4&lt;&gt;".",up_Irr!AK4=".",up_Irr!BI4&lt;&gt;"."),up_dir!AM4/((1/1000)*(up_Irr!M4+up_Irr!BI4)),IF(AND(up_Irr!M4=".",up_Irr!AK4&lt;&gt;".",up_Irr!BI4&lt;&gt;"."),up_dir!AM4/((1/1000)*(up_Irr!AK4+up_Irr!BI4)),IF(AND(up_Irr!M4=".",up_Irr!AK4=".",up_Irr!BI4&lt;&gt;"."),up_dir!AM4/((1/1000)*(up_Irr!BI4)),IF(AND(up_Irr!M4=".",up_Irr!AK4&lt;&gt;".",up_Irr!BI4="."),up_dir!AM4/((1/1000)*(up_Irr!AK4)),IF(AND(up_Irr!M4&lt;&gt;".",up_Irr!AK4=".",up_Irr!BI4="."),up_dir!AM4/((1/1000)*(up_Irr!M4)),IF(AND(up_Irr!M4=".",up_Irr!AK4=".",up_Irr!BI4="."),up_dir!AM4*1000)))))))),".")</f>
        <v>7.2351016258567334E-11</v>
      </c>
      <c r="BM4" s="76">
        <f>IFERROR(IF(AND(up_Irr!N4&lt;&gt;".",up_Irr!AL4&lt;&gt;".",up_Irr!BJ4&lt;&gt;"."),up_dir!AN4/((1/1000)*(up_Irr!N4+up_Irr!AL4+up_Irr!BJ4)),IF(AND(up_Irr!N4&lt;&gt;".",up_Irr!AL4&lt;&gt;".",up_Irr!BJ4="."),up_dir!AN4/((1/1000)*(up_Irr!N4+up_Irr!AL4)),IF(AND(up_Irr!N4&lt;&gt;".",up_Irr!AL4=".",up_Irr!BJ4&lt;&gt;"."),up_dir!AN4/((1/1000)*(up_Irr!N4+up_Irr!BJ4)),IF(AND(up_Irr!N4=".",up_Irr!AL4&lt;&gt;".",up_Irr!BJ4&lt;&gt;"."),up_dir!AN4/((1/1000)*(up_Irr!AL4+up_Irr!BJ4)),IF(AND(up_Irr!N4=".",up_Irr!AL4=".",up_Irr!BJ4&lt;&gt;"."),up_dir!AN4/((1/1000)*(up_Irr!BJ4)),IF(AND(up_Irr!N4=".",up_Irr!AL4&lt;&gt;".",up_Irr!BJ4="."),up_dir!AN4/((1/1000)*(up_Irr!AL4)),IF(AND(up_Irr!N4&lt;&gt;".",up_Irr!AL4=".",up_Irr!BJ4="."),up_dir!AN4/((1/1000)*(up_Irr!N4)),IF(AND(up_Irr!N4=".",up_Irr!AL4=".",up_Irr!BJ4="."),up_dir!AN4*1000)))))))),".")</f>
        <v>7.2351016258567334E-11</v>
      </c>
      <c r="BN4" s="76">
        <f>IFERROR(IF(AND(up_Irr!O4&lt;&gt;".",up_Irr!AM4&lt;&gt;".",up_Irr!BK4&lt;&gt;"."),up_dir!AO4/((1/1000)*(up_Irr!O4+up_Irr!AM4+up_Irr!BK4)),IF(AND(up_Irr!O4&lt;&gt;".",up_Irr!AM4&lt;&gt;".",up_Irr!BK4="."),up_dir!AO4/((1/1000)*(up_Irr!O4+up_Irr!AM4)),IF(AND(up_Irr!O4&lt;&gt;".",up_Irr!AM4=".",up_Irr!BK4&lt;&gt;"."),up_dir!AO4/((1/1000)*(up_Irr!O4+up_Irr!BK4)),IF(AND(up_Irr!O4=".",up_Irr!AM4&lt;&gt;".",up_Irr!BK4&lt;&gt;"."),up_dir!AO4/((1/1000)*(up_Irr!AM4+up_Irr!BK4)),IF(AND(up_Irr!O4=".",up_Irr!AM4=".",up_Irr!BK4&lt;&gt;"."),up_dir!AO4/((1/1000)*(up_Irr!BK4)),IF(AND(up_Irr!O4=".",up_Irr!AM4&lt;&gt;".",up_Irr!BK4="."),up_dir!AO4/((1/1000)*(up_Irr!AM4)),IF(AND(up_Irr!O4&lt;&gt;".",up_Irr!AM4=".",up_Irr!BK4="."),up_dir!AO4/((1/1000)*(up_Irr!O4)),IF(AND(up_Irr!O4=".",up_Irr!AM4=".",up_Irr!BK4="."),up_dir!AO4*1000)))))))),".")</f>
        <v>7.2351016258567334E-11</v>
      </c>
      <c r="BO4" s="76">
        <f>IFERROR(IF(AND(up_Irr!P4&lt;&gt;".",up_Irr!AN4&lt;&gt;".",up_Irr!BL4&lt;&gt;"."),up_dir!AP4/((1/1000)*(up_Irr!P4+up_Irr!AN4+up_Irr!BL4)),IF(AND(up_Irr!P4&lt;&gt;".",up_Irr!AN4&lt;&gt;".",up_Irr!BL4="."),up_dir!AP4/((1/1000)*(up_Irr!P4+up_Irr!AN4)),IF(AND(up_Irr!P4&lt;&gt;".",up_Irr!AN4=".",up_Irr!BL4&lt;&gt;"."),up_dir!AP4/((1/1000)*(up_Irr!P4+up_Irr!BL4)),IF(AND(up_Irr!P4=".",up_Irr!AN4&lt;&gt;".",up_Irr!BL4&lt;&gt;"."),up_dir!AP4/((1/1000)*(up_Irr!AN4+up_Irr!BL4)),IF(AND(up_Irr!P4=".",up_Irr!AN4=".",up_Irr!BL4&lt;&gt;"."),up_dir!AP4/((1/1000)*(up_Irr!BL4)),IF(AND(up_Irr!P4=".",up_Irr!AN4&lt;&gt;".",up_Irr!BL4="."),up_dir!AP4/((1/1000)*(up_Irr!AN4)),IF(AND(up_Irr!P4&lt;&gt;".",up_Irr!AN4=".",up_Irr!BL4="."),up_dir!AP4/((1/1000)*(up_Irr!P4)),IF(AND(up_Irr!P4=".",up_Irr!AN4=".",up_Irr!BL4="."),up_dir!AP4*1000)))))))),".")</f>
        <v>7.2351016258567334E-11</v>
      </c>
      <c r="BP4" s="76">
        <f>IFERROR(IF(AND(up_Irr!Q4&lt;&gt;".",up_Irr!AO4&lt;&gt;".",up_Irr!BM4&lt;&gt;"."),up_dir!AQ4/((1/1000)*(up_Irr!Q4+up_Irr!AO4+up_Irr!BM4)),IF(AND(up_Irr!Q4&lt;&gt;".",up_Irr!AO4&lt;&gt;".",up_Irr!BM4="."),up_dir!AQ4/((1/1000)*(up_Irr!Q4+up_Irr!AO4)),IF(AND(up_Irr!Q4&lt;&gt;".",up_Irr!AO4=".",up_Irr!BM4&lt;&gt;"."),up_dir!AQ4/((1/1000)*(up_Irr!Q4+up_Irr!BM4)),IF(AND(up_Irr!Q4=".",up_Irr!AO4&lt;&gt;".",up_Irr!BM4&lt;&gt;"."),up_dir!AQ4/((1/1000)*(up_Irr!AO4+up_Irr!BM4)),IF(AND(up_Irr!Q4=".",up_Irr!AO4=".",up_Irr!BM4&lt;&gt;"."),up_dir!AQ4/((1/1000)*(up_Irr!BM4)),IF(AND(up_Irr!Q4=".",up_Irr!AO4&lt;&gt;".",up_Irr!BM4="."),up_dir!AQ4/((1/1000)*(up_Irr!AO4)),IF(AND(up_Irr!Q4&lt;&gt;".",up_Irr!AO4=".",up_Irr!BM4="."),up_dir!AQ4/((1/1000)*(up_Irr!Q4)),IF(AND(up_Irr!Q4=".",up_Irr!AO4=".",up_Irr!BM4="."),up_dir!AQ4*1000)))))))),".")</f>
        <v>7.2351016258567334E-11</v>
      </c>
      <c r="BQ4" s="76">
        <f>IFERROR(IF(AND(up_Irr!R4&lt;&gt;".",up_Irr!AP4&lt;&gt;".",up_Irr!BN4&lt;&gt;"."),up_dir!AR4/((1/1000)*(up_Irr!R4+up_Irr!AP4+up_Irr!BN4)),IF(AND(up_Irr!R4&lt;&gt;".",up_Irr!AP4&lt;&gt;".",up_Irr!BN4="."),up_dir!AR4/((1/1000)*(up_Irr!R4+up_Irr!AP4)),IF(AND(up_Irr!R4&lt;&gt;".",up_Irr!AP4=".",up_Irr!BN4&lt;&gt;"."),up_dir!AR4/((1/1000)*(up_Irr!R4+up_Irr!BN4)),IF(AND(up_Irr!R4=".",up_Irr!AP4&lt;&gt;".",up_Irr!BN4&lt;&gt;"."),up_dir!AR4/((1/1000)*(up_Irr!AP4+up_Irr!BN4)),IF(AND(up_Irr!R4=".",up_Irr!AP4=".",up_Irr!BN4&lt;&gt;"."),up_dir!AR4/((1/1000)*(up_Irr!BN4)),IF(AND(up_Irr!R4=".",up_Irr!AP4&lt;&gt;".",up_Irr!BN4="."),up_dir!AR4/((1/1000)*(up_Irr!AP4)),IF(AND(up_Irr!R4&lt;&gt;".",up_Irr!AP4=".",up_Irr!BN4="."),up_dir!AR4/((1/1000)*(up_Irr!R4)),IF(AND(up_Irr!R4=".",up_Irr!AP4=".",up_Irr!BN4="."),up_dir!AR4*1000)))))))),".")</f>
        <v>7.2351016258567334E-11</v>
      </c>
      <c r="BR4" s="76">
        <f>IFERROR(IF(AND(up_Irr!S4&lt;&gt;".",up_Irr!AQ4&lt;&gt;".",up_Irr!BO4&lt;&gt;"."),up_dir!AS4/((1/1000)*(up_Irr!S4+up_Irr!AQ4+up_Irr!BO4)),IF(AND(up_Irr!S4&lt;&gt;".",up_Irr!AQ4&lt;&gt;".",up_Irr!BO4="."),up_dir!AS4/((1/1000)*(up_Irr!S4+up_Irr!AQ4)),IF(AND(up_Irr!S4&lt;&gt;".",up_Irr!AQ4=".",up_Irr!BO4&lt;&gt;"."),up_dir!AS4/((1/1000)*(up_Irr!S4+up_Irr!BO4)),IF(AND(up_Irr!S4=".",up_Irr!AQ4&lt;&gt;".",up_Irr!BO4&lt;&gt;"."),up_dir!AS4/((1/1000)*(up_Irr!AQ4+up_Irr!BO4)),IF(AND(up_Irr!S4=".",up_Irr!AQ4=".",up_Irr!BO4&lt;&gt;"."),up_dir!AS4/((1/1000)*(up_Irr!BO4)),IF(AND(up_Irr!S4=".",up_Irr!AQ4&lt;&gt;".",up_Irr!BO4="."),up_dir!AS4/((1/1000)*(up_Irr!AQ4)),IF(AND(up_Irr!S4&lt;&gt;".",up_Irr!AQ4=".",up_Irr!BO4="."),up_dir!AS4/((1/1000)*(up_Irr!S4)),IF(AND(up_Irr!S4=".",up_Irr!AQ4=".",up_Irr!BO4="."),up_dir!AS4*1000)))))))),".")</f>
        <v>7.2351016258567334E-11</v>
      </c>
      <c r="BS4" s="76">
        <f>IFERROR(IF(AND(up_Irr!T4&lt;&gt;".",up_Irr!AR4&lt;&gt;".",up_Irr!BP4&lt;&gt;"."),up_dir!AT4/((1/1000)*(up_Irr!T4+up_Irr!AR4+up_Irr!BP4)),IF(AND(up_Irr!T4&lt;&gt;".",up_Irr!AR4&lt;&gt;".",up_Irr!BP4="."),up_dir!AT4/((1/1000)*(up_Irr!T4+up_Irr!AR4)),IF(AND(up_Irr!T4&lt;&gt;".",up_Irr!AR4=".",up_Irr!BP4&lt;&gt;"."),up_dir!AT4/((1/1000)*(up_Irr!T4+up_Irr!BP4)),IF(AND(up_Irr!T4=".",up_Irr!AR4&lt;&gt;".",up_Irr!BP4&lt;&gt;"."),up_dir!AT4/((1/1000)*(up_Irr!AR4+up_Irr!BP4)),IF(AND(up_Irr!T4=".",up_Irr!AR4=".",up_Irr!BP4&lt;&gt;"."),up_dir!AT4/((1/1000)*(up_Irr!BP4)),IF(AND(up_Irr!T4=".",up_Irr!AR4&lt;&gt;".",up_Irr!BP4="."),up_dir!AT4/((1/1000)*(up_Irr!AR4)),IF(AND(up_Irr!T4&lt;&gt;".",up_Irr!AR4=".",up_Irr!BP4="."),up_dir!AT4/((1/1000)*(up_Irr!T4)),IF(AND(up_Irr!T4=".",up_Irr!AR4=".",up_Irr!BP4="."),up_dir!AT4*1000)))))))),".")</f>
        <v>7.2351016258567334E-11</v>
      </c>
      <c r="BT4" s="76">
        <f>IFERROR(IF(AND(up_Irr!U4&lt;&gt;".",up_Irr!AS4&lt;&gt;".",up_Irr!BQ4&lt;&gt;"."),up_dir!AU4/((1/1000)*(up_Irr!U4+up_Irr!AS4+up_Irr!BQ4)),IF(AND(up_Irr!U4&lt;&gt;".",up_Irr!AS4&lt;&gt;".",up_Irr!BQ4="."),up_dir!AU4/((1/1000)*(up_Irr!U4+up_Irr!AS4)),IF(AND(up_Irr!U4&lt;&gt;".",up_Irr!AS4=".",up_Irr!BQ4&lt;&gt;"."),up_dir!AU4/((1/1000)*(up_Irr!U4+up_Irr!BQ4)),IF(AND(up_Irr!U4=".",up_Irr!AS4&lt;&gt;".",up_Irr!BQ4&lt;&gt;"."),up_dir!AU4/((1/1000)*(up_Irr!AS4+up_Irr!BQ4)),IF(AND(up_Irr!U4=".",up_Irr!AS4=".",up_Irr!BQ4&lt;&gt;"."),up_dir!AU4/((1/1000)*(up_Irr!BQ4)),IF(AND(up_Irr!U4=".",up_Irr!AS4&lt;&gt;".",up_Irr!BQ4="."),up_dir!AU4/((1/1000)*(up_Irr!AS4)),IF(AND(up_Irr!U4&lt;&gt;".",up_Irr!AS4=".",up_Irr!BQ4="."),up_dir!AU4/((1/1000)*(up_Irr!U4)),IF(AND(up_Irr!U4=".",up_Irr!AS4=".",up_Irr!BQ4="."),up_dir!AU4*1000)))))))),".")</f>
        <v>7.2351016258567334E-11</v>
      </c>
      <c r="BU4" s="76">
        <f>IFERROR(IF(AND(up_Irr!V4&lt;&gt;".",up_Irr!AT4&lt;&gt;".",up_Irr!BR4&lt;&gt;"."),up_dir!AV4/((1/1000)*(up_Irr!V4+up_Irr!AT4+up_Irr!BR4)),IF(AND(up_Irr!V4&lt;&gt;".",up_Irr!AT4&lt;&gt;".",up_Irr!BR4="."),up_dir!AV4/((1/1000)*(up_Irr!V4+up_Irr!AT4)),IF(AND(up_Irr!V4&lt;&gt;".",up_Irr!AT4=".",up_Irr!BR4&lt;&gt;"."),up_dir!AV4/((1/1000)*(up_Irr!V4+up_Irr!BR4)),IF(AND(up_Irr!V4=".",up_Irr!AT4&lt;&gt;".",up_Irr!BR4&lt;&gt;"."),up_dir!AV4/((1/1000)*(up_Irr!AT4+up_Irr!BR4)),IF(AND(up_Irr!V4=".",up_Irr!AT4=".",up_Irr!BR4&lt;&gt;"."),up_dir!AV4/((1/1000)*(up_Irr!BR4)),IF(AND(up_Irr!V4=".",up_Irr!AT4&lt;&gt;".",up_Irr!BR4="."),up_dir!AV4/((1/1000)*(up_Irr!AT4)),IF(AND(up_Irr!V4&lt;&gt;".",up_Irr!AT4=".",up_Irr!BR4="."),up_dir!AV4/((1/1000)*(up_Irr!V4)),IF(AND(up_Irr!V4=".",up_Irr!AT4=".",up_Irr!BR4="."),up_dir!AV4*1000)))))))),".")</f>
        <v>7.2351016258567334E-11</v>
      </c>
      <c r="BV4" s="76">
        <f>IFERROR(IF(AND(up_Irr!W4&lt;&gt;".",up_Irr!AU4&lt;&gt;".",up_Irr!BS4&lt;&gt;"."),up_dir!AW4/((1/1000)*(up_Irr!W4+up_Irr!AU4+up_Irr!BS4)),IF(AND(up_Irr!W4&lt;&gt;".",up_Irr!AU4&lt;&gt;".",up_Irr!BS4="."),up_dir!AW4/((1/1000)*(up_Irr!W4+up_Irr!AU4)),IF(AND(up_Irr!W4&lt;&gt;".",up_Irr!AU4=".",up_Irr!BS4&lt;&gt;"."),up_dir!AW4/((1/1000)*(up_Irr!W4+up_Irr!BS4)),IF(AND(up_Irr!W4=".",up_Irr!AU4&lt;&gt;".",up_Irr!BS4&lt;&gt;"."),up_dir!AW4/((1/1000)*(up_Irr!AU4+up_Irr!BS4)),IF(AND(up_Irr!W4=".",up_Irr!AU4=".",up_Irr!BS4&lt;&gt;"."),up_dir!AW4/((1/1000)*(up_Irr!BS4)),IF(AND(up_Irr!W4=".",up_Irr!AU4&lt;&gt;".",up_Irr!BS4="."),up_dir!AW4/((1/1000)*(up_Irr!AU4)),IF(AND(up_Irr!W4&lt;&gt;".",up_Irr!AU4=".",up_Irr!BS4="."),up_dir!AW4/((1/1000)*(up_Irr!W4)),IF(AND(up_Irr!W4=".",up_Irr!AU4=".",up_Irr!BS4="."),up_dir!AW4*1000)))))))),".")</f>
        <v>7.2351016258567334E-11</v>
      </c>
      <c r="BW4" s="76">
        <f>IFERROR(IF(AND(up_Irr!X4&lt;&gt;".",up_Irr!AV4&lt;&gt;".",up_Irr!BT4&lt;&gt;"."),up_dir!AX4/((1/1000)*(up_Irr!X4+up_Irr!AV4+up_Irr!BT4)),IF(AND(up_Irr!X4&lt;&gt;".",up_Irr!AV4&lt;&gt;".",up_Irr!BT4="."),up_dir!AX4/((1/1000)*(up_Irr!X4+up_Irr!AV4)),IF(AND(up_Irr!X4&lt;&gt;".",up_Irr!AV4=".",up_Irr!BT4&lt;&gt;"."),up_dir!AX4/((1/1000)*(up_Irr!X4+up_Irr!BT4)),IF(AND(up_Irr!X4=".",up_Irr!AV4&lt;&gt;".",up_Irr!BT4&lt;&gt;"."),up_dir!AX4/((1/1000)*(up_Irr!AV4+up_Irr!BT4)),IF(AND(up_Irr!X4=".",up_Irr!AV4=".",up_Irr!BT4&lt;&gt;"."),up_dir!AX4/((1/1000)*(up_Irr!BT4)),IF(AND(up_Irr!X4=".",up_Irr!AV4&lt;&gt;".",up_Irr!BT4="."),up_dir!AX4/((1/1000)*(up_Irr!AV4)),IF(AND(up_Irr!X4&lt;&gt;".",up_Irr!AV4=".",up_Irr!BT4="."),up_dir!AX4/((1/1000)*(up_Irr!X4)),IF(AND(up_Irr!X4=".",up_Irr!AV4=".",up_Irr!BT4="."),up_dir!AX4*1000)))))))),".")</f>
        <v>7.2351016258567334E-11</v>
      </c>
      <c r="BX4" s="76">
        <f>IFERROR(IF(AND(up_Irr!Y4&lt;&gt;".",up_Irr!AW4&lt;&gt;".",up_Irr!BU4&lt;&gt;"."),up_dir!AY4/((1/1000)*(up_Irr!Y4+up_Irr!AW4+up_Irr!BU4)),IF(AND(up_Irr!Y4&lt;&gt;".",up_Irr!AW4&lt;&gt;".",up_Irr!BU4="."),up_dir!AY4/((1/1000)*(up_Irr!Y4+up_Irr!AW4)),IF(AND(up_Irr!Y4&lt;&gt;".",up_Irr!AW4=".",up_Irr!BU4&lt;&gt;"."),up_dir!AY4/((1/1000)*(up_Irr!Y4+up_Irr!BU4)),IF(AND(up_Irr!Y4=".",up_Irr!AW4&lt;&gt;".",up_Irr!BU4&lt;&gt;"."),up_dir!AY4/((1/1000)*(up_Irr!AW4+up_Irr!BU4)),IF(AND(up_Irr!Y4=".",up_Irr!AW4=".",up_Irr!BU4&lt;&gt;"."),up_dir!AY4/((1/1000)*(up_Irr!BU4)),IF(AND(up_Irr!Y4=".",up_Irr!AW4&lt;&gt;".",up_Irr!BU4="."),up_dir!AY4/((1/1000)*(up_Irr!AW4)),IF(AND(up_Irr!Y4&lt;&gt;".",up_Irr!AW4=".",up_Irr!BU4="."),up_dir!AY4/((1/1000)*(up_Irr!Y4)),IF(AND(up_Irr!Y4=".",up_Irr!AW4=".",up_Irr!BU4="."),up_dir!AY4*1000)))))))),".")</f>
        <v>7.2351016258567334E-11</v>
      </c>
      <c r="BY4" s="76">
        <f>IFERROR(IF(AND(up_Irr!Z4&lt;&gt;".",up_Irr!AX4&lt;&gt;".",up_Irr!BV4&lt;&gt;"."),up_dir!AZ4/((1/1000)*(up_Irr!Z4+up_Irr!AX4+up_Irr!BV4)),IF(AND(up_Irr!Z4&lt;&gt;".",up_Irr!AX4&lt;&gt;".",up_Irr!BV4="."),up_dir!AZ4/((1/1000)*(up_Irr!Z4+up_Irr!AX4)),IF(AND(up_Irr!Z4&lt;&gt;".",up_Irr!AX4=".",up_Irr!BV4&lt;&gt;"."),up_dir!AZ4/((1/1000)*(up_Irr!Z4+up_Irr!BV4)),IF(AND(up_Irr!Z4=".",up_Irr!AX4&lt;&gt;".",up_Irr!BV4&lt;&gt;"."),up_dir!AZ4/((1/1000)*(up_Irr!AX4+up_Irr!BV4)),IF(AND(up_Irr!Z4=".",up_Irr!AX4=".",up_Irr!BV4&lt;&gt;"."),up_dir!AZ4/((1/1000)*(up_Irr!BV4)),IF(AND(up_Irr!Z4=".",up_Irr!AX4&lt;&gt;".",up_Irr!BV4="."),up_dir!AZ4/((1/1000)*(up_Irr!AX4)),IF(AND(up_Irr!Z4&lt;&gt;".",up_Irr!AX4=".",up_Irr!BV4="."),up_dir!AZ4/((1/1000)*(up_Irr!Z4)),IF(AND(up_Irr!Z4=".",up_Irr!AX4=".",up_Irr!BV4="."),up_dir!AZ4*1000)))))))),".")</f>
        <v>7.2351016258567334E-11</v>
      </c>
      <c r="BZ4" s="93">
        <f t="shared" ref="BZ4:BZ5" si="4">SUM(CA4:CB4,CW4:CX4)</f>
        <v>55286.023705663516</v>
      </c>
      <c r="CA4" s="93">
        <f>IFERROR(s_C*s_IFAP_far_adj*s_CF_apple*(1/1000)*(up_Irr!C4+up_Irr!AA4+up_Irr!AY4),".")</f>
        <v>13821.505926415879</v>
      </c>
      <c r="CB4" s="93">
        <f>IFERROR(s_C*s_IFAS_far_adj*s_CF_asparagus*(1/1000)*(up_Irr!D4+up_Irr!AB4+up_Irr!AZ4),".")</f>
        <v>13821.505926415879</v>
      </c>
      <c r="CC4" s="93">
        <f>IFERROR(s_C*s_IFBT_far_adj*s_CF_beet*(1/1000)*(up_Irr!E4+up_Irr!AC4+up_Irr!BA4),".")</f>
        <v>13821.505926415879</v>
      </c>
      <c r="CD4" s="93">
        <f>IFERROR(s_C*s_IFBE_far_adj*s_CF_berries*(1/1000)*(up_Irr!F4+up_Irr!AD4+up_Irr!BB4),".")</f>
        <v>13821.505926415879</v>
      </c>
      <c r="CE4" s="93">
        <f>IFERROR(s_C*s_IFBR_far_adj*s_CF_broccoli*(1/1000)*(up_Irr!G4+up_Irr!AE4+up_Irr!BC4),".")</f>
        <v>13821.505926415879</v>
      </c>
      <c r="CF4" s="93">
        <f>IFERROR(s_C*s_IFCB_far_adj*s_CF_cabbage*(1/1000)*(up_Irr!H4+up_Irr!AF4+up_Irr!BD4),".")</f>
        <v>13821.505926415879</v>
      </c>
      <c r="CG4" s="93">
        <f>IFERROR(s_C*s_IFCR_far_adj*s_CF_carrot*(1/1000)*(up_Irr!I4+up_Irr!AG4+up_Irr!BE4),".")</f>
        <v>13821.505926415879</v>
      </c>
      <c r="CH4" s="93">
        <f>IFERROR(s_C*s_IFCI_far_adj*s_CF_citrus*(1/1000)*(up_Irr!J4+up_Irr!AH4+up_Irr!BF4),".")</f>
        <v>13821.505926415879</v>
      </c>
      <c r="CI4" s="93">
        <f>IFERROR(s_C*s_IFCO_far_adj*s_CF_corn*(1/1000)*(up_Irr!K4+up_Irr!AI4+up_Irr!BG4),".")</f>
        <v>13821.505926415879</v>
      </c>
      <c r="CJ4" s="93">
        <f>IFERROR(s_C*s_IFCU_far_adj*s_CF_cucumber*(1/1000)*(up_Irr!L4+up_Irr!AJ4+up_Irr!BH4),".")</f>
        <v>13821.505926415879</v>
      </c>
      <c r="CK4" s="93">
        <f>IFERROR(s_C*s_IFLE_far_adj*s_CF_lettuce*(1/1000)*(up_Irr!M4+up_Irr!AK4+up_Irr!BI4),".")</f>
        <v>13821.505926415879</v>
      </c>
      <c r="CL4" s="93">
        <f>IFERROR(s_C*s_IFLI_far_adj*s_CF_lima_bean*(1/1000)*(up_Irr!N4+up_Irr!AL4+up_Irr!BJ4),".")</f>
        <v>13821.505926415879</v>
      </c>
      <c r="CM4" s="93">
        <f>IFERROR(s_C*s_IFOK_far_adj*s_CF_okra*(1/1000)*(up_Irr!O4+up_Irr!AM4+up_Irr!BK4),".")</f>
        <v>13821.505926415879</v>
      </c>
      <c r="CN4" s="93">
        <f>IFERROR(s_C*s_IFON_far_adj*s_CF_onion*(1/1000)*(up_Irr!P4+up_Irr!AN4+up_Irr!BL4),".")</f>
        <v>13821.505926415879</v>
      </c>
      <c r="CO4" s="93">
        <f>IFERROR(s_C*s_IFPC_far_adj*s_CF_peach*(1/1000)*(up_Irr!Q4+up_Irr!AO4+up_Irr!BM4),".")</f>
        <v>13821.505926415879</v>
      </c>
      <c r="CP4" s="93">
        <f>IFERROR(s_C*s_IFPR_far_adj*s_CF_pear*(1/1000)*(up_Irr!R4+up_Irr!AP4+up_Irr!BN4),".")</f>
        <v>13821.505926415879</v>
      </c>
      <c r="CQ4" s="93">
        <f>IFERROR(s_C*s_IFPE_far_adj*s_CF_peas*(1/1000)*(up_Irr!S4+up_Irr!AQ4+up_Irr!BO4),".")</f>
        <v>13821.505926415879</v>
      </c>
      <c r="CR4" s="93">
        <f>IFERROR(s_C*s_IFPT_far_adj*s_CF_potato*(1/1000)*(up_Irr!T4+up_Irr!AR4+up_Irr!BP4),".")</f>
        <v>13821.505926415879</v>
      </c>
      <c r="CS4" s="93">
        <f>IFERROR(s_C*s_IFPU_far_adj*s_CF_pumpkin*(1/1000)*(up_Irr!U4+up_Irr!AS4+up_Irr!BQ4),".")</f>
        <v>13821.505926415879</v>
      </c>
      <c r="CT4" s="93">
        <f>IFERROR(s_C*s_IFSN_far_adj*s_CF_snap_bean*(1/1000)*(up_Irr!V4+up_Irr!AT4+up_Irr!BR4),".")</f>
        <v>13821.505926415879</v>
      </c>
      <c r="CU4" s="93">
        <f>IFERROR(s_C*s_IFST_far_adj*s_CF_strawberry*(1/1000)*(up_Irr!W4+up_Irr!AU4+up_Irr!BS4),".")</f>
        <v>13821.505926415879</v>
      </c>
      <c r="CV4" s="93">
        <f>IFERROR(s_C*s_IFTO_far_adj*s_CF_tomato*(1/1000)*(up_Irr!X4+up_Irr!AV4+up_Irr!BT4),".")</f>
        <v>13821.505926415879</v>
      </c>
      <c r="CW4" s="93">
        <f>IFERROR(s_C*s_IFRI_far_adj*s_CF_rice*(1/1000)*(up_Irr!Y4+up_Irr!AW4+up_Irr!BU4),".")</f>
        <v>13821.505926415879</v>
      </c>
      <c r="CX4" s="93">
        <f>IFERROR(s_C*s_IFCG_far_adj*s_CF_cereal*(1/1000)*(up_Irr!Z4+up_Irr!AX4+up_Irr!BV4),".")</f>
        <v>13821.505926415879</v>
      </c>
    </row>
    <row r="5" spans="1:102" ht="15" customHeight="1" x14ac:dyDescent="0.25">
      <c r="A5" s="92" t="s">
        <v>15</v>
      </c>
      <c r="B5" s="90" t="s">
        <v>1074</v>
      </c>
      <c r="C5" s="76">
        <f t="shared" si="0"/>
        <v>1.8087754064641833E-11</v>
      </c>
      <c r="D5" s="76">
        <f>IFERROR(IF(AND(up_Irr!C5&lt;&gt;".",up_Irr!AA5&lt;&gt;".",up_Irr!AY5&lt;&gt;"."),up_dir!D5/((1/1000)*(up_Irr!C5+up_Irr!AA5+up_Irr!AY5)),IF(AND(up_Irr!C5&lt;&gt;".",up_Irr!AA5&lt;&gt;".",up_Irr!AY5="."),up_dir!D5/((1/1000)*(up_Irr!C5+up_Irr!AA5)),IF(AND(up_Irr!C5&lt;&gt;".",up_Irr!AA5=".",up_Irr!AY5&lt;&gt;"."),up_dir!D5/((1/1000)*(up_Irr!C5+up_Irr!AY5)),IF(AND(up_Irr!C5=".",up_Irr!AA5&lt;&gt;".",up_Irr!AY5&lt;&gt;"."),up_dir!D5/((1/1000)*(up_Irr!AA5+up_Irr!AY5)),IF(AND(up_Irr!C5=".",up_Irr!AA5=".",up_Irr!AY5&lt;&gt;"."),up_dir!D5/((1/1000)*(up_Irr!AY5)),IF(AND(up_Irr!C5=".",up_Irr!AA5&lt;&gt;".",up_Irr!AY5="."),up_dir!D5/((1/1000)*(up_Irr!AA5)),IF(AND(up_Irr!C5&lt;&gt;".",up_Irr!AA5=".",up_Irr!AY5="."),up_dir!D5/((1/1000)*(up_Irr!C5)),IF(AND(up_Irr!C5=".",up_Irr!AA5=".",up_Irr!AY5="."),up_dir!D5*1000)))))))),".")</f>
        <v>7.2351016258567334E-11</v>
      </c>
      <c r="E5" s="76">
        <f>IFERROR(IF(AND(up_Irr!D5&lt;&gt;".",up_Irr!AB5&lt;&gt;".",up_Irr!AZ5&lt;&gt;"."),up_dir!E5/((1/1000)*(up_Irr!D5+up_Irr!AB5+up_Irr!AZ5)),IF(AND(up_Irr!D5&lt;&gt;".",up_Irr!AB5&lt;&gt;".",up_Irr!AZ5="."),up_dir!E5/((1/1000)*(up_Irr!D5+up_Irr!AB5)),IF(AND(up_Irr!D5&lt;&gt;".",up_Irr!AB5=".",up_Irr!AZ5&lt;&gt;"."),up_dir!E5/((1/1000)*(up_Irr!D5+up_Irr!AZ5)),IF(AND(up_Irr!D5=".",up_Irr!AB5&lt;&gt;".",up_Irr!AZ5&lt;&gt;"."),up_dir!E5/((1/1000)*(up_Irr!AB5+up_Irr!AZ5)),IF(AND(up_Irr!D5=".",up_Irr!AB5=".",up_Irr!AZ5&lt;&gt;"."),up_dir!E5/((1/1000)*(up_Irr!AZ5)),IF(AND(up_Irr!D5=".",up_Irr!AB5&lt;&gt;".",up_Irr!AZ5="."),up_dir!E5/((1/1000)*(up_Irr!AB5)),IF(AND(up_Irr!D5&lt;&gt;".",up_Irr!AB5=".",up_Irr!AZ5="."),up_dir!E5/((1/1000)*(up_Irr!D5)),IF(AND(up_Irr!D5=".",up_Irr!AB5=".",up_Irr!AZ5="."),up_dir!E5*1000)))))))),".")</f>
        <v>7.2351016258567334E-11</v>
      </c>
      <c r="F5" s="76">
        <f>IFERROR(IF(AND(up_Irr!E5&lt;&gt;".",up_Irr!AC5&lt;&gt;".",up_Irr!BA5&lt;&gt;"."),up_dir!F5/((1/1000)*(up_Irr!E5+up_Irr!AC5+up_Irr!BA5)),IF(AND(up_Irr!E5&lt;&gt;".",up_Irr!AC5&lt;&gt;".",up_Irr!BA5="."),up_dir!F5/((1/1000)*(up_Irr!E5+up_Irr!AC5)),IF(AND(up_Irr!E5&lt;&gt;".",up_Irr!AC5=".",up_Irr!BA5&lt;&gt;"."),up_dir!F5/((1/1000)*(up_Irr!E5+up_Irr!BA5)),IF(AND(up_Irr!E5=".",up_Irr!AC5&lt;&gt;".",up_Irr!BA5&lt;&gt;"."),up_dir!F5/((1/1000)*(up_Irr!AC5+up_Irr!BA5)),IF(AND(up_Irr!E5=".",up_Irr!AC5=".",up_Irr!BA5&lt;&gt;"."),up_dir!F5/((1/1000)*(up_Irr!BA5)),IF(AND(up_Irr!E5=".",up_Irr!AC5&lt;&gt;".",up_Irr!BA5="."),up_dir!F5/((1/1000)*(up_Irr!AC5)),IF(AND(up_Irr!E5&lt;&gt;".",up_Irr!AC5=".",up_Irr!BA5="."),up_dir!F5/((1/1000)*(up_Irr!E5)),IF(AND(up_Irr!E5=".",up_Irr!AC5=".",up_Irr!BA5="."),up_dir!F5*1000)))))))),".")</f>
        <v>7.2351016258567334E-11</v>
      </c>
      <c r="G5" s="76">
        <f>IFERROR(IF(AND(up_Irr!F5&lt;&gt;".",up_Irr!AD5&lt;&gt;".",up_Irr!BB5&lt;&gt;"."),up_dir!G5/((1/1000)*(up_Irr!F5+up_Irr!AD5+up_Irr!BB5)),IF(AND(up_Irr!F5&lt;&gt;".",up_Irr!AD5&lt;&gt;".",up_Irr!BB5="."),up_dir!G5/((1/1000)*(up_Irr!F5+up_Irr!AD5)),IF(AND(up_Irr!F5&lt;&gt;".",up_Irr!AD5=".",up_Irr!BB5&lt;&gt;"."),up_dir!G5/((1/1000)*(up_Irr!F5+up_Irr!BB5)),IF(AND(up_Irr!F5=".",up_Irr!AD5&lt;&gt;".",up_Irr!BB5&lt;&gt;"."),up_dir!G5/((1/1000)*(up_Irr!AD5+up_Irr!BB5)),IF(AND(up_Irr!F5=".",up_Irr!AD5=".",up_Irr!BB5&lt;&gt;"."),up_dir!G5/((1/1000)*(up_Irr!BB5)),IF(AND(up_Irr!F5=".",up_Irr!AD5&lt;&gt;".",up_Irr!BB5="."),up_dir!G5/((1/1000)*(up_Irr!AD5)),IF(AND(up_Irr!F5&lt;&gt;".",up_Irr!AD5=".",up_Irr!BB5="."),up_dir!G5/((1/1000)*(up_Irr!F5)),IF(AND(up_Irr!F5=".",up_Irr!AD5=".",up_Irr!BB5="."),up_dir!G5*1000)))))))),".")</f>
        <v>7.2351016258567334E-11</v>
      </c>
      <c r="H5" s="76">
        <f>IFERROR(IF(AND(up_Irr!G5&lt;&gt;".",up_Irr!AE5&lt;&gt;".",up_Irr!BC5&lt;&gt;"."),up_dir!H5/((1/1000)*(up_Irr!G5+up_Irr!AE5+up_Irr!BC5)),IF(AND(up_Irr!G5&lt;&gt;".",up_Irr!AE5&lt;&gt;".",up_Irr!BC5="."),up_dir!H5/((1/1000)*(up_Irr!G5+up_Irr!AE5)),IF(AND(up_Irr!G5&lt;&gt;".",up_Irr!AE5=".",up_Irr!BC5&lt;&gt;"."),up_dir!H5/((1/1000)*(up_Irr!G5+up_Irr!BC5)),IF(AND(up_Irr!G5=".",up_Irr!AE5&lt;&gt;".",up_Irr!BC5&lt;&gt;"."),up_dir!H5/((1/1000)*(up_Irr!AE5+up_Irr!BC5)),IF(AND(up_Irr!G5=".",up_Irr!AE5=".",up_Irr!BC5&lt;&gt;"."),up_dir!H5/((1/1000)*(up_Irr!BC5)),IF(AND(up_Irr!G5=".",up_Irr!AE5&lt;&gt;".",up_Irr!BC5="."),up_dir!H5/((1/1000)*(up_Irr!AE5)),IF(AND(up_Irr!G5&lt;&gt;".",up_Irr!AE5=".",up_Irr!BC5="."),up_dir!H5/((1/1000)*(up_Irr!G5)),IF(AND(up_Irr!G5=".",up_Irr!AE5=".",up_Irr!BC5="."),up_dir!H5*1000)))))))),".")</f>
        <v>7.2351016258567334E-11</v>
      </c>
      <c r="I5" s="76">
        <f>IFERROR(IF(AND(up_Irr!H5&lt;&gt;".",up_Irr!AF5&lt;&gt;".",up_Irr!BD5&lt;&gt;"."),up_dir!I5/((1/1000)*(up_Irr!H5+up_Irr!AF5+up_Irr!BD5)),IF(AND(up_Irr!H5&lt;&gt;".",up_Irr!AF5&lt;&gt;".",up_Irr!BD5="."),up_dir!I5/((1/1000)*(up_Irr!H5+up_Irr!AF5)),IF(AND(up_Irr!H5&lt;&gt;".",up_Irr!AF5=".",up_Irr!BD5&lt;&gt;"."),up_dir!I5/((1/1000)*(up_Irr!H5+up_Irr!BD5)),IF(AND(up_Irr!H5=".",up_Irr!AF5&lt;&gt;".",up_Irr!BD5&lt;&gt;"."),up_dir!I5/((1/1000)*(up_Irr!AF5+up_Irr!BD5)),IF(AND(up_Irr!H5=".",up_Irr!AF5=".",up_Irr!BD5&lt;&gt;"."),up_dir!I5/((1/1000)*(up_Irr!BD5)),IF(AND(up_Irr!H5=".",up_Irr!AF5&lt;&gt;".",up_Irr!BD5="."),up_dir!I5/((1/1000)*(up_Irr!AF5)),IF(AND(up_Irr!H5&lt;&gt;".",up_Irr!AF5=".",up_Irr!BD5="."),up_dir!I5/((1/1000)*(up_Irr!H5)),IF(AND(up_Irr!H5=".",up_Irr!AF5=".",up_Irr!BD5="."),up_dir!I5*1000)))))))),".")</f>
        <v>7.2351016258567334E-11</v>
      </c>
      <c r="J5" s="76">
        <f>IFERROR(IF(AND(up_Irr!I5&lt;&gt;".",up_Irr!AG5&lt;&gt;".",up_Irr!BE5&lt;&gt;"."),up_dir!J5/((1/1000)*(up_Irr!I5+up_Irr!AG5+up_Irr!BE5)),IF(AND(up_Irr!I5&lt;&gt;".",up_Irr!AG5&lt;&gt;".",up_Irr!BE5="."),up_dir!J5/((1/1000)*(up_Irr!I5+up_Irr!AG5)),IF(AND(up_Irr!I5&lt;&gt;".",up_Irr!AG5=".",up_Irr!BE5&lt;&gt;"."),up_dir!J5/((1/1000)*(up_Irr!I5+up_Irr!BE5)),IF(AND(up_Irr!I5=".",up_Irr!AG5&lt;&gt;".",up_Irr!BE5&lt;&gt;"."),up_dir!J5/((1/1000)*(up_Irr!AG5+up_Irr!BE5)),IF(AND(up_Irr!I5=".",up_Irr!AG5=".",up_Irr!BE5&lt;&gt;"."),up_dir!J5/((1/1000)*(up_Irr!BE5)),IF(AND(up_Irr!I5=".",up_Irr!AG5&lt;&gt;".",up_Irr!BE5="."),up_dir!J5/((1/1000)*(up_Irr!AG5)),IF(AND(up_Irr!I5&lt;&gt;".",up_Irr!AG5=".",up_Irr!BE5="."),up_dir!J5/((1/1000)*(up_Irr!I5)),IF(AND(up_Irr!I5=".",up_Irr!AG5=".",up_Irr!BE5="."),up_dir!J5*1000)))))))),".")</f>
        <v>7.2351016258567334E-11</v>
      </c>
      <c r="K5" s="76">
        <f>IFERROR(IF(AND(up_Irr!J5&lt;&gt;".",up_Irr!AH5&lt;&gt;".",up_Irr!BF5&lt;&gt;"."),up_dir!K5/((1/1000)*(up_Irr!J5+up_Irr!AH5+up_Irr!BF5)),IF(AND(up_Irr!J5&lt;&gt;".",up_Irr!AH5&lt;&gt;".",up_Irr!BF5="."),up_dir!K5/((1/1000)*(up_Irr!J5+up_Irr!AH5)),IF(AND(up_Irr!J5&lt;&gt;".",up_Irr!AH5=".",up_Irr!BF5&lt;&gt;"."),up_dir!K5/((1/1000)*(up_Irr!J5+up_Irr!BF5)),IF(AND(up_Irr!J5=".",up_Irr!AH5&lt;&gt;".",up_Irr!BF5&lt;&gt;"."),up_dir!K5/((1/1000)*(up_Irr!AH5+up_Irr!BF5)),IF(AND(up_Irr!J5=".",up_Irr!AH5=".",up_Irr!BF5&lt;&gt;"."),up_dir!K5/((1/1000)*(up_Irr!BF5)),IF(AND(up_Irr!J5=".",up_Irr!AH5&lt;&gt;".",up_Irr!BF5="."),up_dir!K5/((1/1000)*(up_Irr!AH5)),IF(AND(up_Irr!J5&lt;&gt;".",up_Irr!AH5=".",up_Irr!BF5="."),up_dir!K5/((1/1000)*(up_Irr!J5)),IF(AND(up_Irr!J5=".",up_Irr!AH5=".",up_Irr!BF5="."),up_dir!K5*1000)))))))),".")</f>
        <v>7.2351016258567334E-11</v>
      </c>
      <c r="L5" s="76">
        <f>IFERROR(IF(AND(up_Irr!K5&lt;&gt;".",up_Irr!AI5&lt;&gt;".",up_Irr!BG5&lt;&gt;"."),up_dir!L5/((1/1000)*(up_Irr!K5+up_Irr!AI5+up_Irr!BG5)),IF(AND(up_Irr!K5&lt;&gt;".",up_Irr!AI5&lt;&gt;".",up_Irr!BG5="."),up_dir!L5/((1/1000)*(up_Irr!K5+up_Irr!AI5)),IF(AND(up_Irr!K5&lt;&gt;".",up_Irr!AI5=".",up_Irr!BG5&lt;&gt;"."),up_dir!L5/((1/1000)*(up_Irr!K5+up_Irr!BG5)),IF(AND(up_Irr!K5=".",up_Irr!AI5&lt;&gt;".",up_Irr!BG5&lt;&gt;"."),up_dir!L5/((1/1000)*(up_Irr!AI5+up_Irr!BG5)),IF(AND(up_Irr!K5=".",up_Irr!AI5=".",up_Irr!BG5&lt;&gt;"."),up_dir!L5/((1/1000)*(up_Irr!BG5)),IF(AND(up_Irr!K5=".",up_Irr!AI5&lt;&gt;".",up_Irr!BG5="."),up_dir!L5/((1/1000)*(up_Irr!AI5)),IF(AND(up_Irr!K5&lt;&gt;".",up_Irr!AI5=".",up_Irr!BG5="."),up_dir!L5/((1/1000)*(up_Irr!K5)),IF(AND(up_Irr!K5=".",up_Irr!AI5=".",up_Irr!BG5="."),up_dir!L5*1000)))))))),".")</f>
        <v>7.2351016258567334E-11</v>
      </c>
      <c r="M5" s="76">
        <f>IFERROR(IF(AND(up_Irr!L5&lt;&gt;".",up_Irr!AJ5&lt;&gt;".",up_Irr!BH5&lt;&gt;"."),up_dir!M5/((1/1000)*(up_Irr!L5+up_Irr!AJ5+up_Irr!BH5)),IF(AND(up_Irr!L5&lt;&gt;".",up_Irr!AJ5&lt;&gt;".",up_Irr!BH5="."),up_dir!M5/((1/1000)*(up_Irr!L5+up_Irr!AJ5)),IF(AND(up_Irr!L5&lt;&gt;".",up_Irr!AJ5=".",up_Irr!BH5&lt;&gt;"."),up_dir!M5/((1/1000)*(up_Irr!L5+up_Irr!BH5)),IF(AND(up_Irr!L5=".",up_Irr!AJ5&lt;&gt;".",up_Irr!BH5&lt;&gt;"."),up_dir!M5/((1/1000)*(up_Irr!AJ5+up_Irr!BH5)),IF(AND(up_Irr!L5=".",up_Irr!AJ5=".",up_Irr!BH5&lt;&gt;"."),up_dir!M5/((1/1000)*(up_Irr!BH5)),IF(AND(up_Irr!L5=".",up_Irr!AJ5&lt;&gt;".",up_Irr!BH5="."),up_dir!M5/((1/1000)*(up_Irr!AJ5)),IF(AND(up_Irr!L5&lt;&gt;".",up_Irr!AJ5=".",up_Irr!BH5="."),up_dir!M5/((1/1000)*(up_Irr!L5)),IF(AND(up_Irr!L5=".",up_Irr!AJ5=".",up_Irr!BH5="."),up_dir!M5*1000)))))))),".")</f>
        <v>7.2351016258567334E-11</v>
      </c>
      <c r="N5" s="76">
        <f>IFERROR(IF(AND(up_Irr!M5&lt;&gt;".",up_Irr!AK5&lt;&gt;".",up_Irr!BI5&lt;&gt;"."),up_dir!N5/((1/1000)*(up_Irr!M5+up_Irr!AK5+up_Irr!BI5)),IF(AND(up_Irr!M5&lt;&gt;".",up_Irr!AK5&lt;&gt;".",up_Irr!BI5="."),up_dir!N5/((1/1000)*(up_Irr!M5+up_Irr!AK5)),IF(AND(up_Irr!M5&lt;&gt;".",up_Irr!AK5=".",up_Irr!BI5&lt;&gt;"."),up_dir!N5/((1/1000)*(up_Irr!M5+up_Irr!BI5)),IF(AND(up_Irr!M5=".",up_Irr!AK5&lt;&gt;".",up_Irr!BI5&lt;&gt;"."),up_dir!N5/((1/1000)*(up_Irr!AK5+up_Irr!BI5)),IF(AND(up_Irr!M5=".",up_Irr!AK5=".",up_Irr!BI5&lt;&gt;"."),up_dir!N5/((1/1000)*(up_Irr!BI5)),IF(AND(up_Irr!M5=".",up_Irr!AK5&lt;&gt;".",up_Irr!BI5="."),up_dir!N5/((1/1000)*(up_Irr!AK5)),IF(AND(up_Irr!M5&lt;&gt;".",up_Irr!AK5=".",up_Irr!BI5="."),up_dir!N5/((1/1000)*(up_Irr!M5)),IF(AND(up_Irr!M5=".",up_Irr!AK5=".",up_Irr!BI5="."),up_dir!N5*1000)))))))),".")</f>
        <v>7.2351016258567334E-11</v>
      </c>
      <c r="O5" s="76">
        <f>IFERROR(IF(AND(up_Irr!N5&lt;&gt;".",up_Irr!AL5&lt;&gt;".",up_Irr!BJ5&lt;&gt;"."),up_dir!O5/((1/1000)*(up_Irr!N5+up_Irr!AL5+up_Irr!BJ5)),IF(AND(up_Irr!N5&lt;&gt;".",up_Irr!AL5&lt;&gt;".",up_Irr!BJ5="."),up_dir!O5/((1/1000)*(up_Irr!N5+up_Irr!AL5)),IF(AND(up_Irr!N5&lt;&gt;".",up_Irr!AL5=".",up_Irr!BJ5&lt;&gt;"."),up_dir!O5/((1/1000)*(up_Irr!N5+up_Irr!BJ5)),IF(AND(up_Irr!N5=".",up_Irr!AL5&lt;&gt;".",up_Irr!BJ5&lt;&gt;"."),up_dir!O5/((1/1000)*(up_Irr!AL5+up_Irr!BJ5)),IF(AND(up_Irr!N5=".",up_Irr!AL5=".",up_Irr!BJ5&lt;&gt;"."),up_dir!O5/((1/1000)*(up_Irr!BJ5)),IF(AND(up_Irr!N5=".",up_Irr!AL5&lt;&gt;".",up_Irr!BJ5="."),up_dir!O5/((1/1000)*(up_Irr!AL5)),IF(AND(up_Irr!N5&lt;&gt;".",up_Irr!AL5=".",up_Irr!BJ5="."),up_dir!O5/((1/1000)*(up_Irr!N5)),IF(AND(up_Irr!N5=".",up_Irr!AL5=".",up_Irr!BJ5="."),up_dir!O5*1000)))))))),".")</f>
        <v>7.2351016258567334E-11</v>
      </c>
      <c r="P5" s="76">
        <f>IFERROR(IF(AND(up_Irr!O5&lt;&gt;".",up_Irr!AM5&lt;&gt;".",up_Irr!BK5&lt;&gt;"."),up_dir!P5/((1/1000)*(up_Irr!O5+up_Irr!AM5+up_Irr!BK5)),IF(AND(up_Irr!O5&lt;&gt;".",up_Irr!AM5&lt;&gt;".",up_Irr!BK5="."),up_dir!P5/((1/1000)*(up_Irr!O5+up_Irr!AM5)),IF(AND(up_Irr!O5&lt;&gt;".",up_Irr!AM5=".",up_Irr!BK5&lt;&gt;"."),up_dir!P5/((1/1000)*(up_Irr!O5+up_Irr!BK5)),IF(AND(up_Irr!O5=".",up_Irr!AM5&lt;&gt;".",up_Irr!BK5&lt;&gt;"."),up_dir!P5/((1/1000)*(up_Irr!AM5+up_Irr!BK5)),IF(AND(up_Irr!O5=".",up_Irr!AM5=".",up_Irr!BK5&lt;&gt;"."),up_dir!P5/((1/1000)*(up_Irr!BK5)),IF(AND(up_Irr!O5=".",up_Irr!AM5&lt;&gt;".",up_Irr!BK5="."),up_dir!P5/((1/1000)*(up_Irr!AM5)),IF(AND(up_Irr!O5&lt;&gt;".",up_Irr!AM5=".",up_Irr!BK5="."),up_dir!P5/((1/1000)*(up_Irr!O5)),IF(AND(up_Irr!O5=".",up_Irr!AM5=".",up_Irr!BK5="."),up_dir!P5*1000)))))))),".")</f>
        <v>7.2351016258567334E-11</v>
      </c>
      <c r="Q5" s="76">
        <f>IFERROR(IF(AND(up_Irr!P5&lt;&gt;".",up_Irr!AN5&lt;&gt;".",up_Irr!BL5&lt;&gt;"."),up_dir!Q5/((1/1000)*(up_Irr!P5+up_Irr!AN5+up_Irr!BL5)),IF(AND(up_Irr!P5&lt;&gt;".",up_Irr!AN5&lt;&gt;".",up_Irr!BL5="."),up_dir!Q5/((1/1000)*(up_Irr!P5+up_Irr!AN5)),IF(AND(up_Irr!P5&lt;&gt;".",up_Irr!AN5=".",up_Irr!BL5&lt;&gt;"."),up_dir!Q5/((1/1000)*(up_Irr!P5+up_Irr!BL5)),IF(AND(up_Irr!P5=".",up_Irr!AN5&lt;&gt;".",up_Irr!BL5&lt;&gt;"."),up_dir!Q5/((1/1000)*(up_Irr!AN5+up_Irr!BL5)),IF(AND(up_Irr!P5=".",up_Irr!AN5=".",up_Irr!BL5&lt;&gt;"."),up_dir!Q5/((1/1000)*(up_Irr!BL5)),IF(AND(up_Irr!P5=".",up_Irr!AN5&lt;&gt;".",up_Irr!BL5="."),up_dir!Q5/((1/1000)*(up_Irr!AN5)),IF(AND(up_Irr!P5&lt;&gt;".",up_Irr!AN5=".",up_Irr!BL5="."),up_dir!Q5/((1/1000)*(up_Irr!P5)),IF(AND(up_Irr!P5=".",up_Irr!AN5=".",up_Irr!BL5="."),up_dir!Q5*1000)))))))),".")</f>
        <v>7.2351016258567334E-11</v>
      </c>
      <c r="R5" s="76">
        <f>IFERROR(IF(AND(up_Irr!Q5&lt;&gt;".",up_Irr!AO5&lt;&gt;".",up_Irr!BM5&lt;&gt;"."),up_dir!R5/((1/1000)*(up_Irr!Q5+up_Irr!AO5+up_Irr!BM5)),IF(AND(up_Irr!Q5&lt;&gt;".",up_Irr!AO5&lt;&gt;".",up_Irr!BM5="."),up_dir!R5/((1/1000)*(up_Irr!Q5+up_Irr!AO5)),IF(AND(up_Irr!Q5&lt;&gt;".",up_Irr!AO5=".",up_Irr!BM5&lt;&gt;"."),up_dir!R5/((1/1000)*(up_Irr!Q5+up_Irr!BM5)),IF(AND(up_Irr!Q5=".",up_Irr!AO5&lt;&gt;".",up_Irr!BM5&lt;&gt;"."),up_dir!R5/((1/1000)*(up_Irr!AO5+up_Irr!BM5)),IF(AND(up_Irr!Q5=".",up_Irr!AO5=".",up_Irr!BM5&lt;&gt;"."),up_dir!R5/((1/1000)*(up_Irr!BM5)),IF(AND(up_Irr!Q5=".",up_Irr!AO5&lt;&gt;".",up_Irr!BM5="."),up_dir!R5/((1/1000)*(up_Irr!AO5)),IF(AND(up_Irr!Q5&lt;&gt;".",up_Irr!AO5=".",up_Irr!BM5="."),up_dir!R5/((1/1000)*(up_Irr!Q5)),IF(AND(up_Irr!Q5=".",up_Irr!AO5=".",up_Irr!BM5="."),up_dir!R5*1000)))))))),".")</f>
        <v>7.2351016258567334E-11</v>
      </c>
      <c r="S5" s="76">
        <f>IFERROR(IF(AND(up_Irr!R5&lt;&gt;".",up_Irr!AP5&lt;&gt;".",up_Irr!BN5&lt;&gt;"."),up_dir!S5/((1/1000)*(up_Irr!R5+up_Irr!AP5+up_Irr!BN5)),IF(AND(up_Irr!R5&lt;&gt;".",up_Irr!AP5&lt;&gt;".",up_Irr!BN5="."),up_dir!S5/((1/1000)*(up_Irr!R5+up_Irr!AP5)),IF(AND(up_Irr!R5&lt;&gt;".",up_Irr!AP5=".",up_Irr!BN5&lt;&gt;"."),up_dir!S5/((1/1000)*(up_Irr!R5+up_Irr!BN5)),IF(AND(up_Irr!R5=".",up_Irr!AP5&lt;&gt;".",up_Irr!BN5&lt;&gt;"."),up_dir!S5/((1/1000)*(up_Irr!AP5+up_Irr!BN5)),IF(AND(up_Irr!R5=".",up_Irr!AP5=".",up_Irr!BN5&lt;&gt;"."),up_dir!S5/((1/1000)*(up_Irr!BN5)),IF(AND(up_Irr!R5=".",up_Irr!AP5&lt;&gt;".",up_Irr!BN5="."),up_dir!S5/((1/1000)*(up_Irr!AP5)),IF(AND(up_Irr!R5&lt;&gt;".",up_Irr!AP5=".",up_Irr!BN5="."),up_dir!S5/((1/1000)*(up_Irr!R5)),IF(AND(up_Irr!R5=".",up_Irr!AP5=".",up_Irr!BN5="."),up_dir!S5*1000)))))))),".")</f>
        <v>7.2351016258567334E-11</v>
      </c>
      <c r="T5" s="76">
        <f>IFERROR(IF(AND(up_Irr!S5&lt;&gt;".",up_Irr!AQ5&lt;&gt;".",up_Irr!BO5&lt;&gt;"."),up_dir!T5/((1/1000)*(up_Irr!S5+up_Irr!AQ5+up_Irr!BO5)),IF(AND(up_Irr!S5&lt;&gt;".",up_Irr!AQ5&lt;&gt;".",up_Irr!BO5="."),up_dir!T5/((1/1000)*(up_Irr!S5+up_Irr!AQ5)),IF(AND(up_Irr!S5&lt;&gt;".",up_Irr!AQ5=".",up_Irr!BO5&lt;&gt;"."),up_dir!T5/((1/1000)*(up_Irr!S5+up_Irr!BO5)),IF(AND(up_Irr!S5=".",up_Irr!AQ5&lt;&gt;".",up_Irr!BO5&lt;&gt;"."),up_dir!T5/((1/1000)*(up_Irr!AQ5+up_Irr!BO5)),IF(AND(up_Irr!S5=".",up_Irr!AQ5=".",up_Irr!BO5&lt;&gt;"."),up_dir!T5/((1/1000)*(up_Irr!BO5)),IF(AND(up_Irr!S5=".",up_Irr!AQ5&lt;&gt;".",up_Irr!BO5="."),up_dir!T5/((1/1000)*(up_Irr!AQ5)),IF(AND(up_Irr!S5&lt;&gt;".",up_Irr!AQ5=".",up_Irr!BO5="."),up_dir!T5/((1/1000)*(up_Irr!S5)),IF(AND(up_Irr!S5=".",up_Irr!AQ5=".",up_Irr!BO5="."),up_dir!T5*1000)))))))),".")</f>
        <v>7.2351016258567334E-11</v>
      </c>
      <c r="U5" s="76">
        <f>IFERROR(IF(AND(up_Irr!T5&lt;&gt;".",up_Irr!AR5&lt;&gt;".",up_Irr!BP5&lt;&gt;"."),up_dir!U5/((1/1000)*(up_Irr!T5+up_Irr!AR5+up_Irr!BP5)),IF(AND(up_Irr!T5&lt;&gt;".",up_Irr!AR5&lt;&gt;".",up_Irr!BP5="."),up_dir!U5/((1/1000)*(up_Irr!T5+up_Irr!AR5)),IF(AND(up_Irr!T5&lt;&gt;".",up_Irr!AR5=".",up_Irr!BP5&lt;&gt;"."),up_dir!U5/((1/1000)*(up_Irr!T5+up_Irr!BP5)),IF(AND(up_Irr!T5=".",up_Irr!AR5&lt;&gt;".",up_Irr!BP5&lt;&gt;"."),up_dir!U5/((1/1000)*(up_Irr!AR5+up_Irr!BP5)),IF(AND(up_Irr!T5=".",up_Irr!AR5=".",up_Irr!BP5&lt;&gt;"."),up_dir!U5/((1/1000)*(up_Irr!BP5)),IF(AND(up_Irr!T5=".",up_Irr!AR5&lt;&gt;".",up_Irr!BP5="."),up_dir!U5/((1/1000)*(up_Irr!AR5)),IF(AND(up_Irr!T5&lt;&gt;".",up_Irr!AR5=".",up_Irr!BP5="."),up_dir!U5/((1/1000)*(up_Irr!T5)),IF(AND(up_Irr!T5=".",up_Irr!AR5=".",up_Irr!BP5="."),up_dir!U5*1000)))))))),".")</f>
        <v>7.2351016258567334E-11</v>
      </c>
      <c r="V5" s="76">
        <f>IFERROR(IF(AND(up_Irr!U5&lt;&gt;".",up_Irr!AS5&lt;&gt;".",up_Irr!BQ5&lt;&gt;"."),up_dir!V5/((1/1000)*(up_Irr!U5+up_Irr!AS5+up_Irr!BQ5)),IF(AND(up_Irr!U5&lt;&gt;".",up_Irr!AS5&lt;&gt;".",up_Irr!BQ5="."),up_dir!V5/((1/1000)*(up_Irr!U5+up_Irr!AS5)),IF(AND(up_Irr!U5&lt;&gt;".",up_Irr!AS5=".",up_Irr!BQ5&lt;&gt;"."),up_dir!V5/((1/1000)*(up_Irr!U5+up_Irr!BQ5)),IF(AND(up_Irr!U5=".",up_Irr!AS5&lt;&gt;".",up_Irr!BQ5&lt;&gt;"."),up_dir!V5/((1/1000)*(up_Irr!AS5+up_Irr!BQ5)),IF(AND(up_Irr!U5=".",up_Irr!AS5=".",up_Irr!BQ5&lt;&gt;"."),up_dir!V5/((1/1000)*(up_Irr!BQ5)),IF(AND(up_Irr!U5=".",up_Irr!AS5&lt;&gt;".",up_Irr!BQ5="."),up_dir!V5/((1/1000)*(up_Irr!AS5)),IF(AND(up_Irr!U5&lt;&gt;".",up_Irr!AS5=".",up_Irr!BQ5="."),up_dir!V5/((1/1000)*(up_Irr!U5)),IF(AND(up_Irr!U5=".",up_Irr!AS5=".",up_Irr!BQ5="."),up_dir!V5*1000)))))))),".")</f>
        <v>7.2351016258567334E-11</v>
      </c>
      <c r="W5" s="76">
        <f>IFERROR(IF(AND(up_Irr!V5&lt;&gt;".",up_Irr!AT5&lt;&gt;".",up_Irr!BR5&lt;&gt;"."),up_dir!W5/((1/1000)*(up_Irr!V5+up_Irr!AT5+up_Irr!BR5)),IF(AND(up_Irr!V5&lt;&gt;".",up_Irr!AT5&lt;&gt;".",up_Irr!BR5="."),up_dir!W5/((1/1000)*(up_Irr!V5+up_Irr!AT5)),IF(AND(up_Irr!V5&lt;&gt;".",up_Irr!AT5=".",up_Irr!BR5&lt;&gt;"."),up_dir!W5/((1/1000)*(up_Irr!V5+up_Irr!BR5)),IF(AND(up_Irr!V5=".",up_Irr!AT5&lt;&gt;".",up_Irr!BR5&lt;&gt;"."),up_dir!W5/((1/1000)*(up_Irr!AT5+up_Irr!BR5)),IF(AND(up_Irr!V5=".",up_Irr!AT5=".",up_Irr!BR5&lt;&gt;"."),up_dir!W5/((1/1000)*(up_Irr!BR5)),IF(AND(up_Irr!V5=".",up_Irr!AT5&lt;&gt;".",up_Irr!BR5="."),up_dir!W5/((1/1000)*(up_Irr!AT5)),IF(AND(up_Irr!V5&lt;&gt;".",up_Irr!AT5=".",up_Irr!BR5="."),up_dir!W5/((1/1000)*(up_Irr!V5)),IF(AND(up_Irr!V5=".",up_Irr!AT5=".",up_Irr!BR5="."),up_dir!W5*1000)))))))),".")</f>
        <v>7.2351016258567334E-11</v>
      </c>
      <c r="X5" s="76">
        <f>IFERROR(IF(AND(up_Irr!W5&lt;&gt;".",up_Irr!AU5&lt;&gt;".",up_Irr!BS5&lt;&gt;"."),up_dir!X5/((1/1000)*(up_Irr!W5+up_Irr!AU5+up_Irr!BS5)),IF(AND(up_Irr!W5&lt;&gt;".",up_Irr!AU5&lt;&gt;".",up_Irr!BS5="."),up_dir!X5/((1/1000)*(up_Irr!W5+up_Irr!AU5)),IF(AND(up_Irr!W5&lt;&gt;".",up_Irr!AU5=".",up_Irr!BS5&lt;&gt;"."),up_dir!X5/((1/1000)*(up_Irr!W5+up_Irr!BS5)),IF(AND(up_Irr!W5=".",up_Irr!AU5&lt;&gt;".",up_Irr!BS5&lt;&gt;"."),up_dir!X5/((1/1000)*(up_Irr!AU5+up_Irr!BS5)),IF(AND(up_Irr!W5=".",up_Irr!AU5=".",up_Irr!BS5&lt;&gt;"."),up_dir!X5/((1/1000)*(up_Irr!BS5)),IF(AND(up_Irr!W5=".",up_Irr!AU5&lt;&gt;".",up_Irr!BS5="."),up_dir!X5/((1/1000)*(up_Irr!AU5)),IF(AND(up_Irr!W5&lt;&gt;".",up_Irr!AU5=".",up_Irr!BS5="."),up_dir!X5/((1/1000)*(up_Irr!W5)),IF(AND(up_Irr!W5=".",up_Irr!AU5=".",up_Irr!BS5="."),up_dir!X5*1000)))))))),".")</f>
        <v>7.2351016258567334E-11</v>
      </c>
      <c r="Y5" s="76">
        <f>IFERROR(IF(AND(up_Irr!X5&lt;&gt;".",up_Irr!AV5&lt;&gt;".",up_Irr!BT5&lt;&gt;"."),up_dir!Y5/((1/1000)*(up_Irr!X5+up_Irr!AV5+up_Irr!BT5)),IF(AND(up_Irr!X5&lt;&gt;".",up_Irr!AV5&lt;&gt;".",up_Irr!BT5="."),up_dir!Y5/((1/1000)*(up_Irr!X5+up_Irr!AV5)),IF(AND(up_Irr!X5&lt;&gt;".",up_Irr!AV5=".",up_Irr!BT5&lt;&gt;"."),up_dir!Y5/((1/1000)*(up_Irr!X5+up_Irr!BT5)),IF(AND(up_Irr!X5=".",up_Irr!AV5&lt;&gt;".",up_Irr!BT5&lt;&gt;"."),up_dir!Y5/((1/1000)*(up_Irr!AV5+up_Irr!BT5)),IF(AND(up_Irr!X5=".",up_Irr!AV5=".",up_Irr!BT5&lt;&gt;"."),up_dir!Y5/((1/1000)*(up_Irr!BT5)),IF(AND(up_Irr!X5=".",up_Irr!AV5&lt;&gt;".",up_Irr!BT5="."),up_dir!Y5/((1/1000)*(up_Irr!AV5)),IF(AND(up_Irr!X5&lt;&gt;".",up_Irr!AV5=".",up_Irr!BT5="."),up_dir!Y5/((1/1000)*(up_Irr!X5)),IF(AND(up_Irr!X5=".",up_Irr!AV5=".",up_Irr!BT5="."),up_dir!Y5*1000)))))))),".")</f>
        <v>7.2351016258567334E-11</v>
      </c>
      <c r="Z5" s="76">
        <f>IFERROR(IF(AND(up_Irr!Y5&lt;&gt;".",up_Irr!AW5&lt;&gt;".",up_Irr!BU5&lt;&gt;"."),up_dir!Z5/((1/1000)*(up_Irr!Y5+up_Irr!AW5+up_Irr!BU5)),IF(AND(up_Irr!Y5&lt;&gt;".",up_Irr!AW5&lt;&gt;".",up_Irr!BU5="."),up_dir!Z5/((1/1000)*(up_Irr!Y5+up_Irr!AW5)),IF(AND(up_Irr!Y5&lt;&gt;".",up_Irr!AW5=".",up_Irr!BU5&lt;&gt;"."),up_dir!Z5/((1/1000)*(up_Irr!Y5+up_Irr!BU5)),IF(AND(up_Irr!Y5=".",up_Irr!AW5&lt;&gt;".",up_Irr!BU5&lt;&gt;"."),up_dir!Z5/((1/1000)*(up_Irr!AW5+up_Irr!BU5)),IF(AND(up_Irr!Y5=".",up_Irr!AW5=".",up_Irr!BU5&lt;&gt;"."),up_dir!Z5/((1/1000)*(up_Irr!BU5)),IF(AND(up_Irr!Y5=".",up_Irr!AW5&lt;&gt;".",up_Irr!BU5="."),up_dir!Z5/((1/1000)*(up_Irr!AW5)),IF(AND(up_Irr!Y5&lt;&gt;".",up_Irr!AW5=".",up_Irr!BU5="."),up_dir!Z5/((1/1000)*(up_Irr!Y5)),IF(AND(up_Irr!Y5=".",up_Irr!AW5=".",up_Irr!BU5="."),up_dir!Z5*1000)))))))),".")</f>
        <v>7.2351016258567334E-11</v>
      </c>
      <c r="AA5" s="76">
        <f>IFERROR(IF(AND(up_Irr!Z5&lt;&gt;".",up_Irr!AX5&lt;&gt;".",up_Irr!BV5&lt;&gt;"."),up_dir!AA5/((1/1000)*(up_Irr!Z5+up_Irr!AX5+up_Irr!BV5)),IF(AND(up_Irr!Z5&lt;&gt;".",up_Irr!AX5&lt;&gt;".",up_Irr!BV5="."),up_dir!AA5/((1/1000)*(up_Irr!Z5+up_Irr!AX5)),IF(AND(up_Irr!Z5&lt;&gt;".",up_Irr!AX5=".",up_Irr!BV5&lt;&gt;"."),up_dir!AA5/((1/1000)*(up_Irr!Z5+up_Irr!BV5)),IF(AND(up_Irr!Z5=".",up_Irr!AX5&lt;&gt;".",up_Irr!BV5&lt;&gt;"."),up_dir!AA5/((1/1000)*(up_Irr!AX5+up_Irr!BV5)),IF(AND(up_Irr!Z5=".",up_Irr!AX5=".",up_Irr!BV5&lt;&gt;"."),up_dir!AA5/((1/1000)*(up_Irr!BV5)),IF(AND(up_Irr!Z5=".",up_Irr!AX5&lt;&gt;".",up_Irr!BV5="."),up_dir!AA5/((1/1000)*(up_Irr!AX5)),IF(AND(up_Irr!Z5&lt;&gt;".",up_Irr!AX5=".",up_Irr!BV5="."),up_dir!AA5/((1/1000)*(up_Irr!Z5)),IF(AND(up_Irr!Z5=".",up_Irr!AX5=".",up_Irr!BV5="."),up_dir!AA5*1000)))))))),".")</f>
        <v>7.2351016258567334E-11</v>
      </c>
      <c r="AB5" s="93">
        <f t="shared" si="2"/>
        <v>55286.023705663516</v>
      </c>
      <c r="AC5" s="93">
        <f>IFERROR(s_C*s_IFAP_res_adj*s_CF_apple*0.001*(up_Irr!C5+up_Irr!AA5+up_Irr!AY5),".")</f>
        <v>13821.505926415879</v>
      </c>
      <c r="AD5" s="93">
        <f>IFERROR(s_C*s_IFAS_res_adj*s_CF_asparagus*0.001*(up_Irr!D5+up_Irr!AB5+up_Irr!AZ5),".")</f>
        <v>13821.505926415879</v>
      </c>
      <c r="AE5" s="93">
        <f>IFERROR(s_C*s_IFBT_res_adj*s_CF_beet*0.001*(up_Irr!E5+up_Irr!AC5+up_Irr!BA5),".")</f>
        <v>13821.505926415879</v>
      </c>
      <c r="AF5" s="93">
        <f>IFERROR(s_C*s_IFBE_res_adj*s_CF_berries*0.001*(up_Irr!F5+up_Irr!AD5+up_Irr!BB5),".")</f>
        <v>13821.505926415879</v>
      </c>
      <c r="AG5" s="93">
        <f>IFERROR(s_C*s_IFBR_res_adj*s_CF_broccoli*0.001*(up_Irr!G5+up_Irr!AE5+up_Irr!BC5),".")</f>
        <v>13821.505926415879</v>
      </c>
      <c r="AH5" s="93">
        <f>IFERROR(s_C*s_IFCB_res_adj*s_CF_cabbage*0.001*(up_Irr!H5+up_Irr!AF5+up_Irr!BD5),".")</f>
        <v>13821.505926415879</v>
      </c>
      <c r="AI5" s="93">
        <f>IFERROR(s_C*s_IFCR_res_adj*s_CF_carrot*0.001*(up_Irr!I5+up_Irr!AG5+up_Irr!BE5),".")</f>
        <v>13821.505926415879</v>
      </c>
      <c r="AJ5" s="93">
        <f>IFERROR(s_C*s_IFCI_res_adj*s_CF_citrus*0.001*(up_Irr!J5+up_Irr!AH5+up_Irr!BF5),".")</f>
        <v>13821.505926415879</v>
      </c>
      <c r="AK5" s="93">
        <f>IFERROR(s_C*s_IFCO_res_adj*s_CF_corn*0.001*(up_Irr!K5+up_Irr!AI5+up_Irr!BG5),".")</f>
        <v>13821.505926415879</v>
      </c>
      <c r="AL5" s="93">
        <f>IFERROR(s_C*s_IFCU_res_adj*s_CF_cucumber*0.001*(up_Irr!L5+up_Irr!AJ5+up_Irr!BH5),".")</f>
        <v>13821.505926415879</v>
      </c>
      <c r="AM5" s="93">
        <f>IFERROR(s_C*s_IFLE_res_adj*s_CF_lettuce*0.001*(up_Irr!M5+up_Irr!AK5+up_Irr!BI5),".")</f>
        <v>13821.505926415879</v>
      </c>
      <c r="AN5" s="93">
        <f>IFERROR(s_C*s_IFLI_res_adj*s_CF_lima_bean*0.001*(up_Irr!N5+up_Irr!AL5+up_Irr!BJ5),".")</f>
        <v>13821.505926415879</v>
      </c>
      <c r="AO5" s="93">
        <f>IFERROR(s_C*s_IFOK_res_adj*s_CF_okra*0.001*(up_Irr!O5+up_Irr!AM5+up_Irr!BK5),".")</f>
        <v>13821.505926415879</v>
      </c>
      <c r="AP5" s="93">
        <f>IFERROR(s_C*s_IFON_res_adj*s_CF_onion*0.001*(up_Irr!P5+up_Irr!AN5+up_Irr!BL5),".")</f>
        <v>13821.505926415879</v>
      </c>
      <c r="AQ5" s="93">
        <f>IFERROR(s_C*s_IFPC_res_adj*s_CF_peach*0.001*(up_Irr!Q5+up_Irr!AO5+up_Irr!BM5),".")</f>
        <v>13821.505926415879</v>
      </c>
      <c r="AR5" s="93">
        <f>IFERROR(s_C*s_IFPR_res_adj*s_CF_pear*0.001*(up_Irr!R5+up_Irr!AP5+up_Irr!BN5),".")</f>
        <v>13821.505926415879</v>
      </c>
      <c r="AS5" s="93">
        <f>IFERROR(s_C*s_IFPE_res_adj*s_CF_peas*0.001*(up_Irr!S5+up_Irr!AQ5+up_Irr!BO5),".")</f>
        <v>13821.505926415879</v>
      </c>
      <c r="AT5" s="93">
        <f>IFERROR(s_C*s_IFPT_res_adj*s_CF_potato*0.001*(up_Irr!T5+up_Irr!AR5+up_Irr!BP5),".")</f>
        <v>13821.505926415879</v>
      </c>
      <c r="AU5" s="93">
        <f>IFERROR(s_C*s_IFPU_res_adj*s_CF_pumpkin*0.001*(up_Irr!U5+up_Irr!AS5+up_Irr!BQ5),".")</f>
        <v>13821.505926415879</v>
      </c>
      <c r="AV5" s="93">
        <f>IFERROR(s_C*s_IFSN_res_adj*s_CF_snap_bean*0.001*(up_Irr!V5+up_Irr!AT5+up_Irr!BR5),".")</f>
        <v>13821.505926415879</v>
      </c>
      <c r="AW5" s="93">
        <f>IFERROR(s_C*s_IFST_res_adj*s_CF_strawberry*0.001*(up_Irr!W5+up_Irr!AU5+up_Irr!BS5),".")</f>
        <v>13821.505926415879</v>
      </c>
      <c r="AX5" s="93">
        <f>IFERROR(s_C*s_IFTO_res_adj*s_CF_tomato*0.001*(up_Irr!X5+up_Irr!AV5+up_Irr!BT5),".")</f>
        <v>13821.505926415879</v>
      </c>
      <c r="AY5" s="93">
        <f>IFERROR(s_C*s_IFRI_res_adj*s_CF_rice*0.001*(up_Irr!Y5+up_Irr!AW5+up_Irr!BU5),".")</f>
        <v>13821.505926415879</v>
      </c>
      <c r="AZ5" s="93">
        <f>IFERROR(s_C*s_IFCG_res_adj*s_CF_cereal*0.001*(up_Irr!Z5+up_Irr!AX5+up_Irr!BV5),".")</f>
        <v>13821.505926415879</v>
      </c>
      <c r="BA5" s="76">
        <f t="shared" si="3"/>
        <v>1.8087754064641833E-11</v>
      </c>
      <c r="BB5" s="76">
        <f>IFERROR(IF(AND(up_Irr!C5&lt;&gt;".",up_Irr!AA5&lt;&gt;".",up_Irr!AY5&lt;&gt;"."),up_dir!AC5/((1/1000)*(up_Irr!C5+up_Irr!AA5+up_Irr!AY5)),IF(AND(up_Irr!C5&lt;&gt;".",up_Irr!AA5&lt;&gt;".",up_Irr!AY5="."),up_dir!AC5/((1/1000)*(up_Irr!C5+up_Irr!AA5)),IF(AND(up_Irr!C5&lt;&gt;".",up_Irr!AA5=".",up_Irr!AY5&lt;&gt;"."),up_dir!AC5/((1/1000)*(up_Irr!C5+up_Irr!AY5)),IF(AND(up_Irr!C5=".",up_Irr!AA5&lt;&gt;".",up_Irr!AY5&lt;&gt;"."),up_dir!AC5/((1/1000)*(up_Irr!AA5+up_Irr!AY5)),IF(AND(up_Irr!C5=".",up_Irr!AA5=".",up_Irr!AY5&lt;&gt;"."),up_dir!AC5/((1/1000)*(up_Irr!AY5)),IF(AND(up_Irr!C5=".",up_Irr!AA5&lt;&gt;".",up_Irr!AY5="."),up_dir!AC5/((1/1000)*(up_Irr!AA5)),IF(AND(up_Irr!C5&lt;&gt;".",up_Irr!AA5=".",up_Irr!AY5="."),up_dir!AC5/((1/1000)*(up_Irr!C5)),IF(AND(up_Irr!C5=".",up_Irr!AA5=".",up_Irr!AY5="."),up_dir!AC5*1000)))))))),".")</f>
        <v>7.2351016258567334E-11</v>
      </c>
      <c r="BC5" s="76">
        <f>IFERROR(IF(AND(up_Irr!D5&lt;&gt;".",up_Irr!AB5&lt;&gt;".",up_Irr!AZ5&lt;&gt;"."),up_dir!AD5/((1/1000)*(up_Irr!D5+up_Irr!AB5+up_Irr!AZ5)),IF(AND(up_Irr!D5&lt;&gt;".",up_Irr!AB5&lt;&gt;".",up_Irr!AZ5="."),up_dir!AD5/((1/1000)*(up_Irr!D5+up_Irr!AB5)),IF(AND(up_Irr!D5&lt;&gt;".",up_Irr!AB5=".",up_Irr!AZ5&lt;&gt;"."),up_dir!AD5/((1/1000)*(up_Irr!D5+up_Irr!AZ5)),IF(AND(up_Irr!D5=".",up_Irr!AB5&lt;&gt;".",up_Irr!AZ5&lt;&gt;"."),up_dir!AD5/((1/1000)*(up_Irr!AB5+up_Irr!AZ5)),IF(AND(up_Irr!D5=".",up_Irr!AB5=".",up_Irr!AZ5&lt;&gt;"."),up_dir!AD5/((1/1000)*(up_Irr!AZ5)),IF(AND(up_Irr!D5=".",up_Irr!AB5&lt;&gt;".",up_Irr!AZ5="."),up_dir!AD5/((1/1000)*(up_Irr!AB5)),IF(AND(up_Irr!D5&lt;&gt;".",up_Irr!AB5=".",up_Irr!AZ5="."),up_dir!AD5/((1/1000)*(up_Irr!D5)),IF(AND(up_Irr!D5=".",up_Irr!AB5=".",up_Irr!AZ5="."),up_dir!AD5*1000)))))))),".")</f>
        <v>7.2351016258567334E-11</v>
      </c>
      <c r="BD5" s="76">
        <f>IFERROR(IF(AND(up_Irr!E5&lt;&gt;".",up_Irr!AC5&lt;&gt;".",up_Irr!BA5&lt;&gt;"."),up_dir!AE5/((1/1000)*(up_Irr!E5+up_Irr!AC5+up_Irr!BA5)),IF(AND(up_Irr!E5&lt;&gt;".",up_Irr!AC5&lt;&gt;".",up_Irr!BA5="."),up_dir!AE5/((1/1000)*(up_Irr!E5+up_Irr!AC5)),IF(AND(up_Irr!E5&lt;&gt;".",up_Irr!AC5=".",up_Irr!BA5&lt;&gt;"."),up_dir!AE5/((1/1000)*(up_Irr!E5+up_Irr!BA5)),IF(AND(up_Irr!E5=".",up_Irr!AC5&lt;&gt;".",up_Irr!BA5&lt;&gt;"."),up_dir!AE5/((1/1000)*(up_Irr!AC5+up_Irr!BA5)),IF(AND(up_Irr!E5=".",up_Irr!AC5=".",up_Irr!BA5&lt;&gt;"."),up_dir!AE5/((1/1000)*(up_Irr!BA5)),IF(AND(up_Irr!E5=".",up_Irr!AC5&lt;&gt;".",up_Irr!BA5="."),up_dir!AE5/((1/1000)*(up_Irr!AC5)),IF(AND(up_Irr!E5&lt;&gt;".",up_Irr!AC5=".",up_Irr!BA5="."),up_dir!AE5/((1/1000)*(up_Irr!E5)),IF(AND(up_Irr!E5=".",up_Irr!AC5=".",up_Irr!BA5="."),up_dir!AE5*1000)))))))),".")</f>
        <v>7.2351016258567334E-11</v>
      </c>
      <c r="BE5" s="76">
        <f>IFERROR(IF(AND(up_Irr!F5&lt;&gt;".",up_Irr!AD5&lt;&gt;".",up_Irr!BB5&lt;&gt;"."),up_dir!AF5/((1/1000)*(up_Irr!F5+up_Irr!AD5+up_Irr!BB5)),IF(AND(up_Irr!F5&lt;&gt;".",up_Irr!AD5&lt;&gt;".",up_Irr!BB5="."),up_dir!AF5/((1/1000)*(up_Irr!F5+up_Irr!AD5)),IF(AND(up_Irr!F5&lt;&gt;".",up_Irr!AD5=".",up_Irr!BB5&lt;&gt;"."),up_dir!AF5/((1/1000)*(up_Irr!F5+up_Irr!BB5)),IF(AND(up_Irr!F5=".",up_Irr!AD5&lt;&gt;".",up_Irr!BB5&lt;&gt;"."),up_dir!AF5/((1/1000)*(up_Irr!AD5+up_Irr!BB5)),IF(AND(up_Irr!F5=".",up_Irr!AD5=".",up_Irr!BB5&lt;&gt;"."),up_dir!AF5/((1/1000)*(up_Irr!BB5)),IF(AND(up_Irr!F5=".",up_Irr!AD5&lt;&gt;".",up_Irr!BB5="."),up_dir!AF5/((1/1000)*(up_Irr!AD5)),IF(AND(up_Irr!F5&lt;&gt;".",up_Irr!AD5=".",up_Irr!BB5="."),up_dir!AF5/((1/1000)*(up_Irr!F5)),IF(AND(up_Irr!F5=".",up_Irr!AD5=".",up_Irr!BB5="."),up_dir!AF5*1000)))))))),".")</f>
        <v>7.2351016258567334E-11</v>
      </c>
      <c r="BF5" s="76">
        <f>IFERROR(IF(AND(up_Irr!G5&lt;&gt;".",up_Irr!AE5&lt;&gt;".",up_Irr!BC5&lt;&gt;"."),up_dir!AG5/((1/1000)*(up_Irr!G5+up_Irr!AE5+up_Irr!BC5)),IF(AND(up_Irr!G5&lt;&gt;".",up_Irr!AE5&lt;&gt;".",up_Irr!BC5="."),up_dir!AG5/((1/1000)*(up_Irr!G5+up_Irr!AE5)),IF(AND(up_Irr!G5&lt;&gt;".",up_Irr!AE5=".",up_Irr!BC5&lt;&gt;"."),up_dir!AG5/((1/1000)*(up_Irr!G5+up_Irr!BC5)),IF(AND(up_Irr!G5=".",up_Irr!AE5&lt;&gt;".",up_Irr!BC5&lt;&gt;"."),up_dir!AG5/((1/1000)*(up_Irr!AE5+up_Irr!BC5)),IF(AND(up_Irr!G5=".",up_Irr!AE5=".",up_Irr!BC5&lt;&gt;"."),up_dir!AG5/((1/1000)*(up_Irr!BC5)),IF(AND(up_Irr!G5=".",up_Irr!AE5&lt;&gt;".",up_Irr!BC5="."),up_dir!AG5/((1/1000)*(up_Irr!AE5)),IF(AND(up_Irr!G5&lt;&gt;".",up_Irr!AE5=".",up_Irr!BC5="."),up_dir!AG5/((1/1000)*(up_Irr!G5)),IF(AND(up_Irr!G5=".",up_Irr!AE5=".",up_Irr!BC5="."),up_dir!AG5*1000)))))))),".")</f>
        <v>7.2351016258567334E-11</v>
      </c>
      <c r="BG5" s="76">
        <f>IFERROR(IF(AND(up_Irr!H5&lt;&gt;".",up_Irr!AF5&lt;&gt;".",up_Irr!BD5&lt;&gt;"."),up_dir!AH5/((1/1000)*(up_Irr!H5+up_Irr!AF5+up_Irr!BD5)),IF(AND(up_Irr!H5&lt;&gt;".",up_Irr!AF5&lt;&gt;".",up_Irr!BD5="."),up_dir!AH5/((1/1000)*(up_Irr!H5+up_Irr!AF5)),IF(AND(up_Irr!H5&lt;&gt;".",up_Irr!AF5=".",up_Irr!BD5&lt;&gt;"."),up_dir!AH5/((1/1000)*(up_Irr!H5+up_Irr!BD5)),IF(AND(up_Irr!H5=".",up_Irr!AF5&lt;&gt;".",up_Irr!BD5&lt;&gt;"."),up_dir!AH5/((1/1000)*(up_Irr!AF5+up_Irr!BD5)),IF(AND(up_Irr!H5=".",up_Irr!AF5=".",up_Irr!BD5&lt;&gt;"."),up_dir!AH5/((1/1000)*(up_Irr!BD5)),IF(AND(up_Irr!H5=".",up_Irr!AF5&lt;&gt;".",up_Irr!BD5="."),up_dir!AH5/((1/1000)*(up_Irr!AF5)),IF(AND(up_Irr!H5&lt;&gt;".",up_Irr!AF5=".",up_Irr!BD5="."),up_dir!AH5/((1/1000)*(up_Irr!H5)),IF(AND(up_Irr!H5=".",up_Irr!AF5=".",up_Irr!BD5="."),up_dir!AH5*1000)))))))),".")</f>
        <v>7.2351016258567334E-11</v>
      </c>
      <c r="BH5" s="76">
        <f>IFERROR(IF(AND(up_Irr!I5&lt;&gt;".",up_Irr!AG5&lt;&gt;".",up_Irr!BE5&lt;&gt;"."),up_dir!AI5/((1/1000)*(up_Irr!I5+up_Irr!AG5+up_Irr!BE5)),IF(AND(up_Irr!I5&lt;&gt;".",up_Irr!AG5&lt;&gt;".",up_Irr!BE5="."),up_dir!AI5/((1/1000)*(up_Irr!I5+up_Irr!AG5)),IF(AND(up_Irr!I5&lt;&gt;".",up_Irr!AG5=".",up_Irr!BE5&lt;&gt;"."),up_dir!AI5/((1/1000)*(up_Irr!I5+up_Irr!BE5)),IF(AND(up_Irr!I5=".",up_Irr!AG5&lt;&gt;".",up_Irr!BE5&lt;&gt;"."),up_dir!AI5/((1/1000)*(up_Irr!AG5+up_Irr!BE5)),IF(AND(up_Irr!I5=".",up_Irr!AG5=".",up_Irr!BE5&lt;&gt;"."),up_dir!AI5/((1/1000)*(up_Irr!BE5)),IF(AND(up_Irr!I5=".",up_Irr!AG5&lt;&gt;".",up_Irr!BE5="."),up_dir!AI5/((1/1000)*(up_Irr!AG5)),IF(AND(up_Irr!I5&lt;&gt;".",up_Irr!AG5=".",up_Irr!BE5="."),up_dir!AI5/((1/1000)*(up_Irr!I5)),IF(AND(up_Irr!I5=".",up_Irr!AG5=".",up_Irr!BE5="."),up_dir!AI5*1000)))))))),".")</f>
        <v>7.2351016258567334E-11</v>
      </c>
      <c r="BI5" s="76">
        <f>IFERROR(IF(AND(up_Irr!J5&lt;&gt;".",up_Irr!AH5&lt;&gt;".",up_Irr!BF5&lt;&gt;"."),up_dir!AJ5/((1/1000)*(up_Irr!J5+up_Irr!AH5+up_Irr!BF5)),IF(AND(up_Irr!J5&lt;&gt;".",up_Irr!AH5&lt;&gt;".",up_Irr!BF5="."),up_dir!AJ5/((1/1000)*(up_Irr!J5+up_Irr!AH5)),IF(AND(up_Irr!J5&lt;&gt;".",up_Irr!AH5=".",up_Irr!BF5&lt;&gt;"."),up_dir!AJ5/((1/1000)*(up_Irr!J5+up_Irr!BF5)),IF(AND(up_Irr!J5=".",up_Irr!AH5&lt;&gt;".",up_Irr!BF5&lt;&gt;"."),up_dir!AJ5/((1/1000)*(up_Irr!AH5+up_Irr!BF5)),IF(AND(up_Irr!J5=".",up_Irr!AH5=".",up_Irr!BF5&lt;&gt;"."),up_dir!AJ5/((1/1000)*(up_Irr!BF5)),IF(AND(up_Irr!J5=".",up_Irr!AH5&lt;&gt;".",up_Irr!BF5="."),up_dir!AJ5/((1/1000)*(up_Irr!AH5)),IF(AND(up_Irr!J5&lt;&gt;".",up_Irr!AH5=".",up_Irr!BF5="."),up_dir!AJ5/((1/1000)*(up_Irr!J5)),IF(AND(up_Irr!J5=".",up_Irr!AH5=".",up_Irr!BF5="."),up_dir!AJ5*1000)))))))),".")</f>
        <v>7.2351016258567334E-11</v>
      </c>
      <c r="BJ5" s="76">
        <f>IFERROR(IF(AND(up_Irr!K5&lt;&gt;".",up_Irr!AI5&lt;&gt;".",up_Irr!BG5&lt;&gt;"."),up_dir!AK5/((1/1000)*(up_Irr!K5+up_Irr!AI5+up_Irr!BG5)),IF(AND(up_Irr!K5&lt;&gt;".",up_Irr!AI5&lt;&gt;".",up_Irr!BG5="."),up_dir!AK5/((1/1000)*(up_Irr!K5+up_Irr!AI5)),IF(AND(up_Irr!K5&lt;&gt;".",up_Irr!AI5=".",up_Irr!BG5&lt;&gt;"."),up_dir!AK5/((1/1000)*(up_Irr!K5+up_Irr!BG5)),IF(AND(up_Irr!K5=".",up_Irr!AI5&lt;&gt;".",up_Irr!BG5&lt;&gt;"."),up_dir!AK5/((1/1000)*(up_Irr!AI5+up_Irr!BG5)),IF(AND(up_Irr!K5=".",up_Irr!AI5=".",up_Irr!BG5&lt;&gt;"."),up_dir!AK5/((1/1000)*(up_Irr!BG5)),IF(AND(up_Irr!K5=".",up_Irr!AI5&lt;&gt;".",up_Irr!BG5="."),up_dir!AK5/((1/1000)*(up_Irr!AI5)),IF(AND(up_Irr!K5&lt;&gt;".",up_Irr!AI5=".",up_Irr!BG5="."),up_dir!AK5/((1/1000)*(up_Irr!K5)),IF(AND(up_Irr!K5=".",up_Irr!AI5=".",up_Irr!BG5="."),up_dir!AK5*1000)))))))),".")</f>
        <v>7.2351016258567334E-11</v>
      </c>
      <c r="BK5" s="76">
        <f>IFERROR(IF(AND(up_Irr!L5&lt;&gt;".",up_Irr!AJ5&lt;&gt;".",up_Irr!BH5&lt;&gt;"."),up_dir!AL5/((1/1000)*(up_Irr!L5+up_Irr!AJ5+up_Irr!BH5)),IF(AND(up_Irr!L5&lt;&gt;".",up_Irr!AJ5&lt;&gt;".",up_Irr!BH5="."),up_dir!AL5/((1/1000)*(up_Irr!L5+up_Irr!AJ5)),IF(AND(up_Irr!L5&lt;&gt;".",up_Irr!AJ5=".",up_Irr!BH5&lt;&gt;"."),up_dir!AL5/((1/1000)*(up_Irr!L5+up_Irr!BH5)),IF(AND(up_Irr!L5=".",up_Irr!AJ5&lt;&gt;".",up_Irr!BH5&lt;&gt;"."),up_dir!AL5/((1/1000)*(up_Irr!AJ5+up_Irr!BH5)),IF(AND(up_Irr!L5=".",up_Irr!AJ5=".",up_Irr!BH5&lt;&gt;"."),up_dir!AL5/((1/1000)*(up_Irr!BH5)),IF(AND(up_Irr!L5=".",up_Irr!AJ5&lt;&gt;".",up_Irr!BH5="."),up_dir!AL5/((1/1000)*(up_Irr!AJ5)),IF(AND(up_Irr!L5&lt;&gt;".",up_Irr!AJ5=".",up_Irr!BH5="."),up_dir!AL5/((1/1000)*(up_Irr!L5)),IF(AND(up_Irr!L5=".",up_Irr!AJ5=".",up_Irr!BH5="."),up_dir!AL5*1000)))))))),".")</f>
        <v>7.2351016258567334E-11</v>
      </c>
      <c r="BL5" s="76">
        <f>IFERROR(IF(AND(up_Irr!M5&lt;&gt;".",up_Irr!AK5&lt;&gt;".",up_Irr!BI5&lt;&gt;"."),up_dir!AM5/((1/1000)*(up_Irr!M5+up_Irr!AK5+up_Irr!BI5)),IF(AND(up_Irr!M5&lt;&gt;".",up_Irr!AK5&lt;&gt;".",up_Irr!BI5="."),up_dir!AM5/((1/1000)*(up_Irr!M5+up_Irr!AK5)),IF(AND(up_Irr!M5&lt;&gt;".",up_Irr!AK5=".",up_Irr!BI5&lt;&gt;"."),up_dir!AM5/((1/1000)*(up_Irr!M5+up_Irr!BI5)),IF(AND(up_Irr!M5=".",up_Irr!AK5&lt;&gt;".",up_Irr!BI5&lt;&gt;"."),up_dir!AM5/((1/1000)*(up_Irr!AK5+up_Irr!BI5)),IF(AND(up_Irr!M5=".",up_Irr!AK5=".",up_Irr!BI5&lt;&gt;"."),up_dir!AM5/((1/1000)*(up_Irr!BI5)),IF(AND(up_Irr!M5=".",up_Irr!AK5&lt;&gt;".",up_Irr!BI5="."),up_dir!AM5/((1/1000)*(up_Irr!AK5)),IF(AND(up_Irr!M5&lt;&gt;".",up_Irr!AK5=".",up_Irr!BI5="."),up_dir!AM5/((1/1000)*(up_Irr!M5)),IF(AND(up_Irr!M5=".",up_Irr!AK5=".",up_Irr!BI5="."),up_dir!AM5*1000)))))))),".")</f>
        <v>7.2351016258567334E-11</v>
      </c>
      <c r="BM5" s="76">
        <f>IFERROR(IF(AND(up_Irr!N5&lt;&gt;".",up_Irr!AL5&lt;&gt;".",up_Irr!BJ5&lt;&gt;"."),up_dir!AN5/((1/1000)*(up_Irr!N5+up_Irr!AL5+up_Irr!BJ5)),IF(AND(up_Irr!N5&lt;&gt;".",up_Irr!AL5&lt;&gt;".",up_Irr!BJ5="."),up_dir!AN5/((1/1000)*(up_Irr!N5+up_Irr!AL5)),IF(AND(up_Irr!N5&lt;&gt;".",up_Irr!AL5=".",up_Irr!BJ5&lt;&gt;"."),up_dir!AN5/((1/1000)*(up_Irr!N5+up_Irr!BJ5)),IF(AND(up_Irr!N5=".",up_Irr!AL5&lt;&gt;".",up_Irr!BJ5&lt;&gt;"."),up_dir!AN5/((1/1000)*(up_Irr!AL5+up_Irr!BJ5)),IF(AND(up_Irr!N5=".",up_Irr!AL5=".",up_Irr!BJ5&lt;&gt;"."),up_dir!AN5/((1/1000)*(up_Irr!BJ5)),IF(AND(up_Irr!N5=".",up_Irr!AL5&lt;&gt;".",up_Irr!BJ5="."),up_dir!AN5/((1/1000)*(up_Irr!AL5)),IF(AND(up_Irr!N5&lt;&gt;".",up_Irr!AL5=".",up_Irr!BJ5="."),up_dir!AN5/((1/1000)*(up_Irr!N5)),IF(AND(up_Irr!N5=".",up_Irr!AL5=".",up_Irr!BJ5="."),up_dir!AN5*1000)))))))),".")</f>
        <v>7.2351016258567334E-11</v>
      </c>
      <c r="BN5" s="76">
        <f>IFERROR(IF(AND(up_Irr!O5&lt;&gt;".",up_Irr!AM5&lt;&gt;".",up_Irr!BK5&lt;&gt;"."),up_dir!AO5/((1/1000)*(up_Irr!O5+up_Irr!AM5+up_Irr!BK5)),IF(AND(up_Irr!O5&lt;&gt;".",up_Irr!AM5&lt;&gt;".",up_Irr!BK5="."),up_dir!AO5/((1/1000)*(up_Irr!O5+up_Irr!AM5)),IF(AND(up_Irr!O5&lt;&gt;".",up_Irr!AM5=".",up_Irr!BK5&lt;&gt;"."),up_dir!AO5/((1/1000)*(up_Irr!O5+up_Irr!BK5)),IF(AND(up_Irr!O5=".",up_Irr!AM5&lt;&gt;".",up_Irr!BK5&lt;&gt;"."),up_dir!AO5/((1/1000)*(up_Irr!AM5+up_Irr!BK5)),IF(AND(up_Irr!O5=".",up_Irr!AM5=".",up_Irr!BK5&lt;&gt;"."),up_dir!AO5/((1/1000)*(up_Irr!BK5)),IF(AND(up_Irr!O5=".",up_Irr!AM5&lt;&gt;".",up_Irr!BK5="."),up_dir!AO5/((1/1000)*(up_Irr!AM5)),IF(AND(up_Irr!O5&lt;&gt;".",up_Irr!AM5=".",up_Irr!BK5="."),up_dir!AO5/((1/1000)*(up_Irr!O5)),IF(AND(up_Irr!O5=".",up_Irr!AM5=".",up_Irr!BK5="."),up_dir!AO5*1000)))))))),".")</f>
        <v>7.2351016258567334E-11</v>
      </c>
      <c r="BO5" s="76">
        <f>IFERROR(IF(AND(up_Irr!P5&lt;&gt;".",up_Irr!AN5&lt;&gt;".",up_Irr!BL5&lt;&gt;"."),up_dir!AP5/((1/1000)*(up_Irr!P5+up_Irr!AN5+up_Irr!BL5)),IF(AND(up_Irr!P5&lt;&gt;".",up_Irr!AN5&lt;&gt;".",up_Irr!BL5="."),up_dir!AP5/((1/1000)*(up_Irr!P5+up_Irr!AN5)),IF(AND(up_Irr!P5&lt;&gt;".",up_Irr!AN5=".",up_Irr!BL5&lt;&gt;"."),up_dir!AP5/((1/1000)*(up_Irr!P5+up_Irr!BL5)),IF(AND(up_Irr!P5=".",up_Irr!AN5&lt;&gt;".",up_Irr!BL5&lt;&gt;"."),up_dir!AP5/((1/1000)*(up_Irr!AN5+up_Irr!BL5)),IF(AND(up_Irr!P5=".",up_Irr!AN5=".",up_Irr!BL5&lt;&gt;"."),up_dir!AP5/((1/1000)*(up_Irr!BL5)),IF(AND(up_Irr!P5=".",up_Irr!AN5&lt;&gt;".",up_Irr!BL5="."),up_dir!AP5/((1/1000)*(up_Irr!AN5)),IF(AND(up_Irr!P5&lt;&gt;".",up_Irr!AN5=".",up_Irr!BL5="."),up_dir!AP5/((1/1000)*(up_Irr!P5)),IF(AND(up_Irr!P5=".",up_Irr!AN5=".",up_Irr!BL5="."),up_dir!AP5*1000)))))))),".")</f>
        <v>7.2351016258567334E-11</v>
      </c>
      <c r="BP5" s="76">
        <f>IFERROR(IF(AND(up_Irr!Q5&lt;&gt;".",up_Irr!AO5&lt;&gt;".",up_Irr!BM5&lt;&gt;"."),up_dir!AQ5/((1/1000)*(up_Irr!Q5+up_Irr!AO5+up_Irr!BM5)),IF(AND(up_Irr!Q5&lt;&gt;".",up_Irr!AO5&lt;&gt;".",up_Irr!BM5="."),up_dir!AQ5/((1/1000)*(up_Irr!Q5+up_Irr!AO5)),IF(AND(up_Irr!Q5&lt;&gt;".",up_Irr!AO5=".",up_Irr!BM5&lt;&gt;"."),up_dir!AQ5/((1/1000)*(up_Irr!Q5+up_Irr!BM5)),IF(AND(up_Irr!Q5=".",up_Irr!AO5&lt;&gt;".",up_Irr!BM5&lt;&gt;"."),up_dir!AQ5/((1/1000)*(up_Irr!AO5+up_Irr!BM5)),IF(AND(up_Irr!Q5=".",up_Irr!AO5=".",up_Irr!BM5&lt;&gt;"."),up_dir!AQ5/((1/1000)*(up_Irr!BM5)),IF(AND(up_Irr!Q5=".",up_Irr!AO5&lt;&gt;".",up_Irr!BM5="."),up_dir!AQ5/((1/1000)*(up_Irr!AO5)),IF(AND(up_Irr!Q5&lt;&gt;".",up_Irr!AO5=".",up_Irr!BM5="."),up_dir!AQ5/((1/1000)*(up_Irr!Q5)),IF(AND(up_Irr!Q5=".",up_Irr!AO5=".",up_Irr!BM5="."),up_dir!AQ5*1000)))))))),".")</f>
        <v>7.2351016258567334E-11</v>
      </c>
      <c r="BQ5" s="76">
        <f>IFERROR(IF(AND(up_Irr!R5&lt;&gt;".",up_Irr!AP5&lt;&gt;".",up_Irr!BN5&lt;&gt;"."),up_dir!AR5/((1/1000)*(up_Irr!R5+up_Irr!AP5+up_Irr!BN5)),IF(AND(up_Irr!R5&lt;&gt;".",up_Irr!AP5&lt;&gt;".",up_Irr!BN5="."),up_dir!AR5/((1/1000)*(up_Irr!R5+up_Irr!AP5)),IF(AND(up_Irr!R5&lt;&gt;".",up_Irr!AP5=".",up_Irr!BN5&lt;&gt;"."),up_dir!AR5/((1/1000)*(up_Irr!R5+up_Irr!BN5)),IF(AND(up_Irr!R5=".",up_Irr!AP5&lt;&gt;".",up_Irr!BN5&lt;&gt;"."),up_dir!AR5/((1/1000)*(up_Irr!AP5+up_Irr!BN5)),IF(AND(up_Irr!R5=".",up_Irr!AP5=".",up_Irr!BN5&lt;&gt;"."),up_dir!AR5/((1/1000)*(up_Irr!BN5)),IF(AND(up_Irr!R5=".",up_Irr!AP5&lt;&gt;".",up_Irr!BN5="."),up_dir!AR5/((1/1000)*(up_Irr!AP5)),IF(AND(up_Irr!R5&lt;&gt;".",up_Irr!AP5=".",up_Irr!BN5="."),up_dir!AR5/((1/1000)*(up_Irr!R5)),IF(AND(up_Irr!R5=".",up_Irr!AP5=".",up_Irr!BN5="."),up_dir!AR5*1000)))))))),".")</f>
        <v>7.2351016258567334E-11</v>
      </c>
      <c r="BR5" s="76">
        <f>IFERROR(IF(AND(up_Irr!S5&lt;&gt;".",up_Irr!AQ5&lt;&gt;".",up_Irr!BO5&lt;&gt;"."),up_dir!AS5/((1/1000)*(up_Irr!S5+up_Irr!AQ5+up_Irr!BO5)),IF(AND(up_Irr!S5&lt;&gt;".",up_Irr!AQ5&lt;&gt;".",up_Irr!BO5="."),up_dir!AS5/((1/1000)*(up_Irr!S5+up_Irr!AQ5)),IF(AND(up_Irr!S5&lt;&gt;".",up_Irr!AQ5=".",up_Irr!BO5&lt;&gt;"."),up_dir!AS5/((1/1000)*(up_Irr!S5+up_Irr!BO5)),IF(AND(up_Irr!S5=".",up_Irr!AQ5&lt;&gt;".",up_Irr!BO5&lt;&gt;"."),up_dir!AS5/((1/1000)*(up_Irr!AQ5+up_Irr!BO5)),IF(AND(up_Irr!S5=".",up_Irr!AQ5=".",up_Irr!BO5&lt;&gt;"."),up_dir!AS5/((1/1000)*(up_Irr!BO5)),IF(AND(up_Irr!S5=".",up_Irr!AQ5&lt;&gt;".",up_Irr!BO5="."),up_dir!AS5/((1/1000)*(up_Irr!AQ5)),IF(AND(up_Irr!S5&lt;&gt;".",up_Irr!AQ5=".",up_Irr!BO5="."),up_dir!AS5/((1/1000)*(up_Irr!S5)),IF(AND(up_Irr!S5=".",up_Irr!AQ5=".",up_Irr!BO5="."),up_dir!AS5*1000)))))))),".")</f>
        <v>7.2351016258567334E-11</v>
      </c>
      <c r="BS5" s="76">
        <f>IFERROR(IF(AND(up_Irr!T5&lt;&gt;".",up_Irr!AR5&lt;&gt;".",up_Irr!BP5&lt;&gt;"."),up_dir!AT5/((1/1000)*(up_Irr!T5+up_Irr!AR5+up_Irr!BP5)),IF(AND(up_Irr!T5&lt;&gt;".",up_Irr!AR5&lt;&gt;".",up_Irr!BP5="."),up_dir!AT5/((1/1000)*(up_Irr!T5+up_Irr!AR5)),IF(AND(up_Irr!T5&lt;&gt;".",up_Irr!AR5=".",up_Irr!BP5&lt;&gt;"."),up_dir!AT5/((1/1000)*(up_Irr!T5+up_Irr!BP5)),IF(AND(up_Irr!T5=".",up_Irr!AR5&lt;&gt;".",up_Irr!BP5&lt;&gt;"."),up_dir!AT5/((1/1000)*(up_Irr!AR5+up_Irr!BP5)),IF(AND(up_Irr!T5=".",up_Irr!AR5=".",up_Irr!BP5&lt;&gt;"."),up_dir!AT5/((1/1000)*(up_Irr!BP5)),IF(AND(up_Irr!T5=".",up_Irr!AR5&lt;&gt;".",up_Irr!BP5="."),up_dir!AT5/((1/1000)*(up_Irr!AR5)),IF(AND(up_Irr!T5&lt;&gt;".",up_Irr!AR5=".",up_Irr!BP5="."),up_dir!AT5/((1/1000)*(up_Irr!T5)),IF(AND(up_Irr!T5=".",up_Irr!AR5=".",up_Irr!BP5="."),up_dir!AT5*1000)))))))),".")</f>
        <v>7.2351016258567334E-11</v>
      </c>
      <c r="BT5" s="76">
        <f>IFERROR(IF(AND(up_Irr!U5&lt;&gt;".",up_Irr!AS5&lt;&gt;".",up_Irr!BQ5&lt;&gt;"."),up_dir!AU5/((1/1000)*(up_Irr!U5+up_Irr!AS5+up_Irr!BQ5)),IF(AND(up_Irr!U5&lt;&gt;".",up_Irr!AS5&lt;&gt;".",up_Irr!BQ5="."),up_dir!AU5/((1/1000)*(up_Irr!U5+up_Irr!AS5)),IF(AND(up_Irr!U5&lt;&gt;".",up_Irr!AS5=".",up_Irr!BQ5&lt;&gt;"."),up_dir!AU5/((1/1000)*(up_Irr!U5+up_Irr!BQ5)),IF(AND(up_Irr!U5=".",up_Irr!AS5&lt;&gt;".",up_Irr!BQ5&lt;&gt;"."),up_dir!AU5/((1/1000)*(up_Irr!AS5+up_Irr!BQ5)),IF(AND(up_Irr!U5=".",up_Irr!AS5=".",up_Irr!BQ5&lt;&gt;"."),up_dir!AU5/((1/1000)*(up_Irr!BQ5)),IF(AND(up_Irr!U5=".",up_Irr!AS5&lt;&gt;".",up_Irr!BQ5="."),up_dir!AU5/((1/1000)*(up_Irr!AS5)),IF(AND(up_Irr!U5&lt;&gt;".",up_Irr!AS5=".",up_Irr!BQ5="."),up_dir!AU5/((1/1000)*(up_Irr!U5)),IF(AND(up_Irr!U5=".",up_Irr!AS5=".",up_Irr!BQ5="."),up_dir!AU5*1000)))))))),".")</f>
        <v>7.2351016258567334E-11</v>
      </c>
      <c r="BU5" s="76">
        <f>IFERROR(IF(AND(up_Irr!V5&lt;&gt;".",up_Irr!AT5&lt;&gt;".",up_Irr!BR5&lt;&gt;"."),up_dir!AV5/((1/1000)*(up_Irr!V5+up_Irr!AT5+up_Irr!BR5)),IF(AND(up_Irr!V5&lt;&gt;".",up_Irr!AT5&lt;&gt;".",up_Irr!BR5="."),up_dir!AV5/((1/1000)*(up_Irr!V5+up_Irr!AT5)),IF(AND(up_Irr!V5&lt;&gt;".",up_Irr!AT5=".",up_Irr!BR5&lt;&gt;"."),up_dir!AV5/((1/1000)*(up_Irr!V5+up_Irr!BR5)),IF(AND(up_Irr!V5=".",up_Irr!AT5&lt;&gt;".",up_Irr!BR5&lt;&gt;"."),up_dir!AV5/((1/1000)*(up_Irr!AT5+up_Irr!BR5)),IF(AND(up_Irr!V5=".",up_Irr!AT5=".",up_Irr!BR5&lt;&gt;"."),up_dir!AV5/((1/1000)*(up_Irr!BR5)),IF(AND(up_Irr!V5=".",up_Irr!AT5&lt;&gt;".",up_Irr!BR5="."),up_dir!AV5/((1/1000)*(up_Irr!AT5)),IF(AND(up_Irr!V5&lt;&gt;".",up_Irr!AT5=".",up_Irr!BR5="."),up_dir!AV5/((1/1000)*(up_Irr!V5)),IF(AND(up_Irr!V5=".",up_Irr!AT5=".",up_Irr!BR5="."),up_dir!AV5*1000)))))))),".")</f>
        <v>7.2351016258567334E-11</v>
      </c>
      <c r="BV5" s="76">
        <f>IFERROR(IF(AND(up_Irr!W5&lt;&gt;".",up_Irr!AU5&lt;&gt;".",up_Irr!BS5&lt;&gt;"."),up_dir!AW5/((1/1000)*(up_Irr!W5+up_Irr!AU5+up_Irr!BS5)),IF(AND(up_Irr!W5&lt;&gt;".",up_Irr!AU5&lt;&gt;".",up_Irr!BS5="."),up_dir!AW5/((1/1000)*(up_Irr!W5+up_Irr!AU5)),IF(AND(up_Irr!W5&lt;&gt;".",up_Irr!AU5=".",up_Irr!BS5&lt;&gt;"."),up_dir!AW5/((1/1000)*(up_Irr!W5+up_Irr!BS5)),IF(AND(up_Irr!W5=".",up_Irr!AU5&lt;&gt;".",up_Irr!BS5&lt;&gt;"."),up_dir!AW5/((1/1000)*(up_Irr!AU5+up_Irr!BS5)),IF(AND(up_Irr!W5=".",up_Irr!AU5=".",up_Irr!BS5&lt;&gt;"."),up_dir!AW5/((1/1000)*(up_Irr!BS5)),IF(AND(up_Irr!W5=".",up_Irr!AU5&lt;&gt;".",up_Irr!BS5="."),up_dir!AW5/((1/1000)*(up_Irr!AU5)),IF(AND(up_Irr!W5&lt;&gt;".",up_Irr!AU5=".",up_Irr!BS5="."),up_dir!AW5/((1/1000)*(up_Irr!W5)),IF(AND(up_Irr!W5=".",up_Irr!AU5=".",up_Irr!BS5="."),up_dir!AW5*1000)))))))),".")</f>
        <v>7.2351016258567334E-11</v>
      </c>
      <c r="BW5" s="76">
        <f>IFERROR(IF(AND(up_Irr!X5&lt;&gt;".",up_Irr!AV5&lt;&gt;".",up_Irr!BT5&lt;&gt;"."),up_dir!AX5/((1/1000)*(up_Irr!X5+up_Irr!AV5+up_Irr!BT5)),IF(AND(up_Irr!X5&lt;&gt;".",up_Irr!AV5&lt;&gt;".",up_Irr!BT5="."),up_dir!AX5/((1/1000)*(up_Irr!X5+up_Irr!AV5)),IF(AND(up_Irr!X5&lt;&gt;".",up_Irr!AV5=".",up_Irr!BT5&lt;&gt;"."),up_dir!AX5/((1/1000)*(up_Irr!X5+up_Irr!BT5)),IF(AND(up_Irr!X5=".",up_Irr!AV5&lt;&gt;".",up_Irr!BT5&lt;&gt;"."),up_dir!AX5/((1/1000)*(up_Irr!AV5+up_Irr!BT5)),IF(AND(up_Irr!X5=".",up_Irr!AV5=".",up_Irr!BT5&lt;&gt;"."),up_dir!AX5/((1/1000)*(up_Irr!BT5)),IF(AND(up_Irr!X5=".",up_Irr!AV5&lt;&gt;".",up_Irr!BT5="."),up_dir!AX5/((1/1000)*(up_Irr!AV5)),IF(AND(up_Irr!X5&lt;&gt;".",up_Irr!AV5=".",up_Irr!BT5="."),up_dir!AX5/((1/1000)*(up_Irr!X5)),IF(AND(up_Irr!X5=".",up_Irr!AV5=".",up_Irr!BT5="."),up_dir!AX5*1000)))))))),".")</f>
        <v>7.2351016258567334E-11</v>
      </c>
      <c r="BX5" s="76">
        <f>IFERROR(IF(AND(up_Irr!Y5&lt;&gt;".",up_Irr!AW5&lt;&gt;".",up_Irr!BU5&lt;&gt;"."),up_dir!AY5/((1/1000)*(up_Irr!Y5+up_Irr!AW5+up_Irr!BU5)),IF(AND(up_Irr!Y5&lt;&gt;".",up_Irr!AW5&lt;&gt;".",up_Irr!BU5="."),up_dir!AY5/((1/1000)*(up_Irr!Y5+up_Irr!AW5)),IF(AND(up_Irr!Y5&lt;&gt;".",up_Irr!AW5=".",up_Irr!BU5&lt;&gt;"."),up_dir!AY5/((1/1000)*(up_Irr!Y5+up_Irr!BU5)),IF(AND(up_Irr!Y5=".",up_Irr!AW5&lt;&gt;".",up_Irr!BU5&lt;&gt;"."),up_dir!AY5/((1/1000)*(up_Irr!AW5+up_Irr!BU5)),IF(AND(up_Irr!Y5=".",up_Irr!AW5=".",up_Irr!BU5&lt;&gt;"."),up_dir!AY5/((1/1000)*(up_Irr!BU5)),IF(AND(up_Irr!Y5=".",up_Irr!AW5&lt;&gt;".",up_Irr!BU5="."),up_dir!AY5/((1/1000)*(up_Irr!AW5)),IF(AND(up_Irr!Y5&lt;&gt;".",up_Irr!AW5=".",up_Irr!BU5="."),up_dir!AY5/((1/1000)*(up_Irr!Y5)),IF(AND(up_Irr!Y5=".",up_Irr!AW5=".",up_Irr!BU5="."),up_dir!AY5*1000)))))))),".")</f>
        <v>7.2351016258567334E-11</v>
      </c>
      <c r="BY5" s="76">
        <f>IFERROR(IF(AND(up_Irr!Z5&lt;&gt;".",up_Irr!AX5&lt;&gt;".",up_Irr!BV5&lt;&gt;"."),up_dir!AZ5/((1/1000)*(up_Irr!Z5+up_Irr!AX5+up_Irr!BV5)),IF(AND(up_Irr!Z5&lt;&gt;".",up_Irr!AX5&lt;&gt;".",up_Irr!BV5="."),up_dir!AZ5/((1/1000)*(up_Irr!Z5+up_Irr!AX5)),IF(AND(up_Irr!Z5&lt;&gt;".",up_Irr!AX5=".",up_Irr!BV5&lt;&gt;"."),up_dir!AZ5/((1/1000)*(up_Irr!Z5+up_Irr!BV5)),IF(AND(up_Irr!Z5=".",up_Irr!AX5&lt;&gt;".",up_Irr!BV5&lt;&gt;"."),up_dir!AZ5/((1/1000)*(up_Irr!AX5+up_Irr!BV5)),IF(AND(up_Irr!Z5=".",up_Irr!AX5=".",up_Irr!BV5&lt;&gt;"."),up_dir!AZ5/((1/1000)*(up_Irr!BV5)),IF(AND(up_Irr!Z5=".",up_Irr!AX5&lt;&gt;".",up_Irr!BV5="."),up_dir!AZ5/((1/1000)*(up_Irr!AX5)),IF(AND(up_Irr!Z5&lt;&gt;".",up_Irr!AX5=".",up_Irr!BV5="."),up_dir!AZ5/((1/1000)*(up_Irr!Z5)),IF(AND(up_Irr!Z5=".",up_Irr!AX5=".",up_Irr!BV5="."),up_dir!AZ5*1000)))))))),".")</f>
        <v>7.2351016258567334E-11</v>
      </c>
      <c r="BZ5" s="93">
        <f t="shared" si="4"/>
        <v>55286.023705663516</v>
      </c>
      <c r="CA5" s="93">
        <f>IFERROR(s_C*s_IFAP_far_adj*s_CF_apple*(1/1000)*(up_Irr!C5+up_Irr!AA5+up_Irr!AY5),".")</f>
        <v>13821.505926415879</v>
      </c>
      <c r="CB5" s="93">
        <f>IFERROR(s_C*s_IFAS_far_adj*s_CF_asparagus*(1/1000)*(up_Irr!D5+up_Irr!AB5+up_Irr!AZ5),".")</f>
        <v>13821.505926415879</v>
      </c>
      <c r="CC5" s="93">
        <f>IFERROR(s_C*s_IFBT_far_adj*s_CF_beet*(1/1000)*(up_Irr!E5+up_Irr!AC5+up_Irr!BA5),".")</f>
        <v>13821.505926415879</v>
      </c>
      <c r="CD5" s="93">
        <f>IFERROR(s_C*s_IFBE_far_adj*s_CF_berries*(1/1000)*(up_Irr!F5+up_Irr!AD5+up_Irr!BB5),".")</f>
        <v>13821.505926415879</v>
      </c>
      <c r="CE5" s="93">
        <f>IFERROR(s_C*s_IFBR_far_adj*s_CF_broccoli*(1/1000)*(up_Irr!G5+up_Irr!AE5+up_Irr!BC5),".")</f>
        <v>13821.505926415879</v>
      </c>
      <c r="CF5" s="93">
        <f>IFERROR(s_C*s_IFCB_far_adj*s_CF_cabbage*(1/1000)*(up_Irr!H5+up_Irr!AF5+up_Irr!BD5),".")</f>
        <v>13821.505926415879</v>
      </c>
      <c r="CG5" s="93">
        <f>IFERROR(s_C*s_IFCR_far_adj*s_CF_carrot*(1/1000)*(up_Irr!I5+up_Irr!AG5+up_Irr!BE5),".")</f>
        <v>13821.505926415879</v>
      </c>
      <c r="CH5" s="93">
        <f>IFERROR(s_C*s_IFCI_far_adj*s_CF_citrus*(1/1000)*(up_Irr!J5+up_Irr!AH5+up_Irr!BF5),".")</f>
        <v>13821.505926415879</v>
      </c>
      <c r="CI5" s="93">
        <f>IFERROR(s_C*s_IFCO_far_adj*s_CF_corn*(1/1000)*(up_Irr!K5+up_Irr!AI5+up_Irr!BG5),".")</f>
        <v>13821.505926415879</v>
      </c>
      <c r="CJ5" s="93">
        <f>IFERROR(s_C*s_IFCU_far_adj*s_CF_cucumber*(1/1000)*(up_Irr!L5+up_Irr!AJ5+up_Irr!BH5),".")</f>
        <v>13821.505926415879</v>
      </c>
      <c r="CK5" s="93">
        <f>IFERROR(s_C*s_IFLE_far_adj*s_CF_lettuce*(1/1000)*(up_Irr!M5+up_Irr!AK5+up_Irr!BI5),".")</f>
        <v>13821.505926415879</v>
      </c>
      <c r="CL5" s="93">
        <f>IFERROR(s_C*s_IFLI_far_adj*s_CF_lima_bean*(1/1000)*(up_Irr!N5+up_Irr!AL5+up_Irr!BJ5),".")</f>
        <v>13821.505926415879</v>
      </c>
      <c r="CM5" s="93">
        <f>IFERROR(s_C*s_IFOK_far_adj*s_CF_okra*(1/1000)*(up_Irr!O5+up_Irr!AM5+up_Irr!BK5),".")</f>
        <v>13821.505926415879</v>
      </c>
      <c r="CN5" s="93">
        <f>IFERROR(s_C*s_IFON_far_adj*s_CF_onion*(1/1000)*(up_Irr!P5+up_Irr!AN5+up_Irr!BL5),".")</f>
        <v>13821.505926415879</v>
      </c>
      <c r="CO5" s="93">
        <f>IFERROR(s_C*s_IFPC_far_adj*s_CF_peach*(1/1000)*(up_Irr!Q5+up_Irr!AO5+up_Irr!BM5),".")</f>
        <v>13821.505926415879</v>
      </c>
      <c r="CP5" s="93">
        <f>IFERROR(s_C*s_IFPR_far_adj*s_CF_pear*(1/1000)*(up_Irr!R5+up_Irr!AP5+up_Irr!BN5),".")</f>
        <v>13821.505926415879</v>
      </c>
      <c r="CQ5" s="93">
        <f>IFERROR(s_C*s_IFPE_far_adj*s_CF_peas*(1/1000)*(up_Irr!S5+up_Irr!AQ5+up_Irr!BO5),".")</f>
        <v>13821.505926415879</v>
      </c>
      <c r="CR5" s="93">
        <f>IFERROR(s_C*s_IFPT_far_adj*s_CF_potato*(1/1000)*(up_Irr!T5+up_Irr!AR5+up_Irr!BP5),".")</f>
        <v>13821.505926415879</v>
      </c>
      <c r="CS5" s="93">
        <f>IFERROR(s_C*s_IFPU_far_adj*s_CF_pumpkin*(1/1000)*(up_Irr!U5+up_Irr!AS5+up_Irr!BQ5),".")</f>
        <v>13821.505926415879</v>
      </c>
      <c r="CT5" s="93">
        <f>IFERROR(s_C*s_IFSN_far_adj*s_CF_snap_bean*(1/1000)*(up_Irr!V5+up_Irr!AT5+up_Irr!BR5),".")</f>
        <v>13821.505926415879</v>
      </c>
      <c r="CU5" s="93">
        <f>IFERROR(s_C*s_IFST_far_adj*s_CF_strawberry*(1/1000)*(up_Irr!W5+up_Irr!AU5+up_Irr!BS5),".")</f>
        <v>13821.505926415879</v>
      </c>
      <c r="CV5" s="93">
        <f>IFERROR(s_C*s_IFTO_far_adj*s_CF_tomato*(1/1000)*(up_Irr!X5+up_Irr!AV5+up_Irr!BT5),".")</f>
        <v>13821.505926415879</v>
      </c>
      <c r="CW5" s="93">
        <f>IFERROR(s_C*s_IFRI_far_adj*s_CF_rice*(1/1000)*(up_Irr!Y5+up_Irr!AW5+up_Irr!BU5),".")</f>
        <v>13821.505926415879</v>
      </c>
      <c r="CX5" s="93">
        <f>IFERROR(s_C*s_IFCG_far_adj*s_CF_cereal*(1/1000)*(up_Irr!Z5+up_Irr!AX5+up_Irr!BV5),".")</f>
        <v>13821.505926415879</v>
      </c>
    </row>
    <row r="6" spans="1:102" ht="15" customHeight="1" x14ac:dyDescent="0.25">
      <c r="A6" s="92" t="s">
        <v>16</v>
      </c>
      <c r="B6" s="90" t="s">
        <v>1074</v>
      </c>
      <c r="C6" s="76">
        <f t="shared" si="0"/>
        <v>1.8087754064641833E-11</v>
      </c>
      <c r="D6" s="76">
        <f>IFERROR(IF(AND(up_Irr!C6&lt;&gt;".",up_Irr!AA6&lt;&gt;".",up_Irr!AY6&lt;&gt;"."),up_dir!D6/((1/1000)*(up_Irr!C6+up_Irr!AA6+up_Irr!AY6)),IF(AND(up_Irr!C6&lt;&gt;".",up_Irr!AA6&lt;&gt;".",up_Irr!AY6="."),up_dir!D6/((1/1000)*(up_Irr!C6+up_Irr!AA6)),IF(AND(up_Irr!C6&lt;&gt;".",up_Irr!AA6=".",up_Irr!AY6&lt;&gt;"."),up_dir!D6/((1/1000)*(up_Irr!C6+up_Irr!AY6)),IF(AND(up_Irr!C6=".",up_Irr!AA6&lt;&gt;".",up_Irr!AY6&lt;&gt;"."),up_dir!D6/((1/1000)*(up_Irr!AA6+up_Irr!AY6)),IF(AND(up_Irr!C6=".",up_Irr!AA6=".",up_Irr!AY6&lt;&gt;"."),up_dir!D6/((1/1000)*(up_Irr!AY6)),IF(AND(up_Irr!C6=".",up_Irr!AA6&lt;&gt;".",up_Irr!AY6="."),up_dir!D6/((1/1000)*(up_Irr!AA6)),IF(AND(up_Irr!C6&lt;&gt;".",up_Irr!AA6=".",up_Irr!AY6="."),up_dir!D6/((1/1000)*(up_Irr!C6)),IF(AND(up_Irr!C6=".",up_Irr!AA6=".",up_Irr!AY6="."),up_dir!D6*1000)))))))),".")</f>
        <v>7.2351016258567334E-11</v>
      </c>
      <c r="E6" s="76">
        <f>IFERROR(IF(AND(up_Irr!D6&lt;&gt;".",up_Irr!AB6&lt;&gt;".",up_Irr!AZ6&lt;&gt;"."),up_dir!E6/((1/1000)*(up_Irr!D6+up_Irr!AB6+up_Irr!AZ6)),IF(AND(up_Irr!D6&lt;&gt;".",up_Irr!AB6&lt;&gt;".",up_Irr!AZ6="."),up_dir!E6/((1/1000)*(up_Irr!D6+up_Irr!AB6)),IF(AND(up_Irr!D6&lt;&gt;".",up_Irr!AB6=".",up_Irr!AZ6&lt;&gt;"."),up_dir!E6/((1/1000)*(up_Irr!D6+up_Irr!AZ6)),IF(AND(up_Irr!D6=".",up_Irr!AB6&lt;&gt;".",up_Irr!AZ6&lt;&gt;"."),up_dir!E6/((1/1000)*(up_Irr!AB6+up_Irr!AZ6)),IF(AND(up_Irr!D6=".",up_Irr!AB6=".",up_Irr!AZ6&lt;&gt;"."),up_dir!E6/((1/1000)*(up_Irr!AZ6)),IF(AND(up_Irr!D6=".",up_Irr!AB6&lt;&gt;".",up_Irr!AZ6="."),up_dir!E6/((1/1000)*(up_Irr!AB6)),IF(AND(up_Irr!D6&lt;&gt;".",up_Irr!AB6=".",up_Irr!AZ6="."),up_dir!E6/((1/1000)*(up_Irr!D6)),IF(AND(up_Irr!D6=".",up_Irr!AB6=".",up_Irr!AZ6="."),up_dir!E6*1000)))))))),".")</f>
        <v>7.2351016258567334E-11</v>
      </c>
      <c r="F6" s="76">
        <f>IFERROR(IF(AND(up_Irr!E6&lt;&gt;".",up_Irr!AC6&lt;&gt;".",up_Irr!BA6&lt;&gt;"."),up_dir!F6/((1/1000)*(up_Irr!E6+up_Irr!AC6+up_Irr!BA6)),IF(AND(up_Irr!E6&lt;&gt;".",up_Irr!AC6&lt;&gt;".",up_Irr!BA6="."),up_dir!F6/((1/1000)*(up_Irr!E6+up_Irr!AC6)),IF(AND(up_Irr!E6&lt;&gt;".",up_Irr!AC6=".",up_Irr!BA6&lt;&gt;"."),up_dir!F6/((1/1000)*(up_Irr!E6+up_Irr!BA6)),IF(AND(up_Irr!E6=".",up_Irr!AC6&lt;&gt;".",up_Irr!BA6&lt;&gt;"."),up_dir!F6/((1/1000)*(up_Irr!AC6+up_Irr!BA6)),IF(AND(up_Irr!E6=".",up_Irr!AC6=".",up_Irr!BA6&lt;&gt;"."),up_dir!F6/((1/1000)*(up_Irr!BA6)),IF(AND(up_Irr!E6=".",up_Irr!AC6&lt;&gt;".",up_Irr!BA6="."),up_dir!F6/((1/1000)*(up_Irr!AC6)),IF(AND(up_Irr!E6&lt;&gt;".",up_Irr!AC6=".",up_Irr!BA6="."),up_dir!F6/((1/1000)*(up_Irr!E6)),IF(AND(up_Irr!E6=".",up_Irr!AC6=".",up_Irr!BA6="."),up_dir!F6*1000)))))))),".")</f>
        <v>7.2351016258567334E-11</v>
      </c>
      <c r="G6" s="76">
        <f>IFERROR(IF(AND(up_Irr!F6&lt;&gt;".",up_Irr!AD6&lt;&gt;".",up_Irr!BB6&lt;&gt;"."),up_dir!G6/((1/1000)*(up_Irr!F6+up_Irr!AD6+up_Irr!BB6)),IF(AND(up_Irr!F6&lt;&gt;".",up_Irr!AD6&lt;&gt;".",up_Irr!BB6="."),up_dir!G6/((1/1000)*(up_Irr!F6+up_Irr!AD6)),IF(AND(up_Irr!F6&lt;&gt;".",up_Irr!AD6=".",up_Irr!BB6&lt;&gt;"."),up_dir!G6/((1/1000)*(up_Irr!F6+up_Irr!BB6)),IF(AND(up_Irr!F6=".",up_Irr!AD6&lt;&gt;".",up_Irr!BB6&lt;&gt;"."),up_dir!G6/((1/1000)*(up_Irr!AD6+up_Irr!BB6)),IF(AND(up_Irr!F6=".",up_Irr!AD6=".",up_Irr!BB6&lt;&gt;"."),up_dir!G6/((1/1000)*(up_Irr!BB6)),IF(AND(up_Irr!F6=".",up_Irr!AD6&lt;&gt;".",up_Irr!BB6="."),up_dir!G6/((1/1000)*(up_Irr!AD6)),IF(AND(up_Irr!F6&lt;&gt;".",up_Irr!AD6=".",up_Irr!BB6="."),up_dir!G6/((1/1000)*(up_Irr!F6)),IF(AND(up_Irr!F6=".",up_Irr!AD6=".",up_Irr!BB6="."),up_dir!G6*1000)))))))),".")</f>
        <v>7.2351016258567334E-11</v>
      </c>
      <c r="H6" s="76">
        <f>IFERROR(IF(AND(up_Irr!G6&lt;&gt;".",up_Irr!AE6&lt;&gt;".",up_Irr!BC6&lt;&gt;"."),up_dir!H6/((1/1000)*(up_Irr!G6+up_Irr!AE6+up_Irr!BC6)),IF(AND(up_Irr!G6&lt;&gt;".",up_Irr!AE6&lt;&gt;".",up_Irr!BC6="."),up_dir!H6/((1/1000)*(up_Irr!G6+up_Irr!AE6)),IF(AND(up_Irr!G6&lt;&gt;".",up_Irr!AE6=".",up_Irr!BC6&lt;&gt;"."),up_dir!H6/((1/1000)*(up_Irr!G6+up_Irr!BC6)),IF(AND(up_Irr!G6=".",up_Irr!AE6&lt;&gt;".",up_Irr!BC6&lt;&gt;"."),up_dir!H6/((1/1000)*(up_Irr!AE6+up_Irr!BC6)),IF(AND(up_Irr!G6=".",up_Irr!AE6=".",up_Irr!BC6&lt;&gt;"."),up_dir!H6/((1/1000)*(up_Irr!BC6)),IF(AND(up_Irr!G6=".",up_Irr!AE6&lt;&gt;".",up_Irr!BC6="."),up_dir!H6/((1/1000)*(up_Irr!AE6)),IF(AND(up_Irr!G6&lt;&gt;".",up_Irr!AE6=".",up_Irr!BC6="."),up_dir!H6/((1/1000)*(up_Irr!G6)),IF(AND(up_Irr!G6=".",up_Irr!AE6=".",up_Irr!BC6="."),up_dir!H6*1000)))))))),".")</f>
        <v>7.2351016258567334E-11</v>
      </c>
      <c r="I6" s="76">
        <f>IFERROR(IF(AND(up_Irr!H6&lt;&gt;".",up_Irr!AF6&lt;&gt;".",up_Irr!BD6&lt;&gt;"."),up_dir!I6/((1/1000)*(up_Irr!H6+up_Irr!AF6+up_Irr!BD6)),IF(AND(up_Irr!H6&lt;&gt;".",up_Irr!AF6&lt;&gt;".",up_Irr!BD6="."),up_dir!I6/((1/1000)*(up_Irr!H6+up_Irr!AF6)),IF(AND(up_Irr!H6&lt;&gt;".",up_Irr!AF6=".",up_Irr!BD6&lt;&gt;"."),up_dir!I6/((1/1000)*(up_Irr!H6+up_Irr!BD6)),IF(AND(up_Irr!H6=".",up_Irr!AF6&lt;&gt;".",up_Irr!BD6&lt;&gt;"."),up_dir!I6/((1/1000)*(up_Irr!AF6+up_Irr!BD6)),IF(AND(up_Irr!H6=".",up_Irr!AF6=".",up_Irr!BD6&lt;&gt;"."),up_dir!I6/((1/1000)*(up_Irr!BD6)),IF(AND(up_Irr!H6=".",up_Irr!AF6&lt;&gt;".",up_Irr!BD6="."),up_dir!I6/((1/1000)*(up_Irr!AF6)),IF(AND(up_Irr!H6&lt;&gt;".",up_Irr!AF6=".",up_Irr!BD6="."),up_dir!I6/((1/1000)*(up_Irr!H6)),IF(AND(up_Irr!H6=".",up_Irr!AF6=".",up_Irr!BD6="."),up_dir!I6*1000)))))))),".")</f>
        <v>7.2351016258567334E-11</v>
      </c>
      <c r="J6" s="76">
        <f>IFERROR(IF(AND(up_Irr!I6&lt;&gt;".",up_Irr!AG6&lt;&gt;".",up_Irr!BE6&lt;&gt;"."),up_dir!J6/((1/1000)*(up_Irr!I6+up_Irr!AG6+up_Irr!BE6)),IF(AND(up_Irr!I6&lt;&gt;".",up_Irr!AG6&lt;&gt;".",up_Irr!BE6="."),up_dir!J6/((1/1000)*(up_Irr!I6+up_Irr!AG6)),IF(AND(up_Irr!I6&lt;&gt;".",up_Irr!AG6=".",up_Irr!BE6&lt;&gt;"."),up_dir!J6/((1/1000)*(up_Irr!I6+up_Irr!BE6)),IF(AND(up_Irr!I6=".",up_Irr!AG6&lt;&gt;".",up_Irr!BE6&lt;&gt;"."),up_dir!J6/((1/1000)*(up_Irr!AG6+up_Irr!BE6)),IF(AND(up_Irr!I6=".",up_Irr!AG6=".",up_Irr!BE6&lt;&gt;"."),up_dir!J6/((1/1000)*(up_Irr!BE6)),IF(AND(up_Irr!I6=".",up_Irr!AG6&lt;&gt;".",up_Irr!BE6="."),up_dir!J6/((1/1000)*(up_Irr!AG6)),IF(AND(up_Irr!I6&lt;&gt;".",up_Irr!AG6=".",up_Irr!BE6="."),up_dir!J6/((1/1000)*(up_Irr!I6)),IF(AND(up_Irr!I6=".",up_Irr!AG6=".",up_Irr!BE6="."),up_dir!J6*1000)))))))),".")</f>
        <v>7.2351016258567334E-11</v>
      </c>
      <c r="K6" s="76">
        <f>IFERROR(IF(AND(up_Irr!J6&lt;&gt;".",up_Irr!AH6&lt;&gt;".",up_Irr!BF6&lt;&gt;"."),up_dir!K6/((1/1000)*(up_Irr!J6+up_Irr!AH6+up_Irr!BF6)),IF(AND(up_Irr!J6&lt;&gt;".",up_Irr!AH6&lt;&gt;".",up_Irr!BF6="."),up_dir!K6/((1/1000)*(up_Irr!J6+up_Irr!AH6)),IF(AND(up_Irr!J6&lt;&gt;".",up_Irr!AH6=".",up_Irr!BF6&lt;&gt;"."),up_dir!K6/((1/1000)*(up_Irr!J6+up_Irr!BF6)),IF(AND(up_Irr!J6=".",up_Irr!AH6&lt;&gt;".",up_Irr!BF6&lt;&gt;"."),up_dir!K6/((1/1000)*(up_Irr!AH6+up_Irr!BF6)),IF(AND(up_Irr!J6=".",up_Irr!AH6=".",up_Irr!BF6&lt;&gt;"."),up_dir!K6/((1/1000)*(up_Irr!BF6)),IF(AND(up_Irr!J6=".",up_Irr!AH6&lt;&gt;".",up_Irr!BF6="."),up_dir!K6/((1/1000)*(up_Irr!AH6)),IF(AND(up_Irr!J6&lt;&gt;".",up_Irr!AH6=".",up_Irr!BF6="."),up_dir!K6/((1/1000)*(up_Irr!J6)),IF(AND(up_Irr!J6=".",up_Irr!AH6=".",up_Irr!BF6="."),up_dir!K6*1000)))))))),".")</f>
        <v>7.2351016258567334E-11</v>
      </c>
      <c r="L6" s="76">
        <f>IFERROR(IF(AND(up_Irr!K6&lt;&gt;".",up_Irr!AI6&lt;&gt;".",up_Irr!BG6&lt;&gt;"."),up_dir!L6/((1/1000)*(up_Irr!K6+up_Irr!AI6+up_Irr!BG6)),IF(AND(up_Irr!K6&lt;&gt;".",up_Irr!AI6&lt;&gt;".",up_Irr!BG6="."),up_dir!L6/((1/1000)*(up_Irr!K6+up_Irr!AI6)),IF(AND(up_Irr!K6&lt;&gt;".",up_Irr!AI6=".",up_Irr!BG6&lt;&gt;"."),up_dir!L6/((1/1000)*(up_Irr!K6+up_Irr!BG6)),IF(AND(up_Irr!K6=".",up_Irr!AI6&lt;&gt;".",up_Irr!BG6&lt;&gt;"."),up_dir!L6/((1/1000)*(up_Irr!AI6+up_Irr!BG6)),IF(AND(up_Irr!K6=".",up_Irr!AI6=".",up_Irr!BG6&lt;&gt;"."),up_dir!L6/((1/1000)*(up_Irr!BG6)),IF(AND(up_Irr!K6=".",up_Irr!AI6&lt;&gt;".",up_Irr!BG6="."),up_dir!L6/((1/1000)*(up_Irr!AI6)),IF(AND(up_Irr!K6&lt;&gt;".",up_Irr!AI6=".",up_Irr!BG6="."),up_dir!L6/((1/1000)*(up_Irr!K6)),IF(AND(up_Irr!K6=".",up_Irr!AI6=".",up_Irr!BG6="."),up_dir!L6*1000)))))))),".")</f>
        <v>7.2351016258567334E-11</v>
      </c>
      <c r="M6" s="76">
        <f>IFERROR(IF(AND(up_Irr!L6&lt;&gt;".",up_Irr!AJ6&lt;&gt;".",up_Irr!BH6&lt;&gt;"."),up_dir!M6/((1/1000)*(up_Irr!L6+up_Irr!AJ6+up_Irr!BH6)),IF(AND(up_Irr!L6&lt;&gt;".",up_Irr!AJ6&lt;&gt;".",up_Irr!BH6="."),up_dir!M6/((1/1000)*(up_Irr!L6+up_Irr!AJ6)),IF(AND(up_Irr!L6&lt;&gt;".",up_Irr!AJ6=".",up_Irr!BH6&lt;&gt;"."),up_dir!M6/((1/1000)*(up_Irr!L6+up_Irr!BH6)),IF(AND(up_Irr!L6=".",up_Irr!AJ6&lt;&gt;".",up_Irr!BH6&lt;&gt;"."),up_dir!M6/((1/1000)*(up_Irr!AJ6+up_Irr!BH6)),IF(AND(up_Irr!L6=".",up_Irr!AJ6=".",up_Irr!BH6&lt;&gt;"."),up_dir!M6/((1/1000)*(up_Irr!BH6)),IF(AND(up_Irr!L6=".",up_Irr!AJ6&lt;&gt;".",up_Irr!BH6="."),up_dir!M6/((1/1000)*(up_Irr!AJ6)),IF(AND(up_Irr!L6&lt;&gt;".",up_Irr!AJ6=".",up_Irr!BH6="."),up_dir!M6/((1/1000)*(up_Irr!L6)),IF(AND(up_Irr!L6=".",up_Irr!AJ6=".",up_Irr!BH6="."),up_dir!M6*1000)))))))),".")</f>
        <v>7.2351016258567334E-11</v>
      </c>
      <c r="N6" s="76">
        <f>IFERROR(IF(AND(up_Irr!M6&lt;&gt;".",up_Irr!AK6&lt;&gt;".",up_Irr!BI6&lt;&gt;"."),up_dir!N6/((1/1000)*(up_Irr!M6+up_Irr!AK6+up_Irr!BI6)),IF(AND(up_Irr!M6&lt;&gt;".",up_Irr!AK6&lt;&gt;".",up_Irr!BI6="."),up_dir!N6/((1/1000)*(up_Irr!M6+up_Irr!AK6)),IF(AND(up_Irr!M6&lt;&gt;".",up_Irr!AK6=".",up_Irr!BI6&lt;&gt;"."),up_dir!N6/((1/1000)*(up_Irr!M6+up_Irr!BI6)),IF(AND(up_Irr!M6=".",up_Irr!AK6&lt;&gt;".",up_Irr!BI6&lt;&gt;"."),up_dir!N6/((1/1000)*(up_Irr!AK6+up_Irr!BI6)),IF(AND(up_Irr!M6=".",up_Irr!AK6=".",up_Irr!BI6&lt;&gt;"."),up_dir!N6/((1/1000)*(up_Irr!BI6)),IF(AND(up_Irr!M6=".",up_Irr!AK6&lt;&gt;".",up_Irr!BI6="."),up_dir!N6/((1/1000)*(up_Irr!AK6)),IF(AND(up_Irr!M6&lt;&gt;".",up_Irr!AK6=".",up_Irr!BI6="."),up_dir!N6/((1/1000)*(up_Irr!M6)),IF(AND(up_Irr!M6=".",up_Irr!AK6=".",up_Irr!BI6="."),up_dir!N6*1000)))))))),".")</f>
        <v>7.2351016258567334E-11</v>
      </c>
      <c r="O6" s="76">
        <f>IFERROR(IF(AND(up_Irr!N6&lt;&gt;".",up_Irr!AL6&lt;&gt;".",up_Irr!BJ6&lt;&gt;"."),up_dir!O6/((1/1000)*(up_Irr!N6+up_Irr!AL6+up_Irr!BJ6)),IF(AND(up_Irr!N6&lt;&gt;".",up_Irr!AL6&lt;&gt;".",up_Irr!BJ6="."),up_dir!O6/((1/1000)*(up_Irr!N6+up_Irr!AL6)),IF(AND(up_Irr!N6&lt;&gt;".",up_Irr!AL6=".",up_Irr!BJ6&lt;&gt;"."),up_dir!O6/((1/1000)*(up_Irr!N6+up_Irr!BJ6)),IF(AND(up_Irr!N6=".",up_Irr!AL6&lt;&gt;".",up_Irr!BJ6&lt;&gt;"."),up_dir!O6/((1/1000)*(up_Irr!AL6+up_Irr!BJ6)),IF(AND(up_Irr!N6=".",up_Irr!AL6=".",up_Irr!BJ6&lt;&gt;"."),up_dir!O6/((1/1000)*(up_Irr!BJ6)),IF(AND(up_Irr!N6=".",up_Irr!AL6&lt;&gt;".",up_Irr!BJ6="."),up_dir!O6/((1/1000)*(up_Irr!AL6)),IF(AND(up_Irr!N6&lt;&gt;".",up_Irr!AL6=".",up_Irr!BJ6="."),up_dir!O6/((1/1000)*(up_Irr!N6)),IF(AND(up_Irr!N6=".",up_Irr!AL6=".",up_Irr!BJ6="."),up_dir!O6*1000)))))))),".")</f>
        <v>7.2351016258567334E-11</v>
      </c>
      <c r="P6" s="76">
        <f>IFERROR(IF(AND(up_Irr!O6&lt;&gt;".",up_Irr!AM6&lt;&gt;".",up_Irr!BK6&lt;&gt;"."),up_dir!P6/((1/1000)*(up_Irr!O6+up_Irr!AM6+up_Irr!BK6)),IF(AND(up_Irr!O6&lt;&gt;".",up_Irr!AM6&lt;&gt;".",up_Irr!BK6="."),up_dir!P6/((1/1000)*(up_Irr!O6+up_Irr!AM6)),IF(AND(up_Irr!O6&lt;&gt;".",up_Irr!AM6=".",up_Irr!BK6&lt;&gt;"."),up_dir!P6/((1/1000)*(up_Irr!O6+up_Irr!BK6)),IF(AND(up_Irr!O6=".",up_Irr!AM6&lt;&gt;".",up_Irr!BK6&lt;&gt;"."),up_dir!P6/((1/1000)*(up_Irr!AM6+up_Irr!BK6)),IF(AND(up_Irr!O6=".",up_Irr!AM6=".",up_Irr!BK6&lt;&gt;"."),up_dir!P6/((1/1000)*(up_Irr!BK6)),IF(AND(up_Irr!O6=".",up_Irr!AM6&lt;&gt;".",up_Irr!BK6="."),up_dir!P6/((1/1000)*(up_Irr!AM6)),IF(AND(up_Irr!O6&lt;&gt;".",up_Irr!AM6=".",up_Irr!BK6="."),up_dir!P6/((1/1000)*(up_Irr!O6)),IF(AND(up_Irr!O6=".",up_Irr!AM6=".",up_Irr!BK6="."),up_dir!P6*1000)))))))),".")</f>
        <v>7.2351016258567334E-11</v>
      </c>
      <c r="Q6" s="76">
        <f>IFERROR(IF(AND(up_Irr!P6&lt;&gt;".",up_Irr!AN6&lt;&gt;".",up_Irr!BL6&lt;&gt;"."),up_dir!Q6/((1/1000)*(up_Irr!P6+up_Irr!AN6+up_Irr!BL6)),IF(AND(up_Irr!P6&lt;&gt;".",up_Irr!AN6&lt;&gt;".",up_Irr!BL6="."),up_dir!Q6/((1/1000)*(up_Irr!P6+up_Irr!AN6)),IF(AND(up_Irr!P6&lt;&gt;".",up_Irr!AN6=".",up_Irr!BL6&lt;&gt;"."),up_dir!Q6/((1/1000)*(up_Irr!P6+up_Irr!BL6)),IF(AND(up_Irr!P6=".",up_Irr!AN6&lt;&gt;".",up_Irr!BL6&lt;&gt;"."),up_dir!Q6/((1/1000)*(up_Irr!AN6+up_Irr!BL6)),IF(AND(up_Irr!P6=".",up_Irr!AN6=".",up_Irr!BL6&lt;&gt;"."),up_dir!Q6/((1/1000)*(up_Irr!BL6)),IF(AND(up_Irr!P6=".",up_Irr!AN6&lt;&gt;".",up_Irr!BL6="."),up_dir!Q6/((1/1000)*(up_Irr!AN6)),IF(AND(up_Irr!P6&lt;&gt;".",up_Irr!AN6=".",up_Irr!BL6="."),up_dir!Q6/((1/1000)*(up_Irr!P6)),IF(AND(up_Irr!P6=".",up_Irr!AN6=".",up_Irr!BL6="."),up_dir!Q6*1000)))))))),".")</f>
        <v>7.2351016258567334E-11</v>
      </c>
      <c r="R6" s="76">
        <f>IFERROR(IF(AND(up_Irr!Q6&lt;&gt;".",up_Irr!AO6&lt;&gt;".",up_Irr!BM6&lt;&gt;"."),up_dir!R6/((1/1000)*(up_Irr!Q6+up_Irr!AO6+up_Irr!BM6)),IF(AND(up_Irr!Q6&lt;&gt;".",up_Irr!AO6&lt;&gt;".",up_Irr!BM6="."),up_dir!R6/((1/1000)*(up_Irr!Q6+up_Irr!AO6)),IF(AND(up_Irr!Q6&lt;&gt;".",up_Irr!AO6=".",up_Irr!BM6&lt;&gt;"."),up_dir!R6/((1/1000)*(up_Irr!Q6+up_Irr!BM6)),IF(AND(up_Irr!Q6=".",up_Irr!AO6&lt;&gt;".",up_Irr!BM6&lt;&gt;"."),up_dir!R6/((1/1000)*(up_Irr!AO6+up_Irr!BM6)),IF(AND(up_Irr!Q6=".",up_Irr!AO6=".",up_Irr!BM6&lt;&gt;"."),up_dir!R6/((1/1000)*(up_Irr!BM6)),IF(AND(up_Irr!Q6=".",up_Irr!AO6&lt;&gt;".",up_Irr!BM6="."),up_dir!R6/((1/1000)*(up_Irr!AO6)),IF(AND(up_Irr!Q6&lt;&gt;".",up_Irr!AO6=".",up_Irr!BM6="."),up_dir!R6/((1/1000)*(up_Irr!Q6)),IF(AND(up_Irr!Q6=".",up_Irr!AO6=".",up_Irr!BM6="."),up_dir!R6*1000)))))))),".")</f>
        <v>7.2351016258567334E-11</v>
      </c>
      <c r="S6" s="76">
        <f>IFERROR(IF(AND(up_Irr!R6&lt;&gt;".",up_Irr!AP6&lt;&gt;".",up_Irr!BN6&lt;&gt;"."),up_dir!S6/((1/1000)*(up_Irr!R6+up_Irr!AP6+up_Irr!BN6)),IF(AND(up_Irr!R6&lt;&gt;".",up_Irr!AP6&lt;&gt;".",up_Irr!BN6="."),up_dir!S6/((1/1000)*(up_Irr!R6+up_Irr!AP6)),IF(AND(up_Irr!R6&lt;&gt;".",up_Irr!AP6=".",up_Irr!BN6&lt;&gt;"."),up_dir!S6/((1/1000)*(up_Irr!R6+up_Irr!BN6)),IF(AND(up_Irr!R6=".",up_Irr!AP6&lt;&gt;".",up_Irr!BN6&lt;&gt;"."),up_dir!S6/((1/1000)*(up_Irr!AP6+up_Irr!BN6)),IF(AND(up_Irr!R6=".",up_Irr!AP6=".",up_Irr!BN6&lt;&gt;"."),up_dir!S6/((1/1000)*(up_Irr!BN6)),IF(AND(up_Irr!R6=".",up_Irr!AP6&lt;&gt;".",up_Irr!BN6="."),up_dir!S6/((1/1000)*(up_Irr!AP6)),IF(AND(up_Irr!R6&lt;&gt;".",up_Irr!AP6=".",up_Irr!BN6="."),up_dir!S6/((1/1000)*(up_Irr!R6)),IF(AND(up_Irr!R6=".",up_Irr!AP6=".",up_Irr!BN6="."),up_dir!S6*1000)))))))),".")</f>
        <v>7.2351016258567334E-11</v>
      </c>
      <c r="T6" s="76">
        <f>IFERROR(IF(AND(up_Irr!S6&lt;&gt;".",up_Irr!AQ6&lt;&gt;".",up_Irr!BO6&lt;&gt;"."),up_dir!T6/((1/1000)*(up_Irr!S6+up_Irr!AQ6+up_Irr!BO6)),IF(AND(up_Irr!S6&lt;&gt;".",up_Irr!AQ6&lt;&gt;".",up_Irr!BO6="."),up_dir!T6/((1/1000)*(up_Irr!S6+up_Irr!AQ6)),IF(AND(up_Irr!S6&lt;&gt;".",up_Irr!AQ6=".",up_Irr!BO6&lt;&gt;"."),up_dir!T6/((1/1000)*(up_Irr!S6+up_Irr!BO6)),IF(AND(up_Irr!S6=".",up_Irr!AQ6&lt;&gt;".",up_Irr!BO6&lt;&gt;"."),up_dir!T6/((1/1000)*(up_Irr!AQ6+up_Irr!BO6)),IF(AND(up_Irr!S6=".",up_Irr!AQ6=".",up_Irr!BO6&lt;&gt;"."),up_dir!T6/((1/1000)*(up_Irr!BO6)),IF(AND(up_Irr!S6=".",up_Irr!AQ6&lt;&gt;".",up_Irr!BO6="."),up_dir!T6/((1/1000)*(up_Irr!AQ6)),IF(AND(up_Irr!S6&lt;&gt;".",up_Irr!AQ6=".",up_Irr!BO6="."),up_dir!T6/((1/1000)*(up_Irr!S6)),IF(AND(up_Irr!S6=".",up_Irr!AQ6=".",up_Irr!BO6="."),up_dir!T6*1000)))))))),".")</f>
        <v>7.2351016258567334E-11</v>
      </c>
      <c r="U6" s="76">
        <f>IFERROR(IF(AND(up_Irr!T6&lt;&gt;".",up_Irr!AR6&lt;&gt;".",up_Irr!BP6&lt;&gt;"."),up_dir!U6/((1/1000)*(up_Irr!T6+up_Irr!AR6+up_Irr!BP6)),IF(AND(up_Irr!T6&lt;&gt;".",up_Irr!AR6&lt;&gt;".",up_Irr!BP6="."),up_dir!U6/((1/1000)*(up_Irr!T6+up_Irr!AR6)),IF(AND(up_Irr!T6&lt;&gt;".",up_Irr!AR6=".",up_Irr!BP6&lt;&gt;"."),up_dir!U6/((1/1000)*(up_Irr!T6+up_Irr!BP6)),IF(AND(up_Irr!T6=".",up_Irr!AR6&lt;&gt;".",up_Irr!BP6&lt;&gt;"."),up_dir!U6/((1/1000)*(up_Irr!AR6+up_Irr!BP6)),IF(AND(up_Irr!T6=".",up_Irr!AR6=".",up_Irr!BP6&lt;&gt;"."),up_dir!U6/((1/1000)*(up_Irr!BP6)),IF(AND(up_Irr!T6=".",up_Irr!AR6&lt;&gt;".",up_Irr!BP6="."),up_dir!U6/((1/1000)*(up_Irr!AR6)),IF(AND(up_Irr!T6&lt;&gt;".",up_Irr!AR6=".",up_Irr!BP6="."),up_dir!U6/((1/1000)*(up_Irr!T6)),IF(AND(up_Irr!T6=".",up_Irr!AR6=".",up_Irr!BP6="."),up_dir!U6*1000)))))))),".")</f>
        <v>7.2351016258567334E-11</v>
      </c>
      <c r="V6" s="76">
        <f>IFERROR(IF(AND(up_Irr!U6&lt;&gt;".",up_Irr!AS6&lt;&gt;".",up_Irr!BQ6&lt;&gt;"."),up_dir!V6/((1/1000)*(up_Irr!U6+up_Irr!AS6+up_Irr!BQ6)),IF(AND(up_Irr!U6&lt;&gt;".",up_Irr!AS6&lt;&gt;".",up_Irr!BQ6="."),up_dir!V6/((1/1000)*(up_Irr!U6+up_Irr!AS6)),IF(AND(up_Irr!U6&lt;&gt;".",up_Irr!AS6=".",up_Irr!BQ6&lt;&gt;"."),up_dir!V6/((1/1000)*(up_Irr!U6+up_Irr!BQ6)),IF(AND(up_Irr!U6=".",up_Irr!AS6&lt;&gt;".",up_Irr!BQ6&lt;&gt;"."),up_dir!V6/((1/1000)*(up_Irr!AS6+up_Irr!BQ6)),IF(AND(up_Irr!U6=".",up_Irr!AS6=".",up_Irr!BQ6&lt;&gt;"."),up_dir!V6/((1/1000)*(up_Irr!BQ6)),IF(AND(up_Irr!U6=".",up_Irr!AS6&lt;&gt;".",up_Irr!BQ6="."),up_dir!V6/((1/1000)*(up_Irr!AS6)),IF(AND(up_Irr!U6&lt;&gt;".",up_Irr!AS6=".",up_Irr!BQ6="."),up_dir!V6/((1/1000)*(up_Irr!U6)),IF(AND(up_Irr!U6=".",up_Irr!AS6=".",up_Irr!BQ6="."),up_dir!V6*1000)))))))),".")</f>
        <v>7.2351016258567334E-11</v>
      </c>
      <c r="W6" s="76">
        <f>IFERROR(IF(AND(up_Irr!V6&lt;&gt;".",up_Irr!AT6&lt;&gt;".",up_Irr!BR6&lt;&gt;"."),up_dir!W6/((1/1000)*(up_Irr!V6+up_Irr!AT6+up_Irr!BR6)),IF(AND(up_Irr!V6&lt;&gt;".",up_Irr!AT6&lt;&gt;".",up_Irr!BR6="."),up_dir!W6/((1/1000)*(up_Irr!V6+up_Irr!AT6)),IF(AND(up_Irr!V6&lt;&gt;".",up_Irr!AT6=".",up_Irr!BR6&lt;&gt;"."),up_dir!W6/((1/1000)*(up_Irr!V6+up_Irr!BR6)),IF(AND(up_Irr!V6=".",up_Irr!AT6&lt;&gt;".",up_Irr!BR6&lt;&gt;"."),up_dir!W6/((1/1000)*(up_Irr!AT6+up_Irr!BR6)),IF(AND(up_Irr!V6=".",up_Irr!AT6=".",up_Irr!BR6&lt;&gt;"."),up_dir!W6/((1/1000)*(up_Irr!BR6)),IF(AND(up_Irr!V6=".",up_Irr!AT6&lt;&gt;".",up_Irr!BR6="."),up_dir!W6/((1/1000)*(up_Irr!AT6)),IF(AND(up_Irr!V6&lt;&gt;".",up_Irr!AT6=".",up_Irr!BR6="."),up_dir!W6/((1/1000)*(up_Irr!V6)),IF(AND(up_Irr!V6=".",up_Irr!AT6=".",up_Irr!BR6="."),up_dir!W6*1000)))))))),".")</f>
        <v>7.2351016258567334E-11</v>
      </c>
      <c r="X6" s="76">
        <f>IFERROR(IF(AND(up_Irr!W6&lt;&gt;".",up_Irr!AU6&lt;&gt;".",up_Irr!BS6&lt;&gt;"."),up_dir!X6/((1/1000)*(up_Irr!W6+up_Irr!AU6+up_Irr!BS6)),IF(AND(up_Irr!W6&lt;&gt;".",up_Irr!AU6&lt;&gt;".",up_Irr!BS6="."),up_dir!X6/((1/1000)*(up_Irr!W6+up_Irr!AU6)),IF(AND(up_Irr!W6&lt;&gt;".",up_Irr!AU6=".",up_Irr!BS6&lt;&gt;"."),up_dir!X6/((1/1000)*(up_Irr!W6+up_Irr!BS6)),IF(AND(up_Irr!W6=".",up_Irr!AU6&lt;&gt;".",up_Irr!BS6&lt;&gt;"."),up_dir!X6/((1/1000)*(up_Irr!AU6+up_Irr!BS6)),IF(AND(up_Irr!W6=".",up_Irr!AU6=".",up_Irr!BS6&lt;&gt;"."),up_dir!X6/((1/1000)*(up_Irr!BS6)),IF(AND(up_Irr!W6=".",up_Irr!AU6&lt;&gt;".",up_Irr!BS6="."),up_dir!X6/((1/1000)*(up_Irr!AU6)),IF(AND(up_Irr!W6&lt;&gt;".",up_Irr!AU6=".",up_Irr!BS6="."),up_dir!X6/((1/1000)*(up_Irr!W6)),IF(AND(up_Irr!W6=".",up_Irr!AU6=".",up_Irr!BS6="."),up_dir!X6*1000)))))))),".")</f>
        <v>7.2351016258567334E-11</v>
      </c>
      <c r="Y6" s="76">
        <f>IFERROR(IF(AND(up_Irr!X6&lt;&gt;".",up_Irr!AV6&lt;&gt;".",up_Irr!BT6&lt;&gt;"."),up_dir!Y6/((1/1000)*(up_Irr!X6+up_Irr!AV6+up_Irr!BT6)),IF(AND(up_Irr!X6&lt;&gt;".",up_Irr!AV6&lt;&gt;".",up_Irr!BT6="."),up_dir!Y6/((1/1000)*(up_Irr!X6+up_Irr!AV6)),IF(AND(up_Irr!X6&lt;&gt;".",up_Irr!AV6=".",up_Irr!BT6&lt;&gt;"."),up_dir!Y6/((1/1000)*(up_Irr!X6+up_Irr!BT6)),IF(AND(up_Irr!X6=".",up_Irr!AV6&lt;&gt;".",up_Irr!BT6&lt;&gt;"."),up_dir!Y6/((1/1000)*(up_Irr!AV6+up_Irr!BT6)),IF(AND(up_Irr!X6=".",up_Irr!AV6=".",up_Irr!BT6&lt;&gt;"."),up_dir!Y6/((1/1000)*(up_Irr!BT6)),IF(AND(up_Irr!X6=".",up_Irr!AV6&lt;&gt;".",up_Irr!BT6="."),up_dir!Y6/((1/1000)*(up_Irr!AV6)),IF(AND(up_Irr!X6&lt;&gt;".",up_Irr!AV6=".",up_Irr!BT6="."),up_dir!Y6/((1/1000)*(up_Irr!X6)),IF(AND(up_Irr!X6=".",up_Irr!AV6=".",up_Irr!BT6="."),up_dir!Y6*1000)))))))),".")</f>
        <v>7.2351016258567334E-11</v>
      </c>
      <c r="Z6" s="76">
        <f>IFERROR(IF(AND(up_Irr!Y6&lt;&gt;".",up_Irr!AW6&lt;&gt;".",up_Irr!BU6&lt;&gt;"."),up_dir!Z6/((1/1000)*(up_Irr!Y6+up_Irr!AW6+up_Irr!BU6)),IF(AND(up_Irr!Y6&lt;&gt;".",up_Irr!AW6&lt;&gt;".",up_Irr!BU6="."),up_dir!Z6/((1/1000)*(up_Irr!Y6+up_Irr!AW6)),IF(AND(up_Irr!Y6&lt;&gt;".",up_Irr!AW6=".",up_Irr!BU6&lt;&gt;"."),up_dir!Z6/((1/1000)*(up_Irr!Y6+up_Irr!BU6)),IF(AND(up_Irr!Y6=".",up_Irr!AW6&lt;&gt;".",up_Irr!BU6&lt;&gt;"."),up_dir!Z6/((1/1000)*(up_Irr!AW6+up_Irr!BU6)),IF(AND(up_Irr!Y6=".",up_Irr!AW6=".",up_Irr!BU6&lt;&gt;"."),up_dir!Z6/((1/1000)*(up_Irr!BU6)),IF(AND(up_Irr!Y6=".",up_Irr!AW6&lt;&gt;".",up_Irr!BU6="."),up_dir!Z6/((1/1000)*(up_Irr!AW6)),IF(AND(up_Irr!Y6&lt;&gt;".",up_Irr!AW6=".",up_Irr!BU6="."),up_dir!Z6/((1/1000)*(up_Irr!Y6)),IF(AND(up_Irr!Y6=".",up_Irr!AW6=".",up_Irr!BU6="."),up_dir!Z6*1000)))))))),".")</f>
        <v>7.2351016258567334E-11</v>
      </c>
      <c r="AA6" s="76">
        <f>IFERROR(IF(AND(up_Irr!Z6&lt;&gt;".",up_Irr!AX6&lt;&gt;".",up_Irr!BV6&lt;&gt;"."),up_dir!AA6/((1/1000)*(up_Irr!Z6+up_Irr!AX6+up_Irr!BV6)),IF(AND(up_Irr!Z6&lt;&gt;".",up_Irr!AX6&lt;&gt;".",up_Irr!BV6="."),up_dir!AA6/((1/1000)*(up_Irr!Z6+up_Irr!AX6)),IF(AND(up_Irr!Z6&lt;&gt;".",up_Irr!AX6=".",up_Irr!BV6&lt;&gt;"."),up_dir!AA6/((1/1000)*(up_Irr!Z6+up_Irr!BV6)),IF(AND(up_Irr!Z6=".",up_Irr!AX6&lt;&gt;".",up_Irr!BV6&lt;&gt;"."),up_dir!AA6/((1/1000)*(up_Irr!AX6+up_Irr!BV6)),IF(AND(up_Irr!Z6=".",up_Irr!AX6=".",up_Irr!BV6&lt;&gt;"."),up_dir!AA6/((1/1000)*(up_Irr!BV6)),IF(AND(up_Irr!Z6=".",up_Irr!AX6&lt;&gt;".",up_Irr!BV6="."),up_dir!AA6/((1/1000)*(up_Irr!AX6)),IF(AND(up_Irr!Z6&lt;&gt;".",up_Irr!AX6=".",up_Irr!BV6="."),up_dir!AA6/((1/1000)*(up_Irr!Z6)),IF(AND(up_Irr!Z6=".",up_Irr!AX6=".",up_Irr!BV6="."),up_dir!AA6*1000)))))))),".")</f>
        <v>7.2351016258567334E-11</v>
      </c>
      <c r="AB6" s="93">
        <f>SUM(AC6:AD6,AY6:AZ6)</f>
        <v>55286.023705663516</v>
      </c>
      <c r="AC6" s="93">
        <f>IFERROR(s_C*s_IFAP_res_adj*s_CF_apple*0.001*(up_Irr!C6+up_Irr!AA6+up_Irr!AY6),".")</f>
        <v>13821.505926415879</v>
      </c>
      <c r="AD6" s="93">
        <f>IFERROR(s_C*s_IFAS_res_adj*s_CF_asparagus*0.001*(up_Irr!D6+up_Irr!AB6+up_Irr!AZ6),".")</f>
        <v>13821.505926415879</v>
      </c>
      <c r="AE6" s="93">
        <f>IFERROR(s_C*s_IFBT_res_adj*s_CF_beet*0.001*(up_Irr!E6+up_Irr!AC6+up_Irr!BA6),".")</f>
        <v>13821.505926415879</v>
      </c>
      <c r="AF6" s="93">
        <f>IFERROR(s_C*s_IFBE_res_adj*s_CF_berries*0.001*(up_Irr!F6+up_Irr!AD6+up_Irr!BB6),".")</f>
        <v>13821.505926415879</v>
      </c>
      <c r="AG6" s="93">
        <f>IFERROR(s_C*s_IFBR_res_adj*s_CF_broccoli*0.001*(up_Irr!G6+up_Irr!AE6+up_Irr!BC6),".")</f>
        <v>13821.505926415879</v>
      </c>
      <c r="AH6" s="93">
        <f>IFERROR(s_C*s_IFCB_res_adj*s_CF_cabbage*0.001*(up_Irr!H6+up_Irr!AF6+up_Irr!BD6),".")</f>
        <v>13821.505926415879</v>
      </c>
      <c r="AI6" s="93">
        <f>IFERROR(s_C*s_IFCR_res_adj*s_CF_carrot*0.001*(up_Irr!I6+up_Irr!AG6+up_Irr!BE6),".")</f>
        <v>13821.505926415879</v>
      </c>
      <c r="AJ6" s="93">
        <f>IFERROR(s_C*s_IFCI_res_adj*s_CF_citrus*0.001*(up_Irr!J6+up_Irr!AH6+up_Irr!BF6),".")</f>
        <v>13821.505926415879</v>
      </c>
      <c r="AK6" s="93">
        <f>IFERROR(s_C*s_IFCO_res_adj*s_CF_corn*0.001*(up_Irr!K6+up_Irr!AI6+up_Irr!BG6),".")</f>
        <v>13821.505926415879</v>
      </c>
      <c r="AL6" s="93">
        <f>IFERROR(s_C*s_IFCU_res_adj*s_CF_cucumber*0.001*(up_Irr!L6+up_Irr!AJ6+up_Irr!BH6),".")</f>
        <v>13821.505926415879</v>
      </c>
      <c r="AM6" s="93">
        <f>IFERROR(s_C*s_IFLE_res_adj*s_CF_lettuce*0.001*(up_Irr!M6+up_Irr!AK6+up_Irr!BI6),".")</f>
        <v>13821.505926415879</v>
      </c>
      <c r="AN6" s="93">
        <f>IFERROR(s_C*s_IFLI_res_adj*s_CF_lima_bean*0.001*(up_Irr!N6+up_Irr!AL6+up_Irr!BJ6),".")</f>
        <v>13821.505926415879</v>
      </c>
      <c r="AO6" s="93">
        <f>IFERROR(s_C*s_IFOK_res_adj*s_CF_okra*0.001*(up_Irr!O6+up_Irr!AM6+up_Irr!BK6),".")</f>
        <v>13821.505926415879</v>
      </c>
      <c r="AP6" s="93">
        <f>IFERROR(s_C*s_IFON_res_adj*s_CF_onion*0.001*(up_Irr!P6+up_Irr!AN6+up_Irr!BL6),".")</f>
        <v>13821.505926415879</v>
      </c>
      <c r="AQ6" s="93">
        <f>IFERROR(s_C*s_IFPC_res_adj*s_CF_peach*0.001*(up_Irr!Q6+up_Irr!AO6+up_Irr!BM6),".")</f>
        <v>13821.505926415879</v>
      </c>
      <c r="AR6" s="93">
        <f>IFERROR(s_C*s_IFPR_res_adj*s_CF_pear*0.001*(up_Irr!R6+up_Irr!AP6+up_Irr!BN6),".")</f>
        <v>13821.505926415879</v>
      </c>
      <c r="AS6" s="93">
        <f>IFERROR(s_C*s_IFPE_res_adj*s_CF_peas*0.001*(up_Irr!S6+up_Irr!AQ6+up_Irr!BO6),".")</f>
        <v>13821.505926415879</v>
      </c>
      <c r="AT6" s="93">
        <f>IFERROR(s_C*s_IFPT_res_adj*s_CF_potato*0.001*(up_Irr!T6+up_Irr!AR6+up_Irr!BP6),".")</f>
        <v>13821.505926415879</v>
      </c>
      <c r="AU6" s="93">
        <f>IFERROR(s_C*s_IFPU_res_adj*s_CF_pumpkin*0.001*(up_Irr!U6+up_Irr!AS6+up_Irr!BQ6),".")</f>
        <v>13821.505926415879</v>
      </c>
      <c r="AV6" s="93">
        <f>IFERROR(s_C*s_IFSN_res_adj*s_CF_snap_bean*0.001*(up_Irr!V6+up_Irr!AT6+up_Irr!BR6),".")</f>
        <v>13821.505926415879</v>
      </c>
      <c r="AW6" s="93">
        <f>IFERROR(s_C*s_IFST_res_adj*s_CF_strawberry*0.001*(up_Irr!W6+up_Irr!AU6+up_Irr!BS6),".")</f>
        <v>13821.505926415879</v>
      </c>
      <c r="AX6" s="93">
        <f>IFERROR(s_C*s_IFTO_res_adj*s_CF_tomato*0.001*(up_Irr!X6+up_Irr!AV6+up_Irr!BT6),".")</f>
        <v>13821.505926415879</v>
      </c>
      <c r="AY6" s="93">
        <f>IFERROR(s_C*s_IFRI_res_adj*s_CF_rice*0.001*(up_Irr!Y6+up_Irr!AW6+up_Irr!BU6),".")</f>
        <v>13821.505926415879</v>
      </c>
      <c r="AZ6" s="93">
        <f>IFERROR(s_C*s_IFCG_res_adj*s_CF_cereal*0.001*(up_Irr!Z6+up_Irr!AX6+up_Irr!BV6),".")</f>
        <v>13821.505926415879</v>
      </c>
      <c r="BA6" s="76">
        <f t="shared" si="3"/>
        <v>1.8087754064641833E-11</v>
      </c>
      <c r="BB6" s="76">
        <f>IFERROR(IF(AND(up_Irr!C6&lt;&gt;".",up_Irr!AA6&lt;&gt;".",up_Irr!AY6&lt;&gt;"."),up_dir!AC6/((1/1000)*(up_Irr!C6+up_Irr!AA6+up_Irr!AY6)),IF(AND(up_Irr!C6&lt;&gt;".",up_Irr!AA6&lt;&gt;".",up_Irr!AY6="."),up_dir!AC6/((1/1000)*(up_Irr!C6+up_Irr!AA6)),IF(AND(up_Irr!C6&lt;&gt;".",up_Irr!AA6=".",up_Irr!AY6&lt;&gt;"."),up_dir!AC6/((1/1000)*(up_Irr!C6+up_Irr!AY6)),IF(AND(up_Irr!C6=".",up_Irr!AA6&lt;&gt;".",up_Irr!AY6&lt;&gt;"."),up_dir!AC6/((1/1000)*(up_Irr!AA6+up_Irr!AY6)),IF(AND(up_Irr!C6=".",up_Irr!AA6=".",up_Irr!AY6&lt;&gt;"."),up_dir!AC6/((1/1000)*(up_Irr!AY6)),IF(AND(up_Irr!C6=".",up_Irr!AA6&lt;&gt;".",up_Irr!AY6="."),up_dir!AC6/((1/1000)*(up_Irr!AA6)),IF(AND(up_Irr!C6&lt;&gt;".",up_Irr!AA6=".",up_Irr!AY6="."),up_dir!AC6/((1/1000)*(up_Irr!C6)),IF(AND(up_Irr!C6=".",up_Irr!AA6=".",up_Irr!AY6="."),up_dir!AC6*1000)))))))),".")</f>
        <v>7.2351016258567334E-11</v>
      </c>
      <c r="BC6" s="76">
        <f>IFERROR(IF(AND(up_Irr!D6&lt;&gt;".",up_Irr!AB6&lt;&gt;".",up_Irr!AZ6&lt;&gt;"."),up_dir!AD6/((1/1000)*(up_Irr!D6+up_Irr!AB6+up_Irr!AZ6)),IF(AND(up_Irr!D6&lt;&gt;".",up_Irr!AB6&lt;&gt;".",up_Irr!AZ6="."),up_dir!AD6/((1/1000)*(up_Irr!D6+up_Irr!AB6)),IF(AND(up_Irr!D6&lt;&gt;".",up_Irr!AB6=".",up_Irr!AZ6&lt;&gt;"."),up_dir!AD6/((1/1000)*(up_Irr!D6+up_Irr!AZ6)),IF(AND(up_Irr!D6=".",up_Irr!AB6&lt;&gt;".",up_Irr!AZ6&lt;&gt;"."),up_dir!AD6/((1/1000)*(up_Irr!AB6+up_Irr!AZ6)),IF(AND(up_Irr!D6=".",up_Irr!AB6=".",up_Irr!AZ6&lt;&gt;"."),up_dir!AD6/((1/1000)*(up_Irr!AZ6)),IF(AND(up_Irr!D6=".",up_Irr!AB6&lt;&gt;".",up_Irr!AZ6="."),up_dir!AD6/((1/1000)*(up_Irr!AB6)),IF(AND(up_Irr!D6&lt;&gt;".",up_Irr!AB6=".",up_Irr!AZ6="."),up_dir!AD6/((1/1000)*(up_Irr!D6)),IF(AND(up_Irr!D6=".",up_Irr!AB6=".",up_Irr!AZ6="."),up_dir!AD6*1000)))))))),".")</f>
        <v>7.2351016258567334E-11</v>
      </c>
      <c r="BD6" s="76">
        <f>IFERROR(IF(AND(up_Irr!E6&lt;&gt;".",up_Irr!AC6&lt;&gt;".",up_Irr!BA6&lt;&gt;"."),up_dir!AE6/((1/1000)*(up_Irr!E6+up_Irr!AC6+up_Irr!BA6)),IF(AND(up_Irr!E6&lt;&gt;".",up_Irr!AC6&lt;&gt;".",up_Irr!BA6="."),up_dir!AE6/((1/1000)*(up_Irr!E6+up_Irr!AC6)),IF(AND(up_Irr!E6&lt;&gt;".",up_Irr!AC6=".",up_Irr!BA6&lt;&gt;"."),up_dir!AE6/((1/1000)*(up_Irr!E6+up_Irr!BA6)),IF(AND(up_Irr!E6=".",up_Irr!AC6&lt;&gt;".",up_Irr!BA6&lt;&gt;"."),up_dir!AE6/((1/1000)*(up_Irr!AC6+up_Irr!BA6)),IF(AND(up_Irr!E6=".",up_Irr!AC6=".",up_Irr!BA6&lt;&gt;"."),up_dir!AE6/((1/1000)*(up_Irr!BA6)),IF(AND(up_Irr!E6=".",up_Irr!AC6&lt;&gt;".",up_Irr!BA6="."),up_dir!AE6/((1/1000)*(up_Irr!AC6)),IF(AND(up_Irr!E6&lt;&gt;".",up_Irr!AC6=".",up_Irr!BA6="."),up_dir!AE6/((1/1000)*(up_Irr!E6)),IF(AND(up_Irr!E6=".",up_Irr!AC6=".",up_Irr!BA6="."),up_dir!AE6*1000)))))))),".")</f>
        <v>7.2351016258567334E-11</v>
      </c>
      <c r="BE6" s="76">
        <f>IFERROR(IF(AND(up_Irr!F6&lt;&gt;".",up_Irr!AD6&lt;&gt;".",up_Irr!BB6&lt;&gt;"."),up_dir!AF6/((1/1000)*(up_Irr!F6+up_Irr!AD6+up_Irr!BB6)),IF(AND(up_Irr!F6&lt;&gt;".",up_Irr!AD6&lt;&gt;".",up_Irr!BB6="."),up_dir!AF6/((1/1000)*(up_Irr!F6+up_Irr!AD6)),IF(AND(up_Irr!F6&lt;&gt;".",up_Irr!AD6=".",up_Irr!BB6&lt;&gt;"."),up_dir!AF6/((1/1000)*(up_Irr!F6+up_Irr!BB6)),IF(AND(up_Irr!F6=".",up_Irr!AD6&lt;&gt;".",up_Irr!BB6&lt;&gt;"."),up_dir!AF6/((1/1000)*(up_Irr!AD6+up_Irr!BB6)),IF(AND(up_Irr!F6=".",up_Irr!AD6=".",up_Irr!BB6&lt;&gt;"."),up_dir!AF6/((1/1000)*(up_Irr!BB6)),IF(AND(up_Irr!F6=".",up_Irr!AD6&lt;&gt;".",up_Irr!BB6="."),up_dir!AF6/((1/1000)*(up_Irr!AD6)),IF(AND(up_Irr!F6&lt;&gt;".",up_Irr!AD6=".",up_Irr!BB6="."),up_dir!AF6/((1/1000)*(up_Irr!F6)),IF(AND(up_Irr!F6=".",up_Irr!AD6=".",up_Irr!BB6="."),up_dir!AF6*1000)))))))),".")</f>
        <v>7.2351016258567334E-11</v>
      </c>
      <c r="BF6" s="76">
        <f>IFERROR(IF(AND(up_Irr!G6&lt;&gt;".",up_Irr!AE6&lt;&gt;".",up_Irr!BC6&lt;&gt;"."),up_dir!AG6/((1/1000)*(up_Irr!G6+up_Irr!AE6+up_Irr!BC6)),IF(AND(up_Irr!G6&lt;&gt;".",up_Irr!AE6&lt;&gt;".",up_Irr!BC6="."),up_dir!AG6/((1/1000)*(up_Irr!G6+up_Irr!AE6)),IF(AND(up_Irr!G6&lt;&gt;".",up_Irr!AE6=".",up_Irr!BC6&lt;&gt;"."),up_dir!AG6/((1/1000)*(up_Irr!G6+up_Irr!BC6)),IF(AND(up_Irr!G6=".",up_Irr!AE6&lt;&gt;".",up_Irr!BC6&lt;&gt;"."),up_dir!AG6/((1/1000)*(up_Irr!AE6+up_Irr!BC6)),IF(AND(up_Irr!G6=".",up_Irr!AE6=".",up_Irr!BC6&lt;&gt;"."),up_dir!AG6/((1/1000)*(up_Irr!BC6)),IF(AND(up_Irr!G6=".",up_Irr!AE6&lt;&gt;".",up_Irr!BC6="."),up_dir!AG6/((1/1000)*(up_Irr!AE6)),IF(AND(up_Irr!G6&lt;&gt;".",up_Irr!AE6=".",up_Irr!BC6="."),up_dir!AG6/((1/1000)*(up_Irr!G6)),IF(AND(up_Irr!G6=".",up_Irr!AE6=".",up_Irr!BC6="."),up_dir!AG6*1000)))))))),".")</f>
        <v>7.2351016258567334E-11</v>
      </c>
      <c r="BG6" s="76">
        <f>IFERROR(IF(AND(up_Irr!H6&lt;&gt;".",up_Irr!AF6&lt;&gt;".",up_Irr!BD6&lt;&gt;"."),up_dir!AH6/((1/1000)*(up_Irr!H6+up_Irr!AF6+up_Irr!BD6)),IF(AND(up_Irr!H6&lt;&gt;".",up_Irr!AF6&lt;&gt;".",up_Irr!BD6="."),up_dir!AH6/((1/1000)*(up_Irr!H6+up_Irr!AF6)),IF(AND(up_Irr!H6&lt;&gt;".",up_Irr!AF6=".",up_Irr!BD6&lt;&gt;"."),up_dir!AH6/((1/1000)*(up_Irr!H6+up_Irr!BD6)),IF(AND(up_Irr!H6=".",up_Irr!AF6&lt;&gt;".",up_Irr!BD6&lt;&gt;"."),up_dir!AH6/((1/1000)*(up_Irr!AF6+up_Irr!BD6)),IF(AND(up_Irr!H6=".",up_Irr!AF6=".",up_Irr!BD6&lt;&gt;"."),up_dir!AH6/((1/1000)*(up_Irr!BD6)),IF(AND(up_Irr!H6=".",up_Irr!AF6&lt;&gt;".",up_Irr!BD6="."),up_dir!AH6/((1/1000)*(up_Irr!AF6)),IF(AND(up_Irr!H6&lt;&gt;".",up_Irr!AF6=".",up_Irr!BD6="."),up_dir!AH6/((1/1000)*(up_Irr!H6)),IF(AND(up_Irr!H6=".",up_Irr!AF6=".",up_Irr!BD6="."),up_dir!AH6*1000)))))))),".")</f>
        <v>7.2351016258567334E-11</v>
      </c>
      <c r="BH6" s="76">
        <f>IFERROR(IF(AND(up_Irr!I6&lt;&gt;".",up_Irr!AG6&lt;&gt;".",up_Irr!BE6&lt;&gt;"."),up_dir!AI6/((1/1000)*(up_Irr!I6+up_Irr!AG6+up_Irr!BE6)),IF(AND(up_Irr!I6&lt;&gt;".",up_Irr!AG6&lt;&gt;".",up_Irr!BE6="."),up_dir!AI6/((1/1000)*(up_Irr!I6+up_Irr!AG6)),IF(AND(up_Irr!I6&lt;&gt;".",up_Irr!AG6=".",up_Irr!BE6&lt;&gt;"."),up_dir!AI6/((1/1000)*(up_Irr!I6+up_Irr!BE6)),IF(AND(up_Irr!I6=".",up_Irr!AG6&lt;&gt;".",up_Irr!BE6&lt;&gt;"."),up_dir!AI6/((1/1000)*(up_Irr!AG6+up_Irr!BE6)),IF(AND(up_Irr!I6=".",up_Irr!AG6=".",up_Irr!BE6&lt;&gt;"."),up_dir!AI6/((1/1000)*(up_Irr!BE6)),IF(AND(up_Irr!I6=".",up_Irr!AG6&lt;&gt;".",up_Irr!BE6="."),up_dir!AI6/((1/1000)*(up_Irr!AG6)),IF(AND(up_Irr!I6&lt;&gt;".",up_Irr!AG6=".",up_Irr!BE6="."),up_dir!AI6/((1/1000)*(up_Irr!I6)),IF(AND(up_Irr!I6=".",up_Irr!AG6=".",up_Irr!BE6="."),up_dir!AI6*1000)))))))),".")</f>
        <v>7.2351016258567334E-11</v>
      </c>
      <c r="BI6" s="76">
        <f>IFERROR(IF(AND(up_Irr!J6&lt;&gt;".",up_Irr!AH6&lt;&gt;".",up_Irr!BF6&lt;&gt;"."),up_dir!AJ6/((1/1000)*(up_Irr!J6+up_Irr!AH6+up_Irr!BF6)),IF(AND(up_Irr!J6&lt;&gt;".",up_Irr!AH6&lt;&gt;".",up_Irr!BF6="."),up_dir!AJ6/((1/1000)*(up_Irr!J6+up_Irr!AH6)),IF(AND(up_Irr!J6&lt;&gt;".",up_Irr!AH6=".",up_Irr!BF6&lt;&gt;"."),up_dir!AJ6/((1/1000)*(up_Irr!J6+up_Irr!BF6)),IF(AND(up_Irr!J6=".",up_Irr!AH6&lt;&gt;".",up_Irr!BF6&lt;&gt;"."),up_dir!AJ6/((1/1000)*(up_Irr!AH6+up_Irr!BF6)),IF(AND(up_Irr!J6=".",up_Irr!AH6=".",up_Irr!BF6&lt;&gt;"."),up_dir!AJ6/((1/1000)*(up_Irr!BF6)),IF(AND(up_Irr!J6=".",up_Irr!AH6&lt;&gt;".",up_Irr!BF6="."),up_dir!AJ6/((1/1000)*(up_Irr!AH6)),IF(AND(up_Irr!J6&lt;&gt;".",up_Irr!AH6=".",up_Irr!BF6="."),up_dir!AJ6/((1/1000)*(up_Irr!J6)),IF(AND(up_Irr!J6=".",up_Irr!AH6=".",up_Irr!BF6="."),up_dir!AJ6*1000)))))))),".")</f>
        <v>7.2351016258567334E-11</v>
      </c>
      <c r="BJ6" s="76">
        <f>IFERROR(IF(AND(up_Irr!K6&lt;&gt;".",up_Irr!AI6&lt;&gt;".",up_Irr!BG6&lt;&gt;"."),up_dir!AK6/((1/1000)*(up_Irr!K6+up_Irr!AI6+up_Irr!BG6)),IF(AND(up_Irr!K6&lt;&gt;".",up_Irr!AI6&lt;&gt;".",up_Irr!BG6="."),up_dir!AK6/((1/1000)*(up_Irr!K6+up_Irr!AI6)),IF(AND(up_Irr!K6&lt;&gt;".",up_Irr!AI6=".",up_Irr!BG6&lt;&gt;"."),up_dir!AK6/((1/1000)*(up_Irr!K6+up_Irr!BG6)),IF(AND(up_Irr!K6=".",up_Irr!AI6&lt;&gt;".",up_Irr!BG6&lt;&gt;"."),up_dir!AK6/((1/1000)*(up_Irr!AI6+up_Irr!BG6)),IF(AND(up_Irr!K6=".",up_Irr!AI6=".",up_Irr!BG6&lt;&gt;"."),up_dir!AK6/((1/1000)*(up_Irr!BG6)),IF(AND(up_Irr!K6=".",up_Irr!AI6&lt;&gt;".",up_Irr!BG6="."),up_dir!AK6/((1/1000)*(up_Irr!AI6)),IF(AND(up_Irr!K6&lt;&gt;".",up_Irr!AI6=".",up_Irr!BG6="."),up_dir!AK6/((1/1000)*(up_Irr!K6)),IF(AND(up_Irr!K6=".",up_Irr!AI6=".",up_Irr!BG6="."),up_dir!AK6*1000)))))))),".")</f>
        <v>7.2351016258567334E-11</v>
      </c>
      <c r="BK6" s="76">
        <f>IFERROR(IF(AND(up_Irr!L6&lt;&gt;".",up_Irr!AJ6&lt;&gt;".",up_Irr!BH6&lt;&gt;"."),up_dir!AL6/((1/1000)*(up_Irr!L6+up_Irr!AJ6+up_Irr!BH6)),IF(AND(up_Irr!L6&lt;&gt;".",up_Irr!AJ6&lt;&gt;".",up_Irr!BH6="."),up_dir!AL6/((1/1000)*(up_Irr!L6+up_Irr!AJ6)),IF(AND(up_Irr!L6&lt;&gt;".",up_Irr!AJ6=".",up_Irr!BH6&lt;&gt;"."),up_dir!AL6/((1/1000)*(up_Irr!L6+up_Irr!BH6)),IF(AND(up_Irr!L6=".",up_Irr!AJ6&lt;&gt;".",up_Irr!BH6&lt;&gt;"."),up_dir!AL6/((1/1000)*(up_Irr!AJ6+up_Irr!BH6)),IF(AND(up_Irr!L6=".",up_Irr!AJ6=".",up_Irr!BH6&lt;&gt;"."),up_dir!AL6/((1/1000)*(up_Irr!BH6)),IF(AND(up_Irr!L6=".",up_Irr!AJ6&lt;&gt;".",up_Irr!BH6="."),up_dir!AL6/((1/1000)*(up_Irr!AJ6)),IF(AND(up_Irr!L6&lt;&gt;".",up_Irr!AJ6=".",up_Irr!BH6="."),up_dir!AL6/((1/1000)*(up_Irr!L6)),IF(AND(up_Irr!L6=".",up_Irr!AJ6=".",up_Irr!BH6="."),up_dir!AL6*1000)))))))),".")</f>
        <v>7.2351016258567334E-11</v>
      </c>
      <c r="BL6" s="76">
        <f>IFERROR(IF(AND(up_Irr!M6&lt;&gt;".",up_Irr!AK6&lt;&gt;".",up_Irr!BI6&lt;&gt;"."),up_dir!AM6/((1/1000)*(up_Irr!M6+up_Irr!AK6+up_Irr!BI6)),IF(AND(up_Irr!M6&lt;&gt;".",up_Irr!AK6&lt;&gt;".",up_Irr!BI6="."),up_dir!AM6/((1/1000)*(up_Irr!M6+up_Irr!AK6)),IF(AND(up_Irr!M6&lt;&gt;".",up_Irr!AK6=".",up_Irr!BI6&lt;&gt;"."),up_dir!AM6/((1/1000)*(up_Irr!M6+up_Irr!BI6)),IF(AND(up_Irr!M6=".",up_Irr!AK6&lt;&gt;".",up_Irr!BI6&lt;&gt;"."),up_dir!AM6/((1/1000)*(up_Irr!AK6+up_Irr!BI6)),IF(AND(up_Irr!M6=".",up_Irr!AK6=".",up_Irr!BI6&lt;&gt;"."),up_dir!AM6/((1/1000)*(up_Irr!BI6)),IF(AND(up_Irr!M6=".",up_Irr!AK6&lt;&gt;".",up_Irr!BI6="."),up_dir!AM6/((1/1000)*(up_Irr!AK6)),IF(AND(up_Irr!M6&lt;&gt;".",up_Irr!AK6=".",up_Irr!BI6="."),up_dir!AM6/((1/1000)*(up_Irr!M6)),IF(AND(up_Irr!M6=".",up_Irr!AK6=".",up_Irr!BI6="."),up_dir!AM6*1000)))))))),".")</f>
        <v>7.2351016258567334E-11</v>
      </c>
      <c r="BM6" s="76">
        <f>IFERROR(IF(AND(up_Irr!N6&lt;&gt;".",up_Irr!AL6&lt;&gt;".",up_Irr!BJ6&lt;&gt;"."),up_dir!AN6/((1/1000)*(up_Irr!N6+up_Irr!AL6+up_Irr!BJ6)),IF(AND(up_Irr!N6&lt;&gt;".",up_Irr!AL6&lt;&gt;".",up_Irr!BJ6="."),up_dir!AN6/((1/1000)*(up_Irr!N6+up_Irr!AL6)),IF(AND(up_Irr!N6&lt;&gt;".",up_Irr!AL6=".",up_Irr!BJ6&lt;&gt;"."),up_dir!AN6/((1/1000)*(up_Irr!N6+up_Irr!BJ6)),IF(AND(up_Irr!N6=".",up_Irr!AL6&lt;&gt;".",up_Irr!BJ6&lt;&gt;"."),up_dir!AN6/((1/1000)*(up_Irr!AL6+up_Irr!BJ6)),IF(AND(up_Irr!N6=".",up_Irr!AL6=".",up_Irr!BJ6&lt;&gt;"."),up_dir!AN6/((1/1000)*(up_Irr!BJ6)),IF(AND(up_Irr!N6=".",up_Irr!AL6&lt;&gt;".",up_Irr!BJ6="."),up_dir!AN6/((1/1000)*(up_Irr!AL6)),IF(AND(up_Irr!N6&lt;&gt;".",up_Irr!AL6=".",up_Irr!BJ6="."),up_dir!AN6/((1/1000)*(up_Irr!N6)),IF(AND(up_Irr!N6=".",up_Irr!AL6=".",up_Irr!BJ6="."),up_dir!AN6*1000)))))))),".")</f>
        <v>7.2351016258567334E-11</v>
      </c>
      <c r="BN6" s="76">
        <f>IFERROR(IF(AND(up_Irr!O6&lt;&gt;".",up_Irr!AM6&lt;&gt;".",up_Irr!BK6&lt;&gt;"."),up_dir!AO6/((1/1000)*(up_Irr!O6+up_Irr!AM6+up_Irr!BK6)),IF(AND(up_Irr!O6&lt;&gt;".",up_Irr!AM6&lt;&gt;".",up_Irr!BK6="."),up_dir!AO6/((1/1000)*(up_Irr!O6+up_Irr!AM6)),IF(AND(up_Irr!O6&lt;&gt;".",up_Irr!AM6=".",up_Irr!BK6&lt;&gt;"."),up_dir!AO6/((1/1000)*(up_Irr!O6+up_Irr!BK6)),IF(AND(up_Irr!O6=".",up_Irr!AM6&lt;&gt;".",up_Irr!BK6&lt;&gt;"."),up_dir!AO6/((1/1000)*(up_Irr!AM6+up_Irr!BK6)),IF(AND(up_Irr!O6=".",up_Irr!AM6=".",up_Irr!BK6&lt;&gt;"."),up_dir!AO6/((1/1000)*(up_Irr!BK6)),IF(AND(up_Irr!O6=".",up_Irr!AM6&lt;&gt;".",up_Irr!BK6="."),up_dir!AO6/((1/1000)*(up_Irr!AM6)),IF(AND(up_Irr!O6&lt;&gt;".",up_Irr!AM6=".",up_Irr!BK6="."),up_dir!AO6/((1/1000)*(up_Irr!O6)),IF(AND(up_Irr!O6=".",up_Irr!AM6=".",up_Irr!BK6="."),up_dir!AO6*1000)))))))),".")</f>
        <v>7.2351016258567334E-11</v>
      </c>
      <c r="BO6" s="76">
        <f>IFERROR(IF(AND(up_Irr!P6&lt;&gt;".",up_Irr!AN6&lt;&gt;".",up_Irr!BL6&lt;&gt;"."),up_dir!AP6/((1/1000)*(up_Irr!P6+up_Irr!AN6+up_Irr!BL6)),IF(AND(up_Irr!P6&lt;&gt;".",up_Irr!AN6&lt;&gt;".",up_Irr!BL6="."),up_dir!AP6/((1/1000)*(up_Irr!P6+up_Irr!AN6)),IF(AND(up_Irr!P6&lt;&gt;".",up_Irr!AN6=".",up_Irr!BL6&lt;&gt;"."),up_dir!AP6/((1/1000)*(up_Irr!P6+up_Irr!BL6)),IF(AND(up_Irr!P6=".",up_Irr!AN6&lt;&gt;".",up_Irr!BL6&lt;&gt;"."),up_dir!AP6/((1/1000)*(up_Irr!AN6+up_Irr!BL6)),IF(AND(up_Irr!P6=".",up_Irr!AN6=".",up_Irr!BL6&lt;&gt;"."),up_dir!AP6/((1/1000)*(up_Irr!BL6)),IF(AND(up_Irr!P6=".",up_Irr!AN6&lt;&gt;".",up_Irr!BL6="."),up_dir!AP6/((1/1000)*(up_Irr!AN6)),IF(AND(up_Irr!P6&lt;&gt;".",up_Irr!AN6=".",up_Irr!BL6="."),up_dir!AP6/((1/1000)*(up_Irr!P6)),IF(AND(up_Irr!P6=".",up_Irr!AN6=".",up_Irr!BL6="."),up_dir!AP6*1000)))))))),".")</f>
        <v>7.2351016258567334E-11</v>
      </c>
      <c r="BP6" s="76">
        <f>IFERROR(IF(AND(up_Irr!Q6&lt;&gt;".",up_Irr!AO6&lt;&gt;".",up_Irr!BM6&lt;&gt;"."),up_dir!AQ6/((1/1000)*(up_Irr!Q6+up_Irr!AO6+up_Irr!BM6)),IF(AND(up_Irr!Q6&lt;&gt;".",up_Irr!AO6&lt;&gt;".",up_Irr!BM6="."),up_dir!AQ6/((1/1000)*(up_Irr!Q6+up_Irr!AO6)),IF(AND(up_Irr!Q6&lt;&gt;".",up_Irr!AO6=".",up_Irr!BM6&lt;&gt;"."),up_dir!AQ6/((1/1000)*(up_Irr!Q6+up_Irr!BM6)),IF(AND(up_Irr!Q6=".",up_Irr!AO6&lt;&gt;".",up_Irr!BM6&lt;&gt;"."),up_dir!AQ6/((1/1000)*(up_Irr!AO6+up_Irr!BM6)),IF(AND(up_Irr!Q6=".",up_Irr!AO6=".",up_Irr!BM6&lt;&gt;"."),up_dir!AQ6/((1/1000)*(up_Irr!BM6)),IF(AND(up_Irr!Q6=".",up_Irr!AO6&lt;&gt;".",up_Irr!BM6="."),up_dir!AQ6/((1/1000)*(up_Irr!AO6)),IF(AND(up_Irr!Q6&lt;&gt;".",up_Irr!AO6=".",up_Irr!BM6="."),up_dir!AQ6/((1/1000)*(up_Irr!Q6)),IF(AND(up_Irr!Q6=".",up_Irr!AO6=".",up_Irr!BM6="."),up_dir!AQ6*1000)))))))),".")</f>
        <v>7.2351016258567334E-11</v>
      </c>
      <c r="BQ6" s="76">
        <f>IFERROR(IF(AND(up_Irr!R6&lt;&gt;".",up_Irr!AP6&lt;&gt;".",up_Irr!BN6&lt;&gt;"."),up_dir!AR6/((1/1000)*(up_Irr!R6+up_Irr!AP6+up_Irr!BN6)),IF(AND(up_Irr!R6&lt;&gt;".",up_Irr!AP6&lt;&gt;".",up_Irr!BN6="."),up_dir!AR6/((1/1000)*(up_Irr!R6+up_Irr!AP6)),IF(AND(up_Irr!R6&lt;&gt;".",up_Irr!AP6=".",up_Irr!BN6&lt;&gt;"."),up_dir!AR6/((1/1000)*(up_Irr!R6+up_Irr!BN6)),IF(AND(up_Irr!R6=".",up_Irr!AP6&lt;&gt;".",up_Irr!BN6&lt;&gt;"."),up_dir!AR6/((1/1000)*(up_Irr!AP6+up_Irr!BN6)),IF(AND(up_Irr!R6=".",up_Irr!AP6=".",up_Irr!BN6&lt;&gt;"."),up_dir!AR6/((1/1000)*(up_Irr!BN6)),IF(AND(up_Irr!R6=".",up_Irr!AP6&lt;&gt;".",up_Irr!BN6="."),up_dir!AR6/((1/1000)*(up_Irr!AP6)),IF(AND(up_Irr!R6&lt;&gt;".",up_Irr!AP6=".",up_Irr!BN6="."),up_dir!AR6/((1/1000)*(up_Irr!R6)),IF(AND(up_Irr!R6=".",up_Irr!AP6=".",up_Irr!BN6="."),up_dir!AR6*1000)))))))),".")</f>
        <v>7.2351016258567334E-11</v>
      </c>
      <c r="BR6" s="76">
        <f>IFERROR(IF(AND(up_Irr!S6&lt;&gt;".",up_Irr!AQ6&lt;&gt;".",up_Irr!BO6&lt;&gt;"."),up_dir!AS6/((1/1000)*(up_Irr!S6+up_Irr!AQ6+up_Irr!BO6)),IF(AND(up_Irr!S6&lt;&gt;".",up_Irr!AQ6&lt;&gt;".",up_Irr!BO6="."),up_dir!AS6/((1/1000)*(up_Irr!S6+up_Irr!AQ6)),IF(AND(up_Irr!S6&lt;&gt;".",up_Irr!AQ6=".",up_Irr!BO6&lt;&gt;"."),up_dir!AS6/((1/1000)*(up_Irr!S6+up_Irr!BO6)),IF(AND(up_Irr!S6=".",up_Irr!AQ6&lt;&gt;".",up_Irr!BO6&lt;&gt;"."),up_dir!AS6/((1/1000)*(up_Irr!AQ6+up_Irr!BO6)),IF(AND(up_Irr!S6=".",up_Irr!AQ6=".",up_Irr!BO6&lt;&gt;"."),up_dir!AS6/((1/1000)*(up_Irr!BO6)),IF(AND(up_Irr!S6=".",up_Irr!AQ6&lt;&gt;".",up_Irr!BO6="."),up_dir!AS6/((1/1000)*(up_Irr!AQ6)),IF(AND(up_Irr!S6&lt;&gt;".",up_Irr!AQ6=".",up_Irr!BO6="."),up_dir!AS6/((1/1000)*(up_Irr!S6)),IF(AND(up_Irr!S6=".",up_Irr!AQ6=".",up_Irr!BO6="."),up_dir!AS6*1000)))))))),".")</f>
        <v>7.2351016258567334E-11</v>
      </c>
      <c r="BS6" s="76">
        <f>IFERROR(IF(AND(up_Irr!T6&lt;&gt;".",up_Irr!AR6&lt;&gt;".",up_Irr!BP6&lt;&gt;"."),up_dir!AT6/((1/1000)*(up_Irr!T6+up_Irr!AR6+up_Irr!BP6)),IF(AND(up_Irr!T6&lt;&gt;".",up_Irr!AR6&lt;&gt;".",up_Irr!BP6="."),up_dir!AT6/((1/1000)*(up_Irr!T6+up_Irr!AR6)),IF(AND(up_Irr!T6&lt;&gt;".",up_Irr!AR6=".",up_Irr!BP6&lt;&gt;"."),up_dir!AT6/((1/1000)*(up_Irr!T6+up_Irr!BP6)),IF(AND(up_Irr!T6=".",up_Irr!AR6&lt;&gt;".",up_Irr!BP6&lt;&gt;"."),up_dir!AT6/((1/1000)*(up_Irr!AR6+up_Irr!BP6)),IF(AND(up_Irr!T6=".",up_Irr!AR6=".",up_Irr!BP6&lt;&gt;"."),up_dir!AT6/((1/1000)*(up_Irr!BP6)),IF(AND(up_Irr!T6=".",up_Irr!AR6&lt;&gt;".",up_Irr!BP6="."),up_dir!AT6/((1/1000)*(up_Irr!AR6)),IF(AND(up_Irr!T6&lt;&gt;".",up_Irr!AR6=".",up_Irr!BP6="."),up_dir!AT6/((1/1000)*(up_Irr!T6)),IF(AND(up_Irr!T6=".",up_Irr!AR6=".",up_Irr!BP6="."),up_dir!AT6*1000)))))))),".")</f>
        <v>7.2351016258567334E-11</v>
      </c>
      <c r="BT6" s="76">
        <f>IFERROR(IF(AND(up_Irr!U6&lt;&gt;".",up_Irr!AS6&lt;&gt;".",up_Irr!BQ6&lt;&gt;"."),up_dir!AU6/((1/1000)*(up_Irr!U6+up_Irr!AS6+up_Irr!BQ6)),IF(AND(up_Irr!U6&lt;&gt;".",up_Irr!AS6&lt;&gt;".",up_Irr!BQ6="."),up_dir!AU6/((1/1000)*(up_Irr!U6+up_Irr!AS6)),IF(AND(up_Irr!U6&lt;&gt;".",up_Irr!AS6=".",up_Irr!BQ6&lt;&gt;"."),up_dir!AU6/((1/1000)*(up_Irr!U6+up_Irr!BQ6)),IF(AND(up_Irr!U6=".",up_Irr!AS6&lt;&gt;".",up_Irr!BQ6&lt;&gt;"."),up_dir!AU6/((1/1000)*(up_Irr!AS6+up_Irr!BQ6)),IF(AND(up_Irr!U6=".",up_Irr!AS6=".",up_Irr!BQ6&lt;&gt;"."),up_dir!AU6/((1/1000)*(up_Irr!BQ6)),IF(AND(up_Irr!U6=".",up_Irr!AS6&lt;&gt;".",up_Irr!BQ6="."),up_dir!AU6/((1/1000)*(up_Irr!AS6)),IF(AND(up_Irr!U6&lt;&gt;".",up_Irr!AS6=".",up_Irr!BQ6="."),up_dir!AU6/((1/1000)*(up_Irr!U6)),IF(AND(up_Irr!U6=".",up_Irr!AS6=".",up_Irr!BQ6="."),up_dir!AU6*1000)))))))),".")</f>
        <v>7.2351016258567334E-11</v>
      </c>
      <c r="BU6" s="76">
        <f>IFERROR(IF(AND(up_Irr!V6&lt;&gt;".",up_Irr!AT6&lt;&gt;".",up_Irr!BR6&lt;&gt;"."),up_dir!AV6/((1/1000)*(up_Irr!V6+up_Irr!AT6+up_Irr!BR6)),IF(AND(up_Irr!V6&lt;&gt;".",up_Irr!AT6&lt;&gt;".",up_Irr!BR6="."),up_dir!AV6/((1/1000)*(up_Irr!V6+up_Irr!AT6)),IF(AND(up_Irr!V6&lt;&gt;".",up_Irr!AT6=".",up_Irr!BR6&lt;&gt;"."),up_dir!AV6/((1/1000)*(up_Irr!V6+up_Irr!BR6)),IF(AND(up_Irr!V6=".",up_Irr!AT6&lt;&gt;".",up_Irr!BR6&lt;&gt;"."),up_dir!AV6/((1/1000)*(up_Irr!AT6+up_Irr!BR6)),IF(AND(up_Irr!V6=".",up_Irr!AT6=".",up_Irr!BR6&lt;&gt;"."),up_dir!AV6/((1/1000)*(up_Irr!BR6)),IF(AND(up_Irr!V6=".",up_Irr!AT6&lt;&gt;".",up_Irr!BR6="."),up_dir!AV6/((1/1000)*(up_Irr!AT6)),IF(AND(up_Irr!V6&lt;&gt;".",up_Irr!AT6=".",up_Irr!BR6="."),up_dir!AV6/((1/1000)*(up_Irr!V6)),IF(AND(up_Irr!V6=".",up_Irr!AT6=".",up_Irr!BR6="."),up_dir!AV6*1000)))))))),".")</f>
        <v>7.2351016258567334E-11</v>
      </c>
      <c r="BV6" s="76">
        <f>IFERROR(IF(AND(up_Irr!W6&lt;&gt;".",up_Irr!AU6&lt;&gt;".",up_Irr!BS6&lt;&gt;"."),up_dir!AW6/((1/1000)*(up_Irr!W6+up_Irr!AU6+up_Irr!BS6)),IF(AND(up_Irr!W6&lt;&gt;".",up_Irr!AU6&lt;&gt;".",up_Irr!BS6="."),up_dir!AW6/((1/1000)*(up_Irr!W6+up_Irr!AU6)),IF(AND(up_Irr!W6&lt;&gt;".",up_Irr!AU6=".",up_Irr!BS6&lt;&gt;"."),up_dir!AW6/((1/1000)*(up_Irr!W6+up_Irr!BS6)),IF(AND(up_Irr!W6=".",up_Irr!AU6&lt;&gt;".",up_Irr!BS6&lt;&gt;"."),up_dir!AW6/((1/1000)*(up_Irr!AU6+up_Irr!BS6)),IF(AND(up_Irr!W6=".",up_Irr!AU6=".",up_Irr!BS6&lt;&gt;"."),up_dir!AW6/((1/1000)*(up_Irr!BS6)),IF(AND(up_Irr!W6=".",up_Irr!AU6&lt;&gt;".",up_Irr!BS6="."),up_dir!AW6/((1/1000)*(up_Irr!AU6)),IF(AND(up_Irr!W6&lt;&gt;".",up_Irr!AU6=".",up_Irr!BS6="."),up_dir!AW6/((1/1000)*(up_Irr!W6)),IF(AND(up_Irr!W6=".",up_Irr!AU6=".",up_Irr!BS6="."),up_dir!AW6*1000)))))))),".")</f>
        <v>7.2351016258567334E-11</v>
      </c>
      <c r="BW6" s="76">
        <f>IFERROR(IF(AND(up_Irr!X6&lt;&gt;".",up_Irr!AV6&lt;&gt;".",up_Irr!BT6&lt;&gt;"."),up_dir!AX6/((1/1000)*(up_Irr!X6+up_Irr!AV6+up_Irr!BT6)),IF(AND(up_Irr!X6&lt;&gt;".",up_Irr!AV6&lt;&gt;".",up_Irr!BT6="."),up_dir!AX6/((1/1000)*(up_Irr!X6+up_Irr!AV6)),IF(AND(up_Irr!X6&lt;&gt;".",up_Irr!AV6=".",up_Irr!BT6&lt;&gt;"."),up_dir!AX6/((1/1000)*(up_Irr!X6+up_Irr!BT6)),IF(AND(up_Irr!X6=".",up_Irr!AV6&lt;&gt;".",up_Irr!BT6&lt;&gt;"."),up_dir!AX6/((1/1000)*(up_Irr!AV6+up_Irr!BT6)),IF(AND(up_Irr!X6=".",up_Irr!AV6=".",up_Irr!BT6&lt;&gt;"."),up_dir!AX6/((1/1000)*(up_Irr!BT6)),IF(AND(up_Irr!X6=".",up_Irr!AV6&lt;&gt;".",up_Irr!BT6="."),up_dir!AX6/((1/1000)*(up_Irr!AV6)),IF(AND(up_Irr!X6&lt;&gt;".",up_Irr!AV6=".",up_Irr!BT6="."),up_dir!AX6/((1/1000)*(up_Irr!X6)),IF(AND(up_Irr!X6=".",up_Irr!AV6=".",up_Irr!BT6="."),up_dir!AX6*1000)))))))),".")</f>
        <v>7.2351016258567334E-11</v>
      </c>
      <c r="BX6" s="76">
        <f>IFERROR(IF(AND(up_Irr!Y6&lt;&gt;".",up_Irr!AW6&lt;&gt;".",up_Irr!BU6&lt;&gt;"."),up_dir!AY6/((1/1000)*(up_Irr!Y6+up_Irr!AW6+up_Irr!BU6)),IF(AND(up_Irr!Y6&lt;&gt;".",up_Irr!AW6&lt;&gt;".",up_Irr!BU6="."),up_dir!AY6/((1/1000)*(up_Irr!Y6+up_Irr!AW6)),IF(AND(up_Irr!Y6&lt;&gt;".",up_Irr!AW6=".",up_Irr!BU6&lt;&gt;"."),up_dir!AY6/((1/1000)*(up_Irr!Y6+up_Irr!BU6)),IF(AND(up_Irr!Y6=".",up_Irr!AW6&lt;&gt;".",up_Irr!BU6&lt;&gt;"."),up_dir!AY6/((1/1000)*(up_Irr!AW6+up_Irr!BU6)),IF(AND(up_Irr!Y6=".",up_Irr!AW6=".",up_Irr!BU6&lt;&gt;"."),up_dir!AY6/((1/1000)*(up_Irr!BU6)),IF(AND(up_Irr!Y6=".",up_Irr!AW6&lt;&gt;".",up_Irr!BU6="."),up_dir!AY6/((1/1000)*(up_Irr!AW6)),IF(AND(up_Irr!Y6&lt;&gt;".",up_Irr!AW6=".",up_Irr!BU6="."),up_dir!AY6/((1/1000)*(up_Irr!Y6)),IF(AND(up_Irr!Y6=".",up_Irr!AW6=".",up_Irr!BU6="."),up_dir!AY6*1000)))))))),".")</f>
        <v>7.2351016258567334E-11</v>
      </c>
      <c r="BY6" s="76">
        <f>IFERROR(IF(AND(up_Irr!Z6&lt;&gt;".",up_Irr!AX6&lt;&gt;".",up_Irr!BV6&lt;&gt;"."),up_dir!AZ6/((1/1000)*(up_Irr!Z6+up_Irr!AX6+up_Irr!BV6)),IF(AND(up_Irr!Z6&lt;&gt;".",up_Irr!AX6&lt;&gt;".",up_Irr!BV6="."),up_dir!AZ6/((1/1000)*(up_Irr!Z6+up_Irr!AX6)),IF(AND(up_Irr!Z6&lt;&gt;".",up_Irr!AX6=".",up_Irr!BV6&lt;&gt;"."),up_dir!AZ6/((1/1000)*(up_Irr!Z6+up_Irr!BV6)),IF(AND(up_Irr!Z6=".",up_Irr!AX6&lt;&gt;".",up_Irr!BV6&lt;&gt;"."),up_dir!AZ6/((1/1000)*(up_Irr!AX6+up_Irr!BV6)),IF(AND(up_Irr!Z6=".",up_Irr!AX6=".",up_Irr!BV6&lt;&gt;"."),up_dir!AZ6/((1/1000)*(up_Irr!BV6)),IF(AND(up_Irr!Z6=".",up_Irr!AX6&lt;&gt;".",up_Irr!BV6="."),up_dir!AZ6/((1/1000)*(up_Irr!AX6)),IF(AND(up_Irr!Z6&lt;&gt;".",up_Irr!AX6=".",up_Irr!BV6="."),up_dir!AZ6/((1/1000)*(up_Irr!Z6)),IF(AND(up_Irr!Z6=".",up_Irr!AX6=".",up_Irr!BV6="."),up_dir!AZ6*1000)))))))),".")</f>
        <v>7.2351016258567334E-11</v>
      </c>
      <c r="BZ6" s="93">
        <f>SUM(CA6:CB6,CW6:CX6)</f>
        <v>55286.023705663516</v>
      </c>
      <c r="CA6" s="93">
        <f>IFERROR(s_C*s_IFAP_far_adj*s_CF_apple*(1/1000)*(up_Irr!C6+up_Irr!AA6+up_Irr!AY6),".")</f>
        <v>13821.505926415879</v>
      </c>
      <c r="CB6" s="93">
        <f>IFERROR(s_C*s_IFAS_far_adj*s_CF_asparagus*(1/1000)*(up_Irr!D6+up_Irr!AB6+up_Irr!AZ6),".")</f>
        <v>13821.505926415879</v>
      </c>
      <c r="CC6" s="93">
        <f>IFERROR(s_C*s_IFBT_far_adj*s_CF_beet*(1/1000)*(up_Irr!E6+up_Irr!AC6+up_Irr!BA6),".")</f>
        <v>13821.505926415879</v>
      </c>
      <c r="CD6" s="93">
        <f>IFERROR(s_C*s_IFBE_far_adj*s_CF_berries*(1/1000)*(up_Irr!F6+up_Irr!AD6+up_Irr!BB6),".")</f>
        <v>13821.505926415879</v>
      </c>
      <c r="CE6" s="93">
        <f>IFERROR(s_C*s_IFBR_far_adj*s_CF_broccoli*(1/1000)*(up_Irr!G6+up_Irr!AE6+up_Irr!BC6),".")</f>
        <v>13821.505926415879</v>
      </c>
      <c r="CF6" s="93">
        <f>IFERROR(s_C*s_IFCB_far_adj*s_CF_cabbage*(1/1000)*(up_Irr!H6+up_Irr!AF6+up_Irr!BD6),".")</f>
        <v>13821.505926415879</v>
      </c>
      <c r="CG6" s="93">
        <f>IFERROR(s_C*s_IFCR_far_adj*s_CF_carrot*(1/1000)*(up_Irr!I6+up_Irr!AG6+up_Irr!BE6),".")</f>
        <v>13821.505926415879</v>
      </c>
      <c r="CH6" s="93">
        <f>IFERROR(s_C*s_IFCI_far_adj*s_CF_citrus*(1/1000)*(up_Irr!J6+up_Irr!AH6+up_Irr!BF6),".")</f>
        <v>13821.505926415879</v>
      </c>
      <c r="CI6" s="93">
        <f>IFERROR(s_C*s_IFCO_far_adj*s_CF_corn*(1/1000)*(up_Irr!K6+up_Irr!AI6+up_Irr!BG6),".")</f>
        <v>13821.505926415879</v>
      </c>
      <c r="CJ6" s="93">
        <f>IFERROR(s_C*s_IFCU_far_adj*s_CF_cucumber*(1/1000)*(up_Irr!L6+up_Irr!AJ6+up_Irr!BH6),".")</f>
        <v>13821.505926415879</v>
      </c>
      <c r="CK6" s="93">
        <f>IFERROR(s_C*s_IFLE_far_adj*s_CF_lettuce*(1/1000)*(up_Irr!M6+up_Irr!AK6+up_Irr!BI6),".")</f>
        <v>13821.505926415879</v>
      </c>
      <c r="CL6" s="93">
        <f>IFERROR(s_C*s_IFLI_far_adj*s_CF_lima_bean*(1/1000)*(up_Irr!N6+up_Irr!AL6+up_Irr!BJ6),".")</f>
        <v>13821.505926415879</v>
      </c>
      <c r="CM6" s="93">
        <f>IFERROR(s_C*s_IFOK_far_adj*s_CF_okra*(1/1000)*(up_Irr!O6+up_Irr!AM6+up_Irr!BK6),".")</f>
        <v>13821.505926415879</v>
      </c>
      <c r="CN6" s="93">
        <f>IFERROR(s_C*s_IFON_far_adj*s_CF_onion*(1/1000)*(up_Irr!P6+up_Irr!AN6+up_Irr!BL6),".")</f>
        <v>13821.505926415879</v>
      </c>
      <c r="CO6" s="93">
        <f>IFERROR(s_C*s_IFPC_far_adj*s_CF_peach*(1/1000)*(up_Irr!Q6+up_Irr!AO6+up_Irr!BM6),".")</f>
        <v>13821.505926415879</v>
      </c>
      <c r="CP6" s="93">
        <f>IFERROR(s_C*s_IFPR_far_adj*s_CF_pear*(1/1000)*(up_Irr!R6+up_Irr!AP6+up_Irr!BN6),".")</f>
        <v>13821.505926415879</v>
      </c>
      <c r="CQ6" s="93">
        <f>IFERROR(s_C*s_IFPE_far_adj*s_CF_peas*(1/1000)*(up_Irr!S6+up_Irr!AQ6+up_Irr!BO6),".")</f>
        <v>13821.505926415879</v>
      </c>
      <c r="CR6" s="93">
        <f>IFERROR(s_C*s_IFPT_far_adj*s_CF_potato*(1/1000)*(up_Irr!T6+up_Irr!AR6+up_Irr!BP6),".")</f>
        <v>13821.505926415879</v>
      </c>
      <c r="CS6" s="93">
        <f>IFERROR(s_C*s_IFPU_far_adj*s_CF_pumpkin*(1/1000)*(up_Irr!U6+up_Irr!AS6+up_Irr!BQ6),".")</f>
        <v>13821.505926415879</v>
      </c>
      <c r="CT6" s="93">
        <f>IFERROR(s_C*s_IFSN_far_adj*s_CF_snap_bean*(1/1000)*(up_Irr!V6+up_Irr!AT6+up_Irr!BR6),".")</f>
        <v>13821.505926415879</v>
      </c>
      <c r="CU6" s="93">
        <f>IFERROR(s_C*s_IFST_far_adj*s_CF_strawberry*(1/1000)*(up_Irr!W6+up_Irr!AU6+up_Irr!BS6),".")</f>
        <v>13821.505926415879</v>
      </c>
      <c r="CV6" s="93">
        <f>IFERROR(s_C*s_IFTO_far_adj*s_CF_tomato*(1/1000)*(up_Irr!X6+up_Irr!AV6+up_Irr!BT6),".")</f>
        <v>13821.505926415879</v>
      </c>
      <c r="CW6" s="93">
        <f>IFERROR(s_C*s_IFRI_far_adj*s_CF_rice*(1/1000)*(up_Irr!Y6+up_Irr!AW6+up_Irr!BU6),".")</f>
        <v>13821.505926415879</v>
      </c>
      <c r="CX6" s="93">
        <f>IFERROR(s_C*s_IFCG_far_adj*s_CF_cereal*(1/1000)*(up_Irr!Z6+up_Irr!AX6+up_Irr!BV6),".")</f>
        <v>13821.505926415879</v>
      </c>
    </row>
    <row r="7" spans="1:102" ht="15" customHeight="1" x14ac:dyDescent="0.25">
      <c r="A7" s="92" t="s">
        <v>17</v>
      </c>
      <c r="B7" s="90" t="s">
        <v>1074</v>
      </c>
      <c r="C7" s="76">
        <f t="shared" si="0"/>
        <v>1.8087754064641833E-11</v>
      </c>
      <c r="D7" s="76">
        <f>IFERROR(IF(AND(up_Irr!C7&lt;&gt;".",up_Irr!AA7&lt;&gt;".",up_Irr!AY7&lt;&gt;"."),up_dir!D7/((1/1000)*(up_Irr!C7+up_Irr!AA7+up_Irr!AY7)),IF(AND(up_Irr!C7&lt;&gt;".",up_Irr!AA7&lt;&gt;".",up_Irr!AY7="."),up_dir!D7/((1/1000)*(up_Irr!C7+up_Irr!AA7)),IF(AND(up_Irr!C7&lt;&gt;".",up_Irr!AA7=".",up_Irr!AY7&lt;&gt;"."),up_dir!D7/((1/1000)*(up_Irr!C7+up_Irr!AY7)),IF(AND(up_Irr!C7=".",up_Irr!AA7&lt;&gt;".",up_Irr!AY7&lt;&gt;"."),up_dir!D7/((1/1000)*(up_Irr!AA7+up_Irr!AY7)),IF(AND(up_Irr!C7=".",up_Irr!AA7=".",up_Irr!AY7&lt;&gt;"."),up_dir!D7/((1/1000)*(up_Irr!AY7)),IF(AND(up_Irr!C7=".",up_Irr!AA7&lt;&gt;".",up_Irr!AY7="."),up_dir!D7/((1/1000)*(up_Irr!AA7)),IF(AND(up_Irr!C7&lt;&gt;".",up_Irr!AA7=".",up_Irr!AY7="."),up_dir!D7/((1/1000)*(up_Irr!C7)),IF(AND(up_Irr!C7=".",up_Irr!AA7=".",up_Irr!AY7="."),up_dir!D7*1000)))))))),".")</f>
        <v>7.2351016258567334E-11</v>
      </c>
      <c r="E7" s="76">
        <f>IFERROR(IF(AND(up_Irr!D7&lt;&gt;".",up_Irr!AB7&lt;&gt;".",up_Irr!AZ7&lt;&gt;"."),up_dir!E7/((1/1000)*(up_Irr!D7+up_Irr!AB7+up_Irr!AZ7)),IF(AND(up_Irr!D7&lt;&gt;".",up_Irr!AB7&lt;&gt;".",up_Irr!AZ7="."),up_dir!E7/((1/1000)*(up_Irr!D7+up_Irr!AB7)),IF(AND(up_Irr!D7&lt;&gt;".",up_Irr!AB7=".",up_Irr!AZ7&lt;&gt;"."),up_dir!E7/((1/1000)*(up_Irr!D7+up_Irr!AZ7)),IF(AND(up_Irr!D7=".",up_Irr!AB7&lt;&gt;".",up_Irr!AZ7&lt;&gt;"."),up_dir!E7/((1/1000)*(up_Irr!AB7+up_Irr!AZ7)),IF(AND(up_Irr!D7=".",up_Irr!AB7=".",up_Irr!AZ7&lt;&gt;"."),up_dir!E7/((1/1000)*(up_Irr!AZ7)),IF(AND(up_Irr!D7=".",up_Irr!AB7&lt;&gt;".",up_Irr!AZ7="."),up_dir!E7/((1/1000)*(up_Irr!AB7)),IF(AND(up_Irr!D7&lt;&gt;".",up_Irr!AB7=".",up_Irr!AZ7="."),up_dir!E7/((1/1000)*(up_Irr!D7)),IF(AND(up_Irr!D7=".",up_Irr!AB7=".",up_Irr!AZ7="."),up_dir!E7*1000)))))))),".")</f>
        <v>7.2351016258567334E-11</v>
      </c>
      <c r="F7" s="76">
        <f>IFERROR(IF(AND(up_Irr!E7&lt;&gt;".",up_Irr!AC7&lt;&gt;".",up_Irr!BA7&lt;&gt;"."),up_dir!F7/((1/1000)*(up_Irr!E7+up_Irr!AC7+up_Irr!BA7)),IF(AND(up_Irr!E7&lt;&gt;".",up_Irr!AC7&lt;&gt;".",up_Irr!BA7="."),up_dir!F7/((1/1000)*(up_Irr!E7+up_Irr!AC7)),IF(AND(up_Irr!E7&lt;&gt;".",up_Irr!AC7=".",up_Irr!BA7&lt;&gt;"."),up_dir!F7/((1/1000)*(up_Irr!E7+up_Irr!BA7)),IF(AND(up_Irr!E7=".",up_Irr!AC7&lt;&gt;".",up_Irr!BA7&lt;&gt;"."),up_dir!F7/((1/1000)*(up_Irr!AC7+up_Irr!BA7)),IF(AND(up_Irr!E7=".",up_Irr!AC7=".",up_Irr!BA7&lt;&gt;"."),up_dir!F7/((1/1000)*(up_Irr!BA7)),IF(AND(up_Irr!E7=".",up_Irr!AC7&lt;&gt;".",up_Irr!BA7="."),up_dir!F7/((1/1000)*(up_Irr!AC7)),IF(AND(up_Irr!E7&lt;&gt;".",up_Irr!AC7=".",up_Irr!BA7="."),up_dir!F7/((1/1000)*(up_Irr!E7)),IF(AND(up_Irr!E7=".",up_Irr!AC7=".",up_Irr!BA7="."),up_dir!F7*1000)))))))),".")</f>
        <v>7.2351016258567334E-11</v>
      </c>
      <c r="G7" s="76">
        <f>IFERROR(IF(AND(up_Irr!F7&lt;&gt;".",up_Irr!AD7&lt;&gt;".",up_Irr!BB7&lt;&gt;"."),up_dir!G7/((1/1000)*(up_Irr!F7+up_Irr!AD7+up_Irr!BB7)),IF(AND(up_Irr!F7&lt;&gt;".",up_Irr!AD7&lt;&gt;".",up_Irr!BB7="."),up_dir!G7/((1/1000)*(up_Irr!F7+up_Irr!AD7)),IF(AND(up_Irr!F7&lt;&gt;".",up_Irr!AD7=".",up_Irr!BB7&lt;&gt;"."),up_dir!G7/((1/1000)*(up_Irr!F7+up_Irr!BB7)),IF(AND(up_Irr!F7=".",up_Irr!AD7&lt;&gt;".",up_Irr!BB7&lt;&gt;"."),up_dir!G7/((1/1000)*(up_Irr!AD7+up_Irr!BB7)),IF(AND(up_Irr!F7=".",up_Irr!AD7=".",up_Irr!BB7&lt;&gt;"."),up_dir!G7/((1/1000)*(up_Irr!BB7)),IF(AND(up_Irr!F7=".",up_Irr!AD7&lt;&gt;".",up_Irr!BB7="."),up_dir!G7/((1/1000)*(up_Irr!AD7)),IF(AND(up_Irr!F7&lt;&gt;".",up_Irr!AD7=".",up_Irr!BB7="."),up_dir!G7/((1/1000)*(up_Irr!F7)),IF(AND(up_Irr!F7=".",up_Irr!AD7=".",up_Irr!BB7="."),up_dir!G7*1000)))))))),".")</f>
        <v>7.2351016258567334E-11</v>
      </c>
      <c r="H7" s="76">
        <f>IFERROR(IF(AND(up_Irr!G7&lt;&gt;".",up_Irr!AE7&lt;&gt;".",up_Irr!BC7&lt;&gt;"."),up_dir!H7/((1/1000)*(up_Irr!G7+up_Irr!AE7+up_Irr!BC7)),IF(AND(up_Irr!G7&lt;&gt;".",up_Irr!AE7&lt;&gt;".",up_Irr!BC7="."),up_dir!H7/((1/1000)*(up_Irr!G7+up_Irr!AE7)),IF(AND(up_Irr!G7&lt;&gt;".",up_Irr!AE7=".",up_Irr!BC7&lt;&gt;"."),up_dir!H7/((1/1000)*(up_Irr!G7+up_Irr!BC7)),IF(AND(up_Irr!G7=".",up_Irr!AE7&lt;&gt;".",up_Irr!BC7&lt;&gt;"."),up_dir!H7/((1/1000)*(up_Irr!AE7+up_Irr!BC7)),IF(AND(up_Irr!G7=".",up_Irr!AE7=".",up_Irr!BC7&lt;&gt;"."),up_dir!H7/((1/1000)*(up_Irr!BC7)),IF(AND(up_Irr!G7=".",up_Irr!AE7&lt;&gt;".",up_Irr!BC7="."),up_dir!H7/((1/1000)*(up_Irr!AE7)),IF(AND(up_Irr!G7&lt;&gt;".",up_Irr!AE7=".",up_Irr!BC7="."),up_dir!H7/((1/1000)*(up_Irr!G7)),IF(AND(up_Irr!G7=".",up_Irr!AE7=".",up_Irr!BC7="."),up_dir!H7*1000)))))))),".")</f>
        <v>7.2351016258567334E-11</v>
      </c>
      <c r="I7" s="76">
        <f>IFERROR(IF(AND(up_Irr!H7&lt;&gt;".",up_Irr!AF7&lt;&gt;".",up_Irr!BD7&lt;&gt;"."),up_dir!I7/((1/1000)*(up_Irr!H7+up_Irr!AF7+up_Irr!BD7)),IF(AND(up_Irr!H7&lt;&gt;".",up_Irr!AF7&lt;&gt;".",up_Irr!BD7="."),up_dir!I7/((1/1000)*(up_Irr!H7+up_Irr!AF7)),IF(AND(up_Irr!H7&lt;&gt;".",up_Irr!AF7=".",up_Irr!BD7&lt;&gt;"."),up_dir!I7/((1/1000)*(up_Irr!H7+up_Irr!BD7)),IF(AND(up_Irr!H7=".",up_Irr!AF7&lt;&gt;".",up_Irr!BD7&lt;&gt;"."),up_dir!I7/((1/1000)*(up_Irr!AF7+up_Irr!BD7)),IF(AND(up_Irr!H7=".",up_Irr!AF7=".",up_Irr!BD7&lt;&gt;"."),up_dir!I7/((1/1000)*(up_Irr!BD7)),IF(AND(up_Irr!H7=".",up_Irr!AF7&lt;&gt;".",up_Irr!BD7="."),up_dir!I7/((1/1000)*(up_Irr!AF7)),IF(AND(up_Irr!H7&lt;&gt;".",up_Irr!AF7=".",up_Irr!BD7="."),up_dir!I7/((1/1000)*(up_Irr!H7)),IF(AND(up_Irr!H7=".",up_Irr!AF7=".",up_Irr!BD7="."),up_dir!I7*1000)))))))),".")</f>
        <v>7.2351016258567334E-11</v>
      </c>
      <c r="J7" s="76">
        <f>IFERROR(IF(AND(up_Irr!I7&lt;&gt;".",up_Irr!AG7&lt;&gt;".",up_Irr!BE7&lt;&gt;"."),up_dir!J7/((1/1000)*(up_Irr!I7+up_Irr!AG7+up_Irr!BE7)),IF(AND(up_Irr!I7&lt;&gt;".",up_Irr!AG7&lt;&gt;".",up_Irr!BE7="."),up_dir!J7/((1/1000)*(up_Irr!I7+up_Irr!AG7)),IF(AND(up_Irr!I7&lt;&gt;".",up_Irr!AG7=".",up_Irr!BE7&lt;&gt;"."),up_dir!J7/((1/1000)*(up_Irr!I7+up_Irr!BE7)),IF(AND(up_Irr!I7=".",up_Irr!AG7&lt;&gt;".",up_Irr!BE7&lt;&gt;"."),up_dir!J7/((1/1000)*(up_Irr!AG7+up_Irr!BE7)),IF(AND(up_Irr!I7=".",up_Irr!AG7=".",up_Irr!BE7&lt;&gt;"."),up_dir!J7/((1/1000)*(up_Irr!BE7)),IF(AND(up_Irr!I7=".",up_Irr!AG7&lt;&gt;".",up_Irr!BE7="."),up_dir!J7/((1/1000)*(up_Irr!AG7)),IF(AND(up_Irr!I7&lt;&gt;".",up_Irr!AG7=".",up_Irr!BE7="."),up_dir!J7/((1/1000)*(up_Irr!I7)),IF(AND(up_Irr!I7=".",up_Irr!AG7=".",up_Irr!BE7="."),up_dir!J7*1000)))))))),".")</f>
        <v>7.2351016258567334E-11</v>
      </c>
      <c r="K7" s="76">
        <f>IFERROR(IF(AND(up_Irr!J7&lt;&gt;".",up_Irr!AH7&lt;&gt;".",up_Irr!BF7&lt;&gt;"."),up_dir!K7/((1/1000)*(up_Irr!J7+up_Irr!AH7+up_Irr!BF7)),IF(AND(up_Irr!J7&lt;&gt;".",up_Irr!AH7&lt;&gt;".",up_Irr!BF7="."),up_dir!K7/((1/1000)*(up_Irr!J7+up_Irr!AH7)),IF(AND(up_Irr!J7&lt;&gt;".",up_Irr!AH7=".",up_Irr!BF7&lt;&gt;"."),up_dir!K7/((1/1000)*(up_Irr!J7+up_Irr!BF7)),IF(AND(up_Irr!J7=".",up_Irr!AH7&lt;&gt;".",up_Irr!BF7&lt;&gt;"."),up_dir!K7/((1/1000)*(up_Irr!AH7+up_Irr!BF7)),IF(AND(up_Irr!J7=".",up_Irr!AH7=".",up_Irr!BF7&lt;&gt;"."),up_dir!K7/((1/1000)*(up_Irr!BF7)),IF(AND(up_Irr!J7=".",up_Irr!AH7&lt;&gt;".",up_Irr!BF7="."),up_dir!K7/((1/1000)*(up_Irr!AH7)),IF(AND(up_Irr!J7&lt;&gt;".",up_Irr!AH7=".",up_Irr!BF7="."),up_dir!K7/((1/1000)*(up_Irr!J7)),IF(AND(up_Irr!J7=".",up_Irr!AH7=".",up_Irr!BF7="."),up_dir!K7*1000)))))))),".")</f>
        <v>7.2351016258567334E-11</v>
      </c>
      <c r="L7" s="76">
        <f>IFERROR(IF(AND(up_Irr!K7&lt;&gt;".",up_Irr!AI7&lt;&gt;".",up_Irr!BG7&lt;&gt;"."),up_dir!L7/((1/1000)*(up_Irr!K7+up_Irr!AI7+up_Irr!BG7)),IF(AND(up_Irr!K7&lt;&gt;".",up_Irr!AI7&lt;&gt;".",up_Irr!BG7="."),up_dir!L7/((1/1000)*(up_Irr!K7+up_Irr!AI7)),IF(AND(up_Irr!K7&lt;&gt;".",up_Irr!AI7=".",up_Irr!BG7&lt;&gt;"."),up_dir!L7/((1/1000)*(up_Irr!K7+up_Irr!BG7)),IF(AND(up_Irr!K7=".",up_Irr!AI7&lt;&gt;".",up_Irr!BG7&lt;&gt;"."),up_dir!L7/((1/1000)*(up_Irr!AI7+up_Irr!BG7)),IF(AND(up_Irr!K7=".",up_Irr!AI7=".",up_Irr!BG7&lt;&gt;"."),up_dir!L7/((1/1000)*(up_Irr!BG7)),IF(AND(up_Irr!K7=".",up_Irr!AI7&lt;&gt;".",up_Irr!BG7="."),up_dir!L7/((1/1000)*(up_Irr!AI7)),IF(AND(up_Irr!K7&lt;&gt;".",up_Irr!AI7=".",up_Irr!BG7="."),up_dir!L7/((1/1000)*(up_Irr!K7)),IF(AND(up_Irr!K7=".",up_Irr!AI7=".",up_Irr!BG7="."),up_dir!L7*1000)))))))),".")</f>
        <v>7.2351016258567334E-11</v>
      </c>
      <c r="M7" s="76">
        <f>IFERROR(IF(AND(up_Irr!L7&lt;&gt;".",up_Irr!AJ7&lt;&gt;".",up_Irr!BH7&lt;&gt;"."),up_dir!M7/((1/1000)*(up_Irr!L7+up_Irr!AJ7+up_Irr!BH7)),IF(AND(up_Irr!L7&lt;&gt;".",up_Irr!AJ7&lt;&gt;".",up_Irr!BH7="."),up_dir!M7/((1/1000)*(up_Irr!L7+up_Irr!AJ7)),IF(AND(up_Irr!L7&lt;&gt;".",up_Irr!AJ7=".",up_Irr!BH7&lt;&gt;"."),up_dir!M7/((1/1000)*(up_Irr!L7+up_Irr!BH7)),IF(AND(up_Irr!L7=".",up_Irr!AJ7&lt;&gt;".",up_Irr!BH7&lt;&gt;"."),up_dir!M7/((1/1000)*(up_Irr!AJ7+up_Irr!BH7)),IF(AND(up_Irr!L7=".",up_Irr!AJ7=".",up_Irr!BH7&lt;&gt;"."),up_dir!M7/((1/1000)*(up_Irr!BH7)),IF(AND(up_Irr!L7=".",up_Irr!AJ7&lt;&gt;".",up_Irr!BH7="."),up_dir!M7/((1/1000)*(up_Irr!AJ7)),IF(AND(up_Irr!L7&lt;&gt;".",up_Irr!AJ7=".",up_Irr!BH7="."),up_dir!M7/((1/1000)*(up_Irr!L7)),IF(AND(up_Irr!L7=".",up_Irr!AJ7=".",up_Irr!BH7="."),up_dir!M7*1000)))))))),".")</f>
        <v>7.2351016258567334E-11</v>
      </c>
      <c r="N7" s="76">
        <f>IFERROR(IF(AND(up_Irr!M7&lt;&gt;".",up_Irr!AK7&lt;&gt;".",up_Irr!BI7&lt;&gt;"."),up_dir!N7/((1/1000)*(up_Irr!M7+up_Irr!AK7+up_Irr!BI7)),IF(AND(up_Irr!M7&lt;&gt;".",up_Irr!AK7&lt;&gt;".",up_Irr!BI7="."),up_dir!N7/((1/1000)*(up_Irr!M7+up_Irr!AK7)),IF(AND(up_Irr!M7&lt;&gt;".",up_Irr!AK7=".",up_Irr!BI7&lt;&gt;"."),up_dir!N7/((1/1000)*(up_Irr!M7+up_Irr!BI7)),IF(AND(up_Irr!M7=".",up_Irr!AK7&lt;&gt;".",up_Irr!BI7&lt;&gt;"."),up_dir!N7/((1/1000)*(up_Irr!AK7+up_Irr!BI7)),IF(AND(up_Irr!M7=".",up_Irr!AK7=".",up_Irr!BI7&lt;&gt;"."),up_dir!N7/((1/1000)*(up_Irr!BI7)),IF(AND(up_Irr!M7=".",up_Irr!AK7&lt;&gt;".",up_Irr!BI7="."),up_dir!N7/((1/1000)*(up_Irr!AK7)),IF(AND(up_Irr!M7&lt;&gt;".",up_Irr!AK7=".",up_Irr!BI7="."),up_dir!N7/((1/1000)*(up_Irr!M7)),IF(AND(up_Irr!M7=".",up_Irr!AK7=".",up_Irr!BI7="."),up_dir!N7*1000)))))))),".")</f>
        <v>7.2351016258567334E-11</v>
      </c>
      <c r="O7" s="76">
        <f>IFERROR(IF(AND(up_Irr!N7&lt;&gt;".",up_Irr!AL7&lt;&gt;".",up_Irr!BJ7&lt;&gt;"."),up_dir!O7/((1/1000)*(up_Irr!N7+up_Irr!AL7+up_Irr!BJ7)),IF(AND(up_Irr!N7&lt;&gt;".",up_Irr!AL7&lt;&gt;".",up_Irr!BJ7="."),up_dir!O7/((1/1000)*(up_Irr!N7+up_Irr!AL7)),IF(AND(up_Irr!N7&lt;&gt;".",up_Irr!AL7=".",up_Irr!BJ7&lt;&gt;"."),up_dir!O7/((1/1000)*(up_Irr!N7+up_Irr!BJ7)),IF(AND(up_Irr!N7=".",up_Irr!AL7&lt;&gt;".",up_Irr!BJ7&lt;&gt;"."),up_dir!O7/((1/1000)*(up_Irr!AL7+up_Irr!BJ7)),IF(AND(up_Irr!N7=".",up_Irr!AL7=".",up_Irr!BJ7&lt;&gt;"."),up_dir!O7/((1/1000)*(up_Irr!BJ7)),IF(AND(up_Irr!N7=".",up_Irr!AL7&lt;&gt;".",up_Irr!BJ7="."),up_dir!O7/((1/1000)*(up_Irr!AL7)),IF(AND(up_Irr!N7&lt;&gt;".",up_Irr!AL7=".",up_Irr!BJ7="."),up_dir!O7/((1/1000)*(up_Irr!N7)),IF(AND(up_Irr!N7=".",up_Irr!AL7=".",up_Irr!BJ7="."),up_dir!O7*1000)))))))),".")</f>
        <v>7.2351016258567334E-11</v>
      </c>
      <c r="P7" s="76">
        <f>IFERROR(IF(AND(up_Irr!O7&lt;&gt;".",up_Irr!AM7&lt;&gt;".",up_Irr!BK7&lt;&gt;"."),up_dir!P7/((1/1000)*(up_Irr!O7+up_Irr!AM7+up_Irr!BK7)),IF(AND(up_Irr!O7&lt;&gt;".",up_Irr!AM7&lt;&gt;".",up_Irr!BK7="."),up_dir!P7/((1/1000)*(up_Irr!O7+up_Irr!AM7)),IF(AND(up_Irr!O7&lt;&gt;".",up_Irr!AM7=".",up_Irr!BK7&lt;&gt;"."),up_dir!P7/((1/1000)*(up_Irr!O7+up_Irr!BK7)),IF(AND(up_Irr!O7=".",up_Irr!AM7&lt;&gt;".",up_Irr!BK7&lt;&gt;"."),up_dir!P7/((1/1000)*(up_Irr!AM7+up_Irr!BK7)),IF(AND(up_Irr!O7=".",up_Irr!AM7=".",up_Irr!BK7&lt;&gt;"."),up_dir!P7/((1/1000)*(up_Irr!BK7)),IF(AND(up_Irr!O7=".",up_Irr!AM7&lt;&gt;".",up_Irr!BK7="."),up_dir!P7/((1/1000)*(up_Irr!AM7)),IF(AND(up_Irr!O7&lt;&gt;".",up_Irr!AM7=".",up_Irr!BK7="."),up_dir!P7/((1/1000)*(up_Irr!O7)),IF(AND(up_Irr!O7=".",up_Irr!AM7=".",up_Irr!BK7="."),up_dir!P7*1000)))))))),".")</f>
        <v>7.2351016258567334E-11</v>
      </c>
      <c r="Q7" s="76">
        <f>IFERROR(IF(AND(up_Irr!P7&lt;&gt;".",up_Irr!AN7&lt;&gt;".",up_Irr!BL7&lt;&gt;"."),up_dir!Q7/((1/1000)*(up_Irr!P7+up_Irr!AN7+up_Irr!BL7)),IF(AND(up_Irr!P7&lt;&gt;".",up_Irr!AN7&lt;&gt;".",up_Irr!BL7="."),up_dir!Q7/((1/1000)*(up_Irr!P7+up_Irr!AN7)),IF(AND(up_Irr!P7&lt;&gt;".",up_Irr!AN7=".",up_Irr!BL7&lt;&gt;"."),up_dir!Q7/((1/1000)*(up_Irr!P7+up_Irr!BL7)),IF(AND(up_Irr!P7=".",up_Irr!AN7&lt;&gt;".",up_Irr!BL7&lt;&gt;"."),up_dir!Q7/((1/1000)*(up_Irr!AN7+up_Irr!BL7)),IF(AND(up_Irr!P7=".",up_Irr!AN7=".",up_Irr!BL7&lt;&gt;"."),up_dir!Q7/((1/1000)*(up_Irr!BL7)),IF(AND(up_Irr!P7=".",up_Irr!AN7&lt;&gt;".",up_Irr!BL7="."),up_dir!Q7/((1/1000)*(up_Irr!AN7)),IF(AND(up_Irr!P7&lt;&gt;".",up_Irr!AN7=".",up_Irr!BL7="."),up_dir!Q7/((1/1000)*(up_Irr!P7)),IF(AND(up_Irr!P7=".",up_Irr!AN7=".",up_Irr!BL7="."),up_dir!Q7*1000)))))))),".")</f>
        <v>7.2351016258567334E-11</v>
      </c>
      <c r="R7" s="76">
        <f>IFERROR(IF(AND(up_Irr!Q7&lt;&gt;".",up_Irr!AO7&lt;&gt;".",up_Irr!BM7&lt;&gt;"."),up_dir!R7/((1/1000)*(up_Irr!Q7+up_Irr!AO7+up_Irr!BM7)),IF(AND(up_Irr!Q7&lt;&gt;".",up_Irr!AO7&lt;&gt;".",up_Irr!BM7="."),up_dir!R7/((1/1000)*(up_Irr!Q7+up_Irr!AO7)),IF(AND(up_Irr!Q7&lt;&gt;".",up_Irr!AO7=".",up_Irr!BM7&lt;&gt;"."),up_dir!R7/((1/1000)*(up_Irr!Q7+up_Irr!BM7)),IF(AND(up_Irr!Q7=".",up_Irr!AO7&lt;&gt;".",up_Irr!BM7&lt;&gt;"."),up_dir!R7/((1/1000)*(up_Irr!AO7+up_Irr!BM7)),IF(AND(up_Irr!Q7=".",up_Irr!AO7=".",up_Irr!BM7&lt;&gt;"."),up_dir!R7/((1/1000)*(up_Irr!BM7)),IF(AND(up_Irr!Q7=".",up_Irr!AO7&lt;&gt;".",up_Irr!BM7="."),up_dir!R7/((1/1000)*(up_Irr!AO7)),IF(AND(up_Irr!Q7&lt;&gt;".",up_Irr!AO7=".",up_Irr!BM7="."),up_dir!R7/((1/1000)*(up_Irr!Q7)),IF(AND(up_Irr!Q7=".",up_Irr!AO7=".",up_Irr!BM7="."),up_dir!R7*1000)))))))),".")</f>
        <v>7.2351016258567334E-11</v>
      </c>
      <c r="S7" s="76">
        <f>IFERROR(IF(AND(up_Irr!R7&lt;&gt;".",up_Irr!AP7&lt;&gt;".",up_Irr!BN7&lt;&gt;"."),up_dir!S7/((1/1000)*(up_Irr!R7+up_Irr!AP7+up_Irr!BN7)),IF(AND(up_Irr!R7&lt;&gt;".",up_Irr!AP7&lt;&gt;".",up_Irr!BN7="."),up_dir!S7/((1/1000)*(up_Irr!R7+up_Irr!AP7)),IF(AND(up_Irr!R7&lt;&gt;".",up_Irr!AP7=".",up_Irr!BN7&lt;&gt;"."),up_dir!S7/((1/1000)*(up_Irr!R7+up_Irr!BN7)),IF(AND(up_Irr!R7=".",up_Irr!AP7&lt;&gt;".",up_Irr!BN7&lt;&gt;"."),up_dir!S7/((1/1000)*(up_Irr!AP7+up_Irr!BN7)),IF(AND(up_Irr!R7=".",up_Irr!AP7=".",up_Irr!BN7&lt;&gt;"."),up_dir!S7/((1/1000)*(up_Irr!BN7)),IF(AND(up_Irr!R7=".",up_Irr!AP7&lt;&gt;".",up_Irr!BN7="."),up_dir!S7/((1/1000)*(up_Irr!AP7)),IF(AND(up_Irr!R7&lt;&gt;".",up_Irr!AP7=".",up_Irr!BN7="."),up_dir!S7/((1/1000)*(up_Irr!R7)),IF(AND(up_Irr!R7=".",up_Irr!AP7=".",up_Irr!BN7="."),up_dir!S7*1000)))))))),".")</f>
        <v>7.2351016258567334E-11</v>
      </c>
      <c r="T7" s="76">
        <f>IFERROR(IF(AND(up_Irr!S7&lt;&gt;".",up_Irr!AQ7&lt;&gt;".",up_Irr!BO7&lt;&gt;"."),up_dir!T7/((1/1000)*(up_Irr!S7+up_Irr!AQ7+up_Irr!BO7)),IF(AND(up_Irr!S7&lt;&gt;".",up_Irr!AQ7&lt;&gt;".",up_Irr!BO7="."),up_dir!T7/((1/1000)*(up_Irr!S7+up_Irr!AQ7)),IF(AND(up_Irr!S7&lt;&gt;".",up_Irr!AQ7=".",up_Irr!BO7&lt;&gt;"."),up_dir!T7/((1/1000)*(up_Irr!S7+up_Irr!BO7)),IF(AND(up_Irr!S7=".",up_Irr!AQ7&lt;&gt;".",up_Irr!BO7&lt;&gt;"."),up_dir!T7/((1/1000)*(up_Irr!AQ7+up_Irr!BO7)),IF(AND(up_Irr!S7=".",up_Irr!AQ7=".",up_Irr!BO7&lt;&gt;"."),up_dir!T7/((1/1000)*(up_Irr!BO7)),IF(AND(up_Irr!S7=".",up_Irr!AQ7&lt;&gt;".",up_Irr!BO7="."),up_dir!T7/((1/1000)*(up_Irr!AQ7)),IF(AND(up_Irr!S7&lt;&gt;".",up_Irr!AQ7=".",up_Irr!BO7="."),up_dir!T7/((1/1000)*(up_Irr!S7)),IF(AND(up_Irr!S7=".",up_Irr!AQ7=".",up_Irr!BO7="."),up_dir!T7*1000)))))))),".")</f>
        <v>7.2351016258567334E-11</v>
      </c>
      <c r="U7" s="76">
        <f>IFERROR(IF(AND(up_Irr!T7&lt;&gt;".",up_Irr!AR7&lt;&gt;".",up_Irr!BP7&lt;&gt;"."),up_dir!U7/((1/1000)*(up_Irr!T7+up_Irr!AR7+up_Irr!BP7)),IF(AND(up_Irr!T7&lt;&gt;".",up_Irr!AR7&lt;&gt;".",up_Irr!BP7="."),up_dir!U7/((1/1000)*(up_Irr!T7+up_Irr!AR7)),IF(AND(up_Irr!T7&lt;&gt;".",up_Irr!AR7=".",up_Irr!BP7&lt;&gt;"."),up_dir!U7/((1/1000)*(up_Irr!T7+up_Irr!BP7)),IF(AND(up_Irr!T7=".",up_Irr!AR7&lt;&gt;".",up_Irr!BP7&lt;&gt;"."),up_dir!U7/((1/1000)*(up_Irr!AR7+up_Irr!BP7)),IF(AND(up_Irr!T7=".",up_Irr!AR7=".",up_Irr!BP7&lt;&gt;"."),up_dir!U7/((1/1000)*(up_Irr!BP7)),IF(AND(up_Irr!T7=".",up_Irr!AR7&lt;&gt;".",up_Irr!BP7="."),up_dir!U7/((1/1000)*(up_Irr!AR7)),IF(AND(up_Irr!T7&lt;&gt;".",up_Irr!AR7=".",up_Irr!BP7="."),up_dir!U7/((1/1000)*(up_Irr!T7)),IF(AND(up_Irr!T7=".",up_Irr!AR7=".",up_Irr!BP7="."),up_dir!U7*1000)))))))),".")</f>
        <v>7.2351016258567334E-11</v>
      </c>
      <c r="V7" s="76">
        <f>IFERROR(IF(AND(up_Irr!U7&lt;&gt;".",up_Irr!AS7&lt;&gt;".",up_Irr!BQ7&lt;&gt;"."),up_dir!V7/((1/1000)*(up_Irr!U7+up_Irr!AS7+up_Irr!BQ7)),IF(AND(up_Irr!U7&lt;&gt;".",up_Irr!AS7&lt;&gt;".",up_Irr!BQ7="."),up_dir!V7/((1/1000)*(up_Irr!U7+up_Irr!AS7)),IF(AND(up_Irr!U7&lt;&gt;".",up_Irr!AS7=".",up_Irr!BQ7&lt;&gt;"."),up_dir!V7/((1/1000)*(up_Irr!U7+up_Irr!BQ7)),IF(AND(up_Irr!U7=".",up_Irr!AS7&lt;&gt;".",up_Irr!BQ7&lt;&gt;"."),up_dir!V7/((1/1000)*(up_Irr!AS7+up_Irr!BQ7)),IF(AND(up_Irr!U7=".",up_Irr!AS7=".",up_Irr!BQ7&lt;&gt;"."),up_dir!V7/((1/1000)*(up_Irr!BQ7)),IF(AND(up_Irr!U7=".",up_Irr!AS7&lt;&gt;".",up_Irr!BQ7="."),up_dir!V7/((1/1000)*(up_Irr!AS7)),IF(AND(up_Irr!U7&lt;&gt;".",up_Irr!AS7=".",up_Irr!BQ7="."),up_dir!V7/((1/1000)*(up_Irr!U7)),IF(AND(up_Irr!U7=".",up_Irr!AS7=".",up_Irr!BQ7="."),up_dir!V7*1000)))))))),".")</f>
        <v>7.2351016258567334E-11</v>
      </c>
      <c r="W7" s="76">
        <f>IFERROR(IF(AND(up_Irr!V7&lt;&gt;".",up_Irr!AT7&lt;&gt;".",up_Irr!BR7&lt;&gt;"."),up_dir!W7/((1/1000)*(up_Irr!V7+up_Irr!AT7+up_Irr!BR7)),IF(AND(up_Irr!V7&lt;&gt;".",up_Irr!AT7&lt;&gt;".",up_Irr!BR7="."),up_dir!W7/((1/1000)*(up_Irr!V7+up_Irr!AT7)),IF(AND(up_Irr!V7&lt;&gt;".",up_Irr!AT7=".",up_Irr!BR7&lt;&gt;"."),up_dir!W7/((1/1000)*(up_Irr!V7+up_Irr!BR7)),IF(AND(up_Irr!V7=".",up_Irr!AT7&lt;&gt;".",up_Irr!BR7&lt;&gt;"."),up_dir!W7/((1/1000)*(up_Irr!AT7+up_Irr!BR7)),IF(AND(up_Irr!V7=".",up_Irr!AT7=".",up_Irr!BR7&lt;&gt;"."),up_dir!W7/((1/1000)*(up_Irr!BR7)),IF(AND(up_Irr!V7=".",up_Irr!AT7&lt;&gt;".",up_Irr!BR7="."),up_dir!W7/((1/1000)*(up_Irr!AT7)),IF(AND(up_Irr!V7&lt;&gt;".",up_Irr!AT7=".",up_Irr!BR7="."),up_dir!W7/((1/1000)*(up_Irr!V7)),IF(AND(up_Irr!V7=".",up_Irr!AT7=".",up_Irr!BR7="."),up_dir!W7*1000)))))))),".")</f>
        <v>7.2351016258567334E-11</v>
      </c>
      <c r="X7" s="76">
        <f>IFERROR(IF(AND(up_Irr!W7&lt;&gt;".",up_Irr!AU7&lt;&gt;".",up_Irr!BS7&lt;&gt;"."),up_dir!X7/((1/1000)*(up_Irr!W7+up_Irr!AU7+up_Irr!BS7)),IF(AND(up_Irr!W7&lt;&gt;".",up_Irr!AU7&lt;&gt;".",up_Irr!BS7="."),up_dir!X7/((1/1000)*(up_Irr!W7+up_Irr!AU7)),IF(AND(up_Irr!W7&lt;&gt;".",up_Irr!AU7=".",up_Irr!BS7&lt;&gt;"."),up_dir!X7/((1/1000)*(up_Irr!W7+up_Irr!BS7)),IF(AND(up_Irr!W7=".",up_Irr!AU7&lt;&gt;".",up_Irr!BS7&lt;&gt;"."),up_dir!X7/((1/1000)*(up_Irr!AU7+up_Irr!BS7)),IF(AND(up_Irr!W7=".",up_Irr!AU7=".",up_Irr!BS7&lt;&gt;"."),up_dir!X7/((1/1000)*(up_Irr!BS7)),IF(AND(up_Irr!W7=".",up_Irr!AU7&lt;&gt;".",up_Irr!BS7="."),up_dir!X7/((1/1000)*(up_Irr!AU7)),IF(AND(up_Irr!W7&lt;&gt;".",up_Irr!AU7=".",up_Irr!BS7="."),up_dir!X7/((1/1000)*(up_Irr!W7)),IF(AND(up_Irr!W7=".",up_Irr!AU7=".",up_Irr!BS7="."),up_dir!X7*1000)))))))),".")</f>
        <v>7.2351016258567334E-11</v>
      </c>
      <c r="Y7" s="76">
        <f>IFERROR(IF(AND(up_Irr!X7&lt;&gt;".",up_Irr!AV7&lt;&gt;".",up_Irr!BT7&lt;&gt;"."),up_dir!Y7/((1/1000)*(up_Irr!X7+up_Irr!AV7+up_Irr!BT7)),IF(AND(up_Irr!X7&lt;&gt;".",up_Irr!AV7&lt;&gt;".",up_Irr!BT7="."),up_dir!Y7/((1/1000)*(up_Irr!X7+up_Irr!AV7)),IF(AND(up_Irr!X7&lt;&gt;".",up_Irr!AV7=".",up_Irr!BT7&lt;&gt;"."),up_dir!Y7/((1/1000)*(up_Irr!X7+up_Irr!BT7)),IF(AND(up_Irr!X7=".",up_Irr!AV7&lt;&gt;".",up_Irr!BT7&lt;&gt;"."),up_dir!Y7/((1/1000)*(up_Irr!AV7+up_Irr!BT7)),IF(AND(up_Irr!X7=".",up_Irr!AV7=".",up_Irr!BT7&lt;&gt;"."),up_dir!Y7/((1/1000)*(up_Irr!BT7)),IF(AND(up_Irr!X7=".",up_Irr!AV7&lt;&gt;".",up_Irr!BT7="."),up_dir!Y7/((1/1000)*(up_Irr!AV7)),IF(AND(up_Irr!X7&lt;&gt;".",up_Irr!AV7=".",up_Irr!BT7="."),up_dir!Y7/((1/1000)*(up_Irr!X7)),IF(AND(up_Irr!X7=".",up_Irr!AV7=".",up_Irr!BT7="."),up_dir!Y7*1000)))))))),".")</f>
        <v>7.2351016258567334E-11</v>
      </c>
      <c r="Z7" s="76">
        <f>IFERROR(IF(AND(up_Irr!Y7&lt;&gt;".",up_Irr!AW7&lt;&gt;".",up_Irr!BU7&lt;&gt;"."),up_dir!Z7/((1/1000)*(up_Irr!Y7+up_Irr!AW7+up_Irr!BU7)),IF(AND(up_Irr!Y7&lt;&gt;".",up_Irr!AW7&lt;&gt;".",up_Irr!BU7="."),up_dir!Z7/((1/1000)*(up_Irr!Y7+up_Irr!AW7)),IF(AND(up_Irr!Y7&lt;&gt;".",up_Irr!AW7=".",up_Irr!BU7&lt;&gt;"."),up_dir!Z7/((1/1000)*(up_Irr!Y7+up_Irr!BU7)),IF(AND(up_Irr!Y7=".",up_Irr!AW7&lt;&gt;".",up_Irr!BU7&lt;&gt;"."),up_dir!Z7/((1/1000)*(up_Irr!AW7+up_Irr!BU7)),IF(AND(up_Irr!Y7=".",up_Irr!AW7=".",up_Irr!BU7&lt;&gt;"."),up_dir!Z7/((1/1000)*(up_Irr!BU7)),IF(AND(up_Irr!Y7=".",up_Irr!AW7&lt;&gt;".",up_Irr!BU7="."),up_dir!Z7/((1/1000)*(up_Irr!AW7)),IF(AND(up_Irr!Y7&lt;&gt;".",up_Irr!AW7=".",up_Irr!BU7="."),up_dir!Z7/((1/1000)*(up_Irr!Y7)),IF(AND(up_Irr!Y7=".",up_Irr!AW7=".",up_Irr!BU7="."),up_dir!Z7*1000)))))))),".")</f>
        <v>7.2351016258567334E-11</v>
      </c>
      <c r="AA7" s="76">
        <f>IFERROR(IF(AND(up_Irr!Z7&lt;&gt;".",up_Irr!AX7&lt;&gt;".",up_Irr!BV7&lt;&gt;"."),up_dir!AA7/((1/1000)*(up_Irr!Z7+up_Irr!AX7+up_Irr!BV7)),IF(AND(up_Irr!Z7&lt;&gt;".",up_Irr!AX7&lt;&gt;".",up_Irr!BV7="."),up_dir!AA7/((1/1000)*(up_Irr!Z7+up_Irr!AX7)),IF(AND(up_Irr!Z7&lt;&gt;".",up_Irr!AX7=".",up_Irr!BV7&lt;&gt;"."),up_dir!AA7/((1/1000)*(up_Irr!Z7+up_Irr!BV7)),IF(AND(up_Irr!Z7=".",up_Irr!AX7&lt;&gt;".",up_Irr!BV7&lt;&gt;"."),up_dir!AA7/((1/1000)*(up_Irr!AX7+up_Irr!BV7)),IF(AND(up_Irr!Z7=".",up_Irr!AX7=".",up_Irr!BV7&lt;&gt;"."),up_dir!AA7/((1/1000)*(up_Irr!BV7)),IF(AND(up_Irr!Z7=".",up_Irr!AX7&lt;&gt;".",up_Irr!BV7="."),up_dir!AA7/((1/1000)*(up_Irr!AX7)),IF(AND(up_Irr!Z7&lt;&gt;".",up_Irr!AX7=".",up_Irr!BV7="."),up_dir!AA7/((1/1000)*(up_Irr!Z7)),IF(AND(up_Irr!Z7=".",up_Irr!AX7=".",up_Irr!BV7="."),up_dir!AA7*1000)))))))),".")</f>
        <v>7.2351016258567334E-11</v>
      </c>
      <c r="AB7" s="93">
        <f>SUM(AC7:AD7,AY7:AZ7)</f>
        <v>55286.023705663516</v>
      </c>
      <c r="AC7" s="93">
        <f>IFERROR(s_C*s_IFAP_res_adj*s_CF_apple*0.001*(up_Irr!C7+up_Irr!AA7+up_Irr!AY7),".")</f>
        <v>13821.505926415879</v>
      </c>
      <c r="AD7" s="93">
        <f>IFERROR(s_C*s_IFAS_res_adj*s_CF_asparagus*0.001*(up_Irr!D7+up_Irr!AB7+up_Irr!AZ7),".")</f>
        <v>13821.505926415879</v>
      </c>
      <c r="AE7" s="93">
        <f>IFERROR(s_C*s_IFBT_res_adj*s_CF_beet*0.001*(up_Irr!E7+up_Irr!AC7+up_Irr!BA7),".")</f>
        <v>13821.505926415879</v>
      </c>
      <c r="AF7" s="93">
        <f>IFERROR(s_C*s_IFBE_res_adj*s_CF_berries*0.001*(up_Irr!F7+up_Irr!AD7+up_Irr!BB7),".")</f>
        <v>13821.505926415879</v>
      </c>
      <c r="AG7" s="93">
        <f>IFERROR(s_C*s_IFBR_res_adj*s_CF_broccoli*0.001*(up_Irr!G7+up_Irr!AE7+up_Irr!BC7),".")</f>
        <v>13821.505926415879</v>
      </c>
      <c r="AH7" s="93">
        <f>IFERROR(s_C*s_IFCB_res_adj*s_CF_cabbage*0.001*(up_Irr!H7+up_Irr!AF7+up_Irr!BD7),".")</f>
        <v>13821.505926415879</v>
      </c>
      <c r="AI7" s="93">
        <f>IFERROR(s_C*s_IFCR_res_adj*s_CF_carrot*0.001*(up_Irr!I7+up_Irr!AG7+up_Irr!BE7),".")</f>
        <v>13821.505926415879</v>
      </c>
      <c r="AJ7" s="93">
        <f>IFERROR(s_C*s_IFCI_res_adj*s_CF_citrus*0.001*(up_Irr!J7+up_Irr!AH7+up_Irr!BF7),".")</f>
        <v>13821.505926415879</v>
      </c>
      <c r="AK7" s="93">
        <f>IFERROR(s_C*s_IFCO_res_adj*s_CF_corn*0.001*(up_Irr!K7+up_Irr!AI7+up_Irr!BG7),".")</f>
        <v>13821.505926415879</v>
      </c>
      <c r="AL7" s="93">
        <f>IFERROR(s_C*s_IFCU_res_adj*s_CF_cucumber*0.001*(up_Irr!L7+up_Irr!AJ7+up_Irr!BH7),".")</f>
        <v>13821.505926415879</v>
      </c>
      <c r="AM7" s="93">
        <f>IFERROR(s_C*s_IFLE_res_adj*s_CF_lettuce*0.001*(up_Irr!M7+up_Irr!AK7+up_Irr!BI7),".")</f>
        <v>13821.505926415879</v>
      </c>
      <c r="AN7" s="93">
        <f>IFERROR(s_C*s_IFLI_res_adj*s_CF_lima_bean*0.001*(up_Irr!N7+up_Irr!AL7+up_Irr!BJ7),".")</f>
        <v>13821.505926415879</v>
      </c>
      <c r="AO7" s="93">
        <f>IFERROR(s_C*s_IFOK_res_adj*s_CF_okra*0.001*(up_Irr!O7+up_Irr!AM7+up_Irr!BK7),".")</f>
        <v>13821.505926415879</v>
      </c>
      <c r="AP7" s="93">
        <f>IFERROR(s_C*s_IFON_res_adj*s_CF_onion*0.001*(up_Irr!P7+up_Irr!AN7+up_Irr!BL7),".")</f>
        <v>13821.505926415879</v>
      </c>
      <c r="AQ7" s="93">
        <f>IFERROR(s_C*s_IFPC_res_adj*s_CF_peach*0.001*(up_Irr!Q7+up_Irr!AO7+up_Irr!BM7),".")</f>
        <v>13821.505926415879</v>
      </c>
      <c r="AR7" s="93">
        <f>IFERROR(s_C*s_IFPR_res_adj*s_CF_pear*0.001*(up_Irr!R7+up_Irr!AP7+up_Irr!BN7),".")</f>
        <v>13821.505926415879</v>
      </c>
      <c r="AS7" s="93">
        <f>IFERROR(s_C*s_IFPE_res_adj*s_CF_peas*0.001*(up_Irr!S7+up_Irr!AQ7+up_Irr!BO7),".")</f>
        <v>13821.505926415879</v>
      </c>
      <c r="AT7" s="93">
        <f>IFERROR(s_C*s_IFPT_res_adj*s_CF_potato*0.001*(up_Irr!T7+up_Irr!AR7+up_Irr!BP7),".")</f>
        <v>13821.505926415879</v>
      </c>
      <c r="AU7" s="93">
        <f>IFERROR(s_C*s_IFPU_res_adj*s_CF_pumpkin*0.001*(up_Irr!U7+up_Irr!AS7+up_Irr!BQ7),".")</f>
        <v>13821.505926415879</v>
      </c>
      <c r="AV7" s="93">
        <f>IFERROR(s_C*s_IFSN_res_adj*s_CF_snap_bean*0.001*(up_Irr!V7+up_Irr!AT7+up_Irr!BR7),".")</f>
        <v>13821.505926415879</v>
      </c>
      <c r="AW7" s="93">
        <f>IFERROR(s_C*s_IFST_res_adj*s_CF_strawberry*0.001*(up_Irr!W7+up_Irr!AU7+up_Irr!BS7),".")</f>
        <v>13821.505926415879</v>
      </c>
      <c r="AX7" s="93">
        <f>IFERROR(s_C*s_IFTO_res_adj*s_CF_tomato*0.001*(up_Irr!X7+up_Irr!AV7+up_Irr!BT7),".")</f>
        <v>13821.505926415879</v>
      </c>
      <c r="AY7" s="93">
        <f>IFERROR(s_C*s_IFRI_res_adj*s_CF_rice*0.001*(up_Irr!Y7+up_Irr!AW7+up_Irr!BU7),".")</f>
        <v>13821.505926415879</v>
      </c>
      <c r="AZ7" s="93">
        <f>IFERROR(s_C*s_IFCG_res_adj*s_CF_cereal*0.001*(up_Irr!Z7+up_Irr!AX7+up_Irr!BV7),".")</f>
        <v>13821.505926415879</v>
      </c>
      <c r="BA7" s="76">
        <f t="shared" si="3"/>
        <v>1.8087754064641833E-11</v>
      </c>
      <c r="BB7" s="76">
        <f>IFERROR(IF(AND(up_Irr!C7&lt;&gt;".",up_Irr!AA7&lt;&gt;".",up_Irr!AY7&lt;&gt;"."),up_dir!AC7/((1/1000)*(up_Irr!C7+up_Irr!AA7+up_Irr!AY7)),IF(AND(up_Irr!C7&lt;&gt;".",up_Irr!AA7&lt;&gt;".",up_Irr!AY7="."),up_dir!AC7/((1/1000)*(up_Irr!C7+up_Irr!AA7)),IF(AND(up_Irr!C7&lt;&gt;".",up_Irr!AA7=".",up_Irr!AY7&lt;&gt;"."),up_dir!AC7/((1/1000)*(up_Irr!C7+up_Irr!AY7)),IF(AND(up_Irr!C7=".",up_Irr!AA7&lt;&gt;".",up_Irr!AY7&lt;&gt;"."),up_dir!AC7/((1/1000)*(up_Irr!AA7+up_Irr!AY7)),IF(AND(up_Irr!C7=".",up_Irr!AA7=".",up_Irr!AY7&lt;&gt;"."),up_dir!AC7/((1/1000)*(up_Irr!AY7)),IF(AND(up_Irr!C7=".",up_Irr!AA7&lt;&gt;".",up_Irr!AY7="."),up_dir!AC7/((1/1000)*(up_Irr!AA7)),IF(AND(up_Irr!C7&lt;&gt;".",up_Irr!AA7=".",up_Irr!AY7="."),up_dir!AC7/((1/1000)*(up_Irr!C7)),IF(AND(up_Irr!C7=".",up_Irr!AA7=".",up_Irr!AY7="."),up_dir!AC7*1000)))))))),".")</f>
        <v>7.2351016258567334E-11</v>
      </c>
      <c r="BC7" s="76">
        <f>IFERROR(IF(AND(up_Irr!D7&lt;&gt;".",up_Irr!AB7&lt;&gt;".",up_Irr!AZ7&lt;&gt;"."),up_dir!AD7/((1/1000)*(up_Irr!D7+up_Irr!AB7+up_Irr!AZ7)),IF(AND(up_Irr!D7&lt;&gt;".",up_Irr!AB7&lt;&gt;".",up_Irr!AZ7="."),up_dir!AD7/((1/1000)*(up_Irr!D7+up_Irr!AB7)),IF(AND(up_Irr!D7&lt;&gt;".",up_Irr!AB7=".",up_Irr!AZ7&lt;&gt;"."),up_dir!AD7/((1/1000)*(up_Irr!D7+up_Irr!AZ7)),IF(AND(up_Irr!D7=".",up_Irr!AB7&lt;&gt;".",up_Irr!AZ7&lt;&gt;"."),up_dir!AD7/((1/1000)*(up_Irr!AB7+up_Irr!AZ7)),IF(AND(up_Irr!D7=".",up_Irr!AB7=".",up_Irr!AZ7&lt;&gt;"."),up_dir!AD7/((1/1000)*(up_Irr!AZ7)),IF(AND(up_Irr!D7=".",up_Irr!AB7&lt;&gt;".",up_Irr!AZ7="."),up_dir!AD7/((1/1000)*(up_Irr!AB7)),IF(AND(up_Irr!D7&lt;&gt;".",up_Irr!AB7=".",up_Irr!AZ7="."),up_dir!AD7/((1/1000)*(up_Irr!D7)),IF(AND(up_Irr!D7=".",up_Irr!AB7=".",up_Irr!AZ7="."),up_dir!AD7*1000)))))))),".")</f>
        <v>7.2351016258567334E-11</v>
      </c>
      <c r="BD7" s="76">
        <f>IFERROR(IF(AND(up_Irr!E7&lt;&gt;".",up_Irr!AC7&lt;&gt;".",up_Irr!BA7&lt;&gt;"."),up_dir!AE7/((1/1000)*(up_Irr!E7+up_Irr!AC7+up_Irr!BA7)),IF(AND(up_Irr!E7&lt;&gt;".",up_Irr!AC7&lt;&gt;".",up_Irr!BA7="."),up_dir!AE7/((1/1000)*(up_Irr!E7+up_Irr!AC7)),IF(AND(up_Irr!E7&lt;&gt;".",up_Irr!AC7=".",up_Irr!BA7&lt;&gt;"."),up_dir!AE7/((1/1000)*(up_Irr!E7+up_Irr!BA7)),IF(AND(up_Irr!E7=".",up_Irr!AC7&lt;&gt;".",up_Irr!BA7&lt;&gt;"."),up_dir!AE7/((1/1000)*(up_Irr!AC7+up_Irr!BA7)),IF(AND(up_Irr!E7=".",up_Irr!AC7=".",up_Irr!BA7&lt;&gt;"."),up_dir!AE7/((1/1000)*(up_Irr!BA7)),IF(AND(up_Irr!E7=".",up_Irr!AC7&lt;&gt;".",up_Irr!BA7="."),up_dir!AE7/((1/1000)*(up_Irr!AC7)),IF(AND(up_Irr!E7&lt;&gt;".",up_Irr!AC7=".",up_Irr!BA7="."),up_dir!AE7/((1/1000)*(up_Irr!E7)),IF(AND(up_Irr!E7=".",up_Irr!AC7=".",up_Irr!BA7="."),up_dir!AE7*1000)))))))),".")</f>
        <v>7.2351016258567334E-11</v>
      </c>
      <c r="BE7" s="76">
        <f>IFERROR(IF(AND(up_Irr!F7&lt;&gt;".",up_Irr!AD7&lt;&gt;".",up_Irr!BB7&lt;&gt;"."),up_dir!AF7/((1/1000)*(up_Irr!F7+up_Irr!AD7+up_Irr!BB7)),IF(AND(up_Irr!F7&lt;&gt;".",up_Irr!AD7&lt;&gt;".",up_Irr!BB7="."),up_dir!AF7/((1/1000)*(up_Irr!F7+up_Irr!AD7)),IF(AND(up_Irr!F7&lt;&gt;".",up_Irr!AD7=".",up_Irr!BB7&lt;&gt;"."),up_dir!AF7/((1/1000)*(up_Irr!F7+up_Irr!BB7)),IF(AND(up_Irr!F7=".",up_Irr!AD7&lt;&gt;".",up_Irr!BB7&lt;&gt;"."),up_dir!AF7/((1/1000)*(up_Irr!AD7+up_Irr!BB7)),IF(AND(up_Irr!F7=".",up_Irr!AD7=".",up_Irr!BB7&lt;&gt;"."),up_dir!AF7/((1/1000)*(up_Irr!BB7)),IF(AND(up_Irr!F7=".",up_Irr!AD7&lt;&gt;".",up_Irr!BB7="."),up_dir!AF7/((1/1000)*(up_Irr!AD7)),IF(AND(up_Irr!F7&lt;&gt;".",up_Irr!AD7=".",up_Irr!BB7="."),up_dir!AF7/((1/1000)*(up_Irr!F7)),IF(AND(up_Irr!F7=".",up_Irr!AD7=".",up_Irr!BB7="."),up_dir!AF7*1000)))))))),".")</f>
        <v>7.2351016258567334E-11</v>
      </c>
      <c r="BF7" s="76">
        <f>IFERROR(IF(AND(up_Irr!G7&lt;&gt;".",up_Irr!AE7&lt;&gt;".",up_Irr!BC7&lt;&gt;"."),up_dir!AG7/((1/1000)*(up_Irr!G7+up_Irr!AE7+up_Irr!BC7)),IF(AND(up_Irr!G7&lt;&gt;".",up_Irr!AE7&lt;&gt;".",up_Irr!BC7="."),up_dir!AG7/((1/1000)*(up_Irr!G7+up_Irr!AE7)),IF(AND(up_Irr!G7&lt;&gt;".",up_Irr!AE7=".",up_Irr!BC7&lt;&gt;"."),up_dir!AG7/((1/1000)*(up_Irr!G7+up_Irr!BC7)),IF(AND(up_Irr!G7=".",up_Irr!AE7&lt;&gt;".",up_Irr!BC7&lt;&gt;"."),up_dir!AG7/((1/1000)*(up_Irr!AE7+up_Irr!BC7)),IF(AND(up_Irr!G7=".",up_Irr!AE7=".",up_Irr!BC7&lt;&gt;"."),up_dir!AG7/((1/1000)*(up_Irr!BC7)),IF(AND(up_Irr!G7=".",up_Irr!AE7&lt;&gt;".",up_Irr!BC7="."),up_dir!AG7/((1/1000)*(up_Irr!AE7)),IF(AND(up_Irr!G7&lt;&gt;".",up_Irr!AE7=".",up_Irr!BC7="."),up_dir!AG7/((1/1000)*(up_Irr!G7)),IF(AND(up_Irr!G7=".",up_Irr!AE7=".",up_Irr!BC7="."),up_dir!AG7*1000)))))))),".")</f>
        <v>7.2351016258567334E-11</v>
      </c>
      <c r="BG7" s="76">
        <f>IFERROR(IF(AND(up_Irr!H7&lt;&gt;".",up_Irr!AF7&lt;&gt;".",up_Irr!BD7&lt;&gt;"."),up_dir!AH7/((1/1000)*(up_Irr!H7+up_Irr!AF7+up_Irr!BD7)),IF(AND(up_Irr!H7&lt;&gt;".",up_Irr!AF7&lt;&gt;".",up_Irr!BD7="."),up_dir!AH7/((1/1000)*(up_Irr!H7+up_Irr!AF7)),IF(AND(up_Irr!H7&lt;&gt;".",up_Irr!AF7=".",up_Irr!BD7&lt;&gt;"."),up_dir!AH7/((1/1000)*(up_Irr!H7+up_Irr!BD7)),IF(AND(up_Irr!H7=".",up_Irr!AF7&lt;&gt;".",up_Irr!BD7&lt;&gt;"."),up_dir!AH7/((1/1000)*(up_Irr!AF7+up_Irr!BD7)),IF(AND(up_Irr!H7=".",up_Irr!AF7=".",up_Irr!BD7&lt;&gt;"."),up_dir!AH7/((1/1000)*(up_Irr!BD7)),IF(AND(up_Irr!H7=".",up_Irr!AF7&lt;&gt;".",up_Irr!BD7="."),up_dir!AH7/((1/1000)*(up_Irr!AF7)),IF(AND(up_Irr!H7&lt;&gt;".",up_Irr!AF7=".",up_Irr!BD7="."),up_dir!AH7/((1/1000)*(up_Irr!H7)),IF(AND(up_Irr!H7=".",up_Irr!AF7=".",up_Irr!BD7="."),up_dir!AH7*1000)))))))),".")</f>
        <v>7.2351016258567334E-11</v>
      </c>
      <c r="BH7" s="76">
        <f>IFERROR(IF(AND(up_Irr!I7&lt;&gt;".",up_Irr!AG7&lt;&gt;".",up_Irr!BE7&lt;&gt;"."),up_dir!AI7/((1/1000)*(up_Irr!I7+up_Irr!AG7+up_Irr!BE7)),IF(AND(up_Irr!I7&lt;&gt;".",up_Irr!AG7&lt;&gt;".",up_Irr!BE7="."),up_dir!AI7/((1/1000)*(up_Irr!I7+up_Irr!AG7)),IF(AND(up_Irr!I7&lt;&gt;".",up_Irr!AG7=".",up_Irr!BE7&lt;&gt;"."),up_dir!AI7/((1/1000)*(up_Irr!I7+up_Irr!BE7)),IF(AND(up_Irr!I7=".",up_Irr!AG7&lt;&gt;".",up_Irr!BE7&lt;&gt;"."),up_dir!AI7/((1/1000)*(up_Irr!AG7+up_Irr!BE7)),IF(AND(up_Irr!I7=".",up_Irr!AG7=".",up_Irr!BE7&lt;&gt;"."),up_dir!AI7/((1/1000)*(up_Irr!BE7)),IF(AND(up_Irr!I7=".",up_Irr!AG7&lt;&gt;".",up_Irr!BE7="."),up_dir!AI7/((1/1000)*(up_Irr!AG7)),IF(AND(up_Irr!I7&lt;&gt;".",up_Irr!AG7=".",up_Irr!BE7="."),up_dir!AI7/((1/1000)*(up_Irr!I7)),IF(AND(up_Irr!I7=".",up_Irr!AG7=".",up_Irr!BE7="."),up_dir!AI7*1000)))))))),".")</f>
        <v>7.2351016258567334E-11</v>
      </c>
      <c r="BI7" s="76">
        <f>IFERROR(IF(AND(up_Irr!J7&lt;&gt;".",up_Irr!AH7&lt;&gt;".",up_Irr!BF7&lt;&gt;"."),up_dir!AJ7/((1/1000)*(up_Irr!J7+up_Irr!AH7+up_Irr!BF7)),IF(AND(up_Irr!J7&lt;&gt;".",up_Irr!AH7&lt;&gt;".",up_Irr!BF7="."),up_dir!AJ7/((1/1000)*(up_Irr!J7+up_Irr!AH7)),IF(AND(up_Irr!J7&lt;&gt;".",up_Irr!AH7=".",up_Irr!BF7&lt;&gt;"."),up_dir!AJ7/((1/1000)*(up_Irr!J7+up_Irr!BF7)),IF(AND(up_Irr!J7=".",up_Irr!AH7&lt;&gt;".",up_Irr!BF7&lt;&gt;"."),up_dir!AJ7/((1/1000)*(up_Irr!AH7+up_Irr!BF7)),IF(AND(up_Irr!J7=".",up_Irr!AH7=".",up_Irr!BF7&lt;&gt;"."),up_dir!AJ7/((1/1000)*(up_Irr!BF7)),IF(AND(up_Irr!J7=".",up_Irr!AH7&lt;&gt;".",up_Irr!BF7="."),up_dir!AJ7/((1/1000)*(up_Irr!AH7)),IF(AND(up_Irr!J7&lt;&gt;".",up_Irr!AH7=".",up_Irr!BF7="."),up_dir!AJ7/((1/1000)*(up_Irr!J7)),IF(AND(up_Irr!J7=".",up_Irr!AH7=".",up_Irr!BF7="."),up_dir!AJ7*1000)))))))),".")</f>
        <v>7.2351016258567334E-11</v>
      </c>
      <c r="BJ7" s="76">
        <f>IFERROR(IF(AND(up_Irr!K7&lt;&gt;".",up_Irr!AI7&lt;&gt;".",up_Irr!BG7&lt;&gt;"."),up_dir!AK7/((1/1000)*(up_Irr!K7+up_Irr!AI7+up_Irr!BG7)),IF(AND(up_Irr!K7&lt;&gt;".",up_Irr!AI7&lt;&gt;".",up_Irr!BG7="."),up_dir!AK7/((1/1000)*(up_Irr!K7+up_Irr!AI7)),IF(AND(up_Irr!K7&lt;&gt;".",up_Irr!AI7=".",up_Irr!BG7&lt;&gt;"."),up_dir!AK7/((1/1000)*(up_Irr!K7+up_Irr!BG7)),IF(AND(up_Irr!K7=".",up_Irr!AI7&lt;&gt;".",up_Irr!BG7&lt;&gt;"."),up_dir!AK7/((1/1000)*(up_Irr!AI7+up_Irr!BG7)),IF(AND(up_Irr!K7=".",up_Irr!AI7=".",up_Irr!BG7&lt;&gt;"."),up_dir!AK7/((1/1000)*(up_Irr!BG7)),IF(AND(up_Irr!K7=".",up_Irr!AI7&lt;&gt;".",up_Irr!BG7="."),up_dir!AK7/((1/1000)*(up_Irr!AI7)),IF(AND(up_Irr!K7&lt;&gt;".",up_Irr!AI7=".",up_Irr!BG7="."),up_dir!AK7/((1/1000)*(up_Irr!K7)),IF(AND(up_Irr!K7=".",up_Irr!AI7=".",up_Irr!BG7="."),up_dir!AK7*1000)))))))),".")</f>
        <v>7.2351016258567334E-11</v>
      </c>
      <c r="BK7" s="76">
        <f>IFERROR(IF(AND(up_Irr!L7&lt;&gt;".",up_Irr!AJ7&lt;&gt;".",up_Irr!BH7&lt;&gt;"."),up_dir!AL7/((1/1000)*(up_Irr!L7+up_Irr!AJ7+up_Irr!BH7)),IF(AND(up_Irr!L7&lt;&gt;".",up_Irr!AJ7&lt;&gt;".",up_Irr!BH7="."),up_dir!AL7/((1/1000)*(up_Irr!L7+up_Irr!AJ7)),IF(AND(up_Irr!L7&lt;&gt;".",up_Irr!AJ7=".",up_Irr!BH7&lt;&gt;"."),up_dir!AL7/((1/1000)*(up_Irr!L7+up_Irr!BH7)),IF(AND(up_Irr!L7=".",up_Irr!AJ7&lt;&gt;".",up_Irr!BH7&lt;&gt;"."),up_dir!AL7/((1/1000)*(up_Irr!AJ7+up_Irr!BH7)),IF(AND(up_Irr!L7=".",up_Irr!AJ7=".",up_Irr!BH7&lt;&gt;"."),up_dir!AL7/((1/1000)*(up_Irr!BH7)),IF(AND(up_Irr!L7=".",up_Irr!AJ7&lt;&gt;".",up_Irr!BH7="."),up_dir!AL7/((1/1000)*(up_Irr!AJ7)),IF(AND(up_Irr!L7&lt;&gt;".",up_Irr!AJ7=".",up_Irr!BH7="."),up_dir!AL7/((1/1000)*(up_Irr!L7)),IF(AND(up_Irr!L7=".",up_Irr!AJ7=".",up_Irr!BH7="."),up_dir!AL7*1000)))))))),".")</f>
        <v>7.2351016258567334E-11</v>
      </c>
      <c r="BL7" s="76">
        <f>IFERROR(IF(AND(up_Irr!M7&lt;&gt;".",up_Irr!AK7&lt;&gt;".",up_Irr!BI7&lt;&gt;"."),up_dir!AM7/((1/1000)*(up_Irr!M7+up_Irr!AK7+up_Irr!BI7)),IF(AND(up_Irr!M7&lt;&gt;".",up_Irr!AK7&lt;&gt;".",up_Irr!BI7="."),up_dir!AM7/((1/1000)*(up_Irr!M7+up_Irr!AK7)),IF(AND(up_Irr!M7&lt;&gt;".",up_Irr!AK7=".",up_Irr!BI7&lt;&gt;"."),up_dir!AM7/((1/1000)*(up_Irr!M7+up_Irr!BI7)),IF(AND(up_Irr!M7=".",up_Irr!AK7&lt;&gt;".",up_Irr!BI7&lt;&gt;"."),up_dir!AM7/((1/1000)*(up_Irr!AK7+up_Irr!BI7)),IF(AND(up_Irr!M7=".",up_Irr!AK7=".",up_Irr!BI7&lt;&gt;"."),up_dir!AM7/((1/1000)*(up_Irr!BI7)),IF(AND(up_Irr!M7=".",up_Irr!AK7&lt;&gt;".",up_Irr!BI7="."),up_dir!AM7/((1/1000)*(up_Irr!AK7)),IF(AND(up_Irr!M7&lt;&gt;".",up_Irr!AK7=".",up_Irr!BI7="."),up_dir!AM7/((1/1000)*(up_Irr!M7)),IF(AND(up_Irr!M7=".",up_Irr!AK7=".",up_Irr!BI7="."),up_dir!AM7*1000)))))))),".")</f>
        <v>7.2351016258567334E-11</v>
      </c>
      <c r="BM7" s="76">
        <f>IFERROR(IF(AND(up_Irr!N7&lt;&gt;".",up_Irr!AL7&lt;&gt;".",up_Irr!BJ7&lt;&gt;"."),up_dir!AN7/((1/1000)*(up_Irr!N7+up_Irr!AL7+up_Irr!BJ7)),IF(AND(up_Irr!N7&lt;&gt;".",up_Irr!AL7&lt;&gt;".",up_Irr!BJ7="."),up_dir!AN7/((1/1000)*(up_Irr!N7+up_Irr!AL7)),IF(AND(up_Irr!N7&lt;&gt;".",up_Irr!AL7=".",up_Irr!BJ7&lt;&gt;"."),up_dir!AN7/((1/1000)*(up_Irr!N7+up_Irr!BJ7)),IF(AND(up_Irr!N7=".",up_Irr!AL7&lt;&gt;".",up_Irr!BJ7&lt;&gt;"."),up_dir!AN7/((1/1000)*(up_Irr!AL7+up_Irr!BJ7)),IF(AND(up_Irr!N7=".",up_Irr!AL7=".",up_Irr!BJ7&lt;&gt;"."),up_dir!AN7/((1/1000)*(up_Irr!BJ7)),IF(AND(up_Irr!N7=".",up_Irr!AL7&lt;&gt;".",up_Irr!BJ7="."),up_dir!AN7/((1/1000)*(up_Irr!AL7)),IF(AND(up_Irr!N7&lt;&gt;".",up_Irr!AL7=".",up_Irr!BJ7="."),up_dir!AN7/((1/1000)*(up_Irr!N7)),IF(AND(up_Irr!N7=".",up_Irr!AL7=".",up_Irr!BJ7="."),up_dir!AN7*1000)))))))),".")</f>
        <v>7.2351016258567334E-11</v>
      </c>
      <c r="BN7" s="76">
        <f>IFERROR(IF(AND(up_Irr!O7&lt;&gt;".",up_Irr!AM7&lt;&gt;".",up_Irr!BK7&lt;&gt;"."),up_dir!AO7/((1/1000)*(up_Irr!O7+up_Irr!AM7+up_Irr!BK7)),IF(AND(up_Irr!O7&lt;&gt;".",up_Irr!AM7&lt;&gt;".",up_Irr!BK7="."),up_dir!AO7/((1/1000)*(up_Irr!O7+up_Irr!AM7)),IF(AND(up_Irr!O7&lt;&gt;".",up_Irr!AM7=".",up_Irr!BK7&lt;&gt;"."),up_dir!AO7/((1/1000)*(up_Irr!O7+up_Irr!BK7)),IF(AND(up_Irr!O7=".",up_Irr!AM7&lt;&gt;".",up_Irr!BK7&lt;&gt;"."),up_dir!AO7/((1/1000)*(up_Irr!AM7+up_Irr!BK7)),IF(AND(up_Irr!O7=".",up_Irr!AM7=".",up_Irr!BK7&lt;&gt;"."),up_dir!AO7/((1/1000)*(up_Irr!BK7)),IF(AND(up_Irr!O7=".",up_Irr!AM7&lt;&gt;".",up_Irr!BK7="."),up_dir!AO7/((1/1000)*(up_Irr!AM7)),IF(AND(up_Irr!O7&lt;&gt;".",up_Irr!AM7=".",up_Irr!BK7="."),up_dir!AO7/((1/1000)*(up_Irr!O7)),IF(AND(up_Irr!O7=".",up_Irr!AM7=".",up_Irr!BK7="."),up_dir!AO7*1000)))))))),".")</f>
        <v>7.2351016258567334E-11</v>
      </c>
      <c r="BO7" s="76">
        <f>IFERROR(IF(AND(up_Irr!P7&lt;&gt;".",up_Irr!AN7&lt;&gt;".",up_Irr!BL7&lt;&gt;"."),up_dir!AP7/((1/1000)*(up_Irr!P7+up_Irr!AN7+up_Irr!BL7)),IF(AND(up_Irr!P7&lt;&gt;".",up_Irr!AN7&lt;&gt;".",up_Irr!BL7="."),up_dir!AP7/((1/1000)*(up_Irr!P7+up_Irr!AN7)),IF(AND(up_Irr!P7&lt;&gt;".",up_Irr!AN7=".",up_Irr!BL7&lt;&gt;"."),up_dir!AP7/((1/1000)*(up_Irr!P7+up_Irr!BL7)),IF(AND(up_Irr!P7=".",up_Irr!AN7&lt;&gt;".",up_Irr!BL7&lt;&gt;"."),up_dir!AP7/((1/1000)*(up_Irr!AN7+up_Irr!BL7)),IF(AND(up_Irr!P7=".",up_Irr!AN7=".",up_Irr!BL7&lt;&gt;"."),up_dir!AP7/((1/1000)*(up_Irr!BL7)),IF(AND(up_Irr!P7=".",up_Irr!AN7&lt;&gt;".",up_Irr!BL7="."),up_dir!AP7/((1/1000)*(up_Irr!AN7)),IF(AND(up_Irr!P7&lt;&gt;".",up_Irr!AN7=".",up_Irr!BL7="."),up_dir!AP7/((1/1000)*(up_Irr!P7)),IF(AND(up_Irr!P7=".",up_Irr!AN7=".",up_Irr!BL7="."),up_dir!AP7*1000)))))))),".")</f>
        <v>7.2351016258567334E-11</v>
      </c>
      <c r="BP7" s="76">
        <f>IFERROR(IF(AND(up_Irr!Q7&lt;&gt;".",up_Irr!AO7&lt;&gt;".",up_Irr!BM7&lt;&gt;"."),up_dir!AQ7/((1/1000)*(up_Irr!Q7+up_Irr!AO7+up_Irr!BM7)),IF(AND(up_Irr!Q7&lt;&gt;".",up_Irr!AO7&lt;&gt;".",up_Irr!BM7="."),up_dir!AQ7/((1/1000)*(up_Irr!Q7+up_Irr!AO7)),IF(AND(up_Irr!Q7&lt;&gt;".",up_Irr!AO7=".",up_Irr!BM7&lt;&gt;"."),up_dir!AQ7/((1/1000)*(up_Irr!Q7+up_Irr!BM7)),IF(AND(up_Irr!Q7=".",up_Irr!AO7&lt;&gt;".",up_Irr!BM7&lt;&gt;"."),up_dir!AQ7/((1/1000)*(up_Irr!AO7+up_Irr!BM7)),IF(AND(up_Irr!Q7=".",up_Irr!AO7=".",up_Irr!BM7&lt;&gt;"."),up_dir!AQ7/((1/1000)*(up_Irr!BM7)),IF(AND(up_Irr!Q7=".",up_Irr!AO7&lt;&gt;".",up_Irr!BM7="."),up_dir!AQ7/((1/1000)*(up_Irr!AO7)),IF(AND(up_Irr!Q7&lt;&gt;".",up_Irr!AO7=".",up_Irr!BM7="."),up_dir!AQ7/((1/1000)*(up_Irr!Q7)),IF(AND(up_Irr!Q7=".",up_Irr!AO7=".",up_Irr!BM7="."),up_dir!AQ7*1000)))))))),".")</f>
        <v>7.2351016258567334E-11</v>
      </c>
      <c r="BQ7" s="76">
        <f>IFERROR(IF(AND(up_Irr!R7&lt;&gt;".",up_Irr!AP7&lt;&gt;".",up_Irr!BN7&lt;&gt;"."),up_dir!AR7/((1/1000)*(up_Irr!R7+up_Irr!AP7+up_Irr!BN7)),IF(AND(up_Irr!R7&lt;&gt;".",up_Irr!AP7&lt;&gt;".",up_Irr!BN7="."),up_dir!AR7/((1/1000)*(up_Irr!R7+up_Irr!AP7)),IF(AND(up_Irr!R7&lt;&gt;".",up_Irr!AP7=".",up_Irr!BN7&lt;&gt;"."),up_dir!AR7/((1/1000)*(up_Irr!R7+up_Irr!BN7)),IF(AND(up_Irr!R7=".",up_Irr!AP7&lt;&gt;".",up_Irr!BN7&lt;&gt;"."),up_dir!AR7/((1/1000)*(up_Irr!AP7+up_Irr!BN7)),IF(AND(up_Irr!R7=".",up_Irr!AP7=".",up_Irr!BN7&lt;&gt;"."),up_dir!AR7/((1/1000)*(up_Irr!BN7)),IF(AND(up_Irr!R7=".",up_Irr!AP7&lt;&gt;".",up_Irr!BN7="."),up_dir!AR7/((1/1000)*(up_Irr!AP7)),IF(AND(up_Irr!R7&lt;&gt;".",up_Irr!AP7=".",up_Irr!BN7="."),up_dir!AR7/((1/1000)*(up_Irr!R7)),IF(AND(up_Irr!R7=".",up_Irr!AP7=".",up_Irr!BN7="."),up_dir!AR7*1000)))))))),".")</f>
        <v>7.2351016258567334E-11</v>
      </c>
      <c r="BR7" s="76">
        <f>IFERROR(IF(AND(up_Irr!S7&lt;&gt;".",up_Irr!AQ7&lt;&gt;".",up_Irr!BO7&lt;&gt;"."),up_dir!AS7/((1/1000)*(up_Irr!S7+up_Irr!AQ7+up_Irr!BO7)),IF(AND(up_Irr!S7&lt;&gt;".",up_Irr!AQ7&lt;&gt;".",up_Irr!BO7="."),up_dir!AS7/((1/1000)*(up_Irr!S7+up_Irr!AQ7)),IF(AND(up_Irr!S7&lt;&gt;".",up_Irr!AQ7=".",up_Irr!BO7&lt;&gt;"."),up_dir!AS7/((1/1000)*(up_Irr!S7+up_Irr!BO7)),IF(AND(up_Irr!S7=".",up_Irr!AQ7&lt;&gt;".",up_Irr!BO7&lt;&gt;"."),up_dir!AS7/((1/1000)*(up_Irr!AQ7+up_Irr!BO7)),IF(AND(up_Irr!S7=".",up_Irr!AQ7=".",up_Irr!BO7&lt;&gt;"."),up_dir!AS7/((1/1000)*(up_Irr!BO7)),IF(AND(up_Irr!S7=".",up_Irr!AQ7&lt;&gt;".",up_Irr!BO7="."),up_dir!AS7/((1/1000)*(up_Irr!AQ7)),IF(AND(up_Irr!S7&lt;&gt;".",up_Irr!AQ7=".",up_Irr!BO7="."),up_dir!AS7/((1/1000)*(up_Irr!S7)),IF(AND(up_Irr!S7=".",up_Irr!AQ7=".",up_Irr!BO7="."),up_dir!AS7*1000)))))))),".")</f>
        <v>7.2351016258567334E-11</v>
      </c>
      <c r="BS7" s="76">
        <f>IFERROR(IF(AND(up_Irr!T7&lt;&gt;".",up_Irr!AR7&lt;&gt;".",up_Irr!BP7&lt;&gt;"."),up_dir!AT7/((1/1000)*(up_Irr!T7+up_Irr!AR7+up_Irr!BP7)),IF(AND(up_Irr!T7&lt;&gt;".",up_Irr!AR7&lt;&gt;".",up_Irr!BP7="."),up_dir!AT7/((1/1000)*(up_Irr!T7+up_Irr!AR7)),IF(AND(up_Irr!T7&lt;&gt;".",up_Irr!AR7=".",up_Irr!BP7&lt;&gt;"."),up_dir!AT7/((1/1000)*(up_Irr!T7+up_Irr!BP7)),IF(AND(up_Irr!T7=".",up_Irr!AR7&lt;&gt;".",up_Irr!BP7&lt;&gt;"."),up_dir!AT7/((1/1000)*(up_Irr!AR7+up_Irr!BP7)),IF(AND(up_Irr!T7=".",up_Irr!AR7=".",up_Irr!BP7&lt;&gt;"."),up_dir!AT7/((1/1000)*(up_Irr!BP7)),IF(AND(up_Irr!T7=".",up_Irr!AR7&lt;&gt;".",up_Irr!BP7="."),up_dir!AT7/((1/1000)*(up_Irr!AR7)),IF(AND(up_Irr!T7&lt;&gt;".",up_Irr!AR7=".",up_Irr!BP7="."),up_dir!AT7/((1/1000)*(up_Irr!T7)),IF(AND(up_Irr!T7=".",up_Irr!AR7=".",up_Irr!BP7="."),up_dir!AT7*1000)))))))),".")</f>
        <v>7.2351016258567334E-11</v>
      </c>
      <c r="BT7" s="76">
        <f>IFERROR(IF(AND(up_Irr!U7&lt;&gt;".",up_Irr!AS7&lt;&gt;".",up_Irr!BQ7&lt;&gt;"."),up_dir!AU7/((1/1000)*(up_Irr!U7+up_Irr!AS7+up_Irr!BQ7)),IF(AND(up_Irr!U7&lt;&gt;".",up_Irr!AS7&lt;&gt;".",up_Irr!BQ7="."),up_dir!AU7/((1/1000)*(up_Irr!U7+up_Irr!AS7)),IF(AND(up_Irr!U7&lt;&gt;".",up_Irr!AS7=".",up_Irr!BQ7&lt;&gt;"."),up_dir!AU7/((1/1000)*(up_Irr!U7+up_Irr!BQ7)),IF(AND(up_Irr!U7=".",up_Irr!AS7&lt;&gt;".",up_Irr!BQ7&lt;&gt;"."),up_dir!AU7/((1/1000)*(up_Irr!AS7+up_Irr!BQ7)),IF(AND(up_Irr!U7=".",up_Irr!AS7=".",up_Irr!BQ7&lt;&gt;"."),up_dir!AU7/((1/1000)*(up_Irr!BQ7)),IF(AND(up_Irr!U7=".",up_Irr!AS7&lt;&gt;".",up_Irr!BQ7="."),up_dir!AU7/((1/1000)*(up_Irr!AS7)),IF(AND(up_Irr!U7&lt;&gt;".",up_Irr!AS7=".",up_Irr!BQ7="."),up_dir!AU7/((1/1000)*(up_Irr!U7)),IF(AND(up_Irr!U7=".",up_Irr!AS7=".",up_Irr!BQ7="."),up_dir!AU7*1000)))))))),".")</f>
        <v>7.2351016258567334E-11</v>
      </c>
      <c r="BU7" s="76">
        <f>IFERROR(IF(AND(up_Irr!V7&lt;&gt;".",up_Irr!AT7&lt;&gt;".",up_Irr!BR7&lt;&gt;"."),up_dir!AV7/((1/1000)*(up_Irr!V7+up_Irr!AT7+up_Irr!BR7)),IF(AND(up_Irr!V7&lt;&gt;".",up_Irr!AT7&lt;&gt;".",up_Irr!BR7="."),up_dir!AV7/((1/1000)*(up_Irr!V7+up_Irr!AT7)),IF(AND(up_Irr!V7&lt;&gt;".",up_Irr!AT7=".",up_Irr!BR7&lt;&gt;"."),up_dir!AV7/((1/1000)*(up_Irr!V7+up_Irr!BR7)),IF(AND(up_Irr!V7=".",up_Irr!AT7&lt;&gt;".",up_Irr!BR7&lt;&gt;"."),up_dir!AV7/((1/1000)*(up_Irr!AT7+up_Irr!BR7)),IF(AND(up_Irr!V7=".",up_Irr!AT7=".",up_Irr!BR7&lt;&gt;"."),up_dir!AV7/((1/1000)*(up_Irr!BR7)),IF(AND(up_Irr!V7=".",up_Irr!AT7&lt;&gt;".",up_Irr!BR7="."),up_dir!AV7/((1/1000)*(up_Irr!AT7)),IF(AND(up_Irr!V7&lt;&gt;".",up_Irr!AT7=".",up_Irr!BR7="."),up_dir!AV7/((1/1000)*(up_Irr!V7)),IF(AND(up_Irr!V7=".",up_Irr!AT7=".",up_Irr!BR7="."),up_dir!AV7*1000)))))))),".")</f>
        <v>7.2351016258567334E-11</v>
      </c>
      <c r="BV7" s="76">
        <f>IFERROR(IF(AND(up_Irr!W7&lt;&gt;".",up_Irr!AU7&lt;&gt;".",up_Irr!BS7&lt;&gt;"."),up_dir!AW7/((1/1000)*(up_Irr!W7+up_Irr!AU7+up_Irr!BS7)),IF(AND(up_Irr!W7&lt;&gt;".",up_Irr!AU7&lt;&gt;".",up_Irr!BS7="."),up_dir!AW7/((1/1000)*(up_Irr!W7+up_Irr!AU7)),IF(AND(up_Irr!W7&lt;&gt;".",up_Irr!AU7=".",up_Irr!BS7&lt;&gt;"."),up_dir!AW7/((1/1000)*(up_Irr!W7+up_Irr!BS7)),IF(AND(up_Irr!W7=".",up_Irr!AU7&lt;&gt;".",up_Irr!BS7&lt;&gt;"."),up_dir!AW7/((1/1000)*(up_Irr!AU7+up_Irr!BS7)),IF(AND(up_Irr!W7=".",up_Irr!AU7=".",up_Irr!BS7&lt;&gt;"."),up_dir!AW7/((1/1000)*(up_Irr!BS7)),IF(AND(up_Irr!W7=".",up_Irr!AU7&lt;&gt;".",up_Irr!BS7="."),up_dir!AW7/((1/1000)*(up_Irr!AU7)),IF(AND(up_Irr!W7&lt;&gt;".",up_Irr!AU7=".",up_Irr!BS7="."),up_dir!AW7/((1/1000)*(up_Irr!W7)),IF(AND(up_Irr!W7=".",up_Irr!AU7=".",up_Irr!BS7="."),up_dir!AW7*1000)))))))),".")</f>
        <v>7.2351016258567334E-11</v>
      </c>
      <c r="BW7" s="76">
        <f>IFERROR(IF(AND(up_Irr!X7&lt;&gt;".",up_Irr!AV7&lt;&gt;".",up_Irr!BT7&lt;&gt;"."),up_dir!AX7/((1/1000)*(up_Irr!X7+up_Irr!AV7+up_Irr!BT7)),IF(AND(up_Irr!X7&lt;&gt;".",up_Irr!AV7&lt;&gt;".",up_Irr!BT7="."),up_dir!AX7/((1/1000)*(up_Irr!X7+up_Irr!AV7)),IF(AND(up_Irr!X7&lt;&gt;".",up_Irr!AV7=".",up_Irr!BT7&lt;&gt;"."),up_dir!AX7/((1/1000)*(up_Irr!X7+up_Irr!BT7)),IF(AND(up_Irr!X7=".",up_Irr!AV7&lt;&gt;".",up_Irr!BT7&lt;&gt;"."),up_dir!AX7/((1/1000)*(up_Irr!AV7+up_Irr!BT7)),IF(AND(up_Irr!X7=".",up_Irr!AV7=".",up_Irr!BT7&lt;&gt;"."),up_dir!AX7/((1/1000)*(up_Irr!BT7)),IF(AND(up_Irr!X7=".",up_Irr!AV7&lt;&gt;".",up_Irr!BT7="."),up_dir!AX7/((1/1000)*(up_Irr!AV7)),IF(AND(up_Irr!X7&lt;&gt;".",up_Irr!AV7=".",up_Irr!BT7="."),up_dir!AX7/((1/1000)*(up_Irr!X7)),IF(AND(up_Irr!X7=".",up_Irr!AV7=".",up_Irr!BT7="."),up_dir!AX7*1000)))))))),".")</f>
        <v>7.2351016258567334E-11</v>
      </c>
      <c r="BX7" s="76">
        <f>IFERROR(IF(AND(up_Irr!Y7&lt;&gt;".",up_Irr!AW7&lt;&gt;".",up_Irr!BU7&lt;&gt;"."),up_dir!AY7/((1/1000)*(up_Irr!Y7+up_Irr!AW7+up_Irr!BU7)),IF(AND(up_Irr!Y7&lt;&gt;".",up_Irr!AW7&lt;&gt;".",up_Irr!BU7="."),up_dir!AY7/((1/1000)*(up_Irr!Y7+up_Irr!AW7)),IF(AND(up_Irr!Y7&lt;&gt;".",up_Irr!AW7=".",up_Irr!BU7&lt;&gt;"."),up_dir!AY7/((1/1000)*(up_Irr!Y7+up_Irr!BU7)),IF(AND(up_Irr!Y7=".",up_Irr!AW7&lt;&gt;".",up_Irr!BU7&lt;&gt;"."),up_dir!AY7/((1/1000)*(up_Irr!AW7+up_Irr!BU7)),IF(AND(up_Irr!Y7=".",up_Irr!AW7=".",up_Irr!BU7&lt;&gt;"."),up_dir!AY7/((1/1000)*(up_Irr!BU7)),IF(AND(up_Irr!Y7=".",up_Irr!AW7&lt;&gt;".",up_Irr!BU7="."),up_dir!AY7/((1/1000)*(up_Irr!AW7)),IF(AND(up_Irr!Y7&lt;&gt;".",up_Irr!AW7=".",up_Irr!BU7="."),up_dir!AY7/((1/1000)*(up_Irr!Y7)),IF(AND(up_Irr!Y7=".",up_Irr!AW7=".",up_Irr!BU7="."),up_dir!AY7*1000)))))))),".")</f>
        <v>7.2351016258567334E-11</v>
      </c>
      <c r="BY7" s="76">
        <f>IFERROR(IF(AND(up_Irr!Z7&lt;&gt;".",up_Irr!AX7&lt;&gt;".",up_Irr!BV7&lt;&gt;"."),up_dir!AZ7/((1/1000)*(up_Irr!Z7+up_Irr!AX7+up_Irr!BV7)),IF(AND(up_Irr!Z7&lt;&gt;".",up_Irr!AX7&lt;&gt;".",up_Irr!BV7="."),up_dir!AZ7/((1/1000)*(up_Irr!Z7+up_Irr!AX7)),IF(AND(up_Irr!Z7&lt;&gt;".",up_Irr!AX7=".",up_Irr!BV7&lt;&gt;"."),up_dir!AZ7/((1/1000)*(up_Irr!Z7+up_Irr!BV7)),IF(AND(up_Irr!Z7=".",up_Irr!AX7&lt;&gt;".",up_Irr!BV7&lt;&gt;"."),up_dir!AZ7/((1/1000)*(up_Irr!AX7+up_Irr!BV7)),IF(AND(up_Irr!Z7=".",up_Irr!AX7=".",up_Irr!BV7&lt;&gt;"."),up_dir!AZ7/((1/1000)*(up_Irr!BV7)),IF(AND(up_Irr!Z7=".",up_Irr!AX7&lt;&gt;".",up_Irr!BV7="."),up_dir!AZ7/((1/1000)*(up_Irr!AX7)),IF(AND(up_Irr!Z7&lt;&gt;".",up_Irr!AX7=".",up_Irr!BV7="."),up_dir!AZ7/((1/1000)*(up_Irr!Z7)),IF(AND(up_Irr!Z7=".",up_Irr!AX7=".",up_Irr!BV7="."),up_dir!AZ7*1000)))))))),".")</f>
        <v>7.2351016258567334E-11</v>
      </c>
      <c r="BZ7" s="93">
        <f>SUM(CA7:CB7,CW7:CX7)</f>
        <v>55286.023705663516</v>
      </c>
      <c r="CA7" s="93">
        <f>IFERROR(s_C*s_IFAP_far_adj*s_CF_apple*(1/1000)*(up_Irr!C7+up_Irr!AA7+up_Irr!AY7),".")</f>
        <v>13821.505926415879</v>
      </c>
      <c r="CB7" s="93">
        <f>IFERROR(s_C*s_IFAS_far_adj*s_CF_asparagus*(1/1000)*(up_Irr!D7+up_Irr!AB7+up_Irr!AZ7),".")</f>
        <v>13821.505926415879</v>
      </c>
      <c r="CC7" s="93">
        <f>IFERROR(s_C*s_IFBT_far_adj*s_CF_beet*(1/1000)*(up_Irr!E7+up_Irr!AC7+up_Irr!BA7),".")</f>
        <v>13821.505926415879</v>
      </c>
      <c r="CD7" s="93">
        <f>IFERROR(s_C*s_IFBE_far_adj*s_CF_berries*(1/1000)*(up_Irr!F7+up_Irr!AD7+up_Irr!BB7),".")</f>
        <v>13821.505926415879</v>
      </c>
      <c r="CE7" s="93">
        <f>IFERROR(s_C*s_IFBR_far_adj*s_CF_broccoli*(1/1000)*(up_Irr!G7+up_Irr!AE7+up_Irr!BC7),".")</f>
        <v>13821.505926415879</v>
      </c>
      <c r="CF7" s="93">
        <f>IFERROR(s_C*s_IFCB_far_adj*s_CF_cabbage*(1/1000)*(up_Irr!H7+up_Irr!AF7+up_Irr!BD7),".")</f>
        <v>13821.505926415879</v>
      </c>
      <c r="CG7" s="93">
        <f>IFERROR(s_C*s_IFCR_far_adj*s_CF_carrot*(1/1000)*(up_Irr!I7+up_Irr!AG7+up_Irr!BE7),".")</f>
        <v>13821.505926415879</v>
      </c>
      <c r="CH7" s="93">
        <f>IFERROR(s_C*s_IFCI_far_adj*s_CF_citrus*(1/1000)*(up_Irr!J7+up_Irr!AH7+up_Irr!BF7),".")</f>
        <v>13821.505926415879</v>
      </c>
      <c r="CI7" s="93">
        <f>IFERROR(s_C*s_IFCO_far_adj*s_CF_corn*(1/1000)*(up_Irr!K7+up_Irr!AI7+up_Irr!BG7),".")</f>
        <v>13821.505926415879</v>
      </c>
      <c r="CJ7" s="93">
        <f>IFERROR(s_C*s_IFCU_far_adj*s_CF_cucumber*(1/1000)*(up_Irr!L7+up_Irr!AJ7+up_Irr!BH7),".")</f>
        <v>13821.505926415879</v>
      </c>
      <c r="CK7" s="93">
        <f>IFERROR(s_C*s_IFLE_far_adj*s_CF_lettuce*(1/1000)*(up_Irr!M7+up_Irr!AK7+up_Irr!BI7),".")</f>
        <v>13821.505926415879</v>
      </c>
      <c r="CL7" s="93">
        <f>IFERROR(s_C*s_IFLI_far_adj*s_CF_lima_bean*(1/1000)*(up_Irr!N7+up_Irr!AL7+up_Irr!BJ7),".")</f>
        <v>13821.505926415879</v>
      </c>
      <c r="CM7" s="93">
        <f>IFERROR(s_C*s_IFOK_far_adj*s_CF_okra*(1/1000)*(up_Irr!O7+up_Irr!AM7+up_Irr!BK7),".")</f>
        <v>13821.505926415879</v>
      </c>
      <c r="CN7" s="93">
        <f>IFERROR(s_C*s_IFON_far_adj*s_CF_onion*(1/1000)*(up_Irr!P7+up_Irr!AN7+up_Irr!BL7),".")</f>
        <v>13821.505926415879</v>
      </c>
      <c r="CO7" s="93">
        <f>IFERROR(s_C*s_IFPC_far_adj*s_CF_peach*(1/1000)*(up_Irr!Q7+up_Irr!AO7+up_Irr!BM7),".")</f>
        <v>13821.505926415879</v>
      </c>
      <c r="CP7" s="93">
        <f>IFERROR(s_C*s_IFPR_far_adj*s_CF_pear*(1/1000)*(up_Irr!R7+up_Irr!AP7+up_Irr!BN7),".")</f>
        <v>13821.505926415879</v>
      </c>
      <c r="CQ7" s="93">
        <f>IFERROR(s_C*s_IFPE_far_adj*s_CF_peas*(1/1000)*(up_Irr!S7+up_Irr!AQ7+up_Irr!BO7),".")</f>
        <v>13821.505926415879</v>
      </c>
      <c r="CR7" s="93">
        <f>IFERROR(s_C*s_IFPT_far_adj*s_CF_potato*(1/1000)*(up_Irr!T7+up_Irr!AR7+up_Irr!BP7),".")</f>
        <v>13821.505926415879</v>
      </c>
      <c r="CS7" s="93">
        <f>IFERROR(s_C*s_IFPU_far_adj*s_CF_pumpkin*(1/1000)*(up_Irr!U7+up_Irr!AS7+up_Irr!BQ7),".")</f>
        <v>13821.505926415879</v>
      </c>
      <c r="CT7" s="93">
        <f>IFERROR(s_C*s_IFSN_far_adj*s_CF_snap_bean*(1/1000)*(up_Irr!V7+up_Irr!AT7+up_Irr!BR7),".")</f>
        <v>13821.505926415879</v>
      </c>
      <c r="CU7" s="93">
        <f>IFERROR(s_C*s_IFST_far_adj*s_CF_strawberry*(1/1000)*(up_Irr!W7+up_Irr!AU7+up_Irr!BS7),".")</f>
        <v>13821.505926415879</v>
      </c>
      <c r="CV7" s="93">
        <f>IFERROR(s_C*s_IFTO_far_adj*s_CF_tomato*(1/1000)*(up_Irr!X7+up_Irr!AV7+up_Irr!BT7),".")</f>
        <v>13821.505926415879</v>
      </c>
      <c r="CW7" s="93">
        <f>IFERROR(s_C*s_IFRI_far_adj*s_CF_rice*(1/1000)*(up_Irr!Y7+up_Irr!AW7+up_Irr!BU7),".")</f>
        <v>13821.505926415879</v>
      </c>
      <c r="CX7" s="93">
        <f>IFERROR(s_C*s_IFCG_far_adj*s_CF_cereal*(1/1000)*(up_Irr!Z7+up_Irr!AX7+up_Irr!BV7),".")</f>
        <v>13821.505926415879</v>
      </c>
    </row>
    <row r="8" spans="1:102" ht="15" customHeight="1" x14ac:dyDescent="0.25">
      <c r="A8" s="92" t="s">
        <v>18</v>
      </c>
      <c r="B8" s="90" t="s">
        <v>1074</v>
      </c>
      <c r="C8" s="76">
        <f t="shared" si="0"/>
        <v>1.8087754064641833E-11</v>
      </c>
      <c r="D8" s="76">
        <f>IFERROR(IF(AND(up_Irr!C8&lt;&gt;".",up_Irr!AA8&lt;&gt;".",up_Irr!AY8&lt;&gt;"."),up_dir!D8/((1/1000)*(up_Irr!C8+up_Irr!AA8+up_Irr!AY8)),IF(AND(up_Irr!C8&lt;&gt;".",up_Irr!AA8&lt;&gt;".",up_Irr!AY8="."),up_dir!D8/((1/1000)*(up_Irr!C8+up_Irr!AA8)),IF(AND(up_Irr!C8&lt;&gt;".",up_Irr!AA8=".",up_Irr!AY8&lt;&gt;"."),up_dir!D8/((1/1000)*(up_Irr!C8+up_Irr!AY8)),IF(AND(up_Irr!C8=".",up_Irr!AA8&lt;&gt;".",up_Irr!AY8&lt;&gt;"."),up_dir!D8/((1/1000)*(up_Irr!AA8+up_Irr!AY8)),IF(AND(up_Irr!C8=".",up_Irr!AA8=".",up_Irr!AY8&lt;&gt;"."),up_dir!D8/((1/1000)*(up_Irr!AY8)),IF(AND(up_Irr!C8=".",up_Irr!AA8&lt;&gt;".",up_Irr!AY8="."),up_dir!D8/((1/1000)*(up_Irr!AA8)),IF(AND(up_Irr!C8&lt;&gt;".",up_Irr!AA8=".",up_Irr!AY8="."),up_dir!D8/((1/1000)*(up_Irr!C8)),IF(AND(up_Irr!C8=".",up_Irr!AA8=".",up_Irr!AY8="."),up_dir!D8*1000)))))))),".")</f>
        <v>7.2351016258567334E-11</v>
      </c>
      <c r="E8" s="76">
        <f>IFERROR(IF(AND(up_Irr!D8&lt;&gt;".",up_Irr!AB8&lt;&gt;".",up_Irr!AZ8&lt;&gt;"."),up_dir!E8/((1/1000)*(up_Irr!D8+up_Irr!AB8+up_Irr!AZ8)),IF(AND(up_Irr!D8&lt;&gt;".",up_Irr!AB8&lt;&gt;".",up_Irr!AZ8="."),up_dir!E8/((1/1000)*(up_Irr!D8+up_Irr!AB8)),IF(AND(up_Irr!D8&lt;&gt;".",up_Irr!AB8=".",up_Irr!AZ8&lt;&gt;"."),up_dir!E8/((1/1000)*(up_Irr!D8+up_Irr!AZ8)),IF(AND(up_Irr!D8=".",up_Irr!AB8&lt;&gt;".",up_Irr!AZ8&lt;&gt;"."),up_dir!E8/((1/1000)*(up_Irr!AB8+up_Irr!AZ8)),IF(AND(up_Irr!D8=".",up_Irr!AB8=".",up_Irr!AZ8&lt;&gt;"."),up_dir!E8/((1/1000)*(up_Irr!AZ8)),IF(AND(up_Irr!D8=".",up_Irr!AB8&lt;&gt;".",up_Irr!AZ8="."),up_dir!E8/((1/1000)*(up_Irr!AB8)),IF(AND(up_Irr!D8&lt;&gt;".",up_Irr!AB8=".",up_Irr!AZ8="."),up_dir!E8/((1/1000)*(up_Irr!D8)),IF(AND(up_Irr!D8=".",up_Irr!AB8=".",up_Irr!AZ8="."),up_dir!E8*1000)))))))),".")</f>
        <v>7.2351016258567334E-11</v>
      </c>
      <c r="F8" s="76">
        <f>IFERROR(IF(AND(up_Irr!E8&lt;&gt;".",up_Irr!AC8&lt;&gt;".",up_Irr!BA8&lt;&gt;"."),up_dir!F8/((1/1000)*(up_Irr!E8+up_Irr!AC8+up_Irr!BA8)),IF(AND(up_Irr!E8&lt;&gt;".",up_Irr!AC8&lt;&gt;".",up_Irr!BA8="."),up_dir!F8/((1/1000)*(up_Irr!E8+up_Irr!AC8)),IF(AND(up_Irr!E8&lt;&gt;".",up_Irr!AC8=".",up_Irr!BA8&lt;&gt;"."),up_dir!F8/((1/1000)*(up_Irr!E8+up_Irr!BA8)),IF(AND(up_Irr!E8=".",up_Irr!AC8&lt;&gt;".",up_Irr!BA8&lt;&gt;"."),up_dir!F8/((1/1000)*(up_Irr!AC8+up_Irr!BA8)),IF(AND(up_Irr!E8=".",up_Irr!AC8=".",up_Irr!BA8&lt;&gt;"."),up_dir!F8/((1/1000)*(up_Irr!BA8)),IF(AND(up_Irr!E8=".",up_Irr!AC8&lt;&gt;".",up_Irr!BA8="."),up_dir!F8/((1/1000)*(up_Irr!AC8)),IF(AND(up_Irr!E8&lt;&gt;".",up_Irr!AC8=".",up_Irr!BA8="."),up_dir!F8/((1/1000)*(up_Irr!E8)),IF(AND(up_Irr!E8=".",up_Irr!AC8=".",up_Irr!BA8="."),up_dir!F8*1000)))))))),".")</f>
        <v>7.2351016258567334E-11</v>
      </c>
      <c r="G8" s="76">
        <f>IFERROR(IF(AND(up_Irr!F8&lt;&gt;".",up_Irr!AD8&lt;&gt;".",up_Irr!BB8&lt;&gt;"."),up_dir!G8/((1/1000)*(up_Irr!F8+up_Irr!AD8+up_Irr!BB8)),IF(AND(up_Irr!F8&lt;&gt;".",up_Irr!AD8&lt;&gt;".",up_Irr!BB8="."),up_dir!G8/((1/1000)*(up_Irr!F8+up_Irr!AD8)),IF(AND(up_Irr!F8&lt;&gt;".",up_Irr!AD8=".",up_Irr!BB8&lt;&gt;"."),up_dir!G8/((1/1000)*(up_Irr!F8+up_Irr!BB8)),IF(AND(up_Irr!F8=".",up_Irr!AD8&lt;&gt;".",up_Irr!BB8&lt;&gt;"."),up_dir!G8/((1/1000)*(up_Irr!AD8+up_Irr!BB8)),IF(AND(up_Irr!F8=".",up_Irr!AD8=".",up_Irr!BB8&lt;&gt;"."),up_dir!G8/((1/1000)*(up_Irr!BB8)),IF(AND(up_Irr!F8=".",up_Irr!AD8&lt;&gt;".",up_Irr!BB8="."),up_dir!G8/((1/1000)*(up_Irr!AD8)),IF(AND(up_Irr!F8&lt;&gt;".",up_Irr!AD8=".",up_Irr!BB8="."),up_dir!G8/((1/1000)*(up_Irr!F8)),IF(AND(up_Irr!F8=".",up_Irr!AD8=".",up_Irr!BB8="."),up_dir!G8*1000)))))))),".")</f>
        <v>7.2351016258567334E-11</v>
      </c>
      <c r="H8" s="76">
        <f>IFERROR(IF(AND(up_Irr!G8&lt;&gt;".",up_Irr!AE8&lt;&gt;".",up_Irr!BC8&lt;&gt;"."),up_dir!H8/((1/1000)*(up_Irr!G8+up_Irr!AE8+up_Irr!BC8)),IF(AND(up_Irr!G8&lt;&gt;".",up_Irr!AE8&lt;&gt;".",up_Irr!BC8="."),up_dir!H8/((1/1000)*(up_Irr!G8+up_Irr!AE8)),IF(AND(up_Irr!G8&lt;&gt;".",up_Irr!AE8=".",up_Irr!BC8&lt;&gt;"."),up_dir!H8/((1/1000)*(up_Irr!G8+up_Irr!BC8)),IF(AND(up_Irr!G8=".",up_Irr!AE8&lt;&gt;".",up_Irr!BC8&lt;&gt;"."),up_dir!H8/((1/1000)*(up_Irr!AE8+up_Irr!BC8)),IF(AND(up_Irr!G8=".",up_Irr!AE8=".",up_Irr!BC8&lt;&gt;"."),up_dir!H8/((1/1000)*(up_Irr!BC8)),IF(AND(up_Irr!G8=".",up_Irr!AE8&lt;&gt;".",up_Irr!BC8="."),up_dir!H8/((1/1000)*(up_Irr!AE8)),IF(AND(up_Irr!G8&lt;&gt;".",up_Irr!AE8=".",up_Irr!BC8="."),up_dir!H8/((1/1000)*(up_Irr!G8)),IF(AND(up_Irr!G8=".",up_Irr!AE8=".",up_Irr!BC8="."),up_dir!H8*1000)))))))),".")</f>
        <v>7.2351016258567334E-11</v>
      </c>
      <c r="I8" s="76">
        <f>IFERROR(IF(AND(up_Irr!H8&lt;&gt;".",up_Irr!AF8&lt;&gt;".",up_Irr!BD8&lt;&gt;"."),up_dir!I8/((1/1000)*(up_Irr!H8+up_Irr!AF8+up_Irr!BD8)),IF(AND(up_Irr!H8&lt;&gt;".",up_Irr!AF8&lt;&gt;".",up_Irr!BD8="."),up_dir!I8/((1/1000)*(up_Irr!H8+up_Irr!AF8)),IF(AND(up_Irr!H8&lt;&gt;".",up_Irr!AF8=".",up_Irr!BD8&lt;&gt;"."),up_dir!I8/((1/1000)*(up_Irr!H8+up_Irr!BD8)),IF(AND(up_Irr!H8=".",up_Irr!AF8&lt;&gt;".",up_Irr!BD8&lt;&gt;"."),up_dir!I8/((1/1000)*(up_Irr!AF8+up_Irr!BD8)),IF(AND(up_Irr!H8=".",up_Irr!AF8=".",up_Irr!BD8&lt;&gt;"."),up_dir!I8/((1/1000)*(up_Irr!BD8)),IF(AND(up_Irr!H8=".",up_Irr!AF8&lt;&gt;".",up_Irr!BD8="."),up_dir!I8/((1/1000)*(up_Irr!AF8)),IF(AND(up_Irr!H8&lt;&gt;".",up_Irr!AF8=".",up_Irr!BD8="."),up_dir!I8/((1/1000)*(up_Irr!H8)),IF(AND(up_Irr!H8=".",up_Irr!AF8=".",up_Irr!BD8="."),up_dir!I8*1000)))))))),".")</f>
        <v>7.2351016258567334E-11</v>
      </c>
      <c r="J8" s="76">
        <f>IFERROR(IF(AND(up_Irr!I8&lt;&gt;".",up_Irr!AG8&lt;&gt;".",up_Irr!BE8&lt;&gt;"."),up_dir!J8/((1/1000)*(up_Irr!I8+up_Irr!AG8+up_Irr!BE8)),IF(AND(up_Irr!I8&lt;&gt;".",up_Irr!AG8&lt;&gt;".",up_Irr!BE8="."),up_dir!J8/((1/1000)*(up_Irr!I8+up_Irr!AG8)),IF(AND(up_Irr!I8&lt;&gt;".",up_Irr!AG8=".",up_Irr!BE8&lt;&gt;"."),up_dir!J8/((1/1000)*(up_Irr!I8+up_Irr!BE8)),IF(AND(up_Irr!I8=".",up_Irr!AG8&lt;&gt;".",up_Irr!BE8&lt;&gt;"."),up_dir!J8/((1/1000)*(up_Irr!AG8+up_Irr!BE8)),IF(AND(up_Irr!I8=".",up_Irr!AG8=".",up_Irr!BE8&lt;&gt;"."),up_dir!J8/((1/1000)*(up_Irr!BE8)),IF(AND(up_Irr!I8=".",up_Irr!AG8&lt;&gt;".",up_Irr!BE8="."),up_dir!J8/((1/1000)*(up_Irr!AG8)),IF(AND(up_Irr!I8&lt;&gt;".",up_Irr!AG8=".",up_Irr!BE8="."),up_dir!J8/((1/1000)*(up_Irr!I8)),IF(AND(up_Irr!I8=".",up_Irr!AG8=".",up_Irr!BE8="."),up_dir!J8*1000)))))))),".")</f>
        <v>7.2351016258567334E-11</v>
      </c>
      <c r="K8" s="76">
        <f>IFERROR(IF(AND(up_Irr!J8&lt;&gt;".",up_Irr!AH8&lt;&gt;".",up_Irr!BF8&lt;&gt;"."),up_dir!K8/((1/1000)*(up_Irr!J8+up_Irr!AH8+up_Irr!BF8)),IF(AND(up_Irr!J8&lt;&gt;".",up_Irr!AH8&lt;&gt;".",up_Irr!BF8="."),up_dir!K8/((1/1000)*(up_Irr!J8+up_Irr!AH8)),IF(AND(up_Irr!J8&lt;&gt;".",up_Irr!AH8=".",up_Irr!BF8&lt;&gt;"."),up_dir!K8/((1/1000)*(up_Irr!J8+up_Irr!BF8)),IF(AND(up_Irr!J8=".",up_Irr!AH8&lt;&gt;".",up_Irr!BF8&lt;&gt;"."),up_dir!K8/((1/1000)*(up_Irr!AH8+up_Irr!BF8)),IF(AND(up_Irr!J8=".",up_Irr!AH8=".",up_Irr!BF8&lt;&gt;"."),up_dir!K8/((1/1000)*(up_Irr!BF8)),IF(AND(up_Irr!J8=".",up_Irr!AH8&lt;&gt;".",up_Irr!BF8="."),up_dir!K8/((1/1000)*(up_Irr!AH8)),IF(AND(up_Irr!J8&lt;&gt;".",up_Irr!AH8=".",up_Irr!BF8="."),up_dir!K8/((1/1000)*(up_Irr!J8)),IF(AND(up_Irr!J8=".",up_Irr!AH8=".",up_Irr!BF8="."),up_dir!K8*1000)))))))),".")</f>
        <v>7.2351016258567334E-11</v>
      </c>
      <c r="L8" s="76">
        <f>IFERROR(IF(AND(up_Irr!K8&lt;&gt;".",up_Irr!AI8&lt;&gt;".",up_Irr!BG8&lt;&gt;"."),up_dir!L8/((1/1000)*(up_Irr!K8+up_Irr!AI8+up_Irr!BG8)),IF(AND(up_Irr!K8&lt;&gt;".",up_Irr!AI8&lt;&gt;".",up_Irr!BG8="."),up_dir!L8/((1/1000)*(up_Irr!K8+up_Irr!AI8)),IF(AND(up_Irr!K8&lt;&gt;".",up_Irr!AI8=".",up_Irr!BG8&lt;&gt;"."),up_dir!L8/((1/1000)*(up_Irr!K8+up_Irr!BG8)),IF(AND(up_Irr!K8=".",up_Irr!AI8&lt;&gt;".",up_Irr!BG8&lt;&gt;"."),up_dir!L8/((1/1000)*(up_Irr!AI8+up_Irr!BG8)),IF(AND(up_Irr!K8=".",up_Irr!AI8=".",up_Irr!BG8&lt;&gt;"."),up_dir!L8/((1/1000)*(up_Irr!BG8)),IF(AND(up_Irr!K8=".",up_Irr!AI8&lt;&gt;".",up_Irr!BG8="."),up_dir!L8/((1/1000)*(up_Irr!AI8)),IF(AND(up_Irr!K8&lt;&gt;".",up_Irr!AI8=".",up_Irr!BG8="."),up_dir!L8/((1/1000)*(up_Irr!K8)),IF(AND(up_Irr!K8=".",up_Irr!AI8=".",up_Irr!BG8="."),up_dir!L8*1000)))))))),".")</f>
        <v>7.2351016258567334E-11</v>
      </c>
      <c r="M8" s="76">
        <f>IFERROR(IF(AND(up_Irr!L8&lt;&gt;".",up_Irr!AJ8&lt;&gt;".",up_Irr!BH8&lt;&gt;"."),up_dir!M8/((1/1000)*(up_Irr!L8+up_Irr!AJ8+up_Irr!BH8)),IF(AND(up_Irr!L8&lt;&gt;".",up_Irr!AJ8&lt;&gt;".",up_Irr!BH8="."),up_dir!M8/((1/1000)*(up_Irr!L8+up_Irr!AJ8)),IF(AND(up_Irr!L8&lt;&gt;".",up_Irr!AJ8=".",up_Irr!BH8&lt;&gt;"."),up_dir!M8/((1/1000)*(up_Irr!L8+up_Irr!BH8)),IF(AND(up_Irr!L8=".",up_Irr!AJ8&lt;&gt;".",up_Irr!BH8&lt;&gt;"."),up_dir!M8/((1/1000)*(up_Irr!AJ8+up_Irr!BH8)),IF(AND(up_Irr!L8=".",up_Irr!AJ8=".",up_Irr!BH8&lt;&gt;"."),up_dir!M8/((1/1000)*(up_Irr!BH8)),IF(AND(up_Irr!L8=".",up_Irr!AJ8&lt;&gt;".",up_Irr!BH8="."),up_dir!M8/((1/1000)*(up_Irr!AJ8)),IF(AND(up_Irr!L8&lt;&gt;".",up_Irr!AJ8=".",up_Irr!BH8="."),up_dir!M8/((1/1000)*(up_Irr!L8)),IF(AND(up_Irr!L8=".",up_Irr!AJ8=".",up_Irr!BH8="."),up_dir!M8*1000)))))))),".")</f>
        <v>7.2351016258567334E-11</v>
      </c>
      <c r="N8" s="76">
        <f>IFERROR(IF(AND(up_Irr!M8&lt;&gt;".",up_Irr!AK8&lt;&gt;".",up_Irr!BI8&lt;&gt;"."),up_dir!N8/((1/1000)*(up_Irr!M8+up_Irr!AK8+up_Irr!BI8)),IF(AND(up_Irr!M8&lt;&gt;".",up_Irr!AK8&lt;&gt;".",up_Irr!BI8="."),up_dir!N8/((1/1000)*(up_Irr!M8+up_Irr!AK8)),IF(AND(up_Irr!M8&lt;&gt;".",up_Irr!AK8=".",up_Irr!BI8&lt;&gt;"."),up_dir!N8/((1/1000)*(up_Irr!M8+up_Irr!BI8)),IF(AND(up_Irr!M8=".",up_Irr!AK8&lt;&gt;".",up_Irr!BI8&lt;&gt;"."),up_dir!N8/((1/1000)*(up_Irr!AK8+up_Irr!BI8)),IF(AND(up_Irr!M8=".",up_Irr!AK8=".",up_Irr!BI8&lt;&gt;"."),up_dir!N8/((1/1000)*(up_Irr!BI8)),IF(AND(up_Irr!M8=".",up_Irr!AK8&lt;&gt;".",up_Irr!BI8="."),up_dir!N8/((1/1000)*(up_Irr!AK8)),IF(AND(up_Irr!M8&lt;&gt;".",up_Irr!AK8=".",up_Irr!BI8="."),up_dir!N8/((1/1000)*(up_Irr!M8)),IF(AND(up_Irr!M8=".",up_Irr!AK8=".",up_Irr!BI8="."),up_dir!N8*1000)))))))),".")</f>
        <v>7.2351016258567334E-11</v>
      </c>
      <c r="O8" s="76">
        <f>IFERROR(IF(AND(up_Irr!N8&lt;&gt;".",up_Irr!AL8&lt;&gt;".",up_Irr!BJ8&lt;&gt;"."),up_dir!O8/((1/1000)*(up_Irr!N8+up_Irr!AL8+up_Irr!BJ8)),IF(AND(up_Irr!N8&lt;&gt;".",up_Irr!AL8&lt;&gt;".",up_Irr!BJ8="."),up_dir!O8/((1/1000)*(up_Irr!N8+up_Irr!AL8)),IF(AND(up_Irr!N8&lt;&gt;".",up_Irr!AL8=".",up_Irr!BJ8&lt;&gt;"."),up_dir!O8/((1/1000)*(up_Irr!N8+up_Irr!BJ8)),IF(AND(up_Irr!N8=".",up_Irr!AL8&lt;&gt;".",up_Irr!BJ8&lt;&gt;"."),up_dir!O8/((1/1000)*(up_Irr!AL8+up_Irr!BJ8)),IF(AND(up_Irr!N8=".",up_Irr!AL8=".",up_Irr!BJ8&lt;&gt;"."),up_dir!O8/((1/1000)*(up_Irr!BJ8)),IF(AND(up_Irr!N8=".",up_Irr!AL8&lt;&gt;".",up_Irr!BJ8="."),up_dir!O8/((1/1000)*(up_Irr!AL8)),IF(AND(up_Irr!N8&lt;&gt;".",up_Irr!AL8=".",up_Irr!BJ8="."),up_dir!O8/((1/1000)*(up_Irr!N8)),IF(AND(up_Irr!N8=".",up_Irr!AL8=".",up_Irr!BJ8="."),up_dir!O8*1000)))))))),".")</f>
        <v>7.2351016258567334E-11</v>
      </c>
      <c r="P8" s="76">
        <f>IFERROR(IF(AND(up_Irr!O8&lt;&gt;".",up_Irr!AM8&lt;&gt;".",up_Irr!BK8&lt;&gt;"."),up_dir!P8/((1/1000)*(up_Irr!O8+up_Irr!AM8+up_Irr!BK8)),IF(AND(up_Irr!O8&lt;&gt;".",up_Irr!AM8&lt;&gt;".",up_Irr!BK8="."),up_dir!P8/((1/1000)*(up_Irr!O8+up_Irr!AM8)),IF(AND(up_Irr!O8&lt;&gt;".",up_Irr!AM8=".",up_Irr!BK8&lt;&gt;"."),up_dir!P8/((1/1000)*(up_Irr!O8+up_Irr!BK8)),IF(AND(up_Irr!O8=".",up_Irr!AM8&lt;&gt;".",up_Irr!BK8&lt;&gt;"."),up_dir!P8/((1/1000)*(up_Irr!AM8+up_Irr!BK8)),IF(AND(up_Irr!O8=".",up_Irr!AM8=".",up_Irr!BK8&lt;&gt;"."),up_dir!P8/((1/1000)*(up_Irr!BK8)),IF(AND(up_Irr!O8=".",up_Irr!AM8&lt;&gt;".",up_Irr!BK8="."),up_dir!P8/((1/1000)*(up_Irr!AM8)),IF(AND(up_Irr!O8&lt;&gt;".",up_Irr!AM8=".",up_Irr!BK8="."),up_dir!P8/((1/1000)*(up_Irr!O8)),IF(AND(up_Irr!O8=".",up_Irr!AM8=".",up_Irr!BK8="."),up_dir!P8*1000)))))))),".")</f>
        <v>7.2351016258567334E-11</v>
      </c>
      <c r="Q8" s="76">
        <f>IFERROR(IF(AND(up_Irr!P8&lt;&gt;".",up_Irr!AN8&lt;&gt;".",up_Irr!BL8&lt;&gt;"."),up_dir!Q8/((1/1000)*(up_Irr!P8+up_Irr!AN8+up_Irr!BL8)),IF(AND(up_Irr!P8&lt;&gt;".",up_Irr!AN8&lt;&gt;".",up_Irr!BL8="."),up_dir!Q8/((1/1000)*(up_Irr!P8+up_Irr!AN8)),IF(AND(up_Irr!P8&lt;&gt;".",up_Irr!AN8=".",up_Irr!BL8&lt;&gt;"."),up_dir!Q8/((1/1000)*(up_Irr!P8+up_Irr!BL8)),IF(AND(up_Irr!P8=".",up_Irr!AN8&lt;&gt;".",up_Irr!BL8&lt;&gt;"."),up_dir!Q8/((1/1000)*(up_Irr!AN8+up_Irr!BL8)),IF(AND(up_Irr!P8=".",up_Irr!AN8=".",up_Irr!BL8&lt;&gt;"."),up_dir!Q8/((1/1000)*(up_Irr!BL8)),IF(AND(up_Irr!P8=".",up_Irr!AN8&lt;&gt;".",up_Irr!BL8="."),up_dir!Q8/((1/1000)*(up_Irr!AN8)),IF(AND(up_Irr!P8&lt;&gt;".",up_Irr!AN8=".",up_Irr!BL8="."),up_dir!Q8/((1/1000)*(up_Irr!P8)),IF(AND(up_Irr!P8=".",up_Irr!AN8=".",up_Irr!BL8="."),up_dir!Q8*1000)))))))),".")</f>
        <v>7.2351016258567334E-11</v>
      </c>
      <c r="R8" s="76">
        <f>IFERROR(IF(AND(up_Irr!Q8&lt;&gt;".",up_Irr!AO8&lt;&gt;".",up_Irr!BM8&lt;&gt;"."),up_dir!R8/((1/1000)*(up_Irr!Q8+up_Irr!AO8+up_Irr!BM8)),IF(AND(up_Irr!Q8&lt;&gt;".",up_Irr!AO8&lt;&gt;".",up_Irr!BM8="."),up_dir!R8/((1/1000)*(up_Irr!Q8+up_Irr!AO8)),IF(AND(up_Irr!Q8&lt;&gt;".",up_Irr!AO8=".",up_Irr!BM8&lt;&gt;"."),up_dir!R8/((1/1000)*(up_Irr!Q8+up_Irr!BM8)),IF(AND(up_Irr!Q8=".",up_Irr!AO8&lt;&gt;".",up_Irr!BM8&lt;&gt;"."),up_dir!R8/((1/1000)*(up_Irr!AO8+up_Irr!BM8)),IF(AND(up_Irr!Q8=".",up_Irr!AO8=".",up_Irr!BM8&lt;&gt;"."),up_dir!R8/((1/1000)*(up_Irr!BM8)),IF(AND(up_Irr!Q8=".",up_Irr!AO8&lt;&gt;".",up_Irr!BM8="."),up_dir!R8/((1/1000)*(up_Irr!AO8)),IF(AND(up_Irr!Q8&lt;&gt;".",up_Irr!AO8=".",up_Irr!BM8="."),up_dir!R8/((1/1000)*(up_Irr!Q8)),IF(AND(up_Irr!Q8=".",up_Irr!AO8=".",up_Irr!BM8="."),up_dir!R8*1000)))))))),".")</f>
        <v>7.2351016258567334E-11</v>
      </c>
      <c r="S8" s="76">
        <f>IFERROR(IF(AND(up_Irr!R8&lt;&gt;".",up_Irr!AP8&lt;&gt;".",up_Irr!BN8&lt;&gt;"."),up_dir!S8/((1/1000)*(up_Irr!R8+up_Irr!AP8+up_Irr!BN8)),IF(AND(up_Irr!R8&lt;&gt;".",up_Irr!AP8&lt;&gt;".",up_Irr!BN8="."),up_dir!S8/((1/1000)*(up_Irr!R8+up_Irr!AP8)),IF(AND(up_Irr!R8&lt;&gt;".",up_Irr!AP8=".",up_Irr!BN8&lt;&gt;"."),up_dir!S8/((1/1000)*(up_Irr!R8+up_Irr!BN8)),IF(AND(up_Irr!R8=".",up_Irr!AP8&lt;&gt;".",up_Irr!BN8&lt;&gt;"."),up_dir!S8/((1/1000)*(up_Irr!AP8+up_Irr!BN8)),IF(AND(up_Irr!R8=".",up_Irr!AP8=".",up_Irr!BN8&lt;&gt;"."),up_dir!S8/((1/1000)*(up_Irr!BN8)),IF(AND(up_Irr!R8=".",up_Irr!AP8&lt;&gt;".",up_Irr!BN8="."),up_dir!S8/((1/1000)*(up_Irr!AP8)),IF(AND(up_Irr!R8&lt;&gt;".",up_Irr!AP8=".",up_Irr!BN8="."),up_dir!S8/((1/1000)*(up_Irr!R8)),IF(AND(up_Irr!R8=".",up_Irr!AP8=".",up_Irr!BN8="."),up_dir!S8*1000)))))))),".")</f>
        <v>7.2351016258567334E-11</v>
      </c>
      <c r="T8" s="76">
        <f>IFERROR(IF(AND(up_Irr!S8&lt;&gt;".",up_Irr!AQ8&lt;&gt;".",up_Irr!BO8&lt;&gt;"."),up_dir!T8/((1/1000)*(up_Irr!S8+up_Irr!AQ8+up_Irr!BO8)),IF(AND(up_Irr!S8&lt;&gt;".",up_Irr!AQ8&lt;&gt;".",up_Irr!BO8="."),up_dir!T8/((1/1000)*(up_Irr!S8+up_Irr!AQ8)),IF(AND(up_Irr!S8&lt;&gt;".",up_Irr!AQ8=".",up_Irr!BO8&lt;&gt;"."),up_dir!T8/((1/1000)*(up_Irr!S8+up_Irr!BO8)),IF(AND(up_Irr!S8=".",up_Irr!AQ8&lt;&gt;".",up_Irr!BO8&lt;&gt;"."),up_dir!T8/((1/1000)*(up_Irr!AQ8+up_Irr!BO8)),IF(AND(up_Irr!S8=".",up_Irr!AQ8=".",up_Irr!BO8&lt;&gt;"."),up_dir!T8/((1/1000)*(up_Irr!BO8)),IF(AND(up_Irr!S8=".",up_Irr!AQ8&lt;&gt;".",up_Irr!BO8="."),up_dir!T8/((1/1000)*(up_Irr!AQ8)),IF(AND(up_Irr!S8&lt;&gt;".",up_Irr!AQ8=".",up_Irr!BO8="."),up_dir!T8/((1/1000)*(up_Irr!S8)),IF(AND(up_Irr!S8=".",up_Irr!AQ8=".",up_Irr!BO8="."),up_dir!T8*1000)))))))),".")</f>
        <v>7.2351016258567334E-11</v>
      </c>
      <c r="U8" s="76">
        <f>IFERROR(IF(AND(up_Irr!T8&lt;&gt;".",up_Irr!AR8&lt;&gt;".",up_Irr!BP8&lt;&gt;"."),up_dir!U8/((1/1000)*(up_Irr!T8+up_Irr!AR8+up_Irr!BP8)),IF(AND(up_Irr!T8&lt;&gt;".",up_Irr!AR8&lt;&gt;".",up_Irr!BP8="."),up_dir!U8/((1/1000)*(up_Irr!T8+up_Irr!AR8)),IF(AND(up_Irr!T8&lt;&gt;".",up_Irr!AR8=".",up_Irr!BP8&lt;&gt;"."),up_dir!U8/((1/1000)*(up_Irr!T8+up_Irr!BP8)),IF(AND(up_Irr!T8=".",up_Irr!AR8&lt;&gt;".",up_Irr!BP8&lt;&gt;"."),up_dir!U8/((1/1000)*(up_Irr!AR8+up_Irr!BP8)),IF(AND(up_Irr!T8=".",up_Irr!AR8=".",up_Irr!BP8&lt;&gt;"."),up_dir!U8/((1/1000)*(up_Irr!BP8)),IF(AND(up_Irr!T8=".",up_Irr!AR8&lt;&gt;".",up_Irr!BP8="."),up_dir!U8/((1/1000)*(up_Irr!AR8)),IF(AND(up_Irr!T8&lt;&gt;".",up_Irr!AR8=".",up_Irr!BP8="."),up_dir!U8/((1/1000)*(up_Irr!T8)),IF(AND(up_Irr!T8=".",up_Irr!AR8=".",up_Irr!BP8="."),up_dir!U8*1000)))))))),".")</f>
        <v>7.2351016258567334E-11</v>
      </c>
      <c r="V8" s="76">
        <f>IFERROR(IF(AND(up_Irr!U8&lt;&gt;".",up_Irr!AS8&lt;&gt;".",up_Irr!BQ8&lt;&gt;"."),up_dir!V8/((1/1000)*(up_Irr!U8+up_Irr!AS8+up_Irr!BQ8)),IF(AND(up_Irr!U8&lt;&gt;".",up_Irr!AS8&lt;&gt;".",up_Irr!BQ8="."),up_dir!V8/((1/1000)*(up_Irr!U8+up_Irr!AS8)),IF(AND(up_Irr!U8&lt;&gt;".",up_Irr!AS8=".",up_Irr!BQ8&lt;&gt;"."),up_dir!V8/((1/1000)*(up_Irr!U8+up_Irr!BQ8)),IF(AND(up_Irr!U8=".",up_Irr!AS8&lt;&gt;".",up_Irr!BQ8&lt;&gt;"."),up_dir!V8/((1/1000)*(up_Irr!AS8+up_Irr!BQ8)),IF(AND(up_Irr!U8=".",up_Irr!AS8=".",up_Irr!BQ8&lt;&gt;"."),up_dir!V8/((1/1000)*(up_Irr!BQ8)),IF(AND(up_Irr!U8=".",up_Irr!AS8&lt;&gt;".",up_Irr!BQ8="."),up_dir!V8/((1/1000)*(up_Irr!AS8)),IF(AND(up_Irr!U8&lt;&gt;".",up_Irr!AS8=".",up_Irr!BQ8="."),up_dir!V8/((1/1000)*(up_Irr!U8)),IF(AND(up_Irr!U8=".",up_Irr!AS8=".",up_Irr!BQ8="."),up_dir!V8*1000)))))))),".")</f>
        <v>7.2351016258567334E-11</v>
      </c>
      <c r="W8" s="76">
        <f>IFERROR(IF(AND(up_Irr!V8&lt;&gt;".",up_Irr!AT8&lt;&gt;".",up_Irr!BR8&lt;&gt;"."),up_dir!W8/((1/1000)*(up_Irr!V8+up_Irr!AT8+up_Irr!BR8)),IF(AND(up_Irr!V8&lt;&gt;".",up_Irr!AT8&lt;&gt;".",up_Irr!BR8="."),up_dir!W8/((1/1000)*(up_Irr!V8+up_Irr!AT8)),IF(AND(up_Irr!V8&lt;&gt;".",up_Irr!AT8=".",up_Irr!BR8&lt;&gt;"."),up_dir!W8/((1/1000)*(up_Irr!V8+up_Irr!BR8)),IF(AND(up_Irr!V8=".",up_Irr!AT8&lt;&gt;".",up_Irr!BR8&lt;&gt;"."),up_dir!W8/((1/1000)*(up_Irr!AT8+up_Irr!BR8)),IF(AND(up_Irr!V8=".",up_Irr!AT8=".",up_Irr!BR8&lt;&gt;"."),up_dir!W8/((1/1000)*(up_Irr!BR8)),IF(AND(up_Irr!V8=".",up_Irr!AT8&lt;&gt;".",up_Irr!BR8="."),up_dir!W8/((1/1000)*(up_Irr!AT8)),IF(AND(up_Irr!V8&lt;&gt;".",up_Irr!AT8=".",up_Irr!BR8="."),up_dir!W8/((1/1000)*(up_Irr!V8)),IF(AND(up_Irr!V8=".",up_Irr!AT8=".",up_Irr!BR8="."),up_dir!W8*1000)))))))),".")</f>
        <v>7.2351016258567334E-11</v>
      </c>
      <c r="X8" s="76">
        <f>IFERROR(IF(AND(up_Irr!W8&lt;&gt;".",up_Irr!AU8&lt;&gt;".",up_Irr!BS8&lt;&gt;"."),up_dir!X8/((1/1000)*(up_Irr!W8+up_Irr!AU8+up_Irr!BS8)),IF(AND(up_Irr!W8&lt;&gt;".",up_Irr!AU8&lt;&gt;".",up_Irr!BS8="."),up_dir!X8/((1/1000)*(up_Irr!W8+up_Irr!AU8)),IF(AND(up_Irr!W8&lt;&gt;".",up_Irr!AU8=".",up_Irr!BS8&lt;&gt;"."),up_dir!X8/((1/1000)*(up_Irr!W8+up_Irr!BS8)),IF(AND(up_Irr!W8=".",up_Irr!AU8&lt;&gt;".",up_Irr!BS8&lt;&gt;"."),up_dir!X8/((1/1000)*(up_Irr!AU8+up_Irr!BS8)),IF(AND(up_Irr!W8=".",up_Irr!AU8=".",up_Irr!BS8&lt;&gt;"."),up_dir!X8/((1/1000)*(up_Irr!BS8)),IF(AND(up_Irr!W8=".",up_Irr!AU8&lt;&gt;".",up_Irr!BS8="."),up_dir!X8/((1/1000)*(up_Irr!AU8)),IF(AND(up_Irr!W8&lt;&gt;".",up_Irr!AU8=".",up_Irr!BS8="."),up_dir!X8/((1/1000)*(up_Irr!W8)),IF(AND(up_Irr!W8=".",up_Irr!AU8=".",up_Irr!BS8="."),up_dir!X8*1000)))))))),".")</f>
        <v>7.2351016258567334E-11</v>
      </c>
      <c r="Y8" s="76">
        <f>IFERROR(IF(AND(up_Irr!X8&lt;&gt;".",up_Irr!AV8&lt;&gt;".",up_Irr!BT8&lt;&gt;"."),up_dir!Y8/((1/1000)*(up_Irr!X8+up_Irr!AV8+up_Irr!BT8)),IF(AND(up_Irr!X8&lt;&gt;".",up_Irr!AV8&lt;&gt;".",up_Irr!BT8="."),up_dir!Y8/((1/1000)*(up_Irr!X8+up_Irr!AV8)),IF(AND(up_Irr!X8&lt;&gt;".",up_Irr!AV8=".",up_Irr!BT8&lt;&gt;"."),up_dir!Y8/((1/1000)*(up_Irr!X8+up_Irr!BT8)),IF(AND(up_Irr!X8=".",up_Irr!AV8&lt;&gt;".",up_Irr!BT8&lt;&gt;"."),up_dir!Y8/((1/1000)*(up_Irr!AV8+up_Irr!BT8)),IF(AND(up_Irr!X8=".",up_Irr!AV8=".",up_Irr!BT8&lt;&gt;"."),up_dir!Y8/((1/1000)*(up_Irr!BT8)),IF(AND(up_Irr!X8=".",up_Irr!AV8&lt;&gt;".",up_Irr!BT8="."),up_dir!Y8/((1/1000)*(up_Irr!AV8)),IF(AND(up_Irr!X8&lt;&gt;".",up_Irr!AV8=".",up_Irr!BT8="."),up_dir!Y8/((1/1000)*(up_Irr!X8)),IF(AND(up_Irr!X8=".",up_Irr!AV8=".",up_Irr!BT8="."),up_dir!Y8*1000)))))))),".")</f>
        <v>7.2351016258567334E-11</v>
      </c>
      <c r="Z8" s="76">
        <f>IFERROR(IF(AND(up_Irr!Y8&lt;&gt;".",up_Irr!AW8&lt;&gt;".",up_Irr!BU8&lt;&gt;"."),up_dir!Z8/((1/1000)*(up_Irr!Y8+up_Irr!AW8+up_Irr!BU8)),IF(AND(up_Irr!Y8&lt;&gt;".",up_Irr!AW8&lt;&gt;".",up_Irr!BU8="."),up_dir!Z8/((1/1000)*(up_Irr!Y8+up_Irr!AW8)),IF(AND(up_Irr!Y8&lt;&gt;".",up_Irr!AW8=".",up_Irr!BU8&lt;&gt;"."),up_dir!Z8/((1/1000)*(up_Irr!Y8+up_Irr!BU8)),IF(AND(up_Irr!Y8=".",up_Irr!AW8&lt;&gt;".",up_Irr!BU8&lt;&gt;"."),up_dir!Z8/((1/1000)*(up_Irr!AW8+up_Irr!BU8)),IF(AND(up_Irr!Y8=".",up_Irr!AW8=".",up_Irr!BU8&lt;&gt;"."),up_dir!Z8/((1/1000)*(up_Irr!BU8)),IF(AND(up_Irr!Y8=".",up_Irr!AW8&lt;&gt;".",up_Irr!BU8="."),up_dir!Z8/((1/1000)*(up_Irr!AW8)),IF(AND(up_Irr!Y8&lt;&gt;".",up_Irr!AW8=".",up_Irr!BU8="."),up_dir!Z8/((1/1000)*(up_Irr!Y8)),IF(AND(up_Irr!Y8=".",up_Irr!AW8=".",up_Irr!BU8="."),up_dir!Z8*1000)))))))),".")</f>
        <v>7.2351016258567334E-11</v>
      </c>
      <c r="AA8" s="76">
        <f>IFERROR(IF(AND(up_Irr!Z8&lt;&gt;".",up_Irr!AX8&lt;&gt;".",up_Irr!BV8&lt;&gt;"."),up_dir!AA8/((1/1000)*(up_Irr!Z8+up_Irr!AX8+up_Irr!BV8)),IF(AND(up_Irr!Z8&lt;&gt;".",up_Irr!AX8&lt;&gt;".",up_Irr!BV8="."),up_dir!AA8/((1/1000)*(up_Irr!Z8+up_Irr!AX8)),IF(AND(up_Irr!Z8&lt;&gt;".",up_Irr!AX8=".",up_Irr!BV8&lt;&gt;"."),up_dir!AA8/((1/1000)*(up_Irr!Z8+up_Irr!BV8)),IF(AND(up_Irr!Z8=".",up_Irr!AX8&lt;&gt;".",up_Irr!BV8&lt;&gt;"."),up_dir!AA8/((1/1000)*(up_Irr!AX8+up_Irr!BV8)),IF(AND(up_Irr!Z8=".",up_Irr!AX8=".",up_Irr!BV8&lt;&gt;"."),up_dir!AA8/((1/1000)*(up_Irr!BV8)),IF(AND(up_Irr!Z8=".",up_Irr!AX8&lt;&gt;".",up_Irr!BV8="."),up_dir!AA8/((1/1000)*(up_Irr!AX8)),IF(AND(up_Irr!Z8&lt;&gt;".",up_Irr!AX8=".",up_Irr!BV8="."),up_dir!AA8/((1/1000)*(up_Irr!Z8)),IF(AND(up_Irr!Z8=".",up_Irr!AX8=".",up_Irr!BV8="."),up_dir!AA8*1000)))))))),".")</f>
        <v>7.2351016258567334E-11</v>
      </c>
      <c r="AB8" s="93">
        <f t="shared" ref="AB8:AB9" si="5">SUM(AC8:AD8,AY8:AZ8)</f>
        <v>55286.023705663516</v>
      </c>
      <c r="AC8" s="93">
        <f>IFERROR(s_C*s_IFAP_res_adj*s_CF_apple*0.001*(up_Irr!C8+up_Irr!AA8+up_Irr!AY8),".")</f>
        <v>13821.505926415879</v>
      </c>
      <c r="AD8" s="93">
        <f>IFERROR(s_C*s_IFAS_res_adj*s_CF_asparagus*0.001*(up_Irr!D8+up_Irr!AB8+up_Irr!AZ8),".")</f>
        <v>13821.505926415879</v>
      </c>
      <c r="AE8" s="93">
        <f>IFERROR(s_C*s_IFBT_res_adj*s_CF_beet*0.001*(up_Irr!E8+up_Irr!AC8+up_Irr!BA8),".")</f>
        <v>13821.505926415879</v>
      </c>
      <c r="AF8" s="93">
        <f>IFERROR(s_C*s_IFBE_res_adj*s_CF_berries*0.001*(up_Irr!F8+up_Irr!AD8+up_Irr!BB8),".")</f>
        <v>13821.505926415879</v>
      </c>
      <c r="AG8" s="93">
        <f>IFERROR(s_C*s_IFBR_res_adj*s_CF_broccoli*0.001*(up_Irr!G8+up_Irr!AE8+up_Irr!BC8),".")</f>
        <v>13821.505926415879</v>
      </c>
      <c r="AH8" s="93">
        <f>IFERROR(s_C*s_IFCB_res_adj*s_CF_cabbage*0.001*(up_Irr!H8+up_Irr!AF8+up_Irr!BD8),".")</f>
        <v>13821.505926415879</v>
      </c>
      <c r="AI8" s="93">
        <f>IFERROR(s_C*s_IFCR_res_adj*s_CF_carrot*0.001*(up_Irr!I8+up_Irr!AG8+up_Irr!BE8),".")</f>
        <v>13821.505926415879</v>
      </c>
      <c r="AJ8" s="93">
        <f>IFERROR(s_C*s_IFCI_res_adj*s_CF_citrus*0.001*(up_Irr!J8+up_Irr!AH8+up_Irr!BF8),".")</f>
        <v>13821.505926415879</v>
      </c>
      <c r="AK8" s="93">
        <f>IFERROR(s_C*s_IFCO_res_adj*s_CF_corn*0.001*(up_Irr!K8+up_Irr!AI8+up_Irr!BG8),".")</f>
        <v>13821.505926415879</v>
      </c>
      <c r="AL8" s="93">
        <f>IFERROR(s_C*s_IFCU_res_adj*s_CF_cucumber*0.001*(up_Irr!L8+up_Irr!AJ8+up_Irr!BH8),".")</f>
        <v>13821.505926415879</v>
      </c>
      <c r="AM8" s="93">
        <f>IFERROR(s_C*s_IFLE_res_adj*s_CF_lettuce*0.001*(up_Irr!M8+up_Irr!AK8+up_Irr!BI8),".")</f>
        <v>13821.505926415879</v>
      </c>
      <c r="AN8" s="93">
        <f>IFERROR(s_C*s_IFLI_res_adj*s_CF_lima_bean*0.001*(up_Irr!N8+up_Irr!AL8+up_Irr!BJ8),".")</f>
        <v>13821.505926415879</v>
      </c>
      <c r="AO8" s="93">
        <f>IFERROR(s_C*s_IFOK_res_adj*s_CF_okra*0.001*(up_Irr!O8+up_Irr!AM8+up_Irr!BK8),".")</f>
        <v>13821.505926415879</v>
      </c>
      <c r="AP8" s="93">
        <f>IFERROR(s_C*s_IFON_res_adj*s_CF_onion*0.001*(up_Irr!P8+up_Irr!AN8+up_Irr!BL8),".")</f>
        <v>13821.505926415879</v>
      </c>
      <c r="AQ8" s="93">
        <f>IFERROR(s_C*s_IFPC_res_adj*s_CF_peach*0.001*(up_Irr!Q8+up_Irr!AO8+up_Irr!BM8),".")</f>
        <v>13821.505926415879</v>
      </c>
      <c r="AR8" s="93">
        <f>IFERROR(s_C*s_IFPR_res_adj*s_CF_pear*0.001*(up_Irr!R8+up_Irr!AP8+up_Irr!BN8),".")</f>
        <v>13821.505926415879</v>
      </c>
      <c r="AS8" s="93">
        <f>IFERROR(s_C*s_IFPE_res_adj*s_CF_peas*0.001*(up_Irr!S8+up_Irr!AQ8+up_Irr!BO8),".")</f>
        <v>13821.505926415879</v>
      </c>
      <c r="AT8" s="93">
        <f>IFERROR(s_C*s_IFPT_res_adj*s_CF_potato*0.001*(up_Irr!T8+up_Irr!AR8+up_Irr!BP8),".")</f>
        <v>13821.505926415879</v>
      </c>
      <c r="AU8" s="93">
        <f>IFERROR(s_C*s_IFPU_res_adj*s_CF_pumpkin*0.001*(up_Irr!U8+up_Irr!AS8+up_Irr!BQ8),".")</f>
        <v>13821.505926415879</v>
      </c>
      <c r="AV8" s="93">
        <f>IFERROR(s_C*s_IFSN_res_adj*s_CF_snap_bean*0.001*(up_Irr!V8+up_Irr!AT8+up_Irr!BR8),".")</f>
        <v>13821.505926415879</v>
      </c>
      <c r="AW8" s="93">
        <f>IFERROR(s_C*s_IFST_res_adj*s_CF_strawberry*0.001*(up_Irr!W8+up_Irr!AU8+up_Irr!BS8),".")</f>
        <v>13821.505926415879</v>
      </c>
      <c r="AX8" s="93">
        <f>IFERROR(s_C*s_IFTO_res_adj*s_CF_tomato*0.001*(up_Irr!X8+up_Irr!AV8+up_Irr!BT8),".")</f>
        <v>13821.505926415879</v>
      </c>
      <c r="AY8" s="93">
        <f>IFERROR(s_C*s_IFRI_res_adj*s_CF_rice*0.001*(up_Irr!Y8+up_Irr!AW8+up_Irr!BU8),".")</f>
        <v>13821.505926415879</v>
      </c>
      <c r="AZ8" s="93">
        <f>IFERROR(s_C*s_IFCG_res_adj*s_CF_cereal*0.001*(up_Irr!Z8+up_Irr!AX8+up_Irr!BV8),".")</f>
        <v>13821.505926415879</v>
      </c>
      <c r="BA8" s="76">
        <f t="shared" si="3"/>
        <v>1.8087754064641833E-11</v>
      </c>
      <c r="BB8" s="76">
        <f>IFERROR(IF(AND(up_Irr!C8&lt;&gt;".",up_Irr!AA8&lt;&gt;".",up_Irr!AY8&lt;&gt;"."),up_dir!AC8/((1/1000)*(up_Irr!C8+up_Irr!AA8+up_Irr!AY8)),IF(AND(up_Irr!C8&lt;&gt;".",up_Irr!AA8&lt;&gt;".",up_Irr!AY8="."),up_dir!AC8/((1/1000)*(up_Irr!C8+up_Irr!AA8)),IF(AND(up_Irr!C8&lt;&gt;".",up_Irr!AA8=".",up_Irr!AY8&lt;&gt;"."),up_dir!AC8/((1/1000)*(up_Irr!C8+up_Irr!AY8)),IF(AND(up_Irr!C8=".",up_Irr!AA8&lt;&gt;".",up_Irr!AY8&lt;&gt;"."),up_dir!AC8/((1/1000)*(up_Irr!AA8+up_Irr!AY8)),IF(AND(up_Irr!C8=".",up_Irr!AA8=".",up_Irr!AY8&lt;&gt;"."),up_dir!AC8/((1/1000)*(up_Irr!AY8)),IF(AND(up_Irr!C8=".",up_Irr!AA8&lt;&gt;".",up_Irr!AY8="."),up_dir!AC8/((1/1000)*(up_Irr!AA8)),IF(AND(up_Irr!C8&lt;&gt;".",up_Irr!AA8=".",up_Irr!AY8="."),up_dir!AC8/((1/1000)*(up_Irr!C8)),IF(AND(up_Irr!C8=".",up_Irr!AA8=".",up_Irr!AY8="."),up_dir!AC8*1000)))))))),".")</f>
        <v>7.2351016258567334E-11</v>
      </c>
      <c r="BC8" s="76">
        <f>IFERROR(IF(AND(up_Irr!D8&lt;&gt;".",up_Irr!AB8&lt;&gt;".",up_Irr!AZ8&lt;&gt;"."),up_dir!AD8/((1/1000)*(up_Irr!D8+up_Irr!AB8+up_Irr!AZ8)),IF(AND(up_Irr!D8&lt;&gt;".",up_Irr!AB8&lt;&gt;".",up_Irr!AZ8="."),up_dir!AD8/((1/1000)*(up_Irr!D8+up_Irr!AB8)),IF(AND(up_Irr!D8&lt;&gt;".",up_Irr!AB8=".",up_Irr!AZ8&lt;&gt;"."),up_dir!AD8/((1/1000)*(up_Irr!D8+up_Irr!AZ8)),IF(AND(up_Irr!D8=".",up_Irr!AB8&lt;&gt;".",up_Irr!AZ8&lt;&gt;"."),up_dir!AD8/((1/1000)*(up_Irr!AB8+up_Irr!AZ8)),IF(AND(up_Irr!D8=".",up_Irr!AB8=".",up_Irr!AZ8&lt;&gt;"."),up_dir!AD8/((1/1000)*(up_Irr!AZ8)),IF(AND(up_Irr!D8=".",up_Irr!AB8&lt;&gt;".",up_Irr!AZ8="."),up_dir!AD8/((1/1000)*(up_Irr!AB8)),IF(AND(up_Irr!D8&lt;&gt;".",up_Irr!AB8=".",up_Irr!AZ8="."),up_dir!AD8/((1/1000)*(up_Irr!D8)),IF(AND(up_Irr!D8=".",up_Irr!AB8=".",up_Irr!AZ8="."),up_dir!AD8*1000)))))))),".")</f>
        <v>7.2351016258567334E-11</v>
      </c>
      <c r="BD8" s="76">
        <f>IFERROR(IF(AND(up_Irr!E8&lt;&gt;".",up_Irr!AC8&lt;&gt;".",up_Irr!BA8&lt;&gt;"."),up_dir!AE8/((1/1000)*(up_Irr!E8+up_Irr!AC8+up_Irr!BA8)),IF(AND(up_Irr!E8&lt;&gt;".",up_Irr!AC8&lt;&gt;".",up_Irr!BA8="."),up_dir!AE8/((1/1000)*(up_Irr!E8+up_Irr!AC8)),IF(AND(up_Irr!E8&lt;&gt;".",up_Irr!AC8=".",up_Irr!BA8&lt;&gt;"."),up_dir!AE8/((1/1000)*(up_Irr!E8+up_Irr!BA8)),IF(AND(up_Irr!E8=".",up_Irr!AC8&lt;&gt;".",up_Irr!BA8&lt;&gt;"."),up_dir!AE8/((1/1000)*(up_Irr!AC8+up_Irr!BA8)),IF(AND(up_Irr!E8=".",up_Irr!AC8=".",up_Irr!BA8&lt;&gt;"."),up_dir!AE8/((1/1000)*(up_Irr!BA8)),IF(AND(up_Irr!E8=".",up_Irr!AC8&lt;&gt;".",up_Irr!BA8="."),up_dir!AE8/((1/1000)*(up_Irr!AC8)),IF(AND(up_Irr!E8&lt;&gt;".",up_Irr!AC8=".",up_Irr!BA8="."),up_dir!AE8/((1/1000)*(up_Irr!E8)),IF(AND(up_Irr!E8=".",up_Irr!AC8=".",up_Irr!BA8="."),up_dir!AE8*1000)))))))),".")</f>
        <v>7.2351016258567334E-11</v>
      </c>
      <c r="BE8" s="76">
        <f>IFERROR(IF(AND(up_Irr!F8&lt;&gt;".",up_Irr!AD8&lt;&gt;".",up_Irr!BB8&lt;&gt;"."),up_dir!AF8/((1/1000)*(up_Irr!F8+up_Irr!AD8+up_Irr!BB8)),IF(AND(up_Irr!F8&lt;&gt;".",up_Irr!AD8&lt;&gt;".",up_Irr!BB8="."),up_dir!AF8/((1/1000)*(up_Irr!F8+up_Irr!AD8)),IF(AND(up_Irr!F8&lt;&gt;".",up_Irr!AD8=".",up_Irr!BB8&lt;&gt;"."),up_dir!AF8/((1/1000)*(up_Irr!F8+up_Irr!BB8)),IF(AND(up_Irr!F8=".",up_Irr!AD8&lt;&gt;".",up_Irr!BB8&lt;&gt;"."),up_dir!AF8/((1/1000)*(up_Irr!AD8+up_Irr!BB8)),IF(AND(up_Irr!F8=".",up_Irr!AD8=".",up_Irr!BB8&lt;&gt;"."),up_dir!AF8/((1/1000)*(up_Irr!BB8)),IF(AND(up_Irr!F8=".",up_Irr!AD8&lt;&gt;".",up_Irr!BB8="."),up_dir!AF8/((1/1000)*(up_Irr!AD8)),IF(AND(up_Irr!F8&lt;&gt;".",up_Irr!AD8=".",up_Irr!BB8="."),up_dir!AF8/((1/1000)*(up_Irr!F8)),IF(AND(up_Irr!F8=".",up_Irr!AD8=".",up_Irr!BB8="."),up_dir!AF8*1000)))))))),".")</f>
        <v>7.2351016258567334E-11</v>
      </c>
      <c r="BF8" s="76">
        <f>IFERROR(IF(AND(up_Irr!G8&lt;&gt;".",up_Irr!AE8&lt;&gt;".",up_Irr!BC8&lt;&gt;"."),up_dir!AG8/((1/1000)*(up_Irr!G8+up_Irr!AE8+up_Irr!BC8)),IF(AND(up_Irr!G8&lt;&gt;".",up_Irr!AE8&lt;&gt;".",up_Irr!BC8="."),up_dir!AG8/((1/1000)*(up_Irr!G8+up_Irr!AE8)),IF(AND(up_Irr!G8&lt;&gt;".",up_Irr!AE8=".",up_Irr!BC8&lt;&gt;"."),up_dir!AG8/((1/1000)*(up_Irr!G8+up_Irr!BC8)),IF(AND(up_Irr!G8=".",up_Irr!AE8&lt;&gt;".",up_Irr!BC8&lt;&gt;"."),up_dir!AG8/((1/1000)*(up_Irr!AE8+up_Irr!BC8)),IF(AND(up_Irr!G8=".",up_Irr!AE8=".",up_Irr!BC8&lt;&gt;"."),up_dir!AG8/((1/1000)*(up_Irr!BC8)),IF(AND(up_Irr!G8=".",up_Irr!AE8&lt;&gt;".",up_Irr!BC8="."),up_dir!AG8/((1/1000)*(up_Irr!AE8)),IF(AND(up_Irr!G8&lt;&gt;".",up_Irr!AE8=".",up_Irr!BC8="."),up_dir!AG8/((1/1000)*(up_Irr!G8)),IF(AND(up_Irr!G8=".",up_Irr!AE8=".",up_Irr!BC8="."),up_dir!AG8*1000)))))))),".")</f>
        <v>7.2351016258567334E-11</v>
      </c>
      <c r="BG8" s="76">
        <f>IFERROR(IF(AND(up_Irr!H8&lt;&gt;".",up_Irr!AF8&lt;&gt;".",up_Irr!BD8&lt;&gt;"."),up_dir!AH8/((1/1000)*(up_Irr!H8+up_Irr!AF8+up_Irr!BD8)),IF(AND(up_Irr!H8&lt;&gt;".",up_Irr!AF8&lt;&gt;".",up_Irr!BD8="."),up_dir!AH8/((1/1000)*(up_Irr!H8+up_Irr!AF8)),IF(AND(up_Irr!H8&lt;&gt;".",up_Irr!AF8=".",up_Irr!BD8&lt;&gt;"."),up_dir!AH8/((1/1000)*(up_Irr!H8+up_Irr!BD8)),IF(AND(up_Irr!H8=".",up_Irr!AF8&lt;&gt;".",up_Irr!BD8&lt;&gt;"."),up_dir!AH8/((1/1000)*(up_Irr!AF8+up_Irr!BD8)),IF(AND(up_Irr!H8=".",up_Irr!AF8=".",up_Irr!BD8&lt;&gt;"."),up_dir!AH8/((1/1000)*(up_Irr!BD8)),IF(AND(up_Irr!H8=".",up_Irr!AF8&lt;&gt;".",up_Irr!BD8="."),up_dir!AH8/((1/1000)*(up_Irr!AF8)),IF(AND(up_Irr!H8&lt;&gt;".",up_Irr!AF8=".",up_Irr!BD8="."),up_dir!AH8/((1/1000)*(up_Irr!H8)),IF(AND(up_Irr!H8=".",up_Irr!AF8=".",up_Irr!BD8="."),up_dir!AH8*1000)))))))),".")</f>
        <v>7.2351016258567334E-11</v>
      </c>
      <c r="BH8" s="76">
        <f>IFERROR(IF(AND(up_Irr!I8&lt;&gt;".",up_Irr!AG8&lt;&gt;".",up_Irr!BE8&lt;&gt;"."),up_dir!AI8/((1/1000)*(up_Irr!I8+up_Irr!AG8+up_Irr!BE8)),IF(AND(up_Irr!I8&lt;&gt;".",up_Irr!AG8&lt;&gt;".",up_Irr!BE8="."),up_dir!AI8/((1/1000)*(up_Irr!I8+up_Irr!AG8)),IF(AND(up_Irr!I8&lt;&gt;".",up_Irr!AG8=".",up_Irr!BE8&lt;&gt;"."),up_dir!AI8/((1/1000)*(up_Irr!I8+up_Irr!BE8)),IF(AND(up_Irr!I8=".",up_Irr!AG8&lt;&gt;".",up_Irr!BE8&lt;&gt;"."),up_dir!AI8/((1/1000)*(up_Irr!AG8+up_Irr!BE8)),IF(AND(up_Irr!I8=".",up_Irr!AG8=".",up_Irr!BE8&lt;&gt;"."),up_dir!AI8/((1/1000)*(up_Irr!BE8)),IF(AND(up_Irr!I8=".",up_Irr!AG8&lt;&gt;".",up_Irr!BE8="."),up_dir!AI8/((1/1000)*(up_Irr!AG8)),IF(AND(up_Irr!I8&lt;&gt;".",up_Irr!AG8=".",up_Irr!BE8="."),up_dir!AI8/((1/1000)*(up_Irr!I8)),IF(AND(up_Irr!I8=".",up_Irr!AG8=".",up_Irr!BE8="."),up_dir!AI8*1000)))))))),".")</f>
        <v>7.2351016258567334E-11</v>
      </c>
      <c r="BI8" s="76">
        <f>IFERROR(IF(AND(up_Irr!J8&lt;&gt;".",up_Irr!AH8&lt;&gt;".",up_Irr!BF8&lt;&gt;"."),up_dir!AJ8/((1/1000)*(up_Irr!J8+up_Irr!AH8+up_Irr!BF8)),IF(AND(up_Irr!J8&lt;&gt;".",up_Irr!AH8&lt;&gt;".",up_Irr!BF8="."),up_dir!AJ8/((1/1000)*(up_Irr!J8+up_Irr!AH8)),IF(AND(up_Irr!J8&lt;&gt;".",up_Irr!AH8=".",up_Irr!BF8&lt;&gt;"."),up_dir!AJ8/((1/1000)*(up_Irr!J8+up_Irr!BF8)),IF(AND(up_Irr!J8=".",up_Irr!AH8&lt;&gt;".",up_Irr!BF8&lt;&gt;"."),up_dir!AJ8/((1/1000)*(up_Irr!AH8+up_Irr!BF8)),IF(AND(up_Irr!J8=".",up_Irr!AH8=".",up_Irr!BF8&lt;&gt;"."),up_dir!AJ8/((1/1000)*(up_Irr!BF8)),IF(AND(up_Irr!J8=".",up_Irr!AH8&lt;&gt;".",up_Irr!BF8="."),up_dir!AJ8/((1/1000)*(up_Irr!AH8)),IF(AND(up_Irr!J8&lt;&gt;".",up_Irr!AH8=".",up_Irr!BF8="."),up_dir!AJ8/((1/1000)*(up_Irr!J8)),IF(AND(up_Irr!J8=".",up_Irr!AH8=".",up_Irr!BF8="."),up_dir!AJ8*1000)))))))),".")</f>
        <v>7.2351016258567334E-11</v>
      </c>
      <c r="BJ8" s="76">
        <f>IFERROR(IF(AND(up_Irr!K8&lt;&gt;".",up_Irr!AI8&lt;&gt;".",up_Irr!BG8&lt;&gt;"."),up_dir!AK8/((1/1000)*(up_Irr!K8+up_Irr!AI8+up_Irr!BG8)),IF(AND(up_Irr!K8&lt;&gt;".",up_Irr!AI8&lt;&gt;".",up_Irr!BG8="."),up_dir!AK8/((1/1000)*(up_Irr!K8+up_Irr!AI8)),IF(AND(up_Irr!K8&lt;&gt;".",up_Irr!AI8=".",up_Irr!BG8&lt;&gt;"."),up_dir!AK8/((1/1000)*(up_Irr!K8+up_Irr!BG8)),IF(AND(up_Irr!K8=".",up_Irr!AI8&lt;&gt;".",up_Irr!BG8&lt;&gt;"."),up_dir!AK8/((1/1000)*(up_Irr!AI8+up_Irr!BG8)),IF(AND(up_Irr!K8=".",up_Irr!AI8=".",up_Irr!BG8&lt;&gt;"."),up_dir!AK8/((1/1000)*(up_Irr!BG8)),IF(AND(up_Irr!K8=".",up_Irr!AI8&lt;&gt;".",up_Irr!BG8="."),up_dir!AK8/((1/1000)*(up_Irr!AI8)),IF(AND(up_Irr!K8&lt;&gt;".",up_Irr!AI8=".",up_Irr!BG8="."),up_dir!AK8/((1/1000)*(up_Irr!K8)),IF(AND(up_Irr!K8=".",up_Irr!AI8=".",up_Irr!BG8="."),up_dir!AK8*1000)))))))),".")</f>
        <v>7.2351016258567334E-11</v>
      </c>
      <c r="BK8" s="76">
        <f>IFERROR(IF(AND(up_Irr!L8&lt;&gt;".",up_Irr!AJ8&lt;&gt;".",up_Irr!BH8&lt;&gt;"."),up_dir!AL8/((1/1000)*(up_Irr!L8+up_Irr!AJ8+up_Irr!BH8)),IF(AND(up_Irr!L8&lt;&gt;".",up_Irr!AJ8&lt;&gt;".",up_Irr!BH8="."),up_dir!AL8/((1/1000)*(up_Irr!L8+up_Irr!AJ8)),IF(AND(up_Irr!L8&lt;&gt;".",up_Irr!AJ8=".",up_Irr!BH8&lt;&gt;"."),up_dir!AL8/((1/1000)*(up_Irr!L8+up_Irr!BH8)),IF(AND(up_Irr!L8=".",up_Irr!AJ8&lt;&gt;".",up_Irr!BH8&lt;&gt;"."),up_dir!AL8/((1/1000)*(up_Irr!AJ8+up_Irr!BH8)),IF(AND(up_Irr!L8=".",up_Irr!AJ8=".",up_Irr!BH8&lt;&gt;"."),up_dir!AL8/((1/1000)*(up_Irr!BH8)),IF(AND(up_Irr!L8=".",up_Irr!AJ8&lt;&gt;".",up_Irr!BH8="."),up_dir!AL8/((1/1000)*(up_Irr!AJ8)),IF(AND(up_Irr!L8&lt;&gt;".",up_Irr!AJ8=".",up_Irr!BH8="."),up_dir!AL8/((1/1000)*(up_Irr!L8)),IF(AND(up_Irr!L8=".",up_Irr!AJ8=".",up_Irr!BH8="."),up_dir!AL8*1000)))))))),".")</f>
        <v>7.2351016258567334E-11</v>
      </c>
      <c r="BL8" s="76">
        <f>IFERROR(IF(AND(up_Irr!M8&lt;&gt;".",up_Irr!AK8&lt;&gt;".",up_Irr!BI8&lt;&gt;"."),up_dir!AM8/((1/1000)*(up_Irr!M8+up_Irr!AK8+up_Irr!BI8)),IF(AND(up_Irr!M8&lt;&gt;".",up_Irr!AK8&lt;&gt;".",up_Irr!BI8="."),up_dir!AM8/((1/1000)*(up_Irr!M8+up_Irr!AK8)),IF(AND(up_Irr!M8&lt;&gt;".",up_Irr!AK8=".",up_Irr!BI8&lt;&gt;"."),up_dir!AM8/((1/1000)*(up_Irr!M8+up_Irr!BI8)),IF(AND(up_Irr!M8=".",up_Irr!AK8&lt;&gt;".",up_Irr!BI8&lt;&gt;"."),up_dir!AM8/((1/1000)*(up_Irr!AK8+up_Irr!BI8)),IF(AND(up_Irr!M8=".",up_Irr!AK8=".",up_Irr!BI8&lt;&gt;"."),up_dir!AM8/((1/1000)*(up_Irr!BI8)),IF(AND(up_Irr!M8=".",up_Irr!AK8&lt;&gt;".",up_Irr!BI8="."),up_dir!AM8/((1/1000)*(up_Irr!AK8)),IF(AND(up_Irr!M8&lt;&gt;".",up_Irr!AK8=".",up_Irr!BI8="."),up_dir!AM8/((1/1000)*(up_Irr!M8)),IF(AND(up_Irr!M8=".",up_Irr!AK8=".",up_Irr!BI8="."),up_dir!AM8*1000)))))))),".")</f>
        <v>7.2351016258567334E-11</v>
      </c>
      <c r="BM8" s="76">
        <f>IFERROR(IF(AND(up_Irr!N8&lt;&gt;".",up_Irr!AL8&lt;&gt;".",up_Irr!BJ8&lt;&gt;"."),up_dir!AN8/((1/1000)*(up_Irr!N8+up_Irr!AL8+up_Irr!BJ8)),IF(AND(up_Irr!N8&lt;&gt;".",up_Irr!AL8&lt;&gt;".",up_Irr!BJ8="."),up_dir!AN8/((1/1000)*(up_Irr!N8+up_Irr!AL8)),IF(AND(up_Irr!N8&lt;&gt;".",up_Irr!AL8=".",up_Irr!BJ8&lt;&gt;"."),up_dir!AN8/((1/1000)*(up_Irr!N8+up_Irr!BJ8)),IF(AND(up_Irr!N8=".",up_Irr!AL8&lt;&gt;".",up_Irr!BJ8&lt;&gt;"."),up_dir!AN8/((1/1000)*(up_Irr!AL8+up_Irr!BJ8)),IF(AND(up_Irr!N8=".",up_Irr!AL8=".",up_Irr!BJ8&lt;&gt;"."),up_dir!AN8/((1/1000)*(up_Irr!BJ8)),IF(AND(up_Irr!N8=".",up_Irr!AL8&lt;&gt;".",up_Irr!BJ8="."),up_dir!AN8/((1/1000)*(up_Irr!AL8)),IF(AND(up_Irr!N8&lt;&gt;".",up_Irr!AL8=".",up_Irr!BJ8="."),up_dir!AN8/((1/1000)*(up_Irr!N8)),IF(AND(up_Irr!N8=".",up_Irr!AL8=".",up_Irr!BJ8="."),up_dir!AN8*1000)))))))),".")</f>
        <v>7.2351016258567334E-11</v>
      </c>
      <c r="BN8" s="76">
        <f>IFERROR(IF(AND(up_Irr!O8&lt;&gt;".",up_Irr!AM8&lt;&gt;".",up_Irr!BK8&lt;&gt;"."),up_dir!AO8/((1/1000)*(up_Irr!O8+up_Irr!AM8+up_Irr!BK8)),IF(AND(up_Irr!O8&lt;&gt;".",up_Irr!AM8&lt;&gt;".",up_Irr!BK8="."),up_dir!AO8/((1/1000)*(up_Irr!O8+up_Irr!AM8)),IF(AND(up_Irr!O8&lt;&gt;".",up_Irr!AM8=".",up_Irr!BK8&lt;&gt;"."),up_dir!AO8/((1/1000)*(up_Irr!O8+up_Irr!BK8)),IF(AND(up_Irr!O8=".",up_Irr!AM8&lt;&gt;".",up_Irr!BK8&lt;&gt;"."),up_dir!AO8/((1/1000)*(up_Irr!AM8+up_Irr!BK8)),IF(AND(up_Irr!O8=".",up_Irr!AM8=".",up_Irr!BK8&lt;&gt;"."),up_dir!AO8/((1/1000)*(up_Irr!BK8)),IF(AND(up_Irr!O8=".",up_Irr!AM8&lt;&gt;".",up_Irr!BK8="."),up_dir!AO8/((1/1000)*(up_Irr!AM8)),IF(AND(up_Irr!O8&lt;&gt;".",up_Irr!AM8=".",up_Irr!BK8="."),up_dir!AO8/((1/1000)*(up_Irr!O8)),IF(AND(up_Irr!O8=".",up_Irr!AM8=".",up_Irr!BK8="."),up_dir!AO8*1000)))))))),".")</f>
        <v>7.2351016258567334E-11</v>
      </c>
      <c r="BO8" s="76">
        <f>IFERROR(IF(AND(up_Irr!P8&lt;&gt;".",up_Irr!AN8&lt;&gt;".",up_Irr!BL8&lt;&gt;"."),up_dir!AP8/((1/1000)*(up_Irr!P8+up_Irr!AN8+up_Irr!BL8)),IF(AND(up_Irr!P8&lt;&gt;".",up_Irr!AN8&lt;&gt;".",up_Irr!BL8="."),up_dir!AP8/((1/1000)*(up_Irr!P8+up_Irr!AN8)),IF(AND(up_Irr!P8&lt;&gt;".",up_Irr!AN8=".",up_Irr!BL8&lt;&gt;"."),up_dir!AP8/((1/1000)*(up_Irr!P8+up_Irr!BL8)),IF(AND(up_Irr!P8=".",up_Irr!AN8&lt;&gt;".",up_Irr!BL8&lt;&gt;"."),up_dir!AP8/((1/1000)*(up_Irr!AN8+up_Irr!BL8)),IF(AND(up_Irr!P8=".",up_Irr!AN8=".",up_Irr!BL8&lt;&gt;"."),up_dir!AP8/((1/1000)*(up_Irr!BL8)),IF(AND(up_Irr!P8=".",up_Irr!AN8&lt;&gt;".",up_Irr!BL8="."),up_dir!AP8/((1/1000)*(up_Irr!AN8)),IF(AND(up_Irr!P8&lt;&gt;".",up_Irr!AN8=".",up_Irr!BL8="."),up_dir!AP8/((1/1000)*(up_Irr!P8)),IF(AND(up_Irr!P8=".",up_Irr!AN8=".",up_Irr!BL8="."),up_dir!AP8*1000)))))))),".")</f>
        <v>7.2351016258567334E-11</v>
      </c>
      <c r="BP8" s="76">
        <f>IFERROR(IF(AND(up_Irr!Q8&lt;&gt;".",up_Irr!AO8&lt;&gt;".",up_Irr!BM8&lt;&gt;"."),up_dir!AQ8/((1/1000)*(up_Irr!Q8+up_Irr!AO8+up_Irr!BM8)),IF(AND(up_Irr!Q8&lt;&gt;".",up_Irr!AO8&lt;&gt;".",up_Irr!BM8="."),up_dir!AQ8/((1/1000)*(up_Irr!Q8+up_Irr!AO8)),IF(AND(up_Irr!Q8&lt;&gt;".",up_Irr!AO8=".",up_Irr!BM8&lt;&gt;"."),up_dir!AQ8/((1/1000)*(up_Irr!Q8+up_Irr!BM8)),IF(AND(up_Irr!Q8=".",up_Irr!AO8&lt;&gt;".",up_Irr!BM8&lt;&gt;"."),up_dir!AQ8/((1/1000)*(up_Irr!AO8+up_Irr!BM8)),IF(AND(up_Irr!Q8=".",up_Irr!AO8=".",up_Irr!BM8&lt;&gt;"."),up_dir!AQ8/((1/1000)*(up_Irr!BM8)),IF(AND(up_Irr!Q8=".",up_Irr!AO8&lt;&gt;".",up_Irr!BM8="."),up_dir!AQ8/((1/1000)*(up_Irr!AO8)),IF(AND(up_Irr!Q8&lt;&gt;".",up_Irr!AO8=".",up_Irr!BM8="."),up_dir!AQ8/((1/1000)*(up_Irr!Q8)),IF(AND(up_Irr!Q8=".",up_Irr!AO8=".",up_Irr!BM8="."),up_dir!AQ8*1000)))))))),".")</f>
        <v>7.2351016258567334E-11</v>
      </c>
      <c r="BQ8" s="76">
        <f>IFERROR(IF(AND(up_Irr!R8&lt;&gt;".",up_Irr!AP8&lt;&gt;".",up_Irr!BN8&lt;&gt;"."),up_dir!AR8/((1/1000)*(up_Irr!R8+up_Irr!AP8+up_Irr!BN8)),IF(AND(up_Irr!R8&lt;&gt;".",up_Irr!AP8&lt;&gt;".",up_Irr!BN8="."),up_dir!AR8/((1/1000)*(up_Irr!R8+up_Irr!AP8)),IF(AND(up_Irr!R8&lt;&gt;".",up_Irr!AP8=".",up_Irr!BN8&lt;&gt;"."),up_dir!AR8/((1/1000)*(up_Irr!R8+up_Irr!BN8)),IF(AND(up_Irr!R8=".",up_Irr!AP8&lt;&gt;".",up_Irr!BN8&lt;&gt;"."),up_dir!AR8/((1/1000)*(up_Irr!AP8+up_Irr!BN8)),IF(AND(up_Irr!R8=".",up_Irr!AP8=".",up_Irr!BN8&lt;&gt;"."),up_dir!AR8/((1/1000)*(up_Irr!BN8)),IF(AND(up_Irr!R8=".",up_Irr!AP8&lt;&gt;".",up_Irr!BN8="."),up_dir!AR8/((1/1000)*(up_Irr!AP8)),IF(AND(up_Irr!R8&lt;&gt;".",up_Irr!AP8=".",up_Irr!BN8="."),up_dir!AR8/((1/1000)*(up_Irr!R8)),IF(AND(up_Irr!R8=".",up_Irr!AP8=".",up_Irr!BN8="."),up_dir!AR8*1000)))))))),".")</f>
        <v>7.2351016258567334E-11</v>
      </c>
      <c r="BR8" s="76">
        <f>IFERROR(IF(AND(up_Irr!S8&lt;&gt;".",up_Irr!AQ8&lt;&gt;".",up_Irr!BO8&lt;&gt;"."),up_dir!AS8/((1/1000)*(up_Irr!S8+up_Irr!AQ8+up_Irr!BO8)),IF(AND(up_Irr!S8&lt;&gt;".",up_Irr!AQ8&lt;&gt;".",up_Irr!BO8="."),up_dir!AS8/((1/1000)*(up_Irr!S8+up_Irr!AQ8)),IF(AND(up_Irr!S8&lt;&gt;".",up_Irr!AQ8=".",up_Irr!BO8&lt;&gt;"."),up_dir!AS8/((1/1000)*(up_Irr!S8+up_Irr!BO8)),IF(AND(up_Irr!S8=".",up_Irr!AQ8&lt;&gt;".",up_Irr!BO8&lt;&gt;"."),up_dir!AS8/((1/1000)*(up_Irr!AQ8+up_Irr!BO8)),IF(AND(up_Irr!S8=".",up_Irr!AQ8=".",up_Irr!BO8&lt;&gt;"."),up_dir!AS8/((1/1000)*(up_Irr!BO8)),IF(AND(up_Irr!S8=".",up_Irr!AQ8&lt;&gt;".",up_Irr!BO8="."),up_dir!AS8/((1/1000)*(up_Irr!AQ8)),IF(AND(up_Irr!S8&lt;&gt;".",up_Irr!AQ8=".",up_Irr!BO8="."),up_dir!AS8/((1/1000)*(up_Irr!S8)),IF(AND(up_Irr!S8=".",up_Irr!AQ8=".",up_Irr!BO8="."),up_dir!AS8*1000)))))))),".")</f>
        <v>7.2351016258567334E-11</v>
      </c>
      <c r="BS8" s="76">
        <f>IFERROR(IF(AND(up_Irr!T8&lt;&gt;".",up_Irr!AR8&lt;&gt;".",up_Irr!BP8&lt;&gt;"."),up_dir!AT8/((1/1000)*(up_Irr!T8+up_Irr!AR8+up_Irr!BP8)),IF(AND(up_Irr!T8&lt;&gt;".",up_Irr!AR8&lt;&gt;".",up_Irr!BP8="."),up_dir!AT8/((1/1000)*(up_Irr!T8+up_Irr!AR8)),IF(AND(up_Irr!T8&lt;&gt;".",up_Irr!AR8=".",up_Irr!BP8&lt;&gt;"."),up_dir!AT8/((1/1000)*(up_Irr!T8+up_Irr!BP8)),IF(AND(up_Irr!T8=".",up_Irr!AR8&lt;&gt;".",up_Irr!BP8&lt;&gt;"."),up_dir!AT8/((1/1000)*(up_Irr!AR8+up_Irr!BP8)),IF(AND(up_Irr!T8=".",up_Irr!AR8=".",up_Irr!BP8&lt;&gt;"."),up_dir!AT8/((1/1000)*(up_Irr!BP8)),IF(AND(up_Irr!T8=".",up_Irr!AR8&lt;&gt;".",up_Irr!BP8="."),up_dir!AT8/((1/1000)*(up_Irr!AR8)),IF(AND(up_Irr!T8&lt;&gt;".",up_Irr!AR8=".",up_Irr!BP8="."),up_dir!AT8/((1/1000)*(up_Irr!T8)),IF(AND(up_Irr!T8=".",up_Irr!AR8=".",up_Irr!BP8="."),up_dir!AT8*1000)))))))),".")</f>
        <v>7.2351016258567334E-11</v>
      </c>
      <c r="BT8" s="76">
        <f>IFERROR(IF(AND(up_Irr!U8&lt;&gt;".",up_Irr!AS8&lt;&gt;".",up_Irr!BQ8&lt;&gt;"."),up_dir!AU8/((1/1000)*(up_Irr!U8+up_Irr!AS8+up_Irr!BQ8)),IF(AND(up_Irr!U8&lt;&gt;".",up_Irr!AS8&lt;&gt;".",up_Irr!BQ8="."),up_dir!AU8/((1/1000)*(up_Irr!U8+up_Irr!AS8)),IF(AND(up_Irr!U8&lt;&gt;".",up_Irr!AS8=".",up_Irr!BQ8&lt;&gt;"."),up_dir!AU8/((1/1000)*(up_Irr!U8+up_Irr!BQ8)),IF(AND(up_Irr!U8=".",up_Irr!AS8&lt;&gt;".",up_Irr!BQ8&lt;&gt;"."),up_dir!AU8/((1/1000)*(up_Irr!AS8+up_Irr!BQ8)),IF(AND(up_Irr!U8=".",up_Irr!AS8=".",up_Irr!BQ8&lt;&gt;"."),up_dir!AU8/((1/1000)*(up_Irr!BQ8)),IF(AND(up_Irr!U8=".",up_Irr!AS8&lt;&gt;".",up_Irr!BQ8="."),up_dir!AU8/((1/1000)*(up_Irr!AS8)),IF(AND(up_Irr!U8&lt;&gt;".",up_Irr!AS8=".",up_Irr!BQ8="."),up_dir!AU8/((1/1000)*(up_Irr!U8)),IF(AND(up_Irr!U8=".",up_Irr!AS8=".",up_Irr!BQ8="."),up_dir!AU8*1000)))))))),".")</f>
        <v>7.2351016258567334E-11</v>
      </c>
      <c r="BU8" s="76">
        <f>IFERROR(IF(AND(up_Irr!V8&lt;&gt;".",up_Irr!AT8&lt;&gt;".",up_Irr!BR8&lt;&gt;"."),up_dir!AV8/((1/1000)*(up_Irr!V8+up_Irr!AT8+up_Irr!BR8)),IF(AND(up_Irr!V8&lt;&gt;".",up_Irr!AT8&lt;&gt;".",up_Irr!BR8="."),up_dir!AV8/((1/1000)*(up_Irr!V8+up_Irr!AT8)),IF(AND(up_Irr!V8&lt;&gt;".",up_Irr!AT8=".",up_Irr!BR8&lt;&gt;"."),up_dir!AV8/((1/1000)*(up_Irr!V8+up_Irr!BR8)),IF(AND(up_Irr!V8=".",up_Irr!AT8&lt;&gt;".",up_Irr!BR8&lt;&gt;"."),up_dir!AV8/((1/1000)*(up_Irr!AT8+up_Irr!BR8)),IF(AND(up_Irr!V8=".",up_Irr!AT8=".",up_Irr!BR8&lt;&gt;"."),up_dir!AV8/((1/1000)*(up_Irr!BR8)),IF(AND(up_Irr!V8=".",up_Irr!AT8&lt;&gt;".",up_Irr!BR8="."),up_dir!AV8/((1/1000)*(up_Irr!AT8)),IF(AND(up_Irr!V8&lt;&gt;".",up_Irr!AT8=".",up_Irr!BR8="."),up_dir!AV8/((1/1000)*(up_Irr!V8)),IF(AND(up_Irr!V8=".",up_Irr!AT8=".",up_Irr!BR8="."),up_dir!AV8*1000)))))))),".")</f>
        <v>7.2351016258567334E-11</v>
      </c>
      <c r="BV8" s="76">
        <f>IFERROR(IF(AND(up_Irr!W8&lt;&gt;".",up_Irr!AU8&lt;&gt;".",up_Irr!BS8&lt;&gt;"."),up_dir!AW8/((1/1000)*(up_Irr!W8+up_Irr!AU8+up_Irr!BS8)),IF(AND(up_Irr!W8&lt;&gt;".",up_Irr!AU8&lt;&gt;".",up_Irr!BS8="."),up_dir!AW8/((1/1000)*(up_Irr!W8+up_Irr!AU8)),IF(AND(up_Irr!W8&lt;&gt;".",up_Irr!AU8=".",up_Irr!BS8&lt;&gt;"."),up_dir!AW8/((1/1000)*(up_Irr!W8+up_Irr!BS8)),IF(AND(up_Irr!W8=".",up_Irr!AU8&lt;&gt;".",up_Irr!BS8&lt;&gt;"."),up_dir!AW8/((1/1000)*(up_Irr!AU8+up_Irr!BS8)),IF(AND(up_Irr!W8=".",up_Irr!AU8=".",up_Irr!BS8&lt;&gt;"."),up_dir!AW8/((1/1000)*(up_Irr!BS8)),IF(AND(up_Irr!W8=".",up_Irr!AU8&lt;&gt;".",up_Irr!BS8="."),up_dir!AW8/((1/1000)*(up_Irr!AU8)),IF(AND(up_Irr!W8&lt;&gt;".",up_Irr!AU8=".",up_Irr!BS8="."),up_dir!AW8/((1/1000)*(up_Irr!W8)),IF(AND(up_Irr!W8=".",up_Irr!AU8=".",up_Irr!BS8="."),up_dir!AW8*1000)))))))),".")</f>
        <v>7.2351016258567334E-11</v>
      </c>
      <c r="BW8" s="76">
        <f>IFERROR(IF(AND(up_Irr!X8&lt;&gt;".",up_Irr!AV8&lt;&gt;".",up_Irr!BT8&lt;&gt;"."),up_dir!AX8/((1/1000)*(up_Irr!X8+up_Irr!AV8+up_Irr!BT8)),IF(AND(up_Irr!X8&lt;&gt;".",up_Irr!AV8&lt;&gt;".",up_Irr!BT8="."),up_dir!AX8/((1/1000)*(up_Irr!X8+up_Irr!AV8)),IF(AND(up_Irr!X8&lt;&gt;".",up_Irr!AV8=".",up_Irr!BT8&lt;&gt;"."),up_dir!AX8/((1/1000)*(up_Irr!X8+up_Irr!BT8)),IF(AND(up_Irr!X8=".",up_Irr!AV8&lt;&gt;".",up_Irr!BT8&lt;&gt;"."),up_dir!AX8/((1/1000)*(up_Irr!AV8+up_Irr!BT8)),IF(AND(up_Irr!X8=".",up_Irr!AV8=".",up_Irr!BT8&lt;&gt;"."),up_dir!AX8/((1/1000)*(up_Irr!BT8)),IF(AND(up_Irr!X8=".",up_Irr!AV8&lt;&gt;".",up_Irr!BT8="."),up_dir!AX8/((1/1000)*(up_Irr!AV8)),IF(AND(up_Irr!X8&lt;&gt;".",up_Irr!AV8=".",up_Irr!BT8="."),up_dir!AX8/((1/1000)*(up_Irr!X8)),IF(AND(up_Irr!X8=".",up_Irr!AV8=".",up_Irr!BT8="."),up_dir!AX8*1000)))))))),".")</f>
        <v>7.2351016258567334E-11</v>
      </c>
      <c r="BX8" s="76">
        <f>IFERROR(IF(AND(up_Irr!Y8&lt;&gt;".",up_Irr!AW8&lt;&gt;".",up_Irr!BU8&lt;&gt;"."),up_dir!AY8/((1/1000)*(up_Irr!Y8+up_Irr!AW8+up_Irr!BU8)),IF(AND(up_Irr!Y8&lt;&gt;".",up_Irr!AW8&lt;&gt;".",up_Irr!BU8="."),up_dir!AY8/((1/1000)*(up_Irr!Y8+up_Irr!AW8)),IF(AND(up_Irr!Y8&lt;&gt;".",up_Irr!AW8=".",up_Irr!BU8&lt;&gt;"."),up_dir!AY8/((1/1000)*(up_Irr!Y8+up_Irr!BU8)),IF(AND(up_Irr!Y8=".",up_Irr!AW8&lt;&gt;".",up_Irr!BU8&lt;&gt;"."),up_dir!AY8/((1/1000)*(up_Irr!AW8+up_Irr!BU8)),IF(AND(up_Irr!Y8=".",up_Irr!AW8=".",up_Irr!BU8&lt;&gt;"."),up_dir!AY8/((1/1000)*(up_Irr!BU8)),IF(AND(up_Irr!Y8=".",up_Irr!AW8&lt;&gt;".",up_Irr!BU8="."),up_dir!AY8/((1/1000)*(up_Irr!AW8)),IF(AND(up_Irr!Y8&lt;&gt;".",up_Irr!AW8=".",up_Irr!BU8="."),up_dir!AY8/((1/1000)*(up_Irr!Y8)),IF(AND(up_Irr!Y8=".",up_Irr!AW8=".",up_Irr!BU8="."),up_dir!AY8*1000)))))))),".")</f>
        <v>7.2351016258567334E-11</v>
      </c>
      <c r="BY8" s="76">
        <f>IFERROR(IF(AND(up_Irr!Z8&lt;&gt;".",up_Irr!AX8&lt;&gt;".",up_Irr!BV8&lt;&gt;"."),up_dir!AZ8/((1/1000)*(up_Irr!Z8+up_Irr!AX8+up_Irr!BV8)),IF(AND(up_Irr!Z8&lt;&gt;".",up_Irr!AX8&lt;&gt;".",up_Irr!BV8="."),up_dir!AZ8/((1/1000)*(up_Irr!Z8+up_Irr!AX8)),IF(AND(up_Irr!Z8&lt;&gt;".",up_Irr!AX8=".",up_Irr!BV8&lt;&gt;"."),up_dir!AZ8/((1/1000)*(up_Irr!Z8+up_Irr!BV8)),IF(AND(up_Irr!Z8=".",up_Irr!AX8&lt;&gt;".",up_Irr!BV8&lt;&gt;"."),up_dir!AZ8/((1/1000)*(up_Irr!AX8+up_Irr!BV8)),IF(AND(up_Irr!Z8=".",up_Irr!AX8=".",up_Irr!BV8&lt;&gt;"."),up_dir!AZ8/((1/1000)*(up_Irr!BV8)),IF(AND(up_Irr!Z8=".",up_Irr!AX8&lt;&gt;".",up_Irr!BV8="."),up_dir!AZ8/((1/1000)*(up_Irr!AX8)),IF(AND(up_Irr!Z8&lt;&gt;".",up_Irr!AX8=".",up_Irr!BV8="."),up_dir!AZ8/((1/1000)*(up_Irr!Z8)),IF(AND(up_Irr!Z8=".",up_Irr!AX8=".",up_Irr!BV8="."),up_dir!AZ8*1000)))))))),".")</f>
        <v>7.2351016258567334E-11</v>
      </c>
      <c r="BZ8" s="93">
        <f t="shared" ref="BZ8:BZ9" si="6">SUM(CA8:CB8,CW8:CX8)</f>
        <v>55286.023705663516</v>
      </c>
      <c r="CA8" s="93">
        <f>IFERROR(s_C*s_IFAP_far_adj*s_CF_apple*(1/1000)*(up_Irr!C8+up_Irr!AA8+up_Irr!AY8),".")</f>
        <v>13821.505926415879</v>
      </c>
      <c r="CB8" s="93">
        <f>IFERROR(s_C*s_IFAS_far_adj*s_CF_asparagus*(1/1000)*(up_Irr!D8+up_Irr!AB8+up_Irr!AZ8),".")</f>
        <v>13821.505926415879</v>
      </c>
      <c r="CC8" s="93">
        <f>IFERROR(s_C*s_IFBT_far_adj*s_CF_beet*(1/1000)*(up_Irr!E8+up_Irr!AC8+up_Irr!BA8),".")</f>
        <v>13821.505926415879</v>
      </c>
      <c r="CD8" s="93">
        <f>IFERROR(s_C*s_IFBE_far_adj*s_CF_berries*(1/1000)*(up_Irr!F8+up_Irr!AD8+up_Irr!BB8),".")</f>
        <v>13821.505926415879</v>
      </c>
      <c r="CE8" s="93">
        <f>IFERROR(s_C*s_IFBR_far_adj*s_CF_broccoli*(1/1000)*(up_Irr!G8+up_Irr!AE8+up_Irr!BC8),".")</f>
        <v>13821.505926415879</v>
      </c>
      <c r="CF8" s="93">
        <f>IFERROR(s_C*s_IFCB_far_adj*s_CF_cabbage*(1/1000)*(up_Irr!H8+up_Irr!AF8+up_Irr!BD8),".")</f>
        <v>13821.505926415879</v>
      </c>
      <c r="CG8" s="93">
        <f>IFERROR(s_C*s_IFCR_far_adj*s_CF_carrot*(1/1000)*(up_Irr!I8+up_Irr!AG8+up_Irr!BE8),".")</f>
        <v>13821.505926415879</v>
      </c>
      <c r="CH8" s="93">
        <f>IFERROR(s_C*s_IFCI_far_adj*s_CF_citrus*(1/1000)*(up_Irr!J8+up_Irr!AH8+up_Irr!BF8),".")</f>
        <v>13821.505926415879</v>
      </c>
      <c r="CI8" s="93">
        <f>IFERROR(s_C*s_IFCO_far_adj*s_CF_corn*(1/1000)*(up_Irr!K8+up_Irr!AI8+up_Irr!BG8),".")</f>
        <v>13821.505926415879</v>
      </c>
      <c r="CJ8" s="93">
        <f>IFERROR(s_C*s_IFCU_far_adj*s_CF_cucumber*(1/1000)*(up_Irr!L8+up_Irr!AJ8+up_Irr!BH8),".")</f>
        <v>13821.505926415879</v>
      </c>
      <c r="CK8" s="93">
        <f>IFERROR(s_C*s_IFLE_far_adj*s_CF_lettuce*(1/1000)*(up_Irr!M8+up_Irr!AK8+up_Irr!BI8),".")</f>
        <v>13821.505926415879</v>
      </c>
      <c r="CL8" s="93">
        <f>IFERROR(s_C*s_IFLI_far_adj*s_CF_lima_bean*(1/1000)*(up_Irr!N8+up_Irr!AL8+up_Irr!BJ8),".")</f>
        <v>13821.505926415879</v>
      </c>
      <c r="CM8" s="93">
        <f>IFERROR(s_C*s_IFOK_far_adj*s_CF_okra*(1/1000)*(up_Irr!O8+up_Irr!AM8+up_Irr!BK8),".")</f>
        <v>13821.505926415879</v>
      </c>
      <c r="CN8" s="93">
        <f>IFERROR(s_C*s_IFON_far_adj*s_CF_onion*(1/1000)*(up_Irr!P8+up_Irr!AN8+up_Irr!BL8),".")</f>
        <v>13821.505926415879</v>
      </c>
      <c r="CO8" s="93">
        <f>IFERROR(s_C*s_IFPC_far_adj*s_CF_peach*(1/1000)*(up_Irr!Q8+up_Irr!AO8+up_Irr!BM8),".")</f>
        <v>13821.505926415879</v>
      </c>
      <c r="CP8" s="93">
        <f>IFERROR(s_C*s_IFPR_far_adj*s_CF_pear*(1/1000)*(up_Irr!R8+up_Irr!AP8+up_Irr!BN8),".")</f>
        <v>13821.505926415879</v>
      </c>
      <c r="CQ8" s="93">
        <f>IFERROR(s_C*s_IFPE_far_adj*s_CF_peas*(1/1000)*(up_Irr!S8+up_Irr!AQ8+up_Irr!BO8),".")</f>
        <v>13821.505926415879</v>
      </c>
      <c r="CR8" s="93">
        <f>IFERROR(s_C*s_IFPT_far_adj*s_CF_potato*(1/1000)*(up_Irr!T8+up_Irr!AR8+up_Irr!BP8),".")</f>
        <v>13821.505926415879</v>
      </c>
      <c r="CS8" s="93">
        <f>IFERROR(s_C*s_IFPU_far_adj*s_CF_pumpkin*(1/1000)*(up_Irr!U8+up_Irr!AS8+up_Irr!BQ8),".")</f>
        <v>13821.505926415879</v>
      </c>
      <c r="CT8" s="93">
        <f>IFERROR(s_C*s_IFSN_far_adj*s_CF_snap_bean*(1/1000)*(up_Irr!V8+up_Irr!AT8+up_Irr!BR8),".")</f>
        <v>13821.505926415879</v>
      </c>
      <c r="CU8" s="93">
        <f>IFERROR(s_C*s_IFST_far_adj*s_CF_strawberry*(1/1000)*(up_Irr!W8+up_Irr!AU8+up_Irr!BS8),".")</f>
        <v>13821.505926415879</v>
      </c>
      <c r="CV8" s="93">
        <f>IFERROR(s_C*s_IFTO_far_adj*s_CF_tomato*(1/1000)*(up_Irr!X8+up_Irr!AV8+up_Irr!BT8),".")</f>
        <v>13821.505926415879</v>
      </c>
      <c r="CW8" s="93">
        <f>IFERROR(s_C*s_IFRI_far_adj*s_CF_rice*(1/1000)*(up_Irr!Y8+up_Irr!AW8+up_Irr!BU8),".")</f>
        <v>13821.505926415879</v>
      </c>
      <c r="CX8" s="93">
        <f>IFERROR(s_C*s_IFCG_far_adj*s_CF_cereal*(1/1000)*(up_Irr!Z8+up_Irr!AX8+up_Irr!BV8),".")</f>
        <v>13821.505926415879</v>
      </c>
    </row>
    <row r="9" spans="1:102" ht="15" customHeight="1" x14ac:dyDescent="0.25">
      <c r="A9" s="92" t="s">
        <v>19</v>
      </c>
      <c r="B9" s="90" t="s">
        <v>1074</v>
      </c>
      <c r="C9" s="76">
        <f t="shared" si="0"/>
        <v>1.8087754064641833E-11</v>
      </c>
      <c r="D9" s="76">
        <f>IFERROR(IF(AND(up_Irr!C9&lt;&gt;".",up_Irr!AA9&lt;&gt;".",up_Irr!AY9&lt;&gt;"."),up_dir!D9/((1/1000)*(up_Irr!C9+up_Irr!AA9+up_Irr!AY9)),IF(AND(up_Irr!C9&lt;&gt;".",up_Irr!AA9&lt;&gt;".",up_Irr!AY9="."),up_dir!D9/((1/1000)*(up_Irr!C9+up_Irr!AA9)),IF(AND(up_Irr!C9&lt;&gt;".",up_Irr!AA9=".",up_Irr!AY9&lt;&gt;"."),up_dir!D9/((1/1000)*(up_Irr!C9+up_Irr!AY9)),IF(AND(up_Irr!C9=".",up_Irr!AA9&lt;&gt;".",up_Irr!AY9&lt;&gt;"."),up_dir!D9/((1/1000)*(up_Irr!AA9+up_Irr!AY9)),IF(AND(up_Irr!C9=".",up_Irr!AA9=".",up_Irr!AY9&lt;&gt;"."),up_dir!D9/((1/1000)*(up_Irr!AY9)),IF(AND(up_Irr!C9=".",up_Irr!AA9&lt;&gt;".",up_Irr!AY9="."),up_dir!D9/((1/1000)*(up_Irr!AA9)),IF(AND(up_Irr!C9&lt;&gt;".",up_Irr!AA9=".",up_Irr!AY9="."),up_dir!D9/((1/1000)*(up_Irr!C9)),IF(AND(up_Irr!C9=".",up_Irr!AA9=".",up_Irr!AY9="."),up_dir!D9*1000)))))))),".")</f>
        <v>7.2351016258567334E-11</v>
      </c>
      <c r="E9" s="76">
        <f>IFERROR(IF(AND(up_Irr!D9&lt;&gt;".",up_Irr!AB9&lt;&gt;".",up_Irr!AZ9&lt;&gt;"."),up_dir!E9/((1/1000)*(up_Irr!D9+up_Irr!AB9+up_Irr!AZ9)),IF(AND(up_Irr!D9&lt;&gt;".",up_Irr!AB9&lt;&gt;".",up_Irr!AZ9="."),up_dir!E9/((1/1000)*(up_Irr!D9+up_Irr!AB9)),IF(AND(up_Irr!D9&lt;&gt;".",up_Irr!AB9=".",up_Irr!AZ9&lt;&gt;"."),up_dir!E9/((1/1000)*(up_Irr!D9+up_Irr!AZ9)),IF(AND(up_Irr!D9=".",up_Irr!AB9&lt;&gt;".",up_Irr!AZ9&lt;&gt;"."),up_dir!E9/((1/1000)*(up_Irr!AB9+up_Irr!AZ9)),IF(AND(up_Irr!D9=".",up_Irr!AB9=".",up_Irr!AZ9&lt;&gt;"."),up_dir!E9/((1/1000)*(up_Irr!AZ9)),IF(AND(up_Irr!D9=".",up_Irr!AB9&lt;&gt;".",up_Irr!AZ9="."),up_dir!E9/((1/1000)*(up_Irr!AB9)),IF(AND(up_Irr!D9&lt;&gt;".",up_Irr!AB9=".",up_Irr!AZ9="."),up_dir!E9/((1/1000)*(up_Irr!D9)),IF(AND(up_Irr!D9=".",up_Irr!AB9=".",up_Irr!AZ9="."),up_dir!E9*1000)))))))),".")</f>
        <v>7.2351016258567334E-11</v>
      </c>
      <c r="F9" s="76">
        <f>IFERROR(IF(AND(up_Irr!E9&lt;&gt;".",up_Irr!AC9&lt;&gt;".",up_Irr!BA9&lt;&gt;"."),up_dir!F9/((1/1000)*(up_Irr!E9+up_Irr!AC9+up_Irr!BA9)),IF(AND(up_Irr!E9&lt;&gt;".",up_Irr!AC9&lt;&gt;".",up_Irr!BA9="."),up_dir!F9/((1/1000)*(up_Irr!E9+up_Irr!AC9)),IF(AND(up_Irr!E9&lt;&gt;".",up_Irr!AC9=".",up_Irr!BA9&lt;&gt;"."),up_dir!F9/((1/1000)*(up_Irr!E9+up_Irr!BA9)),IF(AND(up_Irr!E9=".",up_Irr!AC9&lt;&gt;".",up_Irr!BA9&lt;&gt;"."),up_dir!F9/((1/1000)*(up_Irr!AC9+up_Irr!BA9)),IF(AND(up_Irr!E9=".",up_Irr!AC9=".",up_Irr!BA9&lt;&gt;"."),up_dir!F9/((1/1000)*(up_Irr!BA9)),IF(AND(up_Irr!E9=".",up_Irr!AC9&lt;&gt;".",up_Irr!BA9="."),up_dir!F9/((1/1000)*(up_Irr!AC9)),IF(AND(up_Irr!E9&lt;&gt;".",up_Irr!AC9=".",up_Irr!BA9="."),up_dir!F9/((1/1000)*(up_Irr!E9)),IF(AND(up_Irr!E9=".",up_Irr!AC9=".",up_Irr!BA9="."),up_dir!F9*1000)))))))),".")</f>
        <v>7.2351016258567334E-11</v>
      </c>
      <c r="G9" s="76">
        <f>IFERROR(IF(AND(up_Irr!F9&lt;&gt;".",up_Irr!AD9&lt;&gt;".",up_Irr!BB9&lt;&gt;"."),up_dir!G9/((1/1000)*(up_Irr!F9+up_Irr!AD9+up_Irr!BB9)),IF(AND(up_Irr!F9&lt;&gt;".",up_Irr!AD9&lt;&gt;".",up_Irr!BB9="."),up_dir!G9/((1/1000)*(up_Irr!F9+up_Irr!AD9)),IF(AND(up_Irr!F9&lt;&gt;".",up_Irr!AD9=".",up_Irr!BB9&lt;&gt;"."),up_dir!G9/((1/1000)*(up_Irr!F9+up_Irr!BB9)),IF(AND(up_Irr!F9=".",up_Irr!AD9&lt;&gt;".",up_Irr!BB9&lt;&gt;"."),up_dir!G9/((1/1000)*(up_Irr!AD9+up_Irr!BB9)),IF(AND(up_Irr!F9=".",up_Irr!AD9=".",up_Irr!BB9&lt;&gt;"."),up_dir!G9/((1/1000)*(up_Irr!BB9)),IF(AND(up_Irr!F9=".",up_Irr!AD9&lt;&gt;".",up_Irr!BB9="."),up_dir!G9/((1/1000)*(up_Irr!AD9)),IF(AND(up_Irr!F9&lt;&gt;".",up_Irr!AD9=".",up_Irr!BB9="."),up_dir!G9/((1/1000)*(up_Irr!F9)),IF(AND(up_Irr!F9=".",up_Irr!AD9=".",up_Irr!BB9="."),up_dir!G9*1000)))))))),".")</f>
        <v>7.2351016258567334E-11</v>
      </c>
      <c r="H9" s="76">
        <f>IFERROR(IF(AND(up_Irr!G9&lt;&gt;".",up_Irr!AE9&lt;&gt;".",up_Irr!BC9&lt;&gt;"."),up_dir!H9/((1/1000)*(up_Irr!G9+up_Irr!AE9+up_Irr!BC9)),IF(AND(up_Irr!G9&lt;&gt;".",up_Irr!AE9&lt;&gt;".",up_Irr!BC9="."),up_dir!H9/((1/1000)*(up_Irr!G9+up_Irr!AE9)),IF(AND(up_Irr!G9&lt;&gt;".",up_Irr!AE9=".",up_Irr!BC9&lt;&gt;"."),up_dir!H9/((1/1000)*(up_Irr!G9+up_Irr!BC9)),IF(AND(up_Irr!G9=".",up_Irr!AE9&lt;&gt;".",up_Irr!BC9&lt;&gt;"."),up_dir!H9/((1/1000)*(up_Irr!AE9+up_Irr!BC9)),IF(AND(up_Irr!G9=".",up_Irr!AE9=".",up_Irr!BC9&lt;&gt;"."),up_dir!H9/((1/1000)*(up_Irr!BC9)),IF(AND(up_Irr!G9=".",up_Irr!AE9&lt;&gt;".",up_Irr!BC9="."),up_dir!H9/((1/1000)*(up_Irr!AE9)),IF(AND(up_Irr!G9&lt;&gt;".",up_Irr!AE9=".",up_Irr!BC9="."),up_dir!H9/((1/1000)*(up_Irr!G9)),IF(AND(up_Irr!G9=".",up_Irr!AE9=".",up_Irr!BC9="."),up_dir!H9*1000)))))))),".")</f>
        <v>7.2351016258567334E-11</v>
      </c>
      <c r="I9" s="76">
        <f>IFERROR(IF(AND(up_Irr!H9&lt;&gt;".",up_Irr!AF9&lt;&gt;".",up_Irr!BD9&lt;&gt;"."),up_dir!I9/((1/1000)*(up_Irr!H9+up_Irr!AF9+up_Irr!BD9)),IF(AND(up_Irr!H9&lt;&gt;".",up_Irr!AF9&lt;&gt;".",up_Irr!BD9="."),up_dir!I9/((1/1000)*(up_Irr!H9+up_Irr!AF9)),IF(AND(up_Irr!H9&lt;&gt;".",up_Irr!AF9=".",up_Irr!BD9&lt;&gt;"."),up_dir!I9/((1/1000)*(up_Irr!H9+up_Irr!BD9)),IF(AND(up_Irr!H9=".",up_Irr!AF9&lt;&gt;".",up_Irr!BD9&lt;&gt;"."),up_dir!I9/((1/1000)*(up_Irr!AF9+up_Irr!BD9)),IF(AND(up_Irr!H9=".",up_Irr!AF9=".",up_Irr!BD9&lt;&gt;"."),up_dir!I9/((1/1000)*(up_Irr!BD9)),IF(AND(up_Irr!H9=".",up_Irr!AF9&lt;&gt;".",up_Irr!BD9="."),up_dir!I9/((1/1000)*(up_Irr!AF9)),IF(AND(up_Irr!H9&lt;&gt;".",up_Irr!AF9=".",up_Irr!BD9="."),up_dir!I9/((1/1000)*(up_Irr!H9)),IF(AND(up_Irr!H9=".",up_Irr!AF9=".",up_Irr!BD9="."),up_dir!I9*1000)))))))),".")</f>
        <v>7.2351016258567334E-11</v>
      </c>
      <c r="J9" s="76">
        <f>IFERROR(IF(AND(up_Irr!I9&lt;&gt;".",up_Irr!AG9&lt;&gt;".",up_Irr!BE9&lt;&gt;"."),up_dir!J9/((1/1000)*(up_Irr!I9+up_Irr!AG9+up_Irr!BE9)),IF(AND(up_Irr!I9&lt;&gt;".",up_Irr!AG9&lt;&gt;".",up_Irr!BE9="."),up_dir!J9/((1/1000)*(up_Irr!I9+up_Irr!AG9)),IF(AND(up_Irr!I9&lt;&gt;".",up_Irr!AG9=".",up_Irr!BE9&lt;&gt;"."),up_dir!J9/((1/1000)*(up_Irr!I9+up_Irr!BE9)),IF(AND(up_Irr!I9=".",up_Irr!AG9&lt;&gt;".",up_Irr!BE9&lt;&gt;"."),up_dir!J9/((1/1000)*(up_Irr!AG9+up_Irr!BE9)),IF(AND(up_Irr!I9=".",up_Irr!AG9=".",up_Irr!BE9&lt;&gt;"."),up_dir!J9/((1/1000)*(up_Irr!BE9)),IF(AND(up_Irr!I9=".",up_Irr!AG9&lt;&gt;".",up_Irr!BE9="."),up_dir!J9/((1/1000)*(up_Irr!AG9)),IF(AND(up_Irr!I9&lt;&gt;".",up_Irr!AG9=".",up_Irr!BE9="."),up_dir!J9/((1/1000)*(up_Irr!I9)),IF(AND(up_Irr!I9=".",up_Irr!AG9=".",up_Irr!BE9="."),up_dir!J9*1000)))))))),".")</f>
        <v>7.2351016258567334E-11</v>
      </c>
      <c r="K9" s="76">
        <f>IFERROR(IF(AND(up_Irr!J9&lt;&gt;".",up_Irr!AH9&lt;&gt;".",up_Irr!BF9&lt;&gt;"."),up_dir!K9/((1/1000)*(up_Irr!J9+up_Irr!AH9+up_Irr!BF9)),IF(AND(up_Irr!J9&lt;&gt;".",up_Irr!AH9&lt;&gt;".",up_Irr!BF9="."),up_dir!K9/((1/1000)*(up_Irr!J9+up_Irr!AH9)),IF(AND(up_Irr!J9&lt;&gt;".",up_Irr!AH9=".",up_Irr!BF9&lt;&gt;"."),up_dir!K9/((1/1000)*(up_Irr!J9+up_Irr!BF9)),IF(AND(up_Irr!J9=".",up_Irr!AH9&lt;&gt;".",up_Irr!BF9&lt;&gt;"."),up_dir!K9/((1/1000)*(up_Irr!AH9+up_Irr!BF9)),IF(AND(up_Irr!J9=".",up_Irr!AH9=".",up_Irr!BF9&lt;&gt;"."),up_dir!K9/((1/1000)*(up_Irr!BF9)),IF(AND(up_Irr!J9=".",up_Irr!AH9&lt;&gt;".",up_Irr!BF9="."),up_dir!K9/((1/1000)*(up_Irr!AH9)),IF(AND(up_Irr!J9&lt;&gt;".",up_Irr!AH9=".",up_Irr!BF9="."),up_dir!K9/((1/1000)*(up_Irr!J9)),IF(AND(up_Irr!J9=".",up_Irr!AH9=".",up_Irr!BF9="."),up_dir!K9*1000)))))))),".")</f>
        <v>7.2351016258567334E-11</v>
      </c>
      <c r="L9" s="76">
        <f>IFERROR(IF(AND(up_Irr!K9&lt;&gt;".",up_Irr!AI9&lt;&gt;".",up_Irr!BG9&lt;&gt;"."),up_dir!L9/((1/1000)*(up_Irr!K9+up_Irr!AI9+up_Irr!BG9)),IF(AND(up_Irr!K9&lt;&gt;".",up_Irr!AI9&lt;&gt;".",up_Irr!BG9="."),up_dir!L9/((1/1000)*(up_Irr!K9+up_Irr!AI9)),IF(AND(up_Irr!K9&lt;&gt;".",up_Irr!AI9=".",up_Irr!BG9&lt;&gt;"."),up_dir!L9/((1/1000)*(up_Irr!K9+up_Irr!BG9)),IF(AND(up_Irr!K9=".",up_Irr!AI9&lt;&gt;".",up_Irr!BG9&lt;&gt;"."),up_dir!L9/((1/1000)*(up_Irr!AI9+up_Irr!BG9)),IF(AND(up_Irr!K9=".",up_Irr!AI9=".",up_Irr!BG9&lt;&gt;"."),up_dir!L9/((1/1000)*(up_Irr!BG9)),IF(AND(up_Irr!K9=".",up_Irr!AI9&lt;&gt;".",up_Irr!BG9="."),up_dir!L9/((1/1000)*(up_Irr!AI9)),IF(AND(up_Irr!K9&lt;&gt;".",up_Irr!AI9=".",up_Irr!BG9="."),up_dir!L9/((1/1000)*(up_Irr!K9)),IF(AND(up_Irr!K9=".",up_Irr!AI9=".",up_Irr!BG9="."),up_dir!L9*1000)))))))),".")</f>
        <v>7.2351016258567334E-11</v>
      </c>
      <c r="M9" s="76">
        <f>IFERROR(IF(AND(up_Irr!L9&lt;&gt;".",up_Irr!AJ9&lt;&gt;".",up_Irr!BH9&lt;&gt;"."),up_dir!M9/((1/1000)*(up_Irr!L9+up_Irr!AJ9+up_Irr!BH9)),IF(AND(up_Irr!L9&lt;&gt;".",up_Irr!AJ9&lt;&gt;".",up_Irr!BH9="."),up_dir!M9/((1/1000)*(up_Irr!L9+up_Irr!AJ9)),IF(AND(up_Irr!L9&lt;&gt;".",up_Irr!AJ9=".",up_Irr!BH9&lt;&gt;"."),up_dir!M9/((1/1000)*(up_Irr!L9+up_Irr!BH9)),IF(AND(up_Irr!L9=".",up_Irr!AJ9&lt;&gt;".",up_Irr!BH9&lt;&gt;"."),up_dir!M9/((1/1000)*(up_Irr!AJ9+up_Irr!BH9)),IF(AND(up_Irr!L9=".",up_Irr!AJ9=".",up_Irr!BH9&lt;&gt;"."),up_dir!M9/((1/1000)*(up_Irr!BH9)),IF(AND(up_Irr!L9=".",up_Irr!AJ9&lt;&gt;".",up_Irr!BH9="."),up_dir!M9/((1/1000)*(up_Irr!AJ9)),IF(AND(up_Irr!L9&lt;&gt;".",up_Irr!AJ9=".",up_Irr!BH9="."),up_dir!M9/((1/1000)*(up_Irr!L9)),IF(AND(up_Irr!L9=".",up_Irr!AJ9=".",up_Irr!BH9="."),up_dir!M9*1000)))))))),".")</f>
        <v>7.2351016258567334E-11</v>
      </c>
      <c r="N9" s="76">
        <f>IFERROR(IF(AND(up_Irr!M9&lt;&gt;".",up_Irr!AK9&lt;&gt;".",up_Irr!BI9&lt;&gt;"."),up_dir!N9/((1/1000)*(up_Irr!M9+up_Irr!AK9+up_Irr!BI9)),IF(AND(up_Irr!M9&lt;&gt;".",up_Irr!AK9&lt;&gt;".",up_Irr!BI9="."),up_dir!N9/((1/1000)*(up_Irr!M9+up_Irr!AK9)),IF(AND(up_Irr!M9&lt;&gt;".",up_Irr!AK9=".",up_Irr!BI9&lt;&gt;"."),up_dir!N9/((1/1000)*(up_Irr!M9+up_Irr!BI9)),IF(AND(up_Irr!M9=".",up_Irr!AK9&lt;&gt;".",up_Irr!BI9&lt;&gt;"."),up_dir!N9/((1/1000)*(up_Irr!AK9+up_Irr!BI9)),IF(AND(up_Irr!M9=".",up_Irr!AK9=".",up_Irr!BI9&lt;&gt;"."),up_dir!N9/((1/1000)*(up_Irr!BI9)),IF(AND(up_Irr!M9=".",up_Irr!AK9&lt;&gt;".",up_Irr!BI9="."),up_dir!N9/((1/1000)*(up_Irr!AK9)),IF(AND(up_Irr!M9&lt;&gt;".",up_Irr!AK9=".",up_Irr!BI9="."),up_dir!N9/((1/1000)*(up_Irr!M9)),IF(AND(up_Irr!M9=".",up_Irr!AK9=".",up_Irr!BI9="."),up_dir!N9*1000)))))))),".")</f>
        <v>7.2351016258567334E-11</v>
      </c>
      <c r="O9" s="76">
        <f>IFERROR(IF(AND(up_Irr!N9&lt;&gt;".",up_Irr!AL9&lt;&gt;".",up_Irr!BJ9&lt;&gt;"."),up_dir!O9/((1/1000)*(up_Irr!N9+up_Irr!AL9+up_Irr!BJ9)),IF(AND(up_Irr!N9&lt;&gt;".",up_Irr!AL9&lt;&gt;".",up_Irr!BJ9="."),up_dir!O9/((1/1000)*(up_Irr!N9+up_Irr!AL9)),IF(AND(up_Irr!N9&lt;&gt;".",up_Irr!AL9=".",up_Irr!BJ9&lt;&gt;"."),up_dir!O9/((1/1000)*(up_Irr!N9+up_Irr!BJ9)),IF(AND(up_Irr!N9=".",up_Irr!AL9&lt;&gt;".",up_Irr!BJ9&lt;&gt;"."),up_dir!O9/((1/1000)*(up_Irr!AL9+up_Irr!BJ9)),IF(AND(up_Irr!N9=".",up_Irr!AL9=".",up_Irr!BJ9&lt;&gt;"."),up_dir!O9/((1/1000)*(up_Irr!BJ9)),IF(AND(up_Irr!N9=".",up_Irr!AL9&lt;&gt;".",up_Irr!BJ9="."),up_dir!O9/((1/1000)*(up_Irr!AL9)),IF(AND(up_Irr!N9&lt;&gt;".",up_Irr!AL9=".",up_Irr!BJ9="."),up_dir!O9/((1/1000)*(up_Irr!N9)),IF(AND(up_Irr!N9=".",up_Irr!AL9=".",up_Irr!BJ9="."),up_dir!O9*1000)))))))),".")</f>
        <v>7.2351016258567334E-11</v>
      </c>
      <c r="P9" s="76">
        <f>IFERROR(IF(AND(up_Irr!O9&lt;&gt;".",up_Irr!AM9&lt;&gt;".",up_Irr!BK9&lt;&gt;"."),up_dir!P9/((1/1000)*(up_Irr!O9+up_Irr!AM9+up_Irr!BK9)),IF(AND(up_Irr!O9&lt;&gt;".",up_Irr!AM9&lt;&gt;".",up_Irr!BK9="."),up_dir!P9/((1/1000)*(up_Irr!O9+up_Irr!AM9)),IF(AND(up_Irr!O9&lt;&gt;".",up_Irr!AM9=".",up_Irr!BK9&lt;&gt;"."),up_dir!P9/((1/1000)*(up_Irr!O9+up_Irr!BK9)),IF(AND(up_Irr!O9=".",up_Irr!AM9&lt;&gt;".",up_Irr!BK9&lt;&gt;"."),up_dir!P9/((1/1000)*(up_Irr!AM9+up_Irr!BK9)),IF(AND(up_Irr!O9=".",up_Irr!AM9=".",up_Irr!BK9&lt;&gt;"."),up_dir!P9/((1/1000)*(up_Irr!BK9)),IF(AND(up_Irr!O9=".",up_Irr!AM9&lt;&gt;".",up_Irr!BK9="."),up_dir!P9/((1/1000)*(up_Irr!AM9)),IF(AND(up_Irr!O9&lt;&gt;".",up_Irr!AM9=".",up_Irr!BK9="."),up_dir!P9/((1/1000)*(up_Irr!O9)),IF(AND(up_Irr!O9=".",up_Irr!AM9=".",up_Irr!BK9="."),up_dir!P9*1000)))))))),".")</f>
        <v>7.2351016258567334E-11</v>
      </c>
      <c r="Q9" s="76">
        <f>IFERROR(IF(AND(up_Irr!P9&lt;&gt;".",up_Irr!AN9&lt;&gt;".",up_Irr!BL9&lt;&gt;"."),up_dir!Q9/((1/1000)*(up_Irr!P9+up_Irr!AN9+up_Irr!BL9)),IF(AND(up_Irr!P9&lt;&gt;".",up_Irr!AN9&lt;&gt;".",up_Irr!BL9="."),up_dir!Q9/((1/1000)*(up_Irr!P9+up_Irr!AN9)),IF(AND(up_Irr!P9&lt;&gt;".",up_Irr!AN9=".",up_Irr!BL9&lt;&gt;"."),up_dir!Q9/((1/1000)*(up_Irr!P9+up_Irr!BL9)),IF(AND(up_Irr!P9=".",up_Irr!AN9&lt;&gt;".",up_Irr!BL9&lt;&gt;"."),up_dir!Q9/((1/1000)*(up_Irr!AN9+up_Irr!BL9)),IF(AND(up_Irr!P9=".",up_Irr!AN9=".",up_Irr!BL9&lt;&gt;"."),up_dir!Q9/((1/1000)*(up_Irr!BL9)),IF(AND(up_Irr!P9=".",up_Irr!AN9&lt;&gt;".",up_Irr!BL9="."),up_dir!Q9/((1/1000)*(up_Irr!AN9)),IF(AND(up_Irr!P9&lt;&gt;".",up_Irr!AN9=".",up_Irr!BL9="."),up_dir!Q9/((1/1000)*(up_Irr!P9)),IF(AND(up_Irr!P9=".",up_Irr!AN9=".",up_Irr!BL9="."),up_dir!Q9*1000)))))))),".")</f>
        <v>7.2351016258567334E-11</v>
      </c>
      <c r="R9" s="76">
        <f>IFERROR(IF(AND(up_Irr!Q9&lt;&gt;".",up_Irr!AO9&lt;&gt;".",up_Irr!BM9&lt;&gt;"."),up_dir!R9/((1/1000)*(up_Irr!Q9+up_Irr!AO9+up_Irr!BM9)),IF(AND(up_Irr!Q9&lt;&gt;".",up_Irr!AO9&lt;&gt;".",up_Irr!BM9="."),up_dir!R9/((1/1000)*(up_Irr!Q9+up_Irr!AO9)),IF(AND(up_Irr!Q9&lt;&gt;".",up_Irr!AO9=".",up_Irr!BM9&lt;&gt;"."),up_dir!R9/((1/1000)*(up_Irr!Q9+up_Irr!BM9)),IF(AND(up_Irr!Q9=".",up_Irr!AO9&lt;&gt;".",up_Irr!BM9&lt;&gt;"."),up_dir!R9/((1/1000)*(up_Irr!AO9+up_Irr!BM9)),IF(AND(up_Irr!Q9=".",up_Irr!AO9=".",up_Irr!BM9&lt;&gt;"."),up_dir!R9/((1/1000)*(up_Irr!BM9)),IF(AND(up_Irr!Q9=".",up_Irr!AO9&lt;&gt;".",up_Irr!BM9="."),up_dir!R9/((1/1000)*(up_Irr!AO9)),IF(AND(up_Irr!Q9&lt;&gt;".",up_Irr!AO9=".",up_Irr!BM9="."),up_dir!R9/((1/1000)*(up_Irr!Q9)),IF(AND(up_Irr!Q9=".",up_Irr!AO9=".",up_Irr!BM9="."),up_dir!R9*1000)))))))),".")</f>
        <v>7.2351016258567334E-11</v>
      </c>
      <c r="S9" s="76">
        <f>IFERROR(IF(AND(up_Irr!R9&lt;&gt;".",up_Irr!AP9&lt;&gt;".",up_Irr!BN9&lt;&gt;"."),up_dir!S9/((1/1000)*(up_Irr!R9+up_Irr!AP9+up_Irr!BN9)),IF(AND(up_Irr!R9&lt;&gt;".",up_Irr!AP9&lt;&gt;".",up_Irr!BN9="."),up_dir!S9/((1/1000)*(up_Irr!R9+up_Irr!AP9)),IF(AND(up_Irr!R9&lt;&gt;".",up_Irr!AP9=".",up_Irr!BN9&lt;&gt;"."),up_dir!S9/((1/1000)*(up_Irr!R9+up_Irr!BN9)),IF(AND(up_Irr!R9=".",up_Irr!AP9&lt;&gt;".",up_Irr!BN9&lt;&gt;"."),up_dir!S9/((1/1000)*(up_Irr!AP9+up_Irr!BN9)),IF(AND(up_Irr!R9=".",up_Irr!AP9=".",up_Irr!BN9&lt;&gt;"."),up_dir!S9/((1/1000)*(up_Irr!BN9)),IF(AND(up_Irr!R9=".",up_Irr!AP9&lt;&gt;".",up_Irr!BN9="."),up_dir!S9/((1/1000)*(up_Irr!AP9)),IF(AND(up_Irr!R9&lt;&gt;".",up_Irr!AP9=".",up_Irr!BN9="."),up_dir!S9/((1/1000)*(up_Irr!R9)),IF(AND(up_Irr!R9=".",up_Irr!AP9=".",up_Irr!BN9="."),up_dir!S9*1000)))))))),".")</f>
        <v>7.2351016258567334E-11</v>
      </c>
      <c r="T9" s="76">
        <f>IFERROR(IF(AND(up_Irr!S9&lt;&gt;".",up_Irr!AQ9&lt;&gt;".",up_Irr!BO9&lt;&gt;"."),up_dir!T9/((1/1000)*(up_Irr!S9+up_Irr!AQ9+up_Irr!BO9)),IF(AND(up_Irr!S9&lt;&gt;".",up_Irr!AQ9&lt;&gt;".",up_Irr!BO9="."),up_dir!T9/((1/1000)*(up_Irr!S9+up_Irr!AQ9)),IF(AND(up_Irr!S9&lt;&gt;".",up_Irr!AQ9=".",up_Irr!BO9&lt;&gt;"."),up_dir!T9/((1/1000)*(up_Irr!S9+up_Irr!BO9)),IF(AND(up_Irr!S9=".",up_Irr!AQ9&lt;&gt;".",up_Irr!BO9&lt;&gt;"."),up_dir!T9/((1/1000)*(up_Irr!AQ9+up_Irr!BO9)),IF(AND(up_Irr!S9=".",up_Irr!AQ9=".",up_Irr!BO9&lt;&gt;"."),up_dir!T9/((1/1000)*(up_Irr!BO9)),IF(AND(up_Irr!S9=".",up_Irr!AQ9&lt;&gt;".",up_Irr!BO9="."),up_dir!T9/((1/1000)*(up_Irr!AQ9)),IF(AND(up_Irr!S9&lt;&gt;".",up_Irr!AQ9=".",up_Irr!BO9="."),up_dir!T9/((1/1000)*(up_Irr!S9)),IF(AND(up_Irr!S9=".",up_Irr!AQ9=".",up_Irr!BO9="."),up_dir!T9*1000)))))))),".")</f>
        <v>7.2351016258567334E-11</v>
      </c>
      <c r="U9" s="76">
        <f>IFERROR(IF(AND(up_Irr!T9&lt;&gt;".",up_Irr!AR9&lt;&gt;".",up_Irr!BP9&lt;&gt;"."),up_dir!U9/((1/1000)*(up_Irr!T9+up_Irr!AR9+up_Irr!BP9)),IF(AND(up_Irr!T9&lt;&gt;".",up_Irr!AR9&lt;&gt;".",up_Irr!BP9="."),up_dir!U9/((1/1000)*(up_Irr!T9+up_Irr!AR9)),IF(AND(up_Irr!T9&lt;&gt;".",up_Irr!AR9=".",up_Irr!BP9&lt;&gt;"."),up_dir!U9/((1/1000)*(up_Irr!T9+up_Irr!BP9)),IF(AND(up_Irr!T9=".",up_Irr!AR9&lt;&gt;".",up_Irr!BP9&lt;&gt;"."),up_dir!U9/((1/1000)*(up_Irr!AR9+up_Irr!BP9)),IF(AND(up_Irr!T9=".",up_Irr!AR9=".",up_Irr!BP9&lt;&gt;"."),up_dir!U9/((1/1000)*(up_Irr!BP9)),IF(AND(up_Irr!T9=".",up_Irr!AR9&lt;&gt;".",up_Irr!BP9="."),up_dir!U9/((1/1000)*(up_Irr!AR9)),IF(AND(up_Irr!T9&lt;&gt;".",up_Irr!AR9=".",up_Irr!BP9="."),up_dir!U9/((1/1000)*(up_Irr!T9)),IF(AND(up_Irr!T9=".",up_Irr!AR9=".",up_Irr!BP9="."),up_dir!U9*1000)))))))),".")</f>
        <v>7.2351016258567334E-11</v>
      </c>
      <c r="V9" s="76">
        <f>IFERROR(IF(AND(up_Irr!U9&lt;&gt;".",up_Irr!AS9&lt;&gt;".",up_Irr!BQ9&lt;&gt;"."),up_dir!V9/((1/1000)*(up_Irr!U9+up_Irr!AS9+up_Irr!BQ9)),IF(AND(up_Irr!U9&lt;&gt;".",up_Irr!AS9&lt;&gt;".",up_Irr!BQ9="."),up_dir!V9/((1/1000)*(up_Irr!U9+up_Irr!AS9)),IF(AND(up_Irr!U9&lt;&gt;".",up_Irr!AS9=".",up_Irr!BQ9&lt;&gt;"."),up_dir!V9/((1/1000)*(up_Irr!U9+up_Irr!BQ9)),IF(AND(up_Irr!U9=".",up_Irr!AS9&lt;&gt;".",up_Irr!BQ9&lt;&gt;"."),up_dir!V9/((1/1000)*(up_Irr!AS9+up_Irr!BQ9)),IF(AND(up_Irr!U9=".",up_Irr!AS9=".",up_Irr!BQ9&lt;&gt;"."),up_dir!V9/((1/1000)*(up_Irr!BQ9)),IF(AND(up_Irr!U9=".",up_Irr!AS9&lt;&gt;".",up_Irr!BQ9="."),up_dir!V9/((1/1000)*(up_Irr!AS9)),IF(AND(up_Irr!U9&lt;&gt;".",up_Irr!AS9=".",up_Irr!BQ9="."),up_dir!V9/((1/1000)*(up_Irr!U9)),IF(AND(up_Irr!U9=".",up_Irr!AS9=".",up_Irr!BQ9="."),up_dir!V9*1000)))))))),".")</f>
        <v>7.2351016258567334E-11</v>
      </c>
      <c r="W9" s="76">
        <f>IFERROR(IF(AND(up_Irr!V9&lt;&gt;".",up_Irr!AT9&lt;&gt;".",up_Irr!BR9&lt;&gt;"."),up_dir!W9/((1/1000)*(up_Irr!V9+up_Irr!AT9+up_Irr!BR9)),IF(AND(up_Irr!V9&lt;&gt;".",up_Irr!AT9&lt;&gt;".",up_Irr!BR9="."),up_dir!W9/((1/1000)*(up_Irr!V9+up_Irr!AT9)),IF(AND(up_Irr!V9&lt;&gt;".",up_Irr!AT9=".",up_Irr!BR9&lt;&gt;"."),up_dir!W9/((1/1000)*(up_Irr!V9+up_Irr!BR9)),IF(AND(up_Irr!V9=".",up_Irr!AT9&lt;&gt;".",up_Irr!BR9&lt;&gt;"."),up_dir!W9/((1/1000)*(up_Irr!AT9+up_Irr!BR9)),IF(AND(up_Irr!V9=".",up_Irr!AT9=".",up_Irr!BR9&lt;&gt;"."),up_dir!W9/((1/1000)*(up_Irr!BR9)),IF(AND(up_Irr!V9=".",up_Irr!AT9&lt;&gt;".",up_Irr!BR9="."),up_dir!W9/((1/1000)*(up_Irr!AT9)),IF(AND(up_Irr!V9&lt;&gt;".",up_Irr!AT9=".",up_Irr!BR9="."),up_dir!W9/((1/1000)*(up_Irr!V9)),IF(AND(up_Irr!V9=".",up_Irr!AT9=".",up_Irr!BR9="."),up_dir!W9*1000)))))))),".")</f>
        <v>7.2351016258567334E-11</v>
      </c>
      <c r="X9" s="76">
        <f>IFERROR(IF(AND(up_Irr!W9&lt;&gt;".",up_Irr!AU9&lt;&gt;".",up_Irr!BS9&lt;&gt;"."),up_dir!X9/((1/1000)*(up_Irr!W9+up_Irr!AU9+up_Irr!BS9)),IF(AND(up_Irr!W9&lt;&gt;".",up_Irr!AU9&lt;&gt;".",up_Irr!BS9="."),up_dir!X9/((1/1000)*(up_Irr!W9+up_Irr!AU9)),IF(AND(up_Irr!W9&lt;&gt;".",up_Irr!AU9=".",up_Irr!BS9&lt;&gt;"."),up_dir!X9/((1/1000)*(up_Irr!W9+up_Irr!BS9)),IF(AND(up_Irr!W9=".",up_Irr!AU9&lt;&gt;".",up_Irr!BS9&lt;&gt;"."),up_dir!X9/((1/1000)*(up_Irr!AU9+up_Irr!BS9)),IF(AND(up_Irr!W9=".",up_Irr!AU9=".",up_Irr!BS9&lt;&gt;"."),up_dir!X9/((1/1000)*(up_Irr!BS9)),IF(AND(up_Irr!W9=".",up_Irr!AU9&lt;&gt;".",up_Irr!BS9="."),up_dir!X9/((1/1000)*(up_Irr!AU9)),IF(AND(up_Irr!W9&lt;&gt;".",up_Irr!AU9=".",up_Irr!BS9="."),up_dir!X9/((1/1000)*(up_Irr!W9)),IF(AND(up_Irr!W9=".",up_Irr!AU9=".",up_Irr!BS9="."),up_dir!X9*1000)))))))),".")</f>
        <v>7.2351016258567334E-11</v>
      </c>
      <c r="Y9" s="76">
        <f>IFERROR(IF(AND(up_Irr!X9&lt;&gt;".",up_Irr!AV9&lt;&gt;".",up_Irr!BT9&lt;&gt;"."),up_dir!Y9/((1/1000)*(up_Irr!X9+up_Irr!AV9+up_Irr!BT9)),IF(AND(up_Irr!X9&lt;&gt;".",up_Irr!AV9&lt;&gt;".",up_Irr!BT9="."),up_dir!Y9/((1/1000)*(up_Irr!X9+up_Irr!AV9)),IF(AND(up_Irr!X9&lt;&gt;".",up_Irr!AV9=".",up_Irr!BT9&lt;&gt;"."),up_dir!Y9/((1/1000)*(up_Irr!X9+up_Irr!BT9)),IF(AND(up_Irr!X9=".",up_Irr!AV9&lt;&gt;".",up_Irr!BT9&lt;&gt;"."),up_dir!Y9/((1/1000)*(up_Irr!AV9+up_Irr!BT9)),IF(AND(up_Irr!X9=".",up_Irr!AV9=".",up_Irr!BT9&lt;&gt;"."),up_dir!Y9/((1/1000)*(up_Irr!BT9)),IF(AND(up_Irr!X9=".",up_Irr!AV9&lt;&gt;".",up_Irr!BT9="."),up_dir!Y9/((1/1000)*(up_Irr!AV9)),IF(AND(up_Irr!X9&lt;&gt;".",up_Irr!AV9=".",up_Irr!BT9="."),up_dir!Y9/((1/1000)*(up_Irr!X9)),IF(AND(up_Irr!X9=".",up_Irr!AV9=".",up_Irr!BT9="."),up_dir!Y9*1000)))))))),".")</f>
        <v>7.2351016258567334E-11</v>
      </c>
      <c r="Z9" s="76">
        <f>IFERROR(IF(AND(up_Irr!Y9&lt;&gt;".",up_Irr!AW9&lt;&gt;".",up_Irr!BU9&lt;&gt;"."),up_dir!Z9/((1/1000)*(up_Irr!Y9+up_Irr!AW9+up_Irr!BU9)),IF(AND(up_Irr!Y9&lt;&gt;".",up_Irr!AW9&lt;&gt;".",up_Irr!BU9="."),up_dir!Z9/((1/1000)*(up_Irr!Y9+up_Irr!AW9)),IF(AND(up_Irr!Y9&lt;&gt;".",up_Irr!AW9=".",up_Irr!BU9&lt;&gt;"."),up_dir!Z9/((1/1000)*(up_Irr!Y9+up_Irr!BU9)),IF(AND(up_Irr!Y9=".",up_Irr!AW9&lt;&gt;".",up_Irr!BU9&lt;&gt;"."),up_dir!Z9/((1/1000)*(up_Irr!AW9+up_Irr!BU9)),IF(AND(up_Irr!Y9=".",up_Irr!AW9=".",up_Irr!BU9&lt;&gt;"."),up_dir!Z9/((1/1000)*(up_Irr!BU9)),IF(AND(up_Irr!Y9=".",up_Irr!AW9&lt;&gt;".",up_Irr!BU9="."),up_dir!Z9/((1/1000)*(up_Irr!AW9)),IF(AND(up_Irr!Y9&lt;&gt;".",up_Irr!AW9=".",up_Irr!BU9="."),up_dir!Z9/((1/1000)*(up_Irr!Y9)),IF(AND(up_Irr!Y9=".",up_Irr!AW9=".",up_Irr!BU9="."),up_dir!Z9*1000)))))))),".")</f>
        <v>7.2351016258567334E-11</v>
      </c>
      <c r="AA9" s="76">
        <f>IFERROR(IF(AND(up_Irr!Z9&lt;&gt;".",up_Irr!AX9&lt;&gt;".",up_Irr!BV9&lt;&gt;"."),up_dir!AA9/((1/1000)*(up_Irr!Z9+up_Irr!AX9+up_Irr!BV9)),IF(AND(up_Irr!Z9&lt;&gt;".",up_Irr!AX9&lt;&gt;".",up_Irr!BV9="."),up_dir!AA9/((1/1000)*(up_Irr!Z9+up_Irr!AX9)),IF(AND(up_Irr!Z9&lt;&gt;".",up_Irr!AX9=".",up_Irr!BV9&lt;&gt;"."),up_dir!AA9/((1/1000)*(up_Irr!Z9+up_Irr!BV9)),IF(AND(up_Irr!Z9=".",up_Irr!AX9&lt;&gt;".",up_Irr!BV9&lt;&gt;"."),up_dir!AA9/((1/1000)*(up_Irr!AX9+up_Irr!BV9)),IF(AND(up_Irr!Z9=".",up_Irr!AX9=".",up_Irr!BV9&lt;&gt;"."),up_dir!AA9/((1/1000)*(up_Irr!BV9)),IF(AND(up_Irr!Z9=".",up_Irr!AX9&lt;&gt;".",up_Irr!BV9="."),up_dir!AA9/((1/1000)*(up_Irr!AX9)),IF(AND(up_Irr!Z9&lt;&gt;".",up_Irr!AX9=".",up_Irr!BV9="."),up_dir!AA9/((1/1000)*(up_Irr!Z9)),IF(AND(up_Irr!Z9=".",up_Irr!AX9=".",up_Irr!BV9="."),up_dir!AA9*1000)))))))),".")</f>
        <v>7.2351016258567334E-11</v>
      </c>
      <c r="AB9" s="93">
        <f t="shared" si="5"/>
        <v>55286.023705663516</v>
      </c>
      <c r="AC9" s="93">
        <f>IFERROR(s_C*s_IFAP_res_adj*s_CF_apple*0.001*(up_Irr!C9+up_Irr!AA9+up_Irr!AY9),".")</f>
        <v>13821.505926415879</v>
      </c>
      <c r="AD9" s="93">
        <f>IFERROR(s_C*s_IFAS_res_adj*s_CF_asparagus*0.001*(up_Irr!D9+up_Irr!AB9+up_Irr!AZ9),".")</f>
        <v>13821.505926415879</v>
      </c>
      <c r="AE9" s="93">
        <f>IFERROR(s_C*s_IFBT_res_adj*s_CF_beet*0.001*(up_Irr!E9+up_Irr!AC9+up_Irr!BA9),".")</f>
        <v>13821.505926415879</v>
      </c>
      <c r="AF9" s="93">
        <f>IFERROR(s_C*s_IFBE_res_adj*s_CF_berries*0.001*(up_Irr!F9+up_Irr!AD9+up_Irr!BB9),".")</f>
        <v>13821.505926415879</v>
      </c>
      <c r="AG9" s="93">
        <f>IFERROR(s_C*s_IFBR_res_adj*s_CF_broccoli*0.001*(up_Irr!G9+up_Irr!AE9+up_Irr!BC9),".")</f>
        <v>13821.505926415879</v>
      </c>
      <c r="AH9" s="93">
        <f>IFERROR(s_C*s_IFCB_res_adj*s_CF_cabbage*0.001*(up_Irr!H9+up_Irr!AF9+up_Irr!BD9),".")</f>
        <v>13821.505926415879</v>
      </c>
      <c r="AI9" s="93">
        <f>IFERROR(s_C*s_IFCR_res_adj*s_CF_carrot*0.001*(up_Irr!I9+up_Irr!AG9+up_Irr!BE9),".")</f>
        <v>13821.505926415879</v>
      </c>
      <c r="AJ9" s="93">
        <f>IFERROR(s_C*s_IFCI_res_adj*s_CF_citrus*0.001*(up_Irr!J9+up_Irr!AH9+up_Irr!BF9),".")</f>
        <v>13821.505926415879</v>
      </c>
      <c r="AK9" s="93">
        <f>IFERROR(s_C*s_IFCO_res_adj*s_CF_corn*0.001*(up_Irr!K9+up_Irr!AI9+up_Irr!BG9),".")</f>
        <v>13821.505926415879</v>
      </c>
      <c r="AL9" s="93">
        <f>IFERROR(s_C*s_IFCU_res_adj*s_CF_cucumber*0.001*(up_Irr!L9+up_Irr!AJ9+up_Irr!BH9),".")</f>
        <v>13821.505926415879</v>
      </c>
      <c r="AM9" s="93">
        <f>IFERROR(s_C*s_IFLE_res_adj*s_CF_lettuce*0.001*(up_Irr!M9+up_Irr!AK9+up_Irr!BI9),".")</f>
        <v>13821.505926415879</v>
      </c>
      <c r="AN9" s="93">
        <f>IFERROR(s_C*s_IFLI_res_adj*s_CF_lima_bean*0.001*(up_Irr!N9+up_Irr!AL9+up_Irr!BJ9),".")</f>
        <v>13821.505926415879</v>
      </c>
      <c r="AO9" s="93">
        <f>IFERROR(s_C*s_IFOK_res_adj*s_CF_okra*0.001*(up_Irr!O9+up_Irr!AM9+up_Irr!BK9),".")</f>
        <v>13821.505926415879</v>
      </c>
      <c r="AP9" s="93">
        <f>IFERROR(s_C*s_IFON_res_adj*s_CF_onion*0.001*(up_Irr!P9+up_Irr!AN9+up_Irr!BL9),".")</f>
        <v>13821.505926415879</v>
      </c>
      <c r="AQ9" s="93">
        <f>IFERROR(s_C*s_IFPC_res_adj*s_CF_peach*0.001*(up_Irr!Q9+up_Irr!AO9+up_Irr!BM9),".")</f>
        <v>13821.505926415879</v>
      </c>
      <c r="AR9" s="93">
        <f>IFERROR(s_C*s_IFPR_res_adj*s_CF_pear*0.001*(up_Irr!R9+up_Irr!AP9+up_Irr!BN9),".")</f>
        <v>13821.505926415879</v>
      </c>
      <c r="AS9" s="93">
        <f>IFERROR(s_C*s_IFPE_res_adj*s_CF_peas*0.001*(up_Irr!S9+up_Irr!AQ9+up_Irr!BO9),".")</f>
        <v>13821.505926415879</v>
      </c>
      <c r="AT9" s="93">
        <f>IFERROR(s_C*s_IFPT_res_adj*s_CF_potato*0.001*(up_Irr!T9+up_Irr!AR9+up_Irr!BP9),".")</f>
        <v>13821.505926415879</v>
      </c>
      <c r="AU9" s="93">
        <f>IFERROR(s_C*s_IFPU_res_adj*s_CF_pumpkin*0.001*(up_Irr!U9+up_Irr!AS9+up_Irr!BQ9),".")</f>
        <v>13821.505926415879</v>
      </c>
      <c r="AV9" s="93">
        <f>IFERROR(s_C*s_IFSN_res_adj*s_CF_snap_bean*0.001*(up_Irr!V9+up_Irr!AT9+up_Irr!BR9),".")</f>
        <v>13821.505926415879</v>
      </c>
      <c r="AW9" s="93">
        <f>IFERROR(s_C*s_IFST_res_adj*s_CF_strawberry*0.001*(up_Irr!W9+up_Irr!AU9+up_Irr!BS9),".")</f>
        <v>13821.505926415879</v>
      </c>
      <c r="AX9" s="93">
        <f>IFERROR(s_C*s_IFTO_res_adj*s_CF_tomato*0.001*(up_Irr!X9+up_Irr!AV9+up_Irr!BT9),".")</f>
        <v>13821.505926415879</v>
      </c>
      <c r="AY9" s="93">
        <f>IFERROR(s_C*s_IFRI_res_adj*s_CF_rice*0.001*(up_Irr!Y9+up_Irr!AW9+up_Irr!BU9),".")</f>
        <v>13821.505926415879</v>
      </c>
      <c r="AZ9" s="93">
        <f>IFERROR(s_C*s_IFCG_res_adj*s_CF_cereal*0.001*(up_Irr!Z9+up_Irr!AX9+up_Irr!BV9),".")</f>
        <v>13821.505926415879</v>
      </c>
      <c r="BA9" s="76">
        <f t="shared" si="3"/>
        <v>1.8087754064641833E-11</v>
      </c>
      <c r="BB9" s="76">
        <f>IFERROR(IF(AND(up_Irr!C9&lt;&gt;".",up_Irr!AA9&lt;&gt;".",up_Irr!AY9&lt;&gt;"."),up_dir!AC9/((1/1000)*(up_Irr!C9+up_Irr!AA9+up_Irr!AY9)),IF(AND(up_Irr!C9&lt;&gt;".",up_Irr!AA9&lt;&gt;".",up_Irr!AY9="."),up_dir!AC9/((1/1000)*(up_Irr!C9+up_Irr!AA9)),IF(AND(up_Irr!C9&lt;&gt;".",up_Irr!AA9=".",up_Irr!AY9&lt;&gt;"."),up_dir!AC9/((1/1000)*(up_Irr!C9+up_Irr!AY9)),IF(AND(up_Irr!C9=".",up_Irr!AA9&lt;&gt;".",up_Irr!AY9&lt;&gt;"."),up_dir!AC9/((1/1000)*(up_Irr!AA9+up_Irr!AY9)),IF(AND(up_Irr!C9=".",up_Irr!AA9=".",up_Irr!AY9&lt;&gt;"."),up_dir!AC9/((1/1000)*(up_Irr!AY9)),IF(AND(up_Irr!C9=".",up_Irr!AA9&lt;&gt;".",up_Irr!AY9="."),up_dir!AC9/((1/1000)*(up_Irr!AA9)),IF(AND(up_Irr!C9&lt;&gt;".",up_Irr!AA9=".",up_Irr!AY9="."),up_dir!AC9/((1/1000)*(up_Irr!C9)),IF(AND(up_Irr!C9=".",up_Irr!AA9=".",up_Irr!AY9="."),up_dir!AC9*1000)))))))),".")</f>
        <v>7.2351016258567334E-11</v>
      </c>
      <c r="BC9" s="76">
        <f>IFERROR(IF(AND(up_Irr!D9&lt;&gt;".",up_Irr!AB9&lt;&gt;".",up_Irr!AZ9&lt;&gt;"."),up_dir!AD9/((1/1000)*(up_Irr!D9+up_Irr!AB9+up_Irr!AZ9)),IF(AND(up_Irr!D9&lt;&gt;".",up_Irr!AB9&lt;&gt;".",up_Irr!AZ9="."),up_dir!AD9/((1/1000)*(up_Irr!D9+up_Irr!AB9)),IF(AND(up_Irr!D9&lt;&gt;".",up_Irr!AB9=".",up_Irr!AZ9&lt;&gt;"."),up_dir!AD9/((1/1000)*(up_Irr!D9+up_Irr!AZ9)),IF(AND(up_Irr!D9=".",up_Irr!AB9&lt;&gt;".",up_Irr!AZ9&lt;&gt;"."),up_dir!AD9/((1/1000)*(up_Irr!AB9+up_Irr!AZ9)),IF(AND(up_Irr!D9=".",up_Irr!AB9=".",up_Irr!AZ9&lt;&gt;"."),up_dir!AD9/((1/1000)*(up_Irr!AZ9)),IF(AND(up_Irr!D9=".",up_Irr!AB9&lt;&gt;".",up_Irr!AZ9="."),up_dir!AD9/((1/1000)*(up_Irr!AB9)),IF(AND(up_Irr!D9&lt;&gt;".",up_Irr!AB9=".",up_Irr!AZ9="."),up_dir!AD9/((1/1000)*(up_Irr!D9)),IF(AND(up_Irr!D9=".",up_Irr!AB9=".",up_Irr!AZ9="."),up_dir!AD9*1000)))))))),".")</f>
        <v>7.2351016258567334E-11</v>
      </c>
      <c r="BD9" s="76">
        <f>IFERROR(IF(AND(up_Irr!E9&lt;&gt;".",up_Irr!AC9&lt;&gt;".",up_Irr!BA9&lt;&gt;"."),up_dir!AE9/((1/1000)*(up_Irr!E9+up_Irr!AC9+up_Irr!BA9)),IF(AND(up_Irr!E9&lt;&gt;".",up_Irr!AC9&lt;&gt;".",up_Irr!BA9="."),up_dir!AE9/((1/1000)*(up_Irr!E9+up_Irr!AC9)),IF(AND(up_Irr!E9&lt;&gt;".",up_Irr!AC9=".",up_Irr!BA9&lt;&gt;"."),up_dir!AE9/((1/1000)*(up_Irr!E9+up_Irr!BA9)),IF(AND(up_Irr!E9=".",up_Irr!AC9&lt;&gt;".",up_Irr!BA9&lt;&gt;"."),up_dir!AE9/((1/1000)*(up_Irr!AC9+up_Irr!BA9)),IF(AND(up_Irr!E9=".",up_Irr!AC9=".",up_Irr!BA9&lt;&gt;"."),up_dir!AE9/((1/1000)*(up_Irr!BA9)),IF(AND(up_Irr!E9=".",up_Irr!AC9&lt;&gt;".",up_Irr!BA9="."),up_dir!AE9/((1/1000)*(up_Irr!AC9)),IF(AND(up_Irr!E9&lt;&gt;".",up_Irr!AC9=".",up_Irr!BA9="."),up_dir!AE9/((1/1000)*(up_Irr!E9)),IF(AND(up_Irr!E9=".",up_Irr!AC9=".",up_Irr!BA9="."),up_dir!AE9*1000)))))))),".")</f>
        <v>7.2351016258567334E-11</v>
      </c>
      <c r="BE9" s="76">
        <f>IFERROR(IF(AND(up_Irr!F9&lt;&gt;".",up_Irr!AD9&lt;&gt;".",up_Irr!BB9&lt;&gt;"."),up_dir!AF9/((1/1000)*(up_Irr!F9+up_Irr!AD9+up_Irr!BB9)),IF(AND(up_Irr!F9&lt;&gt;".",up_Irr!AD9&lt;&gt;".",up_Irr!BB9="."),up_dir!AF9/((1/1000)*(up_Irr!F9+up_Irr!AD9)),IF(AND(up_Irr!F9&lt;&gt;".",up_Irr!AD9=".",up_Irr!BB9&lt;&gt;"."),up_dir!AF9/((1/1000)*(up_Irr!F9+up_Irr!BB9)),IF(AND(up_Irr!F9=".",up_Irr!AD9&lt;&gt;".",up_Irr!BB9&lt;&gt;"."),up_dir!AF9/((1/1000)*(up_Irr!AD9+up_Irr!BB9)),IF(AND(up_Irr!F9=".",up_Irr!AD9=".",up_Irr!BB9&lt;&gt;"."),up_dir!AF9/((1/1000)*(up_Irr!BB9)),IF(AND(up_Irr!F9=".",up_Irr!AD9&lt;&gt;".",up_Irr!BB9="."),up_dir!AF9/((1/1000)*(up_Irr!AD9)),IF(AND(up_Irr!F9&lt;&gt;".",up_Irr!AD9=".",up_Irr!BB9="."),up_dir!AF9/((1/1000)*(up_Irr!F9)),IF(AND(up_Irr!F9=".",up_Irr!AD9=".",up_Irr!BB9="."),up_dir!AF9*1000)))))))),".")</f>
        <v>7.2351016258567334E-11</v>
      </c>
      <c r="BF9" s="76">
        <f>IFERROR(IF(AND(up_Irr!G9&lt;&gt;".",up_Irr!AE9&lt;&gt;".",up_Irr!BC9&lt;&gt;"."),up_dir!AG9/((1/1000)*(up_Irr!G9+up_Irr!AE9+up_Irr!BC9)),IF(AND(up_Irr!G9&lt;&gt;".",up_Irr!AE9&lt;&gt;".",up_Irr!BC9="."),up_dir!AG9/((1/1000)*(up_Irr!G9+up_Irr!AE9)),IF(AND(up_Irr!G9&lt;&gt;".",up_Irr!AE9=".",up_Irr!BC9&lt;&gt;"."),up_dir!AG9/((1/1000)*(up_Irr!G9+up_Irr!BC9)),IF(AND(up_Irr!G9=".",up_Irr!AE9&lt;&gt;".",up_Irr!BC9&lt;&gt;"."),up_dir!AG9/((1/1000)*(up_Irr!AE9+up_Irr!BC9)),IF(AND(up_Irr!G9=".",up_Irr!AE9=".",up_Irr!BC9&lt;&gt;"."),up_dir!AG9/((1/1000)*(up_Irr!BC9)),IF(AND(up_Irr!G9=".",up_Irr!AE9&lt;&gt;".",up_Irr!BC9="."),up_dir!AG9/((1/1000)*(up_Irr!AE9)),IF(AND(up_Irr!G9&lt;&gt;".",up_Irr!AE9=".",up_Irr!BC9="."),up_dir!AG9/((1/1000)*(up_Irr!G9)),IF(AND(up_Irr!G9=".",up_Irr!AE9=".",up_Irr!BC9="."),up_dir!AG9*1000)))))))),".")</f>
        <v>7.2351016258567334E-11</v>
      </c>
      <c r="BG9" s="76">
        <f>IFERROR(IF(AND(up_Irr!H9&lt;&gt;".",up_Irr!AF9&lt;&gt;".",up_Irr!BD9&lt;&gt;"."),up_dir!AH9/((1/1000)*(up_Irr!H9+up_Irr!AF9+up_Irr!BD9)),IF(AND(up_Irr!H9&lt;&gt;".",up_Irr!AF9&lt;&gt;".",up_Irr!BD9="."),up_dir!AH9/((1/1000)*(up_Irr!H9+up_Irr!AF9)),IF(AND(up_Irr!H9&lt;&gt;".",up_Irr!AF9=".",up_Irr!BD9&lt;&gt;"."),up_dir!AH9/((1/1000)*(up_Irr!H9+up_Irr!BD9)),IF(AND(up_Irr!H9=".",up_Irr!AF9&lt;&gt;".",up_Irr!BD9&lt;&gt;"."),up_dir!AH9/((1/1000)*(up_Irr!AF9+up_Irr!BD9)),IF(AND(up_Irr!H9=".",up_Irr!AF9=".",up_Irr!BD9&lt;&gt;"."),up_dir!AH9/((1/1000)*(up_Irr!BD9)),IF(AND(up_Irr!H9=".",up_Irr!AF9&lt;&gt;".",up_Irr!BD9="."),up_dir!AH9/((1/1000)*(up_Irr!AF9)),IF(AND(up_Irr!H9&lt;&gt;".",up_Irr!AF9=".",up_Irr!BD9="."),up_dir!AH9/((1/1000)*(up_Irr!H9)),IF(AND(up_Irr!H9=".",up_Irr!AF9=".",up_Irr!BD9="."),up_dir!AH9*1000)))))))),".")</f>
        <v>7.2351016258567334E-11</v>
      </c>
      <c r="BH9" s="76">
        <f>IFERROR(IF(AND(up_Irr!I9&lt;&gt;".",up_Irr!AG9&lt;&gt;".",up_Irr!BE9&lt;&gt;"."),up_dir!AI9/((1/1000)*(up_Irr!I9+up_Irr!AG9+up_Irr!BE9)),IF(AND(up_Irr!I9&lt;&gt;".",up_Irr!AG9&lt;&gt;".",up_Irr!BE9="."),up_dir!AI9/((1/1000)*(up_Irr!I9+up_Irr!AG9)),IF(AND(up_Irr!I9&lt;&gt;".",up_Irr!AG9=".",up_Irr!BE9&lt;&gt;"."),up_dir!AI9/((1/1000)*(up_Irr!I9+up_Irr!BE9)),IF(AND(up_Irr!I9=".",up_Irr!AG9&lt;&gt;".",up_Irr!BE9&lt;&gt;"."),up_dir!AI9/((1/1000)*(up_Irr!AG9+up_Irr!BE9)),IF(AND(up_Irr!I9=".",up_Irr!AG9=".",up_Irr!BE9&lt;&gt;"."),up_dir!AI9/((1/1000)*(up_Irr!BE9)),IF(AND(up_Irr!I9=".",up_Irr!AG9&lt;&gt;".",up_Irr!BE9="."),up_dir!AI9/((1/1000)*(up_Irr!AG9)),IF(AND(up_Irr!I9&lt;&gt;".",up_Irr!AG9=".",up_Irr!BE9="."),up_dir!AI9/((1/1000)*(up_Irr!I9)),IF(AND(up_Irr!I9=".",up_Irr!AG9=".",up_Irr!BE9="."),up_dir!AI9*1000)))))))),".")</f>
        <v>7.2351016258567334E-11</v>
      </c>
      <c r="BI9" s="76">
        <f>IFERROR(IF(AND(up_Irr!J9&lt;&gt;".",up_Irr!AH9&lt;&gt;".",up_Irr!BF9&lt;&gt;"."),up_dir!AJ9/((1/1000)*(up_Irr!J9+up_Irr!AH9+up_Irr!BF9)),IF(AND(up_Irr!J9&lt;&gt;".",up_Irr!AH9&lt;&gt;".",up_Irr!BF9="."),up_dir!AJ9/((1/1000)*(up_Irr!J9+up_Irr!AH9)),IF(AND(up_Irr!J9&lt;&gt;".",up_Irr!AH9=".",up_Irr!BF9&lt;&gt;"."),up_dir!AJ9/((1/1000)*(up_Irr!J9+up_Irr!BF9)),IF(AND(up_Irr!J9=".",up_Irr!AH9&lt;&gt;".",up_Irr!BF9&lt;&gt;"."),up_dir!AJ9/((1/1000)*(up_Irr!AH9+up_Irr!BF9)),IF(AND(up_Irr!J9=".",up_Irr!AH9=".",up_Irr!BF9&lt;&gt;"."),up_dir!AJ9/((1/1000)*(up_Irr!BF9)),IF(AND(up_Irr!J9=".",up_Irr!AH9&lt;&gt;".",up_Irr!BF9="."),up_dir!AJ9/((1/1000)*(up_Irr!AH9)),IF(AND(up_Irr!J9&lt;&gt;".",up_Irr!AH9=".",up_Irr!BF9="."),up_dir!AJ9/((1/1000)*(up_Irr!J9)),IF(AND(up_Irr!J9=".",up_Irr!AH9=".",up_Irr!BF9="."),up_dir!AJ9*1000)))))))),".")</f>
        <v>7.2351016258567334E-11</v>
      </c>
      <c r="BJ9" s="76">
        <f>IFERROR(IF(AND(up_Irr!K9&lt;&gt;".",up_Irr!AI9&lt;&gt;".",up_Irr!BG9&lt;&gt;"."),up_dir!AK9/((1/1000)*(up_Irr!K9+up_Irr!AI9+up_Irr!BG9)),IF(AND(up_Irr!K9&lt;&gt;".",up_Irr!AI9&lt;&gt;".",up_Irr!BG9="."),up_dir!AK9/((1/1000)*(up_Irr!K9+up_Irr!AI9)),IF(AND(up_Irr!K9&lt;&gt;".",up_Irr!AI9=".",up_Irr!BG9&lt;&gt;"."),up_dir!AK9/((1/1000)*(up_Irr!K9+up_Irr!BG9)),IF(AND(up_Irr!K9=".",up_Irr!AI9&lt;&gt;".",up_Irr!BG9&lt;&gt;"."),up_dir!AK9/((1/1000)*(up_Irr!AI9+up_Irr!BG9)),IF(AND(up_Irr!K9=".",up_Irr!AI9=".",up_Irr!BG9&lt;&gt;"."),up_dir!AK9/((1/1000)*(up_Irr!BG9)),IF(AND(up_Irr!K9=".",up_Irr!AI9&lt;&gt;".",up_Irr!BG9="."),up_dir!AK9/((1/1000)*(up_Irr!AI9)),IF(AND(up_Irr!K9&lt;&gt;".",up_Irr!AI9=".",up_Irr!BG9="."),up_dir!AK9/((1/1000)*(up_Irr!K9)),IF(AND(up_Irr!K9=".",up_Irr!AI9=".",up_Irr!BG9="."),up_dir!AK9*1000)))))))),".")</f>
        <v>7.2351016258567334E-11</v>
      </c>
      <c r="BK9" s="76">
        <f>IFERROR(IF(AND(up_Irr!L9&lt;&gt;".",up_Irr!AJ9&lt;&gt;".",up_Irr!BH9&lt;&gt;"."),up_dir!AL9/((1/1000)*(up_Irr!L9+up_Irr!AJ9+up_Irr!BH9)),IF(AND(up_Irr!L9&lt;&gt;".",up_Irr!AJ9&lt;&gt;".",up_Irr!BH9="."),up_dir!AL9/((1/1000)*(up_Irr!L9+up_Irr!AJ9)),IF(AND(up_Irr!L9&lt;&gt;".",up_Irr!AJ9=".",up_Irr!BH9&lt;&gt;"."),up_dir!AL9/((1/1000)*(up_Irr!L9+up_Irr!BH9)),IF(AND(up_Irr!L9=".",up_Irr!AJ9&lt;&gt;".",up_Irr!BH9&lt;&gt;"."),up_dir!AL9/((1/1000)*(up_Irr!AJ9+up_Irr!BH9)),IF(AND(up_Irr!L9=".",up_Irr!AJ9=".",up_Irr!BH9&lt;&gt;"."),up_dir!AL9/((1/1000)*(up_Irr!BH9)),IF(AND(up_Irr!L9=".",up_Irr!AJ9&lt;&gt;".",up_Irr!BH9="."),up_dir!AL9/((1/1000)*(up_Irr!AJ9)),IF(AND(up_Irr!L9&lt;&gt;".",up_Irr!AJ9=".",up_Irr!BH9="."),up_dir!AL9/((1/1000)*(up_Irr!L9)),IF(AND(up_Irr!L9=".",up_Irr!AJ9=".",up_Irr!BH9="."),up_dir!AL9*1000)))))))),".")</f>
        <v>7.2351016258567334E-11</v>
      </c>
      <c r="BL9" s="76">
        <f>IFERROR(IF(AND(up_Irr!M9&lt;&gt;".",up_Irr!AK9&lt;&gt;".",up_Irr!BI9&lt;&gt;"."),up_dir!AM9/((1/1000)*(up_Irr!M9+up_Irr!AK9+up_Irr!BI9)),IF(AND(up_Irr!M9&lt;&gt;".",up_Irr!AK9&lt;&gt;".",up_Irr!BI9="."),up_dir!AM9/((1/1000)*(up_Irr!M9+up_Irr!AK9)),IF(AND(up_Irr!M9&lt;&gt;".",up_Irr!AK9=".",up_Irr!BI9&lt;&gt;"."),up_dir!AM9/((1/1000)*(up_Irr!M9+up_Irr!BI9)),IF(AND(up_Irr!M9=".",up_Irr!AK9&lt;&gt;".",up_Irr!BI9&lt;&gt;"."),up_dir!AM9/((1/1000)*(up_Irr!AK9+up_Irr!BI9)),IF(AND(up_Irr!M9=".",up_Irr!AK9=".",up_Irr!BI9&lt;&gt;"."),up_dir!AM9/((1/1000)*(up_Irr!BI9)),IF(AND(up_Irr!M9=".",up_Irr!AK9&lt;&gt;".",up_Irr!BI9="."),up_dir!AM9/((1/1000)*(up_Irr!AK9)),IF(AND(up_Irr!M9&lt;&gt;".",up_Irr!AK9=".",up_Irr!BI9="."),up_dir!AM9/((1/1000)*(up_Irr!M9)),IF(AND(up_Irr!M9=".",up_Irr!AK9=".",up_Irr!BI9="."),up_dir!AM9*1000)))))))),".")</f>
        <v>7.2351016258567334E-11</v>
      </c>
      <c r="BM9" s="76">
        <f>IFERROR(IF(AND(up_Irr!N9&lt;&gt;".",up_Irr!AL9&lt;&gt;".",up_Irr!BJ9&lt;&gt;"."),up_dir!AN9/((1/1000)*(up_Irr!N9+up_Irr!AL9+up_Irr!BJ9)),IF(AND(up_Irr!N9&lt;&gt;".",up_Irr!AL9&lt;&gt;".",up_Irr!BJ9="."),up_dir!AN9/((1/1000)*(up_Irr!N9+up_Irr!AL9)),IF(AND(up_Irr!N9&lt;&gt;".",up_Irr!AL9=".",up_Irr!BJ9&lt;&gt;"."),up_dir!AN9/((1/1000)*(up_Irr!N9+up_Irr!BJ9)),IF(AND(up_Irr!N9=".",up_Irr!AL9&lt;&gt;".",up_Irr!BJ9&lt;&gt;"."),up_dir!AN9/((1/1000)*(up_Irr!AL9+up_Irr!BJ9)),IF(AND(up_Irr!N9=".",up_Irr!AL9=".",up_Irr!BJ9&lt;&gt;"."),up_dir!AN9/((1/1000)*(up_Irr!BJ9)),IF(AND(up_Irr!N9=".",up_Irr!AL9&lt;&gt;".",up_Irr!BJ9="."),up_dir!AN9/((1/1000)*(up_Irr!AL9)),IF(AND(up_Irr!N9&lt;&gt;".",up_Irr!AL9=".",up_Irr!BJ9="."),up_dir!AN9/((1/1000)*(up_Irr!N9)),IF(AND(up_Irr!N9=".",up_Irr!AL9=".",up_Irr!BJ9="."),up_dir!AN9*1000)))))))),".")</f>
        <v>7.2351016258567334E-11</v>
      </c>
      <c r="BN9" s="76">
        <f>IFERROR(IF(AND(up_Irr!O9&lt;&gt;".",up_Irr!AM9&lt;&gt;".",up_Irr!BK9&lt;&gt;"."),up_dir!AO9/((1/1000)*(up_Irr!O9+up_Irr!AM9+up_Irr!BK9)),IF(AND(up_Irr!O9&lt;&gt;".",up_Irr!AM9&lt;&gt;".",up_Irr!BK9="."),up_dir!AO9/((1/1000)*(up_Irr!O9+up_Irr!AM9)),IF(AND(up_Irr!O9&lt;&gt;".",up_Irr!AM9=".",up_Irr!BK9&lt;&gt;"."),up_dir!AO9/((1/1000)*(up_Irr!O9+up_Irr!BK9)),IF(AND(up_Irr!O9=".",up_Irr!AM9&lt;&gt;".",up_Irr!BK9&lt;&gt;"."),up_dir!AO9/((1/1000)*(up_Irr!AM9+up_Irr!BK9)),IF(AND(up_Irr!O9=".",up_Irr!AM9=".",up_Irr!BK9&lt;&gt;"."),up_dir!AO9/((1/1000)*(up_Irr!BK9)),IF(AND(up_Irr!O9=".",up_Irr!AM9&lt;&gt;".",up_Irr!BK9="."),up_dir!AO9/((1/1000)*(up_Irr!AM9)),IF(AND(up_Irr!O9&lt;&gt;".",up_Irr!AM9=".",up_Irr!BK9="."),up_dir!AO9/((1/1000)*(up_Irr!O9)),IF(AND(up_Irr!O9=".",up_Irr!AM9=".",up_Irr!BK9="."),up_dir!AO9*1000)))))))),".")</f>
        <v>7.2351016258567334E-11</v>
      </c>
      <c r="BO9" s="76">
        <f>IFERROR(IF(AND(up_Irr!P9&lt;&gt;".",up_Irr!AN9&lt;&gt;".",up_Irr!BL9&lt;&gt;"."),up_dir!AP9/((1/1000)*(up_Irr!P9+up_Irr!AN9+up_Irr!BL9)),IF(AND(up_Irr!P9&lt;&gt;".",up_Irr!AN9&lt;&gt;".",up_Irr!BL9="."),up_dir!AP9/((1/1000)*(up_Irr!P9+up_Irr!AN9)),IF(AND(up_Irr!P9&lt;&gt;".",up_Irr!AN9=".",up_Irr!BL9&lt;&gt;"."),up_dir!AP9/((1/1000)*(up_Irr!P9+up_Irr!BL9)),IF(AND(up_Irr!P9=".",up_Irr!AN9&lt;&gt;".",up_Irr!BL9&lt;&gt;"."),up_dir!AP9/((1/1000)*(up_Irr!AN9+up_Irr!BL9)),IF(AND(up_Irr!P9=".",up_Irr!AN9=".",up_Irr!BL9&lt;&gt;"."),up_dir!AP9/((1/1000)*(up_Irr!BL9)),IF(AND(up_Irr!P9=".",up_Irr!AN9&lt;&gt;".",up_Irr!BL9="."),up_dir!AP9/((1/1000)*(up_Irr!AN9)),IF(AND(up_Irr!P9&lt;&gt;".",up_Irr!AN9=".",up_Irr!BL9="."),up_dir!AP9/((1/1000)*(up_Irr!P9)),IF(AND(up_Irr!P9=".",up_Irr!AN9=".",up_Irr!BL9="."),up_dir!AP9*1000)))))))),".")</f>
        <v>7.2351016258567334E-11</v>
      </c>
      <c r="BP9" s="76">
        <f>IFERROR(IF(AND(up_Irr!Q9&lt;&gt;".",up_Irr!AO9&lt;&gt;".",up_Irr!BM9&lt;&gt;"."),up_dir!AQ9/((1/1000)*(up_Irr!Q9+up_Irr!AO9+up_Irr!BM9)),IF(AND(up_Irr!Q9&lt;&gt;".",up_Irr!AO9&lt;&gt;".",up_Irr!BM9="."),up_dir!AQ9/((1/1000)*(up_Irr!Q9+up_Irr!AO9)),IF(AND(up_Irr!Q9&lt;&gt;".",up_Irr!AO9=".",up_Irr!BM9&lt;&gt;"."),up_dir!AQ9/((1/1000)*(up_Irr!Q9+up_Irr!BM9)),IF(AND(up_Irr!Q9=".",up_Irr!AO9&lt;&gt;".",up_Irr!BM9&lt;&gt;"."),up_dir!AQ9/((1/1000)*(up_Irr!AO9+up_Irr!BM9)),IF(AND(up_Irr!Q9=".",up_Irr!AO9=".",up_Irr!BM9&lt;&gt;"."),up_dir!AQ9/((1/1000)*(up_Irr!BM9)),IF(AND(up_Irr!Q9=".",up_Irr!AO9&lt;&gt;".",up_Irr!BM9="."),up_dir!AQ9/((1/1000)*(up_Irr!AO9)),IF(AND(up_Irr!Q9&lt;&gt;".",up_Irr!AO9=".",up_Irr!BM9="."),up_dir!AQ9/((1/1000)*(up_Irr!Q9)),IF(AND(up_Irr!Q9=".",up_Irr!AO9=".",up_Irr!BM9="."),up_dir!AQ9*1000)))))))),".")</f>
        <v>7.2351016258567334E-11</v>
      </c>
      <c r="BQ9" s="76">
        <f>IFERROR(IF(AND(up_Irr!R9&lt;&gt;".",up_Irr!AP9&lt;&gt;".",up_Irr!BN9&lt;&gt;"."),up_dir!AR9/((1/1000)*(up_Irr!R9+up_Irr!AP9+up_Irr!BN9)),IF(AND(up_Irr!R9&lt;&gt;".",up_Irr!AP9&lt;&gt;".",up_Irr!BN9="."),up_dir!AR9/((1/1000)*(up_Irr!R9+up_Irr!AP9)),IF(AND(up_Irr!R9&lt;&gt;".",up_Irr!AP9=".",up_Irr!BN9&lt;&gt;"."),up_dir!AR9/((1/1000)*(up_Irr!R9+up_Irr!BN9)),IF(AND(up_Irr!R9=".",up_Irr!AP9&lt;&gt;".",up_Irr!BN9&lt;&gt;"."),up_dir!AR9/((1/1000)*(up_Irr!AP9+up_Irr!BN9)),IF(AND(up_Irr!R9=".",up_Irr!AP9=".",up_Irr!BN9&lt;&gt;"."),up_dir!AR9/((1/1000)*(up_Irr!BN9)),IF(AND(up_Irr!R9=".",up_Irr!AP9&lt;&gt;".",up_Irr!BN9="."),up_dir!AR9/((1/1000)*(up_Irr!AP9)),IF(AND(up_Irr!R9&lt;&gt;".",up_Irr!AP9=".",up_Irr!BN9="."),up_dir!AR9/((1/1000)*(up_Irr!R9)),IF(AND(up_Irr!R9=".",up_Irr!AP9=".",up_Irr!BN9="."),up_dir!AR9*1000)))))))),".")</f>
        <v>7.2351016258567334E-11</v>
      </c>
      <c r="BR9" s="76">
        <f>IFERROR(IF(AND(up_Irr!S9&lt;&gt;".",up_Irr!AQ9&lt;&gt;".",up_Irr!BO9&lt;&gt;"."),up_dir!AS9/((1/1000)*(up_Irr!S9+up_Irr!AQ9+up_Irr!BO9)),IF(AND(up_Irr!S9&lt;&gt;".",up_Irr!AQ9&lt;&gt;".",up_Irr!BO9="."),up_dir!AS9/((1/1000)*(up_Irr!S9+up_Irr!AQ9)),IF(AND(up_Irr!S9&lt;&gt;".",up_Irr!AQ9=".",up_Irr!BO9&lt;&gt;"."),up_dir!AS9/((1/1000)*(up_Irr!S9+up_Irr!BO9)),IF(AND(up_Irr!S9=".",up_Irr!AQ9&lt;&gt;".",up_Irr!BO9&lt;&gt;"."),up_dir!AS9/((1/1000)*(up_Irr!AQ9+up_Irr!BO9)),IF(AND(up_Irr!S9=".",up_Irr!AQ9=".",up_Irr!BO9&lt;&gt;"."),up_dir!AS9/((1/1000)*(up_Irr!BO9)),IF(AND(up_Irr!S9=".",up_Irr!AQ9&lt;&gt;".",up_Irr!BO9="."),up_dir!AS9/((1/1000)*(up_Irr!AQ9)),IF(AND(up_Irr!S9&lt;&gt;".",up_Irr!AQ9=".",up_Irr!BO9="."),up_dir!AS9/((1/1000)*(up_Irr!S9)),IF(AND(up_Irr!S9=".",up_Irr!AQ9=".",up_Irr!BO9="."),up_dir!AS9*1000)))))))),".")</f>
        <v>7.2351016258567334E-11</v>
      </c>
      <c r="BS9" s="76">
        <f>IFERROR(IF(AND(up_Irr!T9&lt;&gt;".",up_Irr!AR9&lt;&gt;".",up_Irr!BP9&lt;&gt;"."),up_dir!AT9/((1/1000)*(up_Irr!T9+up_Irr!AR9+up_Irr!BP9)),IF(AND(up_Irr!T9&lt;&gt;".",up_Irr!AR9&lt;&gt;".",up_Irr!BP9="."),up_dir!AT9/((1/1000)*(up_Irr!T9+up_Irr!AR9)),IF(AND(up_Irr!T9&lt;&gt;".",up_Irr!AR9=".",up_Irr!BP9&lt;&gt;"."),up_dir!AT9/((1/1000)*(up_Irr!T9+up_Irr!BP9)),IF(AND(up_Irr!T9=".",up_Irr!AR9&lt;&gt;".",up_Irr!BP9&lt;&gt;"."),up_dir!AT9/((1/1000)*(up_Irr!AR9+up_Irr!BP9)),IF(AND(up_Irr!T9=".",up_Irr!AR9=".",up_Irr!BP9&lt;&gt;"."),up_dir!AT9/((1/1000)*(up_Irr!BP9)),IF(AND(up_Irr!T9=".",up_Irr!AR9&lt;&gt;".",up_Irr!BP9="."),up_dir!AT9/((1/1000)*(up_Irr!AR9)),IF(AND(up_Irr!T9&lt;&gt;".",up_Irr!AR9=".",up_Irr!BP9="."),up_dir!AT9/((1/1000)*(up_Irr!T9)),IF(AND(up_Irr!T9=".",up_Irr!AR9=".",up_Irr!BP9="."),up_dir!AT9*1000)))))))),".")</f>
        <v>7.2351016258567334E-11</v>
      </c>
      <c r="BT9" s="76">
        <f>IFERROR(IF(AND(up_Irr!U9&lt;&gt;".",up_Irr!AS9&lt;&gt;".",up_Irr!BQ9&lt;&gt;"."),up_dir!AU9/((1/1000)*(up_Irr!U9+up_Irr!AS9+up_Irr!BQ9)),IF(AND(up_Irr!U9&lt;&gt;".",up_Irr!AS9&lt;&gt;".",up_Irr!BQ9="."),up_dir!AU9/((1/1000)*(up_Irr!U9+up_Irr!AS9)),IF(AND(up_Irr!U9&lt;&gt;".",up_Irr!AS9=".",up_Irr!BQ9&lt;&gt;"."),up_dir!AU9/((1/1000)*(up_Irr!U9+up_Irr!BQ9)),IF(AND(up_Irr!U9=".",up_Irr!AS9&lt;&gt;".",up_Irr!BQ9&lt;&gt;"."),up_dir!AU9/((1/1000)*(up_Irr!AS9+up_Irr!BQ9)),IF(AND(up_Irr!U9=".",up_Irr!AS9=".",up_Irr!BQ9&lt;&gt;"."),up_dir!AU9/((1/1000)*(up_Irr!BQ9)),IF(AND(up_Irr!U9=".",up_Irr!AS9&lt;&gt;".",up_Irr!BQ9="."),up_dir!AU9/((1/1000)*(up_Irr!AS9)),IF(AND(up_Irr!U9&lt;&gt;".",up_Irr!AS9=".",up_Irr!BQ9="."),up_dir!AU9/((1/1000)*(up_Irr!U9)),IF(AND(up_Irr!U9=".",up_Irr!AS9=".",up_Irr!BQ9="."),up_dir!AU9*1000)))))))),".")</f>
        <v>7.2351016258567334E-11</v>
      </c>
      <c r="BU9" s="76">
        <f>IFERROR(IF(AND(up_Irr!V9&lt;&gt;".",up_Irr!AT9&lt;&gt;".",up_Irr!BR9&lt;&gt;"."),up_dir!AV9/((1/1000)*(up_Irr!V9+up_Irr!AT9+up_Irr!BR9)),IF(AND(up_Irr!V9&lt;&gt;".",up_Irr!AT9&lt;&gt;".",up_Irr!BR9="."),up_dir!AV9/((1/1000)*(up_Irr!V9+up_Irr!AT9)),IF(AND(up_Irr!V9&lt;&gt;".",up_Irr!AT9=".",up_Irr!BR9&lt;&gt;"."),up_dir!AV9/((1/1000)*(up_Irr!V9+up_Irr!BR9)),IF(AND(up_Irr!V9=".",up_Irr!AT9&lt;&gt;".",up_Irr!BR9&lt;&gt;"."),up_dir!AV9/((1/1000)*(up_Irr!AT9+up_Irr!BR9)),IF(AND(up_Irr!V9=".",up_Irr!AT9=".",up_Irr!BR9&lt;&gt;"."),up_dir!AV9/((1/1000)*(up_Irr!BR9)),IF(AND(up_Irr!V9=".",up_Irr!AT9&lt;&gt;".",up_Irr!BR9="."),up_dir!AV9/((1/1000)*(up_Irr!AT9)),IF(AND(up_Irr!V9&lt;&gt;".",up_Irr!AT9=".",up_Irr!BR9="."),up_dir!AV9/((1/1000)*(up_Irr!V9)),IF(AND(up_Irr!V9=".",up_Irr!AT9=".",up_Irr!BR9="."),up_dir!AV9*1000)))))))),".")</f>
        <v>7.2351016258567334E-11</v>
      </c>
      <c r="BV9" s="76">
        <f>IFERROR(IF(AND(up_Irr!W9&lt;&gt;".",up_Irr!AU9&lt;&gt;".",up_Irr!BS9&lt;&gt;"."),up_dir!AW9/((1/1000)*(up_Irr!W9+up_Irr!AU9+up_Irr!BS9)),IF(AND(up_Irr!W9&lt;&gt;".",up_Irr!AU9&lt;&gt;".",up_Irr!BS9="."),up_dir!AW9/((1/1000)*(up_Irr!W9+up_Irr!AU9)),IF(AND(up_Irr!W9&lt;&gt;".",up_Irr!AU9=".",up_Irr!BS9&lt;&gt;"."),up_dir!AW9/((1/1000)*(up_Irr!W9+up_Irr!BS9)),IF(AND(up_Irr!W9=".",up_Irr!AU9&lt;&gt;".",up_Irr!BS9&lt;&gt;"."),up_dir!AW9/((1/1000)*(up_Irr!AU9+up_Irr!BS9)),IF(AND(up_Irr!W9=".",up_Irr!AU9=".",up_Irr!BS9&lt;&gt;"."),up_dir!AW9/((1/1000)*(up_Irr!BS9)),IF(AND(up_Irr!W9=".",up_Irr!AU9&lt;&gt;".",up_Irr!BS9="."),up_dir!AW9/((1/1000)*(up_Irr!AU9)),IF(AND(up_Irr!W9&lt;&gt;".",up_Irr!AU9=".",up_Irr!BS9="."),up_dir!AW9/((1/1000)*(up_Irr!W9)),IF(AND(up_Irr!W9=".",up_Irr!AU9=".",up_Irr!BS9="."),up_dir!AW9*1000)))))))),".")</f>
        <v>7.2351016258567334E-11</v>
      </c>
      <c r="BW9" s="76">
        <f>IFERROR(IF(AND(up_Irr!X9&lt;&gt;".",up_Irr!AV9&lt;&gt;".",up_Irr!BT9&lt;&gt;"."),up_dir!AX9/((1/1000)*(up_Irr!X9+up_Irr!AV9+up_Irr!BT9)),IF(AND(up_Irr!X9&lt;&gt;".",up_Irr!AV9&lt;&gt;".",up_Irr!BT9="."),up_dir!AX9/((1/1000)*(up_Irr!X9+up_Irr!AV9)),IF(AND(up_Irr!X9&lt;&gt;".",up_Irr!AV9=".",up_Irr!BT9&lt;&gt;"."),up_dir!AX9/((1/1000)*(up_Irr!X9+up_Irr!BT9)),IF(AND(up_Irr!X9=".",up_Irr!AV9&lt;&gt;".",up_Irr!BT9&lt;&gt;"."),up_dir!AX9/((1/1000)*(up_Irr!AV9+up_Irr!BT9)),IF(AND(up_Irr!X9=".",up_Irr!AV9=".",up_Irr!BT9&lt;&gt;"."),up_dir!AX9/((1/1000)*(up_Irr!BT9)),IF(AND(up_Irr!X9=".",up_Irr!AV9&lt;&gt;".",up_Irr!BT9="."),up_dir!AX9/((1/1000)*(up_Irr!AV9)),IF(AND(up_Irr!X9&lt;&gt;".",up_Irr!AV9=".",up_Irr!BT9="."),up_dir!AX9/((1/1000)*(up_Irr!X9)),IF(AND(up_Irr!X9=".",up_Irr!AV9=".",up_Irr!BT9="."),up_dir!AX9*1000)))))))),".")</f>
        <v>7.2351016258567334E-11</v>
      </c>
      <c r="BX9" s="76">
        <f>IFERROR(IF(AND(up_Irr!Y9&lt;&gt;".",up_Irr!AW9&lt;&gt;".",up_Irr!BU9&lt;&gt;"."),up_dir!AY9/((1/1000)*(up_Irr!Y9+up_Irr!AW9+up_Irr!BU9)),IF(AND(up_Irr!Y9&lt;&gt;".",up_Irr!AW9&lt;&gt;".",up_Irr!BU9="."),up_dir!AY9/((1/1000)*(up_Irr!Y9+up_Irr!AW9)),IF(AND(up_Irr!Y9&lt;&gt;".",up_Irr!AW9=".",up_Irr!BU9&lt;&gt;"."),up_dir!AY9/((1/1000)*(up_Irr!Y9+up_Irr!BU9)),IF(AND(up_Irr!Y9=".",up_Irr!AW9&lt;&gt;".",up_Irr!BU9&lt;&gt;"."),up_dir!AY9/((1/1000)*(up_Irr!AW9+up_Irr!BU9)),IF(AND(up_Irr!Y9=".",up_Irr!AW9=".",up_Irr!BU9&lt;&gt;"."),up_dir!AY9/((1/1000)*(up_Irr!BU9)),IF(AND(up_Irr!Y9=".",up_Irr!AW9&lt;&gt;".",up_Irr!BU9="."),up_dir!AY9/((1/1000)*(up_Irr!AW9)),IF(AND(up_Irr!Y9&lt;&gt;".",up_Irr!AW9=".",up_Irr!BU9="."),up_dir!AY9/((1/1000)*(up_Irr!Y9)),IF(AND(up_Irr!Y9=".",up_Irr!AW9=".",up_Irr!BU9="."),up_dir!AY9*1000)))))))),".")</f>
        <v>7.2351016258567334E-11</v>
      </c>
      <c r="BY9" s="76">
        <f>IFERROR(IF(AND(up_Irr!Z9&lt;&gt;".",up_Irr!AX9&lt;&gt;".",up_Irr!BV9&lt;&gt;"."),up_dir!AZ9/((1/1000)*(up_Irr!Z9+up_Irr!AX9+up_Irr!BV9)),IF(AND(up_Irr!Z9&lt;&gt;".",up_Irr!AX9&lt;&gt;".",up_Irr!BV9="."),up_dir!AZ9/((1/1000)*(up_Irr!Z9+up_Irr!AX9)),IF(AND(up_Irr!Z9&lt;&gt;".",up_Irr!AX9=".",up_Irr!BV9&lt;&gt;"."),up_dir!AZ9/((1/1000)*(up_Irr!Z9+up_Irr!BV9)),IF(AND(up_Irr!Z9=".",up_Irr!AX9&lt;&gt;".",up_Irr!BV9&lt;&gt;"."),up_dir!AZ9/((1/1000)*(up_Irr!AX9+up_Irr!BV9)),IF(AND(up_Irr!Z9=".",up_Irr!AX9=".",up_Irr!BV9&lt;&gt;"."),up_dir!AZ9/((1/1000)*(up_Irr!BV9)),IF(AND(up_Irr!Z9=".",up_Irr!AX9&lt;&gt;".",up_Irr!BV9="."),up_dir!AZ9/((1/1000)*(up_Irr!AX9)),IF(AND(up_Irr!Z9&lt;&gt;".",up_Irr!AX9=".",up_Irr!BV9="."),up_dir!AZ9/((1/1000)*(up_Irr!Z9)),IF(AND(up_Irr!Z9=".",up_Irr!AX9=".",up_Irr!BV9="."),up_dir!AZ9*1000)))))))),".")</f>
        <v>7.2351016258567334E-11</v>
      </c>
      <c r="BZ9" s="93">
        <f t="shared" si="6"/>
        <v>55286.023705663516</v>
      </c>
      <c r="CA9" s="93">
        <f>IFERROR(s_C*s_IFAP_far_adj*s_CF_apple*(1/1000)*(up_Irr!C9+up_Irr!AA9+up_Irr!AY9),".")</f>
        <v>13821.505926415879</v>
      </c>
      <c r="CB9" s="93">
        <f>IFERROR(s_C*s_IFAS_far_adj*s_CF_asparagus*(1/1000)*(up_Irr!D9+up_Irr!AB9+up_Irr!AZ9),".")</f>
        <v>13821.505926415879</v>
      </c>
      <c r="CC9" s="93">
        <f>IFERROR(s_C*s_IFBT_far_adj*s_CF_beet*(1/1000)*(up_Irr!E9+up_Irr!AC9+up_Irr!BA9),".")</f>
        <v>13821.505926415879</v>
      </c>
      <c r="CD9" s="93">
        <f>IFERROR(s_C*s_IFBE_far_adj*s_CF_berries*(1/1000)*(up_Irr!F9+up_Irr!AD9+up_Irr!BB9),".")</f>
        <v>13821.505926415879</v>
      </c>
      <c r="CE9" s="93">
        <f>IFERROR(s_C*s_IFBR_far_adj*s_CF_broccoli*(1/1000)*(up_Irr!G9+up_Irr!AE9+up_Irr!BC9),".")</f>
        <v>13821.505926415879</v>
      </c>
      <c r="CF9" s="93">
        <f>IFERROR(s_C*s_IFCB_far_adj*s_CF_cabbage*(1/1000)*(up_Irr!H9+up_Irr!AF9+up_Irr!BD9),".")</f>
        <v>13821.505926415879</v>
      </c>
      <c r="CG9" s="93">
        <f>IFERROR(s_C*s_IFCR_far_adj*s_CF_carrot*(1/1000)*(up_Irr!I9+up_Irr!AG9+up_Irr!BE9),".")</f>
        <v>13821.505926415879</v>
      </c>
      <c r="CH9" s="93">
        <f>IFERROR(s_C*s_IFCI_far_adj*s_CF_citrus*(1/1000)*(up_Irr!J9+up_Irr!AH9+up_Irr!BF9),".")</f>
        <v>13821.505926415879</v>
      </c>
      <c r="CI9" s="93">
        <f>IFERROR(s_C*s_IFCO_far_adj*s_CF_corn*(1/1000)*(up_Irr!K9+up_Irr!AI9+up_Irr!BG9),".")</f>
        <v>13821.505926415879</v>
      </c>
      <c r="CJ9" s="93">
        <f>IFERROR(s_C*s_IFCU_far_adj*s_CF_cucumber*(1/1000)*(up_Irr!L9+up_Irr!AJ9+up_Irr!BH9),".")</f>
        <v>13821.505926415879</v>
      </c>
      <c r="CK9" s="93">
        <f>IFERROR(s_C*s_IFLE_far_adj*s_CF_lettuce*(1/1000)*(up_Irr!M9+up_Irr!AK9+up_Irr!BI9),".")</f>
        <v>13821.505926415879</v>
      </c>
      <c r="CL9" s="93">
        <f>IFERROR(s_C*s_IFLI_far_adj*s_CF_lima_bean*(1/1000)*(up_Irr!N9+up_Irr!AL9+up_Irr!BJ9),".")</f>
        <v>13821.505926415879</v>
      </c>
      <c r="CM9" s="93">
        <f>IFERROR(s_C*s_IFOK_far_adj*s_CF_okra*(1/1000)*(up_Irr!O9+up_Irr!AM9+up_Irr!BK9),".")</f>
        <v>13821.505926415879</v>
      </c>
      <c r="CN9" s="93">
        <f>IFERROR(s_C*s_IFON_far_adj*s_CF_onion*(1/1000)*(up_Irr!P9+up_Irr!AN9+up_Irr!BL9),".")</f>
        <v>13821.505926415879</v>
      </c>
      <c r="CO9" s="93">
        <f>IFERROR(s_C*s_IFPC_far_adj*s_CF_peach*(1/1000)*(up_Irr!Q9+up_Irr!AO9+up_Irr!BM9),".")</f>
        <v>13821.505926415879</v>
      </c>
      <c r="CP9" s="93">
        <f>IFERROR(s_C*s_IFPR_far_adj*s_CF_pear*(1/1000)*(up_Irr!R9+up_Irr!AP9+up_Irr!BN9),".")</f>
        <v>13821.505926415879</v>
      </c>
      <c r="CQ9" s="93">
        <f>IFERROR(s_C*s_IFPE_far_adj*s_CF_peas*(1/1000)*(up_Irr!S9+up_Irr!AQ9+up_Irr!BO9),".")</f>
        <v>13821.505926415879</v>
      </c>
      <c r="CR9" s="93">
        <f>IFERROR(s_C*s_IFPT_far_adj*s_CF_potato*(1/1000)*(up_Irr!T9+up_Irr!AR9+up_Irr!BP9),".")</f>
        <v>13821.505926415879</v>
      </c>
      <c r="CS9" s="93">
        <f>IFERROR(s_C*s_IFPU_far_adj*s_CF_pumpkin*(1/1000)*(up_Irr!U9+up_Irr!AS9+up_Irr!BQ9),".")</f>
        <v>13821.505926415879</v>
      </c>
      <c r="CT9" s="93">
        <f>IFERROR(s_C*s_IFSN_far_adj*s_CF_snap_bean*(1/1000)*(up_Irr!V9+up_Irr!AT9+up_Irr!BR9),".")</f>
        <v>13821.505926415879</v>
      </c>
      <c r="CU9" s="93">
        <f>IFERROR(s_C*s_IFST_far_adj*s_CF_strawberry*(1/1000)*(up_Irr!W9+up_Irr!AU9+up_Irr!BS9),".")</f>
        <v>13821.505926415879</v>
      </c>
      <c r="CV9" s="93">
        <f>IFERROR(s_C*s_IFTO_far_adj*s_CF_tomato*(1/1000)*(up_Irr!X9+up_Irr!AV9+up_Irr!BT9),".")</f>
        <v>13821.505926415879</v>
      </c>
      <c r="CW9" s="93">
        <f>IFERROR(s_C*s_IFRI_far_adj*s_CF_rice*(1/1000)*(up_Irr!Y9+up_Irr!AW9+up_Irr!BU9),".")</f>
        <v>13821.505926415879</v>
      </c>
      <c r="CX9" s="93">
        <f>IFERROR(s_C*s_IFCG_far_adj*s_CF_cereal*(1/1000)*(up_Irr!Z9+up_Irr!AX9+up_Irr!BV9),".")</f>
        <v>13821.505926415879</v>
      </c>
    </row>
    <row r="10" spans="1:102" x14ac:dyDescent="0.25">
      <c r="A10" s="94" t="s">
        <v>20</v>
      </c>
      <c r="B10" s="90" t="s">
        <v>351</v>
      </c>
      <c r="C10" s="76">
        <f t="shared" si="0"/>
        <v>1.8087754064641833E-11</v>
      </c>
      <c r="D10" s="76">
        <f>IFERROR(IF(AND(up_Irr!C10&lt;&gt;".",up_Irr!AA10&lt;&gt;".",up_Irr!AY10&lt;&gt;"."),up_dir!D10/((1/1000)*(up_Irr!C10+up_Irr!AA10+up_Irr!AY10)),IF(AND(up_Irr!C10&lt;&gt;".",up_Irr!AA10&lt;&gt;".",up_Irr!AY10="."),up_dir!D10/((1/1000)*(up_Irr!C10+up_Irr!AA10)),IF(AND(up_Irr!C10&lt;&gt;".",up_Irr!AA10=".",up_Irr!AY10&lt;&gt;"."),up_dir!D10/((1/1000)*(up_Irr!C10+up_Irr!AY10)),IF(AND(up_Irr!C10=".",up_Irr!AA10&lt;&gt;".",up_Irr!AY10&lt;&gt;"."),up_dir!D10/((1/1000)*(up_Irr!AA10+up_Irr!AY10)),IF(AND(up_Irr!C10=".",up_Irr!AA10=".",up_Irr!AY10&lt;&gt;"."),up_dir!D10/((1/1000)*(up_Irr!AY10)),IF(AND(up_Irr!C10=".",up_Irr!AA10&lt;&gt;".",up_Irr!AY10="."),up_dir!D10/((1/1000)*(up_Irr!AA10)),IF(AND(up_Irr!C10&lt;&gt;".",up_Irr!AA10=".",up_Irr!AY10="."),up_dir!D10/((1/1000)*(up_Irr!C10)),IF(AND(up_Irr!C10=".",up_Irr!AA10=".",up_Irr!AY10="."),up_dir!D10*1000)))))))),".")</f>
        <v>7.2351016258567334E-11</v>
      </c>
      <c r="E10" s="76">
        <f>IFERROR(IF(AND(up_Irr!D10&lt;&gt;".",up_Irr!AB10&lt;&gt;".",up_Irr!AZ10&lt;&gt;"."),up_dir!E10/((1/1000)*(up_Irr!D10+up_Irr!AB10+up_Irr!AZ10)),IF(AND(up_Irr!D10&lt;&gt;".",up_Irr!AB10&lt;&gt;".",up_Irr!AZ10="."),up_dir!E10/((1/1000)*(up_Irr!D10+up_Irr!AB10)),IF(AND(up_Irr!D10&lt;&gt;".",up_Irr!AB10=".",up_Irr!AZ10&lt;&gt;"."),up_dir!E10/((1/1000)*(up_Irr!D10+up_Irr!AZ10)),IF(AND(up_Irr!D10=".",up_Irr!AB10&lt;&gt;".",up_Irr!AZ10&lt;&gt;"."),up_dir!E10/((1/1000)*(up_Irr!AB10+up_Irr!AZ10)),IF(AND(up_Irr!D10=".",up_Irr!AB10=".",up_Irr!AZ10&lt;&gt;"."),up_dir!E10/((1/1000)*(up_Irr!AZ10)),IF(AND(up_Irr!D10=".",up_Irr!AB10&lt;&gt;".",up_Irr!AZ10="."),up_dir!E10/((1/1000)*(up_Irr!AB10)),IF(AND(up_Irr!D10&lt;&gt;".",up_Irr!AB10=".",up_Irr!AZ10="."),up_dir!E10/((1/1000)*(up_Irr!D10)),IF(AND(up_Irr!D10=".",up_Irr!AB10=".",up_Irr!AZ10="."),up_dir!E10*1000)))))))),".")</f>
        <v>7.2351016258567334E-11</v>
      </c>
      <c r="F10" s="76">
        <f>IFERROR(IF(AND(up_Irr!E10&lt;&gt;".",up_Irr!AC10&lt;&gt;".",up_Irr!BA10&lt;&gt;"."),up_dir!F10/((1/1000)*(up_Irr!E10+up_Irr!AC10+up_Irr!BA10)),IF(AND(up_Irr!E10&lt;&gt;".",up_Irr!AC10&lt;&gt;".",up_Irr!BA10="."),up_dir!F10/((1/1000)*(up_Irr!E10+up_Irr!AC10)),IF(AND(up_Irr!E10&lt;&gt;".",up_Irr!AC10=".",up_Irr!BA10&lt;&gt;"."),up_dir!F10/((1/1000)*(up_Irr!E10+up_Irr!BA10)),IF(AND(up_Irr!E10=".",up_Irr!AC10&lt;&gt;".",up_Irr!BA10&lt;&gt;"."),up_dir!F10/((1/1000)*(up_Irr!AC10+up_Irr!BA10)),IF(AND(up_Irr!E10=".",up_Irr!AC10=".",up_Irr!BA10&lt;&gt;"."),up_dir!F10/((1/1000)*(up_Irr!BA10)),IF(AND(up_Irr!E10=".",up_Irr!AC10&lt;&gt;".",up_Irr!BA10="."),up_dir!F10/((1/1000)*(up_Irr!AC10)),IF(AND(up_Irr!E10&lt;&gt;".",up_Irr!AC10=".",up_Irr!BA10="."),up_dir!F10/((1/1000)*(up_Irr!E10)),IF(AND(up_Irr!E10=".",up_Irr!AC10=".",up_Irr!BA10="."),up_dir!F10*1000)))))))),".")</f>
        <v>7.2351016258567334E-11</v>
      </c>
      <c r="G10" s="76">
        <f>IFERROR(IF(AND(up_Irr!F10&lt;&gt;".",up_Irr!AD10&lt;&gt;".",up_Irr!BB10&lt;&gt;"."),up_dir!G10/((1/1000)*(up_Irr!F10+up_Irr!AD10+up_Irr!BB10)),IF(AND(up_Irr!F10&lt;&gt;".",up_Irr!AD10&lt;&gt;".",up_Irr!BB10="."),up_dir!G10/((1/1000)*(up_Irr!F10+up_Irr!AD10)),IF(AND(up_Irr!F10&lt;&gt;".",up_Irr!AD10=".",up_Irr!BB10&lt;&gt;"."),up_dir!G10/((1/1000)*(up_Irr!F10+up_Irr!BB10)),IF(AND(up_Irr!F10=".",up_Irr!AD10&lt;&gt;".",up_Irr!BB10&lt;&gt;"."),up_dir!G10/((1/1000)*(up_Irr!AD10+up_Irr!BB10)),IF(AND(up_Irr!F10=".",up_Irr!AD10=".",up_Irr!BB10&lt;&gt;"."),up_dir!G10/((1/1000)*(up_Irr!BB10)),IF(AND(up_Irr!F10=".",up_Irr!AD10&lt;&gt;".",up_Irr!BB10="."),up_dir!G10/((1/1000)*(up_Irr!AD10)),IF(AND(up_Irr!F10&lt;&gt;".",up_Irr!AD10=".",up_Irr!BB10="."),up_dir!G10/((1/1000)*(up_Irr!F10)),IF(AND(up_Irr!F10=".",up_Irr!AD10=".",up_Irr!BB10="."),up_dir!G10*1000)))))))),".")</f>
        <v>7.2351016258567334E-11</v>
      </c>
      <c r="H10" s="76">
        <f>IFERROR(IF(AND(up_Irr!G10&lt;&gt;".",up_Irr!AE10&lt;&gt;".",up_Irr!BC10&lt;&gt;"."),up_dir!H10/((1/1000)*(up_Irr!G10+up_Irr!AE10+up_Irr!BC10)),IF(AND(up_Irr!G10&lt;&gt;".",up_Irr!AE10&lt;&gt;".",up_Irr!BC10="."),up_dir!H10/((1/1000)*(up_Irr!G10+up_Irr!AE10)),IF(AND(up_Irr!G10&lt;&gt;".",up_Irr!AE10=".",up_Irr!BC10&lt;&gt;"."),up_dir!H10/((1/1000)*(up_Irr!G10+up_Irr!BC10)),IF(AND(up_Irr!G10=".",up_Irr!AE10&lt;&gt;".",up_Irr!BC10&lt;&gt;"."),up_dir!H10/((1/1000)*(up_Irr!AE10+up_Irr!BC10)),IF(AND(up_Irr!G10=".",up_Irr!AE10=".",up_Irr!BC10&lt;&gt;"."),up_dir!H10/((1/1000)*(up_Irr!BC10)),IF(AND(up_Irr!G10=".",up_Irr!AE10&lt;&gt;".",up_Irr!BC10="."),up_dir!H10/((1/1000)*(up_Irr!AE10)),IF(AND(up_Irr!G10&lt;&gt;".",up_Irr!AE10=".",up_Irr!BC10="."),up_dir!H10/((1/1000)*(up_Irr!G10)),IF(AND(up_Irr!G10=".",up_Irr!AE10=".",up_Irr!BC10="."),up_dir!H10*1000)))))))),".")</f>
        <v>7.2351016258567334E-11</v>
      </c>
      <c r="I10" s="76">
        <f>IFERROR(IF(AND(up_Irr!H10&lt;&gt;".",up_Irr!AF10&lt;&gt;".",up_Irr!BD10&lt;&gt;"."),up_dir!I10/((1/1000)*(up_Irr!H10+up_Irr!AF10+up_Irr!BD10)),IF(AND(up_Irr!H10&lt;&gt;".",up_Irr!AF10&lt;&gt;".",up_Irr!BD10="."),up_dir!I10/((1/1000)*(up_Irr!H10+up_Irr!AF10)),IF(AND(up_Irr!H10&lt;&gt;".",up_Irr!AF10=".",up_Irr!BD10&lt;&gt;"."),up_dir!I10/((1/1000)*(up_Irr!H10+up_Irr!BD10)),IF(AND(up_Irr!H10=".",up_Irr!AF10&lt;&gt;".",up_Irr!BD10&lt;&gt;"."),up_dir!I10/((1/1000)*(up_Irr!AF10+up_Irr!BD10)),IF(AND(up_Irr!H10=".",up_Irr!AF10=".",up_Irr!BD10&lt;&gt;"."),up_dir!I10/((1/1000)*(up_Irr!BD10)),IF(AND(up_Irr!H10=".",up_Irr!AF10&lt;&gt;".",up_Irr!BD10="."),up_dir!I10/((1/1000)*(up_Irr!AF10)),IF(AND(up_Irr!H10&lt;&gt;".",up_Irr!AF10=".",up_Irr!BD10="."),up_dir!I10/((1/1000)*(up_Irr!H10)),IF(AND(up_Irr!H10=".",up_Irr!AF10=".",up_Irr!BD10="."),up_dir!I10*1000)))))))),".")</f>
        <v>7.2351016258567334E-11</v>
      </c>
      <c r="J10" s="76">
        <f>IFERROR(IF(AND(up_Irr!I10&lt;&gt;".",up_Irr!AG10&lt;&gt;".",up_Irr!BE10&lt;&gt;"."),up_dir!J10/((1/1000)*(up_Irr!I10+up_Irr!AG10+up_Irr!BE10)),IF(AND(up_Irr!I10&lt;&gt;".",up_Irr!AG10&lt;&gt;".",up_Irr!BE10="."),up_dir!J10/((1/1000)*(up_Irr!I10+up_Irr!AG10)),IF(AND(up_Irr!I10&lt;&gt;".",up_Irr!AG10=".",up_Irr!BE10&lt;&gt;"."),up_dir!J10/((1/1000)*(up_Irr!I10+up_Irr!BE10)),IF(AND(up_Irr!I10=".",up_Irr!AG10&lt;&gt;".",up_Irr!BE10&lt;&gt;"."),up_dir!J10/((1/1000)*(up_Irr!AG10+up_Irr!BE10)),IF(AND(up_Irr!I10=".",up_Irr!AG10=".",up_Irr!BE10&lt;&gt;"."),up_dir!J10/((1/1000)*(up_Irr!BE10)),IF(AND(up_Irr!I10=".",up_Irr!AG10&lt;&gt;".",up_Irr!BE10="."),up_dir!J10/((1/1000)*(up_Irr!AG10)),IF(AND(up_Irr!I10&lt;&gt;".",up_Irr!AG10=".",up_Irr!BE10="."),up_dir!J10/((1/1000)*(up_Irr!I10)),IF(AND(up_Irr!I10=".",up_Irr!AG10=".",up_Irr!BE10="."),up_dir!J10*1000)))))))),".")</f>
        <v>7.2351016258567334E-11</v>
      </c>
      <c r="K10" s="76">
        <f>IFERROR(IF(AND(up_Irr!J10&lt;&gt;".",up_Irr!AH10&lt;&gt;".",up_Irr!BF10&lt;&gt;"."),up_dir!K10/((1/1000)*(up_Irr!J10+up_Irr!AH10+up_Irr!BF10)),IF(AND(up_Irr!J10&lt;&gt;".",up_Irr!AH10&lt;&gt;".",up_Irr!BF10="."),up_dir!K10/((1/1000)*(up_Irr!J10+up_Irr!AH10)),IF(AND(up_Irr!J10&lt;&gt;".",up_Irr!AH10=".",up_Irr!BF10&lt;&gt;"."),up_dir!K10/((1/1000)*(up_Irr!J10+up_Irr!BF10)),IF(AND(up_Irr!J10=".",up_Irr!AH10&lt;&gt;".",up_Irr!BF10&lt;&gt;"."),up_dir!K10/((1/1000)*(up_Irr!AH10+up_Irr!BF10)),IF(AND(up_Irr!J10=".",up_Irr!AH10=".",up_Irr!BF10&lt;&gt;"."),up_dir!K10/((1/1000)*(up_Irr!BF10)),IF(AND(up_Irr!J10=".",up_Irr!AH10&lt;&gt;".",up_Irr!BF10="."),up_dir!K10/((1/1000)*(up_Irr!AH10)),IF(AND(up_Irr!J10&lt;&gt;".",up_Irr!AH10=".",up_Irr!BF10="."),up_dir!K10/((1/1000)*(up_Irr!J10)),IF(AND(up_Irr!J10=".",up_Irr!AH10=".",up_Irr!BF10="."),up_dir!K10*1000)))))))),".")</f>
        <v>7.2351016258567334E-11</v>
      </c>
      <c r="L10" s="76">
        <f>IFERROR(IF(AND(up_Irr!K10&lt;&gt;".",up_Irr!AI10&lt;&gt;".",up_Irr!BG10&lt;&gt;"."),up_dir!L10/((1/1000)*(up_Irr!K10+up_Irr!AI10+up_Irr!BG10)),IF(AND(up_Irr!K10&lt;&gt;".",up_Irr!AI10&lt;&gt;".",up_Irr!BG10="."),up_dir!L10/((1/1000)*(up_Irr!K10+up_Irr!AI10)),IF(AND(up_Irr!K10&lt;&gt;".",up_Irr!AI10=".",up_Irr!BG10&lt;&gt;"."),up_dir!L10/((1/1000)*(up_Irr!K10+up_Irr!BG10)),IF(AND(up_Irr!K10=".",up_Irr!AI10&lt;&gt;".",up_Irr!BG10&lt;&gt;"."),up_dir!L10/((1/1000)*(up_Irr!AI10+up_Irr!BG10)),IF(AND(up_Irr!K10=".",up_Irr!AI10=".",up_Irr!BG10&lt;&gt;"."),up_dir!L10/((1/1000)*(up_Irr!BG10)),IF(AND(up_Irr!K10=".",up_Irr!AI10&lt;&gt;".",up_Irr!BG10="."),up_dir!L10/((1/1000)*(up_Irr!AI10)),IF(AND(up_Irr!K10&lt;&gt;".",up_Irr!AI10=".",up_Irr!BG10="."),up_dir!L10/((1/1000)*(up_Irr!K10)),IF(AND(up_Irr!K10=".",up_Irr!AI10=".",up_Irr!BG10="."),up_dir!L10*1000)))))))),".")</f>
        <v>7.2351016258567334E-11</v>
      </c>
      <c r="M10" s="76">
        <f>IFERROR(IF(AND(up_Irr!L10&lt;&gt;".",up_Irr!AJ10&lt;&gt;".",up_Irr!BH10&lt;&gt;"."),up_dir!M10/((1/1000)*(up_Irr!L10+up_Irr!AJ10+up_Irr!BH10)),IF(AND(up_Irr!L10&lt;&gt;".",up_Irr!AJ10&lt;&gt;".",up_Irr!BH10="."),up_dir!M10/((1/1000)*(up_Irr!L10+up_Irr!AJ10)),IF(AND(up_Irr!L10&lt;&gt;".",up_Irr!AJ10=".",up_Irr!BH10&lt;&gt;"."),up_dir!M10/((1/1000)*(up_Irr!L10+up_Irr!BH10)),IF(AND(up_Irr!L10=".",up_Irr!AJ10&lt;&gt;".",up_Irr!BH10&lt;&gt;"."),up_dir!M10/((1/1000)*(up_Irr!AJ10+up_Irr!BH10)),IF(AND(up_Irr!L10=".",up_Irr!AJ10=".",up_Irr!BH10&lt;&gt;"."),up_dir!M10/((1/1000)*(up_Irr!BH10)),IF(AND(up_Irr!L10=".",up_Irr!AJ10&lt;&gt;".",up_Irr!BH10="."),up_dir!M10/((1/1000)*(up_Irr!AJ10)),IF(AND(up_Irr!L10&lt;&gt;".",up_Irr!AJ10=".",up_Irr!BH10="."),up_dir!M10/((1/1000)*(up_Irr!L10)),IF(AND(up_Irr!L10=".",up_Irr!AJ10=".",up_Irr!BH10="."),up_dir!M10*1000)))))))),".")</f>
        <v>7.2351016258567334E-11</v>
      </c>
      <c r="N10" s="76">
        <f>IFERROR(IF(AND(up_Irr!M10&lt;&gt;".",up_Irr!AK10&lt;&gt;".",up_Irr!BI10&lt;&gt;"."),up_dir!N10/((1/1000)*(up_Irr!M10+up_Irr!AK10+up_Irr!BI10)),IF(AND(up_Irr!M10&lt;&gt;".",up_Irr!AK10&lt;&gt;".",up_Irr!BI10="."),up_dir!N10/((1/1000)*(up_Irr!M10+up_Irr!AK10)),IF(AND(up_Irr!M10&lt;&gt;".",up_Irr!AK10=".",up_Irr!BI10&lt;&gt;"."),up_dir!N10/((1/1000)*(up_Irr!M10+up_Irr!BI10)),IF(AND(up_Irr!M10=".",up_Irr!AK10&lt;&gt;".",up_Irr!BI10&lt;&gt;"."),up_dir!N10/((1/1000)*(up_Irr!AK10+up_Irr!BI10)),IF(AND(up_Irr!M10=".",up_Irr!AK10=".",up_Irr!BI10&lt;&gt;"."),up_dir!N10/((1/1000)*(up_Irr!BI10)),IF(AND(up_Irr!M10=".",up_Irr!AK10&lt;&gt;".",up_Irr!BI10="."),up_dir!N10/((1/1000)*(up_Irr!AK10)),IF(AND(up_Irr!M10&lt;&gt;".",up_Irr!AK10=".",up_Irr!BI10="."),up_dir!N10/((1/1000)*(up_Irr!M10)),IF(AND(up_Irr!M10=".",up_Irr!AK10=".",up_Irr!BI10="."),up_dir!N10*1000)))))))),".")</f>
        <v>7.2351016258567334E-11</v>
      </c>
      <c r="O10" s="76">
        <f>IFERROR(IF(AND(up_Irr!N10&lt;&gt;".",up_Irr!AL10&lt;&gt;".",up_Irr!BJ10&lt;&gt;"."),up_dir!O10/((1/1000)*(up_Irr!N10+up_Irr!AL10+up_Irr!BJ10)),IF(AND(up_Irr!N10&lt;&gt;".",up_Irr!AL10&lt;&gt;".",up_Irr!BJ10="."),up_dir!O10/((1/1000)*(up_Irr!N10+up_Irr!AL10)),IF(AND(up_Irr!N10&lt;&gt;".",up_Irr!AL10=".",up_Irr!BJ10&lt;&gt;"."),up_dir!O10/((1/1000)*(up_Irr!N10+up_Irr!BJ10)),IF(AND(up_Irr!N10=".",up_Irr!AL10&lt;&gt;".",up_Irr!BJ10&lt;&gt;"."),up_dir!O10/((1/1000)*(up_Irr!AL10+up_Irr!BJ10)),IF(AND(up_Irr!N10=".",up_Irr!AL10=".",up_Irr!BJ10&lt;&gt;"."),up_dir!O10/((1/1000)*(up_Irr!BJ10)),IF(AND(up_Irr!N10=".",up_Irr!AL10&lt;&gt;".",up_Irr!BJ10="."),up_dir!O10/((1/1000)*(up_Irr!AL10)),IF(AND(up_Irr!N10&lt;&gt;".",up_Irr!AL10=".",up_Irr!BJ10="."),up_dir!O10/((1/1000)*(up_Irr!N10)),IF(AND(up_Irr!N10=".",up_Irr!AL10=".",up_Irr!BJ10="."),up_dir!O10*1000)))))))),".")</f>
        <v>7.2351016258567334E-11</v>
      </c>
      <c r="P10" s="76">
        <f>IFERROR(IF(AND(up_Irr!O10&lt;&gt;".",up_Irr!AM10&lt;&gt;".",up_Irr!BK10&lt;&gt;"."),up_dir!P10/((1/1000)*(up_Irr!O10+up_Irr!AM10+up_Irr!BK10)),IF(AND(up_Irr!O10&lt;&gt;".",up_Irr!AM10&lt;&gt;".",up_Irr!BK10="."),up_dir!P10/((1/1000)*(up_Irr!O10+up_Irr!AM10)),IF(AND(up_Irr!O10&lt;&gt;".",up_Irr!AM10=".",up_Irr!BK10&lt;&gt;"."),up_dir!P10/((1/1000)*(up_Irr!O10+up_Irr!BK10)),IF(AND(up_Irr!O10=".",up_Irr!AM10&lt;&gt;".",up_Irr!BK10&lt;&gt;"."),up_dir!P10/((1/1000)*(up_Irr!AM10+up_Irr!BK10)),IF(AND(up_Irr!O10=".",up_Irr!AM10=".",up_Irr!BK10&lt;&gt;"."),up_dir!P10/((1/1000)*(up_Irr!BK10)),IF(AND(up_Irr!O10=".",up_Irr!AM10&lt;&gt;".",up_Irr!BK10="."),up_dir!P10/((1/1000)*(up_Irr!AM10)),IF(AND(up_Irr!O10&lt;&gt;".",up_Irr!AM10=".",up_Irr!BK10="."),up_dir!P10/((1/1000)*(up_Irr!O10)),IF(AND(up_Irr!O10=".",up_Irr!AM10=".",up_Irr!BK10="."),up_dir!P10*1000)))))))),".")</f>
        <v>7.2351016258567334E-11</v>
      </c>
      <c r="Q10" s="76">
        <f>IFERROR(IF(AND(up_Irr!P10&lt;&gt;".",up_Irr!AN10&lt;&gt;".",up_Irr!BL10&lt;&gt;"."),up_dir!Q10/((1/1000)*(up_Irr!P10+up_Irr!AN10+up_Irr!BL10)),IF(AND(up_Irr!P10&lt;&gt;".",up_Irr!AN10&lt;&gt;".",up_Irr!BL10="."),up_dir!Q10/((1/1000)*(up_Irr!P10+up_Irr!AN10)),IF(AND(up_Irr!P10&lt;&gt;".",up_Irr!AN10=".",up_Irr!BL10&lt;&gt;"."),up_dir!Q10/((1/1000)*(up_Irr!P10+up_Irr!BL10)),IF(AND(up_Irr!P10=".",up_Irr!AN10&lt;&gt;".",up_Irr!BL10&lt;&gt;"."),up_dir!Q10/((1/1000)*(up_Irr!AN10+up_Irr!BL10)),IF(AND(up_Irr!P10=".",up_Irr!AN10=".",up_Irr!BL10&lt;&gt;"."),up_dir!Q10/((1/1000)*(up_Irr!BL10)),IF(AND(up_Irr!P10=".",up_Irr!AN10&lt;&gt;".",up_Irr!BL10="."),up_dir!Q10/((1/1000)*(up_Irr!AN10)),IF(AND(up_Irr!P10&lt;&gt;".",up_Irr!AN10=".",up_Irr!BL10="."),up_dir!Q10/((1/1000)*(up_Irr!P10)),IF(AND(up_Irr!P10=".",up_Irr!AN10=".",up_Irr!BL10="."),up_dir!Q10*1000)))))))),".")</f>
        <v>7.2351016258567334E-11</v>
      </c>
      <c r="R10" s="76">
        <f>IFERROR(IF(AND(up_Irr!Q10&lt;&gt;".",up_Irr!AO10&lt;&gt;".",up_Irr!BM10&lt;&gt;"."),up_dir!R10/((1/1000)*(up_Irr!Q10+up_Irr!AO10+up_Irr!BM10)),IF(AND(up_Irr!Q10&lt;&gt;".",up_Irr!AO10&lt;&gt;".",up_Irr!BM10="."),up_dir!R10/((1/1000)*(up_Irr!Q10+up_Irr!AO10)),IF(AND(up_Irr!Q10&lt;&gt;".",up_Irr!AO10=".",up_Irr!BM10&lt;&gt;"."),up_dir!R10/((1/1000)*(up_Irr!Q10+up_Irr!BM10)),IF(AND(up_Irr!Q10=".",up_Irr!AO10&lt;&gt;".",up_Irr!BM10&lt;&gt;"."),up_dir!R10/((1/1000)*(up_Irr!AO10+up_Irr!BM10)),IF(AND(up_Irr!Q10=".",up_Irr!AO10=".",up_Irr!BM10&lt;&gt;"."),up_dir!R10/((1/1000)*(up_Irr!BM10)),IF(AND(up_Irr!Q10=".",up_Irr!AO10&lt;&gt;".",up_Irr!BM10="."),up_dir!R10/((1/1000)*(up_Irr!AO10)),IF(AND(up_Irr!Q10&lt;&gt;".",up_Irr!AO10=".",up_Irr!BM10="."),up_dir!R10/((1/1000)*(up_Irr!Q10)),IF(AND(up_Irr!Q10=".",up_Irr!AO10=".",up_Irr!BM10="."),up_dir!R10*1000)))))))),".")</f>
        <v>7.2351016258567334E-11</v>
      </c>
      <c r="S10" s="76">
        <f>IFERROR(IF(AND(up_Irr!R10&lt;&gt;".",up_Irr!AP10&lt;&gt;".",up_Irr!BN10&lt;&gt;"."),up_dir!S10/((1/1000)*(up_Irr!R10+up_Irr!AP10+up_Irr!BN10)),IF(AND(up_Irr!R10&lt;&gt;".",up_Irr!AP10&lt;&gt;".",up_Irr!BN10="."),up_dir!S10/((1/1000)*(up_Irr!R10+up_Irr!AP10)),IF(AND(up_Irr!R10&lt;&gt;".",up_Irr!AP10=".",up_Irr!BN10&lt;&gt;"."),up_dir!S10/((1/1000)*(up_Irr!R10+up_Irr!BN10)),IF(AND(up_Irr!R10=".",up_Irr!AP10&lt;&gt;".",up_Irr!BN10&lt;&gt;"."),up_dir!S10/((1/1000)*(up_Irr!AP10+up_Irr!BN10)),IF(AND(up_Irr!R10=".",up_Irr!AP10=".",up_Irr!BN10&lt;&gt;"."),up_dir!S10/((1/1000)*(up_Irr!BN10)),IF(AND(up_Irr!R10=".",up_Irr!AP10&lt;&gt;".",up_Irr!BN10="."),up_dir!S10/((1/1000)*(up_Irr!AP10)),IF(AND(up_Irr!R10&lt;&gt;".",up_Irr!AP10=".",up_Irr!BN10="."),up_dir!S10/((1/1000)*(up_Irr!R10)),IF(AND(up_Irr!R10=".",up_Irr!AP10=".",up_Irr!BN10="."),up_dir!S10*1000)))))))),".")</f>
        <v>7.2351016258567334E-11</v>
      </c>
      <c r="T10" s="76">
        <f>IFERROR(IF(AND(up_Irr!S10&lt;&gt;".",up_Irr!AQ10&lt;&gt;".",up_Irr!BO10&lt;&gt;"."),up_dir!T10/((1/1000)*(up_Irr!S10+up_Irr!AQ10+up_Irr!BO10)),IF(AND(up_Irr!S10&lt;&gt;".",up_Irr!AQ10&lt;&gt;".",up_Irr!BO10="."),up_dir!T10/((1/1000)*(up_Irr!S10+up_Irr!AQ10)),IF(AND(up_Irr!S10&lt;&gt;".",up_Irr!AQ10=".",up_Irr!BO10&lt;&gt;"."),up_dir!T10/((1/1000)*(up_Irr!S10+up_Irr!BO10)),IF(AND(up_Irr!S10=".",up_Irr!AQ10&lt;&gt;".",up_Irr!BO10&lt;&gt;"."),up_dir!T10/((1/1000)*(up_Irr!AQ10+up_Irr!BO10)),IF(AND(up_Irr!S10=".",up_Irr!AQ10=".",up_Irr!BO10&lt;&gt;"."),up_dir!T10/((1/1000)*(up_Irr!BO10)),IF(AND(up_Irr!S10=".",up_Irr!AQ10&lt;&gt;".",up_Irr!BO10="."),up_dir!T10/((1/1000)*(up_Irr!AQ10)),IF(AND(up_Irr!S10&lt;&gt;".",up_Irr!AQ10=".",up_Irr!BO10="."),up_dir!T10/((1/1000)*(up_Irr!S10)),IF(AND(up_Irr!S10=".",up_Irr!AQ10=".",up_Irr!BO10="."),up_dir!T10*1000)))))))),".")</f>
        <v>7.2351016258567334E-11</v>
      </c>
      <c r="U10" s="76">
        <f>IFERROR(IF(AND(up_Irr!T10&lt;&gt;".",up_Irr!AR10&lt;&gt;".",up_Irr!BP10&lt;&gt;"."),up_dir!U10/((1/1000)*(up_Irr!T10+up_Irr!AR10+up_Irr!BP10)),IF(AND(up_Irr!T10&lt;&gt;".",up_Irr!AR10&lt;&gt;".",up_Irr!BP10="."),up_dir!U10/((1/1000)*(up_Irr!T10+up_Irr!AR10)),IF(AND(up_Irr!T10&lt;&gt;".",up_Irr!AR10=".",up_Irr!BP10&lt;&gt;"."),up_dir!U10/((1/1000)*(up_Irr!T10+up_Irr!BP10)),IF(AND(up_Irr!T10=".",up_Irr!AR10&lt;&gt;".",up_Irr!BP10&lt;&gt;"."),up_dir!U10/((1/1000)*(up_Irr!AR10+up_Irr!BP10)),IF(AND(up_Irr!T10=".",up_Irr!AR10=".",up_Irr!BP10&lt;&gt;"."),up_dir!U10/((1/1000)*(up_Irr!BP10)),IF(AND(up_Irr!T10=".",up_Irr!AR10&lt;&gt;".",up_Irr!BP10="."),up_dir!U10/((1/1000)*(up_Irr!AR10)),IF(AND(up_Irr!T10&lt;&gt;".",up_Irr!AR10=".",up_Irr!BP10="."),up_dir!U10/((1/1000)*(up_Irr!T10)),IF(AND(up_Irr!T10=".",up_Irr!AR10=".",up_Irr!BP10="."),up_dir!U10*1000)))))))),".")</f>
        <v>7.2351016258567334E-11</v>
      </c>
      <c r="V10" s="76">
        <f>IFERROR(IF(AND(up_Irr!U10&lt;&gt;".",up_Irr!AS10&lt;&gt;".",up_Irr!BQ10&lt;&gt;"."),up_dir!V10/((1/1000)*(up_Irr!U10+up_Irr!AS10+up_Irr!BQ10)),IF(AND(up_Irr!U10&lt;&gt;".",up_Irr!AS10&lt;&gt;".",up_Irr!BQ10="."),up_dir!V10/((1/1000)*(up_Irr!U10+up_Irr!AS10)),IF(AND(up_Irr!U10&lt;&gt;".",up_Irr!AS10=".",up_Irr!BQ10&lt;&gt;"."),up_dir!V10/((1/1000)*(up_Irr!U10+up_Irr!BQ10)),IF(AND(up_Irr!U10=".",up_Irr!AS10&lt;&gt;".",up_Irr!BQ10&lt;&gt;"."),up_dir!V10/((1/1000)*(up_Irr!AS10+up_Irr!BQ10)),IF(AND(up_Irr!U10=".",up_Irr!AS10=".",up_Irr!BQ10&lt;&gt;"."),up_dir!V10/((1/1000)*(up_Irr!BQ10)),IF(AND(up_Irr!U10=".",up_Irr!AS10&lt;&gt;".",up_Irr!BQ10="."),up_dir!V10/((1/1000)*(up_Irr!AS10)),IF(AND(up_Irr!U10&lt;&gt;".",up_Irr!AS10=".",up_Irr!BQ10="."),up_dir!V10/((1/1000)*(up_Irr!U10)),IF(AND(up_Irr!U10=".",up_Irr!AS10=".",up_Irr!BQ10="."),up_dir!V10*1000)))))))),".")</f>
        <v>7.2351016258567334E-11</v>
      </c>
      <c r="W10" s="76">
        <f>IFERROR(IF(AND(up_Irr!V10&lt;&gt;".",up_Irr!AT10&lt;&gt;".",up_Irr!BR10&lt;&gt;"."),up_dir!W10/((1/1000)*(up_Irr!V10+up_Irr!AT10+up_Irr!BR10)),IF(AND(up_Irr!V10&lt;&gt;".",up_Irr!AT10&lt;&gt;".",up_Irr!BR10="."),up_dir!W10/((1/1000)*(up_Irr!V10+up_Irr!AT10)),IF(AND(up_Irr!V10&lt;&gt;".",up_Irr!AT10=".",up_Irr!BR10&lt;&gt;"."),up_dir!W10/((1/1000)*(up_Irr!V10+up_Irr!BR10)),IF(AND(up_Irr!V10=".",up_Irr!AT10&lt;&gt;".",up_Irr!BR10&lt;&gt;"."),up_dir!W10/((1/1000)*(up_Irr!AT10+up_Irr!BR10)),IF(AND(up_Irr!V10=".",up_Irr!AT10=".",up_Irr!BR10&lt;&gt;"."),up_dir!W10/((1/1000)*(up_Irr!BR10)),IF(AND(up_Irr!V10=".",up_Irr!AT10&lt;&gt;".",up_Irr!BR10="."),up_dir!W10/((1/1000)*(up_Irr!AT10)),IF(AND(up_Irr!V10&lt;&gt;".",up_Irr!AT10=".",up_Irr!BR10="."),up_dir!W10/((1/1000)*(up_Irr!V10)),IF(AND(up_Irr!V10=".",up_Irr!AT10=".",up_Irr!BR10="."),up_dir!W10*1000)))))))),".")</f>
        <v>7.2351016258567334E-11</v>
      </c>
      <c r="X10" s="76">
        <f>IFERROR(IF(AND(up_Irr!W10&lt;&gt;".",up_Irr!AU10&lt;&gt;".",up_Irr!BS10&lt;&gt;"."),up_dir!X10/((1/1000)*(up_Irr!W10+up_Irr!AU10+up_Irr!BS10)),IF(AND(up_Irr!W10&lt;&gt;".",up_Irr!AU10&lt;&gt;".",up_Irr!BS10="."),up_dir!X10/((1/1000)*(up_Irr!W10+up_Irr!AU10)),IF(AND(up_Irr!W10&lt;&gt;".",up_Irr!AU10=".",up_Irr!BS10&lt;&gt;"."),up_dir!X10/((1/1000)*(up_Irr!W10+up_Irr!BS10)),IF(AND(up_Irr!W10=".",up_Irr!AU10&lt;&gt;".",up_Irr!BS10&lt;&gt;"."),up_dir!X10/((1/1000)*(up_Irr!AU10+up_Irr!BS10)),IF(AND(up_Irr!W10=".",up_Irr!AU10=".",up_Irr!BS10&lt;&gt;"."),up_dir!X10/((1/1000)*(up_Irr!BS10)),IF(AND(up_Irr!W10=".",up_Irr!AU10&lt;&gt;".",up_Irr!BS10="."),up_dir!X10/((1/1000)*(up_Irr!AU10)),IF(AND(up_Irr!W10&lt;&gt;".",up_Irr!AU10=".",up_Irr!BS10="."),up_dir!X10/((1/1000)*(up_Irr!W10)),IF(AND(up_Irr!W10=".",up_Irr!AU10=".",up_Irr!BS10="."),up_dir!X10*1000)))))))),".")</f>
        <v>7.2351016258567334E-11</v>
      </c>
      <c r="Y10" s="76">
        <f>IFERROR(IF(AND(up_Irr!X10&lt;&gt;".",up_Irr!AV10&lt;&gt;".",up_Irr!BT10&lt;&gt;"."),up_dir!Y10/((1/1000)*(up_Irr!X10+up_Irr!AV10+up_Irr!BT10)),IF(AND(up_Irr!X10&lt;&gt;".",up_Irr!AV10&lt;&gt;".",up_Irr!BT10="."),up_dir!Y10/((1/1000)*(up_Irr!X10+up_Irr!AV10)),IF(AND(up_Irr!X10&lt;&gt;".",up_Irr!AV10=".",up_Irr!BT10&lt;&gt;"."),up_dir!Y10/((1/1000)*(up_Irr!X10+up_Irr!BT10)),IF(AND(up_Irr!X10=".",up_Irr!AV10&lt;&gt;".",up_Irr!BT10&lt;&gt;"."),up_dir!Y10/((1/1000)*(up_Irr!AV10+up_Irr!BT10)),IF(AND(up_Irr!X10=".",up_Irr!AV10=".",up_Irr!BT10&lt;&gt;"."),up_dir!Y10/((1/1000)*(up_Irr!BT10)),IF(AND(up_Irr!X10=".",up_Irr!AV10&lt;&gt;".",up_Irr!BT10="."),up_dir!Y10/((1/1000)*(up_Irr!AV10)),IF(AND(up_Irr!X10&lt;&gt;".",up_Irr!AV10=".",up_Irr!BT10="."),up_dir!Y10/((1/1000)*(up_Irr!X10)),IF(AND(up_Irr!X10=".",up_Irr!AV10=".",up_Irr!BT10="."),up_dir!Y10*1000)))))))),".")</f>
        <v>7.2351016258567334E-11</v>
      </c>
      <c r="Z10" s="76">
        <f>IFERROR(IF(AND(up_Irr!Y10&lt;&gt;".",up_Irr!AW10&lt;&gt;".",up_Irr!BU10&lt;&gt;"."),up_dir!Z10/((1/1000)*(up_Irr!Y10+up_Irr!AW10+up_Irr!BU10)),IF(AND(up_Irr!Y10&lt;&gt;".",up_Irr!AW10&lt;&gt;".",up_Irr!BU10="."),up_dir!Z10/((1/1000)*(up_Irr!Y10+up_Irr!AW10)),IF(AND(up_Irr!Y10&lt;&gt;".",up_Irr!AW10=".",up_Irr!BU10&lt;&gt;"."),up_dir!Z10/((1/1000)*(up_Irr!Y10+up_Irr!BU10)),IF(AND(up_Irr!Y10=".",up_Irr!AW10&lt;&gt;".",up_Irr!BU10&lt;&gt;"."),up_dir!Z10/((1/1000)*(up_Irr!AW10+up_Irr!BU10)),IF(AND(up_Irr!Y10=".",up_Irr!AW10=".",up_Irr!BU10&lt;&gt;"."),up_dir!Z10/((1/1000)*(up_Irr!BU10)),IF(AND(up_Irr!Y10=".",up_Irr!AW10&lt;&gt;".",up_Irr!BU10="."),up_dir!Z10/((1/1000)*(up_Irr!AW10)),IF(AND(up_Irr!Y10&lt;&gt;".",up_Irr!AW10=".",up_Irr!BU10="."),up_dir!Z10/((1/1000)*(up_Irr!Y10)),IF(AND(up_Irr!Y10=".",up_Irr!AW10=".",up_Irr!BU10="."),up_dir!Z10*1000)))))))),".")</f>
        <v>7.2351016258567334E-11</v>
      </c>
      <c r="AA10" s="76">
        <f>IFERROR(IF(AND(up_Irr!Z10&lt;&gt;".",up_Irr!AX10&lt;&gt;".",up_Irr!BV10&lt;&gt;"."),up_dir!AA10/((1/1000)*(up_Irr!Z10+up_Irr!AX10+up_Irr!BV10)),IF(AND(up_Irr!Z10&lt;&gt;".",up_Irr!AX10&lt;&gt;".",up_Irr!BV10="."),up_dir!AA10/((1/1000)*(up_Irr!Z10+up_Irr!AX10)),IF(AND(up_Irr!Z10&lt;&gt;".",up_Irr!AX10=".",up_Irr!BV10&lt;&gt;"."),up_dir!AA10/((1/1000)*(up_Irr!Z10+up_Irr!BV10)),IF(AND(up_Irr!Z10=".",up_Irr!AX10&lt;&gt;".",up_Irr!BV10&lt;&gt;"."),up_dir!AA10/((1/1000)*(up_Irr!AX10+up_Irr!BV10)),IF(AND(up_Irr!Z10=".",up_Irr!AX10=".",up_Irr!BV10&lt;&gt;"."),up_dir!AA10/((1/1000)*(up_Irr!BV10)),IF(AND(up_Irr!Z10=".",up_Irr!AX10&lt;&gt;".",up_Irr!BV10="."),up_dir!AA10/((1/1000)*(up_Irr!AX10)),IF(AND(up_Irr!Z10&lt;&gt;".",up_Irr!AX10=".",up_Irr!BV10="."),up_dir!AA10/((1/1000)*(up_Irr!Z10)),IF(AND(up_Irr!Z10=".",up_Irr!AX10=".",up_Irr!BV10="."),up_dir!AA10*1000)))))))),".")</f>
        <v>7.2351016258567334E-11</v>
      </c>
      <c r="AB10" s="93">
        <f>SUM(AC10:AD10,AY10:AZ10)</f>
        <v>55286.023705663516</v>
      </c>
      <c r="AC10" s="93">
        <f>IFERROR(s_C*s_IFAP_res_adj*s_CF_apple*0.001*(up_Irr!C10+up_Irr!AA10+up_Irr!AY10),".")</f>
        <v>13821.505926415879</v>
      </c>
      <c r="AD10" s="93">
        <f>IFERROR(s_C*s_IFAS_res_adj*s_CF_asparagus*0.001*(up_Irr!D10+up_Irr!AB10+up_Irr!AZ10),".")</f>
        <v>13821.505926415879</v>
      </c>
      <c r="AE10" s="93">
        <f>IFERROR(s_C*s_IFBT_res_adj*s_CF_beet*0.001*(up_Irr!E10+up_Irr!AC10+up_Irr!BA10),".")</f>
        <v>13821.505926415879</v>
      </c>
      <c r="AF10" s="93">
        <f>IFERROR(s_C*s_IFBE_res_adj*s_CF_berries*0.001*(up_Irr!F10+up_Irr!AD10+up_Irr!BB10),".")</f>
        <v>13821.505926415879</v>
      </c>
      <c r="AG10" s="93">
        <f>IFERROR(s_C*s_IFBR_res_adj*s_CF_broccoli*0.001*(up_Irr!G10+up_Irr!AE10+up_Irr!BC10),".")</f>
        <v>13821.505926415879</v>
      </c>
      <c r="AH10" s="93">
        <f>IFERROR(s_C*s_IFCB_res_adj*s_CF_cabbage*0.001*(up_Irr!H10+up_Irr!AF10+up_Irr!BD10),".")</f>
        <v>13821.505926415879</v>
      </c>
      <c r="AI10" s="93">
        <f>IFERROR(s_C*s_IFCR_res_adj*s_CF_carrot*0.001*(up_Irr!I10+up_Irr!AG10+up_Irr!BE10),".")</f>
        <v>13821.505926415879</v>
      </c>
      <c r="AJ10" s="93">
        <f>IFERROR(s_C*s_IFCI_res_adj*s_CF_citrus*0.001*(up_Irr!J10+up_Irr!AH10+up_Irr!BF10),".")</f>
        <v>13821.505926415879</v>
      </c>
      <c r="AK10" s="93">
        <f>IFERROR(s_C*s_IFCO_res_adj*s_CF_corn*0.001*(up_Irr!K10+up_Irr!AI10+up_Irr!BG10),".")</f>
        <v>13821.505926415879</v>
      </c>
      <c r="AL10" s="93">
        <f>IFERROR(s_C*s_IFCU_res_adj*s_CF_cucumber*0.001*(up_Irr!L10+up_Irr!AJ10+up_Irr!BH10),".")</f>
        <v>13821.505926415879</v>
      </c>
      <c r="AM10" s="93">
        <f>IFERROR(s_C*s_IFLE_res_adj*s_CF_lettuce*0.001*(up_Irr!M10+up_Irr!AK10+up_Irr!BI10),".")</f>
        <v>13821.505926415879</v>
      </c>
      <c r="AN10" s="93">
        <f>IFERROR(s_C*s_IFLI_res_adj*s_CF_lima_bean*0.001*(up_Irr!N10+up_Irr!AL10+up_Irr!BJ10),".")</f>
        <v>13821.505926415879</v>
      </c>
      <c r="AO10" s="93">
        <f>IFERROR(s_C*s_IFOK_res_adj*s_CF_okra*0.001*(up_Irr!O10+up_Irr!AM10+up_Irr!BK10),".")</f>
        <v>13821.505926415879</v>
      </c>
      <c r="AP10" s="93">
        <f>IFERROR(s_C*s_IFON_res_adj*s_CF_onion*0.001*(up_Irr!P10+up_Irr!AN10+up_Irr!BL10),".")</f>
        <v>13821.505926415879</v>
      </c>
      <c r="AQ10" s="93">
        <f>IFERROR(s_C*s_IFPC_res_adj*s_CF_peach*0.001*(up_Irr!Q10+up_Irr!AO10+up_Irr!BM10),".")</f>
        <v>13821.505926415879</v>
      </c>
      <c r="AR10" s="93">
        <f>IFERROR(s_C*s_IFPR_res_adj*s_CF_pear*0.001*(up_Irr!R10+up_Irr!AP10+up_Irr!BN10),".")</f>
        <v>13821.505926415879</v>
      </c>
      <c r="AS10" s="93">
        <f>IFERROR(s_C*s_IFPE_res_adj*s_CF_peas*0.001*(up_Irr!S10+up_Irr!AQ10+up_Irr!BO10),".")</f>
        <v>13821.505926415879</v>
      </c>
      <c r="AT10" s="93">
        <f>IFERROR(s_C*s_IFPT_res_adj*s_CF_potato*0.001*(up_Irr!T10+up_Irr!AR10+up_Irr!BP10),".")</f>
        <v>13821.505926415879</v>
      </c>
      <c r="AU10" s="93">
        <f>IFERROR(s_C*s_IFPU_res_adj*s_CF_pumpkin*0.001*(up_Irr!U10+up_Irr!AS10+up_Irr!BQ10),".")</f>
        <v>13821.505926415879</v>
      </c>
      <c r="AV10" s="93">
        <f>IFERROR(s_C*s_IFSN_res_adj*s_CF_snap_bean*0.001*(up_Irr!V10+up_Irr!AT10+up_Irr!BR10),".")</f>
        <v>13821.505926415879</v>
      </c>
      <c r="AW10" s="93">
        <f>IFERROR(s_C*s_IFST_res_adj*s_CF_strawberry*0.001*(up_Irr!W10+up_Irr!AU10+up_Irr!BS10),".")</f>
        <v>13821.505926415879</v>
      </c>
      <c r="AX10" s="93">
        <f>IFERROR(s_C*s_IFTO_res_adj*s_CF_tomato*0.001*(up_Irr!X10+up_Irr!AV10+up_Irr!BT10),".")</f>
        <v>13821.505926415879</v>
      </c>
      <c r="AY10" s="93">
        <f>IFERROR(s_C*s_IFRI_res_adj*s_CF_rice*0.001*(up_Irr!Y10+up_Irr!AW10+up_Irr!BU10),".")</f>
        <v>13821.505926415879</v>
      </c>
      <c r="AZ10" s="93">
        <f>IFERROR(s_C*s_IFCG_res_adj*s_CF_cereal*0.001*(up_Irr!Z10+up_Irr!AX10+up_Irr!BV10),".")</f>
        <v>13821.505926415879</v>
      </c>
      <c r="BA10" s="76">
        <f t="shared" si="3"/>
        <v>1.8087754064641833E-11</v>
      </c>
      <c r="BB10" s="76">
        <f>IFERROR(IF(AND(up_Irr!C10&lt;&gt;".",up_Irr!AA10&lt;&gt;".",up_Irr!AY10&lt;&gt;"."),up_dir!AC10/((1/1000)*(up_Irr!C10+up_Irr!AA10+up_Irr!AY10)),IF(AND(up_Irr!C10&lt;&gt;".",up_Irr!AA10&lt;&gt;".",up_Irr!AY10="."),up_dir!AC10/((1/1000)*(up_Irr!C10+up_Irr!AA10)),IF(AND(up_Irr!C10&lt;&gt;".",up_Irr!AA10=".",up_Irr!AY10&lt;&gt;"."),up_dir!AC10/((1/1000)*(up_Irr!C10+up_Irr!AY10)),IF(AND(up_Irr!C10=".",up_Irr!AA10&lt;&gt;".",up_Irr!AY10&lt;&gt;"."),up_dir!AC10/((1/1000)*(up_Irr!AA10+up_Irr!AY10)),IF(AND(up_Irr!C10=".",up_Irr!AA10=".",up_Irr!AY10&lt;&gt;"."),up_dir!AC10/((1/1000)*(up_Irr!AY10)),IF(AND(up_Irr!C10=".",up_Irr!AA10&lt;&gt;".",up_Irr!AY10="."),up_dir!AC10/((1/1000)*(up_Irr!AA10)),IF(AND(up_Irr!C10&lt;&gt;".",up_Irr!AA10=".",up_Irr!AY10="."),up_dir!AC10/((1/1000)*(up_Irr!C10)),IF(AND(up_Irr!C10=".",up_Irr!AA10=".",up_Irr!AY10="."),up_dir!AC10*1000)))))))),".")</f>
        <v>7.2351016258567334E-11</v>
      </c>
      <c r="BC10" s="76">
        <f>IFERROR(IF(AND(up_Irr!D10&lt;&gt;".",up_Irr!AB10&lt;&gt;".",up_Irr!AZ10&lt;&gt;"."),up_dir!AD10/((1/1000)*(up_Irr!D10+up_Irr!AB10+up_Irr!AZ10)),IF(AND(up_Irr!D10&lt;&gt;".",up_Irr!AB10&lt;&gt;".",up_Irr!AZ10="."),up_dir!AD10/((1/1000)*(up_Irr!D10+up_Irr!AB10)),IF(AND(up_Irr!D10&lt;&gt;".",up_Irr!AB10=".",up_Irr!AZ10&lt;&gt;"."),up_dir!AD10/((1/1000)*(up_Irr!D10+up_Irr!AZ10)),IF(AND(up_Irr!D10=".",up_Irr!AB10&lt;&gt;".",up_Irr!AZ10&lt;&gt;"."),up_dir!AD10/((1/1000)*(up_Irr!AB10+up_Irr!AZ10)),IF(AND(up_Irr!D10=".",up_Irr!AB10=".",up_Irr!AZ10&lt;&gt;"."),up_dir!AD10/((1/1000)*(up_Irr!AZ10)),IF(AND(up_Irr!D10=".",up_Irr!AB10&lt;&gt;".",up_Irr!AZ10="."),up_dir!AD10/((1/1000)*(up_Irr!AB10)),IF(AND(up_Irr!D10&lt;&gt;".",up_Irr!AB10=".",up_Irr!AZ10="."),up_dir!AD10/((1/1000)*(up_Irr!D10)),IF(AND(up_Irr!D10=".",up_Irr!AB10=".",up_Irr!AZ10="."),up_dir!AD10*1000)))))))),".")</f>
        <v>7.2351016258567334E-11</v>
      </c>
      <c r="BD10" s="76">
        <f>IFERROR(IF(AND(up_Irr!E10&lt;&gt;".",up_Irr!AC10&lt;&gt;".",up_Irr!BA10&lt;&gt;"."),up_dir!AE10/((1/1000)*(up_Irr!E10+up_Irr!AC10+up_Irr!BA10)),IF(AND(up_Irr!E10&lt;&gt;".",up_Irr!AC10&lt;&gt;".",up_Irr!BA10="."),up_dir!AE10/((1/1000)*(up_Irr!E10+up_Irr!AC10)),IF(AND(up_Irr!E10&lt;&gt;".",up_Irr!AC10=".",up_Irr!BA10&lt;&gt;"."),up_dir!AE10/((1/1000)*(up_Irr!E10+up_Irr!BA10)),IF(AND(up_Irr!E10=".",up_Irr!AC10&lt;&gt;".",up_Irr!BA10&lt;&gt;"."),up_dir!AE10/((1/1000)*(up_Irr!AC10+up_Irr!BA10)),IF(AND(up_Irr!E10=".",up_Irr!AC10=".",up_Irr!BA10&lt;&gt;"."),up_dir!AE10/((1/1000)*(up_Irr!BA10)),IF(AND(up_Irr!E10=".",up_Irr!AC10&lt;&gt;".",up_Irr!BA10="."),up_dir!AE10/((1/1000)*(up_Irr!AC10)),IF(AND(up_Irr!E10&lt;&gt;".",up_Irr!AC10=".",up_Irr!BA10="."),up_dir!AE10/((1/1000)*(up_Irr!E10)),IF(AND(up_Irr!E10=".",up_Irr!AC10=".",up_Irr!BA10="."),up_dir!AE10*1000)))))))),".")</f>
        <v>7.2351016258567334E-11</v>
      </c>
      <c r="BE10" s="76">
        <f>IFERROR(IF(AND(up_Irr!F10&lt;&gt;".",up_Irr!AD10&lt;&gt;".",up_Irr!BB10&lt;&gt;"."),up_dir!AF10/((1/1000)*(up_Irr!F10+up_Irr!AD10+up_Irr!BB10)),IF(AND(up_Irr!F10&lt;&gt;".",up_Irr!AD10&lt;&gt;".",up_Irr!BB10="."),up_dir!AF10/((1/1000)*(up_Irr!F10+up_Irr!AD10)),IF(AND(up_Irr!F10&lt;&gt;".",up_Irr!AD10=".",up_Irr!BB10&lt;&gt;"."),up_dir!AF10/((1/1000)*(up_Irr!F10+up_Irr!BB10)),IF(AND(up_Irr!F10=".",up_Irr!AD10&lt;&gt;".",up_Irr!BB10&lt;&gt;"."),up_dir!AF10/((1/1000)*(up_Irr!AD10+up_Irr!BB10)),IF(AND(up_Irr!F10=".",up_Irr!AD10=".",up_Irr!BB10&lt;&gt;"."),up_dir!AF10/((1/1000)*(up_Irr!BB10)),IF(AND(up_Irr!F10=".",up_Irr!AD10&lt;&gt;".",up_Irr!BB10="."),up_dir!AF10/((1/1000)*(up_Irr!AD10)),IF(AND(up_Irr!F10&lt;&gt;".",up_Irr!AD10=".",up_Irr!BB10="."),up_dir!AF10/((1/1000)*(up_Irr!F10)),IF(AND(up_Irr!F10=".",up_Irr!AD10=".",up_Irr!BB10="."),up_dir!AF10*1000)))))))),".")</f>
        <v>7.2351016258567334E-11</v>
      </c>
      <c r="BF10" s="76">
        <f>IFERROR(IF(AND(up_Irr!G10&lt;&gt;".",up_Irr!AE10&lt;&gt;".",up_Irr!BC10&lt;&gt;"."),up_dir!AG10/((1/1000)*(up_Irr!G10+up_Irr!AE10+up_Irr!BC10)),IF(AND(up_Irr!G10&lt;&gt;".",up_Irr!AE10&lt;&gt;".",up_Irr!BC10="."),up_dir!AG10/((1/1000)*(up_Irr!G10+up_Irr!AE10)),IF(AND(up_Irr!G10&lt;&gt;".",up_Irr!AE10=".",up_Irr!BC10&lt;&gt;"."),up_dir!AG10/((1/1000)*(up_Irr!G10+up_Irr!BC10)),IF(AND(up_Irr!G10=".",up_Irr!AE10&lt;&gt;".",up_Irr!BC10&lt;&gt;"."),up_dir!AG10/((1/1000)*(up_Irr!AE10+up_Irr!BC10)),IF(AND(up_Irr!G10=".",up_Irr!AE10=".",up_Irr!BC10&lt;&gt;"."),up_dir!AG10/((1/1000)*(up_Irr!BC10)),IF(AND(up_Irr!G10=".",up_Irr!AE10&lt;&gt;".",up_Irr!BC10="."),up_dir!AG10/((1/1000)*(up_Irr!AE10)),IF(AND(up_Irr!G10&lt;&gt;".",up_Irr!AE10=".",up_Irr!BC10="."),up_dir!AG10/((1/1000)*(up_Irr!G10)),IF(AND(up_Irr!G10=".",up_Irr!AE10=".",up_Irr!BC10="."),up_dir!AG10*1000)))))))),".")</f>
        <v>7.2351016258567334E-11</v>
      </c>
      <c r="BG10" s="76">
        <f>IFERROR(IF(AND(up_Irr!H10&lt;&gt;".",up_Irr!AF10&lt;&gt;".",up_Irr!BD10&lt;&gt;"."),up_dir!AH10/((1/1000)*(up_Irr!H10+up_Irr!AF10+up_Irr!BD10)),IF(AND(up_Irr!H10&lt;&gt;".",up_Irr!AF10&lt;&gt;".",up_Irr!BD10="."),up_dir!AH10/((1/1000)*(up_Irr!H10+up_Irr!AF10)),IF(AND(up_Irr!H10&lt;&gt;".",up_Irr!AF10=".",up_Irr!BD10&lt;&gt;"."),up_dir!AH10/((1/1000)*(up_Irr!H10+up_Irr!BD10)),IF(AND(up_Irr!H10=".",up_Irr!AF10&lt;&gt;".",up_Irr!BD10&lt;&gt;"."),up_dir!AH10/((1/1000)*(up_Irr!AF10+up_Irr!BD10)),IF(AND(up_Irr!H10=".",up_Irr!AF10=".",up_Irr!BD10&lt;&gt;"."),up_dir!AH10/((1/1000)*(up_Irr!BD10)),IF(AND(up_Irr!H10=".",up_Irr!AF10&lt;&gt;".",up_Irr!BD10="."),up_dir!AH10/((1/1000)*(up_Irr!AF10)),IF(AND(up_Irr!H10&lt;&gt;".",up_Irr!AF10=".",up_Irr!BD10="."),up_dir!AH10/((1/1000)*(up_Irr!H10)),IF(AND(up_Irr!H10=".",up_Irr!AF10=".",up_Irr!BD10="."),up_dir!AH10*1000)))))))),".")</f>
        <v>7.2351016258567334E-11</v>
      </c>
      <c r="BH10" s="76">
        <f>IFERROR(IF(AND(up_Irr!I10&lt;&gt;".",up_Irr!AG10&lt;&gt;".",up_Irr!BE10&lt;&gt;"."),up_dir!AI10/((1/1000)*(up_Irr!I10+up_Irr!AG10+up_Irr!BE10)),IF(AND(up_Irr!I10&lt;&gt;".",up_Irr!AG10&lt;&gt;".",up_Irr!BE10="."),up_dir!AI10/((1/1000)*(up_Irr!I10+up_Irr!AG10)),IF(AND(up_Irr!I10&lt;&gt;".",up_Irr!AG10=".",up_Irr!BE10&lt;&gt;"."),up_dir!AI10/((1/1000)*(up_Irr!I10+up_Irr!BE10)),IF(AND(up_Irr!I10=".",up_Irr!AG10&lt;&gt;".",up_Irr!BE10&lt;&gt;"."),up_dir!AI10/((1/1000)*(up_Irr!AG10+up_Irr!BE10)),IF(AND(up_Irr!I10=".",up_Irr!AG10=".",up_Irr!BE10&lt;&gt;"."),up_dir!AI10/((1/1000)*(up_Irr!BE10)),IF(AND(up_Irr!I10=".",up_Irr!AG10&lt;&gt;".",up_Irr!BE10="."),up_dir!AI10/((1/1000)*(up_Irr!AG10)),IF(AND(up_Irr!I10&lt;&gt;".",up_Irr!AG10=".",up_Irr!BE10="."),up_dir!AI10/((1/1000)*(up_Irr!I10)),IF(AND(up_Irr!I10=".",up_Irr!AG10=".",up_Irr!BE10="."),up_dir!AI10*1000)))))))),".")</f>
        <v>7.2351016258567334E-11</v>
      </c>
      <c r="BI10" s="76">
        <f>IFERROR(IF(AND(up_Irr!J10&lt;&gt;".",up_Irr!AH10&lt;&gt;".",up_Irr!BF10&lt;&gt;"."),up_dir!AJ10/((1/1000)*(up_Irr!J10+up_Irr!AH10+up_Irr!BF10)),IF(AND(up_Irr!J10&lt;&gt;".",up_Irr!AH10&lt;&gt;".",up_Irr!BF10="."),up_dir!AJ10/((1/1000)*(up_Irr!J10+up_Irr!AH10)),IF(AND(up_Irr!J10&lt;&gt;".",up_Irr!AH10=".",up_Irr!BF10&lt;&gt;"."),up_dir!AJ10/((1/1000)*(up_Irr!J10+up_Irr!BF10)),IF(AND(up_Irr!J10=".",up_Irr!AH10&lt;&gt;".",up_Irr!BF10&lt;&gt;"."),up_dir!AJ10/((1/1000)*(up_Irr!AH10+up_Irr!BF10)),IF(AND(up_Irr!J10=".",up_Irr!AH10=".",up_Irr!BF10&lt;&gt;"."),up_dir!AJ10/((1/1000)*(up_Irr!BF10)),IF(AND(up_Irr!J10=".",up_Irr!AH10&lt;&gt;".",up_Irr!BF10="."),up_dir!AJ10/((1/1000)*(up_Irr!AH10)),IF(AND(up_Irr!J10&lt;&gt;".",up_Irr!AH10=".",up_Irr!BF10="."),up_dir!AJ10/((1/1000)*(up_Irr!J10)),IF(AND(up_Irr!J10=".",up_Irr!AH10=".",up_Irr!BF10="."),up_dir!AJ10*1000)))))))),".")</f>
        <v>7.2351016258567334E-11</v>
      </c>
      <c r="BJ10" s="76">
        <f>IFERROR(IF(AND(up_Irr!K10&lt;&gt;".",up_Irr!AI10&lt;&gt;".",up_Irr!BG10&lt;&gt;"."),up_dir!AK10/((1/1000)*(up_Irr!K10+up_Irr!AI10+up_Irr!BG10)),IF(AND(up_Irr!K10&lt;&gt;".",up_Irr!AI10&lt;&gt;".",up_Irr!BG10="."),up_dir!AK10/((1/1000)*(up_Irr!K10+up_Irr!AI10)),IF(AND(up_Irr!K10&lt;&gt;".",up_Irr!AI10=".",up_Irr!BG10&lt;&gt;"."),up_dir!AK10/((1/1000)*(up_Irr!K10+up_Irr!BG10)),IF(AND(up_Irr!K10=".",up_Irr!AI10&lt;&gt;".",up_Irr!BG10&lt;&gt;"."),up_dir!AK10/((1/1000)*(up_Irr!AI10+up_Irr!BG10)),IF(AND(up_Irr!K10=".",up_Irr!AI10=".",up_Irr!BG10&lt;&gt;"."),up_dir!AK10/((1/1000)*(up_Irr!BG10)),IF(AND(up_Irr!K10=".",up_Irr!AI10&lt;&gt;".",up_Irr!BG10="."),up_dir!AK10/((1/1000)*(up_Irr!AI10)),IF(AND(up_Irr!K10&lt;&gt;".",up_Irr!AI10=".",up_Irr!BG10="."),up_dir!AK10/((1/1000)*(up_Irr!K10)),IF(AND(up_Irr!K10=".",up_Irr!AI10=".",up_Irr!BG10="."),up_dir!AK10*1000)))))))),".")</f>
        <v>7.2351016258567334E-11</v>
      </c>
      <c r="BK10" s="76">
        <f>IFERROR(IF(AND(up_Irr!L10&lt;&gt;".",up_Irr!AJ10&lt;&gt;".",up_Irr!BH10&lt;&gt;"."),up_dir!AL10/((1/1000)*(up_Irr!L10+up_Irr!AJ10+up_Irr!BH10)),IF(AND(up_Irr!L10&lt;&gt;".",up_Irr!AJ10&lt;&gt;".",up_Irr!BH10="."),up_dir!AL10/((1/1000)*(up_Irr!L10+up_Irr!AJ10)),IF(AND(up_Irr!L10&lt;&gt;".",up_Irr!AJ10=".",up_Irr!BH10&lt;&gt;"."),up_dir!AL10/((1/1000)*(up_Irr!L10+up_Irr!BH10)),IF(AND(up_Irr!L10=".",up_Irr!AJ10&lt;&gt;".",up_Irr!BH10&lt;&gt;"."),up_dir!AL10/((1/1000)*(up_Irr!AJ10+up_Irr!BH10)),IF(AND(up_Irr!L10=".",up_Irr!AJ10=".",up_Irr!BH10&lt;&gt;"."),up_dir!AL10/((1/1000)*(up_Irr!BH10)),IF(AND(up_Irr!L10=".",up_Irr!AJ10&lt;&gt;".",up_Irr!BH10="."),up_dir!AL10/((1/1000)*(up_Irr!AJ10)),IF(AND(up_Irr!L10&lt;&gt;".",up_Irr!AJ10=".",up_Irr!BH10="."),up_dir!AL10/((1/1000)*(up_Irr!L10)),IF(AND(up_Irr!L10=".",up_Irr!AJ10=".",up_Irr!BH10="."),up_dir!AL10*1000)))))))),".")</f>
        <v>7.2351016258567334E-11</v>
      </c>
      <c r="BL10" s="76">
        <f>IFERROR(IF(AND(up_Irr!M10&lt;&gt;".",up_Irr!AK10&lt;&gt;".",up_Irr!BI10&lt;&gt;"."),up_dir!AM10/((1/1000)*(up_Irr!M10+up_Irr!AK10+up_Irr!BI10)),IF(AND(up_Irr!M10&lt;&gt;".",up_Irr!AK10&lt;&gt;".",up_Irr!BI10="."),up_dir!AM10/((1/1000)*(up_Irr!M10+up_Irr!AK10)),IF(AND(up_Irr!M10&lt;&gt;".",up_Irr!AK10=".",up_Irr!BI10&lt;&gt;"."),up_dir!AM10/((1/1000)*(up_Irr!M10+up_Irr!BI10)),IF(AND(up_Irr!M10=".",up_Irr!AK10&lt;&gt;".",up_Irr!BI10&lt;&gt;"."),up_dir!AM10/((1/1000)*(up_Irr!AK10+up_Irr!BI10)),IF(AND(up_Irr!M10=".",up_Irr!AK10=".",up_Irr!BI10&lt;&gt;"."),up_dir!AM10/((1/1000)*(up_Irr!BI10)),IF(AND(up_Irr!M10=".",up_Irr!AK10&lt;&gt;".",up_Irr!BI10="."),up_dir!AM10/((1/1000)*(up_Irr!AK10)),IF(AND(up_Irr!M10&lt;&gt;".",up_Irr!AK10=".",up_Irr!BI10="."),up_dir!AM10/((1/1000)*(up_Irr!M10)),IF(AND(up_Irr!M10=".",up_Irr!AK10=".",up_Irr!BI10="."),up_dir!AM10*1000)))))))),".")</f>
        <v>7.2351016258567334E-11</v>
      </c>
      <c r="BM10" s="76">
        <f>IFERROR(IF(AND(up_Irr!N10&lt;&gt;".",up_Irr!AL10&lt;&gt;".",up_Irr!BJ10&lt;&gt;"."),up_dir!AN10/((1/1000)*(up_Irr!N10+up_Irr!AL10+up_Irr!BJ10)),IF(AND(up_Irr!N10&lt;&gt;".",up_Irr!AL10&lt;&gt;".",up_Irr!BJ10="."),up_dir!AN10/((1/1000)*(up_Irr!N10+up_Irr!AL10)),IF(AND(up_Irr!N10&lt;&gt;".",up_Irr!AL10=".",up_Irr!BJ10&lt;&gt;"."),up_dir!AN10/((1/1000)*(up_Irr!N10+up_Irr!BJ10)),IF(AND(up_Irr!N10=".",up_Irr!AL10&lt;&gt;".",up_Irr!BJ10&lt;&gt;"."),up_dir!AN10/((1/1000)*(up_Irr!AL10+up_Irr!BJ10)),IF(AND(up_Irr!N10=".",up_Irr!AL10=".",up_Irr!BJ10&lt;&gt;"."),up_dir!AN10/((1/1000)*(up_Irr!BJ10)),IF(AND(up_Irr!N10=".",up_Irr!AL10&lt;&gt;".",up_Irr!BJ10="."),up_dir!AN10/((1/1000)*(up_Irr!AL10)),IF(AND(up_Irr!N10&lt;&gt;".",up_Irr!AL10=".",up_Irr!BJ10="."),up_dir!AN10/((1/1000)*(up_Irr!N10)),IF(AND(up_Irr!N10=".",up_Irr!AL10=".",up_Irr!BJ10="."),up_dir!AN10*1000)))))))),".")</f>
        <v>7.2351016258567334E-11</v>
      </c>
      <c r="BN10" s="76">
        <f>IFERROR(IF(AND(up_Irr!O10&lt;&gt;".",up_Irr!AM10&lt;&gt;".",up_Irr!BK10&lt;&gt;"."),up_dir!AO10/((1/1000)*(up_Irr!O10+up_Irr!AM10+up_Irr!BK10)),IF(AND(up_Irr!O10&lt;&gt;".",up_Irr!AM10&lt;&gt;".",up_Irr!BK10="."),up_dir!AO10/((1/1000)*(up_Irr!O10+up_Irr!AM10)),IF(AND(up_Irr!O10&lt;&gt;".",up_Irr!AM10=".",up_Irr!BK10&lt;&gt;"."),up_dir!AO10/((1/1000)*(up_Irr!O10+up_Irr!BK10)),IF(AND(up_Irr!O10=".",up_Irr!AM10&lt;&gt;".",up_Irr!BK10&lt;&gt;"."),up_dir!AO10/((1/1000)*(up_Irr!AM10+up_Irr!BK10)),IF(AND(up_Irr!O10=".",up_Irr!AM10=".",up_Irr!BK10&lt;&gt;"."),up_dir!AO10/((1/1000)*(up_Irr!BK10)),IF(AND(up_Irr!O10=".",up_Irr!AM10&lt;&gt;".",up_Irr!BK10="."),up_dir!AO10/((1/1000)*(up_Irr!AM10)),IF(AND(up_Irr!O10&lt;&gt;".",up_Irr!AM10=".",up_Irr!BK10="."),up_dir!AO10/((1/1000)*(up_Irr!O10)),IF(AND(up_Irr!O10=".",up_Irr!AM10=".",up_Irr!BK10="."),up_dir!AO10*1000)))))))),".")</f>
        <v>7.2351016258567334E-11</v>
      </c>
      <c r="BO10" s="76">
        <f>IFERROR(IF(AND(up_Irr!P10&lt;&gt;".",up_Irr!AN10&lt;&gt;".",up_Irr!BL10&lt;&gt;"."),up_dir!AP10/((1/1000)*(up_Irr!P10+up_Irr!AN10+up_Irr!BL10)),IF(AND(up_Irr!P10&lt;&gt;".",up_Irr!AN10&lt;&gt;".",up_Irr!BL10="."),up_dir!AP10/((1/1000)*(up_Irr!P10+up_Irr!AN10)),IF(AND(up_Irr!P10&lt;&gt;".",up_Irr!AN10=".",up_Irr!BL10&lt;&gt;"."),up_dir!AP10/((1/1000)*(up_Irr!P10+up_Irr!BL10)),IF(AND(up_Irr!P10=".",up_Irr!AN10&lt;&gt;".",up_Irr!BL10&lt;&gt;"."),up_dir!AP10/((1/1000)*(up_Irr!AN10+up_Irr!BL10)),IF(AND(up_Irr!P10=".",up_Irr!AN10=".",up_Irr!BL10&lt;&gt;"."),up_dir!AP10/((1/1000)*(up_Irr!BL10)),IF(AND(up_Irr!P10=".",up_Irr!AN10&lt;&gt;".",up_Irr!BL10="."),up_dir!AP10/((1/1000)*(up_Irr!AN10)),IF(AND(up_Irr!P10&lt;&gt;".",up_Irr!AN10=".",up_Irr!BL10="."),up_dir!AP10/((1/1000)*(up_Irr!P10)),IF(AND(up_Irr!P10=".",up_Irr!AN10=".",up_Irr!BL10="."),up_dir!AP10*1000)))))))),".")</f>
        <v>7.2351016258567334E-11</v>
      </c>
      <c r="BP10" s="76">
        <f>IFERROR(IF(AND(up_Irr!Q10&lt;&gt;".",up_Irr!AO10&lt;&gt;".",up_Irr!BM10&lt;&gt;"."),up_dir!AQ10/((1/1000)*(up_Irr!Q10+up_Irr!AO10+up_Irr!BM10)),IF(AND(up_Irr!Q10&lt;&gt;".",up_Irr!AO10&lt;&gt;".",up_Irr!BM10="."),up_dir!AQ10/((1/1000)*(up_Irr!Q10+up_Irr!AO10)),IF(AND(up_Irr!Q10&lt;&gt;".",up_Irr!AO10=".",up_Irr!BM10&lt;&gt;"."),up_dir!AQ10/((1/1000)*(up_Irr!Q10+up_Irr!BM10)),IF(AND(up_Irr!Q10=".",up_Irr!AO10&lt;&gt;".",up_Irr!BM10&lt;&gt;"."),up_dir!AQ10/((1/1000)*(up_Irr!AO10+up_Irr!BM10)),IF(AND(up_Irr!Q10=".",up_Irr!AO10=".",up_Irr!BM10&lt;&gt;"."),up_dir!AQ10/((1/1000)*(up_Irr!BM10)),IF(AND(up_Irr!Q10=".",up_Irr!AO10&lt;&gt;".",up_Irr!BM10="."),up_dir!AQ10/((1/1000)*(up_Irr!AO10)),IF(AND(up_Irr!Q10&lt;&gt;".",up_Irr!AO10=".",up_Irr!BM10="."),up_dir!AQ10/((1/1000)*(up_Irr!Q10)),IF(AND(up_Irr!Q10=".",up_Irr!AO10=".",up_Irr!BM10="."),up_dir!AQ10*1000)))))))),".")</f>
        <v>7.2351016258567334E-11</v>
      </c>
      <c r="BQ10" s="76">
        <f>IFERROR(IF(AND(up_Irr!R10&lt;&gt;".",up_Irr!AP10&lt;&gt;".",up_Irr!BN10&lt;&gt;"."),up_dir!AR10/((1/1000)*(up_Irr!R10+up_Irr!AP10+up_Irr!BN10)),IF(AND(up_Irr!R10&lt;&gt;".",up_Irr!AP10&lt;&gt;".",up_Irr!BN10="."),up_dir!AR10/((1/1000)*(up_Irr!R10+up_Irr!AP10)),IF(AND(up_Irr!R10&lt;&gt;".",up_Irr!AP10=".",up_Irr!BN10&lt;&gt;"."),up_dir!AR10/((1/1000)*(up_Irr!R10+up_Irr!BN10)),IF(AND(up_Irr!R10=".",up_Irr!AP10&lt;&gt;".",up_Irr!BN10&lt;&gt;"."),up_dir!AR10/((1/1000)*(up_Irr!AP10+up_Irr!BN10)),IF(AND(up_Irr!R10=".",up_Irr!AP10=".",up_Irr!BN10&lt;&gt;"."),up_dir!AR10/((1/1000)*(up_Irr!BN10)),IF(AND(up_Irr!R10=".",up_Irr!AP10&lt;&gt;".",up_Irr!BN10="."),up_dir!AR10/((1/1000)*(up_Irr!AP10)),IF(AND(up_Irr!R10&lt;&gt;".",up_Irr!AP10=".",up_Irr!BN10="."),up_dir!AR10/((1/1000)*(up_Irr!R10)),IF(AND(up_Irr!R10=".",up_Irr!AP10=".",up_Irr!BN10="."),up_dir!AR10*1000)))))))),".")</f>
        <v>7.2351016258567334E-11</v>
      </c>
      <c r="BR10" s="76">
        <f>IFERROR(IF(AND(up_Irr!S10&lt;&gt;".",up_Irr!AQ10&lt;&gt;".",up_Irr!BO10&lt;&gt;"."),up_dir!AS10/((1/1000)*(up_Irr!S10+up_Irr!AQ10+up_Irr!BO10)),IF(AND(up_Irr!S10&lt;&gt;".",up_Irr!AQ10&lt;&gt;".",up_Irr!BO10="."),up_dir!AS10/((1/1000)*(up_Irr!S10+up_Irr!AQ10)),IF(AND(up_Irr!S10&lt;&gt;".",up_Irr!AQ10=".",up_Irr!BO10&lt;&gt;"."),up_dir!AS10/((1/1000)*(up_Irr!S10+up_Irr!BO10)),IF(AND(up_Irr!S10=".",up_Irr!AQ10&lt;&gt;".",up_Irr!BO10&lt;&gt;"."),up_dir!AS10/((1/1000)*(up_Irr!AQ10+up_Irr!BO10)),IF(AND(up_Irr!S10=".",up_Irr!AQ10=".",up_Irr!BO10&lt;&gt;"."),up_dir!AS10/((1/1000)*(up_Irr!BO10)),IF(AND(up_Irr!S10=".",up_Irr!AQ10&lt;&gt;".",up_Irr!BO10="."),up_dir!AS10/((1/1000)*(up_Irr!AQ10)),IF(AND(up_Irr!S10&lt;&gt;".",up_Irr!AQ10=".",up_Irr!BO10="."),up_dir!AS10/((1/1000)*(up_Irr!S10)),IF(AND(up_Irr!S10=".",up_Irr!AQ10=".",up_Irr!BO10="."),up_dir!AS10*1000)))))))),".")</f>
        <v>7.2351016258567334E-11</v>
      </c>
      <c r="BS10" s="76">
        <f>IFERROR(IF(AND(up_Irr!T10&lt;&gt;".",up_Irr!AR10&lt;&gt;".",up_Irr!BP10&lt;&gt;"."),up_dir!AT10/((1/1000)*(up_Irr!T10+up_Irr!AR10+up_Irr!BP10)),IF(AND(up_Irr!T10&lt;&gt;".",up_Irr!AR10&lt;&gt;".",up_Irr!BP10="."),up_dir!AT10/((1/1000)*(up_Irr!T10+up_Irr!AR10)),IF(AND(up_Irr!T10&lt;&gt;".",up_Irr!AR10=".",up_Irr!BP10&lt;&gt;"."),up_dir!AT10/((1/1000)*(up_Irr!T10+up_Irr!BP10)),IF(AND(up_Irr!T10=".",up_Irr!AR10&lt;&gt;".",up_Irr!BP10&lt;&gt;"."),up_dir!AT10/((1/1000)*(up_Irr!AR10+up_Irr!BP10)),IF(AND(up_Irr!T10=".",up_Irr!AR10=".",up_Irr!BP10&lt;&gt;"."),up_dir!AT10/((1/1000)*(up_Irr!BP10)),IF(AND(up_Irr!T10=".",up_Irr!AR10&lt;&gt;".",up_Irr!BP10="."),up_dir!AT10/((1/1000)*(up_Irr!AR10)),IF(AND(up_Irr!T10&lt;&gt;".",up_Irr!AR10=".",up_Irr!BP10="."),up_dir!AT10/((1/1000)*(up_Irr!T10)),IF(AND(up_Irr!T10=".",up_Irr!AR10=".",up_Irr!BP10="."),up_dir!AT10*1000)))))))),".")</f>
        <v>7.2351016258567334E-11</v>
      </c>
      <c r="BT10" s="76">
        <f>IFERROR(IF(AND(up_Irr!U10&lt;&gt;".",up_Irr!AS10&lt;&gt;".",up_Irr!BQ10&lt;&gt;"."),up_dir!AU10/((1/1000)*(up_Irr!U10+up_Irr!AS10+up_Irr!BQ10)),IF(AND(up_Irr!U10&lt;&gt;".",up_Irr!AS10&lt;&gt;".",up_Irr!BQ10="."),up_dir!AU10/((1/1000)*(up_Irr!U10+up_Irr!AS10)),IF(AND(up_Irr!U10&lt;&gt;".",up_Irr!AS10=".",up_Irr!BQ10&lt;&gt;"."),up_dir!AU10/((1/1000)*(up_Irr!U10+up_Irr!BQ10)),IF(AND(up_Irr!U10=".",up_Irr!AS10&lt;&gt;".",up_Irr!BQ10&lt;&gt;"."),up_dir!AU10/((1/1000)*(up_Irr!AS10+up_Irr!BQ10)),IF(AND(up_Irr!U10=".",up_Irr!AS10=".",up_Irr!BQ10&lt;&gt;"."),up_dir!AU10/((1/1000)*(up_Irr!BQ10)),IF(AND(up_Irr!U10=".",up_Irr!AS10&lt;&gt;".",up_Irr!BQ10="."),up_dir!AU10/((1/1000)*(up_Irr!AS10)),IF(AND(up_Irr!U10&lt;&gt;".",up_Irr!AS10=".",up_Irr!BQ10="."),up_dir!AU10/((1/1000)*(up_Irr!U10)),IF(AND(up_Irr!U10=".",up_Irr!AS10=".",up_Irr!BQ10="."),up_dir!AU10*1000)))))))),".")</f>
        <v>7.2351016258567334E-11</v>
      </c>
      <c r="BU10" s="76">
        <f>IFERROR(IF(AND(up_Irr!V10&lt;&gt;".",up_Irr!AT10&lt;&gt;".",up_Irr!BR10&lt;&gt;"."),up_dir!AV10/((1/1000)*(up_Irr!V10+up_Irr!AT10+up_Irr!BR10)),IF(AND(up_Irr!V10&lt;&gt;".",up_Irr!AT10&lt;&gt;".",up_Irr!BR10="."),up_dir!AV10/((1/1000)*(up_Irr!V10+up_Irr!AT10)),IF(AND(up_Irr!V10&lt;&gt;".",up_Irr!AT10=".",up_Irr!BR10&lt;&gt;"."),up_dir!AV10/((1/1000)*(up_Irr!V10+up_Irr!BR10)),IF(AND(up_Irr!V10=".",up_Irr!AT10&lt;&gt;".",up_Irr!BR10&lt;&gt;"."),up_dir!AV10/((1/1000)*(up_Irr!AT10+up_Irr!BR10)),IF(AND(up_Irr!V10=".",up_Irr!AT10=".",up_Irr!BR10&lt;&gt;"."),up_dir!AV10/((1/1000)*(up_Irr!BR10)),IF(AND(up_Irr!V10=".",up_Irr!AT10&lt;&gt;".",up_Irr!BR10="."),up_dir!AV10/((1/1000)*(up_Irr!AT10)),IF(AND(up_Irr!V10&lt;&gt;".",up_Irr!AT10=".",up_Irr!BR10="."),up_dir!AV10/((1/1000)*(up_Irr!V10)),IF(AND(up_Irr!V10=".",up_Irr!AT10=".",up_Irr!BR10="."),up_dir!AV10*1000)))))))),".")</f>
        <v>7.2351016258567334E-11</v>
      </c>
      <c r="BV10" s="76">
        <f>IFERROR(IF(AND(up_Irr!W10&lt;&gt;".",up_Irr!AU10&lt;&gt;".",up_Irr!BS10&lt;&gt;"."),up_dir!AW10/((1/1000)*(up_Irr!W10+up_Irr!AU10+up_Irr!BS10)),IF(AND(up_Irr!W10&lt;&gt;".",up_Irr!AU10&lt;&gt;".",up_Irr!BS10="."),up_dir!AW10/((1/1000)*(up_Irr!W10+up_Irr!AU10)),IF(AND(up_Irr!W10&lt;&gt;".",up_Irr!AU10=".",up_Irr!BS10&lt;&gt;"."),up_dir!AW10/((1/1000)*(up_Irr!W10+up_Irr!BS10)),IF(AND(up_Irr!W10=".",up_Irr!AU10&lt;&gt;".",up_Irr!BS10&lt;&gt;"."),up_dir!AW10/((1/1000)*(up_Irr!AU10+up_Irr!BS10)),IF(AND(up_Irr!W10=".",up_Irr!AU10=".",up_Irr!BS10&lt;&gt;"."),up_dir!AW10/((1/1000)*(up_Irr!BS10)),IF(AND(up_Irr!W10=".",up_Irr!AU10&lt;&gt;".",up_Irr!BS10="."),up_dir!AW10/((1/1000)*(up_Irr!AU10)),IF(AND(up_Irr!W10&lt;&gt;".",up_Irr!AU10=".",up_Irr!BS10="."),up_dir!AW10/((1/1000)*(up_Irr!W10)),IF(AND(up_Irr!W10=".",up_Irr!AU10=".",up_Irr!BS10="."),up_dir!AW10*1000)))))))),".")</f>
        <v>7.2351016258567334E-11</v>
      </c>
      <c r="BW10" s="76">
        <f>IFERROR(IF(AND(up_Irr!X10&lt;&gt;".",up_Irr!AV10&lt;&gt;".",up_Irr!BT10&lt;&gt;"."),up_dir!AX10/((1/1000)*(up_Irr!X10+up_Irr!AV10+up_Irr!BT10)),IF(AND(up_Irr!X10&lt;&gt;".",up_Irr!AV10&lt;&gt;".",up_Irr!BT10="."),up_dir!AX10/((1/1000)*(up_Irr!X10+up_Irr!AV10)),IF(AND(up_Irr!X10&lt;&gt;".",up_Irr!AV10=".",up_Irr!BT10&lt;&gt;"."),up_dir!AX10/((1/1000)*(up_Irr!X10+up_Irr!BT10)),IF(AND(up_Irr!X10=".",up_Irr!AV10&lt;&gt;".",up_Irr!BT10&lt;&gt;"."),up_dir!AX10/((1/1000)*(up_Irr!AV10+up_Irr!BT10)),IF(AND(up_Irr!X10=".",up_Irr!AV10=".",up_Irr!BT10&lt;&gt;"."),up_dir!AX10/((1/1000)*(up_Irr!BT10)),IF(AND(up_Irr!X10=".",up_Irr!AV10&lt;&gt;".",up_Irr!BT10="."),up_dir!AX10/((1/1000)*(up_Irr!AV10)),IF(AND(up_Irr!X10&lt;&gt;".",up_Irr!AV10=".",up_Irr!BT10="."),up_dir!AX10/((1/1000)*(up_Irr!X10)),IF(AND(up_Irr!X10=".",up_Irr!AV10=".",up_Irr!BT10="."),up_dir!AX10*1000)))))))),".")</f>
        <v>7.2351016258567334E-11</v>
      </c>
      <c r="BX10" s="76">
        <f>IFERROR(IF(AND(up_Irr!Y10&lt;&gt;".",up_Irr!AW10&lt;&gt;".",up_Irr!BU10&lt;&gt;"."),up_dir!AY10/((1/1000)*(up_Irr!Y10+up_Irr!AW10+up_Irr!BU10)),IF(AND(up_Irr!Y10&lt;&gt;".",up_Irr!AW10&lt;&gt;".",up_Irr!BU10="."),up_dir!AY10/((1/1000)*(up_Irr!Y10+up_Irr!AW10)),IF(AND(up_Irr!Y10&lt;&gt;".",up_Irr!AW10=".",up_Irr!BU10&lt;&gt;"."),up_dir!AY10/((1/1000)*(up_Irr!Y10+up_Irr!BU10)),IF(AND(up_Irr!Y10=".",up_Irr!AW10&lt;&gt;".",up_Irr!BU10&lt;&gt;"."),up_dir!AY10/((1/1000)*(up_Irr!AW10+up_Irr!BU10)),IF(AND(up_Irr!Y10=".",up_Irr!AW10=".",up_Irr!BU10&lt;&gt;"."),up_dir!AY10/((1/1000)*(up_Irr!BU10)),IF(AND(up_Irr!Y10=".",up_Irr!AW10&lt;&gt;".",up_Irr!BU10="."),up_dir!AY10/((1/1000)*(up_Irr!AW10)),IF(AND(up_Irr!Y10&lt;&gt;".",up_Irr!AW10=".",up_Irr!BU10="."),up_dir!AY10/((1/1000)*(up_Irr!Y10)),IF(AND(up_Irr!Y10=".",up_Irr!AW10=".",up_Irr!BU10="."),up_dir!AY10*1000)))))))),".")</f>
        <v>7.2351016258567334E-11</v>
      </c>
      <c r="BY10" s="76">
        <f>IFERROR(IF(AND(up_Irr!Z10&lt;&gt;".",up_Irr!AX10&lt;&gt;".",up_Irr!BV10&lt;&gt;"."),up_dir!AZ10/((1/1000)*(up_Irr!Z10+up_Irr!AX10+up_Irr!BV10)),IF(AND(up_Irr!Z10&lt;&gt;".",up_Irr!AX10&lt;&gt;".",up_Irr!BV10="."),up_dir!AZ10/((1/1000)*(up_Irr!Z10+up_Irr!AX10)),IF(AND(up_Irr!Z10&lt;&gt;".",up_Irr!AX10=".",up_Irr!BV10&lt;&gt;"."),up_dir!AZ10/((1/1000)*(up_Irr!Z10+up_Irr!BV10)),IF(AND(up_Irr!Z10=".",up_Irr!AX10&lt;&gt;".",up_Irr!BV10&lt;&gt;"."),up_dir!AZ10/((1/1000)*(up_Irr!AX10+up_Irr!BV10)),IF(AND(up_Irr!Z10=".",up_Irr!AX10=".",up_Irr!BV10&lt;&gt;"."),up_dir!AZ10/((1/1000)*(up_Irr!BV10)),IF(AND(up_Irr!Z10=".",up_Irr!AX10&lt;&gt;".",up_Irr!BV10="."),up_dir!AZ10/((1/1000)*(up_Irr!AX10)),IF(AND(up_Irr!Z10&lt;&gt;".",up_Irr!AX10=".",up_Irr!BV10="."),up_dir!AZ10/((1/1000)*(up_Irr!Z10)),IF(AND(up_Irr!Z10=".",up_Irr!AX10=".",up_Irr!BV10="."),up_dir!AZ10*1000)))))))),".")</f>
        <v>7.2351016258567334E-11</v>
      </c>
      <c r="BZ10" s="93">
        <f>SUM(CA10:CB10,CW10:CX10)</f>
        <v>55286.023705663516</v>
      </c>
      <c r="CA10" s="93">
        <f>IFERROR(s_C*s_IFAP_far_adj*s_CF_apple*(1/1000)*(up_Irr!C10+up_Irr!AA10+up_Irr!AY10),".")</f>
        <v>13821.505926415879</v>
      </c>
      <c r="CB10" s="93">
        <f>IFERROR(s_C*s_IFAS_far_adj*s_CF_asparagus*(1/1000)*(up_Irr!D10+up_Irr!AB10+up_Irr!AZ10),".")</f>
        <v>13821.505926415879</v>
      </c>
      <c r="CC10" s="93">
        <f>IFERROR(s_C*s_IFBT_far_adj*s_CF_beet*(1/1000)*(up_Irr!E10+up_Irr!AC10+up_Irr!BA10),".")</f>
        <v>13821.505926415879</v>
      </c>
      <c r="CD10" s="93">
        <f>IFERROR(s_C*s_IFBE_far_adj*s_CF_berries*(1/1000)*(up_Irr!F10+up_Irr!AD10+up_Irr!BB10),".")</f>
        <v>13821.505926415879</v>
      </c>
      <c r="CE10" s="93">
        <f>IFERROR(s_C*s_IFBR_far_adj*s_CF_broccoli*(1/1000)*(up_Irr!G10+up_Irr!AE10+up_Irr!BC10),".")</f>
        <v>13821.505926415879</v>
      </c>
      <c r="CF10" s="93">
        <f>IFERROR(s_C*s_IFCB_far_adj*s_CF_cabbage*(1/1000)*(up_Irr!H10+up_Irr!AF10+up_Irr!BD10),".")</f>
        <v>13821.505926415879</v>
      </c>
      <c r="CG10" s="93">
        <f>IFERROR(s_C*s_IFCR_far_adj*s_CF_carrot*(1/1000)*(up_Irr!I10+up_Irr!AG10+up_Irr!BE10),".")</f>
        <v>13821.505926415879</v>
      </c>
      <c r="CH10" s="93">
        <f>IFERROR(s_C*s_IFCI_far_adj*s_CF_citrus*(1/1000)*(up_Irr!J10+up_Irr!AH10+up_Irr!BF10),".")</f>
        <v>13821.505926415879</v>
      </c>
      <c r="CI10" s="93">
        <f>IFERROR(s_C*s_IFCO_far_adj*s_CF_corn*(1/1000)*(up_Irr!K10+up_Irr!AI10+up_Irr!BG10),".")</f>
        <v>13821.505926415879</v>
      </c>
      <c r="CJ10" s="93">
        <f>IFERROR(s_C*s_IFCU_far_adj*s_CF_cucumber*(1/1000)*(up_Irr!L10+up_Irr!AJ10+up_Irr!BH10),".")</f>
        <v>13821.505926415879</v>
      </c>
      <c r="CK10" s="93">
        <f>IFERROR(s_C*s_IFLE_far_adj*s_CF_lettuce*(1/1000)*(up_Irr!M10+up_Irr!AK10+up_Irr!BI10),".")</f>
        <v>13821.505926415879</v>
      </c>
      <c r="CL10" s="93">
        <f>IFERROR(s_C*s_IFLI_far_adj*s_CF_lima_bean*(1/1000)*(up_Irr!N10+up_Irr!AL10+up_Irr!BJ10),".")</f>
        <v>13821.505926415879</v>
      </c>
      <c r="CM10" s="93">
        <f>IFERROR(s_C*s_IFOK_far_adj*s_CF_okra*(1/1000)*(up_Irr!O10+up_Irr!AM10+up_Irr!BK10),".")</f>
        <v>13821.505926415879</v>
      </c>
      <c r="CN10" s="93">
        <f>IFERROR(s_C*s_IFON_far_adj*s_CF_onion*(1/1000)*(up_Irr!P10+up_Irr!AN10+up_Irr!BL10),".")</f>
        <v>13821.505926415879</v>
      </c>
      <c r="CO10" s="93">
        <f>IFERROR(s_C*s_IFPC_far_adj*s_CF_peach*(1/1000)*(up_Irr!Q10+up_Irr!AO10+up_Irr!BM10),".")</f>
        <v>13821.505926415879</v>
      </c>
      <c r="CP10" s="93">
        <f>IFERROR(s_C*s_IFPR_far_adj*s_CF_pear*(1/1000)*(up_Irr!R10+up_Irr!AP10+up_Irr!BN10),".")</f>
        <v>13821.505926415879</v>
      </c>
      <c r="CQ10" s="93">
        <f>IFERROR(s_C*s_IFPE_far_adj*s_CF_peas*(1/1000)*(up_Irr!S10+up_Irr!AQ10+up_Irr!BO10),".")</f>
        <v>13821.505926415879</v>
      </c>
      <c r="CR10" s="93">
        <f>IFERROR(s_C*s_IFPT_far_adj*s_CF_potato*(1/1000)*(up_Irr!T10+up_Irr!AR10+up_Irr!BP10),".")</f>
        <v>13821.505926415879</v>
      </c>
      <c r="CS10" s="93">
        <f>IFERROR(s_C*s_IFPU_far_adj*s_CF_pumpkin*(1/1000)*(up_Irr!U10+up_Irr!AS10+up_Irr!BQ10),".")</f>
        <v>13821.505926415879</v>
      </c>
      <c r="CT10" s="93">
        <f>IFERROR(s_C*s_IFSN_far_adj*s_CF_snap_bean*(1/1000)*(up_Irr!V10+up_Irr!AT10+up_Irr!BR10),".")</f>
        <v>13821.505926415879</v>
      </c>
      <c r="CU10" s="93">
        <f>IFERROR(s_C*s_IFST_far_adj*s_CF_strawberry*(1/1000)*(up_Irr!W10+up_Irr!AU10+up_Irr!BS10),".")</f>
        <v>13821.505926415879</v>
      </c>
      <c r="CV10" s="93">
        <f>IFERROR(s_C*s_IFTO_far_adj*s_CF_tomato*(1/1000)*(up_Irr!X10+up_Irr!AV10+up_Irr!BT10),".")</f>
        <v>13821.505926415879</v>
      </c>
      <c r="CW10" s="93">
        <f>IFERROR(s_C*s_IFRI_far_adj*s_CF_rice*(1/1000)*(up_Irr!Y10+up_Irr!AW10+up_Irr!BU10),".")</f>
        <v>13821.505926415879</v>
      </c>
      <c r="CX10" s="93">
        <f>IFERROR(s_C*s_IFCG_far_adj*s_CF_cereal*(1/1000)*(up_Irr!Z10+up_Irr!AX10+up_Irr!BV10),".")</f>
        <v>13821.505926415879</v>
      </c>
    </row>
    <row r="11" spans="1:102" ht="15" customHeight="1" x14ac:dyDescent="0.25">
      <c r="A11" s="92" t="s">
        <v>21</v>
      </c>
      <c r="B11" s="90" t="s">
        <v>1074</v>
      </c>
      <c r="C11" s="76">
        <f t="shared" si="0"/>
        <v>1.8087754064641833E-11</v>
      </c>
      <c r="D11" s="76">
        <f>IFERROR(IF(AND(up_Irr!C11&lt;&gt;".",up_Irr!AA11&lt;&gt;".",up_Irr!AY11&lt;&gt;"."),up_dir!D11/((1/1000)*(up_Irr!C11+up_Irr!AA11+up_Irr!AY11)),IF(AND(up_Irr!C11&lt;&gt;".",up_Irr!AA11&lt;&gt;".",up_Irr!AY11="."),up_dir!D11/((1/1000)*(up_Irr!C11+up_Irr!AA11)),IF(AND(up_Irr!C11&lt;&gt;".",up_Irr!AA11=".",up_Irr!AY11&lt;&gt;"."),up_dir!D11/((1/1000)*(up_Irr!C11+up_Irr!AY11)),IF(AND(up_Irr!C11=".",up_Irr!AA11&lt;&gt;".",up_Irr!AY11&lt;&gt;"."),up_dir!D11/((1/1000)*(up_Irr!AA11+up_Irr!AY11)),IF(AND(up_Irr!C11=".",up_Irr!AA11=".",up_Irr!AY11&lt;&gt;"."),up_dir!D11/((1/1000)*(up_Irr!AY11)),IF(AND(up_Irr!C11=".",up_Irr!AA11&lt;&gt;".",up_Irr!AY11="."),up_dir!D11/((1/1000)*(up_Irr!AA11)),IF(AND(up_Irr!C11&lt;&gt;".",up_Irr!AA11=".",up_Irr!AY11="."),up_dir!D11/((1/1000)*(up_Irr!C11)),IF(AND(up_Irr!C11=".",up_Irr!AA11=".",up_Irr!AY11="."),up_dir!D11*1000)))))))),".")</f>
        <v>7.2351016258567334E-11</v>
      </c>
      <c r="E11" s="76">
        <f>IFERROR(IF(AND(up_Irr!D11&lt;&gt;".",up_Irr!AB11&lt;&gt;".",up_Irr!AZ11&lt;&gt;"."),up_dir!E11/((1/1000)*(up_Irr!D11+up_Irr!AB11+up_Irr!AZ11)),IF(AND(up_Irr!D11&lt;&gt;".",up_Irr!AB11&lt;&gt;".",up_Irr!AZ11="."),up_dir!E11/((1/1000)*(up_Irr!D11+up_Irr!AB11)),IF(AND(up_Irr!D11&lt;&gt;".",up_Irr!AB11=".",up_Irr!AZ11&lt;&gt;"."),up_dir!E11/((1/1000)*(up_Irr!D11+up_Irr!AZ11)),IF(AND(up_Irr!D11=".",up_Irr!AB11&lt;&gt;".",up_Irr!AZ11&lt;&gt;"."),up_dir!E11/((1/1000)*(up_Irr!AB11+up_Irr!AZ11)),IF(AND(up_Irr!D11=".",up_Irr!AB11=".",up_Irr!AZ11&lt;&gt;"."),up_dir!E11/((1/1000)*(up_Irr!AZ11)),IF(AND(up_Irr!D11=".",up_Irr!AB11&lt;&gt;".",up_Irr!AZ11="."),up_dir!E11/((1/1000)*(up_Irr!AB11)),IF(AND(up_Irr!D11&lt;&gt;".",up_Irr!AB11=".",up_Irr!AZ11="."),up_dir!E11/((1/1000)*(up_Irr!D11)),IF(AND(up_Irr!D11=".",up_Irr!AB11=".",up_Irr!AZ11="."),up_dir!E11*1000)))))))),".")</f>
        <v>7.2351016258567334E-11</v>
      </c>
      <c r="F11" s="76">
        <f>IFERROR(IF(AND(up_Irr!E11&lt;&gt;".",up_Irr!AC11&lt;&gt;".",up_Irr!BA11&lt;&gt;"."),up_dir!F11/((1/1000)*(up_Irr!E11+up_Irr!AC11+up_Irr!BA11)),IF(AND(up_Irr!E11&lt;&gt;".",up_Irr!AC11&lt;&gt;".",up_Irr!BA11="."),up_dir!F11/((1/1000)*(up_Irr!E11+up_Irr!AC11)),IF(AND(up_Irr!E11&lt;&gt;".",up_Irr!AC11=".",up_Irr!BA11&lt;&gt;"."),up_dir!F11/((1/1000)*(up_Irr!E11+up_Irr!BA11)),IF(AND(up_Irr!E11=".",up_Irr!AC11&lt;&gt;".",up_Irr!BA11&lt;&gt;"."),up_dir!F11/((1/1000)*(up_Irr!AC11+up_Irr!BA11)),IF(AND(up_Irr!E11=".",up_Irr!AC11=".",up_Irr!BA11&lt;&gt;"."),up_dir!F11/((1/1000)*(up_Irr!BA11)),IF(AND(up_Irr!E11=".",up_Irr!AC11&lt;&gt;".",up_Irr!BA11="."),up_dir!F11/((1/1000)*(up_Irr!AC11)),IF(AND(up_Irr!E11&lt;&gt;".",up_Irr!AC11=".",up_Irr!BA11="."),up_dir!F11/((1/1000)*(up_Irr!E11)),IF(AND(up_Irr!E11=".",up_Irr!AC11=".",up_Irr!BA11="."),up_dir!F11*1000)))))))),".")</f>
        <v>7.2351016258567334E-11</v>
      </c>
      <c r="G11" s="76">
        <f>IFERROR(IF(AND(up_Irr!F11&lt;&gt;".",up_Irr!AD11&lt;&gt;".",up_Irr!BB11&lt;&gt;"."),up_dir!G11/((1/1000)*(up_Irr!F11+up_Irr!AD11+up_Irr!BB11)),IF(AND(up_Irr!F11&lt;&gt;".",up_Irr!AD11&lt;&gt;".",up_Irr!BB11="."),up_dir!G11/((1/1000)*(up_Irr!F11+up_Irr!AD11)),IF(AND(up_Irr!F11&lt;&gt;".",up_Irr!AD11=".",up_Irr!BB11&lt;&gt;"."),up_dir!G11/((1/1000)*(up_Irr!F11+up_Irr!BB11)),IF(AND(up_Irr!F11=".",up_Irr!AD11&lt;&gt;".",up_Irr!BB11&lt;&gt;"."),up_dir!G11/((1/1000)*(up_Irr!AD11+up_Irr!BB11)),IF(AND(up_Irr!F11=".",up_Irr!AD11=".",up_Irr!BB11&lt;&gt;"."),up_dir!G11/((1/1000)*(up_Irr!BB11)),IF(AND(up_Irr!F11=".",up_Irr!AD11&lt;&gt;".",up_Irr!BB11="."),up_dir!G11/((1/1000)*(up_Irr!AD11)),IF(AND(up_Irr!F11&lt;&gt;".",up_Irr!AD11=".",up_Irr!BB11="."),up_dir!G11/((1/1000)*(up_Irr!F11)),IF(AND(up_Irr!F11=".",up_Irr!AD11=".",up_Irr!BB11="."),up_dir!G11*1000)))))))),".")</f>
        <v>7.2351016258567334E-11</v>
      </c>
      <c r="H11" s="76">
        <f>IFERROR(IF(AND(up_Irr!G11&lt;&gt;".",up_Irr!AE11&lt;&gt;".",up_Irr!BC11&lt;&gt;"."),up_dir!H11/((1/1000)*(up_Irr!G11+up_Irr!AE11+up_Irr!BC11)),IF(AND(up_Irr!G11&lt;&gt;".",up_Irr!AE11&lt;&gt;".",up_Irr!BC11="."),up_dir!H11/((1/1000)*(up_Irr!G11+up_Irr!AE11)),IF(AND(up_Irr!G11&lt;&gt;".",up_Irr!AE11=".",up_Irr!BC11&lt;&gt;"."),up_dir!H11/((1/1000)*(up_Irr!G11+up_Irr!BC11)),IF(AND(up_Irr!G11=".",up_Irr!AE11&lt;&gt;".",up_Irr!BC11&lt;&gt;"."),up_dir!H11/((1/1000)*(up_Irr!AE11+up_Irr!BC11)),IF(AND(up_Irr!G11=".",up_Irr!AE11=".",up_Irr!BC11&lt;&gt;"."),up_dir!H11/((1/1000)*(up_Irr!BC11)),IF(AND(up_Irr!G11=".",up_Irr!AE11&lt;&gt;".",up_Irr!BC11="."),up_dir!H11/((1/1000)*(up_Irr!AE11)),IF(AND(up_Irr!G11&lt;&gt;".",up_Irr!AE11=".",up_Irr!BC11="."),up_dir!H11/((1/1000)*(up_Irr!G11)),IF(AND(up_Irr!G11=".",up_Irr!AE11=".",up_Irr!BC11="."),up_dir!H11*1000)))))))),".")</f>
        <v>7.2351016258567334E-11</v>
      </c>
      <c r="I11" s="76">
        <f>IFERROR(IF(AND(up_Irr!H11&lt;&gt;".",up_Irr!AF11&lt;&gt;".",up_Irr!BD11&lt;&gt;"."),up_dir!I11/((1/1000)*(up_Irr!H11+up_Irr!AF11+up_Irr!BD11)),IF(AND(up_Irr!H11&lt;&gt;".",up_Irr!AF11&lt;&gt;".",up_Irr!BD11="."),up_dir!I11/((1/1000)*(up_Irr!H11+up_Irr!AF11)),IF(AND(up_Irr!H11&lt;&gt;".",up_Irr!AF11=".",up_Irr!BD11&lt;&gt;"."),up_dir!I11/((1/1000)*(up_Irr!H11+up_Irr!BD11)),IF(AND(up_Irr!H11=".",up_Irr!AF11&lt;&gt;".",up_Irr!BD11&lt;&gt;"."),up_dir!I11/((1/1000)*(up_Irr!AF11+up_Irr!BD11)),IF(AND(up_Irr!H11=".",up_Irr!AF11=".",up_Irr!BD11&lt;&gt;"."),up_dir!I11/((1/1000)*(up_Irr!BD11)),IF(AND(up_Irr!H11=".",up_Irr!AF11&lt;&gt;".",up_Irr!BD11="."),up_dir!I11/((1/1000)*(up_Irr!AF11)),IF(AND(up_Irr!H11&lt;&gt;".",up_Irr!AF11=".",up_Irr!BD11="."),up_dir!I11/((1/1000)*(up_Irr!H11)),IF(AND(up_Irr!H11=".",up_Irr!AF11=".",up_Irr!BD11="."),up_dir!I11*1000)))))))),".")</f>
        <v>7.2351016258567334E-11</v>
      </c>
      <c r="J11" s="76">
        <f>IFERROR(IF(AND(up_Irr!I11&lt;&gt;".",up_Irr!AG11&lt;&gt;".",up_Irr!BE11&lt;&gt;"."),up_dir!J11/((1/1000)*(up_Irr!I11+up_Irr!AG11+up_Irr!BE11)),IF(AND(up_Irr!I11&lt;&gt;".",up_Irr!AG11&lt;&gt;".",up_Irr!BE11="."),up_dir!J11/((1/1000)*(up_Irr!I11+up_Irr!AG11)),IF(AND(up_Irr!I11&lt;&gt;".",up_Irr!AG11=".",up_Irr!BE11&lt;&gt;"."),up_dir!J11/((1/1000)*(up_Irr!I11+up_Irr!BE11)),IF(AND(up_Irr!I11=".",up_Irr!AG11&lt;&gt;".",up_Irr!BE11&lt;&gt;"."),up_dir!J11/((1/1000)*(up_Irr!AG11+up_Irr!BE11)),IF(AND(up_Irr!I11=".",up_Irr!AG11=".",up_Irr!BE11&lt;&gt;"."),up_dir!J11/((1/1000)*(up_Irr!BE11)),IF(AND(up_Irr!I11=".",up_Irr!AG11&lt;&gt;".",up_Irr!BE11="."),up_dir!J11/((1/1000)*(up_Irr!AG11)),IF(AND(up_Irr!I11&lt;&gt;".",up_Irr!AG11=".",up_Irr!BE11="."),up_dir!J11/((1/1000)*(up_Irr!I11)),IF(AND(up_Irr!I11=".",up_Irr!AG11=".",up_Irr!BE11="."),up_dir!J11*1000)))))))),".")</f>
        <v>7.2351016258567334E-11</v>
      </c>
      <c r="K11" s="76">
        <f>IFERROR(IF(AND(up_Irr!J11&lt;&gt;".",up_Irr!AH11&lt;&gt;".",up_Irr!BF11&lt;&gt;"."),up_dir!K11/((1/1000)*(up_Irr!J11+up_Irr!AH11+up_Irr!BF11)),IF(AND(up_Irr!J11&lt;&gt;".",up_Irr!AH11&lt;&gt;".",up_Irr!BF11="."),up_dir!K11/((1/1000)*(up_Irr!J11+up_Irr!AH11)),IF(AND(up_Irr!J11&lt;&gt;".",up_Irr!AH11=".",up_Irr!BF11&lt;&gt;"."),up_dir!K11/((1/1000)*(up_Irr!J11+up_Irr!BF11)),IF(AND(up_Irr!J11=".",up_Irr!AH11&lt;&gt;".",up_Irr!BF11&lt;&gt;"."),up_dir!K11/((1/1000)*(up_Irr!AH11+up_Irr!BF11)),IF(AND(up_Irr!J11=".",up_Irr!AH11=".",up_Irr!BF11&lt;&gt;"."),up_dir!K11/((1/1000)*(up_Irr!BF11)),IF(AND(up_Irr!J11=".",up_Irr!AH11&lt;&gt;".",up_Irr!BF11="."),up_dir!K11/((1/1000)*(up_Irr!AH11)),IF(AND(up_Irr!J11&lt;&gt;".",up_Irr!AH11=".",up_Irr!BF11="."),up_dir!K11/((1/1000)*(up_Irr!J11)),IF(AND(up_Irr!J11=".",up_Irr!AH11=".",up_Irr!BF11="."),up_dir!K11*1000)))))))),".")</f>
        <v>7.2351016258567334E-11</v>
      </c>
      <c r="L11" s="76">
        <f>IFERROR(IF(AND(up_Irr!K11&lt;&gt;".",up_Irr!AI11&lt;&gt;".",up_Irr!BG11&lt;&gt;"."),up_dir!L11/((1/1000)*(up_Irr!K11+up_Irr!AI11+up_Irr!BG11)),IF(AND(up_Irr!K11&lt;&gt;".",up_Irr!AI11&lt;&gt;".",up_Irr!BG11="."),up_dir!L11/((1/1000)*(up_Irr!K11+up_Irr!AI11)),IF(AND(up_Irr!K11&lt;&gt;".",up_Irr!AI11=".",up_Irr!BG11&lt;&gt;"."),up_dir!L11/((1/1000)*(up_Irr!K11+up_Irr!BG11)),IF(AND(up_Irr!K11=".",up_Irr!AI11&lt;&gt;".",up_Irr!BG11&lt;&gt;"."),up_dir!L11/((1/1000)*(up_Irr!AI11+up_Irr!BG11)),IF(AND(up_Irr!K11=".",up_Irr!AI11=".",up_Irr!BG11&lt;&gt;"."),up_dir!L11/((1/1000)*(up_Irr!BG11)),IF(AND(up_Irr!K11=".",up_Irr!AI11&lt;&gt;".",up_Irr!BG11="."),up_dir!L11/((1/1000)*(up_Irr!AI11)),IF(AND(up_Irr!K11&lt;&gt;".",up_Irr!AI11=".",up_Irr!BG11="."),up_dir!L11/((1/1000)*(up_Irr!K11)),IF(AND(up_Irr!K11=".",up_Irr!AI11=".",up_Irr!BG11="."),up_dir!L11*1000)))))))),".")</f>
        <v>7.2351016258567334E-11</v>
      </c>
      <c r="M11" s="76">
        <f>IFERROR(IF(AND(up_Irr!L11&lt;&gt;".",up_Irr!AJ11&lt;&gt;".",up_Irr!BH11&lt;&gt;"."),up_dir!M11/((1/1000)*(up_Irr!L11+up_Irr!AJ11+up_Irr!BH11)),IF(AND(up_Irr!L11&lt;&gt;".",up_Irr!AJ11&lt;&gt;".",up_Irr!BH11="."),up_dir!M11/((1/1000)*(up_Irr!L11+up_Irr!AJ11)),IF(AND(up_Irr!L11&lt;&gt;".",up_Irr!AJ11=".",up_Irr!BH11&lt;&gt;"."),up_dir!M11/((1/1000)*(up_Irr!L11+up_Irr!BH11)),IF(AND(up_Irr!L11=".",up_Irr!AJ11&lt;&gt;".",up_Irr!BH11&lt;&gt;"."),up_dir!M11/((1/1000)*(up_Irr!AJ11+up_Irr!BH11)),IF(AND(up_Irr!L11=".",up_Irr!AJ11=".",up_Irr!BH11&lt;&gt;"."),up_dir!M11/((1/1000)*(up_Irr!BH11)),IF(AND(up_Irr!L11=".",up_Irr!AJ11&lt;&gt;".",up_Irr!BH11="."),up_dir!M11/((1/1000)*(up_Irr!AJ11)),IF(AND(up_Irr!L11&lt;&gt;".",up_Irr!AJ11=".",up_Irr!BH11="."),up_dir!M11/((1/1000)*(up_Irr!L11)),IF(AND(up_Irr!L11=".",up_Irr!AJ11=".",up_Irr!BH11="."),up_dir!M11*1000)))))))),".")</f>
        <v>7.2351016258567334E-11</v>
      </c>
      <c r="N11" s="76">
        <f>IFERROR(IF(AND(up_Irr!M11&lt;&gt;".",up_Irr!AK11&lt;&gt;".",up_Irr!BI11&lt;&gt;"."),up_dir!N11/((1/1000)*(up_Irr!M11+up_Irr!AK11+up_Irr!BI11)),IF(AND(up_Irr!M11&lt;&gt;".",up_Irr!AK11&lt;&gt;".",up_Irr!BI11="."),up_dir!N11/((1/1000)*(up_Irr!M11+up_Irr!AK11)),IF(AND(up_Irr!M11&lt;&gt;".",up_Irr!AK11=".",up_Irr!BI11&lt;&gt;"."),up_dir!N11/((1/1000)*(up_Irr!M11+up_Irr!BI11)),IF(AND(up_Irr!M11=".",up_Irr!AK11&lt;&gt;".",up_Irr!BI11&lt;&gt;"."),up_dir!N11/((1/1000)*(up_Irr!AK11+up_Irr!BI11)),IF(AND(up_Irr!M11=".",up_Irr!AK11=".",up_Irr!BI11&lt;&gt;"."),up_dir!N11/((1/1000)*(up_Irr!BI11)),IF(AND(up_Irr!M11=".",up_Irr!AK11&lt;&gt;".",up_Irr!BI11="."),up_dir!N11/((1/1000)*(up_Irr!AK11)),IF(AND(up_Irr!M11&lt;&gt;".",up_Irr!AK11=".",up_Irr!BI11="."),up_dir!N11/((1/1000)*(up_Irr!M11)),IF(AND(up_Irr!M11=".",up_Irr!AK11=".",up_Irr!BI11="."),up_dir!N11*1000)))))))),".")</f>
        <v>7.2351016258567334E-11</v>
      </c>
      <c r="O11" s="76">
        <f>IFERROR(IF(AND(up_Irr!N11&lt;&gt;".",up_Irr!AL11&lt;&gt;".",up_Irr!BJ11&lt;&gt;"."),up_dir!O11/((1/1000)*(up_Irr!N11+up_Irr!AL11+up_Irr!BJ11)),IF(AND(up_Irr!N11&lt;&gt;".",up_Irr!AL11&lt;&gt;".",up_Irr!BJ11="."),up_dir!O11/((1/1000)*(up_Irr!N11+up_Irr!AL11)),IF(AND(up_Irr!N11&lt;&gt;".",up_Irr!AL11=".",up_Irr!BJ11&lt;&gt;"."),up_dir!O11/((1/1000)*(up_Irr!N11+up_Irr!BJ11)),IF(AND(up_Irr!N11=".",up_Irr!AL11&lt;&gt;".",up_Irr!BJ11&lt;&gt;"."),up_dir!O11/((1/1000)*(up_Irr!AL11+up_Irr!BJ11)),IF(AND(up_Irr!N11=".",up_Irr!AL11=".",up_Irr!BJ11&lt;&gt;"."),up_dir!O11/((1/1000)*(up_Irr!BJ11)),IF(AND(up_Irr!N11=".",up_Irr!AL11&lt;&gt;".",up_Irr!BJ11="."),up_dir!O11/((1/1000)*(up_Irr!AL11)),IF(AND(up_Irr!N11&lt;&gt;".",up_Irr!AL11=".",up_Irr!BJ11="."),up_dir!O11/((1/1000)*(up_Irr!N11)),IF(AND(up_Irr!N11=".",up_Irr!AL11=".",up_Irr!BJ11="."),up_dir!O11*1000)))))))),".")</f>
        <v>7.2351016258567334E-11</v>
      </c>
      <c r="P11" s="76">
        <f>IFERROR(IF(AND(up_Irr!O11&lt;&gt;".",up_Irr!AM11&lt;&gt;".",up_Irr!BK11&lt;&gt;"."),up_dir!P11/((1/1000)*(up_Irr!O11+up_Irr!AM11+up_Irr!BK11)),IF(AND(up_Irr!O11&lt;&gt;".",up_Irr!AM11&lt;&gt;".",up_Irr!BK11="."),up_dir!P11/((1/1000)*(up_Irr!O11+up_Irr!AM11)),IF(AND(up_Irr!O11&lt;&gt;".",up_Irr!AM11=".",up_Irr!BK11&lt;&gt;"."),up_dir!P11/((1/1000)*(up_Irr!O11+up_Irr!BK11)),IF(AND(up_Irr!O11=".",up_Irr!AM11&lt;&gt;".",up_Irr!BK11&lt;&gt;"."),up_dir!P11/((1/1000)*(up_Irr!AM11+up_Irr!BK11)),IF(AND(up_Irr!O11=".",up_Irr!AM11=".",up_Irr!BK11&lt;&gt;"."),up_dir!P11/((1/1000)*(up_Irr!BK11)),IF(AND(up_Irr!O11=".",up_Irr!AM11&lt;&gt;".",up_Irr!BK11="."),up_dir!P11/((1/1000)*(up_Irr!AM11)),IF(AND(up_Irr!O11&lt;&gt;".",up_Irr!AM11=".",up_Irr!BK11="."),up_dir!P11/((1/1000)*(up_Irr!O11)),IF(AND(up_Irr!O11=".",up_Irr!AM11=".",up_Irr!BK11="."),up_dir!P11*1000)))))))),".")</f>
        <v>7.2351016258567334E-11</v>
      </c>
      <c r="Q11" s="76">
        <f>IFERROR(IF(AND(up_Irr!P11&lt;&gt;".",up_Irr!AN11&lt;&gt;".",up_Irr!BL11&lt;&gt;"."),up_dir!Q11/((1/1000)*(up_Irr!P11+up_Irr!AN11+up_Irr!BL11)),IF(AND(up_Irr!P11&lt;&gt;".",up_Irr!AN11&lt;&gt;".",up_Irr!BL11="."),up_dir!Q11/((1/1000)*(up_Irr!P11+up_Irr!AN11)),IF(AND(up_Irr!P11&lt;&gt;".",up_Irr!AN11=".",up_Irr!BL11&lt;&gt;"."),up_dir!Q11/((1/1000)*(up_Irr!P11+up_Irr!BL11)),IF(AND(up_Irr!P11=".",up_Irr!AN11&lt;&gt;".",up_Irr!BL11&lt;&gt;"."),up_dir!Q11/((1/1000)*(up_Irr!AN11+up_Irr!BL11)),IF(AND(up_Irr!P11=".",up_Irr!AN11=".",up_Irr!BL11&lt;&gt;"."),up_dir!Q11/((1/1000)*(up_Irr!BL11)),IF(AND(up_Irr!P11=".",up_Irr!AN11&lt;&gt;".",up_Irr!BL11="."),up_dir!Q11/((1/1000)*(up_Irr!AN11)),IF(AND(up_Irr!P11&lt;&gt;".",up_Irr!AN11=".",up_Irr!BL11="."),up_dir!Q11/((1/1000)*(up_Irr!P11)),IF(AND(up_Irr!P11=".",up_Irr!AN11=".",up_Irr!BL11="."),up_dir!Q11*1000)))))))),".")</f>
        <v>7.2351016258567334E-11</v>
      </c>
      <c r="R11" s="76">
        <f>IFERROR(IF(AND(up_Irr!Q11&lt;&gt;".",up_Irr!AO11&lt;&gt;".",up_Irr!BM11&lt;&gt;"."),up_dir!R11/((1/1000)*(up_Irr!Q11+up_Irr!AO11+up_Irr!BM11)),IF(AND(up_Irr!Q11&lt;&gt;".",up_Irr!AO11&lt;&gt;".",up_Irr!BM11="."),up_dir!R11/((1/1000)*(up_Irr!Q11+up_Irr!AO11)),IF(AND(up_Irr!Q11&lt;&gt;".",up_Irr!AO11=".",up_Irr!BM11&lt;&gt;"."),up_dir!R11/((1/1000)*(up_Irr!Q11+up_Irr!BM11)),IF(AND(up_Irr!Q11=".",up_Irr!AO11&lt;&gt;".",up_Irr!BM11&lt;&gt;"."),up_dir!R11/((1/1000)*(up_Irr!AO11+up_Irr!BM11)),IF(AND(up_Irr!Q11=".",up_Irr!AO11=".",up_Irr!BM11&lt;&gt;"."),up_dir!R11/((1/1000)*(up_Irr!BM11)),IF(AND(up_Irr!Q11=".",up_Irr!AO11&lt;&gt;".",up_Irr!BM11="."),up_dir!R11/((1/1000)*(up_Irr!AO11)),IF(AND(up_Irr!Q11&lt;&gt;".",up_Irr!AO11=".",up_Irr!BM11="."),up_dir!R11/((1/1000)*(up_Irr!Q11)),IF(AND(up_Irr!Q11=".",up_Irr!AO11=".",up_Irr!BM11="."),up_dir!R11*1000)))))))),".")</f>
        <v>7.2351016258567334E-11</v>
      </c>
      <c r="S11" s="76">
        <f>IFERROR(IF(AND(up_Irr!R11&lt;&gt;".",up_Irr!AP11&lt;&gt;".",up_Irr!BN11&lt;&gt;"."),up_dir!S11/((1/1000)*(up_Irr!R11+up_Irr!AP11+up_Irr!BN11)),IF(AND(up_Irr!R11&lt;&gt;".",up_Irr!AP11&lt;&gt;".",up_Irr!BN11="."),up_dir!S11/((1/1000)*(up_Irr!R11+up_Irr!AP11)),IF(AND(up_Irr!R11&lt;&gt;".",up_Irr!AP11=".",up_Irr!BN11&lt;&gt;"."),up_dir!S11/((1/1000)*(up_Irr!R11+up_Irr!BN11)),IF(AND(up_Irr!R11=".",up_Irr!AP11&lt;&gt;".",up_Irr!BN11&lt;&gt;"."),up_dir!S11/((1/1000)*(up_Irr!AP11+up_Irr!BN11)),IF(AND(up_Irr!R11=".",up_Irr!AP11=".",up_Irr!BN11&lt;&gt;"."),up_dir!S11/((1/1000)*(up_Irr!BN11)),IF(AND(up_Irr!R11=".",up_Irr!AP11&lt;&gt;".",up_Irr!BN11="."),up_dir!S11/((1/1000)*(up_Irr!AP11)),IF(AND(up_Irr!R11&lt;&gt;".",up_Irr!AP11=".",up_Irr!BN11="."),up_dir!S11/((1/1000)*(up_Irr!R11)),IF(AND(up_Irr!R11=".",up_Irr!AP11=".",up_Irr!BN11="."),up_dir!S11*1000)))))))),".")</f>
        <v>7.2351016258567334E-11</v>
      </c>
      <c r="T11" s="76">
        <f>IFERROR(IF(AND(up_Irr!S11&lt;&gt;".",up_Irr!AQ11&lt;&gt;".",up_Irr!BO11&lt;&gt;"."),up_dir!T11/((1/1000)*(up_Irr!S11+up_Irr!AQ11+up_Irr!BO11)),IF(AND(up_Irr!S11&lt;&gt;".",up_Irr!AQ11&lt;&gt;".",up_Irr!BO11="."),up_dir!T11/((1/1000)*(up_Irr!S11+up_Irr!AQ11)),IF(AND(up_Irr!S11&lt;&gt;".",up_Irr!AQ11=".",up_Irr!BO11&lt;&gt;"."),up_dir!T11/((1/1000)*(up_Irr!S11+up_Irr!BO11)),IF(AND(up_Irr!S11=".",up_Irr!AQ11&lt;&gt;".",up_Irr!BO11&lt;&gt;"."),up_dir!T11/((1/1000)*(up_Irr!AQ11+up_Irr!BO11)),IF(AND(up_Irr!S11=".",up_Irr!AQ11=".",up_Irr!BO11&lt;&gt;"."),up_dir!T11/((1/1000)*(up_Irr!BO11)),IF(AND(up_Irr!S11=".",up_Irr!AQ11&lt;&gt;".",up_Irr!BO11="."),up_dir!T11/((1/1000)*(up_Irr!AQ11)),IF(AND(up_Irr!S11&lt;&gt;".",up_Irr!AQ11=".",up_Irr!BO11="."),up_dir!T11/((1/1000)*(up_Irr!S11)),IF(AND(up_Irr!S11=".",up_Irr!AQ11=".",up_Irr!BO11="."),up_dir!T11*1000)))))))),".")</f>
        <v>7.2351016258567334E-11</v>
      </c>
      <c r="U11" s="76">
        <f>IFERROR(IF(AND(up_Irr!T11&lt;&gt;".",up_Irr!AR11&lt;&gt;".",up_Irr!BP11&lt;&gt;"."),up_dir!U11/((1/1000)*(up_Irr!T11+up_Irr!AR11+up_Irr!BP11)),IF(AND(up_Irr!T11&lt;&gt;".",up_Irr!AR11&lt;&gt;".",up_Irr!BP11="."),up_dir!U11/((1/1000)*(up_Irr!T11+up_Irr!AR11)),IF(AND(up_Irr!T11&lt;&gt;".",up_Irr!AR11=".",up_Irr!BP11&lt;&gt;"."),up_dir!U11/((1/1000)*(up_Irr!T11+up_Irr!BP11)),IF(AND(up_Irr!T11=".",up_Irr!AR11&lt;&gt;".",up_Irr!BP11&lt;&gt;"."),up_dir!U11/((1/1000)*(up_Irr!AR11+up_Irr!BP11)),IF(AND(up_Irr!T11=".",up_Irr!AR11=".",up_Irr!BP11&lt;&gt;"."),up_dir!U11/((1/1000)*(up_Irr!BP11)),IF(AND(up_Irr!T11=".",up_Irr!AR11&lt;&gt;".",up_Irr!BP11="."),up_dir!U11/((1/1000)*(up_Irr!AR11)),IF(AND(up_Irr!T11&lt;&gt;".",up_Irr!AR11=".",up_Irr!BP11="."),up_dir!U11/((1/1000)*(up_Irr!T11)),IF(AND(up_Irr!T11=".",up_Irr!AR11=".",up_Irr!BP11="."),up_dir!U11*1000)))))))),".")</f>
        <v>7.2351016258567334E-11</v>
      </c>
      <c r="V11" s="76">
        <f>IFERROR(IF(AND(up_Irr!U11&lt;&gt;".",up_Irr!AS11&lt;&gt;".",up_Irr!BQ11&lt;&gt;"."),up_dir!V11/((1/1000)*(up_Irr!U11+up_Irr!AS11+up_Irr!BQ11)),IF(AND(up_Irr!U11&lt;&gt;".",up_Irr!AS11&lt;&gt;".",up_Irr!BQ11="."),up_dir!V11/((1/1000)*(up_Irr!U11+up_Irr!AS11)),IF(AND(up_Irr!U11&lt;&gt;".",up_Irr!AS11=".",up_Irr!BQ11&lt;&gt;"."),up_dir!V11/((1/1000)*(up_Irr!U11+up_Irr!BQ11)),IF(AND(up_Irr!U11=".",up_Irr!AS11&lt;&gt;".",up_Irr!BQ11&lt;&gt;"."),up_dir!V11/((1/1000)*(up_Irr!AS11+up_Irr!BQ11)),IF(AND(up_Irr!U11=".",up_Irr!AS11=".",up_Irr!BQ11&lt;&gt;"."),up_dir!V11/((1/1000)*(up_Irr!BQ11)),IF(AND(up_Irr!U11=".",up_Irr!AS11&lt;&gt;".",up_Irr!BQ11="."),up_dir!V11/((1/1000)*(up_Irr!AS11)),IF(AND(up_Irr!U11&lt;&gt;".",up_Irr!AS11=".",up_Irr!BQ11="."),up_dir!V11/((1/1000)*(up_Irr!U11)),IF(AND(up_Irr!U11=".",up_Irr!AS11=".",up_Irr!BQ11="."),up_dir!V11*1000)))))))),".")</f>
        <v>7.2351016258567334E-11</v>
      </c>
      <c r="W11" s="76">
        <f>IFERROR(IF(AND(up_Irr!V11&lt;&gt;".",up_Irr!AT11&lt;&gt;".",up_Irr!BR11&lt;&gt;"."),up_dir!W11/((1/1000)*(up_Irr!V11+up_Irr!AT11+up_Irr!BR11)),IF(AND(up_Irr!V11&lt;&gt;".",up_Irr!AT11&lt;&gt;".",up_Irr!BR11="."),up_dir!W11/((1/1000)*(up_Irr!V11+up_Irr!AT11)),IF(AND(up_Irr!V11&lt;&gt;".",up_Irr!AT11=".",up_Irr!BR11&lt;&gt;"."),up_dir!W11/((1/1000)*(up_Irr!V11+up_Irr!BR11)),IF(AND(up_Irr!V11=".",up_Irr!AT11&lt;&gt;".",up_Irr!BR11&lt;&gt;"."),up_dir!W11/((1/1000)*(up_Irr!AT11+up_Irr!BR11)),IF(AND(up_Irr!V11=".",up_Irr!AT11=".",up_Irr!BR11&lt;&gt;"."),up_dir!W11/((1/1000)*(up_Irr!BR11)),IF(AND(up_Irr!V11=".",up_Irr!AT11&lt;&gt;".",up_Irr!BR11="."),up_dir!W11/((1/1000)*(up_Irr!AT11)),IF(AND(up_Irr!V11&lt;&gt;".",up_Irr!AT11=".",up_Irr!BR11="."),up_dir!W11/((1/1000)*(up_Irr!V11)),IF(AND(up_Irr!V11=".",up_Irr!AT11=".",up_Irr!BR11="."),up_dir!W11*1000)))))))),".")</f>
        <v>7.2351016258567334E-11</v>
      </c>
      <c r="X11" s="76">
        <f>IFERROR(IF(AND(up_Irr!W11&lt;&gt;".",up_Irr!AU11&lt;&gt;".",up_Irr!BS11&lt;&gt;"."),up_dir!X11/((1/1000)*(up_Irr!W11+up_Irr!AU11+up_Irr!BS11)),IF(AND(up_Irr!W11&lt;&gt;".",up_Irr!AU11&lt;&gt;".",up_Irr!BS11="."),up_dir!X11/((1/1000)*(up_Irr!W11+up_Irr!AU11)),IF(AND(up_Irr!W11&lt;&gt;".",up_Irr!AU11=".",up_Irr!BS11&lt;&gt;"."),up_dir!X11/((1/1000)*(up_Irr!W11+up_Irr!BS11)),IF(AND(up_Irr!W11=".",up_Irr!AU11&lt;&gt;".",up_Irr!BS11&lt;&gt;"."),up_dir!X11/((1/1000)*(up_Irr!AU11+up_Irr!BS11)),IF(AND(up_Irr!W11=".",up_Irr!AU11=".",up_Irr!BS11&lt;&gt;"."),up_dir!X11/((1/1000)*(up_Irr!BS11)),IF(AND(up_Irr!W11=".",up_Irr!AU11&lt;&gt;".",up_Irr!BS11="."),up_dir!X11/((1/1000)*(up_Irr!AU11)),IF(AND(up_Irr!W11&lt;&gt;".",up_Irr!AU11=".",up_Irr!BS11="."),up_dir!X11/((1/1000)*(up_Irr!W11)),IF(AND(up_Irr!W11=".",up_Irr!AU11=".",up_Irr!BS11="."),up_dir!X11*1000)))))))),".")</f>
        <v>7.2351016258567334E-11</v>
      </c>
      <c r="Y11" s="76">
        <f>IFERROR(IF(AND(up_Irr!X11&lt;&gt;".",up_Irr!AV11&lt;&gt;".",up_Irr!BT11&lt;&gt;"."),up_dir!Y11/((1/1000)*(up_Irr!X11+up_Irr!AV11+up_Irr!BT11)),IF(AND(up_Irr!X11&lt;&gt;".",up_Irr!AV11&lt;&gt;".",up_Irr!BT11="."),up_dir!Y11/((1/1000)*(up_Irr!X11+up_Irr!AV11)),IF(AND(up_Irr!X11&lt;&gt;".",up_Irr!AV11=".",up_Irr!BT11&lt;&gt;"."),up_dir!Y11/((1/1000)*(up_Irr!X11+up_Irr!BT11)),IF(AND(up_Irr!X11=".",up_Irr!AV11&lt;&gt;".",up_Irr!BT11&lt;&gt;"."),up_dir!Y11/((1/1000)*(up_Irr!AV11+up_Irr!BT11)),IF(AND(up_Irr!X11=".",up_Irr!AV11=".",up_Irr!BT11&lt;&gt;"."),up_dir!Y11/((1/1000)*(up_Irr!BT11)),IF(AND(up_Irr!X11=".",up_Irr!AV11&lt;&gt;".",up_Irr!BT11="."),up_dir!Y11/((1/1000)*(up_Irr!AV11)),IF(AND(up_Irr!X11&lt;&gt;".",up_Irr!AV11=".",up_Irr!BT11="."),up_dir!Y11/((1/1000)*(up_Irr!X11)),IF(AND(up_Irr!X11=".",up_Irr!AV11=".",up_Irr!BT11="."),up_dir!Y11*1000)))))))),".")</f>
        <v>7.2351016258567334E-11</v>
      </c>
      <c r="Z11" s="76">
        <f>IFERROR(IF(AND(up_Irr!Y11&lt;&gt;".",up_Irr!AW11&lt;&gt;".",up_Irr!BU11&lt;&gt;"."),up_dir!Z11/((1/1000)*(up_Irr!Y11+up_Irr!AW11+up_Irr!BU11)),IF(AND(up_Irr!Y11&lt;&gt;".",up_Irr!AW11&lt;&gt;".",up_Irr!BU11="."),up_dir!Z11/((1/1000)*(up_Irr!Y11+up_Irr!AW11)),IF(AND(up_Irr!Y11&lt;&gt;".",up_Irr!AW11=".",up_Irr!BU11&lt;&gt;"."),up_dir!Z11/((1/1000)*(up_Irr!Y11+up_Irr!BU11)),IF(AND(up_Irr!Y11=".",up_Irr!AW11&lt;&gt;".",up_Irr!BU11&lt;&gt;"."),up_dir!Z11/((1/1000)*(up_Irr!AW11+up_Irr!BU11)),IF(AND(up_Irr!Y11=".",up_Irr!AW11=".",up_Irr!BU11&lt;&gt;"."),up_dir!Z11/((1/1000)*(up_Irr!BU11)),IF(AND(up_Irr!Y11=".",up_Irr!AW11&lt;&gt;".",up_Irr!BU11="."),up_dir!Z11/((1/1000)*(up_Irr!AW11)),IF(AND(up_Irr!Y11&lt;&gt;".",up_Irr!AW11=".",up_Irr!BU11="."),up_dir!Z11/((1/1000)*(up_Irr!Y11)),IF(AND(up_Irr!Y11=".",up_Irr!AW11=".",up_Irr!BU11="."),up_dir!Z11*1000)))))))),".")</f>
        <v>7.2351016258567334E-11</v>
      </c>
      <c r="AA11" s="76">
        <f>IFERROR(IF(AND(up_Irr!Z11&lt;&gt;".",up_Irr!AX11&lt;&gt;".",up_Irr!BV11&lt;&gt;"."),up_dir!AA11/((1/1000)*(up_Irr!Z11+up_Irr!AX11+up_Irr!BV11)),IF(AND(up_Irr!Z11&lt;&gt;".",up_Irr!AX11&lt;&gt;".",up_Irr!BV11="."),up_dir!AA11/((1/1000)*(up_Irr!Z11+up_Irr!AX11)),IF(AND(up_Irr!Z11&lt;&gt;".",up_Irr!AX11=".",up_Irr!BV11&lt;&gt;"."),up_dir!AA11/((1/1000)*(up_Irr!Z11+up_Irr!BV11)),IF(AND(up_Irr!Z11=".",up_Irr!AX11&lt;&gt;".",up_Irr!BV11&lt;&gt;"."),up_dir!AA11/((1/1000)*(up_Irr!AX11+up_Irr!BV11)),IF(AND(up_Irr!Z11=".",up_Irr!AX11=".",up_Irr!BV11&lt;&gt;"."),up_dir!AA11/((1/1000)*(up_Irr!BV11)),IF(AND(up_Irr!Z11=".",up_Irr!AX11&lt;&gt;".",up_Irr!BV11="."),up_dir!AA11/((1/1000)*(up_Irr!AX11)),IF(AND(up_Irr!Z11&lt;&gt;".",up_Irr!AX11=".",up_Irr!BV11="."),up_dir!AA11/((1/1000)*(up_Irr!Z11)),IF(AND(up_Irr!Z11=".",up_Irr!AX11=".",up_Irr!BV11="."),up_dir!AA11*1000)))))))),".")</f>
        <v>7.2351016258567334E-11</v>
      </c>
      <c r="AB11" s="93">
        <f>SUM(AC11:AD11,AY11:AZ11)</f>
        <v>55286.023705663516</v>
      </c>
      <c r="AC11" s="93">
        <f>IFERROR(s_C*s_IFAP_res_adj*s_CF_apple*0.001*(up_Irr!C11+up_Irr!AA11+up_Irr!AY11),".")</f>
        <v>13821.505926415879</v>
      </c>
      <c r="AD11" s="93">
        <f>IFERROR(s_C*s_IFAS_res_adj*s_CF_asparagus*0.001*(up_Irr!D11+up_Irr!AB11+up_Irr!AZ11),".")</f>
        <v>13821.505926415879</v>
      </c>
      <c r="AE11" s="93">
        <f>IFERROR(s_C*s_IFBT_res_adj*s_CF_beet*0.001*(up_Irr!E11+up_Irr!AC11+up_Irr!BA11),".")</f>
        <v>13821.505926415879</v>
      </c>
      <c r="AF11" s="93">
        <f>IFERROR(s_C*s_IFBE_res_adj*s_CF_berries*0.001*(up_Irr!F11+up_Irr!AD11+up_Irr!BB11),".")</f>
        <v>13821.505926415879</v>
      </c>
      <c r="AG11" s="93">
        <f>IFERROR(s_C*s_IFBR_res_adj*s_CF_broccoli*0.001*(up_Irr!G11+up_Irr!AE11+up_Irr!BC11),".")</f>
        <v>13821.505926415879</v>
      </c>
      <c r="AH11" s="93">
        <f>IFERROR(s_C*s_IFCB_res_adj*s_CF_cabbage*0.001*(up_Irr!H11+up_Irr!AF11+up_Irr!BD11),".")</f>
        <v>13821.505926415879</v>
      </c>
      <c r="AI11" s="93">
        <f>IFERROR(s_C*s_IFCR_res_adj*s_CF_carrot*0.001*(up_Irr!I11+up_Irr!AG11+up_Irr!BE11),".")</f>
        <v>13821.505926415879</v>
      </c>
      <c r="AJ11" s="93">
        <f>IFERROR(s_C*s_IFCI_res_adj*s_CF_citrus*0.001*(up_Irr!J11+up_Irr!AH11+up_Irr!BF11),".")</f>
        <v>13821.505926415879</v>
      </c>
      <c r="AK11" s="93">
        <f>IFERROR(s_C*s_IFCO_res_adj*s_CF_corn*0.001*(up_Irr!K11+up_Irr!AI11+up_Irr!BG11),".")</f>
        <v>13821.505926415879</v>
      </c>
      <c r="AL11" s="93">
        <f>IFERROR(s_C*s_IFCU_res_adj*s_CF_cucumber*0.001*(up_Irr!L11+up_Irr!AJ11+up_Irr!BH11),".")</f>
        <v>13821.505926415879</v>
      </c>
      <c r="AM11" s="93">
        <f>IFERROR(s_C*s_IFLE_res_adj*s_CF_lettuce*0.001*(up_Irr!M11+up_Irr!AK11+up_Irr!BI11),".")</f>
        <v>13821.505926415879</v>
      </c>
      <c r="AN11" s="93">
        <f>IFERROR(s_C*s_IFLI_res_adj*s_CF_lima_bean*0.001*(up_Irr!N11+up_Irr!AL11+up_Irr!BJ11),".")</f>
        <v>13821.505926415879</v>
      </c>
      <c r="AO11" s="93">
        <f>IFERROR(s_C*s_IFOK_res_adj*s_CF_okra*0.001*(up_Irr!O11+up_Irr!AM11+up_Irr!BK11),".")</f>
        <v>13821.505926415879</v>
      </c>
      <c r="AP11" s="93">
        <f>IFERROR(s_C*s_IFON_res_adj*s_CF_onion*0.001*(up_Irr!P11+up_Irr!AN11+up_Irr!BL11),".")</f>
        <v>13821.505926415879</v>
      </c>
      <c r="AQ11" s="93">
        <f>IFERROR(s_C*s_IFPC_res_adj*s_CF_peach*0.001*(up_Irr!Q11+up_Irr!AO11+up_Irr!BM11),".")</f>
        <v>13821.505926415879</v>
      </c>
      <c r="AR11" s="93">
        <f>IFERROR(s_C*s_IFPR_res_adj*s_CF_pear*0.001*(up_Irr!R11+up_Irr!AP11+up_Irr!BN11),".")</f>
        <v>13821.505926415879</v>
      </c>
      <c r="AS11" s="93">
        <f>IFERROR(s_C*s_IFPE_res_adj*s_CF_peas*0.001*(up_Irr!S11+up_Irr!AQ11+up_Irr!BO11),".")</f>
        <v>13821.505926415879</v>
      </c>
      <c r="AT11" s="93">
        <f>IFERROR(s_C*s_IFPT_res_adj*s_CF_potato*0.001*(up_Irr!T11+up_Irr!AR11+up_Irr!BP11),".")</f>
        <v>13821.505926415879</v>
      </c>
      <c r="AU11" s="93">
        <f>IFERROR(s_C*s_IFPU_res_adj*s_CF_pumpkin*0.001*(up_Irr!U11+up_Irr!AS11+up_Irr!BQ11),".")</f>
        <v>13821.505926415879</v>
      </c>
      <c r="AV11" s="93">
        <f>IFERROR(s_C*s_IFSN_res_adj*s_CF_snap_bean*0.001*(up_Irr!V11+up_Irr!AT11+up_Irr!BR11),".")</f>
        <v>13821.505926415879</v>
      </c>
      <c r="AW11" s="93">
        <f>IFERROR(s_C*s_IFST_res_adj*s_CF_strawberry*0.001*(up_Irr!W11+up_Irr!AU11+up_Irr!BS11),".")</f>
        <v>13821.505926415879</v>
      </c>
      <c r="AX11" s="93">
        <f>IFERROR(s_C*s_IFTO_res_adj*s_CF_tomato*0.001*(up_Irr!X11+up_Irr!AV11+up_Irr!BT11),".")</f>
        <v>13821.505926415879</v>
      </c>
      <c r="AY11" s="93">
        <f>IFERROR(s_C*s_IFRI_res_adj*s_CF_rice*0.001*(up_Irr!Y11+up_Irr!AW11+up_Irr!BU11),".")</f>
        <v>13821.505926415879</v>
      </c>
      <c r="AZ11" s="93">
        <f>IFERROR(s_C*s_IFCG_res_adj*s_CF_cereal*0.001*(up_Irr!Z11+up_Irr!AX11+up_Irr!BV11),".")</f>
        <v>13821.505926415879</v>
      </c>
      <c r="BA11" s="76">
        <f t="shared" si="3"/>
        <v>1.8087754064641833E-11</v>
      </c>
      <c r="BB11" s="76">
        <f>IFERROR(IF(AND(up_Irr!C11&lt;&gt;".",up_Irr!AA11&lt;&gt;".",up_Irr!AY11&lt;&gt;"."),up_dir!AC11/((1/1000)*(up_Irr!C11+up_Irr!AA11+up_Irr!AY11)),IF(AND(up_Irr!C11&lt;&gt;".",up_Irr!AA11&lt;&gt;".",up_Irr!AY11="."),up_dir!AC11/((1/1000)*(up_Irr!C11+up_Irr!AA11)),IF(AND(up_Irr!C11&lt;&gt;".",up_Irr!AA11=".",up_Irr!AY11&lt;&gt;"."),up_dir!AC11/((1/1000)*(up_Irr!C11+up_Irr!AY11)),IF(AND(up_Irr!C11=".",up_Irr!AA11&lt;&gt;".",up_Irr!AY11&lt;&gt;"."),up_dir!AC11/((1/1000)*(up_Irr!AA11+up_Irr!AY11)),IF(AND(up_Irr!C11=".",up_Irr!AA11=".",up_Irr!AY11&lt;&gt;"."),up_dir!AC11/((1/1000)*(up_Irr!AY11)),IF(AND(up_Irr!C11=".",up_Irr!AA11&lt;&gt;".",up_Irr!AY11="."),up_dir!AC11/((1/1000)*(up_Irr!AA11)),IF(AND(up_Irr!C11&lt;&gt;".",up_Irr!AA11=".",up_Irr!AY11="."),up_dir!AC11/((1/1000)*(up_Irr!C11)),IF(AND(up_Irr!C11=".",up_Irr!AA11=".",up_Irr!AY11="."),up_dir!AC11*1000)))))))),".")</f>
        <v>7.2351016258567334E-11</v>
      </c>
      <c r="BC11" s="76">
        <f>IFERROR(IF(AND(up_Irr!D11&lt;&gt;".",up_Irr!AB11&lt;&gt;".",up_Irr!AZ11&lt;&gt;"."),up_dir!AD11/((1/1000)*(up_Irr!D11+up_Irr!AB11+up_Irr!AZ11)),IF(AND(up_Irr!D11&lt;&gt;".",up_Irr!AB11&lt;&gt;".",up_Irr!AZ11="."),up_dir!AD11/((1/1000)*(up_Irr!D11+up_Irr!AB11)),IF(AND(up_Irr!D11&lt;&gt;".",up_Irr!AB11=".",up_Irr!AZ11&lt;&gt;"."),up_dir!AD11/((1/1000)*(up_Irr!D11+up_Irr!AZ11)),IF(AND(up_Irr!D11=".",up_Irr!AB11&lt;&gt;".",up_Irr!AZ11&lt;&gt;"."),up_dir!AD11/((1/1000)*(up_Irr!AB11+up_Irr!AZ11)),IF(AND(up_Irr!D11=".",up_Irr!AB11=".",up_Irr!AZ11&lt;&gt;"."),up_dir!AD11/((1/1000)*(up_Irr!AZ11)),IF(AND(up_Irr!D11=".",up_Irr!AB11&lt;&gt;".",up_Irr!AZ11="."),up_dir!AD11/((1/1000)*(up_Irr!AB11)),IF(AND(up_Irr!D11&lt;&gt;".",up_Irr!AB11=".",up_Irr!AZ11="."),up_dir!AD11/((1/1000)*(up_Irr!D11)),IF(AND(up_Irr!D11=".",up_Irr!AB11=".",up_Irr!AZ11="."),up_dir!AD11*1000)))))))),".")</f>
        <v>7.2351016258567334E-11</v>
      </c>
      <c r="BD11" s="76">
        <f>IFERROR(IF(AND(up_Irr!E11&lt;&gt;".",up_Irr!AC11&lt;&gt;".",up_Irr!BA11&lt;&gt;"."),up_dir!AE11/((1/1000)*(up_Irr!E11+up_Irr!AC11+up_Irr!BA11)),IF(AND(up_Irr!E11&lt;&gt;".",up_Irr!AC11&lt;&gt;".",up_Irr!BA11="."),up_dir!AE11/((1/1000)*(up_Irr!E11+up_Irr!AC11)),IF(AND(up_Irr!E11&lt;&gt;".",up_Irr!AC11=".",up_Irr!BA11&lt;&gt;"."),up_dir!AE11/((1/1000)*(up_Irr!E11+up_Irr!BA11)),IF(AND(up_Irr!E11=".",up_Irr!AC11&lt;&gt;".",up_Irr!BA11&lt;&gt;"."),up_dir!AE11/((1/1000)*(up_Irr!AC11+up_Irr!BA11)),IF(AND(up_Irr!E11=".",up_Irr!AC11=".",up_Irr!BA11&lt;&gt;"."),up_dir!AE11/((1/1000)*(up_Irr!BA11)),IF(AND(up_Irr!E11=".",up_Irr!AC11&lt;&gt;".",up_Irr!BA11="."),up_dir!AE11/((1/1000)*(up_Irr!AC11)),IF(AND(up_Irr!E11&lt;&gt;".",up_Irr!AC11=".",up_Irr!BA11="."),up_dir!AE11/((1/1000)*(up_Irr!E11)),IF(AND(up_Irr!E11=".",up_Irr!AC11=".",up_Irr!BA11="."),up_dir!AE11*1000)))))))),".")</f>
        <v>7.2351016258567334E-11</v>
      </c>
      <c r="BE11" s="76">
        <f>IFERROR(IF(AND(up_Irr!F11&lt;&gt;".",up_Irr!AD11&lt;&gt;".",up_Irr!BB11&lt;&gt;"."),up_dir!AF11/((1/1000)*(up_Irr!F11+up_Irr!AD11+up_Irr!BB11)),IF(AND(up_Irr!F11&lt;&gt;".",up_Irr!AD11&lt;&gt;".",up_Irr!BB11="."),up_dir!AF11/((1/1000)*(up_Irr!F11+up_Irr!AD11)),IF(AND(up_Irr!F11&lt;&gt;".",up_Irr!AD11=".",up_Irr!BB11&lt;&gt;"."),up_dir!AF11/((1/1000)*(up_Irr!F11+up_Irr!BB11)),IF(AND(up_Irr!F11=".",up_Irr!AD11&lt;&gt;".",up_Irr!BB11&lt;&gt;"."),up_dir!AF11/((1/1000)*(up_Irr!AD11+up_Irr!BB11)),IF(AND(up_Irr!F11=".",up_Irr!AD11=".",up_Irr!BB11&lt;&gt;"."),up_dir!AF11/((1/1000)*(up_Irr!BB11)),IF(AND(up_Irr!F11=".",up_Irr!AD11&lt;&gt;".",up_Irr!BB11="."),up_dir!AF11/((1/1000)*(up_Irr!AD11)),IF(AND(up_Irr!F11&lt;&gt;".",up_Irr!AD11=".",up_Irr!BB11="."),up_dir!AF11/((1/1000)*(up_Irr!F11)),IF(AND(up_Irr!F11=".",up_Irr!AD11=".",up_Irr!BB11="."),up_dir!AF11*1000)))))))),".")</f>
        <v>7.2351016258567334E-11</v>
      </c>
      <c r="BF11" s="76">
        <f>IFERROR(IF(AND(up_Irr!G11&lt;&gt;".",up_Irr!AE11&lt;&gt;".",up_Irr!BC11&lt;&gt;"."),up_dir!AG11/((1/1000)*(up_Irr!G11+up_Irr!AE11+up_Irr!BC11)),IF(AND(up_Irr!G11&lt;&gt;".",up_Irr!AE11&lt;&gt;".",up_Irr!BC11="."),up_dir!AG11/((1/1000)*(up_Irr!G11+up_Irr!AE11)),IF(AND(up_Irr!G11&lt;&gt;".",up_Irr!AE11=".",up_Irr!BC11&lt;&gt;"."),up_dir!AG11/((1/1000)*(up_Irr!G11+up_Irr!BC11)),IF(AND(up_Irr!G11=".",up_Irr!AE11&lt;&gt;".",up_Irr!BC11&lt;&gt;"."),up_dir!AG11/((1/1000)*(up_Irr!AE11+up_Irr!BC11)),IF(AND(up_Irr!G11=".",up_Irr!AE11=".",up_Irr!BC11&lt;&gt;"."),up_dir!AG11/((1/1000)*(up_Irr!BC11)),IF(AND(up_Irr!G11=".",up_Irr!AE11&lt;&gt;".",up_Irr!BC11="."),up_dir!AG11/((1/1000)*(up_Irr!AE11)),IF(AND(up_Irr!G11&lt;&gt;".",up_Irr!AE11=".",up_Irr!BC11="."),up_dir!AG11/((1/1000)*(up_Irr!G11)),IF(AND(up_Irr!G11=".",up_Irr!AE11=".",up_Irr!BC11="."),up_dir!AG11*1000)))))))),".")</f>
        <v>7.2351016258567334E-11</v>
      </c>
      <c r="BG11" s="76">
        <f>IFERROR(IF(AND(up_Irr!H11&lt;&gt;".",up_Irr!AF11&lt;&gt;".",up_Irr!BD11&lt;&gt;"."),up_dir!AH11/((1/1000)*(up_Irr!H11+up_Irr!AF11+up_Irr!BD11)),IF(AND(up_Irr!H11&lt;&gt;".",up_Irr!AF11&lt;&gt;".",up_Irr!BD11="."),up_dir!AH11/((1/1000)*(up_Irr!H11+up_Irr!AF11)),IF(AND(up_Irr!H11&lt;&gt;".",up_Irr!AF11=".",up_Irr!BD11&lt;&gt;"."),up_dir!AH11/((1/1000)*(up_Irr!H11+up_Irr!BD11)),IF(AND(up_Irr!H11=".",up_Irr!AF11&lt;&gt;".",up_Irr!BD11&lt;&gt;"."),up_dir!AH11/((1/1000)*(up_Irr!AF11+up_Irr!BD11)),IF(AND(up_Irr!H11=".",up_Irr!AF11=".",up_Irr!BD11&lt;&gt;"."),up_dir!AH11/((1/1000)*(up_Irr!BD11)),IF(AND(up_Irr!H11=".",up_Irr!AF11&lt;&gt;".",up_Irr!BD11="."),up_dir!AH11/((1/1000)*(up_Irr!AF11)),IF(AND(up_Irr!H11&lt;&gt;".",up_Irr!AF11=".",up_Irr!BD11="."),up_dir!AH11/((1/1000)*(up_Irr!H11)),IF(AND(up_Irr!H11=".",up_Irr!AF11=".",up_Irr!BD11="."),up_dir!AH11*1000)))))))),".")</f>
        <v>7.2351016258567334E-11</v>
      </c>
      <c r="BH11" s="76">
        <f>IFERROR(IF(AND(up_Irr!I11&lt;&gt;".",up_Irr!AG11&lt;&gt;".",up_Irr!BE11&lt;&gt;"."),up_dir!AI11/((1/1000)*(up_Irr!I11+up_Irr!AG11+up_Irr!BE11)),IF(AND(up_Irr!I11&lt;&gt;".",up_Irr!AG11&lt;&gt;".",up_Irr!BE11="."),up_dir!AI11/((1/1000)*(up_Irr!I11+up_Irr!AG11)),IF(AND(up_Irr!I11&lt;&gt;".",up_Irr!AG11=".",up_Irr!BE11&lt;&gt;"."),up_dir!AI11/((1/1000)*(up_Irr!I11+up_Irr!BE11)),IF(AND(up_Irr!I11=".",up_Irr!AG11&lt;&gt;".",up_Irr!BE11&lt;&gt;"."),up_dir!AI11/((1/1000)*(up_Irr!AG11+up_Irr!BE11)),IF(AND(up_Irr!I11=".",up_Irr!AG11=".",up_Irr!BE11&lt;&gt;"."),up_dir!AI11/((1/1000)*(up_Irr!BE11)),IF(AND(up_Irr!I11=".",up_Irr!AG11&lt;&gt;".",up_Irr!BE11="."),up_dir!AI11/((1/1000)*(up_Irr!AG11)),IF(AND(up_Irr!I11&lt;&gt;".",up_Irr!AG11=".",up_Irr!BE11="."),up_dir!AI11/((1/1000)*(up_Irr!I11)),IF(AND(up_Irr!I11=".",up_Irr!AG11=".",up_Irr!BE11="."),up_dir!AI11*1000)))))))),".")</f>
        <v>7.2351016258567334E-11</v>
      </c>
      <c r="BI11" s="76">
        <f>IFERROR(IF(AND(up_Irr!J11&lt;&gt;".",up_Irr!AH11&lt;&gt;".",up_Irr!BF11&lt;&gt;"."),up_dir!AJ11/((1/1000)*(up_Irr!J11+up_Irr!AH11+up_Irr!BF11)),IF(AND(up_Irr!J11&lt;&gt;".",up_Irr!AH11&lt;&gt;".",up_Irr!BF11="."),up_dir!AJ11/((1/1000)*(up_Irr!J11+up_Irr!AH11)),IF(AND(up_Irr!J11&lt;&gt;".",up_Irr!AH11=".",up_Irr!BF11&lt;&gt;"."),up_dir!AJ11/((1/1000)*(up_Irr!J11+up_Irr!BF11)),IF(AND(up_Irr!J11=".",up_Irr!AH11&lt;&gt;".",up_Irr!BF11&lt;&gt;"."),up_dir!AJ11/((1/1000)*(up_Irr!AH11+up_Irr!BF11)),IF(AND(up_Irr!J11=".",up_Irr!AH11=".",up_Irr!BF11&lt;&gt;"."),up_dir!AJ11/((1/1000)*(up_Irr!BF11)),IF(AND(up_Irr!J11=".",up_Irr!AH11&lt;&gt;".",up_Irr!BF11="."),up_dir!AJ11/((1/1000)*(up_Irr!AH11)),IF(AND(up_Irr!J11&lt;&gt;".",up_Irr!AH11=".",up_Irr!BF11="."),up_dir!AJ11/((1/1000)*(up_Irr!J11)),IF(AND(up_Irr!J11=".",up_Irr!AH11=".",up_Irr!BF11="."),up_dir!AJ11*1000)))))))),".")</f>
        <v>7.2351016258567334E-11</v>
      </c>
      <c r="BJ11" s="76">
        <f>IFERROR(IF(AND(up_Irr!K11&lt;&gt;".",up_Irr!AI11&lt;&gt;".",up_Irr!BG11&lt;&gt;"."),up_dir!AK11/((1/1000)*(up_Irr!K11+up_Irr!AI11+up_Irr!BG11)),IF(AND(up_Irr!K11&lt;&gt;".",up_Irr!AI11&lt;&gt;".",up_Irr!BG11="."),up_dir!AK11/((1/1000)*(up_Irr!K11+up_Irr!AI11)),IF(AND(up_Irr!K11&lt;&gt;".",up_Irr!AI11=".",up_Irr!BG11&lt;&gt;"."),up_dir!AK11/((1/1000)*(up_Irr!K11+up_Irr!BG11)),IF(AND(up_Irr!K11=".",up_Irr!AI11&lt;&gt;".",up_Irr!BG11&lt;&gt;"."),up_dir!AK11/((1/1000)*(up_Irr!AI11+up_Irr!BG11)),IF(AND(up_Irr!K11=".",up_Irr!AI11=".",up_Irr!BG11&lt;&gt;"."),up_dir!AK11/((1/1000)*(up_Irr!BG11)),IF(AND(up_Irr!K11=".",up_Irr!AI11&lt;&gt;".",up_Irr!BG11="."),up_dir!AK11/((1/1000)*(up_Irr!AI11)),IF(AND(up_Irr!K11&lt;&gt;".",up_Irr!AI11=".",up_Irr!BG11="."),up_dir!AK11/((1/1000)*(up_Irr!K11)),IF(AND(up_Irr!K11=".",up_Irr!AI11=".",up_Irr!BG11="."),up_dir!AK11*1000)))))))),".")</f>
        <v>7.2351016258567334E-11</v>
      </c>
      <c r="BK11" s="76">
        <f>IFERROR(IF(AND(up_Irr!L11&lt;&gt;".",up_Irr!AJ11&lt;&gt;".",up_Irr!BH11&lt;&gt;"."),up_dir!AL11/((1/1000)*(up_Irr!L11+up_Irr!AJ11+up_Irr!BH11)),IF(AND(up_Irr!L11&lt;&gt;".",up_Irr!AJ11&lt;&gt;".",up_Irr!BH11="."),up_dir!AL11/((1/1000)*(up_Irr!L11+up_Irr!AJ11)),IF(AND(up_Irr!L11&lt;&gt;".",up_Irr!AJ11=".",up_Irr!BH11&lt;&gt;"."),up_dir!AL11/((1/1000)*(up_Irr!L11+up_Irr!BH11)),IF(AND(up_Irr!L11=".",up_Irr!AJ11&lt;&gt;".",up_Irr!BH11&lt;&gt;"."),up_dir!AL11/((1/1000)*(up_Irr!AJ11+up_Irr!BH11)),IF(AND(up_Irr!L11=".",up_Irr!AJ11=".",up_Irr!BH11&lt;&gt;"."),up_dir!AL11/((1/1000)*(up_Irr!BH11)),IF(AND(up_Irr!L11=".",up_Irr!AJ11&lt;&gt;".",up_Irr!BH11="."),up_dir!AL11/((1/1000)*(up_Irr!AJ11)),IF(AND(up_Irr!L11&lt;&gt;".",up_Irr!AJ11=".",up_Irr!BH11="."),up_dir!AL11/((1/1000)*(up_Irr!L11)),IF(AND(up_Irr!L11=".",up_Irr!AJ11=".",up_Irr!BH11="."),up_dir!AL11*1000)))))))),".")</f>
        <v>7.2351016258567334E-11</v>
      </c>
      <c r="BL11" s="76">
        <f>IFERROR(IF(AND(up_Irr!M11&lt;&gt;".",up_Irr!AK11&lt;&gt;".",up_Irr!BI11&lt;&gt;"."),up_dir!AM11/((1/1000)*(up_Irr!M11+up_Irr!AK11+up_Irr!BI11)),IF(AND(up_Irr!M11&lt;&gt;".",up_Irr!AK11&lt;&gt;".",up_Irr!BI11="."),up_dir!AM11/((1/1000)*(up_Irr!M11+up_Irr!AK11)),IF(AND(up_Irr!M11&lt;&gt;".",up_Irr!AK11=".",up_Irr!BI11&lt;&gt;"."),up_dir!AM11/((1/1000)*(up_Irr!M11+up_Irr!BI11)),IF(AND(up_Irr!M11=".",up_Irr!AK11&lt;&gt;".",up_Irr!BI11&lt;&gt;"."),up_dir!AM11/((1/1000)*(up_Irr!AK11+up_Irr!BI11)),IF(AND(up_Irr!M11=".",up_Irr!AK11=".",up_Irr!BI11&lt;&gt;"."),up_dir!AM11/((1/1000)*(up_Irr!BI11)),IF(AND(up_Irr!M11=".",up_Irr!AK11&lt;&gt;".",up_Irr!BI11="."),up_dir!AM11/((1/1000)*(up_Irr!AK11)),IF(AND(up_Irr!M11&lt;&gt;".",up_Irr!AK11=".",up_Irr!BI11="."),up_dir!AM11/((1/1000)*(up_Irr!M11)),IF(AND(up_Irr!M11=".",up_Irr!AK11=".",up_Irr!BI11="."),up_dir!AM11*1000)))))))),".")</f>
        <v>7.2351016258567334E-11</v>
      </c>
      <c r="BM11" s="76">
        <f>IFERROR(IF(AND(up_Irr!N11&lt;&gt;".",up_Irr!AL11&lt;&gt;".",up_Irr!BJ11&lt;&gt;"."),up_dir!AN11/((1/1000)*(up_Irr!N11+up_Irr!AL11+up_Irr!BJ11)),IF(AND(up_Irr!N11&lt;&gt;".",up_Irr!AL11&lt;&gt;".",up_Irr!BJ11="."),up_dir!AN11/((1/1000)*(up_Irr!N11+up_Irr!AL11)),IF(AND(up_Irr!N11&lt;&gt;".",up_Irr!AL11=".",up_Irr!BJ11&lt;&gt;"."),up_dir!AN11/((1/1000)*(up_Irr!N11+up_Irr!BJ11)),IF(AND(up_Irr!N11=".",up_Irr!AL11&lt;&gt;".",up_Irr!BJ11&lt;&gt;"."),up_dir!AN11/((1/1000)*(up_Irr!AL11+up_Irr!BJ11)),IF(AND(up_Irr!N11=".",up_Irr!AL11=".",up_Irr!BJ11&lt;&gt;"."),up_dir!AN11/((1/1000)*(up_Irr!BJ11)),IF(AND(up_Irr!N11=".",up_Irr!AL11&lt;&gt;".",up_Irr!BJ11="."),up_dir!AN11/((1/1000)*(up_Irr!AL11)),IF(AND(up_Irr!N11&lt;&gt;".",up_Irr!AL11=".",up_Irr!BJ11="."),up_dir!AN11/((1/1000)*(up_Irr!N11)),IF(AND(up_Irr!N11=".",up_Irr!AL11=".",up_Irr!BJ11="."),up_dir!AN11*1000)))))))),".")</f>
        <v>7.2351016258567334E-11</v>
      </c>
      <c r="BN11" s="76">
        <f>IFERROR(IF(AND(up_Irr!O11&lt;&gt;".",up_Irr!AM11&lt;&gt;".",up_Irr!BK11&lt;&gt;"."),up_dir!AO11/((1/1000)*(up_Irr!O11+up_Irr!AM11+up_Irr!BK11)),IF(AND(up_Irr!O11&lt;&gt;".",up_Irr!AM11&lt;&gt;".",up_Irr!BK11="."),up_dir!AO11/((1/1000)*(up_Irr!O11+up_Irr!AM11)),IF(AND(up_Irr!O11&lt;&gt;".",up_Irr!AM11=".",up_Irr!BK11&lt;&gt;"."),up_dir!AO11/((1/1000)*(up_Irr!O11+up_Irr!BK11)),IF(AND(up_Irr!O11=".",up_Irr!AM11&lt;&gt;".",up_Irr!BK11&lt;&gt;"."),up_dir!AO11/((1/1000)*(up_Irr!AM11+up_Irr!BK11)),IF(AND(up_Irr!O11=".",up_Irr!AM11=".",up_Irr!BK11&lt;&gt;"."),up_dir!AO11/((1/1000)*(up_Irr!BK11)),IF(AND(up_Irr!O11=".",up_Irr!AM11&lt;&gt;".",up_Irr!BK11="."),up_dir!AO11/((1/1000)*(up_Irr!AM11)),IF(AND(up_Irr!O11&lt;&gt;".",up_Irr!AM11=".",up_Irr!BK11="."),up_dir!AO11/((1/1000)*(up_Irr!O11)),IF(AND(up_Irr!O11=".",up_Irr!AM11=".",up_Irr!BK11="."),up_dir!AO11*1000)))))))),".")</f>
        <v>7.2351016258567334E-11</v>
      </c>
      <c r="BO11" s="76">
        <f>IFERROR(IF(AND(up_Irr!P11&lt;&gt;".",up_Irr!AN11&lt;&gt;".",up_Irr!BL11&lt;&gt;"."),up_dir!AP11/((1/1000)*(up_Irr!P11+up_Irr!AN11+up_Irr!BL11)),IF(AND(up_Irr!P11&lt;&gt;".",up_Irr!AN11&lt;&gt;".",up_Irr!BL11="."),up_dir!AP11/((1/1000)*(up_Irr!P11+up_Irr!AN11)),IF(AND(up_Irr!P11&lt;&gt;".",up_Irr!AN11=".",up_Irr!BL11&lt;&gt;"."),up_dir!AP11/((1/1000)*(up_Irr!P11+up_Irr!BL11)),IF(AND(up_Irr!P11=".",up_Irr!AN11&lt;&gt;".",up_Irr!BL11&lt;&gt;"."),up_dir!AP11/((1/1000)*(up_Irr!AN11+up_Irr!BL11)),IF(AND(up_Irr!P11=".",up_Irr!AN11=".",up_Irr!BL11&lt;&gt;"."),up_dir!AP11/((1/1000)*(up_Irr!BL11)),IF(AND(up_Irr!P11=".",up_Irr!AN11&lt;&gt;".",up_Irr!BL11="."),up_dir!AP11/((1/1000)*(up_Irr!AN11)),IF(AND(up_Irr!P11&lt;&gt;".",up_Irr!AN11=".",up_Irr!BL11="."),up_dir!AP11/((1/1000)*(up_Irr!P11)),IF(AND(up_Irr!P11=".",up_Irr!AN11=".",up_Irr!BL11="."),up_dir!AP11*1000)))))))),".")</f>
        <v>7.2351016258567334E-11</v>
      </c>
      <c r="BP11" s="76">
        <f>IFERROR(IF(AND(up_Irr!Q11&lt;&gt;".",up_Irr!AO11&lt;&gt;".",up_Irr!BM11&lt;&gt;"."),up_dir!AQ11/((1/1000)*(up_Irr!Q11+up_Irr!AO11+up_Irr!BM11)),IF(AND(up_Irr!Q11&lt;&gt;".",up_Irr!AO11&lt;&gt;".",up_Irr!BM11="."),up_dir!AQ11/((1/1000)*(up_Irr!Q11+up_Irr!AO11)),IF(AND(up_Irr!Q11&lt;&gt;".",up_Irr!AO11=".",up_Irr!BM11&lt;&gt;"."),up_dir!AQ11/((1/1000)*(up_Irr!Q11+up_Irr!BM11)),IF(AND(up_Irr!Q11=".",up_Irr!AO11&lt;&gt;".",up_Irr!BM11&lt;&gt;"."),up_dir!AQ11/((1/1000)*(up_Irr!AO11+up_Irr!BM11)),IF(AND(up_Irr!Q11=".",up_Irr!AO11=".",up_Irr!BM11&lt;&gt;"."),up_dir!AQ11/((1/1000)*(up_Irr!BM11)),IF(AND(up_Irr!Q11=".",up_Irr!AO11&lt;&gt;".",up_Irr!BM11="."),up_dir!AQ11/((1/1000)*(up_Irr!AO11)),IF(AND(up_Irr!Q11&lt;&gt;".",up_Irr!AO11=".",up_Irr!BM11="."),up_dir!AQ11/((1/1000)*(up_Irr!Q11)),IF(AND(up_Irr!Q11=".",up_Irr!AO11=".",up_Irr!BM11="."),up_dir!AQ11*1000)))))))),".")</f>
        <v>7.2351016258567334E-11</v>
      </c>
      <c r="BQ11" s="76">
        <f>IFERROR(IF(AND(up_Irr!R11&lt;&gt;".",up_Irr!AP11&lt;&gt;".",up_Irr!BN11&lt;&gt;"."),up_dir!AR11/((1/1000)*(up_Irr!R11+up_Irr!AP11+up_Irr!BN11)),IF(AND(up_Irr!R11&lt;&gt;".",up_Irr!AP11&lt;&gt;".",up_Irr!BN11="."),up_dir!AR11/((1/1000)*(up_Irr!R11+up_Irr!AP11)),IF(AND(up_Irr!R11&lt;&gt;".",up_Irr!AP11=".",up_Irr!BN11&lt;&gt;"."),up_dir!AR11/((1/1000)*(up_Irr!R11+up_Irr!BN11)),IF(AND(up_Irr!R11=".",up_Irr!AP11&lt;&gt;".",up_Irr!BN11&lt;&gt;"."),up_dir!AR11/((1/1000)*(up_Irr!AP11+up_Irr!BN11)),IF(AND(up_Irr!R11=".",up_Irr!AP11=".",up_Irr!BN11&lt;&gt;"."),up_dir!AR11/((1/1000)*(up_Irr!BN11)),IF(AND(up_Irr!R11=".",up_Irr!AP11&lt;&gt;".",up_Irr!BN11="."),up_dir!AR11/((1/1000)*(up_Irr!AP11)),IF(AND(up_Irr!R11&lt;&gt;".",up_Irr!AP11=".",up_Irr!BN11="."),up_dir!AR11/((1/1000)*(up_Irr!R11)),IF(AND(up_Irr!R11=".",up_Irr!AP11=".",up_Irr!BN11="."),up_dir!AR11*1000)))))))),".")</f>
        <v>7.2351016258567334E-11</v>
      </c>
      <c r="BR11" s="76">
        <f>IFERROR(IF(AND(up_Irr!S11&lt;&gt;".",up_Irr!AQ11&lt;&gt;".",up_Irr!BO11&lt;&gt;"."),up_dir!AS11/((1/1000)*(up_Irr!S11+up_Irr!AQ11+up_Irr!BO11)),IF(AND(up_Irr!S11&lt;&gt;".",up_Irr!AQ11&lt;&gt;".",up_Irr!BO11="."),up_dir!AS11/((1/1000)*(up_Irr!S11+up_Irr!AQ11)),IF(AND(up_Irr!S11&lt;&gt;".",up_Irr!AQ11=".",up_Irr!BO11&lt;&gt;"."),up_dir!AS11/((1/1000)*(up_Irr!S11+up_Irr!BO11)),IF(AND(up_Irr!S11=".",up_Irr!AQ11&lt;&gt;".",up_Irr!BO11&lt;&gt;"."),up_dir!AS11/((1/1000)*(up_Irr!AQ11+up_Irr!BO11)),IF(AND(up_Irr!S11=".",up_Irr!AQ11=".",up_Irr!BO11&lt;&gt;"."),up_dir!AS11/((1/1000)*(up_Irr!BO11)),IF(AND(up_Irr!S11=".",up_Irr!AQ11&lt;&gt;".",up_Irr!BO11="."),up_dir!AS11/((1/1000)*(up_Irr!AQ11)),IF(AND(up_Irr!S11&lt;&gt;".",up_Irr!AQ11=".",up_Irr!BO11="."),up_dir!AS11/((1/1000)*(up_Irr!S11)),IF(AND(up_Irr!S11=".",up_Irr!AQ11=".",up_Irr!BO11="."),up_dir!AS11*1000)))))))),".")</f>
        <v>7.2351016258567334E-11</v>
      </c>
      <c r="BS11" s="76">
        <f>IFERROR(IF(AND(up_Irr!T11&lt;&gt;".",up_Irr!AR11&lt;&gt;".",up_Irr!BP11&lt;&gt;"."),up_dir!AT11/((1/1000)*(up_Irr!T11+up_Irr!AR11+up_Irr!BP11)),IF(AND(up_Irr!T11&lt;&gt;".",up_Irr!AR11&lt;&gt;".",up_Irr!BP11="."),up_dir!AT11/((1/1000)*(up_Irr!T11+up_Irr!AR11)),IF(AND(up_Irr!T11&lt;&gt;".",up_Irr!AR11=".",up_Irr!BP11&lt;&gt;"."),up_dir!AT11/((1/1000)*(up_Irr!T11+up_Irr!BP11)),IF(AND(up_Irr!T11=".",up_Irr!AR11&lt;&gt;".",up_Irr!BP11&lt;&gt;"."),up_dir!AT11/((1/1000)*(up_Irr!AR11+up_Irr!BP11)),IF(AND(up_Irr!T11=".",up_Irr!AR11=".",up_Irr!BP11&lt;&gt;"."),up_dir!AT11/((1/1000)*(up_Irr!BP11)),IF(AND(up_Irr!T11=".",up_Irr!AR11&lt;&gt;".",up_Irr!BP11="."),up_dir!AT11/((1/1000)*(up_Irr!AR11)),IF(AND(up_Irr!T11&lt;&gt;".",up_Irr!AR11=".",up_Irr!BP11="."),up_dir!AT11/((1/1000)*(up_Irr!T11)),IF(AND(up_Irr!T11=".",up_Irr!AR11=".",up_Irr!BP11="."),up_dir!AT11*1000)))))))),".")</f>
        <v>7.2351016258567334E-11</v>
      </c>
      <c r="BT11" s="76">
        <f>IFERROR(IF(AND(up_Irr!U11&lt;&gt;".",up_Irr!AS11&lt;&gt;".",up_Irr!BQ11&lt;&gt;"."),up_dir!AU11/((1/1000)*(up_Irr!U11+up_Irr!AS11+up_Irr!BQ11)),IF(AND(up_Irr!U11&lt;&gt;".",up_Irr!AS11&lt;&gt;".",up_Irr!BQ11="."),up_dir!AU11/((1/1000)*(up_Irr!U11+up_Irr!AS11)),IF(AND(up_Irr!U11&lt;&gt;".",up_Irr!AS11=".",up_Irr!BQ11&lt;&gt;"."),up_dir!AU11/((1/1000)*(up_Irr!U11+up_Irr!BQ11)),IF(AND(up_Irr!U11=".",up_Irr!AS11&lt;&gt;".",up_Irr!BQ11&lt;&gt;"."),up_dir!AU11/((1/1000)*(up_Irr!AS11+up_Irr!BQ11)),IF(AND(up_Irr!U11=".",up_Irr!AS11=".",up_Irr!BQ11&lt;&gt;"."),up_dir!AU11/((1/1000)*(up_Irr!BQ11)),IF(AND(up_Irr!U11=".",up_Irr!AS11&lt;&gt;".",up_Irr!BQ11="."),up_dir!AU11/((1/1000)*(up_Irr!AS11)),IF(AND(up_Irr!U11&lt;&gt;".",up_Irr!AS11=".",up_Irr!BQ11="."),up_dir!AU11/((1/1000)*(up_Irr!U11)),IF(AND(up_Irr!U11=".",up_Irr!AS11=".",up_Irr!BQ11="."),up_dir!AU11*1000)))))))),".")</f>
        <v>7.2351016258567334E-11</v>
      </c>
      <c r="BU11" s="76">
        <f>IFERROR(IF(AND(up_Irr!V11&lt;&gt;".",up_Irr!AT11&lt;&gt;".",up_Irr!BR11&lt;&gt;"."),up_dir!AV11/((1/1000)*(up_Irr!V11+up_Irr!AT11+up_Irr!BR11)),IF(AND(up_Irr!V11&lt;&gt;".",up_Irr!AT11&lt;&gt;".",up_Irr!BR11="."),up_dir!AV11/((1/1000)*(up_Irr!V11+up_Irr!AT11)),IF(AND(up_Irr!V11&lt;&gt;".",up_Irr!AT11=".",up_Irr!BR11&lt;&gt;"."),up_dir!AV11/((1/1000)*(up_Irr!V11+up_Irr!BR11)),IF(AND(up_Irr!V11=".",up_Irr!AT11&lt;&gt;".",up_Irr!BR11&lt;&gt;"."),up_dir!AV11/((1/1000)*(up_Irr!AT11+up_Irr!BR11)),IF(AND(up_Irr!V11=".",up_Irr!AT11=".",up_Irr!BR11&lt;&gt;"."),up_dir!AV11/((1/1000)*(up_Irr!BR11)),IF(AND(up_Irr!V11=".",up_Irr!AT11&lt;&gt;".",up_Irr!BR11="."),up_dir!AV11/((1/1000)*(up_Irr!AT11)),IF(AND(up_Irr!V11&lt;&gt;".",up_Irr!AT11=".",up_Irr!BR11="."),up_dir!AV11/((1/1000)*(up_Irr!V11)),IF(AND(up_Irr!V11=".",up_Irr!AT11=".",up_Irr!BR11="."),up_dir!AV11*1000)))))))),".")</f>
        <v>7.2351016258567334E-11</v>
      </c>
      <c r="BV11" s="76">
        <f>IFERROR(IF(AND(up_Irr!W11&lt;&gt;".",up_Irr!AU11&lt;&gt;".",up_Irr!BS11&lt;&gt;"."),up_dir!AW11/((1/1000)*(up_Irr!W11+up_Irr!AU11+up_Irr!BS11)),IF(AND(up_Irr!W11&lt;&gt;".",up_Irr!AU11&lt;&gt;".",up_Irr!BS11="."),up_dir!AW11/((1/1000)*(up_Irr!W11+up_Irr!AU11)),IF(AND(up_Irr!W11&lt;&gt;".",up_Irr!AU11=".",up_Irr!BS11&lt;&gt;"."),up_dir!AW11/((1/1000)*(up_Irr!W11+up_Irr!BS11)),IF(AND(up_Irr!W11=".",up_Irr!AU11&lt;&gt;".",up_Irr!BS11&lt;&gt;"."),up_dir!AW11/((1/1000)*(up_Irr!AU11+up_Irr!BS11)),IF(AND(up_Irr!W11=".",up_Irr!AU11=".",up_Irr!BS11&lt;&gt;"."),up_dir!AW11/((1/1000)*(up_Irr!BS11)),IF(AND(up_Irr!W11=".",up_Irr!AU11&lt;&gt;".",up_Irr!BS11="."),up_dir!AW11/((1/1000)*(up_Irr!AU11)),IF(AND(up_Irr!W11&lt;&gt;".",up_Irr!AU11=".",up_Irr!BS11="."),up_dir!AW11/((1/1000)*(up_Irr!W11)),IF(AND(up_Irr!W11=".",up_Irr!AU11=".",up_Irr!BS11="."),up_dir!AW11*1000)))))))),".")</f>
        <v>7.2351016258567334E-11</v>
      </c>
      <c r="BW11" s="76">
        <f>IFERROR(IF(AND(up_Irr!X11&lt;&gt;".",up_Irr!AV11&lt;&gt;".",up_Irr!BT11&lt;&gt;"."),up_dir!AX11/((1/1000)*(up_Irr!X11+up_Irr!AV11+up_Irr!BT11)),IF(AND(up_Irr!X11&lt;&gt;".",up_Irr!AV11&lt;&gt;".",up_Irr!BT11="."),up_dir!AX11/((1/1000)*(up_Irr!X11+up_Irr!AV11)),IF(AND(up_Irr!X11&lt;&gt;".",up_Irr!AV11=".",up_Irr!BT11&lt;&gt;"."),up_dir!AX11/((1/1000)*(up_Irr!X11+up_Irr!BT11)),IF(AND(up_Irr!X11=".",up_Irr!AV11&lt;&gt;".",up_Irr!BT11&lt;&gt;"."),up_dir!AX11/((1/1000)*(up_Irr!AV11+up_Irr!BT11)),IF(AND(up_Irr!X11=".",up_Irr!AV11=".",up_Irr!BT11&lt;&gt;"."),up_dir!AX11/((1/1000)*(up_Irr!BT11)),IF(AND(up_Irr!X11=".",up_Irr!AV11&lt;&gt;".",up_Irr!BT11="."),up_dir!AX11/((1/1000)*(up_Irr!AV11)),IF(AND(up_Irr!X11&lt;&gt;".",up_Irr!AV11=".",up_Irr!BT11="."),up_dir!AX11/((1/1000)*(up_Irr!X11)),IF(AND(up_Irr!X11=".",up_Irr!AV11=".",up_Irr!BT11="."),up_dir!AX11*1000)))))))),".")</f>
        <v>7.2351016258567334E-11</v>
      </c>
      <c r="BX11" s="76">
        <f>IFERROR(IF(AND(up_Irr!Y11&lt;&gt;".",up_Irr!AW11&lt;&gt;".",up_Irr!BU11&lt;&gt;"."),up_dir!AY11/((1/1000)*(up_Irr!Y11+up_Irr!AW11+up_Irr!BU11)),IF(AND(up_Irr!Y11&lt;&gt;".",up_Irr!AW11&lt;&gt;".",up_Irr!BU11="."),up_dir!AY11/((1/1000)*(up_Irr!Y11+up_Irr!AW11)),IF(AND(up_Irr!Y11&lt;&gt;".",up_Irr!AW11=".",up_Irr!BU11&lt;&gt;"."),up_dir!AY11/((1/1000)*(up_Irr!Y11+up_Irr!BU11)),IF(AND(up_Irr!Y11=".",up_Irr!AW11&lt;&gt;".",up_Irr!BU11&lt;&gt;"."),up_dir!AY11/((1/1000)*(up_Irr!AW11+up_Irr!BU11)),IF(AND(up_Irr!Y11=".",up_Irr!AW11=".",up_Irr!BU11&lt;&gt;"."),up_dir!AY11/((1/1000)*(up_Irr!BU11)),IF(AND(up_Irr!Y11=".",up_Irr!AW11&lt;&gt;".",up_Irr!BU11="."),up_dir!AY11/((1/1000)*(up_Irr!AW11)),IF(AND(up_Irr!Y11&lt;&gt;".",up_Irr!AW11=".",up_Irr!BU11="."),up_dir!AY11/((1/1000)*(up_Irr!Y11)),IF(AND(up_Irr!Y11=".",up_Irr!AW11=".",up_Irr!BU11="."),up_dir!AY11*1000)))))))),".")</f>
        <v>7.2351016258567334E-11</v>
      </c>
      <c r="BY11" s="76">
        <f>IFERROR(IF(AND(up_Irr!Z11&lt;&gt;".",up_Irr!AX11&lt;&gt;".",up_Irr!BV11&lt;&gt;"."),up_dir!AZ11/((1/1000)*(up_Irr!Z11+up_Irr!AX11+up_Irr!BV11)),IF(AND(up_Irr!Z11&lt;&gt;".",up_Irr!AX11&lt;&gt;".",up_Irr!BV11="."),up_dir!AZ11/((1/1000)*(up_Irr!Z11+up_Irr!AX11)),IF(AND(up_Irr!Z11&lt;&gt;".",up_Irr!AX11=".",up_Irr!BV11&lt;&gt;"."),up_dir!AZ11/((1/1000)*(up_Irr!Z11+up_Irr!BV11)),IF(AND(up_Irr!Z11=".",up_Irr!AX11&lt;&gt;".",up_Irr!BV11&lt;&gt;"."),up_dir!AZ11/((1/1000)*(up_Irr!AX11+up_Irr!BV11)),IF(AND(up_Irr!Z11=".",up_Irr!AX11=".",up_Irr!BV11&lt;&gt;"."),up_dir!AZ11/((1/1000)*(up_Irr!BV11)),IF(AND(up_Irr!Z11=".",up_Irr!AX11&lt;&gt;".",up_Irr!BV11="."),up_dir!AZ11/((1/1000)*(up_Irr!AX11)),IF(AND(up_Irr!Z11&lt;&gt;".",up_Irr!AX11=".",up_Irr!BV11="."),up_dir!AZ11/((1/1000)*(up_Irr!Z11)),IF(AND(up_Irr!Z11=".",up_Irr!AX11=".",up_Irr!BV11="."),up_dir!AZ11*1000)))))))),".")</f>
        <v>7.2351016258567334E-11</v>
      </c>
      <c r="BZ11" s="93">
        <f>SUM(CA11:CB11,CW11:CX11)</f>
        <v>55286.023705663516</v>
      </c>
      <c r="CA11" s="93">
        <f>IFERROR(s_C*s_IFAP_far_adj*s_CF_apple*(1/1000)*(up_Irr!C11+up_Irr!AA11+up_Irr!AY11),".")</f>
        <v>13821.505926415879</v>
      </c>
      <c r="CB11" s="93">
        <f>IFERROR(s_C*s_IFAS_far_adj*s_CF_asparagus*(1/1000)*(up_Irr!D11+up_Irr!AB11+up_Irr!AZ11),".")</f>
        <v>13821.505926415879</v>
      </c>
      <c r="CC11" s="93">
        <f>IFERROR(s_C*s_IFBT_far_adj*s_CF_beet*(1/1000)*(up_Irr!E11+up_Irr!AC11+up_Irr!BA11),".")</f>
        <v>13821.505926415879</v>
      </c>
      <c r="CD11" s="93">
        <f>IFERROR(s_C*s_IFBE_far_adj*s_CF_berries*(1/1000)*(up_Irr!F11+up_Irr!AD11+up_Irr!BB11),".")</f>
        <v>13821.505926415879</v>
      </c>
      <c r="CE11" s="93">
        <f>IFERROR(s_C*s_IFBR_far_adj*s_CF_broccoli*(1/1000)*(up_Irr!G11+up_Irr!AE11+up_Irr!BC11),".")</f>
        <v>13821.505926415879</v>
      </c>
      <c r="CF11" s="93">
        <f>IFERROR(s_C*s_IFCB_far_adj*s_CF_cabbage*(1/1000)*(up_Irr!H11+up_Irr!AF11+up_Irr!BD11),".")</f>
        <v>13821.505926415879</v>
      </c>
      <c r="CG11" s="93">
        <f>IFERROR(s_C*s_IFCR_far_adj*s_CF_carrot*(1/1000)*(up_Irr!I11+up_Irr!AG11+up_Irr!BE11),".")</f>
        <v>13821.505926415879</v>
      </c>
      <c r="CH11" s="93">
        <f>IFERROR(s_C*s_IFCI_far_adj*s_CF_citrus*(1/1000)*(up_Irr!J11+up_Irr!AH11+up_Irr!BF11),".")</f>
        <v>13821.505926415879</v>
      </c>
      <c r="CI11" s="93">
        <f>IFERROR(s_C*s_IFCO_far_adj*s_CF_corn*(1/1000)*(up_Irr!K11+up_Irr!AI11+up_Irr!BG11),".")</f>
        <v>13821.505926415879</v>
      </c>
      <c r="CJ11" s="93">
        <f>IFERROR(s_C*s_IFCU_far_adj*s_CF_cucumber*(1/1000)*(up_Irr!L11+up_Irr!AJ11+up_Irr!BH11),".")</f>
        <v>13821.505926415879</v>
      </c>
      <c r="CK11" s="93">
        <f>IFERROR(s_C*s_IFLE_far_adj*s_CF_lettuce*(1/1000)*(up_Irr!M11+up_Irr!AK11+up_Irr!BI11),".")</f>
        <v>13821.505926415879</v>
      </c>
      <c r="CL11" s="93">
        <f>IFERROR(s_C*s_IFLI_far_adj*s_CF_lima_bean*(1/1000)*(up_Irr!N11+up_Irr!AL11+up_Irr!BJ11),".")</f>
        <v>13821.505926415879</v>
      </c>
      <c r="CM11" s="93">
        <f>IFERROR(s_C*s_IFOK_far_adj*s_CF_okra*(1/1000)*(up_Irr!O11+up_Irr!AM11+up_Irr!BK11),".")</f>
        <v>13821.505926415879</v>
      </c>
      <c r="CN11" s="93">
        <f>IFERROR(s_C*s_IFON_far_adj*s_CF_onion*(1/1000)*(up_Irr!P11+up_Irr!AN11+up_Irr!BL11),".")</f>
        <v>13821.505926415879</v>
      </c>
      <c r="CO11" s="93">
        <f>IFERROR(s_C*s_IFPC_far_adj*s_CF_peach*(1/1000)*(up_Irr!Q11+up_Irr!AO11+up_Irr!BM11),".")</f>
        <v>13821.505926415879</v>
      </c>
      <c r="CP11" s="93">
        <f>IFERROR(s_C*s_IFPR_far_adj*s_CF_pear*(1/1000)*(up_Irr!R11+up_Irr!AP11+up_Irr!BN11),".")</f>
        <v>13821.505926415879</v>
      </c>
      <c r="CQ11" s="93">
        <f>IFERROR(s_C*s_IFPE_far_adj*s_CF_peas*(1/1000)*(up_Irr!S11+up_Irr!AQ11+up_Irr!BO11),".")</f>
        <v>13821.505926415879</v>
      </c>
      <c r="CR11" s="93">
        <f>IFERROR(s_C*s_IFPT_far_adj*s_CF_potato*(1/1000)*(up_Irr!T11+up_Irr!AR11+up_Irr!BP11),".")</f>
        <v>13821.505926415879</v>
      </c>
      <c r="CS11" s="93">
        <f>IFERROR(s_C*s_IFPU_far_adj*s_CF_pumpkin*(1/1000)*(up_Irr!U11+up_Irr!AS11+up_Irr!BQ11),".")</f>
        <v>13821.505926415879</v>
      </c>
      <c r="CT11" s="93">
        <f>IFERROR(s_C*s_IFSN_far_adj*s_CF_snap_bean*(1/1000)*(up_Irr!V11+up_Irr!AT11+up_Irr!BR11),".")</f>
        <v>13821.505926415879</v>
      </c>
      <c r="CU11" s="93">
        <f>IFERROR(s_C*s_IFST_far_adj*s_CF_strawberry*(1/1000)*(up_Irr!W11+up_Irr!AU11+up_Irr!BS11),".")</f>
        <v>13821.505926415879</v>
      </c>
      <c r="CV11" s="93">
        <f>IFERROR(s_C*s_IFTO_far_adj*s_CF_tomato*(1/1000)*(up_Irr!X11+up_Irr!AV11+up_Irr!BT11),".")</f>
        <v>13821.505926415879</v>
      </c>
      <c r="CW11" s="93">
        <f>IFERROR(s_C*s_IFRI_far_adj*s_CF_rice*(1/1000)*(up_Irr!Y11+up_Irr!AW11+up_Irr!BU11),".")</f>
        <v>13821.505926415879</v>
      </c>
      <c r="CX11" s="93">
        <f>IFERROR(s_C*s_IFCG_far_adj*s_CF_cereal*(1/1000)*(up_Irr!Z11+up_Irr!AX11+up_Irr!BV11),".")</f>
        <v>13821.505926415879</v>
      </c>
    </row>
    <row r="12" spans="1:102" ht="15" customHeight="1" x14ac:dyDescent="0.25">
      <c r="A12" s="92" t="s">
        <v>22</v>
      </c>
      <c r="B12" s="90" t="s">
        <v>1074</v>
      </c>
      <c r="C12" s="76">
        <f t="shared" si="0"/>
        <v>1.8087754064641833E-11</v>
      </c>
      <c r="D12" s="76">
        <f>IFERROR(IF(AND(up_Irr!C12&lt;&gt;".",up_Irr!AA12&lt;&gt;".",up_Irr!AY12&lt;&gt;"."),up_dir!D12/((1/1000)*(up_Irr!C12+up_Irr!AA12+up_Irr!AY12)),IF(AND(up_Irr!C12&lt;&gt;".",up_Irr!AA12&lt;&gt;".",up_Irr!AY12="."),up_dir!D12/((1/1000)*(up_Irr!C12+up_Irr!AA12)),IF(AND(up_Irr!C12&lt;&gt;".",up_Irr!AA12=".",up_Irr!AY12&lt;&gt;"."),up_dir!D12/((1/1000)*(up_Irr!C12+up_Irr!AY12)),IF(AND(up_Irr!C12=".",up_Irr!AA12&lt;&gt;".",up_Irr!AY12&lt;&gt;"."),up_dir!D12/((1/1000)*(up_Irr!AA12+up_Irr!AY12)),IF(AND(up_Irr!C12=".",up_Irr!AA12=".",up_Irr!AY12&lt;&gt;"."),up_dir!D12/((1/1000)*(up_Irr!AY12)),IF(AND(up_Irr!C12=".",up_Irr!AA12&lt;&gt;".",up_Irr!AY12="."),up_dir!D12/((1/1000)*(up_Irr!AA12)),IF(AND(up_Irr!C12&lt;&gt;".",up_Irr!AA12=".",up_Irr!AY12="."),up_dir!D12/((1/1000)*(up_Irr!C12)),IF(AND(up_Irr!C12=".",up_Irr!AA12=".",up_Irr!AY12="."),up_dir!D12*1000)))))))),".")</f>
        <v>7.2351016258567334E-11</v>
      </c>
      <c r="E12" s="76">
        <f>IFERROR(IF(AND(up_Irr!D12&lt;&gt;".",up_Irr!AB12&lt;&gt;".",up_Irr!AZ12&lt;&gt;"."),up_dir!E12/((1/1000)*(up_Irr!D12+up_Irr!AB12+up_Irr!AZ12)),IF(AND(up_Irr!D12&lt;&gt;".",up_Irr!AB12&lt;&gt;".",up_Irr!AZ12="."),up_dir!E12/((1/1000)*(up_Irr!D12+up_Irr!AB12)),IF(AND(up_Irr!D12&lt;&gt;".",up_Irr!AB12=".",up_Irr!AZ12&lt;&gt;"."),up_dir!E12/((1/1000)*(up_Irr!D12+up_Irr!AZ12)),IF(AND(up_Irr!D12=".",up_Irr!AB12&lt;&gt;".",up_Irr!AZ12&lt;&gt;"."),up_dir!E12/((1/1000)*(up_Irr!AB12+up_Irr!AZ12)),IF(AND(up_Irr!D12=".",up_Irr!AB12=".",up_Irr!AZ12&lt;&gt;"."),up_dir!E12/((1/1000)*(up_Irr!AZ12)),IF(AND(up_Irr!D12=".",up_Irr!AB12&lt;&gt;".",up_Irr!AZ12="."),up_dir!E12/((1/1000)*(up_Irr!AB12)),IF(AND(up_Irr!D12&lt;&gt;".",up_Irr!AB12=".",up_Irr!AZ12="."),up_dir!E12/((1/1000)*(up_Irr!D12)),IF(AND(up_Irr!D12=".",up_Irr!AB12=".",up_Irr!AZ12="."),up_dir!E12*1000)))))))),".")</f>
        <v>7.2351016258567334E-11</v>
      </c>
      <c r="F12" s="76">
        <f>IFERROR(IF(AND(up_Irr!E12&lt;&gt;".",up_Irr!AC12&lt;&gt;".",up_Irr!BA12&lt;&gt;"."),up_dir!F12/((1/1000)*(up_Irr!E12+up_Irr!AC12+up_Irr!BA12)),IF(AND(up_Irr!E12&lt;&gt;".",up_Irr!AC12&lt;&gt;".",up_Irr!BA12="."),up_dir!F12/((1/1000)*(up_Irr!E12+up_Irr!AC12)),IF(AND(up_Irr!E12&lt;&gt;".",up_Irr!AC12=".",up_Irr!BA12&lt;&gt;"."),up_dir!F12/((1/1000)*(up_Irr!E12+up_Irr!BA12)),IF(AND(up_Irr!E12=".",up_Irr!AC12&lt;&gt;".",up_Irr!BA12&lt;&gt;"."),up_dir!F12/((1/1000)*(up_Irr!AC12+up_Irr!BA12)),IF(AND(up_Irr!E12=".",up_Irr!AC12=".",up_Irr!BA12&lt;&gt;"."),up_dir!F12/((1/1000)*(up_Irr!BA12)),IF(AND(up_Irr!E12=".",up_Irr!AC12&lt;&gt;".",up_Irr!BA12="."),up_dir!F12/((1/1000)*(up_Irr!AC12)),IF(AND(up_Irr!E12&lt;&gt;".",up_Irr!AC12=".",up_Irr!BA12="."),up_dir!F12/((1/1000)*(up_Irr!E12)),IF(AND(up_Irr!E12=".",up_Irr!AC12=".",up_Irr!BA12="."),up_dir!F12*1000)))))))),".")</f>
        <v>7.2351016258567334E-11</v>
      </c>
      <c r="G12" s="76">
        <f>IFERROR(IF(AND(up_Irr!F12&lt;&gt;".",up_Irr!AD12&lt;&gt;".",up_Irr!BB12&lt;&gt;"."),up_dir!G12/((1/1000)*(up_Irr!F12+up_Irr!AD12+up_Irr!BB12)),IF(AND(up_Irr!F12&lt;&gt;".",up_Irr!AD12&lt;&gt;".",up_Irr!BB12="."),up_dir!G12/((1/1000)*(up_Irr!F12+up_Irr!AD12)),IF(AND(up_Irr!F12&lt;&gt;".",up_Irr!AD12=".",up_Irr!BB12&lt;&gt;"."),up_dir!G12/((1/1000)*(up_Irr!F12+up_Irr!BB12)),IF(AND(up_Irr!F12=".",up_Irr!AD12&lt;&gt;".",up_Irr!BB12&lt;&gt;"."),up_dir!G12/((1/1000)*(up_Irr!AD12+up_Irr!BB12)),IF(AND(up_Irr!F12=".",up_Irr!AD12=".",up_Irr!BB12&lt;&gt;"."),up_dir!G12/((1/1000)*(up_Irr!BB12)),IF(AND(up_Irr!F12=".",up_Irr!AD12&lt;&gt;".",up_Irr!BB12="."),up_dir!G12/((1/1000)*(up_Irr!AD12)),IF(AND(up_Irr!F12&lt;&gt;".",up_Irr!AD12=".",up_Irr!BB12="."),up_dir!G12/((1/1000)*(up_Irr!F12)),IF(AND(up_Irr!F12=".",up_Irr!AD12=".",up_Irr!BB12="."),up_dir!G12*1000)))))))),".")</f>
        <v>7.2351016258567334E-11</v>
      </c>
      <c r="H12" s="76">
        <f>IFERROR(IF(AND(up_Irr!G12&lt;&gt;".",up_Irr!AE12&lt;&gt;".",up_Irr!BC12&lt;&gt;"."),up_dir!H12/((1/1000)*(up_Irr!G12+up_Irr!AE12+up_Irr!BC12)),IF(AND(up_Irr!G12&lt;&gt;".",up_Irr!AE12&lt;&gt;".",up_Irr!BC12="."),up_dir!H12/((1/1000)*(up_Irr!G12+up_Irr!AE12)),IF(AND(up_Irr!G12&lt;&gt;".",up_Irr!AE12=".",up_Irr!BC12&lt;&gt;"."),up_dir!H12/((1/1000)*(up_Irr!G12+up_Irr!BC12)),IF(AND(up_Irr!G12=".",up_Irr!AE12&lt;&gt;".",up_Irr!BC12&lt;&gt;"."),up_dir!H12/((1/1000)*(up_Irr!AE12+up_Irr!BC12)),IF(AND(up_Irr!G12=".",up_Irr!AE12=".",up_Irr!BC12&lt;&gt;"."),up_dir!H12/((1/1000)*(up_Irr!BC12)),IF(AND(up_Irr!G12=".",up_Irr!AE12&lt;&gt;".",up_Irr!BC12="."),up_dir!H12/((1/1000)*(up_Irr!AE12)),IF(AND(up_Irr!G12&lt;&gt;".",up_Irr!AE12=".",up_Irr!BC12="."),up_dir!H12/((1/1000)*(up_Irr!G12)),IF(AND(up_Irr!G12=".",up_Irr!AE12=".",up_Irr!BC12="."),up_dir!H12*1000)))))))),".")</f>
        <v>7.2351016258567334E-11</v>
      </c>
      <c r="I12" s="76">
        <f>IFERROR(IF(AND(up_Irr!H12&lt;&gt;".",up_Irr!AF12&lt;&gt;".",up_Irr!BD12&lt;&gt;"."),up_dir!I12/((1/1000)*(up_Irr!H12+up_Irr!AF12+up_Irr!BD12)),IF(AND(up_Irr!H12&lt;&gt;".",up_Irr!AF12&lt;&gt;".",up_Irr!BD12="."),up_dir!I12/((1/1000)*(up_Irr!H12+up_Irr!AF12)),IF(AND(up_Irr!H12&lt;&gt;".",up_Irr!AF12=".",up_Irr!BD12&lt;&gt;"."),up_dir!I12/((1/1000)*(up_Irr!H12+up_Irr!BD12)),IF(AND(up_Irr!H12=".",up_Irr!AF12&lt;&gt;".",up_Irr!BD12&lt;&gt;"."),up_dir!I12/((1/1000)*(up_Irr!AF12+up_Irr!BD12)),IF(AND(up_Irr!H12=".",up_Irr!AF12=".",up_Irr!BD12&lt;&gt;"."),up_dir!I12/((1/1000)*(up_Irr!BD12)),IF(AND(up_Irr!H12=".",up_Irr!AF12&lt;&gt;".",up_Irr!BD12="."),up_dir!I12/((1/1000)*(up_Irr!AF12)),IF(AND(up_Irr!H12&lt;&gt;".",up_Irr!AF12=".",up_Irr!BD12="."),up_dir!I12/((1/1000)*(up_Irr!H12)),IF(AND(up_Irr!H12=".",up_Irr!AF12=".",up_Irr!BD12="."),up_dir!I12*1000)))))))),".")</f>
        <v>7.2351016258567334E-11</v>
      </c>
      <c r="J12" s="76">
        <f>IFERROR(IF(AND(up_Irr!I12&lt;&gt;".",up_Irr!AG12&lt;&gt;".",up_Irr!BE12&lt;&gt;"."),up_dir!J12/((1/1000)*(up_Irr!I12+up_Irr!AG12+up_Irr!BE12)),IF(AND(up_Irr!I12&lt;&gt;".",up_Irr!AG12&lt;&gt;".",up_Irr!BE12="."),up_dir!J12/((1/1000)*(up_Irr!I12+up_Irr!AG12)),IF(AND(up_Irr!I12&lt;&gt;".",up_Irr!AG12=".",up_Irr!BE12&lt;&gt;"."),up_dir!J12/((1/1000)*(up_Irr!I12+up_Irr!BE12)),IF(AND(up_Irr!I12=".",up_Irr!AG12&lt;&gt;".",up_Irr!BE12&lt;&gt;"."),up_dir!J12/((1/1000)*(up_Irr!AG12+up_Irr!BE12)),IF(AND(up_Irr!I12=".",up_Irr!AG12=".",up_Irr!BE12&lt;&gt;"."),up_dir!J12/((1/1000)*(up_Irr!BE12)),IF(AND(up_Irr!I12=".",up_Irr!AG12&lt;&gt;".",up_Irr!BE12="."),up_dir!J12/((1/1000)*(up_Irr!AG12)),IF(AND(up_Irr!I12&lt;&gt;".",up_Irr!AG12=".",up_Irr!BE12="."),up_dir!J12/((1/1000)*(up_Irr!I12)),IF(AND(up_Irr!I12=".",up_Irr!AG12=".",up_Irr!BE12="."),up_dir!J12*1000)))))))),".")</f>
        <v>7.2351016258567334E-11</v>
      </c>
      <c r="K12" s="76">
        <f>IFERROR(IF(AND(up_Irr!J12&lt;&gt;".",up_Irr!AH12&lt;&gt;".",up_Irr!BF12&lt;&gt;"."),up_dir!K12/((1/1000)*(up_Irr!J12+up_Irr!AH12+up_Irr!BF12)),IF(AND(up_Irr!J12&lt;&gt;".",up_Irr!AH12&lt;&gt;".",up_Irr!BF12="."),up_dir!K12/((1/1000)*(up_Irr!J12+up_Irr!AH12)),IF(AND(up_Irr!J12&lt;&gt;".",up_Irr!AH12=".",up_Irr!BF12&lt;&gt;"."),up_dir!K12/((1/1000)*(up_Irr!J12+up_Irr!BF12)),IF(AND(up_Irr!J12=".",up_Irr!AH12&lt;&gt;".",up_Irr!BF12&lt;&gt;"."),up_dir!K12/((1/1000)*(up_Irr!AH12+up_Irr!BF12)),IF(AND(up_Irr!J12=".",up_Irr!AH12=".",up_Irr!BF12&lt;&gt;"."),up_dir!K12/((1/1000)*(up_Irr!BF12)),IF(AND(up_Irr!J12=".",up_Irr!AH12&lt;&gt;".",up_Irr!BF12="."),up_dir!K12/((1/1000)*(up_Irr!AH12)),IF(AND(up_Irr!J12&lt;&gt;".",up_Irr!AH12=".",up_Irr!BF12="."),up_dir!K12/((1/1000)*(up_Irr!J12)),IF(AND(up_Irr!J12=".",up_Irr!AH12=".",up_Irr!BF12="."),up_dir!K12*1000)))))))),".")</f>
        <v>7.2351016258567334E-11</v>
      </c>
      <c r="L12" s="76">
        <f>IFERROR(IF(AND(up_Irr!K12&lt;&gt;".",up_Irr!AI12&lt;&gt;".",up_Irr!BG12&lt;&gt;"."),up_dir!L12/((1/1000)*(up_Irr!K12+up_Irr!AI12+up_Irr!BG12)),IF(AND(up_Irr!K12&lt;&gt;".",up_Irr!AI12&lt;&gt;".",up_Irr!BG12="."),up_dir!L12/((1/1000)*(up_Irr!K12+up_Irr!AI12)),IF(AND(up_Irr!K12&lt;&gt;".",up_Irr!AI12=".",up_Irr!BG12&lt;&gt;"."),up_dir!L12/((1/1000)*(up_Irr!K12+up_Irr!BG12)),IF(AND(up_Irr!K12=".",up_Irr!AI12&lt;&gt;".",up_Irr!BG12&lt;&gt;"."),up_dir!L12/((1/1000)*(up_Irr!AI12+up_Irr!BG12)),IF(AND(up_Irr!K12=".",up_Irr!AI12=".",up_Irr!BG12&lt;&gt;"."),up_dir!L12/((1/1000)*(up_Irr!BG12)),IF(AND(up_Irr!K12=".",up_Irr!AI12&lt;&gt;".",up_Irr!BG12="."),up_dir!L12/((1/1000)*(up_Irr!AI12)),IF(AND(up_Irr!K12&lt;&gt;".",up_Irr!AI12=".",up_Irr!BG12="."),up_dir!L12/((1/1000)*(up_Irr!K12)),IF(AND(up_Irr!K12=".",up_Irr!AI12=".",up_Irr!BG12="."),up_dir!L12*1000)))))))),".")</f>
        <v>7.2351016258567334E-11</v>
      </c>
      <c r="M12" s="76">
        <f>IFERROR(IF(AND(up_Irr!L12&lt;&gt;".",up_Irr!AJ12&lt;&gt;".",up_Irr!BH12&lt;&gt;"."),up_dir!M12/((1/1000)*(up_Irr!L12+up_Irr!AJ12+up_Irr!BH12)),IF(AND(up_Irr!L12&lt;&gt;".",up_Irr!AJ12&lt;&gt;".",up_Irr!BH12="."),up_dir!M12/((1/1000)*(up_Irr!L12+up_Irr!AJ12)),IF(AND(up_Irr!L12&lt;&gt;".",up_Irr!AJ12=".",up_Irr!BH12&lt;&gt;"."),up_dir!M12/((1/1000)*(up_Irr!L12+up_Irr!BH12)),IF(AND(up_Irr!L12=".",up_Irr!AJ12&lt;&gt;".",up_Irr!BH12&lt;&gt;"."),up_dir!M12/((1/1000)*(up_Irr!AJ12+up_Irr!BH12)),IF(AND(up_Irr!L12=".",up_Irr!AJ12=".",up_Irr!BH12&lt;&gt;"."),up_dir!M12/((1/1000)*(up_Irr!BH12)),IF(AND(up_Irr!L12=".",up_Irr!AJ12&lt;&gt;".",up_Irr!BH12="."),up_dir!M12/((1/1000)*(up_Irr!AJ12)),IF(AND(up_Irr!L12&lt;&gt;".",up_Irr!AJ12=".",up_Irr!BH12="."),up_dir!M12/((1/1000)*(up_Irr!L12)),IF(AND(up_Irr!L12=".",up_Irr!AJ12=".",up_Irr!BH12="."),up_dir!M12*1000)))))))),".")</f>
        <v>7.2351016258567334E-11</v>
      </c>
      <c r="N12" s="76">
        <f>IFERROR(IF(AND(up_Irr!M12&lt;&gt;".",up_Irr!AK12&lt;&gt;".",up_Irr!BI12&lt;&gt;"."),up_dir!N12/((1/1000)*(up_Irr!M12+up_Irr!AK12+up_Irr!BI12)),IF(AND(up_Irr!M12&lt;&gt;".",up_Irr!AK12&lt;&gt;".",up_Irr!BI12="."),up_dir!N12/((1/1000)*(up_Irr!M12+up_Irr!AK12)),IF(AND(up_Irr!M12&lt;&gt;".",up_Irr!AK12=".",up_Irr!BI12&lt;&gt;"."),up_dir!N12/((1/1000)*(up_Irr!M12+up_Irr!BI12)),IF(AND(up_Irr!M12=".",up_Irr!AK12&lt;&gt;".",up_Irr!BI12&lt;&gt;"."),up_dir!N12/((1/1000)*(up_Irr!AK12+up_Irr!BI12)),IF(AND(up_Irr!M12=".",up_Irr!AK12=".",up_Irr!BI12&lt;&gt;"."),up_dir!N12/((1/1000)*(up_Irr!BI12)),IF(AND(up_Irr!M12=".",up_Irr!AK12&lt;&gt;".",up_Irr!BI12="."),up_dir!N12/((1/1000)*(up_Irr!AK12)),IF(AND(up_Irr!M12&lt;&gt;".",up_Irr!AK12=".",up_Irr!BI12="."),up_dir!N12/((1/1000)*(up_Irr!M12)),IF(AND(up_Irr!M12=".",up_Irr!AK12=".",up_Irr!BI12="."),up_dir!N12*1000)))))))),".")</f>
        <v>7.2351016258567334E-11</v>
      </c>
      <c r="O12" s="76">
        <f>IFERROR(IF(AND(up_Irr!N12&lt;&gt;".",up_Irr!AL12&lt;&gt;".",up_Irr!BJ12&lt;&gt;"."),up_dir!O12/((1/1000)*(up_Irr!N12+up_Irr!AL12+up_Irr!BJ12)),IF(AND(up_Irr!N12&lt;&gt;".",up_Irr!AL12&lt;&gt;".",up_Irr!BJ12="."),up_dir!O12/((1/1000)*(up_Irr!N12+up_Irr!AL12)),IF(AND(up_Irr!N12&lt;&gt;".",up_Irr!AL12=".",up_Irr!BJ12&lt;&gt;"."),up_dir!O12/((1/1000)*(up_Irr!N12+up_Irr!BJ12)),IF(AND(up_Irr!N12=".",up_Irr!AL12&lt;&gt;".",up_Irr!BJ12&lt;&gt;"."),up_dir!O12/((1/1000)*(up_Irr!AL12+up_Irr!BJ12)),IF(AND(up_Irr!N12=".",up_Irr!AL12=".",up_Irr!BJ12&lt;&gt;"."),up_dir!O12/((1/1000)*(up_Irr!BJ12)),IF(AND(up_Irr!N12=".",up_Irr!AL12&lt;&gt;".",up_Irr!BJ12="."),up_dir!O12/((1/1000)*(up_Irr!AL12)),IF(AND(up_Irr!N12&lt;&gt;".",up_Irr!AL12=".",up_Irr!BJ12="."),up_dir!O12/((1/1000)*(up_Irr!N12)),IF(AND(up_Irr!N12=".",up_Irr!AL12=".",up_Irr!BJ12="."),up_dir!O12*1000)))))))),".")</f>
        <v>7.2351016258567334E-11</v>
      </c>
      <c r="P12" s="76">
        <f>IFERROR(IF(AND(up_Irr!O12&lt;&gt;".",up_Irr!AM12&lt;&gt;".",up_Irr!BK12&lt;&gt;"."),up_dir!P12/((1/1000)*(up_Irr!O12+up_Irr!AM12+up_Irr!BK12)),IF(AND(up_Irr!O12&lt;&gt;".",up_Irr!AM12&lt;&gt;".",up_Irr!BK12="."),up_dir!P12/((1/1000)*(up_Irr!O12+up_Irr!AM12)),IF(AND(up_Irr!O12&lt;&gt;".",up_Irr!AM12=".",up_Irr!BK12&lt;&gt;"."),up_dir!P12/((1/1000)*(up_Irr!O12+up_Irr!BK12)),IF(AND(up_Irr!O12=".",up_Irr!AM12&lt;&gt;".",up_Irr!BK12&lt;&gt;"."),up_dir!P12/((1/1000)*(up_Irr!AM12+up_Irr!BK12)),IF(AND(up_Irr!O12=".",up_Irr!AM12=".",up_Irr!BK12&lt;&gt;"."),up_dir!P12/((1/1000)*(up_Irr!BK12)),IF(AND(up_Irr!O12=".",up_Irr!AM12&lt;&gt;".",up_Irr!BK12="."),up_dir!P12/((1/1000)*(up_Irr!AM12)),IF(AND(up_Irr!O12&lt;&gt;".",up_Irr!AM12=".",up_Irr!BK12="."),up_dir!P12/((1/1000)*(up_Irr!O12)),IF(AND(up_Irr!O12=".",up_Irr!AM12=".",up_Irr!BK12="."),up_dir!P12*1000)))))))),".")</f>
        <v>7.2351016258567334E-11</v>
      </c>
      <c r="Q12" s="76">
        <f>IFERROR(IF(AND(up_Irr!P12&lt;&gt;".",up_Irr!AN12&lt;&gt;".",up_Irr!BL12&lt;&gt;"."),up_dir!Q12/((1/1000)*(up_Irr!P12+up_Irr!AN12+up_Irr!BL12)),IF(AND(up_Irr!P12&lt;&gt;".",up_Irr!AN12&lt;&gt;".",up_Irr!BL12="."),up_dir!Q12/((1/1000)*(up_Irr!P12+up_Irr!AN12)),IF(AND(up_Irr!P12&lt;&gt;".",up_Irr!AN12=".",up_Irr!BL12&lt;&gt;"."),up_dir!Q12/((1/1000)*(up_Irr!P12+up_Irr!BL12)),IF(AND(up_Irr!P12=".",up_Irr!AN12&lt;&gt;".",up_Irr!BL12&lt;&gt;"."),up_dir!Q12/((1/1000)*(up_Irr!AN12+up_Irr!BL12)),IF(AND(up_Irr!P12=".",up_Irr!AN12=".",up_Irr!BL12&lt;&gt;"."),up_dir!Q12/((1/1000)*(up_Irr!BL12)),IF(AND(up_Irr!P12=".",up_Irr!AN12&lt;&gt;".",up_Irr!BL12="."),up_dir!Q12/((1/1000)*(up_Irr!AN12)),IF(AND(up_Irr!P12&lt;&gt;".",up_Irr!AN12=".",up_Irr!BL12="."),up_dir!Q12/((1/1000)*(up_Irr!P12)),IF(AND(up_Irr!P12=".",up_Irr!AN12=".",up_Irr!BL12="."),up_dir!Q12*1000)))))))),".")</f>
        <v>7.2351016258567334E-11</v>
      </c>
      <c r="R12" s="76">
        <f>IFERROR(IF(AND(up_Irr!Q12&lt;&gt;".",up_Irr!AO12&lt;&gt;".",up_Irr!BM12&lt;&gt;"."),up_dir!R12/((1/1000)*(up_Irr!Q12+up_Irr!AO12+up_Irr!BM12)),IF(AND(up_Irr!Q12&lt;&gt;".",up_Irr!AO12&lt;&gt;".",up_Irr!BM12="."),up_dir!R12/((1/1000)*(up_Irr!Q12+up_Irr!AO12)),IF(AND(up_Irr!Q12&lt;&gt;".",up_Irr!AO12=".",up_Irr!BM12&lt;&gt;"."),up_dir!R12/((1/1000)*(up_Irr!Q12+up_Irr!BM12)),IF(AND(up_Irr!Q12=".",up_Irr!AO12&lt;&gt;".",up_Irr!BM12&lt;&gt;"."),up_dir!R12/((1/1000)*(up_Irr!AO12+up_Irr!BM12)),IF(AND(up_Irr!Q12=".",up_Irr!AO12=".",up_Irr!BM12&lt;&gt;"."),up_dir!R12/((1/1000)*(up_Irr!BM12)),IF(AND(up_Irr!Q12=".",up_Irr!AO12&lt;&gt;".",up_Irr!BM12="."),up_dir!R12/((1/1000)*(up_Irr!AO12)),IF(AND(up_Irr!Q12&lt;&gt;".",up_Irr!AO12=".",up_Irr!BM12="."),up_dir!R12/((1/1000)*(up_Irr!Q12)),IF(AND(up_Irr!Q12=".",up_Irr!AO12=".",up_Irr!BM12="."),up_dir!R12*1000)))))))),".")</f>
        <v>7.2351016258567334E-11</v>
      </c>
      <c r="S12" s="76">
        <f>IFERROR(IF(AND(up_Irr!R12&lt;&gt;".",up_Irr!AP12&lt;&gt;".",up_Irr!BN12&lt;&gt;"."),up_dir!S12/((1/1000)*(up_Irr!R12+up_Irr!AP12+up_Irr!BN12)),IF(AND(up_Irr!R12&lt;&gt;".",up_Irr!AP12&lt;&gt;".",up_Irr!BN12="."),up_dir!S12/((1/1000)*(up_Irr!R12+up_Irr!AP12)),IF(AND(up_Irr!R12&lt;&gt;".",up_Irr!AP12=".",up_Irr!BN12&lt;&gt;"."),up_dir!S12/((1/1000)*(up_Irr!R12+up_Irr!BN12)),IF(AND(up_Irr!R12=".",up_Irr!AP12&lt;&gt;".",up_Irr!BN12&lt;&gt;"."),up_dir!S12/((1/1000)*(up_Irr!AP12+up_Irr!BN12)),IF(AND(up_Irr!R12=".",up_Irr!AP12=".",up_Irr!BN12&lt;&gt;"."),up_dir!S12/((1/1000)*(up_Irr!BN12)),IF(AND(up_Irr!R12=".",up_Irr!AP12&lt;&gt;".",up_Irr!BN12="."),up_dir!S12/((1/1000)*(up_Irr!AP12)),IF(AND(up_Irr!R12&lt;&gt;".",up_Irr!AP12=".",up_Irr!BN12="."),up_dir!S12/((1/1000)*(up_Irr!R12)),IF(AND(up_Irr!R12=".",up_Irr!AP12=".",up_Irr!BN12="."),up_dir!S12*1000)))))))),".")</f>
        <v>7.2351016258567334E-11</v>
      </c>
      <c r="T12" s="76">
        <f>IFERROR(IF(AND(up_Irr!S12&lt;&gt;".",up_Irr!AQ12&lt;&gt;".",up_Irr!BO12&lt;&gt;"."),up_dir!T12/((1/1000)*(up_Irr!S12+up_Irr!AQ12+up_Irr!BO12)),IF(AND(up_Irr!S12&lt;&gt;".",up_Irr!AQ12&lt;&gt;".",up_Irr!BO12="."),up_dir!T12/((1/1000)*(up_Irr!S12+up_Irr!AQ12)),IF(AND(up_Irr!S12&lt;&gt;".",up_Irr!AQ12=".",up_Irr!BO12&lt;&gt;"."),up_dir!T12/((1/1000)*(up_Irr!S12+up_Irr!BO12)),IF(AND(up_Irr!S12=".",up_Irr!AQ12&lt;&gt;".",up_Irr!BO12&lt;&gt;"."),up_dir!T12/((1/1000)*(up_Irr!AQ12+up_Irr!BO12)),IF(AND(up_Irr!S12=".",up_Irr!AQ12=".",up_Irr!BO12&lt;&gt;"."),up_dir!T12/((1/1000)*(up_Irr!BO12)),IF(AND(up_Irr!S12=".",up_Irr!AQ12&lt;&gt;".",up_Irr!BO12="."),up_dir!T12/((1/1000)*(up_Irr!AQ12)),IF(AND(up_Irr!S12&lt;&gt;".",up_Irr!AQ12=".",up_Irr!BO12="."),up_dir!T12/((1/1000)*(up_Irr!S12)),IF(AND(up_Irr!S12=".",up_Irr!AQ12=".",up_Irr!BO12="."),up_dir!T12*1000)))))))),".")</f>
        <v>7.2351016258567334E-11</v>
      </c>
      <c r="U12" s="76">
        <f>IFERROR(IF(AND(up_Irr!T12&lt;&gt;".",up_Irr!AR12&lt;&gt;".",up_Irr!BP12&lt;&gt;"."),up_dir!U12/((1/1000)*(up_Irr!T12+up_Irr!AR12+up_Irr!BP12)),IF(AND(up_Irr!T12&lt;&gt;".",up_Irr!AR12&lt;&gt;".",up_Irr!BP12="."),up_dir!U12/((1/1000)*(up_Irr!T12+up_Irr!AR12)),IF(AND(up_Irr!T12&lt;&gt;".",up_Irr!AR12=".",up_Irr!BP12&lt;&gt;"."),up_dir!U12/((1/1000)*(up_Irr!T12+up_Irr!BP12)),IF(AND(up_Irr!T12=".",up_Irr!AR12&lt;&gt;".",up_Irr!BP12&lt;&gt;"."),up_dir!U12/((1/1000)*(up_Irr!AR12+up_Irr!BP12)),IF(AND(up_Irr!T12=".",up_Irr!AR12=".",up_Irr!BP12&lt;&gt;"."),up_dir!U12/((1/1000)*(up_Irr!BP12)),IF(AND(up_Irr!T12=".",up_Irr!AR12&lt;&gt;".",up_Irr!BP12="."),up_dir!U12/((1/1000)*(up_Irr!AR12)),IF(AND(up_Irr!T12&lt;&gt;".",up_Irr!AR12=".",up_Irr!BP12="."),up_dir!U12/((1/1000)*(up_Irr!T12)),IF(AND(up_Irr!T12=".",up_Irr!AR12=".",up_Irr!BP12="."),up_dir!U12*1000)))))))),".")</f>
        <v>7.2351016258567334E-11</v>
      </c>
      <c r="V12" s="76">
        <f>IFERROR(IF(AND(up_Irr!U12&lt;&gt;".",up_Irr!AS12&lt;&gt;".",up_Irr!BQ12&lt;&gt;"."),up_dir!V12/((1/1000)*(up_Irr!U12+up_Irr!AS12+up_Irr!BQ12)),IF(AND(up_Irr!U12&lt;&gt;".",up_Irr!AS12&lt;&gt;".",up_Irr!BQ12="."),up_dir!V12/((1/1000)*(up_Irr!U12+up_Irr!AS12)),IF(AND(up_Irr!U12&lt;&gt;".",up_Irr!AS12=".",up_Irr!BQ12&lt;&gt;"."),up_dir!V12/((1/1000)*(up_Irr!U12+up_Irr!BQ12)),IF(AND(up_Irr!U12=".",up_Irr!AS12&lt;&gt;".",up_Irr!BQ12&lt;&gt;"."),up_dir!V12/((1/1000)*(up_Irr!AS12+up_Irr!BQ12)),IF(AND(up_Irr!U12=".",up_Irr!AS12=".",up_Irr!BQ12&lt;&gt;"."),up_dir!V12/((1/1000)*(up_Irr!BQ12)),IF(AND(up_Irr!U12=".",up_Irr!AS12&lt;&gt;".",up_Irr!BQ12="."),up_dir!V12/((1/1000)*(up_Irr!AS12)),IF(AND(up_Irr!U12&lt;&gt;".",up_Irr!AS12=".",up_Irr!BQ12="."),up_dir!V12/((1/1000)*(up_Irr!U12)),IF(AND(up_Irr!U12=".",up_Irr!AS12=".",up_Irr!BQ12="."),up_dir!V12*1000)))))))),".")</f>
        <v>7.2351016258567334E-11</v>
      </c>
      <c r="W12" s="76">
        <f>IFERROR(IF(AND(up_Irr!V12&lt;&gt;".",up_Irr!AT12&lt;&gt;".",up_Irr!BR12&lt;&gt;"."),up_dir!W12/((1/1000)*(up_Irr!V12+up_Irr!AT12+up_Irr!BR12)),IF(AND(up_Irr!V12&lt;&gt;".",up_Irr!AT12&lt;&gt;".",up_Irr!BR12="."),up_dir!W12/((1/1000)*(up_Irr!V12+up_Irr!AT12)),IF(AND(up_Irr!V12&lt;&gt;".",up_Irr!AT12=".",up_Irr!BR12&lt;&gt;"."),up_dir!W12/((1/1000)*(up_Irr!V12+up_Irr!BR12)),IF(AND(up_Irr!V12=".",up_Irr!AT12&lt;&gt;".",up_Irr!BR12&lt;&gt;"."),up_dir!W12/((1/1000)*(up_Irr!AT12+up_Irr!BR12)),IF(AND(up_Irr!V12=".",up_Irr!AT12=".",up_Irr!BR12&lt;&gt;"."),up_dir!W12/((1/1000)*(up_Irr!BR12)),IF(AND(up_Irr!V12=".",up_Irr!AT12&lt;&gt;".",up_Irr!BR12="."),up_dir!W12/((1/1000)*(up_Irr!AT12)),IF(AND(up_Irr!V12&lt;&gt;".",up_Irr!AT12=".",up_Irr!BR12="."),up_dir!W12/((1/1000)*(up_Irr!V12)),IF(AND(up_Irr!V12=".",up_Irr!AT12=".",up_Irr!BR12="."),up_dir!W12*1000)))))))),".")</f>
        <v>7.2351016258567334E-11</v>
      </c>
      <c r="X12" s="76">
        <f>IFERROR(IF(AND(up_Irr!W12&lt;&gt;".",up_Irr!AU12&lt;&gt;".",up_Irr!BS12&lt;&gt;"."),up_dir!X12/((1/1000)*(up_Irr!W12+up_Irr!AU12+up_Irr!BS12)),IF(AND(up_Irr!W12&lt;&gt;".",up_Irr!AU12&lt;&gt;".",up_Irr!BS12="."),up_dir!X12/((1/1000)*(up_Irr!W12+up_Irr!AU12)),IF(AND(up_Irr!W12&lt;&gt;".",up_Irr!AU12=".",up_Irr!BS12&lt;&gt;"."),up_dir!X12/((1/1000)*(up_Irr!W12+up_Irr!BS12)),IF(AND(up_Irr!W12=".",up_Irr!AU12&lt;&gt;".",up_Irr!BS12&lt;&gt;"."),up_dir!X12/((1/1000)*(up_Irr!AU12+up_Irr!BS12)),IF(AND(up_Irr!W12=".",up_Irr!AU12=".",up_Irr!BS12&lt;&gt;"."),up_dir!X12/((1/1000)*(up_Irr!BS12)),IF(AND(up_Irr!W12=".",up_Irr!AU12&lt;&gt;".",up_Irr!BS12="."),up_dir!X12/((1/1000)*(up_Irr!AU12)),IF(AND(up_Irr!W12&lt;&gt;".",up_Irr!AU12=".",up_Irr!BS12="."),up_dir!X12/((1/1000)*(up_Irr!W12)),IF(AND(up_Irr!W12=".",up_Irr!AU12=".",up_Irr!BS12="."),up_dir!X12*1000)))))))),".")</f>
        <v>7.2351016258567334E-11</v>
      </c>
      <c r="Y12" s="76">
        <f>IFERROR(IF(AND(up_Irr!X12&lt;&gt;".",up_Irr!AV12&lt;&gt;".",up_Irr!BT12&lt;&gt;"."),up_dir!Y12/((1/1000)*(up_Irr!X12+up_Irr!AV12+up_Irr!BT12)),IF(AND(up_Irr!X12&lt;&gt;".",up_Irr!AV12&lt;&gt;".",up_Irr!BT12="."),up_dir!Y12/((1/1000)*(up_Irr!X12+up_Irr!AV12)),IF(AND(up_Irr!X12&lt;&gt;".",up_Irr!AV12=".",up_Irr!BT12&lt;&gt;"."),up_dir!Y12/((1/1000)*(up_Irr!X12+up_Irr!BT12)),IF(AND(up_Irr!X12=".",up_Irr!AV12&lt;&gt;".",up_Irr!BT12&lt;&gt;"."),up_dir!Y12/((1/1000)*(up_Irr!AV12+up_Irr!BT12)),IF(AND(up_Irr!X12=".",up_Irr!AV12=".",up_Irr!BT12&lt;&gt;"."),up_dir!Y12/((1/1000)*(up_Irr!BT12)),IF(AND(up_Irr!X12=".",up_Irr!AV12&lt;&gt;".",up_Irr!BT12="."),up_dir!Y12/((1/1000)*(up_Irr!AV12)),IF(AND(up_Irr!X12&lt;&gt;".",up_Irr!AV12=".",up_Irr!BT12="."),up_dir!Y12/((1/1000)*(up_Irr!X12)),IF(AND(up_Irr!X12=".",up_Irr!AV12=".",up_Irr!BT12="."),up_dir!Y12*1000)))))))),".")</f>
        <v>7.2351016258567334E-11</v>
      </c>
      <c r="Z12" s="76">
        <f>IFERROR(IF(AND(up_Irr!Y12&lt;&gt;".",up_Irr!AW12&lt;&gt;".",up_Irr!BU12&lt;&gt;"."),up_dir!Z12/((1/1000)*(up_Irr!Y12+up_Irr!AW12+up_Irr!BU12)),IF(AND(up_Irr!Y12&lt;&gt;".",up_Irr!AW12&lt;&gt;".",up_Irr!BU12="."),up_dir!Z12/((1/1000)*(up_Irr!Y12+up_Irr!AW12)),IF(AND(up_Irr!Y12&lt;&gt;".",up_Irr!AW12=".",up_Irr!BU12&lt;&gt;"."),up_dir!Z12/((1/1000)*(up_Irr!Y12+up_Irr!BU12)),IF(AND(up_Irr!Y12=".",up_Irr!AW12&lt;&gt;".",up_Irr!BU12&lt;&gt;"."),up_dir!Z12/((1/1000)*(up_Irr!AW12+up_Irr!BU12)),IF(AND(up_Irr!Y12=".",up_Irr!AW12=".",up_Irr!BU12&lt;&gt;"."),up_dir!Z12/((1/1000)*(up_Irr!BU12)),IF(AND(up_Irr!Y12=".",up_Irr!AW12&lt;&gt;".",up_Irr!BU12="."),up_dir!Z12/((1/1000)*(up_Irr!AW12)),IF(AND(up_Irr!Y12&lt;&gt;".",up_Irr!AW12=".",up_Irr!BU12="."),up_dir!Z12/((1/1000)*(up_Irr!Y12)),IF(AND(up_Irr!Y12=".",up_Irr!AW12=".",up_Irr!BU12="."),up_dir!Z12*1000)))))))),".")</f>
        <v>7.2351016258567334E-11</v>
      </c>
      <c r="AA12" s="76">
        <f>IFERROR(IF(AND(up_Irr!Z12&lt;&gt;".",up_Irr!AX12&lt;&gt;".",up_Irr!BV12&lt;&gt;"."),up_dir!AA12/((1/1000)*(up_Irr!Z12+up_Irr!AX12+up_Irr!BV12)),IF(AND(up_Irr!Z12&lt;&gt;".",up_Irr!AX12&lt;&gt;".",up_Irr!BV12="."),up_dir!AA12/((1/1000)*(up_Irr!Z12+up_Irr!AX12)),IF(AND(up_Irr!Z12&lt;&gt;".",up_Irr!AX12=".",up_Irr!BV12&lt;&gt;"."),up_dir!AA12/((1/1000)*(up_Irr!Z12+up_Irr!BV12)),IF(AND(up_Irr!Z12=".",up_Irr!AX12&lt;&gt;".",up_Irr!BV12&lt;&gt;"."),up_dir!AA12/((1/1000)*(up_Irr!AX12+up_Irr!BV12)),IF(AND(up_Irr!Z12=".",up_Irr!AX12=".",up_Irr!BV12&lt;&gt;"."),up_dir!AA12/((1/1000)*(up_Irr!BV12)),IF(AND(up_Irr!Z12=".",up_Irr!AX12&lt;&gt;".",up_Irr!BV12="."),up_dir!AA12/((1/1000)*(up_Irr!AX12)),IF(AND(up_Irr!Z12&lt;&gt;".",up_Irr!AX12=".",up_Irr!BV12="."),up_dir!AA12/((1/1000)*(up_Irr!Z12)),IF(AND(up_Irr!Z12=".",up_Irr!AX12=".",up_Irr!BV12="."),up_dir!AA12*1000)))))))),".")</f>
        <v>7.2351016258567334E-11</v>
      </c>
      <c r="AB12" s="93">
        <f>SUM(AC12:AD12,AY12:AZ12)</f>
        <v>55286.023705663516</v>
      </c>
      <c r="AC12" s="93">
        <f>IFERROR(s_C*s_IFAP_res_adj*s_CF_apple*0.001*(up_Irr!C12+up_Irr!AA12+up_Irr!AY12),".")</f>
        <v>13821.505926415879</v>
      </c>
      <c r="AD12" s="93">
        <f>IFERROR(s_C*s_IFAS_res_adj*s_CF_asparagus*0.001*(up_Irr!D12+up_Irr!AB12+up_Irr!AZ12),".")</f>
        <v>13821.505926415879</v>
      </c>
      <c r="AE12" s="93">
        <f>IFERROR(s_C*s_IFBT_res_adj*s_CF_beet*0.001*(up_Irr!E12+up_Irr!AC12+up_Irr!BA12),".")</f>
        <v>13821.505926415879</v>
      </c>
      <c r="AF12" s="93">
        <f>IFERROR(s_C*s_IFBE_res_adj*s_CF_berries*0.001*(up_Irr!F12+up_Irr!AD12+up_Irr!BB12),".")</f>
        <v>13821.505926415879</v>
      </c>
      <c r="AG12" s="93">
        <f>IFERROR(s_C*s_IFBR_res_adj*s_CF_broccoli*0.001*(up_Irr!G12+up_Irr!AE12+up_Irr!BC12),".")</f>
        <v>13821.505926415879</v>
      </c>
      <c r="AH12" s="93">
        <f>IFERROR(s_C*s_IFCB_res_adj*s_CF_cabbage*0.001*(up_Irr!H12+up_Irr!AF12+up_Irr!BD12),".")</f>
        <v>13821.505926415879</v>
      </c>
      <c r="AI12" s="93">
        <f>IFERROR(s_C*s_IFCR_res_adj*s_CF_carrot*0.001*(up_Irr!I12+up_Irr!AG12+up_Irr!BE12),".")</f>
        <v>13821.505926415879</v>
      </c>
      <c r="AJ12" s="93">
        <f>IFERROR(s_C*s_IFCI_res_adj*s_CF_citrus*0.001*(up_Irr!J12+up_Irr!AH12+up_Irr!BF12),".")</f>
        <v>13821.505926415879</v>
      </c>
      <c r="AK12" s="93">
        <f>IFERROR(s_C*s_IFCO_res_adj*s_CF_corn*0.001*(up_Irr!K12+up_Irr!AI12+up_Irr!BG12),".")</f>
        <v>13821.505926415879</v>
      </c>
      <c r="AL12" s="93">
        <f>IFERROR(s_C*s_IFCU_res_adj*s_CF_cucumber*0.001*(up_Irr!L12+up_Irr!AJ12+up_Irr!BH12),".")</f>
        <v>13821.505926415879</v>
      </c>
      <c r="AM12" s="93">
        <f>IFERROR(s_C*s_IFLE_res_adj*s_CF_lettuce*0.001*(up_Irr!M12+up_Irr!AK12+up_Irr!BI12),".")</f>
        <v>13821.505926415879</v>
      </c>
      <c r="AN12" s="93">
        <f>IFERROR(s_C*s_IFLI_res_adj*s_CF_lima_bean*0.001*(up_Irr!N12+up_Irr!AL12+up_Irr!BJ12),".")</f>
        <v>13821.505926415879</v>
      </c>
      <c r="AO12" s="93">
        <f>IFERROR(s_C*s_IFOK_res_adj*s_CF_okra*0.001*(up_Irr!O12+up_Irr!AM12+up_Irr!BK12),".")</f>
        <v>13821.505926415879</v>
      </c>
      <c r="AP12" s="93">
        <f>IFERROR(s_C*s_IFON_res_adj*s_CF_onion*0.001*(up_Irr!P12+up_Irr!AN12+up_Irr!BL12),".")</f>
        <v>13821.505926415879</v>
      </c>
      <c r="AQ12" s="93">
        <f>IFERROR(s_C*s_IFPC_res_adj*s_CF_peach*0.001*(up_Irr!Q12+up_Irr!AO12+up_Irr!BM12),".")</f>
        <v>13821.505926415879</v>
      </c>
      <c r="AR12" s="93">
        <f>IFERROR(s_C*s_IFPR_res_adj*s_CF_pear*0.001*(up_Irr!R12+up_Irr!AP12+up_Irr!BN12),".")</f>
        <v>13821.505926415879</v>
      </c>
      <c r="AS12" s="93">
        <f>IFERROR(s_C*s_IFPE_res_adj*s_CF_peas*0.001*(up_Irr!S12+up_Irr!AQ12+up_Irr!BO12),".")</f>
        <v>13821.505926415879</v>
      </c>
      <c r="AT12" s="93">
        <f>IFERROR(s_C*s_IFPT_res_adj*s_CF_potato*0.001*(up_Irr!T12+up_Irr!AR12+up_Irr!BP12),".")</f>
        <v>13821.505926415879</v>
      </c>
      <c r="AU12" s="93">
        <f>IFERROR(s_C*s_IFPU_res_adj*s_CF_pumpkin*0.001*(up_Irr!U12+up_Irr!AS12+up_Irr!BQ12),".")</f>
        <v>13821.505926415879</v>
      </c>
      <c r="AV12" s="93">
        <f>IFERROR(s_C*s_IFSN_res_adj*s_CF_snap_bean*0.001*(up_Irr!V12+up_Irr!AT12+up_Irr!BR12),".")</f>
        <v>13821.505926415879</v>
      </c>
      <c r="AW12" s="93">
        <f>IFERROR(s_C*s_IFST_res_adj*s_CF_strawberry*0.001*(up_Irr!W12+up_Irr!AU12+up_Irr!BS12),".")</f>
        <v>13821.505926415879</v>
      </c>
      <c r="AX12" s="93">
        <f>IFERROR(s_C*s_IFTO_res_adj*s_CF_tomato*0.001*(up_Irr!X12+up_Irr!AV12+up_Irr!BT12),".")</f>
        <v>13821.505926415879</v>
      </c>
      <c r="AY12" s="93">
        <f>IFERROR(s_C*s_IFRI_res_adj*s_CF_rice*0.001*(up_Irr!Y12+up_Irr!AW12+up_Irr!BU12),".")</f>
        <v>13821.505926415879</v>
      </c>
      <c r="AZ12" s="93">
        <f>IFERROR(s_C*s_IFCG_res_adj*s_CF_cereal*0.001*(up_Irr!Z12+up_Irr!AX12+up_Irr!BV12),".")</f>
        <v>13821.505926415879</v>
      </c>
      <c r="BA12" s="76">
        <f t="shared" si="3"/>
        <v>1.8087754064641833E-11</v>
      </c>
      <c r="BB12" s="76">
        <f>IFERROR(IF(AND(up_Irr!C12&lt;&gt;".",up_Irr!AA12&lt;&gt;".",up_Irr!AY12&lt;&gt;"."),up_dir!AC12/((1/1000)*(up_Irr!C12+up_Irr!AA12+up_Irr!AY12)),IF(AND(up_Irr!C12&lt;&gt;".",up_Irr!AA12&lt;&gt;".",up_Irr!AY12="."),up_dir!AC12/((1/1000)*(up_Irr!C12+up_Irr!AA12)),IF(AND(up_Irr!C12&lt;&gt;".",up_Irr!AA12=".",up_Irr!AY12&lt;&gt;"."),up_dir!AC12/((1/1000)*(up_Irr!C12+up_Irr!AY12)),IF(AND(up_Irr!C12=".",up_Irr!AA12&lt;&gt;".",up_Irr!AY12&lt;&gt;"."),up_dir!AC12/((1/1000)*(up_Irr!AA12+up_Irr!AY12)),IF(AND(up_Irr!C12=".",up_Irr!AA12=".",up_Irr!AY12&lt;&gt;"."),up_dir!AC12/((1/1000)*(up_Irr!AY12)),IF(AND(up_Irr!C12=".",up_Irr!AA12&lt;&gt;".",up_Irr!AY12="."),up_dir!AC12/((1/1000)*(up_Irr!AA12)),IF(AND(up_Irr!C12&lt;&gt;".",up_Irr!AA12=".",up_Irr!AY12="."),up_dir!AC12/((1/1000)*(up_Irr!C12)),IF(AND(up_Irr!C12=".",up_Irr!AA12=".",up_Irr!AY12="."),up_dir!AC12*1000)))))))),".")</f>
        <v>7.2351016258567334E-11</v>
      </c>
      <c r="BC12" s="76">
        <f>IFERROR(IF(AND(up_Irr!D12&lt;&gt;".",up_Irr!AB12&lt;&gt;".",up_Irr!AZ12&lt;&gt;"."),up_dir!AD12/((1/1000)*(up_Irr!D12+up_Irr!AB12+up_Irr!AZ12)),IF(AND(up_Irr!D12&lt;&gt;".",up_Irr!AB12&lt;&gt;".",up_Irr!AZ12="."),up_dir!AD12/((1/1000)*(up_Irr!D12+up_Irr!AB12)),IF(AND(up_Irr!D12&lt;&gt;".",up_Irr!AB12=".",up_Irr!AZ12&lt;&gt;"."),up_dir!AD12/((1/1000)*(up_Irr!D12+up_Irr!AZ12)),IF(AND(up_Irr!D12=".",up_Irr!AB12&lt;&gt;".",up_Irr!AZ12&lt;&gt;"."),up_dir!AD12/((1/1000)*(up_Irr!AB12+up_Irr!AZ12)),IF(AND(up_Irr!D12=".",up_Irr!AB12=".",up_Irr!AZ12&lt;&gt;"."),up_dir!AD12/((1/1000)*(up_Irr!AZ12)),IF(AND(up_Irr!D12=".",up_Irr!AB12&lt;&gt;".",up_Irr!AZ12="."),up_dir!AD12/((1/1000)*(up_Irr!AB12)),IF(AND(up_Irr!D12&lt;&gt;".",up_Irr!AB12=".",up_Irr!AZ12="."),up_dir!AD12/((1/1000)*(up_Irr!D12)),IF(AND(up_Irr!D12=".",up_Irr!AB12=".",up_Irr!AZ12="."),up_dir!AD12*1000)))))))),".")</f>
        <v>7.2351016258567334E-11</v>
      </c>
      <c r="BD12" s="76">
        <f>IFERROR(IF(AND(up_Irr!E12&lt;&gt;".",up_Irr!AC12&lt;&gt;".",up_Irr!BA12&lt;&gt;"."),up_dir!AE12/((1/1000)*(up_Irr!E12+up_Irr!AC12+up_Irr!BA12)),IF(AND(up_Irr!E12&lt;&gt;".",up_Irr!AC12&lt;&gt;".",up_Irr!BA12="."),up_dir!AE12/((1/1000)*(up_Irr!E12+up_Irr!AC12)),IF(AND(up_Irr!E12&lt;&gt;".",up_Irr!AC12=".",up_Irr!BA12&lt;&gt;"."),up_dir!AE12/((1/1000)*(up_Irr!E12+up_Irr!BA12)),IF(AND(up_Irr!E12=".",up_Irr!AC12&lt;&gt;".",up_Irr!BA12&lt;&gt;"."),up_dir!AE12/((1/1000)*(up_Irr!AC12+up_Irr!BA12)),IF(AND(up_Irr!E12=".",up_Irr!AC12=".",up_Irr!BA12&lt;&gt;"."),up_dir!AE12/((1/1000)*(up_Irr!BA12)),IF(AND(up_Irr!E12=".",up_Irr!AC12&lt;&gt;".",up_Irr!BA12="."),up_dir!AE12/((1/1000)*(up_Irr!AC12)),IF(AND(up_Irr!E12&lt;&gt;".",up_Irr!AC12=".",up_Irr!BA12="."),up_dir!AE12/((1/1000)*(up_Irr!E12)),IF(AND(up_Irr!E12=".",up_Irr!AC12=".",up_Irr!BA12="."),up_dir!AE12*1000)))))))),".")</f>
        <v>7.2351016258567334E-11</v>
      </c>
      <c r="BE12" s="76">
        <f>IFERROR(IF(AND(up_Irr!F12&lt;&gt;".",up_Irr!AD12&lt;&gt;".",up_Irr!BB12&lt;&gt;"."),up_dir!AF12/((1/1000)*(up_Irr!F12+up_Irr!AD12+up_Irr!BB12)),IF(AND(up_Irr!F12&lt;&gt;".",up_Irr!AD12&lt;&gt;".",up_Irr!BB12="."),up_dir!AF12/((1/1000)*(up_Irr!F12+up_Irr!AD12)),IF(AND(up_Irr!F12&lt;&gt;".",up_Irr!AD12=".",up_Irr!BB12&lt;&gt;"."),up_dir!AF12/((1/1000)*(up_Irr!F12+up_Irr!BB12)),IF(AND(up_Irr!F12=".",up_Irr!AD12&lt;&gt;".",up_Irr!BB12&lt;&gt;"."),up_dir!AF12/((1/1000)*(up_Irr!AD12+up_Irr!BB12)),IF(AND(up_Irr!F12=".",up_Irr!AD12=".",up_Irr!BB12&lt;&gt;"."),up_dir!AF12/((1/1000)*(up_Irr!BB12)),IF(AND(up_Irr!F12=".",up_Irr!AD12&lt;&gt;".",up_Irr!BB12="."),up_dir!AF12/((1/1000)*(up_Irr!AD12)),IF(AND(up_Irr!F12&lt;&gt;".",up_Irr!AD12=".",up_Irr!BB12="."),up_dir!AF12/((1/1000)*(up_Irr!F12)),IF(AND(up_Irr!F12=".",up_Irr!AD12=".",up_Irr!BB12="."),up_dir!AF12*1000)))))))),".")</f>
        <v>7.2351016258567334E-11</v>
      </c>
      <c r="BF12" s="76">
        <f>IFERROR(IF(AND(up_Irr!G12&lt;&gt;".",up_Irr!AE12&lt;&gt;".",up_Irr!BC12&lt;&gt;"."),up_dir!AG12/((1/1000)*(up_Irr!G12+up_Irr!AE12+up_Irr!BC12)),IF(AND(up_Irr!G12&lt;&gt;".",up_Irr!AE12&lt;&gt;".",up_Irr!BC12="."),up_dir!AG12/((1/1000)*(up_Irr!G12+up_Irr!AE12)),IF(AND(up_Irr!G12&lt;&gt;".",up_Irr!AE12=".",up_Irr!BC12&lt;&gt;"."),up_dir!AG12/((1/1000)*(up_Irr!G12+up_Irr!BC12)),IF(AND(up_Irr!G12=".",up_Irr!AE12&lt;&gt;".",up_Irr!BC12&lt;&gt;"."),up_dir!AG12/((1/1000)*(up_Irr!AE12+up_Irr!BC12)),IF(AND(up_Irr!G12=".",up_Irr!AE12=".",up_Irr!BC12&lt;&gt;"."),up_dir!AG12/((1/1000)*(up_Irr!BC12)),IF(AND(up_Irr!G12=".",up_Irr!AE12&lt;&gt;".",up_Irr!BC12="."),up_dir!AG12/((1/1000)*(up_Irr!AE12)),IF(AND(up_Irr!G12&lt;&gt;".",up_Irr!AE12=".",up_Irr!BC12="."),up_dir!AG12/((1/1000)*(up_Irr!G12)),IF(AND(up_Irr!G12=".",up_Irr!AE12=".",up_Irr!BC12="."),up_dir!AG12*1000)))))))),".")</f>
        <v>7.2351016258567334E-11</v>
      </c>
      <c r="BG12" s="76">
        <f>IFERROR(IF(AND(up_Irr!H12&lt;&gt;".",up_Irr!AF12&lt;&gt;".",up_Irr!BD12&lt;&gt;"."),up_dir!AH12/((1/1000)*(up_Irr!H12+up_Irr!AF12+up_Irr!BD12)),IF(AND(up_Irr!H12&lt;&gt;".",up_Irr!AF12&lt;&gt;".",up_Irr!BD12="."),up_dir!AH12/((1/1000)*(up_Irr!H12+up_Irr!AF12)),IF(AND(up_Irr!H12&lt;&gt;".",up_Irr!AF12=".",up_Irr!BD12&lt;&gt;"."),up_dir!AH12/((1/1000)*(up_Irr!H12+up_Irr!BD12)),IF(AND(up_Irr!H12=".",up_Irr!AF12&lt;&gt;".",up_Irr!BD12&lt;&gt;"."),up_dir!AH12/((1/1000)*(up_Irr!AF12+up_Irr!BD12)),IF(AND(up_Irr!H12=".",up_Irr!AF12=".",up_Irr!BD12&lt;&gt;"."),up_dir!AH12/((1/1000)*(up_Irr!BD12)),IF(AND(up_Irr!H12=".",up_Irr!AF12&lt;&gt;".",up_Irr!BD12="."),up_dir!AH12/((1/1000)*(up_Irr!AF12)),IF(AND(up_Irr!H12&lt;&gt;".",up_Irr!AF12=".",up_Irr!BD12="."),up_dir!AH12/((1/1000)*(up_Irr!H12)),IF(AND(up_Irr!H12=".",up_Irr!AF12=".",up_Irr!BD12="."),up_dir!AH12*1000)))))))),".")</f>
        <v>7.2351016258567334E-11</v>
      </c>
      <c r="BH12" s="76">
        <f>IFERROR(IF(AND(up_Irr!I12&lt;&gt;".",up_Irr!AG12&lt;&gt;".",up_Irr!BE12&lt;&gt;"."),up_dir!AI12/((1/1000)*(up_Irr!I12+up_Irr!AG12+up_Irr!BE12)),IF(AND(up_Irr!I12&lt;&gt;".",up_Irr!AG12&lt;&gt;".",up_Irr!BE12="."),up_dir!AI12/((1/1000)*(up_Irr!I12+up_Irr!AG12)),IF(AND(up_Irr!I12&lt;&gt;".",up_Irr!AG12=".",up_Irr!BE12&lt;&gt;"."),up_dir!AI12/((1/1000)*(up_Irr!I12+up_Irr!BE12)),IF(AND(up_Irr!I12=".",up_Irr!AG12&lt;&gt;".",up_Irr!BE12&lt;&gt;"."),up_dir!AI12/((1/1000)*(up_Irr!AG12+up_Irr!BE12)),IF(AND(up_Irr!I12=".",up_Irr!AG12=".",up_Irr!BE12&lt;&gt;"."),up_dir!AI12/((1/1000)*(up_Irr!BE12)),IF(AND(up_Irr!I12=".",up_Irr!AG12&lt;&gt;".",up_Irr!BE12="."),up_dir!AI12/((1/1000)*(up_Irr!AG12)),IF(AND(up_Irr!I12&lt;&gt;".",up_Irr!AG12=".",up_Irr!BE12="."),up_dir!AI12/((1/1000)*(up_Irr!I12)),IF(AND(up_Irr!I12=".",up_Irr!AG12=".",up_Irr!BE12="."),up_dir!AI12*1000)))))))),".")</f>
        <v>7.2351016258567334E-11</v>
      </c>
      <c r="BI12" s="76">
        <f>IFERROR(IF(AND(up_Irr!J12&lt;&gt;".",up_Irr!AH12&lt;&gt;".",up_Irr!BF12&lt;&gt;"."),up_dir!AJ12/((1/1000)*(up_Irr!J12+up_Irr!AH12+up_Irr!BF12)),IF(AND(up_Irr!J12&lt;&gt;".",up_Irr!AH12&lt;&gt;".",up_Irr!BF12="."),up_dir!AJ12/((1/1000)*(up_Irr!J12+up_Irr!AH12)),IF(AND(up_Irr!J12&lt;&gt;".",up_Irr!AH12=".",up_Irr!BF12&lt;&gt;"."),up_dir!AJ12/((1/1000)*(up_Irr!J12+up_Irr!BF12)),IF(AND(up_Irr!J12=".",up_Irr!AH12&lt;&gt;".",up_Irr!BF12&lt;&gt;"."),up_dir!AJ12/((1/1000)*(up_Irr!AH12+up_Irr!BF12)),IF(AND(up_Irr!J12=".",up_Irr!AH12=".",up_Irr!BF12&lt;&gt;"."),up_dir!AJ12/((1/1000)*(up_Irr!BF12)),IF(AND(up_Irr!J12=".",up_Irr!AH12&lt;&gt;".",up_Irr!BF12="."),up_dir!AJ12/((1/1000)*(up_Irr!AH12)),IF(AND(up_Irr!J12&lt;&gt;".",up_Irr!AH12=".",up_Irr!BF12="."),up_dir!AJ12/((1/1000)*(up_Irr!J12)),IF(AND(up_Irr!J12=".",up_Irr!AH12=".",up_Irr!BF12="."),up_dir!AJ12*1000)))))))),".")</f>
        <v>7.2351016258567334E-11</v>
      </c>
      <c r="BJ12" s="76">
        <f>IFERROR(IF(AND(up_Irr!K12&lt;&gt;".",up_Irr!AI12&lt;&gt;".",up_Irr!BG12&lt;&gt;"."),up_dir!AK12/((1/1000)*(up_Irr!K12+up_Irr!AI12+up_Irr!BG12)),IF(AND(up_Irr!K12&lt;&gt;".",up_Irr!AI12&lt;&gt;".",up_Irr!BG12="."),up_dir!AK12/((1/1000)*(up_Irr!K12+up_Irr!AI12)),IF(AND(up_Irr!K12&lt;&gt;".",up_Irr!AI12=".",up_Irr!BG12&lt;&gt;"."),up_dir!AK12/((1/1000)*(up_Irr!K12+up_Irr!BG12)),IF(AND(up_Irr!K12=".",up_Irr!AI12&lt;&gt;".",up_Irr!BG12&lt;&gt;"."),up_dir!AK12/((1/1000)*(up_Irr!AI12+up_Irr!BG12)),IF(AND(up_Irr!K12=".",up_Irr!AI12=".",up_Irr!BG12&lt;&gt;"."),up_dir!AK12/((1/1000)*(up_Irr!BG12)),IF(AND(up_Irr!K12=".",up_Irr!AI12&lt;&gt;".",up_Irr!BG12="."),up_dir!AK12/((1/1000)*(up_Irr!AI12)),IF(AND(up_Irr!K12&lt;&gt;".",up_Irr!AI12=".",up_Irr!BG12="."),up_dir!AK12/((1/1000)*(up_Irr!K12)),IF(AND(up_Irr!K12=".",up_Irr!AI12=".",up_Irr!BG12="."),up_dir!AK12*1000)))))))),".")</f>
        <v>7.2351016258567334E-11</v>
      </c>
      <c r="BK12" s="76">
        <f>IFERROR(IF(AND(up_Irr!L12&lt;&gt;".",up_Irr!AJ12&lt;&gt;".",up_Irr!BH12&lt;&gt;"."),up_dir!AL12/((1/1000)*(up_Irr!L12+up_Irr!AJ12+up_Irr!BH12)),IF(AND(up_Irr!L12&lt;&gt;".",up_Irr!AJ12&lt;&gt;".",up_Irr!BH12="."),up_dir!AL12/((1/1000)*(up_Irr!L12+up_Irr!AJ12)),IF(AND(up_Irr!L12&lt;&gt;".",up_Irr!AJ12=".",up_Irr!BH12&lt;&gt;"."),up_dir!AL12/((1/1000)*(up_Irr!L12+up_Irr!BH12)),IF(AND(up_Irr!L12=".",up_Irr!AJ12&lt;&gt;".",up_Irr!BH12&lt;&gt;"."),up_dir!AL12/((1/1000)*(up_Irr!AJ12+up_Irr!BH12)),IF(AND(up_Irr!L12=".",up_Irr!AJ12=".",up_Irr!BH12&lt;&gt;"."),up_dir!AL12/((1/1000)*(up_Irr!BH12)),IF(AND(up_Irr!L12=".",up_Irr!AJ12&lt;&gt;".",up_Irr!BH12="."),up_dir!AL12/((1/1000)*(up_Irr!AJ12)),IF(AND(up_Irr!L12&lt;&gt;".",up_Irr!AJ12=".",up_Irr!BH12="."),up_dir!AL12/((1/1000)*(up_Irr!L12)),IF(AND(up_Irr!L12=".",up_Irr!AJ12=".",up_Irr!BH12="."),up_dir!AL12*1000)))))))),".")</f>
        <v>7.2351016258567334E-11</v>
      </c>
      <c r="BL12" s="76">
        <f>IFERROR(IF(AND(up_Irr!M12&lt;&gt;".",up_Irr!AK12&lt;&gt;".",up_Irr!BI12&lt;&gt;"."),up_dir!AM12/((1/1000)*(up_Irr!M12+up_Irr!AK12+up_Irr!BI12)),IF(AND(up_Irr!M12&lt;&gt;".",up_Irr!AK12&lt;&gt;".",up_Irr!BI12="."),up_dir!AM12/((1/1000)*(up_Irr!M12+up_Irr!AK12)),IF(AND(up_Irr!M12&lt;&gt;".",up_Irr!AK12=".",up_Irr!BI12&lt;&gt;"."),up_dir!AM12/((1/1000)*(up_Irr!M12+up_Irr!BI12)),IF(AND(up_Irr!M12=".",up_Irr!AK12&lt;&gt;".",up_Irr!BI12&lt;&gt;"."),up_dir!AM12/((1/1000)*(up_Irr!AK12+up_Irr!BI12)),IF(AND(up_Irr!M12=".",up_Irr!AK12=".",up_Irr!BI12&lt;&gt;"."),up_dir!AM12/((1/1000)*(up_Irr!BI12)),IF(AND(up_Irr!M12=".",up_Irr!AK12&lt;&gt;".",up_Irr!BI12="."),up_dir!AM12/((1/1000)*(up_Irr!AK12)),IF(AND(up_Irr!M12&lt;&gt;".",up_Irr!AK12=".",up_Irr!BI12="."),up_dir!AM12/((1/1000)*(up_Irr!M12)),IF(AND(up_Irr!M12=".",up_Irr!AK12=".",up_Irr!BI12="."),up_dir!AM12*1000)))))))),".")</f>
        <v>7.2351016258567334E-11</v>
      </c>
      <c r="BM12" s="76">
        <f>IFERROR(IF(AND(up_Irr!N12&lt;&gt;".",up_Irr!AL12&lt;&gt;".",up_Irr!BJ12&lt;&gt;"."),up_dir!AN12/((1/1000)*(up_Irr!N12+up_Irr!AL12+up_Irr!BJ12)),IF(AND(up_Irr!N12&lt;&gt;".",up_Irr!AL12&lt;&gt;".",up_Irr!BJ12="."),up_dir!AN12/((1/1000)*(up_Irr!N12+up_Irr!AL12)),IF(AND(up_Irr!N12&lt;&gt;".",up_Irr!AL12=".",up_Irr!BJ12&lt;&gt;"."),up_dir!AN12/((1/1000)*(up_Irr!N12+up_Irr!BJ12)),IF(AND(up_Irr!N12=".",up_Irr!AL12&lt;&gt;".",up_Irr!BJ12&lt;&gt;"."),up_dir!AN12/((1/1000)*(up_Irr!AL12+up_Irr!BJ12)),IF(AND(up_Irr!N12=".",up_Irr!AL12=".",up_Irr!BJ12&lt;&gt;"."),up_dir!AN12/((1/1000)*(up_Irr!BJ12)),IF(AND(up_Irr!N12=".",up_Irr!AL12&lt;&gt;".",up_Irr!BJ12="."),up_dir!AN12/((1/1000)*(up_Irr!AL12)),IF(AND(up_Irr!N12&lt;&gt;".",up_Irr!AL12=".",up_Irr!BJ12="."),up_dir!AN12/((1/1000)*(up_Irr!N12)),IF(AND(up_Irr!N12=".",up_Irr!AL12=".",up_Irr!BJ12="."),up_dir!AN12*1000)))))))),".")</f>
        <v>7.2351016258567334E-11</v>
      </c>
      <c r="BN12" s="76">
        <f>IFERROR(IF(AND(up_Irr!O12&lt;&gt;".",up_Irr!AM12&lt;&gt;".",up_Irr!BK12&lt;&gt;"."),up_dir!AO12/((1/1000)*(up_Irr!O12+up_Irr!AM12+up_Irr!BK12)),IF(AND(up_Irr!O12&lt;&gt;".",up_Irr!AM12&lt;&gt;".",up_Irr!BK12="."),up_dir!AO12/((1/1000)*(up_Irr!O12+up_Irr!AM12)),IF(AND(up_Irr!O12&lt;&gt;".",up_Irr!AM12=".",up_Irr!BK12&lt;&gt;"."),up_dir!AO12/((1/1000)*(up_Irr!O12+up_Irr!BK12)),IF(AND(up_Irr!O12=".",up_Irr!AM12&lt;&gt;".",up_Irr!BK12&lt;&gt;"."),up_dir!AO12/((1/1000)*(up_Irr!AM12+up_Irr!BK12)),IF(AND(up_Irr!O12=".",up_Irr!AM12=".",up_Irr!BK12&lt;&gt;"."),up_dir!AO12/((1/1000)*(up_Irr!BK12)),IF(AND(up_Irr!O12=".",up_Irr!AM12&lt;&gt;".",up_Irr!BK12="."),up_dir!AO12/((1/1000)*(up_Irr!AM12)),IF(AND(up_Irr!O12&lt;&gt;".",up_Irr!AM12=".",up_Irr!BK12="."),up_dir!AO12/((1/1000)*(up_Irr!O12)),IF(AND(up_Irr!O12=".",up_Irr!AM12=".",up_Irr!BK12="."),up_dir!AO12*1000)))))))),".")</f>
        <v>7.2351016258567334E-11</v>
      </c>
      <c r="BO12" s="76">
        <f>IFERROR(IF(AND(up_Irr!P12&lt;&gt;".",up_Irr!AN12&lt;&gt;".",up_Irr!BL12&lt;&gt;"."),up_dir!AP12/((1/1000)*(up_Irr!P12+up_Irr!AN12+up_Irr!BL12)),IF(AND(up_Irr!P12&lt;&gt;".",up_Irr!AN12&lt;&gt;".",up_Irr!BL12="."),up_dir!AP12/((1/1000)*(up_Irr!P12+up_Irr!AN12)),IF(AND(up_Irr!P12&lt;&gt;".",up_Irr!AN12=".",up_Irr!BL12&lt;&gt;"."),up_dir!AP12/((1/1000)*(up_Irr!P12+up_Irr!BL12)),IF(AND(up_Irr!P12=".",up_Irr!AN12&lt;&gt;".",up_Irr!BL12&lt;&gt;"."),up_dir!AP12/((1/1000)*(up_Irr!AN12+up_Irr!BL12)),IF(AND(up_Irr!P12=".",up_Irr!AN12=".",up_Irr!BL12&lt;&gt;"."),up_dir!AP12/((1/1000)*(up_Irr!BL12)),IF(AND(up_Irr!P12=".",up_Irr!AN12&lt;&gt;".",up_Irr!BL12="."),up_dir!AP12/((1/1000)*(up_Irr!AN12)),IF(AND(up_Irr!P12&lt;&gt;".",up_Irr!AN12=".",up_Irr!BL12="."),up_dir!AP12/((1/1000)*(up_Irr!P12)),IF(AND(up_Irr!P12=".",up_Irr!AN12=".",up_Irr!BL12="."),up_dir!AP12*1000)))))))),".")</f>
        <v>7.2351016258567334E-11</v>
      </c>
      <c r="BP12" s="76">
        <f>IFERROR(IF(AND(up_Irr!Q12&lt;&gt;".",up_Irr!AO12&lt;&gt;".",up_Irr!BM12&lt;&gt;"."),up_dir!AQ12/((1/1000)*(up_Irr!Q12+up_Irr!AO12+up_Irr!BM12)),IF(AND(up_Irr!Q12&lt;&gt;".",up_Irr!AO12&lt;&gt;".",up_Irr!BM12="."),up_dir!AQ12/((1/1000)*(up_Irr!Q12+up_Irr!AO12)),IF(AND(up_Irr!Q12&lt;&gt;".",up_Irr!AO12=".",up_Irr!BM12&lt;&gt;"."),up_dir!AQ12/((1/1000)*(up_Irr!Q12+up_Irr!BM12)),IF(AND(up_Irr!Q12=".",up_Irr!AO12&lt;&gt;".",up_Irr!BM12&lt;&gt;"."),up_dir!AQ12/((1/1000)*(up_Irr!AO12+up_Irr!BM12)),IF(AND(up_Irr!Q12=".",up_Irr!AO12=".",up_Irr!BM12&lt;&gt;"."),up_dir!AQ12/((1/1000)*(up_Irr!BM12)),IF(AND(up_Irr!Q12=".",up_Irr!AO12&lt;&gt;".",up_Irr!BM12="."),up_dir!AQ12/((1/1000)*(up_Irr!AO12)),IF(AND(up_Irr!Q12&lt;&gt;".",up_Irr!AO12=".",up_Irr!BM12="."),up_dir!AQ12/((1/1000)*(up_Irr!Q12)),IF(AND(up_Irr!Q12=".",up_Irr!AO12=".",up_Irr!BM12="."),up_dir!AQ12*1000)))))))),".")</f>
        <v>7.2351016258567334E-11</v>
      </c>
      <c r="BQ12" s="76">
        <f>IFERROR(IF(AND(up_Irr!R12&lt;&gt;".",up_Irr!AP12&lt;&gt;".",up_Irr!BN12&lt;&gt;"."),up_dir!AR12/((1/1000)*(up_Irr!R12+up_Irr!AP12+up_Irr!BN12)),IF(AND(up_Irr!R12&lt;&gt;".",up_Irr!AP12&lt;&gt;".",up_Irr!BN12="."),up_dir!AR12/((1/1000)*(up_Irr!R12+up_Irr!AP12)),IF(AND(up_Irr!R12&lt;&gt;".",up_Irr!AP12=".",up_Irr!BN12&lt;&gt;"."),up_dir!AR12/((1/1000)*(up_Irr!R12+up_Irr!BN12)),IF(AND(up_Irr!R12=".",up_Irr!AP12&lt;&gt;".",up_Irr!BN12&lt;&gt;"."),up_dir!AR12/((1/1000)*(up_Irr!AP12+up_Irr!BN12)),IF(AND(up_Irr!R12=".",up_Irr!AP12=".",up_Irr!BN12&lt;&gt;"."),up_dir!AR12/((1/1000)*(up_Irr!BN12)),IF(AND(up_Irr!R12=".",up_Irr!AP12&lt;&gt;".",up_Irr!BN12="."),up_dir!AR12/((1/1000)*(up_Irr!AP12)),IF(AND(up_Irr!R12&lt;&gt;".",up_Irr!AP12=".",up_Irr!BN12="."),up_dir!AR12/((1/1000)*(up_Irr!R12)),IF(AND(up_Irr!R12=".",up_Irr!AP12=".",up_Irr!BN12="."),up_dir!AR12*1000)))))))),".")</f>
        <v>7.2351016258567334E-11</v>
      </c>
      <c r="BR12" s="76">
        <f>IFERROR(IF(AND(up_Irr!S12&lt;&gt;".",up_Irr!AQ12&lt;&gt;".",up_Irr!BO12&lt;&gt;"."),up_dir!AS12/((1/1000)*(up_Irr!S12+up_Irr!AQ12+up_Irr!BO12)),IF(AND(up_Irr!S12&lt;&gt;".",up_Irr!AQ12&lt;&gt;".",up_Irr!BO12="."),up_dir!AS12/((1/1000)*(up_Irr!S12+up_Irr!AQ12)),IF(AND(up_Irr!S12&lt;&gt;".",up_Irr!AQ12=".",up_Irr!BO12&lt;&gt;"."),up_dir!AS12/((1/1000)*(up_Irr!S12+up_Irr!BO12)),IF(AND(up_Irr!S12=".",up_Irr!AQ12&lt;&gt;".",up_Irr!BO12&lt;&gt;"."),up_dir!AS12/((1/1000)*(up_Irr!AQ12+up_Irr!BO12)),IF(AND(up_Irr!S12=".",up_Irr!AQ12=".",up_Irr!BO12&lt;&gt;"."),up_dir!AS12/((1/1000)*(up_Irr!BO12)),IF(AND(up_Irr!S12=".",up_Irr!AQ12&lt;&gt;".",up_Irr!BO12="."),up_dir!AS12/((1/1000)*(up_Irr!AQ12)),IF(AND(up_Irr!S12&lt;&gt;".",up_Irr!AQ12=".",up_Irr!BO12="."),up_dir!AS12/((1/1000)*(up_Irr!S12)),IF(AND(up_Irr!S12=".",up_Irr!AQ12=".",up_Irr!BO12="."),up_dir!AS12*1000)))))))),".")</f>
        <v>7.2351016258567334E-11</v>
      </c>
      <c r="BS12" s="76">
        <f>IFERROR(IF(AND(up_Irr!T12&lt;&gt;".",up_Irr!AR12&lt;&gt;".",up_Irr!BP12&lt;&gt;"."),up_dir!AT12/((1/1000)*(up_Irr!T12+up_Irr!AR12+up_Irr!BP12)),IF(AND(up_Irr!T12&lt;&gt;".",up_Irr!AR12&lt;&gt;".",up_Irr!BP12="."),up_dir!AT12/((1/1000)*(up_Irr!T12+up_Irr!AR12)),IF(AND(up_Irr!T12&lt;&gt;".",up_Irr!AR12=".",up_Irr!BP12&lt;&gt;"."),up_dir!AT12/((1/1000)*(up_Irr!T12+up_Irr!BP12)),IF(AND(up_Irr!T12=".",up_Irr!AR12&lt;&gt;".",up_Irr!BP12&lt;&gt;"."),up_dir!AT12/((1/1000)*(up_Irr!AR12+up_Irr!BP12)),IF(AND(up_Irr!T12=".",up_Irr!AR12=".",up_Irr!BP12&lt;&gt;"."),up_dir!AT12/((1/1000)*(up_Irr!BP12)),IF(AND(up_Irr!T12=".",up_Irr!AR12&lt;&gt;".",up_Irr!BP12="."),up_dir!AT12/((1/1000)*(up_Irr!AR12)),IF(AND(up_Irr!T12&lt;&gt;".",up_Irr!AR12=".",up_Irr!BP12="."),up_dir!AT12/((1/1000)*(up_Irr!T12)),IF(AND(up_Irr!T12=".",up_Irr!AR12=".",up_Irr!BP12="."),up_dir!AT12*1000)))))))),".")</f>
        <v>7.2351016258567334E-11</v>
      </c>
      <c r="BT12" s="76">
        <f>IFERROR(IF(AND(up_Irr!U12&lt;&gt;".",up_Irr!AS12&lt;&gt;".",up_Irr!BQ12&lt;&gt;"."),up_dir!AU12/((1/1000)*(up_Irr!U12+up_Irr!AS12+up_Irr!BQ12)),IF(AND(up_Irr!U12&lt;&gt;".",up_Irr!AS12&lt;&gt;".",up_Irr!BQ12="."),up_dir!AU12/((1/1000)*(up_Irr!U12+up_Irr!AS12)),IF(AND(up_Irr!U12&lt;&gt;".",up_Irr!AS12=".",up_Irr!BQ12&lt;&gt;"."),up_dir!AU12/((1/1000)*(up_Irr!U12+up_Irr!BQ12)),IF(AND(up_Irr!U12=".",up_Irr!AS12&lt;&gt;".",up_Irr!BQ12&lt;&gt;"."),up_dir!AU12/((1/1000)*(up_Irr!AS12+up_Irr!BQ12)),IF(AND(up_Irr!U12=".",up_Irr!AS12=".",up_Irr!BQ12&lt;&gt;"."),up_dir!AU12/((1/1000)*(up_Irr!BQ12)),IF(AND(up_Irr!U12=".",up_Irr!AS12&lt;&gt;".",up_Irr!BQ12="."),up_dir!AU12/((1/1000)*(up_Irr!AS12)),IF(AND(up_Irr!U12&lt;&gt;".",up_Irr!AS12=".",up_Irr!BQ12="."),up_dir!AU12/((1/1000)*(up_Irr!U12)),IF(AND(up_Irr!U12=".",up_Irr!AS12=".",up_Irr!BQ12="."),up_dir!AU12*1000)))))))),".")</f>
        <v>7.2351016258567334E-11</v>
      </c>
      <c r="BU12" s="76">
        <f>IFERROR(IF(AND(up_Irr!V12&lt;&gt;".",up_Irr!AT12&lt;&gt;".",up_Irr!BR12&lt;&gt;"."),up_dir!AV12/((1/1000)*(up_Irr!V12+up_Irr!AT12+up_Irr!BR12)),IF(AND(up_Irr!V12&lt;&gt;".",up_Irr!AT12&lt;&gt;".",up_Irr!BR12="."),up_dir!AV12/((1/1000)*(up_Irr!V12+up_Irr!AT12)),IF(AND(up_Irr!V12&lt;&gt;".",up_Irr!AT12=".",up_Irr!BR12&lt;&gt;"."),up_dir!AV12/((1/1000)*(up_Irr!V12+up_Irr!BR12)),IF(AND(up_Irr!V12=".",up_Irr!AT12&lt;&gt;".",up_Irr!BR12&lt;&gt;"."),up_dir!AV12/((1/1000)*(up_Irr!AT12+up_Irr!BR12)),IF(AND(up_Irr!V12=".",up_Irr!AT12=".",up_Irr!BR12&lt;&gt;"."),up_dir!AV12/((1/1000)*(up_Irr!BR12)),IF(AND(up_Irr!V12=".",up_Irr!AT12&lt;&gt;".",up_Irr!BR12="."),up_dir!AV12/((1/1000)*(up_Irr!AT12)),IF(AND(up_Irr!V12&lt;&gt;".",up_Irr!AT12=".",up_Irr!BR12="."),up_dir!AV12/((1/1000)*(up_Irr!V12)),IF(AND(up_Irr!V12=".",up_Irr!AT12=".",up_Irr!BR12="."),up_dir!AV12*1000)))))))),".")</f>
        <v>7.2351016258567334E-11</v>
      </c>
      <c r="BV12" s="76">
        <f>IFERROR(IF(AND(up_Irr!W12&lt;&gt;".",up_Irr!AU12&lt;&gt;".",up_Irr!BS12&lt;&gt;"."),up_dir!AW12/((1/1000)*(up_Irr!W12+up_Irr!AU12+up_Irr!BS12)),IF(AND(up_Irr!W12&lt;&gt;".",up_Irr!AU12&lt;&gt;".",up_Irr!BS12="."),up_dir!AW12/((1/1000)*(up_Irr!W12+up_Irr!AU12)),IF(AND(up_Irr!W12&lt;&gt;".",up_Irr!AU12=".",up_Irr!BS12&lt;&gt;"."),up_dir!AW12/((1/1000)*(up_Irr!W12+up_Irr!BS12)),IF(AND(up_Irr!W12=".",up_Irr!AU12&lt;&gt;".",up_Irr!BS12&lt;&gt;"."),up_dir!AW12/((1/1000)*(up_Irr!AU12+up_Irr!BS12)),IF(AND(up_Irr!W12=".",up_Irr!AU12=".",up_Irr!BS12&lt;&gt;"."),up_dir!AW12/((1/1000)*(up_Irr!BS12)),IF(AND(up_Irr!W12=".",up_Irr!AU12&lt;&gt;".",up_Irr!BS12="."),up_dir!AW12/((1/1000)*(up_Irr!AU12)),IF(AND(up_Irr!W12&lt;&gt;".",up_Irr!AU12=".",up_Irr!BS12="."),up_dir!AW12/((1/1000)*(up_Irr!W12)),IF(AND(up_Irr!W12=".",up_Irr!AU12=".",up_Irr!BS12="."),up_dir!AW12*1000)))))))),".")</f>
        <v>7.2351016258567334E-11</v>
      </c>
      <c r="BW12" s="76">
        <f>IFERROR(IF(AND(up_Irr!X12&lt;&gt;".",up_Irr!AV12&lt;&gt;".",up_Irr!BT12&lt;&gt;"."),up_dir!AX12/((1/1000)*(up_Irr!X12+up_Irr!AV12+up_Irr!BT12)),IF(AND(up_Irr!X12&lt;&gt;".",up_Irr!AV12&lt;&gt;".",up_Irr!BT12="."),up_dir!AX12/((1/1000)*(up_Irr!X12+up_Irr!AV12)),IF(AND(up_Irr!X12&lt;&gt;".",up_Irr!AV12=".",up_Irr!BT12&lt;&gt;"."),up_dir!AX12/((1/1000)*(up_Irr!X12+up_Irr!BT12)),IF(AND(up_Irr!X12=".",up_Irr!AV12&lt;&gt;".",up_Irr!BT12&lt;&gt;"."),up_dir!AX12/((1/1000)*(up_Irr!AV12+up_Irr!BT12)),IF(AND(up_Irr!X12=".",up_Irr!AV12=".",up_Irr!BT12&lt;&gt;"."),up_dir!AX12/((1/1000)*(up_Irr!BT12)),IF(AND(up_Irr!X12=".",up_Irr!AV12&lt;&gt;".",up_Irr!BT12="."),up_dir!AX12/((1/1000)*(up_Irr!AV12)),IF(AND(up_Irr!X12&lt;&gt;".",up_Irr!AV12=".",up_Irr!BT12="."),up_dir!AX12/((1/1000)*(up_Irr!X12)),IF(AND(up_Irr!X12=".",up_Irr!AV12=".",up_Irr!BT12="."),up_dir!AX12*1000)))))))),".")</f>
        <v>7.2351016258567334E-11</v>
      </c>
      <c r="BX12" s="76">
        <f>IFERROR(IF(AND(up_Irr!Y12&lt;&gt;".",up_Irr!AW12&lt;&gt;".",up_Irr!BU12&lt;&gt;"."),up_dir!AY12/((1/1000)*(up_Irr!Y12+up_Irr!AW12+up_Irr!BU12)),IF(AND(up_Irr!Y12&lt;&gt;".",up_Irr!AW12&lt;&gt;".",up_Irr!BU12="."),up_dir!AY12/((1/1000)*(up_Irr!Y12+up_Irr!AW12)),IF(AND(up_Irr!Y12&lt;&gt;".",up_Irr!AW12=".",up_Irr!BU12&lt;&gt;"."),up_dir!AY12/((1/1000)*(up_Irr!Y12+up_Irr!BU12)),IF(AND(up_Irr!Y12=".",up_Irr!AW12&lt;&gt;".",up_Irr!BU12&lt;&gt;"."),up_dir!AY12/((1/1000)*(up_Irr!AW12+up_Irr!BU12)),IF(AND(up_Irr!Y12=".",up_Irr!AW12=".",up_Irr!BU12&lt;&gt;"."),up_dir!AY12/((1/1000)*(up_Irr!BU12)),IF(AND(up_Irr!Y12=".",up_Irr!AW12&lt;&gt;".",up_Irr!BU12="."),up_dir!AY12/((1/1000)*(up_Irr!AW12)),IF(AND(up_Irr!Y12&lt;&gt;".",up_Irr!AW12=".",up_Irr!BU12="."),up_dir!AY12/((1/1000)*(up_Irr!Y12)),IF(AND(up_Irr!Y12=".",up_Irr!AW12=".",up_Irr!BU12="."),up_dir!AY12*1000)))))))),".")</f>
        <v>7.2351016258567334E-11</v>
      </c>
      <c r="BY12" s="76">
        <f>IFERROR(IF(AND(up_Irr!Z12&lt;&gt;".",up_Irr!AX12&lt;&gt;".",up_Irr!BV12&lt;&gt;"."),up_dir!AZ12/((1/1000)*(up_Irr!Z12+up_Irr!AX12+up_Irr!BV12)),IF(AND(up_Irr!Z12&lt;&gt;".",up_Irr!AX12&lt;&gt;".",up_Irr!BV12="."),up_dir!AZ12/((1/1000)*(up_Irr!Z12+up_Irr!AX12)),IF(AND(up_Irr!Z12&lt;&gt;".",up_Irr!AX12=".",up_Irr!BV12&lt;&gt;"."),up_dir!AZ12/((1/1000)*(up_Irr!Z12+up_Irr!BV12)),IF(AND(up_Irr!Z12=".",up_Irr!AX12&lt;&gt;".",up_Irr!BV12&lt;&gt;"."),up_dir!AZ12/((1/1000)*(up_Irr!AX12+up_Irr!BV12)),IF(AND(up_Irr!Z12=".",up_Irr!AX12=".",up_Irr!BV12&lt;&gt;"."),up_dir!AZ12/((1/1000)*(up_Irr!BV12)),IF(AND(up_Irr!Z12=".",up_Irr!AX12&lt;&gt;".",up_Irr!BV12="."),up_dir!AZ12/((1/1000)*(up_Irr!AX12)),IF(AND(up_Irr!Z12&lt;&gt;".",up_Irr!AX12=".",up_Irr!BV12="."),up_dir!AZ12/((1/1000)*(up_Irr!Z12)),IF(AND(up_Irr!Z12=".",up_Irr!AX12=".",up_Irr!BV12="."),up_dir!AZ12*1000)))))))),".")</f>
        <v>7.2351016258567334E-11</v>
      </c>
      <c r="BZ12" s="93">
        <f>SUM(CA12:CB12,CW12:CX12)</f>
        <v>55286.023705663516</v>
      </c>
      <c r="CA12" s="93">
        <f>IFERROR(s_C*s_IFAP_far_adj*s_CF_apple*(1/1000)*(up_Irr!C12+up_Irr!AA12+up_Irr!AY12),".")</f>
        <v>13821.505926415879</v>
      </c>
      <c r="CB12" s="93">
        <f>IFERROR(s_C*s_IFAS_far_adj*s_CF_asparagus*(1/1000)*(up_Irr!D12+up_Irr!AB12+up_Irr!AZ12),".")</f>
        <v>13821.505926415879</v>
      </c>
      <c r="CC12" s="93">
        <f>IFERROR(s_C*s_IFBT_far_adj*s_CF_beet*(1/1000)*(up_Irr!E12+up_Irr!AC12+up_Irr!BA12),".")</f>
        <v>13821.505926415879</v>
      </c>
      <c r="CD12" s="93">
        <f>IFERROR(s_C*s_IFBE_far_adj*s_CF_berries*(1/1000)*(up_Irr!F12+up_Irr!AD12+up_Irr!BB12),".")</f>
        <v>13821.505926415879</v>
      </c>
      <c r="CE12" s="93">
        <f>IFERROR(s_C*s_IFBR_far_adj*s_CF_broccoli*(1/1000)*(up_Irr!G12+up_Irr!AE12+up_Irr!BC12),".")</f>
        <v>13821.505926415879</v>
      </c>
      <c r="CF12" s="93">
        <f>IFERROR(s_C*s_IFCB_far_adj*s_CF_cabbage*(1/1000)*(up_Irr!H12+up_Irr!AF12+up_Irr!BD12),".")</f>
        <v>13821.505926415879</v>
      </c>
      <c r="CG12" s="93">
        <f>IFERROR(s_C*s_IFCR_far_adj*s_CF_carrot*(1/1000)*(up_Irr!I12+up_Irr!AG12+up_Irr!BE12),".")</f>
        <v>13821.505926415879</v>
      </c>
      <c r="CH12" s="93">
        <f>IFERROR(s_C*s_IFCI_far_adj*s_CF_citrus*(1/1000)*(up_Irr!J12+up_Irr!AH12+up_Irr!BF12),".")</f>
        <v>13821.505926415879</v>
      </c>
      <c r="CI12" s="93">
        <f>IFERROR(s_C*s_IFCO_far_adj*s_CF_corn*(1/1000)*(up_Irr!K12+up_Irr!AI12+up_Irr!BG12),".")</f>
        <v>13821.505926415879</v>
      </c>
      <c r="CJ12" s="93">
        <f>IFERROR(s_C*s_IFCU_far_adj*s_CF_cucumber*(1/1000)*(up_Irr!L12+up_Irr!AJ12+up_Irr!BH12),".")</f>
        <v>13821.505926415879</v>
      </c>
      <c r="CK12" s="93">
        <f>IFERROR(s_C*s_IFLE_far_adj*s_CF_lettuce*(1/1000)*(up_Irr!M12+up_Irr!AK12+up_Irr!BI12),".")</f>
        <v>13821.505926415879</v>
      </c>
      <c r="CL12" s="93">
        <f>IFERROR(s_C*s_IFLI_far_adj*s_CF_lima_bean*(1/1000)*(up_Irr!N12+up_Irr!AL12+up_Irr!BJ12),".")</f>
        <v>13821.505926415879</v>
      </c>
      <c r="CM12" s="93">
        <f>IFERROR(s_C*s_IFOK_far_adj*s_CF_okra*(1/1000)*(up_Irr!O12+up_Irr!AM12+up_Irr!BK12),".")</f>
        <v>13821.505926415879</v>
      </c>
      <c r="CN12" s="93">
        <f>IFERROR(s_C*s_IFON_far_adj*s_CF_onion*(1/1000)*(up_Irr!P12+up_Irr!AN12+up_Irr!BL12),".")</f>
        <v>13821.505926415879</v>
      </c>
      <c r="CO12" s="93">
        <f>IFERROR(s_C*s_IFPC_far_adj*s_CF_peach*(1/1000)*(up_Irr!Q12+up_Irr!AO12+up_Irr!BM12),".")</f>
        <v>13821.505926415879</v>
      </c>
      <c r="CP12" s="93">
        <f>IFERROR(s_C*s_IFPR_far_adj*s_CF_pear*(1/1000)*(up_Irr!R12+up_Irr!AP12+up_Irr!BN12),".")</f>
        <v>13821.505926415879</v>
      </c>
      <c r="CQ12" s="93">
        <f>IFERROR(s_C*s_IFPE_far_adj*s_CF_peas*(1/1000)*(up_Irr!S12+up_Irr!AQ12+up_Irr!BO12),".")</f>
        <v>13821.505926415879</v>
      </c>
      <c r="CR12" s="93">
        <f>IFERROR(s_C*s_IFPT_far_adj*s_CF_potato*(1/1000)*(up_Irr!T12+up_Irr!AR12+up_Irr!BP12),".")</f>
        <v>13821.505926415879</v>
      </c>
      <c r="CS12" s="93">
        <f>IFERROR(s_C*s_IFPU_far_adj*s_CF_pumpkin*(1/1000)*(up_Irr!U12+up_Irr!AS12+up_Irr!BQ12),".")</f>
        <v>13821.505926415879</v>
      </c>
      <c r="CT12" s="93">
        <f>IFERROR(s_C*s_IFSN_far_adj*s_CF_snap_bean*(1/1000)*(up_Irr!V12+up_Irr!AT12+up_Irr!BR12),".")</f>
        <v>13821.505926415879</v>
      </c>
      <c r="CU12" s="93">
        <f>IFERROR(s_C*s_IFST_far_adj*s_CF_strawberry*(1/1000)*(up_Irr!W12+up_Irr!AU12+up_Irr!BS12),".")</f>
        <v>13821.505926415879</v>
      </c>
      <c r="CV12" s="93">
        <f>IFERROR(s_C*s_IFTO_far_adj*s_CF_tomato*(1/1000)*(up_Irr!X12+up_Irr!AV12+up_Irr!BT12),".")</f>
        <v>13821.505926415879</v>
      </c>
      <c r="CW12" s="93">
        <f>IFERROR(s_C*s_IFRI_far_adj*s_CF_rice*(1/1000)*(up_Irr!Y12+up_Irr!AW12+up_Irr!BU12),".")</f>
        <v>13821.505926415879</v>
      </c>
      <c r="CX12" s="93">
        <f>IFERROR(s_C*s_IFCG_far_adj*s_CF_cereal*(1/1000)*(up_Irr!Z12+up_Irr!AX12+up_Irr!BV12),".")</f>
        <v>13821.505926415879</v>
      </c>
    </row>
    <row r="13" spans="1:102" ht="15" customHeight="1" x14ac:dyDescent="0.25">
      <c r="A13" s="92" t="s">
        <v>23</v>
      </c>
      <c r="B13" s="90" t="s">
        <v>1074</v>
      </c>
      <c r="C13" s="76">
        <f t="shared" si="0"/>
        <v>1.8087754064641833E-11</v>
      </c>
      <c r="D13" s="76">
        <f>IFERROR(IF(AND(up_Irr!C13&lt;&gt;".",up_Irr!AA13&lt;&gt;".",up_Irr!AY13&lt;&gt;"."),up_dir!D13/((1/1000)*(up_Irr!C13+up_Irr!AA13+up_Irr!AY13)),IF(AND(up_Irr!C13&lt;&gt;".",up_Irr!AA13&lt;&gt;".",up_Irr!AY13="."),up_dir!D13/((1/1000)*(up_Irr!C13+up_Irr!AA13)),IF(AND(up_Irr!C13&lt;&gt;".",up_Irr!AA13=".",up_Irr!AY13&lt;&gt;"."),up_dir!D13/((1/1000)*(up_Irr!C13+up_Irr!AY13)),IF(AND(up_Irr!C13=".",up_Irr!AA13&lt;&gt;".",up_Irr!AY13&lt;&gt;"."),up_dir!D13/((1/1000)*(up_Irr!AA13+up_Irr!AY13)),IF(AND(up_Irr!C13=".",up_Irr!AA13=".",up_Irr!AY13&lt;&gt;"."),up_dir!D13/((1/1000)*(up_Irr!AY13)),IF(AND(up_Irr!C13=".",up_Irr!AA13&lt;&gt;".",up_Irr!AY13="."),up_dir!D13/((1/1000)*(up_Irr!AA13)),IF(AND(up_Irr!C13&lt;&gt;".",up_Irr!AA13=".",up_Irr!AY13="."),up_dir!D13/((1/1000)*(up_Irr!C13)),IF(AND(up_Irr!C13=".",up_Irr!AA13=".",up_Irr!AY13="."),up_dir!D13*1000)))))))),".")</f>
        <v>7.2351016258567334E-11</v>
      </c>
      <c r="E13" s="76">
        <f>IFERROR(IF(AND(up_Irr!D13&lt;&gt;".",up_Irr!AB13&lt;&gt;".",up_Irr!AZ13&lt;&gt;"."),up_dir!E13/((1/1000)*(up_Irr!D13+up_Irr!AB13+up_Irr!AZ13)),IF(AND(up_Irr!D13&lt;&gt;".",up_Irr!AB13&lt;&gt;".",up_Irr!AZ13="."),up_dir!E13/((1/1000)*(up_Irr!D13+up_Irr!AB13)),IF(AND(up_Irr!D13&lt;&gt;".",up_Irr!AB13=".",up_Irr!AZ13&lt;&gt;"."),up_dir!E13/((1/1000)*(up_Irr!D13+up_Irr!AZ13)),IF(AND(up_Irr!D13=".",up_Irr!AB13&lt;&gt;".",up_Irr!AZ13&lt;&gt;"."),up_dir!E13/((1/1000)*(up_Irr!AB13+up_Irr!AZ13)),IF(AND(up_Irr!D13=".",up_Irr!AB13=".",up_Irr!AZ13&lt;&gt;"."),up_dir!E13/((1/1000)*(up_Irr!AZ13)),IF(AND(up_Irr!D13=".",up_Irr!AB13&lt;&gt;".",up_Irr!AZ13="."),up_dir!E13/((1/1000)*(up_Irr!AB13)),IF(AND(up_Irr!D13&lt;&gt;".",up_Irr!AB13=".",up_Irr!AZ13="."),up_dir!E13/((1/1000)*(up_Irr!D13)),IF(AND(up_Irr!D13=".",up_Irr!AB13=".",up_Irr!AZ13="."),up_dir!E13*1000)))))))),".")</f>
        <v>7.2351016258567334E-11</v>
      </c>
      <c r="F13" s="76">
        <f>IFERROR(IF(AND(up_Irr!E13&lt;&gt;".",up_Irr!AC13&lt;&gt;".",up_Irr!BA13&lt;&gt;"."),up_dir!F13/((1/1000)*(up_Irr!E13+up_Irr!AC13+up_Irr!BA13)),IF(AND(up_Irr!E13&lt;&gt;".",up_Irr!AC13&lt;&gt;".",up_Irr!BA13="."),up_dir!F13/((1/1000)*(up_Irr!E13+up_Irr!AC13)),IF(AND(up_Irr!E13&lt;&gt;".",up_Irr!AC13=".",up_Irr!BA13&lt;&gt;"."),up_dir!F13/((1/1000)*(up_Irr!E13+up_Irr!BA13)),IF(AND(up_Irr!E13=".",up_Irr!AC13&lt;&gt;".",up_Irr!BA13&lt;&gt;"."),up_dir!F13/((1/1000)*(up_Irr!AC13+up_Irr!BA13)),IF(AND(up_Irr!E13=".",up_Irr!AC13=".",up_Irr!BA13&lt;&gt;"."),up_dir!F13/((1/1000)*(up_Irr!BA13)),IF(AND(up_Irr!E13=".",up_Irr!AC13&lt;&gt;".",up_Irr!BA13="."),up_dir!F13/((1/1000)*(up_Irr!AC13)),IF(AND(up_Irr!E13&lt;&gt;".",up_Irr!AC13=".",up_Irr!BA13="."),up_dir!F13/((1/1000)*(up_Irr!E13)),IF(AND(up_Irr!E13=".",up_Irr!AC13=".",up_Irr!BA13="."),up_dir!F13*1000)))))))),".")</f>
        <v>7.2351016258567334E-11</v>
      </c>
      <c r="G13" s="76">
        <f>IFERROR(IF(AND(up_Irr!F13&lt;&gt;".",up_Irr!AD13&lt;&gt;".",up_Irr!BB13&lt;&gt;"."),up_dir!G13/((1/1000)*(up_Irr!F13+up_Irr!AD13+up_Irr!BB13)),IF(AND(up_Irr!F13&lt;&gt;".",up_Irr!AD13&lt;&gt;".",up_Irr!BB13="."),up_dir!G13/((1/1000)*(up_Irr!F13+up_Irr!AD13)),IF(AND(up_Irr!F13&lt;&gt;".",up_Irr!AD13=".",up_Irr!BB13&lt;&gt;"."),up_dir!G13/((1/1000)*(up_Irr!F13+up_Irr!BB13)),IF(AND(up_Irr!F13=".",up_Irr!AD13&lt;&gt;".",up_Irr!BB13&lt;&gt;"."),up_dir!G13/((1/1000)*(up_Irr!AD13+up_Irr!BB13)),IF(AND(up_Irr!F13=".",up_Irr!AD13=".",up_Irr!BB13&lt;&gt;"."),up_dir!G13/((1/1000)*(up_Irr!BB13)),IF(AND(up_Irr!F13=".",up_Irr!AD13&lt;&gt;".",up_Irr!BB13="."),up_dir!G13/((1/1000)*(up_Irr!AD13)),IF(AND(up_Irr!F13&lt;&gt;".",up_Irr!AD13=".",up_Irr!BB13="."),up_dir!G13/((1/1000)*(up_Irr!F13)),IF(AND(up_Irr!F13=".",up_Irr!AD13=".",up_Irr!BB13="."),up_dir!G13*1000)))))))),".")</f>
        <v>7.2351016258567334E-11</v>
      </c>
      <c r="H13" s="76">
        <f>IFERROR(IF(AND(up_Irr!G13&lt;&gt;".",up_Irr!AE13&lt;&gt;".",up_Irr!BC13&lt;&gt;"."),up_dir!H13/((1/1000)*(up_Irr!G13+up_Irr!AE13+up_Irr!BC13)),IF(AND(up_Irr!G13&lt;&gt;".",up_Irr!AE13&lt;&gt;".",up_Irr!BC13="."),up_dir!H13/((1/1000)*(up_Irr!G13+up_Irr!AE13)),IF(AND(up_Irr!G13&lt;&gt;".",up_Irr!AE13=".",up_Irr!BC13&lt;&gt;"."),up_dir!H13/((1/1000)*(up_Irr!G13+up_Irr!BC13)),IF(AND(up_Irr!G13=".",up_Irr!AE13&lt;&gt;".",up_Irr!BC13&lt;&gt;"."),up_dir!H13/((1/1000)*(up_Irr!AE13+up_Irr!BC13)),IF(AND(up_Irr!G13=".",up_Irr!AE13=".",up_Irr!BC13&lt;&gt;"."),up_dir!H13/((1/1000)*(up_Irr!BC13)),IF(AND(up_Irr!G13=".",up_Irr!AE13&lt;&gt;".",up_Irr!BC13="."),up_dir!H13/((1/1000)*(up_Irr!AE13)),IF(AND(up_Irr!G13&lt;&gt;".",up_Irr!AE13=".",up_Irr!BC13="."),up_dir!H13/((1/1000)*(up_Irr!G13)),IF(AND(up_Irr!G13=".",up_Irr!AE13=".",up_Irr!BC13="."),up_dir!H13*1000)))))))),".")</f>
        <v>7.2351016258567334E-11</v>
      </c>
      <c r="I13" s="76">
        <f>IFERROR(IF(AND(up_Irr!H13&lt;&gt;".",up_Irr!AF13&lt;&gt;".",up_Irr!BD13&lt;&gt;"."),up_dir!I13/((1/1000)*(up_Irr!H13+up_Irr!AF13+up_Irr!BD13)),IF(AND(up_Irr!H13&lt;&gt;".",up_Irr!AF13&lt;&gt;".",up_Irr!BD13="."),up_dir!I13/((1/1000)*(up_Irr!H13+up_Irr!AF13)),IF(AND(up_Irr!H13&lt;&gt;".",up_Irr!AF13=".",up_Irr!BD13&lt;&gt;"."),up_dir!I13/((1/1000)*(up_Irr!H13+up_Irr!BD13)),IF(AND(up_Irr!H13=".",up_Irr!AF13&lt;&gt;".",up_Irr!BD13&lt;&gt;"."),up_dir!I13/((1/1000)*(up_Irr!AF13+up_Irr!BD13)),IF(AND(up_Irr!H13=".",up_Irr!AF13=".",up_Irr!BD13&lt;&gt;"."),up_dir!I13/((1/1000)*(up_Irr!BD13)),IF(AND(up_Irr!H13=".",up_Irr!AF13&lt;&gt;".",up_Irr!BD13="."),up_dir!I13/((1/1000)*(up_Irr!AF13)),IF(AND(up_Irr!H13&lt;&gt;".",up_Irr!AF13=".",up_Irr!BD13="."),up_dir!I13/((1/1000)*(up_Irr!H13)),IF(AND(up_Irr!H13=".",up_Irr!AF13=".",up_Irr!BD13="."),up_dir!I13*1000)))))))),".")</f>
        <v>7.2351016258567334E-11</v>
      </c>
      <c r="J13" s="76">
        <f>IFERROR(IF(AND(up_Irr!I13&lt;&gt;".",up_Irr!AG13&lt;&gt;".",up_Irr!BE13&lt;&gt;"."),up_dir!J13/((1/1000)*(up_Irr!I13+up_Irr!AG13+up_Irr!BE13)),IF(AND(up_Irr!I13&lt;&gt;".",up_Irr!AG13&lt;&gt;".",up_Irr!BE13="."),up_dir!J13/((1/1000)*(up_Irr!I13+up_Irr!AG13)),IF(AND(up_Irr!I13&lt;&gt;".",up_Irr!AG13=".",up_Irr!BE13&lt;&gt;"."),up_dir!J13/((1/1000)*(up_Irr!I13+up_Irr!BE13)),IF(AND(up_Irr!I13=".",up_Irr!AG13&lt;&gt;".",up_Irr!BE13&lt;&gt;"."),up_dir!J13/((1/1000)*(up_Irr!AG13+up_Irr!BE13)),IF(AND(up_Irr!I13=".",up_Irr!AG13=".",up_Irr!BE13&lt;&gt;"."),up_dir!J13/((1/1000)*(up_Irr!BE13)),IF(AND(up_Irr!I13=".",up_Irr!AG13&lt;&gt;".",up_Irr!BE13="."),up_dir!J13/((1/1000)*(up_Irr!AG13)),IF(AND(up_Irr!I13&lt;&gt;".",up_Irr!AG13=".",up_Irr!BE13="."),up_dir!J13/((1/1000)*(up_Irr!I13)),IF(AND(up_Irr!I13=".",up_Irr!AG13=".",up_Irr!BE13="."),up_dir!J13*1000)))))))),".")</f>
        <v>7.2351016258567334E-11</v>
      </c>
      <c r="K13" s="76">
        <f>IFERROR(IF(AND(up_Irr!J13&lt;&gt;".",up_Irr!AH13&lt;&gt;".",up_Irr!BF13&lt;&gt;"."),up_dir!K13/((1/1000)*(up_Irr!J13+up_Irr!AH13+up_Irr!BF13)),IF(AND(up_Irr!J13&lt;&gt;".",up_Irr!AH13&lt;&gt;".",up_Irr!BF13="."),up_dir!K13/((1/1000)*(up_Irr!J13+up_Irr!AH13)),IF(AND(up_Irr!J13&lt;&gt;".",up_Irr!AH13=".",up_Irr!BF13&lt;&gt;"."),up_dir!K13/((1/1000)*(up_Irr!J13+up_Irr!BF13)),IF(AND(up_Irr!J13=".",up_Irr!AH13&lt;&gt;".",up_Irr!BF13&lt;&gt;"."),up_dir!K13/((1/1000)*(up_Irr!AH13+up_Irr!BF13)),IF(AND(up_Irr!J13=".",up_Irr!AH13=".",up_Irr!BF13&lt;&gt;"."),up_dir!K13/((1/1000)*(up_Irr!BF13)),IF(AND(up_Irr!J13=".",up_Irr!AH13&lt;&gt;".",up_Irr!BF13="."),up_dir!K13/((1/1000)*(up_Irr!AH13)),IF(AND(up_Irr!J13&lt;&gt;".",up_Irr!AH13=".",up_Irr!BF13="."),up_dir!K13/((1/1000)*(up_Irr!J13)),IF(AND(up_Irr!J13=".",up_Irr!AH13=".",up_Irr!BF13="."),up_dir!K13*1000)))))))),".")</f>
        <v>7.2351016258567334E-11</v>
      </c>
      <c r="L13" s="76">
        <f>IFERROR(IF(AND(up_Irr!K13&lt;&gt;".",up_Irr!AI13&lt;&gt;".",up_Irr!BG13&lt;&gt;"."),up_dir!L13/((1/1000)*(up_Irr!K13+up_Irr!AI13+up_Irr!BG13)),IF(AND(up_Irr!K13&lt;&gt;".",up_Irr!AI13&lt;&gt;".",up_Irr!BG13="."),up_dir!L13/((1/1000)*(up_Irr!K13+up_Irr!AI13)),IF(AND(up_Irr!K13&lt;&gt;".",up_Irr!AI13=".",up_Irr!BG13&lt;&gt;"."),up_dir!L13/((1/1000)*(up_Irr!K13+up_Irr!BG13)),IF(AND(up_Irr!K13=".",up_Irr!AI13&lt;&gt;".",up_Irr!BG13&lt;&gt;"."),up_dir!L13/((1/1000)*(up_Irr!AI13+up_Irr!BG13)),IF(AND(up_Irr!K13=".",up_Irr!AI13=".",up_Irr!BG13&lt;&gt;"."),up_dir!L13/((1/1000)*(up_Irr!BG13)),IF(AND(up_Irr!K13=".",up_Irr!AI13&lt;&gt;".",up_Irr!BG13="."),up_dir!L13/((1/1000)*(up_Irr!AI13)),IF(AND(up_Irr!K13&lt;&gt;".",up_Irr!AI13=".",up_Irr!BG13="."),up_dir!L13/((1/1000)*(up_Irr!K13)),IF(AND(up_Irr!K13=".",up_Irr!AI13=".",up_Irr!BG13="."),up_dir!L13*1000)))))))),".")</f>
        <v>7.2351016258567334E-11</v>
      </c>
      <c r="M13" s="76">
        <f>IFERROR(IF(AND(up_Irr!L13&lt;&gt;".",up_Irr!AJ13&lt;&gt;".",up_Irr!BH13&lt;&gt;"."),up_dir!M13/((1/1000)*(up_Irr!L13+up_Irr!AJ13+up_Irr!BH13)),IF(AND(up_Irr!L13&lt;&gt;".",up_Irr!AJ13&lt;&gt;".",up_Irr!BH13="."),up_dir!M13/((1/1000)*(up_Irr!L13+up_Irr!AJ13)),IF(AND(up_Irr!L13&lt;&gt;".",up_Irr!AJ13=".",up_Irr!BH13&lt;&gt;"."),up_dir!M13/((1/1000)*(up_Irr!L13+up_Irr!BH13)),IF(AND(up_Irr!L13=".",up_Irr!AJ13&lt;&gt;".",up_Irr!BH13&lt;&gt;"."),up_dir!M13/((1/1000)*(up_Irr!AJ13+up_Irr!BH13)),IF(AND(up_Irr!L13=".",up_Irr!AJ13=".",up_Irr!BH13&lt;&gt;"."),up_dir!M13/((1/1000)*(up_Irr!BH13)),IF(AND(up_Irr!L13=".",up_Irr!AJ13&lt;&gt;".",up_Irr!BH13="."),up_dir!M13/((1/1000)*(up_Irr!AJ13)),IF(AND(up_Irr!L13&lt;&gt;".",up_Irr!AJ13=".",up_Irr!BH13="."),up_dir!M13/((1/1000)*(up_Irr!L13)),IF(AND(up_Irr!L13=".",up_Irr!AJ13=".",up_Irr!BH13="."),up_dir!M13*1000)))))))),".")</f>
        <v>7.2351016258567334E-11</v>
      </c>
      <c r="N13" s="76">
        <f>IFERROR(IF(AND(up_Irr!M13&lt;&gt;".",up_Irr!AK13&lt;&gt;".",up_Irr!BI13&lt;&gt;"."),up_dir!N13/((1/1000)*(up_Irr!M13+up_Irr!AK13+up_Irr!BI13)),IF(AND(up_Irr!M13&lt;&gt;".",up_Irr!AK13&lt;&gt;".",up_Irr!BI13="."),up_dir!N13/((1/1000)*(up_Irr!M13+up_Irr!AK13)),IF(AND(up_Irr!M13&lt;&gt;".",up_Irr!AK13=".",up_Irr!BI13&lt;&gt;"."),up_dir!N13/((1/1000)*(up_Irr!M13+up_Irr!BI13)),IF(AND(up_Irr!M13=".",up_Irr!AK13&lt;&gt;".",up_Irr!BI13&lt;&gt;"."),up_dir!N13/((1/1000)*(up_Irr!AK13+up_Irr!BI13)),IF(AND(up_Irr!M13=".",up_Irr!AK13=".",up_Irr!BI13&lt;&gt;"."),up_dir!N13/((1/1000)*(up_Irr!BI13)),IF(AND(up_Irr!M13=".",up_Irr!AK13&lt;&gt;".",up_Irr!BI13="."),up_dir!N13/((1/1000)*(up_Irr!AK13)),IF(AND(up_Irr!M13&lt;&gt;".",up_Irr!AK13=".",up_Irr!BI13="."),up_dir!N13/((1/1000)*(up_Irr!M13)),IF(AND(up_Irr!M13=".",up_Irr!AK13=".",up_Irr!BI13="."),up_dir!N13*1000)))))))),".")</f>
        <v>7.2351016258567334E-11</v>
      </c>
      <c r="O13" s="76">
        <f>IFERROR(IF(AND(up_Irr!N13&lt;&gt;".",up_Irr!AL13&lt;&gt;".",up_Irr!BJ13&lt;&gt;"."),up_dir!O13/((1/1000)*(up_Irr!N13+up_Irr!AL13+up_Irr!BJ13)),IF(AND(up_Irr!N13&lt;&gt;".",up_Irr!AL13&lt;&gt;".",up_Irr!BJ13="."),up_dir!O13/((1/1000)*(up_Irr!N13+up_Irr!AL13)),IF(AND(up_Irr!N13&lt;&gt;".",up_Irr!AL13=".",up_Irr!BJ13&lt;&gt;"."),up_dir!O13/((1/1000)*(up_Irr!N13+up_Irr!BJ13)),IF(AND(up_Irr!N13=".",up_Irr!AL13&lt;&gt;".",up_Irr!BJ13&lt;&gt;"."),up_dir!O13/((1/1000)*(up_Irr!AL13+up_Irr!BJ13)),IF(AND(up_Irr!N13=".",up_Irr!AL13=".",up_Irr!BJ13&lt;&gt;"."),up_dir!O13/((1/1000)*(up_Irr!BJ13)),IF(AND(up_Irr!N13=".",up_Irr!AL13&lt;&gt;".",up_Irr!BJ13="."),up_dir!O13/((1/1000)*(up_Irr!AL13)),IF(AND(up_Irr!N13&lt;&gt;".",up_Irr!AL13=".",up_Irr!BJ13="."),up_dir!O13/((1/1000)*(up_Irr!N13)),IF(AND(up_Irr!N13=".",up_Irr!AL13=".",up_Irr!BJ13="."),up_dir!O13*1000)))))))),".")</f>
        <v>7.2351016258567334E-11</v>
      </c>
      <c r="P13" s="76">
        <f>IFERROR(IF(AND(up_Irr!O13&lt;&gt;".",up_Irr!AM13&lt;&gt;".",up_Irr!BK13&lt;&gt;"."),up_dir!P13/((1/1000)*(up_Irr!O13+up_Irr!AM13+up_Irr!BK13)),IF(AND(up_Irr!O13&lt;&gt;".",up_Irr!AM13&lt;&gt;".",up_Irr!BK13="."),up_dir!P13/((1/1000)*(up_Irr!O13+up_Irr!AM13)),IF(AND(up_Irr!O13&lt;&gt;".",up_Irr!AM13=".",up_Irr!BK13&lt;&gt;"."),up_dir!P13/((1/1000)*(up_Irr!O13+up_Irr!BK13)),IF(AND(up_Irr!O13=".",up_Irr!AM13&lt;&gt;".",up_Irr!BK13&lt;&gt;"."),up_dir!P13/((1/1000)*(up_Irr!AM13+up_Irr!BK13)),IF(AND(up_Irr!O13=".",up_Irr!AM13=".",up_Irr!BK13&lt;&gt;"."),up_dir!P13/((1/1000)*(up_Irr!BK13)),IF(AND(up_Irr!O13=".",up_Irr!AM13&lt;&gt;".",up_Irr!BK13="."),up_dir!P13/((1/1000)*(up_Irr!AM13)),IF(AND(up_Irr!O13&lt;&gt;".",up_Irr!AM13=".",up_Irr!BK13="."),up_dir!P13/((1/1000)*(up_Irr!O13)),IF(AND(up_Irr!O13=".",up_Irr!AM13=".",up_Irr!BK13="."),up_dir!P13*1000)))))))),".")</f>
        <v>7.2351016258567334E-11</v>
      </c>
      <c r="Q13" s="76">
        <f>IFERROR(IF(AND(up_Irr!P13&lt;&gt;".",up_Irr!AN13&lt;&gt;".",up_Irr!BL13&lt;&gt;"."),up_dir!Q13/((1/1000)*(up_Irr!P13+up_Irr!AN13+up_Irr!BL13)),IF(AND(up_Irr!P13&lt;&gt;".",up_Irr!AN13&lt;&gt;".",up_Irr!BL13="."),up_dir!Q13/((1/1000)*(up_Irr!P13+up_Irr!AN13)),IF(AND(up_Irr!P13&lt;&gt;".",up_Irr!AN13=".",up_Irr!BL13&lt;&gt;"."),up_dir!Q13/((1/1000)*(up_Irr!P13+up_Irr!BL13)),IF(AND(up_Irr!P13=".",up_Irr!AN13&lt;&gt;".",up_Irr!BL13&lt;&gt;"."),up_dir!Q13/((1/1000)*(up_Irr!AN13+up_Irr!BL13)),IF(AND(up_Irr!P13=".",up_Irr!AN13=".",up_Irr!BL13&lt;&gt;"."),up_dir!Q13/((1/1000)*(up_Irr!BL13)),IF(AND(up_Irr!P13=".",up_Irr!AN13&lt;&gt;".",up_Irr!BL13="."),up_dir!Q13/((1/1000)*(up_Irr!AN13)),IF(AND(up_Irr!P13&lt;&gt;".",up_Irr!AN13=".",up_Irr!BL13="."),up_dir!Q13/((1/1000)*(up_Irr!P13)),IF(AND(up_Irr!P13=".",up_Irr!AN13=".",up_Irr!BL13="."),up_dir!Q13*1000)))))))),".")</f>
        <v>7.2351016258567334E-11</v>
      </c>
      <c r="R13" s="76">
        <f>IFERROR(IF(AND(up_Irr!Q13&lt;&gt;".",up_Irr!AO13&lt;&gt;".",up_Irr!BM13&lt;&gt;"."),up_dir!R13/((1/1000)*(up_Irr!Q13+up_Irr!AO13+up_Irr!BM13)),IF(AND(up_Irr!Q13&lt;&gt;".",up_Irr!AO13&lt;&gt;".",up_Irr!BM13="."),up_dir!R13/((1/1000)*(up_Irr!Q13+up_Irr!AO13)),IF(AND(up_Irr!Q13&lt;&gt;".",up_Irr!AO13=".",up_Irr!BM13&lt;&gt;"."),up_dir!R13/((1/1000)*(up_Irr!Q13+up_Irr!BM13)),IF(AND(up_Irr!Q13=".",up_Irr!AO13&lt;&gt;".",up_Irr!BM13&lt;&gt;"."),up_dir!R13/((1/1000)*(up_Irr!AO13+up_Irr!BM13)),IF(AND(up_Irr!Q13=".",up_Irr!AO13=".",up_Irr!BM13&lt;&gt;"."),up_dir!R13/((1/1000)*(up_Irr!BM13)),IF(AND(up_Irr!Q13=".",up_Irr!AO13&lt;&gt;".",up_Irr!BM13="."),up_dir!R13/((1/1000)*(up_Irr!AO13)),IF(AND(up_Irr!Q13&lt;&gt;".",up_Irr!AO13=".",up_Irr!BM13="."),up_dir!R13/((1/1000)*(up_Irr!Q13)),IF(AND(up_Irr!Q13=".",up_Irr!AO13=".",up_Irr!BM13="."),up_dir!R13*1000)))))))),".")</f>
        <v>7.2351016258567334E-11</v>
      </c>
      <c r="S13" s="76">
        <f>IFERROR(IF(AND(up_Irr!R13&lt;&gt;".",up_Irr!AP13&lt;&gt;".",up_Irr!BN13&lt;&gt;"."),up_dir!S13/((1/1000)*(up_Irr!R13+up_Irr!AP13+up_Irr!BN13)),IF(AND(up_Irr!R13&lt;&gt;".",up_Irr!AP13&lt;&gt;".",up_Irr!BN13="."),up_dir!S13/((1/1000)*(up_Irr!R13+up_Irr!AP13)),IF(AND(up_Irr!R13&lt;&gt;".",up_Irr!AP13=".",up_Irr!BN13&lt;&gt;"."),up_dir!S13/((1/1000)*(up_Irr!R13+up_Irr!BN13)),IF(AND(up_Irr!R13=".",up_Irr!AP13&lt;&gt;".",up_Irr!BN13&lt;&gt;"."),up_dir!S13/((1/1000)*(up_Irr!AP13+up_Irr!BN13)),IF(AND(up_Irr!R13=".",up_Irr!AP13=".",up_Irr!BN13&lt;&gt;"."),up_dir!S13/((1/1000)*(up_Irr!BN13)),IF(AND(up_Irr!R13=".",up_Irr!AP13&lt;&gt;".",up_Irr!BN13="."),up_dir!S13/((1/1000)*(up_Irr!AP13)),IF(AND(up_Irr!R13&lt;&gt;".",up_Irr!AP13=".",up_Irr!BN13="."),up_dir!S13/((1/1000)*(up_Irr!R13)),IF(AND(up_Irr!R13=".",up_Irr!AP13=".",up_Irr!BN13="."),up_dir!S13*1000)))))))),".")</f>
        <v>7.2351016258567334E-11</v>
      </c>
      <c r="T13" s="76">
        <f>IFERROR(IF(AND(up_Irr!S13&lt;&gt;".",up_Irr!AQ13&lt;&gt;".",up_Irr!BO13&lt;&gt;"."),up_dir!T13/((1/1000)*(up_Irr!S13+up_Irr!AQ13+up_Irr!BO13)),IF(AND(up_Irr!S13&lt;&gt;".",up_Irr!AQ13&lt;&gt;".",up_Irr!BO13="."),up_dir!T13/((1/1000)*(up_Irr!S13+up_Irr!AQ13)),IF(AND(up_Irr!S13&lt;&gt;".",up_Irr!AQ13=".",up_Irr!BO13&lt;&gt;"."),up_dir!T13/((1/1000)*(up_Irr!S13+up_Irr!BO13)),IF(AND(up_Irr!S13=".",up_Irr!AQ13&lt;&gt;".",up_Irr!BO13&lt;&gt;"."),up_dir!T13/((1/1000)*(up_Irr!AQ13+up_Irr!BO13)),IF(AND(up_Irr!S13=".",up_Irr!AQ13=".",up_Irr!BO13&lt;&gt;"."),up_dir!T13/((1/1000)*(up_Irr!BO13)),IF(AND(up_Irr!S13=".",up_Irr!AQ13&lt;&gt;".",up_Irr!BO13="."),up_dir!T13/((1/1000)*(up_Irr!AQ13)),IF(AND(up_Irr!S13&lt;&gt;".",up_Irr!AQ13=".",up_Irr!BO13="."),up_dir!T13/((1/1000)*(up_Irr!S13)),IF(AND(up_Irr!S13=".",up_Irr!AQ13=".",up_Irr!BO13="."),up_dir!T13*1000)))))))),".")</f>
        <v>7.2351016258567334E-11</v>
      </c>
      <c r="U13" s="76">
        <f>IFERROR(IF(AND(up_Irr!T13&lt;&gt;".",up_Irr!AR13&lt;&gt;".",up_Irr!BP13&lt;&gt;"."),up_dir!U13/((1/1000)*(up_Irr!T13+up_Irr!AR13+up_Irr!BP13)),IF(AND(up_Irr!T13&lt;&gt;".",up_Irr!AR13&lt;&gt;".",up_Irr!BP13="."),up_dir!U13/((1/1000)*(up_Irr!T13+up_Irr!AR13)),IF(AND(up_Irr!T13&lt;&gt;".",up_Irr!AR13=".",up_Irr!BP13&lt;&gt;"."),up_dir!U13/((1/1000)*(up_Irr!T13+up_Irr!BP13)),IF(AND(up_Irr!T13=".",up_Irr!AR13&lt;&gt;".",up_Irr!BP13&lt;&gt;"."),up_dir!U13/((1/1000)*(up_Irr!AR13+up_Irr!BP13)),IF(AND(up_Irr!T13=".",up_Irr!AR13=".",up_Irr!BP13&lt;&gt;"."),up_dir!U13/((1/1000)*(up_Irr!BP13)),IF(AND(up_Irr!T13=".",up_Irr!AR13&lt;&gt;".",up_Irr!BP13="."),up_dir!U13/((1/1000)*(up_Irr!AR13)),IF(AND(up_Irr!T13&lt;&gt;".",up_Irr!AR13=".",up_Irr!BP13="."),up_dir!U13/((1/1000)*(up_Irr!T13)),IF(AND(up_Irr!T13=".",up_Irr!AR13=".",up_Irr!BP13="."),up_dir!U13*1000)))))))),".")</f>
        <v>7.2351016258567334E-11</v>
      </c>
      <c r="V13" s="76">
        <f>IFERROR(IF(AND(up_Irr!U13&lt;&gt;".",up_Irr!AS13&lt;&gt;".",up_Irr!BQ13&lt;&gt;"."),up_dir!V13/((1/1000)*(up_Irr!U13+up_Irr!AS13+up_Irr!BQ13)),IF(AND(up_Irr!U13&lt;&gt;".",up_Irr!AS13&lt;&gt;".",up_Irr!BQ13="."),up_dir!V13/((1/1000)*(up_Irr!U13+up_Irr!AS13)),IF(AND(up_Irr!U13&lt;&gt;".",up_Irr!AS13=".",up_Irr!BQ13&lt;&gt;"."),up_dir!V13/((1/1000)*(up_Irr!U13+up_Irr!BQ13)),IF(AND(up_Irr!U13=".",up_Irr!AS13&lt;&gt;".",up_Irr!BQ13&lt;&gt;"."),up_dir!V13/((1/1000)*(up_Irr!AS13+up_Irr!BQ13)),IF(AND(up_Irr!U13=".",up_Irr!AS13=".",up_Irr!BQ13&lt;&gt;"."),up_dir!V13/((1/1000)*(up_Irr!BQ13)),IF(AND(up_Irr!U13=".",up_Irr!AS13&lt;&gt;".",up_Irr!BQ13="."),up_dir!V13/((1/1000)*(up_Irr!AS13)),IF(AND(up_Irr!U13&lt;&gt;".",up_Irr!AS13=".",up_Irr!BQ13="."),up_dir!V13/((1/1000)*(up_Irr!U13)),IF(AND(up_Irr!U13=".",up_Irr!AS13=".",up_Irr!BQ13="."),up_dir!V13*1000)))))))),".")</f>
        <v>7.2351016258567334E-11</v>
      </c>
      <c r="W13" s="76">
        <f>IFERROR(IF(AND(up_Irr!V13&lt;&gt;".",up_Irr!AT13&lt;&gt;".",up_Irr!BR13&lt;&gt;"."),up_dir!W13/((1/1000)*(up_Irr!V13+up_Irr!AT13+up_Irr!BR13)),IF(AND(up_Irr!V13&lt;&gt;".",up_Irr!AT13&lt;&gt;".",up_Irr!BR13="."),up_dir!W13/((1/1000)*(up_Irr!V13+up_Irr!AT13)),IF(AND(up_Irr!V13&lt;&gt;".",up_Irr!AT13=".",up_Irr!BR13&lt;&gt;"."),up_dir!W13/((1/1000)*(up_Irr!V13+up_Irr!BR13)),IF(AND(up_Irr!V13=".",up_Irr!AT13&lt;&gt;".",up_Irr!BR13&lt;&gt;"."),up_dir!W13/((1/1000)*(up_Irr!AT13+up_Irr!BR13)),IF(AND(up_Irr!V13=".",up_Irr!AT13=".",up_Irr!BR13&lt;&gt;"."),up_dir!W13/((1/1000)*(up_Irr!BR13)),IF(AND(up_Irr!V13=".",up_Irr!AT13&lt;&gt;".",up_Irr!BR13="."),up_dir!W13/((1/1000)*(up_Irr!AT13)),IF(AND(up_Irr!V13&lt;&gt;".",up_Irr!AT13=".",up_Irr!BR13="."),up_dir!W13/((1/1000)*(up_Irr!V13)),IF(AND(up_Irr!V13=".",up_Irr!AT13=".",up_Irr!BR13="."),up_dir!W13*1000)))))))),".")</f>
        <v>7.2351016258567334E-11</v>
      </c>
      <c r="X13" s="76">
        <f>IFERROR(IF(AND(up_Irr!W13&lt;&gt;".",up_Irr!AU13&lt;&gt;".",up_Irr!BS13&lt;&gt;"."),up_dir!X13/((1/1000)*(up_Irr!W13+up_Irr!AU13+up_Irr!BS13)),IF(AND(up_Irr!W13&lt;&gt;".",up_Irr!AU13&lt;&gt;".",up_Irr!BS13="."),up_dir!X13/((1/1000)*(up_Irr!W13+up_Irr!AU13)),IF(AND(up_Irr!W13&lt;&gt;".",up_Irr!AU13=".",up_Irr!BS13&lt;&gt;"."),up_dir!X13/((1/1000)*(up_Irr!W13+up_Irr!BS13)),IF(AND(up_Irr!W13=".",up_Irr!AU13&lt;&gt;".",up_Irr!BS13&lt;&gt;"."),up_dir!X13/((1/1000)*(up_Irr!AU13+up_Irr!BS13)),IF(AND(up_Irr!W13=".",up_Irr!AU13=".",up_Irr!BS13&lt;&gt;"."),up_dir!X13/((1/1000)*(up_Irr!BS13)),IF(AND(up_Irr!W13=".",up_Irr!AU13&lt;&gt;".",up_Irr!BS13="."),up_dir!X13/((1/1000)*(up_Irr!AU13)),IF(AND(up_Irr!W13&lt;&gt;".",up_Irr!AU13=".",up_Irr!BS13="."),up_dir!X13/((1/1000)*(up_Irr!W13)),IF(AND(up_Irr!W13=".",up_Irr!AU13=".",up_Irr!BS13="."),up_dir!X13*1000)))))))),".")</f>
        <v>7.2351016258567334E-11</v>
      </c>
      <c r="Y13" s="76">
        <f>IFERROR(IF(AND(up_Irr!X13&lt;&gt;".",up_Irr!AV13&lt;&gt;".",up_Irr!BT13&lt;&gt;"."),up_dir!Y13/((1/1000)*(up_Irr!X13+up_Irr!AV13+up_Irr!BT13)),IF(AND(up_Irr!X13&lt;&gt;".",up_Irr!AV13&lt;&gt;".",up_Irr!BT13="."),up_dir!Y13/((1/1000)*(up_Irr!X13+up_Irr!AV13)),IF(AND(up_Irr!X13&lt;&gt;".",up_Irr!AV13=".",up_Irr!BT13&lt;&gt;"."),up_dir!Y13/((1/1000)*(up_Irr!X13+up_Irr!BT13)),IF(AND(up_Irr!X13=".",up_Irr!AV13&lt;&gt;".",up_Irr!BT13&lt;&gt;"."),up_dir!Y13/((1/1000)*(up_Irr!AV13+up_Irr!BT13)),IF(AND(up_Irr!X13=".",up_Irr!AV13=".",up_Irr!BT13&lt;&gt;"."),up_dir!Y13/((1/1000)*(up_Irr!BT13)),IF(AND(up_Irr!X13=".",up_Irr!AV13&lt;&gt;".",up_Irr!BT13="."),up_dir!Y13/((1/1000)*(up_Irr!AV13)),IF(AND(up_Irr!X13&lt;&gt;".",up_Irr!AV13=".",up_Irr!BT13="."),up_dir!Y13/((1/1000)*(up_Irr!X13)),IF(AND(up_Irr!X13=".",up_Irr!AV13=".",up_Irr!BT13="."),up_dir!Y13*1000)))))))),".")</f>
        <v>7.2351016258567334E-11</v>
      </c>
      <c r="Z13" s="76">
        <f>IFERROR(IF(AND(up_Irr!Y13&lt;&gt;".",up_Irr!AW13&lt;&gt;".",up_Irr!BU13&lt;&gt;"."),up_dir!Z13/((1/1000)*(up_Irr!Y13+up_Irr!AW13+up_Irr!BU13)),IF(AND(up_Irr!Y13&lt;&gt;".",up_Irr!AW13&lt;&gt;".",up_Irr!BU13="."),up_dir!Z13/((1/1000)*(up_Irr!Y13+up_Irr!AW13)),IF(AND(up_Irr!Y13&lt;&gt;".",up_Irr!AW13=".",up_Irr!BU13&lt;&gt;"."),up_dir!Z13/((1/1000)*(up_Irr!Y13+up_Irr!BU13)),IF(AND(up_Irr!Y13=".",up_Irr!AW13&lt;&gt;".",up_Irr!BU13&lt;&gt;"."),up_dir!Z13/((1/1000)*(up_Irr!AW13+up_Irr!BU13)),IF(AND(up_Irr!Y13=".",up_Irr!AW13=".",up_Irr!BU13&lt;&gt;"."),up_dir!Z13/((1/1000)*(up_Irr!BU13)),IF(AND(up_Irr!Y13=".",up_Irr!AW13&lt;&gt;".",up_Irr!BU13="."),up_dir!Z13/((1/1000)*(up_Irr!AW13)),IF(AND(up_Irr!Y13&lt;&gt;".",up_Irr!AW13=".",up_Irr!BU13="."),up_dir!Z13/((1/1000)*(up_Irr!Y13)),IF(AND(up_Irr!Y13=".",up_Irr!AW13=".",up_Irr!BU13="."),up_dir!Z13*1000)))))))),".")</f>
        <v>7.2351016258567334E-11</v>
      </c>
      <c r="AA13" s="76">
        <f>IFERROR(IF(AND(up_Irr!Z13&lt;&gt;".",up_Irr!AX13&lt;&gt;".",up_Irr!BV13&lt;&gt;"."),up_dir!AA13/((1/1000)*(up_Irr!Z13+up_Irr!AX13+up_Irr!BV13)),IF(AND(up_Irr!Z13&lt;&gt;".",up_Irr!AX13&lt;&gt;".",up_Irr!BV13="."),up_dir!AA13/((1/1000)*(up_Irr!Z13+up_Irr!AX13)),IF(AND(up_Irr!Z13&lt;&gt;".",up_Irr!AX13=".",up_Irr!BV13&lt;&gt;"."),up_dir!AA13/((1/1000)*(up_Irr!Z13+up_Irr!BV13)),IF(AND(up_Irr!Z13=".",up_Irr!AX13&lt;&gt;".",up_Irr!BV13&lt;&gt;"."),up_dir!AA13/((1/1000)*(up_Irr!AX13+up_Irr!BV13)),IF(AND(up_Irr!Z13=".",up_Irr!AX13=".",up_Irr!BV13&lt;&gt;"."),up_dir!AA13/((1/1000)*(up_Irr!BV13)),IF(AND(up_Irr!Z13=".",up_Irr!AX13&lt;&gt;".",up_Irr!BV13="."),up_dir!AA13/((1/1000)*(up_Irr!AX13)),IF(AND(up_Irr!Z13&lt;&gt;".",up_Irr!AX13=".",up_Irr!BV13="."),up_dir!AA13/((1/1000)*(up_Irr!Z13)),IF(AND(up_Irr!Z13=".",up_Irr!AX13=".",up_Irr!BV13="."),up_dir!AA13*1000)))))))),".")</f>
        <v>7.2351016258567334E-11</v>
      </c>
      <c r="AB13" s="93">
        <f>SUM(AC13:AD13,AY13:AZ13)</f>
        <v>55286.023705663516</v>
      </c>
      <c r="AC13" s="93">
        <f>IFERROR(s_C*s_IFAP_res_adj*s_CF_apple*0.001*(up_Irr!C13+up_Irr!AA13+up_Irr!AY13),".")</f>
        <v>13821.505926415879</v>
      </c>
      <c r="AD13" s="93">
        <f>IFERROR(s_C*s_IFAS_res_adj*s_CF_asparagus*0.001*(up_Irr!D13+up_Irr!AB13+up_Irr!AZ13),".")</f>
        <v>13821.505926415879</v>
      </c>
      <c r="AE13" s="93">
        <f>IFERROR(s_C*s_IFBT_res_adj*s_CF_beet*0.001*(up_Irr!E13+up_Irr!AC13+up_Irr!BA13),".")</f>
        <v>13821.505926415879</v>
      </c>
      <c r="AF13" s="93">
        <f>IFERROR(s_C*s_IFBE_res_adj*s_CF_berries*0.001*(up_Irr!F13+up_Irr!AD13+up_Irr!BB13),".")</f>
        <v>13821.505926415879</v>
      </c>
      <c r="AG13" s="93">
        <f>IFERROR(s_C*s_IFBR_res_adj*s_CF_broccoli*0.001*(up_Irr!G13+up_Irr!AE13+up_Irr!BC13),".")</f>
        <v>13821.505926415879</v>
      </c>
      <c r="AH13" s="93">
        <f>IFERROR(s_C*s_IFCB_res_adj*s_CF_cabbage*0.001*(up_Irr!H13+up_Irr!AF13+up_Irr!BD13),".")</f>
        <v>13821.505926415879</v>
      </c>
      <c r="AI13" s="93">
        <f>IFERROR(s_C*s_IFCR_res_adj*s_CF_carrot*0.001*(up_Irr!I13+up_Irr!AG13+up_Irr!BE13),".")</f>
        <v>13821.505926415879</v>
      </c>
      <c r="AJ13" s="93">
        <f>IFERROR(s_C*s_IFCI_res_adj*s_CF_citrus*0.001*(up_Irr!J13+up_Irr!AH13+up_Irr!BF13),".")</f>
        <v>13821.505926415879</v>
      </c>
      <c r="AK13" s="93">
        <f>IFERROR(s_C*s_IFCO_res_adj*s_CF_corn*0.001*(up_Irr!K13+up_Irr!AI13+up_Irr!BG13),".")</f>
        <v>13821.505926415879</v>
      </c>
      <c r="AL13" s="93">
        <f>IFERROR(s_C*s_IFCU_res_adj*s_CF_cucumber*0.001*(up_Irr!L13+up_Irr!AJ13+up_Irr!BH13),".")</f>
        <v>13821.505926415879</v>
      </c>
      <c r="AM13" s="93">
        <f>IFERROR(s_C*s_IFLE_res_adj*s_CF_lettuce*0.001*(up_Irr!M13+up_Irr!AK13+up_Irr!BI13),".")</f>
        <v>13821.505926415879</v>
      </c>
      <c r="AN13" s="93">
        <f>IFERROR(s_C*s_IFLI_res_adj*s_CF_lima_bean*0.001*(up_Irr!N13+up_Irr!AL13+up_Irr!BJ13),".")</f>
        <v>13821.505926415879</v>
      </c>
      <c r="AO13" s="93">
        <f>IFERROR(s_C*s_IFOK_res_adj*s_CF_okra*0.001*(up_Irr!O13+up_Irr!AM13+up_Irr!BK13),".")</f>
        <v>13821.505926415879</v>
      </c>
      <c r="AP13" s="93">
        <f>IFERROR(s_C*s_IFON_res_adj*s_CF_onion*0.001*(up_Irr!P13+up_Irr!AN13+up_Irr!BL13),".")</f>
        <v>13821.505926415879</v>
      </c>
      <c r="AQ13" s="93">
        <f>IFERROR(s_C*s_IFPC_res_adj*s_CF_peach*0.001*(up_Irr!Q13+up_Irr!AO13+up_Irr!BM13),".")</f>
        <v>13821.505926415879</v>
      </c>
      <c r="AR13" s="93">
        <f>IFERROR(s_C*s_IFPR_res_adj*s_CF_pear*0.001*(up_Irr!R13+up_Irr!AP13+up_Irr!BN13),".")</f>
        <v>13821.505926415879</v>
      </c>
      <c r="AS13" s="93">
        <f>IFERROR(s_C*s_IFPE_res_adj*s_CF_peas*0.001*(up_Irr!S13+up_Irr!AQ13+up_Irr!BO13),".")</f>
        <v>13821.505926415879</v>
      </c>
      <c r="AT13" s="93">
        <f>IFERROR(s_C*s_IFPT_res_adj*s_CF_potato*0.001*(up_Irr!T13+up_Irr!AR13+up_Irr!BP13),".")</f>
        <v>13821.505926415879</v>
      </c>
      <c r="AU13" s="93">
        <f>IFERROR(s_C*s_IFPU_res_adj*s_CF_pumpkin*0.001*(up_Irr!U13+up_Irr!AS13+up_Irr!BQ13),".")</f>
        <v>13821.505926415879</v>
      </c>
      <c r="AV13" s="93">
        <f>IFERROR(s_C*s_IFSN_res_adj*s_CF_snap_bean*0.001*(up_Irr!V13+up_Irr!AT13+up_Irr!BR13),".")</f>
        <v>13821.505926415879</v>
      </c>
      <c r="AW13" s="93">
        <f>IFERROR(s_C*s_IFST_res_adj*s_CF_strawberry*0.001*(up_Irr!W13+up_Irr!AU13+up_Irr!BS13),".")</f>
        <v>13821.505926415879</v>
      </c>
      <c r="AX13" s="93">
        <f>IFERROR(s_C*s_IFTO_res_adj*s_CF_tomato*0.001*(up_Irr!X13+up_Irr!AV13+up_Irr!BT13),".")</f>
        <v>13821.505926415879</v>
      </c>
      <c r="AY13" s="93">
        <f>IFERROR(s_C*s_IFRI_res_adj*s_CF_rice*0.001*(up_Irr!Y13+up_Irr!AW13+up_Irr!BU13),".")</f>
        <v>13821.505926415879</v>
      </c>
      <c r="AZ13" s="93">
        <f>IFERROR(s_C*s_IFCG_res_adj*s_CF_cereal*0.001*(up_Irr!Z13+up_Irr!AX13+up_Irr!BV13),".")</f>
        <v>13821.505926415879</v>
      </c>
      <c r="BA13" s="76">
        <f t="shared" si="3"/>
        <v>1.8087754064641833E-11</v>
      </c>
      <c r="BB13" s="76">
        <f>IFERROR(IF(AND(up_Irr!C13&lt;&gt;".",up_Irr!AA13&lt;&gt;".",up_Irr!AY13&lt;&gt;"."),up_dir!AC13/((1/1000)*(up_Irr!C13+up_Irr!AA13+up_Irr!AY13)),IF(AND(up_Irr!C13&lt;&gt;".",up_Irr!AA13&lt;&gt;".",up_Irr!AY13="."),up_dir!AC13/((1/1000)*(up_Irr!C13+up_Irr!AA13)),IF(AND(up_Irr!C13&lt;&gt;".",up_Irr!AA13=".",up_Irr!AY13&lt;&gt;"."),up_dir!AC13/((1/1000)*(up_Irr!C13+up_Irr!AY13)),IF(AND(up_Irr!C13=".",up_Irr!AA13&lt;&gt;".",up_Irr!AY13&lt;&gt;"."),up_dir!AC13/((1/1000)*(up_Irr!AA13+up_Irr!AY13)),IF(AND(up_Irr!C13=".",up_Irr!AA13=".",up_Irr!AY13&lt;&gt;"."),up_dir!AC13/((1/1000)*(up_Irr!AY13)),IF(AND(up_Irr!C13=".",up_Irr!AA13&lt;&gt;".",up_Irr!AY13="."),up_dir!AC13/((1/1000)*(up_Irr!AA13)),IF(AND(up_Irr!C13&lt;&gt;".",up_Irr!AA13=".",up_Irr!AY13="."),up_dir!AC13/((1/1000)*(up_Irr!C13)),IF(AND(up_Irr!C13=".",up_Irr!AA13=".",up_Irr!AY13="."),up_dir!AC13*1000)))))))),".")</f>
        <v>7.2351016258567334E-11</v>
      </c>
      <c r="BC13" s="76">
        <f>IFERROR(IF(AND(up_Irr!D13&lt;&gt;".",up_Irr!AB13&lt;&gt;".",up_Irr!AZ13&lt;&gt;"."),up_dir!AD13/((1/1000)*(up_Irr!D13+up_Irr!AB13+up_Irr!AZ13)),IF(AND(up_Irr!D13&lt;&gt;".",up_Irr!AB13&lt;&gt;".",up_Irr!AZ13="."),up_dir!AD13/((1/1000)*(up_Irr!D13+up_Irr!AB13)),IF(AND(up_Irr!D13&lt;&gt;".",up_Irr!AB13=".",up_Irr!AZ13&lt;&gt;"."),up_dir!AD13/((1/1000)*(up_Irr!D13+up_Irr!AZ13)),IF(AND(up_Irr!D13=".",up_Irr!AB13&lt;&gt;".",up_Irr!AZ13&lt;&gt;"."),up_dir!AD13/((1/1000)*(up_Irr!AB13+up_Irr!AZ13)),IF(AND(up_Irr!D13=".",up_Irr!AB13=".",up_Irr!AZ13&lt;&gt;"."),up_dir!AD13/((1/1000)*(up_Irr!AZ13)),IF(AND(up_Irr!D13=".",up_Irr!AB13&lt;&gt;".",up_Irr!AZ13="."),up_dir!AD13/((1/1000)*(up_Irr!AB13)),IF(AND(up_Irr!D13&lt;&gt;".",up_Irr!AB13=".",up_Irr!AZ13="."),up_dir!AD13/((1/1000)*(up_Irr!D13)),IF(AND(up_Irr!D13=".",up_Irr!AB13=".",up_Irr!AZ13="."),up_dir!AD13*1000)))))))),".")</f>
        <v>7.2351016258567334E-11</v>
      </c>
      <c r="BD13" s="76">
        <f>IFERROR(IF(AND(up_Irr!E13&lt;&gt;".",up_Irr!AC13&lt;&gt;".",up_Irr!BA13&lt;&gt;"."),up_dir!AE13/((1/1000)*(up_Irr!E13+up_Irr!AC13+up_Irr!BA13)),IF(AND(up_Irr!E13&lt;&gt;".",up_Irr!AC13&lt;&gt;".",up_Irr!BA13="."),up_dir!AE13/((1/1000)*(up_Irr!E13+up_Irr!AC13)),IF(AND(up_Irr!E13&lt;&gt;".",up_Irr!AC13=".",up_Irr!BA13&lt;&gt;"."),up_dir!AE13/((1/1000)*(up_Irr!E13+up_Irr!BA13)),IF(AND(up_Irr!E13=".",up_Irr!AC13&lt;&gt;".",up_Irr!BA13&lt;&gt;"."),up_dir!AE13/((1/1000)*(up_Irr!AC13+up_Irr!BA13)),IF(AND(up_Irr!E13=".",up_Irr!AC13=".",up_Irr!BA13&lt;&gt;"."),up_dir!AE13/((1/1000)*(up_Irr!BA13)),IF(AND(up_Irr!E13=".",up_Irr!AC13&lt;&gt;".",up_Irr!BA13="."),up_dir!AE13/((1/1000)*(up_Irr!AC13)),IF(AND(up_Irr!E13&lt;&gt;".",up_Irr!AC13=".",up_Irr!BA13="."),up_dir!AE13/((1/1000)*(up_Irr!E13)),IF(AND(up_Irr!E13=".",up_Irr!AC13=".",up_Irr!BA13="."),up_dir!AE13*1000)))))))),".")</f>
        <v>7.2351016258567334E-11</v>
      </c>
      <c r="BE13" s="76">
        <f>IFERROR(IF(AND(up_Irr!F13&lt;&gt;".",up_Irr!AD13&lt;&gt;".",up_Irr!BB13&lt;&gt;"."),up_dir!AF13/((1/1000)*(up_Irr!F13+up_Irr!AD13+up_Irr!BB13)),IF(AND(up_Irr!F13&lt;&gt;".",up_Irr!AD13&lt;&gt;".",up_Irr!BB13="."),up_dir!AF13/((1/1000)*(up_Irr!F13+up_Irr!AD13)),IF(AND(up_Irr!F13&lt;&gt;".",up_Irr!AD13=".",up_Irr!BB13&lt;&gt;"."),up_dir!AF13/((1/1000)*(up_Irr!F13+up_Irr!BB13)),IF(AND(up_Irr!F13=".",up_Irr!AD13&lt;&gt;".",up_Irr!BB13&lt;&gt;"."),up_dir!AF13/((1/1000)*(up_Irr!AD13+up_Irr!BB13)),IF(AND(up_Irr!F13=".",up_Irr!AD13=".",up_Irr!BB13&lt;&gt;"."),up_dir!AF13/((1/1000)*(up_Irr!BB13)),IF(AND(up_Irr!F13=".",up_Irr!AD13&lt;&gt;".",up_Irr!BB13="."),up_dir!AF13/((1/1000)*(up_Irr!AD13)),IF(AND(up_Irr!F13&lt;&gt;".",up_Irr!AD13=".",up_Irr!BB13="."),up_dir!AF13/((1/1000)*(up_Irr!F13)),IF(AND(up_Irr!F13=".",up_Irr!AD13=".",up_Irr!BB13="."),up_dir!AF13*1000)))))))),".")</f>
        <v>7.2351016258567334E-11</v>
      </c>
      <c r="BF13" s="76">
        <f>IFERROR(IF(AND(up_Irr!G13&lt;&gt;".",up_Irr!AE13&lt;&gt;".",up_Irr!BC13&lt;&gt;"."),up_dir!AG13/((1/1000)*(up_Irr!G13+up_Irr!AE13+up_Irr!BC13)),IF(AND(up_Irr!G13&lt;&gt;".",up_Irr!AE13&lt;&gt;".",up_Irr!BC13="."),up_dir!AG13/((1/1000)*(up_Irr!G13+up_Irr!AE13)),IF(AND(up_Irr!G13&lt;&gt;".",up_Irr!AE13=".",up_Irr!BC13&lt;&gt;"."),up_dir!AG13/((1/1000)*(up_Irr!G13+up_Irr!BC13)),IF(AND(up_Irr!G13=".",up_Irr!AE13&lt;&gt;".",up_Irr!BC13&lt;&gt;"."),up_dir!AG13/((1/1000)*(up_Irr!AE13+up_Irr!BC13)),IF(AND(up_Irr!G13=".",up_Irr!AE13=".",up_Irr!BC13&lt;&gt;"."),up_dir!AG13/((1/1000)*(up_Irr!BC13)),IF(AND(up_Irr!G13=".",up_Irr!AE13&lt;&gt;".",up_Irr!BC13="."),up_dir!AG13/((1/1000)*(up_Irr!AE13)),IF(AND(up_Irr!G13&lt;&gt;".",up_Irr!AE13=".",up_Irr!BC13="."),up_dir!AG13/((1/1000)*(up_Irr!G13)),IF(AND(up_Irr!G13=".",up_Irr!AE13=".",up_Irr!BC13="."),up_dir!AG13*1000)))))))),".")</f>
        <v>7.2351016258567334E-11</v>
      </c>
      <c r="BG13" s="76">
        <f>IFERROR(IF(AND(up_Irr!H13&lt;&gt;".",up_Irr!AF13&lt;&gt;".",up_Irr!BD13&lt;&gt;"."),up_dir!AH13/((1/1000)*(up_Irr!H13+up_Irr!AF13+up_Irr!BD13)),IF(AND(up_Irr!H13&lt;&gt;".",up_Irr!AF13&lt;&gt;".",up_Irr!BD13="."),up_dir!AH13/((1/1000)*(up_Irr!H13+up_Irr!AF13)),IF(AND(up_Irr!H13&lt;&gt;".",up_Irr!AF13=".",up_Irr!BD13&lt;&gt;"."),up_dir!AH13/((1/1000)*(up_Irr!H13+up_Irr!BD13)),IF(AND(up_Irr!H13=".",up_Irr!AF13&lt;&gt;".",up_Irr!BD13&lt;&gt;"."),up_dir!AH13/((1/1000)*(up_Irr!AF13+up_Irr!BD13)),IF(AND(up_Irr!H13=".",up_Irr!AF13=".",up_Irr!BD13&lt;&gt;"."),up_dir!AH13/((1/1000)*(up_Irr!BD13)),IF(AND(up_Irr!H13=".",up_Irr!AF13&lt;&gt;".",up_Irr!BD13="."),up_dir!AH13/((1/1000)*(up_Irr!AF13)),IF(AND(up_Irr!H13&lt;&gt;".",up_Irr!AF13=".",up_Irr!BD13="."),up_dir!AH13/((1/1000)*(up_Irr!H13)),IF(AND(up_Irr!H13=".",up_Irr!AF13=".",up_Irr!BD13="."),up_dir!AH13*1000)))))))),".")</f>
        <v>7.2351016258567334E-11</v>
      </c>
      <c r="BH13" s="76">
        <f>IFERROR(IF(AND(up_Irr!I13&lt;&gt;".",up_Irr!AG13&lt;&gt;".",up_Irr!BE13&lt;&gt;"."),up_dir!AI13/((1/1000)*(up_Irr!I13+up_Irr!AG13+up_Irr!BE13)),IF(AND(up_Irr!I13&lt;&gt;".",up_Irr!AG13&lt;&gt;".",up_Irr!BE13="."),up_dir!AI13/((1/1000)*(up_Irr!I13+up_Irr!AG13)),IF(AND(up_Irr!I13&lt;&gt;".",up_Irr!AG13=".",up_Irr!BE13&lt;&gt;"."),up_dir!AI13/((1/1000)*(up_Irr!I13+up_Irr!BE13)),IF(AND(up_Irr!I13=".",up_Irr!AG13&lt;&gt;".",up_Irr!BE13&lt;&gt;"."),up_dir!AI13/((1/1000)*(up_Irr!AG13+up_Irr!BE13)),IF(AND(up_Irr!I13=".",up_Irr!AG13=".",up_Irr!BE13&lt;&gt;"."),up_dir!AI13/((1/1000)*(up_Irr!BE13)),IF(AND(up_Irr!I13=".",up_Irr!AG13&lt;&gt;".",up_Irr!BE13="."),up_dir!AI13/((1/1000)*(up_Irr!AG13)),IF(AND(up_Irr!I13&lt;&gt;".",up_Irr!AG13=".",up_Irr!BE13="."),up_dir!AI13/((1/1000)*(up_Irr!I13)),IF(AND(up_Irr!I13=".",up_Irr!AG13=".",up_Irr!BE13="."),up_dir!AI13*1000)))))))),".")</f>
        <v>7.2351016258567334E-11</v>
      </c>
      <c r="BI13" s="76">
        <f>IFERROR(IF(AND(up_Irr!J13&lt;&gt;".",up_Irr!AH13&lt;&gt;".",up_Irr!BF13&lt;&gt;"."),up_dir!AJ13/((1/1000)*(up_Irr!J13+up_Irr!AH13+up_Irr!BF13)),IF(AND(up_Irr!J13&lt;&gt;".",up_Irr!AH13&lt;&gt;".",up_Irr!BF13="."),up_dir!AJ13/((1/1000)*(up_Irr!J13+up_Irr!AH13)),IF(AND(up_Irr!J13&lt;&gt;".",up_Irr!AH13=".",up_Irr!BF13&lt;&gt;"."),up_dir!AJ13/((1/1000)*(up_Irr!J13+up_Irr!BF13)),IF(AND(up_Irr!J13=".",up_Irr!AH13&lt;&gt;".",up_Irr!BF13&lt;&gt;"."),up_dir!AJ13/((1/1000)*(up_Irr!AH13+up_Irr!BF13)),IF(AND(up_Irr!J13=".",up_Irr!AH13=".",up_Irr!BF13&lt;&gt;"."),up_dir!AJ13/((1/1000)*(up_Irr!BF13)),IF(AND(up_Irr!J13=".",up_Irr!AH13&lt;&gt;".",up_Irr!BF13="."),up_dir!AJ13/((1/1000)*(up_Irr!AH13)),IF(AND(up_Irr!J13&lt;&gt;".",up_Irr!AH13=".",up_Irr!BF13="."),up_dir!AJ13/((1/1000)*(up_Irr!J13)),IF(AND(up_Irr!J13=".",up_Irr!AH13=".",up_Irr!BF13="."),up_dir!AJ13*1000)))))))),".")</f>
        <v>7.2351016258567334E-11</v>
      </c>
      <c r="BJ13" s="76">
        <f>IFERROR(IF(AND(up_Irr!K13&lt;&gt;".",up_Irr!AI13&lt;&gt;".",up_Irr!BG13&lt;&gt;"."),up_dir!AK13/((1/1000)*(up_Irr!K13+up_Irr!AI13+up_Irr!BG13)),IF(AND(up_Irr!K13&lt;&gt;".",up_Irr!AI13&lt;&gt;".",up_Irr!BG13="."),up_dir!AK13/((1/1000)*(up_Irr!K13+up_Irr!AI13)),IF(AND(up_Irr!K13&lt;&gt;".",up_Irr!AI13=".",up_Irr!BG13&lt;&gt;"."),up_dir!AK13/((1/1000)*(up_Irr!K13+up_Irr!BG13)),IF(AND(up_Irr!K13=".",up_Irr!AI13&lt;&gt;".",up_Irr!BG13&lt;&gt;"."),up_dir!AK13/((1/1000)*(up_Irr!AI13+up_Irr!BG13)),IF(AND(up_Irr!K13=".",up_Irr!AI13=".",up_Irr!BG13&lt;&gt;"."),up_dir!AK13/((1/1000)*(up_Irr!BG13)),IF(AND(up_Irr!K13=".",up_Irr!AI13&lt;&gt;".",up_Irr!BG13="."),up_dir!AK13/((1/1000)*(up_Irr!AI13)),IF(AND(up_Irr!K13&lt;&gt;".",up_Irr!AI13=".",up_Irr!BG13="."),up_dir!AK13/((1/1000)*(up_Irr!K13)),IF(AND(up_Irr!K13=".",up_Irr!AI13=".",up_Irr!BG13="."),up_dir!AK13*1000)))))))),".")</f>
        <v>7.2351016258567334E-11</v>
      </c>
      <c r="BK13" s="76">
        <f>IFERROR(IF(AND(up_Irr!L13&lt;&gt;".",up_Irr!AJ13&lt;&gt;".",up_Irr!BH13&lt;&gt;"."),up_dir!AL13/((1/1000)*(up_Irr!L13+up_Irr!AJ13+up_Irr!BH13)),IF(AND(up_Irr!L13&lt;&gt;".",up_Irr!AJ13&lt;&gt;".",up_Irr!BH13="."),up_dir!AL13/((1/1000)*(up_Irr!L13+up_Irr!AJ13)),IF(AND(up_Irr!L13&lt;&gt;".",up_Irr!AJ13=".",up_Irr!BH13&lt;&gt;"."),up_dir!AL13/((1/1000)*(up_Irr!L13+up_Irr!BH13)),IF(AND(up_Irr!L13=".",up_Irr!AJ13&lt;&gt;".",up_Irr!BH13&lt;&gt;"."),up_dir!AL13/((1/1000)*(up_Irr!AJ13+up_Irr!BH13)),IF(AND(up_Irr!L13=".",up_Irr!AJ13=".",up_Irr!BH13&lt;&gt;"."),up_dir!AL13/((1/1000)*(up_Irr!BH13)),IF(AND(up_Irr!L13=".",up_Irr!AJ13&lt;&gt;".",up_Irr!BH13="."),up_dir!AL13/((1/1000)*(up_Irr!AJ13)),IF(AND(up_Irr!L13&lt;&gt;".",up_Irr!AJ13=".",up_Irr!BH13="."),up_dir!AL13/((1/1000)*(up_Irr!L13)),IF(AND(up_Irr!L13=".",up_Irr!AJ13=".",up_Irr!BH13="."),up_dir!AL13*1000)))))))),".")</f>
        <v>7.2351016258567334E-11</v>
      </c>
      <c r="BL13" s="76">
        <f>IFERROR(IF(AND(up_Irr!M13&lt;&gt;".",up_Irr!AK13&lt;&gt;".",up_Irr!BI13&lt;&gt;"."),up_dir!AM13/((1/1000)*(up_Irr!M13+up_Irr!AK13+up_Irr!BI13)),IF(AND(up_Irr!M13&lt;&gt;".",up_Irr!AK13&lt;&gt;".",up_Irr!BI13="."),up_dir!AM13/((1/1000)*(up_Irr!M13+up_Irr!AK13)),IF(AND(up_Irr!M13&lt;&gt;".",up_Irr!AK13=".",up_Irr!BI13&lt;&gt;"."),up_dir!AM13/((1/1000)*(up_Irr!M13+up_Irr!BI13)),IF(AND(up_Irr!M13=".",up_Irr!AK13&lt;&gt;".",up_Irr!BI13&lt;&gt;"."),up_dir!AM13/((1/1000)*(up_Irr!AK13+up_Irr!BI13)),IF(AND(up_Irr!M13=".",up_Irr!AK13=".",up_Irr!BI13&lt;&gt;"."),up_dir!AM13/((1/1000)*(up_Irr!BI13)),IF(AND(up_Irr!M13=".",up_Irr!AK13&lt;&gt;".",up_Irr!BI13="."),up_dir!AM13/((1/1000)*(up_Irr!AK13)),IF(AND(up_Irr!M13&lt;&gt;".",up_Irr!AK13=".",up_Irr!BI13="."),up_dir!AM13/((1/1000)*(up_Irr!M13)),IF(AND(up_Irr!M13=".",up_Irr!AK13=".",up_Irr!BI13="."),up_dir!AM13*1000)))))))),".")</f>
        <v>7.2351016258567334E-11</v>
      </c>
      <c r="BM13" s="76">
        <f>IFERROR(IF(AND(up_Irr!N13&lt;&gt;".",up_Irr!AL13&lt;&gt;".",up_Irr!BJ13&lt;&gt;"."),up_dir!AN13/((1/1000)*(up_Irr!N13+up_Irr!AL13+up_Irr!BJ13)),IF(AND(up_Irr!N13&lt;&gt;".",up_Irr!AL13&lt;&gt;".",up_Irr!BJ13="."),up_dir!AN13/((1/1000)*(up_Irr!N13+up_Irr!AL13)),IF(AND(up_Irr!N13&lt;&gt;".",up_Irr!AL13=".",up_Irr!BJ13&lt;&gt;"."),up_dir!AN13/((1/1000)*(up_Irr!N13+up_Irr!BJ13)),IF(AND(up_Irr!N13=".",up_Irr!AL13&lt;&gt;".",up_Irr!BJ13&lt;&gt;"."),up_dir!AN13/((1/1000)*(up_Irr!AL13+up_Irr!BJ13)),IF(AND(up_Irr!N13=".",up_Irr!AL13=".",up_Irr!BJ13&lt;&gt;"."),up_dir!AN13/((1/1000)*(up_Irr!BJ13)),IF(AND(up_Irr!N13=".",up_Irr!AL13&lt;&gt;".",up_Irr!BJ13="."),up_dir!AN13/((1/1000)*(up_Irr!AL13)),IF(AND(up_Irr!N13&lt;&gt;".",up_Irr!AL13=".",up_Irr!BJ13="."),up_dir!AN13/((1/1000)*(up_Irr!N13)),IF(AND(up_Irr!N13=".",up_Irr!AL13=".",up_Irr!BJ13="."),up_dir!AN13*1000)))))))),".")</f>
        <v>7.2351016258567334E-11</v>
      </c>
      <c r="BN13" s="76">
        <f>IFERROR(IF(AND(up_Irr!O13&lt;&gt;".",up_Irr!AM13&lt;&gt;".",up_Irr!BK13&lt;&gt;"."),up_dir!AO13/((1/1000)*(up_Irr!O13+up_Irr!AM13+up_Irr!BK13)),IF(AND(up_Irr!O13&lt;&gt;".",up_Irr!AM13&lt;&gt;".",up_Irr!BK13="."),up_dir!AO13/((1/1000)*(up_Irr!O13+up_Irr!AM13)),IF(AND(up_Irr!O13&lt;&gt;".",up_Irr!AM13=".",up_Irr!BK13&lt;&gt;"."),up_dir!AO13/((1/1000)*(up_Irr!O13+up_Irr!BK13)),IF(AND(up_Irr!O13=".",up_Irr!AM13&lt;&gt;".",up_Irr!BK13&lt;&gt;"."),up_dir!AO13/((1/1000)*(up_Irr!AM13+up_Irr!BK13)),IF(AND(up_Irr!O13=".",up_Irr!AM13=".",up_Irr!BK13&lt;&gt;"."),up_dir!AO13/((1/1000)*(up_Irr!BK13)),IF(AND(up_Irr!O13=".",up_Irr!AM13&lt;&gt;".",up_Irr!BK13="."),up_dir!AO13/((1/1000)*(up_Irr!AM13)),IF(AND(up_Irr!O13&lt;&gt;".",up_Irr!AM13=".",up_Irr!BK13="."),up_dir!AO13/((1/1000)*(up_Irr!O13)),IF(AND(up_Irr!O13=".",up_Irr!AM13=".",up_Irr!BK13="."),up_dir!AO13*1000)))))))),".")</f>
        <v>7.2351016258567334E-11</v>
      </c>
      <c r="BO13" s="76">
        <f>IFERROR(IF(AND(up_Irr!P13&lt;&gt;".",up_Irr!AN13&lt;&gt;".",up_Irr!BL13&lt;&gt;"."),up_dir!AP13/((1/1000)*(up_Irr!P13+up_Irr!AN13+up_Irr!BL13)),IF(AND(up_Irr!P13&lt;&gt;".",up_Irr!AN13&lt;&gt;".",up_Irr!BL13="."),up_dir!AP13/((1/1000)*(up_Irr!P13+up_Irr!AN13)),IF(AND(up_Irr!P13&lt;&gt;".",up_Irr!AN13=".",up_Irr!BL13&lt;&gt;"."),up_dir!AP13/((1/1000)*(up_Irr!P13+up_Irr!BL13)),IF(AND(up_Irr!P13=".",up_Irr!AN13&lt;&gt;".",up_Irr!BL13&lt;&gt;"."),up_dir!AP13/((1/1000)*(up_Irr!AN13+up_Irr!BL13)),IF(AND(up_Irr!P13=".",up_Irr!AN13=".",up_Irr!BL13&lt;&gt;"."),up_dir!AP13/((1/1000)*(up_Irr!BL13)),IF(AND(up_Irr!P13=".",up_Irr!AN13&lt;&gt;".",up_Irr!BL13="."),up_dir!AP13/((1/1000)*(up_Irr!AN13)),IF(AND(up_Irr!P13&lt;&gt;".",up_Irr!AN13=".",up_Irr!BL13="."),up_dir!AP13/((1/1000)*(up_Irr!P13)),IF(AND(up_Irr!P13=".",up_Irr!AN13=".",up_Irr!BL13="."),up_dir!AP13*1000)))))))),".")</f>
        <v>7.2351016258567334E-11</v>
      </c>
      <c r="BP13" s="76">
        <f>IFERROR(IF(AND(up_Irr!Q13&lt;&gt;".",up_Irr!AO13&lt;&gt;".",up_Irr!BM13&lt;&gt;"."),up_dir!AQ13/((1/1000)*(up_Irr!Q13+up_Irr!AO13+up_Irr!BM13)),IF(AND(up_Irr!Q13&lt;&gt;".",up_Irr!AO13&lt;&gt;".",up_Irr!BM13="."),up_dir!AQ13/((1/1000)*(up_Irr!Q13+up_Irr!AO13)),IF(AND(up_Irr!Q13&lt;&gt;".",up_Irr!AO13=".",up_Irr!BM13&lt;&gt;"."),up_dir!AQ13/((1/1000)*(up_Irr!Q13+up_Irr!BM13)),IF(AND(up_Irr!Q13=".",up_Irr!AO13&lt;&gt;".",up_Irr!BM13&lt;&gt;"."),up_dir!AQ13/((1/1000)*(up_Irr!AO13+up_Irr!BM13)),IF(AND(up_Irr!Q13=".",up_Irr!AO13=".",up_Irr!BM13&lt;&gt;"."),up_dir!AQ13/((1/1000)*(up_Irr!BM13)),IF(AND(up_Irr!Q13=".",up_Irr!AO13&lt;&gt;".",up_Irr!BM13="."),up_dir!AQ13/((1/1000)*(up_Irr!AO13)),IF(AND(up_Irr!Q13&lt;&gt;".",up_Irr!AO13=".",up_Irr!BM13="."),up_dir!AQ13/((1/1000)*(up_Irr!Q13)),IF(AND(up_Irr!Q13=".",up_Irr!AO13=".",up_Irr!BM13="."),up_dir!AQ13*1000)))))))),".")</f>
        <v>7.2351016258567334E-11</v>
      </c>
      <c r="BQ13" s="76">
        <f>IFERROR(IF(AND(up_Irr!R13&lt;&gt;".",up_Irr!AP13&lt;&gt;".",up_Irr!BN13&lt;&gt;"."),up_dir!AR13/((1/1000)*(up_Irr!R13+up_Irr!AP13+up_Irr!BN13)),IF(AND(up_Irr!R13&lt;&gt;".",up_Irr!AP13&lt;&gt;".",up_Irr!BN13="."),up_dir!AR13/((1/1000)*(up_Irr!R13+up_Irr!AP13)),IF(AND(up_Irr!R13&lt;&gt;".",up_Irr!AP13=".",up_Irr!BN13&lt;&gt;"."),up_dir!AR13/((1/1000)*(up_Irr!R13+up_Irr!BN13)),IF(AND(up_Irr!R13=".",up_Irr!AP13&lt;&gt;".",up_Irr!BN13&lt;&gt;"."),up_dir!AR13/((1/1000)*(up_Irr!AP13+up_Irr!BN13)),IF(AND(up_Irr!R13=".",up_Irr!AP13=".",up_Irr!BN13&lt;&gt;"."),up_dir!AR13/((1/1000)*(up_Irr!BN13)),IF(AND(up_Irr!R13=".",up_Irr!AP13&lt;&gt;".",up_Irr!BN13="."),up_dir!AR13/((1/1000)*(up_Irr!AP13)),IF(AND(up_Irr!R13&lt;&gt;".",up_Irr!AP13=".",up_Irr!BN13="."),up_dir!AR13/((1/1000)*(up_Irr!R13)),IF(AND(up_Irr!R13=".",up_Irr!AP13=".",up_Irr!BN13="."),up_dir!AR13*1000)))))))),".")</f>
        <v>7.2351016258567334E-11</v>
      </c>
      <c r="BR13" s="76">
        <f>IFERROR(IF(AND(up_Irr!S13&lt;&gt;".",up_Irr!AQ13&lt;&gt;".",up_Irr!BO13&lt;&gt;"."),up_dir!AS13/((1/1000)*(up_Irr!S13+up_Irr!AQ13+up_Irr!BO13)),IF(AND(up_Irr!S13&lt;&gt;".",up_Irr!AQ13&lt;&gt;".",up_Irr!BO13="."),up_dir!AS13/((1/1000)*(up_Irr!S13+up_Irr!AQ13)),IF(AND(up_Irr!S13&lt;&gt;".",up_Irr!AQ13=".",up_Irr!BO13&lt;&gt;"."),up_dir!AS13/((1/1000)*(up_Irr!S13+up_Irr!BO13)),IF(AND(up_Irr!S13=".",up_Irr!AQ13&lt;&gt;".",up_Irr!BO13&lt;&gt;"."),up_dir!AS13/((1/1000)*(up_Irr!AQ13+up_Irr!BO13)),IF(AND(up_Irr!S13=".",up_Irr!AQ13=".",up_Irr!BO13&lt;&gt;"."),up_dir!AS13/((1/1000)*(up_Irr!BO13)),IF(AND(up_Irr!S13=".",up_Irr!AQ13&lt;&gt;".",up_Irr!BO13="."),up_dir!AS13/((1/1000)*(up_Irr!AQ13)),IF(AND(up_Irr!S13&lt;&gt;".",up_Irr!AQ13=".",up_Irr!BO13="."),up_dir!AS13/((1/1000)*(up_Irr!S13)),IF(AND(up_Irr!S13=".",up_Irr!AQ13=".",up_Irr!BO13="."),up_dir!AS13*1000)))))))),".")</f>
        <v>7.2351016258567334E-11</v>
      </c>
      <c r="BS13" s="76">
        <f>IFERROR(IF(AND(up_Irr!T13&lt;&gt;".",up_Irr!AR13&lt;&gt;".",up_Irr!BP13&lt;&gt;"."),up_dir!AT13/((1/1000)*(up_Irr!T13+up_Irr!AR13+up_Irr!BP13)),IF(AND(up_Irr!T13&lt;&gt;".",up_Irr!AR13&lt;&gt;".",up_Irr!BP13="."),up_dir!AT13/((1/1000)*(up_Irr!T13+up_Irr!AR13)),IF(AND(up_Irr!T13&lt;&gt;".",up_Irr!AR13=".",up_Irr!BP13&lt;&gt;"."),up_dir!AT13/((1/1000)*(up_Irr!T13+up_Irr!BP13)),IF(AND(up_Irr!T13=".",up_Irr!AR13&lt;&gt;".",up_Irr!BP13&lt;&gt;"."),up_dir!AT13/((1/1000)*(up_Irr!AR13+up_Irr!BP13)),IF(AND(up_Irr!T13=".",up_Irr!AR13=".",up_Irr!BP13&lt;&gt;"."),up_dir!AT13/((1/1000)*(up_Irr!BP13)),IF(AND(up_Irr!T13=".",up_Irr!AR13&lt;&gt;".",up_Irr!BP13="."),up_dir!AT13/((1/1000)*(up_Irr!AR13)),IF(AND(up_Irr!T13&lt;&gt;".",up_Irr!AR13=".",up_Irr!BP13="."),up_dir!AT13/((1/1000)*(up_Irr!T13)),IF(AND(up_Irr!T13=".",up_Irr!AR13=".",up_Irr!BP13="."),up_dir!AT13*1000)))))))),".")</f>
        <v>7.2351016258567334E-11</v>
      </c>
      <c r="BT13" s="76">
        <f>IFERROR(IF(AND(up_Irr!U13&lt;&gt;".",up_Irr!AS13&lt;&gt;".",up_Irr!BQ13&lt;&gt;"."),up_dir!AU13/((1/1000)*(up_Irr!U13+up_Irr!AS13+up_Irr!BQ13)),IF(AND(up_Irr!U13&lt;&gt;".",up_Irr!AS13&lt;&gt;".",up_Irr!BQ13="."),up_dir!AU13/((1/1000)*(up_Irr!U13+up_Irr!AS13)),IF(AND(up_Irr!U13&lt;&gt;".",up_Irr!AS13=".",up_Irr!BQ13&lt;&gt;"."),up_dir!AU13/((1/1000)*(up_Irr!U13+up_Irr!BQ13)),IF(AND(up_Irr!U13=".",up_Irr!AS13&lt;&gt;".",up_Irr!BQ13&lt;&gt;"."),up_dir!AU13/((1/1000)*(up_Irr!AS13+up_Irr!BQ13)),IF(AND(up_Irr!U13=".",up_Irr!AS13=".",up_Irr!BQ13&lt;&gt;"."),up_dir!AU13/((1/1000)*(up_Irr!BQ13)),IF(AND(up_Irr!U13=".",up_Irr!AS13&lt;&gt;".",up_Irr!BQ13="."),up_dir!AU13/((1/1000)*(up_Irr!AS13)),IF(AND(up_Irr!U13&lt;&gt;".",up_Irr!AS13=".",up_Irr!BQ13="."),up_dir!AU13/((1/1000)*(up_Irr!U13)),IF(AND(up_Irr!U13=".",up_Irr!AS13=".",up_Irr!BQ13="."),up_dir!AU13*1000)))))))),".")</f>
        <v>7.2351016258567334E-11</v>
      </c>
      <c r="BU13" s="76">
        <f>IFERROR(IF(AND(up_Irr!V13&lt;&gt;".",up_Irr!AT13&lt;&gt;".",up_Irr!BR13&lt;&gt;"."),up_dir!AV13/((1/1000)*(up_Irr!V13+up_Irr!AT13+up_Irr!BR13)),IF(AND(up_Irr!V13&lt;&gt;".",up_Irr!AT13&lt;&gt;".",up_Irr!BR13="."),up_dir!AV13/((1/1000)*(up_Irr!V13+up_Irr!AT13)),IF(AND(up_Irr!V13&lt;&gt;".",up_Irr!AT13=".",up_Irr!BR13&lt;&gt;"."),up_dir!AV13/((1/1000)*(up_Irr!V13+up_Irr!BR13)),IF(AND(up_Irr!V13=".",up_Irr!AT13&lt;&gt;".",up_Irr!BR13&lt;&gt;"."),up_dir!AV13/((1/1000)*(up_Irr!AT13+up_Irr!BR13)),IF(AND(up_Irr!V13=".",up_Irr!AT13=".",up_Irr!BR13&lt;&gt;"."),up_dir!AV13/((1/1000)*(up_Irr!BR13)),IF(AND(up_Irr!V13=".",up_Irr!AT13&lt;&gt;".",up_Irr!BR13="."),up_dir!AV13/((1/1000)*(up_Irr!AT13)),IF(AND(up_Irr!V13&lt;&gt;".",up_Irr!AT13=".",up_Irr!BR13="."),up_dir!AV13/((1/1000)*(up_Irr!V13)),IF(AND(up_Irr!V13=".",up_Irr!AT13=".",up_Irr!BR13="."),up_dir!AV13*1000)))))))),".")</f>
        <v>7.2351016258567334E-11</v>
      </c>
      <c r="BV13" s="76">
        <f>IFERROR(IF(AND(up_Irr!W13&lt;&gt;".",up_Irr!AU13&lt;&gt;".",up_Irr!BS13&lt;&gt;"."),up_dir!AW13/((1/1000)*(up_Irr!W13+up_Irr!AU13+up_Irr!BS13)),IF(AND(up_Irr!W13&lt;&gt;".",up_Irr!AU13&lt;&gt;".",up_Irr!BS13="."),up_dir!AW13/((1/1000)*(up_Irr!W13+up_Irr!AU13)),IF(AND(up_Irr!W13&lt;&gt;".",up_Irr!AU13=".",up_Irr!BS13&lt;&gt;"."),up_dir!AW13/((1/1000)*(up_Irr!W13+up_Irr!BS13)),IF(AND(up_Irr!W13=".",up_Irr!AU13&lt;&gt;".",up_Irr!BS13&lt;&gt;"."),up_dir!AW13/((1/1000)*(up_Irr!AU13+up_Irr!BS13)),IF(AND(up_Irr!W13=".",up_Irr!AU13=".",up_Irr!BS13&lt;&gt;"."),up_dir!AW13/((1/1000)*(up_Irr!BS13)),IF(AND(up_Irr!W13=".",up_Irr!AU13&lt;&gt;".",up_Irr!BS13="."),up_dir!AW13/((1/1000)*(up_Irr!AU13)),IF(AND(up_Irr!W13&lt;&gt;".",up_Irr!AU13=".",up_Irr!BS13="."),up_dir!AW13/((1/1000)*(up_Irr!W13)),IF(AND(up_Irr!W13=".",up_Irr!AU13=".",up_Irr!BS13="."),up_dir!AW13*1000)))))))),".")</f>
        <v>7.2351016258567334E-11</v>
      </c>
      <c r="BW13" s="76">
        <f>IFERROR(IF(AND(up_Irr!X13&lt;&gt;".",up_Irr!AV13&lt;&gt;".",up_Irr!BT13&lt;&gt;"."),up_dir!AX13/((1/1000)*(up_Irr!X13+up_Irr!AV13+up_Irr!BT13)),IF(AND(up_Irr!X13&lt;&gt;".",up_Irr!AV13&lt;&gt;".",up_Irr!BT13="."),up_dir!AX13/((1/1000)*(up_Irr!X13+up_Irr!AV13)),IF(AND(up_Irr!X13&lt;&gt;".",up_Irr!AV13=".",up_Irr!BT13&lt;&gt;"."),up_dir!AX13/((1/1000)*(up_Irr!X13+up_Irr!BT13)),IF(AND(up_Irr!X13=".",up_Irr!AV13&lt;&gt;".",up_Irr!BT13&lt;&gt;"."),up_dir!AX13/((1/1000)*(up_Irr!AV13+up_Irr!BT13)),IF(AND(up_Irr!X13=".",up_Irr!AV13=".",up_Irr!BT13&lt;&gt;"."),up_dir!AX13/((1/1000)*(up_Irr!BT13)),IF(AND(up_Irr!X13=".",up_Irr!AV13&lt;&gt;".",up_Irr!BT13="."),up_dir!AX13/((1/1000)*(up_Irr!AV13)),IF(AND(up_Irr!X13&lt;&gt;".",up_Irr!AV13=".",up_Irr!BT13="."),up_dir!AX13/((1/1000)*(up_Irr!X13)),IF(AND(up_Irr!X13=".",up_Irr!AV13=".",up_Irr!BT13="."),up_dir!AX13*1000)))))))),".")</f>
        <v>7.2351016258567334E-11</v>
      </c>
      <c r="BX13" s="76">
        <f>IFERROR(IF(AND(up_Irr!Y13&lt;&gt;".",up_Irr!AW13&lt;&gt;".",up_Irr!BU13&lt;&gt;"."),up_dir!AY13/((1/1000)*(up_Irr!Y13+up_Irr!AW13+up_Irr!BU13)),IF(AND(up_Irr!Y13&lt;&gt;".",up_Irr!AW13&lt;&gt;".",up_Irr!BU13="."),up_dir!AY13/((1/1000)*(up_Irr!Y13+up_Irr!AW13)),IF(AND(up_Irr!Y13&lt;&gt;".",up_Irr!AW13=".",up_Irr!BU13&lt;&gt;"."),up_dir!AY13/((1/1000)*(up_Irr!Y13+up_Irr!BU13)),IF(AND(up_Irr!Y13=".",up_Irr!AW13&lt;&gt;".",up_Irr!BU13&lt;&gt;"."),up_dir!AY13/((1/1000)*(up_Irr!AW13+up_Irr!BU13)),IF(AND(up_Irr!Y13=".",up_Irr!AW13=".",up_Irr!BU13&lt;&gt;"."),up_dir!AY13/((1/1000)*(up_Irr!BU13)),IF(AND(up_Irr!Y13=".",up_Irr!AW13&lt;&gt;".",up_Irr!BU13="."),up_dir!AY13/((1/1000)*(up_Irr!AW13)),IF(AND(up_Irr!Y13&lt;&gt;".",up_Irr!AW13=".",up_Irr!BU13="."),up_dir!AY13/((1/1000)*(up_Irr!Y13)),IF(AND(up_Irr!Y13=".",up_Irr!AW13=".",up_Irr!BU13="."),up_dir!AY13*1000)))))))),".")</f>
        <v>7.2351016258567334E-11</v>
      </c>
      <c r="BY13" s="76">
        <f>IFERROR(IF(AND(up_Irr!Z13&lt;&gt;".",up_Irr!AX13&lt;&gt;".",up_Irr!BV13&lt;&gt;"."),up_dir!AZ13/((1/1000)*(up_Irr!Z13+up_Irr!AX13+up_Irr!BV13)),IF(AND(up_Irr!Z13&lt;&gt;".",up_Irr!AX13&lt;&gt;".",up_Irr!BV13="."),up_dir!AZ13/((1/1000)*(up_Irr!Z13+up_Irr!AX13)),IF(AND(up_Irr!Z13&lt;&gt;".",up_Irr!AX13=".",up_Irr!BV13&lt;&gt;"."),up_dir!AZ13/((1/1000)*(up_Irr!Z13+up_Irr!BV13)),IF(AND(up_Irr!Z13=".",up_Irr!AX13&lt;&gt;".",up_Irr!BV13&lt;&gt;"."),up_dir!AZ13/((1/1000)*(up_Irr!AX13+up_Irr!BV13)),IF(AND(up_Irr!Z13=".",up_Irr!AX13=".",up_Irr!BV13&lt;&gt;"."),up_dir!AZ13/((1/1000)*(up_Irr!BV13)),IF(AND(up_Irr!Z13=".",up_Irr!AX13&lt;&gt;".",up_Irr!BV13="."),up_dir!AZ13/((1/1000)*(up_Irr!AX13)),IF(AND(up_Irr!Z13&lt;&gt;".",up_Irr!AX13=".",up_Irr!BV13="."),up_dir!AZ13/((1/1000)*(up_Irr!Z13)),IF(AND(up_Irr!Z13=".",up_Irr!AX13=".",up_Irr!BV13="."),up_dir!AZ13*1000)))))))),".")</f>
        <v>7.2351016258567334E-11</v>
      </c>
      <c r="BZ13" s="93">
        <f>SUM(CA13:CB13,CW13:CX13)</f>
        <v>55286.023705663516</v>
      </c>
      <c r="CA13" s="93">
        <f>IFERROR(s_C*s_IFAP_far_adj*s_CF_apple*(1/1000)*(up_Irr!C13+up_Irr!AA13+up_Irr!AY13),".")</f>
        <v>13821.505926415879</v>
      </c>
      <c r="CB13" s="93">
        <f>IFERROR(s_C*s_IFAS_far_adj*s_CF_asparagus*(1/1000)*(up_Irr!D13+up_Irr!AB13+up_Irr!AZ13),".")</f>
        <v>13821.505926415879</v>
      </c>
      <c r="CC13" s="93">
        <f>IFERROR(s_C*s_IFBT_far_adj*s_CF_beet*(1/1000)*(up_Irr!E13+up_Irr!AC13+up_Irr!BA13),".")</f>
        <v>13821.505926415879</v>
      </c>
      <c r="CD13" s="93">
        <f>IFERROR(s_C*s_IFBE_far_adj*s_CF_berries*(1/1000)*(up_Irr!F13+up_Irr!AD13+up_Irr!BB13),".")</f>
        <v>13821.505926415879</v>
      </c>
      <c r="CE13" s="93">
        <f>IFERROR(s_C*s_IFBR_far_adj*s_CF_broccoli*(1/1000)*(up_Irr!G13+up_Irr!AE13+up_Irr!BC13),".")</f>
        <v>13821.505926415879</v>
      </c>
      <c r="CF13" s="93">
        <f>IFERROR(s_C*s_IFCB_far_adj*s_CF_cabbage*(1/1000)*(up_Irr!H13+up_Irr!AF13+up_Irr!BD13),".")</f>
        <v>13821.505926415879</v>
      </c>
      <c r="CG13" s="93">
        <f>IFERROR(s_C*s_IFCR_far_adj*s_CF_carrot*(1/1000)*(up_Irr!I13+up_Irr!AG13+up_Irr!BE13),".")</f>
        <v>13821.505926415879</v>
      </c>
      <c r="CH13" s="93">
        <f>IFERROR(s_C*s_IFCI_far_adj*s_CF_citrus*(1/1000)*(up_Irr!J13+up_Irr!AH13+up_Irr!BF13),".")</f>
        <v>13821.505926415879</v>
      </c>
      <c r="CI13" s="93">
        <f>IFERROR(s_C*s_IFCO_far_adj*s_CF_corn*(1/1000)*(up_Irr!K13+up_Irr!AI13+up_Irr!BG13),".")</f>
        <v>13821.505926415879</v>
      </c>
      <c r="CJ13" s="93">
        <f>IFERROR(s_C*s_IFCU_far_adj*s_CF_cucumber*(1/1000)*(up_Irr!L13+up_Irr!AJ13+up_Irr!BH13),".")</f>
        <v>13821.505926415879</v>
      </c>
      <c r="CK13" s="93">
        <f>IFERROR(s_C*s_IFLE_far_adj*s_CF_lettuce*(1/1000)*(up_Irr!M13+up_Irr!AK13+up_Irr!BI13),".")</f>
        <v>13821.505926415879</v>
      </c>
      <c r="CL13" s="93">
        <f>IFERROR(s_C*s_IFLI_far_adj*s_CF_lima_bean*(1/1000)*(up_Irr!N13+up_Irr!AL13+up_Irr!BJ13),".")</f>
        <v>13821.505926415879</v>
      </c>
      <c r="CM13" s="93">
        <f>IFERROR(s_C*s_IFOK_far_adj*s_CF_okra*(1/1000)*(up_Irr!O13+up_Irr!AM13+up_Irr!BK13),".")</f>
        <v>13821.505926415879</v>
      </c>
      <c r="CN13" s="93">
        <f>IFERROR(s_C*s_IFON_far_adj*s_CF_onion*(1/1000)*(up_Irr!P13+up_Irr!AN13+up_Irr!BL13),".")</f>
        <v>13821.505926415879</v>
      </c>
      <c r="CO13" s="93">
        <f>IFERROR(s_C*s_IFPC_far_adj*s_CF_peach*(1/1000)*(up_Irr!Q13+up_Irr!AO13+up_Irr!BM13),".")</f>
        <v>13821.505926415879</v>
      </c>
      <c r="CP13" s="93">
        <f>IFERROR(s_C*s_IFPR_far_adj*s_CF_pear*(1/1000)*(up_Irr!R13+up_Irr!AP13+up_Irr!BN13),".")</f>
        <v>13821.505926415879</v>
      </c>
      <c r="CQ13" s="93">
        <f>IFERROR(s_C*s_IFPE_far_adj*s_CF_peas*(1/1000)*(up_Irr!S13+up_Irr!AQ13+up_Irr!BO13),".")</f>
        <v>13821.505926415879</v>
      </c>
      <c r="CR13" s="93">
        <f>IFERROR(s_C*s_IFPT_far_adj*s_CF_potato*(1/1000)*(up_Irr!T13+up_Irr!AR13+up_Irr!BP13),".")</f>
        <v>13821.505926415879</v>
      </c>
      <c r="CS13" s="93">
        <f>IFERROR(s_C*s_IFPU_far_adj*s_CF_pumpkin*(1/1000)*(up_Irr!U13+up_Irr!AS13+up_Irr!BQ13),".")</f>
        <v>13821.505926415879</v>
      </c>
      <c r="CT13" s="93">
        <f>IFERROR(s_C*s_IFSN_far_adj*s_CF_snap_bean*(1/1000)*(up_Irr!V13+up_Irr!AT13+up_Irr!BR13),".")</f>
        <v>13821.505926415879</v>
      </c>
      <c r="CU13" s="93">
        <f>IFERROR(s_C*s_IFST_far_adj*s_CF_strawberry*(1/1000)*(up_Irr!W13+up_Irr!AU13+up_Irr!BS13),".")</f>
        <v>13821.505926415879</v>
      </c>
      <c r="CV13" s="93">
        <f>IFERROR(s_C*s_IFTO_far_adj*s_CF_tomato*(1/1000)*(up_Irr!X13+up_Irr!AV13+up_Irr!BT13),".")</f>
        <v>13821.505926415879</v>
      </c>
      <c r="CW13" s="93">
        <f>IFERROR(s_C*s_IFRI_far_adj*s_CF_rice*(1/1000)*(up_Irr!Y13+up_Irr!AW13+up_Irr!BU13),".")</f>
        <v>13821.505926415879</v>
      </c>
      <c r="CX13" s="93">
        <f>IFERROR(s_C*s_IFCG_far_adj*s_CF_cereal*(1/1000)*(up_Irr!Z13+up_Irr!AX13+up_Irr!BV13),".")</f>
        <v>13821.505926415879</v>
      </c>
    </row>
    <row r="14" spans="1:102" ht="15" customHeight="1" x14ac:dyDescent="0.25">
      <c r="A14" s="92" t="s">
        <v>24</v>
      </c>
      <c r="B14" s="90" t="s">
        <v>1074</v>
      </c>
      <c r="C14" s="76">
        <f t="shared" si="0"/>
        <v>1.8087754064641833E-11</v>
      </c>
      <c r="D14" s="76">
        <f>IFERROR(IF(AND(up_Irr!C14&lt;&gt;".",up_Irr!AA14&lt;&gt;".",up_Irr!AY14&lt;&gt;"."),up_dir!D14/((1/1000)*(up_Irr!C14+up_Irr!AA14+up_Irr!AY14)),IF(AND(up_Irr!C14&lt;&gt;".",up_Irr!AA14&lt;&gt;".",up_Irr!AY14="."),up_dir!D14/((1/1000)*(up_Irr!C14+up_Irr!AA14)),IF(AND(up_Irr!C14&lt;&gt;".",up_Irr!AA14=".",up_Irr!AY14&lt;&gt;"."),up_dir!D14/((1/1000)*(up_Irr!C14+up_Irr!AY14)),IF(AND(up_Irr!C14=".",up_Irr!AA14&lt;&gt;".",up_Irr!AY14&lt;&gt;"."),up_dir!D14/((1/1000)*(up_Irr!AA14+up_Irr!AY14)),IF(AND(up_Irr!C14=".",up_Irr!AA14=".",up_Irr!AY14&lt;&gt;"."),up_dir!D14/((1/1000)*(up_Irr!AY14)),IF(AND(up_Irr!C14=".",up_Irr!AA14&lt;&gt;".",up_Irr!AY14="."),up_dir!D14/((1/1000)*(up_Irr!AA14)),IF(AND(up_Irr!C14&lt;&gt;".",up_Irr!AA14=".",up_Irr!AY14="."),up_dir!D14/((1/1000)*(up_Irr!C14)),IF(AND(up_Irr!C14=".",up_Irr!AA14=".",up_Irr!AY14="."),up_dir!D14*1000)))))))),".")</f>
        <v>7.2351016258567334E-11</v>
      </c>
      <c r="E14" s="76">
        <f>IFERROR(IF(AND(up_Irr!D14&lt;&gt;".",up_Irr!AB14&lt;&gt;".",up_Irr!AZ14&lt;&gt;"."),up_dir!E14/((1/1000)*(up_Irr!D14+up_Irr!AB14+up_Irr!AZ14)),IF(AND(up_Irr!D14&lt;&gt;".",up_Irr!AB14&lt;&gt;".",up_Irr!AZ14="."),up_dir!E14/((1/1000)*(up_Irr!D14+up_Irr!AB14)),IF(AND(up_Irr!D14&lt;&gt;".",up_Irr!AB14=".",up_Irr!AZ14&lt;&gt;"."),up_dir!E14/((1/1000)*(up_Irr!D14+up_Irr!AZ14)),IF(AND(up_Irr!D14=".",up_Irr!AB14&lt;&gt;".",up_Irr!AZ14&lt;&gt;"."),up_dir!E14/((1/1000)*(up_Irr!AB14+up_Irr!AZ14)),IF(AND(up_Irr!D14=".",up_Irr!AB14=".",up_Irr!AZ14&lt;&gt;"."),up_dir!E14/((1/1000)*(up_Irr!AZ14)),IF(AND(up_Irr!D14=".",up_Irr!AB14&lt;&gt;".",up_Irr!AZ14="."),up_dir!E14/((1/1000)*(up_Irr!AB14)),IF(AND(up_Irr!D14&lt;&gt;".",up_Irr!AB14=".",up_Irr!AZ14="."),up_dir!E14/((1/1000)*(up_Irr!D14)),IF(AND(up_Irr!D14=".",up_Irr!AB14=".",up_Irr!AZ14="."),up_dir!E14*1000)))))))),".")</f>
        <v>7.2351016258567334E-11</v>
      </c>
      <c r="F14" s="76">
        <f>IFERROR(IF(AND(up_Irr!E14&lt;&gt;".",up_Irr!AC14&lt;&gt;".",up_Irr!BA14&lt;&gt;"."),up_dir!F14/((1/1000)*(up_Irr!E14+up_Irr!AC14+up_Irr!BA14)),IF(AND(up_Irr!E14&lt;&gt;".",up_Irr!AC14&lt;&gt;".",up_Irr!BA14="."),up_dir!F14/((1/1000)*(up_Irr!E14+up_Irr!AC14)),IF(AND(up_Irr!E14&lt;&gt;".",up_Irr!AC14=".",up_Irr!BA14&lt;&gt;"."),up_dir!F14/((1/1000)*(up_Irr!E14+up_Irr!BA14)),IF(AND(up_Irr!E14=".",up_Irr!AC14&lt;&gt;".",up_Irr!BA14&lt;&gt;"."),up_dir!F14/((1/1000)*(up_Irr!AC14+up_Irr!BA14)),IF(AND(up_Irr!E14=".",up_Irr!AC14=".",up_Irr!BA14&lt;&gt;"."),up_dir!F14/((1/1000)*(up_Irr!BA14)),IF(AND(up_Irr!E14=".",up_Irr!AC14&lt;&gt;".",up_Irr!BA14="."),up_dir!F14/((1/1000)*(up_Irr!AC14)),IF(AND(up_Irr!E14&lt;&gt;".",up_Irr!AC14=".",up_Irr!BA14="."),up_dir!F14/((1/1000)*(up_Irr!E14)),IF(AND(up_Irr!E14=".",up_Irr!AC14=".",up_Irr!BA14="."),up_dir!F14*1000)))))))),".")</f>
        <v>7.2351016258567334E-11</v>
      </c>
      <c r="G14" s="76">
        <f>IFERROR(IF(AND(up_Irr!F14&lt;&gt;".",up_Irr!AD14&lt;&gt;".",up_Irr!BB14&lt;&gt;"."),up_dir!G14/((1/1000)*(up_Irr!F14+up_Irr!AD14+up_Irr!BB14)),IF(AND(up_Irr!F14&lt;&gt;".",up_Irr!AD14&lt;&gt;".",up_Irr!BB14="."),up_dir!G14/((1/1000)*(up_Irr!F14+up_Irr!AD14)),IF(AND(up_Irr!F14&lt;&gt;".",up_Irr!AD14=".",up_Irr!BB14&lt;&gt;"."),up_dir!G14/((1/1000)*(up_Irr!F14+up_Irr!BB14)),IF(AND(up_Irr!F14=".",up_Irr!AD14&lt;&gt;".",up_Irr!BB14&lt;&gt;"."),up_dir!G14/((1/1000)*(up_Irr!AD14+up_Irr!BB14)),IF(AND(up_Irr!F14=".",up_Irr!AD14=".",up_Irr!BB14&lt;&gt;"."),up_dir!G14/((1/1000)*(up_Irr!BB14)),IF(AND(up_Irr!F14=".",up_Irr!AD14&lt;&gt;".",up_Irr!BB14="."),up_dir!G14/((1/1000)*(up_Irr!AD14)),IF(AND(up_Irr!F14&lt;&gt;".",up_Irr!AD14=".",up_Irr!BB14="."),up_dir!G14/((1/1000)*(up_Irr!F14)),IF(AND(up_Irr!F14=".",up_Irr!AD14=".",up_Irr!BB14="."),up_dir!G14*1000)))))))),".")</f>
        <v>7.2351016258567334E-11</v>
      </c>
      <c r="H14" s="76">
        <f>IFERROR(IF(AND(up_Irr!G14&lt;&gt;".",up_Irr!AE14&lt;&gt;".",up_Irr!BC14&lt;&gt;"."),up_dir!H14/((1/1000)*(up_Irr!G14+up_Irr!AE14+up_Irr!BC14)),IF(AND(up_Irr!G14&lt;&gt;".",up_Irr!AE14&lt;&gt;".",up_Irr!BC14="."),up_dir!H14/((1/1000)*(up_Irr!G14+up_Irr!AE14)),IF(AND(up_Irr!G14&lt;&gt;".",up_Irr!AE14=".",up_Irr!BC14&lt;&gt;"."),up_dir!H14/((1/1000)*(up_Irr!G14+up_Irr!BC14)),IF(AND(up_Irr!G14=".",up_Irr!AE14&lt;&gt;".",up_Irr!BC14&lt;&gt;"."),up_dir!H14/((1/1000)*(up_Irr!AE14+up_Irr!BC14)),IF(AND(up_Irr!G14=".",up_Irr!AE14=".",up_Irr!BC14&lt;&gt;"."),up_dir!H14/((1/1000)*(up_Irr!BC14)),IF(AND(up_Irr!G14=".",up_Irr!AE14&lt;&gt;".",up_Irr!BC14="."),up_dir!H14/((1/1000)*(up_Irr!AE14)),IF(AND(up_Irr!G14&lt;&gt;".",up_Irr!AE14=".",up_Irr!BC14="."),up_dir!H14/((1/1000)*(up_Irr!G14)),IF(AND(up_Irr!G14=".",up_Irr!AE14=".",up_Irr!BC14="."),up_dir!H14*1000)))))))),".")</f>
        <v>7.2351016258567334E-11</v>
      </c>
      <c r="I14" s="76">
        <f>IFERROR(IF(AND(up_Irr!H14&lt;&gt;".",up_Irr!AF14&lt;&gt;".",up_Irr!BD14&lt;&gt;"."),up_dir!I14/((1/1000)*(up_Irr!H14+up_Irr!AF14+up_Irr!BD14)),IF(AND(up_Irr!H14&lt;&gt;".",up_Irr!AF14&lt;&gt;".",up_Irr!BD14="."),up_dir!I14/((1/1000)*(up_Irr!H14+up_Irr!AF14)),IF(AND(up_Irr!H14&lt;&gt;".",up_Irr!AF14=".",up_Irr!BD14&lt;&gt;"."),up_dir!I14/((1/1000)*(up_Irr!H14+up_Irr!BD14)),IF(AND(up_Irr!H14=".",up_Irr!AF14&lt;&gt;".",up_Irr!BD14&lt;&gt;"."),up_dir!I14/((1/1000)*(up_Irr!AF14+up_Irr!BD14)),IF(AND(up_Irr!H14=".",up_Irr!AF14=".",up_Irr!BD14&lt;&gt;"."),up_dir!I14/((1/1000)*(up_Irr!BD14)),IF(AND(up_Irr!H14=".",up_Irr!AF14&lt;&gt;".",up_Irr!BD14="."),up_dir!I14/((1/1000)*(up_Irr!AF14)),IF(AND(up_Irr!H14&lt;&gt;".",up_Irr!AF14=".",up_Irr!BD14="."),up_dir!I14/((1/1000)*(up_Irr!H14)),IF(AND(up_Irr!H14=".",up_Irr!AF14=".",up_Irr!BD14="."),up_dir!I14*1000)))))))),".")</f>
        <v>7.2351016258567334E-11</v>
      </c>
      <c r="J14" s="76">
        <f>IFERROR(IF(AND(up_Irr!I14&lt;&gt;".",up_Irr!AG14&lt;&gt;".",up_Irr!BE14&lt;&gt;"."),up_dir!J14/((1/1000)*(up_Irr!I14+up_Irr!AG14+up_Irr!BE14)),IF(AND(up_Irr!I14&lt;&gt;".",up_Irr!AG14&lt;&gt;".",up_Irr!BE14="."),up_dir!J14/((1/1000)*(up_Irr!I14+up_Irr!AG14)),IF(AND(up_Irr!I14&lt;&gt;".",up_Irr!AG14=".",up_Irr!BE14&lt;&gt;"."),up_dir!J14/((1/1000)*(up_Irr!I14+up_Irr!BE14)),IF(AND(up_Irr!I14=".",up_Irr!AG14&lt;&gt;".",up_Irr!BE14&lt;&gt;"."),up_dir!J14/((1/1000)*(up_Irr!AG14+up_Irr!BE14)),IF(AND(up_Irr!I14=".",up_Irr!AG14=".",up_Irr!BE14&lt;&gt;"."),up_dir!J14/((1/1000)*(up_Irr!BE14)),IF(AND(up_Irr!I14=".",up_Irr!AG14&lt;&gt;".",up_Irr!BE14="."),up_dir!J14/((1/1000)*(up_Irr!AG14)),IF(AND(up_Irr!I14&lt;&gt;".",up_Irr!AG14=".",up_Irr!BE14="."),up_dir!J14/((1/1000)*(up_Irr!I14)),IF(AND(up_Irr!I14=".",up_Irr!AG14=".",up_Irr!BE14="."),up_dir!J14*1000)))))))),".")</f>
        <v>7.2351016258567334E-11</v>
      </c>
      <c r="K14" s="76">
        <f>IFERROR(IF(AND(up_Irr!J14&lt;&gt;".",up_Irr!AH14&lt;&gt;".",up_Irr!BF14&lt;&gt;"."),up_dir!K14/((1/1000)*(up_Irr!J14+up_Irr!AH14+up_Irr!BF14)),IF(AND(up_Irr!J14&lt;&gt;".",up_Irr!AH14&lt;&gt;".",up_Irr!BF14="."),up_dir!K14/((1/1000)*(up_Irr!J14+up_Irr!AH14)),IF(AND(up_Irr!J14&lt;&gt;".",up_Irr!AH14=".",up_Irr!BF14&lt;&gt;"."),up_dir!K14/((1/1000)*(up_Irr!J14+up_Irr!BF14)),IF(AND(up_Irr!J14=".",up_Irr!AH14&lt;&gt;".",up_Irr!BF14&lt;&gt;"."),up_dir!K14/((1/1000)*(up_Irr!AH14+up_Irr!BF14)),IF(AND(up_Irr!J14=".",up_Irr!AH14=".",up_Irr!BF14&lt;&gt;"."),up_dir!K14/((1/1000)*(up_Irr!BF14)),IF(AND(up_Irr!J14=".",up_Irr!AH14&lt;&gt;".",up_Irr!BF14="."),up_dir!K14/((1/1000)*(up_Irr!AH14)),IF(AND(up_Irr!J14&lt;&gt;".",up_Irr!AH14=".",up_Irr!BF14="."),up_dir!K14/((1/1000)*(up_Irr!J14)),IF(AND(up_Irr!J14=".",up_Irr!AH14=".",up_Irr!BF14="."),up_dir!K14*1000)))))))),".")</f>
        <v>7.2351016258567334E-11</v>
      </c>
      <c r="L14" s="76">
        <f>IFERROR(IF(AND(up_Irr!K14&lt;&gt;".",up_Irr!AI14&lt;&gt;".",up_Irr!BG14&lt;&gt;"."),up_dir!L14/((1/1000)*(up_Irr!K14+up_Irr!AI14+up_Irr!BG14)),IF(AND(up_Irr!K14&lt;&gt;".",up_Irr!AI14&lt;&gt;".",up_Irr!BG14="."),up_dir!L14/((1/1000)*(up_Irr!K14+up_Irr!AI14)),IF(AND(up_Irr!K14&lt;&gt;".",up_Irr!AI14=".",up_Irr!BG14&lt;&gt;"."),up_dir!L14/((1/1000)*(up_Irr!K14+up_Irr!BG14)),IF(AND(up_Irr!K14=".",up_Irr!AI14&lt;&gt;".",up_Irr!BG14&lt;&gt;"."),up_dir!L14/((1/1000)*(up_Irr!AI14+up_Irr!BG14)),IF(AND(up_Irr!K14=".",up_Irr!AI14=".",up_Irr!BG14&lt;&gt;"."),up_dir!L14/((1/1000)*(up_Irr!BG14)),IF(AND(up_Irr!K14=".",up_Irr!AI14&lt;&gt;".",up_Irr!BG14="."),up_dir!L14/((1/1000)*(up_Irr!AI14)),IF(AND(up_Irr!K14&lt;&gt;".",up_Irr!AI14=".",up_Irr!BG14="."),up_dir!L14/((1/1000)*(up_Irr!K14)),IF(AND(up_Irr!K14=".",up_Irr!AI14=".",up_Irr!BG14="."),up_dir!L14*1000)))))))),".")</f>
        <v>7.2351016258567334E-11</v>
      </c>
      <c r="M14" s="76">
        <f>IFERROR(IF(AND(up_Irr!L14&lt;&gt;".",up_Irr!AJ14&lt;&gt;".",up_Irr!BH14&lt;&gt;"."),up_dir!M14/((1/1000)*(up_Irr!L14+up_Irr!AJ14+up_Irr!BH14)),IF(AND(up_Irr!L14&lt;&gt;".",up_Irr!AJ14&lt;&gt;".",up_Irr!BH14="."),up_dir!M14/((1/1000)*(up_Irr!L14+up_Irr!AJ14)),IF(AND(up_Irr!L14&lt;&gt;".",up_Irr!AJ14=".",up_Irr!BH14&lt;&gt;"."),up_dir!M14/((1/1000)*(up_Irr!L14+up_Irr!BH14)),IF(AND(up_Irr!L14=".",up_Irr!AJ14&lt;&gt;".",up_Irr!BH14&lt;&gt;"."),up_dir!M14/((1/1000)*(up_Irr!AJ14+up_Irr!BH14)),IF(AND(up_Irr!L14=".",up_Irr!AJ14=".",up_Irr!BH14&lt;&gt;"."),up_dir!M14/((1/1000)*(up_Irr!BH14)),IF(AND(up_Irr!L14=".",up_Irr!AJ14&lt;&gt;".",up_Irr!BH14="."),up_dir!M14/((1/1000)*(up_Irr!AJ14)),IF(AND(up_Irr!L14&lt;&gt;".",up_Irr!AJ14=".",up_Irr!BH14="."),up_dir!M14/((1/1000)*(up_Irr!L14)),IF(AND(up_Irr!L14=".",up_Irr!AJ14=".",up_Irr!BH14="."),up_dir!M14*1000)))))))),".")</f>
        <v>7.2351016258567334E-11</v>
      </c>
      <c r="N14" s="76">
        <f>IFERROR(IF(AND(up_Irr!M14&lt;&gt;".",up_Irr!AK14&lt;&gt;".",up_Irr!BI14&lt;&gt;"."),up_dir!N14/((1/1000)*(up_Irr!M14+up_Irr!AK14+up_Irr!BI14)),IF(AND(up_Irr!M14&lt;&gt;".",up_Irr!AK14&lt;&gt;".",up_Irr!BI14="."),up_dir!N14/((1/1000)*(up_Irr!M14+up_Irr!AK14)),IF(AND(up_Irr!M14&lt;&gt;".",up_Irr!AK14=".",up_Irr!BI14&lt;&gt;"."),up_dir!N14/((1/1000)*(up_Irr!M14+up_Irr!BI14)),IF(AND(up_Irr!M14=".",up_Irr!AK14&lt;&gt;".",up_Irr!BI14&lt;&gt;"."),up_dir!N14/((1/1000)*(up_Irr!AK14+up_Irr!BI14)),IF(AND(up_Irr!M14=".",up_Irr!AK14=".",up_Irr!BI14&lt;&gt;"."),up_dir!N14/((1/1000)*(up_Irr!BI14)),IF(AND(up_Irr!M14=".",up_Irr!AK14&lt;&gt;".",up_Irr!BI14="."),up_dir!N14/((1/1000)*(up_Irr!AK14)),IF(AND(up_Irr!M14&lt;&gt;".",up_Irr!AK14=".",up_Irr!BI14="."),up_dir!N14/((1/1000)*(up_Irr!M14)),IF(AND(up_Irr!M14=".",up_Irr!AK14=".",up_Irr!BI14="."),up_dir!N14*1000)))))))),".")</f>
        <v>7.2351016258567334E-11</v>
      </c>
      <c r="O14" s="76">
        <f>IFERROR(IF(AND(up_Irr!N14&lt;&gt;".",up_Irr!AL14&lt;&gt;".",up_Irr!BJ14&lt;&gt;"."),up_dir!O14/((1/1000)*(up_Irr!N14+up_Irr!AL14+up_Irr!BJ14)),IF(AND(up_Irr!N14&lt;&gt;".",up_Irr!AL14&lt;&gt;".",up_Irr!BJ14="."),up_dir!O14/((1/1000)*(up_Irr!N14+up_Irr!AL14)),IF(AND(up_Irr!N14&lt;&gt;".",up_Irr!AL14=".",up_Irr!BJ14&lt;&gt;"."),up_dir!O14/((1/1000)*(up_Irr!N14+up_Irr!BJ14)),IF(AND(up_Irr!N14=".",up_Irr!AL14&lt;&gt;".",up_Irr!BJ14&lt;&gt;"."),up_dir!O14/((1/1000)*(up_Irr!AL14+up_Irr!BJ14)),IF(AND(up_Irr!N14=".",up_Irr!AL14=".",up_Irr!BJ14&lt;&gt;"."),up_dir!O14/((1/1000)*(up_Irr!BJ14)),IF(AND(up_Irr!N14=".",up_Irr!AL14&lt;&gt;".",up_Irr!BJ14="."),up_dir!O14/((1/1000)*(up_Irr!AL14)),IF(AND(up_Irr!N14&lt;&gt;".",up_Irr!AL14=".",up_Irr!BJ14="."),up_dir!O14/((1/1000)*(up_Irr!N14)),IF(AND(up_Irr!N14=".",up_Irr!AL14=".",up_Irr!BJ14="."),up_dir!O14*1000)))))))),".")</f>
        <v>7.2351016258567334E-11</v>
      </c>
      <c r="P14" s="76">
        <f>IFERROR(IF(AND(up_Irr!O14&lt;&gt;".",up_Irr!AM14&lt;&gt;".",up_Irr!BK14&lt;&gt;"."),up_dir!P14/((1/1000)*(up_Irr!O14+up_Irr!AM14+up_Irr!BK14)),IF(AND(up_Irr!O14&lt;&gt;".",up_Irr!AM14&lt;&gt;".",up_Irr!BK14="."),up_dir!P14/((1/1000)*(up_Irr!O14+up_Irr!AM14)),IF(AND(up_Irr!O14&lt;&gt;".",up_Irr!AM14=".",up_Irr!BK14&lt;&gt;"."),up_dir!P14/((1/1000)*(up_Irr!O14+up_Irr!BK14)),IF(AND(up_Irr!O14=".",up_Irr!AM14&lt;&gt;".",up_Irr!BK14&lt;&gt;"."),up_dir!P14/((1/1000)*(up_Irr!AM14+up_Irr!BK14)),IF(AND(up_Irr!O14=".",up_Irr!AM14=".",up_Irr!BK14&lt;&gt;"."),up_dir!P14/((1/1000)*(up_Irr!BK14)),IF(AND(up_Irr!O14=".",up_Irr!AM14&lt;&gt;".",up_Irr!BK14="."),up_dir!P14/((1/1000)*(up_Irr!AM14)),IF(AND(up_Irr!O14&lt;&gt;".",up_Irr!AM14=".",up_Irr!BK14="."),up_dir!P14/((1/1000)*(up_Irr!O14)),IF(AND(up_Irr!O14=".",up_Irr!AM14=".",up_Irr!BK14="."),up_dir!P14*1000)))))))),".")</f>
        <v>7.2351016258567334E-11</v>
      </c>
      <c r="Q14" s="76">
        <f>IFERROR(IF(AND(up_Irr!P14&lt;&gt;".",up_Irr!AN14&lt;&gt;".",up_Irr!BL14&lt;&gt;"."),up_dir!Q14/((1/1000)*(up_Irr!P14+up_Irr!AN14+up_Irr!BL14)),IF(AND(up_Irr!P14&lt;&gt;".",up_Irr!AN14&lt;&gt;".",up_Irr!BL14="."),up_dir!Q14/((1/1000)*(up_Irr!P14+up_Irr!AN14)),IF(AND(up_Irr!P14&lt;&gt;".",up_Irr!AN14=".",up_Irr!BL14&lt;&gt;"."),up_dir!Q14/((1/1000)*(up_Irr!P14+up_Irr!BL14)),IF(AND(up_Irr!P14=".",up_Irr!AN14&lt;&gt;".",up_Irr!BL14&lt;&gt;"."),up_dir!Q14/((1/1000)*(up_Irr!AN14+up_Irr!BL14)),IF(AND(up_Irr!P14=".",up_Irr!AN14=".",up_Irr!BL14&lt;&gt;"."),up_dir!Q14/((1/1000)*(up_Irr!BL14)),IF(AND(up_Irr!P14=".",up_Irr!AN14&lt;&gt;".",up_Irr!BL14="."),up_dir!Q14/((1/1000)*(up_Irr!AN14)),IF(AND(up_Irr!P14&lt;&gt;".",up_Irr!AN14=".",up_Irr!BL14="."),up_dir!Q14/((1/1000)*(up_Irr!P14)),IF(AND(up_Irr!P14=".",up_Irr!AN14=".",up_Irr!BL14="."),up_dir!Q14*1000)))))))),".")</f>
        <v>7.2351016258567334E-11</v>
      </c>
      <c r="R14" s="76">
        <f>IFERROR(IF(AND(up_Irr!Q14&lt;&gt;".",up_Irr!AO14&lt;&gt;".",up_Irr!BM14&lt;&gt;"."),up_dir!R14/((1/1000)*(up_Irr!Q14+up_Irr!AO14+up_Irr!BM14)),IF(AND(up_Irr!Q14&lt;&gt;".",up_Irr!AO14&lt;&gt;".",up_Irr!BM14="."),up_dir!R14/((1/1000)*(up_Irr!Q14+up_Irr!AO14)),IF(AND(up_Irr!Q14&lt;&gt;".",up_Irr!AO14=".",up_Irr!BM14&lt;&gt;"."),up_dir!R14/((1/1000)*(up_Irr!Q14+up_Irr!BM14)),IF(AND(up_Irr!Q14=".",up_Irr!AO14&lt;&gt;".",up_Irr!BM14&lt;&gt;"."),up_dir!R14/((1/1000)*(up_Irr!AO14+up_Irr!BM14)),IF(AND(up_Irr!Q14=".",up_Irr!AO14=".",up_Irr!BM14&lt;&gt;"."),up_dir!R14/((1/1000)*(up_Irr!BM14)),IF(AND(up_Irr!Q14=".",up_Irr!AO14&lt;&gt;".",up_Irr!BM14="."),up_dir!R14/((1/1000)*(up_Irr!AO14)),IF(AND(up_Irr!Q14&lt;&gt;".",up_Irr!AO14=".",up_Irr!BM14="."),up_dir!R14/((1/1000)*(up_Irr!Q14)),IF(AND(up_Irr!Q14=".",up_Irr!AO14=".",up_Irr!BM14="."),up_dir!R14*1000)))))))),".")</f>
        <v>7.2351016258567334E-11</v>
      </c>
      <c r="S14" s="76">
        <f>IFERROR(IF(AND(up_Irr!R14&lt;&gt;".",up_Irr!AP14&lt;&gt;".",up_Irr!BN14&lt;&gt;"."),up_dir!S14/((1/1000)*(up_Irr!R14+up_Irr!AP14+up_Irr!BN14)),IF(AND(up_Irr!R14&lt;&gt;".",up_Irr!AP14&lt;&gt;".",up_Irr!BN14="."),up_dir!S14/((1/1000)*(up_Irr!R14+up_Irr!AP14)),IF(AND(up_Irr!R14&lt;&gt;".",up_Irr!AP14=".",up_Irr!BN14&lt;&gt;"."),up_dir!S14/((1/1000)*(up_Irr!R14+up_Irr!BN14)),IF(AND(up_Irr!R14=".",up_Irr!AP14&lt;&gt;".",up_Irr!BN14&lt;&gt;"."),up_dir!S14/((1/1000)*(up_Irr!AP14+up_Irr!BN14)),IF(AND(up_Irr!R14=".",up_Irr!AP14=".",up_Irr!BN14&lt;&gt;"."),up_dir!S14/((1/1000)*(up_Irr!BN14)),IF(AND(up_Irr!R14=".",up_Irr!AP14&lt;&gt;".",up_Irr!BN14="."),up_dir!S14/((1/1000)*(up_Irr!AP14)),IF(AND(up_Irr!R14&lt;&gt;".",up_Irr!AP14=".",up_Irr!BN14="."),up_dir!S14/((1/1000)*(up_Irr!R14)),IF(AND(up_Irr!R14=".",up_Irr!AP14=".",up_Irr!BN14="."),up_dir!S14*1000)))))))),".")</f>
        <v>7.2351016258567334E-11</v>
      </c>
      <c r="T14" s="76">
        <f>IFERROR(IF(AND(up_Irr!S14&lt;&gt;".",up_Irr!AQ14&lt;&gt;".",up_Irr!BO14&lt;&gt;"."),up_dir!T14/((1/1000)*(up_Irr!S14+up_Irr!AQ14+up_Irr!BO14)),IF(AND(up_Irr!S14&lt;&gt;".",up_Irr!AQ14&lt;&gt;".",up_Irr!BO14="."),up_dir!T14/((1/1000)*(up_Irr!S14+up_Irr!AQ14)),IF(AND(up_Irr!S14&lt;&gt;".",up_Irr!AQ14=".",up_Irr!BO14&lt;&gt;"."),up_dir!T14/((1/1000)*(up_Irr!S14+up_Irr!BO14)),IF(AND(up_Irr!S14=".",up_Irr!AQ14&lt;&gt;".",up_Irr!BO14&lt;&gt;"."),up_dir!T14/((1/1000)*(up_Irr!AQ14+up_Irr!BO14)),IF(AND(up_Irr!S14=".",up_Irr!AQ14=".",up_Irr!BO14&lt;&gt;"."),up_dir!T14/((1/1000)*(up_Irr!BO14)),IF(AND(up_Irr!S14=".",up_Irr!AQ14&lt;&gt;".",up_Irr!BO14="."),up_dir!T14/((1/1000)*(up_Irr!AQ14)),IF(AND(up_Irr!S14&lt;&gt;".",up_Irr!AQ14=".",up_Irr!BO14="."),up_dir!T14/((1/1000)*(up_Irr!S14)),IF(AND(up_Irr!S14=".",up_Irr!AQ14=".",up_Irr!BO14="."),up_dir!T14*1000)))))))),".")</f>
        <v>7.2351016258567334E-11</v>
      </c>
      <c r="U14" s="76">
        <f>IFERROR(IF(AND(up_Irr!T14&lt;&gt;".",up_Irr!AR14&lt;&gt;".",up_Irr!BP14&lt;&gt;"."),up_dir!U14/((1/1000)*(up_Irr!T14+up_Irr!AR14+up_Irr!BP14)),IF(AND(up_Irr!T14&lt;&gt;".",up_Irr!AR14&lt;&gt;".",up_Irr!BP14="."),up_dir!U14/((1/1000)*(up_Irr!T14+up_Irr!AR14)),IF(AND(up_Irr!T14&lt;&gt;".",up_Irr!AR14=".",up_Irr!BP14&lt;&gt;"."),up_dir!U14/((1/1000)*(up_Irr!T14+up_Irr!BP14)),IF(AND(up_Irr!T14=".",up_Irr!AR14&lt;&gt;".",up_Irr!BP14&lt;&gt;"."),up_dir!U14/((1/1000)*(up_Irr!AR14+up_Irr!BP14)),IF(AND(up_Irr!T14=".",up_Irr!AR14=".",up_Irr!BP14&lt;&gt;"."),up_dir!U14/((1/1000)*(up_Irr!BP14)),IF(AND(up_Irr!T14=".",up_Irr!AR14&lt;&gt;".",up_Irr!BP14="."),up_dir!U14/((1/1000)*(up_Irr!AR14)),IF(AND(up_Irr!T14&lt;&gt;".",up_Irr!AR14=".",up_Irr!BP14="."),up_dir!U14/((1/1000)*(up_Irr!T14)),IF(AND(up_Irr!T14=".",up_Irr!AR14=".",up_Irr!BP14="."),up_dir!U14*1000)))))))),".")</f>
        <v>7.2351016258567334E-11</v>
      </c>
      <c r="V14" s="76">
        <f>IFERROR(IF(AND(up_Irr!U14&lt;&gt;".",up_Irr!AS14&lt;&gt;".",up_Irr!BQ14&lt;&gt;"."),up_dir!V14/((1/1000)*(up_Irr!U14+up_Irr!AS14+up_Irr!BQ14)),IF(AND(up_Irr!U14&lt;&gt;".",up_Irr!AS14&lt;&gt;".",up_Irr!BQ14="."),up_dir!V14/((1/1000)*(up_Irr!U14+up_Irr!AS14)),IF(AND(up_Irr!U14&lt;&gt;".",up_Irr!AS14=".",up_Irr!BQ14&lt;&gt;"."),up_dir!V14/((1/1000)*(up_Irr!U14+up_Irr!BQ14)),IF(AND(up_Irr!U14=".",up_Irr!AS14&lt;&gt;".",up_Irr!BQ14&lt;&gt;"."),up_dir!V14/((1/1000)*(up_Irr!AS14+up_Irr!BQ14)),IF(AND(up_Irr!U14=".",up_Irr!AS14=".",up_Irr!BQ14&lt;&gt;"."),up_dir!V14/((1/1000)*(up_Irr!BQ14)),IF(AND(up_Irr!U14=".",up_Irr!AS14&lt;&gt;".",up_Irr!BQ14="."),up_dir!V14/((1/1000)*(up_Irr!AS14)),IF(AND(up_Irr!U14&lt;&gt;".",up_Irr!AS14=".",up_Irr!BQ14="."),up_dir!V14/((1/1000)*(up_Irr!U14)),IF(AND(up_Irr!U14=".",up_Irr!AS14=".",up_Irr!BQ14="."),up_dir!V14*1000)))))))),".")</f>
        <v>7.2351016258567334E-11</v>
      </c>
      <c r="W14" s="76">
        <f>IFERROR(IF(AND(up_Irr!V14&lt;&gt;".",up_Irr!AT14&lt;&gt;".",up_Irr!BR14&lt;&gt;"."),up_dir!W14/((1/1000)*(up_Irr!V14+up_Irr!AT14+up_Irr!BR14)),IF(AND(up_Irr!V14&lt;&gt;".",up_Irr!AT14&lt;&gt;".",up_Irr!BR14="."),up_dir!W14/((1/1000)*(up_Irr!V14+up_Irr!AT14)),IF(AND(up_Irr!V14&lt;&gt;".",up_Irr!AT14=".",up_Irr!BR14&lt;&gt;"."),up_dir!W14/((1/1000)*(up_Irr!V14+up_Irr!BR14)),IF(AND(up_Irr!V14=".",up_Irr!AT14&lt;&gt;".",up_Irr!BR14&lt;&gt;"."),up_dir!W14/((1/1000)*(up_Irr!AT14+up_Irr!BR14)),IF(AND(up_Irr!V14=".",up_Irr!AT14=".",up_Irr!BR14&lt;&gt;"."),up_dir!W14/((1/1000)*(up_Irr!BR14)),IF(AND(up_Irr!V14=".",up_Irr!AT14&lt;&gt;".",up_Irr!BR14="."),up_dir!W14/((1/1000)*(up_Irr!AT14)),IF(AND(up_Irr!V14&lt;&gt;".",up_Irr!AT14=".",up_Irr!BR14="."),up_dir!W14/((1/1000)*(up_Irr!V14)),IF(AND(up_Irr!V14=".",up_Irr!AT14=".",up_Irr!BR14="."),up_dir!W14*1000)))))))),".")</f>
        <v>7.2351016258567334E-11</v>
      </c>
      <c r="X14" s="76">
        <f>IFERROR(IF(AND(up_Irr!W14&lt;&gt;".",up_Irr!AU14&lt;&gt;".",up_Irr!BS14&lt;&gt;"."),up_dir!X14/((1/1000)*(up_Irr!W14+up_Irr!AU14+up_Irr!BS14)),IF(AND(up_Irr!W14&lt;&gt;".",up_Irr!AU14&lt;&gt;".",up_Irr!BS14="."),up_dir!X14/((1/1000)*(up_Irr!W14+up_Irr!AU14)),IF(AND(up_Irr!W14&lt;&gt;".",up_Irr!AU14=".",up_Irr!BS14&lt;&gt;"."),up_dir!X14/((1/1000)*(up_Irr!W14+up_Irr!BS14)),IF(AND(up_Irr!W14=".",up_Irr!AU14&lt;&gt;".",up_Irr!BS14&lt;&gt;"."),up_dir!X14/((1/1000)*(up_Irr!AU14+up_Irr!BS14)),IF(AND(up_Irr!W14=".",up_Irr!AU14=".",up_Irr!BS14&lt;&gt;"."),up_dir!X14/((1/1000)*(up_Irr!BS14)),IF(AND(up_Irr!W14=".",up_Irr!AU14&lt;&gt;".",up_Irr!BS14="."),up_dir!X14/((1/1000)*(up_Irr!AU14)),IF(AND(up_Irr!W14&lt;&gt;".",up_Irr!AU14=".",up_Irr!BS14="."),up_dir!X14/((1/1000)*(up_Irr!W14)),IF(AND(up_Irr!W14=".",up_Irr!AU14=".",up_Irr!BS14="."),up_dir!X14*1000)))))))),".")</f>
        <v>7.2351016258567334E-11</v>
      </c>
      <c r="Y14" s="76">
        <f>IFERROR(IF(AND(up_Irr!X14&lt;&gt;".",up_Irr!AV14&lt;&gt;".",up_Irr!BT14&lt;&gt;"."),up_dir!Y14/((1/1000)*(up_Irr!X14+up_Irr!AV14+up_Irr!BT14)),IF(AND(up_Irr!X14&lt;&gt;".",up_Irr!AV14&lt;&gt;".",up_Irr!BT14="."),up_dir!Y14/((1/1000)*(up_Irr!X14+up_Irr!AV14)),IF(AND(up_Irr!X14&lt;&gt;".",up_Irr!AV14=".",up_Irr!BT14&lt;&gt;"."),up_dir!Y14/((1/1000)*(up_Irr!X14+up_Irr!BT14)),IF(AND(up_Irr!X14=".",up_Irr!AV14&lt;&gt;".",up_Irr!BT14&lt;&gt;"."),up_dir!Y14/((1/1000)*(up_Irr!AV14+up_Irr!BT14)),IF(AND(up_Irr!X14=".",up_Irr!AV14=".",up_Irr!BT14&lt;&gt;"."),up_dir!Y14/((1/1000)*(up_Irr!BT14)),IF(AND(up_Irr!X14=".",up_Irr!AV14&lt;&gt;".",up_Irr!BT14="."),up_dir!Y14/((1/1000)*(up_Irr!AV14)),IF(AND(up_Irr!X14&lt;&gt;".",up_Irr!AV14=".",up_Irr!BT14="."),up_dir!Y14/((1/1000)*(up_Irr!X14)),IF(AND(up_Irr!X14=".",up_Irr!AV14=".",up_Irr!BT14="."),up_dir!Y14*1000)))))))),".")</f>
        <v>7.2351016258567334E-11</v>
      </c>
      <c r="Z14" s="76">
        <f>IFERROR(IF(AND(up_Irr!Y14&lt;&gt;".",up_Irr!AW14&lt;&gt;".",up_Irr!BU14&lt;&gt;"."),up_dir!Z14/((1/1000)*(up_Irr!Y14+up_Irr!AW14+up_Irr!BU14)),IF(AND(up_Irr!Y14&lt;&gt;".",up_Irr!AW14&lt;&gt;".",up_Irr!BU14="."),up_dir!Z14/((1/1000)*(up_Irr!Y14+up_Irr!AW14)),IF(AND(up_Irr!Y14&lt;&gt;".",up_Irr!AW14=".",up_Irr!BU14&lt;&gt;"."),up_dir!Z14/((1/1000)*(up_Irr!Y14+up_Irr!BU14)),IF(AND(up_Irr!Y14=".",up_Irr!AW14&lt;&gt;".",up_Irr!BU14&lt;&gt;"."),up_dir!Z14/((1/1000)*(up_Irr!AW14+up_Irr!BU14)),IF(AND(up_Irr!Y14=".",up_Irr!AW14=".",up_Irr!BU14&lt;&gt;"."),up_dir!Z14/((1/1000)*(up_Irr!BU14)),IF(AND(up_Irr!Y14=".",up_Irr!AW14&lt;&gt;".",up_Irr!BU14="."),up_dir!Z14/((1/1000)*(up_Irr!AW14)),IF(AND(up_Irr!Y14&lt;&gt;".",up_Irr!AW14=".",up_Irr!BU14="."),up_dir!Z14/((1/1000)*(up_Irr!Y14)),IF(AND(up_Irr!Y14=".",up_Irr!AW14=".",up_Irr!BU14="."),up_dir!Z14*1000)))))))),".")</f>
        <v>7.2351016258567334E-11</v>
      </c>
      <c r="AA14" s="76">
        <f>IFERROR(IF(AND(up_Irr!Z14&lt;&gt;".",up_Irr!AX14&lt;&gt;".",up_Irr!BV14&lt;&gt;"."),up_dir!AA14/((1/1000)*(up_Irr!Z14+up_Irr!AX14+up_Irr!BV14)),IF(AND(up_Irr!Z14&lt;&gt;".",up_Irr!AX14&lt;&gt;".",up_Irr!BV14="."),up_dir!AA14/((1/1000)*(up_Irr!Z14+up_Irr!AX14)),IF(AND(up_Irr!Z14&lt;&gt;".",up_Irr!AX14=".",up_Irr!BV14&lt;&gt;"."),up_dir!AA14/((1/1000)*(up_Irr!Z14+up_Irr!BV14)),IF(AND(up_Irr!Z14=".",up_Irr!AX14&lt;&gt;".",up_Irr!BV14&lt;&gt;"."),up_dir!AA14/((1/1000)*(up_Irr!AX14+up_Irr!BV14)),IF(AND(up_Irr!Z14=".",up_Irr!AX14=".",up_Irr!BV14&lt;&gt;"."),up_dir!AA14/((1/1000)*(up_Irr!BV14)),IF(AND(up_Irr!Z14=".",up_Irr!AX14&lt;&gt;".",up_Irr!BV14="."),up_dir!AA14/((1/1000)*(up_Irr!AX14)),IF(AND(up_Irr!Z14&lt;&gt;".",up_Irr!AX14=".",up_Irr!BV14="."),up_dir!AA14/((1/1000)*(up_Irr!Z14)),IF(AND(up_Irr!Z14=".",up_Irr!AX14=".",up_Irr!BV14="."),up_dir!AA14*1000)))))))),".")</f>
        <v>7.2351016258567334E-11</v>
      </c>
      <c r="AB14" s="93">
        <f>SUM(AC14:AD14,AY14:AZ14)</f>
        <v>55286.023705663516</v>
      </c>
      <c r="AC14" s="93">
        <f>IFERROR(s_C*s_IFAP_res_adj*s_CF_apple*0.001*(up_Irr!C14+up_Irr!AA14+up_Irr!AY14),".")</f>
        <v>13821.505926415879</v>
      </c>
      <c r="AD14" s="93">
        <f>IFERROR(s_C*s_IFAS_res_adj*s_CF_asparagus*0.001*(up_Irr!D14+up_Irr!AB14+up_Irr!AZ14),".")</f>
        <v>13821.505926415879</v>
      </c>
      <c r="AE14" s="93">
        <f>IFERROR(s_C*s_IFBT_res_adj*s_CF_beet*0.001*(up_Irr!E14+up_Irr!AC14+up_Irr!BA14),".")</f>
        <v>13821.505926415879</v>
      </c>
      <c r="AF14" s="93">
        <f>IFERROR(s_C*s_IFBE_res_adj*s_CF_berries*0.001*(up_Irr!F14+up_Irr!AD14+up_Irr!BB14),".")</f>
        <v>13821.505926415879</v>
      </c>
      <c r="AG14" s="93">
        <f>IFERROR(s_C*s_IFBR_res_adj*s_CF_broccoli*0.001*(up_Irr!G14+up_Irr!AE14+up_Irr!BC14),".")</f>
        <v>13821.505926415879</v>
      </c>
      <c r="AH14" s="93">
        <f>IFERROR(s_C*s_IFCB_res_adj*s_CF_cabbage*0.001*(up_Irr!H14+up_Irr!AF14+up_Irr!BD14),".")</f>
        <v>13821.505926415879</v>
      </c>
      <c r="AI14" s="93">
        <f>IFERROR(s_C*s_IFCR_res_adj*s_CF_carrot*0.001*(up_Irr!I14+up_Irr!AG14+up_Irr!BE14),".")</f>
        <v>13821.505926415879</v>
      </c>
      <c r="AJ14" s="93">
        <f>IFERROR(s_C*s_IFCI_res_adj*s_CF_citrus*0.001*(up_Irr!J14+up_Irr!AH14+up_Irr!BF14),".")</f>
        <v>13821.505926415879</v>
      </c>
      <c r="AK14" s="93">
        <f>IFERROR(s_C*s_IFCO_res_adj*s_CF_corn*0.001*(up_Irr!K14+up_Irr!AI14+up_Irr!BG14),".")</f>
        <v>13821.505926415879</v>
      </c>
      <c r="AL14" s="93">
        <f>IFERROR(s_C*s_IFCU_res_adj*s_CF_cucumber*0.001*(up_Irr!L14+up_Irr!AJ14+up_Irr!BH14),".")</f>
        <v>13821.505926415879</v>
      </c>
      <c r="AM14" s="93">
        <f>IFERROR(s_C*s_IFLE_res_adj*s_CF_lettuce*0.001*(up_Irr!M14+up_Irr!AK14+up_Irr!BI14),".")</f>
        <v>13821.505926415879</v>
      </c>
      <c r="AN14" s="93">
        <f>IFERROR(s_C*s_IFLI_res_adj*s_CF_lima_bean*0.001*(up_Irr!N14+up_Irr!AL14+up_Irr!BJ14),".")</f>
        <v>13821.505926415879</v>
      </c>
      <c r="AO14" s="93">
        <f>IFERROR(s_C*s_IFOK_res_adj*s_CF_okra*0.001*(up_Irr!O14+up_Irr!AM14+up_Irr!BK14),".")</f>
        <v>13821.505926415879</v>
      </c>
      <c r="AP14" s="93">
        <f>IFERROR(s_C*s_IFON_res_adj*s_CF_onion*0.001*(up_Irr!P14+up_Irr!AN14+up_Irr!BL14),".")</f>
        <v>13821.505926415879</v>
      </c>
      <c r="AQ14" s="93">
        <f>IFERROR(s_C*s_IFPC_res_adj*s_CF_peach*0.001*(up_Irr!Q14+up_Irr!AO14+up_Irr!BM14),".")</f>
        <v>13821.505926415879</v>
      </c>
      <c r="AR14" s="93">
        <f>IFERROR(s_C*s_IFPR_res_adj*s_CF_pear*0.001*(up_Irr!R14+up_Irr!AP14+up_Irr!BN14),".")</f>
        <v>13821.505926415879</v>
      </c>
      <c r="AS14" s="93">
        <f>IFERROR(s_C*s_IFPE_res_adj*s_CF_peas*0.001*(up_Irr!S14+up_Irr!AQ14+up_Irr!BO14),".")</f>
        <v>13821.505926415879</v>
      </c>
      <c r="AT14" s="93">
        <f>IFERROR(s_C*s_IFPT_res_adj*s_CF_potato*0.001*(up_Irr!T14+up_Irr!AR14+up_Irr!BP14),".")</f>
        <v>13821.505926415879</v>
      </c>
      <c r="AU14" s="93">
        <f>IFERROR(s_C*s_IFPU_res_adj*s_CF_pumpkin*0.001*(up_Irr!U14+up_Irr!AS14+up_Irr!BQ14),".")</f>
        <v>13821.505926415879</v>
      </c>
      <c r="AV14" s="93">
        <f>IFERROR(s_C*s_IFSN_res_adj*s_CF_snap_bean*0.001*(up_Irr!V14+up_Irr!AT14+up_Irr!BR14),".")</f>
        <v>13821.505926415879</v>
      </c>
      <c r="AW14" s="93">
        <f>IFERROR(s_C*s_IFST_res_adj*s_CF_strawberry*0.001*(up_Irr!W14+up_Irr!AU14+up_Irr!BS14),".")</f>
        <v>13821.505926415879</v>
      </c>
      <c r="AX14" s="93">
        <f>IFERROR(s_C*s_IFTO_res_adj*s_CF_tomato*0.001*(up_Irr!X14+up_Irr!AV14+up_Irr!BT14),".")</f>
        <v>13821.505926415879</v>
      </c>
      <c r="AY14" s="93">
        <f>IFERROR(s_C*s_IFRI_res_adj*s_CF_rice*0.001*(up_Irr!Y14+up_Irr!AW14+up_Irr!BU14),".")</f>
        <v>13821.505926415879</v>
      </c>
      <c r="AZ14" s="93">
        <f>IFERROR(s_C*s_IFCG_res_adj*s_CF_cereal*0.001*(up_Irr!Z14+up_Irr!AX14+up_Irr!BV14),".")</f>
        <v>13821.505926415879</v>
      </c>
      <c r="BA14" s="76">
        <f t="shared" si="3"/>
        <v>1.8087754064641833E-11</v>
      </c>
      <c r="BB14" s="76">
        <f>IFERROR(IF(AND(up_Irr!C14&lt;&gt;".",up_Irr!AA14&lt;&gt;".",up_Irr!AY14&lt;&gt;"."),up_dir!AC14/((1/1000)*(up_Irr!C14+up_Irr!AA14+up_Irr!AY14)),IF(AND(up_Irr!C14&lt;&gt;".",up_Irr!AA14&lt;&gt;".",up_Irr!AY14="."),up_dir!AC14/((1/1000)*(up_Irr!C14+up_Irr!AA14)),IF(AND(up_Irr!C14&lt;&gt;".",up_Irr!AA14=".",up_Irr!AY14&lt;&gt;"."),up_dir!AC14/((1/1000)*(up_Irr!C14+up_Irr!AY14)),IF(AND(up_Irr!C14=".",up_Irr!AA14&lt;&gt;".",up_Irr!AY14&lt;&gt;"."),up_dir!AC14/((1/1000)*(up_Irr!AA14+up_Irr!AY14)),IF(AND(up_Irr!C14=".",up_Irr!AA14=".",up_Irr!AY14&lt;&gt;"."),up_dir!AC14/((1/1000)*(up_Irr!AY14)),IF(AND(up_Irr!C14=".",up_Irr!AA14&lt;&gt;".",up_Irr!AY14="."),up_dir!AC14/((1/1000)*(up_Irr!AA14)),IF(AND(up_Irr!C14&lt;&gt;".",up_Irr!AA14=".",up_Irr!AY14="."),up_dir!AC14/((1/1000)*(up_Irr!C14)),IF(AND(up_Irr!C14=".",up_Irr!AA14=".",up_Irr!AY14="."),up_dir!AC14*1000)))))))),".")</f>
        <v>7.2351016258567334E-11</v>
      </c>
      <c r="BC14" s="76">
        <f>IFERROR(IF(AND(up_Irr!D14&lt;&gt;".",up_Irr!AB14&lt;&gt;".",up_Irr!AZ14&lt;&gt;"."),up_dir!AD14/((1/1000)*(up_Irr!D14+up_Irr!AB14+up_Irr!AZ14)),IF(AND(up_Irr!D14&lt;&gt;".",up_Irr!AB14&lt;&gt;".",up_Irr!AZ14="."),up_dir!AD14/((1/1000)*(up_Irr!D14+up_Irr!AB14)),IF(AND(up_Irr!D14&lt;&gt;".",up_Irr!AB14=".",up_Irr!AZ14&lt;&gt;"."),up_dir!AD14/((1/1000)*(up_Irr!D14+up_Irr!AZ14)),IF(AND(up_Irr!D14=".",up_Irr!AB14&lt;&gt;".",up_Irr!AZ14&lt;&gt;"."),up_dir!AD14/((1/1000)*(up_Irr!AB14+up_Irr!AZ14)),IF(AND(up_Irr!D14=".",up_Irr!AB14=".",up_Irr!AZ14&lt;&gt;"."),up_dir!AD14/((1/1000)*(up_Irr!AZ14)),IF(AND(up_Irr!D14=".",up_Irr!AB14&lt;&gt;".",up_Irr!AZ14="."),up_dir!AD14/((1/1000)*(up_Irr!AB14)),IF(AND(up_Irr!D14&lt;&gt;".",up_Irr!AB14=".",up_Irr!AZ14="."),up_dir!AD14/((1/1000)*(up_Irr!D14)),IF(AND(up_Irr!D14=".",up_Irr!AB14=".",up_Irr!AZ14="."),up_dir!AD14*1000)))))))),".")</f>
        <v>7.2351016258567334E-11</v>
      </c>
      <c r="BD14" s="76">
        <f>IFERROR(IF(AND(up_Irr!E14&lt;&gt;".",up_Irr!AC14&lt;&gt;".",up_Irr!BA14&lt;&gt;"."),up_dir!AE14/((1/1000)*(up_Irr!E14+up_Irr!AC14+up_Irr!BA14)),IF(AND(up_Irr!E14&lt;&gt;".",up_Irr!AC14&lt;&gt;".",up_Irr!BA14="."),up_dir!AE14/((1/1000)*(up_Irr!E14+up_Irr!AC14)),IF(AND(up_Irr!E14&lt;&gt;".",up_Irr!AC14=".",up_Irr!BA14&lt;&gt;"."),up_dir!AE14/((1/1000)*(up_Irr!E14+up_Irr!BA14)),IF(AND(up_Irr!E14=".",up_Irr!AC14&lt;&gt;".",up_Irr!BA14&lt;&gt;"."),up_dir!AE14/((1/1000)*(up_Irr!AC14+up_Irr!BA14)),IF(AND(up_Irr!E14=".",up_Irr!AC14=".",up_Irr!BA14&lt;&gt;"."),up_dir!AE14/((1/1000)*(up_Irr!BA14)),IF(AND(up_Irr!E14=".",up_Irr!AC14&lt;&gt;".",up_Irr!BA14="."),up_dir!AE14/((1/1000)*(up_Irr!AC14)),IF(AND(up_Irr!E14&lt;&gt;".",up_Irr!AC14=".",up_Irr!BA14="."),up_dir!AE14/((1/1000)*(up_Irr!E14)),IF(AND(up_Irr!E14=".",up_Irr!AC14=".",up_Irr!BA14="."),up_dir!AE14*1000)))))))),".")</f>
        <v>7.2351016258567334E-11</v>
      </c>
      <c r="BE14" s="76">
        <f>IFERROR(IF(AND(up_Irr!F14&lt;&gt;".",up_Irr!AD14&lt;&gt;".",up_Irr!BB14&lt;&gt;"."),up_dir!AF14/((1/1000)*(up_Irr!F14+up_Irr!AD14+up_Irr!BB14)),IF(AND(up_Irr!F14&lt;&gt;".",up_Irr!AD14&lt;&gt;".",up_Irr!BB14="."),up_dir!AF14/((1/1000)*(up_Irr!F14+up_Irr!AD14)),IF(AND(up_Irr!F14&lt;&gt;".",up_Irr!AD14=".",up_Irr!BB14&lt;&gt;"."),up_dir!AF14/((1/1000)*(up_Irr!F14+up_Irr!BB14)),IF(AND(up_Irr!F14=".",up_Irr!AD14&lt;&gt;".",up_Irr!BB14&lt;&gt;"."),up_dir!AF14/((1/1000)*(up_Irr!AD14+up_Irr!BB14)),IF(AND(up_Irr!F14=".",up_Irr!AD14=".",up_Irr!BB14&lt;&gt;"."),up_dir!AF14/((1/1000)*(up_Irr!BB14)),IF(AND(up_Irr!F14=".",up_Irr!AD14&lt;&gt;".",up_Irr!BB14="."),up_dir!AF14/((1/1000)*(up_Irr!AD14)),IF(AND(up_Irr!F14&lt;&gt;".",up_Irr!AD14=".",up_Irr!BB14="."),up_dir!AF14/((1/1000)*(up_Irr!F14)),IF(AND(up_Irr!F14=".",up_Irr!AD14=".",up_Irr!BB14="."),up_dir!AF14*1000)))))))),".")</f>
        <v>7.2351016258567334E-11</v>
      </c>
      <c r="BF14" s="76">
        <f>IFERROR(IF(AND(up_Irr!G14&lt;&gt;".",up_Irr!AE14&lt;&gt;".",up_Irr!BC14&lt;&gt;"."),up_dir!AG14/((1/1000)*(up_Irr!G14+up_Irr!AE14+up_Irr!BC14)),IF(AND(up_Irr!G14&lt;&gt;".",up_Irr!AE14&lt;&gt;".",up_Irr!BC14="."),up_dir!AG14/((1/1000)*(up_Irr!G14+up_Irr!AE14)),IF(AND(up_Irr!G14&lt;&gt;".",up_Irr!AE14=".",up_Irr!BC14&lt;&gt;"."),up_dir!AG14/((1/1000)*(up_Irr!G14+up_Irr!BC14)),IF(AND(up_Irr!G14=".",up_Irr!AE14&lt;&gt;".",up_Irr!BC14&lt;&gt;"."),up_dir!AG14/((1/1000)*(up_Irr!AE14+up_Irr!BC14)),IF(AND(up_Irr!G14=".",up_Irr!AE14=".",up_Irr!BC14&lt;&gt;"."),up_dir!AG14/((1/1000)*(up_Irr!BC14)),IF(AND(up_Irr!G14=".",up_Irr!AE14&lt;&gt;".",up_Irr!BC14="."),up_dir!AG14/((1/1000)*(up_Irr!AE14)),IF(AND(up_Irr!G14&lt;&gt;".",up_Irr!AE14=".",up_Irr!BC14="."),up_dir!AG14/((1/1000)*(up_Irr!G14)),IF(AND(up_Irr!G14=".",up_Irr!AE14=".",up_Irr!BC14="."),up_dir!AG14*1000)))))))),".")</f>
        <v>7.2351016258567334E-11</v>
      </c>
      <c r="BG14" s="76">
        <f>IFERROR(IF(AND(up_Irr!H14&lt;&gt;".",up_Irr!AF14&lt;&gt;".",up_Irr!BD14&lt;&gt;"."),up_dir!AH14/((1/1000)*(up_Irr!H14+up_Irr!AF14+up_Irr!BD14)),IF(AND(up_Irr!H14&lt;&gt;".",up_Irr!AF14&lt;&gt;".",up_Irr!BD14="."),up_dir!AH14/((1/1000)*(up_Irr!H14+up_Irr!AF14)),IF(AND(up_Irr!H14&lt;&gt;".",up_Irr!AF14=".",up_Irr!BD14&lt;&gt;"."),up_dir!AH14/((1/1000)*(up_Irr!H14+up_Irr!BD14)),IF(AND(up_Irr!H14=".",up_Irr!AF14&lt;&gt;".",up_Irr!BD14&lt;&gt;"."),up_dir!AH14/((1/1000)*(up_Irr!AF14+up_Irr!BD14)),IF(AND(up_Irr!H14=".",up_Irr!AF14=".",up_Irr!BD14&lt;&gt;"."),up_dir!AH14/((1/1000)*(up_Irr!BD14)),IF(AND(up_Irr!H14=".",up_Irr!AF14&lt;&gt;".",up_Irr!BD14="."),up_dir!AH14/((1/1000)*(up_Irr!AF14)),IF(AND(up_Irr!H14&lt;&gt;".",up_Irr!AF14=".",up_Irr!BD14="."),up_dir!AH14/((1/1000)*(up_Irr!H14)),IF(AND(up_Irr!H14=".",up_Irr!AF14=".",up_Irr!BD14="."),up_dir!AH14*1000)))))))),".")</f>
        <v>7.2351016258567334E-11</v>
      </c>
      <c r="BH14" s="76">
        <f>IFERROR(IF(AND(up_Irr!I14&lt;&gt;".",up_Irr!AG14&lt;&gt;".",up_Irr!BE14&lt;&gt;"."),up_dir!AI14/((1/1000)*(up_Irr!I14+up_Irr!AG14+up_Irr!BE14)),IF(AND(up_Irr!I14&lt;&gt;".",up_Irr!AG14&lt;&gt;".",up_Irr!BE14="."),up_dir!AI14/((1/1000)*(up_Irr!I14+up_Irr!AG14)),IF(AND(up_Irr!I14&lt;&gt;".",up_Irr!AG14=".",up_Irr!BE14&lt;&gt;"."),up_dir!AI14/((1/1000)*(up_Irr!I14+up_Irr!BE14)),IF(AND(up_Irr!I14=".",up_Irr!AG14&lt;&gt;".",up_Irr!BE14&lt;&gt;"."),up_dir!AI14/((1/1000)*(up_Irr!AG14+up_Irr!BE14)),IF(AND(up_Irr!I14=".",up_Irr!AG14=".",up_Irr!BE14&lt;&gt;"."),up_dir!AI14/((1/1000)*(up_Irr!BE14)),IF(AND(up_Irr!I14=".",up_Irr!AG14&lt;&gt;".",up_Irr!BE14="."),up_dir!AI14/((1/1000)*(up_Irr!AG14)),IF(AND(up_Irr!I14&lt;&gt;".",up_Irr!AG14=".",up_Irr!BE14="."),up_dir!AI14/((1/1000)*(up_Irr!I14)),IF(AND(up_Irr!I14=".",up_Irr!AG14=".",up_Irr!BE14="."),up_dir!AI14*1000)))))))),".")</f>
        <v>7.2351016258567334E-11</v>
      </c>
      <c r="BI14" s="76">
        <f>IFERROR(IF(AND(up_Irr!J14&lt;&gt;".",up_Irr!AH14&lt;&gt;".",up_Irr!BF14&lt;&gt;"."),up_dir!AJ14/((1/1000)*(up_Irr!J14+up_Irr!AH14+up_Irr!BF14)),IF(AND(up_Irr!J14&lt;&gt;".",up_Irr!AH14&lt;&gt;".",up_Irr!BF14="."),up_dir!AJ14/((1/1000)*(up_Irr!J14+up_Irr!AH14)),IF(AND(up_Irr!J14&lt;&gt;".",up_Irr!AH14=".",up_Irr!BF14&lt;&gt;"."),up_dir!AJ14/((1/1000)*(up_Irr!J14+up_Irr!BF14)),IF(AND(up_Irr!J14=".",up_Irr!AH14&lt;&gt;".",up_Irr!BF14&lt;&gt;"."),up_dir!AJ14/((1/1000)*(up_Irr!AH14+up_Irr!BF14)),IF(AND(up_Irr!J14=".",up_Irr!AH14=".",up_Irr!BF14&lt;&gt;"."),up_dir!AJ14/((1/1000)*(up_Irr!BF14)),IF(AND(up_Irr!J14=".",up_Irr!AH14&lt;&gt;".",up_Irr!BF14="."),up_dir!AJ14/((1/1000)*(up_Irr!AH14)),IF(AND(up_Irr!J14&lt;&gt;".",up_Irr!AH14=".",up_Irr!BF14="."),up_dir!AJ14/((1/1000)*(up_Irr!J14)),IF(AND(up_Irr!J14=".",up_Irr!AH14=".",up_Irr!BF14="."),up_dir!AJ14*1000)))))))),".")</f>
        <v>7.2351016258567334E-11</v>
      </c>
      <c r="BJ14" s="76">
        <f>IFERROR(IF(AND(up_Irr!K14&lt;&gt;".",up_Irr!AI14&lt;&gt;".",up_Irr!BG14&lt;&gt;"."),up_dir!AK14/((1/1000)*(up_Irr!K14+up_Irr!AI14+up_Irr!BG14)),IF(AND(up_Irr!K14&lt;&gt;".",up_Irr!AI14&lt;&gt;".",up_Irr!BG14="."),up_dir!AK14/((1/1000)*(up_Irr!K14+up_Irr!AI14)),IF(AND(up_Irr!K14&lt;&gt;".",up_Irr!AI14=".",up_Irr!BG14&lt;&gt;"."),up_dir!AK14/((1/1000)*(up_Irr!K14+up_Irr!BG14)),IF(AND(up_Irr!K14=".",up_Irr!AI14&lt;&gt;".",up_Irr!BG14&lt;&gt;"."),up_dir!AK14/((1/1000)*(up_Irr!AI14+up_Irr!BG14)),IF(AND(up_Irr!K14=".",up_Irr!AI14=".",up_Irr!BG14&lt;&gt;"."),up_dir!AK14/((1/1000)*(up_Irr!BG14)),IF(AND(up_Irr!K14=".",up_Irr!AI14&lt;&gt;".",up_Irr!BG14="."),up_dir!AK14/((1/1000)*(up_Irr!AI14)),IF(AND(up_Irr!K14&lt;&gt;".",up_Irr!AI14=".",up_Irr!BG14="."),up_dir!AK14/((1/1000)*(up_Irr!K14)),IF(AND(up_Irr!K14=".",up_Irr!AI14=".",up_Irr!BG14="."),up_dir!AK14*1000)))))))),".")</f>
        <v>7.2351016258567334E-11</v>
      </c>
      <c r="BK14" s="76">
        <f>IFERROR(IF(AND(up_Irr!L14&lt;&gt;".",up_Irr!AJ14&lt;&gt;".",up_Irr!BH14&lt;&gt;"."),up_dir!AL14/((1/1000)*(up_Irr!L14+up_Irr!AJ14+up_Irr!BH14)),IF(AND(up_Irr!L14&lt;&gt;".",up_Irr!AJ14&lt;&gt;".",up_Irr!BH14="."),up_dir!AL14/((1/1000)*(up_Irr!L14+up_Irr!AJ14)),IF(AND(up_Irr!L14&lt;&gt;".",up_Irr!AJ14=".",up_Irr!BH14&lt;&gt;"."),up_dir!AL14/((1/1000)*(up_Irr!L14+up_Irr!BH14)),IF(AND(up_Irr!L14=".",up_Irr!AJ14&lt;&gt;".",up_Irr!BH14&lt;&gt;"."),up_dir!AL14/((1/1000)*(up_Irr!AJ14+up_Irr!BH14)),IF(AND(up_Irr!L14=".",up_Irr!AJ14=".",up_Irr!BH14&lt;&gt;"."),up_dir!AL14/((1/1000)*(up_Irr!BH14)),IF(AND(up_Irr!L14=".",up_Irr!AJ14&lt;&gt;".",up_Irr!BH14="."),up_dir!AL14/((1/1000)*(up_Irr!AJ14)),IF(AND(up_Irr!L14&lt;&gt;".",up_Irr!AJ14=".",up_Irr!BH14="."),up_dir!AL14/((1/1000)*(up_Irr!L14)),IF(AND(up_Irr!L14=".",up_Irr!AJ14=".",up_Irr!BH14="."),up_dir!AL14*1000)))))))),".")</f>
        <v>7.2351016258567334E-11</v>
      </c>
      <c r="BL14" s="76">
        <f>IFERROR(IF(AND(up_Irr!M14&lt;&gt;".",up_Irr!AK14&lt;&gt;".",up_Irr!BI14&lt;&gt;"."),up_dir!AM14/((1/1000)*(up_Irr!M14+up_Irr!AK14+up_Irr!BI14)),IF(AND(up_Irr!M14&lt;&gt;".",up_Irr!AK14&lt;&gt;".",up_Irr!BI14="."),up_dir!AM14/((1/1000)*(up_Irr!M14+up_Irr!AK14)),IF(AND(up_Irr!M14&lt;&gt;".",up_Irr!AK14=".",up_Irr!BI14&lt;&gt;"."),up_dir!AM14/((1/1000)*(up_Irr!M14+up_Irr!BI14)),IF(AND(up_Irr!M14=".",up_Irr!AK14&lt;&gt;".",up_Irr!BI14&lt;&gt;"."),up_dir!AM14/((1/1000)*(up_Irr!AK14+up_Irr!BI14)),IF(AND(up_Irr!M14=".",up_Irr!AK14=".",up_Irr!BI14&lt;&gt;"."),up_dir!AM14/((1/1000)*(up_Irr!BI14)),IF(AND(up_Irr!M14=".",up_Irr!AK14&lt;&gt;".",up_Irr!BI14="."),up_dir!AM14/((1/1000)*(up_Irr!AK14)),IF(AND(up_Irr!M14&lt;&gt;".",up_Irr!AK14=".",up_Irr!BI14="."),up_dir!AM14/((1/1000)*(up_Irr!M14)),IF(AND(up_Irr!M14=".",up_Irr!AK14=".",up_Irr!BI14="."),up_dir!AM14*1000)))))))),".")</f>
        <v>7.2351016258567334E-11</v>
      </c>
      <c r="BM14" s="76">
        <f>IFERROR(IF(AND(up_Irr!N14&lt;&gt;".",up_Irr!AL14&lt;&gt;".",up_Irr!BJ14&lt;&gt;"."),up_dir!AN14/((1/1000)*(up_Irr!N14+up_Irr!AL14+up_Irr!BJ14)),IF(AND(up_Irr!N14&lt;&gt;".",up_Irr!AL14&lt;&gt;".",up_Irr!BJ14="."),up_dir!AN14/((1/1000)*(up_Irr!N14+up_Irr!AL14)),IF(AND(up_Irr!N14&lt;&gt;".",up_Irr!AL14=".",up_Irr!BJ14&lt;&gt;"."),up_dir!AN14/((1/1000)*(up_Irr!N14+up_Irr!BJ14)),IF(AND(up_Irr!N14=".",up_Irr!AL14&lt;&gt;".",up_Irr!BJ14&lt;&gt;"."),up_dir!AN14/((1/1000)*(up_Irr!AL14+up_Irr!BJ14)),IF(AND(up_Irr!N14=".",up_Irr!AL14=".",up_Irr!BJ14&lt;&gt;"."),up_dir!AN14/((1/1000)*(up_Irr!BJ14)),IF(AND(up_Irr!N14=".",up_Irr!AL14&lt;&gt;".",up_Irr!BJ14="."),up_dir!AN14/((1/1000)*(up_Irr!AL14)),IF(AND(up_Irr!N14&lt;&gt;".",up_Irr!AL14=".",up_Irr!BJ14="."),up_dir!AN14/((1/1000)*(up_Irr!N14)),IF(AND(up_Irr!N14=".",up_Irr!AL14=".",up_Irr!BJ14="."),up_dir!AN14*1000)))))))),".")</f>
        <v>7.2351016258567334E-11</v>
      </c>
      <c r="BN14" s="76">
        <f>IFERROR(IF(AND(up_Irr!O14&lt;&gt;".",up_Irr!AM14&lt;&gt;".",up_Irr!BK14&lt;&gt;"."),up_dir!AO14/((1/1000)*(up_Irr!O14+up_Irr!AM14+up_Irr!BK14)),IF(AND(up_Irr!O14&lt;&gt;".",up_Irr!AM14&lt;&gt;".",up_Irr!BK14="."),up_dir!AO14/((1/1000)*(up_Irr!O14+up_Irr!AM14)),IF(AND(up_Irr!O14&lt;&gt;".",up_Irr!AM14=".",up_Irr!BK14&lt;&gt;"."),up_dir!AO14/((1/1000)*(up_Irr!O14+up_Irr!BK14)),IF(AND(up_Irr!O14=".",up_Irr!AM14&lt;&gt;".",up_Irr!BK14&lt;&gt;"."),up_dir!AO14/((1/1000)*(up_Irr!AM14+up_Irr!BK14)),IF(AND(up_Irr!O14=".",up_Irr!AM14=".",up_Irr!BK14&lt;&gt;"."),up_dir!AO14/((1/1000)*(up_Irr!BK14)),IF(AND(up_Irr!O14=".",up_Irr!AM14&lt;&gt;".",up_Irr!BK14="."),up_dir!AO14/((1/1000)*(up_Irr!AM14)),IF(AND(up_Irr!O14&lt;&gt;".",up_Irr!AM14=".",up_Irr!BK14="."),up_dir!AO14/((1/1000)*(up_Irr!O14)),IF(AND(up_Irr!O14=".",up_Irr!AM14=".",up_Irr!BK14="."),up_dir!AO14*1000)))))))),".")</f>
        <v>7.2351016258567334E-11</v>
      </c>
      <c r="BO14" s="76">
        <f>IFERROR(IF(AND(up_Irr!P14&lt;&gt;".",up_Irr!AN14&lt;&gt;".",up_Irr!BL14&lt;&gt;"."),up_dir!AP14/((1/1000)*(up_Irr!P14+up_Irr!AN14+up_Irr!BL14)),IF(AND(up_Irr!P14&lt;&gt;".",up_Irr!AN14&lt;&gt;".",up_Irr!BL14="."),up_dir!AP14/((1/1000)*(up_Irr!P14+up_Irr!AN14)),IF(AND(up_Irr!P14&lt;&gt;".",up_Irr!AN14=".",up_Irr!BL14&lt;&gt;"."),up_dir!AP14/((1/1000)*(up_Irr!P14+up_Irr!BL14)),IF(AND(up_Irr!P14=".",up_Irr!AN14&lt;&gt;".",up_Irr!BL14&lt;&gt;"."),up_dir!AP14/((1/1000)*(up_Irr!AN14+up_Irr!BL14)),IF(AND(up_Irr!P14=".",up_Irr!AN14=".",up_Irr!BL14&lt;&gt;"."),up_dir!AP14/((1/1000)*(up_Irr!BL14)),IF(AND(up_Irr!P14=".",up_Irr!AN14&lt;&gt;".",up_Irr!BL14="."),up_dir!AP14/((1/1000)*(up_Irr!AN14)),IF(AND(up_Irr!P14&lt;&gt;".",up_Irr!AN14=".",up_Irr!BL14="."),up_dir!AP14/((1/1000)*(up_Irr!P14)),IF(AND(up_Irr!P14=".",up_Irr!AN14=".",up_Irr!BL14="."),up_dir!AP14*1000)))))))),".")</f>
        <v>7.2351016258567334E-11</v>
      </c>
      <c r="BP14" s="76">
        <f>IFERROR(IF(AND(up_Irr!Q14&lt;&gt;".",up_Irr!AO14&lt;&gt;".",up_Irr!BM14&lt;&gt;"."),up_dir!AQ14/((1/1000)*(up_Irr!Q14+up_Irr!AO14+up_Irr!BM14)),IF(AND(up_Irr!Q14&lt;&gt;".",up_Irr!AO14&lt;&gt;".",up_Irr!BM14="."),up_dir!AQ14/((1/1000)*(up_Irr!Q14+up_Irr!AO14)),IF(AND(up_Irr!Q14&lt;&gt;".",up_Irr!AO14=".",up_Irr!BM14&lt;&gt;"."),up_dir!AQ14/((1/1000)*(up_Irr!Q14+up_Irr!BM14)),IF(AND(up_Irr!Q14=".",up_Irr!AO14&lt;&gt;".",up_Irr!BM14&lt;&gt;"."),up_dir!AQ14/((1/1000)*(up_Irr!AO14+up_Irr!BM14)),IF(AND(up_Irr!Q14=".",up_Irr!AO14=".",up_Irr!BM14&lt;&gt;"."),up_dir!AQ14/((1/1000)*(up_Irr!BM14)),IF(AND(up_Irr!Q14=".",up_Irr!AO14&lt;&gt;".",up_Irr!BM14="."),up_dir!AQ14/((1/1000)*(up_Irr!AO14)),IF(AND(up_Irr!Q14&lt;&gt;".",up_Irr!AO14=".",up_Irr!BM14="."),up_dir!AQ14/((1/1000)*(up_Irr!Q14)),IF(AND(up_Irr!Q14=".",up_Irr!AO14=".",up_Irr!BM14="."),up_dir!AQ14*1000)))))))),".")</f>
        <v>7.2351016258567334E-11</v>
      </c>
      <c r="BQ14" s="76">
        <f>IFERROR(IF(AND(up_Irr!R14&lt;&gt;".",up_Irr!AP14&lt;&gt;".",up_Irr!BN14&lt;&gt;"."),up_dir!AR14/((1/1000)*(up_Irr!R14+up_Irr!AP14+up_Irr!BN14)),IF(AND(up_Irr!R14&lt;&gt;".",up_Irr!AP14&lt;&gt;".",up_Irr!BN14="."),up_dir!AR14/((1/1000)*(up_Irr!R14+up_Irr!AP14)),IF(AND(up_Irr!R14&lt;&gt;".",up_Irr!AP14=".",up_Irr!BN14&lt;&gt;"."),up_dir!AR14/((1/1000)*(up_Irr!R14+up_Irr!BN14)),IF(AND(up_Irr!R14=".",up_Irr!AP14&lt;&gt;".",up_Irr!BN14&lt;&gt;"."),up_dir!AR14/((1/1000)*(up_Irr!AP14+up_Irr!BN14)),IF(AND(up_Irr!R14=".",up_Irr!AP14=".",up_Irr!BN14&lt;&gt;"."),up_dir!AR14/((1/1000)*(up_Irr!BN14)),IF(AND(up_Irr!R14=".",up_Irr!AP14&lt;&gt;".",up_Irr!BN14="."),up_dir!AR14/((1/1000)*(up_Irr!AP14)),IF(AND(up_Irr!R14&lt;&gt;".",up_Irr!AP14=".",up_Irr!BN14="."),up_dir!AR14/((1/1000)*(up_Irr!R14)),IF(AND(up_Irr!R14=".",up_Irr!AP14=".",up_Irr!BN14="."),up_dir!AR14*1000)))))))),".")</f>
        <v>7.2351016258567334E-11</v>
      </c>
      <c r="BR14" s="76">
        <f>IFERROR(IF(AND(up_Irr!S14&lt;&gt;".",up_Irr!AQ14&lt;&gt;".",up_Irr!BO14&lt;&gt;"."),up_dir!AS14/((1/1000)*(up_Irr!S14+up_Irr!AQ14+up_Irr!BO14)),IF(AND(up_Irr!S14&lt;&gt;".",up_Irr!AQ14&lt;&gt;".",up_Irr!BO14="."),up_dir!AS14/((1/1000)*(up_Irr!S14+up_Irr!AQ14)),IF(AND(up_Irr!S14&lt;&gt;".",up_Irr!AQ14=".",up_Irr!BO14&lt;&gt;"."),up_dir!AS14/((1/1000)*(up_Irr!S14+up_Irr!BO14)),IF(AND(up_Irr!S14=".",up_Irr!AQ14&lt;&gt;".",up_Irr!BO14&lt;&gt;"."),up_dir!AS14/((1/1000)*(up_Irr!AQ14+up_Irr!BO14)),IF(AND(up_Irr!S14=".",up_Irr!AQ14=".",up_Irr!BO14&lt;&gt;"."),up_dir!AS14/((1/1000)*(up_Irr!BO14)),IF(AND(up_Irr!S14=".",up_Irr!AQ14&lt;&gt;".",up_Irr!BO14="."),up_dir!AS14/((1/1000)*(up_Irr!AQ14)),IF(AND(up_Irr!S14&lt;&gt;".",up_Irr!AQ14=".",up_Irr!BO14="."),up_dir!AS14/((1/1000)*(up_Irr!S14)),IF(AND(up_Irr!S14=".",up_Irr!AQ14=".",up_Irr!BO14="."),up_dir!AS14*1000)))))))),".")</f>
        <v>7.2351016258567334E-11</v>
      </c>
      <c r="BS14" s="76">
        <f>IFERROR(IF(AND(up_Irr!T14&lt;&gt;".",up_Irr!AR14&lt;&gt;".",up_Irr!BP14&lt;&gt;"."),up_dir!AT14/((1/1000)*(up_Irr!T14+up_Irr!AR14+up_Irr!BP14)),IF(AND(up_Irr!T14&lt;&gt;".",up_Irr!AR14&lt;&gt;".",up_Irr!BP14="."),up_dir!AT14/((1/1000)*(up_Irr!T14+up_Irr!AR14)),IF(AND(up_Irr!T14&lt;&gt;".",up_Irr!AR14=".",up_Irr!BP14&lt;&gt;"."),up_dir!AT14/((1/1000)*(up_Irr!T14+up_Irr!BP14)),IF(AND(up_Irr!T14=".",up_Irr!AR14&lt;&gt;".",up_Irr!BP14&lt;&gt;"."),up_dir!AT14/((1/1000)*(up_Irr!AR14+up_Irr!BP14)),IF(AND(up_Irr!T14=".",up_Irr!AR14=".",up_Irr!BP14&lt;&gt;"."),up_dir!AT14/((1/1000)*(up_Irr!BP14)),IF(AND(up_Irr!T14=".",up_Irr!AR14&lt;&gt;".",up_Irr!BP14="."),up_dir!AT14/((1/1000)*(up_Irr!AR14)),IF(AND(up_Irr!T14&lt;&gt;".",up_Irr!AR14=".",up_Irr!BP14="."),up_dir!AT14/((1/1000)*(up_Irr!T14)),IF(AND(up_Irr!T14=".",up_Irr!AR14=".",up_Irr!BP14="."),up_dir!AT14*1000)))))))),".")</f>
        <v>7.2351016258567334E-11</v>
      </c>
      <c r="BT14" s="76">
        <f>IFERROR(IF(AND(up_Irr!U14&lt;&gt;".",up_Irr!AS14&lt;&gt;".",up_Irr!BQ14&lt;&gt;"."),up_dir!AU14/((1/1000)*(up_Irr!U14+up_Irr!AS14+up_Irr!BQ14)),IF(AND(up_Irr!U14&lt;&gt;".",up_Irr!AS14&lt;&gt;".",up_Irr!BQ14="."),up_dir!AU14/((1/1000)*(up_Irr!U14+up_Irr!AS14)),IF(AND(up_Irr!U14&lt;&gt;".",up_Irr!AS14=".",up_Irr!BQ14&lt;&gt;"."),up_dir!AU14/((1/1000)*(up_Irr!U14+up_Irr!BQ14)),IF(AND(up_Irr!U14=".",up_Irr!AS14&lt;&gt;".",up_Irr!BQ14&lt;&gt;"."),up_dir!AU14/((1/1000)*(up_Irr!AS14+up_Irr!BQ14)),IF(AND(up_Irr!U14=".",up_Irr!AS14=".",up_Irr!BQ14&lt;&gt;"."),up_dir!AU14/((1/1000)*(up_Irr!BQ14)),IF(AND(up_Irr!U14=".",up_Irr!AS14&lt;&gt;".",up_Irr!BQ14="."),up_dir!AU14/((1/1000)*(up_Irr!AS14)),IF(AND(up_Irr!U14&lt;&gt;".",up_Irr!AS14=".",up_Irr!BQ14="."),up_dir!AU14/((1/1000)*(up_Irr!U14)),IF(AND(up_Irr!U14=".",up_Irr!AS14=".",up_Irr!BQ14="."),up_dir!AU14*1000)))))))),".")</f>
        <v>7.2351016258567334E-11</v>
      </c>
      <c r="BU14" s="76">
        <f>IFERROR(IF(AND(up_Irr!V14&lt;&gt;".",up_Irr!AT14&lt;&gt;".",up_Irr!BR14&lt;&gt;"."),up_dir!AV14/((1/1000)*(up_Irr!V14+up_Irr!AT14+up_Irr!BR14)),IF(AND(up_Irr!V14&lt;&gt;".",up_Irr!AT14&lt;&gt;".",up_Irr!BR14="."),up_dir!AV14/((1/1000)*(up_Irr!V14+up_Irr!AT14)),IF(AND(up_Irr!V14&lt;&gt;".",up_Irr!AT14=".",up_Irr!BR14&lt;&gt;"."),up_dir!AV14/((1/1000)*(up_Irr!V14+up_Irr!BR14)),IF(AND(up_Irr!V14=".",up_Irr!AT14&lt;&gt;".",up_Irr!BR14&lt;&gt;"."),up_dir!AV14/((1/1000)*(up_Irr!AT14+up_Irr!BR14)),IF(AND(up_Irr!V14=".",up_Irr!AT14=".",up_Irr!BR14&lt;&gt;"."),up_dir!AV14/((1/1000)*(up_Irr!BR14)),IF(AND(up_Irr!V14=".",up_Irr!AT14&lt;&gt;".",up_Irr!BR14="."),up_dir!AV14/((1/1000)*(up_Irr!AT14)),IF(AND(up_Irr!V14&lt;&gt;".",up_Irr!AT14=".",up_Irr!BR14="."),up_dir!AV14/((1/1000)*(up_Irr!V14)),IF(AND(up_Irr!V14=".",up_Irr!AT14=".",up_Irr!BR14="."),up_dir!AV14*1000)))))))),".")</f>
        <v>7.2351016258567334E-11</v>
      </c>
      <c r="BV14" s="76">
        <f>IFERROR(IF(AND(up_Irr!W14&lt;&gt;".",up_Irr!AU14&lt;&gt;".",up_Irr!BS14&lt;&gt;"."),up_dir!AW14/((1/1000)*(up_Irr!W14+up_Irr!AU14+up_Irr!BS14)),IF(AND(up_Irr!W14&lt;&gt;".",up_Irr!AU14&lt;&gt;".",up_Irr!BS14="."),up_dir!AW14/((1/1000)*(up_Irr!W14+up_Irr!AU14)),IF(AND(up_Irr!W14&lt;&gt;".",up_Irr!AU14=".",up_Irr!BS14&lt;&gt;"."),up_dir!AW14/((1/1000)*(up_Irr!W14+up_Irr!BS14)),IF(AND(up_Irr!W14=".",up_Irr!AU14&lt;&gt;".",up_Irr!BS14&lt;&gt;"."),up_dir!AW14/((1/1000)*(up_Irr!AU14+up_Irr!BS14)),IF(AND(up_Irr!W14=".",up_Irr!AU14=".",up_Irr!BS14&lt;&gt;"."),up_dir!AW14/((1/1000)*(up_Irr!BS14)),IF(AND(up_Irr!W14=".",up_Irr!AU14&lt;&gt;".",up_Irr!BS14="."),up_dir!AW14/((1/1000)*(up_Irr!AU14)),IF(AND(up_Irr!W14&lt;&gt;".",up_Irr!AU14=".",up_Irr!BS14="."),up_dir!AW14/((1/1000)*(up_Irr!W14)),IF(AND(up_Irr!W14=".",up_Irr!AU14=".",up_Irr!BS14="."),up_dir!AW14*1000)))))))),".")</f>
        <v>7.2351016258567334E-11</v>
      </c>
      <c r="BW14" s="76">
        <f>IFERROR(IF(AND(up_Irr!X14&lt;&gt;".",up_Irr!AV14&lt;&gt;".",up_Irr!BT14&lt;&gt;"."),up_dir!AX14/((1/1000)*(up_Irr!X14+up_Irr!AV14+up_Irr!BT14)),IF(AND(up_Irr!X14&lt;&gt;".",up_Irr!AV14&lt;&gt;".",up_Irr!BT14="."),up_dir!AX14/((1/1000)*(up_Irr!X14+up_Irr!AV14)),IF(AND(up_Irr!X14&lt;&gt;".",up_Irr!AV14=".",up_Irr!BT14&lt;&gt;"."),up_dir!AX14/((1/1000)*(up_Irr!X14+up_Irr!BT14)),IF(AND(up_Irr!X14=".",up_Irr!AV14&lt;&gt;".",up_Irr!BT14&lt;&gt;"."),up_dir!AX14/((1/1000)*(up_Irr!AV14+up_Irr!BT14)),IF(AND(up_Irr!X14=".",up_Irr!AV14=".",up_Irr!BT14&lt;&gt;"."),up_dir!AX14/((1/1000)*(up_Irr!BT14)),IF(AND(up_Irr!X14=".",up_Irr!AV14&lt;&gt;".",up_Irr!BT14="."),up_dir!AX14/((1/1000)*(up_Irr!AV14)),IF(AND(up_Irr!X14&lt;&gt;".",up_Irr!AV14=".",up_Irr!BT14="."),up_dir!AX14/((1/1000)*(up_Irr!X14)),IF(AND(up_Irr!X14=".",up_Irr!AV14=".",up_Irr!BT14="."),up_dir!AX14*1000)))))))),".")</f>
        <v>7.2351016258567334E-11</v>
      </c>
      <c r="BX14" s="76">
        <f>IFERROR(IF(AND(up_Irr!Y14&lt;&gt;".",up_Irr!AW14&lt;&gt;".",up_Irr!BU14&lt;&gt;"."),up_dir!AY14/((1/1000)*(up_Irr!Y14+up_Irr!AW14+up_Irr!BU14)),IF(AND(up_Irr!Y14&lt;&gt;".",up_Irr!AW14&lt;&gt;".",up_Irr!BU14="."),up_dir!AY14/((1/1000)*(up_Irr!Y14+up_Irr!AW14)),IF(AND(up_Irr!Y14&lt;&gt;".",up_Irr!AW14=".",up_Irr!BU14&lt;&gt;"."),up_dir!AY14/((1/1000)*(up_Irr!Y14+up_Irr!BU14)),IF(AND(up_Irr!Y14=".",up_Irr!AW14&lt;&gt;".",up_Irr!BU14&lt;&gt;"."),up_dir!AY14/((1/1000)*(up_Irr!AW14+up_Irr!BU14)),IF(AND(up_Irr!Y14=".",up_Irr!AW14=".",up_Irr!BU14&lt;&gt;"."),up_dir!AY14/((1/1000)*(up_Irr!BU14)),IF(AND(up_Irr!Y14=".",up_Irr!AW14&lt;&gt;".",up_Irr!BU14="."),up_dir!AY14/((1/1000)*(up_Irr!AW14)),IF(AND(up_Irr!Y14&lt;&gt;".",up_Irr!AW14=".",up_Irr!BU14="."),up_dir!AY14/((1/1000)*(up_Irr!Y14)),IF(AND(up_Irr!Y14=".",up_Irr!AW14=".",up_Irr!BU14="."),up_dir!AY14*1000)))))))),".")</f>
        <v>7.2351016258567334E-11</v>
      </c>
      <c r="BY14" s="76">
        <f>IFERROR(IF(AND(up_Irr!Z14&lt;&gt;".",up_Irr!AX14&lt;&gt;".",up_Irr!BV14&lt;&gt;"."),up_dir!AZ14/((1/1000)*(up_Irr!Z14+up_Irr!AX14+up_Irr!BV14)),IF(AND(up_Irr!Z14&lt;&gt;".",up_Irr!AX14&lt;&gt;".",up_Irr!BV14="."),up_dir!AZ14/((1/1000)*(up_Irr!Z14+up_Irr!AX14)),IF(AND(up_Irr!Z14&lt;&gt;".",up_Irr!AX14=".",up_Irr!BV14&lt;&gt;"."),up_dir!AZ14/((1/1000)*(up_Irr!Z14+up_Irr!BV14)),IF(AND(up_Irr!Z14=".",up_Irr!AX14&lt;&gt;".",up_Irr!BV14&lt;&gt;"."),up_dir!AZ14/((1/1000)*(up_Irr!AX14+up_Irr!BV14)),IF(AND(up_Irr!Z14=".",up_Irr!AX14=".",up_Irr!BV14&lt;&gt;"."),up_dir!AZ14/((1/1000)*(up_Irr!BV14)),IF(AND(up_Irr!Z14=".",up_Irr!AX14&lt;&gt;".",up_Irr!BV14="."),up_dir!AZ14/((1/1000)*(up_Irr!AX14)),IF(AND(up_Irr!Z14&lt;&gt;".",up_Irr!AX14=".",up_Irr!BV14="."),up_dir!AZ14/((1/1000)*(up_Irr!Z14)),IF(AND(up_Irr!Z14=".",up_Irr!AX14=".",up_Irr!BV14="."),up_dir!AZ14*1000)))))))),".")</f>
        <v>7.2351016258567334E-11</v>
      </c>
      <c r="BZ14" s="93">
        <f>SUM(CA14:CB14,CW14:CX14)</f>
        <v>55286.023705663516</v>
      </c>
      <c r="CA14" s="93">
        <f>IFERROR(s_C*s_IFAP_far_adj*s_CF_apple*(1/1000)*(up_Irr!C14+up_Irr!AA14+up_Irr!AY14),".")</f>
        <v>13821.505926415879</v>
      </c>
      <c r="CB14" s="93">
        <f>IFERROR(s_C*s_IFAS_far_adj*s_CF_asparagus*(1/1000)*(up_Irr!D14+up_Irr!AB14+up_Irr!AZ14),".")</f>
        <v>13821.505926415879</v>
      </c>
      <c r="CC14" s="93">
        <f>IFERROR(s_C*s_IFBT_far_adj*s_CF_beet*(1/1000)*(up_Irr!E14+up_Irr!AC14+up_Irr!BA14),".")</f>
        <v>13821.505926415879</v>
      </c>
      <c r="CD14" s="93">
        <f>IFERROR(s_C*s_IFBE_far_adj*s_CF_berries*(1/1000)*(up_Irr!F14+up_Irr!AD14+up_Irr!BB14),".")</f>
        <v>13821.505926415879</v>
      </c>
      <c r="CE14" s="93">
        <f>IFERROR(s_C*s_IFBR_far_adj*s_CF_broccoli*(1/1000)*(up_Irr!G14+up_Irr!AE14+up_Irr!BC14),".")</f>
        <v>13821.505926415879</v>
      </c>
      <c r="CF14" s="93">
        <f>IFERROR(s_C*s_IFCB_far_adj*s_CF_cabbage*(1/1000)*(up_Irr!H14+up_Irr!AF14+up_Irr!BD14),".")</f>
        <v>13821.505926415879</v>
      </c>
      <c r="CG14" s="93">
        <f>IFERROR(s_C*s_IFCR_far_adj*s_CF_carrot*(1/1000)*(up_Irr!I14+up_Irr!AG14+up_Irr!BE14),".")</f>
        <v>13821.505926415879</v>
      </c>
      <c r="CH14" s="93">
        <f>IFERROR(s_C*s_IFCI_far_adj*s_CF_citrus*(1/1000)*(up_Irr!J14+up_Irr!AH14+up_Irr!BF14),".")</f>
        <v>13821.505926415879</v>
      </c>
      <c r="CI14" s="93">
        <f>IFERROR(s_C*s_IFCO_far_adj*s_CF_corn*(1/1000)*(up_Irr!K14+up_Irr!AI14+up_Irr!BG14),".")</f>
        <v>13821.505926415879</v>
      </c>
      <c r="CJ14" s="93">
        <f>IFERROR(s_C*s_IFCU_far_adj*s_CF_cucumber*(1/1000)*(up_Irr!L14+up_Irr!AJ14+up_Irr!BH14),".")</f>
        <v>13821.505926415879</v>
      </c>
      <c r="CK14" s="93">
        <f>IFERROR(s_C*s_IFLE_far_adj*s_CF_lettuce*(1/1000)*(up_Irr!M14+up_Irr!AK14+up_Irr!BI14),".")</f>
        <v>13821.505926415879</v>
      </c>
      <c r="CL14" s="93">
        <f>IFERROR(s_C*s_IFLI_far_adj*s_CF_lima_bean*(1/1000)*(up_Irr!N14+up_Irr!AL14+up_Irr!BJ14),".")</f>
        <v>13821.505926415879</v>
      </c>
      <c r="CM14" s="93">
        <f>IFERROR(s_C*s_IFOK_far_adj*s_CF_okra*(1/1000)*(up_Irr!O14+up_Irr!AM14+up_Irr!BK14),".")</f>
        <v>13821.505926415879</v>
      </c>
      <c r="CN14" s="93">
        <f>IFERROR(s_C*s_IFON_far_adj*s_CF_onion*(1/1000)*(up_Irr!P14+up_Irr!AN14+up_Irr!BL14),".")</f>
        <v>13821.505926415879</v>
      </c>
      <c r="CO14" s="93">
        <f>IFERROR(s_C*s_IFPC_far_adj*s_CF_peach*(1/1000)*(up_Irr!Q14+up_Irr!AO14+up_Irr!BM14),".")</f>
        <v>13821.505926415879</v>
      </c>
      <c r="CP14" s="93">
        <f>IFERROR(s_C*s_IFPR_far_adj*s_CF_pear*(1/1000)*(up_Irr!R14+up_Irr!AP14+up_Irr!BN14),".")</f>
        <v>13821.505926415879</v>
      </c>
      <c r="CQ14" s="93">
        <f>IFERROR(s_C*s_IFPE_far_adj*s_CF_peas*(1/1000)*(up_Irr!S14+up_Irr!AQ14+up_Irr!BO14),".")</f>
        <v>13821.505926415879</v>
      </c>
      <c r="CR14" s="93">
        <f>IFERROR(s_C*s_IFPT_far_adj*s_CF_potato*(1/1000)*(up_Irr!T14+up_Irr!AR14+up_Irr!BP14),".")</f>
        <v>13821.505926415879</v>
      </c>
      <c r="CS14" s="93">
        <f>IFERROR(s_C*s_IFPU_far_adj*s_CF_pumpkin*(1/1000)*(up_Irr!U14+up_Irr!AS14+up_Irr!BQ14),".")</f>
        <v>13821.505926415879</v>
      </c>
      <c r="CT14" s="93">
        <f>IFERROR(s_C*s_IFSN_far_adj*s_CF_snap_bean*(1/1000)*(up_Irr!V14+up_Irr!AT14+up_Irr!BR14),".")</f>
        <v>13821.505926415879</v>
      </c>
      <c r="CU14" s="93">
        <f>IFERROR(s_C*s_IFST_far_adj*s_CF_strawberry*(1/1000)*(up_Irr!W14+up_Irr!AU14+up_Irr!BS14),".")</f>
        <v>13821.505926415879</v>
      </c>
      <c r="CV14" s="93">
        <f>IFERROR(s_C*s_IFTO_far_adj*s_CF_tomato*(1/1000)*(up_Irr!X14+up_Irr!AV14+up_Irr!BT14),".")</f>
        <v>13821.505926415879</v>
      </c>
      <c r="CW14" s="93">
        <f>IFERROR(s_C*s_IFRI_far_adj*s_CF_rice*(1/1000)*(up_Irr!Y14+up_Irr!AW14+up_Irr!BU14),".")</f>
        <v>13821.505926415879</v>
      </c>
      <c r="CX14" s="93">
        <f>IFERROR(s_C*s_IFCG_far_adj*s_CF_cereal*(1/1000)*(up_Irr!Z14+up_Irr!AX14+up_Irr!BV14),".")</f>
        <v>13821.505926415879</v>
      </c>
    </row>
    <row r="15" spans="1:102" ht="15" customHeight="1" x14ac:dyDescent="0.25">
      <c r="A15" s="92" t="s">
        <v>25</v>
      </c>
      <c r="B15" s="90" t="s">
        <v>1074</v>
      </c>
      <c r="C15" s="76">
        <f t="shared" si="0"/>
        <v>1.8087754064641833E-11</v>
      </c>
      <c r="D15" s="76">
        <f>IFERROR(IF(AND(up_Irr!C15&lt;&gt;".",up_Irr!AA15&lt;&gt;".",up_Irr!AY15&lt;&gt;"."),up_dir!D15/((1/1000)*(up_Irr!C15+up_Irr!AA15+up_Irr!AY15)),IF(AND(up_Irr!C15&lt;&gt;".",up_Irr!AA15&lt;&gt;".",up_Irr!AY15="."),up_dir!D15/((1/1000)*(up_Irr!C15+up_Irr!AA15)),IF(AND(up_Irr!C15&lt;&gt;".",up_Irr!AA15=".",up_Irr!AY15&lt;&gt;"."),up_dir!D15/((1/1000)*(up_Irr!C15+up_Irr!AY15)),IF(AND(up_Irr!C15=".",up_Irr!AA15&lt;&gt;".",up_Irr!AY15&lt;&gt;"."),up_dir!D15/((1/1000)*(up_Irr!AA15+up_Irr!AY15)),IF(AND(up_Irr!C15=".",up_Irr!AA15=".",up_Irr!AY15&lt;&gt;"."),up_dir!D15/((1/1000)*(up_Irr!AY15)),IF(AND(up_Irr!C15=".",up_Irr!AA15&lt;&gt;".",up_Irr!AY15="."),up_dir!D15/((1/1000)*(up_Irr!AA15)),IF(AND(up_Irr!C15&lt;&gt;".",up_Irr!AA15=".",up_Irr!AY15="."),up_dir!D15/((1/1000)*(up_Irr!C15)),IF(AND(up_Irr!C15=".",up_Irr!AA15=".",up_Irr!AY15="."),up_dir!D15*1000)))))))),".")</f>
        <v>7.2351016258567334E-11</v>
      </c>
      <c r="E15" s="76">
        <f>IFERROR(IF(AND(up_Irr!D15&lt;&gt;".",up_Irr!AB15&lt;&gt;".",up_Irr!AZ15&lt;&gt;"."),up_dir!E15/((1/1000)*(up_Irr!D15+up_Irr!AB15+up_Irr!AZ15)),IF(AND(up_Irr!D15&lt;&gt;".",up_Irr!AB15&lt;&gt;".",up_Irr!AZ15="."),up_dir!E15/((1/1000)*(up_Irr!D15+up_Irr!AB15)),IF(AND(up_Irr!D15&lt;&gt;".",up_Irr!AB15=".",up_Irr!AZ15&lt;&gt;"."),up_dir!E15/((1/1000)*(up_Irr!D15+up_Irr!AZ15)),IF(AND(up_Irr!D15=".",up_Irr!AB15&lt;&gt;".",up_Irr!AZ15&lt;&gt;"."),up_dir!E15/((1/1000)*(up_Irr!AB15+up_Irr!AZ15)),IF(AND(up_Irr!D15=".",up_Irr!AB15=".",up_Irr!AZ15&lt;&gt;"."),up_dir!E15/((1/1000)*(up_Irr!AZ15)),IF(AND(up_Irr!D15=".",up_Irr!AB15&lt;&gt;".",up_Irr!AZ15="."),up_dir!E15/((1/1000)*(up_Irr!AB15)),IF(AND(up_Irr!D15&lt;&gt;".",up_Irr!AB15=".",up_Irr!AZ15="."),up_dir!E15/((1/1000)*(up_Irr!D15)),IF(AND(up_Irr!D15=".",up_Irr!AB15=".",up_Irr!AZ15="."),up_dir!E15*1000)))))))),".")</f>
        <v>7.2351016258567334E-11</v>
      </c>
      <c r="F15" s="76">
        <f>IFERROR(IF(AND(up_Irr!E15&lt;&gt;".",up_Irr!AC15&lt;&gt;".",up_Irr!BA15&lt;&gt;"."),up_dir!F15/((1/1000)*(up_Irr!E15+up_Irr!AC15+up_Irr!BA15)),IF(AND(up_Irr!E15&lt;&gt;".",up_Irr!AC15&lt;&gt;".",up_Irr!BA15="."),up_dir!F15/((1/1000)*(up_Irr!E15+up_Irr!AC15)),IF(AND(up_Irr!E15&lt;&gt;".",up_Irr!AC15=".",up_Irr!BA15&lt;&gt;"."),up_dir!F15/((1/1000)*(up_Irr!E15+up_Irr!BA15)),IF(AND(up_Irr!E15=".",up_Irr!AC15&lt;&gt;".",up_Irr!BA15&lt;&gt;"."),up_dir!F15/((1/1000)*(up_Irr!AC15+up_Irr!BA15)),IF(AND(up_Irr!E15=".",up_Irr!AC15=".",up_Irr!BA15&lt;&gt;"."),up_dir!F15/((1/1000)*(up_Irr!BA15)),IF(AND(up_Irr!E15=".",up_Irr!AC15&lt;&gt;".",up_Irr!BA15="."),up_dir!F15/((1/1000)*(up_Irr!AC15)),IF(AND(up_Irr!E15&lt;&gt;".",up_Irr!AC15=".",up_Irr!BA15="."),up_dir!F15/((1/1000)*(up_Irr!E15)),IF(AND(up_Irr!E15=".",up_Irr!AC15=".",up_Irr!BA15="."),up_dir!F15*1000)))))))),".")</f>
        <v>7.2351016258567334E-11</v>
      </c>
      <c r="G15" s="76">
        <f>IFERROR(IF(AND(up_Irr!F15&lt;&gt;".",up_Irr!AD15&lt;&gt;".",up_Irr!BB15&lt;&gt;"."),up_dir!G15/((1/1000)*(up_Irr!F15+up_Irr!AD15+up_Irr!BB15)),IF(AND(up_Irr!F15&lt;&gt;".",up_Irr!AD15&lt;&gt;".",up_Irr!BB15="."),up_dir!G15/((1/1000)*(up_Irr!F15+up_Irr!AD15)),IF(AND(up_Irr!F15&lt;&gt;".",up_Irr!AD15=".",up_Irr!BB15&lt;&gt;"."),up_dir!G15/((1/1000)*(up_Irr!F15+up_Irr!BB15)),IF(AND(up_Irr!F15=".",up_Irr!AD15&lt;&gt;".",up_Irr!BB15&lt;&gt;"."),up_dir!G15/((1/1000)*(up_Irr!AD15+up_Irr!BB15)),IF(AND(up_Irr!F15=".",up_Irr!AD15=".",up_Irr!BB15&lt;&gt;"."),up_dir!G15/((1/1000)*(up_Irr!BB15)),IF(AND(up_Irr!F15=".",up_Irr!AD15&lt;&gt;".",up_Irr!BB15="."),up_dir!G15/((1/1000)*(up_Irr!AD15)),IF(AND(up_Irr!F15&lt;&gt;".",up_Irr!AD15=".",up_Irr!BB15="."),up_dir!G15/((1/1000)*(up_Irr!F15)),IF(AND(up_Irr!F15=".",up_Irr!AD15=".",up_Irr!BB15="."),up_dir!G15*1000)))))))),".")</f>
        <v>7.2351016258567334E-11</v>
      </c>
      <c r="H15" s="76">
        <f>IFERROR(IF(AND(up_Irr!G15&lt;&gt;".",up_Irr!AE15&lt;&gt;".",up_Irr!BC15&lt;&gt;"."),up_dir!H15/((1/1000)*(up_Irr!G15+up_Irr!AE15+up_Irr!BC15)),IF(AND(up_Irr!G15&lt;&gt;".",up_Irr!AE15&lt;&gt;".",up_Irr!BC15="."),up_dir!H15/((1/1000)*(up_Irr!G15+up_Irr!AE15)),IF(AND(up_Irr!G15&lt;&gt;".",up_Irr!AE15=".",up_Irr!BC15&lt;&gt;"."),up_dir!H15/((1/1000)*(up_Irr!G15+up_Irr!BC15)),IF(AND(up_Irr!G15=".",up_Irr!AE15&lt;&gt;".",up_Irr!BC15&lt;&gt;"."),up_dir!H15/((1/1000)*(up_Irr!AE15+up_Irr!BC15)),IF(AND(up_Irr!G15=".",up_Irr!AE15=".",up_Irr!BC15&lt;&gt;"."),up_dir!H15/((1/1000)*(up_Irr!BC15)),IF(AND(up_Irr!G15=".",up_Irr!AE15&lt;&gt;".",up_Irr!BC15="."),up_dir!H15/((1/1000)*(up_Irr!AE15)),IF(AND(up_Irr!G15&lt;&gt;".",up_Irr!AE15=".",up_Irr!BC15="."),up_dir!H15/((1/1000)*(up_Irr!G15)),IF(AND(up_Irr!G15=".",up_Irr!AE15=".",up_Irr!BC15="."),up_dir!H15*1000)))))))),".")</f>
        <v>7.2351016258567334E-11</v>
      </c>
      <c r="I15" s="76">
        <f>IFERROR(IF(AND(up_Irr!H15&lt;&gt;".",up_Irr!AF15&lt;&gt;".",up_Irr!BD15&lt;&gt;"."),up_dir!I15/((1/1000)*(up_Irr!H15+up_Irr!AF15+up_Irr!BD15)),IF(AND(up_Irr!H15&lt;&gt;".",up_Irr!AF15&lt;&gt;".",up_Irr!BD15="."),up_dir!I15/((1/1000)*(up_Irr!H15+up_Irr!AF15)),IF(AND(up_Irr!H15&lt;&gt;".",up_Irr!AF15=".",up_Irr!BD15&lt;&gt;"."),up_dir!I15/((1/1000)*(up_Irr!H15+up_Irr!BD15)),IF(AND(up_Irr!H15=".",up_Irr!AF15&lt;&gt;".",up_Irr!BD15&lt;&gt;"."),up_dir!I15/((1/1000)*(up_Irr!AF15+up_Irr!BD15)),IF(AND(up_Irr!H15=".",up_Irr!AF15=".",up_Irr!BD15&lt;&gt;"."),up_dir!I15/((1/1000)*(up_Irr!BD15)),IF(AND(up_Irr!H15=".",up_Irr!AF15&lt;&gt;".",up_Irr!BD15="."),up_dir!I15/((1/1000)*(up_Irr!AF15)),IF(AND(up_Irr!H15&lt;&gt;".",up_Irr!AF15=".",up_Irr!BD15="."),up_dir!I15/((1/1000)*(up_Irr!H15)),IF(AND(up_Irr!H15=".",up_Irr!AF15=".",up_Irr!BD15="."),up_dir!I15*1000)))))))),".")</f>
        <v>7.2351016258567334E-11</v>
      </c>
      <c r="J15" s="76">
        <f>IFERROR(IF(AND(up_Irr!I15&lt;&gt;".",up_Irr!AG15&lt;&gt;".",up_Irr!BE15&lt;&gt;"."),up_dir!J15/((1/1000)*(up_Irr!I15+up_Irr!AG15+up_Irr!BE15)),IF(AND(up_Irr!I15&lt;&gt;".",up_Irr!AG15&lt;&gt;".",up_Irr!BE15="."),up_dir!J15/((1/1000)*(up_Irr!I15+up_Irr!AG15)),IF(AND(up_Irr!I15&lt;&gt;".",up_Irr!AG15=".",up_Irr!BE15&lt;&gt;"."),up_dir!J15/((1/1000)*(up_Irr!I15+up_Irr!BE15)),IF(AND(up_Irr!I15=".",up_Irr!AG15&lt;&gt;".",up_Irr!BE15&lt;&gt;"."),up_dir!J15/((1/1000)*(up_Irr!AG15+up_Irr!BE15)),IF(AND(up_Irr!I15=".",up_Irr!AG15=".",up_Irr!BE15&lt;&gt;"."),up_dir!J15/((1/1000)*(up_Irr!BE15)),IF(AND(up_Irr!I15=".",up_Irr!AG15&lt;&gt;".",up_Irr!BE15="."),up_dir!J15/((1/1000)*(up_Irr!AG15)),IF(AND(up_Irr!I15&lt;&gt;".",up_Irr!AG15=".",up_Irr!BE15="."),up_dir!J15/((1/1000)*(up_Irr!I15)),IF(AND(up_Irr!I15=".",up_Irr!AG15=".",up_Irr!BE15="."),up_dir!J15*1000)))))))),".")</f>
        <v>7.2351016258567334E-11</v>
      </c>
      <c r="K15" s="76">
        <f>IFERROR(IF(AND(up_Irr!J15&lt;&gt;".",up_Irr!AH15&lt;&gt;".",up_Irr!BF15&lt;&gt;"."),up_dir!K15/((1/1000)*(up_Irr!J15+up_Irr!AH15+up_Irr!BF15)),IF(AND(up_Irr!J15&lt;&gt;".",up_Irr!AH15&lt;&gt;".",up_Irr!BF15="."),up_dir!K15/((1/1000)*(up_Irr!J15+up_Irr!AH15)),IF(AND(up_Irr!J15&lt;&gt;".",up_Irr!AH15=".",up_Irr!BF15&lt;&gt;"."),up_dir!K15/((1/1000)*(up_Irr!J15+up_Irr!BF15)),IF(AND(up_Irr!J15=".",up_Irr!AH15&lt;&gt;".",up_Irr!BF15&lt;&gt;"."),up_dir!K15/((1/1000)*(up_Irr!AH15+up_Irr!BF15)),IF(AND(up_Irr!J15=".",up_Irr!AH15=".",up_Irr!BF15&lt;&gt;"."),up_dir!K15/((1/1000)*(up_Irr!BF15)),IF(AND(up_Irr!J15=".",up_Irr!AH15&lt;&gt;".",up_Irr!BF15="."),up_dir!K15/((1/1000)*(up_Irr!AH15)),IF(AND(up_Irr!J15&lt;&gt;".",up_Irr!AH15=".",up_Irr!BF15="."),up_dir!K15/((1/1000)*(up_Irr!J15)),IF(AND(up_Irr!J15=".",up_Irr!AH15=".",up_Irr!BF15="."),up_dir!K15*1000)))))))),".")</f>
        <v>7.2351016258567334E-11</v>
      </c>
      <c r="L15" s="76">
        <f>IFERROR(IF(AND(up_Irr!K15&lt;&gt;".",up_Irr!AI15&lt;&gt;".",up_Irr!BG15&lt;&gt;"."),up_dir!L15/((1/1000)*(up_Irr!K15+up_Irr!AI15+up_Irr!BG15)),IF(AND(up_Irr!K15&lt;&gt;".",up_Irr!AI15&lt;&gt;".",up_Irr!BG15="."),up_dir!L15/((1/1000)*(up_Irr!K15+up_Irr!AI15)),IF(AND(up_Irr!K15&lt;&gt;".",up_Irr!AI15=".",up_Irr!BG15&lt;&gt;"."),up_dir!L15/((1/1000)*(up_Irr!K15+up_Irr!BG15)),IF(AND(up_Irr!K15=".",up_Irr!AI15&lt;&gt;".",up_Irr!BG15&lt;&gt;"."),up_dir!L15/((1/1000)*(up_Irr!AI15+up_Irr!BG15)),IF(AND(up_Irr!K15=".",up_Irr!AI15=".",up_Irr!BG15&lt;&gt;"."),up_dir!L15/((1/1000)*(up_Irr!BG15)),IF(AND(up_Irr!K15=".",up_Irr!AI15&lt;&gt;".",up_Irr!BG15="."),up_dir!L15/((1/1000)*(up_Irr!AI15)),IF(AND(up_Irr!K15&lt;&gt;".",up_Irr!AI15=".",up_Irr!BG15="."),up_dir!L15/((1/1000)*(up_Irr!K15)),IF(AND(up_Irr!K15=".",up_Irr!AI15=".",up_Irr!BG15="."),up_dir!L15*1000)))))))),".")</f>
        <v>7.2351016258567334E-11</v>
      </c>
      <c r="M15" s="76">
        <f>IFERROR(IF(AND(up_Irr!L15&lt;&gt;".",up_Irr!AJ15&lt;&gt;".",up_Irr!BH15&lt;&gt;"."),up_dir!M15/((1/1000)*(up_Irr!L15+up_Irr!AJ15+up_Irr!BH15)),IF(AND(up_Irr!L15&lt;&gt;".",up_Irr!AJ15&lt;&gt;".",up_Irr!BH15="."),up_dir!M15/((1/1000)*(up_Irr!L15+up_Irr!AJ15)),IF(AND(up_Irr!L15&lt;&gt;".",up_Irr!AJ15=".",up_Irr!BH15&lt;&gt;"."),up_dir!M15/((1/1000)*(up_Irr!L15+up_Irr!BH15)),IF(AND(up_Irr!L15=".",up_Irr!AJ15&lt;&gt;".",up_Irr!BH15&lt;&gt;"."),up_dir!M15/((1/1000)*(up_Irr!AJ15+up_Irr!BH15)),IF(AND(up_Irr!L15=".",up_Irr!AJ15=".",up_Irr!BH15&lt;&gt;"."),up_dir!M15/((1/1000)*(up_Irr!BH15)),IF(AND(up_Irr!L15=".",up_Irr!AJ15&lt;&gt;".",up_Irr!BH15="."),up_dir!M15/((1/1000)*(up_Irr!AJ15)),IF(AND(up_Irr!L15&lt;&gt;".",up_Irr!AJ15=".",up_Irr!BH15="."),up_dir!M15/((1/1000)*(up_Irr!L15)),IF(AND(up_Irr!L15=".",up_Irr!AJ15=".",up_Irr!BH15="."),up_dir!M15*1000)))))))),".")</f>
        <v>7.2351016258567334E-11</v>
      </c>
      <c r="N15" s="76">
        <f>IFERROR(IF(AND(up_Irr!M15&lt;&gt;".",up_Irr!AK15&lt;&gt;".",up_Irr!BI15&lt;&gt;"."),up_dir!N15/((1/1000)*(up_Irr!M15+up_Irr!AK15+up_Irr!BI15)),IF(AND(up_Irr!M15&lt;&gt;".",up_Irr!AK15&lt;&gt;".",up_Irr!BI15="."),up_dir!N15/((1/1000)*(up_Irr!M15+up_Irr!AK15)),IF(AND(up_Irr!M15&lt;&gt;".",up_Irr!AK15=".",up_Irr!BI15&lt;&gt;"."),up_dir!N15/((1/1000)*(up_Irr!M15+up_Irr!BI15)),IF(AND(up_Irr!M15=".",up_Irr!AK15&lt;&gt;".",up_Irr!BI15&lt;&gt;"."),up_dir!N15/((1/1000)*(up_Irr!AK15+up_Irr!BI15)),IF(AND(up_Irr!M15=".",up_Irr!AK15=".",up_Irr!BI15&lt;&gt;"."),up_dir!N15/((1/1000)*(up_Irr!BI15)),IF(AND(up_Irr!M15=".",up_Irr!AK15&lt;&gt;".",up_Irr!BI15="."),up_dir!N15/((1/1000)*(up_Irr!AK15)),IF(AND(up_Irr!M15&lt;&gt;".",up_Irr!AK15=".",up_Irr!BI15="."),up_dir!N15/((1/1000)*(up_Irr!M15)),IF(AND(up_Irr!M15=".",up_Irr!AK15=".",up_Irr!BI15="."),up_dir!N15*1000)))))))),".")</f>
        <v>7.2351016258567334E-11</v>
      </c>
      <c r="O15" s="76">
        <f>IFERROR(IF(AND(up_Irr!N15&lt;&gt;".",up_Irr!AL15&lt;&gt;".",up_Irr!BJ15&lt;&gt;"."),up_dir!O15/((1/1000)*(up_Irr!N15+up_Irr!AL15+up_Irr!BJ15)),IF(AND(up_Irr!N15&lt;&gt;".",up_Irr!AL15&lt;&gt;".",up_Irr!BJ15="."),up_dir!O15/((1/1000)*(up_Irr!N15+up_Irr!AL15)),IF(AND(up_Irr!N15&lt;&gt;".",up_Irr!AL15=".",up_Irr!BJ15&lt;&gt;"."),up_dir!O15/((1/1000)*(up_Irr!N15+up_Irr!BJ15)),IF(AND(up_Irr!N15=".",up_Irr!AL15&lt;&gt;".",up_Irr!BJ15&lt;&gt;"."),up_dir!O15/((1/1000)*(up_Irr!AL15+up_Irr!BJ15)),IF(AND(up_Irr!N15=".",up_Irr!AL15=".",up_Irr!BJ15&lt;&gt;"."),up_dir!O15/((1/1000)*(up_Irr!BJ15)),IF(AND(up_Irr!N15=".",up_Irr!AL15&lt;&gt;".",up_Irr!BJ15="."),up_dir!O15/((1/1000)*(up_Irr!AL15)),IF(AND(up_Irr!N15&lt;&gt;".",up_Irr!AL15=".",up_Irr!BJ15="."),up_dir!O15/((1/1000)*(up_Irr!N15)),IF(AND(up_Irr!N15=".",up_Irr!AL15=".",up_Irr!BJ15="."),up_dir!O15*1000)))))))),".")</f>
        <v>7.2351016258567334E-11</v>
      </c>
      <c r="P15" s="76">
        <f>IFERROR(IF(AND(up_Irr!O15&lt;&gt;".",up_Irr!AM15&lt;&gt;".",up_Irr!BK15&lt;&gt;"."),up_dir!P15/((1/1000)*(up_Irr!O15+up_Irr!AM15+up_Irr!BK15)),IF(AND(up_Irr!O15&lt;&gt;".",up_Irr!AM15&lt;&gt;".",up_Irr!BK15="."),up_dir!P15/((1/1000)*(up_Irr!O15+up_Irr!AM15)),IF(AND(up_Irr!O15&lt;&gt;".",up_Irr!AM15=".",up_Irr!BK15&lt;&gt;"."),up_dir!P15/((1/1000)*(up_Irr!O15+up_Irr!BK15)),IF(AND(up_Irr!O15=".",up_Irr!AM15&lt;&gt;".",up_Irr!BK15&lt;&gt;"."),up_dir!P15/((1/1000)*(up_Irr!AM15+up_Irr!BK15)),IF(AND(up_Irr!O15=".",up_Irr!AM15=".",up_Irr!BK15&lt;&gt;"."),up_dir!P15/((1/1000)*(up_Irr!BK15)),IF(AND(up_Irr!O15=".",up_Irr!AM15&lt;&gt;".",up_Irr!BK15="."),up_dir!P15/((1/1000)*(up_Irr!AM15)),IF(AND(up_Irr!O15&lt;&gt;".",up_Irr!AM15=".",up_Irr!BK15="."),up_dir!P15/((1/1000)*(up_Irr!O15)),IF(AND(up_Irr!O15=".",up_Irr!AM15=".",up_Irr!BK15="."),up_dir!P15*1000)))))))),".")</f>
        <v>7.2351016258567334E-11</v>
      </c>
      <c r="Q15" s="76">
        <f>IFERROR(IF(AND(up_Irr!P15&lt;&gt;".",up_Irr!AN15&lt;&gt;".",up_Irr!BL15&lt;&gt;"."),up_dir!Q15/((1/1000)*(up_Irr!P15+up_Irr!AN15+up_Irr!BL15)),IF(AND(up_Irr!P15&lt;&gt;".",up_Irr!AN15&lt;&gt;".",up_Irr!BL15="."),up_dir!Q15/((1/1000)*(up_Irr!P15+up_Irr!AN15)),IF(AND(up_Irr!P15&lt;&gt;".",up_Irr!AN15=".",up_Irr!BL15&lt;&gt;"."),up_dir!Q15/((1/1000)*(up_Irr!P15+up_Irr!BL15)),IF(AND(up_Irr!P15=".",up_Irr!AN15&lt;&gt;".",up_Irr!BL15&lt;&gt;"."),up_dir!Q15/((1/1000)*(up_Irr!AN15+up_Irr!BL15)),IF(AND(up_Irr!P15=".",up_Irr!AN15=".",up_Irr!BL15&lt;&gt;"."),up_dir!Q15/((1/1000)*(up_Irr!BL15)),IF(AND(up_Irr!P15=".",up_Irr!AN15&lt;&gt;".",up_Irr!BL15="."),up_dir!Q15/((1/1000)*(up_Irr!AN15)),IF(AND(up_Irr!P15&lt;&gt;".",up_Irr!AN15=".",up_Irr!BL15="."),up_dir!Q15/((1/1000)*(up_Irr!P15)),IF(AND(up_Irr!P15=".",up_Irr!AN15=".",up_Irr!BL15="."),up_dir!Q15*1000)))))))),".")</f>
        <v>7.2351016258567334E-11</v>
      </c>
      <c r="R15" s="76">
        <f>IFERROR(IF(AND(up_Irr!Q15&lt;&gt;".",up_Irr!AO15&lt;&gt;".",up_Irr!BM15&lt;&gt;"."),up_dir!R15/((1/1000)*(up_Irr!Q15+up_Irr!AO15+up_Irr!BM15)),IF(AND(up_Irr!Q15&lt;&gt;".",up_Irr!AO15&lt;&gt;".",up_Irr!BM15="."),up_dir!R15/((1/1000)*(up_Irr!Q15+up_Irr!AO15)),IF(AND(up_Irr!Q15&lt;&gt;".",up_Irr!AO15=".",up_Irr!BM15&lt;&gt;"."),up_dir!R15/((1/1000)*(up_Irr!Q15+up_Irr!BM15)),IF(AND(up_Irr!Q15=".",up_Irr!AO15&lt;&gt;".",up_Irr!BM15&lt;&gt;"."),up_dir!R15/((1/1000)*(up_Irr!AO15+up_Irr!BM15)),IF(AND(up_Irr!Q15=".",up_Irr!AO15=".",up_Irr!BM15&lt;&gt;"."),up_dir!R15/((1/1000)*(up_Irr!BM15)),IF(AND(up_Irr!Q15=".",up_Irr!AO15&lt;&gt;".",up_Irr!BM15="."),up_dir!R15/((1/1000)*(up_Irr!AO15)),IF(AND(up_Irr!Q15&lt;&gt;".",up_Irr!AO15=".",up_Irr!BM15="."),up_dir!R15/((1/1000)*(up_Irr!Q15)),IF(AND(up_Irr!Q15=".",up_Irr!AO15=".",up_Irr!BM15="."),up_dir!R15*1000)))))))),".")</f>
        <v>7.2351016258567334E-11</v>
      </c>
      <c r="S15" s="76">
        <f>IFERROR(IF(AND(up_Irr!R15&lt;&gt;".",up_Irr!AP15&lt;&gt;".",up_Irr!BN15&lt;&gt;"."),up_dir!S15/((1/1000)*(up_Irr!R15+up_Irr!AP15+up_Irr!BN15)),IF(AND(up_Irr!R15&lt;&gt;".",up_Irr!AP15&lt;&gt;".",up_Irr!BN15="."),up_dir!S15/((1/1000)*(up_Irr!R15+up_Irr!AP15)),IF(AND(up_Irr!R15&lt;&gt;".",up_Irr!AP15=".",up_Irr!BN15&lt;&gt;"."),up_dir!S15/((1/1000)*(up_Irr!R15+up_Irr!BN15)),IF(AND(up_Irr!R15=".",up_Irr!AP15&lt;&gt;".",up_Irr!BN15&lt;&gt;"."),up_dir!S15/((1/1000)*(up_Irr!AP15+up_Irr!BN15)),IF(AND(up_Irr!R15=".",up_Irr!AP15=".",up_Irr!BN15&lt;&gt;"."),up_dir!S15/((1/1000)*(up_Irr!BN15)),IF(AND(up_Irr!R15=".",up_Irr!AP15&lt;&gt;".",up_Irr!BN15="."),up_dir!S15/((1/1000)*(up_Irr!AP15)),IF(AND(up_Irr!R15&lt;&gt;".",up_Irr!AP15=".",up_Irr!BN15="."),up_dir!S15/((1/1000)*(up_Irr!R15)),IF(AND(up_Irr!R15=".",up_Irr!AP15=".",up_Irr!BN15="."),up_dir!S15*1000)))))))),".")</f>
        <v>7.2351016258567334E-11</v>
      </c>
      <c r="T15" s="76">
        <f>IFERROR(IF(AND(up_Irr!S15&lt;&gt;".",up_Irr!AQ15&lt;&gt;".",up_Irr!BO15&lt;&gt;"."),up_dir!T15/((1/1000)*(up_Irr!S15+up_Irr!AQ15+up_Irr!BO15)),IF(AND(up_Irr!S15&lt;&gt;".",up_Irr!AQ15&lt;&gt;".",up_Irr!BO15="."),up_dir!T15/((1/1000)*(up_Irr!S15+up_Irr!AQ15)),IF(AND(up_Irr!S15&lt;&gt;".",up_Irr!AQ15=".",up_Irr!BO15&lt;&gt;"."),up_dir!T15/((1/1000)*(up_Irr!S15+up_Irr!BO15)),IF(AND(up_Irr!S15=".",up_Irr!AQ15&lt;&gt;".",up_Irr!BO15&lt;&gt;"."),up_dir!T15/((1/1000)*(up_Irr!AQ15+up_Irr!BO15)),IF(AND(up_Irr!S15=".",up_Irr!AQ15=".",up_Irr!BO15&lt;&gt;"."),up_dir!T15/((1/1000)*(up_Irr!BO15)),IF(AND(up_Irr!S15=".",up_Irr!AQ15&lt;&gt;".",up_Irr!BO15="."),up_dir!T15/((1/1000)*(up_Irr!AQ15)),IF(AND(up_Irr!S15&lt;&gt;".",up_Irr!AQ15=".",up_Irr!BO15="."),up_dir!T15/((1/1000)*(up_Irr!S15)),IF(AND(up_Irr!S15=".",up_Irr!AQ15=".",up_Irr!BO15="."),up_dir!T15*1000)))))))),".")</f>
        <v>7.2351016258567334E-11</v>
      </c>
      <c r="U15" s="76">
        <f>IFERROR(IF(AND(up_Irr!T15&lt;&gt;".",up_Irr!AR15&lt;&gt;".",up_Irr!BP15&lt;&gt;"."),up_dir!U15/((1/1000)*(up_Irr!T15+up_Irr!AR15+up_Irr!BP15)),IF(AND(up_Irr!T15&lt;&gt;".",up_Irr!AR15&lt;&gt;".",up_Irr!BP15="."),up_dir!U15/((1/1000)*(up_Irr!T15+up_Irr!AR15)),IF(AND(up_Irr!T15&lt;&gt;".",up_Irr!AR15=".",up_Irr!BP15&lt;&gt;"."),up_dir!U15/((1/1000)*(up_Irr!T15+up_Irr!BP15)),IF(AND(up_Irr!T15=".",up_Irr!AR15&lt;&gt;".",up_Irr!BP15&lt;&gt;"."),up_dir!U15/((1/1000)*(up_Irr!AR15+up_Irr!BP15)),IF(AND(up_Irr!T15=".",up_Irr!AR15=".",up_Irr!BP15&lt;&gt;"."),up_dir!U15/((1/1000)*(up_Irr!BP15)),IF(AND(up_Irr!T15=".",up_Irr!AR15&lt;&gt;".",up_Irr!BP15="."),up_dir!U15/((1/1000)*(up_Irr!AR15)),IF(AND(up_Irr!T15&lt;&gt;".",up_Irr!AR15=".",up_Irr!BP15="."),up_dir!U15/((1/1000)*(up_Irr!T15)),IF(AND(up_Irr!T15=".",up_Irr!AR15=".",up_Irr!BP15="."),up_dir!U15*1000)))))))),".")</f>
        <v>7.2351016258567334E-11</v>
      </c>
      <c r="V15" s="76">
        <f>IFERROR(IF(AND(up_Irr!U15&lt;&gt;".",up_Irr!AS15&lt;&gt;".",up_Irr!BQ15&lt;&gt;"."),up_dir!V15/((1/1000)*(up_Irr!U15+up_Irr!AS15+up_Irr!BQ15)),IF(AND(up_Irr!U15&lt;&gt;".",up_Irr!AS15&lt;&gt;".",up_Irr!BQ15="."),up_dir!V15/((1/1000)*(up_Irr!U15+up_Irr!AS15)),IF(AND(up_Irr!U15&lt;&gt;".",up_Irr!AS15=".",up_Irr!BQ15&lt;&gt;"."),up_dir!V15/((1/1000)*(up_Irr!U15+up_Irr!BQ15)),IF(AND(up_Irr!U15=".",up_Irr!AS15&lt;&gt;".",up_Irr!BQ15&lt;&gt;"."),up_dir!V15/((1/1000)*(up_Irr!AS15+up_Irr!BQ15)),IF(AND(up_Irr!U15=".",up_Irr!AS15=".",up_Irr!BQ15&lt;&gt;"."),up_dir!V15/((1/1000)*(up_Irr!BQ15)),IF(AND(up_Irr!U15=".",up_Irr!AS15&lt;&gt;".",up_Irr!BQ15="."),up_dir!V15/((1/1000)*(up_Irr!AS15)),IF(AND(up_Irr!U15&lt;&gt;".",up_Irr!AS15=".",up_Irr!BQ15="."),up_dir!V15/((1/1000)*(up_Irr!U15)),IF(AND(up_Irr!U15=".",up_Irr!AS15=".",up_Irr!BQ15="."),up_dir!V15*1000)))))))),".")</f>
        <v>7.2351016258567334E-11</v>
      </c>
      <c r="W15" s="76">
        <f>IFERROR(IF(AND(up_Irr!V15&lt;&gt;".",up_Irr!AT15&lt;&gt;".",up_Irr!BR15&lt;&gt;"."),up_dir!W15/((1/1000)*(up_Irr!V15+up_Irr!AT15+up_Irr!BR15)),IF(AND(up_Irr!V15&lt;&gt;".",up_Irr!AT15&lt;&gt;".",up_Irr!BR15="."),up_dir!W15/((1/1000)*(up_Irr!V15+up_Irr!AT15)),IF(AND(up_Irr!V15&lt;&gt;".",up_Irr!AT15=".",up_Irr!BR15&lt;&gt;"."),up_dir!W15/((1/1000)*(up_Irr!V15+up_Irr!BR15)),IF(AND(up_Irr!V15=".",up_Irr!AT15&lt;&gt;".",up_Irr!BR15&lt;&gt;"."),up_dir!W15/((1/1000)*(up_Irr!AT15+up_Irr!BR15)),IF(AND(up_Irr!V15=".",up_Irr!AT15=".",up_Irr!BR15&lt;&gt;"."),up_dir!W15/((1/1000)*(up_Irr!BR15)),IF(AND(up_Irr!V15=".",up_Irr!AT15&lt;&gt;".",up_Irr!BR15="."),up_dir!W15/((1/1000)*(up_Irr!AT15)),IF(AND(up_Irr!V15&lt;&gt;".",up_Irr!AT15=".",up_Irr!BR15="."),up_dir!W15/((1/1000)*(up_Irr!V15)),IF(AND(up_Irr!V15=".",up_Irr!AT15=".",up_Irr!BR15="."),up_dir!W15*1000)))))))),".")</f>
        <v>7.2351016258567334E-11</v>
      </c>
      <c r="X15" s="76">
        <f>IFERROR(IF(AND(up_Irr!W15&lt;&gt;".",up_Irr!AU15&lt;&gt;".",up_Irr!BS15&lt;&gt;"."),up_dir!X15/((1/1000)*(up_Irr!W15+up_Irr!AU15+up_Irr!BS15)),IF(AND(up_Irr!W15&lt;&gt;".",up_Irr!AU15&lt;&gt;".",up_Irr!BS15="."),up_dir!X15/((1/1000)*(up_Irr!W15+up_Irr!AU15)),IF(AND(up_Irr!W15&lt;&gt;".",up_Irr!AU15=".",up_Irr!BS15&lt;&gt;"."),up_dir!X15/((1/1000)*(up_Irr!W15+up_Irr!BS15)),IF(AND(up_Irr!W15=".",up_Irr!AU15&lt;&gt;".",up_Irr!BS15&lt;&gt;"."),up_dir!X15/((1/1000)*(up_Irr!AU15+up_Irr!BS15)),IF(AND(up_Irr!W15=".",up_Irr!AU15=".",up_Irr!BS15&lt;&gt;"."),up_dir!X15/((1/1000)*(up_Irr!BS15)),IF(AND(up_Irr!W15=".",up_Irr!AU15&lt;&gt;".",up_Irr!BS15="."),up_dir!X15/((1/1000)*(up_Irr!AU15)),IF(AND(up_Irr!W15&lt;&gt;".",up_Irr!AU15=".",up_Irr!BS15="."),up_dir!X15/((1/1000)*(up_Irr!W15)),IF(AND(up_Irr!W15=".",up_Irr!AU15=".",up_Irr!BS15="."),up_dir!X15*1000)))))))),".")</f>
        <v>7.2351016258567334E-11</v>
      </c>
      <c r="Y15" s="76">
        <f>IFERROR(IF(AND(up_Irr!X15&lt;&gt;".",up_Irr!AV15&lt;&gt;".",up_Irr!BT15&lt;&gt;"."),up_dir!Y15/((1/1000)*(up_Irr!X15+up_Irr!AV15+up_Irr!BT15)),IF(AND(up_Irr!X15&lt;&gt;".",up_Irr!AV15&lt;&gt;".",up_Irr!BT15="."),up_dir!Y15/((1/1000)*(up_Irr!X15+up_Irr!AV15)),IF(AND(up_Irr!X15&lt;&gt;".",up_Irr!AV15=".",up_Irr!BT15&lt;&gt;"."),up_dir!Y15/((1/1000)*(up_Irr!X15+up_Irr!BT15)),IF(AND(up_Irr!X15=".",up_Irr!AV15&lt;&gt;".",up_Irr!BT15&lt;&gt;"."),up_dir!Y15/((1/1000)*(up_Irr!AV15+up_Irr!BT15)),IF(AND(up_Irr!X15=".",up_Irr!AV15=".",up_Irr!BT15&lt;&gt;"."),up_dir!Y15/((1/1000)*(up_Irr!BT15)),IF(AND(up_Irr!X15=".",up_Irr!AV15&lt;&gt;".",up_Irr!BT15="."),up_dir!Y15/((1/1000)*(up_Irr!AV15)),IF(AND(up_Irr!X15&lt;&gt;".",up_Irr!AV15=".",up_Irr!BT15="."),up_dir!Y15/((1/1000)*(up_Irr!X15)),IF(AND(up_Irr!X15=".",up_Irr!AV15=".",up_Irr!BT15="."),up_dir!Y15*1000)))))))),".")</f>
        <v>7.2351016258567334E-11</v>
      </c>
      <c r="Z15" s="76">
        <f>IFERROR(IF(AND(up_Irr!Y15&lt;&gt;".",up_Irr!AW15&lt;&gt;".",up_Irr!BU15&lt;&gt;"."),up_dir!Z15/((1/1000)*(up_Irr!Y15+up_Irr!AW15+up_Irr!BU15)),IF(AND(up_Irr!Y15&lt;&gt;".",up_Irr!AW15&lt;&gt;".",up_Irr!BU15="."),up_dir!Z15/((1/1000)*(up_Irr!Y15+up_Irr!AW15)),IF(AND(up_Irr!Y15&lt;&gt;".",up_Irr!AW15=".",up_Irr!BU15&lt;&gt;"."),up_dir!Z15/((1/1000)*(up_Irr!Y15+up_Irr!BU15)),IF(AND(up_Irr!Y15=".",up_Irr!AW15&lt;&gt;".",up_Irr!BU15&lt;&gt;"."),up_dir!Z15/((1/1000)*(up_Irr!AW15+up_Irr!BU15)),IF(AND(up_Irr!Y15=".",up_Irr!AW15=".",up_Irr!BU15&lt;&gt;"."),up_dir!Z15/((1/1000)*(up_Irr!BU15)),IF(AND(up_Irr!Y15=".",up_Irr!AW15&lt;&gt;".",up_Irr!BU15="."),up_dir!Z15/((1/1000)*(up_Irr!AW15)),IF(AND(up_Irr!Y15&lt;&gt;".",up_Irr!AW15=".",up_Irr!BU15="."),up_dir!Z15/((1/1000)*(up_Irr!Y15)),IF(AND(up_Irr!Y15=".",up_Irr!AW15=".",up_Irr!BU15="."),up_dir!Z15*1000)))))))),".")</f>
        <v>7.2351016258567334E-11</v>
      </c>
      <c r="AA15" s="76">
        <f>IFERROR(IF(AND(up_Irr!Z15&lt;&gt;".",up_Irr!AX15&lt;&gt;".",up_Irr!BV15&lt;&gt;"."),up_dir!AA15/((1/1000)*(up_Irr!Z15+up_Irr!AX15+up_Irr!BV15)),IF(AND(up_Irr!Z15&lt;&gt;".",up_Irr!AX15&lt;&gt;".",up_Irr!BV15="."),up_dir!AA15/((1/1000)*(up_Irr!Z15+up_Irr!AX15)),IF(AND(up_Irr!Z15&lt;&gt;".",up_Irr!AX15=".",up_Irr!BV15&lt;&gt;"."),up_dir!AA15/((1/1000)*(up_Irr!Z15+up_Irr!BV15)),IF(AND(up_Irr!Z15=".",up_Irr!AX15&lt;&gt;".",up_Irr!BV15&lt;&gt;"."),up_dir!AA15/((1/1000)*(up_Irr!AX15+up_Irr!BV15)),IF(AND(up_Irr!Z15=".",up_Irr!AX15=".",up_Irr!BV15&lt;&gt;"."),up_dir!AA15/((1/1000)*(up_Irr!BV15)),IF(AND(up_Irr!Z15=".",up_Irr!AX15&lt;&gt;".",up_Irr!BV15="."),up_dir!AA15/((1/1000)*(up_Irr!AX15)),IF(AND(up_Irr!Z15&lt;&gt;".",up_Irr!AX15=".",up_Irr!BV15="."),up_dir!AA15/((1/1000)*(up_Irr!Z15)),IF(AND(up_Irr!Z15=".",up_Irr!AX15=".",up_Irr!BV15="."),up_dir!AA15*1000)))))))),".")</f>
        <v>7.2351016258567334E-11</v>
      </c>
      <c r="AB15" s="93">
        <f t="shared" ref="AB15:AB16" si="7">SUM(AC15:AD15,AY15:AZ15)</f>
        <v>55286.023705663516</v>
      </c>
      <c r="AC15" s="93">
        <f>IFERROR(s_C*s_IFAP_res_adj*s_CF_apple*0.001*(up_Irr!C15+up_Irr!AA15+up_Irr!AY15),".")</f>
        <v>13821.505926415879</v>
      </c>
      <c r="AD15" s="93">
        <f>IFERROR(s_C*s_IFAS_res_adj*s_CF_asparagus*0.001*(up_Irr!D15+up_Irr!AB15+up_Irr!AZ15),".")</f>
        <v>13821.505926415879</v>
      </c>
      <c r="AE15" s="93">
        <f>IFERROR(s_C*s_IFBT_res_adj*s_CF_beet*0.001*(up_Irr!E15+up_Irr!AC15+up_Irr!BA15),".")</f>
        <v>13821.505926415879</v>
      </c>
      <c r="AF15" s="93">
        <f>IFERROR(s_C*s_IFBE_res_adj*s_CF_berries*0.001*(up_Irr!F15+up_Irr!AD15+up_Irr!BB15),".")</f>
        <v>13821.505926415879</v>
      </c>
      <c r="AG15" s="93">
        <f>IFERROR(s_C*s_IFBR_res_adj*s_CF_broccoli*0.001*(up_Irr!G15+up_Irr!AE15+up_Irr!BC15),".")</f>
        <v>13821.505926415879</v>
      </c>
      <c r="AH15" s="93">
        <f>IFERROR(s_C*s_IFCB_res_adj*s_CF_cabbage*0.001*(up_Irr!H15+up_Irr!AF15+up_Irr!BD15),".")</f>
        <v>13821.505926415879</v>
      </c>
      <c r="AI15" s="93">
        <f>IFERROR(s_C*s_IFCR_res_adj*s_CF_carrot*0.001*(up_Irr!I15+up_Irr!AG15+up_Irr!BE15),".")</f>
        <v>13821.505926415879</v>
      </c>
      <c r="AJ15" s="93">
        <f>IFERROR(s_C*s_IFCI_res_adj*s_CF_citrus*0.001*(up_Irr!J15+up_Irr!AH15+up_Irr!BF15),".")</f>
        <v>13821.505926415879</v>
      </c>
      <c r="AK15" s="93">
        <f>IFERROR(s_C*s_IFCO_res_adj*s_CF_corn*0.001*(up_Irr!K15+up_Irr!AI15+up_Irr!BG15),".")</f>
        <v>13821.505926415879</v>
      </c>
      <c r="AL15" s="93">
        <f>IFERROR(s_C*s_IFCU_res_adj*s_CF_cucumber*0.001*(up_Irr!L15+up_Irr!AJ15+up_Irr!BH15),".")</f>
        <v>13821.505926415879</v>
      </c>
      <c r="AM15" s="93">
        <f>IFERROR(s_C*s_IFLE_res_adj*s_CF_lettuce*0.001*(up_Irr!M15+up_Irr!AK15+up_Irr!BI15),".")</f>
        <v>13821.505926415879</v>
      </c>
      <c r="AN15" s="93">
        <f>IFERROR(s_C*s_IFLI_res_adj*s_CF_lima_bean*0.001*(up_Irr!N15+up_Irr!AL15+up_Irr!BJ15),".")</f>
        <v>13821.505926415879</v>
      </c>
      <c r="AO15" s="93">
        <f>IFERROR(s_C*s_IFOK_res_adj*s_CF_okra*0.001*(up_Irr!O15+up_Irr!AM15+up_Irr!BK15),".")</f>
        <v>13821.505926415879</v>
      </c>
      <c r="AP15" s="93">
        <f>IFERROR(s_C*s_IFON_res_adj*s_CF_onion*0.001*(up_Irr!P15+up_Irr!AN15+up_Irr!BL15),".")</f>
        <v>13821.505926415879</v>
      </c>
      <c r="AQ15" s="93">
        <f>IFERROR(s_C*s_IFPC_res_adj*s_CF_peach*0.001*(up_Irr!Q15+up_Irr!AO15+up_Irr!BM15),".")</f>
        <v>13821.505926415879</v>
      </c>
      <c r="AR15" s="93">
        <f>IFERROR(s_C*s_IFPR_res_adj*s_CF_pear*0.001*(up_Irr!R15+up_Irr!AP15+up_Irr!BN15),".")</f>
        <v>13821.505926415879</v>
      </c>
      <c r="AS15" s="93">
        <f>IFERROR(s_C*s_IFPE_res_adj*s_CF_peas*0.001*(up_Irr!S15+up_Irr!AQ15+up_Irr!BO15),".")</f>
        <v>13821.505926415879</v>
      </c>
      <c r="AT15" s="93">
        <f>IFERROR(s_C*s_IFPT_res_adj*s_CF_potato*0.001*(up_Irr!T15+up_Irr!AR15+up_Irr!BP15),".")</f>
        <v>13821.505926415879</v>
      </c>
      <c r="AU15" s="93">
        <f>IFERROR(s_C*s_IFPU_res_adj*s_CF_pumpkin*0.001*(up_Irr!U15+up_Irr!AS15+up_Irr!BQ15),".")</f>
        <v>13821.505926415879</v>
      </c>
      <c r="AV15" s="93">
        <f>IFERROR(s_C*s_IFSN_res_adj*s_CF_snap_bean*0.001*(up_Irr!V15+up_Irr!AT15+up_Irr!BR15),".")</f>
        <v>13821.505926415879</v>
      </c>
      <c r="AW15" s="93">
        <f>IFERROR(s_C*s_IFST_res_adj*s_CF_strawberry*0.001*(up_Irr!W15+up_Irr!AU15+up_Irr!BS15),".")</f>
        <v>13821.505926415879</v>
      </c>
      <c r="AX15" s="93">
        <f>IFERROR(s_C*s_IFTO_res_adj*s_CF_tomato*0.001*(up_Irr!X15+up_Irr!AV15+up_Irr!BT15),".")</f>
        <v>13821.505926415879</v>
      </c>
      <c r="AY15" s="93">
        <f>IFERROR(s_C*s_IFRI_res_adj*s_CF_rice*0.001*(up_Irr!Y15+up_Irr!AW15+up_Irr!BU15),".")</f>
        <v>13821.505926415879</v>
      </c>
      <c r="AZ15" s="93">
        <f>IFERROR(s_C*s_IFCG_res_adj*s_CF_cereal*0.001*(up_Irr!Z15+up_Irr!AX15+up_Irr!BV15),".")</f>
        <v>13821.505926415879</v>
      </c>
      <c r="BA15" s="76">
        <f t="shared" si="3"/>
        <v>1.8087754064641833E-11</v>
      </c>
      <c r="BB15" s="76">
        <f>IFERROR(IF(AND(up_Irr!C15&lt;&gt;".",up_Irr!AA15&lt;&gt;".",up_Irr!AY15&lt;&gt;"."),up_dir!AC15/((1/1000)*(up_Irr!C15+up_Irr!AA15+up_Irr!AY15)),IF(AND(up_Irr!C15&lt;&gt;".",up_Irr!AA15&lt;&gt;".",up_Irr!AY15="."),up_dir!AC15/((1/1000)*(up_Irr!C15+up_Irr!AA15)),IF(AND(up_Irr!C15&lt;&gt;".",up_Irr!AA15=".",up_Irr!AY15&lt;&gt;"."),up_dir!AC15/((1/1000)*(up_Irr!C15+up_Irr!AY15)),IF(AND(up_Irr!C15=".",up_Irr!AA15&lt;&gt;".",up_Irr!AY15&lt;&gt;"."),up_dir!AC15/((1/1000)*(up_Irr!AA15+up_Irr!AY15)),IF(AND(up_Irr!C15=".",up_Irr!AA15=".",up_Irr!AY15&lt;&gt;"."),up_dir!AC15/((1/1000)*(up_Irr!AY15)),IF(AND(up_Irr!C15=".",up_Irr!AA15&lt;&gt;".",up_Irr!AY15="."),up_dir!AC15/((1/1000)*(up_Irr!AA15)),IF(AND(up_Irr!C15&lt;&gt;".",up_Irr!AA15=".",up_Irr!AY15="."),up_dir!AC15/((1/1000)*(up_Irr!C15)),IF(AND(up_Irr!C15=".",up_Irr!AA15=".",up_Irr!AY15="."),up_dir!AC15*1000)))))))),".")</f>
        <v>7.2351016258567334E-11</v>
      </c>
      <c r="BC15" s="76">
        <f>IFERROR(IF(AND(up_Irr!D15&lt;&gt;".",up_Irr!AB15&lt;&gt;".",up_Irr!AZ15&lt;&gt;"."),up_dir!AD15/((1/1000)*(up_Irr!D15+up_Irr!AB15+up_Irr!AZ15)),IF(AND(up_Irr!D15&lt;&gt;".",up_Irr!AB15&lt;&gt;".",up_Irr!AZ15="."),up_dir!AD15/((1/1000)*(up_Irr!D15+up_Irr!AB15)),IF(AND(up_Irr!D15&lt;&gt;".",up_Irr!AB15=".",up_Irr!AZ15&lt;&gt;"."),up_dir!AD15/((1/1000)*(up_Irr!D15+up_Irr!AZ15)),IF(AND(up_Irr!D15=".",up_Irr!AB15&lt;&gt;".",up_Irr!AZ15&lt;&gt;"."),up_dir!AD15/((1/1000)*(up_Irr!AB15+up_Irr!AZ15)),IF(AND(up_Irr!D15=".",up_Irr!AB15=".",up_Irr!AZ15&lt;&gt;"."),up_dir!AD15/((1/1000)*(up_Irr!AZ15)),IF(AND(up_Irr!D15=".",up_Irr!AB15&lt;&gt;".",up_Irr!AZ15="."),up_dir!AD15/((1/1000)*(up_Irr!AB15)),IF(AND(up_Irr!D15&lt;&gt;".",up_Irr!AB15=".",up_Irr!AZ15="."),up_dir!AD15/((1/1000)*(up_Irr!D15)),IF(AND(up_Irr!D15=".",up_Irr!AB15=".",up_Irr!AZ15="."),up_dir!AD15*1000)))))))),".")</f>
        <v>7.2351016258567334E-11</v>
      </c>
      <c r="BD15" s="76">
        <f>IFERROR(IF(AND(up_Irr!E15&lt;&gt;".",up_Irr!AC15&lt;&gt;".",up_Irr!BA15&lt;&gt;"."),up_dir!AE15/((1/1000)*(up_Irr!E15+up_Irr!AC15+up_Irr!BA15)),IF(AND(up_Irr!E15&lt;&gt;".",up_Irr!AC15&lt;&gt;".",up_Irr!BA15="."),up_dir!AE15/((1/1000)*(up_Irr!E15+up_Irr!AC15)),IF(AND(up_Irr!E15&lt;&gt;".",up_Irr!AC15=".",up_Irr!BA15&lt;&gt;"."),up_dir!AE15/((1/1000)*(up_Irr!E15+up_Irr!BA15)),IF(AND(up_Irr!E15=".",up_Irr!AC15&lt;&gt;".",up_Irr!BA15&lt;&gt;"."),up_dir!AE15/((1/1000)*(up_Irr!AC15+up_Irr!BA15)),IF(AND(up_Irr!E15=".",up_Irr!AC15=".",up_Irr!BA15&lt;&gt;"."),up_dir!AE15/((1/1000)*(up_Irr!BA15)),IF(AND(up_Irr!E15=".",up_Irr!AC15&lt;&gt;".",up_Irr!BA15="."),up_dir!AE15/((1/1000)*(up_Irr!AC15)),IF(AND(up_Irr!E15&lt;&gt;".",up_Irr!AC15=".",up_Irr!BA15="."),up_dir!AE15/((1/1000)*(up_Irr!E15)),IF(AND(up_Irr!E15=".",up_Irr!AC15=".",up_Irr!BA15="."),up_dir!AE15*1000)))))))),".")</f>
        <v>7.2351016258567334E-11</v>
      </c>
      <c r="BE15" s="76">
        <f>IFERROR(IF(AND(up_Irr!F15&lt;&gt;".",up_Irr!AD15&lt;&gt;".",up_Irr!BB15&lt;&gt;"."),up_dir!AF15/((1/1000)*(up_Irr!F15+up_Irr!AD15+up_Irr!BB15)),IF(AND(up_Irr!F15&lt;&gt;".",up_Irr!AD15&lt;&gt;".",up_Irr!BB15="."),up_dir!AF15/((1/1000)*(up_Irr!F15+up_Irr!AD15)),IF(AND(up_Irr!F15&lt;&gt;".",up_Irr!AD15=".",up_Irr!BB15&lt;&gt;"."),up_dir!AF15/((1/1000)*(up_Irr!F15+up_Irr!BB15)),IF(AND(up_Irr!F15=".",up_Irr!AD15&lt;&gt;".",up_Irr!BB15&lt;&gt;"."),up_dir!AF15/((1/1000)*(up_Irr!AD15+up_Irr!BB15)),IF(AND(up_Irr!F15=".",up_Irr!AD15=".",up_Irr!BB15&lt;&gt;"."),up_dir!AF15/((1/1000)*(up_Irr!BB15)),IF(AND(up_Irr!F15=".",up_Irr!AD15&lt;&gt;".",up_Irr!BB15="."),up_dir!AF15/((1/1000)*(up_Irr!AD15)),IF(AND(up_Irr!F15&lt;&gt;".",up_Irr!AD15=".",up_Irr!BB15="."),up_dir!AF15/((1/1000)*(up_Irr!F15)),IF(AND(up_Irr!F15=".",up_Irr!AD15=".",up_Irr!BB15="."),up_dir!AF15*1000)))))))),".")</f>
        <v>7.2351016258567334E-11</v>
      </c>
      <c r="BF15" s="76">
        <f>IFERROR(IF(AND(up_Irr!G15&lt;&gt;".",up_Irr!AE15&lt;&gt;".",up_Irr!BC15&lt;&gt;"."),up_dir!AG15/((1/1000)*(up_Irr!G15+up_Irr!AE15+up_Irr!BC15)),IF(AND(up_Irr!G15&lt;&gt;".",up_Irr!AE15&lt;&gt;".",up_Irr!BC15="."),up_dir!AG15/((1/1000)*(up_Irr!G15+up_Irr!AE15)),IF(AND(up_Irr!G15&lt;&gt;".",up_Irr!AE15=".",up_Irr!BC15&lt;&gt;"."),up_dir!AG15/((1/1000)*(up_Irr!G15+up_Irr!BC15)),IF(AND(up_Irr!G15=".",up_Irr!AE15&lt;&gt;".",up_Irr!BC15&lt;&gt;"."),up_dir!AG15/((1/1000)*(up_Irr!AE15+up_Irr!BC15)),IF(AND(up_Irr!G15=".",up_Irr!AE15=".",up_Irr!BC15&lt;&gt;"."),up_dir!AG15/((1/1000)*(up_Irr!BC15)),IF(AND(up_Irr!G15=".",up_Irr!AE15&lt;&gt;".",up_Irr!BC15="."),up_dir!AG15/((1/1000)*(up_Irr!AE15)),IF(AND(up_Irr!G15&lt;&gt;".",up_Irr!AE15=".",up_Irr!BC15="."),up_dir!AG15/((1/1000)*(up_Irr!G15)),IF(AND(up_Irr!G15=".",up_Irr!AE15=".",up_Irr!BC15="."),up_dir!AG15*1000)))))))),".")</f>
        <v>7.2351016258567334E-11</v>
      </c>
      <c r="BG15" s="76">
        <f>IFERROR(IF(AND(up_Irr!H15&lt;&gt;".",up_Irr!AF15&lt;&gt;".",up_Irr!BD15&lt;&gt;"."),up_dir!AH15/((1/1000)*(up_Irr!H15+up_Irr!AF15+up_Irr!BD15)),IF(AND(up_Irr!H15&lt;&gt;".",up_Irr!AF15&lt;&gt;".",up_Irr!BD15="."),up_dir!AH15/((1/1000)*(up_Irr!H15+up_Irr!AF15)),IF(AND(up_Irr!H15&lt;&gt;".",up_Irr!AF15=".",up_Irr!BD15&lt;&gt;"."),up_dir!AH15/((1/1000)*(up_Irr!H15+up_Irr!BD15)),IF(AND(up_Irr!H15=".",up_Irr!AF15&lt;&gt;".",up_Irr!BD15&lt;&gt;"."),up_dir!AH15/((1/1000)*(up_Irr!AF15+up_Irr!BD15)),IF(AND(up_Irr!H15=".",up_Irr!AF15=".",up_Irr!BD15&lt;&gt;"."),up_dir!AH15/((1/1000)*(up_Irr!BD15)),IF(AND(up_Irr!H15=".",up_Irr!AF15&lt;&gt;".",up_Irr!BD15="."),up_dir!AH15/((1/1000)*(up_Irr!AF15)),IF(AND(up_Irr!H15&lt;&gt;".",up_Irr!AF15=".",up_Irr!BD15="."),up_dir!AH15/((1/1000)*(up_Irr!H15)),IF(AND(up_Irr!H15=".",up_Irr!AF15=".",up_Irr!BD15="."),up_dir!AH15*1000)))))))),".")</f>
        <v>7.2351016258567334E-11</v>
      </c>
      <c r="BH15" s="76">
        <f>IFERROR(IF(AND(up_Irr!I15&lt;&gt;".",up_Irr!AG15&lt;&gt;".",up_Irr!BE15&lt;&gt;"."),up_dir!AI15/((1/1000)*(up_Irr!I15+up_Irr!AG15+up_Irr!BE15)),IF(AND(up_Irr!I15&lt;&gt;".",up_Irr!AG15&lt;&gt;".",up_Irr!BE15="."),up_dir!AI15/((1/1000)*(up_Irr!I15+up_Irr!AG15)),IF(AND(up_Irr!I15&lt;&gt;".",up_Irr!AG15=".",up_Irr!BE15&lt;&gt;"."),up_dir!AI15/((1/1000)*(up_Irr!I15+up_Irr!BE15)),IF(AND(up_Irr!I15=".",up_Irr!AG15&lt;&gt;".",up_Irr!BE15&lt;&gt;"."),up_dir!AI15/((1/1000)*(up_Irr!AG15+up_Irr!BE15)),IF(AND(up_Irr!I15=".",up_Irr!AG15=".",up_Irr!BE15&lt;&gt;"."),up_dir!AI15/((1/1000)*(up_Irr!BE15)),IF(AND(up_Irr!I15=".",up_Irr!AG15&lt;&gt;".",up_Irr!BE15="."),up_dir!AI15/((1/1000)*(up_Irr!AG15)),IF(AND(up_Irr!I15&lt;&gt;".",up_Irr!AG15=".",up_Irr!BE15="."),up_dir!AI15/((1/1000)*(up_Irr!I15)),IF(AND(up_Irr!I15=".",up_Irr!AG15=".",up_Irr!BE15="."),up_dir!AI15*1000)))))))),".")</f>
        <v>7.2351016258567334E-11</v>
      </c>
      <c r="BI15" s="76">
        <f>IFERROR(IF(AND(up_Irr!J15&lt;&gt;".",up_Irr!AH15&lt;&gt;".",up_Irr!BF15&lt;&gt;"."),up_dir!AJ15/((1/1000)*(up_Irr!J15+up_Irr!AH15+up_Irr!BF15)),IF(AND(up_Irr!J15&lt;&gt;".",up_Irr!AH15&lt;&gt;".",up_Irr!BF15="."),up_dir!AJ15/((1/1000)*(up_Irr!J15+up_Irr!AH15)),IF(AND(up_Irr!J15&lt;&gt;".",up_Irr!AH15=".",up_Irr!BF15&lt;&gt;"."),up_dir!AJ15/((1/1000)*(up_Irr!J15+up_Irr!BF15)),IF(AND(up_Irr!J15=".",up_Irr!AH15&lt;&gt;".",up_Irr!BF15&lt;&gt;"."),up_dir!AJ15/((1/1000)*(up_Irr!AH15+up_Irr!BF15)),IF(AND(up_Irr!J15=".",up_Irr!AH15=".",up_Irr!BF15&lt;&gt;"."),up_dir!AJ15/((1/1000)*(up_Irr!BF15)),IF(AND(up_Irr!J15=".",up_Irr!AH15&lt;&gt;".",up_Irr!BF15="."),up_dir!AJ15/((1/1000)*(up_Irr!AH15)),IF(AND(up_Irr!J15&lt;&gt;".",up_Irr!AH15=".",up_Irr!BF15="."),up_dir!AJ15/((1/1000)*(up_Irr!J15)),IF(AND(up_Irr!J15=".",up_Irr!AH15=".",up_Irr!BF15="."),up_dir!AJ15*1000)))))))),".")</f>
        <v>7.2351016258567334E-11</v>
      </c>
      <c r="BJ15" s="76">
        <f>IFERROR(IF(AND(up_Irr!K15&lt;&gt;".",up_Irr!AI15&lt;&gt;".",up_Irr!BG15&lt;&gt;"."),up_dir!AK15/((1/1000)*(up_Irr!K15+up_Irr!AI15+up_Irr!BG15)),IF(AND(up_Irr!K15&lt;&gt;".",up_Irr!AI15&lt;&gt;".",up_Irr!BG15="."),up_dir!AK15/((1/1000)*(up_Irr!K15+up_Irr!AI15)),IF(AND(up_Irr!K15&lt;&gt;".",up_Irr!AI15=".",up_Irr!BG15&lt;&gt;"."),up_dir!AK15/((1/1000)*(up_Irr!K15+up_Irr!BG15)),IF(AND(up_Irr!K15=".",up_Irr!AI15&lt;&gt;".",up_Irr!BG15&lt;&gt;"."),up_dir!AK15/((1/1000)*(up_Irr!AI15+up_Irr!BG15)),IF(AND(up_Irr!K15=".",up_Irr!AI15=".",up_Irr!BG15&lt;&gt;"."),up_dir!AK15/((1/1000)*(up_Irr!BG15)),IF(AND(up_Irr!K15=".",up_Irr!AI15&lt;&gt;".",up_Irr!BG15="."),up_dir!AK15/((1/1000)*(up_Irr!AI15)),IF(AND(up_Irr!K15&lt;&gt;".",up_Irr!AI15=".",up_Irr!BG15="."),up_dir!AK15/((1/1000)*(up_Irr!K15)),IF(AND(up_Irr!K15=".",up_Irr!AI15=".",up_Irr!BG15="."),up_dir!AK15*1000)))))))),".")</f>
        <v>7.2351016258567334E-11</v>
      </c>
      <c r="BK15" s="76">
        <f>IFERROR(IF(AND(up_Irr!L15&lt;&gt;".",up_Irr!AJ15&lt;&gt;".",up_Irr!BH15&lt;&gt;"."),up_dir!AL15/((1/1000)*(up_Irr!L15+up_Irr!AJ15+up_Irr!BH15)),IF(AND(up_Irr!L15&lt;&gt;".",up_Irr!AJ15&lt;&gt;".",up_Irr!BH15="."),up_dir!AL15/((1/1000)*(up_Irr!L15+up_Irr!AJ15)),IF(AND(up_Irr!L15&lt;&gt;".",up_Irr!AJ15=".",up_Irr!BH15&lt;&gt;"."),up_dir!AL15/((1/1000)*(up_Irr!L15+up_Irr!BH15)),IF(AND(up_Irr!L15=".",up_Irr!AJ15&lt;&gt;".",up_Irr!BH15&lt;&gt;"."),up_dir!AL15/((1/1000)*(up_Irr!AJ15+up_Irr!BH15)),IF(AND(up_Irr!L15=".",up_Irr!AJ15=".",up_Irr!BH15&lt;&gt;"."),up_dir!AL15/((1/1000)*(up_Irr!BH15)),IF(AND(up_Irr!L15=".",up_Irr!AJ15&lt;&gt;".",up_Irr!BH15="."),up_dir!AL15/((1/1000)*(up_Irr!AJ15)),IF(AND(up_Irr!L15&lt;&gt;".",up_Irr!AJ15=".",up_Irr!BH15="."),up_dir!AL15/((1/1000)*(up_Irr!L15)),IF(AND(up_Irr!L15=".",up_Irr!AJ15=".",up_Irr!BH15="."),up_dir!AL15*1000)))))))),".")</f>
        <v>7.2351016258567334E-11</v>
      </c>
      <c r="BL15" s="76">
        <f>IFERROR(IF(AND(up_Irr!M15&lt;&gt;".",up_Irr!AK15&lt;&gt;".",up_Irr!BI15&lt;&gt;"."),up_dir!AM15/((1/1000)*(up_Irr!M15+up_Irr!AK15+up_Irr!BI15)),IF(AND(up_Irr!M15&lt;&gt;".",up_Irr!AK15&lt;&gt;".",up_Irr!BI15="."),up_dir!AM15/((1/1000)*(up_Irr!M15+up_Irr!AK15)),IF(AND(up_Irr!M15&lt;&gt;".",up_Irr!AK15=".",up_Irr!BI15&lt;&gt;"."),up_dir!AM15/((1/1000)*(up_Irr!M15+up_Irr!BI15)),IF(AND(up_Irr!M15=".",up_Irr!AK15&lt;&gt;".",up_Irr!BI15&lt;&gt;"."),up_dir!AM15/((1/1000)*(up_Irr!AK15+up_Irr!BI15)),IF(AND(up_Irr!M15=".",up_Irr!AK15=".",up_Irr!BI15&lt;&gt;"."),up_dir!AM15/((1/1000)*(up_Irr!BI15)),IF(AND(up_Irr!M15=".",up_Irr!AK15&lt;&gt;".",up_Irr!BI15="."),up_dir!AM15/((1/1000)*(up_Irr!AK15)),IF(AND(up_Irr!M15&lt;&gt;".",up_Irr!AK15=".",up_Irr!BI15="."),up_dir!AM15/((1/1000)*(up_Irr!M15)),IF(AND(up_Irr!M15=".",up_Irr!AK15=".",up_Irr!BI15="."),up_dir!AM15*1000)))))))),".")</f>
        <v>7.2351016258567334E-11</v>
      </c>
      <c r="BM15" s="76">
        <f>IFERROR(IF(AND(up_Irr!N15&lt;&gt;".",up_Irr!AL15&lt;&gt;".",up_Irr!BJ15&lt;&gt;"."),up_dir!AN15/((1/1000)*(up_Irr!N15+up_Irr!AL15+up_Irr!BJ15)),IF(AND(up_Irr!N15&lt;&gt;".",up_Irr!AL15&lt;&gt;".",up_Irr!BJ15="."),up_dir!AN15/((1/1000)*(up_Irr!N15+up_Irr!AL15)),IF(AND(up_Irr!N15&lt;&gt;".",up_Irr!AL15=".",up_Irr!BJ15&lt;&gt;"."),up_dir!AN15/((1/1000)*(up_Irr!N15+up_Irr!BJ15)),IF(AND(up_Irr!N15=".",up_Irr!AL15&lt;&gt;".",up_Irr!BJ15&lt;&gt;"."),up_dir!AN15/((1/1000)*(up_Irr!AL15+up_Irr!BJ15)),IF(AND(up_Irr!N15=".",up_Irr!AL15=".",up_Irr!BJ15&lt;&gt;"."),up_dir!AN15/((1/1000)*(up_Irr!BJ15)),IF(AND(up_Irr!N15=".",up_Irr!AL15&lt;&gt;".",up_Irr!BJ15="."),up_dir!AN15/((1/1000)*(up_Irr!AL15)),IF(AND(up_Irr!N15&lt;&gt;".",up_Irr!AL15=".",up_Irr!BJ15="."),up_dir!AN15/((1/1000)*(up_Irr!N15)),IF(AND(up_Irr!N15=".",up_Irr!AL15=".",up_Irr!BJ15="."),up_dir!AN15*1000)))))))),".")</f>
        <v>7.2351016258567334E-11</v>
      </c>
      <c r="BN15" s="76">
        <f>IFERROR(IF(AND(up_Irr!O15&lt;&gt;".",up_Irr!AM15&lt;&gt;".",up_Irr!BK15&lt;&gt;"."),up_dir!AO15/((1/1000)*(up_Irr!O15+up_Irr!AM15+up_Irr!BK15)),IF(AND(up_Irr!O15&lt;&gt;".",up_Irr!AM15&lt;&gt;".",up_Irr!BK15="."),up_dir!AO15/((1/1000)*(up_Irr!O15+up_Irr!AM15)),IF(AND(up_Irr!O15&lt;&gt;".",up_Irr!AM15=".",up_Irr!BK15&lt;&gt;"."),up_dir!AO15/((1/1000)*(up_Irr!O15+up_Irr!BK15)),IF(AND(up_Irr!O15=".",up_Irr!AM15&lt;&gt;".",up_Irr!BK15&lt;&gt;"."),up_dir!AO15/((1/1000)*(up_Irr!AM15+up_Irr!BK15)),IF(AND(up_Irr!O15=".",up_Irr!AM15=".",up_Irr!BK15&lt;&gt;"."),up_dir!AO15/((1/1000)*(up_Irr!BK15)),IF(AND(up_Irr!O15=".",up_Irr!AM15&lt;&gt;".",up_Irr!BK15="."),up_dir!AO15/((1/1000)*(up_Irr!AM15)),IF(AND(up_Irr!O15&lt;&gt;".",up_Irr!AM15=".",up_Irr!BK15="."),up_dir!AO15/((1/1000)*(up_Irr!O15)),IF(AND(up_Irr!O15=".",up_Irr!AM15=".",up_Irr!BK15="."),up_dir!AO15*1000)))))))),".")</f>
        <v>7.2351016258567334E-11</v>
      </c>
      <c r="BO15" s="76">
        <f>IFERROR(IF(AND(up_Irr!P15&lt;&gt;".",up_Irr!AN15&lt;&gt;".",up_Irr!BL15&lt;&gt;"."),up_dir!AP15/((1/1000)*(up_Irr!P15+up_Irr!AN15+up_Irr!BL15)),IF(AND(up_Irr!P15&lt;&gt;".",up_Irr!AN15&lt;&gt;".",up_Irr!BL15="."),up_dir!AP15/((1/1000)*(up_Irr!P15+up_Irr!AN15)),IF(AND(up_Irr!P15&lt;&gt;".",up_Irr!AN15=".",up_Irr!BL15&lt;&gt;"."),up_dir!AP15/((1/1000)*(up_Irr!P15+up_Irr!BL15)),IF(AND(up_Irr!P15=".",up_Irr!AN15&lt;&gt;".",up_Irr!BL15&lt;&gt;"."),up_dir!AP15/((1/1000)*(up_Irr!AN15+up_Irr!BL15)),IF(AND(up_Irr!P15=".",up_Irr!AN15=".",up_Irr!BL15&lt;&gt;"."),up_dir!AP15/((1/1000)*(up_Irr!BL15)),IF(AND(up_Irr!P15=".",up_Irr!AN15&lt;&gt;".",up_Irr!BL15="."),up_dir!AP15/((1/1000)*(up_Irr!AN15)),IF(AND(up_Irr!P15&lt;&gt;".",up_Irr!AN15=".",up_Irr!BL15="."),up_dir!AP15/((1/1000)*(up_Irr!P15)),IF(AND(up_Irr!P15=".",up_Irr!AN15=".",up_Irr!BL15="."),up_dir!AP15*1000)))))))),".")</f>
        <v>7.2351016258567334E-11</v>
      </c>
      <c r="BP15" s="76">
        <f>IFERROR(IF(AND(up_Irr!Q15&lt;&gt;".",up_Irr!AO15&lt;&gt;".",up_Irr!BM15&lt;&gt;"."),up_dir!AQ15/((1/1000)*(up_Irr!Q15+up_Irr!AO15+up_Irr!BM15)),IF(AND(up_Irr!Q15&lt;&gt;".",up_Irr!AO15&lt;&gt;".",up_Irr!BM15="."),up_dir!AQ15/((1/1000)*(up_Irr!Q15+up_Irr!AO15)),IF(AND(up_Irr!Q15&lt;&gt;".",up_Irr!AO15=".",up_Irr!BM15&lt;&gt;"."),up_dir!AQ15/((1/1000)*(up_Irr!Q15+up_Irr!BM15)),IF(AND(up_Irr!Q15=".",up_Irr!AO15&lt;&gt;".",up_Irr!BM15&lt;&gt;"."),up_dir!AQ15/((1/1000)*(up_Irr!AO15+up_Irr!BM15)),IF(AND(up_Irr!Q15=".",up_Irr!AO15=".",up_Irr!BM15&lt;&gt;"."),up_dir!AQ15/((1/1000)*(up_Irr!BM15)),IF(AND(up_Irr!Q15=".",up_Irr!AO15&lt;&gt;".",up_Irr!BM15="."),up_dir!AQ15/((1/1000)*(up_Irr!AO15)),IF(AND(up_Irr!Q15&lt;&gt;".",up_Irr!AO15=".",up_Irr!BM15="."),up_dir!AQ15/((1/1000)*(up_Irr!Q15)),IF(AND(up_Irr!Q15=".",up_Irr!AO15=".",up_Irr!BM15="."),up_dir!AQ15*1000)))))))),".")</f>
        <v>7.2351016258567334E-11</v>
      </c>
      <c r="BQ15" s="76">
        <f>IFERROR(IF(AND(up_Irr!R15&lt;&gt;".",up_Irr!AP15&lt;&gt;".",up_Irr!BN15&lt;&gt;"."),up_dir!AR15/((1/1000)*(up_Irr!R15+up_Irr!AP15+up_Irr!BN15)),IF(AND(up_Irr!R15&lt;&gt;".",up_Irr!AP15&lt;&gt;".",up_Irr!BN15="."),up_dir!AR15/((1/1000)*(up_Irr!R15+up_Irr!AP15)),IF(AND(up_Irr!R15&lt;&gt;".",up_Irr!AP15=".",up_Irr!BN15&lt;&gt;"."),up_dir!AR15/((1/1000)*(up_Irr!R15+up_Irr!BN15)),IF(AND(up_Irr!R15=".",up_Irr!AP15&lt;&gt;".",up_Irr!BN15&lt;&gt;"."),up_dir!AR15/((1/1000)*(up_Irr!AP15+up_Irr!BN15)),IF(AND(up_Irr!R15=".",up_Irr!AP15=".",up_Irr!BN15&lt;&gt;"."),up_dir!AR15/((1/1000)*(up_Irr!BN15)),IF(AND(up_Irr!R15=".",up_Irr!AP15&lt;&gt;".",up_Irr!BN15="."),up_dir!AR15/((1/1000)*(up_Irr!AP15)),IF(AND(up_Irr!R15&lt;&gt;".",up_Irr!AP15=".",up_Irr!BN15="."),up_dir!AR15/((1/1000)*(up_Irr!R15)),IF(AND(up_Irr!R15=".",up_Irr!AP15=".",up_Irr!BN15="."),up_dir!AR15*1000)))))))),".")</f>
        <v>7.2351016258567334E-11</v>
      </c>
      <c r="BR15" s="76">
        <f>IFERROR(IF(AND(up_Irr!S15&lt;&gt;".",up_Irr!AQ15&lt;&gt;".",up_Irr!BO15&lt;&gt;"."),up_dir!AS15/((1/1000)*(up_Irr!S15+up_Irr!AQ15+up_Irr!BO15)),IF(AND(up_Irr!S15&lt;&gt;".",up_Irr!AQ15&lt;&gt;".",up_Irr!BO15="."),up_dir!AS15/((1/1000)*(up_Irr!S15+up_Irr!AQ15)),IF(AND(up_Irr!S15&lt;&gt;".",up_Irr!AQ15=".",up_Irr!BO15&lt;&gt;"."),up_dir!AS15/((1/1000)*(up_Irr!S15+up_Irr!BO15)),IF(AND(up_Irr!S15=".",up_Irr!AQ15&lt;&gt;".",up_Irr!BO15&lt;&gt;"."),up_dir!AS15/((1/1000)*(up_Irr!AQ15+up_Irr!BO15)),IF(AND(up_Irr!S15=".",up_Irr!AQ15=".",up_Irr!BO15&lt;&gt;"."),up_dir!AS15/((1/1000)*(up_Irr!BO15)),IF(AND(up_Irr!S15=".",up_Irr!AQ15&lt;&gt;".",up_Irr!BO15="."),up_dir!AS15/((1/1000)*(up_Irr!AQ15)),IF(AND(up_Irr!S15&lt;&gt;".",up_Irr!AQ15=".",up_Irr!BO15="."),up_dir!AS15/((1/1000)*(up_Irr!S15)),IF(AND(up_Irr!S15=".",up_Irr!AQ15=".",up_Irr!BO15="."),up_dir!AS15*1000)))))))),".")</f>
        <v>7.2351016258567334E-11</v>
      </c>
      <c r="BS15" s="76">
        <f>IFERROR(IF(AND(up_Irr!T15&lt;&gt;".",up_Irr!AR15&lt;&gt;".",up_Irr!BP15&lt;&gt;"."),up_dir!AT15/((1/1000)*(up_Irr!T15+up_Irr!AR15+up_Irr!BP15)),IF(AND(up_Irr!T15&lt;&gt;".",up_Irr!AR15&lt;&gt;".",up_Irr!BP15="."),up_dir!AT15/((1/1000)*(up_Irr!T15+up_Irr!AR15)),IF(AND(up_Irr!T15&lt;&gt;".",up_Irr!AR15=".",up_Irr!BP15&lt;&gt;"."),up_dir!AT15/((1/1000)*(up_Irr!T15+up_Irr!BP15)),IF(AND(up_Irr!T15=".",up_Irr!AR15&lt;&gt;".",up_Irr!BP15&lt;&gt;"."),up_dir!AT15/((1/1000)*(up_Irr!AR15+up_Irr!BP15)),IF(AND(up_Irr!T15=".",up_Irr!AR15=".",up_Irr!BP15&lt;&gt;"."),up_dir!AT15/((1/1000)*(up_Irr!BP15)),IF(AND(up_Irr!T15=".",up_Irr!AR15&lt;&gt;".",up_Irr!BP15="."),up_dir!AT15/((1/1000)*(up_Irr!AR15)),IF(AND(up_Irr!T15&lt;&gt;".",up_Irr!AR15=".",up_Irr!BP15="."),up_dir!AT15/((1/1000)*(up_Irr!T15)),IF(AND(up_Irr!T15=".",up_Irr!AR15=".",up_Irr!BP15="."),up_dir!AT15*1000)))))))),".")</f>
        <v>7.2351016258567334E-11</v>
      </c>
      <c r="BT15" s="76">
        <f>IFERROR(IF(AND(up_Irr!U15&lt;&gt;".",up_Irr!AS15&lt;&gt;".",up_Irr!BQ15&lt;&gt;"."),up_dir!AU15/((1/1000)*(up_Irr!U15+up_Irr!AS15+up_Irr!BQ15)),IF(AND(up_Irr!U15&lt;&gt;".",up_Irr!AS15&lt;&gt;".",up_Irr!BQ15="."),up_dir!AU15/((1/1000)*(up_Irr!U15+up_Irr!AS15)),IF(AND(up_Irr!U15&lt;&gt;".",up_Irr!AS15=".",up_Irr!BQ15&lt;&gt;"."),up_dir!AU15/((1/1000)*(up_Irr!U15+up_Irr!BQ15)),IF(AND(up_Irr!U15=".",up_Irr!AS15&lt;&gt;".",up_Irr!BQ15&lt;&gt;"."),up_dir!AU15/((1/1000)*(up_Irr!AS15+up_Irr!BQ15)),IF(AND(up_Irr!U15=".",up_Irr!AS15=".",up_Irr!BQ15&lt;&gt;"."),up_dir!AU15/((1/1000)*(up_Irr!BQ15)),IF(AND(up_Irr!U15=".",up_Irr!AS15&lt;&gt;".",up_Irr!BQ15="."),up_dir!AU15/((1/1000)*(up_Irr!AS15)),IF(AND(up_Irr!U15&lt;&gt;".",up_Irr!AS15=".",up_Irr!BQ15="."),up_dir!AU15/((1/1000)*(up_Irr!U15)),IF(AND(up_Irr!U15=".",up_Irr!AS15=".",up_Irr!BQ15="."),up_dir!AU15*1000)))))))),".")</f>
        <v>7.2351016258567334E-11</v>
      </c>
      <c r="BU15" s="76">
        <f>IFERROR(IF(AND(up_Irr!V15&lt;&gt;".",up_Irr!AT15&lt;&gt;".",up_Irr!BR15&lt;&gt;"."),up_dir!AV15/((1/1000)*(up_Irr!V15+up_Irr!AT15+up_Irr!BR15)),IF(AND(up_Irr!V15&lt;&gt;".",up_Irr!AT15&lt;&gt;".",up_Irr!BR15="."),up_dir!AV15/((1/1000)*(up_Irr!V15+up_Irr!AT15)),IF(AND(up_Irr!V15&lt;&gt;".",up_Irr!AT15=".",up_Irr!BR15&lt;&gt;"."),up_dir!AV15/((1/1000)*(up_Irr!V15+up_Irr!BR15)),IF(AND(up_Irr!V15=".",up_Irr!AT15&lt;&gt;".",up_Irr!BR15&lt;&gt;"."),up_dir!AV15/((1/1000)*(up_Irr!AT15+up_Irr!BR15)),IF(AND(up_Irr!V15=".",up_Irr!AT15=".",up_Irr!BR15&lt;&gt;"."),up_dir!AV15/((1/1000)*(up_Irr!BR15)),IF(AND(up_Irr!V15=".",up_Irr!AT15&lt;&gt;".",up_Irr!BR15="."),up_dir!AV15/((1/1000)*(up_Irr!AT15)),IF(AND(up_Irr!V15&lt;&gt;".",up_Irr!AT15=".",up_Irr!BR15="."),up_dir!AV15/((1/1000)*(up_Irr!V15)),IF(AND(up_Irr!V15=".",up_Irr!AT15=".",up_Irr!BR15="."),up_dir!AV15*1000)))))))),".")</f>
        <v>7.2351016258567334E-11</v>
      </c>
      <c r="BV15" s="76">
        <f>IFERROR(IF(AND(up_Irr!W15&lt;&gt;".",up_Irr!AU15&lt;&gt;".",up_Irr!BS15&lt;&gt;"."),up_dir!AW15/((1/1000)*(up_Irr!W15+up_Irr!AU15+up_Irr!BS15)),IF(AND(up_Irr!W15&lt;&gt;".",up_Irr!AU15&lt;&gt;".",up_Irr!BS15="."),up_dir!AW15/((1/1000)*(up_Irr!W15+up_Irr!AU15)),IF(AND(up_Irr!W15&lt;&gt;".",up_Irr!AU15=".",up_Irr!BS15&lt;&gt;"."),up_dir!AW15/((1/1000)*(up_Irr!W15+up_Irr!BS15)),IF(AND(up_Irr!W15=".",up_Irr!AU15&lt;&gt;".",up_Irr!BS15&lt;&gt;"."),up_dir!AW15/((1/1000)*(up_Irr!AU15+up_Irr!BS15)),IF(AND(up_Irr!W15=".",up_Irr!AU15=".",up_Irr!BS15&lt;&gt;"."),up_dir!AW15/((1/1000)*(up_Irr!BS15)),IF(AND(up_Irr!W15=".",up_Irr!AU15&lt;&gt;".",up_Irr!BS15="."),up_dir!AW15/((1/1000)*(up_Irr!AU15)),IF(AND(up_Irr!W15&lt;&gt;".",up_Irr!AU15=".",up_Irr!BS15="."),up_dir!AW15/((1/1000)*(up_Irr!W15)),IF(AND(up_Irr!W15=".",up_Irr!AU15=".",up_Irr!BS15="."),up_dir!AW15*1000)))))))),".")</f>
        <v>7.2351016258567334E-11</v>
      </c>
      <c r="BW15" s="76">
        <f>IFERROR(IF(AND(up_Irr!X15&lt;&gt;".",up_Irr!AV15&lt;&gt;".",up_Irr!BT15&lt;&gt;"."),up_dir!AX15/((1/1000)*(up_Irr!X15+up_Irr!AV15+up_Irr!BT15)),IF(AND(up_Irr!X15&lt;&gt;".",up_Irr!AV15&lt;&gt;".",up_Irr!BT15="."),up_dir!AX15/((1/1000)*(up_Irr!X15+up_Irr!AV15)),IF(AND(up_Irr!X15&lt;&gt;".",up_Irr!AV15=".",up_Irr!BT15&lt;&gt;"."),up_dir!AX15/((1/1000)*(up_Irr!X15+up_Irr!BT15)),IF(AND(up_Irr!X15=".",up_Irr!AV15&lt;&gt;".",up_Irr!BT15&lt;&gt;"."),up_dir!AX15/((1/1000)*(up_Irr!AV15+up_Irr!BT15)),IF(AND(up_Irr!X15=".",up_Irr!AV15=".",up_Irr!BT15&lt;&gt;"."),up_dir!AX15/((1/1000)*(up_Irr!BT15)),IF(AND(up_Irr!X15=".",up_Irr!AV15&lt;&gt;".",up_Irr!BT15="."),up_dir!AX15/((1/1000)*(up_Irr!AV15)),IF(AND(up_Irr!X15&lt;&gt;".",up_Irr!AV15=".",up_Irr!BT15="."),up_dir!AX15/((1/1000)*(up_Irr!X15)),IF(AND(up_Irr!X15=".",up_Irr!AV15=".",up_Irr!BT15="."),up_dir!AX15*1000)))))))),".")</f>
        <v>7.2351016258567334E-11</v>
      </c>
      <c r="BX15" s="76">
        <f>IFERROR(IF(AND(up_Irr!Y15&lt;&gt;".",up_Irr!AW15&lt;&gt;".",up_Irr!BU15&lt;&gt;"."),up_dir!AY15/((1/1000)*(up_Irr!Y15+up_Irr!AW15+up_Irr!BU15)),IF(AND(up_Irr!Y15&lt;&gt;".",up_Irr!AW15&lt;&gt;".",up_Irr!BU15="."),up_dir!AY15/((1/1000)*(up_Irr!Y15+up_Irr!AW15)),IF(AND(up_Irr!Y15&lt;&gt;".",up_Irr!AW15=".",up_Irr!BU15&lt;&gt;"."),up_dir!AY15/((1/1000)*(up_Irr!Y15+up_Irr!BU15)),IF(AND(up_Irr!Y15=".",up_Irr!AW15&lt;&gt;".",up_Irr!BU15&lt;&gt;"."),up_dir!AY15/((1/1000)*(up_Irr!AW15+up_Irr!BU15)),IF(AND(up_Irr!Y15=".",up_Irr!AW15=".",up_Irr!BU15&lt;&gt;"."),up_dir!AY15/((1/1000)*(up_Irr!BU15)),IF(AND(up_Irr!Y15=".",up_Irr!AW15&lt;&gt;".",up_Irr!BU15="."),up_dir!AY15/((1/1000)*(up_Irr!AW15)),IF(AND(up_Irr!Y15&lt;&gt;".",up_Irr!AW15=".",up_Irr!BU15="."),up_dir!AY15/((1/1000)*(up_Irr!Y15)),IF(AND(up_Irr!Y15=".",up_Irr!AW15=".",up_Irr!BU15="."),up_dir!AY15*1000)))))))),".")</f>
        <v>7.2351016258567334E-11</v>
      </c>
      <c r="BY15" s="76">
        <f>IFERROR(IF(AND(up_Irr!Z15&lt;&gt;".",up_Irr!AX15&lt;&gt;".",up_Irr!BV15&lt;&gt;"."),up_dir!AZ15/((1/1000)*(up_Irr!Z15+up_Irr!AX15+up_Irr!BV15)),IF(AND(up_Irr!Z15&lt;&gt;".",up_Irr!AX15&lt;&gt;".",up_Irr!BV15="."),up_dir!AZ15/((1/1000)*(up_Irr!Z15+up_Irr!AX15)),IF(AND(up_Irr!Z15&lt;&gt;".",up_Irr!AX15=".",up_Irr!BV15&lt;&gt;"."),up_dir!AZ15/((1/1000)*(up_Irr!Z15+up_Irr!BV15)),IF(AND(up_Irr!Z15=".",up_Irr!AX15&lt;&gt;".",up_Irr!BV15&lt;&gt;"."),up_dir!AZ15/((1/1000)*(up_Irr!AX15+up_Irr!BV15)),IF(AND(up_Irr!Z15=".",up_Irr!AX15=".",up_Irr!BV15&lt;&gt;"."),up_dir!AZ15/((1/1000)*(up_Irr!BV15)),IF(AND(up_Irr!Z15=".",up_Irr!AX15&lt;&gt;".",up_Irr!BV15="."),up_dir!AZ15/((1/1000)*(up_Irr!AX15)),IF(AND(up_Irr!Z15&lt;&gt;".",up_Irr!AX15=".",up_Irr!BV15="."),up_dir!AZ15/((1/1000)*(up_Irr!Z15)),IF(AND(up_Irr!Z15=".",up_Irr!AX15=".",up_Irr!BV15="."),up_dir!AZ15*1000)))))))),".")</f>
        <v>7.2351016258567334E-11</v>
      </c>
      <c r="BZ15" s="93">
        <f t="shared" ref="BZ15:BZ16" si="8">SUM(CA15:CB15,CW15:CX15)</f>
        <v>55286.023705663516</v>
      </c>
      <c r="CA15" s="93">
        <f>IFERROR(s_C*s_IFAP_far_adj*s_CF_apple*(1/1000)*(up_Irr!C15+up_Irr!AA15+up_Irr!AY15),".")</f>
        <v>13821.505926415879</v>
      </c>
      <c r="CB15" s="93">
        <f>IFERROR(s_C*s_IFAS_far_adj*s_CF_asparagus*(1/1000)*(up_Irr!D15+up_Irr!AB15+up_Irr!AZ15),".")</f>
        <v>13821.505926415879</v>
      </c>
      <c r="CC15" s="93">
        <f>IFERROR(s_C*s_IFBT_far_adj*s_CF_beet*(1/1000)*(up_Irr!E15+up_Irr!AC15+up_Irr!BA15),".")</f>
        <v>13821.505926415879</v>
      </c>
      <c r="CD15" s="93">
        <f>IFERROR(s_C*s_IFBE_far_adj*s_CF_berries*(1/1000)*(up_Irr!F15+up_Irr!AD15+up_Irr!BB15),".")</f>
        <v>13821.505926415879</v>
      </c>
      <c r="CE15" s="93">
        <f>IFERROR(s_C*s_IFBR_far_adj*s_CF_broccoli*(1/1000)*(up_Irr!G15+up_Irr!AE15+up_Irr!BC15),".")</f>
        <v>13821.505926415879</v>
      </c>
      <c r="CF15" s="93">
        <f>IFERROR(s_C*s_IFCB_far_adj*s_CF_cabbage*(1/1000)*(up_Irr!H15+up_Irr!AF15+up_Irr!BD15),".")</f>
        <v>13821.505926415879</v>
      </c>
      <c r="CG15" s="93">
        <f>IFERROR(s_C*s_IFCR_far_adj*s_CF_carrot*(1/1000)*(up_Irr!I15+up_Irr!AG15+up_Irr!BE15),".")</f>
        <v>13821.505926415879</v>
      </c>
      <c r="CH15" s="93">
        <f>IFERROR(s_C*s_IFCI_far_adj*s_CF_citrus*(1/1000)*(up_Irr!J15+up_Irr!AH15+up_Irr!BF15),".")</f>
        <v>13821.505926415879</v>
      </c>
      <c r="CI15" s="93">
        <f>IFERROR(s_C*s_IFCO_far_adj*s_CF_corn*(1/1000)*(up_Irr!K15+up_Irr!AI15+up_Irr!BG15),".")</f>
        <v>13821.505926415879</v>
      </c>
      <c r="CJ15" s="93">
        <f>IFERROR(s_C*s_IFCU_far_adj*s_CF_cucumber*(1/1000)*(up_Irr!L15+up_Irr!AJ15+up_Irr!BH15),".")</f>
        <v>13821.505926415879</v>
      </c>
      <c r="CK15" s="93">
        <f>IFERROR(s_C*s_IFLE_far_adj*s_CF_lettuce*(1/1000)*(up_Irr!M15+up_Irr!AK15+up_Irr!BI15),".")</f>
        <v>13821.505926415879</v>
      </c>
      <c r="CL15" s="93">
        <f>IFERROR(s_C*s_IFLI_far_adj*s_CF_lima_bean*(1/1000)*(up_Irr!N15+up_Irr!AL15+up_Irr!BJ15),".")</f>
        <v>13821.505926415879</v>
      </c>
      <c r="CM15" s="93">
        <f>IFERROR(s_C*s_IFOK_far_adj*s_CF_okra*(1/1000)*(up_Irr!O15+up_Irr!AM15+up_Irr!BK15),".")</f>
        <v>13821.505926415879</v>
      </c>
      <c r="CN15" s="93">
        <f>IFERROR(s_C*s_IFON_far_adj*s_CF_onion*(1/1000)*(up_Irr!P15+up_Irr!AN15+up_Irr!BL15),".")</f>
        <v>13821.505926415879</v>
      </c>
      <c r="CO15" s="93">
        <f>IFERROR(s_C*s_IFPC_far_adj*s_CF_peach*(1/1000)*(up_Irr!Q15+up_Irr!AO15+up_Irr!BM15),".")</f>
        <v>13821.505926415879</v>
      </c>
      <c r="CP15" s="93">
        <f>IFERROR(s_C*s_IFPR_far_adj*s_CF_pear*(1/1000)*(up_Irr!R15+up_Irr!AP15+up_Irr!BN15),".")</f>
        <v>13821.505926415879</v>
      </c>
      <c r="CQ15" s="93">
        <f>IFERROR(s_C*s_IFPE_far_adj*s_CF_peas*(1/1000)*(up_Irr!S15+up_Irr!AQ15+up_Irr!BO15),".")</f>
        <v>13821.505926415879</v>
      </c>
      <c r="CR15" s="93">
        <f>IFERROR(s_C*s_IFPT_far_adj*s_CF_potato*(1/1000)*(up_Irr!T15+up_Irr!AR15+up_Irr!BP15),".")</f>
        <v>13821.505926415879</v>
      </c>
      <c r="CS15" s="93">
        <f>IFERROR(s_C*s_IFPU_far_adj*s_CF_pumpkin*(1/1000)*(up_Irr!U15+up_Irr!AS15+up_Irr!BQ15),".")</f>
        <v>13821.505926415879</v>
      </c>
      <c r="CT15" s="93">
        <f>IFERROR(s_C*s_IFSN_far_adj*s_CF_snap_bean*(1/1000)*(up_Irr!V15+up_Irr!AT15+up_Irr!BR15),".")</f>
        <v>13821.505926415879</v>
      </c>
      <c r="CU15" s="93">
        <f>IFERROR(s_C*s_IFST_far_adj*s_CF_strawberry*(1/1000)*(up_Irr!W15+up_Irr!AU15+up_Irr!BS15),".")</f>
        <v>13821.505926415879</v>
      </c>
      <c r="CV15" s="93">
        <f>IFERROR(s_C*s_IFTO_far_adj*s_CF_tomato*(1/1000)*(up_Irr!X15+up_Irr!AV15+up_Irr!BT15),".")</f>
        <v>13821.505926415879</v>
      </c>
      <c r="CW15" s="93">
        <f>IFERROR(s_C*s_IFRI_far_adj*s_CF_rice*(1/1000)*(up_Irr!Y15+up_Irr!AW15+up_Irr!BU15),".")</f>
        <v>13821.505926415879</v>
      </c>
      <c r="CX15" s="93">
        <f>IFERROR(s_C*s_IFCG_far_adj*s_CF_cereal*(1/1000)*(up_Irr!Z15+up_Irr!AX15+up_Irr!BV15),".")</f>
        <v>13821.505926415879</v>
      </c>
    </row>
    <row r="16" spans="1:102" ht="15" customHeight="1" x14ac:dyDescent="0.25">
      <c r="A16" s="92" t="s">
        <v>26</v>
      </c>
      <c r="B16" s="90" t="s">
        <v>1074</v>
      </c>
      <c r="C16" s="76">
        <f t="shared" si="0"/>
        <v>1.8087754064641833E-11</v>
      </c>
      <c r="D16" s="76">
        <f>IFERROR(IF(AND(up_Irr!C16&lt;&gt;".",up_Irr!AA16&lt;&gt;".",up_Irr!AY16&lt;&gt;"."),up_dir!D16/((1/1000)*(up_Irr!C16+up_Irr!AA16+up_Irr!AY16)),IF(AND(up_Irr!C16&lt;&gt;".",up_Irr!AA16&lt;&gt;".",up_Irr!AY16="."),up_dir!D16/((1/1000)*(up_Irr!C16+up_Irr!AA16)),IF(AND(up_Irr!C16&lt;&gt;".",up_Irr!AA16=".",up_Irr!AY16&lt;&gt;"."),up_dir!D16/((1/1000)*(up_Irr!C16+up_Irr!AY16)),IF(AND(up_Irr!C16=".",up_Irr!AA16&lt;&gt;".",up_Irr!AY16&lt;&gt;"."),up_dir!D16/((1/1000)*(up_Irr!AA16+up_Irr!AY16)),IF(AND(up_Irr!C16=".",up_Irr!AA16=".",up_Irr!AY16&lt;&gt;"."),up_dir!D16/((1/1000)*(up_Irr!AY16)),IF(AND(up_Irr!C16=".",up_Irr!AA16&lt;&gt;".",up_Irr!AY16="."),up_dir!D16/((1/1000)*(up_Irr!AA16)),IF(AND(up_Irr!C16&lt;&gt;".",up_Irr!AA16=".",up_Irr!AY16="."),up_dir!D16/((1/1000)*(up_Irr!C16)),IF(AND(up_Irr!C16=".",up_Irr!AA16=".",up_Irr!AY16="."),up_dir!D16*1000)))))))),".")</f>
        <v>7.2351016258567334E-11</v>
      </c>
      <c r="E16" s="76">
        <f>IFERROR(IF(AND(up_Irr!D16&lt;&gt;".",up_Irr!AB16&lt;&gt;".",up_Irr!AZ16&lt;&gt;"."),up_dir!E16/((1/1000)*(up_Irr!D16+up_Irr!AB16+up_Irr!AZ16)),IF(AND(up_Irr!D16&lt;&gt;".",up_Irr!AB16&lt;&gt;".",up_Irr!AZ16="."),up_dir!E16/((1/1000)*(up_Irr!D16+up_Irr!AB16)),IF(AND(up_Irr!D16&lt;&gt;".",up_Irr!AB16=".",up_Irr!AZ16&lt;&gt;"."),up_dir!E16/((1/1000)*(up_Irr!D16+up_Irr!AZ16)),IF(AND(up_Irr!D16=".",up_Irr!AB16&lt;&gt;".",up_Irr!AZ16&lt;&gt;"."),up_dir!E16/((1/1000)*(up_Irr!AB16+up_Irr!AZ16)),IF(AND(up_Irr!D16=".",up_Irr!AB16=".",up_Irr!AZ16&lt;&gt;"."),up_dir!E16/((1/1000)*(up_Irr!AZ16)),IF(AND(up_Irr!D16=".",up_Irr!AB16&lt;&gt;".",up_Irr!AZ16="."),up_dir!E16/((1/1000)*(up_Irr!AB16)),IF(AND(up_Irr!D16&lt;&gt;".",up_Irr!AB16=".",up_Irr!AZ16="."),up_dir!E16/((1/1000)*(up_Irr!D16)),IF(AND(up_Irr!D16=".",up_Irr!AB16=".",up_Irr!AZ16="."),up_dir!E16*1000)))))))),".")</f>
        <v>7.2351016258567334E-11</v>
      </c>
      <c r="F16" s="76">
        <f>IFERROR(IF(AND(up_Irr!E16&lt;&gt;".",up_Irr!AC16&lt;&gt;".",up_Irr!BA16&lt;&gt;"."),up_dir!F16/((1/1000)*(up_Irr!E16+up_Irr!AC16+up_Irr!BA16)),IF(AND(up_Irr!E16&lt;&gt;".",up_Irr!AC16&lt;&gt;".",up_Irr!BA16="."),up_dir!F16/((1/1000)*(up_Irr!E16+up_Irr!AC16)),IF(AND(up_Irr!E16&lt;&gt;".",up_Irr!AC16=".",up_Irr!BA16&lt;&gt;"."),up_dir!F16/((1/1000)*(up_Irr!E16+up_Irr!BA16)),IF(AND(up_Irr!E16=".",up_Irr!AC16&lt;&gt;".",up_Irr!BA16&lt;&gt;"."),up_dir!F16/((1/1000)*(up_Irr!AC16+up_Irr!BA16)),IF(AND(up_Irr!E16=".",up_Irr!AC16=".",up_Irr!BA16&lt;&gt;"."),up_dir!F16/((1/1000)*(up_Irr!BA16)),IF(AND(up_Irr!E16=".",up_Irr!AC16&lt;&gt;".",up_Irr!BA16="."),up_dir!F16/((1/1000)*(up_Irr!AC16)),IF(AND(up_Irr!E16&lt;&gt;".",up_Irr!AC16=".",up_Irr!BA16="."),up_dir!F16/((1/1000)*(up_Irr!E16)),IF(AND(up_Irr!E16=".",up_Irr!AC16=".",up_Irr!BA16="."),up_dir!F16*1000)))))))),".")</f>
        <v>7.2351016258567334E-11</v>
      </c>
      <c r="G16" s="76">
        <f>IFERROR(IF(AND(up_Irr!F16&lt;&gt;".",up_Irr!AD16&lt;&gt;".",up_Irr!BB16&lt;&gt;"."),up_dir!G16/((1/1000)*(up_Irr!F16+up_Irr!AD16+up_Irr!BB16)),IF(AND(up_Irr!F16&lt;&gt;".",up_Irr!AD16&lt;&gt;".",up_Irr!BB16="."),up_dir!G16/((1/1000)*(up_Irr!F16+up_Irr!AD16)),IF(AND(up_Irr!F16&lt;&gt;".",up_Irr!AD16=".",up_Irr!BB16&lt;&gt;"."),up_dir!G16/((1/1000)*(up_Irr!F16+up_Irr!BB16)),IF(AND(up_Irr!F16=".",up_Irr!AD16&lt;&gt;".",up_Irr!BB16&lt;&gt;"."),up_dir!G16/((1/1000)*(up_Irr!AD16+up_Irr!BB16)),IF(AND(up_Irr!F16=".",up_Irr!AD16=".",up_Irr!BB16&lt;&gt;"."),up_dir!G16/((1/1000)*(up_Irr!BB16)),IF(AND(up_Irr!F16=".",up_Irr!AD16&lt;&gt;".",up_Irr!BB16="."),up_dir!G16/((1/1000)*(up_Irr!AD16)),IF(AND(up_Irr!F16&lt;&gt;".",up_Irr!AD16=".",up_Irr!BB16="."),up_dir!G16/((1/1000)*(up_Irr!F16)),IF(AND(up_Irr!F16=".",up_Irr!AD16=".",up_Irr!BB16="."),up_dir!G16*1000)))))))),".")</f>
        <v>7.2351016258567334E-11</v>
      </c>
      <c r="H16" s="76">
        <f>IFERROR(IF(AND(up_Irr!G16&lt;&gt;".",up_Irr!AE16&lt;&gt;".",up_Irr!BC16&lt;&gt;"."),up_dir!H16/((1/1000)*(up_Irr!G16+up_Irr!AE16+up_Irr!BC16)),IF(AND(up_Irr!G16&lt;&gt;".",up_Irr!AE16&lt;&gt;".",up_Irr!BC16="."),up_dir!H16/((1/1000)*(up_Irr!G16+up_Irr!AE16)),IF(AND(up_Irr!G16&lt;&gt;".",up_Irr!AE16=".",up_Irr!BC16&lt;&gt;"."),up_dir!H16/((1/1000)*(up_Irr!G16+up_Irr!BC16)),IF(AND(up_Irr!G16=".",up_Irr!AE16&lt;&gt;".",up_Irr!BC16&lt;&gt;"."),up_dir!H16/((1/1000)*(up_Irr!AE16+up_Irr!BC16)),IF(AND(up_Irr!G16=".",up_Irr!AE16=".",up_Irr!BC16&lt;&gt;"."),up_dir!H16/((1/1000)*(up_Irr!BC16)),IF(AND(up_Irr!G16=".",up_Irr!AE16&lt;&gt;".",up_Irr!BC16="."),up_dir!H16/((1/1000)*(up_Irr!AE16)),IF(AND(up_Irr!G16&lt;&gt;".",up_Irr!AE16=".",up_Irr!BC16="."),up_dir!H16/((1/1000)*(up_Irr!G16)),IF(AND(up_Irr!G16=".",up_Irr!AE16=".",up_Irr!BC16="."),up_dir!H16*1000)))))))),".")</f>
        <v>7.2351016258567334E-11</v>
      </c>
      <c r="I16" s="76">
        <f>IFERROR(IF(AND(up_Irr!H16&lt;&gt;".",up_Irr!AF16&lt;&gt;".",up_Irr!BD16&lt;&gt;"."),up_dir!I16/((1/1000)*(up_Irr!H16+up_Irr!AF16+up_Irr!BD16)),IF(AND(up_Irr!H16&lt;&gt;".",up_Irr!AF16&lt;&gt;".",up_Irr!BD16="."),up_dir!I16/((1/1000)*(up_Irr!H16+up_Irr!AF16)),IF(AND(up_Irr!H16&lt;&gt;".",up_Irr!AF16=".",up_Irr!BD16&lt;&gt;"."),up_dir!I16/((1/1000)*(up_Irr!H16+up_Irr!BD16)),IF(AND(up_Irr!H16=".",up_Irr!AF16&lt;&gt;".",up_Irr!BD16&lt;&gt;"."),up_dir!I16/((1/1000)*(up_Irr!AF16+up_Irr!BD16)),IF(AND(up_Irr!H16=".",up_Irr!AF16=".",up_Irr!BD16&lt;&gt;"."),up_dir!I16/((1/1000)*(up_Irr!BD16)),IF(AND(up_Irr!H16=".",up_Irr!AF16&lt;&gt;".",up_Irr!BD16="."),up_dir!I16/((1/1000)*(up_Irr!AF16)),IF(AND(up_Irr!H16&lt;&gt;".",up_Irr!AF16=".",up_Irr!BD16="."),up_dir!I16/((1/1000)*(up_Irr!H16)),IF(AND(up_Irr!H16=".",up_Irr!AF16=".",up_Irr!BD16="."),up_dir!I16*1000)))))))),".")</f>
        <v>7.2351016258567334E-11</v>
      </c>
      <c r="J16" s="76">
        <f>IFERROR(IF(AND(up_Irr!I16&lt;&gt;".",up_Irr!AG16&lt;&gt;".",up_Irr!BE16&lt;&gt;"."),up_dir!J16/((1/1000)*(up_Irr!I16+up_Irr!AG16+up_Irr!BE16)),IF(AND(up_Irr!I16&lt;&gt;".",up_Irr!AG16&lt;&gt;".",up_Irr!BE16="."),up_dir!J16/((1/1000)*(up_Irr!I16+up_Irr!AG16)),IF(AND(up_Irr!I16&lt;&gt;".",up_Irr!AG16=".",up_Irr!BE16&lt;&gt;"."),up_dir!J16/((1/1000)*(up_Irr!I16+up_Irr!BE16)),IF(AND(up_Irr!I16=".",up_Irr!AG16&lt;&gt;".",up_Irr!BE16&lt;&gt;"."),up_dir!J16/((1/1000)*(up_Irr!AG16+up_Irr!BE16)),IF(AND(up_Irr!I16=".",up_Irr!AG16=".",up_Irr!BE16&lt;&gt;"."),up_dir!J16/((1/1000)*(up_Irr!BE16)),IF(AND(up_Irr!I16=".",up_Irr!AG16&lt;&gt;".",up_Irr!BE16="."),up_dir!J16/((1/1000)*(up_Irr!AG16)),IF(AND(up_Irr!I16&lt;&gt;".",up_Irr!AG16=".",up_Irr!BE16="."),up_dir!J16/((1/1000)*(up_Irr!I16)),IF(AND(up_Irr!I16=".",up_Irr!AG16=".",up_Irr!BE16="."),up_dir!J16*1000)))))))),".")</f>
        <v>7.2351016258567334E-11</v>
      </c>
      <c r="K16" s="76">
        <f>IFERROR(IF(AND(up_Irr!J16&lt;&gt;".",up_Irr!AH16&lt;&gt;".",up_Irr!BF16&lt;&gt;"."),up_dir!K16/((1/1000)*(up_Irr!J16+up_Irr!AH16+up_Irr!BF16)),IF(AND(up_Irr!J16&lt;&gt;".",up_Irr!AH16&lt;&gt;".",up_Irr!BF16="."),up_dir!K16/((1/1000)*(up_Irr!J16+up_Irr!AH16)),IF(AND(up_Irr!J16&lt;&gt;".",up_Irr!AH16=".",up_Irr!BF16&lt;&gt;"."),up_dir!K16/((1/1000)*(up_Irr!J16+up_Irr!BF16)),IF(AND(up_Irr!J16=".",up_Irr!AH16&lt;&gt;".",up_Irr!BF16&lt;&gt;"."),up_dir!K16/((1/1000)*(up_Irr!AH16+up_Irr!BF16)),IF(AND(up_Irr!J16=".",up_Irr!AH16=".",up_Irr!BF16&lt;&gt;"."),up_dir!K16/((1/1000)*(up_Irr!BF16)),IF(AND(up_Irr!J16=".",up_Irr!AH16&lt;&gt;".",up_Irr!BF16="."),up_dir!K16/((1/1000)*(up_Irr!AH16)),IF(AND(up_Irr!J16&lt;&gt;".",up_Irr!AH16=".",up_Irr!BF16="."),up_dir!K16/((1/1000)*(up_Irr!J16)),IF(AND(up_Irr!J16=".",up_Irr!AH16=".",up_Irr!BF16="."),up_dir!K16*1000)))))))),".")</f>
        <v>7.2351016258567334E-11</v>
      </c>
      <c r="L16" s="76">
        <f>IFERROR(IF(AND(up_Irr!K16&lt;&gt;".",up_Irr!AI16&lt;&gt;".",up_Irr!BG16&lt;&gt;"."),up_dir!L16/((1/1000)*(up_Irr!K16+up_Irr!AI16+up_Irr!BG16)),IF(AND(up_Irr!K16&lt;&gt;".",up_Irr!AI16&lt;&gt;".",up_Irr!BG16="."),up_dir!L16/((1/1000)*(up_Irr!K16+up_Irr!AI16)),IF(AND(up_Irr!K16&lt;&gt;".",up_Irr!AI16=".",up_Irr!BG16&lt;&gt;"."),up_dir!L16/((1/1000)*(up_Irr!K16+up_Irr!BG16)),IF(AND(up_Irr!K16=".",up_Irr!AI16&lt;&gt;".",up_Irr!BG16&lt;&gt;"."),up_dir!L16/((1/1000)*(up_Irr!AI16+up_Irr!BG16)),IF(AND(up_Irr!K16=".",up_Irr!AI16=".",up_Irr!BG16&lt;&gt;"."),up_dir!L16/((1/1000)*(up_Irr!BG16)),IF(AND(up_Irr!K16=".",up_Irr!AI16&lt;&gt;".",up_Irr!BG16="."),up_dir!L16/((1/1000)*(up_Irr!AI16)),IF(AND(up_Irr!K16&lt;&gt;".",up_Irr!AI16=".",up_Irr!BG16="."),up_dir!L16/((1/1000)*(up_Irr!K16)),IF(AND(up_Irr!K16=".",up_Irr!AI16=".",up_Irr!BG16="."),up_dir!L16*1000)))))))),".")</f>
        <v>7.2351016258567334E-11</v>
      </c>
      <c r="M16" s="76">
        <f>IFERROR(IF(AND(up_Irr!L16&lt;&gt;".",up_Irr!AJ16&lt;&gt;".",up_Irr!BH16&lt;&gt;"."),up_dir!M16/((1/1000)*(up_Irr!L16+up_Irr!AJ16+up_Irr!BH16)),IF(AND(up_Irr!L16&lt;&gt;".",up_Irr!AJ16&lt;&gt;".",up_Irr!BH16="."),up_dir!M16/((1/1000)*(up_Irr!L16+up_Irr!AJ16)),IF(AND(up_Irr!L16&lt;&gt;".",up_Irr!AJ16=".",up_Irr!BH16&lt;&gt;"."),up_dir!M16/((1/1000)*(up_Irr!L16+up_Irr!BH16)),IF(AND(up_Irr!L16=".",up_Irr!AJ16&lt;&gt;".",up_Irr!BH16&lt;&gt;"."),up_dir!M16/((1/1000)*(up_Irr!AJ16+up_Irr!BH16)),IF(AND(up_Irr!L16=".",up_Irr!AJ16=".",up_Irr!BH16&lt;&gt;"."),up_dir!M16/((1/1000)*(up_Irr!BH16)),IF(AND(up_Irr!L16=".",up_Irr!AJ16&lt;&gt;".",up_Irr!BH16="."),up_dir!M16/((1/1000)*(up_Irr!AJ16)),IF(AND(up_Irr!L16&lt;&gt;".",up_Irr!AJ16=".",up_Irr!BH16="."),up_dir!M16/((1/1000)*(up_Irr!L16)),IF(AND(up_Irr!L16=".",up_Irr!AJ16=".",up_Irr!BH16="."),up_dir!M16*1000)))))))),".")</f>
        <v>7.2351016258567334E-11</v>
      </c>
      <c r="N16" s="76">
        <f>IFERROR(IF(AND(up_Irr!M16&lt;&gt;".",up_Irr!AK16&lt;&gt;".",up_Irr!BI16&lt;&gt;"."),up_dir!N16/((1/1000)*(up_Irr!M16+up_Irr!AK16+up_Irr!BI16)),IF(AND(up_Irr!M16&lt;&gt;".",up_Irr!AK16&lt;&gt;".",up_Irr!BI16="."),up_dir!N16/((1/1000)*(up_Irr!M16+up_Irr!AK16)),IF(AND(up_Irr!M16&lt;&gt;".",up_Irr!AK16=".",up_Irr!BI16&lt;&gt;"."),up_dir!N16/((1/1000)*(up_Irr!M16+up_Irr!BI16)),IF(AND(up_Irr!M16=".",up_Irr!AK16&lt;&gt;".",up_Irr!BI16&lt;&gt;"."),up_dir!N16/((1/1000)*(up_Irr!AK16+up_Irr!BI16)),IF(AND(up_Irr!M16=".",up_Irr!AK16=".",up_Irr!BI16&lt;&gt;"."),up_dir!N16/((1/1000)*(up_Irr!BI16)),IF(AND(up_Irr!M16=".",up_Irr!AK16&lt;&gt;".",up_Irr!BI16="."),up_dir!N16/((1/1000)*(up_Irr!AK16)),IF(AND(up_Irr!M16&lt;&gt;".",up_Irr!AK16=".",up_Irr!BI16="."),up_dir!N16/((1/1000)*(up_Irr!M16)),IF(AND(up_Irr!M16=".",up_Irr!AK16=".",up_Irr!BI16="."),up_dir!N16*1000)))))))),".")</f>
        <v>7.2351016258567334E-11</v>
      </c>
      <c r="O16" s="76">
        <f>IFERROR(IF(AND(up_Irr!N16&lt;&gt;".",up_Irr!AL16&lt;&gt;".",up_Irr!BJ16&lt;&gt;"."),up_dir!O16/((1/1000)*(up_Irr!N16+up_Irr!AL16+up_Irr!BJ16)),IF(AND(up_Irr!N16&lt;&gt;".",up_Irr!AL16&lt;&gt;".",up_Irr!BJ16="."),up_dir!O16/((1/1000)*(up_Irr!N16+up_Irr!AL16)),IF(AND(up_Irr!N16&lt;&gt;".",up_Irr!AL16=".",up_Irr!BJ16&lt;&gt;"."),up_dir!O16/((1/1000)*(up_Irr!N16+up_Irr!BJ16)),IF(AND(up_Irr!N16=".",up_Irr!AL16&lt;&gt;".",up_Irr!BJ16&lt;&gt;"."),up_dir!O16/((1/1000)*(up_Irr!AL16+up_Irr!BJ16)),IF(AND(up_Irr!N16=".",up_Irr!AL16=".",up_Irr!BJ16&lt;&gt;"."),up_dir!O16/((1/1000)*(up_Irr!BJ16)),IF(AND(up_Irr!N16=".",up_Irr!AL16&lt;&gt;".",up_Irr!BJ16="."),up_dir!O16/((1/1000)*(up_Irr!AL16)),IF(AND(up_Irr!N16&lt;&gt;".",up_Irr!AL16=".",up_Irr!BJ16="."),up_dir!O16/((1/1000)*(up_Irr!N16)),IF(AND(up_Irr!N16=".",up_Irr!AL16=".",up_Irr!BJ16="."),up_dir!O16*1000)))))))),".")</f>
        <v>7.2351016258567334E-11</v>
      </c>
      <c r="P16" s="76">
        <f>IFERROR(IF(AND(up_Irr!O16&lt;&gt;".",up_Irr!AM16&lt;&gt;".",up_Irr!BK16&lt;&gt;"."),up_dir!P16/((1/1000)*(up_Irr!O16+up_Irr!AM16+up_Irr!BK16)),IF(AND(up_Irr!O16&lt;&gt;".",up_Irr!AM16&lt;&gt;".",up_Irr!BK16="."),up_dir!P16/((1/1000)*(up_Irr!O16+up_Irr!AM16)),IF(AND(up_Irr!O16&lt;&gt;".",up_Irr!AM16=".",up_Irr!BK16&lt;&gt;"."),up_dir!P16/((1/1000)*(up_Irr!O16+up_Irr!BK16)),IF(AND(up_Irr!O16=".",up_Irr!AM16&lt;&gt;".",up_Irr!BK16&lt;&gt;"."),up_dir!P16/((1/1000)*(up_Irr!AM16+up_Irr!BK16)),IF(AND(up_Irr!O16=".",up_Irr!AM16=".",up_Irr!BK16&lt;&gt;"."),up_dir!P16/((1/1000)*(up_Irr!BK16)),IF(AND(up_Irr!O16=".",up_Irr!AM16&lt;&gt;".",up_Irr!BK16="."),up_dir!P16/((1/1000)*(up_Irr!AM16)),IF(AND(up_Irr!O16&lt;&gt;".",up_Irr!AM16=".",up_Irr!BK16="."),up_dir!P16/((1/1000)*(up_Irr!O16)),IF(AND(up_Irr!O16=".",up_Irr!AM16=".",up_Irr!BK16="."),up_dir!P16*1000)))))))),".")</f>
        <v>7.2351016258567334E-11</v>
      </c>
      <c r="Q16" s="76">
        <f>IFERROR(IF(AND(up_Irr!P16&lt;&gt;".",up_Irr!AN16&lt;&gt;".",up_Irr!BL16&lt;&gt;"."),up_dir!Q16/((1/1000)*(up_Irr!P16+up_Irr!AN16+up_Irr!BL16)),IF(AND(up_Irr!P16&lt;&gt;".",up_Irr!AN16&lt;&gt;".",up_Irr!BL16="."),up_dir!Q16/((1/1000)*(up_Irr!P16+up_Irr!AN16)),IF(AND(up_Irr!P16&lt;&gt;".",up_Irr!AN16=".",up_Irr!BL16&lt;&gt;"."),up_dir!Q16/((1/1000)*(up_Irr!P16+up_Irr!BL16)),IF(AND(up_Irr!P16=".",up_Irr!AN16&lt;&gt;".",up_Irr!BL16&lt;&gt;"."),up_dir!Q16/((1/1000)*(up_Irr!AN16+up_Irr!BL16)),IF(AND(up_Irr!P16=".",up_Irr!AN16=".",up_Irr!BL16&lt;&gt;"."),up_dir!Q16/((1/1000)*(up_Irr!BL16)),IF(AND(up_Irr!P16=".",up_Irr!AN16&lt;&gt;".",up_Irr!BL16="."),up_dir!Q16/((1/1000)*(up_Irr!AN16)),IF(AND(up_Irr!P16&lt;&gt;".",up_Irr!AN16=".",up_Irr!BL16="."),up_dir!Q16/((1/1000)*(up_Irr!P16)),IF(AND(up_Irr!P16=".",up_Irr!AN16=".",up_Irr!BL16="."),up_dir!Q16*1000)))))))),".")</f>
        <v>7.2351016258567334E-11</v>
      </c>
      <c r="R16" s="76">
        <f>IFERROR(IF(AND(up_Irr!Q16&lt;&gt;".",up_Irr!AO16&lt;&gt;".",up_Irr!BM16&lt;&gt;"."),up_dir!R16/((1/1000)*(up_Irr!Q16+up_Irr!AO16+up_Irr!BM16)),IF(AND(up_Irr!Q16&lt;&gt;".",up_Irr!AO16&lt;&gt;".",up_Irr!BM16="."),up_dir!R16/((1/1000)*(up_Irr!Q16+up_Irr!AO16)),IF(AND(up_Irr!Q16&lt;&gt;".",up_Irr!AO16=".",up_Irr!BM16&lt;&gt;"."),up_dir!R16/((1/1000)*(up_Irr!Q16+up_Irr!BM16)),IF(AND(up_Irr!Q16=".",up_Irr!AO16&lt;&gt;".",up_Irr!BM16&lt;&gt;"."),up_dir!R16/((1/1000)*(up_Irr!AO16+up_Irr!BM16)),IF(AND(up_Irr!Q16=".",up_Irr!AO16=".",up_Irr!BM16&lt;&gt;"."),up_dir!R16/((1/1000)*(up_Irr!BM16)),IF(AND(up_Irr!Q16=".",up_Irr!AO16&lt;&gt;".",up_Irr!BM16="."),up_dir!R16/((1/1000)*(up_Irr!AO16)),IF(AND(up_Irr!Q16&lt;&gt;".",up_Irr!AO16=".",up_Irr!BM16="."),up_dir!R16/((1/1000)*(up_Irr!Q16)),IF(AND(up_Irr!Q16=".",up_Irr!AO16=".",up_Irr!BM16="."),up_dir!R16*1000)))))))),".")</f>
        <v>7.2351016258567334E-11</v>
      </c>
      <c r="S16" s="76">
        <f>IFERROR(IF(AND(up_Irr!R16&lt;&gt;".",up_Irr!AP16&lt;&gt;".",up_Irr!BN16&lt;&gt;"."),up_dir!S16/((1/1000)*(up_Irr!R16+up_Irr!AP16+up_Irr!BN16)),IF(AND(up_Irr!R16&lt;&gt;".",up_Irr!AP16&lt;&gt;".",up_Irr!BN16="."),up_dir!S16/((1/1000)*(up_Irr!R16+up_Irr!AP16)),IF(AND(up_Irr!R16&lt;&gt;".",up_Irr!AP16=".",up_Irr!BN16&lt;&gt;"."),up_dir!S16/((1/1000)*(up_Irr!R16+up_Irr!BN16)),IF(AND(up_Irr!R16=".",up_Irr!AP16&lt;&gt;".",up_Irr!BN16&lt;&gt;"."),up_dir!S16/((1/1000)*(up_Irr!AP16+up_Irr!BN16)),IF(AND(up_Irr!R16=".",up_Irr!AP16=".",up_Irr!BN16&lt;&gt;"."),up_dir!S16/((1/1000)*(up_Irr!BN16)),IF(AND(up_Irr!R16=".",up_Irr!AP16&lt;&gt;".",up_Irr!BN16="."),up_dir!S16/((1/1000)*(up_Irr!AP16)),IF(AND(up_Irr!R16&lt;&gt;".",up_Irr!AP16=".",up_Irr!BN16="."),up_dir!S16/((1/1000)*(up_Irr!R16)),IF(AND(up_Irr!R16=".",up_Irr!AP16=".",up_Irr!BN16="."),up_dir!S16*1000)))))))),".")</f>
        <v>7.2351016258567334E-11</v>
      </c>
      <c r="T16" s="76">
        <f>IFERROR(IF(AND(up_Irr!S16&lt;&gt;".",up_Irr!AQ16&lt;&gt;".",up_Irr!BO16&lt;&gt;"."),up_dir!T16/((1/1000)*(up_Irr!S16+up_Irr!AQ16+up_Irr!BO16)),IF(AND(up_Irr!S16&lt;&gt;".",up_Irr!AQ16&lt;&gt;".",up_Irr!BO16="."),up_dir!T16/((1/1000)*(up_Irr!S16+up_Irr!AQ16)),IF(AND(up_Irr!S16&lt;&gt;".",up_Irr!AQ16=".",up_Irr!BO16&lt;&gt;"."),up_dir!T16/((1/1000)*(up_Irr!S16+up_Irr!BO16)),IF(AND(up_Irr!S16=".",up_Irr!AQ16&lt;&gt;".",up_Irr!BO16&lt;&gt;"."),up_dir!T16/((1/1000)*(up_Irr!AQ16+up_Irr!BO16)),IF(AND(up_Irr!S16=".",up_Irr!AQ16=".",up_Irr!BO16&lt;&gt;"."),up_dir!T16/((1/1000)*(up_Irr!BO16)),IF(AND(up_Irr!S16=".",up_Irr!AQ16&lt;&gt;".",up_Irr!BO16="."),up_dir!T16/((1/1000)*(up_Irr!AQ16)),IF(AND(up_Irr!S16&lt;&gt;".",up_Irr!AQ16=".",up_Irr!BO16="."),up_dir!T16/((1/1000)*(up_Irr!S16)),IF(AND(up_Irr!S16=".",up_Irr!AQ16=".",up_Irr!BO16="."),up_dir!T16*1000)))))))),".")</f>
        <v>7.2351016258567334E-11</v>
      </c>
      <c r="U16" s="76">
        <f>IFERROR(IF(AND(up_Irr!T16&lt;&gt;".",up_Irr!AR16&lt;&gt;".",up_Irr!BP16&lt;&gt;"."),up_dir!U16/((1/1000)*(up_Irr!T16+up_Irr!AR16+up_Irr!BP16)),IF(AND(up_Irr!T16&lt;&gt;".",up_Irr!AR16&lt;&gt;".",up_Irr!BP16="."),up_dir!U16/((1/1000)*(up_Irr!T16+up_Irr!AR16)),IF(AND(up_Irr!T16&lt;&gt;".",up_Irr!AR16=".",up_Irr!BP16&lt;&gt;"."),up_dir!U16/((1/1000)*(up_Irr!T16+up_Irr!BP16)),IF(AND(up_Irr!T16=".",up_Irr!AR16&lt;&gt;".",up_Irr!BP16&lt;&gt;"."),up_dir!U16/((1/1000)*(up_Irr!AR16+up_Irr!BP16)),IF(AND(up_Irr!T16=".",up_Irr!AR16=".",up_Irr!BP16&lt;&gt;"."),up_dir!U16/((1/1000)*(up_Irr!BP16)),IF(AND(up_Irr!T16=".",up_Irr!AR16&lt;&gt;".",up_Irr!BP16="."),up_dir!U16/((1/1000)*(up_Irr!AR16)),IF(AND(up_Irr!T16&lt;&gt;".",up_Irr!AR16=".",up_Irr!BP16="."),up_dir!U16/((1/1000)*(up_Irr!T16)),IF(AND(up_Irr!T16=".",up_Irr!AR16=".",up_Irr!BP16="."),up_dir!U16*1000)))))))),".")</f>
        <v>7.2351016258567334E-11</v>
      </c>
      <c r="V16" s="76">
        <f>IFERROR(IF(AND(up_Irr!U16&lt;&gt;".",up_Irr!AS16&lt;&gt;".",up_Irr!BQ16&lt;&gt;"."),up_dir!V16/((1/1000)*(up_Irr!U16+up_Irr!AS16+up_Irr!BQ16)),IF(AND(up_Irr!U16&lt;&gt;".",up_Irr!AS16&lt;&gt;".",up_Irr!BQ16="."),up_dir!V16/((1/1000)*(up_Irr!U16+up_Irr!AS16)),IF(AND(up_Irr!U16&lt;&gt;".",up_Irr!AS16=".",up_Irr!BQ16&lt;&gt;"."),up_dir!V16/((1/1000)*(up_Irr!U16+up_Irr!BQ16)),IF(AND(up_Irr!U16=".",up_Irr!AS16&lt;&gt;".",up_Irr!BQ16&lt;&gt;"."),up_dir!V16/((1/1000)*(up_Irr!AS16+up_Irr!BQ16)),IF(AND(up_Irr!U16=".",up_Irr!AS16=".",up_Irr!BQ16&lt;&gt;"."),up_dir!V16/((1/1000)*(up_Irr!BQ16)),IF(AND(up_Irr!U16=".",up_Irr!AS16&lt;&gt;".",up_Irr!BQ16="."),up_dir!V16/((1/1000)*(up_Irr!AS16)),IF(AND(up_Irr!U16&lt;&gt;".",up_Irr!AS16=".",up_Irr!BQ16="."),up_dir!V16/((1/1000)*(up_Irr!U16)),IF(AND(up_Irr!U16=".",up_Irr!AS16=".",up_Irr!BQ16="."),up_dir!V16*1000)))))))),".")</f>
        <v>7.2351016258567334E-11</v>
      </c>
      <c r="W16" s="76">
        <f>IFERROR(IF(AND(up_Irr!V16&lt;&gt;".",up_Irr!AT16&lt;&gt;".",up_Irr!BR16&lt;&gt;"."),up_dir!W16/((1/1000)*(up_Irr!V16+up_Irr!AT16+up_Irr!BR16)),IF(AND(up_Irr!V16&lt;&gt;".",up_Irr!AT16&lt;&gt;".",up_Irr!BR16="."),up_dir!W16/((1/1000)*(up_Irr!V16+up_Irr!AT16)),IF(AND(up_Irr!V16&lt;&gt;".",up_Irr!AT16=".",up_Irr!BR16&lt;&gt;"."),up_dir!W16/((1/1000)*(up_Irr!V16+up_Irr!BR16)),IF(AND(up_Irr!V16=".",up_Irr!AT16&lt;&gt;".",up_Irr!BR16&lt;&gt;"."),up_dir!W16/((1/1000)*(up_Irr!AT16+up_Irr!BR16)),IF(AND(up_Irr!V16=".",up_Irr!AT16=".",up_Irr!BR16&lt;&gt;"."),up_dir!W16/((1/1000)*(up_Irr!BR16)),IF(AND(up_Irr!V16=".",up_Irr!AT16&lt;&gt;".",up_Irr!BR16="."),up_dir!W16/((1/1000)*(up_Irr!AT16)),IF(AND(up_Irr!V16&lt;&gt;".",up_Irr!AT16=".",up_Irr!BR16="."),up_dir!W16/((1/1000)*(up_Irr!V16)),IF(AND(up_Irr!V16=".",up_Irr!AT16=".",up_Irr!BR16="."),up_dir!W16*1000)))))))),".")</f>
        <v>7.2351016258567334E-11</v>
      </c>
      <c r="X16" s="76">
        <f>IFERROR(IF(AND(up_Irr!W16&lt;&gt;".",up_Irr!AU16&lt;&gt;".",up_Irr!BS16&lt;&gt;"."),up_dir!X16/((1/1000)*(up_Irr!W16+up_Irr!AU16+up_Irr!BS16)),IF(AND(up_Irr!W16&lt;&gt;".",up_Irr!AU16&lt;&gt;".",up_Irr!BS16="."),up_dir!X16/((1/1000)*(up_Irr!W16+up_Irr!AU16)),IF(AND(up_Irr!W16&lt;&gt;".",up_Irr!AU16=".",up_Irr!BS16&lt;&gt;"."),up_dir!X16/((1/1000)*(up_Irr!W16+up_Irr!BS16)),IF(AND(up_Irr!W16=".",up_Irr!AU16&lt;&gt;".",up_Irr!BS16&lt;&gt;"."),up_dir!X16/((1/1000)*(up_Irr!AU16+up_Irr!BS16)),IF(AND(up_Irr!W16=".",up_Irr!AU16=".",up_Irr!BS16&lt;&gt;"."),up_dir!X16/((1/1000)*(up_Irr!BS16)),IF(AND(up_Irr!W16=".",up_Irr!AU16&lt;&gt;".",up_Irr!BS16="."),up_dir!X16/((1/1000)*(up_Irr!AU16)),IF(AND(up_Irr!W16&lt;&gt;".",up_Irr!AU16=".",up_Irr!BS16="."),up_dir!X16/((1/1000)*(up_Irr!W16)),IF(AND(up_Irr!W16=".",up_Irr!AU16=".",up_Irr!BS16="."),up_dir!X16*1000)))))))),".")</f>
        <v>7.2351016258567334E-11</v>
      </c>
      <c r="Y16" s="76">
        <f>IFERROR(IF(AND(up_Irr!X16&lt;&gt;".",up_Irr!AV16&lt;&gt;".",up_Irr!BT16&lt;&gt;"."),up_dir!Y16/((1/1000)*(up_Irr!X16+up_Irr!AV16+up_Irr!BT16)),IF(AND(up_Irr!X16&lt;&gt;".",up_Irr!AV16&lt;&gt;".",up_Irr!BT16="."),up_dir!Y16/((1/1000)*(up_Irr!X16+up_Irr!AV16)),IF(AND(up_Irr!X16&lt;&gt;".",up_Irr!AV16=".",up_Irr!BT16&lt;&gt;"."),up_dir!Y16/((1/1000)*(up_Irr!X16+up_Irr!BT16)),IF(AND(up_Irr!X16=".",up_Irr!AV16&lt;&gt;".",up_Irr!BT16&lt;&gt;"."),up_dir!Y16/((1/1000)*(up_Irr!AV16+up_Irr!BT16)),IF(AND(up_Irr!X16=".",up_Irr!AV16=".",up_Irr!BT16&lt;&gt;"."),up_dir!Y16/((1/1000)*(up_Irr!BT16)),IF(AND(up_Irr!X16=".",up_Irr!AV16&lt;&gt;".",up_Irr!BT16="."),up_dir!Y16/((1/1000)*(up_Irr!AV16)),IF(AND(up_Irr!X16&lt;&gt;".",up_Irr!AV16=".",up_Irr!BT16="."),up_dir!Y16/((1/1000)*(up_Irr!X16)),IF(AND(up_Irr!X16=".",up_Irr!AV16=".",up_Irr!BT16="."),up_dir!Y16*1000)))))))),".")</f>
        <v>7.2351016258567334E-11</v>
      </c>
      <c r="Z16" s="76">
        <f>IFERROR(IF(AND(up_Irr!Y16&lt;&gt;".",up_Irr!AW16&lt;&gt;".",up_Irr!BU16&lt;&gt;"."),up_dir!Z16/((1/1000)*(up_Irr!Y16+up_Irr!AW16+up_Irr!BU16)),IF(AND(up_Irr!Y16&lt;&gt;".",up_Irr!AW16&lt;&gt;".",up_Irr!BU16="."),up_dir!Z16/((1/1000)*(up_Irr!Y16+up_Irr!AW16)),IF(AND(up_Irr!Y16&lt;&gt;".",up_Irr!AW16=".",up_Irr!BU16&lt;&gt;"."),up_dir!Z16/((1/1000)*(up_Irr!Y16+up_Irr!BU16)),IF(AND(up_Irr!Y16=".",up_Irr!AW16&lt;&gt;".",up_Irr!BU16&lt;&gt;"."),up_dir!Z16/((1/1000)*(up_Irr!AW16+up_Irr!BU16)),IF(AND(up_Irr!Y16=".",up_Irr!AW16=".",up_Irr!BU16&lt;&gt;"."),up_dir!Z16/((1/1000)*(up_Irr!BU16)),IF(AND(up_Irr!Y16=".",up_Irr!AW16&lt;&gt;".",up_Irr!BU16="."),up_dir!Z16/((1/1000)*(up_Irr!AW16)),IF(AND(up_Irr!Y16&lt;&gt;".",up_Irr!AW16=".",up_Irr!BU16="."),up_dir!Z16/((1/1000)*(up_Irr!Y16)),IF(AND(up_Irr!Y16=".",up_Irr!AW16=".",up_Irr!BU16="."),up_dir!Z16*1000)))))))),".")</f>
        <v>7.2351016258567334E-11</v>
      </c>
      <c r="AA16" s="76">
        <f>IFERROR(IF(AND(up_Irr!Z16&lt;&gt;".",up_Irr!AX16&lt;&gt;".",up_Irr!BV16&lt;&gt;"."),up_dir!AA16/((1/1000)*(up_Irr!Z16+up_Irr!AX16+up_Irr!BV16)),IF(AND(up_Irr!Z16&lt;&gt;".",up_Irr!AX16&lt;&gt;".",up_Irr!BV16="."),up_dir!AA16/((1/1000)*(up_Irr!Z16+up_Irr!AX16)),IF(AND(up_Irr!Z16&lt;&gt;".",up_Irr!AX16=".",up_Irr!BV16&lt;&gt;"."),up_dir!AA16/((1/1000)*(up_Irr!Z16+up_Irr!BV16)),IF(AND(up_Irr!Z16=".",up_Irr!AX16&lt;&gt;".",up_Irr!BV16&lt;&gt;"."),up_dir!AA16/((1/1000)*(up_Irr!AX16+up_Irr!BV16)),IF(AND(up_Irr!Z16=".",up_Irr!AX16=".",up_Irr!BV16&lt;&gt;"."),up_dir!AA16/((1/1000)*(up_Irr!BV16)),IF(AND(up_Irr!Z16=".",up_Irr!AX16&lt;&gt;".",up_Irr!BV16="."),up_dir!AA16/((1/1000)*(up_Irr!AX16)),IF(AND(up_Irr!Z16&lt;&gt;".",up_Irr!AX16=".",up_Irr!BV16="."),up_dir!AA16/((1/1000)*(up_Irr!Z16)),IF(AND(up_Irr!Z16=".",up_Irr!AX16=".",up_Irr!BV16="."),up_dir!AA16*1000)))))))),".")</f>
        <v>7.2351016258567334E-11</v>
      </c>
      <c r="AB16" s="93">
        <f t="shared" si="7"/>
        <v>55286.023705663516</v>
      </c>
      <c r="AC16" s="93">
        <f>IFERROR(s_C*s_IFAP_res_adj*s_CF_apple*0.001*(up_Irr!C16+up_Irr!AA16+up_Irr!AY16),".")</f>
        <v>13821.505926415879</v>
      </c>
      <c r="AD16" s="93">
        <f>IFERROR(s_C*s_IFAS_res_adj*s_CF_asparagus*0.001*(up_Irr!D16+up_Irr!AB16+up_Irr!AZ16),".")</f>
        <v>13821.505926415879</v>
      </c>
      <c r="AE16" s="93">
        <f>IFERROR(s_C*s_IFBT_res_adj*s_CF_beet*0.001*(up_Irr!E16+up_Irr!AC16+up_Irr!BA16),".")</f>
        <v>13821.505926415879</v>
      </c>
      <c r="AF16" s="93">
        <f>IFERROR(s_C*s_IFBE_res_adj*s_CF_berries*0.001*(up_Irr!F16+up_Irr!AD16+up_Irr!BB16),".")</f>
        <v>13821.505926415879</v>
      </c>
      <c r="AG16" s="93">
        <f>IFERROR(s_C*s_IFBR_res_adj*s_CF_broccoli*0.001*(up_Irr!G16+up_Irr!AE16+up_Irr!BC16),".")</f>
        <v>13821.505926415879</v>
      </c>
      <c r="AH16" s="93">
        <f>IFERROR(s_C*s_IFCB_res_adj*s_CF_cabbage*0.001*(up_Irr!H16+up_Irr!AF16+up_Irr!BD16),".")</f>
        <v>13821.505926415879</v>
      </c>
      <c r="AI16" s="93">
        <f>IFERROR(s_C*s_IFCR_res_adj*s_CF_carrot*0.001*(up_Irr!I16+up_Irr!AG16+up_Irr!BE16),".")</f>
        <v>13821.505926415879</v>
      </c>
      <c r="AJ16" s="93">
        <f>IFERROR(s_C*s_IFCI_res_adj*s_CF_citrus*0.001*(up_Irr!J16+up_Irr!AH16+up_Irr!BF16),".")</f>
        <v>13821.505926415879</v>
      </c>
      <c r="AK16" s="93">
        <f>IFERROR(s_C*s_IFCO_res_adj*s_CF_corn*0.001*(up_Irr!K16+up_Irr!AI16+up_Irr!BG16),".")</f>
        <v>13821.505926415879</v>
      </c>
      <c r="AL16" s="93">
        <f>IFERROR(s_C*s_IFCU_res_adj*s_CF_cucumber*0.001*(up_Irr!L16+up_Irr!AJ16+up_Irr!BH16),".")</f>
        <v>13821.505926415879</v>
      </c>
      <c r="AM16" s="93">
        <f>IFERROR(s_C*s_IFLE_res_adj*s_CF_lettuce*0.001*(up_Irr!M16+up_Irr!AK16+up_Irr!BI16),".")</f>
        <v>13821.505926415879</v>
      </c>
      <c r="AN16" s="93">
        <f>IFERROR(s_C*s_IFLI_res_adj*s_CF_lima_bean*0.001*(up_Irr!N16+up_Irr!AL16+up_Irr!BJ16),".")</f>
        <v>13821.505926415879</v>
      </c>
      <c r="AO16" s="93">
        <f>IFERROR(s_C*s_IFOK_res_adj*s_CF_okra*0.001*(up_Irr!O16+up_Irr!AM16+up_Irr!BK16),".")</f>
        <v>13821.505926415879</v>
      </c>
      <c r="AP16" s="93">
        <f>IFERROR(s_C*s_IFON_res_adj*s_CF_onion*0.001*(up_Irr!P16+up_Irr!AN16+up_Irr!BL16),".")</f>
        <v>13821.505926415879</v>
      </c>
      <c r="AQ16" s="93">
        <f>IFERROR(s_C*s_IFPC_res_adj*s_CF_peach*0.001*(up_Irr!Q16+up_Irr!AO16+up_Irr!BM16),".")</f>
        <v>13821.505926415879</v>
      </c>
      <c r="AR16" s="93">
        <f>IFERROR(s_C*s_IFPR_res_adj*s_CF_pear*0.001*(up_Irr!R16+up_Irr!AP16+up_Irr!BN16),".")</f>
        <v>13821.505926415879</v>
      </c>
      <c r="AS16" s="93">
        <f>IFERROR(s_C*s_IFPE_res_adj*s_CF_peas*0.001*(up_Irr!S16+up_Irr!AQ16+up_Irr!BO16),".")</f>
        <v>13821.505926415879</v>
      </c>
      <c r="AT16" s="93">
        <f>IFERROR(s_C*s_IFPT_res_adj*s_CF_potato*0.001*(up_Irr!T16+up_Irr!AR16+up_Irr!BP16),".")</f>
        <v>13821.505926415879</v>
      </c>
      <c r="AU16" s="93">
        <f>IFERROR(s_C*s_IFPU_res_adj*s_CF_pumpkin*0.001*(up_Irr!U16+up_Irr!AS16+up_Irr!BQ16),".")</f>
        <v>13821.505926415879</v>
      </c>
      <c r="AV16" s="93">
        <f>IFERROR(s_C*s_IFSN_res_adj*s_CF_snap_bean*0.001*(up_Irr!V16+up_Irr!AT16+up_Irr!BR16),".")</f>
        <v>13821.505926415879</v>
      </c>
      <c r="AW16" s="93">
        <f>IFERROR(s_C*s_IFST_res_adj*s_CF_strawberry*0.001*(up_Irr!W16+up_Irr!AU16+up_Irr!BS16),".")</f>
        <v>13821.505926415879</v>
      </c>
      <c r="AX16" s="93">
        <f>IFERROR(s_C*s_IFTO_res_adj*s_CF_tomato*0.001*(up_Irr!X16+up_Irr!AV16+up_Irr!BT16),".")</f>
        <v>13821.505926415879</v>
      </c>
      <c r="AY16" s="93">
        <f>IFERROR(s_C*s_IFRI_res_adj*s_CF_rice*0.001*(up_Irr!Y16+up_Irr!AW16+up_Irr!BU16),".")</f>
        <v>13821.505926415879</v>
      </c>
      <c r="AZ16" s="93">
        <f>IFERROR(s_C*s_IFCG_res_adj*s_CF_cereal*0.001*(up_Irr!Z16+up_Irr!AX16+up_Irr!BV16),".")</f>
        <v>13821.505926415879</v>
      </c>
      <c r="BA16" s="76">
        <f t="shared" si="3"/>
        <v>1.8087754064641833E-11</v>
      </c>
      <c r="BB16" s="76">
        <f>IFERROR(IF(AND(up_Irr!C16&lt;&gt;".",up_Irr!AA16&lt;&gt;".",up_Irr!AY16&lt;&gt;"."),up_dir!AC16/((1/1000)*(up_Irr!C16+up_Irr!AA16+up_Irr!AY16)),IF(AND(up_Irr!C16&lt;&gt;".",up_Irr!AA16&lt;&gt;".",up_Irr!AY16="."),up_dir!AC16/((1/1000)*(up_Irr!C16+up_Irr!AA16)),IF(AND(up_Irr!C16&lt;&gt;".",up_Irr!AA16=".",up_Irr!AY16&lt;&gt;"."),up_dir!AC16/((1/1000)*(up_Irr!C16+up_Irr!AY16)),IF(AND(up_Irr!C16=".",up_Irr!AA16&lt;&gt;".",up_Irr!AY16&lt;&gt;"."),up_dir!AC16/((1/1000)*(up_Irr!AA16+up_Irr!AY16)),IF(AND(up_Irr!C16=".",up_Irr!AA16=".",up_Irr!AY16&lt;&gt;"."),up_dir!AC16/((1/1000)*(up_Irr!AY16)),IF(AND(up_Irr!C16=".",up_Irr!AA16&lt;&gt;".",up_Irr!AY16="."),up_dir!AC16/((1/1000)*(up_Irr!AA16)),IF(AND(up_Irr!C16&lt;&gt;".",up_Irr!AA16=".",up_Irr!AY16="."),up_dir!AC16/((1/1000)*(up_Irr!C16)),IF(AND(up_Irr!C16=".",up_Irr!AA16=".",up_Irr!AY16="."),up_dir!AC16*1000)))))))),".")</f>
        <v>7.2351016258567334E-11</v>
      </c>
      <c r="BC16" s="76">
        <f>IFERROR(IF(AND(up_Irr!D16&lt;&gt;".",up_Irr!AB16&lt;&gt;".",up_Irr!AZ16&lt;&gt;"."),up_dir!AD16/((1/1000)*(up_Irr!D16+up_Irr!AB16+up_Irr!AZ16)),IF(AND(up_Irr!D16&lt;&gt;".",up_Irr!AB16&lt;&gt;".",up_Irr!AZ16="."),up_dir!AD16/((1/1000)*(up_Irr!D16+up_Irr!AB16)),IF(AND(up_Irr!D16&lt;&gt;".",up_Irr!AB16=".",up_Irr!AZ16&lt;&gt;"."),up_dir!AD16/((1/1000)*(up_Irr!D16+up_Irr!AZ16)),IF(AND(up_Irr!D16=".",up_Irr!AB16&lt;&gt;".",up_Irr!AZ16&lt;&gt;"."),up_dir!AD16/((1/1000)*(up_Irr!AB16+up_Irr!AZ16)),IF(AND(up_Irr!D16=".",up_Irr!AB16=".",up_Irr!AZ16&lt;&gt;"."),up_dir!AD16/((1/1000)*(up_Irr!AZ16)),IF(AND(up_Irr!D16=".",up_Irr!AB16&lt;&gt;".",up_Irr!AZ16="."),up_dir!AD16/((1/1000)*(up_Irr!AB16)),IF(AND(up_Irr!D16&lt;&gt;".",up_Irr!AB16=".",up_Irr!AZ16="."),up_dir!AD16/((1/1000)*(up_Irr!D16)),IF(AND(up_Irr!D16=".",up_Irr!AB16=".",up_Irr!AZ16="."),up_dir!AD16*1000)))))))),".")</f>
        <v>7.2351016258567334E-11</v>
      </c>
      <c r="BD16" s="76">
        <f>IFERROR(IF(AND(up_Irr!E16&lt;&gt;".",up_Irr!AC16&lt;&gt;".",up_Irr!BA16&lt;&gt;"."),up_dir!AE16/((1/1000)*(up_Irr!E16+up_Irr!AC16+up_Irr!BA16)),IF(AND(up_Irr!E16&lt;&gt;".",up_Irr!AC16&lt;&gt;".",up_Irr!BA16="."),up_dir!AE16/((1/1000)*(up_Irr!E16+up_Irr!AC16)),IF(AND(up_Irr!E16&lt;&gt;".",up_Irr!AC16=".",up_Irr!BA16&lt;&gt;"."),up_dir!AE16/((1/1000)*(up_Irr!E16+up_Irr!BA16)),IF(AND(up_Irr!E16=".",up_Irr!AC16&lt;&gt;".",up_Irr!BA16&lt;&gt;"."),up_dir!AE16/((1/1000)*(up_Irr!AC16+up_Irr!BA16)),IF(AND(up_Irr!E16=".",up_Irr!AC16=".",up_Irr!BA16&lt;&gt;"."),up_dir!AE16/((1/1000)*(up_Irr!BA16)),IF(AND(up_Irr!E16=".",up_Irr!AC16&lt;&gt;".",up_Irr!BA16="."),up_dir!AE16/((1/1000)*(up_Irr!AC16)),IF(AND(up_Irr!E16&lt;&gt;".",up_Irr!AC16=".",up_Irr!BA16="."),up_dir!AE16/((1/1000)*(up_Irr!E16)),IF(AND(up_Irr!E16=".",up_Irr!AC16=".",up_Irr!BA16="."),up_dir!AE16*1000)))))))),".")</f>
        <v>7.2351016258567334E-11</v>
      </c>
      <c r="BE16" s="76">
        <f>IFERROR(IF(AND(up_Irr!F16&lt;&gt;".",up_Irr!AD16&lt;&gt;".",up_Irr!BB16&lt;&gt;"."),up_dir!AF16/((1/1000)*(up_Irr!F16+up_Irr!AD16+up_Irr!BB16)),IF(AND(up_Irr!F16&lt;&gt;".",up_Irr!AD16&lt;&gt;".",up_Irr!BB16="."),up_dir!AF16/((1/1000)*(up_Irr!F16+up_Irr!AD16)),IF(AND(up_Irr!F16&lt;&gt;".",up_Irr!AD16=".",up_Irr!BB16&lt;&gt;"."),up_dir!AF16/((1/1000)*(up_Irr!F16+up_Irr!BB16)),IF(AND(up_Irr!F16=".",up_Irr!AD16&lt;&gt;".",up_Irr!BB16&lt;&gt;"."),up_dir!AF16/((1/1000)*(up_Irr!AD16+up_Irr!BB16)),IF(AND(up_Irr!F16=".",up_Irr!AD16=".",up_Irr!BB16&lt;&gt;"."),up_dir!AF16/((1/1000)*(up_Irr!BB16)),IF(AND(up_Irr!F16=".",up_Irr!AD16&lt;&gt;".",up_Irr!BB16="."),up_dir!AF16/((1/1000)*(up_Irr!AD16)),IF(AND(up_Irr!F16&lt;&gt;".",up_Irr!AD16=".",up_Irr!BB16="."),up_dir!AF16/((1/1000)*(up_Irr!F16)),IF(AND(up_Irr!F16=".",up_Irr!AD16=".",up_Irr!BB16="."),up_dir!AF16*1000)))))))),".")</f>
        <v>7.2351016258567334E-11</v>
      </c>
      <c r="BF16" s="76">
        <f>IFERROR(IF(AND(up_Irr!G16&lt;&gt;".",up_Irr!AE16&lt;&gt;".",up_Irr!BC16&lt;&gt;"."),up_dir!AG16/((1/1000)*(up_Irr!G16+up_Irr!AE16+up_Irr!BC16)),IF(AND(up_Irr!G16&lt;&gt;".",up_Irr!AE16&lt;&gt;".",up_Irr!BC16="."),up_dir!AG16/((1/1000)*(up_Irr!G16+up_Irr!AE16)),IF(AND(up_Irr!G16&lt;&gt;".",up_Irr!AE16=".",up_Irr!BC16&lt;&gt;"."),up_dir!AG16/((1/1000)*(up_Irr!G16+up_Irr!BC16)),IF(AND(up_Irr!G16=".",up_Irr!AE16&lt;&gt;".",up_Irr!BC16&lt;&gt;"."),up_dir!AG16/((1/1000)*(up_Irr!AE16+up_Irr!BC16)),IF(AND(up_Irr!G16=".",up_Irr!AE16=".",up_Irr!BC16&lt;&gt;"."),up_dir!AG16/((1/1000)*(up_Irr!BC16)),IF(AND(up_Irr!G16=".",up_Irr!AE16&lt;&gt;".",up_Irr!BC16="."),up_dir!AG16/((1/1000)*(up_Irr!AE16)),IF(AND(up_Irr!G16&lt;&gt;".",up_Irr!AE16=".",up_Irr!BC16="."),up_dir!AG16/((1/1000)*(up_Irr!G16)),IF(AND(up_Irr!G16=".",up_Irr!AE16=".",up_Irr!BC16="."),up_dir!AG16*1000)))))))),".")</f>
        <v>7.2351016258567334E-11</v>
      </c>
      <c r="BG16" s="76">
        <f>IFERROR(IF(AND(up_Irr!H16&lt;&gt;".",up_Irr!AF16&lt;&gt;".",up_Irr!BD16&lt;&gt;"."),up_dir!AH16/((1/1000)*(up_Irr!H16+up_Irr!AF16+up_Irr!BD16)),IF(AND(up_Irr!H16&lt;&gt;".",up_Irr!AF16&lt;&gt;".",up_Irr!BD16="."),up_dir!AH16/((1/1000)*(up_Irr!H16+up_Irr!AF16)),IF(AND(up_Irr!H16&lt;&gt;".",up_Irr!AF16=".",up_Irr!BD16&lt;&gt;"."),up_dir!AH16/((1/1000)*(up_Irr!H16+up_Irr!BD16)),IF(AND(up_Irr!H16=".",up_Irr!AF16&lt;&gt;".",up_Irr!BD16&lt;&gt;"."),up_dir!AH16/((1/1000)*(up_Irr!AF16+up_Irr!BD16)),IF(AND(up_Irr!H16=".",up_Irr!AF16=".",up_Irr!BD16&lt;&gt;"."),up_dir!AH16/((1/1000)*(up_Irr!BD16)),IF(AND(up_Irr!H16=".",up_Irr!AF16&lt;&gt;".",up_Irr!BD16="."),up_dir!AH16/((1/1000)*(up_Irr!AF16)),IF(AND(up_Irr!H16&lt;&gt;".",up_Irr!AF16=".",up_Irr!BD16="."),up_dir!AH16/((1/1000)*(up_Irr!H16)),IF(AND(up_Irr!H16=".",up_Irr!AF16=".",up_Irr!BD16="."),up_dir!AH16*1000)))))))),".")</f>
        <v>7.2351016258567334E-11</v>
      </c>
      <c r="BH16" s="76">
        <f>IFERROR(IF(AND(up_Irr!I16&lt;&gt;".",up_Irr!AG16&lt;&gt;".",up_Irr!BE16&lt;&gt;"."),up_dir!AI16/((1/1000)*(up_Irr!I16+up_Irr!AG16+up_Irr!BE16)),IF(AND(up_Irr!I16&lt;&gt;".",up_Irr!AG16&lt;&gt;".",up_Irr!BE16="."),up_dir!AI16/((1/1000)*(up_Irr!I16+up_Irr!AG16)),IF(AND(up_Irr!I16&lt;&gt;".",up_Irr!AG16=".",up_Irr!BE16&lt;&gt;"."),up_dir!AI16/((1/1000)*(up_Irr!I16+up_Irr!BE16)),IF(AND(up_Irr!I16=".",up_Irr!AG16&lt;&gt;".",up_Irr!BE16&lt;&gt;"."),up_dir!AI16/((1/1000)*(up_Irr!AG16+up_Irr!BE16)),IF(AND(up_Irr!I16=".",up_Irr!AG16=".",up_Irr!BE16&lt;&gt;"."),up_dir!AI16/((1/1000)*(up_Irr!BE16)),IF(AND(up_Irr!I16=".",up_Irr!AG16&lt;&gt;".",up_Irr!BE16="."),up_dir!AI16/((1/1000)*(up_Irr!AG16)),IF(AND(up_Irr!I16&lt;&gt;".",up_Irr!AG16=".",up_Irr!BE16="."),up_dir!AI16/((1/1000)*(up_Irr!I16)),IF(AND(up_Irr!I16=".",up_Irr!AG16=".",up_Irr!BE16="."),up_dir!AI16*1000)))))))),".")</f>
        <v>7.2351016258567334E-11</v>
      </c>
      <c r="BI16" s="76">
        <f>IFERROR(IF(AND(up_Irr!J16&lt;&gt;".",up_Irr!AH16&lt;&gt;".",up_Irr!BF16&lt;&gt;"."),up_dir!AJ16/((1/1000)*(up_Irr!J16+up_Irr!AH16+up_Irr!BF16)),IF(AND(up_Irr!J16&lt;&gt;".",up_Irr!AH16&lt;&gt;".",up_Irr!BF16="."),up_dir!AJ16/((1/1000)*(up_Irr!J16+up_Irr!AH16)),IF(AND(up_Irr!J16&lt;&gt;".",up_Irr!AH16=".",up_Irr!BF16&lt;&gt;"."),up_dir!AJ16/((1/1000)*(up_Irr!J16+up_Irr!BF16)),IF(AND(up_Irr!J16=".",up_Irr!AH16&lt;&gt;".",up_Irr!BF16&lt;&gt;"."),up_dir!AJ16/((1/1000)*(up_Irr!AH16+up_Irr!BF16)),IF(AND(up_Irr!J16=".",up_Irr!AH16=".",up_Irr!BF16&lt;&gt;"."),up_dir!AJ16/((1/1000)*(up_Irr!BF16)),IF(AND(up_Irr!J16=".",up_Irr!AH16&lt;&gt;".",up_Irr!BF16="."),up_dir!AJ16/((1/1000)*(up_Irr!AH16)),IF(AND(up_Irr!J16&lt;&gt;".",up_Irr!AH16=".",up_Irr!BF16="."),up_dir!AJ16/((1/1000)*(up_Irr!J16)),IF(AND(up_Irr!J16=".",up_Irr!AH16=".",up_Irr!BF16="."),up_dir!AJ16*1000)))))))),".")</f>
        <v>7.2351016258567334E-11</v>
      </c>
      <c r="BJ16" s="76">
        <f>IFERROR(IF(AND(up_Irr!K16&lt;&gt;".",up_Irr!AI16&lt;&gt;".",up_Irr!BG16&lt;&gt;"."),up_dir!AK16/((1/1000)*(up_Irr!K16+up_Irr!AI16+up_Irr!BG16)),IF(AND(up_Irr!K16&lt;&gt;".",up_Irr!AI16&lt;&gt;".",up_Irr!BG16="."),up_dir!AK16/((1/1000)*(up_Irr!K16+up_Irr!AI16)),IF(AND(up_Irr!K16&lt;&gt;".",up_Irr!AI16=".",up_Irr!BG16&lt;&gt;"."),up_dir!AK16/((1/1000)*(up_Irr!K16+up_Irr!BG16)),IF(AND(up_Irr!K16=".",up_Irr!AI16&lt;&gt;".",up_Irr!BG16&lt;&gt;"."),up_dir!AK16/((1/1000)*(up_Irr!AI16+up_Irr!BG16)),IF(AND(up_Irr!K16=".",up_Irr!AI16=".",up_Irr!BG16&lt;&gt;"."),up_dir!AK16/((1/1000)*(up_Irr!BG16)),IF(AND(up_Irr!K16=".",up_Irr!AI16&lt;&gt;".",up_Irr!BG16="."),up_dir!AK16/((1/1000)*(up_Irr!AI16)),IF(AND(up_Irr!K16&lt;&gt;".",up_Irr!AI16=".",up_Irr!BG16="."),up_dir!AK16/((1/1000)*(up_Irr!K16)),IF(AND(up_Irr!K16=".",up_Irr!AI16=".",up_Irr!BG16="."),up_dir!AK16*1000)))))))),".")</f>
        <v>7.2351016258567334E-11</v>
      </c>
      <c r="BK16" s="76">
        <f>IFERROR(IF(AND(up_Irr!L16&lt;&gt;".",up_Irr!AJ16&lt;&gt;".",up_Irr!BH16&lt;&gt;"."),up_dir!AL16/((1/1000)*(up_Irr!L16+up_Irr!AJ16+up_Irr!BH16)),IF(AND(up_Irr!L16&lt;&gt;".",up_Irr!AJ16&lt;&gt;".",up_Irr!BH16="."),up_dir!AL16/((1/1000)*(up_Irr!L16+up_Irr!AJ16)),IF(AND(up_Irr!L16&lt;&gt;".",up_Irr!AJ16=".",up_Irr!BH16&lt;&gt;"."),up_dir!AL16/((1/1000)*(up_Irr!L16+up_Irr!BH16)),IF(AND(up_Irr!L16=".",up_Irr!AJ16&lt;&gt;".",up_Irr!BH16&lt;&gt;"."),up_dir!AL16/((1/1000)*(up_Irr!AJ16+up_Irr!BH16)),IF(AND(up_Irr!L16=".",up_Irr!AJ16=".",up_Irr!BH16&lt;&gt;"."),up_dir!AL16/((1/1000)*(up_Irr!BH16)),IF(AND(up_Irr!L16=".",up_Irr!AJ16&lt;&gt;".",up_Irr!BH16="."),up_dir!AL16/((1/1000)*(up_Irr!AJ16)),IF(AND(up_Irr!L16&lt;&gt;".",up_Irr!AJ16=".",up_Irr!BH16="."),up_dir!AL16/((1/1000)*(up_Irr!L16)),IF(AND(up_Irr!L16=".",up_Irr!AJ16=".",up_Irr!BH16="."),up_dir!AL16*1000)))))))),".")</f>
        <v>7.2351016258567334E-11</v>
      </c>
      <c r="BL16" s="76">
        <f>IFERROR(IF(AND(up_Irr!M16&lt;&gt;".",up_Irr!AK16&lt;&gt;".",up_Irr!BI16&lt;&gt;"."),up_dir!AM16/((1/1000)*(up_Irr!M16+up_Irr!AK16+up_Irr!BI16)),IF(AND(up_Irr!M16&lt;&gt;".",up_Irr!AK16&lt;&gt;".",up_Irr!BI16="."),up_dir!AM16/((1/1000)*(up_Irr!M16+up_Irr!AK16)),IF(AND(up_Irr!M16&lt;&gt;".",up_Irr!AK16=".",up_Irr!BI16&lt;&gt;"."),up_dir!AM16/((1/1000)*(up_Irr!M16+up_Irr!BI16)),IF(AND(up_Irr!M16=".",up_Irr!AK16&lt;&gt;".",up_Irr!BI16&lt;&gt;"."),up_dir!AM16/((1/1000)*(up_Irr!AK16+up_Irr!BI16)),IF(AND(up_Irr!M16=".",up_Irr!AK16=".",up_Irr!BI16&lt;&gt;"."),up_dir!AM16/((1/1000)*(up_Irr!BI16)),IF(AND(up_Irr!M16=".",up_Irr!AK16&lt;&gt;".",up_Irr!BI16="."),up_dir!AM16/((1/1000)*(up_Irr!AK16)),IF(AND(up_Irr!M16&lt;&gt;".",up_Irr!AK16=".",up_Irr!BI16="."),up_dir!AM16/((1/1000)*(up_Irr!M16)),IF(AND(up_Irr!M16=".",up_Irr!AK16=".",up_Irr!BI16="."),up_dir!AM16*1000)))))))),".")</f>
        <v>7.2351016258567334E-11</v>
      </c>
      <c r="BM16" s="76">
        <f>IFERROR(IF(AND(up_Irr!N16&lt;&gt;".",up_Irr!AL16&lt;&gt;".",up_Irr!BJ16&lt;&gt;"."),up_dir!AN16/((1/1000)*(up_Irr!N16+up_Irr!AL16+up_Irr!BJ16)),IF(AND(up_Irr!N16&lt;&gt;".",up_Irr!AL16&lt;&gt;".",up_Irr!BJ16="."),up_dir!AN16/((1/1000)*(up_Irr!N16+up_Irr!AL16)),IF(AND(up_Irr!N16&lt;&gt;".",up_Irr!AL16=".",up_Irr!BJ16&lt;&gt;"."),up_dir!AN16/((1/1000)*(up_Irr!N16+up_Irr!BJ16)),IF(AND(up_Irr!N16=".",up_Irr!AL16&lt;&gt;".",up_Irr!BJ16&lt;&gt;"."),up_dir!AN16/((1/1000)*(up_Irr!AL16+up_Irr!BJ16)),IF(AND(up_Irr!N16=".",up_Irr!AL16=".",up_Irr!BJ16&lt;&gt;"."),up_dir!AN16/((1/1000)*(up_Irr!BJ16)),IF(AND(up_Irr!N16=".",up_Irr!AL16&lt;&gt;".",up_Irr!BJ16="."),up_dir!AN16/((1/1000)*(up_Irr!AL16)),IF(AND(up_Irr!N16&lt;&gt;".",up_Irr!AL16=".",up_Irr!BJ16="."),up_dir!AN16/((1/1000)*(up_Irr!N16)),IF(AND(up_Irr!N16=".",up_Irr!AL16=".",up_Irr!BJ16="."),up_dir!AN16*1000)))))))),".")</f>
        <v>7.2351016258567334E-11</v>
      </c>
      <c r="BN16" s="76">
        <f>IFERROR(IF(AND(up_Irr!O16&lt;&gt;".",up_Irr!AM16&lt;&gt;".",up_Irr!BK16&lt;&gt;"."),up_dir!AO16/((1/1000)*(up_Irr!O16+up_Irr!AM16+up_Irr!BK16)),IF(AND(up_Irr!O16&lt;&gt;".",up_Irr!AM16&lt;&gt;".",up_Irr!BK16="."),up_dir!AO16/((1/1000)*(up_Irr!O16+up_Irr!AM16)),IF(AND(up_Irr!O16&lt;&gt;".",up_Irr!AM16=".",up_Irr!BK16&lt;&gt;"."),up_dir!AO16/((1/1000)*(up_Irr!O16+up_Irr!BK16)),IF(AND(up_Irr!O16=".",up_Irr!AM16&lt;&gt;".",up_Irr!BK16&lt;&gt;"."),up_dir!AO16/((1/1000)*(up_Irr!AM16+up_Irr!BK16)),IF(AND(up_Irr!O16=".",up_Irr!AM16=".",up_Irr!BK16&lt;&gt;"."),up_dir!AO16/((1/1000)*(up_Irr!BK16)),IF(AND(up_Irr!O16=".",up_Irr!AM16&lt;&gt;".",up_Irr!BK16="."),up_dir!AO16/((1/1000)*(up_Irr!AM16)),IF(AND(up_Irr!O16&lt;&gt;".",up_Irr!AM16=".",up_Irr!BK16="."),up_dir!AO16/((1/1000)*(up_Irr!O16)),IF(AND(up_Irr!O16=".",up_Irr!AM16=".",up_Irr!BK16="."),up_dir!AO16*1000)))))))),".")</f>
        <v>7.2351016258567334E-11</v>
      </c>
      <c r="BO16" s="76">
        <f>IFERROR(IF(AND(up_Irr!P16&lt;&gt;".",up_Irr!AN16&lt;&gt;".",up_Irr!BL16&lt;&gt;"."),up_dir!AP16/((1/1000)*(up_Irr!P16+up_Irr!AN16+up_Irr!BL16)),IF(AND(up_Irr!P16&lt;&gt;".",up_Irr!AN16&lt;&gt;".",up_Irr!BL16="."),up_dir!AP16/((1/1000)*(up_Irr!P16+up_Irr!AN16)),IF(AND(up_Irr!P16&lt;&gt;".",up_Irr!AN16=".",up_Irr!BL16&lt;&gt;"."),up_dir!AP16/((1/1000)*(up_Irr!P16+up_Irr!BL16)),IF(AND(up_Irr!P16=".",up_Irr!AN16&lt;&gt;".",up_Irr!BL16&lt;&gt;"."),up_dir!AP16/((1/1000)*(up_Irr!AN16+up_Irr!BL16)),IF(AND(up_Irr!P16=".",up_Irr!AN16=".",up_Irr!BL16&lt;&gt;"."),up_dir!AP16/((1/1000)*(up_Irr!BL16)),IF(AND(up_Irr!P16=".",up_Irr!AN16&lt;&gt;".",up_Irr!BL16="."),up_dir!AP16/((1/1000)*(up_Irr!AN16)),IF(AND(up_Irr!P16&lt;&gt;".",up_Irr!AN16=".",up_Irr!BL16="."),up_dir!AP16/((1/1000)*(up_Irr!P16)),IF(AND(up_Irr!P16=".",up_Irr!AN16=".",up_Irr!BL16="."),up_dir!AP16*1000)))))))),".")</f>
        <v>7.2351016258567334E-11</v>
      </c>
      <c r="BP16" s="76">
        <f>IFERROR(IF(AND(up_Irr!Q16&lt;&gt;".",up_Irr!AO16&lt;&gt;".",up_Irr!BM16&lt;&gt;"."),up_dir!AQ16/((1/1000)*(up_Irr!Q16+up_Irr!AO16+up_Irr!BM16)),IF(AND(up_Irr!Q16&lt;&gt;".",up_Irr!AO16&lt;&gt;".",up_Irr!BM16="."),up_dir!AQ16/((1/1000)*(up_Irr!Q16+up_Irr!AO16)),IF(AND(up_Irr!Q16&lt;&gt;".",up_Irr!AO16=".",up_Irr!BM16&lt;&gt;"."),up_dir!AQ16/((1/1000)*(up_Irr!Q16+up_Irr!BM16)),IF(AND(up_Irr!Q16=".",up_Irr!AO16&lt;&gt;".",up_Irr!BM16&lt;&gt;"."),up_dir!AQ16/((1/1000)*(up_Irr!AO16+up_Irr!BM16)),IF(AND(up_Irr!Q16=".",up_Irr!AO16=".",up_Irr!BM16&lt;&gt;"."),up_dir!AQ16/((1/1000)*(up_Irr!BM16)),IF(AND(up_Irr!Q16=".",up_Irr!AO16&lt;&gt;".",up_Irr!BM16="."),up_dir!AQ16/((1/1000)*(up_Irr!AO16)),IF(AND(up_Irr!Q16&lt;&gt;".",up_Irr!AO16=".",up_Irr!BM16="."),up_dir!AQ16/((1/1000)*(up_Irr!Q16)),IF(AND(up_Irr!Q16=".",up_Irr!AO16=".",up_Irr!BM16="."),up_dir!AQ16*1000)))))))),".")</f>
        <v>7.2351016258567334E-11</v>
      </c>
      <c r="BQ16" s="76">
        <f>IFERROR(IF(AND(up_Irr!R16&lt;&gt;".",up_Irr!AP16&lt;&gt;".",up_Irr!BN16&lt;&gt;"."),up_dir!AR16/((1/1000)*(up_Irr!R16+up_Irr!AP16+up_Irr!BN16)),IF(AND(up_Irr!R16&lt;&gt;".",up_Irr!AP16&lt;&gt;".",up_Irr!BN16="."),up_dir!AR16/((1/1000)*(up_Irr!R16+up_Irr!AP16)),IF(AND(up_Irr!R16&lt;&gt;".",up_Irr!AP16=".",up_Irr!BN16&lt;&gt;"."),up_dir!AR16/((1/1000)*(up_Irr!R16+up_Irr!BN16)),IF(AND(up_Irr!R16=".",up_Irr!AP16&lt;&gt;".",up_Irr!BN16&lt;&gt;"."),up_dir!AR16/((1/1000)*(up_Irr!AP16+up_Irr!BN16)),IF(AND(up_Irr!R16=".",up_Irr!AP16=".",up_Irr!BN16&lt;&gt;"."),up_dir!AR16/((1/1000)*(up_Irr!BN16)),IF(AND(up_Irr!R16=".",up_Irr!AP16&lt;&gt;".",up_Irr!BN16="."),up_dir!AR16/((1/1000)*(up_Irr!AP16)),IF(AND(up_Irr!R16&lt;&gt;".",up_Irr!AP16=".",up_Irr!BN16="."),up_dir!AR16/((1/1000)*(up_Irr!R16)),IF(AND(up_Irr!R16=".",up_Irr!AP16=".",up_Irr!BN16="."),up_dir!AR16*1000)))))))),".")</f>
        <v>7.2351016258567334E-11</v>
      </c>
      <c r="BR16" s="76">
        <f>IFERROR(IF(AND(up_Irr!S16&lt;&gt;".",up_Irr!AQ16&lt;&gt;".",up_Irr!BO16&lt;&gt;"."),up_dir!AS16/((1/1000)*(up_Irr!S16+up_Irr!AQ16+up_Irr!BO16)),IF(AND(up_Irr!S16&lt;&gt;".",up_Irr!AQ16&lt;&gt;".",up_Irr!BO16="."),up_dir!AS16/((1/1000)*(up_Irr!S16+up_Irr!AQ16)),IF(AND(up_Irr!S16&lt;&gt;".",up_Irr!AQ16=".",up_Irr!BO16&lt;&gt;"."),up_dir!AS16/((1/1000)*(up_Irr!S16+up_Irr!BO16)),IF(AND(up_Irr!S16=".",up_Irr!AQ16&lt;&gt;".",up_Irr!BO16&lt;&gt;"."),up_dir!AS16/((1/1000)*(up_Irr!AQ16+up_Irr!BO16)),IF(AND(up_Irr!S16=".",up_Irr!AQ16=".",up_Irr!BO16&lt;&gt;"."),up_dir!AS16/((1/1000)*(up_Irr!BO16)),IF(AND(up_Irr!S16=".",up_Irr!AQ16&lt;&gt;".",up_Irr!BO16="."),up_dir!AS16/((1/1000)*(up_Irr!AQ16)),IF(AND(up_Irr!S16&lt;&gt;".",up_Irr!AQ16=".",up_Irr!BO16="."),up_dir!AS16/((1/1000)*(up_Irr!S16)),IF(AND(up_Irr!S16=".",up_Irr!AQ16=".",up_Irr!BO16="."),up_dir!AS16*1000)))))))),".")</f>
        <v>7.2351016258567334E-11</v>
      </c>
      <c r="BS16" s="76">
        <f>IFERROR(IF(AND(up_Irr!T16&lt;&gt;".",up_Irr!AR16&lt;&gt;".",up_Irr!BP16&lt;&gt;"."),up_dir!AT16/((1/1000)*(up_Irr!T16+up_Irr!AR16+up_Irr!BP16)),IF(AND(up_Irr!T16&lt;&gt;".",up_Irr!AR16&lt;&gt;".",up_Irr!BP16="."),up_dir!AT16/((1/1000)*(up_Irr!T16+up_Irr!AR16)),IF(AND(up_Irr!T16&lt;&gt;".",up_Irr!AR16=".",up_Irr!BP16&lt;&gt;"."),up_dir!AT16/((1/1000)*(up_Irr!T16+up_Irr!BP16)),IF(AND(up_Irr!T16=".",up_Irr!AR16&lt;&gt;".",up_Irr!BP16&lt;&gt;"."),up_dir!AT16/((1/1000)*(up_Irr!AR16+up_Irr!BP16)),IF(AND(up_Irr!T16=".",up_Irr!AR16=".",up_Irr!BP16&lt;&gt;"."),up_dir!AT16/((1/1000)*(up_Irr!BP16)),IF(AND(up_Irr!T16=".",up_Irr!AR16&lt;&gt;".",up_Irr!BP16="."),up_dir!AT16/((1/1000)*(up_Irr!AR16)),IF(AND(up_Irr!T16&lt;&gt;".",up_Irr!AR16=".",up_Irr!BP16="."),up_dir!AT16/((1/1000)*(up_Irr!T16)),IF(AND(up_Irr!T16=".",up_Irr!AR16=".",up_Irr!BP16="."),up_dir!AT16*1000)))))))),".")</f>
        <v>7.2351016258567334E-11</v>
      </c>
      <c r="BT16" s="76">
        <f>IFERROR(IF(AND(up_Irr!U16&lt;&gt;".",up_Irr!AS16&lt;&gt;".",up_Irr!BQ16&lt;&gt;"."),up_dir!AU16/((1/1000)*(up_Irr!U16+up_Irr!AS16+up_Irr!BQ16)),IF(AND(up_Irr!U16&lt;&gt;".",up_Irr!AS16&lt;&gt;".",up_Irr!BQ16="."),up_dir!AU16/((1/1000)*(up_Irr!U16+up_Irr!AS16)),IF(AND(up_Irr!U16&lt;&gt;".",up_Irr!AS16=".",up_Irr!BQ16&lt;&gt;"."),up_dir!AU16/((1/1000)*(up_Irr!U16+up_Irr!BQ16)),IF(AND(up_Irr!U16=".",up_Irr!AS16&lt;&gt;".",up_Irr!BQ16&lt;&gt;"."),up_dir!AU16/((1/1000)*(up_Irr!AS16+up_Irr!BQ16)),IF(AND(up_Irr!U16=".",up_Irr!AS16=".",up_Irr!BQ16&lt;&gt;"."),up_dir!AU16/((1/1000)*(up_Irr!BQ16)),IF(AND(up_Irr!U16=".",up_Irr!AS16&lt;&gt;".",up_Irr!BQ16="."),up_dir!AU16/((1/1000)*(up_Irr!AS16)),IF(AND(up_Irr!U16&lt;&gt;".",up_Irr!AS16=".",up_Irr!BQ16="."),up_dir!AU16/((1/1000)*(up_Irr!U16)),IF(AND(up_Irr!U16=".",up_Irr!AS16=".",up_Irr!BQ16="."),up_dir!AU16*1000)))))))),".")</f>
        <v>7.2351016258567334E-11</v>
      </c>
      <c r="BU16" s="76">
        <f>IFERROR(IF(AND(up_Irr!V16&lt;&gt;".",up_Irr!AT16&lt;&gt;".",up_Irr!BR16&lt;&gt;"."),up_dir!AV16/((1/1000)*(up_Irr!V16+up_Irr!AT16+up_Irr!BR16)),IF(AND(up_Irr!V16&lt;&gt;".",up_Irr!AT16&lt;&gt;".",up_Irr!BR16="."),up_dir!AV16/((1/1000)*(up_Irr!V16+up_Irr!AT16)),IF(AND(up_Irr!V16&lt;&gt;".",up_Irr!AT16=".",up_Irr!BR16&lt;&gt;"."),up_dir!AV16/((1/1000)*(up_Irr!V16+up_Irr!BR16)),IF(AND(up_Irr!V16=".",up_Irr!AT16&lt;&gt;".",up_Irr!BR16&lt;&gt;"."),up_dir!AV16/((1/1000)*(up_Irr!AT16+up_Irr!BR16)),IF(AND(up_Irr!V16=".",up_Irr!AT16=".",up_Irr!BR16&lt;&gt;"."),up_dir!AV16/((1/1000)*(up_Irr!BR16)),IF(AND(up_Irr!V16=".",up_Irr!AT16&lt;&gt;".",up_Irr!BR16="."),up_dir!AV16/((1/1000)*(up_Irr!AT16)),IF(AND(up_Irr!V16&lt;&gt;".",up_Irr!AT16=".",up_Irr!BR16="."),up_dir!AV16/((1/1000)*(up_Irr!V16)),IF(AND(up_Irr!V16=".",up_Irr!AT16=".",up_Irr!BR16="."),up_dir!AV16*1000)))))))),".")</f>
        <v>7.2351016258567334E-11</v>
      </c>
      <c r="BV16" s="76">
        <f>IFERROR(IF(AND(up_Irr!W16&lt;&gt;".",up_Irr!AU16&lt;&gt;".",up_Irr!BS16&lt;&gt;"."),up_dir!AW16/((1/1000)*(up_Irr!W16+up_Irr!AU16+up_Irr!BS16)),IF(AND(up_Irr!W16&lt;&gt;".",up_Irr!AU16&lt;&gt;".",up_Irr!BS16="."),up_dir!AW16/((1/1000)*(up_Irr!W16+up_Irr!AU16)),IF(AND(up_Irr!W16&lt;&gt;".",up_Irr!AU16=".",up_Irr!BS16&lt;&gt;"."),up_dir!AW16/((1/1000)*(up_Irr!W16+up_Irr!BS16)),IF(AND(up_Irr!W16=".",up_Irr!AU16&lt;&gt;".",up_Irr!BS16&lt;&gt;"."),up_dir!AW16/((1/1000)*(up_Irr!AU16+up_Irr!BS16)),IF(AND(up_Irr!W16=".",up_Irr!AU16=".",up_Irr!BS16&lt;&gt;"."),up_dir!AW16/((1/1000)*(up_Irr!BS16)),IF(AND(up_Irr!W16=".",up_Irr!AU16&lt;&gt;".",up_Irr!BS16="."),up_dir!AW16/((1/1000)*(up_Irr!AU16)),IF(AND(up_Irr!W16&lt;&gt;".",up_Irr!AU16=".",up_Irr!BS16="."),up_dir!AW16/((1/1000)*(up_Irr!W16)),IF(AND(up_Irr!W16=".",up_Irr!AU16=".",up_Irr!BS16="."),up_dir!AW16*1000)))))))),".")</f>
        <v>7.2351016258567334E-11</v>
      </c>
      <c r="BW16" s="76">
        <f>IFERROR(IF(AND(up_Irr!X16&lt;&gt;".",up_Irr!AV16&lt;&gt;".",up_Irr!BT16&lt;&gt;"."),up_dir!AX16/((1/1000)*(up_Irr!X16+up_Irr!AV16+up_Irr!BT16)),IF(AND(up_Irr!X16&lt;&gt;".",up_Irr!AV16&lt;&gt;".",up_Irr!BT16="."),up_dir!AX16/((1/1000)*(up_Irr!X16+up_Irr!AV16)),IF(AND(up_Irr!X16&lt;&gt;".",up_Irr!AV16=".",up_Irr!BT16&lt;&gt;"."),up_dir!AX16/((1/1000)*(up_Irr!X16+up_Irr!BT16)),IF(AND(up_Irr!X16=".",up_Irr!AV16&lt;&gt;".",up_Irr!BT16&lt;&gt;"."),up_dir!AX16/((1/1000)*(up_Irr!AV16+up_Irr!BT16)),IF(AND(up_Irr!X16=".",up_Irr!AV16=".",up_Irr!BT16&lt;&gt;"."),up_dir!AX16/((1/1000)*(up_Irr!BT16)),IF(AND(up_Irr!X16=".",up_Irr!AV16&lt;&gt;".",up_Irr!BT16="."),up_dir!AX16/((1/1000)*(up_Irr!AV16)),IF(AND(up_Irr!X16&lt;&gt;".",up_Irr!AV16=".",up_Irr!BT16="."),up_dir!AX16/((1/1000)*(up_Irr!X16)),IF(AND(up_Irr!X16=".",up_Irr!AV16=".",up_Irr!BT16="."),up_dir!AX16*1000)))))))),".")</f>
        <v>7.2351016258567334E-11</v>
      </c>
      <c r="BX16" s="76">
        <f>IFERROR(IF(AND(up_Irr!Y16&lt;&gt;".",up_Irr!AW16&lt;&gt;".",up_Irr!BU16&lt;&gt;"."),up_dir!AY16/((1/1000)*(up_Irr!Y16+up_Irr!AW16+up_Irr!BU16)),IF(AND(up_Irr!Y16&lt;&gt;".",up_Irr!AW16&lt;&gt;".",up_Irr!BU16="."),up_dir!AY16/((1/1000)*(up_Irr!Y16+up_Irr!AW16)),IF(AND(up_Irr!Y16&lt;&gt;".",up_Irr!AW16=".",up_Irr!BU16&lt;&gt;"."),up_dir!AY16/((1/1000)*(up_Irr!Y16+up_Irr!BU16)),IF(AND(up_Irr!Y16=".",up_Irr!AW16&lt;&gt;".",up_Irr!BU16&lt;&gt;"."),up_dir!AY16/((1/1000)*(up_Irr!AW16+up_Irr!BU16)),IF(AND(up_Irr!Y16=".",up_Irr!AW16=".",up_Irr!BU16&lt;&gt;"."),up_dir!AY16/((1/1000)*(up_Irr!BU16)),IF(AND(up_Irr!Y16=".",up_Irr!AW16&lt;&gt;".",up_Irr!BU16="."),up_dir!AY16/((1/1000)*(up_Irr!AW16)),IF(AND(up_Irr!Y16&lt;&gt;".",up_Irr!AW16=".",up_Irr!BU16="."),up_dir!AY16/((1/1000)*(up_Irr!Y16)),IF(AND(up_Irr!Y16=".",up_Irr!AW16=".",up_Irr!BU16="."),up_dir!AY16*1000)))))))),".")</f>
        <v>7.2351016258567334E-11</v>
      </c>
      <c r="BY16" s="76">
        <f>IFERROR(IF(AND(up_Irr!Z16&lt;&gt;".",up_Irr!AX16&lt;&gt;".",up_Irr!BV16&lt;&gt;"."),up_dir!AZ16/((1/1000)*(up_Irr!Z16+up_Irr!AX16+up_Irr!BV16)),IF(AND(up_Irr!Z16&lt;&gt;".",up_Irr!AX16&lt;&gt;".",up_Irr!BV16="."),up_dir!AZ16/((1/1000)*(up_Irr!Z16+up_Irr!AX16)),IF(AND(up_Irr!Z16&lt;&gt;".",up_Irr!AX16=".",up_Irr!BV16&lt;&gt;"."),up_dir!AZ16/((1/1000)*(up_Irr!Z16+up_Irr!BV16)),IF(AND(up_Irr!Z16=".",up_Irr!AX16&lt;&gt;".",up_Irr!BV16&lt;&gt;"."),up_dir!AZ16/((1/1000)*(up_Irr!AX16+up_Irr!BV16)),IF(AND(up_Irr!Z16=".",up_Irr!AX16=".",up_Irr!BV16&lt;&gt;"."),up_dir!AZ16/((1/1000)*(up_Irr!BV16)),IF(AND(up_Irr!Z16=".",up_Irr!AX16&lt;&gt;".",up_Irr!BV16="."),up_dir!AZ16/((1/1000)*(up_Irr!AX16)),IF(AND(up_Irr!Z16&lt;&gt;".",up_Irr!AX16=".",up_Irr!BV16="."),up_dir!AZ16/((1/1000)*(up_Irr!Z16)),IF(AND(up_Irr!Z16=".",up_Irr!AX16=".",up_Irr!BV16="."),up_dir!AZ16*1000)))))))),".")</f>
        <v>7.2351016258567334E-11</v>
      </c>
      <c r="BZ16" s="93">
        <f t="shared" si="8"/>
        <v>55286.023705663516</v>
      </c>
      <c r="CA16" s="93">
        <f>IFERROR(s_C*s_IFAP_far_adj*s_CF_apple*(1/1000)*(up_Irr!C16+up_Irr!AA16+up_Irr!AY16),".")</f>
        <v>13821.505926415879</v>
      </c>
      <c r="CB16" s="93">
        <f>IFERROR(s_C*s_IFAS_far_adj*s_CF_asparagus*(1/1000)*(up_Irr!D16+up_Irr!AB16+up_Irr!AZ16),".")</f>
        <v>13821.505926415879</v>
      </c>
      <c r="CC16" s="93">
        <f>IFERROR(s_C*s_IFBT_far_adj*s_CF_beet*(1/1000)*(up_Irr!E16+up_Irr!AC16+up_Irr!BA16),".")</f>
        <v>13821.505926415879</v>
      </c>
      <c r="CD16" s="93">
        <f>IFERROR(s_C*s_IFBE_far_adj*s_CF_berries*(1/1000)*(up_Irr!F16+up_Irr!AD16+up_Irr!BB16),".")</f>
        <v>13821.505926415879</v>
      </c>
      <c r="CE16" s="93">
        <f>IFERROR(s_C*s_IFBR_far_adj*s_CF_broccoli*(1/1000)*(up_Irr!G16+up_Irr!AE16+up_Irr!BC16),".")</f>
        <v>13821.505926415879</v>
      </c>
      <c r="CF16" s="93">
        <f>IFERROR(s_C*s_IFCB_far_adj*s_CF_cabbage*(1/1000)*(up_Irr!H16+up_Irr!AF16+up_Irr!BD16),".")</f>
        <v>13821.505926415879</v>
      </c>
      <c r="CG16" s="93">
        <f>IFERROR(s_C*s_IFCR_far_adj*s_CF_carrot*(1/1000)*(up_Irr!I16+up_Irr!AG16+up_Irr!BE16),".")</f>
        <v>13821.505926415879</v>
      </c>
      <c r="CH16" s="93">
        <f>IFERROR(s_C*s_IFCI_far_adj*s_CF_citrus*(1/1000)*(up_Irr!J16+up_Irr!AH16+up_Irr!BF16),".")</f>
        <v>13821.505926415879</v>
      </c>
      <c r="CI16" s="93">
        <f>IFERROR(s_C*s_IFCO_far_adj*s_CF_corn*(1/1000)*(up_Irr!K16+up_Irr!AI16+up_Irr!BG16),".")</f>
        <v>13821.505926415879</v>
      </c>
      <c r="CJ16" s="93">
        <f>IFERROR(s_C*s_IFCU_far_adj*s_CF_cucumber*(1/1000)*(up_Irr!L16+up_Irr!AJ16+up_Irr!BH16),".")</f>
        <v>13821.505926415879</v>
      </c>
      <c r="CK16" s="93">
        <f>IFERROR(s_C*s_IFLE_far_adj*s_CF_lettuce*(1/1000)*(up_Irr!M16+up_Irr!AK16+up_Irr!BI16),".")</f>
        <v>13821.505926415879</v>
      </c>
      <c r="CL16" s="93">
        <f>IFERROR(s_C*s_IFLI_far_adj*s_CF_lima_bean*(1/1000)*(up_Irr!N16+up_Irr!AL16+up_Irr!BJ16),".")</f>
        <v>13821.505926415879</v>
      </c>
      <c r="CM16" s="93">
        <f>IFERROR(s_C*s_IFOK_far_adj*s_CF_okra*(1/1000)*(up_Irr!O16+up_Irr!AM16+up_Irr!BK16),".")</f>
        <v>13821.505926415879</v>
      </c>
      <c r="CN16" s="93">
        <f>IFERROR(s_C*s_IFON_far_adj*s_CF_onion*(1/1000)*(up_Irr!P16+up_Irr!AN16+up_Irr!BL16),".")</f>
        <v>13821.505926415879</v>
      </c>
      <c r="CO16" s="93">
        <f>IFERROR(s_C*s_IFPC_far_adj*s_CF_peach*(1/1000)*(up_Irr!Q16+up_Irr!AO16+up_Irr!BM16),".")</f>
        <v>13821.505926415879</v>
      </c>
      <c r="CP16" s="93">
        <f>IFERROR(s_C*s_IFPR_far_adj*s_CF_pear*(1/1000)*(up_Irr!R16+up_Irr!AP16+up_Irr!BN16),".")</f>
        <v>13821.505926415879</v>
      </c>
      <c r="CQ16" s="93">
        <f>IFERROR(s_C*s_IFPE_far_adj*s_CF_peas*(1/1000)*(up_Irr!S16+up_Irr!AQ16+up_Irr!BO16),".")</f>
        <v>13821.505926415879</v>
      </c>
      <c r="CR16" s="93">
        <f>IFERROR(s_C*s_IFPT_far_adj*s_CF_potato*(1/1000)*(up_Irr!T16+up_Irr!AR16+up_Irr!BP16),".")</f>
        <v>13821.505926415879</v>
      </c>
      <c r="CS16" s="93">
        <f>IFERROR(s_C*s_IFPU_far_adj*s_CF_pumpkin*(1/1000)*(up_Irr!U16+up_Irr!AS16+up_Irr!BQ16),".")</f>
        <v>13821.505926415879</v>
      </c>
      <c r="CT16" s="93">
        <f>IFERROR(s_C*s_IFSN_far_adj*s_CF_snap_bean*(1/1000)*(up_Irr!V16+up_Irr!AT16+up_Irr!BR16),".")</f>
        <v>13821.505926415879</v>
      </c>
      <c r="CU16" s="93">
        <f>IFERROR(s_C*s_IFST_far_adj*s_CF_strawberry*(1/1000)*(up_Irr!W16+up_Irr!AU16+up_Irr!BS16),".")</f>
        <v>13821.505926415879</v>
      </c>
      <c r="CV16" s="93">
        <f>IFERROR(s_C*s_IFTO_far_adj*s_CF_tomato*(1/1000)*(up_Irr!X16+up_Irr!AV16+up_Irr!BT16),".")</f>
        <v>13821.505926415879</v>
      </c>
      <c r="CW16" s="93">
        <f>IFERROR(s_C*s_IFRI_far_adj*s_CF_rice*(1/1000)*(up_Irr!Y16+up_Irr!AW16+up_Irr!BU16),".")</f>
        <v>13821.505926415879</v>
      </c>
      <c r="CX16" s="93">
        <f>IFERROR(s_C*s_IFCG_far_adj*s_CF_cereal*(1/1000)*(up_Irr!Z16+up_Irr!AX16+up_Irr!BV16),".")</f>
        <v>13821.505926415879</v>
      </c>
    </row>
    <row r="17" spans="1:102" ht="15" customHeight="1" x14ac:dyDescent="0.25">
      <c r="A17" s="92" t="s">
        <v>27</v>
      </c>
      <c r="B17" s="90" t="s">
        <v>1074</v>
      </c>
      <c r="C17" s="76">
        <f t="shared" si="0"/>
        <v>1.8087754064641833E-11</v>
      </c>
      <c r="D17" s="76">
        <f>IFERROR(IF(AND(up_Irr!C17&lt;&gt;".",up_Irr!AA17&lt;&gt;".",up_Irr!AY17&lt;&gt;"."),up_dir!D17/((1/1000)*(up_Irr!C17+up_Irr!AA17+up_Irr!AY17)),IF(AND(up_Irr!C17&lt;&gt;".",up_Irr!AA17&lt;&gt;".",up_Irr!AY17="."),up_dir!D17/((1/1000)*(up_Irr!C17+up_Irr!AA17)),IF(AND(up_Irr!C17&lt;&gt;".",up_Irr!AA17=".",up_Irr!AY17&lt;&gt;"."),up_dir!D17/((1/1000)*(up_Irr!C17+up_Irr!AY17)),IF(AND(up_Irr!C17=".",up_Irr!AA17&lt;&gt;".",up_Irr!AY17&lt;&gt;"."),up_dir!D17/((1/1000)*(up_Irr!AA17+up_Irr!AY17)),IF(AND(up_Irr!C17=".",up_Irr!AA17=".",up_Irr!AY17&lt;&gt;"."),up_dir!D17/((1/1000)*(up_Irr!AY17)),IF(AND(up_Irr!C17=".",up_Irr!AA17&lt;&gt;".",up_Irr!AY17="."),up_dir!D17/((1/1000)*(up_Irr!AA17)),IF(AND(up_Irr!C17&lt;&gt;".",up_Irr!AA17=".",up_Irr!AY17="."),up_dir!D17/((1/1000)*(up_Irr!C17)),IF(AND(up_Irr!C17=".",up_Irr!AA17=".",up_Irr!AY17="."),up_dir!D17*1000)))))))),".")</f>
        <v>7.2351016258567334E-11</v>
      </c>
      <c r="E17" s="76">
        <f>IFERROR(IF(AND(up_Irr!D17&lt;&gt;".",up_Irr!AB17&lt;&gt;".",up_Irr!AZ17&lt;&gt;"."),up_dir!E17/((1/1000)*(up_Irr!D17+up_Irr!AB17+up_Irr!AZ17)),IF(AND(up_Irr!D17&lt;&gt;".",up_Irr!AB17&lt;&gt;".",up_Irr!AZ17="."),up_dir!E17/((1/1000)*(up_Irr!D17+up_Irr!AB17)),IF(AND(up_Irr!D17&lt;&gt;".",up_Irr!AB17=".",up_Irr!AZ17&lt;&gt;"."),up_dir!E17/((1/1000)*(up_Irr!D17+up_Irr!AZ17)),IF(AND(up_Irr!D17=".",up_Irr!AB17&lt;&gt;".",up_Irr!AZ17&lt;&gt;"."),up_dir!E17/((1/1000)*(up_Irr!AB17+up_Irr!AZ17)),IF(AND(up_Irr!D17=".",up_Irr!AB17=".",up_Irr!AZ17&lt;&gt;"."),up_dir!E17/((1/1000)*(up_Irr!AZ17)),IF(AND(up_Irr!D17=".",up_Irr!AB17&lt;&gt;".",up_Irr!AZ17="."),up_dir!E17/((1/1000)*(up_Irr!AB17)),IF(AND(up_Irr!D17&lt;&gt;".",up_Irr!AB17=".",up_Irr!AZ17="."),up_dir!E17/((1/1000)*(up_Irr!D17)),IF(AND(up_Irr!D17=".",up_Irr!AB17=".",up_Irr!AZ17="."),up_dir!E17*1000)))))))),".")</f>
        <v>7.2351016258567334E-11</v>
      </c>
      <c r="F17" s="76">
        <f>IFERROR(IF(AND(up_Irr!E17&lt;&gt;".",up_Irr!AC17&lt;&gt;".",up_Irr!BA17&lt;&gt;"."),up_dir!F17/((1/1000)*(up_Irr!E17+up_Irr!AC17+up_Irr!BA17)),IF(AND(up_Irr!E17&lt;&gt;".",up_Irr!AC17&lt;&gt;".",up_Irr!BA17="."),up_dir!F17/((1/1000)*(up_Irr!E17+up_Irr!AC17)),IF(AND(up_Irr!E17&lt;&gt;".",up_Irr!AC17=".",up_Irr!BA17&lt;&gt;"."),up_dir!F17/((1/1000)*(up_Irr!E17+up_Irr!BA17)),IF(AND(up_Irr!E17=".",up_Irr!AC17&lt;&gt;".",up_Irr!BA17&lt;&gt;"."),up_dir!F17/((1/1000)*(up_Irr!AC17+up_Irr!BA17)),IF(AND(up_Irr!E17=".",up_Irr!AC17=".",up_Irr!BA17&lt;&gt;"."),up_dir!F17/((1/1000)*(up_Irr!BA17)),IF(AND(up_Irr!E17=".",up_Irr!AC17&lt;&gt;".",up_Irr!BA17="."),up_dir!F17/((1/1000)*(up_Irr!AC17)),IF(AND(up_Irr!E17&lt;&gt;".",up_Irr!AC17=".",up_Irr!BA17="."),up_dir!F17/((1/1000)*(up_Irr!E17)),IF(AND(up_Irr!E17=".",up_Irr!AC17=".",up_Irr!BA17="."),up_dir!F17*1000)))))))),".")</f>
        <v>7.2351016258567334E-11</v>
      </c>
      <c r="G17" s="76">
        <f>IFERROR(IF(AND(up_Irr!F17&lt;&gt;".",up_Irr!AD17&lt;&gt;".",up_Irr!BB17&lt;&gt;"."),up_dir!G17/((1/1000)*(up_Irr!F17+up_Irr!AD17+up_Irr!BB17)),IF(AND(up_Irr!F17&lt;&gt;".",up_Irr!AD17&lt;&gt;".",up_Irr!BB17="."),up_dir!G17/((1/1000)*(up_Irr!F17+up_Irr!AD17)),IF(AND(up_Irr!F17&lt;&gt;".",up_Irr!AD17=".",up_Irr!BB17&lt;&gt;"."),up_dir!G17/((1/1000)*(up_Irr!F17+up_Irr!BB17)),IF(AND(up_Irr!F17=".",up_Irr!AD17&lt;&gt;".",up_Irr!BB17&lt;&gt;"."),up_dir!G17/((1/1000)*(up_Irr!AD17+up_Irr!BB17)),IF(AND(up_Irr!F17=".",up_Irr!AD17=".",up_Irr!BB17&lt;&gt;"."),up_dir!G17/((1/1000)*(up_Irr!BB17)),IF(AND(up_Irr!F17=".",up_Irr!AD17&lt;&gt;".",up_Irr!BB17="."),up_dir!G17/((1/1000)*(up_Irr!AD17)),IF(AND(up_Irr!F17&lt;&gt;".",up_Irr!AD17=".",up_Irr!BB17="."),up_dir!G17/((1/1000)*(up_Irr!F17)),IF(AND(up_Irr!F17=".",up_Irr!AD17=".",up_Irr!BB17="."),up_dir!G17*1000)))))))),".")</f>
        <v>7.2351016258567334E-11</v>
      </c>
      <c r="H17" s="76">
        <f>IFERROR(IF(AND(up_Irr!G17&lt;&gt;".",up_Irr!AE17&lt;&gt;".",up_Irr!BC17&lt;&gt;"."),up_dir!H17/((1/1000)*(up_Irr!G17+up_Irr!AE17+up_Irr!BC17)),IF(AND(up_Irr!G17&lt;&gt;".",up_Irr!AE17&lt;&gt;".",up_Irr!BC17="."),up_dir!H17/((1/1000)*(up_Irr!G17+up_Irr!AE17)),IF(AND(up_Irr!G17&lt;&gt;".",up_Irr!AE17=".",up_Irr!BC17&lt;&gt;"."),up_dir!H17/((1/1000)*(up_Irr!G17+up_Irr!BC17)),IF(AND(up_Irr!G17=".",up_Irr!AE17&lt;&gt;".",up_Irr!BC17&lt;&gt;"."),up_dir!H17/((1/1000)*(up_Irr!AE17+up_Irr!BC17)),IF(AND(up_Irr!G17=".",up_Irr!AE17=".",up_Irr!BC17&lt;&gt;"."),up_dir!H17/((1/1000)*(up_Irr!BC17)),IF(AND(up_Irr!G17=".",up_Irr!AE17&lt;&gt;".",up_Irr!BC17="."),up_dir!H17/((1/1000)*(up_Irr!AE17)),IF(AND(up_Irr!G17&lt;&gt;".",up_Irr!AE17=".",up_Irr!BC17="."),up_dir!H17/((1/1000)*(up_Irr!G17)),IF(AND(up_Irr!G17=".",up_Irr!AE17=".",up_Irr!BC17="."),up_dir!H17*1000)))))))),".")</f>
        <v>7.2351016258567334E-11</v>
      </c>
      <c r="I17" s="76">
        <f>IFERROR(IF(AND(up_Irr!H17&lt;&gt;".",up_Irr!AF17&lt;&gt;".",up_Irr!BD17&lt;&gt;"."),up_dir!I17/((1/1000)*(up_Irr!H17+up_Irr!AF17+up_Irr!BD17)),IF(AND(up_Irr!H17&lt;&gt;".",up_Irr!AF17&lt;&gt;".",up_Irr!BD17="."),up_dir!I17/((1/1000)*(up_Irr!H17+up_Irr!AF17)),IF(AND(up_Irr!H17&lt;&gt;".",up_Irr!AF17=".",up_Irr!BD17&lt;&gt;"."),up_dir!I17/((1/1000)*(up_Irr!H17+up_Irr!BD17)),IF(AND(up_Irr!H17=".",up_Irr!AF17&lt;&gt;".",up_Irr!BD17&lt;&gt;"."),up_dir!I17/((1/1000)*(up_Irr!AF17+up_Irr!BD17)),IF(AND(up_Irr!H17=".",up_Irr!AF17=".",up_Irr!BD17&lt;&gt;"."),up_dir!I17/((1/1000)*(up_Irr!BD17)),IF(AND(up_Irr!H17=".",up_Irr!AF17&lt;&gt;".",up_Irr!BD17="."),up_dir!I17/((1/1000)*(up_Irr!AF17)),IF(AND(up_Irr!H17&lt;&gt;".",up_Irr!AF17=".",up_Irr!BD17="."),up_dir!I17/((1/1000)*(up_Irr!H17)),IF(AND(up_Irr!H17=".",up_Irr!AF17=".",up_Irr!BD17="."),up_dir!I17*1000)))))))),".")</f>
        <v>7.2351016258567334E-11</v>
      </c>
      <c r="J17" s="76">
        <f>IFERROR(IF(AND(up_Irr!I17&lt;&gt;".",up_Irr!AG17&lt;&gt;".",up_Irr!BE17&lt;&gt;"."),up_dir!J17/((1/1000)*(up_Irr!I17+up_Irr!AG17+up_Irr!BE17)),IF(AND(up_Irr!I17&lt;&gt;".",up_Irr!AG17&lt;&gt;".",up_Irr!BE17="."),up_dir!J17/((1/1000)*(up_Irr!I17+up_Irr!AG17)),IF(AND(up_Irr!I17&lt;&gt;".",up_Irr!AG17=".",up_Irr!BE17&lt;&gt;"."),up_dir!J17/((1/1000)*(up_Irr!I17+up_Irr!BE17)),IF(AND(up_Irr!I17=".",up_Irr!AG17&lt;&gt;".",up_Irr!BE17&lt;&gt;"."),up_dir!J17/((1/1000)*(up_Irr!AG17+up_Irr!BE17)),IF(AND(up_Irr!I17=".",up_Irr!AG17=".",up_Irr!BE17&lt;&gt;"."),up_dir!J17/((1/1000)*(up_Irr!BE17)),IF(AND(up_Irr!I17=".",up_Irr!AG17&lt;&gt;".",up_Irr!BE17="."),up_dir!J17/((1/1000)*(up_Irr!AG17)),IF(AND(up_Irr!I17&lt;&gt;".",up_Irr!AG17=".",up_Irr!BE17="."),up_dir!J17/((1/1000)*(up_Irr!I17)),IF(AND(up_Irr!I17=".",up_Irr!AG17=".",up_Irr!BE17="."),up_dir!J17*1000)))))))),".")</f>
        <v>7.2351016258567334E-11</v>
      </c>
      <c r="K17" s="76">
        <f>IFERROR(IF(AND(up_Irr!J17&lt;&gt;".",up_Irr!AH17&lt;&gt;".",up_Irr!BF17&lt;&gt;"."),up_dir!K17/((1/1000)*(up_Irr!J17+up_Irr!AH17+up_Irr!BF17)),IF(AND(up_Irr!J17&lt;&gt;".",up_Irr!AH17&lt;&gt;".",up_Irr!BF17="."),up_dir!K17/((1/1000)*(up_Irr!J17+up_Irr!AH17)),IF(AND(up_Irr!J17&lt;&gt;".",up_Irr!AH17=".",up_Irr!BF17&lt;&gt;"."),up_dir!K17/((1/1000)*(up_Irr!J17+up_Irr!BF17)),IF(AND(up_Irr!J17=".",up_Irr!AH17&lt;&gt;".",up_Irr!BF17&lt;&gt;"."),up_dir!K17/((1/1000)*(up_Irr!AH17+up_Irr!BF17)),IF(AND(up_Irr!J17=".",up_Irr!AH17=".",up_Irr!BF17&lt;&gt;"."),up_dir!K17/((1/1000)*(up_Irr!BF17)),IF(AND(up_Irr!J17=".",up_Irr!AH17&lt;&gt;".",up_Irr!BF17="."),up_dir!K17/((1/1000)*(up_Irr!AH17)),IF(AND(up_Irr!J17&lt;&gt;".",up_Irr!AH17=".",up_Irr!BF17="."),up_dir!K17/((1/1000)*(up_Irr!J17)),IF(AND(up_Irr!J17=".",up_Irr!AH17=".",up_Irr!BF17="."),up_dir!K17*1000)))))))),".")</f>
        <v>7.2351016258567334E-11</v>
      </c>
      <c r="L17" s="76">
        <f>IFERROR(IF(AND(up_Irr!K17&lt;&gt;".",up_Irr!AI17&lt;&gt;".",up_Irr!BG17&lt;&gt;"."),up_dir!L17/((1/1000)*(up_Irr!K17+up_Irr!AI17+up_Irr!BG17)),IF(AND(up_Irr!K17&lt;&gt;".",up_Irr!AI17&lt;&gt;".",up_Irr!BG17="."),up_dir!L17/((1/1000)*(up_Irr!K17+up_Irr!AI17)),IF(AND(up_Irr!K17&lt;&gt;".",up_Irr!AI17=".",up_Irr!BG17&lt;&gt;"."),up_dir!L17/((1/1000)*(up_Irr!K17+up_Irr!BG17)),IF(AND(up_Irr!K17=".",up_Irr!AI17&lt;&gt;".",up_Irr!BG17&lt;&gt;"."),up_dir!L17/((1/1000)*(up_Irr!AI17+up_Irr!BG17)),IF(AND(up_Irr!K17=".",up_Irr!AI17=".",up_Irr!BG17&lt;&gt;"."),up_dir!L17/((1/1000)*(up_Irr!BG17)),IF(AND(up_Irr!K17=".",up_Irr!AI17&lt;&gt;".",up_Irr!BG17="."),up_dir!L17/((1/1000)*(up_Irr!AI17)),IF(AND(up_Irr!K17&lt;&gt;".",up_Irr!AI17=".",up_Irr!BG17="."),up_dir!L17/((1/1000)*(up_Irr!K17)),IF(AND(up_Irr!K17=".",up_Irr!AI17=".",up_Irr!BG17="."),up_dir!L17*1000)))))))),".")</f>
        <v>7.2351016258567334E-11</v>
      </c>
      <c r="M17" s="76">
        <f>IFERROR(IF(AND(up_Irr!L17&lt;&gt;".",up_Irr!AJ17&lt;&gt;".",up_Irr!BH17&lt;&gt;"."),up_dir!M17/((1/1000)*(up_Irr!L17+up_Irr!AJ17+up_Irr!BH17)),IF(AND(up_Irr!L17&lt;&gt;".",up_Irr!AJ17&lt;&gt;".",up_Irr!BH17="."),up_dir!M17/((1/1000)*(up_Irr!L17+up_Irr!AJ17)),IF(AND(up_Irr!L17&lt;&gt;".",up_Irr!AJ17=".",up_Irr!BH17&lt;&gt;"."),up_dir!M17/((1/1000)*(up_Irr!L17+up_Irr!BH17)),IF(AND(up_Irr!L17=".",up_Irr!AJ17&lt;&gt;".",up_Irr!BH17&lt;&gt;"."),up_dir!M17/((1/1000)*(up_Irr!AJ17+up_Irr!BH17)),IF(AND(up_Irr!L17=".",up_Irr!AJ17=".",up_Irr!BH17&lt;&gt;"."),up_dir!M17/((1/1000)*(up_Irr!BH17)),IF(AND(up_Irr!L17=".",up_Irr!AJ17&lt;&gt;".",up_Irr!BH17="."),up_dir!M17/((1/1000)*(up_Irr!AJ17)),IF(AND(up_Irr!L17&lt;&gt;".",up_Irr!AJ17=".",up_Irr!BH17="."),up_dir!M17/((1/1000)*(up_Irr!L17)),IF(AND(up_Irr!L17=".",up_Irr!AJ17=".",up_Irr!BH17="."),up_dir!M17*1000)))))))),".")</f>
        <v>7.2351016258567334E-11</v>
      </c>
      <c r="N17" s="76">
        <f>IFERROR(IF(AND(up_Irr!M17&lt;&gt;".",up_Irr!AK17&lt;&gt;".",up_Irr!BI17&lt;&gt;"."),up_dir!N17/((1/1000)*(up_Irr!M17+up_Irr!AK17+up_Irr!BI17)),IF(AND(up_Irr!M17&lt;&gt;".",up_Irr!AK17&lt;&gt;".",up_Irr!BI17="."),up_dir!N17/((1/1000)*(up_Irr!M17+up_Irr!AK17)),IF(AND(up_Irr!M17&lt;&gt;".",up_Irr!AK17=".",up_Irr!BI17&lt;&gt;"."),up_dir!N17/((1/1000)*(up_Irr!M17+up_Irr!BI17)),IF(AND(up_Irr!M17=".",up_Irr!AK17&lt;&gt;".",up_Irr!BI17&lt;&gt;"."),up_dir!N17/((1/1000)*(up_Irr!AK17+up_Irr!BI17)),IF(AND(up_Irr!M17=".",up_Irr!AK17=".",up_Irr!BI17&lt;&gt;"."),up_dir!N17/((1/1000)*(up_Irr!BI17)),IF(AND(up_Irr!M17=".",up_Irr!AK17&lt;&gt;".",up_Irr!BI17="."),up_dir!N17/((1/1000)*(up_Irr!AK17)),IF(AND(up_Irr!M17&lt;&gt;".",up_Irr!AK17=".",up_Irr!BI17="."),up_dir!N17/((1/1000)*(up_Irr!M17)),IF(AND(up_Irr!M17=".",up_Irr!AK17=".",up_Irr!BI17="."),up_dir!N17*1000)))))))),".")</f>
        <v>7.2351016258567334E-11</v>
      </c>
      <c r="O17" s="76">
        <f>IFERROR(IF(AND(up_Irr!N17&lt;&gt;".",up_Irr!AL17&lt;&gt;".",up_Irr!BJ17&lt;&gt;"."),up_dir!O17/((1/1000)*(up_Irr!N17+up_Irr!AL17+up_Irr!BJ17)),IF(AND(up_Irr!N17&lt;&gt;".",up_Irr!AL17&lt;&gt;".",up_Irr!BJ17="."),up_dir!O17/((1/1000)*(up_Irr!N17+up_Irr!AL17)),IF(AND(up_Irr!N17&lt;&gt;".",up_Irr!AL17=".",up_Irr!BJ17&lt;&gt;"."),up_dir!O17/((1/1000)*(up_Irr!N17+up_Irr!BJ17)),IF(AND(up_Irr!N17=".",up_Irr!AL17&lt;&gt;".",up_Irr!BJ17&lt;&gt;"."),up_dir!O17/((1/1000)*(up_Irr!AL17+up_Irr!BJ17)),IF(AND(up_Irr!N17=".",up_Irr!AL17=".",up_Irr!BJ17&lt;&gt;"."),up_dir!O17/((1/1000)*(up_Irr!BJ17)),IF(AND(up_Irr!N17=".",up_Irr!AL17&lt;&gt;".",up_Irr!BJ17="."),up_dir!O17/((1/1000)*(up_Irr!AL17)),IF(AND(up_Irr!N17&lt;&gt;".",up_Irr!AL17=".",up_Irr!BJ17="."),up_dir!O17/((1/1000)*(up_Irr!N17)),IF(AND(up_Irr!N17=".",up_Irr!AL17=".",up_Irr!BJ17="."),up_dir!O17*1000)))))))),".")</f>
        <v>7.2351016258567334E-11</v>
      </c>
      <c r="P17" s="76">
        <f>IFERROR(IF(AND(up_Irr!O17&lt;&gt;".",up_Irr!AM17&lt;&gt;".",up_Irr!BK17&lt;&gt;"."),up_dir!P17/((1/1000)*(up_Irr!O17+up_Irr!AM17+up_Irr!BK17)),IF(AND(up_Irr!O17&lt;&gt;".",up_Irr!AM17&lt;&gt;".",up_Irr!BK17="."),up_dir!P17/((1/1000)*(up_Irr!O17+up_Irr!AM17)),IF(AND(up_Irr!O17&lt;&gt;".",up_Irr!AM17=".",up_Irr!BK17&lt;&gt;"."),up_dir!P17/((1/1000)*(up_Irr!O17+up_Irr!BK17)),IF(AND(up_Irr!O17=".",up_Irr!AM17&lt;&gt;".",up_Irr!BK17&lt;&gt;"."),up_dir!P17/((1/1000)*(up_Irr!AM17+up_Irr!BK17)),IF(AND(up_Irr!O17=".",up_Irr!AM17=".",up_Irr!BK17&lt;&gt;"."),up_dir!P17/((1/1000)*(up_Irr!BK17)),IF(AND(up_Irr!O17=".",up_Irr!AM17&lt;&gt;".",up_Irr!BK17="."),up_dir!P17/((1/1000)*(up_Irr!AM17)),IF(AND(up_Irr!O17&lt;&gt;".",up_Irr!AM17=".",up_Irr!BK17="."),up_dir!P17/((1/1000)*(up_Irr!O17)),IF(AND(up_Irr!O17=".",up_Irr!AM17=".",up_Irr!BK17="."),up_dir!P17*1000)))))))),".")</f>
        <v>7.2351016258567334E-11</v>
      </c>
      <c r="Q17" s="76">
        <f>IFERROR(IF(AND(up_Irr!P17&lt;&gt;".",up_Irr!AN17&lt;&gt;".",up_Irr!BL17&lt;&gt;"."),up_dir!Q17/((1/1000)*(up_Irr!P17+up_Irr!AN17+up_Irr!BL17)),IF(AND(up_Irr!P17&lt;&gt;".",up_Irr!AN17&lt;&gt;".",up_Irr!BL17="."),up_dir!Q17/((1/1000)*(up_Irr!P17+up_Irr!AN17)),IF(AND(up_Irr!P17&lt;&gt;".",up_Irr!AN17=".",up_Irr!BL17&lt;&gt;"."),up_dir!Q17/((1/1000)*(up_Irr!P17+up_Irr!BL17)),IF(AND(up_Irr!P17=".",up_Irr!AN17&lt;&gt;".",up_Irr!BL17&lt;&gt;"."),up_dir!Q17/((1/1000)*(up_Irr!AN17+up_Irr!BL17)),IF(AND(up_Irr!P17=".",up_Irr!AN17=".",up_Irr!BL17&lt;&gt;"."),up_dir!Q17/((1/1000)*(up_Irr!BL17)),IF(AND(up_Irr!P17=".",up_Irr!AN17&lt;&gt;".",up_Irr!BL17="."),up_dir!Q17/((1/1000)*(up_Irr!AN17)),IF(AND(up_Irr!P17&lt;&gt;".",up_Irr!AN17=".",up_Irr!BL17="."),up_dir!Q17/((1/1000)*(up_Irr!P17)),IF(AND(up_Irr!P17=".",up_Irr!AN17=".",up_Irr!BL17="."),up_dir!Q17*1000)))))))),".")</f>
        <v>7.2351016258567334E-11</v>
      </c>
      <c r="R17" s="76">
        <f>IFERROR(IF(AND(up_Irr!Q17&lt;&gt;".",up_Irr!AO17&lt;&gt;".",up_Irr!BM17&lt;&gt;"."),up_dir!R17/((1/1000)*(up_Irr!Q17+up_Irr!AO17+up_Irr!BM17)),IF(AND(up_Irr!Q17&lt;&gt;".",up_Irr!AO17&lt;&gt;".",up_Irr!BM17="."),up_dir!R17/((1/1000)*(up_Irr!Q17+up_Irr!AO17)),IF(AND(up_Irr!Q17&lt;&gt;".",up_Irr!AO17=".",up_Irr!BM17&lt;&gt;"."),up_dir!R17/((1/1000)*(up_Irr!Q17+up_Irr!BM17)),IF(AND(up_Irr!Q17=".",up_Irr!AO17&lt;&gt;".",up_Irr!BM17&lt;&gt;"."),up_dir!R17/((1/1000)*(up_Irr!AO17+up_Irr!BM17)),IF(AND(up_Irr!Q17=".",up_Irr!AO17=".",up_Irr!BM17&lt;&gt;"."),up_dir!R17/((1/1000)*(up_Irr!BM17)),IF(AND(up_Irr!Q17=".",up_Irr!AO17&lt;&gt;".",up_Irr!BM17="."),up_dir!R17/((1/1000)*(up_Irr!AO17)),IF(AND(up_Irr!Q17&lt;&gt;".",up_Irr!AO17=".",up_Irr!BM17="."),up_dir!R17/((1/1000)*(up_Irr!Q17)),IF(AND(up_Irr!Q17=".",up_Irr!AO17=".",up_Irr!BM17="."),up_dir!R17*1000)))))))),".")</f>
        <v>7.2351016258567334E-11</v>
      </c>
      <c r="S17" s="76">
        <f>IFERROR(IF(AND(up_Irr!R17&lt;&gt;".",up_Irr!AP17&lt;&gt;".",up_Irr!BN17&lt;&gt;"."),up_dir!S17/((1/1000)*(up_Irr!R17+up_Irr!AP17+up_Irr!BN17)),IF(AND(up_Irr!R17&lt;&gt;".",up_Irr!AP17&lt;&gt;".",up_Irr!BN17="."),up_dir!S17/((1/1000)*(up_Irr!R17+up_Irr!AP17)),IF(AND(up_Irr!R17&lt;&gt;".",up_Irr!AP17=".",up_Irr!BN17&lt;&gt;"."),up_dir!S17/((1/1000)*(up_Irr!R17+up_Irr!BN17)),IF(AND(up_Irr!R17=".",up_Irr!AP17&lt;&gt;".",up_Irr!BN17&lt;&gt;"."),up_dir!S17/((1/1000)*(up_Irr!AP17+up_Irr!BN17)),IF(AND(up_Irr!R17=".",up_Irr!AP17=".",up_Irr!BN17&lt;&gt;"."),up_dir!S17/((1/1000)*(up_Irr!BN17)),IF(AND(up_Irr!R17=".",up_Irr!AP17&lt;&gt;".",up_Irr!BN17="."),up_dir!S17/((1/1000)*(up_Irr!AP17)),IF(AND(up_Irr!R17&lt;&gt;".",up_Irr!AP17=".",up_Irr!BN17="."),up_dir!S17/((1/1000)*(up_Irr!R17)),IF(AND(up_Irr!R17=".",up_Irr!AP17=".",up_Irr!BN17="."),up_dir!S17*1000)))))))),".")</f>
        <v>7.2351016258567334E-11</v>
      </c>
      <c r="T17" s="76">
        <f>IFERROR(IF(AND(up_Irr!S17&lt;&gt;".",up_Irr!AQ17&lt;&gt;".",up_Irr!BO17&lt;&gt;"."),up_dir!T17/((1/1000)*(up_Irr!S17+up_Irr!AQ17+up_Irr!BO17)),IF(AND(up_Irr!S17&lt;&gt;".",up_Irr!AQ17&lt;&gt;".",up_Irr!BO17="."),up_dir!T17/((1/1000)*(up_Irr!S17+up_Irr!AQ17)),IF(AND(up_Irr!S17&lt;&gt;".",up_Irr!AQ17=".",up_Irr!BO17&lt;&gt;"."),up_dir!T17/((1/1000)*(up_Irr!S17+up_Irr!BO17)),IF(AND(up_Irr!S17=".",up_Irr!AQ17&lt;&gt;".",up_Irr!BO17&lt;&gt;"."),up_dir!T17/((1/1000)*(up_Irr!AQ17+up_Irr!BO17)),IF(AND(up_Irr!S17=".",up_Irr!AQ17=".",up_Irr!BO17&lt;&gt;"."),up_dir!T17/((1/1000)*(up_Irr!BO17)),IF(AND(up_Irr!S17=".",up_Irr!AQ17&lt;&gt;".",up_Irr!BO17="."),up_dir!T17/((1/1000)*(up_Irr!AQ17)),IF(AND(up_Irr!S17&lt;&gt;".",up_Irr!AQ17=".",up_Irr!BO17="."),up_dir!T17/((1/1000)*(up_Irr!S17)),IF(AND(up_Irr!S17=".",up_Irr!AQ17=".",up_Irr!BO17="."),up_dir!T17*1000)))))))),".")</f>
        <v>7.2351016258567334E-11</v>
      </c>
      <c r="U17" s="76">
        <f>IFERROR(IF(AND(up_Irr!T17&lt;&gt;".",up_Irr!AR17&lt;&gt;".",up_Irr!BP17&lt;&gt;"."),up_dir!U17/((1/1000)*(up_Irr!T17+up_Irr!AR17+up_Irr!BP17)),IF(AND(up_Irr!T17&lt;&gt;".",up_Irr!AR17&lt;&gt;".",up_Irr!BP17="."),up_dir!U17/((1/1000)*(up_Irr!T17+up_Irr!AR17)),IF(AND(up_Irr!T17&lt;&gt;".",up_Irr!AR17=".",up_Irr!BP17&lt;&gt;"."),up_dir!U17/((1/1000)*(up_Irr!T17+up_Irr!BP17)),IF(AND(up_Irr!T17=".",up_Irr!AR17&lt;&gt;".",up_Irr!BP17&lt;&gt;"."),up_dir!U17/((1/1000)*(up_Irr!AR17+up_Irr!BP17)),IF(AND(up_Irr!T17=".",up_Irr!AR17=".",up_Irr!BP17&lt;&gt;"."),up_dir!U17/((1/1000)*(up_Irr!BP17)),IF(AND(up_Irr!T17=".",up_Irr!AR17&lt;&gt;".",up_Irr!BP17="."),up_dir!U17/((1/1000)*(up_Irr!AR17)),IF(AND(up_Irr!T17&lt;&gt;".",up_Irr!AR17=".",up_Irr!BP17="."),up_dir!U17/((1/1000)*(up_Irr!T17)),IF(AND(up_Irr!T17=".",up_Irr!AR17=".",up_Irr!BP17="."),up_dir!U17*1000)))))))),".")</f>
        <v>7.2351016258567334E-11</v>
      </c>
      <c r="V17" s="76">
        <f>IFERROR(IF(AND(up_Irr!U17&lt;&gt;".",up_Irr!AS17&lt;&gt;".",up_Irr!BQ17&lt;&gt;"."),up_dir!V17/((1/1000)*(up_Irr!U17+up_Irr!AS17+up_Irr!BQ17)),IF(AND(up_Irr!U17&lt;&gt;".",up_Irr!AS17&lt;&gt;".",up_Irr!BQ17="."),up_dir!V17/((1/1000)*(up_Irr!U17+up_Irr!AS17)),IF(AND(up_Irr!U17&lt;&gt;".",up_Irr!AS17=".",up_Irr!BQ17&lt;&gt;"."),up_dir!V17/((1/1000)*(up_Irr!U17+up_Irr!BQ17)),IF(AND(up_Irr!U17=".",up_Irr!AS17&lt;&gt;".",up_Irr!BQ17&lt;&gt;"."),up_dir!V17/((1/1000)*(up_Irr!AS17+up_Irr!BQ17)),IF(AND(up_Irr!U17=".",up_Irr!AS17=".",up_Irr!BQ17&lt;&gt;"."),up_dir!V17/((1/1000)*(up_Irr!BQ17)),IF(AND(up_Irr!U17=".",up_Irr!AS17&lt;&gt;".",up_Irr!BQ17="."),up_dir!V17/((1/1000)*(up_Irr!AS17)),IF(AND(up_Irr!U17&lt;&gt;".",up_Irr!AS17=".",up_Irr!BQ17="."),up_dir!V17/((1/1000)*(up_Irr!U17)),IF(AND(up_Irr!U17=".",up_Irr!AS17=".",up_Irr!BQ17="."),up_dir!V17*1000)))))))),".")</f>
        <v>7.2351016258567334E-11</v>
      </c>
      <c r="W17" s="76">
        <f>IFERROR(IF(AND(up_Irr!V17&lt;&gt;".",up_Irr!AT17&lt;&gt;".",up_Irr!BR17&lt;&gt;"."),up_dir!W17/((1/1000)*(up_Irr!V17+up_Irr!AT17+up_Irr!BR17)),IF(AND(up_Irr!V17&lt;&gt;".",up_Irr!AT17&lt;&gt;".",up_Irr!BR17="."),up_dir!W17/((1/1000)*(up_Irr!V17+up_Irr!AT17)),IF(AND(up_Irr!V17&lt;&gt;".",up_Irr!AT17=".",up_Irr!BR17&lt;&gt;"."),up_dir!W17/((1/1000)*(up_Irr!V17+up_Irr!BR17)),IF(AND(up_Irr!V17=".",up_Irr!AT17&lt;&gt;".",up_Irr!BR17&lt;&gt;"."),up_dir!W17/((1/1000)*(up_Irr!AT17+up_Irr!BR17)),IF(AND(up_Irr!V17=".",up_Irr!AT17=".",up_Irr!BR17&lt;&gt;"."),up_dir!W17/((1/1000)*(up_Irr!BR17)),IF(AND(up_Irr!V17=".",up_Irr!AT17&lt;&gt;".",up_Irr!BR17="."),up_dir!W17/((1/1000)*(up_Irr!AT17)),IF(AND(up_Irr!V17&lt;&gt;".",up_Irr!AT17=".",up_Irr!BR17="."),up_dir!W17/((1/1000)*(up_Irr!V17)),IF(AND(up_Irr!V17=".",up_Irr!AT17=".",up_Irr!BR17="."),up_dir!W17*1000)))))))),".")</f>
        <v>7.2351016258567334E-11</v>
      </c>
      <c r="X17" s="76">
        <f>IFERROR(IF(AND(up_Irr!W17&lt;&gt;".",up_Irr!AU17&lt;&gt;".",up_Irr!BS17&lt;&gt;"."),up_dir!X17/((1/1000)*(up_Irr!W17+up_Irr!AU17+up_Irr!BS17)),IF(AND(up_Irr!W17&lt;&gt;".",up_Irr!AU17&lt;&gt;".",up_Irr!BS17="."),up_dir!X17/((1/1000)*(up_Irr!W17+up_Irr!AU17)),IF(AND(up_Irr!W17&lt;&gt;".",up_Irr!AU17=".",up_Irr!BS17&lt;&gt;"."),up_dir!X17/((1/1000)*(up_Irr!W17+up_Irr!BS17)),IF(AND(up_Irr!W17=".",up_Irr!AU17&lt;&gt;".",up_Irr!BS17&lt;&gt;"."),up_dir!X17/((1/1000)*(up_Irr!AU17+up_Irr!BS17)),IF(AND(up_Irr!W17=".",up_Irr!AU17=".",up_Irr!BS17&lt;&gt;"."),up_dir!X17/((1/1000)*(up_Irr!BS17)),IF(AND(up_Irr!W17=".",up_Irr!AU17&lt;&gt;".",up_Irr!BS17="."),up_dir!X17/((1/1000)*(up_Irr!AU17)),IF(AND(up_Irr!W17&lt;&gt;".",up_Irr!AU17=".",up_Irr!BS17="."),up_dir!X17/((1/1000)*(up_Irr!W17)),IF(AND(up_Irr!W17=".",up_Irr!AU17=".",up_Irr!BS17="."),up_dir!X17*1000)))))))),".")</f>
        <v>7.2351016258567334E-11</v>
      </c>
      <c r="Y17" s="76">
        <f>IFERROR(IF(AND(up_Irr!X17&lt;&gt;".",up_Irr!AV17&lt;&gt;".",up_Irr!BT17&lt;&gt;"."),up_dir!Y17/((1/1000)*(up_Irr!X17+up_Irr!AV17+up_Irr!BT17)),IF(AND(up_Irr!X17&lt;&gt;".",up_Irr!AV17&lt;&gt;".",up_Irr!BT17="."),up_dir!Y17/((1/1000)*(up_Irr!X17+up_Irr!AV17)),IF(AND(up_Irr!X17&lt;&gt;".",up_Irr!AV17=".",up_Irr!BT17&lt;&gt;"."),up_dir!Y17/((1/1000)*(up_Irr!X17+up_Irr!BT17)),IF(AND(up_Irr!X17=".",up_Irr!AV17&lt;&gt;".",up_Irr!BT17&lt;&gt;"."),up_dir!Y17/((1/1000)*(up_Irr!AV17+up_Irr!BT17)),IF(AND(up_Irr!X17=".",up_Irr!AV17=".",up_Irr!BT17&lt;&gt;"."),up_dir!Y17/((1/1000)*(up_Irr!BT17)),IF(AND(up_Irr!X17=".",up_Irr!AV17&lt;&gt;".",up_Irr!BT17="."),up_dir!Y17/((1/1000)*(up_Irr!AV17)),IF(AND(up_Irr!X17&lt;&gt;".",up_Irr!AV17=".",up_Irr!BT17="."),up_dir!Y17/((1/1000)*(up_Irr!X17)),IF(AND(up_Irr!X17=".",up_Irr!AV17=".",up_Irr!BT17="."),up_dir!Y17*1000)))))))),".")</f>
        <v>7.2351016258567334E-11</v>
      </c>
      <c r="Z17" s="76">
        <f>IFERROR(IF(AND(up_Irr!Y17&lt;&gt;".",up_Irr!AW17&lt;&gt;".",up_Irr!BU17&lt;&gt;"."),up_dir!Z17/((1/1000)*(up_Irr!Y17+up_Irr!AW17+up_Irr!BU17)),IF(AND(up_Irr!Y17&lt;&gt;".",up_Irr!AW17&lt;&gt;".",up_Irr!BU17="."),up_dir!Z17/((1/1000)*(up_Irr!Y17+up_Irr!AW17)),IF(AND(up_Irr!Y17&lt;&gt;".",up_Irr!AW17=".",up_Irr!BU17&lt;&gt;"."),up_dir!Z17/((1/1000)*(up_Irr!Y17+up_Irr!BU17)),IF(AND(up_Irr!Y17=".",up_Irr!AW17&lt;&gt;".",up_Irr!BU17&lt;&gt;"."),up_dir!Z17/((1/1000)*(up_Irr!AW17+up_Irr!BU17)),IF(AND(up_Irr!Y17=".",up_Irr!AW17=".",up_Irr!BU17&lt;&gt;"."),up_dir!Z17/((1/1000)*(up_Irr!BU17)),IF(AND(up_Irr!Y17=".",up_Irr!AW17&lt;&gt;".",up_Irr!BU17="."),up_dir!Z17/((1/1000)*(up_Irr!AW17)),IF(AND(up_Irr!Y17&lt;&gt;".",up_Irr!AW17=".",up_Irr!BU17="."),up_dir!Z17/((1/1000)*(up_Irr!Y17)),IF(AND(up_Irr!Y17=".",up_Irr!AW17=".",up_Irr!BU17="."),up_dir!Z17*1000)))))))),".")</f>
        <v>7.2351016258567334E-11</v>
      </c>
      <c r="AA17" s="76">
        <f>IFERROR(IF(AND(up_Irr!Z17&lt;&gt;".",up_Irr!AX17&lt;&gt;".",up_Irr!BV17&lt;&gt;"."),up_dir!AA17/((1/1000)*(up_Irr!Z17+up_Irr!AX17+up_Irr!BV17)),IF(AND(up_Irr!Z17&lt;&gt;".",up_Irr!AX17&lt;&gt;".",up_Irr!BV17="."),up_dir!AA17/((1/1000)*(up_Irr!Z17+up_Irr!AX17)),IF(AND(up_Irr!Z17&lt;&gt;".",up_Irr!AX17=".",up_Irr!BV17&lt;&gt;"."),up_dir!AA17/((1/1000)*(up_Irr!Z17+up_Irr!BV17)),IF(AND(up_Irr!Z17=".",up_Irr!AX17&lt;&gt;".",up_Irr!BV17&lt;&gt;"."),up_dir!AA17/((1/1000)*(up_Irr!AX17+up_Irr!BV17)),IF(AND(up_Irr!Z17=".",up_Irr!AX17=".",up_Irr!BV17&lt;&gt;"."),up_dir!AA17/((1/1000)*(up_Irr!BV17)),IF(AND(up_Irr!Z17=".",up_Irr!AX17&lt;&gt;".",up_Irr!BV17="."),up_dir!AA17/((1/1000)*(up_Irr!AX17)),IF(AND(up_Irr!Z17&lt;&gt;".",up_Irr!AX17=".",up_Irr!BV17="."),up_dir!AA17/((1/1000)*(up_Irr!Z17)),IF(AND(up_Irr!Z17=".",up_Irr!AX17=".",up_Irr!BV17="."),up_dir!AA17*1000)))))))),".")</f>
        <v>7.2351016258567334E-11</v>
      </c>
      <c r="AB17" s="93">
        <f>SUM(AC17:AD17,AY17:AZ17)</f>
        <v>55286.023705663516</v>
      </c>
      <c r="AC17" s="93">
        <f>IFERROR(s_C*s_IFAP_res_adj*s_CF_apple*0.001*(up_Irr!C17+up_Irr!AA17+up_Irr!AY17),".")</f>
        <v>13821.505926415879</v>
      </c>
      <c r="AD17" s="93">
        <f>IFERROR(s_C*s_IFAS_res_adj*s_CF_asparagus*0.001*(up_Irr!D17+up_Irr!AB17+up_Irr!AZ17),".")</f>
        <v>13821.505926415879</v>
      </c>
      <c r="AE17" s="93">
        <f>IFERROR(s_C*s_IFBT_res_adj*s_CF_beet*0.001*(up_Irr!E17+up_Irr!AC17+up_Irr!BA17),".")</f>
        <v>13821.505926415879</v>
      </c>
      <c r="AF17" s="93">
        <f>IFERROR(s_C*s_IFBE_res_adj*s_CF_berries*0.001*(up_Irr!F17+up_Irr!AD17+up_Irr!BB17),".")</f>
        <v>13821.505926415879</v>
      </c>
      <c r="AG17" s="93">
        <f>IFERROR(s_C*s_IFBR_res_adj*s_CF_broccoli*0.001*(up_Irr!G17+up_Irr!AE17+up_Irr!BC17),".")</f>
        <v>13821.505926415879</v>
      </c>
      <c r="AH17" s="93">
        <f>IFERROR(s_C*s_IFCB_res_adj*s_CF_cabbage*0.001*(up_Irr!H17+up_Irr!AF17+up_Irr!BD17),".")</f>
        <v>13821.505926415879</v>
      </c>
      <c r="AI17" s="93">
        <f>IFERROR(s_C*s_IFCR_res_adj*s_CF_carrot*0.001*(up_Irr!I17+up_Irr!AG17+up_Irr!BE17),".")</f>
        <v>13821.505926415879</v>
      </c>
      <c r="AJ17" s="93">
        <f>IFERROR(s_C*s_IFCI_res_adj*s_CF_citrus*0.001*(up_Irr!J17+up_Irr!AH17+up_Irr!BF17),".")</f>
        <v>13821.505926415879</v>
      </c>
      <c r="AK17" s="93">
        <f>IFERROR(s_C*s_IFCO_res_adj*s_CF_corn*0.001*(up_Irr!K17+up_Irr!AI17+up_Irr!BG17),".")</f>
        <v>13821.505926415879</v>
      </c>
      <c r="AL17" s="93">
        <f>IFERROR(s_C*s_IFCU_res_adj*s_CF_cucumber*0.001*(up_Irr!L17+up_Irr!AJ17+up_Irr!BH17),".")</f>
        <v>13821.505926415879</v>
      </c>
      <c r="AM17" s="93">
        <f>IFERROR(s_C*s_IFLE_res_adj*s_CF_lettuce*0.001*(up_Irr!M17+up_Irr!AK17+up_Irr!BI17),".")</f>
        <v>13821.505926415879</v>
      </c>
      <c r="AN17" s="93">
        <f>IFERROR(s_C*s_IFLI_res_adj*s_CF_lima_bean*0.001*(up_Irr!N17+up_Irr!AL17+up_Irr!BJ17),".")</f>
        <v>13821.505926415879</v>
      </c>
      <c r="AO17" s="93">
        <f>IFERROR(s_C*s_IFOK_res_adj*s_CF_okra*0.001*(up_Irr!O17+up_Irr!AM17+up_Irr!BK17),".")</f>
        <v>13821.505926415879</v>
      </c>
      <c r="AP17" s="93">
        <f>IFERROR(s_C*s_IFON_res_adj*s_CF_onion*0.001*(up_Irr!P17+up_Irr!AN17+up_Irr!BL17),".")</f>
        <v>13821.505926415879</v>
      </c>
      <c r="AQ17" s="93">
        <f>IFERROR(s_C*s_IFPC_res_adj*s_CF_peach*0.001*(up_Irr!Q17+up_Irr!AO17+up_Irr!BM17),".")</f>
        <v>13821.505926415879</v>
      </c>
      <c r="AR17" s="93">
        <f>IFERROR(s_C*s_IFPR_res_adj*s_CF_pear*0.001*(up_Irr!R17+up_Irr!AP17+up_Irr!BN17),".")</f>
        <v>13821.505926415879</v>
      </c>
      <c r="AS17" s="93">
        <f>IFERROR(s_C*s_IFPE_res_adj*s_CF_peas*0.001*(up_Irr!S17+up_Irr!AQ17+up_Irr!BO17),".")</f>
        <v>13821.505926415879</v>
      </c>
      <c r="AT17" s="93">
        <f>IFERROR(s_C*s_IFPT_res_adj*s_CF_potato*0.001*(up_Irr!T17+up_Irr!AR17+up_Irr!BP17),".")</f>
        <v>13821.505926415879</v>
      </c>
      <c r="AU17" s="93">
        <f>IFERROR(s_C*s_IFPU_res_adj*s_CF_pumpkin*0.001*(up_Irr!U17+up_Irr!AS17+up_Irr!BQ17),".")</f>
        <v>13821.505926415879</v>
      </c>
      <c r="AV17" s="93">
        <f>IFERROR(s_C*s_IFSN_res_adj*s_CF_snap_bean*0.001*(up_Irr!V17+up_Irr!AT17+up_Irr!BR17),".")</f>
        <v>13821.505926415879</v>
      </c>
      <c r="AW17" s="93">
        <f>IFERROR(s_C*s_IFST_res_adj*s_CF_strawberry*0.001*(up_Irr!W17+up_Irr!AU17+up_Irr!BS17),".")</f>
        <v>13821.505926415879</v>
      </c>
      <c r="AX17" s="93">
        <f>IFERROR(s_C*s_IFTO_res_adj*s_CF_tomato*0.001*(up_Irr!X17+up_Irr!AV17+up_Irr!BT17),".")</f>
        <v>13821.505926415879</v>
      </c>
      <c r="AY17" s="93">
        <f>IFERROR(s_C*s_IFRI_res_adj*s_CF_rice*0.001*(up_Irr!Y17+up_Irr!AW17+up_Irr!BU17),".")</f>
        <v>13821.505926415879</v>
      </c>
      <c r="AZ17" s="93">
        <f>IFERROR(s_C*s_IFCG_res_adj*s_CF_cereal*0.001*(up_Irr!Z17+up_Irr!AX17+up_Irr!BV17),".")</f>
        <v>13821.505926415879</v>
      </c>
      <c r="BA17" s="76">
        <f t="shared" si="3"/>
        <v>1.8087754064641833E-11</v>
      </c>
      <c r="BB17" s="76">
        <f>IFERROR(IF(AND(up_Irr!C17&lt;&gt;".",up_Irr!AA17&lt;&gt;".",up_Irr!AY17&lt;&gt;"."),up_dir!AC17/((1/1000)*(up_Irr!C17+up_Irr!AA17+up_Irr!AY17)),IF(AND(up_Irr!C17&lt;&gt;".",up_Irr!AA17&lt;&gt;".",up_Irr!AY17="."),up_dir!AC17/((1/1000)*(up_Irr!C17+up_Irr!AA17)),IF(AND(up_Irr!C17&lt;&gt;".",up_Irr!AA17=".",up_Irr!AY17&lt;&gt;"."),up_dir!AC17/((1/1000)*(up_Irr!C17+up_Irr!AY17)),IF(AND(up_Irr!C17=".",up_Irr!AA17&lt;&gt;".",up_Irr!AY17&lt;&gt;"."),up_dir!AC17/((1/1000)*(up_Irr!AA17+up_Irr!AY17)),IF(AND(up_Irr!C17=".",up_Irr!AA17=".",up_Irr!AY17&lt;&gt;"."),up_dir!AC17/((1/1000)*(up_Irr!AY17)),IF(AND(up_Irr!C17=".",up_Irr!AA17&lt;&gt;".",up_Irr!AY17="."),up_dir!AC17/((1/1000)*(up_Irr!AA17)),IF(AND(up_Irr!C17&lt;&gt;".",up_Irr!AA17=".",up_Irr!AY17="."),up_dir!AC17/((1/1000)*(up_Irr!C17)),IF(AND(up_Irr!C17=".",up_Irr!AA17=".",up_Irr!AY17="."),up_dir!AC17*1000)))))))),".")</f>
        <v>7.2351016258567334E-11</v>
      </c>
      <c r="BC17" s="76">
        <f>IFERROR(IF(AND(up_Irr!D17&lt;&gt;".",up_Irr!AB17&lt;&gt;".",up_Irr!AZ17&lt;&gt;"."),up_dir!AD17/((1/1000)*(up_Irr!D17+up_Irr!AB17+up_Irr!AZ17)),IF(AND(up_Irr!D17&lt;&gt;".",up_Irr!AB17&lt;&gt;".",up_Irr!AZ17="."),up_dir!AD17/((1/1000)*(up_Irr!D17+up_Irr!AB17)),IF(AND(up_Irr!D17&lt;&gt;".",up_Irr!AB17=".",up_Irr!AZ17&lt;&gt;"."),up_dir!AD17/((1/1000)*(up_Irr!D17+up_Irr!AZ17)),IF(AND(up_Irr!D17=".",up_Irr!AB17&lt;&gt;".",up_Irr!AZ17&lt;&gt;"."),up_dir!AD17/((1/1000)*(up_Irr!AB17+up_Irr!AZ17)),IF(AND(up_Irr!D17=".",up_Irr!AB17=".",up_Irr!AZ17&lt;&gt;"."),up_dir!AD17/((1/1000)*(up_Irr!AZ17)),IF(AND(up_Irr!D17=".",up_Irr!AB17&lt;&gt;".",up_Irr!AZ17="."),up_dir!AD17/((1/1000)*(up_Irr!AB17)),IF(AND(up_Irr!D17&lt;&gt;".",up_Irr!AB17=".",up_Irr!AZ17="."),up_dir!AD17/((1/1000)*(up_Irr!D17)),IF(AND(up_Irr!D17=".",up_Irr!AB17=".",up_Irr!AZ17="."),up_dir!AD17*1000)))))))),".")</f>
        <v>7.2351016258567334E-11</v>
      </c>
      <c r="BD17" s="76">
        <f>IFERROR(IF(AND(up_Irr!E17&lt;&gt;".",up_Irr!AC17&lt;&gt;".",up_Irr!BA17&lt;&gt;"."),up_dir!AE17/((1/1000)*(up_Irr!E17+up_Irr!AC17+up_Irr!BA17)),IF(AND(up_Irr!E17&lt;&gt;".",up_Irr!AC17&lt;&gt;".",up_Irr!BA17="."),up_dir!AE17/((1/1000)*(up_Irr!E17+up_Irr!AC17)),IF(AND(up_Irr!E17&lt;&gt;".",up_Irr!AC17=".",up_Irr!BA17&lt;&gt;"."),up_dir!AE17/((1/1000)*(up_Irr!E17+up_Irr!BA17)),IF(AND(up_Irr!E17=".",up_Irr!AC17&lt;&gt;".",up_Irr!BA17&lt;&gt;"."),up_dir!AE17/((1/1000)*(up_Irr!AC17+up_Irr!BA17)),IF(AND(up_Irr!E17=".",up_Irr!AC17=".",up_Irr!BA17&lt;&gt;"."),up_dir!AE17/((1/1000)*(up_Irr!BA17)),IF(AND(up_Irr!E17=".",up_Irr!AC17&lt;&gt;".",up_Irr!BA17="."),up_dir!AE17/((1/1000)*(up_Irr!AC17)),IF(AND(up_Irr!E17&lt;&gt;".",up_Irr!AC17=".",up_Irr!BA17="."),up_dir!AE17/((1/1000)*(up_Irr!E17)),IF(AND(up_Irr!E17=".",up_Irr!AC17=".",up_Irr!BA17="."),up_dir!AE17*1000)))))))),".")</f>
        <v>7.2351016258567334E-11</v>
      </c>
      <c r="BE17" s="76">
        <f>IFERROR(IF(AND(up_Irr!F17&lt;&gt;".",up_Irr!AD17&lt;&gt;".",up_Irr!BB17&lt;&gt;"."),up_dir!AF17/((1/1000)*(up_Irr!F17+up_Irr!AD17+up_Irr!BB17)),IF(AND(up_Irr!F17&lt;&gt;".",up_Irr!AD17&lt;&gt;".",up_Irr!BB17="."),up_dir!AF17/((1/1000)*(up_Irr!F17+up_Irr!AD17)),IF(AND(up_Irr!F17&lt;&gt;".",up_Irr!AD17=".",up_Irr!BB17&lt;&gt;"."),up_dir!AF17/((1/1000)*(up_Irr!F17+up_Irr!BB17)),IF(AND(up_Irr!F17=".",up_Irr!AD17&lt;&gt;".",up_Irr!BB17&lt;&gt;"."),up_dir!AF17/((1/1000)*(up_Irr!AD17+up_Irr!BB17)),IF(AND(up_Irr!F17=".",up_Irr!AD17=".",up_Irr!BB17&lt;&gt;"."),up_dir!AF17/((1/1000)*(up_Irr!BB17)),IF(AND(up_Irr!F17=".",up_Irr!AD17&lt;&gt;".",up_Irr!BB17="."),up_dir!AF17/((1/1000)*(up_Irr!AD17)),IF(AND(up_Irr!F17&lt;&gt;".",up_Irr!AD17=".",up_Irr!BB17="."),up_dir!AF17/((1/1000)*(up_Irr!F17)),IF(AND(up_Irr!F17=".",up_Irr!AD17=".",up_Irr!BB17="."),up_dir!AF17*1000)))))))),".")</f>
        <v>7.2351016258567334E-11</v>
      </c>
      <c r="BF17" s="76">
        <f>IFERROR(IF(AND(up_Irr!G17&lt;&gt;".",up_Irr!AE17&lt;&gt;".",up_Irr!BC17&lt;&gt;"."),up_dir!AG17/((1/1000)*(up_Irr!G17+up_Irr!AE17+up_Irr!BC17)),IF(AND(up_Irr!G17&lt;&gt;".",up_Irr!AE17&lt;&gt;".",up_Irr!BC17="."),up_dir!AG17/((1/1000)*(up_Irr!G17+up_Irr!AE17)),IF(AND(up_Irr!G17&lt;&gt;".",up_Irr!AE17=".",up_Irr!BC17&lt;&gt;"."),up_dir!AG17/((1/1000)*(up_Irr!G17+up_Irr!BC17)),IF(AND(up_Irr!G17=".",up_Irr!AE17&lt;&gt;".",up_Irr!BC17&lt;&gt;"."),up_dir!AG17/((1/1000)*(up_Irr!AE17+up_Irr!BC17)),IF(AND(up_Irr!G17=".",up_Irr!AE17=".",up_Irr!BC17&lt;&gt;"."),up_dir!AG17/((1/1000)*(up_Irr!BC17)),IF(AND(up_Irr!G17=".",up_Irr!AE17&lt;&gt;".",up_Irr!BC17="."),up_dir!AG17/((1/1000)*(up_Irr!AE17)),IF(AND(up_Irr!G17&lt;&gt;".",up_Irr!AE17=".",up_Irr!BC17="."),up_dir!AG17/((1/1000)*(up_Irr!G17)),IF(AND(up_Irr!G17=".",up_Irr!AE17=".",up_Irr!BC17="."),up_dir!AG17*1000)))))))),".")</f>
        <v>7.2351016258567334E-11</v>
      </c>
      <c r="BG17" s="76">
        <f>IFERROR(IF(AND(up_Irr!H17&lt;&gt;".",up_Irr!AF17&lt;&gt;".",up_Irr!BD17&lt;&gt;"."),up_dir!AH17/((1/1000)*(up_Irr!H17+up_Irr!AF17+up_Irr!BD17)),IF(AND(up_Irr!H17&lt;&gt;".",up_Irr!AF17&lt;&gt;".",up_Irr!BD17="."),up_dir!AH17/((1/1000)*(up_Irr!H17+up_Irr!AF17)),IF(AND(up_Irr!H17&lt;&gt;".",up_Irr!AF17=".",up_Irr!BD17&lt;&gt;"."),up_dir!AH17/((1/1000)*(up_Irr!H17+up_Irr!BD17)),IF(AND(up_Irr!H17=".",up_Irr!AF17&lt;&gt;".",up_Irr!BD17&lt;&gt;"."),up_dir!AH17/((1/1000)*(up_Irr!AF17+up_Irr!BD17)),IF(AND(up_Irr!H17=".",up_Irr!AF17=".",up_Irr!BD17&lt;&gt;"."),up_dir!AH17/((1/1000)*(up_Irr!BD17)),IF(AND(up_Irr!H17=".",up_Irr!AF17&lt;&gt;".",up_Irr!BD17="."),up_dir!AH17/((1/1000)*(up_Irr!AF17)),IF(AND(up_Irr!H17&lt;&gt;".",up_Irr!AF17=".",up_Irr!BD17="."),up_dir!AH17/((1/1000)*(up_Irr!H17)),IF(AND(up_Irr!H17=".",up_Irr!AF17=".",up_Irr!BD17="."),up_dir!AH17*1000)))))))),".")</f>
        <v>7.2351016258567334E-11</v>
      </c>
      <c r="BH17" s="76">
        <f>IFERROR(IF(AND(up_Irr!I17&lt;&gt;".",up_Irr!AG17&lt;&gt;".",up_Irr!BE17&lt;&gt;"."),up_dir!AI17/((1/1000)*(up_Irr!I17+up_Irr!AG17+up_Irr!BE17)),IF(AND(up_Irr!I17&lt;&gt;".",up_Irr!AG17&lt;&gt;".",up_Irr!BE17="."),up_dir!AI17/((1/1000)*(up_Irr!I17+up_Irr!AG17)),IF(AND(up_Irr!I17&lt;&gt;".",up_Irr!AG17=".",up_Irr!BE17&lt;&gt;"."),up_dir!AI17/((1/1000)*(up_Irr!I17+up_Irr!BE17)),IF(AND(up_Irr!I17=".",up_Irr!AG17&lt;&gt;".",up_Irr!BE17&lt;&gt;"."),up_dir!AI17/((1/1000)*(up_Irr!AG17+up_Irr!BE17)),IF(AND(up_Irr!I17=".",up_Irr!AG17=".",up_Irr!BE17&lt;&gt;"."),up_dir!AI17/((1/1000)*(up_Irr!BE17)),IF(AND(up_Irr!I17=".",up_Irr!AG17&lt;&gt;".",up_Irr!BE17="."),up_dir!AI17/((1/1000)*(up_Irr!AG17)),IF(AND(up_Irr!I17&lt;&gt;".",up_Irr!AG17=".",up_Irr!BE17="."),up_dir!AI17/((1/1000)*(up_Irr!I17)),IF(AND(up_Irr!I17=".",up_Irr!AG17=".",up_Irr!BE17="."),up_dir!AI17*1000)))))))),".")</f>
        <v>7.2351016258567334E-11</v>
      </c>
      <c r="BI17" s="76">
        <f>IFERROR(IF(AND(up_Irr!J17&lt;&gt;".",up_Irr!AH17&lt;&gt;".",up_Irr!BF17&lt;&gt;"."),up_dir!AJ17/((1/1000)*(up_Irr!J17+up_Irr!AH17+up_Irr!BF17)),IF(AND(up_Irr!J17&lt;&gt;".",up_Irr!AH17&lt;&gt;".",up_Irr!BF17="."),up_dir!AJ17/((1/1000)*(up_Irr!J17+up_Irr!AH17)),IF(AND(up_Irr!J17&lt;&gt;".",up_Irr!AH17=".",up_Irr!BF17&lt;&gt;"."),up_dir!AJ17/((1/1000)*(up_Irr!J17+up_Irr!BF17)),IF(AND(up_Irr!J17=".",up_Irr!AH17&lt;&gt;".",up_Irr!BF17&lt;&gt;"."),up_dir!AJ17/((1/1000)*(up_Irr!AH17+up_Irr!BF17)),IF(AND(up_Irr!J17=".",up_Irr!AH17=".",up_Irr!BF17&lt;&gt;"."),up_dir!AJ17/((1/1000)*(up_Irr!BF17)),IF(AND(up_Irr!J17=".",up_Irr!AH17&lt;&gt;".",up_Irr!BF17="."),up_dir!AJ17/((1/1000)*(up_Irr!AH17)),IF(AND(up_Irr!J17&lt;&gt;".",up_Irr!AH17=".",up_Irr!BF17="."),up_dir!AJ17/((1/1000)*(up_Irr!J17)),IF(AND(up_Irr!J17=".",up_Irr!AH17=".",up_Irr!BF17="."),up_dir!AJ17*1000)))))))),".")</f>
        <v>7.2351016258567334E-11</v>
      </c>
      <c r="BJ17" s="76">
        <f>IFERROR(IF(AND(up_Irr!K17&lt;&gt;".",up_Irr!AI17&lt;&gt;".",up_Irr!BG17&lt;&gt;"."),up_dir!AK17/((1/1000)*(up_Irr!K17+up_Irr!AI17+up_Irr!BG17)),IF(AND(up_Irr!K17&lt;&gt;".",up_Irr!AI17&lt;&gt;".",up_Irr!BG17="."),up_dir!AK17/((1/1000)*(up_Irr!K17+up_Irr!AI17)),IF(AND(up_Irr!K17&lt;&gt;".",up_Irr!AI17=".",up_Irr!BG17&lt;&gt;"."),up_dir!AK17/((1/1000)*(up_Irr!K17+up_Irr!BG17)),IF(AND(up_Irr!K17=".",up_Irr!AI17&lt;&gt;".",up_Irr!BG17&lt;&gt;"."),up_dir!AK17/((1/1000)*(up_Irr!AI17+up_Irr!BG17)),IF(AND(up_Irr!K17=".",up_Irr!AI17=".",up_Irr!BG17&lt;&gt;"."),up_dir!AK17/((1/1000)*(up_Irr!BG17)),IF(AND(up_Irr!K17=".",up_Irr!AI17&lt;&gt;".",up_Irr!BG17="."),up_dir!AK17/((1/1000)*(up_Irr!AI17)),IF(AND(up_Irr!K17&lt;&gt;".",up_Irr!AI17=".",up_Irr!BG17="."),up_dir!AK17/((1/1000)*(up_Irr!K17)),IF(AND(up_Irr!K17=".",up_Irr!AI17=".",up_Irr!BG17="."),up_dir!AK17*1000)))))))),".")</f>
        <v>7.2351016258567334E-11</v>
      </c>
      <c r="BK17" s="76">
        <f>IFERROR(IF(AND(up_Irr!L17&lt;&gt;".",up_Irr!AJ17&lt;&gt;".",up_Irr!BH17&lt;&gt;"."),up_dir!AL17/((1/1000)*(up_Irr!L17+up_Irr!AJ17+up_Irr!BH17)),IF(AND(up_Irr!L17&lt;&gt;".",up_Irr!AJ17&lt;&gt;".",up_Irr!BH17="."),up_dir!AL17/((1/1000)*(up_Irr!L17+up_Irr!AJ17)),IF(AND(up_Irr!L17&lt;&gt;".",up_Irr!AJ17=".",up_Irr!BH17&lt;&gt;"."),up_dir!AL17/((1/1000)*(up_Irr!L17+up_Irr!BH17)),IF(AND(up_Irr!L17=".",up_Irr!AJ17&lt;&gt;".",up_Irr!BH17&lt;&gt;"."),up_dir!AL17/((1/1000)*(up_Irr!AJ17+up_Irr!BH17)),IF(AND(up_Irr!L17=".",up_Irr!AJ17=".",up_Irr!BH17&lt;&gt;"."),up_dir!AL17/((1/1000)*(up_Irr!BH17)),IF(AND(up_Irr!L17=".",up_Irr!AJ17&lt;&gt;".",up_Irr!BH17="."),up_dir!AL17/((1/1000)*(up_Irr!AJ17)),IF(AND(up_Irr!L17&lt;&gt;".",up_Irr!AJ17=".",up_Irr!BH17="."),up_dir!AL17/((1/1000)*(up_Irr!L17)),IF(AND(up_Irr!L17=".",up_Irr!AJ17=".",up_Irr!BH17="."),up_dir!AL17*1000)))))))),".")</f>
        <v>7.2351016258567334E-11</v>
      </c>
      <c r="BL17" s="76">
        <f>IFERROR(IF(AND(up_Irr!M17&lt;&gt;".",up_Irr!AK17&lt;&gt;".",up_Irr!BI17&lt;&gt;"."),up_dir!AM17/((1/1000)*(up_Irr!M17+up_Irr!AK17+up_Irr!BI17)),IF(AND(up_Irr!M17&lt;&gt;".",up_Irr!AK17&lt;&gt;".",up_Irr!BI17="."),up_dir!AM17/((1/1000)*(up_Irr!M17+up_Irr!AK17)),IF(AND(up_Irr!M17&lt;&gt;".",up_Irr!AK17=".",up_Irr!BI17&lt;&gt;"."),up_dir!AM17/((1/1000)*(up_Irr!M17+up_Irr!BI17)),IF(AND(up_Irr!M17=".",up_Irr!AK17&lt;&gt;".",up_Irr!BI17&lt;&gt;"."),up_dir!AM17/((1/1000)*(up_Irr!AK17+up_Irr!BI17)),IF(AND(up_Irr!M17=".",up_Irr!AK17=".",up_Irr!BI17&lt;&gt;"."),up_dir!AM17/((1/1000)*(up_Irr!BI17)),IF(AND(up_Irr!M17=".",up_Irr!AK17&lt;&gt;".",up_Irr!BI17="."),up_dir!AM17/((1/1000)*(up_Irr!AK17)),IF(AND(up_Irr!M17&lt;&gt;".",up_Irr!AK17=".",up_Irr!BI17="."),up_dir!AM17/((1/1000)*(up_Irr!M17)),IF(AND(up_Irr!M17=".",up_Irr!AK17=".",up_Irr!BI17="."),up_dir!AM17*1000)))))))),".")</f>
        <v>7.2351016258567334E-11</v>
      </c>
      <c r="BM17" s="76">
        <f>IFERROR(IF(AND(up_Irr!N17&lt;&gt;".",up_Irr!AL17&lt;&gt;".",up_Irr!BJ17&lt;&gt;"."),up_dir!AN17/((1/1000)*(up_Irr!N17+up_Irr!AL17+up_Irr!BJ17)),IF(AND(up_Irr!N17&lt;&gt;".",up_Irr!AL17&lt;&gt;".",up_Irr!BJ17="."),up_dir!AN17/((1/1000)*(up_Irr!N17+up_Irr!AL17)),IF(AND(up_Irr!N17&lt;&gt;".",up_Irr!AL17=".",up_Irr!BJ17&lt;&gt;"."),up_dir!AN17/((1/1000)*(up_Irr!N17+up_Irr!BJ17)),IF(AND(up_Irr!N17=".",up_Irr!AL17&lt;&gt;".",up_Irr!BJ17&lt;&gt;"."),up_dir!AN17/((1/1000)*(up_Irr!AL17+up_Irr!BJ17)),IF(AND(up_Irr!N17=".",up_Irr!AL17=".",up_Irr!BJ17&lt;&gt;"."),up_dir!AN17/((1/1000)*(up_Irr!BJ17)),IF(AND(up_Irr!N17=".",up_Irr!AL17&lt;&gt;".",up_Irr!BJ17="."),up_dir!AN17/((1/1000)*(up_Irr!AL17)),IF(AND(up_Irr!N17&lt;&gt;".",up_Irr!AL17=".",up_Irr!BJ17="."),up_dir!AN17/((1/1000)*(up_Irr!N17)),IF(AND(up_Irr!N17=".",up_Irr!AL17=".",up_Irr!BJ17="."),up_dir!AN17*1000)))))))),".")</f>
        <v>7.2351016258567334E-11</v>
      </c>
      <c r="BN17" s="76">
        <f>IFERROR(IF(AND(up_Irr!O17&lt;&gt;".",up_Irr!AM17&lt;&gt;".",up_Irr!BK17&lt;&gt;"."),up_dir!AO17/((1/1000)*(up_Irr!O17+up_Irr!AM17+up_Irr!BK17)),IF(AND(up_Irr!O17&lt;&gt;".",up_Irr!AM17&lt;&gt;".",up_Irr!BK17="."),up_dir!AO17/((1/1000)*(up_Irr!O17+up_Irr!AM17)),IF(AND(up_Irr!O17&lt;&gt;".",up_Irr!AM17=".",up_Irr!BK17&lt;&gt;"."),up_dir!AO17/((1/1000)*(up_Irr!O17+up_Irr!BK17)),IF(AND(up_Irr!O17=".",up_Irr!AM17&lt;&gt;".",up_Irr!BK17&lt;&gt;"."),up_dir!AO17/((1/1000)*(up_Irr!AM17+up_Irr!BK17)),IF(AND(up_Irr!O17=".",up_Irr!AM17=".",up_Irr!BK17&lt;&gt;"."),up_dir!AO17/((1/1000)*(up_Irr!BK17)),IF(AND(up_Irr!O17=".",up_Irr!AM17&lt;&gt;".",up_Irr!BK17="."),up_dir!AO17/((1/1000)*(up_Irr!AM17)),IF(AND(up_Irr!O17&lt;&gt;".",up_Irr!AM17=".",up_Irr!BK17="."),up_dir!AO17/((1/1000)*(up_Irr!O17)),IF(AND(up_Irr!O17=".",up_Irr!AM17=".",up_Irr!BK17="."),up_dir!AO17*1000)))))))),".")</f>
        <v>7.2351016258567334E-11</v>
      </c>
      <c r="BO17" s="76">
        <f>IFERROR(IF(AND(up_Irr!P17&lt;&gt;".",up_Irr!AN17&lt;&gt;".",up_Irr!BL17&lt;&gt;"."),up_dir!AP17/((1/1000)*(up_Irr!P17+up_Irr!AN17+up_Irr!BL17)),IF(AND(up_Irr!P17&lt;&gt;".",up_Irr!AN17&lt;&gt;".",up_Irr!BL17="."),up_dir!AP17/((1/1000)*(up_Irr!P17+up_Irr!AN17)),IF(AND(up_Irr!P17&lt;&gt;".",up_Irr!AN17=".",up_Irr!BL17&lt;&gt;"."),up_dir!AP17/((1/1000)*(up_Irr!P17+up_Irr!BL17)),IF(AND(up_Irr!P17=".",up_Irr!AN17&lt;&gt;".",up_Irr!BL17&lt;&gt;"."),up_dir!AP17/((1/1000)*(up_Irr!AN17+up_Irr!BL17)),IF(AND(up_Irr!P17=".",up_Irr!AN17=".",up_Irr!BL17&lt;&gt;"."),up_dir!AP17/((1/1000)*(up_Irr!BL17)),IF(AND(up_Irr!P17=".",up_Irr!AN17&lt;&gt;".",up_Irr!BL17="."),up_dir!AP17/((1/1000)*(up_Irr!AN17)),IF(AND(up_Irr!P17&lt;&gt;".",up_Irr!AN17=".",up_Irr!BL17="."),up_dir!AP17/((1/1000)*(up_Irr!P17)),IF(AND(up_Irr!P17=".",up_Irr!AN17=".",up_Irr!BL17="."),up_dir!AP17*1000)))))))),".")</f>
        <v>7.2351016258567334E-11</v>
      </c>
      <c r="BP17" s="76">
        <f>IFERROR(IF(AND(up_Irr!Q17&lt;&gt;".",up_Irr!AO17&lt;&gt;".",up_Irr!BM17&lt;&gt;"."),up_dir!AQ17/((1/1000)*(up_Irr!Q17+up_Irr!AO17+up_Irr!BM17)),IF(AND(up_Irr!Q17&lt;&gt;".",up_Irr!AO17&lt;&gt;".",up_Irr!BM17="."),up_dir!AQ17/((1/1000)*(up_Irr!Q17+up_Irr!AO17)),IF(AND(up_Irr!Q17&lt;&gt;".",up_Irr!AO17=".",up_Irr!BM17&lt;&gt;"."),up_dir!AQ17/((1/1000)*(up_Irr!Q17+up_Irr!BM17)),IF(AND(up_Irr!Q17=".",up_Irr!AO17&lt;&gt;".",up_Irr!BM17&lt;&gt;"."),up_dir!AQ17/((1/1000)*(up_Irr!AO17+up_Irr!BM17)),IF(AND(up_Irr!Q17=".",up_Irr!AO17=".",up_Irr!BM17&lt;&gt;"."),up_dir!AQ17/((1/1000)*(up_Irr!BM17)),IF(AND(up_Irr!Q17=".",up_Irr!AO17&lt;&gt;".",up_Irr!BM17="."),up_dir!AQ17/((1/1000)*(up_Irr!AO17)),IF(AND(up_Irr!Q17&lt;&gt;".",up_Irr!AO17=".",up_Irr!BM17="."),up_dir!AQ17/((1/1000)*(up_Irr!Q17)),IF(AND(up_Irr!Q17=".",up_Irr!AO17=".",up_Irr!BM17="."),up_dir!AQ17*1000)))))))),".")</f>
        <v>7.2351016258567334E-11</v>
      </c>
      <c r="BQ17" s="76">
        <f>IFERROR(IF(AND(up_Irr!R17&lt;&gt;".",up_Irr!AP17&lt;&gt;".",up_Irr!BN17&lt;&gt;"."),up_dir!AR17/((1/1000)*(up_Irr!R17+up_Irr!AP17+up_Irr!BN17)),IF(AND(up_Irr!R17&lt;&gt;".",up_Irr!AP17&lt;&gt;".",up_Irr!BN17="."),up_dir!AR17/((1/1000)*(up_Irr!R17+up_Irr!AP17)),IF(AND(up_Irr!R17&lt;&gt;".",up_Irr!AP17=".",up_Irr!BN17&lt;&gt;"."),up_dir!AR17/((1/1000)*(up_Irr!R17+up_Irr!BN17)),IF(AND(up_Irr!R17=".",up_Irr!AP17&lt;&gt;".",up_Irr!BN17&lt;&gt;"."),up_dir!AR17/((1/1000)*(up_Irr!AP17+up_Irr!BN17)),IF(AND(up_Irr!R17=".",up_Irr!AP17=".",up_Irr!BN17&lt;&gt;"."),up_dir!AR17/((1/1000)*(up_Irr!BN17)),IF(AND(up_Irr!R17=".",up_Irr!AP17&lt;&gt;".",up_Irr!BN17="."),up_dir!AR17/((1/1000)*(up_Irr!AP17)),IF(AND(up_Irr!R17&lt;&gt;".",up_Irr!AP17=".",up_Irr!BN17="."),up_dir!AR17/((1/1000)*(up_Irr!R17)),IF(AND(up_Irr!R17=".",up_Irr!AP17=".",up_Irr!BN17="."),up_dir!AR17*1000)))))))),".")</f>
        <v>7.2351016258567334E-11</v>
      </c>
      <c r="BR17" s="76">
        <f>IFERROR(IF(AND(up_Irr!S17&lt;&gt;".",up_Irr!AQ17&lt;&gt;".",up_Irr!BO17&lt;&gt;"."),up_dir!AS17/((1/1000)*(up_Irr!S17+up_Irr!AQ17+up_Irr!BO17)),IF(AND(up_Irr!S17&lt;&gt;".",up_Irr!AQ17&lt;&gt;".",up_Irr!BO17="."),up_dir!AS17/((1/1000)*(up_Irr!S17+up_Irr!AQ17)),IF(AND(up_Irr!S17&lt;&gt;".",up_Irr!AQ17=".",up_Irr!BO17&lt;&gt;"."),up_dir!AS17/((1/1000)*(up_Irr!S17+up_Irr!BO17)),IF(AND(up_Irr!S17=".",up_Irr!AQ17&lt;&gt;".",up_Irr!BO17&lt;&gt;"."),up_dir!AS17/((1/1000)*(up_Irr!AQ17+up_Irr!BO17)),IF(AND(up_Irr!S17=".",up_Irr!AQ17=".",up_Irr!BO17&lt;&gt;"."),up_dir!AS17/((1/1000)*(up_Irr!BO17)),IF(AND(up_Irr!S17=".",up_Irr!AQ17&lt;&gt;".",up_Irr!BO17="."),up_dir!AS17/((1/1000)*(up_Irr!AQ17)),IF(AND(up_Irr!S17&lt;&gt;".",up_Irr!AQ17=".",up_Irr!BO17="."),up_dir!AS17/((1/1000)*(up_Irr!S17)),IF(AND(up_Irr!S17=".",up_Irr!AQ17=".",up_Irr!BO17="."),up_dir!AS17*1000)))))))),".")</f>
        <v>7.2351016258567334E-11</v>
      </c>
      <c r="BS17" s="76">
        <f>IFERROR(IF(AND(up_Irr!T17&lt;&gt;".",up_Irr!AR17&lt;&gt;".",up_Irr!BP17&lt;&gt;"."),up_dir!AT17/((1/1000)*(up_Irr!T17+up_Irr!AR17+up_Irr!BP17)),IF(AND(up_Irr!T17&lt;&gt;".",up_Irr!AR17&lt;&gt;".",up_Irr!BP17="."),up_dir!AT17/((1/1000)*(up_Irr!T17+up_Irr!AR17)),IF(AND(up_Irr!T17&lt;&gt;".",up_Irr!AR17=".",up_Irr!BP17&lt;&gt;"."),up_dir!AT17/((1/1000)*(up_Irr!T17+up_Irr!BP17)),IF(AND(up_Irr!T17=".",up_Irr!AR17&lt;&gt;".",up_Irr!BP17&lt;&gt;"."),up_dir!AT17/((1/1000)*(up_Irr!AR17+up_Irr!BP17)),IF(AND(up_Irr!T17=".",up_Irr!AR17=".",up_Irr!BP17&lt;&gt;"."),up_dir!AT17/((1/1000)*(up_Irr!BP17)),IF(AND(up_Irr!T17=".",up_Irr!AR17&lt;&gt;".",up_Irr!BP17="."),up_dir!AT17/((1/1000)*(up_Irr!AR17)),IF(AND(up_Irr!T17&lt;&gt;".",up_Irr!AR17=".",up_Irr!BP17="."),up_dir!AT17/((1/1000)*(up_Irr!T17)),IF(AND(up_Irr!T17=".",up_Irr!AR17=".",up_Irr!BP17="."),up_dir!AT17*1000)))))))),".")</f>
        <v>7.2351016258567334E-11</v>
      </c>
      <c r="BT17" s="76">
        <f>IFERROR(IF(AND(up_Irr!U17&lt;&gt;".",up_Irr!AS17&lt;&gt;".",up_Irr!BQ17&lt;&gt;"."),up_dir!AU17/((1/1000)*(up_Irr!U17+up_Irr!AS17+up_Irr!BQ17)),IF(AND(up_Irr!U17&lt;&gt;".",up_Irr!AS17&lt;&gt;".",up_Irr!BQ17="."),up_dir!AU17/((1/1000)*(up_Irr!U17+up_Irr!AS17)),IF(AND(up_Irr!U17&lt;&gt;".",up_Irr!AS17=".",up_Irr!BQ17&lt;&gt;"."),up_dir!AU17/((1/1000)*(up_Irr!U17+up_Irr!BQ17)),IF(AND(up_Irr!U17=".",up_Irr!AS17&lt;&gt;".",up_Irr!BQ17&lt;&gt;"."),up_dir!AU17/((1/1000)*(up_Irr!AS17+up_Irr!BQ17)),IF(AND(up_Irr!U17=".",up_Irr!AS17=".",up_Irr!BQ17&lt;&gt;"."),up_dir!AU17/((1/1000)*(up_Irr!BQ17)),IF(AND(up_Irr!U17=".",up_Irr!AS17&lt;&gt;".",up_Irr!BQ17="."),up_dir!AU17/((1/1000)*(up_Irr!AS17)),IF(AND(up_Irr!U17&lt;&gt;".",up_Irr!AS17=".",up_Irr!BQ17="."),up_dir!AU17/((1/1000)*(up_Irr!U17)),IF(AND(up_Irr!U17=".",up_Irr!AS17=".",up_Irr!BQ17="."),up_dir!AU17*1000)))))))),".")</f>
        <v>7.2351016258567334E-11</v>
      </c>
      <c r="BU17" s="76">
        <f>IFERROR(IF(AND(up_Irr!V17&lt;&gt;".",up_Irr!AT17&lt;&gt;".",up_Irr!BR17&lt;&gt;"."),up_dir!AV17/((1/1000)*(up_Irr!V17+up_Irr!AT17+up_Irr!BR17)),IF(AND(up_Irr!V17&lt;&gt;".",up_Irr!AT17&lt;&gt;".",up_Irr!BR17="."),up_dir!AV17/((1/1000)*(up_Irr!V17+up_Irr!AT17)),IF(AND(up_Irr!V17&lt;&gt;".",up_Irr!AT17=".",up_Irr!BR17&lt;&gt;"."),up_dir!AV17/((1/1000)*(up_Irr!V17+up_Irr!BR17)),IF(AND(up_Irr!V17=".",up_Irr!AT17&lt;&gt;".",up_Irr!BR17&lt;&gt;"."),up_dir!AV17/((1/1000)*(up_Irr!AT17+up_Irr!BR17)),IF(AND(up_Irr!V17=".",up_Irr!AT17=".",up_Irr!BR17&lt;&gt;"."),up_dir!AV17/((1/1000)*(up_Irr!BR17)),IF(AND(up_Irr!V17=".",up_Irr!AT17&lt;&gt;".",up_Irr!BR17="."),up_dir!AV17/((1/1000)*(up_Irr!AT17)),IF(AND(up_Irr!V17&lt;&gt;".",up_Irr!AT17=".",up_Irr!BR17="."),up_dir!AV17/((1/1000)*(up_Irr!V17)),IF(AND(up_Irr!V17=".",up_Irr!AT17=".",up_Irr!BR17="."),up_dir!AV17*1000)))))))),".")</f>
        <v>7.2351016258567334E-11</v>
      </c>
      <c r="BV17" s="76">
        <f>IFERROR(IF(AND(up_Irr!W17&lt;&gt;".",up_Irr!AU17&lt;&gt;".",up_Irr!BS17&lt;&gt;"."),up_dir!AW17/((1/1000)*(up_Irr!W17+up_Irr!AU17+up_Irr!BS17)),IF(AND(up_Irr!W17&lt;&gt;".",up_Irr!AU17&lt;&gt;".",up_Irr!BS17="."),up_dir!AW17/((1/1000)*(up_Irr!W17+up_Irr!AU17)),IF(AND(up_Irr!W17&lt;&gt;".",up_Irr!AU17=".",up_Irr!BS17&lt;&gt;"."),up_dir!AW17/((1/1000)*(up_Irr!W17+up_Irr!BS17)),IF(AND(up_Irr!W17=".",up_Irr!AU17&lt;&gt;".",up_Irr!BS17&lt;&gt;"."),up_dir!AW17/((1/1000)*(up_Irr!AU17+up_Irr!BS17)),IF(AND(up_Irr!W17=".",up_Irr!AU17=".",up_Irr!BS17&lt;&gt;"."),up_dir!AW17/((1/1000)*(up_Irr!BS17)),IF(AND(up_Irr!W17=".",up_Irr!AU17&lt;&gt;".",up_Irr!BS17="."),up_dir!AW17/((1/1000)*(up_Irr!AU17)),IF(AND(up_Irr!W17&lt;&gt;".",up_Irr!AU17=".",up_Irr!BS17="."),up_dir!AW17/((1/1000)*(up_Irr!W17)),IF(AND(up_Irr!W17=".",up_Irr!AU17=".",up_Irr!BS17="."),up_dir!AW17*1000)))))))),".")</f>
        <v>7.2351016258567334E-11</v>
      </c>
      <c r="BW17" s="76">
        <f>IFERROR(IF(AND(up_Irr!X17&lt;&gt;".",up_Irr!AV17&lt;&gt;".",up_Irr!BT17&lt;&gt;"."),up_dir!AX17/((1/1000)*(up_Irr!X17+up_Irr!AV17+up_Irr!BT17)),IF(AND(up_Irr!X17&lt;&gt;".",up_Irr!AV17&lt;&gt;".",up_Irr!BT17="."),up_dir!AX17/((1/1000)*(up_Irr!X17+up_Irr!AV17)),IF(AND(up_Irr!X17&lt;&gt;".",up_Irr!AV17=".",up_Irr!BT17&lt;&gt;"."),up_dir!AX17/((1/1000)*(up_Irr!X17+up_Irr!BT17)),IF(AND(up_Irr!X17=".",up_Irr!AV17&lt;&gt;".",up_Irr!BT17&lt;&gt;"."),up_dir!AX17/((1/1000)*(up_Irr!AV17+up_Irr!BT17)),IF(AND(up_Irr!X17=".",up_Irr!AV17=".",up_Irr!BT17&lt;&gt;"."),up_dir!AX17/((1/1000)*(up_Irr!BT17)),IF(AND(up_Irr!X17=".",up_Irr!AV17&lt;&gt;".",up_Irr!BT17="."),up_dir!AX17/((1/1000)*(up_Irr!AV17)),IF(AND(up_Irr!X17&lt;&gt;".",up_Irr!AV17=".",up_Irr!BT17="."),up_dir!AX17/((1/1000)*(up_Irr!X17)),IF(AND(up_Irr!X17=".",up_Irr!AV17=".",up_Irr!BT17="."),up_dir!AX17*1000)))))))),".")</f>
        <v>7.2351016258567334E-11</v>
      </c>
      <c r="BX17" s="76">
        <f>IFERROR(IF(AND(up_Irr!Y17&lt;&gt;".",up_Irr!AW17&lt;&gt;".",up_Irr!BU17&lt;&gt;"."),up_dir!AY17/((1/1000)*(up_Irr!Y17+up_Irr!AW17+up_Irr!BU17)),IF(AND(up_Irr!Y17&lt;&gt;".",up_Irr!AW17&lt;&gt;".",up_Irr!BU17="."),up_dir!AY17/((1/1000)*(up_Irr!Y17+up_Irr!AW17)),IF(AND(up_Irr!Y17&lt;&gt;".",up_Irr!AW17=".",up_Irr!BU17&lt;&gt;"."),up_dir!AY17/((1/1000)*(up_Irr!Y17+up_Irr!BU17)),IF(AND(up_Irr!Y17=".",up_Irr!AW17&lt;&gt;".",up_Irr!BU17&lt;&gt;"."),up_dir!AY17/((1/1000)*(up_Irr!AW17+up_Irr!BU17)),IF(AND(up_Irr!Y17=".",up_Irr!AW17=".",up_Irr!BU17&lt;&gt;"."),up_dir!AY17/((1/1000)*(up_Irr!BU17)),IF(AND(up_Irr!Y17=".",up_Irr!AW17&lt;&gt;".",up_Irr!BU17="."),up_dir!AY17/((1/1000)*(up_Irr!AW17)),IF(AND(up_Irr!Y17&lt;&gt;".",up_Irr!AW17=".",up_Irr!BU17="."),up_dir!AY17/((1/1000)*(up_Irr!Y17)),IF(AND(up_Irr!Y17=".",up_Irr!AW17=".",up_Irr!BU17="."),up_dir!AY17*1000)))))))),".")</f>
        <v>7.2351016258567334E-11</v>
      </c>
      <c r="BY17" s="76">
        <f>IFERROR(IF(AND(up_Irr!Z17&lt;&gt;".",up_Irr!AX17&lt;&gt;".",up_Irr!BV17&lt;&gt;"."),up_dir!AZ17/((1/1000)*(up_Irr!Z17+up_Irr!AX17+up_Irr!BV17)),IF(AND(up_Irr!Z17&lt;&gt;".",up_Irr!AX17&lt;&gt;".",up_Irr!BV17="."),up_dir!AZ17/((1/1000)*(up_Irr!Z17+up_Irr!AX17)),IF(AND(up_Irr!Z17&lt;&gt;".",up_Irr!AX17=".",up_Irr!BV17&lt;&gt;"."),up_dir!AZ17/((1/1000)*(up_Irr!Z17+up_Irr!BV17)),IF(AND(up_Irr!Z17=".",up_Irr!AX17&lt;&gt;".",up_Irr!BV17&lt;&gt;"."),up_dir!AZ17/((1/1000)*(up_Irr!AX17+up_Irr!BV17)),IF(AND(up_Irr!Z17=".",up_Irr!AX17=".",up_Irr!BV17&lt;&gt;"."),up_dir!AZ17/((1/1000)*(up_Irr!BV17)),IF(AND(up_Irr!Z17=".",up_Irr!AX17&lt;&gt;".",up_Irr!BV17="."),up_dir!AZ17/((1/1000)*(up_Irr!AX17)),IF(AND(up_Irr!Z17&lt;&gt;".",up_Irr!AX17=".",up_Irr!BV17="."),up_dir!AZ17/((1/1000)*(up_Irr!Z17)),IF(AND(up_Irr!Z17=".",up_Irr!AX17=".",up_Irr!BV17="."),up_dir!AZ17*1000)))))))),".")</f>
        <v>7.2351016258567334E-11</v>
      </c>
      <c r="BZ17" s="93">
        <f>SUM(CA17:CB17,CW17:CX17)</f>
        <v>55286.023705663516</v>
      </c>
      <c r="CA17" s="93">
        <f>IFERROR(s_C*s_IFAP_far_adj*s_CF_apple*(1/1000)*(up_Irr!C17+up_Irr!AA17+up_Irr!AY17),".")</f>
        <v>13821.505926415879</v>
      </c>
      <c r="CB17" s="93">
        <f>IFERROR(s_C*s_IFAS_far_adj*s_CF_asparagus*(1/1000)*(up_Irr!D17+up_Irr!AB17+up_Irr!AZ17),".")</f>
        <v>13821.505926415879</v>
      </c>
      <c r="CC17" s="93">
        <f>IFERROR(s_C*s_IFBT_far_adj*s_CF_beet*(1/1000)*(up_Irr!E17+up_Irr!AC17+up_Irr!BA17),".")</f>
        <v>13821.505926415879</v>
      </c>
      <c r="CD17" s="93">
        <f>IFERROR(s_C*s_IFBE_far_adj*s_CF_berries*(1/1000)*(up_Irr!F17+up_Irr!AD17+up_Irr!BB17),".")</f>
        <v>13821.505926415879</v>
      </c>
      <c r="CE17" s="93">
        <f>IFERROR(s_C*s_IFBR_far_adj*s_CF_broccoli*(1/1000)*(up_Irr!G17+up_Irr!AE17+up_Irr!BC17),".")</f>
        <v>13821.505926415879</v>
      </c>
      <c r="CF17" s="93">
        <f>IFERROR(s_C*s_IFCB_far_adj*s_CF_cabbage*(1/1000)*(up_Irr!H17+up_Irr!AF17+up_Irr!BD17),".")</f>
        <v>13821.505926415879</v>
      </c>
      <c r="CG17" s="93">
        <f>IFERROR(s_C*s_IFCR_far_adj*s_CF_carrot*(1/1000)*(up_Irr!I17+up_Irr!AG17+up_Irr!BE17),".")</f>
        <v>13821.505926415879</v>
      </c>
      <c r="CH17" s="93">
        <f>IFERROR(s_C*s_IFCI_far_adj*s_CF_citrus*(1/1000)*(up_Irr!J17+up_Irr!AH17+up_Irr!BF17),".")</f>
        <v>13821.505926415879</v>
      </c>
      <c r="CI17" s="93">
        <f>IFERROR(s_C*s_IFCO_far_adj*s_CF_corn*(1/1000)*(up_Irr!K17+up_Irr!AI17+up_Irr!BG17),".")</f>
        <v>13821.505926415879</v>
      </c>
      <c r="CJ17" s="93">
        <f>IFERROR(s_C*s_IFCU_far_adj*s_CF_cucumber*(1/1000)*(up_Irr!L17+up_Irr!AJ17+up_Irr!BH17),".")</f>
        <v>13821.505926415879</v>
      </c>
      <c r="CK17" s="93">
        <f>IFERROR(s_C*s_IFLE_far_adj*s_CF_lettuce*(1/1000)*(up_Irr!M17+up_Irr!AK17+up_Irr!BI17),".")</f>
        <v>13821.505926415879</v>
      </c>
      <c r="CL17" s="93">
        <f>IFERROR(s_C*s_IFLI_far_adj*s_CF_lima_bean*(1/1000)*(up_Irr!N17+up_Irr!AL17+up_Irr!BJ17),".")</f>
        <v>13821.505926415879</v>
      </c>
      <c r="CM17" s="93">
        <f>IFERROR(s_C*s_IFOK_far_adj*s_CF_okra*(1/1000)*(up_Irr!O17+up_Irr!AM17+up_Irr!BK17),".")</f>
        <v>13821.505926415879</v>
      </c>
      <c r="CN17" s="93">
        <f>IFERROR(s_C*s_IFON_far_adj*s_CF_onion*(1/1000)*(up_Irr!P17+up_Irr!AN17+up_Irr!BL17),".")</f>
        <v>13821.505926415879</v>
      </c>
      <c r="CO17" s="93">
        <f>IFERROR(s_C*s_IFPC_far_adj*s_CF_peach*(1/1000)*(up_Irr!Q17+up_Irr!AO17+up_Irr!BM17),".")</f>
        <v>13821.505926415879</v>
      </c>
      <c r="CP17" s="93">
        <f>IFERROR(s_C*s_IFPR_far_adj*s_CF_pear*(1/1000)*(up_Irr!R17+up_Irr!AP17+up_Irr!BN17),".")</f>
        <v>13821.505926415879</v>
      </c>
      <c r="CQ17" s="93">
        <f>IFERROR(s_C*s_IFPE_far_adj*s_CF_peas*(1/1000)*(up_Irr!S17+up_Irr!AQ17+up_Irr!BO17),".")</f>
        <v>13821.505926415879</v>
      </c>
      <c r="CR17" s="93">
        <f>IFERROR(s_C*s_IFPT_far_adj*s_CF_potato*(1/1000)*(up_Irr!T17+up_Irr!AR17+up_Irr!BP17),".")</f>
        <v>13821.505926415879</v>
      </c>
      <c r="CS17" s="93">
        <f>IFERROR(s_C*s_IFPU_far_adj*s_CF_pumpkin*(1/1000)*(up_Irr!U17+up_Irr!AS17+up_Irr!BQ17),".")</f>
        <v>13821.505926415879</v>
      </c>
      <c r="CT17" s="93">
        <f>IFERROR(s_C*s_IFSN_far_adj*s_CF_snap_bean*(1/1000)*(up_Irr!V17+up_Irr!AT17+up_Irr!BR17),".")</f>
        <v>13821.505926415879</v>
      </c>
      <c r="CU17" s="93">
        <f>IFERROR(s_C*s_IFST_far_adj*s_CF_strawberry*(1/1000)*(up_Irr!W17+up_Irr!AU17+up_Irr!BS17),".")</f>
        <v>13821.505926415879</v>
      </c>
      <c r="CV17" s="93">
        <f>IFERROR(s_C*s_IFTO_far_adj*s_CF_tomato*(1/1000)*(up_Irr!X17+up_Irr!AV17+up_Irr!BT17),".")</f>
        <v>13821.505926415879</v>
      </c>
      <c r="CW17" s="93">
        <f>IFERROR(s_C*s_IFRI_far_adj*s_CF_rice*(1/1000)*(up_Irr!Y17+up_Irr!AW17+up_Irr!BU17),".")</f>
        <v>13821.505926415879</v>
      </c>
      <c r="CX17" s="93">
        <f>IFERROR(s_C*s_IFCG_far_adj*s_CF_cereal*(1/1000)*(up_Irr!Z17+up_Irr!AX17+up_Irr!BV17),".")</f>
        <v>13821.505926415879</v>
      </c>
    </row>
    <row r="18" spans="1:102" ht="15" customHeight="1" x14ac:dyDescent="0.25">
      <c r="A18" s="92" t="s">
        <v>28</v>
      </c>
      <c r="B18" s="90" t="s">
        <v>1074</v>
      </c>
      <c r="C18" s="76">
        <f t="shared" si="0"/>
        <v>1.8087754064641833E-11</v>
      </c>
      <c r="D18" s="76">
        <f>IFERROR(IF(AND(up_Irr!C18&lt;&gt;".",up_Irr!AA18&lt;&gt;".",up_Irr!AY18&lt;&gt;"."),up_dir!D18/((1/1000)*(up_Irr!C18+up_Irr!AA18+up_Irr!AY18)),IF(AND(up_Irr!C18&lt;&gt;".",up_Irr!AA18&lt;&gt;".",up_Irr!AY18="."),up_dir!D18/((1/1000)*(up_Irr!C18+up_Irr!AA18)),IF(AND(up_Irr!C18&lt;&gt;".",up_Irr!AA18=".",up_Irr!AY18&lt;&gt;"."),up_dir!D18/((1/1000)*(up_Irr!C18+up_Irr!AY18)),IF(AND(up_Irr!C18=".",up_Irr!AA18&lt;&gt;".",up_Irr!AY18&lt;&gt;"."),up_dir!D18/((1/1000)*(up_Irr!AA18+up_Irr!AY18)),IF(AND(up_Irr!C18=".",up_Irr!AA18=".",up_Irr!AY18&lt;&gt;"."),up_dir!D18/((1/1000)*(up_Irr!AY18)),IF(AND(up_Irr!C18=".",up_Irr!AA18&lt;&gt;".",up_Irr!AY18="."),up_dir!D18/((1/1000)*(up_Irr!AA18)),IF(AND(up_Irr!C18&lt;&gt;".",up_Irr!AA18=".",up_Irr!AY18="."),up_dir!D18/((1/1000)*(up_Irr!C18)),IF(AND(up_Irr!C18=".",up_Irr!AA18=".",up_Irr!AY18="."),up_dir!D18*1000)))))))),".")</f>
        <v>7.2351016258567334E-11</v>
      </c>
      <c r="E18" s="76">
        <f>IFERROR(IF(AND(up_Irr!D18&lt;&gt;".",up_Irr!AB18&lt;&gt;".",up_Irr!AZ18&lt;&gt;"."),up_dir!E18/((1/1000)*(up_Irr!D18+up_Irr!AB18+up_Irr!AZ18)),IF(AND(up_Irr!D18&lt;&gt;".",up_Irr!AB18&lt;&gt;".",up_Irr!AZ18="."),up_dir!E18/((1/1000)*(up_Irr!D18+up_Irr!AB18)),IF(AND(up_Irr!D18&lt;&gt;".",up_Irr!AB18=".",up_Irr!AZ18&lt;&gt;"."),up_dir!E18/((1/1000)*(up_Irr!D18+up_Irr!AZ18)),IF(AND(up_Irr!D18=".",up_Irr!AB18&lt;&gt;".",up_Irr!AZ18&lt;&gt;"."),up_dir!E18/((1/1000)*(up_Irr!AB18+up_Irr!AZ18)),IF(AND(up_Irr!D18=".",up_Irr!AB18=".",up_Irr!AZ18&lt;&gt;"."),up_dir!E18/((1/1000)*(up_Irr!AZ18)),IF(AND(up_Irr!D18=".",up_Irr!AB18&lt;&gt;".",up_Irr!AZ18="."),up_dir!E18/((1/1000)*(up_Irr!AB18)),IF(AND(up_Irr!D18&lt;&gt;".",up_Irr!AB18=".",up_Irr!AZ18="."),up_dir!E18/((1/1000)*(up_Irr!D18)),IF(AND(up_Irr!D18=".",up_Irr!AB18=".",up_Irr!AZ18="."),up_dir!E18*1000)))))))),".")</f>
        <v>7.2351016258567334E-11</v>
      </c>
      <c r="F18" s="76">
        <f>IFERROR(IF(AND(up_Irr!E18&lt;&gt;".",up_Irr!AC18&lt;&gt;".",up_Irr!BA18&lt;&gt;"."),up_dir!F18/((1/1000)*(up_Irr!E18+up_Irr!AC18+up_Irr!BA18)),IF(AND(up_Irr!E18&lt;&gt;".",up_Irr!AC18&lt;&gt;".",up_Irr!BA18="."),up_dir!F18/((1/1000)*(up_Irr!E18+up_Irr!AC18)),IF(AND(up_Irr!E18&lt;&gt;".",up_Irr!AC18=".",up_Irr!BA18&lt;&gt;"."),up_dir!F18/((1/1000)*(up_Irr!E18+up_Irr!BA18)),IF(AND(up_Irr!E18=".",up_Irr!AC18&lt;&gt;".",up_Irr!BA18&lt;&gt;"."),up_dir!F18/((1/1000)*(up_Irr!AC18+up_Irr!BA18)),IF(AND(up_Irr!E18=".",up_Irr!AC18=".",up_Irr!BA18&lt;&gt;"."),up_dir!F18/((1/1000)*(up_Irr!BA18)),IF(AND(up_Irr!E18=".",up_Irr!AC18&lt;&gt;".",up_Irr!BA18="."),up_dir!F18/((1/1000)*(up_Irr!AC18)),IF(AND(up_Irr!E18&lt;&gt;".",up_Irr!AC18=".",up_Irr!BA18="."),up_dir!F18/((1/1000)*(up_Irr!E18)),IF(AND(up_Irr!E18=".",up_Irr!AC18=".",up_Irr!BA18="."),up_dir!F18*1000)))))))),".")</f>
        <v>7.2351016258567334E-11</v>
      </c>
      <c r="G18" s="76">
        <f>IFERROR(IF(AND(up_Irr!F18&lt;&gt;".",up_Irr!AD18&lt;&gt;".",up_Irr!BB18&lt;&gt;"."),up_dir!G18/((1/1000)*(up_Irr!F18+up_Irr!AD18+up_Irr!BB18)),IF(AND(up_Irr!F18&lt;&gt;".",up_Irr!AD18&lt;&gt;".",up_Irr!BB18="."),up_dir!G18/((1/1000)*(up_Irr!F18+up_Irr!AD18)),IF(AND(up_Irr!F18&lt;&gt;".",up_Irr!AD18=".",up_Irr!BB18&lt;&gt;"."),up_dir!G18/((1/1000)*(up_Irr!F18+up_Irr!BB18)),IF(AND(up_Irr!F18=".",up_Irr!AD18&lt;&gt;".",up_Irr!BB18&lt;&gt;"."),up_dir!G18/((1/1000)*(up_Irr!AD18+up_Irr!BB18)),IF(AND(up_Irr!F18=".",up_Irr!AD18=".",up_Irr!BB18&lt;&gt;"."),up_dir!G18/((1/1000)*(up_Irr!BB18)),IF(AND(up_Irr!F18=".",up_Irr!AD18&lt;&gt;".",up_Irr!BB18="."),up_dir!G18/((1/1000)*(up_Irr!AD18)),IF(AND(up_Irr!F18&lt;&gt;".",up_Irr!AD18=".",up_Irr!BB18="."),up_dir!G18/((1/1000)*(up_Irr!F18)),IF(AND(up_Irr!F18=".",up_Irr!AD18=".",up_Irr!BB18="."),up_dir!G18*1000)))))))),".")</f>
        <v>7.2351016258567334E-11</v>
      </c>
      <c r="H18" s="76">
        <f>IFERROR(IF(AND(up_Irr!G18&lt;&gt;".",up_Irr!AE18&lt;&gt;".",up_Irr!BC18&lt;&gt;"."),up_dir!H18/((1/1000)*(up_Irr!G18+up_Irr!AE18+up_Irr!BC18)),IF(AND(up_Irr!G18&lt;&gt;".",up_Irr!AE18&lt;&gt;".",up_Irr!BC18="."),up_dir!H18/((1/1000)*(up_Irr!G18+up_Irr!AE18)),IF(AND(up_Irr!G18&lt;&gt;".",up_Irr!AE18=".",up_Irr!BC18&lt;&gt;"."),up_dir!H18/((1/1000)*(up_Irr!G18+up_Irr!BC18)),IF(AND(up_Irr!G18=".",up_Irr!AE18&lt;&gt;".",up_Irr!BC18&lt;&gt;"."),up_dir!H18/((1/1000)*(up_Irr!AE18+up_Irr!BC18)),IF(AND(up_Irr!G18=".",up_Irr!AE18=".",up_Irr!BC18&lt;&gt;"."),up_dir!H18/((1/1000)*(up_Irr!BC18)),IF(AND(up_Irr!G18=".",up_Irr!AE18&lt;&gt;".",up_Irr!BC18="."),up_dir!H18/((1/1000)*(up_Irr!AE18)),IF(AND(up_Irr!G18&lt;&gt;".",up_Irr!AE18=".",up_Irr!BC18="."),up_dir!H18/((1/1000)*(up_Irr!G18)),IF(AND(up_Irr!G18=".",up_Irr!AE18=".",up_Irr!BC18="."),up_dir!H18*1000)))))))),".")</f>
        <v>7.2351016258567334E-11</v>
      </c>
      <c r="I18" s="76">
        <f>IFERROR(IF(AND(up_Irr!H18&lt;&gt;".",up_Irr!AF18&lt;&gt;".",up_Irr!BD18&lt;&gt;"."),up_dir!I18/((1/1000)*(up_Irr!H18+up_Irr!AF18+up_Irr!BD18)),IF(AND(up_Irr!H18&lt;&gt;".",up_Irr!AF18&lt;&gt;".",up_Irr!BD18="."),up_dir!I18/((1/1000)*(up_Irr!H18+up_Irr!AF18)),IF(AND(up_Irr!H18&lt;&gt;".",up_Irr!AF18=".",up_Irr!BD18&lt;&gt;"."),up_dir!I18/((1/1000)*(up_Irr!H18+up_Irr!BD18)),IF(AND(up_Irr!H18=".",up_Irr!AF18&lt;&gt;".",up_Irr!BD18&lt;&gt;"."),up_dir!I18/((1/1000)*(up_Irr!AF18+up_Irr!BD18)),IF(AND(up_Irr!H18=".",up_Irr!AF18=".",up_Irr!BD18&lt;&gt;"."),up_dir!I18/((1/1000)*(up_Irr!BD18)),IF(AND(up_Irr!H18=".",up_Irr!AF18&lt;&gt;".",up_Irr!BD18="."),up_dir!I18/((1/1000)*(up_Irr!AF18)),IF(AND(up_Irr!H18&lt;&gt;".",up_Irr!AF18=".",up_Irr!BD18="."),up_dir!I18/((1/1000)*(up_Irr!H18)),IF(AND(up_Irr!H18=".",up_Irr!AF18=".",up_Irr!BD18="."),up_dir!I18*1000)))))))),".")</f>
        <v>7.2351016258567334E-11</v>
      </c>
      <c r="J18" s="76">
        <f>IFERROR(IF(AND(up_Irr!I18&lt;&gt;".",up_Irr!AG18&lt;&gt;".",up_Irr!BE18&lt;&gt;"."),up_dir!J18/((1/1000)*(up_Irr!I18+up_Irr!AG18+up_Irr!BE18)),IF(AND(up_Irr!I18&lt;&gt;".",up_Irr!AG18&lt;&gt;".",up_Irr!BE18="."),up_dir!J18/((1/1000)*(up_Irr!I18+up_Irr!AG18)),IF(AND(up_Irr!I18&lt;&gt;".",up_Irr!AG18=".",up_Irr!BE18&lt;&gt;"."),up_dir!J18/((1/1000)*(up_Irr!I18+up_Irr!BE18)),IF(AND(up_Irr!I18=".",up_Irr!AG18&lt;&gt;".",up_Irr!BE18&lt;&gt;"."),up_dir!J18/((1/1000)*(up_Irr!AG18+up_Irr!BE18)),IF(AND(up_Irr!I18=".",up_Irr!AG18=".",up_Irr!BE18&lt;&gt;"."),up_dir!J18/((1/1000)*(up_Irr!BE18)),IF(AND(up_Irr!I18=".",up_Irr!AG18&lt;&gt;".",up_Irr!BE18="."),up_dir!J18/((1/1000)*(up_Irr!AG18)),IF(AND(up_Irr!I18&lt;&gt;".",up_Irr!AG18=".",up_Irr!BE18="."),up_dir!J18/((1/1000)*(up_Irr!I18)),IF(AND(up_Irr!I18=".",up_Irr!AG18=".",up_Irr!BE18="."),up_dir!J18*1000)))))))),".")</f>
        <v>7.2351016258567334E-11</v>
      </c>
      <c r="K18" s="76">
        <f>IFERROR(IF(AND(up_Irr!J18&lt;&gt;".",up_Irr!AH18&lt;&gt;".",up_Irr!BF18&lt;&gt;"."),up_dir!K18/((1/1000)*(up_Irr!J18+up_Irr!AH18+up_Irr!BF18)),IF(AND(up_Irr!J18&lt;&gt;".",up_Irr!AH18&lt;&gt;".",up_Irr!BF18="."),up_dir!K18/((1/1000)*(up_Irr!J18+up_Irr!AH18)),IF(AND(up_Irr!J18&lt;&gt;".",up_Irr!AH18=".",up_Irr!BF18&lt;&gt;"."),up_dir!K18/((1/1000)*(up_Irr!J18+up_Irr!BF18)),IF(AND(up_Irr!J18=".",up_Irr!AH18&lt;&gt;".",up_Irr!BF18&lt;&gt;"."),up_dir!K18/((1/1000)*(up_Irr!AH18+up_Irr!BF18)),IF(AND(up_Irr!J18=".",up_Irr!AH18=".",up_Irr!BF18&lt;&gt;"."),up_dir!K18/((1/1000)*(up_Irr!BF18)),IF(AND(up_Irr!J18=".",up_Irr!AH18&lt;&gt;".",up_Irr!BF18="."),up_dir!K18/((1/1000)*(up_Irr!AH18)),IF(AND(up_Irr!J18&lt;&gt;".",up_Irr!AH18=".",up_Irr!BF18="."),up_dir!K18/((1/1000)*(up_Irr!J18)),IF(AND(up_Irr!J18=".",up_Irr!AH18=".",up_Irr!BF18="."),up_dir!K18*1000)))))))),".")</f>
        <v>7.2351016258567334E-11</v>
      </c>
      <c r="L18" s="76">
        <f>IFERROR(IF(AND(up_Irr!K18&lt;&gt;".",up_Irr!AI18&lt;&gt;".",up_Irr!BG18&lt;&gt;"."),up_dir!L18/((1/1000)*(up_Irr!K18+up_Irr!AI18+up_Irr!BG18)),IF(AND(up_Irr!K18&lt;&gt;".",up_Irr!AI18&lt;&gt;".",up_Irr!BG18="."),up_dir!L18/((1/1000)*(up_Irr!K18+up_Irr!AI18)),IF(AND(up_Irr!K18&lt;&gt;".",up_Irr!AI18=".",up_Irr!BG18&lt;&gt;"."),up_dir!L18/((1/1000)*(up_Irr!K18+up_Irr!BG18)),IF(AND(up_Irr!K18=".",up_Irr!AI18&lt;&gt;".",up_Irr!BG18&lt;&gt;"."),up_dir!L18/((1/1000)*(up_Irr!AI18+up_Irr!BG18)),IF(AND(up_Irr!K18=".",up_Irr!AI18=".",up_Irr!BG18&lt;&gt;"."),up_dir!L18/((1/1000)*(up_Irr!BG18)),IF(AND(up_Irr!K18=".",up_Irr!AI18&lt;&gt;".",up_Irr!BG18="."),up_dir!L18/((1/1000)*(up_Irr!AI18)),IF(AND(up_Irr!K18&lt;&gt;".",up_Irr!AI18=".",up_Irr!BG18="."),up_dir!L18/((1/1000)*(up_Irr!K18)),IF(AND(up_Irr!K18=".",up_Irr!AI18=".",up_Irr!BG18="."),up_dir!L18*1000)))))))),".")</f>
        <v>7.2351016258567334E-11</v>
      </c>
      <c r="M18" s="76">
        <f>IFERROR(IF(AND(up_Irr!L18&lt;&gt;".",up_Irr!AJ18&lt;&gt;".",up_Irr!BH18&lt;&gt;"."),up_dir!M18/((1/1000)*(up_Irr!L18+up_Irr!AJ18+up_Irr!BH18)),IF(AND(up_Irr!L18&lt;&gt;".",up_Irr!AJ18&lt;&gt;".",up_Irr!BH18="."),up_dir!M18/((1/1000)*(up_Irr!L18+up_Irr!AJ18)),IF(AND(up_Irr!L18&lt;&gt;".",up_Irr!AJ18=".",up_Irr!BH18&lt;&gt;"."),up_dir!M18/((1/1000)*(up_Irr!L18+up_Irr!BH18)),IF(AND(up_Irr!L18=".",up_Irr!AJ18&lt;&gt;".",up_Irr!BH18&lt;&gt;"."),up_dir!M18/((1/1000)*(up_Irr!AJ18+up_Irr!BH18)),IF(AND(up_Irr!L18=".",up_Irr!AJ18=".",up_Irr!BH18&lt;&gt;"."),up_dir!M18/((1/1000)*(up_Irr!BH18)),IF(AND(up_Irr!L18=".",up_Irr!AJ18&lt;&gt;".",up_Irr!BH18="."),up_dir!M18/((1/1000)*(up_Irr!AJ18)),IF(AND(up_Irr!L18&lt;&gt;".",up_Irr!AJ18=".",up_Irr!BH18="."),up_dir!M18/((1/1000)*(up_Irr!L18)),IF(AND(up_Irr!L18=".",up_Irr!AJ18=".",up_Irr!BH18="."),up_dir!M18*1000)))))))),".")</f>
        <v>7.2351016258567334E-11</v>
      </c>
      <c r="N18" s="76">
        <f>IFERROR(IF(AND(up_Irr!M18&lt;&gt;".",up_Irr!AK18&lt;&gt;".",up_Irr!BI18&lt;&gt;"."),up_dir!N18/((1/1000)*(up_Irr!M18+up_Irr!AK18+up_Irr!BI18)),IF(AND(up_Irr!M18&lt;&gt;".",up_Irr!AK18&lt;&gt;".",up_Irr!BI18="."),up_dir!N18/((1/1000)*(up_Irr!M18+up_Irr!AK18)),IF(AND(up_Irr!M18&lt;&gt;".",up_Irr!AK18=".",up_Irr!BI18&lt;&gt;"."),up_dir!N18/((1/1000)*(up_Irr!M18+up_Irr!BI18)),IF(AND(up_Irr!M18=".",up_Irr!AK18&lt;&gt;".",up_Irr!BI18&lt;&gt;"."),up_dir!N18/((1/1000)*(up_Irr!AK18+up_Irr!BI18)),IF(AND(up_Irr!M18=".",up_Irr!AK18=".",up_Irr!BI18&lt;&gt;"."),up_dir!N18/((1/1000)*(up_Irr!BI18)),IF(AND(up_Irr!M18=".",up_Irr!AK18&lt;&gt;".",up_Irr!BI18="."),up_dir!N18/((1/1000)*(up_Irr!AK18)),IF(AND(up_Irr!M18&lt;&gt;".",up_Irr!AK18=".",up_Irr!BI18="."),up_dir!N18/((1/1000)*(up_Irr!M18)),IF(AND(up_Irr!M18=".",up_Irr!AK18=".",up_Irr!BI18="."),up_dir!N18*1000)))))))),".")</f>
        <v>7.2351016258567334E-11</v>
      </c>
      <c r="O18" s="76">
        <f>IFERROR(IF(AND(up_Irr!N18&lt;&gt;".",up_Irr!AL18&lt;&gt;".",up_Irr!BJ18&lt;&gt;"."),up_dir!O18/((1/1000)*(up_Irr!N18+up_Irr!AL18+up_Irr!BJ18)),IF(AND(up_Irr!N18&lt;&gt;".",up_Irr!AL18&lt;&gt;".",up_Irr!BJ18="."),up_dir!O18/((1/1000)*(up_Irr!N18+up_Irr!AL18)),IF(AND(up_Irr!N18&lt;&gt;".",up_Irr!AL18=".",up_Irr!BJ18&lt;&gt;"."),up_dir!O18/((1/1000)*(up_Irr!N18+up_Irr!BJ18)),IF(AND(up_Irr!N18=".",up_Irr!AL18&lt;&gt;".",up_Irr!BJ18&lt;&gt;"."),up_dir!O18/((1/1000)*(up_Irr!AL18+up_Irr!BJ18)),IF(AND(up_Irr!N18=".",up_Irr!AL18=".",up_Irr!BJ18&lt;&gt;"."),up_dir!O18/((1/1000)*(up_Irr!BJ18)),IF(AND(up_Irr!N18=".",up_Irr!AL18&lt;&gt;".",up_Irr!BJ18="."),up_dir!O18/((1/1000)*(up_Irr!AL18)),IF(AND(up_Irr!N18&lt;&gt;".",up_Irr!AL18=".",up_Irr!BJ18="."),up_dir!O18/((1/1000)*(up_Irr!N18)),IF(AND(up_Irr!N18=".",up_Irr!AL18=".",up_Irr!BJ18="."),up_dir!O18*1000)))))))),".")</f>
        <v>7.2351016258567334E-11</v>
      </c>
      <c r="P18" s="76">
        <f>IFERROR(IF(AND(up_Irr!O18&lt;&gt;".",up_Irr!AM18&lt;&gt;".",up_Irr!BK18&lt;&gt;"."),up_dir!P18/((1/1000)*(up_Irr!O18+up_Irr!AM18+up_Irr!BK18)),IF(AND(up_Irr!O18&lt;&gt;".",up_Irr!AM18&lt;&gt;".",up_Irr!BK18="."),up_dir!P18/((1/1000)*(up_Irr!O18+up_Irr!AM18)),IF(AND(up_Irr!O18&lt;&gt;".",up_Irr!AM18=".",up_Irr!BK18&lt;&gt;"."),up_dir!P18/((1/1000)*(up_Irr!O18+up_Irr!BK18)),IF(AND(up_Irr!O18=".",up_Irr!AM18&lt;&gt;".",up_Irr!BK18&lt;&gt;"."),up_dir!P18/((1/1000)*(up_Irr!AM18+up_Irr!BK18)),IF(AND(up_Irr!O18=".",up_Irr!AM18=".",up_Irr!BK18&lt;&gt;"."),up_dir!P18/((1/1000)*(up_Irr!BK18)),IF(AND(up_Irr!O18=".",up_Irr!AM18&lt;&gt;".",up_Irr!BK18="."),up_dir!P18/((1/1000)*(up_Irr!AM18)),IF(AND(up_Irr!O18&lt;&gt;".",up_Irr!AM18=".",up_Irr!BK18="."),up_dir!P18/((1/1000)*(up_Irr!O18)),IF(AND(up_Irr!O18=".",up_Irr!AM18=".",up_Irr!BK18="."),up_dir!P18*1000)))))))),".")</f>
        <v>7.2351016258567334E-11</v>
      </c>
      <c r="Q18" s="76">
        <f>IFERROR(IF(AND(up_Irr!P18&lt;&gt;".",up_Irr!AN18&lt;&gt;".",up_Irr!BL18&lt;&gt;"."),up_dir!Q18/((1/1000)*(up_Irr!P18+up_Irr!AN18+up_Irr!BL18)),IF(AND(up_Irr!P18&lt;&gt;".",up_Irr!AN18&lt;&gt;".",up_Irr!BL18="."),up_dir!Q18/((1/1000)*(up_Irr!P18+up_Irr!AN18)),IF(AND(up_Irr!P18&lt;&gt;".",up_Irr!AN18=".",up_Irr!BL18&lt;&gt;"."),up_dir!Q18/((1/1000)*(up_Irr!P18+up_Irr!BL18)),IF(AND(up_Irr!P18=".",up_Irr!AN18&lt;&gt;".",up_Irr!BL18&lt;&gt;"."),up_dir!Q18/((1/1000)*(up_Irr!AN18+up_Irr!BL18)),IF(AND(up_Irr!P18=".",up_Irr!AN18=".",up_Irr!BL18&lt;&gt;"."),up_dir!Q18/((1/1000)*(up_Irr!BL18)),IF(AND(up_Irr!P18=".",up_Irr!AN18&lt;&gt;".",up_Irr!BL18="."),up_dir!Q18/((1/1000)*(up_Irr!AN18)),IF(AND(up_Irr!P18&lt;&gt;".",up_Irr!AN18=".",up_Irr!BL18="."),up_dir!Q18/((1/1000)*(up_Irr!P18)),IF(AND(up_Irr!P18=".",up_Irr!AN18=".",up_Irr!BL18="."),up_dir!Q18*1000)))))))),".")</f>
        <v>7.2351016258567334E-11</v>
      </c>
      <c r="R18" s="76">
        <f>IFERROR(IF(AND(up_Irr!Q18&lt;&gt;".",up_Irr!AO18&lt;&gt;".",up_Irr!BM18&lt;&gt;"."),up_dir!R18/((1/1000)*(up_Irr!Q18+up_Irr!AO18+up_Irr!BM18)),IF(AND(up_Irr!Q18&lt;&gt;".",up_Irr!AO18&lt;&gt;".",up_Irr!BM18="."),up_dir!R18/((1/1000)*(up_Irr!Q18+up_Irr!AO18)),IF(AND(up_Irr!Q18&lt;&gt;".",up_Irr!AO18=".",up_Irr!BM18&lt;&gt;"."),up_dir!R18/((1/1000)*(up_Irr!Q18+up_Irr!BM18)),IF(AND(up_Irr!Q18=".",up_Irr!AO18&lt;&gt;".",up_Irr!BM18&lt;&gt;"."),up_dir!R18/((1/1000)*(up_Irr!AO18+up_Irr!BM18)),IF(AND(up_Irr!Q18=".",up_Irr!AO18=".",up_Irr!BM18&lt;&gt;"."),up_dir!R18/((1/1000)*(up_Irr!BM18)),IF(AND(up_Irr!Q18=".",up_Irr!AO18&lt;&gt;".",up_Irr!BM18="."),up_dir!R18/((1/1000)*(up_Irr!AO18)),IF(AND(up_Irr!Q18&lt;&gt;".",up_Irr!AO18=".",up_Irr!BM18="."),up_dir!R18/((1/1000)*(up_Irr!Q18)),IF(AND(up_Irr!Q18=".",up_Irr!AO18=".",up_Irr!BM18="."),up_dir!R18*1000)))))))),".")</f>
        <v>7.2351016258567334E-11</v>
      </c>
      <c r="S18" s="76">
        <f>IFERROR(IF(AND(up_Irr!R18&lt;&gt;".",up_Irr!AP18&lt;&gt;".",up_Irr!BN18&lt;&gt;"."),up_dir!S18/((1/1000)*(up_Irr!R18+up_Irr!AP18+up_Irr!BN18)),IF(AND(up_Irr!R18&lt;&gt;".",up_Irr!AP18&lt;&gt;".",up_Irr!BN18="."),up_dir!S18/((1/1000)*(up_Irr!R18+up_Irr!AP18)),IF(AND(up_Irr!R18&lt;&gt;".",up_Irr!AP18=".",up_Irr!BN18&lt;&gt;"."),up_dir!S18/((1/1000)*(up_Irr!R18+up_Irr!BN18)),IF(AND(up_Irr!R18=".",up_Irr!AP18&lt;&gt;".",up_Irr!BN18&lt;&gt;"."),up_dir!S18/((1/1000)*(up_Irr!AP18+up_Irr!BN18)),IF(AND(up_Irr!R18=".",up_Irr!AP18=".",up_Irr!BN18&lt;&gt;"."),up_dir!S18/((1/1000)*(up_Irr!BN18)),IF(AND(up_Irr!R18=".",up_Irr!AP18&lt;&gt;".",up_Irr!BN18="."),up_dir!S18/((1/1000)*(up_Irr!AP18)),IF(AND(up_Irr!R18&lt;&gt;".",up_Irr!AP18=".",up_Irr!BN18="."),up_dir!S18/((1/1000)*(up_Irr!R18)),IF(AND(up_Irr!R18=".",up_Irr!AP18=".",up_Irr!BN18="."),up_dir!S18*1000)))))))),".")</f>
        <v>7.2351016258567334E-11</v>
      </c>
      <c r="T18" s="76">
        <f>IFERROR(IF(AND(up_Irr!S18&lt;&gt;".",up_Irr!AQ18&lt;&gt;".",up_Irr!BO18&lt;&gt;"."),up_dir!T18/((1/1000)*(up_Irr!S18+up_Irr!AQ18+up_Irr!BO18)),IF(AND(up_Irr!S18&lt;&gt;".",up_Irr!AQ18&lt;&gt;".",up_Irr!BO18="."),up_dir!T18/((1/1000)*(up_Irr!S18+up_Irr!AQ18)),IF(AND(up_Irr!S18&lt;&gt;".",up_Irr!AQ18=".",up_Irr!BO18&lt;&gt;"."),up_dir!T18/((1/1000)*(up_Irr!S18+up_Irr!BO18)),IF(AND(up_Irr!S18=".",up_Irr!AQ18&lt;&gt;".",up_Irr!BO18&lt;&gt;"."),up_dir!T18/((1/1000)*(up_Irr!AQ18+up_Irr!BO18)),IF(AND(up_Irr!S18=".",up_Irr!AQ18=".",up_Irr!BO18&lt;&gt;"."),up_dir!T18/((1/1000)*(up_Irr!BO18)),IF(AND(up_Irr!S18=".",up_Irr!AQ18&lt;&gt;".",up_Irr!BO18="."),up_dir!T18/((1/1000)*(up_Irr!AQ18)),IF(AND(up_Irr!S18&lt;&gt;".",up_Irr!AQ18=".",up_Irr!BO18="."),up_dir!T18/((1/1000)*(up_Irr!S18)),IF(AND(up_Irr!S18=".",up_Irr!AQ18=".",up_Irr!BO18="."),up_dir!T18*1000)))))))),".")</f>
        <v>7.2351016258567334E-11</v>
      </c>
      <c r="U18" s="76">
        <f>IFERROR(IF(AND(up_Irr!T18&lt;&gt;".",up_Irr!AR18&lt;&gt;".",up_Irr!BP18&lt;&gt;"."),up_dir!U18/((1/1000)*(up_Irr!T18+up_Irr!AR18+up_Irr!BP18)),IF(AND(up_Irr!T18&lt;&gt;".",up_Irr!AR18&lt;&gt;".",up_Irr!BP18="."),up_dir!U18/((1/1000)*(up_Irr!T18+up_Irr!AR18)),IF(AND(up_Irr!T18&lt;&gt;".",up_Irr!AR18=".",up_Irr!BP18&lt;&gt;"."),up_dir!U18/((1/1000)*(up_Irr!T18+up_Irr!BP18)),IF(AND(up_Irr!T18=".",up_Irr!AR18&lt;&gt;".",up_Irr!BP18&lt;&gt;"."),up_dir!U18/((1/1000)*(up_Irr!AR18+up_Irr!BP18)),IF(AND(up_Irr!T18=".",up_Irr!AR18=".",up_Irr!BP18&lt;&gt;"."),up_dir!U18/((1/1000)*(up_Irr!BP18)),IF(AND(up_Irr!T18=".",up_Irr!AR18&lt;&gt;".",up_Irr!BP18="."),up_dir!U18/((1/1000)*(up_Irr!AR18)),IF(AND(up_Irr!T18&lt;&gt;".",up_Irr!AR18=".",up_Irr!BP18="."),up_dir!U18/((1/1000)*(up_Irr!T18)),IF(AND(up_Irr!T18=".",up_Irr!AR18=".",up_Irr!BP18="."),up_dir!U18*1000)))))))),".")</f>
        <v>7.2351016258567334E-11</v>
      </c>
      <c r="V18" s="76">
        <f>IFERROR(IF(AND(up_Irr!U18&lt;&gt;".",up_Irr!AS18&lt;&gt;".",up_Irr!BQ18&lt;&gt;"."),up_dir!V18/((1/1000)*(up_Irr!U18+up_Irr!AS18+up_Irr!BQ18)),IF(AND(up_Irr!U18&lt;&gt;".",up_Irr!AS18&lt;&gt;".",up_Irr!BQ18="."),up_dir!V18/((1/1000)*(up_Irr!U18+up_Irr!AS18)),IF(AND(up_Irr!U18&lt;&gt;".",up_Irr!AS18=".",up_Irr!BQ18&lt;&gt;"."),up_dir!V18/((1/1000)*(up_Irr!U18+up_Irr!BQ18)),IF(AND(up_Irr!U18=".",up_Irr!AS18&lt;&gt;".",up_Irr!BQ18&lt;&gt;"."),up_dir!V18/((1/1000)*(up_Irr!AS18+up_Irr!BQ18)),IF(AND(up_Irr!U18=".",up_Irr!AS18=".",up_Irr!BQ18&lt;&gt;"."),up_dir!V18/((1/1000)*(up_Irr!BQ18)),IF(AND(up_Irr!U18=".",up_Irr!AS18&lt;&gt;".",up_Irr!BQ18="."),up_dir!V18/((1/1000)*(up_Irr!AS18)),IF(AND(up_Irr!U18&lt;&gt;".",up_Irr!AS18=".",up_Irr!BQ18="."),up_dir!V18/((1/1000)*(up_Irr!U18)),IF(AND(up_Irr!U18=".",up_Irr!AS18=".",up_Irr!BQ18="."),up_dir!V18*1000)))))))),".")</f>
        <v>7.2351016258567334E-11</v>
      </c>
      <c r="W18" s="76">
        <f>IFERROR(IF(AND(up_Irr!V18&lt;&gt;".",up_Irr!AT18&lt;&gt;".",up_Irr!BR18&lt;&gt;"."),up_dir!W18/((1/1000)*(up_Irr!V18+up_Irr!AT18+up_Irr!BR18)),IF(AND(up_Irr!V18&lt;&gt;".",up_Irr!AT18&lt;&gt;".",up_Irr!BR18="."),up_dir!W18/((1/1000)*(up_Irr!V18+up_Irr!AT18)),IF(AND(up_Irr!V18&lt;&gt;".",up_Irr!AT18=".",up_Irr!BR18&lt;&gt;"."),up_dir!W18/((1/1000)*(up_Irr!V18+up_Irr!BR18)),IF(AND(up_Irr!V18=".",up_Irr!AT18&lt;&gt;".",up_Irr!BR18&lt;&gt;"."),up_dir!W18/((1/1000)*(up_Irr!AT18+up_Irr!BR18)),IF(AND(up_Irr!V18=".",up_Irr!AT18=".",up_Irr!BR18&lt;&gt;"."),up_dir!W18/((1/1000)*(up_Irr!BR18)),IF(AND(up_Irr!V18=".",up_Irr!AT18&lt;&gt;".",up_Irr!BR18="."),up_dir!W18/((1/1000)*(up_Irr!AT18)),IF(AND(up_Irr!V18&lt;&gt;".",up_Irr!AT18=".",up_Irr!BR18="."),up_dir!W18/((1/1000)*(up_Irr!V18)),IF(AND(up_Irr!V18=".",up_Irr!AT18=".",up_Irr!BR18="."),up_dir!W18*1000)))))))),".")</f>
        <v>7.2351016258567334E-11</v>
      </c>
      <c r="X18" s="76">
        <f>IFERROR(IF(AND(up_Irr!W18&lt;&gt;".",up_Irr!AU18&lt;&gt;".",up_Irr!BS18&lt;&gt;"."),up_dir!X18/((1/1000)*(up_Irr!W18+up_Irr!AU18+up_Irr!BS18)),IF(AND(up_Irr!W18&lt;&gt;".",up_Irr!AU18&lt;&gt;".",up_Irr!BS18="."),up_dir!X18/((1/1000)*(up_Irr!W18+up_Irr!AU18)),IF(AND(up_Irr!W18&lt;&gt;".",up_Irr!AU18=".",up_Irr!BS18&lt;&gt;"."),up_dir!X18/((1/1000)*(up_Irr!W18+up_Irr!BS18)),IF(AND(up_Irr!W18=".",up_Irr!AU18&lt;&gt;".",up_Irr!BS18&lt;&gt;"."),up_dir!X18/((1/1000)*(up_Irr!AU18+up_Irr!BS18)),IF(AND(up_Irr!W18=".",up_Irr!AU18=".",up_Irr!BS18&lt;&gt;"."),up_dir!X18/((1/1000)*(up_Irr!BS18)),IF(AND(up_Irr!W18=".",up_Irr!AU18&lt;&gt;".",up_Irr!BS18="."),up_dir!X18/((1/1000)*(up_Irr!AU18)),IF(AND(up_Irr!W18&lt;&gt;".",up_Irr!AU18=".",up_Irr!BS18="."),up_dir!X18/((1/1000)*(up_Irr!W18)),IF(AND(up_Irr!W18=".",up_Irr!AU18=".",up_Irr!BS18="."),up_dir!X18*1000)))))))),".")</f>
        <v>7.2351016258567334E-11</v>
      </c>
      <c r="Y18" s="76">
        <f>IFERROR(IF(AND(up_Irr!X18&lt;&gt;".",up_Irr!AV18&lt;&gt;".",up_Irr!BT18&lt;&gt;"."),up_dir!Y18/((1/1000)*(up_Irr!X18+up_Irr!AV18+up_Irr!BT18)),IF(AND(up_Irr!X18&lt;&gt;".",up_Irr!AV18&lt;&gt;".",up_Irr!BT18="."),up_dir!Y18/((1/1000)*(up_Irr!X18+up_Irr!AV18)),IF(AND(up_Irr!X18&lt;&gt;".",up_Irr!AV18=".",up_Irr!BT18&lt;&gt;"."),up_dir!Y18/((1/1000)*(up_Irr!X18+up_Irr!BT18)),IF(AND(up_Irr!X18=".",up_Irr!AV18&lt;&gt;".",up_Irr!BT18&lt;&gt;"."),up_dir!Y18/((1/1000)*(up_Irr!AV18+up_Irr!BT18)),IF(AND(up_Irr!X18=".",up_Irr!AV18=".",up_Irr!BT18&lt;&gt;"."),up_dir!Y18/((1/1000)*(up_Irr!BT18)),IF(AND(up_Irr!X18=".",up_Irr!AV18&lt;&gt;".",up_Irr!BT18="."),up_dir!Y18/((1/1000)*(up_Irr!AV18)),IF(AND(up_Irr!X18&lt;&gt;".",up_Irr!AV18=".",up_Irr!BT18="."),up_dir!Y18/((1/1000)*(up_Irr!X18)),IF(AND(up_Irr!X18=".",up_Irr!AV18=".",up_Irr!BT18="."),up_dir!Y18*1000)))))))),".")</f>
        <v>7.2351016258567334E-11</v>
      </c>
      <c r="Z18" s="76">
        <f>IFERROR(IF(AND(up_Irr!Y18&lt;&gt;".",up_Irr!AW18&lt;&gt;".",up_Irr!BU18&lt;&gt;"."),up_dir!Z18/((1/1000)*(up_Irr!Y18+up_Irr!AW18+up_Irr!BU18)),IF(AND(up_Irr!Y18&lt;&gt;".",up_Irr!AW18&lt;&gt;".",up_Irr!BU18="."),up_dir!Z18/((1/1000)*(up_Irr!Y18+up_Irr!AW18)),IF(AND(up_Irr!Y18&lt;&gt;".",up_Irr!AW18=".",up_Irr!BU18&lt;&gt;"."),up_dir!Z18/((1/1000)*(up_Irr!Y18+up_Irr!BU18)),IF(AND(up_Irr!Y18=".",up_Irr!AW18&lt;&gt;".",up_Irr!BU18&lt;&gt;"."),up_dir!Z18/((1/1000)*(up_Irr!AW18+up_Irr!BU18)),IF(AND(up_Irr!Y18=".",up_Irr!AW18=".",up_Irr!BU18&lt;&gt;"."),up_dir!Z18/((1/1000)*(up_Irr!BU18)),IF(AND(up_Irr!Y18=".",up_Irr!AW18&lt;&gt;".",up_Irr!BU18="."),up_dir!Z18/((1/1000)*(up_Irr!AW18)),IF(AND(up_Irr!Y18&lt;&gt;".",up_Irr!AW18=".",up_Irr!BU18="."),up_dir!Z18/((1/1000)*(up_Irr!Y18)),IF(AND(up_Irr!Y18=".",up_Irr!AW18=".",up_Irr!BU18="."),up_dir!Z18*1000)))))))),".")</f>
        <v>7.2351016258567334E-11</v>
      </c>
      <c r="AA18" s="76">
        <f>IFERROR(IF(AND(up_Irr!Z18&lt;&gt;".",up_Irr!AX18&lt;&gt;".",up_Irr!BV18&lt;&gt;"."),up_dir!AA18/((1/1000)*(up_Irr!Z18+up_Irr!AX18+up_Irr!BV18)),IF(AND(up_Irr!Z18&lt;&gt;".",up_Irr!AX18&lt;&gt;".",up_Irr!BV18="."),up_dir!AA18/((1/1000)*(up_Irr!Z18+up_Irr!AX18)),IF(AND(up_Irr!Z18&lt;&gt;".",up_Irr!AX18=".",up_Irr!BV18&lt;&gt;"."),up_dir!AA18/((1/1000)*(up_Irr!Z18+up_Irr!BV18)),IF(AND(up_Irr!Z18=".",up_Irr!AX18&lt;&gt;".",up_Irr!BV18&lt;&gt;"."),up_dir!AA18/((1/1000)*(up_Irr!AX18+up_Irr!BV18)),IF(AND(up_Irr!Z18=".",up_Irr!AX18=".",up_Irr!BV18&lt;&gt;"."),up_dir!AA18/((1/1000)*(up_Irr!BV18)),IF(AND(up_Irr!Z18=".",up_Irr!AX18&lt;&gt;".",up_Irr!BV18="."),up_dir!AA18/((1/1000)*(up_Irr!AX18)),IF(AND(up_Irr!Z18&lt;&gt;".",up_Irr!AX18=".",up_Irr!BV18="."),up_dir!AA18/((1/1000)*(up_Irr!Z18)),IF(AND(up_Irr!Z18=".",up_Irr!AX18=".",up_Irr!BV18="."),up_dir!AA18*1000)))))))),".")</f>
        <v>7.2351016258567334E-11</v>
      </c>
      <c r="AB18" s="93">
        <f>SUM(AC18:AD18,AY18:AZ18)</f>
        <v>55286.023705663516</v>
      </c>
      <c r="AC18" s="93">
        <f>IFERROR(s_C*s_IFAP_res_adj*s_CF_apple*0.001*(up_Irr!C18+up_Irr!AA18+up_Irr!AY18),".")</f>
        <v>13821.505926415879</v>
      </c>
      <c r="AD18" s="93">
        <f>IFERROR(s_C*s_IFAS_res_adj*s_CF_asparagus*0.001*(up_Irr!D18+up_Irr!AB18+up_Irr!AZ18),".")</f>
        <v>13821.505926415879</v>
      </c>
      <c r="AE18" s="93">
        <f>IFERROR(s_C*s_IFBT_res_adj*s_CF_beet*0.001*(up_Irr!E18+up_Irr!AC18+up_Irr!BA18),".")</f>
        <v>13821.505926415879</v>
      </c>
      <c r="AF18" s="93">
        <f>IFERROR(s_C*s_IFBE_res_adj*s_CF_berries*0.001*(up_Irr!F18+up_Irr!AD18+up_Irr!BB18),".")</f>
        <v>13821.505926415879</v>
      </c>
      <c r="AG18" s="93">
        <f>IFERROR(s_C*s_IFBR_res_adj*s_CF_broccoli*0.001*(up_Irr!G18+up_Irr!AE18+up_Irr!BC18),".")</f>
        <v>13821.505926415879</v>
      </c>
      <c r="AH18" s="93">
        <f>IFERROR(s_C*s_IFCB_res_adj*s_CF_cabbage*0.001*(up_Irr!H18+up_Irr!AF18+up_Irr!BD18),".")</f>
        <v>13821.505926415879</v>
      </c>
      <c r="AI18" s="93">
        <f>IFERROR(s_C*s_IFCR_res_adj*s_CF_carrot*0.001*(up_Irr!I18+up_Irr!AG18+up_Irr!BE18),".")</f>
        <v>13821.505926415879</v>
      </c>
      <c r="AJ18" s="93">
        <f>IFERROR(s_C*s_IFCI_res_adj*s_CF_citrus*0.001*(up_Irr!J18+up_Irr!AH18+up_Irr!BF18),".")</f>
        <v>13821.505926415879</v>
      </c>
      <c r="AK18" s="93">
        <f>IFERROR(s_C*s_IFCO_res_adj*s_CF_corn*0.001*(up_Irr!K18+up_Irr!AI18+up_Irr!BG18),".")</f>
        <v>13821.505926415879</v>
      </c>
      <c r="AL18" s="93">
        <f>IFERROR(s_C*s_IFCU_res_adj*s_CF_cucumber*0.001*(up_Irr!L18+up_Irr!AJ18+up_Irr!BH18),".")</f>
        <v>13821.505926415879</v>
      </c>
      <c r="AM18" s="93">
        <f>IFERROR(s_C*s_IFLE_res_adj*s_CF_lettuce*0.001*(up_Irr!M18+up_Irr!AK18+up_Irr!BI18),".")</f>
        <v>13821.505926415879</v>
      </c>
      <c r="AN18" s="93">
        <f>IFERROR(s_C*s_IFLI_res_adj*s_CF_lima_bean*0.001*(up_Irr!N18+up_Irr!AL18+up_Irr!BJ18),".")</f>
        <v>13821.505926415879</v>
      </c>
      <c r="AO18" s="93">
        <f>IFERROR(s_C*s_IFOK_res_adj*s_CF_okra*0.001*(up_Irr!O18+up_Irr!AM18+up_Irr!BK18),".")</f>
        <v>13821.505926415879</v>
      </c>
      <c r="AP18" s="93">
        <f>IFERROR(s_C*s_IFON_res_adj*s_CF_onion*0.001*(up_Irr!P18+up_Irr!AN18+up_Irr!BL18),".")</f>
        <v>13821.505926415879</v>
      </c>
      <c r="AQ18" s="93">
        <f>IFERROR(s_C*s_IFPC_res_adj*s_CF_peach*0.001*(up_Irr!Q18+up_Irr!AO18+up_Irr!BM18),".")</f>
        <v>13821.505926415879</v>
      </c>
      <c r="AR18" s="93">
        <f>IFERROR(s_C*s_IFPR_res_adj*s_CF_pear*0.001*(up_Irr!R18+up_Irr!AP18+up_Irr!BN18),".")</f>
        <v>13821.505926415879</v>
      </c>
      <c r="AS18" s="93">
        <f>IFERROR(s_C*s_IFPE_res_adj*s_CF_peas*0.001*(up_Irr!S18+up_Irr!AQ18+up_Irr!BO18),".")</f>
        <v>13821.505926415879</v>
      </c>
      <c r="AT18" s="93">
        <f>IFERROR(s_C*s_IFPT_res_adj*s_CF_potato*0.001*(up_Irr!T18+up_Irr!AR18+up_Irr!BP18),".")</f>
        <v>13821.505926415879</v>
      </c>
      <c r="AU18" s="93">
        <f>IFERROR(s_C*s_IFPU_res_adj*s_CF_pumpkin*0.001*(up_Irr!U18+up_Irr!AS18+up_Irr!BQ18),".")</f>
        <v>13821.505926415879</v>
      </c>
      <c r="AV18" s="93">
        <f>IFERROR(s_C*s_IFSN_res_adj*s_CF_snap_bean*0.001*(up_Irr!V18+up_Irr!AT18+up_Irr!BR18),".")</f>
        <v>13821.505926415879</v>
      </c>
      <c r="AW18" s="93">
        <f>IFERROR(s_C*s_IFST_res_adj*s_CF_strawberry*0.001*(up_Irr!W18+up_Irr!AU18+up_Irr!BS18),".")</f>
        <v>13821.505926415879</v>
      </c>
      <c r="AX18" s="93">
        <f>IFERROR(s_C*s_IFTO_res_adj*s_CF_tomato*0.001*(up_Irr!X18+up_Irr!AV18+up_Irr!BT18),".")</f>
        <v>13821.505926415879</v>
      </c>
      <c r="AY18" s="93">
        <f>IFERROR(s_C*s_IFRI_res_adj*s_CF_rice*0.001*(up_Irr!Y18+up_Irr!AW18+up_Irr!BU18),".")</f>
        <v>13821.505926415879</v>
      </c>
      <c r="AZ18" s="93">
        <f>IFERROR(s_C*s_IFCG_res_adj*s_CF_cereal*0.001*(up_Irr!Z18+up_Irr!AX18+up_Irr!BV18),".")</f>
        <v>13821.505926415879</v>
      </c>
      <c r="BA18" s="76">
        <f t="shared" si="3"/>
        <v>1.8087754064641833E-11</v>
      </c>
      <c r="BB18" s="76">
        <f>IFERROR(IF(AND(up_Irr!C18&lt;&gt;".",up_Irr!AA18&lt;&gt;".",up_Irr!AY18&lt;&gt;"."),up_dir!AC18/((1/1000)*(up_Irr!C18+up_Irr!AA18+up_Irr!AY18)),IF(AND(up_Irr!C18&lt;&gt;".",up_Irr!AA18&lt;&gt;".",up_Irr!AY18="."),up_dir!AC18/((1/1000)*(up_Irr!C18+up_Irr!AA18)),IF(AND(up_Irr!C18&lt;&gt;".",up_Irr!AA18=".",up_Irr!AY18&lt;&gt;"."),up_dir!AC18/((1/1000)*(up_Irr!C18+up_Irr!AY18)),IF(AND(up_Irr!C18=".",up_Irr!AA18&lt;&gt;".",up_Irr!AY18&lt;&gt;"."),up_dir!AC18/((1/1000)*(up_Irr!AA18+up_Irr!AY18)),IF(AND(up_Irr!C18=".",up_Irr!AA18=".",up_Irr!AY18&lt;&gt;"."),up_dir!AC18/((1/1000)*(up_Irr!AY18)),IF(AND(up_Irr!C18=".",up_Irr!AA18&lt;&gt;".",up_Irr!AY18="."),up_dir!AC18/((1/1000)*(up_Irr!AA18)),IF(AND(up_Irr!C18&lt;&gt;".",up_Irr!AA18=".",up_Irr!AY18="."),up_dir!AC18/((1/1000)*(up_Irr!C18)),IF(AND(up_Irr!C18=".",up_Irr!AA18=".",up_Irr!AY18="."),up_dir!AC18*1000)))))))),".")</f>
        <v>7.2351016258567334E-11</v>
      </c>
      <c r="BC18" s="76">
        <f>IFERROR(IF(AND(up_Irr!D18&lt;&gt;".",up_Irr!AB18&lt;&gt;".",up_Irr!AZ18&lt;&gt;"."),up_dir!AD18/((1/1000)*(up_Irr!D18+up_Irr!AB18+up_Irr!AZ18)),IF(AND(up_Irr!D18&lt;&gt;".",up_Irr!AB18&lt;&gt;".",up_Irr!AZ18="."),up_dir!AD18/((1/1000)*(up_Irr!D18+up_Irr!AB18)),IF(AND(up_Irr!D18&lt;&gt;".",up_Irr!AB18=".",up_Irr!AZ18&lt;&gt;"."),up_dir!AD18/((1/1000)*(up_Irr!D18+up_Irr!AZ18)),IF(AND(up_Irr!D18=".",up_Irr!AB18&lt;&gt;".",up_Irr!AZ18&lt;&gt;"."),up_dir!AD18/((1/1000)*(up_Irr!AB18+up_Irr!AZ18)),IF(AND(up_Irr!D18=".",up_Irr!AB18=".",up_Irr!AZ18&lt;&gt;"."),up_dir!AD18/((1/1000)*(up_Irr!AZ18)),IF(AND(up_Irr!D18=".",up_Irr!AB18&lt;&gt;".",up_Irr!AZ18="."),up_dir!AD18/((1/1000)*(up_Irr!AB18)),IF(AND(up_Irr!D18&lt;&gt;".",up_Irr!AB18=".",up_Irr!AZ18="."),up_dir!AD18/((1/1000)*(up_Irr!D18)),IF(AND(up_Irr!D18=".",up_Irr!AB18=".",up_Irr!AZ18="."),up_dir!AD18*1000)))))))),".")</f>
        <v>7.2351016258567334E-11</v>
      </c>
      <c r="BD18" s="76">
        <f>IFERROR(IF(AND(up_Irr!E18&lt;&gt;".",up_Irr!AC18&lt;&gt;".",up_Irr!BA18&lt;&gt;"."),up_dir!AE18/((1/1000)*(up_Irr!E18+up_Irr!AC18+up_Irr!BA18)),IF(AND(up_Irr!E18&lt;&gt;".",up_Irr!AC18&lt;&gt;".",up_Irr!BA18="."),up_dir!AE18/((1/1000)*(up_Irr!E18+up_Irr!AC18)),IF(AND(up_Irr!E18&lt;&gt;".",up_Irr!AC18=".",up_Irr!BA18&lt;&gt;"."),up_dir!AE18/((1/1000)*(up_Irr!E18+up_Irr!BA18)),IF(AND(up_Irr!E18=".",up_Irr!AC18&lt;&gt;".",up_Irr!BA18&lt;&gt;"."),up_dir!AE18/((1/1000)*(up_Irr!AC18+up_Irr!BA18)),IF(AND(up_Irr!E18=".",up_Irr!AC18=".",up_Irr!BA18&lt;&gt;"."),up_dir!AE18/((1/1000)*(up_Irr!BA18)),IF(AND(up_Irr!E18=".",up_Irr!AC18&lt;&gt;".",up_Irr!BA18="."),up_dir!AE18/((1/1000)*(up_Irr!AC18)),IF(AND(up_Irr!E18&lt;&gt;".",up_Irr!AC18=".",up_Irr!BA18="."),up_dir!AE18/((1/1000)*(up_Irr!E18)),IF(AND(up_Irr!E18=".",up_Irr!AC18=".",up_Irr!BA18="."),up_dir!AE18*1000)))))))),".")</f>
        <v>7.2351016258567334E-11</v>
      </c>
      <c r="BE18" s="76">
        <f>IFERROR(IF(AND(up_Irr!F18&lt;&gt;".",up_Irr!AD18&lt;&gt;".",up_Irr!BB18&lt;&gt;"."),up_dir!AF18/((1/1000)*(up_Irr!F18+up_Irr!AD18+up_Irr!BB18)),IF(AND(up_Irr!F18&lt;&gt;".",up_Irr!AD18&lt;&gt;".",up_Irr!BB18="."),up_dir!AF18/((1/1000)*(up_Irr!F18+up_Irr!AD18)),IF(AND(up_Irr!F18&lt;&gt;".",up_Irr!AD18=".",up_Irr!BB18&lt;&gt;"."),up_dir!AF18/((1/1000)*(up_Irr!F18+up_Irr!BB18)),IF(AND(up_Irr!F18=".",up_Irr!AD18&lt;&gt;".",up_Irr!BB18&lt;&gt;"."),up_dir!AF18/((1/1000)*(up_Irr!AD18+up_Irr!BB18)),IF(AND(up_Irr!F18=".",up_Irr!AD18=".",up_Irr!BB18&lt;&gt;"."),up_dir!AF18/((1/1000)*(up_Irr!BB18)),IF(AND(up_Irr!F18=".",up_Irr!AD18&lt;&gt;".",up_Irr!BB18="."),up_dir!AF18/((1/1000)*(up_Irr!AD18)),IF(AND(up_Irr!F18&lt;&gt;".",up_Irr!AD18=".",up_Irr!BB18="."),up_dir!AF18/((1/1000)*(up_Irr!F18)),IF(AND(up_Irr!F18=".",up_Irr!AD18=".",up_Irr!BB18="."),up_dir!AF18*1000)))))))),".")</f>
        <v>7.2351016258567334E-11</v>
      </c>
      <c r="BF18" s="76">
        <f>IFERROR(IF(AND(up_Irr!G18&lt;&gt;".",up_Irr!AE18&lt;&gt;".",up_Irr!BC18&lt;&gt;"."),up_dir!AG18/((1/1000)*(up_Irr!G18+up_Irr!AE18+up_Irr!BC18)),IF(AND(up_Irr!G18&lt;&gt;".",up_Irr!AE18&lt;&gt;".",up_Irr!BC18="."),up_dir!AG18/((1/1000)*(up_Irr!G18+up_Irr!AE18)),IF(AND(up_Irr!G18&lt;&gt;".",up_Irr!AE18=".",up_Irr!BC18&lt;&gt;"."),up_dir!AG18/((1/1000)*(up_Irr!G18+up_Irr!BC18)),IF(AND(up_Irr!G18=".",up_Irr!AE18&lt;&gt;".",up_Irr!BC18&lt;&gt;"."),up_dir!AG18/((1/1000)*(up_Irr!AE18+up_Irr!BC18)),IF(AND(up_Irr!G18=".",up_Irr!AE18=".",up_Irr!BC18&lt;&gt;"."),up_dir!AG18/((1/1000)*(up_Irr!BC18)),IF(AND(up_Irr!G18=".",up_Irr!AE18&lt;&gt;".",up_Irr!BC18="."),up_dir!AG18/((1/1000)*(up_Irr!AE18)),IF(AND(up_Irr!G18&lt;&gt;".",up_Irr!AE18=".",up_Irr!BC18="."),up_dir!AG18/((1/1000)*(up_Irr!G18)),IF(AND(up_Irr!G18=".",up_Irr!AE18=".",up_Irr!BC18="."),up_dir!AG18*1000)))))))),".")</f>
        <v>7.2351016258567334E-11</v>
      </c>
      <c r="BG18" s="76">
        <f>IFERROR(IF(AND(up_Irr!H18&lt;&gt;".",up_Irr!AF18&lt;&gt;".",up_Irr!BD18&lt;&gt;"."),up_dir!AH18/((1/1000)*(up_Irr!H18+up_Irr!AF18+up_Irr!BD18)),IF(AND(up_Irr!H18&lt;&gt;".",up_Irr!AF18&lt;&gt;".",up_Irr!BD18="."),up_dir!AH18/((1/1000)*(up_Irr!H18+up_Irr!AF18)),IF(AND(up_Irr!H18&lt;&gt;".",up_Irr!AF18=".",up_Irr!BD18&lt;&gt;"."),up_dir!AH18/((1/1000)*(up_Irr!H18+up_Irr!BD18)),IF(AND(up_Irr!H18=".",up_Irr!AF18&lt;&gt;".",up_Irr!BD18&lt;&gt;"."),up_dir!AH18/((1/1000)*(up_Irr!AF18+up_Irr!BD18)),IF(AND(up_Irr!H18=".",up_Irr!AF18=".",up_Irr!BD18&lt;&gt;"."),up_dir!AH18/((1/1000)*(up_Irr!BD18)),IF(AND(up_Irr!H18=".",up_Irr!AF18&lt;&gt;".",up_Irr!BD18="."),up_dir!AH18/((1/1000)*(up_Irr!AF18)),IF(AND(up_Irr!H18&lt;&gt;".",up_Irr!AF18=".",up_Irr!BD18="."),up_dir!AH18/((1/1000)*(up_Irr!H18)),IF(AND(up_Irr!H18=".",up_Irr!AF18=".",up_Irr!BD18="."),up_dir!AH18*1000)))))))),".")</f>
        <v>7.2351016258567334E-11</v>
      </c>
      <c r="BH18" s="76">
        <f>IFERROR(IF(AND(up_Irr!I18&lt;&gt;".",up_Irr!AG18&lt;&gt;".",up_Irr!BE18&lt;&gt;"."),up_dir!AI18/((1/1000)*(up_Irr!I18+up_Irr!AG18+up_Irr!BE18)),IF(AND(up_Irr!I18&lt;&gt;".",up_Irr!AG18&lt;&gt;".",up_Irr!BE18="."),up_dir!AI18/((1/1000)*(up_Irr!I18+up_Irr!AG18)),IF(AND(up_Irr!I18&lt;&gt;".",up_Irr!AG18=".",up_Irr!BE18&lt;&gt;"."),up_dir!AI18/((1/1000)*(up_Irr!I18+up_Irr!BE18)),IF(AND(up_Irr!I18=".",up_Irr!AG18&lt;&gt;".",up_Irr!BE18&lt;&gt;"."),up_dir!AI18/((1/1000)*(up_Irr!AG18+up_Irr!BE18)),IF(AND(up_Irr!I18=".",up_Irr!AG18=".",up_Irr!BE18&lt;&gt;"."),up_dir!AI18/((1/1000)*(up_Irr!BE18)),IF(AND(up_Irr!I18=".",up_Irr!AG18&lt;&gt;".",up_Irr!BE18="."),up_dir!AI18/((1/1000)*(up_Irr!AG18)),IF(AND(up_Irr!I18&lt;&gt;".",up_Irr!AG18=".",up_Irr!BE18="."),up_dir!AI18/((1/1000)*(up_Irr!I18)),IF(AND(up_Irr!I18=".",up_Irr!AG18=".",up_Irr!BE18="."),up_dir!AI18*1000)))))))),".")</f>
        <v>7.2351016258567334E-11</v>
      </c>
      <c r="BI18" s="76">
        <f>IFERROR(IF(AND(up_Irr!J18&lt;&gt;".",up_Irr!AH18&lt;&gt;".",up_Irr!BF18&lt;&gt;"."),up_dir!AJ18/((1/1000)*(up_Irr!J18+up_Irr!AH18+up_Irr!BF18)),IF(AND(up_Irr!J18&lt;&gt;".",up_Irr!AH18&lt;&gt;".",up_Irr!BF18="."),up_dir!AJ18/((1/1000)*(up_Irr!J18+up_Irr!AH18)),IF(AND(up_Irr!J18&lt;&gt;".",up_Irr!AH18=".",up_Irr!BF18&lt;&gt;"."),up_dir!AJ18/((1/1000)*(up_Irr!J18+up_Irr!BF18)),IF(AND(up_Irr!J18=".",up_Irr!AH18&lt;&gt;".",up_Irr!BF18&lt;&gt;"."),up_dir!AJ18/((1/1000)*(up_Irr!AH18+up_Irr!BF18)),IF(AND(up_Irr!J18=".",up_Irr!AH18=".",up_Irr!BF18&lt;&gt;"."),up_dir!AJ18/((1/1000)*(up_Irr!BF18)),IF(AND(up_Irr!J18=".",up_Irr!AH18&lt;&gt;".",up_Irr!BF18="."),up_dir!AJ18/((1/1000)*(up_Irr!AH18)),IF(AND(up_Irr!J18&lt;&gt;".",up_Irr!AH18=".",up_Irr!BF18="."),up_dir!AJ18/((1/1000)*(up_Irr!J18)),IF(AND(up_Irr!J18=".",up_Irr!AH18=".",up_Irr!BF18="."),up_dir!AJ18*1000)))))))),".")</f>
        <v>7.2351016258567334E-11</v>
      </c>
      <c r="BJ18" s="76">
        <f>IFERROR(IF(AND(up_Irr!K18&lt;&gt;".",up_Irr!AI18&lt;&gt;".",up_Irr!BG18&lt;&gt;"."),up_dir!AK18/((1/1000)*(up_Irr!K18+up_Irr!AI18+up_Irr!BG18)),IF(AND(up_Irr!K18&lt;&gt;".",up_Irr!AI18&lt;&gt;".",up_Irr!BG18="."),up_dir!AK18/((1/1000)*(up_Irr!K18+up_Irr!AI18)),IF(AND(up_Irr!K18&lt;&gt;".",up_Irr!AI18=".",up_Irr!BG18&lt;&gt;"."),up_dir!AK18/((1/1000)*(up_Irr!K18+up_Irr!BG18)),IF(AND(up_Irr!K18=".",up_Irr!AI18&lt;&gt;".",up_Irr!BG18&lt;&gt;"."),up_dir!AK18/((1/1000)*(up_Irr!AI18+up_Irr!BG18)),IF(AND(up_Irr!K18=".",up_Irr!AI18=".",up_Irr!BG18&lt;&gt;"."),up_dir!AK18/((1/1000)*(up_Irr!BG18)),IF(AND(up_Irr!K18=".",up_Irr!AI18&lt;&gt;".",up_Irr!BG18="."),up_dir!AK18/((1/1000)*(up_Irr!AI18)),IF(AND(up_Irr!K18&lt;&gt;".",up_Irr!AI18=".",up_Irr!BG18="."),up_dir!AK18/((1/1000)*(up_Irr!K18)),IF(AND(up_Irr!K18=".",up_Irr!AI18=".",up_Irr!BG18="."),up_dir!AK18*1000)))))))),".")</f>
        <v>7.2351016258567334E-11</v>
      </c>
      <c r="BK18" s="76">
        <f>IFERROR(IF(AND(up_Irr!L18&lt;&gt;".",up_Irr!AJ18&lt;&gt;".",up_Irr!BH18&lt;&gt;"."),up_dir!AL18/((1/1000)*(up_Irr!L18+up_Irr!AJ18+up_Irr!BH18)),IF(AND(up_Irr!L18&lt;&gt;".",up_Irr!AJ18&lt;&gt;".",up_Irr!BH18="."),up_dir!AL18/((1/1000)*(up_Irr!L18+up_Irr!AJ18)),IF(AND(up_Irr!L18&lt;&gt;".",up_Irr!AJ18=".",up_Irr!BH18&lt;&gt;"."),up_dir!AL18/((1/1000)*(up_Irr!L18+up_Irr!BH18)),IF(AND(up_Irr!L18=".",up_Irr!AJ18&lt;&gt;".",up_Irr!BH18&lt;&gt;"."),up_dir!AL18/((1/1000)*(up_Irr!AJ18+up_Irr!BH18)),IF(AND(up_Irr!L18=".",up_Irr!AJ18=".",up_Irr!BH18&lt;&gt;"."),up_dir!AL18/((1/1000)*(up_Irr!BH18)),IF(AND(up_Irr!L18=".",up_Irr!AJ18&lt;&gt;".",up_Irr!BH18="."),up_dir!AL18/((1/1000)*(up_Irr!AJ18)),IF(AND(up_Irr!L18&lt;&gt;".",up_Irr!AJ18=".",up_Irr!BH18="."),up_dir!AL18/((1/1000)*(up_Irr!L18)),IF(AND(up_Irr!L18=".",up_Irr!AJ18=".",up_Irr!BH18="."),up_dir!AL18*1000)))))))),".")</f>
        <v>7.2351016258567334E-11</v>
      </c>
      <c r="BL18" s="76">
        <f>IFERROR(IF(AND(up_Irr!M18&lt;&gt;".",up_Irr!AK18&lt;&gt;".",up_Irr!BI18&lt;&gt;"."),up_dir!AM18/((1/1000)*(up_Irr!M18+up_Irr!AK18+up_Irr!BI18)),IF(AND(up_Irr!M18&lt;&gt;".",up_Irr!AK18&lt;&gt;".",up_Irr!BI18="."),up_dir!AM18/((1/1000)*(up_Irr!M18+up_Irr!AK18)),IF(AND(up_Irr!M18&lt;&gt;".",up_Irr!AK18=".",up_Irr!BI18&lt;&gt;"."),up_dir!AM18/((1/1000)*(up_Irr!M18+up_Irr!BI18)),IF(AND(up_Irr!M18=".",up_Irr!AK18&lt;&gt;".",up_Irr!BI18&lt;&gt;"."),up_dir!AM18/((1/1000)*(up_Irr!AK18+up_Irr!BI18)),IF(AND(up_Irr!M18=".",up_Irr!AK18=".",up_Irr!BI18&lt;&gt;"."),up_dir!AM18/((1/1000)*(up_Irr!BI18)),IF(AND(up_Irr!M18=".",up_Irr!AK18&lt;&gt;".",up_Irr!BI18="."),up_dir!AM18/((1/1000)*(up_Irr!AK18)),IF(AND(up_Irr!M18&lt;&gt;".",up_Irr!AK18=".",up_Irr!BI18="."),up_dir!AM18/((1/1000)*(up_Irr!M18)),IF(AND(up_Irr!M18=".",up_Irr!AK18=".",up_Irr!BI18="."),up_dir!AM18*1000)))))))),".")</f>
        <v>7.2351016258567334E-11</v>
      </c>
      <c r="BM18" s="76">
        <f>IFERROR(IF(AND(up_Irr!N18&lt;&gt;".",up_Irr!AL18&lt;&gt;".",up_Irr!BJ18&lt;&gt;"."),up_dir!AN18/((1/1000)*(up_Irr!N18+up_Irr!AL18+up_Irr!BJ18)),IF(AND(up_Irr!N18&lt;&gt;".",up_Irr!AL18&lt;&gt;".",up_Irr!BJ18="."),up_dir!AN18/((1/1000)*(up_Irr!N18+up_Irr!AL18)),IF(AND(up_Irr!N18&lt;&gt;".",up_Irr!AL18=".",up_Irr!BJ18&lt;&gt;"."),up_dir!AN18/((1/1000)*(up_Irr!N18+up_Irr!BJ18)),IF(AND(up_Irr!N18=".",up_Irr!AL18&lt;&gt;".",up_Irr!BJ18&lt;&gt;"."),up_dir!AN18/((1/1000)*(up_Irr!AL18+up_Irr!BJ18)),IF(AND(up_Irr!N18=".",up_Irr!AL18=".",up_Irr!BJ18&lt;&gt;"."),up_dir!AN18/((1/1000)*(up_Irr!BJ18)),IF(AND(up_Irr!N18=".",up_Irr!AL18&lt;&gt;".",up_Irr!BJ18="."),up_dir!AN18/((1/1000)*(up_Irr!AL18)),IF(AND(up_Irr!N18&lt;&gt;".",up_Irr!AL18=".",up_Irr!BJ18="."),up_dir!AN18/((1/1000)*(up_Irr!N18)),IF(AND(up_Irr!N18=".",up_Irr!AL18=".",up_Irr!BJ18="."),up_dir!AN18*1000)))))))),".")</f>
        <v>7.2351016258567334E-11</v>
      </c>
      <c r="BN18" s="76">
        <f>IFERROR(IF(AND(up_Irr!O18&lt;&gt;".",up_Irr!AM18&lt;&gt;".",up_Irr!BK18&lt;&gt;"."),up_dir!AO18/((1/1000)*(up_Irr!O18+up_Irr!AM18+up_Irr!BK18)),IF(AND(up_Irr!O18&lt;&gt;".",up_Irr!AM18&lt;&gt;".",up_Irr!BK18="."),up_dir!AO18/((1/1000)*(up_Irr!O18+up_Irr!AM18)),IF(AND(up_Irr!O18&lt;&gt;".",up_Irr!AM18=".",up_Irr!BK18&lt;&gt;"."),up_dir!AO18/((1/1000)*(up_Irr!O18+up_Irr!BK18)),IF(AND(up_Irr!O18=".",up_Irr!AM18&lt;&gt;".",up_Irr!BK18&lt;&gt;"."),up_dir!AO18/((1/1000)*(up_Irr!AM18+up_Irr!BK18)),IF(AND(up_Irr!O18=".",up_Irr!AM18=".",up_Irr!BK18&lt;&gt;"."),up_dir!AO18/((1/1000)*(up_Irr!BK18)),IF(AND(up_Irr!O18=".",up_Irr!AM18&lt;&gt;".",up_Irr!BK18="."),up_dir!AO18/((1/1000)*(up_Irr!AM18)),IF(AND(up_Irr!O18&lt;&gt;".",up_Irr!AM18=".",up_Irr!BK18="."),up_dir!AO18/((1/1000)*(up_Irr!O18)),IF(AND(up_Irr!O18=".",up_Irr!AM18=".",up_Irr!BK18="."),up_dir!AO18*1000)))))))),".")</f>
        <v>7.2351016258567334E-11</v>
      </c>
      <c r="BO18" s="76">
        <f>IFERROR(IF(AND(up_Irr!P18&lt;&gt;".",up_Irr!AN18&lt;&gt;".",up_Irr!BL18&lt;&gt;"."),up_dir!AP18/((1/1000)*(up_Irr!P18+up_Irr!AN18+up_Irr!BL18)),IF(AND(up_Irr!P18&lt;&gt;".",up_Irr!AN18&lt;&gt;".",up_Irr!BL18="."),up_dir!AP18/((1/1000)*(up_Irr!P18+up_Irr!AN18)),IF(AND(up_Irr!P18&lt;&gt;".",up_Irr!AN18=".",up_Irr!BL18&lt;&gt;"."),up_dir!AP18/((1/1000)*(up_Irr!P18+up_Irr!BL18)),IF(AND(up_Irr!P18=".",up_Irr!AN18&lt;&gt;".",up_Irr!BL18&lt;&gt;"."),up_dir!AP18/((1/1000)*(up_Irr!AN18+up_Irr!BL18)),IF(AND(up_Irr!P18=".",up_Irr!AN18=".",up_Irr!BL18&lt;&gt;"."),up_dir!AP18/((1/1000)*(up_Irr!BL18)),IF(AND(up_Irr!P18=".",up_Irr!AN18&lt;&gt;".",up_Irr!BL18="."),up_dir!AP18/((1/1000)*(up_Irr!AN18)),IF(AND(up_Irr!P18&lt;&gt;".",up_Irr!AN18=".",up_Irr!BL18="."),up_dir!AP18/((1/1000)*(up_Irr!P18)),IF(AND(up_Irr!P18=".",up_Irr!AN18=".",up_Irr!BL18="."),up_dir!AP18*1000)))))))),".")</f>
        <v>7.2351016258567334E-11</v>
      </c>
      <c r="BP18" s="76">
        <f>IFERROR(IF(AND(up_Irr!Q18&lt;&gt;".",up_Irr!AO18&lt;&gt;".",up_Irr!BM18&lt;&gt;"."),up_dir!AQ18/((1/1000)*(up_Irr!Q18+up_Irr!AO18+up_Irr!BM18)),IF(AND(up_Irr!Q18&lt;&gt;".",up_Irr!AO18&lt;&gt;".",up_Irr!BM18="."),up_dir!AQ18/((1/1000)*(up_Irr!Q18+up_Irr!AO18)),IF(AND(up_Irr!Q18&lt;&gt;".",up_Irr!AO18=".",up_Irr!BM18&lt;&gt;"."),up_dir!AQ18/((1/1000)*(up_Irr!Q18+up_Irr!BM18)),IF(AND(up_Irr!Q18=".",up_Irr!AO18&lt;&gt;".",up_Irr!BM18&lt;&gt;"."),up_dir!AQ18/((1/1000)*(up_Irr!AO18+up_Irr!BM18)),IF(AND(up_Irr!Q18=".",up_Irr!AO18=".",up_Irr!BM18&lt;&gt;"."),up_dir!AQ18/((1/1000)*(up_Irr!BM18)),IF(AND(up_Irr!Q18=".",up_Irr!AO18&lt;&gt;".",up_Irr!BM18="."),up_dir!AQ18/((1/1000)*(up_Irr!AO18)),IF(AND(up_Irr!Q18&lt;&gt;".",up_Irr!AO18=".",up_Irr!BM18="."),up_dir!AQ18/((1/1000)*(up_Irr!Q18)),IF(AND(up_Irr!Q18=".",up_Irr!AO18=".",up_Irr!BM18="."),up_dir!AQ18*1000)))))))),".")</f>
        <v>7.2351016258567334E-11</v>
      </c>
      <c r="BQ18" s="76">
        <f>IFERROR(IF(AND(up_Irr!R18&lt;&gt;".",up_Irr!AP18&lt;&gt;".",up_Irr!BN18&lt;&gt;"."),up_dir!AR18/((1/1000)*(up_Irr!R18+up_Irr!AP18+up_Irr!BN18)),IF(AND(up_Irr!R18&lt;&gt;".",up_Irr!AP18&lt;&gt;".",up_Irr!BN18="."),up_dir!AR18/((1/1000)*(up_Irr!R18+up_Irr!AP18)),IF(AND(up_Irr!R18&lt;&gt;".",up_Irr!AP18=".",up_Irr!BN18&lt;&gt;"."),up_dir!AR18/((1/1000)*(up_Irr!R18+up_Irr!BN18)),IF(AND(up_Irr!R18=".",up_Irr!AP18&lt;&gt;".",up_Irr!BN18&lt;&gt;"."),up_dir!AR18/((1/1000)*(up_Irr!AP18+up_Irr!BN18)),IF(AND(up_Irr!R18=".",up_Irr!AP18=".",up_Irr!BN18&lt;&gt;"."),up_dir!AR18/((1/1000)*(up_Irr!BN18)),IF(AND(up_Irr!R18=".",up_Irr!AP18&lt;&gt;".",up_Irr!BN18="."),up_dir!AR18/((1/1000)*(up_Irr!AP18)),IF(AND(up_Irr!R18&lt;&gt;".",up_Irr!AP18=".",up_Irr!BN18="."),up_dir!AR18/((1/1000)*(up_Irr!R18)),IF(AND(up_Irr!R18=".",up_Irr!AP18=".",up_Irr!BN18="."),up_dir!AR18*1000)))))))),".")</f>
        <v>7.2351016258567334E-11</v>
      </c>
      <c r="BR18" s="76">
        <f>IFERROR(IF(AND(up_Irr!S18&lt;&gt;".",up_Irr!AQ18&lt;&gt;".",up_Irr!BO18&lt;&gt;"."),up_dir!AS18/((1/1000)*(up_Irr!S18+up_Irr!AQ18+up_Irr!BO18)),IF(AND(up_Irr!S18&lt;&gt;".",up_Irr!AQ18&lt;&gt;".",up_Irr!BO18="."),up_dir!AS18/((1/1000)*(up_Irr!S18+up_Irr!AQ18)),IF(AND(up_Irr!S18&lt;&gt;".",up_Irr!AQ18=".",up_Irr!BO18&lt;&gt;"."),up_dir!AS18/((1/1000)*(up_Irr!S18+up_Irr!BO18)),IF(AND(up_Irr!S18=".",up_Irr!AQ18&lt;&gt;".",up_Irr!BO18&lt;&gt;"."),up_dir!AS18/((1/1000)*(up_Irr!AQ18+up_Irr!BO18)),IF(AND(up_Irr!S18=".",up_Irr!AQ18=".",up_Irr!BO18&lt;&gt;"."),up_dir!AS18/((1/1000)*(up_Irr!BO18)),IF(AND(up_Irr!S18=".",up_Irr!AQ18&lt;&gt;".",up_Irr!BO18="."),up_dir!AS18/((1/1000)*(up_Irr!AQ18)),IF(AND(up_Irr!S18&lt;&gt;".",up_Irr!AQ18=".",up_Irr!BO18="."),up_dir!AS18/((1/1000)*(up_Irr!S18)),IF(AND(up_Irr!S18=".",up_Irr!AQ18=".",up_Irr!BO18="."),up_dir!AS18*1000)))))))),".")</f>
        <v>7.2351016258567334E-11</v>
      </c>
      <c r="BS18" s="76">
        <f>IFERROR(IF(AND(up_Irr!T18&lt;&gt;".",up_Irr!AR18&lt;&gt;".",up_Irr!BP18&lt;&gt;"."),up_dir!AT18/((1/1000)*(up_Irr!T18+up_Irr!AR18+up_Irr!BP18)),IF(AND(up_Irr!T18&lt;&gt;".",up_Irr!AR18&lt;&gt;".",up_Irr!BP18="."),up_dir!AT18/((1/1000)*(up_Irr!T18+up_Irr!AR18)),IF(AND(up_Irr!T18&lt;&gt;".",up_Irr!AR18=".",up_Irr!BP18&lt;&gt;"."),up_dir!AT18/((1/1000)*(up_Irr!T18+up_Irr!BP18)),IF(AND(up_Irr!T18=".",up_Irr!AR18&lt;&gt;".",up_Irr!BP18&lt;&gt;"."),up_dir!AT18/((1/1000)*(up_Irr!AR18+up_Irr!BP18)),IF(AND(up_Irr!T18=".",up_Irr!AR18=".",up_Irr!BP18&lt;&gt;"."),up_dir!AT18/((1/1000)*(up_Irr!BP18)),IF(AND(up_Irr!T18=".",up_Irr!AR18&lt;&gt;".",up_Irr!BP18="."),up_dir!AT18/((1/1000)*(up_Irr!AR18)),IF(AND(up_Irr!T18&lt;&gt;".",up_Irr!AR18=".",up_Irr!BP18="."),up_dir!AT18/((1/1000)*(up_Irr!T18)),IF(AND(up_Irr!T18=".",up_Irr!AR18=".",up_Irr!BP18="."),up_dir!AT18*1000)))))))),".")</f>
        <v>7.2351016258567334E-11</v>
      </c>
      <c r="BT18" s="76">
        <f>IFERROR(IF(AND(up_Irr!U18&lt;&gt;".",up_Irr!AS18&lt;&gt;".",up_Irr!BQ18&lt;&gt;"."),up_dir!AU18/((1/1000)*(up_Irr!U18+up_Irr!AS18+up_Irr!BQ18)),IF(AND(up_Irr!U18&lt;&gt;".",up_Irr!AS18&lt;&gt;".",up_Irr!BQ18="."),up_dir!AU18/((1/1000)*(up_Irr!U18+up_Irr!AS18)),IF(AND(up_Irr!U18&lt;&gt;".",up_Irr!AS18=".",up_Irr!BQ18&lt;&gt;"."),up_dir!AU18/((1/1000)*(up_Irr!U18+up_Irr!BQ18)),IF(AND(up_Irr!U18=".",up_Irr!AS18&lt;&gt;".",up_Irr!BQ18&lt;&gt;"."),up_dir!AU18/((1/1000)*(up_Irr!AS18+up_Irr!BQ18)),IF(AND(up_Irr!U18=".",up_Irr!AS18=".",up_Irr!BQ18&lt;&gt;"."),up_dir!AU18/((1/1000)*(up_Irr!BQ18)),IF(AND(up_Irr!U18=".",up_Irr!AS18&lt;&gt;".",up_Irr!BQ18="."),up_dir!AU18/((1/1000)*(up_Irr!AS18)),IF(AND(up_Irr!U18&lt;&gt;".",up_Irr!AS18=".",up_Irr!BQ18="."),up_dir!AU18/((1/1000)*(up_Irr!U18)),IF(AND(up_Irr!U18=".",up_Irr!AS18=".",up_Irr!BQ18="."),up_dir!AU18*1000)))))))),".")</f>
        <v>7.2351016258567334E-11</v>
      </c>
      <c r="BU18" s="76">
        <f>IFERROR(IF(AND(up_Irr!V18&lt;&gt;".",up_Irr!AT18&lt;&gt;".",up_Irr!BR18&lt;&gt;"."),up_dir!AV18/((1/1000)*(up_Irr!V18+up_Irr!AT18+up_Irr!BR18)),IF(AND(up_Irr!V18&lt;&gt;".",up_Irr!AT18&lt;&gt;".",up_Irr!BR18="."),up_dir!AV18/((1/1000)*(up_Irr!V18+up_Irr!AT18)),IF(AND(up_Irr!V18&lt;&gt;".",up_Irr!AT18=".",up_Irr!BR18&lt;&gt;"."),up_dir!AV18/((1/1000)*(up_Irr!V18+up_Irr!BR18)),IF(AND(up_Irr!V18=".",up_Irr!AT18&lt;&gt;".",up_Irr!BR18&lt;&gt;"."),up_dir!AV18/((1/1000)*(up_Irr!AT18+up_Irr!BR18)),IF(AND(up_Irr!V18=".",up_Irr!AT18=".",up_Irr!BR18&lt;&gt;"."),up_dir!AV18/((1/1000)*(up_Irr!BR18)),IF(AND(up_Irr!V18=".",up_Irr!AT18&lt;&gt;".",up_Irr!BR18="."),up_dir!AV18/((1/1000)*(up_Irr!AT18)),IF(AND(up_Irr!V18&lt;&gt;".",up_Irr!AT18=".",up_Irr!BR18="."),up_dir!AV18/((1/1000)*(up_Irr!V18)),IF(AND(up_Irr!V18=".",up_Irr!AT18=".",up_Irr!BR18="."),up_dir!AV18*1000)))))))),".")</f>
        <v>7.2351016258567334E-11</v>
      </c>
      <c r="BV18" s="76">
        <f>IFERROR(IF(AND(up_Irr!W18&lt;&gt;".",up_Irr!AU18&lt;&gt;".",up_Irr!BS18&lt;&gt;"."),up_dir!AW18/((1/1000)*(up_Irr!W18+up_Irr!AU18+up_Irr!BS18)),IF(AND(up_Irr!W18&lt;&gt;".",up_Irr!AU18&lt;&gt;".",up_Irr!BS18="."),up_dir!AW18/((1/1000)*(up_Irr!W18+up_Irr!AU18)),IF(AND(up_Irr!W18&lt;&gt;".",up_Irr!AU18=".",up_Irr!BS18&lt;&gt;"."),up_dir!AW18/((1/1000)*(up_Irr!W18+up_Irr!BS18)),IF(AND(up_Irr!W18=".",up_Irr!AU18&lt;&gt;".",up_Irr!BS18&lt;&gt;"."),up_dir!AW18/((1/1000)*(up_Irr!AU18+up_Irr!BS18)),IF(AND(up_Irr!W18=".",up_Irr!AU18=".",up_Irr!BS18&lt;&gt;"."),up_dir!AW18/((1/1000)*(up_Irr!BS18)),IF(AND(up_Irr!W18=".",up_Irr!AU18&lt;&gt;".",up_Irr!BS18="."),up_dir!AW18/((1/1000)*(up_Irr!AU18)),IF(AND(up_Irr!W18&lt;&gt;".",up_Irr!AU18=".",up_Irr!BS18="."),up_dir!AW18/((1/1000)*(up_Irr!W18)),IF(AND(up_Irr!W18=".",up_Irr!AU18=".",up_Irr!BS18="."),up_dir!AW18*1000)))))))),".")</f>
        <v>7.2351016258567334E-11</v>
      </c>
      <c r="BW18" s="76">
        <f>IFERROR(IF(AND(up_Irr!X18&lt;&gt;".",up_Irr!AV18&lt;&gt;".",up_Irr!BT18&lt;&gt;"."),up_dir!AX18/((1/1000)*(up_Irr!X18+up_Irr!AV18+up_Irr!BT18)),IF(AND(up_Irr!X18&lt;&gt;".",up_Irr!AV18&lt;&gt;".",up_Irr!BT18="."),up_dir!AX18/((1/1000)*(up_Irr!X18+up_Irr!AV18)),IF(AND(up_Irr!X18&lt;&gt;".",up_Irr!AV18=".",up_Irr!BT18&lt;&gt;"."),up_dir!AX18/((1/1000)*(up_Irr!X18+up_Irr!BT18)),IF(AND(up_Irr!X18=".",up_Irr!AV18&lt;&gt;".",up_Irr!BT18&lt;&gt;"."),up_dir!AX18/((1/1000)*(up_Irr!AV18+up_Irr!BT18)),IF(AND(up_Irr!X18=".",up_Irr!AV18=".",up_Irr!BT18&lt;&gt;"."),up_dir!AX18/((1/1000)*(up_Irr!BT18)),IF(AND(up_Irr!X18=".",up_Irr!AV18&lt;&gt;".",up_Irr!BT18="."),up_dir!AX18/((1/1000)*(up_Irr!AV18)),IF(AND(up_Irr!X18&lt;&gt;".",up_Irr!AV18=".",up_Irr!BT18="."),up_dir!AX18/((1/1000)*(up_Irr!X18)),IF(AND(up_Irr!X18=".",up_Irr!AV18=".",up_Irr!BT18="."),up_dir!AX18*1000)))))))),".")</f>
        <v>7.2351016258567334E-11</v>
      </c>
      <c r="BX18" s="76">
        <f>IFERROR(IF(AND(up_Irr!Y18&lt;&gt;".",up_Irr!AW18&lt;&gt;".",up_Irr!BU18&lt;&gt;"."),up_dir!AY18/((1/1000)*(up_Irr!Y18+up_Irr!AW18+up_Irr!BU18)),IF(AND(up_Irr!Y18&lt;&gt;".",up_Irr!AW18&lt;&gt;".",up_Irr!BU18="."),up_dir!AY18/((1/1000)*(up_Irr!Y18+up_Irr!AW18)),IF(AND(up_Irr!Y18&lt;&gt;".",up_Irr!AW18=".",up_Irr!BU18&lt;&gt;"."),up_dir!AY18/((1/1000)*(up_Irr!Y18+up_Irr!BU18)),IF(AND(up_Irr!Y18=".",up_Irr!AW18&lt;&gt;".",up_Irr!BU18&lt;&gt;"."),up_dir!AY18/((1/1000)*(up_Irr!AW18+up_Irr!BU18)),IF(AND(up_Irr!Y18=".",up_Irr!AW18=".",up_Irr!BU18&lt;&gt;"."),up_dir!AY18/((1/1000)*(up_Irr!BU18)),IF(AND(up_Irr!Y18=".",up_Irr!AW18&lt;&gt;".",up_Irr!BU18="."),up_dir!AY18/((1/1000)*(up_Irr!AW18)),IF(AND(up_Irr!Y18&lt;&gt;".",up_Irr!AW18=".",up_Irr!BU18="."),up_dir!AY18/((1/1000)*(up_Irr!Y18)),IF(AND(up_Irr!Y18=".",up_Irr!AW18=".",up_Irr!BU18="."),up_dir!AY18*1000)))))))),".")</f>
        <v>7.2351016258567334E-11</v>
      </c>
      <c r="BY18" s="76">
        <f>IFERROR(IF(AND(up_Irr!Z18&lt;&gt;".",up_Irr!AX18&lt;&gt;".",up_Irr!BV18&lt;&gt;"."),up_dir!AZ18/((1/1000)*(up_Irr!Z18+up_Irr!AX18+up_Irr!BV18)),IF(AND(up_Irr!Z18&lt;&gt;".",up_Irr!AX18&lt;&gt;".",up_Irr!BV18="."),up_dir!AZ18/((1/1000)*(up_Irr!Z18+up_Irr!AX18)),IF(AND(up_Irr!Z18&lt;&gt;".",up_Irr!AX18=".",up_Irr!BV18&lt;&gt;"."),up_dir!AZ18/((1/1000)*(up_Irr!Z18+up_Irr!BV18)),IF(AND(up_Irr!Z18=".",up_Irr!AX18&lt;&gt;".",up_Irr!BV18&lt;&gt;"."),up_dir!AZ18/((1/1000)*(up_Irr!AX18+up_Irr!BV18)),IF(AND(up_Irr!Z18=".",up_Irr!AX18=".",up_Irr!BV18&lt;&gt;"."),up_dir!AZ18/((1/1000)*(up_Irr!BV18)),IF(AND(up_Irr!Z18=".",up_Irr!AX18&lt;&gt;".",up_Irr!BV18="."),up_dir!AZ18/((1/1000)*(up_Irr!AX18)),IF(AND(up_Irr!Z18&lt;&gt;".",up_Irr!AX18=".",up_Irr!BV18="."),up_dir!AZ18/((1/1000)*(up_Irr!Z18)),IF(AND(up_Irr!Z18=".",up_Irr!AX18=".",up_Irr!BV18="."),up_dir!AZ18*1000)))))))),".")</f>
        <v>7.2351016258567334E-11</v>
      </c>
      <c r="BZ18" s="93">
        <f>SUM(CA18:CB18,CW18:CX18)</f>
        <v>55286.023705663516</v>
      </c>
      <c r="CA18" s="93">
        <f>IFERROR(s_C*s_IFAP_far_adj*s_CF_apple*(1/1000)*(up_Irr!C18+up_Irr!AA18+up_Irr!AY18),".")</f>
        <v>13821.505926415879</v>
      </c>
      <c r="CB18" s="93">
        <f>IFERROR(s_C*s_IFAS_far_adj*s_CF_asparagus*(1/1000)*(up_Irr!D18+up_Irr!AB18+up_Irr!AZ18),".")</f>
        <v>13821.505926415879</v>
      </c>
      <c r="CC18" s="93">
        <f>IFERROR(s_C*s_IFBT_far_adj*s_CF_beet*(1/1000)*(up_Irr!E18+up_Irr!AC18+up_Irr!BA18),".")</f>
        <v>13821.505926415879</v>
      </c>
      <c r="CD18" s="93">
        <f>IFERROR(s_C*s_IFBE_far_adj*s_CF_berries*(1/1000)*(up_Irr!F18+up_Irr!AD18+up_Irr!BB18),".")</f>
        <v>13821.505926415879</v>
      </c>
      <c r="CE18" s="93">
        <f>IFERROR(s_C*s_IFBR_far_adj*s_CF_broccoli*(1/1000)*(up_Irr!G18+up_Irr!AE18+up_Irr!BC18),".")</f>
        <v>13821.505926415879</v>
      </c>
      <c r="CF18" s="93">
        <f>IFERROR(s_C*s_IFCB_far_adj*s_CF_cabbage*(1/1000)*(up_Irr!H18+up_Irr!AF18+up_Irr!BD18),".")</f>
        <v>13821.505926415879</v>
      </c>
      <c r="CG18" s="93">
        <f>IFERROR(s_C*s_IFCR_far_adj*s_CF_carrot*(1/1000)*(up_Irr!I18+up_Irr!AG18+up_Irr!BE18),".")</f>
        <v>13821.505926415879</v>
      </c>
      <c r="CH18" s="93">
        <f>IFERROR(s_C*s_IFCI_far_adj*s_CF_citrus*(1/1000)*(up_Irr!J18+up_Irr!AH18+up_Irr!BF18),".")</f>
        <v>13821.505926415879</v>
      </c>
      <c r="CI18" s="93">
        <f>IFERROR(s_C*s_IFCO_far_adj*s_CF_corn*(1/1000)*(up_Irr!K18+up_Irr!AI18+up_Irr!BG18),".")</f>
        <v>13821.505926415879</v>
      </c>
      <c r="CJ18" s="93">
        <f>IFERROR(s_C*s_IFCU_far_adj*s_CF_cucumber*(1/1000)*(up_Irr!L18+up_Irr!AJ18+up_Irr!BH18),".")</f>
        <v>13821.505926415879</v>
      </c>
      <c r="CK18" s="93">
        <f>IFERROR(s_C*s_IFLE_far_adj*s_CF_lettuce*(1/1000)*(up_Irr!M18+up_Irr!AK18+up_Irr!BI18),".")</f>
        <v>13821.505926415879</v>
      </c>
      <c r="CL18" s="93">
        <f>IFERROR(s_C*s_IFLI_far_adj*s_CF_lima_bean*(1/1000)*(up_Irr!N18+up_Irr!AL18+up_Irr!BJ18),".")</f>
        <v>13821.505926415879</v>
      </c>
      <c r="CM18" s="93">
        <f>IFERROR(s_C*s_IFOK_far_adj*s_CF_okra*(1/1000)*(up_Irr!O18+up_Irr!AM18+up_Irr!BK18),".")</f>
        <v>13821.505926415879</v>
      </c>
      <c r="CN18" s="93">
        <f>IFERROR(s_C*s_IFON_far_adj*s_CF_onion*(1/1000)*(up_Irr!P18+up_Irr!AN18+up_Irr!BL18),".")</f>
        <v>13821.505926415879</v>
      </c>
      <c r="CO18" s="93">
        <f>IFERROR(s_C*s_IFPC_far_adj*s_CF_peach*(1/1000)*(up_Irr!Q18+up_Irr!AO18+up_Irr!BM18),".")</f>
        <v>13821.505926415879</v>
      </c>
      <c r="CP18" s="93">
        <f>IFERROR(s_C*s_IFPR_far_adj*s_CF_pear*(1/1000)*(up_Irr!R18+up_Irr!AP18+up_Irr!BN18),".")</f>
        <v>13821.505926415879</v>
      </c>
      <c r="CQ18" s="93">
        <f>IFERROR(s_C*s_IFPE_far_adj*s_CF_peas*(1/1000)*(up_Irr!S18+up_Irr!AQ18+up_Irr!BO18),".")</f>
        <v>13821.505926415879</v>
      </c>
      <c r="CR18" s="93">
        <f>IFERROR(s_C*s_IFPT_far_adj*s_CF_potato*(1/1000)*(up_Irr!T18+up_Irr!AR18+up_Irr!BP18),".")</f>
        <v>13821.505926415879</v>
      </c>
      <c r="CS18" s="93">
        <f>IFERROR(s_C*s_IFPU_far_adj*s_CF_pumpkin*(1/1000)*(up_Irr!U18+up_Irr!AS18+up_Irr!BQ18),".")</f>
        <v>13821.505926415879</v>
      </c>
      <c r="CT18" s="93">
        <f>IFERROR(s_C*s_IFSN_far_adj*s_CF_snap_bean*(1/1000)*(up_Irr!V18+up_Irr!AT18+up_Irr!BR18),".")</f>
        <v>13821.505926415879</v>
      </c>
      <c r="CU18" s="93">
        <f>IFERROR(s_C*s_IFST_far_adj*s_CF_strawberry*(1/1000)*(up_Irr!W18+up_Irr!AU18+up_Irr!BS18),".")</f>
        <v>13821.505926415879</v>
      </c>
      <c r="CV18" s="93">
        <f>IFERROR(s_C*s_IFTO_far_adj*s_CF_tomato*(1/1000)*(up_Irr!X18+up_Irr!AV18+up_Irr!BT18),".")</f>
        <v>13821.505926415879</v>
      </c>
      <c r="CW18" s="93">
        <f>IFERROR(s_C*s_IFRI_far_adj*s_CF_rice*(1/1000)*(up_Irr!Y18+up_Irr!AW18+up_Irr!BU18),".")</f>
        <v>13821.505926415879</v>
      </c>
      <c r="CX18" s="93">
        <f>IFERROR(s_C*s_IFCG_far_adj*s_CF_cereal*(1/1000)*(up_Irr!Z18+up_Irr!AX18+up_Irr!BV18),".")</f>
        <v>13821.505926415879</v>
      </c>
    </row>
    <row r="19" spans="1:102" ht="15" customHeight="1" x14ac:dyDescent="0.25">
      <c r="A19" s="92" t="s">
        <v>29</v>
      </c>
      <c r="B19" s="90" t="s">
        <v>1074</v>
      </c>
      <c r="C19" s="76">
        <f t="shared" si="0"/>
        <v>1.8087754064641833E-11</v>
      </c>
      <c r="D19" s="76">
        <f>IFERROR(IF(AND(up_Irr!C19&lt;&gt;".",up_Irr!AA19&lt;&gt;".",up_Irr!AY19&lt;&gt;"."),up_dir!D19/((1/1000)*(up_Irr!C19+up_Irr!AA19+up_Irr!AY19)),IF(AND(up_Irr!C19&lt;&gt;".",up_Irr!AA19&lt;&gt;".",up_Irr!AY19="."),up_dir!D19/((1/1000)*(up_Irr!C19+up_Irr!AA19)),IF(AND(up_Irr!C19&lt;&gt;".",up_Irr!AA19=".",up_Irr!AY19&lt;&gt;"."),up_dir!D19/((1/1000)*(up_Irr!C19+up_Irr!AY19)),IF(AND(up_Irr!C19=".",up_Irr!AA19&lt;&gt;".",up_Irr!AY19&lt;&gt;"."),up_dir!D19/((1/1000)*(up_Irr!AA19+up_Irr!AY19)),IF(AND(up_Irr!C19=".",up_Irr!AA19=".",up_Irr!AY19&lt;&gt;"."),up_dir!D19/((1/1000)*(up_Irr!AY19)),IF(AND(up_Irr!C19=".",up_Irr!AA19&lt;&gt;".",up_Irr!AY19="."),up_dir!D19/((1/1000)*(up_Irr!AA19)),IF(AND(up_Irr!C19&lt;&gt;".",up_Irr!AA19=".",up_Irr!AY19="."),up_dir!D19/((1/1000)*(up_Irr!C19)),IF(AND(up_Irr!C19=".",up_Irr!AA19=".",up_Irr!AY19="."),up_dir!D19*1000)))))))),".")</f>
        <v>7.2351016258567334E-11</v>
      </c>
      <c r="E19" s="76">
        <f>IFERROR(IF(AND(up_Irr!D19&lt;&gt;".",up_Irr!AB19&lt;&gt;".",up_Irr!AZ19&lt;&gt;"."),up_dir!E19/((1/1000)*(up_Irr!D19+up_Irr!AB19+up_Irr!AZ19)),IF(AND(up_Irr!D19&lt;&gt;".",up_Irr!AB19&lt;&gt;".",up_Irr!AZ19="."),up_dir!E19/((1/1000)*(up_Irr!D19+up_Irr!AB19)),IF(AND(up_Irr!D19&lt;&gt;".",up_Irr!AB19=".",up_Irr!AZ19&lt;&gt;"."),up_dir!E19/((1/1000)*(up_Irr!D19+up_Irr!AZ19)),IF(AND(up_Irr!D19=".",up_Irr!AB19&lt;&gt;".",up_Irr!AZ19&lt;&gt;"."),up_dir!E19/((1/1000)*(up_Irr!AB19+up_Irr!AZ19)),IF(AND(up_Irr!D19=".",up_Irr!AB19=".",up_Irr!AZ19&lt;&gt;"."),up_dir!E19/((1/1000)*(up_Irr!AZ19)),IF(AND(up_Irr!D19=".",up_Irr!AB19&lt;&gt;".",up_Irr!AZ19="."),up_dir!E19/((1/1000)*(up_Irr!AB19)),IF(AND(up_Irr!D19&lt;&gt;".",up_Irr!AB19=".",up_Irr!AZ19="."),up_dir!E19/((1/1000)*(up_Irr!D19)),IF(AND(up_Irr!D19=".",up_Irr!AB19=".",up_Irr!AZ19="."),up_dir!E19*1000)))))))),".")</f>
        <v>7.2351016258567334E-11</v>
      </c>
      <c r="F19" s="76">
        <f>IFERROR(IF(AND(up_Irr!E19&lt;&gt;".",up_Irr!AC19&lt;&gt;".",up_Irr!BA19&lt;&gt;"."),up_dir!F19/((1/1000)*(up_Irr!E19+up_Irr!AC19+up_Irr!BA19)),IF(AND(up_Irr!E19&lt;&gt;".",up_Irr!AC19&lt;&gt;".",up_Irr!BA19="."),up_dir!F19/((1/1000)*(up_Irr!E19+up_Irr!AC19)),IF(AND(up_Irr!E19&lt;&gt;".",up_Irr!AC19=".",up_Irr!BA19&lt;&gt;"."),up_dir!F19/((1/1000)*(up_Irr!E19+up_Irr!BA19)),IF(AND(up_Irr!E19=".",up_Irr!AC19&lt;&gt;".",up_Irr!BA19&lt;&gt;"."),up_dir!F19/((1/1000)*(up_Irr!AC19+up_Irr!BA19)),IF(AND(up_Irr!E19=".",up_Irr!AC19=".",up_Irr!BA19&lt;&gt;"."),up_dir!F19/((1/1000)*(up_Irr!BA19)),IF(AND(up_Irr!E19=".",up_Irr!AC19&lt;&gt;".",up_Irr!BA19="."),up_dir!F19/((1/1000)*(up_Irr!AC19)),IF(AND(up_Irr!E19&lt;&gt;".",up_Irr!AC19=".",up_Irr!BA19="."),up_dir!F19/((1/1000)*(up_Irr!E19)),IF(AND(up_Irr!E19=".",up_Irr!AC19=".",up_Irr!BA19="."),up_dir!F19*1000)))))))),".")</f>
        <v>7.2351016258567334E-11</v>
      </c>
      <c r="G19" s="76">
        <f>IFERROR(IF(AND(up_Irr!F19&lt;&gt;".",up_Irr!AD19&lt;&gt;".",up_Irr!BB19&lt;&gt;"."),up_dir!G19/((1/1000)*(up_Irr!F19+up_Irr!AD19+up_Irr!BB19)),IF(AND(up_Irr!F19&lt;&gt;".",up_Irr!AD19&lt;&gt;".",up_Irr!BB19="."),up_dir!G19/((1/1000)*(up_Irr!F19+up_Irr!AD19)),IF(AND(up_Irr!F19&lt;&gt;".",up_Irr!AD19=".",up_Irr!BB19&lt;&gt;"."),up_dir!G19/((1/1000)*(up_Irr!F19+up_Irr!BB19)),IF(AND(up_Irr!F19=".",up_Irr!AD19&lt;&gt;".",up_Irr!BB19&lt;&gt;"."),up_dir!G19/((1/1000)*(up_Irr!AD19+up_Irr!BB19)),IF(AND(up_Irr!F19=".",up_Irr!AD19=".",up_Irr!BB19&lt;&gt;"."),up_dir!G19/((1/1000)*(up_Irr!BB19)),IF(AND(up_Irr!F19=".",up_Irr!AD19&lt;&gt;".",up_Irr!BB19="."),up_dir!G19/((1/1000)*(up_Irr!AD19)),IF(AND(up_Irr!F19&lt;&gt;".",up_Irr!AD19=".",up_Irr!BB19="."),up_dir!G19/((1/1000)*(up_Irr!F19)),IF(AND(up_Irr!F19=".",up_Irr!AD19=".",up_Irr!BB19="."),up_dir!G19*1000)))))))),".")</f>
        <v>7.2351016258567334E-11</v>
      </c>
      <c r="H19" s="76">
        <f>IFERROR(IF(AND(up_Irr!G19&lt;&gt;".",up_Irr!AE19&lt;&gt;".",up_Irr!BC19&lt;&gt;"."),up_dir!H19/((1/1000)*(up_Irr!G19+up_Irr!AE19+up_Irr!BC19)),IF(AND(up_Irr!G19&lt;&gt;".",up_Irr!AE19&lt;&gt;".",up_Irr!BC19="."),up_dir!H19/((1/1000)*(up_Irr!G19+up_Irr!AE19)),IF(AND(up_Irr!G19&lt;&gt;".",up_Irr!AE19=".",up_Irr!BC19&lt;&gt;"."),up_dir!H19/((1/1000)*(up_Irr!G19+up_Irr!BC19)),IF(AND(up_Irr!G19=".",up_Irr!AE19&lt;&gt;".",up_Irr!BC19&lt;&gt;"."),up_dir!H19/((1/1000)*(up_Irr!AE19+up_Irr!BC19)),IF(AND(up_Irr!G19=".",up_Irr!AE19=".",up_Irr!BC19&lt;&gt;"."),up_dir!H19/((1/1000)*(up_Irr!BC19)),IF(AND(up_Irr!G19=".",up_Irr!AE19&lt;&gt;".",up_Irr!BC19="."),up_dir!H19/((1/1000)*(up_Irr!AE19)),IF(AND(up_Irr!G19&lt;&gt;".",up_Irr!AE19=".",up_Irr!BC19="."),up_dir!H19/((1/1000)*(up_Irr!G19)),IF(AND(up_Irr!G19=".",up_Irr!AE19=".",up_Irr!BC19="."),up_dir!H19*1000)))))))),".")</f>
        <v>7.2351016258567334E-11</v>
      </c>
      <c r="I19" s="76">
        <f>IFERROR(IF(AND(up_Irr!H19&lt;&gt;".",up_Irr!AF19&lt;&gt;".",up_Irr!BD19&lt;&gt;"."),up_dir!I19/((1/1000)*(up_Irr!H19+up_Irr!AF19+up_Irr!BD19)),IF(AND(up_Irr!H19&lt;&gt;".",up_Irr!AF19&lt;&gt;".",up_Irr!BD19="."),up_dir!I19/((1/1000)*(up_Irr!H19+up_Irr!AF19)),IF(AND(up_Irr!H19&lt;&gt;".",up_Irr!AF19=".",up_Irr!BD19&lt;&gt;"."),up_dir!I19/((1/1000)*(up_Irr!H19+up_Irr!BD19)),IF(AND(up_Irr!H19=".",up_Irr!AF19&lt;&gt;".",up_Irr!BD19&lt;&gt;"."),up_dir!I19/((1/1000)*(up_Irr!AF19+up_Irr!BD19)),IF(AND(up_Irr!H19=".",up_Irr!AF19=".",up_Irr!BD19&lt;&gt;"."),up_dir!I19/((1/1000)*(up_Irr!BD19)),IF(AND(up_Irr!H19=".",up_Irr!AF19&lt;&gt;".",up_Irr!BD19="."),up_dir!I19/((1/1000)*(up_Irr!AF19)),IF(AND(up_Irr!H19&lt;&gt;".",up_Irr!AF19=".",up_Irr!BD19="."),up_dir!I19/((1/1000)*(up_Irr!H19)),IF(AND(up_Irr!H19=".",up_Irr!AF19=".",up_Irr!BD19="."),up_dir!I19*1000)))))))),".")</f>
        <v>7.2351016258567334E-11</v>
      </c>
      <c r="J19" s="76">
        <f>IFERROR(IF(AND(up_Irr!I19&lt;&gt;".",up_Irr!AG19&lt;&gt;".",up_Irr!BE19&lt;&gt;"."),up_dir!J19/((1/1000)*(up_Irr!I19+up_Irr!AG19+up_Irr!BE19)),IF(AND(up_Irr!I19&lt;&gt;".",up_Irr!AG19&lt;&gt;".",up_Irr!BE19="."),up_dir!J19/((1/1000)*(up_Irr!I19+up_Irr!AG19)),IF(AND(up_Irr!I19&lt;&gt;".",up_Irr!AG19=".",up_Irr!BE19&lt;&gt;"."),up_dir!J19/((1/1000)*(up_Irr!I19+up_Irr!BE19)),IF(AND(up_Irr!I19=".",up_Irr!AG19&lt;&gt;".",up_Irr!BE19&lt;&gt;"."),up_dir!J19/((1/1000)*(up_Irr!AG19+up_Irr!BE19)),IF(AND(up_Irr!I19=".",up_Irr!AG19=".",up_Irr!BE19&lt;&gt;"."),up_dir!J19/((1/1000)*(up_Irr!BE19)),IF(AND(up_Irr!I19=".",up_Irr!AG19&lt;&gt;".",up_Irr!BE19="."),up_dir!J19/((1/1000)*(up_Irr!AG19)),IF(AND(up_Irr!I19&lt;&gt;".",up_Irr!AG19=".",up_Irr!BE19="."),up_dir!J19/((1/1000)*(up_Irr!I19)),IF(AND(up_Irr!I19=".",up_Irr!AG19=".",up_Irr!BE19="."),up_dir!J19*1000)))))))),".")</f>
        <v>7.2351016258567334E-11</v>
      </c>
      <c r="K19" s="76">
        <f>IFERROR(IF(AND(up_Irr!J19&lt;&gt;".",up_Irr!AH19&lt;&gt;".",up_Irr!BF19&lt;&gt;"."),up_dir!K19/((1/1000)*(up_Irr!J19+up_Irr!AH19+up_Irr!BF19)),IF(AND(up_Irr!J19&lt;&gt;".",up_Irr!AH19&lt;&gt;".",up_Irr!BF19="."),up_dir!K19/((1/1000)*(up_Irr!J19+up_Irr!AH19)),IF(AND(up_Irr!J19&lt;&gt;".",up_Irr!AH19=".",up_Irr!BF19&lt;&gt;"."),up_dir!K19/((1/1000)*(up_Irr!J19+up_Irr!BF19)),IF(AND(up_Irr!J19=".",up_Irr!AH19&lt;&gt;".",up_Irr!BF19&lt;&gt;"."),up_dir!K19/((1/1000)*(up_Irr!AH19+up_Irr!BF19)),IF(AND(up_Irr!J19=".",up_Irr!AH19=".",up_Irr!BF19&lt;&gt;"."),up_dir!K19/((1/1000)*(up_Irr!BF19)),IF(AND(up_Irr!J19=".",up_Irr!AH19&lt;&gt;".",up_Irr!BF19="."),up_dir!K19/((1/1000)*(up_Irr!AH19)),IF(AND(up_Irr!J19&lt;&gt;".",up_Irr!AH19=".",up_Irr!BF19="."),up_dir!K19/((1/1000)*(up_Irr!J19)),IF(AND(up_Irr!J19=".",up_Irr!AH19=".",up_Irr!BF19="."),up_dir!K19*1000)))))))),".")</f>
        <v>7.2351016258567334E-11</v>
      </c>
      <c r="L19" s="76">
        <f>IFERROR(IF(AND(up_Irr!K19&lt;&gt;".",up_Irr!AI19&lt;&gt;".",up_Irr!BG19&lt;&gt;"."),up_dir!L19/((1/1000)*(up_Irr!K19+up_Irr!AI19+up_Irr!BG19)),IF(AND(up_Irr!K19&lt;&gt;".",up_Irr!AI19&lt;&gt;".",up_Irr!BG19="."),up_dir!L19/((1/1000)*(up_Irr!K19+up_Irr!AI19)),IF(AND(up_Irr!K19&lt;&gt;".",up_Irr!AI19=".",up_Irr!BG19&lt;&gt;"."),up_dir!L19/((1/1000)*(up_Irr!K19+up_Irr!BG19)),IF(AND(up_Irr!K19=".",up_Irr!AI19&lt;&gt;".",up_Irr!BG19&lt;&gt;"."),up_dir!L19/((1/1000)*(up_Irr!AI19+up_Irr!BG19)),IF(AND(up_Irr!K19=".",up_Irr!AI19=".",up_Irr!BG19&lt;&gt;"."),up_dir!L19/((1/1000)*(up_Irr!BG19)),IF(AND(up_Irr!K19=".",up_Irr!AI19&lt;&gt;".",up_Irr!BG19="."),up_dir!L19/((1/1000)*(up_Irr!AI19)),IF(AND(up_Irr!K19&lt;&gt;".",up_Irr!AI19=".",up_Irr!BG19="."),up_dir!L19/((1/1000)*(up_Irr!K19)),IF(AND(up_Irr!K19=".",up_Irr!AI19=".",up_Irr!BG19="."),up_dir!L19*1000)))))))),".")</f>
        <v>7.2351016258567334E-11</v>
      </c>
      <c r="M19" s="76">
        <f>IFERROR(IF(AND(up_Irr!L19&lt;&gt;".",up_Irr!AJ19&lt;&gt;".",up_Irr!BH19&lt;&gt;"."),up_dir!M19/((1/1000)*(up_Irr!L19+up_Irr!AJ19+up_Irr!BH19)),IF(AND(up_Irr!L19&lt;&gt;".",up_Irr!AJ19&lt;&gt;".",up_Irr!BH19="."),up_dir!M19/((1/1000)*(up_Irr!L19+up_Irr!AJ19)),IF(AND(up_Irr!L19&lt;&gt;".",up_Irr!AJ19=".",up_Irr!BH19&lt;&gt;"."),up_dir!M19/((1/1000)*(up_Irr!L19+up_Irr!BH19)),IF(AND(up_Irr!L19=".",up_Irr!AJ19&lt;&gt;".",up_Irr!BH19&lt;&gt;"."),up_dir!M19/((1/1000)*(up_Irr!AJ19+up_Irr!BH19)),IF(AND(up_Irr!L19=".",up_Irr!AJ19=".",up_Irr!BH19&lt;&gt;"."),up_dir!M19/((1/1000)*(up_Irr!BH19)),IF(AND(up_Irr!L19=".",up_Irr!AJ19&lt;&gt;".",up_Irr!BH19="."),up_dir!M19/((1/1000)*(up_Irr!AJ19)),IF(AND(up_Irr!L19&lt;&gt;".",up_Irr!AJ19=".",up_Irr!BH19="."),up_dir!M19/((1/1000)*(up_Irr!L19)),IF(AND(up_Irr!L19=".",up_Irr!AJ19=".",up_Irr!BH19="."),up_dir!M19*1000)))))))),".")</f>
        <v>7.2351016258567334E-11</v>
      </c>
      <c r="N19" s="76">
        <f>IFERROR(IF(AND(up_Irr!M19&lt;&gt;".",up_Irr!AK19&lt;&gt;".",up_Irr!BI19&lt;&gt;"."),up_dir!N19/((1/1000)*(up_Irr!M19+up_Irr!AK19+up_Irr!BI19)),IF(AND(up_Irr!M19&lt;&gt;".",up_Irr!AK19&lt;&gt;".",up_Irr!BI19="."),up_dir!N19/((1/1000)*(up_Irr!M19+up_Irr!AK19)),IF(AND(up_Irr!M19&lt;&gt;".",up_Irr!AK19=".",up_Irr!BI19&lt;&gt;"."),up_dir!N19/((1/1000)*(up_Irr!M19+up_Irr!BI19)),IF(AND(up_Irr!M19=".",up_Irr!AK19&lt;&gt;".",up_Irr!BI19&lt;&gt;"."),up_dir!N19/((1/1000)*(up_Irr!AK19+up_Irr!BI19)),IF(AND(up_Irr!M19=".",up_Irr!AK19=".",up_Irr!BI19&lt;&gt;"."),up_dir!N19/((1/1000)*(up_Irr!BI19)),IF(AND(up_Irr!M19=".",up_Irr!AK19&lt;&gt;".",up_Irr!BI19="."),up_dir!N19/((1/1000)*(up_Irr!AK19)),IF(AND(up_Irr!M19&lt;&gt;".",up_Irr!AK19=".",up_Irr!BI19="."),up_dir!N19/((1/1000)*(up_Irr!M19)),IF(AND(up_Irr!M19=".",up_Irr!AK19=".",up_Irr!BI19="."),up_dir!N19*1000)))))))),".")</f>
        <v>7.2351016258567334E-11</v>
      </c>
      <c r="O19" s="76">
        <f>IFERROR(IF(AND(up_Irr!N19&lt;&gt;".",up_Irr!AL19&lt;&gt;".",up_Irr!BJ19&lt;&gt;"."),up_dir!O19/((1/1000)*(up_Irr!N19+up_Irr!AL19+up_Irr!BJ19)),IF(AND(up_Irr!N19&lt;&gt;".",up_Irr!AL19&lt;&gt;".",up_Irr!BJ19="."),up_dir!O19/((1/1000)*(up_Irr!N19+up_Irr!AL19)),IF(AND(up_Irr!N19&lt;&gt;".",up_Irr!AL19=".",up_Irr!BJ19&lt;&gt;"."),up_dir!O19/((1/1000)*(up_Irr!N19+up_Irr!BJ19)),IF(AND(up_Irr!N19=".",up_Irr!AL19&lt;&gt;".",up_Irr!BJ19&lt;&gt;"."),up_dir!O19/((1/1000)*(up_Irr!AL19+up_Irr!BJ19)),IF(AND(up_Irr!N19=".",up_Irr!AL19=".",up_Irr!BJ19&lt;&gt;"."),up_dir!O19/((1/1000)*(up_Irr!BJ19)),IF(AND(up_Irr!N19=".",up_Irr!AL19&lt;&gt;".",up_Irr!BJ19="."),up_dir!O19/((1/1000)*(up_Irr!AL19)),IF(AND(up_Irr!N19&lt;&gt;".",up_Irr!AL19=".",up_Irr!BJ19="."),up_dir!O19/((1/1000)*(up_Irr!N19)),IF(AND(up_Irr!N19=".",up_Irr!AL19=".",up_Irr!BJ19="."),up_dir!O19*1000)))))))),".")</f>
        <v>7.2351016258567334E-11</v>
      </c>
      <c r="P19" s="76">
        <f>IFERROR(IF(AND(up_Irr!O19&lt;&gt;".",up_Irr!AM19&lt;&gt;".",up_Irr!BK19&lt;&gt;"."),up_dir!P19/((1/1000)*(up_Irr!O19+up_Irr!AM19+up_Irr!BK19)),IF(AND(up_Irr!O19&lt;&gt;".",up_Irr!AM19&lt;&gt;".",up_Irr!BK19="."),up_dir!P19/((1/1000)*(up_Irr!O19+up_Irr!AM19)),IF(AND(up_Irr!O19&lt;&gt;".",up_Irr!AM19=".",up_Irr!BK19&lt;&gt;"."),up_dir!P19/((1/1000)*(up_Irr!O19+up_Irr!BK19)),IF(AND(up_Irr!O19=".",up_Irr!AM19&lt;&gt;".",up_Irr!BK19&lt;&gt;"."),up_dir!P19/((1/1000)*(up_Irr!AM19+up_Irr!BK19)),IF(AND(up_Irr!O19=".",up_Irr!AM19=".",up_Irr!BK19&lt;&gt;"."),up_dir!P19/((1/1000)*(up_Irr!BK19)),IF(AND(up_Irr!O19=".",up_Irr!AM19&lt;&gt;".",up_Irr!BK19="."),up_dir!P19/((1/1000)*(up_Irr!AM19)),IF(AND(up_Irr!O19&lt;&gt;".",up_Irr!AM19=".",up_Irr!BK19="."),up_dir!P19/((1/1000)*(up_Irr!O19)),IF(AND(up_Irr!O19=".",up_Irr!AM19=".",up_Irr!BK19="."),up_dir!P19*1000)))))))),".")</f>
        <v>7.2351016258567334E-11</v>
      </c>
      <c r="Q19" s="76">
        <f>IFERROR(IF(AND(up_Irr!P19&lt;&gt;".",up_Irr!AN19&lt;&gt;".",up_Irr!BL19&lt;&gt;"."),up_dir!Q19/((1/1000)*(up_Irr!P19+up_Irr!AN19+up_Irr!BL19)),IF(AND(up_Irr!P19&lt;&gt;".",up_Irr!AN19&lt;&gt;".",up_Irr!BL19="."),up_dir!Q19/((1/1000)*(up_Irr!P19+up_Irr!AN19)),IF(AND(up_Irr!P19&lt;&gt;".",up_Irr!AN19=".",up_Irr!BL19&lt;&gt;"."),up_dir!Q19/((1/1000)*(up_Irr!P19+up_Irr!BL19)),IF(AND(up_Irr!P19=".",up_Irr!AN19&lt;&gt;".",up_Irr!BL19&lt;&gt;"."),up_dir!Q19/((1/1000)*(up_Irr!AN19+up_Irr!BL19)),IF(AND(up_Irr!P19=".",up_Irr!AN19=".",up_Irr!BL19&lt;&gt;"."),up_dir!Q19/((1/1000)*(up_Irr!BL19)),IF(AND(up_Irr!P19=".",up_Irr!AN19&lt;&gt;".",up_Irr!BL19="."),up_dir!Q19/((1/1000)*(up_Irr!AN19)),IF(AND(up_Irr!P19&lt;&gt;".",up_Irr!AN19=".",up_Irr!BL19="."),up_dir!Q19/((1/1000)*(up_Irr!P19)),IF(AND(up_Irr!P19=".",up_Irr!AN19=".",up_Irr!BL19="."),up_dir!Q19*1000)))))))),".")</f>
        <v>7.2351016258567334E-11</v>
      </c>
      <c r="R19" s="76">
        <f>IFERROR(IF(AND(up_Irr!Q19&lt;&gt;".",up_Irr!AO19&lt;&gt;".",up_Irr!BM19&lt;&gt;"."),up_dir!R19/((1/1000)*(up_Irr!Q19+up_Irr!AO19+up_Irr!BM19)),IF(AND(up_Irr!Q19&lt;&gt;".",up_Irr!AO19&lt;&gt;".",up_Irr!BM19="."),up_dir!R19/((1/1000)*(up_Irr!Q19+up_Irr!AO19)),IF(AND(up_Irr!Q19&lt;&gt;".",up_Irr!AO19=".",up_Irr!BM19&lt;&gt;"."),up_dir!R19/((1/1000)*(up_Irr!Q19+up_Irr!BM19)),IF(AND(up_Irr!Q19=".",up_Irr!AO19&lt;&gt;".",up_Irr!BM19&lt;&gt;"."),up_dir!R19/((1/1000)*(up_Irr!AO19+up_Irr!BM19)),IF(AND(up_Irr!Q19=".",up_Irr!AO19=".",up_Irr!BM19&lt;&gt;"."),up_dir!R19/((1/1000)*(up_Irr!BM19)),IF(AND(up_Irr!Q19=".",up_Irr!AO19&lt;&gt;".",up_Irr!BM19="."),up_dir!R19/((1/1000)*(up_Irr!AO19)),IF(AND(up_Irr!Q19&lt;&gt;".",up_Irr!AO19=".",up_Irr!BM19="."),up_dir!R19/((1/1000)*(up_Irr!Q19)),IF(AND(up_Irr!Q19=".",up_Irr!AO19=".",up_Irr!BM19="."),up_dir!R19*1000)))))))),".")</f>
        <v>7.2351016258567334E-11</v>
      </c>
      <c r="S19" s="76">
        <f>IFERROR(IF(AND(up_Irr!R19&lt;&gt;".",up_Irr!AP19&lt;&gt;".",up_Irr!BN19&lt;&gt;"."),up_dir!S19/((1/1000)*(up_Irr!R19+up_Irr!AP19+up_Irr!BN19)),IF(AND(up_Irr!R19&lt;&gt;".",up_Irr!AP19&lt;&gt;".",up_Irr!BN19="."),up_dir!S19/((1/1000)*(up_Irr!R19+up_Irr!AP19)),IF(AND(up_Irr!R19&lt;&gt;".",up_Irr!AP19=".",up_Irr!BN19&lt;&gt;"."),up_dir!S19/((1/1000)*(up_Irr!R19+up_Irr!BN19)),IF(AND(up_Irr!R19=".",up_Irr!AP19&lt;&gt;".",up_Irr!BN19&lt;&gt;"."),up_dir!S19/((1/1000)*(up_Irr!AP19+up_Irr!BN19)),IF(AND(up_Irr!R19=".",up_Irr!AP19=".",up_Irr!BN19&lt;&gt;"."),up_dir!S19/((1/1000)*(up_Irr!BN19)),IF(AND(up_Irr!R19=".",up_Irr!AP19&lt;&gt;".",up_Irr!BN19="."),up_dir!S19/((1/1000)*(up_Irr!AP19)),IF(AND(up_Irr!R19&lt;&gt;".",up_Irr!AP19=".",up_Irr!BN19="."),up_dir!S19/((1/1000)*(up_Irr!R19)),IF(AND(up_Irr!R19=".",up_Irr!AP19=".",up_Irr!BN19="."),up_dir!S19*1000)))))))),".")</f>
        <v>7.2351016258567334E-11</v>
      </c>
      <c r="T19" s="76">
        <f>IFERROR(IF(AND(up_Irr!S19&lt;&gt;".",up_Irr!AQ19&lt;&gt;".",up_Irr!BO19&lt;&gt;"."),up_dir!T19/((1/1000)*(up_Irr!S19+up_Irr!AQ19+up_Irr!BO19)),IF(AND(up_Irr!S19&lt;&gt;".",up_Irr!AQ19&lt;&gt;".",up_Irr!BO19="."),up_dir!T19/((1/1000)*(up_Irr!S19+up_Irr!AQ19)),IF(AND(up_Irr!S19&lt;&gt;".",up_Irr!AQ19=".",up_Irr!BO19&lt;&gt;"."),up_dir!T19/((1/1000)*(up_Irr!S19+up_Irr!BO19)),IF(AND(up_Irr!S19=".",up_Irr!AQ19&lt;&gt;".",up_Irr!BO19&lt;&gt;"."),up_dir!T19/((1/1000)*(up_Irr!AQ19+up_Irr!BO19)),IF(AND(up_Irr!S19=".",up_Irr!AQ19=".",up_Irr!BO19&lt;&gt;"."),up_dir!T19/((1/1000)*(up_Irr!BO19)),IF(AND(up_Irr!S19=".",up_Irr!AQ19&lt;&gt;".",up_Irr!BO19="."),up_dir!T19/((1/1000)*(up_Irr!AQ19)),IF(AND(up_Irr!S19&lt;&gt;".",up_Irr!AQ19=".",up_Irr!BO19="."),up_dir!T19/((1/1000)*(up_Irr!S19)),IF(AND(up_Irr!S19=".",up_Irr!AQ19=".",up_Irr!BO19="."),up_dir!T19*1000)))))))),".")</f>
        <v>7.2351016258567334E-11</v>
      </c>
      <c r="U19" s="76">
        <f>IFERROR(IF(AND(up_Irr!T19&lt;&gt;".",up_Irr!AR19&lt;&gt;".",up_Irr!BP19&lt;&gt;"."),up_dir!U19/((1/1000)*(up_Irr!T19+up_Irr!AR19+up_Irr!BP19)),IF(AND(up_Irr!T19&lt;&gt;".",up_Irr!AR19&lt;&gt;".",up_Irr!BP19="."),up_dir!U19/((1/1000)*(up_Irr!T19+up_Irr!AR19)),IF(AND(up_Irr!T19&lt;&gt;".",up_Irr!AR19=".",up_Irr!BP19&lt;&gt;"."),up_dir!U19/((1/1000)*(up_Irr!T19+up_Irr!BP19)),IF(AND(up_Irr!T19=".",up_Irr!AR19&lt;&gt;".",up_Irr!BP19&lt;&gt;"."),up_dir!U19/((1/1000)*(up_Irr!AR19+up_Irr!BP19)),IF(AND(up_Irr!T19=".",up_Irr!AR19=".",up_Irr!BP19&lt;&gt;"."),up_dir!U19/((1/1000)*(up_Irr!BP19)),IF(AND(up_Irr!T19=".",up_Irr!AR19&lt;&gt;".",up_Irr!BP19="."),up_dir!U19/((1/1000)*(up_Irr!AR19)),IF(AND(up_Irr!T19&lt;&gt;".",up_Irr!AR19=".",up_Irr!BP19="."),up_dir!U19/((1/1000)*(up_Irr!T19)),IF(AND(up_Irr!T19=".",up_Irr!AR19=".",up_Irr!BP19="."),up_dir!U19*1000)))))))),".")</f>
        <v>7.2351016258567334E-11</v>
      </c>
      <c r="V19" s="76">
        <f>IFERROR(IF(AND(up_Irr!U19&lt;&gt;".",up_Irr!AS19&lt;&gt;".",up_Irr!BQ19&lt;&gt;"."),up_dir!V19/((1/1000)*(up_Irr!U19+up_Irr!AS19+up_Irr!BQ19)),IF(AND(up_Irr!U19&lt;&gt;".",up_Irr!AS19&lt;&gt;".",up_Irr!BQ19="."),up_dir!V19/((1/1000)*(up_Irr!U19+up_Irr!AS19)),IF(AND(up_Irr!U19&lt;&gt;".",up_Irr!AS19=".",up_Irr!BQ19&lt;&gt;"."),up_dir!V19/((1/1000)*(up_Irr!U19+up_Irr!BQ19)),IF(AND(up_Irr!U19=".",up_Irr!AS19&lt;&gt;".",up_Irr!BQ19&lt;&gt;"."),up_dir!V19/((1/1000)*(up_Irr!AS19+up_Irr!BQ19)),IF(AND(up_Irr!U19=".",up_Irr!AS19=".",up_Irr!BQ19&lt;&gt;"."),up_dir!V19/((1/1000)*(up_Irr!BQ19)),IF(AND(up_Irr!U19=".",up_Irr!AS19&lt;&gt;".",up_Irr!BQ19="."),up_dir!V19/((1/1000)*(up_Irr!AS19)),IF(AND(up_Irr!U19&lt;&gt;".",up_Irr!AS19=".",up_Irr!BQ19="."),up_dir!V19/((1/1000)*(up_Irr!U19)),IF(AND(up_Irr!U19=".",up_Irr!AS19=".",up_Irr!BQ19="."),up_dir!V19*1000)))))))),".")</f>
        <v>7.2351016258567334E-11</v>
      </c>
      <c r="W19" s="76">
        <f>IFERROR(IF(AND(up_Irr!V19&lt;&gt;".",up_Irr!AT19&lt;&gt;".",up_Irr!BR19&lt;&gt;"."),up_dir!W19/((1/1000)*(up_Irr!V19+up_Irr!AT19+up_Irr!BR19)),IF(AND(up_Irr!V19&lt;&gt;".",up_Irr!AT19&lt;&gt;".",up_Irr!BR19="."),up_dir!W19/((1/1000)*(up_Irr!V19+up_Irr!AT19)),IF(AND(up_Irr!V19&lt;&gt;".",up_Irr!AT19=".",up_Irr!BR19&lt;&gt;"."),up_dir!W19/((1/1000)*(up_Irr!V19+up_Irr!BR19)),IF(AND(up_Irr!V19=".",up_Irr!AT19&lt;&gt;".",up_Irr!BR19&lt;&gt;"."),up_dir!W19/((1/1000)*(up_Irr!AT19+up_Irr!BR19)),IF(AND(up_Irr!V19=".",up_Irr!AT19=".",up_Irr!BR19&lt;&gt;"."),up_dir!W19/((1/1000)*(up_Irr!BR19)),IF(AND(up_Irr!V19=".",up_Irr!AT19&lt;&gt;".",up_Irr!BR19="."),up_dir!W19/((1/1000)*(up_Irr!AT19)),IF(AND(up_Irr!V19&lt;&gt;".",up_Irr!AT19=".",up_Irr!BR19="."),up_dir!W19/((1/1000)*(up_Irr!V19)),IF(AND(up_Irr!V19=".",up_Irr!AT19=".",up_Irr!BR19="."),up_dir!W19*1000)))))))),".")</f>
        <v>7.2351016258567334E-11</v>
      </c>
      <c r="X19" s="76">
        <f>IFERROR(IF(AND(up_Irr!W19&lt;&gt;".",up_Irr!AU19&lt;&gt;".",up_Irr!BS19&lt;&gt;"."),up_dir!X19/((1/1000)*(up_Irr!W19+up_Irr!AU19+up_Irr!BS19)),IF(AND(up_Irr!W19&lt;&gt;".",up_Irr!AU19&lt;&gt;".",up_Irr!BS19="."),up_dir!X19/((1/1000)*(up_Irr!W19+up_Irr!AU19)),IF(AND(up_Irr!W19&lt;&gt;".",up_Irr!AU19=".",up_Irr!BS19&lt;&gt;"."),up_dir!X19/((1/1000)*(up_Irr!W19+up_Irr!BS19)),IF(AND(up_Irr!W19=".",up_Irr!AU19&lt;&gt;".",up_Irr!BS19&lt;&gt;"."),up_dir!X19/((1/1000)*(up_Irr!AU19+up_Irr!BS19)),IF(AND(up_Irr!W19=".",up_Irr!AU19=".",up_Irr!BS19&lt;&gt;"."),up_dir!X19/((1/1000)*(up_Irr!BS19)),IF(AND(up_Irr!W19=".",up_Irr!AU19&lt;&gt;".",up_Irr!BS19="."),up_dir!X19/((1/1000)*(up_Irr!AU19)),IF(AND(up_Irr!W19&lt;&gt;".",up_Irr!AU19=".",up_Irr!BS19="."),up_dir!X19/((1/1000)*(up_Irr!W19)),IF(AND(up_Irr!W19=".",up_Irr!AU19=".",up_Irr!BS19="."),up_dir!X19*1000)))))))),".")</f>
        <v>7.2351016258567334E-11</v>
      </c>
      <c r="Y19" s="76">
        <f>IFERROR(IF(AND(up_Irr!X19&lt;&gt;".",up_Irr!AV19&lt;&gt;".",up_Irr!BT19&lt;&gt;"."),up_dir!Y19/((1/1000)*(up_Irr!X19+up_Irr!AV19+up_Irr!BT19)),IF(AND(up_Irr!X19&lt;&gt;".",up_Irr!AV19&lt;&gt;".",up_Irr!BT19="."),up_dir!Y19/((1/1000)*(up_Irr!X19+up_Irr!AV19)),IF(AND(up_Irr!X19&lt;&gt;".",up_Irr!AV19=".",up_Irr!BT19&lt;&gt;"."),up_dir!Y19/((1/1000)*(up_Irr!X19+up_Irr!BT19)),IF(AND(up_Irr!X19=".",up_Irr!AV19&lt;&gt;".",up_Irr!BT19&lt;&gt;"."),up_dir!Y19/((1/1000)*(up_Irr!AV19+up_Irr!BT19)),IF(AND(up_Irr!X19=".",up_Irr!AV19=".",up_Irr!BT19&lt;&gt;"."),up_dir!Y19/((1/1000)*(up_Irr!BT19)),IF(AND(up_Irr!X19=".",up_Irr!AV19&lt;&gt;".",up_Irr!BT19="."),up_dir!Y19/((1/1000)*(up_Irr!AV19)),IF(AND(up_Irr!X19&lt;&gt;".",up_Irr!AV19=".",up_Irr!BT19="."),up_dir!Y19/((1/1000)*(up_Irr!X19)),IF(AND(up_Irr!X19=".",up_Irr!AV19=".",up_Irr!BT19="."),up_dir!Y19*1000)))))))),".")</f>
        <v>7.2351016258567334E-11</v>
      </c>
      <c r="Z19" s="76">
        <f>IFERROR(IF(AND(up_Irr!Y19&lt;&gt;".",up_Irr!AW19&lt;&gt;".",up_Irr!BU19&lt;&gt;"."),up_dir!Z19/((1/1000)*(up_Irr!Y19+up_Irr!AW19+up_Irr!BU19)),IF(AND(up_Irr!Y19&lt;&gt;".",up_Irr!AW19&lt;&gt;".",up_Irr!BU19="."),up_dir!Z19/((1/1000)*(up_Irr!Y19+up_Irr!AW19)),IF(AND(up_Irr!Y19&lt;&gt;".",up_Irr!AW19=".",up_Irr!BU19&lt;&gt;"."),up_dir!Z19/((1/1000)*(up_Irr!Y19+up_Irr!BU19)),IF(AND(up_Irr!Y19=".",up_Irr!AW19&lt;&gt;".",up_Irr!BU19&lt;&gt;"."),up_dir!Z19/((1/1000)*(up_Irr!AW19+up_Irr!BU19)),IF(AND(up_Irr!Y19=".",up_Irr!AW19=".",up_Irr!BU19&lt;&gt;"."),up_dir!Z19/((1/1000)*(up_Irr!BU19)),IF(AND(up_Irr!Y19=".",up_Irr!AW19&lt;&gt;".",up_Irr!BU19="."),up_dir!Z19/((1/1000)*(up_Irr!AW19)),IF(AND(up_Irr!Y19&lt;&gt;".",up_Irr!AW19=".",up_Irr!BU19="."),up_dir!Z19/((1/1000)*(up_Irr!Y19)),IF(AND(up_Irr!Y19=".",up_Irr!AW19=".",up_Irr!BU19="."),up_dir!Z19*1000)))))))),".")</f>
        <v>7.2351016258567334E-11</v>
      </c>
      <c r="AA19" s="76">
        <f>IFERROR(IF(AND(up_Irr!Z19&lt;&gt;".",up_Irr!AX19&lt;&gt;".",up_Irr!BV19&lt;&gt;"."),up_dir!AA19/((1/1000)*(up_Irr!Z19+up_Irr!AX19+up_Irr!BV19)),IF(AND(up_Irr!Z19&lt;&gt;".",up_Irr!AX19&lt;&gt;".",up_Irr!BV19="."),up_dir!AA19/((1/1000)*(up_Irr!Z19+up_Irr!AX19)),IF(AND(up_Irr!Z19&lt;&gt;".",up_Irr!AX19=".",up_Irr!BV19&lt;&gt;"."),up_dir!AA19/((1/1000)*(up_Irr!Z19+up_Irr!BV19)),IF(AND(up_Irr!Z19=".",up_Irr!AX19&lt;&gt;".",up_Irr!BV19&lt;&gt;"."),up_dir!AA19/((1/1000)*(up_Irr!AX19+up_Irr!BV19)),IF(AND(up_Irr!Z19=".",up_Irr!AX19=".",up_Irr!BV19&lt;&gt;"."),up_dir!AA19/((1/1000)*(up_Irr!BV19)),IF(AND(up_Irr!Z19=".",up_Irr!AX19&lt;&gt;".",up_Irr!BV19="."),up_dir!AA19/((1/1000)*(up_Irr!AX19)),IF(AND(up_Irr!Z19&lt;&gt;".",up_Irr!AX19=".",up_Irr!BV19="."),up_dir!AA19/((1/1000)*(up_Irr!Z19)),IF(AND(up_Irr!Z19=".",up_Irr!AX19=".",up_Irr!BV19="."),up_dir!AA19*1000)))))))),".")</f>
        <v>7.2351016258567334E-11</v>
      </c>
      <c r="AB19" s="93">
        <f t="shared" ref="AB19:AB20" si="9">SUM(AC19:AD19,AY19:AZ19)</f>
        <v>55286.023705663516</v>
      </c>
      <c r="AC19" s="93">
        <f>IFERROR(s_C*s_IFAP_res_adj*s_CF_apple*0.001*(up_Irr!C19+up_Irr!AA19+up_Irr!AY19),".")</f>
        <v>13821.505926415879</v>
      </c>
      <c r="AD19" s="93">
        <f>IFERROR(s_C*s_IFAS_res_adj*s_CF_asparagus*0.001*(up_Irr!D19+up_Irr!AB19+up_Irr!AZ19),".")</f>
        <v>13821.505926415879</v>
      </c>
      <c r="AE19" s="93">
        <f>IFERROR(s_C*s_IFBT_res_adj*s_CF_beet*0.001*(up_Irr!E19+up_Irr!AC19+up_Irr!BA19),".")</f>
        <v>13821.505926415879</v>
      </c>
      <c r="AF19" s="93">
        <f>IFERROR(s_C*s_IFBE_res_adj*s_CF_berries*0.001*(up_Irr!F19+up_Irr!AD19+up_Irr!BB19),".")</f>
        <v>13821.505926415879</v>
      </c>
      <c r="AG19" s="93">
        <f>IFERROR(s_C*s_IFBR_res_adj*s_CF_broccoli*0.001*(up_Irr!G19+up_Irr!AE19+up_Irr!BC19),".")</f>
        <v>13821.505926415879</v>
      </c>
      <c r="AH19" s="93">
        <f>IFERROR(s_C*s_IFCB_res_adj*s_CF_cabbage*0.001*(up_Irr!H19+up_Irr!AF19+up_Irr!BD19),".")</f>
        <v>13821.505926415879</v>
      </c>
      <c r="AI19" s="93">
        <f>IFERROR(s_C*s_IFCR_res_adj*s_CF_carrot*0.001*(up_Irr!I19+up_Irr!AG19+up_Irr!BE19),".")</f>
        <v>13821.505926415879</v>
      </c>
      <c r="AJ19" s="93">
        <f>IFERROR(s_C*s_IFCI_res_adj*s_CF_citrus*0.001*(up_Irr!J19+up_Irr!AH19+up_Irr!BF19),".")</f>
        <v>13821.505926415879</v>
      </c>
      <c r="AK19" s="93">
        <f>IFERROR(s_C*s_IFCO_res_adj*s_CF_corn*0.001*(up_Irr!K19+up_Irr!AI19+up_Irr!BG19),".")</f>
        <v>13821.505926415879</v>
      </c>
      <c r="AL19" s="93">
        <f>IFERROR(s_C*s_IFCU_res_adj*s_CF_cucumber*0.001*(up_Irr!L19+up_Irr!AJ19+up_Irr!BH19),".")</f>
        <v>13821.505926415879</v>
      </c>
      <c r="AM19" s="93">
        <f>IFERROR(s_C*s_IFLE_res_adj*s_CF_lettuce*0.001*(up_Irr!M19+up_Irr!AK19+up_Irr!BI19),".")</f>
        <v>13821.505926415879</v>
      </c>
      <c r="AN19" s="93">
        <f>IFERROR(s_C*s_IFLI_res_adj*s_CF_lima_bean*0.001*(up_Irr!N19+up_Irr!AL19+up_Irr!BJ19),".")</f>
        <v>13821.505926415879</v>
      </c>
      <c r="AO19" s="93">
        <f>IFERROR(s_C*s_IFOK_res_adj*s_CF_okra*0.001*(up_Irr!O19+up_Irr!AM19+up_Irr!BK19),".")</f>
        <v>13821.505926415879</v>
      </c>
      <c r="AP19" s="93">
        <f>IFERROR(s_C*s_IFON_res_adj*s_CF_onion*0.001*(up_Irr!P19+up_Irr!AN19+up_Irr!BL19),".")</f>
        <v>13821.505926415879</v>
      </c>
      <c r="AQ19" s="93">
        <f>IFERROR(s_C*s_IFPC_res_adj*s_CF_peach*0.001*(up_Irr!Q19+up_Irr!AO19+up_Irr!BM19),".")</f>
        <v>13821.505926415879</v>
      </c>
      <c r="AR19" s="93">
        <f>IFERROR(s_C*s_IFPR_res_adj*s_CF_pear*0.001*(up_Irr!R19+up_Irr!AP19+up_Irr!BN19),".")</f>
        <v>13821.505926415879</v>
      </c>
      <c r="AS19" s="93">
        <f>IFERROR(s_C*s_IFPE_res_adj*s_CF_peas*0.001*(up_Irr!S19+up_Irr!AQ19+up_Irr!BO19),".")</f>
        <v>13821.505926415879</v>
      </c>
      <c r="AT19" s="93">
        <f>IFERROR(s_C*s_IFPT_res_adj*s_CF_potato*0.001*(up_Irr!T19+up_Irr!AR19+up_Irr!BP19),".")</f>
        <v>13821.505926415879</v>
      </c>
      <c r="AU19" s="93">
        <f>IFERROR(s_C*s_IFPU_res_adj*s_CF_pumpkin*0.001*(up_Irr!U19+up_Irr!AS19+up_Irr!BQ19),".")</f>
        <v>13821.505926415879</v>
      </c>
      <c r="AV19" s="93">
        <f>IFERROR(s_C*s_IFSN_res_adj*s_CF_snap_bean*0.001*(up_Irr!V19+up_Irr!AT19+up_Irr!BR19),".")</f>
        <v>13821.505926415879</v>
      </c>
      <c r="AW19" s="93">
        <f>IFERROR(s_C*s_IFST_res_adj*s_CF_strawberry*0.001*(up_Irr!W19+up_Irr!AU19+up_Irr!BS19),".")</f>
        <v>13821.505926415879</v>
      </c>
      <c r="AX19" s="93">
        <f>IFERROR(s_C*s_IFTO_res_adj*s_CF_tomato*0.001*(up_Irr!X19+up_Irr!AV19+up_Irr!BT19),".")</f>
        <v>13821.505926415879</v>
      </c>
      <c r="AY19" s="93">
        <f>IFERROR(s_C*s_IFRI_res_adj*s_CF_rice*0.001*(up_Irr!Y19+up_Irr!AW19+up_Irr!BU19),".")</f>
        <v>13821.505926415879</v>
      </c>
      <c r="AZ19" s="93">
        <f>IFERROR(s_C*s_IFCG_res_adj*s_CF_cereal*0.001*(up_Irr!Z19+up_Irr!AX19+up_Irr!BV19),".")</f>
        <v>13821.505926415879</v>
      </c>
      <c r="BA19" s="76">
        <f t="shared" si="3"/>
        <v>1.8087754064641833E-11</v>
      </c>
      <c r="BB19" s="76">
        <f>IFERROR(IF(AND(up_Irr!C19&lt;&gt;".",up_Irr!AA19&lt;&gt;".",up_Irr!AY19&lt;&gt;"."),up_dir!AC19/((1/1000)*(up_Irr!C19+up_Irr!AA19+up_Irr!AY19)),IF(AND(up_Irr!C19&lt;&gt;".",up_Irr!AA19&lt;&gt;".",up_Irr!AY19="."),up_dir!AC19/((1/1000)*(up_Irr!C19+up_Irr!AA19)),IF(AND(up_Irr!C19&lt;&gt;".",up_Irr!AA19=".",up_Irr!AY19&lt;&gt;"."),up_dir!AC19/((1/1000)*(up_Irr!C19+up_Irr!AY19)),IF(AND(up_Irr!C19=".",up_Irr!AA19&lt;&gt;".",up_Irr!AY19&lt;&gt;"."),up_dir!AC19/((1/1000)*(up_Irr!AA19+up_Irr!AY19)),IF(AND(up_Irr!C19=".",up_Irr!AA19=".",up_Irr!AY19&lt;&gt;"."),up_dir!AC19/((1/1000)*(up_Irr!AY19)),IF(AND(up_Irr!C19=".",up_Irr!AA19&lt;&gt;".",up_Irr!AY19="."),up_dir!AC19/((1/1000)*(up_Irr!AA19)),IF(AND(up_Irr!C19&lt;&gt;".",up_Irr!AA19=".",up_Irr!AY19="."),up_dir!AC19/((1/1000)*(up_Irr!C19)),IF(AND(up_Irr!C19=".",up_Irr!AA19=".",up_Irr!AY19="."),up_dir!AC19*1000)))))))),".")</f>
        <v>7.2351016258567334E-11</v>
      </c>
      <c r="BC19" s="76">
        <f>IFERROR(IF(AND(up_Irr!D19&lt;&gt;".",up_Irr!AB19&lt;&gt;".",up_Irr!AZ19&lt;&gt;"."),up_dir!AD19/((1/1000)*(up_Irr!D19+up_Irr!AB19+up_Irr!AZ19)),IF(AND(up_Irr!D19&lt;&gt;".",up_Irr!AB19&lt;&gt;".",up_Irr!AZ19="."),up_dir!AD19/((1/1000)*(up_Irr!D19+up_Irr!AB19)),IF(AND(up_Irr!D19&lt;&gt;".",up_Irr!AB19=".",up_Irr!AZ19&lt;&gt;"."),up_dir!AD19/((1/1000)*(up_Irr!D19+up_Irr!AZ19)),IF(AND(up_Irr!D19=".",up_Irr!AB19&lt;&gt;".",up_Irr!AZ19&lt;&gt;"."),up_dir!AD19/((1/1000)*(up_Irr!AB19+up_Irr!AZ19)),IF(AND(up_Irr!D19=".",up_Irr!AB19=".",up_Irr!AZ19&lt;&gt;"."),up_dir!AD19/((1/1000)*(up_Irr!AZ19)),IF(AND(up_Irr!D19=".",up_Irr!AB19&lt;&gt;".",up_Irr!AZ19="."),up_dir!AD19/((1/1000)*(up_Irr!AB19)),IF(AND(up_Irr!D19&lt;&gt;".",up_Irr!AB19=".",up_Irr!AZ19="."),up_dir!AD19/((1/1000)*(up_Irr!D19)),IF(AND(up_Irr!D19=".",up_Irr!AB19=".",up_Irr!AZ19="."),up_dir!AD19*1000)))))))),".")</f>
        <v>7.2351016258567334E-11</v>
      </c>
      <c r="BD19" s="76">
        <f>IFERROR(IF(AND(up_Irr!E19&lt;&gt;".",up_Irr!AC19&lt;&gt;".",up_Irr!BA19&lt;&gt;"."),up_dir!AE19/((1/1000)*(up_Irr!E19+up_Irr!AC19+up_Irr!BA19)),IF(AND(up_Irr!E19&lt;&gt;".",up_Irr!AC19&lt;&gt;".",up_Irr!BA19="."),up_dir!AE19/((1/1000)*(up_Irr!E19+up_Irr!AC19)),IF(AND(up_Irr!E19&lt;&gt;".",up_Irr!AC19=".",up_Irr!BA19&lt;&gt;"."),up_dir!AE19/((1/1000)*(up_Irr!E19+up_Irr!BA19)),IF(AND(up_Irr!E19=".",up_Irr!AC19&lt;&gt;".",up_Irr!BA19&lt;&gt;"."),up_dir!AE19/((1/1000)*(up_Irr!AC19+up_Irr!BA19)),IF(AND(up_Irr!E19=".",up_Irr!AC19=".",up_Irr!BA19&lt;&gt;"."),up_dir!AE19/((1/1000)*(up_Irr!BA19)),IF(AND(up_Irr!E19=".",up_Irr!AC19&lt;&gt;".",up_Irr!BA19="."),up_dir!AE19/((1/1000)*(up_Irr!AC19)),IF(AND(up_Irr!E19&lt;&gt;".",up_Irr!AC19=".",up_Irr!BA19="."),up_dir!AE19/((1/1000)*(up_Irr!E19)),IF(AND(up_Irr!E19=".",up_Irr!AC19=".",up_Irr!BA19="."),up_dir!AE19*1000)))))))),".")</f>
        <v>7.2351016258567334E-11</v>
      </c>
      <c r="BE19" s="76">
        <f>IFERROR(IF(AND(up_Irr!F19&lt;&gt;".",up_Irr!AD19&lt;&gt;".",up_Irr!BB19&lt;&gt;"."),up_dir!AF19/((1/1000)*(up_Irr!F19+up_Irr!AD19+up_Irr!BB19)),IF(AND(up_Irr!F19&lt;&gt;".",up_Irr!AD19&lt;&gt;".",up_Irr!BB19="."),up_dir!AF19/((1/1000)*(up_Irr!F19+up_Irr!AD19)),IF(AND(up_Irr!F19&lt;&gt;".",up_Irr!AD19=".",up_Irr!BB19&lt;&gt;"."),up_dir!AF19/((1/1000)*(up_Irr!F19+up_Irr!BB19)),IF(AND(up_Irr!F19=".",up_Irr!AD19&lt;&gt;".",up_Irr!BB19&lt;&gt;"."),up_dir!AF19/((1/1000)*(up_Irr!AD19+up_Irr!BB19)),IF(AND(up_Irr!F19=".",up_Irr!AD19=".",up_Irr!BB19&lt;&gt;"."),up_dir!AF19/((1/1000)*(up_Irr!BB19)),IF(AND(up_Irr!F19=".",up_Irr!AD19&lt;&gt;".",up_Irr!BB19="."),up_dir!AF19/((1/1000)*(up_Irr!AD19)),IF(AND(up_Irr!F19&lt;&gt;".",up_Irr!AD19=".",up_Irr!BB19="."),up_dir!AF19/((1/1000)*(up_Irr!F19)),IF(AND(up_Irr!F19=".",up_Irr!AD19=".",up_Irr!BB19="."),up_dir!AF19*1000)))))))),".")</f>
        <v>7.2351016258567334E-11</v>
      </c>
      <c r="BF19" s="76">
        <f>IFERROR(IF(AND(up_Irr!G19&lt;&gt;".",up_Irr!AE19&lt;&gt;".",up_Irr!BC19&lt;&gt;"."),up_dir!AG19/((1/1000)*(up_Irr!G19+up_Irr!AE19+up_Irr!BC19)),IF(AND(up_Irr!G19&lt;&gt;".",up_Irr!AE19&lt;&gt;".",up_Irr!BC19="."),up_dir!AG19/((1/1000)*(up_Irr!G19+up_Irr!AE19)),IF(AND(up_Irr!G19&lt;&gt;".",up_Irr!AE19=".",up_Irr!BC19&lt;&gt;"."),up_dir!AG19/((1/1000)*(up_Irr!G19+up_Irr!BC19)),IF(AND(up_Irr!G19=".",up_Irr!AE19&lt;&gt;".",up_Irr!BC19&lt;&gt;"."),up_dir!AG19/((1/1000)*(up_Irr!AE19+up_Irr!BC19)),IF(AND(up_Irr!G19=".",up_Irr!AE19=".",up_Irr!BC19&lt;&gt;"."),up_dir!AG19/((1/1000)*(up_Irr!BC19)),IF(AND(up_Irr!G19=".",up_Irr!AE19&lt;&gt;".",up_Irr!BC19="."),up_dir!AG19/((1/1000)*(up_Irr!AE19)),IF(AND(up_Irr!G19&lt;&gt;".",up_Irr!AE19=".",up_Irr!BC19="."),up_dir!AG19/((1/1000)*(up_Irr!G19)),IF(AND(up_Irr!G19=".",up_Irr!AE19=".",up_Irr!BC19="."),up_dir!AG19*1000)))))))),".")</f>
        <v>7.2351016258567334E-11</v>
      </c>
      <c r="BG19" s="76">
        <f>IFERROR(IF(AND(up_Irr!H19&lt;&gt;".",up_Irr!AF19&lt;&gt;".",up_Irr!BD19&lt;&gt;"."),up_dir!AH19/((1/1000)*(up_Irr!H19+up_Irr!AF19+up_Irr!BD19)),IF(AND(up_Irr!H19&lt;&gt;".",up_Irr!AF19&lt;&gt;".",up_Irr!BD19="."),up_dir!AH19/((1/1000)*(up_Irr!H19+up_Irr!AF19)),IF(AND(up_Irr!H19&lt;&gt;".",up_Irr!AF19=".",up_Irr!BD19&lt;&gt;"."),up_dir!AH19/((1/1000)*(up_Irr!H19+up_Irr!BD19)),IF(AND(up_Irr!H19=".",up_Irr!AF19&lt;&gt;".",up_Irr!BD19&lt;&gt;"."),up_dir!AH19/((1/1000)*(up_Irr!AF19+up_Irr!BD19)),IF(AND(up_Irr!H19=".",up_Irr!AF19=".",up_Irr!BD19&lt;&gt;"."),up_dir!AH19/((1/1000)*(up_Irr!BD19)),IF(AND(up_Irr!H19=".",up_Irr!AF19&lt;&gt;".",up_Irr!BD19="."),up_dir!AH19/((1/1000)*(up_Irr!AF19)),IF(AND(up_Irr!H19&lt;&gt;".",up_Irr!AF19=".",up_Irr!BD19="."),up_dir!AH19/((1/1000)*(up_Irr!H19)),IF(AND(up_Irr!H19=".",up_Irr!AF19=".",up_Irr!BD19="."),up_dir!AH19*1000)))))))),".")</f>
        <v>7.2351016258567334E-11</v>
      </c>
      <c r="BH19" s="76">
        <f>IFERROR(IF(AND(up_Irr!I19&lt;&gt;".",up_Irr!AG19&lt;&gt;".",up_Irr!BE19&lt;&gt;"."),up_dir!AI19/((1/1000)*(up_Irr!I19+up_Irr!AG19+up_Irr!BE19)),IF(AND(up_Irr!I19&lt;&gt;".",up_Irr!AG19&lt;&gt;".",up_Irr!BE19="."),up_dir!AI19/((1/1000)*(up_Irr!I19+up_Irr!AG19)),IF(AND(up_Irr!I19&lt;&gt;".",up_Irr!AG19=".",up_Irr!BE19&lt;&gt;"."),up_dir!AI19/((1/1000)*(up_Irr!I19+up_Irr!BE19)),IF(AND(up_Irr!I19=".",up_Irr!AG19&lt;&gt;".",up_Irr!BE19&lt;&gt;"."),up_dir!AI19/((1/1000)*(up_Irr!AG19+up_Irr!BE19)),IF(AND(up_Irr!I19=".",up_Irr!AG19=".",up_Irr!BE19&lt;&gt;"."),up_dir!AI19/((1/1000)*(up_Irr!BE19)),IF(AND(up_Irr!I19=".",up_Irr!AG19&lt;&gt;".",up_Irr!BE19="."),up_dir!AI19/((1/1000)*(up_Irr!AG19)),IF(AND(up_Irr!I19&lt;&gt;".",up_Irr!AG19=".",up_Irr!BE19="."),up_dir!AI19/((1/1000)*(up_Irr!I19)),IF(AND(up_Irr!I19=".",up_Irr!AG19=".",up_Irr!BE19="."),up_dir!AI19*1000)))))))),".")</f>
        <v>7.2351016258567334E-11</v>
      </c>
      <c r="BI19" s="76">
        <f>IFERROR(IF(AND(up_Irr!J19&lt;&gt;".",up_Irr!AH19&lt;&gt;".",up_Irr!BF19&lt;&gt;"."),up_dir!AJ19/((1/1000)*(up_Irr!J19+up_Irr!AH19+up_Irr!BF19)),IF(AND(up_Irr!J19&lt;&gt;".",up_Irr!AH19&lt;&gt;".",up_Irr!BF19="."),up_dir!AJ19/((1/1000)*(up_Irr!J19+up_Irr!AH19)),IF(AND(up_Irr!J19&lt;&gt;".",up_Irr!AH19=".",up_Irr!BF19&lt;&gt;"."),up_dir!AJ19/((1/1000)*(up_Irr!J19+up_Irr!BF19)),IF(AND(up_Irr!J19=".",up_Irr!AH19&lt;&gt;".",up_Irr!BF19&lt;&gt;"."),up_dir!AJ19/((1/1000)*(up_Irr!AH19+up_Irr!BF19)),IF(AND(up_Irr!J19=".",up_Irr!AH19=".",up_Irr!BF19&lt;&gt;"."),up_dir!AJ19/((1/1000)*(up_Irr!BF19)),IF(AND(up_Irr!J19=".",up_Irr!AH19&lt;&gt;".",up_Irr!BF19="."),up_dir!AJ19/((1/1000)*(up_Irr!AH19)),IF(AND(up_Irr!J19&lt;&gt;".",up_Irr!AH19=".",up_Irr!BF19="."),up_dir!AJ19/((1/1000)*(up_Irr!J19)),IF(AND(up_Irr!J19=".",up_Irr!AH19=".",up_Irr!BF19="."),up_dir!AJ19*1000)))))))),".")</f>
        <v>7.2351016258567334E-11</v>
      </c>
      <c r="BJ19" s="76">
        <f>IFERROR(IF(AND(up_Irr!K19&lt;&gt;".",up_Irr!AI19&lt;&gt;".",up_Irr!BG19&lt;&gt;"."),up_dir!AK19/((1/1000)*(up_Irr!K19+up_Irr!AI19+up_Irr!BG19)),IF(AND(up_Irr!K19&lt;&gt;".",up_Irr!AI19&lt;&gt;".",up_Irr!BG19="."),up_dir!AK19/((1/1000)*(up_Irr!K19+up_Irr!AI19)),IF(AND(up_Irr!K19&lt;&gt;".",up_Irr!AI19=".",up_Irr!BG19&lt;&gt;"."),up_dir!AK19/((1/1000)*(up_Irr!K19+up_Irr!BG19)),IF(AND(up_Irr!K19=".",up_Irr!AI19&lt;&gt;".",up_Irr!BG19&lt;&gt;"."),up_dir!AK19/((1/1000)*(up_Irr!AI19+up_Irr!BG19)),IF(AND(up_Irr!K19=".",up_Irr!AI19=".",up_Irr!BG19&lt;&gt;"."),up_dir!AK19/((1/1000)*(up_Irr!BG19)),IF(AND(up_Irr!K19=".",up_Irr!AI19&lt;&gt;".",up_Irr!BG19="."),up_dir!AK19/((1/1000)*(up_Irr!AI19)),IF(AND(up_Irr!K19&lt;&gt;".",up_Irr!AI19=".",up_Irr!BG19="."),up_dir!AK19/((1/1000)*(up_Irr!K19)),IF(AND(up_Irr!K19=".",up_Irr!AI19=".",up_Irr!BG19="."),up_dir!AK19*1000)))))))),".")</f>
        <v>7.2351016258567334E-11</v>
      </c>
      <c r="BK19" s="76">
        <f>IFERROR(IF(AND(up_Irr!L19&lt;&gt;".",up_Irr!AJ19&lt;&gt;".",up_Irr!BH19&lt;&gt;"."),up_dir!AL19/((1/1000)*(up_Irr!L19+up_Irr!AJ19+up_Irr!BH19)),IF(AND(up_Irr!L19&lt;&gt;".",up_Irr!AJ19&lt;&gt;".",up_Irr!BH19="."),up_dir!AL19/((1/1000)*(up_Irr!L19+up_Irr!AJ19)),IF(AND(up_Irr!L19&lt;&gt;".",up_Irr!AJ19=".",up_Irr!BH19&lt;&gt;"."),up_dir!AL19/((1/1000)*(up_Irr!L19+up_Irr!BH19)),IF(AND(up_Irr!L19=".",up_Irr!AJ19&lt;&gt;".",up_Irr!BH19&lt;&gt;"."),up_dir!AL19/((1/1000)*(up_Irr!AJ19+up_Irr!BH19)),IF(AND(up_Irr!L19=".",up_Irr!AJ19=".",up_Irr!BH19&lt;&gt;"."),up_dir!AL19/((1/1000)*(up_Irr!BH19)),IF(AND(up_Irr!L19=".",up_Irr!AJ19&lt;&gt;".",up_Irr!BH19="."),up_dir!AL19/((1/1000)*(up_Irr!AJ19)),IF(AND(up_Irr!L19&lt;&gt;".",up_Irr!AJ19=".",up_Irr!BH19="."),up_dir!AL19/((1/1000)*(up_Irr!L19)),IF(AND(up_Irr!L19=".",up_Irr!AJ19=".",up_Irr!BH19="."),up_dir!AL19*1000)))))))),".")</f>
        <v>7.2351016258567334E-11</v>
      </c>
      <c r="BL19" s="76">
        <f>IFERROR(IF(AND(up_Irr!M19&lt;&gt;".",up_Irr!AK19&lt;&gt;".",up_Irr!BI19&lt;&gt;"."),up_dir!AM19/((1/1000)*(up_Irr!M19+up_Irr!AK19+up_Irr!BI19)),IF(AND(up_Irr!M19&lt;&gt;".",up_Irr!AK19&lt;&gt;".",up_Irr!BI19="."),up_dir!AM19/((1/1000)*(up_Irr!M19+up_Irr!AK19)),IF(AND(up_Irr!M19&lt;&gt;".",up_Irr!AK19=".",up_Irr!BI19&lt;&gt;"."),up_dir!AM19/((1/1000)*(up_Irr!M19+up_Irr!BI19)),IF(AND(up_Irr!M19=".",up_Irr!AK19&lt;&gt;".",up_Irr!BI19&lt;&gt;"."),up_dir!AM19/((1/1000)*(up_Irr!AK19+up_Irr!BI19)),IF(AND(up_Irr!M19=".",up_Irr!AK19=".",up_Irr!BI19&lt;&gt;"."),up_dir!AM19/((1/1000)*(up_Irr!BI19)),IF(AND(up_Irr!M19=".",up_Irr!AK19&lt;&gt;".",up_Irr!BI19="."),up_dir!AM19/((1/1000)*(up_Irr!AK19)),IF(AND(up_Irr!M19&lt;&gt;".",up_Irr!AK19=".",up_Irr!BI19="."),up_dir!AM19/((1/1000)*(up_Irr!M19)),IF(AND(up_Irr!M19=".",up_Irr!AK19=".",up_Irr!BI19="."),up_dir!AM19*1000)))))))),".")</f>
        <v>7.2351016258567334E-11</v>
      </c>
      <c r="BM19" s="76">
        <f>IFERROR(IF(AND(up_Irr!N19&lt;&gt;".",up_Irr!AL19&lt;&gt;".",up_Irr!BJ19&lt;&gt;"."),up_dir!AN19/((1/1000)*(up_Irr!N19+up_Irr!AL19+up_Irr!BJ19)),IF(AND(up_Irr!N19&lt;&gt;".",up_Irr!AL19&lt;&gt;".",up_Irr!BJ19="."),up_dir!AN19/((1/1000)*(up_Irr!N19+up_Irr!AL19)),IF(AND(up_Irr!N19&lt;&gt;".",up_Irr!AL19=".",up_Irr!BJ19&lt;&gt;"."),up_dir!AN19/((1/1000)*(up_Irr!N19+up_Irr!BJ19)),IF(AND(up_Irr!N19=".",up_Irr!AL19&lt;&gt;".",up_Irr!BJ19&lt;&gt;"."),up_dir!AN19/((1/1000)*(up_Irr!AL19+up_Irr!BJ19)),IF(AND(up_Irr!N19=".",up_Irr!AL19=".",up_Irr!BJ19&lt;&gt;"."),up_dir!AN19/((1/1000)*(up_Irr!BJ19)),IF(AND(up_Irr!N19=".",up_Irr!AL19&lt;&gt;".",up_Irr!BJ19="."),up_dir!AN19/((1/1000)*(up_Irr!AL19)),IF(AND(up_Irr!N19&lt;&gt;".",up_Irr!AL19=".",up_Irr!BJ19="."),up_dir!AN19/((1/1000)*(up_Irr!N19)),IF(AND(up_Irr!N19=".",up_Irr!AL19=".",up_Irr!BJ19="."),up_dir!AN19*1000)))))))),".")</f>
        <v>7.2351016258567334E-11</v>
      </c>
      <c r="BN19" s="76">
        <f>IFERROR(IF(AND(up_Irr!O19&lt;&gt;".",up_Irr!AM19&lt;&gt;".",up_Irr!BK19&lt;&gt;"."),up_dir!AO19/((1/1000)*(up_Irr!O19+up_Irr!AM19+up_Irr!BK19)),IF(AND(up_Irr!O19&lt;&gt;".",up_Irr!AM19&lt;&gt;".",up_Irr!BK19="."),up_dir!AO19/((1/1000)*(up_Irr!O19+up_Irr!AM19)),IF(AND(up_Irr!O19&lt;&gt;".",up_Irr!AM19=".",up_Irr!BK19&lt;&gt;"."),up_dir!AO19/((1/1000)*(up_Irr!O19+up_Irr!BK19)),IF(AND(up_Irr!O19=".",up_Irr!AM19&lt;&gt;".",up_Irr!BK19&lt;&gt;"."),up_dir!AO19/((1/1000)*(up_Irr!AM19+up_Irr!BK19)),IF(AND(up_Irr!O19=".",up_Irr!AM19=".",up_Irr!BK19&lt;&gt;"."),up_dir!AO19/((1/1000)*(up_Irr!BK19)),IF(AND(up_Irr!O19=".",up_Irr!AM19&lt;&gt;".",up_Irr!BK19="."),up_dir!AO19/((1/1000)*(up_Irr!AM19)),IF(AND(up_Irr!O19&lt;&gt;".",up_Irr!AM19=".",up_Irr!BK19="."),up_dir!AO19/((1/1000)*(up_Irr!O19)),IF(AND(up_Irr!O19=".",up_Irr!AM19=".",up_Irr!BK19="."),up_dir!AO19*1000)))))))),".")</f>
        <v>7.2351016258567334E-11</v>
      </c>
      <c r="BO19" s="76">
        <f>IFERROR(IF(AND(up_Irr!P19&lt;&gt;".",up_Irr!AN19&lt;&gt;".",up_Irr!BL19&lt;&gt;"."),up_dir!AP19/((1/1000)*(up_Irr!P19+up_Irr!AN19+up_Irr!BL19)),IF(AND(up_Irr!P19&lt;&gt;".",up_Irr!AN19&lt;&gt;".",up_Irr!BL19="."),up_dir!AP19/((1/1000)*(up_Irr!P19+up_Irr!AN19)),IF(AND(up_Irr!P19&lt;&gt;".",up_Irr!AN19=".",up_Irr!BL19&lt;&gt;"."),up_dir!AP19/((1/1000)*(up_Irr!P19+up_Irr!BL19)),IF(AND(up_Irr!P19=".",up_Irr!AN19&lt;&gt;".",up_Irr!BL19&lt;&gt;"."),up_dir!AP19/((1/1000)*(up_Irr!AN19+up_Irr!BL19)),IF(AND(up_Irr!P19=".",up_Irr!AN19=".",up_Irr!BL19&lt;&gt;"."),up_dir!AP19/((1/1000)*(up_Irr!BL19)),IF(AND(up_Irr!P19=".",up_Irr!AN19&lt;&gt;".",up_Irr!BL19="."),up_dir!AP19/((1/1000)*(up_Irr!AN19)),IF(AND(up_Irr!P19&lt;&gt;".",up_Irr!AN19=".",up_Irr!BL19="."),up_dir!AP19/((1/1000)*(up_Irr!P19)),IF(AND(up_Irr!P19=".",up_Irr!AN19=".",up_Irr!BL19="."),up_dir!AP19*1000)))))))),".")</f>
        <v>7.2351016258567334E-11</v>
      </c>
      <c r="BP19" s="76">
        <f>IFERROR(IF(AND(up_Irr!Q19&lt;&gt;".",up_Irr!AO19&lt;&gt;".",up_Irr!BM19&lt;&gt;"."),up_dir!AQ19/((1/1000)*(up_Irr!Q19+up_Irr!AO19+up_Irr!BM19)),IF(AND(up_Irr!Q19&lt;&gt;".",up_Irr!AO19&lt;&gt;".",up_Irr!BM19="."),up_dir!AQ19/((1/1000)*(up_Irr!Q19+up_Irr!AO19)),IF(AND(up_Irr!Q19&lt;&gt;".",up_Irr!AO19=".",up_Irr!BM19&lt;&gt;"."),up_dir!AQ19/((1/1000)*(up_Irr!Q19+up_Irr!BM19)),IF(AND(up_Irr!Q19=".",up_Irr!AO19&lt;&gt;".",up_Irr!BM19&lt;&gt;"."),up_dir!AQ19/((1/1000)*(up_Irr!AO19+up_Irr!BM19)),IF(AND(up_Irr!Q19=".",up_Irr!AO19=".",up_Irr!BM19&lt;&gt;"."),up_dir!AQ19/((1/1000)*(up_Irr!BM19)),IF(AND(up_Irr!Q19=".",up_Irr!AO19&lt;&gt;".",up_Irr!BM19="."),up_dir!AQ19/((1/1000)*(up_Irr!AO19)),IF(AND(up_Irr!Q19&lt;&gt;".",up_Irr!AO19=".",up_Irr!BM19="."),up_dir!AQ19/((1/1000)*(up_Irr!Q19)),IF(AND(up_Irr!Q19=".",up_Irr!AO19=".",up_Irr!BM19="."),up_dir!AQ19*1000)))))))),".")</f>
        <v>7.2351016258567334E-11</v>
      </c>
      <c r="BQ19" s="76">
        <f>IFERROR(IF(AND(up_Irr!R19&lt;&gt;".",up_Irr!AP19&lt;&gt;".",up_Irr!BN19&lt;&gt;"."),up_dir!AR19/((1/1000)*(up_Irr!R19+up_Irr!AP19+up_Irr!BN19)),IF(AND(up_Irr!R19&lt;&gt;".",up_Irr!AP19&lt;&gt;".",up_Irr!BN19="."),up_dir!AR19/((1/1000)*(up_Irr!R19+up_Irr!AP19)),IF(AND(up_Irr!R19&lt;&gt;".",up_Irr!AP19=".",up_Irr!BN19&lt;&gt;"."),up_dir!AR19/((1/1000)*(up_Irr!R19+up_Irr!BN19)),IF(AND(up_Irr!R19=".",up_Irr!AP19&lt;&gt;".",up_Irr!BN19&lt;&gt;"."),up_dir!AR19/((1/1000)*(up_Irr!AP19+up_Irr!BN19)),IF(AND(up_Irr!R19=".",up_Irr!AP19=".",up_Irr!BN19&lt;&gt;"."),up_dir!AR19/((1/1000)*(up_Irr!BN19)),IF(AND(up_Irr!R19=".",up_Irr!AP19&lt;&gt;".",up_Irr!BN19="."),up_dir!AR19/((1/1000)*(up_Irr!AP19)),IF(AND(up_Irr!R19&lt;&gt;".",up_Irr!AP19=".",up_Irr!BN19="."),up_dir!AR19/((1/1000)*(up_Irr!R19)),IF(AND(up_Irr!R19=".",up_Irr!AP19=".",up_Irr!BN19="."),up_dir!AR19*1000)))))))),".")</f>
        <v>7.2351016258567334E-11</v>
      </c>
      <c r="BR19" s="76">
        <f>IFERROR(IF(AND(up_Irr!S19&lt;&gt;".",up_Irr!AQ19&lt;&gt;".",up_Irr!BO19&lt;&gt;"."),up_dir!AS19/((1/1000)*(up_Irr!S19+up_Irr!AQ19+up_Irr!BO19)),IF(AND(up_Irr!S19&lt;&gt;".",up_Irr!AQ19&lt;&gt;".",up_Irr!BO19="."),up_dir!AS19/((1/1000)*(up_Irr!S19+up_Irr!AQ19)),IF(AND(up_Irr!S19&lt;&gt;".",up_Irr!AQ19=".",up_Irr!BO19&lt;&gt;"."),up_dir!AS19/((1/1000)*(up_Irr!S19+up_Irr!BO19)),IF(AND(up_Irr!S19=".",up_Irr!AQ19&lt;&gt;".",up_Irr!BO19&lt;&gt;"."),up_dir!AS19/((1/1000)*(up_Irr!AQ19+up_Irr!BO19)),IF(AND(up_Irr!S19=".",up_Irr!AQ19=".",up_Irr!BO19&lt;&gt;"."),up_dir!AS19/((1/1000)*(up_Irr!BO19)),IF(AND(up_Irr!S19=".",up_Irr!AQ19&lt;&gt;".",up_Irr!BO19="."),up_dir!AS19/((1/1000)*(up_Irr!AQ19)),IF(AND(up_Irr!S19&lt;&gt;".",up_Irr!AQ19=".",up_Irr!BO19="."),up_dir!AS19/((1/1000)*(up_Irr!S19)),IF(AND(up_Irr!S19=".",up_Irr!AQ19=".",up_Irr!BO19="."),up_dir!AS19*1000)))))))),".")</f>
        <v>7.2351016258567334E-11</v>
      </c>
      <c r="BS19" s="76">
        <f>IFERROR(IF(AND(up_Irr!T19&lt;&gt;".",up_Irr!AR19&lt;&gt;".",up_Irr!BP19&lt;&gt;"."),up_dir!AT19/((1/1000)*(up_Irr!T19+up_Irr!AR19+up_Irr!BP19)),IF(AND(up_Irr!T19&lt;&gt;".",up_Irr!AR19&lt;&gt;".",up_Irr!BP19="."),up_dir!AT19/((1/1000)*(up_Irr!T19+up_Irr!AR19)),IF(AND(up_Irr!T19&lt;&gt;".",up_Irr!AR19=".",up_Irr!BP19&lt;&gt;"."),up_dir!AT19/((1/1000)*(up_Irr!T19+up_Irr!BP19)),IF(AND(up_Irr!T19=".",up_Irr!AR19&lt;&gt;".",up_Irr!BP19&lt;&gt;"."),up_dir!AT19/((1/1000)*(up_Irr!AR19+up_Irr!BP19)),IF(AND(up_Irr!T19=".",up_Irr!AR19=".",up_Irr!BP19&lt;&gt;"."),up_dir!AT19/((1/1000)*(up_Irr!BP19)),IF(AND(up_Irr!T19=".",up_Irr!AR19&lt;&gt;".",up_Irr!BP19="."),up_dir!AT19/((1/1000)*(up_Irr!AR19)),IF(AND(up_Irr!T19&lt;&gt;".",up_Irr!AR19=".",up_Irr!BP19="."),up_dir!AT19/((1/1000)*(up_Irr!T19)),IF(AND(up_Irr!T19=".",up_Irr!AR19=".",up_Irr!BP19="."),up_dir!AT19*1000)))))))),".")</f>
        <v>7.2351016258567334E-11</v>
      </c>
      <c r="BT19" s="76">
        <f>IFERROR(IF(AND(up_Irr!U19&lt;&gt;".",up_Irr!AS19&lt;&gt;".",up_Irr!BQ19&lt;&gt;"."),up_dir!AU19/((1/1000)*(up_Irr!U19+up_Irr!AS19+up_Irr!BQ19)),IF(AND(up_Irr!U19&lt;&gt;".",up_Irr!AS19&lt;&gt;".",up_Irr!BQ19="."),up_dir!AU19/((1/1000)*(up_Irr!U19+up_Irr!AS19)),IF(AND(up_Irr!U19&lt;&gt;".",up_Irr!AS19=".",up_Irr!BQ19&lt;&gt;"."),up_dir!AU19/((1/1000)*(up_Irr!U19+up_Irr!BQ19)),IF(AND(up_Irr!U19=".",up_Irr!AS19&lt;&gt;".",up_Irr!BQ19&lt;&gt;"."),up_dir!AU19/((1/1000)*(up_Irr!AS19+up_Irr!BQ19)),IF(AND(up_Irr!U19=".",up_Irr!AS19=".",up_Irr!BQ19&lt;&gt;"."),up_dir!AU19/((1/1000)*(up_Irr!BQ19)),IF(AND(up_Irr!U19=".",up_Irr!AS19&lt;&gt;".",up_Irr!BQ19="."),up_dir!AU19/((1/1000)*(up_Irr!AS19)),IF(AND(up_Irr!U19&lt;&gt;".",up_Irr!AS19=".",up_Irr!BQ19="."),up_dir!AU19/((1/1000)*(up_Irr!U19)),IF(AND(up_Irr!U19=".",up_Irr!AS19=".",up_Irr!BQ19="."),up_dir!AU19*1000)))))))),".")</f>
        <v>7.2351016258567334E-11</v>
      </c>
      <c r="BU19" s="76">
        <f>IFERROR(IF(AND(up_Irr!V19&lt;&gt;".",up_Irr!AT19&lt;&gt;".",up_Irr!BR19&lt;&gt;"."),up_dir!AV19/((1/1000)*(up_Irr!V19+up_Irr!AT19+up_Irr!BR19)),IF(AND(up_Irr!V19&lt;&gt;".",up_Irr!AT19&lt;&gt;".",up_Irr!BR19="."),up_dir!AV19/((1/1000)*(up_Irr!V19+up_Irr!AT19)),IF(AND(up_Irr!V19&lt;&gt;".",up_Irr!AT19=".",up_Irr!BR19&lt;&gt;"."),up_dir!AV19/((1/1000)*(up_Irr!V19+up_Irr!BR19)),IF(AND(up_Irr!V19=".",up_Irr!AT19&lt;&gt;".",up_Irr!BR19&lt;&gt;"."),up_dir!AV19/((1/1000)*(up_Irr!AT19+up_Irr!BR19)),IF(AND(up_Irr!V19=".",up_Irr!AT19=".",up_Irr!BR19&lt;&gt;"."),up_dir!AV19/((1/1000)*(up_Irr!BR19)),IF(AND(up_Irr!V19=".",up_Irr!AT19&lt;&gt;".",up_Irr!BR19="."),up_dir!AV19/((1/1000)*(up_Irr!AT19)),IF(AND(up_Irr!V19&lt;&gt;".",up_Irr!AT19=".",up_Irr!BR19="."),up_dir!AV19/((1/1000)*(up_Irr!V19)),IF(AND(up_Irr!V19=".",up_Irr!AT19=".",up_Irr!BR19="."),up_dir!AV19*1000)))))))),".")</f>
        <v>7.2351016258567334E-11</v>
      </c>
      <c r="BV19" s="76">
        <f>IFERROR(IF(AND(up_Irr!W19&lt;&gt;".",up_Irr!AU19&lt;&gt;".",up_Irr!BS19&lt;&gt;"."),up_dir!AW19/((1/1000)*(up_Irr!W19+up_Irr!AU19+up_Irr!BS19)),IF(AND(up_Irr!W19&lt;&gt;".",up_Irr!AU19&lt;&gt;".",up_Irr!BS19="."),up_dir!AW19/((1/1000)*(up_Irr!W19+up_Irr!AU19)),IF(AND(up_Irr!W19&lt;&gt;".",up_Irr!AU19=".",up_Irr!BS19&lt;&gt;"."),up_dir!AW19/((1/1000)*(up_Irr!W19+up_Irr!BS19)),IF(AND(up_Irr!W19=".",up_Irr!AU19&lt;&gt;".",up_Irr!BS19&lt;&gt;"."),up_dir!AW19/((1/1000)*(up_Irr!AU19+up_Irr!BS19)),IF(AND(up_Irr!W19=".",up_Irr!AU19=".",up_Irr!BS19&lt;&gt;"."),up_dir!AW19/((1/1000)*(up_Irr!BS19)),IF(AND(up_Irr!W19=".",up_Irr!AU19&lt;&gt;".",up_Irr!BS19="."),up_dir!AW19/((1/1000)*(up_Irr!AU19)),IF(AND(up_Irr!W19&lt;&gt;".",up_Irr!AU19=".",up_Irr!BS19="."),up_dir!AW19/((1/1000)*(up_Irr!W19)),IF(AND(up_Irr!W19=".",up_Irr!AU19=".",up_Irr!BS19="."),up_dir!AW19*1000)))))))),".")</f>
        <v>7.2351016258567334E-11</v>
      </c>
      <c r="BW19" s="76">
        <f>IFERROR(IF(AND(up_Irr!X19&lt;&gt;".",up_Irr!AV19&lt;&gt;".",up_Irr!BT19&lt;&gt;"."),up_dir!AX19/((1/1000)*(up_Irr!X19+up_Irr!AV19+up_Irr!BT19)),IF(AND(up_Irr!X19&lt;&gt;".",up_Irr!AV19&lt;&gt;".",up_Irr!BT19="."),up_dir!AX19/((1/1000)*(up_Irr!X19+up_Irr!AV19)),IF(AND(up_Irr!X19&lt;&gt;".",up_Irr!AV19=".",up_Irr!BT19&lt;&gt;"."),up_dir!AX19/((1/1000)*(up_Irr!X19+up_Irr!BT19)),IF(AND(up_Irr!X19=".",up_Irr!AV19&lt;&gt;".",up_Irr!BT19&lt;&gt;"."),up_dir!AX19/((1/1000)*(up_Irr!AV19+up_Irr!BT19)),IF(AND(up_Irr!X19=".",up_Irr!AV19=".",up_Irr!BT19&lt;&gt;"."),up_dir!AX19/((1/1000)*(up_Irr!BT19)),IF(AND(up_Irr!X19=".",up_Irr!AV19&lt;&gt;".",up_Irr!BT19="."),up_dir!AX19/((1/1000)*(up_Irr!AV19)),IF(AND(up_Irr!X19&lt;&gt;".",up_Irr!AV19=".",up_Irr!BT19="."),up_dir!AX19/((1/1000)*(up_Irr!X19)),IF(AND(up_Irr!X19=".",up_Irr!AV19=".",up_Irr!BT19="."),up_dir!AX19*1000)))))))),".")</f>
        <v>7.2351016258567334E-11</v>
      </c>
      <c r="BX19" s="76">
        <f>IFERROR(IF(AND(up_Irr!Y19&lt;&gt;".",up_Irr!AW19&lt;&gt;".",up_Irr!BU19&lt;&gt;"."),up_dir!AY19/((1/1000)*(up_Irr!Y19+up_Irr!AW19+up_Irr!BU19)),IF(AND(up_Irr!Y19&lt;&gt;".",up_Irr!AW19&lt;&gt;".",up_Irr!BU19="."),up_dir!AY19/((1/1000)*(up_Irr!Y19+up_Irr!AW19)),IF(AND(up_Irr!Y19&lt;&gt;".",up_Irr!AW19=".",up_Irr!BU19&lt;&gt;"."),up_dir!AY19/((1/1000)*(up_Irr!Y19+up_Irr!BU19)),IF(AND(up_Irr!Y19=".",up_Irr!AW19&lt;&gt;".",up_Irr!BU19&lt;&gt;"."),up_dir!AY19/((1/1000)*(up_Irr!AW19+up_Irr!BU19)),IF(AND(up_Irr!Y19=".",up_Irr!AW19=".",up_Irr!BU19&lt;&gt;"."),up_dir!AY19/((1/1000)*(up_Irr!BU19)),IF(AND(up_Irr!Y19=".",up_Irr!AW19&lt;&gt;".",up_Irr!BU19="."),up_dir!AY19/((1/1000)*(up_Irr!AW19)),IF(AND(up_Irr!Y19&lt;&gt;".",up_Irr!AW19=".",up_Irr!BU19="."),up_dir!AY19/((1/1000)*(up_Irr!Y19)),IF(AND(up_Irr!Y19=".",up_Irr!AW19=".",up_Irr!BU19="."),up_dir!AY19*1000)))))))),".")</f>
        <v>7.2351016258567334E-11</v>
      </c>
      <c r="BY19" s="76">
        <f>IFERROR(IF(AND(up_Irr!Z19&lt;&gt;".",up_Irr!AX19&lt;&gt;".",up_Irr!BV19&lt;&gt;"."),up_dir!AZ19/((1/1000)*(up_Irr!Z19+up_Irr!AX19+up_Irr!BV19)),IF(AND(up_Irr!Z19&lt;&gt;".",up_Irr!AX19&lt;&gt;".",up_Irr!BV19="."),up_dir!AZ19/((1/1000)*(up_Irr!Z19+up_Irr!AX19)),IF(AND(up_Irr!Z19&lt;&gt;".",up_Irr!AX19=".",up_Irr!BV19&lt;&gt;"."),up_dir!AZ19/((1/1000)*(up_Irr!Z19+up_Irr!BV19)),IF(AND(up_Irr!Z19=".",up_Irr!AX19&lt;&gt;".",up_Irr!BV19&lt;&gt;"."),up_dir!AZ19/((1/1000)*(up_Irr!AX19+up_Irr!BV19)),IF(AND(up_Irr!Z19=".",up_Irr!AX19=".",up_Irr!BV19&lt;&gt;"."),up_dir!AZ19/((1/1000)*(up_Irr!BV19)),IF(AND(up_Irr!Z19=".",up_Irr!AX19&lt;&gt;".",up_Irr!BV19="."),up_dir!AZ19/((1/1000)*(up_Irr!AX19)),IF(AND(up_Irr!Z19&lt;&gt;".",up_Irr!AX19=".",up_Irr!BV19="."),up_dir!AZ19/((1/1000)*(up_Irr!Z19)),IF(AND(up_Irr!Z19=".",up_Irr!AX19=".",up_Irr!BV19="."),up_dir!AZ19*1000)))))))),".")</f>
        <v>7.2351016258567334E-11</v>
      </c>
      <c r="BZ19" s="93">
        <f t="shared" ref="BZ19:BZ20" si="10">SUM(CA19:CB19,CW19:CX19)</f>
        <v>55286.023705663516</v>
      </c>
      <c r="CA19" s="93">
        <f>IFERROR(s_C*s_IFAP_far_adj*s_CF_apple*(1/1000)*(up_Irr!C19+up_Irr!AA19+up_Irr!AY19),".")</f>
        <v>13821.505926415879</v>
      </c>
      <c r="CB19" s="93">
        <f>IFERROR(s_C*s_IFAS_far_adj*s_CF_asparagus*(1/1000)*(up_Irr!D19+up_Irr!AB19+up_Irr!AZ19),".")</f>
        <v>13821.505926415879</v>
      </c>
      <c r="CC19" s="93">
        <f>IFERROR(s_C*s_IFBT_far_adj*s_CF_beet*(1/1000)*(up_Irr!E19+up_Irr!AC19+up_Irr!BA19),".")</f>
        <v>13821.505926415879</v>
      </c>
      <c r="CD19" s="93">
        <f>IFERROR(s_C*s_IFBE_far_adj*s_CF_berries*(1/1000)*(up_Irr!F19+up_Irr!AD19+up_Irr!BB19),".")</f>
        <v>13821.505926415879</v>
      </c>
      <c r="CE19" s="93">
        <f>IFERROR(s_C*s_IFBR_far_adj*s_CF_broccoli*(1/1000)*(up_Irr!G19+up_Irr!AE19+up_Irr!BC19),".")</f>
        <v>13821.505926415879</v>
      </c>
      <c r="CF19" s="93">
        <f>IFERROR(s_C*s_IFCB_far_adj*s_CF_cabbage*(1/1000)*(up_Irr!H19+up_Irr!AF19+up_Irr!BD19),".")</f>
        <v>13821.505926415879</v>
      </c>
      <c r="CG19" s="93">
        <f>IFERROR(s_C*s_IFCR_far_adj*s_CF_carrot*(1/1000)*(up_Irr!I19+up_Irr!AG19+up_Irr!BE19),".")</f>
        <v>13821.505926415879</v>
      </c>
      <c r="CH19" s="93">
        <f>IFERROR(s_C*s_IFCI_far_adj*s_CF_citrus*(1/1000)*(up_Irr!J19+up_Irr!AH19+up_Irr!BF19),".")</f>
        <v>13821.505926415879</v>
      </c>
      <c r="CI19" s="93">
        <f>IFERROR(s_C*s_IFCO_far_adj*s_CF_corn*(1/1000)*(up_Irr!K19+up_Irr!AI19+up_Irr!BG19),".")</f>
        <v>13821.505926415879</v>
      </c>
      <c r="CJ19" s="93">
        <f>IFERROR(s_C*s_IFCU_far_adj*s_CF_cucumber*(1/1000)*(up_Irr!L19+up_Irr!AJ19+up_Irr!BH19),".")</f>
        <v>13821.505926415879</v>
      </c>
      <c r="CK19" s="93">
        <f>IFERROR(s_C*s_IFLE_far_adj*s_CF_lettuce*(1/1000)*(up_Irr!M19+up_Irr!AK19+up_Irr!BI19),".")</f>
        <v>13821.505926415879</v>
      </c>
      <c r="CL19" s="93">
        <f>IFERROR(s_C*s_IFLI_far_adj*s_CF_lima_bean*(1/1000)*(up_Irr!N19+up_Irr!AL19+up_Irr!BJ19),".")</f>
        <v>13821.505926415879</v>
      </c>
      <c r="CM19" s="93">
        <f>IFERROR(s_C*s_IFOK_far_adj*s_CF_okra*(1/1000)*(up_Irr!O19+up_Irr!AM19+up_Irr!BK19),".")</f>
        <v>13821.505926415879</v>
      </c>
      <c r="CN19" s="93">
        <f>IFERROR(s_C*s_IFON_far_adj*s_CF_onion*(1/1000)*(up_Irr!P19+up_Irr!AN19+up_Irr!BL19),".")</f>
        <v>13821.505926415879</v>
      </c>
      <c r="CO19" s="93">
        <f>IFERROR(s_C*s_IFPC_far_adj*s_CF_peach*(1/1000)*(up_Irr!Q19+up_Irr!AO19+up_Irr!BM19),".")</f>
        <v>13821.505926415879</v>
      </c>
      <c r="CP19" s="93">
        <f>IFERROR(s_C*s_IFPR_far_adj*s_CF_pear*(1/1000)*(up_Irr!R19+up_Irr!AP19+up_Irr!BN19),".")</f>
        <v>13821.505926415879</v>
      </c>
      <c r="CQ19" s="93">
        <f>IFERROR(s_C*s_IFPE_far_adj*s_CF_peas*(1/1000)*(up_Irr!S19+up_Irr!AQ19+up_Irr!BO19),".")</f>
        <v>13821.505926415879</v>
      </c>
      <c r="CR19" s="93">
        <f>IFERROR(s_C*s_IFPT_far_adj*s_CF_potato*(1/1000)*(up_Irr!T19+up_Irr!AR19+up_Irr!BP19),".")</f>
        <v>13821.505926415879</v>
      </c>
      <c r="CS19" s="93">
        <f>IFERROR(s_C*s_IFPU_far_adj*s_CF_pumpkin*(1/1000)*(up_Irr!U19+up_Irr!AS19+up_Irr!BQ19),".")</f>
        <v>13821.505926415879</v>
      </c>
      <c r="CT19" s="93">
        <f>IFERROR(s_C*s_IFSN_far_adj*s_CF_snap_bean*(1/1000)*(up_Irr!V19+up_Irr!AT19+up_Irr!BR19),".")</f>
        <v>13821.505926415879</v>
      </c>
      <c r="CU19" s="93">
        <f>IFERROR(s_C*s_IFST_far_adj*s_CF_strawberry*(1/1000)*(up_Irr!W19+up_Irr!AU19+up_Irr!BS19),".")</f>
        <v>13821.505926415879</v>
      </c>
      <c r="CV19" s="93">
        <f>IFERROR(s_C*s_IFTO_far_adj*s_CF_tomato*(1/1000)*(up_Irr!X19+up_Irr!AV19+up_Irr!BT19),".")</f>
        <v>13821.505926415879</v>
      </c>
      <c r="CW19" s="93">
        <f>IFERROR(s_C*s_IFRI_far_adj*s_CF_rice*(1/1000)*(up_Irr!Y19+up_Irr!AW19+up_Irr!BU19),".")</f>
        <v>13821.505926415879</v>
      </c>
      <c r="CX19" s="93">
        <f>IFERROR(s_C*s_IFCG_far_adj*s_CF_cereal*(1/1000)*(up_Irr!Z19+up_Irr!AX19+up_Irr!BV19),".")</f>
        <v>13821.505926415879</v>
      </c>
    </row>
    <row r="20" spans="1:102" ht="15" customHeight="1" x14ac:dyDescent="0.25">
      <c r="A20" s="92" t="s">
        <v>30</v>
      </c>
      <c r="B20" s="90" t="s">
        <v>1074</v>
      </c>
      <c r="C20" s="76">
        <f t="shared" si="0"/>
        <v>1.8087754064641833E-11</v>
      </c>
      <c r="D20" s="76">
        <f>IFERROR(IF(AND(up_Irr!C20&lt;&gt;".",up_Irr!AA20&lt;&gt;".",up_Irr!AY20&lt;&gt;"."),up_dir!D20/((1/1000)*(up_Irr!C20+up_Irr!AA20+up_Irr!AY20)),IF(AND(up_Irr!C20&lt;&gt;".",up_Irr!AA20&lt;&gt;".",up_Irr!AY20="."),up_dir!D20/((1/1000)*(up_Irr!C20+up_Irr!AA20)),IF(AND(up_Irr!C20&lt;&gt;".",up_Irr!AA20=".",up_Irr!AY20&lt;&gt;"."),up_dir!D20/((1/1000)*(up_Irr!C20+up_Irr!AY20)),IF(AND(up_Irr!C20=".",up_Irr!AA20&lt;&gt;".",up_Irr!AY20&lt;&gt;"."),up_dir!D20/((1/1000)*(up_Irr!AA20+up_Irr!AY20)),IF(AND(up_Irr!C20=".",up_Irr!AA20=".",up_Irr!AY20&lt;&gt;"."),up_dir!D20/((1/1000)*(up_Irr!AY20)),IF(AND(up_Irr!C20=".",up_Irr!AA20&lt;&gt;".",up_Irr!AY20="."),up_dir!D20/((1/1000)*(up_Irr!AA20)),IF(AND(up_Irr!C20&lt;&gt;".",up_Irr!AA20=".",up_Irr!AY20="."),up_dir!D20/((1/1000)*(up_Irr!C20)),IF(AND(up_Irr!C20=".",up_Irr!AA20=".",up_Irr!AY20="."),up_dir!D20*1000)))))))),".")</f>
        <v>7.2351016258567334E-11</v>
      </c>
      <c r="E20" s="76">
        <f>IFERROR(IF(AND(up_Irr!D20&lt;&gt;".",up_Irr!AB20&lt;&gt;".",up_Irr!AZ20&lt;&gt;"."),up_dir!E20/((1/1000)*(up_Irr!D20+up_Irr!AB20+up_Irr!AZ20)),IF(AND(up_Irr!D20&lt;&gt;".",up_Irr!AB20&lt;&gt;".",up_Irr!AZ20="."),up_dir!E20/((1/1000)*(up_Irr!D20+up_Irr!AB20)),IF(AND(up_Irr!D20&lt;&gt;".",up_Irr!AB20=".",up_Irr!AZ20&lt;&gt;"."),up_dir!E20/((1/1000)*(up_Irr!D20+up_Irr!AZ20)),IF(AND(up_Irr!D20=".",up_Irr!AB20&lt;&gt;".",up_Irr!AZ20&lt;&gt;"."),up_dir!E20/((1/1000)*(up_Irr!AB20+up_Irr!AZ20)),IF(AND(up_Irr!D20=".",up_Irr!AB20=".",up_Irr!AZ20&lt;&gt;"."),up_dir!E20/((1/1000)*(up_Irr!AZ20)),IF(AND(up_Irr!D20=".",up_Irr!AB20&lt;&gt;".",up_Irr!AZ20="."),up_dir!E20/((1/1000)*(up_Irr!AB20)),IF(AND(up_Irr!D20&lt;&gt;".",up_Irr!AB20=".",up_Irr!AZ20="."),up_dir!E20/((1/1000)*(up_Irr!D20)),IF(AND(up_Irr!D20=".",up_Irr!AB20=".",up_Irr!AZ20="."),up_dir!E20*1000)))))))),".")</f>
        <v>7.2351016258567334E-11</v>
      </c>
      <c r="F20" s="76">
        <f>IFERROR(IF(AND(up_Irr!E20&lt;&gt;".",up_Irr!AC20&lt;&gt;".",up_Irr!BA20&lt;&gt;"."),up_dir!F20/((1/1000)*(up_Irr!E20+up_Irr!AC20+up_Irr!BA20)),IF(AND(up_Irr!E20&lt;&gt;".",up_Irr!AC20&lt;&gt;".",up_Irr!BA20="."),up_dir!F20/((1/1000)*(up_Irr!E20+up_Irr!AC20)),IF(AND(up_Irr!E20&lt;&gt;".",up_Irr!AC20=".",up_Irr!BA20&lt;&gt;"."),up_dir!F20/((1/1000)*(up_Irr!E20+up_Irr!BA20)),IF(AND(up_Irr!E20=".",up_Irr!AC20&lt;&gt;".",up_Irr!BA20&lt;&gt;"."),up_dir!F20/((1/1000)*(up_Irr!AC20+up_Irr!BA20)),IF(AND(up_Irr!E20=".",up_Irr!AC20=".",up_Irr!BA20&lt;&gt;"."),up_dir!F20/((1/1000)*(up_Irr!BA20)),IF(AND(up_Irr!E20=".",up_Irr!AC20&lt;&gt;".",up_Irr!BA20="."),up_dir!F20/((1/1000)*(up_Irr!AC20)),IF(AND(up_Irr!E20&lt;&gt;".",up_Irr!AC20=".",up_Irr!BA20="."),up_dir!F20/((1/1000)*(up_Irr!E20)),IF(AND(up_Irr!E20=".",up_Irr!AC20=".",up_Irr!BA20="."),up_dir!F20*1000)))))))),".")</f>
        <v>7.2351016258567334E-11</v>
      </c>
      <c r="G20" s="76">
        <f>IFERROR(IF(AND(up_Irr!F20&lt;&gt;".",up_Irr!AD20&lt;&gt;".",up_Irr!BB20&lt;&gt;"."),up_dir!G20/((1/1000)*(up_Irr!F20+up_Irr!AD20+up_Irr!BB20)),IF(AND(up_Irr!F20&lt;&gt;".",up_Irr!AD20&lt;&gt;".",up_Irr!BB20="."),up_dir!G20/((1/1000)*(up_Irr!F20+up_Irr!AD20)),IF(AND(up_Irr!F20&lt;&gt;".",up_Irr!AD20=".",up_Irr!BB20&lt;&gt;"."),up_dir!G20/((1/1000)*(up_Irr!F20+up_Irr!BB20)),IF(AND(up_Irr!F20=".",up_Irr!AD20&lt;&gt;".",up_Irr!BB20&lt;&gt;"."),up_dir!G20/((1/1000)*(up_Irr!AD20+up_Irr!BB20)),IF(AND(up_Irr!F20=".",up_Irr!AD20=".",up_Irr!BB20&lt;&gt;"."),up_dir!G20/((1/1000)*(up_Irr!BB20)),IF(AND(up_Irr!F20=".",up_Irr!AD20&lt;&gt;".",up_Irr!BB20="."),up_dir!G20/((1/1000)*(up_Irr!AD20)),IF(AND(up_Irr!F20&lt;&gt;".",up_Irr!AD20=".",up_Irr!BB20="."),up_dir!G20/((1/1000)*(up_Irr!F20)),IF(AND(up_Irr!F20=".",up_Irr!AD20=".",up_Irr!BB20="."),up_dir!G20*1000)))))))),".")</f>
        <v>7.2351016258567334E-11</v>
      </c>
      <c r="H20" s="76">
        <f>IFERROR(IF(AND(up_Irr!G20&lt;&gt;".",up_Irr!AE20&lt;&gt;".",up_Irr!BC20&lt;&gt;"."),up_dir!H20/((1/1000)*(up_Irr!G20+up_Irr!AE20+up_Irr!BC20)),IF(AND(up_Irr!G20&lt;&gt;".",up_Irr!AE20&lt;&gt;".",up_Irr!BC20="."),up_dir!H20/((1/1000)*(up_Irr!G20+up_Irr!AE20)),IF(AND(up_Irr!G20&lt;&gt;".",up_Irr!AE20=".",up_Irr!BC20&lt;&gt;"."),up_dir!H20/((1/1000)*(up_Irr!G20+up_Irr!BC20)),IF(AND(up_Irr!G20=".",up_Irr!AE20&lt;&gt;".",up_Irr!BC20&lt;&gt;"."),up_dir!H20/((1/1000)*(up_Irr!AE20+up_Irr!BC20)),IF(AND(up_Irr!G20=".",up_Irr!AE20=".",up_Irr!BC20&lt;&gt;"."),up_dir!H20/((1/1000)*(up_Irr!BC20)),IF(AND(up_Irr!G20=".",up_Irr!AE20&lt;&gt;".",up_Irr!BC20="."),up_dir!H20/((1/1000)*(up_Irr!AE20)),IF(AND(up_Irr!G20&lt;&gt;".",up_Irr!AE20=".",up_Irr!BC20="."),up_dir!H20/((1/1000)*(up_Irr!G20)),IF(AND(up_Irr!G20=".",up_Irr!AE20=".",up_Irr!BC20="."),up_dir!H20*1000)))))))),".")</f>
        <v>7.2351016258567334E-11</v>
      </c>
      <c r="I20" s="76">
        <f>IFERROR(IF(AND(up_Irr!H20&lt;&gt;".",up_Irr!AF20&lt;&gt;".",up_Irr!BD20&lt;&gt;"."),up_dir!I20/((1/1000)*(up_Irr!H20+up_Irr!AF20+up_Irr!BD20)),IF(AND(up_Irr!H20&lt;&gt;".",up_Irr!AF20&lt;&gt;".",up_Irr!BD20="."),up_dir!I20/((1/1000)*(up_Irr!H20+up_Irr!AF20)),IF(AND(up_Irr!H20&lt;&gt;".",up_Irr!AF20=".",up_Irr!BD20&lt;&gt;"."),up_dir!I20/((1/1000)*(up_Irr!H20+up_Irr!BD20)),IF(AND(up_Irr!H20=".",up_Irr!AF20&lt;&gt;".",up_Irr!BD20&lt;&gt;"."),up_dir!I20/((1/1000)*(up_Irr!AF20+up_Irr!BD20)),IF(AND(up_Irr!H20=".",up_Irr!AF20=".",up_Irr!BD20&lt;&gt;"."),up_dir!I20/((1/1000)*(up_Irr!BD20)),IF(AND(up_Irr!H20=".",up_Irr!AF20&lt;&gt;".",up_Irr!BD20="."),up_dir!I20/((1/1000)*(up_Irr!AF20)),IF(AND(up_Irr!H20&lt;&gt;".",up_Irr!AF20=".",up_Irr!BD20="."),up_dir!I20/((1/1000)*(up_Irr!H20)),IF(AND(up_Irr!H20=".",up_Irr!AF20=".",up_Irr!BD20="."),up_dir!I20*1000)))))))),".")</f>
        <v>7.2351016258567334E-11</v>
      </c>
      <c r="J20" s="76">
        <f>IFERROR(IF(AND(up_Irr!I20&lt;&gt;".",up_Irr!AG20&lt;&gt;".",up_Irr!BE20&lt;&gt;"."),up_dir!J20/((1/1000)*(up_Irr!I20+up_Irr!AG20+up_Irr!BE20)),IF(AND(up_Irr!I20&lt;&gt;".",up_Irr!AG20&lt;&gt;".",up_Irr!BE20="."),up_dir!J20/((1/1000)*(up_Irr!I20+up_Irr!AG20)),IF(AND(up_Irr!I20&lt;&gt;".",up_Irr!AG20=".",up_Irr!BE20&lt;&gt;"."),up_dir!J20/((1/1000)*(up_Irr!I20+up_Irr!BE20)),IF(AND(up_Irr!I20=".",up_Irr!AG20&lt;&gt;".",up_Irr!BE20&lt;&gt;"."),up_dir!J20/((1/1000)*(up_Irr!AG20+up_Irr!BE20)),IF(AND(up_Irr!I20=".",up_Irr!AG20=".",up_Irr!BE20&lt;&gt;"."),up_dir!J20/((1/1000)*(up_Irr!BE20)),IF(AND(up_Irr!I20=".",up_Irr!AG20&lt;&gt;".",up_Irr!BE20="."),up_dir!J20/((1/1000)*(up_Irr!AG20)),IF(AND(up_Irr!I20&lt;&gt;".",up_Irr!AG20=".",up_Irr!BE20="."),up_dir!J20/((1/1000)*(up_Irr!I20)),IF(AND(up_Irr!I20=".",up_Irr!AG20=".",up_Irr!BE20="."),up_dir!J20*1000)))))))),".")</f>
        <v>7.2351016258567334E-11</v>
      </c>
      <c r="K20" s="76">
        <f>IFERROR(IF(AND(up_Irr!J20&lt;&gt;".",up_Irr!AH20&lt;&gt;".",up_Irr!BF20&lt;&gt;"."),up_dir!K20/((1/1000)*(up_Irr!J20+up_Irr!AH20+up_Irr!BF20)),IF(AND(up_Irr!J20&lt;&gt;".",up_Irr!AH20&lt;&gt;".",up_Irr!BF20="."),up_dir!K20/((1/1000)*(up_Irr!J20+up_Irr!AH20)),IF(AND(up_Irr!J20&lt;&gt;".",up_Irr!AH20=".",up_Irr!BF20&lt;&gt;"."),up_dir!K20/((1/1000)*(up_Irr!J20+up_Irr!BF20)),IF(AND(up_Irr!J20=".",up_Irr!AH20&lt;&gt;".",up_Irr!BF20&lt;&gt;"."),up_dir!K20/((1/1000)*(up_Irr!AH20+up_Irr!BF20)),IF(AND(up_Irr!J20=".",up_Irr!AH20=".",up_Irr!BF20&lt;&gt;"."),up_dir!K20/((1/1000)*(up_Irr!BF20)),IF(AND(up_Irr!J20=".",up_Irr!AH20&lt;&gt;".",up_Irr!BF20="."),up_dir!K20/((1/1000)*(up_Irr!AH20)),IF(AND(up_Irr!J20&lt;&gt;".",up_Irr!AH20=".",up_Irr!BF20="."),up_dir!K20/((1/1000)*(up_Irr!J20)),IF(AND(up_Irr!J20=".",up_Irr!AH20=".",up_Irr!BF20="."),up_dir!K20*1000)))))))),".")</f>
        <v>7.2351016258567334E-11</v>
      </c>
      <c r="L20" s="76">
        <f>IFERROR(IF(AND(up_Irr!K20&lt;&gt;".",up_Irr!AI20&lt;&gt;".",up_Irr!BG20&lt;&gt;"."),up_dir!L20/((1/1000)*(up_Irr!K20+up_Irr!AI20+up_Irr!BG20)),IF(AND(up_Irr!K20&lt;&gt;".",up_Irr!AI20&lt;&gt;".",up_Irr!BG20="."),up_dir!L20/((1/1000)*(up_Irr!K20+up_Irr!AI20)),IF(AND(up_Irr!K20&lt;&gt;".",up_Irr!AI20=".",up_Irr!BG20&lt;&gt;"."),up_dir!L20/((1/1000)*(up_Irr!K20+up_Irr!BG20)),IF(AND(up_Irr!K20=".",up_Irr!AI20&lt;&gt;".",up_Irr!BG20&lt;&gt;"."),up_dir!L20/((1/1000)*(up_Irr!AI20+up_Irr!BG20)),IF(AND(up_Irr!K20=".",up_Irr!AI20=".",up_Irr!BG20&lt;&gt;"."),up_dir!L20/((1/1000)*(up_Irr!BG20)),IF(AND(up_Irr!K20=".",up_Irr!AI20&lt;&gt;".",up_Irr!BG20="."),up_dir!L20/((1/1000)*(up_Irr!AI20)),IF(AND(up_Irr!K20&lt;&gt;".",up_Irr!AI20=".",up_Irr!BG20="."),up_dir!L20/((1/1000)*(up_Irr!K20)),IF(AND(up_Irr!K20=".",up_Irr!AI20=".",up_Irr!BG20="."),up_dir!L20*1000)))))))),".")</f>
        <v>7.2351016258567334E-11</v>
      </c>
      <c r="M20" s="76">
        <f>IFERROR(IF(AND(up_Irr!L20&lt;&gt;".",up_Irr!AJ20&lt;&gt;".",up_Irr!BH20&lt;&gt;"."),up_dir!M20/((1/1000)*(up_Irr!L20+up_Irr!AJ20+up_Irr!BH20)),IF(AND(up_Irr!L20&lt;&gt;".",up_Irr!AJ20&lt;&gt;".",up_Irr!BH20="."),up_dir!M20/((1/1000)*(up_Irr!L20+up_Irr!AJ20)),IF(AND(up_Irr!L20&lt;&gt;".",up_Irr!AJ20=".",up_Irr!BH20&lt;&gt;"."),up_dir!M20/((1/1000)*(up_Irr!L20+up_Irr!BH20)),IF(AND(up_Irr!L20=".",up_Irr!AJ20&lt;&gt;".",up_Irr!BH20&lt;&gt;"."),up_dir!M20/((1/1000)*(up_Irr!AJ20+up_Irr!BH20)),IF(AND(up_Irr!L20=".",up_Irr!AJ20=".",up_Irr!BH20&lt;&gt;"."),up_dir!M20/((1/1000)*(up_Irr!BH20)),IF(AND(up_Irr!L20=".",up_Irr!AJ20&lt;&gt;".",up_Irr!BH20="."),up_dir!M20/((1/1000)*(up_Irr!AJ20)),IF(AND(up_Irr!L20&lt;&gt;".",up_Irr!AJ20=".",up_Irr!BH20="."),up_dir!M20/((1/1000)*(up_Irr!L20)),IF(AND(up_Irr!L20=".",up_Irr!AJ20=".",up_Irr!BH20="."),up_dir!M20*1000)))))))),".")</f>
        <v>7.2351016258567334E-11</v>
      </c>
      <c r="N20" s="76">
        <f>IFERROR(IF(AND(up_Irr!M20&lt;&gt;".",up_Irr!AK20&lt;&gt;".",up_Irr!BI20&lt;&gt;"."),up_dir!N20/((1/1000)*(up_Irr!M20+up_Irr!AK20+up_Irr!BI20)),IF(AND(up_Irr!M20&lt;&gt;".",up_Irr!AK20&lt;&gt;".",up_Irr!BI20="."),up_dir!N20/((1/1000)*(up_Irr!M20+up_Irr!AK20)),IF(AND(up_Irr!M20&lt;&gt;".",up_Irr!AK20=".",up_Irr!BI20&lt;&gt;"."),up_dir!N20/((1/1000)*(up_Irr!M20+up_Irr!BI20)),IF(AND(up_Irr!M20=".",up_Irr!AK20&lt;&gt;".",up_Irr!BI20&lt;&gt;"."),up_dir!N20/((1/1000)*(up_Irr!AK20+up_Irr!BI20)),IF(AND(up_Irr!M20=".",up_Irr!AK20=".",up_Irr!BI20&lt;&gt;"."),up_dir!N20/((1/1000)*(up_Irr!BI20)),IF(AND(up_Irr!M20=".",up_Irr!AK20&lt;&gt;".",up_Irr!BI20="."),up_dir!N20/((1/1000)*(up_Irr!AK20)),IF(AND(up_Irr!M20&lt;&gt;".",up_Irr!AK20=".",up_Irr!BI20="."),up_dir!N20/((1/1000)*(up_Irr!M20)),IF(AND(up_Irr!M20=".",up_Irr!AK20=".",up_Irr!BI20="."),up_dir!N20*1000)))))))),".")</f>
        <v>7.2351016258567334E-11</v>
      </c>
      <c r="O20" s="76">
        <f>IFERROR(IF(AND(up_Irr!N20&lt;&gt;".",up_Irr!AL20&lt;&gt;".",up_Irr!BJ20&lt;&gt;"."),up_dir!O20/((1/1000)*(up_Irr!N20+up_Irr!AL20+up_Irr!BJ20)),IF(AND(up_Irr!N20&lt;&gt;".",up_Irr!AL20&lt;&gt;".",up_Irr!BJ20="."),up_dir!O20/((1/1000)*(up_Irr!N20+up_Irr!AL20)),IF(AND(up_Irr!N20&lt;&gt;".",up_Irr!AL20=".",up_Irr!BJ20&lt;&gt;"."),up_dir!O20/((1/1000)*(up_Irr!N20+up_Irr!BJ20)),IF(AND(up_Irr!N20=".",up_Irr!AL20&lt;&gt;".",up_Irr!BJ20&lt;&gt;"."),up_dir!O20/((1/1000)*(up_Irr!AL20+up_Irr!BJ20)),IF(AND(up_Irr!N20=".",up_Irr!AL20=".",up_Irr!BJ20&lt;&gt;"."),up_dir!O20/((1/1000)*(up_Irr!BJ20)),IF(AND(up_Irr!N20=".",up_Irr!AL20&lt;&gt;".",up_Irr!BJ20="."),up_dir!O20/((1/1000)*(up_Irr!AL20)),IF(AND(up_Irr!N20&lt;&gt;".",up_Irr!AL20=".",up_Irr!BJ20="."),up_dir!O20/((1/1000)*(up_Irr!N20)),IF(AND(up_Irr!N20=".",up_Irr!AL20=".",up_Irr!BJ20="."),up_dir!O20*1000)))))))),".")</f>
        <v>7.2351016258567334E-11</v>
      </c>
      <c r="P20" s="76">
        <f>IFERROR(IF(AND(up_Irr!O20&lt;&gt;".",up_Irr!AM20&lt;&gt;".",up_Irr!BK20&lt;&gt;"."),up_dir!P20/((1/1000)*(up_Irr!O20+up_Irr!AM20+up_Irr!BK20)),IF(AND(up_Irr!O20&lt;&gt;".",up_Irr!AM20&lt;&gt;".",up_Irr!BK20="."),up_dir!P20/((1/1000)*(up_Irr!O20+up_Irr!AM20)),IF(AND(up_Irr!O20&lt;&gt;".",up_Irr!AM20=".",up_Irr!BK20&lt;&gt;"."),up_dir!P20/((1/1000)*(up_Irr!O20+up_Irr!BK20)),IF(AND(up_Irr!O20=".",up_Irr!AM20&lt;&gt;".",up_Irr!BK20&lt;&gt;"."),up_dir!P20/((1/1000)*(up_Irr!AM20+up_Irr!BK20)),IF(AND(up_Irr!O20=".",up_Irr!AM20=".",up_Irr!BK20&lt;&gt;"."),up_dir!P20/((1/1000)*(up_Irr!BK20)),IF(AND(up_Irr!O20=".",up_Irr!AM20&lt;&gt;".",up_Irr!BK20="."),up_dir!P20/((1/1000)*(up_Irr!AM20)),IF(AND(up_Irr!O20&lt;&gt;".",up_Irr!AM20=".",up_Irr!BK20="."),up_dir!P20/((1/1000)*(up_Irr!O20)),IF(AND(up_Irr!O20=".",up_Irr!AM20=".",up_Irr!BK20="."),up_dir!P20*1000)))))))),".")</f>
        <v>7.2351016258567334E-11</v>
      </c>
      <c r="Q20" s="76">
        <f>IFERROR(IF(AND(up_Irr!P20&lt;&gt;".",up_Irr!AN20&lt;&gt;".",up_Irr!BL20&lt;&gt;"."),up_dir!Q20/((1/1000)*(up_Irr!P20+up_Irr!AN20+up_Irr!BL20)),IF(AND(up_Irr!P20&lt;&gt;".",up_Irr!AN20&lt;&gt;".",up_Irr!BL20="."),up_dir!Q20/((1/1000)*(up_Irr!P20+up_Irr!AN20)),IF(AND(up_Irr!P20&lt;&gt;".",up_Irr!AN20=".",up_Irr!BL20&lt;&gt;"."),up_dir!Q20/((1/1000)*(up_Irr!P20+up_Irr!BL20)),IF(AND(up_Irr!P20=".",up_Irr!AN20&lt;&gt;".",up_Irr!BL20&lt;&gt;"."),up_dir!Q20/((1/1000)*(up_Irr!AN20+up_Irr!BL20)),IF(AND(up_Irr!P20=".",up_Irr!AN20=".",up_Irr!BL20&lt;&gt;"."),up_dir!Q20/((1/1000)*(up_Irr!BL20)),IF(AND(up_Irr!P20=".",up_Irr!AN20&lt;&gt;".",up_Irr!BL20="."),up_dir!Q20/((1/1000)*(up_Irr!AN20)),IF(AND(up_Irr!P20&lt;&gt;".",up_Irr!AN20=".",up_Irr!BL20="."),up_dir!Q20/((1/1000)*(up_Irr!P20)),IF(AND(up_Irr!P20=".",up_Irr!AN20=".",up_Irr!BL20="."),up_dir!Q20*1000)))))))),".")</f>
        <v>7.2351016258567334E-11</v>
      </c>
      <c r="R20" s="76">
        <f>IFERROR(IF(AND(up_Irr!Q20&lt;&gt;".",up_Irr!AO20&lt;&gt;".",up_Irr!BM20&lt;&gt;"."),up_dir!R20/((1/1000)*(up_Irr!Q20+up_Irr!AO20+up_Irr!BM20)),IF(AND(up_Irr!Q20&lt;&gt;".",up_Irr!AO20&lt;&gt;".",up_Irr!BM20="."),up_dir!R20/((1/1000)*(up_Irr!Q20+up_Irr!AO20)),IF(AND(up_Irr!Q20&lt;&gt;".",up_Irr!AO20=".",up_Irr!BM20&lt;&gt;"."),up_dir!R20/((1/1000)*(up_Irr!Q20+up_Irr!BM20)),IF(AND(up_Irr!Q20=".",up_Irr!AO20&lt;&gt;".",up_Irr!BM20&lt;&gt;"."),up_dir!R20/((1/1000)*(up_Irr!AO20+up_Irr!BM20)),IF(AND(up_Irr!Q20=".",up_Irr!AO20=".",up_Irr!BM20&lt;&gt;"."),up_dir!R20/((1/1000)*(up_Irr!BM20)),IF(AND(up_Irr!Q20=".",up_Irr!AO20&lt;&gt;".",up_Irr!BM20="."),up_dir!R20/((1/1000)*(up_Irr!AO20)),IF(AND(up_Irr!Q20&lt;&gt;".",up_Irr!AO20=".",up_Irr!BM20="."),up_dir!R20/((1/1000)*(up_Irr!Q20)),IF(AND(up_Irr!Q20=".",up_Irr!AO20=".",up_Irr!BM20="."),up_dir!R20*1000)))))))),".")</f>
        <v>7.2351016258567334E-11</v>
      </c>
      <c r="S20" s="76">
        <f>IFERROR(IF(AND(up_Irr!R20&lt;&gt;".",up_Irr!AP20&lt;&gt;".",up_Irr!BN20&lt;&gt;"."),up_dir!S20/((1/1000)*(up_Irr!R20+up_Irr!AP20+up_Irr!BN20)),IF(AND(up_Irr!R20&lt;&gt;".",up_Irr!AP20&lt;&gt;".",up_Irr!BN20="."),up_dir!S20/((1/1000)*(up_Irr!R20+up_Irr!AP20)),IF(AND(up_Irr!R20&lt;&gt;".",up_Irr!AP20=".",up_Irr!BN20&lt;&gt;"."),up_dir!S20/((1/1000)*(up_Irr!R20+up_Irr!BN20)),IF(AND(up_Irr!R20=".",up_Irr!AP20&lt;&gt;".",up_Irr!BN20&lt;&gt;"."),up_dir!S20/((1/1000)*(up_Irr!AP20+up_Irr!BN20)),IF(AND(up_Irr!R20=".",up_Irr!AP20=".",up_Irr!BN20&lt;&gt;"."),up_dir!S20/((1/1000)*(up_Irr!BN20)),IF(AND(up_Irr!R20=".",up_Irr!AP20&lt;&gt;".",up_Irr!BN20="."),up_dir!S20/((1/1000)*(up_Irr!AP20)),IF(AND(up_Irr!R20&lt;&gt;".",up_Irr!AP20=".",up_Irr!BN20="."),up_dir!S20/((1/1000)*(up_Irr!R20)),IF(AND(up_Irr!R20=".",up_Irr!AP20=".",up_Irr!BN20="."),up_dir!S20*1000)))))))),".")</f>
        <v>7.2351016258567334E-11</v>
      </c>
      <c r="T20" s="76">
        <f>IFERROR(IF(AND(up_Irr!S20&lt;&gt;".",up_Irr!AQ20&lt;&gt;".",up_Irr!BO20&lt;&gt;"."),up_dir!T20/((1/1000)*(up_Irr!S20+up_Irr!AQ20+up_Irr!BO20)),IF(AND(up_Irr!S20&lt;&gt;".",up_Irr!AQ20&lt;&gt;".",up_Irr!BO20="."),up_dir!T20/((1/1000)*(up_Irr!S20+up_Irr!AQ20)),IF(AND(up_Irr!S20&lt;&gt;".",up_Irr!AQ20=".",up_Irr!BO20&lt;&gt;"."),up_dir!T20/((1/1000)*(up_Irr!S20+up_Irr!BO20)),IF(AND(up_Irr!S20=".",up_Irr!AQ20&lt;&gt;".",up_Irr!BO20&lt;&gt;"."),up_dir!T20/((1/1000)*(up_Irr!AQ20+up_Irr!BO20)),IF(AND(up_Irr!S20=".",up_Irr!AQ20=".",up_Irr!BO20&lt;&gt;"."),up_dir!T20/((1/1000)*(up_Irr!BO20)),IF(AND(up_Irr!S20=".",up_Irr!AQ20&lt;&gt;".",up_Irr!BO20="."),up_dir!T20/((1/1000)*(up_Irr!AQ20)),IF(AND(up_Irr!S20&lt;&gt;".",up_Irr!AQ20=".",up_Irr!BO20="."),up_dir!T20/((1/1000)*(up_Irr!S20)),IF(AND(up_Irr!S20=".",up_Irr!AQ20=".",up_Irr!BO20="."),up_dir!T20*1000)))))))),".")</f>
        <v>7.2351016258567334E-11</v>
      </c>
      <c r="U20" s="76">
        <f>IFERROR(IF(AND(up_Irr!T20&lt;&gt;".",up_Irr!AR20&lt;&gt;".",up_Irr!BP20&lt;&gt;"."),up_dir!U20/((1/1000)*(up_Irr!T20+up_Irr!AR20+up_Irr!BP20)),IF(AND(up_Irr!T20&lt;&gt;".",up_Irr!AR20&lt;&gt;".",up_Irr!BP20="."),up_dir!U20/((1/1000)*(up_Irr!T20+up_Irr!AR20)),IF(AND(up_Irr!T20&lt;&gt;".",up_Irr!AR20=".",up_Irr!BP20&lt;&gt;"."),up_dir!U20/((1/1000)*(up_Irr!T20+up_Irr!BP20)),IF(AND(up_Irr!T20=".",up_Irr!AR20&lt;&gt;".",up_Irr!BP20&lt;&gt;"."),up_dir!U20/((1/1000)*(up_Irr!AR20+up_Irr!BP20)),IF(AND(up_Irr!T20=".",up_Irr!AR20=".",up_Irr!BP20&lt;&gt;"."),up_dir!U20/((1/1000)*(up_Irr!BP20)),IF(AND(up_Irr!T20=".",up_Irr!AR20&lt;&gt;".",up_Irr!BP20="."),up_dir!U20/((1/1000)*(up_Irr!AR20)),IF(AND(up_Irr!T20&lt;&gt;".",up_Irr!AR20=".",up_Irr!BP20="."),up_dir!U20/((1/1000)*(up_Irr!T20)),IF(AND(up_Irr!T20=".",up_Irr!AR20=".",up_Irr!BP20="."),up_dir!U20*1000)))))))),".")</f>
        <v>7.2351016258567334E-11</v>
      </c>
      <c r="V20" s="76">
        <f>IFERROR(IF(AND(up_Irr!U20&lt;&gt;".",up_Irr!AS20&lt;&gt;".",up_Irr!BQ20&lt;&gt;"."),up_dir!V20/((1/1000)*(up_Irr!U20+up_Irr!AS20+up_Irr!BQ20)),IF(AND(up_Irr!U20&lt;&gt;".",up_Irr!AS20&lt;&gt;".",up_Irr!BQ20="."),up_dir!V20/((1/1000)*(up_Irr!U20+up_Irr!AS20)),IF(AND(up_Irr!U20&lt;&gt;".",up_Irr!AS20=".",up_Irr!BQ20&lt;&gt;"."),up_dir!V20/((1/1000)*(up_Irr!U20+up_Irr!BQ20)),IF(AND(up_Irr!U20=".",up_Irr!AS20&lt;&gt;".",up_Irr!BQ20&lt;&gt;"."),up_dir!V20/((1/1000)*(up_Irr!AS20+up_Irr!BQ20)),IF(AND(up_Irr!U20=".",up_Irr!AS20=".",up_Irr!BQ20&lt;&gt;"."),up_dir!V20/((1/1000)*(up_Irr!BQ20)),IF(AND(up_Irr!U20=".",up_Irr!AS20&lt;&gt;".",up_Irr!BQ20="."),up_dir!V20/((1/1000)*(up_Irr!AS20)),IF(AND(up_Irr!U20&lt;&gt;".",up_Irr!AS20=".",up_Irr!BQ20="."),up_dir!V20/((1/1000)*(up_Irr!U20)),IF(AND(up_Irr!U20=".",up_Irr!AS20=".",up_Irr!BQ20="."),up_dir!V20*1000)))))))),".")</f>
        <v>7.2351016258567334E-11</v>
      </c>
      <c r="W20" s="76">
        <f>IFERROR(IF(AND(up_Irr!V20&lt;&gt;".",up_Irr!AT20&lt;&gt;".",up_Irr!BR20&lt;&gt;"."),up_dir!W20/((1/1000)*(up_Irr!V20+up_Irr!AT20+up_Irr!BR20)),IF(AND(up_Irr!V20&lt;&gt;".",up_Irr!AT20&lt;&gt;".",up_Irr!BR20="."),up_dir!W20/((1/1000)*(up_Irr!V20+up_Irr!AT20)),IF(AND(up_Irr!V20&lt;&gt;".",up_Irr!AT20=".",up_Irr!BR20&lt;&gt;"."),up_dir!W20/((1/1000)*(up_Irr!V20+up_Irr!BR20)),IF(AND(up_Irr!V20=".",up_Irr!AT20&lt;&gt;".",up_Irr!BR20&lt;&gt;"."),up_dir!W20/((1/1000)*(up_Irr!AT20+up_Irr!BR20)),IF(AND(up_Irr!V20=".",up_Irr!AT20=".",up_Irr!BR20&lt;&gt;"."),up_dir!W20/((1/1000)*(up_Irr!BR20)),IF(AND(up_Irr!V20=".",up_Irr!AT20&lt;&gt;".",up_Irr!BR20="."),up_dir!W20/((1/1000)*(up_Irr!AT20)),IF(AND(up_Irr!V20&lt;&gt;".",up_Irr!AT20=".",up_Irr!BR20="."),up_dir!W20/((1/1000)*(up_Irr!V20)),IF(AND(up_Irr!V20=".",up_Irr!AT20=".",up_Irr!BR20="."),up_dir!W20*1000)))))))),".")</f>
        <v>7.2351016258567334E-11</v>
      </c>
      <c r="X20" s="76">
        <f>IFERROR(IF(AND(up_Irr!W20&lt;&gt;".",up_Irr!AU20&lt;&gt;".",up_Irr!BS20&lt;&gt;"."),up_dir!X20/((1/1000)*(up_Irr!W20+up_Irr!AU20+up_Irr!BS20)),IF(AND(up_Irr!W20&lt;&gt;".",up_Irr!AU20&lt;&gt;".",up_Irr!BS20="."),up_dir!X20/((1/1000)*(up_Irr!W20+up_Irr!AU20)),IF(AND(up_Irr!W20&lt;&gt;".",up_Irr!AU20=".",up_Irr!BS20&lt;&gt;"."),up_dir!X20/((1/1000)*(up_Irr!W20+up_Irr!BS20)),IF(AND(up_Irr!W20=".",up_Irr!AU20&lt;&gt;".",up_Irr!BS20&lt;&gt;"."),up_dir!X20/((1/1000)*(up_Irr!AU20+up_Irr!BS20)),IF(AND(up_Irr!W20=".",up_Irr!AU20=".",up_Irr!BS20&lt;&gt;"."),up_dir!X20/((1/1000)*(up_Irr!BS20)),IF(AND(up_Irr!W20=".",up_Irr!AU20&lt;&gt;".",up_Irr!BS20="."),up_dir!X20/((1/1000)*(up_Irr!AU20)),IF(AND(up_Irr!W20&lt;&gt;".",up_Irr!AU20=".",up_Irr!BS20="."),up_dir!X20/((1/1000)*(up_Irr!W20)),IF(AND(up_Irr!W20=".",up_Irr!AU20=".",up_Irr!BS20="."),up_dir!X20*1000)))))))),".")</f>
        <v>7.2351016258567334E-11</v>
      </c>
      <c r="Y20" s="76">
        <f>IFERROR(IF(AND(up_Irr!X20&lt;&gt;".",up_Irr!AV20&lt;&gt;".",up_Irr!BT20&lt;&gt;"."),up_dir!Y20/((1/1000)*(up_Irr!X20+up_Irr!AV20+up_Irr!BT20)),IF(AND(up_Irr!X20&lt;&gt;".",up_Irr!AV20&lt;&gt;".",up_Irr!BT20="."),up_dir!Y20/((1/1000)*(up_Irr!X20+up_Irr!AV20)),IF(AND(up_Irr!X20&lt;&gt;".",up_Irr!AV20=".",up_Irr!BT20&lt;&gt;"."),up_dir!Y20/((1/1000)*(up_Irr!X20+up_Irr!BT20)),IF(AND(up_Irr!X20=".",up_Irr!AV20&lt;&gt;".",up_Irr!BT20&lt;&gt;"."),up_dir!Y20/((1/1000)*(up_Irr!AV20+up_Irr!BT20)),IF(AND(up_Irr!X20=".",up_Irr!AV20=".",up_Irr!BT20&lt;&gt;"."),up_dir!Y20/((1/1000)*(up_Irr!BT20)),IF(AND(up_Irr!X20=".",up_Irr!AV20&lt;&gt;".",up_Irr!BT20="."),up_dir!Y20/((1/1000)*(up_Irr!AV20)),IF(AND(up_Irr!X20&lt;&gt;".",up_Irr!AV20=".",up_Irr!BT20="."),up_dir!Y20/((1/1000)*(up_Irr!X20)),IF(AND(up_Irr!X20=".",up_Irr!AV20=".",up_Irr!BT20="."),up_dir!Y20*1000)))))))),".")</f>
        <v>7.2351016258567334E-11</v>
      </c>
      <c r="Z20" s="76">
        <f>IFERROR(IF(AND(up_Irr!Y20&lt;&gt;".",up_Irr!AW20&lt;&gt;".",up_Irr!BU20&lt;&gt;"."),up_dir!Z20/((1/1000)*(up_Irr!Y20+up_Irr!AW20+up_Irr!BU20)),IF(AND(up_Irr!Y20&lt;&gt;".",up_Irr!AW20&lt;&gt;".",up_Irr!BU20="."),up_dir!Z20/((1/1000)*(up_Irr!Y20+up_Irr!AW20)),IF(AND(up_Irr!Y20&lt;&gt;".",up_Irr!AW20=".",up_Irr!BU20&lt;&gt;"."),up_dir!Z20/((1/1000)*(up_Irr!Y20+up_Irr!BU20)),IF(AND(up_Irr!Y20=".",up_Irr!AW20&lt;&gt;".",up_Irr!BU20&lt;&gt;"."),up_dir!Z20/((1/1000)*(up_Irr!AW20+up_Irr!BU20)),IF(AND(up_Irr!Y20=".",up_Irr!AW20=".",up_Irr!BU20&lt;&gt;"."),up_dir!Z20/((1/1000)*(up_Irr!BU20)),IF(AND(up_Irr!Y20=".",up_Irr!AW20&lt;&gt;".",up_Irr!BU20="."),up_dir!Z20/((1/1000)*(up_Irr!AW20)),IF(AND(up_Irr!Y20&lt;&gt;".",up_Irr!AW20=".",up_Irr!BU20="."),up_dir!Z20/((1/1000)*(up_Irr!Y20)),IF(AND(up_Irr!Y20=".",up_Irr!AW20=".",up_Irr!BU20="."),up_dir!Z20*1000)))))))),".")</f>
        <v>7.2351016258567334E-11</v>
      </c>
      <c r="AA20" s="76">
        <f>IFERROR(IF(AND(up_Irr!Z20&lt;&gt;".",up_Irr!AX20&lt;&gt;".",up_Irr!BV20&lt;&gt;"."),up_dir!AA20/((1/1000)*(up_Irr!Z20+up_Irr!AX20+up_Irr!BV20)),IF(AND(up_Irr!Z20&lt;&gt;".",up_Irr!AX20&lt;&gt;".",up_Irr!BV20="."),up_dir!AA20/((1/1000)*(up_Irr!Z20+up_Irr!AX20)),IF(AND(up_Irr!Z20&lt;&gt;".",up_Irr!AX20=".",up_Irr!BV20&lt;&gt;"."),up_dir!AA20/((1/1000)*(up_Irr!Z20+up_Irr!BV20)),IF(AND(up_Irr!Z20=".",up_Irr!AX20&lt;&gt;".",up_Irr!BV20&lt;&gt;"."),up_dir!AA20/((1/1000)*(up_Irr!AX20+up_Irr!BV20)),IF(AND(up_Irr!Z20=".",up_Irr!AX20=".",up_Irr!BV20&lt;&gt;"."),up_dir!AA20/((1/1000)*(up_Irr!BV20)),IF(AND(up_Irr!Z20=".",up_Irr!AX20&lt;&gt;".",up_Irr!BV20="."),up_dir!AA20/((1/1000)*(up_Irr!AX20)),IF(AND(up_Irr!Z20&lt;&gt;".",up_Irr!AX20=".",up_Irr!BV20="."),up_dir!AA20/((1/1000)*(up_Irr!Z20)),IF(AND(up_Irr!Z20=".",up_Irr!AX20=".",up_Irr!BV20="."),up_dir!AA20*1000)))))))),".")</f>
        <v>7.2351016258567334E-11</v>
      </c>
      <c r="AB20" s="93">
        <f t="shared" si="9"/>
        <v>55286.023705663516</v>
      </c>
      <c r="AC20" s="93">
        <f>IFERROR(s_C*s_IFAP_res_adj*s_CF_apple*0.001*(up_Irr!C20+up_Irr!AA20+up_Irr!AY20),".")</f>
        <v>13821.505926415879</v>
      </c>
      <c r="AD20" s="93">
        <f>IFERROR(s_C*s_IFAS_res_adj*s_CF_asparagus*0.001*(up_Irr!D20+up_Irr!AB20+up_Irr!AZ20),".")</f>
        <v>13821.505926415879</v>
      </c>
      <c r="AE20" s="93">
        <f>IFERROR(s_C*s_IFBT_res_adj*s_CF_beet*0.001*(up_Irr!E20+up_Irr!AC20+up_Irr!BA20),".")</f>
        <v>13821.505926415879</v>
      </c>
      <c r="AF20" s="93">
        <f>IFERROR(s_C*s_IFBE_res_adj*s_CF_berries*0.001*(up_Irr!F20+up_Irr!AD20+up_Irr!BB20),".")</f>
        <v>13821.505926415879</v>
      </c>
      <c r="AG20" s="93">
        <f>IFERROR(s_C*s_IFBR_res_adj*s_CF_broccoli*0.001*(up_Irr!G20+up_Irr!AE20+up_Irr!BC20),".")</f>
        <v>13821.505926415879</v>
      </c>
      <c r="AH20" s="93">
        <f>IFERROR(s_C*s_IFCB_res_adj*s_CF_cabbage*0.001*(up_Irr!H20+up_Irr!AF20+up_Irr!BD20),".")</f>
        <v>13821.505926415879</v>
      </c>
      <c r="AI20" s="93">
        <f>IFERROR(s_C*s_IFCR_res_adj*s_CF_carrot*0.001*(up_Irr!I20+up_Irr!AG20+up_Irr!BE20),".")</f>
        <v>13821.505926415879</v>
      </c>
      <c r="AJ20" s="93">
        <f>IFERROR(s_C*s_IFCI_res_adj*s_CF_citrus*0.001*(up_Irr!J20+up_Irr!AH20+up_Irr!BF20),".")</f>
        <v>13821.505926415879</v>
      </c>
      <c r="AK20" s="93">
        <f>IFERROR(s_C*s_IFCO_res_adj*s_CF_corn*0.001*(up_Irr!K20+up_Irr!AI20+up_Irr!BG20),".")</f>
        <v>13821.505926415879</v>
      </c>
      <c r="AL20" s="93">
        <f>IFERROR(s_C*s_IFCU_res_adj*s_CF_cucumber*0.001*(up_Irr!L20+up_Irr!AJ20+up_Irr!BH20),".")</f>
        <v>13821.505926415879</v>
      </c>
      <c r="AM20" s="93">
        <f>IFERROR(s_C*s_IFLE_res_adj*s_CF_lettuce*0.001*(up_Irr!M20+up_Irr!AK20+up_Irr!BI20),".")</f>
        <v>13821.505926415879</v>
      </c>
      <c r="AN20" s="93">
        <f>IFERROR(s_C*s_IFLI_res_adj*s_CF_lima_bean*0.001*(up_Irr!N20+up_Irr!AL20+up_Irr!BJ20),".")</f>
        <v>13821.505926415879</v>
      </c>
      <c r="AO20" s="93">
        <f>IFERROR(s_C*s_IFOK_res_adj*s_CF_okra*0.001*(up_Irr!O20+up_Irr!AM20+up_Irr!BK20),".")</f>
        <v>13821.505926415879</v>
      </c>
      <c r="AP20" s="93">
        <f>IFERROR(s_C*s_IFON_res_adj*s_CF_onion*0.001*(up_Irr!P20+up_Irr!AN20+up_Irr!BL20),".")</f>
        <v>13821.505926415879</v>
      </c>
      <c r="AQ20" s="93">
        <f>IFERROR(s_C*s_IFPC_res_adj*s_CF_peach*0.001*(up_Irr!Q20+up_Irr!AO20+up_Irr!BM20),".")</f>
        <v>13821.505926415879</v>
      </c>
      <c r="AR20" s="93">
        <f>IFERROR(s_C*s_IFPR_res_adj*s_CF_pear*0.001*(up_Irr!R20+up_Irr!AP20+up_Irr!BN20),".")</f>
        <v>13821.505926415879</v>
      </c>
      <c r="AS20" s="93">
        <f>IFERROR(s_C*s_IFPE_res_adj*s_CF_peas*0.001*(up_Irr!S20+up_Irr!AQ20+up_Irr!BO20),".")</f>
        <v>13821.505926415879</v>
      </c>
      <c r="AT20" s="93">
        <f>IFERROR(s_C*s_IFPT_res_adj*s_CF_potato*0.001*(up_Irr!T20+up_Irr!AR20+up_Irr!BP20),".")</f>
        <v>13821.505926415879</v>
      </c>
      <c r="AU20" s="93">
        <f>IFERROR(s_C*s_IFPU_res_adj*s_CF_pumpkin*0.001*(up_Irr!U20+up_Irr!AS20+up_Irr!BQ20),".")</f>
        <v>13821.505926415879</v>
      </c>
      <c r="AV20" s="93">
        <f>IFERROR(s_C*s_IFSN_res_adj*s_CF_snap_bean*0.001*(up_Irr!V20+up_Irr!AT20+up_Irr!BR20),".")</f>
        <v>13821.505926415879</v>
      </c>
      <c r="AW20" s="93">
        <f>IFERROR(s_C*s_IFST_res_adj*s_CF_strawberry*0.001*(up_Irr!W20+up_Irr!AU20+up_Irr!BS20),".")</f>
        <v>13821.505926415879</v>
      </c>
      <c r="AX20" s="93">
        <f>IFERROR(s_C*s_IFTO_res_adj*s_CF_tomato*0.001*(up_Irr!X20+up_Irr!AV20+up_Irr!BT20),".")</f>
        <v>13821.505926415879</v>
      </c>
      <c r="AY20" s="93">
        <f>IFERROR(s_C*s_IFRI_res_adj*s_CF_rice*0.001*(up_Irr!Y20+up_Irr!AW20+up_Irr!BU20),".")</f>
        <v>13821.505926415879</v>
      </c>
      <c r="AZ20" s="93">
        <f>IFERROR(s_C*s_IFCG_res_adj*s_CF_cereal*0.001*(up_Irr!Z20+up_Irr!AX20+up_Irr!BV20),".")</f>
        <v>13821.505926415879</v>
      </c>
      <c r="BA20" s="76">
        <f t="shared" si="3"/>
        <v>1.8087754064641833E-11</v>
      </c>
      <c r="BB20" s="76">
        <f>IFERROR(IF(AND(up_Irr!C20&lt;&gt;".",up_Irr!AA20&lt;&gt;".",up_Irr!AY20&lt;&gt;"."),up_dir!AC20/((1/1000)*(up_Irr!C20+up_Irr!AA20+up_Irr!AY20)),IF(AND(up_Irr!C20&lt;&gt;".",up_Irr!AA20&lt;&gt;".",up_Irr!AY20="."),up_dir!AC20/((1/1000)*(up_Irr!C20+up_Irr!AA20)),IF(AND(up_Irr!C20&lt;&gt;".",up_Irr!AA20=".",up_Irr!AY20&lt;&gt;"."),up_dir!AC20/((1/1000)*(up_Irr!C20+up_Irr!AY20)),IF(AND(up_Irr!C20=".",up_Irr!AA20&lt;&gt;".",up_Irr!AY20&lt;&gt;"."),up_dir!AC20/((1/1000)*(up_Irr!AA20+up_Irr!AY20)),IF(AND(up_Irr!C20=".",up_Irr!AA20=".",up_Irr!AY20&lt;&gt;"."),up_dir!AC20/((1/1000)*(up_Irr!AY20)),IF(AND(up_Irr!C20=".",up_Irr!AA20&lt;&gt;".",up_Irr!AY20="."),up_dir!AC20/((1/1000)*(up_Irr!AA20)),IF(AND(up_Irr!C20&lt;&gt;".",up_Irr!AA20=".",up_Irr!AY20="."),up_dir!AC20/((1/1000)*(up_Irr!C20)),IF(AND(up_Irr!C20=".",up_Irr!AA20=".",up_Irr!AY20="."),up_dir!AC20*1000)))))))),".")</f>
        <v>7.2351016258567334E-11</v>
      </c>
      <c r="BC20" s="76">
        <f>IFERROR(IF(AND(up_Irr!D20&lt;&gt;".",up_Irr!AB20&lt;&gt;".",up_Irr!AZ20&lt;&gt;"."),up_dir!AD20/((1/1000)*(up_Irr!D20+up_Irr!AB20+up_Irr!AZ20)),IF(AND(up_Irr!D20&lt;&gt;".",up_Irr!AB20&lt;&gt;".",up_Irr!AZ20="."),up_dir!AD20/((1/1000)*(up_Irr!D20+up_Irr!AB20)),IF(AND(up_Irr!D20&lt;&gt;".",up_Irr!AB20=".",up_Irr!AZ20&lt;&gt;"."),up_dir!AD20/((1/1000)*(up_Irr!D20+up_Irr!AZ20)),IF(AND(up_Irr!D20=".",up_Irr!AB20&lt;&gt;".",up_Irr!AZ20&lt;&gt;"."),up_dir!AD20/((1/1000)*(up_Irr!AB20+up_Irr!AZ20)),IF(AND(up_Irr!D20=".",up_Irr!AB20=".",up_Irr!AZ20&lt;&gt;"."),up_dir!AD20/((1/1000)*(up_Irr!AZ20)),IF(AND(up_Irr!D20=".",up_Irr!AB20&lt;&gt;".",up_Irr!AZ20="."),up_dir!AD20/((1/1000)*(up_Irr!AB20)),IF(AND(up_Irr!D20&lt;&gt;".",up_Irr!AB20=".",up_Irr!AZ20="."),up_dir!AD20/((1/1000)*(up_Irr!D20)),IF(AND(up_Irr!D20=".",up_Irr!AB20=".",up_Irr!AZ20="."),up_dir!AD20*1000)))))))),".")</f>
        <v>7.2351016258567334E-11</v>
      </c>
      <c r="BD20" s="76">
        <f>IFERROR(IF(AND(up_Irr!E20&lt;&gt;".",up_Irr!AC20&lt;&gt;".",up_Irr!BA20&lt;&gt;"."),up_dir!AE20/((1/1000)*(up_Irr!E20+up_Irr!AC20+up_Irr!BA20)),IF(AND(up_Irr!E20&lt;&gt;".",up_Irr!AC20&lt;&gt;".",up_Irr!BA20="."),up_dir!AE20/((1/1000)*(up_Irr!E20+up_Irr!AC20)),IF(AND(up_Irr!E20&lt;&gt;".",up_Irr!AC20=".",up_Irr!BA20&lt;&gt;"."),up_dir!AE20/((1/1000)*(up_Irr!E20+up_Irr!BA20)),IF(AND(up_Irr!E20=".",up_Irr!AC20&lt;&gt;".",up_Irr!BA20&lt;&gt;"."),up_dir!AE20/((1/1000)*(up_Irr!AC20+up_Irr!BA20)),IF(AND(up_Irr!E20=".",up_Irr!AC20=".",up_Irr!BA20&lt;&gt;"."),up_dir!AE20/((1/1000)*(up_Irr!BA20)),IF(AND(up_Irr!E20=".",up_Irr!AC20&lt;&gt;".",up_Irr!BA20="."),up_dir!AE20/((1/1000)*(up_Irr!AC20)),IF(AND(up_Irr!E20&lt;&gt;".",up_Irr!AC20=".",up_Irr!BA20="."),up_dir!AE20/((1/1000)*(up_Irr!E20)),IF(AND(up_Irr!E20=".",up_Irr!AC20=".",up_Irr!BA20="."),up_dir!AE20*1000)))))))),".")</f>
        <v>7.2351016258567334E-11</v>
      </c>
      <c r="BE20" s="76">
        <f>IFERROR(IF(AND(up_Irr!F20&lt;&gt;".",up_Irr!AD20&lt;&gt;".",up_Irr!BB20&lt;&gt;"."),up_dir!AF20/((1/1000)*(up_Irr!F20+up_Irr!AD20+up_Irr!BB20)),IF(AND(up_Irr!F20&lt;&gt;".",up_Irr!AD20&lt;&gt;".",up_Irr!BB20="."),up_dir!AF20/((1/1000)*(up_Irr!F20+up_Irr!AD20)),IF(AND(up_Irr!F20&lt;&gt;".",up_Irr!AD20=".",up_Irr!BB20&lt;&gt;"."),up_dir!AF20/((1/1000)*(up_Irr!F20+up_Irr!BB20)),IF(AND(up_Irr!F20=".",up_Irr!AD20&lt;&gt;".",up_Irr!BB20&lt;&gt;"."),up_dir!AF20/((1/1000)*(up_Irr!AD20+up_Irr!BB20)),IF(AND(up_Irr!F20=".",up_Irr!AD20=".",up_Irr!BB20&lt;&gt;"."),up_dir!AF20/((1/1000)*(up_Irr!BB20)),IF(AND(up_Irr!F20=".",up_Irr!AD20&lt;&gt;".",up_Irr!BB20="."),up_dir!AF20/((1/1000)*(up_Irr!AD20)),IF(AND(up_Irr!F20&lt;&gt;".",up_Irr!AD20=".",up_Irr!BB20="."),up_dir!AF20/((1/1000)*(up_Irr!F20)),IF(AND(up_Irr!F20=".",up_Irr!AD20=".",up_Irr!BB20="."),up_dir!AF20*1000)))))))),".")</f>
        <v>7.2351016258567334E-11</v>
      </c>
      <c r="BF20" s="76">
        <f>IFERROR(IF(AND(up_Irr!G20&lt;&gt;".",up_Irr!AE20&lt;&gt;".",up_Irr!BC20&lt;&gt;"."),up_dir!AG20/((1/1000)*(up_Irr!G20+up_Irr!AE20+up_Irr!BC20)),IF(AND(up_Irr!G20&lt;&gt;".",up_Irr!AE20&lt;&gt;".",up_Irr!BC20="."),up_dir!AG20/((1/1000)*(up_Irr!G20+up_Irr!AE20)),IF(AND(up_Irr!G20&lt;&gt;".",up_Irr!AE20=".",up_Irr!BC20&lt;&gt;"."),up_dir!AG20/((1/1000)*(up_Irr!G20+up_Irr!BC20)),IF(AND(up_Irr!G20=".",up_Irr!AE20&lt;&gt;".",up_Irr!BC20&lt;&gt;"."),up_dir!AG20/((1/1000)*(up_Irr!AE20+up_Irr!BC20)),IF(AND(up_Irr!G20=".",up_Irr!AE20=".",up_Irr!BC20&lt;&gt;"."),up_dir!AG20/((1/1000)*(up_Irr!BC20)),IF(AND(up_Irr!G20=".",up_Irr!AE20&lt;&gt;".",up_Irr!BC20="."),up_dir!AG20/((1/1000)*(up_Irr!AE20)),IF(AND(up_Irr!G20&lt;&gt;".",up_Irr!AE20=".",up_Irr!BC20="."),up_dir!AG20/((1/1000)*(up_Irr!G20)),IF(AND(up_Irr!G20=".",up_Irr!AE20=".",up_Irr!BC20="."),up_dir!AG20*1000)))))))),".")</f>
        <v>7.2351016258567334E-11</v>
      </c>
      <c r="BG20" s="76">
        <f>IFERROR(IF(AND(up_Irr!H20&lt;&gt;".",up_Irr!AF20&lt;&gt;".",up_Irr!BD20&lt;&gt;"."),up_dir!AH20/((1/1000)*(up_Irr!H20+up_Irr!AF20+up_Irr!BD20)),IF(AND(up_Irr!H20&lt;&gt;".",up_Irr!AF20&lt;&gt;".",up_Irr!BD20="."),up_dir!AH20/((1/1000)*(up_Irr!H20+up_Irr!AF20)),IF(AND(up_Irr!H20&lt;&gt;".",up_Irr!AF20=".",up_Irr!BD20&lt;&gt;"."),up_dir!AH20/((1/1000)*(up_Irr!H20+up_Irr!BD20)),IF(AND(up_Irr!H20=".",up_Irr!AF20&lt;&gt;".",up_Irr!BD20&lt;&gt;"."),up_dir!AH20/((1/1000)*(up_Irr!AF20+up_Irr!BD20)),IF(AND(up_Irr!H20=".",up_Irr!AF20=".",up_Irr!BD20&lt;&gt;"."),up_dir!AH20/((1/1000)*(up_Irr!BD20)),IF(AND(up_Irr!H20=".",up_Irr!AF20&lt;&gt;".",up_Irr!BD20="."),up_dir!AH20/((1/1000)*(up_Irr!AF20)),IF(AND(up_Irr!H20&lt;&gt;".",up_Irr!AF20=".",up_Irr!BD20="."),up_dir!AH20/((1/1000)*(up_Irr!H20)),IF(AND(up_Irr!H20=".",up_Irr!AF20=".",up_Irr!BD20="."),up_dir!AH20*1000)))))))),".")</f>
        <v>7.2351016258567334E-11</v>
      </c>
      <c r="BH20" s="76">
        <f>IFERROR(IF(AND(up_Irr!I20&lt;&gt;".",up_Irr!AG20&lt;&gt;".",up_Irr!BE20&lt;&gt;"."),up_dir!AI20/((1/1000)*(up_Irr!I20+up_Irr!AG20+up_Irr!BE20)),IF(AND(up_Irr!I20&lt;&gt;".",up_Irr!AG20&lt;&gt;".",up_Irr!BE20="."),up_dir!AI20/((1/1000)*(up_Irr!I20+up_Irr!AG20)),IF(AND(up_Irr!I20&lt;&gt;".",up_Irr!AG20=".",up_Irr!BE20&lt;&gt;"."),up_dir!AI20/((1/1000)*(up_Irr!I20+up_Irr!BE20)),IF(AND(up_Irr!I20=".",up_Irr!AG20&lt;&gt;".",up_Irr!BE20&lt;&gt;"."),up_dir!AI20/((1/1000)*(up_Irr!AG20+up_Irr!BE20)),IF(AND(up_Irr!I20=".",up_Irr!AG20=".",up_Irr!BE20&lt;&gt;"."),up_dir!AI20/((1/1000)*(up_Irr!BE20)),IF(AND(up_Irr!I20=".",up_Irr!AG20&lt;&gt;".",up_Irr!BE20="."),up_dir!AI20/((1/1000)*(up_Irr!AG20)),IF(AND(up_Irr!I20&lt;&gt;".",up_Irr!AG20=".",up_Irr!BE20="."),up_dir!AI20/((1/1000)*(up_Irr!I20)),IF(AND(up_Irr!I20=".",up_Irr!AG20=".",up_Irr!BE20="."),up_dir!AI20*1000)))))))),".")</f>
        <v>7.2351016258567334E-11</v>
      </c>
      <c r="BI20" s="76">
        <f>IFERROR(IF(AND(up_Irr!J20&lt;&gt;".",up_Irr!AH20&lt;&gt;".",up_Irr!BF20&lt;&gt;"."),up_dir!AJ20/((1/1000)*(up_Irr!J20+up_Irr!AH20+up_Irr!BF20)),IF(AND(up_Irr!J20&lt;&gt;".",up_Irr!AH20&lt;&gt;".",up_Irr!BF20="."),up_dir!AJ20/((1/1000)*(up_Irr!J20+up_Irr!AH20)),IF(AND(up_Irr!J20&lt;&gt;".",up_Irr!AH20=".",up_Irr!BF20&lt;&gt;"."),up_dir!AJ20/((1/1000)*(up_Irr!J20+up_Irr!BF20)),IF(AND(up_Irr!J20=".",up_Irr!AH20&lt;&gt;".",up_Irr!BF20&lt;&gt;"."),up_dir!AJ20/((1/1000)*(up_Irr!AH20+up_Irr!BF20)),IF(AND(up_Irr!J20=".",up_Irr!AH20=".",up_Irr!BF20&lt;&gt;"."),up_dir!AJ20/((1/1000)*(up_Irr!BF20)),IF(AND(up_Irr!J20=".",up_Irr!AH20&lt;&gt;".",up_Irr!BF20="."),up_dir!AJ20/((1/1000)*(up_Irr!AH20)),IF(AND(up_Irr!J20&lt;&gt;".",up_Irr!AH20=".",up_Irr!BF20="."),up_dir!AJ20/((1/1000)*(up_Irr!J20)),IF(AND(up_Irr!J20=".",up_Irr!AH20=".",up_Irr!BF20="."),up_dir!AJ20*1000)))))))),".")</f>
        <v>7.2351016258567334E-11</v>
      </c>
      <c r="BJ20" s="76">
        <f>IFERROR(IF(AND(up_Irr!K20&lt;&gt;".",up_Irr!AI20&lt;&gt;".",up_Irr!BG20&lt;&gt;"."),up_dir!AK20/((1/1000)*(up_Irr!K20+up_Irr!AI20+up_Irr!BG20)),IF(AND(up_Irr!K20&lt;&gt;".",up_Irr!AI20&lt;&gt;".",up_Irr!BG20="."),up_dir!AK20/((1/1000)*(up_Irr!K20+up_Irr!AI20)),IF(AND(up_Irr!K20&lt;&gt;".",up_Irr!AI20=".",up_Irr!BG20&lt;&gt;"."),up_dir!AK20/((1/1000)*(up_Irr!K20+up_Irr!BG20)),IF(AND(up_Irr!K20=".",up_Irr!AI20&lt;&gt;".",up_Irr!BG20&lt;&gt;"."),up_dir!AK20/((1/1000)*(up_Irr!AI20+up_Irr!BG20)),IF(AND(up_Irr!K20=".",up_Irr!AI20=".",up_Irr!BG20&lt;&gt;"."),up_dir!AK20/((1/1000)*(up_Irr!BG20)),IF(AND(up_Irr!K20=".",up_Irr!AI20&lt;&gt;".",up_Irr!BG20="."),up_dir!AK20/((1/1000)*(up_Irr!AI20)),IF(AND(up_Irr!K20&lt;&gt;".",up_Irr!AI20=".",up_Irr!BG20="."),up_dir!AK20/((1/1000)*(up_Irr!K20)),IF(AND(up_Irr!K20=".",up_Irr!AI20=".",up_Irr!BG20="."),up_dir!AK20*1000)))))))),".")</f>
        <v>7.2351016258567334E-11</v>
      </c>
      <c r="BK20" s="76">
        <f>IFERROR(IF(AND(up_Irr!L20&lt;&gt;".",up_Irr!AJ20&lt;&gt;".",up_Irr!BH20&lt;&gt;"."),up_dir!AL20/((1/1000)*(up_Irr!L20+up_Irr!AJ20+up_Irr!BH20)),IF(AND(up_Irr!L20&lt;&gt;".",up_Irr!AJ20&lt;&gt;".",up_Irr!BH20="."),up_dir!AL20/((1/1000)*(up_Irr!L20+up_Irr!AJ20)),IF(AND(up_Irr!L20&lt;&gt;".",up_Irr!AJ20=".",up_Irr!BH20&lt;&gt;"."),up_dir!AL20/((1/1000)*(up_Irr!L20+up_Irr!BH20)),IF(AND(up_Irr!L20=".",up_Irr!AJ20&lt;&gt;".",up_Irr!BH20&lt;&gt;"."),up_dir!AL20/((1/1000)*(up_Irr!AJ20+up_Irr!BH20)),IF(AND(up_Irr!L20=".",up_Irr!AJ20=".",up_Irr!BH20&lt;&gt;"."),up_dir!AL20/((1/1000)*(up_Irr!BH20)),IF(AND(up_Irr!L20=".",up_Irr!AJ20&lt;&gt;".",up_Irr!BH20="."),up_dir!AL20/((1/1000)*(up_Irr!AJ20)),IF(AND(up_Irr!L20&lt;&gt;".",up_Irr!AJ20=".",up_Irr!BH20="."),up_dir!AL20/((1/1000)*(up_Irr!L20)),IF(AND(up_Irr!L20=".",up_Irr!AJ20=".",up_Irr!BH20="."),up_dir!AL20*1000)))))))),".")</f>
        <v>7.2351016258567334E-11</v>
      </c>
      <c r="BL20" s="76">
        <f>IFERROR(IF(AND(up_Irr!M20&lt;&gt;".",up_Irr!AK20&lt;&gt;".",up_Irr!BI20&lt;&gt;"."),up_dir!AM20/((1/1000)*(up_Irr!M20+up_Irr!AK20+up_Irr!BI20)),IF(AND(up_Irr!M20&lt;&gt;".",up_Irr!AK20&lt;&gt;".",up_Irr!BI20="."),up_dir!AM20/((1/1000)*(up_Irr!M20+up_Irr!AK20)),IF(AND(up_Irr!M20&lt;&gt;".",up_Irr!AK20=".",up_Irr!BI20&lt;&gt;"."),up_dir!AM20/((1/1000)*(up_Irr!M20+up_Irr!BI20)),IF(AND(up_Irr!M20=".",up_Irr!AK20&lt;&gt;".",up_Irr!BI20&lt;&gt;"."),up_dir!AM20/((1/1000)*(up_Irr!AK20+up_Irr!BI20)),IF(AND(up_Irr!M20=".",up_Irr!AK20=".",up_Irr!BI20&lt;&gt;"."),up_dir!AM20/((1/1000)*(up_Irr!BI20)),IF(AND(up_Irr!M20=".",up_Irr!AK20&lt;&gt;".",up_Irr!BI20="."),up_dir!AM20/((1/1000)*(up_Irr!AK20)),IF(AND(up_Irr!M20&lt;&gt;".",up_Irr!AK20=".",up_Irr!BI20="."),up_dir!AM20/((1/1000)*(up_Irr!M20)),IF(AND(up_Irr!M20=".",up_Irr!AK20=".",up_Irr!BI20="."),up_dir!AM20*1000)))))))),".")</f>
        <v>7.2351016258567334E-11</v>
      </c>
      <c r="BM20" s="76">
        <f>IFERROR(IF(AND(up_Irr!N20&lt;&gt;".",up_Irr!AL20&lt;&gt;".",up_Irr!BJ20&lt;&gt;"."),up_dir!AN20/((1/1000)*(up_Irr!N20+up_Irr!AL20+up_Irr!BJ20)),IF(AND(up_Irr!N20&lt;&gt;".",up_Irr!AL20&lt;&gt;".",up_Irr!BJ20="."),up_dir!AN20/((1/1000)*(up_Irr!N20+up_Irr!AL20)),IF(AND(up_Irr!N20&lt;&gt;".",up_Irr!AL20=".",up_Irr!BJ20&lt;&gt;"."),up_dir!AN20/((1/1000)*(up_Irr!N20+up_Irr!BJ20)),IF(AND(up_Irr!N20=".",up_Irr!AL20&lt;&gt;".",up_Irr!BJ20&lt;&gt;"."),up_dir!AN20/((1/1000)*(up_Irr!AL20+up_Irr!BJ20)),IF(AND(up_Irr!N20=".",up_Irr!AL20=".",up_Irr!BJ20&lt;&gt;"."),up_dir!AN20/((1/1000)*(up_Irr!BJ20)),IF(AND(up_Irr!N20=".",up_Irr!AL20&lt;&gt;".",up_Irr!BJ20="."),up_dir!AN20/((1/1000)*(up_Irr!AL20)),IF(AND(up_Irr!N20&lt;&gt;".",up_Irr!AL20=".",up_Irr!BJ20="."),up_dir!AN20/((1/1000)*(up_Irr!N20)),IF(AND(up_Irr!N20=".",up_Irr!AL20=".",up_Irr!BJ20="."),up_dir!AN20*1000)))))))),".")</f>
        <v>7.2351016258567334E-11</v>
      </c>
      <c r="BN20" s="76">
        <f>IFERROR(IF(AND(up_Irr!O20&lt;&gt;".",up_Irr!AM20&lt;&gt;".",up_Irr!BK20&lt;&gt;"."),up_dir!AO20/((1/1000)*(up_Irr!O20+up_Irr!AM20+up_Irr!BK20)),IF(AND(up_Irr!O20&lt;&gt;".",up_Irr!AM20&lt;&gt;".",up_Irr!BK20="."),up_dir!AO20/((1/1000)*(up_Irr!O20+up_Irr!AM20)),IF(AND(up_Irr!O20&lt;&gt;".",up_Irr!AM20=".",up_Irr!BK20&lt;&gt;"."),up_dir!AO20/((1/1000)*(up_Irr!O20+up_Irr!BK20)),IF(AND(up_Irr!O20=".",up_Irr!AM20&lt;&gt;".",up_Irr!BK20&lt;&gt;"."),up_dir!AO20/((1/1000)*(up_Irr!AM20+up_Irr!BK20)),IF(AND(up_Irr!O20=".",up_Irr!AM20=".",up_Irr!BK20&lt;&gt;"."),up_dir!AO20/((1/1000)*(up_Irr!BK20)),IF(AND(up_Irr!O20=".",up_Irr!AM20&lt;&gt;".",up_Irr!BK20="."),up_dir!AO20/((1/1000)*(up_Irr!AM20)),IF(AND(up_Irr!O20&lt;&gt;".",up_Irr!AM20=".",up_Irr!BK20="."),up_dir!AO20/((1/1000)*(up_Irr!O20)),IF(AND(up_Irr!O20=".",up_Irr!AM20=".",up_Irr!BK20="."),up_dir!AO20*1000)))))))),".")</f>
        <v>7.2351016258567334E-11</v>
      </c>
      <c r="BO20" s="76">
        <f>IFERROR(IF(AND(up_Irr!P20&lt;&gt;".",up_Irr!AN20&lt;&gt;".",up_Irr!BL20&lt;&gt;"."),up_dir!AP20/((1/1000)*(up_Irr!P20+up_Irr!AN20+up_Irr!BL20)),IF(AND(up_Irr!P20&lt;&gt;".",up_Irr!AN20&lt;&gt;".",up_Irr!BL20="."),up_dir!AP20/((1/1000)*(up_Irr!P20+up_Irr!AN20)),IF(AND(up_Irr!P20&lt;&gt;".",up_Irr!AN20=".",up_Irr!BL20&lt;&gt;"."),up_dir!AP20/((1/1000)*(up_Irr!P20+up_Irr!BL20)),IF(AND(up_Irr!P20=".",up_Irr!AN20&lt;&gt;".",up_Irr!BL20&lt;&gt;"."),up_dir!AP20/((1/1000)*(up_Irr!AN20+up_Irr!BL20)),IF(AND(up_Irr!P20=".",up_Irr!AN20=".",up_Irr!BL20&lt;&gt;"."),up_dir!AP20/((1/1000)*(up_Irr!BL20)),IF(AND(up_Irr!P20=".",up_Irr!AN20&lt;&gt;".",up_Irr!BL20="."),up_dir!AP20/((1/1000)*(up_Irr!AN20)),IF(AND(up_Irr!P20&lt;&gt;".",up_Irr!AN20=".",up_Irr!BL20="."),up_dir!AP20/((1/1000)*(up_Irr!P20)),IF(AND(up_Irr!P20=".",up_Irr!AN20=".",up_Irr!BL20="."),up_dir!AP20*1000)))))))),".")</f>
        <v>7.2351016258567334E-11</v>
      </c>
      <c r="BP20" s="76">
        <f>IFERROR(IF(AND(up_Irr!Q20&lt;&gt;".",up_Irr!AO20&lt;&gt;".",up_Irr!BM20&lt;&gt;"."),up_dir!AQ20/((1/1000)*(up_Irr!Q20+up_Irr!AO20+up_Irr!BM20)),IF(AND(up_Irr!Q20&lt;&gt;".",up_Irr!AO20&lt;&gt;".",up_Irr!BM20="."),up_dir!AQ20/((1/1000)*(up_Irr!Q20+up_Irr!AO20)),IF(AND(up_Irr!Q20&lt;&gt;".",up_Irr!AO20=".",up_Irr!BM20&lt;&gt;"."),up_dir!AQ20/((1/1000)*(up_Irr!Q20+up_Irr!BM20)),IF(AND(up_Irr!Q20=".",up_Irr!AO20&lt;&gt;".",up_Irr!BM20&lt;&gt;"."),up_dir!AQ20/((1/1000)*(up_Irr!AO20+up_Irr!BM20)),IF(AND(up_Irr!Q20=".",up_Irr!AO20=".",up_Irr!BM20&lt;&gt;"."),up_dir!AQ20/((1/1000)*(up_Irr!BM20)),IF(AND(up_Irr!Q20=".",up_Irr!AO20&lt;&gt;".",up_Irr!BM20="."),up_dir!AQ20/((1/1000)*(up_Irr!AO20)),IF(AND(up_Irr!Q20&lt;&gt;".",up_Irr!AO20=".",up_Irr!BM20="."),up_dir!AQ20/((1/1000)*(up_Irr!Q20)),IF(AND(up_Irr!Q20=".",up_Irr!AO20=".",up_Irr!BM20="."),up_dir!AQ20*1000)))))))),".")</f>
        <v>7.2351016258567334E-11</v>
      </c>
      <c r="BQ20" s="76">
        <f>IFERROR(IF(AND(up_Irr!R20&lt;&gt;".",up_Irr!AP20&lt;&gt;".",up_Irr!BN20&lt;&gt;"."),up_dir!AR20/((1/1000)*(up_Irr!R20+up_Irr!AP20+up_Irr!BN20)),IF(AND(up_Irr!R20&lt;&gt;".",up_Irr!AP20&lt;&gt;".",up_Irr!BN20="."),up_dir!AR20/((1/1000)*(up_Irr!R20+up_Irr!AP20)),IF(AND(up_Irr!R20&lt;&gt;".",up_Irr!AP20=".",up_Irr!BN20&lt;&gt;"."),up_dir!AR20/((1/1000)*(up_Irr!R20+up_Irr!BN20)),IF(AND(up_Irr!R20=".",up_Irr!AP20&lt;&gt;".",up_Irr!BN20&lt;&gt;"."),up_dir!AR20/((1/1000)*(up_Irr!AP20+up_Irr!BN20)),IF(AND(up_Irr!R20=".",up_Irr!AP20=".",up_Irr!BN20&lt;&gt;"."),up_dir!AR20/((1/1000)*(up_Irr!BN20)),IF(AND(up_Irr!R20=".",up_Irr!AP20&lt;&gt;".",up_Irr!BN20="."),up_dir!AR20/((1/1000)*(up_Irr!AP20)),IF(AND(up_Irr!R20&lt;&gt;".",up_Irr!AP20=".",up_Irr!BN20="."),up_dir!AR20/((1/1000)*(up_Irr!R20)),IF(AND(up_Irr!R20=".",up_Irr!AP20=".",up_Irr!BN20="."),up_dir!AR20*1000)))))))),".")</f>
        <v>7.2351016258567334E-11</v>
      </c>
      <c r="BR20" s="76">
        <f>IFERROR(IF(AND(up_Irr!S20&lt;&gt;".",up_Irr!AQ20&lt;&gt;".",up_Irr!BO20&lt;&gt;"."),up_dir!AS20/((1/1000)*(up_Irr!S20+up_Irr!AQ20+up_Irr!BO20)),IF(AND(up_Irr!S20&lt;&gt;".",up_Irr!AQ20&lt;&gt;".",up_Irr!BO20="."),up_dir!AS20/((1/1000)*(up_Irr!S20+up_Irr!AQ20)),IF(AND(up_Irr!S20&lt;&gt;".",up_Irr!AQ20=".",up_Irr!BO20&lt;&gt;"."),up_dir!AS20/((1/1000)*(up_Irr!S20+up_Irr!BO20)),IF(AND(up_Irr!S20=".",up_Irr!AQ20&lt;&gt;".",up_Irr!BO20&lt;&gt;"."),up_dir!AS20/((1/1000)*(up_Irr!AQ20+up_Irr!BO20)),IF(AND(up_Irr!S20=".",up_Irr!AQ20=".",up_Irr!BO20&lt;&gt;"."),up_dir!AS20/((1/1000)*(up_Irr!BO20)),IF(AND(up_Irr!S20=".",up_Irr!AQ20&lt;&gt;".",up_Irr!BO20="."),up_dir!AS20/((1/1000)*(up_Irr!AQ20)),IF(AND(up_Irr!S20&lt;&gt;".",up_Irr!AQ20=".",up_Irr!BO20="."),up_dir!AS20/((1/1000)*(up_Irr!S20)),IF(AND(up_Irr!S20=".",up_Irr!AQ20=".",up_Irr!BO20="."),up_dir!AS20*1000)))))))),".")</f>
        <v>7.2351016258567334E-11</v>
      </c>
      <c r="BS20" s="76">
        <f>IFERROR(IF(AND(up_Irr!T20&lt;&gt;".",up_Irr!AR20&lt;&gt;".",up_Irr!BP20&lt;&gt;"."),up_dir!AT20/((1/1000)*(up_Irr!T20+up_Irr!AR20+up_Irr!BP20)),IF(AND(up_Irr!T20&lt;&gt;".",up_Irr!AR20&lt;&gt;".",up_Irr!BP20="."),up_dir!AT20/((1/1000)*(up_Irr!T20+up_Irr!AR20)),IF(AND(up_Irr!T20&lt;&gt;".",up_Irr!AR20=".",up_Irr!BP20&lt;&gt;"."),up_dir!AT20/((1/1000)*(up_Irr!T20+up_Irr!BP20)),IF(AND(up_Irr!T20=".",up_Irr!AR20&lt;&gt;".",up_Irr!BP20&lt;&gt;"."),up_dir!AT20/((1/1000)*(up_Irr!AR20+up_Irr!BP20)),IF(AND(up_Irr!T20=".",up_Irr!AR20=".",up_Irr!BP20&lt;&gt;"."),up_dir!AT20/((1/1000)*(up_Irr!BP20)),IF(AND(up_Irr!T20=".",up_Irr!AR20&lt;&gt;".",up_Irr!BP20="."),up_dir!AT20/((1/1000)*(up_Irr!AR20)),IF(AND(up_Irr!T20&lt;&gt;".",up_Irr!AR20=".",up_Irr!BP20="."),up_dir!AT20/((1/1000)*(up_Irr!T20)),IF(AND(up_Irr!T20=".",up_Irr!AR20=".",up_Irr!BP20="."),up_dir!AT20*1000)))))))),".")</f>
        <v>7.2351016258567334E-11</v>
      </c>
      <c r="BT20" s="76">
        <f>IFERROR(IF(AND(up_Irr!U20&lt;&gt;".",up_Irr!AS20&lt;&gt;".",up_Irr!BQ20&lt;&gt;"."),up_dir!AU20/((1/1000)*(up_Irr!U20+up_Irr!AS20+up_Irr!BQ20)),IF(AND(up_Irr!U20&lt;&gt;".",up_Irr!AS20&lt;&gt;".",up_Irr!BQ20="."),up_dir!AU20/((1/1000)*(up_Irr!U20+up_Irr!AS20)),IF(AND(up_Irr!U20&lt;&gt;".",up_Irr!AS20=".",up_Irr!BQ20&lt;&gt;"."),up_dir!AU20/((1/1000)*(up_Irr!U20+up_Irr!BQ20)),IF(AND(up_Irr!U20=".",up_Irr!AS20&lt;&gt;".",up_Irr!BQ20&lt;&gt;"."),up_dir!AU20/((1/1000)*(up_Irr!AS20+up_Irr!BQ20)),IF(AND(up_Irr!U20=".",up_Irr!AS20=".",up_Irr!BQ20&lt;&gt;"."),up_dir!AU20/((1/1000)*(up_Irr!BQ20)),IF(AND(up_Irr!U20=".",up_Irr!AS20&lt;&gt;".",up_Irr!BQ20="."),up_dir!AU20/((1/1000)*(up_Irr!AS20)),IF(AND(up_Irr!U20&lt;&gt;".",up_Irr!AS20=".",up_Irr!BQ20="."),up_dir!AU20/((1/1000)*(up_Irr!U20)),IF(AND(up_Irr!U20=".",up_Irr!AS20=".",up_Irr!BQ20="."),up_dir!AU20*1000)))))))),".")</f>
        <v>7.2351016258567334E-11</v>
      </c>
      <c r="BU20" s="76">
        <f>IFERROR(IF(AND(up_Irr!V20&lt;&gt;".",up_Irr!AT20&lt;&gt;".",up_Irr!BR20&lt;&gt;"."),up_dir!AV20/((1/1000)*(up_Irr!V20+up_Irr!AT20+up_Irr!BR20)),IF(AND(up_Irr!V20&lt;&gt;".",up_Irr!AT20&lt;&gt;".",up_Irr!BR20="."),up_dir!AV20/((1/1000)*(up_Irr!V20+up_Irr!AT20)),IF(AND(up_Irr!V20&lt;&gt;".",up_Irr!AT20=".",up_Irr!BR20&lt;&gt;"."),up_dir!AV20/((1/1000)*(up_Irr!V20+up_Irr!BR20)),IF(AND(up_Irr!V20=".",up_Irr!AT20&lt;&gt;".",up_Irr!BR20&lt;&gt;"."),up_dir!AV20/((1/1000)*(up_Irr!AT20+up_Irr!BR20)),IF(AND(up_Irr!V20=".",up_Irr!AT20=".",up_Irr!BR20&lt;&gt;"."),up_dir!AV20/((1/1000)*(up_Irr!BR20)),IF(AND(up_Irr!V20=".",up_Irr!AT20&lt;&gt;".",up_Irr!BR20="."),up_dir!AV20/((1/1000)*(up_Irr!AT20)),IF(AND(up_Irr!V20&lt;&gt;".",up_Irr!AT20=".",up_Irr!BR20="."),up_dir!AV20/((1/1000)*(up_Irr!V20)),IF(AND(up_Irr!V20=".",up_Irr!AT20=".",up_Irr!BR20="."),up_dir!AV20*1000)))))))),".")</f>
        <v>7.2351016258567334E-11</v>
      </c>
      <c r="BV20" s="76">
        <f>IFERROR(IF(AND(up_Irr!W20&lt;&gt;".",up_Irr!AU20&lt;&gt;".",up_Irr!BS20&lt;&gt;"."),up_dir!AW20/((1/1000)*(up_Irr!W20+up_Irr!AU20+up_Irr!BS20)),IF(AND(up_Irr!W20&lt;&gt;".",up_Irr!AU20&lt;&gt;".",up_Irr!BS20="."),up_dir!AW20/((1/1000)*(up_Irr!W20+up_Irr!AU20)),IF(AND(up_Irr!W20&lt;&gt;".",up_Irr!AU20=".",up_Irr!BS20&lt;&gt;"."),up_dir!AW20/((1/1000)*(up_Irr!W20+up_Irr!BS20)),IF(AND(up_Irr!W20=".",up_Irr!AU20&lt;&gt;".",up_Irr!BS20&lt;&gt;"."),up_dir!AW20/((1/1000)*(up_Irr!AU20+up_Irr!BS20)),IF(AND(up_Irr!W20=".",up_Irr!AU20=".",up_Irr!BS20&lt;&gt;"."),up_dir!AW20/((1/1000)*(up_Irr!BS20)),IF(AND(up_Irr!W20=".",up_Irr!AU20&lt;&gt;".",up_Irr!BS20="."),up_dir!AW20/((1/1000)*(up_Irr!AU20)),IF(AND(up_Irr!W20&lt;&gt;".",up_Irr!AU20=".",up_Irr!BS20="."),up_dir!AW20/((1/1000)*(up_Irr!W20)),IF(AND(up_Irr!W20=".",up_Irr!AU20=".",up_Irr!BS20="."),up_dir!AW20*1000)))))))),".")</f>
        <v>7.2351016258567334E-11</v>
      </c>
      <c r="BW20" s="76">
        <f>IFERROR(IF(AND(up_Irr!X20&lt;&gt;".",up_Irr!AV20&lt;&gt;".",up_Irr!BT20&lt;&gt;"."),up_dir!AX20/((1/1000)*(up_Irr!X20+up_Irr!AV20+up_Irr!BT20)),IF(AND(up_Irr!X20&lt;&gt;".",up_Irr!AV20&lt;&gt;".",up_Irr!BT20="."),up_dir!AX20/((1/1000)*(up_Irr!X20+up_Irr!AV20)),IF(AND(up_Irr!X20&lt;&gt;".",up_Irr!AV20=".",up_Irr!BT20&lt;&gt;"."),up_dir!AX20/((1/1000)*(up_Irr!X20+up_Irr!BT20)),IF(AND(up_Irr!X20=".",up_Irr!AV20&lt;&gt;".",up_Irr!BT20&lt;&gt;"."),up_dir!AX20/((1/1000)*(up_Irr!AV20+up_Irr!BT20)),IF(AND(up_Irr!X20=".",up_Irr!AV20=".",up_Irr!BT20&lt;&gt;"."),up_dir!AX20/((1/1000)*(up_Irr!BT20)),IF(AND(up_Irr!X20=".",up_Irr!AV20&lt;&gt;".",up_Irr!BT20="."),up_dir!AX20/((1/1000)*(up_Irr!AV20)),IF(AND(up_Irr!X20&lt;&gt;".",up_Irr!AV20=".",up_Irr!BT20="."),up_dir!AX20/((1/1000)*(up_Irr!X20)),IF(AND(up_Irr!X20=".",up_Irr!AV20=".",up_Irr!BT20="."),up_dir!AX20*1000)))))))),".")</f>
        <v>7.2351016258567334E-11</v>
      </c>
      <c r="BX20" s="76">
        <f>IFERROR(IF(AND(up_Irr!Y20&lt;&gt;".",up_Irr!AW20&lt;&gt;".",up_Irr!BU20&lt;&gt;"."),up_dir!AY20/((1/1000)*(up_Irr!Y20+up_Irr!AW20+up_Irr!BU20)),IF(AND(up_Irr!Y20&lt;&gt;".",up_Irr!AW20&lt;&gt;".",up_Irr!BU20="."),up_dir!AY20/((1/1000)*(up_Irr!Y20+up_Irr!AW20)),IF(AND(up_Irr!Y20&lt;&gt;".",up_Irr!AW20=".",up_Irr!BU20&lt;&gt;"."),up_dir!AY20/((1/1000)*(up_Irr!Y20+up_Irr!BU20)),IF(AND(up_Irr!Y20=".",up_Irr!AW20&lt;&gt;".",up_Irr!BU20&lt;&gt;"."),up_dir!AY20/((1/1000)*(up_Irr!AW20+up_Irr!BU20)),IF(AND(up_Irr!Y20=".",up_Irr!AW20=".",up_Irr!BU20&lt;&gt;"."),up_dir!AY20/((1/1000)*(up_Irr!BU20)),IF(AND(up_Irr!Y20=".",up_Irr!AW20&lt;&gt;".",up_Irr!BU20="."),up_dir!AY20/((1/1000)*(up_Irr!AW20)),IF(AND(up_Irr!Y20&lt;&gt;".",up_Irr!AW20=".",up_Irr!BU20="."),up_dir!AY20/((1/1000)*(up_Irr!Y20)),IF(AND(up_Irr!Y20=".",up_Irr!AW20=".",up_Irr!BU20="."),up_dir!AY20*1000)))))))),".")</f>
        <v>7.2351016258567334E-11</v>
      </c>
      <c r="BY20" s="76">
        <f>IFERROR(IF(AND(up_Irr!Z20&lt;&gt;".",up_Irr!AX20&lt;&gt;".",up_Irr!BV20&lt;&gt;"."),up_dir!AZ20/((1/1000)*(up_Irr!Z20+up_Irr!AX20+up_Irr!BV20)),IF(AND(up_Irr!Z20&lt;&gt;".",up_Irr!AX20&lt;&gt;".",up_Irr!BV20="."),up_dir!AZ20/((1/1000)*(up_Irr!Z20+up_Irr!AX20)),IF(AND(up_Irr!Z20&lt;&gt;".",up_Irr!AX20=".",up_Irr!BV20&lt;&gt;"."),up_dir!AZ20/((1/1000)*(up_Irr!Z20+up_Irr!BV20)),IF(AND(up_Irr!Z20=".",up_Irr!AX20&lt;&gt;".",up_Irr!BV20&lt;&gt;"."),up_dir!AZ20/((1/1000)*(up_Irr!AX20+up_Irr!BV20)),IF(AND(up_Irr!Z20=".",up_Irr!AX20=".",up_Irr!BV20&lt;&gt;"."),up_dir!AZ20/((1/1000)*(up_Irr!BV20)),IF(AND(up_Irr!Z20=".",up_Irr!AX20&lt;&gt;".",up_Irr!BV20="."),up_dir!AZ20/((1/1000)*(up_Irr!AX20)),IF(AND(up_Irr!Z20&lt;&gt;".",up_Irr!AX20=".",up_Irr!BV20="."),up_dir!AZ20/((1/1000)*(up_Irr!Z20)),IF(AND(up_Irr!Z20=".",up_Irr!AX20=".",up_Irr!BV20="."),up_dir!AZ20*1000)))))))),".")</f>
        <v>7.2351016258567334E-11</v>
      </c>
      <c r="BZ20" s="93">
        <f t="shared" si="10"/>
        <v>55286.023705663516</v>
      </c>
      <c r="CA20" s="93">
        <f>IFERROR(s_C*s_IFAP_far_adj*s_CF_apple*(1/1000)*(up_Irr!C20+up_Irr!AA20+up_Irr!AY20),".")</f>
        <v>13821.505926415879</v>
      </c>
      <c r="CB20" s="93">
        <f>IFERROR(s_C*s_IFAS_far_adj*s_CF_asparagus*(1/1000)*(up_Irr!D20+up_Irr!AB20+up_Irr!AZ20),".")</f>
        <v>13821.505926415879</v>
      </c>
      <c r="CC20" s="93">
        <f>IFERROR(s_C*s_IFBT_far_adj*s_CF_beet*(1/1000)*(up_Irr!E20+up_Irr!AC20+up_Irr!BA20),".")</f>
        <v>13821.505926415879</v>
      </c>
      <c r="CD20" s="93">
        <f>IFERROR(s_C*s_IFBE_far_adj*s_CF_berries*(1/1000)*(up_Irr!F20+up_Irr!AD20+up_Irr!BB20),".")</f>
        <v>13821.505926415879</v>
      </c>
      <c r="CE20" s="93">
        <f>IFERROR(s_C*s_IFBR_far_adj*s_CF_broccoli*(1/1000)*(up_Irr!G20+up_Irr!AE20+up_Irr!BC20),".")</f>
        <v>13821.505926415879</v>
      </c>
      <c r="CF20" s="93">
        <f>IFERROR(s_C*s_IFCB_far_adj*s_CF_cabbage*(1/1000)*(up_Irr!H20+up_Irr!AF20+up_Irr!BD20),".")</f>
        <v>13821.505926415879</v>
      </c>
      <c r="CG20" s="93">
        <f>IFERROR(s_C*s_IFCR_far_adj*s_CF_carrot*(1/1000)*(up_Irr!I20+up_Irr!AG20+up_Irr!BE20),".")</f>
        <v>13821.505926415879</v>
      </c>
      <c r="CH20" s="93">
        <f>IFERROR(s_C*s_IFCI_far_adj*s_CF_citrus*(1/1000)*(up_Irr!J20+up_Irr!AH20+up_Irr!BF20),".")</f>
        <v>13821.505926415879</v>
      </c>
      <c r="CI20" s="93">
        <f>IFERROR(s_C*s_IFCO_far_adj*s_CF_corn*(1/1000)*(up_Irr!K20+up_Irr!AI20+up_Irr!BG20),".")</f>
        <v>13821.505926415879</v>
      </c>
      <c r="CJ20" s="93">
        <f>IFERROR(s_C*s_IFCU_far_adj*s_CF_cucumber*(1/1000)*(up_Irr!L20+up_Irr!AJ20+up_Irr!BH20),".")</f>
        <v>13821.505926415879</v>
      </c>
      <c r="CK20" s="93">
        <f>IFERROR(s_C*s_IFLE_far_adj*s_CF_lettuce*(1/1000)*(up_Irr!M20+up_Irr!AK20+up_Irr!BI20),".")</f>
        <v>13821.505926415879</v>
      </c>
      <c r="CL20" s="93">
        <f>IFERROR(s_C*s_IFLI_far_adj*s_CF_lima_bean*(1/1000)*(up_Irr!N20+up_Irr!AL20+up_Irr!BJ20),".")</f>
        <v>13821.505926415879</v>
      </c>
      <c r="CM20" s="93">
        <f>IFERROR(s_C*s_IFOK_far_adj*s_CF_okra*(1/1000)*(up_Irr!O20+up_Irr!AM20+up_Irr!BK20),".")</f>
        <v>13821.505926415879</v>
      </c>
      <c r="CN20" s="93">
        <f>IFERROR(s_C*s_IFON_far_adj*s_CF_onion*(1/1000)*(up_Irr!P20+up_Irr!AN20+up_Irr!BL20),".")</f>
        <v>13821.505926415879</v>
      </c>
      <c r="CO20" s="93">
        <f>IFERROR(s_C*s_IFPC_far_adj*s_CF_peach*(1/1000)*(up_Irr!Q20+up_Irr!AO20+up_Irr!BM20),".")</f>
        <v>13821.505926415879</v>
      </c>
      <c r="CP20" s="93">
        <f>IFERROR(s_C*s_IFPR_far_adj*s_CF_pear*(1/1000)*(up_Irr!R20+up_Irr!AP20+up_Irr!BN20),".")</f>
        <v>13821.505926415879</v>
      </c>
      <c r="CQ20" s="93">
        <f>IFERROR(s_C*s_IFPE_far_adj*s_CF_peas*(1/1000)*(up_Irr!S20+up_Irr!AQ20+up_Irr!BO20),".")</f>
        <v>13821.505926415879</v>
      </c>
      <c r="CR20" s="93">
        <f>IFERROR(s_C*s_IFPT_far_adj*s_CF_potato*(1/1000)*(up_Irr!T20+up_Irr!AR20+up_Irr!BP20),".")</f>
        <v>13821.505926415879</v>
      </c>
      <c r="CS20" s="93">
        <f>IFERROR(s_C*s_IFPU_far_adj*s_CF_pumpkin*(1/1000)*(up_Irr!U20+up_Irr!AS20+up_Irr!BQ20),".")</f>
        <v>13821.505926415879</v>
      </c>
      <c r="CT20" s="93">
        <f>IFERROR(s_C*s_IFSN_far_adj*s_CF_snap_bean*(1/1000)*(up_Irr!V20+up_Irr!AT20+up_Irr!BR20),".")</f>
        <v>13821.505926415879</v>
      </c>
      <c r="CU20" s="93">
        <f>IFERROR(s_C*s_IFST_far_adj*s_CF_strawberry*(1/1000)*(up_Irr!W20+up_Irr!AU20+up_Irr!BS20),".")</f>
        <v>13821.505926415879</v>
      </c>
      <c r="CV20" s="93">
        <f>IFERROR(s_C*s_IFTO_far_adj*s_CF_tomato*(1/1000)*(up_Irr!X20+up_Irr!AV20+up_Irr!BT20),".")</f>
        <v>13821.505926415879</v>
      </c>
      <c r="CW20" s="93">
        <f>IFERROR(s_C*s_IFRI_far_adj*s_CF_rice*(1/1000)*(up_Irr!Y20+up_Irr!AW20+up_Irr!BU20),".")</f>
        <v>13821.505926415879</v>
      </c>
      <c r="CX20" s="93">
        <f>IFERROR(s_C*s_IFCG_far_adj*s_CF_cereal*(1/1000)*(up_Irr!Z20+up_Irr!AX20+up_Irr!BV20),".")</f>
        <v>13821.505926415879</v>
      </c>
    </row>
    <row r="21" spans="1:102" ht="15" customHeight="1" x14ac:dyDescent="0.25">
      <c r="A21" s="92" t="s">
        <v>31</v>
      </c>
      <c r="B21" s="90" t="s">
        <v>1074</v>
      </c>
      <c r="C21" s="76">
        <f t="shared" si="0"/>
        <v>1.8087754064641833E-11</v>
      </c>
      <c r="D21" s="76">
        <f>IFERROR(IF(AND(up_Irr!C21&lt;&gt;".",up_Irr!AA21&lt;&gt;".",up_Irr!AY21&lt;&gt;"."),up_dir!D21/((1/1000)*(up_Irr!C21+up_Irr!AA21+up_Irr!AY21)),IF(AND(up_Irr!C21&lt;&gt;".",up_Irr!AA21&lt;&gt;".",up_Irr!AY21="."),up_dir!D21/((1/1000)*(up_Irr!C21+up_Irr!AA21)),IF(AND(up_Irr!C21&lt;&gt;".",up_Irr!AA21=".",up_Irr!AY21&lt;&gt;"."),up_dir!D21/((1/1000)*(up_Irr!C21+up_Irr!AY21)),IF(AND(up_Irr!C21=".",up_Irr!AA21&lt;&gt;".",up_Irr!AY21&lt;&gt;"."),up_dir!D21/((1/1000)*(up_Irr!AA21+up_Irr!AY21)),IF(AND(up_Irr!C21=".",up_Irr!AA21=".",up_Irr!AY21&lt;&gt;"."),up_dir!D21/((1/1000)*(up_Irr!AY21)),IF(AND(up_Irr!C21=".",up_Irr!AA21&lt;&gt;".",up_Irr!AY21="."),up_dir!D21/((1/1000)*(up_Irr!AA21)),IF(AND(up_Irr!C21&lt;&gt;".",up_Irr!AA21=".",up_Irr!AY21="."),up_dir!D21/((1/1000)*(up_Irr!C21)),IF(AND(up_Irr!C21=".",up_Irr!AA21=".",up_Irr!AY21="."),up_dir!D21*1000)))))))),".")</f>
        <v>7.2351016258567334E-11</v>
      </c>
      <c r="E21" s="76">
        <f>IFERROR(IF(AND(up_Irr!D21&lt;&gt;".",up_Irr!AB21&lt;&gt;".",up_Irr!AZ21&lt;&gt;"."),up_dir!E21/((1/1000)*(up_Irr!D21+up_Irr!AB21+up_Irr!AZ21)),IF(AND(up_Irr!D21&lt;&gt;".",up_Irr!AB21&lt;&gt;".",up_Irr!AZ21="."),up_dir!E21/((1/1000)*(up_Irr!D21+up_Irr!AB21)),IF(AND(up_Irr!D21&lt;&gt;".",up_Irr!AB21=".",up_Irr!AZ21&lt;&gt;"."),up_dir!E21/((1/1000)*(up_Irr!D21+up_Irr!AZ21)),IF(AND(up_Irr!D21=".",up_Irr!AB21&lt;&gt;".",up_Irr!AZ21&lt;&gt;"."),up_dir!E21/((1/1000)*(up_Irr!AB21+up_Irr!AZ21)),IF(AND(up_Irr!D21=".",up_Irr!AB21=".",up_Irr!AZ21&lt;&gt;"."),up_dir!E21/((1/1000)*(up_Irr!AZ21)),IF(AND(up_Irr!D21=".",up_Irr!AB21&lt;&gt;".",up_Irr!AZ21="."),up_dir!E21/((1/1000)*(up_Irr!AB21)),IF(AND(up_Irr!D21&lt;&gt;".",up_Irr!AB21=".",up_Irr!AZ21="."),up_dir!E21/((1/1000)*(up_Irr!D21)),IF(AND(up_Irr!D21=".",up_Irr!AB21=".",up_Irr!AZ21="."),up_dir!E21*1000)))))))),".")</f>
        <v>7.2351016258567334E-11</v>
      </c>
      <c r="F21" s="76">
        <f>IFERROR(IF(AND(up_Irr!E21&lt;&gt;".",up_Irr!AC21&lt;&gt;".",up_Irr!BA21&lt;&gt;"."),up_dir!F21/((1/1000)*(up_Irr!E21+up_Irr!AC21+up_Irr!BA21)),IF(AND(up_Irr!E21&lt;&gt;".",up_Irr!AC21&lt;&gt;".",up_Irr!BA21="."),up_dir!F21/((1/1000)*(up_Irr!E21+up_Irr!AC21)),IF(AND(up_Irr!E21&lt;&gt;".",up_Irr!AC21=".",up_Irr!BA21&lt;&gt;"."),up_dir!F21/((1/1000)*(up_Irr!E21+up_Irr!BA21)),IF(AND(up_Irr!E21=".",up_Irr!AC21&lt;&gt;".",up_Irr!BA21&lt;&gt;"."),up_dir!F21/((1/1000)*(up_Irr!AC21+up_Irr!BA21)),IF(AND(up_Irr!E21=".",up_Irr!AC21=".",up_Irr!BA21&lt;&gt;"."),up_dir!F21/((1/1000)*(up_Irr!BA21)),IF(AND(up_Irr!E21=".",up_Irr!AC21&lt;&gt;".",up_Irr!BA21="."),up_dir!F21/((1/1000)*(up_Irr!AC21)),IF(AND(up_Irr!E21&lt;&gt;".",up_Irr!AC21=".",up_Irr!BA21="."),up_dir!F21/((1/1000)*(up_Irr!E21)),IF(AND(up_Irr!E21=".",up_Irr!AC21=".",up_Irr!BA21="."),up_dir!F21*1000)))))))),".")</f>
        <v>7.2351016258567334E-11</v>
      </c>
      <c r="G21" s="76">
        <f>IFERROR(IF(AND(up_Irr!F21&lt;&gt;".",up_Irr!AD21&lt;&gt;".",up_Irr!BB21&lt;&gt;"."),up_dir!G21/((1/1000)*(up_Irr!F21+up_Irr!AD21+up_Irr!BB21)),IF(AND(up_Irr!F21&lt;&gt;".",up_Irr!AD21&lt;&gt;".",up_Irr!BB21="."),up_dir!G21/((1/1000)*(up_Irr!F21+up_Irr!AD21)),IF(AND(up_Irr!F21&lt;&gt;".",up_Irr!AD21=".",up_Irr!BB21&lt;&gt;"."),up_dir!G21/((1/1000)*(up_Irr!F21+up_Irr!BB21)),IF(AND(up_Irr!F21=".",up_Irr!AD21&lt;&gt;".",up_Irr!BB21&lt;&gt;"."),up_dir!G21/((1/1000)*(up_Irr!AD21+up_Irr!BB21)),IF(AND(up_Irr!F21=".",up_Irr!AD21=".",up_Irr!BB21&lt;&gt;"."),up_dir!G21/((1/1000)*(up_Irr!BB21)),IF(AND(up_Irr!F21=".",up_Irr!AD21&lt;&gt;".",up_Irr!BB21="."),up_dir!G21/((1/1000)*(up_Irr!AD21)),IF(AND(up_Irr!F21&lt;&gt;".",up_Irr!AD21=".",up_Irr!BB21="."),up_dir!G21/((1/1000)*(up_Irr!F21)),IF(AND(up_Irr!F21=".",up_Irr!AD21=".",up_Irr!BB21="."),up_dir!G21*1000)))))))),".")</f>
        <v>7.2351016258567334E-11</v>
      </c>
      <c r="H21" s="76">
        <f>IFERROR(IF(AND(up_Irr!G21&lt;&gt;".",up_Irr!AE21&lt;&gt;".",up_Irr!BC21&lt;&gt;"."),up_dir!H21/((1/1000)*(up_Irr!G21+up_Irr!AE21+up_Irr!BC21)),IF(AND(up_Irr!G21&lt;&gt;".",up_Irr!AE21&lt;&gt;".",up_Irr!BC21="."),up_dir!H21/((1/1000)*(up_Irr!G21+up_Irr!AE21)),IF(AND(up_Irr!G21&lt;&gt;".",up_Irr!AE21=".",up_Irr!BC21&lt;&gt;"."),up_dir!H21/((1/1000)*(up_Irr!G21+up_Irr!BC21)),IF(AND(up_Irr!G21=".",up_Irr!AE21&lt;&gt;".",up_Irr!BC21&lt;&gt;"."),up_dir!H21/((1/1000)*(up_Irr!AE21+up_Irr!BC21)),IF(AND(up_Irr!G21=".",up_Irr!AE21=".",up_Irr!BC21&lt;&gt;"."),up_dir!H21/((1/1000)*(up_Irr!BC21)),IF(AND(up_Irr!G21=".",up_Irr!AE21&lt;&gt;".",up_Irr!BC21="."),up_dir!H21/((1/1000)*(up_Irr!AE21)),IF(AND(up_Irr!G21&lt;&gt;".",up_Irr!AE21=".",up_Irr!BC21="."),up_dir!H21/((1/1000)*(up_Irr!G21)),IF(AND(up_Irr!G21=".",up_Irr!AE21=".",up_Irr!BC21="."),up_dir!H21*1000)))))))),".")</f>
        <v>7.2351016258567334E-11</v>
      </c>
      <c r="I21" s="76">
        <f>IFERROR(IF(AND(up_Irr!H21&lt;&gt;".",up_Irr!AF21&lt;&gt;".",up_Irr!BD21&lt;&gt;"."),up_dir!I21/((1/1000)*(up_Irr!H21+up_Irr!AF21+up_Irr!BD21)),IF(AND(up_Irr!H21&lt;&gt;".",up_Irr!AF21&lt;&gt;".",up_Irr!BD21="."),up_dir!I21/((1/1000)*(up_Irr!H21+up_Irr!AF21)),IF(AND(up_Irr!H21&lt;&gt;".",up_Irr!AF21=".",up_Irr!BD21&lt;&gt;"."),up_dir!I21/((1/1000)*(up_Irr!H21+up_Irr!BD21)),IF(AND(up_Irr!H21=".",up_Irr!AF21&lt;&gt;".",up_Irr!BD21&lt;&gt;"."),up_dir!I21/((1/1000)*(up_Irr!AF21+up_Irr!BD21)),IF(AND(up_Irr!H21=".",up_Irr!AF21=".",up_Irr!BD21&lt;&gt;"."),up_dir!I21/((1/1000)*(up_Irr!BD21)),IF(AND(up_Irr!H21=".",up_Irr!AF21&lt;&gt;".",up_Irr!BD21="."),up_dir!I21/((1/1000)*(up_Irr!AF21)),IF(AND(up_Irr!H21&lt;&gt;".",up_Irr!AF21=".",up_Irr!BD21="."),up_dir!I21/((1/1000)*(up_Irr!H21)),IF(AND(up_Irr!H21=".",up_Irr!AF21=".",up_Irr!BD21="."),up_dir!I21*1000)))))))),".")</f>
        <v>7.2351016258567334E-11</v>
      </c>
      <c r="J21" s="76">
        <f>IFERROR(IF(AND(up_Irr!I21&lt;&gt;".",up_Irr!AG21&lt;&gt;".",up_Irr!BE21&lt;&gt;"."),up_dir!J21/((1/1000)*(up_Irr!I21+up_Irr!AG21+up_Irr!BE21)),IF(AND(up_Irr!I21&lt;&gt;".",up_Irr!AG21&lt;&gt;".",up_Irr!BE21="."),up_dir!J21/((1/1000)*(up_Irr!I21+up_Irr!AG21)),IF(AND(up_Irr!I21&lt;&gt;".",up_Irr!AG21=".",up_Irr!BE21&lt;&gt;"."),up_dir!J21/((1/1000)*(up_Irr!I21+up_Irr!BE21)),IF(AND(up_Irr!I21=".",up_Irr!AG21&lt;&gt;".",up_Irr!BE21&lt;&gt;"."),up_dir!J21/((1/1000)*(up_Irr!AG21+up_Irr!BE21)),IF(AND(up_Irr!I21=".",up_Irr!AG21=".",up_Irr!BE21&lt;&gt;"."),up_dir!J21/((1/1000)*(up_Irr!BE21)),IF(AND(up_Irr!I21=".",up_Irr!AG21&lt;&gt;".",up_Irr!BE21="."),up_dir!J21/((1/1000)*(up_Irr!AG21)),IF(AND(up_Irr!I21&lt;&gt;".",up_Irr!AG21=".",up_Irr!BE21="."),up_dir!J21/((1/1000)*(up_Irr!I21)),IF(AND(up_Irr!I21=".",up_Irr!AG21=".",up_Irr!BE21="."),up_dir!J21*1000)))))))),".")</f>
        <v>7.2351016258567334E-11</v>
      </c>
      <c r="K21" s="76">
        <f>IFERROR(IF(AND(up_Irr!J21&lt;&gt;".",up_Irr!AH21&lt;&gt;".",up_Irr!BF21&lt;&gt;"."),up_dir!K21/((1/1000)*(up_Irr!J21+up_Irr!AH21+up_Irr!BF21)),IF(AND(up_Irr!J21&lt;&gt;".",up_Irr!AH21&lt;&gt;".",up_Irr!BF21="."),up_dir!K21/((1/1000)*(up_Irr!J21+up_Irr!AH21)),IF(AND(up_Irr!J21&lt;&gt;".",up_Irr!AH21=".",up_Irr!BF21&lt;&gt;"."),up_dir!K21/((1/1000)*(up_Irr!J21+up_Irr!BF21)),IF(AND(up_Irr!J21=".",up_Irr!AH21&lt;&gt;".",up_Irr!BF21&lt;&gt;"."),up_dir!K21/((1/1000)*(up_Irr!AH21+up_Irr!BF21)),IF(AND(up_Irr!J21=".",up_Irr!AH21=".",up_Irr!BF21&lt;&gt;"."),up_dir!K21/((1/1000)*(up_Irr!BF21)),IF(AND(up_Irr!J21=".",up_Irr!AH21&lt;&gt;".",up_Irr!BF21="."),up_dir!K21/((1/1000)*(up_Irr!AH21)),IF(AND(up_Irr!J21&lt;&gt;".",up_Irr!AH21=".",up_Irr!BF21="."),up_dir!K21/((1/1000)*(up_Irr!J21)),IF(AND(up_Irr!J21=".",up_Irr!AH21=".",up_Irr!BF21="."),up_dir!K21*1000)))))))),".")</f>
        <v>7.2351016258567334E-11</v>
      </c>
      <c r="L21" s="76">
        <f>IFERROR(IF(AND(up_Irr!K21&lt;&gt;".",up_Irr!AI21&lt;&gt;".",up_Irr!BG21&lt;&gt;"."),up_dir!L21/((1/1000)*(up_Irr!K21+up_Irr!AI21+up_Irr!BG21)),IF(AND(up_Irr!K21&lt;&gt;".",up_Irr!AI21&lt;&gt;".",up_Irr!BG21="."),up_dir!L21/((1/1000)*(up_Irr!K21+up_Irr!AI21)),IF(AND(up_Irr!K21&lt;&gt;".",up_Irr!AI21=".",up_Irr!BG21&lt;&gt;"."),up_dir!L21/((1/1000)*(up_Irr!K21+up_Irr!BG21)),IF(AND(up_Irr!K21=".",up_Irr!AI21&lt;&gt;".",up_Irr!BG21&lt;&gt;"."),up_dir!L21/((1/1000)*(up_Irr!AI21+up_Irr!BG21)),IF(AND(up_Irr!K21=".",up_Irr!AI21=".",up_Irr!BG21&lt;&gt;"."),up_dir!L21/((1/1000)*(up_Irr!BG21)),IF(AND(up_Irr!K21=".",up_Irr!AI21&lt;&gt;".",up_Irr!BG21="."),up_dir!L21/((1/1000)*(up_Irr!AI21)),IF(AND(up_Irr!K21&lt;&gt;".",up_Irr!AI21=".",up_Irr!BG21="."),up_dir!L21/((1/1000)*(up_Irr!K21)),IF(AND(up_Irr!K21=".",up_Irr!AI21=".",up_Irr!BG21="."),up_dir!L21*1000)))))))),".")</f>
        <v>7.2351016258567334E-11</v>
      </c>
      <c r="M21" s="76">
        <f>IFERROR(IF(AND(up_Irr!L21&lt;&gt;".",up_Irr!AJ21&lt;&gt;".",up_Irr!BH21&lt;&gt;"."),up_dir!M21/((1/1000)*(up_Irr!L21+up_Irr!AJ21+up_Irr!BH21)),IF(AND(up_Irr!L21&lt;&gt;".",up_Irr!AJ21&lt;&gt;".",up_Irr!BH21="."),up_dir!M21/((1/1000)*(up_Irr!L21+up_Irr!AJ21)),IF(AND(up_Irr!L21&lt;&gt;".",up_Irr!AJ21=".",up_Irr!BH21&lt;&gt;"."),up_dir!M21/((1/1000)*(up_Irr!L21+up_Irr!BH21)),IF(AND(up_Irr!L21=".",up_Irr!AJ21&lt;&gt;".",up_Irr!BH21&lt;&gt;"."),up_dir!M21/((1/1000)*(up_Irr!AJ21+up_Irr!BH21)),IF(AND(up_Irr!L21=".",up_Irr!AJ21=".",up_Irr!BH21&lt;&gt;"."),up_dir!M21/((1/1000)*(up_Irr!BH21)),IF(AND(up_Irr!L21=".",up_Irr!AJ21&lt;&gt;".",up_Irr!BH21="."),up_dir!M21/((1/1000)*(up_Irr!AJ21)),IF(AND(up_Irr!L21&lt;&gt;".",up_Irr!AJ21=".",up_Irr!BH21="."),up_dir!M21/((1/1000)*(up_Irr!L21)),IF(AND(up_Irr!L21=".",up_Irr!AJ21=".",up_Irr!BH21="."),up_dir!M21*1000)))))))),".")</f>
        <v>7.2351016258567334E-11</v>
      </c>
      <c r="N21" s="76">
        <f>IFERROR(IF(AND(up_Irr!M21&lt;&gt;".",up_Irr!AK21&lt;&gt;".",up_Irr!BI21&lt;&gt;"."),up_dir!N21/((1/1000)*(up_Irr!M21+up_Irr!AK21+up_Irr!BI21)),IF(AND(up_Irr!M21&lt;&gt;".",up_Irr!AK21&lt;&gt;".",up_Irr!BI21="."),up_dir!N21/((1/1000)*(up_Irr!M21+up_Irr!AK21)),IF(AND(up_Irr!M21&lt;&gt;".",up_Irr!AK21=".",up_Irr!BI21&lt;&gt;"."),up_dir!N21/((1/1000)*(up_Irr!M21+up_Irr!BI21)),IF(AND(up_Irr!M21=".",up_Irr!AK21&lt;&gt;".",up_Irr!BI21&lt;&gt;"."),up_dir!N21/((1/1000)*(up_Irr!AK21+up_Irr!BI21)),IF(AND(up_Irr!M21=".",up_Irr!AK21=".",up_Irr!BI21&lt;&gt;"."),up_dir!N21/((1/1000)*(up_Irr!BI21)),IF(AND(up_Irr!M21=".",up_Irr!AK21&lt;&gt;".",up_Irr!BI21="."),up_dir!N21/((1/1000)*(up_Irr!AK21)),IF(AND(up_Irr!M21&lt;&gt;".",up_Irr!AK21=".",up_Irr!BI21="."),up_dir!N21/((1/1000)*(up_Irr!M21)),IF(AND(up_Irr!M21=".",up_Irr!AK21=".",up_Irr!BI21="."),up_dir!N21*1000)))))))),".")</f>
        <v>7.2351016258567334E-11</v>
      </c>
      <c r="O21" s="76">
        <f>IFERROR(IF(AND(up_Irr!N21&lt;&gt;".",up_Irr!AL21&lt;&gt;".",up_Irr!BJ21&lt;&gt;"."),up_dir!O21/((1/1000)*(up_Irr!N21+up_Irr!AL21+up_Irr!BJ21)),IF(AND(up_Irr!N21&lt;&gt;".",up_Irr!AL21&lt;&gt;".",up_Irr!BJ21="."),up_dir!O21/((1/1000)*(up_Irr!N21+up_Irr!AL21)),IF(AND(up_Irr!N21&lt;&gt;".",up_Irr!AL21=".",up_Irr!BJ21&lt;&gt;"."),up_dir!O21/((1/1000)*(up_Irr!N21+up_Irr!BJ21)),IF(AND(up_Irr!N21=".",up_Irr!AL21&lt;&gt;".",up_Irr!BJ21&lt;&gt;"."),up_dir!O21/((1/1000)*(up_Irr!AL21+up_Irr!BJ21)),IF(AND(up_Irr!N21=".",up_Irr!AL21=".",up_Irr!BJ21&lt;&gt;"."),up_dir!O21/((1/1000)*(up_Irr!BJ21)),IF(AND(up_Irr!N21=".",up_Irr!AL21&lt;&gt;".",up_Irr!BJ21="."),up_dir!O21/((1/1000)*(up_Irr!AL21)),IF(AND(up_Irr!N21&lt;&gt;".",up_Irr!AL21=".",up_Irr!BJ21="."),up_dir!O21/((1/1000)*(up_Irr!N21)),IF(AND(up_Irr!N21=".",up_Irr!AL21=".",up_Irr!BJ21="."),up_dir!O21*1000)))))))),".")</f>
        <v>7.2351016258567334E-11</v>
      </c>
      <c r="P21" s="76">
        <f>IFERROR(IF(AND(up_Irr!O21&lt;&gt;".",up_Irr!AM21&lt;&gt;".",up_Irr!BK21&lt;&gt;"."),up_dir!P21/((1/1000)*(up_Irr!O21+up_Irr!AM21+up_Irr!BK21)),IF(AND(up_Irr!O21&lt;&gt;".",up_Irr!AM21&lt;&gt;".",up_Irr!BK21="."),up_dir!P21/((1/1000)*(up_Irr!O21+up_Irr!AM21)),IF(AND(up_Irr!O21&lt;&gt;".",up_Irr!AM21=".",up_Irr!BK21&lt;&gt;"."),up_dir!P21/((1/1000)*(up_Irr!O21+up_Irr!BK21)),IF(AND(up_Irr!O21=".",up_Irr!AM21&lt;&gt;".",up_Irr!BK21&lt;&gt;"."),up_dir!P21/((1/1000)*(up_Irr!AM21+up_Irr!BK21)),IF(AND(up_Irr!O21=".",up_Irr!AM21=".",up_Irr!BK21&lt;&gt;"."),up_dir!P21/((1/1000)*(up_Irr!BK21)),IF(AND(up_Irr!O21=".",up_Irr!AM21&lt;&gt;".",up_Irr!BK21="."),up_dir!P21/((1/1000)*(up_Irr!AM21)),IF(AND(up_Irr!O21&lt;&gt;".",up_Irr!AM21=".",up_Irr!BK21="."),up_dir!P21/((1/1000)*(up_Irr!O21)),IF(AND(up_Irr!O21=".",up_Irr!AM21=".",up_Irr!BK21="."),up_dir!P21*1000)))))))),".")</f>
        <v>7.2351016258567334E-11</v>
      </c>
      <c r="Q21" s="76">
        <f>IFERROR(IF(AND(up_Irr!P21&lt;&gt;".",up_Irr!AN21&lt;&gt;".",up_Irr!BL21&lt;&gt;"."),up_dir!Q21/((1/1000)*(up_Irr!P21+up_Irr!AN21+up_Irr!BL21)),IF(AND(up_Irr!P21&lt;&gt;".",up_Irr!AN21&lt;&gt;".",up_Irr!BL21="."),up_dir!Q21/((1/1000)*(up_Irr!P21+up_Irr!AN21)),IF(AND(up_Irr!P21&lt;&gt;".",up_Irr!AN21=".",up_Irr!BL21&lt;&gt;"."),up_dir!Q21/((1/1000)*(up_Irr!P21+up_Irr!BL21)),IF(AND(up_Irr!P21=".",up_Irr!AN21&lt;&gt;".",up_Irr!BL21&lt;&gt;"."),up_dir!Q21/((1/1000)*(up_Irr!AN21+up_Irr!BL21)),IF(AND(up_Irr!P21=".",up_Irr!AN21=".",up_Irr!BL21&lt;&gt;"."),up_dir!Q21/((1/1000)*(up_Irr!BL21)),IF(AND(up_Irr!P21=".",up_Irr!AN21&lt;&gt;".",up_Irr!BL21="."),up_dir!Q21/((1/1000)*(up_Irr!AN21)),IF(AND(up_Irr!P21&lt;&gt;".",up_Irr!AN21=".",up_Irr!BL21="."),up_dir!Q21/((1/1000)*(up_Irr!P21)),IF(AND(up_Irr!P21=".",up_Irr!AN21=".",up_Irr!BL21="."),up_dir!Q21*1000)))))))),".")</f>
        <v>7.2351016258567334E-11</v>
      </c>
      <c r="R21" s="76">
        <f>IFERROR(IF(AND(up_Irr!Q21&lt;&gt;".",up_Irr!AO21&lt;&gt;".",up_Irr!BM21&lt;&gt;"."),up_dir!R21/((1/1000)*(up_Irr!Q21+up_Irr!AO21+up_Irr!BM21)),IF(AND(up_Irr!Q21&lt;&gt;".",up_Irr!AO21&lt;&gt;".",up_Irr!BM21="."),up_dir!R21/((1/1000)*(up_Irr!Q21+up_Irr!AO21)),IF(AND(up_Irr!Q21&lt;&gt;".",up_Irr!AO21=".",up_Irr!BM21&lt;&gt;"."),up_dir!R21/((1/1000)*(up_Irr!Q21+up_Irr!BM21)),IF(AND(up_Irr!Q21=".",up_Irr!AO21&lt;&gt;".",up_Irr!BM21&lt;&gt;"."),up_dir!R21/((1/1000)*(up_Irr!AO21+up_Irr!BM21)),IF(AND(up_Irr!Q21=".",up_Irr!AO21=".",up_Irr!BM21&lt;&gt;"."),up_dir!R21/((1/1000)*(up_Irr!BM21)),IF(AND(up_Irr!Q21=".",up_Irr!AO21&lt;&gt;".",up_Irr!BM21="."),up_dir!R21/((1/1000)*(up_Irr!AO21)),IF(AND(up_Irr!Q21&lt;&gt;".",up_Irr!AO21=".",up_Irr!BM21="."),up_dir!R21/((1/1000)*(up_Irr!Q21)),IF(AND(up_Irr!Q21=".",up_Irr!AO21=".",up_Irr!BM21="."),up_dir!R21*1000)))))))),".")</f>
        <v>7.2351016258567334E-11</v>
      </c>
      <c r="S21" s="76">
        <f>IFERROR(IF(AND(up_Irr!R21&lt;&gt;".",up_Irr!AP21&lt;&gt;".",up_Irr!BN21&lt;&gt;"."),up_dir!S21/((1/1000)*(up_Irr!R21+up_Irr!AP21+up_Irr!BN21)),IF(AND(up_Irr!R21&lt;&gt;".",up_Irr!AP21&lt;&gt;".",up_Irr!BN21="."),up_dir!S21/((1/1000)*(up_Irr!R21+up_Irr!AP21)),IF(AND(up_Irr!R21&lt;&gt;".",up_Irr!AP21=".",up_Irr!BN21&lt;&gt;"."),up_dir!S21/((1/1000)*(up_Irr!R21+up_Irr!BN21)),IF(AND(up_Irr!R21=".",up_Irr!AP21&lt;&gt;".",up_Irr!BN21&lt;&gt;"."),up_dir!S21/((1/1000)*(up_Irr!AP21+up_Irr!BN21)),IF(AND(up_Irr!R21=".",up_Irr!AP21=".",up_Irr!BN21&lt;&gt;"."),up_dir!S21/((1/1000)*(up_Irr!BN21)),IF(AND(up_Irr!R21=".",up_Irr!AP21&lt;&gt;".",up_Irr!BN21="."),up_dir!S21/((1/1000)*(up_Irr!AP21)),IF(AND(up_Irr!R21&lt;&gt;".",up_Irr!AP21=".",up_Irr!BN21="."),up_dir!S21/((1/1000)*(up_Irr!R21)),IF(AND(up_Irr!R21=".",up_Irr!AP21=".",up_Irr!BN21="."),up_dir!S21*1000)))))))),".")</f>
        <v>7.2351016258567334E-11</v>
      </c>
      <c r="T21" s="76">
        <f>IFERROR(IF(AND(up_Irr!S21&lt;&gt;".",up_Irr!AQ21&lt;&gt;".",up_Irr!BO21&lt;&gt;"."),up_dir!T21/((1/1000)*(up_Irr!S21+up_Irr!AQ21+up_Irr!BO21)),IF(AND(up_Irr!S21&lt;&gt;".",up_Irr!AQ21&lt;&gt;".",up_Irr!BO21="."),up_dir!T21/((1/1000)*(up_Irr!S21+up_Irr!AQ21)),IF(AND(up_Irr!S21&lt;&gt;".",up_Irr!AQ21=".",up_Irr!BO21&lt;&gt;"."),up_dir!T21/((1/1000)*(up_Irr!S21+up_Irr!BO21)),IF(AND(up_Irr!S21=".",up_Irr!AQ21&lt;&gt;".",up_Irr!BO21&lt;&gt;"."),up_dir!T21/((1/1000)*(up_Irr!AQ21+up_Irr!BO21)),IF(AND(up_Irr!S21=".",up_Irr!AQ21=".",up_Irr!BO21&lt;&gt;"."),up_dir!T21/((1/1000)*(up_Irr!BO21)),IF(AND(up_Irr!S21=".",up_Irr!AQ21&lt;&gt;".",up_Irr!BO21="."),up_dir!T21/((1/1000)*(up_Irr!AQ21)),IF(AND(up_Irr!S21&lt;&gt;".",up_Irr!AQ21=".",up_Irr!BO21="."),up_dir!T21/((1/1000)*(up_Irr!S21)),IF(AND(up_Irr!S21=".",up_Irr!AQ21=".",up_Irr!BO21="."),up_dir!T21*1000)))))))),".")</f>
        <v>7.2351016258567334E-11</v>
      </c>
      <c r="U21" s="76">
        <f>IFERROR(IF(AND(up_Irr!T21&lt;&gt;".",up_Irr!AR21&lt;&gt;".",up_Irr!BP21&lt;&gt;"."),up_dir!U21/((1/1000)*(up_Irr!T21+up_Irr!AR21+up_Irr!BP21)),IF(AND(up_Irr!T21&lt;&gt;".",up_Irr!AR21&lt;&gt;".",up_Irr!BP21="."),up_dir!U21/((1/1000)*(up_Irr!T21+up_Irr!AR21)),IF(AND(up_Irr!T21&lt;&gt;".",up_Irr!AR21=".",up_Irr!BP21&lt;&gt;"."),up_dir!U21/((1/1000)*(up_Irr!T21+up_Irr!BP21)),IF(AND(up_Irr!T21=".",up_Irr!AR21&lt;&gt;".",up_Irr!BP21&lt;&gt;"."),up_dir!U21/((1/1000)*(up_Irr!AR21+up_Irr!BP21)),IF(AND(up_Irr!T21=".",up_Irr!AR21=".",up_Irr!BP21&lt;&gt;"."),up_dir!U21/((1/1000)*(up_Irr!BP21)),IF(AND(up_Irr!T21=".",up_Irr!AR21&lt;&gt;".",up_Irr!BP21="."),up_dir!U21/((1/1000)*(up_Irr!AR21)),IF(AND(up_Irr!T21&lt;&gt;".",up_Irr!AR21=".",up_Irr!BP21="."),up_dir!U21/((1/1000)*(up_Irr!T21)),IF(AND(up_Irr!T21=".",up_Irr!AR21=".",up_Irr!BP21="."),up_dir!U21*1000)))))))),".")</f>
        <v>7.2351016258567334E-11</v>
      </c>
      <c r="V21" s="76">
        <f>IFERROR(IF(AND(up_Irr!U21&lt;&gt;".",up_Irr!AS21&lt;&gt;".",up_Irr!BQ21&lt;&gt;"."),up_dir!V21/((1/1000)*(up_Irr!U21+up_Irr!AS21+up_Irr!BQ21)),IF(AND(up_Irr!U21&lt;&gt;".",up_Irr!AS21&lt;&gt;".",up_Irr!BQ21="."),up_dir!V21/((1/1000)*(up_Irr!U21+up_Irr!AS21)),IF(AND(up_Irr!U21&lt;&gt;".",up_Irr!AS21=".",up_Irr!BQ21&lt;&gt;"."),up_dir!V21/((1/1000)*(up_Irr!U21+up_Irr!BQ21)),IF(AND(up_Irr!U21=".",up_Irr!AS21&lt;&gt;".",up_Irr!BQ21&lt;&gt;"."),up_dir!V21/((1/1000)*(up_Irr!AS21+up_Irr!BQ21)),IF(AND(up_Irr!U21=".",up_Irr!AS21=".",up_Irr!BQ21&lt;&gt;"."),up_dir!V21/((1/1000)*(up_Irr!BQ21)),IF(AND(up_Irr!U21=".",up_Irr!AS21&lt;&gt;".",up_Irr!BQ21="."),up_dir!V21/((1/1000)*(up_Irr!AS21)),IF(AND(up_Irr!U21&lt;&gt;".",up_Irr!AS21=".",up_Irr!BQ21="."),up_dir!V21/((1/1000)*(up_Irr!U21)),IF(AND(up_Irr!U21=".",up_Irr!AS21=".",up_Irr!BQ21="."),up_dir!V21*1000)))))))),".")</f>
        <v>7.2351016258567334E-11</v>
      </c>
      <c r="W21" s="76">
        <f>IFERROR(IF(AND(up_Irr!V21&lt;&gt;".",up_Irr!AT21&lt;&gt;".",up_Irr!BR21&lt;&gt;"."),up_dir!W21/((1/1000)*(up_Irr!V21+up_Irr!AT21+up_Irr!BR21)),IF(AND(up_Irr!V21&lt;&gt;".",up_Irr!AT21&lt;&gt;".",up_Irr!BR21="."),up_dir!W21/((1/1000)*(up_Irr!V21+up_Irr!AT21)),IF(AND(up_Irr!V21&lt;&gt;".",up_Irr!AT21=".",up_Irr!BR21&lt;&gt;"."),up_dir!W21/((1/1000)*(up_Irr!V21+up_Irr!BR21)),IF(AND(up_Irr!V21=".",up_Irr!AT21&lt;&gt;".",up_Irr!BR21&lt;&gt;"."),up_dir!W21/((1/1000)*(up_Irr!AT21+up_Irr!BR21)),IF(AND(up_Irr!V21=".",up_Irr!AT21=".",up_Irr!BR21&lt;&gt;"."),up_dir!W21/((1/1000)*(up_Irr!BR21)),IF(AND(up_Irr!V21=".",up_Irr!AT21&lt;&gt;".",up_Irr!BR21="."),up_dir!W21/((1/1000)*(up_Irr!AT21)),IF(AND(up_Irr!V21&lt;&gt;".",up_Irr!AT21=".",up_Irr!BR21="."),up_dir!W21/((1/1000)*(up_Irr!V21)),IF(AND(up_Irr!V21=".",up_Irr!AT21=".",up_Irr!BR21="."),up_dir!W21*1000)))))))),".")</f>
        <v>7.2351016258567334E-11</v>
      </c>
      <c r="X21" s="76">
        <f>IFERROR(IF(AND(up_Irr!W21&lt;&gt;".",up_Irr!AU21&lt;&gt;".",up_Irr!BS21&lt;&gt;"."),up_dir!X21/((1/1000)*(up_Irr!W21+up_Irr!AU21+up_Irr!BS21)),IF(AND(up_Irr!W21&lt;&gt;".",up_Irr!AU21&lt;&gt;".",up_Irr!BS21="."),up_dir!X21/((1/1000)*(up_Irr!W21+up_Irr!AU21)),IF(AND(up_Irr!W21&lt;&gt;".",up_Irr!AU21=".",up_Irr!BS21&lt;&gt;"."),up_dir!X21/((1/1000)*(up_Irr!W21+up_Irr!BS21)),IF(AND(up_Irr!W21=".",up_Irr!AU21&lt;&gt;".",up_Irr!BS21&lt;&gt;"."),up_dir!X21/((1/1000)*(up_Irr!AU21+up_Irr!BS21)),IF(AND(up_Irr!W21=".",up_Irr!AU21=".",up_Irr!BS21&lt;&gt;"."),up_dir!X21/((1/1000)*(up_Irr!BS21)),IF(AND(up_Irr!W21=".",up_Irr!AU21&lt;&gt;".",up_Irr!BS21="."),up_dir!X21/((1/1000)*(up_Irr!AU21)),IF(AND(up_Irr!W21&lt;&gt;".",up_Irr!AU21=".",up_Irr!BS21="."),up_dir!X21/((1/1000)*(up_Irr!W21)),IF(AND(up_Irr!W21=".",up_Irr!AU21=".",up_Irr!BS21="."),up_dir!X21*1000)))))))),".")</f>
        <v>7.2351016258567334E-11</v>
      </c>
      <c r="Y21" s="76">
        <f>IFERROR(IF(AND(up_Irr!X21&lt;&gt;".",up_Irr!AV21&lt;&gt;".",up_Irr!BT21&lt;&gt;"."),up_dir!Y21/((1/1000)*(up_Irr!X21+up_Irr!AV21+up_Irr!BT21)),IF(AND(up_Irr!X21&lt;&gt;".",up_Irr!AV21&lt;&gt;".",up_Irr!BT21="."),up_dir!Y21/((1/1000)*(up_Irr!X21+up_Irr!AV21)),IF(AND(up_Irr!X21&lt;&gt;".",up_Irr!AV21=".",up_Irr!BT21&lt;&gt;"."),up_dir!Y21/((1/1000)*(up_Irr!X21+up_Irr!BT21)),IF(AND(up_Irr!X21=".",up_Irr!AV21&lt;&gt;".",up_Irr!BT21&lt;&gt;"."),up_dir!Y21/((1/1000)*(up_Irr!AV21+up_Irr!BT21)),IF(AND(up_Irr!X21=".",up_Irr!AV21=".",up_Irr!BT21&lt;&gt;"."),up_dir!Y21/((1/1000)*(up_Irr!BT21)),IF(AND(up_Irr!X21=".",up_Irr!AV21&lt;&gt;".",up_Irr!BT21="."),up_dir!Y21/((1/1000)*(up_Irr!AV21)),IF(AND(up_Irr!X21&lt;&gt;".",up_Irr!AV21=".",up_Irr!BT21="."),up_dir!Y21/((1/1000)*(up_Irr!X21)),IF(AND(up_Irr!X21=".",up_Irr!AV21=".",up_Irr!BT21="."),up_dir!Y21*1000)))))))),".")</f>
        <v>7.2351016258567334E-11</v>
      </c>
      <c r="Z21" s="76">
        <f>IFERROR(IF(AND(up_Irr!Y21&lt;&gt;".",up_Irr!AW21&lt;&gt;".",up_Irr!BU21&lt;&gt;"."),up_dir!Z21/((1/1000)*(up_Irr!Y21+up_Irr!AW21+up_Irr!BU21)),IF(AND(up_Irr!Y21&lt;&gt;".",up_Irr!AW21&lt;&gt;".",up_Irr!BU21="."),up_dir!Z21/((1/1000)*(up_Irr!Y21+up_Irr!AW21)),IF(AND(up_Irr!Y21&lt;&gt;".",up_Irr!AW21=".",up_Irr!BU21&lt;&gt;"."),up_dir!Z21/((1/1000)*(up_Irr!Y21+up_Irr!BU21)),IF(AND(up_Irr!Y21=".",up_Irr!AW21&lt;&gt;".",up_Irr!BU21&lt;&gt;"."),up_dir!Z21/((1/1000)*(up_Irr!AW21+up_Irr!BU21)),IF(AND(up_Irr!Y21=".",up_Irr!AW21=".",up_Irr!BU21&lt;&gt;"."),up_dir!Z21/((1/1000)*(up_Irr!BU21)),IF(AND(up_Irr!Y21=".",up_Irr!AW21&lt;&gt;".",up_Irr!BU21="."),up_dir!Z21/((1/1000)*(up_Irr!AW21)),IF(AND(up_Irr!Y21&lt;&gt;".",up_Irr!AW21=".",up_Irr!BU21="."),up_dir!Z21/((1/1000)*(up_Irr!Y21)),IF(AND(up_Irr!Y21=".",up_Irr!AW21=".",up_Irr!BU21="."),up_dir!Z21*1000)))))))),".")</f>
        <v>7.2351016258567334E-11</v>
      </c>
      <c r="AA21" s="76">
        <f>IFERROR(IF(AND(up_Irr!Z21&lt;&gt;".",up_Irr!AX21&lt;&gt;".",up_Irr!BV21&lt;&gt;"."),up_dir!AA21/((1/1000)*(up_Irr!Z21+up_Irr!AX21+up_Irr!BV21)),IF(AND(up_Irr!Z21&lt;&gt;".",up_Irr!AX21&lt;&gt;".",up_Irr!BV21="."),up_dir!AA21/((1/1000)*(up_Irr!Z21+up_Irr!AX21)),IF(AND(up_Irr!Z21&lt;&gt;".",up_Irr!AX21=".",up_Irr!BV21&lt;&gt;"."),up_dir!AA21/((1/1000)*(up_Irr!Z21+up_Irr!BV21)),IF(AND(up_Irr!Z21=".",up_Irr!AX21&lt;&gt;".",up_Irr!BV21&lt;&gt;"."),up_dir!AA21/((1/1000)*(up_Irr!AX21+up_Irr!BV21)),IF(AND(up_Irr!Z21=".",up_Irr!AX21=".",up_Irr!BV21&lt;&gt;"."),up_dir!AA21/((1/1000)*(up_Irr!BV21)),IF(AND(up_Irr!Z21=".",up_Irr!AX21&lt;&gt;".",up_Irr!BV21="."),up_dir!AA21/((1/1000)*(up_Irr!AX21)),IF(AND(up_Irr!Z21&lt;&gt;".",up_Irr!AX21=".",up_Irr!BV21="."),up_dir!AA21/((1/1000)*(up_Irr!Z21)),IF(AND(up_Irr!Z21=".",up_Irr!AX21=".",up_Irr!BV21="."),up_dir!AA21*1000)))))))),".")</f>
        <v>7.2351016258567334E-11</v>
      </c>
      <c r="AB21" s="93">
        <f>SUM(AC21:AD21,AY21:AZ21)</f>
        <v>55286.023705663516</v>
      </c>
      <c r="AC21" s="93">
        <f>IFERROR(s_C*s_IFAP_res_adj*s_CF_apple*0.001*(up_Irr!C21+up_Irr!AA21+up_Irr!AY21),".")</f>
        <v>13821.505926415879</v>
      </c>
      <c r="AD21" s="93">
        <f>IFERROR(s_C*s_IFAS_res_adj*s_CF_asparagus*0.001*(up_Irr!D21+up_Irr!AB21+up_Irr!AZ21),".")</f>
        <v>13821.505926415879</v>
      </c>
      <c r="AE21" s="93">
        <f>IFERROR(s_C*s_IFBT_res_adj*s_CF_beet*0.001*(up_Irr!E21+up_Irr!AC21+up_Irr!BA21),".")</f>
        <v>13821.505926415879</v>
      </c>
      <c r="AF21" s="93">
        <f>IFERROR(s_C*s_IFBE_res_adj*s_CF_berries*0.001*(up_Irr!F21+up_Irr!AD21+up_Irr!BB21),".")</f>
        <v>13821.505926415879</v>
      </c>
      <c r="AG21" s="93">
        <f>IFERROR(s_C*s_IFBR_res_adj*s_CF_broccoli*0.001*(up_Irr!G21+up_Irr!AE21+up_Irr!BC21),".")</f>
        <v>13821.505926415879</v>
      </c>
      <c r="AH21" s="93">
        <f>IFERROR(s_C*s_IFCB_res_adj*s_CF_cabbage*0.001*(up_Irr!H21+up_Irr!AF21+up_Irr!BD21),".")</f>
        <v>13821.505926415879</v>
      </c>
      <c r="AI21" s="93">
        <f>IFERROR(s_C*s_IFCR_res_adj*s_CF_carrot*0.001*(up_Irr!I21+up_Irr!AG21+up_Irr!BE21),".")</f>
        <v>13821.505926415879</v>
      </c>
      <c r="AJ21" s="93">
        <f>IFERROR(s_C*s_IFCI_res_adj*s_CF_citrus*0.001*(up_Irr!J21+up_Irr!AH21+up_Irr!BF21),".")</f>
        <v>13821.505926415879</v>
      </c>
      <c r="AK21" s="93">
        <f>IFERROR(s_C*s_IFCO_res_adj*s_CF_corn*0.001*(up_Irr!K21+up_Irr!AI21+up_Irr!BG21),".")</f>
        <v>13821.505926415879</v>
      </c>
      <c r="AL21" s="93">
        <f>IFERROR(s_C*s_IFCU_res_adj*s_CF_cucumber*0.001*(up_Irr!L21+up_Irr!AJ21+up_Irr!BH21),".")</f>
        <v>13821.505926415879</v>
      </c>
      <c r="AM21" s="93">
        <f>IFERROR(s_C*s_IFLE_res_adj*s_CF_lettuce*0.001*(up_Irr!M21+up_Irr!AK21+up_Irr!BI21),".")</f>
        <v>13821.505926415879</v>
      </c>
      <c r="AN21" s="93">
        <f>IFERROR(s_C*s_IFLI_res_adj*s_CF_lima_bean*0.001*(up_Irr!N21+up_Irr!AL21+up_Irr!BJ21),".")</f>
        <v>13821.505926415879</v>
      </c>
      <c r="AO21" s="93">
        <f>IFERROR(s_C*s_IFOK_res_adj*s_CF_okra*0.001*(up_Irr!O21+up_Irr!AM21+up_Irr!BK21),".")</f>
        <v>13821.505926415879</v>
      </c>
      <c r="AP21" s="93">
        <f>IFERROR(s_C*s_IFON_res_adj*s_CF_onion*0.001*(up_Irr!P21+up_Irr!AN21+up_Irr!BL21),".")</f>
        <v>13821.505926415879</v>
      </c>
      <c r="AQ21" s="93">
        <f>IFERROR(s_C*s_IFPC_res_adj*s_CF_peach*0.001*(up_Irr!Q21+up_Irr!AO21+up_Irr!BM21),".")</f>
        <v>13821.505926415879</v>
      </c>
      <c r="AR21" s="93">
        <f>IFERROR(s_C*s_IFPR_res_adj*s_CF_pear*0.001*(up_Irr!R21+up_Irr!AP21+up_Irr!BN21),".")</f>
        <v>13821.505926415879</v>
      </c>
      <c r="AS21" s="93">
        <f>IFERROR(s_C*s_IFPE_res_adj*s_CF_peas*0.001*(up_Irr!S21+up_Irr!AQ21+up_Irr!BO21),".")</f>
        <v>13821.505926415879</v>
      </c>
      <c r="AT21" s="93">
        <f>IFERROR(s_C*s_IFPT_res_adj*s_CF_potato*0.001*(up_Irr!T21+up_Irr!AR21+up_Irr!BP21),".")</f>
        <v>13821.505926415879</v>
      </c>
      <c r="AU21" s="93">
        <f>IFERROR(s_C*s_IFPU_res_adj*s_CF_pumpkin*0.001*(up_Irr!U21+up_Irr!AS21+up_Irr!BQ21),".")</f>
        <v>13821.505926415879</v>
      </c>
      <c r="AV21" s="93">
        <f>IFERROR(s_C*s_IFSN_res_adj*s_CF_snap_bean*0.001*(up_Irr!V21+up_Irr!AT21+up_Irr!BR21),".")</f>
        <v>13821.505926415879</v>
      </c>
      <c r="AW21" s="93">
        <f>IFERROR(s_C*s_IFST_res_adj*s_CF_strawberry*0.001*(up_Irr!W21+up_Irr!AU21+up_Irr!BS21),".")</f>
        <v>13821.505926415879</v>
      </c>
      <c r="AX21" s="93">
        <f>IFERROR(s_C*s_IFTO_res_adj*s_CF_tomato*0.001*(up_Irr!X21+up_Irr!AV21+up_Irr!BT21),".")</f>
        <v>13821.505926415879</v>
      </c>
      <c r="AY21" s="93">
        <f>IFERROR(s_C*s_IFRI_res_adj*s_CF_rice*0.001*(up_Irr!Y21+up_Irr!AW21+up_Irr!BU21),".")</f>
        <v>13821.505926415879</v>
      </c>
      <c r="AZ21" s="93">
        <f>IFERROR(s_C*s_IFCG_res_adj*s_CF_cereal*0.001*(up_Irr!Z21+up_Irr!AX21+up_Irr!BV21),".")</f>
        <v>13821.505926415879</v>
      </c>
      <c r="BA21" s="76">
        <f>IFERROR(1/SUM(1/BB21,1/BC21,1/BX21,1/BY21),".")</f>
        <v>1.8087754064641833E-11</v>
      </c>
      <c r="BB21" s="76">
        <f>IFERROR(IF(AND(up_Irr!C21&lt;&gt;".",up_Irr!AA21&lt;&gt;".",up_Irr!AY21&lt;&gt;"."),up_dir!AC21/((1/1000)*(up_Irr!C21+up_Irr!AA21+up_Irr!AY21)),IF(AND(up_Irr!C21&lt;&gt;".",up_Irr!AA21&lt;&gt;".",up_Irr!AY21="."),up_dir!AC21/((1/1000)*(up_Irr!C21+up_Irr!AA21)),IF(AND(up_Irr!C21&lt;&gt;".",up_Irr!AA21=".",up_Irr!AY21&lt;&gt;"."),up_dir!AC21/((1/1000)*(up_Irr!C21+up_Irr!AY21)),IF(AND(up_Irr!C21=".",up_Irr!AA21&lt;&gt;".",up_Irr!AY21&lt;&gt;"."),up_dir!AC21/((1/1000)*(up_Irr!AA21+up_Irr!AY21)),IF(AND(up_Irr!C21=".",up_Irr!AA21=".",up_Irr!AY21&lt;&gt;"."),up_dir!AC21/((1/1000)*(up_Irr!AY21)),IF(AND(up_Irr!C21=".",up_Irr!AA21&lt;&gt;".",up_Irr!AY21="."),up_dir!AC21/((1/1000)*(up_Irr!AA21)),IF(AND(up_Irr!C21&lt;&gt;".",up_Irr!AA21=".",up_Irr!AY21="."),up_dir!AC21/((1/1000)*(up_Irr!C21)),IF(AND(up_Irr!C21=".",up_Irr!AA21=".",up_Irr!AY21="."),up_dir!AC21*1000)))))))),".")</f>
        <v>7.2351016258567334E-11</v>
      </c>
      <c r="BC21" s="76">
        <f>IFERROR(IF(AND(up_Irr!D21&lt;&gt;".",up_Irr!AB21&lt;&gt;".",up_Irr!AZ21&lt;&gt;"."),up_dir!AD21/((1/1000)*(up_Irr!D21+up_Irr!AB21+up_Irr!AZ21)),IF(AND(up_Irr!D21&lt;&gt;".",up_Irr!AB21&lt;&gt;".",up_Irr!AZ21="."),up_dir!AD21/((1/1000)*(up_Irr!D21+up_Irr!AB21)),IF(AND(up_Irr!D21&lt;&gt;".",up_Irr!AB21=".",up_Irr!AZ21&lt;&gt;"."),up_dir!AD21/((1/1000)*(up_Irr!D21+up_Irr!AZ21)),IF(AND(up_Irr!D21=".",up_Irr!AB21&lt;&gt;".",up_Irr!AZ21&lt;&gt;"."),up_dir!AD21/((1/1000)*(up_Irr!AB21+up_Irr!AZ21)),IF(AND(up_Irr!D21=".",up_Irr!AB21=".",up_Irr!AZ21&lt;&gt;"."),up_dir!AD21/((1/1000)*(up_Irr!AZ21)),IF(AND(up_Irr!D21=".",up_Irr!AB21&lt;&gt;".",up_Irr!AZ21="."),up_dir!AD21/((1/1000)*(up_Irr!AB21)),IF(AND(up_Irr!D21&lt;&gt;".",up_Irr!AB21=".",up_Irr!AZ21="."),up_dir!AD21/((1/1000)*(up_Irr!D21)),IF(AND(up_Irr!D21=".",up_Irr!AB21=".",up_Irr!AZ21="."),up_dir!AD21*1000)))))))),".")</f>
        <v>7.2351016258567334E-11</v>
      </c>
      <c r="BD21" s="76">
        <f>IFERROR(IF(AND(up_Irr!E21&lt;&gt;".",up_Irr!AC21&lt;&gt;".",up_Irr!BA21&lt;&gt;"."),up_dir!AE21/((1/1000)*(up_Irr!E21+up_Irr!AC21+up_Irr!BA21)),IF(AND(up_Irr!E21&lt;&gt;".",up_Irr!AC21&lt;&gt;".",up_Irr!BA21="."),up_dir!AE21/((1/1000)*(up_Irr!E21+up_Irr!AC21)),IF(AND(up_Irr!E21&lt;&gt;".",up_Irr!AC21=".",up_Irr!BA21&lt;&gt;"."),up_dir!AE21/((1/1000)*(up_Irr!E21+up_Irr!BA21)),IF(AND(up_Irr!E21=".",up_Irr!AC21&lt;&gt;".",up_Irr!BA21&lt;&gt;"."),up_dir!AE21/((1/1000)*(up_Irr!AC21+up_Irr!BA21)),IF(AND(up_Irr!E21=".",up_Irr!AC21=".",up_Irr!BA21&lt;&gt;"."),up_dir!AE21/((1/1000)*(up_Irr!BA21)),IF(AND(up_Irr!E21=".",up_Irr!AC21&lt;&gt;".",up_Irr!BA21="."),up_dir!AE21/((1/1000)*(up_Irr!AC21)),IF(AND(up_Irr!E21&lt;&gt;".",up_Irr!AC21=".",up_Irr!BA21="."),up_dir!AE21/((1/1000)*(up_Irr!E21)),IF(AND(up_Irr!E21=".",up_Irr!AC21=".",up_Irr!BA21="."),up_dir!AE21*1000)))))))),".")</f>
        <v>7.2351016258567334E-11</v>
      </c>
      <c r="BE21" s="76">
        <f>IFERROR(IF(AND(up_Irr!F21&lt;&gt;".",up_Irr!AD21&lt;&gt;".",up_Irr!BB21&lt;&gt;"."),up_dir!AF21/((1/1000)*(up_Irr!F21+up_Irr!AD21+up_Irr!BB21)),IF(AND(up_Irr!F21&lt;&gt;".",up_Irr!AD21&lt;&gt;".",up_Irr!BB21="."),up_dir!AF21/((1/1000)*(up_Irr!F21+up_Irr!AD21)),IF(AND(up_Irr!F21&lt;&gt;".",up_Irr!AD21=".",up_Irr!BB21&lt;&gt;"."),up_dir!AF21/((1/1000)*(up_Irr!F21+up_Irr!BB21)),IF(AND(up_Irr!F21=".",up_Irr!AD21&lt;&gt;".",up_Irr!BB21&lt;&gt;"."),up_dir!AF21/((1/1000)*(up_Irr!AD21+up_Irr!BB21)),IF(AND(up_Irr!F21=".",up_Irr!AD21=".",up_Irr!BB21&lt;&gt;"."),up_dir!AF21/((1/1000)*(up_Irr!BB21)),IF(AND(up_Irr!F21=".",up_Irr!AD21&lt;&gt;".",up_Irr!BB21="."),up_dir!AF21/((1/1000)*(up_Irr!AD21)),IF(AND(up_Irr!F21&lt;&gt;".",up_Irr!AD21=".",up_Irr!BB21="."),up_dir!AF21/((1/1000)*(up_Irr!F21)),IF(AND(up_Irr!F21=".",up_Irr!AD21=".",up_Irr!BB21="."),up_dir!AF21*1000)))))))),".")</f>
        <v>7.2351016258567334E-11</v>
      </c>
      <c r="BF21" s="76">
        <f>IFERROR(IF(AND(up_Irr!G21&lt;&gt;".",up_Irr!AE21&lt;&gt;".",up_Irr!BC21&lt;&gt;"."),up_dir!AG21/((1/1000)*(up_Irr!G21+up_Irr!AE21+up_Irr!BC21)),IF(AND(up_Irr!G21&lt;&gt;".",up_Irr!AE21&lt;&gt;".",up_Irr!BC21="."),up_dir!AG21/((1/1000)*(up_Irr!G21+up_Irr!AE21)),IF(AND(up_Irr!G21&lt;&gt;".",up_Irr!AE21=".",up_Irr!BC21&lt;&gt;"."),up_dir!AG21/((1/1000)*(up_Irr!G21+up_Irr!BC21)),IF(AND(up_Irr!G21=".",up_Irr!AE21&lt;&gt;".",up_Irr!BC21&lt;&gt;"."),up_dir!AG21/((1/1000)*(up_Irr!AE21+up_Irr!BC21)),IF(AND(up_Irr!G21=".",up_Irr!AE21=".",up_Irr!BC21&lt;&gt;"."),up_dir!AG21/((1/1000)*(up_Irr!BC21)),IF(AND(up_Irr!G21=".",up_Irr!AE21&lt;&gt;".",up_Irr!BC21="."),up_dir!AG21/((1/1000)*(up_Irr!AE21)),IF(AND(up_Irr!G21&lt;&gt;".",up_Irr!AE21=".",up_Irr!BC21="."),up_dir!AG21/((1/1000)*(up_Irr!G21)),IF(AND(up_Irr!G21=".",up_Irr!AE21=".",up_Irr!BC21="."),up_dir!AG21*1000)))))))),".")</f>
        <v>7.2351016258567334E-11</v>
      </c>
      <c r="BG21" s="76">
        <f>IFERROR(IF(AND(up_Irr!H21&lt;&gt;".",up_Irr!AF21&lt;&gt;".",up_Irr!BD21&lt;&gt;"."),up_dir!AH21/((1/1000)*(up_Irr!H21+up_Irr!AF21+up_Irr!BD21)),IF(AND(up_Irr!H21&lt;&gt;".",up_Irr!AF21&lt;&gt;".",up_Irr!BD21="."),up_dir!AH21/((1/1000)*(up_Irr!H21+up_Irr!AF21)),IF(AND(up_Irr!H21&lt;&gt;".",up_Irr!AF21=".",up_Irr!BD21&lt;&gt;"."),up_dir!AH21/((1/1000)*(up_Irr!H21+up_Irr!BD21)),IF(AND(up_Irr!H21=".",up_Irr!AF21&lt;&gt;".",up_Irr!BD21&lt;&gt;"."),up_dir!AH21/((1/1000)*(up_Irr!AF21+up_Irr!BD21)),IF(AND(up_Irr!H21=".",up_Irr!AF21=".",up_Irr!BD21&lt;&gt;"."),up_dir!AH21/((1/1000)*(up_Irr!BD21)),IF(AND(up_Irr!H21=".",up_Irr!AF21&lt;&gt;".",up_Irr!BD21="."),up_dir!AH21/((1/1000)*(up_Irr!AF21)),IF(AND(up_Irr!H21&lt;&gt;".",up_Irr!AF21=".",up_Irr!BD21="."),up_dir!AH21/((1/1000)*(up_Irr!H21)),IF(AND(up_Irr!H21=".",up_Irr!AF21=".",up_Irr!BD21="."),up_dir!AH21*1000)))))))),".")</f>
        <v>7.2351016258567334E-11</v>
      </c>
      <c r="BH21" s="76">
        <f>IFERROR(IF(AND(up_Irr!I21&lt;&gt;".",up_Irr!AG21&lt;&gt;".",up_Irr!BE21&lt;&gt;"."),up_dir!AI21/((1/1000)*(up_Irr!I21+up_Irr!AG21+up_Irr!BE21)),IF(AND(up_Irr!I21&lt;&gt;".",up_Irr!AG21&lt;&gt;".",up_Irr!BE21="."),up_dir!AI21/((1/1000)*(up_Irr!I21+up_Irr!AG21)),IF(AND(up_Irr!I21&lt;&gt;".",up_Irr!AG21=".",up_Irr!BE21&lt;&gt;"."),up_dir!AI21/((1/1000)*(up_Irr!I21+up_Irr!BE21)),IF(AND(up_Irr!I21=".",up_Irr!AG21&lt;&gt;".",up_Irr!BE21&lt;&gt;"."),up_dir!AI21/((1/1000)*(up_Irr!AG21+up_Irr!BE21)),IF(AND(up_Irr!I21=".",up_Irr!AG21=".",up_Irr!BE21&lt;&gt;"."),up_dir!AI21/((1/1000)*(up_Irr!BE21)),IF(AND(up_Irr!I21=".",up_Irr!AG21&lt;&gt;".",up_Irr!BE21="."),up_dir!AI21/((1/1000)*(up_Irr!AG21)),IF(AND(up_Irr!I21&lt;&gt;".",up_Irr!AG21=".",up_Irr!BE21="."),up_dir!AI21/((1/1000)*(up_Irr!I21)),IF(AND(up_Irr!I21=".",up_Irr!AG21=".",up_Irr!BE21="."),up_dir!AI21*1000)))))))),".")</f>
        <v>7.2351016258567334E-11</v>
      </c>
      <c r="BI21" s="76">
        <f>IFERROR(IF(AND(up_Irr!J21&lt;&gt;".",up_Irr!AH21&lt;&gt;".",up_Irr!BF21&lt;&gt;"."),up_dir!AJ21/((1/1000)*(up_Irr!J21+up_Irr!AH21+up_Irr!BF21)),IF(AND(up_Irr!J21&lt;&gt;".",up_Irr!AH21&lt;&gt;".",up_Irr!BF21="."),up_dir!AJ21/((1/1000)*(up_Irr!J21+up_Irr!AH21)),IF(AND(up_Irr!J21&lt;&gt;".",up_Irr!AH21=".",up_Irr!BF21&lt;&gt;"."),up_dir!AJ21/((1/1000)*(up_Irr!J21+up_Irr!BF21)),IF(AND(up_Irr!J21=".",up_Irr!AH21&lt;&gt;".",up_Irr!BF21&lt;&gt;"."),up_dir!AJ21/((1/1000)*(up_Irr!AH21+up_Irr!BF21)),IF(AND(up_Irr!J21=".",up_Irr!AH21=".",up_Irr!BF21&lt;&gt;"."),up_dir!AJ21/((1/1000)*(up_Irr!BF21)),IF(AND(up_Irr!J21=".",up_Irr!AH21&lt;&gt;".",up_Irr!BF21="."),up_dir!AJ21/((1/1000)*(up_Irr!AH21)),IF(AND(up_Irr!J21&lt;&gt;".",up_Irr!AH21=".",up_Irr!BF21="."),up_dir!AJ21/((1/1000)*(up_Irr!J21)),IF(AND(up_Irr!J21=".",up_Irr!AH21=".",up_Irr!BF21="."),up_dir!AJ21*1000)))))))),".")</f>
        <v>7.2351016258567334E-11</v>
      </c>
      <c r="BJ21" s="76">
        <f>IFERROR(IF(AND(up_Irr!K21&lt;&gt;".",up_Irr!AI21&lt;&gt;".",up_Irr!BG21&lt;&gt;"."),up_dir!AK21/((1/1000)*(up_Irr!K21+up_Irr!AI21+up_Irr!BG21)),IF(AND(up_Irr!K21&lt;&gt;".",up_Irr!AI21&lt;&gt;".",up_Irr!BG21="."),up_dir!AK21/((1/1000)*(up_Irr!K21+up_Irr!AI21)),IF(AND(up_Irr!K21&lt;&gt;".",up_Irr!AI21=".",up_Irr!BG21&lt;&gt;"."),up_dir!AK21/((1/1000)*(up_Irr!K21+up_Irr!BG21)),IF(AND(up_Irr!K21=".",up_Irr!AI21&lt;&gt;".",up_Irr!BG21&lt;&gt;"."),up_dir!AK21/((1/1000)*(up_Irr!AI21+up_Irr!BG21)),IF(AND(up_Irr!K21=".",up_Irr!AI21=".",up_Irr!BG21&lt;&gt;"."),up_dir!AK21/((1/1000)*(up_Irr!BG21)),IF(AND(up_Irr!K21=".",up_Irr!AI21&lt;&gt;".",up_Irr!BG21="."),up_dir!AK21/((1/1000)*(up_Irr!AI21)),IF(AND(up_Irr!K21&lt;&gt;".",up_Irr!AI21=".",up_Irr!BG21="."),up_dir!AK21/((1/1000)*(up_Irr!K21)),IF(AND(up_Irr!K21=".",up_Irr!AI21=".",up_Irr!BG21="."),up_dir!AK21*1000)))))))),".")</f>
        <v>7.2351016258567334E-11</v>
      </c>
      <c r="BK21" s="76">
        <f>IFERROR(IF(AND(up_Irr!L21&lt;&gt;".",up_Irr!AJ21&lt;&gt;".",up_Irr!BH21&lt;&gt;"."),up_dir!AL21/((1/1000)*(up_Irr!L21+up_Irr!AJ21+up_Irr!BH21)),IF(AND(up_Irr!L21&lt;&gt;".",up_Irr!AJ21&lt;&gt;".",up_Irr!BH21="."),up_dir!AL21/((1/1000)*(up_Irr!L21+up_Irr!AJ21)),IF(AND(up_Irr!L21&lt;&gt;".",up_Irr!AJ21=".",up_Irr!BH21&lt;&gt;"."),up_dir!AL21/((1/1000)*(up_Irr!L21+up_Irr!BH21)),IF(AND(up_Irr!L21=".",up_Irr!AJ21&lt;&gt;".",up_Irr!BH21&lt;&gt;"."),up_dir!AL21/((1/1000)*(up_Irr!AJ21+up_Irr!BH21)),IF(AND(up_Irr!L21=".",up_Irr!AJ21=".",up_Irr!BH21&lt;&gt;"."),up_dir!AL21/((1/1000)*(up_Irr!BH21)),IF(AND(up_Irr!L21=".",up_Irr!AJ21&lt;&gt;".",up_Irr!BH21="."),up_dir!AL21/((1/1000)*(up_Irr!AJ21)),IF(AND(up_Irr!L21&lt;&gt;".",up_Irr!AJ21=".",up_Irr!BH21="."),up_dir!AL21/((1/1000)*(up_Irr!L21)),IF(AND(up_Irr!L21=".",up_Irr!AJ21=".",up_Irr!BH21="."),up_dir!AL21*1000)))))))),".")</f>
        <v>7.2351016258567334E-11</v>
      </c>
      <c r="BL21" s="76">
        <f>IFERROR(IF(AND(up_Irr!M21&lt;&gt;".",up_Irr!AK21&lt;&gt;".",up_Irr!BI21&lt;&gt;"."),up_dir!AM21/((1/1000)*(up_Irr!M21+up_Irr!AK21+up_Irr!BI21)),IF(AND(up_Irr!M21&lt;&gt;".",up_Irr!AK21&lt;&gt;".",up_Irr!BI21="."),up_dir!AM21/((1/1000)*(up_Irr!M21+up_Irr!AK21)),IF(AND(up_Irr!M21&lt;&gt;".",up_Irr!AK21=".",up_Irr!BI21&lt;&gt;"."),up_dir!AM21/((1/1000)*(up_Irr!M21+up_Irr!BI21)),IF(AND(up_Irr!M21=".",up_Irr!AK21&lt;&gt;".",up_Irr!BI21&lt;&gt;"."),up_dir!AM21/((1/1000)*(up_Irr!AK21+up_Irr!BI21)),IF(AND(up_Irr!M21=".",up_Irr!AK21=".",up_Irr!BI21&lt;&gt;"."),up_dir!AM21/((1/1000)*(up_Irr!BI21)),IF(AND(up_Irr!M21=".",up_Irr!AK21&lt;&gt;".",up_Irr!BI21="."),up_dir!AM21/((1/1000)*(up_Irr!AK21)),IF(AND(up_Irr!M21&lt;&gt;".",up_Irr!AK21=".",up_Irr!BI21="."),up_dir!AM21/((1/1000)*(up_Irr!M21)),IF(AND(up_Irr!M21=".",up_Irr!AK21=".",up_Irr!BI21="."),up_dir!AM21*1000)))))))),".")</f>
        <v>7.2351016258567334E-11</v>
      </c>
      <c r="BM21" s="76">
        <f>IFERROR(IF(AND(up_Irr!N21&lt;&gt;".",up_Irr!AL21&lt;&gt;".",up_Irr!BJ21&lt;&gt;"."),up_dir!AN21/((1/1000)*(up_Irr!N21+up_Irr!AL21+up_Irr!BJ21)),IF(AND(up_Irr!N21&lt;&gt;".",up_Irr!AL21&lt;&gt;".",up_Irr!BJ21="."),up_dir!AN21/((1/1000)*(up_Irr!N21+up_Irr!AL21)),IF(AND(up_Irr!N21&lt;&gt;".",up_Irr!AL21=".",up_Irr!BJ21&lt;&gt;"."),up_dir!AN21/((1/1000)*(up_Irr!N21+up_Irr!BJ21)),IF(AND(up_Irr!N21=".",up_Irr!AL21&lt;&gt;".",up_Irr!BJ21&lt;&gt;"."),up_dir!AN21/((1/1000)*(up_Irr!AL21+up_Irr!BJ21)),IF(AND(up_Irr!N21=".",up_Irr!AL21=".",up_Irr!BJ21&lt;&gt;"."),up_dir!AN21/((1/1000)*(up_Irr!BJ21)),IF(AND(up_Irr!N21=".",up_Irr!AL21&lt;&gt;".",up_Irr!BJ21="."),up_dir!AN21/((1/1000)*(up_Irr!AL21)),IF(AND(up_Irr!N21&lt;&gt;".",up_Irr!AL21=".",up_Irr!BJ21="."),up_dir!AN21/((1/1000)*(up_Irr!N21)),IF(AND(up_Irr!N21=".",up_Irr!AL21=".",up_Irr!BJ21="."),up_dir!AN21*1000)))))))),".")</f>
        <v>7.2351016258567334E-11</v>
      </c>
      <c r="BN21" s="76">
        <f>IFERROR(IF(AND(up_Irr!O21&lt;&gt;".",up_Irr!AM21&lt;&gt;".",up_Irr!BK21&lt;&gt;"."),up_dir!AO21/((1/1000)*(up_Irr!O21+up_Irr!AM21+up_Irr!BK21)),IF(AND(up_Irr!O21&lt;&gt;".",up_Irr!AM21&lt;&gt;".",up_Irr!BK21="."),up_dir!AO21/((1/1000)*(up_Irr!O21+up_Irr!AM21)),IF(AND(up_Irr!O21&lt;&gt;".",up_Irr!AM21=".",up_Irr!BK21&lt;&gt;"."),up_dir!AO21/((1/1000)*(up_Irr!O21+up_Irr!BK21)),IF(AND(up_Irr!O21=".",up_Irr!AM21&lt;&gt;".",up_Irr!BK21&lt;&gt;"."),up_dir!AO21/((1/1000)*(up_Irr!AM21+up_Irr!BK21)),IF(AND(up_Irr!O21=".",up_Irr!AM21=".",up_Irr!BK21&lt;&gt;"."),up_dir!AO21/((1/1000)*(up_Irr!BK21)),IF(AND(up_Irr!O21=".",up_Irr!AM21&lt;&gt;".",up_Irr!BK21="."),up_dir!AO21/((1/1000)*(up_Irr!AM21)),IF(AND(up_Irr!O21&lt;&gt;".",up_Irr!AM21=".",up_Irr!BK21="."),up_dir!AO21/((1/1000)*(up_Irr!O21)),IF(AND(up_Irr!O21=".",up_Irr!AM21=".",up_Irr!BK21="."),up_dir!AO21*1000)))))))),".")</f>
        <v>7.2351016258567334E-11</v>
      </c>
      <c r="BO21" s="76">
        <f>IFERROR(IF(AND(up_Irr!P21&lt;&gt;".",up_Irr!AN21&lt;&gt;".",up_Irr!BL21&lt;&gt;"."),up_dir!AP21/((1/1000)*(up_Irr!P21+up_Irr!AN21+up_Irr!BL21)),IF(AND(up_Irr!P21&lt;&gt;".",up_Irr!AN21&lt;&gt;".",up_Irr!BL21="."),up_dir!AP21/((1/1000)*(up_Irr!P21+up_Irr!AN21)),IF(AND(up_Irr!P21&lt;&gt;".",up_Irr!AN21=".",up_Irr!BL21&lt;&gt;"."),up_dir!AP21/((1/1000)*(up_Irr!P21+up_Irr!BL21)),IF(AND(up_Irr!P21=".",up_Irr!AN21&lt;&gt;".",up_Irr!BL21&lt;&gt;"."),up_dir!AP21/((1/1000)*(up_Irr!AN21+up_Irr!BL21)),IF(AND(up_Irr!P21=".",up_Irr!AN21=".",up_Irr!BL21&lt;&gt;"."),up_dir!AP21/((1/1000)*(up_Irr!BL21)),IF(AND(up_Irr!P21=".",up_Irr!AN21&lt;&gt;".",up_Irr!BL21="."),up_dir!AP21/((1/1000)*(up_Irr!AN21)),IF(AND(up_Irr!P21&lt;&gt;".",up_Irr!AN21=".",up_Irr!BL21="."),up_dir!AP21/((1/1000)*(up_Irr!P21)),IF(AND(up_Irr!P21=".",up_Irr!AN21=".",up_Irr!BL21="."),up_dir!AP21*1000)))))))),".")</f>
        <v>7.2351016258567334E-11</v>
      </c>
      <c r="BP21" s="76">
        <f>IFERROR(IF(AND(up_Irr!Q21&lt;&gt;".",up_Irr!AO21&lt;&gt;".",up_Irr!BM21&lt;&gt;"."),up_dir!AQ21/((1/1000)*(up_Irr!Q21+up_Irr!AO21+up_Irr!BM21)),IF(AND(up_Irr!Q21&lt;&gt;".",up_Irr!AO21&lt;&gt;".",up_Irr!BM21="."),up_dir!AQ21/((1/1000)*(up_Irr!Q21+up_Irr!AO21)),IF(AND(up_Irr!Q21&lt;&gt;".",up_Irr!AO21=".",up_Irr!BM21&lt;&gt;"."),up_dir!AQ21/((1/1000)*(up_Irr!Q21+up_Irr!BM21)),IF(AND(up_Irr!Q21=".",up_Irr!AO21&lt;&gt;".",up_Irr!BM21&lt;&gt;"."),up_dir!AQ21/((1/1000)*(up_Irr!AO21+up_Irr!BM21)),IF(AND(up_Irr!Q21=".",up_Irr!AO21=".",up_Irr!BM21&lt;&gt;"."),up_dir!AQ21/((1/1000)*(up_Irr!BM21)),IF(AND(up_Irr!Q21=".",up_Irr!AO21&lt;&gt;".",up_Irr!BM21="."),up_dir!AQ21/((1/1000)*(up_Irr!AO21)),IF(AND(up_Irr!Q21&lt;&gt;".",up_Irr!AO21=".",up_Irr!BM21="."),up_dir!AQ21/((1/1000)*(up_Irr!Q21)),IF(AND(up_Irr!Q21=".",up_Irr!AO21=".",up_Irr!BM21="."),up_dir!AQ21*1000)))))))),".")</f>
        <v>7.2351016258567334E-11</v>
      </c>
      <c r="BQ21" s="76">
        <f>IFERROR(IF(AND(up_Irr!R21&lt;&gt;".",up_Irr!AP21&lt;&gt;".",up_Irr!BN21&lt;&gt;"."),up_dir!AR21/((1/1000)*(up_Irr!R21+up_Irr!AP21+up_Irr!BN21)),IF(AND(up_Irr!R21&lt;&gt;".",up_Irr!AP21&lt;&gt;".",up_Irr!BN21="."),up_dir!AR21/((1/1000)*(up_Irr!R21+up_Irr!AP21)),IF(AND(up_Irr!R21&lt;&gt;".",up_Irr!AP21=".",up_Irr!BN21&lt;&gt;"."),up_dir!AR21/((1/1000)*(up_Irr!R21+up_Irr!BN21)),IF(AND(up_Irr!R21=".",up_Irr!AP21&lt;&gt;".",up_Irr!BN21&lt;&gt;"."),up_dir!AR21/((1/1000)*(up_Irr!AP21+up_Irr!BN21)),IF(AND(up_Irr!R21=".",up_Irr!AP21=".",up_Irr!BN21&lt;&gt;"."),up_dir!AR21/((1/1000)*(up_Irr!BN21)),IF(AND(up_Irr!R21=".",up_Irr!AP21&lt;&gt;".",up_Irr!BN21="."),up_dir!AR21/((1/1000)*(up_Irr!AP21)),IF(AND(up_Irr!R21&lt;&gt;".",up_Irr!AP21=".",up_Irr!BN21="."),up_dir!AR21/((1/1000)*(up_Irr!R21)),IF(AND(up_Irr!R21=".",up_Irr!AP21=".",up_Irr!BN21="."),up_dir!AR21*1000)))))))),".")</f>
        <v>7.2351016258567334E-11</v>
      </c>
      <c r="BR21" s="76">
        <f>IFERROR(IF(AND(up_Irr!S21&lt;&gt;".",up_Irr!AQ21&lt;&gt;".",up_Irr!BO21&lt;&gt;"."),up_dir!AS21/((1/1000)*(up_Irr!S21+up_Irr!AQ21+up_Irr!BO21)),IF(AND(up_Irr!S21&lt;&gt;".",up_Irr!AQ21&lt;&gt;".",up_Irr!BO21="."),up_dir!AS21/((1/1000)*(up_Irr!S21+up_Irr!AQ21)),IF(AND(up_Irr!S21&lt;&gt;".",up_Irr!AQ21=".",up_Irr!BO21&lt;&gt;"."),up_dir!AS21/((1/1000)*(up_Irr!S21+up_Irr!BO21)),IF(AND(up_Irr!S21=".",up_Irr!AQ21&lt;&gt;".",up_Irr!BO21&lt;&gt;"."),up_dir!AS21/((1/1000)*(up_Irr!AQ21+up_Irr!BO21)),IF(AND(up_Irr!S21=".",up_Irr!AQ21=".",up_Irr!BO21&lt;&gt;"."),up_dir!AS21/((1/1000)*(up_Irr!BO21)),IF(AND(up_Irr!S21=".",up_Irr!AQ21&lt;&gt;".",up_Irr!BO21="."),up_dir!AS21/((1/1000)*(up_Irr!AQ21)),IF(AND(up_Irr!S21&lt;&gt;".",up_Irr!AQ21=".",up_Irr!BO21="."),up_dir!AS21/((1/1000)*(up_Irr!S21)),IF(AND(up_Irr!S21=".",up_Irr!AQ21=".",up_Irr!BO21="."),up_dir!AS21*1000)))))))),".")</f>
        <v>7.2351016258567334E-11</v>
      </c>
      <c r="BS21" s="76">
        <f>IFERROR(IF(AND(up_Irr!T21&lt;&gt;".",up_Irr!AR21&lt;&gt;".",up_Irr!BP21&lt;&gt;"."),up_dir!AT21/((1/1000)*(up_Irr!T21+up_Irr!AR21+up_Irr!BP21)),IF(AND(up_Irr!T21&lt;&gt;".",up_Irr!AR21&lt;&gt;".",up_Irr!BP21="."),up_dir!AT21/((1/1000)*(up_Irr!T21+up_Irr!AR21)),IF(AND(up_Irr!T21&lt;&gt;".",up_Irr!AR21=".",up_Irr!BP21&lt;&gt;"."),up_dir!AT21/((1/1000)*(up_Irr!T21+up_Irr!BP21)),IF(AND(up_Irr!T21=".",up_Irr!AR21&lt;&gt;".",up_Irr!BP21&lt;&gt;"."),up_dir!AT21/((1/1000)*(up_Irr!AR21+up_Irr!BP21)),IF(AND(up_Irr!T21=".",up_Irr!AR21=".",up_Irr!BP21&lt;&gt;"."),up_dir!AT21/((1/1000)*(up_Irr!BP21)),IF(AND(up_Irr!T21=".",up_Irr!AR21&lt;&gt;".",up_Irr!BP21="."),up_dir!AT21/((1/1000)*(up_Irr!AR21)),IF(AND(up_Irr!T21&lt;&gt;".",up_Irr!AR21=".",up_Irr!BP21="."),up_dir!AT21/((1/1000)*(up_Irr!T21)),IF(AND(up_Irr!T21=".",up_Irr!AR21=".",up_Irr!BP21="."),up_dir!AT21*1000)))))))),".")</f>
        <v>7.2351016258567334E-11</v>
      </c>
      <c r="BT21" s="76">
        <f>IFERROR(IF(AND(up_Irr!U21&lt;&gt;".",up_Irr!AS21&lt;&gt;".",up_Irr!BQ21&lt;&gt;"."),up_dir!AU21/((1/1000)*(up_Irr!U21+up_Irr!AS21+up_Irr!BQ21)),IF(AND(up_Irr!U21&lt;&gt;".",up_Irr!AS21&lt;&gt;".",up_Irr!BQ21="."),up_dir!AU21/((1/1000)*(up_Irr!U21+up_Irr!AS21)),IF(AND(up_Irr!U21&lt;&gt;".",up_Irr!AS21=".",up_Irr!BQ21&lt;&gt;"."),up_dir!AU21/((1/1000)*(up_Irr!U21+up_Irr!BQ21)),IF(AND(up_Irr!U21=".",up_Irr!AS21&lt;&gt;".",up_Irr!BQ21&lt;&gt;"."),up_dir!AU21/((1/1000)*(up_Irr!AS21+up_Irr!BQ21)),IF(AND(up_Irr!U21=".",up_Irr!AS21=".",up_Irr!BQ21&lt;&gt;"."),up_dir!AU21/((1/1000)*(up_Irr!BQ21)),IF(AND(up_Irr!U21=".",up_Irr!AS21&lt;&gt;".",up_Irr!BQ21="."),up_dir!AU21/((1/1000)*(up_Irr!AS21)),IF(AND(up_Irr!U21&lt;&gt;".",up_Irr!AS21=".",up_Irr!BQ21="."),up_dir!AU21/((1/1000)*(up_Irr!U21)),IF(AND(up_Irr!U21=".",up_Irr!AS21=".",up_Irr!BQ21="."),up_dir!AU21*1000)))))))),".")</f>
        <v>7.2351016258567334E-11</v>
      </c>
      <c r="BU21" s="76">
        <f>IFERROR(IF(AND(up_Irr!V21&lt;&gt;".",up_Irr!AT21&lt;&gt;".",up_Irr!BR21&lt;&gt;"."),up_dir!AV21/((1/1000)*(up_Irr!V21+up_Irr!AT21+up_Irr!BR21)),IF(AND(up_Irr!V21&lt;&gt;".",up_Irr!AT21&lt;&gt;".",up_Irr!BR21="."),up_dir!AV21/((1/1000)*(up_Irr!V21+up_Irr!AT21)),IF(AND(up_Irr!V21&lt;&gt;".",up_Irr!AT21=".",up_Irr!BR21&lt;&gt;"."),up_dir!AV21/((1/1000)*(up_Irr!V21+up_Irr!BR21)),IF(AND(up_Irr!V21=".",up_Irr!AT21&lt;&gt;".",up_Irr!BR21&lt;&gt;"."),up_dir!AV21/((1/1000)*(up_Irr!AT21+up_Irr!BR21)),IF(AND(up_Irr!V21=".",up_Irr!AT21=".",up_Irr!BR21&lt;&gt;"."),up_dir!AV21/((1/1000)*(up_Irr!BR21)),IF(AND(up_Irr!V21=".",up_Irr!AT21&lt;&gt;".",up_Irr!BR21="."),up_dir!AV21/((1/1000)*(up_Irr!AT21)),IF(AND(up_Irr!V21&lt;&gt;".",up_Irr!AT21=".",up_Irr!BR21="."),up_dir!AV21/((1/1000)*(up_Irr!V21)),IF(AND(up_Irr!V21=".",up_Irr!AT21=".",up_Irr!BR21="."),up_dir!AV21*1000)))))))),".")</f>
        <v>7.2351016258567334E-11</v>
      </c>
      <c r="BV21" s="76">
        <f>IFERROR(IF(AND(up_Irr!W21&lt;&gt;".",up_Irr!AU21&lt;&gt;".",up_Irr!BS21&lt;&gt;"."),up_dir!AW21/((1/1000)*(up_Irr!W21+up_Irr!AU21+up_Irr!BS21)),IF(AND(up_Irr!W21&lt;&gt;".",up_Irr!AU21&lt;&gt;".",up_Irr!BS21="."),up_dir!AW21/((1/1000)*(up_Irr!W21+up_Irr!AU21)),IF(AND(up_Irr!W21&lt;&gt;".",up_Irr!AU21=".",up_Irr!BS21&lt;&gt;"."),up_dir!AW21/((1/1000)*(up_Irr!W21+up_Irr!BS21)),IF(AND(up_Irr!W21=".",up_Irr!AU21&lt;&gt;".",up_Irr!BS21&lt;&gt;"."),up_dir!AW21/((1/1000)*(up_Irr!AU21+up_Irr!BS21)),IF(AND(up_Irr!W21=".",up_Irr!AU21=".",up_Irr!BS21&lt;&gt;"."),up_dir!AW21/((1/1000)*(up_Irr!BS21)),IF(AND(up_Irr!W21=".",up_Irr!AU21&lt;&gt;".",up_Irr!BS21="."),up_dir!AW21/((1/1000)*(up_Irr!AU21)),IF(AND(up_Irr!W21&lt;&gt;".",up_Irr!AU21=".",up_Irr!BS21="."),up_dir!AW21/((1/1000)*(up_Irr!W21)),IF(AND(up_Irr!W21=".",up_Irr!AU21=".",up_Irr!BS21="."),up_dir!AW21*1000)))))))),".")</f>
        <v>7.2351016258567334E-11</v>
      </c>
      <c r="BW21" s="76">
        <f>IFERROR(IF(AND(up_Irr!X21&lt;&gt;".",up_Irr!AV21&lt;&gt;".",up_Irr!BT21&lt;&gt;"."),up_dir!AX21/((1/1000)*(up_Irr!X21+up_Irr!AV21+up_Irr!BT21)),IF(AND(up_Irr!X21&lt;&gt;".",up_Irr!AV21&lt;&gt;".",up_Irr!BT21="."),up_dir!AX21/((1/1000)*(up_Irr!X21+up_Irr!AV21)),IF(AND(up_Irr!X21&lt;&gt;".",up_Irr!AV21=".",up_Irr!BT21&lt;&gt;"."),up_dir!AX21/((1/1000)*(up_Irr!X21+up_Irr!BT21)),IF(AND(up_Irr!X21=".",up_Irr!AV21&lt;&gt;".",up_Irr!BT21&lt;&gt;"."),up_dir!AX21/((1/1000)*(up_Irr!AV21+up_Irr!BT21)),IF(AND(up_Irr!X21=".",up_Irr!AV21=".",up_Irr!BT21&lt;&gt;"."),up_dir!AX21/((1/1000)*(up_Irr!BT21)),IF(AND(up_Irr!X21=".",up_Irr!AV21&lt;&gt;".",up_Irr!BT21="."),up_dir!AX21/((1/1000)*(up_Irr!AV21)),IF(AND(up_Irr!X21&lt;&gt;".",up_Irr!AV21=".",up_Irr!BT21="."),up_dir!AX21/((1/1000)*(up_Irr!X21)),IF(AND(up_Irr!X21=".",up_Irr!AV21=".",up_Irr!BT21="."),up_dir!AX21*1000)))))))),".")</f>
        <v>7.2351016258567334E-11</v>
      </c>
      <c r="BX21" s="76">
        <f>IFERROR(IF(AND(up_Irr!Y21&lt;&gt;".",up_Irr!AW21&lt;&gt;".",up_Irr!BU21&lt;&gt;"."),up_dir!AY21/((1/1000)*(up_Irr!Y21+up_Irr!AW21+up_Irr!BU21)),IF(AND(up_Irr!Y21&lt;&gt;".",up_Irr!AW21&lt;&gt;".",up_Irr!BU21="."),up_dir!AY21/((1/1000)*(up_Irr!Y21+up_Irr!AW21)),IF(AND(up_Irr!Y21&lt;&gt;".",up_Irr!AW21=".",up_Irr!BU21&lt;&gt;"."),up_dir!AY21/((1/1000)*(up_Irr!Y21+up_Irr!BU21)),IF(AND(up_Irr!Y21=".",up_Irr!AW21&lt;&gt;".",up_Irr!BU21&lt;&gt;"."),up_dir!AY21/((1/1000)*(up_Irr!AW21+up_Irr!BU21)),IF(AND(up_Irr!Y21=".",up_Irr!AW21=".",up_Irr!BU21&lt;&gt;"."),up_dir!AY21/((1/1000)*(up_Irr!BU21)),IF(AND(up_Irr!Y21=".",up_Irr!AW21&lt;&gt;".",up_Irr!BU21="."),up_dir!AY21/((1/1000)*(up_Irr!AW21)),IF(AND(up_Irr!Y21&lt;&gt;".",up_Irr!AW21=".",up_Irr!BU21="."),up_dir!AY21/((1/1000)*(up_Irr!Y21)),IF(AND(up_Irr!Y21=".",up_Irr!AW21=".",up_Irr!BU21="."),up_dir!AY21*1000)))))))),".")</f>
        <v>7.2351016258567334E-11</v>
      </c>
      <c r="BY21" s="76">
        <f>IFERROR(IF(AND(up_Irr!Z21&lt;&gt;".",up_Irr!AX21&lt;&gt;".",up_Irr!BV21&lt;&gt;"."),up_dir!AZ21/((1/1000)*(up_Irr!Z21+up_Irr!AX21+up_Irr!BV21)),IF(AND(up_Irr!Z21&lt;&gt;".",up_Irr!AX21&lt;&gt;".",up_Irr!BV21="."),up_dir!AZ21/((1/1000)*(up_Irr!Z21+up_Irr!AX21)),IF(AND(up_Irr!Z21&lt;&gt;".",up_Irr!AX21=".",up_Irr!BV21&lt;&gt;"."),up_dir!AZ21/((1/1000)*(up_Irr!Z21+up_Irr!BV21)),IF(AND(up_Irr!Z21=".",up_Irr!AX21&lt;&gt;".",up_Irr!BV21&lt;&gt;"."),up_dir!AZ21/((1/1000)*(up_Irr!AX21+up_Irr!BV21)),IF(AND(up_Irr!Z21=".",up_Irr!AX21=".",up_Irr!BV21&lt;&gt;"."),up_dir!AZ21/((1/1000)*(up_Irr!BV21)),IF(AND(up_Irr!Z21=".",up_Irr!AX21&lt;&gt;".",up_Irr!BV21="."),up_dir!AZ21/((1/1000)*(up_Irr!AX21)),IF(AND(up_Irr!Z21&lt;&gt;".",up_Irr!AX21=".",up_Irr!BV21="."),up_dir!AZ21/((1/1000)*(up_Irr!Z21)),IF(AND(up_Irr!Z21=".",up_Irr!AX21=".",up_Irr!BV21="."),up_dir!AZ21*1000)))))))),".")</f>
        <v>7.2351016258567334E-11</v>
      </c>
      <c r="BZ21" s="93">
        <f>SUM(CA21:CB21,CW21:CX21)</f>
        <v>55286.023705663516</v>
      </c>
      <c r="CA21" s="93">
        <f>IFERROR(s_C*s_IFAP_far_adj*s_CF_apple*(1/1000)*(up_Irr!C21+up_Irr!AA21+up_Irr!AY21),".")</f>
        <v>13821.505926415879</v>
      </c>
      <c r="CB21" s="93">
        <f>IFERROR(s_C*s_IFAS_far_adj*s_CF_asparagus*(1/1000)*(up_Irr!D21+up_Irr!AB21+up_Irr!AZ21),".")</f>
        <v>13821.505926415879</v>
      </c>
      <c r="CC21" s="93">
        <f>IFERROR(s_C*s_IFBT_far_adj*s_CF_beet*(1/1000)*(up_Irr!E21+up_Irr!AC21+up_Irr!BA21),".")</f>
        <v>13821.505926415879</v>
      </c>
      <c r="CD21" s="93">
        <f>IFERROR(s_C*s_IFBE_far_adj*s_CF_berries*(1/1000)*(up_Irr!F21+up_Irr!AD21+up_Irr!BB21),".")</f>
        <v>13821.505926415879</v>
      </c>
      <c r="CE21" s="93">
        <f>IFERROR(s_C*s_IFBR_far_adj*s_CF_broccoli*(1/1000)*(up_Irr!G21+up_Irr!AE21+up_Irr!BC21),".")</f>
        <v>13821.505926415879</v>
      </c>
      <c r="CF21" s="93">
        <f>IFERROR(s_C*s_IFCB_far_adj*s_CF_cabbage*(1/1000)*(up_Irr!H21+up_Irr!AF21+up_Irr!BD21),".")</f>
        <v>13821.505926415879</v>
      </c>
      <c r="CG21" s="93">
        <f>IFERROR(s_C*s_IFCR_far_adj*s_CF_carrot*(1/1000)*(up_Irr!I21+up_Irr!AG21+up_Irr!BE21),".")</f>
        <v>13821.505926415879</v>
      </c>
      <c r="CH21" s="93">
        <f>IFERROR(s_C*s_IFCI_far_adj*s_CF_citrus*(1/1000)*(up_Irr!J21+up_Irr!AH21+up_Irr!BF21),".")</f>
        <v>13821.505926415879</v>
      </c>
      <c r="CI21" s="93">
        <f>IFERROR(s_C*s_IFCO_far_adj*s_CF_corn*(1/1000)*(up_Irr!K21+up_Irr!AI21+up_Irr!BG21),".")</f>
        <v>13821.505926415879</v>
      </c>
      <c r="CJ21" s="93">
        <f>IFERROR(s_C*s_IFCU_far_adj*s_CF_cucumber*(1/1000)*(up_Irr!L21+up_Irr!AJ21+up_Irr!BH21),".")</f>
        <v>13821.505926415879</v>
      </c>
      <c r="CK21" s="93">
        <f>IFERROR(s_C*s_IFLE_far_adj*s_CF_lettuce*(1/1000)*(up_Irr!M21+up_Irr!AK21+up_Irr!BI21),".")</f>
        <v>13821.505926415879</v>
      </c>
      <c r="CL21" s="93">
        <f>IFERROR(s_C*s_IFLI_far_adj*s_CF_lima_bean*(1/1000)*(up_Irr!N21+up_Irr!AL21+up_Irr!BJ21),".")</f>
        <v>13821.505926415879</v>
      </c>
      <c r="CM21" s="93">
        <f>IFERROR(s_C*s_IFOK_far_adj*s_CF_okra*(1/1000)*(up_Irr!O21+up_Irr!AM21+up_Irr!BK21),".")</f>
        <v>13821.505926415879</v>
      </c>
      <c r="CN21" s="93">
        <f>IFERROR(s_C*s_IFON_far_adj*s_CF_onion*(1/1000)*(up_Irr!P21+up_Irr!AN21+up_Irr!BL21),".")</f>
        <v>13821.505926415879</v>
      </c>
      <c r="CO21" s="93">
        <f>IFERROR(s_C*s_IFPC_far_adj*s_CF_peach*(1/1000)*(up_Irr!Q21+up_Irr!AO21+up_Irr!BM21),".")</f>
        <v>13821.505926415879</v>
      </c>
      <c r="CP21" s="93">
        <f>IFERROR(s_C*s_IFPR_far_adj*s_CF_pear*(1/1000)*(up_Irr!R21+up_Irr!AP21+up_Irr!BN21),".")</f>
        <v>13821.505926415879</v>
      </c>
      <c r="CQ21" s="93">
        <f>IFERROR(s_C*s_IFPE_far_adj*s_CF_peas*(1/1000)*(up_Irr!S21+up_Irr!AQ21+up_Irr!BO21),".")</f>
        <v>13821.505926415879</v>
      </c>
      <c r="CR21" s="93">
        <f>IFERROR(s_C*s_IFPT_far_adj*s_CF_potato*(1/1000)*(up_Irr!T21+up_Irr!AR21+up_Irr!BP21),".")</f>
        <v>13821.505926415879</v>
      </c>
      <c r="CS21" s="93">
        <f>IFERROR(s_C*s_IFPU_far_adj*s_CF_pumpkin*(1/1000)*(up_Irr!U21+up_Irr!AS21+up_Irr!BQ21),".")</f>
        <v>13821.505926415879</v>
      </c>
      <c r="CT21" s="93">
        <f>IFERROR(s_C*s_IFSN_far_adj*s_CF_snap_bean*(1/1000)*(up_Irr!V21+up_Irr!AT21+up_Irr!BR21),".")</f>
        <v>13821.505926415879</v>
      </c>
      <c r="CU21" s="93">
        <f>IFERROR(s_C*s_IFST_far_adj*s_CF_strawberry*(1/1000)*(up_Irr!W21+up_Irr!AU21+up_Irr!BS21),".")</f>
        <v>13821.505926415879</v>
      </c>
      <c r="CV21" s="93">
        <f>IFERROR(s_C*s_IFTO_far_adj*s_CF_tomato*(1/1000)*(up_Irr!X21+up_Irr!AV21+up_Irr!BT21),".")</f>
        <v>13821.505926415879</v>
      </c>
      <c r="CW21" s="93">
        <f>IFERROR(s_C*s_IFRI_far_adj*s_CF_rice*(1/1000)*(up_Irr!Y21+up_Irr!AW21+up_Irr!BU21),".")</f>
        <v>13821.505926415879</v>
      </c>
      <c r="CX21" s="93">
        <f>IFERROR(s_C*s_IFCG_far_adj*s_CF_cereal*(1/1000)*(up_Irr!Z21+up_Irr!AX21+up_Irr!BV21),".")</f>
        <v>13821.505926415879</v>
      </c>
    </row>
    <row r="22" spans="1:102" ht="15" customHeight="1" x14ac:dyDescent="0.25">
      <c r="A22" s="92" t="s">
        <v>32</v>
      </c>
      <c r="B22" s="90" t="s">
        <v>1074</v>
      </c>
      <c r="C22" s="76">
        <f t="shared" si="0"/>
        <v>1.8087754064641833E-11</v>
      </c>
      <c r="D22" s="76">
        <f>IFERROR(IF(AND(up_Irr!C22&lt;&gt;".",up_Irr!AA22&lt;&gt;".",up_Irr!AY22&lt;&gt;"."),up_dir!D22/((1/1000)*(up_Irr!C22+up_Irr!AA22+up_Irr!AY22)),IF(AND(up_Irr!C22&lt;&gt;".",up_Irr!AA22&lt;&gt;".",up_Irr!AY22="."),up_dir!D22/((1/1000)*(up_Irr!C22+up_Irr!AA22)),IF(AND(up_Irr!C22&lt;&gt;".",up_Irr!AA22=".",up_Irr!AY22&lt;&gt;"."),up_dir!D22/((1/1000)*(up_Irr!C22+up_Irr!AY22)),IF(AND(up_Irr!C22=".",up_Irr!AA22&lt;&gt;".",up_Irr!AY22&lt;&gt;"."),up_dir!D22/((1/1000)*(up_Irr!AA22+up_Irr!AY22)),IF(AND(up_Irr!C22=".",up_Irr!AA22=".",up_Irr!AY22&lt;&gt;"."),up_dir!D22/((1/1000)*(up_Irr!AY22)),IF(AND(up_Irr!C22=".",up_Irr!AA22&lt;&gt;".",up_Irr!AY22="."),up_dir!D22/((1/1000)*(up_Irr!AA22)),IF(AND(up_Irr!C22&lt;&gt;".",up_Irr!AA22=".",up_Irr!AY22="."),up_dir!D22/((1/1000)*(up_Irr!C22)),IF(AND(up_Irr!C22=".",up_Irr!AA22=".",up_Irr!AY22="."),up_dir!D22*1000)))))))),".")</f>
        <v>7.2351016258567334E-11</v>
      </c>
      <c r="E22" s="76">
        <f>IFERROR(IF(AND(up_Irr!D22&lt;&gt;".",up_Irr!AB22&lt;&gt;".",up_Irr!AZ22&lt;&gt;"."),up_dir!E22/((1/1000)*(up_Irr!D22+up_Irr!AB22+up_Irr!AZ22)),IF(AND(up_Irr!D22&lt;&gt;".",up_Irr!AB22&lt;&gt;".",up_Irr!AZ22="."),up_dir!E22/((1/1000)*(up_Irr!D22+up_Irr!AB22)),IF(AND(up_Irr!D22&lt;&gt;".",up_Irr!AB22=".",up_Irr!AZ22&lt;&gt;"."),up_dir!E22/((1/1000)*(up_Irr!D22+up_Irr!AZ22)),IF(AND(up_Irr!D22=".",up_Irr!AB22&lt;&gt;".",up_Irr!AZ22&lt;&gt;"."),up_dir!E22/((1/1000)*(up_Irr!AB22+up_Irr!AZ22)),IF(AND(up_Irr!D22=".",up_Irr!AB22=".",up_Irr!AZ22&lt;&gt;"."),up_dir!E22/((1/1000)*(up_Irr!AZ22)),IF(AND(up_Irr!D22=".",up_Irr!AB22&lt;&gt;".",up_Irr!AZ22="."),up_dir!E22/((1/1000)*(up_Irr!AB22)),IF(AND(up_Irr!D22&lt;&gt;".",up_Irr!AB22=".",up_Irr!AZ22="."),up_dir!E22/((1/1000)*(up_Irr!D22)),IF(AND(up_Irr!D22=".",up_Irr!AB22=".",up_Irr!AZ22="."),up_dir!E22*1000)))))))),".")</f>
        <v>7.2351016258567334E-11</v>
      </c>
      <c r="F22" s="76">
        <f>IFERROR(IF(AND(up_Irr!E22&lt;&gt;".",up_Irr!AC22&lt;&gt;".",up_Irr!BA22&lt;&gt;"."),up_dir!F22/((1/1000)*(up_Irr!E22+up_Irr!AC22+up_Irr!BA22)),IF(AND(up_Irr!E22&lt;&gt;".",up_Irr!AC22&lt;&gt;".",up_Irr!BA22="."),up_dir!F22/((1/1000)*(up_Irr!E22+up_Irr!AC22)),IF(AND(up_Irr!E22&lt;&gt;".",up_Irr!AC22=".",up_Irr!BA22&lt;&gt;"."),up_dir!F22/((1/1000)*(up_Irr!E22+up_Irr!BA22)),IF(AND(up_Irr!E22=".",up_Irr!AC22&lt;&gt;".",up_Irr!BA22&lt;&gt;"."),up_dir!F22/((1/1000)*(up_Irr!AC22+up_Irr!BA22)),IF(AND(up_Irr!E22=".",up_Irr!AC22=".",up_Irr!BA22&lt;&gt;"."),up_dir!F22/((1/1000)*(up_Irr!BA22)),IF(AND(up_Irr!E22=".",up_Irr!AC22&lt;&gt;".",up_Irr!BA22="."),up_dir!F22/((1/1000)*(up_Irr!AC22)),IF(AND(up_Irr!E22&lt;&gt;".",up_Irr!AC22=".",up_Irr!BA22="."),up_dir!F22/((1/1000)*(up_Irr!E22)),IF(AND(up_Irr!E22=".",up_Irr!AC22=".",up_Irr!BA22="."),up_dir!F22*1000)))))))),".")</f>
        <v>7.2351016258567334E-11</v>
      </c>
      <c r="G22" s="76">
        <f>IFERROR(IF(AND(up_Irr!F22&lt;&gt;".",up_Irr!AD22&lt;&gt;".",up_Irr!BB22&lt;&gt;"."),up_dir!G22/((1/1000)*(up_Irr!F22+up_Irr!AD22+up_Irr!BB22)),IF(AND(up_Irr!F22&lt;&gt;".",up_Irr!AD22&lt;&gt;".",up_Irr!BB22="."),up_dir!G22/((1/1000)*(up_Irr!F22+up_Irr!AD22)),IF(AND(up_Irr!F22&lt;&gt;".",up_Irr!AD22=".",up_Irr!BB22&lt;&gt;"."),up_dir!G22/((1/1000)*(up_Irr!F22+up_Irr!BB22)),IF(AND(up_Irr!F22=".",up_Irr!AD22&lt;&gt;".",up_Irr!BB22&lt;&gt;"."),up_dir!G22/((1/1000)*(up_Irr!AD22+up_Irr!BB22)),IF(AND(up_Irr!F22=".",up_Irr!AD22=".",up_Irr!BB22&lt;&gt;"."),up_dir!G22/((1/1000)*(up_Irr!BB22)),IF(AND(up_Irr!F22=".",up_Irr!AD22&lt;&gt;".",up_Irr!BB22="."),up_dir!G22/((1/1000)*(up_Irr!AD22)),IF(AND(up_Irr!F22&lt;&gt;".",up_Irr!AD22=".",up_Irr!BB22="."),up_dir!G22/((1/1000)*(up_Irr!F22)),IF(AND(up_Irr!F22=".",up_Irr!AD22=".",up_Irr!BB22="."),up_dir!G22*1000)))))))),".")</f>
        <v>7.2351016258567334E-11</v>
      </c>
      <c r="H22" s="76">
        <f>IFERROR(IF(AND(up_Irr!G22&lt;&gt;".",up_Irr!AE22&lt;&gt;".",up_Irr!BC22&lt;&gt;"."),up_dir!H22/((1/1000)*(up_Irr!G22+up_Irr!AE22+up_Irr!BC22)),IF(AND(up_Irr!G22&lt;&gt;".",up_Irr!AE22&lt;&gt;".",up_Irr!BC22="."),up_dir!H22/((1/1000)*(up_Irr!G22+up_Irr!AE22)),IF(AND(up_Irr!G22&lt;&gt;".",up_Irr!AE22=".",up_Irr!BC22&lt;&gt;"."),up_dir!H22/((1/1000)*(up_Irr!G22+up_Irr!BC22)),IF(AND(up_Irr!G22=".",up_Irr!AE22&lt;&gt;".",up_Irr!BC22&lt;&gt;"."),up_dir!H22/((1/1000)*(up_Irr!AE22+up_Irr!BC22)),IF(AND(up_Irr!G22=".",up_Irr!AE22=".",up_Irr!BC22&lt;&gt;"."),up_dir!H22/((1/1000)*(up_Irr!BC22)),IF(AND(up_Irr!G22=".",up_Irr!AE22&lt;&gt;".",up_Irr!BC22="."),up_dir!H22/((1/1000)*(up_Irr!AE22)),IF(AND(up_Irr!G22&lt;&gt;".",up_Irr!AE22=".",up_Irr!BC22="."),up_dir!H22/((1/1000)*(up_Irr!G22)),IF(AND(up_Irr!G22=".",up_Irr!AE22=".",up_Irr!BC22="."),up_dir!H22*1000)))))))),".")</f>
        <v>7.2351016258567334E-11</v>
      </c>
      <c r="I22" s="76">
        <f>IFERROR(IF(AND(up_Irr!H22&lt;&gt;".",up_Irr!AF22&lt;&gt;".",up_Irr!BD22&lt;&gt;"."),up_dir!I22/((1/1000)*(up_Irr!H22+up_Irr!AF22+up_Irr!BD22)),IF(AND(up_Irr!H22&lt;&gt;".",up_Irr!AF22&lt;&gt;".",up_Irr!BD22="."),up_dir!I22/((1/1000)*(up_Irr!H22+up_Irr!AF22)),IF(AND(up_Irr!H22&lt;&gt;".",up_Irr!AF22=".",up_Irr!BD22&lt;&gt;"."),up_dir!I22/((1/1000)*(up_Irr!H22+up_Irr!BD22)),IF(AND(up_Irr!H22=".",up_Irr!AF22&lt;&gt;".",up_Irr!BD22&lt;&gt;"."),up_dir!I22/((1/1000)*(up_Irr!AF22+up_Irr!BD22)),IF(AND(up_Irr!H22=".",up_Irr!AF22=".",up_Irr!BD22&lt;&gt;"."),up_dir!I22/((1/1000)*(up_Irr!BD22)),IF(AND(up_Irr!H22=".",up_Irr!AF22&lt;&gt;".",up_Irr!BD22="."),up_dir!I22/((1/1000)*(up_Irr!AF22)),IF(AND(up_Irr!H22&lt;&gt;".",up_Irr!AF22=".",up_Irr!BD22="."),up_dir!I22/((1/1000)*(up_Irr!H22)),IF(AND(up_Irr!H22=".",up_Irr!AF22=".",up_Irr!BD22="."),up_dir!I22*1000)))))))),".")</f>
        <v>7.2351016258567334E-11</v>
      </c>
      <c r="J22" s="76">
        <f>IFERROR(IF(AND(up_Irr!I22&lt;&gt;".",up_Irr!AG22&lt;&gt;".",up_Irr!BE22&lt;&gt;"."),up_dir!J22/((1/1000)*(up_Irr!I22+up_Irr!AG22+up_Irr!BE22)),IF(AND(up_Irr!I22&lt;&gt;".",up_Irr!AG22&lt;&gt;".",up_Irr!BE22="."),up_dir!J22/((1/1000)*(up_Irr!I22+up_Irr!AG22)),IF(AND(up_Irr!I22&lt;&gt;".",up_Irr!AG22=".",up_Irr!BE22&lt;&gt;"."),up_dir!J22/((1/1000)*(up_Irr!I22+up_Irr!BE22)),IF(AND(up_Irr!I22=".",up_Irr!AG22&lt;&gt;".",up_Irr!BE22&lt;&gt;"."),up_dir!J22/((1/1000)*(up_Irr!AG22+up_Irr!BE22)),IF(AND(up_Irr!I22=".",up_Irr!AG22=".",up_Irr!BE22&lt;&gt;"."),up_dir!J22/((1/1000)*(up_Irr!BE22)),IF(AND(up_Irr!I22=".",up_Irr!AG22&lt;&gt;".",up_Irr!BE22="."),up_dir!J22/((1/1000)*(up_Irr!AG22)),IF(AND(up_Irr!I22&lt;&gt;".",up_Irr!AG22=".",up_Irr!BE22="."),up_dir!J22/((1/1000)*(up_Irr!I22)),IF(AND(up_Irr!I22=".",up_Irr!AG22=".",up_Irr!BE22="."),up_dir!J22*1000)))))))),".")</f>
        <v>7.2351016258567334E-11</v>
      </c>
      <c r="K22" s="76">
        <f>IFERROR(IF(AND(up_Irr!J22&lt;&gt;".",up_Irr!AH22&lt;&gt;".",up_Irr!BF22&lt;&gt;"."),up_dir!K22/((1/1000)*(up_Irr!J22+up_Irr!AH22+up_Irr!BF22)),IF(AND(up_Irr!J22&lt;&gt;".",up_Irr!AH22&lt;&gt;".",up_Irr!BF22="."),up_dir!K22/((1/1000)*(up_Irr!J22+up_Irr!AH22)),IF(AND(up_Irr!J22&lt;&gt;".",up_Irr!AH22=".",up_Irr!BF22&lt;&gt;"."),up_dir!K22/((1/1000)*(up_Irr!J22+up_Irr!BF22)),IF(AND(up_Irr!J22=".",up_Irr!AH22&lt;&gt;".",up_Irr!BF22&lt;&gt;"."),up_dir!K22/((1/1000)*(up_Irr!AH22+up_Irr!BF22)),IF(AND(up_Irr!J22=".",up_Irr!AH22=".",up_Irr!BF22&lt;&gt;"."),up_dir!K22/((1/1000)*(up_Irr!BF22)),IF(AND(up_Irr!J22=".",up_Irr!AH22&lt;&gt;".",up_Irr!BF22="."),up_dir!K22/((1/1000)*(up_Irr!AH22)),IF(AND(up_Irr!J22&lt;&gt;".",up_Irr!AH22=".",up_Irr!BF22="."),up_dir!K22/((1/1000)*(up_Irr!J22)),IF(AND(up_Irr!J22=".",up_Irr!AH22=".",up_Irr!BF22="."),up_dir!K22*1000)))))))),".")</f>
        <v>7.2351016258567334E-11</v>
      </c>
      <c r="L22" s="76">
        <f>IFERROR(IF(AND(up_Irr!K22&lt;&gt;".",up_Irr!AI22&lt;&gt;".",up_Irr!BG22&lt;&gt;"."),up_dir!L22/((1/1000)*(up_Irr!K22+up_Irr!AI22+up_Irr!BG22)),IF(AND(up_Irr!K22&lt;&gt;".",up_Irr!AI22&lt;&gt;".",up_Irr!BG22="."),up_dir!L22/((1/1000)*(up_Irr!K22+up_Irr!AI22)),IF(AND(up_Irr!K22&lt;&gt;".",up_Irr!AI22=".",up_Irr!BG22&lt;&gt;"."),up_dir!L22/((1/1000)*(up_Irr!K22+up_Irr!BG22)),IF(AND(up_Irr!K22=".",up_Irr!AI22&lt;&gt;".",up_Irr!BG22&lt;&gt;"."),up_dir!L22/((1/1000)*(up_Irr!AI22+up_Irr!BG22)),IF(AND(up_Irr!K22=".",up_Irr!AI22=".",up_Irr!BG22&lt;&gt;"."),up_dir!L22/((1/1000)*(up_Irr!BG22)),IF(AND(up_Irr!K22=".",up_Irr!AI22&lt;&gt;".",up_Irr!BG22="."),up_dir!L22/((1/1000)*(up_Irr!AI22)),IF(AND(up_Irr!K22&lt;&gt;".",up_Irr!AI22=".",up_Irr!BG22="."),up_dir!L22/((1/1000)*(up_Irr!K22)),IF(AND(up_Irr!K22=".",up_Irr!AI22=".",up_Irr!BG22="."),up_dir!L22*1000)))))))),".")</f>
        <v>7.2351016258567334E-11</v>
      </c>
      <c r="M22" s="76">
        <f>IFERROR(IF(AND(up_Irr!L22&lt;&gt;".",up_Irr!AJ22&lt;&gt;".",up_Irr!BH22&lt;&gt;"."),up_dir!M22/((1/1000)*(up_Irr!L22+up_Irr!AJ22+up_Irr!BH22)),IF(AND(up_Irr!L22&lt;&gt;".",up_Irr!AJ22&lt;&gt;".",up_Irr!BH22="."),up_dir!M22/((1/1000)*(up_Irr!L22+up_Irr!AJ22)),IF(AND(up_Irr!L22&lt;&gt;".",up_Irr!AJ22=".",up_Irr!BH22&lt;&gt;"."),up_dir!M22/((1/1000)*(up_Irr!L22+up_Irr!BH22)),IF(AND(up_Irr!L22=".",up_Irr!AJ22&lt;&gt;".",up_Irr!BH22&lt;&gt;"."),up_dir!M22/((1/1000)*(up_Irr!AJ22+up_Irr!BH22)),IF(AND(up_Irr!L22=".",up_Irr!AJ22=".",up_Irr!BH22&lt;&gt;"."),up_dir!M22/((1/1000)*(up_Irr!BH22)),IF(AND(up_Irr!L22=".",up_Irr!AJ22&lt;&gt;".",up_Irr!BH22="."),up_dir!M22/((1/1000)*(up_Irr!AJ22)),IF(AND(up_Irr!L22&lt;&gt;".",up_Irr!AJ22=".",up_Irr!BH22="."),up_dir!M22/((1/1000)*(up_Irr!L22)),IF(AND(up_Irr!L22=".",up_Irr!AJ22=".",up_Irr!BH22="."),up_dir!M22*1000)))))))),".")</f>
        <v>7.2351016258567334E-11</v>
      </c>
      <c r="N22" s="76">
        <f>IFERROR(IF(AND(up_Irr!M22&lt;&gt;".",up_Irr!AK22&lt;&gt;".",up_Irr!BI22&lt;&gt;"."),up_dir!N22/((1/1000)*(up_Irr!M22+up_Irr!AK22+up_Irr!BI22)),IF(AND(up_Irr!M22&lt;&gt;".",up_Irr!AK22&lt;&gt;".",up_Irr!BI22="."),up_dir!N22/((1/1000)*(up_Irr!M22+up_Irr!AK22)),IF(AND(up_Irr!M22&lt;&gt;".",up_Irr!AK22=".",up_Irr!BI22&lt;&gt;"."),up_dir!N22/((1/1000)*(up_Irr!M22+up_Irr!BI22)),IF(AND(up_Irr!M22=".",up_Irr!AK22&lt;&gt;".",up_Irr!BI22&lt;&gt;"."),up_dir!N22/((1/1000)*(up_Irr!AK22+up_Irr!BI22)),IF(AND(up_Irr!M22=".",up_Irr!AK22=".",up_Irr!BI22&lt;&gt;"."),up_dir!N22/((1/1000)*(up_Irr!BI22)),IF(AND(up_Irr!M22=".",up_Irr!AK22&lt;&gt;".",up_Irr!BI22="."),up_dir!N22/((1/1000)*(up_Irr!AK22)),IF(AND(up_Irr!M22&lt;&gt;".",up_Irr!AK22=".",up_Irr!BI22="."),up_dir!N22/((1/1000)*(up_Irr!M22)),IF(AND(up_Irr!M22=".",up_Irr!AK22=".",up_Irr!BI22="."),up_dir!N22*1000)))))))),".")</f>
        <v>7.2351016258567334E-11</v>
      </c>
      <c r="O22" s="76">
        <f>IFERROR(IF(AND(up_Irr!N22&lt;&gt;".",up_Irr!AL22&lt;&gt;".",up_Irr!BJ22&lt;&gt;"."),up_dir!O22/((1/1000)*(up_Irr!N22+up_Irr!AL22+up_Irr!BJ22)),IF(AND(up_Irr!N22&lt;&gt;".",up_Irr!AL22&lt;&gt;".",up_Irr!BJ22="."),up_dir!O22/((1/1000)*(up_Irr!N22+up_Irr!AL22)),IF(AND(up_Irr!N22&lt;&gt;".",up_Irr!AL22=".",up_Irr!BJ22&lt;&gt;"."),up_dir!O22/((1/1000)*(up_Irr!N22+up_Irr!BJ22)),IF(AND(up_Irr!N22=".",up_Irr!AL22&lt;&gt;".",up_Irr!BJ22&lt;&gt;"."),up_dir!O22/((1/1000)*(up_Irr!AL22+up_Irr!BJ22)),IF(AND(up_Irr!N22=".",up_Irr!AL22=".",up_Irr!BJ22&lt;&gt;"."),up_dir!O22/((1/1000)*(up_Irr!BJ22)),IF(AND(up_Irr!N22=".",up_Irr!AL22&lt;&gt;".",up_Irr!BJ22="."),up_dir!O22/((1/1000)*(up_Irr!AL22)),IF(AND(up_Irr!N22&lt;&gt;".",up_Irr!AL22=".",up_Irr!BJ22="."),up_dir!O22/((1/1000)*(up_Irr!N22)),IF(AND(up_Irr!N22=".",up_Irr!AL22=".",up_Irr!BJ22="."),up_dir!O22*1000)))))))),".")</f>
        <v>7.2351016258567334E-11</v>
      </c>
      <c r="P22" s="76">
        <f>IFERROR(IF(AND(up_Irr!O22&lt;&gt;".",up_Irr!AM22&lt;&gt;".",up_Irr!BK22&lt;&gt;"."),up_dir!P22/((1/1000)*(up_Irr!O22+up_Irr!AM22+up_Irr!BK22)),IF(AND(up_Irr!O22&lt;&gt;".",up_Irr!AM22&lt;&gt;".",up_Irr!BK22="."),up_dir!P22/((1/1000)*(up_Irr!O22+up_Irr!AM22)),IF(AND(up_Irr!O22&lt;&gt;".",up_Irr!AM22=".",up_Irr!BK22&lt;&gt;"."),up_dir!P22/((1/1000)*(up_Irr!O22+up_Irr!BK22)),IF(AND(up_Irr!O22=".",up_Irr!AM22&lt;&gt;".",up_Irr!BK22&lt;&gt;"."),up_dir!P22/((1/1000)*(up_Irr!AM22+up_Irr!BK22)),IF(AND(up_Irr!O22=".",up_Irr!AM22=".",up_Irr!BK22&lt;&gt;"."),up_dir!P22/((1/1000)*(up_Irr!BK22)),IF(AND(up_Irr!O22=".",up_Irr!AM22&lt;&gt;".",up_Irr!BK22="."),up_dir!P22/((1/1000)*(up_Irr!AM22)),IF(AND(up_Irr!O22&lt;&gt;".",up_Irr!AM22=".",up_Irr!BK22="."),up_dir!P22/((1/1000)*(up_Irr!O22)),IF(AND(up_Irr!O22=".",up_Irr!AM22=".",up_Irr!BK22="."),up_dir!P22*1000)))))))),".")</f>
        <v>7.2351016258567334E-11</v>
      </c>
      <c r="Q22" s="76">
        <f>IFERROR(IF(AND(up_Irr!P22&lt;&gt;".",up_Irr!AN22&lt;&gt;".",up_Irr!BL22&lt;&gt;"."),up_dir!Q22/((1/1000)*(up_Irr!P22+up_Irr!AN22+up_Irr!BL22)),IF(AND(up_Irr!P22&lt;&gt;".",up_Irr!AN22&lt;&gt;".",up_Irr!BL22="."),up_dir!Q22/((1/1000)*(up_Irr!P22+up_Irr!AN22)),IF(AND(up_Irr!P22&lt;&gt;".",up_Irr!AN22=".",up_Irr!BL22&lt;&gt;"."),up_dir!Q22/((1/1000)*(up_Irr!P22+up_Irr!BL22)),IF(AND(up_Irr!P22=".",up_Irr!AN22&lt;&gt;".",up_Irr!BL22&lt;&gt;"."),up_dir!Q22/((1/1000)*(up_Irr!AN22+up_Irr!BL22)),IF(AND(up_Irr!P22=".",up_Irr!AN22=".",up_Irr!BL22&lt;&gt;"."),up_dir!Q22/((1/1000)*(up_Irr!BL22)),IF(AND(up_Irr!P22=".",up_Irr!AN22&lt;&gt;".",up_Irr!BL22="."),up_dir!Q22/((1/1000)*(up_Irr!AN22)),IF(AND(up_Irr!P22&lt;&gt;".",up_Irr!AN22=".",up_Irr!BL22="."),up_dir!Q22/((1/1000)*(up_Irr!P22)),IF(AND(up_Irr!P22=".",up_Irr!AN22=".",up_Irr!BL22="."),up_dir!Q22*1000)))))))),".")</f>
        <v>7.2351016258567334E-11</v>
      </c>
      <c r="R22" s="76">
        <f>IFERROR(IF(AND(up_Irr!Q22&lt;&gt;".",up_Irr!AO22&lt;&gt;".",up_Irr!BM22&lt;&gt;"."),up_dir!R22/((1/1000)*(up_Irr!Q22+up_Irr!AO22+up_Irr!BM22)),IF(AND(up_Irr!Q22&lt;&gt;".",up_Irr!AO22&lt;&gt;".",up_Irr!BM22="."),up_dir!R22/((1/1000)*(up_Irr!Q22+up_Irr!AO22)),IF(AND(up_Irr!Q22&lt;&gt;".",up_Irr!AO22=".",up_Irr!BM22&lt;&gt;"."),up_dir!R22/((1/1000)*(up_Irr!Q22+up_Irr!BM22)),IF(AND(up_Irr!Q22=".",up_Irr!AO22&lt;&gt;".",up_Irr!BM22&lt;&gt;"."),up_dir!R22/((1/1000)*(up_Irr!AO22+up_Irr!BM22)),IF(AND(up_Irr!Q22=".",up_Irr!AO22=".",up_Irr!BM22&lt;&gt;"."),up_dir!R22/((1/1000)*(up_Irr!BM22)),IF(AND(up_Irr!Q22=".",up_Irr!AO22&lt;&gt;".",up_Irr!BM22="."),up_dir!R22/((1/1000)*(up_Irr!AO22)),IF(AND(up_Irr!Q22&lt;&gt;".",up_Irr!AO22=".",up_Irr!BM22="."),up_dir!R22/((1/1000)*(up_Irr!Q22)),IF(AND(up_Irr!Q22=".",up_Irr!AO22=".",up_Irr!BM22="."),up_dir!R22*1000)))))))),".")</f>
        <v>7.2351016258567334E-11</v>
      </c>
      <c r="S22" s="76">
        <f>IFERROR(IF(AND(up_Irr!R22&lt;&gt;".",up_Irr!AP22&lt;&gt;".",up_Irr!BN22&lt;&gt;"."),up_dir!S22/((1/1000)*(up_Irr!R22+up_Irr!AP22+up_Irr!BN22)),IF(AND(up_Irr!R22&lt;&gt;".",up_Irr!AP22&lt;&gt;".",up_Irr!BN22="."),up_dir!S22/((1/1000)*(up_Irr!R22+up_Irr!AP22)),IF(AND(up_Irr!R22&lt;&gt;".",up_Irr!AP22=".",up_Irr!BN22&lt;&gt;"."),up_dir!S22/((1/1000)*(up_Irr!R22+up_Irr!BN22)),IF(AND(up_Irr!R22=".",up_Irr!AP22&lt;&gt;".",up_Irr!BN22&lt;&gt;"."),up_dir!S22/((1/1000)*(up_Irr!AP22+up_Irr!BN22)),IF(AND(up_Irr!R22=".",up_Irr!AP22=".",up_Irr!BN22&lt;&gt;"."),up_dir!S22/((1/1000)*(up_Irr!BN22)),IF(AND(up_Irr!R22=".",up_Irr!AP22&lt;&gt;".",up_Irr!BN22="."),up_dir!S22/((1/1000)*(up_Irr!AP22)),IF(AND(up_Irr!R22&lt;&gt;".",up_Irr!AP22=".",up_Irr!BN22="."),up_dir!S22/((1/1000)*(up_Irr!R22)),IF(AND(up_Irr!R22=".",up_Irr!AP22=".",up_Irr!BN22="."),up_dir!S22*1000)))))))),".")</f>
        <v>7.2351016258567334E-11</v>
      </c>
      <c r="T22" s="76">
        <f>IFERROR(IF(AND(up_Irr!S22&lt;&gt;".",up_Irr!AQ22&lt;&gt;".",up_Irr!BO22&lt;&gt;"."),up_dir!T22/((1/1000)*(up_Irr!S22+up_Irr!AQ22+up_Irr!BO22)),IF(AND(up_Irr!S22&lt;&gt;".",up_Irr!AQ22&lt;&gt;".",up_Irr!BO22="."),up_dir!T22/((1/1000)*(up_Irr!S22+up_Irr!AQ22)),IF(AND(up_Irr!S22&lt;&gt;".",up_Irr!AQ22=".",up_Irr!BO22&lt;&gt;"."),up_dir!T22/((1/1000)*(up_Irr!S22+up_Irr!BO22)),IF(AND(up_Irr!S22=".",up_Irr!AQ22&lt;&gt;".",up_Irr!BO22&lt;&gt;"."),up_dir!T22/((1/1000)*(up_Irr!AQ22+up_Irr!BO22)),IF(AND(up_Irr!S22=".",up_Irr!AQ22=".",up_Irr!BO22&lt;&gt;"."),up_dir!T22/((1/1000)*(up_Irr!BO22)),IF(AND(up_Irr!S22=".",up_Irr!AQ22&lt;&gt;".",up_Irr!BO22="."),up_dir!T22/((1/1000)*(up_Irr!AQ22)),IF(AND(up_Irr!S22&lt;&gt;".",up_Irr!AQ22=".",up_Irr!BO22="."),up_dir!T22/((1/1000)*(up_Irr!S22)),IF(AND(up_Irr!S22=".",up_Irr!AQ22=".",up_Irr!BO22="."),up_dir!T22*1000)))))))),".")</f>
        <v>7.2351016258567334E-11</v>
      </c>
      <c r="U22" s="76">
        <f>IFERROR(IF(AND(up_Irr!T22&lt;&gt;".",up_Irr!AR22&lt;&gt;".",up_Irr!BP22&lt;&gt;"."),up_dir!U22/((1/1000)*(up_Irr!T22+up_Irr!AR22+up_Irr!BP22)),IF(AND(up_Irr!T22&lt;&gt;".",up_Irr!AR22&lt;&gt;".",up_Irr!BP22="."),up_dir!U22/((1/1000)*(up_Irr!T22+up_Irr!AR22)),IF(AND(up_Irr!T22&lt;&gt;".",up_Irr!AR22=".",up_Irr!BP22&lt;&gt;"."),up_dir!U22/((1/1000)*(up_Irr!T22+up_Irr!BP22)),IF(AND(up_Irr!T22=".",up_Irr!AR22&lt;&gt;".",up_Irr!BP22&lt;&gt;"."),up_dir!U22/((1/1000)*(up_Irr!AR22+up_Irr!BP22)),IF(AND(up_Irr!T22=".",up_Irr!AR22=".",up_Irr!BP22&lt;&gt;"."),up_dir!U22/((1/1000)*(up_Irr!BP22)),IF(AND(up_Irr!T22=".",up_Irr!AR22&lt;&gt;".",up_Irr!BP22="."),up_dir!U22/((1/1000)*(up_Irr!AR22)),IF(AND(up_Irr!T22&lt;&gt;".",up_Irr!AR22=".",up_Irr!BP22="."),up_dir!U22/((1/1000)*(up_Irr!T22)),IF(AND(up_Irr!T22=".",up_Irr!AR22=".",up_Irr!BP22="."),up_dir!U22*1000)))))))),".")</f>
        <v>7.2351016258567334E-11</v>
      </c>
      <c r="V22" s="76">
        <f>IFERROR(IF(AND(up_Irr!U22&lt;&gt;".",up_Irr!AS22&lt;&gt;".",up_Irr!BQ22&lt;&gt;"."),up_dir!V22/((1/1000)*(up_Irr!U22+up_Irr!AS22+up_Irr!BQ22)),IF(AND(up_Irr!U22&lt;&gt;".",up_Irr!AS22&lt;&gt;".",up_Irr!BQ22="."),up_dir!V22/((1/1000)*(up_Irr!U22+up_Irr!AS22)),IF(AND(up_Irr!U22&lt;&gt;".",up_Irr!AS22=".",up_Irr!BQ22&lt;&gt;"."),up_dir!V22/((1/1000)*(up_Irr!U22+up_Irr!BQ22)),IF(AND(up_Irr!U22=".",up_Irr!AS22&lt;&gt;".",up_Irr!BQ22&lt;&gt;"."),up_dir!V22/((1/1000)*(up_Irr!AS22+up_Irr!BQ22)),IF(AND(up_Irr!U22=".",up_Irr!AS22=".",up_Irr!BQ22&lt;&gt;"."),up_dir!V22/((1/1000)*(up_Irr!BQ22)),IF(AND(up_Irr!U22=".",up_Irr!AS22&lt;&gt;".",up_Irr!BQ22="."),up_dir!V22/((1/1000)*(up_Irr!AS22)),IF(AND(up_Irr!U22&lt;&gt;".",up_Irr!AS22=".",up_Irr!BQ22="."),up_dir!V22/((1/1000)*(up_Irr!U22)),IF(AND(up_Irr!U22=".",up_Irr!AS22=".",up_Irr!BQ22="."),up_dir!V22*1000)))))))),".")</f>
        <v>7.2351016258567334E-11</v>
      </c>
      <c r="W22" s="76">
        <f>IFERROR(IF(AND(up_Irr!V22&lt;&gt;".",up_Irr!AT22&lt;&gt;".",up_Irr!BR22&lt;&gt;"."),up_dir!W22/((1/1000)*(up_Irr!V22+up_Irr!AT22+up_Irr!BR22)),IF(AND(up_Irr!V22&lt;&gt;".",up_Irr!AT22&lt;&gt;".",up_Irr!BR22="."),up_dir!W22/((1/1000)*(up_Irr!V22+up_Irr!AT22)),IF(AND(up_Irr!V22&lt;&gt;".",up_Irr!AT22=".",up_Irr!BR22&lt;&gt;"."),up_dir!W22/((1/1000)*(up_Irr!V22+up_Irr!BR22)),IF(AND(up_Irr!V22=".",up_Irr!AT22&lt;&gt;".",up_Irr!BR22&lt;&gt;"."),up_dir!W22/((1/1000)*(up_Irr!AT22+up_Irr!BR22)),IF(AND(up_Irr!V22=".",up_Irr!AT22=".",up_Irr!BR22&lt;&gt;"."),up_dir!W22/((1/1000)*(up_Irr!BR22)),IF(AND(up_Irr!V22=".",up_Irr!AT22&lt;&gt;".",up_Irr!BR22="."),up_dir!W22/((1/1000)*(up_Irr!AT22)),IF(AND(up_Irr!V22&lt;&gt;".",up_Irr!AT22=".",up_Irr!BR22="."),up_dir!W22/((1/1000)*(up_Irr!V22)),IF(AND(up_Irr!V22=".",up_Irr!AT22=".",up_Irr!BR22="."),up_dir!W22*1000)))))))),".")</f>
        <v>7.2351016258567334E-11</v>
      </c>
      <c r="X22" s="76">
        <f>IFERROR(IF(AND(up_Irr!W22&lt;&gt;".",up_Irr!AU22&lt;&gt;".",up_Irr!BS22&lt;&gt;"."),up_dir!X22/((1/1000)*(up_Irr!W22+up_Irr!AU22+up_Irr!BS22)),IF(AND(up_Irr!W22&lt;&gt;".",up_Irr!AU22&lt;&gt;".",up_Irr!BS22="."),up_dir!X22/((1/1000)*(up_Irr!W22+up_Irr!AU22)),IF(AND(up_Irr!W22&lt;&gt;".",up_Irr!AU22=".",up_Irr!BS22&lt;&gt;"."),up_dir!X22/((1/1000)*(up_Irr!W22+up_Irr!BS22)),IF(AND(up_Irr!W22=".",up_Irr!AU22&lt;&gt;".",up_Irr!BS22&lt;&gt;"."),up_dir!X22/((1/1000)*(up_Irr!AU22+up_Irr!BS22)),IF(AND(up_Irr!W22=".",up_Irr!AU22=".",up_Irr!BS22&lt;&gt;"."),up_dir!X22/((1/1000)*(up_Irr!BS22)),IF(AND(up_Irr!W22=".",up_Irr!AU22&lt;&gt;".",up_Irr!BS22="."),up_dir!X22/((1/1000)*(up_Irr!AU22)),IF(AND(up_Irr!W22&lt;&gt;".",up_Irr!AU22=".",up_Irr!BS22="."),up_dir!X22/((1/1000)*(up_Irr!W22)),IF(AND(up_Irr!W22=".",up_Irr!AU22=".",up_Irr!BS22="."),up_dir!X22*1000)))))))),".")</f>
        <v>7.2351016258567334E-11</v>
      </c>
      <c r="Y22" s="76">
        <f>IFERROR(IF(AND(up_Irr!X22&lt;&gt;".",up_Irr!AV22&lt;&gt;".",up_Irr!BT22&lt;&gt;"."),up_dir!Y22/((1/1000)*(up_Irr!X22+up_Irr!AV22+up_Irr!BT22)),IF(AND(up_Irr!X22&lt;&gt;".",up_Irr!AV22&lt;&gt;".",up_Irr!BT22="."),up_dir!Y22/((1/1000)*(up_Irr!X22+up_Irr!AV22)),IF(AND(up_Irr!X22&lt;&gt;".",up_Irr!AV22=".",up_Irr!BT22&lt;&gt;"."),up_dir!Y22/((1/1000)*(up_Irr!X22+up_Irr!BT22)),IF(AND(up_Irr!X22=".",up_Irr!AV22&lt;&gt;".",up_Irr!BT22&lt;&gt;"."),up_dir!Y22/((1/1000)*(up_Irr!AV22+up_Irr!BT22)),IF(AND(up_Irr!X22=".",up_Irr!AV22=".",up_Irr!BT22&lt;&gt;"."),up_dir!Y22/((1/1000)*(up_Irr!BT22)),IF(AND(up_Irr!X22=".",up_Irr!AV22&lt;&gt;".",up_Irr!BT22="."),up_dir!Y22/((1/1000)*(up_Irr!AV22)),IF(AND(up_Irr!X22&lt;&gt;".",up_Irr!AV22=".",up_Irr!BT22="."),up_dir!Y22/((1/1000)*(up_Irr!X22)),IF(AND(up_Irr!X22=".",up_Irr!AV22=".",up_Irr!BT22="."),up_dir!Y22*1000)))))))),".")</f>
        <v>7.2351016258567334E-11</v>
      </c>
      <c r="Z22" s="76">
        <f>IFERROR(IF(AND(up_Irr!Y22&lt;&gt;".",up_Irr!AW22&lt;&gt;".",up_Irr!BU22&lt;&gt;"."),up_dir!Z22/((1/1000)*(up_Irr!Y22+up_Irr!AW22+up_Irr!BU22)),IF(AND(up_Irr!Y22&lt;&gt;".",up_Irr!AW22&lt;&gt;".",up_Irr!BU22="."),up_dir!Z22/((1/1000)*(up_Irr!Y22+up_Irr!AW22)),IF(AND(up_Irr!Y22&lt;&gt;".",up_Irr!AW22=".",up_Irr!BU22&lt;&gt;"."),up_dir!Z22/((1/1000)*(up_Irr!Y22+up_Irr!BU22)),IF(AND(up_Irr!Y22=".",up_Irr!AW22&lt;&gt;".",up_Irr!BU22&lt;&gt;"."),up_dir!Z22/((1/1000)*(up_Irr!AW22+up_Irr!BU22)),IF(AND(up_Irr!Y22=".",up_Irr!AW22=".",up_Irr!BU22&lt;&gt;"."),up_dir!Z22/((1/1000)*(up_Irr!BU22)),IF(AND(up_Irr!Y22=".",up_Irr!AW22&lt;&gt;".",up_Irr!BU22="."),up_dir!Z22/((1/1000)*(up_Irr!AW22)),IF(AND(up_Irr!Y22&lt;&gt;".",up_Irr!AW22=".",up_Irr!BU22="."),up_dir!Z22/((1/1000)*(up_Irr!Y22)),IF(AND(up_Irr!Y22=".",up_Irr!AW22=".",up_Irr!BU22="."),up_dir!Z22*1000)))))))),".")</f>
        <v>7.2351016258567334E-11</v>
      </c>
      <c r="AA22" s="76">
        <f>IFERROR(IF(AND(up_Irr!Z22&lt;&gt;".",up_Irr!AX22&lt;&gt;".",up_Irr!BV22&lt;&gt;"."),up_dir!AA22/((1/1000)*(up_Irr!Z22+up_Irr!AX22+up_Irr!BV22)),IF(AND(up_Irr!Z22&lt;&gt;".",up_Irr!AX22&lt;&gt;".",up_Irr!BV22="."),up_dir!AA22/((1/1000)*(up_Irr!Z22+up_Irr!AX22)),IF(AND(up_Irr!Z22&lt;&gt;".",up_Irr!AX22=".",up_Irr!BV22&lt;&gt;"."),up_dir!AA22/((1/1000)*(up_Irr!Z22+up_Irr!BV22)),IF(AND(up_Irr!Z22=".",up_Irr!AX22&lt;&gt;".",up_Irr!BV22&lt;&gt;"."),up_dir!AA22/((1/1000)*(up_Irr!AX22+up_Irr!BV22)),IF(AND(up_Irr!Z22=".",up_Irr!AX22=".",up_Irr!BV22&lt;&gt;"."),up_dir!AA22/((1/1000)*(up_Irr!BV22)),IF(AND(up_Irr!Z22=".",up_Irr!AX22&lt;&gt;".",up_Irr!BV22="."),up_dir!AA22/((1/1000)*(up_Irr!AX22)),IF(AND(up_Irr!Z22&lt;&gt;".",up_Irr!AX22=".",up_Irr!BV22="."),up_dir!AA22/((1/1000)*(up_Irr!Z22)),IF(AND(up_Irr!Z22=".",up_Irr!AX22=".",up_Irr!BV22="."),up_dir!AA22*1000)))))))),".")</f>
        <v>7.2351016258567334E-11</v>
      </c>
      <c r="AB22" s="93">
        <f t="shared" ref="AB22:AB23" si="11">SUM(AC22:AD22,AY22:AZ22)</f>
        <v>55286.023705663516</v>
      </c>
      <c r="AC22" s="93">
        <f>IFERROR(s_C*s_IFAP_res_adj*s_CF_apple*0.001*(up_Irr!C22+up_Irr!AA22+up_Irr!AY22),".")</f>
        <v>13821.505926415879</v>
      </c>
      <c r="AD22" s="93">
        <f>IFERROR(s_C*s_IFAS_res_adj*s_CF_asparagus*0.001*(up_Irr!D22+up_Irr!AB22+up_Irr!AZ22),".")</f>
        <v>13821.505926415879</v>
      </c>
      <c r="AE22" s="93">
        <f>IFERROR(s_C*s_IFBT_res_adj*s_CF_beet*0.001*(up_Irr!E22+up_Irr!AC22+up_Irr!BA22),".")</f>
        <v>13821.505926415879</v>
      </c>
      <c r="AF22" s="93">
        <f>IFERROR(s_C*s_IFBE_res_adj*s_CF_berries*0.001*(up_Irr!F22+up_Irr!AD22+up_Irr!BB22),".")</f>
        <v>13821.505926415879</v>
      </c>
      <c r="AG22" s="93">
        <f>IFERROR(s_C*s_IFBR_res_adj*s_CF_broccoli*0.001*(up_Irr!G22+up_Irr!AE22+up_Irr!BC22),".")</f>
        <v>13821.505926415879</v>
      </c>
      <c r="AH22" s="93">
        <f>IFERROR(s_C*s_IFCB_res_adj*s_CF_cabbage*0.001*(up_Irr!H22+up_Irr!AF22+up_Irr!BD22),".")</f>
        <v>13821.505926415879</v>
      </c>
      <c r="AI22" s="93">
        <f>IFERROR(s_C*s_IFCR_res_adj*s_CF_carrot*0.001*(up_Irr!I22+up_Irr!AG22+up_Irr!BE22),".")</f>
        <v>13821.505926415879</v>
      </c>
      <c r="AJ22" s="93">
        <f>IFERROR(s_C*s_IFCI_res_adj*s_CF_citrus*0.001*(up_Irr!J22+up_Irr!AH22+up_Irr!BF22),".")</f>
        <v>13821.505926415879</v>
      </c>
      <c r="AK22" s="93">
        <f>IFERROR(s_C*s_IFCO_res_adj*s_CF_corn*0.001*(up_Irr!K22+up_Irr!AI22+up_Irr!BG22),".")</f>
        <v>13821.505926415879</v>
      </c>
      <c r="AL22" s="93">
        <f>IFERROR(s_C*s_IFCU_res_adj*s_CF_cucumber*0.001*(up_Irr!L22+up_Irr!AJ22+up_Irr!BH22),".")</f>
        <v>13821.505926415879</v>
      </c>
      <c r="AM22" s="93">
        <f>IFERROR(s_C*s_IFLE_res_adj*s_CF_lettuce*0.001*(up_Irr!M22+up_Irr!AK22+up_Irr!BI22),".")</f>
        <v>13821.505926415879</v>
      </c>
      <c r="AN22" s="93">
        <f>IFERROR(s_C*s_IFLI_res_adj*s_CF_lima_bean*0.001*(up_Irr!N22+up_Irr!AL22+up_Irr!BJ22),".")</f>
        <v>13821.505926415879</v>
      </c>
      <c r="AO22" s="93">
        <f>IFERROR(s_C*s_IFOK_res_adj*s_CF_okra*0.001*(up_Irr!O22+up_Irr!AM22+up_Irr!BK22),".")</f>
        <v>13821.505926415879</v>
      </c>
      <c r="AP22" s="93">
        <f>IFERROR(s_C*s_IFON_res_adj*s_CF_onion*0.001*(up_Irr!P22+up_Irr!AN22+up_Irr!BL22),".")</f>
        <v>13821.505926415879</v>
      </c>
      <c r="AQ22" s="93">
        <f>IFERROR(s_C*s_IFPC_res_adj*s_CF_peach*0.001*(up_Irr!Q22+up_Irr!AO22+up_Irr!BM22),".")</f>
        <v>13821.505926415879</v>
      </c>
      <c r="AR22" s="93">
        <f>IFERROR(s_C*s_IFPR_res_adj*s_CF_pear*0.001*(up_Irr!R22+up_Irr!AP22+up_Irr!BN22),".")</f>
        <v>13821.505926415879</v>
      </c>
      <c r="AS22" s="93">
        <f>IFERROR(s_C*s_IFPE_res_adj*s_CF_peas*0.001*(up_Irr!S22+up_Irr!AQ22+up_Irr!BO22),".")</f>
        <v>13821.505926415879</v>
      </c>
      <c r="AT22" s="93">
        <f>IFERROR(s_C*s_IFPT_res_adj*s_CF_potato*0.001*(up_Irr!T22+up_Irr!AR22+up_Irr!BP22),".")</f>
        <v>13821.505926415879</v>
      </c>
      <c r="AU22" s="93">
        <f>IFERROR(s_C*s_IFPU_res_adj*s_CF_pumpkin*0.001*(up_Irr!U22+up_Irr!AS22+up_Irr!BQ22),".")</f>
        <v>13821.505926415879</v>
      </c>
      <c r="AV22" s="93">
        <f>IFERROR(s_C*s_IFSN_res_adj*s_CF_snap_bean*0.001*(up_Irr!V22+up_Irr!AT22+up_Irr!BR22),".")</f>
        <v>13821.505926415879</v>
      </c>
      <c r="AW22" s="93">
        <f>IFERROR(s_C*s_IFST_res_adj*s_CF_strawberry*0.001*(up_Irr!W22+up_Irr!AU22+up_Irr!BS22),".")</f>
        <v>13821.505926415879</v>
      </c>
      <c r="AX22" s="93">
        <f>IFERROR(s_C*s_IFTO_res_adj*s_CF_tomato*0.001*(up_Irr!X22+up_Irr!AV22+up_Irr!BT22),".")</f>
        <v>13821.505926415879</v>
      </c>
      <c r="AY22" s="93">
        <f>IFERROR(s_C*s_IFRI_res_adj*s_CF_rice*0.001*(up_Irr!Y22+up_Irr!AW22+up_Irr!BU22),".")</f>
        <v>13821.505926415879</v>
      </c>
      <c r="AZ22" s="93">
        <f>IFERROR(s_C*s_IFCG_res_adj*s_CF_cereal*0.001*(up_Irr!Z22+up_Irr!AX22+up_Irr!BV22),".")</f>
        <v>13821.505926415879</v>
      </c>
      <c r="BA22" s="76">
        <f t="shared" ref="BA22:BA29" si="12">IFERROR(1/SUM(1/BB22,1/BC22,1/BX22,1/BY22),".")</f>
        <v>1.8087754064641833E-11</v>
      </c>
      <c r="BB22" s="76">
        <f>IFERROR(IF(AND(up_Irr!C22&lt;&gt;".",up_Irr!AA22&lt;&gt;".",up_Irr!AY22&lt;&gt;"."),up_dir!AC22/((1/1000)*(up_Irr!C22+up_Irr!AA22+up_Irr!AY22)),IF(AND(up_Irr!C22&lt;&gt;".",up_Irr!AA22&lt;&gt;".",up_Irr!AY22="."),up_dir!AC22/((1/1000)*(up_Irr!C22+up_Irr!AA22)),IF(AND(up_Irr!C22&lt;&gt;".",up_Irr!AA22=".",up_Irr!AY22&lt;&gt;"."),up_dir!AC22/((1/1000)*(up_Irr!C22+up_Irr!AY22)),IF(AND(up_Irr!C22=".",up_Irr!AA22&lt;&gt;".",up_Irr!AY22&lt;&gt;"."),up_dir!AC22/((1/1000)*(up_Irr!AA22+up_Irr!AY22)),IF(AND(up_Irr!C22=".",up_Irr!AA22=".",up_Irr!AY22&lt;&gt;"."),up_dir!AC22/((1/1000)*(up_Irr!AY22)),IF(AND(up_Irr!C22=".",up_Irr!AA22&lt;&gt;".",up_Irr!AY22="."),up_dir!AC22/((1/1000)*(up_Irr!AA22)),IF(AND(up_Irr!C22&lt;&gt;".",up_Irr!AA22=".",up_Irr!AY22="."),up_dir!AC22/((1/1000)*(up_Irr!C22)),IF(AND(up_Irr!C22=".",up_Irr!AA22=".",up_Irr!AY22="."),up_dir!AC22*1000)))))))),".")</f>
        <v>7.2351016258567334E-11</v>
      </c>
      <c r="BC22" s="76">
        <f>IFERROR(IF(AND(up_Irr!D22&lt;&gt;".",up_Irr!AB22&lt;&gt;".",up_Irr!AZ22&lt;&gt;"."),up_dir!AD22/((1/1000)*(up_Irr!D22+up_Irr!AB22+up_Irr!AZ22)),IF(AND(up_Irr!D22&lt;&gt;".",up_Irr!AB22&lt;&gt;".",up_Irr!AZ22="."),up_dir!AD22/((1/1000)*(up_Irr!D22+up_Irr!AB22)),IF(AND(up_Irr!D22&lt;&gt;".",up_Irr!AB22=".",up_Irr!AZ22&lt;&gt;"."),up_dir!AD22/((1/1000)*(up_Irr!D22+up_Irr!AZ22)),IF(AND(up_Irr!D22=".",up_Irr!AB22&lt;&gt;".",up_Irr!AZ22&lt;&gt;"."),up_dir!AD22/((1/1000)*(up_Irr!AB22+up_Irr!AZ22)),IF(AND(up_Irr!D22=".",up_Irr!AB22=".",up_Irr!AZ22&lt;&gt;"."),up_dir!AD22/((1/1000)*(up_Irr!AZ22)),IF(AND(up_Irr!D22=".",up_Irr!AB22&lt;&gt;".",up_Irr!AZ22="."),up_dir!AD22/((1/1000)*(up_Irr!AB22)),IF(AND(up_Irr!D22&lt;&gt;".",up_Irr!AB22=".",up_Irr!AZ22="."),up_dir!AD22/((1/1000)*(up_Irr!D22)),IF(AND(up_Irr!D22=".",up_Irr!AB22=".",up_Irr!AZ22="."),up_dir!AD22*1000)))))))),".")</f>
        <v>7.2351016258567334E-11</v>
      </c>
      <c r="BD22" s="76">
        <f>IFERROR(IF(AND(up_Irr!E22&lt;&gt;".",up_Irr!AC22&lt;&gt;".",up_Irr!BA22&lt;&gt;"."),up_dir!AE22/((1/1000)*(up_Irr!E22+up_Irr!AC22+up_Irr!BA22)),IF(AND(up_Irr!E22&lt;&gt;".",up_Irr!AC22&lt;&gt;".",up_Irr!BA22="."),up_dir!AE22/((1/1000)*(up_Irr!E22+up_Irr!AC22)),IF(AND(up_Irr!E22&lt;&gt;".",up_Irr!AC22=".",up_Irr!BA22&lt;&gt;"."),up_dir!AE22/((1/1000)*(up_Irr!E22+up_Irr!BA22)),IF(AND(up_Irr!E22=".",up_Irr!AC22&lt;&gt;".",up_Irr!BA22&lt;&gt;"."),up_dir!AE22/((1/1000)*(up_Irr!AC22+up_Irr!BA22)),IF(AND(up_Irr!E22=".",up_Irr!AC22=".",up_Irr!BA22&lt;&gt;"."),up_dir!AE22/((1/1000)*(up_Irr!BA22)),IF(AND(up_Irr!E22=".",up_Irr!AC22&lt;&gt;".",up_Irr!BA22="."),up_dir!AE22/((1/1000)*(up_Irr!AC22)),IF(AND(up_Irr!E22&lt;&gt;".",up_Irr!AC22=".",up_Irr!BA22="."),up_dir!AE22/((1/1000)*(up_Irr!E22)),IF(AND(up_Irr!E22=".",up_Irr!AC22=".",up_Irr!BA22="."),up_dir!AE22*1000)))))))),".")</f>
        <v>7.2351016258567334E-11</v>
      </c>
      <c r="BE22" s="76">
        <f>IFERROR(IF(AND(up_Irr!F22&lt;&gt;".",up_Irr!AD22&lt;&gt;".",up_Irr!BB22&lt;&gt;"."),up_dir!AF22/((1/1000)*(up_Irr!F22+up_Irr!AD22+up_Irr!BB22)),IF(AND(up_Irr!F22&lt;&gt;".",up_Irr!AD22&lt;&gt;".",up_Irr!BB22="."),up_dir!AF22/((1/1000)*(up_Irr!F22+up_Irr!AD22)),IF(AND(up_Irr!F22&lt;&gt;".",up_Irr!AD22=".",up_Irr!BB22&lt;&gt;"."),up_dir!AF22/((1/1000)*(up_Irr!F22+up_Irr!BB22)),IF(AND(up_Irr!F22=".",up_Irr!AD22&lt;&gt;".",up_Irr!BB22&lt;&gt;"."),up_dir!AF22/((1/1000)*(up_Irr!AD22+up_Irr!BB22)),IF(AND(up_Irr!F22=".",up_Irr!AD22=".",up_Irr!BB22&lt;&gt;"."),up_dir!AF22/((1/1000)*(up_Irr!BB22)),IF(AND(up_Irr!F22=".",up_Irr!AD22&lt;&gt;".",up_Irr!BB22="."),up_dir!AF22/((1/1000)*(up_Irr!AD22)),IF(AND(up_Irr!F22&lt;&gt;".",up_Irr!AD22=".",up_Irr!BB22="."),up_dir!AF22/((1/1000)*(up_Irr!F22)),IF(AND(up_Irr!F22=".",up_Irr!AD22=".",up_Irr!BB22="."),up_dir!AF22*1000)))))))),".")</f>
        <v>7.2351016258567334E-11</v>
      </c>
      <c r="BF22" s="76">
        <f>IFERROR(IF(AND(up_Irr!G22&lt;&gt;".",up_Irr!AE22&lt;&gt;".",up_Irr!BC22&lt;&gt;"."),up_dir!AG22/((1/1000)*(up_Irr!G22+up_Irr!AE22+up_Irr!BC22)),IF(AND(up_Irr!G22&lt;&gt;".",up_Irr!AE22&lt;&gt;".",up_Irr!BC22="."),up_dir!AG22/((1/1000)*(up_Irr!G22+up_Irr!AE22)),IF(AND(up_Irr!G22&lt;&gt;".",up_Irr!AE22=".",up_Irr!BC22&lt;&gt;"."),up_dir!AG22/((1/1000)*(up_Irr!G22+up_Irr!BC22)),IF(AND(up_Irr!G22=".",up_Irr!AE22&lt;&gt;".",up_Irr!BC22&lt;&gt;"."),up_dir!AG22/((1/1000)*(up_Irr!AE22+up_Irr!BC22)),IF(AND(up_Irr!G22=".",up_Irr!AE22=".",up_Irr!BC22&lt;&gt;"."),up_dir!AG22/((1/1000)*(up_Irr!BC22)),IF(AND(up_Irr!G22=".",up_Irr!AE22&lt;&gt;".",up_Irr!BC22="."),up_dir!AG22/((1/1000)*(up_Irr!AE22)),IF(AND(up_Irr!G22&lt;&gt;".",up_Irr!AE22=".",up_Irr!BC22="."),up_dir!AG22/((1/1000)*(up_Irr!G22)),IF(AND(up_Irr!G22=".",up_Irr!AE22=".",up_Irr!BC22="."),up_dir!AG22*1000)))))))),".")</f>
        <v>7.2351016258567334E-11</v>
      </c>
      <c r="BG22" s="76">
        <f>IFERROR(IF(AND(up_Irr!H22&lt;&gt;".",up_Irr!AF22&lt;&gt;".",up_Irr!BD22&lt;&gt;"."),up_dir!AH22/((1/1000)*(up_Irr!H22+up_Irr!AF22+up_Irr!BD22)),IF(AND(up_Irr!H22&lt;&gt;".",up_Irr!AF22&lt;&gt;".",up_Irr!BD22="."),up_dir!AH22/((1/1000)*(up_Irr!H22+up_Irr!AF22)),IF(AND(up_Irr!H22&lt;&gt;".",up_Irr!AF22=".",up_Irr!BD22&lt;&gt;"."),up_dir!AH22/((1/1000)*(up_Irr!H22+up_Irr!BD22)),IF(AND(up_Irr!H22=".",up_Irr!AF22&lt;&gt;".",up_Irr!BD22&lt;&gt;"."),up_dir!AH22/((1/1000)*(up_Irr!AF22+up_Irr!BD22)),IF(AND(up_Irr!H22=".",up_Irr!AF22=".",up_Irr!BD22&lt;&gt;"."),up_dir!AH22/((1/1000)*(up_Irr!BD22)),IF(AND(up_Irr!H22=".",up_Irr!AF22&lt;&gt;".",up_Irr!BD22="."),up_dir!AH22/((1/1000)*(up_Irr!AF22)),IF(AND(up_Irr!H22&lt;&gt;".",up_Irr!AF22=".",up_Irr!BD22="."),up_dir!AH22/((1/1000)*(up_Irr!H22)),IF(AND(up_Irr!H22=".",up_Irr!AF22=".",up_Irr!BD22="."),up_dir!AH22*1000)))))))),".")</f>
        <v>7.2351016258567334E-11</v>
      </c>
      <c r="BH22" s="76">
        <f>IFERROR(IF(AND(up_Irr!I22&lt;&gt;".",up_Irr!AG22&lt;&gt;".",up_Irr!BE22&lt;&gt;"."),up_dir!AI22/((1/1000)*(up_Irr!I22+up_Irr!AG22+up_Irr!BE22)),IF(AND(up_Irr!I22&lt;&gt;".",up_Irr!AG22&lt;&gt;".",up_Irr!BE22="."),up_dir!AI22/((1/1000)*(up_Irr!I22+up_Irr!AG22)),IF(AND(up_Irr!I22&lt;&gt;".",up_Irr!AG22=".",up_Irr!BE22&lt;&gt;"."),up_dir!AI22/((1/1000)*(up_Irr!I22+up_Irr!BE22)),IF(AND(up_Irr!I22=".",up_Irr!AG22&lt;&gt;".",up_Irr!BE22&lt;&gt;"."),up_dir!AI22/((1/1000)*(up_Irr!AG22+up_Irr!BE22)),IF(AND(up_Irr!I22=".",up_Irr!AG22=".",up_Irr!BE22&lt;&gt;"."),up_dir!AI22/((1/1000)*(up_Irr!BE22)),IF(AND(up_Irr!I22=".",up_Irr!AG22&lt;&gt;".",up_Irr!BE22="."),up_dir!AI22/((1/1000)*(up_Irr!AG22)),IF(AND(up_Irr!I22&lt;&gt;".",up_Irr!AG22=".",up_Irr!BE22="."),up_dir!AI22/((1/1000)*(up_Irr!I22)),IF(AND(up_Irr!I22=".",up_Irr!AG22=".",up_Irr!BE22="."),up_dir!AI22*1000)))))))),".")</f>
        <v>7.2351016258567334E-11</v>
      </c>
      <c r="BI22" s="76">
        <f>IFERROR(IF(AND(up_Irr!J22&lt;&gt;".",up_Irr!AH22&lt;&gt;".",up_Irr!BF22&lt;&gt;"."),up_dir!AJ22/((1/1000)*(up_Irr!J22+up_Irr!AH22+up_Irr!BF22)),IF(AND(up_Irr!J22&lt;&gt;".",up_Irr!AH22&lt;&gt;".",up_Irr!BF22="."),up_dir!AJ22/((1/1000)*(up_Irr!J22+up_Irr!AH22)),IF(AND(up_Irr!J22&lt;&gt;".",up_Irr!AH22=".",up_Irr!BF22&lt;&gt;"."),up_dir!AJ22/((1/1000)*(up_Irr!J22+up_Irr!BF22)),IF(AND(up_Irr!J22=".",up_Irr!AH22&lt;&gt;".",up_Irr!BF22&lt;&gt;"."),up_dir!AJ22/((1/1000)*(up_Irr!AH22+up_Irr!BF22)),IF(AND(up_Irr!J22=".",up_Irr!AH22=".",up_Irr!BF22&lt;&gt;"."),up_dir!AJ22/((1/1000)*(up_Irr!BF22)),IF(AND(up_Irr!J22=".",up_Irr!AH22&lt;&gt;".",up_Irr!BF22="."),up_dir!AJ22/((1/1000)*(up_Irr!AH22)),IF(AND(up_Irr!J22&lt;&gt;".",up_Irr!AH22=".",up_Irr!BF22="."),up_dir!AJ22/((1/1000)*(up_Irr!J22)),IF(AND(up_Irr!J22=".",up_Irr!AH22=".",up_Irr!BF22="."),up_dir!AJ22*1000)))))))),".")</f>
        <v>7.2351016258567334E-11</v>
      </c>
      <c r="BJ22" s="76">
        <f>IFERROR(IF(AND(up_Irr!K22&lt;&gt;".",up_Irr!AI22&lt;&gt;".",up_Irr!BG22&lt;&gt;"."),up_dir!AK22/((1/1000)*(up_Irr!K22+up_Irr!AI22+up_Irr!BG22)),IF(AND(up_Irr!K22&lt;&gt;".",up_Irr!AI22&lt;&gt;".",up_Irr!BG22="."),up_dir!AK22/((1/1000)*(up_Irr!K22+up_Irr!AI22)),IF(AND(up_Irr!K22&lt;&gt;".",up_Irr!AI22=".",up_Irr!BG22&lt;&gt;"."),up_dir!AK22/((1/1000)*(up_Irr!K22+up_Irr!BG22)),IF(AND(up_Irr!K22=".",up_Irr!AI22&lt;&gt;".",up_Irr!BG22&lt;&gt;"."),up_dir!AK22/((1/1000)*(up_Irr!AI22+up_Irr!BG22)),IF(AND(up_Irr!K22=".",up_Irr!AI22=".",up_Irr!BG22&lt;&gt;"."),up_dir!AK22/((1/1000)*(up_Irr!BG22)),IF(AND(up_Irr!K22=".",up_Irr!AI22&lt;&gt;".",up_Irr!BG22="."),up_dir!AK22/((1/1000)*(up_Irr!AI22)),IF(AND(up_Irr!K22&lt;&gt;".",up_Irr!AI22=".",up_Irr!BG22="."),up_dir!AK22/((1/1000)*(up_Irr!K22)),IF(AND(up_Irr!K22=".",up_Irr!AI22=".",up_Irr!BG22="."),up_dir!AK22*1000)))))))),".")</f>
        <v>7.2351016258567334E-11</v>
      </c>
      <c r="BK22" s="76">
        <f>IFERROR(IF(AND(up_Irr!L22&lt;&gt;".",up_Irr!AJ22&lt;&gt;".",up_Irr!BH22&lt;&gt;"."),up_dir!AL22/((1/1000)*(up_Irr!L22+up_Irr!AJ22+up_Irr!BH22)),IF(AND(up_Irr!L22&lt;&gt;".",up_Irr!AJ22&lt;&gt;".",up_Irr!BH22="."),up_dir!AL22/((1/1000)*(up_Irr!L22+up_Irr!AJ22)),IF(AND(up_Irr!L22&lt;&gt;".",up_Irr!AJ22=".",up_Irr!BH22&lt;&gt;"."),up_dir!AL22/((1/1000)*(up_Irr!L22+up_Irr!BH22)),IF(AND(up_Irr!L22=".",up_Irr!AJ22&lt;&gt;".",up_Irr!BH22&lt;&gt;"."),up_dir!AL22/((1/1000)*(up_Irr!AJ22+up_Irr!BH22)),IF(AND(up_Irr!L22=".",up_Irr!AJ22=".",up_Irr!BH22&lt;&gt;"."),up_dir!AL22/((1/1000)*(up_Irr!BH22)),IF(AND(up_Irr!L22=".",up_Irr!AJ22&lt;&gt;".",up_Irr!BH22="."),up_dir!AL22/((1/1000)*(up_Irr!AJ22)),IF(AND(up_Irr!L22&lt;&gt;".",up_Irr!AJ22=".",up_Irr!BH22="."),up_dir!AL22/((1/1000)*(up_Irr!L22)),IF(AND(up_Irr!L22=".",up_Irr!AJ22=".",up_Irr!BH22="."),up_dir!AL22*1000)))))))),".")</f>
        <v>7.2351016258567334E-11</v>
      </c>
      <c r="BL22" s="76">
        <f>IFERROR(IF(AND(up_Irr!M22&lt;&gt;".",up_Irr!AK22&lt;&gt;".",up_Irr!BI22&lt;&gt;"."),up_dir!AM22/((1/1000)*(up_Irr!M22+up_Irr!AK22+up_Irr!BI22)),IF(AND(up_Irr!M22&lt;&gt;".",up_Irr!AK22&lt;&gt;".",up_Irr!BI22="."),up_dir!AM22/((1/1000)*(up_Irr!M22+up_Irr!AK22)),IF(AND(up_Irr!M22&lt;&gt;".",up_Irr!AK22=".",up_Irr!BI22&lt;&gt;"."),up_dir!AM22/((1/1000)*(up_Irr!M22+up_Irr!BI22)),IF(AND(up_Irr!M22=".",up_Irr!AK22&lt;&gt;".",up_Irr!BI22&lt;&gt;"."),up_dir!AM22/((1/1000)*(up_Irr!AK22+up_Irr!BI22)),IF(AND(up_Irr!M22=".",up_Irr!AK22=".",up_Irr!BI22&lt;&gt;"."),up_dir!AM22/((1/1000)*(up_Irr!BI22)),IF(AND(up_Irr!M22=".",up_Irr!AK22&lt;&gt;".",up_Irr!BI22="."),up_dir!AM22/((1/1000)*(up_Irr!AK22)),IF(AND(up_Irr!M22&lt;&gt;".",up_Irr!AK22=".",up_Irr!BI22="."),up_dir!AM22/((1/1000)*(up_Irr!M22)),IF(AND(up_Irr!M22=".",up_Irr!AK22=".",up_Irr!BI22="."),up_dir!AM22*1000)))))))),".")</f>
        <v>7.2351016258567334E-11</v>
      </c>
      <c r="BM22" s="76">
        <f>IFERROR(IF(AND(up_Irr!N22&lt;&gt;".",up_Irr!AL22&lt;&gt;".",up_Irr!BJ22&lt;&gt;"."),up_dir!AN22/((1/1000)*(up_Irr!N22+up_Irr!AL22+up_Irr!BJ22)),IF(AND(up_Irr!N22&lt;&gt;".",up_Irr!AL22&lt;&gt;".",up_Irr!BJ22="."),up_dir!AN22/((1/1000)*(up_Irr!N22+up_Irr!AL22)),IF(AND(up_Irr!N22&lt;&gt;".",up_Irr!AL22=".",up_Irr!BJ22&lt;&gt;"."),up_dir!AN22/((1/1000)*(up_Irr!N22+up_Irr!BJ22)),IF(AND(up_Irr!N22=".",up_Irr!AL22&lt;&gt;".",up_Irr!BJ22&lt;&gt;"."),up_dir!AN22/((1/1000)*(up_Irr!AL22+up_Irr!BJ22)),IF(AND(up_Irr!N22=".",up_Irr!AL22=".",up_Irr!BJ22&lt;&gt;"."),up_dir!AN22/((1/1000)*(up_Irr!BJ22)),IF(AND(up_Irr!N22=".",up_Irr!AL22&lt;&gt;".",up_Irr!BJ22="."),up_dir!AN22/((1/1000)*(up_Irr!AL22)),IF(AND(up_Irr!N22&lt;&gt;".",up_Irr!AL22=".",up_Irr!BJ22="."),up_dir!AN22/((1/1000)*(up_Irr!N22)),IF(AND(up_Irr!N22=".",up_Irr!AL22=".",up_Irr!BJ22="."),up_dir!AN22*1000)))))))),".")</f>
        <v>7.2351016258567334E-11</v>
      </c>
      <c r="BN22" s="76">
        <f>IFERROR(IF(AND(up_Irr!O22&lt;&gt;".",up_Irr!AM22&lt;&gt;".",up_Irr!BK22&lt;&gt;"."),up_dir!AO22/((1/1000)*(up_Irr!O22+up_Irr!AM22+up_Irr!BK22)),IF(AND(up_Irr!O22&lt;&gt;".",up_Irr!AM22&lt;&gt;".",up_Irr!BK22="."),up_dir!AO22/((1/1000)*(up_Irr!O22+up_Irr!AM22)),IF(AND(up_Irr!O22&lt;&gt;".",up_Irr!AM22=".",up_Irr!BK22&lt;&gt;"."),up_dir!AO22/((1/1000)*(up_Irr!O22+up_Irr!BK22)),IF(AND(up_Irr!O22=".",up_Irr!AM22&lt;&gt;".",up_Irr!BK22&lt;&gt;"."),up_dir!AO22/((1/1000)*(up_Irr!AM22+up_Irr!BK22)),IF(AND(up_Irr!O22=".",up_Irr!AM22=".",up_Irr!BK22&lt;&gt;"."),up_dir!AO22/((1/1000)*(up_Irr!BK22)),IF(AND(up_Irr!O22=".",up_Irr!AM22&lt;&gt;".",up_Irr!BK22="."),up_dir!AO22/((1/1000)*(up_Irr!AM22)),IF(AND(up_Irr!O22&lt;&gt;".",up_Irr!AM22=".",up_Irr!BK22="."),up_dir!AO22/((1/1000)*(up_Irr!O22)),IF(AND(up_Irr!O22=".",up_Irr!AM22=".",up_Irr!BK22="."),up_dir!AO22*1000)))))))),".")</f>
        <v>7.2351016258567334E-11</v>
      </c>
      <c r="BO22" s="76">
        <f>IFERROR(IF(AND(up_Irr!P22&lt;&gt;".",up_Irr!AN22&lt;&gt;".",up_Irr!BL22&lt;&gt;"."),up_dir!AP22/((1/1000)*(up_Irr!P22+up_Irr!AN22+up_Irr!BL22)),IF(AND(up_Irr!P22&lt;&gt;".",up_Irr!AN22&lt;&gt;".",up_Irr!BL22="."),up_dir!AP22/((1/1000)*(up_Irr!P22+up_Irr!AN22)),IF(AND(up_Irr!P22&lt;&gt;".",up_Irr!AN22=".",up_Irr!BL22&lt;&gt;"."),up_dir!AP22/((1/1000)*(up_Irr!P22+up_Irr!BL22)),IF(AND(up_Irr!P22=".",up_Irr!AN22&lt;&gt;".",up_Irr!BL22&lt;&gt;"."),up_dir!AP22/((1/1000)*(up_Irr!AN22+up_Irr!BL22)),IF(AND(up_Irr!P22=".",up_Irr!AN22=".",up_Irr!BL22&lt;&gt;"."),up_dir!AP22/((1/1000)*(up_Irr!BL22)),IF(AND(up_Irr!P22=".",up_Irr!AN22&lt;&gt;".",up_Irr!BL22="."),up_dir!AP22/((1/1000)*(up_Irr!AN22)),IF(AND(up_Irr!P22&lt;&gt;".",up_Irr!AN22=".",up_Irr!BL22="."),up_dir!AP22/((1/1000)*(up_Irr!P22)),IF(AND(up_Irr!P22=".",up_Irr!AN22=".",up_Irr!BL22="."),up_dir!AP22*1000)))))))),".")</f>
        <v>7.2351016258567334E-11</v>
      </c>
      <c r="BP22" s="76">
        <f>IFERROR(IF(AND(up_Irr!Q22&lt;&gt;".",up_Irr!AO22&lt;&gt;".",up_Irr!BM22&lt;&gt;"."),up_dir!AQ22/((1/1000)*(up_Irr!Q22+up_Irr!AO22+up_Irr!BM22)),IF(AND(up_Irr!Q22&lt;&gt;".",up_Irr!AO22&lt;&gt;".",up_Irr!BM22="."),up_dir!AQ22/((1/1000)*(up_Irr!Q22+up_Irr!AO22)),IF(AND(up_Irr!Q22&lt;&gt;".",up_Irr!AO22=".",up_Irr!BM22&lt;&gt;"."),up_dir!AQ22/((1/1000)*(up_Irr!Q22+up_Irr!BM22)),IF(AND(up_Irr!Q22=".",up_Irr!AO22&lt;&gt;".",up_Irr!BM22&lt;&gt;"."),up_dir!AQ22/((1/1000)*(up_Irr!AO22+up_Irr!BM22)),IF(AND(up_Irr!Q22=".",up_Irr!AO22=".",up_Irr!BM22&lt;&gt;"."),up_dir!AQ22/((1/1000)*(up_Irr!BM22)),IF(AND(up_Irr!Q22=".",up_Irr!AO22&lt;&gt;".",up_Irr!BM22="."),up_dir!AQ22/((1/1000)*(up_Irr!AO22)),IF(AND(up_Irr!Q22&lt;&gt;".",up_Irr!AO22=".",up_Irr!BM22="."),up_dir!AQ22/((1/1000)*(up_Irr!Q22)),IF(AND(up_Irr!Q22=".",up_Irr!AO22=".",up_Irr!BM22="."),up_dir!AQ22*1000)))))))),".")</f>
        <v>7.2351016258567334E-11</v>
      </c>
      <c r="BQ22" s="76">
        <f>IFERROR(IF(AND(up_Irr!R22&lt;&gt;".",up_Irr!AP22&lt;&gt;".",up_Irr!BN22&lt;&gt;"."),up_dir!AR22/((1/1000)*(up_Irr!R22+up_Irr!AP22+up_Irr!BN22)),IF(AND(up_Irr!R22&lt;&gt;".",up_Irr!AP22&lt;&gt;".",up_Irr!BN22="."),up_dir!AR22/((1/1000)*(up_Irr!R22+up_Irr!AP22)),IF(AND(up_Irr!R22&lt;&gt;".",up_Irr!AP22=".",up_Irr!BN22&lt;&gt;"."),up_dir!AR22/((1/1000)*(up_Irr!R22+up_Irr!BN22)),IF(AND(up_Irr!R22=".",up_Irr!AP22&lt;&gt;".",up_Irr!BN22&lt;&gt;"."),up_dir!AR22/((1/1000)*(up_Irr!AP22+up_Irr!BN22)),IF(AND(up_Irr!R22=".",up_Irr!AP22=".",up_Irr!BN22&lt;&gt;"."),up_dir!AR22/((1/1000)*(up_Irr!BN22)),IF(AND(up_Irr!R22=".",up_Irr!AP22&lt;&gt;".",up_Irr!BN22="."),up_dir!AR22/((1/1000)*(up_Irr!AP22)),IF(AND(up_Irr!R22&lt;&gt;".",up_Irr!AP22=".",up_Irr!BN22="."),up_dir!AR22/((1/1000)*(up_Irr!R22)),IF(AND(up_Irr!R22=".",up_Irr!AP22=".",up_Irr!BN22="."),up_dir!AR22*1000)))))))),".")</f>
        <v>7.2351016258567334E-11</v>
      </c>
      <c r="BR22" s="76">
        <f>IFERROR(IF(AND(up_Irr!S22&lt;&gt;".",up_Irr!AQ22&lt;&gt;".",up_Irr!BO22&lt;&gt;"."),up_dir!AS22/((1/1000)*(up_Irr!S22+up_Irr!AQ22+up_Irr!BO22)),IF(AND(up_Irr!S22&lt;&gt;".",up_Irr!AQ22&lt;&gt;".",up_Irr!BO22="."),up_dir!AS22/((1/1000)*(up_Irr!S22+up_Irr!AQ22)),IF(AND(up_Irr!S22&lt;&gt;".",up_Irr!AQ22=".",up_Irr!BO22&lt;&gt;"."),up_dir!AS22/((1/1000)*(up_Irr!S22+up_Irr!BO22)),IF(AND(up_Irr!S22=".",up_Irr!AQ22&lt;&gt;".",up_Irr!BO22&lt;&gt;"."),up_dir!AS22/((1/1000)*(up_Irr!AQ22+up_Irr!BO22)),IF(AND(up_Irr!S22=".",up_Irr!AQ22=".",up_Irr!BO22&lt;&gt;"."),up_dir!AS22/((1/1000)*(up_Irr!BO22)),IF(AND(up_Irr!S22=".",up_Irr!AQ22&lt;&gt;".",up_Irr!BO22="."),up_dir!AS22/((1/1000)*(up_Irr!AQ22)),IF(AND(up_Irr!S22&lt;&gt;".",up_Irr!AQ22=".",up_Irr!BO22="."),up_dir!AS22/((1/1000)*(up_Irr!S22)),IF(AND(up_Irr!S22=".",up_Irr!AQ22=".",up_Irr!BO22="."),up_dir!AS22*1000)))))))),".")</f>
        <v>7.2351016258567334E-11</v>
      </c>
      <c r="BS22" s="76">
        <f>IFERROR(IF(AND(up_Irr!T22&lt;&gt;".",up_Irr!AR22&lt;&gt;".",up_Irr!BP22&lt;&gt;"."),up_dir!AT22/((1/1000)*(up_Irr!T22+up_Irr!AR22+up_Irr!BP22)),IF(AND(up_Irr!T22&lt;&gt;".",up_Irr!AR22&lt;&gt;".",up_Irr!BP22="."),up_dir!AT22/((1/1000)*(up_Irr!T22+up_Irr!AR22)),IF(AND(up_Irr!T22&lt;&gt;".",up_Irr!AR22=".",up_Irr!BP22&lt;&gt;"."),up_dir!AT22/((1/1000)*(up_Irr!T22+up_Irr!BP22)),IF(AND(up_Irr!T22=".",up_Irr!AR22&lt;&gt;".",up_Irr!BP22&lt;&gt;"."),up_dir!AT22/((1/1000)*(up_Irr!AR22+up_Irr!BP22)),IF(AND(up_Irr!T22=".",up_Irr!AR22=".",up_Irr!BP22&lt;&gt;"."),up_dir!AT22/((1/1000)*(up_Irr!BP22)),IF(AND(up_Irr!T22=".",up_Irr!AR22&lt;&gt;".",up_Irr!BP22="."),up_dir!AT22/((1/1000)*(up_Irr!AR22)),IF(AND(up_Irr!T22&lt;&gt;".",up_Irr!AR22=".",up_Irr!BP22="."),up_dir!AT22/((1/1000)*(up_Irr!T22)),IF(AND(up_Irr!T22=".",up_Irr!AR22=".",up_Irr!BP22="."),up_dir!AT22*1000)))))))),".")</f>
        <v>7.2351016258567334E-11</v>
      </c>
      <c r="BT22" s="76">
        <f>IFERROR(IF(AND(up_Irr!U22&lt;&gt;".",up_Irr!AS22&lt;&gt;".",up_Irr!BQ22&lt;&gt;"."),up_dir!AU22/((1/1000)*(up_Irr!U22+up_Irr!AS22+up_Irr!BQ22)),IF(AND(up_Irr!U22&lt;&gt;".",up_Irr!AS22&lt;&gt;".",up_Irr!BQ22="."),up_dir!AU22/((1/1000)*(up_Irr!U22+up_Irr!AS22)),IF(AND(up_Irr!U22&lt;&gt;".",up_Irr!AS22=".",up_Irr!BQ22&lt;&gt;"."),up_dir!AU22/((1/1000)*(up_Irr!U22+up_Irr!BQ22)),IF(AND(up_Irr!U22=".",up_Irr!AS22&lt;&gt;".",up_Irr!BQ22&lt;&gt;"."),up_dir!AU22/((1/1000)*(up_Irr!AS22+up_Irr!BQ22)),IF(AND(up_Irr!U22=".",up_Irr!AS22=".",up_Irr!BQ22&lt;&gt;"."),up_dir!AU22/((1/1000)*(up_Irr!BQ22)),IF(AND(up_Irr!U22=".",up_Irr!AS22&lt;&gt;".",up_Irr!BQ22="."),up_dir!AU22/((1/1000)*(up_Irr!AS22)),IF(AND(up_Irr!U22&lt;&gt;".",up_Irr!AS22=".",up_Irr!BQ22="."),up_dir!AU22/((1/1000)*(up_Irr!U22)),IF(AND(up_Irr!U22=".",up_Irr!AS22=".",up_Irr!BQ22="."),up_dir!AU22*1000)))))))),".")</f>
        <v>7.2351016258567334E-11</v>
      </c>
      <c r="BU22" s="76">
        <f>IFERROR(IF(AND(up_Irr!V22&lt;&gt;".",up_Irr!AT22&lt;&gt;".",up_Irr!BR22&lt;&gt;"."),up_dir!AV22/((1/1000)*(up_Irr!V22+up_Irr!AT22+up_Irr!BR22)),IF(AND(up_Irr!V22&lt;&gt;".",up_Irr!AT22&lt;&gt;".",up_Irr!BR22="."),up_dir!AV22/((1/1000)*(up_Irr!V22+up_Irr!AT22)),IF(AND(up_Irr!V22&lt;&gt;".",up_Irr!AT22=".",up_Irr!BR22&lt;&gt;"."),up_dir!AV22/((1/1000)*(up_Irr!V22+up_Irr!BR22)),IF(AND(up_Irr!V22=".",up_Irr!AT22&lt;&gt;".",up_Irr!BR22&lt;&gt;"."),up_dir!AV22/((1/1000)*(up_Irr!AT22+up_Irr!BR22)),IF(AND(up_Irr!V22=".",up_Irr!AT22=".",up_Irr!BR22&lt;&gt;"."),up_dir!AV22/((1/1000)*(up_Irr!BR22)),IF(AND(up_Irr!V22=".",up_Irr!AT22&lt;&gt;".",up_Irr!BR22="."),up_dir!AV22/((1/1000)*(up_Irr!AT22)),IF(AND(up_Irr!V22&lt;&gt;".",up_Irr!AT22=".",up_Irr!BR22="."),up_dir!AV22/((1/1000)*(up_Irr!V22)),IF(AND(up_Irr!V22=".",up_Irr!AT22=".",up_Irr!BR22="."),up_dir!AV22*1000)))))))),".")</f>
        <v>7.2351016258567334E-11</v>
      </c>
      <c r="BV22" s="76">
        <f>IFERROR(IF(AND(up_Irr!W22&lt;&gt;".",up_Irr!AU22&lt;&gt;".",up_Irr!BS22&lt;&gt;"."),up_dir!AW22/((1/1000)*(up_Irr!W22+up_Irr!AU22+up_Irr!BS22)),IF(AND(up_Irr!W22&lt;&gt;".",up_Irr!AU22&lt;&gt;".",up_Irr!BS22="."),up_dir!AW22/((1/1000)*(up_Irr!W22+up_Irr!AU22)),IF(AND(up_Irr!W22&lt;&gt;".",up_Irr!AU22=".",up_Irr!BS22&lt;&gt;"."),up_dir!AW22/((1/1000)*(up_Irr!W22+up_Irr!BS22)),IF(AND(up_Irr!W22=".",up_Irr!AU22&lt;&gt;".",up_Irr!BS22&lt;&gt;"."),up_dir!AW22/((1/1000)*(up_Irr!AU22+up_Irr!BS22)),IF(AND(up_Irr!W22=".",up_Irr!AU22=".",up_Irr!BS22&lt;&gt;"."),up_dir!AW22/((1/1000)*(up_Irr!BS22)),IF(AND(up_Irr!W22=".",up_Irr!AU22&lt;&gt;".",up_Irr!BS22="."),up_dir!AW22/((1/1000)*(up_Irr!AU22)),IF(AND(up_Irr!W22&lt;&gt;".",up_Irr!AU22=".",up_Irr!BS22="."),up_dir!AW22/((1/1000)*(up_Irr!W22)),IF(AND(up_Irr!W22=".",up_Irr!AU22=".",up_Irr!BS22="."),up_dir!AW22*1000)))))))),".")</f>
        <v>7.2351016258567334E-11</v>
      </c>
      <c r="BW22" s="76">
        <f>IFERROR(IF(AND(up_Irr!X22&lt;&gt;".",up_Irr!AV22&lt;&gt;".",up_Irr!BT22&lt;&gt;"."),up_dir!AX22/((1/1000)*(up_Irr!X22+up_Irr!AV22+up_Irr!BT22)),IF(AND(up_Irr!X22&lt;&gt;".",up_Irr!AV22&lt;&gt;".",up_Irr!BT22="."),up_dir!AX22/((1/1000)*(up_Irr!X22+up_Irr!AV22)),IF(AND(up_Irr!X22&lt;&gt;".",up_Irr!AV22=".",up_Irr!BT22&lt;&gt;"."),up_dir!AX22/((1/1000)*(up_Irr!X22+up_Irr!BT22)),IF(AND(up_Irr!X22=".",up_Irr!AV22&lt;&gt;".",up_Irr!BT22&lt;&gt;"."),up_dir!AX22/((1/1000)*(up_Irr!AV22+up_Irr!BT22)),IF(AND(up_Irr!X22=".",up_Irr!AV22=".",up_Irr!BT22&lt;&gt;"."),up_dir!AX22/((1/1000)*(up_Irr!BT22)),IF(AND(up_Irr!X22=".",up_Irr!AV22&lt;&gt;".",up_Irr!BT22="."),up_dir!AX22/((1/1000)*(up_Irr!AV22)),IF(AND(up_Irr!X22&lt;&gt;".",up_Irr!AV22=".",up_Irr!BT22="."),up_dir!AX22/((1/1000)*(up_Irr!X22)),IF(AND(up_Irr!X22=".",up_Irr!AV22=".",up_Irr!BT22="."),up_dir!AX22*1000)))))))),".")</f>
        <v>7.2351016258567334E-11</v>
      </c>
      <c r="BX22" s="76">
        <f>IFERROR(IF(AND(up_Irr!Y22&lt;&gt;".",up_Irr!AW22&lt;&gt;".",up_Irr!BU22&lt;&gt;"."),up_dir!AY22/((1/1000)*(up_Irr!Y22+up_Irr!AW22+up_Irr!BU22)),IF(AND(up_Irr!Y22&lt;&gt;".",up_Irr!AW22&lt;&gt;".",up_Irr!BU22="."),up_dir!AY22/((1/1000)*(up_Irr!Y22+up_Irr!AW22)),IF(AND(up_Irr!Y22&lt;&gt;".",up_Irr!AW22=".",up_Irr!BU22&lt;&gt;"."),up_dir!AY22/((1/1000)*(up_Irr!Y22+up_Irr!BU22)),IF(AND(up_Irr!Y22=".",up_Irr!AW22&lt;&gt;".",up_Irr!BU22&lt;&gt;"."),up_dir!AY22/((1/1000)*(up_Irr!AW22+up_Irr!BU22)),IF(AND(up_Irr!Y22=".",up_Irr!AW22=".",up_Irr!BU22&lt;&gt;"."),up_dir!AY22/((1/1000)*(up_Irr!BU22)),IF(AND(up_Irr!Y22=".",up_Irr!AW22&lt;&gt;".",up_Irr!BU22="."),up_dir!AY22/((1/1000)*(up_Irr!AW22)),IF(AND(up_Irr!Y22&lt;&gt;".",up_Irr!AW22=".",up_Irr!BU22="."),up_dir!AY22/((1/1000)*(up_Irr!Y22)),IF(AND(up_Irr!Y22=".",up_Irr!AW22=".",up_Irr!BU22="."),up_dir!AY22*1000)))))))),".")</f>
        <v>7.2351016258567334E-11</v>
      </c>
      <c r="BY22" s="76">
        <f>IFERROR(IF(AND(up_Irr!Z22&lt;&gt;".",up_Irr!AX22&lt;&gt;".",up_Irr!BV22&lt;&gt;"."),up_dir!AZ22/((1/1000)*(up_Irr!Z22+up_Irr!AX22+up_Irr!BV22)),IF(AND(up_Irr!Z22&lt;&gt;".",up_Irr!AX22&lt;&gt;".",up_Irr!BV22="."),up_dir!AZ22/((1/1000)*(up_Irr!Z22+up_Irr!AX22)),IF(AND(up_Irr!Z22&lt;&gt;".",up_Irr!AX22=".",up_Irr!BV22&lt;&gt;"."),up_dir!AZ22/((1/1000)*(up_Irr!Z22+up_Irr!BV22)),IF(AND(up_Irr!Z22=".",up_Irr!AX22&lt;&gt;".",up_Irr!BV22&lt;&gt;"."),up_dir!AZ22/((1/1000)*(up_Irr!AX22+up_Irr!BV22)),IF(AND(up_Irr!Z22=".",up_Irr!AX22=".",up_Irr!BV22&lt;&gt;"."),up_dir!AZ22/((1/1000)*(up_Irr!BV22)),IF(AND(up_Irr!Z22=".",up_Irr!AX22&lt;&gt;".",up_Irr!BV22="."),up_dir!AZ22/((1/1000)*(up_Irr!AX22)),IF(AND(up_Irr!Z22&lt;&gt;".",up_Irr!AX22=".",up_Irr!BV22="."),up_dir!AZ22/((1/1000)*(up_Irr!Z22)),IF(AND(up_Irr!Z22=".",up_Irr!AX22=".",up_Irr!BV22="."),up_dir!AZ22*1000)))))))),".")</f>
        <v>7.2351016258567334E-11</v>
      </c>
      <c r="BZ22" s="93">
        <f t="shared" ref="BZ22:BZ23" si="13">SUM(CA22:CB22,CW22:CX22)</f>
        <v>55286.023705663516</v>
      </c>
      <c r="CA22" s="93">
        <f>IFERROR(s_C*s_IFAP_far_adj*s_CF_apple*(1/1000)*(up_Irr!C22+up_Irr!AA22+up_Irr!AY22),".")</f>
        <v>13821.505926415879</v>
      </c>
      <c r="CB22" s="93">
        <f>IFERROR(s_C*s_IFAS_far_adj*s_CF_asparagus*(1/1000)*(up_Irr!D22+up_Irr!AB22+up_Irr!AZ22),".")</f>
        <v>13821.505926415879</v>
      </c>
      <c r="CC22" s="93">
        <f>IFERROR(s_C*s_IFBT_far_adj*s_CF_beet*(1/1000)*(up_Irr!E22+up_Irr!AC22+up_Irr!BA22),".")</f>
        <v>13821.505926415879</v>
      </c>
      <c r="CD22" s="93">
        <f>IFERROR(s_C*s_IFBE_far_adj*s_CF_berries*(1/1000)*(up_Irr!F22+up_Irr!AD22+up_Irr!BB22),".")</f>
        <v>13821.505926415879</v>
      </c>
      <c r="CE22" s="93">
        <f>IFERROR(s_C*s_IFBR_far_adj*s_CF_broccoli*(1/1000)*(up_Irr!G22+up_Irr!AE22+up_Irr!BC22),".")</f>
        <v>13821.505926415879</v>
      </c>
      <c r="CF22" s="93">
        <f>IFERROR(s_C*s_IFCB_far_adj*s_CF_cabbage*(1/1000)*(up_Irr!H22+up_Irr!AF22+up_Irr!BD22),".")</f>
        <v>13821.505926415879</v>
      </c>
      <c r="CG22" s="93">
        <f>IFERROR(s_C*s_IFCR_far_adj*s_CF_carrot*(1/1000)*(up_Irr!I22+up_Irr!AG22+up_Irr!BE22),".")</f>
        <v>13821.505926415879</v>
      </c>
      <c r="CH22" s="93">
        <f>IFERROR(s_C*s_IFCI_far_adj*s_CF_citrus*(1/1000)*(up_Irr!J22+up_Irr!AH22+up_Irr!BF22),".")</f>
        <v>13821.505926415879</v>
      </c>
      <c r="CI22" s="93">
        <f>IFERROR(s_C*s_IFCO_far_adj*s_CF_corn*(1/1000)*(up_Irr!K22+up_Irr!AI22+up_Irr!BG22),".")</f>
        <v>13821.505926415879</v>
      </c>
      <c r="CJ22" s="93">
        <f>IFERROR(s_C*s_IFCU_far_adj*s_CF_cucumber*(1/1000)*(up_Irr!L22+up_Irr!AJ22+up_Irr!BH22),".")</f>
        <v>13821.505926415879</v>
      </c>
      <c r="CK22" s="93">
        <f>IFERROR(s_C*s_IFLE_far_adj*s_CF_lettuce*(1/1000)*(up_Irr!M22+up_Irr!AK22+up_Irr!BI22),".")</f>
        <v>13821.505926415879</v>
      </c>
      <c r="CL22" s="93">
        <f>IFERROR(s_C*s_IFLI_far_adj*s_CF_lima_bean*(1/1000)*(up_Irr!N22+up_Irr!AL22+up_Irr!BJ22),".")</f>
        <v>13821.505926415879</v>
      </c>
      <c r="CM22" s="93">
        <f>IFERROR(s_C*s_IFOK_far_adj*s_CF_okra*(1/1000)*(up_Irr!O22+up_Irr!AM22+up_Irr!BK22),".")</f>
        <v>13821.505926415879</v>
      </c>
      <c r="CN22" s="93">
        <f>IFERROR(s_C*s_IFON_far_adj*s_CF_onion*(1/1000)*(up_Irr!P22+up_Irr!AN22+up_Irr!BL22),".")</f>
        <v>13821.505926415879</v>
      </c>
      <c r="CO22" s="93">
        <f>IFERROR(s_C*s_IFPC_far_adj*s_CF_peach*(1/1000)*(up_Irr!Q22+up_Irr!AO22+up_Irr!BM22),".")</f>
        <v>13821.505926415879</v>
      </c>
      <c r="CP22" s="93">
        <f>IFERROR(s_C*s_IFPR_far_adj*s_CF_pear*(1/1000)*(up_Irr!R22+up_Irr!AP22+up_Irr!BN22),".")</f>
        <v>13821.505926415879</v>
      </c>
      <c r="CQ22" s="93">
        <f>IFERROR(s_C*s_IFPE_far_adj*s_CF_peas*(1/1000)*(up_Irr!S22+up_Irr!AQ22+up_Irr!BO22),".")</f>
        <v>13821.505926415879</v>
      </c>
      <c r="CR22" s="93">
        <f>IFERROR(s_C*s_IFPT_far_adj*s_CF_potato*(1/1000)*(up_Irr!T22+up_Irr!AR22+up_Irr!BP22),".")</f>
        <v>13821.505926415879</v>
      </c>
      <c r="CS22" s="93">
        <f>IFERROR(s_C*s_IFPU_far_adj*s_CF_pumpkin*(1/1000)*(up_Irr!U22+up_Irr!AS22+up_Irr!BQ22),".")</f>
        <v>13821.505926415879</v>
      </c>
      <c r="CT22" s="93">
        <f>IFERROR(s_C*s_IFSN_far_adj*s_CF_snap_bean*(1/1000)*(up_Irr!V22+up_Irr!AT22+up_Irr!BR22),".")</f>
        <v>13821.505926415879</v>
      </c>
      <c r="CU22" s="93">
        <f>IFERROR(s_C*s_IFST_far_adj*s_CF_strawberry*(1/1000)*(up_Irr!W22+up_Irr!AU22+up_Irr!BS22),".")</f>
        <v>13821.505926415879</v>
      </c>
      <c r="CV22" s="93">
        <f>IFERROR(s_C*s_IFTO_far_adj*s_CF_tomato*(1/1000)*(up_Irr!X22+up_Irr!AV22+up_Irr!BT22),".")</f>
        <v>13821.505926415879</v>
      </c>
      <c r="CW22" s="93">
        <f>IFERROR(s_C*s_IFRI_far_adj*s_CF_rice*(1/1000)*(up_Irr!Y22+up_Irr!AW22+up_Irr!BU22),".")</f>
        <v>13821.505926415879</v>
      </c>
      <c r="CX22" s="93">
        <f>IFERROR(s_C*s_IFCG_far_adj*s_CF_cereal*(1/1000)*(up_Irr!Z22+up_Irr!AX22+up_Irr!BV22),".")</f>
        <v>13821.505926415879</v>
      </c>
    </row>
    <row r="23" spans="1:102" x14ac:dyDescent="0.25">
      <c r="A23" s="94" t="s">
        <v>33</v>
      </c>
      <c r="B23" s="90" t="s">
        <v>351</v>
      </c>
      <c r="C23" s="76">
        <f t="shared" si="0"/>
        <v>1.8087754064641833E-11</v>
      </c>
      <c r="D23" s="76">
        <f>IFERROR(IF(AND(up_Irr!C23&lt;&gt;".",up_Irr!AA23&lt;&gt;".",up_Irr!AY23&lt;&gt;"."),up_dir!D23/((1/1000)*(up_Irr!C23+up_Irr!AA23+up_Irr!AY23)),IF(AND(up_Irr!C23&lt;&gt;".",up_Irr!AA23&lt;&gt;".",up_Irr!AY23="."),up_dir!D23/((1/1000)*(up_Irr!C23+up_Irr!AA23)),IF(AND(up_Irr!C23&lt;&gt;".",up_Irr!AA23=".",up_Irr!AY23&lt;&gt;"."),up_dir!D23/((1/1000)*(up_Irr!C23+up_Irr!AY23)),IF(AND(up_Irr!C23=".",up_Irr!AA23&lt;&gt;".",up_Irr!AY23&lt;&gt;"."),up_dir!D23/((1/1000)*(up_Irr!AA23+up_Irr!AY23)),IF(AND(up_Irr!C23=".",up_Irr!AA23=".",up_Irr!AY23&lt;&gt;"."),up_dir!D23/((1/1000)*(up_Irr!AY23)),IF(AND(up_Irr!C23=".",up_Irr!AA23&lt;&gt;".",up_Irr!AY23="."),up_dir!D23/((1/1000)*(up_Irr!AA23)),IF(AND(up_Irr!C23&lt;&gt;".",up_Irr!AA23=".",up_Irr!AY23="."),up_dir!D23/((1/1000)*(up_Irr!C23)),IF(AND(up_Irr!C23=".",up_Irr!AA23=".",up_Irr!AY23="."),up_dir!D23*1000)))))))),".")</f>
        <v>7.2351016258567334E-11</v>
      </c>
      <c r="E23" s="76">
        <f>IFERROR(IF(AND(up_Irr!D23&lt;&gt;".",up_Irr!AB23&lt;&gt;".",up_Irr!AZ23&lt;&gt;"."),up_dir!E23/((1/1000)*(up_Irr!D23+up_Irr!AB23+up_Irr!AZ23)),IF(AND(up_Irr!D23&lt;&gt;".",up_Irr!AB23&lt;&gt;".",up_Irr!AZ23="."),up_dir!E23/((1/1000)*(up_Irr!D23+up_Irr!AB23)),IF(AND(up_Irr!D23&lt;&gt;".",up_Irr!AB23=".",up_Irr!AZ23&lt;&gt;"."),up_dir!E23/((1/1000)*(up_Irr!D23+up_Irr!AZ23)),IF(AND(up_Irr!D23=".",up_Irr!AB23&lt;&gt;".",up_Irr!AZ23&lt;&gt;"."),up_dir!E23/((1/1000)*(up_Irr!AB23+up_Irr!AZ23)),IF(AND(up_Irr!D23=".",up_Irr!AB23=".",up_Irr!AZ23&lt;&gt;"."),up_dir!E23/((1/1000)*(up_Irr!AZ23)),IF(AND(up_Irr!D23=".",up_Irr!AB23&lt;&gt;".",up_Irr!AZ23="."),up_dir!E23/((1/1000)*(up_Irr!AB23)),IF(AND(up_Irr!D23&lt;&gt;".",up_Irr!AB23=".",up_Irr!AZ23="."),up_dir!E23/((1/1000)*(up_Irr!D23)),IF(AND(up_Irr!D23=".",up_Irr!AB23=".",up_Irr!AZ23="."),up_dir!E23*1000)))))))),".")</f>
        <v>7.2351016258567334E-11</v>
      </c>
      <c r="F23" s="76">
        <f>IFERROR(IF(AND(up_Irr!E23&lt;&gt;".",up_Irr!AC23&lt;&gt;".",up_Irr!BA23&lt;&gt;"."),up_dir!F23/((1/1000)*(up_Irr!E23+up_Irr!AC23+up_Irr!BA23)),IF(AND(up_Irr!E23&lt;&gt;".",up_Irr!AC23&lt;&gt;".",up_Irr!BA23="."),up_dir!F23/((1/1000)*(up_Irr!E23+up_Irr!AC23)),IF(AND(up_Irr!E23&lt;&gt;".",up_Irr!AC23=".",up_Irr!BA23&lt;&gt;"."),up_dir!F23/((1/1000)*(up_Irr!E23+up_Irr!BA23)),IF(AND(up_Irr!E23=".",up_Irr!AC23&lt;&gt;".",up_Irr!BA23&lt;&gt;"."),up_dir!F23/((1/1000)*(up_Irr!AC23+up_Irr!BA23)),IF(AND(up_Irr!E23=".",up_Irr!AC23=".",up_Irr!BA23&lt;&gt;"."),up_dir!F23/((1/1000)*(up_Irr!BA23)),IF(AND(up_Irr!E23=".",up_Irr!AC23&lt;&gt;".",up_Irr!BA23="."),up_dir!F23/((1/1000)*(up_Irr!AC23)),IF(AND(up_Irr!E23&lt;&gt;".",up_Irr!AC23=".",up_Irr!BA23="."),up_dir!F23/((1/1000)*(up_Irr!E23)),IF(AND(up_Irr!E23=".",up_Irr!AC23=".",up_Irr!BA23="."),up_dir!F23*1000)))))))),".")</f>
        <v>7.2351016258567334E-11</v>
      </c>
      <c r="G23" s="76">
        <f>IFERROR(IF(AND(up_Irr!F23&lt;&gt;".",up_Irr!AD23&lt;&gt;".",up_Irr!BB23&lt;&gt;"."),up_dir!G23/((1/1000)*(up_Irr!F23+up_Irr!AD23+up_Irr!BB23)),IF(AND(up_Irr!F23&lt;&gt;".",up_Irr!AD23&lt;&gt;".",up_Irr!BB23="."),up_dir!G23/((1/1000)*(up_Irr!F23+up_Irr!AD23)),IF(AND(up_Irr!F23&lt;&gt;".",up_Irr!AD23=".",up_Irr!BB23&lt;&gt;"."),up_dir!G23/((1/1000)*(up_Irr!F23+up_Irr!BB23)),IF(AND(up_Irr!F23=".",up_Irr!AD23&lt;&gt;".",up_Irr!BB23&lt;&gt;"."),up_dir!G23/((1/1000)*(up_Irr!AD23+up_Irr!BB23)),IF(AND(up_Irr!F23=".",up_Irr!AD23=".",up_Irr!BB23&lt;&gt;"."),up_dir!G23/((1/1000)*(up_Irr!BB23)),IF(AND(up_Irr!F23=".",up_Irr!AD23&lt;&gt;".",up_Irr!BB23="."),up_dir!G23/((1/1000)*(up_Irr!AD23)),IF(AND(up_Irr!F23&lt;&gt;".",up_Irr!AD23=".",up_Irr!BB23="."),up_dir!G23/((1/1000)*(up_Irr!F23)),IF(AND(up_Irr!F23=".",up_Irr!AD23=".",up_Irr!BB23="."),up_dir!G23*1000)))))))),".")</f>
        <v>7.2351016258567334E-11</v>
      </c>
      <c r="H23" s="76">
        <f>IFERROR(IF(AND(up_Irr!G23&lt;&gt;".",up_Irr!AE23&lt;&gt;".",up_Irr!BC23&lt;&gt;"."),up_dir!H23/((1/1000)*(up_Irr!G23+up_Irr!AE23+up_Irr!BC23)),IF(AND(up_Irr!G23&lt;&gt;".",up_Irr!AE23&lt;&gt;".",up_Irr!BC23="."),up_dir!H23/((1/1000)*(up_Irr!G23+up_Irr!AE23)),IF(AND(up_Irr!G23&lt;&gt;".",up_Irr!AE23=".",up_Irr!BC23&lt;&gt;"."),up_dir!H23/((1/1000)*(up_Irr!G23+up_Irr!BC23)),IF(AND(up_Irr!G23=".",up_Irr!AE23&lt;&gt;".",up_Irr!BC23&lt;&gt;"."),up_dir!H23/((1/1000)*(up_Irr!AE23+up_Irr!BC23)),IF(AND(up_Irr!G23=".",up_Irr!AE23=".",up_Irr!BC23&lt;&gt;"."),up_dir!H23/((1/1000)*(up_Irr!BC23)),IF(AND(up_Irr!G23=".",up_Irr!AE23&lt;&gt;".",up_Irr!BC23="."),up_dir!H23/((1/1000)*(up_Irr!AE23)),IF(AND(up_Irr!G23&lt;&gt;".",up_Irr!AE23=".",up_Irr!BC23="."),up_dir!H23/((1/1000)*(up_Irr!G23)),IF(AND(up_Irr!G23=".",up_Irr!AE23=".",up_Irr!BC23="."),up_dir!H23*1000)))))))),".")</f>
        <v>7.2351016258567334E-11</v>
      </c>
      <c r="I23" s="76">
        <f>IFERROR(IF(AND(up_Irr!H23&lt;&gt;".",up_Irr!AF23&lt;&gt;".",up_Irr!BD23&lt;&gt;"."),up_dir!I23/((1/1000)*(up_Irr!H23+up_Irr!AF23+up_Irr!BD23)),IF(AND(up_Irr!H23&lt;&gt;".",up_Irr!AF23&lt;&gt;".",up_Irr!BD23="."),up_dir!I23/((1/1000)*(up_Irr!H23+up_Irr!AF23)),IF(AND(up_Irr!H23&lt;&gt;".",up_Irr!AF23=".",up_Irr!BD23&lt;&gt;"."),up_dir!I23/((1/1000)*(up_Irr!H23+up_Irr!BD23)),IF(AND(up_Irr!H23=".",up_Irr!AF23&lt;&gt;".",up_Irr!BD23&lt;&gt;"."),up_dir!I23/((1/1000)*(up_Irr!AF23+up_Irr!BD23)),IF(AND(up_Irr!H23=".",up_Irr!AF23=".",up_Irr!BD23&lt;&gt;"."),up_dir!I23/((1/1000)*(up_Irr!BD23)),IF(AND(up_Irr!H23=".",up_Irr!AF23&lt;&gt;".",up_Irr!BD23="."),up_dir!I23/((1/1000)*(up_Irr!AF23)),IF(AND(up_Irr!H23&lt;&gt;".",up_Irr!AF23=".",up_Irr!BD23="."),up_dir!I23/((1/1000)*(up_Irr!H23)),IF(AND(up_Irr!H23=".",up_Irr!AF23=".",up_Irr!BD23="."),up_dir!I23*1000)))))))),".")</f>
        <v>7.2351016258567334E-11</v>
      </c>
      <c r="J23" s="76">
        <f>IFERROR(IF(AND(up_Irr!I23&lt;&gt;".",up_Irr!AG23&lt;&gt;".",up_Irr!BE23&lt;&gt;"."),up_dir!J23/((1/1000)*(up_Irr!I23+up_Irr!AG23+up_Irr!BE23)),IF(AND(up_Irr!I23&lt;&gt;".",up_Irr!AG23&lt;&gt;".",up_Irr!BE23="."),up_dir!J23/((1/1000)*(up_Irr!I23+up_Irr!AG23)),IF(AND(up_Irr!I23&lt;&gt;".",up_Irr!AG23=".",up_Irr!BE23&lt;&gt;"."),up_dir!J23/((1/1000)*(up_Irr!I23+up_Irr!BE23)),IF(AND(up_Irr!I23=".",up_Irr!AG23&lt;&gt;".",up_Irr!BE23&lt;&gt;"."),up_dir!J23/((1/1000)*(up_Irr!AG23+up_Irr!BE23)),IF(AND(up_Irr!I23=".",up_Irr!AG23=".",up_Irr!BE23&lt;&gt;"."),up_dir!J23/((1/1000)*(up_Irr!BE23)),IF(AND(up_Irr!I23=".",up_Irr!AG23&lt;&gt;".",up_Irr!BE23="."),up_dir!J23/((1/1000)*(up_Irr!AG23)),IF(AND(up_Irr!I23&lt;&gt;".",up_Irr!AG23=".",up_Irr!BE23="."),up_dir!J23/((1/1000)*(up_Irr!I23)),IF(AND(up_Irr!I23=".",up_Irr!AG23=".",up_Irr!BE23="."),up_dir!J23*1000)))))))),".")</f>
        <v>7.2351016258567334E-11</v>
      </c>
      <c r="K23" s="76">
        <f>IFERROR(IF(AND(up_Irr!J23&lt;&gt;".",up_Irr!AH23&lt;&gt;".",up_Irr!BF23&lt;&gt;"."),up_dir!K23/((1/1000)*(up_Irr!J23+up_Irr!AH23+up_Irr!BF23)),IF(AND(up_Irr!J23&lt;&gt;".",up_Irr!AH23&lt;&gt;".",up_Irr!BF23="."),up_dir!K23/((1/1000)*(up_Irr!J23+up_Irr!AH23)),IF(AND(up_Irr!J23&lt;&gt;".",up_Irr!AH23=".",up_Irr!BF23&lt;&gt;"."),up_dir!K23/((1/1000)*(up_Irr!J23+up_Irr!BF23)),IF(AND(up_Irr!J23=".",up_Irr!AH23&lt;&gt;".",up_Irr!BF23&lt;&gt;"."),up_dir!K23/((1/1000)*(up_Irr!AH23+up_Irr!BF23)),IF(AND(up_Irr!J23=".",up_Irr!AH23=".",up_Irr!BF23&lt;&gt;"."),up_dir!K23/((1/1000)*(up_Irr!BF23)),IF(AND(up_Irr!J23=".",up_Irr!AH23&lt;&gt;".",up_Irr!BF23="."),up_dir!K23/((1/1000)*(up_Irr!AH23)),IF(AND(up_Irr!J23&lt;&gt;".",up_Irr!AH23=".",up_Irr!BF23="."),up_dir!K23/((1/1000)*(up_Irr!J23)),IF(AND(up_Irr!J23=".",up_Irr!AH23=".",up_Irr!BF23="."),up_dir!K23*1000)))))))),".")</f>
        <v>7.2351016258567334E-11</v>
      </c>
      <c r="L23" s="76">
        <f>IFERROR(IF(AND(up_Irr!K23&lt;&gt;".",up_Irr!AI23&lt;&gt;".",up_Irr!BG23&lt;&gt;"."),up_dir!L23/((1/1000)*(up_Irr!K23+up_Irr!AI23+up_Irr!BG23)),IF(AND(up_Irr!K23&lt;&gt;".",up_Irr!AI23&lt;&gt;".",up_Irr!BG23="."),up_dir!L23/((1/1000)*(up_Irr!K23+up_Irr!AI23)),IF(AND(up_Irr!K23&lt;&gt;".",up_Irr!AI23=".",up_Irr!BG23&lt;&gt;"."),up_dir!L23/((1/1000)*(up_Irr!K23+up_Irr!BG23)),IF(AND(up_Irr!K23=".",up_Irr!AI23&lt;&gt;".",up_Irr!BG23&lt;&gt;"."),up_dir!L23/((1/1000)*(up_Irr!AI23+up_Irr!BG23)),IF(AND(up_Irr!K23=".",up_Irr!AI23=".",up_Irr!BG23&lt;&gt;"."),up_dir!L23/((1/1000)*(up_Irr!BG23)),IF(AND(up_Irr!K23=".",up_Irr!AI23&lt;&gt;".",up_Irr!BG23="."),up_dir!L23/((1/1000)*(up_Irr!AI23)),IF(AND(up_Irr!K23&lt;&gt;".",up_Irr!AI23=".",up_Irr!BG23="."),up_dir!L23/((1/1000)*(up_Irr!K23)),IF(AND(up_Irr!K23=".",up_Irr!AI23=".",up_Irr!BG23="."),up_dir!L23*1000)))))))),".")</f>
        <v>7.2351016258567334E-11</v>
      </c>
      <c r="M23" s="76">
        <f>IFERROR(IF(AND(up_Irr!L23&lt;&gt;".",up_Irr!AJ23&lt;&gt;".",up_Irr!BH23&lt;&gt;"."),up_dir!M23/((1/1000)*(up_Irr!L23+up_Irr!AJ23+up_Irr!BH23)),IF(AND(up_Irr!L23&lt;&gt;".",up_Irr!AJ23&lt;&gt;".",up_Irr!BH23="."),up_dir!M23/((1/1000)*(up_Irr!L23+up_Irr!AJ23)),IF(AND(up_Irr!L23&lt;&gt;".",up_Irr!AJ23=".",up_Irr!BH23&lt;&gt;"."),up_dir!M23/((1/1000)*(up_Irr!L23+up_Irr!BH23)),IF(AND(up_Irr!L23=".",up_Irr!AJ23&lt;&gt;".",up_Irr!BH23&lt;&gt;"."),up_dir!M23/((1/1000)*(up_Irr!AJ23+up_Irr!BH23)),IF(AND(up_Irr!L23=".",up_Irr!AJ23=".",up_Irr!BH23&lt;&gt;"."),up_dir!M23/((1/1000)*(up_Irr!BH23)),IF(AND(up_Irr!L23=".",up_Irr!AJ23&lt;&gt;".",up_Irr!BH23="."),up_dir!M23/((1/1000)*(up_Irr!AJ23)),IF(AND(up_Irr!L23&lt;&gt;".",up_Irr!AJ23=".",up_Irr!BH23="."),up_dir!M23/((1/1000)*(up_Irr!L23)),IF(AND(up_Irr!L23=".",up_Irr!AJ23=".",up_Irr!BH23="."),up_dir!M23*1000)))))))),".")</f>
        <v>7.2351016258567334E-11</v>
      </c>
      <c r="N23" s="76">
        <f>IFERROR(IF(AND(up_Irr!M23&lt;&gt;".",up_Irr!AK23&lt;&gt;".",up_Irr!BI23&lt;&gt;"."),up_dir!N23/((1/1000)*(up_Irr!M23+up_Irr!AK23+up_Irr!BI23)),IF(AND(up_Irr!M23&lt;&gt;".",up_Irr!AK23&lt;&gt;".",up_Irr!BI23="."),up_dir!N23/((1/1000)*(up_Irr!M23+up_Irr!AK23)),IF(AND(up_Irr!M23&lt;&gt;".",up_Irr!AK23=".",up_Irr!BI23&lt;&gt;"."),up_dir!N23/((1/1000)*(up_Irr!M23+up_Irr!BI23)),IF(AND(up_Irr!M23=".",up_Irr!AK23&lt;&gt;".",up_Irr!BI23&lt;&gt;"."),up_dir!N23/((1/1000)*(up_Irr!AK23+up_Irr!BI23)),IF(AND(up_Irr!M23=".",up_Irr!AK23=".",up_Irr!BI23&lt;&gt;"."),up_dir!N23/((1/1000)*(up_Irr!BI23)),IF(AND(up_Irr!M23=".",up_Irr!AK23&lt;&gt;".",up_Irr!BI23="."),up_dir!N23/((1/1000)*(up_Irr!AK23)),IF(AND(up_Irr!M23&lt;&gt;".",up_Irr!AK23=".",up_Irr!BI23="."),up_dir!N23/((1/1000)*(up_Irr!M23)),IF(AND(up_Irr!M23=".",up_Irr!AK23=".",up_Irr!BI23="."),up_dir!N23*1000)))))))),".")</f>
        <v>7.2351016258567334E-11</v>
      </c>
      <c r="O23" s="76">
        <f>IFERROR(IF(AND(up_Irr!N23&lt;&gt;".",up_Irr!AL23&lt;&gt;".",up_Irr!BJ23&lt;&gt;"."),up_dir!O23/((1/1000)*(up_Irr!N23+up_Irr!AL23+up_Irr!BJ23)),IF(AND(up_Irr!N23&lt;&gt;".",up_Irr!AL23&lt;&gt;".",up_Irr!BJ23="."),up_dir!O23/((1/1000)*(up_Irr!N23+up_Irr!AL23)),IF(AND(up_Irr!N23&lt;&gt;".",up_Irr!AL23=".",up_Irr!BJ23&lt;&gt;"."),up_dir!O23/((1/1000)*(up_Irr!N23+up_Irr!BJ23)),IF(AND(up_Irr!N23=".",up_Irr!AL23&lt;&gt;".",up_Irr!BJ23&lt;&gt;"."),up_dir!O23/((1/1000)*(up_Irr!AL23+up_Irr!BJ23)),IF(AND(up_Irr!N23=".",up_Irr!AL23=".",up_Irr!BJ23&lt;&gt;"."),up_dir!O23/((1/1000)*(up_Irr!BJ23)),IF(AND(up_Irr!N23=".",up_Irr!AL23&lt;&gt;".",up_Irr!BJ23="."),up_dir!O23/((1/1000)*(up_Irr!AL23)),IF(AND(up_Irr!N23&lt;&gt;".",up_Irr!AL23=".",up_Irr!BJ23="."),up_dir!O23/((1/1000)*(up_Irr!N23)),IF(AND(up_Irr!N23=".",up_Irr!AL23=".",up_Irr!BJ23="."),up_dir!O23*1000)))))))),".")</f>
        <v>7.2351016258567334E-11</v>
      </c>
      <c r="P23" s="76">
        <f>IFERROR(IF(AND(up_Irr!O23&lt;&gt;".",up_Irr!AM23&lt;&gt;".",up_Irr!BK23&lt;&gt;"."),up_dir!P23/((1/1000)*(up_Irr!O23+up_Irr!AM23+up_Irr!BK23)),IF(AND(up_Irr!O23&lt;&gt;".",up_Irr!AM23&lt;&gt;".",up_Irr!BK23="."),up_dir!P23/((1/1000)*(up_Irr!O23+up_Irr!AM23)),IF(AND(up_Irr!O23&lt;&gt;".",up_Irr!AM23=".",up_Irr!BK23&lt;&gt;"."),up_dir!P23/((1/1000)*(up_Irr!O23+up_Irr!BK23)),IF(AND(up_Irr!O23=".",up_Irr!AM23&lt;&gt;".",up_Irr!BK23&lt;&gt;"."),up_dir!P23/((1/1000)*(up_Irr!AM23+up_Irr!BK23)),IF(AND(up_Irr!O23=".",up_Irr!AM23=".",up_Irr!BK23&lt;&gt;"."),up_dir!P23/((1/1000)*(up_Irr!BK23)),IF(AND(up_Irr!O23=".",up_Irr!AM23&lt;&gt;".",up_Irr!BK23="."),up_dir!P23/((1/1000)*(up_Irr!AM23)),IF(AND(up_Irr!O23&lt;&gt;".",up_Irr!AM23=".",up_Irr!BK23="."),up_dir!P23/((1/1000)*(up_Irr!O23)),IF(AND(up_Irr!O23=".",up_Irr!AM23=".",up_Irr!BK23="."),up_dir!P23*1000)))))))),".")</f>
        <v>7.2351016258567334E-11</v>
      </c>
      <c r="Q23" s="76">
        <f>IFERROR(IF(AND(up_Irr!P23&lt;&gt;".",up_Irr!AN23&lt;&gt;".",up_Irr!BL23&lt;&gt;"."),up_dir!Q23/((1/1000)*(up_Irr!P23+up_Irr!AN23+up_Irr!BL23)),IF(AND(up_Irr!P23&lt;&gt;".",up_Irr!AN23&lt;&gt;".",up_Irr!BL23="."),up_dir!Q23/((1/1000)*(up_Irr!P23+up_Irr!AN23)),IF(AND(up_Irr!P23&lt;&gt;".",up_Irr!AN23=".",up_Irr!BL23&lt;&gt;"."),up_dir!Q23/((1/1000)*(up_Irr!P23+up_Irr!BL23)),IF(AND(up_Irr!P23=".",up_Irr!AN23&lt;&gt;".",up_Irr!BL23&lt;&gt;"."),up_dir!Q23/((1/1000)*(up_Irr!AN23+up_Irr!BL23)),IF(AND(up_Irr!P23=".",up_Irr!AN23=".",up_Irr!BL23&lt;&gt;"."),up_dir!Q23/((1/1000)*(up_Irr!BL23)),IF(AND(up_Irr!P23=".",up_Irr!AN23&lt;&gt;".",up_Irr!BL23="."),up_dir!Q23/((1/1000)*(up_Irr!AN23)),IF(AND(up_Irr!P23&lt;&gt;".",up_Irr!AN23=".",up_Irr!BL23="."),up_dir!Q23/((1/1000)*(up_Irr!P23)),IF(AND(up_Irr!P23=".",up_Irr!AN23=".",up_Irr!BL23="."),up_dir!Q23*1000)))))))),".")</f>
        <v>7.2351016258567334E-11</v>
      </c>
      <c r="R23" s="76">
        <f>IFERROR(IF(AND(up_Irr!Q23&lt;&gt;".",up_Irr!AO23&lt;&gt;".",up_Irr!BM23&lt;&gt;"."),up_dir!R23/((1/1000)*(up_Irr!Q23+up_Irr!AO23+up_Irr!BM23)),IF(AND(up_Irr!Q23&lt;&gt;".",up_Irr!AO23&lt;&gt;".",up_Irr!BM23="."),up_dir!R23/((1/1000)*(up_Irr!Q23+up_Irr!AO23)),IF(AND(up_Irr!Q23&lt;&gt;".",up_Irr!AO23=".",up_Irr!BM23&lt;&gt;"."),up_dir!R23/((1/1000)*(up_Irr!Q23+up_Irr!BM23)),IF(AND(up_Irr!Q23=".",up_Irr!AO23&lt;&gt;".",up_Irr!BM23&lt;&gt;"."),up_dir!R23/((1/1000)*(up_Irr!AO23+up_Irr!BM23)),IF(AND(up_Irr!Q23=".",up_Irr!AO23=".",up_Irr!BM23&lt;&gt;"."),up_dir!R23/((1/1000)*(up_Irr!BM23)),IF(AND(up_Irr!Q23=".",up_Irr!AO23&lt;&gt;".",up_Irr!BM23="."),up_dir!R23/((1/1000)*(up_Irr!AO23)),IF(AND(up_Irr!Q23&lt;&gt;".",up_Irr!AO23=".",up_Irr!BM23="."),up_dir!R23/((1/1000)*(up_Irr!Q23)),IF(AND(up_Irr!Q23=".",up_Irr!AO23=".",up_Irr!BM23="."),up_dir!R23*1000)))))))),".")</f>
        <v>7.2351016258567334E-11</v>
      </c>
      <c r="S23" s="76">
        <f>IFERROR(IF(AND(up_Irr!R23&lt;&gt;".",up_Irr!AP23&lt;&gt;".",up_Irr!BN23&lt;&gt;"."),up_dir!S23/((1/1000)*(up_Irr!R23+up_Irr!AP23+up_Irr!BN23)),IF(AND(up_Irr!R23&lt;&gt;".",up_Irr!AP23&lt;&gt;".",up_Irr!BN23="."),up_dir!S23/((1/1000)*(up_Irr!R23+up_Irr!AP23)),IF(AND(up_Irr!R23&lt;&gt;".",up_Irr!AP23=".",up_Irr!BN23&lt;&gt;"."),up_dir!S23/((1/1000)*(up_Irr!R23+up_Irr!BN23)),IF(AND(up_Irr!R23=".",up_Irr!AP23&lt;&gt;".",up_Irr!BN23&lt;&gt;"."),up_dir!S23/((1/1000)*(up_Irr!AP23+up_Irr!BN23)),IF(AND(up_Irr!R23=".",up_Irr!AP23=".",up_Irr!BN23&lt;&gt;"."),up_dir!S23/((1/1000)*(up_Irr!BN23)),IF(AND(up_Irr!R23=".",up_Irr!AP23&lt;&gt;".",up_Irr!BN23="."),up_dir!S23/((1/1000)*(up_Irr!AP23)),IF(AND(up_Irr!R23&lt;&gt;".",up_Irr!AP23=".",up_Irr!BN23="."),up_dir!S23/((1/1000)*(up_Irr!R23)),IF(AND(up_Irr!R23=".",up_Irr!AP23=".",up_Irr!BN23="."),up_dir!S23*1000)))))))),".")</f>
        <v>7.2351016258567334E-11</v>
      </c>
      <c r="T23" s="76">
        <f>IFERROR(IF(AND(up_Irr!S23&lt;&gt;".",up_Irr!AQ23&lt;&gt;".",up_Irr!BO23&lt;&gt;"."),up_dir!T23/((1/1000)*(up_Irr!S23+up_Irr!AQ23+up_Irr!BO23)),IF(AND(up_Irr!S23&lt;&gt;".",up_Irr!AQ23&lt;&gt;".",up_Irr!BO23="."),up_dir!T23/((1/1000)*(up_Irr!S23+up_Irr!AQ23)),IF(AND(up_Irr!S23&lt;&gt;".",up_Irr!AQ23=".",up_Irr!BO23&lt;&gt;"."),up_dir!T23/((1/1000)*(up_Irr!S23+up_Irr!BO23)),IF(AND(up_Irr!S23=".",up_Irr!AQ23&lt;&gt;".",up_Irr!BO23&lt;&gt;"."),up_dir!T23/((1/1000)*(up_Irr!AQ23+up_Irr!BO23)),IF(AND(up_Irr!S23=".",up_Irr!AQ23=".",up_Irr!BO23&lt;&gt;"."),up_dir!T23/((1/1000)*(up_Irr!BO23)),IF(AND(up_Irr!S23=".",up_Irr!AQ23&lt;&gt;".",up_Irr!BO23="."),up_dir!T23/((1/1000)*(up_Irr!AQ23)),IF(AND(up_Irr!S23&lt;&gt;".",up_Irr!AQ23=".",up_Irr!BO23="."),up_dir!T23/((1/1000)*(up_Irr!S23)),IF(AND(up_Irr!S23=".",up_Irr!AQ23=".",up_Irr!BO23="."),up_dir!T23*1000)))))))),".")</f>
        <v>7.2351016258567334E-11</v>
      </c>
      <c r="U23" s="76">
        <f>IFERROR(IF(AND(up_Irr!T23&lt;&gt;".",up_Irr!AR23&lt;&gt;".",up_Irr!BP23&lt;&gt;"."),up_dir!U23/((1/1000)*(up_Irr!T23+up_Irr!AR23+up_Irr!BP23)),IF(AND(up_Irr!T23&lt;&gt;".",up_Irr!AR23&lt;&gt;".",up_Irr!BP23="."),up_dir!U23/((1/1000)*(up_Irr!T23+up_Irr!AR23)),IF(AND(up_Irr!T23&lt;&gt;".",up_Irr!AR23=".",up_Irr!BP23&lt;&gt;"."),up_dir!U23/((1/1000)*(up_Irr!T23+up_Irr!BP23)),IF(AND(up_Irr!T23=".",up_Irr!AR23&lt;&gt;".",up_Irr!BP23&lt;&gt;"."),up_dir!U23/((1/1000)*(up_Irr!AR23+up_Irr!BP23)),IF(AND(up_Irr!T23=".",up_Irr!AR23=".",up_Irr!BP23&lt;&gt;"."),up_dir!U23/((1/1000)*(up_Irr!BP23)),IF(AND(up_Irr!T23=".",up_Irr!AR23&lt;&gt;".",up_Irr!BP23="."),up_dir!U23/((1/1000)*(up_Irr!AR23)),IF(AND(up_Irr!T23&lt;&gt;".",up_Irr!AR23=".",up_Irr!BP23="."),up_dir!U23/((1/1000)*(up_Irr!T23)),IF(AND(up_Irr!T23=".",up_Irr!AR23=".",up_Irr!BP23="."),up_dir!U23*1000)))))))),".")</f>
        <v>7.2351016258567334E-11</v>
      </c>
      <c r="V23" s="76">
        <f>IFERROR(IF(AND(up_Irr!U23&lt;&gt;".",up_Irr!AS23&lt;&gt;".",up_Irr!BQ23&lt;&gt;"."),up_dir!V23/((1/1000)*(up_Irr!U23+up_Irr!AS23+up_Irr!BQ23)),IF(AND(up_Irr!U23&lt;&gt;".",up_Irr!AS23&lt;&gt;".",up_Irr!BQ23="."),up_dir!V23/((1/1000)*(up_Irr!U23+up_Irr!AS23)),IF(AND(up_Irr!U23&lt;&gt;".",up_Irr!AS23=".",up_Irr!BQ23&lt;&gt;"."),up_dir!V23/((1/1000)*(up_Irr!U23+up_Irr!BQ23)),IF(AND(up_Irr!U23=".",up_Irr!AS23&lt;&gt;".",up_Irr!BQ23&lt;&gt;"."),up_dir!V23/((1/1000)*(up_Irr!AS23+up_Irr!BQ23)),IF(AND(up_Irr!U23=".",up_Irr!AS23=".",up_Irr!BQ23&lt;&gt;"."),up_dir!V23/((1/1000)*(up_Irr!BQ23)),IF(AND(up_Irr!U23=".",up_Irr!AS23&lt;&gt;".",up_Irr!BQ23="."),up_dir!V23/((1/1000)*(up_Irr!AS23)),IF(AND(up_Irr!U23&lt;&gt;".",up_Irr!AS23=".",up_Irr!BQ23="."),up_dir!V23/((1/1000)*(up_Irr!U23)),IF(AND(up_Irr!U23=".",up_Irr!AS23=".",up_Irr!BQ23="."),up_dir!V23*1000)))))))),".")</f>
        <v>7.2351016258567334E-11</v>
      </c>
      <c r="W23" s="76">
        <f>IFERROR(IF(AND(up_Irr!V23&lt;&gt;".",up_Irr!AT23&lt;&gt;".",up_Irr!BR23&lt;&gt;"."),up_dir!W23/((1/1000)*(up_Irr!V23+up_Irr!AT23+up_Irr!BR23)),IF(AND(up_Irr!V23&lt;&gt;".",up_Irr!AT23&lt;&gt;".",up_Irr!BR23="."),up_dir!W23/((1/1000)*(up_Irr!V23+up_Irr!AT23)),IF(AND(up_Irr!V23&lt;&gt;".",up_Irr!AT23=".",up_Irr!BR23&lt;&gt;"."),up_dir!W23/((1/1000)*(up_Irr!V23+up_Irr!BR23)),IF(AND(up_Irr!V23=".",up_Irr!AT23&lt;&gt;".",up_Irr!BR23&lt;&gt;"."),up_dir!W23/((1/1000)*(up_Irr!AT23+up_Irr!BR23)),IF(AND(up_Irr!V23=".",up_Irr!AT23=".",up_Irr!BR23&lt;&gt;"."),up_dir!W23/((1/1000)*(up_Irr!BR23)),IF(AND(up_Irr!V23=".",up_Irr!AT23&lt;&gt;".",up_Irr!BR23="."),up_dir!W23/((1/1000)*(up_Irr!AT23)),IF(AND(up_Irr!V23&lt;&gt;".",up_Irr!AT23=".",up_Irr!BR23="."),up_dir!W23/((1/1000)*(up_Irr!V23)),IF(AND(up_Irr!V23=".",up_Irr!AT23=".",up_Irr!BR23="."),up_dir!W23*1000)))))))),".")</f>
        <v>7.2351016258567334E-11</v>
      </c>
      <c r="X23" s="76">
        <f>IFERROR(IF(AND(up_Irr!W23&lt;&gt;".",up_Irr!AU23&lt;&gt;".",up_Irr!BS23&lt;&gt;"."),up_dir!X23/((1/1000)*(up_Irr!W23+up_Irr!AU23+up_Irr!BS23)),IF(AND(up_Irr!W23&lt;&gt;".",up_Irr!AU23&lt;&gt;".",up_Irr!BS23="."),up_dir!X23/((1/1000)*(up_Irr!W23+up_Irr!AU23)),IF(AND(up_Irr!W23&lt;&gt;".",up_Irr!AU23=".",up_Irr!BS23&lt;&gt;"."),up_dir!X23/((1/1000)*(up_Irr!W23+up_Irr!BS23)),IF(AND(up_Irr!W23=".",up_Irr!AU23&lt;&gt;".",up_Irr!BS23&lt;&gt;"."),up_dir!X23/((1/1000)*(up_Irr!AU23+up_Irr!BS23)),IF(AND(up_Irr!W23=".",up_Irr!AU23=".",up_Irr!BS23&lt;&gt;"."),up_dir!X23/((1/1000)*(up_Irr!BS23)),IF(AND(up_Irr!W23=".",up_Irr!AU23&lt;&gt;".",up_Irr!BS23="."),up_dir!X23/((1/1000)*(up_Irr!AU23)),IF(AND(up_Irr!W23&lt;&gt;".",up_Irr!AU23=".",up_Irr!BS23="."),up_dir!X23/((1/1000)*(up_Irr!W23)),IF(AND(up_Irr!W23=".",up_Irr!AU23=".",up_Irr!BS23="."),up_dir!X23*1000)))))))),".")</f>
        <v>7.2351016258567334E-11</v>
      </c>
      <c r="Y23" s="76">
        <f>IFERROR(IF(AND(up_Irr!X23&lt;&gt;".",up_Irr!AV23&lt;&gt;".",up_Irr!BT23&lt;&gt;"."),up_dir!Y23/((1/1000)*(up_Irr!X23+up_Irr!AV23+up_Irr!BT23)),IF(AND(up_Irr!X23&lt;&gt;".",up_Irr!AV23&lt;&gt;".",up_Irr!BT23="."),up_dir!Y23/((1/1000)*(up_Irr!X23+up_Irr!AV23)),IF(AND(up_Irr!X23&lt;&gt;".",up_Irr!AV23=".",up_Irr!BT23&lt;&gt;"."),up_dir!Y23/((1/1000)*(up_Irr!X23+up_Irr!BT23)),IF(AND(up_Irr!X23=".",up_Irr!AV23&lt;&gt;".",up_Irr!BT23&lt;&gt;"."),up_dir!Y23/((1/1000)*(up_Irr!AV23+up_Irr!BT23)),IF(AND(up_Irr!X23=".",up_Irr!AV23=".",up_Irr!BT23&lt;&gt;"."),up_dir!Y23/((1/1000)*(up_Irr!BT23)),IF(AND(up_Irr!X23=".",up_Irr!AV23&lt;&gt;".",up_Irr!BT23="."),up_dir!Y23/((1/1000)*(up_Irr!AV23)),IF(AND(up_Irr!X23&lt;&gt;".",up_Irr!AV23=".",up_Irr!BT23="."),up_dir!Y23/((1/1000)*(up_Irr!X23)),IF(AND(up_Irr!X23=".",up_Irr!AV23=".",up_Irr!BT23="."),up_dir!Y23*1000)))))))),".")</f>
        <v>7.2351016258567334E-11</v>
      </c>
      <c r="Z23" s="76">
        <f>IFERROR(IF(AND(up_Irr!Y23&lt;&gt;".",up_Irr!AW23&lt;&gt;".",up_Irr!BU23&lt;&gt;"."),up_dir!Z23/((1/1000)*(up_Irr!Y23+up_Irr!AW23+up_Irr!BU23)),IF(AND(up_Irr!Y23&lt;&gt;".",up_Irr!AW23&lt;&gt;".",up_Irr!BU23="."),up_dir!Z23/((1/1000)*(up_Irr!Y23+up_Irr!AW23)),IF(AND(up_Irr!Y23&lt;&gt;".",up_Irr!AW23=".",up_Irr!BU23&lt;&gt;"."),up_dir!Z23/((1/1000)*(up_Irr!Y23+up_Irr!BU23)),IF(AND(up_Irr!Y23=".",up_Irr!AW23&lt;&gt;".",up_Irr!BU23&lt;&gt;"."),up_dir!Z23/((1/1000)*(up_Irr!AW23+up_Irr!BU23)),IF(AND(up_Irr!Y23=".",up_Irr!AW23=".",up_Irr!BU23&lt;&gt;"."),up_dir!Z23/((1/1000)*(up_Irr!BU23)),IF(AND(up_Irr!Y23=".",up_Irr!AW23&lt;&gt;".",up_Irr!BU23="."),up_dir!Z23/((1/1000)*(up_Irr!AW23)),IF(AND(up_Irr!Y23&lt;&gt;".",up_Irr!AW23=".",up_Irr!BU23="."),up_dir!Z23/((1/1000)*(up_Irr!Y23)),IF(AND(up_Irr!Y23=".",up_Irr!AW23=".",up_Irr!BU23="."),up_dir!Z23*1000)))))))),".")</f>
        <v>7.2351016258567334E-11</v>
      </c>
      <c r="AA23" s="76">
        <f>IFERROR(IF(AND(up_Irr!Z23&lt;&gt;".",up_Irr!AX23&lt;&gt;".",up_Irr!BV23&lt;&gt;"."),up_dir!AA23/((1/1000)*(up_Irr!Z23+up_Irr!AX23+up_Irr!BV23)),IF(AND(up_Irr!Z23&lt;&gt;".",up_Irr!AX23&lt;&gt;".",up_Irr!BV23="."),up_dir!AA23/((1/1000)*(up_Irr!Z23+up_Irr!AX23)),IF(AND(up_Irr!Z23&lt;&gt;".",up_Irr!AX23=".",up_Irr!BV23&lt;&gt;"."),up_dir!AA23/((1/1000)*(up_Irr!Z23+up_Irr!BV23)),IF(AND(up_Irr!Z23=".",up_Irr!AX23&lt;&gt;".",up_Irr!BV23&lt;&gt;"."),up_dir!AA23/((1/1000)*(up_Irr!AX23+up_Irr!BV23)),IF(AND(up_Irr!Z23=".",up_Irr!AX23=".",up_Irr!BV23&lt;&gt;"."),up_dir!AA23/((1/1000)*(up_Irr!BV23)),IF(AND(up_Irr!Z23=".",up_Irr!AX23&lt;&gt;".",up_Irr!BV23="."),up_dir!AA23/((1/1000)*(up_Irr!AX23)),IF(AND(up_Irr!Z23&lt;&gt;".",up_Irr!AX23=".",up_Irr!BV23="."),up_dir!AA23/((1/1000)*(up_Irr!Z23)),IF(AND(up_Irr!Z23=".",up_Irr!AX23=".",up_Irr!BV23="."),up_dir!AA23*1000)))))))),".")</f>
        <v>7.2351016258567334E-11</v>
      </c>
      <c r="AB23" s="93">
        <f t="shared" si="11"/>
        <v>55286.023705663516</v>
      </c>
      <c r="AC23" s="93">
        <f>IFERROR(s_C*s_IFAP_res_adj*s_CF_apple*0.001*(up_Irr!C23+up_Irr!AA23+up_Irr!AY23),".")</f>
        <v>13821.505926415879</v>
      </c>
      <c r="AD23" s="93">
        <f>IFERROR(s_C*s_IFAS_res_adj*s_CF_asparagus*0.001*(up_Irr!D23+up_Irr!AB23+up_Irr!AZ23),".")</f>
        <v>13821.505926415879</v>
      </c>
      <c r="AE23" s="93">
        <f>IFERROR(s_C*s_IFBT_res_adj*s_CF_beet*0.001*(up_Irr!E23+up_Irr!AC23+up_Irr!BA23),".")</f>
        <v>13821.505926415879</v>
      </c>
      <c r="AF23" s="93">
        <f>IFERROR(s_C*s_IFBE_res_adj*s_CF_berries*0.001*(up_Irr!F23+up_Irr!AD23+up_Irr!BB23),".")</f>
        <v>13821.505926415879</v>
      </c>
      <c r="AG23" s="93">
        <f>IFERROR(s_C*s_IFBR_res_adj*s_CF_broccoli*0.001*(up_Irr!G23+up_Irr!AE23+up_Irr!BC23),".")</f>
        <v>13821.505926415879</v>
      </c>
      <c r="AH23" s="93">
        <f>IFERROR(s_C*s_IFCB_res_adj*s_CF_cabbage*0.001*(up_Irr!H23+up_Irr!AF23+up_Irr!BD23),".")</f>
        <v>13821.505926415879</v>
      </c>
      <c r="AI23" s="93">
        <f>IFERROR(s_C*s_IFCR_res_adj*s_CF_carrot*0.001*(up_Irr!I23+up_Irr!AG23+up_Irr!BE23),".")</f>
        <v>13821.505926415879</v>
      </c>
      <c r="AJ23" s="93">
        <f>IFERROR(s_C*s_IFCI_res_adj*s_CF_citrus*0.001*(up_Irr!J23+up_Irr!AH23+up_Irr!BF23),".")</f>
        <v>13821.505926415879</v>
      </c>
      <c r="AK23" s="93">
        <f>IFERROR(s_C*s_IFCO_res_adj*s_CF_corn*0.001*(up_Irr!K23+up_Irr!AI23+up_Irr!BG23),".")</f>
        <v>13821.505926415879</v>
      </c>
      <c r="AL23" s="93">
        <f>IFERROR(s_C*s_IFCU_res_adj*s_CF_cucumber*0.001*(up_Irr!L23+up_Irr!AJ23+up_Irr!BH23),".")</f>
        <v>13821.505926415879</v>
      </c>
      <c r="AM23" s="93">
        <f>IFERROR(s_C*s_IFLE_res_adj*s_CF_lettuce*0.001*(up_Irr!M23+up_Irr!AK23+up_Irr!BI23),".")</f>
        <v>13821.505926415879</v>
      </c>
      <c r="AN23" s="93">
        <f>IFERROR(s_C*s_IFLI_res_adj*s_CF_lima_bean*0.001*(up_Irr!N23+up_Irr!AL23+up_Irr!BJ23),".")</f>
        <v>13821.505926415879</v>
      </c>
      <c r="AO23" s="93">
        <f>IFERROR(s_C*s_IFOK_res_adj*s_CF_okra*0.001*(up_Irr!O23+up_Irr!AM23+up_Irr!BK23),".")</f>
        <v>13821.505926415879</v>
      </c>
      <c r="AP23" s="93">
        <f>IFERROR(s_C*s_IFON_res_adj*s_CF_onion*0.001*(up_Irr!P23+up_Irr!AN23+up_Irr!BL23),".")</f>
        <v>13821.505926415879</v>
      </c>
      <c r="AQ23" s="93">
        <f>IFERROR(s_C*s_IFPC_res_adj*s_CF_peach*0.001*(up_Irr!Q23+up_Irr!AO23+up_Irr!BM23),".")</f>
        <v>13821.505926415879</v>
      </c>
      <c r="AR23" s="93">
        <f>IFERROR(s_C*s_IFPR_res_adj*s_CF_pear*0.001*(up_Irr!R23+up_Irr!AP23+up_Irr!BN23),".")</f>
        <v>13821.505926415879</v>
      </c>
      <c r="AS23" s="93">
        <f>IFERROR(s_C*s_IFPE_res_adj*s_CF_peas*0.001*(up_Irr!S23+up_Irr!AQ23+up_Irr!BO23),".")</f>
        <v>13821.505926415879</v>
      </c>
      <c r="AT23" s="93">
        <f>IFERROR(s_C*s_IFPT_res_adj*s_CF_potato*0.001*(up_Irr!T23+up_Irr!AR23+up_Irr!BP23),".")</f>
        <v>13821.505926415879</v>
      </c>
      <c r="AU23" s="93">
        <f>IFERROR(s_C*s_IFPU_res_adj*s_CF_pumpkin*0.001*(up_Irr!U23+up_Irr!AS23+up_Irr!BQ23),".")</f>
        <v>13821.505926415879</v>
      </c>
      <c r="AV23" s="93">
        <f>IFERROR(s_C*s_IFSN_res_adj*s_CF_snap_bean*0.001*(up_Irr!V23+up_Irr!AT23+up_Irr!BR23),".")</f>
        <v>13821.505926415879</v>
      </c>
      <c r="AW23" s="93">
        <f>IFERROR(s_C*s_IFST_res_adj*s_CF_strawberry*0.001*(up_Irr!W23+up_Irr!AU23+up_Irr!BS23),".")</f>
        <v>13821.505926415879</v>
      </c>
      <c r="AX23" s="93">
        <f>IFERROR(s_C*s_IFTO_res_adj*s_CF_tomato*0.001*(up_Irr!X23+up_Irr!AV23+up_Irr!BT23),".")</f>
        <v>13821.505926415879</v>
      </c>
      <c r="AY23" s="93">
        <f>IFERROR(s_C*s_IFRI_res_adj*s_CF_rice*0.001*(up_Irr!Y23+up_Irr!AW23+up_Irr!BU23),".")</f>
        <v>13821.505926415879</v>
      </c>
      <c r="AZ23" s="93">
        <f>IFERROR(s_C*s_IFCG_res_adj*s_CF_cereal*0.001*(up_Irr!Z23+up_Irr!AX23+up_Irr!BV23),".")</f>
        <v>13821.505926415879</v>
      </c>
      <c r="BA23" s="76">
        <f t="shared" si="12"/>
        <v>1.8087754064641833E-11</v>
      </c>
      <c r="BB23" s="76">
        <f>IFERROR(IF(AND(up_Irr!C23&lt;&gt;".",up_Irr!AA23&lt;&gt;".",up_Irr!AY23&lt;&gt;"."),up_dir!AC23/((1/1000)*(up_Irr!C23+up_Irr!AA23+up_Irr!AY23)),IF(AND(up_Irr!C23&lt;&gt;".",up_Irr!AA23&lt;&gt;".",up_Irr!AY23="."),up_dir!AC23/((1/1000)*(up_Irr!C23+up_Irr!AA23)),IF(AND(up_Irr!C23&lt;&gt;".",up_Irr!AA23=".",up_Irr!AY23&lt;&gt;"."),up_dir!AC23/((1/1000)*(up_Irr!C23+up_Irr!AY23)),IF(AND(up_Irr!C23=".",up_Irr!AA23&lt;&gt;".",up_Irr!AY23&lt;&gt;"."),up_dir!AC23/((1/1000)*(up_Irr!AA23+up_Irr!AY23)),IF(AND(up_Irr!C23=".",up_Irr!AA23=".",up_Irr!AY23&lt;&gt;"."),up_dir!AC23/((1/1000)*(up_Irr!AY23)),IF(AND(up_Irr!C23=".",up_Irr!AA23&lt;&gt;".",up_Irr!AY23="."),up_dir!AC23/((1/1000)*(up_Irr!AA23)),IF(AND(up_Irr!C23&lt;&gt;".",up_Irr!AA23=".",up_Irr!AY23="."),up_dir!AC23/((1/1000)*(up_Irr!C23)),IF(AND(up_Irr!C23=".",up_Irr!AA23=".",up_Irr!AY23="."),up_dir!AC23*1000)))))))),".")</f>
        <v>7.2351016258567334E-11</v>
      </c>
      <c r="BC23" s="76">
        <f>IFERROR(IF(AND(up_Irr!D23&lt;&gt;".",up_Irr!AB23&lt;&gt;".",up_Irr!AZ23&lt;&gt;"."),up_dir!AD23/((1/1000)*(up_Irr!D23+up_Irr!AB23+up_Irr!AZ23)),IF(AND(up_Irr!D23&lt;&gt;".",up_Irr!AB23&lt;&gt;".",up_Irr!AZ23="."),up_dir!AD23/((1/1000)*(up_Irr!D23+up_Irr!AB23)),IF(AND(up_Irr!D23&lt;&gt;".",up_Irr!AB23=".",up_Irr!AZ23&lt;&gt;"."),up_dir!AD23/((1/1000)*(up_Irr!D23+up_Irr!AZ23)),IF(AND(up_Irr!D23=".",up_Irr!AB23&lt;&gt;".",up_Irr!AZ23&lt;&gt;"."),up_dir!AD23/((1/1000)*(up_Irr!AB23+up_Irr!AZ23)),IF(AND(up_Irr!D23=".",up_Irr!AB23=".",up_Irr!AZ23&lt;&gt;"."),up_dir!AD23/((1/1000)*(up_Irr!AZ23)),IF(AND(up_Irr!D23=".",up_Irr!AB23&lt;&gt;".",up_Irr!AZ23="."),up_dir!AD23/((1/1000)*(up_Irr!AB23)),IF(AND(up_Irr!D23&lt;&gt;".",up_Irr!AB23=".",up_Irr!AZ23="."),up_dir!AD23/((1/1000)*(up_Irr!D23)),IF(AND(up_Irr!D23=".",up_Irr!AB23=".",up_Irr!AZ23="."),up_dir!AD23*1000)))))))),".")</f>
        <v>7.2351016258567334E-11</v>
      </c>
      <c r="BD23" s="76">
        <f>IFERROR(IF(AND(up_Irr!E23&lt;&gt;".",up_Irr!AC23&lt;&gt;".",up_Irr!BA23&lt;&gt;"."),up_dir!AE23/((1/1000)*(up_Irr!E23+up_Irr!AC23+up_Irr!BA23)),IF(AND(up_Irr!E23&lt;&gt;".",up_Irr!AC23&lt;&gt;".",up_Irr!BA23="."),up_dir!AE23/((1/1000)*(up_Irr!E23+up_Irr!AC23)),IF(AND(up_Irr!E23&lt;&gt;".",up_Irr!AC23=".",up_Irr!BA23&lt;&gt;"."),up_dir!AE23/((1/1000)*(up_Irr!E23+up_Irr!BA23)),IF(AND(up_Irr!E23=".",up_Irr!AC23&lt;&gt;".",up_Irr!BA23&lt;&gt;"."),up_dir!AE23/((1/1000)*(up_Irr!AC23+up_Irr!BA23)),IF(AND(up_Irr!E23=".",up_Irr!AC23=".",up_Irr!BA23&lt;&gt;"."),up_dir!AE23/((1/1000)*(up_Irr!BA23)),IF(AND(up_Irr!E23=".",up_Irr!AC23&lt;&gt;".",up_Irr!BA23="."),up_dir!AE23/((1/1000)*(up_Irr!AC23)),IF(AND(up_Irr!E23&lt;&gt;".",up_Irr!AC23=".",up_Irr!BA23="."),up_dir!AE23/((1/1000)*(up_Irr!E23)),IF(AND(up_Irr!E23=".",up_Irr!AC23=".",up_Irr!BA23="."),up_dir!AE23*1000)))))))),".")</f>
        <v>7.2351016258567334E-11</v>
      </c>
      <c r="BE23" s="76">
        <f>IFERROR(IF(AND(up_Irr!F23&lt;&gt;".",up_Irr!AD23&lt;&gt;".",up_Irr!BB23&lt;&gt;"."),up_dir!AF23/((1/1000)*(up_Irr!F23+up_Irr!AD23+up_Irr!BB23)),IF(AND(up_Irr!F23&lt;&gt;".",up_Irr!AD23&lt;&gt;".",up_Irr!BB23="."),up_dir!AF23/((1/1000)*(up_Irr!F23+up_Irr!AD23)),IF(AND(up_Irr!F23&lt;&gt;".",up_Irr!AD23=".",up_Irr!BB23&lt;&gt;"."),up_dir!AF23/((1/1000)*(up_Irr!F23+up_Irr!BB23)),IF(AND(up_Irr!F23=".",up_Irr!AD23&lt;&gt;".",up_Irr!BB23&lt;&gt;"."),up_dir!AF23/((1/1000)*(up_Irr!AD23+up_Irr!BB23)),IF(AND(up_Irr!F23=".",up_Irr!AD23=".",up_Irr!BB23&lt;&gt;"."),up_dir!AF23/((1/1000)*(up_Irr!BB23)),IF(AND(up_Irr!F23=".",up_Irr!AD23&lt;&gt;".",up_Irr!BB23="."),up_dir!AF23/((1/1000)*(up_Irr!AD23)),IF(AND(up_Irr!F23&lt;&gt;".",up_Irr!AD23=".",up_Irr!BB23="."),up_dir!AF23/((1/1000)*(up_Irr!F23)),IF(AND(up_Irr!F23=".",up_Irr!AD23=".",up_Irr!BB23="."),up_dir!AF23*1000)))))))),".")</f>
        <v>7.2351016258567334E-11</v>
      </c>
      <c r="BF23" s="76">
        <f>IFERROR(IF(AND(up_Irr!G23&lt;&gt;".",up_Irr!AE23&lt;&gt;".",up_Irr!BC23&lt;&gt;"."),up_dir!AG23/((1/1000)*(up_Irr!G23+up_Irr!AE23+up_Irr!BC23)),IF(AND(up_Irr!G23&lt;&gt;".",up_Irr!AE23&lt;&gt;".",up_Irr!BC23="."),up_dir!AG23/((1/1000)*(up_Irr!G23+up_Irr!AE23)),IF(AND(up_Irr!G23&lt;&gt;".",up_Irr!AE23=".",up_Irr!BC23&lt;&gt;"."),up_dir!AG23/((1/1000)*(up_Irr!G23+up_Irr!BC23)),IF(AND(up_Irr!G23=".",up_Irr!AE23&lt;&gt;".",up_Irr!BC23&lt;&gt;"."),up_dir!AG23/((1/1000)*(up_Irr!AE23+up_Irr!BC23)),IF(AND(up_Irr!G23=".",up_Irr!AE23=".",up_Irr!BC23&lt;&gt;"."),up_dir!AG23/((1/1000)*(up_Irr!BC23)),IF(AND(up_Irr!G23=".",up_Irr!AE23&lt;&gt;".",up_Irr!BC23="."),up_dir!AG23/((1/1000)*(up_Irr!AE23)),IF(AND(up_Irr!G23&lt;&gt;".",up_Irr!AE23=".",up_Irr!BC23="."),up_dir!AG23/((1/1000)*(up_Irr!G23)),IF(AND(up_Irr!G23=".",up_Irr!AE23=".",up_Irr!BC23="."),up_dir!AG23*1000)))))))),".")</f>
        <v>7.2351016258567334E-11</v>
      </c>
      <c r="BG23" s="76">
        <f>IFERROR(IF(AND(up_Irr!H23&lt;&gt;".",up_Irr!AF23&lt;&gt;".",up_Irr!BD23&lt;&gt;"."),up_dir!AH23/((1/1000)*(up_Irr!H23+up_Irr!AF23+up_Irr!BD23)),IF(AND(up_Irr!H23&lt;&gt;".",up_Irr!AF23&lt;&gt;".",up_Irr!BD23="."),up_dir!AH23/((1/1000)*(up_Irr!H23+up_Irr!AF23)),IF(AND(up_Irr!H23&lt;&gt;".",up_Irr!AF23=".",up_Irr!BD23&lt;&gt;"."),up_dir!AH23/((1/1000)*(up_Irr!H23+up_Irr!BD23)),IF(AND(up_Irr!H23=".",up_Irr!AF23&lt;&gt;".",up_Irr!BD23&lt;&gt;"."),up_dir!AH23/((1/1000)*(up_Irr!AF23+up_Irr!BD23)),IF(AND(up_Irr!H23=".",up_Irr!AF23=".",up_Irr!BD23&lt;&gt;"."),up_dir!AH23/((1/1000)*(up_Irr!BD23)),IF(AND(up_Irr!H23=".",up_Irr!AF23&lt;&gt;".",up_Irr!BD23="."),up_dir!AH23/((1/1000)*(up_Irr!AF23)),IF(AND(up_Irr!H23&lt;&gt;".",up_Irr!AF23=".",up_Irr!BD23="."),up_dir!AH23/((1/1000)*(up_Irr!H23)),IF(AND(up_Irr!H23=".",up_Irr!AF23=".",up_Irr!BD23="."),up_dir!AH23*1000)))))))),".")</f>
        <v>7.2351016258567334E-11</v>
      </c>
      <c r="BH23" s="76">
        <f>IFERROR(IF(AND(up_Irr!I23&lt;&gt;".",up_Irr!AG23&lt;&gt;".",up_Irr!BE23&lt;&gt;"."),up_dir!AI23/((1/1000)*(up_Irr!I23+up_Irr!AG23+up_Irr!BE23)),IF(AND(up_Irr!I23&lt;&gt;".",up_Irr!AG23&lt;&gt;".",up_Irr!BE23="."),up_dir!AI23/((1/1000)*(up_Irr!I23+up_Irr!AG23)),IF(AND(up_Irr!I23&lt;&gt;".",up_Irr!AG23=".",up_Irr!BE23&lt;&gt;"."),up_dir!AI23/((1/1000)*(up_Irr!I23+up_Irr!BE23)),IF(AND(up_Irr!I23=".",up_Irr!AG23&lt;&gt;".",up_Irr!BE23&lt;&gt;"."),up_dir!AI23/((1/1000)*(up_Irr!AG23+up_Irr!BE23)),IF(AND(up_Irr!I23=".",up_Irr!AG23=".",up_Irr!BE23&lt;&gt;"."),up_dir!AI23/((1/1000)*(up_Irr!BE23)),IF(AND(up_Irr!I23=".",up_Irr!AG23&lt;&gt;".",up_Irr!BE23="."),up_dir!AI23/((1/1000)*(up_Irr!AG23)),IF(AND(up_Irr!I23&lt;&gt;".",up_Irr!AG23=".",up_Irr!BE23="."),up_dir!AI23/((1/1000)*(up_Irr!I23)),IF(AND(up_Irr!I23=".",up_Irr!AG23=".",up_Irr!BE23="."),up_dir!AI23*1000)))))))),".")</f>
        <v>7.2351016258567334E-11</v>
      </c>
      <c r="BI23" s="76">
        <f>IFERROR(IF(AND(up_Irr!J23&lt;&gt;".",up_Irr!AH23&lt;&gt;".",up_Irr!BF23&lt;&gt;"."),up_dir!AJ23/((1/1000)*(up_Irr!J23+up_Irr!AH23+up_Irr!BF23)),IF(AND(up_Irr!J23&lt;&gt;".",up_Irr!AH23&lt;&gt;".",up_Irr!BF23="."),up_dir!AJ23/((1/1000)*(up_Irr!J23+up_Irr!AH23)),IF(AND(up_Irr!J23&lt;&gt;".",up_Irr!AH23=".",up_Irr!BF23&lt;&gt;"."),up_dir!AJ23/((1/1000)*(up_Irr!J23+up_Irr!BF23)),IF(AND(up_Irr!J23=".",up_Irr!AH23&lt;&gt;".",up_Irr!BF23&lt;&gt;"."),up_dir!AJ23/((1/1000)*(up_Irr!AH23+up_Irr!BF23)),IF(AND(up_Irr!J23=".",up_Irr!AH23=".",up_Irr!BF23&lt;&gt;"."),up_dir!AJ23/((1/1000)*(up_Irr!BF23)),IF(AND(up_Irr!J23=".",up_Irr!AH23&lt;&gt;".",up_Irr!BF23="."),up_dir!AJ23/((1/1000)*(up_Irr!AH23)),IF(AND(up_Irr!J23&lt;&gt;".",up_Irr!AH23=".",up_Irr!BF23="."),up_dir!AJ23/((1/1000)*(up_Irr!J23)),IF(AND(up_Irr!J23=".",up_Irr!AH23=".",up_Irr!BF23="."),up_dir!AJ23*1000)))))))),".")</f>
        <v>7.2351016258567334E-11</v>
      </c>
      <c r="BJ23" s="76">
        <f>IFERROR(IF(AND(up_Irr!K23&lt;&gt;".",up_Irr!AI23&lt;&gt;".",up_Irr!BG23&lt;&gt;"."),up_dir!AK23/((1/1000)*(up_Irr!K23+up_Irr!AI23+up_Irr!BG23)),IF(AND(up_Irr!K23&lt;&gt;".",up_Irr!AI23&lt;&gt;".",up_Irr!BG23="."),up_dir!AK23/((1/1000)*(up_Irr!K23+up_Irr!AI23)),IF(AND(up_Irr!K23&lt;&gt;".",up_Irr!AI23=".",up_Irr!BG23&lt;&gt;"."),up_dir!AK23/((1/1000)*(up_Irr!K23+up_Irr!BG23)),IF(AND(up_Irr!K23=".",up_Irr!AI23&lt;&gt;".",up_Irr!BG23&lt;&gt;"."),up_dir!AK23/((1/1000)*(up_Irr!AI23+up_Irr!BG23)),IF(AND(up_Irr!K23=".",up_Irr!AI23=".",up_Irr!BG23&lt;&gt;"."),up_dir!AK23/((1/1000)*(up_Irr!BG23)),IF(AND(up_Irr!K23=".",up_Irr!AI23&lt;&gt;".",up_Irr!BG23="."),up_dir!AK23/((1/1000)*(up_Irr!AI23)),IF(AND(up_Irr!K23&lt;&gt;".",up_Irr!AI23=".",up_Irr!BG23="."),up_dir!AK23/((1/1000)*(up_Irr!K23)),IF(AND(up_Irr!K23=".",up_Irr!AI23=".",up_Irr!BG23="."),up_dir!AK23*1000)))))))),".")</f>
        <v>7.2351016258567334E-11</v>
      </c>
      <c r="BK23" s="76">
        <f>IFERROR(IF(AND(up_Irr!L23&lt;&gt;".",up_Irr!AJ23&lt;&gt;".",up_Irr!BH23&lt;&gt;"."),up_dir!AL23/((1/1000)*(up_Irr!L23+up_Irr!AJ23+up_Irr!BH23)),IF(AND(up_Irr!L23&lt;&gt;".",up_Irr!AJ23&lt;&gt;".",up_Irr!BH23="."),up_dir!AL23/((1/1000)*(up_Irr!L23+up_Irr!AJ23)),IF(AND(up_Irr!L23&lt;&gt;".",up_Irr!AJ23=".",up_Irr!BH23&lt;&gt;"."),up_dir!AL23/((1/1000)*(up_Irr!L23+up_Irr!BH23)),IF(AND(up_Irr!L23=".",up_Irr!AJ23&lt;&gt;".",up_Irr!BH23&lt;&gt;"."),up_dir!AL23/((1/1000)*(up_Irr!AJ23+up_Irr!BH23)),IF(AND(up_Irr!L23=".",up_Irr!AJ23=".",up_Irr!BH23&lt;&gt;"."),up_dir!AL23/((1/1000)*(up_Irr!BH23)),IF(AND(up_Irr!L23=".",up_Irr!AJ23&lt;&gt;".",up_Irr!BH23="."),up_dir!AL23/((1/1000)*(up_Irr!AJ23)),IF(AND(up_Irr!L23&lt;&gt;".",up_Irr!AJ23=".",up_Irr!BH23="."),up_dir!AL23/((1/1000)*(up_Irr!L23)),IF(AND(up_Irr!L23=".",up_Irr!AJ23=".",up_Irr!BH23="."),up_dir!AL23*1000)))))))),".")</f>
        <v>7.2351016258567334E-11</v>
      </c>
      <c r="BL23" s="76">
        <f>IFERROR(IF(AND(up_Irr!M23&lt;&gt;".",up_Irr!AK23&lt;&gt;".",up_Irr!BI23&lt;&gt;"."),up_dir!AM23/((1/1000)*(up_Irr!M23+up_Irr!AK23+up_Irr!BI23)),IF(AND(up_Irr!M23&lt;&gt;".",up_Irr!AK23&lt;&gt;".",up_Irr!BI23="."),up_dir!AM23/((1/1000)*(up_Irr!M23+up_Irr!AK23)),IF(AND(up_Irr!M23&lt;&gt;".",up_Irr!AK23=".",up_Irr!BI23&lt;&gt;"."),up_dir!AM23/((1/1000)*(up_Irr!M23+up_Irr!BI23)),IF(AND(up_Irr!M23=".",up_Irr!AK23&lt;&gt;".",up_Irr!BI23&lt;&gt;"."),up_dir!AM23/((1/1000)*(up_Irr!AK23+up_Irr!BI23)),IF(AND(up_Irr!M23=".",up_Irr!AK23=".",up_Irr!BI23&lt;&gt;"."),up_dir!AM23/((1/1000)*(up_Irr!BI23)),IF(AND(up_Irr!M23=".",up_Irr!AK23&lt;&gt;".",up_Irr!BI23="."),up_dir!AM23/((1/1000)*(up_Irr!AK23)),IF(AND(up_Irr!M23&lt;&gt;".",up_Irr!AK23=".",up_Irr!BI23="."),up_dir!AM23/((1/1000)*(up_Irr!M23)),IF(AND(up_Irr!M23=".",up_Irr!AK23=".",up_Irr!BI23="."),up_dir!AM23*1000)))))))),".")</f>
        <v>7.2351016258567334E-11</v>
      </c>
      <c r="BM23" s="76">
        <f>IFERROR(IF(AND(up_Irr!N23&lt;&gt;".",up_Irr!AL23&lt;&gt;".",up_Irr!BJ23&lt;&gt;"."),up_dir!AN23/((1/1000)*(up_Irr!N23+up_Irr!AL23+up_Irr!BJ23)),IF(AND(up_Irr!N23&lt;&gt;".",up_Irr!AL23&lt;&gt;".",up_Irr!BJ23="."),up_dir!AN23/((1/1000)*(up_Irr!N23+up_Irr!AL23)),IF(AND(up_Irr!N23&lt;&gt;".",up_Irr!AL23=".",up_Irr!BJ23&lt;&gt;"."),up_dir!AN23/((1/1000)*(up_Irr!N23+up_Irr!BJ23)),IF(AND(up_Irr!N23=".",up_Irr!AL23&lt;&gt;".",up_Irr!BJ23&lt;&gt;"."),up_dir!AN23/((1/1000)*(up_Irr!AL23+up_Irr!BJ23)),IF(AND(up_Irr!N23=".",up_Irr!AL23=".",up_Irr!BJ23&lt;&gt;"."),up_dir!AN23/((1/1000)*(up_Irr!BJ23)),IF(AND(up_Irr!N23=".",up_Irr!AL23&lt;&gt;".",up_Irr!BJ23="."),up_dir!AN23/((1/1000)*(up_Irr!AL23)),IF(AND(up_Irr!N23&lt;&gt;".",up_Irr!AL23=".",up_Irr!BJ23="."),up_dir!AN23/((1/1000)*(up_Irr!N23)),IF(AND(up_Irr!N23=".",up_Irr!AL23=".",up_Irr!BJ23="."),up_dir!AN23*1000)))))))),".")</f>
        <v>7.2351016258567334E-11</v>
      </c>
      <c r="BN23" s="76">
        <f>IFERROR(IF(AND(up_Irr!O23&lt;&gt;".",up_Irr!AM23&lt;&gt;".",up_Irr!BK23&lt;&gt;"."),up_dir!AO23/((1/1000)*(up_Irr!O23+up_Irr!AM23+up_Irr!BK23)),IF(AND(up_Irr!O23&lt;&gt;".",up_Irr!AM23&lt;&gt;".",up_Irr!BK23="."),up_dir!AO23/((1/1000)*(up_Irr!O23+up_Irr!AM23)),IF(AND(up_Irr!O23&lt;&gt;".",up_Irr!AM23=".",up_Irr!BK23&lt;&gt;"."),up_dir!AO23/((1/1000)*(up_Irr!O23+up_Irr!BK23)),IF(AND(up_Irr!O23=".",up_Irr!AM23&lt;&gt;".",up_Irr!BK23&lt;&gt;"."),up_dir!AO23/((1/1000)*(up_Irr!AM23+up_Irr!BK23)),IF(AND(up_Irr!O23=".",up_Irr!AM23=".",up_Irr!BK23&lt;&gt;"."),up_dir!AO23/((1/1000)*(up_Irr!BK23)),IF(AND(up_Irr!O23=".",up_Irr!AM23&lt;&gt;".",up_Irr!BK23="."),up_dir!AO23/((1/1000)*(up_Irr!AM23)),IF(AND(up_Irr!O23&lt;&gt;".",up_Irr!AM23=".",up_Irr!BK23="."),up_dir!AO23/((1/1000)*(up_Irr!O23)),IF(AND(up_Irr!O23=".",up_Irr!AM23=".",up_Irr!BK23="."),up_dir!AO23*1000)))))))),".")</f>
        <v>7.2351016258567334E-11</v>
      </c>
      <c r="BO23" s="76">
        <f>IFERROR(IF(AND(up_Irr!P23&lt;&gt;".",up_Irr!AN23&lt;&gt;".",up_Irr!BL23&lt;&gt;"."),up_dir!AP23/((1/1000)*(up_Irr!P23+up_Irr!AN23+up_Irr!BL23)),IF(AND(up_Irr!P23&lt;&gt;".",up_Irr!AN23&lt;&gt;".",up_Irr!BL23="."),up_dir!AP23/((1/1000)*(up_Irr!P23+up_Irr!AN23)),IF(AND(up_Irr!P23&lt;&gt;".",up_Irr!AN23=".",up_Irr!BL23&lt;&gt;"."),up_dir!AP23/((1/1000)*(up_Irr!P23+up_Irr!BL23)),IF(AND(up_Irr!P23=".",up_Irr!AN23&lt;&gt;".",up_Irr!BL23&lt;&gt;"."),up_dir!AP23/((1/1000)*(up_Irr!AN23+up_Irr!BL23)),IF(AND(up_Irr!P23=".",up_Irr!AN23=".",up_Irr!BL23&lt;&gt;"."),up_dir!AP23/((1/1000)*(up_Irr!BL23)),IF(AND(up_Irr!P23=".",up_Irr!AN23&lt;&gt;".",up_Irr!BL23="."),up_dir!AP23/((1/1000)*(up_Irr!AN23)),IF(AND(up_Irr!P23&lt;&gt;".",up_Irr!AN23=".",up_Irr!BL23="."),up_dir!AP23/((1/1000)*(up_Irr!P23)),IF(AND(up_Irr!P23=".",up_Irr!AN23=".",up_Irr!BL23="."),up_dir!AP23*1000)))))))),".")</f>
        <v>7.2351016258567334E-11</v>
      </c>
      <c r="BP23" s="76">
        <f>IFERROR(IF(AND(up_Irr!Q23&lt;&gt;".",up_Irr!AO23&lt;&gt;".",up_Irr!BM23&lt;&gt;"."),up_dir!AQ23/((1/1000)*(up_Irr!Q23+up_Irr!AO23+up_Irr!BM23)),IF(AND(up_Irr!Q23&lt;&gt;".",up_Irr!AO23&lt;&gt;".",up_Irr!BM23="."),up_dir!AQ23/((1/1000)*(up_Irr!Q23+up_Irr!AO23)),IF(AND(up_Irr!Q23&lt;&gt;".",up_Irr!AO23=".",up_Irr!BM23&lt;&gt;"."),up_dir!AQ23/((1/1000)*(up_Irr!Q23+up_Irr!BM23)),IF(AND(up_Irr!Q23=".",up_Irr!AO23&lt;&gt;".",up_Irr!BM23&lt;&gt;"."),up_dir!AQ23/((1/1000)*(up_Irr!AO23+up_Irr!BM23)),IF(AND(up_Irr!Q23=".",up_Irr!AO23=".",up_Irr!BM23&lt;&gt;"."),up_dir!AQ23/((1/1000)*(up_Irr!BM23)),IF(AND(up_Irr!Q23=".",up_Irr!AO23&lt;&gt;".",up_Irr!BM23="."),up_dir!AQ23/((1/1000)*(up_Irr!AO23)),IF(AND(up_Irr!Q23&lt;&gt;".",up_Irr!AO23=".",up_Irr!BM23="."),up_dir!AQ23/((1/1000)*(up_Irr!Q23)),IF(AND(up_Irr!Q23=".",up_Irr!AO23=".",up_Irr!BM23="."),up_dir!AQ23*1000)))))))),".")</f>
        <v>7.2351016258567334E-11</v>
      </c>
      <c r="BQ23" s="76">
        <f>IFERROR(IF(AND(up_Irr!R23&lt;&gt;".",up_Irr!AP23&lt;&gt;".",up_Irr!BN23&lt;&gt;"."),up_dir!AR23/((1/1000)*(up_Irr!R23+up_Irr!AP23+up_Irr!BN23)),IF(AND(up_Irr!R23&lt;&gt;".",up_Irr!AP23&lt;&gt;".",up_Irr!BN23="."),up_dir!AR23/((1/1000)*(up_Irr!R23+up_Irr!AP23)),IF(AND(up_Irr!R23&lt;&gt;".",up_Irr!AP23=".",up_Irr!BN23&lt;&gt;"."),up_dir!AR23/((1/1000)*(up_Irr!R23+up_Irr!BN23)),IF(AND(up_Irr!R23=".",up_Irr!AP23&lt;&gt;".",up_Irr!BN23&lt;&gt;"."),up_dir!AR23/((1/1000)*(up_Irr!AP23+up_Irr!BN23)),IF(AND(up_Irr!R23=".",up_Irr!AP23=".",up_Irr!BN23&lt;&gt;"."),up_dir!AR23/((1/1000)*(up_Irr!BN23)),IF(AND(up_Irr!R23=".",up_Irr!AP23&lt;&gt;".",up_Irr!BN23="."),up_dir!AR23/((1/1000)*(up_Irr!AP23)),IF(AND(up_Irr!R23&lt;&gt;".",up_Irr!AP23=".",up_Irr!BN23="."),up_dir!AR23/((1/1000)*(up_Irr!R23)),IF(AND(up_Irr!R23=".",up_Irr!AP23=".",up_Irr!BN23="."),up_dir!AR23*1000)))))))),".")</f>
        <v>7.2351016258567334E-11</v>
      </c>
      <c r="BR23" s="76">
        <f>IFERROR(IF(AND(up_Irr!S23&lt;&gt;".",up_Irr!AQ23&lt;&gt;".",up_Irr!BO23&lt;&gt;"."),up_dir!AS23/((1/1000)*(up_Irr!S23+up_Irr!AQ23+up_Irr!BO23)),IF(AND(up_Irr!S23&lt;&gt;".",up_Irr!AQ23&lt;&gt;".",up_Irr!BO23="."),up_dir!AS23/((1/1000)*(up_Irr!S23+up_Irr!AQ23)),IF(AND(up_Irr!S23&lt;&gt;".",up_Irr!AQ23=".",up_Irr!BO23&lt;&gt;"."),up_dir!AS23/((1/1000)*(up_Irr!S23+up_Irr!BO23)),IF(AND(up_Irr!S23=".",up_Irr!AQ23&lt;&gt;".",up_Irr!BO23&lt;&gt;"."),up_dir!AS23/((1/1000)*(up_Irr!AQ23+up_Irr!BO23)),IF(AND(up_Irr!S23=".",up_Irr!AQ23=".",up_Irr!BO23&lt;&gt;"."),up_dir!AS23/((1/1000)*(up_Irr!BO23)),IF(AND(up_Irr!S23=".",up_Irr!AQ23&lt;&gt;".",up_Irr!BO23="."),up_dir!AS23/((1/1000)*(up_Irr!AQ23)),IF(AND(up_Irr!S23&lt;&gt;".",up_Irr!AQ23=".",up_Irr!BO23="."),up_dir!AS23/((1/1000)*(up_Irr!S23)),IF(AND(up_Irr!S23=".",up_Irr!AQ23=".",up_Irr!BO23="."),up_dir!AS23*1000)))))))),".")</f>
        <v>7.2351016258567334E-11</v>
      </c>
      <c r="BS23" s="76">
        <f>IFERROR(IF(AND(up_Irr!T23&lt;&gt;".",up_Irr!AR23&lt;&gt;".",up_Irr!BP23&lt;&gt;"."),up_dir!AT23/((1/1000)*(up_Irr!T23+up_Irr!AR23+up_Irr!BP23)),IF(AND(up_Irr!T23&lt;&gt;".",up_Irr!AR23&lt;&gt;".",up_Irr!BP23="."),up_dir!AT23/((1/1000)*(up_Irr!T23+up_Irr!AR23)),IF(AND(up_Irr!T23&lt;&gt;".",up_Irr!AR23=".",up_Irr!BP23&lt;&gt;"."),up_dir!AT23/((1/1000)*(up_Irr!T23+up_Irr!BP23)),IF(AND(up_Irr!T23=".",up_Irr!AR23&lt;&gt;".",up_Irr!BP23&lt;&gt;"."),up_dir!AT23/((1/1000)*(up_Irr!AR23+up_Irr!BP23)),IF(AND(up_Irr!T23=".",up_Irr!AR23=".",up_Irr!BP23&lt;&gt;"."),up_dir!AT23/((1/1000)*(up_Irr!BP23)),IF(AND(up_Irr!T23=".",up_Irr!AR23&lt;&gt;".",up_Irr!BP23="."),up_dir!AT23/((1/1000)*(up_Irr!AR23)),IF(AND(up_Irr!T23&lt;&gt;".",up_Irr!AR23=".",up_Irr!BP23="."),up_dir!AT23/((1/1000)*(up_Irr!T23)),IF(AND(up_Irr!T23=".",up_Irr!AR23=".",up_Irr!BP23="."),up_dir!AT23*1000)))))))),".")</f>
        <v>7.2351016258567334E-11</v>
      </c>
      <c r="BT23" s="76">
        <f>IFERROR(IF(AND(up_Irr!U23&lt;&gt;".",up_Irr!AS23&lt;&gt;".",up_Irr!BQ23&lt;&gt;"."),up_dir!AU23/((1/1000)*(up_Irr!U23+up_Irr!AS23+up_Irr!BQ23)),IF(AND(up_Irr!U23&lt;&gt;".",up_Irr!AS23&lt;&gt;".",up_Irr!BQ23="."),up_dir!AU23/((1/1000)*(up_Irr!U23+up_Irr!AS23)),IF(AND(up_Irr!U23&lt;&gt;".",up_Irr!AS23=".",up_Irr!BQ23&lt;&gt;"."),up_dir!AU23/((1/1000)*(up_Irr!U23+up_Irr!BQ23)),IF(AND(up_Irr!U23=".",up_Irr!AS23&lt;&gt;".",up_Irr!BQ23&lt;&gt;"."),up_dir!AU23/((1/1000)*(up_Irr!AS23+up_Irr!BQ23)),IF(AND(up_Irr!U23=".",up_Irr!AS23=".",up_Irr!BQ23&lt;&gt;"."),up_dir!AU23/((1/1000)*(up_Irr!BQ23)),IF(AND(up_Irr!U23=".",up_Irr!AS23&lt;&gt;".",up_Irr!BQ23="."),up_dir!AU23/((1/1000)*(up_Irr!AS23)),IF(AND(up_Irr!U23&lt;&gt;".",up_Irr!AS23=".",up_Irr!BQ23="."),up_dir!AU23/((1/1000)*(up_Irr!U23)),IF(AND(up_Irr!U23=".",up_Irr!AS23=".",up_Irr!BQ23="."),up_dir!AU23*1000)))))))),".")</f>
        <v>7.2351016258567334E-11</v>
      </c>
      <c r="BU23" s="76">
        <f>IFERROR(IF(AND(up_Irr!V23&lt;&gt;".",up_Irr!AT23&lt;&gt;".",up_Irr!BR23&lt;&gt;"."),up_dir!AV23/((1/1000)*(up_Irr!V23+up_Irr!AT23+up_Irr!BR23)),IF(AND(up_Irr!V23&lt;&gt;".",up_Irr!AT23&lt;&gt;".",up_Irr!BR23="."),up_dir!AV23/((1/1000)*(up_Irr!V23+up_Irr!AT23)),IF(AND(up_Irr!V23&lt;&gt;".",up_Irr!AT23=".",up_Irr!BR23&lt;&gt;"."),up_dir!AV23/((1/1000)*(up_Irr!V23+up_Irr!BR23)),IF(AND(up_Irr!V23=".",up_Irr!AT23&lt;&gt;".",up_Irr!BR23&lt;&gt;"."),up_dir!AV23/((1/1000)*(up_Irr!AT23+up_Irr!BR23)),IF(AND(up_Irr!V23=".",up_Irr!AT23=".",up_Irr!BR23&lt;&gt;"."),up_dir!AV23/((1/1000)*(up_Irr!BR23)),IF(AND(up_Irr!V23=".",up_Irr!AT23&lt;&gt;".",up_Irr!BR23="."),up_dir!AV23/((1/1000)*(up_Irr!AT23)),IF(AND(up_Irr!V23&lt;&gt;".",up_Irr!AT23=".",up_Irr!BR23="."),up_dir!AV23/((1/1000)*(up_Irr!V23)),IF(AND(up_Irr!V23=".",up_Irr!AT23=".",up_Irr!BR23="."),up_dir!AV23*1000)))))))),".")</f>
        <v>7.2351016258567334E-11</v>
      </c>
      <c r="BV23" s="76">
        <f>IFERROR(IF(AND(up_Irr!W23&lt;&gt;".",up_Irr!AU23&lt;&gt;".",up_Irr!BS23&lt;&gt;"."),up_dir!AW23/((1/1000)*(up_Irr!W23+up_Irr!AU23+up_Irr!BS23)),IF(AND(up_Irr!W23&lt;&gt;".",up_Irr!AU23&lt;&gt;".",up_Irr!BS23="."),up_dir!AW23/((1/1000)*(up_Irr!W23+up_Irr!AU23)),IF(AND(up_Irr!W23&lt;&gt;".",up_Irr!AU23=".",up_Irr!BS23&lt;&gt;"."),up_dir!AW23/((1/1000)*(up_Irr!W23+up_Irr!BS23)),IF(AND(up_Irr!W23=".",up_Irr!AU23&lt;&gt;".",up_Irr!BS23&lt;&gt;"."),up_dir!AW23/((1/1000)*(up_Irr!AU23+up_Irr!BS23)),IF(AND(up_Irr!W23=".",up_Irr!AU23=".",up_Irr!BS23&lt;&gt;"."),up_dir!AW23/((1/1000)*(up_Irr!BS23)),IF(AND(up_Irr!W23=".",up_Irr!AU23&lt;&gt;".",up_Irr!BS23="."),up_dir!AW23/((1/1000)*(up_Irr!AU23)),IF(AND(up_Irr!W23&lt;&gt;".",up_Irr!AU23=".",up_Irr!BS23="."),up_dir!AW23/((1/1000)*(up_Irr!W23)),IF(AND(up_Irr!W23=".",up_Irr!AU23=".",up_Irr!BS23="."),up_dir!AW23*1000)))))))),".")</f>
        <v>7.2351016258567334E-11</v>
      </c>
      <c r="BW23" s="76">
        <f>IFERROR(IF(AND(up_Irr!X23&lt;&gt;".",up_Irr!AV23&lt;&gt;".",up_Irr!BT23&lt;&gt;"."),up_dir!AX23/((1/1000)*(up_Irr!X23+up_Irr!AV23+up_Irr!BT23)),IF(AND(up_Irr!X23&lt;&gt;".",up_Irr!AV23&lt;&gt;".",up_Irr!BT23="."),up_dir!AX23/((1/1000)*(up_Irr!X23+up_Irr!AV23)),IF(AND(up_Irr!X23&lt;&gt;".",up_Irr!AV23=".",up_Irr!BT23&lt;&gt;"."),up_dir!AX23/((1/1000)*(up_Irr!X23+up_Irr!BT23)),IF(AND(up_Irr!X23=".",up_Irr!AV23&lt;&gt;".",up_Irr!BT23&lt;&gt;"."),up_dir!AX23/((1/1000)*(up_Irr!AV23+up_Irr!BT23)),IF(AND(up_Irr!X23=".",up_Irr!AV23=".",up_Irr!BT23&lt;&gt;"."),up_dir!AX23/((1/1000)*(up_Irr!BT23)),IF(AND(up_Irr!X23=".",up_Irr!AV23&lt;&gt;".",up_Irr!BT23="."),up_dir!AX23/((1/1000)*(up_Irr!AV23)),IF(AND(up_Irr!X23&lt;&gt;".",up_Irr!AV23=".",up_Irr!BT23="."),up_dir!AX23/((1/1000)*(up_Irr!X23)),IF(AND(up_Irr!X23=".",up_Irr!AV23=".",up_Irr!BT23="."),up_dir!AX23*1000)))))))),".")</f>
        <v>7.2351016258567334E-11</v>
      </c>
      <c r="BX23" s="76">
        <f>IFERROR(IF(AND(up_Irr!Y23&lt;&gt;".",up_Irr!AW23&lt;&gt;".",up_Irr!BU23&lt;&gt;"."),up_dir!AY23/((1/1000)*(up_Irr!Y23+up_Irr!AW23+up_Irr!BU23)),IF(AND(up_Irr!Y23&lt;&gt;".",up_Irr!AW23&lt;&gt;".",up_Irr!BU23="."),up_dir!AY23/((1/1000)*(up_Irr!Y23+up_Irr!AW23)),IF(AND(up_Irr!Y23&lt;&gt;".",up_Irr!AW23=".",up_Irr!BU23&lt;&gt;"."),up_dir!AY23/((1/1000)*(up_Irr!Y23+up_Irr!BU23)),IF(AND(up_Irr!Y23=".",up_Irr!AW23&lt;&gt;".",up_Irr!BU23&lt;&gt;"."),up_dir!AY23/((1/1000)*(up_Irr!AW23+up_Irr!BU23)),IF(AND(up_Irr!Y23=".",up_Irr!AW23=".",up_Irr!BU23&lt;&gt;"."),up_dir!AY23/((1/1000)*(up_Irr!BU23)),IF(AND(up_Irr!Y23=".",up_Irr!AW23&lt;&gt;".",up_Irr!BU23="."),up_dir!AY23/((1/1000)*(up_Irr!AW23)),IF(AND(up_Irr!Y23&lt;&gt;".",up_Irr!AW23=".",up_Irr!BU23="."),up_dir!AY23/((1/1000)*(up_Irr!Y23)),IF(AND(up_Irr!Y23=".",up_Irr!AW23=".",up_Irr!BU23="."),up_dir!AY23*1000)))))))),".")</f>
        <v>7.2351016258567334E-11</v>
      </c>
      <c r="BY23" s="76">
        <f>IFERROR(IF(AND(up_Irr!Z23&lt;&gt;".",up_Irr!AX23&lt;&gt;".",up_Irr!BV23&lt;&gt;"."),up_dir!AZ23/((1/1000)*(up_Irr!Z23+up_Irr!AX23+up_Irr!BV23)),IF(AND(up_Irr!Z23&lt;&gt;".",up_Irr!AX23&lt;&gt;".",up_Irr!BV23="."),up_dir!AZ23/((1/1000)*(up_Irr!Z23+up_Irr!AX23)),IF(AND(up_Irr!Z23&lt;&gt;".",up_Irr!AX23=".",up_Irr!BV23&lt;&gt;"."),up_dir!AZ23/((1/1000)*(up_Irr!Z23+up_Irr!BV23)),IF(AND(up_Irr!Z23=".",up_Irr!AX23&lt;&gt;".",up_Irr!BV23&lt;&gt;"."),up_dir!AZ23/((1/1000)*(up_Irr!AX23+up_Irr!BV23)),IF(AND(up_Irr!Z23=".",up_Irr!AX23=".",up_Irr!BV23&lt;&gt;"."),up_dir!AZ23/((1/1000)*(up_Irr!BV23)),IF(AND(up_Irr!Z23=".",up_Irr!AX23&lt;&gt;".",up_Irr!BV23="."),up_dir!AZ23/((1/1000)*(up_Irr!AX23)),IF(AND(up_Irr!Z23&lt;&gt;".",up_Irr!AX23=".",up_Irr!BV23="."),up_dir!AZ23/((1/1000)*(up_Irr!Z23)),IF(AND(up_Irr!Z23=".",up_Irr!AX23=".",up_Irr!BV23="."),up_dir!AZ23*1000)))))))),".")</f>
        <v>7.2351016258567334E-11</v>
      </c>
      <c r="BZ23" s="93">
        <f t="shared" si="13"/>
        <v>55286.023705663516</v>
      </c>
      <c r="CA23" s="93">
        <f>IFERROR(s_C*s_IFAP_far_adj*s_CF_apple*(1/1000)*(up_Irr!C23+up_Irr!AA23+up_Irr!AY23),".")</f>
        <v>13821.505926415879</v>
      </c>
      <c r="CB23" s="93">
        <f>IFERROR(s_C*s_IFAS_far_adj*s_CF_asparagus*(1/1000)*(up_Irr!D23+up_Irr!AB23+up_Irr!AZ23),".")</f>
        <v>13821.505926415879</v>
      </c>
      <c r="CC23" s="93">
        <f>IFERROR(s_C*s_IFBT_far_adj*s_CF_beet*(1/1000)*(up_Irr!E23+up_Irr!AC23+up_Irr!BA23),".")</f>
        <v>13821.505926415879</v>
      </c>
      <c r="CD23" s="93">
        <f>IFERROR(s_C*s_IFBE_far_adj*s_CF_berries*(1/1000)*(up_Irr!F23+up_Irr!AD23+up_Irr!BB23),".")</f>
        <v>13821.505926415879</v>
      </c>
      <c r="CE23" s="93">
        <f>IFERROR(s_C*s_IFBR_far_adj*s_CF_broccoli*(1/1000)*(up_Irr!G23+up_Irr!AE23+up_Irr!BC23),".")</f>
        <v>13821.505926415879</v>
      </c>
      <c r="CF23" s="93">
        <f>IFERROR(s_C*s_IFCB_far_adj*s_CF_cabbage*(1/1000)*(up_Irr!H23+up_Irr!AF23+up_Irr!BD23),".")</f>
        <v>13821.505926415879</v>
      </c>
      <c r="CG23" s="93">
        <f>IFERROR(s_C*s_IFCR_far_adj*s_CF_carrot*(1/1000)*(up_Irr!I23+up_Irr!AG23+up_Irr!BE23),".")</f>
        <v>13821.505926415879</v>
      </c>
      <c r="CH23" s="93">
        <f>IFERROR(s_C*s_IFCI_far_adj*s_CF_citrus*(1/1000)*(up_Irr!J23+up_Irr!AH23+up_Irr!BF23),".")</f>
        <v>13821.505926415879</v>
      </c>
      <c r="CI23" s="93">
        <f>IFERROR(s_C*s_IFCO_far_adj*s_CF_corn*(1/1000)*(up_Irr!K23+up_Irr!AI23+up_Irr!BG23),".")</f>
        <v>13821.505926415879</v>
      </c>
      <c r="CJ23" s="93">
        <f>IFERROR(s_C*s_IFCU_far_adj*s_CF_cucumber*(1/1000)*(up_Irr!L23+up_Irr!AJ23+up_Irr!BH23),".")</f>
        <v>13821.505926415879</v>
      </c>
      <c r="CK23" s="93">
        <f>IFERROR(s_C*s_IFLE_far_adj*s_CF_lettuce*(1/1000)*(up_Irr!M23+up_Irr!AK23+up_Irr!BI23),".")</f>
        <v>13821.505926415879</v>
      </c>
      <c r="CL23" s="93">
        <f>IFERROR(s_C*s_IFLI_far_adj*s_CF_lima_bean*(1/1000)*(up_Irr!N23+up_Irr!AL23+up_Irr!BJ23),".")</f>
        <v>13821.505926415879</v>
      </c>
      <c r="CM23" s="93">
        <f>IFERROR(s_C*s_IFOK_far_adj*s_CF_okra*(1/1000)*(up_Irr!O23+up_Irr!AM23+up_Irr!BK23),".")</f>
        <v>13821.505926415879</v>
      </c>
      <c r="CN23" s="93">
        <f>IFERROR(s_C*s_IFON_far_adj*s_CF_onion*(1/1000)*(up_Irr!P23+up_Irr!AN23+up_Irr!BL23),".")</f>
        <v>13821.505926415879</v>
      </c>
      <c r="CO23" s="93">
        <f>IFERROR(s_C*s_IFPC_far_adj*s_CF_peach*(1/1000)*(up_Irr!Q23+up_Irr!AO23+up_Irr!BM23),".")</f>
        <v>13821.505926415879</v>
      </c>
      <c r="CP23" s="93">
        <f>IFERROR(s_C*s_IFPR_far_adj*s_CF_pear*(1/1000)*(up_Irr!R23+up_Irr!AP23+up_Irr!BN23),".")</f>
        <v>13821.505926415879</v>
      </c>
      <c r="CQ23" s="93">
        <f>IFERROR(s_C*s_IFPE_far_adj*s_CF_peas*(1/1000)*(up_Irr!S23+up_Irr!AQ23+up_Irr!BO23),".")</f>
        <v>13821.505926415879</v>
      </c>
      <c r="CR23" s="93">
        <f>IFERROR(s_C*s_IFPT_far_adj*s_CF_potato*(1/1000)*(up_Irr!T23+up_Irr!AR23+up_Irr!BP23),".")</f>
        <v>13821.505926415879</v>
      </c>
      <c r="CS23" s="93">
        <f>IFERROR(s_C*s_IFPU_far_adj*s_CF_pumpkin*(1/1000)*(up_Irr!U23+up_Irr!AS23+up_Irr!BQ23),".")</f>
        <v>13821.505926415879</v>
      </c>
      <c r="CT23" s="93">
        <f>IFERROR(s_C*s_IFSN_far_adj*s_CF_snap_bean*(1/1000)*(up_Irr!V23+up_Irr!AT23+up_Irr!BR23),".")</f>
        <v>13821.505926415879</v>
      </c>
      <c r="CU23" s="93">
        <f>IFERROR(s_C*s_IFST_far_adj*s_CF_strawberry*(1/1000)*(up_Irr!W23+up_Irr!AU23+up_Irr!BS23),".")</f>
        <v>13821.505926415879</v>
      </c>
      <c r="CV23" s="93">
        <f>IFERROR(s_C*s_IFTO_far_adj*s_CF_tomato*(1/1000)*(up_Irr!X23+up_Irr!AV23+up_Irr!BT23),".")</f>
        <v>13821.505926415879</v>
      </c>
      <c r="CW23" s="93">
        <f>IFERROR(s_C*s_IFRI_far_adj*s_CF_rice*(1/1000)*(up_Irr!Y23+up_Irr!AW23+up_Irr!BU23),".")</f>
        <v>13821.505926415879</v>
      </c>
      <c r="CX23" s="93">
        <f>IFERROR(s_C*s_IFCG_far_adj*s_CF_cereal*(1/1000)*(up_Irr!Z23+up_Irr!AX23+up_Irr!BV23),".")</f>
        <v>13821.505926415879</v>
      </c>
    </row>
    <row r="24" spans="1:102" ht="15" customHeight="1" x14ac:dyDescent="0.25">
      <c r="A24" s="92" t="s">
        <v>34</v>
      </c>
      <c r="B24" s="90" t="s">
        <v>1074</v>
      </c>
      <c r="C24" s="76">
        <f t="shared" si="0"/>
        <v>1.8087754064641833E-11</v>
      </c>
      <c r="D24" s="76">
        <f>IFERROR(IF(AND(up_Irr!C24&lt;&gt;".",up_Irr!AA24&lt;&gt;".",up_Irr!AY24&lt;&gt;"."),up_dir!D24/((1/1000)*(up_Irr!C24+up_Irr!AA24+up_Irr!AY24)),IF(AND(up_Irr!C24&lt;&gt;".",up_Irr!AA24&lt;&gt;".",up_Irr!AY24="."),up_dir!D24/((1/1000)*(up_Irr!C24+up_Irr!AA24)),IF(AND(up_Irr!C24&lt;&gt;".",up_Irr!AA24=".",up_Irr!AY24&lt;&gt;"."),up_dir!D24/((1/1000)*(up_Irr!C24+up_Irr!AY24)),IF(AND(up_Irr!C24=".",up_Irr!AA24&lt;&gt;".",up_Irr!AY24&lt;&gt;"."),up_dir!D24/((1/1000)*(up_Irr!AA24+up_Irr!AY24)),IF(AND(up_Irr!C24=".",up_Irr!AA24=".",up_Irr!AY24&lt;&gt;"."),up_dir!D24/((1/1000)*(up_Irr!AY24)),IF(AND(up_Irr!C24=".",up_Irr!AA24&lt;&gt;".",up_Irr!AY24="."),up_dir!D24/((1/1000)*(up_Irr!AA24)),IF(AND(up_Irr!C24&lt;&gt;".",up_Irr!AA24=".",up_Irr!AY24="."),up_dir!D24/((1/1000)*(up_Irr!C24)),IF(AND(up_Irr!C24=".",up_Irr!AA24=".",up_Irr!AY24="."),up_dir!D24*1000)))))))),".")</f>
        <v>7.2351016258567334E-11</v>
      </c>
      <c r="E24" s="76">
        <f>IFERROR(IF(AND(up_Irr!D24&lt;&gt;".",up_Irr!AB24&lt;&gt;".",up_Irr!AZ24&lt;&gt;"."),up_dir!E24/((1/1000)*(up_Irr!D24+up_Irr!AB24+up_Irr!AZ24)),IF(AND(up_Irr!D24&lt;&gt;".",up_Irr!AB24&lt;&gt;".",up_Irr!AZ24="."),up_dir!E24/((1/1000)*(up_Irr!D24+up_Irr!AB24)),IF(AND(up_Irr!D24&lt;&gt;".",up_Irr!AB24=".",up_Irr!AZ24&lt;&gt;"."),up_dir!E24/((1/1000)*(up_Irr!D24+up_Irr!AZ24)),IF(AND(up_Irr!D24=".",up_Irr!AB24&lt;&gt;".",up_Irr!AZ24&lt;&gt;"."),up_dir!E24/((1/1000)*(up_Irr!AB24+up_Irr!AZ24)),IF(AND(up_Irr!D24=".",up_Irr!AB24=".",up_Irr!AZ24&lt;&gt;"."),up_dir!E24/((1/1000)*(up_Irr!AZ24)),IF(AND(up_Irr!D24=".",up_Irr!AB24&lt;&gt;".",up_Irr!AZ24="."),up_dir!E24/((1/1000)*(up_Irr!AB24)),IF(AND(up_Irr!D24&lt;&gt;".",up_Irr!AB24=".",up_Irr!AZ24="."),up_dir!E24/((1/1000)*(up_Irr!D24)),IF(AND(up_Irr!D24=".",up_Irr!AB24=".",up_Irr!AZ24="."),up_dir!E24*1000)))))))),".")</f>
        <v>7.2351016258567334E-11</v>
      </c>
      <c r="F24" s="76">
        <f>IFERROR(IF(AND(up_Irr!E24&lt;&gt;".",up_Irr!AC24&lt;&gt;".",up_Irr!BA24&lt;&gt;"."),up_dir!F24/((1/1000)*(up_Irr!E24+up_Irr!AC24+up_Irr!BA24)),IF(AND(up_Irr!E24&lt;&gt;".",up_Irr!AC24&lt;&gt;".",up_Irr!BA24="."),up_dir!F24/((1/1000)*(up_Irr!E24+up_Irr!AC24)),IF(AND(up_Irr!E24&lt;&gt;".",up_Irr!AC24=".",up_Irr!BA24&lt;&gt;"."),up_dir!F24/((1/1000)*(up_Irr!E24+up_Irr!BA24)),IF(AND(up_Irr!E24=".",up_Irr!AC24&lt;&gt;".",up_Irr!BA24&lt;&gt;"."),up_dir!F24/((1/1000)*(up_Irr!AC24+up_Irr!BA24)),IF(AND(up_Irr!E24=".",up_Irr!AC24=".",up_Irr!BA24&lt;&gt;"."),up_dir!F24/((1/1000)*(up_Irr!BA24)),IF(AND(up_Irr!E24=".",up_Irr!AC24&lt;&gt;".",up_Irr!BA24="."),up_dir!F24/((1/1000)*(up_Irr!AC24)),IF(AND(up_Irr!E24&lt;&gt;".",up_Irr!AC24=".",up_Irr!BA24="."),up_dir!F24/((1/1000)*(up_Irr!E24)),IF(AND(up_Irr!E24=".",up_Irr!AC24=".",up_Irr!BA24="."),up_dir!F24*1000)))))))),".")</f>
        <v>7.2351016258567334E-11</v>
      </c>
      <c r="G24" s="76">
        <f>IFERROR(IF(AND(up_Irr!F24&lt;&gt;".",up_Irr!AD24&lt;&gt;".",up_Irr!BB24&lt;&gt;"."),up_dir!G24/((1/1000)*(up_Irr!F24+up_Irr!AD24+up_Irr!BB24)),IF(AND(up_Irr!F24&lt;&gt;".",up_Irr!AD24&lt;&gt;".",up_Irr!BB24="."),up_dir!G24/((1/1000)*(up_Irr!F24+up_Irr!AD24)),IF(AND(up_Irr!F24&lt;&gt;".",up_Irr!AD24=".",up_Irr!BB24&lt;&gt;"."),up_dir!G24/((1/1000)*(up_Irr!F24+up_Irr!BB24)),IF(AND(up_Irr!F24=".",up_Irr!AD24&lt;&gt;".",up_Irr!BB24&lt;&gt;"."),up_dir!G24/((1/1000)*(up_Irr!AD24+up_Irr!BB24)),IF(AND(up_Irr!F24=".",up_Irr!AD24=".",up_Irr!BB24&lt;&gt;"."),up_dir!G24/((1/1000)*(up_Irr!BB24)),IF(AND(up_Irr!F24=".",up_Irr!AD24&lt;&gt;".",up_Irr!BB24="."),up_dir!G24/((1/1000)*(up_Irr!AD24)),IF(AND(up_Irr!F24&lt;&gt;".",up_Irr!AD24=".",up_Irr!BB24="."),up_dir!G24/((1/1000)*(up_Irr!F24)),IF(AND(up_Irr!F24=".",up_Irr!AD24=".",up_Irr!BB24="."),up_dir!G24*1000)))))))),".")</f>
        <v>7.2351016258567334E-11</v>
      </c>
      <c r="H24" s="76">
        <f>IFERROR(IF(AND(up_Irr!G24&lt;&gt;".",up_Irr!AE24&lt;&gt;".",up_Irr!BC24&lt;&gt;"."),up_dir!H24/((1/1000)*(up_Irr!G24+up_Irr!AE24+up_Irr!BC24)),IF(AND(up_Irr!G24&lt;&gt;".",up_Irr!AE24&lt;&gt;".",up_Irr!BC24="."),up_dir!H24/((1/1000)*(up_Irr!G24+up_Irr!AE24)),IF(AND(up_Irr!G24&lt;&gt;".",up_Irr!AE24=".",up_Irr!BC24&lt;&gt;"."),up_dir!H24/((1/1000)*(up_Irr!G24+up_Irr!BC24)),IF(AND(up_Irr!G24=".",up_Irr!AE24&lt;&gt;".",up_Irr!BC24&lt;&gt;"."),up_dir!H24/((1/1000)*(up_Irr!AE24+up_Irr!BC24)),IF(AND(up_Irr!G24=".",up_Irr!AE24=".",up_Irr!BC24&lt;&gt;"."),up_dir!H24/((1/1000)*(up_Irr!BC24)),IF(AND(up_Irr!G24=".",up_Irr!AE24&lt;&gt;".",up_Irr!BC24="."),up_dir!H24/((1/1000)*(up_Irr!AE24)),IF(AND(up_Irr!G24&lt;&gt;".",up_Irr!AE24=".",up_Irr!BC24="."),up_dir!H24/((1/1000)*(up_Irr!G24)),IF(AND(up_Irr!G24=".",up_Irr!AE24=".",up_Irr!BC24="."),up_dir!H24*1000)))))))),".")</f>
        <v>7.2351016258567334E-11</v>
      </c>
      <c r="I24" s="76">
        <f>IFERROR(IF(AND(up_Irr!H24&lt;&gt;".",up_Irr!AF24&lt;&gt;".",up_Irr!BD24&lt;&gt;"."),up_dir!I24/((1/1000)*(up_Irr!H24+up_Irr!AF24+up_Irr!BD24)),IF(AND(up_Irr!H24&lt;&gt;".",up_Irr!AF24&lt;&gt;".",up_Irr!BD24="."),up_dir!I24/((1/1000)*(up_Irr!H24+up_Irr!AF24)),IF(AND(up_Irr!H24&lt;&gt;".",up_Irr!AF24=".",up_Irr!BD24&lt;&gt;"."),up_dir!I24/((1/1000)*(up_Irr!H24+up_Irr!BD24)),IF(AND(up_Irr!H24=".",up_Irr!AF24&lt;&gt;".",up_Irr!BD24&lt;&gt;"."),up_dir!I24/((1/1000)*(up_Irr!AF24+up_Irr!BD24)),IF(AND(up_Irr!H24=".",up_Irr!AF24=".",up_Irr!BD24&lt;&gt;"."),up_dir!I24/((1/1000)*(up_Irr!BD24)),IF(AND(up_Irr!H24=".",up_Irr!AF24&lt;&gt;".",up_Irr!BD24="."),up_dir!I24/((1/1000)*(up_Irr!AF24)),IF(AND(up_Irr!H24&lt;&gt;".",up_Irr!AF24=".",up_Irr!BD24="."),up_dir!I24/((1/1000)*(up_Irr!H24)),IF(AND(up_Irr!H24=".",up_Irr!AF24=".",up_Irr!BD24="."),up_dir!I24*1000)))))))),".")</f>
        <v>7.2351016258567334E-11</v>
      </c>
      <c r="J24" s="76">
        <f>IFERROR(IF(AND(up_Irr!I24&lt;&gt;".",up_Irr!AG24&lt;&gt;".",up_Irr!BE24&lt;&gt;"."),up_dir!J24/((1/1000)*(up_Irr!I24+up_Irr!AG24+up_Irr!BE24)),IF(AND(up_Irr!I24&lt;&gt;".",up_Irr!AG24&lt;&gt;".",up_Irr!BE24="."),up_dir!J24/((1/1000)*(up_Irr!I24+up_Irr!AG24)),IF(AND(up_Irr!I24&lt;&gt;".",up_Irr!AG24=".",up_Irr!BE24&lt;&gt;"."),up_dir!J24/((1/1000)*(up_Irr!I24+up_Irr!BE24)),IF(AND(up_Irr!I24=".",up_Irr!AG24&lt;&gt;".",up_Irr!BE24&lt;&gt;"."),up_dir!J24/((1/1000)*(up_Irr!AG24+up_Irr!BE24)),IF(AND(up_Irr!I24=".",up_Irr!AG24=".",up_Irr!BE24&lt;&gt;"."),up_dir!J24/((1/1000)*(up_Irr!BE24)),IF(AND(up_Irr!I24=".",up_Irr!AG24&lt;&gt;".",up_Irr!BE24="."),up_dir!J24/((1/1000)*(up_Irr!AG24)),IF(AND(up_Irr!I24&lt;&gt;".",up_Irr!AG24=".",up_Irr!BE24="."),up_dir!J24/((1/1000)*(up_Irr!I24)),IF(AND(up_Irr!I24=".",up_Irr!AG24=".",up_Irr!BE24="."),up_dir!J24*1000)))))))),".")</f>
        <v>7.2351016258567334E-11</v>
      </c>
      <c r="K24" s="76">
        <f>IFERROR(IF(AND(up_Irr!J24&lt;&gt;".",up_Irr!AH24&lt;&gt;".",up_Irr!BF24&lt;&gt;"."),up_dir!K24/((1/1000)*(up_Irr!J24+up_Irr!AH24+up_Irr!BF24)),IF(AND(up_Irr!J24&lt;&gt;".",up_Irr!AH24&lt;&gt;".",up_Irr!BF24="."),up_dir!K24/((1/1000)*(up_Irr!J24+up_Irr!AH24)),IF(AND(up_Irr!J24&lt;&gt;".",up_Irr!AH24=".",up_Irr!BF24&lt;&gt;"."),up_dir!K24/((1/1000)*(up_Irr!J24+up_Irr!BF24)),IF(AND(up_Irr!J24=".",up_Irr!AH24&lt;&gt;".",up_Irr!BF24&lt;&gt;"."),up_dir!K24/((1/1000)*(up_Irr!AH24+up_Irr!BF24)),IF(AND(up_Irr!J24=".",up_Irr!AH24=".",up_Irr!BF24&lt;&gt;"."),up_dir!K24/((1/1000)*(up_Irr!BF24)),IF(AND(up_Irr!J24=".",up_Irr!AH24&lt;&gt;".",up_Irr!BF24="."),up_dir!K24/((1/1000)*(up_Irr!AH24)),IF(AND(up_Irr!J24&lt;&gt;".",up_Irr!AH24=".",up_Irr!BF24="."),up_dir!K24/((1/1000)*(up_Irr!J24)),IF(AND(up_Irr!J24=".",up_Irr!AH24=".",up_Irr!BF24="."),up_dir!K24*1000)))))))),".")</f>
        <v>7.2351016258567334E-11</v>
      </c>
      <c r="L24" s="76">
        <f>IFERROR(IF(AND(up_Irr!K24&lt;&gt;".",up_Irr!AI24&lt;&gt;".",up_Irr!BG24&lt;&gt;"."),up_dir!L24/((1/1000)*(up_Irr!K24+up_Irr!AI24+up_Irr!BG24)),IF(AND(up_Irr!K24&lt;&gt;".",up_Irr!AI24&lt;&gt;".",up_Irr!BG24="."),up_dir!L24/((1/1000)*(up_Irr!K24+up_Irr!AI24)),IF(AND(up_Irr!K24&lt;&gt;".",up_Irr!AI24=".",up_Irr!BG24&lt;&gt;"."),up_dir!L24/((1/1000)*(up_Irr!K24+up_Irr!BG24)),IF(AND(up_Irr!K24=".",up_Irr!AI24&lt;&gt;".",up_Irr!BG24&lt;&gt;"."),up_dir!L24/((1/1000)*(up_Irr!AI24+up_Irr!BG24)),IF(AND(up_Irr!K24=".",up_Irr!AI24=".",up_Irr!BG24&lt;&gt;"."),up_dir!L24/((1/1000)*(up_Irr!BG24)),IF(AND(up_Irr!K24=".",up_Irr!AI24&lt;&gt;".",up_Irr!BG24="."),up_dir!L24/((1/1000)*(up_Irr!AI24)),IF(AND(up_Irr!K24&lt;&gt;".",up_Irr!AI24=".",up_Irr!BG24="."),up_dir!L24/((1/1000)*(up_Irr!K24)),IF(AND(up_Irr!K24=".",up_Irr!AI24=".",up_Irr!BG24="."),up_dir!L24*1000)))))))),".")</f>
        <v>7.2351016258567334E-11</v>
      </c>
      <c r="M24" s="76">
        <f>IFERROR(IF(AND(up_Irr!L24&lt;&gt;".",up_Irr!AJ24&lt;&gt;".",up_Irr!BH24&lt;&gt;"."),up_dir!M24/((1/1000)*(up_Irr!L24+up_Irr!AJ24+up_Irr!BH24)),IF(AND(up_Irr!L24&lt;&gt;".",up_Irr!AJ24&lt;&gt;".",up_Irr!BH24="."),up_dir!M24/((1/1000)*(up_Irr!L24+up_Irr!AJ24)),IF(AND(up_Irr!L24&lt;&gt;".",up_Irr!AJ24=".",up_Irr!BH24&lt;&gt;"."),up_dir!M24/((1/1000)*(up_Irr!L24+up_Irr!BH24)),IF(AND(up_Irr!L24=".",up_Irr!AJ24&lt;&gt;".",up_Irr!BH24&lt;&gt;"."),up_dir!M24/((1/1000)*(up_Irr!AJ24+up_Irr!BH24)),IF(AND(up_Irr!L24=".",up_Irr!AJ24=".",up_Irr!BH24&lt;&gt;"."),up_dir!M24/((1/1000)*(up_Irr!BH24)),IF(AND(up_Irr!L24=".",up_Irr!AJ24&lt;&gt;".",up_Irr!BH24="."),up_dir!M24/((1/1000)*(up_Irr!AJ24)),IF(AND(up_Irr!L24&lt;&gt;".",up_Irr!AJ24=".",up_Irr!BH24="."),up_dir!M24/((1/1000)*(up_Irr!L24)),IF(AND(up_Irr!L24=".",up_Irr!AJ24=".",up_Irr!BH24="."),up_dir!M24*1000)))))))),".")</f>
        <v>7.2351016258567334E-11</v>
      </c>
      <c r="N24" s="76">
        <f>IFERROR(IF(AND(up_Irr!M24&lt;&gt;".",up_Irr!AK24&lt;&gt;".",up_Irr!BI24&lt;&gt;"."),up_dir!N24/((1/1000)*(up_Irr!M24+up_Irr!AK24+up_Irr!BI24)),IF(AND(up_Irr!M24&lt;&gt;".",up_Irr!AK24&lt;&gt;".",up_Irr!BI24="."),up_dir!N24/((1/1000)*(up_Irr!M24+up_Irr!AK24)),IF(AND(up_Irr!M24&lt;&gt;".",up_Irr!AK24=".",up_Irr!BI24&lt;&gt;"."),up_dir!N24/((1/1000)*(up_Irr!M24+up_Irr!BI24)),IF(AND(up_Irr!M24=".",up_Irr!AK24&lt;&gt;".",up_Irr!BI24&lt;&gt;"."),up_dir!N24/((1/1000)*(up_Irr!AK24+up_Irr!BI24)),IF(AND(up_Irr!M24=".",up_Irr!AK24=".",up_Irr!BI24&lt;&gt;"."),up_dir!N24/((1/1000)*(up_Irr!BI24)),IF(AND(up_Irr!M24=".",up_Irr!AK24&lt;&gt;".",up_Irr!BI24="."),up_dir!N24/((1/1000)*(up_Irr!AK24)),IF(AND(up_Irr!M24&lt;&gt;".",up_Irr!AK24=".",up_Irr!BI24="."),up_dir!N24/((1/1000)*(up_Irr!M24)),IF(AND(up_Irr!M24=".",up_Irr!AK24=".",up_Irr!BI24="."),up_dir!N24*1000)))))))),".")</f>
        <v>7.2351016258567334E-11</v>
      </c>
      <c r="O24" s="76">
        <f>IFERROR(IF(AND(up_Irr!N24&lt;&gt;".",up_Irr!AL24&lt;&gt;".",up_Irr!BJ24&lt;&gt;"."),up_dir!O24/((1/1000)*(up_Irr!N24+up_Irr!AL24+up_Irr!BJ24)),IF(AND(up_Irr!N24&lt;&gt;".",up_Irr!AL24&lt;&gt;".",up_Irr!BJ24="."),up_dir!O24/((1/1000)*(up_Irr!N24+up_Irr!AL24)),IF(AND(up_Irr!N24&lt;&gt;".",up_Irr!AL24=".",up_Irr!BJ24&lt;&gt;"."),up_dir!O24/((1/1000)*(up_Irr!N24+up_Irr!BJ24)),IF(AND(up_Irr!N24=".",up_Irr!AL24&lt;&gt;".",up_Irr!BJ24&lt;&gt;"."),up_dir!O24/((1/1000)*(up_Irr!AL24+up_Irr!BJ24)),IF(AND(up_Irr!N24=".",up_Irr!AL24=".",up_Irr!BJ24&lt;&gt;"."),up_dir!O24/((1/1000)*(up_Irr!BJ24)),IF(AND(up_Irr!N24=".",up_Irr!AL24&lt;&gt;".",up_Irr!BJ24="."),up_dir!O24/((1/1000)*(up_Irr!AL24)),IF(AND(up_Irr!N24&lt;&gt;".",up_Irr!AL24=".",up_Irr!BJ24="."),up_dir!O24/((1/1000)*(up_Irr!N24)),IF(AND(up_Irr!N24=".",up_Irr!AL24=".",up_Irr!BJ24="."),up_dir!O24*1000)))))))),".")</f>
        <v>7.2351016258567334E-11</v>
      </c>
      <c r="P24" s="76">
        <f>IFERROR(IF(AND(up_Irr!O24&lt;&gt;".",up_Irr!AM24&lt;&gt;".",up_Irr!BK24&lt;&gt;"."),up_dir!P24/((1/1000)*(up_Irr!O24+up_Irr!AM24+up_Irr!BK24)),IF(AND(up_Irr!O24&lt;&gt;".",up_Irr!AM24&lt;&gt;".",up_Irr!BK24="."),up_dir!P24/((1/1000)*(up_Irr!O24+up_Irr!AM24)),IF(AND(up_Irr!O24&lt;&gt;".",up_Irr!AM24=".",up_Irr!BK24&lt;&gt;"."),up_dir!P24/((1/1000)*(up_Irr!O24+up_Irr!BK24)),IF(AND(up_Irr!O24=".",up_Irr!AM24&lt;&gt;".",up_Irr!BK24&lt;&gt;"."),up_dir!P24/((1/1000)*(up_Irr!AM24+up_Irr!BK24)),IF(AND(up_Irr!O24=".",up_Irr!AM24=".",up_Irr!BK24&lt;&gt;"."),up_dir!P24/((1/1000)*(up_Irr!BK24)),IF(AND(up_Irr!O24=".",up_Irr!AM24&lt;&gt;".",up_Irr!BK24="."),up_dir!P24/((1/1000)*(up_Irr!AM24)),IF(AND(up_Irr!O24&lt;&gt;".",up_Irr!AM24=".",up_Irr!BK24="."),up_dir!P24/((1/1000)*(up_Irr!O24)),IF(AND(up_Irr!O24=".",up_Irr!AM24=".",up_Irr!BK24="."),up_dir!P24*1000)))))))),".")</f>
        <v>7.2351016258567334E-11</v>
      </c>
      <c r="Q24" s="76">
        <f>IFERROR(IF(AND(up_Irr!P24&lt;&gt;".",up_Irr!AN24&lt;&gt;".",up_Irr!BL24&lt;&gt;"."),up_dir!Q24/((1/1000)*(up_Irr!P24+up_Irr!AN24+up_Irr!BL24)),IF(AND(up_Irr!P24&lt;&gt;".",up_Irr!AN24&lt;&gt;".",up_Irr!BL24="."),up_dir!Q24/((1/1000)*(up_Irr!P24+up_Irr!AN24)),IF(AND(up_Irr!P24&lt;&gt;".",up_Irr!AN24=".",up_Irr!BL24&lt;&gt;"."),up_dir!Q24/((1/1000)*(up_Irr!P24+up_Irr!BL24)),IF(AND(up_Irr!P24=".",up_Irr!AN24&lt;&gt;".",up_Irr!BL24&lt;&gt;"."),up_dir!Q24/((1/1000)*(up_Irr!AN24+up_Irr!BL24)),IF(AND(up_Irr!P24=".",up_Irr!AN24=".",up_Irr!BL24&lt;&gt;"."),up_dir!Q24/((1/1000)*(up_Irr!BL24)),IF(AND(up_Irr!P24=".",up_Irr!AN24&lt;&gt;".",up_Irr!BL24="."),up_dir!Q24/((1/1000)*(up_Irr!AN24)),IF(AND(up_Irr!P24&lt;&gt;".",up_Irr!AN24=".",up_Irr!BL24="."),up_dir!Q24/((1/1000)*(up_Irr!P24)),IF(AND(up_Irr!P24=".",up_Irr!AN24=".",up_Irr!BL24="."),up_dir!Q24*1000)))))))),".")</f>
        <v>7.2351016258567334E-11</v>
      </c>
      <c r="R24" s="76">
        <f>IFERROR(IF(AND(up_Irr!Q24&lt;&gt;".",up_Irr!AO24&lt;&gt;".",up_Irr!BM24&lt;&gt;"."),up_dir!R24/((1/1000)*(up_Irr!Q24+up_Irr!AO24+up_Irr!BM24)),IF(AND(up_Irr!Q24&lt;&gt;".",up_Irr!AO24&lt;&gt;".",up_Irr!BM24="."),up_dir!R24/((1/1000)*(up_Irr!Q24+up_Irr!AO24)),IF(AND(up_Irr!Q24&lt;&gt;".",up_Irr!AO24=".",up_Irr!BM24&lt;&gt;"."),up_dir!R24/((1/1000)*(up_Irr!Q24+up_Irr!BM24)),IF(AND(up_Irr!Q24=".",up_Irr!AO24&lt;&gt;".",up_Irr!BM24&lt;&gt;"."),up_dir!R24/((1/1000)*(up_Irr!AO24+up_Irr!BM24)),IF(AND(up_Irr!Q24=".",up_Irr!AO24=".",up_Irr!BM24&lt;&gt;"."),up_dir!R24/((1/1000)*(up_Irr!BM24)),IF(AND(up_Irr!Q24=".",up_Irr!AO24&lt;&gt;".",up_Irr!BM24="."),up_dir!R24/((1/1000)*(up_Irr!AO24)),IF(AND(up_Irr!Q24&lt;&gt;".",up_Irr!AO24=".",up_Irr!BM24="."),up_dir!R24/((1/1000)*(up_Irr!Q24)),IF(AND(up_Irr!Q24=".",up_Irr!AO24=".",up_Irr!BM24="."),up_dir!R24*1000)))))))),".")</f>
        <v>7.2351016258567334E-11</v>
      </c>
      <c r="S24" s="76">
        <f>IFERROR(IF(AND(up_Irr!R24&lt;&gt;".",up_Irr!AP24&lt;&gt;".",up_Irr!BN24&lt;&gt;"."),up_dir!S24/((1/1000)*(up_Irr!R24+up_Irr!AP24+up_Irr!BN24)),IF(AND(up_Irr!R24&lt;&gt;".",up_Irr!AP24&lt;&gt;".",up_Irr!BN24="."),up_dir!S24/((1/1000)*(up_Irr!R24+up_Irr!AP24)),IF(AND(up_Irr!R24&lt;&gt;".",up_Irr!AP24=".",up_Irr!BN24&lt;&gt;"."),up_dir!S24/((1/1000)*(up_Irr!R24+up_Irr!BN24)),IF(AND(up_Irr!R24=".",up_Irr!AP24&lt;&gt;".",up_Irr!BN24&lt;&gt;"."),up_dir!S24/((1/1000)*(up_Irr!AP24+up_Irr!BN24)),IF(AND(up_Irr!R24=".",up_Irr!AP24=".",up_Irr!BN24&lt;&gt;"."),up_dir!S24/((1/1000)*(up_Irr!BN24)),IF(AND(up_Irr!R24=".",up_Irr!AP24&lt;&gt;".",up_Irr!BN24="."),up_dir!S24/((1/1000)*(up_Irr!AP24)),IF(AND(up_Irr!R24&lt;&gt;".",up_Irr!AP24=".",up_Irr!BN24="."),up_dir!S24/((1/1000)*(up_Irr!R24)),IF(AND(up_Irr!R24=".",up_Irr!AP24=".",up_Irr!BN24="."),up_dir!S24*1000)))))))),".")</f>
        <v>7.2351016258567334E-11</v>
      </c>
      <c r="T24" s="76">
        <f>IFERROR(IF(AND(up_Irr!S24&lt;&gt;".",up_Irr!AQ24&lt;&gt;".",up_Irr!BO24&lt;&gt;"."),up_dir!T24/((1/1000)*(up_Irr!S24+up_Irr!AQ24+up_Irr!BO24)),IF(AND(up_Irr!S24&lt;&gt;".",up_Irr!AQ24&lt;&gt;".",up_Irr!BO24="."),up_dir!T24/((1/1000)*(up_Irr!S24+up_Irr!AQ24)),IF(AND(up_Irr!S24&lt;&gt;".",up_Irr!AQ24=".",up_Irr!BO24&lt;&gt;"."),up_dir!T24/((1/1000)*(up_Irr!S24+up_Irr!BO24)),IF(AND(up_Irr!S24=".",up_Irr!AQ24&lt;&gt;".",up_Irr!BO24&lt;&gt;"."),up_dir!T24/((1/1000)*(up_Irr!AQ24+up_Irr!BO24)),IF(AND(up_Irr!S24=".",up_Irr!AQ24=".",up_Irr!BO24&lt;&gt;"."),up_dir!T24/((1/1000)*(up_Irr!BO24)),IF(AND(up_Irr!S24=".",up_Irr!AQ24&lt;&gt;".",up_Irr!BO24="."),up_dir!T24/((1/1000)*(up_Irr!AQ24)),IF(AND(up_Irr!S24&lt;&gt;".",up_Irr!AQ24=".",up_Irr!BO24="."),up_dir!T24/((1/1000)*(up_Irr!S24)),IF(AND(up_Irr!S24=".",up_Irr!AQ24=".",up_Irr!BO24="."),up_dir!T24*1000)))))))),".")</f>
        <v>7.2351016258567334E-11</v>
      </c>
      <c r="U24" s="76">
        <f>IFERROR(IF(AND(up_Irr!T24&lt;&gt;".",up_Irr!AR24&lt;&gt;".",up_Irr!BP24&lt;&gt;"."),up_dir!U24/((1/1000)*(up_Irr!T24+up_Irr!AR24+up_Irr!BP24)),IF(AND(up_Irr!T24&lt;&gt;".",up_Irr!AR24&lt;&gt;".",up_Irr!BP24="."),up_dir!U24/((1/1000)*(up_Irr!T24+up_Irr!AR24)),IF(AND(up_Irr!T24&lt;&gt;".",up_Irr!AR24=".",up_Irr!BP24&lt;&gt;"."),up_dir!U24/((1/1000)*(up_Irr!T24+up_Irr!BP24)),IF(AND(up_Irr!T24=".",up_Irr!AR24&lt;&gt;".",up_Irr!BP24&lt;&gt;"."),up_dir!U24/((1/1000)*(up_Irr!AR24+up_Irr!BP24)),IF(AND(up_Irr!T24=".",up_Irr!AR24=".",up_Irr!BP24&lt;&gt;"."),up_dir!U24/((1/1000)*(up_Irr!BP24)),IF(AND(up_Irr!T24=".",up_Irr!AR24&lt;&gt;".",up_Irr!BP24="."),up_dir!U24/((1/1000)*(up_Irr!AR24)),IF(AND(up_Irr!T24&lt;&gt;".",up_Irr!AR24=".",up_Irr!BP24="."),up_dir!U24/((1/1000)*(up_Irr!T24)),IF(AND(up_Irr!T24=".",up_Irr!AR24=".",up_Irr!BP24="."),up_dir!U24*1000)))))))),".")</f>
        <v>7.2351016258567334E-11</v>
      </c>
      <c r="V24" s="76">
        <f>IFERROR(IF(AND(up_Irr!U24&lt;&gt;".",up_Irr!AS24&lt;&gt;".",up_Irr!BQ24&lt;&gt;"."),up_dir!V24/((1/1000)*(up_Irr!U24+up_Irr!AS24+up_Irr!BQ24)),IF(AND(up_Irr!U24&lt;&gt;".",up_Irr!AS24&lt;&gt;".",up_Irr!BQ24="."),up_dir!V24/((1/1000)*(up_Irr!U24+up_Irr!AS24)),IF(AND(up_Irr!U24&lt;&gt;".",up_Irr!AS24=".",up_Irr!BQ24&lt;&gt;"."),up_dir!V24/((1/1000)*(up_Irr!U24+up_Irr!BQ24)),IF(AND(up_Irr!U24=".",up_Irr!AS24&lt;&gt;".",up_Irr!BQ24&lt;&gt;"."),up_dir!V24/((1/1000)*(up_Irr!AS24+up_Irr!BQ24)),IF(AND(up_Irr!U24=".",up_Irr!AS24=".",up_Irr!BQ24&lt;&gt;"."),up_dir!V24/((1/1000)*(up_Irr!BQ24)),IF(AND(up_Irr!U24=".",up_Irr!AS24&lt;&gt;".",up_Irr!BQ24="."),up_dir!V24/((1/1000)*(up_Irr!AS24)),IF(AND(up_Irr!U24&lt;&gt;".",up_Irr!AS24=".",up_Irr!BQ24="."),up_dir!V24/((1/1000)*(up_Irr!U24)),IF(AND(up_Irr!U24=".",up_Irr!AS24=".",up_Irr!BQ24="."),up_dir!V24*1000)))))))),".")</f>
        <v>7.2351016258567334E-11</v>
      </c>
      <c r="W24" s="76">
        <f>IFERROR(IF(AND(up_Irr!V24&lt;&gt;".",up_Irr!AT24&lt;&gt;".",up_Irr!BR24&lt;&gt;"."),up_dir!W24/((1/1000)*(up_Irr!V24+up_Irr!AT24+up_Irr!BR24)),IF(AND(up_Irr!V24&lt;&gt;".",up_Irr!AT24&lt;&gt;".",up_Irr!BR24="."),up_dir!W24/((1/1000)*(up_Irr!V24+up_Irr!AT24)),IF(AND(up_Irr!V24&lt;&gt;".",up_Irr!AT24=".",up_Irr!BR24&lt;&gt;"."),up_dir!W24/((1/1000)*(up_Irr!V24+up_Irr!BR24)),IF(AND(up_Irr!V24=".",up_Irr!AT24&lt;&gt;".",up_Irr!BR24&lt;&gt;"."),up_dir!W24/((1/1000)*(up_Irr!AT24+up_Irr!BR24)),IF(AND(up_Irr!V24=".",up_Irr!AT24=".",up_Irr!BR24&lt;&gt;"."),up_dir!W24/((1/1000)*(up_Irr!BR24)),IF(AND(up_Irr!V24=".",up_Irr!AT24&lt;&gt;".",up_Irr!BR24="."),up_dir!W24/((1/1000)*(up_Irr!AT24)),IF(AND(up_Irr!V24&lt;&gt;".",up_Irr!AT24=".",up_Irr!BR24="."),up_dir!W24/((1/1000)*(up_Irr!V24)),IF(AND(up_Irr!V24=".",up_Irr!AT24=".",up_Irr!BR24="."),up_dir!W24*1000)))))))),".")</f>
        <v>7.2351016258567334E-11</v>
      </c>
      <c r="X24" s="76">
        <f>IFERROR(IF(AND(up_Irr!W24&lt;&gt;".",up_Irr!AU24&lt;&gt;".",up_Irr!BS24&lt;&gt;"."),up_dir!X24/((1/1000)*(up_Irr!W24+up_Irr!AU24+up_Irr!BS24)),IF(AND(up_Irr!W24&lt;&gt;".",up_Irr!AU24&lt;&gt;".",up_Irr!BS24="."),up_dir!X24/((1/1000)*(up_Irr!W24+up_Irr!AU24)),IF(AND(up_Irr!W24&lt;&gt;".",up_Irr!AU24=".",up_Irr!BS24&lt;&gt;"."),up_dir!X24/((1/1000)*(up_Irr!W24+up_Irr!BS24)),IF(AND(up_Irr!W24=".",up_Irr!AU24&lt;&gt;".",up_Irr!BS24&lt;&gt;"."),up_dir!X24/((1/1000)*(up_Irr!AU24+up_Irr!BS24)),IF(AND(up_Irr!W24=".",up_Irr!AU24=".",up_Irr!BS24&lt;&gt;"."),up_dir!X24/((1/1000)*(up_Irr!BS24)),IF(AND(up_Irr!W24=".",up_Irr!AU24&lt;&gt;".",up_Irr!BS24="."),up_dir!X24/((1/1000)*(up_Irr!AU24)),IF(AND(up_Irr!W24&lt;&gt;".",up_Irr!AU24=".",up_Irr!BS24="."),up_dir!X24/((1/1000)*(up_Irr!W24)),IF(AND(up_Irr!W24=".",up_Irr!AU24=".",up_Irr!BS24="."),up_dir!X24*1000)))))))),".")</f>
        <v>7.2351016258567334E-11</v>
      </c>
      <c r="Y24" s="76">
        <f>IFERROR(IF(AND(up_Irr!X24&lt;&gt;".",up_Irr!AV24&lt;&gt;".",up_Irr!BT24&lt;&gt;"."),up_dir!Y24/((1/1000)*(up_Irr!X24+up_Irr!AV24+up_Irr!BT24)),IF(AND(up_Irr!X24&lt;&gt;".",up_Irr!AV24&lt;&gt;".",up_Irr!BT24="."),up_dir!Y24/((1/1000)*(up_Irr!X24+up_Irr!AV24)),IF(AND(up_Irr!X24&lt;&gt;".",up_Irr!AV24=".",up_Irr!BT24&lt;&gt;"."),up_dir!Y24/((1/1000)*(up_Irr!X24+up_Irr!BT24)),IF(AND(up_Irr!X24=".",up_Irr!AV24&lt;&gt;".",up_Irr!BT24&lt;&gt;"."),up_dir!Y24/((1/1000)*(up_Irr!AV24+up_Irr!BT24)),IF(AND(up_Irr!X24=".",up_Irr!AV24=".",up_Irr!BT24&lt;&gt;"."),up_dir!Y24/((1/1000)*(up_Irr!BT24)),IF(AND(up_Irr!X24=".",up_Irr!AV24&lt;&gt;".",up_Irr!BT24="."),up_dir!Y24/((1/1000)*(up_Irr!AV24)),IF(AND(up_Irr!X24&lt;&gt;".",up_Irr!AV24=".",up_Irr!BT24="."),up_dir!Y24/((1/1000)*(up_Irr!X24)),IF(AND(up_Irr!X24=".",up_Irr!AV24=".",up_Irr!BT24="."),up_dir!Y24*1000)))))))),".")</f>
        <v>7.2351016258567334E-11</v>
      </c>
      <c r="Z24" s="76">
        <f>IFERROR(IF(AND(up_Irr!Y24&lt;&gt;".",up_Irr!AW24&lt;&gt;".",up_Irr!BU24&lt;&gt;"."),up_dir!Z24/((1/1000)*(up_Irr!Y24+up_Irr!AW24+up_Irr!BU24)),IF(AND(up_Irr!Y24&lt;&gt;".",up_Irr!AW24&lt;&gt;".",up_Irr!BU24="."),up_dir!Z24/((1/1000)*(up_Irr!Y24+up_Irr!AW24)),IF(AND(up_Irr!Y24&lt;&gt;".",up_Irr!AW24=".",up_Irr!BU24&lt;&gt;"."),up_dir!Z24/((1/1000)*(up_Irr!Y24+up_Irr!BU24)),IF(AND(up_Irr!Y24=".",up_Irr!AW24&lt;&gt;".",up_Irr!BU24&lt;&gt;"."),up_dir!Z24/((1/1000)*(up_Irr!AW24+up_Irr!BU24)),IF(AND(up_Irr!Y24=".",up_Irr!AW24=".",up_Irr!BU24&lt;&gt;"."),up_dir!Z24/((1/1000)*(up_Irr!BU24)),IF(AND(up_Irr!Y24=".",up_Irr!AW24&lt;&gt;".",up_Irr!BU24="."),up_dir!Z24/((1/1000)*(up_Irr!AW24)),IF(AND(up_Irr!Y24&lt;&gt;".",up_Irr!AW24=".",up_Irr!BU24="."),up_dir!Z24/((1/1000)*(up_Irr!Y24)),IF(AND(up_Irr!Y24=".",up_Irr!AW24=".",up_Irr!BU24="."),up_dir!Z24*1000)))))))),".")</f>
        <v>7.2351016258567334E-11</v>
      </c>
      <c r="AA24" s="76">
        <f>IFERROR(IF(AND(up_Irr!Z24&lt;&gt;".",up_Irr!AX24&lt;&gt;".",up_Irr!BV24&lt;&gt;"."),up_dir!AA24/((1/1000)*(up_Irr!Z24+up_Irr!AX24+up_Irr!BV24)),IF(AND(up_Irr!Z24&lt;&gt;".",up_Irr!AX24&lt;&gt;".",up_Irr!BV24="."),up_dir!AA24/((1/1000)*(up_Irr!Z24+up_Irr!AX24)),IF(AND(up_Irr!Z24&lt;&gt;".",up_Irr!AX24=".",up_Irr!BV24&lt;&gt;"."),up_dir!AA24/((1/1000)*(up_Irr!Z24+up_Irr!BV24)),IF(AND(up_Irr!Z24=".",up_Irr!AX24&lt;&gt;".",up_Irr!BV24&lt;&gt;"."),up_dir!AA24/((1/1000)*(up_Irr!AX24+up_Irr!BV24)),IF(AND(up_Irr!Z24=".",up_Irr!AX24=".",up_Irr!BV24&lt;&gt;"."),up_dir!AA24/((1/1000)*(up_Irr!BV24)),IF(AND(up_Irr!Z24=".",up_Irr!AX24&lt;&gt;".",up_Irr!BV24="."),up_dir!AA24/((1/1000)*(up_Irr!AX24)),IF(AND(up_Irr!Z24&lt;&gt;".",up_Irr!AX24=".",up_Irr!BV24="."),up_dir!AA24/((1/1000)*(up_Irr!Z24)),IF(AND(up_Irr!Z24=".",up_Irr!AX24=".",up_Irr!BV24="."),up_dir!AA24*1000)))))))),".")</f>
        <v>7.2351016258567334E-11</v>
      </c>
      <c r="AB24" s="93">
        <f>SUM(AC24:AD24,AY24:AZ24)</f>
        <v>55286.023705663516</v>
      </c>
      <c r="AC24" s="93">
        <f>IFERROR(s_C*s_IFAP_res_adj*s_CF_apple*0.001*(up_Irr!C24+up_Irr!AA24+up_Irr!AY24),".")</f>
        <v>13821.505926415879</v>
      </c>
      <c r="AD24" s="93">
        <f>IFERROR(s_C*s_IFAS_res_adj*s_CF_asparagus*0.001*(up_Irr!D24+up_Irr!AB24+up_Irr!AZ24),".")</f>
        <v>13821.505926415879</v>
      </c>
      <c r="AE24" s="93">
        <f>IFERROR(s_C*s_IFBT_res_adj*s_CF_beet*0.001*(up_Irr!E24+up_Irr!AC24+up_Irr!BA24),".")</f>
        <v>13821.505926415879</v>
      </c>
      <c r="AF24" s="93">
        <f>IFERROR(s_C*s_IFBE_res_adj*s_CF_berries*0.001*(up_Irr!F24+up_Irr!AD24+up_Irr!BB24),".")</f>
        <v>13821.505926415879</v>
      </c>
      <c r="AG24" s="93">
        <f>IFERROR(s_C*s_IFBR_res_adj*s_CF_broccoli*0.001*(up_Irr!G24+up_Irr!AE24+up_Irr!BC24),".")</f>
        <v>13821.505926415879</v>
      </c>
      <c r="AH24" s="93">
        <f>IFERROR(s_C*s_IFCB_res_adj*s_CF_cabbage*0.001*(up_Irr!H24+up_Irr!AF24+up_Irr!BD24),".")</f>
        <v>13821.505926415879</v>
      </c>
      <c r="AI24" s="93">
        <f>IFERROR(s_C*s_IFCR_res_adj*s_CF_carrot*0.001*(up_Irr!I24+up_Irr!AG24+up_Irr!BE24),".")</f>
        <v>13821.505926415879</v>
      </c>
      <c r="AJ24" s="93">
        <f>IFERROR(s_C*s_IFCI_res_adj*s_CF_citrus*0.001*(up_Irr!J24+up_Irr!AH24+up_Irr!BF24),".")</f>
        <v>13821.505926415879</v>
      </c>
      <c r="AK24" s="93">
        <f>IFERROR(s_C*s_IFCO_res_adj*s_CF_corn*0.001*(up_Irr!K24+up_Irr!AI24+up_Irr!BG24),".")</f>
        <v>13821.505926415879</v>
      </c>
      <c r="AL24" s="93">
        <f>IFERROR(s_C*s_IFCU_res_adj*s_CF_cucumber*0.001*(up_Irr!L24+up_Irr!AJ24+up_Irr!BH24),".")</f>
        <v>13821.505926415879</v>
      </c>
      <c r="AM24" s="93">
        <f>IFERROR(s_C*s_IFLE_res_adj*s_CF_lettuce*0.001*(up_Irr!M24+up_Irr!AK24+up_Irr!BI24),".")</f>
        <v>13821.505926415879</v>
      </c>
      <c r="AN24" s="93">
        <f>IFERROR(s_C*s_IFLI_res_adj*s_CF_lima_bean*0.001*(up_Irr!N24+up_Irr!AL24+up_Irr!BJ24),".")</f>
        <v>13821.505926415879</v>
      </c>
      <c r="AO24" s="93">
        <f>IFERROR(s_C*s_IFOK_res_adj*s_CF_okra*0.001*(up_Irr!O24+up_Irr!AM24+up_Irr!BK24),".")</f>
        <v>13821.505926415879</v>
      </c>
      <c r="AP24" s="93">
        <f>IFERROR(s_C*s_IFON_res_adj*s_CF_onion*0.001*(up_Irr!P24+up_Irr!AN24+up_Irr!BL24),".")</f>
        <v>13821.505926415879</v>
      </c>
      <c r="AQ24" s="93">
        <f>IFERROR(s_C*s_IFPC_res_adj*s_CF_peach*0.001*(up_Irr!Q24+up_Irr!AO24+up_Irr!BM24),".")</f>
        <v>13821.505926415879</v>
      </c>
      <c r="AR24" s="93">
        <f>IFERROR(s_C*s_IFPR_res_adj*s_CF_pear*0.001*(up_Irr!R24+up_Irr!AP24+up_Irr!BN24),".")</f>
        <v>13821.505926415879</v>
      </c>
      <c r="AS24" s="93">
        <f>IFERROR(s_C*s_IFPE_res_adj*s_CF_peas*0.001*(up_Irr!S24+up_Irr!AQ24+up_Irr!BO24),".")</f>
        <v>13821.505926415879</v>
      </c>
      <c r="AT24" s="93">
        <f>IFERROR(s_C*s_IFPT_res_adj*s_CF_potato*0.001*(up_Irr!T24+up_Irr!AR24+up_Irr!BP24),".")</f>
        <v>13821.505926415879</v>
      </c>
      <c r="AU24" s="93">
        <f>IFERROR(s_C*s_IFPU_res_adj*s_CF_pumpkin*0.001*(up_Irr!U24+up_Irr!AS24+up_Irr!BQ24),".")</f>
        <v>13821.505926415879</v>
      </c>
      <c r="AV24" s="93">
        <f>IFERROR(s_C*s_IFSN_res_adj*s_CF_snap_bean*0.001*(up_Irr!V24+up_Irr!AT24+up_Irr!BR24),".")</f>
        <v>13821.505926415879</v>
      </c>
      <c r="AW24" s="93">
        <f>IFERROR(s_C*s_IFST_res_adj*s_CF_strawberry*0.001*(up_Irr!W24+up_Irr!AU24+up_Irr!BS24),".")</f>
        <v>13821.505926415879</v>
      </c>
      <c r="AX24" s="93">
        <f>IFERROR(s_C*s_IFTO_res_adj*s_CF_tomato*0.001*(up_Irr!X24+up_Irr!AV24+up_Irr!BT24),".")</f>
        <v>13821.505926415879</v>
      </c>
      <c r="AY24" s="93">
        <f>IFERROR(s_C*s_IFRI_res_adj*s_CF_rice*0.001*(up_Irr!Y24+up_Irr!AW24+up_Irr!BU24),".")</f>
        <v>13821.505926415879</v>
      </c>
      <c r="AZ24" s="93">
        <f>IFERROR(s_C*s_IFCG_res_adj*s_CF_cereal*0.001*(up_Irr!Z24+up_Irr!AX24+up_Irr!BV24),".")</f>
        <v>13821.505926415879</v>
      </c>
      <c r="BA24" s="76">
        <f t="shared" si="12"/>
        <v>1.8087754064641833E-11</v>
      </c>
      <c r="BB24" s="76">
        <f>IFERROR(IF(AND(up_Irr!C24&lt;&gt;".",up_Irr!AA24&lt;&gt;".",up_Irr!AY24&lt;&gt;"."),up_dir!AC24/((1/1000)*(up_Irr!C24+up_Irr!AA24+up_Irr!AY24)),IF(AND(up_Irr!C24&lt;&gt;".",up_Irr!AA24&lt;&gt;".",up_Irr!AY24="."),up_dir!AC24/((1/1000)*(up_Irr!C24+up_Irr!AA24)),IF(AND(up_Irr!C24&lt;&gt;".",up_Irr!AA24=".",up_Irr!AY24&lt;&gt;"."),up_dir!AC24/((1/1000)*(up_Irr!C24+up_Irr!AY24)),IF(AND(up_Irr!C24=".",up_Irr!AA24&lt;&gt;".",up_Irr!AY24&lt;&gt;"."),up_dir!AC24/((1/1000)*(up_Irr!AA24+up_Irr!AY24)),IF(AND(up_Irr!C24=".",up_Irr!AA24=".",up_Irr!AY24&lt;&gt;"."),up_dir!AC24/((1/1000)*(up_Irr!AY24)),IF(AND(up_Irr!C24=".",up_Irr!AA24&lt;&gt;".",up_Irr!AY24="."),up_dir!AC24/((1/1000)*(up_Irr!AA24)),IF(AND(up_Irr!C24&lt;&gt;".",up_Irr!AA24=".",up_Irr!AY24="."),up_dir!AC24/((1/1000)*(up_Irr!C24)),IF(AND(up_Irr!C24=".",up_Irr!AA24=".",up_Irr!AY24="."),up_dir!AC24*1000)))))))),".")</f>
        <v>7.2351016258567334E-11</v>
      </c>
      <c r="BC24" s="76">
        <f>IFERROR(IF(AND(up_Irr!D24&lt;&gt;".",up_Irr!AB24&lt;&gt;".",up_Irr!AZ24&lt;&gt;"."),up_dir!AD24/((1/1000)*(up_Irr!D24+up_Irr!AB24+up_Irr!AZ24)),IF(AND(up_Irr!D24&lt;&gt;".",up_Irr!AB24&lt;&gt;".",up_Irr!AZ24="."),up_dir!AD24/((1/1000)*(up_Irr!D24+up_Irr!AB24)),IF(AND(up_Irr!D24&lt;&gt;".",up_Irr!AB24=".",up_Irr!AZ24&lt;&gt;"."),up_dir!AD24/((1/1000)*(up_Irr!D24+up_Irr!AZ24)),IF(AND(up_Irr!D24=".",up_Irr!AB24&lt;&gt;".",up_Irr!AZ24&lt;&gt;"."),up_dir!AD24/((1/1000)*(up_Irr!AB24+up_Irr!AZ24)),IF(AND(up_Irr!D24=".",up_Irr!AB24=".",up_Irr!AZ24&lt;&gt;"."),up_dir!AD24/((1/1000)*(up_Irr!AZ24)),IF(AND(up_Irr!D24=".",up_Irr!AB24&lt;&gt;".",up_Irr!AZ24="."),up_dir!AD24/((1/1000)*(up_Irr!AB24)),IF(AND(up_Irr!D24&lt;&gt;".",up_Irr!AB24=".",up_Irr!AZ24="."),up_dir!AD24/((1/1000)*(up_Irr!D24)),IF(AND(up_Irr!D24=".",up_Irr!AB24=".",up_Irr!AZ24="."),up_dir!AD24*1000)))))))),".")</f>
        <v>7.2351016258567334E-11</v>
      </c>
      <c r="BD24" s="76">
        <f>IFERROR(IF(AND(up_Irr!E24&lt;&gt;".",up_Irr!AC24&lt;&gt;".",up_Irr!BA24&lt;&gt;"."),up_dir!AE24/((1/1000)*(up_Irr!E24+up_Irr!AC24+up_Irr!BA24)),IF(AND(up_Irr!E24&lt;&gt;".",up_Irr!AC24&lt;&gt;".",up_Irr!BA24="."),up_dir!AE24/((1/1000)*(up_Irr!E24+up_Irr!AC24)),IF(AND(up_Irr!E24&lt;&gt;".",up_Irr!AC24=".",up_Irr!BA24&lt;&gt;"."),up_dir!AE24/((1/1000)*(up_Irr!E24+up_Irr!BA24)),IF(AND(up_Irr!E24=".",up_Irr!AC24&lt;&gt;".",up_Irr!BA24&lt;&gt;"."),up_dir!AE24/((1/1000)*(up_Irr!AC24+up_Irr!BA24)),IF(AND(up_Irr!E24=".",up_Irr!AC24=".",up_Irr!BA24&lt;&gt;"."),up_dir!AE24/((1/1000)*(up_Irr!BA24)),IF(AND(up_Irr!E24=".",up_Irr!AC24&lt;&gt;".",up_Irr!BA24="."),up_dir!AE24/((1/1000)*(up_Irr!AC24)),IF(AND(up_Irr!E24&lt;&gt;".",up_Irr!AC24=".",up_Irr!BA24="."),up_dir!AE24/((1/1000)*(up_Irr!E24)),IF(AND(up_Irr!E24=".",up_Irr!AC24=".",up_Irr!BA24="."),up_dir!AE24*1000)))))))),".")</f>
        <v>7.2351016258567334E-11</v>
      </c>
      <c r="BE24" s="76">
        <f>IFERROR(IF(AND(up_Irr!F24&lt;&gt;".",up_Irr!AD24&lt;&gt;".",up_Irr!BB24&lt;&gt;"."),up_dir!AF24/((1/1000)*(up_Irr!F24+up_Irr!AD24+up_Irr!BB24)),IF(AND(up_Irr!F24&lt;&gt;".",up_Irr!AD24&lt;&gt;".",up_Irr!BB24="."),up_dir!AF24/((1/1000)*(up_Irr!F24+up_Irr!AD24)),IF(AND(up_Irr!F24&lt;&gt;".",up_Irr!AD24=".",up_Irr!BB24&lt;&gt;"."),up_dir!AF24/((1/1000)*(up_Irr!F24+up_Irr!BB24)),IF(AND(up_Irr!F24=".",up_Irr!AD24&lt;&gt;".",up_Irr!BB24&lt;&gt;"."),up_dir!AF24/((1/1000)*(up_Irr!AD24+up_Irr!BB24)),IF(AND(up_Irr!F24=".",up_Irr!AD24=".",up_Irr!BB24&lt;&gt;"."),up_dir!AF24/((1/1000)*(up_Irr!BB24)),IF(AND(up_Irr!F24=".",up_Irr!AD24&lt;&gt;".",up_Irr!BB24="."),up_dir!AF24/((1/1000)*(up_Irr!AD24)),IF(AND(up_Irr!F24&lt;&gt;".",up_Irr!AD24=".",up_Irr!BB24="."),up_dir!AF24/((1/1000)*(up_Irr!F24)),IF(AND(up_Irr!F24=".",up_Irr!AD24=".",up_Irr!BB24="."),up_dir!AF24*1000)))))))),".")</f>
        <v>7.2351016258567334E-11</v>
      </c>
      <c r="BF24" s="76">
        <f>IFERROR(IF(AND(up_Irr!G24&lt;&gt;".",up_Irr!AE24&lt;&gt;".",up_Irr!BC24&lt;&gt;"."),up_dir!AG24/((1/1000)*(up_Irr!G24+up_Irr!AE24+up_Irr!BC24)),IF(AND(up_Irr!G24&lt;&gt;".",up_Irr!AE24&lt;&gt;".",up_Irr!BC24="."),up_dir!AG24/((1/1000)*(up_Irr!G24+up_Irr!AE24)),IF(AND(up_Irr!G24&lt;&gt;".",up_Irr!AE24=".",up_Irr!BC24&lt;&gt;"."),up_dir!AG24/((1/1000)*(up_Irr!G24+up_Irr!BC24)),IF(AND(up_Irr!G24=".",up_Irr!AE24&lt;&gt;".",up_Irr!BC24&lt;&gt;"."),up_dir!AG24/((1/1000)*(up_Irr!AE24+up_Irr!BC24)),IF(AND(up_Irr!G24=".",up_Irr!AE24=".",up_Irr!BC24&lt;&gt;"."),up_dir!AG24/((1/1000)*(up_Irr!BC24)),IF(AND(up_Irr!G24=".",up_Irr!AE24&lt;&gt;".",up_Irr!BC24="."),up_dir!AG24/((1/1000)*(up_Irr!AE24)),IF(AND(up_Irr!G24&lt;&gt;".",up_Irr!AE24=".",up_Irr!BC24="."),up_dir!AG24/((1/1000)*(up_Irr!G24)),IF(AND(up_Irr!G24=".",up_Irr!AE24=".",up_Irr!BC24="."),up_dir!AG24*1000)))))))),".")</f>
        <v>7.2351016258567334E-11</v>
      </c>
      <c r="BG24" s="76">
        <f>IFERROR(IF(AND(up_Irr!H24&lt;&gt;".",up_Irr!AF24&lt;&gt;".",up_Irr!BD24&lt;&gt;"."),up_dir!AH24/((1/1000)*(up_Irr!H24+up_Irr!AF24+up_Irr!BD24)),IF(AND(up_Irr!H24&lt;&gt;".",up_Irr!AF24&lt;&gt;".",up_Irr!BD24="."),up_dir!AH24/((1/1000)*(up_Irr!H24+up_Irr!AF24)),IF(AND(up_Irr!H24&lt;&gt;".",up_Irr!AF24=".",up_Irr!BD24&lt;&gt;"."),up_dir!AH24/((1/1000)*(up_Irr!H24+up_Irr!BD24)),IF(AND(up_Irr!H24=".",up_Irr!AF24&lt;&gt;".",up_Irr!BD24&lt;&gt;"."),up_dir!AH24/((1/1000)*(up_Irr!AF24+up_Irr!BD24)),IF(AND(up_Irr!H24=".",up_Irr!AF24=".",up_Irr!BD24&lt;&gt;"."),up_dir!AH24/((1/1000)*(up_Irr!BD24)),IF(AND(up_Irr!H24=".",up_Irr!AF24&lt;&gt;".",up_Irr!BD24="."),up_dir!AH24/((1/1000)*(up_Irr!AF24)),IF(AND(up_Irr!H24&lt;&gt;".",up_Irr!AF24=".",up_Irr!BD24="."),up_dir!AH24/((1/1000)*(up_Irr!H24)),IF(AND(up_Irr!H24=".",up_Irr!AF24=".",up_Irr!BD24="."),up_dir!AH24*1000)))))))),".")</f>
        <v>7.2351016258567334E-11</v>
      </c>
      <c r="BH24" s="76">
        <f>IFERROR(IF(AND(up_Irr!I24&lt;&gt;".",up_Irr!AG24&lt;&gt;".",up_Irr!BE24&lt;&gt;"."),up_dir!AI24/((1/1000)*(up_Irr!I24+up_Irr!AG24+up_Irr!BE24)),IF(AND(up_Irr!I24&lt;&gt;".",up_Irr!AG24&lt;&gt;".",up_Irr!BE24="."),up_dir!AI24/((1/1000)*(up_Irr!I24+up_Irr!AG24)),IF(AND(up_Irr!I24&lt;&gt;".",up_Irr!AG24=".",up_Irr!BE24&lt;&gt;"."),up_dir!AI24/((1/1000)*(up_Irr!I24+up_Irr!BE24)),IF(AND(up_Irr!I24=".",up_Irr!AG24&lt;&gt;".",up_Irr!BE24&lt;&gt;"."),up_dir!AI24/((1/1000)*(up_Irr!AG24+up_Irr!BE24)),IF(AND(up_Irr!I24=".",up_Irr!AG24=".",up_Irr!BE24&lt;&gt;"."),up_dir!AI24/((1/1000)*(up_Irr!BE24)),IF(AND(up_Irr!I24=".",up_Irr!AG24&lt;&gt;".",up_Irr!BE24="."),up_dir!AI24/((1/1000)*(up_Irr!AG24)),IF(AND(up_Irr!I24&lt;&gt;".",up_Irr!AG24=".",up_Irr!BE24="."),up_dir!AI24/((1/1000)*(up_Irr!I24)),IF(AND(up_Irr!I24=".",up_Irr!AG24=".",up_Irr!BE24="."),up_dir!AI24*1000)))))))),".")</f>
        <v>7.2351016258567334E-11</v>
      </c>
      <c r="BI24" s="76">
        <f>IFERROR(IF(AND(up_Irr!J24&lt;&gt;".",up_Irr!AH24&lt;&gt;".",up_Irr!BF24&lt;&gt;"."),up_dir!AJ24/((1/1000)*(up_Irr!J24+up_Irr!AH24+up_Irr!BF24)),IF(AND(up_Irr!J24&lt;&gt;".",up_Irr!AH24&lt;&gt;".",up_Irr!BF24="."),up_dir!AJ24/((1/1000)*(up_Irr!J24+up_Irr!AH24)),IF(AND(up_Irr!J24&lt;&gt;".",up_Irr!AH24=".",up_Irr!BF24&lt;&gt;"."),up_dir!AJ24/((1/1000)*(up_Irr!J24+up_Irr!BF24)),IF(AND(up_Irr!J24=".",up_Irr!AH24&lt;&gt;".",up_Irr!BF24&lt;&gt;"."),up_dir!AJ24/((1/1000)*(up_Irr!AH24+up_Irr!BF24)),IF(AND(up_Irr!J24=".",up_Irr!AH24=".",up_Irr!BF24&lt;&gt;"."),up_dir!AJ24/((1/1000)*(up_Irr!BF24)),IF(AND(up_Irr!J24=".",up_Irr!AH24&lt;&gt;".",up_Irr!BF24="."),up_dir!AJ24/((1/1000)*(up_Irr!AH24)),IF(AND(up_Irr!J24&lt;&gt;".",up_Irr!AH24=".",up_Irr!BF24="."),up_dir!AJ24/((1/1000)*(up_Irr!J24)),IF(AND(up_Irr!J24=".",up_Irr!AH24=".",up_Irr!BF24="."),up_dir!AJ24*1000)))))))),".")</f>
        <v>7.2351016258567334E-11</v>
      </c>
      <c r="BJ24" s="76">
        <f>IFERROR(IF(AND(up_Irr!K24&lt;&gt;".",up_Irr!AI24&lt;&gt;".",up_Irr!BG24&lt;&gt;"."),up_dir!AK24/((1/1000)*(up_Irr!K24+up_Irr!AI24+up_Irr!BG24)),IF(AND(up_Irr!K24&lt;&gt;".",up_Irr!AI24&lt;&gt;".",up_Irr!BG24="."),up_dir!AK24/((1/1000)*(up_Irr!K24+up_Irr!AI24)),IF(AND(up_Irr!K24&lt;&gt;".",up_Irr!AI24=".",up_Irr!BG24&lt;&gt;"."),up_dir!AK24/((1/1000)*(up_Irr!K24+up_Irr!BG24)),IF(AND(up_Irr!K24=".",up_Irr!AI24&lt;&gt;".",up_Irr!BG24&lt;&gt;"."),up_dir!AK24/((1/1000)*(up_Irr!AI24+up_Irr!BG24)),IF(AND(up_Irr!K24=".",up_Irr!AI24=".",up_Irr!BG24&lt;&gt;"."),up_dir!AK24/((1/1000)*(up_Irr!BG24)),IF(AND(up_Irr!K24=".",up_Irr!AI24&lt;&gt;".",up_Irr!BG24="."),up_dir!AK24/((1/1000)*(up_Irr!AI24)),IF(AND(up_Irr!K24&lt;&gt;".",up_Irr!AI24=".",up_Irr!BG24="."),up_dir!AK24/((1/1000)*(up_Irr!K24)),IF(AND(up_Irr!K24=".",up_Irr!AI24=".",up_Irr!BG24="."),up_dir!AK24*1000)))))))),".")</f>
        <v>7.2351016258567334E-11</v>
      </c>
      <c r="BK24" s="76">
        <f>IFERROR(IF(AND(up_Irr!L24&lt;&gt;".",up_Irr!AJ24&lt;&gt;".",up_Irr!BH24&lt;&gt;"."),up_dir!AL24/((1/1000)*(up_Irr!L24+up_Irr!AJ24+up_Irr!BH24)),IF(AND(up_Irr!L24&lt;&gt;".",up_Irr!AJ24&lt;&gt;".",up_Irr!BH24="."),up_dir!AL24/((1/1000)*(up_Irr!L24+up_Irr!AJ24)),IF(AND(up_Irr!L24&lt;&gt;".",up_Irr!AJ24=".",up_Irr!BH24&lt;&gt;"."),up_dir!AL24/((1/1000)*(up_Irr!L24+up_Irr!BH24)),IF(AND(up_Irr!L24=".",up_Irr!AJ24&lt;&gt;".",up_Irr!BH24&lt;&gt;"."),up_dir!AL24/((1/1000)*(up_Irr!AJ24+up_Irr!BH24)),IF(AND(up_Irr!L24=".",up_Irr!AJ24=".",up_Irr!BH24&lt;&gt;"."),up_dir!AL24/((1/1000)*(up_Irr!BH24)),IF(AND(up_Irr!L24=".",up_Irr!AJ24&lt;&gt;".",up_Irr!BH24="."),up_dir!AL24/((1/1000)*(up_Irr!AJ24)),IF(AND(up_Irr!L24&lt;&gt;".",up_Irr!AJ24=".",up_Irr!BH24="."),up_dir!AL24/((1/1000)*(up_Irr!L24)),IF(AND(up_Irr!L24=".",up_Irr!AJ24=".",up_Irr!BH24="."),up_dir!AL24*1000)))))))),".")</f>
        <v>7.2351016258567334E-11</v>
      </c>
      <c r="BL24" s="76">
        <f>IFERROR(IF(AND(up_Irr!M24&lt;&gt;".",up_Irr!AK24&lt;&gt;".",up_Irr!BI24&lt;&gt;"."),up_dir!AM24/((1/1000)*(up_Irr!M24+up_Irr!AK24+up_Irr!BI24)),IF(AND(up_Irr!M24&lt;&gt;".",up_Irr!AK24&lt;&gt;".",up_Irr!BI24="."),up_dir!AM24/((1/1000)*(up_Irr!M24+up_Irr!AK24)),IF(AND(up_Irr!M24&lt;&gt;".",up_Irr!AK24=".",up_Irr!BI24&lt;&gt;"."),up_dir!AM24/((1/1000)*(up_Irr!M24+up_Irr!BI24)),IF(AND(up_Irr!M24=".",up_Irr!AK24&lt;&gt;".",up_Irr!BI24&lt;&gt;"."),up_dir!AM24/((1/1000)*(up_Irr!AK24+up_Irr!BI24)),IF(AND(up_Irr!M24=".",up_Irr!AK24=".",up_Irr!BI24&lt;&gt;"."),up_dir!AM24/((1/1000)*(up_Irr!BI24)),IF(AND(up_Irr!M24=".",up_Irr!AK24&lt;&gt;".",up_Irr!BI24="."),up_dir!AM24/((1/1000)*(up_Irr!AK24)),IF(AND(up_Irr!M24&lt;&gt;".",up_Irr!AK24=".",up_Irr!BI24="."),up_dir!AM24/((1/1000)*(up_Irr!M24)),IF(AND(up_Irr!M24=".",up_Irr!AK24=".",up_Irr!BI24="."),up_dir!AM24*1000)))))))),".")</f>
        <v>7.2351016258567334E-11</v>
      </c>
      <c r="BM24" s="76">
        <f>IFERROR(IF(AND(up_Irr!N24&lt;&gt;".",up_Irr!AL24&lt;&gt;".",up_Irr!BJ24&lt;&gt;"."),up_dir!AN24/((1/1000)*(up_Irr!N24+up_Irr!AL24+up_Irr!BJ24)),IF(AND(up_Irr!N24&lt;&gt;".",up_Irr!AL24&lt;&gt;".",up_Irr!BJ24="."),up_dir!AN24/((1/1000)*(up_Irr!N24+up_Irr!AL24)),IF(AND(up_Irr!N24&lt;&gt;".",up_Irr!AL24=".",up_Irr!BJ24&lt;&gt;"."),up_dir!AN24/((1/1000)*(up_Irr!N24+up_Irr!BJ24)),IF(AND(up_Irr!N24=".",up_Irr!AL24&lt;&gt;".",up_Irr!BJ24&lt;&gt;"."),up_dir!AN24/((1/1000)*(up_Irr!AL24+up_Irr!BJ24)),IF(AND(up_Irr!N24=".",up_Irr!AL24=".",up_Irr!BJ24&lt;&gt;"."),up_dir!AN24/((1/1000)*(up_Irr!BJ24)),IF(AND(up_Irr!N24=".",up_Irr!AL24&lt;&gt;".",up_Irr!BJ24="."),up_dir!AN24/((1/1000)*(up_Irr!AL24)),IF(AND(up_Irr!N24&lt;&gt;".",up_Irr!AL24=".",up_Irr!BJ24="."),up_dir!AN24/((1/1000)*(up_Irr!N24)),IF(AND(up_Irr!N24=".",up_Irr!AL24=".",up_Irr!BJ24="."),up_dir!AN24*1000)))))))),".")</f>
        <v>7.2351016258567334E-11</v>
      </c>
      <c r="BN24" s="76">
        <f>IFERROR(IF(AND(up_Irr!O24&lt;&gt;".",up_Irr!AM24&lt;&gt;".",up_Irr!BK24&lt;&gt;"."),up_dir!AO24/((1/1000)*(up_Irr!O24+up_Irr!AM24+up_Irr!BK24)),IF(AND(up_Irr!O24&lt;&gt;".",up_Irr!AM24&lt;&gt;".",up_Irr!BK24="."),up_dir!AO24/((1/1000)*(up_Irr!O24+up_Irr!AM24)),IF(AND(up_Irr!O24&lt;&gt;".",up_Irr!AM24=".",up_Irr!BK24&lt;&gt;"."),up_dir!AO24/((1/1000)*(up_Irr!O24+up_Irr!BK24)),IF(AND(up_Irr!O24=".",up_Irr!AM24&lt;&gt;".",up_Irr!BK24&lt;&gt;"."),up_dir!AO24/((1/1000)*(up_Irr!AM24+up_Irr!BK24)),IF(AND(up_Irr!O24=".",up_Irr!AM24=".",up_Irr!BK24&lt;&gt;"."),up_dir!AO24/((1/1000)*(up_Irr!BK24)),IF(AND(up_Irr!O24=".",up_Irr!AM24&lt;&gt;".",up_Irr!BK24="."),up_dir!AO24/((1/1000)*(up_Irr!AM24)),IF(AND(up_Irr!O24&lt;&gt;".",up_Irr!AM24=".",up_Irr!BK24="."),up_dir!AO24/((1/1000)*(up_Irr!O24)),IF(AND(up_Irr!O24=".",up_Irr!AM24=".",up_Irr!BK24="."),up_dir!AO24*1000)))))))),".")</f>
        <v>7.2351016258567334E-11</v>
      </c>
      <c r="BO24" s="76">
        <f>IFERROR(IF(AND(up_Irr!P24&lt;&gt;".",up_Irr!AN24&lt;&gt;".",up_Irr!BL24&lt;&gt;"."),up_dir!AP24/((1/1000)*(up_Irr!P24+up_Irr!AN24+up_Irr!BL24)),IF(AND(up_Irr!P24&lt;&gt;".",up_Irr!AN24&lt;&gt;".",up_Irr!BL24="."),up_dir!AP24/((1/1000)*(up_Irr!P24+up_Irr!AN24)),IF(AND(up_Irr!P24&lt;&gt;".",up_Irr!AN24=".",up_Irr!BL24&lt;&gt;"."),up_dir!AP24/((1/1000)*(up_Irr!P24+up_Irr!BL24)),IF(AND(up_Irr!P24=".",up_Irr!AN24&lt;&gt;".",up_Irr!BL24&lt;&gt;"."),up_dir!AP24/((1/1000)*(up_Irr!AN24+up_Irr!BL24)),IF(AND(up_Irr!P24=".",up_Irr!AN24=".",up_Irr!BL24&lt;&gt;"."),up_dir!AP24/((1/1000)*(up_Irr!BL24)),IF(AND(up_Irr!P24=".",up_Irr!AN24&lt;&gt;".",up_Irr!BL24="."),up_dir!AP24/((1/1000)*(up_Irr!AN24)),IF(AND(up_Irr!P24&lt;&gt;".",up_Irr!AN24=".",up_Irr!BL24="."),up_dir!AP24/((1/1000)*(up_Irr!P24)),IF(AND(up_Irr!P24=".",up_Irr!AN24=".",up_Irr!BL24="."),up_dir!AP24*1000)))))))),".")</f>
        <v>7.2351016258567334E-11</v>
      </c>
      <c r="BP24" s="76">
        <f>IFERROR(IF(AND(up_Irr!Q24&lt;&gt;".",up_Irr!AO24&lt;&gt;".",up_Irr!BM24&lt;&gt;"."),up_dir!AQ24/((1/1000)*(up_Irr!Q24+up_Irr!AO24+up_Irr!BM24)),IF(AND(up_Irr!Q24&lt;&gt;".",up_Irr!AO24&lt;&gt;".",up_Irr!BM24="."),up_dir!AQ24/((1/1000)*(up_Irr!Q24+up_Irr!AO24)),IF(AND(up_Irr!Q24&lt;&gt;".",up_Irr!AO24=".",up_Irr!BM24&lt;&gt;"."),up_dir!AQ24/((1/1000)*(up_Irr!Q24+up_Irr!BM24)),IF(AND(up_Irr!Q24=".",up_Irr!AO24&lt;&gt;".",up_Irr!BM24&lt;&gt;"."),up_dir!AQ24/((1/1000)*(up_Irr!AO24+up_Irr!BM24)),IF(AND(up_Irr!Q24=".",up_Irr!AO24=".",up_Irr!BM24&lt;&gt;"."),up_dir!AQ24/((1/1000)*(up_Irr!BM24)),IF(AND(up_Irr!Q24=".",up_Irr!AO24&lt;&gt;".",up_Irr!BM24="."),up_dir!AQ24/((1/1000)*(up_Irr!AO24)),IF(AND(up_Irr!Q24&lt;&gt;".",up_Irr!AO24=".",up_Irr!BM24="."),up_dir!AQ24/((1/1000)*(up_Irr!Q24)),IF(AND(up_Irr!Q24=".",up_Irr!AO24=".",up_Irr!BM24="."),up_dir!AQ24*1000)))))))),".")</f>
        <v>7.2351016258567334E-11</v>
      </c>
      <c r="BQ24" s="76">
        <f>IFERROR(IF(AND(up_Irr!R24&lt;&gt;".",up_Irr!AP24&lt;&gt;".",up_Irr!BN24&lt;&gt;"."),up_dir!AR24/((1/1000)*(up_Irr!R24+up_Irr!AP24+up_Irr!BN24)),IF(AND(up_Irr!R24&lt;&gt;".",up_Irr!AP24&lt;&gt;".",up_Irr!BN24="."),up_dir!AR24/((1/1000)*(up_Irr!R24+up_Irr!AP24)),IF(AND(up_Irr!R24&lt;&gt;".",up_Irr!AP24=".",up_Irr!BN24&lt;&gt;"."),up_dir!AR24/((1/1000)*(up_Irr!R24+up_Irr!BN24)),IF(AND(up_Irr!R24=".",up_Irr!AP24&lt;&gt;".",up_Irr!BN24&lt;&gt;"."),up_dir!AR24/((1/1000)*(up_Irr!AP24+up_Irr!BN24)),IF(AND(up_Irr!R24=".",up_Irr!AP24=".",up_Irr!BN24&lt;&gt;"."),up_dir!AR24/((1/1000)*(up_Irr!BN24)),IF(AND(up_Irr!R24=".",up_Irr!AP24&lt;&gt;".",up_Irr!BN24="."),up_dir!AR24/((1/1000)*(up_Irr!AP24)),IF(AND(up_Irr!R24&lt;&gt;".",up_Irr!AP24=".",up_Irr!BN24="."),up_dir!AR24/((1/1000)*(up_Irr!R24)),IF(AND(up_Irr!R24=".",up_Irr!AP24=".",up_Irr!BN24="."),up_dir!AR24*1000)))))))),".")</f>
        <v>7.2351016258567334E-11</v>
      </c>
      <c r="BR24" s="76">
        <f>IFERROR(IF(AND(up_Irr!S24&lt;&gt;".",up_Irr!AQ24&lt;&gt;".",up_Irr!BO24&lt;&gt;"."),up_dir!AS24/((1/1000)*(up_Irr!S24+up_Irr!AQ24+up_Irr!BO24)),IF(AND(up_Irr!S24&lt;&gt;".",up_Irr!AQ24&lt;&gt;".",up_Irr!BO24="."),up_dir!AS24/((1/1000)*(up_Irr!S24+up_Irr!AQ24)),IF(AND(up_Irr!S24&lt;&gt;".",up_Irr!AQ24=".",up_Irr!BO24&lt;&gt;"."),up_dir!AS24/((1/1000)*(up_Irr!S24+up_Irr!BO24)),IF(AND(up_Irr!S24=".",up_Irr!AQ24&lt;&gt;".",up_Irr!BO24&lt;&gt;"."),up_dir!AS24/((1/1000)*(up_Irr!AQ24+up_Irr!BO24)),IF(AND(up_Irr!S24=".",up_Irr!AQ24=".",up_Irr!BO24&lt;&gt;"."),up_dir!AS24/((1/1000)*(up_Irr!BO24)),IF(AND(up_Irr!S24=".",up_Irr!AQ24&lt;&gt;".",up_Irr!BO24="."),up_dir!AS24/((1/1000)*(up_Irr!AQ24)),IF(AND(up_Irr!S24&lt;&gt;".",up_Irr!AQ24=".",up_Irr!BO24="."),up_dir!AS24/((1/1000)*(up_Irr!S24)),IF(AND(up_Irr!S24=".",up_Irr!AQ24=".",up_Irr!BO24="."),up_dir!AS24*1000)))))))),".")</f>
        <v>7.2351016258567334E-11</v>
      </c>
      <c r="BS24" s="76">
        <f>IFERROR(IF(AND(up_Irr!T24&lt;&gt;".",up_Irr!AR24&lt;&gt;".",up_Irr!BP24&lt;&gt;"."),up_dir!AT24/((1/1000)*(up_Irr!T24+up_Irr!AR24+up_Irr!BP24)),IF(AND(up_Irr!T24&lt;&gt;".",up_Irr!AR24&lt;&gt;".",up_Irr!BP24="."),up_dir!AT24/((1/1000)*(up_Irr!T24+up_Irr!AR24)),IF(AND(up_Irr!T24&lt;&gt;".",up_Irr!AR24=".",up_Irr!BP24&lt;&gt;"."),up_dir!AT24/((1/1000)*(up_Irr!T24+up_Irr!BP24)),IF(AND(up_Irr!T24=".",up_Irr!AR24&lt;&gt;".",up_Irr!BP24&lt;&gt;"."),up_dir!AT24/((1/1000)*(up_Irr!AR24+up_Irr!BP24)),IF(AND(up_Irr!T24=".",up_Irr!AR24=".",up_Irr!BP24&lt;&gt;"."),up_dir!AT24/((1/1000)*(up_Irr!BP24)),IF(AND(up_Irr!T24=".",up_Irr!AR24&lt;&gt;".",up_Irr!BP24="."),up_dir!AT24/((1/1000)*(up_Irr!AR24)),IF(AND(up_Irr!T24&lt;&gt;".",up_Irr!AR24=".",up_Irr!BP24="."),up_dir!AT24/((1/1000)*(up_Irr!T24)),IF(AND(up_Irr!T24=".",up_Irr!AR24=".",up_Irr!BP24="."),up_dir!AT24*1000)))))))),".")</f>
        <v>7.2351016258567334E-11</v>
      </c>
      <c r="BT24" s="76">
        <f>IFERROR(IF(AND(up_Irr!U24&lt;&gt;".",up_Irr!AS24&lt;&gt;".",up_Irr!BQ24&lt;&gt;"."),up_dir!AU24/((1/1000)*(up_Irr!U24+up_Irr!AS24+up_Irr!BQ24)),IF(AND(up_Irr!U24&lt;&gt;".",up_Irr!AS24&lt;&gt;".",up_Irr!BQ24="."),up_dir!AU24/((1/1000)*(up_Irr!U24+up_Irr!AS24)),IF(AND(up_Irr!U24&lt;&gt;".",up_Irr!AS24=".",up_Irr!BQ24&lt;&gt;"."),up_dir!AU24/((1/1000)*(up_Irr!U24+up_Irr!BQ24)),IF(AND(up_Irr!U24=".",up_Irr!AS24&lt;&gt;".",up_Irr!BQ24&lt;&gt;"."),up_dir!AU24/((1/1000)*(up_Irr!AS24+up_Irr!BQ24)),IF(AND(up_Irr!U24=".",up_Irr!AS24=".",up_Irr!BQ24&lt;&gt;"."),up_dir!AU24/((1/1000)*(up_Irr!BQ24)),IF(AND(up_Irr!U24=".",up_Irr!AS24&lt;&gt;".",up_Irr!BQ24="."),up_dir!AU24/((1/1000)*(up_Irr!AS24)),IF(AND(up_Irr!U24&lt;&gt;".",up_Irr!AS24=".",up_Irr!BQ24="."),up_dir!AU24/((1/1000)*(up_Irr!U24)),IF(AND(up_Irr!U24=".",up_Irr!AS24=".",up_Irr!BQ24="."),up_dir!AU24*1000)))))))),".")</f>
        <v>7.2351016258567334E-11</v>
      </c>
      <c r="BU24" s="76">
        <f>IFERROR(IF(AND(up_Irr!V24&lt;&gt;".",up_Irr!AT24&lt;&gt;".",up_Irr!BR24&lt;&gt;"."),up_dir!AV24/((1/1000)*(up_Irr!V24+up_Irr!AT24+up_Irr!BR24)),IF(AND(up_Irr!V24&lt;&gt;".",up_Irr!AT24&lt;&gt;".",up_Irr!BR24="."),up_dir!AV24/((1/1000)*(up_Irr!V24+up_Irr!AT24)),IF(AND(up_Irr!V24&lt;&gt;".",up_Irr!AT24=".",up_Irr!BR24&lt;&gt;"."),up_dir!AV24/((1/1000)*(up_Irr!V24+up_Irr!BR24)),IF(AND(up_Irr!V24=".",up_Irr!AT24&lt;&gt;".",up_Irr!BR24&lt;&gt;"."),up_dir!AV24/((1/1000)*(up_Irr!AT24+up_Irr!BR24)),IF(AND(up_Irr!V24=".",up_Irr!AT24=".",up_Irr!BR24&lt;&gt;"."),up_dir!AV24/((1/1000)*(up_Irr!BR24)),IF(AND(up_Irr!V24=".",up_Irr!AT24&lt;&gt;".",up_Irr!BR24="."),up_dir!AV24/((1/1000)*(up_Irr!AT24)),IF(AND(up_Irr!V24&lt;&gt;".",up_Irr!AT24=".",up_Irr!BR24="."),up_dir!AV24/((1/1000)*(up_Irr!V24)),IF(AND(up_Irr!V24=".",up_Irr!AT24=".",up_Irr!BR24="."),up_dir!AV24*1000)))))))),".")</f>
        <v>7.2351016258567334E-11</v>
      </c>
      <c r="BV24" s="76">
        <f>IFERROR(IF(AND(up_Irr!W24&lt;&gt;".",up_Irr!AU24&lt;&gt;".",up_Irr!BS24&lt;&gt;"."),up_dir!AW24/((1/1000)*(up_Irr!W24+up_Irr!AU24+up_Irr!BS24)),IF(AND(up_Irr!W24&lt;&gt;".",up_Irr!AU24&lt;&gt;".",up_Irr!BS24="."),up_dir!AW24/((1/1000)*(up_Irr!W24+up_Irr!AU24)),IF(AND(up_Irr!W24&lt;&gt;".",up_Irr!AU24=".",up_Irr!BS24&lt;&gt;"."),up_dir!AW24/((1/1000)*(up_Irr!W24+up_Irr!BS24)),IF(AND(up_Irr!W24=".",up_Irr!AU24&lt;&gt;".",up_Irr!BS24&lt;&gt;"."),up_dir!AW24/((1/1000)*(up_Irr!AU24+up_Irr!BS24)),IF(AND(up_Irr!W24=".",up_Irr!AU24=".",up_Irr!BS24&lt;&gt;"."),up_dir!AW24/((1/1000)*(up_Irr!BS24)),IF(AND(up_Irr!W24=".",up_Irr!AU24&lt;&gt;".",up_Irr!BS24="."),up_dir!AW24/((1/1000)*(up_Irr!AU24)),IF(AND(up_Irr!W24&lt;&gt;".",up_Irr!AU24=".",up_Irr!BS24="."),up_dir!AW24/((1/1000)*(up_Irr!W24)),IF(AND(up_Irr!W24=".",up_Irr!AU24=".",up_Irr!BS24="."),up_dir!AW24*1000)))))))),".")</f>
        <v>7.2351016258567334E-11</v>
      </c>
      <c r="BW24" s="76">
        <f>IFERROR(IF(AND(up_Irr!X24&lt;&gt;".",up_Irr!AV24&lt;&gt;".",up_Irr!BT24&lt;&gt;"."),up_dir!AX24/((1/1000)*(up_Irr!X24+up_Irr!AV24+up_Irr!BT24)),IF(AND(up_Irr!X24&lt;&gt;".",up_Irr!AV24&lt;&gt;".",up_Irr!BT24="."),up_dir!AX24/((1/1000)*(up_Irr!X24+up_Irr!AV24)),IF(AND(up_Irr!X24&lt;&gt;".",up_Irr!AV24=".",up_Irr!BT24&lt;&gt;"."),up_dir!AX24/((1/1000)*(up_Irr!X24+up_Irr!BT24)),IF(AND(up_Irr!X24=".",up_Irr!AV24&lt;&gt;".",up_Irr!BT24&lt;&gt;"."),up_dir!AX24/((1/1000)*(up_Irr!AV24+up_Irr!BT24)),IF(AND(up_Irr!X24=".",up_Irr!AV24=".",up_Irr!BT24&lt;&gt;"."),up_dir!AX24/((1/1000)*(up_Irr!BT24)),IF(AND(up_Irr!X24=".",up_Irr!AV24&lt;&gt;".",up_Irr!BT24="."),up_dir!AX24/((1/1000)*(up_Irr!AV24)),IF(AND(up_Irr!X24&lt;&gt;".",up_Irr!AV24=".",up_Irr!BT24="."),up_dir!AX24/((1/1000)*(up_Irr!X24)),IF(AND(up_Irr!X24=".",up_Irr!AV24=".",up_Irr!BT24="."),up_dir!AX24*1000)))))))),".")</f>
        <v>7.2351016258567334E-11</v>
      </c>
      <c r="BX24" s="76">
        <f>IFERROR(IF(AND(up_Irr!Y24&lt;&gt;".",up_Irr!AW24&lt;&gt;".",up_Irr!BU24&lt;&gt;"."),up_dir!AY24/((1/1000)*(up_Irr!Y24+up_Irr!AW24+up_Irr!BU24)),IF(AND(up_Irr!Y24&lt;&gt;".",up_Irr!AW24&lt;&gt;".",up_Irr!BU24="."),up_dir!AY24/((1/1000)*(up_Irr!Y24+up_Irr!AW24)),IF(AND(up_Irr!Y24&lt;&gt;".",up_Irr!AW24=".",up_Irr!BU24&lt;&gt;"."),up_dir!AY24/((1/1000)*(up_Irr!Y24+up_Irr!BU24)),IF(AND(up_Irr!Y24=".",up_Irr!AW24&lt;&gt;".",up_Irr!BU24&lt;&gt;"."),up_dir!AY24/((1/1000)*(up_Irr!AW24+up_Irr!BU24)),IF(AND(up_Irr!Y24=".",up_Irr!AW24=".",up_Irr!BU24&lt;&gt;"."),up_dir!AY24/((1/1000)*(up_Irr!BU24)),IF(AND(up_Irr!Y24=".",up_Irr!AW24&lt;&gt;".",up_Irr!BU24="."),up_dir!AY24/((1/1000)*(up_Irr!AW24)),IF(AND(up_Irr!Y24&lt;&gt;".",up_Irr!AW24=".",up_Irr!BU24="."),up_dir!AY24/((1/1000)*(up_Irr!Y24)),IF(AND(up_Irr!Y24=".",up_Irr!AW24=".",up_Irr!BU24="."),up_dir!AY24*1000)))))))),".")</f>
        <v>7.2351016258567334E-11</v>
      </c>
      <c r="BY24" s="76">
        <f>IFERROR(IF(AND(up_Irr!Z24&lt;&gt;".",up_Irr!AX24&lt;&gt;".",up_Irr!BV24&lt;&gt;"."),up_dir!AZ24/((1/1000)*(up_Irr!Z24+up_Irr!AX24+up_Irr!BV24)),IF(AND(up_Irr!Z24&lt;&gt;".",up_Irr!AX24&lt;&gt;".",up_Irr!BV24="."),up_dir!AZ24/((1/1000)*(up_Irr!Z24+up_Irr!AX24)),IF(AND(up_Irr!Z24&lt;&gt;".",up_Irr!AX24=".",up_Irr!BV24&lt;&gt;"."),up_dir!AZ24/((1/1000)*(up_Irr!Z24+up_Irr!BV24)),IF(AND(up_Irr!Z24=".",up_Irr!AX24&lt;&gt;".",up_Irr!BV24&lt;&gt;"."),up_dir!AZ24/((1/1000)*(up_Irr!AX24+up_Irr!BV24)),IF(AND(up_Irr!Z24=".",up_Irr!AX24=".",up_Irr!BV24&lt;&gt;"."),up_dir!AZ24/((1/1000)*(up_Irr!BV24)),IF(AND(up_Irr!Z24=".",up_Irr!AX24&lt;&gt;".",up_Irr!BV24="."),up_dir!AZ24/((1/1000)*(up_Irr!AX24)),IF(AND(up_Irr!Z24&lt;&gt;".",up_Irr!AX24=".",up_Irr!BV24="."),up_dir!AZ24/((1/1000)*(up_Irr!Z24)),IF(AND(up_Irr!Z24=".",up_Irr!AX24=".",up_Irr!BV24="."),up_dir!AZ24*1000)))))))),".")</f>
        <v>7.2351016258567334E-11</v>
      </c>
      <c r="BZ24" s="93">
        <f>SUM(CA24:CB24,CW24:CX24)</f>
        <v>55286.023705663516</v>
      </c>
      <c r="CA24" s="93">
        <f>IFERROR(s_C*s_IFAP_far_adj*s_CF_apple*(1/1000)*(up_Irr!C24+up_Irr!AA24+up_Irr!AY24),".")</f>
        <v>13821.505926415879</v>
      </c>
      <c r="CB24" s="93">
        <f>IFERROR(s_C*s_IFAS_far_adj*s_CF_asparagus*(1/1000)*(up_Irr!D24+up_Irr!AB24+up_Irr!AZ24),".")</f>
        <v>13821.505926415879</v>
      </c>
      <c r="CC24" s="93">
        <f>IFERROR(s_C*s_IFBT_far_adj*s_CF_beet*(1/1000)*(up_Irr!E24+up_Irr!AC24+up_Irr!BA24),".")</f>
        <v>13821.505926415879</v>
      </c>
      <c r="CD24" s="93">
        <f>IFERROR(s_C*s_IFBE_far_adj*s_CF_berries*(1/1000)*(up_Irr!F24+up_Irr!AD24+up_Irr!BB24),".")</f>
        <v>13821.505926415879</v>
      </c>
      <c r="CE24" s="93">
        <f>IFERROR(s_C*s_IFBR_far_adj*s_CF_broccoli*(1/1000)*(up_Irr!G24+up_Irr!AE24+up_Irr!BC24),".")</f>
        <v>13821.505926415879</v>
      </c>
      <c r="CF24" s="93">
        <f>IFERROR(s_C*s_IFCB_far_adj*s_CF_cabbage*(1/1000)*(up_Irr!H24+up_Irr!AF24+up_Irr!BD24),".")</f>
        <v>13821.505926415879</v>
      </c>
      <c r="CG24" s="93">
        <f>IFERROR(s_C*s_IFCR_far_adj*s_CF_carrot*(1/1000)*(up_Irr!I24+up_Irr!AG24+up_Irr!BE24),".")</f>
        <v>13821.505926415879</v>
      </c>
      <c r="CH24" s="93">
        <f>IFERROR(s_C*s_IFCI_far_adj*s_CF_citrus*(1/1000)*(up_Irr!J24+up_Irr!AH24+up_Irr!BF24),".")</f>
        <v>13821.505926415879</v>
      </c>
      <c r="CI24" s="93">
        <f>IFERROR(s_C*s_IFCO_far_adj*s_CF_corn*(1/1000)*(up_Irr!K24+up_Irr!AI24+up_Irr!BG24),".")</f>
        <v>13821.505926415879</v>
      </c>
      <c r="CJ24" s="93">
        <f>IFERROR(s_C*s_IFCU_far_adj*s_CF_cucumber*(1/1000)*(up_Irr!L24+up_Irr!AJ24+up_Irr!BH24),".")</f>
        <v>13821.505926415879</v>
      </c>
      <c r="CK24" s="93">
        <f>IFERROR(s_C*s_IFLE_far_adj*s_CF_lettuce*(1/1000)*(up_Irr!M24+up_Irr!AK24+up_Irr!BI24),".")</f>
        <v>13821.505926415879</v>
      </c>
      <c r="CL24" s="93">
        <f>IFERROR(s_C*s_IFLI_far_adj*s_CF_lima_bean*(1/1000)*(up_Irr!N24+up_Irr!AL24+up_Irr!BJ24),".")</f>
        <v>13821.505926415879</v>
      </c>
      <c r="CM24" s="93">
        <f>IFERROR(s_C*s_IFOK_far_adj*s_CF_okra*(1/1000)*(up_Irr!O24+up_Irr!AM24+up_Irr!BK24),".")</f>
        <v>13821.505926415879</v>
      </c>
      <c r="CN24" s="93">
        <f>IFERROR(s_C*s_IFON_far_adj*s_CF_onion*(1/1000)*(up_Irr!P24+up_Irr!AN24+up_Irr!BL24),".")</f>
        <v>13821.505926415879</v>
      </c>
      <c r="CO24" s="93">
        <f>IFERROR(s_C*s_IFPC_far_adj*s_CF_peach*(1/1000)*(up_Irr!Q24+up_Irr!AO24+up_Irr!BM24),".")</f>
        <v>13821.505926415879</v>
      </c>
      <c r="CP24" s="93">
        <f>IFERROR(s_C*s_IFPR_far_adj*s_CF_pear*(1/1000)*(up_Irr!R24+up_Irr!AP24+up_Irr!BN24),".")</f>
        <v>13821.505926415879</v>
      </c>
      <c r="CQ24" s="93">
        <f>IFERROR(s_C*s_IFPE_far_adj*s_CF_peas*(1/1000)*(up_Irr!S24+up_Irr!AQ24+up_Irr!BO24),".")</f>
        <v>13821.505926415879</v>
      </c>
      <c r="CR24" s="93">
        <f>IFERROR(s_C*s_IFPT_far_adj*s_CF_potato*(1/1000)*(up_Irr!T24+up_Irr!AR24+up_Irr!BP24),".")</f>
        <v>13821.505926415879</v>
      </c>
      <c r="CS24" s="93">
        <f>IFERROR(s_C*s_IFPU_far_adj*s_CF_pumpkin*(1/1000)*(up_Irr!U24+up_Irr!AS24+up_Irr!BQ24),".")</f>
        <v>13821.505926415879</v>
      </c>
      <c r="CT24" s="93">
        <f>IFERROR(s_C*s_IFSN_far_adj*s_CF_snap_bean*(1/1000)*(up_Irr!V24+up_Irr!AT24+up_Irr!BR24),".")</f>
        <v>13821.505926415879</v>
      </c>
      <c r="CU24" s="93">
        <f>IFERROR(s_C*s_IFST_far_adj*s_CF_strawberry*(1/1000)*(up_Irr!W24+up_Irr!AU24+up_Irr!BS24),".")</f>
        <v>13821.505926415879</v>
      </c>
      <c r="CV24" s="93">
        <f>IFERROR(s_C*s_IFTO_far_adj*s_CF_tomato*(1/1000)*(up_Irr!X24+up_Irr!AV24+up_Irr!BT24),".")</f>
        <v>13821.505926415879</v>
      </c>
      <c r="CW24" s="93">
        <f>IFERROR(s_C*s_IFRI_far_adj*s_CF_rice*(1/1000)*(up_Irr!Y24+up_Irr!AW24+up_Irr!BU24),".")</f>
        <v>13821.505926415879</v>
      </c>
      <c r="CX24" s="93">
        <f>IFERROR(s_C*s_IFCG_far_adj*s_CF_cereal*(1/1000)*(up_Irr!Z24+up_Irr!AX24+up_Irr!BV24),".")</f>
        <v>13821.505926415879</v>
      </c>
    </row>
    <row r="25" spans="1:102" x14ac:dyDescent="0.25">
      <c r="A25" s="94" t="s">
        <v>35</v>
      </c>
      <c r="B25" s="90" t="s">
        <v>351</v>
      </c>
      <c r="C25" s="76">
        <f t="shared" si="0"/>
        <v>1.8087754064641833E-11</v>
      </c>
      <c r="D25" s="76">
        <f>IFERROR(IF(AND(up_Irr!C25&lt;&gt;".",up_Irr!AA25&lt;&gt;".",up_Irr!AY25&lt;&gt;"."),up_dir!D25/((1/1000)*(up_Irr!C25+up_Irr!AA25+up_Irr!AY25)),IF(AND(up_Irr!C25&lt;&gt;".",up_Irr!AA25&lt;&gt;".",up_Irr!AY25="."),up_dir!D25/((1/1000)*(up_Irr!C25+up_Irr!AA25)),IF(AND(up_Irr!C25&lt;&gt;".",up_Irr!AA25=".",up_Irr!AY25&lt;&gt;"."),up_dir!D25/((1/1000)*(up_Irr!C25+up_Irr!AY25)),IF(AND(up_Irr!C25=".",up_Irr!AA25&lt;&gt;".",up_Irr!AY25&lt;&gt;"."),up_dir!D25/((1/1000)*(up_Irr!AA25+up_Irr!AY25)),IF(AND(up_Irr!C25=".",up_Irr!AA25=".",up_Irr!AY25&lt;&gt;"."),up_dir!D25/((1/1000)*(up_Irr!AY25)),IF(AND(up_Irr!C25=".",up_Irr!AA25&lt;&gt;".",up_Irr!AY25="."),up_dir!D25/((1/1000)*(up_Irr!AA25)),IF(AND(up_Irr!C25&lt;&gt;".",up_Irr!AA25=".",up_Irr!AY25="."),up_dir!D25/((1/1000)*(up_Irr!C25)),IF(AND(up_Irr!C25=".",up_Irr!AA25=".",up_Irr!AY25="."),up_dir!D25*1000)))))))),".")</f>
        <v>7.2351016258567334E-11</v>
      </c>
      <c r="E25" s="76">
        <f>IFERROR(IF(AND(up_Irr!D25&lt;&gt;".",up_Irr!AB25&lt;&gt;".",up_Irr!AZ25&lt;&gt;"."),up_dir!E25/((1/1000)*(up_Irr!D25+up_Irr!AB25+up_Irr!AZ25)),IF(AND(up_Irr!D25&lt;&gt;".",up_Irr!AB25&lt;&gt;".",up_Irr!AZ25="."),up_dir!E25/((1/1000)*(up_Irr!D25+up_Irr!AB25)),IF(AND(up_Irr!D25&lt;&gt;".",up_Irr!AB25=".",up_Irr!AZ25&lt;&gt;"."),up_dir!E25/((1/1000)*(up_Irr!D25+up_Irr!AZ25)),IF(AND(up_Irr!D25=".",up_Irr!AB25&lt;&gt;".",up_Irr!AZ25&lt;&gt;"."),up_dir!E25/((1/1000)*(up_Irr!AB25+up_Irr!AZ25)),IF(AND(up_Irr!D25=".",up_Irr!AB25=".",up_Irr!AZ25&lt;&gt;"."),up_dir!E25/((1/1000)*(up_Irr!AZ25)),IF(AND(up_Irr!D25=".",up_Irr!AB25&lt;&gt;".",up_Irr!AZ25="."),up_dir!E25/((1/1000)*(up_Irr!AB25)),IF(AND(up_Irr!D25&lt;&gt;".",up_Irr!AB25=".",up_Irr!AZ25="."),up_dir!E25/((1/1000)*(up_Irr!D25)),IF(AND(up_Irr!D25=".",up_Irr!AB25=".",up_Irr!AZ25="."),up_dir!E25*1000)))))))),".")</f>
        <v>7.2351016258567334E-11</v>
      </c>
      <c r="F25" s="76">
        <f>IFERROR(IF(AND(up_Irr!E25&lt;&gt;".",up_Irr!AC25&lt;&gt;".",up_Irr!BA25&lt;&gt;"."),up_dir!F25/((1/1000)*(up_Irr!E25+up_Irr!AC25+up_Irr!BA25)),IF(AND(up_Irr!E25&lt;&gt;".",up_Irr!AC25&lt;&gt;".",up_Irr!BA25="."),up_dir!F25/((1/1000)*(up_Irr!E25+up_Irr!AC25)),IF(AND(up_Irr!E25&lt;&gt;".",up_Irr!AC25=".",up_Irr!BA25&lt;&gt;"."),up_dir!F25/((1/1000)*(up_Irr!E25+up_Irr!BA25)),IF(AND(up_Irr!E25=".",up_Irr!AC25&lt;&gt;".",up_Irr!BA25&lt;&gt;"."),up_dir!F25/((1/1000)*(up_Irr!AC25+up_Irr!BA25)),IF(AND(up_Irr!E25=".",up_Irr!AC25=".",up_Irr!BA25&lt;&gt;"."),up_dir!F25/((1/1000)*(up_Irr!BA25)),IF(AND(up_Irr!E25=".",up_Irr!AC25&lt;&gt;".",up_Irr!BA25="."),up_dir!F25/((1/1000)*(up_Irr!AC25)),IF(AND(up_Irr!E25&lt;&gt;".",up_Irr!AC25=".",up_Irr!BA25="."),up_dir!F25/((1/1000)*(up_Irr!E25)),IF(AND(up_Irr!E25=".",up_Irr!AC25=".",up_Irr!BA25="."),up_dir!F25*1000)))))))),".")</f>
        <v>7.2351016258567334E-11</v>
      </c>
      <c r="G25" s="76">
        <f>IFERROR(IF(AND(up_Irr!F25&lt;&gt;".",up_Irr!AD25&lt;&gt;".",up_Irr!BB25&lt;&gt;"."),up_dir!G25/((1/1000)*(up_Irr!F25+up_Irr!AD25+up_Irr!BB25)),IF(AND(up_Irr!F25&lt;&gt;".",up_Irr!AD25&lt;&gt;".",up_Irr!BB25="."),up_dir!G25/((1/1000)*(up_Irr!F25+up_Irr!AD25)),IF(AND(up_Irr!F25&lt;&gt;".",up_Irr!AD25=".",up_Irr!BB25&lt;&gt;"."),up_dir!G25/((1/1000)*(up_Irr!F25+up_Irr!BB25)),IF(AND(up_Irr!F25=".",up_Irr!AD25&lt;&gt;".",up_Irr!BB25&lt;&gt;"."),up_dir!G25/((1/1000)*(up_Irr!AD25+up_Irr!BB25)),IF(AND(up_Irr!F25=".",up_Irr!AD25=".",up_Irr!BB25&lt;&gt;"."),up_dir!G25/((1/1000)*(up_Irr!BB25)),IF(AND(up_Irr!F25=".",up_Irr!AD25&lt;&gt;".",up_Irr!BB25="."),up_dir!G25/((1/1000)*(up_Irr!AD25)),IF(AND(up_Irr!F25&lt;&gt;".",up_Irr!AD25=".",up_Irr!BB25="."),up_dir!G25/((1/1000)*(up_Irr!F25)),IF(AND(up_Irr!F25=".",up_Irr!AD25=".",up_Irr!BB25="."),up_dir!G25*1000)))))))),".")</f>
        <v>7.2351016258567334E-11</v>
      </c>
      <c r="H25" s="76">
        <f>IFERROR(IF(AND(up_Irr!G25&lt;&gt;".",up_Irr!AE25&lt;&gt;".",up_Irr!BC25&lt;&gt;"."),up_dir!H25/((1/1000)*(up_Irr!G25+up_Irr!AE25+up_Irr!BC25)),IF(AND(up_Irr!G25&lt;&gt;".",up_Irr!AE25&lt;&gt;".",up_Irr!BC25="."),up_dir!H25/((1/1000)*(up_Irr!G25+up_Irr!AE25)),IF(AND(up_Irr!G25&lt;&gt;".",up_Irr!AE25=".",up_Irr!BC25&lt;&gt;"."),up_dir!H25/((1/1000)*(up_Irr!G25+up_Irr!BC25)),IF(AND(up_Irr!G25=".",up_Irr!AE25&lt;&gt;".",up_Irr!BC25&lt;&gt;"."),up_dir!H25/((1/1000)*(up_Irr!AE25+up_Irr!BC25)),IF(AND(up_Irr!G25=".",up_Irr!AE25=".",up_Irr!BC25&lt;&gt;"."),up_dir!H25/((1/1000)*(up_Irr!BC25)),IF(AND(up_Irr!G25=".",up_Irr!AE25&lt;&gt;".",up_Irr!BC25="."),up_dir!H25/((1/1000)*(up_Irr!AE25)),IF(AND(up_Irr!G25&lt;&gt;".",up_Irr!AE25=".",up_Irr!BC25="."),up_dir!H25/((1/1000)*(up_Irr!G25)),IF(AND(up_Irr!G25=".",up_Irr!AE25=".",up_Irr!BC25="."),up_dir!H25*1000)))))))),".")</f>
        <v>7.2351016258567334E-11</v>
      </c>
      <c r="I25" s="76">
        <f>IFERROR(IF(AND(up_Irr!H25&lt;&gt;".",up_Irr!AF25&lt;&gt;".",up_Irr!BD25&lt;&gt;"."),up_dir!I25/((1/1000)*(up_Irr!H25+up_Irr!AF25+up_Irr!BD25)),IF(AND(up_Irr!H25&lt;&gt;".",up_Irr!AF25&lt;&gt;".",up_Irr!BD25="."),up_dir!I25/((1/1000)*(up_Irr!H25+up_Irr!AF25)),IF(AND(up_Irr!H25&lt;&gt;".",up_Irr!AF25=".",up_Irr!BD25&lt;&gt;"."),up_dir!I25/((1/1000)*(up_Irr!H25+up_Irr!BD25)),IF(AND(up_Irr!H25=".",up_Irr!AF25&lt;&gt;".",up_Irr!BD25&lt;&gt;"."),up_dir!I25/((1/1000)*(up_Irr!AF25+up_Irr!BD25)),IF(AND(up_Irr!H25=".",up_Irr!AF25=".",up_Irr!BD25&lt;&gt;"."),up_dir!I25/((1/1000)*(up_Irr!BD25)),IF(AND(up_Irr!H25=".",up_Irr!AF25&lt;&gt;".",up_Irr!BD25="."),up_dir!I25/((1/1000)*(up_Irr!AF25)),IF(AND(up_Irr!H25&lt;&gt;".",up_Irr!AF25=".",up_Irr!BD25="."),up_dir!I25/((1/1000)*(up_Irr!H25)),IF(AND(up_Irr!H25=".",up_Irr!AF25=".",up_Irr!BD25="."),up_dir!I25*1000)))))))),".")</f>
        <v>7.2351016258567334E-11</v>
      </c>
      <c r="J25" s="76">
        <f>IFERROR(IF(AND(up_Irr!I25&lt;&gt;".",up_Irr!AG25&lt;&gt;".",up_Irr!BE25&lt;&gt;"."),up_dir!J25/((1/1000)*(up_Irr!I25+up_Irr!AG25+up_Irr!BE25)),IF(AND(up_Irr!I25&lt;&gt;".",up_Irr!AG25&lt;&gt;".",up_Irr!BE25="."),up_dir!J25/((1/1000)*(up_Irr!I25+up_Irr!AG25)),IF(AND(up_Irr!I25&lt;&gt;".",up_Irr!AG25=".",up_Irr!BE25&lt;&gt;"."),up_dir!J25/((1/1000)*(up_Irr!I25+up_Irr!BE25)),IF(AND(up_Irr!I25=".",up_Irr!AG25&lt;&gt;".",up_Irr!BE25&lt;&gt;"."),up_dir!J25/((1/1000)*(up_Irr!AG25+up_Irr!BE25)),IF(AND(up_Irr!I25=".",up_Irr!AG25=".",up_Irr!BE25&lt;&gt;"."),up_dir!J25/((1/1000)*(up_Irr!BE25)),IF(AND(up_Irr!I25=".",up_Irr!AG25&lt;&gt;".",up_Irr!BE25="."),up_dir!J25/((1/1000)*(up_Irr!AG25)),IF(AND(up_Irr!I25&lt;&gt;".",up_Irr!AG25=".",up_Irr!BE25="."),up_dir!J25/((1/1000)*(up_Irr!I25)),IF(AND(up_Irr!I25=".",up_Irr!AG25=".",up_Irr!BE25="."),up_dir!J25*1000)))))))),".")</f>
        <v>7.2351016258567334E-11</v>
      </c>
      <c r="K25" s="76">
        <f>IFERROR(IF(AND(up_Irr!J25&lt;&gt;".",up_Irr!AH25&lt;&gt;".",up_Irr!BF25&lt;&gt;"."),up_dir!K25/((1/1000)*(up_Irr!J25+up_Irr!AH25+up_Irr!BF25)),IF(AND(up_Irr!J25&lt;&gt;".",up_Irr!AH25&lt;&gt;".",up_Irr!BF25="."),up_dir!K25/((1/1000)*(up_Irr!J25+up_Irr!AH25)),IF(AND(up_Irr!J25&lt;&gt;".",up_Irr!AH25=".",up_Irr!BF25&lt;&gt;"."),up_dir!K25/((1/1000)*(up_Irr!J25+up_Irr!BF25)),IF(AND(up_Irr!J25=".",up_Irr!AH25&lt;&gt;".",up_Irr!BF25&lt;&gt;"."),up_dir!K25/((1/1000)*(up_Irr!AH25+up_Irr!BF25)),IF(AND(up_Irr!J25=".",up_Irr!AH25=".",up_Irr!BF25&lt;&gt;"."),up_dir!K25/((1/1000)*(up_Irr!BF25)),IF(AND(up_Irr!J25=".",up_Irr!AH25&lt;&gt;".",up_Irr!BF25="."),up_dir!K25/((1/1000)*(up_Irr!AH25)),IF(AND(up_Irr!J25&lt;&gt;".",up_Irr!AH25=".",up_Irr!BF25="."),up_dir!K25/((1/1000)*(up_Irr!J25)),IF(AND(up_Irr!J25=".",up_Irr!AH25=".",up_Irr!BF25="."),up_dir!K25*1000)))))))),".")</f>
        <v>7.2351016258567334E-11</v>
      </c>
      <c r="L25" s="76">
        <f>IFERROR(IF(AND(up_Irr!K25&lt;&gt;".",up_Irr!AI25&lt;&gt;".",up_Irr!BG25&lt;&gt;"."),up_dir!L25/((1/1000)*(up_Irr!K25+up_Irr!AI25+up_Irr!BG25)),IF(AND(up_Irr!K25&lt;&gt;".",up_Irr!AI25&lt;&gt;".",up_Irr!BG25="."),up_dir!L25/((1/1000)*(up_Irr!K25+up_Irr!AI25)),IF(AND(up_Irr!K25&lt;&gt;".",up_Irr!AI25=".",up_Irr!BG25&lt;&gt;"."),up_dir!L25/((1/1000)*(up_Irr!K25+up_Irr!BG25)),IF(AND(up_Irr!K25=".",up_Irr!AI25&lt;&gt;".",up_Irr!BG25&lt;&gt;"."),up_dir!L25/((1/1000)*(up_Irr!AI25+up_Irr!BG25)),IF(AND(up_Irr!K25=".",up_Irr!AI25=".",up_Irr!BG25&lt;&gt;"."),up_dir!L25/((1/1000)*(up_Irr!BG25)),IF(AND(up_Irr!K25=".",up_Irr!AI25&lt;&gt;".",up_Irr!BG25="."),up_dir!L25/((1/1000)*(up_Irr!AI25)),IF(AND(up_Irr!K25&lt;&gt;".",up_Irr!AI25=".",up_Irr!BG25="."),up_dir!L25/((1/1000)*(up_Irr!K25)),IF(AND(up_Irr!K25=".",up_Irr!AI25=".",up_Irr!BG25="."),up_dir!L25*1000)))))))),".")</f>
        <v>7.2351016258567334E-11</v>
      </c>
      <c r="M25" s="76">
        <f>IFERROR(IF(AND(up_Irr!L25&lt;&gt;".",up_Irr!AJ25&lt;&gt;".",up_Irr!BH25&lt;&gt;"."),up_dir!M25/((1/1000)*(up_Irr!L25+up_Irr!AJ25+up_Irr!BH25)),IF(AND(up_Irr!L25&lt;&gt;".",up_Irr!AJ25&lt;&gt;".",up_Irr!BH25="."),up_dir!M25/((1/1000)*(up_Irr!L25+up_Irr!AJ25)),IF(AND(up_Irr!L25&lt;&gt;".",up_Irr!AJ25=".",up_Irr!BH25&lt;&gt;"."),up_dir!M25/((1/1000)*(up_Irr!L25+up_Irr!BH25)),IF(AND(up_Irr!L25=".",up_Irr!AJ25&lt;&gt;".",up_Irr!BH25&lt;&gt;"."),up_dir!M25/((1/1000)*(up_Irr!AJ25+up_Irr!BH25)),IF(AND(up_Irr!L25=".",up_Irr!AJ25=".",up_Irr!BH25&lt;&gt;"."),up_dir!M25/((1/1000)*(up_Irr!BH25)),IF(AND(up_Irr!L25=".",up_Irr!AJ25&lt;&gt;".",up_Irr!BH25="."),up_dir!M25/((1/1000)*(up_Irr!AJ25)),IF(AND(up_Irr!L25&lt;&gt;".",up_Irr!AJ25=".",up_Irr!BH25="."),up_dir!M25/((1/1000)*(up_Irr!L25)),IF(AND(up_Irr!L25=".",up_Irr!AJ25=".",up_Irr!BH25="."),up_dir!M25*1000)))))))),".")</f>
        <v>7.2351016258567334E-11</v>
      </c>
      <c r="N25" s="76">
        <f>IFERROR(IF(AND(up_Irr!M25&lt;&gt;".",up_Irr!AK25&lt;&gt;".",up_Irr!BI25&lt;&gt;"."),up_dir!N25/((1/1000)*(up_Irr!M25+up_Irr!AK25+up_Irr!BI25)),IF(AND(up_Irr!M25&lt;&gt;".",up_Irr!AK25&lt;&gt;".",up_Irr!BI25="."),up_dir!N25/((1/1000)*(up_Irr!M25+up_Irr!AK25)),IF(AND(up_Irr!M25&lt;&gt;".",up_Irr!AK25=".",up_Irr!BI25&lt;&gt;"."),up_dir!N25/((1/1000)*(up_Irr!M25+up_Irr!BI25)),IF(AND(up_Irr!M25=".",up_Irr!AK25&lt;&gt;".",up_Irr!BI25&lt;&gt;"."),up_dir!N25/((1/1000)*(up_Irr!AK25+up_Irr!BI25)),IF(AND(up_Irr!M25=".",up_Irr!AK25=".",up_Irr!BI25&lt;&gt;"."),up_dir!N25/((1/1000)*(up_Irr!BI25)),IF(AND(up_Irr!M25=".",up_Irr!AK25&lt;&gt;".",up_Irr!BI25="."),up_dir!N25/((1/1000)*(up_Irr!AK25)),IF(AND(up_Irr!M25&lt;&gt;".",up_Irr!AK25=".",up_Irr!BI25="."),up_dir!N25/((1/1000)*(up_Irr!M25)),IF(AND(up_Irr!M25=".",up_Irr!AK25=".",up_Irr!BI25="."),up_dir!N25*1000)))))))),".")</f>
        <v>7.2351016258567334E-11</v>
      </c>
      <c r="O25" s="76">
        <f>IFERROR(IF(AND(up_Irr!N25&lt;&gt;".",up_Irr!AL25&lt;&gt;".",up_Irr!BJ25&lt;&gt;"."),up_dir!O25/((1/1000)*(up_Irr!N25+up_Irr!AL25+up_Irr!BJ25)),IF(AND(up_Irr!N25&lt;&gt;".",up_Irr!AL25&lt;&gt;".",up_Irr!BJ25="."),up_dir!O25/((1/1000)*(up_Irr!N25+up_Irr!AL25)),IF(AND(up_Irr!N25&lt;&gt;".",up_Irr!AL25=".",up_Irr!BJ25&lt;&gt;"."),up_dir!O25/((1/1000)*(up_Irr!N25+up_Irr!BJ25)),IF(AND(up_Irr!N25=".",up_Irr!AL25&lt;&gt;".",up_Irr!BJ25&lt;&gt;"."),up_dir!O25/((1/1000)*(up_Irr!AL25+up_Irr!BJ25)),IF(AND(up_Irr!N25=".",up_Irr!AL25=".",up_Irr!BJ25&lt;&gt;"."),up_dir!O25/((1/1000)*(up_Irr!BJ25)),IF(AND(up_Irr!N25=".",up_Irr!AL25&lt;&gt;".",up_Irr!BJ25="."),up_dir!O25/((1/1000)*(up_Irr!AL25)),IF(AND(up_Irr!N25&lt;&gt;".",up_Irr!AL25=".",up_Irr!BJ25="."),up_dir!O25/((1/1000)*(up_Irr!N25)),IF(AND(up_Irr!N25=".",up_Irr!AL25=".",up_Irr!BJ25="."),up_dir!O25*1000)))))))),".")</f>
        <v>7.2351016258567334E-11</v>
      </c>
      <c r="P25" s="76">
        <f>IFERROR(IF(AND(up_Irr!O25&lt;&gt;".",up_Irr!AM25&lt;&gt;".",up_Irr!BK25&lt;&gt;"."),up_dir!P25/((1/1000)*(up_Irr!O25+up_Irr!AM25+up_Irr!BK25)),IF(AND(up_Irr!O25&lt;&gt;".",up_Irr!AM25&lt;&gt;".",up_Irr!BK25="."),up_dir!P25/((1/1000)*(up_Irr!O25+up_Irr!AM25)),IF(AND(up_Irr!O25&lt;&gt;".",up_Irr!AM25=".",up_Irr!BK25&lt;&gt;"."),up_dir!P25/((1/1000)*(up_Irr!O25+up_Irr!BK25)),IF(AND(up_Irr!O25=".",up_Irr!AM25&lt;&gt;".",up_Irr!BK25&lt;&gt;"."),up_dir!P25/((1/1000)*(up_Irr!AM25+up_Irr!BK25)),IF(AND(up_Irr!O25=".",up_Irr!AM25=".",up_Irr!BK25&lt;&gt;"."),up_dir!P25/((1/1000)*(up_Irr!BK25)),IF(AND(up_Irr!O25=".",up_Irr!AM25&lt;&gt;".",up_Irr!BK25="."),up_dir!P25/((1/1000)*(up_Irr!AM25)),IF(AND(up_Irr!O25&lt;&gt;".",up_Irr!AM25=".",up_Irr!BK25="."),up_dir!P25/((1/1000)*(up_Irr!O25)),IF(AND(up_Irr!O25=".",up_Irr!AM25=".",up_Irr!BK25="."),up_dir!P25*1000)))))))),".")</f>
        <v>7.2351016258567334E-11</v>
      </c>
      <c r="Q25" s="76">
        <f>IFERROR(IF(AND(up_Irr!P25&lt;&gt;".",up_Irr!AN25&lt;&gt;".",up_Irr!BL25&lt;&gt;"."),up_dir!Q25/((1/1000)*(up_Irr!P25+up_Irr!AN25+up_Irr!BL25)),IF(AND(up_Irr!P25&lt;&gt;".",up_Irr!AN25&lt;&gt;".",up_Irr!BL25="."),up_dir!Q25/((1/1000)*(up_Irr!P25+up_Irr!AN25)),IF(AND(up_Irr!P25&lt;&gt;".",up_Irr!AN25=".",up_Irr!BL25&lt;&gt;"."),up_dir!Q25/((1/1000)*(up_Irr!P25+up_Irr!BL25)),IF(AND(up_Irr!P25=".",up_Irr!AN25&lt;&gt;".",up_Irr!BL25&lt;&gt;"."),up_dir!Q25/((1/1000)*(up_Irr!AN25+up_Irr!BL25)),IF(AND(up_Irr!P25=".",up_Irr!AN25=".",up_Irr!BL25&lt;&gt;"."),up_dir!Q25/((1/1000)*(up_Irr!BL25)),IF(AND(up_Irr!P25=".",up_Irr!AN25&lt;&gt;".",up_Irr!BL25="."),up_dir!Q25/((1/1000)*(up_Irr!AN25)),IF(AND(up_Irr!P25&lt;&gt;".",up_Irr!AN25=".",up_Irr!BL25="."),up_dir!Q25/((1/1000)*(up_Irr!P25)),IF(AND(up_Irr!P25=".",up_Irr!AN25=".",up_Irr!BL25="."),up_dir!Q25*1000)))))))),".")</f>
        <v>7.2351016258567334E-11</v>
      </c>
      <c r="R25" s="76">
        <f>IFERROR(IF(AND(up_Irr!Q25&lt;&gt;".",up_Irr!AO25&lt;&gt;".",up_Irr!BM25&lt;&gt;"."),up_dir!R25/((1/1000)*(up_Irr!Q25+up_Irr!AO25+up_Irr!BM25)),IF(AND(up_Irr!Q25&lt;&gt;".",up_Irr!AO25&lt;&gt;".",up_Irr!BM25="."),up_dir!R25/((1/1000)*(up_Irr!Q25+up_Irr!AO25)),IF(AND(up_Irr!Q25&lt;&gt;".",up_Irr!AO25=".",up_Irr!BM25&lt;&gt;"."),up_dir!R25/((1/1000)*(up_Irr!Q25+up_Irr!BM25)),IF(AND(up_Irr!Q25=".",up_Irr!AO25&lt;&gt;".",up_Irr!BM25&lt;&gt;"."),up_dir!R25/((1/1000)*(up_Irr!AO25+up_Irr!BM25)),IF(AND(up_Irr!Q25=".",up_Irr!AO25=".",up_Irr!BM25&lt;&gt;"."),up_dir!R25/((1/1000)*(up_Irr!BM25)),IF(AND(up_Irr!Q25=".",up_Irr!AO25&lt;&gt;".",up_Irr!BM25="."),up_dir!R25/((1/1000)*(up_Irr!AO25)),IF(AND(up_Irr!Q25&lt;&gt;".",up_Irr!AO25=".",up_Irr!BM25="."),up_dir!R25/((1/1000)*(up_Irr!Q25)),IF(AND(up_Irr!Q25=".",up_Irr!AO25=".",up_Irr!BM25="."),up_dir!R25*1000)))))))),".")</f>
        <v>7.2351016258567334E-11</v>
      </c>
      <c r="S25" s="76">
        <f>IFERROR(IF(AND(up_Irr!R25&lt;&gt;".",up_Irr!AP25&lt;&gt;".",up_Irr!BN25&lt;&gt;"."),up_dir!S25/((1/1000)*(up_Irr!R25+up_Irr!AP25+up_Irr!BN25)),IF(AND(up_Irr!R25&lt;&gt;".",up_Irr!AP25&lt;&gt;".",up_Irr!BN25="."),up_dir!S25/((1/1000)*(up_Irr!R25+up_Irr!AP25)),IF(AND(up_Irr!R25&lt;&gt;".",up_Irr!AP25=".",up_Irr!BN25&lt;&gt;"."),up_dir!S25/((1/1000)*(up_Irr!R25+up_Irr!BN25)),IF(AND(up_Irr!R25=".",up_Irr!AP25&lt;&gt;".",up_Irr!BN25&lt;&gt;"."),up_dir!S25/((1/1000)*(up_Irr!AP25+up_Irr!BN25)),IF(AND(up_Irr!R25=".",up_Irr!AP25=".",up_Irr!BN25&lt;&gt;"."),up_dir!S25/((1/1000)*(up_Irr!BN25)),IF(AND(up_Irr!R25=".",up_Irr!AP25&lt;&gt;".",up_Irr!BN25="."),up_dir!S25/((1/1000)*(up_Irr!AP25)),IF(AND(up_Irr!R25&lt;&gt;".",up_Irr!AP25=".",up_Irr!BN25="."),up_dir!S25/((1/1000)*(up_Irr!R25)),IF(AND(up_Irr!R25=".",up_Irr!AP25=".",up_Irr!BN25="."),up_dir!S25*1000)))))))),".")</f>
        <v>7.2351016258567334E-11</v>
      </c>
      <c r="T25" s="76">
        <f>IFERROR(IF(AND(up_Irr!S25&lt;&gt;".",up_Irr!AQ25&lt;&gt;".",up_Irr!BO25&lt;&gt;"."),up_dir!T25/((1/1000)*(up_Irr!S25+up_Irr!AQ25+up_Irr!BO25)),IF(AND(up_Irr!S25&lt;&gt;".",up_Irr!AQ25&lt;&gt;".",up_Irr!BO25="."),up_dir!T25/((1/1000)*(up_Irr!S25+up_Irr!AQ25)),IF(AND(up_Irr!S25&lt;&gt;".",up_Irr!AQ25=".",up_Irr!BO25&lt;&gt;"."),up_dir!T25/((1/1000)*(up_Irr!S25+up_Irr!BO25)),IF(AND(up_Irr!S25=".",up_Irr!AQ25&lt;&gt;".",up_Irr!BO25&lt;&gt;"."),up_dir!T25/((1/1000)*(up_Irr!AQ25+up_Irr!BO25)),IF(AND(up_Irr!S25=".",up_Irr!AQ25=".",up_Irr!BO25&lt;&gt;"."),up_dir!T25/((1/1000)*(up_Irr!BO25)),IF(AND(up_Irr!S25=".",up_Irr!AQ25&lt;&gt;".",up_Irr!BO25="."),up_dir!T25/((1/1000)*(up_Irr!AQ25)),IF(AND(up_Irr!S25&lt;&gt;".",up_Irr!AQ25=".",up_Irr!BO25="."),up_dir!T25/((1/1000)*(up_Irr!S25)),IF(AND(up_Irr!S25=".",up_Irr!AQ25=".",up_Irr!BO25="."),up_dir!T25*1000)))))))),".")</f>
        <v>7.2351016258567334E-11</v>
      </c>
      <c r="U25" s="76">
        <f>IFERROR(IF(AND(up_Irr!T25&lt;&gt;".",up_Irr!AR25&lt;&gt;".",up_Irr!BP25&lt;&gt;"."),up_dir!U25/((1/1000)*(up_Irr!T25+up_Irr!AR25+up_Irr!BP25)),IF(AND(up_Irr!T25&lt;&gt;".",up_Irr!AR25&lt;&gt;".",up_Irr!BP25="."),up_dir!U25/((1/1000)*(up_Irr!T25+up_Irr!AR25)),IF(AND(up_Irr!T25&lt;&gt;".",up_Irr!AR25=".",up_Irr!BP25&lt;&gt;"."),up_dir!U25/((1/1000)*(up_Irr!T25+up_Irr!BP25)),IF(AND(up_Irr!T25=".",up_Irr!AR25&lt;&gt;".",up_Irr!BP25&lt;&gt;"."),up_dir!U25/((1/1000)*(up_Irr!AR25+up_Irr!BP25)),IF(AND(up_Irr!T25=".",up_Irr!AR25=".",up_Irr!BP25&lt;&gt;"."),up_dir!U25/((1/1000)*(up_Irr!BP25)),IF(AND(up_Irr!T25=".",up_Irr!AR25&lt;&gt;".",up_Irr!BP25="."),up_dir!U25/((1/1000)*(up_Irr!AR25)),IF(AND(up_Irr!T25&lt;&gt;".",up_Irr!AR25=".",up_Irr!BP25="."),up_dir!U25/((1/1000)*(up_Irr!T25)),IF(AND(up_Irr!T25=".",up_Irr!AR25=".",up_Irr!BP25="."),up_dir!U25*1000)))))))),".")</f>
        <v>7.2351016258567334E-11</v>
      </c>
      <c r="V25" s="76">
        <f>IFERROR(IF(AND(up_Irr!U25&lt;&gt;".",up_Irr!AS25&lt;&gt;".",up_Irr!BQ25&lt;&gt;"."),up_dir!V25/((1/1000)*(up_Irr!U25+up_Irr!AS25+up_Irr!BQ25)),IF(AND(up_Irr!U25&lt;&gt;".",up_Irr!AS25&lt;&gt;".",up_Irr!BQ25="."),up_dir!V25/((1/1000)*(up_Irr!U25+up_Irr!AS25)),IF(AND(up_Irr!U25&lt;&gt;".",up_Irr!AS25=".",up_Irr!BQ25&lt;&gt;"."),up_dir!V25/((1/1000)*(up_Irr!U25+up_Irr!BQ25)),IF(AND(up_Irr!U25=".",up_Irr!AS25&lt;&gt;".",up_Irr!BQ25&lt;&gt;"."),up_dir!V25/((1/1000)*(up_Irr!AS25+up_Irr!BQ25)),IF(AND(up_Irr!U25=".",up_Irr!AS25=".",up_Irr!BQ25&lt;&gt;"."),up_dir!V25/((1/1000)*(up_Irr!BQ25)),IF(AND(up_Irr!U25=".",up_Irr!AS25&lt;&gt;".",up_Irr!BQ25="."),up_dir!V25/((1/1000)*(up_Irr!AS25)),IF(AND(up_Irr!U25&lt;&gt;".",up_Irr!AS25=".",up_Irr!BQ25="."),up_dir!V25/((1/1000)*(up_Irr!U25)),IF(AND(up_Irr!U25=".",up_Irr!AS25=".",up_Irr!BQ25="."),up_dir!V25*1000)))))))),".")</f>
        <v>7.2351016258567334E-11</v>
      </c>
      <c r="W25" s="76">
        <f>IFERROR(IF(AND(up_Irr!V25&lt;&gt;".",up_Irr!AT25&lt;&gt;".",up_Irr!BR25&lt;&gt;"."),up_dir!W25/((1/1000)*(up_Irr!V25+up_Irr!AT25+up_Irr!BR25)),IF(AND(up_Irr!V25&lt;&gt;".",up_Irr!AT25&lt;&gt;".",up_Irr!BR25="."),up_dir!W25/((1/1000)*(up_Irr!V25+up_Irr!AT25)),IF(AND(up_Irr!V25&lt;&gt;".",up_Irr!AT25=".",up_Irr!BR25&lt;&gt;"."),up_dir!W25/((1/1000)*(up_Irr!V25+up_Irr!BR25)),IF(AND(up_Irr!V25=".",up_Irr!AT25&lt;&gt;".",up_Irr!BR25&lt;&gt;"."),up_dir!W25/((1/1000)*(up_Irr!AT25+up_Irr!BR25)),IF(AND(up_Irr!V25=".",up_Irr!AT25=".",up_Irr!BR25&lt;&gt;"."),up_dir!W25/((1/1000)*(up_Irr!BR25)),IF(AND(up_Irr!V25=".",up_Irr!AT25&lt;&gt;".",up_Irr!BR25="."),up_dir!W25/((1/1000)*(up_Irr!AT25)),IF(AND(up_Irr!V25&lt;&gt;".",up_Irr!AT25=".",up_Irr!BR25="."),up_dir!W25/((1/1000)*(up_Irr!V25)),IF(AND(up_Irr!V25=".",up_Irr!AT25=".",up_Irr!BR25="."),up_dir!W25*1000)))))))),".")</f>
        <v>7.2351016258567334E-11</v>
      </c>
      <c r="X25" s="76">
        <f>IFERROR(IF(AND(up_Irr!W25&lt;&gt;".",up_Irr!AU25&lt;&gt;".",up_Irr!BS25&lt;&gt;"."),up_dir!X25/((1/1000)*(up_Irr!W25+up_Irr!AU25+up_Irr!BS25)),IF(AND(up_Irr!W25&lt;&gt;".",up_Irr!AU25&lt;&gt;".",up_Irr!BS25="."),up_dir!X25/((1/1000)*(up_Irr!W25+up_Irr!AU25)),IF(AND(up_Irr!W25&lt;&gt;".",up_Irr!AU25=".",up_Irr!BS25&lt;&gt;"."),up_dir!X25/((1/1000)*(up_Irr!W25+up_Irr!BS25)),IF(AND(up_Irr!W25=".",up_Irr!AU25&lt;&gt;".",up_Irr!BS25&lt;&gt;"."),up_dir!X25/((1/1000)*(up_Irr!AU25+up_Irr!BS25)),IF(AND(up_Irr!W25=".",up_Irr!AU25=".",up_Irr!BS25&lt;&gt;"."),up_dir!X25/((1/1000)*(up_Irr!BS25)),IF(AND(up_Irr!W25=".",up_Irr!AU25&lt;&gt;".",up_Irr!BS25="."),up_dir!X25/((1/1000)*(up_Irr!AU25)),IF(AND(up_Irr!W25&lt;&gt;".",up_Irr!AU25=".",up_Irr!BS25="."),up_dir!X25/((1/1000)*(up_Irr!W25)),IF(AND(up_Irr!W25=".",up_Irr!AU25=".",up_Irr!BS25="."),up_dir!X25*1000)))))))),".")</f>
        <v>7.2351016258567334E-11</v>
      </c>
      <c r="Y25" s="76">
        <f>IFERROR(IF(AND(up_Irr!X25&lt;&gt;".",up_Irr!AV25&lt;&gt;".",up_Irr!BT25&lt;&gt;"."),up_dir!Y25/((1/1000)*(up_Irr!X25+up_Irr!AV25+up_Irr!BT25)),IF(AND(up_Irr!X25&lt;&gt;".",up_Irr!AV25&lt;&gt;".",up_Irr!BT25="."),up_dir!Y25/((1/1000)*(up_Irr!X25+up_Irr!AV25)),IF(AND(up_Irr!X25&lt;&gt;".",up_Irr!AV25=".",up_Irr!BT25&lt;&gt;"."),up_dir!Y25/((1/1000)*(up_Irr!X25+up_Irr!BT25)),IF(AND(up_Irr!X25=".",up_Irr!AV25&lt;&gt;".",up_Irr!BT25&lt;&gt;"."),up_dir!Y25/((1/1000)*(up_Irr!AV25+up_Irr!BT25)),IF(AND(up_Irr!X25=".",up_Irr!AV25=".",up_Irr!BT25&lt;&gt;"."),up_dir!Y25/((1/1000)*(up_Irr!BT25)),IF(AND(up_Irr!X25=".",up_Irr!AV25&lt;&gt;".",up_Irr!BT25="."),up_dir!Y25/((1/1000)*(up_Irr!AV25)),IF(AND(up_Irr!X25&lt;&gt;".",up_Irr!AV25=".",up_Irr!BT25="."),up_dir!Y25/((1/1000)*(up_Irr!X25)),IF(AND(up_Irr!X25=".",up_Irr!AV25=".",up_Irr!BT25="."),up_dir!Y25*1000)))))))),".")</f>
        <v>7.2351016258567334E-11</v>
      </c>
      <c r="Z25" s="76">
        <f>IFERROR(IF(AND(up_Irr!Y25&lt;&gt;".",up_Irr!AW25&lt;&gt;".",up_Irr!BU25&lt;&gt;"."),up_dir!Z25/((1/1000)*(up_Irr!Y25+up_Irr!AW25+up_Irr!BU25)),IF(AND(up_Irr!Y25&lt;&gt;".",up_Irr!AW25&lt;&gt;".",up_Irr!BU25="."),up_dir!Z25/((1/1000)*(up_Irr!Y25+up_Irr!AW25)),IF(AND(up_Irr!Y25&lt;&gt;".",up_Irr!AW25=".",up_Irr!BU25&lt;&gt;"."),up_dir!Z25/((1/1000)*(up_Irr!Y25+up_Irr!BU25)),IF(AND(up_Irr!Y25=".",up_Irr!AW25&lt;&gt;".",up_Irr!BU25&lt;&gt;"."),up_dir!Z25/((1/1000)*(up_Irr!AW25+up_Irr!BU25)),IF(AND(up_Irr!Y25=".",up_Irr!AW25=".",up_Irr!BU25&lt;&gt;"."),up_dir!Z25/((1/1000)*(up_Irr!BU25)),IF(AND(up_Irr!Y25=".",up_Irr!AW25&lt;&gt;".",up_Irr!BU25="."),up_dir!Z25/((1/1000)*(up_Irr!AW25)),IF(AND(up_Irr!Y25&lt;&gt;".",up_Irr!AW25=".",up_Irr!BU25="."),up_dir!Z25/((1/1000)*(up_Irr!Y25)),IF(AND(up_Irr!Y25=".",up_Irr!AW25=".",up_Irr!BU25="."),up_dir!Z25*1000)))))))),".")</f>
        <v>7.2351016258567334E-11</v>
      </c>
      <c r="AA25" s="76">
        <f>IFERROR(IF(AND(up_Irr!Z25&lt;&gt;".",up_Irr!AX25&lt;&gt;".",up_Irr!BV25&lt;&gt;"."),up_dir!AA25/((1/1000)*(up_Irr!Z25+up_Irr!AX25+up_Irr!BV25)),IF(AND(up_Irr!Z25&lt;&gt;".",up_Irr!AX25&lt;&gt;".",up_Irr!BV25="."),up_dir!AA25/((1/1000)*(up_Irr!Z25+up_Irr!AX25)),IF(AND(up_Irr!Z25&lt;&gt;".",up_Irr!AX25=".",up_Irr!BV25&lt;&gt;"."),up_dir!AA25/((1/1000)*(up_Irr!Z25+up_Irr!BV25)),IF(AND(up_Irr!Z25=".",up_Irr!AX25&lt;&gt;".",up_Irr!BV25&lt;&gt;"."),up_dir!AA25/((1/1000)*(up_Irr!AX25+up_Irr!BV25)),IF(AND(up_Irr!Z25=".",up_Irr!AX25=".",up_Irr!BV25&lt;&gt;"."),up_dir!AA25/((1/1000)*(up_Irr!BV25)),IF(AND(up_Irr!Z25=".",up_Irr!AX25&lt;&gt;".",up_Irr!BV25="."),up_dir!AA25/((1/1000)*(up_Irr!AX25)),IF(AND(up_Irr!Z25&lt;&gt;".",up_Irr!AX25=".",up_Irr!BV25="."),up_dir!AA25/((1/1000)*(up_Irr!Z25)),IF(AND(up_Irr!Z25=".",up_Irr!AX25=".",up_Irr!BV25="."),up_dir!AA25*1000)))))))),".")</f>
        <v>7.2351016258567334E-11</v>
      </c>
      <c r="AB25" s="93">
        <f>SUM(AC25:AD25,AY25:AZ25)</f>
        <v>55286.023705663516</v>
      </c>
      <c r="AC25" s="93">
        <f>IFERROR(s_C*s_IFAP_res_adj*s_CF_apple*0.001*(up_Irr!C25+up_Irr!AA25+up_Irr!AY25),".")</f>
        <v>13821.505926415879</v>
      </c>
      <c r="AD25" s="93">
        <f>IFERROR(s_C*s_IFAS_res_adj*s_CF_asparagus*0.001*(up_Irr!D25+up_Irr!AB25+up_Irr!AZ25),".")</f>
        <v>13821.505926415879</v>
      </c>
      <c r="AE25" s="93">
        <f>IFERROR(s_C*s_IFBT_res_adj*s_CF_beet*0.001*(up_Irr!E25+up_Irr!AC25+up_Irr!BA25),".")</f>
        <v>13821.505926415879</v>
      </c>
      <c r="AF25" s="93">
        <f>IFERROR(s_C*s_IFBE_res_adj*s_CF_berries*0.001*(up_Irr!F25+up_Irr!AD25+up_Irr!BB25),".")</f>
        <v>13821.505926415879</v>
      </c>
      <c r="AG25" s="93">
        <f>IFERROR(s_C*s_IFBR_res_adj*s_CF_broccoli*0.001*(up_Irr!G25+up_Irr!AE25+up_Irr!BC25),".")</f>
        <v>13821.505926415879</v>
      </c>
      <c r="AH25" s="93">
        <f>IFERROR(s_C*s_IFCB_res_adj*s_CF_cabbage*0.001*(up_Irr!H25+up_Irr!AF25+up_Irr!BD25),".")</f>
        <v>13821.505926415879</v>
      </c>
      <c r="AI25" s="93">
        <f>IFERROR(s_C*s_IFCR_res_adj*s_CF_carrot*0.001*(up_Irr!I25+up_Irr!AG25+up_Irr!BE25),".")</f>
        <v>13821.505926415879</v>
      </c>
      <c r="AJ25" s="93">
        <f>IFERROR(s_C*s_IFCI_res_adj*s_CF_citrus*0.001*(up_Irr!J25+up_Irr!AH25+up_Irr!BF25),".")</f>
        <v>13821.505926415879</v>
      </c>
      <c r="AK25" s="93">
        <f>IFERROR(s_C*s_IFCO_res_adj*s_CF_corn*0.001*(up_Irr!K25+up_Irr!AI25+up_Irr!BG25),".")</f>
        <v>13821.505926415879</v>
      </c>
      <c r="AL25" s="93">
        <f>IFERROR(s_C*s_IFCU_res_adj*s_CF_cucumber*0.001*(up_Irr!L25+up_Irr!AJ25+up_Irr!BH25),".")</f>
        <v>13821.505926415879</v>
      </c>
      <c r="AM25" s="93">
        <f>IFERROR(s_C*s_IFLE_res_adj*s_CF_lettuce*0.001*(up_Irr!M25+up_Irr!AK25+up_Irr!BI25),".")</f>
        <v>13821.505926415879</v>
      </c>
      <c r="AN25" s="93">
        <f>IFERROR(s_C*s_IFLI_res_adj*s_CF_lima_bean*0.001*(up_Irr!N25+up_Irr!AL25+up_Irr!BJ25),".")</f>
        <v>13821.505926415879</v>
      </c>
      <c r="AO25" s="93">
        <f>IFERROR(s_C*s_IFOK_res_adj*s_CF_okra*0.001*(up_Irr!O25+up_Irr!AM25+up_Irr!BK25),".")</f>
        <v>13821.505926415879</v>
      </c>
      <c r="AP25" s="93">
        <f>IFERROR(s_C*s_IFON_res_adj*s_CF_onion*0.001*(up_Irr!P25+up_Irr!AN25+up_Irr!BL25),".")</f>
        <v>13821.505926415879</v>
      </c>
      <c r="AQ25" s="93">
        <f>IFERROR(s_C*s_IFPC_res_adj*s_CF_peach*0.001*(up_Irr!Q25+up_Irr!AO25+up_Irr!BM25),".")</f>
        <v>13821.505926415879</v>
      </c>
      <c r="AR25" s="93">
        <f>IFERROR(s_C*s_IFPR_res_adj*s_CF_pear*0.001*(up_Irr!R25+up_Irr!AP25+up_Irr!BN25),".")</f>
        <v>13821.505926415879</v>
      </c>
      <c r="AS25" s="93">
        <f>IFERROR(s_C*s_IFPE_res_adj*s_CF_peas*0.001*(up_Irr!S25+up_Irr!AQ25+up_Irr!BO25),".")</f>
        <v>13821.505926415879</v>
      </c>
      <c r="AT25" s="93">
        <f>IFERROR(s_C*s_IFPT_res_adj*s_CF_potato*0.001*(up_Irr!T25+up_Irr!AR25+up_Irr!BP25),".")</f>
        <v>13821.505926415879</v>
      </c>
      <c r="AU25" s="93">
        <f>IFERROR(s_C*s_IFPU_res_adj*s_CF_pumpkin*0.001*(up_Irr!U25+up_Irr!AS25+up_Irr!BQ25),".")</f>
        <v>13821.505926415879</v>
      </c>
      <c r="AV25" s="93">
        <f>IFERROR(s_C*s_IFSN_res_adj*s_CF_snap_bean*0.001*(up_Irr!V25+up_Irr!AT25+up_Irr!BR25),".")</f>
        <v>13821.505926415879</v>
      </c>
      <c r="AW25" s="93">
        <f>IFERROR(s_C*s_IFST_res_adj*s_CF_strawberry*0.001*(up_Irr!W25+up_Irr!AU25+up_Irr!BS25),".")</f>
        <v>13821.505926415879</v>
      </c>
      <c r="AX25" s="93">
        <f>IFERROR(s_C*s_IFTO_res_adj*s_CF_tomato*0.001*(up_Irr!X25+up_Irr!AV25+up_Irr!BT25),".")</f>
        <v>13821.505926415879</v>
      </c>
      <c r="AY25" s="93">
        <f>IFERROR(s_C*s_IFRI_res_adj*s_CF_rice*0.001*(up_Irr!Y25+up_Irr!AW25+up_Irr!BU25),".")</f>
        <v>13821.505926415879</v>
      </c>
      <c r="AZ25" s="93">
        <f>IFERROR(s_C*s_IFCG_res_adj*s_CF_cereal*0.001*(up_Irr!Z25+up_Irr!AX25+up_Irr!BV25),".")</f>
        <v>13821.505926415879</v>
      </c>
      <c r="BA25" s="76">
        <f t="shared" si="12"/>
        <v>1.8087754064641833E-11</v>
      </c>
      <c r="BB25" s="76">
        <f>IFERROR(IF(AND(up_Irr!C25&lt;&gt;".",up_Irr!AA25&lt;&gt;".",up_Irr!AY25&lt;&gt;"."),up_dir!AC25/((1/1000)*(up_Irr!C25+up_Irr!AA25+up_Irr!AY25)),IF(AND(up_Irr!C25&lt;&gt;".",up_Irr!AA25&lt;&gt;".",up_Irr!AY25="."),up_dir!AC25/((1/1000)*(up_Irr!C25+up_Irr!AA25)),IF(AND(up_Irr!C25&lt;&gt;".",up_Irr!AA25=".",up_Irr!AY25&lt;&gt;"."),up_dir!AC25/((1/1000)*(up_Irr!C25+up_Irr!AY25)),IF(AND(up_Irr!C25=".",up_Irr!AA25&lt;&gt;".",up_Irr!AY25&lt;&gt;"."),up_dir!AC25/((1/1000)*(up_Irr!AA25+up_Irr!AY25)),IF(AND(up_Irr!C25=".",up_Irr!AA25=".",up_Irr!AY25&lt;&gt;"."),up_dir!AC25/((1/1000)*(up_Irr!AY25)),IF(AND(up_Irr!C25=".",up_Irr!AA25&lt;&gt;".",up_Irr!AY25="."),up_dir!AC25/((1/1000)*(up_Irr!AA25)),IF(AND(up_Irr!C25&lt;&gt;".",up_Irr!AA25=".",up_Irr!AY25="."),up_dir!AC25/((1/1000)*(up_Irr!C25)),IF(AND(up_Irr!C25=".",up_Irr!AA25=".",up_Irr!AY25="."),up_dir!AC25*1000)))))))),".")</f>
        <v>7.2351016258567334E-11</v>
      </c>
      <c r="BC25" s="76">
        <f>IFERROR(IF(AND(up_Irr!D25&lt;&gt;".",up_Irr!AB25&lt;&gt;".",up_Irr!AZ25&lt;&gt;"."),up_dir!AD25/((1/1000)*(up_Irr!D25+up_Irr!AB25+up_Irr!AZ25)),IF(AND(up_Irr!D25&lt;&gt;".",up_Irr!AB25&lt;&gt;".",up_Irr!AZ25="."),up_dir!AD25/((1/1000)*(up_Irr!D25+up_Irr!AB25)),IF(AND(up_Irr!D25&lt;&gt;".",up_Irr!AB25=".",up_Irr!AZ25&lt;&gt;"."),up_dir!AD25/((1/1000)*(up_Irr!D25+up_Irr!AZ25)),IF(AND(up_Irr!D25=".",up_Irr!AB25&lt;&gt;".",up_Irr!AZ25&lt;&gt;"."),up_dir!AD25/((1/1000)*(up_Irr!AB25+up_Irr!AZ25)),IF(AND(up_Irr!D25=".",up_Irr!AB25=".",up_Irr!AZ25&lt;&gt;"."),up_dir!AD25/((1/1000)*(up_Irr!AZ25)),IF(AND(up_Irr!D25=".",up_Irr!AB25&lt;&gt;".",up_Irr!AZ25="."),up_dir!AD25/((1/1000)*(up_Irr!AB25)),IF(AND(up_Irr!D25&lt;&gt;".",up_Irr!AB25=".",up_Irr!AZ25="."),up_dir!AD25/((1/1000)*(up_Irr!D25)),IF(AND(up_Irr!D25=".",up_Irr!AB25=".",up_Irr!AZ25="."),up_dir!AD25*1000)))))))),".")</f>
        <v>7.2351016258567334E-11</v>
      </c>
      <c r="BD25" s="76">
        <f>IFERROR(IF(AND(up_Irr!E25&lt;&gt;".",up_Irr!AC25&lt;&gt;".",up_Irr!BA25&lt;&gt;"."),up_dir!AE25/((1/1000)*(up_Irr!E25+up_Irr!AC25+up_Irr!BA25)),IF(AND(up_Irr!E25&lt;&gt;".",up_Irr!AC25&lt;&gt;".",up_Irr!BA25="."),up_dir!AE25/((1/1000)*(up_Irr!E25+up_Irr!AC25)),IF(AND(up_Irr!E25&lt;&gt;".",up_Irr!AC25=".",up_Irr!BA25&lt;&gt;"."),up_dir!AE25/((1/1000)*(up_Irr!E25+up_Irr!BA25)),IF(AND(up_Irr!E25=".",up_Irr!AC25&lt;&gt;".",up_Irr!BA25&lt;&gt;"."),up_dir!AE25/((1/1000)*(up_Irr!AC25+up_Irr!BA25)),IF(AND(up_Irr!E25=".",up_Irr!AC25=".",up_Irr!BA25&lt;&gt;"."),up_dir!AE25/((1/1000)*(up_Irr!BA25)),IF(AND(up_Irr!E25=".",up_Irr!AC25&lt;&gt;".",up_Irr!BA25="."),up_dir!AE25/((1/1000)*(up_Irr!AC25)),IF(AND(up_Irr!E25&lt;&gt;".",up_Irr!AC25=".",up_Irr!BA25="."),up_dir!AE25/((1/1000)*(up_Irr!E25)),IF(AND(up_Irr!E25=".",up_Irr!AC25=".",up_Irr!BA25="."),up_dir!AE25*1000)))))))),".")</f>
        <v>7.2351016258567334E-11</v>
      </c>
      <c r="BE25" s="76">
        <f>IFERROR(IF(AND(up_Irr!F25&lt;&gt;".",up_Irr!AD25&lt;&gt;".",up_Irr!BB25&lt;&gt;"."),up_dir!AF25/((1/1000)*(up_Irr!F25+up_Irr!AD25+up_Irr!BB25)),IF(AND(up_Irr!F25&lt;&gt;".",up_Irr!AD25&lt;&gt;".",up_Irr!BB25="."),up_dir!AF25/((1/1000)*(up_Irr!F25+up_Irr!AD25)),IF(AND(up_Irr!F25&lt;&gt;".",up_Irr!AD25=".",up_Irr!BB25&lt;&gt;"."),up_dir!AF25/((1/1000)*(up_Irr!F25+up_Irr!BB25)),IF(AND(up_Irr!F25=".",up_Irr!AD25&lt;&gt;".",up_Irr!BB25&lt;&gt;"."),up_dir!AF25/((1/1000)*(up_Irr!AD25+up_Irr!BB25)),IF(AND(up_Irr!F25=".",up_Irr!AD25=".",up_Irr!BB25&lt;&gt;"."),up_dir!AF25/((1/1000)*(up_Irr!BB25)),IF(AND(up_Irr!F25=".",up_Irr!AD25&lt;&gt;".",up_Irr!BB25="."),up_dir!AF25/((1/1000)*(up_Irr!AD25)),IF(AND(up_Irr!F25&lt;&gt;".",up_Irr!AD25=".",up_Irr!BB25="."),up_dir!AF25/((1/1000)*(up_Irr!F25)),IF(AND(up_Irr!F25=".",up_Irr!AD25=".",up_Irr!BB25="."),up_dir!AF25*1000)))))))),".")</f>
        <v>7.2351016258567334E-11</v>
      </c>
      <c r="BF25" s="76">
        <f>IFERROR(IF(AND(up_Irr!G25&lt;&gt;".",up_Irr!AE25&lt;&gt;".",up_Irr!BC25&lt;&gt;"."),up_dir!AG25/((1/1000)*(up_Irr!G25+up_Irr!AE25+up_Irr!BC25)),IF(AND(up_Irr!G25&lt;&gt;".",up_Irr!AE25&lt;&gt;".",up_Irr!BC25="."),up_dir!AG25/((1/1000)*(up_Irr!G25+up_Irr!AE25)),IF(AND(up_Irr!G25&lt;&gt;".",up_Irr!AE25=".",up_Irr!BC25&lt;&gt;"."),up_dir!AG25/((1/1000)*(up_Irr!G25+up_Irr!BC25)),IF(AND(up_Irr!G25=".",up_Irr!AE25&lt;&gt;".",up_Irr!BC25&lt;&gt;"."),up_dir!AG25/((1/1000)*(up_Irr!AE25+up_Irr!BC25)),IF(AND(up_Irr!G25=".",up_Irr!AE25=".",up_Irr!BC25&lt;&gt;"."),up_dir!AG25/((1/1000)*(up_Irr!BC25)),IF(AND(up_Irr!G25=".",up_Irr!AE25&lt;&gt;".",up_Irr!BC25="."),up_dir!AG25/((1/1000)*(up_Irr!AE25)),IF(AND(up_Irr!G25&lt;&gt;".",up_Irr!AE25=".",up_Irr!BC25="."),up_dir!AG25/((1/1000)*(up_Irr!G25)),IF(AND(up_Irr!G25=".",up_Irr!AE25=".",up_Irr!BC25="."),up_dir!AG25*1000)))))))),".")</f>
        <v>7.2351016258567334E-11</v>
      </c>
      <c r="BG25" s="76">
        <f>IFERROR(IF(AND(up_Irr!H25&lt;&gt;".",up_Irr!AF25&lt;&gt;".",up_Irr!BD25&lt;&gt;"."),up_dir!AH25/((1/1000)*(up_Irr!H25+up_Irr!AF25+up_Irr!BD25)),IF(AND(up_Irr!H25&lt;&gt;".",up_Irr!AF25&lt;&gt;".",up_Irr!BD25="."),up_dir!AH25/((1/1000)*(up_Irr!H25+up_Irr!AF25)),IF(AND(up_Irr!H25&lt;&gt;".",up_Irr!AF25=".",up_Irr!BD25&lt;&gt;"."),up_dir!AH25/((1/1000)*(up_Irr!H25+up_Irr!BD25)),IF(AND(up_Irr!H25=".",up_Irr!AF25&lt;&gt;".",up_Irr!BD25&lt;&gt;"."),up_dir!AH25/((1/1000)*(up_Irr!AF25+up_Irr!BD25)),IF(AND(up_Irr!H25=".",up_Irr!AF25=".",up_Irr!BD25&lt;&gt;"."),up_dir!AH25/((1/1000)*(up_Irr!BD25)),IF(AND(up_Irr!H25=".",up_Irr!AF25&lt;&gt;".",up_Irr!BD25="."),up_dir!AH25/((1/1000)*(up_Irr!AF25)),IF(AND(up_Irr!H25&lt;&gt;".",up_Irr!AF25=".",up_Irr!BD25="."),up_dir!AH25/((1/1000)*(up_Irr!H25)),IF(AND(up_Irr!H25=".",up_Irr!AF25=".",up_Irr!BD25="."),up_dir!AH25*1000)))))))),".")</f>
        <v>7.2351016258567334E-11</v>
      </c>
      <c r="BH25" s="76">
        <f>IFERROR(IF(AND(up_Irr!I25&lt;&gt;".",up_Irr!AG25&lt;&gt;".",up_Irr!BE25&lt;&gt;"."),up_dir!AI25/((1/1000)*(up_Irr!I25+up_Irr!AG25+up_Irr!BE25)),IF(AND(up_Irr!I25&lt;&gt;".",up_Irr!AG25&lt;&gt;".",up_Irr!BE25="."),up_dir!AI25/((1/1000)*(up_Irr!I25+up_Irr!AG25)),IF(AND(up_Irr!I25&lt;&gt;".",up_Irr!AG25=".",up_Irr!BE25&lt;&gt;"."),up_dir!AI25/((1/1000)*(up_Irr!I25+up_Irr!BE25)),IF(AND(up_Irr!I25=".",up_Irr!AG25&lt;&gt;".",up_Irr!BE25&lt;&gt;"."),up_dir!AI25/((1/1000)*(up_Irr!AG25+up_Irr!BE25)),IF(AND(up_Irr!I25=".",up_Irr!AG25=".",up_Irr!BE25&lt;&gt;"."),up_dir!AI25/((1/1000)*(up_Irr!BE25)),IF(AND(up_Irr!I25=".",up_Irr!AG25&lt;&gt;".",up_Irr!BE25="."),up_dir!AI25/((1/1000)*(up_Irr!AG25)),IF(AND(up_Irr!I25&lt;&gt;".",up_Irr!AG25=".",up_Irr!BE25="."),up_dir!AI25/((1/1000)*(up_Irr!I25)),IF(AND(up_Irr!I25=".",up_Irr!AG25=".",up_Irr!BE25="."),up_dir!AI25*1000)))))))),".")</f>
        <v>7.2351016258567334E-11</v>
      </c>
      <c r="BI25" s="76">
        <f>IFERROR(IF(AND(up_Irr!J25&lt;&gt;".",up_Irr!AH25&lt;&gt;".",up_Irr!BF25&lt;&gt;"."),up_dir!AJ25/((1/1000)*(up_Irr!J25+up_Irr!AH25+up_Irr!BF25)),IF(AND(up_Irr!J25&lt;&gt;".",up_Irr!AH25&lt;&gt;".",up_Irr!BF25="."),up_dir!AJ25/((1/1000)*(up_Irr!J25+up_Irr!AH25)),IF(AND(up_Irr!J25&lt;&gt;".",up_Irr!AH25=".",up_Irr!BF25&lt;&gt;"."),up_dir!AJ25/((1/1000)*(up_Irr!J25+up_Irr!BF25)),IF(AND(up_Irr!J25=".",up_Irr!AH25&lt;&gt;".",up_Irr!BF25&lt;&gt;"."),up_dir!AJ25/((1/1000)*(up_Irr!AH25+up_Irr!BF25)),IF(AND(up_Irr!J25=".",up_Irr!AH25=".",up_Irr!BF25&lt;&gt;"."),up_dir!AJ25/((1/1000)*(up_Irr!BF25)),IF(AND(up_Irr!J25=".",up_Irr!AH25&lt;&gt;".",up_Irr!BF25="."),up_dir!AJ25/((1/1000)*(up_Irr!AH25)),IF(AND(up_Irr!J25&lt;&gt;".",up_Irr!AH25=".",up_Irr!BF25="."),up_dir!AJ25/((1/1000)*(up_Irr!J25)),IF(AND(up_Irr!J25=".",up_Irr!AH25=".",up_Irr!BF25="."),up_dir!AJ25*1000)))))))),".")</f>
        <v>7.2351016258567334E-11</v>
      </c>
      <c r="BJ25" s="76">
        <f>IFERROR(IF(AND(up_Irr!K25&lt;&gt;".",up_Irr!AI25&lt;&gt;".",up_Irr!BG25&lt;&gt;"."),up_dir!AK25/((1/1000)*(up_Irr!K25+up_Irr!AI25+up_Irr!BG25)),IF(AND(up_Irr!K25&lt;&gt;".",up_Irr!AI25&lt;&gt;".",up_Irr!BG25="."),up_dir!AK25/((1/1000)*(up_Irr!K25+up_Irr!AI25)),IF(AND(up_Irr!K25&lt;&gt;".",up_Irr!AI25=".",up_Irr!BG25&lt;&gt;"."),up_dir!AK25/((1/1000)*(up_Irr!K25+up_Irr!BG25)),IF(AND(up_Irr!K25=".",up_Irr!AI25&lt;&gt;".",up_Irr!BG25&lt;&gt;"."),up_dir!AK25/((1/1000)*(up_Irr!AI25+up_Irr!BG25)),IF(AND(up_Irr!K25=".",up_Irr!AI25=".",up_Irr!BG25&lt;&gt;"."),up_dir!AK25/((1/1000)*(up_Irr!BG25)),IF(AND(up_Irr!K25=".",up_Irr!AI25&lt;&gt;".",up_Irr!BG25="."),up_dir!AK25/((1/1000)*(up_Irr!AI25)),IF(AND(up_Irr!K25&lt;&gt;".",up_Irr!AI25=".",up_Irr!BG25="."),up_dir!AK25/((1/1000)*(up_Irr!K25)),IF(AND(up_Irr!K25=".",up_Irr!AI25=".",up_Irr!BG25="."),up_dir!AK25*1000)))))))),".")</f>
        <v>7.2351016258567334E-11</v>
      </c>
      <c r="BK25" s="76">
        <f>IFERROR(IF(AND(up_Irr!L25&lt;&gt;".",up_Irr!AJ25&lt;&gt;".",up_Irr!BH25&lt;&gt;"."),up_dir!AL25/((1/1000)*(up_Irr!L25+up_Irr!AJ25+up_Irr!BH25)),IF(AND(up_Irr!L25&lt;&gt;".",up_Irr!AJ25&lt;&gt;".",up_Irr!BH25="."),up_dir!AL25/((1/1000)*(up_Irr!L25+up_Irr!AJ25)),IF(AND(up_Irr!L25&lt;&gt;".",up_Irr!AJ25=".",up_Irr!BH25&lt;&gt;"."),up_dir!AL25/((1/1000)*(up_Irr!L25+up_Irr!BH25)),IF(AND(up_Irr!L25=".",up_Irr!AJ25&lt;&gt;".",up_Irr!BH25&lt;&gt;"."),up_dir!AL25/((1/1000)*(up_Irr!AJ25+up_Irr!BH25)),IF(AND(up_Irr!L25=".",up_Irr!AJ25=".",up_Irr!BH25&lt;&gt;"."),up_dir!AL25/((1/1000)*(up_Irr!BH25)),IF(AND(up_Irr!L25=".",up_Irr!AJ25&lt;&gt;".",up_Irr!BH25="."),up_dir!AL25/((1/1000)*(up_Irr!AJ25)),IF(AND(up_Irr!L25&lt;&gt;".",up_Irr!AJ25=".",up_Irr!BH25="."),up_dir!AL25/((1/1000)*(up_Irr!L25)),IF(AND(up_Irr!L25=".",up_Irr!AJ25=".",up_Irr!BH25="."),up_dir!AL25*1000)))))))),".")</f>
        <v>7.2351016258567334E-11</v>
      </c>
      <c r="BL25" s="76">
        <f>IFERROR(IF(AND(up_Irr!M25&lt;&gt;".",up_Irr!AK25&lt;&gt;".",up_Irr!BI25&lt;&gt;"."),up_dir!AM25/((1/1000)*(up_Irr!M25+up_Irr!AK25+up_Irr!BI25)),IF(AND(up_Irr!M25&lt;&gt;".",up_Irr!AK25&lt;&gt;".",up_Irr!BI25="."),up_dir!AM25/((1/1000)*(up_Irr!M25+up_Irr!AK25)),IF(AND(up_Irr!M25&lt;&gt;".",up_Irr!AK25=".",up_Irr!BI25&lt;&gt;"."),up_dir!AM25/((1/1000)*(up_Irr!M25+up_Irr!BI25)),IF(AND(up_Irr!M25=".",up_Irr!AK25&lt;&gt;".",up_Irr!BI25&lt;&gt;"."),up_dir!AM25/((1/1000)*(up_Irr!AK25+up_Irr!BI25)),IF(AND(up_Irr!M25=".",up_Irr!AK25=".",up_Irr!BI25&lt;&gt;"."),up_dir!AM25/((1/1000)*(up_Irr!BI25)),IF(AND(up_Irr!M25=".",up_Irr!AK25&lt;&gt;".",up_Irr!BI25="."),up_dir!AM25/((1/1000)*(up_Irr!AK25)),IF(AND(up_Irr!M25&lt;&gt;".",up_Irr!AK25=".",up_Irr!BI25="."),up_dir!AM25/((1/1000)*(up_Irr!M25)),IF(AND(up_Irr!M25=".",up_Irr!AK25=".",up_Irr!BI25="."),up_dir!AM25*1000)))))))),".")</f>
        <v>7.2351016258567334E-11</v>
      </c>
      <c r="BM25" s="76">
        <f>IFERROR(IF(AND(up_Irr!N25&lt;&gt;".",up_Irr!AL25&lt;&gt;".",up_Irr!BJ25&lt;&gt;"."),up_dir!AN25/((1/1000)*(up_Irr!N25+up_Irr!AL25+up_Irr!BJ25)),IF(AND(up_Irr!N25&lt;&gt;".",up_Irr!AL25&lt;&gt;".",up_Irr!BJ25="."),up_dir!AN25/((1/1000)*(up_Irr!N25+up_Irr!AL25)),IF(AND(up_Irr!N25&lt;&gt;".",up_Irr!AL25=".",up_Irr!BJ25&lt;&gt;"."),up_dir!AN25/((1/1000)*(up_Irr!N25+up_Irr!BJ25)),IF(AND(up_Irr!N25=".",up_Irr!AL25&lt;&gt;".",up_Irr!BJ25&lt;&gt;"."),up_dir!AN25/((1/1000)*(up_Irr!AL25+up_Irr!BJ25)),IF(AND(up_Irr!N25=".",up_Irr!AL25=".",up_Irr!BJ25&lt;&gt;"."),up_dir!AN25/((1/1000)*(up_Irr!BJ25)),IF(AND(up_Irr!N25=".",up_Irr!AL25&lt;&gt;".",up_Irr!BJ25="."),up_dir!AN25/((1/1000)*(up_Irr!AL25)),IF(AND(up_Irr!N25&lt;&gt;".",up_Irr!AL25=".",up_Irr!BJ25="."),up_dir!AN25/((1/1000)*(up_Irr!N25)),IF(AND(up_Irr!N25=".",up_Irr!AL25=".",up_Irr!BJ25="."),up_dir!AN25*1000)))))))),".")</f>
        <v>7.2351016258567334E-11</v>
      </c>
      <c r="BN25" s="76">
        <f>IFERROR(IF(AND(up_Irr!O25&lt;&gt;".",up_Irr!AM25&lt;&gt;".",up_Irr!BK25&lt;&gt;"."),up_dir!AO25/((1/1000)*(up_Irr!O25+up_Irr!AM25+up_Irr!BK25)),IF(AND(up_Irr!O25&lt;&gt;".",up_Irr!AM25&lt;&gt;".",up_Irr!BK25="."),up_dir!AO25/((1/1000)*(up_Irr!O25+up_Irr!AM25)),IF(AND(up_Irr!O25&lt;&gt;".",up_Irr!AM25=".",up_Irr!BK25&lt;&gt;"."),up_dir!AO25/((1/1000)*(up_Irr!O25+up_Irr!BK25)),IF(AND(up_Irr!O25=".",up_Irr!AM25&lt;&gt;".",up_Irr!BK25&lt;&gt;"."),up_dir!AO25/((1/1000)*(up_Irr!AM25+up_Irr!BK25)),IF(AND(up_Irr!O25=".",up_Irr!AM25=".",up_Irr!BK25&lt;&gt;"."),up_dir!AO25/((1/1000)*(up_Irr!BK25)),IF(AND(up_Irr!O25=".",up_Irr!AM25&lt;&gt;".",up_Irr!BK25="."),up_dir!AO25/((1/1000)*(up_Irr!AM25)),IF(AND(up_Irr!O25&lt;&gt;".",up_Irr!AM25=".",up_Irr!BK25="."),up_dir!AO25/((1/1000)*(up_Irr!O25)),IF(AND(up_Irr!O25=".",up_Irr!AM25=".",up_Irr!BK25="."),up_dir!AO25*1000)))))))),".")</f>
        <v>7.2351016258567334E-11</v>
      </c>
      <c r="BO25" s="76">
        <f>IFERROR(IF(AND(up_Irr!P25&lt;&gt;".",up_Irr!AN25&lt;&gt;".",up_Irr!BL25&lt;&gt;"."),up_dir!AP25/((1/1000)*(up_Irr!P25+up_Irr!AN25+up_Irr!BL25)),IF(AND(up_Irr!P25&lt;&gt;".",up_Irr!AN25&lt;&gt;".",up_Irr!BL25="."),up_dir!AP25/((1/1000)*(up_Irr!P25+up_Irr!AN25)),IF(AND(up_Irr!P25&lt;&gt;".",up_Irr!AN25=".",up_Irr!BL25&lt;&gt;"."),up_dir!AP25/((1/1000)*(up_Irr!P25+up_Irr!BL25)),IF(AND(up_Irr!P25=".",up_Irr!AN25&lt;&gt;".",up_Irr!BL25&lt;&gt;"."),up_dir!AP25/((1/1000)*(up_Irr!AN25+up_Irr!BL25)),IF(AND(up_Irr!P25=".",up_Irr!AN25=".",up_Irr!BL25&lt;&gt;"."),up_dir!AP25/((1/1000)*(up_Irr!BL25)),IF(AND(up_Irr!P25=".",up_Irr!AN25&lt;&gt;".",up_Irr!BL25="."),up_dir!AP25/((1/1000)*(up_Irr!AN25)),IF(AND(up_Irr!P25&lt;&gt;".",up_Irr!AN25=".",up_Irr!BL25="."),up_dir!AP25/((1/1000)*(up_Irr!P25)),IF(AND(up_Irr!P25=".",up_Irr!AN25=".",up_Irr!BL25="."),up_dir!AP25*1000)))))))),".")</f>
        <v>7.2351016258567334E-11</v>
      </c>
      <c r="BP25" s="76">
        <f>IFERROR(IF(AND(up_Irr!Q25&lt;&gt;".",up_Irr!AO25&lt;&gt;".",up_Irr!BM25&lt;&gt;"."),up_dir!AQ25/((1/1000)*(up_Irr!Q25+up_Irr!AO25+up_Irr!BM25)),IF(AND(up_Irr!Q25&lt;&gt;".",up_Irr!AO25&lt;&gt;".",up_Irr!BM25="."),up_dir!AQ25/((1/1000)*(up_Irr!Q25+up_Irr!AO25)),IF(AND(up_Irr!Q25&lt;&gt;".",up_Irr!AO25=".",up_Irr!BM25&lt;&gt;"."),up_dir!AQ25/((1/1000)*(up_Irr!Q25+up_Irr!BM25)),IF(AND(up_Irr!Q25=".",up_Irr!AO25&lt;&gt;".",up_Irr!BM25&lt;&gt;"."),up_dir!AQ25/((1/1000)*(up_Irr!AO25+up_Irr!BM25)),IF(AND(up_Irr!Q25=".",up_Irr!AO25=".",up_Irr!BM25&lt;&gt;"."),up_dir!AQ25/((1/1000)*(up_Irr!BM25)),IF(AND(up_Irr!Q25=".",up_Irr!AO25&lt;&gt;".",up_Irr!BM25="."),up_dir!AQ25/((1/1000)*(up_Irr!AO25)),IF(AND(up_Irr!Q25&lt;&gt;".",up_Irr!AO25=".",up_Irr!BM25="."),up_dir!AQ25/((1/1000)*(up_Irr!Q25)),IF(AND(up_Irr!Q25=".",up_Irr!AO25=".",up_Irr!BM25="."),up_dir!AQ25*1000)))))))),".")</f>
        <v>7.2351016258567334E-11</v>
      </c>
      <c r="BQ25" s="76">
        <f>IFERROR(IF(AND(up_Irr!R25&lt;&gt;".",up_Irr!AP25&lt;&gt;".",up_Irr!BN25&lt;&gt;"."),up_dir!AR25/((1/1000)*(up_Irr!R25+up_Irr!AP25+up_Irr!BN25)),IF(AND(up_Irr!R25&lt;&gt;".",up_Irr!AP25&lt;&gt;".",up_Irr!BN25="."),up_dir!AR25/((1/1000)*(up_Irr!R25+up_Irr!AP25)),IF(AND(up_Irr!R25&lt;&gt;".",up_Irr!AP25=".",up_Irr!BN25&lt;&gt;"."),up_dir!AR25/((1/1000)*(up_Irr!R25+up_Irr!BN25)),IF(AND(up_Irr!R25=".",up_Irr!AP25&lt;&gt;".",up_Irr!BN25&lt;&gt;"."),up_dir!AR25/((1/1000)*(up_Irr!AP25+up_Irr!BN25)),IF(AND(up_Irr!R25=".",up_Irr!AP25=".",up_Irr!BN25&lt;&gt;"."),up_dir!AR25/((1/1000)*(up_Irr!BN25)),IF(AND(up_Irr!R25=".",up_Irr!AP25&lt;&gt;".",up_Irr!BN25="."),up_dir!AR25/((1/1000)*(up_Irr!AP25)),IF(AND(up_Irr!R25&lt;&gt;".",up_Irr!AP25=".",up_Irr!BN25="."),up_dir!AR25/((1/1000)*(up_Irr!R25)),IF(AND(up_Irr!R25=".",up_Irr!AP25=".",up_Irr!BN25="."),up_dir!AR25*1000)))))))),".")</f>
        <v>7.2351016258567334E-11</v>
      </c>
      <c r="BR25" s="76">
        <f>IFERROR(IF(AND(up_Irr!S25&lt;&gt;".",up_Irr!AQ25&lt;&gt;".",up_Irr!BO25&lt;&gt;"."),up_dir!AS25/((1/1000)*(up_Irr!S25+up_Irr!AQ25+up_Irr!BO25)),IF(AND(up_Irr!S25&lt;&gt;".",up_Irr!AQ25&lt;&gt;".",up_Irr!BO25="."),up_dir!AS25/((1/1000)*(up_Irr!S25+up_Irr!AQ25)),IF(AND(up_Irr!S25&lt;&gt;".",up_Irr!AQ25=".",up_Irr!BO25&lt;&gt;"."),up_dir!AS25/((1/1000)*(up_Irr!S25+up_Irr!BO25)),IF(AND(up_Irr!S25=".",up_Irr!AQ25&lt;&gt;".",up_Irr!BO25&lt;&gt;"."),up_dir!AS25/((1/1000)*(up_Irr!AQ25+up_Irr!BO25)),IF(AND(up_Irr!S25=".",up_Irr!AQ25=".",up_Irr!BO25&lt;&gt;"."),up_dir!AS25/((1/1000)*(up_Irr!BO25)),IF(AND(up_Irr!S25=".",up_Irr!AQ25&lt;&gt;".",up_Irr!BO25="."),up_dir!AS25/((1/1000)*(up_Irr!AQ25)),IF(AND(up_Irr!S25&lt;&gt;".",up_Irr!AQ25=".",up_Irr!BO25="."),up_dir!AS25/((1/1000)*(up_Irr!S25)),IF(AND(up_Irr!S25=".",up_Irr!AQ25=".",up_Irr!BO25="."),up_dir!AS25*1000)))))))),".")</f>
        <v>7.2351016258567334E-11</v>
      </c>
      <c r="BS25" s="76">
        <f>IFERROR(IF(AND(up_Irr!T25&lt;&gt;".",up_Irr!AR25&lt;&gt;".",up_Irr!BP25&lt;&gt;"."),up_dir!AT25/((1/1000)*(up_Irr!T25+up_Irr!AR25+up_Irr!BP25)),IF(AND(up_Irr!T25&lt;&gt;".",up_Irr!AR25&lt;&gt;".",up_Irr!BP25="."),up_dir!AT25/((1/1000)*(up_Irr!T25+up_Irr!AR25)),IF(AND(up_Irr!T25&lt;&gt;".",up_Irr!AR25=".",up_Irr!BP25&lt;&gt;"."),up_dir!AT25/((1/1000)*(up_Irr!T25+up_Irr!BP25)),IF(AND(up_Irr!T25=".",up_Irr!AR25&lt;&gt;".",up_Irr!BP25&lt;&gt;"."),up_dir!AT25/((1/1000)*(up_Irr!AR25+up_Irr!BP25)),IF(AND(up_Irr!T25=".",up_Irr!AR25=".",up_Irr!BP25&lt;&gt;"."),up_dir!AT25/((1/1000)*(up_Irr!BP25)),IF(AND(up_Irr!T25=".",up_Irr!AR25&lt;&gt;".",up_Irr!BP25="."),up_dir!AT25/((1/1000)*(up_Irr!AR25)),IF(AND(up_Irr!T25&lt;&gt;".",up_Irr!AR25=".",up_Irr!BP25="."),up_dir!AT25/((1/1000)*(up_Irr!T25)),IF(AND(up_Irr!T25=".",up_Irr!AR25=".",up_Irr!BP25="."),up_dir!AT25*1000)))))))),".")</f>
        <v>7.2351016258567334E-11</v>
      </c>
      <c r="BT25" s="76">
        <f>IFERROR(IF(AND(up_Irr!U25&lt;&gt;".",up_Irr!AS25&lt;&gt;".",up_Irr!BQ25&lt;&gt;"."),up_dir!AU25/((1/1000)*(up_Irr!U25+up_Irr!AS25+up_Irr!BQ25)),IF(AND(up_Irr!U25&lt;&gt;".",up_Irr!AS25&lt;&gt;".",up_Irr!BQ25="."),up_dir!AU25/((1/1000)*(up_Irr!U25+up_Irr!AS25)),IF(AND(up_Irr!U25&lt;&gt;".",up_Irr!AS25=".",up_Irr!BQ25&lt;&gt;"."),up_dir!AU25/((1/1000)*(up_Irr!U25+up_Irr!BQ25)),IF(AND(up_Irr!U25=".",up_Irr!AS25&lt;&gt;".",up_Irr!BQ25&lt;&gt;"."),up_dir!AU25/((1/1000)*(up_Irr!AS25+up_Irr!BQ25)),IF(AND(up_Irr!U25=".",up_Irr!AS25=".",up_Irr!BQ25&lt;&gt;"."),up_dir!AU25/((1/1000)*(up_Irr!BQ25)),IF(AND(up_Irr!U25=".",up_Irr!AS25&lt;&gt;".",up_Irr!BQ25="."),up_dir!AU25/((1/1000)*(up_Irr!AS25)),IF(AND(up_Irr!U25&lt;&gt;".",up_Irr!AS25=".",up_Irr!BQ25="."),up_dir!AU25/((1/1000)*(up_Irr!U25)),IF(AND(up_Irr!U25=".",up_Irr!AS25=".",up_Irr!BQ25="."),up_dir!AU25*1000)))))))),".")</f>
        <v>7.2351016258567334E-11</v>
      </c>
      <c r="BU25" s="76">
        <f>IFERROR(IF(AND(up_Irr!V25&lt;&gt;".",up_Irr!AT25&lt;&gt;".",up_Irr!BR25&lt;&gt;"."),up_dir!AV25/((1/1000)*(up_Irr!V25+up_Irr!AT25+up_Irr!BR25)),IF(AND(up_Irr!V25&lt;&gt;".",up_Irr!AT25&lt;&gt;".",up_Irr!BR25="."),up_dir!AV25/((1/1000)*(up_Irr!V25+up_Irr!AT25)),IF(AND(up_Irr!V25&lt;&gt;".",up_Irr!AT25=".",up_Irr!BR25&lt;&gt;"."),up_dir!AV25/((1/1000)*(up_Irr!V25+up_Irr!BR25)),IF(AND(up_Irr!V25=".",up_Irr!AT25&lt;&gt;".",up_Irr!BR25&lt;&gt;"."),up_dir!AV25/((1/1000)*(up_Irr!AT25+up_Irr!BR25)),IF(AND(up_Irr!V25=".",up_Irr!AT25=".",up_Irr!BR25&lt;&gt;"."),up_dir!AV25/((1/1000)*(up_Irr!BR25)),IF(AND(up_Irr!V25=".",up_Irr!AT25&lt;&gt;".",up_Irr!BR25="."),up_dir!AV25/((1/1000)*(up_Irr!AT25)),IF(AND(up_Irr!V25&lt;&gt;".",up_Irr!AT25=".",up_Irr!BR25="."),up_dir!AV25/((1/1000)*(up_Irr!V25)),IF(AND(up_Irr!V25=".",up_Irr!AT25=".",up_Irr!BR25="."),up_dir!AV25*1000)))))))),".")</f>
        <v>7.2351016258567334E-11</v>
      </c>
      <c r="BV25" s="76">
        <f>IFERROR(IF(AND(up_Irr!W25&lt;&gt;".",up_Irr!AU25&lt;&gt;".",up_Irr!BS25&lt;&gt;"."),up_dir!AW25/((1/1000)*(up_Irr!W25+up_Irr!AU25+up_Irr!BS25)),IF(AND(up_Irr!W25&lt;&gt;".",up_Irr!AU25&lt;&gt;".",up_Irr!BS25="."),up_dir!AW25/((1/1000)*(up_Irr!W25+up_Irr!AU25)),IF(AND(up_Irr!W25&lt;&gt;".",up_Irr!AU25=".",up_Irr!BS25&lt;&gt;"."),up_dir!AW25/((1/1000)*(up_Irr!W25+up_Irr!BS25)),IF(AND(up_Irr!W25=".",up_Irr!AU25&lt;&gt;".",up_Irr!BS25&lt;&gt;"."),up_dir!AW25/((1/1000)*(up_Irr!AU25+up_Irr!BS25)),IF(AND(up_Irr!W25=".",up_Irr!AU25=".",up_Irr!BS25&lt;&gt;"."),up_dir!AW25/((1/1000)*(up_Irr!BS25)),IF(AND(up_Irr!W25=".",up_Irr!AU25&lt;&gt;".",up_Irr!BS25="."),up_dir!AW25/((1/1000)*(up_Irr!AU25)),IF(AND(up_Irr!W25&lt;&gt;".",up_Irr!AU25=".",up_Irr!BS25="."),up_dir!AW25/((1/1000)*(up_Irr!W25)),IF(AND(up_Irr!W25=".",up_Irr!AU25=".",up_Irr!BS25="."),up_dir!AW25*1000)))))))),".")</f>
        <v>7.2351016258567334E-11</v>
      </c>
      <c r="BW25" s="76">
        <f>IFERROR(IF(AND(up_Irr!X25&lt;&gt;".",up_Irr!AV25&lt;&gt;".",up_Irr!BT25&lt;&gt;"."),up_dir!AX25/((1/1000)*(up_Irr!X25+up_Irr!AV25+up_Irr!BT25)),IF(AND(up_Irr!X25&lt;&gt;".",up_Irr!AV25&lt;&gt;".",up_Irr!BT25="."),up_dir!AX25/((1/1000)*(up_Irr!X25+up_Irr!AV25)),IF(AND(up_Irr!X25&lt;&gt;".",up_Irr!AV25=".",up_Irr!BT25&lt;&gt;"."),up_dir!AX25/((1/1000)*(up_Irr!X25+up_Irr!BT25)),IF(AND(up_Irr!X25=".",up_Irr!AV25&lt;&gt;".",up_Irr!BT25&lt;&gt;"."),up_dir!AX25/((1/1000)*(up_Irr!AV25+up_Irr!BT25)),IF(AND(up_Irr!X25=".",up_Irr!AV25=".",up_Irr!BT25&lt;&gt;"."),up_dir!AX25/((1/1000)*(up_Irr!BT25)),IF(AND(up_Irr!X25=".",up_Irr!AV25&lt;&gt;".",up_Irr!BT25="."),up_dir!AX25/((1/1000)*(up_Irr!AV25)),IF(AND(up_Irr!X25&lt;&gt;".",up_Irr!AV25=".",up_Irr!BT25="."),up_dir!AX25/((1/1000)*(up_Irr!X25)),IF(AND(up_Irr!X25=".",up_Irr!AV25=".",up_Irr!BT25="."),up_dir!AX25*1000)))))))),".")</f>
        <v>7.2351016258567334E-11</v>
      </c>
      <c r="BX25" s="76">
        <f>IFERROR(IF(AND(up_Irr!Y25&lt;&gt;".",up_Irr!AW25&lt;&gt;".",up_Irr!BU25&lt;&gt;"."),up_dir!AY25/((1/1000)*(up_Irr!Y25+up_Irr!AW25+up_Irr!BU25)),IF(AND(up_Irr!Y25&lt;&gt;".",up_Irr!AW25&lt;&gt;".",up_Irr!BU25="."),up_dir!AY25/((1/1000)*(up_Irr!Y25+up_Irr!AW25)),IF(AND(up_Irr!Y25&lt;&gt;".",up_Irr!AW25=".",up_Irr!BU25&lt;&gt;"."),up_dir!AY25/((1/1000)*(up_Irr!Y25+up_Irr!BU25)),IF(AND(up_Irr!Y25=".",up_Irr!AW25&lt;&gt;".",up_Irr!BU25&lt;&gt;"."),up_dir!AY25/((1/1000)*(up_Irr!AW25+up_Irr!BU25)),IF(AND(up_Irr!Y25=".",up_Irr!AW25=".",up_Irr!BU25&lt;&gt;"."),up_dir!AY25/((1/1000)*(up_Irr!BU25)),IF(AND(up_Irr!Y25=".",up_Irr!AW25&lt;&gt;".",up_Irr!BU25="."),up_dir!AY25/((1/1000)*(up_Irr!AW25)),IF(AND(up_Irr!Y25&lt;&gt;".",up_Irr!AW25=".",up_Irr!BU25="."),up_dir!AY25/((1/1000)*(up_Irr!Y25)),IF(AND(up_Irr!Y25=".",up_Irr!AW25=".",up_Irr!BU25="."),up_dir!AY25*1000)))))))),".")</f>
        <v>7.2351016258567334E-11</v>
      </c>
      <c r="BY25" s="76">
        <f>IFERROR(IF(AND(up_Irr!Z25&lt;&gt;".",up_Irr!AX25&lt;&gt;".",up_Irr!BV25&lt;&gt;"."),up_dir!AZ25/((1/1000)*(up_Irr!Z25+up_Irr!AX25+up_Irr!BV25)),IF(AND(up_Irr!Z25&lt;&gt;".",up_Irr!AX25&lt;&gt;".",up_Irr!BV25="."),up_dir!AZ25/((1/1000)*(up_Irr!Z25+up_Irr!AX25)),IF(AND(up_Irr!Z25&lt;&gt;".",up_Irr!AX25=".",up_Irr!BV25&lt;&gt;"."),up_dir!AZ25/((1/1000)*(up_Irr!Z25+up_Irr!BV25)),IF(AND(up_Irr!Z25=".",up_Irr!AX25&lt;&gt;".",up_Irr!BV25&lt;&gt;"."),up_dir!AZ25/((1/1000)*(up_Irr!AX25+up_Irr!BV25)),IF(AND(up_Irr!Z25=".",up_Irr!AX25=".",up_Irr!BV25&lt;&gt;"."),up_dir!AZ25/((1/1000)*(up_Irr!BV25)),IF(AND(up_Irr!Z25=".",up_Irr!AX25&lt;&gt;".",up_Irr!BV25="."),up_dir!AZ25/((1/1000)*(up_Irr!AX25)),IF(AND(up_Irr!Z25&lt;&gt;".",up_Irr!AX25=".",up_Irr!BV25="."),up_dir!AZ25/((1/1000)*(up_Irr!Z25)),IF(AND(up_Irr!Z25=".",up_Irr!AX25=".",up_Irr!BV25="."),up_dir!AZ25*1000)))))))),".")</f>
        <v>7.2351016258567334E-11</v>
      </c>
      <c r="BZ25" s="93">
        <f>SUM(CA25:CB25,CW25:CX25)</f>
        <v>55286.023705663516</v>
      </c>
      <c r="CA25" s="93">
        <f>IFERROR(s_C*s_IFAP_far_adj*s_CF_apple*(1/1000)*(up_Irr!C25+up_Irr!AA25+up_Irr!AY25),".")</f>
        <v>13821.505926415879</v>
      </c>
      <c r="CB25" s="93">
        <f>IFERROR(s_C*s_IFAS_far_adj*s_CF_asparagus*(1/1000)*(up_Irr!D25+up_Irr!AB25+up_Irr!AZ25),".")</f>
        <v>13821.505926415879</v>
      </c>
      <c r="CC25" s="93">
        <f>IFERROR(s_C*s_IFBT_far_adj*s_CF_beet*(1/1000)*(up_Irr!E25+up_Irr!AC25+up_Irr!BA25),".")</f>
        <v>13821.505926415879</v>
      </c>
      <c r="CD25" s="93">
        <f>IFERROR(s_C*s_IFBE_far_adj*s_CF_berries*(1/1000)*(up_Irr!F25+up_Irr!AD25+up_Irr!BB25),".")</f>
        <v>13821.505926415879</v>
      </c>
      <c r="CE25" s="93">
        <f>IFERROR(s_C*s_IFBR_far_adj*s_CF_broccoli*(1/1000)*(up_Irr!G25+up_Irr!AE25+up_Irr!BC25),".")</f>
        <v>13821.505926415879</v>
      </c>
      <c r="CF25" s="93">
        <f>IFERROR(s_C*s_IFCB_far_adj*s_CF_cabbage*(1/1000)*(up_Irr!H25+up_Irr!AF25+up_Irr!BD25),".")</f>
        <v>13821.505926415879</v>
      </c>
      <c r="CG25" s="93">
        <f>IFERROR(s_C*s_IFCR_far_adj*s_CF_carrot*(1/1000)*(up_Irr!I25+up_Irr!AG25+up_Irr!BE25),".")</f>
        <v>13821.505926415879</v>
      </c>
      <c r="CH25" s="93">
        <f>IFERROR(s_C*s_IFCI_far_adj*s_CF_citrus*(1/1000)*(up_Irr!J25+up_Irr!AH25+up_Irr!BF25),".")</f>
        <v>13821.505926415879</v>
      </c>
      <c r="CI25" s="93">
        <f>IFERROR(s_C*s_IFCO_far_adj*s_CF_corn*(1/1000)*(up_Irr!K25+up_Irr!AI25+up_Irr!BG25),".")</f>
        <v>13821.505926415879</v>
      </c>
      <c r="CJ25" s="93">
        <f>IFERROR(s_C*s_IFCU_far_adj*s_CF_cucumber*(1/1000)*(up_Irr!L25+up_Irr!AJ25+up_Irr!BH25),".")</f>
        <v>13821.505926415879</v>
      </c>
      <c r="CK25" s="93">
        <f>IFERROR(s_C*s_IFLE_far_adj*s_CF_lettuce*(1/1000)*(up_Irr!M25+up_Irr!AK25+up_Irr!BI25),".")</f>
        <v>13821.505926415879</v>
      </c>
      <c r="CL25" s="93">
        <f>IFERROR(s_C*s_IFLI_far_adj*s_CF_lima_bean*(1/1000)*(up_Irr!N25+up_Irr!AL25+up_Irr!BJ25),".")</f>
        <v>13821.505926415879</v>
      </c>
      <c r="CM25" s="93">
        <f>IFERROR(s_C*s_IFOK_far_adj*s_CF_okra*(1/1000)*(up_Irr!O25+up_Irr!AM25+up_Irr!BK25),".")</f>
        <v>13821.505926415879</v>
      </c>
      <c r="CN25" s="93">
        <f>IFERROR(s_C*s_IFON_far_adj*s_CF_onion*(1/1000)*(up_Irr!P25+up_Irr!AN25+up_Irr!BL25),".")</f>
        <v>13821.505926415879</v>
      </c>
      <c r="CO25" s="93">
        <f>IFERROR(s_C*s_IFPC_far_adj*s_CF_peach*(1/1000)*(up_Irr!Q25+up_Irr!AO25+up_Irr!BM25),".")</f>
        <v>13821.505926415879</v>
      </c>
      <c r="CP25" s="93">
        <f>IFERROR(s_C*s_IFPR_far_adj*s_CF_pear*(1/1000)*(up_Irr!R25+up_Irr!AP25+up_Irr!BN25),".")</f>
        <v>13821.505926415879</v>
      </c>
      <c r="CQ25" s="93">
        <f>IFERROR(s_C*s_IFPE_far_adj*s_CF_peas*(1/1000)*(up_Irr!S25+up_Irr!AQ25+up_Irr!BO25),".")</f>
        <v>13821.505926415879</v>
      </c>
      <c r="CR25" s="93">
        <f>IFERROR(s_C*s_IFPT_far_adj*s_CF_potato*(1/1000)*(up_Irr!T25+up_Irr!AR25+up_Irr!BP25),".")</f>
        <v>13821.505926415879</v>
      </c>
      <c r="CS25" s="93">
        <f>IFERROR(s_C*s_IFPU_far_adj*s_CF_pumpkin*(1/1000)*(up_Irr!U25+up_Irr!AS25+up_Irr!BQ25),".")</f>
        <v>13821.505926415879</v>
      </c>
      <c r="CT25" s="93">
        <f>IFERROR(s_C*s_IFSN_far_adj*s_CF_snap_bean*(1/1000)*(up_Irr!V25+up_Irr!AT25+up_Irr!BR25),".")</f>
        <v>13821.505926415879</v>
      </c>
      <c r="CU25" s="93">
        <f>IFERROR(s_C*s_IFST_far_adj*s_CF_strawberry*(1/1000)*(up_Irr!W25+up_Irr!AU25+up_Irr!BS25),".")</f>
        <v>13821.505926415879</v>
      </c>
      <c r="CV25" s="93">
        <f>IFERROR(s_C*s_IFTO_far_adj*s_CF_tomato*(1/1000)*(up_Irr!X25+up_Irr!AV25+up_Irr!BT25),".")</f>
        <v>13821.505926415879</v>
      </c>
      <c r="CW25" s="93">
        <f>IFERROR(s_C*s_IFRI_far_adj*s_CF_rice*(1/1000)*(up_Irr!Y25+up_Irr!AW25+up_Irr!BU25),".")</f>
        <v>13821.505926415879</v>
      </c>
      <c r="CX25" s="93">
        <f>IFERROR(s_C*s_IFCG_far_adj*s_CF_cereal*(1/1000)*(up_Irr!Z25+up_Irr!AX25+up_Irr!BV25),".")</f>
        <v>13821.505926415879</v>
      </c>
    </row>
    <row r="26" spans="1:102" ht="15" customHeight="1" x14ac:dyDescent="0.25">
      <c r="A26" s="92" t="s">
        <v>36</v>
      </c>
      <c r="B26" s="90" t="s">
        <v>1074</v>
      </c>
      <c r="C26" s="76">
        <f t="shared" si="0"/>
        <v>1.8087754064641833E-11</v>
      </c>
      <c r="D26" s="76">
        <f>IFERROR(IF(AND(up_Irr!C26&lt;&gt;".",up_Irr!AA26&lt;&gt;".",up_Irr!AY26&lt;&gt;"."),up_dir!D26/((1/1000)*(up_Irr!C26+up_Irr!AA26+up_Irr!AY26)),IF(AND(up_Irr!C26&lt;&gt;".",up_Irr!AA26&lt;&gt;".",up_Irr!AY26="."),up_dir!D26/((1/1000)*(up_Irr!C26+up_Irr!AA26)),IF(AND(up_Irr!C26&lt;&gt;".",up_Irr!AA26=".",up_Irr!AY26&lt;&gt;"."),up_dir!D26/((1/1000)*(up_Irr!C26+up_Irr!AY26)),IF(AND(up_Irr!C26=".",up_Irr!AA26&lt;&gt;".",up_Irr!AY26&lt;&gt;"."),up_dir!D26/((1/1000)*(up_Irr!AA26+up_Irr!AY26)),IF(AND(up_Irr!C26=".",up_Irr!AA26=".",up_Irr!AY26&lt;&gt;"."),up_dir!D26/((1/1000)*(up_Irr!AY26)),IF(AND(up_Irr!C26=".",up_Irr!AA26&lt;&gt;".",up_Irr!AY26="."),up_dir!D26/((1/1000)*(up_Irr!AA26)),IF(AND(up_Irr!C26&lt;&gt;".",up_Irr!AA26=".",up_Irr!AY26="."),up_dir!D26/((1/1000)*(up_Irr!C26)),IF(AND(up_Irr!C26=".",up_Irr!AA26=".",up_Irr!AY26="."),up_dir!D26*1000)))))))),".")</f>
        <v>7.2351016258567334E-11</v>
      </c>
      <c r="E26" s="76">
        <f>IFERROR(IF(AND(up_Irr!D26&lt;&gt;".",up_Irr!AB26&lt;&gt;".",up_Irr!AZ26&lt;&gt;"."),up_dir!E26/((1/1000)*(up_Irr!D26+up_Irr!AB26+up_Irr!AZ26)),IF(AND(up_Irr!D26&lt;&gt;".",up_Irr!AB26&lt;&gt;".",up_Irr!AZ26="."),up_dir!E26/((1/1000)*(up_Irr!D26+up_Irr!AB26)),IF(AND(up_Irr!D26&lt;&gt;".",up_Irr!AB26=".",up_Irr!AZ26&lt;&gt;"."),up_dir!E26/((1/1000)*(up_Irr!D26+up_Irr!AZ26)),IF(AND(up_Irr!D26=".",up_Irr!AB26&lt;&gt;".",up_Irr!AZ26&lt;&gt;"."),up_dir!E26/((1/1000)*(up_Irr!AB26+up_Irr!AZ26)),IF(AND(up_Irr!D26=".",up_Irr!AB26=".",up_Irr!AZ26&lt;&gt;"."),up_dir!E26/((1/1000)*(up_Irr!AZ26)),IF(AND(up_Irr!D26=".",up_Irr!AB26&lt;&gt;".",up_Irr!AZ26="."),up_dir!E26/((1/1000)*(up_Irr!AB26)),IF(AND(up_Irr!D26&lt;&gt;".",up_Irr!AB26=".",up_Irr!AZ26="."),up_dir!E26/((1/1000)*(up_Irr!D26)),IF(AND(up_Irr!D26=".",up_Irr!AB26=".",up_Irr!AZ26="."),up_dir!E26*1000)))))))),".")</f>
        <v>7.2351016258567334E-11</v>
      </c>
      <c r="F26" s="76">
        <f>IFERROR(IF(AND(up_Irr!E26&lt;&gt;".",up_Irr!AC26&lt;&gt;".",up_Irr!BA26&lt;&gt;"."),up_dir!F26/((1/1000)*(up_Irr!E26+up_Irr!AC26+up_Irr!BA26)),IF(AND(up_Irr!E26&lt;&gt;".",up_Irr!AC26&lt;&gt;".",up_Irr!BA26="."),up_dir!F26/((1/1000)*(up_Irr!E26+up_Irr!AC26)),IF(AND(up_Irr!E26&lt;&gt;".",up_Irr!AC26=".",up_Irr!BA26&lt;&gt;"."),up_dir!F26/((1/1000)*(up_Irr!E26+up_Irr!BA26)),IF(AND(up_Irr!E26=".",up_Irr!AC26&lt;&gt;".",up_Irr!BA26&lt;&gt;"."),up_dir!F26/((1/1000)*(up_Irr!AC26+up_Irr!BA26)),IF(AND(up_Irr!E26=".",up_Irr!AC26=".",up_Irr!BA26&lt;&gt;"."),up_dir!F26/((1/1000)*(up_Irr!BA26)),IF(AND(up_Irr!E26=".",up_Irr!AC26&lt;&gt;".",up_Irr!BA26="."),up_dir!F26/((1/1000)*(up_Irr!AC26)),IF(AND(up_Irr!E26&lt;&gt;".",up_Irr!AC26=".",up_Irr!BA26="."),up_dir!F26/((1/1000)*(up_Irr!E26)),IF(AND(up_Irr!E26=".",up_Irr!AC26=".",up_Irr!BA26="."),up_dir!F26*1000)))))))),".")</f>
        <v>7.2351016258567334E-11</v>
      </c>
      <c r="G26" s="76">
        <f>IFERROR(IF(AND(up_Irr!F26&lt;&gt;".",up_Irr!AD26&lt;&gt;".",up_Irr!BB26&lt;&gt;"."),up_dir!G26/((1/1000)*(up_Irr!F26+up_Irr!AD26+up_Irr!BB26)),IF(AND(up_Irr!F26&lt;&gt;".",up_Irr!AD26&lt;&gt;".",up_Irr!BB26="."),up_dir!G26/((1/1000)*(up_Irr!F26+up_Irr!AD26)),IF(AND(up_Irr!F26&lt;&gt;".",up_Irr!AD26=".",up_Irr!BB26&lt;&gt;"."),up_dir!G26/((1/1000)*(up_Irr!F26+up_Irr!BB26)),IF(AND(up_Irr!F26=".",up_Irr!AD26&lt;&gt;".",up_Irr!BB26&lt;&gt;"."),up_dir!G26/((1/1000)*(up_Irr!AD26+up_Irr!BB26)),IF(AND(up_Irr!F26=".",up_Irr!AD26=".",up_Irr!BB26&lt;&gt;"."),up_dir!G26/((1/1000)*(up_Irr!BB26)),IF(AND(up_Irr!F26=".",up_Irr!AD26&lt;&gt;".",up_Irr!BB26="."),up_dir!G26/((1/1000)*(up_Irr!AD26)),IF(AND(up_Irr!F26&lt;&gt;".",up_Irr!AD26=".",up_Irr!BB26="."),up_dir!G26/((1/1000)*(up_Irr!F26)),IF(AND(up_Irr!F26=".",up_Irr!AD26=".",up_Irr!BB26="."),up_dir!G26*1000)))))))),".")</f>
        <v>7.2351016258567334E-11</v>
      </c>
      <c r="H26" s="76">
        <f>IFERROR(IF(AND(up_Irr!G26&lt;&gt;".",up_Irr!AE26&lt;&gt;".",up_Irr!BC26&lt;&gt;"."),up_dir!H26/((1/1000)*(up_Irr!G26+up_Irr!AE26+up_Irr!BC26)),IF(AND(up_Irr!G26&lt;&gt;".",up_Irr!AE26&lt;&gt;".",up_Irr!BC26="."),up_dir!H26/((1/1000)*(up_Irr!G26+up_Irr!AE26)),IF(AND(up_Irr!G26&lt;&gt;".",up_Irr!AE26=".",up_Irr!BC26&lt;&gt;"."),up_dir!H26/((1/1000)*(up_Irr!G26+up_Irr!BC26)),IF(AND(up_Irr!G26=".",up_Irr!AE26&lt;&gt;".",up_Irr!BC26&lt;&gt;"."),up_dir!H26/((1/1000)*(up_Irr!AE26+up_Irr!BC26)),IF(AND(up_Irr!G26=".",up_Irr!AE26=".",up_Irr!BC26&lt;&gt;"."),up_dir!H26/((1/1000)*(up_Irr!BC26)),IF(AND(up_Irr!G26=".",up_Irr!AE26&lt;&gt;".",up_Irr!BC26="."),up_dir!H26/((1/1000)*(up_Irr!AE26)),IF(AND(up_Irr!G26&lt;&gt;".",up_Irr!AE26=".",up_Irr!BC26="."),up_dir!H26/((1/1000)*(up_Irr!G26)),IF(AND(up_Irr!G26=".",up_Irr!AE26=".",up_Irr!BC26="."),up_dir!H26*1000)))))))),".")</f>
        <v>7.2351016258567334E-11</v>
      </c>
      <c r="I26" s="76">
        <f>IFERROR(IF(AND(up_Irr!H26&lt;&gt;".",up_Irr!AF26&lt;&gt;".",up_Irr!BD26&lt;&gt;"."),up_dir!I26/((1/1000)*(up_Irr!H26+up_Irr!AF26+up_Irr!BD26)),IF(AND(up_Irr!H26&lt;&gt;".",up_Irr!AF26&lt;&gt;".",up_Irr!BD26="."),up_dir!I26/((1/1000)*(up_Irr!H26+up_Irr!AF26)),IF(AND(up_Irr!H26&lt;&gt;".",up_Irr!AF26=".",up_Irr!BD26&lt;&gt;"."),up_dir!I26/((1/1000)*(up_Irr!H26+up_Irr!BD26)),IF(AND(up_Irr!H26=".",up_Irr!AF26&lt;&gt;".",up_Irr!BD26&lt;&gt;"."),up_dir!I26/((1/1000)*(up_Irr!AF26+up_Irr!BD26)),IF(AND(up_Irr!H26=".",up_Irr!AF26=".",up_Irr!BD26&lt;&gt;"."),up_dir!I26/((1/1000)*(up_Irr!BD26)),IF(AND(up_Irr!H26=".",up_Irr!AF26&lt;&gt;".",up_Irr!BD26="."),up_dir!I26/((1/1000)*(up_Irr!AF26)),IF(AND(up_Irr!H26&lt;&gt;".",up_Irr!AF26=".",up_Irr!BD26="."),up_dir!I26/((1/1000)*(up_Irr!H26)),IF(AND(up_Irr!H26=".",up_Irr!AF26=".",up_Irr!BD26="."),up_dir!I26*1000)))))))),".")</f>
        <v>7.2351016258567334E-11</v>
      </c>
      <c r="J26" s="76">
        <f>IFERROR(IF(AND(up_Irr!I26&lt;&gt;".",up_Irr!AG26&lt;&gt;".",up_Irr!BE26&lt;&gt;"."),up_dir!J26/((1/1000)*(up_Irr!I26+up_Irr!AG26+up_Irr!BE26)),IF(AND(up_Irr!I26&lt;&gt;".",up_Irr!AG26&lt;&gt;".",up_Irr!BE26="."),up_dir!J26/((1/1000)*(up_Irr!I26+up_Irr!AG26)),IF(AND(up_Irr!I26&lt;&gt;".",up_Irr!AG26=".",up_Irr!BE26&lt;&gt;"."),up_dir!J26/((1/1000)*(up_Irr!I26+up_Irr!BE26)),IF(AND(up_Irr!I26=".",up_Irr!AG26&lt;&gt;".",up_Irr!BE26&lt;&gt;"."),up_dir!J26/((1/1000)*(up_Irr!AG26+up_Irr!BE26)),IF(AND(up_Irr!I26=".",up_Irr!AG26=".",up_Irr!BE26&lt;&gt;"."),up_dir!J26/((1/1000)*(up_Irr!BE26)),IF(AND(up_Irr!I26=".",up_Irr!AG26&lt;&gt;".",up_Irr!BE26="."),up_dir!J26/((1/1000)*(up_Irr!AG26)),IF(AND(up_Irr!I26&lt;&gt;".",up_Irr!AG26=".",up_Irr!BE26="."),up_dir!J26/((1/1000)*(up_Irr!I26)),IF(AND(up_Irr!I26=".",up_Irr!AG26=".",up_Irr!BE26="."),up_dir!J26*1000)))))))),".")</f>
        <v>7.2351016258567334E-11</v>
      </c>
      <c r="K26" s="76">
        <f>IFERROR(IF(AND(up_Irr!J26&lt;&gt;".",up_Irr!AH26&lt;&gt;".",up_Irr!BF26&lt;&gt;"."),up_dir!K26/((1/1000)*(up_Irr!J26+up_Irr!AH26+up_Irr!BF26)),IF(AND(up_Irr!J26&lt;&gt;".",up_Irr!AH26&lt;&gt;".",up_Irr!BF26="."),up_dir!K26/((1/1000)*(up_Irr!J26+up_Irr!AH26)),IF(AND(up_Irr!J26&lt;&gt;".",up_Irr!AH26=".",up_Irr!BF26&lt;&gt;"."),up_dir!K26/((1/1000)*(up_Irr!J26+up_Irr!BF26)),IF(AND(up_Irr!J26=".",up_Irr!AH26&lt;&gt;".",up_Irr!BF26&lt;&gt;"."),up_dir!K26/((1/1000)*(up_Irr!AH26+up_Irr!BF26)),IF(AND(up_Irr!J26=".",up_Irr!AH26=".",up_Irr!BF26&lt;&gt;"."),up_dir!K26/((1/1000)*(up_Irr!BF26)),IF(AND(up_Irr!J26=".",up_Irr!AH26&lt;&gt;".",up_Irr!BF26="."),up_dir!K26/((1/1000)*(up_Irr!AH26)),IF(AND(up_Irr!J26&lt;&gt;".",up_Irr!AH26=".",up_Irr!BF26="."),up_dir!K26/((1/1000)*(up_Irr!J26)),IF(AND(up_Irr!J26=".",up_Irr!AH26=".",up_Irr!BF26="."),up_dir!K26*1000)))))))),".")</f>
        <v>7.2351016258567334E-11</v>
      </c>
      <c r="L26" s="76">
        <f>IFERROR(IF(AND(up_Irr!K26&lt;&gt;".",up_Irr!AI26&lt;&gt;".",up_Irr!BG26&lt;&gt;"."),up_dir!L26/((1/1000)*(up_Irr!K26+up_Irr!AI26+up_Irr!BG26)),IF(AND(up_Irr!K26&lt;&gt;".",up_Irr!AI26&lt;&gt;".",up_Irr!BG26="."),up_dir!L26/((1/1000)*(up_Irr!K26+up_Irr!AI26)),IF(AND(up_Irr!K26&lt;&gt;".",up_Irr!AI26=".",up_Irr!BG26&lt;&gt;"."),up_dir!L26/((1/1000)*(up_Irr!K26+up_Irr!BG26)),IF(AND(up_Irr!K26=".",up_Irr!AI26&lt;&gt;".",up_Irr!BG26&lt;&gt;"."),up_dir!L26/((1/1000)*(up_Irr!AI26+up_Irr!BG26)),IF(AND(up_Irr!K26=".",up_Irr!AI26=".",up_Irr!BG26&lt;&gt;"."),up_dir!L26/((1/1000)*(up_Irr!BG26)),IF(AND(up_Irr!K26=".",up_Irr!AI26&lt;&gt;".",up_Irr!BG26="."),up_dir!L26/((1/1000)*(up_Irr!AI26)),IF(AND(up_Irr!K26&lt;&gt;".",up_Irr!AI26=".",up_Irr!BG26="."),up_dir!L26/((1/1000)*(up_Irr!K26)),IF(AND(up_Irr!K26=".",up_Irr!AI26=".",up_Irr!BG26="."),up_dir!L26*1000)))))))),".")</f>
        <v>7.2351016258567334E-11</v>
      </c>
      <c r="M26" s="76">
        <f>IFERROR(IF(AND(up_Irr!L26&lt;&gt;".",up_Irr!AJ26&lt;&gt;".",up_Irr!BH26&lt;&gt;"."),up_dir!M26/((1/1000)*(up_Irr!L26+up_Irr!AJ26+up_Irr!BH26)),IF(AND(up_Irr!L26&lt;&gt;".",up_Irr!AJ26&lt;&gt;".",up_Irr!BH26="."),up_dir!M26/((1/1000)*(up_Irr!L26+up_Irr!AJ26)),IF(AND(up_Irr!L26&lt;&gt;".",up_Irr!AJ26=".",up_Irr!BH26&lt;&gt;"."),up_dir!M26/((1/1000)*(up_Irr!L26+up_Irr!BH26)),IF(AND(up_Irr!L26=".",up_Irr!AJ26&lt;&gt;".",up_Irr!BH26&lt;&gt;"."),up_dir!M26/((1/1000)*(up_Irr!AJ26+up_Irr!BH26)),IF(AND(up_Irr!L26=".",up_Irr!AJ26=".",up_Irr!BH26&lt;&gt;"."),up_dir!M26/((1/1000)*(up_Irr!BH26)),IF(AND(up_Irr!L26=".",up_Irr!AJ26&lt;&gt;".",up_Irr!BH26="."),up_dir!M26/((1/1000)*(up_Irr!AJ26)),IF(AND(up_Irr!L26&lt;&gt;".",up_Irr!AJ26=".",up_Irr!BH26="."),up_dir!M26/((1/1000)*(up_Irr!L26)),IF(AND(up_Irr!L26=".",up_Irr!AJ26=".",up_Irr!BH26="."),up_dir!M26*1000)))))))),".")</f>
        <v>7.2351016258567334E-11</v>
      </c>
      <c r="N26" s="76">
        <f>IFERROR(IF(AND(up_Irr!M26&lt;&gt;".",up_Irr!AK26&lt;&gt;".",up_Irr!BI26&lt;&gt;"."),up_dir!N26/((1/1000)*(up_Irr!M26+up_Irr!AK26+up_Irr!BI26)),IF(AND(up_Irr!M26&lt;&gt;".",up_Irr!AK26&lt;&gt;".",up_Irr!BI26="."),up_dir!N26/((1/1000)*(up_Irr!M26+up_Irr!AK26)),IF(AND(up_Irr!M26&lt;&gt;".",up_Irr!AK26=".",up_Irr!BI26&lt;&gt;"."),up_dir!N26/((1/1000)*(up_Irr!M26+up_Irr!BI26)),IF(AND(up_Irr!M26=".",up_Irr!AK26&lt;&gt;".",up_Irr!BI26&lt;&gt;"."),up_dir!N26/((1/1000)*(up_Irr!AK26+up_Irr!BI26)),IF(AND(up_Irr!M26=".",up_Irr!AK26=".",up_Irr!BI26&lt;&gt;"."),up_dir!N26/((1/1000)*(up_Irr!BI26)),IF(AND(up_Irr!M26=".",up_Irr!AK26&lt;&gt;".",up_Irr!BI26="."),up_dir!N26/((1/1000)*(up_Irr!AK26)),IF(AND(up_Irr!M26&lt;&gt;".",up_Irr!AK26=".",up_Irr!BI26="."),up_dir!N26/((1/1000)*(up_Irr!M26)),IF(AND(up_Irr!M26=".",up_Irr!AK26=".",up_Irr!BI26="."),up_dir!N26*1000)))))))),".")</f>
        <v>7.2351016258567334E-11</v>
      </c>
      <c r="O26" s="76">
        <f>IFERROR(IF(AND(up_Irr!N26&lt;&gt;".",up_Irr!AL26&lt;&gt;".",up_Irr!BJ26&lt;&gt;"."),up_dir!O26/((1/1000)*(up_Irr!N26+up_Irr!AL26+up_Irr!BJ26)),IF(AND(up_Irr!N26&lt;&gt;".",up_Irr!AL26&lt;&gt;".",up_Irr!BJ26="."),up_dir!O26/((1/1000)*(up_Irr!N26+up_Irr!AL26)),IF(AND(up_Irr!N26&lt;&gt;".",up_Irr!AL26=".",up_Irr!BJ26&lt;&gt;"."),up_dir!O26/((1/1000)*(up_Irr!N26+up_Irr!BJ26)),IF(AND(up_Irr!N26=".",up_Irr!AL26&lt;&gt;".",up_Irr!BJ26&lt;&gt;"."),up_dir!O26/((1/1000)*(up_Irr!AL26+up_Irr!BJ26)),IF(AND(up_Irr!N26=".",up_Irr!AL26=".",up_Irr!BJ26&lt;&gt;"."),up_dir!O26/((1/1000)*(up_Irr!BJ26)),IF(AND(up_Irr!N26=".",up_Irr!AL26&lt;&gt;".",up_Irr!BJ26="."),up_dir!O26/((1/1000)*(up_Irr!AL26)),IF(AND(up_Irr!N26&lt;&gt;".",up_Irr!AL26=".",up_Irr!BJ26="."),up_dir!O26/((1/1000)*(up_Irr!N26)),IF(AND(up_Irr!N26=".",up_Irr!AL26=".",up_Irr!BJ26="."),up_dir!O26*1000)))))))),".")</f>
        <v>7.2351016258567334E-11</v>
      </c>
      <c r="P26" s="76">
        <f>IFERROR(IF(AND(up_Irr!O26&lt;&gt;".",up_Irr!AM26&lt;&gt;".",up_Irr!BK26&lt;&gt;"."),up_dir!P26/((1/1000)*(up_Irr!O26+up_Irr!AM26+up_Irr!BK26)),IF(AND(up_Irr!O26&lt;&gt;".",up_Irr!AM26&lt;&gt;".",up_Irr!BK26="."),up_dir!P26/((1/1000)*(up_Irr!O26+up_Irr!AM26)),IF(AND(up_Irr!O26&lt;&gt;".",up_Irr!AM26=".",up_Irr!BK26&lt;&gt;"."),up_dir!P26/((1/1000)*(up_Irr!O26+up_Irr!BK26)),IF(AND(up_Irr!O26=".",up_Irr!AM26&lt;&gt;".",up_Irr!BK26&lt;&gt;"."),up_dir!P26/((1/1000)*(up_Irr!AM26+up_Irr!BK26)),IF(AND(up_Irr!O26=".",up_Irr!AM26=".",up_Irr!BK26&lt;&gt;"."),up_dir!P26/((1/1000)*(up_Irr!BK26)),IF(AND(up_Irr!O26=".",up_Irr!AM26&lt;&gt;".",up_Irr!BK26="."),up_dir!P26/((1/1000)*(up_Irr!AM26)),IF(AND(up_Irr!O26&lt;&gt;".",up_Irr!AM26=".",up_Irr!BK26="."),up_dir!P26/((1/1000)*(up_Irr!O26)),IF(AND(up_Irr!O26=".",up_Irr!AM26=".",up_Irr!BK26="."),up_dir!P26*1000)))))))),".")</f>
        <v>7.2351016258567334E-11</v>
      </c>
      <c r="Q26" s="76">
        <f>IFERROR(IF(AND(up_Irr!P26&lt;&gt;".",up_Irr!AN26&lt;&gt;".",up_Irr!BL26&lt;&gt;"."),up_dir!Q26/((1/1000)*(up_Irr!P26+up_Irr!AN26+up_Irr!BL26)),IF(AND(up_Irr!P26&lt;&gt;".",up_Irr!AN26&lt;&gt;".",up_Irr!BL26="."),up_dir!Q26/((1/1000)*(up_Irr!P26+up_Irr!AN26)),IF(AND(up_Irr!P26&lt;&gt;".",up_Irr!AN26=".",up_Irr!BL26&lt;&gt;"."),up_dir!Q26/((1/1000)*(up_Irr!P26+up_Irr!BL26)),IF(AND(up_Irr!P26=".",up_Irr!AN26&lt;&gt;".",up_Irr!BL26&lt;&gt;"."),up_dir!Q26/((1/1000)*(up_Irr!AN26+up_Irr!BL26)),IF(AND(up_Irr!P26=".",up_Irr!AN26=".",up_Irr!BL26&lt;&gt;"."),up_dir!Q26/((1/1000)*(up_Irr!BL26)),IF(AND(up_Irr!P26=".",up_Irr!AN26&lt;&gt;".",up_Irr!BL26="."),up_dir!Q26/((1/1000)*(up_Irr!AN26)),IF(AND(up_Irr!P26&lt;&gt;".",up_Irr!AN26=".",up_Irr!BL26="."),up_dir!Q26/((1/1000)*(up_Irr!P26)),IF(AND(up_Irr!P26=".",up_Irr!AN26=".",up_Irr!BL26="."),up_dir!Q26*1000)))))))),".")</f>
        <v>7.2351016258567334E-11</v>
      </c>
      <c r="R26" s="76">
        <f>IFERROR(IF(AND(up_Irr!Q26&lt;&gt;".",up_Irr!AO26&lt;&gt;".",up_Irr!BM26&lt;&gt;"."),up_dir!R26/((1/1000)*(up_Irr!Q26+up_Irr!AO26+up_Irr!BM26)),IF(AND(up_Irr!Q26&lt;&gt;".",up_Irr!AO26&lt;&gt;".",up_Irr!BM26="."),up_dir!R26/((1/1000)*(up_Irr!Q26+up_Irr!AO26)),IF(AND(up_Irr!Q26&lt;&gt;".",up_Irr!AO26=".",up_Irr!BM26&lt;&gt;"."),up_dir!R26/((1/1000)*(up_Irr!Q26+up_Irr!BM26)),IF(AND(up_Irr!Q26=".",up_Irr!AO26&lt;&gt;".",up_Irr!BM26&lt;&gt;"."),up_dir!R26/((1/1000)*(up_Irr!AO26+up_Irr!BM26)),IF(AND(up_Irr!Q26=".",up_Irr!AO26=".",up_Irr!BM26&lt;&gt;"."),up_dir!R26/((1/1000)*(up_Irr!BM26)),IF(AND(up_Irr!Q26=".",up_Irr!AO26&lt;&gt;".",up_Irr!BM26="."),up_dir!R26/((1/1000)*(up_Irr!AO26)),IF(AND(up_Irr!Q26&lt;&gt;".",up_Irr!AO26=".",up_Irr!BM26="."),up_dir!R26/((1/1000)*(up_Irr!Q26)),IF(AND(up_Irr!Q26=".",up_Irr!AO26=".",up_Irr!BM26="."),up_dir!R26*1000)))))))),".")</f>
        <v>7.2351016258567334E-11</v>
      </c>
      <c r="S26" s="76">
        <f>IFERROR(IF(AND(up_Irr!R26&lt;&gt;".",up_Irr!AP26&lt;&gt;".",up_Irr!BN26&lt;&gt;"."),up_dir!S26/((1/1000)*(up_Irr!R26+up_Irr!AP26+up_Irr!BN26)),IF(AND(up_Irr!R26&lt;&gt;".",up_Irr!AP26&lt;&gt;".",up_Irr!BN26="."),up_dir!S26/((1/1000)*(up_Irr!R26+up_Irr!AP26)),IF(AND(up_Irr!R26&lt;&gt;".",up_Irr!AP26=".",up_Irr!BN26&lt;&gt;"."),up_dir!S26/((1/1000)*(up_Irr!R26+up_Irr!BN26)),IF(AND(up_Irr!R26=".",up_Irr!AP26&lt;&gt;".",up_Irr!BN26&lt;&gt;"."),up_dir!S26/((1/1000)*(up_Irr!AP26+up_Irr!BN26)),IF(AND(up_Irr!R26=".",up_Irr!AP26=".",up_Irr!BN26&lt;&gt;"."),up_dir!S26/((1/1000)*(up_Irr!BN26)),IF(AND(up_Irr!R26=".",up_Irr!AP26&lt;&gt;".",up_Irr!BN26="."),up_dir!S26/((1/1000)*(up_Irr!AP26)),IF(AND(up_Irr!R26&lt;&gt;".",up_Irr!AP26=".",up_Irr!BN26="."),up_dir!S26/((1/1000)*(up_Irr!R26)),IF(AND(up_Irr!R26=".",up_Irr!AP26=".",up_Irr!BN26="."),up_dir!S26*1000)))))))),".")</f>
        <v>7.2351016258567334E-11</v>
      </c>
      <c r="T26" s="76">
        <f>IFERROR(IF(AND(up_Irr!S26&lt;&gt;".",up_Irr!AQ26&lt;&gt;".",up_Irr!BO26&lt;&gt;"."),up_dir!T26/((1/1000)*(up_Irr!S26+up_Irr!AQ26+up_Irr!BO26)),IF(AND(up_Irr!S26&lt;&gt;".",up_Irr!AQ26&lt;&gt;".",up_Irr!BO26="."),up_dir!T26/((1/1000)*(up_Irr!S26+up_Irr!AQ26)),IF(AND(up_Irr!S26&lt;&gt;".",up_Irr!AQ26=".",up_Irr!BO26&lt;&gt;"."),up_dir!T26/((1/1000)*(up_Irr!S26+up_Irr!BO26)),IF(AND(up_Irr!S26=".",up_Irr!AQ26&lt;&gt;".",up_Irr!BO26&lt;&gt;"."),up_dir!T26/((1/1000)*(up_Irr!AQ26+up_Irr!BO26)),IF(AND(up_Irr!S26=".",up_Irr!AQ26=".",up_Irr!BO26&lt;&gt;"."),up_dir!T26/((1/1000)*(up_Irr!BO26)),IF(AND(up_Irr!S26=".",up_Irr!AQ26&lt;&gt;".",up_Irr!BO26="."),up_dir!T26/((1/1000)*(up_Irr!AQ26)),IF(AND(up_Irr!S26&lt;&gt;".",up_Irr!AQ26=".",up_Irr!BO26="."),up_dir!T26/((1/1000)*(up_Irr!S26)),IF(AND(up_Irr!S26=".",up_Irr!AQ26=".",up_Irr!BO26="."),up_dir!T26*1000)))))))),".")</f>
        <v>7.2351016258567334E-11</v>
      </c>
      <c r="U26" s="76">
        <f>IFERROR(IF(AND(up_Irr!T26&lt;&gt;".",up_Irr!AR26&lt;&gt;".",up_Irr!BP26&lt;&gt;"."),up_dir!U26/((1/1000)*(up_Irr!T26+up_Irr!AR26+up_Irr!BP26)),IF(AND(up_Irr!T26&lt;&gt;".",up_Irr!AR26&lt;&gt;".",up_Irr!BP26="."),up_dir!U26/((1/1000)*(up_Irr!T26+up_Irr!AR26)),IF(AND(up_Irr!T26&lt;&gt;".",up_Irr!AR26=".",up_Irr!BP26&lt;&gt;"."),up_dir!U26/((1/1000)*(up_Irr!T26+up_Irr!BP26)),IF(AND(up_Irr!T26=".",up_Irr!AR26&lt;&gt;".",up_Irr!BP26&lt;&gt;"."),up_dir!U26/((1/1000)*(up_Irr!AR26+up_Irr!BP26)),IF(AND(up_Irr!T26=".",up_Irr!AR26=".",up_Irr!BP26&lt;&gt;"."),up_dir!U26/((1/1000)*(up_Irr!BP26)),IF(AND(up_Irr!T26=".",up_Irr!AR26&lt;&gt;".",up_Irr!BP26="."),up_dir!U26/((1/1000)*(up_Irr!AR26)),IF(AND(up_Irr!T26&lt;&gt;".",up_Irr!AR26=".",up_Irr!BP26="."),up_dir!U26/((1/1000)*(up_Irr!T26)),IF(AND(up_Irr!T26=".",up_Irr!AR26=".",up_Irr!BP26="."),up_dir!U26*1000)))))))),".")</f>
        <v>7.2351016258567334E-11</v>
      </c>
      <c r="V26" s="76">
        <f>IFERROR(IF(AND(up_Irr!U26&lt;&gt;".",up_Irr!AS26&lt;&gt;".",up_Irr!BQ26&lt;&gt;"."),up_dir!V26/((1/1000)*(up_Irr!U26+up_Irr!AS26+up_Irr!BQ26)),IF(AND(up_Irr!U26&lt;&gt;".",up_Irr!AS26&lt;&gt;".",up_Irr!BQ26="."),up_dir!V26/((1/1000)*(up_Irr!U26+up_Irr!AS26)),IF(AND(up_Irr!U26&lt;&gt;".",up_Irr!AS26=".",up_Irr!BQ26&lt;&gt;"."),up_dir!V26/((1/1000)*(up_Irr!U26+up_Irr!BQ26)),IF(AND(up_Irr!U26=".",up_Irr!AS26&lt;&gt;".",up_Irr!BQ26&lt;&gt;"."),up_dir!V26/((1/1000)*(up_Irr!AS26+up_Irr!BQ26)),IF(AND(up_Irr!U26=".",up_Irr!AS26=".",up_Irr!BQ26&lt;&gt;"."),up_dir!V26/((1/1000)*(up_Irr!BQ26)),IF(AND(up_Irr!U26=".",up_Irr!AS26&lt;&gt;".",up_Irr!BQ26="."),up_dir!V26/((1/1000)*(up_Irr!AS26)),IF(AND(up_Irr!U26&lt;&gt;".",up_Irr!AS26=".",up_Irr!BQ26="."),up_dir!V26/((1/1000)*(up_Irr!U26)),IF(AND(up_Irr!U26=".",up_Irr!AS26=".",up_Irr!BQ26="."),up_dir!V26*1000)))))))),".")</f>
        <v>7.2351016258567334E-11</v>
      </c>
      <c r="W26" s="76">
        <f>IFERROR(IF(AND(up_Irr!V26&lt;&gt;".",up_Irr!AT26&lt;&gt;".",up_Irr!BR26&lt;&gt;"."),up_dir!W26/((1/1000)*(up_Irr!V26+up_Irr!AT26+up_Irr!BR26)),IF(AND(up_Irr!V26&lt;&gt;".",up_Irr!AT26&lt;&gt;".",up_Irr!BR26="."),up_dir!W26/((1/1000)*(up_Irr!V26+up_Irr!AT26)),IF(AND(up_Irr!V26&lt;&gt;".",up_Irr!AT26=".",up_Irr!BR26&lt;&gt;"."),up_dir!W26/((1/1000)*(up_Irr!V26+up_Irr!BR26)),IF(AND(up_Irr!V26=".",up_Irr!AT26&lt;&gt;".",up_Irr!BR26&lt;&gt;"."),up_dir!W26/((1/1000)*(up_Irr!AT26+up_Irr!BR26)),IF(AND(up_Irr!V26=".",up_Irr!AT26=".",up_Irr!BR26&lt;&gt;"."),up_dir!W26/((1/1000)*(up_Irr!BR26)),IF(AND(up_Irr!V26=".",up_Irr!AT26&lt;&gt;".",up_Irr!BR26="."),up_dir!W26/((1/1000)*(up_Irr!AT26)),IF(AND(up_Irr!V26&lt;&gt;".",up_Irr!AT26=".",up_Irr!BR26="."),up_dir!W26/((1/1000)*(up_Irr!V26)),IF(AND(up_Irr!V26=".",up_Irr!AT26=".",up_Irr!BR26="."),up_dir!W26*1000)))))))),".")</f>
        <v>7.2351016258567334E-11</v>
      </c>
      <c r="X26" s="76">
        <f>IFERROR(IF(AND(up_Irr!W26&lt;&gt;".",up_Irr!AU26&lt;&gt;".",up_Irr!BS26&lt;&gt;"."),up_dir!X26/((1/1000)*(up_Irr!W26+up_Irr!AU26+up_Irr!BS26)),IF(AND(up_Irr!W26&lt;&gt;".",up_Irr!AU26&lt;&gt;".",up_Irr!BS26="."),up_dir!X26/((1/1000)*(up_Irr!W26+up_Irr!AU26)),IF(AND(up_Irr!W26&lt;&gt;".",up_Irr!AU26=".",up_Irr!BS26&lt;&gt;"."),up_dir!X26/((1/1000)*(up_Irr!W26+up_Irr!BS26)),IF(AND(up_Irr!W26=".",up_Irr!AU26&lt;&gt;".",up_Irr!BS26&lt;&gt;"."),up_dir!X26/((1/1000)*(up_Irr!AU26+up_Irr!BS26)),IF(AND(up_Irr!W26=".",up_Irr!AU26=".",up_Irr!BS26&lt;&gt;"."),up_dir!X26/((1/1000)*(up_Irr!BS26)),IF(AND(up_Irr!W26=".",up_Irr!AU26&lt;&gt;".",up_Irr!BS26="."),up_dir!X26/((1/1000)*(up_Irr!AU26)),IF(AND(up_Irr!W26&lt;&gt;".",up_Irr!AU26=".",up_Irr!BS26="."),up_dir!X26/((1/1000)*(up_Irr!W26)),IF(AND(up_Irr!W26=".",up_Irr!AU26=".",up_Irr!BS26="."),up_dir!X26*1000)))))))),".")</f>
        <v>7.2351016258567334E-11</v>
      </c>
      <c r="Y26" s="76">
        <f>IFERROR(IF(AND(up_Irr!X26&lt;&gt;".",up_Irr!AV26&lt;&gt;".",up_Irr!BT26&lt;&gt;"."),up_dir!Y26/((1/1000)*(up_Irr!X26+up_Irr!AV26+up_Irr!BT26)),IF(AND(up_Irr!X26&lt;&gt;".",up_Irr!AV26&lt;&gt;".",up_Irr!BT26="."),up_dir!Y26/((1/1000)*(up_Irr!X26+up_Irr!AV26)),IF(AND(up_Irr!X26&lt;&gt;".",up_Irr!AV26=".",up_Irr!BT26&lt;&gt;"."),up_dir!Y26/((1/1000)*(up_Irr!X26+up_Irr!BT26)),IF(AND(up_Irr!X26=".",up_Irr!AV26&lt;&gt;".",up_Irr!BT26&lt;&gt;"."),up_dir!Y26/((1/1000)*(up_Irr!AV26+up_Irr!BT26)),IF(AND(up_Irr!X26=".",up_Irr!AV26=".",up_Irr!BT26&lt;&gt;"."),up_dir!Y26/((1/1000)*(up_Irr!BT26)),IF(AND(up_Irr!X26=".",up_Irr!AV26&lt;&gt;".",up_Irr!BT26="."),up_dir!Y26/((1/1000)*(up_Irr!AV26)),IF(AND(up_Irr!X26&lt;&gt;".",up_Irr!AV26=".",up_Irr!BT26="."),up_dir!Y26/((1/1000)*(up_Irr!X26)),IF(AND(up_Irr!X26=".",up_Irr!AV26=".",up_Irr!BT26="."),up_dir!Y26*1000)))))))),".")</f>
        <v>7.2351016258567334E-11</v>
      </c>
      <c r="Z26" s="76">
        <f>IFERROR(IF(AND(up_Irr!Y26&lt;&gt;".",up_Irr!AW26&lt;&gt;".",up_Irr!BU26&lt;&gt;"."),up_dir!Z26/((1/1000)*(up_Irr!Y26+up_Irr!AW26+up_Irr!BU26)),IF(AND(up_Irr!Y26&lt;&gt;".",up_Irr!AW26&lt;&gt;".",up_Irr!BU26="."),up_dir!Z26/((1/1000)*(up_Irr!Y26+up_Irr!AW26)),IF(AND(up_Irr!Y26&lt;&gt;".",up_Irr!AW26=".",up_Irr!BU26&lt;&gt;"."),up_dir!Z26/((1/1000)*(up_Irr!Y26+up_Irr!BU26)),IF(AND(up_Irr!Y26=".",up_Irr!AW26&lt;&gt;".",up_Irr!BU26&lt;&gt;"."),up_dir!Z26/((1/1000)*(up_Irr!AW26+up_Irr!BU26)),IF(AND(up_Irr!Y26=".",up_Irr!AW26=".",up_Irr!BU26&lt;&gt;"."),up_dir!Z26/((1/1000)*(up_Irr!BU26)),IF(AND(up_Irr!Y26=".",up_Irr!AW26&lt;&gt;".",up_Irr!BU26="."),up_dir!Z26/((1/1000)*(up_Irr!AW26)),IF(AND(up_Irr!Y26&lt;&gt;".",up_Irr!AW26=".",up_Irr!BU26="."),up_dir!Z26/((1/1000)*(up_Irr!Y26)),IF(AND(up_Irr!Y26=".",up_Irr!AW26=".",up_Irr!BU26="."),up_dir!Z26*1000)))))))),".")</f>
        <v>7.2351016258567334E-11</v>
      </c>
      <c r="AA26" s="76">
        <f>IFERROR(IF(AND(up_Irr!Z26&lt;&gt;".",up_Irr!AX26&lt;&gt;".",up_Irr!BV26&lt;&gt;"."),up_dir!AA26/((1/1000)*(up_Irr!Z26+up_Irr!AX26+up_Irr!BV26)),IF(AND(up_Irr!Z26&lt;&gt;".",up_Irr!AX26&lt;&gt;".",up_Irr!BV26="."),up_dir!AA26/((1/1000)*(up_Irr!Z26+up_Irr!AX26)),IF(AND(up_Irr!Z26&lt;&gt;".",up_Irr!AX26=".",up_Irr!BV26&lt;&gt;"."),up_dir!AA26/((1/1000)*(up_Irr!Z26+up_Irr!BV26)),IF(AND(up_Irr!Z26=".",up_Irr!AX26&lt;&gt;".",up_Irr!BV26&lt;&gt;"."),up_dir!AA26/((1/1000)*(up_Irr!AX26+up_Irr!BV26)),IF(AND(up_Irr!Z26=".",up_Irr!AX26=".",up_Irr!BV26&lt;&gt;"."),up_dir!AA26/((1/1000)*(up_Irr!BV26)),IF(AND(up_Irr!Z26=".",up_Irr!AX26&lt;&gt;".",up_Irr!BV26="."),up_dir!AA26/((1/1000)*(up_Irr!AX26)),IF(AND(up_Irr!Z26&lt;&gt;".",up_Irr!AX26=".",up_Irr!BV26="."),up_dir!AA26/((1/1000)*(up_Irr!Z26)),IF(AND(up_Irr!Z26=".",up_Irr!AX26=".",up_Irr!BV26="."),up_dir!AA26*1000)))))))),".")</f>
        <v>7.2351016258567334E-11</v>
      </c>
      <c r="AB26" s="93">
        <f>SUM(AC26:AD26,AY26:AZ26)</f>
        <v>55286.023705663516</v>
      </c>
      <c r="AC26" s="93">
        <f>IFERROR(s_C*s_IFAP_res_adj*s_CF_apple*0.001*(up_Irr!C26+up_Irr!AA26+up_Irr!AY26),".")</f>
        <v>13821.505926415879</v>
      </c>
      <c r="AD26" s="93">
        <f>IFERROR(s_C*s_IFAS_res_adj*s_CF_asparagus*0.001*(up_Irr!D26+up_Irr!AB26+up_Irr!AZ26),".")</f>
        <v>13821.505926415879</v>
      </c>
      <c r="AE26" s="93">
        <f>IFERROR(s_C*s_IFBT_res_adj*s_CF_beet*0.001*(up_Irr!E26+up_Irr!AC26+up_Irr!BA26),".")</f>
        <v>13821.505926415879</v>
      </c>
      <c r="AF26" s="93">
        <f>IFERROR(s_C*s_IFBE_res_adj*s_CF_berries*0.001*(up_Irr!F26+up_Irr!AD26+up_Irr!BB26),".")</f>
        <v>13821.505926415879</v>
      </c>
      <c r="AG26" s="93">
        <f>IFERROR(s_C*s_IFBR_res_adj*s_CF_broccoli*0.001*(up_Irr!G26+up_Irr!AE26+up_Irr!BC26),".")</f>
        <v>13821.505926415879</v>
      </c>
      <c r="AH26" s="93">
        <f>IFERROR(s_C*s_IFCB_res_adj*s_CF_cabbage*0.001*(up_Irr!H26+up_Irr!AF26+up_Irr!BD26),".")</f>
        <v>13821.505926415879</v>
      </c>
      <c r="AI26" s="93">
        <f>IFERROR(s_C*s_IFCR_res_adj*s_CF_carrot*0.001*(up_Irr!I26+up_Irr!AG26+up_Irr!BE26),".")</f>
        <v>13821.505926415879</v>
      </c>
      <c r="AJ26" s="93">
        <f>IFERROR(s_C*s_IFCI_res_adj*s_CF_citrus*0.001*(up_Irr!J26+up_Irr!AH26+up_Irr!BF26),".")</f>
        <v>13821.505926415879</v>
      </c>
      <c r="AK26" s="93">
        <f>IFERROR(s_C*s_IFCO_res_adj*s_CF_corn*0.001*(up_Irr!K26+up_Irr!AI26+up_Irr!BG26),".")</f>
        <v>13821.505926415879</v>
      </c>
      <c r="AL26" s="93">
        <f>IFERROR(s_C*s_IFCU_res_adj*s_CF_cucumber*0.001*(up_Irr!L26+up_Irr!AJ26+up_Irr!BH26),".")</f>
        <v>13821.505926415879</v>
      </c>
      <c r="AM26" s="93">
        <f>IFERROR(s_C*s_IFLE_res_adj*s_CF_lettuce*0.001*(up_Irr!M26+up_Irr!AK26+up_Irr!BI26),".")</f>
        <v>13821.505926415879</v>
      </c>
      <c r="AN26" s="93">
        <f>IFERROR(s_C*s_IFLI_res_adj*s_CF_lima_bean*0.001*(up_Irr!N26+up_Irr!AL26+up_Irr!BJ26),".")</f>
        <v>13821.505926415879</v>
      </c>
      <c r="AO26" s="93">
        <f>IFERROR(s_C*s_IFOK_res_adj*s_CF_okra*0.001*(up_Irr!O26+up_Irr!AM26+up_Irr!BK26),".")</f>
        <v>13821.505926415879</v>
      </c>
      <c r="AP26" s="93">
        <f>IFERROR(s_C*s_IFON_res_adj*s_CF_onion*0.001*(up_Irr!P26+up_Irr!AN26+up_Irr!BL26),".")</f>
        <v>13821.505926415879</v>
      </c>
      <c r="AQ26" s="93">
        <f>IFERROR(s_C*s_IFPC_res_adj*s_CF_peach*0.001*(up_Irr!Q26+up_Irr!AO26+up_Irr!BM26),".")</f>
        <v>13821.505926415879</v>
      </c>
      <c r="AR26" s="93">
        <f>IFERROR(s_C*s_IFPR_res_adj*s_CF_pear*0.001*(up_Irr!R26+up_Irr!AP26+up_Irr!BN26),".")</f>
        <v>13821.505926415879</v>
      </c>
      <c r="AS26" s="93">
        <f>IFERROR(s_C*s_IFPE_res_adj*s_CF_peas*0.001*(up_Irr!S26+up_Irr!AQ26+up_Irr!BO26),".")</f>
        <v>13821.505926415879</v>
      </c>
      <c r="AT26" s="93">
        <f>IFERROR(s_C*s_IFPT_res_adj*s_CF_potato*0.001*(up_Irr!T26+up_Irr!AR26+up_Irr!BP26),".")</f>
        <v>13821.505926415879</v>
      </c>
      <c r="AU26" s="93">
        <f>IFERROR(s_C*s_IFPU_res_adj*s_CF_pumpkin*0.001*(up_Irr!U26+up_Irr!AS26+up_Irr!BQ26),".")</f>
        <v>13821.505926415879</v>
      </c>
      <c r="AV26" s="93">
        <f>IFERROR(s_C*s_IFSN_res_adj*s_CF_snap_bean*0.001*(up_Irr!V26+up_Irr!AT26+up_Irr!BR26),".")</f>
        <v>13821.505926415879</v>
      </c>
      <c r="AW26" s="93">
        <f>IFERROR(s_C*s_IFST_res_adj*s_CF_strawberry*0.001*(up_Irr!W26+up_Irr!AU26+up_Irr!BS26),".")</f>
        <v>13821.505926415879</v>
      </c>
      <c r="AX26" s="93">
        <f>IFERROR(s_C*s_IFTO_res_adj*s_CF_tomato*0.001*(up_Irr!X26+up_Irr!AV26+up_Irr!BT26),".")</f>
        <v>13821.505926415879</v>
      </c>
      <c r="AY26" s="93">
        <f>IFERROR(s_C*s_IFRI_res_adj*s_CF_rice*0.001*(up_Irr!Y26+up_Irr!AW26+up_Irr!BU26),".")</f>
        <v>13821.505926415879</v>
      </c>
      <c r="AZ26" s="93">
        <f>IFERROR(s_C*s_IFCG_res_adj*s_CF_cereal*0.001*(up_Irr!Z26+up_Irr!AX26+up_Irr!BV26),".")</f>
        <v>13821.505926415879</v>
      </c>
      <c r="BA26" s="76">
        <f t="shared" si="12"/>
        <v>1.8087754064641833E-11</v>
      </c>
      <c r="BB26" s="76">
        <f>IFERROR(IF(AND(up_Irr!C26&lt;&gt;".",up_Irr!AA26&lt;&gt;".",up_Irr!AY26&lt;&gt;"."),up_dir!AC26/((1/1000)*(up_Irr!C26+up_Irr!AA26+up_Irr!AY26)),IF(AND(up_Irr!C26&lt;&gt;".",up_Irr!AA26&lt;&gt;".",up_Irr!AY26="."),up_dir!AC26/((1/1000)*(up_Irr!C26+up_Irr!AA26)),IF(AND(up_Irr!C26&lt;&gt;".",up_Irr!AA26=".",up_Irr!AY26&lt;&gt;"."),up_dir!AC26/((1/1000)*(up_Irr!C26+up_Irr!AY26)),IF(AND(up_Irr!C26=".",up_Irr!AA26&lt;&gt;".",up_Irr!AY26&lt;&gt;"."),up_dir!AC26/((1/1000)*(up_Irr!AA26+up_Irr!AY26)),IF(AND(up_Irr!C26=".",up_Irr!AA26=".",up_Irr!AY26&lt;&gt;"."),up_dir!AC26/((1/1000)*(up_Irr!AY26)),IF(AND(up_Irr!C26=".",up_Irr!AA26&lt;&gt;".",up_Irr!AY26="."),up_dir!AC26/((1/1000)*(up_Irr!AA26)),IF(AND(up_Irr!C26&lt;&gt;".",up_Irr!AA26=".",up_Irr!AY26="."),up_dir!AC26/((1/1000)*(up_Irr!C26)),IF(AND(up_Irr!C26=".",up_Irr!AA26=".",up_Irr!AY26="."),up_dir!AC26*1000)))))))),".")</f>
        <v>7.2351016258567334E-11</v>
      </c>
      <c r="BC26" s="76">
        <f>IFERROR(IF(AND(up_Irr!D26&lt;&gt;".",up_Irr!AB26&lt;&gt;".",up_Irr!AZ26&lt;&gt;"."),up_dir!AD26/((1/1000)*(up_Irr!D26+up_Irr!AB26+up_Irr!AZ26)),IF(AND(up_Irr!D26&lt;&gt;".",up_Irr!AB26&lt;&gt;".",up_Irr!AZ26="."),up_dir!AD26/((1/1000)*(up_Irr!D26+up_Irr!AB26)),IF(AND(up_Irr!D26&lt;&gt;".",up_Irr!AB26=".",up_Irr!AZ26&lt;&gt;"."),up_dir!AD26/((1/1000)*(up_Irr!D26+up_Irr!AZ26)),IF(AND(up_Irr!D26=".",up_Irr!AB26&lt;&gt;".",up_Irr!AZ26&lt;&gt;"."),up_dir!AD26/((1/1000)*(up_Irr!AB26+up_Irr!AZ26)),IF(AND(up_Irr!D26=".",up_Irr!AB26=".",up_Irr!AZ26&lt;&gt;"."),up_dir!AD26/((1/1000)*(up_Irr!AZ26)),IF(AND(up_Irr!D26=".",up_Irr!AB26&lt;&gt;".",up_Irr!AZ26="."),up_dir!AD26/((1/1000)*(up_Irr!AB26)),IF(AND(up_Irr!D26&lt;&gt;".",up_Irr!AB26=".",up_Irr!AZ26="."),up_dir!AD26/((1/1000)*(up_Irr!D26)),IF(AND(up_Irr!D26=".",up_Irr!AB26=".",up_Irr!AZ26="."),up_dir!AD26*1000)))))))),".")</f>
        <v>7.2351016258567334E-11</v>
      </c>
      <c r="BD26" s="76">
        <f>IFERROR(IF(AND(up_Irr!E26&lt;&gt;".",up_Irr!AC26&lt;&gt;".",up_Irr!BA26&lt;&gt;"."),up_dir!AE26/((1/1000)*(up_Irr!E26+up_Irr!AC26+up_Irr!BA26)),IF(AND(up_Irr!E26&lt;&gt;".",up_Irr!AC26&lt;&gt;".",up_Irr!BA26="."),up_dir!AE26/((1/1000)*(up_Irr!E26+up_Irr!AC26)),IF(AND(up_Irr!E26&lt;&gt;".",up_Irr!AC26=".",up_Irr!BA26&lt;&gt;"."),up_dir!AE26/((1/1000)*(up_Irr!E26+up_Irr!BA26)),IF(AND(up_Irr!E26=".",up_Irr!AC26&lt;&gt;".",up_Irr!BA26&lt;&gt;"."),up_dir!AE26/((1/1000)*(up_Irr!AC26+up_Irr!BA26)),IF(AND(up_Irr!E26=".",up_Irr!AC26=".",up_Irr!BA26&lt;&gt;"."),up_dir!AE26/((1/1000)*(up_Irr!BA26)),IF(AND(up_Irr!E26=".",up_Irr!AC26&lt;&gt;".",up_Irr!BA26="."),up_dir!AE26/((1/1000)*(up_Irr!AC26)),IF(AND(up_Irr!E26&lt;&gt;".",up_Irr!AC26=".",up_Irr!BA26="."),up_dir!AE26/((1/1000)*(up_Irr!E26)),IF(AND(up_Irr!E26=".",up_Irr!AC26=".",up_Irr!BA26="."),up_dir!AE26*1000)))))))),".")</f>
        <v>7.2351016258567334E-11</v>
      </c>
      <c r="BE26" s="76">
        <f>IFERROR(IF(AND(up_Irr!F26&lt;&gt;".",up_Irr!AD26&lt;&gt;".",up_Irr!BB26&lt;&gt;"."),up_dir!AF26/((1/1000)*(up_Irr!F26+up_Irr!AD26+up_Irr!BB26)),IF(AND(up_Irr!F26&lt;&gt;".",up_Irr!AD26&lt;&gt;".",up_Irr!BB26="."),up_dir!AF26/((1/1000)*(up_Irr!F26+up_Irr!AD26)),IF(AND(up_Irr!F26&lt;&gt;".",up_Irr!AD26=".",up_Irr!BB26&lt;&gt;"."),up_dir!AF26/((1/1000)*(up_Irr!F26+up_Irr!BB26)),IF(AND(up_Irr!F26=".",up_Irr!AD26&lt;&gt;".",up_Irr!BB26&lt;&gt;"."),up_dir!AF26/((1/1000)*(up_Irr!AD26+up_Irr!BB26)),IF(AND(up_Irr!F26=".",up_Irr!AD26=".",up_Irr!BB26&lt;&gt;"."),up_dir!AF26/((1/1000)*(up_Irr!BB26)),IF(AND(up_Irr!F26=".",up_Irr!AD26&lt;&gt;".",up_Irr!BB26="."),up_dir!AF26/((1/1000)*(up_Irr!AD26)),IF(AND(up_Irr!F26&lt;&gt;".",up_Irr!AD26=".",up_Irr!BB26="."),up_dir!AF26/((1/1000)*(up_Irr!F26)),IF(AND(up_Irr!F26=".",up_Irr!AD26=".",up_Irr!BB26="."),up_dir!AF26*1000)))))))),".")</f>
        <v>7.2351016258567334E-11</v>
      </c>
      <c r="BF26" s="76">
        <f>IFERROR(IF(AND(up_Irr!G26&lt;&gt;".",up_Irr!AE26&lt;&gt;".",up_Irr!BC26&lt;&gt;"."),up_dir!AG26/((1/1000)*(up_Irr!G26+up_Irr!AE26+up_Irr!BC26)),IF(AND(up_Irr!G26&lt;&gt;".",up_Irr!AE26&lt;&gt;".",up_Irr!BC26="."),up_dir!AG26/((1/1000)*(up_Irr!G26+up_Irr!AE26)),IF(AND(up_Irr!G26&lt;&gt;".",up_Irr!AE26=".",up_Irr!BC26&lt;&gt;"."),up_dir!AG26/((1/1000)*(up_Irr!G26+up_Irr!BC26)),IF(AND(up_Irr!G26=".",up_Irr!AE26&lt;&gt;".",up_Irr!BC26&lt;&gt;"."),up_dir!AG26/((1/1000)*(up_Irr!AE26+up_Irr!BC26)),IF(AND(up_Irr!G26=".",up_Irr!AE26=".",up_Irr!BC26&lt;&gt;"."),up_dir!AG26/((1/1000)*(up_Irr!BC26)),IF(AND(up_Irr!G26=".",up_Irr!AE26&lt;&gt;".",up_Irr!BC26="."),up_dir!AG26/((1/1000)*(up_Irr!AE26)),IF(AND(up_Irr!G26&lt;&gt;".",up_Irr!AE26=".",up_Irr!BC26="."),up_dir!AG26/((1/1000)*(up_Irr!G26)),IF(AND(up_Irr!G26=".",up_Irr!AE26=".",up_Irr!BC26="."),up_dir!AG26*1000)))))))),".")</f>
        <v>7.2351016258567334E-11</v>
      </c>
      <c r="BG26" s="76">
        <f>IFERROR(IF(AND(up_Irr!H26&lt;&gt;".",up_Irr!AF26&lt;&gt;".",up_Irr!BD26&lt;&gt;"."),up_dir!AH26/((1/1000)*(up_Irr!H26+up_Irr!AF26+up_Irr!BD26)),IF(AND(up_Irr!H26&lt;&gt;".",up_Irr!AF26&lt;&gt;".",up_Irr!BD26="."),up_dir!AH26/((1/1000)*(up_Irr!H26+up_Irr!AF26)),IF(AND(up_Irr!H26&lt;&gt;".",up_Irr!AF26=".",up_Irr!BD26&lt;&gt;"."),up_dir!AH26/((1/1000)*(up_Irr!H26+up_Irr!BD26)),IF(AND(up_Irr!H26=".",up_Irr!AF26&lt;&gt;".",up_Irr!BD26&lt;&gt;"."),up_dir!AH26/((1/1000)*(up_Irr!AF26+up_Irr!BD26)),IF(AND(up_Irr!H26=".",up_Irr!AF26=".",up_Irr!BD26&lt;&gt;"."),up_dir!AH26/((1/1000)*(up_Irr!BD26)),IF(AND(up_Irr!H26=".",up_Irr!AF26&lt;&gt;".",up_Irr!BD26="."),up_dir!AH26/((1/1000)*(up_Irr!AF26)),IF(AND(up_Irr!H26&lt;&gt;".",up_Irr!AF26=".",up_Irr!BD26="."),up_dir!AH26/((1/1000)*(up_Irr!H26)),IF(AND(up_Irr!H26=".",up_Irr!AF26=".",up_Irr!BD26="."),up_dir!AH26*1000)))))))),".")</f>
        <v>7.2351016258567334E-11</v>
      </c>
      <c r="BH26" s="76">
        <f>IFERROR(IF(AND(up_Irr!I26&lt;&gt;".",up_Irr!AG26&lt;&gt;".",up_Irr!BE26&lt;&gt;"."),up_dir!AI26/((1/1000)*(up_Irr!I26+up_Irr!AG26+up_Irr!BE26)),IF(AND(up_Irr!I26&lt;&gt;".",up_Irr!AG26&lt;&gt;".",up_Irr!BE26="."),up_dir!AI26/((1/1000)*(up_Irr!I26+up_Irr!AG26)),IF(AND(up_Irr!I26&lt;&gt;".",up_Irr!AG26=".",up_Irr!BE26&lt;&gt;"."),up_dir!AI26/((1/1000)*(up_Irr!I26+up_Irr!BE26)),IF(AND(up_Irr!I26=".",up_Irr!AG26&lt;&gt;".",up_Irr!BE26&lt;&gt;"."),up_dir!AI26/((1/1000)*(up_Irr!AG26+up_Irr!BE26)),IF(AND(up_Irr!I26=".",up_Irr!AG26=".",up_Irr!BE26&lt;&gt;"."),up_dir!AI26/((1/1000)*(up_Irr!BE26)),IF(AND(up_Irr!I26=".",up_Irr!AG26&lt;&gt;".",up_Irr!BE26="."),up_dir!AI26/((1/1000)*(up_Irr!AG26)),IF(AND(up_Irr!I26&lt;&gt;".",up_Irr!AG26=".",up_Irr!BE26="."),up_dir!AI26/((1/1000)*(up_Irr!I26)),IF(AND(up_Irr!I26=".",up_Irr!AG26=".",up_Irr!BE26="."),up_dir!AI26*1000)))))))),".")</f>
        <v>7.2351016258567334E-11</v>
      </c>
      <c r="BI26" s="76">
        <f>IFERROR(IF(AND(up_Irr!J26&lt;&gt;".",up_Irr!AH26&lt;&gt;".",up_Irr!BF26&lt;&gt;"."),up_dir!AJ26/((1/1000)*(up_Irr!J26+up_Irr!AH26+up_Irr!BF26)),IF(AND(up_Irr!J26&lt;&gt;".",up_Irr!AH26&lt;&gt;".",up_Irr!BF26="."),up_dir!AJ26/((1/1000)*(up_Irr!J26+up_Irr!AH26)),IF(AND(up_Irr!J26&lt;&gt;".",up_Irr!AH26=".",up_Irr!BF26&lt;&gt;"."),up_dir!AJ26/((1/1000)*(up_Irr!J26+up_Irr!BF26)),IF(AND(up_Irr!J26=".",up_Irr!AH26&lt;&gt;".",up_Irr!BF26&lt;&gt;"."),up_dir!AJ26/((1/1000)*(up_Irr!AH26+up_Irr!BF26)),IF(AND(up_Irr!J26=".",up_Irr!AH26=".",up_Irr!BF26&lt;&gt;"."),up_dir!AJ26/((1/1000)*(up_Irr!BF26)),IF(AND(up_Irr!J26=".",up_Irr!AH26&lt;&gt;".",up_Irr!BF26="."),up_dir!AJ26/((1/1000)*(up_Irr!AH26)),IF(AND(up_Irr!J26&lt;&gt;".",up_Irr!AH26=".",up_Irr!BF26="."),up_dir!AJ26/((1/1000)*(up_Irr!J26)),IF(AND(up_Irr!J26=".",up_Irr!AH26=".",up_Irr!BF26="."),up_dir!AJ26*1000)))))))),".")</f>
        <v>7.2351016258567334E-11</v>
      </c>
      <c r="BJ26" s="76">
        <f>IFERROR(IF(AND(up_Irr!K26&lt;&gt;".",up_Irr!AI26&lt;&gt;".",up_Irr!BG26&lt;&gt;"."),up_dir!AK26/((1/1000)*(up_Irr!K26+up_Irr!AI26+up_Irr!BG26)),IF(AND(up_Irr!K26&lt;&gt;".",up_Irr!AI26&lt;&gt;".",up_Irr!BG26="."),up_dir!AK26/((1/1000)*(up_Irr!K26+up_Irr!AI26)),IF(AND(up_Irr!K26&lt;&gt;".",up_Irr!AI26=".",up_Irr!BG26&lt;&gt;"."),up_dir!AK26/((1/1000)*(up_Irr!K26+up_Irr!BG26)),IF(AND(up_Irr!K26=".",up_Irr!AI26&lt;&gt;".",up_Irr!BG26&lt;&gt;"."),up_dir!AK26/((1/1000)*(up_Irr!AI26+up_Irr!BG26)),IF(AND(up_Irr!K26=".",up_Irr!AI26=".",up_Irr!BG26&lt;&gt;"."),up_dir!AK26/((1/1000)*(up_Irr!BG26)),IF(AND(up_Irr!K26=".",up_Irr!AI26&lt;&gt;".",up_Irr!BG26="."),up_dir!AK26/((1/1000)*(up_Irr!AI26)),IF(AND(up_Irr!K26&lt;&gt;".",up_Irr!AI26=".",up_Irr!BG26="."),up_dir!AK26/((1/1000)*(up_Irr!K26)),IF(AND(up_Irr!K26=".",up_Irr!AI26=".",up_Irr!BG26="."),up_dir!AK26*1000)))))))),".")</f>
        <v>7.2351016258567334E-11</v>
      </c>
      <c r="BK26" s="76">
        <f>IFERROR(IF(AND(up_Irr!L26&lt;&gt;".",up_Irr!AJ26&lt;&gt;".",up_Irr!BH26&lt;&gt;"."),up_dir!AL26/((1/1000)*(up_Irr!L26+up_Irr!AJ26+up_Irr!BH26)),IF(AND(up_Irr!L26&lt;&gt;".",up_Irr!AJ26&lt;&gt;".",up_Irr!BH26="."),up_dir!AL26/((1/1000)*(up_Irr!L26+up_Irr!AJ26)),IF(AND(up_Irr!L26&lt;&gt;".",up_Irr!AJ26=".",up_Irr!BH26&lt;&gt;"."),up_dir!AL26/((1/1000)*(up_Irr!L26+up_Irr!BH26)),IF(AND(up_Irr!L26=".",up_Irr!AJ26&lt;&gt;".",up_Irr!BH26&lt;&gt;"."),up_dir!AL26/((1/1000)*(up_Irr!AJ26+up_Irr!BH26)),IF(AND(up_Irr!L26=".",up_Irr!AJ26=".",up_Irr!BH26&lt;&gt;"."),up_dir!AL26/((1/1000)*(up_Irr!BH26)),IF(AND(up_Irr!L26=".",up_Irr!AJ26&lt;&gt;".",up_Irr!BH26="."),up_dir!AL26/((1/1000)*(up_Irr!AJ26)),IF(AND(up_Irr!L26&lt;&gt;".",up_Irr!AJ26=".",up_Irr!BH26="."),up_dir!AL26/((1/1000)*(up_Irr!L26)),IF(AND(up_Irr!L26=".",up_Irr!AJ26=".",up_Irr!BH26="."),up_dir!AL26*1000)))))))),".")</f>
        <v>7.2351016258567334E-11</v>
      </c>
      <c r="BL26" s="76">
        <f>IFERROR(IF(AND(up_Irr!M26&lt;&gt;".",up_Irr!AK26&lt;&gt;".",up_Irr!BI26&lt;&gt;"."),up_dir!AM26/((1/1000)*(up_Irr!M26+up_Irr!AK26+up_Irr!BI26)),IF(AND(up_Irr!M26&lt;&gt;".",up_Irr!AK26&lt;&gt;".",up_Irr!BI26="."),up_dir!AM26/((1/1000)*(up_Irr!M26+up_Irr!AK26)),IF(AND(up_Irr!M26&lt;&gt;".",up_Irr!AK26=".",up_Irr!BI26&lt;&gt;"."),up_dir!AM26/((1/1000)*(up_Irr!M26+up_Irr!BI26)),IF(AND(up_Irr!M26=".",up_Irr!AK26&lt;&gt;".",up_Irr!BI26&lt;&gt;"."),up_dir!AM26/((1/1000)*(up_Irr!AK26+up_Irr!BI26)),IF(AND(up_Irr!M26=".",up_Irr!AK26=".",up_Irr!BI26&lt;&gt;"."),up_dir!AM26/((1/1000)*(up_Irr!BI26)),IF(AND(up_Irr!M26=".",up_Irr!AK26&lt;&gt;".",up_Irr!BI26="."),up_dir!AM26/((1/1000)*(up_Irr!AK26)),IF(AND(up_Irr!M26&lt;&gt;".",up_Irr!AK26=".",up_Irr!BI26="."),up_dir!AM26/((1/1000)*(up_Irr!M26)),IF(AND(up_Irr!M26=".",up_Irr!AK26=".",up_Irr!BI26="."),up_dir!AM26*1000)))))))),".")</f>
        <v>7.2351016258567334E-11</v>
      </c>
      <c r="BM26" s="76">
        <f>IFERROR(IF(AND(up_Irr!N26&lt;&gt;".",up_Irr!AL26&lt;&gt;".",up_Irr!BJ26&lt;&gt;"."),up_dir!AN26/((1/1000)*(up_Irr!N26+up_Irr!AL26+up_Irr!BJ26)),IF(AND(up_Irr!N26&lt;&gt;".",up_Irr!AL26&lt;&gt;".",up_Irr!BJ26="."),up_dir!AN26/((1/1000)*(up_Irr!N26+up_Irr!AL26)),IF(AND(up_Irr!N26&lt;&gt;".",up_Irr!AL26=".",up_Irr!BJ26&lt;&gt;"."),up_dir!AN26/((1/1000)*(up_Irr!N26+up_Irr!BJ26)),IF(AND(up_Irr!N26=".",up_Irr!AL26&lt;&gt;".",up_Irr!BJ26&lt;&gt;"."),up_dir!AN26/((1/1000)*(up_Irr!AL26+up_Irr!BJ26)),IF(AND(up_Irr!N26=".",up_Irr!AL26=".",up_Irr!BJ26&lt;&gt;"."),up_dir!AN26/((1/1000)*(up_Irr!BJ26)),IF(AND(up_Irr!N26=".",up_Irr!AL26&lt;&gt;".",up_Irr!BJ26="."),up_dir!AN26/((1/1000)*(up_Irr!AL26)),IF(AND(up_Irr!N26&lt;&gt;".",up_Irr!AL26=".",up_Irr!BJ26="."),up_dir!AN26/((1/1000)*(up_Irr!N26)),IF(AND(up_Irr!N26=".",up_Irr!AL26=".",up_Irr!BJ26="."),up_dir!AN26*1000)))))))),".")</f>
        <v>7.2351016258567334E-11</v>
      </c>
      <c r="BN26" s="76">
        <f>IFERROR(IF(AND(up_Irr!O26&lt;&gt;".",up_Irr!AM26&lt;&gt;".",up_Irr!BK26&lt;&gt;"."),up_dir!AO26/((1/1000)*(up_Irr!O26+up_Irr!AM26+up_Irr!BK26)),IF(AND(up_Irr!O26&lt;&gt;".",up_Irr!AM26&lt;&gt;".",up_Irr!BK26="."),up_dir!AO26/((1/1000)*(up_Irr!O26+up_Irr!AM26)),IF(AND(up_Irr!O26&lt;&gt;".",up_Irr!AM26=".",up_Irr!BK26&lt;&gt;"."),up_dir!AO26/((1/1000)*(up_Irr!O26+up_Irr!BK26)),IF(AND(up_Irr!O26=".",up_Irr!AM26&lt;&gt;".",up_Irr!BK26&lt;&gt;"."),up_dir!AO26/((1/1000)*(up_Irr!AM26+up_Irr!BK26)),IF(AND(up_Irr!O26=".",up_Irr!AM26=".",up_Irr!BK26&lt;&gt;"."),up_dir!AO26/((1/1000)*(up_Irr!BK26)),IF(AND(up_Irr!O26=".",up_Irr!AM26&lt;&gt;".",up_Irr!BK26="."),up_dir!AO26/((1/1000)*(up_Irr!AM26)),IF(AND(up_Irr!O26&lt;&gt;".",up_Irr!AM26=".",up_Irr!BK26="."),up_dir!AO26/((1/1000)*(up_Irr!O26)),IF(AND(up_Irr!O26=".",up_Irr!AM26=".",up_Irr!BK26="."),up_dir!AO26*1000)))))))),".")</f>
        <v>7.2351016258567334E-11</v>
      </c>
      <c r="BO26" s="76">
        <f>IFERROR(IF(AND(up_Irr!P26&lt;&gt;".",up_Irr!AN26&lt;&gt;".",up_Irr!BL26&lt;&gt;"."),up_dir!AP26/((1/1000)*(up_Irr!P26+up_Irr!AN26+up_Irr!BL26)),IF(AND(up_Irr!P26&lt;&gt;".",up_Irr!AN26&lt;&gt;".",up_Irr!BL26="."),up_dir!AP26/((1/1000)*(up_Irr!P26+up_Irr!AN26)),IF(AND(up_Irr!P26&lt;&gt;".",up_Irr!AN26=".",up_Irr!BL26&lt;&gt;"."),up_dir!AP26/((1/1000)*(up_Irr!P26+up_Irr!BL26)),IF(AND(up_Irr!P26=".",up_Irr!AN26&lt;&gt;".",up_Irr!BL26&lt;&gt;"."),up_dir!AP26/((1/1000)*(up_Irr!AN26+up_Irr!BL26)),IF(AND(up_Irr!P26=".",up_Irr!AN26=".",up_Irr!BL26&lt;&gt;"."),up_dir!AP26/((1/1000)*(up_Irr!BL26)),IF(AND(up_Irr!P26=".",up_Irr!AN26&lt;&gt;".",up_Irr!BL26="."),up_dir!AP26/((1/1000)*(up_Irr!AN26)),IF(AND(up_Irr!P26&lt;&gt;".",up_Irr!AN26=".",up_Irr!BL26="."),up_dir!AP26/((1/1000)*(up_Irr!P26)),IF(AND(up_Irr!P26=".",up_Irr!AN26=".",up_Irr!BL26="."),up_dir!AP26*1000)))))))),".")</f>
        <v>7.2351016258567334E-11</v>
      </c>
      <c r="BP26" s="76">
        <f>IFERROR(IF(AND(up_Irr!Q26&lt;&gt;".",up_Irr!AO26&lt;&gt;".",up_Irr!BM26&lt;&gt;"."),up_dir!AQ26/((1/1000)*(up_Irr!Q26+up_Irr!AO26+up_Irr!BM26)),IF(AND(up_Irr!Q26&lt;&gt;".",up_Irr!AO26&lt;&gt;".",up_Irr!BM26="."),up_dir!AQ26/((1/1000)*(up_Irr!Q26+up_Irr!AO26)),IF(AND(up_Irr!Q26&lt;&gt;".",up_Irr!AO26=".",up_Irr!BM26&lt;&gt;"."),up_dir!AQ26/((1/1000)*(up_Irr!Q26+up_Irr!BM26)),IF(AND(up_Irr!Q26=".",up_Irr!AO26&lt;&gt;".",up_Irr!BM26&lt;&gt;"."),up_dir!AQ26/((1/1000)*(up_Irr!AO26+up_Irr!BM26)),IF(AND(up_Irr!Q26=".",up_Irr!AO26=".",up_Irr!BM26&lt;&gt;"."),up_dir!AQ26/((1/1000)*(up_Irr!BM26)),IF(AND(up_Irr!Q26=".",up_Irr!AO26&lt;&gt;".",up_Irr!BM26="."),up_dir!AQ26/((1/1000)*(up_Irr!AO26)),IF(AND(up_Irr!Q26&lt;&gt;".",up_Irr!AO26=".",up_Irr!BM26="."),up_dir!AQ26/((1/1000)*(up_Irr!Q26)),IF(AND(up_Irr!Q26=".",up_Irr!AO26=".",up_Irr!BM26="."),up_dir!AQ26*1000)))))))),".")</f>
        <v>7.2351016258567334E-11</v>
      </c>
      <c r="BQ26" s="76">
        <f>IFERROR(IF(AND(up_Irr!R26&lt;&gt;".",up_Irr!AP26&lt;&gt;".",up_Irr!BN26&lt;&gt;"."),up_dir!AR26/((1/1000)*(up_Irr!R26+up_Irr!AP26+up_Irr!BN26)),IF(AND(up_Irr!R26&lt;&gt;".",up_Irr!AP26&lt;&gt;".",up_Irr!BN26="."),up_dir!AR26/((1/1000)*(up_Irr!R26+up_Irr!AP26)),IF(AND(up_Irr!R26&lt;&gt;".",up_Irr!AP26=".",up_Irr!BN26&lt;&gt;"."),up_dir!AR26/((1/1000)*(up_Irr!R26+up_Irr!BN26)),IF(AND(up_Irr!R26=".",up_Irr!AP26&lt;&gt;".",up_Irr!BN26&lt;&gt;"."),up_dir!AR26/((1/1000)*(up_Irr!AP26+up_Irr!BN26)),IF(AND(up_Irr!R26=".",up_Irr!AP26=".",up_Irr!BN26&lt;&gt;"."),up_dir!AR26/((1/1000)*(up_Irr!BN26)),IF(AND(up_Irr!R26=".",up_Irr!AP26&lt;&gt;".",up_Irr!BN26="."),up_dir!AR26/((1/1000)*(up_Irr!AP26)),IF(AND(up_Irr!R26&lt;&gt;".",up_Irr!AP26=".",up_Irr!BN26="."),up_dir!AR26/((1/1000)*(up_Irr!R26)),IF(AND(up_Irr!R26=".",up_Irr!AP26=".",up_Irr!BN26="."),up_dir!AR26*1000)))))))),".")</f>
        <v>7.2351016258567334E-11</v>
      </c>
      <c r="BR26" s="76">
        <f>IFERROR(IF(AND(up_Irr!S26&lt;&gt;".",up_Irr!AQ26&lt;&gt;".",up_Irr!BO26&lt;&gt;"."),up_dir!AS26/((1/1000)*(up_Irr!S26+up_Irr!AQ26+up_Irr!BO26)),IF(AND(up_Irr!S26&lt;&gt;".",up_Irr!AQ26&lt;&gt;".",up_Irr!BO26="."),up_dir!AS26/((1/1000)*(up_Irr!S26+up_Irr!AQ26)),IF(AND(up_Irr!S26&lt;&gt;".",up_Irr!AQ26=".",up_Irr!BO26&lt;&gt;"."),up_dir!AS26/((1/1000)*(up_Irr!S26+up_Irr!BO26)),IF(AND(up_Irr!S26=".",up_Irr!AQ26&lt;&gt;".",up_Irr!BO26&lt;&gt;"."),up_dir!AS26/((1/1000)*(up_Irr!AQ26+up_Irr!BO26)),IF(AND(up_Irr!S26=".",up_Irr!AQ26=".",up_Irr!BO26&lt;&gt;"."),up_dir!AS26/((1/1000)*(up_Irr!BO26)),IF(AND(up_Irr!S26=".",up_Irr!AQ26&lt;&gt;".",up_Irr!BO26="."),up_dir!AS26/((1/1000)*(up_Irr!AQ26)),IF(AND(up_Irr!S26&lt;&gt;".",up_Irr!AQ26=".",up_Irr!BO26="."),up_dir!AS26/((1/1000)*(up_Irr!S26)),IF(AND(up_Irr!S26=".",up_Irr!AQ26=".",up_Irr!BO26="."),up_dir!AS26*1000)))))))),".")</f>
        <v>7.2351016258567334E-11</v>
      </c>
      <c r="BS26" s="76">
        <f>IFERROR(IF(AND(up_Irr!T26&lt;&gt;".",up_Irr!AR26&lt;&gt;".",up_Irr!BP26&lt;&gt;"."),up_dir!AT26/((1/1000)*(up_Irr!T26+up_Irr!AR26+up_Irr!BP26)),IF(AND(up_Irr!T26&lt;&gt;".",up_Irr!AR26&lt;&gt;".",up_Irr!BP26="."),up_dir!AT26/((1/1000)*(up_Irr!T26+up_Irr!AR26)),IF(AND(up_Irr!T26&lt;&gt;".",up_Irr!AR26=".",up_Irr!BP26&lt;&gt;"."),up_dir!AT26/((1/1000)*(up_Irr!T26+up_Irr!BP26)),IF(AND(up_Irr!T26=".",up_Irr!AR26&lt;&gt;".",up_Irr!BP26&lt;&gt;"."),up_dir!AT26/((1/1000)*(up_Irr!AR26+up_Irr!BP26)),IF(AND(up_Irr!T26=".",up_Irr!AR26=".",up_Irr!BP26&lt;&gt;"."),up_dir!AT26/((1/1000)*(up_Irr!BP26)),IF(AND(up_Irr!T26=".",up_Irr!AR26&lt;&gt;".",up_Irr!BP26="."),up_dir!AT26/((1/1000)*(up_Irr!AR26)),IF(AND(up_Irr!T26&lt;&gt;".",up_Irr!AR26=".",up_Irr!BP26="."),up_dir!AT26/((1/1000)*(up_Irr!T26)),IF(AND(up_Irr!T26=".",up_Irr!AR26=".",up_Irr!BP26="."),up_dir!AT26*1000)))))))),".")</f>
        <v>7.2351016258567334E-11</v>
      </c>
      <c r="BT26" s="76">
        <f>IFERROR(IF(AND(up_Irr!U26&lt;&gt;".",up_Irr!AS26&lt;&gt;".",up_Irr!BQ26&lt;&gt;"."),up_dir!AU26/((1/1000)*(up_Irr!U26+up_Irr!AS26+up_Irr!BQ26)),IF(AND(up_Irr!U26&lt;&gt;".",up_Irr!AS26&lt;&gt;".",up_Irr!BQ26="."),up_dir!AU26/((1/1000)*(up_Irr!U26+up_Irr!AS26)),IF(AND(up_Irr!U26&lt;&gt;".",up_Irr!AS26=".",up_Irr!BQ26&lt;&gt;"."),up_dir!AU26/((1/1000)*(up_Irr!U26+up_Irr!BQ26)),IF(AND(up_Irr!U26=".",up_Irr!AS26&lt;&gt;".",up_Irr!BQ26&lt;&gt;"."),up_dir!AU26/((1/1000)*(up_Irr!AS26+up_Irr!BQ26)),IF(AND(up_Irr!U26=".",up_Irr!AS26=".",up_Irr!BQ26&lt;&gt;"."),up_dir!AU26/((1/1000)*(up_Irr!BQ26)),IF(AND(up_Irr!U26=".",up_Irr!AS26&lt;&gt;".",up_Irr!BQ26="."),up_dir!AU26/((1/1000)*(up_Irr!AS26)),IF(AND(up_Irr!U26&lt;&gt;".",up_Irr!AS26=".",up_Irr!BQ26="."),up_dir!AU26/((1/1000)*(up_Irr!U26)),IF(AND(up_Irr!U26=".",up_Irr!AS26=".",up_Irr!BQ26="."),up_dir!AU26*1000)))))))),".")</f>
        <v>7.2351016258567334E-11</v>
      </c>
      <c r="BU26" s="76">
        <f>IFERROR(IF(AND(up_Irr!V26&lt;&gt;".",up_Irr!AT26&lt;&gt;".",up_Irr!BR26&lt;&gt;"."),up_dir!AV26/((1/1000)*(up_Irr!V26+up_Irr!AT26+up_Irr!BR26)),IF(AND(up_Irr!V26&lt;&gt;".",up_Irr!AT26&lt;&gt;".",up_Irr!BR26="."),up_dir!AV26/((1/1000)*(up_Irr!V26+up_Irr!AT26)),IF(AND(up_Irr!V26&lt;&gt;".",up_Irr!AT26=".",up_Irr!BR26&lt;&gt;"."),up_dir!AV26/((1/1000)*(up_Irr!V26+up_Irr!BR26)),IF(AND(up_Irr!V26=".",up_Irr!AT26&lt;&gt;".",up_Irr!BR26&lt;&gt;"."),up_dir!AV26/((1/1000)*(up_Irr!AT26+up_Irr!BR26)),IF(AND(up_Irr!V26=".",up_Irr!AT26=".",up_Irr!BR26&lt;&gt;"."),up_dir!AV26/((1/1000)*(up_Irr!BR26)),IF(AND(up_Irr!V26=".",up_Irr!AT26&lt;&gt;".",up_Irr!BR26="."),up_dir!AV26/((1/1000)*(up_Irr!AT26)),IF(AND(up_Irr!V26&lt;&gt;".",up_Irr!AT26=".",up_Irr!BR26="."),up_dir!AV26/((1/1000)*(up_Irr!V26)),IF(AND(up_Irr!V26=".",up_Irr!AT26=".",up_Irr!BR26="."),up_dir!AV26*1000)))))))),".")</f>
        <v>7.2351016258567334E-11</v>
      </c>
      <c r="BV26" s="76">
        <f>IFERROR(IF(AND(up_Irr!W26&lt;&gt;".",up_Irr!AU26&lt;&gt;".",up_Irr!BS26&lt;&gt;"."),up_dir!AW26/((1/1000)*(up_Irr!W26+up_Irr!AU26+up_Irr!BS26)),IF(AND(up_Irr!W26&lt;&gt;".",up_Irr!AU26&lt;&gt;".",up_Irr!BS26="."),up_dir!AW26/((1/1000)*(up_Irr!W26+up_Irr!AU26)),IF(AND(up_Irr!W26&lt;&gt;".",up_Irr!AU26=".",up_Irr!BS26&lt;&gt;"."),up_dir!AW26/((1/1000)*(up_Irr!W26+up_Irr!BS26)),IF(AND(up_Irr!W26=".",up_Irr!AU26&lt;&gt;".",up_Irr!BS26&lt;&gt;"."),up_dir!AW26/((1/1000)*(up_Irr!AU26+up_Irr!BS26)),IF(AND(up_Irr!W26=".",up_Irr!AU26=".",up_Irr!BS26&lt;&gt;"."),up_dir!AW26/((1/1000)*(up_Irr!BS26)),IF(AND(up_Irr!W26=".",up_Irr!AU26&lt;&gt;".",up_Irr!BS26="."),up_dir!AW26/((1/1000)*(up_Irr!AU26)),IF(AND(up_Irr!W26&lt;&gt;".",up_Irr!AU26=".",up_Irr!BS26="."),up_dir!AW26/((1/1000)*(up_Irr!W26)),IF(AND(up_Irr!W26=".",up_Irr!AU26=".",up_Irr!BS26="."),up_dir!AW26*1000)))))))),".")</f>
        <v>7.2351016258567334E-11</v>
      </c>
      <c r="BW26" s="76">
        <f>IFERROR(IF(AND(up_Irr!X26&lt;&gt;".",up_Irr!AV26&lt;&gt;".",up_Irr!BT26&lt;&gt;"."),up_dir!AX26/((1/1000)*(up_Irr!X26+up_Irr!AV26+up_Irr!BT26)),IF(AND(up_Irr!X26&lt;&gt;".",up_Irr!AV26&lt;&gt;".",up_Irr!BT26="."),up_dir!AX26/((1/1000)*(up_Irr!X26+up_Irr!AV26)),IF(AND(up_Irr!X26&lt;&gt;".",up_Irr!AV26=".",up_Irr!BT26&lt;&gt;"."),up_dir!AX26/((1/1000)*(up_Irr!X26+up_Irr!BT26)),IF(AND(up_Irr!X26=".",up_Irr!AV26&lt;&gt;".",up_Irr!BT26&lt;&gt;"."),up_dir!AX26/((1/1000)*(up_Irr!AV26+up_Irr!BT26)),IF(AND(up_Irr!X26=".",up_Irr!AV26=".",up_Irr!BT26&lt;&gt;"."),up_dir!AX26/((1/1000)*(up_Irr!BT26)),IF(AND(up_Irr!X26=".",up_Irr!AV26&lt;&gt;".",up_Irr!BT26="."),up_dir!AX26/((1/1000)*(up_Irr!AV26)),IF(AND(up_Irr!X26&lt;&gt;".",up_Irr!AV26=".",up_Irr!BT26="."),up_dir!AX26/((1/1000)*(up_Irr!X26)),IF(AND(up_Irr!X26=".",up_Irr!AV26=".",up_Irr!BT26="."),up_dir!AX26*1000)))))))),".")</f>
        <v>7.2351016258567334E-11</v>
      </c>
      <c r="BX26" s="76">
        <f>IFERROR(IF(AND(up_Irr!Y26&lt;&gt;".",up_Irr!AW26&lt;&gt;".",up_Irr!BU26&lt;&gt;"."),up_dir!AY26/((1/1000)*(up_Irr!Y26+up_Irr!AW26+up_Irr!BU26)),IF(AND(up_Irr!Y26&lt;&gt;".",up_Irr!AW26&lt;&gt;".",up_Irr!BU26="."),up_dir!AY26/((1/1000)*(up_Irr!Y26+up_Irr!AW26)),IF(AND(up_Irr!Y26&lt;&gt;".",up_Irr!AW26=".",up_Irr!BU26&lt;&gt;"."),up_dir!AY26/((1/1000)*(up_Irr!Y26+up_Irr!BU26)),IF(AND(up_Irr!Y26=".",up_Irr!AW26&lt;&gt;".",up_Irr!BU26&lt;&gt;"."),up_dir!AY26/((1/1000)*(up_Irr!AW26+up_Irr!BU26)),IF(AND(up_Irr!Y26=".",up_Irr!AW26=".",up_Irr!BU26&lt;&gt;"."),up_dir!AY26/((1/1000)*(up_Irr!BU26)),IF(AND(up_Irr!Y26=".",up_Irr!AW26&lt;&gt;".",up_Irr!BU26="."),up_dir!AY26/((1/1000)*(up_Irr!AW26)),IF(AND(up_Irr!Y26&lt;&gt;".",up_Irr!AW26=".",up_Irr!BU26="."),up_dir!AY26/((1/1000)*(up_Irr!Y26)),IF(AND(up_Irr!Y26=".",up_Irr!AW26=".",up_Irr!BU26="."),up_dir!AY26*1000)))))))),".")</f>
        <v>7.2351016258567334E-11</v>
      </c>
      <c r="BY26" s="76">
        <f>IFERROR(IF(AND(up_Irr!Z26&lt;&gt;".",up_Irr!AX26&lt;&gt;".",up_Irr!BV26&lt;&gt;"."),up_dir!AZ26/((1/1000)*(up_Irr!Z26+up_Irr!AX26+up_Irr!BV26)),IF(AND(up_Irr!Z26&lt;&gt;".",up_Irr!AX26&lt;&gt;".",up_Irr!BV26="."),up_dir!AZ26/((1/1000)*(up_Irr!Z26+up_Irr!AX26)),IF(AND(up_Irr!Z26&lt;&gt;".",up_Irr!AX26=".",up_Irr!BV26&lt;&gt;"."),up_dir!AZ26/((1/1000)*(up_Irr!Z26+up_Irr!BV26)),IF(AND(up_Irr!Z26=".",up_Irr!AX26&lt;&gt;".",up_Irr!BV26&lt;&gt;"."),up_dir!AZ26/((1/1000)*(up_Irr!AX26+up_Irr!BV26)),IF(AND(up_Irr!Z26=".",up_Irr!AX26=".",up_Irr!BV26&lt;&gt;"."),up_dir!AZ26/((1/1000)*(up_Irr!BV26)),IF(AND(up_Irr!Z26=".",up_Irr!AX26&lt;&gt;".",up_Irr!BV26="."),up_dir!AZ26/((1/1000)*(up_Irr!AX26)),IF(AND(up_Irr!Z26&lt;&gt;".",up_Irr!AX26=".",up_Irr!BV26="."),up_dir!AZ26/((1/1000)*(up_Irr!Z26)),IF(AND(up_Irr!Z26=".",up_Irr!AX26=".",up_Irr!BV26="."),up_dir!AZ26*1000)))))))),".")</f>
        <v>7.2351016258567334E-11</v>
      </c>
      <c r="BZ26" s="93">
        <f>SUM(CA26:CB26,CW26:CX26)</f>
        <v>55286.023705663516</v>
      </c>
      <c r="CA26" s="93">
        <f>IFERROR(s_C*s_IFAP_far_adj*s_CF_apple*(1/1000)*(up_Irr!C26+up_Irr!AA26+up_Irr!AY26),".")</f>
        <v>13821.505926415879</v>
      </c>
      <c r="CB26" s="93">
        <f>IFERROR(s_C*s_IFAS_far_adj*s_CF_asparagus*(1/1000)*(up_Irr!D26+up_Irr!AB26+up_Irr!AZ26),".")</f>
        <v>13821.505926415879</v>
      </c>
      <c r="CC26" s="93">
        <f>IFERROR(s_C*s_IFBT_far_adj*s_CF_beet*(1/1000)*(up_Irr!E26+up_Irr!AC26+up_Irr!BA26),".")</f>
        <v>13821.505926415879</v>
      </c>
      <c r="CD26" s="93">
        <f>IFERROR(s_C*s_IFBE_far_adj*s_CF_berries*(1/1000)*(up_Irr!F26+up_Irr!AD26+up_Irr!BB26),".")</f>
        <v>13821.505926415879</v>
      </c>
      <c r="CE26" s="93">
        <f>IFERROR(s_C*s_IFBR_far_adj*s_CF_broccoli*(1/1000)*(up_Irr!G26+up_Irr!AE26+up_Irr!BC26),".")</f>
        <v>13821.505926415879</v>
      </c>
      <c r="CF26" s="93">
        <f>IFERROR(s_C*s_IFCB_far_adj*s_CF_cabbage*(1/1000)*(up_Irr!H26+up_Irr!AF26+up_Irr!BD26),".")</f>
        <v>13821.505926415879</v>
      </c>
      <c r="CG26" s="93">
        <f>IFERROR(s_C*s_IFCR_far_adj*s_CF_carrot*(1/1000)*(up_Irr!I26+up_Irr!AG26+up_Irr!BE26),".")</f>
        <v>13821.505926415879</v>
      </c>
      <c r="CH26" s="93">
        <f>IFERROR(s_C*s_IFCI_far_adj*s_CF_citrus*(1/1000)*(up_Irr!J26+up_Irr!AH26+up_Irr!BF26),".")</f>
        <v>13821.505926415879</v>
      </c>
      <c r="CI26" s="93">
        <f>IFERROR(s_C*s_IFCO_far_adj*s_CF_corn*(1/1000)*(up_Irr!K26+up_Irr!AI26+up_Irr!BG26),".")</f>
        <v>13821.505926415879</v>
      </c>
      <c r="CJ26" s="93">
        <f>IFERROR(s_C*s_IFCU_far_adj*s_CF_cucumber*(1/1000)*(up_Irr!L26+up_Irr!AJ26+up_Irr!BH26),".")</f>
        <v>13821.505926415879</v>
      </c>
      <c r="CK26" s="93">
        <f>IFERROR(s_C*s_IFLE_far_adj*s_CF_lettuce*(1/1000)*(up_Irr!M26+up_Irr!AK26+up_Irr!BI26),".")</f>
        <v>13821.505926415879</v>
      </c>
      <c r="CL26" s="93">
        <f>IFERROR(s_C*s_IFLI_far_adj*s_CF_lima_bean*(1/1000)*(up_Irr!N26+up_Irr!AL26+up_Irr!BJ26),".")</f>
        <v>13821.505926415879</v>
      </c>
      <c r="CM26" s="93">
        <f>IFERROR(s_C*s_IFOK_far_adj*s_CF_okra*(1/1000)*(up_Irr!O26+up_Irr!AM26+up_Irr!BK26),".")</f>
        <v>13821.505926415879</v>
      </c>
      <c r="CN26" s="93">
        <f>IFERROR(s_C*s_IFON_far_adj*s_CF_onion*(1/1000)*(up_Irr!P26+up_Irr!AN26+up_Irr!BL26),".")</f>
        <v>13821.505926415879</v>
      </c>
      <c r="CO26" s="93">
        <f>IFERROR(s_C*s_IFPC_far_adj*s_CF_peach*(1/1000)*(up_Irr!Q26+up_Irr!AO26+up_Irr!BM26),".")</f>
        <v>13821.505926415879</v>
      </c>
      <c r="CP26" s="93">
        <f>IFERROR(s_C*s_IFPR_far_adj*s_CF_pear*(1/1000)*(up_Irr!R26+up_Irr!AP26+up_Irr!BN26),".")</f>
        <v>13821.505926415879</v>
      </c>
      <c r="CQ26" s="93">
        <f>IFERROR(s_C*s_IFPE_far_adj*s_CF_peas*(1/1000)*(up_Irr!S26+up_Irr!AQ26+up_Irr!BO26),".")</f>
        <v>13821.505926415879</v>
      </c>
      <c r="CR26" s="93">
        <f>IFERROR(s_C*s_IFPT_far_adj*s_CF_potato*(1/1000)*(up_Irr!T26+up_Irr!AR26+up_Irr!BP26),".")</f>
        <v>13821.505926415879</v>
      </c>
      <c r="CS26" s="93">
        <f>IFERROR(s_C*s_IFPU_far_adj*s_CF_pumpkin*(1/1000)*(up_Irr!U26+up_Irr!AS26+up_Irr!BQ26),".")</f>
        <v>13821.505926415879</v>
      </c>
      <c r="CT26" s="93">
        <f>IFERROR(s_C*s_IFSN_far_adj*s_CF_snap_bean*(1/1000)*(up_Irr!V26+up_Irr!AT26+up_Irr!BR26),".")</f>
        <v>13821.505926415879</v>
      </c>
      <c r="CU26" s="93">
        <f>IFERROR(s_C*s_IFST_far_adj*s_CF_strawberry*(1/1000)*(up_Irr!W26+up_Irr!AU26+up_Irr!BS26),".")</f>
        <v>13821.505926415879</v>
      </c>
      <c r="CV26" s="93">
        <f>IFERROR(s_C*s_IFTO_far_adj*s_CF_tomato*(1/1000)*(up_Irr!X26+up_Irr!AV26+up_Irr!BT26),".")</f>
        <v>13821.505926415879</v>
      </c>
      <c r="CW26" s="93">
        <f>IFERROR(s_C*s_IFRI_far_adj*s_CF_rice*(1/1000)*(up_Irr!Y26+up_Irr!AW26+up_Irr!BU26),".")</f>
        <v>13821.505926415879</v>
      </c>
      <c r="CX26" s="93">
        <f>IFERROR(s_C*s_IFCG_far_adj*s_CF_cereal*(1/1000)*(up_Irr!Z26+up_Irr!AX26+up_Irr!BV26),".")</f>
        <v>13821.505926415879</v>
      </c>
    </row>
    <row r="27" spans="1:102" ht="15" customHeight="1" x14ac:dyDescent="0.25">
      <c r="A27" s="92" t="s">
        <v>37</v>
      </c>
      <c r="B27" s="90" t="s">
        <v>1074</v>
      </c>
      <c r="C27" s="76">
        <f t="shared" si="0"/>
        <v>1.8087754064641833E-11</v>
      </c>
      <c r="D27" s="76">
        <f>IFERROR(IF(AND(up_Irr!C27&lt;&gt;".",up_Irr!AA27&lt;&gt;".",up_Irr!AY27&lt;&gt;"."),up_dir!D27/((1/1000)*(up_Irr!C27+up_Irr!AA27+up_Irr!AY27)),IF(AND(up_Irr!C27&lt;&gt;".",up_Irr!AA27&lt;&gt;".",up_Irr!AY27="."),up_dir!D27/((1/1000)*(up_Irr!C27+up_Irr!AA27)),IF(AND(up_Irr!C27&lt;&gt;".",up_Irr!AA27=".",up_Irr!AY27&lt;&gt;"."),up_dir!D27/((1/1000)*(up_Irr!C27+up_Irr!AY27)),IF(AND(up_Irr!C27=".",up_Irr!AA27&lt;&gt;".",up_Irr!AY27&lt;&gt;"."),up_dir!D27/((1/1000)*(up_Irr!AA27+up_Irr!AY27)),IF(AND(up_Irr!C27=".",up_Irr!AA27=".",up_Irr!AY27&lt;&gt;"."),up_dir!D27/((1/1000)*(up_Irr!AY27)),IF(AND(up_Irr!C27=".",up_Irr!AA27&lt;&gt;".",up_Irr!AY27="."),up_dir!D27/((1/1000)*(up_Irr!AA27)),IF(AND(up_Irr!C27&lt;&gt;".",up_Irr!AA27=".",up_Irr!AY27="."),up_dir!D27/((1/1000)*(up_Irr!C27)),IF(AND(up_Irr!C27=".",up_Irr!AA27=".",up_Irr!AY27="."),up_dir!D27*1000)))))))),".")</f>
        <v>7.2351016258567334E-11</v>
      </c>
      <c r="E27" s="76">
        <f>IFERROR(IF(AND(up_Irr!D27&lt;&gt;".",up_Irr!AB27&lt;&gt;".",up_Irr!AZ27&lt;&gt;"."),up_dir!E27/((1/1000)*(up_Irr!D27+up_Irr!AB27+up_Irr!AZ27)),IF(AND(up_Irr!D27&lt;&gt;".",up_Irr!AB27&lt;&gt;".",up_Irr!AZ27="."),up_dir!E27/((1/1000)*(up_Irr!D27+up_Irr!AB27)),IF(AND(up_Irr!D27&lt;&gt;".",up_Irr!AB27=".",up_Irr!AZ27&lt;&gt;"."),up_dir!E27/((1/1000)*(up_Irr!D27+up_Irr!AZ27)),IF(AND(up_Irr!D27=".",up_Irr!AB27&lt;&gt;".",up_Irr!AZ27&lt;&gt;"."),up_dir!E27/((1/1000)*(up_Irr!AB27+up_Irr!AZ27)),IF(AND(up_Irr!D27=".",up_Irr!AB27=".",up_Irr!AZ27&lt;&gt;"."),up_dir!E27/((1/1000)*(up_Irr!AZ27)),IF(AND(up_Irr!D27=".",up_Irr!AB27&lt;&gt;".",up_Irr!AZ27="."),up_dir!E27/((1/1000)*(up_Irr!AB27)),IF(AND(up_Irr!D27&lt;&gt;".",up_Irr!AB27=".",up_Irr!AZ27="."),up_dir!E27/((1/1000)*(up_Irr!D27)),IF(AND(up_Irr!D27=".",up_Irr!AB27=".",up_Irr!AZ27="."),up_dir!E27*1000)))))))),".")</f>
        <v>7.2351016258567334E-11</v>
      </c>
      <c r="F27" s="76">
        <f>IFERROR(IF(AND(up_Irr!E27&lt;&gt;".",up_Irr!AC27&lt;&gt;".",up_Irr!BA27&lt;&gt;"."),up_dir!F27/((1/1000)*(up_Irr!E27+up_Irr!AC27+up_Irr!BA27)),IF(AND(up_Irr!E27&lt;&gt;".",up_Irr!AC27&lt;&gt;".",up_Irr!BA27="."),up_dir!F27/((1/1000)*(up_Irr!E27+up_Irr!AC27)),IF(AND(up_Irr!E27&lt;&gt;".",up_Irr!AC27=".",up_Irr!BA27&lt;&gt;"."),up_dir!F27/((1/1000)*(up_Irr!E27+up_Irr!BA27)),IF(AND(up_Irr!E27=".",up_Irr!AC27&lt;&gt;".",up_Irr!BA27&lt;&gt;"."),up_dir!F27/((1/1000)*(up_Irr!AC27+up_Irr!BA27)),IF(AND(up_Irr!E27=".",up_Irr!AC27=".",up_Irr!BA27&lt;&gt;"."),up_dir!F27/((1/1000)*(up_Irr!BA27)),IF(AND(up_Irr!E27=".",up_Irr!AC27&lt;&gt;".",up_Irr!BA27="."),up_dir!F27/((1/1000)*(up_Irr!AC27)),IF(AND(up_Irr!E27&lt;&gt;".",up_Irr!AC27=".",up_Irr!BA27="."),up_dir!F27/((1/1000)*(up_Irr!E27)),IF(AND(up_Irr!E27=".",up_Irr!AC27=".",up_Irr!BA27="."),up_dir!F27*1000)))))))),".")</f>
        <v>7.2351016258567334E-11</v>
      </c>
      <c r="G27" s="76">
        <f>IFERROR(IF(AND(up_Irr!F27&lt;&gt;".",up_Irr!AD27&lt;&gt;".",up_Irr!BB27&lt;&gt;"."),up_dir!G27/((1/1000)*(up_Irr!F27+up_Irr!AD27+up_Irr!BB27)),IF(AND(up_Irr!F27&lt;&gt;".",up_Irr!AD27&lt;&gt;".",up_Irr!BB27="."),up_dir!G27/((1/1000)*(up_Irr!F27+up_Irr!AD27)),IF(AND(up_Irr!F27&lt;&gt;".",up_Irr!AD27=".",up_Irr!BB27&lt;&gt;"."),up_dir!G27/((1/1000)*(up_Irr!F27+up_Irr!BB27)),IF(AND(up_Irr!F27=".",up_Irr!AD27&lt;&gt;".",up_Irr!BB27&lt;&gt;"."),up_dir!G27/((1/1000)*(up_Irr!AD27+up_Irr!BB27)),IF(AND(up_Irr!F27=".",up_Irr!AD27=".",up_Irr!BB27&lt;&gt;"."),up_dir!G27/((1/1000)*(up_Irr!BB27)),IF(AND(up_Irr!F27=".",up_Irr!AD27&lt;&gt;".",up_Irr!BB27="."),up_dir!G27/((1/1000)*(up_Irr!AD27)),IF(AND(up_Irr!F27&lt;&gt;".",up_Irr!AD27=".",up_Irr!BB27="."),up_dir!G27/((1/1000)*(up_Irr!F27)),IF(AND(up_Irr!F27=".",up_Irr!AD27=".",up_Irr!BB27="."),up_dir!G27*1000)))))))),".")</f>
        <v>7.2351016258567334E-11</v>
      </c>
      <c r="H27" s="76">
        <f>IFERROR(IF(AND(up_Irr!G27&lt;&gt;".",up_Irr!AE27&lt;&gt;".",up_Irr!BC27&lt;&gt;"."),up_dir!H27/((1/1000)*(up_Irr!G27+up_Irr!AE27+up_Irr!BC27)),IF(AND(up_Irr!G27&lt;&gt;".",up_Irr!AE27&lt;&gt;".",up_Irr!BC27="."),up_dir!H27/((1/1000)*(up_Irr!G27+up_Irr!AE27)),IF(AND(up_Irr!G27&lt;&gt;".",up_Irr!AE27=".",up_Irr!BC27&lt;&gt;"."),up_dir!H27/((1/1000)*(up_Irr!G27+up_Irr!BC27)),IF(AND(up_Irr!G27=".",up_Irr!AE27&lt;&gt;".",up_Irr!BC27&lt;&gt;"."),up_dir!H27/((1/1000)*(up_Irr!AE27+up_Irr!BC27)),IF(AND(up_Irr!G27=".",up_Irr!AE27=".",up_Irr!BC27&lt;&gt;"."),up_dir!H27/((1/1000)*(up_Irr!BC27)),IF(AND(up_Irr!G27=".",up_Irr!AE27&lt;&gt;".",up_Irr!BC27="."),up_dir!H27/((1/1000)*(up_Irr!AE27)),IF(AND(up_Irr!G27&lt;&gt;".",up_Irr!AE27=".",up_Irr!BC27="."),up_dir!H27/((1/1000)*(up_Irr!G27)),IF(AND(up_Irr!G27=".",up_Irr!AE27=".",up_Irr!BC27="."),up_dir!H27*1000)))))))),".")</f>
        <v>7.2351016258567334E-11</v>
      </c>
      <c r="I27" s="76">
        <f>IFERROR(IF(AND(up_Irr!H27&lt;&gt;".",up_Irr!AF27&lt;&gt;".",up_Irr!BD27&lt;&gt;"."),up_dir!I27/((1/1000)*(up_Irr!H27+up_Irr!AF27+up_Irr!BD27)),IF(AND(up_Irr!H27&lt;&gt;".",up_Irr!AF27&lt;&gt;".",up_Irr!BD27="."),up_dir!I27/((1/1000)*(up_Irr!H27+up_Irr!AF27)),IF(AND(up_Irr!H27&lt;&gt;".",up_Irr!AF27=".",up_Irr!BD27&lt;&gt;"."),up_dir!I27/((1/1000)*(up_Irr!H27+up_Irr!BD27)),IF(AND(up_Irr!H27=".",up_Irr!AF27&lt;&gt;".",up_Irr!BD27&lt;&gt;"."),up_dir!I27/((1/1000)*(up_Irr!AF27+up_Irr!BD27)),IF(AND(up_Irr!H27=".",up_Irr!AF27=".",up_Irr!BD27&lt;&gt;"."),up_dir!I27/((1/1000)*(up_Irr!BD27)),IF(AND(up_Irr!H27=".",up_Irr!AF27&lt;&gt;".",up_Irr!BD27="."),up_dir!I27/((1/1000)*(up_Irr!AF27)),IF(AND(up_Irr!H27&lt;&gt;".",up_Irr!AF27=".",up_Irr!BD27="."),up_dir!I27/((1/1000)*(up_Irr!H27)),IF(AND(up_Irr!H27=".",up_Irr!AF27=".",up_Irr!BD27="."),up_dir!I27*1000)))))))),".")</f>
        <v>7.2351016258567334E-11</v>
      </c>
      <c r="J27" s="76">
        <f>IFERROR(IF(AND(up_Irr!I27&lt;&gt;".",up_Irr!AG27&lt;&gt;".",up_Irr!BE27&lt;&gt;"."),up_dir!J27/((1/1000)*(up_Irr!I27+up_Irr!AG27+up_Irr!BE27)),IF(AND(up_Irr!I27&lt;&gt;".",up_Irr!AG27&lt;&gt;".",up_Irr!BE27="."),up_dir!J27/((1/1000)*(up_Irr!I27+up_Irr!AG27)),IF(AND(up_Irr!I27&lt;&gt;".",up_Irr!AG27=".",up_Irr!BE27&lt;&gt;"."),up_dir!J27/((1/1000)*(up_Irr!I27+up_Irr!BE27)),IF(AND(up_Irr!I27=".",up_Irr!AG27&lt;&gt;".",up_Irr!BE27&lt;&gt;"."),up_dir!J27/((1/1000)*(up_Irr!AG27+up_Irr!BE27)),IF(AND(up_Irr!I27=".",up_Irr!AG27=".",up_Irr!BE27&lt;&gt;"."),up_dir!J27/((1/1000)*(up_Irr!BE27)),IF(AND(up_Irr!I27=".",up_Irr!AG27&lt;&gt;".",up_Irr!BE27="."),up_dir!J27/((1/1000)*(up_Irr!AG27)),IF(AND(up_Irr!I27&lt;&gt;".",up_Irr!AG27=".",up_Irr!BE27="."),up_dir!J27/((1/1000)*(up_Irr!I27)),IF(AND(up_Irr!I27=".",up_Irr!AG27=".",up_Irr!BE27="."),up_dir!J27*1000)))))))),".")</f>
        <v>7.2351016258567334E-11</v>
      </c>
      <c r="K27" s="76">
        <f>IFERROR(IF(AND(up_Irr!J27&lt;&gt;".",up_Irr!AH27&lt;&gt;".",up_Irr!BF27&lt;&gt;"."),up_dir!K27/((1/1000)*(up_Irr!J27+up_Irr!AH27+up_Irr!BF27)),IF(AND(up_Irr!J27&lt;&gt;".",up_Irr!AH27&lt;&gt;".",up_Irr!BF27="."),up_dir!K27/((1/1000)*(up_Irr!J27+up_Irr!AH27)),IF(AND(up_Irr!J27&lt;&gt;".",up_Irr!AH27=".",up_Irr!BF27&lt;&gt;"."),up_dir!K27/((1/1000)*(up_Irr!J27+up_Irr!BF27)),IF(AND(up_Irr!J27=".",up_Irr!AH27&lt;&gt;".",up_Irr!BF27&lt;&gt;"."),up_dir!K27/((1/1000)*(up_Irr!AH27+up_Irr!BF27)),IF(AND(up_Irr!J27=".",up_Irr!AH27=".",up_Irr!BF27&lt;&gt;"."),up_dir!K27/((1/1000)*(up_Irr!BF27)),IF(AND(up_Irr!J27=".",up_Irr!AH27&lt;&gt;".",up_Irr!BF27="."),up_dir!K27/((1/1000)*(up_Irr!AH27)),IF(AND(up_Irr!J27&lt;&gt;".",up_Irr!AH27=".",up_Irr!BF27="."),up_dir!K27/((1/1000)*(up_Irr!J27)),IF(AND(up_Irr!J27=".",up_Irr!AH27=".",up_Irr!BF27="."),up_dir!K27*1000)))))))),".")</f>
        <v>7.2351016258567334E-11</v>
      </c>
      <c r="L27" s="76">
        <f>IFERROR(IF(AND(up_Irr!K27&lt;&gt;".",up_Irr!AI27&lt;&gt;".",up_Irr!BG27&lt;&gt;"."),up_dir!L27/((1/1000)*(up_Irr!K27+up_Irr!AI27+up_Irr!BG27)),IF(AND(up_Irr!K27&lt;&gt;".",up_Irr!AI27&lt;&gt;".",up_Irr!BG27="."),up_dir!L27/((1/1000)*(up_Irr!K27+up_Irr!AI27)),IF(AND(up_Irr!K27&lt;&gt;".",up_Irr!AI27=".",up_Irr!BG27&lt;&gt;"."),up_dir!L27/((1/1000)*(up_Irr!K27+up_Irr!BG27)),IF(AND(up_Irr!K27=".",up_Irr!AI27&lt;&gt;".",up_Irr!BG27&lt;&gt;"."),up_dir!L27/((1/1000)*(up_Irr!AI27+up_Irr!BG27)),IF(AND(up_Irr!K27=".",up_Irr!AI27=".",up_Irr!BG27&lt;&gt;"."),up_dir!L27/((1/1000)*(up_Irr!BG27)),IF(AND(up_Irr!K27=".",up_Irr!AI27&lt;&gt;".",up_Irr!BG27="."),up_dir!L27/((1/1000)*(up_Irr!AI27)),IF(AND(up_Irr!K27&lt;&gt;".",up_Irr!AI27=".",up_Irr!BG27="."),up_dir!L27/((1/1000)*(up_Irr!K27)),IF(AND(up_Irr!K27=".",up_Irr!AI27=".",up_Irr!BG27="."),up_dir!L27*1000)))))))),".")</f>
        <v>7.2351016258567334E-11</v>
      </c>
      <c r="M27" s="76">
        <f>IFERROR(IF(AND(up_Irr!L27&lt;&gt;".",up_Irr!AJ27&lt;&gt;".",up_Irr!BH27&lt;&gt;"."),up_dir!M27/((1/1000)*(up_Irr!L27+up_Irr!AJ27+up_Irr!BH27)),IF(AND(up_Irr!L27&lt;&gt;".",up_Irr!AJ27&lt;&gt;".",up_Irr!BH27="."),up_dir!M27/((1/1000)*(up_Irr!L27+up_Irr!AJ27)),IF(AND(up_Irr!L27&lt;&gt;".",up_Irr!AJ27=".",up_Irr!BH27&lt;&gt;"."),up_dir!M27/((1/1000)*(up_Irr!L27+up_Irr!BH27)),IF(AND(up_Irr!L27=".",up_Irr!AJ27&lt;&gt;".",up_Irr!BH27&lt;&gt;"."),up_dir!M27/((1/1000)*(up_Irr!AJ27+up_Irr!BH27)),IF(AND(up_Irr!L27=".",up_Irr!AJ27=".",up_Irr!BH27&lt;&gt;"."),up_dir!M27/((1/1000)*(up_Irr!BH27)),IF(AND(up_Irr!L27=".",up_Irr!AJ27&lt;&gt;".",up_Irr!BH27="."),up_dir!M27/((1/1000)*(up_Irr!AJ27)),IF(AND(up_Irr!L27&lt;&gt;".",up_Irr!AJ27=".",up_Irr!BH27="."),up_dir!M27/((1/1000)*(up_Irr!L27)),IF(AND(up_Irr!L27=".",up_Irr!AJ27=".",up_Irr!BH27="."),up_dir!M27*1000)))))))),".")</f>
        <v>7.2351016258567334E-11</v>
      </c>
      <c r="N27" s="76">
        <f>IFERROR(IF(AND(up_Irr!M27&lt;&gt;".",up_Irr!AK27&lt;&gt;".",up_Irr!BI27&lt;&gt;"."),up_dir!N27/((1/1000)*(up_Irr!M27+up_Irr!AK27+up_Irr!BI27)),IF(AND(up_Irr!M27&lt;&gt;".",up_Irr!AK27&lt;&gt;".",up_Irr!BI27="."),up_dir!N27/((1/1000)*(up_Irr!M27+up_Irr!AK27)),IF(AND(up_Irr!M27&lt;&gt;".",up_Irr!AK27=".",up_Irr!BI27&lt;&gt;"."),up_dir!N27/((1/1000)*(up_Irr!M27+up_Irr!BI27)),IF(AND(up_Irr!M27=".",up_Irr!AK27&lt;&gt;".",up_Irr!BI27&lt;&gt;"."),up_dir!N27/((1/1000)*(up_Irr!AK27+up_Irr!BI27)),IF(AND(up_Irr!M27=".",up_Irr!AK27=".",up_Irr!BI27&lt;&gt;"."),up_dir!N27/((1/1000)*(up_Irr!BI27)),IF(AND(up_Irr!M27=".",up_Irr!AK27&lt;&gt;".",up_Irr!BI27="."),up_dir!N27/((1/1000)*(up_Irr!AK27)),IF(AND(up_Irr!M27&lt;&gt;".",up_Irr!AK27=".",up_Irr!BI27="."),up_dir!N27/((1/1000)*(up_Irr!M27)),IF(AND(up_Irr!M27=".",up_Irr!AK27=".",up_Irr!BI27="."),up_dir!N27*1000)))))))),".")</f>
        <v>7.2351016258567334E-11</v>
      </c>
      <c r="O27" s="76">
        <f>IFERROR(IF(AND(up_Irr!N27&lt;&gt;".",up_Irr!AL27&lt;&gt;".",up_Irr!BJ27&lt;&gt;"."),up_dir!O27/((1/1000)*(up_Irr!N27+up_Irr!AL27+up_Irr!BJ27)),IF(AND(up_Irr!N27&lt;&gt;".",up_Irr!AL27&lt;&gt;".",up_Irr!BJ27="."),up_dir!O27/((1/1000)*(up_Irr!N27+up_Irr!AL27)),IF(AND(up_Irr!N27&lt;&gt;".",up_Irr!AL27=".",up_Irr!BJ27&lt;&gt;"."),up_dir!O27/((1/1000)*(up_Irr!N27+up_Irr!BJ27)),IF(AND(up_Irr!N27=".",up_Irr!AL27&lt;&gt;".",up_Irr!BJ27&lt;&gt;"."),up_dir!O27/((1/1000)*(up_Irr!AL27+up_Irr!BJ27)),IF(AND(up_Irr!N27=".",up_Irr!AL27=".",up_Irr!BJ27&lt;&gt;"."),up_dir!O27/((1/1000)*(up_Irr!BJ27)),IF(AND(up_Irr!N27=".",up_Irr!AL27&lt;&gt;".",up_Irr!BJ27="."),up_dir!O27/((1/1000)*(up_Irr!AL27)),IF(AND(up_Irr!N27&lt;&gt;".",up_Irr!AL27=".",up_Irr!BJ27="."),up_dir!O27/((1/1000)*(up_Irr!N27)),IF(AND(up_Irr!N27=".",up_Irr!AL27=".",up_Irr!BJ27="."),up_dir!O27*1000)))))))),".")</f>
        <v>7.2351016258567334E-11</v>
      </c>
      <c r="P27" s="76">
        <f>IFERROR(IF(AND(up_Irr!O27&lt;&gt;".",up_Irr!AM27&lt;&gt;".",up_Irr!BK27&lt;&gt;"."),up_dir!P27/((1/1000)*(up_Irr!O27+up_Irr!AM27+up_Irr!BK27)),IF(AND(up_Irr!O27&lt;&gt;".",up_Irr!AM27&lt;&gt;".",up_Irr!BK27="."),up_dir!P27/((1/1000)*(up_Irr!O27+up_Irr!AM27)),IF(AND(up_Irr!O27&lt;&gt;".",up_Irr!AM27=".",up_Irr!BK27&lt;&gt;"."),up_dir!P27/((1/1000)*(up_Irr!O27+up_Irr!BK27)),IF(AND(up_Irr!O27=".",up_Irr!AM27&lt;&gt;".",up_Irr!BK27&lt;&gt;"."),up_dir!P27/((1/1000)*(up_Irr!AM27+up_Irr!BK27)),IF(AND(up_Irr!O27=".",up_Irr!AM27=".",up_Irr!BK27&lt;&gt;"."),up_dir!P27/((1/1000)*(up_Irr!BK27)),IF(AND(up_Irr!O27=".",up_Irr!AM27&lt;&gt;".",up_Irr!BK27="."),up_dir!P27/((1/1000)*(up_Irr!AM27)),IF(AND(up_Irr!O27&lt;&gt;".",up_Irr!AM27=".",up_Irr!BK27="."),up_dir!P27/((1/1000)*(up_Irr!O27)),IF(AND(up_Irr!O27=".",up_Irr!AM27=".",up_Irr!BK27="."),up_dir!P27*1000)))))))),".")</f>
        <v>7.2351016258567334E-11</v>
      </c>
      <c r="Q27" s="76">
        <f>IFERROR(IF(AND(up_Irr!P27&lt;&gt;".",up_Irr!AN27&lt;&gt;".",up_Irr!BL27&lt;&gt;"."),up_dir!Q27/((1/1000)*(up_Irr!P27+up_Irr!AN27+up_Irr!BL27)),IF(AND(up_Irr!P27&lt;&gt;".",up_Irr!AN27&lt;&gt;".",up_Irr!BL27="."),up_dir!Q27/((1/1000)*(up_Irr!P27+up_Irr!AN27)),IF(AND(up_Irr!P27&lt;&gt;".",up_Irr!AN27=".",up_Irr!BL27&lt;&gt;"."),up_dir!Q27/((1/1000)*(up_Irr!P27+up_Irr!BL27)),IF(AND(up_Irr!P27=".",up_Irr!AN27&lt;&gt;".",up_Irr!BL27&lt;&gt;"."),up_dir!Q27/((1/1000)*(up_Irr!AN27+up_Irr!BL27)),IF(AND(up_Irr!P27=".",up_Irr!AN27=".",up_Irr!BL27&lt;&gt;"."),up_dir!Q27/((1/1000)*(up_Irr!BL27)),IF(AND(up_Irr!P27=".",up_Irr!AN27&lt;&gt;".",up_Irr!BL27="."),up_dir!Q27/((1/1000)*(up_Irr!AN27)),IF(AND(up_Irr!P27&lt;&gt;".",up_Irr!AN27=".",up_Irr!BL27="."),up_dir!Q27/((1/1000)*(up_Irr!P27)),IF(AND(up_Irr!P27=".",up_Irr!AN27=".",up_Irr!BL27="."),up_dir!Q27*1000)))))))),".")</f>
        <v>7.2351016258567334E-11</v>
      </c>
      <c r="R27" s="76">
        <f>IFERROR(IF(AND(up_Irr!Q27&lt;&gt;".",up_Irr!AO27&lt;&gt;".",up_Irr!BM27&lt;&gt;"."),up_dir!R27/((1/1000)*(up_Irr!Q27+up_Irr!AO27+up_Irr!BM27)),IF(AND(up_Irr!Q27&lt;&gt;".",up_Irr!AO27&lt;&gt;".",up_Irr!BM27="."),up_dir!R27/((1/1000)*(up_Irr!Q27+up_Irr!AO27)),IF(AND(up_Irr!Q27&lt;&gt;".",up_Irr!AO27=".",up_Irr!BM27&lt;&gt;"."),up_dir!R27/((1/1000)*(up_Irr!Q27+up_Irr!BM27)),IF(AND(up_Irr!Q27=".",up_Irr!AO27&lt;&gt;".",up_Irr!BM27&lt;&gt;"."),up_dir!R27/((1/1000)*(up_Irr!AO27+up_Irr!BM27)),IF(AND(up_Irr!Q27=".",up_Irr!AO27=".",up_Irr!BM27&lt;&gt;"."),up_dir!R27/((1/1000)*(up_Irr!BM27)),IF(AND(up_Irr!Q27=".",up_Irr!AO27&lt;&gt;".",up_Irr!BM27="."),up_dir!R27/((1/1000)*(up_Irr!AO27)),IF(AND(up_Irr!Q27&lt;&gt;".",up_Irr!AO27=".",up_Irr!BM27="."),up_dir!R27/((1/1000)*(up_Irr!Q27)),IF(AND(up_Irr!Q27=".",up_Irr!AO27=".",up_Irr!BM27="."),up_dir!R27*1000)))))))),".")</f>
        <v>7.2351016258567334E-11</v>
      </c>
      <c r="S27" s="76">
        <f>IFERROR(IF(AND(up_Irr!R27&lt;&gt;".",up_Irr!AP27&lt;&gt;".",up_Irr!BN27&lt;&gt;"."),up_dir!S27/((1/1000)*(up_Irr!R27+up_Irr!AP27+up_Irr!BN27)),IF(AND(up_Irr!R27&lt;&gt;".",up_Irr!AP27&lt;&gt;".",up_Irr!BN27="."),up_dir!S27/((1/1000)*(up_Irr!R27+up_Irr!AP27)),IF(AND(up_Irr!R27&lt;&gt;".",up_Irr!AP27=".",up_Irr!BN27&lt;&gt;"."),up_dir!S27/((1/1000)*(up_Irr!R27+up_Irr!BN27)),IF(AND(up_Irr!R27=".",up_Irr!AP27&lt;&gt;".",up_Irr!BN27&lt;&gt;"."),up_dir!S27/((1/1000)*(up_Irr!AP27+up_Irr!BN27)),IF(AND(up_Irr!R27=".",up_Irr!AP27=".",up_Irr!BN27&lt;&gt;"."),up_dir!S27/((1/1000)*(up_Irr!BN27)),IF(AND(up_Irr!R27=".",up_Irr!AP27&lt;&gt;".",up_Irr!BN27="."),up_dir!S27/((1/1000)*(up_Irr!AP27)),IF(AND(up_Irr!R27&lt;&gt;".",up_Irr!AP27=".",up_Irr!BN27="."),up_dir!S27/((1/1000)*(up_Irr!R27)),IF(AND(up_Irr!R27=".",up_Irr!AP27=".",up_Irr!BN27="."),up_dir!S27*1000)))))))),".")</f>
        <v>7.2351016258567334E-11</v>
      </c>
      <c r="T27" s="76">
        <f>IFERROR(IF(AND(up_Irr!S27&lt;&gt;".",up_Irr!AQ27&lt;&gt;".",up_Irr!BO27&lt;&gt;"."),up_dir!T27/((1/1000)*(up_Irr!S27+up_Irr!AQ27+up_Irr!BO27)),IF(AND(up_Irr!S27&lt;&gt;".",up_Irr!AQ27&lt;&gt;".",up_Irr!BO27="."),up_dir!T27/((1/1000)*(up_Irr!S27+up_Irr!AQ27)),IF(AND(up_Irr!S27&lt;&gt;".",up_Irr!AQ27=".",up_Irr!BO27&lt;&gt;"."),up_dir!T27/((1/1000)*(up_Irr!S27+up_Irr!BO27)),IF(AND(up_Irr!S27=".",up_Irr!AQ27&lt;&gt;".",up_Irr!BO27&lt;&gt;"."),up_dir!T27/((1/1000)*(up_Irr!AQ27+up_Irr!BO27)),IF(AND(up_Irr!S27=".",up_Irr!AQ27=".",up_Irr!BO27&lt;&gt;"."),up_dir!T27/((1/1000)*(up_Irr!BO27)),IF(AND(up_Irr!S27=".",up_Irr!AQ27&lt;&gt;".",up_Irr!BO27="."),up_dir!T27/((1/1000)*(up_Irr!AQ27)),IF(AND(up_Irr!S27&lt;&gt;".",up_Irr!AQ27=".",up_Irr!BO27="."),up_dir!T27/((1/1000)*(up_Irr!S27)),IF(AND(up_Irr!S27=".",up_Irr!AQ27=".",up_Irr!BO27="."),up_dir!T27*1000)))))))),".")</f>
        <v>7.2351016258567334E-11</v>
      </c>
      <c r="U27" s="76">
        <f>IFERROR(IF(AND(up_Irr!T27&lt;&gt;".",up_Irr!AR27&lt;&gt;".",up_Irr!BP27&lt;&gt;"."),up_dir!U27/((1/1000)*(up_Irr!T27+up_Irr!AR27+up_Irr!BP27)),IF(AND(up_Irr!T27&lt;&gt;".",up_Irr!AR27&lt;&gt;".",up_Irr!BP27="."),up_dir!U27/((1/1000)*(up_Irr!T27+up_Irr!AR27)),IF(AND(up_Irr!T27&lt;&gt;".",up_Irr!AR27=".",up_Irr!BP27&lt;&gt;"."),up_dir!U27/((1/1000)*(up_Irr!T27+up_Irr!BP27)),IF(AND(up_Irr!T27=".",up_Irr!AR27&lt;&gt;".",up_Irr!BP27&lt;&gt;"."),up_dir!U27/((1/1000)*(up_Irr!AR27+up_Irr!BP27)),IF(AND(up_Irr!T27=".",up_Irr!AR27=".",up_Irr!BP27&lt;&gt;"."),up_dir!U27/((1/1000)*(up_Irr!BP27)),IF(AND(up_Irr!T27=".",up_Irr!AR27&lt;&gt;".",up_Irr!BP27="."),up_dir!U27/((1/1000)*(up_Irr!AR27)),IF(AND(up_Irr!T27&lt;&gt;".",up_Irr!AR27=".",up_Irr!BP27="."),up_dir!U27/((1/1000)*(up_Irr!T27)),IF(AND(up_Irr!T27=".",up_Irr!AR27=".",up_Irr!BP27="."),up_dir!U27*1000)))))))),".")</f>
        <v>7.2351016258567334E-11</v>
      </c>
      <c r="V27" s="76">
        <f>IFERROR(IF(AND(up_Irr!U27&lt;&gt;".",up_Irr!AS27&lt;&gt;".",up_Irr!BQ27&lt;&gt;"."),up_dir!V27/((1/1000)*(up_Irr!U27+up_Irr!AS27+up_Irr!BQ27)),IF(AND(up_Irr!U27&lt;&gt;".",up_Irr!AS27&lt;&gt;".",up_Irr!BQ27="."),up_dir!V27/((1/1000)*(up_Irr!U27+up_Irr!AS27)),IF(AND(up_Irr!U27&lt;&gt;".",up_Irr!AS27=".",up_Irr!BQ27&lt;&gt;"."),up_dir!V27/((1/1000)*(up_Irr!U27+up_Irr!BQ27)),IF(AND(up_Irr!U27=".",up_Irr!AS27&lt;&gt;".",up_Irr!BQ27&lt;&gt;"."),up_dir!V27/((1/1000)*(up_Irr!AS27+up_Irr!BQ27)),IF(AND(up_Irr!U27=".",up_Irr!AS27=".",up_Irr!BQ27&lt;&gt;"."),up_dir!V27/((1/1000)*(up_Irr!BQ27)),IF(AND(up_Irr!U27=".",up_Irr!AS27&lt;&gt;".",up_Irr!BQ27="."),up_dir!V27/((1/1000)*(up_Irr!AS27)),IF(AND(up_Irr!U27&lt;&gt;".",up_Irr!AS27=".",up_Irr!BQ27="."),up_dir!V27/((1/1000)*(up_Irr!U27)),IF(AND(up_Irr!U27=".",up_Irr!AS27=".",up_Irr!BQ27="."),up_dir!V27*1000)))))))),".")</f>
        <v>7.2351016258567334E-11</v>
      </c>
      <c r="W27" s="76">
        <f>IFERROR(IF(AND(up_Irr!V27&lt;&gt;".",up_Irr!AT27&lt;&gt;".",up_Irr!BR27&lt;&gt;"."),up_dir!W27/((1/1000)*(up_Irr!V27+up_Irr!AT27+up_Irr!BR27)),IF(AND(up_Irr!V27&lt;&gt;".",up_Irr!AT27&lt;&gt;".",up_Irr!BR27="."),up_dir!W27/((1/1000)*(up_Irr!V27+up_Irr!AT27)),IF(AND(up_Irr!V27&lt;&gt;".",up_Irr!AT27=".",up_Irr!BR27&lt;&gt;"."),up_dir!W27/((1/1000)*(up_Irr!V27+up_Irr!BR27)),IF(AND(up_Irr!V27=".",up_Irr!AT27&lt;&gt;".",up_Irr!BR27&lt;&gt;"."),up_dir!W27/((1/1000)*(up_Irr!AT27+up_Irr!BR27)),IF(AND(up_Irr!V27=".",up_Irr!AT27=".",up_Irr!BR27&lt;&gt;"."),up_dir!W27/((1/1000)*(up_Irr!BR27)),IF(AND(up_Irr!V27=".",up_Irr!AT27&lt;&gt;".",up_Irr!BR27="."),up_dir!W27/((1/1000)*(up_Irr!AT27)),IF(AND(up_Irr!V27&lt;&gt;".",up_Irr!AT27=".",up_Irr!BR27="."),up_dir!W27/((1/1000)*(up_Irr!V27)),IF(AND(up_Irr!V27=".",up_Irr!AT27=".",up_Irr!BR27="."),up_dir!W27*1000)))))))),".")</f>
        <v>7.2351016258567334E-11</v>
      </c>
      <c r="X27" s="76">
        <f>IFERROR(IF(AND(up_Irr!W27&lt;&gt;".",up_Irr!AU27&lt;&gt;".",up_Irr!BS27&lt;&gt;"."),up_dir!X27/((1/1000)*(up_Irr!W27+up_Irr!AU27+up_Irr!BS27)),IF(AND(up_Irr!W27&lt;&gt;".",up_Irr!AU27&lt;&gt;".",up_Irr!BS27="."),up_dir!X27/((1/1000)*(up_Irr!W27+up_Irr!AU27)),IF(AND(up_Irr!W27&lt;&gt;".",up_Irr!AU27=".",up_Irr!BS27&lt;&gt;"."),up_dir!X27/((1/1000)*(up_Irr!W27+up_Irr!BS27)),IF(AND(up_Irr!W27=".",up_Irr!AU27&lt;&gt;".",up_Irr!BS27&lt;&gt;"."),up_dir!X27/((1/1000)*(up_Irr!AU27+up_Irr!BS27)),IF(AND(up_Irr!W27=".",up_Irr!AU27=".",up_Irr!BS27&lt;&gt;"."),up_dir!X27/((1/1000)*(up_Irr!BS27)),IF(AND(up_Irr!W27=".",up_Irr!AU27&lt;&gt;".",up_Irr!BS27="."),up_dir!X27/((1/1000)*(up_Irr!AU27)),IF(AND(up_Irr!W27&lt;&gt;".",up_Irr!AU27=".",up_Irr!BS27="."),up_dir!X27/((1/1000)*(up_Irr!W27)),IF(AND(up_Irr!W27=".",up_Irr!AU27=".",up_Irr!BS27="."),up_dir!X27*1000)))))))),".")</f>
        <v>7.2351016258567334E-11</v>
      </c>
      <c r="Y27" s="76">
        <f>IFERROR(IF(AND(up_Irr!X27&lt;&gt;".",up_Irr!AV27&lt;&gt;".",up_Irr!BT27&lt;&gt;"."),up_dir!Y27/((1/1000)*(up_Irr!X27+up_Irr!AV27+up_Irr!BT27)),IF(AND(up_Irr!X27&lt;&gt;".",up_Irr!AV27&lt;&gt;".",up_Irr!BT27="."),up_dir!Y27/((1/1000)*(up_Irr!X27+up_Irr!AV27)),IF(AND(up_Irr!X27&lt;&gt;".",up_Irr!AV27=".",up_Irr!BT27&lt;&gt;"."),up_dir!Y27/((1/1000)*(up_Irr!X27+up_Irr!BT27)),IF(AND(up_Irr!X27=".",up_Irr!AV27&lt;&gt;".",up_Irr!BT27&lt;&gt;"."),up_dir!Y27/((1/1000)*(up_Irr!AV27+up_Irr!BT27)),IF(AND(up_Irr!X27=".",up_Irr!AV27=".",up_Irr!BT27&lt;&gt;"."),up_dir!Y27/((1/1000)*(up_Irr!BT27)),IF(AND(up_Irr!X27=".",up_Irr!AV27&lt;&gt;".",up_Irr!BT27="."),up_dir!Y27/((1/1000)*(up_Irr!AV27)),IF(AND(up_Irr!X27&lt;&gt;".",up_Irr!AV27=".",up_Irr!BT27="."),up_dir!Y27/((1/1000)*(up_Irr!X27)),IF(AND(up_Irr!X27=".",up_Irr!AV27=".",up_Irr!BT27="."),up_dir!Y27*1000)))))))),".")</f>
        <v>7.2351016258567334E-11</v>
      </c>
      <c r="Z27" s="76">
        <f>IFERROR(IF(AND(up_Irr!Y27&lt;&gt;".",up_Irr!AW27&lt;&gt;".",up_Irr!BU27&lt;&gt;"."),up_dir!Z27/((1/1000)*(up_Irr!Y27+up_Irr!AW27+up_Irr!BU27)),IF(AND(up_Irr!Y27&lt;&gt;".",up_Irr!AW27&lt;&gt;".",up_Irr!BU27="."),up_dir!Z27/((1/1000)*(up_Irr!Y27+up_Irr!AW27)),IF(AND(up_Irr!Y27&lt;&gt;".",up_Irr!AW27=".",up_Irr!BU27&lt;&gt;"."),up_dir!Z27/((1/1000)*(up_Irr!Y27+up_Irr!BU27)),IF(AND(up_Irr!Y27=".",up_Irr!AW27&lt;&gt;".",up_Irr!BU27&lt;&gt;"."),up_dir!Z27/((1/1000)*(up_Irr!AW27+up_Irr!BU27)),IF(AND(up_Irr!Y27=".",up_Irr!AW27=".",up_Irr!BU27&lt;&gt;"."),up_dir!Z27/((1/1000)*(up_Irr!BU27)),IF(AND(up_Irr!Y27=".",up_Irr!AW27&lt;&gt;".",up_Irr!BU27="."),up_dir!Z27/((1/1000)*(up_Irr!AW27)),IF(AND(up_Irr!Y27&lt;&gt;".",up_Irr!AW27=".",up_Irr!BU27="."),up_dir!Z27/((1/1000)*(up_Irr!Y27)),IF(AND(up_Irr!Y27=".",up_Irr!AW27=".",up_Irr!BU27="."),up_dir!Z27*1000)))))))),".")</f>
        <v>7.2351016258567334E-11</v>
      </c>
      <c r="AA27" s="76">
        <f>IFERROR(IF(AND(up_Irr!Z27&lt;&gt;".",up_Irr!AX27&lt;&gt;".",up_Irr!BV27&lt;&gt;"."),up_dir!AA27/((1/1000)*(up_Irr!Z27+up_Irr!AX27+up_Irr!BV27)),IF(AND(up_Irr!Z27&lt;&gt;".",up_Irr!AX27&lt;&gt;".",up_Irr!BV27="."),up_dir!AA27/((1/1000)*(up_Irr!Z27+up_Irr!AX27)),IF(AND(up_Irr!Z27&lt;&gt;".",up_Irr!AX27=".",up_Irr!BV27&lt;&gt;"."),up_dir!AA27/((1/1000)*(up_Irr!Z27+up_Irr!BV27)),IF(AND(up_Irr!Z27=".",up_Irr!AX27&lt;&gt;".",up_Irr!BV27&lt;&gt;"."),up_dir!AA27/((1/1000)*(up_Irr!AX27+up_Irr!BV27)),IF(AND(up_Irr!Z27=".",up_Irr!AX27=".",up_Irr!BV27&lt;&gt;"."),up_dir!AA27/((1/1000)*(up_Irr!BV27)),IF(AND(up_Irr!Z27=".",up_Irr!AX27&lt;&gt;".",up_Irr!BV27="."),up_dir!AA27/((1/1000)*(up_Irr!AX27)),IF(AND(up_Irr!Z27&lt;&gt;".",up_Irr!AX27=".",up_Irr!BV27="."),up_dir!AA27/((1/1000)*(up_Irr!Z27)),IF(AND(up_Irr!Z27=".",up_Irr!AX27=".",up_Irr!BV27="."),up_dir!AA27*1000)))))))),".")</f>
        <v>7.2351016258567334E-11</v>
      </c>
      <c r="AB27" s="93">
        <f>SUM(AC27:AD27,AY27:AZ27)</f>
        <v>55286.023705663516</v>
      </c>
      <c r="AC27" s="93">
        <f>IFERROR(s_C*s_IFAP_res_adj*s_CF_apple*0.001*(up_Irr!C27+up_Irr!AA27+up_Irr!AY27),".")</f>
        <v>13821.505926415879</v>
      </c>
      <c r="AD27" s="93">
        <f>IFERROR(s_C*s_IFAS_res_adj*s_CF_asparagus*0.001*(up_Irr!D27+up_Irr!AB27+up_Irr!AZ27),".")</f>
        <v>13821.505926415879</v>
      </c>
      <c r="AE27" s="93">
        <f>IFERROR(s_C*s_IFBT_res_adj*s_CF_beet*0.001*(up_Irr!E27+up_Irr!AC27+up_Irr!BA27),".")</f>
        <v>13821.505926415879</v>
      </c>
      <c r="AF27" s="93">
        <f>IFERROR(s_C*s_IFBE_res_adj*s_CF_berries*0.001*(up_Irr!F27+up_Irr!AD27+up_Irr!BB27),".")</f>
        <v>13821.505926415879</v>
      </c>
      <c r="AG27" s="93">
        <f>IFERROR(s_C*s_IFBR_res_adj*s_CF_broccoli*0.001*(up_Irr!G27+up_Irr!AE27+up_Irr!BC27),".")</f>
        <v>13821.505926415879</v>
      </c>
      <c r="AH27" s="93">
        <f>IFERROR(s_C*s_IFCB_res_adj*s_CF_cabbage*0.001*(up_Irr!H27+up_Irr!AF27+up_Irr!BD27),".")</f>
        <v>13821.505926415879</v>
      </c>
      <c r="AI27" s="93">
        <f>IFERROR(s_C*s_IFCR_res_adj*s_CF_carrot*0.001*(up_Irr!I27+up_Irr!AG27+up_Irr!BE27),".")</f>
        <v>13821.505926415879</v>
      </c>
      <c r="AJ27" s="93">
        <f>IFERROR(s_C*s_IFCI_res_adj*s_CF_citrus*0.001*(up_Irr!J27+up_Irr!AH27+up_Irr!BF27),".")</f>
        <v>13821.505926415879</v>
      </c>
      <c r="AK27" s="93">
        <f>IFERROR(s_C*s_IFCO_res_adj*s_CF_corn*0.001*(up_Irr!K27+up_Irr!AI27+up_Irr!BG27),".")</f>
        <v>13821.505926415879</v>
      </c>
      <c r="AL27" s="93">
        <f>IFERROR(s_C*s_IFCU_res_adj*s_CF_cucumber*0.001*(up_Irr!L27+up_Irr!AJ27+up_Irr!BH27),".")</f>
        <v>13821.505926415879</v>
      </c>
      <c r="AM27" s="93">
        <f>IFERROR(s_C*s_IFLE_res_adj*s_CF_lettuce*0.001*(up_Irr!M27+up_Irr!AK27+up_Irr!BI27),".")</f>
        <v>13821.505926415879</v>
      </c>
      <c r="AN27" s="93">
        <f>IFERROR(s_C*s_IFLI_res_adj*s_CF_lima_bean*0.001*(up_Irr!N27+up_Irr!AL27+up_Irr!BJ27),".")</f>
        <v>13821.505926415879</v>
      </c>
      <c r="AO27" s="93">
        <f>IFERROR(s_C*s_IFOK_res_adj*s_CF_okra*0.001*(up_Irr!O27+up_Irr!AM27+up_Irr!BK27),".")</f>
        <v>13821.505926415879</v>
      </c>
      <c r="AP27" s="93">
        <f>IFERROR(s_C*s_IFON_res_adj*s_CF_onion*0.001*(up_Irr!P27+up_Irr!AN27+up_Irr!BL27),".")</f>
        <v>13821.505926415879</v>
      </c>
      <c r="AQ27" s="93">
        <f>IFERROR(s_C*s_IFPC_res_adj*s_CF_peach*0.001*(up_Irr!Q27+up_Irr!AO27+up_Irr!BM27),".")</f>
        <v>13821.505926415879</v>
      </c>
      <c r="AR27" s="93">
        <f>IFERROR(s_C*s_IFPR_res_adj*s_CF_pear*0.001*(up_Irr!R27+up_Irr!AP27+up_Irr!BN27),".")</f>
        <v>13821.505926415879</v>
      </c>
      <c r="AS27" s="93">
        <f>IFERROR(s_C*s_IFPE_res_adj*s_CF_peas*0.001*(up_Irr!S27+up_Irr!AQ27+up_Irr!BO27),".")</f>
        <v>13821.505926415879</v>
      </c>
      <c r="AT27" s="93">
        <f>IFERROR(s_C*s_IFPT_res_adj*s_CF_potato*0.001*(up_Irr!T27+up_Irr!AR27+up_Irr!BP27),".")</f>
        <v>13821.505926415879</v>
      </c>
      <c r="AU27" s="93">
        <f>IFERROR(s_C*s_IFPU_res_adj*s_CF_pumpkin*0.001*(up_Irr!U27+up_Irr!AS27+up_Irr!BQ27),".")</f>
        <v>13821.505926415879</v>
      </c>
      <c r="AV27" s="93">
        <f>IFERROR(s_C*s_IFSN_res_adj*s_CF_snap_bean*0.001*(up_Irr!V27+up_Irr!AT27+up_Irr!BR27),".")</f>
        <v>13821.505926415879</v>
      </c>
      <c r="AW27" s="93">
        <f>IFERROR(s_C*s_IFST_res_adj*s_CF_strawberry*0.001*(up_Irr!W27+up_Irr!AU27+up_Irr!BS27),".")</f>
        <v>13821.505926415879</v>
      </c>
      <c r="AX27" s="93">
        <f>IFERROR(s_C*s_IFTO_res_adj*s_CF_tomato*0.001*(up_Irr!X27+up_Irr!AV27+up_Irr!BT27),".")</f>
        <v>13821.505926415879</v>
      </c>
      <c r="AY27" s="93">
        <f>IFERROR(s_C*s_IFRI_res_adj*s_CF_rice*0.001*(up_Irr!Y27+up_Irr!AW27+up_Irr!BU27),".")</f>
        <v>13821.505926415879</v>
      </c>
      <c r="AZ27" s="93">
        <f>IFERROR(s_C*s_IFCG_res_adj*s_CF_cereal*0.001*(up_Irr!Z27+up_Irr!AX27+up_Irr!BV27),".")</f>
        <v>13821.505926415879</v>
      </c>
      <c r="BA27" s="76">
        <f t="shared" si="12"/>
        <v>1.8087754064641833E-11</v>
      </c>
      <c r="BB27" s="76">
        <f>IFERROR(IF(AND(up_Irr!C27&lt;&gt;".",up_Irr!AA27&lt;&gt;".",up_Irr!AY27&lt;&gt;"."),up_dir!AC27/((1/1000)*(up_Irr!C27+up_Irr!AA27+up_Irr!AY27)),IF(AND(up_Irr!C27&lt;&gt;".",up_Irr!AA27&lt;&gt;".",up_Irr!AY27="."),up_dir!AC27/((1/1000)*(up_Irr!C27+up_Irr!AA27)),IF(AND(up_Irr!C27&lt;&gt;".",up_Irr!AA27=".",up_Irr!AY27&lt;&gt;"."),up_dir!AC27/((1/1000)*(up_Irr!C27+up_Irr!AY27)),IF(AND(up_Irr!C27=".",up_Irr!AA27&lt;&gt;".",up_Irr!AY27&lt;&gt;"."),up_dir!AC27/((1/1000)*(up_Irr!AA27+up_Irr!AY27)),IF(AND(up_Irr!C27=".",up_Irr!AA27=".",up_Irr!AY27&lt;&gt;"."),up_dir!AC27/((1/1000)*(up_Irr!AY27)),IF(AND(up_Irr!C27=".",up_Irr!AA27&lt;&gt;".",up_Irr!AY27="."),up_dir!AC27/((1/1000)*(up_Irr!AA27)),IF(AND(up_Irr!C27&lt;&gt;".",up_Irr!AA27=".",up_Irr!AY27="."),up_dir!AC27/((1/1000)*(up_Irr!C27)),IF(AND(up_Irr!C27=".",up_Irr!AA27=".",up_Irr!AY27="."),up_dir!AC27*1000)))))))),".")</f>
        <v>7.2351016258567334E-11</v>
      </c>
      <c r="BC27" s="76">
        <f>IFERROR(IF(AND(up_Irr!D27&lt;&gt;".",up_Irr!AB27&lt;&gt;".",up_Irr!AZ27&lt;&gt;"."),up_dir!AD27/((1/1000)*(up_Irr!D27+up_Irr!AB27+up_Irr!AZ27)),IF(AND(up_Irr!D27&lt;&gt;".",up_Irr!AB27&lt;&gt;".",up_Irr!AZ27="."),up_dir!AD27/((1/1000)*(up_Irr!D27+up_Irr!AB27)),IF(AND(up_Irr!D27&lt;&gt;".",up_Irr!AB27=".",up_Irr!AZ27&lt;&gt;"."),up_dir!AD27/((1/1000)*(up_Irr!D27+up_Irr!AZ27)),IF(AND(up_Irr!D27=".",up_Irr!AB27&lt;&gt;".",up_Irr!AZ27&lt;&gt;"."),up_dir!AD27/((1/1000)*(up_Irr!AB27+up_Irr!AZ27)),IF(AND(up_Irr!D27=".",up_Irr!AB27=".",up_Irr!AZ27&lt;&gt;"."),up_dir!AD27/((1/1000)*(up_Irr!AZ27)),IF(AND(up_Irr!D27=".",up_Irr!AB27&lt;&gt;".",up_Irr!AZ27="."),up_dir!AD27/((1/1000)*(up_Irr!AB27)),IF(AND(up_Irr!D27&lt;&gt;".",up_Irr!AB27=".",up_Irr!AZ27="."),up_dir!AD27/((1/1000)*(up_Irr!D27)),IF(AND(up_Irr!D27=".",up_Irr!AB27=".",up_Irr!AZ27="."),up_dir!AD27*1000)))))))),".")</f>
        <v>7.2351016258567334E-11</v>
      </c>
      <c r="BD27" s="76">
        <f>IFERROR(IF(AND(up_Irr!E27&lt;&gt;".",up_Irr!AC27&lt;&gt;".",up_Irr!BA27&lt;&gt;"."),up_dir!AE27/((1/1000)*(up_Irr!E27+up_Irr!AC27+up_Irr!BA27)),IF(AND(up_Irr!E27&lt;&gt;".",up_Irr!AC27&lt;&gt;".",up_Irr!BA27="."),up_dir!AE27/((1/1000)*(up_Irr!E27+up_Irr!AC27)),IF(AND(up_Irr!E27&lt;&gt;".",up_Irr!AC27=".",up_Irr!BA27&lt;&gt;"."),up_dir!AE27/((1/1000)*(up_Irr!E27+up_Irr!BA27)),IF(AND(up_Irr!E27=".",up_Irr!AC27&lt;&gt;".",up_Irr!BA27&lt;&gt;"."),up_dir!AE27/((1/1000)*(up_Irr!AC27+up_Irr!BA27)),IF(AND(up_Irr!E27=".",up_Irr!AC27=".",up_Irr!BA27&lt;&gt;"."),up_dir!AE27/((1/1000)*(up_Irr!BA27)),IF(AND(up_Irr!E27=".",up_Irr!AC27&lt;&gt;".",up_Irr!BA27="."),up_dir!AE27/((1/1000)*(up_Irr!AC27)),IF(AND(up_Irr!E27&lt;&gt;".",up_Irr!AC27=".",up_Irr!BA27="."),up_dir!AE27/((1/1000)*(up_Irr!E27)),IF(AND(up_Irr!E27=".",up_Irr!AC27=".",up_Irr!BA27="."),up_dir!AE27*1000)))))))),".")</f>
        <v>7.2351016258567334E-11</v>
      </c>
      <c r="BE27" s="76">
        <f>IFERROR(IF(AND(up_Irr!F27&lt;&gt;".",up_Irr!AD27&lt;&gt;".",up_Irr!BB27&lt;&gt;"."),up_dir!AF27/((1/1000)*(up_Irr!F27+up_Irr!AD27+up_Irr!BB27)),IF(AND(up_Irr!F27&lt;&gt;".",up_Irr!AD27&lt;&gt;".",up_Irr!BB27="."),up_dir!AF27/((1/1000)*(up_Irr!F27+up_Irr!AD27)),IF(AND(up_Irr!F27&lt;&gt;".",up_Irr!AD27=".",up_Irr!BB27&lt;&gt;"."),up_dir!AF27/((1/1000)*(up_Irr!F27+up_Irr!BB27)),IF(AND(up_Irr!F27=".",up_Irr!AD27&lt;&gt;".",up_Irr!BB27&lt;&gt;"."),up_dir!AF27/((1/1000)*(up_Irr!AD27+up_Irr!BB27)),IF(AND(up_Irr!F27=".",up_Irr!AD27=".",up_Irr!BB27&lt;&gt;"."),up_dir!AF27/((1/1000)*(up_Irr!BB27)),IF(AND(up_Irr!F27=".",up_Irr!AD27&lt;&gt;".",up_Irr!BB27="."),up_dir!AF27/((1/1000)*(up_Irr!AD27)),IF(AND(up_Irr!F27&lt;&gt;".",up_Irr!AD27=".",up_Irr!BB27="."),up_dir!AF27/((1/1000)*(up_Irr!F27)),IF(AND(up_Irr!F27=".",up_Irr!AD27=".",up_Irr!BB27="."),up_dir!AF27*1000)))))))),".")</f>
        <v>7.2351016258567334E-11</v>
      </c>
      <c r="BF27" s="76">
        <f>IFERROR(IF(AND(up_Irr!G27&lt;&gt;".",up_Irr!AE27&lt;&gt;".",up_Irr!BC27&lt;&gt;"."),up_dir!AG27/((1/1000)*(up_Irr!G27+up_Irr!AE27+up_Irr!BC27)),IF(AND(up_Irr!G27&lt;&gt;".",up_Irr!AE27&lt;&gt;".",up_Irr!BC27="."),up_dir!AG27/((1/1000)*(up_Irr!G27+up_Irr!AE27)),IF(AND(up_Irr!G27&lt;&gt;".",up_Irr!AE27=".",up_Irr!BC27&lt;&gt;"."),up_dir!AG27/((1/1000)*(up_Irr!G27+up_Irr!BC27)),IF(AND(up_Irr!G27=".",up_Irr!AE27&lt;&gt;".",up_Irr!BC27&lt;&gt;"."),up_dir!AG27/((1/1000)*(up_Irr!AE27+up_Irr!BC27)),IF(AND(up_Irr!G27=".",up_Irr!AE27=".",up_Irr!BC27&lt;&gt;"."),up_dir!AG27/((1/1000)*(up_Irr!BC27)),IF(AND(up_Irr!G27=".",up_Irr!AE27&lt;&gt;".",up_Irr!BC27="."),up_dir!AG27/((1/1000)*(up_Irr!AE27)),IF(AND(up_Irr!G27&lt;&gt;".",up_Irr!AE27=".",up_Irr!BC27="."),up_dir!AG27/((1/1000)*(up_Irr!G27)),IF(AND(up_Irr!G27=".",up_Irr!AE27=".",up_Irr!BC27="."),up_dir!AG27*1000)))))))),".")</f>
        <v>7.2351016258567334E-11</v>
      </c>
      <c r="BG27" s="76">
        <f>IFERROR(IF(AND(up_Irr!H27&lt;&gt;".",up_Irr!AF27&lt;&gt;".",up_Irr!BD27&lt;&gt;"."),up_dir!AH27/((1/1000)*(up_Irr!H27+up_Irr!AF27+up_Irr!BD27)),IF(AND(up_Irr!H27&lt;&gt;".",up_Irr!AF27&lt;&gt;".",up_Irr!BD27="."),up_dir!AH27/((1/1000)*(up_Irr!H27+up_Irr!AF27)),IF(AND(up_Irr!H27&lt;&gt;".",up_Irr!AF27=".",up_Irr!BD27&lt;&gt;"."),up_dir!AH27/((1/1000)*(up_Irr!H27+up_Irr!BD27)),IF(AND(up_Irr!H27=".",up_Irr!AF27&lt;&gt;".",up_Irr!BD27&lt;&gt;"."),up_dir!AH27/((1/1000)*(up_Irr!AF27+up_Irr!BD27)),IF(AND(up_Irr!H27=".",up_Irr!AF27=".",up_Irr!BD27&lt;&gt;"."),up_dir!AH27/((1/1000)*(up_Irr!BD27)),IF(AND(up_Irr!H27=".",up_Irr!AF27&lt;&gt;".",up_Irr!BD27="."),up_dir!AH27/((1/1000)*(up_Irr!AF27)),IF(AND(up_Irr!H27&lt;&gt;".",up_Irr!AF27=".",up_Irr!BD27="."),up_dir!AH27/((1/1000)*(up_Irr!H27)),IF(AND(up_Irr!H27=".",up_Irr!AF27=".",up_Irr!BD27="."),up_dir!AH27*1000)))))))),".")</f>
        <v>7.2351016258567334E-11</v>
      </c>
      <c r="BH27" s="76">
        <f>IFERROR(IF(AND(up_Irr!I27&lt;&gt;".",up_Irr!AG27&lt;&gt;".",up_Irr!BE27&lt;&gt;"."),up_dir!AI27/((1/1000)*(up_Irr!I27+up_Irr!AG27+up_Irr!BE27)),IF(AND(up_Irr!I27&lt;&gt;".",up_Irr!AG27&lt;&gt;".",up_Irr!BE27="."),up_dir!AI27/((1/1000)*(up_Irr!I27+up_Irr!AG27)),IF(AND(up_Irr!I27&lt;&gt;".",up_Irr!AG27=".",up_Irr!BE27&lt;&gt;"."),up_dir!AI27/((1/1000)*(up_Irr!I27+up_Irr!BE27)),IF(AND(up_Irr!I27=".",up_Irr!AG27&lt;&gt;".",up_Irr!BE27&lt;&gt;"."),up_dir!AI27/((1/1000)*(up_Irr!AG27+up_Irr!BE27)),IF(AND(up_Irr!I27=".",up_Irr!AG27=".",up_Irr!BE27&lt;&gt;"."),up_dir!AI27/((1/1000)*(up_Irr!BE27)),IF(AND(up_Irr!I27=".",up_Irr!AG27&lt;&gt;".",up_Irr!BE27="."),up_dir!AI27/((1/1000)*(up_Irr!AG27)),IF(AND(up_Irr!I27&lt;&gt;".",up_Irr!AG27=".",up_Irr!BE27="."),up_dir!AI27/((1/1000)*(up_Irr!I27)),IF(AND(up_Irr!I27=".",up_Irr!AG27=".",up_Irr!BE27="."),up_dir!AI27*1000)))))))),".")</f>
        <v>7.2351016258567334E-11</v>
      </c>
      <c r="BI27" s="76">
        <f>IFERROR(IF(AND(up_Irr!J27&lt;&gt;".",up_Irr!AH27&lt;&gt;".",up_Irr!BF27&lt;&gt;"."),up_dir!AJ27/((1/1000)*(up_Irr!J27+up_Irr!AH27+up_Irr!BF27)),IF(AND(up_Irr!J27&lt;&gt;".",up_Irr!AH27&lt;&gt;".",up_Irr!BF27="."),up_dir!AJ27/((1/1000)*(up_Irr!J27+up_Irr!AH27)),IF(AND(up_Irr!J27&lt;&gt;".",up_Irr!AH27=".",up_Irr!BF27&lt;&gt;"."),up_dir!AJ27/((1/1000)*(up_Irr!J27+up_Irr!BF27)),IF(AND(up_Irr!J27=".",up_Irr!AH27&lt;&gt;".",up_Irr!BF27&lt;&gt;"."),up_dir!AJ27/((1/1000)*(up_Irr!AH27+up_Irr!BF27)),IF(AND(up_Irr!J27=".",up_Irr!AH27=".",up_Irr!BF27&lt;&gt;"."),up_dir!AJ27/((1/1000)*(up_Irr!BF27)),IF(AND(up_Irr!J27=".",up_Irr!AH27&lt;&gt;".",up_Irr!BF27="."),up_dir!AJ27/((1/1000)*(up_Irr!AH27)),IF(AND(up_Irr!J27&lt;&gt;".",up_Irr!AH27=".",up_Irr!BF27="."),up_dir!AJ27/((1/1000)*(up_Irr!J27)),IF(AND(up_Irr!J27=".",up_Irr!AH27=".",up_Irr!BF27="."),up_dir!AJ27*1000)))))))),".")</f>
        <v>7.2351016258567334E-11</v>
      </c>
      <c r="BJ27" s="76">
        <f>IFERROR(IF(AND(up_Irr!K27&lt;&gt;".",up_Irr!AI27&lt;&gt;".",up_Irr!BG27&lt;&gt;"."),up_dir!AK27/((1/1000)*(up_Irr!K27+up_Irr!AI27+up_Irr!BG27)),IF(AND(up_Irr!K27&lt;&gt;".",up_Irr!AI27&lt;&gt;".",up_Irr!BG27="."),up_dir!AK27/((1/1000)*(up_Irr!K27+up_Irr!AI27)),IF(AND(up_Irr!K27&lt;&gt;".",up_Irr!AI27=".",up_Irr!BG27&lt;&gt;"."),up_dir!AK27/((1/1000)*(up_Irr!K27+up_Irr!BG27)),IF(AND(up_Irr!K27=".",up_Irr!AI27&lt;&gt;".",up_Irr!BG27&lt;&gt;"."),up_dir!AK27/((1/1000)*(up_Irr!AI27+up_Irr!BG27)),IF(AND(up_Irr!K27=".",up_Irr!AI27=".",up_Irr!BG27&lt;&gt;"."),up_dir!AK27/((1/1000)*(up_Irr!BG27)),IF(AND(up_Irr!K27=".",up_Irr!AI27&lt;&gt;".",up_Irr!BG27="."),up_dir!AK27/((1/1000)*(up_Irr!AI27)),IF(AND(up_Irr!K27&lt;&gt;".",up_Irr!AI27=".",up_Irr!BG27="."),up_dir!AK27/((1/1000)*(up_Irr!K27)),IF(AND(up_Irr!K27=".",up_Irr!AI27=".",up_Irr!BG27="."),up_dir!AK27*1000)))))))),".")</f>
        <v>7.2351016258567334E-11</v>
      </c>
      <c r="BK27" s="76">
        <f>IFERROR(IF(AND(up_Irr!L27&lt;&gt;".",up_Irr!AJ27&lt;&gt;".",up_Irr!BH27&lt;&gt;"."),up_dir!AL27/((1/1000)*(up_Irr!L27+up_Irr!AJ27+up_Irr!BH27)),IF(AND(up_Irr!L27&lt;&gt;".",up_Irr!AJ27&lt;&gt;".",up_Irr!BH27="."),up_dir!AL27/((1/1000)*(up_Irr!L27+up_Irr!AJ27)),IF(AND(up_Irr!L27&lt;&gt;".",up_Irr!AJ27=".",up_Irr!BH27&lt;&gt;"."),up_dir!AL27/((1/1000)*(up_Irr!L27+up_Irr!BH27)),IF(AND(up_Irr!L27=".",up_Irr!AJ27&lt;&gt;".",up_Irr!BH27&lt;&gt;"."),up_dir!AL27/((1/1000)*(up_Irr!AJ27+up_Irr!BH27)),IF(AND(up_Irr!L27=".",up_Irr!AJ27=".",up_Irr!BH27&lt;&gt;"."),up_dir!AL27/((1/1000)*(up_Irr!BH27)),IF(AND(up_Irr!L27=".",up_Irr!AJ27&lt;&gt;".",up_Irr!BH27="."),up_dir!AL27/((1/1000)*(up_Irr!AJ27)),IF(AND(up_Irr!L27&lt;&gt;".",up_Irr!AJ27=".",up_Irr!BH27="."),up_dir!AL27/((1/1000)*(up_Irr!L27)),IF(AND(up_Irr!L27=".",up_Irr!AJ27=".",up_Irr!BH27="."),up_dir!AL27*1000)))))))),".")</f>
        <v>7.2351016258567334E-11</v>
      </c>
      <c r="BL27" s="76">
        <f>IFERROR(IF(AND(up_Irr!M27&lt;&gt;".",up_Irr!AK27&lt;&gt;".",up_Irr!BI27&lt;&gt;"."),up_dir!AM27/((1/1000)*(up_Irr!M27+up_Irr!AK27+up_Irr!BI27)),IF(AND(up_Irr!M27&lt;&gt;".",up_Irr!AK27&lt;&gt;".",up_Irr!BI27="."),up_dir!AM27/((1/1000)*(up_Irr!M27+up_Irr!AK27)),IF(AND(up_Irr!M27&lt;&gt;".",up_Irr!AK27=".",up_Irr!BI27&lt;&gt;"."),up_dir!AM27/((1/1000)*(up_Irr!M27+up_Irr!BI27)),IF(AND(up_Irr!M27=".",up_Irr!AK27&lt;&gt;".",up_Irr!BI27&lt;&gt;"."),up_dir!AM27/((1/1000)*(up_Irr!AK27+up_Irr!BI27)),IF(AND(up_Irr!M27=".",up_Irr!AK27=".",up_Irr!BI27&lt;&gt;"."),up_dir!AM27/((1/1000)*(up_Irr!BI27)),IF(AND(up_Irr!M27=".",up_Irr!AK27&lt;&gt;".",up_Irr!BI27="."),up_dir!AM27/((1/1000)*(up_Irr!AK27)),IF(AND(up_Irr!M27&lt;&gt;".",up_Irr!AK27=".",up_Irr!BI27="."),up_dir!AM27/((1/1000)*(up_Irr!M27)),IF(AND(up_Irr!M27=".",up_Irr!AK27=".",up_Irr!BI27="."),up_dir!AM27*1000)))))))),".")</f>
        <v>7.2351016258567334E-11</v>
      </c>
      <c r="BM27" s="76">
        <f>IFERROR(IF(AND(up_Irr!N27&lt;&gt;".",up_Irr!AL27&lt;&gt;".",up_Irr!BJ27&lt;&gt;"."),up_dir!AN27/((1/1000)*(up_Irr!N27+up_Irr!AL27+up_Irr!BJ27)),IF(AND(up_Irr!N27&lt;&gt;".",up_Irr!AL27&lt;&gt;".",up_Irr!BJ27="."),up_dir!AN27/((1/1000)*(up_Irr!N27+up_Irr!AL27)),IF(AND(up_Irr!N27&lt;&gt;".",up_Irr!AL27=".",up_Irr!BJ27&lt;&gt;"."),up_dir!AN27/((1/1000)*(up_Irr!N27+up_Irr!BJ27)),IF(AND(up_Irr!N27=".",up_Irr!AL27&lt;&gt;".",up_Irr!BJ27&lt;&gt;"."),up_dir!AN27/((1/1000)*(up_Irr!AL27+up_Irr!BJ27)),IF(AND(up_Irr!N27=".",up_Irr!AL27=".",up_Irr!BJ27&lt;&gt;"."),up_dir!AN27/((1/1000)*(up_Irr!BJ27)),IF(AND(up_Irr!N27=".",up_Irr!AL27&lt;&gt;".",up_Irr!BJ27="."),up_dir!AN27/((1/1000)*(up_Irr!AL27)),IF(AND(up_Irr!N27&lt;&gt;".",up_Irr!AL27=".",up_Irr!BJ27="."),up_dir!AN27/((1/1000)*(up_Irr!N27)),IF(AND(up_Irr!N27=".",up_Irr!AL27=".",up_Irr!BJ27="."),up_dir!AN27*1000)))))))),".")</f>
        <v>7.2351016258567334E-11</v>
      </c>
      <c r="BN27" s="76">
        <f>IFERROR(IF(AND(up_Irr!O27&lt;&gt;".",up_Irr!AM27&lt;&gt;".",up_Irr!BK27&lt;&gt;"."),up_dir!AO27/((1/1000)*(up_Irr!O27+up_Irr!AM27+up_Irr!BK27)),IF(AND(up_Irr!O27&lt;&gt;".",up_Irr!AM27&lt;&gt;".",up_Irr!BK27="."),up_dir!AO27/((1/1000)*(up_Irr!O27+up_Irr!AM27)),IF(AND(up_Irr!O27&lt;&gt;".",up_Irr!AM27=".",up_Irr!BK27&lt;&gt;"."),up_dir!AO27/((1/1000)*(up_Irr!O27+up_Irr!BK27)),IF(AND(up_Irr!O27=".",up_Irr!AM27&lt;&gt;".",up_Irr!BK27&lt;&gt;"."),up_dir!AO27/((1/1000)*(up_Irr!AM27+up_Irr!BK27)),IF(AND(up_Irr!O27=".",up_Irr!AM27=".",up_Irr!BK27&lt;&gt;"."),up_dir!AO27/((1/1000)*(up_Irr!BK27)),IF(AND(up_Irr!O27=".",up_Irr!AM27&lt;&gt;".",up_Irr!BK27="."),up_dir!AO27/((1/1000)*(up_Irr!AM27)),IF(AND(up_Irr!O27&lt;&gt;".",up_Irr!AM27=".",up_Irr!BK27="."),up_dir!AO27/((1/1000)*(up_Irr!O27)),IF(AND(up_Irr!O27=".",up_Irr!AM27=".",up_Irr!BK27="."),up_dir!AO27*1000)))))))),".")</f>
        <v>7.2351016258567334E-11</v>
      </c>
      <c r="BO27" s="76">
        <f>IFERROR(IF(AND(up_Irr!P27&lt;&gt;".",up_Irr!AN27&lt;&gt;".",up_Irr!BL27&lt;&gt;"."),up_dir!AP27/((1/1000)*(up_Irr!P27+up_Irr!AN27+up_Irr!BL27)),IF(AND(up_Irr!P27&lt;&gt;".",up_Irr!AN27&lt;&gt;".",up_Irr!BL27="."),up_dir!AP27/((1/1000)*(up_Irr!P27+up_Irr!AN27)),IF(AND(up_Irr!P27&lt;&gt;".",up_Irr!AN27=".",up_Irr!BL27&lt;&gt;"."),up_dir!AP27/((1/1000)*(up_Irr!P27+up_Irr!BL27)),IF(AND(up_Irr!P27=".",up_Irr!AN27&lt;&gt;".",up_Irr!BL27&lt;&gt;"."),up_dir!AP27/((1/1000)*(up_Irr!AN27+up_Irr!BL27)),IF(AND(up_Irr!P27=".",up_Irr!AN27=".",up_Irr!BL27&lt;&gt;"."),up_dir!AP27/((1/1000)*(up_Irr!BL27)),IF(AND(up_Irr!P27=".",up_Irr!AN27&lt;&gt;".",up_Irr!BL27="."),up_dir!AP27/((1/1000)*(up_Irr!AN27)),IF(AND(up_Irr!P27&lt;&gt;".",up_Irr!AN27=".",up_Irr!BL27="."),up_dir!AP27/((1/1000)*(up_Irr!P27)),IF(AND(up_Irr!P27=".",up_Irr!AN27=".",up_Irr!BL27="."),up_dir!AP27*1000)))))))),".")</f>
        <v>7.2351016258567334E-11</v>
      </c>
      <c r="BP27" s="76">
        <f>IFERROR(IF(AND(up_Irr!Q27&lt;&gt;".",up_Irr!AO27&lt;&gt;".",up_Irr!BM27&lt;&gt;"."),up_dir!AQ27/((1/1000)*(up_Irr!Q27+up_Irr!AO27+up_Irr!BM27)),IF(AND(up_Irr!Q27&lt;&gt;".",up_Irr!AO27&lt;&gt;".",up_Irr!BM27="."),up_dir!AQ27/((1/1000)*(up_Irr!Q27+up_Irr!AO27)),IF(AND(up_Irr!Q27&lt;&gt;".",up_Irr!AO27=".",up_Irr!BM27&lt;&gt;"."),up_dir!AQ27/((1/1000)*(up_Irr!Q27+up_Irr!BM27)),IF(AND(up_Irr!Q27=".",up_Irr!AO27&lt;&gt;".",up_Irr!BM27&lt;&gt;"."),up_dir!AQ27/((1/1000)*(up_Irr!AO27+up_Irr!BM27)),IF(AND(up_Irr!Q27=".",up_Irr!AO27=".",up_Irr!BM27&lt;&gt;"."),up_dir!AQ27/((1/1000)*(up_Irr!BM27)),IF(AND(up_Irr!Q27=".",up_Irr!AO27&lt;&gt;".",up_Irr!BM27="."),up_dir!AQ27/((1/1000)*(up_Irr!AO27)),IF(AND(up_Irr!Q27&lt;&gt;".",up_Irr!AO27=".",up_Irr!BM27="."),up_dir!AQ27/((1/1000)*(up_Irr!Q27)),IF(AND(up_Irr!Q27=".",up_Irr!AO27=".",up_Irr!BM27="."),up_dir!AQ27*1000)))))))),".")</f>
        <v>7.2351016258567334E-11</v>
      </c>
      <c r="BQ27" s="76">
        <f>IFERROR(IF(AND(up_Irr!R27&lt;&gt;".",up_Irr!AP27&lt;&gt;".",up_Irr!BN27&lt;&gt;"."),up_dir!AR27/((1/1000)*(up_Irr!R27+up_Irr!AP27+up_Irr!BN27)),IF(AND(up_Irr!R27&lt;&gt;".",up_Irr!AP27&lt;&gt;".",up_Irr!BN27="."),up_dir!AR27/((1/1000)*(up_Irr!R27+up_Irr!AP27)),IF(AND(up_Irr!R27&lt;&gt;".",up_Irr!AP27=".",up_Irr!BN27&lt;&gt;"."),up_dir!AR27/((1/1000)*(up_Irr!R27+up_Irr!BN27)),IF(AND(up_Irr!R27=".",up_Irr!AP27&lt;&gt;".",up_Irr!BN27&lt;&gt;"."),up_dir!AR27/((1/1000)*(up_Irr!AP27+up_Irr!BN27)),IF(AND(up_Irr!R27=".",up_Irr!AP27=".",up_Irr!BN27&lt;&gt;"."),up_dir!AR27/((1/1000)*(up_Irr!BN27)),IF(AND(up_Irr!R27=".",up_Irr!AP27&lt;&gt;".",up_Irr!BN27="."),up_dir!AR27/((1/1000)*(up_Irr!AP27)),IF(AND(up_Irr!R27&lt;&gt;".",up_Irr!AP27=".",up_Irr!BN27="."),up_dir!AR27/((1/1000)*(up_Irr!R27)),IF(AND(up_Irr!R27=".",up_Irr!AP27=".",up_Irr!BN27="."),up_dir!AR27*1000)))))))),".")</f>
        <v>7.2351016258567334E-11</v>
      </c>
      <c r="BR27" s="76">
        <f>IFERROR(IF(AND(up_Irr!S27&lt;&gt;".",up_Irr!AQ27&lt;&gt;".",up_Irr!BO27&lt;&gt;"."),up_dir!AS27/((1/1000)*(up_Irr!S27+up_Irr!AQ27+up_Irr!BO27)),IF(AND(up_Irr!S27&lt;&gt;".",up_Irr!AQ27&lt;&gt;".",up_Irr!BO27="."),up_dir!AS27/((1/1000)*(up_Irr!S27+up_Irr!AQ27)),IF(AND(up_Irr!S27&lt;&gt;".",up_Irr!AQ27=".",up_Irr!BO27&lt;&gt;"."),up_dir!AS27/((1/1000)*(up_Irr!S27+up_Irr!BO27)),IF(AND(up_Irr!S27=".",up_Irr!AQ27&lt;&gt;".",up_Irr!BO27&lt;&gt;"."),up_dir!AS27/((1/1000)*(up_Irr!AQ27+up_Irr!BO27)),IF(AND(up_Irr!S27=".",up_Irr!AQ27=".",up_Irr!BO27&lt;&gt;"."),up_dir!AS27/((1/1000)*(up_Irr!BO27)),IF(AND(up_Irr!S27=".",up_Irr!AQ27&lt;&gt;".",up_Irr!BO27="."),up_dir!AS27/((1/1000)*(up_Irr!AQ27)),IF(AND(up_Irr!S27&lt;&gt;".",up_Irr!AQ27=".",up_Irr!BO27="."),up_dir!AS27/((1/1000)*(up_Irr!S27)),IF(AND(up_Irr!S27=".",up_Irr!AQ27=".",up_Irr!BO27="."),up_dir!AS27*1000)))))))),".")</f>
        <v>7.2351016258567334E-11</v>
      </c>
      <c r="BS27" s="76">
        <f>IFERROR(IF(AND(up_Irr!T27&lt;&gt;".",up_Irr!AR27&lt;&gt;".",up_Irr!BP27&lt;&gt;"."),up_dir!AT27/((1/1000)*(up_Irr!T27+up_Irr!AR27+up_Irr!BP27)),IF(AND(up_Irr!T27&lt;&gt;".",up_Irr!AR27&lt;&gt;".",up_Irr!BP27="."),up_dir!AT27/((1/1000)*(up_Irr!T27+up_Irr!AR27)),IF(AND(up_Irr!T27&lt;&gt;".",up_Irr!AR27=".",up_Irr!BP27&lt;&gt;"."),up_dir!AT27/((1/1000)*(up_Irr!T27+up_Irr!BP27)),IF(AND(up_Irr!T27=".",up_Irr!AR27&lt;&gt;".",up_Irr!BP27&lt;&gt;"."),up_dir!AT27/((1/1000)*(up_Irr!AR27+up_Irr!BP27)),IF(AND(up_Irr!T27=".",up_Irr!AR27=".",up_Irr!BP27&lt;&gt;"."),up_dir!AT27/((1/1000)*(up_Irr!BP27)),IF(AND(up_Irr!T27=".",up_Irr!AR27&lt;&gt;".",up_Irr!BP27="."),up_dir!AT27/((1/1000)*(up_Irr!AR27)),IF(AND(up_Irr!T27&lt;&gt;".",up_Irr!AR27=".",up_Irr!BP27="."),up_dir!AT27/((1/1000)*(up_Irr!T27)),IF(AND(up_Irr!T27=".",up_Irr!AR27=".",up_Irr!BP27="."),up_dir!AT27*1000)))))))),".")</f>
        <v>7.2351016258567334E-11</v>
      </c>
      <c r="BT27" s="76">
        <f>IFERROR(IF(AND(up_Irr!U27&lt;&gt;".",up_Irr!AS27&lt;&gt;".",up_Irr!BQ27&lt;&gt;"."),up_dir!AU27/((1/1000)*(up_Irr!U27+up_Irr!AS27+up_Irr!BQ27)),IF(AND(up_Irr!U27&lt;&gt;".",up_Irr!AS27&lt;&gt;".",up_Irr!BQ27="."),up_dir!AU27/((1/1000)*(up_Irr!U27+up_Irr!AS27)),IF(AND(up_Irr!U27&lt;&gt;".",up_Irr!AS27=".",up_Irr!BQ27&lt;&gt;"."),up_dir!AU27/((1/1000)*(up_Irr!U27+up_Irr!BQ27)),IF(AND(up_Irr!U27=".",up_Irr!AS27&lt;&gt;".",up_Irr!BQ27&lt;&gt;"."),up_dir!AU27/((1/1000)*(up_Irr!AS27+up_Irr!BQ27)),IF(AND(up_Irr!U27=".",up_Irr!AS27=".",up_Irr!BQ27&lt;&gt;"."),up_dir!AU27/((1/1000)*(up_Irr!BQ27)),IF(AND(up_Irr!U27=".",up_Irr!AS27&lt;&gt;".",up_Irr!BQ27="."),up_dir!AU27/((1/1000)*(up_Irr!AS27)),IF(AND(up_Irr!U27&lt;&gt;".",up_Irr!AS27=".",up_Irr!BQ27="."),up_dir!AU27/((1/1000)*(up_Irr!U27)),IF(AND(up_Irr!U27=".",up_Irr!AS27=".",up_Irr!BQ27="."),up_dir!AU27*1000)))))))),".")</f>
        <v>7.2351016258567334E-11</v>
      </c>
      <c r="BU27" s="76">
        <f>IFERROR(IF(AND(up_Irr!V27&lt;&gt;".",up_Irr!AT27&lt;&gt;".",up_Irr!BR27&lt;&gt;"."),up_dir!AV27/((1/1000)*(up_Irr!V27+up_Irr!AT27+up_Irr!BR27)),IF(AND(up_Irr!V27&lt;&gt;".",up_Irr!AT27&lt;&gt;".",up_Irr!BR27="."),up_dir!AV27/((1/1000)*(up_Irr!V27+up_Irr!AT27)),IF(AND(up_Irr!V27&lt;&gt;".",up_Irr!AT27=".",up_Irr!BR27&lt;&gt;"."),up_dir!AV27/((1/1000)*(up_Irr!V27+up_Irr!BR27)),IF(AND(up_Irr!V27=".",up_Irr!AT27&lt;&gt;".",up_Irr!BR27&lt;&gt;"."),up_dir!AV27/((1/1000)*(up_Irr!AT27+up_Irr!BR27)),IF(AND(up_Irr!V27=".",up_Irr!AT27=".",up_Irr!BR27&lt;&gt;"."),up_dir!AV27/((1/1000)*(up_Irr!BR27)),IF(AND(up_Irr!V27=".",up_Irr!AT27&lt;&gt;".",up_Irr!BR27="."),up_dir!AV27/((1/1000)*(up_Irr!AT27)),IF(AND(up_Irr!V27&lt;&gt;".",up_Irr!AT27=".",up_Irr!BR27="."),up_dir!AV27/((1/1000)*(up_Irr!V27)),IF(AND(up_Irr!V27=".",up_Irr!AT27=".",up_Irr!BR27="."),up_dir!AV27*1000)))))))),".")</f>
        <v>7.2351016258567334E-11</v>
      </c>
      <c r="BV27" s="76">
        <f>IFERROR(IF(AND(up_Irr!W27&lt;&gt;".",up_Irr!AU27&lt;&gt;".",up_Irr!BS27&lt;&gt;"."),up_dir!AW27/((1/1000)*(up_Irr!W27+up_Irr!AU27+up_Irr!BS27)),IF(AND(up_Irr!W27&lt;&gt;".",up_Irr!AU27&lt;&gt;".",up_Irr!BS27="."),up_dir!AW27/((1/1000)*(up_Irr!W27+up_Irr!AU27)),IF(AND(up_Irr!W27&lt;&gt;".",up_Irr!AU27=".",up_Irr!BS27&lt;&gt;"."),up_dir!AW27/((1/1000)*(up_Irr!W27+up_Irr!BS27)),IF(AND(up_Irr!W27=".",up_Irr!AU27&lt;&gt;".",up_Irr!BS27&lt;&gt;"."),up_dir!AW27/((1/1000)*(up_Irr!AU27+up_Irr!BS27)),IF(AND(up_Irr!W27=".",up_Irr!AU27=".",up_Irr!BS27&lt;&gt;"."),up_dir!AW27/((1/1000)*(up_Irr!BS27)),IF(AND(up_Irr!W27=".",up_Irr!AU27&lt;&gt;".",up_Irr!BS27="."),up_dir!AW27/((1/1000)*(up_Irr!AU27)),IF(AND(up_Irr!W27&lt;&gt;".",up_Irr!AU27=".",up_Irr!BS27="."),up_dir!AW27/((1/1000)*(up_Irr!W27)),IF(AND(up_Irr!W27=".",up_Irr!AU27=".",up_Irr!BS27="."),up_dir!AW27*1000)))))))),".")</f>
        <v>7.2351016258567334E-11</v>
      </c>
      <c r="BW27" s="76">
        <f>IFERROR(IF(AND(up_Irr!X27&lt;&gt;".",up_Irr!AV27&lt;&gt;".",up_Irr!BT27&lt;&gt;"."),up_dir!AX27/((1/1000)*(up_Irr!X27+up_Irr!AV27+up_Irr!BT27)),IF(AND(up_Irr!X27&lt;&gt;".",up_Irr!AV27&lt;&gt;".",up_Irr!BT27="."),up_dir!AX27/((1/1000)*(up_Irr!X27+up_Irr!AV27)),IF(AND(up_Irr!X27&lt;&gt;".",up_Irr!AV27=".",up_Irr!BT27&lt;&gt;"."),up_dir!AX27/((1/1000)*(up_Irr!X27+up_Irr!BT27)),IF(AND(up_Irr!X27=".",up_Irr!AV27&lt;&gt;".",up_Irr!BT27&lt;&gt;"."),up_dir!AX27/((1/1000)*(up_Irr!AV27+up_Irr!BT27)),IF(AND(up_Irr!X27=".",up_Irr!AV27=".",up_Irr!BT27&lt;&gt;"."),up_dir!AX27/((1/1000)*(up_Irr!BT27)),IF(AND(up_Irr!X27=".",up_Irr!AV27&lt;&gt;".",up_Irr!BT27="."),up_dir!AX27/((1/1000)*(up_Irr!AV27)),IF(AND(up_Irr!X27&lt;&gt;".",up_Irr!AV27=".",up_Irr!BT27="."),up_dir!AX27/((1/1000)*(up_Irr!X27)),IF(AND(up_Irr!X27=".",up_Irr!AV27=".",up_Irr!BT27="."),up_dir!AX27*1000)))))))),".")</f>
        <v>7.2351016258567334E-11</v>
      </c>
      <c r="BX27" s="76">
        <f>IFERROR(IF(AND(up_Irr!Y27&lt;&gt;".",up_Irr!AW27&lt;&gt;".",up_Irr!BU27&lt;&gt;"."),up_dir!AY27/((1/1000)*(up_Irr!Y27+up_Irr!AW27+up_Irr!BU27)),IF(AND(up_Irr!Y27&lt;&gt;".",up_Irr!AW27&lt;&gt;".",up_Irr!BU27="."),up_dir!AY27/((1/1000)*(up_Irr!Y27+up_Irr!AW27)),IF(AND(up_Irr!Y27&lt;&gt;".",up_Irr!AW27=".",up_Irr!BU27&lt;&gt;"."),up_dir!AY27/((1/1000)*(up_Irr!Y27+up_Irr!BU27)),IF(AND(up_Irr!Y27=".",up_Irr!AW27&lt;&gt;".",up_Irr!BU27&lt;&gt;"."),up_dir!AY27/((1/1000)*(up_Irr!AW27+up_Irr!BU27)),IF(AND(up_Irr!Y27=".",up_Irr!AW27=".",up_Irr!BU27&lt;&gt;"."),up_dir!AY27/((1/1000)*(up_Irr!BU27)),IF(AND(up_Irr!Y27=".",up_Irr!AW27&lt;&gt;".",up_Irr!BU27="."),up_dir!AY27/((1/1000)*(up_Irr!AW27)),IF(AND(up_Irr!Y27&lt;&gt;".",up_Irr!AW27=".",up_Irr!BU27="."),up_dir!AY27/((1/1000)*(up_Irr!Y27)),IF(AND(up_Irr!Y27=".",up_Irr!AW27=".",up_Irr!BU27="."),up_dir!AY27*1000)))))))),".")</f>
        <v>7.2351016258567334E-11</v>
      </c>
      <c r="BY27" s="76">
        <f>IFERROR(IF(AND(up_Irr!Z27&lt;&gt;".",up_Irr!AX27&lt;&gt;".",up_Irr!BV27&lt;&gt;"."),up_dir!AZ27/((1/1000)*(up_Irr!Z27+up_Irr!AX27+up_Irr!BV27)),IF(AND(up_Irr!Z27&lt;&gt;".",up_Irr!AX27&lt;&gt;".",up_Irr!BV27="."),up_dir!AZ27/((1/1000)*(up_Irr!Z27+up_Irr!AX27)),IF(AND(up_Irr!Z27&lt;&gt;".",up_Irr!AX27=".",up_Irr!BV27&lt;&gt;"."),up_dir!AZ27/((1/1000)*(up_Irr!Z27+up_Irr!BV27)),IF(AND(up_Irr!Z27=".",up_Irr!AX27&lt;&gt;".",up_Irr!BV27&lt;&gt;"."),up_dir!AZ27/((1/1000)*(up_Irr!AX27+up_Irr!BV27)),IF(AND(up_Irr!Z27=".",up_Irr!AX27=".",up_Irr!BV27&lt;&gt;"."),up_dir!AZ27/((1/1000)*(up_Irr!BV27)),IF(AND(up_Irr!Z27=".",up_Irr!AX27&lt;&gt;".",up_Irr!BV27="."),up_dir!AZ27/((1/1000)*(up_Irr!AX27)),IF(AND(up_Irr!Z27&lt;&gt;".",up_Irr!AX27=".",up_Irr!BV27="."),up_dir!AZ27/((1/1000)*(up_Irr!Z27)),IF(AND(up_Irr!Z27=".",up_Irr!AX27=".",up_Irr!BV27="."),up_dir!AZ27*1000)))))))),".")</f>
        <v>7.2351016258567334E-11</v>
      </c>
      <c r="BZ27" s="93">
        <f>SUM(CA27:CB27,CW27:CX27)</f>
        <v>55286.023705663516</v>
      </c>
      <c r="CA27" s="93">
        <f>IFERROR(s_C*s_IFAP_far_adj*s_CF_apple*(1/1000)*(up_Irr!C27+up_Irr!AA27+up_Irr!AY27),".")</f>
        <v>13821.505926415879</v>
      </c>
      <c r="CB27" s="93">
        <f>IFERROR(s_C*s_IFAS_far_adj*s_CF_asparagus*(1/1000)*(up_Irr!D27+up_Irr!AB27+up_Irr!AZ27),".")</f>
        <v>13821.505926415879</v>
      </c>
      <c r="CC27" s="93">
        <f>IFERROR(s_C*s_IFBT_far_adj*s_CF_beet*(1/1000)*(up_Irr!E27+up_Irr!AC27+up_Irr!BA27),".")</f>
        <v>13821.505926415879</v>
      </c>
      <c r="CD27" s="93">
        <f>IFERROR(s_C*s_IFBE_far_adj*s_CF_berries*(1/1000)*(up_Irr!F27+up_Irr!AD27+up_Irr!BB27),".")</f>
        <v>13821.505926415879</v>
      </c>
      <c r="CE27" s="93">
        <f>IFERROR(s_C*s_IFBR_far_adj*s_CF_broccoli*(1/1000)*(up_Irr!G27+up_Irr!AE27+up_Irr!BC27),".")</f>
        <v>13821.505926415879</v>
      </c>
      <c r="CF27" s="93">
        <f>IFERROR(s_C*s_IFCB_far_adj*s_CF_cabbage*(1/1000)*(up_Irr!H27+up_Irr!AF27+up_Irr!BD27),".")</f>
        <v>13821.505926415879</v>
      </c>
      <c r="CG27" s="93">
        <f>IFERROR(s_C*s_IFCR_far_adj*s_CF_carrot*(1/1000)*(up_Irr!I27+up_Irr!AG27+up_Irr!BE27),".")</f>
        <v>13821.505926415879</v>
      </c>
      <c r="CH27" s="93">
        <f>IFERROR(s_C*s_IFCI_far_adj*s_CF_citrus*(1/1000)*(up_Irr!J27+up_Irr!AH27+up_Irr!BF27),".")</f>
        <v>13821.505926415879</v>
      </c>
      <c r="CI27" s="93">
        <f>IFERROR(s_C*s_IFCO_far_adj*s_CF_corn*(1/1000)*(up_Irr!K27+up_Irr!AI27+up_Irr!BG27),".")</f>
        <v>13821.505926415879</v>
      </c>
      <c r="CJ27" s="93">
        <f>IFERROR(s_C*s_IFCU_far_adj*s_CF_cucumber*(1/1000)*(up_Irr!L27+up_Irr!AJ27+up_Irr!BH27),".")</f>
        <v>13821.505926415879</v>
      </c>
      <c r="CK27" s="93">
        <f>IFERROR(s_C*s_IFLE_far_adj*s_CF_lettuce*(1/1000)*(up_Irr!M27+up_Irr!AK27+up_Irr!BI27),".")</f>
        <v>13821.505926415879</v>
      </c>
      <c r="CL27" s="93">
        <f>IFERROR(s_C*s_IFLI_far_adj*s_CF_lima_bean*(1/1000)*(up_Irr!N27+up_Irr!AL27+up_Irr!BJ27),".")</f>
        <v>13821.505926415879</v>
      </c>
      <c r="CM27" s="93">
        <f>IFERROR(s_C*s_IFOK_far_adj*s_CF_okra*(1/1000)*(up_Irr!O27+up_Irr!AM27+up_Irr!BK27),".")</f>
        <v>13821.505926415879</v>
      </c>
      <c r="CN27" s="93">
        <f>IFERROR(s_C*s_IFON_far_adj*s_CF_onion*(1/1000)*(up_Irr!P27+up_Irr!AN27+up_Irr!BL27),".")</f>
        <v>13821.505926415879</v>
      </c>
      <c r="CO27" s="93">
        <f>IFERROR(s_C*s_IFPC_far_adj*s_CF_peach*(1/1000)*(up_Irr!Q27+up_Irr!AO27+up_Irr!BM27),".")</f>
        <v>13821.505926415879</v>
      </c>
      <c r="CP27" s="93">
        <f>IFERROR(s_C*s_IFPR_far_adj*s_CF_pear*(1/1000)*(up_Irr!R27+up_Irr!AP27+up_Irr!BN27),".")</f>
        <v>13821.505926415879</v>
      </c>
      <c r="CQ27" s="93">
        <f>IFERROR(s_C*s_IFPE_far_adj*s_CF_peas*(1/1000)*(up_Irr!S27+up_Irr!AQ27+up_Irr!BO27),".")</f>
        <v>13821.505926415879</v>
      </c>
      <c r="CR27" s="93">
        <f>IFERROR(s_C*s_IFPT_far_adj*s_CF_potato*(1/1000)*(up_Irr!T27+up_Irr!AR27+up_Irr!BP27),".")</f>
        <v>13821.505926415879</v>
      </c>
      <c r="CS27" s="93">
        <f>IFERROR(s_C*s_IFPU_far_adj*s_CF_pumpkin*(1/1000)*(up_Irr!U27+up_Irr!AS27+up_Irr!BQ27),".")</f>
        <v>13821.505926415879</v>
      </c>
      <c r="CT27" s="93">
        <f>IFERROR(s_C*s_IFSN_far_adj*s_CF_snap_bean*(1/1000)*(up_Irr!V27+up_Irr!AT27+up_Irr!BR27),".")</f>
        <v>13821.505926415879</v>
      </c>
      <c r="CU27" s="93">
        <f>IFERROR(s_C*s_IFST_far_adj*s_CF_strawberry*(1/1000)*(up_Irr!W27+up_Irr!AU27+up_Irr!BS27),".")</f>
        <v>13821.505926415879</v>
      </c>
      <c r="CV27" s="93">
        <f>IFERROR(s_C*s_IFTO_far_adj*s_CF_tomato*(1/1000)*(up_Irr!X27+up_Irr!AV27+up_Irr!BT27),".")</f>
        <v>13821.505926415879</v>
      </c>
      <c r="CW27" s="93">
        <f>IFERROR(s_C*s_IFRI_far_adj*s_CF_rice*(1/1000)*(up_Irr!Y27+up_Irr!AW27+up_Irr!BU27),".")</f>
        <v>13821.505926415879</v>
      </c>
      <c r="CX27" s="93">
        <f>IFERROR(s_C*s_IFCG_far_adj*s_CF_cereal*(1/1000)*(up_Irr!Z27+up_Irr!AX27+up_Irr!BV27),".")</f>
        <v>13821.505926415879</v>
      </c>
    </row>
    <row r="28" spans="1:102" ht="15" customHeight="1" x14ac:dyDescent="0.25">
      <c r="A28" s="92" t="s">
        <v>38</v>
      </c>
      <c r="B28" s="90" t="s">
        <v>1074</v>
      </c>
      <c r="C28" s="76">
        <f t="shared" si="0"/>
        <v>1.8087754064641833E-11</v>
      </c>
      <c r="D28" s="76">
        <f>IFERROR(IF(AND(up_Irr!C28&lt;&gt;".",up_Irr!AA28&lt;&gt;".",up_Irr!AY28&lt;&gt;"."),up_dir!D28/((1/1000)*(up_Irr!C28+up_Irr!AA28+up_Irr!AY28)),IF(AND(up_Irr!C28&lt;&gt;".",up_Irr!AA28&lt;&gt;".",up_Irr!AY28="."),up_dir!D28/((1/1000)*(up_Irr!C28+up_Irr!AA28)),IF(AND(up_Irr!C28&lt;&gt;".",up_Irr!AA28=".",up_Irr!AY28&lt;&gt;"."),up_dir!D28/((1/1000)*(up_Irr!C28+up_Irr!AY28)),IF(AND(up_Irr!C28=".",up_Irr!AA28&lt;&gt;".",up_Irr!AY28&lt;&gt;"."),up_dir!D28/((1/1000)*(up_Irr!AA28+up_Irr!AY28)),IF(AND(up_Irr!C28=".",up_Irr!AA28=".",up_Irr!AY28&lt;&gt;"."),up_dir!D28/((1/1000)*(up_Irr!AY28)),IF(AND(up_Irr!C28=".",up_Irr!AA28&lt;&gt;".",up_Irr!AY28="."),up_dir!D28/((1/1000)*(up_Irr!AA28)),IF(AND(up_Irr!C28&lt;&gt;".",up_Irr!AA28=".",up_Irr!AY28="."),up_dir!D28/((1/1000)*(up_Irr!C28)),IF(AND(up_Irr!C28=".",up_Irr!AA28=".",up_Irr!AY28="."),up_dir!D28*1000)))))))),".")</f>
        <v>7.2351016258567334E-11</v>
      </c>
      <c r="E28" s="76">
        <f>IFERROR(IF(AND(up_Irr!D28&lt;&gt;".",up_Irr!AB28&lt;&gt;".",up_Irr!AZ28&lt;&gt;"."),up_dir!E28/((1/1000)*(up_Irr!D28+up_Irr!AB28+up_Irr!AZ28)),IF(AND(up_Irr!D28&lt;&gt;".",up_Irr!AB28&lt;&gt;".",up_Irr!AZ28="."),up_dir!E28/((1/1000)*(up_Irr!D28+up_Irr!AB28)),IF(AND(up_Irr!D28&lt;&gt;".",up_Irr!AB28=".",up_Irr!AZ28&lt;&gt;"."),up_dir!E28/((1/1000)*(up_Irr!D28+up_Irr!AZ28)),IF(AND(up_Irr!D28=".",up_Irr!AB28&lt;&gt;".",up_Irr!AZ28&lt;&gt;"."),up_dir!E28/((1/1000)*(up_Irr!AB28+up_Irr!AZ28)),IF(AND(up_Irr!D28=".",up_Irr!AB28=".",up_Irr!AZ28&lt;&gt;"."),up_dir!E28/((1/1000)*(up_Irr!AZ28)),IF(AND(up_Irr!D28=".",up_Irr!AB28&lt;&gt;".",up_Irr!AZ28="."),up_dir!E28/((1/1000)*(up_Irr!AB28)),IF(AND(up_Irr!D28&lt;&gt;".",up_Irr!AB28=".",up_Irr!AZ28="."),up_dir!E28/((1/1000)*(up_Irr!D28)),IF(AND(up_Irr!D28=".",up_Irr!AB28=".",up_Irr!AZ28="."),up_dir!E28*1000)))))))),".")</f>
        <v>7.2351016258567334E-11</v>
      </c>
      <c r="F28" s="76">
        <f>IFERROR(IF(AND(up_Irr!E28&lt;&gt;".",up_Irr!AC28&lt;&gt;".",up_Irr!BA28&lt;&gt;"."),up_dir!F28/((1/1000)*(up_Irr!E28+up_Irr!AC28+up_Irr!BA28)),IF(AND(up_Irr!E28&lt;&gt;".",up_Irr!AC28&lt;&gt;".",up_Irr!BA28="."),up_dir!F28/((1/1000)*(up_Irr!E28+up_Irr!AC28)),IF(AND(up_Irr!E28&lt;&gt;".",up_Irr!AC28=".",up_Irr!BA28&lt;&gt;"."),up_dir!F28/((1/1000)*(up_Irr!E28+up_Irr!BA28)),IF(AND(up_Irr!E28=".",up_Irr!AC28&lt;&gt;".",up_Irr!BA28&lt;&gt;"."),up_dir!F28/((1/1000)*(up_Irr!AC28+up_Irr!BA28)),IF(AND(up_Irr!E28=".",up_Irr!AC28=".",up_Irr!BA28&lt;&gt;"."),up_dir!F28/((1/1000)*(up_Irr!BA28)),IF(AND(up_Irr!E28=".",up_Irr!AC28&lt;&gt;".",up_Irr!BA28="."),up_dir!F28/((1/1000)*(up_Irr!AC28)),IF(AND(up_Irr!E28&lt;&gt;".",up_Irr!AC28=".",up_Irr!BA28="."),up_dir!F28/((1/1000)*(up_Irr!E28)),IF(AND(up_Irr!E28=".",up_Irr!AC28=".",up_Irr!BA28="."),up_dir!F28*1000)))))))),".")</f>
        <v>7.2351016258567334E-11</v>
      </c>
      <c r="G28" s="76">
        <f>IFERROR(IF(AND(up_Irr!F28&lt;&gt;".",up_Irr!AD28&lt;&gt;".",up_Irr!BB28&lt;&gt;"."),up_dir!G28/((1/1000)*(up_Irr!F28+up_Irr!AD28+up_Irr!BB28)),IF(AND(up_Irr!F28&lt;&gt;".",up_Irr!AD28&lt;&gt;".",up_Irr!BB28="."),up_dir!G28/((1/1000)*(up_Irr!F28+up_Irr!AD28)),IF(AND(up_Irr!F28&lt;&gt;".",up_Irr!AD28=".",up_Irr!BB28&lt;&gt;"."),up_dir!G28/((1/1000)*(up_Irr!F28+up_Irr!BB28)),IF(AND(up_Irr!F28=".",up_Irr!AD28&lt;&gt;".",up_Irr!BB28&lt;&gt;"."),up_dir!G28/((1/1000)*(up_Irr!AD28+up_Irr!BB28)),IF(AND(up_Irr!F28=".",up_Irr!AD28=".",up_Irr!BB28&lt;&gt;"."),up_dir!G28/((1/1000)*(up_Irr!BB28)),IF(AND(up_Irr!F28=".",up_Irr!AD28&lt;&gt;".",up_Irr!BB28="."),up_dir!G28/((1/1000)*(up_Irr!AD28)),IF(AND(up_Irr!F28&lt;&gt;".",up_Irr!AD28=".",up_Irr!BB28="."),up_dir!G28/((1/1000)*(up_Irr!F28)),IF(AND(up_Irr!F28=".",up_Irr!AD28=".",up_Irr!BB28="."),up_dir!G28*1000)))))))),".")</f>
        <v>7.2351016258567334E-11</v>
      </c>
      <c r="H28" s="76">
        <f>IFERROR(IF(AND(up_Irr!G28&lt;&gt;".",up_Irr!AE28&lt;&gt;".",up_Irr!BC28&lt;&gt;"."),up_dir!H28/((1/1000)*(up_Irr!G28+up_Irr!AE28+up_Irr!BC28)),IF(AND(up_Irr!G28&lt;&gt;".",up_Irr!AE28&lt;&gt;".",up_Irr!BC28="."),up_dir!H28/((1/1000)*(up_Irr!G28+up_Irr!AE28)),IF(AND(up_Irr!G28&lt;&gt;".",up_Irr!AE28=".",up_Irr!BC28&lt;&gt;"."),up_dir!H28/((1/1000)*(up_Irr!G28+up_Irr!BC28)),IF(AND(up_Irr!G28=".",up_Irr!AE28&lt;&gt;".",up_Irr!BC28&lt;&gt;"."),up_dir!H28/((1/1000)*(up_Irr!AE28+up_Irr!BC28)),IF(AND(up_Irr!G28=".",up_Irr!AE28=".",up_Irr!BC28&lt;&gt;"."),up_dir!H28/((1/1000)*(up_Irr!BC28)),IF(AND(up_Irr!G28=".",up_Irr!AE28&lt;&gt;".",up_Irr!BC28="."),up_dir!H28/((1/1000)*(up_Irr!AE28)),IF(AND(up_Irr!G28&lt;&gt;".",up_Irr!AE28=".",up_Irr!BC28="."),up_dir!H28/((1/1000)*(up_Irr!G28)),IF(AND(up_Irr!G28=".",up_Irr!AE28=".",up_Irr!BC28="."),up_dir!H28*1000)))))))),".")</f>
        <v>7.2351016258567334E-11</v>
      </c>
      <c r="I28" s="76">
        <f>IFERROR(IF(AND(up_Irr!H28&lt;&gt;".",up_Irr!AF28&lt;&gt;".",up_Irr!BD28&lt;&gt;"."),up_dir!I28/((1/1000)*(up_Irr!H28+up_Irr!AF28+up_Irr!BD28)),IF(AND(up_Irr!H28&lt;&gt;".",up_Irr!AF28&lt;&gt;".",up_Irr!BD28="."),up_dir!I28/((1/1000)*(up_Irr!H28+up_Irr!AF28)),IF(AND(up_Irr!H28&lt;&gt;".",up_Irr!AF28=".",up_Irr!BD28&lt;&gt;"."),up_dir!I28/((1/1000)*(up_Irr!H28+up_Irr!BD28)),IF(AND(up_Irr!H28=".",up_Irr!AF28&lt;&gt;".",up_Irr!BD28&lt;&gt;"."),up_dir!I28/((1/1000)*(up_Irr!AF28+up_Irr!BD28)),IF(AND(up_Irr!H28=".",up_Irr!AF28=".",up_Irr!BD28&lt;&gt;"."),up_dir!I28/((1/1000)*(up_Irr!BD28)),IF(AND(up_Irr!H28=".",up_Irr!AF28&lt;&gt;".",up_Irr!BD28="."),up_dir!I28/((1/1000)*(up_Irr!AF28)),IF(AND(up_Irr!H28&lt;&gt;".",up_Irr!AF28=".",up_Irr!BD28="."),up_dir!I28/((1/1000)*(up_Irr!H28)),IF(AND(up_Irr!H28=".",up_Irr!AF28=".",up_Irr!BD28="."),up_dir!I28*1000)))))))),".")</f>
        <v>7.2351016258567334E-11</v>
      </c>
      <c r="J28" s="76">
        <f>IFERROR(IF(AND(up_Irr!I28&lt;&gt;".",up_Irr!AG28&lt;&gt;".",up_Irr!BE28&lt;&gt;"."),up_dir!J28/((1/1000)*(up_Irr!I28+up_Irr!AG28+up_Irr!BE28)),IF(AND(up_Irr!I28&lt;&gt;".",up_Irr!AG28&lt;&gt;".",up_Irr!BE28="."),up_dir!J28/((1/1000)*(up_Irr!I28+up_Irr!AG28)),IF(AND(up_Irr!I28&lt;&gt;".",up_Irr!AG28=".",up_Irr!BE28&lt;&gt;"."),up_dir!J28/((1/1000)*(up_Irr!I28+up_Irr!BE28)),IF(AND(up_Irr!I28=".",up_Irr!AG28&lt;&gt;".",up_Irr!BE28&lt;&gt;"."),up_dir!J28/((1/1000)*(up_Irr!AG28+up_Irr!BE28)),IF(AND(up_Irr!I28=".",up_Irr!AG28=".",up_Irr!BE28&lt;&gt;"."),up_dir!J28/((1/1000)*(up_Irr!BE28)),IF(AND(up_Irr!I28=".",up_Irr!AG28&lt;&gt;".",up_Irr!BE28="."),up_dir!J28/((1/1000)*(up_Irr!AG28)),IF(AND(up_Irr!I28&lt;&gt;".",up_Irr!AG28=".",up_Irr!BE28="."),up_dir!J28/((1/1000)*(up_Irr!I28)),IF(AND(up_Irr!I28=".",up_Irr!AG28=".",up_Irr!BE28="."),up_dir!J28*1000)))))))),".")</f>
        <v>7.2351016258567334E-11</v>
      </c>
      <c r="K28" s="76">
        <f>IFERROR(IF(AND(up_Irr!J28&lt;&gt;".",up_Irr!AH28&lt;&gt;".",up_Irr!BF28&lt;&gt;"."),up_dir!K28/((1/1000)*(up_Irr!J28+up_Irr!AH28+up_Irr!BF28)),IF(AND(up_Irr!J28&lt;&gt;".",up_Irr!AH28&lt;&gt;".",up_Irr!BF28="."),up_dir!K28/((1/1000)*(up_Irr!J28+up_Irr!AH28)),IF(AND(up_Irr!J28&lt;&gt;".",up_Irr!AH28=".",up_Irr!BF28&lt;&gt;"."),up_dir!K28/((1/1000)*(up_Irr!J28+up_Irr!BF28)),IF(AND(up_Irr!J28=".",up_Irr!AH28&lt;&gt;".",up_Irr!BF28&lt;&gt;"."),up_dir!K28/((1/1000)*(up_Irr!AH28+up_Irr!BF28)),IF(AND(up_Irr!J28=".",up_Irr!AH28=".",up_Irr!BF28&lt;&gt;"."),up_dir!K28/((1/1000)*(up_Irr!BF28)),IF(AND(up_Irr!J28=".",up_Irr!AH28&lt;&gt;".",up_Irr!BF28="."),up_dir!K28/((1/1000)*(up_Irr!AH28)),IF(AND(up_Irr!J28&lt;&gt;".",up_Irr!AH28=".",up_Irr!BF28="."),up_dir!K28/((1/1000)*(up_Irr!J28)),IF(AND(up_Irr!J28=".",up_Irr!AH28=".",up_Irr!BF28="."),up_dir!K28*1000)))))))),".")</f>
        <v>7.2351016258567334E-11</v>
      </c>
      <c r="L28" s="76">
        <f>IFERROR(IF(AND(up_Irr!K28&lt;&gt;".",up_Irr!AI28&lt;&gt;".",up_Irr!BG28&lt;&gt;"."),up_dir!L28/((1/1000)*(up_Irr!K28+up_Irr!AI28+up_Irr!BG28)),IF(AND(up_Irr!K28&lt;&gt;".",up_Irr!AI28&lt;&gt;".",up_Irr!BG28="."),up_dir!L28/((1/1000)*(up_Irr!K28+up_Irr!AI28)),IF(AND(up_Irr!K28&lt;&gt;".",up_Irr!AI28=".",up_Irr!BG28&lt;&gt;"."),up_dir!L28/((1/1000)*(up_Irr!K28+up_Irr!BG28)),IF(AND(up_Irr!K28=".",up_Irr!AI28&lt;&gt;".",up_Irr!BG28&lt;&gt;"."),up_dir!L28/((1/1000)*(up_Irr!AI28+up_Irr!BG28)),IF(AND(up_Irr!K28=".",up_Irr!AI28=".",up_Irr!BG28&lt;&gt;"."),up_dir!L28/((1/1000)*(up_Irr!BG28)),IF(AND(up_Irr!K28=".",up_Irr!AI28&lt;&gt;".",up_Irr!BG28="."),up_dir!L28/((1/1000)*(up_Irr!AI28)),IF(AND(up_Irr!K28&lt;&gt;".",up_Irr!AI28=".",up_Irr!BG28="."),up_dir!L28/((1/1000)*(up_Irr!K28)),IF(AND(up_Irr!K28=".",up_Irr!AI28=".",up_Irr!BG28="."),up_dir!L28*1000)))))))),".")</f>
        <v>7.2351016258567334E-11</v>
      </c>
      <c r="M28" s="76">
        <f>IFERROR(IF(AND(up_Irr!L28&lt;&gt;".",up_Irr!AJ28&lt;&gt;".",up_Irr!BH28&lt;&gt;"."),up_dir!M28/((1/1000)*(up_Irr!L28+up_Irr!AJ28+up_Irr!BH28)),IF(AND(up_Irr!L28&lt;&gt;".",up_Irr!AJ28&lt;&gt;".",up_Irr!BH28="."),up_dir!M28/((1/1000)*(up_Irr!L28+up_Irr!AJ28)),IF(AND(up_Irr!L28&lt;&gt;".",up_Irr!AJ28=".",up_Irr!BH28&lt;&gt;"."),up_dir!M28/((1/1000)*(up_Irr!L28+up_Irr!BH28)),IF(AND(up_Irr!L28=".",up_Irr!AJ28&lt;&gt;".",up_Irr!BH28&lt;&gt;"."),up_dir!M28/((1/1000)*(up_Irr!AJ28+up_Irr!BH28)),IF(AND(up_Irr!L28=".",up_Irr!AJ28=".",up_Irr!BH28&lt;&gt;"."),up_dir!M28/((1/1000)*(up_Irr!BH28)),IF(AND(up_Irr!L28=".",up_Irr!AJ28&lt;&gt;".",up_Irr!BH28="."),up_dir!M28/((1/1000)*(up_Irr!AJ28)),IF(AND(up_Irr!L28&lt;&gt;".",up_Irr!AJ28=".",up_Irr!BH28="."),up_dir!M28/((1/1000)*(up_Irr!L28)),IF(AND(up_Irr!L28=".",up_Irr!AJ28=".",up_Irr!BH28="."),up_dir!M28*1000)))))))),".")</f>
        <v>7.2351016258567334E-11</v>
      </c>
      <c r="N28" s="76">
        <f>IFERROR(IF(AND(up_Irr!M28&lt;&gt;".",up_Irr!AK28&lt;&gt;".",up_Irr!BI28&lt;&gt;"."),up_dir!N28/((1/1000)*(up_Irr!M28+up_Irr!AK28+up_Irr!BI28)),IF(AND(up_Irr!M28&lt;&gt;".",up_Irr!AK28&lt;&gt;".",up_Irr!BI28="."),up_dir!N28/((1/1000)*(up_Irr!M28+up_Irr!AK28)),IF(AND(up_Irr!M28&lt;&gt;".",up_Irr!AK28=".",up_Irr!BI28&lt;&gt;"."),up_dir!N28/((1/1000)*(up_Irr!M28+up_Irr!BI28)),IF(AND(up_Irr!M28=".",up_Irr!AK28&lt;&gt;".",up_Irr!BI28&lt;&gt;"."),up_dir!N28/((1/1000)*(up_Irr!AK28+up_Irr!BI28)),IF(AND(up_Irr!M28=".",up_Irr!AK28=".",up_Irr!BI28&lt;&gt;"."),up_dir!N28/((1/1000)*(up_Irr!BI28)),IF(AND(up_Irr!M28=".",up_Irr!AK28&lt;&gt;".",up_Irr!BI28="."),up_dir!N28/((1/1000)*(up_Irr!AK28)),IF(AND(up_Irr!M28&lt;&gt;".",up_Irr!AK28=".",up_Irr!BI28="."),up_dir!N28/((1/1000)*(up_Irr!M28)),IF(AND(up_Irr!M28=".",up_Irr!AK28=".",up_Irr!BI28="."),up_dir!N28*1000)))))))),".")</f>
        <v>7.2351016258567334E-11</v>
      </c>
      <c r="O28" s="76">
        <f>IFERROR(IF(AND(up_Irr!N28&lt;&gt;".",up_Irr!AL28&lt;&gt;".",up_Irr!BJ28&lt;&gt;"."),up_dir!O28/((1/1000)*(up_Irr!N28+up_Irr!AL28+up_Irr!BJ28)),IF(AND(up_Irr!N28&lt;&gt;".",up_Irr!AL28&lt;&gt;".",up_Irr!BJ28="."),up_dir!O28/((1/1000)*(up_Irr!N28+up_Irr!AL28)),IF(AND(up_Irr!N28&lt;&gt;".",up_Irr!AL28=".",up_Irr!BJ28&lt;&gt;"."),up_dir!O28/((1/1000)*(up_Irr!N28+up_Irr!BJ28)),IF(AND(up_Irr!N28=".",up_Irr!AL28&lt;&gt;".",up_Irr!BJ28&lt;&gt;"."),up_dir!O28/((1/1000)*(up_Irr!AL28+up_Irr!BJ28)),IF(AND(up_Irr!N28=".",up_Irr!AL28=".",up_Irr!BJ28&lt;&gt;"."),up_dir!O28/((1/1000)*(up_Irr!BJ28)),IF(AND(up_Irr!N28=".",up_Irr!AL28&lt;&gt;".",up_Irr!BJ28="."),up_dir!O28/((1/1000)*(up_Irr!AL28)),IF(AND(up_Irr!N28&lt;&gt;".",up_Irr!AL28=".",up_Irr!BJ28="."),up_dir!O28/((1/1000)*(up_Irr!N28)),IF(AND(up_Irr!N28=".",up_Irr!AL28=".",up_Irr!BJ28="."),up_dir!O28*1000)))))))),".")</f>
        <v>7.2351016258567334E-11</v>
      </c>
      <c r="P28" s="76">
        <f>IFERROR(IF(AND(up_Irr!O28&lt;&gt;".",up_Irr!AM28&lt;&gt;".",up_Irr!BK28&lt;&gt;"."),up_dir!P28/((1/1000)*(up_Irr!O28+up_Irr!AM28+up_Irr!BK28)),IF(AND(up_Irr!O28&lt;&gt;".",up_Irr!AM28&lt;&gt;".",up_Irr!BK28="."),up_dir!P28/((1/1000)*(up_Irr!O28+up_Irr!AM28)),IF(AND(up_Irr!O28&lt;&gt;".",up_Irr!AM28=".",up_Irr!BK28&lt;&gt;"."),up_dir!P28/((1/1000)*(up_Irr!O28+up_Irr!BK28)),IF(AND(up_Irr!O28=".",up_Irr!AM28&lt;&gt;".",up_Irr!BK28&lt;&gt;"."),up_dir!P28/((1/1000)*(up_Irr!AM28+up_Irr!BK28)),IF(AND(up_Irr!O28=".",up_Irr!AM28=".",up_Irr!BK28&lt;&gt;"."),up_dir!P28/((1/1000)*(up_Irr!BK28)),IF(AND(up_Irr!O28=".",up_Irr!AM28&lt;&gt;".",up_Irr!BK28="."),up_dir!P28/((1/1000)*(up_Irr!AM28)),IF(AND(up_Irr!O28&lt;&gt;".",up_Irr!AM28=".",up_Irr!BK28="."),up_dir!P28/((1/1000)*(up_Irr!O28)),IF(AND(up_Irr!O28=".",up_Irr!AM28=".",up_Irr!BK28="."),up_dir!P28*1000)))))))),".")</f>
        <v>7.2351016258567334E-11</v>
      </c>
      <c r="Q28" s="76">
        <f>IFERROR(IF(AND(up_Irr!P28&lt;&gt;".",up_Irr!AN28&lt;&gt;".",up_Irr!BL28&lt;&gt;"."),up_dir!Q28/((1/1000)*(up_Irr!P28+up_Irr!AN28+up_Irr!BL28)),IF(AND(up_Irr!P28&lt;&gt;".",up_Irr!AN28&lt;&gt;".",up_Irr!BL28="."),up_dir!Q28/((1/1000)*(up_Irr!P28+up_Irr!AN28)),IF(AND(up_Irr!P28&lt;&gt;".",up_Irr!AN28=".",up_Irr!BL28&lt;&gt;"."),up_dir!Q28/((1/1000)*(up_Irr!P28+up_Irr!BL28)),IF(AND(up_Irr!P28=".",up_Irr!AN28&lt;&gt;".",up_Irr!BL28&lt;&gt;"."),up_dir!Q28/((1/1000)*(up_Irr!AN28+up_Irr!BL28)),IF(AND(up_Irr!P28=".",up_Irr!AN28=".",up_Irr!BL28&lt;&gt;"."),up_dir!Q28/((1/1000)*(up_Irr!BL28)),IF(AND(up_Irr!P28=".",up_Irr!AN28&lt;&gt;".",up_Irr!BL28="."),up_dir!Q28/((1/1000)*(up_Irr!AN28)),IF(AND(up_Irr!P28&lt;&gt;".",up_Irr!AN28=".",up_Irr!BL28="."),up_dir!Q28/((1/1000)*(up_Irr!P28)),IF(AND(up_Irr!P28=".",up_Irr!AN28=".",up_Irr!BL28="."),up_dir!Q28*1000)))))))),".")</f>
        <v>7.2351016258567334E-11</v>
      </c>
      <c r="R28" s="76">
        <f>IFERROR(IF(AND(up_Irr!Q28&lt;&gt;".",up_Irr!AO28&lt;&gt;".",up_Irr!BM28&lt;&gt;"."),up_dir!R28/((1/1000)*(up_Irr!Q28+up_Irr!AO28+up_Irr!BM28)),IF(AND(up_Irr!Q28&lt;&gt;".",up_Irr!AO28&lt;&gt;".",up_Irr!BM28="."),up_dir!R28/((1/1000)*(up_Irr!Q28+up_Irr!AO28)),IF(AND(up_Irr!Q28&lt;&gt;".",up_Irr!AO28=".",up_Irr!BM28&lt;&gt;"."),up_dir!R28/((1/1000)*(up_Irr!Q28+up_Irr!BM28)),IF(AND(up_Irr!Q28=".",up_Irr!AO28&lt;&gt;".",up_Irr!BM28&lt;&gt;"."),up_dir!R28/((1/1000)*(up_Irr!AO28+up_Irr!BM28)),IF(AND(up_Irr!Q28=".",up_Irr!AO28=".",up_Irr!BM28&lt;&gt;"."),up_dir!R28/((1/1000)*(up_Irr!BM28)),IF(AND(up_Irr!Q28=".",up_Irr!AO28&lt;&gt;".",up_Irr!BM28="."),up_dir!R28/((1/1000)*(up_Irr!AO28)),IF(AND(up_Irr!Q28&lt;&gt;".",up_Irr!AO28=".",up_Irr!BM28="."),up_dir!R28/((1/1000)*(up_Irr!Q28)),IF(AND(up_Irr!Q28=".",up_Irr!AO28=".",up_Irr!BM28="."),up_dir!R28*1000)))))))),".")</f>
        <v>7.2351016258567334E-11</v>
      </c>
      <c r="S28" s="76">
        <f>IFERROR(IF(AND(up_Irr!R28&lt;&gt;".",up_Irr!AP28&lt;&gt;".",up_Irr!BN28&lt;&gt;"."),up_dir!S28/((1/1000)*(up_Irr!R28+up_Irr!AP28+up_Irr!BN28)),IF(AND(up_Irr!R28&lt;&gt;".",up_Irr!AP28&lt;&gt;".",up_Irr!BN28="."),up_dir!S28/((1/1000)*(up_Irr!R28+up_Irr!AP28)),IF(AND(up_Irr!R28&lt;&gt;".",up_Irr!AP28=".",up_Irr!BN28&lt;&gt;"."),up_dir!S28/((1/1000)*(up_Irr!R28+up_Irr!BN28)),IF(AND(up_Irr!R28=".",up_Irr!AP28&lt;&gt;".",up_Irr!BN28&lt;&gt;"."),up_dir!S28/((1/1000)*(up_Irr!AP28+up_Irr!BN28)),IF(AND(up_Irr!R28=".",up_Irr!AP28=".",up_Irr!BN28&lt;&gt;"."),up_dir!S28/((1/1000)*(up_Irr!BN28)),IF(AND(up_Irr!R28=".",up_Irr!AP28&lt;&gt;".",up_Irr!BN28="."),up_dir!S28/((1/1000)*(up_Irr!AP28)),IF(AND(up_Irr!R28&lt;&gt;".",up_Irr!AP28=".",up_Irr!BN28="."),up_dir!S28/((1/1000)*(up_Irr!R28)),IF(AND(up_Irr!R28=".",up_Irr!AP28=".",up_Irr!BN28="."),up_dir!S28*1000)))))))),".")</f>
        <v>7.2351016258567334E-11</v>
      </c>
      <c r="T28" s="76">
        <f>IFERROR(IF(AND(up_Irr!S28&lt;&gt;".",up_Irr!AQ28&lt;&gt;".",up_Irr!BO28&lt;&gt;"."),up_dir!T28/((1/1000)*(up_Irr!S28+up_Irr!AQ28+up_Irr!BO28)),IF(AND(up_Irr!S28&lt;&gt;".",up_Irr!AQ28&lt;&gt;".",up_Irr!BO28="."),up_dir!T28/((1/1000)*(up_Irr!S28+up_Irr!AQ28)),IF(AND(up_Irr!S28&lt;&gt;".",up_Irr!AQ28=".",up_Irr!BO28&lt;&gt;"."),up_dir!T28/((1/1000)*(up_Irr!S28+up_Irr!BO28)),IF(AND(up_Irr!S28=".",up_Irr!AQ28&lt;&gt;".",up_Irr!BO28&lt;&gt;"."),up_dir!T28/((1/1000)*(up_Irr!AQ28+up_Irr!BO28)),IF(AND(up_Irr!S28=".",up_Irr!AQ28=".",up_Irr!BO28&lt;&gt;"."),up_dir!T28/((1/1000)*(up_Irr!BO28)),IF(AND(up_Irr!S28=".",up_Irr!AQ28&lt;&gt;".",up_Irr!BO28="."),up_dir!T28/((1/1000)*(up_Irr!AQ28)),IF(AND(up_Irr!S28&lt;&gt;".",up_Irr!AQ28=".",up_Irr!BO28="."),up_dir!T28/((1/1000)*(up_Irr!S28)),IF(AND(up_Irr!S28=".",up_Irr!AQ28=".",up_Irr!BO28="."),up_dir!T28*1000)))))))),".")</f>
        <v>7.2351016258567334E-11</v>
      </c>
      <c r="U28" s="76">
        <f>IFERROR(IF(AND(up_Irr!T28&lt;&gt;".",up_Irr!AR28&lt;&gt;".",up_Irr!BP28&lt;&gt;"."),up_dir!U28/((1/1000)*(up_Irr!T28+up_Irr!AR28+up_Irr!BP28)),IF(AND(up_Irr!T28&lt;&gt;".",up_Irr!AR28&lt;&gt;".",up_Irr!BP28="."),up_dir!U28/((1/1000)*(up_Irr!T28+up_Irr!AR28)),IF(AND(up_Irr!T28&lt;&gt;".",up_Irr!AR28=".",up_Irr!BP28&lt;&gt;"."),up_dir!U28/((1/1000)*(up_Irr!T28+up_Irr!BP28)),IF(AND(up_Irr!T28=".",up_Irr!AR28&lt;&gt;".",up_Irr!BP28&lt;&gt;"."),up_dir!U28/((1/1000)*(up_Irr!AR28+up_Irr!BP28)),IF(AND(up_Irr!T28=".",up_Irr!AR28=".",up_Irr!BP28&lt;&gt;"."),up_dir!U28/((1/1000)*(up_Irr!BP28)),IF(AND(up_Irr!T28=".",up_Irr!AR28&lt;&gt;".",up_Irr!BP28="."),up_dir!U28/((1/1000)*(up_Irr!AR28)),IF(AND(up_Irr!T28&lt;&gt;".",up_Irr!AR28=".",up_Irr!BP28="."),up_dir!U28/((1/1000)*(up_Irr!T28)),IF(AND(up_Irr!T28=".",up_Irr!AR28=".",up_Irr!BP28="."),up_dir!U28*1000)))))))),".")</f>
        <v>7.2351016258567334E-11</v>
      </c>
      <c r="V28" s="76">
        <f>IFERROR(IF(AND(up_Irr!U28&lt;&gt;".",up_Irr!AS28&lt;&gt;".",up_Irr!BQ28&lt;&gt;"."),up_dir!V28/((1/1000)*(up_Irr!U28+up_Irr!AS28+up_Irr!BQ28)),IF(AND(up_Irr!U28&lt;&gt;".",up_Irr!AS28&lt;&gt;".",up_Irr!BQ28="."),up_dir!V28/((1/1000)*(up_Irr!U28+up_Irr!AS28)),IF(AND(up_Irr!U28&lt;&gt;".",up_Irr!AS28=".",up_Irr!BQ28&lt;&gt;"."),up_dir!V28/((1/1000)*(up_Irr!U28+up_Irr!BQ28)),IF(AND(up_Irr!U28=".",up_Irr!AS28&lt;&gt;".",up_Irr!BQ28&lt;&gt;"."),up_dir!V28/((1/1000)*(up_Irr!AS28+up_Irr!BQ28)),IF(AND(up_Irr!U28=".",up_Irr!AS28=".",up_Irr!BQ28&lt;&gt;"."),up_dir!V28/((1/1000)*(up_Irr!BQ28)),IF(AND(up_Irr!U28=".",up_Irr!AS28&lt;&gt;".",up_Irr!BQ28="."),up_dir!V28/((1/1000)*(up_Irr!AS28)),IF(AND(up_Irr!U28&lt;&gt;".",up_Irr!AS28=".",up_Irr!BQ28="."),up_dir!V28/((1/1000)*(up_Irr!U28)),IF(AND(up_Irr!U28=".",up_Irr!AS28=".",up_Irr!BQ28="."),up_dir!V28*1000)))))))),".")</f>
        <v>7.2351016258567334E-11</v>
      </c>
      <c r="W28" s="76">
        <f>IFERROR(IF(AND(up_Irr!V28&lt;&gt;".",up_Irr!AT28&lt;&gt;".",up_Irr!BR28&lt;&gt;"."),up_dir!W28/((1/1000)*(up_Irr!V28+up_Irr!AT28+up_Irr!BR28)),IF(AND(up_Irr!V28&lt;&gt;".",up_Irr!AT28&lt;&gt;".",up_Irr!BR28="."),up_dir!W28/((1/1000)*(up_Irr!V28+up_Irr!AT28)),IF(AND(up_Irr!V28&lt;&gt;".",up_Irr!AT28=".",up_Irr!BR28&lt;&gt;"."),up_dir!W28/((1/1000)*(up_Irr!V28+up_Irr!BR28)),IF(AND(up_Irr!V28=".",up_Irr!AT28&lt;&gt;".",up_Irr!BR28&lt;&gt;"."),up_dir!W28/((1/1000)*(up_Irr!AT28+up_Irr!BR28)),IF(AND(up_Irr!V28=".",up_Irr!AT28=".",up_Irr!BR28&lt;&gt;"."),up_dir!W28/((1/1000)*(up_Irr!BR28)),IF(AND(up_Irr!V28=".",up_Irr!AT28&lt;&gt;".",up_Irr!BR28="."),up_dir!W28/((1/1000)*(up_Irr!AT28)),IF(AND(up_Irr!V28&lt;&gt;".",up_Irr!AT28=".",up_Irr!BR28="."),up_dir!W28/((1/1000)*(up_Irr!V28)),IF(AND(up_Irr!V28=".",up_Irr!AT28=".",up_Irr!BR28="."),up_dir!W28*1000)))))))),".")</f>
        <v>7.2351016258567334E-11</v>
      </c>
      <c r="X28" s="76">
        <f>IFERROR(IF(AND(up_Irr!W28&lt;&gt;".",up_Irr!AU28&lt;&gt;".",up_Irr!BS28&lt;&gt;"."),up_dir!X28/((1/1000)*(up_Irr!W28+up_Irr!AU28+up_Irr!BS28)),IF(AND(up_Irr!W28&lt;&gt;".",up_Irr!AU28&lt;&gt;".",up_Irr!BS28="."),up_dir!X28/((1/1000)*(up_Irr!W28+up_Irr!AU28)),IF(AND(up_Irr!W28&lt;&gt;".",up_Irr!AU28=".",up_Irr!BS28&lt;&gt;"."),up_dir!X28/((1/1000)*(up_Irr!W28+up_Irr!BS28)),IF(AND(up_Irr!W28=".",up_Irr!AU28&lt;&gt;".",up_Irr!BS28&lt;&gt;"."),up_dir!X28/((1/1000)*(up_Irr!AU28+up_Irr!BS28)),IF(AND(up_Irr!W28=".",up_Irr!AU28=".",up_Irr!BS28&lt;&gt;"."),up_dir!X28/((1/1000)*(up_Irr!BS28)),IF(AND(up_Irr!W28=".",up_Irr!AU28&lt;&gt;".",up_Irr!BS28="."),up_dir!X28/((1/1000)*(up_Irr!AU28)),IF(AND(up_Irr!W28&lt;&gt;".",up_Irr!AU28=".",up_Irr!BS28="."),up_dir!X28/((1/1000)*(up_Irr!W28)),IF(AND(up_Irr!W28=".",up_Irr!AU28=".",up_Irr!BS28="."),up_dir!X28*1000)))))))),".")</f>
        <v>7.2351016258567334E-11</v>
      </c>
      <c r="Y28" s="76">
        <f>IFERROR(IF(AND(up_Irr!X28&lt;&gt;".",up_Irr!AV28&lt;&gt;".",up_Irr!BT28&lt;&gt;"."),up_dir!Y28/((1/1000)*(up_Irr!X28+up_Irr!AV28+up_Irr!BT28)),IF(AND(up_Irr!X28&lt;&gt;".",up_Irr!AV28&lt;&gt;".",up_Irr!BT28="."),up_dir!Y28/((1/1000)*(up_Irr!X28+up_Irr!AV28)),IF(AND(up_Irr!X28&lt;&gt;".",up_Irr!AV28=".",up_Irr!BT28&lt;&gt;"."),up_dir!Y28/((1/1000)*(up_Irr!X28+up_Irr!BT28)),IF(AND(up_Irr!X28=".",up_Irr!AV28&lt;&gt;".",up_Irr!BT28&lt;&gt;"."),up_dir!Y28/((1/1000)*(up_Irr!AV28+up_Irr!BT28)),IF(AND(up_Irr!X28=".",up_Irr!AV28=".",up_Irr!BT28&lt;&gt;"."),up_dir!Y28/((1/1000)*(up_Irr!BT28)),IF(AND(up_Irr!X28=".",up_Irr!AV28&lt;&gt;".",up_Irr!BT28="."),up_dir!Y28/((1/1000)*(up_Irr!AV28)),IF(AND(up_Irr!X28&lt;&gt;".",up_Irr!AV28=".",up_Irr!BT28="."),up_dir!Y28/((1/1000)*(up_Irr!X28)),IF(AND(up_Irr!X28=".",up_Irr!AV28=".",up_Irr!BT28="."),up_dir!Y28*1000)))))))),".")</f>
        <v>7.2351016258567334E-11</v>
      </c>
      <c r="Z28" s="76">
        <f>IFERROR(IF(AND(up_Irr!Y28&lt;&gt;".",up_Irr!AW28&lt;&gt;".",up_Irr!BU28&lt;&gt;"."),up_dir!Z28/((1/1000)*(up_Irr!Y28+up_Irr!AW28+up_Irr!BU28)),IF(AND(up_Irr!Y28&lt;&gt;".",up_Irr!AW28&lt;&gt;".",up_Irr!BU28="."),up_dir!Z28/((1/1000)*(up_Irr!Y28+up_Irr!AW28)),IF(AND(up_Irr!Y28&lt;&gt;".",up_Irr!AW28=".",up_Irr!BU28&lt;&gt;"."),up_dir!Z28/((1/1000)*(up_Irr!Y28+up_Irr!BU28)),IF(AND(up_Irr!Y28=".",up_Irr!AW28&lt;&gt;".",up_Irr!BU28&lt;&gt;"."),up_dir!Z28/((1/1000)*(up_Irr!AW28+up_Irr!BU28)),IF(AND(up_Irr!Y28=".",up_Irr!AW28=".",up_Irr!BU28&lt;&gt;"."),up_dir!Z28/((1/1000)*(up_Irr!BU28)),IF(AND(up_Irr!Y28=".",up_Irr!AW28&lt;&gt;".",up_Irr!BU28="."),up_dir!Z28/((1/1000)*(up_Irr!AW28)),IF(AND(up_Irr!Y28&lt;&gt;".",up_Irr!AW28=".",up_Irr!BU28="."),up_dir!Z28/((1/1000)*(up_Irr!Y28)),IF(AND(up_Irr!Y28=".",up_Irr!AW28=".",up_Irr!BU28="."),up_dir!Z28*1000)))))))),".")</f>
        <v>7.2351016258567334E-11</v>
      </c>
      <c r="AA28" s="76">
        <f>IFERROR(IF(AND(up_Irr!Z28&lt;&gt;".",up_Irr!AX28&lt;&gt;".",up_Irr!BV28&lt;&gt;"."),up_dir!AA28/((1/1000)*(up_Irr!Z28+up_Irr!AX28+up_Irr!BV28)),IF(AND(up_Irr!Z28&lt;&gt;".",up_Irr!AX28&lt;&gt;".",up_Irr!BV28="."),up_dir!AA28/((1/1000)*(up_Irr!Z28+up_Irr!AX28)),IF(AND(up_Irr!Z28&lt;&gt;".",up_Irr!AX28=".",up_Irr!BV28&lt;&gt;"."),up_dir!AA28/((1/1000)*(up_Irr!Z28+up_Irr!BV28)),IF(AND(up_Irr!Z28=".",up_Irr!AX28&lt;&gt;".",up_Irr!BV28&lt;&gt;"."),up_dir!AA28/((1/1000)*(up_Irr!AX28+up_Irr!BV28)),IF(AND(up_Irr!Z28=".",up_Irr!AX28=".",up_Irr!BV28&lt;&gt;"."),up_dir!AA28/((1/1000)*(up_Irr!BV28)),IF(AND(up_Irr!Z28=".",up_Irr!AX28&lt;&gt;".",up_Irr!BV28="."),up_dir!AA28/((1/1000)*(up_Irr!AX28)),IF(AND(up_Irr!Z28&lt;&gt;".",up_Irr!AX28=".",up_Irr!BV28="."),up_dir!AA28/((1/1000)*(up_Irr!Z28)),IF(AND(up_Irr!Z28=".",up_Irr!AX28=".",up_Irr!BV28="."),up_dir!AA28*1000)))))))),".")</f>
        <v>7.2351016258567334E-11</v>
      </c>
      <c r="AB28" s="93">
        <f t="shared" ref="AB28:AB29" si="14">SUM(AC28:AD28,AY28:AZ28)</f>
        <v>55286.023705663516</v>
      </c>
      <c r="AC28" s="93">
        <f>IFERROR(s_C*s_IFAP_res_adj*s_CF_apple*0.001*(up_Irr!C28+up_Irr!AA28+up_Irr!AY28),".")</f>
        <v>13821.505926415879</v>
      </c>
      <c r="AD28" s="93">
        <f>IFERROR(s_C*s_IFAS_res_adj*s_CF_asparagus*0.001*(up_Irr!D28+up_Irr!AB28+up_Irr!AZ28),".")</f>
        <v>13821.505926415879</v>
      </c>
      <c r="AE28" s="93">
        <f>IFERROR(s_C*s_IFBT_res_adj*s_CF_beet*0.001*(up_Irr!E28+up_Irr!AC28+up_Irr!BA28),".")</f>
        <v>13821.505926415879</v>
      </c>
      <c r="AF28" s="93">
        <f>IFERROR(s_C*s_IFBE_res_adj*s_CF_berries*0.001*(up_Irr!F28+up_Irr!AD28+up_Irr!BB28),".")</f>
        <v>13821.505926415879</v>
      </c>
      <c r="AG28" s="93">
        <f>IFERROR(s_C*s_IFBR_res_adj*s_CF_broccoli*0.001*(up_Irr!G28+up_Irr!AE28+up_Irr!BC28),".")</f>
        <v>13821.505926415879</v>
      </c>
      <c r="AH28" s="93">
        <f>IFERROR(s_C*s_IFCB_res_adj*s_CF_cabbage*0.001*(up_Irr!H28+up_Irr!AF28+up_Irr!BD28),".")</f>
        <v>13821.505926415879</v>
      </c>
      <c r="AI28" s="93">
        <f>IFERROR(s_C*s_IFCR_res_adj*s_CF_carrot*0.001*(up_Irr!I28+up_Irr!AG28+up_Irr!BE28),".")</f>
        <v>13821.505926415879</v>
      </c>
      <c r="AJ28" s="93">
        <f>IFERROR(s_C*s_IFCI_res_adj*s_CF_citrus*0.001*(up_Irr!J28+up_Irr!AH28+up_Irr!BF28),".")</f>
        <v>13821.505926415879</v>
      </c>
      <c r="AK28" s="93">
        <f>IFERROR(s_C*s_IFCO_res_adj*s_CF_corn*0.001*(up_Irr!K28+up_Irr!AI28+up_Irr!BG28),".")</f>
        <v>13821.505926415879</v>
      </c>
      <c r="AL28" s="93">
        <f>IFERROR(s_C*s_IFCU_res_adj*s_CF_cucumber*0.001*(up_Irr!L28+up_Irr!AJ28+up_Irr!BH28),".")</f>
        <v>13821.505926415879</v>
      </c>
      <c r="AM28" s="93">
        <f>IFERROR(s_C*s_IFLE_res_adj*s_CF_lettuce*0.001*(up_Irr!M28+up_Irr!AK28+up_Irr!BI28),".")</f>
        <v>13821.505926415879</v>
      </c>
      <c r="AN28" s="93">
        <f>IFERROR(s_C*s_IFLI_res_adj*s_CF_lima_bean*0.001*(up_Irr!N28+up_Irr!AL28+up_Irr!BJ28),".")</f>
        <v>13821.505926415879</v>
      </c>
      <c r="AO28" s="93">
        <f>IFERROR(s_C*s_IFOK_res_adj*s_CF_okra*0.001*(up_Irr!O28+up_Irr!AM28+up_Irr!BK28),".")</f>
        <v>13821.505926415879</v>
      </c>
      <c r="AP28" s="93">
        <f>IFERROR(s_C*s_IFON_res_adj*s_CF_onion*0.001*(up_Irr!P28+up_Irr!AN28+up_Irr!BL28),".")</f>
        <v>13821.505926415879</v>
      </c>
      <c r="AQ28" s="93">
        <f>IFERROR(s_C*s_IFPC_res_adj*s_CF_peach*0.001*(up_Irr!Q28+up_Irr!AO28+up_Irr!BM28),".")</f>
        <v>13821.505926415879</v>
      </c>
      <c r="AR28" s="93">
        <f>IFERROR(s_C*s_IFPR_res_adj*s_CF_pear*0.001*(up_Irr!R28+up_Irr!AP28+up_Irr!BN28),".")</f>
        <v>13821.505926415879</v>
      </c>
      <c r="AS28" s="93">
        <f>IFERROR(s_C*s_IFPE_res_adj*s_CF_peas*0.001*(up_Irr!S28+up_Irr!AQ28+up_Irr!BO28),".")</f>
        <v>13821.505926415879</v>
      </c>
      <c r="AT28" s="93">
        <f>IFERROR(s_C*s_IFPT_res_adj*s_CF_potato*0.001*(up_Irr!T28+up_Irr!AR28+up_Irr!BP28),".")</f>
        <v>13821.505926415879</v>
      </c>
      <c r="AU28" s="93">
        <f>IFERROR(s_C*s_IFPU_res_adj*s_CF_pumpkin*0.001*(up_Irr!U28+up_Irr!AS28+up_Irr!BQ28),".")</f>
        <v>13821.505926415879</v>
      </c>
      <c r="AV28" s="93">
        <f>IFERROR(s_C*s_IFSN_res_adj*s_CF_snap_bean*0.001*(up_Irr!V28+up_Irr!AT28+up_Irr!BR28),".")</f>
        <v>13821.505926415879</v>
      </c>
      <c r="AW28" s="93">
        <f>IFERROR(s_C*s_IFST_res_adj*s_CF_strawberry*0.001*(up_Irr!W28+up_Irr!AU28+up_Irr!BS28),".")</f>
        <v>13821.505926415879</v>
      </c>
      <c r="AX28" s="93">
        <f>IFERROR(s_C*s_IFTO_res_adj*s_CF_tomato*0.001*(up_Irr!X28+up_Irr!AV28+up_Irr!BT28),".")</f>
        <v>13821.505926415879</v>
      </c>
      <c r="AY28" s="93">
        <f>IFERROR(s_C*s_IFRI_res_adj*s_CF_rice*0.001*(up_Irr!Y28+up_Irr!AW28+up_Irr!BU28),".")</f>
        <v>13821.505926415879</v>
      </c>
      <c r="AZ28" s="93">
        <f>IFERROR(s_C*s_IFCG_res_adj*s_CF_cereal*0.001*(up_Irr!Z28+up_Irr!AX28+up_Irr!BV28),".")</f>
        <v>13821.505926415879</v>
      </c>
      <c r="BA28" s="76">
        <f t="shared" si="12"/>
        <v>1.8087754064641833E-11</v>
      </c>
      <c r="BB28" s="76">
        <f>IFERROR(IF(AND(up_Irr!C28&lt;&gt;".",up_Irr!AA28&lt;&gt;".",up_Irr!AY28&lt;&gt;"."),up_dir!AC28/((1/1000)*(up_Irr!C28+up_Irr!AA28+up_Irr!AY28)),IF(AND(up_Irr!C28&lt;&gt;".",up_Irr!AA28&lt;&gt;".",up_Irr!AY28="."),up_dir!AC28/((1/1000)*(up_Irr!C28+up_Irr!AA28)),IF(AND(up_Irr!C28&lt;&gt;".",up_Irr!AA28=".",up_Irr!AY28&lt;&gt;"."),up_dir!AC28/((1/1000)*(up_Irr!C28+up_Irr!AY28)),IF(AND(up_Irr!C28=".",up_Irr!AA28&lt;&gt;".",up_Irr!AY28&lt;&gt;"."),up_dir!AC28/((1/1000)*(up_Irr!AA28+up_Irr!AY28)),IF(AND(up_Irr!C28=".",up_Irr!AA28=".",up_Irr!AY28&lt;&gt;"."),up_dir!AC28/((1/1000)*(up_Irr!AY28)),IF(AND(up_Irr!C28=".",up_Irr!AA28&lt;&gt;".",up_Irr!AY28="."),up_dir!AC28/((1/1000)*(up_Irr!AA28)),IF(AND(up_Irr!C28&lt;&gt;".",up_Irr!AA28=".",up_Irr!AY28="."),up_dir!AC28/((1/1000)*(up_Irr!C28)),IF(AND(up_Irr!C28=".",up_Irr!AA28=".",up_Irr!AY28="."),up_dir!AC28*1000)))))))),".")</f>
        <v>7.2351016258567334E-11</v>
      </c>
      <c r="BC28" s="76">
        <f>IFERROR(IF(AND(up_Irr!D28&lt;&gt;".",up_Irr!AB28&lt;&gt;".",up_Irr!AZ28&lt;&gt;"."),up_dir!AD28/((1/1000)*(up_Irr!D28+up_Irr!AB28+up_Irr!AZ28)),IF(AND(up_Irr!D28&lt;&gt;".",up_Irr!AB28&lt;&gt;".",up_Irr!AZ28="."),up_dir!AD28/((1/1000)*(up_Irr!D28+up_Irr!AB28)),IF(AND(up_Irr!D28&lt;&gt;".",up_Irr!AB28=".",up_Irr!AZ28&lt;&gt;"."),up_dir!AD28/((1/1000)*(up_Irr!D28+up_Irr!AZ28)),IF(AND(up_Irr!D28=".",up_Irr!AB28&lt;&gt;".",up_Irr!AZ28&lt;&gt;"."),up_dir!AD28/((1/1000)*(up_Irr!AB28+up_Irr!AZ28)),IF(AND(up_Irr!D28=".",up_Irr!AB28=".",up_Irr!AZ28&lt;&gt;"."),up_dir!AD28/((1/1000)*(up_Irr!AZ28)),IF(AND(up_Irr!D28=".",up_Irr!AB28&lt;&gt;".",up_Irr!AZ28="."),up_dir!AD28/((1/1000)*(up_Irr!AB28)),IF(AND(up_Irr!D28&lt;&gt;".",up_Irr!AB28=".",up_Irr!AZ28="."),up_dir!AD28/((1/1000)*(up_Irr!D28)),IF(AND(up_Irr!D28=".",up_Irr!AB28=".",up_Irr!AZ28="."),up_dir!AD28*1000)))))))),".")</f>
        <v>7.2351016258567334E-11</v>
      </c>
      <c r="BD28" s="76">
        <f>IFERROR(IF(AND(up_Irr!E28&lt;&gt;".",up_Irr!AC28&lt;&gt;".",up_Irr!BA28&lt;&gt;"."),up_dir!AE28/((1/1000)*(up_Irr!E28+up_Irr!AC28+up_Irr!BA28)),IF(AND(up_Irr!E28&lt;&gt;".",up_Irr!AC28&lt;&gt;".",up_Irr!BA28="."),up_dir!AE28/((1/1000)*(up_Irr!E28+up_Irr!AC28)),IF(AND(up_Irr!E28&lt;&gt;".",up_Irr!AC28=".",up_Irr!BA28&lt;&gt;"."),up_dir!AE28/((1/1000)*(up_Irr!E28+up_Irr!BA28)),IF(AND(up_Irr!E28=".",up_Irr!AC28&lt;&gt;".",up_Irr!BA28&lt;&gt;"."),up_dir!AE28/((1/1000)*(up_Irr!AC28+up_Irr!BA28)),IF(AND(up_Irr!E28=".",up_Irr!AC28=".",up_Irr!BA28&lt;&gt;"."),up_dir!AE28/((1/1000)*(up_Irr!BA28)),IF(AND(up_Irr!E28=".",up_Irr!AC28&lt;&gt;".",up_Irr!BA28="."),up_dir!AE28/((1/1000)*(up_Irr!AC28)),IF(AND(up_Irr!E28&lt;&gt;".",up_Irr!AC28=".",up_Irr!BA28="."),up_dir!AE28/((1/1000)*(up_Irr!E28)),IF(AND(up_Irr!E28=".",up_Irr!AC28=".",up_Irr!BA28="."),up_dir!AE28*1000)))))))),".")</f>
        <v>7.2351016258567334E-11</v>
      </c>
      <c r="BE28" s="76">
        <f>IFERROR(IF(AND(up_Irr!F28&lt;&gt;".",up_Irr!AD28&lt;&gt;".",up_Irr!BB28&lt;&gt;"."),up_dir!AF28/((1/1000)*(up_Irr!F28+up_Irr!AD28+up_Irr!BB28)),IF(AND(up_Irr!F28&lt;&gt;".",up_Irr!AD28&lt;&gt;".",up_Irr!BB28="."),up_dir!AF28/((1/1000)*(up_Irr!F28+up_Irr!AD28)),IF(AND(up_Irr!F28&lt;&gt;".",up_Irr!AD28=".",up_Irr!BB28&lt;&gt;"."),up_dir!AF28/((1/1000)*(up_Irr!F28+up_Irr!BB28)),IF(AND(up_Irr!F28=".",up_Irr!AD28&lt;&gt;".",up_Irr!BB28&lt;&gt;"."),up_dir!AF28/((1/1000)*(up_Irr!AD28+up_Irr!BB28)),IF(AND(up_Irr!F28=".",up_Irr!AD28=".",up_Irr!BB28&lt;&gt;"."),up_dir!AF28/((1/1000)*(up_Irr!BB28)),IF(AND(up_Irr!F28=".",up_Irr!AD28&lt;&gt;".",up_Irr!BB28="."),up_dir!AF28/((1/1000)*(up_Irr!AD28)),IF(AND(up_Irr!F28&lt;&gt;".",up_Irr!AD28=".",up_Irr!BB28="."),up_dir!AF28/((1/1000)*(up_Irr!F28)),IF(AND(up_Irr!F28=".",up_Irr!AD28=".",up_Irr!BB28="."),up_dir!AF28*1000)))))))),".")</f>
        <v>7.2351016258567334E-11</v>
      </c>
      <c r="BF28" s="76">
        <f>IFERROR(IF(AND(up_Irr!G28&lt;&gt;".",up_Irr!AE28&lt;&gt;".",up_Irr!BC28&lt;&gt;"."),up_dir!AG28/((1/1000)*(up_Irr!G28+up_Irr!AE28+up_Irr!BC28)),IF(AND(up_Irr!G28&lt;&gt;".",up_Irr!AE28&lt;&gt;".",up_Irr!BC28="."),up_dir!AG28/((1/1000)*(up_Irr!G28+up_Irr!AE28)),IF(AND(up_Irr!G28&lt;&gt;".",up_Irr!AE28=".",up_Irr!BC28&lt;&gt;"."),up_dir!AG28/((1/1000)*(up_Irr!G28+up_Irr!BC28)),IF(AND(up_Irr!G28=".",up_Irr!AE28&lt;&gt;".",up_Irr!BC28&lt;&gt;"."),up_dir!AG28/((1/1000)*(up_Irr!AE28+up_Irr!BC28)),IF(AND(up_Irr!G28=".",up_Irr!AE28=".",up_Irr!BC28&lt;&gt;"."),up_dir!AG28/((1/1000)*(up_Irr!BC28)),IF(AND(up_Irr!G28=".",up_Irr!AE28&lt;&gt;".",up_Irr!BC28="."),up_dir!AG28/((1/1000)*(up_Irr!AE28)),IF(AND(up_Irr!G28&lt;&gt;".",up_Irr!AE28=".",up_Irr!BC28="."),up_dir!AG28/((1/1000)*(up_Irr!G28)),IF(AND(up_Irr!G28=".",up_Irr!AE28=".",up_Irr!BC28="."),up_dir!AG28*1000)))))))),".")</f>
        <v>7.2351016258567334E-11</v>
      </c>
      <c r="BG28" s="76">
        <f>IFERROR(IF(AND(up_Irr!H28&lt;&gt;".",up_Irr!AF28&lt;&gt;".",up_Irr!BD28&lt;&gt;"."),up_dir!AH28/((1/1000)*(up_Irr!H28+up_Irr!AF28+up_Irr!BD28)),IF(AND(up_Irr!H28&lt;&gt;".",up_Irr!AF28&lt;&gt;".",up_Irr!BD28="."),up_dir!AH28/((1/1000)*(up_Irr!H28+up_Irr!AF28)),IF(AND(up_Irr!H28&lt;&gt;".",up_Irr!AF28=".",up_Irr!BD28&lt;&gt;"."),up_dir!AH28/((1/1000)*(up_Irr!H28+up_Irr!BD28)),IF(AND(up_Irr!H28=".",up_Irr!AF28&lt;&gt;".",up_Irr!BD28&lt;&gt;"."),up_dir!AH28/((1/1000)*(up_Irr!AF28+up_Irr!BD28)),IF(AND(up_Irr!H28=".",up_Irr!AF28=".",up_Irr!BD28&lt;&gt;"."),up_dir!AH28/((1/1000)*(up_Irr!BD28)),IF(AND(up_Irr!H28=".",up_Irr!AF28&lt;&gt;".",up_Irr!BD28="."),up_dir!AH28/((1/1000)*(up_Irr!AF28)),IF(AND(up_Irr!H28&lt;&gt;".",up_Irr!AF28=".",up_Irr!BD28="."),up_dir!AH28/((1/1000)*(up_Irr!H28)),IF(AND(up_Irr!H28=".",up_Irr!AF28=".",up_Irr!BD28="."),up_dir!AH28*1000)))))))),".")</f>
        <v>7.2351016258567334E-11</v>
      </c>
      <c r="BH28" s="76">
        <f>IFERROR(IF(AND(up_Irr!I28&lt;&gt;".",up_Irr!AG28&lt;&gt;".",up_Irr!BE28&lt;&gt;"."),up_dir!AI28/((1/1000)*(up_Irr!I28+up_Irr!AG28+up_Irr!BE28)),IF(AND(up_Irr!I28&lt;&gt;".",up_Irr!AG28&lt;&gt;".",up_Irr!BE28="."),up_dir!AI28/((1/1000)*(up_Irr!I28+up_Irr!AG28)),IF(AND(up_Irr!I28&lt;&gt;".",up_Irr!AG28=".",up_Irr!BE28&lt;&gt;"."),up_dir!AI28/((1/1000)*(up_Irr!I28+up_Irr!BE28)),IF(AND(up_Irr!I28=".",up_Irr!AG28&lt;&gt;".",up_Irr!BE28&lt;&gt;"."),up_dir!AI28/((1/1000)*(up_Irr!AG28+up_Irr!BE28)),IF(AND(up_Irr!I28=".",up_Irr!AG28=".",up_Irr!BE28&lt;&gt;"."),up_dir!AI28/((1/1000)*(up_Irr!BE28)),IF(AND(up_Irr!I28=".",up_Irr!AG28&lt;&gt;".",up_Irr!BE28="."),up_dir!AI28/((1/1000)*(up_Irr!AG28)),IF(AND(up_Irr!I28&lt;&gt;".",up_Irr!AG28=".",up_Irr!BE28="."),up_dir!AI28/((1/1000)*(up_Irr!I28)),IF(AND(up_Irr!I28=".",up_Irr!AG28=".",up_Irr!BE28="."),up_dir!AI28*1000)))))))),".")</f>
        <v>7.2351016258567334E-11</v>
      </c>
      <c r="BI28" s="76">
        <f>IFERROR(IF(AND(up_Irr!J28&lt;&gt;".",up_Irr!AH28&lt;&gt;".",up_Irr!BF28&lt;&gt;"."),up_dir!AJ28/((1/1000)*(up_Irr!J28+up_Irr!AH28+up_Irr!BF28)),IF(AND(up_Irr!J28&lt;&gt;".",up_Irr!AH28&lt;&gt;".",up_Irr!BF28="."),up_dir!AJ28/((1/1000)*(up_Irr!J28+up_Irr!AH28)),IF(AND(up_Irr!J28&lt;&gt;".",up_Irr!AH28=".",up_Irr!BF28&lt;&gt;"."),up_dir!AJ28/((1/1000)*(up_Irr!J28+up_Irr!BF28)),IF(AND(up_Irr!J28=".",up_Irr!AH28&lt;&gt;".",up_Irr!BF28&lt;&gt;"."),up_dir!AJ28/((1/1000)*(up_Irr!AH28+up_Irr!BF28)),IF(AND(up_Irr!J28=".",up_Irr!AH28=".",up_Irr!BF28&lt;&gt;"."),up_dir!AJ28/((1/1000)*(up_Irr!BF28)),IF(AND(up_Irr!J28=".",up_Irr!AH28&lt;&gt;".",up_Irr!BF28="."),up_dir!AJ28/((1/1000)*(up_Irr!AH28)),IF(AND(up_Irr!J28&lt;&gt;".",up_Irr!AH28=".",up_Irr!BF28="."),up_dir!AJ28/((1/1000)*(up_Irr!J28)),IF(AND(up_Irr!J28=".",up_Irr!AH28=".",up_Irr!BF28="."),up_dir!AJ28*1000)))))))),".")</f>
        <v>7.2351016258567334E-11</v>
      </c>
      <c r="BJ28" s="76">
        <f>IFERROR(IF(AND(up_Irr!K28&lt;&gt;".",up_Irr!AI28&lt;&gt;".",up_Irr!BG28&lt;&gt;"."),up_dir!AK28/((1/1000)*(up_Irr!K28+up_Irr!AI28+up_Irr!BG28)),IF(AND(up_Irr!K28&lt;&gt;".",up_Irr!AI28&lt;&gt;".",up_Irr!BG28="."),up_dir!AK28/((1/1000)*(up_Irr!K28+up_Irr!AI28)),IF(AND(up_Irr!K28&lt;&gt;".",up_Irr!AI28=".",up_Irr!BG28&lt;&gt;"."),up_dir!AK28/((1/1000)*(up_Irr!K28+up_Irr!BG28)),IF(AND(up_Irr!K28=".",up_Irr!AI28&lt;&gt;".",up_Irr!BG28&lt;&gt;"."),up_dir!AK28/((1/1000)*(up_Irr!AI28+up_Irr!BG28)),IF(AND(up_Irr!K28=".",up_Irr!AI28=".",up_Irr!BG28&lt;&gt;"."),up_dir!AK28/((1/1000)*(up_Irr!BG28)),IF(AND(up_Irr!K28=".",up_Irr!AI28&lt;&gt;".",up_Irr!BG28="."),up_dir!AK28/((1/1000)*(up_Irr!AI28)),IF(AND(up_Irr!K28&lt;&gt;".",up_Irr!AI28=".",up_Irr!BG28="."),up_dir!AK28/((1/1000)*(up_Irr!K28)),IF(AND(up_Irr!K28=".",up_Irr!AI28=".",up_Irr!BG28="."),up_dir!AK28*1000)))))))),".")</f>
        <v>7.2351016258567334E-11</v>
      </c>
      <c r="BK28" s="76">
        <f>IFERROR(IF(AND(up_Irr!L28&lt;&gt;".",up_Irr!AJ28&lt;&gt;".",up_Irr!BH28&lt;&gt;"."),up_dir!AL28/((1/1000)*(up_Irr!L28+up_Irr!AJ28+up_Irr!BH28)),IF(AND(up_Irr!L28&lt;&gt;".",up_Irr!AJ28&lt;&gt;".",up_Irr!BH28="."),up_dir!AL28/((1/1000)*(up_Irr!L28+up_Irr!AJ28)),IF(AND(up_Irr!L28&lt;&gt;".",up_Irr!AJ28=".",up_Irr!BH28&lt;&gt;"."),up_dir!AL28/((1/1000)*(up_Irr!L28+up_Irr!BH28)),IF(AND(up_Irr!L28=".",up_Irr!AJ28&lt;&gt;".",up_Irr!BH28&lt;&gt;"."),up_dir!AL28/((1/1000)*(up_Irr!AJ28+up_Irr!BH28)),IF(AND(up_Irr!L28=".",up_Irr!AJ28=".",up_Irr!BH28&lt;&gt;"."),up_dir!AL28/((1/1000)*(up_Irr!BH28)),IF(AND(up_Irr!L28=".",up_Irr!AJ28&lt;&gt;".",up_Irr!BH28="."),up_dir!AL28/((1/1000)*(up_Irr!AJ28)),IF(AND(up_Irr!L28&lt;&gt;".",up_Irr!AJ28=".",up_Irr!BH28="."),up_dir!AL28/((1/1000)*(up_Irr!L28)),IF(AND(up_Irr!L28=".",up_Irr!AJ28=".",up_Irr!BH28="."),up_dir!AL28*1000)))))))),".")</f>
        <v>7.2351016258567334E-11</v>
      </c>
      <c r="BL28" s="76">
        <f>IFERROR(IF(AND(up_Irr!M28&lt;&gt;".",up_Irr!AK28&lt;&gt;".",up_Irr!BI28&lt;&gt;"."),up_dir!AM28/((1/1000)*(up_Irr!M28+up_Irr!AK28+up_Irr!BI28)),IF(AND(up_Irr!M28&lt;&gt;".",up_Irr!AK28&lt;&gt;".",up_Irr!BI28="."),up_dir!AM28/((1/1000)*(up_Irr!M28+up_Irr!AK28)),IF(AND(up_Irr!M28&lt;&gt;".",up_Irr!AK28=".",up_Irr!BI28&lt;&gt;"."),up_dir!AM28/((1/1000)*(up_Irr!M28+up_Irr!BI28)),IF(AND(up_Irr!M28=".",up_Irr!AK28&lt;&gt;".",up_Irr!BI28&lt;&gt;"."),up_dir!AM28/((1/1000)*(up_Irr!AK28+up_Irr!BI28)),IF(AND(up_Irr!M28=".",up_Irr!AK28=".",up_Irr!BI28&lt;&gt;"."),up_dir!AM28/((1/1000)*(up_Irr!BI28)),IF(AND(up_Irr!M28=".",up_Irr!AK28&lt;&gt;".",up_Irr!BI28="."),up_dir!AM28/((1/1000)*(up_Irr!AK28)),IF(AND(up_Irr!M28&lt;&gt;".",up_Irr!AK28=".",up_Irr!BI28="."),up_dir!AM28/((1/1000)*(up_Irr!M28)),IF(AND(up_Irr!M28=".",up_Irr!AK28=".",up_Irr!BI28="."),up_dir!AM28*1000)))))))),".")</f>
        <v>7.2351016258567334E-11</v>
      </c>
      <c r="BM28" s="76">
        <f>IFERROR(IF(AND(up_Irr!N28&lt;&gt;".",up_Irr!AL28&lt;&gt;".",up_Irr!BJ28&lt;&gt;"."),up_dir!AN28/((1/1000)*(up_Irr!N28+up_Irr!AL28+up_Irr!BJ28)),IF(AND(up_Irr!N28&lt;&gt;".",up_Irr!AL28&lt;&gt;".",up_Irr!BJ28="."),up_dir!AN28/((1/1000)*(up_Irr!N28+up_Irr!AL28)),IF(AND(up_Irr!N28&lt;&gt;".",up_Irr!AL28=".",up_Irr!BJ28&lt;&gt;"."),up_dir!AN28/((1/1000)*(up_Irr!N28+up_Irr!BJ28)),IF(AND(up_Irr!N28=".",up_Irr!AL28&lt;&gt;".",up_Irr!BJ28&lt;&gt;"."),up_dir!AN28/((1/1000)*(up_Irr!AL28+up_Irr!BJ28)),IF(AND(up_Irr!N28=".",up_Irr!AL28=".",up_Irr!BJ28&lt;&gt;"."),up_dir!AN28/((1/1000)*(up_Irr!BJ28)),IF(AND(up_Irr!N28=".",up_Irr!AL28&lt;&gt;".",up_Irr!BJ28="."),up_dir!AN28/((1/1000)*(up_Irr!AL28)),IF(AND(up_Irr!N28&lt;&gt;".",up_Irr!AL28=".",up_Irr!BJ28="."),up_dir!AN28/((1/1000)*(up_Irr!N28)),IF(AND(up_Irr!N28=".",up_Irr!AL28=".",up_Irr!BJ28="."),up_dir!AN28*1000)))))))),".")</f>
        <v>7.2351016258567334E-11</v>
      </c>
      <c r="BN28" s="76">
        <f>IFERROR(IF(AND(up_Irr!O28&lt;&gt;".",up_Irr!AM28&lt;&gt;".",up_Irr!BK28&lt;&gt;"."),up_dir!AO28/((1/1000)*(up_Irr!O28+up_Irr!AM28+up_Irr!BK28)),IF(AND(up_Irr!O28&lt;&gt;".",up_Irr!AM28&lt;&gt;".",up_Irr!BK28="."),up_dir!AO28/((1/1000)*(up_Irr!O28+up_Irr!AM28)),IF(AND(up_Irr!O28&lt;&gt;".",up_Irr!AM28=".",up_Irr!BK28&lt;&gt;"."),up_dir!AO28/((1/1000)*(up_Irr!O28+up_Irr!BK28)),IF(AND(up_Irr!O28=".",up_Irr!AM28&lt;&gt;".",up_Irr!BK28&lt;&gt;"."),up_dir!AO28/((1/1000)*(up_Irr!AM28+up_Irr!BK28)),IF(AND(up_Irr!O28=".",up_Irr!AM28=".",up_Irr!BK28&lt;&gt;"."),up_dir!AO28/((1/1000)*(up_Irr!BK28)),IF(AND(up_Irr!O28=".",up_Irr!AM28&lt;&gt;".",up_Irr!BK28="."),up_dir!AO28/((1/1000)*(up_Irr!AM28)),IF(AND(up_Irr!O28&lt;&gt;".",up_Irr!AM28=".",up_Irr!BK28="."),up_dir!AO28/((1/1000)*(up_Irr!O28)),IF(AND(up_Irr!O28=".",up_Irr!AM28=".",up_Irr!BK28="."),up_dir!AO28*1000)))))))),".")</f>
        <v>7.2351016258567334E-11</v>
      </c>
      <c r="BO28" s="76">
        <f>IFERROR(IF(AND(up_Irr!P28&lt;&gt;".",up_Irr!AN28&lt;&gt;".",up_Irr!BL28&lt;&gt;"."),up_dir!AP28/((1/1000)*(up_Irr!P28+up_Irr!AN28+up_Irr!BL28)),IF(AND(up_Irr!P28&lt;&gt;".",up_Irr!AN28&lt;&gt;".",up_Irr!BL28="."),up_dir!AP28/((1/1000)*(up_Irr!P28+up_Irr!AN28)),IF(AND(up_Irr!P28&lt;&gt;".",up_Irr!AN28=".",up_Irr!BL28&lt;&gt;"."),up_dir!AP28/((1/1000)*(up_Irr!P28+up_Irr!BL28)),IF(AND(up_Irr!P28=".",up_Irr!AN28&lt;&gt;".",up_Irr!BL28&lt;&gt;"."),up_dir!AP28/((1/1000)*(up_Irr!AN28+up_Irr!BL28)),IF(AND(up_Irr!P28=".",up_Irr!AN28=".",up_Irr!BL28&lt;&gt;"."),up_dir!AP28/((1/1000)*(up_Irr!BL28)),IF(AND(up_Irr!P28=".",up_Irr!AN28&lt;&gt;".",up_Irr!BL28="."),up_dir!AP28/((1/1000)*(up_Irr!AN28)),IF(AND(up_Irr!P28&lt;&gt;".",up_Irr!AN28=".",up_Irr!BL28="."),up_dir!AP28/((1/1000)*(up_Irr!P28)),IF(AND(up_Irr!P28=".",up_Irr!AN28=".",up_Irr!BL28="."),up_dir!AP28*1000)))))))),".")</f>
        <v>7.2351016258567334E-11</v>
      </c>
      <c r="BP28" s="76">
        <f>IFERROR(IF(AND(up_Irr!Q28&lt;&gt;".",up_Irr!AO28&lt;&gt;".",up_Irr!BM28&lt;&gt;"."),up_dir!AQ28/((1/1000)*(up_Irr!Q28+up_Irr!AO28+up_Irr!BM28)),IF(AND(up_Irr!Q28&lt;&gt;".",up_Irr!AO28&lt;&gt;".",up_Irr!BM28="."),up_dir!AQ28/((1/1000)*(up_Irr!Q28+up_Irr!AO28)),IF(AND(up_Irr!Q28&lt;&gt;".",up_Irr!AO28=".",up_Irr!BM28&lt;&gt;"."),up_dir!AQ28/((1/1000)*(up_Irr!Q28+up_Irr!BM28)),IF(AND(up_Irr!Q28=".",up_Irr!AO28&lt;&gt;".",up_Irr!BM28&lt;&gt;"."),up_dir!AQ28/((1/1000)*(up_Irr!AO28+up_Irr!BM28)),IF(AND(up_Irr!Q28=".",up_Irr!AO28=".",up_Irr!BM28&lt;&gt;"."),up_dir!AQ28/((1/1000)*(up_Irr!BM28)),IF(AND(up_Irr!Q28=".",up_Irr!AO28&lt;&gt;".",up_Irr!BM28="."),up_dir!AQ28/((1/1000)*(up_Irr!AO28)),IF(AND(up_Irr!Q28&lt;&gt;".",up_Irr!AO28=".",up_Irr!BM28="."),up_dir!AQ28/((1/1000)*(up_Irr!Q28)),IF(AND(up_Irr!Q28=".",up_Irr!AO28=".",up_Irr!BM28="."),up_dir!AQ28*1000)))))))),".")</f>
        <v>7.2351016258567334E-11</v>
      </c>
      <c r="BQ28" s="76">
        <f>IFERROR(IF(AND(up_Irr!R28&lt;&gt;".",up_Irr!AP28&lt;&gt;".",up_Irr!BN28&lt;&gt;"."),up_dir!AR28/((1/1000)*(up_Irr!R28+up_Irr!AP28+up_Irr!BN28)),IF(AND(up_Irr!R28&lt;&gt;".",up_Irr!AP28&lt;&gt;".",up_Irr!BN28="."),up_dir!AR28/((1/1000)*(up_Irr!R28+up_Irr!AP28)),IF(AND(up_Irr!R28&lt;&gt;".",up_Irr!AP28=".",up_Irr!BN28&lt;&gt;"."),up_dir!AR28/((1/1000)*(up_Irr!R28+up_Irr!BN28)),IF(AND(up_Irr!R28=".",up_Irr!AP28&lt;&gt;".",up_Irr!BN28&lt;&gt;"."),up_dir!AR28/((1/1000)*(up_Irr!AP28+up_Irr!BN28)),IF(AND(up_Irr!R28=".",up_Irr!AP28=".",up_Irr!BN28&lt;&gt;"."),up_dir!AR28/((1/1000)*(up_Irr!BN28)),IF(AND(up_Irr!R28=".",up_Irr!AP28&lt;&gt;".",up_Irr!BN28="."),up_dir!AR28/((1/1000)*(up_Irr!AP28)),IF(AND(up_Irr!R28&lt;&gt;".",up_Irr!AP28=".",up_Irr!BN28="."),up_dir!AR28/((1/1000)*(up_Irr!R28)),IF(AND(up_Irr!R28=".",up_Irr!AP28=".",up_Irr!BN28="."),up_dir!AR28*1000)))))))),".")</f>
        <v>7.2351016258567334E-11</v>
      </c>
      <c r="BR28" s="76">
        <f>IFERROR(IF(AND(up_Irr!S28&lt;&gt;".",up_Irr!AQ28&lt;&gt;".",up_Irr!BO28&lt;&gt;"."),up_dir!AS28/((1/1000)*(up_Irr!S28+up_Irr!AQ28+up_Irr!BO28)),IF(AND(up_Irr!S28&lt;&gt;".",up_Irr!AQ28&lt;&gt;".",up_Irr!BO28="."),up_dir!AS28/((1/1000)*(up_Irr!S28+up_Irr!AQ28)),IF(AND(up_Irr!S28&lt;&gt;".",up_Irr!AQ28=".",up_Irr!BO28&lt;&gt;"."),up_dir!AS28/((1/1000)*(up_Irr!S28+up_Irr!BO28)),IF(AND(up_Irr!S28=".",up_Irr!AQ28&lt;&gt;".",up_Irr!BO28&lt;&gt;"."),up_dir!AS28/((1/1000)*(up_Irr!AQ28+up_Irr!BO28)),IF(AND(up_Irr!S28=".",up_Irr!AQ28=".",up_Irr!BO28&lt;&gt;"."),up_dir!AS28/((1/1000)*(up_Irr!BO28)),IF(AND(up_Irr!S28=".",up_Irr!AQ28&lt;&gt;".",up_Irr!BO28="."),up_dir!AS28/((1/1000)*(up_Irr!AQ28)),IF(AND(up_Irr!S28&lt;&gt;".",up_Irr!AQ28=".",up_Irr!BO28="."),up_dir!AS28/((1/1000)*(up_Irr!S28)),IF(AND(up_Irr!S28=".",up_Irr!AQ28=".",up_Irr!BO28="."),up_dir!AS28*1000)))))))),".")</f>
        <v>7.2351016258567334E-11</v>
      </c>
      <c r="BS28" s="76">
        <f>IFERROR(IF(AND(up_Irr!T28&lt;&gt;".",up_Irr!AR28&lt;&gt;".",up_Irr!BP28&lt;&gt;"."),up_dir!AT28/((1/1000)*(up_Irr!T28+up_Irr!AR28+up_Irr!BP28)),IF(AND(up_Irr!T28&lt;&gt;".",up_Irr!AR28&lt;&gt;".",up_Irr!BP28="."),up_dir!AT28/((1/1000)*(up_Irr!T28+up_Irr!AR28)),IF(AND(up_Irr!T28&lt;&gt;".",up_Irr!AR28=".",up_Irr!BP28&lt;&gt;"."),up_dir!AT28/((1/1000)*(up_Irr!T28+up_Irr!BP28)),IF(AND(up_Irr!T28=".",up_Irr!AR28&lt;&gt;".",up_Irr!BP28&lt;&gt;"."),up_dir!AT28/((1/1000)*(up_Irr!AR28+up_Irr!BP28)),IF(AND(up_Irr!T28=".",up_Irr!AR28=".",up_Irr!BP28&lt;&gt;"."),up_dir!AT28/((1/1000)*(up_Irr!BP28)),IF(AND(up_Irr!T28=".",up_Irr!AR28&lt;&gt;".",up_Irr!BP28="."),up_dir!AT28/((1/1000)*(up_Irr!AR28)),IF(AND(up_Irr!T28&lt;&gt;".",up_Irr!AR28=".",up_Irr!BP28="."),up_dir!AT28/((1/1000)*(up_Irr!T28)),IF(AND(up_Irr!T28=".",up_Irr!AR28=".",up_Irr!BP28="."),up_dir!AT28*1000)))))))),".")</f>
        <v>7.2351016258567334E-11</v>
      </c>
      <c r="BT28" s="76">
        <f>IFERROR(IF(AND(up_Irr!U28&lt;&gt;".",up_Irr!AS28&lt;&gt;".",up_Irr!BQ28&lt;&gt;"."),up_dir!AU28/((1/1000)*(up_Irr!U28+up_Irr!AS28+up_Irr!BQ28)),IF(AND(up_Irr!U28&lt;&gt;".",up_Irr!AS28&lt;&gt;".",up_Irr!BQ28="."),up_dir!AU28/((1/1000)*(up_Irr!U28+up_Irr!AS28)),IF(AND(up_Irr!U28&lt;&gt;".",up_Irr!AS28=".",up_Irr!BQ28&lt;&gt;"."),up_dir!AU28/((1/1000)*(up_Irr!U28+up_Irr!BQ28)),IF(AND(up_Irr!U28=".",up_Irr!AS28&lt;&gt;".",up_Irr!BQ28&lt;&gt;"."),up_dir!AU28/((1/1000)*(up_Irr!AS28+up_Irr!BQ28)),IF(AND(up_Irr!U28=".",up_Irr!AS28=".",up_Irr!BQ28&lt;&gt;"."),up_dir!AU28/((1/1000)*(up_Irr!BQ28)),IF(AND(up_Irr!U28=".",up_Irr!AS28&lt;&gt;".",up_Irr!BQ28="."),up_dir!AU28/((1/1000)*(up_Irr!AS28)),IF(AND(up_Irr!U28&lt;&gt;".",up_Irr!AS28=".",up_Irr!BQ28="."),up_dir!AU28/((1/1000)*(up_Irr!U28)),IF(AND(up_Irr!U28=".",up_Irr!AS28=".",up_Irr!BQ28="."),up_dir!AU28*1000)))))))),".")</f>
        <v>7.2351016258567334E-11</v>
      </c>
      <c r="BU28" s="76">
        <f>IFERROR(IF(AND(up_Irr!V28&lt;&gt;".",up_Irr!AT28&lt;&gt;".",up_Irr!BR28&lt;&gt;"."),up_dir!AV28/((1/1000)*(up_Irr!V28+up_Irr!AT28+up_Irr!BR28)),IF(AND(up_Irr!V28&lt;&gt;".",up_Irr!AT28&lt;&gt;".",up_Irr!BR28="."),up_dir!AV28/((1/1000)*(up_Irr!V28+up_Irr!AT28)),IF(AND(up_Irr!V28&lt;&gt;".",up_Irr!AT28=".",up_Irr!BR28&lt;&gt;"."),up_dir!AV28/((1/1000)*(up_Irr!V28+up_Irr!BR28)),IF(AND(up_Irr!V28=".",up_Irr!AT28&lt;&gt;".",up_Irr!BR28&lt;&gt;"."),up_dir!AV28/((1/1000)*(up_Irr!AT28+up_Irr!BR28)),IF(AND(up_Irr!V28=".",up_Irr!AT28=".",up_Irr!BR28&lt;&gt;"."),up_dir!AV28/((1/1000)*(up_Irr!BR28)),IF(AND(up_Irr!V28=".",up_Irr!AT28&lt;&gt;".",up_Irr!BR28="."),up_dir!AV28/((1/1000)*(up_Irr!AT28)),IF(AND(up_Irr!V28&lt;&gt;".",up_Irr!AT28=".",up_Irr!BR28="."),up_dir!AV28/((1/1000)*(up_Irr!V28)),IF(AND(up_Irr!V28=".",up_Irr!AT28=".",up_Irr!BR28="."),up_dir!AV28*1000)))))))),".")</f>
        <v>7.2351016258567334E-11</v>
      </c>
      <c r="BV28" s="76">
        <f>IFERROR(IF(AND(up_Irr!W28&lt;&gt;".",up_Irr!AU28&lt;&gt;".",up_Irr!BS28&lt;&gt;"."),up_dir!AW28/((1/1000)*(up_Irr!W28+up_Irr!AU28+up_Irr!BS28)),IF(AND(up_Irr!W28&lt;&gt;".",up_Irr!AU28&lt;&gt;".",up_Irr!BS28="."),up_dir!AW28/((1/1000)*(up_Irr!W28+up_Irr!AU28)),IF(AND(up_Irr!W28&lt;&gt;".",up_Irr!AU28=".",up_Irr!BS28&lt;&gt;"."),up_dir!AW28/((1/1000)*(up_Irr!W28+up_Irr!BS28)),IF(AND(up_Irr!W28=".",up_Irr!AU28&lt;&gt;".",up_Irr!BS28&lt;&gt;"."),up_dir!AW28/((1/1000)*(up_Irr!AU28+up_Irr!BS28)),IF(AND(up_Irr!W28=".",up_Irr!AU28=".",up_Irr!BS28&lt;&gt;"."),up_dir!AW28/((1/1000)*(up_Irr!BS28)),IF(AND(up_Irr!W28=".",up_Irr!AU28&lt;&gt;".",up_Irr!BS28="."),up_dir!AW28/((1/1000)*(up_Irr!AU28)),IF(AND(up_Irr!W28&lt;&gt;".",up_Irr!AU28=".",up_Irr!BS28="."),up_dir!AW28/((1/1000)*(up_Irr!W28)),IF(AND(up_Irr!W28=".",up_Irr!AU28=".",up_Irr!BS28="."),up_dir!AW28*1000)))))))),".")</f>
        <v>7.2351016258567334E-11</v>
      </c>
      <c r="BW28" s="76">
        <f>IFERROR(IF(AND(up_Irr!X28&lt;&gt;".",up_Irr!AV28&lt;&gt;".",up_Irr!BT28&lt;&gt;"."),up_dir!AX28/((1/1000)*(up_Irr!X28+up_Irr!AV28+up_Irr!BT28)),IF(AND(up_Irr!X28&lt;&gt;".",up_Irr!AV28&lt;&gt;".",up_Irr!BT28="."),up_dir!AX28/((1/1000)*(up_Irr!X28+up_Irr!AV28)),IF(AND(up_Irr!X28&lt;&gt;".",up_Irr!AV28=".",up_Irr!BT28&lt;&gt;"."),up_dir!AX28/((1/1000)*(up_Irr!X28+up_Irr!BT28)),IF(AND(up_Irr!X28=".",up_Irr!AV28&lt;&gt;".",up_Irr!BT28&lt;&gt;"."),up_dir!AX28/((1/1000)*(up_Irr!AV28+up_Irr!BT28)),IF(AND(up_Irr!X28=".",up_Irr!AV28=".",up_Irr!BT28&lt;&gt;"."),up_dir!AX28/((1/1000)*(up_Irr!BT28)),IF(AND(up_Irr!X28=".",up_Irr!AV28&lt;&gt;".",up_Irr!BT28="."),up_dir!AX28/((1/1000)*(up_Irr!AV28)),IF(AND(up_Irr!X28&lt;&gt;".",up_Irr!AV28=".",up_Irr!BT28="."),up_dir!AX28/((1/1000)*(up_Irr!X28)),IF(AND(up_Irr!X28=".",up_Irr!AV28=".",up_Irr!BT28="."),up_dir!AX28*1000)))))))),".")</f>
        <v>7.2351016258567334E-11</v>
      </c>
      <c r="BX28" s="76">
        <f>IFERROR(IF(AND(up_Irr!Y28&lt;&gt;".",up_Irr!AW28&lt;&gt;".",up_Irr!BU28&lt;&gt;"."),up_dir!AY28/((1/1000)*(up_Irr!Y28+up_Irr!AW28+up_Irr!BU28)),IF(AND(up_Irr!Y28&lt;&gt;".",up_Irr!AW28&lt;&gt;".",up_Irr!BU28="."),up_dir!AY28/((1/1000)*(up_Irr!Y28+up_Irr!AW28)),IF(AND(up_Irr!Y28&lt;&gt;".",up_Irr!AW28=".",up_Irr!BU28&lt;&gt;"."),up_dir!AY28/((1/1000)*(up_Irr!Y28+up_Irr!BU28)),IF(AND(up_Irr!Y28=".",up_Irr!AW28&lt;&gt;".",up_Irr!BU28&lt;&gt;"."),up_dir!AY28/((1/1000)*(up_Irr!AW28+up_Irr!BU28)),IF(AND(up_Irr!Y28=".",up_Irr!AW28=".",up_Irr!BU28&lt;&gt;"."),up_dir!AY28/((1/1000)*(up_Irr!BU28)),IF(AND(up_Irr!Y28=".",up_Irr!AW28&lt;&gt;".",up_Irr!BU28="."),up_dir!AY28/((1/1000)*(up_Irr!AW28)),IF(AND(up_Irr!Y28&lt;&gt;".",up_Irr!AW28=".",up_Irr!BU28="."),up_dir!AY28/((1/1000)*(up_Irr!Y28)),IF(AND(up_Irr!Y28=".",up_Irr!AW28=".",up_Irr!BU28="."),up_dir!AY28*1000)))))))),".")</f>
        <v>7.2351016258567334E-11</v>
      </c>
      <c r="BY28" s="76">
        <f>IFERROR(IF(AND(up_Irr!Z28&lt;&gt;".",up_Irr!AX28&lt;&gt;".",up_Irr!BV28&lt;&gt;"."),up_dir!AZ28/((1/1000)*(up_Irr!Z28+up_Irr!AX28+up_Irr!BV28)),IF(AND(up_Irr!Z28&lt;&gt;".",up_Irr!AX28&lt;&gt;".",up_Irr!BV28="."),up_dir!AZ28/((1/1000)*(up_Irr!Z28+up_Irr!AX28)),IF(AND(up_Irr!Z28&lt;&gt;".",up_Irr!AX28=".",up_Irr!BV28&lt;&gt;"."),up_dir!AZ28/((1/1000)*(up_Irr!Z28+up_Irr!BV28)),IF(AND(up_Irr!Z28=".",up_Irr!AX28&lt;&gt;".",up_Irr!BV28&lt;&gt;"."),up_dir!AZ28/((1/1000)*(up_Irr!AX28+up_Irr!BV28)),IF(AND(up_Irr!Z28=".",up_Irr!AX28=".",up_Irr!BV28&lt;&gt;"."),up_dir!AZ28/((1/1000)*(up_Irr!BV28)),IF(AND(up_Irr!Z28=".",up_Irr!AX28&lt;&gt;".",up_Irr!BV28="."),up_dir!AZ28/((1/1000)*(up_Irr!AX28)),IF(AND(up_Irr!Z28&lt;&gt;".",up_Irr!AX28=".",up_Irr!BV28="."),up_dir!AZ28/((1/1000)*(up_Irr!Z28)),IF(AND(up_Irr!Z28=".",up_Irr!AX28=".",up_Irr!BV28="."),up_dir!AZ28*1000)))))))),".")</f>
        <v>7.2351016258567334E-11</v>
      </c>
      <c r="BZ28" s="93">
        <f t="shared" ref="BZ28:BZ29" si="15">SUM(CA28:CB28,CW28:CX28)</f>
        <v>55286.023705663516</v>
      </c>
      <c r="CA28" s="93">
        <f>IFERROR(s_C*s_IFAP_far_adj*s_CF_apple*(1/1000)*(up_Irr!C28+up_Irr!AA28+up_Irr!AY28),".")</f>
        <v>13821.505926415879</v>
      </c>
      <c r="CB28" s="93">
        <f>IFERROR(s_C*s_IFAS_far_adj*s_CF_asparagus*(1/1000)*(up_Irr!D28+up_Irr!AB28+up_Irr!AZ28),".")</f>
        <v>13821.505926415879</v>
      </c>
      <c r="CC28" s="93">
        <f>IFERROR(s_C*s_IFBT_far_adj*s_CF_beet*(1/1000)*(up_Irr!E28+up_Irr!AC28+up_Irr!BA28),".")</f>
        <v>13821.505926415879</v>
      </c>
      <c r="CD28" s="93">
        <f>IFERROR(s_C*s_IFBE_far_adj*s_CF_berries*(1/1000)*(up_Irr!F28+up_Irr!AD28+up_Irr!BB28),".")</f>
        <v>13821.505926415879</v>
      </c>
      <c r="CE28" s="93">
        <f>IFERROR(s_C*s_IFBR_far_adj*s_CF_broccoli*(1/1000)*(up_Irr!G28+up_Irr!AE28+up_Irr!BC28),".")</f>
        <v>13821.505926415879</v>
      </c>
      <c r="CF28" s="93">
        <f>IFERROR(s_C*s_IFCB_far_adj*s_CF_cabbage*(1/1000)*(up_Irr!H28+up_Irr!AF28+up_Irr!BD28),".")</f>
        <v>13821.505926415879</v>
      </c>
      <c r="CG28" s="93">
        <f>IFERROR(s_C*s_IFCR_far_adj*s_CF_carrot*(1/1000)*(up_Irr!I28+up_Irr!AG28+up_Irr!BE28),".")</f>
        <v>13821.505926415879</v>
      </c>
      <c r="CH28" s="93">
        <f>IFERROR(s_C*s_IFCI_far_adj*s_CF_citrus*(1/1000)*(up_Irr!J28+up_Irr!AH28+up_Irr!BF28),".")</f>
        <v>13821.505926415879</v>
      </c>
      <c r="CI28" s="93">
        <f>IFERROR(s_C*s_IFCO_far_adj*s_CF_corn*(1/1000)*(up_Irr!K28+up_Irr!AI28+up_Irr!BG28),".")</f>
        <v>13821.505926415879</v>
      </c>
      <c r="CJ28" s="93">
        <f>IFERROR(s_C*s_IFCU_far_adj*s_CF_cucumber*(1/1000)*(up_Irr!L28+up_Irr!AJ28+up_Irr!BH28),".")</f>
        <v>13821.505926415879</v>
      </c>
      <c r="CK28" s="93">
        <f>IFERROR(s_C*s_IFLE_far_adj*s_CF_lettuce*(1/1000)*(up_Irr!M28+up_Irr!AK28+up_Irr!BI28),".")</f>
        <v>13821.505926415879</v>
      </c>
      <c r="CL28" s="93">
        <f>IFERROR(s_C*s_IFLI_far_adj*s_CF_lima_bean*(1/1000)*(up_Irr!N28+up_Irr!AL28+up_Irr!BJ28),".")</f>
        <v>13821.505926415879</v>
      </c>
      <c r="CM28" s="93">
        <f>IFERROR(s_C*s_IFOK_far_adj*s_CF_okra*(1/1000)*(up_Irr!O28+up_Irr!AM28+up_Irr!BK28),".")</f>
        <v>13821.505926415879</v>
      </c>
      <c r="CN28" s="93">
        <f>IFERROR(s_C*s_IFON_far_adj*s_CF_onion*(1/1000)*(up_Irr!P28+up_Irr!AN28+up_Irr!BL28),".")</f>
        <v>13821.505926415879</v>
      </c>
      <c r="CO28" s="93">
        <f>IFERROR(s_C*s_IFPC_far_adj*s_CF_peach*(1/1000)*(up_Irr!Q28+up_Irr!AO28+up_Irr!BM28),".")</f>
        <v>13821.505926415879</v>
      </c>
      <c r="CP28" s="93">
        <f>IFERROR(s_C*s_IFPR_far_adj*s_CF_pear*(1/1000)*(up_Irr!R28+up_Irr!AP28+up_Irr!BN28),".")</f>
        <v>13821.505926415879</v>
      </c>
      <c r="CQ28" s="93">
        <f>IFERROR(s_C*s_IFPE_far_adj*s_CF_peas*(1/1000)*(up_Irr!S28+up_Irr!AQ28+up_Irr!BO28),".")</f>
        <v>13821.505926415879</v>
      </c>
      <c r="CR28" s="93">
        <f>IFERROR(s_C*s_IFPT_far_adj*s_CF_potato*(1/1000)*(up_Irr!T28+up_Irr!AR28+up_Irr!BP28),".")</f>
        <v>13821.505926415879</v>
      </c>
      <c r="CS28" s="93">
        <f>IFERROR(s_C*s_IFPU_far_adj*s_CF_pumpkin*(1/1000)*(up_Irr!U28+up_Irr!AS28+up_Irr!BQ28),".")</f>
        <v>13821.505926415879</v>
      </c>
      <c r="CT28" s="93">
        <f>IFERROR(s_C*s_IFSN_far_adj*s_CF_snap_bean*(1/1000)*(up_Irr!V28+up_Irr!AT28+up_Irr!BR28),".")</f>
        <v>13821.505926415879</v>
      </c>
      <c r="CU28" s="93">
        <f>IFERROR(s_C*s_IFST_far_adj*s_CF_strawberry*(1/1000)*(up_Irr!W28+up_Irr!AU28+up_Irr!BS28),".")</f>
        <v>13821.505926415879</v>
      </c>
      <c r="CV28" s="93">
        <f>IFERROR(s_C*s_IFTO_far_adj*s_CF_tomato*(1/1000)*(up_Irr!X28+up_Irr!AV28+up_Irr!BT28),".")</f>
        <v>13821.505926415879</v>
      </c>
      <c r="CW28" s="93">
        <f>IFERROR(s_C*s_IFRI_far_adj*s_CF_rice*(1/1000)*(up_Irr!Y28+up_Irr!AW28+up_Irr!BU28),".")</f>
        <v>13821.505926415879</v>
      </c>
      <c r="CX28" s="93">
        <f>IFERROR(s_C*s_IFCG_far_adj*s_CF_cereal*(1/1000)*(up_Irr!Z28+up_Irr!AX28+up_Irr!BV28),".")</f>
        <v>13821.505926415879</v>
      </c>
    </row>
    <row r="29" spans="1:102" ht="15" customHeight="1" x14ac:dyDescent="0.25">
      <c r="A29" s="92" t="s">
        <v>39</v>
      </c>
      <c r="B29" s="90" t="s">
        <v>1074</v>
      </c>
      <c r="C29" s="76">
        <f t="shared" si="0"/>
        <v>1.8087754064641833E-11</v>
      </c>
      <c r="D29" s="76">
        <f>IFERROR(IF(AND(up_Irr!C29&lt;&gt;".",up_Irr!AA29&lt;&gt;".",up_Irr!AY29&lt;&gt;"."),up_dir!D29/((1/1000)*(up_Irr!C29+up_Irr!AA29+up_Irr!AY29)),IF(AND(up_Irr!C29&lt;&gt;".",up_Irr!AA29&lt;&gt;".",up_Irr!AY29="."),up_dir!D29/((1/1000)*(up_Irr!C29+up_Irr!AA29)),IF(AND(up_Irr!C29&lt;&gt;".",up_Irr!AA29=".",up_Irr!AY29&lt;&gt;"."),up_dir!D29/((1/1000)*(up_Irr!C29+up_Irr!AY29)),IF(AND(up_Irr!C29=".",up_Irr!AA29&lt;&gt;".",up_Irr!AY29&lt;&gt;"."),up_dir!D29/((1/1000)*(up_Irr!AA29+up_Irr!AY29)),IF(AND(up_Irr!C29=".",up_Irr!AA29=".",up_Irr!AY29&lt;&gt;"."),up_dir!D29/((1/1000)*(up_Irr!AY29)),IF(AND(up_Irr!C29=".",up_Irr!AA29&lt;&gt;".",up_Irr!AY29="."),up_dir!D29/((1/1000)*(up_Irr!AA29)),IF(AND(up_Irr!C29&lt;&gt;".",up_Irr!AA29=".",up_Irr!AY29="."),up_dir!D29/((1/1000)*(up_Irr!C29)),IF(AND(up_Irr!C29=".",up_Irr!AA29=".",up_Irr!AY29="."),up_dir!D29*1000)))))))),".")</f>
        <v>7.2351016258567334E-11</v>
      </c>
      <c r="E29" s="76">
        <f>IFERROR(IF(AND(up_Irr!D29&lt;&gt;".",up_Irr!AB29&lt;&gt;".",up_Irr!AZ29&lt;&gt;"."),up_dir!E29/((1/1000)*(up_Irr!D29+up_Irr!AB29+up_Irr!AZ29)),IF(AND(up_Irr!D29&lt;&gt;".",up_Irr!AB29&lt;&gt;".",up_Irr!AZ29="."),up_dir!E29/((1/1000)*(up_Irr!D29+up_Irr!AB29)),IF(AND(up_Irr!D29&lt;&gt;".",up_Irr!AB29=".",up_Irr!AZ29&lt;&gt;"."),up_dir!E29/((1/1000)*(up_Irr!D29+up_Irr!AZ29)),IF(AND(up_Irr!D29=".",up_Irr!AB29&lt;&gt;".",up_Irr!AZ29&lt;&gt;"."),up_dir!E29/((1/1000)*(up_Irr!AB29+up_Irr!AZ29)),IF(AND(up_Irr!D29=".",up_Irr!AB29=".",up_Irr!AZ29&lt;&gt;"."),up_dir!E29/((1/1000)*(up_Irr!AZ29)),IF(AND(up_Irr!D29=".",up_Irr!AB29&lt;&gt;".",up_Irr!AZ29="."),up_dir!E29/((1/1000)*(up_Irr!AB29)),IF(AND(up_Irr!D29&lt;&gt;".",up_Irr!AB29=".",up_Irr!AZ29="."),up_dir!E29/((1/1000)*(up_Irr!D29)),IF(AND(up_Irr!D29=".",up_Irr!AB29=".",up_Irr!AZ29="."),up_dir!E29*1000)))))))),".")</f>
        <v>7.2351016258567334E-11</v>
      </c>
      <c r="F29" s="76">
        <f>IFERROR(IF(AND(up_Irr!E29&lt;&gt;".",up_Irr!AC29&lt;&gt;".",up_Irr!BA29&lt;&gt;"."),up_dir!F29/((1/1000)*(up_Irr!E29+up_Irr!AC29+up_Irr!BA29)),IF(AND(up_Irr!E29&lt;&gt;".",up_Irr!AC29&lt;&gt;".",up_Irr!BA29="."),up_dir!F29/((1/1000)*(up_Irr!E29+up_Irr!AC29)),IF(AND(up_Irr!E29&lt;&gt;".",up_Irr!AC29=".",up_Irr!BA29&lt;&gt;"."),up_dir!F29/((1/1000)*(up_Irr!E29+up_Irr!BA29)),IF(AND(up_Irr!E29=".",up_Irr!AC29&lt;&gt;".",up_Irr!BA29&lt;&gt;"."),up_dir!F29/((1/1000)*(up_Irr!AC29+up_Irr!BA29)),IF(AND(up_Irr!E29=".",up_Irr!AC29=".",up_Irr!BA29&lt;&gt;"."),up_dir!F29/((1/1000)*(up_Irr!BA29)),IF(AND(up_Irr!E29=".",up_Irr!AC29&lt;&gt;".",up_Irr!BA29="."),up_dir!F29/((1/1000)*(up_Irr!AC29)),IF(AND(up_Irr!E29&lt;&gt;".",up_Irr!AC29=".",up_Irr!BA29="."),up_dir!F29/((1/1000)*(up_Irr!E29)),IF(AND(up_Irr!E29=".",up_Irr!AC29=".",up_Irr!BA29="."),up_dir!F29*1000)))))))),".")</f>
        <v>7.2351016258567334E-11</v>
      </c>
      <c r="G29" s="76">
        <f>IFERROR(IF(AND(up_Irr!F29&lt;&gt;".",up_Irr!AD29&lt;&gt;".",up_Irr!BB29&lt;&gt;"."),up_dir!G29/((1/1000)*(up_Irr!F29+up_Irr!AD29+up_Irr!BB29)),IF(AND(up_Irr!F29&lt;&gt;".",up_Irr!AD29&lt;&gt;".",up_Irr!BB29="."),up_dir!G29/((1/1000)*(up_Irr!F29+up_Irr!AD29)),IF(AND(up_Irr!F29&lt;&gt;".",up_Irr!AD29=".",up_Irr!BB29&lt;&gt;"."),up_dir!G29/((1/1000)*(up_Irr!F29+up_Irr!BB29)),IF(AND(up_Irr!F29=".",up_Irr!AD29&lt;&gt;".",up_Irr!BB29&lt;&gt;"."),up_dir!G29/((1/1000)*(up_Irr!AD29+up_Irr!BB29)),IF(AND(up_Irr!F29=".",up_Irr!AD29=".",up_Irr!BB29&lt;&gt;"."),up_dir!G29/((1/1000)*(up_Irr!BB29)),IF(AND(up_Irr!F29=".",up_Irr!AD29&lt;&gt;".",up_Irr!BB29="."),up_dir!G29/((1/1000)*(up_Irr!AD29)),IF(AND(up_Irr!F29&lt;&gt;".",up_Irr!AD29=".",up_Irr!BB29="."),up_dir!G29/((1/1000)*(up_Irr!F29)),IF(AND(up_Irr!F29=".",up_Irr!AD29=".",up_Irr!BB29="."),up_dir!G29*1000)))))))),".")</f>
        <v>7.2351016258567334E-11</v>
      </c>
      <c r="H29" s="76">
        <f>IFERROR(IF(AND(up_Irr!G29&lt;&gt;".",up_Irr!AE29&lt;&gt;".",up_Irr!BC29&lt;&gt;"."),up_dir!H29/((1/1000)*(up_Irr!G29+up_Irr!AE29+up_Irr!BC29)),IF(AND(up_Irr!G29&lt;&gt;".",up_Irr!AE29&lt;&gt;".",up_Irr!BC29="."),up_dir!H29/((1/1000)*(up_Irr!G29+up_Irr!AE29)),IF(AND(up_Irr!G29&lt;&gt;".",up_Irr!AE29=".",up_Irr!BC29&lt;&gt;"."),up_dir!H29/((1/1000)*(up_Irr!G29+up_Irr!BC29)),IF(AND(up_Irr!G29=".",up_Irr!AE29&lt;&gt;".",up_Irr!BC29&lt;&gt;"."),up_dir!H29/((1/1000)*(up_Irr!AE29+up_Irr!BC29)),IF(AND(up_Irr!G29=".",up_Irr!AE29=".",up_Irr!BC29&lt;&gt;"."),up_dir!H29/((1/1000)*(up_Irr!BC29)),IF(AND(up_Irr!G29=".",up_Irr!AE29&lt;&gt;".",up_Irr!BC29="."),up_dir!H29/((1/1000)*(up_Irr!AE29)),IF(AND(up_Irr!G29&lt;&gt;".",up_Irr!AE29=".",up_Irr!BC29="."),up_dir!H29/((1/1000)*(up_Irr!G29)),IF(AND(up_Irr!G29=".",up_Irr!AE29=".",up_Irr!BC29="."),up_dir!H29*1000)))))))),".")</f>
        <v>7.2351016258567334E-11</v>
      </c>
      <c r="I29" s="76">
        <f>IFERROR(IF(AND(up_Irr!H29&lt;&gt;".",up_Irr!AF29&lt;&gt;".",up_Irr!BD29&lt;&gt;"."),up_dir!I29/((1/1000)*(up_Irr!H29+up_Irr!AF29+up_Irr!BD29)),IF(AND(up_Irr!H29&lt;&gt;".",up_Irr!AF29&lt;&gt;".",up_Irr!BD29="."),up_dir!I29/((1/1000)*(up_Irr!H29+up_Irr!AF29)),IF(AND(up_Irr!H29&lt;&gt;".",up_Irr!AF29=".",up_Irr!BD29&lt;&gt;"."),up_dir!I29/((1/1000)*(up_Irr!H29+up_Irr!BD29)),IF(AND(up_Irr!H29=".",up_Irr!AF29&lt;&gt;".",up_Irr!BD29&lt;&gt;"."),up_dir!I29/((1/1000)*(up_Irr!AF29+up_Irr!BD29)),IF(AND(up_Irr!H29=".",up_Irr!AF29=".",up_Irr!BD29&lt;&gt;"."),up_dir!I29/((1/1000)*(up_Irr!BD29)),IF(AND(up_Irr!H29=".",up_Irr!AF29&lt;&gt;".",up_Irr!BD29="."),up_dir!I29/((1/1000)*(up_Irr!AF29)),IF(AND(up_Irr!H29&lt;&gt;".",up_Irr!AF29=".",up_Irr!BD29="."),up_dir!I29/((1/1000)*(up_Irr!H29)),IF(AND(up_Irr!H29=".",up_Irr!AF29=".",up_Irr!BD29="."),up_dir!I29*1000)))))))),".")</f>
        <v>7.2351016258567334E-11</v>
      </c>
      <c r="J29" s="76">
        <f>IFERROR(IF(AND(up_Irr!I29&lt;&gt;".",up_Irr!AG29&lt;&gt;".",up_Irr!BE29&lt;&gt;"."),up_dir!J29/((1/1000)*(up_Irr!I29+up_Irr!AG29+up_Irr!BE29)),IF(AND(up_Irr!I29&lt;&gt;".",up_Irr!AG29&lt;&gt;".",up_Irr!BE29="."),up_dir!J29/((1/1000)*(up_Irr!I29+up_Irr!AG29)),IF(AND(up_Irr!I29&lt;&gt;".",up_Irr!AG29=".",up_Irr!BE29&lt;&gt;"."),up_dir!J29/((1/1000)*(up_Irr!I29+up_Irr!BE29)),IF(AND(up_Irr!I29=".",up_Irr!AG29&lt;&gt;".",up_Irr!BE29&lt;&gt;"."),up_dir!J29/((1/1000)*(up_Irr!AG29+up_Irr!BE29)),IF(AND(up_Irr!I29=".",up_Irr!AG29=".",up_Irr!BE29&lt;&gt;"."),up_dir!J29/((1/1000)*(up_Irr!BE29)),IF(AND(up_Irr!I29=".",up_Irr!AG29&lt;&gt;".",up_Irr!BE29="."),up_dir!J29/((1/1000)*(up_Irr!AG29)),IF(AND(up_Irr!I29&lt;&gt;".",up_Irr!AG29=".",up_Irr!BE29="."),up_dir!J29/((1/1000)*(up_Irr!I29)),IF(AND(up_Irr!I29=".",up_Irr!AG29=".",up_Irr!BE29="."),up_dir!J29*1000)))))))),".")</f>
        <v>7.2351016258567334E-11</v>
      </c>
      <c r="K29" s="76">
        <f>IFERROR(IF(AND(up_Irr!J29&lt;&gt;".",up_Irr!AH29&lt;&gt;".",up_Irr!BF29&lt;&gt;"."),up_dir!K29/((1/1000)*(up_Irr!J29+up_Irr!AH29+up_Irr!BF29)),IF(AND(up_Irr!J29&lt;&gt;".",up_Irr!AH29&lt;&gt;".",up_Irr!BF29="."),up_dir!K29/((1/1000)*(up_Irr!J29+up_Irr!AH29)),IF(AND(up_Irr!J29&lt;&gt;".",up_Irr!AH29=".",up_Irr!BF29&lt;&gt;"."),up_dir!K29/((1/1000)*(up_Irr!J29+up_Irr!BF29)),IF(AND(up_Irr!J29=".",up_Irr!AH29&lt;&gt;".",up_Irr!BF29&lt;&gt;"."),up_dir!K29/((1/1000)*(up_Irr!AH29+up_Irr!BF29)),IF(AND(up_Irr!J29=".",up_Irr!AH29=".",up_Irr!BF29&lt;&gt;"."),up_dir!K29/((1/1000)*(up_Irr!BF29)),IF(AND(up_Irr!J29=".",up_Irr!AH29&lt;&gt;".",up_Irr!BF29="."),up_dir!K29/((1/1000)*(up_Irr!AH29)),IF(AND(up_Irr!J29&lt;&gt;".",up_Irr!AH29=".",up_Irr!BF29="."),up_dir!K29/((1/1000)*(up_Irr!J29)),IF(AND(up_Irr!J29=".",up_Irr!AH29=".",up_Irr!BF29="."),up_dir!K29*1000)))))))),".")</f>
        <v>7.2351016258567334E-11</v>
      </c>
      <c r="L29" s="76">
        <f>IFERROR(IF(AND(up_Irr!K29&lt;&gt;".",up_Irr!AI29&lt;&gt;".",up_Irr!BG29&lt;&gt;"."),up_dir!L29/((1/1000)*(up_Irr!K29+up_Irr!AI29+up_Irr!BG29)),IF(AND(up_Irr!K29&lt;&gt;".",up_Irr!AI29&lt;&gt;".",up_Irr!BG29="."),up_dir!L29/((1/1000)*(up_Irr!K29+up_Irr!AI29)),IF(AND(up_Irr!K29&lt;&gt;".",up_Irr!AI29=".",up_Irr!BG29&lt;&gt;"."),up_dir!L29/((1/1000)*(up_Irr!K29+up_Irr!BG29)),IF(AND(up_Irr!K29=".",up_Irr!AI29&lt;&gt;".",up_Irr!BG29&lt;&gt;"."),up_dir!L29/((1/1000)*(up_Irr!AI29+up_Irr!BG29)),IF(AND(up_Irr!K29=".",up_Irr!AI29=".",up_Irr!BG29&lt;&gt;"."),up_dir!L29/((1/1000)*(up_Irr!BG29)),IF(AND(up_Irr!K29=".",up_Irr!AI29&lt;&gt;".",up_Irr!BG29="."),up_dir!L29/((1/1000)*(up_Irr!AI29)),IF(AND(up_Irr!K29&lt;&gt;".",up_Irr!AI29=".",up_Irr!BG29="."),up_dir!L29/((1/1000)*(up_Irr!K29)),IF(AND(up_Irr!K29=".",up_Irr!AI29=".",up_Irr!BG29="."),up_dir!L29*1000)))))))),".")</f>
        <v>7.2351016258567334E-11</v>
      </c>
      <c r="M29" s="76">
        <f>IFERROR(IF(AND(up_Irr!L29&lt;&gt;".",up_Irr!AJ29&lt;&gt;".",up_Irr!BH29&lt;&gt;"."),up_dir!M29/((1/1000)*(up_Irr!L29+up_Irr!AJ29+up_Irr!BH29)),IF(AND(up_Irr!L29&lt;&gt;".",up_Irr!AJ29&lt;&gt;".",up_Irr!BH29="."),up_dir!M29/((1/1000)*(up_Irr!L29+up_Irr!AJ29)),IF(AND(up_Irr!L29&lt;&gt;".",up_Irr!AJ29=".",up_Irr!BH29&lt;&gt;"."),up_dir!M29/((1/1000)*(up_Irr!L29+up_Irr!BH29)),IF(AND(up_Irr!L29=".",up_Irr!AJ29&lt;&gt;".",up_Irr!BH29&lt;&gt;"."),up_dir!M29/((1/1000)*(up_Irr!AJ29+up_Irr!BH29)),IF(AND(up_Irr!L29=".",up_Irr!AJ29=".",up_Irr!BH29&lt;&gt;"."),up_dir!M29/((1/1000)*(up_Irr!BH29)),IF(AND(up_Irr!L29=".",up_Irr!AJ29&lt;&gt;".",up_Irr!BH29="."),up_dir!M29/((1/1000)*(up_Irr!AJ29)),IF(AND(up_Irr!L29&lt;&gt;".",up_Irr!AJ29=".",up_Irr!BH29="."),up_dir!M29/((1/1000)*(up_Irr!L29)),IF(AND(up_Irr!L29=".",up_Irr!AJ29=".",up_Irr!BH29="."),up_dir!M29*1000)))))))),".")</f>
        <v>7.2351016258567334E-11</v>
      </c>
      <c r="N29" s="76">
        <f>IFERROR(IF(AND(up_Irr!M29&lt;&gt;".",up_Irr!AK29&lt;&gt;".",up_Irr!BI29&lt;&gt;"."),up_dir!N29/((1/1000)*(up_Irr!M29+up_Irr!AK29+up_Irr!BI29)),IF(AND(up_Irr!M29&lt;&gt;".",up_Irr!AK29&lt;&gt;".",up_Irr!BI29="."),up_dir!N29/((1/1000)*(up_Irr!M29+up_Irr!AK29)),IF(AND(up_Irr!M29&lt;&gt;".",up_Irr!AK29=".",up_Irr!BI29&lt;&gt;"."),up_dir!N29/((1/1000)*(up_Irr!M29+up_Irr!BI29)),IF(AND(up_Irr!M29=".",up_Irr!AK29&lt;&gt;".",up_Irr!BI29&lt;&gt;"."),up_dir!N29/((1/1000)*(up_Irr!AK29+up_Irr!BI29)),IF(AND(up_Irr!M29=".",up_Irr!AK29=".",up_Irr!BI29&lt;&gt;"."),up_dir!N29/((1/1000)*(up_Irr!BI29)),IF(AND(up_Irr!M29=".",up_Irr!AK29&lt;&gt;".",up_Irr!BI29="."),up_dir!N29/((1/1000)*(up_Irr!AK29)),IF(AND(up_Irr!M29&lt;&gt;".",up_Irr!AK29=".",up_Irr!BI29="."),up_dir!N29/((1/1000)*(up_Irr!M29)),IF(AND(up_Irr!M29=".",up_Irr!AK29=".",up_Irr!BI29="."),up_dir!N29*1000)))))))),".")</f>
        <v>7.2351016258567334E-11</v>
      </c>
      <c r="O29" s="76">
        <f>IFERROR(IF(AND(up_Irr!N29&lt;&gt;".",up_Irr!AL29&lt;&gt;".",up_Irr!BJ29&lt;&gt;"."),up_dir!O29/((1/1000)*(up_Irr!N29+up_Irr!AL29+up_Irr!BJ29)),IF(AND(up_Irr!N29&lt;&gt;".",up_Irr!AL29&lt;&gt;".",up_Irr!BJ29="."),up_dir!O29/((1/1000)*(up_Irr!N29+up_Irr!AL29)),IF(AND(up_Irr!N29&lt;&gt;".",up_Irr!AL29=".",up_Irr!BJ29&lt;&gt;"."),up_dir!O29/((1/1000)*(up_Irr!N29+up_Irr!BJ29)),IF(AND(up_Irr!N29=".",up_Irr!AL29&lt;&gt;".",up_Irr!BJ29&lt;&gt;"."),up_dir!O29/((1/1000)*(up_Irr!AL29+up_Irr!BJ29)),IF(AND(up_Irr!N29=".",up_Irr!AL29=".",up_Irr!BJ29&lt;&gt;"."),up_dir!O29/((1/1000)*(up_Irr!BJ29)),IF(AND(up_Irr!N29=".",up_Irr!AL29&lt;&gt;".",up_Irr!BJ29="."),up_dir!O29/((1/1000)*(up_Irr!AL29)),IF(AND(up_Irr!N29&lt;&gt;".",up_Irr!AL29=".",up_Irr!BJ29="."),up_dir!O29/((1/1000)*(up_Irr!N29)),IF(AND(up_Irr!N29=".",up_Irr!AL29=".",up_Irr!BJ29="."),up_dir!O29*1000)))))))),".")</f>
        <v>7.2351016258567334E-11</v>
      </c>
      <c r="P29" s="76">
        <f>IFERROR(IF(AND(up_Irr!O29&lt;&gt;".",up_Irr!AM29&lt;&gt;".",up_Irr!BK29&lt;&gt;"."),up_dir!P29/((1/1000)*(up_Irr!O29+up_Irr!AM29+up_Irr!BK29)),IF(AND(up_Irr!O29&lt;&gt;".",up_Irr!AM29&lt;&gt;".",up_Irr!BK29="."),up_dir!P29/((1/1000)*(up_Irr!O29+up_Irr!AM29)),IF(AND(up_Irr!O29&lt;&gt;".",up_Irr!AM29=".",up_Irr!BK29&lt;&gt;"."),up_dir!P29/((1/1000)*(up_Irr!O29+up_Irr!BK29)),IF(AND(up_Irr!O29=".",up_Irr!AM29&lt;&gt;".",up_Irr!BK29&lt;&gt;"."),up_dir!P29/((1/1000)*(up_Irr!AM29+up_Irr!BK29)),IF(AND(up_Irr!O29=".",up_Irr!AM29=".",up_Irr!BK29&lt;&gt;"."),up_dir!P29/((1/1000)*(up_Irr!BK29)),IF(AND(up_Irr!O29=".",up_Irr!AM29&lt;&gt;".",up_Irr!BK29="."),up_dir!P29/((1/1000)*(up_Irr!AM29)),IF(AND(up_Irr!O29&lt;&gt;".",up_Irr!AM29=".",up_Irr!BK29="."),up_dir!P29/((1/1000)*(up_Irr!O29)),IF(AND(up_Irr!O29=".",up_Irr!AM29=".",up_Irr!BK29="."),up_dir!P29*1000)))))))),".")</f>
        <v>7.2351016258567334E-11</v>
      </c>
      <c r="Q29" s="76">
        <f>IFERROR(IF(AND(up_Irr!P29&lt;&gt;".",up_Irr!AN29&lt;&gt;".",up_Irr!BL29&lt;&gt;"."),up_dir!Q29/((1/1000)*(up_Irr!P29+up_Irr!AN29+up_Irr!BL29)),IF(AND(up_Irr!P29&lt;&gt;".",up_Irr!AN29&lt;&gt;".",up_Irr!BL29="."),up_dir!Q29/((1/1000)*(up_Irr!P29+up_Irr!AN29)),IF(AND(up_Irr!P29&lt;&gt;".",up_Irr!AN29=".",up_Irr!BL29&lt;&gt;"."),up_dir!Q29/((1/1000)*(up_Irr!P29+up_Irr!BL29)),IF(AND(up_Irr!P29=".",up_Irr!AN29&lt;&gt;".",up_Irr!BL29&lt;&gt;"."),up_dir!Q29/((1/1000)*(up_Irr!AN29+up_Irr!BL29)),IF(AND(up_Irr!P29=".",up_Irr!AN29=".",up_Irr!BL29&lt;&gt;"."),up_dir!Q29/((1/1000)*(up_Irr!BL29)),IF(AND(up_Irr!P29=".",up_Irr!AN29&lt;&gt;".",up_Irr!BL29="."),up_dir!Q29/((1/1000)*(up_Irr!AN29)),IF(AND(up_Irr!P29&lt;&gt;".",up_Irr!AN29=".",up_Irr!BL29="."),up_dir!Q29/((1/1000)*(up_Irr!P29)),IF(AND(up_Irr!P29=".",up_Irr!AN29=".",up_Irr!BL29="."),up_dir!Q29*1000)))))))),".")</f>
        <v>7.2351016258567334E-11</v>
      </c>
      <c r="R29" s="76">
        <f>IFERROR(IF(AND(up_Irr!Q29&lt;&gt;".",up_Irr!AO29&lt;&gt;".",up_Irr!BM29&lt;&gt;"."),up_dir!R29/((1/1000)*(up_Irr!Q29+up_Irr!AO29+up_Irr!BM29)),IF(AND(up_Irr!Q29&lt;&gt;".",up_Irr!AO29&lt;&gt;".",up_Irr!BM29="."),up_dir!R29/((1/1000)*(up_Irr!Q29+up_Irr!AO29)),IF(AND(up_Irr!Q29&lt;&gt;".",up_Irr!AO29=".",up_Irr!BM29&lt;&gt;"."),up_dir!R29/((1/1000)*(up_Irr!Q29+up_Irr!BM29)),IF(AND(up_Irr!Q29=".",up_Irr!AO29&lt;&gt;".",up_Irr!BM29&lt;&gt;"."),up_dir!R29/((1/1000)*(up_Irr!AO29+up_Irr!BM29)),IF(AND(up_Irr!Q29=".",up_Irr!AO29=".",up_Irr!BM29&lt;&gt;"."),up_dir!R29/((1/1000)*(up_Irr!BM29)),IF(AND(up_Irr!Q29=".",up_Irr!AO29&lt;&gt;".",up_Irr!BM29="."),up_dir!R29/((1/1000)*(up_Irr!AO29)),IF(AND(up_Irr!Q29&lt;&gt;".",up_Irr!AO29=".",up_Irr!BM29="."),up_dir!R29/((1/1000)*(up_Irr!Q29)),IF(AND(up_Irr!Q29=".",up_Irr!AO29=".",up_Irr!BM29="."),up_dir!R29*1000)))))))),".")</f>
        <v>7.2351016258567334E-11</v>
      </c>
      <c r="S29" s="76">
        <f>IFERROR(IF(AND(up_Irr!R29&lt;&gt;".",up_Irr!AP29&lt;&gt;".",up_Irr!BN29&lt;&gt;"."),up_dir!S29/((1/1000)*(up_Irr!R29+up_Irr!AP29+up_Irr!BN29)),IF(AND(up_Irr!R29&lt;&gt;".",up_Irr!AP29&lt;&gt;".",up_Irr!BN29="."),up_dir!S29/((1/1000)*(up_Irr!R29+up_Irr!AP29)),IF(AND(up_Irr!R29&lt;&gt;".",up_Irr!AP29=".",up_Irr!BN29&lt;&gt;"."),up_dir!S29/((1/1000)*(up_Irr!R29+up_Irr!BN29)),IF(AND(up_Irr!R29=".",up_Irr!AP29&lt;&gt;".",up_Irr!BN29&lt;&gt;"."),up_dir!S29/((1/1000)*(up_Irr!AP29+up_Irr!BN29)),IF(AND(up_Irr!R29=".",up_Irr!AP29=".",up_Irr!BN29&lt;&gt;"."),up_dir!S29/((1/1000)*(up_Irr!BN29)),IF(AND(up_Irr!R29=".",up_Irr!AP29&lt;&gt;".",up_Irr!BN29="."),up_dir!S29/((1/1000)*(up_Irr!AP29)),IF(AND(up_Irr!R29&lt;&gt;".",up_Irr!AP29=".",up_Irr!BN29="."),up_dir!S29/((1/1000)*(up_Irr!R29)),IF(AND(up_Irr!R29=".",up_Irr!AP29=".",up_Irr!BN29="."),up_dir!S29*1000)))))))),".")</f>
        <v>7.2351016258567334E-11</v>
      </c>
      <c r="T29" s="76">
        <f>IFERROR(IF(AND(up_Irr!S29&lt;&gt;".",up_Irr!AQ29&lt;&gt;".",up_Irr!BO29&lt;&gt;"."),up_dir!T29/((1/1000)*(up_Irr!S29+up_Irr!AQ29+up_Irr!BO29)),IF(AND(up_Irr!S29&lt;&gt;".",up_Irr!AQ29&lt;&gt;".",up_Irr!BO29="."),up_dir!T29/((1/1000)*(up_Irr!S29+up_Irr!AQ29)),IF(AND(up_Irr!S29&lt;&gt;".",up_Irr!AQ29=".",up_Irr!BO29&lt;&gt;"."),up_dir!T29/((1/1000)*(up_Irr!S29+up_Irr!BO29)),IF(AND(up_Irr!S29=".",up_Irr!AQ29&lt;&gt;".",up_Irr!BO29&lt;&gt;"."),up_dir!T29/((1/1000)*(up_Irr!AQ29+up_Irr!BO29)),IF(AND(up_Irr!S29=".",up_Irr!AQ29=".",up_Irr!BO29&lt;&gt;"."),up_dir!T29/((1/1000)*(up_Irr!BO29)),IF(AND(up_Irr!S29=".",up_Irr!AQ29&lt;&gt;".",up_Irr!BO29="."),up_dir!T29/((1/1000)*(up_Irr!AQ29)),IF(AND(up_Irr!S29&lt;&gt;".",up_Irr!AQ29=".",up_Irr!BO29="."),up_dir!T29/((1/1000)*(up_Irr!S29)),IF(AND(up_Irr!S29=".",up_Irr!AQ29=".",up_Irr!BO29="."),up_dir!T29*1000)))))))),".")</f>
        <v>7.2351016258567334E-11</v>
      </c>
      <c r="U29" s="76">
        <f>IFERROR(IF(AND(up_Irr!T29&lt;&gt;".",up_Irr!AR29&lt;&gt;".",up_Irr!BP29&lt;&gt;"."),up_dir!U29/((1/1000)*(up_Irr!T29+up_Irr!AR29+up_Irr!BP29)),IF(AND(up_Irr!T29&lt;&gt;".",up_Irr!AR29&lt;&gt;".",up_Irr!BP29="."),up_dir!U29/((1/1000)*(up_Irr!T29+up_Irr!AR29)),IF(AND(up_Irr!T29&lt;&gt;".",up_Irr!AR29=".",up_Irr!BP29&lt;&gt;"."),up_dir!U29/((1/1000)*(up_Irr!T29+up_Irr!BP29)),IF(AND(up_Irr!T29=".",up_Irr!AR29&lt;&gt;".",up_Irr!BP29&lt;&gt;"."),up_dir!U29/((1/1000)*(up_Irr!AR29+up_Irr!BP29)),IF(AND(up_Irr!T29=".",up_Irr!AR29=".",up_Irr!BP29&lt;&gt;"."),up_dir!U29/((1/1000)*(up_Irr!BP29)),IF(AND(up_Irr!T29=".",up_Irr!AR29&lt;&gt;".",up_Irr!BP29="."),up_dir!U29/((1/1000)*(up_Irr!AR29)),IF(AND(up_Irr!T29&lt;&gt;".",up_Irr!AR29=".",up_Irr!BP29="."),up_dir!U29/((1/1000)*(up_Irr!T29)),IF(AND(up_Irr!T29=".",up_Irr!AR29=".",up_Irr!BP29="."),up_dir!U29*1000)))))))),".")</f>
        <v>7.2351016258567334E-11</v>
      </c>
      <c r="V29" s="76">
        <f>IFERROR(IF(AND(up_Irr!U29&lt;&gt;".",up_Irr!AS29&lt;&gt;".",up_Irr!BQ29&lt;&gt;"."),up_dir!V29/((1/1000)*(up_Irr!U29+up_Irr!AS29+up_Irr!BQ29)),IF(AND(up_Irr!U29&lt;&gt;".",up_Irr!AS29&lt;&gt;".",up_Irr!BQ29="."),up_dir!V29/((1/1000)*(up_Irr!U29+up_Irr!AS29)),IF(AND(up_Irr!U29&lt;&gt;".",up_Irr!AS29=".",up_Irr!BQ29&lt;&gt;"."),up_dir!V29/((1/1000)*(up_Irr!U29+up_Irr!BQ29)),IF(AND(up_Irr!U29=".",up_Irr!AS29&lt;&gt;".",up_Irr!BQ29&lt;&gt;"."),up_dir!V29/((1/1000)*(up_Irr!AS29+up_Irr!BQ29)),IF(AND(up_Irr!U29=".",up_Irr!AS29=".",up_Irr!BQ29&lt;&gt;"."),up_dir!V29/((1/1000)*(up_Irr!BQ29)),IF(AND(up_Irr!U29=".",up_Irr!AS29&lt;&gt;".",up_Irr!BQ29="."),up_dir!V29/((1/1000)*(up_Irr!AS29)),IF(AND(up_Irr!U29&lt;&gt;".",up_Irr!AS29=".",up_Irr!BQ29="."),up_dir!V29/((1/1000)*(up_Irr!U29)),IF(AND(up_Irr!U29=".",up_Irr!AS29=".",up_Irr!BQ29="."),up_dir!V29*1000)))))))),".")</f>
        <v>7.2351016258567334E-11</v>
      </c>
      <c r="W29" s="76">
        <f>IFERROR(IF(AND(up_Irr!V29&lt;&gt;".",up_Irr!AT29&lt;&gt;".",up_Irr!BR29&lt;&gt;"."),up_dir!W29/((1/1000)*(up_Irr!V29+up_Irr!AT29+up_Irr!BR29)),IF(AND(up_Irr!V29&lt;&gt;".",up_Irr!AT29&lt;&gt;".",up_Irr!BR29="."),up_dir!W29/((1/1000)*(up_Irr!V29+up_Irr!AT29)),IF(AND(up_Irr!V29&lt;&gt;".",up_Irr!AT29=".",up_Irr!BR29&lt;&gt;"."),up_dir!W29/((1/1000)*(up_Irr!V29+up_Irr!BR29)),IF(AND(up_Irr!V29=".",up_Irr!AT29&lt;&gt;".",up_Irr!BR29&lt;&gt;"."),up_dir!W29/((1/1000)*(up_Irr!AT29+up_Irr!BR29)),IF(AND(up_Irr!V29=".",up_Irr!AT29=".",up_Irr!BR29&lt;&gt;"."),up_dir!W29/((1/1000)*(up_Irr!BR29)),IF(AND(up_Irr!V29=".",up_Irr!AT29&lt;&gt;".",up_Irr!BR29="."),up_dir!W29/((1/1000)*(up_Irr!AT29)),IF(AND(up_Irr!V29&lt;&gt;".",up_Irr!AT29=".",up_Irr!BR29="."),up_dir!W29/((1/1000)*(up_Irr!V29)),IF(AND(up_Irr!V29=".",up_Irr!AT29=".",up_Irr!BR29="."),up_dir!W29*1000)))))))),".")</f>
        <v>7.2351016258567334E-11</v>
      </c>
      <c r="X29" s="76">
        <f>IFERROR(IF(AND(up_Irr!W29&lt;&gt;".",up_Irr!AU29&lt;&gt;".",up_Irr!BS29&lt;&gt;"."),up_dir!X29/((1/1000)*(up_Irr!W29+up_Irr!AU29+up_Irr!BS29)),IF(AND(up_Irr!W29&lt;&gt;".",up_Irr!AU29&lt;&gt;".",up_Irr!BS29="."),up_dir!X29/((1/1000)*(up_Irr!W29+up_Irr!AU29)),IF(AND(up_Irr!W29&lt;&gt;".",up_Irr!AU29=".",up_Irr!BS29&lt;&gt;"."),up_dir!X29/((1/1000)*(up_Irr!W29+up_Irr!BS29)),IF(AND(up_Irr!W29=".",up_Irr!AU29&lt;&gt;".",up_Irr!BS29&lt;&gt;"."),up_dir!X29/((1/1000)*(up_Irr!AU29+up_Irr!BS29)),IF(AND(up_Irr!W29=".",up_Irr!AU29=".",up_Irr!BS29&lt;&gt;"."),up_dir!X29/((1/1000)*(up_Irr!BS29)),IF(AND(up_Irr!W29=".",up_Irr!AU29&lt;&gt;".",up_Irr!BS29="."),up_dir!X29/((1/1000)*(up_Irr!AU29)),IF(AND(up_Irr!W29&lt;&gt;".",up_Irr!AU29=".",up_Irr!BS29="."),up_dir!X29/((1/1000)*(up_Irr!W29)),IF(AND(up_Irr!W29=".",up_Irr!AU29=".",up_Irr!BS29="."),up_dir!X29*1000)))))))),".")</f>
        <v>7.2351016258567334E-11</v>
      </c>
      <c r="Y29" s="76">
        <f>IFERROR(IF(AND(up_Irr!X29&lt;&gt;".",up_Irr!AV29&lt;&gt;".",up_Irr!BT29&lt;&gt;"."),up_dir!Y29/((1/1000)*(up_Irr!X29+up_Irr!AV29+up_Irr!BT29)),IF(AND(up_Irr!X29&lt;&gt;".",up_Irr!AV29&lt;&gt;".",up_Irr!BT29="."),up_dir!Y29/((1/1000)*(up_Irr!X29+up_Irr!AV29)),IF(AND(up_Irr!X29&lt;&gt;".",up_Irr!AV29=".",up_Irr!BT29&lt;&gt;"."),up_dir!Y29/((1/1000)*(up_Irr!X29+up_Irr!BT29)),IF(AND(up_Irr!X29=".",up_Irr!AV29&lt;&gt;".",up_Irr!BT29&lt;&gt;"."),up_dir!Y29/((1/1000)*(up_Irr!AV29+up_Irr!BT29)),IF(AND(up_Irr!X29=".",up_Irr!AV29=".",up_Irr!BT29&lt;&gt;"."),up_dir!Y29/((1/1000)*(up_Irr!BT29)),IF(AND(up_Irr!X29=".",up_Irr!AV29&lt;&gt;".",up_Irr!BT29="."),up_dir!Y29/((1/1000)*(up_Irr!AV29)),IF(AND(up_Irr!X29&lt;&gt;".",up_Irr!AV29=".",up_Irr!BT29="."),up_dir!Y29/((1/1000)*(up_Irr!X29)),IF(AND(up_Irr!X29=".",up_Irr!AV29=".",up_Irr!BT29="."),up_dir!Y29*1000)))))))),".")</f>
        <v>7.2351016258567334E-11</v>
      </c>
      <c r="Z29" s="76">
        <f>IFERROR(IF(AND(up_Irr!Y29&lt;&gt;".",up_Irr!AW29&lt;&gt;".",up_Irr!BU29&lt;&gt;"."),up_dir!Z29/((1/1000)*(up_Irr!Y29+up_Irr!AW29+up_Irr!BU29)),IF(AND(up_Irr!Y29&lt;&gt;".",up_Irr!AW29&lt;&gt;".",up_Irr!BU29="."),up_dir!Z29/((1/1000)*(up_Irr!Y29+up_Irr!AW29)),IF(AND(up_Irr!Y29&lt;&gt;".",up_Irr!AW29=".",up_Irr!BU29&lt;&gt;"."),up_dir!Z29/((1/1000)*(up_Irr!Y29+up_Irr!BU29)),IF(AND(up_Irr!Y29=".",up_Irr!AW29&lt;&gt;".",up_Irr!BU29&lt;&gt;"."),up_dir!Z29/((1/1000)*(up_Irr!AW29+up_Irr!BU29)),IF(AND(up_Irr!Y29=".",up_Irr!AW29=".",up_Irr!BU29&lt;&gt;"."),up_dir!Z29/((1/1000)*(up_Irr!BU29)),IF(AND(up_Irr!Y29=".",up_Irr!AW29&lt;&gt;".",up_Irr!BU29="."),up_dir!Z29/((1/1000)*(up_Irr!AW29)),IF(AND(up_Irr!Y29&lt;&gt;".",up_Irr!AW29=".",up_Irr!BU29="."),up_dir!Z29/((1/1000)*(up_Irr!Y29)),IF(AND(up_Irr!Y29=".",up_Irr!AW29=".",up_Irr!BU29="."),up_dir!Z29*1000)))))))),".")</f>
        <v>7.2351016258567334E-11</v>
      </c>
      <c r="AA29" s="76">
        <f>IFERROR(IF(AND(up_Irr!Z29&lt;&gt;".",up_Irr!AX29&lt;&gt;".",up_Irr!BV29&lt;&gt;"."),up_dir!AA29/((1/1000)*(up_Irr!Z29+up_Irr!AX29+up_Irr!BV29)),IF(AND(up_Irr!Z29&lt;&gt;".",up_Irr!AX29&lt;&gt;".",up_Irr!BV29="."),up_dir!AA29/((1/1000)*(up_Irr!Z29+up_Irr!AX29)),IF(AND(up_Irr!Z29&lt;&gt;".",up_Irr!AX29=".",up_Irr!BV29&lt;&gt;"."),up_dir!AA29/((1/1000)*(up_Irr!Z29+up_Irr!BV29)),IF(AND(up_Irr!Z29=".",up_Irr!AX29&lt;&gt;".",up_Irr!BV29&lt;&gt;"."),up_dir!AA29/((1/1000)*(up_Irr!AX29+up_Irr!BV29)),IF(AND(up_Irr!Z29=".",up_Irr!AX29=".",up_Irr!BV29&lt;&gt;"."),up_dir!AA29/((1/1000)*(up_Irr!BV29)),IF(AND(up_Irr!Z29=".",up_Irr!AX29&lt;&gt;".",up_Irr!BV29="."),up_dir!AA29/((1/1000)*(up_Irr!AX29)),IF(AND(up_Irr!Z29&lt;&gt;".",up_Irr!AX29=".",up_Irr!BV29="."),up_dir!AA29/((1/1000)*(up_Irr!Z29)),IF(AND(up_Irr!Z29=".",up_Irr!AX29=".",up_Irr!BV29="."),up_dir!AA29*1000)))))))),".")</f>
        <v>7.2351016258567334E-11</v>
      </c>
      <c r="AB29" s="93">
        <f t="shared" si="14"/>
        <v>55286.023705663516</v>
      </c>
      <c r="AC29" s="93">
        <f>IFERROR(s_C*s_IFAP_res_adj*s_CF_apple*0.001*(up_Irr!C29+up_Irr!AA29+up_Irr!AY29),".")</f>
        <v>13821.505926415879</v>
      </c>
      <c r="AD29" s="93">
        <f>IFERROR(s_C*s_IFAS_res_adj*s_CF_asparagus*0.001*(up_Irr!D29+up_Irr!AB29+up_Irr!AZ29),".")</f>
        <v>13821.505926415879</v>
      </c>
      <c r="AE29" s="93">
        <f>IFERROR(s_C*s_IFBT_res_adj*s_CF_beet*0.001*(up_Irr!E29+up_Irr!AC29+up_Irr!BA29),".")</f>
        <v>13821.505926415879</v>
      </c>
      <c r="AF29" s="93">
        <f>IFERROR(s_C*s_IFBE_res_adj*s_CF_berries*0.001*(up_Irr!F29+up_Irr!AD29+up_Irr!BB29),".")</f>
        <v>13821.505926415879</v>
      </c>
      <c r="AG29" s="93">
        <f>IFERROR(s_C*s_IFBR_res_adj*s_CF_broccoli*0.001*(up_Irr!G29+up_Irr!AE29+up_Irr!BC29),".")</f>
        <v>13821.505926415879</v>
      </c>
      <c r="AH29" s="93">
        <f>IFERROR(s_C*s_IFCB_res_adj*s_CF_cabbage*0.001*(up_Irr!H29+up_Irr!AF29+up_Irr!BD29),".")</f>
        <v>13821.505926415879</v>
      </c>
      <c r="AI29" s="93">
        <f>IFERROR(s_C*s_IFCR_res_adj*s_CF_carrot*0.001*(up_Irr!I29+up_Irr!AG29+up_Irr!BE29),".")</f>
        <v>13821.505926415879</v>
      </c>
      <c r="AJ29" s="93">
        <f>IFERROR(s_C*s_IFCI_res_adj*s_CF_citrus*0.001*(up_Irr!J29+up_Irr!AH29+up_Irr!BF29),".")</f>
        <v>13821.505926415879</v>
      </c>
      <c r="AK29" s="93">
        <f>IFERROR(s_C*s_IFCO_res_adj*s_CF_corn*0.001*(up_Irr!K29+up_Irr!AI29+up_Irr!BG29),".")</f>
        <v>13821.505926415879</v>
      </c>
      <c r="AL29" s="93">
        <f>IFERROR(s_C*s_IFCU_res_adj*s_CF_cucumber*0.001*(up_Irr!L29+up_Irr!AJ29+up_Irr!BH29),".")</f>
        <v>13821.505926415879</v>
      </c>
      <c r="AM29" s="93">
        <f>IFERROR(s_C*s_IFLE_res_adj*s_CF_lettuce*0.001*(up_Irr!M29+up_Irr!AK29+up_Irr!BI29),".")</f>
        <v>13821.505926415879</v>
      </c>
      <c r="AN29" s="93">
        <f>IFERROR(s_C*s_IFLI_res_adj*s_CF_lima_bean*0.001*(up_Irr!N29+up_Irr!AL29+up_Irr!BJ29),".")</f>
        <v>13821.505926415879</v>
      </c>
      <c r="AO29" s="93">
        <f>IFERROR(s_C*s_IFOK_res_adj*s_CF_okra*0.001*(up_Irr!O29+up_Irr!AM29+up_Irr!BK29),".")</f>
        <v>13821.505926415879</v>
      </c>
      <c r="AP29" s="93">
        <f>IFERROR(s_C*s_IFON_res_adj*s_CF_onion*0.001*(up_Irr!P29+up_Irr!AN29+up_Irr!BL29),".")</f>
        <v>13821.505926415879</v>
      </c>
      <c r="AQ29" s="93">
        <f>IFERROR(s_C*s_IFPC_res_adj*s_CF_peach*0.001*(up_Irr!Q29+up_Irr!AO29+up_Irr!BM29),".")</f>
        <v>13821.505926415879</v>
      </c>
      <c r="AR29" s="93">
        <f>IFERROR(s_C*s_IFPR_res_adj*s_CF_pear*0.001*(up_Irr!R29+up_Irr!AP29+up_Irr!BN29),".")</f>
        <v>13821.505926415879</v>
      </c>
      <c r="AS29" s="93">
        <f>IFERROR(s_C*s_IFPE_res_adj*s_CF_peas*0.001*(up_Irr!S29+up_Irr!AQ29+up_Irr!BO29),".")</f>
        <v>13821.505926415879</v>
      </c>
      <c r="AT29" s="93">
        <f>IFERROR(s_C*s_IFPT_res_adj*s_CF_potato*0.001*(up_Irr!T29+up_Irr!AR29+up_Irr!BP29),".")</f>
        <v>13821.505926415879</v>
      </c>
      <c r="AU29" s="93">
        <f>IFERROR(s_C*s_IFPU_res_adj*s_CF_pumpkin*0.001*(up_Irr!U29+up_Irr!AS29+up_Irr!BQ29),".")</f>
        <v>13821.505926415879</v>
      </c>
      <c r="AV29" s="93">
        <f>IFERROR(s_C*s_IFSN_res_adj*s_CF_snap_bean*0.001*(up_Irr!V29+up_Irr!AT29+up_Irr!BR29),".")</f>
        <v>13821.505926415879</v>
      </c>
      <c r="AW29" s="93">
        <f>IFERROR(s_C*s_IFST_res_adj*s_CF_strawberry*0.001*(up_Irr!W29+up_Irr!AU29+up_Irr!BS29),".")</f>
        <v>13821.505926415879</v>
      </c>
      <c r="AX29" s="93">
        <f>IFERROR(s_C*s_IFTO_res_adj*s_CF_tomato*0.001*(up_Irr!X29+up_Irr!AV29+up_Irr!BT29),".")</f>
        <v>13821.505926415879</v>
      </c>
      <c r="AY29" s="93">
        <f>IFERROR(s_C*s_IFRI_res_adj*s_CF_rice*0.001*(up_Irr!Y29+up_Irr!AW29+up_Irr!BU29),".")</f>
        <v>13821.505926415879</v>
      </c>
      <c r="AZ29" s="93">
        <f>IFERROR(s_C*s_IFCG_res_adj*s_CF_cereal*0.001*(up_Irr!Z29+up_Irr!AX29+up_Irr!BV29),".")</f>
        <v>13821.505926415879</v>
      </c>
      <c r="BA29" s="76">
        <f t="shared" si="12"/>
        <v>1.8087754064641833E-11</v>
      </c>
      <c r="BB29" s="76">
        <f>IFERROR(IF(AND(up_Irr!C29&lt;&gt;".",up_Irr!AA29&lt;&gt;".",up_Irr!AY29&lt;&gt;"."),up_dir!AC29/((1/1000)*(up_Irr!C29+up_Irr!AA29+up_Irr!AY29)),IF(AND(up_Irr!C29&lt;&gt;".",up_Irr!AA29&lt;&gt;".",up_Irr!AY29="."),up_dir!AC29/((1/1000)*(up_Irr!C29+up_Irr!AA29)),IF(AND(up_Irr!C29&lt;&gt;".",up_Irr!AA29=".",up_Irr!AY29&lt;&gt;"."),up_dir!AC29/((1/1000)*(up_Irr!C29+up_Irr!AY29)),IF(AND(up_Irr!C29=".",up_Irr!AA29&lt;&gt;".",up_Irr!AY29&lt;&gt;"."),up_dir!AC29/((1/1000)*(up_Irr!AA29+up_Irr!AY29)),IF(AND(up_Irr!C29=".",up_Irr!AA29=".",up_Irr!AY29&lt;&gt;"."),up_dir!AC29/((1/1000)*(up_Irr!AY29)),IF(AND(up_Irr!C29=".",up_Irr!AA29&lt;&gt;".",up_Irr!AY29="."),up_dir!AC29/((1/1000)*(up_Irr!AA29)),IF(AND(up_Irr!C29&lt;&gt;".",up_Irr!AA29=".",up_Irr!AY29="."),up_dir!AC29/((1/1000)*(up_Irr!C29)),IF(AND(up_Irr!C29=".",up_Irr!AA29=".",up_Irr!AY29="."),up_dir!AC29*1000)))))))),".")</f>
        <v>7.2351016258567334E-11</v>
      </c>
      <c r="BC29" s="76">
        <f>IFERROR(IF(AND(up_Irr!D29&lt;&gt;".",up_Irr!AB29&lt;&gt;".",up_Irr!AZ29&lt;&gt;"."),up_dir!AD29/((1/1000)*(up_Irr!D29+up_Irr!AB29+up_Irr!AZ29)),IF(AND(up_Irr!D29&lt;&gt;".",up_Irr!AB29&lt;&gt;".",up_Irr!AZ29="."),up_dir!AD29/((1/1000)*(up_Irr!D29+up_Irr!AB29)),IF(AND(up_Irr!D29&lt;&gt;".",up_Irr!AB29=".",up_Irr!AZ29&lt;&gt;"."),up_dir!AD29/((1/1000)*(up_Irr!D29+up_Irr!AZ29)),IF(AND(up_Irr!D29=".",up_Irr!AB29&lt;&gt;".",up_Irr!AZ29&lt;&gt;"."),up_dir!AD29/((1/1000)*(up_Irr!AB29+up_Irr!AZ29)),IF(AND(up_Irr!D29=".",up_Irr!AB29=".",up_Irr!AZ29&lt;&gt;"."),up_dir!AD29/((1/1000)*(up_Irr!AZ29)),IF(AND(up_Irr!D29=".",up_Irr!AB29&lt;&gt;".",up_Irr!AZ29="."),up_dir!AD29/((1/1000)*(up_Irr!AB29)),IF(AND(up_Irr!D29&lt;&gt;".",up_Irr!AB29=".",up_Irr!AZ29="."),up_dir!AD29/((1/1000)*(up_Irr!D29)),IF(AND(up_Irr!D29=".",up_Irr!AB29=".",up_Irr!AZ29="."),up_dir!AD29*1000)))))))),".")</f>
        <v>7.2351016258567334E-11</v>
      </c>
      <c r="BD29" s="76">
        <f>IFERROR(IF(AND(up_Irr!E29&lt;&gt;".",up_Irr!AC29&lt;&gt;".",up_Irr!BA29&lt;&gt;"."),up_dir!AE29/((1/1000)*(up_Irr!E29+up_Irr!AC29+up_Irr!BA29)),IF(AND(up_Irr!E29&lt;&gt;".",up_Irr!AC29&lt;&gt;".",up_Irr!BA29="."),up_dir!AE29/((1/1000)*(up_Irr!E29+up_Irr!AC29)),IF(AND(up_Irr!E29&lt;&gt;".",up_Irr!AC29=".",up_Irr!BA29&lt;&gt;"."),up_dir!AE29/((1/1000)*(up_Irr!E29+up_Irr!BA29)),IF(AND(up_Irr!E29=".",up_Irr!AC29&lt;&gt;".",up_Irr!BA29&lt;&gt;"."),up_dir!AE29/((1/1000)*(up_Irr!AC29+up_Irr!BA29)),IF(AND(up_Irr!E29=".",up_Irr!AC29=".",up_Irr!BA29&lt;&gt;"."),up_dir!AE29/((1/1000)*(up_Irr!BA29)),IF(AND(up_Irr!E29=".",up_Irr!AC29&lt;&gt;".",up_Irr!BA29="."),up_dir!AE29/((1/1000)*(up_Irr!AC29)),IF(AND(up_Irr!E29&lt;&gt;".",up_Irr!AC29=".",up_Irr!BA29="."),up_dir!AE29/((1/1000)*(up_Irr!E29)),IF(AND(up_Irr!E29=".",up_Irr!AC29=".",up_Irr!BA29="."),up_dir!AE29*1000)))))))),".")</f>
        <v>7.2351016258567334E-11</v>
      </c>
      <c r="BE29" s="76">
        <f>IFERROR(IF(AND(up_Irr!F29&lt;&gt;".",up_Irr!AD29&lt;&gt;".",up_Irr!BB29&lt;&gt;"."),up_dir!AF29/((1/1000)*(up_Irr!F29+up_Irr!AD29+up_Irr!BB29)),IF(AND(up_Irr!F29&lt;&gt;".",up_Irr!AD29&lt;&gt;".",up_Irr!BB29="."),up_dir!AF29/((1/1000)*(up_Irr!F29+up_Irr!AD29)),IF(AND(up_Irr!F29&lt;&gt;".",up_Irr!AD29=".",up_Irr!BB29&lt;&gt;"."),up_dir!AF29/((1/1000)*(up_Irr!F29+up_Irr!BB29)),IF(AND(up_Irr!F29=".",up_Irr!AD29&lt;&gt;".",up_Irr!BB29&lt;&gt;"."),up_dir!AF29/((1/1000)*(up_Irr!AD29+up_Irr!BB29)),IF(AND(up_Irr!F29=".",up_Irr!AD29=".",up_Irr!BB29&lt;&gt;"."),up_dir!AF29/((1/1000)*(up_Irr!BB29)),IF(AND(up_Irr!F29=".",up_Irr!AD29&lt;&gt;".",up_Irr!BB29="."),up_dir!AF29/((1/1000)*(up_Irr!AD29)),IF(AND(up_Irr!F29&lt;&gt;".",up_Irr!AD29=".",up_Irr!BB29="."),up_dir!AF29/((1/1000)*(up_Irr!F29)),IF(AND(up_Irr!F29=".",up_Irr!AD29=".",up_Irr!BB29="."),up_dir!AF29*1000)))))))),".")</f>
        <v>7.2351016258567334E-11</v>
      </c>
      <c r="BF29" s="76">
        <f>IFERROR(IF(AND(up_Irr!G29&lt;&gt;".",up_Irr!AE29&lt;&gt;".",up_Irr!BC29&lt;&gt;"."),up_dir!AG29/((1/1000)*(up_Irr!G29+up_Irr!AE29+up_Irr!BC29)),IF(AND(up_Irr!G29&lt;&gt;".",up_Irr!AE29&lt;&gt;".",up_Irr!BC29="."),up_dir!AG29/((1/1000)*(up_Irr!G29+up_Irr!AE29)),IF(AND(up_Irr!G29&lt;&gt;".",up_Irr!AE29=".",up_Irr!BC29&lt;&gt;"."),up_dir!AG29/((1/1000)*(up_Irr!G29+up_Irr!BC29)),IF(AND(up_Irr!G29=".",up_Irr!AE29&lt;&gt;".",up_Irr!BC29&lt;&gt;"."),up_dir!AG29/((1/1000)*(up_Irr!AE29+up_Irr!BC29)),IF(AND(up_Irr!G29=".",up_Irr!AE29=".",up_Irr!BC29&lt;&gt;"."),up_dir!AG29/((1/1000)*(up_Irr!BC29)),IF(AND(up_Irr!G29=".",up_Irr!AE29&lt;&gt;".",up_Irr!BC29="."),up_dir!AG29/((1/1000)*(up_Irr!AE29)),IF(AND(up_Irr!G29&lt;&gt;".",up_Irr!AE29=".",up_Irr!BC29="."),up_dir!AG29/((1/1000)*(up_Irr!G29)),IF(AND(up_Irr!G29=".",up_Irr!AE29=".",up_Irr!BC29="."),up_dir!AG29*1000)))))))),".")</f>
        <v>7.2351016258567334E-11</v>
      </c>
      <c r="BG29" s="76">
        <f>IFERROR(IF(AND(up_Irr!H29&lt;&gt;".",up_Irr!AF29&lt;&gt;".",up_Irr!BD29&lt;&gt;"."),up_dir!AH29/((1/1000)*(up_Irr!H29+up_Irr!AF29+up_Irr!BD29)),IF(AND(up_Irr!H29&lt;&gt;".",up_Irr!AF29&lt;&gt;".",up_Irr!BD29="."),up_dir!AH29/((1/1000)*(up_Irr!H29+up_Irr!AF29)),IF(AND(up_Irr!H29&lt;&gt;".",up_Irr!AF29=".",up_Irr!BD29&lt;&gt;"."),up_dir!AH29/((1/1000)*(up_Irr!H29+up_Irr!BD29)),IF(AND(up_Irr!H29=".",up_Irr!AF29&lt;&gt;".",up_Irr!BD29&lt;&gt;"."),up_dir!AH29/((1/1000)*(up_Irr!AF29+up_Irr!BD29)),IF(AND(up_Irr!H29=".",up_Irr!AF29=".",up_Irr!BD29&lt;&gt;"."),up_dir!AH29/((1/1000)*(up_Irr!BD29)),IF(AND(up_Irr!H29=".",up_Irr!AF29&lt;&gt;".",up_Irr!BD29="."),up_dir!AH29/((1/1000)*(up_Irr!AF29)),IF(AND(up_Irr!H29&lt;&gt;".",up_Irr!AF29=".",up_Irr!BD29="."),up_dir!AH29/((1/1000)*(up_Irr!H29)),IF(AND(up_Irr!H29=".",up_Irr!AF29=".",up_Irr!BD29="."),up_dir!AH29*1000)))))))),".")</f>
        <v>7.2351016258567334E-11</v>
      </c>
      <c r="BH29" s="76">
        <f>IFERROR(IF(AND(up_Irr!I29&lt;&gt;".",up_Irr!AG29&lt;&gt;".",up_Irr!BE29&lt;&gt;"."),up_dir!AI29/((1/1000)*(up_Irr!I29+up_Irr!AG29+up_Irr!BE29)),IF(AND(up_Irr!I29&lt;&gt;".",up_Irr!AG29&lt;&gt;".",up_Irr!BE29="."),up_dir!AI29/((1/1000)*(up_Irr!I29+up_Irr!AG29)),IF(AND(up_Irr!I29&lt;&gt;".",up_Irr!AG29=".",up_Irr!BE29&lt;&gt;"."),up_dir!AI29/((1/1000)*(up_Irr!I29+up_Irr!BE29)),IF(AND(up_Irr!I29=".",up_Irr!AG29&lt;&gt;".",up_Irr!BE29&lt;&gt;"."),up_dir!AI29/((1/1000)*(up_Irr!AG29+up_Irr!BE29)),IF(AND(up_Irr!I29=".",up_Irr!AG29=".",up_Irr!BE29&lt;&gt;"."),up_dir!AI29/((1/1000)*(up_Irr!BE29)),IF(AND(up_Irr!I29=".",up_Irr!AG29&lt;&gt;".",up_Irr!BE29="."),up_dir!AI29/((1/1000)*(up_Irr!AG29)),IF(AND(up_Irr!I29&lt;&gt;".",up_Irr!AG29=".",up_Irr!BE29="."),up_dir!AI29/((1/1000)*(up_Irr!I29)),IF(AND(up_Irr!I29=".",up_Irr!AG29=".",up_Irr!BE29="."),up_dir!AI29*1000)))))))),".")</f>
        <v>7.2351016258567334E-11</v>
      </c>
      <c r="BI29" s="76">
        <f>IFERROR(IF(AND(up_Irr!J29&lt;&gt;".",up_Irr!AH29&lt;&gt;".",up_Irr!BF29&lt;&gt;"."),up_dir!AJ29/((1/1000)*(up_Irr!J29+up_Irr!AH29+up_Irr!BF29)),IF(AND(up_Irr!J29&lt;&gt;".",up_Irr!AH29&lt;&gt;".",up_Irr!BF29="."),up_dir!AJ29/((1/1000)*(up_Irr!J29+up_Irr!AH29)),IF(AND(up_Irr!J29&lt;&gt;".",up_Irr!AH29=".",up_Irr!BF29&lt;&gt;"."),up_dir!AJ29/((1/1000)*(up_Irr!J29+up_Irr!BF29)),IF(AND(up_Irr!J29=".",up_Irr!AH29&lt;&gt;".",up_Irr!BF29&lt;&gt;"."),up_dir!AJ29/((1/1000)*(up_Irr!AH29+up_Irr!BF29)),IF(AND(up_Irr!J29=".",up_Irr!AH29=".",up_Irr!BF29&lt;&gt;"."),up_dir!AJ29/((1/1000)*(up_Irr!BF29)),IF(AND(up_Irr!J29=".",up_Irr!AH29&lt;&gt;".",up_Irr!BF29="."),up_dir!AJ29/((1/1000)*(up_Irr!AH29)),IF(AND(up_Irr!J29&lt;&gt;".",up_Irr!AH29=".",up_Irr!BF29="."),up_dir!AJ29/((1/1000)*(up_Irr!J29)),IF(AND(up_Irr!J29=".",up_Irr!AH29=".",up_Irr!BF29="."),up_dir!AJ29*1000)))))))),".")</f>
        <v>7.2351016258567334E-11</v>
      </c>
      <c r="BJ29" s="76">
        <f>IFERROR(IF(AND(up_Irr!K29&lt;&gt;".",up_Irr!AI29&lt;&gt;".",up_Irr!BG29&lt;&gt;"."),up_dir!AK29/((1/1000)*(up_Irr!K29+up_Irr!AI29+up_Irr!BG29)),IF(AND(up_Irr!K29&lt;&gt;".",up_Irr!AI29&lt;&gt;".",up_Irr!BG29="."),up_dir!AK29/((1/1000)*(up_Irr!K29+up_Irr!AI29)),IF(AND(up_Irr!K29&lt;&gt;".",up_Irr!AI29=".",up_Irr!BG29&lt;&gt;"."),up_dir!AK29/((1/1000)*(up_Irr!K29+up_Irr!BG29)),IF(AND(up_Irr!K29=".",up_Irr!AI29&lt;&gt;".",up_Irr!BG29&lt;&gt;"."),up_dir!AK29/((1/1000)*(up_Irr!AI29+up_Irr!BG29)),IF(AND(up_Irr!K29=".",up_Irr!AI29=".",up_Irr!BG29&lt;&gt;"."),up_dir!AK29/((1/1000)*(up_Irr!BG29)),IF(AND(up_Irr!K29=".",up_Irr!AI29&lt;&gt;".",up_Irr!BG29="."),up_dir!AK29/((1/1000)*(up_Irr!AI29)),IF(AND(up_Irr!K29&lt;&gt;".",up_Irr!AI29=".",up_Irr!BG29="."),up_dir!AK29/((1/1000)*(up_Irr!K29)),IF(AND(up_Irr!K29=".",up_Irr!AI29=".",up_Irr!BG29="."),up_dir!AK29*1000)))))))),".")</f>
        <v>7.2351016258567334E-11</v>
      </c>
      <c r="BK29" s="76">
        <f>IFERROR(IF(AND(up_Irr!L29&lt;&gt;".",up_Irr!AJ29&lt;&gt;".",up_Irr!BH29&lt;&gt;"."),up_dir!AL29/((1/1000)*(up_Irr!L29+up_Irr!AJ29+up_Irr!BH29)),IF(AND(up_Irr!L29&lt;&gt;".",up_Irr!AJ29&lt;&gt;".",up_Irr!BH29="."),up_dir!AL29/((1/1000)*(up_Irr!L29+up_Irr!AJ29)),IF(AND(up_Irr!L29&lt;&gt;".",up_Irr!AJ29=".",up_Irr!BH29&lt;&gt;"."),up_dir!AL29/((1/1000)*(up_Irr!L29+up_Irr!BH29)),IF(AND(up_Irr!L29=".",up_Irr!AJ29&lt;&gt;".",up_Irr!BH29&lt;&gt;"."),up_dir!AL29/((1/1000)*(up_Irr!AJ29+up_Irr!BH29)),IF(AND(up_Irr!L29=".",up_Irr!AJ29=".",up_Irr!BH29&lt;&gt;"."),up_dir!AL29/((1/1000)*(up_Irr!BH29)),IF(AND(up_Irr!L29=".",up_Irr!AJ29&lt;&gt;".",up_Irr!BH29="."),up_dir!AL29/((1/1000)*(up_Irr!AJ29)),IF(AND(up_Irr!L29&lt;&gt;".",up_Irr!AJ29=".",up_Irr!BH29="."),up_dir!AL29/((1/1000)*(up_Irr!L29)),IF(AND(up_Irr!L29=".",up_Irr!AJ29=".",up_Irr!BH29="."),up_dir!AL29*1000)))))))),".")</f>
        <v>7.2351016258567334E-11</v>
      </c>
      <c r="BL29" s="76">
        <f>IFERROR(IF(AND(up_Irr!M29&lt;&gt;".",up_Irr!AK29&lt;&gt;".",up_Irr!BI29&lt;&gt;"."),up_dir!AM29/((1/1000)*(up_Irr!M29+up_Irr!AK29+up_Irr!BI29)),IF(AND(up_Irr!M29&lt;&gt;".",up_Irr!AK29&lt;&gt;".",up_Irr!BI29="."),up_dir!AM29/((1/1000)*(up_Irr!M29+up_Irr!AK29)),IF(AND(up_Irr!M29&lt;&gt;".",up_Irr!AK29=".",up_Irr!BI29&lt;&gt;"."),up_dir!AM29/((1/1000)*(up_Irr!M29+up_Irr!BI29)),IF(AND(up_Irr!M29=".",up_Irr!AK29&lt;&gt;".",up_Irr!BI29&lt;&gt;"."),up_dir!AM29/((1/1000)*(up_Irr!AK29+up_Irr!BI29)),IF(AND(up_Irr!M29=".",up_Irr!AK29=".",up_Irr!BI29&lt;&gt;"."),up_dir!AM29/((1/1000)*(up_Irr!BI29)),IF(AND(up_Irr!M29=".",up_Irr!AK29&lt;&gt;".",up_Irr!BI29="."),up_dir!AM29/((1/1000)*(up_Irr!AK29)),IF(AND(up_Irr!M29&lt;&gt;".",up_Irr!AK29=".",up_Irr!BI29="."),up_dir!AM29/((1/1000)*(up_Irr!M29)),IF(AND(up_Irr!M29=".",up_Irr!AK29=".",up_Irr!BI29="."),up_dir!AM29*1000)))))))),".")</f>
        <v>7.2351016258567334E-11</v>
      </c>
      <c r="BM29" s="76">
        <f>IFERROR(IF(AND(up_Irr!N29&lt;&gt;".",up_Irr!AL29&lt;&gt;".",up_Irr!BJ29&lt;&gt;"."),up_dir!AN29/((1/1000)*(up_Irr!N29+up_Irr!AL29+up_Irr!BJ29)),IF(AND(up_Irr!N29&lt;&gt;".",up_Irr!AL29&lt;&gt;".",up_Irr!BJ29="."),up_dir!AN29/((1/1000)*(up_Irr!N29+up_Irr!AL29)),IF(AND(up_Irr!N29&lt;&gt;".",up_Irr!AL29=".",up_Irr!BJ29&lt;&gt;"."),up_dir!AN29/((1/1000)*(up_Irr!N29+up_Irr!BJ29)),IF(AND(up_Irr!N29=".",up_Irr!AL29&lt;&gt;".",up_Irr!BJ29&lt;&gt;"."),up_dir!AN29/((1/1000)*(up_Irr!AL29+up_Irr!BJ29)),IF(AND(up_Irr!N29=".",up_Irr!AL29=".",up_Irr!BJ29&lt;&gt;"."),up_dir!AN29/((1/1000)*(up_Irr!BJ29)),IF(AND(up_Irr!N29=".",up_Irr!AL29&lt;&gt;".",up_Irr!BJ29="."),up_dir!AN29/((1/1000)*(up_Irr!AL29)),IF(AND(up_Irr!N29&lt;&gt;".",up_Irr!AL29=".",up_Irr!BJ29="."),up_dir!AN29/((1/1000)*(up_Irr!N29)),IF(AND(up_Irr!N29=".",up_Irr!AL29=".",up_Irr!BJ29="."),up_dir!AN29*1000)))))))),".")</f>
        <v>7.2351016258567334E-11</v>
      </c>
      <c r="BN29" s="76">
        <f>IFERROR(IF(AND(up_Irr!O29&lt;&gt;".",up_Irr!AM29&lt;&gt;".",up_Irr!BK29&lt;&gt;"."),up_dir!AO29/((1/1000)*(up_Irr!O29+up_Irr!AM29+up_Irr!BK29)),IF(AND(up_Irr!O29&lt;&gt;".",up_Irr!AM29&lt;&gt;".",up_Irr!BK29="."),up_dir!AO29/((1/1000)*(up_Irr!O29+up_Irr!AM29)),IF(AND(up_Irr!O29&lt;&gt;".",up_Irr!AM29=".",up_Irr!BK29&lt;&gt;"."),up_dir!AO29/((1/1000)*(up_Irr!O29+up_Irr!BK29)),IF(AND(up_Irr!O29=".",up_Irr!AM29&lt;&gt;".",up_Irr!BK29&lt;&gt;"."),up_dir!AO29/((1/1000)*(up_Irr!AM29+up_Irr!BK29)),IF(AND(up_Irr!O29=".",up_Irr!AM29=".",up_Irr!BK29&lt;&gt;"."),up_dir!AO29/((1/1000)*(up_Irr!BK29)),IF(AND(up_Irr!O29=".",up_Irr!AM29&lt;&gt;".",up_Irr!BK29="."),up_dir!AO29/((1/1000)*(up_Irr!AM29)),IF(AND(up_Irr!O29&lt;&gt;".",up_Irr!AM29=".",up_Irr!BK29="."),up_dir!AO29/((1/1000)*(up_Irr!O29)),IF(AND(up_Irr!O29=".",up_Irr!AM29=".",up_Irr!BK29="."),up_dir!AO29*1000)))))))),".")</f>
        <v>7.2351016258567334E-11</v>
      </c>
      <c r="BO29" s="76">
        <f>IFERROR(IF(AND(up_Irr!P29&lt;&gt;".",up_Irr!AN29&lt;&gt;".",up_Irr!BL29&lt;&gt;"."),up_dir!AP29/((1/1000)*(up_Irr!P29+up_Irr!AN29+up_Irr!BL29)),IF(AND(up_Irr!P29&lt;&gt;".",up_Irr!AN29&lt;&gt;".",up_Irr!BL29="."),up_dir!AP29/((1/1000)*(up_Irr!P29+up_Irr!AN29)),IF(AND(up_Irr!P29&lt;&gt;".",up_Irr!AN29=".",up_Irr!BL29&lt;&gt;"."),up_dir!AP29/((1/1000)*(up_Irr!P29+up_Irr!BL29)),IF(AND(up_Irr!P29=".",up_Irr!AN29&lt;&gt;".",up_Irr!BL29&lt;&gt;"."),up_dir!AP29/((1/1000)*(up_Irr!AN29+up_Irr!BL29)),IF(AND(up_Irr!P29=".",up_Irr!AN29=".",up_Irr!BL29&lt;&gt;"."),up_dir!AP29/((1/1000)*(up_Irr!BL29)),IF(AND(up_Irr!P29=".",up_Irr!AN29&lt;&gt;".",up_Irr!BL29="."),up_dir!AP29/((1/1000)*(up_Irr!AN29)),IF(AND(up_Irr!P29&lt;&gt;".",up_Irr!AN29=".",up_Irr!BL29="."),up_dir!AP29/((1/1000)*(up_Irr!P29)),IF(AND(up_Irr!P29=".",up_Irr!AN29=".",up_Irr!BL29="."),up_dir!AP29*1000)))))))),".")</f>
        <v>7.2351016258567334E-11</v>
      </c>
      <c r="BP29" s="76">
        <f>IFERROR(IF(AND(up_Irr!Q29&lt;&gt;".",up_Irr!AO29&lt;&gt;".",up_Irr!BM29&lt;&gt;"."),up_dir!AQ29/((1/1000)*(up_Irr!Q29+up_Irr!AO29+up_Irr!BM29)),IF(AND(up_Irr!Q29&lt;&gt;".",up_Irr!AO29&lt;&gt;".",up_Irr!BM29="."),up_dir!AQ29/((1/1000)*(up_Irr!Q29+up_Irr!AO29)),IF(AND(up_Irr!Q29&lt;&gt;".",up_Irr!AO29=".",up_Irr!BM29&lt;&gt;"."),up_dir!AQ29/((1/1000)*(up_Irr!Q29+up_Irr!BM29)),IF(AND(up_Irr!Q29=".",up_Irr!AO29&lt;&gt;".",up_Irr!BM29&lt;&gt;"."),up_dir!AQ29/((1/1000)*(up_Irr!AO29+up_Irr!BM29)),IF(AND(up_Irr!Q29=".",up_Irr!AO29=".",up_Irr!BM29&lt;&gt;"."),up_dir!AQ29/((1/1000)*(up_Irr!BM29)),IF(AND(up_Irr!Q29=".",up_Irr!AO29&lt;&gt;".",up_Irr!BM29="."),up_dir!AQ29/((1/1000)*(up_Irr!AO29)),IF(AND(up_Irr!Q29&lt;&gt;".",up_Irr!AO29=".",up_Irr!BM29="."),up_dir!AQ29/((1/1000)*(up_Irr!Q29)),IF(AND(up_Irr!Q29=".",up_Irr!AO29=".",up_Irr!BM29="."),up_dir!AQ29*1000)))))))),".")</f>
        <v>7.2351016258567334E-11</v>
      </c>
      <c r="BQ29" s="76">
        <f>IFERROR(IF(AND(up_Irr!R29&lt;&gt;".",up_Irr!AP29&lt;&gt;".",up_Irr!BN29&lt;&gt;"."),up_dir!AR29/((1/1000)*(up_Irr!R29+up_Irr!AP29+up_Irr!BN29)),IF(AND(up_Irr!R29&lt;&gt;".",up_Irr!AP29&lt;&gt;".",up_Irr!BN29="."),up_dir!AR29/((1/1000)*(up_Irr!R29+up_Irr!AP29)),IF(AND(up_Irr!R29&lt;&gt;".",up_Irr!AP29=".",up_Irr!BN29&lt;&gt;"."),up_dir!AR29/((1/1000)*(up_Irr!R29+up_Irr!BN29)),IF(AND(up_Irr!R29=".",up_Irr!AP29&lt;&gt;".",up_Irr!BN29&lt;&gt;"."),up_dir!AR29/((1/1000)*(up_Irr!AP29+up_Irr!BN29)),IF(AND(up_Irr!R29=".",up_Irr!AP29=".",up_Irr!BN29&lt;&gt;"."),up_dir!AR29/((1/1000)*(up_Irr!BN29)),IF(AND(up_Irr!R29=".",up_Irr!AP29&lt;&gt;".",up_Irr!BN29="."),up_dir!AR29/((1/1000)*(up_Irr!AP29)),IF(AND(up_Irr!R29&lt;&gt;".",up_Irr!AP29=".",up_Irr!BN29="."),up_dir!AR29/((1/1000)*(up_Irr!R29)),IF(AND(up_Irr!R29=".",up_Irr!AP29=".",up_Irr!BN29="."),up_dir!AR29*1000)))))))),".")</f>
        <v>7.2351016258567334E-11</v>
      </c>
      <c r="BR29" s="76">
        <f>IFERROR(IF(AND(up_Irr!S29&lt;&gt;".",up_Irr!AQ29&lt;&gt;".",up_Irr!BO29&lt;&gt;"."),up_dir!AS29/((1/1000)*(up_Irr!S29+up_Irr!AQ29+up_Irr!BO29)),IF(AND(up_Irr!S29&lt;&gt;".",up_Irr!AQ29&lt;&gt;".",up_Irr!BO29="."),up_dir!AS29/((1/1000)*(up_Irr!S29+up_Irr!AQ29)),IF(AND(up_Irr!S29&lt;&gt;".",up_Irr!AQ29=".",up_Irr!BO29&lt;&gt;"."),up_dir!AS29/((1/1000)*(up_Irr!S29+up_Irr!BO29)),IF(AND(up_Irr!S29=".",up_Irr!AQ29&lt;&gt;".",up_Irr!BO29&lt;&gt;"."),up_dir!AS29/((1/1000)*(up_Irr!AQ29+up_Irr!BO29)),IF(AND(up_Irr!S29=".",up_Irr!AQ29=".",up_Irr!BO29&lt;&gt;"."),up_dir!AS29/((1/1000)*(up_Irr!BO29)),IF(AND(up_Irr!S29=".",up_Irr!AQ29&lt;&gt;".",up_Irr!BO29="."),up_dir!AS29/((1/1000)*(up_Irr!AQ29)),IF(AND(up_Irr!S29&lt;&gt;".",up_Irr!AQ29=".",up_Irr!BO29="."),up_dir!AS29/((1/1000)*(up_Irr!S29)),IF(AND(up_Irr!S29=".",up_Irr!AQ29=".",up_Irr!BO29="."),up_dir!AS29*1000)))))))),".")</f>
        <v>7.2351016258567334E-11</v>
      </c>
      <c r="BS29" s="76">
        <f>IFERROR(IF(AND(up_Irr!T29&lt;&gt;".",up_Irr!AR29&lt;&gt;".",up_Irr!BP29&lt;&gt;"."),up_dir!AT29/((1/1000)*(up_Irr!T29+up_Irr!AR29+up_Irr!BP29)),IF(AND(up_Irr!T29&lt;&gt;".",up_Irr!AR29&lt;&gt;".",up_Irr!BP29="."),up_dir!AT29/((1/1000)*(up_Irr!T29+up_Irr!AR29)),IF(AND(up_Irr!T29&lt;&gt;".",up_Irr!AR29=".",up_Irr!BP29&lt;&gt;"."),up_dir!AT29/((1/1000)*(up_Irr!T29+up_Irr!BP29)),IF(AND(up_Irr!T29=".",up_Irr!AR29&lt;&gt;".",up_Irr!BP29&lt;&gt;"."),up_dir!AT29/((1/1000)*(up_Irr!AR29+up_Irr!BP29)),IF(AND(up_Irr!T29=".",up_Irr!AR29=".",up_Irr!BP29&lt;&gt;"."),up_dir!AT29/((1/1000)*(up_Irr!BP29)),IF(AND(up_Irr!T29=".",up_Irr!AR29&lt;&gt;".",up_Irr!BP29="."),up_dir!AT29/((1/1000)*(up_Irr!AR29)),IF(AND(up_Irr!T29&lt;&gt;".",up_Irr!AR29=".",up_Irr!BP29="."),up_dir!AT29/((1/1000)*(up_Irr!T29)),IF(AND(up_Irr!T29=".",up_Irr!AR29=".",up_Irr!BP29="."),up_dir!AT29*1000)))))))),".")</f>
        <v>7.2351016258567334E-11</v>
      </c>
      <c r="BT29" s="76">
        <f>IFERROR(IF(AND(up_Irr!U29&lt;&gt;".",up_Irr!AS29&lt;&gt;".",up_Irr!BQ29&lt;&gt;"."),up_dir!AU29/((1/1000)*(up_Irr!U29+up_Irr!AS29+up_Irr!BQ29)),IF(AND(up_Irr!U29&lt;&gt;".",up_Irr!AS29&lt;&gt;".",up_Irr!BQ29="."),up_dir!AU29/((1/1000)*(up_Irr!U29+up_Irr!AS29)),IF(AND(up_Irr!U29&lt;&gt;".",up_Irr!AS29=".",up_Irr!BQ29&lt;&gt;"."),up_dir!AU29/((1/1000)*(up_Irr!U29+up_Irr!BQ29)),IF(AND(up_Irr!U29=".",up_Irr!AS29&lt;&gt;".",up_Irr!BQ29&lt;&gt;"."),up_dir!AU29/((1/1000)*(up_Irr!AS29+up_Irr!BQ29)),IF(AND(up_Irr!U29=".",up_Irr!AS29=".",up_Irr!BQ29&lt;&gt;"."),up_dir!AU29/((1/1000)*(up_Irr!BQ29)),IF(AND(up_Irr!U29=".",up_Irr!AS29&lt;&gt;".",up_Irr!BQ29="."),up_dir!AU29/((1/1000)*(up_Irr!AS29)),IF(AND(up_Irr!U29&lt;&gt;".",up_Irr!AS29=".",up_Irr!BQ29="."),up_dir!AU29/((1/1000)*(up_Irr!U29)),IF(AND(up_Irr!U29=".",up_Irr!AS29=".",up_Irr!BQ29="."),up_dir!AU29*1000)))))))),".")</f>
        <v>7.2351016258567334E-11</v>
      </c>
      <c r="BU29" s="76">
        <f>IFERROR(IF(AND(up_Irr!V29&lt;&gt;".",up_Irr!AT29&lt;&gt;".",up_Irr!BR29&lt;&gt;"."),up_dir!AV29/((1/1000)*(up_Irr!V29+up_Irr!AT29+up_Irr!BR29)),IF(AND(up_Irr!V29&lt;&gt;".",up_Irr!AT29&lt;&gt;".",up_Irr!BR29="."),up_dir!AV29/((1/1000)*(up_Irr!V29+up_Irr!AT29)),IF(AND(up_Irr!V29&lt;&gt;".",up_Irr!AT29=".",up_Irr!BR29&lt;&gt;"."),up_dir!AV29/((1/1000)*(up_Irr!V29+up_Irr!BR29)),IF(AND(up_Irr!V29=".",up_Irr!AT29&lt;&gt;".",up_Irr!BR29&lt;&gt;"."),up_dir!AV29/((1/1000)*(up_Irr!AT29+up_Irr!BR29)),IF(AND(up_Irr!V29=".",up_Irr!AT29=".",up_Irr!BR29&lt;&gt;"."),up_dir!AV29/((1/1000)*(up_Irr!BR29)),IF(AND(up_Irr!V29=".",up_Irr!AT29&lt;&gt;".",up_Irr!BR29="."),up_dir!AV29/((1/1000)*(up_Irr!AT29)),IF(AND(up_Irr!V29&lt;&gt;".",up_Irr!AT29=".",up_Irr!BR29="."),up_dir!AV29/((1/1000)*(up_Irr!V29)),IF(AND(up_Irr!V29=".",up_Irr!AT29=".",up_Irr!BR29="."),up_dir!AV29*1000)))))))),".")</f>
        <v>7.2351016258567334E-11</v>
      </c>
      <c r="BV29" s="76">
        <f>IFERROR(IF(AND(up_Irr!W29&lt;&gt;".",up_Irr!AU29&lt;&gt;".",up_Irr!BS29&lt;&gt;"."),up_dir!AW29/((1/1000)*(up_Irr!W29+up_Irr!AU29+up_Irr!BS29)),IF(AND(up_Irr!W29&lt;&gt;".",up_Irr!AU29&lt;&gt;".",up_Irr!BS29="."),up_dir!AW29/((1/1000)*(up_Irr!W29+up_Irr!AU29)),IF(AND(up_Irr!W29&lt;&gt;".",up_Irr!AU29=".",up_Irr!BS29&lt;&gt;"."),up_dir!AW29/((1/1000)*(up_Irr!W29+up_Irr!BS29)),IF(AND(up_Irr!W29=".",up_Irr!AU29&lt;&gt;".",up_Irr!BS29&lt;&gt;"."),up_dir!AW29/((1/1000)*(up_Irr!AU29+up_Irr!BS29)),IF(AND(up_Irr!W29=".",up_Irr!AU29=".",up_Irr!BS29&lt;&gt;"."),up_dir!AW29/((1/1000)*(up_Irr!BS29)),IF(AND(up_Irr!W29=".",up_Irr!AU29&lt;&gt;".",up_Irr!BS29="."),up_dir!AW29/((1/1000)*(up_Irr!AU29)),IF(AND(up_Irr!W29&lt;&gt;".",up_Irr!AU29=".",up_Irr!BS29="."),up_dir!AW29/((1/1000)*(up_Irr!W29)),IF(AND(up_Irr!W29=".",up_Irr!AU29=".",up_Irr!BS29="."),up_dir!AW29*1000)))))))),".")</f>
        <v>7.2351016258567334E-11</v>
      </c>
      <c r="BW29" s="76">
        <f>IFERROR(IF(AND(up_Irr!X29&lt;&gt;".",up_Irr!AV29&lt;&gt;".",up_Irr!BT29&lt;&gt;"."),up_dir!AX29/((1/1000)*(up_Irr!X29+up_Irr!AV29+up_Irr!BT29)),IF(AND(up_Irr!X29&lt;&gt;".",up_Irr!AV29&lt;&gt;".",up_Irr!BT29="."),up_dir!AX29/((1/1000)*(up_Irr!X29+up_Irr!AV29)),IF(AND(up_Irr!X29&lt;&gt;".",up_Irr!AV29=".",up_Irr!BT29&lt;&gt;"."),up_dir!AX29/((1/1000)*(up_Irr!X29+up_Irr!BT29)),IF(AND(up_Irr!X29=".",up_Irr!AV29&lt;&gt;".",up_Irr!BT29&lt;&gt;"."),up_dir!AX29/((1/1000)*(up_Irr!AV29+up_Irr!BT29)),IF(AND(up_Irr!X29=".",up_Irr!AV29=".",up_Irr!BT29&lt;&gt;"."),up_dir!AX29/((1/1000)*(up_Irr!BT29)),IF(AND(up_Irr!X29=".",up_Irr!AV29&lt;&gt;".",up_Irr!BT29="."),up_dir!AX29/((1/1000)*(up_Irr!AV29)),IF(AND(up_Irr!X29&lt;&gt;".",up_Irr!AV29=".",up_Irr!BT29="."),up_dir!AX29/((1/1000)*(up_Irr!X29)),IF(AND(up_Irr!X29=".",up_Irr!AV29=".",up_Irr!BT29="."),up_dir!AX29*1000)))))))),".")</f>
        <v>7.2351016258567334E-11</v>
      </c>
      <c r="BX29" s="76">
        <f>IFERROR(IF(AND(up_Irr!Y29&lt;&gt;".",up_Irr!AW29&lt;&gt;".",up_Irr!BU29&lt;&gt;"."),up_dir!AY29/((1/1000)*(up_Irr!Y29+up_Irr!AW29+up_Irr!BU29)),IF(AND(up_Irr!Y29&lt;&gt;".",up_Irr!AW29&lt;&gt;".",up_Irr!BU29="."),up_dir!AY29/((1/1000)*(up_Irr!Y29+up_Irr!AW29)),IF(AND(up_Irr!Y29&lt;&gt;".",up_Irr!AW29=".",up_Irr!BU29&lt;&gt;"."),up_dir!AY29/((1/1000)*(up_Irr!Y29+up_Irr!BU29)),IF(AND(up_Irr!Y29=".",up_Irr!AW29&lt;&gt;".",up_Irr!BU29&lt;&gt;"."),up_dir!AY29/((1/1000)*(up_Irr!AW29+up_Irr!BU29)),IF(AND(up_Irr!Y29=".",up_Irr!AW29=".",up_Irr!BU29&lt;&gt;"."),up_dir!AY29/((1/1000)*(up_Irr!BU29)),IF(AND(up_Irr!Y29=".",up_Irr!AW29&lt;&gt;".",up_Irr!BU29="."),up_dir!AY29/((1/1000)*(up_Irr!AW29)),IF(AND(up_Irr!Y29&lt;&gt;".",up_Irr!AW29=".",up_Irr!BU29="."),up_dir!AY29/((1/1000)*(up_Irr!Y29)),IF(AND(up_Irr!Y29=".",up_Irr!AW29=".",up_Irr!BU29="."),up_dir!AY29*1000)))))))),".")</f>
        <v>7.2351016258567334E-11</v>
      </c>
      <c r="BY29" s="76">
        <f>IFERROR(IF(AND(up_Irr!Z29&lt;&gt;".",up_Irr!AX29&lt;&gt;".",up_Irr!BV29&lt;&gt;"."),up_dir!AZ29/((1/1000)*(up_Irr!Z29+up_Irr!AX29+up_Irr!BV29)),IF(AND(up_Irr!Z29&lt;&gt;".",up_Irr!AX29&lt;&gt;".",up_Irr!BV29="."),up_dir!AZ29/((1/1000)*(up_Irr!Z29+up_Irr!AX29)),IF(AND(up_Irr!Z29&lt;&gt;".",up_Irr!AX29=".",up_Irr!BV29&lt;&gt;"."),up_dir!AZ29/((1/1000)*(up_Irr!Z29+up_Irr!BV29)),IF(AND(up_Irr!Z29=".",up_Irr!AX29&lt;&gt;".",up_Irr!BV29&lt;&gt;"."),up_dir!AZ29/((1/1000)*(up_Irr!AX29+up_Irr!BV29)),IF(AND(up_Irr!Z29=".",up_Irr!AX29=".",up_Irr!BV29&lt;&gt;"."),up_dir!AZ29/((1/1000)*(up_Irr!BV29)),IF(AND(up_Irr!Z29=".",up_Irr!AX29&lt;&gt;".",up_Irr!BV29="."),up_dir!AZ29/((1/1000)*(up_Irr!AX29)),IF(AND(up_Irr!Z29&lt;&gt;".",up_Irr!AX29=".",up_Irr!BV29="."),up_dir!AZ29/((1/1000)*(up_Irr!Z29)),IF(AND(up_Irr!Z29=".",up_Irr!AX29=".",up_Irr!BV29="."),up_dir!AZ29*1000)))))))),".")</f>
        <v>7.2351016258567334E-11</v>
      </c>
      <c r="BZ29" s="93">
        <f t="shared" si="15"/>
        <v>55286.023705663516</v>
      </c>
      <c r="CA29" s="93">
        <f>IFERROR(s_C*s_IFAP_far_adj*s_CF_apple*(1/1000)*(up_Irr!C29+up_Irr!AA29+up_Irr!AY29),".")</f>
        <v>13821.505926415879</v>
      </c>
      <c r="CB29" s="93">
        <f>IFERROR(s_C*s_IFAS_far_adj*s_CF_asparagus*(1/1000)*(up_Irr!D29+up_Irr!AB29+up_Irr!AZ29),".")</f>
        <v>13821.505926415879</v>
      </c>
      <c r="CC29" s="93">
        <f>IFERROR(s_C*s_IFBT_far_adj*s_CF_beet*(1/1000)*(up_Irr!E29+up_Irr!AC29+up_Irr!BA29),".")</f>
        <v>13821.505926415879</v>
      </c>
      <c r="CD29" s="93">
        <f>IFERROR(s_C*s_IFBE_far_adj*s_CF_berries*(1/1000)*(up_Irr!F29+up_Irr!AD29+up_Irr!BB29),".")</f>
        <v>13821.505926415879</v>
      </c>
      <c r="CE29" s="93">
        <f>IFERROR(s_C*s_IFBR_far_adj*s_CF_broccoli*(1/1000)*(up_Irr!G29+up_Irr!AE29+up_Irr!BC29),".")</f>
        <v>13821.505926415879</v>
      </c>
      <c r="CF29" s="93">
        <f>IFERROR(s_C*s_IFCB_far_adj*s_CF_cabbage*(1/1000)*(up_Irr!H29+up_Irr!AF29+up_Irr!BD29),".")</f>
        <v>13821.505926415879</v>
      </c>
      <c r="CG29" s="93">
        <f>IFERROR(s_C*s_IFCR_far_adj*s_CF_carrot*(1/1000)*(up_Irr!I29+up_Irr!AG29+up_Irr!BE29),".")</f>
        <v>13821.505926415879</v>
      </c>
      <c r="CH29" s="93">
        <f>IFERROR(s_C*s_IFCI_far_adj*s_CF_citrus*(1/1000)*(up_Irr!J29+up_Irr!AH29+up_Irr!BF29),".")</f>
        <v>13821.505926415879</v>
      </c>
      <c r="CI29" s="93">
        <f>IFERROR(s_C*s_IFCO_far_adj*s_CF_corn*(1/1000)*(up_Irr!K29+up_Irr!AI29+up_Irr!BG29),".")</f>
        <v>13821.505926415879</v>
      </c>
      <c r="CJ29" s="93">
        <f>IFERROR(s_C*s_IFCU_far_adj*s_CF_cucumber*(1/1000)*(up_Irr!L29+up_Irr!AJ29+up_Irr!BH29),".")</f>
        <v>13821.505926415879</v>
      </c>
      <c r="CK29" s="93">
        <f>IFERROR(s_C*s_IFLE_far_adj*s_CF_lettuce*(1/1000)*(up_Irr!M29+up_Irr!AK29+up_Irr!BI29),".")</f>
        <v>13821.505926415879</v>
      </c>
      <c r="CL29" s="93">
        <f>IFERROR(s_C*s_IFLI_far_adj*s_CF_lima_bean*(1/1000)*(up_Irr!N29+up_Irr!AL29+up_Irr!BJ29),".")</f>
        <v>13821.505926415879</v>
      </c>
      <c r="CM29" s="93">
        <f>IFERROR(s_C*s_IFOK_far_adj*s_CF_okra*(1/1000)*(up_Irr!O29+up_Irr!AM29+up_Irr!BK29),".")</f>
        <v>13821.505926415879</v>
      </c>
      <c r="CN29" s="93">
        <f>IFERROR(s_C*s_IFON_far_adj*s_CF_onion*(1/1000)*(up_Irr!P29+up_Irr!AN29+up_Irr!BL29),".")</f>
        <v>13821.505926415879</v>
      </c>
      <c r="CO29" s="93">
        <f>IFERROR(s_C*s_IFPC_far_adj*s_CF_peach*(1/1000)*(up_Irr!Q29+up_Irr!AO29+up_Irr!BM29),".")</f>
        <v>13821.505926415879</v>
      </c>
      <c r="CP29" s="93">
        <f>IFERROR(s_C*s_IFPR_far_adj*s_CF_pear*(1/1000)*(up_Irr!R29+up_Irr!AP29+up_Irr!BN29),".")</f>
        <v>13821.505926415879</v>
      </c>
      <c r="CQ29" s="93">
        <f>IFERROR(s_C*s_IFPE_far_adj*s_CF_peas*(1/1000)*(up_Irr!S29+up_Irr!AQ29+up_Irr!BO29),".")</f>
        <v>13821.505926415879</v>
      </c>
      <c r="CR29" s="93">
        <f>IFERROR(s_C*s_IFPT_far_adj*s_CF_potato*(1/1000)*(up_Irr!T29+up_Irr!AR29+up_Irr!BP29),".")</f>
        <v>13821.505926415879</v>
      </c>
      <c r="CS29" s="93">
        <f>IFERROR(s_C*s_IFPU_far_adj*s_CF_pumpkin*(1/1000)*(up_Irr!U29+up_Irr!AS29+up_Irr!BQ29),".")</f>
        <v>13821.505926415879</v>
      </c>
      <c r="CT29" s="93">
        <f>IFERROR(s_C*s_IFSN_far_adj*s_CF_snap_bean*(1/1000)*(up_Irr!V29+up_Irr!AT29+up_Irr!BR29),".")</f>
        <v>13821.505926415879</v>
      </c>
      <c r="CU29" s="93">
        <f>IFERROR(s_C*s_IFST_far_adj*s_CF_strawberry*(1/1000)*(up_Irr!W29+up_Irr!AU29+up_Irr!BS29),".")</f>
        <v>13821.505926415879</v>
      </c>
      <c r="CV29" s="93">
        <f>IFERROR(s_C*s_IFTO_far_adj*s_CF_tomato*(1/1000)*(up_Irr!X29+up_Irr!AV29+up_Irr!BT29),".")</f>
        <v>13821.505926415879</v>
      </c>
      <c r="CW29" s="93">
        <f>IFERROR(s_C*s_IFRI_far_adj*s_CF_rice*(1/1000)*(up_Irr!Y29+up_Irr!AW29+up_Irr!BU29),".")</f>
        <v>13821.505926415879</v>
      </c>
      <c r="CX29" s="93">
        <f>IFERROR(s_C*s_IFCG_far_adj*s_CF_cereal*(1/1000)*(up_Irr!Z29+up_Irr!AX29+up_Irr!BV29),".")</f>
        <v>13821.505926415879</v>
      </c>
    </row>
    <row r="30" spans="1:102" ht="15" customHeight="1" x14ac:dyDescent="0.25">
      <c r="A30" s="92" t="s">
        <v>40</v>
      </c>
      <c r="B30" s="90" t="s">
        <v>1074</v>
      </c>
      <c r="C30" s="76">
        <f t="shared" si="0"/>
        <v>1.8087754064641833E-11</v>
      </c>
      <c r="D30" s="76">
        <f>IFERROR(IF(AND(up_Irr!C30&lt;&gt;".",up_Irr!AA30&lt;&gt;".",up_Irr!AY30&lt;&gt;"."),up_dir!D30/((1/1000)*(up_Irr!C30+up_Irr!AA30+up_Irr!AY30)),IF(AND(up_Irr!C30&lt;&gt;".",up_Irr!AA30&lt;&gt;".",up_Irr!AY30="."),up_dir!D30/((1/1000)*(up_Irr!C30+up_Irr!AA30)),IF(AND(up_Irr!C30&lt;&gt;".",up_Irr!AA30=".",up_Irr!AY30&lt;&gt;"."),up_dir!D30/((1/1000)*(up_Irr!C30+up_Irr!AY30)),IF(AND(up_Irr!C30=".",up_Irr!AA30&lt;&gt;".",up_Irr!AY30&lt;&gt;"."),up_dir!D30/((1/1000)*(up_Irr!AA30+up_Irr!AY30)),IF(AND(up_Irr!C30=".",up_Irr!AA30=".",up_Irr!AY30&lt;&gt;"."),up_dir!D30/((1/1000)*(up_Irr!AY30)),IF(AND(up_Irr!C30=".",up_Irr!AA30&lt;&gt;".",up_Irr!AY30="."),up_dir!D30/((1/1000)*(up_Irr!AA30)),IF(AND(up_Irr!C30&lt;&gt;".",up_Irr!AA30=".",up_Irr!AY30="."),up_dir!D30/((1/1000)*(up_Irr!C30)),IF(AND(up_Irr!C30=".",up_Irr!AA30=".",up_Irr!AY30="."),up_dir!D30*1000)))))))),".")</f>
        <v>7.2351016258567334E-11</v>
      </c>
      <c r="E30" s="76">
        <f>IFERROR(IF(AND(up_Irr!D30&lt;&gt;".",up_Irr!AB30&lt;&gt;".",up_Irr!AZ30&lt;&gt;"."),up_dir!E30/((1/1000)*(up_Irr!D30+up_Irr!AB30+up_Irr!AZ30)),IF(AND(up_Irr!D30&lt;&gt;".",up_Irr!AB30&lt;&gt;".",up_Irr!AZ30="."),up_dir!E30/((1/1000)*(up_Irr!D30+up_Irr!AB30)),IF(AND(up_Irr!D30&lt;&gt;".",up_Irr!AB30=".",up_Irr!AZ30&lt;&gt;"."),up_dir!E30/((1/1000)*(up_Irr!D30+up_Irr!AZ30)),IF(AND(up_Irr!D30=".",up_Irr!AB30&lt;&gt;".",up_Irr!AZ30&lt;&gt;"."),up_dir!E30/((1/1000)*(up_Irr!AB30+up_Irr!AZ30)),IF(AND(up_Irr!D30=".",up_Irr!AB30=".",up_Irr!AZ30&lt;&gt;"."),up_dir!E30/((1/1000)*(up_Irr!AZ30)),IF(AND(up_Irr!D30=".",up_Irr!AB30&lt;&gt;".",up_Irr!AZ30="."),up_dir!E30/((1/1000)*(up_Irr!AB30)),IF(AND(up_Irr!D30&lt;&gt;".",up_Irr!AB30=".",up_Irr!AZ30="."),up_dir!E30/((1/1000)*(up_Irr!D30)),IF(AND(up_Irr!D30=".",up_Irr!AB30=".",up_Irr!AZ30="."),up_dir!E30*1000)))))))),".")</f>
        <v>7.2351016258567334E-11</v>
      </c>
      <c r="F30" s="76">
        <f>IFERROR(IF(AND(up_Irr!E30&lt;&gt;".",up_Irr!AC30&lt;&gt;".",up_Irr!BA30&lt;&gt;"."),up_dir!F30/((1/1000)*(up_Irr!E30+up_Irr!AC30+up_Irr!BA30)),IF(AND(up_Irr!E30&lt;&gt;".",up_Irr!AC30&lt;&gt;".",up_Irr!BA30="."),up_dir!F30/((1/1000)*(up_Irr!E30+up_Irr!AC30)),IF(AND(up_Irr!E30&lt;&gt;".",up_Irr!AC30=".",up_Irr!BA30&lt;&gt;"."),up_dir!F30/((1/1000)*(up_Irr!E30+up_Irr!BA30)),IF(AND(up_Irr!E30=".",up_Irr!AC30&lt;&gt;".",up_Irr!BA30&lt;&gt;"."),up_dir!F30/((1/1000)*(up_Irr!AC30+up_Irr!BA30)),IF(AND(up_Irr!E30=".",up_Irr!AC30=".",up_Irr!BA30&lt;&gt;"."),up_dir!F30/((1/1000)*(up_Irr!BA30)),IF(AND(up_Irr!E30=".",up_Irr!AC30&lt;&gt;".",up_Irr!BA30="."),up_dir!F30/((1/1000)*(up_Irr!AC30)),IF(AND(up_Irr!E30&lt;&gt;".",up_Irr!AC30=".",up_Irr!BA30="."),up_dir!F30/((1/1000)*(up_Irr!E30)),IF(AND(up_Irr!E30=".",up_Irr!AC30=".",up_Irr!BA30="."),up_dir!F30*1000)))))))),".")</f>
        <v>7.2351016258567334E-11</v>
      </c>
      <c r="G30" s="76">
        <f>IFERROR(IF(AND(up_Irr!F30&lt;&gt;".",up_Irr!AD30&lt;&gt;".",up_Irr!BB30&lt;&gt;"."),up_dir!G30/((1/1000)*(up_Irr!F30+up_Irr!AD30+up_Irr!BB30)),IF(AND(up_Irr!F30&lt;&gt;".",up_Irr!AD30&lt;&gt;".",up_Irr!BB30="."),up_dir!G30/((1/1000)*(up_Irr!F30+up_Irr!AD30)),IF(AND(up_Irr!F30&lt;&gt;".",up_Irr!AD30=".",up_Irr!BB30&lt;&gt;"."),up_dir!G30/((1/1000)*(up_Irr!F30+up_Irr!BB30)),IF(AND(up_Irr!F30=".",up_Irr!AD30&lt;&gt;".",up_Irr!BB30&lt;&gt;"."),up_dir!G30/((1/1000)*(up_Irr!AD30+up_Irr!BB30)),IF(AND(up_Irr!F30=".",up_Irr!AD30=".",up_Irr!BB30&lt;&gt;"."),up_dir!G30/((1/1000)*(up_Irr!BB30)),IF(AND(up_Irr!F30=".",up_Irr!AD30&lt;&gt;".",up_Irr!BB30="."),up_dir!G30/((1/1000)*(up_Irr!AD30)),IF(AND(up_Irr!F30&lt;&gt;".",up_Irr!AD30=".",up_Irr!BB30="."),up_dir!G30/((1/1000)*(up_Irr!F30)),IF(AND(up_Irr!F30=".",up_Irr!AD30=".",up_Irr!BB30="."),up_dir!G30*1000)))))))),".")</f>
        <v>7.2351016258567334E-11</v>
      </c>
      <c r="H30" s="76">
        <f>IFERROR(IF(AND(up_Irr!G30&lt;&gt;".",up_Irr!AE30&lt;&gt;".",up_Irr!BC30&lt;&gt;"."),up_dir!H30/((1/1000)*(up_Irr!G30+up_Irr!AE30+up_Irr!BC30)),IF(AND(up_Irr!G30&lt;&gt;".",up_Irr!AE30&lt;&gt;".",up_Irr!BC30="."),up_dir!H30/((1/1000)*(up_Irr!G30+up_Irr!AE30)),IF(AND(up_Irr!G30&lt;&gt;".",up_Irr!AE30=".",up_Irr!BC30&lt;&gt;"."),up_dir!H30/((1/1000)*(up_Irr!G30+up_Irr!BC30)),IF(AND(up_Irr!G30=".",up_Irr!AE30&lt;&gt;".",up_Irr!BC30&lt;&gt;"."),up_dir!H30/((1/1000)*(up_Irr!AE30+up_Irr!BC30)),IF(AND(up_Irr!G30=".",up_Irr!AE30=".",up_Irr!BC30&lt;&gt;"."),up_dir!H30/((1/1000)*(up_Irr!BC30)),IF(AND(up_Irr!G30=".",up_Irr!AE30&lt;&gt;".",up_Irr!BC30="."),up_dir!H30/((1/1000)*(up_Irr!AE30)),IF(AND(up_Irr!G30&lt;&gt;".",up_Irr!AE30=".",up_Irr!BC30="."),up_dir!H30/((1/1000)*(up_Irr!G30)),IF(AND(up_Irr!G30=".",up_Irr!AE30=".",up_Irr!BC30="."),up_dir!H30*1000)))))))),".")</f>
        <v>7.2351016258567334E-11</v>
      </c>
      <c r="I30" s="76">
        <f>IFERROR(IF(AND(up_Irr!H30&lt;&gt;".",up_Irr!AF30&lt;&gt;".",up_Irr!BD30&lt;&gt;"."),up_dir!I30/((1/1000)*(up_Irr!H30+up_Irr!AF30+up_Irr!BD30)),IF(AND(up_Irr!H30&lt;&gt;".",up_Irr!AF30&lt;&gt;".",up_Irr!BD30="."),up_dir!I30/((1/1000)*(up_Irr!H30+up_Irr!AF30)),IF(AND(up_Irr!H30&lt;&gt;".",up_Irr!AF30=".",up_Irr!BD30&lt;&gt;"."),up_dir!I30/((1/1000)*(up_Irr!H30+up_Irr!BD30)),IF(AND(up_Irr!H30=".",up_Irr!AF30&lt;&gt;".",up_Irr!BD30&lt;&gt;"."),up_dir!I30/((1/1000)*(up_Irr!AF30+up_Irr!BD30)),IF(AND(up_Irr!H30=".",up_Irr!AF30=".",up_Irr!BD30&lt;&gt;"."),up_dir!I30/((1/1000)*(up_Irr!BD30)),IF(AND(up_Irr!H30=".",up_Irr!AF30&lt;&gt;".",up_Irr!BD30="."),up_dir!I30/((1/1000)*(up_Irr!AF30)),IF(AND(up_Irr!H30&lt;&gt;".",up_Irr!AF30=".",up_Irr!BD30="."),up_dir!I30/((1/1000)*(up_Irr!H30)),IF(AND(up_Irr!H30=".",up_Irr!AF30=".",up_Irr!BD30="."),up_dir!I30*1000)))))))),".")</f>
        <v>7.2351016258567334E-11</v>
      </c>
      <c r="J30" s="76">
        <f>IFERROR(IF(AND(up_Irr!I30&lt;&gt;".",up_Irr!AG30&lt;&gt;".",up_Irr!BE30&lt;&gt;"."),up_dir!J30/((1/1000)*(up_Irr!I30+up_Irr!AG30+up_Irr!BE30)),IF(AND(up_Irr!I30&lt;&gt;".",up_Irr!AG30&lt;&gt;".",up_Irr!BE30="."),up_dir!J30/((1/1000)*(up_Irr!I30+up_Irr!AG30)),IF(AND(up_Irr!I30&lt;&gt;".",up_Irr!AG30=".",up_Irr!BE30&lt;&gt;"."),up_dir!J30/((1/1000)*(up_Irr!I30+up_Irr!BE30)),IF(AND(up_Irr!I30=".",up_Irr!AG30&lt;&gt;".",up_Irr!BE30&lt;&gt;"."),up_dir!J30/((1/1000)*(up_Irr!AG30+up_Irr!BE30)),IF(AND(up_Irr!I30=".",up_Irr!AG30=".",up_Irr!BE30&lt;&gt;"."),up_dir!J30/((1/1000)*(up_Irr!BE30)),IF(AND(up_Irr!I30=".",up_Irr!AG30&lt;&gt;".",up_Irr!BE30="."),up_dir!J30/((1/1000)*(up_Irr!AG30)),IF(AND(up_Irr!I30&lt;&gt;".",up_Irr!AG30=".",up_Irr!BE30="."),up_dir!J30/((1/1000)*(up_Irr!I30)),IF(AND(up_Irr!I30=".",up_Irr!AG30=".",up_Irr!BE30="."),up_dir!J30*1000)))))))),".")</f>
        <v>7.2351016258567334E-11</v>
      </c>
      <c r="K30" s="76">
        <f>IFERROR(IF(AND(up_Irr!J30&lt;&gt;".",up_Irr!AH30&lt;&gt;".",up_Irr!BF30&lt;&gt;"."),up_dir!K30/((1/1000)*(up_Irr!J30+up_Irr!AH30+up_Irr!BF30)),IF(AND(up_Irr!J30&lt;&gt;".",up_Irr!AH30&lt;&gt;".",up_Irr!BF30="."),up_dir!K30/((1/1000)*(up_Irr!J30+up_Irr!AH30)),IF(AND(up_Irr!J30&lt;&gt;".",up_Irr!AH30=".",up_Irr!BF30&lt;&gt;"."),up_dir!K30/((1/1000)*(up_Irr!J30+up_Irr!BF30)),IF(AND(up_Irr!J30=".",up_Irr!AH30&lt;&gt;".",up_Irr!BF30&lt;&gt;"."),up_dir!K30/((1/1000)*(up_Irr!AH30+up_Irr!BF30)),IF(AND(up_Irr!J30=".",up_Irr!AH30=".",up_Irr!BF30&lt;&gt;"."),up_dir!K30/((1/1000)*(up_Irr!BF30)),IF(AND(up_Irr!J30=".",up_Irr!AH30&lt;&gt;".",up_Irr!BF30="."),up_dir!K30/((1/1000)*(up_Irr!AH30)),IF(AND(up_Irr!J30&lt;&gt;".",up_Irr!AH30=".",up_Irr!BF30="."),up_dir!K30/((1/1000)*(up_Irr!J30)),IF(AND(up_Irr!J30=".",up_Irr!AH30=".",up_Irr!BF30="."),up_dir!K30*1000)))))))),".")</f>
        <v>7.2351016258567334E-11</v>
      </c>
      <c r="L30" s="76">
        <f>IFERROR(IF(AND(up_Irr!K30&lt;&gt;".",up_Irr!AI30&lt;&gt;".",up_Irr!BG30&lt;&gt;"."),up_dir!L30/((1/1000)*(up_Irr!K30+up_Irr!AI30+up_Irr!BG30)),IF(AND(up_Irr!K30&lt;&gt;".",up_Irr!AI30&lt;&gt;".",up_Irr!BG30="."),up_dir!L30/((1/1000)*(up_Irr!K30+up_Irr!AI30)),IF(AND(up_Irr!K30&lt;&gt;".",up_Irr!AI30=".",up_Irr!BG30&lt;&gt;"."),up_dir!L30/((1/1000)*(up_Irr!K30+up_Irr!BG30)),IF(AND(up_Irr!K30=".",up_Irr!AI30&lt;&gt;".",up_Irr!BG30&lt;&gt;"."),up_dir!L30/((1/1000)*(up_Irr!AI30+up_Irr!BG30)),IF(AND(up_Irr!K30=".",up_Irr!AI30=".",up_Irr!BG30&lt;&gt;"."),up_dir!L30/((1/1000)*(up_Irr!BG30)),IF(AND(up_Irr!K30=".",up_Irr!AI30&lt;&gt;".",up_Irr!BG30="."),up_dir!L30/((1/1000)*(up_Irr!AI30)),IF(AND(up_Irr!K30&lt;&gt;".",up_Irr!AI30=".",up_Irr!BG30="."),up_dir!L30/((1/1000)*(up_Irr!K30)),IF(AND(up_Irr!K30=".",up_Irr!AI30=".",up_Irr!BG30="."),up_dir!L30*1000)))))))),".")</f>
        <v>7.2351016258567334E-11</v>
      </c>
      <c r="M30" s="76">
        <f>IFERROR(IF(AND(up_Irr!L30&lt;&gt;".",up_Irr!AJ30&lt;&gt;".",up_Irr!BH30&lt;&gt;"."),up_dir!M30/((1/1000)*(up_Irr!L30+up_Irr!AJ30+up_Irr!BH30)),IF(AND(up_Irr!L30&lt;&gt;".",up_Irr!AJ30&lt;&gt;".",up_Irr!BH30="."),up_dir!M30/((1/1000)*(up_Irr!L30+up_Irr!AJ30)),IF(AND(up_Irr!L30&lt;&gt;".",up_Irr!AJ30=".",up_Irr!BH30&lt;&gt;"."),up_dir!M30/((1/1000)*(up_Irr!L30+up_Irr!BH30)),IF(AND(up_Irr!L30=".",up_Irr!AJ30&lt;&gt;".",up_Irr!BH30&lt;&gt;"."),up_dir!M30/((1/1000)*(up_Irr!AJ30+up_Irr!BH30)),IF(AND(up_Irr!L30=".",up_Irr!AJ30=".",up_Irr!BH30&lt;&gt;"."),up_dir!M30/((1/1000)*(up_Irr!BH30)),IF(AND(up_Irr!L30=".",up_Irr!AJ30&lt;&gt;".",up_Irr!BH30="."),up_dir!M30/((1/1000)*(up_Irr!AJ30)),IF(AND(up_Irr!L30&lt;&gt;".",up_Irr!AJ30=".",up_Irr!BH30="."),up_dir!M30/((1/1000)*(up_Irr!L30)),IF(AND(up_Irr!L30=".",up_Irr!AJ30=".",up_Irr!BH30="."),up_dir!M30*1000)))))))),".")</f>
        <v>7.2351016258567334E-11</v>
      </c>
      <c r="N30" s="76">
        <f>IFERROR(IF(AND(up_Irr!M30&lt;&gt;".",up_Irr!AK30&lt;&gt;".",up_Irr!BI30&lt;&gt;"."),up_dir!N30/((1/1000)*(up_Irr!M30+up_Irr!AK30+up_Irr!BI30)),IF(AND(up_Irr!M30&lt;&gt;".",up_Irr!AK30&lt;&gt;".",up_Irr!BI30="."),up_dir!N30/((1/1000)*(up_Irr!M30+up_Irr!AK30)),IF(AND(up_Irr!M30&lt;&gt;".",up_Irr!AK30=".",up_Irr!BI30&lt;&gt;"."),up_dir!N30/((1/1000)*(up_Irr!M30+up_Irr!BI30)),IF(AND(up_Irr!M30=".",up_Irr!AK30&lt;&gt;".",up_Irr!BI30&lt;&gt;"."),up_dir!N30/((1/1000)*(up_Irr!AK30+up_Irr!BI30)),IF(AND(up_Irr!M30=".",up_Irr!AK30=".",up_Irr!BI30&lt;&gt;"."),up_dir!N30/((1/1000)*(up_Irr!BI30)),IF(AND(up_Irr!M30=".",up_Irr!AK30&lt;&gt;".",up_Irr!BI30="."),up_dir!N30/((1/1000)*(up_Irr!AK30)),IF(AND(up_Irr!M30&lt;&gt;".",up_Irr!AK30=".",up_Irr!BI30="."),up_dir!N30/((1/1000)*(up_Irr!M30)),IF(AND(up_Irr!M30=".",up_Irr!AK30=".",up_Irr!BI30="."),up_dir!N30*1000)))))))),".")</f>
        <v>7.2351016258567334E-11</v>
      </c>
      <c r="O30" s="76">
        <f>IFERROR(IF(AND(up_Irr!N30&lt;&gt;".",up_Irr!AL30&lt;&gt;".",up_Irr!BJ30&lt;&gt;"."),up_dir!O30/((1/1000)*(up_Irr!N30+up_Irr!AL30+up_Irr!BJ30)),IF(AND(up_Irr!N30&lt;&gt;".",up_Irr!AL30&lt;&gt;".",up_Irr!BJ30="."),up_dir!O30/((1/1000)*(up_Irr!N30+up_Irr!AL30)),IF(AND(up_Irr!N30&lt;&gt;".",up_Irr!AL30=".",up_Irr!BJ30&lt;&gt;"."),up_dir!O30/((1/1000)*(up_Irr!N30+up_Irr!BJ30)),IF(AND(up_Irr!N30=".",up_Irr!AL30&lt;&gt;".",up_Irr!BJ30&lt;&gt;"."),up_dir!O30/((1/1000)*(up_Irr!AL30+up_Irr!BJ30)),IF(AND(up_Irr!N30=".",up_Irr!AL30=".",up_Irr!BJ30&lt;&gt;"."),up_dir!O30/((1/1000)*(up_Irr!BJ30)),IF(AND(up_Irr!N30=".",up_Irr!AL30&lt;&gt;".",up_Irr!BJ30="."),up_dir!O30/((1/1000)*(up_Irr!AL30)),IF(AND(up_Irr!N30&lt;&gt;".",up_Irr!AL30=".",up_Irr!BJ30="."),up_dir!O30/((1/1000)*(up_Irr!N30)),IF(AND(up_Irr!N30=".",up_Irr!AL30=".",up_Irr!BJ30="."),up_dir!O30*1000)))))))),".")</f>
        <v>7.2351016258567334E-11</v>
      </c>
      <c r="P30" s="76">
        <f>IFERROR(IF(AND(up_Irr!O30&lt;&gt;".",up_Irr!AM30&lt;&gt;".",up_Irr!BK30&lt;&gt;"."),up_dir!P30/((1/1000)*(up_Irr!O30+up_Irr!AM30+up_Irr!BK30)),IF(AND(up_Irr!O30&lt;&gt;".",up_Irr!AM30&lt;&gt;".",up_Irr!BK30="."),up_dir!P30/((1/1000)*(up_Irr!O30+up_Irr!AM30)),IF(AND(up_Irr!O30&lt;&gt;".",up_Irr!AM30=".",up_Irr!BK30&lt;&gt;"."),up_dir!P30/((1/1000)*(up_Irr!O30+up_Irr!BK30)),IF(AND(up_Irr!O30=".",up_Irr!AM30&lt;&gt;".",up_Irr!BK30&lt;&gt;"."),up_dir!P30/((1/1000)*(up_Irr!AM30+up_Irr!BK30)),IF(AND(up_Irr!O30=".",up_Irr!AM30=".",up_Irr!BK30&lt;&gt;"."),up_dir!P30/((1/1000)*(up_Irr!BK30)),IF(AND(up_Irr!O30=".",up_Irr!AM30&lt;&gt;".",up_Irr!BK30="."),up_dir!P30/((1/1000)*(up_Irr!AM30)),IF(AND(up_Irr!O30&lt;&gt;".",up_Irr!AM30=".",up_Irr!BK30="."),up_dir!P30/((1/1000)*(up_Irr!O30)),IF(AND(up_Irr!O30=".",up_Irr!AM30=".",up_Irr!BK30="."),up_dir!P30*1000)))))))),".")</f>
        <v>7.2351016258567334E-11</v>
      </c>
      <c r="Q30" s="76">
        <f>IFERROR(IF(AND(up_Irr!P30&lt;&gt;".",up_Irr!AN30&lt;&gt;".",up_Irr!BL30&lt;&gt;"."),up_dir!Q30/((1/1000)*(up_Irr!P30+up_Irr!AN30+up_Irr!BL30)),IF(AND(up_Irr!P30&lt;&gt;".",up_Irr!AN30&lt;&gt;".",up_Irr!BL30="."),up_dir!Q30/((1/1000)*(up_Irr!P30+up_Irr!AN30)),IF(AND(up_Irr!P30&lt;&gt;".",up_Irr!AN30=".",up_Irr!BL30&lt;&gt;"."),up_dir!Q30/((1/1000)*(up_Irr!P30+up_Irr!BL30)),IF(AND(up_Irr!P30=".",up_Irr!AN30&lt;&gt;".",up_Irr!BL30&lt;&gt;"."),up_dir!Q30/((1/1000)*(up_Irr!AN30+up_Irr!BL30)),IF(AND(up_Irr!P30=".",up_Irr!AN30=".",up_Irr!BL30&lt;&gt;"."),up_dir!Q30/((1/1000)*(up_Irr!BL30)),IF(AND(up_Irr!P30=".",up_Irr!AN30&lt;&gt;".",up_Irr!BL30="."),up_dir!Q30/((1/1000)*(up_Irr!AN30)),IF(AND(up_Irr!P30&lt;&gt;".",up_Irr!AN30=".",up_Irr!BL30="."),up_dir!Q30/((1/1000)*(up_Irr!P30)),IF(AND(up_Irr!P30=".",up_Irr!AN30=".",up_Irr!BL30="."),up_dir!Q30*1000)))))))),".")</f>
        <v>7.2351016258567334E-11</v>
      </c>
      <c r="R30" s="76">
        <f>IFERROR(IF(AND(up_Irr!Q30&lt;&gt;".",up_Irr!AO30&lt;&gt;".",up_Irr!BM30&lt;&gt;"."),up_dir!R30/((1/1000)*(up_Irr!Q30+up_Irr!AO30+up_Irr!BM30)),IF(AND(up_Irr!Q30&lt;&gt;".",up_Irr!AO30&lt;&gt;".",up_Irr!BM30="."),up_dir!R30/((1/1000)*(up_Irr!Q30+up_Irr!AO30)),IF(AND(up_Irr!Q30&lt;&gt;".",up_Irr!AO30=".",up_Irr!BM30&lt;&gt;"."),up_dir!R30/((1/1000)*(up_Irr!Q30+up_Irr!BM30)),IF(AND(up_Irr!Q30=".",up_Irr!AO30&lt;&gt;".",up_Irr!BM30&lt;&gt;"."),up_dir!R30/((1/1000)*(up_Irr!AO30+up_Irr!BM30)),IF(AND(up_Irr!Q30=".",up_Irr!AO30=".",up_Irr!BM30&lt;&gt;"."),up_dir!R30/((1/1000)*(up_Irr!BM30)),IF(AND(up_Irr!Q30=".",up_Irr!AO30&lt;&gt;".",up_Irr!BM30="."),up_dir!R30/((1/1000)*(up_Irr!AO30)),IF(AND(up_Irr!Q30&lt;&gt;".",up_Irr!AO30=".",up_Irr!BM30="."),up_dir!R30/((1/1000)*(up_Irr!Q30)),IF(AND(up_Irr!Q30=".",up_Irr!AO30=".",up_Irr!BM30="."),up_dir!R30*1000)))))))),".")</f>
        <v>7.2351016258567334E-11</v>
      </c>
      <c r="S30" s="76">
        <f>IFERROR(IF(AND(up_Irr!R30&lt;&gt;".",up_Irr!AP30&lt;&gt;".",up_Irr!BN30&lt;&gt;"."),up_dir!S30/((1/1000)*(up_Irr!R30+up_Irr!AP30+up_Irr!BN30)),IF(AND(up_Irr!R30&lt;&gt;".",up_Irr!AP30&lt;&gt;".",up_Irr!BN30="."),up_dir!S30/((1/1000)*(up_Irr!R30+up_Irr!AP30)),IF(AND(up_Irr!R30&lt;&gt;".",up_Irr!AP30=".",up_Irr!BN30&lt;&gt;"."),up_dir!S30/((1/1000)*(up_Irr!R30+up_Irr!BN30)),IF(AND(up_Irr!R30=".",up_Irr!AP30&lt;&gt;".",up_Irr!BN30&lt;&gt;"."),up_dir!S30/((1/1000)*(up_Irr!AP30+up_Irr!BN30)),IF(AND(up_Irr!R30=".",up_Irr!AP30=".",up_Irr!BN30&lt;&gt;"."),up_dir!S30/((1/1000)*(up_Irr!BN30)),IF(AND(up_Irr!R30=".",up_Irr!AP30&lt;&gt;".",up_Irr!BN30="."),up_dir!S30/((1/1000)*(up_Irr!AP30)),IF(AND(up_Irr!R30&lt;&gt;".",up_Irr!AP30=".",up_Irr!BN30="."),up_dir!S30/((1/1000)*(up_Irr!R30)),IF(AND(up_Irr!R30=".",up_Irr!AP30=".",up_Irr!BN30="."),up_dir!S30*1000)))))))),".")</f>
        <v>7.2351016258567334E-11</v>
      </c>
      <c r="T30" s="76">
        <f>IFERROR(IF(AND(up_Irr!S30&lt;&gt;".",up_Irr!AQ30&lt;&gt;".",up_Irr!BO30&lt;&gt;"."),up_dir!T30/((1/1000)*(up_Irr!S30+up_Irr!AQ30+up_Irr!BO30)),IF(AND(up_Irr!S30&lt;&gt;".",up_Irr!AQ30&lt;&gt;".",up_Irr!BO30="."),up_dir!T30/((1/1000)*(up_Irr!S30+up_Irr!AQ30)),IF(AND(up_Irr!S30&lt;&gt;".",up_Irr!AQ30=".",up_Irr!BO30&lt;&gt;"."),up_dir!T30/((1/1000)*(up_Irr!S30+up_Irr!BO30)),IF(AND(up_Irr!S30=".",up_Irr!AQ30&lt;&gt;".",up_Irr!BO30&lt;&gt;"."),up_dir!T30/((1/1000)*(up_Irr!AQ30+up_Irr!BO30)),IF(AND(up_Irr!S30=".",up_Irr!AQ30=".",up_Irr!BO30&lt;&gt;"."),up_dir!T30/((1/1000)*(up_Irr!BO30)),IF(AND(up_Irr!S30=".",up_Irr!AQ30&lt;&gt;".",up_Irr!BO30="."),up_dir!T30/((1/1000)*(up_Irr!AQ30)),IF(AND(up_Irr!S30&lt;&gt;".",up_Irr!AQ30=".",up_Irr!BO30="."),up_dir!T30/((1/1000)*(up_Irr!S30)),IF(AND(up_Irr!S30=".",up_Irr!AQ30=".",up_Irr!BO30="."),up_dir!T30*1000)))))))),".")</f>
        <v>7.2351016258567334E-11</v>
      </c>
      <c r="U30" s="76">
        <f>IFERROR(IF(AND(up_Irr!T30&lt;&gt;".",up_Irr!AR30&lt;&gt;".",up_Irr!BP30&lt;&gt;"."),up_dir!U30/((1/1000)*(up_Irr!T30+up_Irr!AR30+up_Irr!BP30)),IF(AND(up_Irr!T30&lt;&gt;".",up_Irr!AR30&lt;&gt;".",up_Irr!BP30="."),up_dir!U30/((1/1000)*(up_Irr!T30+up_Irr!AR30)),IF(AND(up_Irr!T30&lt;&gt;".",up_Irr!AR30=".",up_Irr!BP30&lt;&gt;"."),up_dir!U30/((1/1000)*(up_Irr!T30+up_Irr!BP30)),IF(AND(up_Irr!T30=".",up_Irr!AR30&lt;&gt;".",up_Irr!BP30&lt;&gt;"."),up_dir!U30/((1/1000)*(up_Irr!AR30+up_Irr!BP30)),IF(AND(up_Irr!T30=".",up_Irr!AR30=".",up_Irr!BP30&lt;&gt;"."),up_dir!U30/((1/1000)*(up_Irr!BP30)),IF(AND(up_Irr!T30=".",up_Irr!AR30&lt;&gt;".",up_Irr!BP30="."),up_dir!U30/((1/1000)*(up_Irr!AR30)),IF(AND(up_Irr!T30&lt;&gt;".",up_Irr!AR30=".",up_Irr!BP30="."),up_dir!U30/((1/1000)*(up_Irr!T30)),IF(AND(up_Irr!T30=".",up_Irr!AR30=".",up_Irr!BP30="."),up_dir!U30*1000)))))))),".")</f>
        <v>7.2351016258567334E-11</v>
      </c>
      <c r="V30" s="76">
        <f>IFERROR(IF(AND(up_Irr!U30&lt;&gt;".",up_Irr!AS30&lt;&gt;".",up_Irr!BQ30&lt;&gt;"."),up_dir!V30/((1/1000)*(up_Irr!U30+up_Irr!AS30+up_Irr!BQ30)),IF(AND(up_Irr!U30&lt;&gt;".",up_Irr!AS30&lt;&gt;".",up_Irr!BQ30="."),up_dir!V30/((1/1000)*(up_Irr!U30+up_Irr!AS30)),IF(AND(up_Irr!U30&lt;&gt;".",up_Irr!AS30=".",up_Irr!BQ30&lt;&gt;"."),up_dir!V30/((1/1000)*(up_Irr!U30+up_Irr!BQ30)),IF(AND(up_Irr!U30=".",up_Irr!AS30&lt;&gt;".",up_Irr!BQ30&lt;&gt;"."),up_dir!V30/((1/1000)*(up_Irr!AS30+up_Irr!BQ30)),IF(AND(up_Irr!U30=".",up_Irr!AS30=".",up_Irr!BQ30&lt;&gt;"."),up_dir!V30/((1/1000)*(up_Irr!BQ30)),IF(AND(up_Irr!U30=".",up_Irr!AS30&lt;&gt;".",up_Irr!BQ30="."),up_dir!V30/((1/1000)*(up_Irr!AS30)),IF(AND(up_Irr!U30&lt;&gt;".",up_Irr!AS30=".",up_Irr!BQ30="."),up_dir!V30/((1/1000)*(up_Irr!U30)),IF(AND(up_Irr!U30=".",up_Irr!AS30=".",up_Irr!BQ30="."),up_dir!V30*1000)))))))),".")</f>
        <v>7.2351016258567334E-11</v>
      </c>
      <c r="W30" s="76">
        <f>IFERROR(IF(AND(up_Irr!V30&lt;&gt;".",up_Irr!AT30&lt;&gt;".",up_Irr!BR30&lt;&gt;"."),up_dir!W30/((1/1000)*(up_Irr!V30+up_Irr!AT30+up_Irr!BR30)),IF(AND(up_Irr!V30&lt;&gt;".",up_Irr!AT30&lt;&gt;".",up_Irr!BR30="."),up_dir!W30/((1/1000)*(up_Irr!V30+up_Irr!AT30)),IF(AND(up_Irr!V30&lt;&gt;".",up_Irr!AT30=".",up_Irr!BR30&lt;&gt;"."),up_dir!W30/((1/1000)*(up_Irr!V30+up_Irr!BR30)),IF(AND(up_Irr!V30=".",up_Irr!AT30&lt;&gt;".",up_Irr!BR30&lt;&gt;"."),up_dir!W30/((1/1000)*(up_Irr!AT30+up_Irr!BR30)),IF(AND(up_Irr!V30=".",up_Irr!AT30=".",up_Irr!BR30&lt;&gt;"."),up_dir!W30/((1/1000)*(up_Irr!BR30)),IF(AND(up_Irr!V30=".",up_Irr!AT30&lt;&gt;".",up_Irr!BR30="."),up_dir!W30/((1/1000)*(up_Irr!AT30)),IF(AND(up_Irr!V30&lt;&gt;".",up_Irr!AT30=".",up_Irr!BR30="."),up_dir!W30/((1/1000)*(up_Irr!V30)),IF(AND(up_Irr!V30=".",up_Irr!AT30=".",up_Irr!BR30="."),up_dir!W30*1000)))))))),".")</f>
        <v>7.2351016258567334E-11</v>
      </c>
      <c r="X30" s="76">
        <f>IFERROR(IF(AND(up_Irr!W30&lt;&gt;".",up_Irr!AU30&lt;&gt;".",up_Irr!BS30&lt;&gt;"."),up_dir!X30/((1/1000)*(up_Irr!W30+up_Irr!AU30+up_Irr!BS30)),IF(AND(up_Irr!W30&lt;&gt;".",up_Irr!AU30&lt;&gt;".",up_Irr!BS30="."),up_dir!X30/((1/1000)*(up_Irr!W30+up_Irr!AU30)),IF(AND(up_Irr!W30&lt;&gt;".",up_Irr!AU30=".",up_Irr!BS30&lt;&gt;"."),up_dir!X30/((1/1000)*(up_Irr!W30+up_Irr!BS30)),IF(AND(up_Irr!W30=".",up_Irr!AU30&lt;&gt;".",up_Irr!BS30&lt;&gt;"."),up_dir!X30/((1/1000)*(up_Irr!AU30+up_Irr!BS30)),IF(AND(up_Irr!W30=".",up_Irr!AU30=".",up_Irr!BS30&lt;&gt;"."),up_dir!X30/((1/1000)*(up_Irr!BS30)),IF(AND(up_Irr!W30=".",up_Irr!AU30&lt;&gt;".",up_Irr!BS30="."),up_dir!X30/((1/1000)*(up_Irr!AU30)),IF(AND(up_Irr!W30&lt;&gt;".",up_Irr!AU30=".",up_Irr!BS30="."),up_dir!X30/((1/1000)*(up_Irr!W30)),IF(AND(up_Irr!W30=".",up_Irr!AU30=".",up_Irr!BS30="."),up_dir!X30*1000)))))))),".")</f>
        <v>7.2351016258567334E-11</v>
      </c>
      <c r="Y30" s="76">
        <f>IFERROR(IF(AND(up_Irr!X30&lt;&gt;".",up_Irr!AV30&lt;&gt;".",up_Irr!BT30&lt;&gt;"."),up_dir!Y30/((1/1000)*(up_Irr!X30+up_Irr!AV30+up_Irr!BT30)),IF(AND(up_Irr!X30&lt;&gt;".",up_Irr!AV30&lt;&gt;".",up_Irr!BT30="."),up_dir!Y30/((1/1000)*(up_Irr!X30+up_Irr!AV30)),IF(AND(up_Irr!X30&lt;&gt;".",up_Irr!AV30=".",up_Irr!BT30&lt;&gt;"."),up_dir!Y30/((1/1000)*(up_Irr!X30+up_Irr!BT30)),IF(AND(up_Irr!X30=".",up_Irr!AV30&lt;&gt;".",up_Irr!BT30&lt;&gt;"."),up_dir!Y30/((1/1000)*(up_Irr!AV30+up_Irr!BT30)),IF(AND(up_Irr!X30=".",up_Irr!AV30=".",up_Irr!BT30&lt;&gt;"."),up_dir!Y30/((1/1000)*(up_Irr!BT30)),IF(AND(up_Irr!X30=".",up_Irr!AV30&lt;&gt;".",up_Irr!BT30="."),up_dir!Y30/((1/1000)*(up_Irr!AV30)),IF(AND(up_Irr!X30&lt;&gt;".",up_Irr!AV30=".",up_Irr!BT30="."),up_dir!Y30/((1/1000)*(up_Irr!X30)),IF(AND(up_Irr!X30=".",up_Irr!AV30=".",up_Irr!BT30="."),up_dir!Y30*1000)))))))),".")</f>
        <v>7.2351016258567334E-11</v>
      </c>
      <c r="Z30" s="76">
        <f>IFERROR(IF(AND(up_Irr!Y30&lt;&gt;".",up_Irr!AW30&lt;&gt;".",up_Irr!BU30&lt;&gt;"."),up_dir!Z30/((1/1000)*(up_Irr!Y30+up_Irr!AW30+up_Irr!BU30)),IF(AND(up_Irr!Y30&lt;&gt;".",up_Irr!AW30&lt;&gt;".",up_Irr!BU30="."),up_dir!Z30/((1/1000)*(up_Irr!Y30+up_Irr!AW30)),IF(AND(up_Irr!Y30&lt;&gt;".",up_Irr!AW30=".",up_Irr!BU30&lt;&gt;"."),up_dir!Z30/((1/1000)*(up_Irr!Y30+up_Irr!BU30)),IF(AND(up_Irr!Y30=".",up_Irr!AW30&lt;&gt;".",up_Irr!BU30&lt;&gt;"."),up_dir!Z30/((1/1000)*(up_Irr!AW30+up_Irr!BU30)),IF(AND(up_Irr!Y30=".",up_Irr!AW30=".",up_Irr!BU30&lt;&gt;"."),up_dir!Z30/((1/1000)*(up_Irr!BU30)),IF(AND(up_Irr!Y30=".",up_Irr!AW30&lt;&gt;".",up_Irr!BU30="."),up_dir!Z30/((1/1000)*(up_Irr!AW30)),IF(AND(up_Irr!Y30&lt;&gt;".",up_Irr!AW30=".",up_Irr!BU30="."),up_dir!Z30/((1/1000)*(up_Irr!Y30)),IF(AND(up_Irr!Y30=".",up_Irr!AW30=".",up_Irr!BU30="."),up_dir!Z30*1000)))))))),".")</f>
        <v>7.2351016258567334E-11</v>
      </c>
      <c r="AA30" s="76">
        <f>IFERROR(IF(AND(up_Irr!Z30&lt;&gt;".",up_Irr!AX30&lt;&gt;".",up_Irr!BV30&lt;&gt;"."),up_dir!AA30/((1/1000)*(up_Irr!Z30+up_Irr!AX30+up_Irr!BV30)),IF(AND(up_Irr!Z30&lt;&gt;".",up_Irr!AX30&lt;&gt;".",up_Irr!BV30="."),up_dir!AA30/((1/1000)*(up_Irr!Z30+up_Irr!AX30)),IF(AND(up_Irr!Z30&lt;&gt;".",up_Irr!AX30=".",up_Irr!BV30&lt;&gt;"."),up_dir!AA30/((1/1000)*(up_Irr!Z30+up_Irr!BV30)),IF(AND(up_Irr!Z30=".",up_Irr!AX30&lt;&gt;".",up_Irr!BV30&lt;&gt;"."),up_dir!AA30/((1/1000)*(up_Irr!AX30+up_Irr!BV30)),IF(AND(up_Irr!Z30=".",up_Irr!AX30=".",up_Irr!BV30&lt;&gt;"."),up_dir!AA30/((1/1000)*(up_Irr!BV30)),IF(AND(up_Irr!Z30=".",up_Irr!AX30&lt;&gt;".",up_Irr!BV30="."),up_dir!AA30/((1/1000)*(up_Irr!AX30)),IF(AND(up_Irr!Z30&lt;&gt;".",up_Irr!AX30=".",up_Irr!BV30="."),up_dir!AA30/((1/1000)*(up_Irr!Z30)),IF(AND(up_Irr!Z30=".",up_Irr!AX30=".",up_Irr!BV30="."),up_dir!AA30*1000)))))))),".")</f>
        <v>7.2351016258567334E-11</v>
      </c>
      <c r="AB30" s="93">
        <f>SUM(AC30:AD30,AY30:AZ30)</f>
        <v>55286.023705663516</v>
      </c>
      <c r="AC30" s="93">
        <f>IFERROR(s_C*s_IFAP_res_adj*s_CF_apple*0.001*(up_Irr!C30+up_Irr!AA30+up_Irr!AY30),".")</f>
        <v>13821.505926415879</v>
      </c>
      <c r="AD30" s="93">
        <f>IFERROR(s_C*s_IFAS_res_adj*s_CF_asparagus*0.001*(up_Irr!D30+up_Irr!AB30+up_Irr!AZ30),".")</f>
        <v>13821.505926415879</v>
      </c>
      <c r="AE30" s="93">
        <f>IFERROR(s_C*s_IFBT_res_adj*s_CF_beet*0.001*(up_Irr!E30+up_Irr!AC30+up_Irr!BA30),".")</f>
        <v>13821.505926415879</v>
      </c>
      <c r="AF30" s="93">
        <f>IFERROR(s_C*s_IFBE_res_adj*s_CF_berries*0.001*(up_Irr!F30+up_Irr!AD30+up_Irr!BB30),".")</f>
        <v>13821.505926415879</v>
      </c>
      <c r="AG30" s="93">
        <f>IFERROR(s_C*s_IFBR_res_adj*s_CF_broccoli*0.001*(up_Irr!G30+up_Irr!AE30+up_Irr!BC30),".")</f>
        <v>13821.505926415879</v>
      </c>
      <c r="AH30" s="93">
        <f>IFERROR(s_C*s_IFCB_res_adj*s_CF_cabbage*0.001*(up_Irr!H30+up_Irr!AF30+up_Irr!BD30),".")</f>
        <v>13821.505926415879</v>
      </c>
      <c r="AI30" s="93">
        <f>IFERROR(s_C*s_IFCR_res_adj*s_CF_carrot*0.001*(up_Irr!I30+up_Irr!AG30+up_Irr!BE30),".")</f>
        <v>13821.505926415879</v>
      </c>
      <c r="AJ30" s="93">
        <f>IFERROR(s_C*s_IFCI_res_adj*s_CF_citrus*0.001*(up_Irr!J30+up_Irr!AH30+up_Irr!BF30),".")</f>
        <v>13821.505926415879</v>
      </c>
      <c r="AK30" s="93">
        <f>IFERROR(s_C*s_IFCO_res_adj*s_CF_corn*0.001*(up_Irr!K30+up_Irr!AI30+up_Irr!BG30),".")</f>
        <v>13821.505926415879</v>
      </c>
      <c r="AL30" s="93">
        <f>IFERROR(s_C*s_IFCU_res_adj*s_CF_cucumber*0.001*(up_Irr!L30+up_Irr!AJ30+up_Irr!BH30),".")</f>
        <v>13821.505926415879</v>
      </c>
      <c r="AM30" s="93">
        <f>IFERROR(s_C*s_IFLE_res_adj*s_CF_lettuce*0.001*(up_Irr!M30+up_Irr!AK30+up_Irr!BI30),".")</f>
        <v>13821.505926415879</v>
      </c>
      <c r="AN30" s="93">
        <f>IFERROR(s_C*s_IFLI_res_adj*s_CF_lima_bean*0.001*(up_Irr!N30+up_Irr!AL30+up_Irr!BJ30),".")</f>
        <v>13821.505926415879</v>
      </c>
      <c r="AO30" s="93">
        <f>IFERROR(s_C*s_IFOK_res_adj*s_CF_okra*0.001*(up_Irr!O30+up_Irr!AM30+up_Irr!BK30),".")</f>
        <v>13821.505926415879</v>
      </c>
      <c r="AP30" s="93">
        <f>IFERROR(s_C*s_IFON_res_adj*s_CF_onion*0.001*(up_Irr!P30+up_Irr!AN30+up_Irr!BL30),".")</f>
        <v>13821.505926415879</v>
      </c>
      <c r="AQ30" s="93">
        <f>IFERROR(s_C*s_IFPC_res_adj*s_CF_peach*0.001*(up_Irr!Q30+up_Irr!AO30+up_Irr!BM30),".")</f>
        <v>13821.505926415879</v>
      </c>
      <c r="AR30" s="93">
        <f>IFERROR(s_C*s_IFPR_res_adj*s_CF_pear*0.001*(up_Irr!R30+up_Irr!AP30+up_Irr!BN30),".")</f>
        <v>13821.505926415879</v>
      </c>
      <c r="AS30" s="93">
        <f>IFERROR(s_C*s_IFPE_res_adj*s_CF_peas*0.001*(up_Irr!S30+up_Irr!AQ30+up_Irr!BO30),".")</f>
        <v>13821.505926415879</v>
      </c>
      <c r="AT30" s="93">
        <f>IFERROR(s_C*s_IFPT_res_adj*s_CF_potato*0.001*(up_Irr!T30+up_Irr!AR30+up_Irr!BP30),".")</f>
        <v>13821.505926415879</v>
      </c>
      <c r="AU30" s="93">
        <f>IFERROR(s_C*s_IFPU_res_adj*s_CF_pumpkin*0.001*(up_Irr!U30+up_Irr!AS30+up_Irr!BQ30),".")</f>
        <v>13821.505926415879</v>
      </c>
      <c r="AV30" s="93">
        <f>IFERROR(s_C*s_IFSN_res_adj*s_CF_snap_bean*0.001*(up_Irr!V30+up_Irr!AT30+up_Irr!BR30),".")</f>
        <v>13821.505926415879</v>
      </c>
      <c r="AW30" s="93">
        <f>IFERROR(s_C*s_IFST_res_adj*s_CF_strawberry*0.001*(up_Irr!W30+up_Irr!AU30+up_Irr!BS30),".")</f>
        <v>13821.505926415879</v>
      </c>
      <c r="AX30" s="93">
        <f>IFERROR(s_C*s_IFTO_res_adj*s_CF_tomato*0.001*(up_Irr!X30+up_Irr!AV30+up_Irr!BT30),".")</f>
        <v>13821.505926415879</v>
      </c>
      <c r="AY30" s="93">
        <f>IFERROR(s_C*s_IFRI_res_adj*s_CF_rice*0.001*(up_Irr!Y30+up_Irr!AW30+up_Irr!BU30),".")</f>
        <v>13821.505926415879</v>
      </c>
      <c r="AZ30" s="93">
        <f>IFERROR(s_C*s_IFCG_res_adj*s_CF_cereal*0.001*(up_Irr!Z30+up_Irr!AX30+up_Irr!BV30),".")</f>
        <v>13821.505926415879</v>
      </c>
      <c r="BA30" s="76">
        <f>IFERROR(1/SUM(1/BB30,1/BC30,1/BX30,1/BY30),".")</f>
        <v>1.8087754064641833E-11</v>
      </c>
      <c r="BB30" s="76">
        <f>IFERROR(IF(AND(up_Irr!C30&lt;&gt;".",up_Irr!AA30&lt;&gt;".",up_Irr!AY30&lt;&gt;"."),up_dir!AC30/((1/1000)*(up_Irr!C30+up_Irr!AA30+up_Irr!AY30)),IF(AND(up_Irr!C30&lt;&gt;".",up_Irr!AA30&lt;&gt;".",up_Irr!AY30="."),up_dir!AC30/((1/1000)*(up_Irr!C30+up_Irr!AA30)),IF(AND(up_Irr!C30&lt;&gt;".",up_Irr!AA30=".",up_Irr!AY30&lt;&gt;"."),up_dir!AC30/((1/1000)*(up_Irr!C30+up_Irr!AY30)),IF(AND(up_Irr!C30=".",up_Irr!AA30&lt;&gt;".",up_Irr!AY30&lt;&gt;"."),up_dir!AC30/((1/1000)*(up_Irr!AA30+up_Irr!AY30)),IF(AND(up_Irr!C30=".",up_Irr!AA30=".",up_Irr!AY30&lt;&gt;"."),up_dir!AC30/((1/1000)*(up_Irr!AY30)),IF(AND(up_Irr!C30=".",up_Irr!AA30&lt;&gt;".",up_Irr!AY30="."),up_dir!AC30/((1/1000)*(up_Irr!AA30)),IF(AND(up_Irr!C30&lt;&gt;".",up_Irr!AA30=".",up_Irr!AY30="."),up_dir!AC30/((1/1000)*(up_Irr!C30)),IF(AND(up_Irr!C30=".",up_Irr!AA30=".",up_Irr!AY30="."),up_dir!AC30*1000)))))))),".")</f>
        <v>7.2351016258567334E-11</v>
      </c>
      <c r="BC30" s="76">
        <f>IFERROR(IF(AND(up_Irr!D30&lt;&gt;".",up_Irr!AB30&lt;&gt;".",up_Irr!AZ30&lt;&gt;"."),up_dir!AD30/((1/1000)*(up_Irr!D30+up_Irr!AB30+up_Irr!AZ30)),IF(AND(up_Irr!D30&lt;&gt;".",up_Irr!AB30&lt;&gt;".",up_Irr!AZ30="."),up_dir!AD30/((1/1000)*(up_Irr!D30+up_Irr!AB30)),IF(AND(up_Irr!D30&lt;&gt;".",up_Irr!AB30=".",up_Irr!AZ30&lt;&gt;"."),up_dir!AD30/((1/1000)*(up_Irr!D30+up_Irr!AZ30)),IF(AND(up_Irr!D30=".",up_Irr!AB30&lt;&gt;".",up_Irr!AZ30&lt;&gt;"."),up_dir!AD30/((1/1000)*(up_Irr!AB30+up_Irr!AZ30)),IF(AND(up_Irr!D30=".",up_Irr!AB30=".",up_Irr!AZ30&lt;&gt;"."),up_dir!AD30/((1/1000)*(up_Irr!AZ30)),IF(AND(up_Irr!D30=".",up_Irr!AB30&lt;&gt;".",up_Irr!AZ30="."),up_dir!AD30/((1/1000)*(up_Irr!AB30)),IF(AND(up_Irr!D30&lt;&gt;".",up_Irr!AB30=".",up_Irr!AZ30="."),up_dir!AD30/((1/1000)*(up_Irr!D30)),IF(AND(up_Irr!D30=".",up_Irr!AB30=".",up_Irr!AZ30="."),up_dir!AD30*1000)))))))),".")</f>
        <v>7.2351016258567334E-11</v>
      </c>
      <c r="BD30" s="76">
        <f>IFERROR(IF(AND(up_Irr!E30&lt;&gt;".",up_Irr!AC30&lt;&gt;".",up_Irr!BA30&lt;&gt;"."),up_dir!AE30/((1/1000)*(up_Irr!E30+up_Irr!AC30+up_Irr!BA30)),IF(AND(up_Irr!E30&lt;&gt;".",up_Irr!AC30&lt;&gt;".",up_Irr!BA30="."),up_dir!AE30/((1/1000)*(up_Irr!E30+up_Irr!AC30)),IF(AND(up_Irr!E30&lt;&gt;".",up_Irr!AC30=".",up_Irr!BA30&lt;&gt;"."),up_dir!AE30/((1/1000)*(up_Irr!E30+up_Irr!BA30)),IF(AND(up_Irr!E30=".",up_Irr!AC30&lt;&gt;".",up_Irr!BA30&lt;&gt;"."),up_dir!AE30/((1/1000)*(up_Irr!AC30+up_Irr!BA30)),IF(AND(up_Irr!E30=".",up_Irr!AC30=".",up_Irr!BA30&lt;&gt;"."),up_dir!AE30/((1/1000)*(up_Irr!BA30)),IF(AND(up_Irr!E30=".",up_Irr!AC30&lt;&gt;".",up_Irr!BA30="."),up_dir!AE30/((1/1000)*(up_Irr!AC30)),IF(AND(up_Irr!E30&lt;&gt;".",up_Irr!AC30=".",up_Irr!BA30="."),up_dir!AE30/((1/1000)*(up_Irr!E30)),IF(AND(up_Irr!E30=".",up_Irr!AC30=".",up_Irr!BA30="."),up_dir!AE30*1000)))))))),".")</f>
        <v>7.2351016258567334E-11</v>
      </c>
      <c r="BE30" s="76">
        <f>IFERROR(IF(AND(up_Irr!F30&lt;&gt;".",up_Irr!AD30&lt;&gt;".",up_Irr!BB30&lt;&gt;"."),up_dir!AF30/((1/1000)*(up_Irr!F30+up_Irr!AD30+up_Irr!BB30)),IF(AND(up_Irr!F30&lt;&gt;".",up_Irr!AD30&lt;&gt;".",up_Irr!BB30="."),up_dir!AF30/((1/1000)*(up_Irr!F30+up_Irr!AD30)),IF(AND(up_Irr!F30&lt;&gt;".",up_Irr!AD30=".",up_Irr!BB30&lt;&gt;"."),up_dir!AF30/((1/1000)*(up_Irr!F30+up_Irr!BB30)),IF(AND(up_Irr!F30=".",up_Irr!AD30&lt;&gt;".",up_Irr!BB30&lt;&gt;"."),up_dir!AF30/((1/1000)*(up_Irr!AD30+up_Irr!BB30)),IF(AND(up_Irr!F30=".",up_Irr!AD30=".",up_Irr!BB30&lt;&gt;"."),up_dir!AF30/((1/1000)*(up_Irr!BB30)),IF(AND(up_Irr!F30=".",up_Irr!AD30&lt;&gt;".",up_Irr!BB30="."),up_dir!AF30/((1/1000)*(up_Irr!AD30)),IF(AND(up_Irr!F30&lt;&gt;".",up_Irr!AD30=".",up_Irr!BB30="."),up_dir!AF30/((1/1000)*(up_Irr!F30)),IF(AND(up_Irr!F30=".",up_Irr!AD30=".",up_Irr!BB30="."),up_dir!AF30*1000)))))))),".")</f>
        <v>7.2351016258567334E-11</v>
      </c>
      <c r="BF30" s="76">
        <f>IFERROR(IF(AND(up_Irr!G30&lt;&gt;".",up_Irr!AE30&lt;&gt;".",up_Irr!BC30&lt;&gt;"."),up_dir!AG30/((1/1000)*(up_Irr!G30+up_Irr!AE30+up_Irr!BC30)),IF(AND(up_Irr!G30&lt;&gt;".",up_Irr!AE30&lt;&gt;".",up_Irr!BC30="."),up_dir!AG30/((1/1000)*(up_Irr!G30+up_Irr!AE30)),IF(AND(up_Irr!G30&lt;&gt;".",up_Irr!AE30=".",up_Irr!BC30&lt;&gt;"."),up_dir!AG30/((1/1000)*(up_Irr!G30+up_Irr!BC30)),IF(AND(up_Irr!G30=".",up_Irr!AE30&lt;&gt;".",up_Irr!BC30&lt;&gt;"."),up_dir!AG30/((1/1000)*(up_Irr!AE30+up_Irr!BC30)),IF(AND(up_Irr!G30=".",up_Irr!AE30=".",up_Irr!BC30&lt;&gt;"."),up_dir!AG30/((1/1000)*(up_Irr!BC30)),IF(AND(up_Irr!G30=".",up_Irr!AE30&lt;&gt;".",up_Irr!BC30="."),up_dir!AG30/((1/1000)*(up_Irr!AE30)),IF(AND(up_Irr!G30&lt;&gt;".",up_Irr!AE30=".",up_Irr!BC30="."),up_dir!AG30/((1/1000)*(up_Irr!G30)),IF(AND(up_Irr!G30=".",up_Irr!AE30=".",up_Irr!BC30="."),up_dir!AG30*1000)))))))),".")</f>
        <v>7.2351016258567334E-11</v>
      </c>
      <c r="BG30" s="76">
        <f>IFERROR(IF(AND(up_Irr!H30&lt;&gt;".",up_Irr!AF30&lt;&gt;".",up_Irr!BD30&lt;&gt;"."),up_dir!AH30/((1/1000)*(up_Irr!H30+up_Irr!AF30+up_Irr!BD30)),IF(AND(up_Irr!H30&lt;&gt;".",up_Irr!AF30&lt;&gt;".",up_Irr!BD30="."),up_dir!AH30/((1/1000)*(up_Irr!H30+up_Irr!AF30)),IF(AND(up_Irr!H30&lt;&gt;".",up_Irr!AF30=".",up_Irr!BD30&lt;&gt;"."),up_dir!AH30/((1/1000)*(up_Irr!H30+up_Irr!BD30)),IF(AND(up_Irr!H30=".",up_Irr!AF30&lt;&gt;".",up_Irr!BD30&lt;&gt;"."),up_dir!AH30/((1/1000)*(up_Irr!AF30+up_Irr!BD30)),IF(AND(up_Irr!H30=".",up_Irr!AF30=".",up_Irr!BD30&lt;&gt;"."),up_dir!AH30/((1/1000)*(up_Irr!BD30)),IF(AND(up_Irr!H30=".",up_Irr!AF30&lt;&gt;".",up_Irr!BD30="."),up_dir!AH30/((1/1000)*(up_Irr!AF30)),IF(AND(up_Irr!H30&lt;&gt;".",up_Irr!AF30=".",up_Irr!BD30="."),up_dir!AH30/((1/1000)*(up_Irr!H30)),IF(AND(up_Irr!H30=".",up_Irr!AF30=".",up_Irr!BD30="."),up_dir!AH30*1000)))))))),".")</f>
        <v>7.2351016258567334E-11</v>
      </c>
      <c r="BH30" s="76">
        <f>IFERROR(IF(AND(up_Irr!I30&lt;&gt;".",up_Irr!AG30&lt;&gt;".",up_Irr!BE30&lt;&gt;"."),up_dir!AI30/((1/1000)*(up_Irr!I30+up_Irr!AG30+up_Irr!BE30)),IF(AND(up_Irr!I30&lt;&gt;".",up_Irr!AG30&lt;&gt;".",up_Irr!BE30="."),up_dir!AI30/((1/1000)*(up_Irr!I30+up_Irr!AG30)),IF(AND(up_Irr!I30&lt;&gt;".",up_Irr!AG30=".",up_Irr!BE30&lt;&gt;"."),up_dir!AI30/((1/1000)*(up_Irr!I30+up_Irr!BE30)),IF(AND(up_Irr!I30=".",up_Irr!AG30&lt;&gt;".",up_Irr!BE30&lt;&gt;"."),up_dir!AI30/((1/1000)*(up_Irr!AG30+up_Irr!BE30)),IF(AND(up_Irr!I30=".",up_Irr!AG30=".",up_Irr!BE30&lt;&gt;"."),up_dir!AI30/((1/1000)*(up_Irr!BE30)),IF(AND(up_Irr!I30=".",up_Irr!AG30&lt;&gt;".",up_Irr!BE30="."),up_dir!AI30/((1/1000)*(up_Irr!AG30)),IF(AND(up_Irr!I30&lt;&gt;".",up_Irr!AG30=".",up_Irr!BE30="."),up_dir!AI30/((1/1000)*(up_Irr!I30)),IF(AND(up_Irr!I30=".",up_Irr!AG30=".",up_Irr!BE30="."),up_dir!AI30*1000)))))))),".")</f>
        <v>7.2351016258567334E-11</v>
      </c>
      <c r="BI30" s="76">
        <f>IFERROR(IF(AND(up_Irr!J30&lt;&gt;".",up_Irr!AH30&lt;&gt;".",up_Irr!BF30&lt;&gt;"."),up_dir!AJ30/((1/1000)*(up_Irr!J30+up_Irr!AH30+up_Irr!BF30)),IF(AND(up_Irr!J30&lt;&gt;".",up_Irr!AH30&lt;&gt;".",up_Irr!BF30="."),up_dir!AJ30/((1/1000)*(up_Irr!J30+up_Irr!AH30)),IF(AND(up_Irr!J30&lt;&gt;".",up_Irr!AH30=".",up_Irr!BF30&lt;&gt;"."),up_dir!AJ30/((1/1000)*(up_Irr!J30+up_Irr!BF30)),IF(AND(up_Irr!J30=".",up_Irr!AH30&lt;&gt;".",up_Irr!BF30&lt;&gt;"."),up_dir!AJ30/((1/1000)*(up_Irr!AH30+up_Irr!BF30)),IF(AND(up_Irr!J30=".",up_Irr!AH30=".",up_Irr!BF30&lt;&gt;"."),up_dir!AJ30/((1/1000)*(up_Irr!BF30)),IF(AND(up_Irr!J30=".",up_Irr!AH30&lt;&gt;".",up_Irr!BF30="."),up_dir!AJ30/((1/1000)*(up_Irr!AH30)),IF(AND(up_Irr!J30&lt;&gt;".",up_Irr!AH30=".",up_Irr!BF30="."),up_dir!AJ30/((1/1000)*(up_Irr!J30)),IF(AND(up_Irr!J30=".",up_Irr!AH30=".",up_Irr!BF30="."),up_dir!AJ30*1000)))))))),".")</f>
        <v>7.2351016258567334E-11</v>
      </c>
      <c r="BJ30" s="76">
        <f>IFERROR(IF(AND(up_Irr!K30&lt;&gt;".",up_Irr!AI30&lt;&gt;".",up_Irr!BG30&lt;&gt;"."),up_dir!AK30/((1/1000)*(up_Irr!K30+up_Irr!AI30+up_Irr!BG30)),IF(AND(up_Irr!K30&lt;&gt;".",up_Irr!AI30&lt;&gt;".",up_Irr!BG30="."),up_dir!AK30/((1/1000)*(up_Irr!K30+up_Irr!AI30)),IF(AND(up_Irr!K30&lt;&gt;".",up_Irr!AI30=".",up_Irr!BG30&lt;&gt;"."),up_dir!AK30/((1/1000)*(up_Irr!K30+up_Irr!BG30)),IF(AND(up_Irr!K30=".",up_Irr!AI30&lt;&gt;".",up_Irr!BG30&lt;&gt;"."),up_dir!AK30/((1/1000)*(up_Irr!AI30+up_Irr!BG30)),IF(AND(up_Irr!K30=".",up_Irr!AI30=".",up_Irr!BG30&lt;&gt;"."),up_dir!AK30/((1/1000)*(up_Irr!BG30)),IF(AND(up_Irr!K30=".",up_Irr!AI30&lt;&gt;".",up_Irr!BG30="."),up_dir!AK30/((1/1000)*(up_Irr!AI30)),IF(AND(up_Irr!K30&lt;&gt;".",up_Irr!AI30=".",up_Irr!BG30="."),up_dir!AK30/((1/1000)*(up_Irr!K30)),IF(AND(up_Irr!K30=".",up_Irr!AI30=".",up_Irr!BG30="."),up_dir!AK30*1000)))))))),".")</f>
        <v>7.2351016258567334E-11</v>
      </c>
      <c r="BK30" s="76">
        <f>IFERROR(IF(AND(up_Irr!L30&lt;&gt;".",up_Irr!AJ30&lt;&gt;".",up_Irr!BH30&lt;&gt;"."),up_dir!AL30/((1/1000)*(up_Irr!L30+up_Irr!AJ30+up_Irr!BH30)),IF(AND(up_Irr!L30&lt;&gt;".",up_Irr!AJ30&lt;&gt;".",up_Irr!BH30="."),up_dir!AL30/((1/1000)*(up_Irr!L30+up_Irr!AJ30)),IF(AND(up_Irr!L30&lt;&gt;".",up_Irr!AJ30=".",up_Irr!BH30&lt;&gt;"."),up_dir!AL30/((1/1000)*(up_Irr!L30+up_Irr!BH30)),IF(AND(up_Irr!L30=".",up_Irr!AJ30&lt;&gt;".",up_Irr!BH30&lt;&gt;"."),up_dir!AL30/((1/1000)*(up_Irr!AJ30+up_Irr!BH30)),IF(AND(up_Irr!L30=".",up_Irr!AJ30=".",up_Irr!BH30&lt;&gt;"."),up_dir!AL30/((1/1000)*(up_Irr!BH30)),IF(AND(up_Irr!L30=".",up_Irr!AJ30&lt;&gt;".",up_Irr!BH30="."),up_dir!AL30/((1/1000)*(up_Irr!AJ30)),IF(AND(up_Irr!L30&lt;&gt;".",up_Irr!AJ30=".",up_Irr!BH30="."),up_dir!AL30/((1/1000)*(up_Irr!L30)),IF(AND(up_Irr!L30=".",up_Irr!AJ30=".",up_Irr!BH30="."),up_dir!AL30*1000)))))))),".")</f>
        <v>7.2351016258567334E-11</v>
      </c>
      <c r="BL30" s="76">
        <f>IFERROR(IF(AND(up_Irr!M30&lt;&gt;".",up_Irr!AK30&lt;&gt;".",up_Irr!BI30&lt;&gt;"."),up_dir!AM30/((1/1000)*(up_Irr!M30+up_Irr!AK30+up_Irr!BI30)),IF(AND(up_Irr!M30&lt;&gt;".",up_Irr!AK30&lt;&gt;".",up_Irr!BI30="."),up_dir!AM30/((1/1000)*(up_Irr!M30+up_Irr!AK30)),IF(AND(up_Irr!M30&lt;&gt;".",up_Irr!AK30=".",up_Irr!BI30&lt;&gt;"."),up_dir!AM30/((1/1000)*(up_Irr!M30+up_Irr!BI30)),IF(AND(up_Irr!M30=".",up_Irr!AK30&lt;&gt;".",up_Irr!BI30&lt;&gt;"."),up_dir!AM30/((1/1000)*(up_Irr!AK30+up_Irr!BI30)),IF(AND(up_Irr!M30=".",up_Irr!AK30=".",up_Irr!BI30&lt;&gt;"."),up_dir!AM30/((1/1000)*(up_Irr!BI30)),IF(AND(up_Irr!M30=".",up_Irr!AK30&lt;&gt;".",up_Irr!BI30="."),up_dir!AM30/((1/1000)*(up_Irr!AK30)),IF(AND(up_Irr!M30&lt;&gt;".",up_Irr!AK30=".",up_Irr!BI30="."),up_dir!AM30/((1/1000)*(up_Irr!M30)),IF(AND(up_Irr!M30=".",up_Irr!AK30=".",up_Irr!BI30="."),up_dir!AM30*1000)))))))),".")</f>
        <v>7.2351016258567334E-11</v>
      </c>
      <c r="BM30" s="76">
        <f>IFERROR(IF(AND(up_Irr!N30&lt;&gt;".",up_Irr!AL30&lt;&gt;".",up_Irr!BJ30&lt;&gt;"."),up_dir!AN30/((1/1000)*(up_Irr!N30+up_Irr!AL30+up_Irr!BJ30)),IF(AND(up_Irr!N30&lt;&gt;".",up_Irr!AL30&lt;&gt;".",up_Irr!BJ30="."),up_dir!AN30/((1/1000)*(up_Irr!N30+up_Irr!AL30)),IF(AND(up_Irr!N30&lt;&gt;".",up_Irr!AL30=".",up_Irr!BJ30&lt;&gt;"."),up_dir!AN30/((1/1000)*(up_Irr!N30+up_Irr!BJ30)),IF(AND(up_Irr!N30=".",up_Irr!AL30&lt;&gt;".",up_Irr!BJ30&lt;&gt;"."),up_dir!AN30/((1/1000)*(up_Irr!AL30+up_Irr!BJ30)),IF(AND(up_Irr!N30=".",up_Irr!AL30=".",up_Irr!BJ30&lt;&gt;"."),up_dir!AN30/((1/1000)*(up_Irr!BJ30)),IF(AND(up_Irr!N30=".",up_Irr!AL30&lt;&gt;".",up_Irr!BJ30="."),up_dir!AN30/((1/1000)*(up_Irr!AL30)),IF(AND(up_Irr!N30&lt;&gt;".",up_Irr!AL30=".",up_Irr!BJ30="."),up_dir!AN30/((1/1000)*(up_Irr!N30)),IF(AND(up_Irr!N30=".",up_Irr!AL30=".",up_Irr!BJ30="."),up_dir!AN30*1000)))))))),".")</f>
        <v>7.2351016258567334E-11</v>
      </c>
      <c r="BN30" s="76">
        <f>IFERROR(IF(AND(up_Irr!O30&lt;&gt;".",up_Irr!AM30&lt;&gt;".",up_Irr!BK30&lt;&gt;"."),up_dir!AO30/((1/1000)*(up_Irr!O30+up_Irr!AM30+up_Irr!BK30)),IF(AND(up_Irr!O30&lt;&gt;".",up_Irr!AM30&lt;&gt;".",up_Irr!BK30="."),up_dir!AO30/((1/1000)*(up_Irr!O30+up_Irr!AM30)),IF(AND(up_Irr!O30&lt;&gt;".",up_Irr!AM30=".",up_Irr!BK30&lt;&gt;"."),up_dir!AO30/((1/1000)*(up_Irr!O30+up_Irr!BK30)),IF(AND(up_Irr!O30=".",up_Irr!AM30&lt;&gt;".",up_Irr!BK30&lt;&gt;"."),up_dir!AO30/((1/1000)*(up_Irr!AM30+up_Irr!BK30)),IF(AND(up_Irr!O30=".",up_Irr!AM30=".",up_Irr!BK30&lt;&gt;"."),up_dir!AO30/((1/1000)*(up_Irr!BK30)),IF(AND(up_Irr!O30=".",up_Irr!AM30&lt;&gt;".",up_Irr!BK30="."),up_dir!AO30/((1/1000)*(up_Irr!AM30)),IF(AND(up_Irr!O30&lt;&gt;".",up_Irr!AM30=".",up_Irr!BK30="."),up_dir!AO30/((1/1000)*(up_Irr!O30)),IF(AND(up_Irr!O30=".",up_Irr!AM30=".",up_Irr!BK30="."),up_dir!AO30*1000)))))))),".")</f>
        <v>7.2351016258567334E-11</v>
      </c>
      <c r="BO30" s="76">
        <f>IFERROR(IF(AND(up_Irr!P30&lt;&gt;".",up_Irr!AN30&lt;&gt;".",up_Irr!BL30&lt;&gt;"."),up_dir!AP30/((1/1000)*(up_Irr!P30+up_Irr!AN30+up_Irr!BL30)),IF(AND(up_Irr!P30&lt;&gt;".",up_Irr!AN30&lt;&gt;".",up_Irr!BL30="."),up_dir!AP30/((1/1000)*(up_Irr!P30+up_Irr!AN30)),IF(AND(up_Irr!P30&lt;&gt;".",up_Irr!AN30=".",up_Irr!BL30&lt;&gt;"."),up_dir!AP30/((1/1000)*(up_Irr!P30+up_Irr!BL30)),IF(AND(up_Irr!P30=".",up_Irr!AN30&lt;&gt;".",up_Irr!BL30&lt;&gt;"."),up_dir!AP30/((1/1000)*(up_Irr!AN30+up_Irr!BL30)),IF(AND(up_Irr!P30=".",up_Irr!AN30=".",up_Irr!BL30&lt;&gt;"."),up_dir!AP30/((1/1000)*(up_Irr!BL30)),IF(AND(up_Irr!P30=".",up_Irr!AN30&lt;&gt;".",up_Irr!BL30="."),up_dir!AP30/((1/1000)*(up_Irr!AN30)),IF(AND(up_Irr!P30&lt;&gt;".",up_Irr!AN30=".",up_Irr!BL30="."),up_dir!AP30/((1/1000)*(up_Irr!P30)),IF(AND(up_Irr!P30=".",up_Irr!AN30=".",up_Irr!BL30="."),up_dir!AP30*1000)))))))),".")</f>
        <v>7.2351016258567334E-11</v>
      </c>
      <c r="BP30" s="76">
        <f>IFERROR(IF(AND(up_Irr!Q30&lt;&gt;".",up_Irr!AO30&lt;&gt;".",up_Irr!BM30&lt;&gt;"."),up_dir!AQ30/((1/1000)*(up_Irr!Q30+up_Irr!AO30+up_Irr!BM30)),IF(AND(up_Irr!Q30&lt;&gt;".",up_Irr!AO30&lt;&gt;".",up_Irr!BM30="."),up_dir!AQ30/((1/1000)*(up_Irr!Q30+up_Irr!AO30)),IF(AND(up_Irr!Q30&lt;&gt;".",up_Irr!AO30=".",up_Irr!BM30&lt;&gt;"."),up_dir!AQ30/((1/1000)*(up_Irr!Q30+up_Irr!BM30)),IF(AND(up_Irr!Q30=".",up_Irr!AO30&lt;&gt;".",up_Irr!BM30&lt;&gt;"."),up_dir!AQ30/((1/1000)*(up_Irr!AO30+up_Irr!BM30)),IF(AND(up_Irr!Q30=".",up_Irr!AO30=".",up_Irr!BM30&lt;&gt;"."),up_dir!AQ30/((1/1000)*(up_Irr!BM30)),IF(AND(up_Irr!Q30=".",up_Irr!AO30&lt;&gt;".",up_Irr!BM30="."),up_dir!AQ30/((1/1000)*(up_Irr!AO30)),IF(AND(up_Irr!Q30&lt;&gt;".",up_Irr!AO30=".",up_Irr!BM30="."),up_dir!AQ30/((1/1000)*(up_Irr!Q30)),IF(AND(up_Irr!Q30=".",up_Irr!AO30=".",up_Irr!BM30="."),up_dir!AQ30*1000)))))))),".")</f>
        <v>7.2351016258567334E-11</v>
      </c>
      <c r="BQ30" s="76">
        <f>IFERROR(IF(AND(up_Irr!R30&lt;&gt;".",up_Irr!AP30&lt;&gt;".",up_Irr!BN30&lt;&gt;"."),up_dir!AR30/((1/1000)*(up_Irr!R30+up_Irr!AP30+up_Irr!BN30)),IF(AND(up_Irr!R30&lt;&gt;".",up_Irr!AP30&lt;&gt;".",up_Irr!BN30="."),up_dir!AR30/((1/1000)*(up_Irr!R30+up_Irr!AP30)),IF(AND(up_Irr!R30&lt;&gt;".",up_Irr!AP30=".",up_Irr!BN30&lt;&gt;"."),up_dir!AR30/((1/1000)*(up_Irr!R30+up_Irr!BN30)),IF(AND(up_Irr!R30=".",up_Irr!AP30&lt;&gt;".",up_Irr!BN30&lt;&gt;"."),up_dir!AR30/((1/1000)*(up_Irr!AP30+up_Irr!BN30)),IF(AND(up_Irr!R30=".",up_Irr!AP30=".",up_Irr!BN30&lt;&gt;"."),up_dir!AR30/((1/1000)*(up_Irr!BN30)),IF(AND(up_Irr!R30=".",up_Irr!AP30&lt;&gt;".",up_Irr!BN30="."),up_dir!AR30/((1/1000)*(up_Irr!AP30)),IF(AND(up_Irr!R30&lt;&gt;".",up_Irr!AP30=".",up_Irr!BN30="."),up_dir!AR30/((1/1000)*(up_Irr!R30)),IF(AND(up_Irr!R30=".",up_Irr!AP30=".",up_Irr!BN30="."),up_dir!AR30*1000)))))))),".")</f>
        <v>7.2351016258567334E-11</v>
      </c>
      <c r="BR30" s="76">
        <f>IFERROR(IF(AND(up_Irr!S30&lt;&gt;".",up_Irr!AQ30&lt;&gt;".",up_Irr!BO30&lt;&gt;"."),up_dir!AS30/((1/1000)*(up_Irr!S30+up_Irr!AQ30+up_Irr!BO30)),IF(AND(up_Irr!S30&lt;&gt;".",up_Irr!AQ30&lt;&gt;".",up_Irr!BO30="."),up_dir!AS30/((1/1000)*(up_Irr!S30+up_Irr!AQ30)),IF(AND(up_Irr!S30&lt;&gt;".",up_Irr!AQ30=".",up_Irr!BO30&lt;&gt;"."),up_dir!AS30/((1/1000)*(up_Irr!S30+up_Irr!BO30)),IF(AND(up_Irr!S30=".",up_Irr!AQ30&lt;&gt;".",up_Irr!BO30&lt;&gt;"."),up_dir!AS30/((1/1000)*(up_Irr!AQ30+up_Irr!BO30)),IF(AND(up_Irr!S30=".",up_Irr!AQ30=".",up_Irr!BO30&lt;&gt;"."),up_dir!AS30/((1/1000)*(up_Irr!BO30)),IF(AND(up_Irr!S30=".",up_Irr!AQ30&lt;&gt;".",up_Irr!BO30="."),up_dir!AS30/((1/1000)*(up_Irr!AQ30)),IF(AND(up_Irr!S30&lt;&gt;".",up_Irr!AQ30=".",up_Irr!BO30="."),up_dir!AS30/((1/1000)*(up_Irr!S30)),IF(AND(up_Irr!S30=".",up_Irr!AQ30=".",up_Irr!BO30="."),up_dir!AS30*1000)))))))),".")</f>
        <v>7.2351016258567334E-11</v>
      </c>
      <c r="BS30" s="76">
        <f>IFERROR(IF(AND(up_Irr!T30&lt;&gt;".",up_Irr!AR30&lt;&gt;".",up_Irr!BP30&lt;&gt;"."),up_dir!AT30/((1/1000)*(up_Irr!T30+up_Irr!AR30+up_Irr!BP30)),IF(AND(up_Irr!T30&lt;&gt;".",up_Irr!AR30&lt;&gt;".",up_Irr!BP30="."),up_dir!AT30/((1/1000)*(up_Irr!T30+up_Irr!AR30)),IF(AND(up_Irr!T30&lt;&gt;".",up_Irr!AR30=".",up_Irr!BP30&lt;&gt;"."),up_dir!AT30/((1/1000)*(up_Irr!T30+up_Irr!BP30)),IF(AND(up_Irr!T30=".",up_Irr!AR30&lt;&gt;".",up_Irr!BP30&lt;&gt;"."),up_dir!AT30/((1/1000)*(up_Irr!AR30+up_Irr!BP30)),IF(AND(up_Irr!T30=".",up_Irr!AR30=".",up_Irr!BP30&lt;&gt;"."),up_dir!AT30/((1/1000)*(up_Irr!BP30)),IF(AND(up_Irr!T30=".",up_Irr!AR30&lt;&gt;".",up_Irr!BP30="."),up_dir!AT30/((1/1000)*(up_Irr!AR30)),IF(AND(up_Irr!T30&lt;&gt;".",up_Irr!AR30=".",up_Irr!BP30="."),up_dir!AT30/((1/1000)*(up_Irr!T30)),IF(AND(up_Irr!T30=".",up_Irr!AR30=".",up_Irr!BP30="."),up_dir!AT30*1000)))))))),".")</f>
        <v>7.2351016258567334E-11</v>
      </c>
      <c r="BT30" s="76">
        <f>IFERROR(IF(AND(up_Irr!U30&lt;&gt;".",up_Irr!AS30&lt;&gt;".",up_Irr!BQ30&lt;&gt;"."),up_dir!AU30/((1/1000)*(up_Irr!U30+up_Irr!AS30+up_Irr!BQ30)),IF(AND(up_Irr!U30&lt;&gt;".",up_Irr!AS30&lt;&gt;".",up_Irr!BQ30="."),up_dir!AU30/((1/1000)*(up_Irr!U30+up_Irr!AS30)),IF(AND(up_Irr!U30&lt;&gt;".",up_Irr!AS30=".",up_Irr!BQ30&lt;&gt;"."),up_dir!AU30/((1/1000)*(up_Irr!U30+up_Irr!BQ30)),IF(AND(up_Irr!U30=".",up_Irr!AS30&lt;&gt;".",up_Irr!BQ30&lt;&gt;"."),up_dir!AU30/((1/1000)*(up_Irr!AS30+up_Irr!BQ30)),IF(AND(up_Irr!U30=".",up_Irr!AS30=".",up_Irr!BQ30&lt;&gt;"."),up_dir!AU30/((1/1000)*(up_Irr!BQ30)),IF(AND(up_Irr!U30=".",up_Irr!AS30&lt;&gt;".",up_Irr!BQ30="."),up_dir!AU30/((1/1000)*(up_Irr!AS30)),IF(AND(up_Irr!U30&lt;&gt;".",up_Irr!AS30=".",up_Irr!BQ30="."),up_dir!AU30/((1/1000)*(up_Irr!U30)),IF(AND(up_Irr!U30=".",up_Irr!AS30=".",up_Irr!BQ30="."),up_dir!AU30*1000)))))))),".")</f>
        <v>7.2351016258567334E-11</v>
      </c>
      <c r="BU30" s="76">
        <f>IFERROR(IF(AND(up_Irr!V30&lt;&gt;".",up_Irr!AT30&lt;&gt;".",up_Irr!BR30&lt;&gt;"."),up_dir!AV30/((1/1000)*(up_Irr!V30+up_Irr!AT30+up_Irr!BR30)),IF(AND(up_Irr!V30&lt;&gt;".",up_Irr!AT30&lt;&gt;".",up_Irr!BR30="."),up_dir!AV30/((1/1000)*(up_Irr!V30+up_Irr!AT30)),IF(AND(up_Irr!V30&lt;&gt;".",up_Irr!AT30=".",up_Irr!BR30&lt;&gt;"."),up_dir!AV30/((1/1000)*(up_Irr!V30+up_Irr!BR30)),IF(AND(up_Irr!V30=".",up_Irr!AT30&lt;&gt;".",up_Irr!BR30&lt;&gt;"."),up_dir!AV30/((1/1000)*(up_Irr!AT30+up_Irr!BR30)),IF(AND(up_Irr!V30=".",up_Irr!AT30=".",up_Irr!BR30&lt;&gt;"."),up_dir!AV30/((1/1000)*(up_Irr!BR30)),IF(AND(up_Irr!V30=".",up_Irr!AT30&lt;&gt;".",up_Irr!BR30="."),up_dir!AV30/((1/1000)*(up_Irr!AT30)),IF(AND(up_Irr!V30&lt;&gt;".",up_Irr!AT30=".",up_Irr!BR30="."),up_dir!AV30/((1/1000)*(up_Irr!V30)),IF(AND(up_Irr!V30=".",up_Irr!AT30=".",up_Irr!BR30="."),up_dir!AV30*1000)))))))),".")</f>
        <v>7.2351016258567334E-11</v>
      </c>
      <c r="BV30" s="76">
        <f>IFERROR(IF(AND(up_Irr!W30&lt;&gt;".",up_Irr!AU30&lt;&gt;".",up_Irr!BS30&lt;&gt;"."),up_dir!AW30/((1/1000)*(up_Irr!W30+up_Irr!AU30+up_Irr!BS30)),IF(AND(up_Irr!W30&lt;&gt;".",up_Irr!AU30&lt;&gt;".",up_Irr!BS30="."),up_dir!AW30/((1/1000)*(up_Irr!W30+up_Irr!AU30)),IF(AND(up_Irr!W30&lt;&gt;".",up_Irr!AU30=".",up_Irr!BS30&lt;&gt;"."),up_dir!AW30/((1/1000)*(up_Irr!W30+up_Irr!BS30)),IF(AND(up_Irr!W30=".",up_Irr!AU30&lt;&gt;".",up_Irr!BS30&lt;&gt;"."),up_dir!AW30/((1/1000)*(up_Irr!AU30+up_Irr!BS30)),IF(AND(up_Irr!W30=".",up_Irr!AU30=".",up_Irr!BS30&lt;&gt;"."),up_dir!AW30/((1/1000)*(up_Irr!BS30)),IF(AND(up_Irr!W30=".",up_Irr!AU30&lt;&gt;".",up_Irr!BS30="."),up_dir!AW30/((1/1000)*(up_Irr!AU30)),IF(AND(up_Irr!W30&lt;&gt;".",up_Irr!AU30=".",up_Irr!BS30="."),up_dir!AW30/((1/1000)*(up_Irr!W30)),IF(AND(up_Irr!W30=".",up_Irr!AU30=".",up_Irr!BS30="."),up_dir!AW30*1000)))))))),".")</f>
        <v>7.2351016258567334E-11</v>
      </c>
      <c r="BW30" s="76">
        <f>IFERROR(IF(AND(up_Irr!X30&lt;&gt;".",up_Irr!AV30&lt;&gt;".",up_Irr!BT30&lt;&gt;"."),up_dir!AX30/((1/1000)*(up_Irr!X30+up_Irr!AV30+up_Irr!BT30)),IF(AND(up_Irr!X30&lt;&gt;".",up_Irr!AV30&lt;&gt;".",up_Irr!BT30="."),up_dir!AX30/((1/1000)*(up_Irr!X30+up_Irr!AV30)),IF(AND(up_Irr!X30&lt;&gt;".",up_Irr!AV30=".",up_Irr!BT30&lt;&gt;"."),up_dir!AX30/((1/1000)*(up_Irr!X30+up_Irr!BT30)),IF(AND(up_Irr!X30=".",up_Irr!AV30&lt;&gt;".",up_Irr!BT30&lt;&gt;"."),up_dir!AX30/((1/1000)*(up_Irr!AV30+up_Irr!BT30)),IF(AND(up_Irr!X30=".",up_Irr!AV30=".",up_Irr!BT30&lt;&gt;"."),up_dir!AX30/((1/1000)*(up_Irr!BT30)),IF(AND(up_Irr!X30=".",up_Irr!AV30&lt;&gt;".",up_Irr!BT30="."),up_dir!AX30/((1/1000)*(up_Irr!AV30)),IF(AND(up_Irr!X30&lt;&gt;".",up_Irr!AV30=".",up_Irr!BT30="."),up_dir!AX30/((1/1000)*(up_Irr!X30)),IF(AND(up_Irr!X30=".",up_Irr!AV30=".",up_Irr!BT30="."),up_dir!AX30*1000)))))))),".")</f>
        <v>7.2351016258567334E-11</v>
      </c>
      <c r="BX30" s="76">
        <f>IFERROR(IF(AND(up_Irr!Y30&lt;&gt;".",up_Irr!AW30&lt;&gt;".",up_Irr!BU30&lt;&gt;"."),up_dir!AY30/((1/1000)*(up_Irr!Y30+up_Irr!AW30+up_Irr!BU30)),IF(AND(up_Irr!Y30&lt;&gt;".",up_Irr!AW30&lt;&gt;".",up_Irr!BU30="."),up_dir!AY30/((1/1000)*(up_Irr!Y30+up_Irr!AW30)),IF(AND(up_Irr!Y30&lt;&gt;".",up_Irr!AW30=".",up_Irr!BU30&lt;&gt;"."),up_dir!AY30/((1/1000)*(up_Irr!Y30+up_Irr!BU30)),IF(AND(up_Irr!Y30=".",up_Irr!AW30&lt;&gt;".",up_Irr!BU30&lt;&gt;"."),up_dir!AY30/((1/1000)*(up_Irr!AW30+up_Irr!BU30)),IF(AND(up_Irr!Y30=".",up_Irr!AW30=".",up_Irr!BU30&lt;&gt;"."),up_dir!AY30/((1/1000)*(up_Irr!BU30)),IF(AND(up_Irr!Y30=".",up_Irr!AW30&lt;&gt;".",up_Irr!BU30="."),up_dir!AY30/((1/1000)*(up_Irr!AW30)),IF(AND(up_Irr!Y30&lt;&gt;".",up_Irr!AW30=".",up_Irr!BU30="."),up_dir!AY30/((1/1000)*(up_Irr!Y30)),IF(AND(up_Irr!Y30=".",up_Irr!AW30=".",up_Irr!BU30="."),up_dir!AY30*1000)))))))),".")</f>
        <v>7.2351016258567334E-11</v>
      </c>
      <c r="BY30" s="76">
        <f>IFERROR(IF(AND(up_Irr!Z30&lt;&gt;".",up_Irr!AX30&lt;&gt;".",up_Irr!BV30&lt;&gt;"."),up_dir!AZ30/((1/1000)*(up_Irr!Z30+up_Irr!AX30+up_Irr!BV30)),IF(AND(up_Irr!Z30&lt;&gt;".",up_Irr!AX30&lt;&gt;".",up_Irr!BV30="."),up_dir!AZ30/((1/1000)*(up_Irr!Z30+up_Irr!AX30)),IF(AND(up_Irr!Z30&lt;&gt;".",up_Irr!AX30=".",up_Irr!BV30&lt;&gt;"."),up_dir!AZ30/((1/1000)*(up_Irr!Z30+up_Irr!BV30)),IF(AND(up_Irr!Z30=".",up_Irr!AX30&lt;&gt;".",up_Irr!BV30&lt;&gt;"."),up_dir!AZ30/((1/1000)*(up_Irr!AX30+up_Irr!BV30)),IF(AND(up_Irr!Z30=".",up_Irr!AX30=".",up_Irr!BV30&lt;&gt;"."),up_dir!AZ30/((1/1000)*(up_Irr!BV30)),IF(AND(up_Irr!Z30=".",up_Irr!AX30&lt;&gt;".",up_Irr!BV30="."),up_dir!AZ30/((1/1000)*(up_Irr!AX30)),IF(AND(up_Irr!Z30&lt;&gt;".",up_Irr!AX30=".",up_Irr!BV30="."),up_dir!AZ30/((1/1000)*(up_Irr!Z30)),IF(AND(up_Irr!Z30=".",up_Irr!AX30=".",up_Irr!BV30="."),up_dir!AZ30*1000)))))))),".")</f>
        <v>7.2351016258567334E-11</v>
      </c>
      <c r="BZ30" s="93">
        <f>SUM(CA30:CB30,CW30:CX30)</f>
        <v>55286.023705663516</v>
      </c>
      <c r="CA30" s="93">
        <f>IFERROR(s_C*s_IFAP_far_adj*s_CF_apple*(1/1000)*(up_Irr!C30+up_Irr!AA30+up_Irr!AY30),".")</f>
        <v>13821.505926415879</v>
      </c>
      <c r="CB30" s="93">
        <f>IFERROR(s_C*s_IFAS_far_adj*s_CF_asparagus*(1/1000)*(up_Irr!D30+up_Irr!AB30+up_Irr!AZ30),".")</f>
        <v>13821.505926415879</v>
      </c>
      <c r="CC30" s="93">
        <f>IFERROR(s_C*s_IFBT_far_adj*s_CF_beet*(1/1000)*(up_Irr!E30+up_Irr!AC30+up_Irr!BA30),".")</f>
        <v>13821.505926415879</v>
      </c>
      <c r="CD30" s="93">
        <f>IFERROR(s_C*s_IFBE_far_adj*s_CF_berries*(1/1000)*(up_Irr!F30+up_Irr!AD30+up_Irr!BB30),".")</f>
        <v>13821.505926415879</v>
      </c>
      <c r="CE30" s="93">
        <f>IFERROR(s_C*s_IFBR_far_adj*s_CF_broccoli*(1/1000)*(up_Irr!G30+up_Irr!AE30+up_Irr!BC30),".")</f>
        <v>13821.505926415879</v>
      </c>
      <c r="CF30" s="93">
        <f>IFERROR(s_C*s_IFCB_far_adj*s_CF_cabbage*(1/1000)*(up_Irr!H30+up_Irr!AF30+up_Irr!BD30),".")</f>
        <v>13821.505926415879</v>
      </c>
      <c r="CG30" s="93">
        <f>IFERROR(s_C*s_IFCR_far_adj*s_CF_carrot*(1/1000)*(up_Irr!I30+up_Irr!AG30+up_Irr!BE30),".")</f>
        <v>13821.505926415879</v>
      </c>
      <c r="CH30" s="93">
        <f>IFERROR(s_C*s_IFCI_far_adj*s_CF_citrus*(1/1000)*(up_Irr!J30+up_Irr!AH30+up_Irr!BF30),".")</f>
        <v>13821.505926415879</v>
      </c>
      <c r="CI30" s="93">
        <f>IFERROR(s_C*s_IFCO_far_adj*s_CF_corn*(1/1000)*(up_Irr!K30+up_Irr!AI30+up_Irr!BG30),".")</f>
        <v>13821.505926415879</v>
      </c>
      <c r="CJ30" s="93">
        <f>IFERROR(s_C*s_IFCU_far_adj*s_CF_cucumber*(1/1000)*(up_Irr!L30+up_Irr!AJ30+up_Irr!BH30),".")</f>
        <v>13821.505926415879</v>
      </c>
      <c r="CK30" s="93">
        <f>IFERROR(s_C*s_IFLE_far_adj*s_CF_lettuce*(1/1000)*(up_Irr!M30+up_Irr!AK30+up_Irr!BI30),".")</f>
        <v>13821.505926415879</v>
      </c>
      <c r="CL30" s="93">
        <f>IFERROR(s_C*s_IFLI_far_adj*s_CF_lima_bean*(1/1000)*(up_Irr!N30+up_Irr!AL30+up_Irr!BJ30),".")</f>
        <v>13821.505926415879</v>
      </c>
      <c r="CM30" s="93">
        <f>IFERROR(s_C*s_IFOK_far_adj*s_CF_okra*(1/1000)*(up_Irr!O30+up_Irr!AM30+up_Irr!BK30),".")</f>
        <v>13821.505926415879</v>
      </c>
      <c r="CN30" s="93">
        <f>IFERROR(s_C*s_IFON_far_adj*s_CF_onion*(1/1000)*(up_Irr!P30+up_Irr!AN30+up_Irr!BL30),".")</f>
        <v>13821.505926415879</v>
      </c>
      <c r="CO30" s="93">
        <f>IFERROR(s_C*s_IFPC_far_adj*s_CF_peach*(1/1000)*(up_Irr!Q30+up_Irr!AO30+up_Irr!BM30),".")</f>
        <v>13821.505926415879</v>
      </c>
      <c r="CP30" s="93">
        <f>IFERROR(s_C*s_IFPR_far_adj*s_CF_pear*(1/1000)*(up_Irr!R30+up_Irr!AP30+up_Irr!BN30),".")</f>
        <v>13821.505926415879</v>
      </c>
      <c r="CQ30" s="93">
        <f>IFERROR(s_C*s_IFPE_far_adj*s_CF_peas*(1/1000)*(up_Irr!S30+up_Irr!AQ30+up_Irr!BO30),".")</f>
        <v>13821.505926415879</v>
      </c>
      <c r="CR30" s="93">
        <f>IFERROR(s_C*s_IFPT_far_adj*s_CF_potato*(1/1000)*(up_Irr!T30+up_Irr!AR30+up_Irr!BP30),".")</f>
        <v>13821.505926415879</v>
      </c>
      <c r="CS30" s="93">
        <f>IFERROR(s_C*s_IFPU_far_adj*s_CF_pumpkin*(1/1000)*(up_Irr!U30+up_Irr!AS30+up_Irr!BQ30),".")</f>
        <v>13821.505926415879</v>
      </c>
      <c r="CT30" s="93">
        <f>IFERROR(s_C*s_IFSN_far_adj*s_CF_snap_bean*(1/1000)*(up_Irr!V30+up_Irr!AT30+up_Irr!BR30),".")</f>
        <v>13821.505926415879</v>
      </c>
      <c r="CU30" s="93">
        <f>IFERROR(s_C*s_IFST_far_adj*s_CF_strawberry*(1/1000)*(up_Irr!W30+up_Irr!AU30+up_Irr!BS30),".")</f>
        <v>13821.505926415879</v>
      </c>
      <c r="CV30" s="93">
        <f>IFERROR(s_C*s_IFTO_far_adj*s_CF_tomato*(1/1000)*(up_Irr!X30+up_Irr!AV30+up_Irr!BT30),".")</f>
        <v>13821.505926415879</v>
      </c>
      <c r="CW30" s="93">
        <f>IFERROR(s_C*s_IFRI_far_adj*s_CF_rice*(1/1000)*(up_Irr!Y30+up_Irr!AW30+up_Irr!BU30),".")</f>
        <v>13821.505926415879</v>
      </c>
      <c r="CX30" s="93">
        <f>IFERROR(s_C*s_IFCG_far_adj*s_CF_cereal*(1/1000)*(up_Irr!Z30+up_Irr!AX30+up_Irr!BV30),".")</f>
        <v>13821.505926415879</v>
      </c>
    </row>
    <row r="31" spans="1:102" x14ac:dyDescent="0.25">
      <c r="A31" s="95" t="s">
        <v>13</v>
      </c>
      <c r="B31" s="95" t="s">
        <v>1074</v>
      </c>
      <c r="C31" s="96">
        <f t="shared" si="0"/>
        <v>1.5073580594619367E-12</v>
      </c>
      <c r="D31" s="96">
        <f>IFERROR(1/SUM(D32:D44),0)</f>
        <v>6.0294322378477468E-12</v>
      </c>
      <c r="E31" s="96">
        <f>IFERROR(1/SUM(E32:E44),0)</f>
        <v>6.0294322378477468E-12</v>
      </c>
      <c r="F31" s="96">
        <f t="shared" ref="F31:AA31" si="16">IFERROR(1/SUM(F32:F44),0)</f>
        <v>6.0294322378477468E-12</v>
      </c>
      <c r="G31" s="96">
        <f t="shared" si="16"/>
        <v>6.0294322378477468E-12</v>
      </c>
      <c r="H31" s="96">
        <f t="shared" si="16"/>
        <v>6.0294322378477468E-12</v>
      </c>
      <c r="I31" s="96">
        <f t="shared" si="16"/>
        <v>6.0294322378477468E-12</v>
      </c>
      <c r="J31" s="96">
        <f t="shared" si="16"/>
        <v>6.0294322378477468E-12</v>
      </c>
      <c r="K31" s="96">
        <f t="shared" si="16"/>
        <v>6.0294322378477468E-12</v>
      </c>
      <c r="L31" s="96">
        <f t="shared" si="16"/>
        <v>6.0294322378477468E-12</v>
      </c>
      <c r="M31" s="96">
        <f t="shared" si="16"/>
        <v>6.0294322378477468E-12</v>
      </c>
      <c r="N31" s="96">
        <f t="shared" si="16"/>
        <v>6.0294322378477468E-12</v>
      </c>
      <c r="O31" s="96">
        <f t="shared" si="16"/>
        <v>6.0294322378477468E-12</v>
      </c>
      <c r="P31" s="96">
        <f t="shared" si="16"/>
        <v>6.0294322378477468E-12</v>
      </c>
      <c r="Q31" s="96">
        <f t="shared" si="16"/>
        <v>6.0294322378477468E-12</v>
      </c>
      <c r="R31" s="96">
        <f t="shared" si="16"/>
        <v>6.0294322378477468E-12</v>
      </c>
      <c r="S31" s="96">
        <f t="shared" si="16"/>
        <v>6.0294322378477468E-12</v>
      </c>
      <c r="T31" s="96">
        <f t="shared" si="16"/>
        <v>6.0294322378477468E-12</v>
      </c>
      <c r="U31" s="96">
        <f t="shared" si="16"/>
        <v>6.0294322378477468E-12</v>
      </c>
      <c r="V31" s="96">
        <f t="shared" si="16"/>
        <v>6.0294322378477468E-12</v>
      </c>
      <c r="W31" s="96">
        <f t="shared" si="16"/>
        <v>6.0294322378477468E-12</v>
      </c>
      <c r="X31" s="96">
        <f t="shared" si="16"/>
        <v>6.0294322378477468E-12</v>
      </c>
      <c r="Y31" s="96">
        <f t="shared" si="16"/>
        <v>6.0294322378477468E-12</v>
      </c>
      <c r="Z31" s="96">
        <f t="shared" si="16"/>
        <v>6.0294322378477468E-12</v>
      </c>
      <c r="AA31" s="96">
        <f t="shared" si="16"/>
        <v>6.0294322378477468E-12</v>
      </c>
      <c r="AB31" s="47">
        <f>IFERROR(IF(SUM(AC32:AD44,AY32:AZ44)&gt;0.01,1-EXP(-SUM(AC32:AD44,AY32:AZ44)),SUM(AC32:AD44,AY32:AZ44)),".")</f>
        <v>1</v>
      </c>
      <c r="AC31" s="97">
        <f>IFERROR(IF(SUM(AC32:AC44)&gt;0.01,1-EXP(-(SUM(AC32:AC44))),SUM(AC32:AC44)),".")</f>
        <v>1</v>
      </c>
      <c r="AD31" s="97">
        <f>IFERROR(IF(SUM(AD32:AD44)&gt;0.01,1-EXP(-(SUM(AD32:AD44))),SUM(AD32:AD44)),".")</f>
        <v>1</v>
      </c>
      <c r="AE31" s="97">
        <f t="shared" ref="AE31:AX31" si="17">IFERROR(IF(SUM(AE32:AE44)&gt;0.01,1-EXP(-(SUM(AE32:AE44))),SUM(AE32:AE44)),".")</f>
        <v>1</v>
      </c>
      <c r="AF31" s="97">
        <f t="shared" si="17"/>
        <v>1</v>
      </c>
      <c r="AG31" s="97">
        <f t="shared" si="17"/>
        <v>1</v>
      </c>
      <c r="AH31" s="97">
        <f t="shared" si="17"/>
        <v>1</v>
      </c>
      <c r="AI31" s="97">
        <f t="shared" si="17"/>
        <v>1</v>
      </c>
      <c r="AJ31" s="97">
        <f t="shared" si="17"/>
        <v>1</v>
      </c>
      <c r="AK31" s="97">
        <f t="shared" si="17"/>
        <v>1</v>
      </c>
      <c r="AL31" s="97">
        <f t="shared" si="17"/>
        <v>1</v>
      </c>
      <c r="AM31" s="97">
        <f t="shared" si="17"/>
        <v>1</v>
      </c>
      <c r="AN31" s="97">
        <f t="shared" si="17"/>
        <v>1</v>
      </c>
      <c r="AO31" s="97">
        <f t="shared" si="17"/>
        <v>1</v>
      </c>
      <c r="AP31" s="97">
        <f t="shared" si="17"/>
        <v>1</v>
      </c>
      <c r="AQ31" s="97">
        <f t="shared" si="17"/>
        <v>1</v>
      </c>
      <c r="AR31" s="97">
        <f t="shared" si="17"/>
        <v>1</v>
      </c>
      <c r="AS31" s="97">
        <f t="shared" si="17"/>
        <v>1</v>
      </c>
      <c r="AT31" s="97">
        <f t="shared" si="17"/>
        <v>1</v>
      </c>
      <c r="AU31" s="97">
        <f t="shared" si="17"/>
        <v>1</v>
      </c>
      <c r="AV31" s="97">
        <f t="shared" si="17"/>
        <v>1</v>
      </c>
      <c r="AW31" s="97">
        <f t="shared" si="17"/>
        <v>1</v>
      </c>
      <c r="AX31" s="97">
        <f t="shared" si="17"/>
        <v>1</v>
      </c>
      <c r="AY31" s="97">
        <f>IFERROR(IF(SUM(AY32:AY44)&gt;0.01,1-EXP(-(SUM(AY32:AY44))),SUM(AY32:AY44)),".")</f>
        <v>1</v>
      </c>
      <c r="AZ31" s="97">
        <f>IFERROR(IF(SUM(AZ32:AZ44)&gt;0.01,1-EXP(-(SUM(AZ32:AZ44))),SUM(AZ32:AZ44)),".")</f>
        <v>1</v>
      </c>
      <c r="BA31" s="98">
        <f>IFERROR(1/SUM(1/BB31,1/BC31,1/BX31,1/BY31),".")</f>
        <v>1.5073580594619367E-12</v>
      </c>
      <c r="BB31" s="98">
        <f>IFERROR(1/SUM(BB32:BB44),0)</f>
        <v>6.0294322378477468E-12</v>
      </c>
      <c r="BC31" s="98">
        <f>IFERROR(1/SUM(BC32:BC44),0)</f>
        <v>6.0294322378477468E-12</v>
      </c>
      <c r="BD31" s="98">
        <f t="shared" ref="BD31:BY31" si="18">IFERROR(1/SUM(BD32:BD44),0)</f>
        <v>6.0294322378477468E-12</v>
      </c>
      <c r="BE31" s="98">
        <f t="shared" si="18"/>
        <v>6.0294322378477468E-12</v>
      </c>
      <c r="BF31" s="98">
        <f t="shared" si="18"/>
        <v>6.0294322378477468E-12</v>
      </c>
      <c r="BG31" s="98">
        <f t="shared" si="18"/>
        <v>6.0294322378477468E-12</v>
      </c>
      <c r="BH31" s="98">
        <f t="shared" si="18"/>
        <v>6.0294322378477468E-12</v>
      </c>
      <c r="BI31" s="98">
        <f t="shared" si="18"/>
        <v>6.0294322378477468E-12</v>
      </c>
      <c r="BJ31" s="98">
        <f t="shared" si="18"/>
        <v>6.0294322378477468E-12</v>
      </c>
      <c r="BK31" s="98">
        <f t="shared" si="18"/>
        <v>6.0294322378477468E-12</v>
      </c>
      <c r="BL31" s="98">
        <f t="shared" si="18"/>
        <v>6.0294322378477468E-12</v>
      </c>
      <c r="BM31" s="98">
        <f t="shared" si="18"/>
        <v>6.0294322378477468E-12</v>
      </c>
      <c r="BN31" s="98">
        <f t="shared" si="18"/>
        <v>6.0294322378477468E-12</v>
      </c>
      <c r="BO31" s="98">
        <f t="shared" si="18"/>
        <v>6.0294322378477468E-12</v>
      </c>
      <c r="BP31" s="98">
        <f t="shared" si="18"/>
        <v>6.0294322378477468E-12</v>
      </c>
      <c r="BQ31" s="98">
        <f t="shared" si="18"/>
        <v>6.0294322378477468E-12</v>
      </c>
      <c r="BR31" s="98">
        <f t="shared" si="18"/>
        <v>6.0294322378477468E-12</v>
      </c>
      <c r="BS31" s="98">
        <f t="shared" si="18"/>
        <v>6.0294322378477468E-12</v>
      </c>
      <c r="BT31" s="98">
        <f t="shared" si="18"/>
        <v>6.0294322378477468E-12</v>
      </c>
      <c r="BU31" s="98">
        <f t="shared" si="18"/>
        <v>6.0294322378477468E-12</v>
      </c>
      <c r="BV31" s="98">
        <f t="shared" si="18"/>
        <v>6.0294322378477468E-12</v>
      </c>
      <c r="BW31" s="98">
        <f t="shared" si="18"/>
        <v>6.0294322378477468E-12</v>
      </c>
      <c r="BX31" s="98">
        <f t="shared" si="18"/>
        <v>6.0294322378477468E-12</v>
      </c>
      <c r="BY31" s="98">
        <f t="shared" si="18"/>
        <v>6.0294322378477468E-12</v>
      </c>
      <c r="BZ31" s="47">
        <f>IFERROR(IF(SUM(CA32:CB44,CW32:CX44)&gt;0.01,1-EXP(-SUM(CA32:CB44,CW32:CX44)),SUM(CA32:CB44,CW32:CX44)),".")</f>
        <v>1</v>
      </c>
      <c r="CA31" s="97">
        <f>IFERROR(IF(SUM(CA32:CA44)&gt;0.01,1-EXP(-(SUM(CA32:CA44))),SUM(CA32:CA44)),".")</f>
        <v>1</v>
      </c>
      <c r="CB31" s="97">
        <f>IFERROR(IF(SUM(CB32:CB44)&gt;0.01,1-EXP(-(SUM(CB32:CB44))),SUM(CB32:CB44)),".")</f>
        <v>1</v>
      </c>
      <c r="CC31" s="97">
        <f t="shared" ref="CC31:CV31" si="19">IFERROR(IF(SUM(CC32:CC44)&gt;0.01,1-EXP(-(SUM(CC32:CC44))),SUM(CC32:CC44)),".")</f>
        <v>1</v>
      </c>
      <c r="CD31" s="97">
        <f t="shared" si="19"/>
        <v>1</v>
      </c>
      <c r="CE31" s="97">
        <f t="shared" si="19"/>
        <v>1</v>
      </c>
      <c r="CF31" s="97">
        <f t="shared" si="19"/>
        <v>1</v>
      </c>
      <c r="CG31" s="97">
        <f t="shared" si="19"/>
        <v>1</v>
      </c>
      <c r="CH31" s="97">
        <f t="shared" si="19"/>
        <v>1</v>
      </c>
      <c r="CI31" s="97">
        <f t="shared" si="19"/>
        <v>1</v>
      </c>
      <c r="CJ31" s="97">
        <f t="shared" si="19"/>
        <v>1</v>
      </c>
      <c r="CK31" s="97">
        <f t="shared" si="19"/>
        <v>1</v>
      </c>
      <c r="CL31" s="97">
        <f t="shared" si="19"/>
        <v>1</v>
      </c>
      <c r="CM31" s="97">
        <f t="shared" si="19"/>
        <v>1</v>
      </c>
      <c r="CN31" s="97">
        <f t="shared" si="19"/>
        <v>1</v>
      </c>
      <c r="CO31" s="97">
        <f t="shared" si="19"/>
        <v>1</v>
      </c>
      <c r="CP31" s="97">
        <f t="shared" si="19"/>
        <v>1</v>
      </c>
      <c r="CQ31" s="97">
        <f t="shared" si="19"/>
        <v>1</v>
      </c>
      <c r="CR31" s="97">
        <f t="shared" si="19"/>
        <v>1</v>
      </c>
      <c r="CS31" s="97">
        <f t="shared" si="19"/>
        <v>1</v>
      </c>
      <c r="CT31" s="97">
        <f t="shared" si="19"/>
        <v>1</v>
      </c>
      <c r="CU31" s="97">
        <f t="shared" si="19"/>
        <v>1</v>
      </c>
      <c r="CV31" s="97">
        <f t="shared" si="19"/>
        <v>1</v>
      </c>
      <c r="CW31" s="97">
        <f>IFERROR(IF(SUM(CW32:CW44)&gt;0.01,1-EXP(-(SUM(CW32:CW44))),SUM(CW32:CW44)),".")</f>
        <v>1</v>
      </c>
      <c r="CX31" s="97">
        <f>IFERROR(IF(SUM(CX32:CX44)&gt;0.01,1-EXP(-(SUM(CX32:CX44))),SUM(CX32:CX44)),".")</f>
        <v>1</v>
      </c>
    </row>
    <row r="32" spans="1:102" x14ac:dyDescent="0.25">
      <c r="A32" s="99" t="s">
        <v>1102</v>
      </c>
      <c r="B32" s="90">
        <v>1</v>
      </c>
      <c r="C32" s="100">
        <f>IFERROR(1/SUM(1/D32,1/E32,1/Z32,1/AA32),".")</f>
        <v>3455376481.6039696</v>
      </c>
      <c r="D32" s="100">
        <f t="shared" ref="D32:AA32" si="20">IFERROR($B32/D3,0)</f>
        <v>13821505926.415878</v>
      </c>
      <c r="E32" s="100">
        <f t="shared" si="20"/>
        <v>13821505926.415878</v>
      </c>
      <c r="F32" s="100">
        <f t="shared" si="20"/>
        <v>13821505926.415878</v>
      </c>
      <c r="G32" s="100">
        <f t="shared" si="20"/>
        <v>13821505926.415878</v>
      </c>
      <c r="H32" s="100">
        <f t="shared" si="20"/>
        <v>13821505926.415878</v>
      </c>
      <c r="I32" s="100">
        <f t="shared" si="20"/>
        <v>13821505926.415878</v>
      </c>
      <c r="J32" s="100">
        <f t="shared" si="20"/>
        <v>13821505926.415878</v>
      </c>
      <c r="K32" s="100">
        <f t="shared" si="20"/>
        <v>13821505926.415878</v>
      </c>
      <c r="L32" s="100">
        <f t="shared" si="20"/>
        <v>13821505926.415878</v>
      </c>
      <c r="M32" s="100">
        <f t="shared" si="20"/>
        <v>13821505926.415878</v>
      </c>
      <c r="N32" s="100">
        <f t="shared" si="20"/>
        <v>13821505926.415878</v>
      </c>
      <c r="O32" s="100">
        <f t="shared" si="20"/>
        <v>13821505926.415878</v>
      </c>
      <c r="P32" s="100">
        <f t="shared" si="20"/>
        <v>13821505926.415878</v>
      </c>
      <c r="Q32" s="100">
        <f t="shared" si="20"/>
        <v>13821505926.415878</v>
      </c>
      <c r="R32" s="100">
        <f t="shared" si="20"/>
        <v>13821505926.415878</v>
      </c>
      <c r="S32" s="100">
        <f t="shared" si="20"/>
        <v>13821505926.415878</v>
      </c>
      <c r="T32" s="100">
        <f t="shared" si="20"/>
        <v>13821505926.415878</v>
      </c>
      <c r="U32" s="100">
        <f t="shared" si="20"/>
        <v>13821505926.415878</v>
      </c>
      <c r="V32" s="100">
        <f t="shared" si="20"/>
        <v>13821505926.415878</v>
      </c>
      <c r="W32" s="100">
        <f t="shared" si="20"/>
        <v>13821505926.415878</v>
      </c>
      <c r="X32" s="100">
        <f t="shared" si="20"/>
        <v>13821505926.415878</v>
      </c>
      <c r="Y32" s="100">
        <f t="shared" si="20"/>
        <v>13821505926.415878</v>
      </c>
      <c r="Z32" s="100">
        <f t="shared" si="20"/>
        <v>13821505926.415878</v>
      </c>
      <c r="AA32" s="100">
        <f t="shared" si="20"/>
        <v>13821505926.415878</v>
      </c>
      <c r="AB32" s="49">
        <f t="shared" ref="AB32:AB76" si="21">SUM(AC32:AD32,AY32:AZ32)</f>
        <v>276430.1185283176</v>
      </c>
      <c r="AC32" s="101">
        <f>IFERROR(up_RadSpec!$E$3*(AC3/$B32),".")</f>
        <v>69107.5296320794</v>
      </c>
      <c r="AD32" s="101">
        <f>IFERROR(up_RadSpec!$E$3*(AD3/$B32),".")</f>
        <v>69107.5296320794</v>
      </c>
      <c r="AE32" s="101">
        <f>IFERROR(up_RadSpec!$E$3*(AE3/$B32),".")</f>
        <v>69107.5296320794</v>
      </c>
      <c r="AF32" s="101">
        <f>IFERROR(up_RadSpec!$E$3*(AF3/$B32),".")</f>
        <v>69107.5296320794</v>
      </c>
      <c r="AG32" s="101">
        <f>IFERROR(up_RadSpec!$E$3*(AG3/$B32),".")</f>
        <v>69107.5296320794</v>
      </c>
      <c r="AH32" s="101">
        <f>IFERROR(up_RadSpec!$E$3*(AH3/$B32),".")</f>
        <v>69107.5296320794</v>
      </c>
      <c r="AI32" s="101">
        <f>IFERROR(up_RadSpec!$E$3*(AI3/$B32),".")</f>
        <v>69107.5296320794</v>
      </c>
      <c r="AJ32" s="101">
        <f>IFERROR(up_RadSpec!$E$3*(AJ3/$B32),".")</f>
        <v>69107.5296320794</v>
      </c>
      <c r="AK32" s="101">
        <f>IFERROR(up_RadSpec!$E$3*(AK3/$B32),".")</f>
        <v>69107.5296320794</v>
      </c>
      <c r="AL32" s="101">
        <f>IFERROR(up_RadSpec!$E$3*(AL3/$B32),".")</f>
        <v>69107.5296320794</v>
      </c>
      <c r="AM32" s="101">
        <f>IFERROR(up_RadSpec!$E$3*(AM3/$B32),".")</f>
        <v>69107.5296320794</v>
      </c>
      <c r="AN32" s="101">
        <f>IFERROR(up_RadSpec!$E$3*(AN3/$B32),".")</f>
        <v>69107.5296320794</v>
      </c>
      <c r="AO32" s="101">
        <f>IFERROR(up_RadSpec!$E$3*(AO3/$B32),".")</f>
        <v>69107.5296320794</v>
      </c>
      <c r="AP32" s="101">
        <f>IFERROR(up_RadSpec!$E$3*(AP3/$B32),".")</f>
        <v>69107.5296320794</v>
      </c>
      <c r="AQ32" s="101">
        <f>IFERROR(up_RadSpec!$E$3*(AQ3/$B32),".")</f>
        <v>69107.5296320794</v>
      </c>
      <c r="AR32" s="101">
        <f>IFERROR(up_RadSpec!$E$3*(AR3/$B32),".")</f>
        <v>69107.5296320794</v>
      </c>
      <c r="AS32" s="101">
        <f>IFERROR(up_RadSpec!$E$3*(AS3/$B32),".")</f>
        <v>69107.5296320794</v>
      </c>
      <c r="AT32" s="101">
        <f>IFERROR(up_RadSpec!$E$3*(AT3/$B32),".")</f>
        <v>69107.5296320794</v>
      </c>
      <c r="AU32" s="101">
        <f>IFERROR(up_RadSpec!$E$3*(AU3/$B32),".")</f>
        <v>69107.5296320794</v>
      </c>
      <c r="AV32" s="101">
        <f>IFERROR(up_RadSpec!$E$3*(AV3/$B32),".")</f>
        <v>69107.5296320794</v>
      </c>
      <c r="AW32" s="101">
        <f>IFERROR(up_RadSpec!$E$3*(AW3/$B32),".")</f>
        <v>69107.5296320794</v>
      </c>
      <c r="AX32" s="101">
        <f>IFERROR(up_RadSpec!$E$3*(AX3/$B32),".")</f>
        <v>69107.5296320794</v>
      </c>
      <c r="AY32" s="101">
        <f>IFERROR(up_RadSpec!$E$3*(AY3/$B32),".")</f>
        <v>69107.5296320794</v>
      </c>
      <c r="AZ32" s="101">
        <f>IFERROR(up_RadSpec!$E$3*(AZ3/$B32),".")</f>
        <v>69107.5296320794</v>
      </c>
      <c r="BA32" s="100">
        <f t="shared" ref="BA32:BA76" si="22">IFERROR(1/SUM(1/BB32,1/BC32,1/BX32,1/BY32),".")</f>
        <v>3455376481.6039696</v>
      </c>
      <c r="BB32" s="100">
        <f t="shared" ref="BB32:BY32" si="23">IFERROR($B32/BB3,0)</f>
        <v>13821505926.415878</v>
      </c>
      <c r="BC32" s="100">
        <f t="shared" si="23"/>
        <v>13821505926.415878</v>
      </c>
      <c r="BD32" s="100">
        <f t="shared" si="23"/>
        <v>13821505926.415878</v>
      </c>
      <c r="BE32" s="100">
        <f t="shared" si="23"/>
        <v>13821505926.415878</v>
      </c>
      <c r="BF32" s="100">
        <f t="shared" si="23"/>
        <v>13821505926.415878</v>
      </c>
      <c r="BG32" s="100">
        <f t="shared" si="23"/>
        <v>13821505926.415878</v>
      </c>
      <c r="BH32" s="100">
        <f t="shared" si="23"/>
        <v>13821505926.415878</v>
      </c>
      <c r="BI32" s="100">
        <f t="shared" si="23"/>
        <v>13821505926.415878</v>
      </c>
      <c r="BJ32" s="100">
        <f t="shared" si="23"/>
        <v>13821505926.415878</v>
      </c>
      <c r="BK32" s="100">
        <f t="shared" si="23"/>
        <v>13821505926.415878</v>
      </c>
      <c r="BL32" s="100">
        <f t="shared" si="23"/>
        <v>13821505926.415878</v>
      </c>
      <c r="BM32" s="100">
        <f t="shared" si="23"/>
        <v>13821505926.415878</v>
      </c>
      <c r="BN32" s="100">
        <f t="shared" si="23"/>
        <v>13821505926.415878</v>
      </c>
      <c r="BO32" s="100">
        <f t="shared" si="23"/>
        <v>13821505926.415878</v>
      </c>
      <c r="BP32" s="100">
        <f t="shared" si="23"/>
        <v>13821505926.415878</v>
      </c>
      <c r="BQ32" s="100">
        <f t="shared" si="23"/>
        <v>13821505926.415878</v>
      </c>
      <c r="BR32" s="100">
        <f t="shared" si="23"/>
        <v>13821505926.415878</v>
      </c>
      <c r="BS32" s="100">
        <f t="shared" si="23"/>
        <v>13821505926.415878</v>
      </c>
      <c r="BT32" s="100">
        <f t="shared" si="23"/>
        <v>13821505926.415878</v>
      </c>
      <c r="BU32" s="100">
        <f t="shared" si="23"/>
        <v>13821505926.415878</v>
      </c>
      <c r="BV32" s="100">
        <f t="shared" si="23"/>
        <v>13821505926.415878</v>
      </c>
      <c r="BW32" s="100">
        <f t="shared" si="23"/>
        <v>13821505926.415878</v>
      </c>
      <c r="BX32" s="100">
        <f t="shared" si="23"/>
        <v>13821505926.415878</v>
      </c>
      <c r="BY32" s="100">
        <f t="shared" si="23"/>
        <v>13821505926.415878</v>
      </c>
      <c r="BZ32" s="49">
        <f t="shared" ref="BZ32:BZ44" si="24">SUM(CA32:CB32,CW32:CX32)</f>
        <v>276430.1185283176</v>
      </c>
      <c r="CA32" s="101">
        <f>IFERROR(up_RadSpec!$E$3*(CA3/$B32),".")</f>
        <v>69107.5296320794</v>
      </c>
      <c r="CB32" s="101">
        <f>IFERROR(up_RadSpec!$E$3*(CB3/$B32),".")</f>
        <v>69107.5296320794</v>
      </c>
      <c r="CC32" s="101">
        <f>IFERROR(up_RadSpec!$E$3*(CC3/$B32),".")</f>
        <v>69107.5296320794</v>
      </c>
      <c r="CD32" s="101">
        <f>IFERROR(up_RadSpec!$E$3*(CD3/$B32),".")</f>
        <v>69107.5296320794</v>
      </c>
      <c r="CE32" s="101">
        <f>IFERROR(up_RadSpec!$E$3*(CE3/$B32),".")</f>
        <v>69107.5296320794</v>
      </c>
      <c r="CF32" s="101">
        <f>IFERROR(up_RadSpec!$E$3*(CF3/$B32),".")</f>
        <v>69107.5296320794</v>
      </c>
      <c r="CG32" s="101">
        <f>IFERROR(up_RadSpec!$E$3*(CG3/$B32),".")</f>
        <v>69107.5296320794</v>
      </c>
      <c r="CH32" s="101">
        <f>IFERROR(up_RadSpec!$E$3*(CH3/$B32),".")</f>
        <v>69107.5296320794</v>
      </c>
      <c r="CI32" s="101">
        <f>IFERROR(up_RadSpec!$E$3*(CI3/$B32),".")</f>
        <v>69107.5296320794</v>
      </c>
      <c r="CJ32" s="101">
        <f>IFERROR(up_RadSpec!$E$3*(CJ3/$B32),".")</f>
        <v>69107.5296320794</v>
      </c>
      <c r="CK32" s="101">
        <f>IFERROR(up_RadSpec!$E$3*(CK3/$B32),".")</f>
        <v>69107.5296320794</v>
      </c>
      <c r="CL32" s="101">
        <f>IFERROR(up_RadSpec!$E$3*(CL3/$B32),".")</f>
        <v>69107.5296320794</v>
      </c>
      <c r="CM32" s="101">
        <f>IFERROR(up_RadSpec!$E$3*(CM3/$B32),".")</f>
        <v>69107.5296320794</v>
      </c>
      <c r="CN32" s="101">
        <f>IFERROR(up_RadSpec!$E$3*(CN3/$B32),".")</f>
        <v>69107.5296320794</v>
      </c>
      <c r="CO32" s="101">
        <f>IFERROR(up_RadSpec!$E$3*(CO3/$B32),".")</f>
        <v>69107.5296320794</v>
      </c>
      <c r="CP32" s="101">
        <f>IFERROR(up_RadSpec!$E$3*(CP3/$B32),".")</f>
        <v>69107.5296320794</v>
      </c>
      <c r="CQ32" s="101">
        <f>IFERROR(up_RadSpec!$E$3*(CQ3/$B32),".")</f>
        <v>69107.5296320794</v>
      </c>
      <c r="CR32" s="101">
        <f>IFERROR(up_RadSpec!$E$3*(CR3/$B32),".")</f>
        <v>69107.5296320794</v>
      </c>
      <c r="CS32" s="101">
        <f>IFERROR(up_RadSpec!$E$3*(CS3/$B32),".")</f>
        <v>69107.5296320794</v>
      </c>
      <c r="CT32" s="101">
        <f>IFERROR(up_RadSpec!$E$3*(CT3/$B32),".")</f>
        <v>69107.5296320794</v>
      </c>
      <c r="CU32" s="101">
        <f>IFERROR(up_RadSpec!$E$3*(CU3/$B32),".")</f>
        <v>69107.5296320794</v>
      </c>
      <c r="CV32" s="101">
        <f>IFERROR(up_RadSpec!$E$3*(CV3/$B32),".")</f>
        <v>69107.5296320794</v>
      </c>
      <c r="CW32" s="101">
        <f>IFERROR(up_RadSpec!$E$3*(CW3/$B32),".")</f>
        <v>69107.5296320794</v>
      </c>
      <c r="CX32" s="101">
        <f>IFERROR(up_RadSpec!$E$3*(CX3/$B32),".")</f>
        <v>69107.5296320794</v>
      </c>
    </row>
    <row r="33" spans="1:102" x14ac:dyDescent="0.25">
      <c r="A33" s="99" t="s">
        <v>1078</v>
      </c>
      <c r="B33" s="90">
        <v>1</v>
      </c>
      <c r="C33" s="100">
        <f>IFERROR(1/SUM(1/D33,1/E33,1/Z33,1/AA33),".")</f>
        <v>3455376481.6039696</v>
      </c>
      <c r="D33" s="100">
        <f t="shared" ref="D33:AA34" si="25">IFERROR($B33/D13,0)</f>
        <v>13821505926.415878</v>
      </c>
      <c r="E33" s="100">
        <f t="shared" si="25"/>
        <v>13821505926.415878</v>
      </c>
      <c r="F33" s="100">
        <f t="shared" si="25"/>
        <v>13821505926.415878</v>
      </c>
      <c r="G33" s="100">
        <f t="shared" si="25"/>
        <v>13821505926.415878</v>
      </c>
      <c r="H33" s="100">
        <f t="shared" si="25"/>
        <v>13821505926.415878</v>
      </c>
      <c r="I33" s="100">
        <f t="shared" si="25"/>
        <v>13821505926.415878</v>
      </c>
      <c r="J33" s="100">
        <f t="shared" si="25"/>
        <v>13821505926.415878</v>
      </c>
      <c r="K33" s="100">
        <f t="shared" si="25"/>
        <v>13821505926.415878</v>
      </c>
      <c r="L33" s="100">
        <f t="shared" si="25"/>
        <v>13821505926.415878</v>
      </c>
      <c r="M33" s="100">
        <f t="shared" si="25"/>
        <v>13821505926.415878</v>
      </c>
      <c r="N33" s="100">
        <f t="shared" si="25"/>
        <v>13821505926.415878</v>
      </c>
      <c r="O33" s="100">
        <f t="shared" si="25"/>
        <v>13821505926.415878</v>
      </c>
      <c r="P33" s="100">
        <f t="shared" si="25"/>
        <v>13821505926.415878</v>
      </c>
      <c r="Q33" s="100">
        <f t="shared" si="25"/>
        <v>13821505926.415878</v>
      </c>
      <c r="R33" s="100">
        <f t="shared" si="25"/>
        <v>13821505926.415878</v>
      </c>
      <c r="S33" s="100">
        <f t="shared" si="25"/>
        <v>13821505926.415878</v>
      </c>
      <c r="T33" s="100">
        <f t="shared" si="25"/>
        <v>13821505926.415878</v>
      </c>
      <c r="U33" s="100">
        <f t="shared" si="25"/>
        <v>13821505926.415878</v>
      </c>
      <c r="V33" s="100">
        <f t="shared" si="25"/>
        <v>13821505926.415878</v>
      </c>
      <c r="W33" s="100">
        <f t="shared" si="25"/>
        <v>13821505926.415878</v>
      </c>
      <c r="X33" s="100">
        <f t="shared" si="25"/>
        <v>13821505926.415878</v>
      </c>
      <c r="Y33" s="100">
        <f t="shared" si="25"/>
        <v>13821505926.415878</v>
      </c>
      <c r="Z33" s="100">
        <f t="shared" si="25"/>
        <v>13821505926.415878</v>
      </c>
      <c r="AA33" s="100">
        <f t="shared" si="25"/>
        <v>13821505926.415878</v>
      </c>
      <c r="AB33" s="49">
        <f t="shared" si="21"/>
        <v>276430.1185283176</v>
      </c>
      <c r="AC33" s="101">
        <f>IFERROR(up_RadSpec!$E$13*(AC13/$B33),".")</f>
        <v>69107.5296320794</v>
      </c>
      <c r="AD33" s="101">
        <f>IFERROR(up_RadSpec!$E$13*(AD13/$B33),".")</f>
        <v>69107.5296320794</v>
      </c>
      <c r="AE33" s="101">
        <f>IFERROR(up_RadSpec!$E$13*(AE13/$B33),".")</f>
        <v>69107.5296320794</v>
      </c>
      <c r="AF33" s="101">
        <f>IFERROR(up_RadSpec!$E$13*(AF13/$B33),".")</f>
        <v>69107.5296320794</v>
      </c>
      <c r="AG33" s="101">
        <f>IFERROR(up_RadSpec!$E$13*(AG13/$B33),".")</f>
        <v>69107.5296320794</v>
      </c>
      <c r="AH33" s="101">
        <f>IFERROR(up_RadSpec!$E$13*(AH13/$B33),".")</f>
        <v>69107.5296320794</v>
      </c>
      <c r="AI33" s="101">
        <f>IFERROR(up_RadSpec!$E$13*(AI13/$B33),".")</f>
        <v>69107.5296320794</v>
      </c>
      <c r="AJ33" s="101">
        <f>IFERROR(up_RadSpec!$E$13*(AJ13/$B33),".")</f>
        <v>69107.5296320794</v>
      </c>
      <c r="AK33" s="101">
        <f>IFERROR(up_RadSpec!$E$13*(AK13/$B33),".")</f>
        <v>69107.5296320794</v>
      </c>
      <c r="AL33" s="101">
        <f>IFERROR(up_RadSpec!$E$13*(AL13/$B33),".")</f>
        <v>69107.5296320794</v>
      </c>
      <c r="AM33" s="101">
        <f>IFERROR(up_RadSpec!$E$13*(AM13/$B33),".")</f>
        <v>69107.5296320794</v>
      </c>
      <c r="AN33" s="101">
        <f>IFERROR(up_RadSpec!$E$13*(AN13/$B33),".")</f>
        <v>69107.5296320794</v>
      </c>
      <c r="AO33" s="101">
        <f>IFERROR(up_RadSpec!$E$13*(AO13/$B33),".")</f>
        <v>69107.5296320794</v>
      </c>
      <c r="AP33" s="101">
        <f>IFERROR(up_RadSpec!$E$13*(AP13/$B33),".")</f>
        <v>69107.5296320794</v>
      </c>
      <c r="AQ33" s="101">
        <f>IFERROR(up_RadSpec!$E$13*(AQ13/$B33),".")</f>
        <v>69107.5296320794</v>
      </c>
      <c r="AR33" s="101">
        <f>IFERROR(up_RadSpec!$E$13*(AR13/$B33),".")</f>
        <v>69107.5296320794</v>
      </c>
      <c r="AS33" s="101">
        <f>IFERROR(up_RadSpec!$E$13*(AS13/$B33),".")</f>
        <v>69107.5296320794</v>
      </c>
      <c r="AT33" s="101">
        <f>IFERROR(up_RadSpec!$E$13*(AT13/$B33),".")</f>
        <v>69107.5296320794</v>
      </c>
      <c r="AU33" s="101">
        <f>IFERROR(up_RadSpec!$E$13*(AU13/$B33),".")</f>
        <v>69107.5296320794</v>
      </c>
      <c r="AV33" s="101">
        <f>IFERROR(up_RadSpec!$E$13*(AV13/$B33),".")</f>
        <v>69107.5296320794</v>
      </c>
      <c r="AW33" s="101">
        <f>IFERROR(up_RadSpec!$E$13*(AW13/$B33),".")</f>
        <v>69107.5296320794</v>
      </c>
      <c r="AX33" s="101">
        <f>IFERROR(up_RadSpec!$E$13*(AX13/$B33),".")</f>
        <v>69107.5296320794</v>
      </c>
      <c r="AY33" s="101">
        <f>IFERROR(up_RadSpec!$E$13*(AY13/$B33),".")</f>
        <v>69107.5296320794</v>
      </c>
      <c r="AZ33" s="101">
        <f>IFERROR(up_RadSpec!$E$13*(AZ13/$B33),".")</f>
        <v>69107.5296320794</v>
      </c>
      <c r="BA33" s="100">
        <f t="shared" si="22"/>
        <v>3455376481.6039696</v>
      </c>
      <c r="BB33" s="100">
        <f t="shared" ref="BB33:BY34" si="26">IFERROR($B33/BB13,0)</f>
        <v>13821505926.415878</v>
      </c>
      <c r="BC33" s="100">
        <f t="shared" si="26"/>
        <v>13821505926.415878</v>
      </c>
      <c r="BD33" s="100">
        <f t="shared" si="26"/>
        <v>13821505926.415878</v>
      </c>
      <c r="BE33" s="100">
        <f t="shared" si="26"/>
        <v>13821505926.415878</v>
      </c>
      <c r="BF33" s="100">
        <f t="shared" si="26"/>
        <v>13821505926.415878</v>
      </c>
      <c r="BG33" s="100">
        <f t="shared" si="26"/>
        <v>13821505926.415878</v>
      </c>
      <c r="BH33" s="100">
        <f t="shared" si="26"/>
        <v>13821505926.415878</v>
      </c>
      <c r="BI33" s="100">
        <f t="shared" si="26"/>
        <v>13821505926.415878</v>
      </c>
      <c r="BJ33" s="100">
        <f t="shared" si="26"/>
        <v>13821505926.415878</v>
      </c>
      <c r="BK33" s="100">
        <f t="shared" si="26"/>
        <v>13821505926.415878</v>
      </c>
      <c r="BL33" s="100">
        <f t="shared" si="26"/>
        <v>13821505926.415878</v>
      </c>
      <c r="BM33" s="100">
        <f t="shared" si="26"/>
        <v>13821505926.415878</v>
      </c>
      <c r="BN33" s="100">
        <f t="shared" si="26"/>
        <v>13821505926.415878</v>
      </c>
      <c r="BO33" s="100">
        <f t="shared" si="26"/>
        <v>13821505926.415878</v>
      </c>
      <c r="BP33" s="100">
        <f t="shared" si="26"/>
        <v>13821505926.415878</v>
      </c>
      <c r="BQ33" s="100">
        <f t="shared" si="26"/>
        <v>13821505926.415878</v>
      </c>
      <c r="BR33" s="100">
        <f t="shared" si="26"/>
        <v>13821505926.415878</v>
      </c>
      <c r="BS33" s="100">
        <f t="shared" si="26"/>
        <v>13821505926.415878</v>
      </c>
      <c r="BT33" s="100">
        <f t="shared" si="26"/>
        <v>13821505926.415878</v>
      </c>
      <c r="BU33" s="100">
        <f t="shared" si="26"/>
        <v>13821505926.415878</v>
      </c>
      <c r="BV33" s="100">
        <f t="shared" si="26"/>
        <v>13821505926.415878</v>
      </c>
      <c r="BW33" s="100">
        <f t="shared" si="26"/>
        <v>13821505926.415878</v>
      </c>
      <c r="BX33" s="100">
        <f t="shared" si="26"/>
        <v>13821505926.415878</v>
      </c>
      <c r="BY33" s="100">
        <f t="shared" si="26"/>
        <v>13821505926.415878</v>
      </c>
      <c r="BZ33" s="49">
        <f t="shared" si="24"/>
        <v>276430.1185283176</v>
      </c>
      <c r="CA33" s="101">
        <f>IFERROR(up_RadSpec!$E$13*(CA13/$B33),".")</f>
        <v>69107.5296320794</v>
      </c>
      <c r="CB33" s="101">
        <f>IFERROR(up_RadSpec!$E$13*(CB13/$B33),".")</f>
        <v>69107.5296320794</v>
      </c>
      <c r="CC33" s="101">
        <f>IFERROR(up_RadSpec!$E$13*(CC13/$B33),".")</f>
        <v>69107.5296320794</v>
      </c>
      <c r="CD33" s="101">
        <f>IFERROR(up_RadSpec!$E$13*(CD13/$B33),".")</f>
        <v>69107.5296320794</v>
      </c>
      <c r="CE33" s="101">
        <f>IFERROR(up_RadSpec!$E$13*(CE13/$B33),".")</f>
        <v>69107.5296320794</v>
      </c>
      <c r="CF33" s="101">
        <f>IFERROR(up_RadSpec!$E$13*(CF13/$B33),".")</f>
        <v>69107.5296320794</v>
      </c>
      <c r="CG33" s="101">
        <f>IFERROR(up_RadSpec!$E$13*(CG13/$B33),".")</f>
        <v>69107.5296320794</v>
      </c>
      <c r="CH33" s="101">
        <f>IFERROR(up_RadSpec!$E$13*(CH13/$B33),".")</f>
        <v>69107.5296320794</v>
      </c>
      <c r="CI33" s="101">
        <f>IFERROR(up_RadSpec!$E$13*(CI13/$B33),".")</f>
        <v>69107.5296320794</v>
      </c>
      <c r="CJ33" s="101">
        <f>IFERROR(up_RadSpec!$E$13*(CJ13/$B33),".")</f>
        <v>69107.5296320794</v>
      </c>
      <c r="CK33" s="101">
        <f>IFERROR(up_RadSpec!$E$13*(CK13/$B33),".")</f>
        <v>69107.5296320794</v>
      </c>
      <c r="CL33" s="101">
        <f>IFERROR(up_RadSpec!$E$13*(CL13/$B33),".")</f>
        <v>69107.5296320794</v>
      </c>
      <c r="CM33" s="101">
        <f>IFERROR(up_RadSpec!$E$13*(CM13/$B33),".")</f>
        <v>69107.5296320794</v>
      </c>
      <c r="CN33" s="101">
        <f>IFERROR(up_RadSpec!$E$13*(CN13/$B33),".")</f>
        <v>69107.5296320794</v>
      </c>
      <c r="CO33" s="101">
        <f>IFERROR(up_RadSpec!$E$13*(CO13/$B33),".")</f>
        <v>69107.5296320794</v>
      </c>
      <c r="CP33" s="101">
        <f>IFERROR(up_RadSpec!$E$13*(CP13/$B33),".")</f>
        <v>69107.5296320794</v>
      </c>
      <c r="CQ33" s="101">
        <f>IFERROR(up_RadSpec!$E$13*(CQ13/$B33),".")</f>
        <v>69107.5296320794</v>
      </c>
      <c r="CR33" s="101">
        <f>IFERROR(up_RadSpec!$E$13*(CR13/$B33),".")</f>
        <v>69107.5296320794</v>
      </c>
      <c r="CS33" s="101">
        <f>IFERROR(up_RadSpec!$E$13*(CS13/$B33),".")</f>
        <v>69107.5296320794</v>
      </c>
      <c r="CT33" s="101">
        <f>IFERROR(up_RadSpec!$E$13*(CT13/$B33),".")</f>
        <v>69107.5296320794</v>
      </c>
      <c r="CU33" s="101">
        <f>IFERROR(up_RadSpec!$E$13*(CU13/$B33),".")</f>
        <v>69107.5296320794</v>
      </c>
      <c r="CV33" s="101">
        <f>IFERROR(up_RadSpec!$E$13*(CV13/$B33),".")</f>
        <v>69107.5296320794</v>
      </c>
      <c r="CW33" s="101">
        <f>IFERROR(up_RadSpec!$E$13*(CW13/$B33),".")</f>
        <v>69107.5296320794</v>
      </c>
      <c r="CX33" s="101">
        <f>IFERROR(up_RadSpec!$E$13*(CX13/$B33),".")</f>
        <v>69107.5296320794</v>
      </c>
    </row>
    <row r="34" spans="1:102" x14ac:dyDescent="0.25">
      <c r="A34" s="99" t="s">
        <v>1079</v>
      </c>
      <c r="B34" s="90">
        <v>1</v>
      </c>
      <c r="C34" s="100">
        <f>IFERROR(1/SUM(1/D34,1/E34,1/Z34,1/AA34),".")</f>
        <v>3455376481.6039696</v>
      </c>
      <c r="D34" s="100">
        <f t="shared" si="25"/>
        <v>13821505926.415878</v>
      </c>
      <c r="E34" s="100">
        <f t="shared" si="25"/>
        <v>13821505926.415878</v>
      </c>
      <c r="F34" s="100">
        <f t="shared" si="25"/>
        <v>13821505926.415878</v>
      </c>
      <c r="G34" s="100">
        <f t="shared" si="25"/>
        <v>13821505926.415878</v>
      </c>
      <c r="H34" s="100">
        <f t="shared" si="25"/>
        <v>13821505926.415878</v>
      </c>
      <c r="I34" s="100">
        <f t="shared" si="25"/>
        <v>13821505926.415878</v>
      </c>
      <c r="J34" s="100">
        <f t="shared" si="25"/>
        <v>13821505926.415878</v>
      </c>
      <c r="K34" s="100">
        <f t="shared" si="25"/>
        <v>13821505926.415878</v>
      </c>
      <c r="L34" s="100">
        <f t="shared" si="25"/>
        <v>13821505926.415878</v>
      </c>
      <c r="M34" s="100">
        <f t="shared" si="25"/>
        <v>13821505926.415878</v>
      </c>
      <c r="N34" s="100">
        <f t="shared" si="25"/>
        <v>13821505926.415878</v>
      </c>
      <c r="O34" s="100">
        <f t="shared" si="25"/>
        <v>13821505926.415878</v>
      </c>
      <c r="P34" s="100">
        <f t="shared" si="25"/>
        <v>13821505926.415878</v>
      </c>
      <c r="Q34" s="100">
        <f t="shared" si="25"/>
        <v>13821505926.415878</v>
      </c>
      <c r="R34" s="100">
        <f t="shared" si="25"/>
        <v>13821505926.415878</v>
      </c>
      <c r="S34" s="100">
        <f t="shared" si="25"/>
        <v>13821505926.415878</v>
      </c>
      <c r="T34" s="100">
        <f t="shared" si="25"/>
        <v>13821505926.415878</v>
      </c>
      <c r="U34" s="100">
        <f t="shared" si="25"/>
        <v>13821505926.415878</v>
      </c>
      <c r="V34" s="100">
        <f t="shared" si="25"/>
        <v>13821505926.415878</v>
      </c>
      <c r="W34" s="100">
        <f t="shared" si="25"/>
        <v>13821505926.415878</v>
      </c>
      <c r="X34" s="100">
        <f t="shared" si="25"/>
        <v>13821505926.415878</v>
      </c>
      <c r="Y34" s="100">
        <f t="shared" si="25"/>
        <v>13821505926.415878</v>
      </c>
      <c r="Z34" s="100">
        <f t="shared" si="25"/>
        <v>13821505926.415878</v>
      </c>
      <c r="AA34" s="100">
        <f t="shared" si="25"/>
        <v>13821505926.415878</v>
      </c>
      <c r="AB34" s="49">
        <f t="shared" si="21"/>
        <v>276430.1185283176</v>
      </c>
      <c r="AC34" s="101">
        <f>IFERROR(up_RadSpec!$E$14*(AC14/$B34),".")</f>
        <v>69107.5296320794</v>
      </c>
      <c r="AD34" s="101">
        <f>IFERROR(up_RadSpec!$E$14*(AD14/$B34),".")</f>
        <v>69107.5296320794</v>
      </c>
      <c r="AE34" s="101">
        <f>IFERROR(up_RadSpec!$E$14*(AE14/$B34),".")</f>
        <v>69107.5296320794</v>
      </c>
      <c r="AF34" s="101">
        <f>IFERROR(up_RadSpec!$E$14*(AF14/$B34),".")</f>
        <v>69107.5296320794</v>
      </c>
      <c r="AG34" s="101">
        <f>IFERROR(up_RadSpec!$E$14*(AG14/$B34),".")</f>
        <v>69107.5296320794</v>
      </c>
      <c r="AH34" s="101">
        <f>IFERROR(up_RadSpec!$E$14*(AH14/$B34),".")</f>
        <v>69107.5296320794</v>
      </c>
      <c r="AI34" s="101">
        <f>IFERROR(up_RadSpec!$E$14*(AI14/$B34),".")</f>
        <v>69107.5296320794</v>
      </c>
      <c r="AJ34" s="101">
        <f>IFERROR(up_RadSpec!$E$14*(AJ14/$B34),".")</f>
        <v>69107.5296320794</v>
      </c>
      <c r="AK34" s="101">
        <f>IFERROR(up_RadSpec!$E$14*(AK14/$B34),".")</f>
        <v>69107.5296320794</v>
      </c>
      <c r="AL34" s="101">
        <f>IFERROR(up_RadSpec!$E$14*(AL14/$B34),".")</f>
        <v>69107.5296320794</v>
      </c>
      <c r="AM34" s="101">
        <f>IFERROR(up_RadSpec!$E$14*(AM14/$B34),".")</f>
        <v>69107.5296320794</v>
      </c>
      <c r="AN34" s="101">
        <f>IFERROR(up_RadSpec!$E$14*(AN14/$B34),".")</f>
        <v>69107.5296320794</v>
      </c>
      <c r="AO34" s="101">
        <f>IFERROR(up_RadSpec!$E$14*(AO14/$B34),".")</f>
        <v>69107.5296320794</v>
      </c>
      <c r="AP34" s="101">
        <f>IFERROR(up_RadSpec!$E$14*(AP14/$B34),".")</f>
        <v>69107.5296320794</v>
      </c>
      <c r="AQ34" s="101">
        <f>IFERROR(up_RadSpec!$E$14*(AQ14/$B34),".")</f>
        <v>69107.5296320794</v>
      </c>
      <c r="AR34" s="101">
        <f>IFERROR(up_RadSpec!$E$14*(AR14/$B34),".")</f>
        <v>69107.5296320794</v>
      </c>
      <c r="AS34" s="101">
        <f>IFERROR(up_RadSpec!$E$14*(AS14/$B34),".")</f>
        <v>69107.5296320794</v>
      </c>
      <c r="AT34" s="101">
        <f>IFERROR(up_RadSpec!$E$14*(AT14/$B34),".")</f>
        <v>69107.5296320794</v>
      </c>
      <c r="AU34" s="101">
        <f>IFERROR(up_RadSpec!$E$14*(AU14/$B34),".")</f>
        <v>69107.5296320794</v>
      </c>
      <c r="AV34" s="101">
        <f>IFERROR(up_RadSpec!$E$14*(AV14/$B34),".")</f>
        <v>69107.5296320794</v>
      </c>
      <c r="AW34" s="101">
        <f>IFERROR(up_RadSpec!$E$14*(AW14/$B34),".")</f>
        <v>69107.5296320794</v>
      </c>
      <c r="AX34" s="101">
        <f>IFERROR(up_RadSpec!$E$14*(AX14/$B34),".")</f>
        <v>69107.5296320794</v>
      </c>
      <c r="AY34" s="101">
        <f>IFERROR(up_RadSpec!$E$14*(AY14/$B34),".")</f>
        <v>69107.5296320794</v>
      </c>
      <c r="AZ34" s="101">
        <f>IFERROR(up_RadSpec!$E$14*(AZ14/$B34),".")</f>
        <v>69107.5296320794</v>
      </c>
      <c r="BA34" s="100">
        <f>IFERROR(1/SUM(1/BB34,1/BC34,1/BX34,1/BY34),".")</f>
        <v>3455376481.6039696</v>
      </c>
      <c r="BB34" s="100">
        <f t="shared" si="26"/>
        <v>13821505926.415878</v>
      </c>
      <c r="BC34" s="100">
        <f t="shared" si="26"/>
        <v>13821505926.415878</v>
      </c>
      <c r="BD34" s="100">
        <f t="shared" si="26"/>
        <v>13821505926.415878</v>
      </c>
      <c r="BE34" s="100">
        <f t="shared" si="26"/>
        <v>13821505926.415878</v>
      </c>
      <c r="BF34" s="100">
        <f t="shared" si="26"/>
        <v>13821505926.415878</v>
      </c>
      <c r="BG34" s="100">
        <f t="shared" si="26"/>
        <v>13821505926.415878</v>
      </c>
      <c r="BH34" s="100">
        <f t="shared" si="26"/>
        <v>13821505926.415878</v>
      </c>
      <c r="BI34" s="100">
        <f t="shared" si="26"/>
        <v>13821505926.415878</v>
      </c>
      <c r="BJ34" s="100">
        <f t="shared" si="26"/>
        <v>13821505926.415878</v>
      </c>
      <c r="BK34" s="100">
        <f t="shared" si="26"/>
        <v>13821505926.415878</v>
      </c>
      <c r="BL34" s="100">
        <f t="shared" si="26"/>
        <v>13821505926.415878</v>
      </c>
      <c r="BM34" s="100">
        <f t="shared" si="26"/>
        <v>13821505926.415878</v>
      </c>
      <c r="BN34" s="100">
        <f t="shared" si="26"/>
        <v>13821505926.415878</v>
      </c>
      <c r="BO34" s="100">
        <f t="shared" si="26"/>
        <v>13821505926.415878</v>
      </c>
      <c r="BP34" s="100">
        <f t="shared" si="26"/>
        <v>13821505926.415878</v>
      </c>
      <c r="BQ34" s="100">
        <f t="shared" si="26"/>
        <v>13821505926.415878</v>
      </c>
      <c r="BR34" s="100">
        <f t="shared" si="26"/>
        <v>13821505926.415878</v>
      </c>
      <c r="BS34" s="100">
        <f t="shared" si="26"/>
        <v>13821505926.415878</v>
      </c>
      <c r="BT34" s="100">
        <f t="shared" si="26"/>
        <v>13821505926.415878</v>
      </c>
      <c r="BU34" s="100">
        <f t="shared" si="26"/>
        <v>13821505926.415878</v>
      </c>
      <c r="BV34" s="100">
        <f t="shared" si="26"/>
        <v>13821505926.415878</v>
      </c>
      <c r="BW34" s="100">
        <f t="shared" si="26"/>
        <v>13821505926.415878</v>
      </c>
      <c r="BX34" s="100">
        <f t="shared" si="26"/>
        <v>13821505926.415878</v>
      </c>
      <c r="BY34" s="100">
        <f t="shared" si="26"/>
        <v>13821505926.415878</v>
      </c>
      <c r="BZ34" s="49">
        <f t="shared" si="24"/>
        <v>276430.1185283176</v>
      </c>
      <c r="CA34" s="101">
        <f>IFERROR(up_RadSpec!$E$14*(CA14/$B34),".")</f>
        <v>69107.5296320794</v>
      </c>
      <c r="CB34" s="101">
        <f>IFERROR(up_RadSpec!$E$14*(CB14/$B34),".")</f>
        <v>69107.5296320794</v>
      </c>
      <c r="CC34" s="101">
        <f>IFERROR(up_RadSpec!$E$14*(CC14/$B34),".")</f>
        <v>69107.5296320794</v>
      </c>
      <c r="CD34" s="101">
        <f>IFERROR(up_RadSpec!$E$14*(CD14/$B34),".")</f>
        <v>69107.5296320794</v>
      </c>
      <c r="CE34" s="101">
        <f>IFERROR(up_RadSpec!$E$14*(CE14/$B34),".")</f>
        <v>69107.5296320794</v>
      </c>
      <c r="CF34" s="101">
        <f>IFERROR(up_RadSpec!$E$14*(CF14/$B34),".")</f>
        <v>69107.5296320794</v>
      </c>
      <c r="CG34" s="101">
        <f>IFERROR(up_RadSpec!$E$14*(CG14/$B34),".")</f>
        <v>69107.5296320794</v>
      </c>
      <c r="CH34" s="101">
        <f>IFERROR(up_RadSpec!$E$14*(CH14/$B34),".")</f>
        <v>69107.5296320794</v>
      </c>
      <c r="CI34" s="101">
        <f>IFERROR(up_RadSpec!$E$14*(CI14/$B34),".")</f>
        <v>69107.5296320794</v>
      </c>
      <c r="CJ34" s="101">
        <f>IFERROR(up_RadSpec!$E$14*(CJ14/$B34),".")</f>
        <v>69107.5296320794</v>
      </c>
      <c r="CK34" s="101">
        <f>IFERROR(up_RadSpec!$E$14*(CK14/$B34),".")</f>
        <v>69107.5296320794</v>
      </c>
      <c r="CL34" s="101">
        <f>IFERROR(up_RadSpec!$E$14*(CL14/$B34),".")</f>
        <v>69107.5296320794</v>
      </c>
      <c r="CM34" s="101">
        <f>IFERROR(up_RadSpec!$E$14*(CM14/$B34),".")</f>
        <v>69107.5296320794</v>
      </c>
      <c r="CN34" s="101">
        <f>IFERROR(up_RadSpec!$E$14*(CN14/$B34),".")</f>
        <v>69107.5296320794</v>
      </c>
      <c r="CO34" s="101">
        <f>IFERROR(up_RadSpec!$E$14*(CO14/$B34),".")</f>
        <v>69107.5296320794</v>
      </c>
      <c r="CP34" s="101">
        <f>IFERROR(up_RadSpec!$E$14*(CP14/$B34),".")</f>
        <v>69107.5296320794</v>
      </c>
      <c r="CQ34" s="101">
        <f>IFERROR(up_RadSpec!$E$14*(CQ14/$B34),".")</f>
        <v>69107.5296320794</v>
      </c>
      <c r="CR34" s="101">
        <f>IFERROR(up_RadSpec!$E$14*(CR14/$B34),".")</f>
        <v>69107.5296320794</v>
      </c>
      <c r="CS34" s="101">
        <f>IFERROR(up_RadSpec!$E$14*(CS14/$B34),".")</f>
        <v>69107.5296320794</v>
      </c>
      <c r="CT34" s="101">
        <f>IFERROR(up_RadSpec!$E$14*(CT14/$B34),".")</f>
        <v>69107.5296320794</v>
      </c>
      <c r="CU34" s="101">
        <f>IFERROR(up_RadSpec!$E$14*(CU14/$B34),".")</f>
        <v>69107.5296320794</v>
      </c>
      <c r="CV34" s="101">
        <f>IFERROR(up_RadSpec!$E$14*(CV14/$B34),".")</f>
        <v>69107.5296320794</v>
      </c>
      <c r="CW34" s="101">
        <f>IFERROR(up_RadSpec!$E$14*(CW14/$B34),".")</f>
        <v>69107.5296320794</v>
      </c>
      <c r="CX34" s="101">
        <f>IFERROR(up_RadSpec!$E$14*(CX14/$B34),".")</f>
        <v>69107.5296320794</v>
      </c>
    </row>
    <row r="35" spans="1:102" x14ac:dyDescent="0.25">
      <c r="A35" s="99" t="s">
        <v>1080</v>
      </c>
      <c r="B35" s="90">
        <v>1</v>
      </c>
      <c r="C35" s="100">
        <f t="shared" si="0"/>
        <v>3455376481.6039696</v>
      </c>
      <c r="D35" s="100">
        <f t="shared" ref="D35:AA35" si="27">IFERROR($B35/D30,0)</f>
        <v>13821505926.415878</v>
      </c>
      <c r="E35" s="100">
        <f t="shared" si="27"/>
        <v>13821505926.415878</v>
      </c>
      <c r="F35" s="100">
        <f t="shared" si="27"/>
        <v>13821505926.415878</v>
      </c>
      <c r="G35" s="100">
        <f t="shared" si="27"/>
        <v>13821505926.415878</v>
      </c>
      <c r="H35" s="100">
        <f t="shared" si="27"/>
        <v>13821505926.415878</v>
      </c>
      <c r="I35" s="100">
        <f t="shared" si="27"/>
        <v>13821505926.415878</v>
      </c>
      <c r="J35" s="100">
        <f t="shared" si="27"/>
        <v>13821505926.415878</v>
      </c>
      <c r="K35" s="100">
        <f t="shared" si="27"/>
        <v>13821505926.415878</v>
      </c>
      <c r="L35" s="100">
        <f t="shared" si="27"/>
        <v>13821505926.415878</v>
      </c>
      <c r="M35" s="100">
        <f t="shared" si="27"/>
        <v>13821505926.415878</v>
      </c>
      <c r="N35" s="100">
        <f t="shared" si="27"/>
        <v>13821505926.415878</v>
      </c>
      <c r="O35" s="100">
        <f t="shared" si="27"/>
        <v>13821505926.415878</v>
      </c>
      <c r="P35" s="100">
        <f t="shared" si="27"/>
        <v>13821505926.415878</v>
      </c>
      <c r="Q35" s="100">
        <f t="shared" si="27"/>
        <v>13821505926.415878</v>
      </c>
      <c r="R35" s="100">
        <f t="shared" si="27"/>
        <v>13821505926.415878</v>
      </c>
      <c r="S35" s="100">
        <f t="shared" si="27"/>
        <v>13821505926.415878</v>
      </c>
      <c r="T35" s="100">
        <f t="shared" si="27"/>
        <v>13821505926.415878</v>
      </c>
      <c r="U35" s="100">
        <f t="shared" si="27"/>
        <v>13821505926.415878</v>
      </c>
      <c r="V35" s="100">
        <f t="shared" si="27"/>
        <v>13821505926.415878</v>
      </c>
      <c r="W35" s="100">
        <f t="shared" si="27"/>
        <v>13821505926.415878</v>
      </c>
      <c r="X35" s="100">
        <f t="shared" si="27"/>
        <v>13821505926.415878</v>
      </c>
      <c r="Y35" s="100">
        <f t="shared" si="27"/>
        <v>13821505926.415878</v>
      </c>
      <c r="Z35" s="100">
        <f t="shared" si="27"/>
        <v>13821505926.415878</v>
      </c>
      <c r="AA35" s="100">
        <f t="shared" si="27"/>
        <v>13821505926.415878</v>
      </c>
      <c r="AB35" s="49">
        <f t="shared" si="21"/>
        <v>276430.1185283176</v>
      </c>
      <c r="AC35" s="101">
        <f>IFERROR(up_RadSpec!$E$30*(AC30/$B35),".")</f>
        <v>69107.5296320794</v>
      </c>
      <c r="AD35" s="101">
        <f>IFERROR(up_RadSpec!$E$30*(AD30/$B35),".")</f>
        <v>69107.5296320794</v>
      </c>
      <c r="AE35" s="101">
        <f>IFERROR(up_RadSpec!$E$30*(AE30/$B35),".")</f>
        <v>69107.5296320794</v>
      </c>
      <c r="AF35" s="101">
        <f>IFERROR(up_RadSpec!$E$30*(AF30/$B35),".")</f>
        <v>69107.5296320794</v>
      </c>
      <c r="AG35" s="101">
        <f>IFERROR(up_RadSpec!$E$30*(AG30/$B35),".")</f>
        <v>69107.5296320794</v>
      </c>
      <c r="AH35" s="101">
        <f>IFERROR(up_RadSpec!$E$30*(AH30/$B35),".")</f>
        <v>69107.5296320794</v>
      </c>
      <c r="AI35" s="101">
        <f>IFERROR(up_RadSpec!$E$30*(AI30/$B35),".")</f>
        <v>69107.5296320794</v>
      </c>
      <c r="AJ35" s="101">
        <f>IFERROR(up_RadSpec!$E$30*(AJ30/$B35),".")</f>
        <v>69107.5296320794</v>
      </c>
      <c r="AK35" s="101">
        <f>IFERROR(up_RadSpec!$E$30*(AK30/$B35),".")</f>
        <v>69107.5296320794</v>
      </c>
      <c r="AL35" s="101">
        <f>IFERROR(up_RadSpec!$E$30*(AL30/$B35),".")</f>
        <v>69107.5296320794</v>
      </c>
      <c r="AM35" s="101">
        <f>IFERROR(up_RadSpec!$E$30*(AM30/$B35),".")</f>
        <v>69107.5296320794</v>
      </c>
      <c r="AN35" s="101">
        <f>IFERROR(up_RadSpec!$E$30*(AN30/$B35),".")</f>
        <v>69107.5296320794</v>
      </c>
      <c r="AO35" s="101">
        <f>IFERROR(up_RadSpec!$E$30*(AO30/$B35),".")</f>
        <v>69107.5296320794</v>
      </c>
      <c r="AP35" s="101">
        <f>IFERROR(up_RadSpec!$E$30*(AP30/$B35),".")</f>
        <v>69107.5296320794</v>
      </c>
      <c r="AQ35" s="101">
        <f>IFERROR(up_RadSpec!$E$30*(AQ30/$B35),".")</f>
        <v>69107.5296320794</v>
      </c>
      <c r="AR35" s="101">
        <f>IFERROR(up_RadSpec!$E$30*(AR30/$B35),".")</f>
        <v>69107.5296320794</v>
      </c>
      <c r="AS35" s="101">
        <f>IFERROR(up_RadSpec!$E$30*(AS30/$B35),".")</f>
        <v>69107.5296320794</v>
      </c>
      <c r="AT35" s="101">
        <f>IFERROR(up_RadSpec!$E$30*(AT30/$B35),".")</f>
        <v>69107.5296320794</v>
      </c>
      <c r="AU35" s="101">
        <f>IFERROR(up_RadSpec!$E$30*(AU30/$B35),".")</f>
        <v>69107.5296320794</v>
      </c>
      <c r="AV35" s="101">
        <f>IFERROR(up_RadSpec!$E$30*(AV30/$B35),".")</f>
        <v>69107.5296320794</v>
      </c>
      <c r="AW35" s="101">
        <f>IFERROR(up_RadSpec!$E$30*(AW30/$B35),".")</f>
        <v>69107.5296320794</v>
      </c>
      <c r="AX35" s="101">
        <f>IFERROR(up_RadSpec!$E$30*(AX30/$B35),".")</f>
        <v>69107.5296320794</v>
      </c>
      <c r="AY35" s="101">
        <f>IFERROR(up_RadSpec!$E$30*(AY30/$B35),".")</f>
        <v>69107.5296320794</v>
      </c>
      <c r="AZ35" s="101">
        <f>IFERROR(up_RadSpec!$E$30*(AZ30/$B35),".")</f>
        <v>69107.5296320794</v>
      </c>
      <c r="BA35" s="100">
        <f>IFERROR(1/SUM(1/BB35,1/BC35,1/BX35,1/BY35),".")</f>
        <v>3455376481.6039696</v>
      </c>
      <c r="BB35" s="100">
        <f t="shared" ref="BB35:BY35" si="28">IFERROR($B35/BB30,0)</f>
        <v>13821505926.415878</v>
      </c>
      <c r="BC35" s="100">
        <f t="shared" si="28"/>
        <v>13821505926.415878</v>
      </c>
      <c r="BD35" s="100">
        <f t="shared" si="28"/>
        <v>13821505926.415878</v>
      </c>
      <c r="BE35" s="100">
        <f t="shared" si="28"/>
        <v>13821505926.415878</v>
      </c>
      <c r="BF35" s="100">
        <f t="shared" si="28"/>
        <v>13821505926.415878</v>
      </c>
      <c r="BG35" s="100">
        <f t="shared" si="28"/>
        <v>13821505926.415878</v>
      </c>
      <c r="BH35" s="100">
        <f t="shared" si="28"/>
        <v>13821505926.415878</v>
      </c>
      <c r="BI35" s="100">
        <f t="shared" si="28"/>
        <v>13821505926.415878</v>
      </c>
      <c r="BJ35" s="100">
        <f t="shared" si="28"/>
        <v>13821505926.415878</v>
      </c>
      <c r="BK35" s="100">
        <f t="shared" si="28"/>
        <v>13821505926.415878</v>
      </c>
      <c r="BL35" s="100">
        <f t="shared" si="28"/>
        <v>13821505926.415878</v>
      </c>
      <c r="BM35" s="100">
        <f t="shared" si="28"/>
        <v>13821505926.415878</v>
      </c>
      <c r="BN35" s="100">
        <f t="shared" si="28"/>
        <v>13821505926.415878</v>
      </c>
      <c r="BO35" s="100">
        <f t="shared" si="28"/>
        <v>13821505926.415878</v>
      </c>
      <c r="BP35" s="100">
        <f t="shared" si="28"/>
        <v>13821505926.415878</v>
      </c>
      <c r="BQ35" s="100">
        <f t="shared" si="28"/>
        <v>13821505926.415878</v>
      </c>
      <c r="BR35" s="100">
        <f t="shared" si="28"/>
        <v>13821505926.415878</v>
      </c>
      <c r="BS35" s="100">
        <f t="shared" si="28"/>
        <v>13821505926.415878</v>
      </c>
      <c r="BT35" s="100">
        <f t="shared" si="28"/>
        <v>13821505926.415878</v>
      </c>
      <c r="BU35" s="100">
        <f t="shared" si="28"/>
        <v>13821505926.415878</v>
      </c>
      <c r="BV35" s="100">
        <f t="shared" si="28"/>
        <v>13821505926.415878</v>
      </c>
      <c r="BW35" s="100">
        <f t="shared" si="28"/>
        <v>13821505926.415878</v>
      </c>
      <c r="BX35" s="100">
        <f t="shared" si="28"/>
        <v>13821505926.415878</v>
      </c>
      <c r="BY35" s="100">
        <f t="shared" si="28"/>
        <v>13821505926.415878</v>
      </c>
      <c r="BZ35" s="49">
        <f t="shared" si="24"/>
        <v>276430.1185283176</v>
      </c>
      <c r="CA35" s="101">
        <f>IFERROR(up_RadSpec!$E$30*(CA30/$B35),".")</f>
        <v>69107.5296320794</v>
      </c>
      <c r="CB35" s="101">
        <f>IFERROR(up_RadSpec!$E$30*(CB30/$B35),".")</f>
        <v>69107.5296320794</v>
      </c>
      <c r="CC35" s="101">
        <f>IFERROR(up_RadSpec!$E$30*(CC30/$B35),".")</f>
        <v>69107.5296320794</v>
      </c>
      <c r="CD35" s="101">
        <f>IFERROR(up_RadSpec!$E$30*(CD30/$B35),".")</f>
        <v>69107.5296320794</v>
      </c>
      <c r="CE35" s="101">
        <f>IFERROR(up_RadSpec!$E$30*(CE30/$B35),".")</f>
        <v>69107.5296320794</v>
      </c>
      <c r="CF35" s="101">
        <f>IFERROR(up_RadSpec!$E$30*(CF30/$B35),".")</f>
        <v>69107.5296320794</v>
      </c>
      <c r="CG35" s="101">
        <f>IFERROR(up_RadSpec!$E$30*(CG30/$B35),".")</f>
        <v>69107.5296320794</v>
      </c>
      <c r="CH35" s="101">
        <f>IFERROR(up_RadSpec!$E$30*(CH30/$B35),".")</f>
        <v>69107.5296320794</v>
      </c>
      <c r="CI35" s="101">
        <f>IFERROR(up_RadSpec!$E$30*(CI30/$B35),".")</f>
        <v>69107.5296320794</v>
      </c>
      <c r="CJ35" s="101">
        <f>IFERROR(up_RadSpec!$E$30*(CJ30/$B35),".")</f>
        <v>69107.5296320794</v>
      </c>
      <c r="CK35" s="101">
        <f>IFERROR(up_RadSpec!$E$30*(CK30/$B35),".")</f>
        <v>69107.5296320794</v>
      </c>
      <c r="CL35" s="101">
        <f>IFERROR(up_RadSpec!$E$30*(CL30/$B35),".")</f>
        <v>69107.5296320794</v>
      </c>
      <c r="CM35" s="101">
        <f>IFERROR(up_RadSpec!$E$30*(CM30/$B35),".")</f>
        <v>69107.5296320794</v>
      </c>
      <c r="CN35" s="101">
        <f>IFERROR(up_RadSpec!$E$30*(CN30/$B35),".")</f>
        <v>69107.5296320794</v>
      </c>
      <c r="CO35" s="101">
        <f>IFERROR(up_RadSpec!$E$30*(CO30/$B35),".")</f>
        <v>69107.5296320794</v>
      </c>
      <c r="CP35" s="101">
        <f>IFERROR(up_RadSpec!$E$30*(CP30/$B35),".")</f>
        <v>69107.5296320794</v>
      </c>
      <c r="CQ35" s="101">
        <f>IFERROR(up_RadSpec!$E$30*(CQ30/$B35),".")</f>
        <v>69107.5296320794</v>
      </c>
      <c r="CR35" s="101">
        <f>IFERROR(up_RadSpec!$E$30*(CR30/$B35),".")</f>
        <v>69107.5296320794</v>
      </c>
      <c r="CS35" s="101">
        <f>IFERROR(up_RadSpec!$E$30*(CS30/$B35),".")</f>
        <v>69107.5296320794</v>
      </c>
      <c r="CT35" s="101">
        <f>IFERROR(up_RadSpec!$E$30*(CT30/$B35),".")</f>
        <v>69107.5296320794</v>
      </c>
      <c r="CU35" s="101">
        <f>IFERROR(up_RadSpec!$E$30*(CU30/$B35),".")</f>
        <v>69107.5296320794</v>
      </c>
      <c r="CV35" s="101">
        <f>IFERROR(up_RadSpec!$E$30*(CV30/$B35),".")</f>
        <v>69107.5296320794</v>
      </c>
      <c r="CW35" s="101">
        <f>IFERROR(up_RadSpec!$E$30*(CW30/$B35),".")</f>
        <v>69107.5296320794</v>
      </c>
      <c r="CX35" s="101">
        <f>IFERROR(up_RadSpec!$E$30*(CX30/$B35),".")</f>
        <v>69107.5296320794</v>
      </c>
    </row>
    <row r="36" spans="1:102" x14ac:dyDescent="0.25">
      <c r="A36" s="99" t="s">
        <v>1081</v>
      </c>
      <c r="B36" s="90">
        <v>1</v>
      </c>
      <c r="C36" s="100">
        <f>IFERROR(1/SUM(1/D36,1/E36,1/Z36,1/AA36),".")</f>
        <v>3455376481.6039696</v>
      </c>
      <c r="D36" s="100">
        <f t="shared" ref="D36:AA36" si="29">IFERROR($B36/D26,0)</f>
        <v>13821505926.415878</v>
      </c>
      <c r="E36" s="100">
        <f t="shared" si="29"/>
        <v>13821505926.415878</v>
      </c>
      <c r="F36" s="100">
        <f t="shared" si="29"/>
        <v>13821505926.415878</v>
      </c>
      <c r="G36" s="100">
        <f t="shared" si="29"/>
        <v>13821505926.415878</v>
      </c>
      <c r="H36" s="100">
        <f t="shared" si="29"/>
        <v>13821505926.415878</v>
      </c>
      <c r="I36" s="100">
        <f t="shared" si="29"/>
        <v>13821505926.415878</v>
      </c>
      <c r="J36" s="100">
        <f t="shared" si="29"/>
        <v>13821505926.415878</v>
      </c>
      <c r="K36" s="100">
        <f t="shared" si="29"/>
        <v>13821505926.415878</v>
      </c>
      <c r="L36" s="100">
        <f t="shared" si="29"/>
        <v>13821505926.415878</v>
      </c>
      <c r="M36" s="100">
        <f t="shared" si="29"/>
        <v>13821505926.415878</v>
      </c>
      <c r="N36" s="100">
        <f t="shared" si="29"/>
        <v>13821505926.415878</v>
      </c>
      <c r="O36" s="100">
        <f t="shared" si="29"/>
        <v>13821505926.415878</v>
      </c>
      <c r="P36" s="100">
        <f t="shared" si="29"/>
        <v>13821505926.415878</v>
      </c>
      <c r="Q36" s="100">
        <f t="shared" si="29"/>
        <v>13821505926.415878</v>
      </c>
      <c r="R36" s="100">
        <f t="shared" si="29"/>
        <v>13821505926.415878</v>
      </c>
      <c r="S36" s="100">
        <f t="shared" si="29"/>
        <v>13821505926.415878</v>
      </c>
      <c r="T36" s="100">
        <f t="shared" si="29"/>
        <v>13821505926.415878</v>
      </c>
      <c r="U36" s="100">
        <f t="shared" si="29"/>
        <v>13821505926.415878</v>
      </c>
      <c r="V36" s="100">
        <f t="shared" si="29"/>
        <v>13821505926.415878</v>
      </c>
      <c r="W36" s="100">
        <f t="shared" si="29"/>
        <v>13821505926.415878</v>
      </c>
      <c r="X36" s="100">
        <f t="shared" si="29"/>
        <v>13821505926.415878</v>
      </c>
      <c r="Y36" s="100">
        <f t="shared" si="29"/>
        <v>13821505926.415878</v>
      </c>
      <c r="Z36" s="100">
        <f t="shared" si="29"/>
        <v>13821505926.415878</v>
      </c>
      <c r="AA36" s="100">
        <f t="shared" si="29"/>
        <v>13821505926.415878</v>
      </c>
      <c r="AB36" s="49">
        <f t="shared" si="21"/>
        <v>276430.1185283176</v>
      </c>
      <c r="AC36" s="101">
        <f>IFERROR(up_RadSpec!$E$26*(AC26/$B36),".")</f>
        <v>69107.5296320794</v>
      </c>
      <c r="AD36" s="101">
        <f>IFERROR(up_RadSpec!$E$26*(AD26/$B36),".")</f>
        <v>69107.5296320794</v>
      </c>
      <c r="AE36" s="101">
        <f>IFERROR(up_RadSpec!$E$26*(AE26/$B36),".")</f>
        <v>69107.5296320794</v>
      </c>
      <c r="AF36" s="101">
        <f>IFERROR(up_RadSpec!$E$26*(AF26/$B36),".")</f>
        <v>69107.5296320794</v>
      </c>
      <c r="AG36" s="101">
        <f>IFERROR(up_RadSpec!$E$26*(AG26/$B36),".")</f>
        <v>69107.5296320794</v>
      </c>
      <c r="AH36" s="101">
        <f>IFERROR(up_RadSpec!$E$26*(AH26/$B36),".")</f>
        <v>69107.5296320794</v>
      </c>
      <c r="AI36" s="101">
        <f>IFERROR(up_RadSpec!$E$26*(AI26/$B36),".")</f>
        <v>69107.5296320794</v>
      </c>
      <c r="AJ36" s="101">
        <f>IFERROR(up_RadSpec!$E$26*(AJ26/$B36),".")</f>
        <v>69107.5296320794</v>
      </c>
      <c r="AK36" s="101">
        <f>IFERROR(up_RadSpec!$E$26*(AK26/$B36),".")</f>
        <v>69107.5296320794</v>
      </c>
      <c r="AL36" s="101">
        <f>IFERROR(up_RadSpec!$E$26*(AL26/$B36),".")</f>
        <v>69107.5296320794</v>
      </c>
      <c r="AM36" s="101">
        <f>IFERROR(up_RadSpec!$E$26*(AM26/$B36),".")</f>
        <v>69107.5296320794</v>
      </c>
      <c r="AN36" s="101">
        <f>IFERROR(up_RadSpec!$E$26*(AN26/$B36),".")</f>
        <v>69107.5296320794</v>
      </c>
      <c r="AO36" s="101">
        <f>IFERROR(up_RadSpec!$E$26*(AO26/$B36),".")</f>
        <v>69107.5296320794</v>
      </c>
      <c r="AP36" s="101">
        <f>IFERROR(up_RadSpec!$E$26*(AP26/$B36),".")</f>
        <v>69107.5296320794</v>
      </c>
      <c r="AQ36" s="101">
        <f>IFERROR(up_RadSpec!$E$26*(AQ26/$B36),".")</f>
        <v>69107.5296320794</v>
      </c>
      <c r="AR36" s="101">
        <f>IFERROR(up_RadSpec!$E$26*(AR26/$B36),".")</f>
        <v>69107.5296320794</v>
      </c>
      <c r="AS36" s="101">
        <f>IFERROR(up_RadSpec!$E$26*(AS26/$B36),".")</f>
        <v>69107.5296320794</v>
      </c>
      <c r="AT36" s="101">
        <f>IFERROR(up_RadSpec!$E$26*(AT26/$B36),".")</f>
        <v>69107.5296320794</v>
      </c>
      <c r="AU36" s="101">
        <f>IFERROR(up_RadSpec!$E$26*(AU26/$B36),".")</f>
        <v>69107.5296320794</v>
      </c>
      <c r="AV36" s="101">
        <f>IFERROR(up_RadSpec!$E$26*(AV26/$B36),".")</f>
        <v>69107.5296320794</v>
      </c>
      <c r="AW36" s="101">
        <f>IFERROR(up_RadSpec!$E$26*(AW26/$B36),".")</f>
        <v>69107.5296320794</v>
      </c>
      <c r="AX36" s="101">
        <f>IFERROR(up_RadSpec!$E$26*(AX26/$B36),".")</f>
        <v>69107.5296320794</v>
      </c>
      <c r="AY36" s="101">
        <f>IFERROR(up_RadSpec!$E$26*(AY26/$B36),".")</f>
        <v>69107.5296320794</v>
      </c>
      <c r="AZ36" s="101">
        <f>IFERROR(up_RadSpec!$E$26*(AZ26/$B36),".")</f>
        <v>69107.5296320794</v>
      </c>
      <c r="BA36" s="100">
        <f t="shared" si="22"/>
        <v>3455376481.6039696</v>
      </c>
      <c r="BB36" s="100">
        <f t="shared" ref="BB36:BY36" si="30">IFERROR($B36/BB26,0)</f>
        <v>13821505926.415878</v>
      </c>
      <c r="BC36" s="100">
        <f t="shared" si="30"/>
        <v>13821505926.415878</v>
      </c>
      <c r="BD36" s="100">
        <f t="shared" si="30"/>
        <v>13821505926.415878</v>
      </c>
      <c r="BE36" s="100">
        <f t="shared" si="30"/>
        <v>13821505926.415878</v>
      </c>
      <c r="BF36" s="100">
        <f t="shared" si="30"/>
        <v>13821505926.415878</v>
      </c>
      <c r="BG36" s="100">
        <f t="shared" si="30"/>
        <v>13821505926.415878</v>
      </c>
      <c r="BH36" s="100">
        <f t="shared" si="30"/>
        <v>13821505926.415878</v>
      </c>
      <c r="BI36" s="100">
        <f t="shared" si="30"/>
        <v>13821505926.415878</v>
      </c>
      <c r="BJ36" s="100">
        <f t="shared" si="30"/>
        <v>13821505926.415878</v>
      </c>
      <c r="BK36" s="100">
        <f t="shared" si="30"/>
        <v>13821505926.415878</v>
      </c>
      <c r="BL36" s="100">
        <f t="shared" si="30"/>
        <v>13821505926.415878</v>
      </c>
      <c r="BM36" s="100">
        <f t="shared" si="30"/>
        <v>13821505926.415878</v>
      </c>
      <c r="BN36" s="100">
        <f t="shared" si="30"/>
        <v>13821505926.415878</v>
      </c>
      <c r="BO36" s="100">
        <f t="shared" si="30"/>
        <v>13821505926.415878</v>
      </c>
      <c r="BP36" s="100">
        <f t="shared" si="30"/>
        <v>13821505926.415878</v>
      </c>
      <c r="BQ36" s="100">
        <f t="shared" si="30"/>
        <v>13821505926.415878</v>
      </c>
      <c r="BR36" s="100">
        <f t="shared" si="30"/>
        <v>13821505926.415878</v>
      </c>
      <c r="BS36" s="100">
        <f t="shared" si="30"/>
        <v>13821505926.415878</v>
      </c>
      <c r="BT36" s="100">
        <f t="shared" si="30"/>
        <v>13821505926.415878</v>
      </c>
      <c r="BU36" s="100">
        <f t="shared" si="30"/>
        <v>13821505926.415878</v>
      </c>
      <c r="BV36" s="100">
        <f t="shared" si="30"/>
        <v>13821505926.415878</v>
      </c>
      <c r="BW36" s="100">
        <f t="shared" si="30"/>
        <v>13821505926.415878</v>
      </c>
      <c r="BX36" s="100">
        <f t="shared" si="30"/>
        <v>13821505926.415878</v>
      </c>
      <c r="BY36" s="100">
        <f t="shared" si="30"/>
        <v>13821505926.415878</v>
      </c>
      <c r="BZ36" s="49">
        <f t="shared" si="24"/>
        <v>276430.1185283176</v>
      </c>
      <c r="CA36" s="101">
        <f>IFERROR(up_RadSpec!$E$26*(CA26/$B36),".")</f>
        <v>69107.5296320794</v>
      </c>
      <c r="CB36" s="101">
        <f>IFERROR(up_RadSpec!$E$26*(CB26/$B36),".")</f>
        <v>69107.5296320794</v>
      </c>
      <c r="CC36" s="101">
        <f>IFERROR(up_RadSpec!$E$26*(CC26/$B36),".")</f>
        <v>69107.5296320794</v>
      </c>
      <c r="CD36" s="101">
        <f>IFERROR(up_RadSpec!$E$26*(CD26/$B36),".")</f>
        <v>69107.5296320794</v>
      </c>
      <c r="CE36" s="101">
        <f>IFERROR(up_RadSpec!$E$26*(CE26/$B36),".")</f>
        <v>69107.5296320794</v>
      </c>
      <c r="CF36" s="101">
        <f>IFERROR(up_RadSpec!$E$26*(CF26/$B36),".")</f>
        <v>69107.5296320794</v>
      </c>
      <c r="CG36" s="101">
        <f>IFERROR(up_RadSpec!$E$26*(CG26/$B36),".")</f>
        <v>69107.5296320794</v>
      </c>
      <c r="CH36" s="101">
        <f>IFERROR(up_RadSpec!$E$26*(CH26/$B36),".")</f>
        <v>69107.5296320794</v>
      </c>
      <c r="CI36" s="101">
        <f>IFERROR(up_RadSpec!$E$26*(CI26/$B36),".")</f>
        <v>69107.5296320794</v>
      </c>
      <c r="CJ36" s="101">
        <f>IFERROR(up_RadSpec!$E$26*(CJ26/$B36),".")</f>
        <v>69107.5296320794</v>
      </c>
      <c r="CK36" s="101">
        <f>IFERROR(up_RadSpec!$E$26*(CK26/$B36),".")</f>
        <v>69107.5296320794</v>
      </c>
      <c r="CL36" s="101">
        <f>IFERROR(up_RadSpec!$E$26*(CL26/$B36),".")</f>
        <v>69107.5296320794</v>
      </c>
      <c r="CM36" s="101">
        <f>IFERROR(up_RadSpec!$E$26*(CM26/$B36),".")</f>
        <v>69107.5296320794</v>
      </c>
      <c r="CN36" s="101">
        <f>IFERROR(up_RadSpec!$E$26*(CN26/$B36),".")</f>
        <v>69107.5296320794</v>
      </c>
      <c r="CO36" s="101">
        <f>IFERROR(up_RadSpec!$E$26*(CO26/$B36),".")</f>
        <v>69107.5296320794</v>
      </c>
      <c r="CP36" s="101">
        <f>IFERROR(up_RadSpec!$E$26*(CP26/$B36),".")</f>
        <v>69107.5296320794</v>
      </c>
      <c r="CQ36" s="101">
        <f>IFERROR(up_RadSpec!$E$26*(CQ26/$B36),".")</f>
        <v>69107.5296320794</v>
      </c>
      <c r="CR36" s="101">
        <f>IFERROR(up_RadSpec!$E$26*(CR26/$B36),".")</f>
        <v>69107.5296320794</v>
      </c>
      <c r="CS36" s="101">
        <f>IFERROR(up_RadSpec!$E$26*(CS26/$B36),".")</f>
        <v>69107.5296320794</v>
      </c>
      <c r="CT36" s="101">
        <f>IFERROR(up_RadSpec!$E$26*(CT26/$B36),".")</f>
        <v>69107.5296320794</v>
      </c>
      <c r="CU36" s="101">
        <f>IFERROR(up_RadSpec!$E$26*(CU26/$B36),".")</f>
        <v>69107.5296320794</v>
      </c>
      <c r="CV36" s="101">
        <f>IFERROR(up_RadSpec!$E$26*(CV26/$B36),".")</f>
        <v>69107.5296320794</v>
      </c>
      <c r="CW36" s="101">
        <f>IFERROR(up_RadSpec!$E$26*(CW26/$B36),".")</f>
        <v>69107.5296320794</v>
      </c>
      <c r="CX36" s="101">
        <f>IFERROR(up_RadSpec!$E$26*(CX26/$B36),".")</f>
        <v>69107.5296320794</v>
      </c>
    </row>
    <row r="37" spans="1:102" x14ac:dyDescent="0.25">
      <c r="A37" s="99" t="s">
        <v>1082</v>
      </c>
      <c r="B37" s="90">
        <v>1</v>
      </c>
      <c r="C37" s="100">
        <f t="shared" si="0"/>
        <v>3455376481.6039696</v>
      </c>
      <c r="D37" s="100">
        <f t="shared" ref="D37:AA37" si="31">IFERROR($B37/D22,0)</f>
        <v>13821505926.415878</v>
      </c>
      <c r="E37" s="100">
        <f t="shared" si="31"/>
        <v>13821505926.415878</v>
      </c>
      <c r="F37" s="100">
        <f t="shared" si="31"/>
        <v>13821505926.415878</v>
      </c>
      <c r="G37" s="100">
        <f t="shared" si="31"/>
        <v>13821505926.415878</v>
      </c>
      <c r="H37" s="100">
        <f t="shared" si="31"/>
        <v>13821505926.415878</v>
      </c>
      <c r="I37" s="100">
        <f t="shared" si="31"/>
        <v>13821505926.415878</v>
      </c>
      <c r="J37" s="100">
        <f t="shared" si="31"/>
        <v>13821505926.415878</v>
      </c>
      <c r="K37" s="100">
        <f t="shared" si="31"/>
        <v>13821505926.415878</v>
      </c>
      <c r="L37" s="100">
        <f t="shared" si="31"/>
        <v>13821505926.415878</v>
      </c>
      <c r="M37" s="100">
        <f t="shared" si="31"/>
        <v>13821505926.415878</v>
      </c>
      <c r="N37" s="100">
        <f t="shared" si="31"/>
        <v>13821505926.415878</v>
      </c>
      <c r="O37" s="100">
        <f t="shared" si="31"/>
        <v>13821505926.415878</v>
      </c>
      <c r="P37" s="100">
        <f t="shared" si="31"/>
        <v>13821505926.415878</v>
      </c>
      <c r="Q37" s="100">
        <f t="shared" si="31"/>
        <v>13821505926.415878</v>
      </c>
      <c r="R37" s="100">
        <f t="shared" si="31"/>
        <v>13821505926.415878</v>
      </c>
      <c r="S37" s="100">
        <f t="shared" si="31"/>
        <v>13821505926.415878</v>
      </c>
      <c r="T37" s="100">
        <f t="shared" si="31"/>
        <v>13821505926.415878</v>
      </c>
      <c r="U37" s="100">
        <f t="shared" si="31"/>
        <v>13821505926.415878</v>
      </c>
      <c r="V37" s="100">
        <f t="shared" si="31"/>
        <v>13821505926.415878</v>
      </c>
      <c r="W37" s="100">
        <f t="shared" si="31"/>
        <v>13821505926.415878</v>
      </c>
      <c r="X37" s="100">
        <f t="shared" si="31"/>
        <v>13821505926.415878</v>
      </c>
      <c r="Y37" s="100">
        <f t="shared" si="31"/>
        <v>13821505926.415878</v>
      </c>
      <c r="Z37" s="100">
        <f t="shared" si="31"/>
        <v>13821505926.415878</v>
      </c>
      <c r="AA37" s="100">
        <f t="shared" si="31"/>
        <v>13821505926.415878</v>
      </c>
      <c r="AB37" s="49">
        <f t="shared" si="21"/>
        <v>276430.1185283176</v>
      </c>
      <c r="AC37" s="101">
        <f>IFERROR(up_RadSpec!$E$22*(AC22/$B37),".")</f>
        <v>69107.5296320794</v>
      </c>
      <c r="AD37" s="101">
        <f>IFERROR(up_RadSpec!$E$22*(AD22/$B37),".")</f>
        <v>69107.5296320794</v>
      </c>
      <c r="AE37" s="101">
        <f>IFERROR(up_RadSpec!$E$22*(AE22/$B37),".")</f>
        <v>69107.5296320794</v>
      </c>
      <c r="AF37" s="101">
        <f>IFERROR(up_RadSpec!$E$22*(AF22/$B37),".")</f>
        <v>69107.5296320794</v>
      </c>
      <c r="AG37" s="101">
        <f>IFERROR(up_RadSpec!$E$22*(AG22/$B37),".")</f>
        <v>69107.5296320794</v>
      </c>
      <c r="AH37" s="101">
        <f>IFERROR(up_RadSpec!$E$22*(AH22/$B37),".")</f>
        <v>69107.5296320794</v>
      </c>
      <c r="AI37" s="101">
        <f>IFERROR(up_RadSpec!$E$22*(AI22/$B37),".")</f>
        <v>69107.5296320794</v>
      </c>
      <c r="AJ37" s="101">
        <f>IFERROR(up_RadSpec!$E$22*(AJ22/$B37),".")</f>
        <v>69107.5296320794</v>
      </c>
      <c r="AK37" s="101">
        <f>IFERROR(up_RadSpec!$E$22*(AK22/$B37),".")</f>
        <v>69107.5296320794</v>
      </c>
      <c r="AL37" s="101">
        <f>IFERROR(up_RadSpec!$E$22*(AL22/$B37),".")</f>
        <v>69107.5296320794</v>
      </c>
      <c r="AM37" s="101">
        <f>IFERROR(up_RadSpec!$E$22*(AM22/$B37),".")</f>
        <v>69107.5296320794</v>
      </c>
      <c r="AN37" s="101">
        <f>IFERROR(up_RadSpec!$E$22*(AN22/$B37),".")</f>
        <v>69107.5296320794</v>
      </c>
      <c r="AO37" s="101">
        <f>IFERROR(up_RadSpec!$E$22*(AO22/$B37),".")</f>
        <v>69107.5296320794</v>
      </c>
      <c r="AP37" s="101">
        <f>IFERROR(up_RadSpec!$E$22*(AP22/$B37),".")</f>
        <v>69107.5296320794</v>
      </c>
      <c r="AQ37" s="101">
        <f>IFERROR(up_RadSpec!$E$22*(AQ22/$B37),".")</f>
        <v>69107.5296320794</v>
      </c>
      <c r="AR37" s="101">
        <f>IFERROR(up_RadSpec!$E$22*(AR22/$B37),".")</f>
        <v>69107.5296320794</v>
      </c>
      <c r="AS37" s="101">
        <f>IFERROR(up_RadSpec!$E$22*(AS22/$B37),".")</f>
        <v>69107.5296320794</v>
      </c>
      <c r="AT37" s="101">
        <f>IFERROR(up_RadSpec!$E$22*(AT22/$B37),".")</f>
        <v>69107.5296320794</v>
      </c>
      <c r="AU37" s="101">
        <f>IFERROR(up_RadSpec!$E$22*(AU22/$B37),".")</f>
        <v>69107.5296320794</v>
      </c>
      <c r="AV37" s="101">
        <f>IFERROR(up_RadSpec!$E$22*(AV22/$B37),".")</f>
        <v>69107.5296320794</v>
      </c>
      <c r="AW37" s="101">
        <f>IFERROR(up_RadSpec!$E$22*(AW22/$B37),".")</f>
        <v>69107.5296320794</v>
      </c>
      <c r="AX37" s="101">
        <f>IFERROR(up_RadSpec!$E$22*(AX22/$B37),".")</f>
        <v>69107.5296320794</v>
      </c>
      <c r="AY37" s="101">
        <f>IFERROR(up_RadSpec!$E$22*(AY22/$B37),".")</f>
        <v>69107.5296320794</v>
      </c>
      <c r="AZ37" s="101">
        <f>IFERROR(up_RadSpec!$E$22*(AZ22/$B37),".")</f>
        <v>69107.5296320794</v>
      </c>
      <c r="BA37" s="100">
        <f t="shared" si="22"/>
        <v>3455376481.6039696</v>
      </c>
      <c r="BB37" s="100">
        <f t="shared" ref="BB37:BY37" si="32">IFERROR($B37/BB22,0)</f>
        <v>13821505926.415878</v>
      </c>
      <c r="BC37" s="100">
        <f t="shared" si="32"/>
        <v>13821505926.415878</v>
      </c>
      <c r="BD37" s="100">
        <f t="shared" si="32"/>
        <v>13821505926.415878</v>
      </c>
      <c r="BE37" s="100">
        <f t="shared" si="32"/>
        <v>13821505926.415878</v>
      </c>
      <c r="BF37" s="100">
        <f t="shared" si="32"/>
        <v>13821505926.415878</v>
      </c>
      <c r="BG37" s="100">
        <f t="shared" si="32"/>
        <v>13821505926.415878</v>
      </c>
      <c r="BH37" s="100">
        <f t="shared" si="32"/>
        <v>13821505926.415878</v>
      </c>
      <c r="BI37" s="100">
        <f t="shared" si="32"/>
        <v>13821505926.415878</v>
      </c>
      <c r="BJ37" s="100">
        <f t="shared" si="32"/>
        <v>13821505926.415878</v>
      </c>
      <c r="BK37" s="100">
        <f t="shared" si="32"/>
        <v>13821505926.415878</v>
      </c>
      <c r="BL37" s="100">
        <f t="shared" si="32"/>
        <v>13821505926.415878</v>
      </c>
      <c r="BM37" s="100">
        <f t="shared" si="32"/>
        <v>13821505926.415878</v>
      </c>
      <c r="BN37" s="100">
        <f t="shared" si="32"/>
        <v>13821505926.415878</v>
      </c>
      <c r="BO37" s="100">
        <f t="shared" si="32"/>
        <v>13821505926.415878</v>
      </c>
      <c r="BP37" s="100">
        <f t="shared" si="32"/>
        <v>13821505926.415878</v>
      </c>
      <c r="BQ37" s="100">
        <f t="shared" si="32"/>
        <v>13821505926.415878</v>
      </c>
      <c r="BR37" s="100">
        <f t="shared" si="32"/>
        <v>13821505926.415878</v>
      </c>
      <c r="BS37" s="100">
        <f t="shared" si="32"/>
        <v>13821505926.415878</v>
      </c>
      <c r="BT37" s="100">
        <f t="shared" si="32"/>
        <v>13821505926.415878</v>
      </c>
      <c r="BU37" s="100">
        <f t="shared" si="32"/>
        <v>13821505926.415878</v>
      </c>
      <c r="BV37" s="100">
        <f t="shared" si="32"/>
        <v>13821505926.415878</v>
      </c>
      <c r="BW37" s="100">
        <f t="shared" si="32"/>
        <v>13821505926.415878</v>
      </c>
      <c r="BX37" s="100">
        <f t="shared" si="32"/>
        <v>13821505926.415878</v>
      </c>
      <c r="BY37" s="100">
        <f t="shared" si="32"/>
        <v>13821505926.415878</v>
      </c>
      <c r="BZ37" s="49">
        <f t="shared" si="24"/>
        <v>276430.1185283176</v>
      </c>
      <c r="CA37" s="101">
        <f>IFERROR(up_RadSpec!$E$22*(CA22/$B37),".")</f>
        <v>69107.5296320794</v>
      </c>
      <c r="CB37" s="101">
        <f>IFERROR(up_RadSpec!$E$22*(CB22/$B37),".")</f>
        <v>69107.5296320794</v>
      </c>
      <c r="CC37" s="101">
        <f>IFERROR(up_RadSpec!$E$22*(CC22/$B37),".")</f>
        <v>69107.5296320794</v>
      </c>
      <c r="CD37" s="101">
        <f>IFERROR(up_RadSpec!$E$22*(CD22/$B37),".")</f>
        <v>69107.5296320794</v>
      </c>
      <c r="CE37" s="101">
        <f>IFERROR(up_RadSpec!$E$22*(CE22/$B37),".")</f>
        <v>69107.5296320794</v>
      </c>
      <c r="CF37" s="101">
        <f>IFERROR(up_RadSpec!$E$22*(CF22/$B37),".")</f>
        <v>69107.5296320794</v>
      </c>
      <c r="CG37" s="101">
        <f>IFERROR(up_RadSpec!$E$22*(CG22/$B37),".")</f>
        <v>69107.5296320794</v>
      </c>
      <c r="CH37" s="101">
        <f>IFERROR(up_RadSpec!$E$22*(CH22/$B37),".")</f>
        <v>69107.5296320794</v>
      </c>
      <c r="CI37" s="101">
        <f>IFERROR(up_RadSpec!$E$22*(CI22/$B37),".")</f>
        <v>69107.5296320794</v>
      </c>
      <c r="CJ37" s="101">
        <f>IFERROR(up_RadSpec!$E$22*(CJ22/$B37),".")</f>
        <v>69107.5296320794</v>
      </c>
      <c r="CK37" s="101">
        <f>IFERROR(up_RadSpec!$E$22*(CK22/$B37),".")</f>
        <v>69107.5296320794</v>
      </c>
      <c r="CL37" s="101">
        <f>IFERROR(up_RadSpec!$E$22*(CL22/$B37),".")</f>
        <v>69107.5296320794</v>
      </c>
      <c r="CM37" s="101">
        <f>IFERROR(up_RadSpec!$E$22*(CM22/$B37),".")</f>
        <v>69107.5296320794</v>
      </c>
      <c r="CN37" s="101">
        <f>IFERROR(up_RadSpec!$E$22*(CN22/$B37),".")</f>
        <v>69107.5296320794</v>
      </c>
      <c r="CO37" s="101">
        <f>IFERROR(up_RadSpec!$E$22*(CO22/$B37),".")</f>
        <v>69107.5296320794</v>
      </c>
      <c r="CP37" s="101">
        <f>IFERROR(up_RadSpec!$E$22*(CP22/$B37),".")</f>
        <v>69107.5296320794</v>
      </c>
      <c r="CQ37" s="101">
        <f>IFERROR(up_RadSpec!$E$22*(CQ22/$B37),".")</f>
        <v>69107.5296320794</v>
      </c>
      <c r="CR37" s="101">
        <f>IFERROR(up_RadSpec!$E$22*(CR22/$B37),".")</f>
        <v>69107.5296320794</v>
      </c>
      <c r="CS37" s="101">
        <f>IFERROR(up_RadSpec!$E$22*(CS22/$B37),".")</f>
        <v>69107.5296320794</v>
      </c>
      <c r="CT37" s="101">
        <f>IFERROR(up_RadSpec!$E$22*(CT22/$B37),".")</f>
        <v>69107.5296320794</v>
      </c>
      <c r="CU37" s="101">
        <f>IFERROR(up_RadSpec!$E$22*(CU22/$B37),".")</f>
        <v>69107.5296320794</v>
      </c>
      <c r="CV37" s="101">
        <f>IFERROR(up_RadSpec!$E$22*(CV22/$B37),".")</f>
        <v>69107.5296320794</v>
      </c>
      <c r="CW37" s="101">
        <f>IFERROR(up_RadSpec!$E$22*(CW22/$B37),".")</f>
        <v>69107.5296320794</v>
      </c>
      <c r="CX37" s="101">
        <f>IFERROR(up_RadSpec!$E$22*(CX22/$B37),".")</f>
        <v>69107.5296320794</v>
      </c>
    </row>
    <row r="38" spans="1:102" x14ac:dyDescent="0.25">
      <c r="A38" s="99" t="s">
        <v>1083</v>
      </c>
      <c r="B38" s="90">
        <v>1</v>
      </c>
      <c r="C38" s="100">
        <f t="shared" si="0"/>
        <v>3455376481.6039696</v>
      </c>
      <c r="D38" s="100">
        <f t="shared" ref="D38:AA38" si="33">IFERROR($B38/D2,0)</f>
        <v>13821505926.415878</v>
      </c>
      <c r="E38" s="100">
        <f t="shared" si="33"/>
        <v>13821505926.415878</v>
      </c>
      <c r="F38" s="100">
        <f t="shared" si="33"/>
        <v>13821505926.415878</v>
      </c>
      <c r="G38" s="100">
        <f t="shared" si="33"/>
        <v>13821505926.415878</v>
      </c>
      <c r="H38" s="100">
        <f t="shared" si="33"/>
        <v>13821505926.415878</v>
      </c>
      <c r="I38" s="100">
        <f t="shared" si="33"/>
        <v>13821505926.415878</v>
      </c>
      <c r="J38" s="100">
        <f t="shared" si="33"/>
        <v>13821505926.415878</v>
      </c>
      <c r="K38" s="100">
        <f t="shared" si="33"/>
        <v>13821505926.415878</v>
      </c>
      <c r="L38" s="100">
        <f t="shared" si="33"/>
        <v>13821505926.415878</v>
      </c>
      <c r="M38" s="100">
        <f t="shared" si="33"/>
        <v>13821505926.415878</v>
      </c>
      <c r="N38" s="100">
        <f t="shared" si="33"/>
        <v>13821505926.415878</v>
      </c>
      <c r="O38" s="100">
        <f t="shared" si="33"/>
        <v>13821505926.415878</v>
      </c>
      <c r="P38" s="100">
        <f t="shared" si="33"/>
        <v>13821505926.415878</v>
      </c>
      <c r="Q38" s="100">
        <f t="shared" si="33"/>
        <v>13821505926.415878</v>
      </c>
      <c r="R38" s="100">
        <f t="shared" si="33"/>
        <v>13821505926.415878</v>
      </c>
      <c r="S38" s="100">
        <f t="shared" si="33"/>
        <v>13821505926.415878</v>
      </c>
      <c r="T38" s="100">
        <f t="shared" si="33"/>
        <v>13821505926.415878</v>
      </c>
      <c r="U38" s="100">
        <f t="shared" si="33"/>
        <v>13821505926.415878</v>
      </c>
      <c r="V38" s="100">
        <f t="shared" si="33"/>
        <v>13821505926.415878</v>
      </c>
      <c r="W38" s="100">
        <f t="shared" si="33"/>
        <v>13821505926.415878</v>
      </c>
      <c r="X38" s="100">
        <f t="shared" si="33"/>
        <v>13821505926.415878</v>
      </c>
      <c r="Y38" s="100">
        <f t="shared" si="33"/>
        <v>13821505926.415878</v>
      </c>
      <c r="Z38" s="100">
        <f t="shared" si="33"/>
        <v>13821505926.415878</v>
      </c>
      <c r="AA38" s="100">
        <f t="shared" si="33"/>
        <v>13821505926.415878</v>
      </c>
      <c r="AB38" s="49">
        <f t="shared" si="21"/>
        <v>276430.1185283176</v>
      </c>
      <c r="AC38" s="101">
        <f>IFERROR(up_RadSpec!$E$2*(AC2/$B38),".")</f>
        <v>69107.5296320794</v>
      </c>
      <c r="AD38" s="101">
        <f>IFERROR(up_RadSpec!$E$2*(AD2/$B38),".")</f>
        <v>69107.5296320794</v>
      </c>
      <c r="AE38" s="101">
        <f>IFERROR(up_RadSpec!$E$2*(AE2/$B38),".")</f>
        <v>69107.5296320794</v>
      </c>
      <c r="AF38" s="101">
        <f>IFERROR(up_RadSpec!$E$2*(AF2/$B38),".")</f>
        <v>69107.5296320794</v>
      </c>
      <c r="AG38" s="101">
        <f>IFERROR(up_RadSpec!$E$2*(AG2/$B38),".")</f>
        <v>69107.5296320794</v>
      </c>
      <c r="AH38" s="101">
        <f>IFERROR(up_RadSpec!$E$2*(AH2/$B38),".")</f>
        <v>69107.5296320794</v>
      </c>
      <c r="AI38" s="101">
        <f>IFERROR(up_RadSpec!$E$2*(AI2/$B38),".")</f>
        <v>69107.5296320794</v>
      </c>
      <c r="AJ38" s="101">
        <f>IFERROR(up_RadSpec!$E$2*(AJ2/$B38),".")</f>
        <v>69107.5296320794</v>
      </c>
      <c r="AK38" s="101">
        <f>IFERROR(up_RadSpec!$E$2*(AK2/$B38),".")</f>
        <v>69107.5296320794</v>
      </c>
      <c r="AL38" s="101">
        <f>IFERROR(up_RadSpec!$E$2*(AL2/$B38),".")</f>
        <v>69107.5296320794</v>
      </c>
      <c r="AM38" s="101">
        <f>IFERROR(up_RadSpec!$E$2*(AM2/$B38),".")</f>
        <v>69107.5296320794</v>
      </c>
      <c r="AN38" s="101">
        <f>IFERROR(up_RadSpec!$E$2*(AN2/$B38),".")</f>
        <v>69107.5296320794</v>
      </c>
      <c r="AO38" s="101">
        <f>IFERROR(up_RadSpec!$E$2*(AO2/$B38),".")</f>
        <v>69107.5296320794</v>
      </c>
      <c r="AP38" s="101">
        <f>IFERROR(up_RadSpec!$E$2*(AP2/$B38),".")</f>
        <v>69107.5296320794</v>
      </c>
      <c r="AQ38" s="101">
        <f>IFERROR(up_RadSpec!$E$2*(AQ2/$B38),".")</f>
        <v>69107.5296320794</v>
      </c>
      <c r="AR38" s="101">
        <f>IFERROR(up_RadSpec!$E$2*(AR2/$B38),".")</f>
        <v>69107.5296320794</v>
      </c>
      <c r="AS38" s="101">
        <f>IFERROR(up_RadSpec!$E$2*(AS2/$B38),".")</f>
        <v>69107.5296320794</v>
      </c>
      <c r="AT38" s="101">
        <f>IFERROR(up_RadSpec!$E$2*(AT2/$B38),".")</f>
        <v>69107.5296320794</v>
      </c>
      <c r="AU38" s="101">
        <f>IFERROR(up_RadSpec!$E$2*(AU2/$B38),".")</f>
        <v>69107.5296320794</v>
      </c>
      <c r="AV38" s="101">
        <f>IFERROR(up_RadSpec!$E$2*(AV2/$B38),".")</f>
        <v>69107.5296320794</v>
      </c>
      <c r="AW38" s="101">
        <f>IFERROR(up_RadSpec!$E$2*(AW2/$B38),".")</f>
        <v>69107.5296320794</v>
      </c>
      <c r="AX38" s="101">
        <f>IFERROR(up_RadSpec!$E$2*(AX2/$B38),".")</f>
        <v>69107.5296320794</v>
      </c>
      <c r="AY38" s="101">
        <f>IFERROR(up_RadSpec!$E$2*(AY2/$B38),".")</f>
        <v>69107.5296320794</v>
      </c>
      <c r="AZ38" s="101">
        <f>IFERROR(up_RadSpec!$E$2*(AZ2/$B38),".")</f>
        <v>69107.5296320794</v>
      </c>
      <c r="BA38" s="100">
        <f t="shared" si="22"/>
        <v>3455376481.6039696</v>
      </c>
      <c r="BB38" s="100">
        <f t="shared" ref="BB38:BY38" si="34">IFERROR($B38/BB2,0)</f>
        <v>13821505926.415878</v>
      </c>
      <c r="BC38" s="100">
        <f t="shared" si="34"/>
        <v>13821505926.415878</v>
      </c>
      <c r="BD38" s="100">
        <f t="shared" si="34"/>
        <v>13821505926.415878</v>
      </c>
      <c r="BE38" s="100">
        <f t="shared" si="34"/>
        <v>13821505926.415878</v>
      </c>
      <c r="BF38" s="100">
        <f t="shared" si="34"/>
        <v>13821505926.415878</v>
      </c>
      <c r="BG38" s="100">
        <f t="shared" si="34"/>
        <v>13821505926.415878</v>
      </c>
      <c r="BH38" s="100">
        <f t="shared" si="34"/>
        <v>13821505926.415878</v>
      </c>
      <c r="BI38" s="100">
        <f t="shared" si="34"/>
        <v>13821505926.415878</v>
      </c>
      <c r="BJ38" s="100">
        <f t="shared" si="34"/>
        <v>13821505926.415878</v>
      </c>
      <c r="BK38" s="100">
        <f t="shared" si="34"/>
        <v>13821505926.415878</v>
      </c>
      <c r="BL38" s="100">
        <f t="shared" si="34"/>
        <v>13821505926.415878</v>
      </c>
      <c r="BM38" s="100">
        <f t="shared" si="34"/>
        <v>13821505926.415878</v>
      </c>
      <c r="BN38" s="100">
        <f t="shared" si="34"/>
        <v>13821505926.415878</v>
      </c>
      <c r="BO38" s="100">
        <f t="shared" si="34"/>
        <v>13821505926.415878</v>
      </c>
      <c r="BP38" s="100">
        <f t="shared" si="34"/>
        <v>13821505926.415878</v>
      </c>
      <c r="BQ38" s="100">
        <f t="shared" si="34"/>
        <v>13821505926.415878</v>
      </c>
      <c r="BR38" s="100">
        <f t="shared" si="34"/>
        <v>13821505926.415878</v>
      </c>
      <c r="BS38" s="100">
        <f t="shared" si="34"/>
        <v>13821505926.415878</v>
      </c>
      <c r="BT38" s="100">
        <f t="shared" si="34"/>
        <v>13821505926.415878</v>
      </c>
      <c r="BU38" s="100">
        <f t="shared" si="34"/>
        <v>13821505926.415878</v>
      </c>
      <c r="BV38" s="100">
        <f t="shared" si="34"/>
        <v>13821505926.415878</v>
      </c>
      <c r="BW38" s="100">
        <f t="shared" si="34"/>
        <v>13821505926.415878</v>
      </c>
      <c r="BX38" s="100">
        <f t="shared" si="34"/>
        <v>13821505926.415878</v>
      </c>
      <c r="BY38" s="100">
        <f t="shared" si="34"/>
        <v>13821505926.415878</v>
      </c>
      <c r="BZ38" s="49">
        <f t="shared" si="24"/>
        <v>276430.1185283176</v>
      </c>
      <c r="CA38" s="101">
        <f>IFERROR(up_RadSpec!$E$2*(CA2/$B38),".")</f>
        <v>69107.5296320794</v>
      </c>
      <c r="CB38" s="101">
        <f>IFERROR(up_RadSpec!$E$2*(CB2/$B38),".")</f>
        <v>69107.5296320794</v>
      </c>
      <c r="CC38" s="101">
        <f>IFERROR(up_RadSpec!$E$2*(CC2/$B38),".")</f>
        <v>69107.5296320794</v>
      </c>
      <c r="CD38" s="101">
        <f>IFERROR(up_RadSpec!$E$2*(CD2/$B38),".")</f>
        <v>69107.5296320794</v>
      </c>
      <c r="CE38" s="101">
        <f>IFERROR(up_RadSpec!$E$2*(CE2/$B38),".")</f>
        <v>69107.5296320794</v>
      </c>
      <c r="CF38" s="101">
        <f>IFERROR(up_RadSpec!$E$2*(CF2/$B38),".")</f>
        <v>69107.5296320794</v>
      </c>
      <c r="CG38" s="101">
        <f>IFERROR(up_RadSpec!$E$2*(CG2/$B38),".")</f>
        <v>69107.5296320794</v>
      </c>
      <c r="CH38" s="101">
        <f>IFERROR(up_RadSpec!$E$2*(CH2/$B38),".")</f>
        <v>69107.5296320794</v>
      </c>
      <c r="CI38" s="101">
        <f>IFERROR(up_RadSpec!$E$2*(CI2/$B38),".")</f>
        <v>69107.5296320794</v>
      </c>
      <c r="CJ38" s="101">
        <f>IFERROR(up_RadSpec!$E$2*(CJ2/$B38),".")</f>
        <v>69107.5296320794</v>
      </c>
      <c r="CK38" s="101">
        <f>IFERROR(up_RadSpec!$E$2*(CK2/$B38),".")</f>
        <v>69107.5296320794</v>
      </c>
      <c r="CL38" s="101">
        <f>IFERROR(up_RadSpec!$E$2*(CL2/$B38),".")</f>
        <v>69107.5296320794</v>
      </c>
      <c r="CM38" s="101">
        <f>IFERROR(up_RadSpec!$E$2*(CM2/$B38),".")</f>
        <v>69107.5296320794</v>
      </c>
      <c r="CN38" s="101">
        <f>IFERROR(up_RadSpec!$E$2*(CN2/$B38),".")</f>
        <v>69107.5296320794</v>
      </c>
      <c r="CO38" s="101">
        <f>IFERROR(up_RadSpec!$E$2*(CO2/$B38),".")</f>
        <v>69107.5296320794</v>
      </c>
      <c r="CP38" s="101">
        <f>IFERROR(up_RadSpec!$E$2*(CP2/$B38),".")</f>
        <v>69107.5296320794</v>
      </c>
      <c r="CQ38" s="101">
        <f>IFERROR(up_RadSpec!$E$2*(CQ2/$B38),".")</f>
        <v>69107.5296320794</v>
      </c>
      <c r="CR38" s="101">
        <f>IFERROR(up_RadSpec!$E$2*(CR2/$B38),".")</f>
        <v>69107.5296320794</v>
      </c>
      <c r="CS38" s="101">
        <f>IFERROR(up_RadSpec!$E$2*(CS2/$B38),".")</f>
        <v>69107.5296320794</v>
      </c>
      <c r="CT38" s="101">
        <f>IFERROR(up_RadSpec!$E$2*(CT2/$B38),".")</f>
        <v>69107.5296320794</v>
      </c>
      <c r="CU38" s="101">
        <f>IFERROR(up_RadSpec!$E$2*(CU2/$B38),".")</f>
        <v>69107.5296320794</v>
      </c>
      <c r="CV38" s="101">
        <f>IFERROR(up_RadSpec!$E$2*(CV2/$B38),".")</f>
        <v>69107.5296320794</v>
      </c>
      <c r="CW38" s="101">
        <f>IFERROR(up_RadSpec!$E$2*(CW2/$B38),".")</f>
        <v>69107.5296320794</v>
      </c>
      <c r="CX38" s="101">
        <f>IFERROR(up_RadSpec!$E$2*(CX2/$B38),".")</f>
        <v>69107.5296320794</v>
      </c>
    </row>
    <row r="39" spans="1:102" x14ac:dyDescent="0.25">
      <c r="A39" s="99" t="s">
        <v>1084</v>
      </c>
      <c r="B39" s="90">
        <v>1</v>
      </c>
      <c r="C39" s="100">
        <f t="shared" si="0"/>
        <v>3455376481.6039696</v>
      </c>
      <c r="D39" s="100">
        <f t="shared" ref="D39:AA39" si="35">IFERROR($B39/D11,0)</f>
        <v>13821505926.415878</v>
      </c>
      <c r="E39" s="100">
        <f t="shared" si="35"/>
        <v>13821505926.415878</v>
      </c>
      <c r="F39" s="100">
        <f t="shared" si="35"/>
        <v>13821505926.415878</v>
      </c>
      <c r="G39" s="100">
        <f t="shared" si="35"/>
        <v>13821505926.415878</v>
      </c>
      <c r="H39" s="100">
        <f t="shared" si="35"/>
        <v>13821505926.415878</v>
      </c>
      <c r="I39" s="100">
        <f t="shared" si="35"/>
        <v>13821505926.415878</v>
      </c>
      <c r="J39" s="100">
        <f t="shared" si="35"/>
        <v>13821505926.415878</v>
      </c>
      <c r="K39" s="100">
        <f t="shared" si="35"/>
        <v>13821505926.415878</v>
      </c>
      <c r="L39" s="100">
        <f t="shared" si="35"/>
        <v>13821505926.415878</v>
      </c>
      <c r="M39" s="100">
        <f t="shared" si="35"/>
        <v>13821505926.415878</v>
      </c>
      <c r="N39" s="100">
        <f t="shared" si="35"/>
        <v>13821505926.415878</v>
      </c>
      <c r="O39" s="100">
        <f t="shared" si="35"/>
        <v>13821505926.415878</v>
      </c>
      <c r="P39" s="100">
        <f t="shared" si="35"/>
        <v>13821505926.415878</v>
      </c>
      <c r="Q39" s="100">
        <f t="shared" si="35"/>
        <v>13821505926.415878</v>
      </c>
      <c r="R39" s="100">
        <f t="shared" si="35"/>
        <v>13821505926.415878</v>
      </c>
      <c r="S39" s="100">
        <f t="shared" si="35"/>
        <v>13821505926.415878</v>
      </c>
      <c r="T39" s="100">
        <f t="shared" si="35"/>
        <v>13821505926.415878</v>
      </c>
      <c r="U39" s="100">
        <f t="shared" si="35"/>
        <v>13821505926.415878</v>
      </c>
      <c r="V39" s="100">
        <f t="shared" si="35"/>
        <v>13821505926.415878</v>
      </c>
      <c r="W39" s="100">
        <f t="shared" si="35"/>
        <v>13821505926.415878</v>
      </c>
      <c r="X39" s="100">
        <f t="shared" si="35"/>
        <v>13821505926.415878</v>
      </c>
      <c r="Y39" s="100">
        <f t="shared" si="35"/>
        <v>13821505926.415878</v>
      </c>
      <c r="Z39" s="100">
        <f t="shared" si="35"/>
        <v>13821505926.415878</v>
      </c>
      <c r="AA39" s="100">
        <f t="shared" si="35"/>
        <v>13821505926.415878</v>
      </c>
      <c r="AB39" s="49">
        <f t="shared" si="21"/>
        <v>276430.1185283176</v>
      </c>
      <c r="AC39" s="101">
        <f>IFERROR(up_RadSpec!$E$11*(AC11/$B39),".")</f>
        <v>69107.5296320794</v>
      </c>
      <c r="AD39" s="101">
        <f>IFERROR(up_RadSpec!$E$11*(AD11/$B39),".")</f>
        <v>69107.5296320794</v>
      </c>
      <c r="AE39" s="101">
        <f>IFERROR(up_RadSpec!$E$11*(AE11/$B39),".")</f>
        <v>69107.5296320794</v>
      </c>
      <c r="AF39" s="101">
        <f>IFERROR(up_RadSpec!$E$11*(AF11/$B39),".")</f>
        <v>69107.5296320794</v>
      </c>
      <c r="AG39" s="101">
        <f>IFERROR(up_RadSpec!$E$11*(AG11/$B39),".")</f>
        <v>69107.5296320794</v>
      </c>
      <c r="AH39" s="101">
        <f>IFERROR(up_RadSpec!$E$11*(AH11/$B39),".")</f>
        <v>69107.5296320794</v>
      </c>
      <c r="AI39" s="101">
        <f>IFERROR(up_RadSpec!$E$11*(AI11/$B39),".")</f>
        <v>69107.5296320794</v>
      </c>
      <c r="AJ39" s="101">
        <f>IFERROR(up_RadSpec!$E$11*(AJ11/$B39),".")</f>
        <v>69107.5296320794</v>
      </c>
      <c r="AK39" s="101">
        <f>IFERROR(up_RadSpec!$E$11*(AK11/$B39),".")</f>
        <v>69107.5296320794</v>
      </c>
      <c r="AL39" s="101">
        <f>IFERROR(up_RadSpec!$E$11*(AL11/$B39),".")</f>
        <v>69107.5296320794</v>
      </c>
      <c r="AM39" s="101">
        <f>IFERROR(up_RadSpec!$E$11*(AM11/$B39),".")</f>
        <v>69107.5296320794</v>
      </c>
      <c r="AN39" s="101">
        <f>IFERROR(up_RadSpec!$E$11*(AN11/$B39),".")</f>
        <v>69107.5296320794</v>
      </c>
      <c r="AO39" s="101">
        <f>IFERROR(up_RadSpec!$E$11*(AO11/$B39),".")</f>
        <v>69107.5296320794</v>
      </c>
      <c r="AP39" s="101">
        <f>IFERROR(up_RadSpec!$E$11*(AP11/$B39),".")</f>
        <v>69107.5296320794</v>
      </c>
      <c r="AQ39" s="101">
        <f>IFERROR(up_RadSpec!$E$11*(AQ11/$B39),".")</f>
        <v>69107.5296320794</v>
      </c>
      <c r="AR39" s="101">
        <f>IFERROR(up_RadSpec!$E$11*(AR11/$B39),".")</f>
        <v>69107.5296320794</v>
      </c>
      <c r="AS39" s="101">
        <f>IFERROR(up_RadSpec!$E$11*(AS11/$B39),".")</f>
        <v>69107.5296320794</v>
      </c>
      <c r="AT39" s="101">
        <f>IFERROR(up_RadSpec!$E$11*(AT11/$B39),".")</f>
        <v>69107.5296320794</v>
      </c>
      <c r="AU39" s="101">
        <f>IFERROR(up_RadSpec!$E$11*(AU11/$B39),".")</f>
        <v>69107.5296320794</v>
      </c>
      <c r="AV39" s="101">
        <f>IFERROR(up_RadSpec!$E$11*(AV11/$B39),".")</f>
        <v>69107.5296320794</v>
      </c>
      <c r="AW39" s="101">
        <f>IFERROR(up_RadSpec!$E$11*(AW11/$B39),".")</f>
        <v>69107.5296320794</v>
      </c>
      <c r="AX39" s="101">
        <f>IFERROR(up_RadSpec!$E$11*(AX11/$B39),".")</f>
        <v>69107.5296320794</v>
      </c>
      <c r="AY39" s="101">
        <f>IFERROR(up_RadSpec!$E$11*(AY11/$B39),".")</f>
        <v>69107.5296320794</v>
      </c>
      <c r="AZ39" s="101">
        <f>IFERROR(up_RadSpec!$E$11*(AZ11/$B39),".")</f>
        <v>69107.5296320794</v>
      </c>
      <c r="BA39" s="100">
        <f t="shared" si="22"/>
        <v>3455376481.6039696</v>
      </c>
      <c r="BB39" s="100">
        <f t="shared" ref="BB39:BY39" si="36">IFERROR($B39/BB11,0)</f>
        <v>13821505926.415878</v>
      </c>
      <c r="BC39" s="100">
        <f t="shared" si="36"/>
        <v>13821505926.415878</v>
      </c>
      <c r="BD39" s="100">
        <f t="shared" si="36"/>
        <v>13821505926.415878</v>
      </c>
      <c r="BE39" s="100">
        <f t="shared" si="36"/>
        <v>13821505926.415878</v>
      </c>
      <c r="BF39" s="100">
        <f t="shared" si="36"/>
        <v>13821505926.415878</v>
      </c>
      <c r="BG39" s="100">
        <f t="shared" si="36"/>
        <v>13821505926.415878</v>
      </c>
      <c r="BH39" s="100">
        <f t="shared" si="36"/>
        <v>13821505926.415878</v>
      </c>
      <c r="BI39" s="100">
        <f t="shared" si="36"/>
        <v>13821505926.415878</v>
      </c>
      <c r="BJ39" s="100">
        <f t="shared" si="36"/>
        <v>13821505926.415878</v>
      </c>
      <c r="BK39" s="100">
        <f t="shared" si="36"/>
        <v>13821505926.415878</v>
      </c>
      <c r="BL39" s="100">
        <f t="shared" si="36"/>
        <v>13821505926.415878</v>
      </c>
      <c r="BM39" s="100">
        <f t="shared" si="36"/>
        <v>13821505926.415878</v>
      </c>
      <c r="BN39" s="100">
        <f t="shared" si="36"/>
        <v>13821505926.415878</v>
      </c>
      <c r="BO39" s="100">
        <f t="shared" si="36"/>
        <v>13821505926.415878</v>
      </c>
      <c r="BP39" s="100">
        <f t="shared" si="36"/>
        <v>13821505926.415878</v>
      </c>
      <c r="BQ39" s="100">
        <f t="shared" si="36"/>
        <v>13821505926.415878</v>
      </c>
      <c r="BR39" s="100">
        <f t="shared" si="36"/>
        <v>13821505926.415878</v>
      </c>
      <c r="BS39" s="100">
        <f t="shared" si="36"/>
        <v>13821505926.415878</v>
      </c>
      <c r="BT39" s="100">
        <f t="shared" si="36"/>
        <v>13821505926.415878</v>
      </c>
      <c r="BU39" s="100">
        <f t="shared" si="36"/>
        <v>13821505926.415878</v>
      </c>
      <c r="BV39" s="100">
        <f t="shared" si="36"/>
        <v>13821505926.415878</v>
      </c>
      <c r="BW39" s="100">
        <f t="shared" si="36"/>
        <v>13821505926.415878</v>
      </c>
      <c r="BX39" s="100">
        <f t="shared" si="36"/>
        <v>13821505926.415878</v>
      </c>
      <c r="BY39" s="100">
        <f t="shared" si="36"/>
        <v>13821505926.415878</v>
      </c>
      <c r="BZ39" s="49">
        <f t="shared" si="24"/>
        <v>276430.1185283176</v>
      </c>
      <c r="CA39" s="101">
        <f>IFERROR(up_RadSpec!$E$11*(CA11/$B39),".")</f>
        <v>69107.5296320794</v>
      </c>
      <c r="CB39" s="101">
        <f>IFERROR(up_RadSpec!$E$11*(CB11/$B39),".")</f>
        <v>69107.5296320794</v>
      </c>
      <c r="CC39" s="101">
        <f>IFERROR(up_RadSpec!$E$11*(CC11/$B39),".")</f>
        <v>69107.5296320794</v>
      </c>
      <c r="CD39" s="101">
        <f>IFERROR(up_RadSpec!$E$11*(CD11/$B39),".")</f>
        <v>69107.5296320794</v>
      </c>
      <c r="CE39" s="101">
        <f>IFERROR(up_RadSpec!$E$11*(CE11/$B39),".")</f>
        <v>69107.5296320794</v>
      </c>
      <c r="CF39" s="101">
        <f>IFERROR(up_RadSpec!$E$11*(CF11/$B39),".")</f>
        <v>69107.5296320794</v>
      </c>
      <c r="CG39" s="101">
        <f>IFERROR(up_RadSpec!$E$11*(CG11/$B39),".")</f>
        <v>69107.5296320794</v>
      </c>
      <c r="CH39" s="101">
        <f>IFERROR(up_RadSpec!$E$11*(CH11/$B39),".")</f>
        <v>69107.5296320794</v>
      </c>
      <c r="CI39" s="101">
        <f>IFERROR(up_RadSpec!$E$11*(CI11/$B39),".")</f>
        <v>69107.5296320794</v>
      </c>
      <c r="CJ39" s="101">
        <f>IFERROR(up_RadSpec!$E$11*(CJ11/$B39),".")</f>
        <v>69107.5296320794</v>
      </c>
      <c r="CK39" s="101">
        <f>IFERROR(up_RadSpec!$E$11*(CK11/$B39),".")</f>
        <v>69107.5296320794</v>
      </c>
      <c r="CL39" s="101">
        <f>IFERROR(up_RadSpec!$E$11*(CL11/$B39),".")</f>
        <v>69107.5296320794</v>
      </c>
      <c r="CM39" s="101">
        <f>IFERROR(up_RadSpec!$E$11*(CM11/$B39),".")</f>
        <v>69107.5296320794</v>
      </c>
      <c r="CN39" s="101">
        <f>IFERROR(up_RadSpec!$E$11*(CN11/$B39),".")</f>
        <v>69107.5296320794</v>
      </c>
      <c r="CO39" s="101">
        <f>IFERROR(up_RadSpec!$E$11*(CO11/$B39),".")</f>
        <v>69107.5296320794</v>
      </c>
      <c r="CP39" s="101">
        <f>IFERROR(up_RadSpec!$E$11*(CP11/$B39),".")</f>
        <v>69107.5296320794</v>
      </c>
      <c r="CQ39" s="101">
        <f>IFERROR(up_RadSpec!$E$11*(CQ11/$B39),".")</f>
        <v>69107.5296320794</v>
      </c>
      <c r="CR39" s="101">
        <f>IFERROR(up_RadSpec!$E$11*(CR11/$B39),".")</f>
        <v>69107.5296320794</v>
      </c>
      <c r="CS39" s="101">
        <f>IFERROR(up_RadSpec!$E$11*(CS11/$B39),".")</f>
        <v>69107.5296320794</v>
      </c>
      <c r="CT39" s="101">
        <f>IFERROR(up_RadSpec!$E$11*(CT11/$B39),".")</f>
        <v>69107.5296320794</v>
      </c>
      <c r="CU39" s="101">
        <f>IFERROR(up_RadSpec!$E$11*(CU11/$B39),".")</f>
        <v>69107.5296320794</v>
      </c>
      <c r="CV39" s="101">
        <f>IFERROR(up_RadSpec!$E$11*(CV11/$B39),".")</f>
        <v>69107.5296320794</v>
      </c>
      <c r="CW39" s="101">
        <f>IFERROR(up_RadSpec!$E$11*(CW11/$B39),".")</f>
        <v>69107.5296320794</v>
      </c>
      <c r="CX39" s="101">
        <f>IFERROR(up_RadSpec!$E$11*(CX11/$B39),".")</f>
        <v>69107.5296320794</v>
      </c>
    </row>
    <row r="40" spans="1:102" x14ac:dyDescent="0.25">
      <c r="A40" s="99" t="s">
        <v>1085</v>
      </c>
      <c r="B40" s="90">
        <v>1</v>
      </c>
      <c r="C40" s="100">
        <f t="shared" si="0"/>
        <v>3455376481.6039696</v>
      </c>
      <c r="D40" s="100">
        <f t="shared" ref="D40:AA40" si="37">IFERROR($B40/D4,0)</f>
        <v>13821505926.415878</v>
      </c>
      <c r="E40" s="100">
        <f t="shared" si="37"/>
        <v>13821505926.415878</v>
      </c>
      <c r="F40" s="100">
        <f t="shared" si="37"/>
        <v>13821505926.415878</v>
      </c>
      <c r="G40" s="100">
        <f t="shared" si="37"/>
        <v>13821505926.415878</v>
      </c>
      <c r="H40" s="100">
        <f t="shared" si="37"/>
        <v>13821505926.415878</v>
      </c>
      <c r="I40" s="100">
        <f t="shared" si="37"/>
        <v>13821505926.415878</v>
      </c>
      <c r="J40" s="100">
        <f t="shared" si="37"/>
        <v>13821505926.415878</v>
      </c>
      <c r="K40" s="100">
        <f t="shared" si="37"/>
        <v>13821505926.415878</v>
      </c>
      <c r="L40" s="100">
        <f t="shared" si="37"/>
        <v>13821505926.415878</v>
      </c>
      <c r="M40" s="100">
        <f t="shared" si="37"/>
        <v>13821505926.415878</v>
      </c>
      <c r="N40" s="100">
        <f t="shared" si="37"/>
        <v>13821505926.415878</v>
      </c>
      <c r="O40" s="100">
        <f t="shared" si="37"/>
        <v>13821505926.415878</v>
      </c>
      <c r="P40" s="100">
        <f t="shared" si="37"/>
        <v>13821505926.415878</v>
      </c>
      <c r="Q40" s="100">
        <f t="shared" si="37"/>
        <v>13821505926.415878</v>
      </c>
      <c r="R40" s="100">
        <f t="shared" si="37"/>
        <v>13821505926.415878</v>
      </c>
      <c r="S40" s="100">
        <f t="shared" si="37"/>
        <v>13821505926.415878</v>
      </c>
      <c r="T40" s="100">
        <f t="shared" si="37"/>
        <v>13821505926.415878</v>
      </c>
      <c r="U40" s="100">
        <f t="shared" si="37"/>
        <v>13821505926.415878</v>
      </c>
      <c r="V40" s="100">
        <f t="shared" si="37"/>
        <v>13821505926.415878</v>
      </c>
      <c r="W40" s="100">
        <f t="shared" si="37"/>
        <v>13821505926.415878</v>
      </c>
      <c r="X40" s="100">
        <f t="shared" si="37"/>
        <v>13821505926.415878</v>
      </c>
      <c r="Y40" s="100">
        <f t="shared" si="37"/>
        <v>13821505926.415878</v>
      </c>
      <c r="Z40" s="100">
        <f t="shared" si="37"/>
        <v>13821505926.415878</v>
      </c>
      <c r="AA40" s="100">
        <f t="shared" si="37"/>
        <v>13821505926.415878</v>
      </c>
      <c r="AB40" s="49">
        <f t="shared" si="21"/>
        <v>276430.1185283176</v>
      </c>
      <c r="AC40" s="101">
        <f>IFERROR(up_RadSpec!$E$4*(AC4/$B40),".")</f>
        <v>69107.5296320794</v>
      </c>
      <c r="AD40" s="101">
        <f>IFERROR(up_RadSpec!$E$4*(AD4/$B40),".")</f>
        <v>69107.5296320794</v>
      </c>
      <c r="AE40" s="101">
        <f>IFERROR(up_RadSpec!$E$4*(AE4/$B40),".")</f>
        <v>69107.5296320794</v>
      </c>
      <c r="AF40" s="101">
        <f>IFERROR(up_RadSpec!$E$4*(AF4/$B40),".")</f>
        <v>69107.5296320794</v>
      </c>
      <c r="AG40" s="101">
        <f>IFERROR(up_RadSpec!$E$4*(AG4/$B40),".")</f>
        <v>69107.5296320794</v>
      </c>
      <c r="AH40" s="101">
        <f>IFERROR(up_RadSpec!$E$4*(AH4/$B40),".")</f>
        <v>69107.5296320794</v>
      </c>
      <c r="AI40" s="101">
        <f>IFERROR(up_RadSpec!$E$4*(AI4/$B40),".")</f>
        <v>69107.5296320794</v>
      </c>
      <c r="AJ40" s="101">
        <f>IFERROR(up_RadSpec!$E$4*(AJ4/$B40),".")</f>
        <v>69107.5296320794</v>
      </c>
      <c r="AK40" s="101">
        <f>IFERROR(up_RadSpec!$E$4*(AK4/$B40),".")</f>
        <v>69107.5296320794</v>
      </c>
      <c r="AL40" s="101">
        <f>IFERROR(up_RadSpec!$E$4*(AL4/$B40),".")</f>
        <v>69107.5296320794</v>
      </c>
      <c r="AM40" s="101">
        <f>IFERROR(up_RadSpec!$E$4*(AM4/$B40),".")</f>
        <v>69107.5296320794</v>
      </c>
      <c r="AN40" s="101">
        <f>IFERROR(up_RadSpec!$E$4*(AN4/$B40),".")</f>
        <v>69107.5296320794</v>
      </c>
      <c r="AO40" s="101">
        <f>IFERROR(up_RadSpec!$E$4*(AO4/$B40),".")</f>
        <v>69107.5296320794</v>
      </c>
      <c r="AP40" s="101">
        <f>IFERROR(up_RadSpec!$E$4*(AP4/$B40),".")</f>
        <v>69107.5296320794</v>
      </c>
      <c r="AQ40" s="101">
        <f>IFERROR(up_RadSpec!$E$4*(AQ4/$B40),".")</f>
        <v>69107.5296320794</v>
      </c>
      <c r="AR40" s="101">
        <f>IFERROR(up_RadSpec!$E$4*(AR4/$B40),".")</f>
        <v>69107.5296320794</v>
      </c>
      <c r="AS40" s="101">
        <f>IFERROR(up_RadSpec!$E$4*(AS4/$B40),".")</f>
        <v>69107.5296320794</v>
      </c>
      <c r="AT40" s="101">
        <f>IFERROR(up_RadSpec!$E$4*(AT4/$B40),".")</f>
        <v>69107.5296320794</v>
      </c>
      <c r="AU40" s="101">
        <f>IFERROR(up_RadSpec!$E$4*(AU4/$B40),".")</f>
        <v>69107.5296320794</v>
      </c>
      <c r="AV40" s="101">
        <f>IFERROR(up_RadSpec!$E$4*(AV4/$B40),".")</f>
        <v>69107.5296320794</v>
      </c>
      <c r="AW40" s="101">
        <f>IFERROR(up_RadSpec!$E$4*(AW4/$B40),".")</f>
        <v>69107.5296320794</v>
      </c>
      <c r="AX40" s="101">
        <f>IFERROR(up_RadSpec!$E$4*(AX4/$B40),".")</f>
        <v>69107.5296320794</v>
      </c>
      <c r="AY40" s="101">
        <f>IFERROR(up_RadSpec!$E$4*(AY4/$B40),".")</f>
        <v>69107.5296320794</v>
      </c>
      <c r="AZ40" s="101">
        <f>IFERROR(up_RadSpec!$E$4*(AZ4/$B40),".")</f>
        <v>69107.5296320794</v>
      </c>
      <c r="BA40" s="100">
        <f t="shared" si="22"/>
        <v>3455376481.6039696</v>
      </c>
      <c r="BB40" s="100">
        <f t="shared" ref="BB40:BY40" si="38">IFERROR($B40/BB4,0)</f>
        <v>13821505926.415878</v>
      </c>
      <c r="BC40" s="100">
        <f t="shared" si="38"/>
        <v>13821505926.415878</v>
      </c>
      <c r="BD40" s="100">
        <f t="shared" si="38"/>
        <v>13821505926.415878</v>
      </c>
      <c r="BE40" s="100">
        <f t="shared" si="38"/>
        <v>13821505926.415878</v>
      </c>
      <c r="BF40" s="100">
        <f t="shared" si="38"/>
        <v>13821505926.415878</v>
      </c>
      <c r="BG40" s="100">
        <f t="shared" si="38"/>
        <v>13821505926.415878</v>
      </c>
      <c r="BH40" s="100">
        <f t="shared" si="38"/>
        <v>13821505926.415878</v>
      </c>
      <c r="BI40" s="100">
        <f t="shared" si="38"/>
        <v>13821505926.415878</v>
      </c>
      <c r="BJ40" s="100">
        <f t="shared" si="38"/>
        <v>13821505926.415878</v>
      </c>
      <c r="BK40" s="100">
        <f t="shared" si="38"/>
        <v>13821505926.415878</v>
      </c>
      <c r="BL40" s="100">
        <f t="shared" si="38"/>
        <v>13821505926.415878</v>
      </c>
      <c r="BM40" s="100">
        <f t="shared" si="38"/>
        <v>13821505926.415878</v>
      </c>
      <c r="BN40" s="100">
        <f t="shared" si="38"/>
        <v>13821505926.415878</v>
      </c>
      <c r="BO40" s="100">
        <f t="shared" si="38"/>
        <v>13821505926.415878</v>
      </c>
      <c r="BP40" s="100">
        <f t="shared" si="38"/>
        <v>13821505926.415878</v>
      </c>
      <c r="BQ40" s="100">
        <f t="shared" si="38"/>
        <v>13821505926.415878</v>
      </c>
      <c r="BR40" s="100">
        <f t="shared" si="38"/>
        <v>13821505926.415878</v>
      </c>
      <c r="BS40" s="100">
        <f t="shared" si="38"/>
        <v>13821505926.415878</v>
      </c>
      <c r="BT40" s="100">
        <f t="shared" si="38"/>
        <v>13821505926.415878</v>
      </c>
      <c r="BU40" s="100">
        <f t="shared" si="38"/>
        <v>13821505926.415878</v>
      </c>
      <c r="BV40" s="100">
        <f t="shared" si="38"/>
        <v>13821505926.415878</v>
      </c>
      <c r="BW40" s="100">
        <f t="shared" si="38"/>
        <v>13821505926.415878</v>
      </c>
      <c r="BX40" s="100">
        <f t="shared" si="38"/>
        <v>13821505926.415878</v>
      </c>
      <c r="BY40" s="100">
        <f t="shared" si="38"/>
        <v>13821505926.415878</v>
      </c>
      <c r="BZ40" s="49">
        <f t="shared" si="24"/>
        <v>276430.1185283176</v>
      </c>
      <c r="CA40" s="101">
        <f>IFERROR(up_RadSpec!$E$4*(CA4/$B40),".")</f>
        <v>69107.5296320794</v>
      </c>
      <c r="CB40" s="101">
        <f>IFERROR(up_RadSpec!$E$4*(CB4/$B40),".")</f>
        <v>69107.5296320794</v>
      </c>
      <c r="CC40" s="101">
        <f>IFERROR(up_RadSpec!$E$4*(CC4/$B40),".")</f>
        <v>69107.5296320794</v>
      </c>
      <c r="CD40" s="101">
        <f>IFERROR(up_RadSpec!$E$4*(CD4/$B40),".")</f>
        <v>69107.5296320794</v>
      </c>
      <c r="CE40" s="101">
        <f>IFERROR(up_RadSpec!$E$4*(CE4/$B40),".")</f>
        <v>69107.5296320794</v>
      </c>
      <c r="CF40" s="101">
        <f>IFERROR(up_RadSpec!$E$4*(CF4/$B40),".")</f>
        <v>69107.5296320794</v>
      </c>
      <c r="CG40" s="101">
        <f>IFERROR(up_RadSpec!$E$4*(CG4/$B40),".")</f>
        <v>69107.5296320794</v>
      </c>
      <c r="CH40" s="101">
        <f>IFERROR(up_RadSpec!$E$4*(CH4/$B40),".")</f>
        <v>69107.5296320794</v>
      </c>
      <c r="CI40" s="101">
        <f>IFERROR(up_RadSpec!$E$4*(CI4/$B40),".")</f>
        <v>69107.5296320794</v>
      </c>
      <c r="CJ40" s="101">
        <f>IFERROR(up_RadSpec!$E$4*(CJ4/$B40),".")</f>
        <v>69107.5296320794</v>
      </c>
      <c r="CK40" s="101">
        <f>IFERROR(up_RadSpec!$E$4*(CK4/$B40),".")</f>
        <v>69107.5296320794</v>
      </c>
      <c r="CL40" s="101">
        <f>IFERROR(up_RadSpec!$E$4*(CL4/$B40),".")</f>
        <v>69107.5296320794</v>
      </c>
      <c r="CM40" s="101">
        <f>IFERROR(up_RadSpec!$E$4*(CM4/$B40),".")</f>
        <v>69107.5296320794</v>
      </c>
      <c r="CN40" s="101">
        <f>IFERROR(up_RadSpec!$E$4*(CN4/$B40),".")</f>
        <v>69107.5296320794</v>
      </c>
      <c r="CO40" s="101">
        <f>IFERROR(up_RadSpec!$E$4*(CO4/$B40),".")</f>
        <v>69107.5296320794</v>
      </c>
      <c r="CP40" s="101">
        <f>IFERROR(up_RadSpec!$E$4*(CP4/$B40),".")</f>
        <v>69107.5296320794</v>
      </c>
      <c r="CQ40" s="101">
        <f>IFERROR(up_RadSpec!$E$4*(CQ4/$B40),".")</f>
        <v>69107.5296320794</v>
      </c>
      <c r="CR40" s="101">
        <f>IFERROR(up_RadSpec!$E$4*(CR4/$B40),".")</f>
        <v>69107.5296320794</v>
      </c>
      <c r="CS40" s="101">
        <f>IFERROR(up_RadSpec!$E$4*(CS4/$B40),".")</f>
        <v>69107.5296320794</v>
      </c>
      <c r="CT40" s="101">
        <f>IFERROR(up_RadSpec!$E$4*(CT4/$B40),".")</f>
        <v>69107.5296320794</v>
      </c>
      <c r="CU40" s="101">
        <f>IFERROR(up_RadSpec!$E$4*(CU4/$B40),".")</f>
        <v>69107.5296320794</v>
      </c>
      <c r="CV40" s="101">
        <f>IFERROR(up_RadSpec!$E$4*(CV4/$B40),".")</f>
        <v>69107.5296320794</v>
      </c>
      <c r="CW40" s="101">
        <f>IFERROR(up_RadSpec!$E$4*(CW4/$B40),".")</f>
        <v>69107.5296320794</v>
      </c>
      <c r="CX40" s="101">
        <f>IFERROR(up_RadSpec!$E$4*(CX4/$B40),".")</f>
        <v>69107.5296320794</v>
      </c>
    </row>
    <row r="41" spans="1:102" x14ac:dyDescent="0.25">
      <c r="A41" s="99" t="s">
        <v>1086</v>
      </c>
      <c r="B41" s="102">
        <v>0.99987999999999999</v>
      </c>
      <c r="C41" s="100">
        <f t="shared" si="0"/>
        <v>3454961836.4261765</v>
      </c>
      <c r="D41" s="100">
        <f t="shared" ref="D41:AA41" si="39">IFERROR($B41/D8,0)</f>
        <v>13819847345.704708</v>
      </c>
      <c r="E41" s="100">
        <f t="shared" si="39"/>
        <v>13819847345.704708</v>
      </c>
      <c r="F41" s="100">
        <f t="shared" si="39"/>
        <v>13819847345.704708</v>
      </c>
      <c r="G41" s="100">
        <f t="shared" si="39"/>
        <v>13819847345.704708</v>
      </c>
      <c r="H41" s="100">
        <f t="shared" si="39"/>
        <v>13819847345.704708</v>
      </c>
      <c r="I41" s="100">
        <f t="shared" si="39"/>
        <v>13819847345.704708</v>
      </c>
      <c r="J41" s="100">
        <f t="shared" si="39"/>
        <v>13819847345.704708</v>
      </c>
      <c r="K41" s="100">
        <f t="shared" si="39"/>
        <v>13819847345.704708</v>
      </c>
      <c r="L41" s="100">
        <f t="shared" si="39"/>
        <v>13819847345.704708</v>
      </c>
      <c r="M41" s="100">
        <f t="shared" si="39"/>
        <v>13819847345.704708</v>
      </c>
      <c r="N41" s="100">
        <f t="shared" si="39"/>
        <v>13819847345.704708</v>
      </c>
      <c r="O41" s="100">
        <f t="shared" si="39"/>
        <v>13819847345.704708</v>
      </c>
      <c r="P41" s="100">
        <f t="shared" si="39"/>
        <v>13819847345.704708</v>
      </c>
      <c r="Q41" s="100">
        <f t="shared" si="39"/>
        <v>13819847345.704708</v>
      </c>
      <c r="R41" s="100">
        <f t="shared" si="39"/>
        <v>13819847345.704708</v>
      </c>
      <c r="S41" s="100">
        <f t="shared" si="39"/>
        <v>13819847345.704708</v>
      </c>
      <c r="T41" s="100">
        <f t="shared" si="39"/>
        <v>13819847345.704708</v>
      </c>
      <c r="U41" s="100">
        <f t="shared" si="39"/>
        <v>13819847345.704708</v>
      </c>
      <c r="V41" s="100">
        <f t="shared" si="39"/>
        <v>13819847345.704708</v>
      </c>
      <c r="W41" s="100">
        <f t="shared" si="39"/>
        <v>13819847345.704708</v>
      </c>
      <c r="X41" s="100">
        <f t="shared" si="39"/>
        <v>13819847345.704708</v>
      </c>
      <c r="Y41" s="100">
        <f t="shared" si="39"/>
        <v>13819847345.704708</v>
      </c>
      <c r="Z41" s="100">
        <f t="shared" si="39"/>
        <v>13819847345.704708</v>
      </c>
      <c r="AA41" s="100">
        <f t="shared" si="39"/>
        <v>13819847345.704708</v>
      </c>
      <c r="AB41" s="49">
        <f t="shared" si="21"/>
        <v>276463.29412361246</v>
      </c>
      <c r="AC41" s="101">
        <f>IFERROR(up_RadSpec!$E$8*(AC8/$B41),".")</f>
        <v>69115.823530903115</v>
      </c>
      <c r="AD41" s="101">
        <f>IFERROR(up_RadSpec!$E$8*(AD8/$B41),".")</f>
        <v>69115.823530903115</v>
      </c>
      <c r="AE41" s="101">
        <f>IFERROR(up_RadSpec!$E$8*(AE8/$B41),".")</f>
        <v>69115.823530903115</v>
      </c>
      <c r="AF41" s="101">
        <f>IFERROR(up_RadSpec!$E$8*(AF8/$B41),".")</f>
        <v>69115.823530903115</v>
      </c>
      <c r="AG41" s="101">
        <f>IFERROR(up_RadSpec!$E$8*(AG8/$B41),".")</f>
        <v>69115.823530903115</v>
      </c>
      <c r="AH41" s="101">
        <f>IFERROR(up_RadSpec!$E$8*(AH8/$B41),".")</f>
        <v>69115.823530903115</v>
      </c>
      <c r="AI41" s="101">
        <f>IFERROR(up_RadSpec!$E$8*(AI8/$B41),".")</f>
        <v>69115.823530903115</v>
      </c>
      <c r="AJ41" s="101">
        <f>IFERROR(up_RadSpec!$E$8*(AJ8/$B41),".")</f>
        <v>69115.823530903115</v>
      </c>
      <c r="AK41" s="101">
        <f>IFERROR(up_RadSpec!$E$8*(AK8/$B41),".")</f>
        <v>69115.823530903115</v>
      </c>
      <c r="AL41" s="101">
        <f>IFERROR(up_RadSpec!$E$8*(AL8/$B41),".")</f>
        <v>69115.823530903115</v>
      </c>
      <c r="AM41" s="101">
        <f>IFERROR(up_RadSpec!$E$8*(AM8/$B41),".")</f>
        <v>69115.823530903115</v>
      </c>
      <c r="AN41" s="101">
        <f>IFERROR(up_RadSpec!$E$8*(AN8/$B41),".")</f>
        <v>69115.823530903115</v>
      </c>
      <c r="AO41" s="101">
        <f>IFERROR(up_RadSpec!$E$8*(AO8/$B41),".")</f>
        <v>69115.823530903115</v>
      </c>
      <c r="AP41" s="101">
        <f>IFERROR(up_RadSpec!$E$8*(AP8/$B41),".")</f>
        <v>69115.823530903115</v>
      </c>
      <c r="AQ41" s="101">
        <f>IFERROR(up_RadSpec!$E$8*(AQ8/$B41),".")</f>
        <v>69115.823530903115</v>
      </c>
      <c r="AR41" s="101">
        <f>IFERROR(up_RadSpec!$E$8*(AR8/$B41),".")</f>
        <v>69115.823530903115</v>
      </c>
      <c r="AS41" s="101">
        <f>IFERROR(up_RadSpec!$E$8*(AS8/$B41),".")</f>
        <v>69115.823530903115</v>
      </c>
      <c r="AT41" s="101">
        <f>IFERROR(up_RadSpec!$E$8*(AT8/$B41),".")</f>
        <v>69115.823530903115</v>
      </c>
      <c r="AU41" s="101">
        <f>IFERROR(up_RadSpec!$E$8*(AU8/$B41),".")</f>
        <v>69115.823530903115</v>
      </c>
      <c r="AV41" s="101">
        <f>IFERROR(up_RadSpec!$E$8*(AV8/$B41),".")</f>
        <v>69115.823530903115</v>
      </c>
      <c r="AW41" s="101">
        <f>IFERROR(up_RadSpec!$E$8*(AW8/$B41),".")</f>
        <v>69115.823530903115</v>
      </c>
      <c r="AX41" s="101">
        <f>IFERROR(up_RadSpec!$E$8*(AX8/$B41),".")</f>
        <v>69115.823530903115</v>
      </c>
      <c r="AY41" s="101">
        <f>IFERROR(up_RadSpec!$E$8*(AY8/$B41),".")</f>
        <v>69115.823530903115</v>
      </c>
      <c r="AZ41" s="101">
        <f>IFERROR(up_RadSpec!$E$8*(AZ8/$B41),".")</f>
        <v>69115.823530903115</v>
      </c>
      <c r="BA41" s="100">
        <f t="shared" si="22"/>
        <v>3454961836.4261765</v>
      </c>
      <c r="BB41" s="100">
        <f t="shared" ref="BB41:BY41" si="40">IFERROR($B41/BB8,0)</f>
        <v>13819847345.704708</v>
      </c>
      <c r="BC41" s="100">
        <f t="shared" si="40"/>
        <v>13819847345.704708</v>
      </c>
      <c r="BD41" s="100">
        <f t="shared" si="40"/>
        <v>13819847345.704708</v>
      </c>
      <c r="BE41" s="100">
        <f t="shared" si="40"/>
        <v>13819847345.704708</v>
      </c>
      <c r="BF41" s="100">
        <f t="shared" si="40"/>
        <v>13819847345.704708</v>
      </c>
      <c r="BG41" s="100">
        <f t="shared" si="40"/>
        <v>13819847345.704708</v>
      </c>
      <c r="BH41" s="100">
        <f t="shared" si="40"/>
        <v>13819847345.704708</v>
      </c>
      <c r="BI41" s="100">
        <f t="shared" si="40"/>
        <v>13819847345.704708</v>
      </c>
      <c r="BJ41" s="100">
        <f t="shared" si="40"/>
        <v>13819847345.704708</v>
      </c>
      <c r="BK41" s="100">
        <f t="shared" si="40"/>
        <v>13819847345.704708</v>
      </c>
      <c r="BL41" s="100">
        <f t="shared" si="40"/>
        <v>13819847345.704708</v>
      </c>
      <c r="BM41" s="100">
        <f t="shared" si="40"/>
        <v>13819847345.704708</v>
      </c>
      <c r="BN41" s="100">
        <f t="shared" si="40"/>
        <v>13819847345.704708</v>
      </c>
      <c r="BO41" s="100">
        <f t="shared" si="40"/>
        <v>13819847345.704708</v>
      </c>
      <c r="BP41" s="100">
        <f t="shared" si="40"/>
        <v>13819847345.704708</v>
      </c>
      <c r="BQ41" s="100">
        <f t="shared" si="40"/>
        <v>13819847345.704708</v>
      </c>
      <c r="BR41" s="100">
        <f t="shared" si="40"/>
        <v>13819847345.704708</v>
      </c>
      <c r="BS41" s="100">
        <f t="shared" si="40"/>
        <v>13819847345.704708</v>
      </c>
      <c r="BT41" s="100">
        <f t="shared" si="40"/>
        <v>13819847345.704708</v>
      </c>
      <c r="BU41" s="100">
        <f t="shared" si="40"/>
        <v>13819847345.704708</v>
      </c>
      <c r="BV41" s="100">
        <f t="shared" si="40"/>
        <v>13819847345.704708</v>
      </c>
      <c r="BW41" s="100">
        <f t="shared" si="40"/>
        <v>13819847345.704708</v>
      </c>
      <c r="BX41" s="100">
        <f t="shared" si="40"/>
        <v>13819847345.704708</v>
      </c>
      <c r="BY41" s="100">
        <f t="shared" si="40"/>
        <v>13819847345.704708</v>
      </c>
      <c r="BZ41" s="49">
        <f t="shared" si="24"/>
        <v>276463.29412361246</v>
      </c>
      <c r="CA41" s="101">
        <f>IFERROR(up_RadSpec!$E$8*(CA8/$B41),".")</f>
        <v>69115.823530903115</v>
      </c>
      <c r="CB41" s="101">
        <f>IFERROR(up_RadSpec!$E$8*(CB8/$B41),".")</f>
        <v>69115.823530903115</v>
      </c>
      <c r="CC41" s="101">
        <f>IFERROR(up_RadSpec!$E$8*(CC8/$B41),".")</f>
        <v>69115.823530903115</v>
      </c>
      <c r="CD41" s="101">
        <f>IFERROR(up_RadSpec!$E$8*(CD8/$B41),".")</f>
        <v>69115.823530903115</v>
      </c>
      <c r="CE41" s="101">
        <f>IFERROR(up_RadSpec!$E$8*(CE8/$B41),".")</f>
        <v>69115.823530903115</v>
      </c>
      <c r="CF41" s="101">
        <f>IFERROR(up_RadSpec!$E$8*(CF8/$B41),".")</f>
        <v>69115.823530903115</v>
      </c>
      <c r="CG41" s="101">
        <f>IFERROR(up_RadSpec!$E$8*(CG8/$B41),".")</f>
        <v>69115.823530903115</v>
      </c>
      <c r="CH41" s="101">
        <f>IFERROR(up_RadSpec!$E$8*(CH8/$B41),".")</f>
        <v>69115.823530903115</v>
      </c>
      <c r="CI41" s="101">
        <f>IFERROR(up_RadSpec!$E$8*(CI8/$B41),".")</f>
        <v>69115.823530903115</v>
      </c>
      <c r="CJ41" s="101">
        <f>IFERROR(up_RadSpec!$E$8*(CJ8/$B41),".")</f>
        <v>69115.823530903115</v>
      </c>
      <c r="CK41" s="101">
        <f>IFERROR(up_RadSpec!$E$8*(CK8/$B41),".")</f>
        <v>69115.823530903115</v>
      </c>
      <c r="CL41" s="101">
        <f>IFERROR(up_RadSpec!$E$8*(CL8/$B41),".")</f>
        <v>69115.823530903115</v>
      </c>
      <c r="CM41" s="101">
        <f>IFERROR(up_RadSpec!$E$8*(CM8/$B41),".")</f>
        <v>69115.823530903115</v>
      </c>
      <c r="CN41" s="101">
        <f>IFERROR(up_RadSpec!$E$8*(CN8/$B41),".")</f>
        <v>69115.823530903115</v>
      </c>
      <c r="CO41" s="101">
        <f>IFERROR(up_RadSpec!$E$8*(CO8/$B41),".")</f>
        <v>69115.823530903115</v>
      </c>
      <c r="CP41" s="101">
        <f>IFERROR(up_RadSpec!$E$8*(CP8/$B41),".")</f>
        <v>69115.823530903115</v>
      </c>
      <c r="CQ41" s="101">
        <f>IFERROR(up_RadSpec!$E$8*(CQ8/$B41),".")</f>
        <v>69115.823530903115</v>
      </c>
      <c r="CR41" s="101">
        <f>IFERROR(up_RadSpec!$E$8*(CR8/$B41),".")</f>
        <v>69115.823530903115</v>
      </c>
      <c r="CS41" s="101">
        <f>IFERROR(up_RadSpec!$E$8*(CS8/$B41),".")</f>
        <v>69115.823530903115</v>
      </c>
      <c r="CT41" s="101">
        <f>IFERROR(up_RadSpec!$E$8*(CT8/$B41),".")</f>
        <v>69115.823530903115</v>
      </c>
      <c r="CU41" s="101">
        <f>IFERROR(up_RadSpec!$E$8*(CU8/$B41),".")</f>
        <v>69115.823530903115</v>
      </c>
      <c r="CV41" s="101">
        <f>IFERROR(up_RadSpec!$E$8*(CV8/$B41),".")</f>
        <v>69115.823530903115</v>
      </c>
      <c r="CW41" s="101">
        <f>IFERROR(up_RadSpec!$E$8*(CW8/$B41),".")</f>
        <v>69115.823530903115</v>
      </c>
      <c r="CX41" s="101">
        <f>IFERROR(up_RadSpec!$E$8*(CX8/$B41),".")</f>
        <v>69115.823530903115</v>
      </c>
    </row>
    <row r="42" spans="1:102" x14ac:dyDescent="0.25">
      <c r="A42" s="99" t="s">
        <v>1087</v>
      </c>
      <c r="B42" s="90">
        <v>0.97898250799999997</v>
      </c>
      <c r="C42" s="100">
        <f t="shared" si="0"/>
        <v>3382753134.0448699</v>
      </c>
      <c r="D42" s="100">
        <f t="shared" ref="D42:AA42" si="41">IFERROR($B42/D19,0)</f>
        <v>13531012536.17948</v>
      </c>
      <c r="E42" s="100">
        <f t="shared" si="41"/>
        <v>13531012536.17948</v>
      </c>
      <c r="F42" s="100">
        <f t="shared" si="41"/>
        <v>13531012536.17948</v>
      </c>
      <c r="G42" s="100">
        <f t="shared" si="41"/>
        <v>13531012536.17948</v>
      </c>
      <c r="H42" s="100">
        <f t="shared" si="41"/>
        <v>13531012536.17948</v>
      </c>
      <c r="I42" s="100">
        <f t="shared" si="41"/>
        <v>13531012536.17948</v>
      </c>
      <c r="J42" s="100">
        <f t="shared" si="41"/>
        <v>13531012536.17948</v>
      </c>
      <c r="K42" s="100">
        <f t="shared" si="41"/>
        <v>13531012536.17948</v>
      </c>
      <c r="L42" s="100">
        <f t="shared" si="41"/>
        <v>13531012536.17948</v>
      </c>
      <c r="M42" s="100">
        <f t="shared" si="41"/>
        <v>13531012536.17948</v>
      </c>
      <c r="N42" s="100">
        <f t="shared" si="41"/>
        <v>13531012536.17948</v>
      </c>
      <c r="O42" s="100">
        <f t="shared" si="41"/>
        <v>13531012536.17948</v>
      </c>
      <c r="P42" s="100">
        <f t="shared" si="41"/>
        <v>13531012536.17948</v>
      </c>
      <c r="Q42" s="100">
        <f t="shared" si="41"/>
        <v>13531012536.17948</v>
      </c>
      <c r="R42" s="100">
        <f t="shared" si="41"/>
        <v>13531012536.17948</v>
      </c>
      <c r="S42" s="100">
        <f t="shared" si="41"/>
        <v>13531012536.17948</v>
      </c>
      <c r="T42" s="100">
        <f t="shared" si="41"/>
        <v>13531012536.17948</v>
      </c>
      <c r="U42" s="100">
        <f t="shared" si="41"/>
        <v>13531012536.17948</v>
      </c>
      <c r="V42" s="100">
        <f t="shared" si="41"/>
        <v>13531012536.17948</v>
      </c>
      <c r="W42" s="100">
        <f t="shared" si="41"/>
        <v>13531012536.17948</v>
      </c>
      <c r="X42" s="100">
        <f t="shared" si="41"/>
        <v>13531012536.17948</v>
      </c>
      <c r="Y42" s="100">
        <f t="shared" si="41"/>
        <v>13531012536.17948</v>
      </c>
      <c r="Z42" s="100">
        <f t="shared" si="41"/>
        <v>13531012536.17948</v>
      </c>
      <c r="AA42" s="100">
        <f t="shared" si="41"/>
        <v>13531012536.17948</v>
      </c>
      <c r="AB42" s="49">
        <f t="shared" si="21"/>
        <v>282364.71670269885</v>
      </c>
      <c r="AC42" s="101">
        <f>IFERROR(up_RadSpec!$E$19*(AC19/$B42),".")</f>
        <v>70591.179175674712</v>
      </c>
      <c r="AD42" s="101">
        <f>IFERROR(up_RadSpec!$E$19*(AD19/$B42),".")</f>
        <v>70591.179175674712</v>
      </c>
      <c r="AE42" s="101">
        <f>IFERROR(up_RadSpec!$E$19*(AE19/$B42),".")</f>
        <v>70591.179175674712</v>
      </c>
      <c r="AF42" s="101">
        <f>IFERROR(up_RadSpec!$E$19*(AF19/$B42),".")</f>
        <v>70591.179175674712</v>
      </c>
      <c r="AG42" s="101">
        <f>IFERROR(up_RadSpec!$E$19*(AG19/$B42),".")</f>
        <v>70591.179175674712</v>
      </c>
      <c r="AH42" s="101">
        <f>IFERROR(up_RadSpec!$E$19*(AH19/$B42),".")</f>
        <v>70591.179175674712</v>
      </c>
      <c r="AI42" s="101">
        <f>IFERROR(up_RadSpec!$E$19*(AI19/$B42),".")</f>
        <v>70591.179175674712</v>
      </c>
      <c r="AJ42" s="101">
        <f>IFERROR(up_RadSpec!$E$19*(AJ19/$B42),".")</f>
        <v>70591.179175674712</v>
      </c>
      <c r="AK42" s="101">
        <f>IFERROR(up_RadSpec!$E$19*(AK19/$B42),".")</f>
        <v>70591.179175674712</v>
      </c>
      <c r="AL42" s="101">
        <f>IFERROR(up_RadSpec!$E$19*(AL19/$B42),".")</f>
        <v>70591.179175674712</v>
      </c>
      <c r="AM42" s="101">
        <f>IFERROR(up_RadSpec!$E$19*(AM19/$B42),".")</f>
        <v>70591.179175674712</v>
      </c>
      <c r="AN42" s="101">
        <f>IFERROR(up_RadSpec!$E$19*(AN19/$B42),".")</f>
        <v>70591.179175674712</v>
      </c>
      <c r="AO42" s="101">
        <f>IFERROR(up_RadSpec!$E$19*(AO19/$B42),".")</f>
        <v>70591.179175674712</v>
      </c>
      <c r="AP42" s="101">
        <f>IFERROR(up_RadSpec!$E$19*(AP19/$B42),".")</f>
        <v>70591.179175674712</v>
      </c>
      <c r="AQ42" s="101">
        <f>IFERROR(up_RadSpec!$E$19*(AQ19/$B42),".")</f>
        <v>70591.179175674712</v>
      </c>
      <c r="AR42" s="101">
        <f>IFERROR(up_RadSpec!$E$19*(AR19/$B42),".")</f>
        <v>70591.179175674712</v>
      </c>
      <c r="AS42" s="101">
        <f>IFERROR(up_RadSpec!$E$19*(AS19/$B42),".")</f>
        <v>70591.179175674712</v>
      </c>
      <c r="AT42" s="101">
        <f>IFERROR(up_RadSpec!$E$19*(AT19/$B42),".")</f>
        <v>70591.179175674712</v>
      </c>
      <c r="AU42" s="101">
        <f>IFERROR(up_RadSpec!$E$19*(AU19/$B42),".")</f>
        <v>70591.179175674712</v>
      </c>
      <c r="AV42" s="101">
        <f>IFERROR(up_RadSpec!$E$19*(AV19/$B42),".")</f>
        <v>70591.179175674712</v>
      </c>
      <c r="AW42" s="101">
        <f>IFERROR(up_RadSpec!$E$19*(AW19/$B42),".")</f>
        <v>70591.179175674712</v>
      </c>
      <c r="AX42" s="101">
        <f>IFERROR(up_RadSpec!$E$19*(AX19/$B42),".")</f>
        <v>70591.179175674712</v>
      </c>
      <c r="AY42" s="101">
        <f>IFERROR(up_RadSpec!$E$19*(AY19/$B42),".")</f>
        <v>70591.179175674712</v>
      </c>
      <c r="AZ42" s="101">
        <f>IFERROR(up_RadSpec!$E$19*(AZ19/$B42),".")</f>
        <v>70591.179175674712</v>
      </c>
      <c r="BA42" s="100">
        <f t="shared" si="22"/>
        <v>3382753134.0448699</v>
      </c>
      <c r="BB42" s="100">
        <f t="shared" ref="BB42:BY42" si="42">IFERROR($B42/BB19,0)</f>
        <v>13531012536.17948</v>
      </c>
      <c r="BC42" s="100">
        <f t="shared" si="42"/>
        <v>13531012536.17948</v>
      </c>
      <c r="BD42" s="100">
        <f t="shared" si="42"/>
        <v>13531012536.17948</v>
      </c>
      <c r="BE42" s="100">
        <f t="shared" si="42"/>
        <v>13531012536.17948</v>
      </c>
      <c r="BF42" s="100">
        <f t="shared" si="42"/>
        <v>13531012536.17948</v>
      </c>
      <c r="BG42" s="100">
        <f t="shared" si="42"/>
        <v>13531012536.17948</v>
      </c>
      <c r="BH42" s="100">
        <f t="shared" si="42"/>
        <v>13531012536.17948</v>
      </c>
      <c r="BI42" s="100">
        <f t="shared" si="42"/>
        <v>13531012536.17948</v>
      </c>
      <c r="BJ42" s="100">
        <f t="shared" si="42"/>
        <v>13531012536.17948</v>
      </c>
      <c r="BK42" s="100">
        <f t="shared" si="42"/>
        <v>13531012536.17948</v>
      </c>
      <c r="BL42" s="100">
        <f t="shared" si="42"/>
        <v>13531012536.17948</v>
      </c>
      <c r="BM42" s="100">
        <f t="shared" si="42"/>
        <v>13531012536.17948</v>
      </c>
      <c r="BN42" s="100">
        <f t="shared" si="42"/>
        <v>13531012536.17948</v>
      </c>
      <c r="BO42" s="100">
        <f t="shared" si="42"/>
        <v>13531012536.17948</v>
      </c>
      <c r="BP42" s="100">
        <f t="shared" si="42"/>
        <v>13531012536.17948</v>
      </c>
      <c r="BQ42" s="100">
        <f t="shared" si="42"/>
        <v>13531012536.17948</v>
      </c>
      <c r="BR42" s="100">
        <f t="shared" si="42"/>
        <v>13531012536.17948</v>
      </c>
      <c r="BS42" s="100">
        <f t="shared" si="42"/>
        <v>13531012536.17948</v>
      </c>
      <c r="BT42" s="100">
        <f t="shared" si="42"/>
        <v>13531012536.17948</v>
      </c>
      <c r="BU42" s="100">
        <f t="shared" si="42"/>
        <v>13531012536.17948</v>
      </c>
      <c r="BV42" s="100">
        <f t="shared" si="42"/>
        <v>13531012536.17948</v>
      </c>
      <c r="BW42" s="100">
        <f t="shared" si="42"/>
        <v>13531012536.17948</v>
      </c>
      <c r="BX42" s="100">
        <f t="shared" si="42"/>
        <v>13531012536.17948</v>
      </c>
      <c r="BY42" s="100">
        <f t="shared" si="42"/>
        <v>13531012536.17948</v>
      </c>
      <c r="BZ42" s="49">
        <f t="shared" si="24"/>
        <v>282364.71670269885</v>
      </c>
      <c r="CA42" s="101">
        <f>IFERROR(up_RadSpec!$E$19*(CA19/$B42),".")</f>
        <v>70591.179175674712</v>
      </c>
      <c r="CB42" s="101">
        <f>IFERROR(up_RadSpec!$E$19*(CB19/$B42),".")</f>
        <v>70591.179175674712</v>
      </c>
      <c r="CC42" s="101">
        <f>IFERROR(up_RadSpec!$E$19*(CC19/$B42),".")</f>
        <v>70591.179175674712</v>
      </c>
      <c r="CD42" s="101">
        <f>IFERROR(up_RadSpec!$E$19*(CD19/$B42),".")</f>
        <v>70591.179175674712</v>
      </c>
      <c r="CE42" s="101">
        <f>IFERROR(up_RadSpec!$E$19*(CE19/$B42),".")</f>
        <v>70591.179175674712</v>
      </c>
      <c r="CF42" s="101">
        <f>IFERROR(up_RadSpec!$E$19*(CF19/$B42),".")</f>
        <v>70591.179175674712</v>
      </c>
      <c r="CG42" s="101">
        <f>IFERROR(up_RadSpec!$E$19*(CG19/$B42),".")</f>
        <v>70591.179175674712</v>
      </c>
      <c r="CH42" s="101">
        <f>IFERROR(up_RadSpec!$E$19*(CH19/$B42),".")</f>
        <v>70591.179175674712</v>
      </c>
      <c r="CI42" s="101">
        <f>IFERROR(up_RadSpec!$E$19*(CI19/$B42),".")</f>
        <v>70591.179175674712</v>
      </c>
      <c r="CJ42" s="101">
        <f>IFERROR(up_RadSpec!$E$19*(CJ19/$B42),".")</f>
        <v>70591.179175674712</v>
      </c>
      <c r="CK42" s="101">
        <f>IFERROR(up_RadSpec!$E$19*(CK19/$B42),".")</f>
        <v>70591.179175674712</v>
      </c>
      <c r="CL42" s="101">
        <f>IFERROR(up_RadSpec!$E$19*(CL19/$B42),".")</f>
        <v>70591.179175674712</v>
      </c>
      <c r="CM42" s="101">
        <f>IFERROR(up_RadSpec!$E$19*(CM19/$B42),".")</f>
        <v>70591.179175674712</v>
      </c>
      <c r="CN42" s="101">
        <f>IFERROR(up_RadSpec!$E$19*(CN19/$B42),".")</f>
        <v>70591.179175674712</v>
      </c>
      <c r="CO42" s="101">
        <f>IFERROR(up_RadSpec!$E$19*(CO19/$B42),".")</f>
        <v>70591.179175674712</v>
      </c>
      <c r="CP42" s="101">
        <f>IFERROR(up_RadSpec!$E$19*(CP19/$B42),".")</f>
        <v>70591.179175674712</v>
      </c>
      <c r="CQ42" s="101">
        <f>IFERROR(up_RadSpec!$E$19*(CQ19/$B42),".")</f>
        <v>70591.179175674712</v>
      </c>
      <c r="CR42" s="101">
        <f>IFERROR(up_RadSpec!$E$19*(CR19/$B42),".")</f>
        <v>70591.179175674712</v>
      </c>
      <c r="CS42" s="101">
        <f>IFERROR(up_RadSpec!$E$19*(CS19/$B42),".")</f>
        <v>70591.179175674712</v>
      </c>
      <c r="CT42" s="101">
        <f>IFERROR(up_RadSpec!$E$19*(CT19/$B42),".")</f>
        <v>70591.179175674712</v>
      </c>
      <c r="CU42" s="101">
        <f>IFERROR(up_RadSpec!$E$19*(CU19/$B42),".")</f>
        <v>70591.179175674712</v>
      </c>
      <c r="CV42" s="101">
        <f>IFERROR(up_RadSpec!$E$19*(CV19/$B42),".")</f>
        <v>70591.179175674712</v>
      </c>
      <c r="CW42" s="101">
        <f>IFERROR(up_RadSpec!$E$19*(CW19/$B42),".")</f>
        <v>70591.179175674712</v>
      </c>
      <c r="CX42" s="101">
        <f>IFERROR(up_RadSpec!$E$19*(CX19/$B42),".")</f>
        <v>70591.179175674712</v>
      </c>
    </row>
    <row r="43" spans="1:102" x14ac:dyDescent="0.25">
      <c r="A43" s="99" t="s">
        <v>1088</v>
      </c>
      <c r="B43" s="90">
        <v>2.0897492E-2</v>
      </c>
      <c r="C43" s="100">
        <f t="shared" si="0"/>
        <v>72208702.38130711</v>
      </c>
      <c r="D43" s="100">
        <f t="shared" ref="D43:AA43" si="43">IFERROR($B43/D28,0)</f>
        <v>288834809.52522844</v>
      </c>
      <c r="E43" s="100">
        <f t="shared" si="43"/>
        <v>288834809.52522844</v>
      </c>
      <c r="F43" s="100">
        <f t="shared" si="43"/>
        <v>288834809.52522844</v>
      </c>
      <c r="G43" s="100">
        <f t="shared" si="43"/>
        <v>288834809.52522844</v>
      </c>
      <c r="H43" s="100">
        <f t="shared" si="43"/>
        <v>288834809.52522844</v>
      </c>
      <c r="I43" s="100">
        <f t="shared" si="43"/>
        <v>288834809.52522844</v>
      </c>
      <c r="J43" s="100">
        <f t="shared" si="43"/>
        <v>288834809.52522844</v>
      </c>
      <c r="K43" s="100">
        <f t="shared" si="43"/>
        <v>288834809.52522844</v>
      </c>
      <c r="L43" s="100">
        <f t="shared" si="43"/>
        <v>288834809.52522844</v>
      </c>
      <c r="M43" s="100">
        <f t="shared" si="43"/>
        <v>288834809.52522844</v>
      </c>
      <c r="N43" s="100">
        <f t="shared" si="43"/>
        <v>288834809.52522844</v>
      </c>
      <c r="O43" s="100">
        <f t="shared" si="43"/>
        <v>288834809.52522844</v>
      </c>
      <c r="P43" s="100">
        <f t="shared" si="43"/>
        <v>288834809.52522844</v>
      </c>
      <c r="Q43" s="100">
        <f t="shared" si="43"/>
        <v>288834809.52522844</v>
      </c>
      <c r="R43" s="100">
        <f t="shared" si="43"/>
        <v>288834809.52522844</v>
      </c>
      <c r="S43" s="100">
        <f t="shared" si="43"/>
        <v>288834809.52522844</v>
      </c>
      <c r="T43" s="100">
        <f t="shared" si="43"/>
        <v>288834809.52522844</v>
      </c>
      <c r="U43" s="100">
        <f t="shared" si="43"/>
        <v>288834809.52522844</v>
      </c>
      <c r="V43" s="100">
        <f t="shared" si="43"/>
        <v>288834809.52522844</v>
      </c>
      <c r="W43" s="100">
        <f t="shared" si="43"/>
        <v>288834809.52522844</v>
      </c>
      <c r="X43" s="100">
        <f t="shared" si="43"/>
        <v>288834809.52522844</v>
      </c>
      <c r="Y43" s="100">
        <f t="shared" si="43"/>
        <v>288834809.52522844</v>
      </c>
      <c r="Z43" s="100">
        <f t="shared" si="43"/>
        <v>288834809.52522844</v>
      </c>
      <c r="AA43" s="100">
        <f t="shared" si="43"/>
        <v>288834809.52522844</v>
      </c>
      <c r="AB43" s="49">
        <f t="shared" si="21"/>
        <v>13227908.80974222</v>
      </c>
      <c r="AC43" s="101">
        <f>IFERROR(up_RadSpec!$E$28*(AC28/$B43),".")</f>
        <v>3306977.2024355549</v>
      </c>
      <c r="AD43" s="101">
        <f>IFERROR(up_RadSpec!$E$28*(AD28/$B43),".")</f>
        <v>3306977.2024355549</v>
      </c>
      <c r="AE43" s="101">
        <f>IFERROR(up_RadSpec!$E$28*(AE28/$B43),".")</f>
        <v>3306977.2024355549</v>
      </c>
      <c r="AF43" s="101">
        <f>IFERROR(up_RadSpec!$E$28*(AF28/$B43),".")</f>
        <v>3306977.2024355549</v>
      </c>
      <c r="AG43" s="101">
        <f>IFERROR(up_RadSpec!$E$28*(AG28/$B43),".")</f>
        <v>3306977.2024355549</v>
      </c>
      <c r="AH43" s="101">
        <f>IFERROR(up_RadSpec!$E$28*(AH28/$B43),".")</f>
        <v>3306977.2024355549</v>
      </c>
      <c r="AI43" s="101">
        <f>IFERROR(up_RadSpec!$E$28*(AI28/$B43),".")</f>
        <v>3306977.2024355549</v>
      </c>
      <c r="AJ43" s="101">
        <f>IFERROR(up_RadSpec!$E$28*(AJ28/$B43),".")</f>
        <v>3306977.2024355549</v>
      </c>
      <c r="AK43" s="101">
        <f>IFERROR(up_RadSpec!$E$28*(AK28/$B43),".")</f>
        <v>3306977.2024355549</v>
      </c>
      <c r="AL43" s="101">
        <f>IFERROR(up_RadSpec!$E$28*(AL28/$B43),".")</f>
        <v>3306977.2024355549</v>
      </c>
      <c r="AM43" s="101">
        <f>IFERROR(up_RadSpec!$E$28*(AM28/$B43),".")</f>
        <v>3306977.2024355549</v>
      </c>
      <c r="AN43" s="101">
        <f>IFERROR(up_RadSpec!$E$28*(AN28/$B43),".")</f>
        <v>3306977.2024355549</v>
      </c>
      <c r="AO43" s="101">
        <f>IFERROR(up_RadSpec!$E$28*(AO28/$B43),".")</f>
        <v>3306977.2024355549</v>
      </c>
      <c r="AP43" s="101">
        <f>IFERROR(up_RadSpec!$E$28*(AP28/$B43),".")</f>
        <v>3306977.2024355549</v>
      </c>
      <c r="AQ43" s="101">
        <f>IFERROR(up_RadSpec!$E$28*(AQ28/$B43),".")</f>
        <v>3306977.2024355549</v>
      </c>
      <c r="AR43" s="101">
        <f>IFERROR(up_RadSpec!$E$28*(AR28/$B43),".")</f>
        <v>3306977.2024355549</v>
      </c>
      <c r="AS43" s="101">
        <f>IFERROR(up_RadSpec!$E$28*(AS28/$B43),".")</f>
        <v>3306977.2024355549</v>
      </c>
      <c r="AT43" s="101">
        <f>IFERROR(up_RadSpec!$E$28*(AT28/$B43),".")</f>
        <v>3306977.2024355549</v>
      </c>
      <c r="AU43" s="101">
        <f>IFERROR(up_RadSpec!$E$28*(AU28/$B43),".")</f>
        <v>3306977.2024355549</v>
      </c>
      <c r="AV43" s="101">
        <f>IFERROR(up_RadSpec!$E$28*(AV28/$B43),".")</f>
        <v>3306977.2024355549</v>
      </c>
      <c r="AW43" s="101">
        <f>IFERROR(up_RadSpec!$E$28*(AW28/$B43),".")</f>
        <v>3306977.2024355549</v>
      </c>
      <c r="AX43" s="101">
        <f>IFERROR(up_RadSpec!$E$28*(AX28/$B43),".")</f>
        <v>3306977.2024355549</v>
      </c>
      <c r="AY43" s="101">
        <f>IFERROR(up_RadSpec!$E$28*(AY28/$B43),".")</f>
        <v>3306977.2024355549</v>
      </c>
      <c r="AZ43" s="101">
        <f>IFERROR(up_RadSpec!$E$28*(AZ28/$B43),".")</f>
        <v>3306977.2024355549</v>
      </c>
      <c r="BA43" s="100">
        <f t="shared" si="22"/>
        <v>72208702.38130711</v>
      </c>
      <c r="BB43" s="100">
        <f t="shared" ref="BB43:BY43" si="44">IFERROR($B43/BB28,0)</f>
        <v>288834809.52522844</v>
      </c>
      <c r="BC43" s="100">
        <f t="shared" si="44"/>
        <v>288834809.52522844</v>
      </c>
      <c r="BD43" s="100">
        <f t="shared" si="44"/>
        <v>288834809.52522844</v>
      </c>
      <c r="BE43" s="100">
        <f t="shared" si="44"/>
        <v>288834809.52522844</v>
      </c>
      <c r="BF43" s="100">
        <f t="shared" si="44"/>
        <v>288834809.52522844</v>
      </c>
      <c r="BG43" s="100">
        <f t="shared" si="44"/>
        <v>288834809.52522844</v>
      </c>
      <c r="BH43" s="100">
        <f t="shared" si="44"/>
        <v>288834809.52522844</v>
      </c>
      <c r="BI43" s="100">
        <f t="shared" si="44"/>
        <v>288834809.52522844</v>
      </c>
      <c r="BJ43" s="100">
        <f t="shared" si="44"/>
        <v>288834809.52522844</v>
      </c>
      <c r="BK43" s="100">
        <f t="shared" si="44"/>
        <v>288834809.52522844</v>
      </c>
      <c r="BL43" s="100">
        <f t="shared" si="44"/>
        <v>288834809.52522844</v>
      </c>
      <c r="BM43" s="100">
        <f t="shared" si="44"/>
        <v>288834809.52522844</v>
      </c>
      <c r="BN43" s="100">
        <f t="shared" si="44"/>
        <v>288834809.52522844</v>
      </c>
      <c r="BO43" s="100">
        <f t="shared" si="44"/>
        <v>288834809.52522844</v>
      </c>
      <c r="BP43" s="100">
        <f t="shared" si="44"/>
        <v>288834809.52522844</v>
      </c>
      <c r="BQ43" s="100">
        <f t="shared" si="44"/>
        <v>288834809.52522844</v>
      </c>
      <c r="BR43" s="100">
        <f t="shared" si="44"/>
        <v>288834809.52522844</v>
      </c>
      <c r="BS43" s="100">
        <f t="shared" si="44"/>
        <v>288834809.52522844</v>
      </c>
      <c r="BT43" s="100">
        <f t="shared" si="44"/>
        <v>288834809.52522844</v>
      </c>
      <c r="BU43" s="100">
        <f t="shared" si="44"/>
        <v>288834809.52522844</v>
      </c>
      <c r="BV43" s="100">
        <f t="shared" si="44"/>
        <v>288834809.52522844</v>
      </c>
      <c r="BW43" s="100">
        <f t="shared" si="44"/>
        <v>288834809.52522844</v>
      </c>
      <c r="BX43" s="100">
        <f t="shared" si="44"/>
        <v>288834809.52522844</v>
      </c>
      <c r="BY43" s="100">
        <f t="shared" si="44"/>
        <v>288834809.52522844</v>
      </c>
      <c r="BZ43" s="49">
        <f t="shared" si="24"/>
        <v>13227908.80974222</v>
      </c>
      <c r="CA43" s="101">
        <f>IFERROR(up_RadSpec!$E$28*(CA28/$B43),".")</f>
        <v>3306977.2024355549</v>
      </c>
      <c r="CB43" s="101">
        <f>IFERROR(up_RadSpec!$E$28*(CB28/$B43),".")</f>
        <v>3306977.2024355549</v>
      </c>
      <c r="CC43" s="101">
        <f>IFERROR(up_RadSpec!$E$28*(CC28/$B43),".")</f>
        <v>3306977.2024355549</v>
      </c>
      <c r="CD43" s="101">
        <f>IFERROR(up_RadSpec!$E$28*(CD28/$B43),".")</f>
        <v>3306977.2024355549</v>
      </c>
      <c r="CE43" s="101">
        <f>IFERROR(up_RadSpec!$E$28*(CE28/$B43),".")</f>
        <v>3306977.2024355549</v>
      </c>
      <c r="CF43" s="101">
        <f>IFERROR(up_RadSpec!$E$28*(CF28/$B43),".")</f>
        <v>3306977.2024355549</v>
      </c>
      <c r="CG43" s="101">
        <f>IFERROR(up_RadSpec!$E$28*(CG28/$B43),".")</f>
        <v>3306977.2024355549</v>
      </c>
      <c r="CH43" s="101">
        <f>IFERROR(up_RadSpec!$E$28*(CH28/$B43),".")</f>
        <v>3306977.2024355549</v>
      </c>
      <c r="CI43" s="101">
        <f>IFERROR(up_RadSpec!$E$28*(CI28/$B43),".")</f>
        <v>3306977.2024355549</v>
      </c>
      <c r="CJ43" s="101">
        <f>IFERROR(up_RadSpec!$E$28*(CJ28/$B43),".")</f>
        <v>3306977.2024355549</v>
      </c>
      <c r="CK43" s="101">
        <f>IFERROR(up_RadSpec!$E$28*(CK28/$B43),".")</f>
        <v>3306977.2024355549</v>
      </c>
      <c r="CL43" s="101">
        <f>IFERROR(up_RadSpec!$E$28*(CL28/$B43),".")</f>
        <v>3306977.2024355549</v>
      </c>
      <c r="CM43" s="101">
        <f>IFERROR(up_RadSpec!$E$28*(CM28/$B43),".")</f>
        <v>3306977.2024355549</v>
      </c>
      <c r="CN43" s="101">
        <f>IFERROR(up_RadSpec!$E$28*(CN28/$B43),".")</f>
        <v>3306977.2024355549</v>
      </c>
      <c r="CO43" s="101">
        <f>IFERROR(up_RadSpec!$E$28*(CO28/$B43),".")</f>
        <v>3306977.2024355549</v>
      </c>
      <c r="CP43" s="101">
        <f>IFERROR(up_RadSpec!$E$28*(CP28/$B43),".")</f>
        <v>3306977.2024355549</v>
      </c>
      <c r="CQ43" s="101">
        <f>IFERROR(up_RadSpec!$E$28*(CQ28/$B43),".")</f>
        <v>3306977.2024355549</v>
      </c>
      <c r="CR43" s="101">
        <f>IFERROR(up_RadSpec!$E$28*(CR28/$B43),".")</f>
        <v>3306977.2024355549</v>
      </c>
      <c r="CS43" s="101">
        <f>IFERROR(up_RadSpec!$E$28*(CS28/$B43),".")</f>
        <v>3306977.2024355549</v>
      </c>
      <c r="CT43" s="101">
        <f>IFERROR(up_RadSpec!$E$28*(CT28/$B43),".")</f>
        <v>3306977.2024355549</v>
      </c>
      <c r="CU43" s="101">
        <f>IFERROR(up_RadSpec!$E$28*(CU28/$B43),".")</f>
        <v>3306977.2024355549</v>
      </c>
      <c r="CV43" s="101">
        <f>IFERROR(up_RadSpec!$E$28*(CV28/$B43),".")</f>
        <v>3306977.2024355549</v>
      </c>
      <c r="CW43" s="101">
        <f>IFERROR(up_RadSpec!$E$28*(CW28/$B43),".")</f>
        <v>3306977.2024355549</v>
      </c>
      <c r="CX43" s="101">
        <f>IFERROR(up_RadSpec!$E$28*(CX28/$B43),".")</f>
        <v>3306977.2024355549</v>
      </c>
    </row>
    <row r="44" spans="1:102" x14ac:dyDescent="0.25">
      <c r="A44" s="99" t="s">
        <v>1089</v>
      </c>
      <c r="B44" s="90">
        <v>0.99987999999999999</v>
      </c>
      <c r="C44" s="100">
        <f t="shared" si="0"/>
        <v>3454961836.4261765</v>
      </c>
      <c r="D44" s="100">
        <f t="shared" ref="D44:AA44" si="45">IFERROR($B44/D15,0)</f>
        <v>13819847345.704708</v>
      </c>
      <c r="E44" s="100">
        <f t="shared" si="45"/>
        <v>13819847345.704708</v>
      </c>
      <c r="F44" s="100">
        <f t="shared" si="45"/>
        <v>13819847345.704708</v>
      </c>
      <c r="G44" s="100">
        <f t="shared" si="45"/>
        <v>13819847345.704708</v>
      </c>
      <c r="H44" s="100">
        <f t="shared" si="45"/>
        <v>13819847345.704708</v>
      </c>
      <c r="I44" s="100">
        <f t="shared" si="45"/>
        <v>13819847345.704708</v>
      </c>
      <c r="J44" s="100">
        <f t="shared" si="45"/>
        <v>13819847345.704708</v>
      </c>
      <c r="K44" s="100">
        <f t="shared" si="45"/>
        <v>13819847345.704708</v>
      </c>
      <c r="L44" s="100">
        <f t="shared" si="45"/>
        <v>13819847345.704708</v>
      </c>
      <c r="M44" s="100">
        <f t="shared" si="45"/>
        <v>13819847345.704708</v>
      </c>
      <c r="N44" s="100">
        <f t="shared" si="45"/>
        <v>13819847345.704708</v>
      </c>
      <c r="O44" s="100">
        <f t="shared" si="45"/>
        <v>13819847345.704708</v>
      </c>
      <c r="P44" s="100">
        <f t="shared" si="45"/>
        <v>13819847345.704708</v>
      </c>
      <c r="Q44" s="100">
        <f t="shared" si="45"/>
        <v>13819847345.704708</v>
      </c>
      <c r="R44" s="100">
        <f t="shared" si="45"/>
        <v>13819847345.704708</v>
      </c>
      <c r="S44" s="100">
        <f t="shared" si="45"/>
        <v>13819847345.704708</v>
      </c>
      <c r="T44" s="100">
        <f t="shared" si="45"/>
        <v>13819847345.704708</v>
      </c>
      <c r="U44" s="100">
        <f t="shared" si="45"/>
        <v>13819847345.704708</v>
      </c>
      <c r="V44" s="100">
        <f t="shared" si="45"/>
        <v>13819847345.704708</v>
      </c>
      <c r="W44" s="100">
        <f t="shared" si="45"/>
        <v>13819847345.704708</v>
      </c>
      <c r="X44" s="100">
        <f t="shared" si="45"/>
        <v>13819847345.704708</v>
      </c>
      <c r="Y44" s="100">
        <f t="shared" si="45"/>
        <v>13819847345.704708</v>
      </c>
      <c r="Z44" s="100">
        <f t="shared" si="45"/>
        <v>13819847345.704708</v>
      </c>
      <c r="AA44" s="100">
        <f t="shared" si="45"/>
        <v>13819847345.704708</v>
      </c>
      <c r="AB44" s="49">
        <f t="shared" si="21"/>
        <v>276463.29412361246</v>
      </c>
      <c r="AC44" s="101">
        <f>IFERROR(up_RadSpec!$E$15*(AC15/$B44),".")</f>
        <v>69115.823530903115</v>
      </c>
      <c r="AD44" s="101">
        <f>IFERROR(up_RadSpec!$E$15*(AD15/$B44),".")</f>
        <v>69115.823530903115</v>
      </c>
      <c r="AE44" s="101">
        <f>IFERROR(up_RadSpec!$E$15*(AE15/$B44),".")</f>
        <v>69115.823530903115</v>
      </c>
      <c r="AF44" s="101">
        <f>IFERROR(up_RadSpec!$E$15*(AF15/$B44),".")</f>
        <v>69115.823530903115</v>
      </c>
      <c r="AG44" s="101">
        <f>IFERROR(up_RadSpec!$E$15*(AG15/$B44),".")</f>
        <v>69115.823530903115</v>
      </c>
      <c r="AH44" s="101">
        <f>IFERROR(up_RadSpec!$E$15*(AH15/$B44),".")</f>
        <v>69115.823530903115</v>
      </c>
      <c r="AI44" s="101">
        <f>IFERROR(up_RadSpec!$E$15*(AI15/$B44),".")</f>
        <v>69115.823530903115</v>
      </c>
      <c r="AJ44" s="101">
        <f>IFERROR(up_RadSpec!$E$15*(AJ15/$B44),".")</f>
        <v>69115.823530903115</v>
      </c>
      <c r="AK44" s="101">
        <f>IFERROR(up_RadSpec!$E$15*(AK15/$B44),".")</f>
        <v>69115.823530903115</v>
      </c>
      <c r="AL44" s="101">
        <f>IFERROR(up_RadSpec!$E$15*(AL15/$B44),".")</f>
        <v>69115.823530903115</v>
      </c>
      <c r="AM44" s="101">
        <f>IFERROR(up_RadSpec!$E$15*(AM15/$B44),".")</f>
        <v>69115.823530903115</v>
      </c>
      <c r="AN44" s="101">
        <f>IFERROR(up_RadSpec!$E$15*(AN15/$B44),".")</f>
        <v>69115.823530903115</v>
      </c>
      <c r="AO44" s="101">
        <f>IFERROR(up_RadSpec!$E$15*(AO15/$B44),".")</f>
        <v>69115.823530903115</v>
      </c>
      <c r="AP44" s="101">
        <f>IFERROR(up_RadSpec!$E$15*(AP15/$B44),".")</f>
        <v>69115.823530903115</v>
      </c>
      <c r="AQ44" s="101">
        <f>IFERROR(up_RadSpec!$E$15*(AQ15/$B44),".")</f>
        <v>69115.823530903115</v>
      </c>
      <c r="AR44" s="101">
        <f>IFERROR(up_RadSpec!$E$15*(AR15/$B44),".")</f>
        <v>69115.823530903115</v>
      </c>
      <c r="AS44" s="101">
        <f>IFERROR(up_RadSpec!$E$15*(AS15/$B44),".")</f>
        <v>69115.823530903115</v>
      </c>
      <c r="AT44" s="101">
        <f>IFERROR(up_RadSpec!$E$15*(AT15/$B44),".")</f>
        <v>69115.823530903115</v>
      </c>
      <c r="AU44" s="101">
        <f>IFERROR(up_RadSpec!$E$15*(AU15/$B44),".")</f>
        <v>69115.823530903115</v>
      </c>
      <c r="AV44" s="101">
        <f>IFERROR(up_RadSpec!$E$15*(AV15/$B44),".")</f>
        <v>69115.823530903115</v>
      </c>
      <c r="AW44" s="101">
        <f>IFERROR(up_RadSpec!$E$15*(AW15/$B44),".")</f>
        <v>69115.823530903115</v>
      </c>
      <c r="AX44" s="101">
        <f>IFERROR(up_RadSpec!$E$15*(AX15/$B44),".")</f>
        <v>69115.823530903115</v>
      </c>
      <c r="AY44" s="101">
        <f>IFERROR(up_RadSpec!$E$15*(AY15/$B44),".")</f>
        <v>69115.823530903115</v>
      </c>
      <c r="AZ44" s="101">
        <f>IFERROR(up_RadSpec!$E$15*(AZ15/$B44),".")</f>
        <v>69115.823530903115</v>
      </c>
      <c r="BA44" s="100">
        <f t="shared" si="22"/>
        <v>3454961836.4261765</v>
      </c>
      <c r="BB44" s="100">
        <f t="shared" ref="BB44:BY44" si="46">IFERROR($B44/BB15,0)</f>
        <v>13819847345.704708</v>
      </c>
      <c r="BC44" s="100">
        <f t="shared" si="46"/>
        <v>13819847345.704708</v>
      </c>
      <c r="BD44" s="100">
        <f t="shared" si="46"/>
        <v>13819847345.704708</v>
      </c>
      <c r="BE44" s="100">
        <f t="shared" si="46"/>
        <v>13819847345.704708</v>
      </c>
      <c r="BF44" s="100">
        <f t="shared" si="46"/>
        <v>13819847345.704708</v>
      </c>
      <c r="BG44" s="100">
        <f t="shared" si="46"/>
        <v>13819847345.704708</v>
      </c>
      <c r="BH44" s="100">
        <f t="shared" si="46"/>
        <v>13819847345.704708</v>
      </c>
      <c r="BI44" s="100">
        <f t="shared" si="46"/>
        <v>13819847345.704708</v>
      </c>
      <c r="BJ44" s="100">
        <f t="shared" si="46"/>
        <v>13819847345.704708</v>
      </c>
      <c r="BK44" s="100">
        <f t="shared" si="46"/>
        <v>13819847345.704708</v>
      </c>
      <c r="BL44" s="100">
        <f t="shared" si="46"/>
        <v>13819847345.704708</v>
      </c>
      <c r="BM44" s="100">
        <f t="shared" si="46"/>
        <v>13819847345.704708</v>
      </c>
      <c r="BN44" s="100">
        <f t="shared" si="46"/>
        <v>13819847345.704708</v>
      </c>
      <c r="BO44" s="100">
        <f t="shared" si="46"/>
        <v>13819847345.704708</v>
      </c>
      <c r="BP44" s="100">
        <f t="shared" si="46"/>
        <v>13819847345.704708</v>
      </c>
      <c r="BQ44" s="100">
        <f t="shared" si="46"/>
        <v>13819847345.704708</v>
      </c>
      <c r="BR44" s="100">
        <f t="shared" si="46"/>
        <v>13819847345.704708</v>
      </c>
      <c r="BS44" s="100">
        <f t="shared" si="46"/>
        <v>13819847345.704708</v>
      </c>
      <c r="BT44" s="100">
        <f t="shared" si="46"/>
        <v>13819847345.704708</v>
      </c>
      <c r="BU44" s="100">
        <f t="shared" si="46"/>
        <v>13819847345.704708</v>
      </c>
      <c r="BV44" s="100">
        <f t="shared" si="46"/>
        <v>13819847345.704708</v>
      </c>
      <c r="BW44" s="100">
        <f t="shared" si="46"/>
        <v>13819847345.704708</v>
      </c>
      <c r="BX44" s="100">
        <f t="shared" si="46"/>
        <v>13819847345.704708</v>
      </c>
      <c r="BY44" s="100">
        <f t="shared" si="46"/>
        <v>13819847345.704708</v>
      </c>
      <c r="BZ44" s="49">
        <f t="shared" si="24"/>
        <v>276463.29412361246</v>
      </c>
      <c r="CA44" s="101">
        <f>IFERROR(up_RadSpec!$E$15*(CA15/$B44),".")</f>
        <v>69115.823530903115</v>
      </c>
      <c r="CB44" s="101">
        <f>IFERROR(up_RadSpec!$E$15*(CB15/$B44),".")</f>
        <v>69115.823530903115</v>
      </c>
      <c r="CC44" s="101">
        <f>IFERROR(up_RadSpec!$E$15*(CC15/$B44),".")</f>
        <v>69115.823530903115</v>
      </c>
      <c r="CD44" s="101">
        <f>IFERROR(up_RadSpec!$E$15*(CD15/$B44),".")</f>
        <v>69115.823530903115</v>
      </c>
      <c r="CE44" s="101">
        <f>IFERROR(up_RadSpec!$E$15*(CE15/$B44),".")</f>
        <v>69115.823530903115</v>
      </c>
      <c r="CF44" s="101">
        <f>IFERROR(up_RadSpec!$E$15*(CF15/$B44),".")</f>
        <v>69115.823530903115</v>
      </c>
      <c r="CG44" s="101">
        <f>IFERROR(up_RadSpec!$E$15*(CG15/$B44),".")</f>
        <v>69115.823530903115</v>
      </c>
      <c r="CH44" s="101">
        <f>IFERROR(up_RadSpec!$E$15*(CH15/$B44),".")</f>
        <v>69115.823530903115</v>
      </c>
      <c r="CI44" s="101">
        <f>IFERROR(up_RadSpec!$E$15*(CI15/$B44),".")</f>
        <v>69115.823530903115</v>
      </c>
      <c r="CJ44" s="101">
        <f>IFERROR(up_RadSpec!$E$15*(CJ15/$B44),".")</f>
        <v>69115.823530903115</v>
      </c>
      <c r="CK44" s="101">
        <f>IFERROR(up_RadSpec!$E$15*(CK15/$B44),".")</f>
        <v>69115.823530903115</v>
      </c>
      <c r="CL44" s="101">
        <f>IFERROR(up_RadSpec!$E$15*(CL15/$B44),".")</f>
        <v>69115.823530903115</v>
      </c>
      <c r="CM44" s="101">
        <f>IFERROR(up_RadSpec!$E$15*(CM15/$B44),".")</f>
        <v>69115.823530903115</v>
      </c>
      <c r="CN44" s="101">
        <f>IFERROR(up_RadSpec!$E$15*(CN15/$B44),".")</f>
        <v>69115.823530903115</v>
      </c>
      <c r="CO44" s="101">
        <f>IFERROR(up_RadSpec!$E$15*(CO15/$B44),".")</f>
        <v>69115.823530903115</v>
      </c>
      <c r="CP44" s="101">
        <f>IFERROR(up_RadSpec!$E$15*(CP15/$B44),".")</f>
        <v>69115.823530903115</v>
      </c>
      <c r="CQ44" s="101">
        <f>IFERROR(up_RadSpec!$E$15*(CQ15/$B44),".")</f>
        <v>69115.823530903115</v>
      </c>
      <c r="CR44" s="101">
        <f>IFERROR(up_RadSpec!$E$15*(CR15/$B44),".")</f>
        <v>69115.823530903115</v>
      </c>
      <c r="CS44" s="101">
        <f>IFERROR(up_RadSpec!$E$15*(CS15/$B44),".")</f>
        <v>69115.823530903115</v>
      </c>
      <c r="CT44" s="101">
        <f>IFERROR(up_RadSpec!$E$15*(CT15/$B44),".")</f>
        <v>69115.823530903115</v>
      </c>
      <c r="CU44" s="101">
        <f>IFERROR(up_RadSpec!$E$15*(CU15/$B44),".")</f>
        <v>69115.823530903115</v>
      </c>
      <c r="CV44" s="101">
        <f>IFERROR(up_RadSpec!$E$15*(CV15/$B44),".")</f>
        <v>69115.823530903115</v>
      </c>
      <c r="CW44" s="101">
        <f>IFERROR(up_RadSpec!$E$15*(CW15/$B44),".")</f>
        <v>69115.823530903115</v>
      </c>
      <c r="CX44" s="101">
        <f>IFERROR(up_RadSpec!$E$15*(CX15/$B44),".")</f>
        <v>69115.823530903115</v>
      </c>
    </row>
    <row r="45" spans="1:102" x14ac:dyDescent="0.25">
      <c r="A45" s="95" t="s">
        <v>20</v>
      </c>
      <c r="B45" s="95" t="s">
        <v>1074</v>
      </c>
      <c r="C45" s="96">
        <f t="shared" si="0"/>
        <v>9.3044481014006415E-12</v>
      </c>
      <c r="D45" s="96">
        <f>IFERROR(1/SUM(D46:D47),".")</f>
        <v>3.7217792405602566E-11</v>
      </c>
      <c r="E45" s="96">
        <f t="shared" ref="E45:AA45" si="47">IFERROR(1/SUM(E46:E47),".")</f>
        <v>3.7217792405602566E-11</v>
      </c>
      <c r="F45" s="96">
        <f t="shared" si="47"/>
        <v>3.7217792405602566E-11</v>
      </c>
      <c r="G45" s="96">
        <f t="shared" si="47"/>
        <v>3.7217792405602566E-11</v>
      </c>
      <c r="H45" s="96">
        <f t="shared" si="47"/>
        <v>3.7217792405602566E-11</v>
      </c>
      <c r="I45" s="96">
        <f t="shared" si="47"/>
        <v>3.7217792405602566E-11</v>
      </c>
      <c r="J45" s="96">
        <f t="shared" si="47"/>
        <v>3.7217792405602566E-11</v>
      </c>
      <c r="K45" s="96">
        <f t="shared" si="47"/>
        <v>3.7217792405602566E-11</v>
      </c>
      <c r="L45" s="96">
        <f t="shared" si="47"/>
        <v>3.7217792405602566E-11</v>
      </c>
      <c r="M45" s="96">
        <f t="shared" si="47"/>
        <v>3.7217792405602566E-11</v>
      </c>
      <c r="N45" s="96">
        <f t="shared" si="47"/>
        <v>3.7217792405602566E-11</v>
      </c>
      <c r="O45" s="96">
        <f t="shared" si="47"/>
        <v>3.7217792405602566E-11</v>
      </c>
      <c r="P45" s="96">
        <f t="shared" si="47"/>
        <v>3.7217792405602566E-11</v>
      </c>
      <c r="Q45" s="96">
        <f t="shared" si="47"/>
        <v>3.7217792405602566E-11</v>
      </c>
      <c r="R45" s="96">
        <f t="shared" si="47"/>
        <v>3.7217792405602566E-11</v>
      </c>
      <c r="S45" s="96">
        <f t="shared" si="47"/>
        <v>3.7217792405602566E-11</v>
      </c>
      <c r="T45" s="96">
        <f t="shared" si="47"/>
        <v>3.7217792405602566E-11</v>
      </c>
      <c r="U45" s="96">
        <f t="shared" si="47"/>
        <v>3.7217792405602566E-11</v>
      </c>
      <c r="V45" s="96">
        <f t="shared" si="47"/>
        <v>3.7217792405602566E-11</v>
      </c>
      <c r="W45" s="96">
        <f t="shared" si="47"/>
        <v>3.7217792405602566E-11</v>
      </c>
      <c r="X45" s="96">
        <f t="shared" si="47"/>
        <v>3.7217792405602566E-11</v>
      </c>
      <c r="Y45" s="96">
        <f t="shared" si="47"/>
        <v>3.7217792405602566E-11</v>
      </c>
      <c r="Z45" s="96">
        <f t="shared" si="47"/>
        <v>3.7217792405602566E-11</v>
      </c>
      <c r="AA45" s="96">
        <f t="shared" si="47"/>
        <v>3.7217792405602566E-11</v>
      </c>
      <c r="AB45" s="47">
        <f>IFERROR(IF(SUM(AC46:AD47,AY46:AZ47)&gt;0.01,1-EXP(-SUM(AC46:AD47,AY46:AZ47)),SUM(AC46:AD47,AY46:AZ47)),".")</f>
        <v>1</v>
      </c>
      <c r="AC45" s="97">
        <f>IFERROR(IF(SUM(AC46:AC47)&gt;0.01,1-EXP(-(SUM(AC46:AC47))),SUM(AC46:AC47)),".")</f>
        <v>1</v>
      </c>
      <c r="AD45" s="97">
        <f>IFERROR(IF(SUM(AD46:AD47)&gt;0.01,1-EXP(-(SUM(AD46:AD47))),SUM(AD46:AD47)),".")</f>
        <v>1</v>
      </c>
      <c r="AE45" s="97">
        <f t="shared" ref="AE45:AX45" si="48">IFERROR(IF(SUM(AE46:AE47)&gt;0.01,1-EXP(-(SUM(AE46:AE47))),SUM(AE46:AE47)),".")</f>
        <v>1</v>
      </c>
      <c r="AF45" s="97">
        <f t="shared" si="48"/>
        <v>1</v>
      </c>
      <c r="AG45" s="97">
        <f t="shared" si="48"/>
        <v>1</v>
      </c>
      <c r="AH45" s="97">
        <f t="shared" si="48"/>
        <v>1</v>
      </c>
      <c r="AI45" s="97">
        <f t="shared" si="48"/>
        <v>1</v>
      </c>
      <c r="AJ45" s="97">
        <f t="shared" si="48"/>
        <v>1</v>
      </c>
      <c r="AK45" s="97">
        <f t="shared" si="48"/>
        <v>1</v>
      </c>
      <c r="AL45" s="97">
        <f t="shared" si="48"/>
        <v>1</v>
      </c>
      <c r="AM45" s="97">
        <f t="shared" si="48"/>
        <v>1</v>
      </c>
      <c r="AN45" s="97">
        <f t="shared" si="48"/>
        <v>1</v>
      </c>
      <c r="AO45" s="97">
        <f t="shared" si="48"/>
        <v>1</v>
      </c>
      <c r="AP45" s="97">
        <f t="shared" si="48"/>
        <v>1</v>
      </c>
      <c r="AQ45" s="97">
        <f t="shared" si="48"/>
        <v>1</v>
      </c>
      <c r="AR45" s="97">
        <f t="shared" si="48"/>
        <v>1</v>
      </c>
      <c r="AS45" s="97">
        <f t="shared" si="48"/>
        <v>1</v>
      </c>
      <c r="AT45" s="97">
        <f t="shared" si="48"/>
        <v>1</v>
      </c>
      <c r="AU45" s="97">
        <f t="shared" si="48"/>
        <v>1</v>
      </c>
      <c r="AV45" s="97">
        <f t="shared" si="48"/>
        <v>1</v>
      </c>
      <c r="AW45" s="97">
        <f t="shared" si="48"/>
        <v>1</v>
      </c>
      <c r="AX45" s="97">
        <f t="shared" si="48"/>
        <v>1</v>
      </c>
      <c r="AY45" s="97">
        <f>IFERROR(IF(SUM(AY46:AY47)&gt;0.01,1-EXP(-(SUM(AY46:AY47))),SUM(AY46:AY47)),".")</f>
        <v>1</v>
      </c>
      <c r="AZ45" s="97">
        <f>IFERROR(IF(SUM(AZ46:AZ47)&gt;0.01,1-EXP(-(SUM(AZ46:AZ47))),SUM(AZ46:AZ47)),".")</f>
        <v>1</v>
      </c>
      <c r="BA45" s="98">
        <f t="shared" si="22"/>
        <v>9.3044481014006415E-12</v>
      </c>
      <c r="BB45" s="98">
        <f>IFERROR(1/SUM(BB46:BB47),".")</f>
        <v>3.7217792405602566E-11</v>
      </c>
      <c r="BC45" s="98">
        <f t="shared" ref="BC45:BY45" si="49">IFERROR(1/SUM(BC46:BC47),".")</f>
        <v>3.7217792405602566E-11</v>
      </c>
      <c r="BD45" s="98">
        <f t="shared" si="49"/>
        <v>3.7217792405602566E-11</v>
      </c>
      <c r="BE45" s="98">
        <f t="shared" si="49"/>
        <v>3.7217792405602566E-11</v>
      </c>
      <c r="BF45" s="98">
        <f t="shared" si="49"/>
        <v>3.7217792405602566E-11</v>
      </c>
      <c r="BG45" s="98">
        <f t="shared" si="49"/>
        <v>3.7217792405602566E-11</v>
      </c>
      <c r="BH45" s="98">
        <f t="shared" si="49"/>
        <v>3.7217792405602566E-11</v>
      </c>
      <c r="BI45" s="98">
        <f t="shared" si="49"/>
        <v>3.7217792405602566E-11</v>
      </c>
      <c r="BJ45" s="98">
        <f t="shared" si="49"/>
        <v>3.7217792405602566E-11</v>
      </c>
      <c r="BK45" s="98">
        <f t="shared" si="49"/>
        <v>3.7217792405602566E-11</v>
      </c>
      <c r="BL45" s="98">
        <f t="shared" si="49"/>
        <v>3.7217792405602566E-11</v>
      </c>
      <c r="BM45" s="98">
        <f t="shared" si="49"/>
        <v>3.7217792405602566E-11</v>
      </c>
      <c r="BN45" s="98">
        <f t="shared" si="49"/>
        <v>3.7217792405602566E-11</v>
      </c>
      <c r="BO45" s="98">
        <f t="shared" si="49"/>
        <v>3.7217792405602566E-11</v>
      </c>
      <c r="BP45" s="98">
        <f t="shared" si="49"/>
        <v>3.7217792405602566E-11</v>
      </c>
      <c r="BQ45" s="98">
        <f t="shared" si="49"/>
        <v>3.7217792405602566E-11</v>
      </c>
      <c r="BR45" s="98">
        <f t="shared" si="49"/>
        <v>3.7217792405602566E-11</v>
      </c>
      <c r="BS45" s="98">
        <f t="shared" si="49"/>
        <v>3.7217792405602566E-11</v>
      </c>
      <c r="BT45" s="98">
        <f t="shared" si="49"/>
        <v>3.7217792405602566E-11</v>
      </c>
      <c r="BU45" s="98">
        <f t="shared" si="49"/>
        <v>3.7217792405602566E-11</v>
      </c>
      <c r="BV45" s="98">
        <f t="shared" si="49"/>
        <v>3.7217792405602566E-11</v>
      </c>
      <c r="BW45" s="98">
        <f t="shared" si="49"/>
        <v>3.7217792405602566E-11</v>
      </c>
      <c r="BX45" s="98">
        <f t="shared" si="49"/>
        <v>3.7217792405602566E-11</v>
      </c>
      <c r="BY45" s="98">
        <f t="shared" si="49"/>
        <v>3.7217792405602566E-11</v>
      </c>
      <c r="BZ45" s="47">
        <f>IFERROR(IF(SUM(CA46:CB47,CW46:CX47)&gt;0.01,1-EXP(-SUM(CA46:CB47,CW46:CX47)),SUM(CA46:CB47,CW46:CX47)),".")</f>
        <v>1</v>
      </c>
      <c r="CA45" s="97">
        <f>IFERROR(IF(SUM(CA46:CA47)&gt;0.01,1-EXP(-(SUM(CA46:CA47))),SUM(CA46:CA47)),".")</f>
        <v>1</v>
      </c>
      <c r="CB45" s="97">
        <f>IFERROR(IF(SUM(CB46:CB47)&gt;0.01,1-EXP(-(SUM(CB46:CB47))),SUM(CB46:CB47)),".")</f>
        <v>1</v>
      </c>
      <c r="CC45" s="97">
        <f t="shared" ref="CC45:CV45" si="50">IFERROR(IF(SUM(CC46:CC47)&gt;0.01,1-EXP(-(SUM(CC46:CC47))),SUM(CC46:CC47)),".")</f>
        <v>1</v>
      </c>
      <c r="CD45" s="97">
        <f t="shared" si="50"/>
        <v>1</v>
      </c>
      <c r="CE45" s="97">
        <f t="shared" si="50"/>
        <v>1</v>
      </c>
      <c r="CF45" s="97">
        <f t="shared" si="50"/>
        <v>1</v>
      </c>
      <c r="CG45" s="97">
        <f t="shared" si="50"/>
        <v>1</v>
      </c>
      <c r="CH45" s="97">
        <f t="shared" si="50"/>
        <v>1</v>
      </c>
      <c r="CI45" s="97">
        <f t="shared" si="50"/>
        <v>1</v>
      </c>
      <c r="CJ45" s="97">
        <f t="shared" si="50"/>
        <v>1</v>
      </c>
      <c r="CK45" s="97">
        <f t="shared" si="50"/>
        <v>1</v>
      </c>
      <c r="CL45" s="97">
        <f t="shared" si="50"/>
        <v>1</v>
      </c>
      <c r="CM45" s="97">
        <f t="shared" si="50"/>
        <v>1</v>
      </c>
      <c r="CN45" s="97">
        <f t="shared" si="50"/>
        <v>1</v>
      </c>
      <c r="CO45" s="97">
        <f t="shared" si="50"/>
        <v>1</v>
      </c>
      <c r="CP45" s="97">
        <f t="shared" si="50"/>
        <v>1</v>
      </c>
      <c r="CQ45" s="97">
        <f t="shared" si="50"/>
        <v>1</v>
      </c>
      <c r="CR45" s="97">
        <f t="shared" si="50"/>
        <v>1</v>
      </c>
      <c r="CS45" s="97">
        <f t="shared" si="50"/>
        <v>1</v>
      </c>
      <c r="CT45" s="97">
        <f t="shared" si="50"/>
        <v>1</v>
      </c>
      <c r="CU45" s="97">
        <f t="shared" si="50"/>
        <v>1</v>
      </c>
      <c r="CV45" s="97">
        <f t="shared" si="50"/>
        <v>1</v>
      </c>
      <c r="CW45" s="97">
        <f>IFERROR(IF(SUM(CW46:CW47)&gt;0.01,1-EXP(-(SUM(CW46:CW47))),SUM(CW46:CW47)),".")</f>
        <v>1</v>
      </c>
      <c r="CX45" s="97">
        <f>IFERROR(IF(SUM(CX46:CX47)&gt;0.01,1-EXP(-(SUM(CX46:CX47))),SUM(CX46:CX47)),".")</f>
        <v>1</v>
      </c>
    </row>
    <row r="46" spans="1:102" x14ac:dyDescent="0.25">
      <c r="A46" s="99" t="s">
        <v>1101</v>
      </c>
      <c r="B46" s="90">
        <v>1</v>
      </c>
      <c r="C46" s="100">
        <f t="shared" si="0"/>
        <v>3455376481.6039696</v>
      </c>
      <c r="D46" s="100">
        <f t="shared" ref="D46:AA46" si="51">IFERROR($B46/D10,0)</f>
        <v>13821505926.415878</v>
      </c>
      <c r="E46" s="100">
        <f t="shared" si="51"/>
        <v>13821505926.415878</v>
      </c>
      <c r="F46" s="100">
        <f t="shared" si="51"/>
        <v>13821505926.415878</v>
      </c>
      <c r="G46" s="100">
        <f t="shared" si="51"/>
        <v>13821505926.415878</v>
      </c>
      <c r="H46" s="100">
        <f t="shared" si="51"/>
        <v>13821505926.415878</v>
      </c>
      <c r="I46" s="100">
        <f t="shared" si="51"/>
        <v>13821505926.415878</v>
      </c>
      <c r="J46" s="100">
        <f t="shared" si="51"/>
        <v>13821505926.415878</v>
      </c>
      <c r="K46" s="100">
        <f t="shared" si="51"/>
        <v>13821505926.415878</v>
      </c>
      <c r="L46" s="100">
        <f t="shared" si="51"/>
        <v>13821505926.415878</v>
      </c>
      <c r="M46" s="100">
        <f t="shared" si="51"/>
        <v>13821505926.415878</v>
      </c>
      <c r="N46" s="100">
        <f t="shared" si="51"/>
        <v>13821505926.415878</v>
      </c>
      <c r="O46" s="100">
        <f t="shared" si="51"/>
        <v>13821505926.415878</v>
      </c>
      <c r="P46" s="100">
        <f t="shared" si="51"/>
        <v>13821505926.415878</v>
      </c>
      <c r="Q46" s="100">
        <f t="shared" si="51"/>
        <v>13821505926.415878</v>
      </c>
      <c r="R46" s="100">
        <f t="shared" si="51"/>
        <v>13821505926.415878</v>
      </c>
      <c r="S46" s="100">
        <f t="shared" si="51"/>
        <v>13821505926.415878</v>
      </c>
      <c r="T46" s="100">
        <f t="shared" si="51"/>
        <v>13821505926.415878</v>
      </c>
      <c r="U46" s="100">
        <f t="shared" si="51"/>
        <v>13821505926.415878</v>
      </c>
      <c r="V46" s="100">
        <f t="shared" si="51"/>
        <v>13821505926.415878</v>
      </c>
      <c r="W46" s="100">
        <f t="shared" si="51"/>
        <v>13821505926.415878</v>
      </c>
      <c r="X46" s="100">
        <f t="shared" si="51"/>
        <v>13821505926.415878</v>
      </c>
      <c r="Y46" s="100">
        <f t="shared" si="51"/>
        <v>13821505926.415878</v>
      </c>
      <c r="Z46" s="100">
        <f t="shared" si="51"/>
        <v>13821505926.415878</v>
      </c>
      <c r="AA46" s="100">
        <f t="shared" si="51"/>
        <v>13821505926.415878</v>
      </c>
      <c r="AB46" s="49">
        <f t="shared" si="21"/>
        <v>276430.1185283176</v>
      </c>
      <c r="AC46" s="101">
        <f>IFERROR(up_RadSpec!$E$10*(AC10/$B46),".")</f>
        <v>69107.5296320794</v>
      </c>
      <c r="AD46" s="101">
        <f>IFERROR(up_RadSpec!$E$10*(AD10/$B46),".")</f>
        <v>69107.5296320794</v>
      </c>
      <c r="AE46" s="101">
        <f>IFERROR(up_RadSpec!$E$10*(AE10/$B46),".")</f>
        <v>69107.5296320794</v>
      </c>
      <c r="AF46" s="101">
        <f>IFERROR(up_RadSpec!$E$10*(AF10/$B46),".")</f>
        <v>69107.5296320794</v>
      </c>
      <c r="AG46" s="101">
        <f>IFERROR(up_RadSpec!$E$10*(AG10/$B46),".")</f>
        <v>69107.5296320794</v>
      </c>
      <c r="AH46" s="101">
        <f>IFERROR(up_RadSpec!$E$10*(AH10/$B46),".")</f>
        <v>69107.5296320794</v>
      </c>
      <c r="AI46" s="101">
        <f>IFERROR(up_RadSpec!$E$10*(AI10/$B46),".")</f>
        <v>69107.5296320794</v>
      </c>
      <c r="AJ46" s="101">
        <f>IFERROR(up_RadSpec!$E$10*(AJ10/$B46),".")</f>
        <v>69107.5296320794</v>
      </c>
      <c r="AK46" s="101">
        <f>IFERROR(up_RadSpec!$E$10*(AK10/$B46),".")</f>
        <v>69107.5296320794</v>
      </c>
      <c r="AL46" s="101">
        <f>IFERROR(up_RadSpec!$E$10*(AL10/$B46),".")</f>
        <v>69107.5296320794</v>
      </c>
      <c r="AM46" s="101">
        <f>IFERROR(up_RadSpec!$E$10*(AM10/$B46),".")</f>
        <v>69107.5296320794</v>
      </c>
      <c r="AN46" s="101">
        <f>IFERROR(up_RadSpec!$E$10*(AN10/$B46),".")</f>
        <v>69107.5296320794</v>
      </c>
      <c r="AO46" s="101">
        <f>IFERROR(up_RadSpec!$E$10*(AO10/$B46),".")</f>
        <v>69107.5296320794</v>
      </c>
      <c r="AP46" s="101">
        <f>IFERROR(up_RadSpec!$E$10*(AP10/$B46),".")</f>
        <v>69107.5296320794</v>
      </c>
      <c r="AQ46" s="101">
        <f>IFERROR(up_RadSpec!$E$10*(AQ10/$B46),".")</f>
        <v>69107.5296320794</v>
      </c>
      <c r="AR46" s="101">
        <f>IFERROR(up_RadSpec!$E$10*(AR10/$B46),".")</f>
        <v>69107.5296320794</v>
      </c>
      <c r="AS46" s="101">
        <f>IFERROR(up_RadSpec!$E$10*(AS10/$B46),".")</f>
        <v>69107.5296320794</v>
      </c>
      <c r="AT46" s="101">
        <f>IFERROR(up_RadSpec!$E$10*(AT10/$B46),".")</f>
        <v>69107.5296320794</v>
      </c>
      <c r="AU46" s="101">
        <f>IFERROR(up_RadSpec!$E$10*(AU10/$B46),".")</f>
        <v>69107.5296320794</v>
      </c>
      <c r="AV46" s="101">
        <f>IFERROR(up_RadSpec!$E$10*(AV10/$B46),".")</f>
        <v>69107.5296320794</v>
      </c>
      <c r="AW46" s="101">
        <f>IFERROR(up_RadSpec!$E$10*(AW10/$B46),".")</f>
        <v>69107.5296320794</v>
      </c>
      <c r="AX46" s="101">
        <f>IFERROR(up_RadSpec!$E$10*(AX10/$B46),".")</f>
        <v>69107.5296320794</v>
      </c>
      <c r="AY46" s="101">
        <f>IFERROR(up_RadSpec!$E$10*(AY10/$B46),".")</f>
        <v>69107.5296320794</v>
      </c>
      <c r="AZ46" s="101">
        <f>IFERROR(up_RadSpec!$E$10*(AZ10/$B46),".")</f>
        <v>69107.5296320794</v>
      </c>
      <c r="BA46" s="100">
        <f t="shared" si="22"/>
        <v>3455376481.6039696</v>
      </c>
      <c r="BB46" s="100">
        <f t="shared" ref="BB46:BY46" si="52">IFERROR($B46/BB10,0)</f>
        <v>13821505926.415878</v>
      </c>
      <c r="BC46" s="100">
        <f t="shared" si="52"/>
        <v>13821505926.415878</v>
      </c>
      <c r="BD46" s="100">
        <f t="shared" si="52"/>
        <v>13821505926.415878</v>
      </c>
      <c r="BE46" s="100">
        <f t="shared" si="52"/>
        <v>13821505926.415878</v>
      </c>
      <c r="BF46" s="100">
        <f t="shared" si="52"/>
        <v>13821505926.415878</v>
      </c>
      <c r="BG46" s="100">
        <f t="shared" si="52"/>
        <v>13821505926.415878</v>
      </c>
      <c r="BH46" s="100">
        <f t="shared" si="52"/>
        <v>13821505926.415878</v>
      </c>
      <c r="BI46" s="100">
        <f t="shared" si="52"/>
        <v>13821505926.415878</v>
      </c>
      <c r="BJ46" s="100">
        <f t="shared" si="52"/>
        <v>13821505926.415878</v>
      </c>
      <c r="BK46" s="100">
        <f t="shared" si="52"/>
        <v>13821505926.415878</v>
      </c>
      <c r="BL46" s="100">
        <f t="shared" si="52"/>
        <v>13821505926.415878</v>
      </c>
      <c r="BM46" s="100">
        <f t="shared" si="52"/>
        <v>13821505926.415878</v>
      </c>
      <c r="BN46" s="100">
        <f t="shared" si="52"/>
        <v>13821505926.415878</v>
      </c>
      <c r="BO46" s="100">
        <f t="shared" si="52"/>
        <v>13821505926.415878</v>
      </c>
      <c r="BP46" s="100">
        <f t="shared" si="52"/>
        <v>13821505926.415878</v>
      </c>
      <c r="BQ46" s="100">
        <f t="shared" si="52"/>
        <v>13821505926.415878</v>
      </c>
      <c r="BR46" s="100">
        <f t="shared" si="52"/>
        <v>13821505926.415878</v>
      </c>
      <c r="BS46" s="100">
        <f t="shared" si="52"/>
        <v>13821505926.415878</v>
      </c>
      <c r="BT46" s="100">
        <f t="shared" si="52"/>
        <v>13821505926.415878</v>
      </c>
      <c r="BU46" s="100">
        <f t="shared" si="52"/>
        <v>13821505926.415878</v>
      </c>
      <c r="BV46" s="100">
        <f t="shared" si="52"/>
        <v>13821505926.415878</v>
      </c>
      <c r="BW46" s="100">
        <f t="shared" si="52"/>
        <v>13821505926.415878</v>
      </c>
      <c r="BX46" s="100">
        <f t="shared" si="52"/>
        <v>13821505926.415878</v>
      </c>
      <c r="BY46" s="100">
        <f t="shared" si="52"/>
        <v>13821505926.415878</v>
      </c>
      <c r="BZ46" s="49">
        <f t="shared" ref="BZ46:BZ47" si="53">SUM(CA46:CB46,CW46:CX46)</f>
        <v>276430.1185283176</v>
      </c>
      <c r="CA46" s="101">
        <f>IFERROR(up_RadSpec!$E$10*(CA10/$B46),".")</f>
        <v>69107.5296320794</v>
      </c>
      <c r="CB46" s="101">
        <f>IFERROR(up_RadSpec!$E$10*(CB10/$B46),".")</f>
        <v>69107.5296320794</v>
      </c>
      <c r="CC46" s="101">
        <f>IFERROR(up_RadSpec!$E$10*(CC10/$B46),".")</f>
        <v>69107.5296320794</v>
      </c>
      <c r="CD46" s="101">
        <f>IFERROR(up_RadSpec!$E$10*(CD10/$B46),".")</f>
        <v>69107.5296320794</v>
      </c>
      <c r="CE46" s="101">
        <f>IFERROR(up_RadSpec!$E$10*(CE10/$B46),".")</f>
        <v>69107.5296320794</v>
      </c>
      <c r="CF46" s="101">
        <f>IFERROR(up_RadSpec!$E$10*(CF10/$B46),".")</f>
        <v>69107.5296320794</v>
      </c>
      <c r="CG46" s="101">
        <f>IFERROR(up_RadSpec!$E$10*(CG10/$B46),".")</f>
        <v>69107.5296320794</v>
      </c>
      <c r="CH46" s="101">
        <f>IFERROR(up_RadSpec!$E$10*(CH10/$B46),".")</f>
        <v>69107.5296320794</v>
      </c>
      <c r="CI46" s="101">
        <f>IFERROR(up_RadSpec!$E$10*(CI10/$B46),".")</f>
        <v>69107.5296320794</v>
      </c>
      <c r="CJ46" s="101">
        <f>IFERROR(up_RadSpec!$E$10*(CJ10/$B46),".")</f>
        <v>69107.5296320794</v>
      </c>
      <c r="CK46" s="101">
        <f>IFERROR(up_RadSpec!$E$10*(CK10/$B46),".")</f>
        <v>69107.5296320794</v>
      </c>
      <c r="CL46" s="101">
        <f>IFERROR(up_RadSpec!$E$10*(CL10/$B46),".")</f>
        <v>69107.5296320794</v>
      </c>
      <c r="CM46" s="101">
        <f>IFERROR(up_RadSpec!$E$10*(CM10/$B46),".")</f>
        <v>69107.5296320794</v>
      </c>
      <c r="CN46" s="101">
        <f>IFERROR(up_RadSpec!$E$10*(CN10/$B46),".")</f>
        <v>69107.5296320794</v>
      </c>
      <c r="CO46" s="101">
        <f>IFERROR(up_RadSpec!$E$10*(CO10/$B46),".")</f>
        <v>69107.5296320794</v>
      </c>
      <c r="CP46" s="101">
        <f>IFERROR(up_RadSpec!$E$10*(CP10/$B46),".")</f>
        <v>69107.5296320794</v>
      </c>
      <c r="CQ46" s="101">
        <f>IFERROR(up_RadSpec!$E$10*(CQ10/$B46),".")</f>
        <v>69107.5296320794</v>
      </c>
      <c r="CR46" s="101">
        <f>IFERROR(up_RadSpec!$E$10*(CR10/$B46),".")</f>
        <v>69107.5296320794</v>
      </c>
      <c r="CS46" s="101">
        <f>IFERROR(up_RadSpec!$E$10*(CS10/$B46),".")</f>
        <v>69107.5296320794</v>
      </c>
      <c r="CT46" s="101">
        <f>IFERROR(up_RadSpec!$E$10*(CT10/$B46),".")</f>
        <v>69107.5296320794</v>
      </c>
      <c r="CU46" s="101">
        <f>IFERROR(up_RadSpec!$E$10*(CU10/$B46),".")</f>
        <v>69107.5296320794</v>
      </c>
      <c r="CV46" s="101">
        <f>IFERROR(up_RadSpec!$E$10*(CV10/$B46),".")</f>
        <v>69107.5296320794</v>
      </c>
      <c r="CW46" s="101">
        <f>IFERROR(up_RadSpec!$E$10*(CW10/$B46),".")</f>
        <v>69107.5296320794</v>
      </c>
      <c r="CX46" s="101">
        <f>IFERROR(up_RadSpec!$E$10*(CX10/$B46),".")</f>
        <v>69107.5296320794</v>
      </c>
    </row>
    <row r="47" spans="1:102" x14ac:dyDescent="0.25">
      <c r="A47" s="99" t="s">
        <v>1075</v>
      </c>
      <c r="B47" s="103">
        <v>0.94399</v>
      </c>
      <c r="C47" s="100">
        <f t="shared" si="0"/>
        <v>3261840844.8693314</v>
      </c>
      <c r="D47" s="100">
        <f t="shared" ref="D47:AA47" si="54">IFERROR($B47/D6,0)</f>
        <v>13047363379.477325</v>
      </c>
      <c r="E47" s="100">
        <f t="shared" si="54"/>
        <v>13047363379.477325</v>
      </c>
      <c r="F47" s="100">
        <f t="shared" si="54"/>
        <v>13047363379.477325</v>
      </c>
      <c r="G47" s="100">
        <f t="shared" si="54"/>
        <v>13047363379.477325</v>
      </c>
      <c r="H47" s="100">
        <f t="shared" si="54"/>
        <v>13047363379.477325</v>
      </c>
      <c r="I47" s="100">
        <f t="shared" si="54"/>
        <v>13047363379.477325</v>
      </c>
      <c r="J47" s="100">
        <f t="shared" si="54"/>
        <v>13047363379.477325</v>
      </c>
      <c r="K47" s="100">
        <f t="shared" si="54"/>
        <v>13047363379.477325</v>
      </c>
      <c r="L47" s="100">
        <f t="shared" si="54"/>
        <v>13047363379.477325</v>
      </c>
      <c r="M47" s="100">
        <f t="shared" si="54"/>
        <v>13047363379.477325</v>
      </c>
      <c r="N47" s="100">
        <f t="shared" si="54"/>
        <v>13047363379.477325</v>
      </c>
      <c r="O47" s="100">
        <f t="shared" si="54"/>
        <v>13047363379.477325</v>
      </c>
      <c r="P47" s="100">
        <f t="shared" si="54"/>
        <v>13047363379.477325</v>
      </c>
      <c r="Q47" s="100">
        <f t="shared" si="54"/>
        <v>13047363379.477325</v>
      </c>
      <c r="R47" s="100">
        <f t="shared" si="54"/>
        <v>13047363379.477325</v>
      </c>
      <c r="S47" s="100">
        <f t="shared" si="54"/>
        <v>13047363379.477325</v>
      </c>
      <c r="T47" s="100">
        <f t="shared" si="54"/>
        <v>13047363379.477325</v>
      </c>
      <c r="U47" s="100">
        <f t="shared" si="54"/>
        <v>13047363379.477325</v>
      </c>
      <c r="V47" s="100">
        <f t="shared" si="54"/>
        <v>13047363379.477325</v>
      </c>
      <c r="W47" s="100">
        <f t="shared" si="54"/>
        <v>13047363379.477325</v>
      </c>
      <c r="X47" s="100">
        <f t="shared" si="54"/>
        <v>13047363379.477325</v>
      </c>
      <c r="Y47" s="100">
        <f t="shared" si="54"/>
        <v>13047363379.477325</v>
      </c>
      <c r="Z47" s="100">
        <f t="shared" si="54"/>
        <v>13047363379.477325</v>
      </c>
      <c r="AA47" s="100">
        <f t="shared" si="54"/>
        <v>13047363379.477325</v>
      </c>
      <c r="AB47" s="49">
        <f t="shared" si="21"/>
        <v>292831.61742001248</v>
      </c>
      <c r="AC47" s="101">
        <f>IFERROR(up_RadSpec!$E$6*(AC6/$B47),".")</f>
        <v>73207.90435500312</v>
      </c>
      <c r="AD47" s="101">
        <f>IFERROR(up_RadSpec!$E$6*(AD6/$B47),".")</f>
        <v>73207.90435500312</v>
      </c>
      <c r="AE47" s="101">
        <f>IFERROR(up_RadSpec!$E$6*(AE6/$B47),".")</f>
        <v>73207.90435500312</v>
      </c>
      <c r="AF47" s="101">
        <f>IFERROR(up_RadSpec!$E$6*(AF6/$B47),".")</f>
        <v>73207.90435500312</v>
      </c>
      <c r="AG47" s="101">
        <f>IFERROR(up_RadSpec!$E$6*(AG6/$B47),".")</f>
        <v>73207.90435500312</v>
      </c>
      <c r="AH47" s="101">
        <f>IFERROR(up_RadSpec!$E$6*(AH6/$B47),".")</f>
        <v>73207.90435500312</v>
      </c>
      <c r="AI47" s="101">
        <f>IFERROR(up_RadSpec!$E$6*(AI6/$B47),".")</f>
        <v>73207.90435500312</v>
      </c>
      <c r="AJ47" s="101">
        <f>IFERROR(up_RadSpec!$E$6*(AJ6/$B47),".")</f>
        <v>73207.90435500312</v>
      </c>
      <c r="AK47" s="101">
        <f>IFERROR(up_RadSpec!$E$6*(AK6/$B47),".")</f>
        <v>73207.90435500312</v>
      </c>
      <c r="AL47" s="101">
        <f>IFERROR(up_RadSpec!$E$6*(AL6/$B47),".")</f>
        <v>73207.90435500312</v>
      </c>
      <c r="AM47" s="101">
        <f>IFERROR(up_RadSpec!$E$6*(AM6/$B47),".")</f>
        <v>73207.90435500312</v>
      </c>
      <c r="AN47" s="101">
        <f>IFERROR(up_RadSpec!$E$6*(AN6/$B47),".")</f>
        <v>73207.90435500312</v>
      </c>
      <c r="AO47" s="101">
        <f>IFERROR(up_RadSpec!$E$6*(AO6/$B47),".")</f>
        <v>73207.90435500312</v>
      </c>
      <c r="AP47" s="101">
        <f>IFERROR(up_RadSpec!$E$6*(AP6/$B47),".")</f>
        <v>73207.90435500312</v>
      </c>
      <c r="AQ47" s="101">
        <f>IFERROR(up_RadSpec!$E$6*(AQ6/$B47),".")</f>
        <v>73207.90435500312</v>
      </c>
      <c r="AR47" s="101">
        <f>IFERROR(up_RadSpec!$E$6*(AR6/$B47),".")</f>
        <v>73207.90435500312</v>
      </c>
      <c r="AS47" s="101">
        <f>IFERROR(up_RadSpec!$E$6*(AS6/$B47),".")</f>
        <v>73207.90435500312</v>
      </c>
      <c r="AT47" s="101">
        <f>IFERROR(up_RadSpec!$E$6*(AT6/$B47),".")</f>
        <v>73207.90435500312</v>
      </c>
      <c r="AU47" s="101">
        <f>IFERROR(up_RadSpec!$E$6*(AU6/$B47),".")</f>
        <v>73207.90435500312</v>
      </c>
      <c r="AV47" s="101">
        <f>IFERROR(up_RadSpec!$E$6*(AV6/$B47),".")</f>
        <v>73207.90435500312</v>
      </c>
      <c r="AW47" s="101">
        <f>IFERROR(up_RadSpec!$E$6*(AW6/$B47),".")</f>
        <v>73207.90435500312</v>
      </c>
      <c r="AX47" s="101">
        <f>IFERROR(up_RadSpec!$E$6*(AX6/$B47),".")</f>
        <v>73207.90435500312</v>
      </c>
      <c r="AY47" s="101">
        <f>IFERROR(up_RadSpec!$E$6*(AY6/$B47),".")</f>
        <v>73207.90435500312</v>
      </c>
      <c r="AZ47" s="101">
        <f>IFERROR(up_RadSpec!$E$6*(AZ6/$B47),".")</f>
        <v>73207.90435500312</v>
      </c>
      <c r="BA47" s="100">
        <f t="shared" si="22"/>
        <v>3261840844.8693314</v>
      </c>
      <c r="BB47" s="100">
        <f t="shared" ref="BB47:BY47" si="55">IFERROR($B47/BB6,0)</f>
        <v>13047363379.477325</v>
      </c>
      <c r="BC47" s="100">
        <f t="shared" si="55"/>
        <v>13047363379.477325</v>
      </c>
      <c r="BD47" s="100">
        <f t="shared" si="55"/>
        <v>13047363379.477325</v>
      </c>
      <c r="BE47" s="100">
        <f t="shared" si="55"/>
        <v>13047363379.477325</v>
      </c>
      <c r="BF47" s="100">
        <f t="shared" si="55"/>
        <v>13047363379.477325</v>
      </c>
      <c r="BG47" s="100">
        <f t="shared" si="55"/>
        <v>13047363379.477325</v>
      </c>
      <c r="BH47" s="100">
        <f t="shared" si="55"/>
        <v>13047363379.477325</v>
      </c>
      <c r="BI47" s="100">
        <f t="shared" si="55"/>
        <v>13047363379.477325</v>
      </c>
      <c r="BJ47" s="100">
        <f t="shared" si="55"/>
        <v>13047363379.477325</v>
      </c>
      <c r="BK47" s="100">
        <f t="shared" si="55"/>
        <v>13047363379.477325</v>
      </c>
      <c r="BL47" s="100">
        <f t="shared" si="55"/>
        <v>13047363379.477325</v>
      </c>
      <c r="BM47" s="100">
        <f t="shared" si="55"/>
        <v>13047363379.477325</v>
      </c>
      <c r="BN47" s="100">
        <f t="shared" si="55"/>
        <v>13047363379.477325</v>
      </c>
      <c r="BO47" s="100">
        <f t="shared" si="55"/>
        <v>13047363379.477325</v>
      </c>
      <c r="BP47" s="100">
        <f t="shared" si="55"/>
        <v>13047363379.477325</v>
      </c>
      <c r="BQ47" s="100">
        <f t="shared" si="55"/>
        <v>13047363379.477325</v>
      </c>
      <c r="BR47" s="100">
        <f t="shared" si="55"/>
        <v>13047363379.477325</v>
      </c>
      <c r="BS47" s="100">
        <f t="shared" si="55"/>
        <v>13047363379.477325</v>
      </c>
      <c r="BT47" s="100">
        <f t="shared" si="55"/>
        <v>13047363379.477325</v>
      </c>
      <c r="BU47" s="100">
        <f t="shared" si="55"/>
        <v>13047363379.477325</v>
      </c>
      <c r="BV47" s="100">
        <f t="shared" si="55"/>
        <v>13047363379.477325</v>
      </c>
      <c r="BW47" s="100">
        <f t="shared" si="55"/>
        <v>13047363379.477325</v>
      </c>
      <c r="BX47" s="100">
        <f t="shared" si="55"/>
        <v>13047363379.477325</v>
      </c>
      <c r="BY47" s="100">
        <f t="shared" si="55"/>
        <v>13047363379.477325</v>
      </c>
      <c r="BZ47" s="49">
        <f t="shared" si="53"/>
        <v>292831.61742001248</v>
      </c>
      <c r="CA47" s="101">
        <f>IFERROR(up_RadSpec!$E$6*(CA6/$B47),".")</f>
        <v>73207.90435500312</v>
      </c>
      <c r="CB47" s="101">
        <f>IFERROR(up_RadSpec!$E$6*(CB6/$B47),".")</f>
        <v>73207.90435500312</v>
      </c>
      <c r="CC47" s="101">
        <f>IFERROR(up_RadSpec!$E$6*(CC6/$B47),".")</f>
        <v>73207.90435500312</v>
      </c>
      <c r="CD47" s="101">
        <f>IFERROR(up_RadSpec!$E$6*(CD6/$B47),".")</f>
        <v>73207.90435500312</v>
      </c>
      <c r="CE47" s="101">
        <f>IFERROR(up_RadSpec!$E$6*(CE6/$B47),".")</f>
        <v>73207.90435500312</v>
      </c>
      <c r="CF47" s="101">
        <f>IFERROR(up_RadSpec!$E$6*(CF6/$B47),".")</f>
        <v>73207.90435500312</v>
      </c>
      <c r="CG47" s="101">
        <f>IFERROR(up_RadSpec!$E$6*(CG6/$B47),".")</f>
        <v>73207.90435500312</v>
      </c>
      <c r="CH47" s="101">
        <f>IFERROR(up_RadSpec!$E$6*(CH6/$B47),".")</f>
        <v>73207.90435500312</v>
      </c>
      <c r="CI47" s="101">
        <f>IFERROR(up_RadSpec!$E$6*(CI6/$B47),".")</f>
        <v>73207.90435500312</v>
      </c>
      <c r="CJ47" s="101">
        <f>IFERROR(up_RadSpec!$E$6*(CJ6/$B47),".")</f>
        <v>73207.90435500312</v>
      </c>
      <c r="CK47" s="101">
        <f>IFERROR(up_RadSpec!$E$6*(CK6/$B47),".")</f>
        <v>73207.90435500312</v>
      </c>
      <c r="CL47" s="101">
        <f>IFERROR(up_RadSpec!$E$6*(CL6/$B47),".")</f>
        <v>73207.90435500312</v>
      </c>
      <c r="CM47" s="101">
        <f>IFERROR(up_RadSpec!$E$6*(CM6/$B47),".")</f>
        <v>73207.90435500312</v>
      </c>
      <c r="CN47" s="101">
        <f>IFERROR(up_RadSpec!$E$6*(CN6/$B47),".")</f>
        <v>73207.90435500312</v>
      </c>
      <c r="CO47" s="101">
        <f>IFERROR(up_RadSpec!$E$6*(CO6/$B47),".")</f>
        <v>73207.90435500312</v>
      </c>
      <c r="CP47" s="101">
        <f>IFERROR(up_RadSpec!$E$6*(CP6/$B47),".")</f>
        <v>73207.90435500312</v>
      </c>
      <c r="CQ47" s="101">
        <f>IFERROR(up_RadSpec!$E$6*(CQ6/$B47),".")</f>
        <v>73207.90435500312</v>
      </c>
      <c r="CR47" s="101">
        <f>IFERROR(up_RadSpec!$E$6*(CR6/$B47),".")</f>
        <v>73207.90435500312</v>
      </c>
      <c r="CS47" s="101">
        <f>IFERROR(up_RadSpec!$E$6*(CS6/$B47),".")</f>
        <v>73207.90435500312</v>
      </c>
      <c r="CT47" s="101">
        <f>IFERROR(up_RadSpec!$E$6*(CT6/$B47),".")</f>
        <v>73207.90435500312</v>
      </c>
      <c r="CU47" s="101">
        <f>IFERROR(up_RadSpec!$E$6*(CU6/$B47),".")</f>
        <v>73207.90435500312</v>
      </c>
      <c r="CV47" s="101">
        <f>IFERROR(up_RadSpec!$E$6*(CV6/$B47),".")</f>
        <v>73207.90435500312</v>
      </c>
      <c r="CW47" s="101">
        <f>IFERROR(up_RadSpec!$E$6*(CW6/$B47),".")</f>
        <v>73207.90435500312</v>
      </c>
      <c r="CX47" s="101">
        <f>IFERROR(up_RadSpec!$E$6*(CX6/$B47),".")</f>
        <v>73207.90435500312</v>
      </c>
    </row>
    <row r="48" spans="1:102" x14ac:dyDescent="0.25">
      <c r="A48" s="95" t="s">
        <v>33</v>
      </c>
      <c r="B48" s="95" t="s">
        <v>1074</v>
      </c>
      <c r="C48" s="96">
        <f t="shared" si="0"/>
        <v>2.0097501483779041E-12</v>
      </c>
      <c r="D48" s="96">
        <f t="shared" ref="D48:AA48" si="56">IFERROR(1/SUM(D49:D62),0)</f>
        <v>8.0390005935116166E-12</v>
      </c>
      <c r="E48" s="96">
        <f t="shared" si="56"/>
        <v>8.0390005935116166E-12</v>
      </c>
      <c r="F48" s="96">
        <f t="shared" si="56"/>
        <v>8.0390005935116166E-12</v>
      </c>
      <c r="G48" s="96">
        <f t="shared" si="56"/>
        <v>8.0390005935116166E-12</v>
      </c>
      <c r="H48" s="96">
        <f t="shared" si="56"/>
        <v>8.0390005935116166E-12</v>
      </c>
      <c r="I48" s="96">
        <f t="shared" si="56"/>
        <v>8.0390005935116166E-12</v>
      </c>
      <c r="J48" s="96">
        <f t="shared" si="56"/>
        <v>8.0390005935116166E-12</v>
      </c>
      <c r="K48" s="96">
        <f t="shared" si="56"/>
        <v>8.0390005935116166E-12</v>
      </c>
      <c r="L48" s="96">
        <f t="shared" si="56"/>
        <v>8.0390005935116166E-12</v>
      </c>
      <c r="M48" s="96">
        <f t="shared" si="56"/>
        <v>8.0390005935116166E-12</v>
      </c>
      <c r="N48" s="96">
        <f t="shared" si="56"/>
        <v>8.0390005935116166E-12</v>
      </c>
      <c r="O48" s="96">
        <f t="shared" si="56"/>
        <v>8.0390005935116166E-12</v>
      </c>
      <c r="P48" s="96">
        <f t="shared" si="56"/>
        <v>8.0390005935116166E-12</v>
      </c>
      <c r="Q48" s="96">
        <f t="shared" si="56"/>
        <v>8.0390005935116166E-12</v>
      </c>
      <c r="R48" s="96">
        <f t="shared" si="56"/>
        <v>8.0390005935116166E-12</v>
      </c>
      <c r="S48" s="96">
        <f t="shared" si="56"/>
        <v>8.0390005935116166E-12</v>
      </c>
      <c r="T48" s="96">
        <f t="shared" si="56"/>
        <v>8.0390005935116166E-12</v>
      </c>
      <c r="U48" s="96">
        <f t="shared" si="56"/>
        <v>8.0390005935116166E-12</v>
      </c>
      <c r="V48" s="96">
        <f t="shared" si="56"/>
        <v>8.0390005935116166E-12</v>
      </c>
      <c r="W48" s="96">
        <f t="shared" si="56"/>
        <v>8.0390005935116166E-12</v>
      </c>
      <c r="X48" s="96">
        <f t="shared" si="56"/>
        <v>8.0390005935116166E-12</v>
      </c>
      <c r="Y48" s="96">
        <f t="shared" si="56"/>
        <v>8.0390005935116166E-12</v>
      </c>
      <c r="Z48" s="96">
        <f t="shared" si="56"/>
        <v>8.0390005935116166E-12</v>
      </c>
      <c r="AA48" s="96">
        <f t="shared" si="56"/>
        <v>8.0390005935116166E-12</v>
      </c>
      <c r="AB48" s="47">
        <f>IFERROR(IF(SUM(AC49:AD62,AY49:AZ62)&gt;0.01,1-EXP(-SUM(AC49:AD62,AY49:AZ62)),SUM(AC49:AD62,AY49:AZ62)),".")</f>
        <v>1</v>
      </c>
      <c r="AC48" s="97">
        <f>IFERROR(IF(SUM(AC49:AC62)&gt;0.01,1-EXP(-(SUM(AC49:AC62))),SUM(AC49:AC62)),".")</f>
        <v>1</v>
      </c>
      <c r="AD48" s="97">
        <f>IFERROR(IF(SUM(AD49:AD62)&gt;0.01,1-EXP(-(SUM(AD49:AD62))),SUM(AD49:AD62)),".")</f>
        <v>1</v>
      </c>
      <c r="AE48" s="97">
        <f t="shared" ref="AE48:AX48" si="57">IFERROR(IF(SUM(AE49:AE62)&gt;0.01,1-EXP(-(SUM(AE49:AE62))),SUM(AE49:AE62)),".")</f>
        <v>1</v>
      </c>
      <c r="AF48" s="97">
        <f t="shared" si="57"/>
        <v>1</v>
      </c>
      <c r="AG48" s="97">
        <f t="shared" si="57"/>
        <v>1</v>
      </c>
      <c r="AH48" s="97">
        <f t="shared" si="57"/>
        <v>1</v>
      </c>
      <c r="AI48" s="97">
        <f t="shared" si="57"/>
        <v>1</v>
      </c>
      <c r="AJ48" s="97">
        <f t="shared" si="57"/>
        <v>1</v>
      </c>
      <c r="AK48" s="97">
        <f t="shared" si="57"/>
        <v>1</v>
      </c>
      <c r="AL48" s="97">
        <f t="shared" si="57"/>
        <v>1</v>
      </c>
      <c r="AM48" s="97">
        <f t="shared" si="57"/>
        <v>1</v>
      </c>
      <c r="AN48" s="97">
        <f t="shared" si="57"/>
        <v>1</v>
      </c>
      <c r="AO48" s="97">
        <f t="shared" si="57"/>
        <v>1</v>
      </c>
      <c r="AP48" s="97">
        <f t="shared" si="57"/>
        <v>1</v>
      </c>
      <c r="AQ48" s="97">
        <f t="shared" si="57"/>
        <v>1</v>
      </c>
      <c r="AR48" s="97">
        <f t="shared" si="57"/>
        <v>1</v>
      </c>
      <c r="AS48" s="97">
        <f t="shared" si="57"/>
        <v>1</v>
      </c>
      <c r="AT48" s="97">
        <f t="shared" si="57"/>
        <v>1</v>
      </c>
      <c r="AU48" s="97">
        <f t="shared" si="57"/>
        <v>1</v>
      </c>
      <c r="AV48" s="97">
        <f t="shared" si="57"/>
        <v>1</v>
      </c>
      <c r="AW48" s="97">
        <f t="shared" si="57"/>
        <v>1</v>
      </c>
      <c r="AX48" s="97">
        <f t="shared" si="57"/>
        <v>1</v>
      </c>
      <c r="AY48" s="97">
        <f>IFERROR(IF(SUM(AY49:AY62)&gt;0.01,1-EXP(-(SUM(AY49:AY62))),SUM(AY49:AY62)),".")</f>
        <v>1</v>
      </c>
      <c r="AZ48" s="97">
        <f>IFERROR(IF(SUM(AZ49:AZ62)&gt;0.01,1-EXP(-(SUM(AZ49:AZ62))),SUM(AZ49:AZ62)),".")</f>
        <v>1</v>
      </c>
      <c r="BA48" s="98">
        <f t="shared" si="22"/>
        <v>2.0097501483779041E-12</v>
      </c>
      <c r="BB48" s="98">
        <f t="shared" ref="BB48:BY48" si="58">IFERROR(1/SUM(BB49:BB62),0)</f>
        <v>8.0390005935116166E-12</v>
      </c>
      <c r="BC48" s="98">
        <f t="shared" si="58"/>
        <v>8.0390005935116166E-12</v>
      </c>
      <c r="BD48" s="98">
        <f t="shared" si="58"/>
        <v>8.0390005935116166E-12</v>
      </c>
      <c r="BE48" s="98">
        <f t="shared" si="58"/>
        <v>8.0390005935116166E-12</v>
      </c>
      <c r="BF48" s="98">
        <f t="shared" si="58"/>
        <v>8.0390005935116166E-12</v>
      </c>
      <c r="BG48" s="98">
        <f t="shared" si="58"/>
        <v>8.0390005935116166E-12</v>
      </c>
      <c r="BH48" s="98">
        <f t="shared" si="58"/>
        <v>8.0390005935116166E-12</v>
      </c>
      <c r="BI48" s="98">
        <f t="shared" si="58"/>
        <v>8.0390005935116166E-12</v>
      </c>
      <c r="BJ48" s="98">
        <f t="shared" si="58"/>
        <v>8.0390005935116166E-12</v>
      </c>
      <c r="BK48" s="98">
        <f t="shared" si="58"/>
        <v>8.0390005935116166E-12</v>
      </c>
      <c r="BL48" s="98">
        <f t="shared" si="58"/>
        <v>8.0390005935116166E-12</v>
      </c>
      <c r="BM48" s="98">
        <f t="shared" si="58"/>
        <v>8.0390005935116166E-12</v>
      </c>
      <c r="BN48" s="98">
        <f t="shared" si="58"/>
        <v>8.0390005935116166E-12</v>
      </c>
      <c r="BO48" s="98">
        <f t="shared" si="58"/>
        <v>8.0390005935116166E-12</v>
      </c>
      <c r="BP48" s="98">
        <f t="shared" si="58"/>
        <v>8.0390005935116166E-12</v>
      </c>
      <c r="BQ48" s="98">
        <f t="shared" si="58"/>
        <v>8.0390005935116166E-12</v>
      </c>
      <c r="BR48" s="98">
        <f t="shared" si="58"/>
        <v>8.0390005935116166E-12</v>
      </c>
      <c r="BS48" s="98">
        <f t="shared" si="58"/>
        <v>8.0390005935116166E-12</v>
      </c>
      <c r="BT48" s="98">
        <f t="shared" si="58"/>
        <v>8.0390005935116166E-12</v>
      </c>
      <c r="BU48" s="98">
        <f t="shared" si="58"/>
        <v>8.0390005935116166E-12</v>
      </c>
      <c r="BV48" s="98">
        <f t="shared" si="58"/>
        <v>8.0390005935116166E-12</v>
      </c>
      <c r="BW48" s="98">
        <f t="shared" si="58"/>
        <v>8.0390005935116166E-12</v>
      </c>
      <c r="BX48" s="98">
        <f t="shared" si="58"/>
        <v>8.0390005935116166E-12</v>
      </c>
      <c r="BY48" s="98">
        <f t="shared" si="58"/>
        <v>8.0390005935116166E-12</v>
      </c>
      <c r="BZ48" s="47">
        <f>IFERROR(IF(SUM(CA49:CB62,CW49:CX62)&gt;0.01,1-EXP(-SUM(CA49:CB62,CW49:CX62)),SUM(CA49:CB62,CW49:CX62)),".")</f>
        <v>1</v>
      </c>
      <c r="CA48" s="97">
        <f>IFERROR(IF(SUM(CA49:CA62)&gt;0.01,1-EXP(-(SUM(CA49:CA62))),SUM(CA49:CA62)),".")</f>
        <v>1</v>
      </c>
      <c r="CB48" s="97">
        <f>IFERROR(IF(SUM(CB49:CB62)&gt;0.01,1-EXP(-(SUM(CB49:CB62))),SUM(CB49:CB62)),".")</f>
        <v>1</v>
      </c>
      <c r="CC48" s="97">
        <f t="shared" ref="CC48:CV48" si="59">IFERROR(IF(SUM(CC49:CC62)&gt;0.01,1-EXP(-(SUM(CC49:CC62))),SUM(CC49:CC62)),".")</f>
        <v>1</v>
      </c>
      <c r="CD48" s="97">
        <f t="shared" si="59"/>
        <v>1</v>
      </c>
      <c r="CE48" s="97">
        <f t="shared" si="59"/>
        <v>1</v>
      </c>
      <c r="CF48" s="97">
        <f t="shared" si="59"/>
        <v>1</v>
      </c>
      <c r="CG48" s="97">
        <f t="shared" si="59"/>
        <v>1</v>
      </c>
      <c r="CH48" s="97">
        <f t="shared" si="59"/>
        <v>1</v>
      </c>
      <c r="CI48" s="97">
        <f t="shared" si="59"/>
        <v>1</v>
      </c>
      <c r="CJ48" s="97">
        <f t="shared" si="59"/>
        <v>1</v>
      </c>
      <c r="CK48" s="97">
        <f t="shared" si="59"/>
        <v>1</v>
      </c>
      <c r="CL48" s="97">
        <f t="shared" si="59"/>
        <v>1</v>
      </c>
      <c r="CM48" s="97">
        <f t="shared" si="59"/>
        <v>1</v>
      </c>
      <c r="CN48" s="97">
        <f t="shared" si="59"/>
        <v>1</v>
      </c>
      <c r="CO48" s="97">
        <f t="shared" si="59"/>
        <v>1</v>
      </c>
      <c r="CP48" s="97">
        <f t="shared" si="59"/>
        <v>1</v>
      </c>
      <c r="CQ48" s="97">
        <f t="shared" si="59"/>
        <v>1</v>
      </c>
      <c r="CR48" s="97">
        <f t="shared" si="59"/>
        <v>1</v>
      </c>
      <c r="CS48" s="97">
        <f t="shared" si="59"/>
        <v>1</v>
      </c>
      <c r="CT48" s="97">
        <f t="shared" si="59"/>
        <v>1</v>
      </c>
      <c r="CU48" s="97">
        <f t="shared" si="59"/>
        <v>1</v>
      </c>
      <c r="CV48" s="97">
        <f t="shared" si="59"/>
        <v>1</v>
      </c>
      <c r="CW48" s="97">
        <f>IFERROR(IF(SUM(CW49:CW62)&gt;0.01,1-EXP(-(SUM(CW49:CW62))),SUM(CW49:CW62)),".")</f>
        <v>1</v>
      </c>
      <c r="CX48" s="97">
        <f>IFERROR(IF(SUM(CX49:CX62)&gt;0.01,1-EXP(-(SUM(CX49:CX62))),SUM(CX49:CX62)),".")</f>
        <v>1</v>
      </c>
    </row>
    <row r="49" spans="1:102" x14ac:dyDescent="0.25">
      <c r="A49" s="99" t="s">
        <v>1103</v>
      </c>
      <c r="B49" s="90">
        <v>1</v>
      </c>
      <c r="C49" s="100">
        <f t="shared" si="0"/>
        <v>3455376481.6039696</v>
      </c>
      <c r="D49" s="100">
        <f t="shared" ref="D49:AA49" si="60">IFERROR($B49/D23,0)</f>
        <v>13821505926.415878</v>
      </c>
      <c r="E49" s="100">
        <f t="shared" si="60"/>
        <v>13821505926.415878</v>
      </c>
      <c r="F49" s="100">
        <f t="shared" si="60"/>
        <v>13821505926.415878</v>
      </c>
      <c r="G49" s="100">
        <f t="shared" si="60"/>
        <v>13821505926.415878</v>
      </c>
      <c r="H49" s="100">
        <f t="shared" si="60"/>
        <v>13821505926.415878</v>
      </c>
      <c r="I49" s="100">
        <f t="shared" si="60"/>
        <v>13821505926.415878</v>
      </c>
      <c r="J49" s="100">
        <f t="shared" si="60"/>
        <v>13821505926.415878</v>
      </c>
      <c r="K49" s="100">
        <f t="shared" si="60"/>
        <v>13821505926.415878</v>
      </c>
      <c r="L49" s="100">
        <f t="shared" si="60"/>
        <v>13821505926.415878</v>
      </c>
      <c r="M49" s="100">
        <f t="shared" si="60"/>
        <v>13821505926.415878</v>
      </c>
      <c r="N49" s="100">
        <f t="shared" si="60"/>
        <v>13821505926.415878</v>
      </c>
      <c r="O49" s="100">
        <f t="shared" si="60"/>
        <v>13821505926.415878</v>
      </c>
      <c r="P49" s="100">
        <f t="shared" si="60"/>
        <v>13821505926.415878</v>
      </c>
      <c r="Q49" s="100">
        <f t="shared" si="60"/>
        <v>13821505926.415878</v>
      </c>
      <c r="R49" s="100">
        <f t="shared" si="60"/>
        <v>13821505926.415878</v>
      </c>
      <c r="S49" s="100">
        <f t="shared" si="60"/>
        <v>13821505926.415878</v>
      </c>
      <c r="T49" s="100">
        <f t="shared" si="60"/>
        <v>13821505926.415878</v>
      </c>
      <c r="U49" s="100">
        <f t="shared" si="60"/>
        <v>13821505926.415878</v>
      </c>
      <c r="V49" s="100">
        <f t="shared" si="60"/>
        <v>13821505926.415878</v>
      </c>
      <c r="W49" s="100">
        <f t="shared" si="60"/>
        <v>13821505926.415878</v>
      </c>
      <c r="X49" s="100">
        <f t="shared" si="60"/>
        <v>13821505926.415878</v>
      </c>
      <c r="Y49" s="100">
        <f t="shared" si="60"/>
        <v>13821505926.415878</v>
      </c>
      <c r="Z49" s="100">
        <f t="shared" si="60"/>
        <v>13821505926.415878</v>
      </c>
      <c r="AA49" s="100">
        <f t="shared" si="60"/>
        <v>13821505926.415878</v>
      </c>
      <c r="AB49" s="49">
        <f t="shared" si="21"/>
        <v>276430.1185283176</v>
      </c>
      <c r="AC49" s="101">
        <f>IFERROR(up_RadSpec!$E$23*($AC$23/$B49),".")</f>
        <v>69107.5296320794</v>
      </c>
      <c r="AD49" s="101">
        <f>IFERROR(up_RadSpec!$E$23*($AD$23/$B49),".")</f>
        <v>69107.5296320794</v>
      </c>
      <c r="AE49" s="101">
        <f>IFERROR(up_RadSpec!$E$23*($AY$23/$B49),".")</f>
        <v>69107.5296320794</v>
      </c>
      <c r="AF49" s="101">
        <f>IFERROR(up_RadSpec!$E$23*($AY$23/$B49),".")</f>
        <v>69107.5296320794</v>
      </c>
      <c r="AG49" s="101">
        <f>IFERROR(up_RadSpec!$E$23*($AY$23/$B49),".")</f>
        <v>69107.5296320794</v>
      </c>
      <c r="AH49" s="101">
        <f>IFERROR(up_RadSpec!$E$23*($AY$23/$B49),".")</f>
        <v>69107.5296320794</v>
      </c>
      <c r="AI49" s="101">
        <f>IFERROR(up_RadSpec!$E$23*($AY$23/$B49),".")</f>
        <v>69107.5296320794</v>
      </c>
      <c r="AJ49" s="101">
        <f>IFERROR(up_RadSpec!$E$23*($AY$23/$B49),".")</f>
        <v>69107.5296320794</v>
      </c>
      <c r="AK49" s="101">
        <f>IFERROR(up_RadSpec!$E$23*($AY$23/$B49),".")</f>
        <v>69107.5296320794</v>
      </c>
      <c r="AL49" s="101">
        <f>IFERROR(up_RadSpec!$E$23*($AY$23/$B49),".")</f>
        <v>69107.5296320794</v>
      </c>
      <c r="AM49" s="101">
        <f>IFERROR(up_RadSpec!$E$23*($AY$23/$B49),".")</f>
        <v>69107.5296320794</v>
      </c>
      <c r="AN49" s="101">
        <f>IFERROR(up_RadSpec!$E$23*($AY$23/$B49),".")</f>
        <v>69107.5296320794</v>
      </c>
      <c r="AO49" s="101">
        <f>IFERROR(up_RadSpec!$E$23*($AY$23/$B49),".")</f>
        <v>69107.5296320794</v>
      </c>
      <c r="AP49" s="101">
        <f>IFERROR(up_RadSpec!$E$23*($AY$23/$B49),".")</f>
        <v>69107.5296320794</v>
      </c>
      <c r="AQ49" s="101">
        <f>IFERROR(up_RadSpec!$E$23*($AY$23/$B49),".")</f>
        <v>69107.5296320794</v>
      </c>
      <c r="AR49" s="101">
        <f>IFERROR(up_RadSpec!$E$23*($AY$23/$B49),".")</f>
        <v>69107.5296320794</v>
      </c>
      <c r="AS49" s="101">
        <f>IFERROR(up_RadSpec!$E$23*($AY$23/$B49),".")</f>
        <v>69107.5296320794</v>
      </c>
      <c r="AT49" s="101">
        <f>IFERROR(up_RadSpec!$E$23*($AY$23/$B49),".")</f>
        <v>69107.5296320794</v>
      </c>
      <c r="AU49" s="101">
        <f>IFERROR(up_RadSpec!$E$23*($AY$23/$B49),".")</f>
        <v>69107.5296320794</v>
      </c>
      <c r="AV49" s="101">
        <f>IFERROR(up_RadSpec!$E$23*($AY$23/$B49),".")</f>
        <v>69107.5296320794</v>
      </c>
      <c r="AW49" s="101">
        <f>IFERROR(up_RadSpec!$E$23*($AY$23/$B49),".")</f>
        <v>69107.5296320794</v>
      </c>
      <c r="AX49" s="101">
        <f>IFERROR(up_RadSpec!$E$23*($AY$23/$B49),".")</f>
        <v>69107.5296320794</v>
      </c>
      <c r="AY49" s="101">
        <f>IFERROR(up_RadSpec!$E$23*($AY$23/$B49),".")</f>
        <v>69107.5296320794</v>
      </c>
      <c r="AZ49" s="101">
        <f>IFERROR(up_RadSpec!$E$23*($AZ$23/$B49),".")</f>
        <v>69107.5296320794</v>
      </c>
      <c r="BA49" s="100">
        <f t="shared" si="22"/>
        <v>3455376481.6039696</v>
      </c>
      <c r="BB49" s="100">
        <f t="shared" ref="BB49:BY49" si="61">IFERROR($B49/BB23,0)</f>
        <v>13821505926.415878</v>
      </c>
      <c r="BC49" s="100">
        <f t="shared" si="61"/>
        <v>13821505926.415878</v>
      </c>
      <c r="BD49" s="100">
        <f t="shared" si="61"/>
        <v>13821505926.415878</v>
      </c>
      <c r="BE49" s="100">
        <f t="shared" si="61"/>
        <v>13821505926.415878</v>
      </c>
      <c r="BF49" s="100">
        <f t="shared" si="61"/>
        <v>13821505926.415878</v>
      </c>
      <c r="BG49" s="100">
        <f t="shared" si="61"/>
        <v>13821505926.415878</v>
      </c>
      <c r="BH49" s="100">
        <f t="shared" si="61"/>
        <v>13821505926.415878</v>
      </c>
      <c r="BI49" s="100">
        <f t="shared" si="61"/>
        <v>13821505926.415878</v>
      </c>
      <c r="BJ49" s="100">
        <f t="shared" si="61"/>
        <v>13821505926.415878</v>
      </c>
      <c r="BK49" s="100">
        <f t="shared" si="61"/>
        <v>13821505926.415878</v>
      </c>
      <c r="BL49" s="100">
        <f t="shared" si="61"/>
        <v>13821505926.415878</v>
      </c>
      <c r="BM49" s="100">
        <f t="shared" si="61"/>
        <v>13821505926.415878</v>
      </c>
      <c r="BN49" s="100">
        <f t="shared" si="61"/>
        <v>13821505926.415878</v>
      </c>
      <c r="BO49" s="100">
        <f t="shared" si="61"/>
        <v>13821505926.415878</v>
      </c>
      <c r="BP49" s="100">
        <f t="shared" si="61"/>
        <v>13821505926.415878</v>
      </c>
      <c r="BQ49" s="100">
        <f t="shared" si="61"/>
        <v>13821505926.415878</v>
      </c>
      <c r="BR49" s="100">
        <f t="shared" si="61"/>
        <v>13821505926.415878</v>
      </c>
      <c r="BS49" s="100">
        <f t="shared" si="61"/>
        <v>13821505926.415878</v>
      </c>
      <c r="BT49" s="100">
        <f t="shared" si="61"/>
        <v>13821505926.415878</v>
      </c>
      <c r="BU49" s="100">
        <f t="shared" si="61"/>
        <v>13821505926.415878</v>
      </c>
      <c r="BV49" s="100">
        <f t="shared" si="61"/>
        <v>13821505926.415878</v>
      </c>
      <c r="BW49" s="100">
        <f t="shared" si="61"/>
        <v>13821505926.415878</v>
      </c>
      <c r="BX49" s="100">
        <f t="shared" si="61"/>
        <v>13821505926.415878</v>
      </c>
      <c r="BY49" s="100">
        <f t="shared" si="61"/>
        <v>13821505926.415878</v>
      </c>
      <c r="BZ49" s="49">
        <f t="shared" ref="BZ49:BZ62" si="62">SUM(CA49:CB49,CW49:CX49)</f>
        <v>276430.1185283176</v>
      </c>
      <c r="CA49" s="101">
        <f>IFERROR(up_RadSpec!$E$23*($AC$23/$B49),".")</f>
        <v>69107.5296320794</v>
      </c>
      <c r="CB49" s="101">
        <f>IFERROR(up_RadSpec!$E$23*($AD$23/$B49),".")</f>
        <v>69107.5296320794</v>
      </c>
      <c r="CC49" s="101">
        <f>IFERROR(up_RadSpec!$E$23*($AY$23/$B49),".")</f>
        <v>69107.5296320794</v>
      </c>
      <c r="CD49" s="101">
        <f>IFERROR(up_RadSpec!$E$23*($AY$23/$B49),".")</f>
        <v>69107.5296320794</v>
      </c>
      <c r="CE49" s="101">
        <f>IFERROR(up_RadSpec!$E$23*($AY$23/$B49),".")</f>
        <v>69107.5296320794</v>
      </c>
      <c r="CF49" s="101">
        <f>IFERROR(up_RadSpec!$E$23*($AY$23/$B49),".")</f>
        <v>69107.5296320794</v>
      </c>
      <c r="CG49" s="101">
        <f>IFERROR(up_RadSpec!$E$23*($AY$23/$B49),".")</f>
        <v>69107.5296320794</v>
      </c>
      <c r="CH49" s="101">
        <f>IFERROR(up_RadSpec!$E$23*($AY$23/$B49),".")</f>
        <v>69107.5296320794</v>
      </c>
      <c r="CI49" s="101">
        <f>IFERROR(up_RadSpec!$E$23*($AY$23/$B49),".")</f>
        <v>69107.5296320794</v>
      </c>
      <c r="CJ49" s="101">
        <f>IFERROR(up_RadSpec!$E$23*($AY$23/$B49),".")</f>
        <v>69107.5296320794</v>
      </c>
      <c r="CK49" s="101">
        <f>IFERROR(up_RadSpec!$E$23*($AY$23/$B49),".")</f>
        <v>69107.5296320794</v>
      </c>
      <c r="CL49" s="101">
        <f>IFERROR(up_RadSpec!$E$23*($AY$23/$B49),".")</f>
        <v>69107.5296320794</v>
      </c>
      <c r="CM49" s="101">
        <f>IFERROR(up_RadSpec!$E$23*($AY$23/$B49),".")</f>
        <v>69107.5296320794</v>
      </c>
      <c r="CN49" s="101">
        <f>IFERROR(up_RadSpec!$E$23*($AY$23/$B49),".")</f>
        <v>69107.5296320794</v>
      </c>
      <c r="CO49" s="101">
        <f>IFERROR(up_RadSpec!$E$23*($AY$23/$B49),".")</f>
        <v>69107.5296320794</v>
      </c>
      <c r="CP49" s="101">
        <f>IFERROR(up_RadSpec!$E$23*($AY$23/$B49),".")</f>
        <v>69107.5296320794</v>
      </c>
      <c r="CQ49" s="101">
        <f>IFERROR(up_RadSpec!$E$23*($AY$23/$B49),".")</f>
        <v>69107.5296320794</v>
      </c>
      <c r="CR49" s="101">
        <f>IFERROR(up_RadSpec!$E$23*($AY$23/$B49),".")</f>
        <v>69107.5296320794</v>
      </c>
      <c r="CS49" s="101">
        <f>IFERROR(up_RadSpec!$E$23*($AY$23/$B49),".")</f>
        <v>69107.5296320794</v>
      </c>
      <c r="CT49" s="101">
        <f>IFERROR(up_RadSpec!$E$23*($AY$23/$B49),".")</f>
        <v>69107.5296320794</v>
      </c>
      <c r="CU49" s="101">
        <f>IFERROR(up_RadSpec!$E$23*($AY$23/$B49),".")</f>
        <v>69107.5296320794</v>
      </c>
      <c r="CV49" s="101">
        <f>IFERROR(up_RadSpec!$E$23*($AY$23/$B49),".")</f>
        <v>69107.5296320794</v>
      </c>
      <c r="CW49" s="101">
        <f>IFERROR(up_RadSpec!$E$23*($AY$23/$B49),".")</f>
        <v>69107.5296320794</v>
      </c>
      <c r="CX49" s="101">
        <f>IFERROR(up_RadSpec!$E$23*($AZ$23/$B49),".")</f>
        <v>69107.5296320794</v>
      </c>
    </row>
    <row r="50" spans="1:102" x14ac:dyDescent="0.25">
      <c r="A50" s="99" t="s">
        <v>1090</v>
      </c>
      <c r="B50" s="90">
        <v>1</v>
      </c>
      <c r="C50" s="100">
        <f t="shared" si="0"/>
        <v>3455376481.6039696</v>
      </c>
      <c r="D50" s="100">
        <f t="shared" ref="D50:AA50" si="63">IFERROR($B50/D25,0)</f>
        <v>13821505926.415878</v>
      </c>
      <c r="E50" s="100">
        <f t="shared" si="63"/>
        <v>13821505926.415878</v>
      </c>
      <c r="F50" s="100">
        <f t="shared" si="63"/>
        <v>13821505926.415878</v>
      </c>
      <c r="G50" s="100">
        <f t="shared" si="63"/>
        <v>13821505926.415878</v>
      </c>
      <c r="H50" s="100">
        <f t="shared" si="63"/>
        <v>13821505926.415878</v>
      </c>
      <c r="I50" s="100">
        <f t="shared" si="63"/>
        <v>13821505926.415878</v>
      </c>
      <c r="J50" s="100">
        <f t="shared" si="63"/>
        <v>13821505926.415878</v>
      </c>
      <c r="K50" s="100">
        <f t="shared" si="63"/>
        <v>13821505926.415878</v>
      </c>
      <c r="L50" s="100">
        <f t="shared" si="63"/>
        <v>13821505926.415878</v>
      </c>
      <c r="M50" s="100">
        <f t="shared" si="63"/>
        <v>13821505926.415878</v>
      </c>
      <c r="N50" s="100">
        <f t="shared" si="63"/>
        <v>13821505926.415878</v>
      </c>
      <c r="O50" s="100">
        <f t="shared" si="63"/>
        <v>13821505926.415878</v>
      </c>
      <c r="P50" s="100">
        <f t="shared" si="63"/>
        <v>13821505926.415878</v>
      </c>
      <c r="Q50" s="100">
        <f t="shared" si="63"/>
        <v>13821505926.415878</v>
      </c>
      <c r="R50" s="100">
        <f t="shared" si="63"/>
        <v>13821505926.415878</v>
      </c>
      <c r="S50" s="100">
        <f t="shared" si="63"/>
        <v>13821505926.415878</v>
      </c>
      <c r="T50" s="100">
        <f t="shared" si="63"/>
        <v>13821505926.415878</v>
      </c>
      <c r="U50" s="100">
        <f t="shared" si="63"/>
        <v>13821505926.415878</v>
      </c>
      <c r="V50" s="100">
        <f t="shared" si="63"/>
        <v>13821505926.415878</v>
      </c>
      <c r="W50" s="100">
        <f t="shared" si="63"/>
        <v>13821505926.415878</v>
      </c>
      <c r="X50" s="100">
        <f t="shared" si="63"/>
        <v>13821505926.415878</v>
      </c>
      <c r="Y50" s="100">
        <f t="shared" si="63"/>
        <v>13821505926.415878</v>
      </c>
      <c r="Z50" s="100">
        <f t="shared" si="63"/>
        <v>13821505926.415878</v>
      </c>
      <c r="AA50" s="100">
        <f t="shared" si="63"/>
        <v>13821505926.415878</v>
      </c>
      <c r="AB50" s="49">
        <f t="shared" si="21"/>
        <v>276430.1185283176</v>
      </c>
      <c r="AC50" s="101">
        <f>IFERROR(up_RadSpec!$E$25*($AC$25/$B50),".")</f>
        <v>69107.5296320794</v>
      </c>
      <c r="AD50" s="101">
        <f>IFERROR(up_RadSpec!$E$25*($AD$25/$B50),".")</f>
        <v>69107.5296320794</v>
      </c>
      <c r="AE50" s="101">
        <f>IFERROR(up_RadSpec!$E$25*($AY$25/$B50),".")</f>
        <v>69107.5296320794</v>
      </c>
      <c r="AF50" s="101">
        <f>IFERROR(up_RadSpec!$E$25*($AY$25/$B50),".")</f>
        <v>69107.5296320794</v>
      </c>
      <c r="AG50" s="101">
        <f>IFERROR(up_RadSpec!$E$25*($AY$25/$B50),".")</f>
        <v>69107.5296320794</v>
      </c>
      <c r="AH50" s="101">
        <f>IFERROR(up_RadSpec!$E$25*($AY$25/$B50),".")</f>
        <v>69107.5296320794</v>
      </c>
      <c r="AI50" s="101">
        <f>IFERROR(up_RadSpec!$E$25*($AY$25/$B50),".")</f>
        <v>69107.5296320794</v>
      </c>
      <c r="AJ50" s="101">
        <f>IFERROR(up_RadSpec!$E$25*($AY$25/$B50),".")</f>
        <v>69107.5296320794</v>
      </c>
      <c r="AK50" s="101">
        <f>IFERROR(up_RadSpec!$E$25*($AY$25/$B50),".")</f>
        <v>69107.5296320794</v>
      </c>
      <c r="AL50" s="101">
        <f>IFERROR(up_RadSpec!$E$25*($AY$25/$B50),".")</f>
        <v>69107.5296320794</v>
      </c>
      <c r="AM50" s="101">
        <f>IFERROR(up_RadSpec!$E$25*($AY$25/$B50),".")</f>
        <v>69107.5296320794</v>
      </c>
      <c r="AN50" s="101">
        <f>IFERROR(up_RadSpec!$E$25*($AY$25/$B50),".")</f>
        <v>69107.5296320794</v>
      </c>
      <c r="AO50" s="101">
        <f>IFERROR(up_RadSpec!$E$25*($AY$25/$B50),".")</f>
        <v>69107.5296320794</v>
      </c>
      <c r="AP50" s="101">
        <f>IFERROR(up_RadSpec!$E$25*($AY$25/$B50),".")</f>
        <v>69107.5296320794</v>
      </c>
      <c r="AQ50" s="101">
        <f>IFERROR(up_RadSpec!$E$25*($AY$25/$B50),".")</f>
        <v>69107.5296320794</v>
      </c>
      <c r="AR50" s="101">
        <f>IFERROR(up_RadSpec!$E$25*($AY$25/$B50),".")</f>
        <v>69107.5296320794</v>
      </c>
      <c r="AS50" s="101">
        <f>IFERROR(up_RadSpec!$E$25*($AY$25/$B50),".")</f>
        <v>69107.5296320794</v>
      </c>
      <c r="AT50" s="101">
        <f>IFERROR(up_RadSpec!$E$25*($AY$25/$B50),".")</f>
        <v>69107.5296320794</v>
      </c>
      <c r="AU50" s="101">
        <f>IFERROR(up_RadSpec!$E$25*($AY$25/$B50),".")</f>
        <v>69107.5296320794</v>
      </c>
      <c r="AV50" s="101">
        <f>IFERROR(up_RadSpec!$E$25*($AY$25/$B50),".")</f>
        <v>69107.5296320794</v>
      </c>
      <c r="AW50" s="101">
        <f>IFERROR(up_RadSpec!$E$25*($AY$25/$B50),".")</f>
        <v>69107.5296320794</v>
      </c>
      <c r="AX50" s="101">
        <f>IFERROR(up_RadSpec!$E$25*($AY$25/$B50),".")</f>
        <v>69107.5296320794</v>
      </c>
      <c r="AY50" s="101">
        <f>IFERROR(up_RadSpec!$E$25*($AY$25/$B50),".")</f>
        <v>69107.5296320794</v>
      </c>
      <c r="AZ50" s="101">
        <f>IFERROR(up_RadSpec!$E$25*($AZ$25/$B50),".")</f>
        <v>69107.5296320794</v>
      </c>
      <c r="BA50" s="100">
        <f t="shared" si="22"/>
        <v>3455376481.6039696</v>
      </c>
      <c r="BB50" s="100">
        <f t="shared" ref="BB50:BY50" si="64">IFERROR($B50/BB25,0)</f>
        <v>13821505926.415878</v>
      </c>
      <c r="BC50" s="100">
        <f t="shared" si="64"/>
        <v>13821505926.415878</v>
      </c>
      <c r="BD50" s="100">
        <f t="shared" si="64"/>
        <v>13821505926.415878</v>
      </c>
      <c r="BE50" s="100">
        <f t="shared" si="64"/>
        <v>13821505926.415878</v>
      </c>
      <c r="BF50" s="100">
        <f t="shared" si="64"/>
        <v>13821505926.415878</v>
      </c>
      <c r="BG50" s="100">
        <f t="shared" si="64"/>
        <v>13821505926.415878</v>
      </c>
      <c r="BH50" s="100">
        <f t="shared" si="64"/>
        <v>13821505926.415878</v>
      </c>
      <c r="BI50" s="100">
        <f t="shared" si="64"/>
        <v>13821505926.415878</v>
      </c>
      <c r="BJ50" s="100">
        <f t="shared" si="64"/>
        <v>13821505926.415878</v>
      </c>
      <c r="BK50" s="100">
        <f t="shared" si="64"/>
        <v>13821505926.415878</v>
      </c>
      <c r="BL50" s="100">
        <f t="shared" si="64"/>
        <v>13821505926.415878</v>
      </c>
      <c r="BM50" s="100">
        <f t="shared" si="64"/>
        <v>13821505926.415878</v>
      </c>
      <c r="BN50" s="100">
        <f t="shared" si="64"/>
        <v>13821505926.415878</v>
      </c>
      <c r="BO50" s="100">
        <f t="shared" si="64"/>
        <v>13821505926.415878</v>
      </c>
      <c r="BP50" s="100">
        <f t="shared" si="64"/>
        <v>13821505926.415878</v>
      </c>
      <c r="BQ50" s="100">
        <f t="shared" si="64"/>
        <v>13821505926.415878</v>
      </c>
      <c r="BR50" s="100">
        <f t="shared" si="64"/>
        <v>13821505926.415878</v>
      </c>
      <c r="BS50" s="100">
        <f t="shared" si="64"/>
        <v>13821505926.415878</v>
      </c>
      <c r="BT50" s="100">
        <f t="shared" si="64"/>
        <v>13821505926.415878</v>
      </c>
      <c r="BU50" s="100">
        <f t="shared" si="64"/>
        <v>13821505926.415878</v>
      </c>
      <c r="BV50" s="100">
        <f t="shared" si="64"/>
        <v>13821505926.415878</v>
      </c>
      <c r="BW50" s="100">
        <f t="shared" si="64"/>
        <v>13821505926.415878</v>
      </c>
      <c r="BX50" s="100">
        <f t="shared" si="64"/>
        <v>13821505926.415878</v>
      </c>
      <c r="BY50" s="100">
        <f t="shared" si="64"/>
        <v>13821505926.415878</v>
      </c>
      <c r="BZ50" s="49">
        <f t="shared" si="62"/>
        <v>276430.1185283176</v>
      </c>
      <c r="CA50" s="101">
        <f>IFERROR(up_RadSpec!$E$25*($AC$25/$B50),".")</f>
        <v>69107.5296320794</v>
      </c>
      <c r="CB50" s="101">
        <f>IFERROR(up_RadSpec!$E$25*($AD$25/$B50),".")</f>
        <v>69107.5296320794</v>
      </c>
      <c r="CC50" s="101">
        <f>IFERROR(up_RadSpec!$E$25*($AY$25/$B50),".")</f>
        <v>69107.5296320794</v>
      </c>
      <c r="CD50" s="101">
        <f>IFERROR(up_RadSpec!$E$25*($AY$25/$B50),".")</f>
        <v>69107.5296320794</v>
      </c>
      <c r="CE50" s="101">
        <f>IFERROR(up_RadSpec!$E$25*($AY$25/$B50),".")</f>
        <v>69107.5296320794</v>
      </c>
      <c r="CF50" s="101">
        <f>IFERROR(up_RadSpec!$E$25*($AY$25/$B50),".")</f>
        <v>69107.5296320794</v>
      </c>
      <c r="CG50" s="101">
        <f>IFERROR(up_RadSpec!$E$25*($AY$25/$B50),".")</f>
        <v>69107.5296320794</v>
      </c>
      <c r="CH50" s="101">
        <f>IFERROR(up_RadSpec!$E$25*($AY$25/$B50),".")</f>
        <v>69107.5296320794</v>
      </c>
      <c r="CI50" s="101">
        <f>IFERROR(up_RadSpec!$E$25*($AY$25/$B50),".")</f>
        <v>69107.5296320794</v>
      </c>
      <c r="CJ50" s="101">
        <f>IFERROR(up_RadSpec!$E$25*($AY$25/$B50),".")</f>
        <v>69107.5296320794</v>
      </c>
      <c r="CK50" s="101">
        <f>IFERROR(up_RadSpec!$E$25*($AY$25/$B50),".")</f>
        <v>69107.5296320794</v>
      </c>
      <c r="CL50" s="101">
        <f>IFERROR(up_RadSpec!$E$25*($AY$25/$B50),".")</f>
        <v>69107.5296320794</v>
      </c>
      <c r="CM50" s="101">
        <f>IFERROR(up_RadSpec!$E$25*($AY$25/$B50),".")</f>
        <v>69107.5296320794</v>
      </c>
      <c r="CN50" s="101">
        <f>IFERROR(up_RadSpec!$E$25*($AY$25/$B50),".")</f>
        <v>69107.5296320794</v>
      </c>
      <c r="CO50" s="101">
        <f>IFERROR(up_RadSpec!$E$25*($AY$25/$B50),".")</f>
        <v>69107.5296320794</v>
      </c>
      <c r="CP50" s="101">
        <f>IFERROR(up_RadSpec!$E$25*($AY$25/$B50),".")</f>
        <v>69107.5296320794</v>
      </c>
      <c r="CQ50" s="101">
        <f>IFERROR(up_RadSpec!$E$25*($AY$25/$B50),".")</f>
        <v>69107.5296320794</v>
      </c>
      <c r="CR50" s="101">
        <f>IFERROR(up_RadSpec!$E$25*($AY$25/$B50),".")</f>
        <v>69107.5296320794</v>
      </c>
      <c r="CS50" s="101">
        <f>IFERROR(up_RadSpec!$E$25*($AY$25/$B50),".")</f>
        <v>69107.5296320794</v>
      </c>
      <c r="CT50" s="101">
        <f>IFERROR(up_RadSpec!$E$25*($AY$25/$B50),".")</f>
        <v>69107.5296320794</v>
      </c>
      <c r="CU50" s="101">
        <f>IFERROR(up_RadSpec!$E$25*($AY$25/$B50),".")</f>
        <v>69107.5296320794</v>
      </c>
      <c r="CV50" s="101">
        <f>IFERROR(up_RadSpec!$E$25*($AY$25/$B50),".")</f>
        <v>69107.5296320794</v>
      </c>
      <c r="CW50" s="101">
        <f>IFERROR(up_RadSpec!$E$25*($AY$25/$B50),".")</f>
        <v>69107.5296320794</v>
      </c>
      <c r="CX50" s="101">
        <f>IFERROR(up_RadSpec!$E$25*($AZ$25/$B50),".")</f>
        <v>69107.5296320794</v>
      </c>
    </row>
    <row r="51" spans="1:102" x14ac:dyDescent="0.25">
      <c r="A51" s="99" t="s">
        <v>1076</v>
      </c>
      <c r="B51" s="90">
        <v>1</v>
      </c>
      <c r="C51" s="100">
        <f t="shared" si="0"/>
        <v>3455376481.6039696</v>
      </c>
      <c r="D51" s="100">
        <f t="shared" ref="D51:AA51" si="65">IFERROR($B51/D21,0)</f>
        <v>13821505926.415878</v>
      </c>
      <c r="E51" s="100">
        <f t="shared" si="65"/>
        <v>13821505926.415878</v>
      </c>
      <c r="F51" s="100">
        <f t="shared" si="65"/>
        <v>13821505926.415878</v>
      </c>
      <c r="G51" s="100">
        <f t="shared" si="65"/>
        <v>13821505926.415878</v>
      </c>
      <c r="H51" s="100">
        <f t="shared" si="65"/>
        <v>13821505926.415878</v>
      </c>
      <c r="I51" s="100">
        <f t="shared" si="65"/>
        <v>13821505926.415878</v>
      </c>
      <c r="J51" s="100">
        <f t="shared" si="65"/>
        <v>13821505926.415878</v>
      </c>
      <c r="K51" s="100">
        <f t="shared" si="65"/>
        <v>13821505926.415878</v>
      </c>
      <c r="L51" s="100">
        <f t="shared" si="65"/>
        <v>13821505926.415878</v>
      </c>
      <c r="M51" s="100">
        <f t="shared" si="65"/>
        <v>13821505926.415878</v>
      </c>
      <c r="N51" s="100">
        <f t="shared" si="65"/>
        <v>13821505926.415878</v>
      </c>
      <c r="O51" s="100">
        <f t="shared" si="65"/>
        <v>13821505926.415878</v>
      </c>
      <c r="P51" s="100">
        <f t="shared" si="65"/>
        <v>13821505926.415878</v>
      </c>
      <c r="Q51" s="100">
        <f t="shared" si="65"/>
        <v>13821505926.415878</v>
      </c>
      <c r="R51" s="100">
        <f t="shared" si="65"/>
        <v>13821505926.415878</v>
      </c>
      <c r="S51" s="100">
        <f t="shared" si="65"/>
        <v>13821505926.415878</v>
      </c>
      <c r="T51" s="100">
        <f t="shared" si="65"/>
        <v>13821505926.415878</v>
      </c>
      <c r="U51" s="100">
        <f t="shared" si="65"/>
        <v>13821505926.415878</v>
      </c>
      <c r="V51" s="100">
        <f t="shared" si="65"/>
        <v>13821505926.415878</v>
      </c>
      <c r="W51" s="100">
        <f t="shared" si="65"/>
        <v>13821505926.415878</v>
      </c>
      <c r="X51" s="100">
        <f t="shared" si="65"/>
        <v>13821505926.415878</v>
      </c>
      <c r="Y51" s="100">
        <f t="shared" si="65"/>
        <v>13821505926.415878</v>
      </c>
      <c r="Z51" s="100">
        <f t="shared" si="65"/>
        <v>13821505926.415878</v>
      </c>
      <c r="AA51" s="100">
        <f t="shared" si="65"/>
        <v>13821505926.415878</v>
      </c>
      <c r="AB51" s="49">
        <f t="shared" si="21"/>
        <v>276430.1185283176</v>
      </c>
      <c r="AC51" s="101">
        <f>IFERROR(up_RadSpec!$E$21*($AC$21/$B51),".")</f>
        <v>69107.5296320794</v>
      </c>
      <c r="AD51" s="101">
        <f>IFERROR(up_RadSpec!$E$21*($AD$21/$B51),".")</f>
        <v>69107.5296320794</v>
      </c>
      <c r="AE51" s="101">
        <f>IFERROR(up_RadSpec!$E$21*($AY$21/$B51),".")</f>
        <v>69107.5296320794</v>
      </c>
      <c r="AF51" s="101">
        <f>IFERROR(up_RadSpec!$E$21*($AY$21/$B51),".")</f>
        <v>69107.5296320794</v>
      </c>
      <c r="AG51" s="101">
        <f>IFERROR(up_RadSpec!$E$21*($AY$21/$B51),".")</f>
        <v>69107.5296320794</v>
      </c>
      <c r="AH51" s="101">
        <f>IFERROR(up_RadSpec!$E$21*($AY$21/$B51),".")</f>
        <v>69107.5296320794</v>
      </c>
      <c r="AI51" s="101">
        <f>IFERROR(up_RadSpec!$E$21*($AY$21/$B51),".")</f>
        <v>69107.5296320794</v>
      </c>
      <c r="AJ51" s="101">
        <f>IFERROR(up_RadSpec!$E$21*($AY$21/$B51),".")</f>
        <v>69107.5296320794</v>
      </c>
      <c r="AK51" s="101">
        <f>IFERROR(up_RadSpec!$E$21*($AY$21/$B51),".")</f>
        <v>69107.5296320794</v>
      </c>
      <c r="AL51" s="101">
        <f>IFERROR(up_RadSpec!$E$21*($AY$21/$B51),".")</f>
        <v>69107.5296320794</v>
      </c>
      <c r="AM51" s="101">
        <f>IFERROR(up_RadSpec!$E$21*($AY$21/$B51),".")</f>
        <v>69107.5296320794</v>
      </c>
      <c r="AN51" s="101">
        <f>IFERROR(up_RadSpec!$E$21*($AY$21/$B51),".")</f>
        <v>69107.5296320794</v>
      </c>
      <c r="AO51" s="101">
        <f>IFERROR(up_RadSpec!$E$21*($AY$21/$B51),".")</f>
        <v>69107.5296320794</v>
      </c>
      <c r="AP51" s="101">
        <f>IFERROR(up_RadSpec!$E$21*($AY$21/$B51),".")</f>
        <v>69107.5296320794</v>
      </c>
      <c r="AQ51" s="101">
        <f>IFERROR(up_RadSpec!$E$21*($AY$21/$B51),".")</f>
        <v>69107.5296320794</v>
      </c>
      <c r="AR51" s="101">
        <f>IFERROR(up_RadSpec!$E$21*($AY$21/$B51),".")</f>
        <v>69107.5296320794</v>
      </c>
      <c r="AS51" s="101">
        <f>IFERROR(up_RadSpec!$E$21*($AY$21/$B51),".")</f>
        <v>69107.5296320794</v>
      </c>
      <c r="AT51" s="101">
        <f>IFERROR(up_RadSpec!$E$21*($AY$21/$B51),".")</f>
        <v>69107.5296320794</v>
      </c>
      <c r="AU51" s="101">
        <f>IFERROR(up_RadSpec!$E$21*($AY$21/$B51),".")</f>
        <v>69107.5296320794</v>
      </c>
      <c r="AV51" s="101">
        <f>IFERROR(up_RadSpec!$E$21*($AY$21/$B51),".")</f>
        <v>69107.5296320794</v>
      </c>
      <c r="AW51" s="101">
        <f>IFERROR(up_RadSpec!$E$21*($AY$21/$B51),".")</f>
        <v>69107.5296320794</v>
      </c>
      <c r="AX51" s="101">
        <f>IFERROR(up_RadSpec!$E$21*($AY$21/$B51),".")</f>
        <v>69107.5296320794</v>
      </c>
      <c r="AY51" s="101">
        <f>IFERROR(up_RadSpec!$E$21*($AY$21/$B51),".")</f>
        <v>69107.5296320794</v>
      </c>
      <c r="AZ51" s="101">
        <f>IFERROR(up_RadSpec!$E$21*($AZ$21/$B51),".")</f>
        <v>69107.5296320794</v>
      </c>
      <c r="BA51" s="100">
        <f t="shared" si="22"/>
        <v>3455376481.6039696</v>
      </c>
      <c r="BB51" s="100">
        <f t="shared" ref="BB51:BY51" si="66">IFERROR($B51/BB21,0)</f>
        <v>13821505926.415878</v>
      </c>
      <c r="BC51" s="100">
        <f t="shared" si="66"/>
        <v>13821505926.415878</v>
      </c>
      <c r="BD51" s="100">
        <f t="shared" si="66"/>
        <v>13821505926.415878</v>
      </c>
      <c r="BE51" s="100">
        <f t="shared" si="66"/>
        <v>13821505926.415878</v>
      </c>
      <c r="BF51" s="100">
        <f t="shared" si="66"/>
        <v>13821505926.415878</v>
      </c>
      <c r="BG51" s="100">
        <f t="shared" si="66"/>
        <v>13821505926.415878</v>
      </c>
      <c r="BH51" s="100">
        <f t="shared" si="66"/>
        <v>13821505926.415878</v>
      </c>
      <c r="BI51" s="100">
        <f t="shared" si="66"/>
        <v>13821505926.415878</v>
      </c>
      <c r="BJ51" s="100">
        <f t="shared" si="66"/>
        <v>13821505926.415878</v>
      </c>
      <c r="BK51" s="100">
        <f t="shared" si="66"/>
        <v>13821505926.415878</v>
      </c>
      <c r="BL51" s="100">
        <f t="shared" si="66"/>
        <v>13821505926.415878</v>
      </c>
      <c r="BM51" s="100">
        <f t="shared" si="66"/>
        <v>13821505926.415878</v>
      </c>
      <c r="BN51" s="100">
        <f t="shared" si="66"/>
        <v>13821505926.415878</v>
      </c>
      <c r="BO51" s="100">
        <f t="shared" si="66"/>
        <v>13821505926.415878</v>
      </c>
      <c r="BP51" s="100">
        <f t="shared" si="66"/>
        <v>13821505926.415878</v>
      </c>
      <c r="BQ51" s="100">
        <f t="shared" si="66"/>
        <v>13821505926.415878</v>
      </c>
      <c r="BR51" s="100">
        <f t="shared" si="66"/>
        <v>13821505926.415878</v>
      </c>
      <c r="BS51" s="100">
        <f t="shared" si="66"/>
        <v>13821505926.415878</v>
      </c>
      <c r="BT51" s="100">
        <f t="shared" si="66"/>
        <v>13821505926.415878</v>
      </c>
      <c r="BU51" s="100">
        <f t="shared" si="66"/>
        <v>13821505926.415878</v>
      </c>
      <c r="BV51" s="100">
        <f t="shared" si="66"/>
        <v>13821505926.415878</v>
      </c>
      <c r="BW51" s="100">
        <f t="shared" si="66"/>
        <v>13821505926.415878</v>
      </c>
      <c r="BX51" s="100">
        <f t="shared" si="66"/>
        <v>13821505926.415878</v>
      </c>
      <c r="BY51" s="100">
        <f t="shared" si="66"/>
        <v>13821505926.415878</v>
      </c>
      <c r="BZ51" s="49">
        <f t="shared" si="62"/>
        <v>276430.1185283176</v>
      </c>
      <c r="CA51" s="101">
        <f>IFERROR(up_RadSpec!$E$21*($AC$21/$B51),".")</f>
        <v>69107.5296320794</v>
      </c>
      <c r="CB51" s="101">
        <f>IFERROR(up_RadSpec!$E$21*($AD$21/$B51),".")</f>
        <v>69107.5296320794</v>
      </c>
      <c r="CC51" s="101">
        <f>IFERROR(up_RadSpec!$E$21*($AY$21/$B51),".")</f>
        <v>69107.5296320794</v>
      </c>
      <c r="CD51" s="101">
        <f>IFERROR(up_RadSpec!$E$21*($AY$21/$B51),".")</f>
        <v>69107.5296320794</v>
      </c>
      <c r="CE51" s="101">
        <f>IFERROR(up_RadSpec!$E$21*($AY$21/$B51),".")</f>
        <v>69107.5296320794</v>
      </c>
      <c r="CF51" s="101">
        <f>IFERROR(up_RadSpec!$E$21*($AY$21/$B51),".")</f>
        <v>69107.5296320794</v>
      </c>
      <c r="CG51" s="101">
        <f>IFERROR(up_RadSpec!$E$21*($AY$21/$B51),".")</f>
        <v>69107.5296320794</v>
      </c>
      <c r="CH51" s="101">
        <f>IFERROR(up_RadSpec!$E$21*($AY$21/$B51),".")</f>
        <v>69107.5296320794</v>
      </c>
      <c r="CI51" s="101">
        <f>IFERROR(up_RadSpec!$E$21*($AY$21/$B51),".")</f>
        <v>69107.5296320794</v>
      </c>
      <c r="CJ51" s="101">
        <f>IFERROR(up_RadSpec!$E$21*($AY$21/$B51),".")</f>
        <v>69107.5296320794</v>
      </c>
      <c r="CK51" s="101">
        <f>IFERROR(up_RadSpec!$E$21*($AY$21/$B51),".")</f>
        <v>69107.5296320794</v>
      </c>
      <c r="CL51" s="101">
        <f>IFERROR(up_RadSpec!$E$21*($AY$21/$B51),".")</f>
        <v>69107.5296320794</v>
      </c>
      <c r="CM51" s="101">
        <f>IFERROR(up_RadSpec!$E$21*($AY$21/$B51),".")</f>
        <v>69107.5296320794</v>
      </c>
      <c r="CN51" s="101">
        <f>IFERROR(up_RadSpec!$E$21*($AY$21/$B51),".")</f>
        <v>69107.5296320794</v>
      </c>
      <c r="CO51" s="101">
        <f>IFERROR(up_RadSpec!$E$21*($AY$21/$B51),".")</f>
        <v>69107.5296320794</v>
      </c>
      <c r="CP51" s="101">
        <f>IFERROR(up_RadSpec!$E$21*($AY$21/$B51),".")</f>
        <v>69107.5296320794</v>
      </c>
      <c r="CQ51" s="101">
        <f>IFERROR(up_RadSpec!$E$21*($AY$21/$B51),".")</f>
        <v>69107.5296320794</v>
      </c>
      <c r="CR51" s="101">
        <f>IFERROR(up_RadSpec!$E$21*($AY$21/$B51),".")</f>
        <v>69107.5296320794</v>
      </c>
      <c r="CS51" s="101">
        <f>IFERROR(up_RadSpec!$E$21*($AY$21/$B51),".")</f>
        <v>69107.5296320794</v>
      </c>
      <c r="CT51" s="101">
        <f>IFERROR(up_RadSpec!$E$21*($AY$21/$B51),".")</f>
        <v>69107.5296320794</v>
      </c>
      <c r="CU51" s="101">
        <f>IFERROR(up_RadSpec!$E$21*($AY$21/$B51),".")</f>
        <v>69107.5296320794</v>
      </c>
      <c r="CV51" s="101">
        <f>IFERROR(up_RadSpec!$E$21*($AY$21/$B51),".")</f>
        <v>69107.5296320794</v>
      </c>
      <c r="CW51" s="101">
        <f>IFERROR(up_RadSpec!$E$21*($AY$21/$B51),".")</f>
        <v>69107.5296320794</v>
      </c>
      <c r="CX51" s="101">
        <f>IFERROR(up_RadSpec!$E$21*($AZ$21/$B51),".")</f>
        <v>69107.5296320794</v>
      </c>
    </row>
    <row r="52" spans="1:102" x14ac:dyDescent="0.25">
      <c r="A52" s="99" t="s">
        <v>1077</v>
      </c>
      <c r="B52" s="103">
        <v>0.99980000000000002</v>
      </c>
      <c r="C52" s="100">
        <f t="shared" si="0"/>
        <v>3454685406.3076491</v>
      </c>
      <c r="D52" s="100">
        <f t="shared" ref="D52:AA52" si="67">IFERROR($B52/D17,0)</f>
        <v>13818741625.230597</v>
      </c>
      <c r="E52" s="100">
        <f t="shared" si="67"/>
        <v>13818741625.230597</v>
      </c>
      <c r="F52" s="100">
        <f t="shared" si="67"/>
        <v>13818741625.230597</v>
      </c>
      <c r="G52" s="100">
        <f t="shared" si="67"/>
        <v>13818741625.230597</v>
      </c>
      <c r="H52" s="100">
        <f t="shared" si="67"/>
        <v>13818741625.230597</v>
      </c>
      <c r="I52" s="100">
        <f t="shared" si="67"/>
        <v>13818741625.230597</v>
      </c>
      <c r="J52" s="100">
        <f t="shared" si="67"/>
        <v>13818741625.230597</v>
      </c>
      <c r="K52" s="100">
        <f t="shared" si="67"/>
        <v>13818741625.230597</v>
      </c>
      <c r="L52" s="100">
        <f t="shared" si="67"/>
        <v>13818741625.230597</v>
      </c>
      <c r="M52" s="100">
        <f t="shared" si="67"/>
        <v>13818741625.230597</v>
      </c>
      <c r="N52" s="100">
        <f t="shared" si="67"/>
        <v>13818741625.230597</v>
      </c>
      <c r="O52" s="100">
        <f t="shared" si="67"/>
        <v>13818741625.230597</v>
      </c>
      <c r="P52" s="100">
        <f t="shared" si="67"/>
        <v>13818741625.230597</v>
      </c>
      <c r="Q52" s="100">
        <f t="shared" si="67"/>
        <v>13818741625.230597</v>
      </c>
      <c r="R52" s="100">
        <f t="shared" si="67"/>
        <v>13818741625.230597</v>
      </c>
      <c r="S52" s="100">
        <f t="shared" si="67"/>
        <v>13818741625.230597</v>
      </c>
      <c r="T52" s="100">
        <f t="shared" si="67"/>
        <v>13818741625.230597</v>
      </c>
      <c r="U52" s="100">
        <f t="shared" si="67"/>
        <v>13818741625.230597</v>
      </c>
      <c r="V52" s="100">
        <f t="shared" si="67"/>
        <v>13818741625.230597</v>
      </c>
      <c r="W52" s="100">
        <f t="shared" si="67"/>
        <v>13818741625.230597</v>
      </c>
      <c r="X52" s="100">
        <f t="shared" si="67"/>
        <v>13818741625.230597</v>
      </c>
      <c r="Y52" s="100">
        <f t="shared" si="67"/>
        <v>13818741625.230597</v>
      </c>
      <c r="Z52" s="100">
        <f t="shared" si="67"/>
        <v>13818741625.230597</v>
      </c>
      <c r="AA52" s="100">
        <f t="shared" si="67"/>
        <v>13818741625.230597</v>
      </c>
      <c r="AB52" s="49">
        <f t="shared" si="21"/>
        <v>276485.41561143985</v>
      </c>
      <c r="AC52" s="101">
        <f>IFERROR(up_RadSpec!$E$17*($AC$17/$B52),".")</f>
        <v>69121.353902859963</v>
      </c>
      <c r="AD52" s="101">
        <f>IFERROR(up_RadSpec!$E$17*($AD$17/$B52),".")</f>
        <v>69121.353902859963</v>
      </c>
      <c r="AE52" s="101">
        <f>IFERROR(up_RadSpec!$E$17*($AY$17/$B52),".")</f>
        <v>69121.353902859963</v>
      </c>
      <c r="AF52" s="101">
        <f>IFERROR(up_RadSpec!$E$17*($AY$17/$B52),".")</f>
        <v>69121.353902859963</v>
      </c>
      <c r="AG52" s="101">
        <f>IFERROR(up_RadSpec!$E$17*($AY$17/$B52),".")</f>
        <v>69121.353902859963</v>
      </c>
      <c r="AH52" s="101">
        <f>IFERROR(up_RadSpec!$E$17*($AY$17/$B52),".")</f>
        <v>69121.353902859963</v>
      </c>
      <c r="AI52" s="101">
        <f>IFERROR(up_RadSpec!$E$17*($AY$17/$B52),".")</f>
        <v>69121.353902859963</v>
      </c>
      <c r="AJ52" s="101">
        <f>IFERROR(up_RadSpec!$E$17*($AY$17/$B52),".")</f>
        <v>69121.353902859963</v>
      </c>
      <c r="AK52" s="101">
        <f>IFERROR(up_RadSpec!$E$17*($AY$17/$B52),".")</f>
        <v>69121.353902859963</v>
      </c>
      <c r="AL52" s="101">
        <f>IFERROR(up_RadSpec!$E$17*($AY$17/$B52),".")</f>
        <v>69121.353902859963</v>
      </c>
      <c r="AM52" s="101">
        <f>IFERROR(up_RadSpec!$E$17*($AY$17/$B52),".")</f>
        <v>69121.353902859963</v>
      </c>
      <c r="AN52" s="101">
        <f>IFERROR(up_RadSpec!$E$17*($AY$17/$B52),".")</f>
        <v>69121.353902859963</v>
      </c>
      <c r="AO52" s="101">
        <f>IFERROR(up_RadSpec!$E$17*($AY$17/$B52),".")</f>
        <v>69121.353902859963</v>
      </c>
      <c r="AP52" s="101">
        <f>IFERROR(up_RadSpec!$E$17*($AY$17/$B52),".")</f>
        <v>69121.353902859963</v>
      </c>
      <c r="AQ52" s="101">
        <f>IFERROR(up_RadSpec!$E$17*($AY$17/$B52),".")</f>
        <v>69121.353902859963</v>
      </c>
      <c r="AR52" s="101">
        <f>IFERROR(up_RadSpec!$E$17*($AY$17/$B52),".")</f>
        <v>69121.353902859963</v>
      </c>
      <c r="AS52" s="101">
        <f>IFERROR(up_RadSpec!$E$17*($AY$17/$B52),".")</f>
        <v>69121.353902859963</v>
      </c>
      <c r="AT52" s="101">
        <f>IFERROR(up_RadSpec!$E$17*($AY$17/$B52),".")</f>
        <v>69121.353902859963</v>
      </c>
      <c r="AU52" s="101">
        <f>IFERROR(up_RadSpec!$E$17*($AY$17/$B52),".")</f>
        <v>69121.353902859963</v>
      </c>
      <c r="AV52" s="101">
        <f>IFERROR(up_RadSpec!$E$17*($AY$17/$B52),".")</f>
        <v>69121.353902859963</v>
      </c>
      <c r="AW52" s="101">
        <f>IFERROR(up_RadSpec!$E$17*($AY$17/$B52),".")</f>
        <v>69121.353902859963</v>
      </c>
      <c r="AX52" s="101">
        <f>IFERROR(up_RadSpec!$E$17*($AY$17/$B52),".")</f>
        <v>69121.353902859963</v>
      </c>
      <c r="AY52" s="101">
        <f>IFERROR(up_RadSpec!$E$17*($AY$17/$B52),".")</f>
        <v>69121.353902859963</v>
      </c>
      <c r="AZ52" s="101">
        <f>IFERROR(up_RadSpec!$E$17*($AZ$17/$B52),".")</f>
        <v>69121.353902859963</v>
      </c>
      <c r="BA52" s="100">
        <f t="shared" si="22"/>
        <v>3454685406.3076491</v>
      </c>
      <c r="BB52" s="100">
        <f t="shared" ref="BB52:BY52" si="68">IFERROR($B52/BB17,0)</f>
        <v>13818741625.230597</v>
      </c>
      <c r="BC52" s="100">
        <f t="shared" si="68"/>
        <v>13818741625.230597</v>
      </c>
      <c r="BD52" s="100">
        <f t="shared" si="68"/>
        <v>13818741625.230597</v>
      </c>
      <c r="BE52" s="100">
        <f t="shared" si="68"/>
        <v>13818741625.230597</v>
      </c>
      <c r="BF52" s="100">
        <f t="shared" si="68"/>
        <v>13818741625.230597</v>
      </c>
      <c r="BG52" s="100">
        <f t="shared" si="68"/>
        <v>13818741625.230597</v>
      </c>
      <c r="BH52" s="100">
        <f t="shared" si="68"/>
        <v>13818741625.230597</v>
      </c>
      <c r="BI52" s="100">
        <f t="shared" si="68"/>
        <v>13818741625.230597</v>
      </c>
      <c r="BJ52" s="100">
        <f t="shared" si="68"/>
        <v>13818741625.230597</v>
      </c>
      <c r="BK52" s="100">
        <f t="shared" si="68"/>
        <v>13818741625.230597</v>
      </c>
      <c r="BL52" s="100">
        <f t="shared" si="68"/>
        <v>13818741625.230597</v>
      </c>
      <c r="BM52" s="100">
        <f t="shared" si="68"/>
        <v>13818741625.230597</v>
      </c>
      <c r="BN52" s="100">
        <f t="shared" si="68"/>
        <v>13818741625.230597</v>
      </c>
      <c r="BO52" s="100">
        <f t="shared" si="68"/>
        <v>13818741625.230597</v>
      </c>
      <c r="BP52" s="100">
        <f t="shared" si="68"/>
        <v>13818741625.230597</v>
      </c>
      <c r="BQ52" s="100">
        <f t="shared" si="68"/>
        <v>13818741625.230597</v>
      </c>
      <c r="BR52" s="100">
        <f t="shared" si="68"/>
        <v>13818741625.230597</v>
      </c>
      <c r="BS52" s="100">
        <f t="shared" si="68"/>
        <v>13818741625.230597</v>
      </c>
      <c r="BT52" s="100">
        <f t="shared" si="68"/>
        <v>13818741625.230597</v>
      </c>
      <c r="BU52" s="100">
        <f t="shared" si="68"/>
        <v>13818741625.230597</v>
      </c>
      <c r="BV52" s="100">
        <f t="shared" si="68"/>
        <v>13818741625.230597</v>
      </c>
      <c r="BW52" s="100">
        <f t="shared" si="68"/>
        <v>13818741625.230597</v>
      </c>
      <c r="BX52" s="100">
        <f t="shared" si="68"/>
        <v>13818741625.230597</v>
      </c>
      <c r="BY52" s="100">
        <f t="shared" si="68"/>
        <v>13818741625.230597</v>
      </c>
      <c r="BZ52" s="49">
        <f t="shared" si="62"/>
        <v>276485.41561143985</v>
      </c>
      <c r="CA52" s="101">
        <f>IFERROR(up_RadSpec!$E$17*($AC$17/$B52),".")</f>
        <v>69121.353902859963</v>
      </c>
      <c r="CB52" s="101">
        <f>IFERROR(up_RadSpec!$E$17*($AD$17/$B52),".")</f>
        <v>69121.353902859963</v>
      </c>
      <c r="CC52" s="101">
        <f>IFERROR(up_RadSpec!$E$17*($AY$17/$B52),".")</f>
        <v>69121.353902859963</v>
      </c>
      <c r="CD52" s="101">
        <f>IFERROR(up_RadSpec!$E$17*($AY$17/$B52),".")</f>
        <v>69121.353902859963</v>
      </c>
      <c r="CE52" s="101">
        <f>IFERROR(up_RadSpec!$E$17*($AY$17/$B52),".")</f>
        <v>69121.353902859963</v>
      </c>
      <c r="CF52" s="101">
        <f>IFERROR(up_RadSpec!$E$17*($AY$17/$B52),".")</f>
        <v>69121.353902859963</v>
      </c>
      <c r="CG52" s="101">
        <f>IFERROR(up_RadSpec!$E$17*($AY$17/$B52),".")</f>
        <v>69121.353902859963</v>
      </c>
      <c r="CH52" s="101">
        <f>IFERROR(up_RadSpec!$E$17*($AY$17/$B52),".")</f>
        <v>69121.353902859963</v>
      </c>
      <c r="CI52" s="101">
        <f>IFERROR(up_RadSpec!$E$17*($AY$17/$B52),".")</f>
        <v>69121.353902859963</v>
      </c>
      <c r="CJ52" s="101">
        <f>IFERROR(up_RadSpec!$E$17*($AY$17/$B52),".")</f>
        <v>69121.353902859963</v>
      </c>
      <c r="CK52" s="101">
        <f>IFERROR(up_RadSpec!$E$17*($AY$17/$B52),".")</f>
        <v>69121.353902859963</v>
      </c>
      <c r="CL52" s="101">
        <f>IFERROR(up_RadSpec!$E$17*($AY$17/$B52),".")</f>
        <v>69121.353902859963</v>
      </c>
      <c r="CM52" s="101">
        <f>IFERROR(up_RadSpec!$E$17*($AY$17/$B52),".")</f>
        <v>69121.353902859963</v>
      </c>
      <c r="CN52" s="101">
        <f>IFERROR(up_RadSpec!$E$17*($AY$17/$B52),".")</f>
        <v>69121.353902859963</v>
      </c>
      <c r="CO52" s="101">
        <f>IFERROR(up_RadSpec!$E$17*($AY$17/$B52),".")</f>
        <v>69121.353902859963</v>
      </c>
      <c r="CP52" s="101">
        <f>IFERROR(up_RadSpec!$E$17*($AY$17/$B52),".")</f>
        <v>69121.353902859963</v>
      </c>
      <c r="CQ52" s="101">
        <f>IFERROR(up_RadSpec!$E$17*($AY$17/$B52),".")</f>
        <v>69121.353902859963</v>
      </c>
      <c r="CR52" s="101">
        <f>IFERROR(up_RadSpec!$E$17*($AY$17/$B52),".")</f>
        <v>69121.353902859963</v>
      </c>
      <c r="CS52" s="101">
        <f>IFERROR(up_RadSpec!$E$17*($AY$17/$B52),".")</f>
        <v>69121.353902859963</v>
      </c>
      <c r="CT52" s="101">
        <f>IFERROR(up_RadSpec!$E$17*($AY$17/$B52),".")</f>
        <v>69121.353902859963</v>
      </c>
      <c r="CU52" s="101">
        <f>IFERROR(up_RadSpec!$E$17*($AY$17/$B52),".")</f>
        <v>69121.353902859963</v>
      </c>
      <c r="CV52" s="101">
        <f>IFERROR(up_RadSpec!$E$17*($AY$17/$B52),".")</f>
        <v>69121.353902859963</v>
      </c>
      <c r="CW52" s="101">
        <f>IFERROR(up_RadSpec!$E$17*($AY$17/$B52),".")</f>
        <v>69121.353902859963</v>
      </c>
      <c r="CX52" s="101">
        <f>IFERROR(up_RadSpec!$E$17*($AZ$17/$B52),".")</f>
        <v>69121.353902859963</v>
      </c>
    </row>
    <row r="53" spans="1:102" x14ac:dyDescent="0.25">
      <c r="A53" s="99" t="s">
        <v>1091</v>
      </c>
      <c r="B53" s="90">
        <v>2.0000000000000001E-4</v>
      </c>
      <c r="C53" s="100">
        <f t="shared" si="0"/>
        <v>691075.29632079392</v>
      </c>
      <c r="D53" s="100">
        <f t="shared" ref="D53:AA53" si="69">IFERROR($B53/D5,0)</f>
        <v>2764301.1852831757</v>
      </c>
      <c r="E53" s="100">
        <f t="shared" si="69"/>
        <v>2764301.1852831757</v>
      </c>
      <c r="F53" s="100">
        <f t="shared" si="69"/>
        <v>2764301.1852831757</v>
      </c>
      <c r="G53" s="100">
        <f t="shared" si="69"/>
        <v>2764301.1852831757</v>
      </c>
      <c r="H53" s="100">
        <f t="shared" si="69"/>
        <v>2764301.1852831757</v>
      </c>
      <c r="I53" s="100">
        <f t="shared" si="69"/>
        <v>2764301.1852831757</v>
      </c>
      <c r="J53" s="100">
        <f t="shared" si="69"/>
        <v>2764301.1852831757</v>
      </c>
      <c r="K53" s="100">
        <f t="shared" si="69"/>
        <v>2764301.1852831757</v>
      </c>
      <c r="L53" s="100">
        <f t="shared" si="69"/>
        <v>2764301.1852831757</v>
      </c>
      <c r="M53" s="100">
        <f t="shared" si="69"/>
        <v>2764301.1852831757</v>
      </c>
      <c r="N53" s="100">
        <f t="shared" si="69"/>
        <v>2764301.1852831757</v>
      </c>
      <c r="O53" s="100">
        <f t="shared" si="69"/>
        <v>2764301.1852831757</v>
      </c>
      <c r="P53" s="100">
        <f t="shared" si="69"/>
        <v>2764301.1852831757</v>
      </c>
      <c r="Q53" s="100">
        <f t="shared" si="69"/>
        <v>2764301.1852831757</v>
      </c>
      <c r="R53" s="100">
        <f t="shared" si="69"/>
        <v>2764301.1852831757</v>
      </c>
      <c r="S53" s="100">
        <f t="shared" si="69"/>
        <v>2764301.1852831757</v>
      </c>
      <c r="T53" s="100">
        <f t="shared" si="69"/>
        <v>2764301.1852831757</v>
      </c>
      <c r="U53" s="100">
        <f t="shared" si="69"/>
        <v>2764301.1852831757</v>
      </c>
      <c r="V53" s="100">
        <f t="shared" si="69"/>
        <v>2764301.1852831757</v>
      </c>
      <c r="W53" s="100">
        <f t="shared" si="69"/>
        <v>2764301.1852831757</v>
      </c>
      <c r="X53" s="100">
        <f t="shared" si="69"/>
        <v>2764301.1852831757</v>
      </c>
      <c r="Y53" s="100">
        <f t="shared" si="69"/>
        <v>2764301.1852831757</v>
      </c>
      <c r="Z53" s="100">
        <f t="shared" si="69"/>
        <v>2764301.1852831757</v>
      </c>
      <c r="AA53" s="100">
        <f t="shared" si="69"/>
        <v>2764301.1852831757</v>
      </c>
      <c r="AB53" s="49">
        <f t="shared" si="21"/>
        <v>1382150592.6415877</v>
      </c>
      <c r="AC53" s="101">
        <f>IFERROR(up_RadSpec!$E$5*($AC$5/$B53),".")</f>
        <v>345537648.16039693</v>
      </c>
      <c r="AD53" s="101">
        <f>IFERROR(up_RadSpec!$E$5*($AD$5/$B53),".")</f>
        <v>345537648.16039693</v>
      </c>
      <c r="AE53" s="101">
        <f>IFERROR(up_RadSpec!$E$5*($AY$5/$B53),".")</f>
        <v>345537648.16039693</v>
      </c>
      <c r="AF53" s="101">
        <f>IFERROR(up_RadSpec!$E$5*($AY$5/$B53),".")</f>
        <v>345537648.16039693</v>
      </c>
      <c r="AG53" s="101">
        <f>IFERROR(up_RadSpec!$E$5*($AY$5/$B53),".")</f>
        <v>345537648.16039693</v>
      </c>
      <c r="AH53" s="101">
        <f>IFERROR(up_RadSpec!$E$5*($AY$5/$B53),".")</f>
        <v>345537648.16039693</v>
      </c>
      <c r="AI53" s="101">
        <f>IFERROR(up_RadSpec!$E$5*($AY$5/$B53),".")</f>
        <v>345537648.16039693</v>
      </c>
      <c r="AJ53" s="101">
        <f>IFERROR(up_RadSpec!$E$5*($AY$5/$B53),".")</f>
        <v>345537648.16039693</v>
      </c>
      <c r="AK53" s="101">
        <f>IFERROR(up_RadSpec!$E$5*($AY$5/$B53),".")</f>
        <v>345537648.16039693</v>
      </c>
      <c r="AL53" s="101">
        <f>IFERROR(up_RadSpec!$E$5*($AY$5/$B53),".")</f>
        <v>345537648.16039693</v>
      </c>
      <c r="AM53" s="101">
        <f>IFERROR(up_RadSpec!$E$5*($AY$5/$B53),".")</f>
        <v>345537648.16039693</v>
      </c>
      <c r="AN53" s="101">
        <f>IFERROR(up_RadSpec!$E$5*($AY$5/$B53),".")</f>
        <v>345537648.16039693</v>
      </c>
      <c r="AO53" s="101">
        <f>IFERROR(up_RadSpec!$E$5*($AY$5/$B53),".")</f>
        <v>345537648.16039693</v>
      </c>
      <c r="AP53" s="101">
        <f>IFERROR(up_RadSpec!$E$5*($AY$5/$B53),".")</f>
        <v>345537648.16039693</v>
      </c>
      <c r="AQ53" s="101">
        <f>IFERROR(up_RadSpec!$E$5*($AY$5/$B53),".")</f>
        <v>345537648.16039693</v>
      </c>
      <c r="AR53" s="101">
        <f>IFERROR(up_RadSpec!$E$5*($AY$5/$B53),".")</f>
        <v>345537648.16039693</v>
      </c>
      <c r="AS53" s="101">
        <f>IFERROR(up_RadSpec!$E$5*($AY$5/$B53),".")</f>
        <v>345537648.16039693</v>
      </c>
      <c r="AT53" s="101">
        <f>IFERROR(up_RadSpec!$E$5*($AY$5/$B53),".")</f>
        <v>345537648.16039693</v>
      </c>
      <c r="AU53" s="101">
        <f>IFERROR(up_RadSpec!$E$5*($AY$5/$B53),".")</f>
        <v>345537648.16039693</v>
      </c>
      <c r="AV53" s="101">
        <f>IFERROR(up_RadSpec!$E$5*($AY$5/$B53),".")</f>
        <v>345537648.16039693</v>
      </c>
      <c r="AW53" s="101">
        <f>IFERROR(up_RadSpec!$E$5*($AY$5/$B53),".")</f>
        <v>345537648.16039693</v>
      </c>
      <c r="AX53" s="101">
        <f>IFERROR(up_RadSpec!$E$5*($AY$5/$B53),".")</f>
        <v>345537648.16039693</v>
      </c>
      <c r="AY53" s="101">
        <f>IFERROR(up_RadSpec!$E$5*($AY$5/$B53),".")</f>
        <v>345537648.16039693</v>
      </c>
      <c r="AZ53" s="101">
        <f>IFERROR(up_RadSpec!$E$5*($AZ$5/$B53),".")</f>
        <v>345537648.16039693</v>
      </c>
      <c r="BA53" s="100">
        <f t="shared" si="22"/>
        <v>691075.29632079392</v>
      </c>
      <c r="BB53" s="100">
        <f t="shared" ref="BB53:BY53" si="70">IFERROR($B53/BB5,0)</f>
        <v>2764301.1852831757</v>
      </c>
      <c r="BC53" s="100">
        <f t="shared" si="70"/>
        <v>2764301.1852831757</v>
      </c>
      <c r="BD53" s="100">
        <f t="shared" si="70"/>
        <v>2764301.1852831757</v>
      </c>
      <c r="BE53" s="100">
        <f t="shared" si="70"/>
        <v>2764301.1852831757</v>
      </c>
      <c r="BF53" s="100">
        <f t="shared" si="70"/>
        <v>2764301.1852831757</v>
      </c>
      <c r="BG53" s="100">
        <f t="shared" si="70"/>
        <v>2764301.1852831757</v>
      </c>
      <c r="BH53" s="100">
        <f t="shared" si="70"/>
        <v>2764301.1852831757</v>
      </c>
      <c r="BI53" s="100">
        <f t="shared" si="70"/>
        <v>2764301.1852831757</v>
      </c>
      <c r="BJ53" s="100">
        <f t="shared" si="70"/>
        <v>2764301.1852831757</v>
      </c>
      <c r="BK53" s="100">
        <f t="shared" si="70"/>
        <v>2764301.1852831757</v>
      </c>
      <c r="BL53" s="100">
        <f t="shared" si="70"/>
        <v>2764301.1852831757</v>
      </c>
      <c r="BM53" s="100">
        <f t="shared" si="70"/>
        <v>2764301.1852831757</v>
      </c>
      <c r="BN53" s="100">
        <f t="shared" si="70"/>
        <v>2764301.1852831757</v>
      </c>
      <c r="BO53" s="100">
        <f t="shared" si="70"/>
        <v>2764301.1852831757</v>
      </c>
      <c r="BP53" s="100">
        <f t="shared" si="70"/>
        <v>2764301.1852831757</v>
      </c>
      <c r="BQ53" s="100">
        <f t="shared" si="70"/>
        <v>2764301.1852831757</v>
      </c>
      <c r="BR53" s="100">
        <f t="shared" si="70"/>
        <v>2764301.1852831757</v>
      </c>
      <c r="BS53" s="100">
        <f t="shared" si="70"/>
        <v>2764301.1852831757</v>
      </c>
      <c r="BT53" s="100">
        <f t="shared" si="70"/>
        <v>2764301.1852831757</v>
      </c>
      <c r="BU53" s="100">
        <f t="shared" si="70"/>
        <v>2764301.1852831757</v>
      </c>
      <c r="BV53" s="100">
        <f t="shared" si="70"/>
        <v>2764301.1852831757</v>
      </c>
      <c r="BW53" s="100">
        <f t="shared" si="70"/>
        <v>2764301.1852831757</v>
      </c>
      <c r="BX53" s="100">
        <f t="shared" si="70"/>
        <v>2764301.1852831757</v>
      </c>
      <c r="BY53" s="100">
        <f t="shared" si="70"/>
        <v>2764301.1852831757</v>
      </c>
      <c r="BZ53" s="49">
        <f t="shared" si="62"/>
        <v>1382150592.6415877</v>
      </c>
      <c r="CA53" s="101">
        <f>IFERROR(up_RadSpec!$E$5*($AC$5/$B53),".")</f>
        <v>345537648.16039693</v>
      </c>
      <c r="CB53" s="101">
        <f>IFERROR(up_RadSpec!$E$5*($AD$5/$B53),".")</f>
        <v>345537648.16039693</v>
      </c>
      <c r="CC53" s="101">
        <f>IFERROR(up_RadSpec!$E$5*($AY$5/$B53),".")</f>
        <v>345537648.16039693</v>
      </c>
      <c r="CD53" s="101">
        <f>IFERROR(up_RadSpec!$E$5*($AY$5/$B53),".")</f>
        <v>345537648.16039693</v>
      </c>
      <c r="CE53" s="101">
        <f>IFERROR(up_RadSpec!$E$5*($AY$5/$B53),".")</f>
        <v>345537648.16039693</v>
      </c>
      <c r="CF53" s="101">
        <f>IFERROR(up_RadSpec!$E$5*($AY$5/$B53),".")</f>
        <v>345537648.16039693</v>
      </c>
      <c r="CG53" s="101">
        <f>IFERROR(up_RadSpec!$E$5*($AY$5/$B53),".")</f>
        <v>345537648.16039693</v>
      </c>
      <c r="CH53" s="101">
        <f>IFERROR(up_RadSpec!$E$5*($AY$5/$B53),".")</f>
        <v>345537648.16039693</v>
      </c>
      <c r="CI53" s="101">
        <f>IFERROR(up_RadSpec!$E$5*($AY$5/$B53),".")</f>
        <v>345537648.16039693</v>
      </c>
      <c r="CJ53" s="101">
        <f>IFERROR(up_RadSpec!$E$5*($AY$5/$B53),".")</f>
        <v>345537648.16039693</v>
      </c>
      <c r="CK53" s="101">
        <f>IFERROR(up_RadSpec!$E$5*($AY$5/$B53),".")</f>
        <v>345537648.16039693</v>
      </c>
      <c r="CL53" s="101">
        <f>IFERROR(up_RadSpec!$E$5*($AY$5/$B53),".")</f>
        <v>345537648.16039693</v>
      </c>
      <c r="CM53" s="101">
        <f>IFERROR(up_RadSpec!$E$5*($AY$5/$B53),".")</f>
        <v>345537648.16039693</v>
      </c>
      <c r="CN53" s="101">
        <f>IFERROR(up_RadSpec!$E$5*($AY$5/$B53),".")</f>
        <v>345537648.16039693</v>
      </c>
      <c r="CO53" s="101">
        <f>IFERROR(up_RadSpec!$E$5*($AY$5/$B53),".")</f>
        <v>345537648.16039693</v>
      </c>
      <c r="CP53" s="101">
        <f>IFERROR(up_RadSpec!$E$5*($AY$5/$B53),".")</f>
        <v>345537648.16039693</v>
      </c>
      <c r="CQ53" s="101">
        <f>IFERROR(up_RadSpec!$E$5*($AY$5/$B53),".")</f>
        <v>345537648.16039693</v>
      </c>
      <c r="CR53" s="101">
        <f>IFERROR(up_RadSpec!$E$5*($AY$5/$B53),".")</f>
        <v>345537648.16039693</v>
      </c>
      <c r="CS53" s="101">
        <f>IFERROR(up_RadSpec!$E$5*($AY$5/$B53),".")</f>
        <v>345537648.16039693</v>
      </c>
      <c r="CT53" s="101">
        <f>IFERROR(up_RadSpec!$E$5*($AY$5/$B53),".")</f>
        <v>345537648.16039693</v>
      </c>
      <c r="CU53" s="101">
        <f>IFERROR(up_RadSpec!$E$5*($AY$5/$B53),".")</f>
        <v>345537648.16039693</v>
      </c>
      <c r="CV53" s="101">
        <f>IFERROR(up_RadSpec!$E$5*($AY$5/$B53),".")</f>
        <v>345537648.16039693</v>
      </c>
      <c r="CW53" s="101">
        <f>IFERROR(up_RadSpec!$E$5*($AY$5/$B53),".")</f>
        <v>345537648.16039693</v>
      </c>
      <c r="CX53" s="101">
        <f>IFERROR(up_RadSpec!$E$5*($AZ$5/$B53),".")</f>
        <v>345537648.16039693</v>
      </c>
    </row>
    <row r="54" spans="1:102" x14ac:dyDescent="0.25">
      <c r="A54" s="99" t="s">
        <v>1092</v>
      </c>
      <c r="B54" s="90">
        <v>0.99999979999999999</v>
      </c>
      <c r="C54" s="100">
        <f t="shared" si="0"/>
        <v>3455375790.5286732</v>
      </c>
      <c r="D54" s="100">
        <f t="shared" ref="D54:AA54" si="71">IFERROR($B54/D9,0)</f>
        <v>13821503162.114693</v>
      </c>
      <c r="E54" s="100">
        <f t="shared" si="71"/>
        <v>13821503162.114693</v>
      </c>
      <c r="F54" s="100">
        <f t="shared" si="71"/>
        <v>13821503162.114693</v>
      </c>
      <c r="G54" s="100">
        <f t="shared" si="71"/>
        <v>13821503162.114693</v>
      </c>
      <c r="H54" s="100">
        <f t="shared" si="71"/>
        <v>13821503162.114693</v>
      </c>
      <c r="I54" s="100">
        <f t="shared" si="71"/>
        <v>13821503162.114693</v>
      </c>
      <c r="J54" s="100">
        <f t="shared" si="71"/>
        <v>13821503162.114693</v>
      </c>
      <c r="K54" s="100">
        <f t="shared" si="71"/>
        <v>13821503162.114693</v>
      </c>
      <c r="L54" s="100">
        <f t="shared" si="71"/>
        <v>13821503162.114693</v>
      </c>
      <c r="M54" s="100">
        <f t="shared" si="71"/>
        <v>13821503162.114693</v>
      </c>
      <c r="N54" s="100">
        <f t="shared" si="71"/>
        <v>13821503162.114693</v>
      </c>
      <c r="O54" s="100">
        <f t="shared" si="71"/>
        <v>13821503162.114693</v>
      </c>
      <c r="P54" s="100">
        <f t="shared" si="71"/>
        <v>13821503162.114693</v>
      </c>
      <c r="Q54" s="100">
        <f t="shared" si="71"/>
        <v>13821503162.114693</v>
      </c>
      <c r="R54" s="100">
        <f t="shared" si="71"/>
        <v>13821503162.114693</v>
      </c>
      <c r="S54" s="100">
        <f t="shared" si="71"/>
        <v>13821503162.114693</v>
      </c>
      <c r="T54" s="100">
        <f t="shared" si="71"/>
        <v>13821503162.114693</v>
      </c>
      <c r="U54" s="100">
        <f t="shared" si="71"/>
        <v>13821503162.114693</v>
      </c>
      <c r="V54" s="100">
        <f t="shared" si="71"/>
        <v>13821503162.114693</v>
      </c>
      <c r="W54" s="100">
        <f t="shared" si="71"/>
        <v>13821503162.114693</v>
      </c>
      <c r="X54" s="100">
        <f t="shared" si="71"/>
        <v>13821503162.114693</v>
      </c>
      <c r="Y54" s="100">
        <f t="shared" si="71"/>
        <v>13821503162.114693</v>
      </c>
      <c r="Z54" s="100">
        <f t="shared" si="71"/>
        <v>13821503162.114693</v>
      </c>
      <c r="AA54" s="100">
        <f t="shared" si="71"/>
        <v>13821503162.114693</v>
      </c>
      <c r="AB54" s="49">
        <f t="shared" si="21"/>
        <v>276430.17381435237</v>
      </c>
      <c r="AC54" s="101">
        <f>IFERROR(up_RadSpec!$E$9*($AC$9/$B54),".")</f>
        <v>69107.543453588092</v>
      </c>
      <c r="AD54" s="101">
        <f>IFERROR(up_RadSpec!$E$9*($AD$9/$B54),".")</f>
        <v>69107.543453588092</v>
      </c>
      <c r="AE54" s="101">
        <f>IFERROR(up_RadSpec!$E$9*($AY$9/$B54),".")</f>
        <v>69107.543453588092</v>
      </c>
      <c r="AF54" s="101">
        <f>IFERROR(up_RadSpec!$E$9*($AY$9/$B54),".")</f>
        <v>69107.543453588092</v>
      </c>
      <c r="AG54" s="101">
        <f>IFERROR(up_RadSpec!$E$9*($AY$9/$B54),".")</f>
        <v>69107.543453588092</v>
      </c>
      <c r="AH54" s="101">
        <f>IFERROR(up_RadSpec!$E$9*($AY$9/$B54),".")</f>
        <v>69107.543453588092</v>
      </c>
      <c r="AI54" s="101">
        <f>IFERROR(up_RadSpec!$E$9*($AY$9/$B54),".")</f>
        <v>69107.543453588092</v>
      </c>
      <c r="AJ54" s="101">
        <f>IFERROR(up_RadSpec!$E$9*($AY$9/$B54),".")</f>
        <v>69107.543453588092</v>
      </c>
      <c r="AK54" s="101">
        <f>IFERROR(up_RadSpec!$E$9*($AY$9/$B54),".")</f>
        <v>69107.543453588092</v>
      </c>
      <c r="AL54" s="101">
        <f>IFERROR(up_RadSpec!$E$9*($AY$9/$B54),".")</f>
        <v>69107.543453588092</v>
      </c>
      <c r="AM54" s="101">
        <f>IFERROR(up_RadSpec!$E$9*($AY$9/$B54),".")</f>
        <v>69107.543453588092</v>
      </c>
      <c r="AN54" s="101">
        <f>IFERROR(up_RadSpec!$E$9*($AY$9/$B54),".")</f>
        <v>69107.543453588092</v>
      </c>
      <c r="AO54" s="101">
        <f>IFERROR(up_RadSpec!$E$9*($AY$9/$B54),".")</f>
        <v>69107.543453588092</v>
      </c>
      <c r="AP54" s="101">
        <f>IFERROR(up_RadSpec!$E$9*($AY$9/$B54),".")</f>
        <v>69107.543453588092</v>
      </c>
      <c r="AQ54" s="101">
        <f>IFERROR(up_RadSpec!$E$9*($AY$9/$B54),".")</f>
        <v>69107.543453588092</v>
      </c>
      <c r="AR54" s="101">
        <f>IFERROR(up_RadSpec!$E$9*($AY$9/$B54),".")</f>
        <v>69107.543453588092</v>
      </c>
      <c r="AS54" s="101">
        <f>IFERROR(up_RadSpec!$E$9*($AY$9/$B54),".")</f>
        <v>69107.543453588092</v>
      </c>
      <c r="AT54" s="101">
        <f>IFERROR(up_RadSpec!$E$9*($AY$9/$B54),".")</f>
        <v>69107.543453588092</v>
      </c>
      <c r="AU54" s="101">
        <f>IFERROR(up_RadSpec!$E$9*($AY$9/$B54),".")</f>
        <v>69107.543453588092</v>
      </c>
      <c r="AV54" s="101">
        <f>IFERROR(up_RadSpec!$E$9*($AY$9/$B54),".")</f>
        <v>69107.543453588092</v>
      </c>
      <c r="AW54" s="101">
        <f>IFERROR(up_RadSpec!$E$9*($AY$9/$B54),".")</f>
        <v>69107.543453588092</v>
      </c>
      <c r="AX54" s="101">
        <f>IFERROR(up_RadSpec!$E$9*($AY$9/$B54),".")</f>
        <v>69107.543453588092</v>
      </c>
      <c r="AY54" s="101">
        <f>IFERROR(up_RadSpec!$E$9*($AY$9/$B54),".")</f>
        <v>69107.543453588092</v>
      </c>
      <c r="AZ54" s="101">
        <f>IFERROR(up_RadSpec!$E$9*($AZ$9/$B54),".")</f>
        <v>69107.543453588092</v>
      </c>
      <c r="BA54" s="100">
        <f t="shared" si="22"/>
        <v>3455375790.5286732</v>
      </c>
      <c r="BB54" s="100">
        <f t="shared" ref="BB54:BY54" si="72">IFERROR($B54/BB9,0)</f>
        <v>13821503162.114693</v>
      </c>
      <c r="BC54" s="100">
        <f t="shared" si="72"/>
        <v>13821503162.114693</v>
      </c>
      <c r="BD54" s="100">
        <f t="shared" si="72"/>
        <v>13821503162.114693</v>
      </c>
      <c r="BE54" s="100">
        <f t="shared" si="72"/>
        <v>13821503162.114693</v>
      </c>
      <c r="BF54" s="100">
        <f t="shared" si="72"/>
        <v>13821503162.114693</v>
      </c>
      <c r="BG54" s="100">
        <f t="shared" si="72"/>
        <v>13821503162.114693</v>
      </c>
      <c r="BH54" s="100">
        <f t="shared" si="72"/>
        <v>13821503162.114693</v>
      </c>
      <c r="BI54" s="100">
        <f t="shared" si="72"/>
        <v>13821503162.114693</v>
      </c>
      <c r="BJ54" s="100">
        <f t="shared" si="72"/>
        <v>13821503162.114693</v>
      </c>
      <c r="BK54" s="100">
        <f t="shared" si="72"/>
        <v>13821503162.114693</v>
      </c>
      <c r="BL54" s="100">
        <f t="shared" si="72"/>
        <v>13821503162.114693</v>
      </c>
      <c r="BM54" s="100">
        <f t="shared" si="72"/>
        <v>13821503162.114693</v>
      </c>
      <c r="BN54" s="100">
        <f t="shared" si="72"/>
        <v>13821503162.114693</v>
      </c>
      <c r="BO54" s="100">
        <f t="shared" si="72"/>
        <v>13821503162.114693</v>
      </c>
      <c r="BP54" s="100">
        <f t="shared" si="72"/>
        <v>13821503162.114693</v>
      </c>
      <c r="BQ54" s="100">
        <f t="shared" si="72"/>
        <v>13821503162.114693</v>
      </c>
      <c r="BR54" s="100">
        <f t="shared" si="72"/>
        <v>13821503162.114693</v>
      </c>
      <c r="BS54" s="100">
        <f t="shared" si="72"/>
        <v>13821503162.114693</v>
      </c>
      <c r="BT54" s="100">
        <f t="shared" si="72"/>
        <v>13821503162.114693</v>
      </c>
      <c r="BU54" s="100">
        <f t="shared" si="72"/>
        <v>13821503162.114693</v>
      </c>
      <c r="BV54" s="100">
        <f t="shared" si="72"/>
        <v>13821503162.114693</v>
      </c>
      <c r="BW54" s="100">
        <f t="shared" si="72"/>
        <v>13821503162.114693</v>
      </c>
      <c r="BX54" s="100">
        <f t="shared" si="72"/>
        <v>13821503162.114693</v>
      </c>
      <c r="BY54" s="100">
        <f t="shared" si="72"/>
        <v>13821503162.114693</v>
      </c>
      <c r="BZ54" s="49">
        <f t="shared" si="62"/>
        <v>276430.17381435237</v>
      </c>
      <c r="CA54" s="101">
        <f>IFERROR(up_RadSpec!$E$9*($AC$9/$B54),".")</f>
        <v>69107.543453588092</v>
      </c>
      <c r="CB54" s="101">
        <f>IFERROR(up_RadSpec!$E$9*($AD$9/$B54),".")</f>
        <v>69107.543453588092</v>
      </c>
      <c r="CC54" s="101">
        <f>IFERROR(up_RadSpec!$E$9*($AY$9/$B54),".")</f>
        <v>69107.543453588092</v>
      </c>
      <c r="CD54" s="101">
        <f>IFERROR(up_RadSpec!$E$9*($AY$9/$B54),".")</f>
        <v>69107.543453588092</v>
      </c>
      <c r="CE54" s="101">
        <f>IFERROR(up_RadSpec!$E$9*($AY$9/$B54),".")</f>
        <v>69107.543453588092</v>
      </c>
      <c r="CF54" s="101">
        <f>IFERROR(up_RadSpec!$E$9*($AY$9/$B54),".")</f>
        <v>69107.543453588092</v>
      </c>
      <c r="CG54" s="101">
        <f>IFERROR(up_RadSpec!$E$9*($AY$9/$B54),".")</f>
        <v>69107.543453588092</v>
      </c>
      <c r="CH54" s="101">
        <f>IFERROR(up_RadSpec!$E$9*($AY$9/$B54),".")</f>
        <v>69107.543453588092</v>
      </c>
      <c r="CI54" s="101">
        <f>IFERROR(up_RadSpec!$E$9*($AY$9/$B54),".")</f>
        <v>69107.543453588092</v>
      </c>
      <c r="CJ54" s="101">
        <f>IFERROR(up_RadSpec!$E$9*($AY$9/$B54),".")</f>
        <v>69107.543453588092</v>
      </c>
      <c r="CK54" s="101">
        <f>IFERROR(up_RadSpec!$E$9*($AY$9/$B54),".")</f>
        <v>69107.543453588092</v>
      </c>
      <c r="CL54" s="101">
        <f>IFERROR(up_RadSpec!$E$9*($AY$9/$B54),".")</f>
        <v>69107.543453588092</v>
      </c>
      <c r="CM54" s="101">
        <f>IFERROR(up_RadSpec!$E$9*($AY$9/$B54),".")</f>
        <v>69107.543453588092</v>
      </c>
      <c r="CN54" s="101">
        <f>IFERROR(up_RadSpec!$E$9*($AY$9/$B54),".")</f>
        <v>69107.543453588092</v>
      </c>
      <c r="CO54" s="101">
        <f>IFERROR(up_RadSpec!$E$9*($AY$9/$B54),".")</f>
        <v>69107.543453588092</v>
      </c>
      <c r="CP54" s="101">
        <f>IFERROR(up_RadSpec!$E$9*($AY$9/$B54),".")</f>
        <v>69107.543453588092</v>
      </c>
      <c r="CQ54" s="101">
        <f>IFERROR(up_RadSpec!$E$9*($AY$9/$B54),".")</f>
        <v>69107.543453588092</v>
      </c>
      <c r="CR54" s="101">
        <f>IFERROR(up_RadSpec!$E$9*($AY$9/$B54),".")</f>
        <v>69107.543453588092</v>
      </c>
      <c r="CS54" s="101">
        <f>IFERROR(up_RadSpec!$E$9*($AY$9/$B54),".")</f>
        <v>69107.543453588092</v>
      </c>
      <c r="CT54" s="101">
        <f>IFERROR(up_RadSpec!$E$9*($AY$9/$B54),".")</f>
        <v>69107.543453588092</v>
      </c>
      <c r="CU54" s="101">
        <f>IFERROR(up_RadSpec!$E$9*($AY$9/$B54),".")</f>
        <v>69107.543453588092</v>
      </c>
      <c r="CV54" s="101">
        <f>IFERROR(up_RadSpec!$E$9*($AY$9/$B54),".")</f>
        <v>69107.543453588092</v>
      </c>
      <c r="CW54" s="101">
        <f>IFERROR(up_RadSpec!$E$9*($AY$9/$B54),".")</f>
        <v>69107.543453588092</v>
      </c>
      <c r="CX54" s="101">
        <f>IFERROR(up_RadSpec!$E$9*($AZ$9/$B54),".")</f>
        <v>69107.543453588092</v>
      </c>
    </row>
    <row r="55" spans="1:102" x14ac:dyDescent="0.25">
      <c r="A55" s="99" t="s">
        <v>1093</v>
      </c>
      <c r="B55" s="90">
        <v>1.9999999999999999E-7</v>
      </c>
      <c r="C55" s="100">
        <f t="shared" si="0"/>
        <v>691.07529632079388</v>
      </c>
      <c r="D55" s="100">
        <f t="shared" ref="D55:AA55" si="73">IFERROR($B55/D24,0)</f>
        <v>2764.3011852831755</v>
      </c>
      <c r="E55" s="100">
        <f t="shared" si="73"/>
        <v>2764.3011852831755</v>
      </c>
      <c r="F55" s="100">
        <f t="shared" si="73"/>
        <v>2764.3011852831755</v>
      </c>
      <c r="G55" s="100">
        <f t="shared" si="73"/>
        <v>2764.3011852831755</v>
      </c>
      <c r="H55" s="100">
        <f t="shared" si="73"/>
        <v>2764.3011852831755</v>
      </c>
      <c r="I55" s="100">
        <f t="shared" si="73"/>
        <v>2764.3011852831755</v>
      </c>
      <c r="J55" s="100">
        <f t="shared" si="73"/>
        <v>2764.3011852831755</v>
      </c>
      <c r="K55" s="100">
        <f t="shared" si="73"/>
        <v>2764.3011852831755</v>
      </c>
      <c r="L55" s="100">
        <f t="shared" si="73"/>
        <v>2764.3011852831755</v>
      </c>
      <c r="M55" s="100">
        <f t="shared" si="73"/>
        <v>2764.3011852831755</v>
      </c>
      <c r="N55" s="100">
        <f t="shared" si="73"/>
        <v>2764.3011852831755</v>
      </c>
      <c r="O55" s="100">
        <f t="shared" si="73"/>
        <v>2764.3011852831755</v>
      </c>
      <c r="P55" s="100">
        <f t="shared" si="73"/>
        <v>2764.3011852831755</v>
      </c>
      <c r="Q55" s="100">
        <f t="shared" si="73"/>
        <v>2764.3011852831755</v>
      </c>
      <c r="R55" s="100">
        <f t="shared" si="73"/>
        <v>2764.3011852831755</v>
      </c>
      <c r="S55" s="100">
        <f t="shared" si="73"/>
        <v>2764.3011852831755</v>
      </c>
      <c r="T55" s="100">
        <f t="shared" si="73"/>
        <v>2764.3011852831755</v>
      </c>
      <c r="U55" s="100">
        <f t="shared" si="73"/>
        <v>2764.3011852831755</v>
      </c>
      <c r="V55" s="100">
        <f t="shared" si="73"/>
        <v>2764.3011852831755</v>
      </c>
      <c r="W55" s="100">
        <f t="shared" si="73"/>
        <v>2764.3011852831755</v>
      </c>
      <c r="X55" s="100">
        <f t="shared" si="73"/>
        <v>2764.3011852831755</v>
      </c>
      <c r="Y55" s="100">
        <f t="shared" si="73"/>
        <v>2764.3011852831755</v>
      </c>
      <c r="Z55" s="100">
        <f t="shared" si="73"/>
        <v>2764.3011852831755</v>
      </c>
      <c r="AA55" s="100">
        <f t="shared" si="73"/>
        <v>2764.3011852831755</v>
      </c>
      <c r="AB55" s="49">
        <f t="shared" si="21"/>
        <v>1382150592641.5879</v>
      </c>
      <c r="AC55" s="101">
        <f>IFERROR(up_RadSpec!$E$24*($AC$24/$B55),".")</f>
        <v>345537648160.39697</v>
      </c>
      <c r="AD55" s="101">
        <f>IFERROR(up_RadSpec!$E$24*($AD$24/$B55),".")</f>
        <v>345537648160.39697</v>
      </c>
      <c r="AE55" s="101">
        <f>IFERROR(up_RadSpec!$E$24*($AY$24/$B55),".")</f>
        <v>345537648160.39697</v>
      </c>
      <c r="AF55" s="101">
        <f>IFERROR(up_RadSpec!$E$24*($AY$24/$B55),".")</f>
        <v>345537648160.39697</v>
      </c>
      <c r="AG55" s="101">
        <f>IFERROR(up_RadSpec!$E$24*($AY$24/$B55),".")</f>
        <v>345537648160.39697</v>
      </c>
      <c r="AH55" s="101">
        <f>IFERROR(up_RadSpec!$E$24*($AY$24/$B55),".")</f>
        <v>345537648160.39697</v>
      </c>
      <c r="AI55" s="101">
        <f>IFERROR(up_RadSpec!$E$24*($AY$24/$B55),".")</f>
        <v>345537648160.39697</v>
      </c>
      <c r="AJ55" s="101">
        <f>IFERROR(up_RadSpec!$E$24*($AY$24/$B55),".")</f>
        <v>345537648160.39697</v>
      </c>
      <c r="AK55" s="101">
        <f>IFERROR(up_RadSpec!$E$24*($AY$24/$B55),".")</f>
        <v>345537648160.39697</v>
      </c>
      <c r="AL55" s="101">
        <f>IFERROR(up_RadSpec!$E$24*($AY$24/$B55),".")</f>
        <v>345537648160.39697</v>
      </c>
      <c r="AM55" s="101">
        <f>IFERROR(up_RadSpec!$E$24*($AY$24/$B55),".")</f>
        <v>345537648160.39697</v>
      </c>
      <c r="AN55" s="101">
        <f>IFERROR(up_RadSpec!$E$24*($AY$24/$B55),".")</f>
        <v>345537648160.39697</v>
      </c>
      <c r="AO55" s="101">
        <f>IFERROR(up_RadSpec!$E$24*($AY$24/$B55),".")</f>
        <v>345537648160.39697</v>
      </c>
      <c r="AP55" s="101">
        <f>IFERROR(up_RadSpec!$E$24*($AY$24/$B55),".")</f>
        <v>345537648160.39697</v>
      </c>
      <c r="AQ55" s="101">
        <f>IFERROR(up_RadSpec!$E$24*($AY$24/$B55),".")</f>
        <v>345537648160.39697</v>
      </c>
      <c r="AR55" s="101">
        <f>IFERROR(up_RadSpec!$E$24*($AY$24/$B55),".")</f>
        <v>345537648160.39697</v>
      </c>
      <c r="AS55" s="101">
        <f>IFERROR(up_RadSpec!$E$24*($AY$24/$B55),".")</f>
        <v>345537648160.39697</v>
      </c>
      <c r="AT55" s="101">
        <f>IFERROR(up_RadSpec!$E$24*($AY$24/$B55),".")</f>
        <v>345537648160.39697</v>
      </c>
      <c r="AU55" s="101">
        <f>IFERROR(up_RadSpec!$E$24*($AY$24/$B55),".")</f>
        <v>345537648160.39697</v>
      </c>
      <c r="AV55" s="101">
        <f>IFERROR(up_RadSpec!$E$24*($AY$24/$B55),".")</f>
        <v>345537648160.39697</v>
      </c>
      <c r="AW55" s="101">
        <f>IFERROR(up_RadSpec!$E$24*($AY$24/$B55),".")</f>
        <v>345537648160.39697</v>
      </c>
      <c r="AX55" s="101">
        <f>IFERROR(up_RadSpec!$E$24*($AY$24/$B55),".")</f>
        <v>345537648160.39697</v>
      </c>
      <c r="AY55" s="101">
        <f>IFERROR(up_RadSpec!$E$24*($AY$24/$B55),".")</f>
        <v>345537648160.39697</v>
      </c>
      <c r="AZ55" s="101">
        <f>IFERROR(up_RadSpec!$E$24*($AZ$24/$B55),".")</f>
        <v>345537648160.39697</v>
      </c>
      <c r="BA55" s="100">
        <f t="shared" si="22"/>
        <v>691.07529632079388</v>
      </c>
      <c r="BB55" s="100">
        <f t="shared" ref="BB55:BY55" si="74">IFERROR($B55/BB24,0)</f>
        <v>2764.3011852831755</v>
      </c>
      <c r="BC55" s="100">
        <f t="shared" si="74"/>
        <v>2764.3011852831755</v>
      </c>
      <c r="BD55" s="100">
        <f t="shared" si="74"/>
        <v>2764.3011852831755</v>
      </c>
      <c r="BE55" s="100">
        <f t="shared" si="74"/>
        <v>2764.3011852831755</v>
      </c>
      <c r="BF55" s="100">
        <f t="shared" si="74"/>
        <v>2764.3011852831755</v>
      </c>
      <c r="BG55" s="100">
        <f t="shared" si="74"/>
        <v>2764.3011852831755</v>
      </c>
      <c r="BH55" s="100">
        <f t="shared" si="74"/>
        <v>2764.3011852831755</v>
      </c>
      <c r="BI55" s="100">
        <f t="shared" si="74"/>
        <v>2764.3011852831755</v>
      </c>
      <c r="BJ55" s="100">
        <f t="shared" si="74"/>
        <v>2764.3011852831755</v>
      </c>
      <c r="BK55" s="100">
        <f t="shared" si="74"/>
        <v>2764.3011852831755</v>
      </c>
      <c r="BL55" s="100">
        <f t="shared" si="74"/>
        <v>2764.3011852831755</v>
      </c>
      <c r="BM55" s="100">
        <f t="shared" si="74"/>
        <v>2764.3011852831755</v>
      </c>
      <c r="BN55" s="100">
        <f t="shared" si="74"/>
        <v>2764.3011852831755</v>
      </c>
      <c r="BO55" s="100">
        <f t="shared" si="74"/>
        <v>2764.3011852831755</v>
      </c>
      <c r="BP55" s="100">
        <f t="shared" si="74"/>
        <v>2764.3011852831755</v>
      </c>
      <c r="BQ55" s="100">
        <f t="shared" si="74"/>
        <v>2764.3011852831755</v>
      </c>
      <c r="BR55" s="100">
        <f t="shared" si="74"/>
        <v>2764.3011852831755</v>
      </c>
      <c r="BS55" s="100">
        <f t="shared" si="74"/>
        <v>2764.3011852831755</v>
      </c>
      <c r="BT55" s="100">
        <f t="shared" si="74"/>
        <v>2764.3011852831755</v>
      </c>
      <c r="BU55" s="100">
        <f t="shared" si="74"/>
        <v>2764.3011852831755</v>
      </c>
      <c r="BV55" s="100">
        <f t="shared" si="74"/>
        <v>2764.3011852831755</v>
      </c>
      <c r="BW55" s="100">
        <f t="shared" si="74"/>
        <v>2764.3011852831755</v>
      </c>
      <c r="BX55" s="100">
        <f t="shared" si="74"/>
        <v>2764.3011852831755</v>
      </c>
      <c r="BY55" s="100">
        <f t="shared" si="74"/>
        <v>2764.3011852831755</v>
      </c>
      <c r="BZ55" s="49">
        <f t="shared" si="62"/>
        <v>1382150592641.5879</v>
      </c>
      <c r="CA55" s="101">
        <f>IFERROR(up_RadSpec!$E$24*($AC$24/$B55),".")</f>
        <v>345537648160.39697</v>
      </c>
      <c r="CB55" s="101">
        <f>IFERROR(up_RadSpec!$E$24*($AD$24/$B55),".")</f>
        <v>345537648160.39697</v>
      </c>
      <c r="CC55" s="101">
        <f>IFERROR(up_RadSpec!$E$24*($AY$24/$B55),".")</f>
        <v>345537648160.39697</v>
      </c>
      <c r="CD55" s="101">
        <f>IFERROR(up_RadSpec!$E$24*($AY$24/$B55),".")</f>
        <v>345537648160.39697</v>
      </c>
      <c r="CE55" s="101">
        <f>IFERROR(up_RadSpec!$E$24*($AY$24/$B55),".")</f>
        <v>345537648160.39697</v>
      </c>
      <c r="CF55" s="101">
        <f>IFERROR(up_RadSpec!$E$24*($AY$24/$B55),".")</f>
        <v>345537648160.39697</v>
      </c>
      <c r="CG55" s="101">
        <f>IFERROR(up_RadSpec!$E$24*($AY$24/$B55),".")</f>
        <v>345537648160.39697</v>
      </c>
      <c r="CH55" s="101">
        <f>IFERROR(up_RadSpec!$E$24*($AY$24/$B55),".")</f>
        <v>345537648160.39697</v>
      </c>
      <c r="CI55" s="101">
        <f>IFERROR(up_RadSpec!$E$24*($AY$24/$B55),".")</f>
        <v>345537648160.39697</v>
      </c>
      <c r="CJ55" s="101">
        <f>IFERROR(up_RadSpec!$E$24*($AY$24/$B55),".")</f>
        <v>345537648160.39697</v>
      </c>
      <c r="CK55" s="101">
        <f>IFERROR(up_RadSpec!$E$24*($AY$24/$B55),".")</f>
        <v>345537648160.39697</v>
      </c>
      <c r="CL55" s="101">
        <f>IFERROR(up_RadSpec!$E$24*($AY$24/$B55),".")</f>
        <v>345537648160.39697</v>
      </c>
      <c r="CM55" s="101">
        <f>IFERROR(up_RadSpec!$E$24*($AY$24/$B55),".")</f>
        <v>345537648160.39697</v>
      </c>
      <c r="CN55" s="101">
        <f>IFERROR(up_RadSpec!$E$24*($AY$24/$B55),".")</f>
        <v>345537648160.39697</v>
      </c>
      <c r="CO55" s="101">
        <f>IFERROR(up_RadSpec!$E$24*($AY$24/$B55),".")</f>
        <v>345537648160.39697</v>
      </c>
      <c r="CP55" s="101">
        <f>IFERROR(up_RadSpec!$E$24*($AY$24/$B55),".")</f>
        <v>345537648160.39697</v>
      </c>
      <c r="CQ55" s="101">
        <f>IFERROR(up_RadSpec!$E$24*($AY$24/$B55),".")</f>
        <v>345537648160.39697</v>
      </c>
      <c r="CR55" s="101">
        <f>IFERROR(up_RadSpec!$E$24*($AY$24/$B55),".")</f>
        <v>345537648160.39697</v>
      </c>
      <c r="CS55" s="101">
        <f>IFERROR(up_RadSpec!$E$24*($AY$24/$B55),".")</f>
        <v>345537648160.39697</v>
      </c>
      <c r="CT55" s="101">
        <f>IFERROR(up_RadSpec!$E$24*($AY$24/$B55),".")</f>
        <v>345537648160.39697</v>
      </c>
      <c r="CU55" s="101">
        <f>IFERROR(up_RadSpec!$E$24*($AY$24/$B55),".")</f>
        <v>345537648160.39697</v>
      </c>
      <c r="CV55" s="101">
        <f>IFERROR(up_RadSpec!$E$24*($AY$24/$B55),".")</f>
        <v>345537648160.39697</v>
      </c>
      <c r="CW55" s="101">
        <f>IFERROR(up_RadSpec!$E$24*($AY$24/$B55),".")</f>
        <v>345537648160.39697</v>
      </c>
      <c r="CX55" s="101">
        <f>IFERROR(up_RadSpec!$E$24*($AZ$24/$B55),".")</f>
        <v>345537648160.39697</v>
      </c>
    </row>
    <row r="56" spans="1:102" x14ac:dyDescent="0.25">
      <c r="A56" s="99" t="s">
        <v>1094</v>
      </c>
      <c r="B56" s="90">
        <v>0.99979000004200003</v>
      </c>
      <c r="C56" s="100">
        <f t="shared" si="0"/>
        <v>3454650852.6879587</v>
      </c>
      <c r="D56" s="100">
        <f t="shared" ref="D56:AA56" si="75">IFERROR($B56/D20,0)</f>
        <v>13818603410.751835</v>
      </c>
      <c r="E56" s="100">
        <f t="shared" si="75"/>
        <v>13818603410.751835</v>
      </c>
      <c r="F56" s="100">
        <f t="shared" si="75"/>
        <v>13818603410.751835</v>
      </c>
      <c r="G56" s="100">
        <f t="shared" si="75"/>
        <v>13818603410.751835</v>
      </c>
      <c r="H56" s="100">
        <f t="shared" si="75"/>
        <v>13818603410.751835</v>
      </c>
      <c r="I56" s="100">
        <f t="shared" si="75"/>
        <v>13818603410.751835</v>
      </c>
      <c r="J56" s="100">
        <f t="shared" si="75"/>
        <v>13818603410.751835</v>
      </c>
      <c r="K56" s="100">
        <f t="shared" si="75"/>
        <v>13818603410.751835</v>
      </c>
      <c r="L56" s="100">
        <f t="shared" si="75"/>
        <v>13818603410.751835</v>
      </c>
      <c r="M56" s="100">
        <f t="shared" si="75"/>
        <v>13818603410.751835</v>
      </c>
      <c r="N56" s="100">
        <f t="shared" si="75"/>
        <v>13818603410.751835</v>
      </c>
      <c r="O56" s="100">
        <f t="shared" si="75"/>
        <v>13818603410.751835</v>
      </c>
      <c r="P56" s="100">
        <f t="shared" si="75"/>
        <v>13818603410.751835</v>
      </c>
      <c r="Q56" s="100">
        <f t="shared" si="75"/>
        <v>13818603410.751835</v>
      </c>
      <c r="R56" s="100">
        <f t="shared" si="75"/>
        <v>13818603410.751835</v>
      </c>
      <c r="S56" s="100">
        <f t="shared" si="75"/>
        <v>13818603410.751835</v>
      </c>
      <c r="T56" s="100">
        <f t="shared" si="75"/>
        <v>13818603410.751835</v>
      </c>
      <c r="U56" s="100">
        <f t="shared" si="75"/>
        <v>13818603410.751835</v>
      </c>
      <c r="V56" s="100">
        <f t="shared" si="75"/>
        <v>13818603410.751835</v>
      </c>
      <c r="W56" s="100">
        <f t="shared" si="75"/>
        <v>13818603410.751835</v>
      </c>
      <c r="X56" s="100">
        <f t="shared" si="75"/>
        <v>13818603410.751835</v>
      </c>
      <c r="Y56" s="100">
        <f t="shared" si="75"/>
        <v>13818603410.751835</v>
      </c>
      <c r="Z56" s="100">
        <f t="shared" si="75"/>
        <v>13818603410.751835</v>
      </c>
      <c r="AA56" s="100">
        <f t="shared" si="75"/>
        <v>13818603410.751835</v>
      </c>
      <c r="AB56" s="49">
        <f t="shared" si="21"/>
        <v>276488.18103472237</v>
      </c>
      <c r="AC56" s="101">
        <f>IFERROR(up_RadSpec!$E$20*($AC$20/$B56),".")</f>
        <v>69122.045258680591</v>
      </c>
      <c r="AD56" s="101">
        <f>IFERROR(up_RadSpec!$E$20*($AD$20/$B56),".")</f>
        <v>69122.045258680591</v>
      </c>
      <c r="AE56" s="101">
        <f>IFERROR(up_RadSpec!$E$20*($AY$20/$B56),".")</f>
        <v>69122.045258680591</v>
      </c>
      <c r="AF56" s="101">
        <f>IFERROR(up_RadSpec!$E$20*($AY$20/$B56),".")</f>
        <v>69122.045258680591</v>
      </c>
      <c r="AG56" s="101">
        <f>IFERROR(up_RadSpec!$E$20*($AY$20/$B56),".")</f>
        <v>69122.045258680591</v>
      </c>
      <c r="AH56" s="101">
        <f>IFERROR(up_RadSpec!$E$20*($AY$20/$B56),".")</f>
        <v>69122.045258680591</v>
      </c>
      <c r="AI56" s="101">
        <f>IFERROR(up_RadSpec!$E$20*($AY$20/$B56),".")</f>
        <v>69122.045258680591</v>
      </c>
      <c r="AJ56" s="101">
        <f>IFERROR(up_RadSpec!$E$20*($AY$20/$B56),".")</f>
        <v>69122.045258680591</v>
      </c>
      <c r="AK56" s="101">
        <f>IFERROR(up_RadSpec!$E$20*($AY$20/$B56),".")</f>
        <v>69122.045258680591</v>
      </c>
      <c r="AL56" s="101">
        <f>IFERROR(up_RadSpec!$E$20*($AY$20/$B56),".")</f>
        <v>69122.045258680591</v>
      </c>
      <c r="AM56" s="101">
        <f>IFERROR(up_RadSpec!$E$20*($AY$20/$B56),".")</f>
        <v>69122.045258680591</v>
      </c>
      <c r="AN56" s="101">
        <f>IFERROR(up_RadSpec!$E$20*($AY$20/$B56),".")</f>
        <v>69122.045258680591</v>
      </c>
      <c r="AO56" s="101">
        <f>IFERROR(up_RadSpec!$E$20*($AY$20/$B56),".")</f>
        <v>69122.045258680591</v>
      </c>
      <c r="AP56" s="101">
        <f>IFERROR(up_RadSpec!$E$20*($AY$20/$B56),".")</f>
        <v>69122.045258680591</v>
      </c>
      <c r="AQ56" s="101">
        <f>IFERROR(up_RadSpec!$E$20*($AY$20/$B56),".")</f>
        <v>69122.045258680591</v>
      </c>
      <c r="AR56" s="101">
        <f>IFERROR(up_RadSpec!$E$20*($AY$20/$B56),".")</f>
        <v>69122.045258680591</v>
      </c>
      <c r="AS56" s="101">
        <f>IFERROR(up_RadSpec!$E$20*($AY$20/$B56),".")</f>
        <v>69122.045258680591</v>
      </c>
      <c r="AT56" s="101">
        <f>IFERROR(up_RadSpec!$E$20*($AY$20/$B56),".")</f>
        <v>69122.045258680591</v>
      </c>
      <c r="AU56" s="101">
        <f>IFERROR(up_RadSpec!$E$20*($AY$20/$B56),".")</f>
        <v>69122.045258680591</v>
      </c>
      <c r="AV56" s="101">
        <f>IFERROR(up_RadSpec!$E$20*($AY$20/$B56),".")</f>
        <v>69122.045258680591</v>
      </c>
      <c r="AW56" s="101">
        <f>IFERROR(up_RadSpec!$E$20*($AY$20/$B56),".")</f>
        <v>69122.045258680591</v>
      </c>
      <c r="AX56" s="101">
        <f>IFERROR(up_RadSpec!$E$20*($AY$20/$B56),".")</f>
        <v>69122.045258680591</v>
      </c>
      <c r="AY56" s="101">
        <f>IFERROR(up_RadSpec!$E$20*($AY$20/$B56),".")</f>
        <v>69122.045258680591</v>
      </c>
      <c r="AZ56" s="101">
        <f>IFERROR(up_RadSpec!$E$20*($AZ$20/$B56),".")</f>
        <v>69122.045258680591</v>
      </c>
      <c r="BA56" s="100">
        <f t="shared" si="22"/>
        <v>3454650852.6879587</v>
      </c>
      <c r="BB56" s="100">
        <f t="shared" ref="BB56:BY56" si="76">IFERROR($B56/BB20,0)</f>
        <v>13818603410.751835</v>
      </c>
      <c r="BC56" s="100">
        <f t="shared" si="76"/>
        <v>13818603410.751835</v>
      </c>
      <c r="BD56" s="100">
        <f t="shared" si="76"/>
        <v>13818603410.751835</v>
      </c>
      <c r="BE56" s="100">
        <f t="shared" si="76"/>
        <v>13818603410.751835</v>
      </c>
      <c r="BF56" s="100">
        <f t="shared" si="76"/>
        <v>13818603410.751835</v>
      </c>
      <c r="BG56" s="100">
        <f t="shared" si="76"/>
        <v>13818603410.751835</v>
      </c>
      <c r="BH56" s="100">
        <f t="shared" si="76"/>
        <v>13818603410.751835</v>
      </c>
      <c r="BI56" s="100">
        <f t="shared" si="76"/>
        <v>13818603410.751835</v>
      </c>
      <c r="BJ56" s="100">
        <f t="shared" si="76"/>
        <v>13818603410.751835</v>
      </c>
      <c r="BK56" s="100">
        <f t="shared" si="76"/>
        <v>13818603410.751835</v>
      </c>
      <c r="BL56" s="100">
        <f t="shared" si="76"/>
        <v>13818603410.751835</v>
      </c>
      <c r="BM56" s="100">
        <f t="shared" si="76"/>
        <v>13818603410.751835</v>
      </c>
      <c r="BN56" s="100">
        <f t="shared" si="76"/>
        <v>13818603410.751835</v>
      </c>
      <c r="BO56" s="100">
        <f t="shared" si="76"/>
        <v>13818603410.751835</v>
      </c>
      <c r="BP56" s="100">
        <f t="shared" si="76"/>
        <v>13818603410.751835</v>
      </c>
      <c r="BQ56" s="100">
        <f t="shared" si="76"/>
        <v>13818603410.751835</v>
      </c>
      <c r="BR56" s="100">
        <f t="shared" si="76"/>
        <v>13818603410.751835</v>
      </c>
      <c r="BS56" s="100">
        <f t="shared" si="76"/>
        <v>13818603410.751835</v>
      </c>
      <c r="BT56" s="100">
        <f t="shared" si="76"/>
        <v>13818603410.751835</v>
      </c>
      <c r="BU56" s="100">
        <f t="shared" si="76"/>
        <v>13818603410.751835</v>
      </c>
      <c r="BV56" s="100">
        <f t="shared" si="76"/>
        <v>13818603410.751835</v>
      </c>
      <c r="BW56" s="100">
        <f t="shared" si="76"/>
        <v>13818603410.751835</v>
      </c>
      <c r="BX56" s="100">
        <f t="shared" si="76"/>
        <v>13818603410.751835</v>
      </c>
      <c r="BY56" s="100">
        <f t="shared" si="76"/>
        <v>13818603410.751835</v>
      </c>
      <c r="BZ56" s="49">
        <f t="shared" si="62"/>
        <v>276488.18103472237</v>
      </c>
      <c r="CA56" s="101">
        <f>IFERROR(up_RadSpec!$E$20*($AC$20/$B56),".")</f>
        <v>69122.045258680591</v>
      </c>
      <c r="CB56" s="101">
        <f>IFERROR(up_RadSpec!$E$20*($AD$20/$B56),".")</f>
        <v>69122.045258680591</v>
      </c>
      <c r="CC56" s="101">
        <f>IFERROR(up_RadSpec!$E$20*($AY$20/$B56),".")</f>
        <v>69122.045258680591</v>
      </c>
      <c r="CD56" s="101">
        <f>IFERROR(up_RadSpec!$E$20*($AY$20/$B56),".")</f>
        <v>69122.045258680591</v>
      </c>
      <c r="CE56" s="101">
        <f>IFERROR(up_RadSpec!$E$20*($AY$20/$B56),".")</f>
        <v>69122.045258680591</v>
      </c>
      <c r="CF56" s="101">
        <f>IFERROR(up_RadSpec!$E$20*($AY$20/$B56),".")</f>
        <v>69122.045258680591</v>
      </c>
      <c r="CG56" s="101">
        <f>IFERROR(up_RadSpec!$E$20*($AY$20/$B56),".")</f>
        <v>69122.045258680591</v>
      </c>
      <c r="CH56" s="101">
        <f>IFERROR(up_RadSpec!$E$20*($AY$20/$B56),".")</f>
        <v>69122.045258680591</v>
      </c>
      <c r="CI56" s="101">
        <f>IFERROR(up_RadSpec!$E$20*($AY$20/$B56),".")</f>
        <v>69122.045258680591</v>
      </c>
      <c r="CJ56" s="101">
        <f>IFERROR(up_RadSpec!$E$20*($AY$20/$B56),".")</f>
        <v>69122.045258680591</v>
      </c>
      <c r="CK56" s="101">
        <f>IFERROR(up_RadSpec!$E$20*($AY$20/$B56),".")</f>
        <v>69122.045258680591</v>
      </c>
      <c r="CL56" s="101">
        <f>IFERROR(up_RadSpec!$E$20*($AY$20/$B56),".")</f>
        <v>69122.045258680591</v>
      </c>
      <c r="CM56" s="101">
        <f>IFERROR(up_RadSpec!$E$20*($AY$20/$B56),".")</f>
        <v>69122.045258680591</v>
      </c>
      <c r="CN56" s="101">
        <f>IFERROR(up_RadSpec!$E$20*($AY$20/$B56),".")</f>
        <v>69122.045258680591</v>
      </c>
      <c r="CO56" s="101">
        <f>IFERROR(up_RadSpec!$E$20*($AY$20/$B56),".")</f>
        <v>69122.045258680591</v>
      </c>
      <c r="CP56" s="101">
        <f>IFERROR(up_RadSpec!$E$20*($AY$20/$B56),".")</f>
        <v>69122.045258680591</v>
      </c>
      <c r="CQ56" s="101">
        <f>IFERROR(up_RadSpec!$E$20*($AY$20/$B56),".")</f>
        <v>69122.045258680591</v>
      </c>
      <c r="CR56" s="101">
        <f>IFERROR(up_RadSpec!$E$20*($AY$20/$B56),".")</f>
        <v>69122.045258680591</v>
      </c>
      <c r="CS56" s="101">
        <f>IFERROR(up_RadSpec!$E$20*($AY$20/$B56),".")</f>
        <v>69122.045258680591</v>
      </c>
      <c r="CT56" s="101">
        <f>IFERROR(up_RadSpec!$E$20*($AY$20/$B56),".")</f>
        <v>69122.045258680591</v>
      </c>
      <c r="CU56" s="101">
        <f>IFERROR(up_RadSpec!$E$20*($AY$20/$B56),".")</f>
        <v>69122.045258680591</v>
      </c>
      <c r="CV56" s="101">
        <f>IFERROR(up_RadSpec!$E$20*($AY$20/$B56),".")</f>
        <v>69122.045258680591</v>
      </c>
      <c r="CW56" s="101">
        <f>IFERROR(up_RadSpec!$E$20*($AY$20/$B56),".")</f>
        <v>69122.045258680591</v>
      </c>
      <c r="CX56" s="101">
        <f>IFERROR(up_RadSpec!$E$20*($AZ$20/$B56),".")</f>
        <v>69122.045258680591</v>
      </c>
    </row>
    <row r="57" spans="1:102" x14ac:dyDescent="0.25">
      <c r="A57" s="99" t="s">
        <v>1095</v>
      </c>
      <c r="B57" s="90">
        <v>2.0999995799999999E-4</v>
      </c>
      <c r="C57" s="100">
        <f t="shared" si="0"/>
        <v>725628.91601102136</v>
      </c>
      <c r="D57" s="100">
        <f t="shared" ref="D57:AA57" si="77">IFERROR($B57/D29,0)</f>
        <v>2902515.6640440854</v>
      </c>
      <c r="E57" s="100">
        <f t="shared" si="77"/>
        <v>2902515.6640440854</v>
      </c>
      <c r="F57" s="100">
        <f t="shared" si="77"/>
        <v>2902515.6640440854</v>
      </c>
      <c r="G57" s="100">
        <f t="shared" si="77"/>
        <v>2902515.6640440854</v>
      </c>
      <c r="H57" s="100">
        <f t="shared" si="77"/>
        <v>2902515.6640440854</v>
      </c>
      <c r="I57" s="100">
        <f t="shared" si="77"/>
        <v>2902515.6640440854</v>
      </c>
      <c r="J57" s="100">
        <f t="shared" si="77"/>
        <v>2902515.6640440854</v>
      </c>
      <c r="K57" s="100">
        <f t="shared" si="77"/>
        <v>2902515.6640440854</v>
      </c>
      <c r="L57" s="100">
        <f t="shared" si="77"/>
        <v>2902515.6640440854</v>
      </c>
      <c r="M57" s="100">
        <f t="shared" si="77"/>
        <v>2902515.6640440854</v>
      </c>
      <c r="N57" s="100">
        <f t="shared" si="77"/>
        <v>2902515.6640440854</v>
      </c>
      <c r="O57" s="100">
        <f t="shared" si="77"/>
        <v>2902515.6640440854</v>
      </c>
      <c r="P57" s="100">
        <f t="shared" si="77"/>
        <v>2902515.6640440854</v>
      </c>
      <c r="Q57" s="100">
        <f t="shared" si="77"/>
        <v>2902515.6640440854</v>
      </c>
      <c r="R57" s="100">
        <f t="shared" si="77"/>
        <v>2902515.6640440854</v>
      </c>
      <c r="S57" s="100">
        <f t="shared" si="77"/>
        <v>2902515.6640440854</v>
      </c>
      <c r="T57" s="100">
        <f t="shared" si="77"/>
        <v>2902515.6640440854</v>
      </c>
      <c r="U57" s="100">
        <f t="shared" si="77"/>
        <v>2902515.6640440854</v>
      </c>
      <c r="V57" s="100">
        <f t="shared" si="77"/>
        <v>2902515.6640440854</v>
      </c>
      <c r="W57" s="100">
        <f t="shared" si="77"/>
        <v>2902515.6640440854</v>
      </c>
      <c r="X57" s="100">
        <f t="shared" si="77"/>
        <v>2902515.6640440854</v>
      </c>
      <c r="Y57" s="100">
        <f t="shared" si="77"/>
        <v>2902515.6640440854</v>
      </c>
      <c r="Z57" s="100">
        <f t="shared" si="77"/>
        <v>2902515.6640440854</v>
      </c>
      <c r="AA57" s="100">
        <f t="shared" si="77"/>
        <v>2902515.6640440854</v>
      </c>
      <c r="AB57" s="49">
        <f t="shared" si="21"/>
        <v>1316334161.0207255</v>
      </c>
      <c r="AC57" s="101">
        <f>IFERROR(up_RadSpec!$E$29*($AC$29/$B57),".")</f>
        <v>329083540.25518137</v>
      </c>
      <c r="AD57" s="101">
        <f>IFERROR(up_RadSpec!$E$29*($AD$29/$B57),".")</f>
        <v>329083540.25518137</v>
      </c>
      <c r="AE57" s="101">
        <f>IFERROR(up_RadSpec!$E$29*($AY$29/$B57),".")</f>
        <v>329083540.25518137</v>
      </c>
      <c r="AF57" s="101">
        <f>IFERROR(up_RadSpec!$E$29*($AY$29/$B57),".")</f>
        <v>329083540.25518137</v>
      </c>
      <c r="AG57" s="101">
        <f>IFERROR(up_RadSpec!$E$29*($AY$29/$B57),".")</f>
        <v>329083540.25518137</v>
      </c>
      <c r="AH57" s="101">
        <f>IFERROR(up_RadSpec!$E$29*($AY$29/$B57),".")</f>
        <v>329083540.25518137</v>
      </c>
      <c r="AI57" s="101">
        <f>IFERROR(up_RadSpec!$E$29*($AY$29/$B57),".")</f>
        <v>329083540.25518137</v>
      </c>
      <c r="AJ57" s="101">
        <f>IFERROR(up_RadSpec!$E$29*($AY$29/$B57),".")</f>
        <v>329083540.25518137</v>
      </c>
      <c r="AK57" s="101">
        <f>IFERROR(up_RadSpec!$E$29*($AY$29/$B57),".")</f>
        <v>329083540.25518137</v>
      </c>
      <c r="AL57" s="101">
        <f>IFERROR(up_RadSpec!$E$29*($AY$29/$B57),".")</f>
        <v>329083540.25518137</v>
      </c>
      <c r="AM57" s="101">
        <f>IFERROR(up_RadSpec!$E$29*($AY$29/$B57),".")</f>
        <v>329083540.25518137</v>
      </c>
      <c r="AN57" s="101">
        <f>IFERROR(up_RadSpec!$E$29*($AY$29/$B57),".")</f>
        <v>329083540.25518137</v>
      </c>
      <c r="AO57" s="101">
        <f>IFERROR(up_RadSpec!$E$29*($AY$29/$B57),".")</f>
        <v>329083540.25518137</v>
      </c>
      <c r="AP57" s="101">
        <f>IFERROR(up_RadSpec!$E$29*($AY$29/$B57),".")</f>
        <v>329083540.25518137</v>
      </c>
      <c r="AQ57" s="101">
        <f>IFERROR(up_RadSpec!$E$29*($AY$29/$B57),".")</f>
        <v>329083540.25518137</v>
      </c>
      <c r="AR57" s="101">
        <f>IFERROR(up_RadSpec!$E$29*($AY$29/$B57),".")</f>
        <v>329083540.25518137</v>
      </c>
      <c r="AS57" s="101">
        <f>IFERROR(up_RadSpec!$E$29*($AY$29/$B57),".")</f>
        <v>329083540.25518137</v>
      </c>
      <c r="AT57" s="101">
        <f>IFERROR(up_RadSpec!$E$29*($AY$29/$B57),".")</f>
        <v>329083540.25518137</v>
      </c>
      <c r="AU57" s="101">
        <f>IFERROR(up_RadSpec!$E$29*($AY$29/$B57),".")</f>
        <v>329083540.25518137</v>
      </c>
      <c r="AV57" s="101">
        <f>IFERROR(up_RadSpec!$E$29*($AY$29/$B57),".")</f>
        <v>329083540.25518137</v>
      </c>
      <c r="AW57" s="101">
        <f>IFERROR(up_RadSpec!$E$29*($AY$29/$B57),".")</f>
        <v>329083540.25518137</v>
      </c>
      <c r="AX57" s="101">
        <f>IFERROR(up_RadSpec!$E$29*($AY$29/$B57),".")</f>
        <v>329083540.25518137</v>
      </c>
      <c r="AY57" s="101">
        <f>IFERROR(up_RadSpec!$E$29*($AY$29/$B57),".")</f>
        <v>329083540.25518137</v>
      </c>
      <c r="AZ57" s="101">
        <f>IFERROR(up_RadSpec!$E$29*($AZ$29/$B57),".")</f>
        <v>329083540.25518137</v>
      </c>
      <c r="BA57" s="100">
        <f t="shared" si="22"/>
        <v>725628.91601102136</v>
      </c>
      <c r="BB57" s="100">
        <f t="shared" ref="BB57:BY57" si="78">IFERROR($B57/BB29,0)</f>
        <v>2902515.6640440854</v>
      </c>
      <c r="BC57" s="100">
        <f t="shared" si="78"/>
        <v>2902515.6640440854</v>
      </c>
      <c r="BD57" s="100">
        <f t="shared" si="78"/>
        <v>2902515.6640440854</v>
      </c>
      <c r="BE57" s="100">
        <f t="shared" si="78"/>
        <v>2902515.6640440854</v>
      </c>
      <c r="BF57" s="100">
        <f t="shared" si="78"/>
        <v>2902515.6640440854</v>
      </c>
      <c r="BG57" s="100">
        <f t="shared" si="78"/>
        <v>2902515.6640440854</v>
      </c>
      <c r="BH57" s="100">
        <f t="shared" si="78"/>
        <v>2902515.6640440854</v>
      </c>
      <c r="BI57" s="100">
        <f t="shared" si="78"/>
        <v>2902515.6640440854</v>
      </c>
      <c r="BJ57" s="100">
        <f t="shared" si="78"/>
        <v>2902515.6640440854</v>
      </c>
      <c r="BK57" s="100">
        <f t="shared" si="78"/>
        <v>2902515.6640440854</v>
      </c>
      <c r="BL57" s="100">
        <f t="shared" si="78"/>
        <v>2902515.6640440854</v>
      </c>
      <c r="BM57" s="100">
        <f t="shared" si="78"/>
        <v>2902515.6640440854</v>
      </c>
      <c r="BN57" s="100">
        <f t="shared" si="78"/>
        <v>2902515.6640440854</v>
      </c>
      <c r="BO57" s="100">
        <f t="shared" si="78"/>
        <v>2902515.6640440854</v>
      </c>
      <c r="BP57" s="100">
        <f t="shared" si="78"/>
        <v>2902515.6640440854</v>
      </c>
      <c r="BQ57" s="100">
        <f t="shared" si="78"/>
        <v>2902515.6640440854</v>
      </c>
      <c r="BR57" s="100">
        <f t="shared" si="78"/>
        <v>2902515.6640440854</v>
      </c>
      <c r="BS57" s="100">
        <f t="shared" si="78"/>
        <v>2902515.6640440854</v>
      </c>
      <c r="BT57" s="100">
        <f t="shared" si="78"/>
        <v>2902515.6640440854</v>
      </c>
      <c r="BU57" s="100">
        <f t="shared" si="78"/>
        <v>2902515.6640440854</v>
      </c>
      <c r="BV57" s="100">
        <f t="shared" si="78"/>
        <v>2902515.6640440854</v>
      </c>
      <c r="BW57" s="100">
        <f t="shared" si="78"/>
        <v>2902515.6640440854</v>
      </c>
      <c r="BX57" s="100">
        <f t="shared" si="78"/>
        <v>2902515.6640440854</v>
      </c>
      <c r="BY57" s="100">
        <f t="shared" si="78"/>
        <v>2902515.6640440854</v>
      </c>
      <c r="BZ57" s="49">
        <f t="shared" si="62"/>
        <v>1316334161.0207255</v>
      </c>
      <c r="CA57" s="101">
        <f>IFERROR(up_RadSpec!$E$29*($AC$29/$B57),".")</f>
        <v>329083540.25518137</v>
      </c>
      <c r="CB57" s="101">
        <f>IFERROR(up_RadSpec!$E$29*($AD$29/$B57),".")</f>
        <v>329083540.25518137</v>
      </c>
      <c r="CC57" s="101">
        <f>IFERROR(up_RadSpec!$E$29*($AY$29/$B57),".")</f>
        <v>329083540.25518137</v>
      </c>
      <c r="CD57" s="101">
        <f>IFERROR(up_RadSpec!$E$29*($AY$29/$B57),".")</f>
        <v>329083540.25518137</v>
      </c>
      <c r="CE57" s="101">
        <f>IFERROR(up_RadSpec!$E$29*($AY$29/$B57),".")</f>
        <v>329083540.25518137</v>
      </c>
      <c r="CF57" s="101">
        <f>IFERROR(up_RadSpec!$E$29*($AY$29/$B57),".")</f>
        <v>329083540.25518137</v>
      </c>
      <c r="CG57" s="101">
        <f>IFERROR(up_RadSpec!$E$29*($AY$29/$B57),".")</f>
        <v>329083540.25518137</v>
      </c>
      <c r="CH57" s="101">
        <f>IFERROR(up_RadSpec!$E$29*($AY$29/$B57),".")</f>
        <v>329083540.25518137</v>
      </c>
      <c r="CI57" s="101">
        <f>IFERROR(up_RadSpec!$E$29*($AY$29/$B57),".")</f>
        <v>329083540.25518137</v>
      </c>
      <c r="CJ57" s="101">
        <f>IFERROR(up_RadSpec!$E$29*($AY$29/$B57),".")</f>
        <v>329083540.25518137</v>
      </c>
      <c r="CK57" s="101">
        <f>IFERROR(up_RadSpec!$E$29*($AY$29/$B57),".")</f>
        <v>329083540.25518137</v>
      </c>
      <c r="CL57" s="101">
        <f>IFERROR(up_RadSpec!$E$29*($AY$29/$B57),".")</f>
        <v>329083540.25518137</v>
      </c>
      <c r="CM57" s="101">
        <f>IFERROR(up_RadSpec!$E$29*($AY$29/$B57),".")</f>
        <v>329083540.25518137</v>
      </c>
      <c r="CN57" s="101">
        <f>IFERROR(up_RadSpec!$E$29*($AY$29/$B57),".")</f>
        <v>329083540.25518137</v>
      </c>
      <c r="CO57" s="101">
        <f>IFERROR(up_RadSpec!$E$29*($AY$29/$B57),".")</f>
        <v>329083540.25518137</v>
      </c>
      <c r="CP57" s="101">
        <f>IFERROR(up_RadSpec!$E$29*($AY$29/$B57),".")</f>
        <v>329083540.25518137</v>
      </c>
      <c r="CQ57" s="101">
        <f>IFERROR(up_RadSpec!$E$29*($AY$29/$B57),".")</f>
        <v>329083540.25518137</v>
      </c>
      <c r="CR57" s="101">
        <f>IFERROR(up_RadSpec!$E$29*($AY$29/$B57),".")</f>
        <v>329083540.25518137</v>
      </c>
      <c r="CS57" s="101">
        <f>IFERROR(up_RadSpec!$E$29*($AY$29/$B57),".")</f>
        <v>329083540.25518137</v>
      </c>
      <c r="CT57" s="101">
        <f>IFERROR(up_RadSpec!$E$29*($AY$29/$B57),".")</f>
        <v>329083540.25518137</v>
      </c>
      <c r="CU57" s="101">
        <f>IFERROR(up_RadSpec!$E$29*($AY$29/$B57),".")</f>
        <v>329083540.25518137</v>
      </c>
      <c r="CV57" s="101">
        <f>IFERROR(up_RadSpec!$E$29*($AY$29/$B57),".")</f>
        <v>329083540.25518137</v>
      </c>
      <c r="CW57" s="101">
        <f>IFERROR(up_RadSpec!$E$29*($AY$29/$B57),".")</f>
        <v>329083540.25518137</v>
      </c>
      <c r="CX57" s="101">
        <f>IFERROR(up_RadSpec!$E$29*($AZ$29/$B57),".")</f>
        <v>329083540.25518137</v>
      </c>
    </row>
    <row r="58" spans="1:102" x14ac:dyDescent="0.25">
      <c r="A58" s="99" t="s">
        <v>1096</v>
      </c>
      <c r="B58" s="90">
        <v>1</v>
      </c>
      <c r="C58" s="100">
        <f t="shared" si="0"/>
        <v>3455376481.6039696</v>
      </c>
      <c r="D58" s="100">
        <f t="shared" ref="D58:AA58" si="79">IFERROR($B58/D16,0)</f>
        <v>13821505926.415878</v>
      </c>
      <c r="E58" s="100">
        <f t="shared" si="79"/>
        <v>13821505926.415878</v>
      </c>
      <c r="F58" s="100">
        <f t="shared" si="79"/>
        <v>13821505926.415878</v>
      </c>
      <c r="G58" s="100">
        <f t="shared" si="79"/>
        <v>13821505926.415878</v>
      </c>
      <c r="H58" s="100">
        <f t="shared" si="79"/>
        <v>13821505926.415878</v>
      </c>
      <c r="I58" s="100">
        <f t="shared" si="79"/>
        <v>13821505926.415878</v>
      </c>
      <c r="J58" s="100">
        <f t="shared" si="79"/>
        <v>13821505926.415878</v>
      </c>
      <c r="K58" s="100">
        <f t="shared" si="79"/>
        <v>13821505926.415878</v>
      </c>
      <c r="L58" s="100">
        <f t="shared" si="79"/>
        <v>13821505926.415878</v>
      </c>
      <c r="M58" s="100">
        <f t="shared" si="79"/>
        <v>13821505926.415878</v>
      </c>
      <c r="N58" s="100">
        <f t="shared" si="79"/>
        <v>13821505926.415878</v>
      </c>
      <c r="O58" s="100">
        <f t="shared" si="79"/>
        <v>13821505926.415878</v>
      </c>
      <c r="P58" s="100">
        <f t="shared" si="79"/>
        <v>13821505926.415878</v>
      </c>
      <c r="Q58" s="100">
        <f t="shared" si="79"/>
        <v>13821505926.415878</v>
      </c>
      <c r="R58" s="100">
        <f t="shared" si="79"/>
        <v>13821505926.415878</v>
      </c>
      <c r="S58" s="100">
        <f t="shared" si="79"/>
        <v>13821505926.415878</v>
      </c>
      <c r="T58" s="100">
        <f t="shared" si="79"/>
        <v>13821505926.415878</v>
      </c>
      <c r="U58" s="100">
        <f t="shared" si="79"/>
        <v>13821505926.415878</v>
      </c>
      <c r="V58" s="100">
        <f t="shared" si="79"/>
        <v>13821505926.415878</v>
      </c>
      <c r="W58" s="100">
        <f t="shared" si="79"/>
        <v>13821505926.415878</v>
      </c>
      <c r="X58" s="100">
        <f t="shared" si="79"/>
        <v>13821505926.415878</v>
      </c>
      <c r="Y58" s="100">
        <f t="shared" si="79"/>
        <v>13821505926.415878</v>
      </c>
      <c r="Z58" s="100">
        <f t="shared" si="79"/>
        <v>13821505926.415878</v>
      </c>
      <c r="AA58" s="100">
        <f t="shared" si="79"/>
        <v>13821505926.415878</v>
      </c>
      <c r="AB58" s="49">
        <f t="shared" si="21"/>
        <v>276430.1185283176</v>
      </c>
      <c r="AC58" s="101">
        <f>IFERROR(up_RadSpec!$E$16*($AC$16/$B58),".")</f>
        <v>69107.5296320794</v>
      </c>
      <c r="AD58" s="101">
        <f>IFERROR(up_RadSpec!$E$16*($AD$16/$B58),".")</f>
        <v>69107.5296320794</v>
      </c>
      <c r="AE58" s="101">
        <f>IFERROR(up_RadSpec!$E$16*($AY$16/$B58),".")</f>
        <v>69107.5296320794</v>
      </c>
      <c r="AF58" s="101">
        <f>IFERROR(up_RadSpec!$E$16*($AY$16/$B58),".")</f>
        <v>69107.5296320794</v>
      </c>
      <c r="AG58" s="101">
        <f>IFERROR(up_RadSpec!$E$16*($AY$16/$B58),".")</f>
        <v>69107.5296320794</v>
      </c>
      <c r="AH58" s="101">
        <f>IFERROR(up_RadSpec!$E$16*($AY$16/$B58),".")</f>
        <v>69107.5296320794</v>
      </c>
      <c r="AI58" s="101">
        <f>IFERROR(up_RadSpec!$E$16*($AY$16/$B58),".")</f>
        <v>69107.5296320794</v>
      </c>
      <c r="AJ58" s="101">
        <f>IFERROR(up_RadSpec!$E$16*($AY$16/$B58),".")</f>
        <v>69107.5296320794</v>
      </c>
      <c r="AK58" s="101">
        <f>IFERROR(up_RadSpec!$E$16*($AY$16/$B58),".")</f>
        <v>69107.5296320794</v>
      </c>
      <c r="AL58" s="101">
        <f>IFERROR(up_RadSpec!$E$16*($AY$16/$B58),".")</f>
        <v>69107.5296320794</v>
      </c>
      <c r="AM58" s="101">
        <f>IFERROR(up_RadSpec!$E$16*($AY$16/$B58),".")</f>
        <v>69107.5296320794</v>
      </c>
      <c r="AN58" s="101">
        <f>IFERROR(up_RadSpec!$E$16*($AY$16/$B58),".")</f>
        <v>69107.5296320794</v>
      </c>
      <c r="AO58" s="101">
        <f>IFERROR(up_RadSpec!$E$16*($AY$16/$B58),".")</f>
        <v>69107.5296320794</v>
      </c>
      <c r="AP58" s="101">
        <f>IFERROR(up_RadSpec!$E$16*($AY$16/$B58),".")</f>
        <v>69107.5296320794</v>
      </c>
      <c r="AQ58" s="101">
        <f>IFERROR(up_RadSpec!$E$16*($AY$16/$B58),".")</f>
        <v>69107.5296320794</v>
      </c>
      <c r="AR58" s="101">
        <f>IFERROR(up_RadSpec!$E$16*($AY$16/$B58),".")</f>
        <v>69107.5296320794</v>
      </c>
      <c r="AS58" s="101">
        <f>IFERROR(up_RadSpec!$E$16*($AY$16/$B58),".")</f>
        <v>69107.5296320794</v>
      </c>
      <c r="AT58" s="101">
        <f>IFERROR(up_RadSpec!$E$16*($AY$16/$B58),".")</f>
        <v>69107.5296320794</v>
      </c>
      <c r="AU58" s="101">
        <f>IFERROR(up_RadSpec!$E$16*($AY$16/$B58),".")</f>
        <v>69107.5296320794</v>
      </c>
      <c r="AV58" s="101">
        <f>IFERROR(up_RadSpec!$E$16*($AY$16/$B58),".")</f>
        <v>69107.5296320794</v>
      </c>
      <c r="AW58" s="101">
        <f>IFERROR(up_RadSpec!$E$16*($AY$16/$B58),".")</f>
        <v>69107.5296320794</v>
      </c>
      <c r="AX58" s="101">
        <f>IFERROR(up_RadSpec!$E$16*($AY$16/$B58),".")</f>
        <v>69107.5296320794</v>
      </c>
      <c r="AY58" s="101">
        <f>IFERROR(up_RadSpec!$E$16*($AY$16/$B58),".")</f>
        <v>69107.5296320794</v>
      </c>
      <c r="AZ58" s="101">
        <f>IFERROR(up_RadSpec!$E$16*($AZ$16/$B58),".")</f>
        <v>69107.5296320794</v>
      </c>
      <c r="BA58" s="100">
        <f t="shared" si="22"/>
        <v>3455376481.6039696</v>
      </c>
      <c r="BB58" s="100">
        <f t="shared" ref="BB58:BY58" si="80">IFERROR($B58/BB16,0)</f>
        <v>13821505926.415878</v>
      </c>
      <c r="BC58" s="100">
        <f t="shared" si="80"/>
        <v>13821505926.415878</v>
      </c>
      <c r="BD58" s="100">
        <f t="shared" si="80"/>
        <v>13821505926.415878</v>
      </c>
      <c r="BE58" s="100">
        <f t="shared" si="80"/>
        <v>13821505926.415878</v>
      </c>
      <c r="BF58" s="100">
        <f t="shared" si="80"/>
        <v>13821505926.415878</v>
      </c>
      <c r="BG58" s="100">
        <f t="shared" si="80"/>
        <v>13821505926.415878</v>
      </c>
      <c r="BH58" s="100">
        <f t="shared" si="80"/>
        <v>13821505926.415878</v>
      </c>
      <c r="BI58" s="100">
        <f t="shared" si="80"/>
        <v>13821505926.415878</v>
      </c>
      <c r="BJ58" s="100">
        <f t="shared" si="80"/>
        <v>13821505926.415878</v>
      </c>
      <c r="BK58" s="100">
        <f t="shared" si="80"/>
        <v>13821505926.415878</v>
      </c>
      <c r="BL58" s="100">
        <f t="shared" si="80"/>
        <v>13821505926.415878</v>
      </c>
      <c r="BM58" s="100">
        <f t="shared" si="80"/>
        <v>13821505926.415878</v>
      </c>
      <c r="BN58" s="100">
        <f t="shared" si="80"/>
        <v>13821505926.415878</v>
      </c>
      <c r="BO58" s="100">
        <f t="shared" si="80"/>
        <v>13821505926.415878</v>
      </c>
      <c r="BP58" s="100">
        <f t="shared" si="80"/>
        <v>13821505926.415878</v>
      </c>
      <c r="BQ58" s="100">
        <f t="shared" si="80"/>
        <v>13821505926.415878</v>
      </c>
      <c r="BR58" s="100">
        <f t="shared" si="80"/>
        <v>13821505926.415878</v>
      </c>
      <c r="BS58" s="100">
        <f t="shared" si="80"/>
        <v>13821505926.415878</v>
      </c>
      <c r="BT58" s="100">
        <f t="shared" si="80"/>
        <v>13821505926.415878</v>
      </c>
      <c r="BU58" s="100">
        <f t="shared" si="80"/>
        <v>13821505926.415878</v>
      </c>
      <c r="BV58" s="100">
        <f t="shared" si="80"/>
        <v>13821505926.415878</v>
      </c>
      <c r="BW58" s="100">
        <f t="shared" si="80"/>
        <v>13821505926.415878</v>
      </c>
      <c r="BX58" s="100">
        <f t="shared" si="80"/>
        <v>13821505926.415878</v>
      </c>
      <c r="BY58" s="100">
        <f t="shared" si="80"/>
        <v>13821505926.415878</v>
      </c>
      <c r="BZ58" s="49">
        <f t="shared" si="62"/>
        <v>276430.1185283176</v>
      </c>
      <c r="CA58" s="101">
        <f>IFERROR(up_RadSpec!$E$16*($AC$16/$B58),".")</f>
        <v>69107.5296320794</v>
      </c>
      <c r="CB58" s="101">
        <f>IFERROR(up_RadSpec!$E$16*($AD$16/$B58),".")</f>
        <v>69107.5296320794</v>
      </c>
      <c r="CC58" s="101">
        <f>IFERROR(up_RadSpec!$E$16*($AY$16/$B58),".")</f>
        <v>69107.5296320794</v>
      </c>
      <c r="CD58" s="101">
        <f>IFERROR(up_RadSpec!$E$16*($AY$16/$B58),".")</f>
        <v>69107.5296320794</v>
      </c>
      <c r="CE58" s="101">
        <f>IFERROR(up_RadSpec!$E$16*($AY$16/$B58),".")</f>
        <v>69107.5296320794</v>
      </c>
      <c r="CF58" s="101">
        <f>IFERROR(up_RadSpec!$E$16*($AY$16/$B58),".")</f>
        <v>69107.5296320794</v>
      </c>
      <c r="CG58" s="101">
        <f>IFERROR(up_RadSpec!$E$16*($AY$16/$B58),".")</f>
        <v>69107.5296320794</v>
      </c>
      <c r="CH58" s="101">
        <f>IFERROR(up_RadSpec!$E$16*($AY$16/$B58),".")</f>
        <v>69107.5296320794</v>
      </c>
      <c r="CI58" s="101">
        <f>IFERROR(up_RadSpec!$E$16*($AY$16/$B58),".")</f>
        <v>69107.5296320794</v>
      </c>
      <c r="CJ58" s="101">
        <f>IFERROR(up_RadSpec!$E$16*($AY$16/$B58),".")</f>
        <v>69107.5296320794</v>
      </c>
      <c r="CK58" s="101">
        <f>IFERROR(up_RadSpec!$E$16*($AY$16/$B58),".")</f>
        <v>69107.5296320794</v>
      </c>
      <c r="CL58" s="101">
        <f>IFERROR(up_RadSpec!$E$16*($AY$16/$B58),".")</f>
        <v>69107.5296320794</v>
      </c>
      <c r="CM58" s="101">
        <f>IFERROR(up_RadSpec!$E$16*($AY$16/$B58),".")</f>
        <v>69107.5296320794</v>
      </c>
      <c r="CN58" s="101">
        <f>IFERROR(up_RadSpec!$E$16*($AY$16/$B58),".")</f>
        <v>69107.5296320794</v>
      </c>
      <c r="CO58" s="101">
        <f>IFERROR(up_RadSpec!$E$16*($AY$16/$B58),".")</f>
        <v>69107.5296320794</v>
      </c>
      <c r="CP58" s="101">
        <f>IFERROR(up_RadSpec!$E$16*($AY$16/$B58),".")</f>
        <v>69107.5296320794</v>
      </c>
      <c r="CQ58" s="101">
        <f>IFERROR(up_RadSpec!$E$16*($AY$16/$B58),".")</f>
        <v>69107.5296320794</v>
      </c>
      <c r="CR58" s="101">
        <f>IFERROR(up_RadSpec!$E$16*($AY$16/$B58),".")</f>
        <v>69107.5296320794</v>
      </c>
      <c r="CS58" s="101">
        <f>IFERROR(up_RadSpec!$E$16*($AY$16/$B58),".")</f>
        <v>69107.5296320794</v>
      </c>
      <c r="CT58" s="101">
        <f>IFERROR(up_RadSpec!$E$16*($AY$16/$B58),".")</f>
        <v>69107.5296320794</v>
      </c>
      <c r="CU58" s="101">
        <f>IFERROR(up_RadSpec!$E$16*($AY$16/$B58),".")</f>
        <v>69107.5296320794</v>
      </c>
      <c r="CV58" s="101">
        <f>IFERROR(up_RadSpec!$E$16*($AY$16/$B58),".")</f>
        <v>69107.5296320794</v>
      </c>
      <c r="CW58" s="101">
        <f>IFERROR(up_RadSpec!$E$16*($AY$16/$B58),".")</f>
        <v>69107.5296320794</v>
      </c>
      <c r="CX58" s="101">
        <f>IFERROR(up_RadSpec!$E$16*($AZ$16/$B58),".")</f>
        <v>69107.5296320794</v>
      </c>
    </row>
    <row r="59" spans="1:102" x14ac:dyDescent="0.25">
      <c r="A59" s="99" t="s">
        <v>1097</v>
      </c>
      <c r="B59" s="90">
        <v>1</v>
      </c>
      <c r="C59" s="100">
        <f t="shared" si="0"/>
        <v>3455376481.6039696</v>
      </c>
      <c r="D59" s="100">
        <f t="shared" ref="D59:AA59" si="81">IFERROR($B59/D7,0)</f>
        <v>13821505926.415878</v>
      </c>
      <c r="E59" s="100">
        <f t="shared" si="81"/>
        <v>13821505926.415878</v>
      </c>
      <c r="F59" s="100">
        <f t="shared" si="81"/>
        <v>13821505926.415878</v>
      </c>
      <c r="G59" s="100">
        <f t="shared" si="81"/>
        <v>13821505926.415878</v>
      </c>
      <c r="H59" s="100">
        <f t="shared" si="81"/>
        <v>13821505926.415878</v>
      </c>
      <c r="I59" s="100">
        <f t="shared" si="81"/>
        <v>13821505926.415878</v>
      </c>
      <c r="J59" s="100">
        <f t="shared" si="81"/>
        <v>13821505926.415878</v>
      </c>
      <c r="K59" s="100">
        <f t="shared" si="81"/>
        <v>13821505926.415878</v>
      </c>
      <c r="L59" s="100">
        <f t="shared" si="81"/>
        <v>13821505926.415878</v>
      </c>
      <c r="M59" s="100">
        <f t="shared" si="81"/>
        <v>13821505926.415878</v>
      </c>
      <c r="N59" s="100">
        <f t="shared" si="81"/>
        <v>13821505926.415878</v>
      </c>
      <c r="O59" s="100">
        <f t="shared" si="81"/>
        <v>13821505926.415878</v>
      </c>
      <c r="P59" s="100">
        <f t="shared" si="81"/>
        <v>13821505926.415878</v>
      </c>
      <c r="Q59" s="100">
        <f t="shared" si="81"/>
        <v>13821505926.415878</v>
      </c>
      <c r="R59" s="100">
        <f t="shared" si="81"/>
        <v>13821505926.415878</v>
      </c>
      <c r="S59" s="100">
        <f t="shared" si="81"/>
        <v>13821505926.415878</v>
      </c>
      <c r="T59" s="100">
        <f t="shared" si="81"/>
        <v>13821505926.415878</v>
      </c>
      <c r="U59" s="100">
        <f t="shared" si="81"/>
        <v>13821505926.415878</v>
      </c>
      <c r="V59" s="100">
        <f t="shared" si="81"/>
        <v>13821505926.415878</v>
      </c>
      <c r="W59" s="100">
        <f t="shared" si="81"/>
        <v>13821505926.415878</v>
      </c>
      <c r="X59" s="100">
        <f t="shared" si="81"/>
        <v>13821505926.415878</v>
      </c>
      <c r="Y59" s="100">
        <f t="shared" si="81"/>
        <v>13821505926.415878</v>
      </c>
      <c r="Z59" s="100">
        <f t="shared" si="81"/>
        <v>13821505926.415878</v>
      </c>
      <c r="AA59" s="100">
        <f t="shared" si="81"/>
        <v>13821505926.415878</v>
      </c>
      <c r="AB59" s="49">
        <f t="shared" si="21"/>
        <v>276430.1185283176</v>
      </c>
      <c r="AC59" s="101">
        <f>IFERROR(up_RadSpec!$E$7*($AC$7/$B59),".")</f>
        <v>69107.5296320794</v>
      </c>
      <c r="AD59" s="101">
        <f>IFERROR(up_RadSpec!$E$7*($AD$7/$B59),".")</f>
        <v>69107.5296320794</v>
      </c>
      <c r="AE59" s="101">
        <f>IFERROR(up_RadSpec!$E$7*($AY$7/$B59),".")</f>
        <v>69107.5296320794</v>
      </c>
      <c r="AF59" s="101">
        <f>IFERROR(up_RadSpec!$E$7*($AY$7/$B59),".")</f>
        <v>69107.5296320794</v>
      </c>
      <c r="AG59" s="101">
        <f>IFERROR(up_RadSpec!$E$7*($AY$7/$B59),".")</f>
        <v>69107.5296320794</v>
      </c>
      <c r="AH59" s="101">
        <f>IFERROR(up_RadSpec!$E$7*($AY$7/$B59),".")</f>
        <v>69107.5296320794</v>
      </c>
      <c r="AI59" s="101">
        <f>IFERROR(up_RadSpec!$E$7*($AY$7/$B59),".")</f>
        <v>69107.5296320794</v>
      </c>
      <c r="AJ59" s="101">
        <f>IFERROR(up_RadSpec!$E$7*($AY$7/$B59),".")</f>
        <v>69107.5296320794</v>
      </c>
      <c r="AK59" s="101">
        <f>IFERROR(up_RadSpec!$E$7*($AY$7/$B59),".")</f>
        <v>69107.5296320794</v>
      </c>
      <c r="AL59" s="101">
        <f>IFERROR(up_RadSpec!$E$7*($AY$7/$B59),".")</f>
        <v>69107.5296320794</v>
      </c>
      <c r="AM59" s="101">
        <f>IFERROR(up_RadSpec!$E$7*($AY$7/$B59),".")</f>
        <v>69107.5296320794</v>
      </c>
      <c r="AN59" s="101">
        <f>IFERROR(up_RadSpec!$E$7*($AY$7/$B59),".")</f>
        <v>69107.5296320794</v>
      </c>
      <c r="AO59" s="101">
        <f>IFERROR(up_RadSpec!$E$7*($AY$7/$B59),".")</f>
        <v>69107.5296320794</v>
      </c>
      <c r="AP59" s="101">
        <f>IFERROR(up_RadSpec!$E$7*($AY$7/$B59),".")</f>
        <v>69107.5296320794</v>
      </c>
      <c r="AQ59" s="101">
        <f>IFERROR(up_RadSpec!$E$7*($AY$7/$B59),".")</f>
        <v>69107.5296320794</v>
      </c>
      <c r="AR59" s="101">
        <f>IFERROR(up_RadSpec!$E$7*($AY$7/$B59),".")</f>
        <v>69107.5296320794</v>
      </c>
      <c r="AS59" s="101">
        <f>IFERROR(up_RadSpec!$E$7*($AY$7/$B59),".")</f>
        <v>69107.5296320794</v>
      </c>
      <c r="AT59" s="101">
        <f>IFERROR(up_RadSpec!$E$7*($AY$7/$B59),".")</f>
        <v>69107.5296320794</v>
      </c>
      <c r="AU59" s="101">
        <f>IFERROR(up_RadSpec!$E$7*($AY$7/$B59),".")</f>
        <v>69107.5296320794</v>
      </c>
      <c r="AV59" s="101">
        <f>IFERROR(up_RadSpec!$E$7*($AY$7/$B59),".")</f>
        <v>69107.5296320794</v>
      </c>
      <c r="AW59" s="101">
        <f>IFERROR(up_RadSpec!$E$7*($AY$7/$B59),".")</f>
        <v>69107.5296320794</v>
      </c>
      <c r="AX59" s="101">
        <f>IFERROR(up_RadSpec!$E$7*($AY$7/$B59),".")</f>
        <v>69107.5296320794</v>
      </c>
      <c r="AY59" s="101">
        <f>IFERROR(up_RadSpec!$E$7*($AY$7/$B59),".")</f>
        <v>69107.5296320794</v>
      </c>
      <c r="AZ59" s="101">
        <f>IFERROR(up_RadSpec!$E$7*($AZ$7/$B59),".")</f>
        <v>69107.5296320794</v>
      </c>
      <c r="BA59" s="100">
        <f t="shared" si="22"/>
        <v>3455376481.6039696</v>
      </c>
      <c r="BB59" s="100">
        <f t="shared" ref="BB59:BY59" si="82">IFERROR($B59/BB7,0)</f>
        <v>13821505926.415878</v>
      </c>
      <c r="BC59" s="100">
        <f t="shared" si="82"/>
        <v>13821505926.415878</v>
      </c>
      <c r="BD59" s="100">
        <f t="shared" si="82"/>
        <v>13821505926.415878</v>
      </c>
      <c r="BE59" s="100">
        <f t="shared" si="82"/>
        <v>13821505926.415878</v>
      </c>
      <c r="BF59" s="100">
        <f t="shared" si="82"/>
        <v>13821505926.415878</v>
      </c>
      <c r="BG59" s="100">
        <f t="shared" si="82"/>
        <v>13821505926.415878</v>
      </c>
      <c r="BH59" s="100">
        <f t="shared" si="82"/>
        <v>13821505926.415878</v>
      </c>
      <c r="BI59" s="100">
        <f t="shared" si="82"/>
        <v>13821505926.415878</v>
      </c>
      <c r="BJ59" s="100">
        <f t="shared" si="82"/>
        <v>13821505926.415878</v>
      </c>
      <c r="BK59" s="100">
        <f t="shared" si="82"/>
        <v>13821505926.415878</v>
      </c>
      <c r="BL59" s="100">
        <f t="shared" si="82"/>
        <v>13821505926.415878</v>
      </c>
      <c r="BM59" s="100">
        <f t="shared" si="82"/>
        <v>13821505926.415878</v>
      </c>
      <c r="BN59" s="100">
        <f t="shared" si="82"/>
        <v>13821505926.415878</v>
      </c>
      <c r="BO59" s="100">
        <f t="shared" si="82"/>
        <v>13821505926.415878</v>
      </c>
      <c r="BP59" s="100">
        <f t="shared" si="82"/>
        <v>13821505926.415878</v>
      </c>
      <c r="BQ59" s="100">
        <f t="shared" si="82"/>
        <v>13821505926.415878</v>
      </c>
      <c r="BR59" s="100">
        <f t="shared" si="82"/>
        <v>13821505926.415878</v>
      </c>
      <c r="BS59" s="100">
        <f t="shared" si="82"/>
        <v>13821505926.415878</v>
      </c>
      <c r="BT59" s="100">
        <f t="shared" si="82"/>
        <v>13821505926.415878</v>
      </c>
      <c r="BU59" s="100">
        <f t="shared" si="82"/>
        <v>13821505926.415878</v>
      </c>
      <c r="BV59" s="100">
        <f t="shared" si="82"/>
        <v>13821505926.415878</v>
      </c>
      <c r="BW59" s="100">
        <f t="shared" si="82"/>
        <v>13821505926.415878</v>
      </c>
      <c r="BX59" s="100">
        <f t="shared" si="82"/>
        <v>13821505926.415878</v>
      </c>
      <c r="BY59" s="100">
        <f t="shared" si="82"/>
        <v>13821505926.415878</v>
      </c>
      <c r="BZ59" s="49">
        <f t="shared" si="62"/>
        <v>276430.1185283176</v>
      </c>
      <c r="CA59" s="101">
        <f>IFERROR(up_RadSpec!$E$7*($AC$7/$B59),".")</f>
        <v>69107.5296320794</v>
      </c>
      <c r="CB59" s="101">
        <f>IFERROR(up_RadSpec!$E$7*($AD$7/$B59),".")</f>
        <v>69107.5296320794</v>
      </c>
      <c r="CC59" s="101">
        <f>IFERROR(up_RadSpec!$E$7*($AY$7/$B59),".")</f>
        <v>69107.5296320794</v>
      </c>
      <c r="CD59" s="101">
        <f>IFERROR(up_RadSpec!$E$7*($AY$7/$B59),".")</f>
        <v>69107.5296320794</v>
      </c>
      <c r="CE59" s="101">
        <f>IFERROR(up_RadSpec!$E$7*($AY$7/$B59),".")</f>
        <v>69107.5296320794</v>
      </c>
      <c r="CF59" s="101">
        <f>IFERROR(up_RadSpec!$E$7*($AY$7/$B59),".")</f>
        <v>69107.5296320794</v>
      </c>
      <c r="CG59" s="101">
        <f>IFERROR(up_RadSpec!$E$7*($AY$7/$B59),".")</f>
        <v>69107.5296320794</v>
      </c>
      <c r="CH59" s="101">
        <f>IFERROR(up_RadSpec!$E$7*($AY$7/$B59),".")</f>
        <v>69107.5296320794</v>
      </c>
      <c r="CI59" s="101">
        <f>IFERROR(up_RadSpec!$E$7*($AY$7/$B59),".")</f>
        <v>69107.5296320794</v>
      </c>
      <c r="CJ59" s="101">
        <f>IFERROR(up_RadSpec!$E$7*($AY$7/$B59),".")</f>
        <v>69107.5296320794</v>
      </c>
      <c r="CK59" s="101">
        <f>IFERROR(up_RadSpec!$E$7*($AY$7/$B59),".")</f>
        <v>69107.5296320794</v>
      </c>
      <c r="CL59" s="101">
        <f>IFERROR(up_RadSpec!$E$7*($AY$7/$B59),".")</f>
        <v>69107.5296320794</v>
      </c>
      <c r="CM59" s="101">
        <f>IFERROR(up_RadSpec!$E$7*($AY$7/$B59),".")</f>
        <v>69107.5296320794</v>
      </c>
      <c r="CN59" s="101">
        <f>IFERROR(up_RadSpec!$E$7*($AY$7/$B59),".")</f>
        <v>69107.5296320794</v>
      </c>
      <c r="CO59" s="101">
        <f>IFERROR(up_RadSpec!$E$7*($AY$7/$B59),".")</f>
        <v>69107.5296320794</v>
      </c>
      <c r="CP59" s="101">
        <f>IFERROR(up_RadSpec!$E$7*($AY$7/$B59),".")</f>
        <v>69107.5296320794</v>
      </c>
      <c r="CQ59" s="101">
        <f>IFERROR(up_RadSpec!$E$7*($AY$7/$B59),".")</f>
        <v>69107.5296320794</v>
      </c>
      <c r="CR59" s="101">
        <f>IFERROR(up_RadSpec!$E$7*($AY$7/$B59),".")</f>
        <v>69107.5296320794</v>
      </c>
      <c r="CS59" s="101">
        <f>IFERROR(up_RadSpec!$E$7*($AY$7/$B59),".")</f>
        <v>69107.5296320794</v>
      </c>
      <c r="CT59" s="101">
        <f>IFERROR(up_RadSpec!$E$7*($AY$7/$B59),".")</f>
        <v>69107.5296320794</v>
      </c>
      <c r="CU59" s="101">
        <f>IFERROR(up_RadSpec!$E$7*($AY$7/$B59),".")</f>
        <v>69107.5296320794</v>
      </c>
      <c r="CV59" s="101">
        <f>IFERROR(up_RadSpec!$E$7*($AY$7/$B59),".")</f>
        <v>69107.5296320794</v>
      </c>
      <c r="CW59" s="101">
        <f>IFERROR(up_RadSpec!$E$7*($AY$7/$B59),".")</f>
        <v>69107.5296320794</v>
      </c>
      <c r="CX59" s="101">
        <f>IFERROR(up_RadSpec!$E$7*($AZ$7/$B59),".")</f>
        <v>69107.5296320794</v>
      </c>
    </row>
    <row r="60" spans="1:102" x14ac:dyDescent="0.25">
      <c r="A60" s="99" t="s">
        <v>1098</v>
      </c>
      <c r="B60" s="104">
        <v>1.9000000000000001E-8</v>
      </c>
      <c r="C60" s="100">
        <f t="shared" si="0"/>
        <v>65.652153150475428</v>
      </c>
      <c r="D60" s="100">
        <f t="shared" ref="D60:AA60" si="83">IFERROR($B60/D12,0)</f>
        <v>262.60861260190171</v>
      </c>
      <c r="E60" s="100">
        <f t="shared" si="83"/>
        <v>262.60861260190171</v>
      </c>
      <c r="F60" s="100">
        <f t="shared" si="83"/>
        <v>262.60861260190171</v>
      </c>
      <c r="G60" s="100">
        <f t="shared" si="83"/>
        <v>262.60861260190171</v>
      </c>
      <c r="H60" s="100">
        <f t="shared" si="83"/>
        <v>262.60861260190171</v>
      </c>
      <c r="I60" s="100">
        <f t="shared" si="83"/>
        <v>262.60861260190171</v>
      </c>
      <c r="J60" s="100">
        <f t="shared" si="83"/>
        <v>262.60861260190171</v>
      </c>
      <c r="K60" s="100">
        <f t="shared" si="83"/>
        <v>262.60861260190171</v>
      </c>
      <c r="L60" s="100">
        <f t="shared" si="83"/>
        <v>262.60861260190171</v>
      </c>
      <c r="M60" s="100">
        <f t="shared" si="83"/>
        <v>262.60861260190171</v>
      </c>
      <c r="N60" s="100">
        <f t="shared" si="83"/>
        <v>262.60861260190171</v>
      </c>
      <c r="O60" s="100">
        <f t="shared" si="83"/>
        <v>262.60861260190171</v>
      </c>
      <c r="P60" s="100">
        <f t="shared" si="83"/>
        <v>262.60861260190171</v>
      </c>
      <c r="Q60" s="100">
        <f t="shared" si="83"/>
        <v>262.60861260190171</v>
      </c>
      <c r="R60" s="100">
        <f t="shared" si="83"/>
        <v>262.60861260190171</v>
      </c>
      <c r="S60" s="100">
        <f t="shared" si="83"/>
        <v>262.60861260190171</v>
      </c>
      <c r="T60" s="100">
        <f t="shared" si="83"/>
        <v>262.60861260190171</v>
      </c>
      <c r="U60" s="100">
        <f t="shared" si="83"/>
        <v>262.60861260190171</v>
      </c>
      <c r="V60" s="100">
        <f t="shared" si="83"/>
        <v>262.60861260190171</v>
      </c>
      <c r="W60" s="100">
        <f t="shared" si="83"/>
        <v>262.60861260190171</v>
      </c>
      <c r="X60" s="100">
        <f t="shared" si="83"/>
        <v>262.60861260190171</v>
      </c>
      <c r="Y60" s="100">
        <f t="shared" si="83"/>
        <v>262.60861260190171</v>
      </c>
      <c r="Z60" s="100">
        <f t="shared" si="83"/>
        <v>262.60861260190171</v>
      </c>
      <c r="AA60" s="100">
        <f t="shared" si="83"/>
        <v>262.60861260190171</v>
      </c>
      <c r="AB60" s="49">
        <f t="shared" si="21"/>
        <v>14548953606753.555</v>
      </c>
      <c r="AC60" s="101">
        <f>IFERROR(up_RadSpec!$E$12*($AC$12/$B60),".")</f>
        <v>3637238401688.3887</v>
      </c>
      <c r="AD60" s="101">
        <f>IFERROR(up_RadSpec!$E$12*($AD$12/$B60),".")</f>
        <v>3637238401688.3887</v>
      </c>
      <c r="AE60" s="101">
        <f>IFERROR(up_RadSpec!$E$12*($AY$12/$B60),".")</f>
        <v>3637238401688.3887</v>
      </c>
      <c r="AF60" s="101">
        <f>IFERROR(up_RadSpec!$E$12*($AY$12/$B60),".")</f>
        <v>3637238401688.3887</v>
      </c>
      <c r="AG60" s="101">
        <f>IFERROR(up_RadSpec!$E$12*($AY$12/$B60),".")</f>
        <v>3637238401688.3887</v>
      </c>
      <c r="AH60" s="101">
        <f>IFERROR(up_RadSpec!$E$12*($AY$12/$B60),".")</f>
        <v>3637238401688.3887</v>
      </c>
      <c r="AI60" s="101">
        <f>IFERROR(up_RadSpec!$E$12*($AY$12/$B60),".")</f>
        <v>3637238401688.3887</v>
      </c>
      <c r="AJ60" s="101">
        <f>IFERROR(up_RadSpec!$E$12*($AY$12/$B60),".")</f>
        <v>3637238401688.3887</v>
      </c>
      <c r="AK60" s="101">
        <f>IFERROR(up_RadSpec!$E$12*($AY$12/$B60),".")</f>
        <v>3637238401688.3887</v>
      </c>
      <c r="AL60" s="101">
        <f>IFERROR(up_RadSpec!$E$12*($AY$12/$B60),".")</f>
        <v>3637238401688.3887</v>
      </c>
      <c r="AM60" s="101">
        <f>IFERROR(up_RadSpec!$E$12*($AY$12/$B60),".")</f>
        <v>3637238401688.3887</v>
      </c>
      <c r="AN60" s="101">
        <f>IFERROR(up_RadSpec!$E$12*($AY$12/$B60),".")</f>
        <v>3637238401688.3887</v>
      </c>
      <c r="AO60" s="101">
        <f>IFERROR(up_RadSpec!$E$12*($AY$12/$B60),".")</f>
        <v>3637238401688.3887</v>
      </c>
      <c r="AP60" s="101">
        <f>IFERROR(up_RadSpec!$E$12*($AY$12/$B60),".")</f>
        <v>3637238401688.3887</v>
      </c>
      <c r="AQ60" s="101">
        <f>IFERROR(up_RadSpec!$E$12*($AY$12/$B60),".")</f>
        <v>3637238401688.3887</v>
      </c>
      <c r="AR60" s="101">
        <f>IFERROR(up_RadSpec!$E$12*($AY$12/$B60),".")</f>
        <v>3637238401688.3887</v>
      </c>
      <c r="AS60" s="101">
        <f>IFERROR(up_RadSpec!$E$12*($AY$12/$B60),".")</f>
        <v>3637238401688.3887</v>
      </c>
      <c r="AT60" s="101">
        <f>IFERROR(up_RadSpec!$E$12*($AY$12/$B60),".")</f>
        <v>3637238401688.3887</v>
      </c>
      <c r="AU60" s="101">
        <f>IFERROR(up_RadSpec!$E$12*($AY$12/$B60),".")</f>
        <v>3637238401688.3887</v>
      </c>
      <c r="AV60" s="101">
        <f>IFERROR(up_RadSpec!$E$12*($AY$12/$B60),".")</f>
        <v>3637238401688.3887</v>
      </c>
      <c r="AW60" s="101">
        <f>IFERROR(up_RadSpec!$E$12*($AY$12/$B60),".")</f>
        <v>3637238401688.3887</v>
      </c>
      <c r="AX60" s="101">
        <f>IFERROR(up_RadSpec!$E$12*($AY$12/$B60),".")</f>
        <v>3637238401688.3887</v>
      </c>
      <c r="AY60" s="101">
        <f>IFERROR(up_RadSpec!$E$12*($AY$12/$B60),".")</f>
        <v>3637238401688.3887</v>
      </c>
      <c r="AZ60" s="101">
        <f>IFERROR(up_RadSpec!$E$12*($AZ$12/$B60),".")</f>
        <v>3637238401688.3887</v>
      </c>
      <c r="BA60" s="100">
        <f t="shared" si="22"/>
        <v>65.652153150475428</v>
      </c>
      <c r="BB60" s="100">
        <f t="shared" ref="BB60:BY60" si="84">IFERROR($B60/BB12,0)</f>
        <v>262.60861260190171</v>
      </c>
      <c r="BC60" s="100">
        <f t="shared" si="84"/>
        <v>262.60861260190171</v>
      </c>
      <c r="BD60" s="100">
        <f t="shared" si="84"/>
        <v>262.60861260190171</v>
      </c>
      <c r="BE60" s="100">
        <f t="shared" si="84"/>
        <v>262.60861260190171</v>
      </c>
      <c r="BF60" s="100">
        <f t="shared" si="84"/>
        <v>262.60861260190171</v>
      </c>
      <c r="BG60" s="100">
        <f t="shared" si="84"/>
        <v>262.60861260190171</v>
      </c>
      <c r="BH60" s="100">
        <f t="shared" si="84"/>
        <v>262.60861260190171</v>
      </c>
      <c r="BI60" s="100">
        <f t="shared" si="84"/>
        <v>262.60861260190171</v>
      </c>
      <c r="BJ60" s="100">
        <f t="shared" si="84"/>
        <v>262.60861260190171</v>
      </c>
      <c r="BK60" s="100">
        <f t="shared" si="84"/>
        <v>262.60861260190171</v>
      </c>
      <c r="BL60" s="100">
        <f t="shared" si="84"/>
        <v>262.60861260190171</v>
      </c>
      <c r="BM60" s="100">
        <f t="shared" si="84"/>
        <v>262.60861260190171</v>
      </c>
      <c r="BN60" s="100">
        <f t="shared" si="84"/>
        <v>262.60861260190171</v>
      </c>
      <c r="BO60" s="100">
        <f t="shared" si="84"/>
        <v>262.60861260190171</v>
      </c>
      <c r="BP60" s="100">
        <f t="shared" si="84"/>
        <v>262.60861260190171</v>
      </c>
      <c r="BQ60" s="100">
        <f t="shared" si="84"/>
        <v>262.60861260190171</v>
      </c>
      <c r="BR60" s="100">
        <f t="shared" si="84"/>
        <v>262.60861260190171</v>
      </c>
      <c r="BS60" s="100">
        <f t="shared" si="84"/>
        <v>262.60861260190171</v>
      </c>
      <c r="BT60" s="100">
        <f t="shared" si="84"/>
        <v>262.60861260190171</v>
      </c>
      <c r="BU60" s="100">
        <f t="shared" si="84"/>
        <v>262.60861260190171</v>
      </c>
      <c r="BV60" s="100">
        <f t="shared" si="84"/>
        <v>262.60861260190171</v>
      </c>
      <c r="BW60" s="100">
        <f t="shared" si="84"/>
        <v>262.60861260190171</v>
      </c>
      <c r="BX60" s="100">
        <f t="shared" si="84"/>
        <v>262.60861260190171</v>
      </c>
      <c r="BY60" s="100">
        <f t="shared" si="84"/>
        <v>262.60861260190171</v>
      </c>
      <c r="BZ60" s="49">
        <f t="shared" si="62"/>
        <v>14548953606753.555</v>
      </c>
      <c r="CA60" s="101">
        <f>IFERROR(up_RadSpec!$E$12*($AC$12/$B60),".")</f>
        <v>3637238401688.3887</v>
      </c>
      <c r="CB60" s="101">
        <f>IFERROR(up_RadSpec!$E$12*($AD$12/$B60),".")</f>
        <v>3637238401688.3887</v>
      </c>
      <c r="CC60" s="101">
        <f>IFERROR(up_RadSpec!$E$12*($AY$12/$B60),".")</f>
        <v>3637238401688.3887</v>
      </c>
      <c r="CD60" s="101">
        <f>IFERROR(up_RadSpec!$E$12*($AY$12/$B60),".")</f>
        <v>3637238401688.3887</v>
      </c>
      <c r="CE60" s="101">
        <f>IFERROR(up_RadSpec!$E$12*($AY$12/$B60),".")</f>
        <v>3637238401688.3887</v>
      </c>
      <c r="CF60" s="101">
        <f>IFERROR(up_RadSpec!$E$12*($AY$12/$B60),".")</f>
        <v>3637238401688.3887</v>
      </c>
      <c r="CG60" s="101">
        <f>IFERROR(up_RadSpec!$E$12*($AY$12/$B60),".")</f>
        <v>3637238401688.3887</v>
      </c>
      <c r="CH60" s="101">
        <f>IFERROR(up_RadSpec!$E$12*($AY$12/$B60),".")</f>
        <v>3637238401688.3887</v>
      </c>
      <c r="CI60" s="101">
        <f>IFERROR(up_RadSpec!$E$12*($AY$12/$B60),".")</f>
        <v>3637238401688.3887</v>
      </c>
      <c r="CJ60" s="101">
        <f>IFERROR(up_RadSpec!$E$12*($AY$12/$B60),".")</f>
        <v>3637238401688.3887</v>
      </c>
      <c r="CK60" s="101">
        <f>IFERROR(up_RadSpec!$E$12*($AY$12/$B60),".")</f>
        <v>3637238401688.3887</v>
      </c>
      <c r="CL60" s="101">
        <f>IFERROR(up_RadSpec!$E$12*($AY$12/$B60),".")</f>
        <v>3637238401688.3887</v>
      </c>
      <c r="CM60" s="101">
        <f>IFERROR(up_RadSpec!$E$12*($AY$12/$B60),".")</f>
        <v>3637238401688.3887</v>
      </c>
      <c r="CN60" s="101">
        <f>IFERROR(up_RadSpec!$E$12*($AY$12/$B60),".")</f>
        <v>3637238401688.3887</v>
      </c>
      <c r="CO60" s="101">
        <f>IFERROR(up_RadSpec!$E$12*($AY$12/$B60),".")</f>
        <v>3637238401688.3887</v>
      </c>
      <c r="CP60" s="101">
        <f>IFERROR(up_RadSpec!$E$12*($AY$12/$B60),".")</f>
        <v>3637238401688.3887</v>
      </c>
      <c r="CQ60" s="101">
        <f>IFERROR(up_RadSpec!$E$12*($AY$12/$B60),".")</f>
        <v>3637238401688.3887</v>
      </c>
      <c r="CR60" s="101">
        <f>IFERROR(up_RadSpec!$E$12*($AY$12/$B60),".")</f>
        <v>3637238401688.3887</v>
      </c>
      <c r="CS60" s="101">
        <f>IFERROR(up_RadSpec!$E$12*($AY$12/$B60),".")</f>
        <v>3637238401688.3887</v>
      </c>
      <c r="CT60" s="101">
        <f>IFERROR(up_RadSpec!$E$12*($AY$12/$B60),".")</f>
        <v>3637238401688.3887</v>
      </c>
      <c r="CU60" s="101">
        <f>IFERROR(up_RadSpec!$E$12*($AY$12/$B60),".")</f>
        <v>3637238401688.3887</v>
      </c>
      <c r="CV60" s="101">
        <f>IFERROR(up_RadSpec!$E$12*($AY$12/$B60),".")</f>
        <v>3637238401688.3887</v>
      </c>
      <c r="CW60" s="101">
        <f>IFERROR(up_RadSpec!$E$12*($AY$12/$B60),".")</f>
        <v>3637238401688.3887</v>
      </c>
      <c r="CX60" s="101">
        <f>IFERROR(up_RadSpec!$E$12*($AZ$12/$B60),".")</f>
        <v>3637238401688.3887</v>
      </c>
    </row>
    <row r="61" spans="1:102" x14ac:dyDescent="0.25">
      <c r="A61" s="99" t="s">
        <v>1099</v>
      </c>
      <c r="B61" s="90">
        <v>1</v>
      </c>
      <c r="C61" s="100">
        <f t="shared" si="0"/>
        <v>3455376481.6039696</v>
      </c>
      <c r="D61" s="100">
        <f t="shared" ref="D61:AA61" si="85">IFERROR($B61/D18,0)</f>
        <v>13821505926.415878</v>
      </c>
      <c r="E61" s="100">
        <f t="shared" si="85"/>
        <v>13821505926.415878</v>
      </c>
      <c r="F61" s="100">
        <f t="shared" si="85"/>
        <v>13821505926.415878</v>
      </c>
      <c r="G61" s="100">
        <f t="shared" si="85"/>
        <v>13821505926.415878</v>
      </c>
      <c r="H61" s="100">
        <f t="shared" si="85"/>
        <v>13821505926.415878</v>
      </c>
      <c r="I61" s="100">
        <f t="shared" si="85"/>
        <v>13821505926.415878</v>
      </c>
      <c r="J61" s="100">
        <f t="shared" si="85"/>
        <v>13821505926.415878</v>
      </c>
      <c r="K61" s="100">
        <f t="shared" si="85"/>
        <v>13821505926.415878</v>
      </c>
      <c r="L61" s="100">
        <f t="shared" si="85"/>
        <v>13821505926.415878</v>
      </c>
      <c r="M61" s="100">
        <f t="shared" si="85"/>
        <v>13821505926.415878</v>
      </c>
      <c r="N61" s="100">
        <f t="shared" si="85"/>
        <v>13821505926.415878</v>
      </c>
      <c r="O61" s="100">
        <f t="shared" si="85"/>
        <v>13821505926.415878</v>
      </c>
      <c r="P61" s="100">
        <f t="shared" si="85"/>
        <v>13821505926.415878</v>
      </c>
      <c r="Q61" s="100">
        <f t="shared" si="85"/>
        <v>13821505926.415878</v>
      </c>
      <c r="R61" s="100">
        <f t="shared" si="85"/>
        <v>13821505926.415878</v>
      </c>
      <c r="S61" s="100">
        <f t="shared" si="85"/>
        <v>13821505926.415878</v>
      </c>
      <c r="T61" s="100">
        <f t="shared" si="85"/>
        <v>13821505926.415878</v>
      </c>
      <c r="U61" s="100">
        <f t="shared" si="85"/>
        <v>13821505926.415878</v>
      </c>
      <c r="V61" s="100">
        <f t="shared" si="85"/>
        <v>13821505926.415878</v>
      </c>
      <c r="W61" s="100">
        <f t="shared" si="85"/>
        <v>13821505926.415878</v>
      </c>
      <c r="X61" s="100">
        <f t="shared" si="85"/>
        <v>13821505926.415878</v>
      </c>
      <c r="Y61" s="100">
        <f t="shared" si="85"/>
        <v>13821505926.415878</v>
      </c>
      <c r="Z61" s="100">
        <f t="shared" si="85"/>
        <v>13821505926.415878</v>
      </c>
      <c r="AA61" s="100">
        <f t="shared" si="85"/>
        <v>13821505926.415878</v>
      </c>
      <c r="AB61" s="49">
        <f t="shared" si="21"/>
        <v>276430.1185283176</v>
      </c>
      <c r="AC61" s="101">
        <f>IFERROR(up_RadSpec!$E$18*($AC$18/$B61),".")</f>
        <v>69107.5296320794</v>
      </c>
      <c r="AD61" s="101">
        <f>IFERROR(up_RadSpec!$E$18*($AD$18/$B61),".")</f>
        <v>69107.5296320794</v>
      </c>
      <c r="AE61" s="101">
        <f>IFERROR(up_RadSpec!$E$18*($AY$18/$B61),".")</f>
        <v>69107.5296320794</v>
      </c>
      <c r="AF61" s="101">
        <f>IFERROR(up_RadSpec!$E$18*($AY$18/$B61),".")</f>
        <v>69107.5296320794</v>
      </c>
      <c r="AG61" s="101">
        <f>IFERROR(up_RadSpec!$E$18*($AY$18/$B61),".")</f>
        <v>69107.5296320794</v>
      </c>
      <c r="AH61" s="101">
        <f>IFERROR(up_RadSpec!$E$18*($AY$18/$B61),".")</f>
        <v>69107.5296320794</v>
      </c>
      <c r="AI61" s="101">
        <f>IFERROR(up_RadSpec!$E$18*($AY$18/$B61),".")</f>
        <v>69107.5296320794</v>
      </c>
      <c r="AJ61" s="101">
        <f>IFERROR(up_RadSpec!$E$18*($AY$18/$B61),".")</f>
        <v>69107.5296320794</v>
      </c>
      <c r="AK61" s="101">
        <f>IFERROR(up_RadSpec!$E$18*($AY$18/$B61),".")</f>
        <v>69107.5296320794</v>
      </c>
      <c r="AL61" s="101">
        <f>IFERROR(up_RadSpec!$E$18*($AY$18/$B61),".")</f>
        <v>69107.5296320794</v>
      </c>
      <c r="AM61" s="101">
        <f>IFERROR(up_RadSpec!$E$18*($AY$18/$B61),".")</f>
        <v>69107.5296320794</v>
      </c>
      <c r="AN61" s="101">
        <f>IFERROR(up_RadSpec!$E$18*($AY$18/$B61),".")</f>
        <v>69107.5296320794</v>
      </c>
      <c r="AO61" s="101">
        <f>IFERROR(up_RadSpec!$E$18*($AY$18/$B61),".")</f>
        <v>69107.5296320794</v>
      </c>
      <c r="AP61" s="101">
        <f>IFERROR(up_RadSpec!$E$18*($AY$18/$B61),".")</f>
        <v>69107.5296320794</v>
      </c>
      <c r="AQ61" s="101">
        <f>IFERROR(up_RadSpec!$E$18*($AY$18/$B61),".")</f>
        <v>69107.5296320794</v>
      </c>
      <c r="AR61" s="101">
        <f>IFERROR(up_RadSpec!$E$18*($AY$18/$B61),".")</f>
        <v>69107.5296320794</v>
      </c>
      <c r="AS61" s="101">
        <f>IFERROR(up_RadSpec!$E$18*($AY$18/$B61),".")</f>
        <v>69107.5296320794</v>
      </c>
      <c r="AT61" s="101">
        <f>IFERROR(up_RadSpec!$E$18*($AY$18/$B61),".")</f>
        <v>69107.5296320794</v>
      </c>
      <c r="AU61" s="101">
        <f>IFERROR(up_RadSpec!$E$18*($AY$18/$B61),".")</f>
        <v>69107.5296320794</v>
      </c>
      <c r="AV61" s="101">
        <f>IFERROR(up_RadSpec!$E$18*($AY$18/$B61),".")</f>
        <v>69107.5296320794</v>
      </c>
      <c r="AW61" s="101">
        <f>IFERROR(up_RadSpec!$E$18*($AY$18/$B61),".")</f>
        <v>69107.5296320794</v>
      </c>
      <c r="AX61" s="101">
        <f>IFERROR(up_RadSpec!$E$18*($AY$18/$B61),".")</f>
        <v>69107.5296320794</v>
      </c>
      <c r="AY61" s="101">
        <f>IFERROR(up_RadSpec!$E$18*($AY$18/$B61),".")</f>
        <v>69107.5296320794</v>
      </c>
      <c r="AZ61" s="101">
        <f>IFERROR(up_RadSpec!$E$18*($AZ$18/$B61),".")</f>
        <v>69107.5296320794</v>
      </c>
      <c r="BA61" s="100">
        <f t="shared" si="22"/>
        <v>3455376481.6039696</v>
      </c>
      <c r="BB61" s="100">
        <f t="shared" ref="BB61:BY61" si="86">IFERROR($B61/BB18,0)</f>
        <v>13821505926.415878</v>
      </c>
      <c r="BC61" s="100">
        <f t="shared" si="86"/>
        <v>13821505926.415878</v>
      </c>
      <c r="BD61" s="100">
        <f t="shared" si="86"/>
        <v>13821505926.415878</v>
      </c>
      <c r="BE61" s="100">
        <f t="shared" si="86"/>
        <v>13821505926.415878</v>
      </c>
      <c r="BF61" s="100">
        <f t="shared" si="86"/>
        <v>13821505926.415878</v>
      </c>
      <c r="BG61" s="100">
        <f t="shared" si="86"/>
        <v>13821505926.415878</v>
      </c>
      <c r="BH61" s="100">
        <f t="shared" si="86"/>
        <v>13821505926.415878</v>
      </c>
      <c r="BI61" s="100">
        <f t="shared" si="86"/>
        <v>13821505926.415878</v>
      </c>
      <c r="BJ61" s="100">
        <f t="shared" si="86"/>
        <v>13821505926.415878</v>
      </c>
      <c r="BK61" s="100">
        <f t="shared" si="86"/>
        <v>13821505926.415878</v>
      </c>
      <c r="BL61" s="100">
        <f t="shared" si="86"/>
        <v>13821505926.415878</v>
      </c>
      <c r="BM61" s="100">
        <f t="shared" si="86"/>
        <v>13821505926.415878</v>
      </c>
      <c r="BN61" s="100">
        <f t="shared" si="86"/>
        <v>13821505926.415878</v>
      </c>
      <c r="BO61" s="100">
        <f t="shared" si="86"/>
        <v>13821505926.415878</v>
      </c>
      <c r="BP61" s="100">
        <f t="shared" si="86"/>
        <v>13821505926.415878</v>
      </c>
      <c r="BQ61" s="100">
        <f t="shared" si="86"/>
        <v>13821505926.415878</v>
      </c>
      <c r="BR61" s="100">
        <f t="shared" si="86"/>
        <v>13821505926.415878</v>
      </c>
      <c r="BS61" s="100">
        <f t="shared" si="86"/>
        <v>13821505926.415878</v>
      </c>
      <c r="BT61" s="100">
        <f t="shared" si="86"/>
        <v>13821505926.415878</v>
      </c>
      <c r="BU61" s="100">
        <f t="shared" si="86"/>
        <v>13821505926.415878</v>
      </c>
      <c r="BV61" s="100">
        <f t="shared" si="86"/>
        <v>13821505926.415878</v>
      </c>
      <c r="BW61" s="100">
        <f t="shared" si="86"/>
        <v>13821505926.415878</v>
      </c>
      <c r="BX61" s="100">
        <f t="shared" si="86"/>
        <v>13821505926.415878</v>
      </c>
      <c r="BY61" s="100">
        <f t="shared" si="86"/>
        <v>13821505926.415878</v>
      </c>
      <c r="BZ61" s="49">
        <f t="shared" si="62"/>
        <v>276430.1185283176</v>
      </c>
      <c r="CA61" s="101">
        <f>IFERROR(up_RadSpec!$E$18*($AC$18/$B61),".")</f>
        <v>69107.5296320794</v>
      </c>
      <c r="CB61" s="101">
        <f>IFERROR(up_RadSpec!$E$18*($AD$18/$B61),".")</f>
        <v>69107.5296320794</v>
      </c>
      <c r="CC61" s="101">
        <f>IFERROR(up_RadSpec!$E$18*($AY$18/$B61),".")</f>
        <v>69107.5296320794</v>
      </c>
      <c r="CD61" s="101">
        <f>IFERROR(up_RadSpec!$E$18*($AY$18/$B61),".")</f>
        <v>69107.5296320794</v>
      </c>
      <c r="CE61" s="101">
        <f>IFERROR(up_RadSpec!$E$18*($AY$18/$B61),".")</f>
        <v>69107.5296320794</v>
      </c>
      <c r="CF61" s="101">
        <f>IFERROR(up_RadSpec!$E$18*($AY$18/$B61),".")</f>
        <v>69107.5296320794</v>
      </c>
      <c r="CG61" s="101">
        <f>IFERROR(up_RadSpec!$E$18*($AY$18/$B61),".")</f>
        <v>69107.5296320794</v>
      </c>
      <c r="CH61" s="101">
        <f>IFERROR(up_RadSpec!$E$18*($AY$18/$B61),".")</f>
        <v>69107.5296320794</v>
      </c>
      <c r="CI61" s="101">
        <f>IFERROR(up_RadSpec!$E$18*($AY$18/$B61),".")</f>
        <v>69107.5296320794</v>
      </c>
      <c r="CJ61" s="101">
        <f>IFERROR(up_RadSpec!$E$18*($AY$18/$B61),".")</f>
        <v>69107.5296320794</v>
      </c>
      <c r="CK61" s="101">
        <f>IFERROR(up_RadSpec!$E$18*($AY$18/$B61),".")</f>
        <v>69107.5296320794</v>
      </c>
      <c r="CL61" s="101">
        <f>IFERROR(up_RadSpec!$E$18*($AY$18/$B61),".")</f>
        <v>69107.5296320794</v>
      </c>
      <c r="CM61" s="101">
        <f>IFERROR(up_RadSpec!$E$18*($AY$18/$B61),".")</f>
        <v>69107.5296320794</v>
      </c>
      <c r="CN61" s="101">
        <f>IFERROR(up_RadSpec!$E$18*($AY$18/$B61),".")</f>
        <v>69107.5296320794</v>
      </c>
      <c r="CO61" s="101">
        <f>IFERROR(up_RadSpec!$E$18*($AY$18/$B61),".")</f>
        <v>69107.5296320794</v>
      </c>
      <c r="CP61" s="101">
        <f>IFERROR(up_RadSpec!$E$18*($AY$18/$B61),".")</f>
        <v>69107.5296320794</v>
      </c>
      <c r="CQ61" s="101">
        <f>IFERROR(up_RadSpec!$E$18*($AY$18/$B61),".")</f>
        <v>69107.5296320794</v>
      </c>
      <c r="CR61" s="101">
        <f>IFERROR(up_RadSpec!$E$18*($AY$18/$B61),".")</f>
        <v>69107.5296320794</v>
      </c>
      <c r="CS61" s="101">
        <f>IFERROR(up_RadSpec!$E$18*($AY$18/$B61),".")</f>
        <v>69107.5296320794</v>
      </c>
      <c r="CT61" s="101">
        <f>IFERROR(up_RadSpec!$E$18*($AY$18/$B61),".")</f>
        <v>69107.5296320794</v>
      </c>
      <c r="CU61" s="101">
        <f>IFERROR(up_RadSpec!$E$18*($AY$18/$B61),".")</f>
        <v>69107.5296320794</v>
      </c>
      <c r="CV61" s="101">
        <f>IFERROR(up_RadSpec!$E$18*($AY$18/$B61),".")</f>
        <v>69107.5296320794</v>
      </c>
      <c r="CW61" s="101">
        <f>IFERROR(up_RadSpec!$E$18*($AY$18/$B61),".")</f>
        <v>69107.5296320794</v>
      </c>
      <c r="CX61" s="101">
        <f>IFERROR(up_RadSpec!$E$18*($AZ$18/$B61),".")</f>
        <v>69107.5296320794</v>
      </c>
    </row>
    <row r="62" spans="1:102" x14ac:dyDescent="0.25">
      <c r="A62" s="99" t="s">
        <v>1100</v>
      </c>
      <c r="B62" s="90">
        <v>1.339E-6</v>
      </c>
      <c r="C62" s="100">
        <f t="shared" si="0"/>
        <v>4626.7491088677152</v>
      </c>
      <c r="D62" s="100">
        <f t="shared" ref="D62:AA62" si="87">IFERROR($B62/D27,0)</f>
        <v>18506.996435470861</v>
      </c>
      <c r="E62" s="100">
        <f t="shared" si="87"/>
        <v>18506.996435470861</v>
      </c>
      <c r="F62" s="100">
        <f t="shared" si="87"/>
        <v>18506.996435470861</v>
      </c>
      <c r="G62" s="100">
        <f t="shared" si="87"/>
        <v>18506.996435470861</v>
      </c>
      <c r="H62" s="100">
        <f t="shared" si="87"/>
        <v>18506.996435470861</v>
      </c>
      <c r="I62" s="100">
        <f t="shared" si="87"/>
        <v>18506.996435470861</v>
      </c>
      <c r="J62" s="100">
        <f t="shared" si="87"/>
        <v>18506.996435470861</v>
      </c>
      <c r="K62" s="100">
        <f t="shared" si="87"/>
        <v>18506.996435470861</v>
      </c>
      <c r="L62" s="100">
        <f t="shared" si="87"/>
        <v>18506.996435470861</v>
      </c>
      <c r="M62" s="100">
        <f t="shared" si="87"/>
        <v>18506.996435470861</v>
      </c>
      <c r="N62" s="100">
        <f t="shared" si="87"/>
        <v>18506.996435470861</v>
      </c>
      <c r="O62" s="100">
        <f t="shared" si="87"/>
        <v>18506.996435470861</v>
      </c>
      <c r="P62" s="100">
        <f t="shared" si="87"/>
        <v>18506.996435470861</v>
      </c>
      <c r="Q62" s="100">
        <f t="shared" si="87"/>
        <v>18506.996435470861</v>
      </c>
      <c r="R62" s="100">
        <f t="shared" si="87"/>
        <v>18506.996435470861</v>
      </c>
      <c r="S62" s="100">
        <f t="shared" si="87"/>
        <v>18506.996435470861</v>
      </c>
      <c r="T62" s="100">
        <f t="shared" si="87"/>
        <v>18506.996435470861</v>
      </c>
      <c r="U62" s="100">
        <f t="shared" si="87"/>
        <v>18506.996435470861</v>
      </c>
      <c r="V62" s="100">
        <f t="shared" si="87"/>
        <v>18506.996435470861</v>
      </c>
      <c r="W62" s="100">
        <f t="shared" si="87"/>
        <v>18506.996435470861</v>
      </c>
      <c r="X62" s="100">
        <f t="shared" si="87"/>
        <v>18506.996435470861</v>
      </c>
      <c r="Y62" s="100">
        <f t="shared" si="87"/>
        <v>18506.996435470861</v>
      </c>
      <c r="Z62" s="100">
        <f t="shared" si="87"/>
        <v>18506.996435470861</v>
      </c>
      <c r="AA62" s="100">
        <f t="shared" si="87"/>
        <v>18506.996435470861</v>
      </c>
      <c r="AB62" s="49">
        <f t="shared" si="21"/>
        <v>206445196809.79657</v>
      </c>
      <c r="AC62" s="101">
        <f>IFERROR(up_RadSpec!$E$27*($AC$27/$B62),".")</f>
        <v>51611299202.449142</v>
      </c>
      <c r="AD62" s="101">
        <f>IFERROR(up_RadSpec!$E$27*($AD$27/$B62),".")</f>
        <v>51611299202.449142</v>
      </c>
      <c r="AE62" s="101">
        <f>IFERROR(up_RadSpec!$E$27*($AY$27/$B62),".")</f>
        <v>51611299202.449142</v>
      </c>
      <c r="AF62" s="101">
        <f>IFERROR(up_RadSpec!$E$27*($AY$27/$B62),".")</f>
        <v>51611299202.449142</v>
      </c>
      <c r="AG62" s="101">
        <f>IFERROR(up_RadSpec!$E$27*($AY$27/$B62),".")</f>
        <v>51611299202.449142</v>
      </c>
      <c r="AH62" s="101">
        <f>IFERROR(up_RadSpec!$E$27*($AY$27/$B62),".")</f>
        <v>51611299202.449142</v>
      </c>
      <c r="AI62" s="101">
        <f>IFERROR(up_RadSpec!$E$27*($AY$27/$B62),".")</f>
        <v>51611299202.449142</v>
      </c>
      <c r="AJ62" s="101">
        <f>IFERROR(up_RadSpec!$E$27*($AY$27/$B62),".")</f>
        <v>51611299202.449142</v>
      </c>
      <c r="AK62" s="101">
        <f>IFERROR(up_RadSpec!$E$27*($AY$27/$B62),".")</f>
        <v>51611299202.449142</v>
      </c>
      <c r="AL62" s="101">
        <f>IFERROR(up_RadSpec!$E$27*($AY$27/$B62),".")</f>
        <v>51611299202.449142</v>
      </c>
      <c r="AM62" s="101">
        <f>IFERROR(up_RadSpec!$E$27*($AY$27/$B62),".")</f>
        <v>51611299202.449142</v>
      </c>
      <c r="AN62" s="101">
        <f>IFERROR(up_RadSpec!$E$27*($AY$27/$B62),".")</f>
        <v>51611299202.449142</v>
      </c>
      <c r="AO62" s="101">
        <f>IFERROR(up_RadSpec!$E$27*($AY$27/$B62),".")</f>
        <v>51611299202.449142</v>
      </c>
      <c r="AP62" s="101">
        <f>IFERROR(up_RadSpec!$E$27*($AY$27/$B62),".")</f>
        <v>51611299202.449142</v>
      </c>
      <c r="AQ62" s="101">
        <f>IFERROR(up_RadSpec!$E$27*($AY$27/$B62),".")</f>
        <v>51611299202.449142</v>
      </c>
      <c r="AR62" s="101">
        <f>IFERROR(up_RadSpec!$E$27*($AY$27/$B62),".")</f>
        <v>51611299202.449142</v>
      </c>
      <c r="AS62" s="101">
        <f>IFERROR(up_RadSpec!$E$27*($AY$27/$B62),".")</f>
        <v>51611299202.449142</v>
      </c>
      <c r="AT62" s="101">
        <f>IFERROR(up_RadSpec!$E$27*($AY$27/$B62),".")</f>
        <v>51611299202.449142</v>
      </c>
      <c r="AU62" s="101">
        <f>IFERROR(up_RadSpec!$E$27*($AY$27/$B62),".")</f>
        <v>51611299202.449142</v>
      </c>
      <c r="AV62" s="101">
        <f>IFERROR(up_RadSpec!$E$27*($AY$27/$B62),".")</f>
        <v>51611299202.449142</v>
      </c>
      <c r="AW62" s="101">
        <f>IFERROR(up_RadSpec!$E$27*($AY$27/$B62),".")</f>
        <v>51611299202.449142</v>
      </c>
      <c r="AX62" s="101">
        <f>IFERROR(up_RadSpec!$E$27*($AY$27/$B62),".")</f>
        <v>51611299202.449142</v>
      </c>
      <c r="AY62" s="101">
        <f>IFERROR(up_RadSpec!$E$27*($AY$27/$B62),".")</f>
        <v>51611299202.449142</v>
      </c>
      <c r="AZ62" s="101">
        <f>IFERROR(up_RadSpec!$E$27*($AZ$27/$B62),".")</f>
        <v>51611299202.449142</v>
      </c>
      <c r="BA62" s="100">
        <f t="shared" si="22"/>
        <v>4626.7491088677152</v>
      </c>
      <c r="BB62" s="100">
        <f t="shared" ref="BB62:BY62" si="88">IFERROR($B62/BB27,0)</f>
        <v>18506.996435470861</v>
      </c>
      <c r="BC62" s="100">
        <f t="shared" si="88"/>
        <v>18506.996435470861</v>
      </c>
      <c r="BD62" s="100">
        <f t="shared" si="88"/>
        <v>18506.996435470861</v>
      </c>
      <c r="BE62" s="100">
        <f t="shared" si="88"/>
        <v>18506.996435470861</v>
      </c>
      <c r="BF62" s="100">
        <f t="shared" si="88"/>
        <v>18506.996435470861</v>
      </c>
      <c r="BG62" s="100">
        <f t="shared" si="88"/>
        <v>18506.996435470861</v>
      </c>
      <c r="BH62" s="100">
        <f t="shared" si="88"/>
        <v>18506.996435470861</v>
      </c>
      <c r="BI62" s="100">
        <f t="shared" si="88"/>
        <v>18506.996435470861</v>
      </c>
      <c r="BJ62" s="100">
        <f t="shared" si="88"/>
        <v>18506.996435470861</v>
      </c>
      <c r="BK62" s="100">
        <f t="shared" si="88"/>
        <v>18506.996435470861</v>
      </c>
      <c r="BL62" s="100">
        <f t="shared" si="88"/>
        <v>18506.996435470861</v>
      </c>
      <c r="BM62" s="100">
        <f t="shared" si="88"/>
        <v>18506.996435470861</v>
      </c>
      <c r="BN62" s="100">
        <f t="shared" si="88"/>
        <v>18506.996435470861</v>
      </c>
      <c r="BO62" s="100">
        <f t="shared" si="88"/>
        <v>18506.996435470861</v>
      </c>
      <c r="BP62" s="100">
        <f t="shared" si="88"/>
        <v>18506.996435470861</v>
      </c>
      <c r="BQ62" s="100">
        <f t="shared" si="88"/>
        <v>18506.996435470861</v>
      </c>
      <c r="BR62" s="100">
        <f t="shared" si="88"/>
        <v>18506.996435470861</v>
      </c>
      <c r="BS62" s="100">
        <f t="shared" si="88"/>
        <v>18506.996435470861</v>
      </c>
      <c r="BT62" s="100">
        <f t="shared" si="88"/>
        <v>18506.996435470861</v>
      </c>
      <c r="BU62" s="100">
        <f t="shared" si="88"/>
        <v>18506.996435470861</v>
      </c>
      <c r="BV62" s="100">
        <f t="shared" si="88"/>
        <v>18506.996435470861</v>
      </c>
      <c r="BW62" s="100">
        <f t="shared" si="88"/>
        <v>18506.996435470861</v>
      </c>
      <c r="BX62" s="100">
        <f t="shared" si="88"/>
        <v>18506.996435470861</v>
      </c>
      <c r="BY62" s="100">
        <f t="shared" si="88"/>
        <v>18506.996435470861</v>
      </c>
      <c r="BZ62" s="49">
        <f t="shared" si="62"/>
        <v>206445196809.79657</v>
      </c>
      <c r="CA62" s="101">
        <f>IFERROR(up_RadSpec!$E$27*($AC$27/$B62),".")</f>
        <v>51611299202.449142</v>
      </c>
      <c r="CB62" s="101">
        <f>IFERROR(up_RadSpec!$E$27*($AD$27/$B62),".")</f>
        <v>51611299202.449142</v>
      </c>
      <c r="CC62" s="101">
        <f>IFERROR(up_RadSpec!$E$27*($AY$27/$B62),".")</f>
        <v>51611299202.449142</v>
      </c>
      <c r="CD62" s="101">
        <f>IFERROR(up_RadSpec!$E$27*($AY$27/$B62),".")</f>
        <v>51611299202.449142</v>
      </c>
      <c r="CE62" s="101">
        <f>IFERROR(up_RadSpec!$E$27*($AY$27/$B62),".")</f>
        <v>51611299202.449142</v>
      </c>
      <c r="CF62" s="101">
        <f>IFERROR(up_RadSpec!$E$27*($AY$27/$B62),".")</f>
        <v>51611299202.449142</v>
      </c>
      <c r="CG62" s="101">
        <f>IFERROR(up_RadSpec!$E$27*($AY$27/$B62),".")</f>
        <v>51611299202.449142</v>
      </c>
      <c r="CH62" s="101">
        <f>IFERROR(up_RadSpec!$E$27*($AY$27/$B62),".")</f>
        <v>51611299202.449142</v>
      </c>
      <c r="CI62" s="101">
        <f>IFERROR(up_RadSpec!$E$27*($AY$27/$B62),".")</f>
        <v>51611299202.449142</v>
      </c>
      <c r="CJ62" s="101">
        <f>IFERROR(up_RadSpec!$E$27*($AY$27/$B62),".")</f>
        <v>51611299202.449142</v>
      </c>
      <c r="CK62" s="101">
        <f>IFERROR(up_RadSpec!$E$27*($AY$27/$B62),".")</f>
        <v>51611299202.449142</v>
      </c>
      <c r="CL62" s="101">
        <f>IFERROR(up_RadSpec!$E$27*($AY$27/$B62),".")</f>
        <v>51611299202.449142</v>
      </c>
      <c r="CM62" s="101">
        <f>IFERROR(up_RadSpec!$E$27*($AY$27/$B62),".")</f>
        <v>51611299202.449142</v>
      </c>
      <c r="CN62" s="101">
        <f>IFERROR(up_RadSpec!$E$27*($AY$27/$B62),".")</f>
        <v>51611299202.449142</v>
      </c>
      <c r="CO62" s="101">
        <f>IFERROR(up_RadSpec!$E$27*($AY$27/$B62),".")</f>
        <v>51611299202.449142</v>
      </c>
      <c r="CP62" s="101">
        <f>IFERROR(up_RadSpec!$E$27*($AY$27/$B62),".")</f>
        <v>51611299202.449142</v>
      </c>
      <c r="CQ62" s="101">
        <f>IFERROR(up_RadSpec!$E$27*($AY$27/$B62),".")</f>
        <v>51611299202.449142</v>
      </c>
      <c r="CR62" s="101">
        <f>IFERROR(up_RadSpec!$E$27*($AY$27/$B62),".")</f>
        <v>51611299202.449142</v>
      </c>
      <c r="CS62" s="101">
        <f>IFERROR(up_RadSpec!$E$27*($AY$27/$B62),".")</f>
        <v>51611299202.449142</v>
      </c>
      <c r="CT62" s="101">
        <f>IFERROR(up_RadSpec!$E$27*($AY$27/$B62),".")</f>
        <v>51611299202.449142</v>
      </c>
      <c r="CU62" s="101">
        <f>IFERROR(up_RadSpec!$E$27*($AY$27/$B62),".")</f>
        <v>51611299202.449142</v>
      </c>
      <c r="CV62" s="101">
        <f>IFERROR(up_RadSpec!$E$27*($AY$27/$B62),".")</f>
        <v>51611299202.449142</v>
      </c>
      <c r="CW62" s="101">
        <f>IFERROR(up_RadSpec!$E$27*($AY$27/$B62),".")</f>
        <v>51611299202.449142</v>
      </c>
      <c r="CX62" s="101">
        <f>IFERROR(up_RadSpec!$E$27*($AZ$27/$B62),".")</f>
        <v>51611299202.449142</v>
      </c>
    </row>
    <row r="63" spans="1:102" x14ac:dyDescent="0.25">
      <c r="A63" s="95" t="s">
        <v>35</v>
      </c>
      <c r="B63" s="95" t="s">
        <v>1074</v>
      </c>
      <c r="C63" s="96">
        <f t="shared" si="0"/>
        <v>2.2609688742807628E-12</v>
      </c>
      <c r="D63" s="96">
        <f t="shared" ref="D63:AA63" si="89">IFERROR(1/SUM(D64:D76),0)</f>
        <v>9.0438754971230511E-12</v>
      </c>
      <c r="E63" s="96">
        <f t="shared" si="89"/>
        <v>9.0438754971230511E-12</v>
      </c>
      <c r="F63" s="96">
        <f t="shared" si="89"/>
        <v>9.0438754971230511E-12</v>
      </c>
      <c r="G63" s="96">
        <f t="shared" si="89"/>
        <v>9.0438754971230511E-12</v>
      </c>
      <c r="H63" s="96">
        <f t="shared" si="89"/>
        <v>9.0438754971230511E-12</v>
      </c>
      <c r="I63" s="96">
        <f t="shared" si="89"/>
        <v>9.0438754971230511E-12</v>
      </c>
      <c r="J63" s="96">
        <f t="shared" si="89"/>
        <v>9.0438754971230511E-12</v>
      </c>
      <c r="K63" s="96">
        <f t="shared" si="89"/>
        <v>9.0438754971230511E-12</v>
      </c>
      <c r="L63" s="96">
        <f t="shared" si="89"/>
        <v>9.0438754971230511E-12</v>
      </c>
      <c r="M63" s="96">
        <f t="shared" si="89"/>
        <v>9.0438754971230511E-12</v>
      </c>
      <c r="N63" s="96">
        <f t="shared" si="89"/>
        <v>9.0438754971230511E-12</v>
      </c>
      <c r="O63" s="96">
        <f t="shared" si="89"/>
        <v>9.0438754971230511E-12</v>
      </c>
      <c r="P63" s="96">
        <f t="shared" si="89"/>
        <v>9.0438754971230511E-12</v>
      </c>
      <c r="Q63" s="96">
        <f t="shared" si="89"/>
        <v>9.0438754971230511E-12</v>
      </c>
      <c r="R63" s="96">
        <f t="shared" si="89"/>
        <v>9.0438754971230511E-12</v>
      </c>
      <c r="S63" s="96">
        <f t="shared" si="89"/>
        <v>9.0438754971230511E-12</v>
      </c>
      <c r="T63" s="96">
        <f t="shared" si="89"/>
        <v>9.0438754971230511E-12</v>
      </c>
      <c r="U63" s="96">
        <f t="shared" si="89"/>
        <v>9.0438754971230511E-12</v>
      </c>
      <c r="V63" s="96">
        <f t="shared" si="89"/>
        <v>9.0438754971230511E-12</v>
      </c>
      <c r="W63" s="96">
        <f t="shared" si="89"/>
        <v>9.0438754971230511E-12</v>
      </c>
      <c r="X63" s="96">
        <f t="shared" si="89"/>
        <v>9.0438754971230511E-12</v>
      </c>
      <c r="Y63" s="96">
        <f t="shared" si="89"/>
        <v>9.0438754971230511E-12</v>
      </c>
      <c r="Z63" s="96">
        <f t="shared" si="89"/>
        <v>9.0438754971230511E-12</v>
      </c>
      <c r="AA63" s="96">
        <f t="shared" si="89"/>
        <v>9.0438754971230511E-12</v>
      </c>
      <c r="AB63" s="47">
        <f>IFERROR(IF(SUM(AC64:AD76,AY64:AZ76)&gt;0.01,1-EXP(-SUM(AC64:AD76,AY64:AZ76)),SUM(AC64:AD76,AY64:AZ76)),".")</f>
        <v>1</v>
      </c>
      <c r="AC63" s="97">
        <f>IFERROR(IF(SUM(AC64:AC76)&gt;0.01,1-EXP(-(SUM(AC64:AC76))),SUM(AC64:AC76)),".")</f>
        <v>1</v>
      </c>
      <c r="AD63" s="97">
        <f>IFERROR(IF(SUM(AD64:AD76)&gt;0.01,1-EXP(-(SUM(AD64:AD76))),SUM(AD64:AD76)),".")</f>
        <v>1</v>
      </c>
      <c r="AE63" s="97">
        <f t="shared" ref="AE63:AX63" si="90">IFERROR(IF(SUM(AE64:AE76)&gt;0.01,1-EXP(-(SUM(AE64:AE76))),SUM(AE64:AE76)),".")</f>
        <v>1</v>
      </c>
      <c r="AF63" s="97">
        <f t="shared" si="90"/>
        <v>1</v>
      </c>
      <c r="AG63" s="97">
        <f t="shared" si="90"/>
        <v>1</v>
      </c>
      <c r="AH63" s="97">
        <f t="shared" si="90"/>
        <v>1</v>
      </c>
      <c r="AI63" s="97">
        <f t="shared" si="90"/>
        <v>1</v>
      </c>
      <c r="AJ63" s="97">
        <f t="shared" si="90"/>
        <v>1</v>
      </c>
      <c r="AK63" s="97">
        <f t="shared" si="90"/>
        <v>1</v>
      </c>
      <c r="AL63" s="97">
        <f t="shared" si="90"/>
        <v>1</v>
      </c>
      <c r="AM63" s="97">
        <f t="shared" si="90"/>
        <v>1</v>
      </c>
      <c r="AN63" s="97">
        <f t="shared" si="90"/>
        <v>1</v>
      </c>
      <c r="AO63" s="97">
        <f t="shared" si="90"/>
        <v>1</v>
      </c>
      <c r="AP63" s="97">
        <f t="shared" si="90"/>
        <v>1</v>
      </c>
      <c r="AQ63" s="97">
        <f t="shared" si="90"/>
        <v>1</v>
      </c>
      <c r="AR63" s="97">
        <f t="shared" si="90"/>
        <v>1</v>
      </c>
      <c r="AS63" s="97">
        <f t="shared" si="90"/>
        <v>1</v>
      </c>
      <c r="AT63" s="97">
        <f t="shared" si="90"/>
        <v>1</v>
      </c>
      <c r="AU63" s="97">
        <f t="shared" si="90"/>
        <v>1</v>
      </c>
      <c r="AV63" s="97">
        <f t="shared" si="90"/>
        <v>1</v>
      </c>
      <c r="AW63" s="97">
        <f t="shared" si="90"/>
        <v>1</v>
      </c>
      <c r="AX63" s="97">
        <f t="shared" si="90"/>
        <v>1</v>
      </c>
      <c r="AY63" s="97">
        <f>IFERROR(IF(SUM(AY64:AY76)&gt;0.01,1-EXP(-(SUM(AY64:AY76))),SUM(AY64:AY76)),".")</f>
        <v>1</v>
      </c>
      <c r="AZ63" s="97">
        <f>IFERROR(IF(SUM(AZ64:AZ76)&gt;0.01,1-EXP(-(SUM(AZ64:AZ76))),SUM(AZ64:AZ76)),".")</f>
        <v>1</v>
      </c>
      <c r="BA63" s="98">
        <f t="shared" si="22"/>
        <v>2.2609688742807628E-12</v>
      </c>
      <c r="BB63" s="98">
        <f t="shared" ref="BB63:BY63" si="91">IFERROR(1/SUM(BB64:BB76),0)</f>
        <v>9.0438754971230511E-12</v>
      </c>
      <c r="BC63" s="98">
        <f t="shared" si="91"/>
        <v>9.0438754971230511E-12</v>
      </c>
      <c r="BD63" s="98">
        <f t="shared" si="91"/>
        <v>9.0438754971230511E-12</v>
      </c>
      <c r="BE63" s="98">
        <f t="shared" si="91"/>
        <v>9.0438754971230511E-12</v>
      </c>
      <c r="BF63" s="98">
        <f t="shared" si="91"/>
        <v>9.0438754971230511E-12</v>
      </c>
      <c r="BG63" s="98">
        <f t="shared" si="91"/>
        <v>9.0438754971230511E-12</v>
      </c>
      <c r="BH63" s="98">
        <f t="shared" si="91"/>
        <v>9.0438754971230511E-12</v>
      </c>
      <c r="BI63" s="98">
        <f t="shared" si="91"/>
        <v>9.0438754971230511E-12</v>
      </c>
      <c r="BJ63" s="98">
        <f t="shared" si="91"/>
        <v>9.0438754971230511E-12</v>
      </c>
      <c r="BK63" s="98">
        <f t="shared" si="91"/>
        <v>9.0438754971230511E-12</v>
      </c>
      <c r="BL63" s="98">
        <f t="shared" si="91"/>
        <v>9.0438754971230511E-12</v>
      </c>
      <c r="BM63" s="98">
        <f t="shared" si="91"/>
        <v>9.0438754971230511E-12</v>
      </c>
      <c r="BN63" s="98">
        <f t="shared" si="91"/>
        <v>9.0438754971230511E-12</v>
      </c>
      <c r="BO63" s="98">
        <f t="shared" si="91"/>
        <v>9.0438754971230511E-12</v>
      </c>
      <c r="BP63" s="98">
        <f t="shared" si="91"/>
        <v>9.0438754971230511E-12</v>
      </c>
      <c r="BQ63" s="98">
        <f t="shared" si="91"/>
        <v>9.0438754971230511E-12</v>
      </c>
      <c r="BR63" s="98">
        <f t="shared" si="91"/>
        <v>9.0438754971230511E-12</v>
      </c>
      <c r="BS63" s="98">
        <f t="shared" si="91"/>
        <v>9.0438754971230511E-12</v>
      </c>
      <c r="BT63" s="98">
        <f t="shared" si="91"/>
        <v>9.0438754971230511E-12</v>
      </c>
      <c r="BU63" s="98">
        <f t="shared" si="91"/>
        <v>9.0438754971230511E-12</v>
      </c>
      <c r="BV63" s="98">
        <f t="shared" si="91"/>
        <v>9.0438754971230511E-12</v>
      </c>
      <c r="BW63" s="98">
        <f t="shared" si="91"/>
        <v>9.0438754971230511E-12</v>
      </c>
      <c r="BX63" s="98">
        <f t="shared" si="91"/>
        <v>9.0438754971230511E-12</v>
      </c>
      <c r="BY63" s="98">
        <f t="shared" si="91"/>
        <v>9.0438754971230511E-12</v>
      </c>
      <c r="BZ63" s="47">
        <f>IFERROR(IF(SUM(CA64:CB76,CW64:CX76)&gt;0.01,1-EXP(-SUM(CA64:CB76,CW64:CX76)),SUM(CA64:CB76,CW64:CX76)),".")</f>
        <v>1</v>
      </c>
      <c r="CA63" s="97">
        <f>IFERROR(IF(SUM(CA64:CA76)&gt;0.01,1-EXP(-(SUM(CA64:CA76))),SUM(CA64:CA76)),".")</f>
        <v>1</v>
      </c>
      <c r="CB63" s="97">
        <f>IFERROR(IF(SUM(CB64:CB76)&gt;0.01,1-EXP(-(SUM(CB64:CB76))),SUM(CB64:CB76)),".")</f>
        <v>1</v>
      </c>
      <c r="CC63" s="97">
        <f t="shared" ref="CC63:CV63" si="92">IFERROR(IF(SUM(CC64:CC76)&gt;0.01,1-EXP(-(SUM(CC64:CC76))),SUM(CC64:CC76)),".")</f>
        <v>1</v>
      </c>
      <c r="CD63" s="97">
        <f t="shared" si="92"/>
        <v>1</v>
      </c>
      <c r="CE63" s="97">
        <f t="shared" si="92"/>
        <v>1</v>
      </c>
      <c r="CF63" s="97">
        <f t="shared" si="92"/>
        <v>1</v>
      </c>
      <c r="CG63" s="97">
        <f t="shared" si="92"/>
        <v>1</v>
      </c>
      <c r="CH63" s="97">
        <f t="shared" si="92"/>
        <v>1</v>
      </c>
      <c r="CI63" s="97">
        <f t="shared" si="92"/>
        <v>1</v>
      </c>
      <c r="CJ63" s="97">
        <f t="shared" si="92"/>
        <v>1</v>
      </c>
      <c r="CK63" s="97">
        <f t="shared" si="92"/>
        <v>1</v>
      </c>
      <c r="CL63" s="97">
        <f t="shared" si="92"/>
        <v>1</v>
      </c>
      <c r="CM63" s="97">
        <f t="shared" si="92"/>
        <v>1</v>
      </c>
      <c r="CN63" s="97">
        <f t="shared" si="92"/>
        <v>1</v>
      </c>
      <c r="CO63" s="97">
        <f t="shared" si="92"/>
        <v>1</v>
      </c>
      <c r="CP63" s="97">
        <f t="shared" si="92"/>
        <v>1</v>
      </c>
      <c r="CQ63" s="97">
        <f t="shared" si="92"/>
        <v>1</v>
      </c>
      <c r="CR63" s="97">
        <f t="shared" si="92"/>
        <v>1</v>
      </c>
      <c r="CS63" s="97">
        <f t="shared" si="92"/>
        <v>1</v>
      </c>
      <c r="CT63" s="97">
        <f t="shared" si="92"/>
        <v>1</v>
      </c>
      <c r="CU63" s="97">
        <f t="shared" si="92"/>
        <v>1</v>
      </c>
      <c r="CV63" s="97">
        <f t="shared" si="92"/>
        <v>1</v>
      </c>
      <c r="CW63" s="97">
        <f>IFERROR(IF(SUM(CW64:CW76)&gt;0.01,1-EXP(-(SUM(CW64:CW76))),SUM(CW64:CW76)),".")</f>
        <v>1</v>
      </c>
      <c r="CX63" s="97">
        <f>IFERROR(IF(SUM(CX64:CX76)&gt;0.01,1-EXP(-(SUM(CX64:CX76))),SUM(CX64:CX76)),".")</f>
        <v>1</v>
      </c>
    </row>
    <row r="64" spans="1:102" x14ac:dyDescent="0.25">
      <c r="A64" s="99" t="s">
        <v>1090</v>
      </c>
      <c r="B64" s="90">
        <v>1</v>
      </c>
      <c r="C64" s="100">
        <f t="shared" si="0"/>
        <v>3455376481.6039696</v>
      </c>
      <c r="D64" s="100">
        <f t="shared" ref="D64:AA64" si="93">IFERROR($B64/D25,0)</f>
        <v>13821505926.415878</v>
      </c>
      <c r="E64" s="100">
        <f t="shared" si="93"/>
        <v>13821505926.415878</v>
      </c>
      <c r="F64" s="100">
        <f t="shared" si="93"/>
        <v>13821505926.415878</v>
      </c>
      <c r="G64" s="100">
        <f t="shared" si="93"/>
        <v>13821505926.415878</v>
      </c>
      <c r="H64" s="100">
        <f t="shared" si="93"/>
        <v>13821505926.415878</v>
      </c>
      <c r="I64" s="100">
        <f t="shared" si="93"/>
        <v>13821505926.415878</v>
      </c>
      <c r="J64" s="100">
        <f t="shared" si="93"/>
        <v>13821505926.415878</v>
      </c>
      <c r="K64" s="100">
        <f t="shared" si="93"/>
        <v>13821505926.415878</v>
      </c>
      <c r="L64" s="100">
        <f t="shared" si="93"/>
        <v>13821505926.415878</v>
      </c>
      <c r="M64" s="100">
        <f t="shared" si="93"/>
        <v>13821505926.415878</v>
      </c>
      <c r="N64" s="100">
        <f t="shared" si="93"/>
        <v>13821505926.415878</v>
      </c>
      <c r="O64" s="100">
        <f t="shared" si="93"/>
        <v>13821505926.415878</v>
      </c>
      <c r="P64" s="100">
        <f t="shared" si="93"/>
        <v>13821505926.415878</v>
      </c>
      <c r="Q64" s="100">
        <f t="shared" si="93"/>
        <v>13821505926.415878</v>
      </c>
      <c r="R64" s="100">
        <f t="shared" si="93"/>
        <v>13821505926.415878</v>
      </c>
      <c r="S64" s="100">
        <f t="shared" si="93"/>
        <v>13821505926.415878</v>
      </c>
      <c r="T64" s="100">
        <f t="shared" si="93"/>
        <v>13821505926.415878</v>
      </c>
      <c r="U64" s="100">
        <f t="shared" si="93"/>
        <v>13821505926.415878</v>
      </c>
      <c r="V64" s="100">
        <f t="shared" si="93"/>
        <v>13821505926.415878</v>
      </c>
      <c r="W64" s="100">
        <f t="shared" si="93"/>
        <v>13821505926.415878</v>
      </c>
      <c r="X64" s="100">
        <f t="shared" si="93"/>
        <v>13821505926.415878</v>
      </c>
      <c r="Y64" s="100">
        <f t="shared" si="93"/>
        <v>13821505926.415878</v>
      </c>
      <c r="Z64" s="100">
        <f t="shared" si="93"/>
        <v>13821505926.415878</v>
      </c>
      <c r="AA64" s="100">
        <f t="shared" si="93"/>
        <v>13821505926.415878</v>
      </c>
      <c r="AB64" s="49">
        <f t="shared" si="21"/>
        <v>276430.1185283176</v>
      </c>
      <c r="AC64" s="101">
        <f>IFERROR(up_RadSpec!$E$25*($AC$25/$B64),".")</f>
        <v>69107.5296320794</v>
      </c>
      <c r="AD64" s="101">
        <f>IFERROR(up_RadSpec!$E$25*($AD$25/$B64),".")</f>
        <v>69107.5296320794</v>
      </c>
      <c r="AE64" s="101">
        <f>IFERROR(up_RadSpec!$E$25*($AY$25/$B64),".")</f>
        <v>69107.5296320794</v>
      </c>
      <c r="AF64" s="101">
        <f>IFERROR(up_RadSpec!$E$25*($AY$25/$B64),".")</f>
        <v>69107.5296320794</v>
      </c>
      <c r="AG64" s="101">
        <f>IFERROR(up_RadSpec!$E$25*($AY$25/$B64),".")</f>
        <v>69107.5296320794</v>
      </c>
      <c r="AH64" s="101">
        <f>IFERROR(up_RadSpec!$E$25*($AY$25/$B64),".")</f>
        <v>69107.5296320794</v>
      </c>
      <c r="AI64" s="101">
        <f>IFERROR(up_RadSpec!$E$25*($AY$25/$B64),".")</f>
        <v>69107.5296320794</v>
      </c>
      <c r="AJ64" s="101">
        <f>IFERROR(up_RadSpec!$E$25*($AY$25/$B64),".")</f>
        <v>69107.5296320794</v>
      </c>
      <c r="AK64" s="101">
        <f>IFERROR(up_RadSpec!$E$25*($AY$25/$B64),".")</f>
        <v>69107.5296320794</v>
      </c>
      <c r="AL64" s="101">
        <f>IFERROR(up_RadSpec!$E$25*($AY$25/$B64),".")</f>
        <v>69107.5296320794</v>
      </c>
      <c r="AM64" s="101">
        <f>IFERROR(up_RadSpec!$E$25*($AY$25/$B64),".")</f>
        <v>69107.5296320794</v>
      </c>
      <c r="AN64" s="101">
        <f>IFERROR(up_RadSpec!$E$25*($AY$25/$B64),".")</f>
        <v>69107.5296320794</v>
      </c>
      <c r="AO64" s="101">
        <f>IFERROR(up_RadSpec!$E$25*($AY$25/$B64),".")</f>
        <v>69107.5296320794</v>
      </c>
      <c r="AP64" s="101">
        <f>IFERROR(up_RadSpec!$E$25*($AY$25/$B64),".")</f>
        <v>69107.5296320794</v>
      </c>
      <c r="AQ64" s="101">
        <f>IFERROR(up_RadSpec!$E$25*($AY$25/$B64),".")</f>
        <v>69107.5296320794</v>
      </c>
      <c r="AR64" s="101">
        <f>IFERROR(up_RadSpec!$E$25*($AY$25/$B64),".")</f>
        <v>69107.5296320794</v>
      </c>
      <c r="AS64" s="101">
        <f>IFERROR(up_RadSpec!$E$25*($AY$25/$B64),".")</f>
        <v>69107.5296320794</v>
      </c>
      <c r="AT64" s="101">
        <f>IFERROR(up_RadSpec!$E$25*($AY$25/$B64),".")</f>
        <v>69107.5296320794</v>
      </c>
      <c r="AU64" s="101">
        <f>IFERROR(up_RadSpec!$E$25*($AY$25/$B64),".")</f>
        <v>69107.5296320794</v>
      </c>
      <c r="AV64" s="101">
        <f>IFERROR(up_RadSpec!$E$25*($AY$25/$B64),".")</f>
        <v>69107.5296320794</v>
      </c>
      <c r="AW64" s="101">
        <f>IFERROR(up_RadSpec!$E$25*($AY$25/$B64),".")</f>
        <v>69107.5296320794</v>
      </c>
      <c r="AX64" s="101">
        <f>IFERROR(up_RadSpec!$E$25*($AY$25/$B64),".")</f>
        <v>69107.5296320794</v>
      </c>
      <c r="AY64" s="101">
        <f>IFERROR(up_RadSpec!$E$25*($AY$25/$B64),".")</f>
        <v>69107.5296320794</v>
      </c>
      <c r="AZ64" s="101">
        <f>IFERROR(up_RadSpec!$E$25*($AZ$25/$B64),".")</f>
        <v>69107.5296320794</v>
      </c>
      <c r="BA64" s="100">
        <f t="shared" si="22"/>
        <v>3455376481.6039696</v>
      </c>
      <c r="BB64" s="100">
        <f t="shared" ref="BB64:BY64" si="94">IFERROR($B64/BB25,0)</f>
        <v>13821505926.415878</v>
      </c>
      <c r="BC64" s="100">
        <f t="shared" si="94"/>
        <v>13821505926.415878</v>
      </c>
      <c r="BD64" s="100">
        <f t="shared" si="94"/>
        <v>13821505926.415878</v>
      </c>
      <c r="BE64" s="100">
        <f t="shared" si="94"/>
        <v>13821505926.415878</v>
      </c>
      <c r="BF64" s="100">
        <f t="shared" si="94"/>
        <v>13821505926.415878</v>
      </c>
      <c r="BG64" s="100">
        <f t="shared" si="94"/>
        <v>13821505926.415878</v>
      </c>
      <c r="BH64" s="100">
        <f t="shared" si="94"/>
        <v>13821505926.415878</v>
      </c>
      <c r="BI64" s="100">
        <f t="shared" si="94"/>
        <v>13821505926.415878</v>
      </c>
      <c r="BJ64" s="100">
        <f t="shared" si="94"/>
        <v>13821505926.415878</v>
      </c>
      <c r="BK64" s="100">
        <f t="shared" si="94"/>
        <v>13821505926.415878</v>
      </c>
      <c r="BL64" s="100">
        <f t="shared" si="94"/>
        <v>13821505926.415878</v>
      </c>
      <c r="BM64" s="100">
        <f t="shared" si="94"/>
        <v>13821505926.415878</v>
      </c>
      <c r="BN64" s="100">
        <f t="shared" si="94"/>
        <v>13821505926.415878</v>
      </c>
      <c r="BO64" s="100">
        <f t="shared" si="94"/>
        <v>13821505926.415878</v>
      </c>
      <c r="BP64" s="100">
        <f t="shared" si="94"/>
        <v>13821505926.415878</v>
      </c>
      <c r="BQ64" s="100">
        <f t="shared" si="94"/>
        <v>13821505926.415878</v>
      </c>
      <c r="BR64" s="100">
        <f t="shared" si="94"/>
        <v>13821505926.415878</v>
      </c>
      <c r="BS64" s="100">
        <f t="shared" si="94"/>
        <v>13821505926.415878</v>
      </c>
      <c r="BT64" s="100">
        <f t="shared" si="94"/>
        <v>13821505926.415878</v>
      </c>
      <c r="BU64" s="100">
        <f t="shared" si="94"/>
        <v>13821505926.415878</v>
      </c>
      <c r="BV64" s="100">
        <f t="shared" si="94"/>
        <v>13821505926.415878</v>
      </c>
      <c r="BW64" s="100">
        <f t="shared" si="94"/>
        <v>13821505926.415878</v>
      </c>
      <c r="BX64" s="100">
        <f t="shared" si="94"/>
        <v>13821505926.415878</v>
      </c>
      <c r="BY64" s="100">
        <f t="shared" si="94"/>
        <v>13821505926.415878</v>
      </c>
      <c r="BZ64" s="49">
        <f t="shared" ref="BZ64:BZ76" si="95">SUM(CA64:CB64,CW64:CX64)</f>
        <v>276430.1185283176</v>
      </c>
      <c r="CA64" s="101">
        <f>IFERROR(up_RadSpec!$E$25*($AC$25/$B64),".")</f>
        <v>69107.5296320794</v>
      </c>
      <c r="CB64" s="101">
        <f>IFERROR(up_RadSpec!$E$25*($AD$25/$B64),".")</f>
        <v>69107.5296320794</v>
      </c>
      <c r="CC64" s="101">
        <f>IFERROR(up_RadSpec!$E$25*($AY$25/$B64),".")</f>
        <v>69107.5296320794</v>
      </c>
      <c r="CD64" s="101">
        <f>IFERROR(up_RadSpec!$E$25*($AY$25/$B64),".")</f>
        <v>69107.5296320794</v>
      </c>
      <c r="CE64" s="101">
        <f>IFERROR(up_RadSpec!$E$25*($AY$25/$B64),".")</f>
        <v>69107.5296320794</v>
      </c>
      <c r="CF64" s="101">
        <f>IFERROR(up_RadSpec!$E$25*($AY$25/$B64),".")</f>
        <v>69107.5296320794</v>
      </c>
      <c r="CG64" s="101">
        <f>IFERROR(up_RadSpec!$E$25*($AY$25/$B64),".")</f>
        <v>69107.5296320794</v>
      </c>
      <c r="CH64" s="101">
        <f>IFERROR(up_RadSpec!$E$25*($AY$25/$B64),".")</f>
        <v>69107.5296320794</v>
      </c>
      <c r="CI64" s="101">
        <f>IFERROR(up_RadSpec!$E$25*($AY$25/$B64),".")</f>
        <v>69107.5296320794</v>
      </c>
      <c r="CJ64" s="101">
        <f>IFERROR(up_RadSpec!$E$25*($AY$25/$B64),".")</f>
        <v>69107.5296320794</v>
      </c>
      <c r="CK64" s="101">
        <f>IFERROR(up_RadSpec!$E$25*($AY$25/$B64),".")</f>
        <v>69107.5296320794</v>
      </c>
      <c r="CL64" s="101">
        <f>IFERROR(up_RadSpec!$E$25*($AY$25/$B64),".")</f>
        <v>69107.5296320794</v>
      </c>
      <c r="CM64" s="101">
        <f>IFERROR(up_RadSpec!$E$25*($AY$25/$B64),".")</f>
        <v>69107.5296320794</v>
      </c>
      <c r="CN64" s="101">
        <f>IFERROR(up_RadSpec!$E$25*($AY$25/$B64),".")</f>
        <v>69107.5296320794</v>
      </c>
      <c r="CO64" s="101">
        <f>IFERROR(up_RadSpec!$E$25*($AY$25/$B64),".")</f>
        <v>69107.5296320794</v>
      </c>
      <c r="CP64" s="101">
        <f>IFERROR(up_RadSpec!$E$25*($AY$25/$B64),".")</f>
        <v>69107.5296320794</v>
      </c>
      <c r="CQ64" s="101">
        <f>IFERROR(up_RadSpec!$E$25*($AY$25/$B64),".")</f>
        <v>69107.5296320794</v>
      </c>
      <c r="CR64" s="101">
        <f>IFERROR(up_RadSpec!$E$25*($AY$25/$B64),".")</f>
        <v>69107.5296320794</v>
      </c>
      <c r="CS64" s="101">
        <f>IFERROR(up_RadSpec!$E$25*($AY$25/$B64),".")</f>
        <v>69107.5296320794</v>
      </c>
      <c r="CT64" s="101">
        <f>IFERROR(up_RadSpec!$E$25*($AY$25/$B64),".")</f>
        <v>69107.5296320794</v>
      </c>
      <c r="CU64" s="101">
        <f>IFERROR(up_RadSpec!$E$25*($AY$25/$B64),".")</f>
        <v>69107.5296320794</v>
      </c>
      <c r="CV64" s="101">
        <f>IFERROR(up_RadSpec!$E$25*($AY$25/$B64),".")</f>
        <v>69107.5296320794</v>
      </c>
      <c r="CW64" s="101">
        <f>IFERROR(up_RadSpec!$E$25*($AY$25/$B64),".")</f>
        <v>69107.5296320794</v>
      </c>
      <c r="CX64" s="101">
        <f>IFERROR(up_RadSpec!$E$25*($AZ$25/$B64),".")</f>
        <v>69107.5296320794</v>
      </c>
    </row>
    <row r="65" spans="1:102" x14ac:dyDescent="0.25">
      <c r="A65" s="99" t="s">
        <v>1076</v>
      </c>
      <c r="B65" s="90">
        <v>1</v>
      </c>
      <c r="C65" s="100">
        <f t="shared" si="0"/>
        <v>3455376481.6039696</v>
      </c>
      <c r="D65" s="100">
        <f t="shared" ref="D65:AA65" si="96">IFERROR($B65/D21,0)</f>
        <v>13821505926.415878</v>
      </c>
      <c r="E65" s="100">
        <f t="shared" si="96"/>
        <v>13821505926.415878</v>
      </c>
      <c r="F65" s="100">
        <f t="shared" si="96"/>
        <v>13821505926.415878</v>
      </c>
      <c r="G65" s="100">
        <f t="shared" si="96"/>
        <v>13821505926.415878</v>
      </c>
      <c r="H65" s="100">
        <f t="shared" si="96"/>
        <v>13821505926.415878</v>
      </c>
      <c r="I65" s="100">
        <f t="shared" si="96"/>
        <v>13821505926.415878</v>
      </c>
      <c r="J65" s="100">
        <f t="shared" si="96"/>
        <v>13821505926.415878</v>
      </c>
      <c r="K65" s="100">
        <f t="shared" si="96"/>
        <v>13821505926.415878</v>
      </c>
      <c r="L65" s="100">
        <f t="shared" si="96"/>
        <v>13821505926.415878</v>
      </c>
      <c r="M65" s="100">
        <f t="shared" si="96"/>
        <v>13821505926.415878</v>
      </c>
      <c r="N65" s="100">
        <f t="shared" si="96"/>
        <v>13821505926.415878</v>
      </c>
      <c r="O65" s="100">
        <f t="shared" si="96"/>
        <v>13821505926.415878</v>
      </c>
      <c r="P65" s="100">
        <f t="shared" si="96"/>
        <v>13821505926.415878</v>
      </c>
      <c r="Q65" s="100">
        <f t="shared" si="96"/>
        <v>13821505926.415878</v>
      </c>
      <c r="R65" s="100">
        <f t="shared" si="96"/>
        <v>13821505926.415878</v>
      </c>
      <c r="S65" s="100">
        <f t="shared" si="96"/>
        <v>13821505926.415878</v>
      </c>
      <c r="T65" s="100">
        <f t="shared" si="96"/>
        <v>13821505926.415878</v>
      </c>
      <c r="U65" s="100">
        <f t="shared" si="96"/>
        <v>13821505926.415878</v>
      </c>
      <c r="V65" s="100">
        <f t="shared" si="96"/>
        <v>13821505926.415878</v>
      </c>
      <c r="W65" s="100">
        <f t="shared" si="96"/>
        <v>13821505926.415878</v>
      </c>
      <c r="X65" s="100">
        <f t="shared" si="96"/>
        <v>13821505926.415878</v>
      </c>
      <c r="Y65" s="100">
        <f t="shared" si="96"/>
        <v>13821505926.415878</v>
      </c>
      <c r="Z65" s="100">
        <f t="shared" si="96"/>
        <v>13821505926.415878</v>
      </c>
      <c r="AA65" s="100">
        <f t="shared" si="96"/>
        <v>13821505926.415878</v>
      </c>
      <c r="AB65" s="49">
        <f t="shared" si="21"/>
        <v>276430.1185283176</v>
      </c>
      <c r="AC65" s="101">
        <f>IFERROR(up_RadSpec!$E$21*($AC$21/$B65),".")</f>
        <v>69107.5296320794</v>
      </c>
      <c r="AD65" s="101">
        <f>IFERROR(up_RadSpec!$E$21*($AD$21/$B65),".")</f>
        <v>69107.5296320794</v>
      </c>
      <c r="AE65" s="101">
        <f>IFERROR(up_RadSpec!$E$21*($AY$21/$B65),".")</f>
        <v>69107.5296320794</v>
      </c>
      <c r="AF65" s="101">
        <f>IFERROR(up_RadSpec!$E$21*($AY$21/$B65),".")</f>
        <v>69107.5296320794</v>
      </c>
      <c r="AG65" s="101">
        <f>IFERROR(up_RadSpec!$E$21*($AY$21/$B65),".")</f>
        <v>69107.5296320794</v>
      </c>
      <c r="AH65" s="101">
        <f>IFERROR(up_RadSpec!$E$21*($AY$21/$B65),".")</f>
        <v>69107.5296320794</v>
      </c>
      <c r="AI65" s="101">
        <f>IFERROR(up_RadSpec!$E$21*($AY$21/$B65),".")</f>
        <v>69107.5296320794</v>
      </c>
      <c r="AJ65" s="101">
        <f>IFERROR(up_RadSpec!$E$21*($AY$21/$B65),".")</f>
        <v>69107.5296320794</v>
      </c>
      <c r="AK65" s="101">
        <f>IFERROR(up_RadSpec!$E$21*($AY$21/$B65),".")</f>
        <v>69107.5296320794</v>
      </c>
      <c r="AL65" s="101">
        <f>IFERROR(up_RadSpec!$E$21*($AY$21/$B65),".")</f>
        <v>69107.5296320794</v>
      </c>
      <c r="AM65" s="101">
        <f>IFERROR(up_RadSpec!$E$21*($AY$21/$B65),".")</f>
        <v>69107.5296320794</v>
      </c>
      <c r="AN65" s="101">
        <f>IFERROR(up_RadSpec!$E$21*($AY$21/$B65),".")</f>
        <v>69107.5296320794</v>
      </c>
      <c r="AO65" s="101">
        <f>IFERROR(up_RadSpec!$E$21*($AY$21/$B65),".")</f>
        <v>69107.5296320794</v>
      </c>
      <c r="AP65" s="101">
        <f>IFERROR(up_RadSpec!$E$21*($AY$21/$B65),".")</f>
        <v>69107.5296320794</v>
      </c>
      <c r="AQ65" s="101">
        <f>IFERROR(up_RadSpec!$E$21*($AY$21/$B65),".")</f>
        <v>69107.5296320794</v>
      </c>
      <c r="AR65" s="101">
        <f>IFERROR(up_RadSpec!$E$21*($AY$21/$B65),".")</f>
        <v>69107.5296320794</v>
      </c>
      <c r="AS65" s="101">
        <f>IFERROR(up_RadSpec!$E$21*($AY$21/$B65),".")</f>
        <v>69107.5296320794</v>
      </c>
      <c r="AT65" s="101">
        <f>IFERROR(up_RadSpec!$E$21*($AY$21/$B65),".")</f>
        <v>69107.5296320794</v>
      </c>
      <c r="AU65" s="101">
        <f>IFERROR(up_RadSpec!$E$21*($AY$21/$B65),".")</f>
        <v>69107.5296320794</v>
      </c>
      <c r="AV65" s="101">
        <f>IFERROR(up_RadSpec!$E$21*($AY$21/$B65),".")</f>
        <v>69107.5296320794</v>
      </c>
      <c r="AW65" s="101">
        <f>IFERROR(up_RadSpec!$E$21*($AY$21/$B65),".")</f>
        <v>69107.5296320794</v>
      </c>
      <c r="AX65" s="101">
        <f>IFERROR(up_RadSpec!$E$21*($AY$21/$B65),".")</f>
        <v>69107.5296320794</v>
      </c>
      <c r="AY65" s="101">
        <f>IFERROR(up_RadSpec!$E$21*($AY$21/$B65),".")</f>
        <v>69107.5296320794</v>
      </c>
      <c r="AZ65" s="101">
        <f>IFERROR(up_RadSpec!$E$21*($AZ$21/$B65),".")</f>
        <v>69107.5296320794</v>
      </c>
      <c r="BA65" s="100">
        <f t="shared" si="22"/>
        <v>3455376481.6039696</v>
      </c>
      <c r="BB65" s="100">
        <f t="shared" ref="BB65:BY65" si="97">IFERROR($B65/BB21,0)</f>
        <v>13821505926.415878</v>
      </c>
      <c r="BC65" s="100">
        <f t="shared" si="97"/>
        <v>13821505926.415878</v>
      </c>
      <c r="BD65" s="100">
        <f t="shared" si="97"/>
        <v>13821505926.415878</v>
      </c>
      <c r="BE65" s="100">
        <f t="shared" si="97"/>
        <v>13821505926.415878</v>
      </c>
      <c r="BF65" s="100">
        <f t="shared" si="97"/>
        <v>13821505926.415878</v>
      </c>
      <c r="BG65" s="100">
        <f t="shared" si="97"/>
        <v>13821505926.415878</v>
      </c>
      <c r="BH65" s="100">
        <f t="shared" si="97"/>
        <v>13821505926.415878</v>
      </c>
      <c r="BI65" s="100">
        <f t="shared" si="97"/>
        <v>13821505926.415878</v>
      </c>
      <c r="BJ65" s="100">
        <f t="shared" si="97"/>
        <v>13821505926.415878</v>
      </c>
      <c r="BK65" s="100">
        <f t="shared" si="97"/>
        <v>13821505926.415878</v>
      </c>
      <c r="BL65" s="100">
        <f t="shared" si="97"/>
        <v>13821505926.415878</v>
      </c>
      <c r="BM65" s="100">
        <f t="shared" si="97"/>
        <v>13821505926.415878</v>
      </c>
      <c r="BN65" s="100">
        <f t="shared" si="97"/>
        <v>13821505926.415878</v>
      </c>
      <c r="BO65" s="100">
        <f t="shared" si="97"/>
        <v>13821505926.415878</v>
      </c>
      <c r="BP65" s="100">
        <f t="shared" si="97"/>
        <v>13821505926.415878</v>
      </c>
      <c r="BQ65" s="100">
        <f t="shared" si="97"/>
        <v>13821505926.415878</v>
      </c>
      <c r="BR65" s="100">
        <f t="shared" si="97"/>
        <v>13821505926.415878</v>
      </c>
      <c r="BS65" s="100">
        <f t="shared" si="97"/>
        <v>13821505926.415878</v>
      </c>
      <c r="BT65" s="100">
        <f t="shared" si="97"/>
        <v>13821505926.415878</v>
      </c>
      <c r="BU65" s="100">
        <f t="shared" si="97"/>
        <v>13821505926.415878</v>
      </c>
      <c r="BV65" s="100">
        <f t="shared" si="97"/>
        <v>13821505926.415878</v>
      </c>
      <c r="BW65" s="100">
        <f t="shared" si="97"/>
        <v>13821505926.415878</v>
      </c>
      <c r="BX65" s="100">
        <f t="shared" si="97"/>
        <v>13821505926.415878</v>
      </c>
      <c r="BY65" s="100">
        <f t="shared" si="97"/>
        <v>13821505926.415878</v>
      </c>
      <c r="BZ65" s="49">
        <f t="shared" si="95"/>
        <v>276430.1185283176</v>
      </c>
      <c r="CA65" s="101">
        <f>IFERROR(up_RadSpec!$E$21*($AC$21/$B65),".")</f>
        <v>69107.5296320794</v>
      </c>
      <c r="CB65" s="101">
        <f>IFERROR(up_RadSpec!$E$21*($AD$21/$B65),".")</f>
        <v>69107.5296320794</v>
      </c>
      <c r="CC65" s="101">
        <f>IFERROR(up_RadSpec!$E$21*($AY$21/$B65),".")</f>
        <v>69107.5296320794</v>
      </c>
      <c r="CD65" s="101">
        <f>IFERROR(up_RadSpec!$E$21*($AY$21/$B65),".")</f>
        <v>69107.5296320794</v>
      </c>
      <c r="CE65" s="101">
        <f>IFERROR(up_RadSpec!$E$21*($AY$21/$B65),".")</f>
        <v>69107.5296320794</v>
      </c>
      <c r="CF65" s="101">
        <f>IFERROR(up_RadSpec!$E$21*($AY$21/$B65),".")</f>
        <v>69107.5296320794</v>
      </c>
      <c r="CG65" s="101">
        <f>IFERROR(up_RadSpec!$E$21*($AY$21/$B65),".")</f>
        <v>69107.5296320794</v>
      </c>
      <c r="CH65" s="101">
        <f>IFERROR(up_RadSpec!$E$21*($AY$21/$B65),".")</f>
        <v>69107.5296320794</v>
      </c>
      <c r="CI65" s="101">
        <f>IFERROR(up_RadSpec!$E$21*($AY$21/$B65),".")</f>
        <v>69107.5296320794</v>
      </c>
      <c r="CJ65" s="101">
        <f>IFERROR(up_RadSpec!$E$21*($AY$21/$B65),".")</f>
        <v>69107.5296320794</v>
      </c>
      <c r="CK65" s="101">
        <f>IFERROR(up_RadSpec!$E$21*($AY$21/$B65),".")</f>
        <v>69107.5296320794</v>
      </c>
      <c r="CL65" s="101">
        <f>IFERROR(up_RadSpec!$E$21*($AY$21/$B65),".")</f>
        <v>69107.5296320794</v>
      </c>
      <c r="CM65" s="101">
        <f>IFERROR(up_RadSpec!$E$21*($AY$21/$B65),".")</f>
        <v>69107.5296320794</v>
      </c>
      <c r="CN65" s="101">
        <f>IFERROR(up_RadSpec!$E$21*($AY$21/$B65),".")</f>
        <v>69107.5296320794</v>
      </c>
      <c r="CO65" s="101">
        <f>IFERROR(up_RadSpec!$E$21*($AY$21/$B65),".")</f>
        <v>69107.5296320794</v>
      </c>
      <c r="CP65" s="101">
        <f>IFERROR(up_RadSpec!$E$21*($AY$21/$B65),".")</f>
        <v>69107.5296320794</v>
      </c>
      <c r="CQ65" s="101">
        <f>IFERROR(up_RadSpec!$E$21*($AY$21/$B65),".")</f>
        <v>69107.5296320794</v>
      </c>
      <c r="CR65" s="101">
        <f>IFERROR(up_RadSpec!$E$21*($AY$21/$B65),".")</f>
        <v>69107.5296320794</v>
      </c>
      <c r="CS65" s="101">
        <f>IFERROR(up_RadSpec!$E$21*($AY$21/$B65),".")</f>
        <v>69107.5296320794</v>
      </c>
      <c r="CT65" s="101">
        <f>IFERROR(up_RadSpec!$E$21*($AY$21/$B65),".")</f>
        <v>69107.5296320794</v>
      </c>
      <c r="CU65" s="101">
        <f>IFERROR(up_RadSpec!$E$21*($AY$21/$B65),".")</f>
        <v>69107.5296320794</v>
      </c>
      <c r="CV65" s="101">
        <f>IFERROR(up_RadSpec!$E$21*($AY$21/$B65),".")</f>
        <v>69107.5296320794</v>
      </c>
      <c r="CW65" s="101">
        <f>IFERROR(up_RadSpec!$E$21*($AY$21/$B65),".")</f>
        <v>69107.5296320794</v>
      </c>
      <c r="CX65" s="101">
        <f>IFERROR(up_RadSpec!$E$21*($AZ$21/$B65),".")</f>
        <v>69107.5296320794</v>
      </c>
    </row>
    <row r="66" spans="1:102" x14ac:dyDescent="0.25">
      <c r="A66" s="99" t="s">
        <v>1077</v>
      </c>
      <c r="B66" s="103">
        <v>0.99980000000000002</v>
      </c>
      <c r="C66" s="100">
        <f t="shared" ref="C66:C76" si="98">IFERROR(1/SUM(1/D66,1/E66,1/Z66,1/AA66),".")</f>
        <v>3454685406.3076491</v>
      </c>
      <c r="D66" s="100">
        <f t="shared" ref="D66:AA66" si="99">IFERROR($B66/D17,0)</f>
        <v>13818741625.230597</v>
      </c>
      <c r="E66" s="100">
        <f t="shared" si="99"/>
        <v>13818741625.230597</v>
      </c>
      <c r="F66" s="100">
        <f t="shared" si="99"/>
        <v>13818741625.230597</v>
      </c>
      <c r="G66" s="100">
        <f t="shared" si="99"/>
        <v>13818741625.230597</v>
      </c>
      <c r="H66" s="100">
        <f t="shared" si="99"/>
        <v>13818741625.230597</v>
      </c>
      <c r="I66" s="100">
        <f t="shared" si="99"/>
        <v>13818741625.230597</v>
      </c>
      <c r="J66" s="100">
        <f t="shared" si="99"/>
        <v>13818741625.230597</v>
      </c>
      <c r="K66" s="100">
        <f t="shared" si="99"/>
        <v>13818741625.230597</v>
      </c>
      <c r="L66" s="100">
        <f t="shared" si="99"/>
        <v>13818741625.230597</v>
      </c>
      <c r="M66" s="100">
        <f t="shared" si="99"/>
        <v>13818741625.230597</v>
      </c>
      <c r="N66" s="100">
        <f t="shared" si="99"/>
        <v>13818741625.230597</v>
      </c>
      <c r="O66" s="100">
        <f t="shared" si="99"/>
        <v>13818741625.230597</v>
      </c>
      <c r="P66" s="100">
        <f t="shared" si="99"/>
        <v>13818741625.230597</v>
      </c>
      <c r="Q66" s="100">
        <f t="shared" si="99"/>
        <v>13818741625.230597</v>
      </c>
      <c r="R66" s="100">
        <f t="shared" si="99"/>
        <v>13818741625.230597</v>
      </c>
      <c r="S66" s="100">
        <f t="shared" si="99"/>
        <v>13818741625.230597</v>
      </c>
      <c r="T66" s="100">
        <f t="shared" si="99"/>
        <v>13818741625.230597</v>
      </c>
      <c r="U66" s="100">
        <f t="shared" si="99"/>
        <v>13818741625.230597</v>
      </c>
      <c r="V66" s="100">
        <f t="shared" si="99"/>
        <v>13818741625.230597</v>
      </c>
      <c r="W66" s="100">
        <f t="shared" si="99"/>
        <v>13818741625.230597</v>
      </c>
      <c r="X66" s="100">
        <f t="shared" si="99"/>
        <v>13818741625.230597</v>
      </c>
      <c r="Y66" s="100">
        <f t="shared" si="99"/>
        <v>13818741625.230597</v>
      </c>
      <c r="Z66" s="100">
        <f t="shared" si="99"/>
        <v>13818741625.230597</v>
      </c>
      <c r="AA66" s="100">
        <f t="shared" si="99"/>
        <v>13818741625.230597</v>
      </c>
      <c r="AB66" s="49">
        <f t="shared" si="21"/>
        <v>276485.41561143985</v>
      </c>
      <c r="AC66" s="101">
        <f>IFERROR(up_RadSpec!$E$17*($AC$17/$B66),".")</f>
        <v>69121.353902859963</v>
      </c>
      <c r="AD66" s="101">
        <f>IFERROR(up_RadSpec!$E$17*($AD$17/$B66),".")</f>
        <v>69121.353902859963</v>
      </c>
      <c r="AE66" s="101">
        <f>IFERROR(up_RadSpec!$E$17*($AY$17/$B66),".")</f>
        <v>69121.353902859963</v>
      </c>
      <c r="AF66" s="101">
        <f>IFERROR(up_RadSpec!$E$17*($AY$17/$B66),".")</f>
        <v>69121.353902859963</v>
      </c>
      <c r="AG66" s="101">
        <f>IFERROR(up_RadSpec!$E$17*($AY$17/$B66),".")</f>
        <v>69121.353902859963</v>
      </c>
      <c r="AH66" s="101">
        <f>IFERROR(up_RadSpec!$E$17*($AY$17/$B66),".")</f>
        <v>69121.353902859963</v>
      </c>
      <c r="AI66" s="101">
        <f>IFERROR(up_RadSpec!$E$17*($AY$17/$B66),".")</f>
        <v>69121.353902859963</v>
      </c>
      <c r="AJ66" s="101">
        <f>IFERROR(up_RadSpec!$E$17*($AY$17/$B66),".")</f>
        <v>69121.353902859963</v>
      </c>
      <c r="AK66" s="101">
        <f>IFERROR(up_RadSpec!$E$17*($AY$17/$B66),".")</f>
        <v>69121.353902859963</v>
      </c>
      <c r="AL66" s="101">
        <f>IFERROR(up_RadSpec!$E$17*($AY$17/$B66),".")</f>
        <v>69121.353902859963</v>
      </c>
      <c r="AM66" s="101">
        <f>IFERROR(up_RadSpec!$E$17*($AY$17/$B66),".")</f>
        <v>69121.353902859963</v>
      </c>
      <c r="AN66" s="101">
        <f>IFERROR(up_RadSpec!$E$17*($AY$17/$B66),".")</f>
        <v>69121.353902859963</v>
      </c>
      <c r="AO66" s="101">
        <f>IFERROR(up_RadSpec!$E$17*($AY$17/$B66),".")</f>
        <v>69121.353902859963</v>
      </c>
      <c r="AP66" s="101">
        <f>IFERROR(up_RadSpec!$E$17*($AY$17/$B66),".")</f>
        <v>69121.353902859963</v>
      </c>
      <c r="AQ66" s="101">
        <f>IFERROR(up_RadSpec!$E$17*($AY$17/$B66),".")</f>
        <v>69121.353902859963</v>
      </c>
      <c r="AR66" s="101">
        <f>IFERROR(up_RadSpec!$E$17*($AY$17/$B66),".")</f>
        <v>69121.353902859963</v>
      </c>
      <c r="AS66" s="101">
        <f>IFERROR(up_RadSpec!$E$17*($AY$17/$B66),".")</f>
        <v>69121.353902859963</v>
      </c>
      <c r="AT66" s="101">
        <f>IFERROR(up_RadSpec!$E$17*($AY$17/$B66),".")</f>
        <v>69121.353902859963</v>
      </c>
      <c r="AU66" s="101">
        <f>IFERROR(up_RadSpec!$E$17*($AY$17/$B66),".")</f>
        <v>69121.353902859963</v>
      </c>
      <c r="AV66" s="101">
        <f>IFERROR(up_RadSpec!$E$17*($AY$17/$B66),".")</f>
        <v>69121.353902859963</v>
      </c>
      <c r="AW66" s="101">
        <f>IFERROR(up_RadSpec!$E$17*($AY$17/$B66),".")</f>
        <v>69121.353902859963</v>
      </c>
      <c r="AX66" s="101">
        <f>IFERROR(up_RadSpec!$E$17*($AY$17/$B66),".")</f>
        <v>69121.353902859963</v>
      </c>
      <c r="AY66" s="101">
        <f>IFERROR(up_RadSpec!$E$17*($AY$17/$B66),".")</f>
        <v>69121.353902859963</v>
      </c>
      <c r="AZ66" s="101">
        <f>IFERROR(up_RadSpec!$E$17*($AZ$17/$B66),".")</f>
        <v>69121.353902859963</v>
      </c>
      <c r="BA66" s="100">
        <f t="shared" si="22"/>
        <v>3454685406.3076491</v>
      </c>
      <c r="BB66" s="100">
        <f t="shared" ref="BB66:BY66" si="100">IFERROR($B66/BB17,0)</f>
        <v>13818741625.230597</v>
      </c>
      <c r="BC66" s="100">
        <f t="shared" si="100"/>
        <v>13818741625.230597</v>
      </c>
      <c r="BD66" s="100">
        <f t="shared" si="100"/>
        <v>13818741625.230597</v>
      </c>
      <c r="BE66" s="100">
        <f t="shared" si="100"/>
        <v>13818741625.230597</v>
      </c>
      <c r="BF66" s="100">
        <f t="shared" si="100"/>
        <v>13818741625.230597</v>
      </c>
      <c r="BG66" s="100">
        <f t="shared" si="100"/>
        <v>13818741625.230597</v>
      </c>
      <c r="BH66" s="100">
        <f t="shared" si="100"/>
        <v>13818741625.230597</v>
      </c>
      <c r="BI66" s="100">
        <f t="shared" si="100"/>
        <v>13818741625.230597</v>
      </c>
      <c r="BJ66" s="100">
        <f t="shared" si="100"/>
        <v>13818741625.230597</v>
      </c>
      <c r="BK66" s="100">
        <f t="shared" si="100"/>
        <v>13818741625.230597</v>
      </c>
      <c r="BL66" s="100">
        <f t="shared" si="100"/>
        <v>13818741625.230597</v>
      </c>
      <c r="BM66" s="100">
        <f t="shared" si="100"/>
        <v>13818741625.230597</v>
      </c>
      <c r="BN66" s="100">
        <f t="shared" si="100"/>
        <v>13818741625.230597</v>
      </c>
      <c r="BO66" s="100">
        <f t="shared" si="100"/>
        <v>13818741625.230597</v>
      </c>
      <c r="BP66" s="100">
        <f t="shared" si="100"/>
        <v>13818741625.230597</v>
      </c>
      <c r="BQ66" s="100">
        <f t="shared" si="100"/>
        <v>13818741625.230597</v>
      </c>
      <c r="BR66" s="100">
        <f t="shared" si="100"/>
        <v>13818741625.230597</v>
      </c>
      <c r="BS66" s="100">
        <f t="shared" si="100"/>
        <v>13818741625.230597</v>
      </c>
      <c r="BT66" s="100">
        <f t="shared" si="100"/>
        <v>13818741625.230597</v>
      </c>
      <c r="BU66" s="100">
        <f t="shared" si="100"/>
        <v>13818741625.230597</v>
      </c>
      <c r="BV66" s="100">
        <f t="shared" si="100"/>
        <v>13818741625.230597</v>
      </c>
      <c r="BW66" s="100">
        <f t="shared" si="100"/>
        <v>13818741625.230597</v>
      </c>
      <c r="BX66" s="100">
        <f t="shared" si="100"/>
        <v>13818741625.230597</v>
      </c>
      <c r="BY66" s="100">
        <f t="shared" si="100"/>
        <v>13818741625.230597</v>
      </c>
      <c r="BZ66" s="49">
        <f t="shared" si="95"/>
        <v>276485.41561143985</v>
      </c>
      <c r="CA66" s="101">
        <f>IFERROR(up_RadSpec!$E$17*($AC$17/$B66),".")</f>
        <v>69121.353902859963</v>
      </c>
      <c r="CB66" s="101">
        <f>IFERROR(up_RadSpec!$E$17*($AD$17/$B66),".")</f>
        <v>69121.353902859963</v>
      </c>
      <c r="CC66" s="101">
        <f>IFERROR(up_RadSpec!$E$17*($AY$17/$B66),".")</f>
        <v>69121.353902859963</v>
      </c>
      <c r="CD66" s="101">
        <f>IFERROR(up_RadSpec!$E$17*($AY$17/$B66),".")</f>
        <v>69121.353902859963</v>
      </c>
      <c r="CE66" s="101">
        <f>IFERROR(up_RadSpec!$E$17*($AY$17/$B66),".")</f>
        <v>69121.353902859963</v>
      </c>
      <c r="CF66" s="101">
        <f>IFERROR(up_RadSpec!$E$17*($AY$17/$B66),".")</f>
        <v>69121.353902859963</v>
      </c>
      <c r="CG66" s="101">
        <f>IFERROR(up_RadSpec!$E$17*($AY$17/$B66),".")</f>
        <v>69121.353902859963</v>
      </c>
      <c r="CH66" s="101">
        <f>IFERROR(up_RadSpec!$E$17*($AY$17/$B66),".")</f>
        <v>69121.353902859963</v>
      </c>
      <c r="CI66" s="101">
        <f>IFERROR(up_RadSpec!$E$17*($AY$17/$B66),".")</f>
        <v>69121.353902859963</v>
      </c>
      <c r="CJ66" s="101">
        <f>IFERROR(up_RadSpec!$E$17*($AY$17/$B66),".")</f>
        <v>69121.353902859963</v>
      </c>
      <c r="CK66" s="101">
        <f>IFERROR(up_RadSpec!$E$17*($AY$17/$B66),".")</f>
        <v>69121.353902859963</v>
      </c>
      <c r="CL66" s="101">
        <f>IFERROR(up_RadSpec!$E$17*($AY$17/$B66),".")</f>
        <v>69121.353902859963</v>
      </c>
      <c r="CM66" s="101">
        <f>IFERROR(up_RadSpec!$E$17*($AY$17/$B66),".")</f>
        <v>69121.353902859963</v>
      </c>
      <c r="CN66" s="101">
        <f>IFERROR(up_RadSpec!$E$17*($AY$17/$B66),".")</f>
        <v>69121.353902859963</v>
      </c>
      <c r="CO66" s="101">
        <f>IFERROR(up_RadSpec!$E$17*($AY$17/$B66),".")</f>
        <v>69121.353902859963</v>
      </c>
      <c r="CP66" s="101">
        <f>IFERROR(up_RadSpec!$E$17*($AY$17/$B66),".")</f>
        <v>69121.353902859963</v>
      </c>
      <c r="CQ66" s="101">
        <f>IFERROR(up_RadSpec!$E$17*($AY$17/$B66),".")</f>
        <v>69121.353902859963</v>
      </c>
      <c r="CR66" s="101">
        <f>IFERROR(up_RadSpec!$E$17*($AY$17/$B66),".")</f>
        <v>69121.353902859963</v>
      </c>
      <c r="CS66" s="101">
        <f>IFERROR(up_RadSpec!$E$17*($AY$17/$B66),".")</f>
        <v>69121.353902859963</v>
      </c>
      <c r="CT66" s="101">
        <f>IFERROR(up_RadSpec!$E$17*($AY$17/$B66),".")</f>
        <v>69121.353902859963</v>
      </c>
      <c r="CU66" s="101">
        <f>IFERROR(up_RadSpec!$E$17*($AY$17/$B66),".")</f>
        <v>69121.353902859963</v>
      </c>
      <c r="CV66" s="101">
        <f>IFERROR(up_RadSpec!$E$17*($AY$17/$B66),".")</f>
        <v>69121.353902859963</v>
      </c>
      <c r="CW66" s="101">
        <f>IFERROR(up_RadSpec!$E$17*($AY$17/$B66),".")</f>
        <v>69121.353902859963</v>
      </c>
      <c r="CX66" s="101">
        <f>IFERROR(up_RadSpec!$E$17*($AZ$17/$B66),".")</f>
        <v>69121.353902859963</v>
      </c>
    </row>
    <row r="67" spans="1:102" x14ac:dyDescent="0.25">
      <c r="A67" s="99" t="s">
        <v>1091</v>
      </c>
      <c r="B67" s="90">
        <v>2.0000000000000001E-4</v>
      </c>
      <c r="C67" s="100">
        <f t="shared" si="98"/>
        <v>691075.29632079392</v>
      </c>
      <c r="D67" s="100">
        <f t="shared" ref="D67:AA67" si="101">IFERROR($B67/D5,0)</f>
        <v>2764301.1852831757</v>
      </c>
      <c r="E67" s="100">
        <f t="shared" si="101"/>
        <v>2764301.1852831757</v>
      </c>
      <c r="F67" s="100">
        <f t="shared" si="101"/>
        <v>2764301.1852831757</v>
      </c>
      <c r="G67" s="100">
        <f t="shared" si="101"/>
        <v>2764301.1852831757</v>
      </c>
      <c r="H67" s="100">
        <f t="shared" si="101"/>
        <v>2764301.1852831757</v>
      </c>
      <c r="I67" s="100">
        <f t="shared" si="101"/>
        <v>2764301.1852831757</v>
      </c>
      <c r="J67" s="100">
        <f t="shared" si="101"/>
        <v>2764301.1852831757</v>
      </c>
      <c r="K67" s="100">
        <f t="shared" si="101"/>
        <v>2764301.1852831757</v>
      </c>
      <c r="L67" s="100">
        <f t="shared" si="101"/>
        <v>2764301.1852831757</v>
      </c>
      <c r="M67" s="100">
        <f t="shared" si="101"/>
        <v>2764301.1852831757</v>
      </c>
      <c r="N67" s="100">
        <f t="shared" si="101"/>
        <v>2764301.1852831757</v>
      </c>
      <c r="O67" s="100">
        <f t="shared" si="101"/>
        <v>2764301.1852831757</v>
      </c>
      <c r="P67" s="100">
        <f t="shared" si="101"/>
        <v>2764301.1852831757</v>
      </c>
      <c r="Q67" s="100">
        <f t="shared" si="101"/>
        <v>2764301.1852831757</v>
      </c>
      <c r="R67" s="100">
        <f t="shared" si="101"/>
        <v>2764301.1852831757</v>
      </c>
      <c r="S67" s="100">
        <f t="shared" si="101"/>
        <v>2764301.1852831757</v>
      </c>
      <c r="T67" s="100">
        <f t="shared" si="101"/>
        <v>2764301.1852831757</v>
      </c>
      <c r="U67" s="100">
        <f t="shared" si="101"/>
        <v>2764301.1852831757</v>
      </c>
      <c r="V67" s="100">
        <f t="shared" si="101"/>
        <v>2764301.1852831757</v>
      </c>
      <c r="W67" s="100">
        <f t="shared" si="101"/>
        <v>2764301.1852831757</v>
      </c>
      <c r="X67" s="100">
        <f t="shared" si="101"/>
        <v>2764301.1852831757</v>
      </c>
      <c r="Y67" s="100">
        <f t="shared" si="101"/>
        <v>2764301.1852831757</v>
      </c>
      <c r="Z67" s="100">
        <f t="shared" si="101"/>
        <v>2764301.1852831757</v>
      </c>
      <c r="AA67" s="100">
        <f t="shared" si="101"/>
        <v>2764301.1852831757</v>
      </c>
      <c r="AB67" s="49">
        <f t="shared" si="21"/>
        <v>1382150592.6415877</v>
      </c>
      <c r="AC67" s="101">
        <f>IFERROR(up_RadSpec!$E$5*($AC$5/$B67),".")</f>
        <v>345537648.16039693</v>
      </c>
      <c r="AD67" s="101">
        <f>IFERROR(up_RadSpec!$E$5*($AD$5/$B67),".")</f>
        <v>345537648.16039693</v>
      </c>
      <c r="AE67" s="101">
        <f>IFERROR(up_RadSpec!$E$5*($AY$5/$B67),".")</f>
        <v>345537648.16039693</v>
      </c>
      <c r="AF67" s="101">
        <f>IFERROR(up_RadSpec!$E$5*($AY$5/$B67),".")</f>
        <v>345537648.16039693</v>
      </c>
      <c r="AG67" s="101">
        <f>IFERROR(up_RadSpec!$E$5*($AY$5/$B67),".")</f>
        <v>345537648.16039693</v>
      </c>
      <c r="AH67" s="101">
        <f>IFERROR(up_RadSpec!$E$5*($AY$5/$B67),".")</f>
        <v>345537648.16039693</v>
      </c>
      <c r="AI67" s="101">
        <f>IFERROR(up_RadSpec!$E$5*($AY$5/$B67),".")</f>
        <v>345537648.16039693</v>
      </c>
      <c r="AJ67" s="101">
        <f>IFERROR(up_RadSpec!$E$5*($AY$5/$B67),".")</f>
        <v>345537648.16039693</v>
      </c>
      <c r="AK67" s="101">
        <f>IFERROR(up_RadSpec!$E$5*($AY$5/$B67),".")</f>
        <v>345537648.16039693</v>
      </c>
      <c r="AL67" s="101">
        <f>IFERROR(up_RadSpec!$E$5*($AY$5/$B67),".")</f>
        <v>345537648.16039693</v>
      </c>
      <c r="AM67" s="101">
        <f>IFERROR(up_RadSpec!$E$5*($AY$5/$B67),".")</f>
        <v>345537648.16039693</v>
      </c>
      <c r="AN67" s="101">
        <f>IFERROR(up_RadSpec!$E$5*($AY$5/$B67),".")</f>
        <v>345537648.16039693</v>
      </c>
      <c r="AO67" s="101">
        <f>IFERROR(up_RadSpec!$E$5*($AY$5/$B67),".")</f>
        <v>345537648.16039693</v>
      </c>
      <c r="AP67" s="101">
        <f>IFERROR(up_RadSpec!$E$5*($AY$5/$B67),".")</f>
        <v>345537648.16039693</v>
      </c>
      <c r="AQ67" s="101">
        <f>IFERROR(up_RadSpec!$E$5*($AY$5/$B67),".")</f>
        <v>345537648.16039693</v>
      </c>
      <c r="AR67" s="101">
        <f>IFERROR(up_RadSpec!$E$5*($AY$5/$B67),".")</f>
        <v>345537648.16039693</v>
      </c>
      <c r="AS67" s="101">
        <f>IFERROR(up_RadSpec!$E$5*($AY$5/$B67),".")</f>
        <v>345537648.16039693</v>
      </c>
      <c r="AT67" s="101">
        <f>IFERROR(up_RadSpec!$E$5*($AY$5/$B67),".")</f>
        <v>345537648.16039693</v>
      </c>
      <c r="AU67" s="101">
        <f>IFERROR(up_RadSpec!$E$5*($AY$5/$B67),".")</f>
        <v>345537648.16039693</v>
      </c>
      <c r="AV67" s="101">
        <f>IFERROR(up_RadSpec!$E$5*($AY$5/$B67),".")</f>
        <v>345537648.16039693</v>
      </c>
      <c r="AW67" s="101">
        <f>IFERROR(up_RadSpec!$E$5*($AY$5/$B67),".")</f>
        <v>345537648.16039693</v>
      </c>
      <c r="AX67" s="101">
        <f>IFERROR(up_RadSpec!$E$5*($AY$5/$B67),".")</f>
        <v>345537648.16039693</v>
      </c>
      <c r="AY67" s="101">
        <f>IFERROR(up_RadSpec!$E$5*($AY$5/$B67),".")</f>
        <v>345537648.16039693</v>
      </c>
      <c r="AZ67" s="101">
        <f>IFERROR(up_RadSpec!$E$5*($AZ$5/$B67),".")</f>
        <v>345537648.16039693</v>
      </c>
      <c r="BA67" s="100">
        <f t="shared" si="22"/>
        <v>691075.29632079392</v>
      </c>
      <c r="BB67" s="100">
        <f t="shared" ref="BB67:BY67" si="102">IFERROR($B67/BB5,0)</f>
        <v>2764301.1852831757</v>
      </c>
      <c r="BC67" s="100">
        <f t="shared" si="102"/>
        <v>2764301.1852831757</v>
      </c>
      <c r="BD67" s="100">
        <f t="shared" si="102"/>
        <v>2764301.1852831757</v>
      </c>
      <c r="BE67" s="100">
        <f t="shared" si="102"/>
        <v>2764301.1852831757</v>
      </c>
      <c r="BF67" s="100">
        <f t="shared" si="102"/>
        <v>2764301.1852831757</v>
      </c>
      <c r="BG67" s="100">
        <f t="shared" si="102"/>
        <v>2764301.1852831757</v>
      </c>
      <c r="BH67" s="100">
        <f t="shared" si="102"/>
        <v>2764301.1852831757</v>
      </c>
      <c r="BI67" s="100">
        <f t="shared" si="102"/>
        <v>2764301.1852831757</v>
      </c>
      <c r="BJ67" s="100">
        <f t="shared" si="102"/>
        <v>2764301.1852831757</v>
      </c>
      <c r="BK67" s="100">
        <f t="shared" si="102"/>
        <v>2764301.1852831757</v>
      </c>
      <c r="BL67" s="100">
        <f t="shared" si="102"/>
        <v>2764301.1852831757</v>
      </c>
      <c r="BM67" s="100">
        <f t="shared" si="102"/>
        <v>2764301.1852831757</v>
      </c>
      <c r="BN67" s="100">
        <f t="shared" si="102"/>
        <v>2764301.1852831757</v>
      </c>
      <c r="BO67" s="100">
        <f t="shared" si="102"/>
        <v>2764301.1852831757</v>
      </c>
      <c r="BP67" s="100">
        <f t="shared" si="102"/>
        <v>2764301.1852831757</v>
      </c>
      <c r="BQ67" s="100">
        <f t="shared" si="102"/>
        <v>2764301.1852831757</v>
      </c>
      <c r="BR67" s="100">
        <f t="shared" si="102"/>
        <v>2764301.1852831757</v>
      </c>
      <c r="BS67" s="100">
        <f t="shared" si="102"/>
        <v>2764301.1852831757</v>
      </c>
      <c r="BT67" s="100">
        <f t="shared" si="102"/>
        <v>2764301.1852831757</v>
      </c>
      <c r="BU67" s="100">
        <f t="shared" si="102"/>
        <v>2764301.1852831757</v>
      </c>
      <c r="BV67" s="100">
        <f t="shared" si="102"/>
        <v>2764301.1852831757</v>
      </c>
      <c r="BW67" s="100">
        <f t="shared" si="102"/>
        <v>2764301.1852831757</v>
      </c>
      <c r="BX67" s="100">
        <f t="shared" si="102"/>
        <v>2764301.1852831757</v>
      </c>
      <c r="BY67" s="100">
        <f t="shared" si="102"/>
        <v>2764301.1852831757</v>
      </c>
      <c r="BZ67" s="49">
        <f t="shared" si="95"/>
        <v>1382150592.6415877</v>
      </c>
      <c r="CA67" s="101">
        <f>IFERROR(up_RadSpec!$E$5*($AC$5/$B67),".")</f>
        <v>345537648.16039693</v>
      </c>
      <c r="CB67" s="101">
        <f>IFERROR(up_RadSpec!$E$5*($AD$5/$B67),".")</f>
        <v>345537648.16039693</v>
      </c>
      <c r="CC67" s="101">
        <f>IFERROR(up_RadSpec!$E$5*($AY$5/$B67),".")</f>
        <v>345537648.16039693</v>
      </c>
      <c r="CD67" s="101">
        <f>IFERROR(up_RadSpec!$E$5*($AY$5/$B67),".")</f>
        <v>345537648.16039693</v>
      </c>
      <c r="CE67" s="101">
        <f>IFERROR(up_RadSpec!$E$5*($AY$5/$B67),".")</f>
        <v>345537648.16039693</v>
      </c>
      <c r="CF67" s="101">
        <f>IFERROR(up_RadSpec!$E$5*($AY$5/$B67),".")</f>
        <v>345537648.16039693</v>
      </c>
      <c r="CG67" s="101">
        <f>IFERROR(up_RadSpec!$E$5*($AY$5/$B67),".")</f>
        <v>345537648.16039693</v>
      </c>
      <c r="CH67" s="101">
        <f>IFERROR(up_RadSpec!$E$5*($AY$5/$B67),".")</f>
        <v>345537648.16039693</v>
      </c>
      <c r="CI67" s="101">
        <f>IFERROR(up_RadSpec!$E$5*($AY$5/$B67),".")</f>
        <v>345537648.16039693</v>
      </c>
      <c r="CJ67" s="101">
        <f>IFERROR(up_RadSpec!$E$5*($AY$5/$B67),".")</f>
        <v>345537648.16039693</v>
      </c>
      <c r="CK67" s="101">
        <f>IFERROR(up_RadSpec!$E$5*($AY$5/$B67),".")</f>
        <v>345537648.16039693</v>
      </c>
      <c r="CL67" s="101">
        <f>IFERROR(up_RadSpec!$E$5*($AY$5/$B67),".")</f>
        <v>345537648.16039693</v>
      </c>
      <c r="CM67" s="101">
        <f>IFERROR(up_RadSpec!$E$5*($AY$5/$B67),".")</f>
        <v>345537648.16039693</v>
      </c>
      <c r="CN67" s="101">
        <f>IFERROR(up_RadSpec!$E$5*($AY$5/$B67),".")</f>
        <v>345537648.16039693</v>
      </c>
      <c r="CO67" s="101">
        <f>IFERROR(up_RadSpec!$E$5*($AY$5/$B67),".")</f>
        <v>345537648.16039693</v>
      </c>
      <c r="CP67" s="101">
        <f>IFERROR(up_RadSpec!$E$5*($AY$5/$B67),".")</f>
        <v>345537648.16039693</v>
      </c>
      <c r="CQ67" s="101">
        <f>IFERROR(up_RadSpec!$E$5*($AY$5/$B67),".")</f>
        <v>345537648.16039693</v>
      </c>
      <c r="CR67" s="101">
        <f>IFERROR(up_RadSpec!$E$5*($AY$5/$B67),".")</f>
        <v>345537648.16039693</v>
      </c>
      <c r="CS67" s="101">
        <f>IFERROR(up_RadSpec!$E$5*($AY$5/$B67),".")</f>
        <v>345537648.16039693</v>
      </c>
      <c r="CT67" s="101">
        <f>IFERROR(up_RadSpec!$E$5*($AY$5/$B67),".")</f>
        <v>345537648.16039693</v>
      </c>
      <c r="CU67" s="101">
        <f>IFERROR(up_RadSpec!$E$5*($AY$5/$B67),".")</f>
        <v>345537648.16039693</v>
      </c>
      <c r="CV67" s="101">
        <f>IFERROR(up_RadSpec!$E$5*($AY$5/$B67),".")</f>
        <v>345537648.16039693</v>
      </c>
      <c r="CW67" s="101">
        <f>IFERROR(up_RadSpec!$E$5*($AY$5/$B67),".")</f>
        <v>345537648.16039693</v>
      </c>
      <c r="CX67" s="101">
        <f>IFERROR(up_RadSpec!$E$5*($AZ$5/$B67),".")</f>
        <v>345537648.16039693</v>
      </c>
    </row>
    <row r="68" spans="1:102" x14ac:dyDescent="0.25">
      <c r="A68" s="99" t="s">
        <v>1092</v>
      </c>
      <c r="B68" s="90">
        <v>0.99999979999999999</v>
      </c>
      <c r="C68" s="100">
        <f t="shared" si="98"/>
        <v>3455375790.5286732</v>
      </c>
      <c r="D68" s="100">
        <f t="shared" ref="D68:AA68" si="103">IFERROR($B68/D9,0)</f>
        <v>13821503162.114693</v>
      </c>
      <c r="E68" s="100">
        <f t="shared" si="103"/>
        <v>13821503162.114693</v>
      </c>
      <c r="F68" s="100">
        <f t="shared" si="103"/>
        <v>13821503162.114693</v>
      </c>
      <c r="G68" s="100">
        <f t="shared" si="103"/>
        <v>13821503162.114693</v>
      </c>
      <c r="H68" s="100">
        <f t="shared" si="103"/>
        <v>13821503162.114693</v>
      </c>
      <c r="I68" s="100">
        <f t="shared" si="103"/>
        <v>13821503162.114693</v>
      </c>
      <c r="J68" s="100">
        <f t="shared" si="103"/>
        <v>13821503162.114693</v>
      </c>
      <c r="K68" s="100">
        <f t="shared" si="103"/>
        <v>13821503162.114693</v>
      </c>
      <c r="L68" s="100">
        <f t="shared" si="103"/>
        <v>13821503162.114693</v>
      </c>
      <c r="M68" s="100">
        <f t="shared" si="103"/>
        <v>13821503162.114693</v>
      </c>
      <c r="N68" s="100">
        <f t="shared" si="103"/>
        <v>13821503162.114693</v>
      </c>
      <c r="O68" s="100">
        <f t="shared" si="103"/>
        <v>13821503162.114693</v>
      </c>
      <c r="P68" s="100">
        <f t="shared" si="103"/>
        <v>13821503162.114693</v>
      </c>
      <c r="Q68" s="100">
        <f t="shared" si="103"/>
        <v>13821503162.114693</v>
      </c>
      <c r="R68" s="100">
        <f t="shared" si="103"/>
        <v>13821503162.114693</v>
      </c>
      <c r="S68" s="100">
        <f t="shared" si="103"/>
        <v>13821503162.114693</v>
      </c>
      <c r="T68" s="100">
        <f t="shared" si="103"/>
        <v>13821503162.114693</v>
      </c>
      <c r="U68" s="100">
        <f t="shared" si="103"/>
        <v>13821503162.114693</v>
      </c>
      <c r="V68" s="100">
        <f t="shared" si="103"/>
        <v>13821503162.114693</v>
      </c>
      <c r="W68" s="100">
        <f t="shared" si="103"/>
        <v>13821503162.114693</v>
      </c>
      <c r="X68" s="100">
        <f t="shared" si="103"/>
        <v>13821503162.114693</v>
      </c>
      <c r="Y68" s="100">
        <f t="shared" si="103"/>
        <v>13821503162.114693</v>
      </c>
      <c r="Z68" s="100">
        <f t="shared" si="103"/>
        <v>13821503162.114693</v>
      </c>
      <c r="AA68" s="100">
        <f t="shared" si="103"/>
        <v>13821503162.114693</v>
      </c>
      <c r="AB68" s="49">
        <f t="shared" si="21"/>
        <v>276430.17381435237</v>
      </c>
      <c r="AC68" s="101">
        <f>IFERROR(up_RadSpec!$E$9*($AC$9/$B68),".")</f>
        <v>69107.543453588092</v>
      </c>
      <c r="AD68" s="101">
        <f>IFERROR(up_RadSpec!$E$9*($AD$9/$B68),".")</f>
        <v>69107.543453588092</v>
      </c>
      <c r="AE68" s="101">
        <f>IFERROR(up_RadSpec!$E$9*($AY$9/$B68),".")</f>
        <v>69107.543453588092</v>
      </c>
      <c r="AF68" s="101">
        <f>IFERROR(up_RadSpec!$E$9*($AY$9/$B68),".")</f>
        <v>69107.543453588092</v>
      </c>
      <c r="AG68" s="101">
        <f>IFERROR(up_RadSpec!$E$9*($AY$9/$B68),".")</f>
        <v>69107.543453588092</v>
      </c>
      <c r="AH68" s="101">
        <f>IFERROR(up_RadSpec!$E$9*($AY$9/$B68),".")</f>
        <v>69107.543453588092</v>
      </c>
      <c r="AI68" s="101">
        <f>IFERROR(up_RadSpec!$E$9*($AY$9/$B68),".")</f>
        <v>69107.543453588092</v>
      </c>
      <c r="AJ68" s="101">
        <f>IFERROR(up_RadSpec!$E$9*($AY$9/$B68),".")</f>
        <v>69107.543453588092</v>
      </c>
      <c r="AK68" s="101">
        <f>IFERROR(up_RadSpec!$E$9*($AY$9/$B68),".")</f>
        <v>69107.543453588092</v>
      </c>
      <c r="AL68" s="101">
        <f>IFERROR(up_RadSpec!$E$9*($AY$9/$B68),".")</f>
        <v>69107.543453588092</v>
      </c>
      <c r="AM68" s="101">
        <f>IFERROR(up_RadSpec!$E$9*($AY$9/$B68),".")</f>
        <v>69107.543453588092</v>
      </c>
      <c r="AN68" s="101">
        <f>IFERROR(up_RadSpec!$E$9*($AY$9/$B68),".")</f>
        <v>69107.543453588092</v>
      </c>
      <c r="AO68" s="101">
        <f>IFERROR(up_RadSpec!$E$9*($AY$9/$B68),".")</f>
        <v>69107.543453588092</v>
      </c>
      <c r="AP68" s="101">
        <f>IFERROR(up_RadSpec!$E$9*($AY$9/$B68),".")</f>
        <v>69107.543453588092</v>
      </c>
      <c r="AQ68" s="101">
        <f>IFERROR(up_RadSpec!$E$9*($AY$9/$B68),".")</f>
        <v>69107.543453588092</v>
      </c>
      <c r="AR68" s="101">
        <f>IFERROR(up_RadSpec!$E$9*($AY$9/$B68),".")</f>
        <v>69107.543453588092</v>
      </c>
      <c r="AS68" s="101">
        <f>IFERROR(up_RadSpec!$E$9*($AY$9/$B68),".")</f>
        <v>69107.543453588092</v>
      </c>
      <c r="AT68" s="101">
        <f>IFERROR(up_RadSpec!$E$9*($AY$9/$B68),".")</f>
        <v>69107.543453588092</v>
      </c>
      <c r="AU68" s="101">
        <f>IFERROR(up_RadSpec!$E$9*($AY$9/$B68),".")</f>
        <v>69107.543453588092</v>
      </c>
      <c r="AV68" s="101">
        <f>IFERROR(up_RadSpec!$E$9*($AY$9/$B68),".")</f>
        <v>69107.543453588092</v>
      </c>
      <c r="AW68" s="101">
        <f>IFERROR(up_RadSpec!$E$9*($AY$9/$B68),".")</f>
        <v>69107.543453588092</v>
      </c>
      <c r="AX68" s="101">
        <f>IFERROR(up_RadSpec!$E$9*($AY$9/$B68),".")</f>
        <v>69107.543453588092</v>
      </c>
      <c r="AY68" s="101">
        <f>IFERROR(up_RadSpec!$E$9*($AY$9/$B68),".")</f>
        <v>69107.543453588092</v>
      </c>
      <c r="AZ68" s="101">
        <f>IFERROR(up_RadSpec!$E$9*($AZ$9/$B68),".")</f>
        <v>69107.543453588092</v>
      </c>
      <c r="BA68" s="100">
        <f t="shared" si="22"/>
        <v>3455375790.5286732</v>
      </c>
      <c r="BB68" s="100">
        <f t="shared" ref="BB68:BY68" si="104">IFERROR($B68/BB9,0)</f>
        <v>13821503162.114693</v>
      </c>
      <c r="BC68" s="100">
        <f t="shared" si="104"/>
        <v>13821503162.114693</v>
      </c>
      <c r="BD68" s="100">
        <f t="shared" si="104"/>
        <v>13821503162.114693</v>
      </c>
      <c r="BE68" s="100">
        <f t="shared" si="104"/>
        <v>13821503162.114693</v>
      </c>
      <c r="BF68" s="100">
        <f t="shared" si="104"/>
        <v>13821503162.114693</v>
      </c>
      <c r="BG68" s="100">
        <f t="shared" si="104"/>
        <v>13821503162.114693</v>
      </c>
      <c r="BH68" s="100">
        <f t="shared" si="104"/>
        <v>13821503162.114693</v>
      </c>
      <c r="BI68" s="100">
        <f t="shared" si="104"/>
        <v>13821503162.114693</v>
      </c>
      <c r="BJ68" s="100">
        <f t="shared" si="104"/>
        <v>13821503162.114693</v>
      </c>
      <c r="BK68" s="100">
        <f t="shared" si="104"/>
        <v>13821503162.114693</v>
      </c>
      <c r="BL68" s="100">
        <f t="shared" si="104"/>
        <v>13821503162.114693</v>
      </c>
      <c r="BM68" s="100">
        <f t="shared" si="104"/>
        <v>13821503162.114693</v>
      </c>
      <c r="BN68" s="100">
        <f t="shared" si="104"/>
        <v>13821503162.114693</v>
      </c>
      <c r="BO68" s="100">
        <f t="shared" si="104"/>
        <v>13821503162.114693</v>
      </c>
      <c r="BP68" s="100">
        <f t="shared" si="104"/>
        <v>13821503162.114693</v>
      </c>
      <c r="BQ68" s="100">
        <f t="shared" si="104"/>
        <v>13821503162.114693</v>
      </c>
      <c r="BR68" s="100">
        <f t="shared" si="104"/>
        <v>13821503162.114693</v>
      </c>
      <c r="BS68" s="100">
        <f t="shared" si="104"/>
        <v>13821503162.114693</v>
      </c>
      <c r="BT68" s="100">
        <f t="shared" si="104"/>
        <v>13821503162.114693</v>
      </c>
      <c r="BU68" s="100">
        <f t="shared" si="104"/>
        <v>13821503162.114693</v>
      </c>
      <c r="BV68" s="100">
        <f t="shared" si="104"/>
        <v>13821503162.114693</v>
      </c>
      <c r="BW68" s="100">
        <f t="shared" si="104"/>
        <v>13821503162.114693</v>
      </c>
      <c r="BX68" s="100">
        <f t="shared" si="104"/>
        <v>13821503162.114693</v>
      </c>
      <c r="BY68" s="100">
        <f t="shared" si="104"/>
        <v>13821503162.114693</v>
      </c>
      <c r="BZ68" s="49">
        <f t="shared" si="95"/>
        <v>276430.17381435237</v>
      </c>
      <c r="CA68" s="101">
        <f>IFERROR(up_RadSpec!$E$9*($AC$9/$B68),".")</f>
        <v>69107.543453588092</v>
      </c>
      <c r="CB68" s="101">
        <f>IFERROR(up_RadSpec!$E$9*($AD$9/$B68),".")</f>
        <v>69107.543453588092</v>
      </c>
      <c r="CC68" s="101">
        <f>IFERROR(up_RadSpec!$E$9*($AY$9/$B68),".")</f>
        <v>69107.543453588092</v>
      </c>
      <c r="CD68" s="101">
        <f>IFERROR(up_RadSpec!$E$9*($AY$9/$B68),".")</f>
        <v>69107.543453588092</v>
      </c>
      <c r="CE68" s="101">
        <f>IFERROR(up_RadSpec!$E$9*($AY$9/$B68),".")</f>
        <v>69107.543453588092</v>
      </c>
      <c r="CF68" s="101">
        <f>IFERROR(up_RadSpec!$E$9*($AY$9/$B68),".")</f>
        <v>69107.543453588092</v>
      </c>
      <c r="CG68" s="101">
        <f>IFERROR(up_RadSpec!$E$9*($AY$9/$B68),".")</f>
        <v>69107.543453588092</v>
      </c>
      <c r="CH68" s="101">
        <f>IFERROR(up_RadSpec!$E$9*($AY$9/$B68),".")</f>
        <v>69107.543453588092</v>
      </c>
      <c r="CI68" s="101">
        <f>IFERROR(up_RadSpec!$E$9*($AY$9/$B68),".")</f>
        <v>69107.543453588092</v>
      </c>
      <c r="CJ68" s="101">
        <f>IFERROR(up_RadSpec!$E$9*($AY$9/$B68),".")</f>
        <v>69107.543453588092</v>
      </c>
      <c r="CK68" s="101">
        <f>IFERROR(up_RadSpec!$E$9*($AY$9/$B68),".")</f>
        <v>69107.543453588092</v>
      </c>
      <c r="CL68" s="101">
        <f>IFERROR(up_RadSpec!$E$9*($AY$9/$B68),".")</f>
        <v>69107.543453588092</v>
      </c>
      <c r="CM68" s="101">
        <f>IFERROR(up_RadSpec!$E$9*($AY$9/$B68),".")</f>
        <v>69107.543453588092</v>
      </c>
      <c r="CN68" s="101">
        <f>IFERROR(up_RadSpec!$E$9*($AY$9/$B68),".")</f>
        <v>69107.543453588092</v>
      </c>
      <c r="CO68" s="101">
        <f>IFERROR(up_RadSpec!$E$9*($AY$9/$B68),".")</f>
        <v>69107.543453588092</v>
      </c>
      <c r="CP68" s="101">
        <f>IFERROR(up_RadSpec!$E$9*($AY$9/$B68),".")</f>
        <v>69107.543453588092</v>
      </c>
      <c r="CQ68" s="101">
        <f>IFERROR(up_RadSpec!$E$9*($AY$9/$B68),".")</f>
        <v>69107.543453588092</v>
      </c>
      <c r="CR68" s="101">
        <f>IFERROR(up_RadSpec!$E$9*($AY$9/$B68),".")</f>
        <v>69107.543453588092</v>
      </c>
      <c r="CS68" s="101">
        <f>IFERROR(up_RadSpec!$E$9*($AY$9/$B68),".")</f>
        <v>69107.543453588092</v>
      </c>
      <c r="CT68" s="101">
        <f>IFERROR(up_RadSpec!$E$9*($AY$9/$B68),".")</f>
        <v>69107.543453588092</v>
      </c>
      <c r="CU68" s="101">
        <f>IFERROR(up_RadSpec!$E$9*($AY$9/$B68),".")</f>
        <v>69107.543453588092</v>
      </c>
      <c r="CV68" s="101">
        <f>IFERROR(up_RadSpec!$E$9*($AY$9/$B68),".")</f>
        <v>69107.543453588092</v>
      </c>
      <c r="CW68" s="101">
        <f>IFERROR(up_RadSpec!$E$9*($AY$9/$B68),".")</f>
        <v>69107.543453588092</v>
      </c>
      <c r="CX68" s="101">
        <f>IFERROR(up_RadSpec!$E$9*($AZ$9/$B68),".")</f>
        <v>69107.543453588092</v>
      </c>
    </row>
    <row r="69" spans="1:102" x14ac:dyDescent="0.25">
      <c r="A69" s="99" t="s">
        <v>1093</v>
      </c>
      <c r="B69" s="90">
        <v>1.9999999999999999E-7</v>
      </c>
      <c r="C69" s="100">
        <f t="shared" si="98"/>
        <v>691.07529632079388</v>
      </c>
      <c r="D69" s="100">
        <f t="shared" ref="D69:AA69" si="105">IFERROR($B69/D24,0)</f>
        <v>2764.3011852831755</v>
      </c>
      <c r="E69" s="100">
        <f t="shared" si="105"/>
        <v>2764.3011852831755</v>
      </c>
      <c r="F69" s="100">
        <f t="shared" si="105"/>
        <v>2764.3011852831755</v>
      </c>
      <c r="G69" s="100">
        <f t="shared" si="105"/>
        <v>2764.3011852831755</v>
      </c>
      <c r="H69" s="100">
        <f t="shared" si="105"/>
        <v>2764.3011852831755</v>
      </c>
      <c r="I69" s="100">
        <f t="shared" si="105"/>
        <v>2764.3011852831755</v>
      </c>
      <c r="J69" s="100">
        <f t="shared" si="105"/>
        <v>2764.3011852831755</v>
      </c>
      <c r="K69" s="100">
        <f t="shared" si="105"/>
        <v>2764.3011852831755</v>
      </c>
      <c r="L69" s="100">
        <f t="shared" si="105"/>
        <v>2764.3011852831755</v>
      </c>
      <c r="M69" s="100">
        <f t="shared" si="105"/>
        <v>2764.3011852831755</v>
      </c>
      <c r="N69" s="100">
        <f t="shared" si="105"/>
        <v>2764.3011852831755</v>
      </c>
      <c r="O69" s="100">
        <f t="shared" si="105"/>
        <v>2764.3011852831755</v>
      </c>
      <c r="P69" s="100">
        <f t="shared" si="105"/>
        <v>2764.3011852831755</v>
      </c>
      <c r="Q69" s="100">
        <f t="shared" si="105"/>
        <v>2764.3011852831755</v>
      </c>
      <c r="R69" s="100">
        <f t="shared" si="105"/>
        <v>2764.3011852831755</v>
      </c>
      <c r="S69" s="100">
        <f t="shared" si="105"/>
        <v>2764.3011852831755</v>
      </c>
      <c r="T69" s="100">
        <f t="shared" si="105"/>
        <v>2764.3011852831755</v>
      </c>
      <c r="U69" s="100">
        <f t="shared" si="105"/>
        <v>2764.3011852831755</v>
      </c>
      <c r="V69" s="100">
        <f t="shared" si="105"/>
        <v>2764.3011852831755</v>
      </c>
      <c r="W69" s="100">
        <f t="shared" si="105"/>
        <v>2764.3011852831755</v>
      </c>
      <c r="X69" s="100">
        <f t="shared" si="105"/>
        <v>2764.3011852831755</v>
      </c>
      <c r="Y69" s="100">
        <f t="shared" si="105"/>
        <v>2764.3011852831755</v>
      </c>
      <c r="Z69" s="100">
        <f t="shared" si="105"/>
        <v>2764.3011852831755</v>
      </c>
      <c r="AA69" s="100">
        <f t="shared" si="105"/>
        <v>2764.3011852831755</v>
      </c>
      <c r="AB69" s="49">
        <f t="shared" si="21"/>
        <v>1382150592641.5879</v>
      </c>
      <c r="AC69" s="101">
        <f>IFERROR(up_RadSpec!$E$24*($AC$24/$B69),".")</f>
        <v>345537648160.39697</v>
      </c>
      <c r="AD69" s="101">
        <f>IFERROR(up_RadSpec!$E$24*($AD$24/$B69),".")</f>
        <v>345537648160.39697</v>
      </c>
      <c r="AE69" s="101">
        <f>IFERROR(up_RadSpec!$E$24*($AY$24/$B69),".")</f>
        <v>345537648160.39697</v>
      </c>
      <c r="AF69" s="101">
        <f>IFERROR(up_RadSpec!$E$24*($AY$24/$B69),".")</f>
        <v>345537648160.39697</v>
      </c>
      <c r="AG69" s="101">
        <f>IFERROR(up_RadSpec!$E$24*($AY$24/$B69),".")</f>
        <v>345537648160.39697</v>
      </c>
      <c r="AH69" s="101">
        <f>IFERROR(up_RadSpec!$E$24*($AY$24/$B69),".")</f>
        <v>345537648160.39697</v>
      </c>
      <c r="AI69" s="101">
        <f>IFERROR(up_RadSpec!$E$24*($AY$24/$B69),".")</f>
        <v>345537648160.39697</v>
      </c>
      <c r="AJ69" s="101">
        <f>IFERROR(up_RadSpec!$E$24*($AY$24/$B69),".")</f>
        <v>345537648160.39697</v>
      </c>
      <c r="AK69" s="101">
        <f>IFERROR(up_RadSpec!$E$24*($AY$24/$B69),".")</f>
        <v>345537648160.39697</v>
      </c>
      <c r="AL69" s="101">
        <f>IFERROR(up_RadSpec!$E$24*($AY$24/$B69),".")</f>
        <v>345537648160.39697</v>
      </c>
      <c r="AM69" s="101">
        <f>IFERROR(up_RadSpec!$E$24*($AY$24/$B69),".")</f>
        <v>345537648160.39697</v>
      </c>
      <c r="AN69" s="101">
        <f>IFERROR(up_RadSpec!$E$24*($AY$24/$B69),".")</f>
        <v>345537648160.39697</v>
      </c>
      <c r="AO69" s="101">
        <f>IFERROR(up_RadSpec!$E$24*($AY$24/$B69),".")</f>
        <v>345537648160.39697</v>
      </c>
      <c r="AP69" s="101">
        <f>IFERROR(up_RadSpec!$E$24*($AY$24/$B69),".")</f>
        <v>345537648160.39697</v>
      </c>
      <c r="AQ69" s="101">
        <f>IFERROR(up_RadSpec!$E$24*($AY$24/$B69),".")</f>
        <v>345537648160.39697</v>
      </c>
      <c r="AR69" s="101">
        <f>IFERROR(up_RadSpec!$E$24*($AY$24/$B69),".")</f>
        <v>345537648160.39697</v>
      </c>
      <c r="AS69" s="101">
        <f>IFERROR(up_RadSpec!$E$24*($AY$24/$B69),".")</f>
        <v>345537648160.39697</v>
      </c>
      <c r="AT69" s="101">
        <f>IFERROR(up_RadSpec!$E$24*($AY$24/$B69),".")</f>
        <v>345537648160.39697</v>
      </c>
      <c r="AU69" s="101">
        <f>IFERROR(up_RadSpec!$E$24*($AY$24/$B69),".")</f>
        <v>345537648160.39697</v>
      </c>
      <c r="AV69" s="101">
        <f>IFERROR(up_RadSpec!$E$24*($AY$24/$B69),".")</f>
        <v>345537648160.39697</v>
      </c>
      <c r="AW69" s="101">
        <f>IFERROR(up_RadSpec!$E$24*($AY$24/$B69),".")</f>
        <v>345537648160.39697</v>
      </c>
      <c r="AX69" s="101">
        <f>IFERROR(up_RadSpec!$E$24*($AY$24/$B69),".")</f>
        <v>345537648160.39697</v>
      </c>
      <c r="AY69" s="101">
        <f>IFERROR(up_RadSpec!$E$24*($AY$24/$B69),".")</f>
        <v>345537648160.39697</v>
      </c>
      <c r="AZ69" s="101">
        <f>IFERROR(up_RadSpec!$E$24*($AZ$24/$B69),".")</f>
        <v>345537648160.39697</v>
      </c>
      <c r="BA69" s="100">
        <f t="shared" si="22"/>
        <v>691.07529632079388</v>
      </c>
      <c r="BB69" s="100">
        <f t="shared" ref="BB69:BY69" si="106">IFERROR($B69/BB24,0)</f>
        <v>2764.3011852831755</v>
      </c>
      <c r="BC69" s="100">
        <f t="shared" si="106"/>
        <v>2764.3011852831755</v>
      </c>
      <c r="BD69" s="100">
        <f t="shared" si="106"/>
        <v>2764.3011852831755</v>
      </c>
      <c r="BE69" s="100">
        <f t="shared" si="106"/>
        <v>2764.3011852831755</v>
      </c>
      <c r="BF69" s="100">
        <f t="shared" si="106"/>
        <v>2764.3011852831755</v>
      </c>
      <c r="BG69" s="100">
        <f t="shared" si="106"/>
        <v>2764.3011852831755</v>
      </c>
      <c r="BH69" s="100">
        <f t="shared" si="106"/>
        <v>2764.3011852831755</v>
      </c>
      <c r="BI69" s="100">
        <f t="shared" si="106"/>
        <v>2764.3011852831755</v>
      </c>
      <c r="BJ69" s="100">
        <f t="shared" si="106"/>
        <v>2764.3011852831755</v>
      </c>
      <c r="BK69" s="100">
        <f t="shared" si="106"/>
        <v>2764.3011852831755</v>
      </c>
      <c r="BL69" s="100">
        <f t="shared" si="106"/>
        <v>2764.3011852831755</v>
      </c>
      <c r="BM69" s="100">
        <f t="shared" si="106"/>
        <v>2764.3011852831755</v>
      </c>
      <c r="BN69" s="100">
        <f t="shared" si="106"/>
        <v>2764.3011852831755</v>
      </c>
      <c r="BO69" s="100">
        <f t="shared" si="106"/>
        <v>2764.3011852831755</v>
      </c>
      <c r="BP69" s="100">
        <f t="shared" si="106"/>
        <v>2764.3011852831755</v>
      </c>
      <c r="BQ69" s="100">
        <f t="shared" si="106"/>
        <v>2764.3011852831755</v>
      </c>
      <c r="BR69" s="100">
        <f t="shared" si="106"/>
        <v>2764.3011852831755</v>
      </c>
      <c r="BS69" s="100">
        <f t="shared" si="106"/>
        <v>2764.3011852831755</v>
      </c>
      <c r="BT69" s="100">
        <f t="shared" si="106"/>
        <v>2764.3011852831755</v>
      </c>
      <c r="BU69" s="100">
        <f t="shared" si="106"/>
        <v>2764.3011852831755</v>
      </c>
      <c r="BV69" s="100">
        <f t="shared" si="106"/>
        <v>2764.3011852831755</v>
      </c>
      <c r="BW69" s="100">
        <f t="shared" si="106"/>
        <v>2764.3011852831755</v>
      </c>
      <c r="BX69" s="100">
        <f t="shared" si="106"/>
        <v>2764.3011852831755</v>
      </c>
      <c r="BY69" s="100">
        <f t="shared" si="106"/>
        <v>2764.3011852831755</v>
      </c>
      <c r="BZ69" s="49">
        <f t="shared" si="95"/>
        <v>1382150592641.5879</v>
      </c>
      <c r="CA69" s="101">
        <f>IFERROR(up_RadSpec!$E$24*($AC$24/$B69),".")</f>
        <v>345537648160.39697</v>
      </c>
      <c r="CB69" s="101">
        <f>IFERROR(up_RadSpec!$E$24*($AD$24/$B69),".")</f>
        <v>345537648160.39697</v>
      </c>
      <c r="CC69" s="101">
        <f>IFERROR(up_RadSpec!$E$24*($AY$24/$B69),".")</f>
        <v>345537648160.39697</v>
      </c>
      <c r="CD69" s="101">
        <f>IFERROR(up_RadSpec!$E$24*($AY$24/$B69),".")</f>
        <v>345537648160.39697</v>
      </c>
      <c r="CE69" s="101">
        <f>IFERROR(up_RadSpec!$E$24*($AY$24/$B69),".")</f>
        <v>345537648160.39697</v>
      </c>
      <c r="CF69" s="101">
        <f>IFERROR(up_RadSpec!$E$24*($AY$24/$B69),".")</f>
        <v>345537648160.39697</v>
      </c>
      <c r="CG69" s="101">
        <f>IFERROR(up_RadSpec!$E$24*($AY$24/$B69),".")</f>
        <v>345537648160.39697</v>
      </c>
      <c r="CH69" s="101">
        <f>IFERROR(up_RadSpec!$E$24*($AY$24/$B69),".")</f>
        <v>345537648160.39697</v>
      </c>
      <c r="CI69" s="101">
        <f>IFERROR(up_RadSpec!$E$24*($AY$24/$B69),".")</f>
        <v>345537648160.39697</v>
      </c>
      <c r="CJ69" s="101">
        <f>IFERROR(up_RadSpec!$E$24*($AY$24/$B69),".")</f>
        <v>345537648160.39697</v>
      </c>
      <c r="CK69" s="101">
        <f>IFERROR(up_RadSpec!$E$24*($AY$24/$B69),".")</f>
        <v>345537648160.39697</v>
      </c>
      <c r="CL69" s="101">
        <f>IFERROR(up_RadSpec!$E$24*($AY$24/$B69),".")</f>
        <v>345537648160.39697</v>
      </c>
      <c r="CM69" s="101">
        <f>IFERROR(up_RadSpec!$E$24*($AY$24/$B69),".")</f>
        <v>345537648160.39697</v>
      </c>
      <c r="CN69" s="101">
        <f>IFERROR(up_RadSpec!$E$24*($AY$24/$B69),".")</f>
        <v>345537648160.39697</v>
      </c>
      <c r="CO69" s="101">
        <f>IFERROR(up_RadSpec!$E$24*($AY$24/$B69),".")</f>
        <v>345537648160.39697</v>
      </c>
      <c r="CP69" s="101">
        <f>IFERROR(up_RadSpec!$E$24*($AY$24/$B69),".")</f>
        <v>345537648160.39697</v>
      </c>
      <c r="CQ69" s="101">
        <f>IFERROR(up_RadSpec!$E$24*($AY$24/$B69),".")</f>
        <v>345537648160.39697</v>
      </c>
      <c r="CR69" s="101">
        <f>IFERROR(up_RadSpec!$E$24*($AY$24/$B69),".")</f>
        <v>345537648160.39697</v>
      </c>
      <c r="CS69" s="101">
        <f>IFERROR(up_RadSpec!$E$24*($AY$24/$B69),".")</f>
        <v>345537648160.39697</v>
      </c>
      <c r="CT69" s="101">
        <f>IFERROR(up_RadSpec!$E$24*($AY$24/$B69),".")</f>
        <v>345537648160.39697</v>
      </c>
      <c r="CU69" s="101">
        <f>IFERROR(up_RadSpec!$E$24*($AY$24/$B69),".")</f>
        <v>345537648160.39697</v>
      </c>
      <c r="CV69" s="101">
        <f>IFERROR(up_RadSpec!$E$24*($AY$24/$B69),".")</f>
        <v>345537648160.39697</v>
      </c>
      <c r="CW69" s="101">
        <f>IFERROR(up_RadSpec!$E$24*($AY$24/$B69),".")</f>
        <v>345537648160.39697</v>
      </c>
      <c r="CX69" s="101">
        <f>IFERROR(up_RadSpec!$E$24*($AZ$24/$B69),".")</f>
        <v>345537648160.39697</v>
      </c>
    </row>
    <row r="70" spans="1:102" x14ac:dyDescent="0.25">
      <c r="A70" s="99" t="s">
        <v>1094</v>
      </c>
      <c r="B70" s="90">
        <v>0.99979000004200003</v>
      </c>
      <c r="C70" s="100">
        <f t="shared" si="98"/>
        <v>3454650852.6879587</v>
      </c>
      <c r="D70" s="100">
        <f t="shared" ref="D70:AA70" si="107">IFERROR($B70/D20,0)</f>
        <v>13818603410.751835</v>
      </c>
      <c r="E70" s="100">
        <f t="shared" si="107"/>
        <v>13818603410.751835</v>
      </c>
      <c r="F70" s="100">
        <f t="shared" si="107"/>
        <v>13818603410.751835</v>
      </c>
      <c r="G70" s="100">
        <f t="shared" si="107"/>
        <v>13818603410.751835</v>
      </c>
      <c r="H70" s="100">
        <f t="shared" si="107"/>
        <v>13818603410.751835</v>
      </c>
      <c r="I70" s="100">
        <f t="shared" si="107"/>
        <v>13818603410.751835</v>
      </c>
      <c r="J70" s="100">
        <f t="shared" si="107"/>
        <v>13818603410.751835</v>
      </c>
      <c r="K70" s="100">
        <f t="shared" si="107"/>
        <v>13818603410.751835</v>
      </c>
      <c r="L70" s="100">
        <f t="shared" si="107"/>
        <v>13818603410.751835</v>
      </c>
      <c r="M70" s="100">
        <f t="shared" si="107"/>
        <v>13818603410.751835</v>
      </c>
      <c r="N70" s="100">
        <f t="shared" si="107"/>
        <v>13818603410.751835</v>
      </c>
      <c r="O70" s="100">
        <f t="shared" si="107"/>
        <v>13818603410.751835</v>
      </c>
      <c r="P70" s="100">
        <f t="shared" si="107"/>
        <v>13818603410.751835</v>
      </c>
      <c r="Q70" s="100">
        <f t="shared" si="107"/>
        <v>13818603410.751835</v>
      </c>
      <c r="R70" s="100">
        <f t="shared" si="107"/>
        <v>13818603410.751835</v>
      </c>
      <c r="S70" s="100">
        <f t="shared" si="107"/>
        <v>13818603410.751835</v>
      </c>
      <c r="T70" s="100">
        <f t="shared" si="107"/>
        <v>13818603410.751835</v>
      </c>
      <c r="U70" s="100">
        <f t="shared" si="107"/>
        <v>13818603410.751835</v>
      </c>
      <c r="V70" s="100">
        <f t="shared" si="107"/>
        <v>13818603410.751835</v>
      </c>
      <c r="W70" s="100">
        <f t="shared" si="107"/>
        <v>13818603410.751835</v>
      </c>
      <c r="X70" s="100">
        <f t="shared" si="107"/>
        <v>13818603410.751835</v>
      </c>
      <c r="Y70" s="100">
        <f t="shared" si="107"/>
        <v>13818603410.751835</v>
      </c>
      <c r="Z70" s="100">
        <f t="shared" si="107"/>
        <v>13818603410.751835</v>
      </c>
      <c r="AA70" s="100">
        <f t="shared" si="107"/>
        <v>13818603410.751835</v>
      </c>
      <c r="AB70" s="49">
        <f t="shared" si="21"/>
        <v>276488.18103472237</v>
      </c>
      <c r="AC70" s="101">
        <f>IFERROR(up_RadSpec!$E$20*($AC$20/$B70),".")</f>
        <v>69122.045258680591</v>
      </c>
      <c r="AD70" s="101">
        <f>IFERROR(up_RadSpec!$E$20*($AD$20/$B70),".")</f>
        <v>69122.045258680591</v>
      </c>
      <c r="AE70" s="101">
        <f>IFERROR(up_RadSpec!$E$20*($AY$20/$B70),".")</f>
        <v>69122.045258680591</v>
      </c>
      <c r="AF70" s="101">
        <f>IFERROR(up_RadSpec!$E$20*($AY$20/$B70),".")</f>
        <v>69122.045258680591</v>
      </c>
      <c r="AG70" s="101">
        <f>IFERROR(up_RadSpec!$E$20*($AY$20/$B70),".")</f>
        <v>69122.045258680591</v>
      </c>
      <c r="AH70" s="101">
        <f>IFERROR(up_RadSpec!$E$20*($AY$20/$B70),".")</f>
        <v>69122.045258680591</v>
      </c>
      <c r="AI70" s="101">
        <f>IFERROR(up_RadSpec!$E$20*($AY$20/$B70),".")</f>
        <v>69122.045258680591</v>
      </c>
      <c r="AJ70" s="101">
        <f>IFERROR(up_RadSpec!$E$20*($AY$20/$B70),".")</f>
        <v>69122.045258680591</v>
      </c>
      <c r="AK70" s="101">
        <f>IFERROR(up_RadSpec!$E$20*($AY$20/$B70),".")</f>
        <v>69122.045258680591</v>
      </c>
      <c r="AL70" s="101">
        <f>IFERROR(up_RadSpec!$E$20*($AY$20/$B70),".")</f>
        <v>69122.045258680591</v>
      </c>
      <c r="AM70" s="101">
        <f>IFERROR(up_RadSpec!$E$20*($AY$20/$B70),".")</f>
        <v>69122.045258680591</v>
      </c>
      <c r="AN70" s="101">
        <f>IFERROR(up_RadSpec!$E$20*($AY$20/$B70),".")</f>
        <v>69122.045258680591</v>
      </c>
      <c r="AO70" s="101">
        <f>IFERROR(up_RadSpec!$E$20*($AY$20/$B70),".")</f>
        <v>69122.045258680591</v>
      </c>
      <c r="AP70" s="101">
        <f>IFERROR(up_RadSpec!$E$20*($AY$20/$B70),".")</f>
        <v>69122.045258680591</v>
      </c>
      <c r="AQ70" s="101">
        <f>IFERROR(up_RadSpec!$E$20*($AY$20/$B70),".")</f>
        <v>69122.045258680591</v>
      </c>
      <c r="AR70" s="101">
        <f>IFERROR(up_RadSpec!$E$20*($AY$20/$B70),".")</f>
        <v>69122.045258680591</v>
      </c>
      <c r="AS70" s="101">
        <f>IFERROR(up_RadSpec!$E$20*($AY$20/$B70),".")</f>
        <v>69122.045258680591</v>
      </c>
      <c r="AT70" s="101">
        <f>IFERROR(up_RadSpec!$E$20*($AY$20/$B70),".")</f>
        <v>69122.045258680591</v>
      </c>
      <c r="AU70" s="101">
        <f>IFERROR(up_RadSpec!$E$20*($AY$20/$B70),".")</f>
        <v>69122.045258680591</v>
      </c>
      <c r="AV70" s="101">
        <f>IFERROR(up_RadSpec!$E$20*($AY$20/$B70),".")</f>
        <v>69122.045258680591</v>
      </c>
      <c r="AW70" s="101">
        <f>IFERROR(up_RadSpec!$E$20*($AY$20/$B70),".")</f>
        <v>69122.045258680591</v>
      </c>
      <c r="AX70" s="101">
        <f>IFERROR(up_RadSpec!$E$20*($AY$20/$B70),".")</f>
        <v>69122.045258680591</v>
      </c>
      <c r="AY70" s="101">
        <f>IFERROR(up_RadSpec!$E$20*($AY$20/$B70),".")</f>
        <v>69122.045258680591</v>
      </c>
      <c r="AZ70" s="101">
        <f>IFERROR(up_RadSpec!$E$20*($AZ$20/$B70),".")</f>
        <v>69122.045258680591</v>
      </c>
      <c r="BA70" s="100">
        <f t="shared" si="22"/>
        <v>3454650852.6879587</v>
      </c>
      <c r="BB70" s="100">
        <f t="shared" ref="BB70:BY70" si="108">IFERROR($B70/BB20,0)</f>
        <v>13818603410.751835</v>
      </c>
      <c r="BC70" s="100">
        <f t="shared" si="108"/>
        <v>13818603410.751835</v>
      </c>
      <c r="BD70" s="100">
        <f t="shared" si="108"/>
        <v>13818603410.751835</v>
      </c>
      <c r="BE70" s="100">
        <f t="shared" si="108"/>
        <v>13818603410.751835</v>
      </c>
      <c r="BF70" s="100">
        <f t="shared" si="108"/>
        <v>13818603410.751835</v>
      </c>
      <c r="BG70" s="100">
        <f t="shared" si="108"/>
        <v>13818603410.751835</v>
      </c>
      <c r="BH70" s="100">
        <f t="shared" si="108"/>
        <v>13818603410.751835</v>
      </c>
      <c r="BI70" s="100">
        <f t="shared" si="108"/>
        <v>13818603410.751835</v>
      </c>
      <c r="BJ70" s="100">
        <f t="shared" si="108"/>
        <v>13818603410.751835</v>
      </c>
      <c r="BK70" s="100">
        <f t="shared" si="108"/>
        <v>13818603410.751835</v>
      </c>
      <c r="BL70" s="100">
        <f t="shared" si="108"/>
        <v>13818603410.751835</v>
      </c>
      <c r="BM70" s="100">
        <f t="shared" si="108"/>
        <v>13818603410.751835</v>
      </c>
      <c r="BN70" s="100">
        <f t="shared" si="108"/>
        <v>13818603410.751835</v>
      </c>
      <c r="BO70" s="100">
        <f t="shared" si="108"/>
        <v>13818603410.751835</v>
      </c>
      <c r="BP70" s="100">
        <f t="shared" si="108"/>
        <v>13818603410.751835</v>
      </c>
      <c r="BQ70" s="100">
        <f t="shared" si="108"/>
        <v>13818603410.751835</v>
      </c>
      <c r="BR70" s="100">
        <f t="shared" si="108"/>
        <v>13818603410.751835</v>
      </c>
      <c r="BS70" s="100">
        <f t="shared" si="108"/>
        <v>13818603410.751835</v>
      </c>
      <c r="BT70" s="100">
        <f t="shared" si="108"/>
        <v>13818603410.751835</v>
      </c>
      <c r="BU70" s="100">
        <f t="shared" si="108"/>
        <v>13818603410.751835</v>
      </c>
      <c r="BV70" s="100">
        <f t="shared" si="108"/>
        <v>13818603410.751835</v>
      </c>
      <c r="BW70" s="100">
        <f t="shared" si="108"/>
        <v>13818603410.751835</v>
      </c>
      <c r="BX70" s="100">
        <f t="shared" si="108"/>
        <v>13818603410.751835</v>
      </c>
      <c r="BY70" s="100">
        <f t="shared" si="108"/>
        <v>13818603410.751835</v>
      </c>
      <c r="BZ70" s="49">
        <f t="shared" si="95"/>
        <v>276488.18103472237</v>
      </c>
      <c r="CA70" s="101">
        <f>IFERROR(up_RadSpec!$E$20*($AC$20/$B70),".")</f>
        <v>69122.045258680591</v>
      </c>
      <c r="CB70" s="101">
        <f>IFERROR(up_RadSpec!$E$20*($AD$20/$B70),".")</f>
        <v>69122.045258680591</v>
      </c>
      <c r="CC70" s="101">
        <f>IFERROR(up_RadSpec!$E$20*($AY$20/$B70),".")</f>
        <v>69122.045258680591</v>
      </c>
      <c r="CD70" s="101">
        <f>IFERROR(up_RadSpec!$E$20*($AY$20/$B70),".")</f>
        <v>69122.045258680591</v>
      </c>
      <c r="CE70" s="101">
        <f>IFERROR(up_RadSpec!$E$20*($AY$20/$B70),".")</f>
        <v>69122.045258680591</v>
      </c>
      <c r="CF70" s="101">
        <f>IFERROR(up_RadSpec!$E$20*($AY$20/$B70),".")</f>
        <v>69122.045258680591</v>
      </c>
      <c r="CG70" s="101">
        <f>IFERROR(up_RadSpec!$E$20*($AY$20/$B70),".")</f>
        <v>69122.045258680591</v>
      </c>
      <c r="CH70" s="101">
        <f>IFERROR(up_RadSpec!$E$20*($AY$20/$B70),".")</f>
        <v>69122.045258680591</v>
      </c>
      <c r="CI70" s="101">
        <f>IFERROR(up_RadSpec!$E$20*($AY$20/$B70),".")</f>
        <v>69122.045258680591</v>
      </c>
      <c r="CJ70" s="101">
        <f>IFERROR(up_RadSpec!$E$20*($AY$20/$B70),".")</f>
        <v>69122.045258680591</v>
      </c>
      <c r="CK70" s="101">
        <f>IFERROR(up_RadSpec!$E$20*($AY$20/$B70),".")</f>
        <v>69122.045258680591</v>
      </c>
      <c r="CL70" s="101">
        <f>IFERROR(up_RadSpec!$E$20*($AY$20/$B70),".")</f>
        <v>69122.045258680591</v>
      </c>
      <c r="CM70" s="101">
        <f>IFERROR(up_RadSpec!$E$20*($AY$20/$B70),".")</f>
        <v>69122.045258680591</v>
      </c>
      <c r="CN70" s="101">
        <f>IFERROR(up_RadSpec!$E$20*($AY$20/$B70),".")</f>
        <v>69122.045258680591</v>
      </c>
      <c r="CO70" s="101">
        <f>IFERROR(up_RadSpec!$E$20*($AY$20/$B70),".")</f>
        <v>69122.045258680591</v>
      </c>
      <c r="CP70" s="101">
        <f>IFERROR(up_RadSpec!$E$20*($AY$20/$B70),".")</f>
        <v>69122.045258680591</v>
      </c>
      <c r="CQ70" s="101">
        <f>IFERROR(up_RadSpec!$E$20*($AY$20/$B70),".")</f>
        <v>69122.045258680591</v>
      </c>
      <c r="CR70" s="101">
        <f>IFERROR(up_RadSpec!$E$20*($AY$20/$B70),".")</f>
        <v>69122.045258680591</v>
      </c>
      <c r="CS70" s="101">
        <f>IFERROR(up_RadSpec!$E$20*($AY$20/$B70),".")</f>
        <v>69122.045258680591</v>
      </c>
      <c r="CT70" s="101">
        <f>IFERROR(up_RadSpec!$E$20*($AY$20/$B70),".")</f>
        <v>69122.045258680591</v>
      </c>
      <c r="CU70" s="101">
        <f>IFERROR(up_RadSpec!$E$20*($AY$20/$B70),".")</f>
        <v>69122.045258680591</v>
      </c>
      <c r="CV70" s="101">
        <f>IFERROR(up_RadSpec!$E$20*($AY$20/$B70),".")</f>
        <v>69122.045258680591</v>
      </c>
      <c r="CW70" s="101">
        <f>IFERROR(up_RadSpec!$E$20*($AY$20/$B70),".")</f>
        <v>69122.045258680591</v>
      </c>
      <c r="CX70" s="101">
        <f>IFERROR(up_RadSpec!$E$20*($AZ$20/$B70),".")</f>
        <v>69122.045258680591</v>
      </c>
    </row>
    <row r="71" spans="1:102" x14ac:dyDescent="0.25">
      <c r="A71" s="99" t="s">
        <v>1095</v>
      </c>
      <c r="B71" s="90">
        <v>2.0999995799999999E-4</v>
      </c>
      <c r="C71" s="100">
        <f t="shared" si="98"/>
        <v>725628.91601102136</v>
      </c>
      <c r="D71" s="100">
        <f t="shared" ref="D71:AA71" si="109">IFERROR($B71/D29,0)</f>
        <v>2902515.6640440854</v>
      </c>
      <c r="E71" s="100">
        <f t="shared" si="109"/>
        <v>2902515.6640440854</v>
      </c>
      <c r="F71" s="100">
        <f t="shared" si="109"/>
        <v>2902515.6640440854</v>
      </c>
      <c r="G71" s="100">
        <f t="shared" si="109"/>
        <v>2902515.6640440854</v>
      </c>
      <c r="H71" s="100">
        <f t="shared" si="109"/>
        <v>2902515.6640440854</v>
      </c>
      <c r="I71" s="100">
        <f t="shared" si="109"/>
        <v>2902515.6640440854</v>
      </c>
      <c r="J71" s="100">
        <f t="shared" si="109"/>
        <v>2902515.6640440854</v>
      </c>
      <c r="K71" s="100">
        <f t="shared" si="109"/>
        <v>2902515.6640440854</v>
      </c>
      <c r="L71" s="100">
        <f t="shared" si="109"/>
        <v>2902515.6640440854</v>
      </c>
      <c r="M71" s="100">
        <f t="shared" si="109"/>
        <v>2902515.6640440854</v>
      </c>
      <c r="N71" s="100">
        <f t="shared" si="109"/>
        <v>2902515.6640440854</v>
      </c>
      <c r="O71" s="100">
        <f t="shared" si="109"/>
        <v>2902515.6640440854</v>
      </c>
      <c r="P71" s="100">
        <f t="shared" si="109"/>
        <v>2902515.6640440854</v>
      </c>
      <c r="Q71" s="100">
        <f t="shared" si="109"/>
        <v>2902515.6640440854</v>
      </c>
      <c r="R71" s="100">
        <f t="shared" si="109"/>
        <v>2902515.6640440854</v>
      </c>
      <c r="S71" s="100">
        <f t="shared" si="109"/>
        <v>2902515.6640440854</v>
      </c>
      <c r="T71" s="100">
        <f t="shared" si="109"/>
        <v>2902515.6640440854</v>
      </c>
      <c r="U71" s="100">
        <f t="shared" si="109"/>
        <v>2902515.6640440854</v>
      </c>
      <c r="V71" s="100">
        <f t="shared" si="109"/>
        <v>2902515.6640440854</v>
      </c>
      <c r="W71" s="100">
        <f t="shared" si="109"/>
        <v>2902515.6640440854</v>
      </c>
      <c r="X71" s="100">
        <f t="shared" si="109"/>
        <v>2902515.6640440854</v>
      </c>
      <c r="Y71" s="100">
        <f t="shared" si="109"/>
        <v>2902515.6640440854</v>
      </c>
      <c r="Z71" s="100">
        <f t="shared" si="109"/>
        <v>2902515.6640440854</v>
      </c>
      <c r="AA71" s="100">
        <f t="shared" si="109"/>
        <v>2902515.6640440854</v>
      </c>
      <c r="AB71" s="49">
        <f t="shared" si="21"/>
        <v>1316334161.0207255</v>
      </c>
      <c r="AC71" s="101">
        <f>IFERROR(up_RadSpec!$E$29*($AC$29/$B71),".")</f>
        <v>329083540.25518137</v>
      </c>
      <c r="AD71" s="101">
        <f>IFERROR(up_RadSpec!$E$29*($AD$29/$B71),".")</f>
        <v>329083540.25518137</v>
      </c>
      <c r="AE71" s="101">
        <f>IFERROR(up_RadSpec!$E$29*($AY$29/$B71),".")</f>
        <v>329083540.25518137</v>
      </c>
      <c r="AF71" s="101">
        <f>IFERROR(up_RadSpec!$E$29*($AY$29/$B71),".")</f>
        <v>329083540.25518137</v>
      </c>
      <c r="AG71" s="101">
        <f>IFERROR(up_RadSpec!$E$29*($AY$29/$B71),".")</f>
        <v>329083540.25518137</v>
      </c>
      <c r="AH71" s="101">
        <f>IFERROR(up_RadSpec!$E$29*($AY$29/$B71),".")</f>
        <v>329083540.25518137</v>
      </c>
      <c r="AI71" s="101">
        <f>IFERROR(up_RadSpec!$E$29*($AY$29/$B71),".")</f>
        <v>329083540.25518137</v>
      </c>
      <c r="AJ71" s="101">
        <f>IFERROR(up_RadSpec!$E$29*($AY$29/$B71),".")</f>
        <v>329083540.25518137</v>
      </c>
      <c r="AK71" s="101">
        <f>IFERROR(up_RadSpec!$E$29*($AY$29/$B71),".")</f>
        <v>329083540.25518137</v>
      </c>
      <c r="AL71" s="101">
        <f>IFERROR(up_RadSpec!$E$29*($AY$29/$B71),".")</f>
        <v>329083540.25518137</v>
      </c>
      <c r="AM71" s="101">
        <f>IFERROR(up_RadSpec!$E$29*($AY$29/$B71),".")</f>
        <v>329083540.25518137</v>
      </c>
      <c r="AN71" s="101">
        <f>IFERROR(up_RadSpec!$E$29*($AY$29/$B71),".")</f>
        <v>329083540.25518137</v>
      </c>
      <c r="AO71" s="101">
        <f>IFERROR(up_RadSpec!$E$29*($AY$29/$B71),".")</f>
        <v>329083540.25518137</v>
      </c>
      <c r="AP71" s="101">
        <f>IFERROR(up_RadSpec!$E$29*($AY$29/$B71),".")</f>
        <v>329083540.25518137</v>
      </c>
      <c r="AQ71" s="101">
        <f>IFERROR(up_RadSpec!$E$29*($AY$29/$B71),".")</f>
        <v>329083540.25518137</v>
      </c>
      <c r="AR71" s="101">
        <f>IFERROR(up_RadSpec!$E$29*($AY$29/$B71),".")</f>
        <v>329083540.25518137</v>
      </c>
      <c r="AS71" s="101">
        <f>IFERROR(up_RadSpec!$E$29*($AY$29/$B71),".")</f>
        <v>329083540.25518137</v>
      </c>
      <c r="AT71" s="101">
        <f>IFERROR(up_RadSpec!$E$29*($AY$29/$B71),".")</f>
        <v>329083540.25518137</v>
      </c>
      <c r="AU71" s="101">
        <f>IFERROR(up_RadSpec!$E$29*($AY$29/$B71),".")</f>
        <v>329083540.25518137</v>
      </c>
      <c r="AV71" s="101">
        <f>IFERROR(up_RadSpec!$E$29*($AY$29/$B71),".")</f>
        <v>329083540.25518137</v>
      </c>
      <c r="AW71" s="101">
        <f>IFERROR(up_RadSpec!$E$29*($AY$29/$B71),".")</f>
        <v>329083540.25518137</v>
      </c>
      <c r="AX71" s="101">
        <f>IFERROR(up_RadSpec!$E$29*($AY$29/$B71),".")</f>
        <v>329083540.25518137</v>
      </c>
      <c r="AY71" s="101">
        <f>IFERROR(up_RadSpec!$E$29*($AY$29/$B71),".")</f>
        <v>329083540.25518137</v>
      </c>
      <c r="AZ71" s="101">
        <f>IFERROR(up_RadSpec!$E$29*($AZ$29/$B71),".")</f>
        <v>329083540.25518137</v>
      </c>
      <c r="BA71" s="100">
        <f t="shared" si="22"/>
        <v>725628.91601102136</v>
      </c>
      <c r="BB71" s="100">
        <f t="shared" ref="BB71:BY71" si="110">IFERROR($B71/BB29,0)</f>
        <v>2902515.6640440854</v>
      </c>
      <c r="BC71" s="100">
        <f t="shared" si="110"/>
        <v>2902515.6640440854</v>
      </c>
      <c r="BD71" s="100">
        <f t="shared" si="110"/>
        <v>2902515.6640440854</v>
      </c>
      <c r="BE71" s="100">
        <f t="shared" si="110"/>
        <v>2902515.6640440854</v>
      </c>
      <c r="BF71" s="100">
        <f t="shared" si="110"/>
        <v>2902515.6640440854</v>
      </c>
      <c r="BG71" s="100">
        <f t="shared" si="110"/>
        <v>2902515.6640440854</v>
      </c>
      <c r="BH71" s="100">
        <f t="shared" si="110"/>
        <v>2902515.6640440854</v>
      </c>
      <c r="BI71" s="100">
        <f t="shared" si="110"/>
        <v>2902515.6640440854</v>
      </c>
      <c r="BJ71" s="100">
        <f t="shared" si="110"/>
        <v>2902515.6640440854</v>
      </c>
      <c r="BK71" s="100">
        <f t="shared" si="110"/>
        <v>2902515.6640440854</v>
      </c>
      <c r="BL71" s="100">
        <f t="shared" si="110"/>
        <v>2902515.6640440854</v>
      </c>
      <c r="BM71" s="100">
        <f t="shared" si="110"/>
        <v>2902515.6640440854</v>
      </c>
      <c r="BN71" s="100">
        <f t="shared" si="110"/>
        <v>2902515.6640440854</v>
      </c>
      <c r="BO71" s="100">
        <f t="shared" si="110"/>
        <v>2902515.6640440854</v>
      </c>
      <c r="BP71" s="100">
        <f t="shared" si="110"/>
        <v>2902515.6640440854</v>
      </c>
      <c r="BQ71" s="100">
        <f t="shared" si="110"/>
        <v>2902515.6640440854</v>
      </c>
      <c r="BR71" s="100">
        <f t="shared" si="110"/>
        <v>2902515.6640440854</v>
      </c>
      <c r="BS71" s="100">
        <f t="shared" si="110"/>
        <v>2902515.6640440854</v>
      </c>
      <c r="BT71" s="100">
        <f t="shared" si="110"/>
        <v>2902515.6640440854</v>
      </c>
      <c r="BU71" s="100">
        <f t="shared" si="110"/>
        <v>2902515.6640440854</v>
      </c>
      <c r="BV71" s="100">
        <f t="shared" si="110"/>
        <v>2902515.6640440854</v>
      </c>
      <c r="BW71" s="100">
        <f t="shared" si="110"/>
        <v>2902515.6640440854</v>
      </c>
      <c r="BX71" s="100">
        <f t="shared" si="110"/>
        <v>2902515.6640440854</v>
      </c>
      <c r="BY71" s="100">
        <f t="shared" si="110"/>
        <v>2902515.6640440854</v>
      </c>
      <c r="BZ71" s="49">
        <f t="shared" si="95"/>
        <v>1316334161.0207255</v>
      </c>
      <c r="CA71" s="101">
        <f>IFERROR(up_RadSpec!$E$29*($AC$29/$B71),".")</f>
        <v>329083540.25518137</v>
      </c>
      <c r="CB71" s="101">
        <f>IFERROR(up_RadSpec!$E$29*($AD$29/$B71),".")</f>
        <v>329083540.25518137</v>
      </c>
      <c r="CC71" s="101">
        <f>IFERROR(up_RadSpec!$E$29*($AY$29/$B71),".")</f>
        <v>329083540.25518137</v>
      </c>
      <c r="CD71" s="101">
        <f>IFERROR(up_RadSpec!$E$29*($AY$29/$B71),".")</f>
        <v>329083540.25518137</v>
      </c>
      <c r="CE71" s="101">
        <f>IFERROR(up_RadSpec!$E$29*($AY$29/$B71),".")</f>
        <v>329083540.25518137</v>
      </c>
      <c r="CF71" s="101">
        <f>IFERROR(up_RadSpec!$E$29*($AY$29/$B71),".")</f>
        <v>329083540.25518137</v>
      </c>
      <c r="CG71" s="101">
        <f>IFERROR(up_RadSpec!$E$29*($AY$29/$B71),".")</f>
        <v>329083540.25518137</v>
      </c>
      <c r="CH71" s="101">
        <f>IFERROR(up_RadSpec!$E$29*($AY$29/$B71),".")</f>
        <v>329083540.25518137</v>
      </c>
      <c r="CI71" s="101">
        <f>IFERROR(up_RadSpec!$E$29*($AY$29/$B71),".")</f>
        <v>329083540.25518137</v>
      </c>
      <c r="CJ71" s="101">
        <f>IFERROR(up_RadSpec!$E$29*($AY$29/$B71),".")</f>
        <v>329083540.25518137</v>
      </c>
      <c r="CK71" s="101">
        <f>IFERROR(up_RadSpec!$E$29*($AY$29/$B71),".")</f>
        <v>329083540.25518137</v>
      </c>
      <c r="CL71" s="101">
        <f>IFERROR(up_RadSpec!$E$29*($AY$29/$B71),".")</f>
        <v>329083540.25518137</v>
      </c>
      <c r="CM71" s="101">
        <f>IFERROR(up_RadSpec!$E$29*($AY$29/$B71),".")</f>
        <v>329083540.25518137</v>
      </c>
      <c r="CN71" s="101">
        <f>IFERROR(up_RadSpec!$E$29*($AY$29/$B71),".")</f>
        <v>329083540.25518137</v>
      </c>
      <c r="CO71" s="101">
        <f>IFERROR(up_RadSpec!$E$29*($AY$29/$B71),".")</f>
        <v>329083540.25518137</v>
      </c>
      <c r="CP71" s="101">
        <f>IFERROR(up_RadSpec!$E$29*($AY$29/$B71),".")</f>
        <v>329083540.25518137</v>
      </c>
      <c r="CQ71" s="101">
        <f>IFERROR(up_RadSpec!$E$29*($AY$29/$B71),".")</f>
        <v>329083540.25518137</v>
      </c>
      <c r="CR71" s="101">
        <f>IFERROR(up_RadSpec!$E$29*($AY$29/$B71),".")</f>
        <v>329083540.25518137</v>
      </c>
      <c r="CS71" s="101">
        <f>IFERROR(up_RadSpec!$E$29*($AY$29/$B71),".")</f>
        <v>329083540.25518137</v>
      </c>
      <c r="CT71" s="101">
        <f>IFERROR(up_RadSpec!$E$29*($AY$29/$B71),".")</f>
        <v>329083540.25518137</v>
      </c>
      <c r="CU71" s="101">
        <f>IFERROR(up_RadSpec!$E$29*($AY$29/$B71),".")</f>
        <v>329083540.25518137</v>
      </c>
      <c r="CV71" s="101">
        <f>IFERROR(up_RadSpec!$E$29*($AY$29/$B71),".")</f>
        <v>329083540.25518137</v>
      </c>
      <c r="CW71" s="101">
        <f>IFERROR(up_RadSpec!$E$29*($AY$29/$B71),".")</f>
        <v>329083540.25518137</v>
      </c>
      <c r="CX71" s="101">
        <f>IFERROR(up_RadSpec!$E$29*($AZ$29/$B71),".")</f>
        <v>329083540.25518137</v>
      </c>
    </row>
    <row r="72" spans="1:102" x14ac:dyDescent="0.25">
      <c r="A72" s="99" t="s">
        <v>1096</v>
      </c>
      <c r="B72" s="90">
        <v>1</v>
      </c>
      <c r="C72" s="100">
        <f t="shared" si="98"/>
        <v>3455376481.6039696</v>
      </c>
      <c r="D72" s="100">
        <f t="shared" ref="D72:AA72" si="111">IFERROR($B72/D16,0)</f>
        <v>13821505926.415878</v>
      </c>
      <c r="E72" s="100">
        <f t="shared" si="111"/>
        <v>13821505926.415878</v>
      </c>
      <c r="F72" s="100">
        <f t="shared" si="111"/>
        <v>13821505926.415878</v>
      </c>
      <c r="G72" s="100">
        <f t="shared" si="111"/>
        <v>13821505926.415878</v>
      </c>
      <c r="H72" s="100">
        <f t="shared" si="111"/>
        <v>13821505926.415878</v>
      </c>
      <c r="I72" s="100">
        <f t="shared" si="111"/>
        <v>13821505926.415878</v>
      </c>
      <c r="J72" s="100">
        <f t="shared" si="111"/>
        <v>13821505926.415878</v>
      </c>
      <c r="K72" s="100">
        <f t="shared" si="111"/>
        <v>13821505926.415878</v>
      </c>
      <c r="L72" s="100">
        <f t="shared" si="111"/>
        <v>13821505926.415878</v>
      </c>
      <c r="M72" s="100">
        <f t="shared" si="111"/>
        <v>13821505926.415878</v>
      </c>
      <c r="N72" s="100">
        <f t="shared" si="111"/>
        <v>13821505926.415878</v>
      </c>
      <c r="O72" s="100">
        <f t="shared" si="111"/>
        <v>13821505926.415878</v>
      </c>
      <c r="P72" s="100">
        <f t="shared" si="111"/>
        <v>13821505926.415878</v>
      </c>
      <c r="Q72" s="100">
        <f t="shared" si="111"/>
        <v>13821505926.415878</v>
      </c>
      <c r="R72" s="100">
        <f t="shared" si="111"/>
        <v>13821505926.415878</v>
      </c>
      <c r="S72" s="100">
        <f t="shared" si="111"/>
        <v>13821505926.415878</v>
      </c>
      <c r="T72" s="100">
        <f t="shared" si="111"/>
        <v>13821505926.415878</v>
      </c>
      <c r="U72" s="100">
        <f t="shared" si="111"/>
        <v>13821505926.415878</v>
      </c>
      <c r="V72" s="100">
        <f t="shared" si="111"/>
        <v>13821505926.415878</v>
      </c>
      <c r="W72" s="100">
        <f t="shared" si="111"/>
        <v>13821505926.415878</v>
      </c>
      <c r="X72" s="100">
        <f t="shared" si="111"/>
        <v>13821505926.415878</v>
      </c>
      <c r="Y72" s="100">
        <f t="shared" si="111"/>
        <v>13821505926.415878</v>
      </c>
      <c r="Z72" s="100">
        <f t="shared" si="111"/>
        <v>13821505926.415878</v>
      </c>
      <c r="AA72" s="100">
        <f t="shared" si="111"/>
        <v>13821505926.415878</v>
      </c>
      <c r="AB72" s="49">
        <f t="shared" si="21"/>
        <v>276430.1185283176</v>
      </c>
      <c r="AC72" s="101">
        <f>IFERROR(up_RadSpec!$E$16*($AC$16/$B72),".")</f>
        <v>69107.5296320794</v>
      </c>
      <c r="AD72" s="101">
        <f>IFERROR(up_RadSpec!$E$16*($AD$16/$B72),".")</f>
        <v>69107.5296320794</v>
      </c>
      <c r="AE72" s="101">
        <f>IFERROR(up_RadSpec!$E$16*($AY$16/$B72),".")</f>
        <v>69107.5296320794</v>
      </c>
      <c r="AF72" s="101">
        <f>IFERROR(up_RadSpec!$E$16*($AY$16/$B72),".")</f>
        <v>69107.5296320794</v>
      </c>
      <c r="AG72" s="101">
        <f>IFERROR(up_RadSpec!$E$16*($AY$16/$B72),".")</f>
        <v>69107.5296320794</v>
      </c>
      <c r="AH72" s="101">
        <f>IFERROR(up_RadSpec!$E$16*($AY$16/$B72),".")</f>
        <v>69107.5296320794</v>
      </c>
      <c r="AI72" s="101">
        <f>IFERROR(up_RadSpec!$E$16*($AY$16/$B72),".")</f>
        <v>69107.5296320794</v>
      </c>
      <c r="AJ72" s="101">
        <f>IFERROR(up_RadSpec!$E$16*($AY$16/$B72),".")</f>
        <v>69107.5296320794</v>
      </c>
      <c r="AK72" s="101">
        <f>IFERROR(up_RadSpec!$E$16*($AY$16/$B72),".")</f>
        <v>69107.5296320794</v>
      </c>
      <c r="AL72" s="101">
        <f>IFERROR(up_RadSpec!$E$16*($AY$16/$B72),".")</f>
        <v>69107.5296320794</v>
      </c>
      <c r="AM72" s="101">
        <f>IFERROR(up_RadSpec!$E$16*($AY$16/$B72),".")</f>
        <v>69107.5296320794</v>
      </c>
      <c r="AN72" s="101">
        <f>IFERROR(up_RadSpec!$E$16*($AY$16/$B72),".")</f>
        <v>69107.5296320794</v>
      </c>
      <c r="AO72" s="101">
        <f>IFERROR(up_RadSpec!$E$16*($AY$16/$B72),".")</f>
        <v>69107.5296320794</v>
      </c>
      <c r="AP72" s="101">
        <f>IFERROR(up_RadSpec!$E$16*($AY$16/$B72),".")</f>
        <v>69107.5296320794</v>
      </c>
      <c r="AQ72" s="101">
        <f>IFERROR(up_RadSpec!$E$16*($AY$16/$B72),".")</f>
        <v>69107.5296320794</v>
      </c>
      <c r="AR72" s="101">
        <f>IFERROR(up_RadSpec!$E$16*($AY$16/$B72),".")</f>
        <v>69107.5296320794</v>
      </c>
      <c r="AS72" s="101">
        <f>IFERROR(up_RadSpec!$E$16*($AY$16/$B72),".")</f>
        <v>69107.5296320794</v>
      </c>
      <c r="AT72" s="101">
        <f>IFERROR(up_RadSpec!$E$16*($AY$16/$B72),".")</f>
        <v>69107.5296320794</v>
      </c>
      <c r="AU72" s="101">
        <f>IFERROR(up_RadSpec!$E$16*($AY$16/$B72),".")</f>
        <v>69107.5296320794</v>
      </c>
      <c r="AV72" s="101">
        <f>IFERROR(up_RadSpec!$E$16*($AY$16/$B72),".")</f>
        <v>69107.5296320794</v>
      </c>
      <c r="AW72" s="101">
        <f>IFERROR(up_RadSpec!$E$16*($AY$16/$B72),".")</f>
        <v>69107.5296320794</v>
      </c>
      <c r="AX72" s="101">
        <f>IFERROR(up_RadSpec!$E$16*($AY$16/$B72),".")</f>
        <v>69107.5296320794</v>
      </c>
      <c r="AY72" s="101">
        <f>IFERROR(up_RadSpec!$E$16*($AY$16/$B72),".")</f>
        <v>69107.5296320794</v>
      </c>
      <c r="AZ72" s="101">
        <f>IFERROR(up_RadSpec!$E$16*($AZ$16/$B72),".")</f>
        <v>69107.5296320794</v>
      </c>
      <c r="BA72" s="100">
        <f t="shared" si="22"/>
        <v>3455376481.6039696</v>
      </c>
      <c r="BB72" s="100">
        <f t="shared" ref="BB72:BY72" si="112">IFERROR($B72/BB16,0)</f>
        <v>13821505926.415878</v>
      </c>
      <c r="BC72" s="100">
        <f t="shared" si="112"/>
        <v>13821505926.415878</v>
      </c>
      <c r="BD72" s="100">
        <f t="shared" si="112"/>
        <v>13821505926.415878</v>
      </c>
      <c r="BE72" s="100">
        <f t="shared" si="112"/>
        <v>13821505926.415878</v>
      </c>
      <c r="BF72" s="100">
        <f t="shared" si="112"/>
        <v>13821505926.415878</v>
      </c>
      <c r="BG72" s="100">
        <f t="shared" si="112"/>
        <v>13821505926.415878</v>
      </c>
      <c r="BH72" s="100">
        <f t="shared" si="112"/>
        <v>13821505926.415878</v>
      </c>
      <c r="BI72" s="100">
        <f t="shared" si="112"/>
        <v>13821505926.415878</v>
      </c>
      <c r="BJ72" s="100">
        <f t="shared" si="112"/>
        <v>13821505926.415878</v>
      </c>
      <c r="BK72" s="100">
        <f t="shared" si="112"/>
        <v>13821505926.415878</v>
      </c>
      <c r="BL72" s="100">
        <f t="shared" si="112"/>
        <v>13821505926.415878</v>
      </c>
      <c r="BM72" s="100">
        <f t="shared" si="112"/>
        <v>13821505926.415878</v>
      </c>
      <c r="BN72" s="100">
        <f t="shared" si="112"/>
        <v>13821505926.415878</v>
      </c>
      <c r="BO72" s="100">
        <f t="shared" si="112"/>
        <v>13821505926.415878</v>
      </c>
      <c r="BP72" s="100">
        <f t="shared" si="112"/>
        <v>13821505926.415878</v>
      </c>
      <c r="BQ72" s="100">
        <f t="shared" si="112"/>
        <v>13821505926.415878</v>
      </c>
      <c r="BR72" s="100">
        <f t="shared" si="112"/>
        <v>13821505926.415878</v>
      </c>
      <c r="BS72" s="100">
        <f t="shared" si="112"/>
        <v>13821505926.415878</v>
      </c>
      <c r="BT72" s="100">
        <f t="shared" si="112"/>
        <v>13821505926.415878</v>
      </c>
      <c r="BU72" s="100">
        <f t="shared" si="112"/>
        <v>13821505926.415878</v>
      </c>
      <c r="BV72" s="100">
        <f t="shared" si="112"/>
        <v>13821505926.415878</v>
      </c>
      <c r="BW72" s="100">
        <f t="shared" si="112"/>
        <v>13821505926.415878</v>
      </c>
      <c r="BX72" s="100">
        <f t="shared" si="112"/>
        <v>13821505926.415878</v>
      </c>
      <c r="BY72" s="100">
        <f t="shared" si="112"/>
        <v>13821505926.415878</v>
      </c>
      <c r="BZ72" s="49">
        <f t="shared" si="95"/>
        <v>276430.1185283176</v>
      </c>
      <c r="CA72" s="101">
        <f>IFERROR(up_RadSpec!$E$16*($AC$16/$B72),".")</f>
        <v>69107.5296320794</v>
      </c>
      <c r="CB72" s="101">
        <f>IFERROR(up_RadSpec!$E$16*($AD$16/$B72),".")</f>
        <v>69107.5296320794</v>
      </c>
      <c r="CC72" s="101">
        <f>IFERROR(up_RadSpec!$E$16*($AY$16/$B72),".")</f>
        <v>69107.5296320794</v>
      </c>
      <c r="CD72" s="101">
        <f>IFERROR(up_RadSpec!$E$16*($AY$16/$B72),".")</f>
        <v>69107.5296320794</v>
      </c>
      <c r="CE72" s="101">
        <f>IFERROR(up_RadSpec!$E$16*($AY$16/$B72),".")</f>
        <v>69107.5296320794</v>
      </c>
      <c r="CF72" s="101">
        <f>IFERROR(up_RadSpec!$E$16*($AY$16/$B72),".")</f>
        <v>69107.5296320794</v>
      </c>
      <c r="CG72" s="101">
        <f>IFERROR(up_RadSpec!$E$16*($AY$16/$B72),".")</f>
        <v>69107.5296320794</v>
      </c>
      <c r="CH72" s="101">
        <f>IFERROR(up_RadSpec!$E$16*($AY$16/$B72),".")</f>
        <v>69107.5296320794</v>
      </c>
      <c r="CI72" s="101">
        <f>IFERROR(up_RadSpec!$E$16*($AY$16/$B72),".")</f>
        <v>69107.5296320794</v>
      </c>
      <c r="CJ72" s="101">
        <f>IFERROR(up_RadSpec!$E$16*($AY$16/$B72),".")</f>
        <v>69107.5296320794</v>
      </c>
      <c r="CK72" s="101">
        <f>IFERROR(up_RadSpec!$E$16*($AY$16/$B72),".")</f>
        <v>69107.5296320794</v>
      </c>
      <c r="CL72" s="101">
        <f>IFERROR(up_RadSpec!$E$16*($AY$16/$B72),".")</f>
        <v>69107.5296320794</v>
      </c>
      <c r="CM72" s="101">
        <f>IFERROR(up_RadSpec!$E$16*($AY$16/$B72),".")</f>
        <v>69107.5296320794</v>
      </c>
      <c r="CN72" s="101">
        <f>IFERROR(up_RadSpec!$E$16*($AY$16/$B72),".")</f>
        <v>69107.5296320794</v>
      </c>
      <c r="CO72" s="101">
        <f>IFERROR(up_RadSpec!$E$16*($AY$16/$B72),".")</f>
        <v>69107.5296320794</v>
      </c>
      <c r="CP72" s="101">
        <f>IFERROR(up_RadSpec!$E$16*($AY$16/$B72),".")</f>
        <v>69107.5296320794</v>
      </c>
      <c r="CQ72" s="101">
        <f>IFERROR(up_RadSpec!$E$16*($AY$16/$B72),".")</f>
        <v>69107.5296320794</v>
      </c>
      <c r="CR72" s="101">
        <f>IFERROR(up_RadSpec!$E$16*($AY$16/$B72),".")</f>
        <v>69107.5296320794</v>
      </c>
      <c r="CS72" s="101">
        <f>IFERROR(up_RadSpec!$E$16*($AY$16/$B72),".")</f>
        <v>69107.5296320794</v>
      </c>
      <c r="CT72" s="101">
        <f>IFERROR(up_RadSpec!$E$16*($AY$16/$B72),".")</f>
        <v>69107.5296320794</v>
      </c>
      <c r="CU72" s="101">
        <f>IFERROR(up_RadSpec!$E$16*($AY$16/$B72),".")</f>
        <v>69107.5296320794</v>
      </c>
      <c r="CV72" s="101">
        <f>IFERROR(up_RadSpec!$E$16*($AY$16/$B72),".")</f>
        <v>69107.5296320794</v>
      </c>
      <c r="CW72" s="101">
        <f>IFERROR(up_RadSpec!$E$16*($AY$16/$B72),".")</f>
        <v>69107.5296320794</v>
      </c>
      <c r="CX72" s="101">
        <f>IFERROR(up_RadSpec!$E$16*($AZ$16/$B72),".")</f>
        <v>69107.5296320794</v>
      </c>
    </row>
    <row r="73" spans="1:102" x14ac:dyDescent="0.25">
      <c r="A73" s="99" t="s">
        <v>1097</v>
      </c>
      <c r="B73" s="90">
        <v>1</v>
      </c>
      <c r="C73" s="100">
        <f t="shared" si="98"/>
        <v>3455376481.6039696</v>
      </c>
      <c r="D73" s="100">
        <f t="shared" ref="D73:AA73" si="113">IFERROR($B73/D7,0)</f>
        <v>13821505926.415878</v>
      </c>
      <c r="E73" s="100">
        <f t="shared" si="113"/>
        <v>13821505926.415878</v>
      </c>
      <c r="F73" s="100">
        <f t="shared" si="113"/>
        <v>13821505926.415878</v>
      </c>
      <c r="G73" s="100">
        <f t="shared" si="113"/>
        <v>13821505926.415878</v>
      </c>
      <c r="H73" s="100">
        <f t="shared" si="113"/>
        <v>13821505926.415878</v>
      </c>
      <c r="I73" s="100">
        <f t="shared" si="113"/>
        <v>13821505926.415878</v>
      </c>
      <c r="J73" s="100">
        <f t="shared" si="113"/>
        <v>13821505926.415878</v>
      </c>
      <c r="K73" s="100">
        <f t="shared" si="113"/>
        <v>13821505926.415878</v>
      </c>
      <c r="L73" s="100">
        <f t="shared" si="113"/>
        <v>13821505926.415878</v>
      </c>
      <c r="M73" s="100">
        <f t="shared" si="113"/>
        <v>13821505926.415878</v>
      </c>
      <c r="N73" s="100">
        <f t="shared" si="113"/>
        <v>13821505926.415878</v>
      </c>
      <c r="O73" s="100">
        <f t="shared" si="113"/>
        <v>13821505926.415878</v>
      </c>
      <c r="P73" s="100">
        <f t="shared" si="113"/>
        <v>13821505926.415878</v>
      </c>
      <c r="Q73" s="100">
        <f t="shared" si="113"/>
        <v>13821505926.415878</v>
      </c>
      <c r="R73" s="100">
        <f t="shared" si="113"/>
        <v>13821505926.415878</v>
      </c>
      <c r="S73" s="100">
        <f t="shared" si="113"/>
        <v>13821505926.415878</v>
      </c>
      <c r="T73" s="100">
        <f t="shared" si="113"/>
        <v>13821505926.415878</v>
      </c>
      <c r="U73" s="100">
        <f t="shared" si="113"/>
        <v>13821505926.415878</v>
      </c>
      <c r="V73" s="100">
        <f t="shared" si="113"/>
        <v>13821505926.415878</v>
      </c>
      <c r="W73" s="100">
        <f t="shared" si="113"/>
        <v>13821505926.415878</v>
      </c>
      <c r="X73" s="100">
        <f t="shared" si="113"/>
        <v>13821505926.415878</v>
      </c>
      <c r="Y73" s="100">
        <f t="shared" si="113"/>
        <v>13821505926.415878</v>
      </c>
      <c r="Z73" s="100">
        <f t="shared" si="113"/>
        <v>13821505926.415878</v>
      </c>
      <c r="AA73" s="100">
        <f t="shared" si="113"/>
        <v>13821505926.415878</v>
      </c>
      <c r="AB73" s="49">
        <f t="shared" si="21"/>
        <v>276430.1185283176</v>
      </c>
      <c r="AC73" s="101">
        <f>IFERROR(up_RadSpec!$E$7*($AC$7/$B73),".")</f>
        <v>69107.5296320794</v>
      </c>
      <c r="AD73" s="101">
        <f>IFERROR(up_RadSpec!$E$7*($AD$7/$B73),".")</f>
        <v>69107.5296320794</v>
      </c>
      <c r="AE73" s="101">
        <f>IFERROR(up_RadSpec!$E$7*($AY$7/$B73),".")</f>
        <v>69107.5296320794</v>
      </c>
      <c r="AF73" s="101">
        <f>IFERROR(up_RadSpec!$E$7*($AY$7/$B73),".")</f>
        <v>69107.5296320794</v>
      </c>
      <c r="AG73" s="101">
        <f>IFERROR(up_RadSpec!$E$7*($AY$7/$B73),".")</f>
        <v>69107.5296320794</v>
      </c>
      <c r="AH73" s="101">
        <f>IFERROR(up_RadSpec!$E$7*($AY$7/$B73),".")</f>
        <v>69107.5296320794</v>
      </c>
      <c r="AI73" s="101">
        <f>IFERROR(up_RadSpec!$E$7*($AY$7/$B73),".")</f>
        <v>69107.5296320794</v>
      </c>
      <c r="AJ73" s="101">
        <f>IFERROR(up_RadSpec!$E$7*($AY$7/$B73),".")</f>
        <v>69107.5296320794</v>
      </c>
      <c r="AK73" s="101">
        <f>IFERROR(up_RadSpec!$E$7*($AY$7/$B73),".")</f>
        <v>69107.5296320794</v>
      </c>
      <c r="AL73" s="101">
        <f>IFERROR(up_RadSpec!$E$7*($AY$7/$B73),".")</f>
        <v>69107.5296320794</v>
      </c>
      <c r="AM73" s="101">
        <f>IFERROR(up_RadSpec!$E$7*($AY$7/$B73),".")</f>
        <v>69107.5296320794</v>
      </c>
      <c r="AN73" s="101">
        <f>IFERROR(up_RadSpec!$E$7*($AY$7/$B73),".")</f>
        <v>69107.5296320794</v>
      </c>
      <c r="AO73" s="101">
        <f>IFERROR(up_RadSpec!$E$7*($AY$7/$B73),".")</f>
        <v>69107.5296320794</v>
      </c>
      <c r="AP73" s="101">
        <f>IFERROR(up_RadSpec!$E$7*($AY$7/$B73),".")</f>
        <v>69107.5296320794</v>
      </c>
      <c r="AQ73" s="101">
        <f>IFERROR(up_RadSpec!$E$7*($AY$7/$B73),".")</f>
        <v>69107.5296320794</v>
      </c>
      <c r="AR73" s="101">
        <f>IFERROR(up_RadSpec!$E$7*($AY$7/$B73),".")</f>
        <v>69107.5296320794</v>
      </c>
      <c r="AS73" s="101">
        <f>IFERROR(up_RadSpec!$E$7*($AY$7/$B73),".")</f>
        <v>69107.5296320794</v>
      </c>
      <c r="AT73" s="101">
        <f>IFERROR(up_RadSpec!$E$7*($AY$7/$B73),".")</f>
        <v>69107.5296320794</v>
      </c>
      <c r="AU73" s="101">
        <f>IFERROR(up_RadSpec!$E$7*($AY$7/$B73),".")</f>
        <v>69107.5296320794</v>
      </c>
      <c r="AV73" s="101">
        <f>IFERROR(up_RadSpec!$E$7*($AY$7/$B73),".")</f>
        <v>69107.5296320794</v>
      </c>
      <c r="AW73" s="101">
        <f>IFERROR(up_RadSpec!$E$7*($AY$7/$B73),".")</f>
        <v>69107.5296320794</v>
      </c>
      <c r="AX73" s="101">
        <f>IFERROR(up_RadSpec!$E$7*($AY$7/$B73),".")</f>
        <v>69107.5296320794</v>
      </c>
      <c r="AY73" s="101">
        <f>IFERROR(up_RadSpec!$E$7*($AY$7/$B73),".")</f>
        <v>69107.5296320794</v>
      </c>
      <c r="AZ73" s="101">
        <f>IFERROR(up_RadSpec!$E$7*($AZ$7/$B73),".")</f>
        <v>69107.5296320794</v>
      </c>
      <c r="BA73" s="100">
        <f t="shared" si="22"/>
        <v>3455376481.6039696</v>
      </c>
      <c r="BB73" s="100">
        <f t="shared" ref="BB73:BY73" si="114">IFERROR($B73/BB7,0)</f>
        <v>13821505926.415878</v>
      </c>
      <c r="BC73" s="100">
        <f t="shared" si="114"/>
        <v>13821505926.415878</v>
      </c>
      <c r="BD73" s="100">
        <f t="shared" si="114"/>
        <v>13821505926.415878</v>
      </c>
      <c r="BE73" s="100">
        <f t="shared" si="114"/>
        <v>13821505926.415878</v>
      </c>
      <c r="BF73" s="100">
        <f t="shared" si="114"/>
        <v>13821505926.415878</v>
      </c>
      <c r="BG73" s="100">
        <f t="shared" si="114"/>
        <v>13821505926.415878</v>
      </c>
      <c r="BH73" s="100">
        <f t="shared" si="114"/>
        <v>13821505926.415878</v>
      </c>
      <c r="BI73" s="100">
        <f t="shared" si="114"/>
        <v>13821505926.415878</v>
      </c>
      <c r="BJ73" s="100">
        <f t="shared" si="114"/>
        <v>13821505926.415878</v>
      </c>
      <c r="BK73" s="100">
        <f t="shared" si="114"/>
        <v>13821505926.415878</v>
      </c>
      <c r="BL73" s="100">
        <f t="shared" si="114"/>
        <v>13821505926.415878</v>
      </c>
      <c r="BM73" s="100">
        <f t="shared" si="114"/>
        <v>13821505926.415878</v>
      </c>
      <c r="BN73" s="100">
        <f t="shared" si="114"/>
        <v>13821505926.415878</v>
      </c>
      <c r="BO73" s="100">
        <f t="shared" si="114"/>
        <v>13821505926.415878</v>
      </c>
      <c r="BP73" s="100">
        <f t="shared" si="114"/>
        <v>13821505926.415878</v>
      </c>
      <c r="BQ73" s="100">
        <f t="shared" si="114"/>
        <v>13821505926.415878</v>
      </c>
      <c r="BR73" s="100">
        <f t="shared" si="114"/>
        <v>13821505926.415878</v>
      </c>
      <c r="BS73" s="100">
        <f t="shared" si="114"/>
        <v>13821505926.415878</v>
      </c>
      <c r="BT73" s="100">
        <f t="shared" si="114"/>
        <v>13821505926.415878</v>
      </c>
      <c r="BU73" s="100">
        <f t="shared" si="114"/>
        <v>13821505926.415878</v>
      </c>
      <c r="BV73" s="100">
        <f t="shared" si="114"/>
        <v>13821505926.415878</v>
      </c>
      <c r="BW73" s="100">
        <f t="shared" si="114"/>
        <v>13821505926.415878</v>
      </c>
      <c r="BX73" s="100">
        <f t="shared" si="114"/>
        <v>13821505926.415878</v>
      </c>
      <c r="BY73" s="100">
        <f t="shared" si="114"/>
        <v>13821505926.415878</v>
      </c>
      <c r="BZ73" s="49">
        <f t="shared" si="95"/>
        <v>276430.1185283176</v>
      </c>
      <c r="CA73" s="101">
        <f>IFERROR(up_RadSpec!$E$7*($AC$7/$B73),".")</f>
        <v>69107.5296320794</v>
      </c>
      <c r="CB73" s="101">
        <f>IFERROR(up_RadSpec!$E$7*($AD$7/$B73),".")</f>
        <v>69107.5296320794</v>
      </c>
      <c r="CC73" s="101">
        <f>IFERROR(up_RadSpec!$E$7*($AY$7/$B73),".")</f>
        <v>69107.5296320794</v>
      </c>
      <c r="CD73" s="101">
        <f>IFERROR(up_RadSpec!$E$7*($AY$7/$B73),".")</f>
        <v>69107.5296320794</v>
      </c>
      <c r="CE73" s="101">
        <f>IFERROR(up_RadSpec!$E$7*($AY$7/$B73),".")</f>
        <v>69107.5296320794</v>
      </c>
      <c r="CF73" s="101">
        <f>IFERROR(up_RadSpec!$E$7*($AY$7/$B73),".")</f>
        <v>69107.5296320794</v>
      </c>
      <c r="CG73" s="101">
        <f>IFERROR(up_RadSpec!$E$7*($AY$7/$B73),".")</f>
        <v>69107.5296320794</v>
      </c>
      <c r="CH73" s="101">
        <f>IFERROR(up_RadSpec!$E$7*($AY$7/$B73),".")</f>
        <v>69107.5296320794</v>
      </c>
      <c r="CI73" s="101">
        <f>IFERROR(up_RadSpec!$E$7*($AY$7/$B73),".")</f>
        <v>69107.5296320794</v>
      </c>
      <c r="CJ73" s="101">
        <f>IFERROR(up_RadSpec!$E$7*($AY$7/$B73),".")</f>
        <v>69107.5296320794</v>
      </c>
      <c r="CK73" s="101">
        <f>IFERROR(up_RadSpec!$E$7*($AY$7/$B73),".")</f>
        <v>69107.5296320794</v>
      </c>
      <c r="CL73" s="101">
        <f>IFERROR(up_RadSpec!$E$7*($AY$7/$B73),".")</f>
        <v>69107.5296320794</v>
      </c>
      <c r="CM73" s="101">
        <f>IFERROR(up_RadSpec!$E$7*($AY$7/$B73),".")</f>
        <v>69107.5296320794</v>
      </c>
      <c r="CN73" s="101">
        <f>IFERROR(up_RadSpec!$E$7*($AY$7/$B73),".")</f>
        <v>69107.5296320794</v>
      </c>
      <c r="CO73" s="101">
        <f>IFERROR(up_RadSpec!$E$7*($AY$7/$B73),".")</f>
        <v>69107.5296320794</v>
      </c>
      <c r="CP73" s="101">
        <f>IFERROR(up_RadSpec!$E$7*($AY$7/$B73),".")</f>
        <v>69107.5296320794</v>
      </c>
      <c r="CQ73" s="101">
        <f>IFERROR(up_RadSpec!$E$7*($AY$7/$B73),".")</f>
        <v>69107.5296320794</v>
      </c>
      <c r="CR73" s="101">
        <f>IFERROR(up_RadSpec!$E$7*($AY$7/$B73),".")</f>
        <v>69107.5296320794</v>
      </c>
      <c r="CS73" s="101">
        <f>IFERROR(up_RadSpec!$E$7*($AY$7/$B73),".")</f>
        <v>69107.5296320794</v>
      </c>
      <c r="CT73" s="101">
        <f>IFERROR(up_RadSpec!$E$7*($AY$7/$B73),".")</f>
        <v>69107.5296320794</v>
      </c>
      <c r="CU73" s="101">
        <f>IFERROR(up_RadSpec!$E$7*($AY$7/$B73),".")</f>
        <v>69107.5296320794</v>
      </c>
      <c r="CV73" s="101">
        <f>IFERROR(up_RadSpec!$E$7*($AY$7/$B73),".")</f>
        <v>69107.5296320794</v>
      </c>
      <c r="CW73" s="101">
        <f>IFERROR(up_RadSpec!$E$7*($AY$7/$B73),".")</f>
        <v>69107.5296320794</v>
      </c>
      <c r="CX73" s="101">
        <f>IFERROR(up_RadSpec!$E$7*($AZ$7/$B73),".")</f>
        <v>69107.5296320794</v>
      </c>
    </row>
    <row r="74" spans="1:102" x14ac:dyDescent="0.25">
      <c r="A74" s="99" t="s">
        <v>1098</v>
      </c>
      <c r="B74" s="104">
        <v>1.9000000000000001E-8</v>
      </c>
      <c r="C74" s="100">
        <f t="shared" si="98"/>
        <v>65.652153150475428</v>
      </c>
      <c r="D74" s="100">
        <f t="shared" ref="D74:AA74" si="115">IFERROR($B74/D12,0)</f>
        <v>262.60861260190171</v>
      </c>
      <c r="E74" s="100">
        <f t="shared" si="115"/>
        <v>262.60861260190171</v>
      </c>
      <c r="F74" s="100">
        <f t="shared" si="115"/>
        <v>262.60861260190171</v>
      </c>
      <c r="G74" s="100">
        <f t="shared" si="115"/>
        <v>262.60861260190171</v>
      </c>
      <c r="H74" s="100">
        <f t="shared" si="115"/>
        <v>262.60861260190171</v>
      </c>
      <c r="I74" s="100">
        <f t="shared" si="115"/>
        <v>262.60861260190171</v>
      </c>
      <c r="J74" s="100">
        <f t="shared" si="115"/>
        <v>262.60861260190171</v>
      </c>
      <c r="K74" s="100">
        <f t="shared" si="115"/>
        <v>262.60861260190171</v>
      </c>
      <c r="L74" s="100">
        <f t="shared" si="115"/>
        <v>262.60861260190171</v>
      </c>
      <c r="M74" s="100">
        <f t="shared" si="115"/>
        <v>262.60861260190171</v>
      </c>
      <c r="N74" s="100">
        <f t="shared" si="115"/>
        <v>262.60861260190171</v>
      </c>
      <c r="O74" s="100">
        <f t="shared" si="115"/>
        <v>262.60861260190171</v>
      </c>
      <c r="P74" s="100">
        <f t="shared" si="115"/>
        <v>262.60861260190171</v>
      </c>
      <c r="Q74" s="100">
        <f t="shared" si="115"/>
        <v>262.60861260190171</v>
      </c>
      <c r="R74" s="100">
        <f t="shared" si="115"/>
        <v>262.60861260190171</v>
      </c>
      <c r="S74" s="100">
        <f t="shared" si="115"/>
        <v>262.60861260190171</v>
      </c>
      <c r="T74" s="100">
        <f t="shared" si="115"/>
        <v>262.60861260190171</v>
      </c>
      <c r="U74" s="100">
        <f t="shared" si="115"/>
        <v>262.60861260190171</v>
      </c>
      <c r="V74" s="100">
        <f t="shared" si="115"/>
        <v>262.60861260190171</v>
      </c>
      <c r="W74" s="100">
        <f t="shared" si="115"/>
        <v>262.60861260190171</v>
      </c>
      <c r="X74" s="100">
        <f t="shared" si="115"/>
        <v>262.60861260190171</v>
      </c>
      <c r="Y74" s="100">
        <f t="shared" si="115"/>
        <v>262.60861260190171</v>
      </c>
      <c r="Z74" s="100">
        <f t="shared" si="115"/>
        <v>262.60861260190171</v>
      </c>
      <c r="AA74" s="100">
        <f t="shared" si="115"/>
        <v>262.60861260190171</v>
      </c>
      <c r="AB74" s="49">
        <f t="shared" si="21"/>
        <v>14548953606753.555</v>
      </c>
      <c r="AC74" s="101">
        <f>IFERROR(up_RadSpec!$E$12*($AC$12/$B74),".")</f>
        <v>3637238401688.3887</v>
      </c>
      <c r="AD74" s="101">
        <f>IFERROR(up_RadSpec!$E$12*($AD$12/$B74),".")</f>
        <v>3637238401688.3887</v>
      </c>
      <c r="AE74" s="101">
        <f>IFERROR(up_RadSpec!$E$12*($AY$12/$B74),".")</f>
        <v>3637238401688.3887</v>
      </c>
      <c r="AF74" s="101">
        <f>IFERROR(up_RadSpec!$E$12*($AY$12/$B74),".")</f>
        <v>3637238401688.3887</v>
      </c>
      <c r="AG74" s="101">
        <f>IFERROR(up_RadSpec!$E$12*($AY$12/$B74),".")</f>
        <v>3637238401688.3887</v>
      </c>
      <c r="AH74" s="101">
        <f>IFERROR(up_RadSpec!$E$12*($AY$12/$B74),".")</f>
        <v>3637238401688.3887</v>
      </c>
      <c r="AI74" s="101">
        <f>IFERROR(up_RadSpec!$E$12*($AY$12/$B74),".")</f>
        <v>3637238401688.3887</v>
      </c>
      <c r="AJ74" s="101">
        <f>IFERROR(up_RadSpec!$E$12*($AY$12/$B74),".")</f>
        <v>3637238401688.3887</v>
      </c>
      <c r="AK74" s="101">
        <f>IFERROR(up_RadSpec!$E$12*($AY$12/$B74),".")</f>
        <v>3637238401688.3887</v>
      </c>
      <c r="AL74" s="101">
        <f>IFERROR(up_RadSpec!$E$12*($AY$12/$B74),".")</f>
        <v>3637238401688.3887</v>
      </c>
      <c r="AM74" s="101">
        <f>IFERROR(up_RadSpec!$E$12*($AY$12/$B74),".")</f>
        <v>3637238401688.3887</v>
      </c>
      <c r="AN74" s="101">
        <f>IFERROR(up_RadSpec!$E$12*($AY$12/$B74),".")</f>
        <v>3637238401688.3887</v>
      </c>
      <c r="AO74" s="101">
        <f>IFERROR(up_RadSpec!$E$12*($AY$12/$B74),".")</f>
        <v>3637238401688.3887</v>
      </c>
      <c r="AP74" s="101">
        <f>IFERROR(up_RadSpec!$E$12*($AY$12/$B74),".")</f>
        <v>3637238401688.3887</v>
      </c>
      <c r="AQ74" s="101">
        <f>IFERROR(up_RadSpec!$E$12*($AY$12/$B74),".")</f>
        <v>3637238401688.3887</v>
      </c>
      <c r="AR74" s="101">
        <f>IFERROR(up_RadSpec!$E$12*($AY$12/$B74),".")</f>
        <v>3637238401688.3887</v>
      </c>
      <c r="AS74" s="101">
        <f>IFERROR(up_RadSpec!$E$12*($AY$12/$B74),".")</f>
        <v>3637238401688.3887</v>
      </c>
      <c r="AT74" s="101">
        <f>IFERROR(up_RadSpec!$E$12*($AY$12/$B74),".")</f>
        <v>3637238401688.3887</v>
      </c>
      <c r="AU74" s="101">
        <f>IFERROR(up_RadSpec!$E$12*($AY$12/$B74),".")</f>
        <v>3637238401688.3887</v>
      </c>
      <c r="AV74" s="101">
        <f>IFERROR(up_RadSpec!$E$12*($AY$12/$B74),".")</f>
        <v>3637238401688.3887</v>
      </c>
      <c r="AW74" s="101">
        <f>IFERROR(up_RadSpec!$E$12*($AY$12/$B74),".")</f>
        <v>3637238401688.3887</v>
      </c>
      <c r="AX74" s="101">
        <f>IFERROR(up_RadSpec!$E$12*($AY$12/$B74),".")</f>
        <v>3637238401688.3887</v>
      </c>
      <c r="AY74" s="101">
        <f>IFERROR(up_RadSpec!$E$12*($AY$12/$B74),".")</f>
        <v>3637238401688.3887</v>
      </c>
      <c r="AZ74" s="101">
        <f>IFERROR(up_RadSpec!$E$12*($AZ$12/$B74),".")</f>
        <v>3637238401688.3887</v>
      </c>
      <c r="BA74" s="100">
        <f t="shared" si="22"/>
        <v>65.652153150475428</v>
      </c>
      <c r="BB74" s="100">
        <f t="shared" ref="BB74:BY74" si="116">IFERROR($B74/BB12,0)</f>
        <v>262.60861260190171</v>
      </c>
      <c r="BC74" s="100">
        <f t="shared" si="116"/>
        <v>262.60861260190171</v>
      </c>
      <c r="BD74" s="100">
        <f t="shared" si="116"/>
        <v>262.60861260190171</v>
      </c>
      <c r="BE74" s="100">
        <f t="shared" si="116"/>
        <v>262.60861260190171</v>
      </c>
      <c r="BF74" s="100">
        <f t="shared" si="116"/>
        <v>262.60861260190171</v>
      </c>
      <c r="BG74" s="100">
        <f t="shared" si="116"/>
        <v>262.60861260190171</v>
      </c>
      <c r="BH74" s="100">
        <f t="shared" si="116"/>
        <v>262.60861260190171</v>
      </c>
      <c r="BI74" s="100">
        <f t="shared" si="116"/>
        <v>262.60861260190171</v>
      </c>
      <c r="BJ74" s="100">
        <f t="shared" si="116"/>
        <v>262.60861260190171</v>
      </c>
      <c r="BK74" s="100">
        <f t="shared" si="116"/>
        <v>262.60861260190171</v>
      </c>
      <c r="BL74" s="100">
        <f t="shared" si="116"/>
        <v>262.60861260190171</v>
      </c>
      <c r="BM74" s="100">
        <f t="shared" si="116"/>
        <v>262.60861260190171</v>
      </c>
      <c r="BN74" s="100">
        <f t="shared" si="116"/>
        <v>262.60861260190171</v>
      </c>
      <c r="BO74" s="100">
        <f t="shared" si="116"/>
        <v>262.60861260190171</v>
      </c>
      <c r="BP74" s="100">
        <f t="shared" si="116"/>
        <v>262.60861260190171</v>
      </c>
      <c r="BQ74" s="100">
        <f t="shared" si="116"/>
        <v>262.60861260190171</v>
      </c>
      <c r="BR74" s="100">
        <f t="shared" si="116"/>
        <v>262.60861260190171</v>
      </c>
      <c r="BS74" s="100">
        <f t="shared" si="116"/>
        <v>262.60861260190171</v>
      </c>
      <c r="BT74" s="100">
        <f t="shared" si="116"/>
        <v>262.60861260190171</v>
      </c>
      <c r="BU74" s="100">
        <f t="shared" si="116"/>
        <v>262.60861260190171</v>
      </c>
      <c r="BV74" s="100">
        <f t="shared" si="116"/>
        <v>262.60861260190171</v>
      </c>
      <c r="BW74" s="100">
        <f t="shared" si="116"/>
        <v>262.60861260190171</v>
      </c>
      <c r="BX74" s="100">
        <f t="shared" si="116"/>
        <v>262.60861260190171</v>
      </c>
      <c r="BY74" s="100">
        <f t="shared" si="116"/>
        <v>262.60861260190171</v>
      </c>
      <c r="BZ74" s="49">
        <f t="shared" si="95"/>
        <v>14548953606753.555</v>
      </c>
      <c r="CA74" s="101">
        <f>IFERROR(up_RadSpec!$E$12*($AC$12/$B74),".")</f>
        <v>3637238401688.3887</v>
      </c>
      <c r="CB74" s="101">
        <f>IFERROR(up_RadSpec!$E$12*($AD$12/$B74),".")</f>
        <v>3637238401688.3887</v>
      </c>
      <c r="CC74" s="101">
        <f>IFERROR(up_RadSpec!$E$12*($AY$12/$B74),".")</f>
        <v>3637238401688.3887</v>
      </c>
      <c r="CD74" s="101">
        <f>IFERROR(up_RadSpec!$E$12*($AY$12/$B74),".")</f>
        <v>3637238401688.3887</v>
      </c>
      <c r="CE74" s="101">
        <f>IFERROR(up_RadSpec!$E$12*($AY$12/$B74),".")</f>
        <v>3637238401688.3887</v>
      </c>
      <c r="CF74" s="101">
        <f>IFERROR(up_RadSpec!$E$12*($AY$12/$B74),".")</f>
        <v>3637238401688.3887</v>
      </c>
      <c r="CG74" s="101">
        <f>IFERROR(up_RadSpec!$E$12*($AY$12/$B74),".")</f>
        <v>3637238401688.3887</v>
      </c>
      <c r="CH74" s="101">
        <f>IFERROR(up_RadSpec!$E$12*($AY$12/$B74),".")</f>
        <v>3637238401688.3887</v>
      </c>
      <c r="CI74" s="101">
        <f>IFERROR(up_RadSpec!$E$12*($AY$12/$B74),".")</f>
        <v>3637238401688.3887</v>
      </c>
      <c r="CJ74" s="101">
        <f>IFERROR(up_RadSpec!$E$12*($AY$12/$B74),".")</f>
        <v>3637238401688.3887</v>
      </c>
      <c r="CK74" s="101">
        <f>IFERROR(up_RadSpec!$E$12*($AY$12/$B74),".")</f>
        <v>3637238401688.3887</v>
      </c>
      <c r="CL74" s="101">
        <f>IFERROR(up_RadSpec!$E$12*($AY$12/$B74),".")</f>
        <v>3637238401688.3887</v>
      </c>
      <c r="CM74" s="101">
        <f>IFERROR(up_RadSpec!$E$12*($AY$12/$B74),".")</f>
        <v>3637238401688.3887</v>
      </c>
      <c r="CN74" s="101">
        <f>IFERROR(up_RadSpec!$E$12*($AY$12/$B74),".")</f>
        <v>3637238401688.3887</v>
      </c>
      <c r="CO74" s="101">
        <f>IFERROR(up_RadSpec!$E$12*($AY$12/$B74),".")</f>
        <v>3637238401688.3887</v>
      </c>
      <c r="CP74" s="101">
        <f>IFERROR(up_RadSpec!$E$12*($AY$12/$B74),".")</f>
        <v>3637238401688.3887</v>
      </c>
      <c r="CQ74" s="101">
        <f>IFERROR(up_RadSpec!$E$12*($AY$12/$B74),".")</f>
        <v>3637238401688.3887</v>
      </c>
      <c r="CR74" s="101">
        <f>IFERROR(up_RadSpec!$E$12*($AY$12/$B74),".")</f>
        <v>3637238401688.3887</v>
      </c>
      <c r="CS74" s="101">
        <f>IFERROR(up_RadSpec!$E$12*($AY$12/$B74),".")</f>
        <v>3637238401688.3887</v>
      </c>
      <c r="CT74" s="101">
        <f>IFERROR(up_RadSpec!$E$12*($AY$12/$B74),".")</f>
        <v>3637238401688.3887</v>
      </c>
      <c r="CU74" s="101">
        <f>IFERROR(up_RadSpec!$E$12*($AY$12/$B74),".")</f>
        <v>3637238401688.3887</v>
      </c>
      <c r="CV74" s="101">
        <f>IFERROR(up_RadSpec!$E$12*($AY$12/$B74),".")</f>
        <v>3637238401688.3887</v>
      </c>
      <c r="CW74" s="101">
        <f>IFERROR(up_RadSpec!$E$12*($AY$12/$B74),".")</f>
        <v>3637238401688.3887</v>
      </c>
      <c r="CX74" s="101">
        <f>IFERROR(up_RadSpec!$E$12*($AZ$12/$B74),".")</f>
        <v>3637238401688.3887</v>
      </c>
    </row>
    <row r="75" spans="1:102" x14ac:dyDescent="0.25">
      <c r="A75" s="99" t="s">
        <v>1099</v>
      </c>
      <c r="B75" s="90">
        <v>1</v>
      </c>
      <c r="C75" s="100">
        <f t="shared" si="98"/>
        <v>3455376481.6039696</v>
      </c>
      <c r="D75" s="100">
        <f t="shared" ref="D75:AA75" si="117">IFERROR($B75/D18,0)</f>
        <v>13821505926.415878</v>
      </c>
      <c r="E75" s="100">
        <f t="shared" si="117"/>
        <v>13821505926.415878</v>
      </c>
      <c r="F75" s="100">
        <f t="shared" si="117"/>
        <v>13821505926.415878</v>
      </c>
      <c r="G75" s="100">
        <f t="shared" si="117"/>
        <v>13821505926.415878</v>
      </c>
      <c r="H75" s="100">
        <f t="shared" si="117"/>
        <v>13821505926.415878</v>
      </c>
      <c r="I75" s="100">
        <f t="shared" si="117"/>
        <v>13821505926.415878</v>
      </c>
      <c r="J75" s="100">
        <f t="shared" si="117"/>
        <v>13821505926.415878</v>
      </c>
      <c r="K75" s="100">
        <f t="shared" si="117"/>
        <v>13821505926.415878</v>
      </c>
      <c r="L75" s="100">
        <f t="shared" si="117"/>
        <v>13821505926.415878</v>
      </c>
      <c r="M75" s="100">
        <f t="shared" si="117"/>
        <v>13821505926.415878</v>
      </c>
      <c r="N75" s="100">
        <f t="shared" si="117"/>
        <v>13821505926.415878</v>
      </c>
      <c r="O75" s="100">
        <f t="shared" si="117"/>
        <v>13821505926.415878</v>
      </c>
      <c r="P75" s="100">
        <f t="shared" si="117"/>
        <v>13821505926.415878</v>
      </c>
      <c r="Q75" s="100">
        <f t="shared" si="117"/>
        <v>13821505926.415878</v>
      </c>
      <c r="R75" s="100">
        <f t="shared" si="117"/>
        <v>13821505926.415878</v>
      </c>
      <c r="S75" s="100">
        <f t="shared" si="117"/>
        <v>13821505926.415878</v>
      </c>
      <c r="T75" s="100">
        <f t="shared" si="117"/>
        <v>13821505926.415878</v>
      </c>
      <c r="U75" s="100">
        <f t="shared" si="117"/>
        <v>13821505926.415878</v>
      </c>
      <c r="V75" s="100">
        <f t="shared" si="117"/>
        <v>13821505926.415878</v>
      </c>
      <c r="W75" s="100">
        <f t="shared" si="117"/>
        <v>13821505926.415878</v>
      </c>
      <c r="X75" s="100">
        <f t="shared" si="117"/>
        <v>13821505926.415878</v>
      </c>
      <c r="Y75" s="100">
        <f t="shared" si="117"/>
        <v>13821505926.415878</v>
      </c>
      <c r="Z75" s="100">
        <f t="shared" si="117"/>
        <v>13821505926.415878</v>
      </c>
      <c r="AA75" s="100">
        <f t="shared" si="117"/>
        <v>13821505926.415878</v>
      </c>
      <c r="AB75" s="49">
        <f t="shared" si="21"/>
        <v>276430.1185283176</v>
      </c>
      <c r="AC75" s="101">
        <f>IFERROR(up_RadSpec!$E$18*($AC$18/$B75),".")</f>
        <v>69107.5296320794</v>
      </c>
      <c r="AD75" s="101">
        <f>IFERROR(up_RadSpec!$E$18*($AD$18/$B75),".")</f>
        <v>69107.5296320794</v>
      </c>
      <c r="AE75" s="101">
        <f>IFERROR(up_RadSpec!$E$18*($AY$18/$B75),".")</f>
        <v>69107.5296320794</v>
      </c>
      <c r="AF75" s="101">
        <f>IFERROR(up_RadSpec!$E$18*($AY$18/$B75),".")</f>
        <v>69107.5296320794</v>
      </c>
      <c r="AG75" s="101">
        <f>IFERROR(up_RadSpec!$E$18*($AY$18/$B75),".")</f>
        <v>69107.5296320794</v>
      </c>
      <c r="AH75" s="101">
        <f>IFERROR(up_RadSpec!$E$18*($AY$18/$B75),".")</f>
        <v>69107.5296320794</v>
      </c>
      <c r="AI75" s="101">
        <f>IFERROR(up_RadSpec!$E$18*($AY$18/$B75),".")</f>
        <v>69107.5296320794</v>
      </c>
      <c r="AJ75" s="101">
        <f>IFERROR(up_RadSpec!$E$18*($AY$18/$B75),".")</f>
        <v>69107.5296320794</v>
      </c>
      <c r="AK75" s="101">
        <f>IFERROR(up_RadSpec!$E$18*($AY$18/$B75),".")</f>
        <v>69107.5296320794</v>
      </c>
      <c r="AL75" s="101">
        <f>IFERROR(up_RadSpec!$E$18*($AY$18/$B75),".")</f>
        <v>69107.5296320794</v>
      </c>
      <c r="AM75" s="101">
        <f>IFERROR(up_RadSpec!$E$18*($AY$18/$B75),".")</f>
        <v>69107.5296320794</v>
      </c>
      <c r="AN75" s="101">
        <f>IFERROR(up_RadSpec!$E$18*($AY$18/$B75),".")</f>
        <v>69107.5296320794</v>
      </c>
      <c r="AO75" s="101">
        <f>IFERROR(up_RadSpec!$E$18*($AY$18/$B75),".")</f>
        <v>69107.5296320794</v>
      </c>
      <c r="AP75" s="101">
        <f>IFERROR(up_RadSpec!$E$18*($AY$18/$B75),".")</f>
        <v>69107.5296320794</v>
      </c>
      <c r="AQ75" s="101">
        <f>IFERROR(up_RadSpec!$E$18*($AY$18/$B75),".")</f>
        <v>69107.5296320794</v>
      </c>
      <c r="AR75" s="101">
        <f>IFERROR(up_RadSpec!$E$18*($AY$18/$B75),".")</f>
        <v>69107.5296320794</v>
      </c>
      <c r="AS75" s="101">
        <f>IFERROR(up_RadSpec!$E$18*($AY$18/$B75),".")</f>
        <v>69107.5296320794</v>
      </c>
      <c r="AT75" s="101">
        <f>IFERROR(up_RadSpec!$E$18*($AY$18/$B75),".")</f>
        <v>69107.5296320794</v>
      </c>
      <c r="AU75" s="101">
        <f>IFERROR(up_RadSpec!$E$18*($AY$18/$B75),".")</f>
        <v>69107.5296320794</v>
      </c>
      <c r="AV75" s="101">
        <f>IFERROR(up_RadSpec!$E$18*($AY$18/$B75),".")</f>
        <v>69107.5296320794</v>
      </c>
      <c r="AW75" s="101">
        <f>IFERROR(up_RadSpec!$E$18*($AY$18/$B75),".")</f>
        <v>69107.5296320794</v>
      </c>
      <c r="AX75" s="101">
        <f>IFERROR(up_RadSpec!$E$18*($AY$18/$B75),".")</f>
        <v>69107.5296320794</v>
      </c>
      <c r="AY75" s="101">
        <f>IFERROR(up_RadSpec!$E$18*($AY$18/$B75),".")</f>
        <v>69107.5296320794</v>
      </c>
      <c r="AZ75" s="101">
        <f>IFERROR(up_RadSpec!$E$18*($AZ$18/$B75),".")</f>
        <v>69107.5296320794</v>
      </c>
      <c r="BA75" s="100">
        <f t="shared" si="22"/>
        <v>3455376481.6039696</v>
      </c>
      <c r="BB75" s="100">
        <f t="shared" ref="BB75:BY75" si="118">IFERROR($B75/BB18,0)</f>
        <v>13821505926.415878</v>
      </c>
      <c r="BC75" s="100">
        <f t="shared" si="118"/>
        <v>13821505926.415878</v>
      </c>
      <c r="BD75" s="100">
        <f t="shared" si="118"/>
        <v>13821505926.415878</v>
      </c>
      <c r="BE75" s="100">
        <f t="shared" si="118"/>
        <v>13821505926.415878</v>
      </c>
      <c r="BF75" s="100">
        <f t="shared" si="118"/>
        <v>13821505926.415878</v>
      </c>
      <c r="BG75" s="100">
        <f t="shared" si="118"/>
        <v>13821505926.415878</v>
      </c>
      <c r="BH75" s="100">
        <f t="shared" si="118"/>
        <v>13821505926.415878</v>
      </c>
      <c r="BI75" s="100">
        <f t="shared" si="118"/>
        <v>13821505926.415878</v>
      </c>
      <c r="BJ75" s="100">
        <f t="shared" si="118"/>
        <v>13821505926.415878</v>
      </c>
      <c r="BK75" s="100">
        <f t="shared" si="118"/>
        <v>13821505926.415878</v>
      </c>
      <c r="BL75" s="100">
        <f t="shared" si="118"/>
        <v>13821505926.415878</v>
      </c>
      <c r="BM75" s="100">
        <f t="shared" si="118"/>
        <v>13821505926.415878</v>
      </c>
      <c r="BN75" s="100">
        <f t="shared" si="118"/>
        <v>13821505926.415878</v>
      </c>
      <c r="BO75" s="100">
        <f t="shared" si="118"/>
        <v>13821505926.415878</v>
      </c>
      <c r="BP75" s="100">
        <f t="shared" si="118"/>
        <v>13821505926.415878</v>
      </c>
      <c r="BQ75" s="100">
        <f t="shared" si="118"/>
        <v>13821505926.415878</v>
      </c>
      <c r="BR75" s="100">
        <f t="shared" si="118"/>
        <v>13821505926.415878</v>
      </c>
      <c r="BS75" s="100">
        <f t="shared" si="118"/>
        <v>13821505926.415878</v>
      </c>
      <c r="BT75" s="100">
        <f t="shared" si="118"/>
        <v>13821505926.415878</v>
      </c>
      <c r="BU75" s="100">
        <f t="shared" si="118"/>
        <v>13821505926.415878</v>
      </c>
      <c r="BV75" s="100">
        <f t="shared" si="118"/>
        <v>13821505926.415878</v>
      </c>
      <c r="BW75" s="100">
        <f t="shared" si="118"/>
        <v>13821505926.415878</v>
      </c>
      <c r="BX75" s="100">
        <f t="shared" si="118"/>
        <v>13821505926.415878</v>
      </c>
      <c r="BY75" s="100">
        <f t="shared" si="118"/>
        <v>13821505926.415878</v>
      </c>
      <c r="BZ75" s="49">
        <f t="shared" si="95"/>
        <v>276430.1185283176</v>
      </c>
      <c r="CA75" s="101">
        <f>IFERROR(up_RadSpec!$E$18*($AC$18/$B75),".")</f>
        <v>69107.5296320794</v>
      </c>
      <c r="CB75" s="101">
        <f>IFERROR(up_RadSpec!$E$18*($AD$18/$B75),".")</f>
        <v>69107.5296320794</v>
      </c>
      <c r="CC75" s="101">
        <f>IFERROR(up_RadSpec!$E$18*($AY$18/$B75),".")</f>
        <v>69107.5296320794</v>
      </c>
      <c r="CD75" s="101">
        <f>IFERROR(up_RadSpec!$E$18*($AY$18/$B75),".")</f>
        <v>69107.5296320794</v>
      </c>
      <c r="CE75" s="101">
        <f>IFERROR(up_RadSpec!$E$18*($AY$18/$B75),".")</f>
        <v>69107.5296320794</v>
      </c>
      <c r="CF75" s="101">
        <f>IFERROR(up_RadSpec!$E$18*($AY$18/$B75),".")</f>
        <v>69107.5296320794</v>
      </c>
      <c r="CG75" s="101">
        <f>IFERROR(up_RadSpec!$E$18*($AY$18/$B75),".")</f>
        <v>69107.5296320794</v>
      </c>
      <c r="CH75" s="101">
        <f>IFERROR(up_RadSpec!$E$18*($AY$18/$B75),".")</f>
        <v>69107.5296320794</v>
      </c>
      <c r="CI75" s="101">
        <f>IFERROR(up_RadSpec!$E$18*($AY$18/$B75),".")</f>
        <v>69107.5296320794</v>
      </c>
      <c r="CJ75" s="101">
        <f>IFERROR(up_RadSpec!$E$18*($AY$18/$B75),".")</f>
        <v>69107.5296320794</v>
      </c>
      <c r="CK75" s="101">
        <f>IFERROR(up_RadSpec!$E$18*($AY$18/$B75),".")</f>
        <v>69107.5296320794</v>
      </c>
      <c r="CL75" s="101">
        <f>IFERROR(up_RadSpec!$E$18*($AY$18/$B75),".")</f>
        <v>69107.5296320794</v>
      </c>
      <c r="CM75" s="101">
        <f>IFERROR(up_RadSpec!$E$18*($AY$18/$B75),".")</f>
        <v>69107.5296320794</v>
      </c>
      <c r="CN75" s="101">
        <f>IFERROR(up_RadSpec!$E$18*($AY$18/$B75),".")</f>
        <v>69107.5296320794</v>
      </c>
      <c r="CO75" s="101">
        <f>IFERROR(up_RadSpec!$E$18*($AY$18/$B75),".")</f>
        <v>69107.5296320794</v>
      </c>
      <c r="CP75" s="101">
        <f>IFERROR(up_RadSpec!$E$18*($AY$18/$B75),".")</f>
        <v>69107.5296320794</v>
      </c>
      <c r="CQ75" s="101">
        <f>IFERROR(up_RadSpec!$E$18*($AY$18/$B75),".")</f>
        <v>69107.5296320794</v>
      </c>
      <c r="CR75" s="101">
        <f>IFERROR(up_RadSpec!$E$18*($AY$18/$B75),".")</f>
        <v>69107.5296320794</v>
      </c>
      <c r="CS75" s="101">
        <f>IFERROR(up_RadSpec!$E$18*($AY$18/$B75),".")</f>
        <v>69107.5296320794</v>
      </c>
      <c r="CT75" s="101">
        <f>IFERROR(up_RadSpec!$E$18*($AY$18/$B75),".")</f>
        <v>69107.5296320794</v>
      </c>
      <c r="CU75" s="101">
        <f>IFERROR(up_RadSpec!$E$18*($AY$18/$B75),".")</f>
        <v>69107.5296320794</v>
      </c>
      <c r="CV75" s="101">
        <f>IFERROR(up_RadSpec!$E$18*($AY$18/$B75),".")</f>
        <v>69107.5296320794</v>
      </c>
      <c r="CW75" s="101">
        <f>IFERROR(up_RadSpec!$E$18*($AY$18/$B75),".")</f>
        <v>69107.5296320794</v>
      </c>
      <c r="CX75" s="101">
        <f>IFERROR(up_RadSpec!$E$18*($AZ$18/$B75),".")</f>
        <v>69107.5296320794</v>
      </c>
    </row>
    <row r="76" spans="1:102" x14ac:dyDescent="0.25">
      <c r="A76" s="99" t="s">
        <v>1100</v>
      </c>
      <c r="B76" s="90">
        <v>1.339E-6</v>
      </c>
      <c r="C76" s="100">
        <f t="shared" si="98"/>
        <v>4626.7491088677152</v>
      </c>
      <c r="D76" s="100">
        <f t="shared" ref="D76:AA76" si="119">IFERROR($B76/D27,0)</f>
        <v>18506.996435470861</v>
      </c>
      <c r="E76" s="100">
        <f t="shared" si="119"/>
        <v>18506.996435470861</v>
      </c>
      <c r="F76" s="100">
        <f t="shared" si="119"/>
        <v>18506.996435470861</v>
      </c>
      <c r="G76" s="100">
        <f t="shared" si="119"/>
        <v>18506.996435470861</v>
      </c>
      <c r="H76" s="100">
        <f t="shared" si="119"/>
        <v>18506.996435470861</v>
      </c>
      <c r="I76" s="100">
        <f t="shared" si="119"/>
        <v>18506.996435470861</v>
      </c>
      <c r="J76" s="100">
        <f t="shared" si="119"/>
        <v>18506.996435470861</v>
      </c>
      <c r="K76" s="100">
        <f t="shared" si="119"/>
        <v>18506.996435470861</v>
      </c>
      <c r="L76" s="100">
        <f t="shared" si="119"/>
        <v>18506.996435470861</v>
      </c>
      <c r="M76" s="100">
        <f t="shared" si="119"/>
        <v>18506.996435470861</v>
      </c>
      <c r="N76" s="100">
        <f t="shared" si="119"/>
        <v>18506.996435470861</v>
      </c>
      <c r="O76" s="100">
        <f t="shared" si="119"/>
        <v>18506.996435470861</v>
      </c>
      <c r="P76" s="100">
        <f t="shared" si="119"/>
        <v>18506.996435470861</v>
      </c>
      <c r="Q76" s="100">
        <f t="shared" si="119"/>
        <v>18506.996435470861</v>
      </c>
      <c r="R76" s="100">
        <f t="shared" si="119"/>
        <v>18506.996435470861</v>
      </c>
      <c r="S76" s="100">
        <f t="shared" si="119"/>
        <v>18506.996435470861</v>
      </c>
      <c r="T76" s="100">
        <f t="shared" si="119"/>
        <v>18506.996435470861</v>
      </c>
      <c r="U76" s="100">
        <f t="shared" si="119"/>
        <v>18506.996435470861</v>
      </c>
      <c r="V76" s="100">
        <f t="shared" si="119"/>
        <v>18506.996435470861</v>
      </c>
      <c r="W76" s="100">
        <f t="shared" si="119"/>
        <v>18506.996435470861</v>
      </c>
      <c r="X76" s="100">
        <f t="shared" si="119"/>
        <v>18506.996435470861</v>
      </c>
      <c r="Y76" s="100">
        <f t="shared" si="119"/>
        <v>18506.996435470861</v>
      </c>
      <c r="Z76" s="100">
        <f t="shared" si="119"/>
        <v>18506.996435470861</v>
      </c>
      <c r="AA76" s="100">
        <f t="shared" si="119"/>
        <v>18506.996435470861</v>
      </c>
      <c r="AB76" s="49">
        <f t="shared" si="21"/>
        <v>206445196809.79657</v>
      </c>
      <c r="AC76" s="101">
        <f>IFERROR(up_RadSpec!$E$27*($AC$27/$B76),".")</f>
        <v>51611299202.449142</v>
      </c>
      <c r="AD76" s="101">
        <f>IFERROR(up_RadSpec!$E$27*($AD$27/$B76),".")</f>
        <v>51611299202.449142</v>
      </c>
      <c r="AE76" s="101">
        <f>IFERROR(up_RadSpec!$E$27*($AY$27/$B76),".")</f>
        <v>51611299202.449142</v>
      </c>
      <c r="AF76" s="101">
        <f>IFERROR(up_RadSpec!$E$27*($AY$27/$B76),".")</f>
        <v>51611299202.449142</v>
      </c>
      <c r="AG76" s="101">
        <f>IFERROR(up_RadSpec!$E$27*($AY$27/$B76),".")</f>
        <v>51611299202.449142</v>
      </c>
      <c r="AH76" s="101">
        <f>IFERROR(up_RadSpec!$E$27*($AY$27/$B76),".")</f>
        <v>51611299202.449142</v>
      </c>
      <c r="AI76" s="101">
        <f>IFERROR(up_RadSpec!$E$27*($AY$27/$B76),".")</f>
        <v>51611299202.449142</v>
      </c>
      <c r="AJ76" s="101">
        <f>IFERROR(up_RadSpec!$E$27*($AY$27/$B76),".")</f>
        <v>51611299202.449142</v>
      </c>
      <c r="AK76" s="101">
        <f>IFERROR(up_RadSpec!$E$27*($AY$27/$B76),".")</f>
        <v>51611299202.449142</v>
      </c>
      <c r="AL76" s="101">
        <f>IFERROR(up_RadSpec!$E$27*($AY$27/$B76),".")</f>
        <v>51611299202.449142</v>
      </c>
      <c r="AM76" s="101">
        <f>IFERROR(up_RadSpec!$E$27*($AY$27/$B76),".")</f>
        <v>51611299202.449142</v>
      </c>
      <c r="AN76" s="101">
        <f>IFERROR(up_RadSpec!$E$27*($AY$27/$B76),".")</f>
        <v>51611299202.449142</v>
      </c>
      <c r="AO76" s="101">
        <f>IFERROR(up_RadSpec!$E$27*($AY$27/$B76),".")</f>
        <v>51611299202.449142</v>
      </c>
      <c r="AP76" s="101">
        <f>IFERROR(up_RadSpec!$E$27*($AY$27/$B76),".")</f>
        <v>51611299202.449142</v>
      </c>
      <c r="AQ76" s="101">
        <f>IFERROR(up_RadSpec!$E$27*($AY$27/$B76),".")</f>
        <v>51611299202.449142</v>
      </c>
      <c r="AR76" s="101">
        <f>IFERROR(up_RadSpec!$E$27*($AY$27/$B76),".")</f>
        <v>51611299202.449142</v>
      </c>
      <c r="AS76" s="101">
        <f>IFERROR(up_RadSpec!$E$27*($AY$27/$B76),".")</f>
        <v>51611299202.449142</v>
      </c>
      <c r="AT76" s="101">
        <f>IFERROR(up_RadSpec!$E$27*($AY$27/$B76),".")</f>
        <v>51611299202.449142</v>
      </c>
      <c r="AU76" s="101">
        <f>IFERROR(up_RadSpec!$E$27*($AY$27/$B76),".")</f>
        <v>51611299202.449142</v>
      </c>
      <c r="AV76" s="101">
        <f>IFERROR(up_RadSpec!$E$27*($AY$27/$B76),".")</f>
        <v>51611299202.449142</v>
      </c>
      <c r="AW76" s="101">
        <f>IFERROR(up_RadSpec!$E$27*($AY$27/$B76),".")</f>
        <v>51611299202.449142</v>
      </c>
      <c r="AX76" s="101">
        <f>IFERROR(up_RadSpec!$E$27*($AY$27/$B76),".")</f>
        <v>51611299202.449142</v>
      </c>
      <c r="AY76" s="101">
        <f>IFERROR(up_RadSpec!$E$27*($AY$27/$B76),".")</f>
        <v>51611299202.449142</v>
      </c>
      <c r="AZ76" s="101">
        <f>IFERROR(up_RadSpec!$E$27*($AZ$27/$B76),".")</f>
        <v>51611299202.449142</v>
      </c>
      <c r="BA76" s="100">
        <f t="shared" si="22"/>
        <v>4626.7491088677152</v>
      </c>
      <c r="BB76" s="100">
        <f t="shared" ref="BB76:BY76" si="120">IFERROR($B76/BB27,0)</f>
        <v>18506.996435470861</v>
      </c>
      <c r="BC76" s="100">
        <f t="shared" si="120"/>
        <v>18506.996435470861</v>
      </c>
      <c r="BD76" s="100">
        <f t="shared" si="120"/>
        <v>18506.996435470861</v>
      </c>
      <c r="BE76" s="100">
        <f t="shared" si="120"/>
        <v>18506.996435470861</v>
      </c>
      <c r="BF76" s="100">
        <f t="shared" si="120"/>
        <v>18506.996435470861</v>
      </c>
      <c r="BG76" s="100">
        <f t="shared" si="120"/>
        <v>18506.996435470861</v>
      </c>
      <c r="BH76" s="100">
        <f t="shared" si="120"/>
        <v>18506.996435470861</v>
      </c>
      <c r="BI76" s="100">
        <f t="shared" si="120"/>
        <v>18506.996435470861</v>
      </c>
      <c r="BJ76" s="100">
        <f t="shared" si="120"/>
        <v>18506.996435470861</v>
      </c>
      <c r="BK76" s="100">
        <f t="shared" si="120"/>
        <v>18506.996435470861</v>
      </c>
      <c r="BL76" s="100">
        <f t="shared" si="120"/>
        <v>18506.996435470861</v>
      </c>
      <c r="BM76" s="100">
        <f t="shared" si="120"/>
        <v>18506.996435470861</v>
      </c>
      <c r="BN76" s="100">
        <f t="shared" si="120"/>
        <v>18506.996435470861</v>
      </c>
      <c r="BO76" s="100">
        <f t="shared" si="120"/>
        <v>18506.996435470861</v>
      </c>
      <c r="BP76" s="100">
        <f t="shared" si="120"/>
        <v>18506.996435470861</v>
      </c>
      <c r="BQ76" s="100">
        <f t="shared" si="120"/>
        <v>18506.996435470861</v>
      </c>
      <c r="BR76" s="100">
        <f t="shared" si="120"/>
        <v>18506.996435470861</v>
      </c>
      <c r="BS76" s="100">
        <f t="shared" si="120"/>
        <v>18506.996435470861</v>
      </c>
      <c r="BT76" s="100">
        <f t="shared" si="120"/>
        <v>18506.996435470861</v>
      </c>
      <c r="BU76" s="100">
        <f t="shared" si="120"/>
        <v>18506.996435470861</v>
      </c>
      <c r="BV76" s="100">
        <f t="shared" si="120"/>
        <v>18506.996435470861</v>
      </c>
      <c r="BW76" s="100">
        <f t="shared" si="120"/>
        <v>18506.996435470861</v>
      </c>
      <c r="BX76" s="100">
        <f t="shared" si="120"/>
        <v>18506.996435470861</v>
      </c>
      <c r="BY76" s="100">
        <f t="shared" si="120"/>
        <v>18506.996435470861</v>
      </c>
      <c r="BZ76" s="49">
        <f t="shared" si="95"/>
        <v>206445196809.79657</v>
      </c>
      <c r="CA76" s="101">
        <f>IFERROR(up_RadSpec!$E$27*($AC$27/$B76),".")</f>
        <v>51611299202.449142</v>
      </c>
      <c r="CB76" s="101">
        <f>IFERROR(up_RadSpec!$E$27*($AD$27/$B76),".")</f>
        <v>51611299202.449142</v>
      </c>
      <c r="CC76" s="101">
        <f>IFERROR(up_RadSpec!$E$27*($AY$27/$B76),".")</f>
        <v>51611299202.449142</v>
      </c>
      <c r="CD76" s="101">
        <f>IFERROR(up_RadSpec!$E$27*($AY$27/$B76),".")</f>
        <v>51611299202.449142</v>
      </c>
      <c r="CE76" s="101">
        <f>IFERROR(up_RadSpec!$E$27*($AY$27/$B76),".")</f>
        <v>51611299202.449142</v>
      </c>
      <c r="CF76" s="101">
        <f>IFERROR(up_RadSpec!$E$27*($AY$27/$B76),".")</f>
        <v>51611299202.449142</v>
      </c>
      <c r="CG76" s="101">
        <f>IFERROR(up_RadSpec!$E$27*($AY$27/$B76),".")</f>
        <v>51611299202.449142</v>
      </c>
      <c r="CH76" s="101">
        <f>IFERROR(up_RadSpec!$E$27*($AY$27/$B76),".")</f>
        <v>51611299202.449142</v>
      </c>
      <c r="CI76" s="101">
        <f>IFERROR(up_RadSpec!$E$27*($AY$27/$B76),".")</f>
        <v>51611299202.449142</v>
      </c>
      <c r="CJ76" s="101">
        <f>IFERROR(up_RadSpec!$E$27*($AY$27/$B76),".")</f>
        <v>51611299202.449142</v>
      </c>
      <c r="CK76" s="101">
        <f>IFERROR(up_RadSpec!$E$27*($AY$27/$B76),".")</f>
        <v>51611299202.449142</v>
      </c>
      <c r="CL76" s="101">
        <f>IFERROR(up_RadSpec!$E$27*($AY$27/$B76),".")</f>
        <v>51611299202.449142</v>
      </c>
      <c r="CM76" s="101">
        <f>IFERROR(up_RadSpec!$E$27*($AY$27/$B76),".")</f>
        <v>51611299202.449142</v>
      </c>
      <c r="CN76" s="101">
        <f>IFERROR(up_RadSpec!$E$27*($AY$27/$B76),".")</f>
        <v>51611299202.449142</v>
      </c>
      <c r="CO76" s="101">
        <f>IFERROR(up_RadSpec!$E$27*($AY$27/$B76),".")</f>
        <v>51611299202.449142</v>
      </c>
      <c r="CP76" s="101">
        <f>IFERROR(up_RadSpec!$E$27*($AY$27/$B76),".")</f>
        <v>51611299202.449142</v>
      </c>
      <c r="CQ76" s="101">
        <f>IFERROR(up_RadSpec!$E$27*($AY$27/$B76),".")</f>
        <v>51611299202.449142</v>
      </c>
      <c r="CR76" s="101">
        <f>IFERROR(up_RadSpec!$E$27*($AY$27/$B76),".")</f>
        <v>51611299202.449142</v>
      </c>
      <c r="CS76" s="101">
        <f>IFERROR(up_RadSpec!$E$27*($AY$27/$B76),".")</f>
        <v>51611299202.449142</v>
      </c>
      <c r="CT76" s="101">
        <f>IFERROR(up_RadSpec!$E$27*($AY$27/$B76),".")</f>
        <v>51611299202.449142</v>
      </c>
      <c r="CU76" s="101">
        <f>IFERROR(up_RadSpec!$E$27*($AY$27/$B76),".")</f>
        <v>51611299202.449142</v>
      </c>
      <c r="CV76" s="101">
        <f>IFERROR(up_RadSpec!$E$27*($AY$27/$B76),".")</f>
        <v>51611299202.449142</v>
      </c>
      <c r="CW76" s="101">
        <f>IFERROR(up_RadSpec!$E$27*($AY$27/$B76),".")</f>
        <v>51611299202.449142</v>
      </c>
      <c r="CX76" s="101">
        <f>IFERROR(up_RadSpec!$E$27*($AZ$27/$B76),".")</f>
        <v>51611299202.449142</v>
      </c>
    </row>
  </sheetData>
  <sheetProtection algorithmName="SHA-512" hashValue="1KukO5J4hD1XQPXmFNGdqbZujt7rcH20UlKHVNEqKjYVnozP9MGdJFMUcvp9SaQ4FPoMvPdEtUAQhSdTPRiLBg==" saltValue="+rouePTV2nVZIUP+muL9TQ==" spinCount="100000" sheet="1" objects="1" scenarios="1" formatColumns="0" formatRows="0" autoFilter="0"/>
  <autoFilter ref="A1:CX76" xr:uid="{1E308CA7-F89C-417C-85A8-4F0FC89ABE1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U121"/>
  <sheetViews>
    <sheetView zoomScale="85" zoomScaleNormal="85" workbookViewId="0">
      <pane ySplit="1" topLeftCell="A2" activePane="bottomLeft" state="frozen"/>
      <selection pane="bottomLeft" activeCell="A2" sqref="A2"/>
    </sheetView>
  </sheetViews>
  <sheetFormatPr defaultColWidth="12.42578125" defaultRowHeight="15" x14ac:dyDescent="0.25"/>
  <cols>
    <col min="1" max="3" width="12.42578125" style="151"/>
    <col min="4" max="4" width="13.140625" style="151" bestFit="1" customWidth="1"/>
    <col min="5" max="12" width="12.42578125" style="151"/>
    <col min="13" max="13" width="14.28515625" style="151" bestFit="1" customWidth="1"/>
    <col min="14" max="20" width="12.42578125" style="151"/>
    <col min="21" max="21" width="30.140625" style="151" customWidth="1"/>
    <col min="22" max="16384" width="12.42578125" style="151"/>
  </cols>
  <sheetData>
    <row r="1" spans="1:21" ht="18.75" x14ac:dyDescent="0.25">
      <c r="A1" s="202" t="s">
        <v>52</v>
      </c>
      <c r="B1" s="202"/>
      <c r="C1" s="202"/>
      <c r="D1" s="203" t="s">
        <v>53</v>
      </c>
      <c r="E1" s="203"/>
      <c r="F1" s="203"/>
      <c r="G1" s="203" t="s">
        <v>54</v>
      </c>
      <c r="H1" s="203"/>
      <c r="I1" s="203"/>
      <c r="J1" s="203" t="s">
        <v>384</v>
      </c>
      <c r="K1" s="203"/>
      <c r="L1" s="203"/>
      <c r="M1" s="202" t="s">
        <v>565</v>
      </c>
      <c r="N1" s="202"/>
      <c r="O1" s="202"/>
      <c r="P1" s="202" t="s">
        <v>566</v>
      </c>
      <c r="Q1" s="202"/>
      <c r="R1" s="202"/>
    </row>
    <row r="2" spans="1:21" ht="18" x14ac:dyDescent="0.25">
      <c r="A2" s="151" t="s">
        <v>336</v>
      </c>
      <c r="B2" s="158">
        <v>9.9999999999999995E-7</v>
      </c>
      <c r="D2" s="140" t="s">
        <v>64</v>
      </c>
      <c r="E2" s="130">
        <v>6</v>
      </c>
      <c r="F2" s="131" t="s">
        <v>55</v>
      </c>
      <c r="G2" s="140" t="s">
        <v>65</v>
      </c>
      <c r="H2" s="130">
        <v>6</v>
      </c>
      <c r="I2" s="131" t="s">
        <v>55</v>
      </c>
      <c r="J2" s="140" t="s">
        <v>66</v>
      </c>
      <c r="K2" s="130">
        <v>6</v>
      </c>
      <c r="L2" s="131" t="s">
        <v>55</v>
      </c>
      <c r="M2" s="159" t="s">
        <v>616</v>
      </c>
      <c r="N2" s="129">
        <v>1</v>
      </c>
      <c r="P2" s="159" t="s">
        <v>174</v>
      </c>
      <c r="Q2" s="129">
        <v>1</v>
      </c>
    </row>
    <row r="3" spans="1:21" ht="18" x14ac:dyDescent="0.25">
      <c r="A3" s="133" t="s">
        <v>103</v>
      </c>
      <c r="B3" s="160">
        <v>0.5</v>
      </c>
      <c r="D3" s="140" t="s">
        <v>67</v>
      </c>
      <c r="E3" s="130">
        <v>20</v>
      </c>
      <c r="F3" s="131" t="s">
        <v>55</v>
      </c>
      <c r="G3" s="140" t="s">
        <v>68</v>
      </c>
      <c r="H3" s="130">
        <v>20</v>
      </c>
      <c r="I3" s="131" t="s">
        <v>55</v>
      </c>
      <c r="J3" s="140" t="s">
        <v>69</v>
      </c>
      <c r="K3" s="130">
        <v>34</v>
      </c>
      <c r="L3" s="131" t="s">
        <v>55</v>
      </c>
      <c r="M3" s="159" t="s">
        <v>617</v>
      </c>
      <c r="N3" s="129">
        <v>1</v>
      </c>
      <c r="P3" s="159" t="s">
        <v>173</v>
      </c>
      <c r="Q3" s="129">
        <v>1</v>
      </c>
    </row>
    <row r="4" spans="1:21" ht="18" x14ac:dyDescent="0.25">
      <c r="A4" s="151" t="s">
        <v>93</v>
      </c>
      <c r="B4" s="144">
        <v>1</v>
      </c>
      <c r="D4" s="140" t="s">
        <v>70</v>
      </c>
      <c r="E4" s="157">
        <f>E2+E3</f>
        <v>26</v>
      </c>
      <c r="F4" s="131" t="s">
        <v>55</v>
      </c>
      <c r="G4" s="140" t="s">
        <v>71</v>
      </c>
      <c r="H4" s="157">
        <f>H2+H3</f>
        <v>26</v>
      </c>
      <c r="I4" s="131" t="s">
        <v>55</v>
      </c>
      <c r="J4" s="140" t="s">
        <v>72</v>
      </c>
      <c r="K4" s="157">
        <f>K2+K3</f>
        <v>40</v>
      </c>
      <c r="L4" s="131" t="s">
        <v>55</v>
      </c>
      <c r="M4" s="159" t="s">
        <v>618</v>
      </c>
      <c r="N4" s="129">
        <v>1</v>
      </c>
      <c r="P4" s="159" t="s">
        <v>176</v>
      </c>
      <c r="Q4" s="129">
        <v>1</v>
      </c>
    </row>
    <row r="5" spans="1:21" ht="18" x14ac:dyDescent="0.25">
      <c r="A5" s="151" t="s">
        <v>94</v>
      </c>
      <c r="B5" s="157">
        <v>0.4</v>
      </c>
      <c r="D5" s="140" t="s">
        <v>90</v>
      </c>
      <c r="E5" s="156">
        <f>ED_res</f>
        <v>26</v>
      </c>
      <c r="G5" s="140" t="s">
        <v>91</v>
      </c>
      <c r="H5" s="156">
        <f>ED_rec</f>
        <v>26</v>
      </c>
      <c r="I5" s="132"/>
      <c r="J5" s="140" t="s">
        <v>92</v>
      </c>
      <c r="K5" s="156">
        <f>ED_far</f>
        <v>40</v>
      </c>
      <c r="L5" s="132"/>
      <c r="M5" s="159" t="s">
        <v>619</v>
      </c>
      <c r="N5" s="129">
        <v>1</v>
      </c>
      <c r="P5" s="159" t="s">
        <v>756</v>
      </c>
      <c r="Q5" s="129">
        <v>1</v>
      </c>
      <c r="S5" s="159"/>
      <c r="T5" s="129"/>
    </row>
    <row r="6" spans="1:21" ht="18" x14ac:dyDescent="0.25">
      <c r="A6" s="151" t="s">
        <v>95</v>
      </c>
      <c r="B6" s="144">
        <v>1</v>
      </c>
      <c r="D6" s="140" t="s">
        <v>73</v>
      </c>
      <c r="E6" s="129">
        <v>10</v>
      </c>
      <c r="F6" s="137" t="s">
        <v>56</v>
      </c>
      <c r="G6" s="140" t="s">
        <v>122</v>
      </c>
      <c r="H6" s="144">
        <v>10</v>
      </c>
      <c r="I6" s="159" t="s">
        <v>99</v>
      </c>
      <c r="J6" s="140" t="s">
        <v>143</v>
      </c>
      <c r="K6" s="129">
        <v>10</v>
      </c>
      <c r="L6" s="159" t="s">
        <v>99</v>
      </c>
      <c r="M6" s="159" t="s">
        <v>620</v>
      </c>
      <c r="N6" s="129">
        <v>1</v>
      </c>
      <c r="P6" s="159" t="s">
        <v>175</v>
      </c>
      <c r="Q6" s="129">
        <v>1</v>
      </c>
    </row>
    <row r="7" spans="1:21" ht="18" x14ac:dyDescent="0.25">
      <c r="A7" s="159" t="s">
        <v>136</v>
      </c>
      <c r="B7" s="144">
        <v>2.6999999999999999E-5</v>
      </c>
      <c r="C7" s="133" t="s">
        <v>137</v>
      </c>
      <c r="D7" s="140" t="s">
        <v>74</v>
      </c>
      <c r="E7" s="129">
        <v>20</v>
      </c>
      <c r="F7" s="137" t="s">
        <v>56</v>
      </c>
      <c r="G7" s="140" t="s">
        <v>123</v>
      </c>
      <c r="H7" s="144">
        <v>20</v>
      </c>
      <c r="I7" s="159" t="s">
        <v>99</v>
      </c>
      <c r="J7" s="140" t="s">
        <v>144</v>
      </c>
      <c r="K7" s="129">
        <v>20</v>
      </c>
      <c r="L7" s="159" t="s">
        <v>99</v>
      </c>
      <c r="M7" s="159" t="s">
        <v>621</v>
      </c>
      <c r="N7" s="129">
        <v>1</v>
      </c>
      <c r="P7" s="159" t="s">
        <v>177</v>
      </c>
      <c r="Q7" s="144">
        <v>1</v>
      </c>
    </row>
    <row r="8" spans="1:21" ht="18" x14ac:dyDescent="0.25">
      <c r="A8" s="133" t="s">
        <v>130</v>
      </c>
      <c r="B8" s="144">
        <v>3.62</v>
      </c>
      <c r="C8" s="133" t="s">
        <v>131</v>
      </c>
      <c r="D8" s="140" t="s">
        <v>234</v>
      </c>
      <c r="E8" s="157">
        <f>((EF_res_c*ED_res_c*ET_res_c*(1/24)*IRA_res_c)+(EF_res_a*ED_res_a*ET_res_a*(1/24)*IRA_res_a))</f>
        <v>161000</v>
      </c>
      <c r="F8" s="132" t="s">
        <v>249</v>
      </c>
      <c r="G8" s="140" t="s">
        <v>237</v>
      </c>
      <c r="H8" s="157">
        <f>((EF_rec_c*ED_rec_c*ET_rec_c*(1/24)*IRA_rec_c)+(EF_rec_a*ED_rec_a*ET_rec_a*(1/24)*IRA_rec_a))</f>
        <v>1437.5</v>
      </c>
      <c r="J8" s="140" t="s">
        <v>240</v>
      </c>
      <c r="K8" s="157">
        <f>((EF_far_c*ED_far_c*ET_far_c*(1/24)*IRA_far_c)+(EF_far_a*ED_far_a*ET_far_a*(1/24)*IRA_far_a))</f>
        <v>259000</v>
      </c>
      <c r="L8" s="132" t="s">
        <v>249</v>
      </c>
      <c r="M8" s="159" t="s">
        <v>622</v>
      </c>
      <c r="N8" s="129">
        <v>1</v>
      </c>
      <c r="P8" s="159" t="s">
        <v>1112</v>
      </c>
      <c r="Q8" s="130">
        <v>1</v>
      </c>
    </row>
    <row r="9" spans="1:21" ht="18" x14ac:dyDescent="0.25">
      <c r="A9" s="133" t="s">
        <v>132</v>
      </c>
      <c r="B9" s="144">
        <v>0.25</v>
      </c>
      <c r="C9" s="133" t="s">
        <v>102</v>
      </c>
      <c r="D9" s="140" t="s">
        <v>357</v>
      </c>
      <c r="E9" s="157">
        <f>((EF_res_c*ED_res_c*ET_event_res_c*EV_res_c)+(EF_res_a*ED_res_a*ET_event_res_a*EV_res_a))</f>
        <v>6104</v>
      </c>
      <c r="F9" s="132" t="s">
        <v>356</v>
      </c>
      <c r="G9" s="140" t="s">
        <v>368</v>
      </c>
      <c r="H9" s="157">
        <f>((EF_rec_c*ED_rec_c*ET_event_rec_c*EV_rec_c)+(EF_rec_a*ED_rec_a*ET_event_rec_a*EV_rec_a))</f>
        <v>1950</v>
      </c>
      <c r="I9" s="132" t="s">
        <v>356</v>
      </c>
      <c r="J9" s="140" t="s">
        <v>379</v>
      </c>
      <c r="K9" s="157">
        <f>((EF_far_c*ED_far_c*EV_far_c*ET_event_far_c)+(EF_far_a*ED_far_a*EV_far_a*ET_event_far_a))</f>
        <v>9583</v>
      </c>
      <c r="L9" s="132" t="s">
        <v>356</v>
      </c>
      <c r="M9" s="159" t="s">
        <v>623</v>
      </c>
      <c r="N9" s="129">
        <v>1</v>
      </c>
      <c r="P9" s="159" t="s">
        <v>454</v>
      </c>
      <c r="Q9" s="130">
        <v>1</v>
      </c>
    </row>
    <row r="10" spans="1:21" ht="18" x14ac:dyDescent="0.25">
      <c r="A10" s="159" t="s">
        <v>210</v>
      </c>
      <c r="B10" s="144">
        <v>10950</v>
      </c>
      <c r="C10" s="133" t="s">
        <v>133</v>
      </c>
      <c r="D10" s="140" t="s">
        <v>75</v>
      </c>
      <c r="E10" s="129">
        <v>200</v>
      </c>
      <c r="F10" s="151" t="s">
        <v>57</v>
      </c>
      <c r="G10" s="140" t="s">
        <v>126</v>
      </c>
      <c r="H10" s="144">
        <v>200</v>
      </c>
      <c r="I10" s="133" t="s">
        <v>57</v>
      </c>
      <c r="J10" s="140" t="s">
        <v>141</v>
      </c>
      <c r="K10" s="129">
        <v>200</v>
      </c>
      <c r="L10" s="133" t="s">
        <v>57</v>
      </c>
      <c r="M10" s="159" t="s">
        <v>624</v>
      </c>
      <c r="N10" s="129">
        <v>1</v>
      </c>
      <c r="P10" s="159" t="s">
        <v>456</v>
      </c>
      <c r="Q10" s="130">
        <v>1</v>
      </c>
    </row>
    <row r="11" spans="1:21" ht="18" x14ac:dyDescent="0.25">
      <c r="A11" s="159" t="s">
        <v>134</v>
      </c>
      <c r="B11" s="144">
        <v>240</v>
      </c>
      <c r="C11" s="133" t="s">
        <v>135</v>
      </c>
      <c r="D11" s="140" t="s">
        <v>76</v>
      </c>
      <c r="E11" s="129">
        <v>100</v>
      </c>
      <c r="F11" s="151" t="s">
        <v>57</v>
      </c>
      <c r="G11" s="140" t="s">
        <v>127</v>
      </c>
      <c r="H11" s="144">
        <v>100</v>
      </c>
      <c r="I11" s="133" t="s">
        <v>57</v>
      </c>
      <c r="J11" s="140" t="s">
        <v>142</v>
      </c>
      <c r="K11" s="129">
        <v>100</v>
      </c>
      <c r="L11" s="133" t="s">
        <v>57</v>
      </c>
      <c r="M11" s="159" t="s">
        <v>625</v>
      </c>
      <c r="N11" s="129">
        <v>1</v>
      </c>
      <c r="P11" s="159" t="s">
        <v>455</v>
      </c>
      <c r="Q11" s="130">
        <v>1</v>
      </c>
      <c r="U11" s="200"/>
    </row>
    <row r="12" spans="1:21" ht="18" x14ac:dyDescent="0.25">
      <c r="A12" s="159" t="s">
        <v>212</v>
      </c>
      <c r="B12" s="144">
        <v>0.42</v>
      </c>
      <c r="C12" s="133" t="s">
        <v>102</v>
      </c>
      <c r="D12" s="140" t="s">
        <v>236</v>
      </c>
      <c r="E12" s="157">
        <f>((EF_res_c*ED_res_c*IRS_res_c)+(EF_res_a*ED_res_a*IRS_res_a))</f>
        <v>1120000</v>
      </c>
      <c r="F12" s="133" t="s">
        <v>250</v>
      </c>
      <c r="G12" s="140" t="s">
        <v>238</v>
      </c>
      <c r="H12" s="157">
        <f>((EF_rec_c*ED_rec_c*IRS_rec_c)+(EF_rec_a*ED_rec_a*IRS_rec_a))</f>
        <v>240000</v>
      </c>
      <c r="I12" s="133" t="s">
        <v>250</v>
      </c>
      <c r="J12" s="140" t="s">
        <v>241</v>
      </c>
      <c r="K12" s="157">
        <f>((EF_far_c*ED_far_c*IRS_far_c)+(EF_far_a*ED_far_a*IRS_far_a))</f>
        <v>1610000</v>
      </c>
      <c r="L12" s="133" t="s">
        <v>250</v>
      </c>
      <c r="M12" s="159" t="s">
        <v>626</v>
      </c>
      <c r="N12" s="129">
        <v>1</v>
      </c>
      <c r="P12" s="133" t="s">
        <v>149</v>
      </c>
      <c r="Q12" s="129">
        <v>62.8</v>
      </c>
      <c r="R12" s="159" t="s">
        <v>59</v>
      </c>
      <c r="U12" s="201"/>
    </row>
    <row r="13" spans="1:21" ht="18" x14ac:dyDescent="0.25">
      <c r="A13" s="159" t="s">
        <v>211</v>
      </c>
      <c r="B13" s="144">
        <v>60</v>
      </c>
      <c r="C13" s="133" t="s">
        <v>133</v>
      </c>
      <c r="D13" s="140" t="s">
        <v>77</v>
      </c>
      <c r="E13" s="129">
        <v>0.78</v>
      </c>
      <c r="F13" s="140" t="s">
        <v>58</v>
      </c>
      <c r="G13" s="140" t="s">
        <v>124</v>
      </c>
      <c r="H13" s="129">
        <v>0.12</v>
      </c>
      <c r="I13" s="133" t="s">
        <v>100</v>
      </c>
      <c r="J13" s="140" t="s">
        <v>145</v>
      </c>
      <c r="K13" s="144">
        <v>0.78</v>
      </c>
      <c r="L13" s="133" t="s">
        <v>58</v>
      </c>
      <c r="M13" s="159" t="s">
        <v>627</v>
      </c>
      <c r="N13" s="129">
        <v>1</v>
      </c>
      <c r="P13" s="133" t="s">
        <v>150</v>
      </c>
      <c r="Q13" s="129">
        <v>165.3</v>
      </c>
      <c r="R13" s="159" t="s">
        <v>59</v>
      </c>
      <c r="U13" s="201"/>
    </row>
    <row r="14" spans="1:21" ht="18" x14ac:dyDescent="0.25">
      <c r="A14" s="159" t="s">
        <v>213</v>
      </c>
      <c r="B14" s="144">
        <v>2</v>
      </c>
      <c r="C14" s="133" t="s">
        <v>135</v>
      </c>
      <c r="D14" s="140" t="s">
        <v>78</v>
      </c>
      <c r="E14" s="129">
        <v>2.5</v>
      </c>
      <c r="F14" s="140" t="s">
        <v>58</v>
      </c>
      <c r="G14" s="140" t="s">
        <v>125</v>
      </c>
      <c r="H14" s="129">
        <v>7.0999999999999994E-2</v>
      </c>
      <c r="I14" s="133" t="s">
        <v>100</v>
      </c>
      <c r="J14" s="140" t="s">
        <v>146</v>
      </c>
      <c r="K14" s="144">
        <v>2.5</v>
      </c>
      <c r="L14" s="133" t="s">
        <v>58</v>
      </c>
      <c r="M14" s="159" t="s">
        <v>628</v>
      </c>
      <c r="N14" s="129">
        <v>1</v>
      </c>
      <c r="P14" s="140" t="s">
        <v>244</v>
      </c>
      <c r="Q14" s="157">
        <f>((EF_far_c*ED_far_c*IRB_far_c)+(EF_far_a*ED_far_a*IRB_far_a))</f>
        <v>2098950</v>
      </c>
      <c r="R14" s="159" t="s">
        <v>226</v>
      </c>
    </row>
    <row r="15" spans="1:21" ht="18" x14ac:dyDescent="0.25">
      <c r="A15" s="159" t="s">
        <v>138</v>
      </c>
      <c r="B15" s="144">
        <v>1</v>
      </c>
      <c r="C15" s="133" t="s">
        <v>102</v>
      </c>
      <c r="D15" s="140" t="s">
        <v>235</v>
      </c>
      <c r="E15" s="157">
        <f>((EF_res_c*ED_res_c*IRW_res_c)+(EF_res_a*ED_res_a*IRW_res_a))</f>
        <v>19138</v>
      </c>
      <c r="F15" s="133" t="s">
        <v>251</v>
      </c>
      <c r="G15" s="140" t="s">
        <v>239</v>
      </c>
      <c r="H15" s="157">
        <f>((EF_rec_c*ED_rec_c*IRW_rec_c)+(EF_rec_a*ED_rec_a*IRW_rec_a))</f>
        <v>160.5</v>
      </c>
      <c r="I15" s="133" t="s">
        <v>251</v>
      </c>
      <c r="J15" s="140" t="s">
        <v>242</v>
      </c>
      <c r="K15" s="157">
        <f>((EF_far_c*ED_far_c*IRW_far_c)+(EF_far_a*ED_far_a*IRW_far_a))</f>
        <v>31388</v>
      </c>
      <c r="L15" s="133" t="s">
        <v>251</v>
      </c>
      <c r="M15" s="159" t="s">
        <v>629</v>
      </c>
      <c r="N15" s="129">
        <v>1</v>
      </c>
      <c r="P15" s="133" t="s">
        <v>147</v>
      </c>
      <c r="Q15" s="129">
        <v>994.7</v>
      </c>
      <c r="R15" s="159" t="s">
        <v>59</v>
      </c>
    </row>
    <row r="16" spans="1:21" ht="18" x14ac:dyDescent="0.25">
      <c r="A16" s="159" t="s">
        <v>214</v>
      </c>
      <c r="B16" s="144">
        <v>14</v>
      </c>
      <c r="C16" s="133" t="s">
        <v>139</v>
      </c>
      <c r="D16" s="136" t="s">
        <v>79</v>
      </c>
      <c r="E16" s="129">
        <v>54000</v>
      </c>
      <c r="F16" s="151" t="s">
        <v>57</v>
      </c>
      <c r="G16" s="151" t="s">
        <v>371</v>
      </c>
      <c r="H16" s="144">
        <v>1</v>
      </c>
      <c r="I16" s="133" t="s">
        <v>59</v>
      </c>
      <c r="J16" s="140" t="s">
        <v>161</v>
      </c>
      <c r="K16" s="144">
        <v>350</v>
      </c>
      <c r="L16" s="133" t="s">
        <v>60</v>
      </c>
      <c r="M16" s="159" t="s">
        <v>630</v>
      </c>
      <c r="N16" s="129">
        <v>1</v>
      </c>
      <c r="P16" s="133" t="s">
        <v>148</v>
      </c>
      <c r="Q16" s="129">
        <v>676.4</v>
      </c>
      <c r="R16" s="159" t="s">
        <v>59</v>
      </c>
    </row>
    <row r="17" spans="1:18" ht="18" x14ac:dyDescent="0.25">
      <c r="A17" s="140" t="s">
        <v>203</v>
      </c>
      <c r="B17" s="154">
        <v>1.5</v>
      </c>
      <c r="C17" s="140"/>
      <c r="D17" s="136" t="s">
        <v>80</v>
      </c>
      <c r="E17" s="129">
        <v>350</v>
      </c>
      <c r="F17" s="140" t="s">
        <v>60</v>
      </c>
      <c r="G17" s="151" t="s">
        <v>372</v>
      </c>
      <c r="H17" s="144">
        <v>1</v>
      </c>
      <c r="I17" s="133" t="s">
        <v>59</v>
      </c>
      <c r="J17" s="140" t="s">
        <v>162</v>
      </c>
      <c r="K17" s="144">
        <v>350</v>
      </c>
      <c r="L17" s="133" t="s">
        <v>60</v>
      </c>
      <c r="M17" s="159" t="s">
        <v>631</v>
      </c>
      <c r="N17" s="129">
        <v>1</v>
      </c>
      <c r="P17" s="140" t="s">
        <v>243</v>
      </c>
      <c r="Q17" s="157">
        <f>((EF_far_c*ED_far_c*IRD_far_c)+(EF_far_a*ED_far_a*IRD_far_a))</f>
        <v>10138030</v>
      </c>
      <c r="R17" s="159" t="s">
        <v>226</v>
      </c>
    </row>
    <row r="18" spans="1:18" ht="18" x14ac:dyDescent="0.25">
      <c r="A18" s="140" t="s">
        <v>215</v>
      </c>
      <c r="B18" s="154">
        <v>0.3</v>
      </c>
      <c r="C18" s="140"/>
      <c r="D18" s="136" t="s">
        <v>81</v>
      </c>
      <c r="E18" s="129">
        <v>350</v>
      </c>
      <c r="F18" s="140" t="s">
        <v>60</v>
      </c>
      <c r="G18" s="140" t="s">
        <v>106</v>
      </c>
      <c r="H18" s="161">
        <v>75</v>
      </c>
      <c r="I18" s="162" t="s">
        <v>60</v>
      </c>
      <c r="J18" s="140" t="s">
        <v>377</v>
      </c>
      <c r="K18" s="130">
        <v>350</v>
      </c>
      <c r="L18" s="151" t="s">
        <v>60</v>
      </c>
      <c r="M18" s="159" t="s">
        <v>632</v>
      </c>
      <c r="N18" s="129">
        <v>1</v>
      </c>
      <c r="P18" s="133" t="s">
        <v>151</v>
      </c>
      <c r="Q18" s="129">
        <v>31.7</v>
      </c>
      <c r="R18" s="133" t="s">
        <v>59</v>
      </c>
    </row>
    <row r="19" spans="1:18" ht="18" x14ac:dyDescent="0.25">
      <c r="A19" s="140" t="s">
        <v>207</v>
      </c>
      <c r="B19" s="154">
        <v>70</v>
      </c>
      <c r="C19" s="140" t="s">
        <v>55</v>
      </c>
      <c r="D19" s="136" t="s">
        <v>82</v>
      </c>
      <c r="E19" s="129">
        <v>350</v>
      </c>
      <c r="F19" s="140" t="s">
        <v>60</v>
      </c>
      <c r="G19" s="140" t="s">
        <v>107</v>
      </c>
      <c r="H19" s="129">
        <v>75</v>
      </c>
      <c r="I19" s="162" t="s">
        <v>60</v>
      </c>
      <c r="J19" s="140" t="s">
        <v>163</v>
      </c>
      <c r="K19" s="129">
        <v>24</v>
      </c>
      <c r="L19" s="133" t="s">
        <v>62</v>
      </c>
      <c r="M19" s="159" t="s">
        <v>633</v>
      </c>
      <c r="N19" s="129">
        <v>1</v>
      </c>
      <c r="P19" s="133" t="s">
        <v>152</v>
      </c>
      <c r="Q19" s="129">
        <v>59.6</v>
      </c>
      <c r="R19" s="133" t="s">
        <v>59</v>
      </c>
    </row>
    <row r="20" spans="1:18" ht="18" x14ac:dyDescent="0.25">
      <c r="A20" s="140" t="s">
        <v>208</v>
      </c>
      <c r="B20" s="154">
        <v>1</v>
      </c>
      <c r="C20" s="140" t="s">
        <v>204</v>
      </c>
      <c r="D20" s="136" t="s">
        <v>83</v>
      </c>
      <c r="E20" s="144">
        <v>0.54</v>
      </c>
      <c r="F20" s="131" t="s">
        <v>61</v>
      </c>
      <c r="G20" s="140" t="s">
        <v>108</v>
      </c>
      <c r="H20" s="129">
        <v>75</v>
      </c>
      <c r="I20" s="162" t="s">
        <v>60</v>
      </c>
      <c r="J20" s="140" t="s">
        <v>164</v>
      </c>
      <c r="K20" s="129">
        <v>24</v>
      </c>
      <c r="L20" s="133" t="s">
        <v>62</v>
      </c>
      <c r="M20" s="159" t="s">
        <v>634</v>
      </c>
      <c r="N20" s="129">
        <v>1</v>
      </c>
      <c r="P20" s="140" t="s">
        <v>245</v>
      </c>
      <c r="Q20" s="157">
        <f>((EF_far_c*ED_far_c*IRE_far_c)+(EF_far_a*ED_far_a*IRE_far_a))</f>
        <v>775810</v>
      </c>
      <c r="R20" s="159" t="s">
        <v>226</v>
      </c>
    </row>
    <row r="21" spans="1:18" ht="18" x14ac:dyDescent="0.25">
      <c r="A21" s="140" t="s">
        <v>227</v>
      </c>
      <c r="B21" s="154">
        <v>1</v>
      </c>
      <c r="C21" s="140" t="s">
        <v>205</v>
      </c>
      <c r="D21" s="136" t="s">
        <v>84</v>
      </c>
      <c r="E21" s="144">
        <v>0.71</v>
      </c>
      <c r="F21" s="131" t="s">
        <v>61</v>
      </c>
      <c r="G21" s="140" t="s">
        <v>109</v>
      </c>
      <c r="H21" s="129">
        <v>1</v>
      </c>
      <c r="I21" s="162" t="s">
        <v>62</v>
      </c>
      <c r="J21" s="140" t="s">
        <v>165</v>
      </c>
      <c r="K21" s="129">
        <v>24</v>
      </c>
      <c r="L21" s="133" t="s">
        <v>62</v>
      </c>
      <c r="M21" s="159" t="s">
        <v>635</v>
      </c>
      <c r="N21" s="129">
        <v>1</v>
      </c>
      <c r="P21" s="133" t="s">
        <v>155</v>
      </c>
      <c r="Q21" s="129">
        <v>46.9</v>
      </c>
      <c r="R21" s="133" t="s">
        <v>59</v>
      </c>
    </row>
    <row r="22" spans="1:18" ht="18" x14ac:dyDescent="0.25">
      <c r="A22" s="140" t="s">
        <v>252</v>
      </c>
      <c r="B22" s="154">
        <v>0.18</v>
      </c>
      <c r="C22" s="140" t="s">
        <v>204</v>
      </c>
      <c r="D22" s="136" t="s">
        <v>85</v>
      </c>
      <c r="E22" s="129">
        <v>24</v>
      </c>
      <c r="F22" s="140" t="s">
        <v>62</v>
      </c>
      <c r="G22" s="140" t="s">
        <v>110</v>
      </c>
      <c r="H22" s="144">
        <v>1</v>
      </c>
      <c r="I22" s="162" t="s">
        <v>62</v>
      </c>
      <c r="J22" s="151" t="s">
        <v>166</v>
      </c>
      <c r="K22" s="129">
        <v>0.54</v>
      </c>
      <c r="L22" s="159" t="s">
        <v>128</v>
      </c>
      <c r="M22" s="159" t="s">
        <v>636</v>
      </c>
      <c r="N22" s="129">
        <v>1</v>
      </c>
      <c r="P22" s="133" t="s">
        <v>156</v>
      </c>
      <c r="Q22" s="129">
        <v>107.4</v>
      </c>
      <c r="R22" s="133" t="s">
        <v>59</v>
      </c>
    </row>
    <row r="23" spans="1:18" ht="18" x14ac:dyDescent="0.25">
      <c r="A23" s="140" t="s">
        <v>228</v>
      </c>
      <c r="B23" s="154">
        <v>1</v>
      </c>
      <c r="C23" s="140" t="s">
        <v>206</v>
      </c>
      <c r="D23" s="136" t="s">
        <v>86</v>
      </c>
      <c r="E23" s="129">
        <v>24</v>
      </c>
      <c r="F23" s="140" t="s">
        <v>62</v>
      </c>
      <c r="G23" s="140" t="s">
        <v>111</v>
      </c>
      <c r="H23" s="144">
        <v>1</v>
      </c>
      <c r="I23" s="162" t="s">
        <v>62</v>
      </c>
      <c r="J23" s="151" t="s">
        <v>167</v>
      </c>
      <c r="K23" s="129">
        <v>0.71</v>
      </c>
      <c r="L23" s="159" t="s">
        <v>128</v>
      </c>
      <c r="M23" s="159" t="s">
        <v>637</v>
      </c>
      <c r="N23" s="129">
        <v>1</v>
      </c>
      <c r="P23" s="140" t="s">
        <v>247</v>
      </c>
      <c r="Q23" s="157">
        <f>((EF_far_c*ED_far_c*IRP_far_c)+(EF_far_a*ED_far_a*IRP_far_a))</f>
        <v>1376550</v>
      </c>
    </row>
    <row r="24" spans="1:18" ht="18" x14ac:dyDescent="0.25">
      <c r="A24" s="140" t="s">
        <v>216</v>
      </c>
      <c r="B24" s="154">
        <v>1</v>
      </c>
      <c r="C24" s="140" t="s">
        <v>206</v>
      </c>
      <c r="D24" s="136" t="s">
        <v>87</v>
      </c>
      <c r="E24" s="129">
        <v>24</v>
      </c>
      <c r="F24" s="140" t="s">
        <v>62</v>
      </c>
      <c r="G24" s="151" t="s">
        <v>159</v>
      </c>
      <c r="H24" s="144">
        <v>1</v>
      </c>
      <c r="I24" s="133" t="s">
        <v>61</v>
      </c>
      <c r="J24" s="133" t="s">
        <v>168</v>
      </c>
      <c r="K24" s="129">
        <v>12.167999999999999</v>
      </c>
      <c r="L24" s="133" t="s">
        <v>62</v>
      </c>
      <c r="M24" s="159" t="s">
        <v>638</v>
      </c>
      <c r="N24" s="129">
        <v>1</v>
      </c>
      <c r="P24" s="133" t="s">
        <v>153</v>
      </c>
      <c r="Q24" s="129">
        <v>57.4</v>
      </c>
      <c r="R24" s="159" t="s">
        <v>59</v>
      </c>
    </row>
    <row r="25" spans="1:18" ht="18" x14ac:dyDescent="0.25">
      <c r="A25" s="140" t="s">
        <v>217</v>
      </c>
      <c r="B25" s="154">
        <v>1</v>
      </c>
      <c r="C25" s="140" t="s">
        <v>206</v>
      </c>
      <c r="D25" s="136" t="s">
        <v>88</v>
      </c>
      <c r="E25" s="144">
        <v>1</v>
      </c>
      <c r="F25" s="131" t="s">
        <v>63</v>
      </c>
      <c r="G25" s="151" t="s">
        <v>160</v>
      </c>
      <c r="H25" s="144">
        <v>1</v>
      </c>
      <c r="I25" s="133" t="s">
        <v>61</v>
      </c>
      <c r="J25" s="133" t="s">
        <v>169</v>
      </c>
      <c r="K25" s="129">
        <v>10.007999999999999</v>
      </c>
      <c r="L25" s="133" t="s">
        <v>62</v>
      </c>
      <c r="M25" s="159" t="s">
        <v>639</v>
      </c>
      <c r="N25" s="129">
        <v>1</v>
      </c>
      <c r="P25" s="133" t="s">
        <v>154</v>
      </c>
      <c r="Q25" s="129">
        <v>831.8</v>
      </c>
      <c r="R25" s="159" t="s">
        <v>59</v>
      </c>
    </row>
    <row r="26" spans="1:18" ht="18" x14ac:dyDescent="0.25">
      <c r="A26" s="140" t="s">
        <v>382</v>
      </c>
      <c r="B26" s="154">
        <v>1</v>
      </c>
      <c r="D26" s="136" t="s">
        <v>89</v>
      </c>
      <c r="E26" s="144">
        <v>1</v>
      </c>
      <c r="F26" s="131" t="s">
        <v>63</v>
      </c>
      <c r="G26" s="151" t="s">
        <v>104</v>
      </c>
      <c r="H26" s="144">
        <v>1</v>
      </c>
      <c r="I26" s="162" t="s">
        <v>63</v>
      </c>
      <c r="J26" s="151" t="s">
        <v>170</v>
      </c>
      <c r="K26" s="129">
        <v>1</v>
      </c>
      <c r="L26" s="159" t="s">
        <v>129</v>
      </c>
      <c r="M26" s="151" t="s">
        <v>385</v>
      </c>
      <c r="N26" s="129">
        <v>82.9</v>
      </c>
      <c r="O26" s="159" t="s">
        <v>59</v>
      </c>
      <c r="P26" s="140" t="s">
        <v>246</v>
      </c>
      <c r="Q26" s="157">
        <f>((EF_far_c*ED_far_c*IRFI_far_c)+(EF_far_a*ED_far_a*IRFI_far_a))</f>
        <v>10018960</v>
      </c>
      <c r="R26" s="159" t="s">
        <v>226</v>
      </c>
    </row>
    <row r="27" spans="1:18" ht="18.75" x14ac:dyDescent="0.25">
      <c r="A27" s="134" t="s">
        <v>229</v>
      </c>
      <c r="B27" s="155">
        <f>Q_C_wind*((3600)/(B37*(1-V)*((Um/Ut)^3)*F_x))</f>
        <v>1359344473.5814338</v>
      </c>
      <c r="C27" s="134" t="s">
        <v>218</v>
      </c>
      <c r="D27" s="136" t="s">
        <v>96</v>
      </c>
      <c r="E27" s="129">
        <v>1.752</v>
      </c>
      <c r="F27" s="133" t="s">
        <v>62</v>
      </c>
      <c r="G27" s="151" t="s">
        <v>105</v>
      </c>
      <c r="H27" s="144">
        <v>1</v>
      </c>
      <c r="I27" s="162" t="s">
        <v>63</v>
      </c>
      <c r="J27" s="151" t="s">
        <v>171</v>
      </c>
      <c r="K27" s="129">
        <v>1</v>
      </c>
      <c r="L27" s="159" t="s">
        <v>129</v>
      </c>
      <c r="M27" s="151" t="s">
        <v>386</v>
      </c>
      <c r="N27" s="129">
        <v>84.7</v>
      </c>
      <c r="O27" s="159" t="s">
        <v>59</v>
      </c>
      <c r="P27" s="133" t="s">
        <v>157</v>
      </c>
      <c r="Q27" s="129">
        <v>33.700000000000003</v>
      </c>
      <c r="R27" s="133" t="s">
        <v>59</v>
      </c>
    </row>
    <row r="28" spans="1:18" ht="18" x14ac:dyDescent="0.25">
      <c r="A28" s="135" t="s">
        <v>219</v>
      </c>
      <c r="B28" s="126">
        <v>4.6900000000000004</v>
      </c>
      <c r="C28" s="136" t="s">
        <v>220</v>
      </c>
      <c r="D28" s="136" t="s">
        <v>97</v>
      </c>
      <c r="E28" s="129">
        <v>16.416</v>
      </c>
      <c r="F28" s="133" t="s">
        <v>62</v>
      </c>
      <c r="G28" s="133" t="s">
        <v>121</v>
      </c>
      <c r="H28" s="129">
        <v>1</v>
      </c>
      <c r="I28" s="133" t="s">
        <v>101</v>
      </c>
      <c r="J28" s="133" t="s">
        <v>172</v>
      </c>
      <c r="K28" s="129">
        <v>0.4</v>
      </c>
      <c r="L28" s="133"/>
      <c r="M28" s="140" t="s">
        <v>387</v>
      </c>
      <c r="N28" s="157">
        <f>((EF_far_c*ED_far_c*IRAP_far_c)+(EF_far_a*ED_far_a*IRAP_far_a))</f>
        <v>1182020</v>
      </c>
      <c r="O28" s="159" t="s">
        <v>226</v>
      </c>
      <c r="P28" s="133" t="s">
        <v>158</v>
      </c>
      <c r="Q28" s="129">
        <v>92.5</v>
      </c>
      <c r="R28" s="133" t="s">
        <v>59</v>
      </c>
    </row>
    <row r="29" spans="1:18" ht="18" x14ac:dyDescent="0.25">
      <c r="A29" s="135" t="s">
        <v>221</v>
      </c>
      <c r="B29" s="126">
        <v>11.32</v>
      </c>
      <c r="C29" s="136" t="s">
        <v>220</v>
      </c>
      <c r="D29" s="136" t="s">
        <v>98</v>
      </c>
      <c r="E29" s="129">
        <v>1</v>
      </c>
      <c r="G29" s="133" t="s">
        <v>120</v>
      </c>
      <c r="H29" s="129">
        <v>1</v>
      </c>
      <c r="I29" s="133" t="s">
        <v>101</v>
      </c>
      <c r="L29" s="133"/>
      <c r="M29" s="151" t="s">
        <v>388</v>
      </c>
      <c r="N29" s="129">
        <v>12</v>
      </c>
      <c r="O29" s="159" t="s">
        <v>59</v>
      </c>
      <c r="P29" s="140" t="s">
        <v>248</v>
      </c>
      <c r="Q29" s="157">
        <f>((EF_far_c*ED_far_c*IRSW_far_c)+(EF_far_a*ED_far_a*IRSW_far_a))</f>
        <v>1171520</v>
      </c>
      <c r="R29" s="159" t="s">
        <v>226</v>
      </c>
    </row>
    <row r="30" spans="1:18" ht="18" x14ac:dyDescent="0.25">
      <c r="A30" s="138" t="s">
        <v>222</v>
      </c>
      <c r="B30" s="127">
        <v>0.19400000000000001</v>
      </c>
      <c r="C30" s="139" t="s">
        <v>102</v>
      </c>
      <c r="D30" s="137" t="s">
        <v>490</v>
      </c>
      <c r="E30" s="129">
        <v>72.2</v>
      </c>
      <c r="F30" s="159" t="s">
        <v>59</v>
      </c>
      <c r="G30" s="133" t="s">
        <v>119</v>
      </c>
      <c r="H30" s="129">
        <v>1</v>
      </c>
      <c r="I30" s="133" t="s">
        <v>102</v>
      </c>
      <c r="L30" s="133"/>
      <c r="M30" s="151" t="s">
        <v>389</v>
      </c>
      <c r="N30" s="129">
        <v>39.299999999999997</v>
      </c>
      <c r="O30" s="159" t="s">
        <v>59</v>
      </c>
      <c r="P30" s="151" t="s">
        <v>1109</v>
      </c>
      <c r="Q30" s="129">
        <v>0</v>
      </c>
      <c r="R30" s="159" t="s">
        <v>59</v>
      </c>
    </row>
    <row r="31" spans="1:18" ht="18" x14ac:dyDescent="0.25">
      <c r="A31" s="138" t="s">
        <v>223</v>
      </c>
      <c r="B31" s="127">
        <v>0.5</v>
      </c>
      <c r="C31" s="139"/>
      <c r="D31" s="137" t="s">
        <v>491</v>
      </c>
      <c r="E31" s="129">
        <v>73.7</v>
      </c>
      <c r="F31" s="159" t="s">
        <v>59</v>
      </c>
      <c r="G31" s="133" t="s">
        <v>118</v>
      </c>
      <c r="H31" s="129">
        <v>1</v>
      </c>
      <c r="I31" s="133" t="s">
        <v>102</v>
      </c>
      <c r="L31" s="133"/>
      <c r="M31" s="140" t="s">
        <v>390</v>
      </c>
      <c r="N31" s="157">
        <f>((EF_far_c*ED_far_c*IRAS_far_c)+(EF_far_a*ED_far_a*IRAS_far_a))</f>
        <v>492869.99999999994</v>
      </c>
      <c r="O31" s="159" t="s">
        <v>226</v>
      </c>
      <c r="P31" s="151" t="s">
        <v>1110</v>
      </c>
      <c r="Q31" s="129">
        <v>0</v>
      </c>
      <c r="R31" s="159" t="s">
        <v>59</v>
      </c>
    </row>
    <row r="32" spans="1:18" ht="18" x14ac:dyDescent="0.25">
      <c r="A32" s="142" t="s">
        <v>230</v>
      </c>
      <c r="B32" s="157">
        <f>A_wind*EXP((((LN(As))-B_wind)^2)/C_wind)</f>
        <v>93.773582452087695</v>
      </c>
      <c r="C32" s="139"/>
      <c r="D32" s="137" t="s">
        <v>492</v>
      </c>
      <c r="E32" s="157">
        <f>((EF_res_c*ED_res_c*IRAP_res_c)+(EF_res_a*ED_res_a*IRAP_res_a))</f>
        <v>667520</v>
      </c>
      <c r="F32" s="159" t="s">
        <v>226</v>
      </c>
      <c r="G32" s="133" t="s">
        <v>117</v>
      </c>
      <c r="H32" s="129">
        <v>1</v>
      </c>
      <c r="I32" s="133" t="s">
        <v>58</v>
      </c>
      <c r="L32" s="133"/>
      <c r="M32" s="151" t="s">
        <v>391</v>
      </c>
      <c r="N32" s="129">
        <v>3.9</v>
      </c>
      <c r="O32" s="159" t="s">
        <v>59</v>
      </c>
      <c r="P32" s="140" t="s">
        <v>1111</v>
      </c>
      <c r="Q32" s="157">
        <f>((EF_far_c*ED_far_c*IRSH_far_c)+(EF_far_a*ED_far_a*IRSH_far_a))</f>
        <v>0</v>
      </c>
      <c r="R32" s="159" t="s">
        <v>226</v>
      </c>
    </row>
    <row r="33" spans="1:18" ht="18" x14ac:dyDescent="0.25">
      <c r="A33" s="141" t="s">
        <v>224</v>
      </c>
      <c r="B33" s="127">
        <v>0.5</v>
      </c>
      <c r="C33" s="139" t="s">
        <v>225</v>
      </c>
      <c r="D33" s="137" t="s">
        <v>493</v>
      </c>
      <c r="E33" s="129">
        <v>12</v>
      </c>
      <c r="F33" s="159" t="s">
        <v>59</v>
      </c>
      <c r="G33" s="133" t="s">
        <v>116</v>
      </c>
      <c r="H33" s="129">
        <v>1</v>
      </c>
      <c r="I33" s="133" t="s">
        <v>101</v>
      </c>
      <c r="L33" s="133"/>
      <c r="M33" s="151" t="s">
        <v>392</v>
      </c>
      <c r="N33" s="129">
        <v>33.9</v>
      </c>
      <c r="O33" s="159" t="s">
        <v>59</v>
      </c>
      <c r="P33" s="151" t="s">
        <v>457</v>
      </c>
      <c r="Q33" s="129">
        <v>0</v>
      </c>
      <c r="R33" s="159" t="s">
        <v>59</v>
      </c>
    </row>
    <row r="34" spans="1:18" ht="18" x14ac:dyDescent="0.25">
      <c r="A34" s="142" t="s">
        <v>231</v>
      </c>
      <c r="B34" s="128">
        <v>16.2302</v>
      </c>
      <c r="C34" s="139"/>
      <c r="D34" s="137" t="s">
        <v>494</v>
      </c>
      <c r="E34" s="129">
        <v>39.299999999999997</v>
      </c>
      <c r="F34" s="159" t="s">
        <v>59</v>
      </c>
      <c r="G34" s="133" t="s">
        <v>115</v>
      </c>
      <c r="H34" s="129">
        <v>1</v>
      </c>
      <c r="I34" s="133" t="s">
        <v>101</v>
      </c>
      <c r="L34" s="133"/>
      <c r="M34" s="140" t="s">
        <v>393</v>
      </c>
      <c r="N34" s="157">
        <f>((EF_far_c*ED_far_c*IRBT_far_c)+(EF_far_a*ED_far_a*IRBT_far_a))</f>
        <v>411600</v>
      </c>
      <c r="O34" s="159" t="s">
        <v>226</v>
      </c>
      <c r="P34" s="151" t="s">
        <v>458</v>
      </c>
      <c r="Q34" s="129">
        <v>0</v>
      </c>
      <c r="R34" s="159" t="s">
        <v>59</v>
      </c>
    </row>
    <row r="35" spans="1:18" ht="18" x14ac:dyDescent="0.25">
      <c r="A35" s="142" t="s">
        <v>232</v>
      </c>
      <c r="B35" s="128">
        <v>18.776199999999999</v>
      </c>
      <c r="C35" s="139"/>
      <c r="D35" s="137" t="s">
        <v>495</v>
      </c>
      <c r="E35" s="157">
        <f>((EF_res_c*ED_res_c*IRAS_res_c)+(EF_res_a*ED_res_a*IRAS_res_a))</f>
        <v>300300</v>
      </c>
      <c r="F35" s="159" t="s">
        <v>226</v>
      </c>
      <c r="G35" s="159" t="s">
        <v>114</v>
      </c>
      <c r="H35" s="129">
        <v>1</v>
      </c>
      <c r="I35" s="133" t="s">
        <v>102</v>
      </c>
      <c r="M35" s="151" t="s">
        <v>394</v>
      </c>
      <c r="N35" s="129">
        <v>23.9</v>
      </c>
      <c r="O35" s="159" t="s">
        <v>59</v>
      </c>
      <c r="P35" s="140" t="s">
        <v>459</v>
      </c>
      <c r="Q35" s="157">
        <f>((EF_far_c*ED_far_c*IRGO_far_c)+(EF_far_a*ED_far_a*IRGO_far_a))</f>
        <v>0</v>
      </c>
      <c r="R35" s="159" t="s">
        <v>226</v>
      </c>
    </row>
    <row r="36" spans="1:18" ht="18" x14ac:dyDescent="0.25">
      <c r="A36" s="142" t="s">
        <v>233</v>
      </c>
      <c r="B36" s="128">
        <v>216.108</v>
      </c>
      <c r="C36" s="139"/>
      <c r="D36" s="137" t="s">
        <v>496</v>
      </c>
      <c r="E36" s="129">
        <v>3.9</v>
      </c>
      <c r="F36" s="159" t="s">
        <v>59</v>
      </c>
      <c r="G36" s="133" t="s">
        <v>113</v>
      </c>
      <c r="H36" s="129">
        <v>1</v>
      </c>
      <c r="I36" s="133" t="s">
        <v>102</v>
      </c>
      <c r="M36" s="151" t="s">
        <v>395</v>
      </c>
      <c r="N36" s="129">
        <v>35.4</v>
      </c>
      <c r="O36" s="159" t="s">
        <v>59</v>
      </c>
      <c r="P36" s="151" t="s">
        <v>460</v>
      </c>
      <c r="Q36" s="129">
        <v>0</v>
      </c>
      <c r="R36" s="159" t="s">
        <v>59</v>
      </c>
    </row>
    <row r="37" spans="1:18" ht="18" x14ac:dyDescent="0.25">
      <c r="A37" s="139"/>
      <c r="B37" s="127">
        <v>3.5999999999999997E-2</v>
      </c>
      <c r="C37" s="139"/>
      <c r="D37" s="137" t="s">
        <v>497</v>
      </c>
      <c r="E37" s="129">
        <v>33.9</v>
      </c>
      <c r="F37" s="159" t="s">
        <v>59</v>
      </c>
      <c r="G37" s="133" t="s">
        <v>112</v>
      </c>
      <c r="H37" s="129">
        <v>1</v>
      </c>
      <c r="I37" s="133" t="s">
        <v>58</v>
      </c>
      <c r="M37" s="140" t="s">
        <v>396</v>
      </c>
      <c r="N37" s="157">
        <f>((EF_far_c*ED_far_c*IRBE_far_c)+(EF_far_a*ED_far_a*IRBE_far_a))</f>
        <v>471450</v>
      </c>
      <c r="O37" s="159" t="s">
        <v>226</v>
      </c>
      <c r="P37" s="151" t="s">
        <v>461</v>
      </c>
      <c r="Q37" s="129">
        <v>0</v>
      </c>
      <c r="R37" s="159" t="s">
        <v>59</v>
      </c>
    </row>
    <row r="38" spans="1:18" ht="18" x14ac:dyDescent="0.25">
      <c r="A38" s="140" t="s">
        <v>381</v>
      </c>
      <c r="B38" s="163">
        <v>1</v>
      </c>
      <c r="C38" s="142"/>
      <c r="D38" s="137" t="s">
        <v>498</v>
      </c>
      <c r="E38" s="157">
        <f>((EF_res_c*ED_res_c*IRBT_res_c)+(EF_res_a*ED_res_a*IRBT_res_a))</f>
        <v>245490</v>
      </c>
      <c r="F38" s="159" t="s">
        <v>226</v>
      </c>
      <c r="G38" s="133" t="s">
        <v>369</v>
      </c>
      <c r="H38" s="129">
        <v>1</v>
      </c>
      <c r="M38" s="151" t="s">
        <v>397</v>
      </c>
      <c r="N38" s="129">
        <v>14.4</v>
      </c>
      <c r="O38" s="159" t="s">
        <v>59</v>
      </c>
      <c r="P38" s="140" t="s">
        <v>462</v>
      </c>
      <c r="Q38" s="157">
        <f>((EF_far_c*ED_far_c*IRSM_far_c)+(EF_far_a*ED_far_a*IRSM_far_a))</f>
        <v>0</v>
      </c>
      <c r="R38" s="159" t="s">
        <v>226</v>
      </c>
    </row>
    <row r="39" spans="1:18" ht="18" x14ac:dyDescent="0.25">
      <c r="A39" s="142"/>
      <c r="B39" s="143"/>
      <c r="C39" s="142"/>
      <c r="D39" s="137" t="s">
        <v>499</v>
      </c>
      <c r="E39" s="129">
        <v>23.9</v>
      </c>
      <c r="F39" s="159" t="s">
        <v>59</v>
      </c>
      <c r="G39" s="133" t="s">
        <v>370</v>
      </c>
      <c r="H39" s="129">
        <v>1</v>
      </c>
      <c r="M39" s="151" t="s">
        <v>398</v>
      </c>
      <c r="N39" s="129">
        <v>35.299999999999997</v>
      </c>
      <c r="O39" s="159" t="s">
        <v>59</v>
      </c>
      <c r="P39" s="151" t="s">
        <v>463</v>
      </c>
      <c r="Q39" s="129">
        <v>0</v>
      </c>
      <c r="R39" s="159" t="s">
        <v>59</v>
      </c>
    </row>
    <row r="40" spans="1:18" ht="18" x14ac:dyDescent="0.25">
      <c r="A40" s="140"/>
      <c r="B40" s="146"/>
      <c r="C40" s="142"/>
      <c r="D40" s="137" t="s">
        <v>500</v>
      </c>
      <c r="E40" s="129">
        <v>35.4</v>
      </c>
      <c r="F40" s="159" t="s">
        <v>59</v>
      </c>
      <c r="M40" s="140" t="s">
        <v>399</v>
      </c>
      <c r="N40" s="157">
        <f>((EF_far_c*ED_far_c*IRBR_far_c)+(EF_far_a*ED_far_a*IRBR_far_a))</f>
        <v>450309.99999999994</v>
      </c>
      <c r="O40" s="159" t="s">
        <v>226</v>
      </c>
      <c r="P40" s="151" t="s">
        <v>464</v>
      </c>
      <c r="Q40" s="129">
        <v>0</v>
      </c>
      <c r="R40" s="159" t="s">
        <v>59</v>
      </c>
    </row>
    <row r="41" spans="1:18" ht="18" x14ac:dyDescent="0.25">
      <c r="A41" s="142"/>
      <c r="B41" s="143"/>
      <c r="C41" s="142"/>
      <c r="D41" s="137" t="s">
        <v>501</v>
      </c>
      <c r="E41" s="157">
        <f>((EF_res_c*ED_res_c*IRBE_res_c)+(EF_res_a*ED_res_a*IRBE_res_a))</f>
        <v>297990</v>
      </c>
      <c r="F41" s="159" t="s">
        <v>226</v>
      </c>
      <c r="H41" s="144"/>
      <c r="I41" s="133"/>
      <c r="M41" s="151" t="s">
        <v>400</v>
      </c>
      <c r="N41" s="129">
        <v>11.5</v>
      </c>
      <c r="O41" s="159" t="s">
        <v>59</v>
      </c>
      <c r="P41" s="140" t="s">
        <v>465</v>
      </c>
      <c r="Q41" s="157">
        <f>((EF_far_c*ED_far_c*IRGM_far_c)+(EF_far_a*ED_far_a*IRGM_far_a))</f>
        <v>0</v>
      </c>
      <c r="R41" s="159" t="s">
        <v>226</v>
      </c>
    </row>
    <row r="42" spans="1:18" ht="18" x14ac:dyDescent="0.25">
      <c r="D42" s="137" t="s">
        <v>502</v>
      </c>
      <c r="E42" s="129">
        <v>13.1</v>
      </c>
      <c r="F42" s="159" t="s">
        <v>59</v>
      </c>
      <c r="M42" s="151" t="s">
        <v>401</v>
      </c>
      <c r="N42" s="129">
        <v>85.7</v>
      </c>
      <c r="O42" s="159" t="s">
        <v>59</v>
      </c>
      <c r="P42" s="133" t="s">
        <v>178</v>
      </c>
      <c r="Q42" s="144">
        <v>92</v>
      </c>
      <c r="R42" s="133" t="s">
        <v>58</v>
      </c>
    </row>
    <row r="43" spans="1:18" ht="18" x14ac:dyDescent="0.25">
      <c r="D43" s="137" t="s">
        <v>503</v>
      </c>
      <c r="E43" s="129">
        <v>32</v>
      </c>
      <c r="F43" s="159" t="s">
        <v>59</v>
      </c>
      <c r="M43" s="140" t="s">
        <v>402</v>
      </c>
      <c r="N43" s="157">
        <f>((EF_far_c*ED_far_c*IRCB_far_c)+(EF_far_a*ED_far_a*IRCB_far_a))</f>
        <v>1043980</v>
      </c>
      <c r="O43" s="159" t="s">
        <v>226</v>
      </c>
      <c r="P43" s="133" t="s">
        <v>378</v>
      </c>
      <c r="Q43" s="128">
        <v>1.03</v>
      </c>
      <c r="R43" s="133" t="s">
        <v>140</v>
      </c>
    </row>
    <row r="44" spans="1:18" ht="18" x14ac:dyDescent="0.25">
      <c r="A44" s="142"/>
      <c r="B44" s="143"/>
      <c r="C44" s="142"/>
      <c r="D44" s="137" t="s">
        <v>504</v>
      </c>
      <c r="E44" s="157">
        <f>((EF_res_c*ED_res_c*IRBR_res_c)+(EF_res_a*ED_res_a*IRBR_res_a))</f>
        <v>251510</v>
      </c>
      <c r="F44" s="159" t="s">
        <v>226</v>
      </c>
      <c r="M44" s="151" t="s">
        <v>403</v>
      </c>
      <c r="N44" s="129">
        <v>13.3</v>
      </c>
      <c r="O44" s="159" t="s">
        <v>59</v>
      </c>
      <c r="P44" s="133" t="s">
        <v>179</v>
      </c>
      <c r="Q44" s="144">
        <v>20.3</v>
      </c>
      <c r="R44" s="133" t="s">
        <v>101</v>
      </c>
    </row>
    <row r="45" spans="1:18" ht="18" x14ac:dyDescent="0.25">
      <c r="A45" s="142"/>
      <c r="B45" s="143"/>
      <c r="C45" s="142"/>
      <c r="D45" s="137" t="s">
        <v>505</v>
      </c>
      <c r="E45" s="129">
        <v>12.3</v>
      </c>
      <c r="F45" s="159" t="s">
        <v>59</v>
      </c>
      <c r="M45" s="151" t="s">
        <v>404</v>
      </c>
      <c r="N45" s="129">
        <v>24.4</v>
      </c>
      <c r="O45" s="159" t="s">
        <v>59</v>
      </c>
      <c r="P45" s="133" t="s">
        <v>180</v>
      </c>
      <c r="Q45" s="144">
        <v>0.4</v>
      </c>
      <c r="R45" s="133" t="s">
        <v>101</v>
      </c>
    </row>
    <row r="46" spans="1:18" ht="18" x14ac:dyDescent="0.25">
      <c r="A46" s="142"/>
      <c r="B46" s="145"/>
      <c r="C46" s="142"/>
      <c r="D46" s="137" t="s">
        <v>506</v>
      </c>
      <c r="E46" s="129">
        <v>92.1</v>
      </c>
      <c r="F46" s="159" t="s">
        <v>59</v>
      </c>
      <c r="M46" s="140" t="s">
        <v>405</v>
      </c>
      <c r="N46" s="157">
        <f>((EF_far_c*ED_far_c*IRCR_far_c)+(EF_far_a*ED_far_a*IRCR_far_a))</f>
        <v>318290</v>
      </c>
      <c r="O46" s="159" t="s">
        <v>226</v>
      </c>
      <c r="P46" s="133" t="s">
        <v>181</v>
      </c>
      <c r="Q46" s="144">
        <v>1</v>
      </c>
      <c r="R46" s="133"/>
    </row>
    <row r="47" spans="1:18" ht="18" x14ac:dyDescent="0.25">
      <c r="A47" s="142"/>
      <c r="B47" s="143"/>
      <c r="C47" s="142"/>
      <c r="D47" s="137" t="s">
        <v>507</v>
      </c>
      <c r="E47" s="157">
        <f>((EF_res_c*ED_res_c*IRCB_res_c)+(EF_res_a*ED_res_a*IRCB_res_a))</f>
        <v>670530</v>
      </c>
      <c r="F47" s="159" t="s">
        <v>226</v>
      </c>
      <c r="M47" s="151" t="s">
        <v>406</v>
      </c>
      <c r="N47" s="129">
        <v>46</v>
      </c>
      <c r="O47" s="159" t="s">
        <v>59</v>
      </c>
      <c r="P47" s="133" t="s">
        <v>182</v>
      </c>
      <c r="Q47" s="144">
        <v>1</v>
      </c>
      <c r="R47" s="133"/>
    </row>
    <row r="48" spans="1:18" ht="18" x14ac:dyDescent="0.25">
      <c r="A48" s="142"/>
      <c r="B48" s="146"/>
      <c r="C48" s="142"/>
      <c r="D48" s="137" t="s">
        <v>508</v>
      </c>
      <c r="E48" s="129">
        <v>14.9</v>
      </c>
      <c r="F48" s="159" t="s">
        <v>59</v>
      </c>
      <c r="M48" s="151" t="s">
        <v>407</v>
      </c>
      <c r="N48" s="129">
        <v>91.9</v>
      </c>
      <c r="O48" s="159" t="s">
        <v>59</v>
      </c>
      <c r="P48" s="133" t="s">
        <v>193</v>
      </c>
      <c r="Q48" s="144">
        <v>53</v>
      </c>
      <c r="R48" s="133" t="s">
        <v>58</v>
      </c>
    </row>
    <row r="49" spans="1:18" ht="18" x14ac:dyDescent="0.25">
      <c r="A49" s="142"/>
      <c r="B49" s="143"/>
      <c r="C49" s="142"/>
      <c r="D49" s="137" t="s">
        <v>509</v>
      </c>
      <c r="E49" s="129">
        <v>27.3</v>
      </c>
      <c r="F49" s="159" t="s">
        <v>59</v>
      </c>
      <c r="M49" s="140" t="s">
        <v>408</v>
      </c>
      <c r="N49" s="157">
        <f>((EF_far_c*ED_far_c*IRCG_far_c)+(EF_far_a*ED_far_a*IRCG_far_a))</f>
        <v>1190210</v>
      </c>
      <c r="O49" s="159" t="s">
        <v>226</v>
      </c>
      <c r="P49" s="133" t="s">
        <v>183</v>
      </c>
      <c r="Q49" s="144">
        <v>11.77</v>
      </c>
      <c r="R49" s="133" t="s">
        <v>101</v>
      </c>
    </row>
    <row r="50" spans="1:18" ht="18" x14ac:dyDescent="0.25">
      <c r="A50" s="142"/>
      <c r="B50" s="147"/>
      <c r="C50" s="142"/>
      <c r="D50" s="137" t="s">
        <v>510</v>
      </c>
      <c r="E50" s="157">
        <f>((EF_res_c*ED_res_c*IRCR_res_c)+(EF_res_a*ED_res_a*IRCR_res_a))</f>
        <v>222390</v>
      </c>
      <c r="F50" s="159" t="s">
        <v>226</v>
      </c>
      <c r="M50" s="151" t="s">
        <v>409</v>
      </c>
      <c r="N50" s="129">
        <v>194.4</v>
      </c>
      <c r="O50" s="159" t="s">
        <v>59</v>
      </c>
      <c r="P50" s="133" t="s">
        <v>184</v>
      </c>
      <c r="Q50" s="144">
        <v>0.5</v>
      </c>
      <c r="R50" s="133" t="s">
        <v>101</v>
      </c>
    </row>
    <row r="51" spans="1:18" ht="18" x14ac:dyDescent="0.25">
      <c r="A51" s="142"/>
      <c r="B51" s="148"/>
      <c r="C51" s="142"/>
      <c r="D51" s="137" t="s">
        <v>511</v>
      </c>
      <c r="E51" s="129">
        <v>46</v>
      </c>
      <c r="F51" s="159" t="s">
        <v>59</v>
      </c>
      <c r="M51" s="151" t="s">
        <v>410</v>
      </c>
      <c r="N51" s="129">
        <v>309.39999999999998</v>
      </c>
      <c r="O51" s="159" t="s">
        <v>59</v>
      </c>
      <c r="P51" s="133" t="s">
        <v>185</v>
      </c>
      <c r="Q51" s="144">
        <v>1</v>
      </c>
      <c r="R51" s="133"/>
    </row>
    <row r="52" spans="1:18" ht="18" x14ac:dyDescent="0.25">
      <c r="A52" s="142"/>
      <c r="B52" s="148"/>
      <c r="C52" s="142"/>
      <c r="D52" s="137" t="s">
        <v>512</v>
      </c>
      <c r="E52" s="129">
        <v>91.9</v>
      </c>
      <c r="F52" s="159" t="s">
        <v>59</v>
      </c>
      <c r="M52" s="140" t="s">
        <v>411</v>
      </c>
      <c r="N52" s="157">
        <f>((EF_far_c*ED_far_c*IRCI_far_c)+(EF_far_a*ED_far_a*IRCI_far_a))</f>
        <v>4090099.9999999995</v>
      </c>
      <c r="O52" s="159" t="s">
        <v>226</v>
      </c>
      <c r="P52" s="133" t="s">
        <v>186</v>
      </c>
      <c r="Q52" s="144">
        <v>1</v>
      </c>
      <c r="R52" s="133"/>
    </row>
    <row r="53" spans="1:18" ht="18" x14ac:dyDescent="0.25">
      <c r="A53" s="142"/>
      <c r="B53" s="148"/>
      <c r="C53" s="142"/>
      <c r="D53" s="137" t="s">
        <v>513</v>
      </c>
      <c r="E53" s="157">
        <f>((EF_res_c*ED_res_c*IRCG_res_c)+(EF_res_a*ED_res_a*IRCG_res_a))</f>
        <v>739900</v>
      </c>
      <c r="F53" s="159" t="s">
        <v>226</v>
      </c>
      <c r="M53" s="151" t="s">
        <v>412</v>
      </c>
      <c r="N53" s="129">
        <v>32.700000000000003</v>
      </c>
      <c r="O53" s="159" t="s">
        <v>59</v>
      </c>
      <c r="P53" s="133" t="s">
        <v>187</v>
      </c>
      <c r="Q53" s="129">
        <v>0.4</v>
      </c>
      <c r="R53" s="133" t="s">
        <v>58</v>
      </c>
    </row>
    <row r="54" spans="1:18" ht="18" x14ac:dyDescent="0.25">
      <c r="A54" s="142"/>
      <c r="B54" s="148"/>
      <c r="C54" s="142"/>
      <c r="D54" s="137" t="s">
        <v>514</v>
      </c>
      <c r="E54" s="129">
        <v>194.1</v>
      </c>
      <c r="F54" s="159" t="s">
        <v>59</v>
      </c>
      <c r="M54" s="151" t="s">
        <v>413</v>
      </c>
      <c r="N54" s="129">
        <v>82</v>
      </c>
      <c r="O54" s="159" t="s">
        <v>59</v>
      </c>
      <c r="P54" s="133" t="s">
        <v>188</v>
      </c>
      <c r="Q54" s="144">
        <v>0.2</v>
      </c>
      <c r="R54" s="133" t="s">
        <v>101</v>
      </c>
    </row>
    <row r="55" spans="1:18" ht="18" x14ac:dyDescent="0.25">
      <c r="A55" s="142"/>
      <c r="B55" s="147"/>
      <c r="C55" s="142"/>
      <c r="D55" s="137" t="s">
        <v>515</v>
      </c>
      <c r="E55" s="129">
        <v>309.39999999999998</v>
      </c>
      <c r="F55" s="159" t="s">
        <v>59</v>
      </c>
      <c r="M55" s="140" t="s">
        <v>414</v>
      </c>
      <c r="N55" s="157">
        <f>((EF_far_c*ED_far_c*IRCO_far_c)+(EF_far_a*ED_far_a*IRCO_far_a))</f>
        <v>1044470</v>
      </c>
      <c r="O55" s="159" t="s">
        <v>226</v>
      </c>
      <c r="P55" s="133" t="s">
        <v>189</v>
      </c>
      <c r="Q55" s="144">
        <v>2.1999999999999999E-2</v>
      </c>
      <c r="R55" s="133" t="s">
        <v>101</v>
      </c>
    </row>
    <row r="56" spans="1:18" ht="18" x14ac:dyDescent="0.25">
      <c r="A56" s="142"/>
      <c r="B56" s="147"/>
      <c r="C56" s="142"/>
      <c r="D56" s="137" t="s">
        <v>516</v>
      </c>
      <c r="E56" s="157">
        <f>((EF_res_c*ED_res_c*IRCI_res_c)+(EF_res_a*ED_res_a*IRCI_res_a))</f>
        <v>2573410</v>
      </c>
      <c r="F56" s="159" t="s">
        <v>226</v>
      </c>
      <c r="M56" s="151" t="s">
        <v>415</v>
      </c>
      <c r="N56" s="129">
        <v>16.899999999999999</v>
      </c>
      <c r="O56" s="159" t="s">
        <v>59</v>
      </c>
      <c r="P56" s="133" t="s">
        <v>190</v>
      </c>
      <c r="Q56" s="129">
        <v>1</v>
      </c>
      <c r="R56" s="133"/>
    </row>
    <row r="57" spans="1:18" ht="18" x14ac:dyDescent="0.25">
      <c r="A57" s="142"/>
      <c r="B57" s="149"/>
      <c r="C57" s="142"/>
      <c r="D57" s="137" t="s">
        <v>517</v>
      </c>
      <c r="E57" s="129">
        <v>23.8</v>
      </c>
      <c r="F57" s="159" t="s">
        <v>59</v>
      </c>
      <c r="M57" s="151" t="s">
        <v>416</v>
      </c>
      <c r="N57" s="129">
        <v>54.9</v>
      </c>
      <c r="O57" s="159" t="s">
        <v>59</v>
      </c>
      <c r="P57" s="133" t="s">
        <v>191</v>
      </c>
      <c r="Q57" s="129">
        <v>1</v>
      </c>
      <c r="R57" s="133"/>
    </row>
    <row r="58" spans="1:18" ht="18" x14ac:dyDescent="0.25">
      <c r="A58" s="142"/>
      <c r="B58" s="149"/>
      <c r="C58" s="142"/>
      <c r="D58" s="137" t="s">
        <v>518</v>
      </c>
      <c r="E58" s="129">
        <v>59.8</v>
      </c>
      <c r="F58" s="159" t="s">
        <v>59</v>
      </c>
      <c r="M58" s="140" t="s">
        <v>417</v>
      </c>
      <c r="N58" s="157">
        <f>((EF_far_c*ED_far_c*IRCU_far_c)+(EF_far_a*ED_far_a*IRCU_far_a))</f>
        <v>688800</v>
      </c>
      <c r="O58" s="159" t="s">
        <v>226</v>
      </c>
      <c r="P58" s="133" t="s">
        <v>192</v>
      </c>
      <c r="Q58" s="129">
        <v>0.4</v>
      </c>
      <c r="R58" s="133" t="s">
        <v>58</v>
      </c>
    </row>
    <row r="59" spans="1:18" ht="18" x14ac:dyDescent="0.25">
      <c r="A59" s="142"/>
      <c r="B59" s="148"/>
      <c r="C59" s="142"/>
      <c r="D59" s="137" t="s">
        <v>519</v>
      </c>
      <c r="E59" s="157">
        <f>((EF_res_c*ED_res_c*IRCO_res_c)+(EF_res_a*ED_res_a*IRCO_res_a))</f>
        <v>468580</v>
      </c>
      <c r="F59" s="159" t="s">
        <v>226</v>
      </c>
      <c r="M59" s="151" t="s">
        <v>418</v>
      </c>
      <c r="N59" s="129">
        <v>4.2</v>
      </c>
      <c r="O59" s="159" t="s">
        <v>59</v>
      </c>
      <c r="P59" s="133" t="s">
        <v>202</v>
      </c>
      <c r="Q59" s="144">
        <v>0.2</v>
      </c>
      <c r="R59" s="133" t="s">
        <v>101</v>
      </c>
    </row>
    <row r="60" spans="1:18" ht="18" x14ac:dyDescent="0.25">
      <c r="A60" s="142"/>
      <c r="B60" s="150"/>
      <c r="C60" s="142"/>
      <c r="D60" s="137" t="s">
        <v>520</v>
      </c>
      <c r="E60" s="129">
        <v>25.4</v>
      </c>
      <c r="F60" s="159" t="s">
        <v>59</v>
      </c>
      <c r="M60" s="151" t="s">
        <v>419</v>
      </c>
      <c r="N60" s="129">
        <v>37.5</v>
      </c>
      <c r="O60" s="159" t="s">
        <v>59</v>
      </c>
      <c r="P60" s="133" t="s">
        <v>201</v>
      </c>
      <c r="Q60" s="144">
        <v>2.1999999999999999E-2</v>
      </c>
      <c r="R60" s="133" t="s">
        <v>101</v>
      </c>
    </row>
    <row r="61" spans="1:18" ht="18" x14ac:dyDescent="0.25">
      <c r="A61" s="142"/>
      <c r="B61" s="150"/>
      <c r="C61" s="142"/>
      <c r="D61" s="137" t="s">
        <v>521</v>
      </c>
      <c r="E61" s="129">
        <v>82.4</v>
      </c>
      <c r="F61" s="159" t="s">
        <v>59</v>
      </c>
      <c r="M61" s="140" t="s">
        <v>420</v>
      </c>
      <c r="N61" s="157">
        <f>((EF_far_c*ED_far_c*IRLE_far_c)+(EF_far_a*ED_far_a*IRLE_far_a))</f>
        <v>455070</v>
      </c>
      <c r="O61" s="159" t="s">
        <v>226</v>
      </c>
      <c r="P61" s="133" t="s">
        <v>200</v>
      </c>
      <c r="Q61" s="144">
        <v>1</v>
      </c>
      <c r="R61" s="133"/>
    </row>
    <row r="62" spans="1:18" ht="18" x14ac:dyDescent="0.25">
      <c r="A62" s="142"/>
      <c r="B62" s="150"/>
      <c r="C62" s="142"/>
      <c r="D62" s="137" t="s">
        <v>522</v>
      </c>
      <c r="E62" s="157">
        <f>((EF_res_c*ED_res_c*IRCU_res_c)+(EF_res_a*ED_res_a*IRCU_res_a))</f>
        <v>630140</v>
      </c>
      <c r="F62" s="159" t="s">
        <v>226</v>
      </c>
      <c r="M62" s="151" t="s">
        <v>421</v>
      </c>
      <c r="N62" s="129">
        <v>6.5</v>
      </c>
      <c r="O62" s="159" t="s">
        <v>59</v>
      </c>
      <c r="P62" s="133" t="s">
        <v>199</v>
      </c>
      <c r="Q62" s="144">
        <v>1</v>
      </c>
      <c r="R62" s="133"/>
    </row>
    <row r="63" spans="1:18" ht="18" x14ac:dyDescent="0.25">
      <c r="A63" s="142"/>
      <c r="B63" s="148"/>
      <c r="C63" s="142"/>
      <c r="D63" s="137" t="s">
        <v>523</v>
      </c>
      <c r="E63" s="129">
        <v>4.2</v>
      </c>
      <c r="F63" s="159" t="s">
        <v>59</v>
      </c>
      <c r="M63" s="151" t="s">
        <v>422</v>
      </c>
      <c r="N63" s="129">
        <v>33.799999999999997</v>
      </c>
      <c r="O63" s="159" t="s">
        <v>59</v>
      </c>
      <c r="P63" s="133" t="s">
        <v>198</v>
      </c>
      <c r="Q63" s="144">
        <v>11.4</v>
      </c>
      <c r="R63" s="133" t="s">
        <v>58</v>
      </c>
    </row>
    <row r="64" spans="1:18" ht="18" x14ac:dyDescent="0.25">
      <c r="A64" s="142"/>
      <c r="B64" s="148"/>
      <c r="C64" s="142"/>
      <c r="D64" s="137" t="s">
        <v>524</v>
      </c>
      <c r="E64" s="129">
        <v>37.5</v>
      </c>
      <c r="F64" s="159" t="s">
        <v>59</v>
      </c>
      <c r="M64" s="140" t="s">
        <v>423</v>
      </c>
      <c r="N64" s="157">
        <f>((EF_far_c*ED_far_c*IRLI_far_c)+(EF_far_a*ED_far_a*IRLI_far_a))</f>
        <v>415869.99999999994</v>
      </c>
      <c r="O64" s="159" t="s">
        <v>226</v>
      </c>
      <c r="P64" s="133" t="s">
        <v>197</v>
      </c>
      <c r="Q64" s="144">
        <v>4.7</v>
      </c>
      <c r="R64" s="133" t="s">
        <v>101</v>
      </c>
    </row>
    <row r="65" spans="1:18" ht="18" x14ac:dyDescent="0.25">
      <c r="A65" s="142"/>
      <c r="B65" s="148"/>
      <c r="C65" s="142"/>
      <c r="D65" s="137" t="s">
        <v>525</v>
      </c>
      <c r="E65" s="157">
        <f>((EF_res_c*ED_res_c*IRLE_res_c)+(EF_res_a*ED_res_a*IRLE_res_a))</f>
        <v>271320</v>
      </c>
      <c r="F65" s="159" t="s">
        <v>226</v>
      </c>
      <c r="M65" s="151" t="s">
        <v>424</v>
      </c>
      <c r="N65" s="129">
        <v>5.3</v>
      </c>
      <c r="O65" s="159" t="s">
        <v>59</v>
      </c>
      <c r="P65" s="133" t="s">
        <v>196</v>
      </c>
      <c r="Q65" s="144">
        <v>0.37</v>
      </c>
      <c r="R65" s="133" t="s">
        <v>101</v>
      </c>
    </row>
    <row r="66" spans="1:18" ht="18" x14ac:dyDescent="0.25">
      <c r="A66" s="142"/>
      <c r="B66" s="148"/>
      <c r="C66" s="142"/>
      <c r="D66" s="137" t="s">
        <v>526</v>
      </c>
      <c r="E66" s="129">
        <v>6.5</v>
      </c>
      <c r="F66" s="159" t="s">
        <v>59</v>
      </c>
      <c r="M66" s="151" t="s">
        <v>425</v>
      </c>
      <c r="N66" s="129">
        <v>30.2</v>
      </c>
      <c r="O66" s="159" t="s">
        <v>59</v>
      </c>
      <c r="P66" s="133" t="s">
        <v>195</v>
      </c>
      <c r="Q66" s="144">
        <v>1</v>
      </c>
      <c r="R66" s="133"/>
    </row>
    <row r="67" spans="1:18" ht="18" x14ac:dyDescent="0.25">
      <c r="A67" s="142"/>
      <c r="B67" s="148"/>
      <c r="C67" s="142"/>
      <c r="D67" s="137" t="s">
        <v>527</v>
      </c>
      <c r="E67" s="129">
        <v>33.799999999999997</v>
      </c>
      <c r="F67" s="159" t="s">
        <v>59</v>
      </c>
      <c r="M67" s="140" t="s">
        <v>426</v>
      </c>
      <c r="N67" s="157">
        <f>((EF_far_c*ED_far_c*IROK_far_c)+(EF_far_a*ED_far_a*IROK_far_a))</f>
        <v>370510</v>
      </c>
      <c r="O67" s="159" t="s">
        <v>226</v>
      </c>
      <c r="P67" s="133" t="s">
        <v>194</v>
      </c>
      <c r="Q67" s="144">
        <v>1</v>
      </c>
      <c r="R67" s="133"/>
    </row>
    <row r="68" spans="1:18" ht="18" x14ac:dyDescent="0.25">
      <c r="A68" s="142"/>
      <c r="B68" s="148"/>
      <c r="C68" s="142"/>
      <c r="D68" s="137" t="s">
        <v>528</v>
      </c>
      <c r="E68" s="157">
        <f>((EF_res_c*ED_res_c*IRLI_res_c)+(EF_res_a*ED_res_a*IRLI_res_a))</f>
        <v>250249.99999999997</v>
      </c>
      <c r="F68" s="159" t="s">
        <v>226</v>
      </c>
      <c r="M68" s="151" t="s">
        <v>427</v>
      </c>
      <c r="N68" s="129">
        <v>7.2</v>
      </c>
      <c r="O68" s="159" t="s">
        <v>59</v>
      </c>
      <c r="P68" s="133" t="s">
        <v>352</v>
      </c>
      <c r="Q68" s="144">
        <v>0.25</v>
      </c>
    </row>
    <row r="69" spans="1:18" ht="18" x14ac:dyDescent="0.25">
      <c r="A69" s="142"/>
      <c r="B69" s="152"/>
      <c r="C69" s="142"/>
      <c r="D69" s="137" t="s">
        <v>529</v>
      </c>
      <c r="E69" s="129">
        <v>5.3</v>
      </c>
      <c r="F69" s="159" t="s">
        <v>59</v>
      </c>
      <c r="M69" s="151" t="s">
        <v>428</v>
      </c>
      <c r="N69" s="129">
        <v>27.2</v>
      </c>
      <c r="O69" s="159" t="s">
        <v>59</v>
      </c>
      <c r="P69" s="133" t="s">
        <v>374</v>
      </c>
      <c r="Q69" s="156">
        <f>MLF_pasture</f>
        <v>0.25</v>
      </c>
    </row>
    <row r="70" spans="1:18" ht="18" x14ac:dyDescent="0.25">
      <c r="A70" s="142"/>
      <c r="B70" s="152"/>
      <c r="C70" s="142"/>
      <c r="D70" s="137" t="s">
        <v>530</v>
      </c>
      <c r="E70" s="129">
        <v>30.2</v>
      </c>
      <c r="F70" s="159" t="s">
        <v>59</v>
      </c>
      <c r="M70" s="140" t="s">
        <v>429</v>
      </c>
      <c r="N70" s="157">
        <f>((EF_far_c*ED_far_c*IRON_far_c)+(EF_far_a*ED_far_a*IRON_far_a))</f>
        <v>338800</v>
      </c>
      <c r="O70" s="159" t="s">
        <v>226</v>
      </c>
      <c r="P70" s="133" t="s">
        <v>1104</v>
      </c>
      <c r="Q70" s="144">
        <v>5.25</v>
      </c>
      <c r="R70" s="133" t="s">
        <v>58</v>
      </c>
    </row>
    <row r="71" spans="1:18" ht="18" x14ac:dyDescent="0.25">
      <c r="A71" s="142"/>
      <c r="B71" s="152"/>
      <c r="C71" s="142"/>
      <c r="D71" s="137" t="s">
        <v>531</v>
      </c>
      <c r="E71" s="157">
        <f>((EF_res_c*ED_res_c*IROK_res_c)+(EF_res_a*ED_res_a*IROK_res_a))</f>
        <v>222530</v>
      </c>
      <c r="F71" s="159" t="s">
        <v>226</v>
      </c>
      <c r="M71" s="151" t="s">
        <v>430</v>
      </c>
      <c r="N71" s="129">
        <v>99.3</v>
      </c>
      <c r="O71" s="159" t="s">
        <v>59</v>
      </c>
      <c r="P71" s="133" t="s">
        <v>1105</v>
      </c>
      <c r="Q71" s="144">
        <v>1.98</v>
      </c>
      <c r="R71" s="133" t="s">
        <v>101</v>
      </c>
    </row>
    <row r="72" spans="1:18" ht="18" x14ac:dyDescent="0.25">
      <c r="A72" s="142"/>
      <c r="B72" s="152"/>
      <c r="C72" s="142"/>
      <c r="D72" s="137" t="s">
        <v>532</v>
      </c>
      <c r="E72" s="129">
        <v>5.8</v>
      </c>
      <c r="F72" s="159" t="s">
        <v>59</v>
      </c>
      <c r="M72" s="151" t="s">
        <v>431</v>
      </c>
      <c r="N72" s="129">
        <v>103.1</v>
      </c>
      <c r="O72" s="159" t="s">
        <v>59</v>
      </c>
      <c r="P72" s="133" t="s">
        <v>1106</v>
      </c>
      <c r="Q72" s="144">
        <v>0.36</v>
      </c>
      <c r="R72" s="133" t="s">
        <v>101</v>
      </c>
    </row>
    <row r="73" spans="1:18" ht="18" x14ac:dyDescent="0.25">
      <c r="A73" s="142"/>
      <c r="B73" s="152"/>
      <c r="C73" s="142"/>
      <c r="D73" s="137" t="s">
        <v>533</v>
      </c>
      <c r="E73" s="129">
        <v>21.8</v>
      </c>
      <c r="F73" s="159" t="s">
        <v>59</v>
      </c>
      <c r="M73" s="140" t="s">
        <v>432</v>
      </c>
      <c r="N73" s="157">
        <f>((EF_far_c*ED_far_c*IRPC_far_c)+(EF_far_a*ED_far_a*IRPC_far_a))</f>
        <v>1435420</v>
      </c>
      <c r="O73" s="159" t="s">
        <v>226</v>
      </c>
      <c r="P73" s="133" t="s">
        <v>1107</v>
      </c>
      <c r="Q73" s="144">
        <v>1</v>
      </c>
      <c r="R73" s="133"/>
    </row>
    <row r="74" spans="1:18" ht="18" x14ac:dyDescent="0.25">
      <c r="A74" s="142"/>
      <c r="B74" s="152"/>
      <c r="C74" s="142"/>
      <c r="D74" s="137" t="s">
        <v>534</v>
      </c>
      <c r="E74" s="157">
        <f>((EF_res_c*ED_res_c*IRON_res_c)+(EF_res_a*ED_res_a*IRON_res_a))</f>
        <v>164780</v>
      </c>
      <c r="F74" s="159" t="s">
        <v>226</v>
      </c>
      <c r="M74" s="151" t="s">
        <v>559</v>
      </c>
      <c r="N74" s="129">
        <v>76.900000000000006</v>
      </c>
      <c r="O74" s="159" t="s">
        <v>59</v>
      </c>
      <c r="P74" s="133" t="s">
        <v>1108</v>
      </c>
      <c r="Q74" s="144">
        <v>1</v>
      </c>
      <c r="R74" s="133"/>
    </row>
    <row r="75" spans="1:18" ht="18" x14ac:dyDescent="0.25">
      <c r="A75" s="142"/>
      <c r="B75" s="152"/>
      <c r="C75" s="142"/>
      <c r="D75" s="137" t="s">
        <v>535</v>
      </c>
      <c r="E75" s="129">
        <v>111.4</v>
      </c>
      <c r="F75" s="159" t="s">
        <v>59</v>
      </c>
      <c r="M75" s="151" t="s">
        <v>560</v>
      </c>
      <c r="N75" s="129">
        <v>59.9</v>
      </c>
      <c r="O75" s="159" t="s">
        <v>59</v>
      </c>
      <c r="P75" s="133" t="s">
        <v>741</v>
      </c>
      <c r="Q75" s="144">
        <v>7.57</v>
      </c>
      <c r="R75" s="133" t="s">
        <v>58</v>
      </c>
    </row>
    <row r="76" spans="1:18" ht="18" x14ac:dyDescent="0.25">
      <c r="A76" s="142"/>
      <c r="B76" s="152"/>
      <c r="C76" s="142"/>
      <c r="D76" s="137" t="s">
        <v>536</v>
      </c>
      <c r="E76" s="129">
        <v>115.7</v>
      </c>
      <c r="F76" s="159" t="s">
        <v>59</v>
      </c>
      <c r="M76" s="140" t="s">
        <v>561</v>
      </c>
      <c r="N76" s="157">
        <f>((EF_far_c*ED_far_c*IRPR_far_c)+(EF_far_a*ED_far_a*IRPR_far_a))</f>
        <v>874300</v>
      </c>
      <c r="O76" s="159" t="s">
        <v>226</v>
      </c>
      <c r="P76" s="133" t="s">
        <v>742</v>
      </c>
      <c r="Q76" s="144">
        <v>1.27</v>
      </c>
      <c r="R76" s="133" t="s">
        <v>101</v>
      </c>
    </row>
    <row r="77" spans="1:18" ht="18" x14ac:dyDescent="0.25">
      <c r="A77" s="142"/>
      <c r="B77" s="152"/>
      <c r="C77" s="142"/>
      <c r="D77" s="137" t="s">
        <v>537</v>
      </c>
      <c r="E77" s="157">
        <f>((EF_res_c*ED_res_c*IRPC_res_c)+(EF_res_a*ED_res_a*IRPC_res_a))</f>
        <v>1043840</v>
      </c>
      <c r="F77" s="159" t="s">
        <v>226</v>
      </c>
      <c r="M77" s="151" t="s">
        <v>433</v>
      </c>
      <c r="N77" s="129">
        <v>28.7</v>
      </c>
      <c r="O77" s="159" t="s">
        <v>59</v>
      </c>
      <c r="P77" s="133" t="s">
        <v>743</v>
      </c>
      <c r="Q77" s="144"/>
      <c r="R77" s="133" t="s">
        <v>101</v>
      </c>
    </row>
    <row r="78" spans="1:18" ht="18" x14ac:dyDescent="0.25">
      <c r="A78" s="142"/>
      <c r="B78" s="152"/>
      <c r="C78" s="142"/>
      <c r="D78" s="137" t="s">
        <v>562</v>
      </c>
      <c r="E78" s="129">
        <v>66.7</v>
      </c>
      <c r="F78" s="159" t="s">
        <v>59</v>
      </c>
      <c r="M78" s="151" t="s">
        <v>434</v>
      </c>
      <c r="N78" s="129">
        <v>31.7</v>
      </c>
      <c r="O78" s="159" t="s">
        <v>59</v>
      </c>
      <c r="P78" s="133" t="s">
        <v>744</v>
      </c>
      <c r="Q78" s="144">
        <v>1</v>
      </c>
      <c r="R78" s="133"/>
    </row>
    <row r="79" spans="1:18" ht="18" x14ac:dyDescent="0.25">
      <c r="A79" s="142"/>
      <c r="B79" s="152"/>
      <c r="C79" s="142"/>
      <c r="D79" s="137" t="s">
        <v>563</v>
      </c>
      <c r="E79" s="129">
        <v>51.9</v>
      </c>
      <c r="F79" s="159" t="s">
        <v>59</v>
      </c>
      <c r="M79" s="140" t="s">
        <v>435</v>
      </c>
      <c r="N79" s="157">
        <f>((EF_far_c*ED_far_c*IRPE_far_c)+(EF_far_a*ED_far_a*IRPE_far_a))</f>
        <v>437500</v>
      </c>
      <c r="O79" s="159" t="s">
        <v>226</v>
      </c>
      <c r="P79" s="133" t="s">
        <v>745</v>
      </c>
      <c r="Q79" s="144">
        <v>1</v>
      </c>
      <c r="R79" s="133"/>
    </row>
    <row r="80" spans="1:18" ht="18" x14ac:dyDescent="0.25">
      <c r="A80" s="141"/>
      <c r="B80" s="148"/>
      <c r="C80" s="142"/>
      <c r="D80" s="137" t="s">
        <v>564</v>
      </c>
      <c r="E80" s="157">
        <f>((EF_res_c*ED_res_c*IRPR_res_c)+(EF_res_a*ED_res_a*IRPR_res_a))</f>
        <v>503370</v>
      </c>
      <c r="F80" s="159" t="s">
        <v>226</v>
      </c>
      <c r="M80" s="151" t="s">
        <v>436</v>
      </c>
      <c r="N80" s="129">
        <v>57.3</v>
      </c>
      <c r="O80" s="159" t="s">
        <v>59</v>
      </c>
      <c r="P80" s="133" t="s">
        <v>746</v>
      </c>
      <c r="Q80" s="144">
        <v>15.14</v>
      </c>
      <c r="R80" s="133" t="s">
        <v>58</v>
      </c>
    </row>
    <row r="81" spans="1:18" ht="18" x14ac:dyDescent="0.25">
      <c r="A81" s="141"/>
      <c r="B81" s="148"/>
      <c r="C81" s="142"/>
      <c r="D81" s="137" t="s">
        <v>538</v>
      </c>
      <c r="E81" s="129">
        <v>32.1</v>
      </c>
      <c r="F81" s="159" t="s">
        <v>59</v>
      </c>
      <c r="M81" s="151" t="s">
        <v>437</v>
      </c>
      <c r="N81" s="129">
        <v>141.80000000000001</v>
      </c>
      <c r="O81" s="159" t="s">
        <v>59</v>
      </c>
      <c r="P81" s="133" t="s">
        <v>747</v>
      </c>
      <c r="Q81" s="144">
        <v>1.91</v>
      </c>
      <c r="R81" s="133" t="s">
        <v>101</v>
      </c>
    </row>
    <row r="82" spans="1:18" ht="18" x14ac:dyDescent="0.25">
      <c r="A82" s="141"/>
      <c r="B82" s="149"/>
      <c r="C82" s="142"/>
      <c r="D82" s="137" t="s">
        <v>539</v>
      </c>
      <c r="E82" s="129">
        <v>35.4</v>
      </c>
      <c r="F82" s="159" t="s">
        <v>59</v>
      </c>
      <c r="M82" s="140" t="s">
        <v>438</v>
      </c>
      <c r="N82" s="157">
        <f>((EF_far_c*ED_far_c*IRPT_far_c)+(EF_far_a*ED_far_a*IRPT_far_a))</f>
        <v>1807750.0000000002</v>
      </c>
      <c r="O82" s="159" t="s">
        <v>226</v>
      </c>
      <c r="P82" s="133" t="s">
        <v>748</v>
      </c>
      <c r="Q82" s="144"/>
      <c r="R82" s="133" t="s">
        <v>101</v>
      </c>
    </row>
    <row r="83" spans="1:18" ht="18" x14ac:dyDescent="0.25">
      <c r="A83" s="141"/>
      <c r="B83" s="148"/>
      <c r="C83" s="142"/>
      <c r="D83" s="137" t="s">
        <v>540</v>
      </c>
      <c r="E83" s="157">
        <f>((EF_res_c*ED_res_c*IRPE_res_c)+(EF_res_a*ED_res_a*IRPE_res_a))</f>
        <v>315210</v>
      </c>
      <c r="F83" s="159" t="s">
        <v>226</v>
      </c>
      <c r="M83" s="151" t="s">
        <v>439</v>
      </c>
      <c r="N83" s="129">
        <v>45.2</v>
      </c>
      <c r="O83" s="159" t="s">
        <v>59</v>
      </c>
      <c r="P83" s="133" t="s">
        <v>749</v>
      </c>
      <c r="Q83" s="144">
        <v>1</v>
      </c>
      <c r="R83" s="133"/>
    </row>
    <row r="84" spans="1:18" ht="18" x14ac:dyDescent="0.25">
      <c r="A84" s="141"/>
      <c r="B84" s="148"/>
      <c r="C84" s="142"/>
      <c r="D84" s="137" t="s">
        <v>541</v>
      </c>
      <c r="E84" s="129">
        <v>51.7</v>
      </c>
      <c r="F84" s="159" t="s">
        <v>59</v>
      </c>
      <c r="M84" s="151" t="s">
        <v>440</v>
      </c>
      <c r="N84" s="129">
        <v>64.8</v>
      </c>
      <c r="O84" s="159" t="s">
        <v>59</v>
      </c>
      <c r="P84" s="133" t="s">
        <v>750</v>
      </c>
      <c r="Q84" s="144">
        <v>1</v>
      </c>
      <c r="R84" s="133"/>
    </row>
    <row r="85" spans="1:18" ht="18" x14ac:dyDescent="0.25">
      <c r="A85" s="141"/>
      <c r="B85" s="148"/>
      <c r="C85" s="142"/>
      <c r="D85" s="137" t="s">
        <v>542</v>
      </c>
      <c r="E85" s="129">
        <v>127.8</v>
      </c>
      <c r="F85" s="159" t="s">
        <v>59</v>
      </c>
      <c r="M85" s="140" t="s">
        <v>441</v>
      </c>
      <c r="N85" s="157">
        <f>((EF_far_c*ED_far_c*IRPU_far_c)+(EF_far_a*ED_far_a*IRPU_far_a))</f>
        <v>866040</v>
      </c>
      <c r="O85" s="159" t="s">
        <v>226</v>
      </c>
      <c r="P85" s="133" t="s">
        <v>751</v>
      </c>
      <c r="Q85" s="144">
        <v>10.4</v>
      </c>
      <c r="R85" s="133" t="s">
        <v>58</v>
      </c>
    </row>
    <row r="86" spans="1:18" ht="18" x14ac:dyDescent="0.25">
      <c r="A86" s="141"/>
      <c r="B86" s="148"/>
      <c r="C86" s="142"/>
      <c r="D86" s="137" t="s">
        <v>543</v>
      </c>
      <c r="E86" s="157">
        <f>((EF_res_c*ED_res_c*IRPT_res_c)+(EF_res_a*ED_res_a*IRPT_res_a))</f>
        <v>1003170</v>
      </c>
      <c r="F86" s="159" t="s">
        <v>226</v>
      </c>
      <c r="M86" s="151" t="s">
        <v>442</v>
      </c>
      <c r="N86" s="129">
        <v>34.799999999999997</v>
      </c>
      <c r="O86" s="159" t="s">
        <v>59</v>
      </c>
      <c r="P86" s="133" t="s">
        <v>752</v>
      </c>
      <c r="Q86" s="144">
        <v>2.97</v>
      </c>
      <c r="R86" s="133" t="s">
        <v>101</v>
      </c>
    </row>
    <row r="87" spans="1:18" ht="18" x14ac:dyDescent="0.25">
      <c r="A87" s="141"/>
      <c r="B87" s="148"/>
      <c r="C87" s="142"/>
      <c r="D87" s="137" t="s">
        <v>544</v>
      </c>
      <c r="E87" s="129">
        <v>45.2</v>
      </c>
      <c r="F87" s="159" t="s">
        <v>59</v>
      </c>
      <c r="M87" s="151" t="s">
        <v>443</v>
      </c>
      <c r="N87" s="129">
        <v>88.5</v>
      </c>
      <c r="O87" s="159" t="s">
        <v>59</v>
      </c>
      <c r="P87" s="133" t="s">
        <v>753</v>
      </c>
      <c r="Q87" s="144">
        <v>0.53</v>
      </c>
      <c r="R87" s="133" t="s">
        <v>101</v>
      </c>
    </row>
    <row r="88" spans="1:18" ht="18" x14ac:dyDescent="0.25">
      <c r="A88" s="141"/>
      <c r="B88" s="148"/>
      <c r="C88" s="142"/>
      <c r="D88" s="137" t="s">
        <v>545</v>
      </c>
      <c r="E88" s="129">
        <v>64.8</v>
      </c>
      <c r="F88" s="159" t="s">
        <v>59</v>
      </c>
      <c r="M88" s="140" t="s">
        <v>444</v>
      </c>
      <c r="N88" s="157">
        <f>((EF_far_c*ED_far_c*IRRI_far_c)+(EF_far_a*ED_far_a*IRRI_far_a))</f>
        <v>1126230</v>
      </c>
      <c r="O88" s="159" t="s">
        <v>226</v>
      </c>
      <c r="P88" s="133" t="s">
        <v>754</v>
      </c>
      <c r="Q88" s="144">
        <v>1</v>
      </c>
      <c r="R88" s="133"/>
    </row>
    <row r="89" spans="1:18" ht="18" x14ac:dyDescent="0.25">
      <c r="A89" s="141"/>
      <c r="B89" s="148"/>
      <c r="C89" s="142"/>
      <c r="D89" s="137" t="s">
        <v>546</v>
      </c>
      <c r="E89" s="157">
        <f>((EF_res_c*ED_res_c*IRPU_res_c)+(EF_res_a*ED_res_a*IRPU_res_a))</f>
        <v>548520</v>
      </c>
      <c r="F89" s="159" t="s">
        <v>226</v>
      </c>
      <c r="M89" s="151" t="s">
        <v>445</v>
      </c>
      <c r="N89" s="129">
        <v>27.5</v>
      </c>
      <c r="O89" s="159" t="s">
        <v>59</v>
      </c>
      <c r="P89" s="133" t="s">
        <v>755</v>
      </c>
      <c r="Q89" s="144">
        <v>1</v>
      </c>
      <c r="R89" s="133"/>
    </row>
    <row r="90" spans="1:18" ht="18" x14ac:dyDescent="0.25">
      <c r="A90" s="141"/>
      <c r="B90" s="149"/>
      <c r="C90" s="142"/>
      <c r="D90" s="137" t="s">
        <v>547</v>
      </c>
      <c r="E90" s="129">
        <v>28.8</v>
      </c>
      <c r="F90" s="159" t="s">
        <v>59</v>
      </c>
      <c r="M90" s="151" t="s">
        <v>446</v>
      </c>
      <c r="N90" s="129">
        <v>54.2</v>
      </c>
      <c r="O90" s="159" t="s">
        <v>59</v>
      </c>
    </row>
    <row r="91" spans="1:18" ht="18" x14ac:dyDescent="0.25">
      <c r="A91" s="141"/>
      <c r="B91" s="148"/>
      <c r="C91" s="142"/>
      <c r="D91" s="137" t="s">
        <v>548</v>
      </c>
      <c r="E91" s="129">
        <v>73.2</v>
      </c>
      <c r="F91" s="159" t="s">
        <v>59</v>
      </c>
      <c r="J91" s="137"/>
      <c r="K91" s="153"/>
      <c r="M91" s="140" t="s">
        <v>447</v>
      </c>
      <c r="N91" s="157">
        <f>((EF_far_c*ED_far_c*IRSN_far_c)+(EF_far_a*ED_far_a*IRSN_far_a))</f>
        <v>702730</v>
      </c>
      <c r="O91" s="159" t="s">
        <v>226</v>
      </c>
    </row>
    <row r="92" spans="1:18" ht="18" x14ac:dyDescent="0.25">
      <c r="A92" s="141"/>
      <c r="B92" s="149"/>
      <c r="C92" s="142"/>
      <c r="D92" s="137" t="s">
        <v>549</v>
      </c>
      <c r="E92" s="157">
        <f>((EF_res_c*ED_res_c*IRRI_res_c)+(EF_res_a*ED_res_a*IRRI_res_a))</f>
        <v>572880</v>
      </c>
      <c r="F92" s="159" t="s">
        <v>226</v>
      </c>
      <c r="J92" s="137"/>
      <c r="K92" s="153"/>
      <c r="M92" s="151" t="s">
        <v>448</v>
      </c>
      <c r="N92" s="129">
        <v>25.3</v>
      </c>
      <c r="O92" s="159" t="s">
        <v>59</v>
      </c>
    </row>
    <row r="93" spans="1:18" ht="18" x14ac:dyDescent="0.25">
      <c r="A93" s="141"/>
      <c r="B93" s="149"/>
      <c r="C93" s="142"/>
      <c r="D93" s="137" t="s">
        <v>550</v>
      </c>
      <c r="E93" s="129">
        <v>27.3</v>
      </c>
      <c r="F93" s="159" t="s">
        <v>59</v>
      </c>
      <c r="J93" s="137"/>
      <c r="K93" s="153"/>
      <c r="M93" s="151" t="s">
        <v>449</v>
      </c>
      <c r="N93" s="129">
        <v>40.5</v>
      </c>
      <c r="O93" s="159" t="s">
        <v>59</v>
      </c>
    </row>
    <row r="94" spans="1:18" ht="18" x14ac:dyDescent="0.25">
      <c r="A94" s="141"/>
      <c r="B94" s="149"/>
      <c r="C94" s="142"/>
      <c r="D94" s="137" t="s">
        <v>551</v>
      </c>
      <c r="E94" s="129">
        <v>53.9</v>
      </c>
      <c r="F94" s="159" t="s">
        <v>59</v>
      </c>
      <c r="J94" s="137"/>
      <c r="K94" s="153"/>
      <c r="M94" s="140" t="s">
        <v>450</v>
      </c>
      <c r="N94" s="157">
        <f>((EF_far_c*ED_far_c*IRST_far_c)+(EF_far_a*ED_far_a*IRST_far_a))</f>
        <v>535080</v>
      </c>
      <c r="O94" s="159" t="s">
        <v>226</v>
      </c>
    </row>
    <row r="95" spans="1:18" ht="18" x14ac:dyDescent="0.25">
      <c r="A95" s="141"/>
      <c r="B95" s="149"/>
      <c r="C95" s="142"/>
      <c r="D95" s="137" t="s">
        <v>552</v>
      </c>
      <c r="E95" s="157">
        <f>((EF_res_c*ED_res_c*IRSN_res_c)+(EF_res_a*ED_res_a*IRSN_res_a))</f>
        <v>434630</v>
      </c>
      <c r="F95" s="159" t="s">
        <v>226</v>
      </c>
      <c r="J95" s="137"/>
      <c r="K95" s="153"/>
      <c r="M95" s="151" t="s">
        <v>451</v>
      </c>
      <c r="N95" s="129">
        <v>34.9</v>
      </c>
      <c r="O95" s="159" t="s">
        <v>59</v>
      </c>
    </row>
    <row r="96" spans="1:18" ht="18" x14ac:dyDescent="0.25">
      <c r="A96" s="141"/>
      <c r="B96" s="149"/>
      <c r="C96" s="142"/>
      <c r="D96" s="137" t="s">
        <v>553</v>
      </c>
      <c r="E96" s="129">
        <v>25.3</v>
      </c>
      <c r="F96" s="159" t="s">
        <v>59</v>
      </c>
      <c r="M96" s="151" t="s">
        <v>452</v>
      </c>
      <c r="N96" s="129">
        <v>94.2</v>
      </c>
      <c r="O96" s="159" t="s">
        <v>59</v>
      </c>
    </row>
    <row r="97" spans="1:15" ht="18" x14ac:dyDescent="0.25">
      <c r="A97" s="141"/>
      <c r="B97" s="154"/>
      <c r="C97" s="142"/>
      <c r="D97" s="137" t="s">
        <v>554</v>
      </c>
      <c r="E97" s="129">
        <v>40.5</v>
      </c>
      <c r="F97" s="159" t="s">
        <v>59</v>
      </c>
      <c r="J97" s="137"/>
      <c r="K97" s="153"/>
      <c r="M97" s="140" t="s">
        <v>453</v>
      </c>
      <c r="N97" s="157">
        <f>((EF_far_c*ED_far_c*IRTO_far_c)+(EF_far_a*ED_far_a*IRTO_far_a))</f>
        <v>1194270</v>
      </c>
      <c r="O97" s="159" t="s">
        <v>226</v>
      </c>
    </row>
    <row r="98" spans="1:15" ht="18" x14ac:dyDescent="0.25">
      <c r="A98" s="142"/>
      <c r="B98" s="150"/>
      <c r="C98" s="142"/>
      <c r="D98" s="137" t="s">
        <v>555</v>
      </c>
      <c r="E98" s="157">
        <f>((EF_res_c*ED_res_c*IRST_res_c)+(EF_res_a*ED_res_a*IRST_res_a))</f>
        <v>336630</v>
      </c>
      <c r="F98" s="159" t="s">
        <v>226</v>
      </c>
      <c r="J98" s="137"/>
      <c r="K98" s="153"/>
      <c r="M98" s="159" t="s">
        <v>466</v>
      </c>
      <c r="N98" s="165">
        <v>1.6000000000000001E-4</v>
      </c>
    </row>
    <row r="99" spans="1:15" ht="18" x14ac:dyDescent="0.25">
      <c r="A99" s="142"/>
      <c r="B99" s="150"/>
      <c r="C99" s="140"/>
      <c r="D99" s="137" t="s">
        <v>556</v>
      </c>
      <c r="E99" s="129">
        <v>29.7</v>
      </c>
      <c r="F99" s="159" t="s">
        <v>59</v>
      </c>
      <c r="M99" s="159" t="s">
        <v>467</v>
      </c>
      <c r="N99" s="165">
        <v>7.8999999999999996E-5</v>
      </c>
    </row>
    <row r="100" spans="1:15" ht="18" x14ac:dyDescent="0.25">
      <c r="A100" s="142"/>
      <c r="B100" s="150"/>
      <c r="C100" s="140"/>
      <c r="D100" s="137" t="s">
        <v>557</v>
      </c>
      <c r="E100" s="129">
        <v>80.3</v>
      </c>
      <c r="F100" s="159" t="s">
        <v>59</v>
      </c>
      <c r="M100" s="159" t="s">
        <v>468</v>
      </c>
      <c r="N100" s="165">
        <v>1.3799999999999999E-4</v>
      </c>
    </row>
    <row r="101" spans="1:15" ht="18" x14ac:dyDescent="0.25">
      <c r="D101" s="137" t="s">
        <v>558</v>
      </c>
      <c r="E101" s="157">
        <f>((EF_res_c*ED_res_c*IRTO_res_c)+(EF_res_a*ED_res_a*IRTO_res_a))</f>
        <v>624470</v>
      </c>
      <c r="F101" s="159" t="s">
        <v>226</v>
      </c>
      <c r="M101" s="159" t="s">
        <v>469</v>
      </c>
      <c r="N101" s="165">
        <v>1.66E-4</v>
      </c>
    </row>
    <row r="102" spans="1:15" ht="18" x14ac:dyDescent="0.25">
      <c r="M102" s="159" t="s">
        <v>470</v>
      </c>
      <c r="N102" s="165">
        <v>1.01E-3</v>
      </c>
    </row>
    <row r="103" spans="1:15" ht="18" x14ac:dyDescent="0.25">
      <c r="M103" s="159" t="s">
        <v>471</v>
      </c>
      <c r="N103" s="165">
        <v>1.05E-4</v>
      </c>
    </row>
    <row r="104" spans="1:15" ht="18" x14ac:dyDescent="0.25">
      <c r="M104" s="159" t="s">
        <v>472</v>
      </c>
      <c r="N104" s="165">
        <v>9.7E-5</v>
      </c>
    </row>
    <row r="105" spans="1:15" ht="18" x14ac:dyDescent="0.25">
      <c r="M105" s="159" t="s">
        <v>473</v>
      </c>
      <c r="N105" s="165">
        <v>1.5699999999999999E-4</v>
      </c>
    </row>
    <row r="106" spans="1:15" ht="18" x14ac:dyDescent="0.25">
      <c r="M106" s="159" t="s">
        <v>474</v>
      </c>
      <c r="N106" s="165">
        <v>1.45E-4</v>
      </c>
    </row>
    <row r="107" spans="1:15" ht="18" x14ac:dyDescent="0.25">
      <c r="M107" s="159" t="s">
        <v>475</v>
      </c>
      <c r="N107" s="165">
        <v>4.0000000000000003E-5</v>
      </c>
    </row>
    <row r="108" spans="1:15" ht="18" x14ac:dyDescent="0.25">
      <c r="M108" s="159" t="s">
        <v>476</v>
      </c>
      <c r="N108" s="165">
        <v>1.35E-2</v>
      </c>
    </row>
    <row r="109" spans="1:15" ht="18" x14ac:dyDescent="0.25">
      <c r="M109" s="159" t="s">
        <v>477</v>
      </c>
      <c r="N109" s="165">
        <v>3.8300000000000001E-3</v>
      </c>
    </row>
    <row r="110" spans="1:15" ht="18" x14ac:dyDescent="0.25">
      <c r="M110" s="159" t="s">
        <v>478</v>
      </c>
      <c r="N110" s="165">
        <v>8.0000000000000007E-5</v>
      </c>
    </row>
    <row r="111" spans="1:15" ht="18" x14ac:dyDescent="0.25">
      <c r="M111" s="159" t="s">
        <v>479</v>
      </c>
      <c r="N111" s="165">
        <v>9.7E-5</v>
      </c>
    </row>
    <row r="112" spans="1:15" ht="18" x14ac:dyDescent="0.25">
      <c r="M112" s="159" t="s">
        <v>480</v>
      </c>
      <c r="N112" s="165">
        <v>1.4999999999999999E-4</v>
      </c>
    </row>
    <row r="113" spans="13:14" ht="18" x14ac:dyDescent="0.25">
      <c r="M113" s="159" t="s">
        <v>481</v>
      </c>
      <c r="N113" s="165">
        <v>1.6000000000000001E-4</v>
      </c>
    </row>
    <row r="114" spans="13:14" ht="18" x14ac:dyDescent="0.25">
      <c r="M114" s="159" t="s">
        <v>482</v>
      </c>
      <c r="N114" s="165">
        <v>1.7799999999999999E-4</v>
      </c>
    </row>
    <row r="115" spans="13:14" ht="18" x14ac:dyDescent="0.25">
      <c r="M115" s="159" t="s">
        <v>483</v>
      </c>
      <c r="N115" s="165">
        <v>2.1000000000000001E-4</v>
      </c>
    </row>
    <row r="116" spans="13:14" ht="18" x14ac:dyDescent="0.25">
      <c r="M116" s="159" t="s">
        <v>484</v>
      </c>
      <c r="N116" s="165">
        <v>5.8E-5</v>
      </c>
    </row>
    <row r="117" spans="13:14" ht="18" x14ac:dyDescent="0.25">
      <c r="M117" s="159" t="s">
        <v>485</v>
      </c>
      <c r="N117" s="165">
        <v>5.0000000000000001E-3</v>
      </c>
    </row>
    <row r="118" spans="13:14" ht="18" x14ac:dyDescent="0.25">
      <c r="M118" s="159" t="s">
        <v>486</v>
      </c>
      <c r="N118" s="165">
        <v>8.0000000000000007E-5</v>
      </c>
    </row>
    <row r="119" spans="13:14" ht="18" x14ac:dyDescent="0.25">
      <c r="M119" s="159" t="s">
        <v>487</v>
      </c>
      <c r="N119" s="165">
        <v>1.5900000000000001E-3</v>
      </c>
    </row>
    <row r="120" spans="13:14" ht="18" x14ac:dyDescent="0.25">
      <c r="M120" s="159" t="s">
        <v>488</v>
      </c>
      <c r="N120" s="165">
        <v>0.25</v>
      </c>
    </row>
    <row r="121" spans="13:14" ht="18" x14ac:dyDescent="0.25">
      <c r="M121" s="159" t="s">
        <v>489</v>
      </c>
      <c r="N121" s="165">
        <v>0.25</v>
      </c>
    </row>
  </sheetData>
  <sheetProtection algorithmName="SHA-512" hashValue="zcUO3rQG4jaXY3cZvpI/EEAwLCvAktFb4eEOsqHLYx0HY4N1IoK7fHfl/lLnSKLDL7Q0n/s9tUNm+j+z0mPekg==" saltValue="iTF+T4Bva3zPMtK1ZvzEaQ==" spinCount="100000" sheet="1" objects="1" scenarios="1" formatColumns="0" formatRows="0" autoFilter="0"/>
  <mergeCells count="6">
    <mergeCell ref="A1:C1"/>
    <mergeCell ref="P1:R1"/>
    <mergeCell ref="M1:O1"/>
    <mergeCell ref="J1:L1"/>
    <mergeCell ref="G1:I1"/>
    <mergeCell ref="D1:F1"/>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theme="9" tint="-0.499984740745262"/>
  </sheetPr>
  <dimension ref="A1:BE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4.5703125" style="15" bestFit="1" customWidth="1"/>
    <col min="2" max="2" width="10.7109375" style="15" bestFit="1" customWidth="1"/>
    <col min="3" max="3" width="12.85546875" style="15" bestFit="1" customWidth="1"/>
    <col min="4" max="4" width="13" style="15" bestFit="1" customWidth="1"/>
    <col min="5" max="5" width="12.85546875" style="15" bestFit="1" customWidth="1"/>
    <col min="6" max="6" width="17.140625" style="15" bestFit="1" customWidth="1"/>
    <col min="7" max="7" width="14.7109375" style="15" bestFit="1" customWidth="1"/>
    <col min="8" max="8" width="12.85546875" style="15" bestFit="1" customWidth="1"/>
    <col min="9" max="9" width="12.5703125" style="15" bestFit="1" customWidth="1"/>
    <col min="10" max="10" width="12.7109375" style="15" bestFit="1" customWidth="1"/>
    <col min="11" max="11" width="12.5703125" style="15" bestFit="1" customWidth="1"/>
    <col min="12" max="12" width="16.85546875" style="15" bestFit="1" customWidth="1"/>
    <col min="13" max="15" width="13.5703125" style="15" bestFit="1" customWidth="1"/>
    <col min="16" max="16" width="17.5703125" style="15" bestFit="1" customWidth="1"/>
    <col min="17" max="17" width="13.5703125" style="15" bestFit="1" customWidth="1"/>
    <col min="18" max="18" width="12" style="15" bestFit="1" customWidth="1"/>
    <col min="19" max="20" width="13.85546875" style="15" bestFit="1" customWidth="1"/>
    <col min="21" max="21" width="14.7109375" style="15" bestFit="1" customWidth="1"/>
    <col min="22" max="23" width="12.28515625" style="15" bestFit="1" customWidth="1"/>
    <col min="24" max="25" width="14" style="15" bestFit="1" customWidth="1"/>
    <col min="26" max="26" width="15" style="15" bestFit="1" customWidth="1"/>
    <col min="27" max="27" width="12.7109375" style="15" bestFit="1" customWidth="1"/>
    <col min="28" max="28" width="12.85546875" style="15" bestFit="1" customWidth="1"/>
    <col min="29" max="30" width="14.5703125" style="15" bestFit="1" customWidth="1"/>
    <col min="31" max="31" width="15.5703125" style="15" bestFit="1" customWidth="1"/>
    <col min="32" max="32" width="13.140625" style="15" bestFit="1" customWidth="1"/>
    <col min="33" max="33" width="12.28515625" style="15" bestFit="1" customWidth="1"/>
    <col min="34" max="34" width="12.5703125" style="15" bestFit="1" customWidth="1"/>
    <col min="35" max="35" width="12.140625" style="15" bestFit="1" customWidth="1"/>
    <col min="36" max="36" width="12.5703125" style="15" bestFit="1" customWidth="1"/>
    <col min="37" max="37" width="12.85546875" style="15" bestFit="1" customWidth="1"/>
    <col min="38" max="38" width="13.140625" style="15" bestFit="1" customWidth="1"/>
    <col min="39" max="39" width="13.42578125" style="15" bestFit="1" customWidth="1"/>
    <col min="40" max="40" width="13" style="15" bestFit="1" customWidth="1"/>
    <col min="41" max="41" width="12.7109375" style="15" bestFit="1" customWidth="1"/>
    <col min="42" max="42" width="12.85546875" style="15" bestFit="1" customWidth="1"/>
    <col min="43" max="43" width="14" style="15" bestFit="1" customWidth="1"/>
    <col min="44" max="44" width="17" style="15" bestFit="1" customWidth="1"/>
    <col min="45" max="45" width="12.7109375" style="15" bestFit="1" customWidth="1"/>
    <col min="46" max="47" width="13.140625" style="15" bestFit="1" customWidth="1"/>
    <col min="48" max="48" width="14.28515625" style="15" bestFit="1" customWidth="1"/>
    <col min="49" max="49" width="17" style="15" bestFit="1" customWidth="1"/>
    <col min="50" max="51" width="13.5703125" style="15" bestFit="1" customWidth="1"/>
    <col min="52" max="52" width="14.85546875" style="15" bestFit="1" customWidth="1"/>
    <col min="53" max="53" width="17.5703125" style="15" bestFit="1" customWidth="1"/>
    <col min="54" max="54" width="13.5703125" style="15" bestFit="1" customWidth="1"/>
    <col min="55" max="55" width="12.5703125" style="15" bestFit="1" customWidth="1"/>
    <col min="56" max="56" width="12.85546875" style="15" bestFit="1" customWidth="1"/>
    <col min="57" max="57" width="13.28515625" style="15" bestFit="1" customWidth="1"/>
    <col min="58" max="16384" width="9.140625" style="15"/>
  </cols>
  <sheetData>
    <row r="1" spans="1:57" x14ac:dyDescent="0.25">
      <c r="A1" s="39" t="s">
        <v>51</v>
      </c>
      <c r="B1" s="39" t="s">
        <v>350</v>
      </c>
      <c r="C1" s="15" t="s">
        <v>1169</v>
      </c>
      <c r="D1" s="15" t="s">
        <v>1170</v>
      </c>
      <c r="E1" s="15" t="s">
        <v>1171</v>
      </c>
      <c r="F1" s="15" t="s">
        <v>1175</v>
      </c>
      <c r="G1" s="15" t="s">
        <v>1203</v>
      </c>
      <c r="H1" s="15" t="s">
        <v>1172</v>
      </c>
      <c r="I1" s="43" t="s">
        <v>1225</v>
      </c>
      <c r="J1" s="43" t="s">
        <v>1226</v>
      </c>
      <c r="K1" s="43" t="s">
        <v>1227</v>
      </c>
      <c r="L1" s="43" t="s">
        <v>1228</v>
      </c>
      <c r="M1" s="41" t="s">
        <v>1229</v>
      </c>
      <c r="N1" s="41" t="s">
        <v>1230</v>
      </c>
      <c r="O1" s="41" t="s">
        <v>1231</v>
      </c>
      <c r="P1" s="41" t="s">
        <v>1232</v>
      </c>
      <c r="Q1" s="41" t="s">
        <v>1233</v>
      </c>
      <c r="R1" s="42" t="s">
        <v>1220</v>
      </c>
      <c r="S1" s="42" t="s">
        <v>1221</v>
      </c>
      <c r="T1" s="42" t="s">
        <v>1222</v>
      </c>
      <c r="U1" s="42" t="s">
        <v>1223</v>
      </c>
      <c r="V1" s="42" t="s">
        <v>1224</v>
      </c>
      <c r="W1" s="43" t="s">
        <v>1239</v>
      </c>
      <c r="X1" s="43" t="s">
        <v>1240</v>
      </c>
      <c r="Y1" s="43" t="s">
        <v>1241</v>
      </c>
      <c r="Z1" s="43" t="s">
        <v>1242</v>
      </c>
      <c r="AA1" s="43" t="s">
        <v>1243</v>
      </c>
      <c r="AB1" s="41" t="s">
        <v>1234</v>
      </c>
      <c r="AC1" s="41" t="s">
        <v>1235</v>
      </c>
      <c r="AD1" s="41" t="s">
        <v>1236</v>
      </c>
      <c r="AE1" s="41" t="s">
        <v>1237</v>
      </c>
      <c r="AF1" s="41" t="s">
        <v>1238</v>
      </c>
      <c r="AG1" s="42" t="s">
        <v>1209</v>
      </c>
      <c r="AH1" s="42" t="s">
        <v>1210</v>
      </c>
      <c r="AI1" s="42" t="s">
        <v>1211</v>
      </c>
      <c r="AJ1" s="43" t="s">
        <v>1244</v>
      </c>
      <c r="AK1" s="43" t="s">
        <v>1245</v>
      </c>
      <c r="AL1" s="41" t="s">
        <v>1246</v>
      </c>
      <c r="AM1" s="41" t="s">
        <v>1247</v>
      </c>
      <c r="AN1" s="41" t="s">
        <v>1248</v>
      </c>
      <c r="AO1" s="15" t="s">
        <v>1204</v>
      </c>
      <c r="AP1" s="15" t="s">
        <v>1205</v>
      </c>
      <c r="AQ1" s="15" t="s">
        <v>1206</v>
      </c>
      <c r="AR1" s="15" t="s">
        <v>1212</v>
      </c>
      <c r="AS1" s="15" t="s">
        <v>1207</v>
      </c>
      <c r="AT1" s="43" t="s">
        <v>1254</v>
      </c>
      <c r="AU1" s="43" t="s">
        <v>1255</v>
      </c>
      <c r="AV1" s="43" t="s">
        <v>1256</v>
      </c>
      <c r="AW1" s="43" t="s">
        <v>1257</v>
      </c>
      <c r="AX1" s="41" t="s">
        <v>1249</v>
      </c>
      <c r="AY1" s="41" t="s">
        <v>1250</v>
      </c>
      <c r="AZ1" s="41" t="s">
        <v>1251</v>
      </c>
      <c r="BA1" s="41" t="s">
        <v>1252</v>
      </c>
      <c r="BB1" s="41" t="s">
        <v>1253</v>
      </c>
      <c r="BC1" s="42" t="s">
        <v>1208</v>
      </c>
      <c r="BD1" s="43" t="s">
        <v>1258</v>
      </c>
      <c r="BE1" s="41" t="s">
        <v>1123</v>
      </c>
    </row>
    <row r="2" spans="1:57" x14ac:dyDescent="0.25">
      <c r="A2" s="44" t="s">
        <v>12</v>
      </c>
      <c r="B2" s="42" t="s">
        <v>1074</v>
      </c>
      <c r="C2" s="15">
        <f>IFERROR(((s_TR/(up_RadSpec!D2*s_IFS_res_adj*(1/1000)))*1),".")</f>
        <v>3.6363636363636363E-8</v>
      </c>
      <c r="D2" s="15">
        <f>IFERROR(IF(A2="H-3",(s_TR/((up_RadSpec!G2*s_IFA_res_adj*(1/17)*1000))*1),(s_TR/((up_RadSpec!G2*s_IFA_res_adj*(1/s_PEF_wind)*1000))*1)),".")</f>
        <v>3.3989909629864073E-4</v>
      </c>
      <c r="E2" s="15">
        <f>IFERROR((s_TR/(up_RadSpec!F2*s_EF_res*(1/365)*s_ED_res*up_RadSpec!Q2*((s_ET_res_o*(1/24)*up_RadSpec!V2)+(s_ET_res_i*(1/24)*up_RadSpec!AA2))))*1,".")</f>
        <v>1.0333433583959902E-4</v>
      </c>
      <c r="F2" s="15">
        <f>up_b2s!C2</f>
        <v>3.6265718922545492E-12</v>
      </c>
      <c r="G2" s="15">
        <f>up_dir!C2</f>
        <v>1.8181818181818181E-11</v>
      </c>
      <c r="H2" s="15">
        <f>(IF(AND(C2&lt;&gt;".",D2&lt;&gt;".",E2&lt;&gt;".",F2&lt;&gt;"."),1/((1/C2)+(1/D2)+(1/E2)+(1/F2)),IF(AND(C2&lt;&gt;".",D2&lt;&gt;".",E2&lt;&gt;".",F2="."), 1/((1/C2)+(1/D2)+(1/E2)),IF(AND(C2&lt;&gt;".",D2&lt;&gt;".",E2=".",F2&lt;&gt;"."),1/((1/C2)+(1/D2)+(1/F2)),IF(AND(C2&lt;&gt;".",D2=".",E2&lt;&gt;".",F2&lt;&gt;"."),1/((1/C2)+(1/E2)+(1/F2)),IF(AND(C2=".",D2&lt;&gt;".",E2&lt;&gt;".",F2&lt;&gt;"."),1/((1/D2)+(1/E2)+(1/F2)),IF(AND(C2&lt;&gt;".",D2&lt;&gt;".",E2=".",F2="."),1/((1/C2)+(1/D2)),IF(AND(C2&lt;&gt;".",D2=".",E2&lt;&gt;".",F2="."),1/((1/C2)+(1/E2)),IF(AND(C2&lt;&gt;".",D2=".",E2=".",F2&lt;&gt;"."),1/((1/C2)+(1/F2)),IF(AND(C2=".",D2=".",E2&lt;&gt;".",F2&lt;&gt;"."),1/((1/E2)+(1/F2)),IF(AND(C2=".",D2&lt;&gt;".",E2=".",F2&lt;&gt;"."),1/((1/D2)+(1/F2)),IF(AND(C2=".",D2&lt;&gt;".",E2&lt;&gt;".",F2="."),1/((1/D2)+(1/E2)),IF(AND(C2&lt;&gt;".",D2=".",E2=".",F2="."),1/((1/C2)),IF(AND(C2=".",D2&lt;&gt;".",E2=".",F2="."),1/((1/D2)),IF(AND(C2=".",D2=".",E2&lt;&gt;".",F2="."),1/((1/E2)),IF(AND(C2=".",D2=".",E2=".",F2&lt;&gt;"."),1/((1/F2)),IF(AND(C2=".",D2=".",E2=".",F2="."),".")))))))))))))))))</f>
        <v>3.6262100817329475E-12</v>
      </c>
      <c r="I2" s="40">
        <f t="shared" ref="I2:I30" si="0">s_C*s_IFS_res_adj*(1/1000)</f>
        <v>27.5</v>
      </c>
      <c r="J2" s="40">
        <f t="shared" ref="J2:J30" si="1">s_C*s_IFA_res_adj*(1/s_PEF_wind)*1000</f>
        <v>2.9420495991003873E-3</v>
      </c>
      <c r="K2" s="40">
        <f>IFERROR((s_C*s_EF_res*(1/365)*s_ED_res*up_RadSpec!Q2*((s_ET_res_o*(1/24)*up_RadSpec!V2)+(s_ET_res_i*(1/24)*up_RadSpec!AA2))),".")</f>
        <v>9.6773254685862831E-3</v>
      </c>
      <c r="L2" s="40">
        <f>up_b2s!AB2</f>
        <v>275742.5</v>
      </c>
      <c r="M2" s="18"/>
      <c r="N2" s="18"/>
      <c r="O2" s="18"/>
      <c r="P2" s="18"/>
      <c r="Q2" s="18"/>
      <c r="R2" s="15">
        <f>IFERROR((s_TR/(up_RadSpec!F2*s_EF_res*(1/365)*s_ED_res*up_RadSpec!Q2*((s_ET_res_o*(1/24)*up_RadSpec!V2)+(s_ET_res_i*(1/24)*up_RadSpec!AA2))))*1,".")</f>
        <v>1.0333433583959902E-4</v>
      </c>
      <c r="S2" s="15">
        <f>IFERROR((s_TR/(up_RadSpec!M2*s_EF_res*(1/365)*s_ED_res*up_RadSpec!R2*((s_ET_res_o*(1/24)*up_RadSpec!W2)+(s_ET_res_i*(1/24)*up_RadSpec!AB2))))*1,".")</f>
        <v>2.0893542757417099E-4</v>
      </c>
      <c r="T2" s="15">
        <f>IFERROR((s_TR/(up_RadSpec!N2*s_EF_res*(1/365)*s_ED_res*up_RadSpec!S2*((s_ET_res_o*(1/24)*up_RadSpec!X2)+(s_ET_res_i*(1/24)*up_RadSpec!AC2))))*1,".")</f>
        <v>1.4190654205607474E-4</v>
      </c>
      <c r="U2" s="15">
        <f>IFERROR((s_TR/(up_RadSpec!O2*s_EF_res*(1/365)*s_ED_res*up_RadSpec!T2*((s_ET_res_o*(1/24)*up_RadSpec!Y2)+(s_ET_res_i*(1/24)*up_RadSpec!AD2))))*1,".")</f>
        <v>1.1795570079883802E-4</v>
      </c>
      <c r="V2" s="15">
        <f>IFERROR((s_TR/(up_RadSpec!K2*s_EF_res*(1/365)*s_ED_res*up_RadSpec!P2*((s_ET_res_o*(1/24)*up_RadSpec!U2)+(s_ET_res_i*(1/24)*up_RadSpec!Z2))))*1,".")</f>
        <v>1.6533727227966526E-3</v>
      </c>
      <c r="W2" s="40">
        <f>IFERROR((s_C*s_EF_res*(1/365)*s_ED_res*up_RadSpec!Q2*((s_ET_res_o*(1/24)*up_RadSpec!V2)+(s_ET_res_i*(1/24)*up_RadSpec!AA2))),".")</f>
        <v>9.6773254685862831E-3</v>
      </c>
      <c r="X2" s="40">
        <f>IFERROR((s_C*s_EF_res*(1/365)*s_ED_res*up_RadSpec!R2*((s_ET_res_o*(1/24)*up_RadSpec!W2)+(s_ET_res_i*(1/24)*up_RadSpec!AB2))),".")</f>
        <v>4.7861677246909462E-3</v>
      </c>
      <c r="Y2" s="40">
        <f>IFERROR((s_C*s_EF_res*(1/365)*s_ED_res*up_RadSpec!S2*((s_ET_res_o*(1/24)*up_RadSpec!X2)+(s_ET_res_i*(1/24)*up_RadSpec!AC2))),".")</f>
        <v>7.0468914646996854E-3</v>
      </c>
      <c r="Z2" s="40">
        <f>IFERROR((s_C*s_EF_res*(1/365)*s_ED_res*up_RadSpec!T2*((s_ET_res_o*(1/24)*up_RadSpec!Y2)+(s_ET_res_i*(1/24)*up_RadSpec!AD2))),".")</f>
        <v>8.4777589656764678E-3</v>
      </c>
      <c r="AA2" s="40">
        <f>IFERROR((s_C*s_EF_res*(1/365)*s_ED_res*up_RadSpec!P2*((s_ET_res_o*(1/24)*up_RadSpec!U2)+(s_ET_res_i*(1/24)*up_RadSpec!Z2))),".")</f>
        <v>6.048243001786775E-4</v>
      </c>
      <c r="AB2" s="18"/>
      <c r="AC2" s="18"/>
      <c r="AD2" s="18"/>
      <c r="AE2" s="18"/>
      <c r="AF2" s="18"/>
      <c r="AG2" s="15">
        <f>IFERROR((s_TR/(up_RadSpec!G2*s_IFA_res_adj)),".")</f>
        <v>1.0971428571428573E-9</v>
      </c>
      <c r="AH2" s="15">
        <f>IFERROR((s_TR/(up_RadSpec!J2*s_EF_res*(1/365)*s_ED_res*s_ET_res*(1/24)*s_GSF_a)),".")</f>
        <v>1.7520000000000001E-6</v>
      </c>
      <c r="AI2" s="15">
        <f>IFERROR(IF(AND(AG2&lt;&gt;".",AH2&lt;&gt;"."),1/((1/AG2)+(1/AH2)),IF(AND(AG2&lt;&gt;".",AH2="."),1/((1/AG2)),IF(AND(AG2=".",AH2&lt;&gt;"."),1/((1/AH2)),IF(AND(AG2=".",AH2="."),".")))),".")</f>
        <v>1.0964562309317064E-9</v>
      </c>
      <c r="AJ2" s="40">
        <f t="shared" ref="AJ2:AJ30" si="2">s_C*s_IFA_res_adj</f>
        <v>911.45833333333326</v>
      </c>
      <c r="AK2" s="40">
        <f t="shared" ref="AK2:AK30" si="3">IFERROR((s_C*s_EF_res*(1/365)*s_ED_res*s_ET_res*(1/24)*s_GSF_a),".")</f>
        <v>0.57077625570776247</v>
      </c>
      <c r="AL2" s="18"/>
      <c r="AM2" s="18"/>
      <c r="AN2" s="18"/>
      <c r="AO2" s="15">
        <f>IFERROR((s_TR/(up_RadSpec!H2*s_IFW_res_adj)),".")</f>
        <v>3.9999999999999996E-10</v>
      </c>
      <c r="AP2" s="15" t="str">
        <f>IFERROR(IF(up_RadSpec!C2=1,(s_TR/(up_RadSpec!G2*s_IFA_res_adj*s_K)),"."),".")</f>
        <v>.</v>
      </c>
      <c r="AQ2" s="15">
        <f>IFERROR((s_TR/(up_RadSpec!L2*(1/8760)*s_DFA_res_adj)),".")</f>
        <v>4.3800000000000004E-6</v>
      </c>
      <c r="AR2" s="15">
        <f>up_b2w!C2</f>
        <v>1.8087754064641833E-11</v>
      </c>
      <c r="AS2" s="15">
        <f>(IF(AND(AO2&lt;&gt;".",AP2&lt;&gt;".",AQ2&lt;&gt;".",AR2&lt;&gt;"."),1/((1/AO2)+(1/AP2)+(1/AQ2)+(1/AR2)),IF(AND(AO2&lt;&gt;".",AP2&lt;&gt;".",AQ2&lt;&gt;".",AR2="."), 1/((1/AO2)+(1/AP2)+(1/AQ2)),IF(AND(AO2&lt;&gt;".",AP2&lt;&gt;".",AQ2=".",AR2&lt;&gt;"."),1/((1/AO2)+(1/AP2)+(1/AR2)),IF(AND(AO2&lt;&gt;".",AP2=".",AQ2&lt;&gt;".",AR2&lt;&gt;"."),1/((1/AO2)+(1/AQ2)+(1/AR2)),IF(AND(AO2=".",AP2&lt;&gt;".",AQ2&lt;&gt;".",AR2&lt;&gt;"."),1/((1/AP2)+(1/AQ2)+(1/AR2)),IF(AND(AO2&lt;&gt;".",AP2&lt;&gt;".",AQ2=".",AR2="."),1/((1/AO2)+(1/AP2)),IF(AND(AO2&lt;&gt;".",AP2=".",AQ2&lt;&gt;".",AR2="."),1/((1/AO2)+(1/AQ2)),IF(AND(AO2&lt;&gt;".",AP2=".",AQ2=".",AR2&lt;&gt;"."),1/((1/AO2)+(1/AR2)),IF(AND(AO2=".",AP2=".",AQ2&lt;&gt;".",AR2&lt;&gt;"."),1/((1/AQ2)+(1/AR2)),IF(AND(AO2=".",AP2&lt;&gt;".",AQ2=".",AR2&lt;&gt;"."),1/((1/AP2)+(1/AR2)),IF(AND(AO2=".",AP2&lt;&gt;".",AQ2&lt;&gt;".",AR2="."),1/((1/AP2)+(1/AQ2)),IF(AND(AO2&lt;&gt;".",AP2=".",AQ2=".",AR2="."),1/((1/AO2)),IF(AND(AO2=".",AP2&lt;&gt;".",AQ2=".",AR2="."),1/((1/AP2)),IF(AND(AO2=".",AP2=".",AQ2&lt;&gt;".",AR2="."),1/((1/AQ2)),IF(AND(AO2=".",AP2=".",AQ2=".",AR2&lt;&gt;"."),1/((1/AR2)),IF(AND(AO2=".",AP2=".",AQ2=".",AR2="."),".")))))))))))))))))</f>
        <v>1.7305154169200115E-11</v>
      </c>
      <c r="AT2" s="40">
        <f t="shared" ref="AT2:AT30" si="4">s_C*s_IFW_res_adj</f>
        <v>2500</v>
      </c>
      <c r="AU2" s="40">
        <f t="shared" ref="AU2:AU30" si="5">s_C*s_IFA_res_adj*s_K</f>
        <v>455.72916666666663</v>
      </c>
      <c r="AV2" s="40">
        <f t="shared" ref="AV2:AV30" si="6">s_C*(1/8760)*s_DFA_res_adj</f>
        <v>0.22831050228310501</v>
      </c>
      <c r="AW2" s="40">
        <f>up_b2w!AB2</f>
        <v>55286.023705663516</v>
      </c>
      <c r="AX2" s="18"/>
      <c r="AY2" s="18"/>
      <c r="AZ2" s="18"/>
      <c r="BA2" s="18"/>
      <c r="BB2" s="18"/>
      <c r="BC2" s="15">
        <f>IFERROR(s_TR/(up_RadSpec!E2*s_EF_res*s_ED_res*s_IRF_res*0.001*s_CF_res_fish),".")</f>
        <v>7.2727272727272723E-11</v>
      </c>
      <c r="BD2" s="40">
        <f t="shared" ref="BD2:BD30" si="7">s_C*s_EF_res*s_ED_res*s_IRF_res*0.001*s_CF_res_fish</f>
        <v>13750</v>
      </c>
      <c r="BE2" s="18"/>
    </row>
    <row r="3" spans="1:57" x14ac:dyDescent="0.25">
      <c r="A3" s="46" t="s">
        <v>13</v>
      </c>
      <c r="B3" s="42" t="s">
        <v>351</v>
      </c>
      <c r="C3" s="15">
        <f>IFERROR(((s_TR/(up_RadSpec!D3*s_IFS_res_adj*(1/1000)))*1),".")</f>
        <v>3.6363636363636363E-8</v>
      </c>
      <c r="D3" s="15">
        <f>IFERROR(IF(A3="H-3",(s_TR/((up_RadSpec!G3*s_IFA_res_adj*(1/17)*1000))*1),(s_TR/((up_RadSpec!G3*s_IFA_res_adj*(1/s_PEF_wind)*1000))*1)),".")</f>
        <v>3.3989909629864073E-4</v>
      </c>
      <c r="E3" s="15">
        <f>IFERROR((s_TR/(up_RadSpec!F3*s_EF_res*(1/365)*s_ED_res*up_RadSpec!Q3*((s_ET_res_o*(1/24)*up_RadSpec!V3)+(s_ET_res_i*(1/24)*up_RadSpec!AA3))))*1,".")</f>
        <v>1.3557142857142865E-2</v>
      </c>
      <c r="F3" s="15">
        <f>up_b2s!C3</f>
        <v>3.6265718922545492E-12</v>
      </c>
      <c r="G3" s="15">
        <f>up_dir!C3</f>
        <v>1.8181818181818181E-11</v>
      </c>
      <c r="H3" s="15">
        <f t="shared" ref="H3:H10" si="8">(IF(AND(C3&lt;&gt;".",D3&lt;&gt;".",E3&lt;&gt;".",F3&lt;&gt;"."),1/((1/C3)+(1/D3)+(1/E3)+(1/F3)),IF(AND(C3&lt;&gt;".",D3&lt;&gt;".",E3&lt;&gt;".",F3="."), 1/((1/C3)+(1/D3)+(1/E3)),IF(AND(C3&lt;&gt;".",D3&lt;&gt;".",E3=".",F3&lt;&gt;"."),1/((1/C3)+(1/D3)+(1/F3)),IF(AND(C3&lt;&gt;".",D3=".",E3&lt;&gt;".",F3&lt;&gt;"."),1/((1/C3)+(1/E3)+(1/F3)),IF(AND(C3=".",D3&lt;&gt;".",E3&lt;&gt;".",F3&lt;&gt;"."),1/((1/D3)+(1/E3)+(1/F3)),IF(AND(C3&lt;&gt;".",D3&lt;&gt;".",E3=".",F3="."),1/((1/C3)+(1/D3)),IF(AND(C3&lt;&gt;".",D3=".",E3&lt;&gt;".",F3="."),1/((1/C3)+(1/E3)),IF(AND(C3&lt;&gt;".",D3=".",E3=".",F3&lt;&gt;"."),1/((1/C3)+(1/F3)),IF(AND(C3=".",D3=".",E3&lt;&gt;".",F3&lt;&gt;"."),1/((1/E3)+(1/F3)),IF(AND(C3=".",D3&lt;&gt;".",E3=".",F3&lt;&gt;"."),1/((1/D3)+(1/F3)),IF(AND(C3=".",D3&lt;&gt;".",E3&lt;&gt;".",F3="."),1/((1/D3)+(1/E3)),IF(AND(C3&lt;&gt;".",D3=".",E3=".",F3="."),1/((1/C3)),IF(AND(C3=".",D3&lt;&gt;".",E3=".",F3="."),1/((1/D3)),IF(AND(C3=".",D3=".",E3&lt;&gt;".",F3="."),1/((1/E3)),IF(AND(C3=".",D3=".",E3=".",F3&lt;&gt;"."),1/((1/F3)),IF(AND(C3=".",D3=".",E3=".",F3="."),".")))))))))))))))))</f>
        <v>3.6262102080140467E-12</v>
      </c>
      <c r="I3" s="40">
        <f t="shared" si="0"/>
        <v>27.5</v>
      </c>
      <c r="J3" s="40">
        <f t="shared" si="1"/>
        <v>2.9420495991003873E-3</v>
      </c>
      <c r="K3" s="40">
        <f>IFERROR((s_C*s_EF_res*(1/365)*s_ED_res*up_RadSpec!Q3*((s_ET_res_o*(1/24)*up_RadSpec!V3)+(s_ET_res_i*(1/24)*up_RadSpec!AA3))),".")</f>
        <v>7.3761854583772346E-5</v>
      </c>
      <c r="L3" s="40">
        <f>up_b2s!AB3</f>
        <v>275742.5</v>
      </c>
      <c r="M3" s="18"/>
      <c r="N3" s="18"/>
      <c r="O3" s="18"/>
      <c r="P3" s="18"/>
      <c r="Q3" s="18"/>
      <c r="R3" s="15">
        <f>IFERROR((s_TR/(up_RadSpec!F3*s_EF_res*(1/365)*s_ED_res*up_RadSpec!Q3*((s_ET_res_o*(1/24)*up_RadSpec!V3)+(s_ET_res_i*(1/24)*up_RadSpec!AA3))))*1,".")</f>
        <v>1.3557142857142865E-2</v>
      </c>
      <c r="S3" s="15">
        <f>IFERROR((s_TR/(up_RadSpec!M3*s_EF_res*(1/365)*s_ED_res*up_RadSpec!R3*((s_ET_res_o*(1/24)*up_RadSpec!W3)+(s_ET_res_i*(1/24)*up_RadSpec!AB3))))*1,".")</f>
        <v>1.9009329247531501E-2</v>
      </c>
      <c r="T3" s="15">
        <f>IFERROR((s_TR/(up_RadSpec!N3*s_EF_res*(1/365)*s_ED_res*up_RadSpec!S3*((s_ET_res_o*(1/24)*up_RadSpec!X3)+(s_ET_res_i*(1/24)*up_RadSpec!AC3))))*1,".")</f>
        <v>1.4411786372007372E-2</v>
      </c>
      <c r="U3" s="15">
        <f>IFERROR((s_TR/(up_RadSpec!O3*s_EF_res*(1/365)*s_ED_res*up_RadSpec!T3*((s_ET_res_o*(1/24)*up_RadSpec!Y3)+(s_ET_res_i*(1/24)*up_RadSpec!AD3))))*1,".")</f>
        <v>1.4855917716934662E-2</v>
      </c>
      <c r="V3" s="15">
        <f>IFERROR((s_TR/(up_RadSpec!K3*s_EF_res*(1/365)*s_ED_res*up_RadSpec!P3*((s_ET_res_o*(1/24)*up_RadSpec!U3)+(s_ET_res_i*(1/24)*up_RadSpec!Z3))))*1,".")</f>
        <v>2.9472779984967262E-2</v>
      </c>
      <c r="W3" s="40">
        <f>IFERROR((s_C*s_EF_res*(1/365)*s_ED_res*up_RadSpec!Q3*((s_ET_res_o*(1/24)*up_RadSpec!V3)+(s_ET_res_i*(1/24)*up_RadSpec!AA3))),".")</f>
        <v>7.3761854583772346E-5</v>
      </c>
      <c r="X3" s="40">
        <f>IFERROR((s_C*s_EF_res*(1/365)*s_ED_res*up_RadSpec!R3*((s_ET_res_o*(1/24)*up_RadSpec!W3)+(s_ET_res_i*(1/24)*up_RadSpec!AB3))),".")</f>
        <v>5.2605748839341984E-5</v>
      </c>
      <c r="Y3" s="40">
        <f>IFERROR((s_C*s_EF_res*(1/365)*s_ED_res*up_RadSpec!S3*((s_ET_res_o*(1/24)*up_RadSpec!X3)+(s_ET_res_i*(1/24)*up_RadSpec!AC3))),".")</f>
        <v>6.938765078716006E-5</v>
      </c>
      <c r="Z3" s="40">
        <f>IFERROR((s_C*s_EF_res*(1/365)*s_ED_res*up_RadSpec!T3*((s_ET_res_o*(1/24)*up_RadSpec!Y3)+(s_ET_res_i*(1/24)*up_RadSpec!AD3))),".")</f>
        <v>6.7313243049271394E-5</v>
      </c>
      <c r="AA3" s="40">
        <f>IFERROR((s_C*s_EF_res*(1/365)*s_ED_res*up_RadSpec!P3*((s_ET_res_o*(1/24)*up_RadSpec!U3)+(s_ET_res_i*(1/24)*up_RadSpec!Z3))),".")</f>
        <v>3.3929612357913129E-5</v>
      </c>
      <c r="AB3" s="18"/>
      <c r="AC3" s="18"/>
      <c r="AD3" s="18"/>
      <c r="AE3" s="18"/>
      <c r="AF3" s="18"/>
      <c r="AG3" s="15">
        <f>IFERROR((s_TR/(up_RadSpec!G3*s_IFA_res_adj)),".")</f>
        <v>1.0971428571428573E-9</v>
      </c>
      <c r="AH3" s="15">
        <f>IFERROR((s_TR/(up_RadSpec!J3*s_EF_res*(1/365)*s_ED_res*s_ET_res*(1/24)*s_GSF_a)),".")</f>
        <v>1.7520000000000001E-6</v>
      </c>
      <c r="AI3" s="15">
        <f>IFERROR(IF(AND(AG3&lt;&gt;".",AH3&lt;&gt;"."),1/((1/AG3)+(1/AH3)),IF(AND(AG3&lt;&gt;".",AH3="."),1/((1/AG3)),IF(AND(AG3=".",AH3&lt;&gt;"."),1/((1/AH3)),IF(AND(AG3=".",AH3="."),".")))),".")</f>
        <v>1.0964562309317064E-9</v>
      </c>
      <c r="AJ3" s="40">
        <f t="shared" si="2"/>
        <v>911.45833333333326</v>
      </c>
      <c r="AK3" s="40">
        <f t="shared" si="3"/>
        <v>0.57077625570776247</v>
      </c>
      <c r="AL3" s="18"/>
      <c r="AM3" s="18"/>
      <c r="AN3" s="18"/>
      <c r="AO3" s="15">
        <f>IFERROR((s_TR/(up_RadSpec!H3*s_IFW_res_adj)),".")</f>
        <v>3.9999999999999996E-10</v>
      </c>
      <c r="AP3" s="15" t="str">
        <f>IFERROR(IF(up_RadSpec!C3=1,(s_TR/(up_RadSpec!G3*s_IFA_res_adj*s_K)),"."),".")</f>
        <v>.</v>
      </c>
      <c r="AQ3" s="15">
        <f>IFERROR((s_TR/(up_RadSpec!L3*(1/8760)*s_DFA_res_adj)),".")</f>
        <v>4.3800000000000004E-6</v>
      </c>
      <c r="AR3" s="15">
        <f>up_b2w!C3</f>
        <v>1.8087754064641833E-11</v>
      </c>
      <c r="AS3" s="15">
        <f>(IF(AND(AO3&lt;&gt;".",AP3&lt;&gt;".",AQ3&lt;&gt;".",AR3&lt;&gt;"."),1/((1/AO3)+(1/AP3)+(1/AQ3)+(1/AR3)),IF(AND(AO3&lt;&gt;".",AP3&lt;&gt;".",AQ3&lt;&gt;".",AR3="."), 1/((1/AO3)+(1/AP3)+(1/AQ3)),IF(AND(AO3&lt;&gt;".",AP3&lt;&gt;".",AQ3=".",AR3&lt;&gt;"."),1/((1/AO3)+(1/AP3)+(1/AR3)),IF(AND(AO3&lt;&gt;".",AP3=".",AQ3&lt;&gt;".",AR3&lt;&gt;"."),1/((1/AO3)+(1/AQ3)+(1/AR3)),IF(AND(AO3=".",AP3&lt;&gt;".",AQ3&lt;&gt;".",AR3&lt;&gt;"."),1/((1/AP3)+(1/AQ3)+(1/AR3)),IF(AND(AO3&lt;&gt;".",AP3&lt;&gt;".",AQ3=".",AR3="."),1/((1/AO3)+(1/AP3)),IF(AND(AO3&lt;&gt;".",AP3=".",AQ3&lt;&gt;".",AR3="."),1/((1/AO3)+(1/AQ3)),IF(AND(AO3&lt;&gt;".",AP3=".",AQ3=".",AR3&lt;&gt;"."),1/((1/AO3)+(1/AR3)),IF(AND(AO3=".",AP3=".",AQ3&lt;&gt;".",AR3&lt;&gt;"."),1/((1/AQ3)+(1/AR3)),IF(AND(AO3=".",AP3&lt;&gt;".",AQ3=".",AR3&lt;&gt;"."),1/((1/AP3)+(1/AR3)),IF(AND(AO3=".",AP3&lt;&gt;".",AQ3&lt;&gt;".",AR3="."),1/((1/AP3)+(1/AQ3)),IF(AND(AO3&lt;&gt;".",AP3=".",AQ3=".",AR3="."),1/((1/AO3)),IF(AND(AO3=".",AP3&lt;&gt;".",AQ3=".",AR3="."),1/((1/AP3)),IF(AND(AO3=".",AP3=".",AQ3&lt;&gt;".",AR3="."),1/((1/AQ3)),IF(AND(AO3=".",AP3=".",AQ3=".",AR3&lt;&gt;"."),1/((1/AR3)),IF(AND(AO3=".",AP3=".",AQ3=".",AR3="."),".")))))))))))))))))</f>
        <v>1.7305154169200115E-11</v>
      </c>
      <c r="AT3" s="40">
        <f t="shared" si="4"/>
        <v>2500</v>
      </c>
      <c r="AU3" s="40">
        <f t="shared" si="5"/>
        <v>455.72916666666663</v>
      </c>
      <c r="AV3" s="40">
        <f t="shared" si="6"/>
        <v>0.22831050228310501</v>
      </c>
      <c r="AW3" s="40">
        <f>up_b2w!AB3</f>
        <v>55286.023705663516</v>
      </c>
      <c r="AX3" s="18"/>
      <c r="AY3" s="18"/>
      <c r="AZ3" s="18"/>
      <c r="BA3" s="18"/>
      <c r="BB3" s="18"/>
      <c r="BC3" s="15">
        <f>IFERROR(s_TR/(up_RadSpec!E3*s_EF_res*s_ED_res*s_IRF_res*0.001*s_CF_res_fish),".")</f>
        <v>7.2727272727272723E-11</v>
      </c>
      <c r="BD3" s="40">
        <f t="shared" si="7"/>
        <v>13750</v>
      </c>
      <c r="BE3" s="18"/>
    </row>
    <row r="4" spans="1:57" x14ac:dyDescent="0.25">
      <c r="A4" s="44" t="s">
        <v>14</v>
      </c>
      <c r="B4" s="42" t="s">
        <v>1074</v>
      </c>
      <c r="C4" s="15">
        <f>IFERROR(((s_TR/(up_RadSpec!D4*s_IFS_res_adj*(1/1000)))*1),".")</f>
        <v>3.6363636363636363E-8</v>
      </c>
      <c r="D4" s="15">
        <f>IFERROR(IF(A4="H-3",(s_TR/((up_RadSpec!G4*s_IFA_res_adj*(1/17)*1000))*1),(s_TR/((up_RadSpec!G4*s_IFA_res_adj*(1/s_PEF_wind)*1000))*1)),".")</f>
        <v>3.3989909629864073E-4</v>
      </c>
      <c r="E4" s="15">
        <f>IFERROR((s_TR/(up_RadSpec!F4*s_EF_res*(1/365)*s_ED_res*up_RadSpec!Q4*((s_ET_res_o*(1/24)*up_RadSpec!V4)+(s_ET_res_i*(1/24)*up_RadSpec!AA4))))*1,".")</f>
        <v>5.0469135802469151E-5</v>
      </c>
      <c r="F4" s="15">
        <f>up_b2s!C4</f>
        <v>3.6265718922545492E-12</v>
      </c>
      <c r="G4" s="15">
        <f>up_dir!C4</f>
        <v>1.8181818181818181E-11</v>
      </c>
      <c r="H4" s="15">
        <f t="shared" si="8"/>
        <v>3.6262099484405845E-12</v>
      </c>
      <c r="I4" s="40">
        <f t="shared" si="0"/>
        <v>27.5</v>
      </c>
      <c r="J4" s="40">
        <f t="shared" si="1"/>
        <v>2.9420495991003873E-3</v>
      </c>
      <c r="K4" s="40">
        <f>IFERROR((s_C*s_EF_res*(1/365)*s_ED_res*up_RadSpec!Q4*((s_ET_res_o*(1/24)*up_RadSpec!V4)+(s_ET_res_i*(1/24)*up_RadSpec!AA4))),".")</f>
        <v>1.9814090019569464E-2</v>
      </c>
      <c r="L4" s="40">
        <f>up_b2s!AB4</f>
        <v>275742.5</v>
      </c>
      <c r="M4" s="18"/>
      <c r="N4" s="18"/>
      <c r="O4" s="18"/>
      <c r="P4" s="18"/>
      <c r="Q4" s="18"/>
      <c r="R4" s="15">
        <f>IFERROR((s_TR/(up_RadSpec!F4*s_EF_res*(1/365)*s_ED_res*up_RadSpec!Q4*((s_ET_res_o*(1/24)*up_RadSpec!V4)+(s_ET_res_i*(1/24)*up_RadSpec!AA4))))*1,".")</f>
        <v>5.0469135802469151E-5</v>
      </c>
      <c r="S4" s="15">
        <f>IFERROR((s_TR/(up_RadSpec!M4*s_EF_res*(1/365)*s_ED_res*up_RadSpec!R4*((s_ET_res_o*(1/24)*up_RadSpec!W4)+(s_ET_res_i*(1/24)*up_RadSpec!AB4))))*1,".")</f>
        <v>8.235897435897439E-5</v>
      </c>
      <c r="T4" s="15">
        <f>IFERROR((s_TR/(up_RadSpec!N4*s_EF_res*(1/365)*s_ED_res*up_RadSpec!S4*((s_ET_res_o*(1/24)*up_RadSpec!X4)+(s_ET_res_i*(1/24)*up_RadSpec!AC4))))*1,".")</f>
        <v>5.924637681159419E-5</v>
      </c>
      <c r="U4" s="15">
        <f>IFERROR((s_TR/(up_RadSpec!O4*s_EF_res*(1/365)*s_ED_res*up_RadSpec!T4*((s_ET_res_o*(1/24)*up_RadSpec!Y4)+(s_ET_res_i*(1/24)*up_RadSpec!AD4))))*1,".")</f>
        <v>5.1573754568923663E-5</v>
      </c>
      <c r="V4" s="15">
        <f>IFERROR((s_TR/(up_RadSpec!K4*s_EF_res*(1/365)*s_ED_res*up_RadSpec!P4*((s_ET_res_o*(1/24)*up_RadSpec!U4)+(s_ET_res_i*(1/24)*up_RadSpec!Z4))))*1,".")</f>
        <v>1.5209739559254119E-4</v>
      </c>
      <c r="W4" s="40">
        <f>IFERROR((s_C*s_EF_res*(1/365)*s_ED_res*up_RadSpec!Q4*((s_ET_res_o*(1/24)*up_RadSpec!V4)+(s_ET_res_i*(1/24)*up_RadSpec!AA4))),".")</f>
        <v>1.9814090019569464E-2</v>
      </c>
      <c r="X4" s="40">
        <f>IFERROR((s_C*s_EF_res*(1/365)*s_ED_res*up_RadSpec!R4*((s_ET_res_o*(1/24)*up_RadSpec!W4)+(s_ET_res_i*(1/24)*up_RadSpec!AB4))),".")</f>
        <v>1.2141967621419671E-2</v>
      </c>
      <c r="Y4" s="40">
        <f>IFERROR((s_C*s_EF_res*(1/365)*s_ED_res*up_RadSpec!S4*((s_ET_res_o*(1/24)*up_RadSpec!X4)+(s_ET_res_i*(1/24)*up_RadSpec!AC4))),".")</f>
        <v>1.6878669275929552E-2</v>
      </c>
      <c r="Z4" s="40">
        <f>IFERROR((s_C*s_EF_res*(1/365)*s_ED_res*up_RadSpec!T4*((s_ET_res_o*(1/24)*up_RadSpec!Y4)+(s_ET_res_i*(1/24)*up_RadSpec!AD4))),".")</f>
        <v>1.9389707194258862E-2</v>
      </c>
      <c r="AA4" s="40">
        <f>IFERROR((s_C*s_EF_res*(1/365)*s_ED_res*up_RadSpec!P4*((s_ET_res_o*(1/24)*up_RadSpec!U4)+(s_ET_res_i*(1/24)*up_RadSpec!Z4))),".")</f>
        <v>6.574734538380483E-3</v>
      </c>
      <c r="AB4" s="18"/>
      <c r="AC4" s="18"/>
      <c r="AD4" s="18"/>
      <c r="AE4" s="18"/>
      <c r="AF4" s="18"/>
      <c r="AG4" s="15">
        <f>IFERROR((s_TR/(up_RadSpec!G4*s_IFA_res_adj)),".")</f>
        <v>1.0971428571428573E-9</v>
      </c>
      <c r="AH4" s="15">
        <f>IFERROR((s_TR/(up_RadSpec!J4*s_EF_res*(1/365)*s_ED_res*s_ET_res*(1/24)*s_GSF_a)),".")</f>
        <v>1.7520000000000001E-6</v>
      </c>
      <c r="AI4" s="15">
        <f t="shared" ref="AI4:AI16" si="9">IFERROR(IF(AND(AG4&lt;&gt;".",AH4&lt;&gt;"."),1/((1/AG4)+(1/AH4)),IF(AND(AG4&lt;&gt;".",AH4="."),1/((1/AG4)),IF(AND(AG4=".",AH4&lt;&gt;"."),1/((1/AH4)),IF(AND(AG4=".",AH4="."),".")))),".")</f>
        <v>1.0964562309317064E-9</v>
      </c>
      <c r="AJ4" s="40">
        <f t="shared" si="2"/>
        <v>911.45833333333326</v>
      </c>
      <c r="AK4" s="40">
        <f t="shared" si="3"/>
        <v>0.57077625570776247</v>
      </c>
      <c r="AL4" s="18"/>
      <c r="AM4" s="18"/>
      <c r="AN4" s="18"/>
      <c r="AO4" s="15">
        <f>IFERROR((s_TR/(up_RadSpec!H4*s_IFW_res_adj)),".")</f>
        <v>3.9999999999999996E-10</v>
      </c>
      <c r="AP4" s="15" t="str">
        <f>IFERROR(IF(up_RadSpec!C4=1,(s_TR/(up_RadSpec!G4*s_IFA_res_adj*s_K)),"."),".")</f>
        <v>.</v>
      </c>
      <c r="AQ4" s="15">
        <f>IFERROR((s_TR/(up_RadSpec!L4*(1/8760)*s_DFA_res_adj)),".")</f>
        <v>4.3800000000000004E-6</v>
      </c>
      <c r="AR4" s="15">
        <f>up_b2w!C4</f>
        <v>1.8087754064641833E-11</v>
      </c>
      <c r="AS4" s="15">
        <f t="shared" ref="AS4:AS5" si="10">(IF(AND(AO4&lt;&gt;".",AP4&lt;&gt;".",AQ4&lt;&gt;".",AR4&lt;&gt;"."),1/((1/AO4)+(1/AP4)+(1/AQ4)+(1/AR4)),IF(AND(AO4&lt;&gt;".",AP4&lt;&gt;".",AQ4&lt;&gt;".",AR4="."), 1/((1/AO4)+(1/AP4)+(1/AQ4)),IF(AND(AO4&lt;&gt;".",AP4&lt;&gt;".",AQ4=".",AR4&lt;&gt;"."),1/((1/AO4)+(1/AP4)+(1/AR4)),IF(AND(AO4&lt;&gt;".",AP4=".",AQ4&lt;&gt;".",AR4&lt;&gt;"."),1/((1/AO4)+(1/AQ4)+(1/AR4)),IF(AND(AO4=".",AP4&lt;&gt;".",AQ4&lt;&gt;".",AR4&lt;&gt;"."),1/((1/AP4)+(1/AQ4)+(1/AR4)),IF(AND(AO4&lt;&gt;".",AP4&lt;&gt;".",AQ4=".",AR4="."),1/((1/AO4)+(1/AP4)),IF(AND(AO4&lt;&gt;".",AP4=".",AQ4&lt;&gt;".",AR4="."),1/((1/AO4)+(1/AQ4)),IF(AND(AO4&lt;&gt;".",AP4=".",AQ4=".",AR4&lt;&gt;"."),1/((1/AO4)+(1/AR4)),IF(AND(AO4=".",AP4=".",AQ4&lt;&gt;".",AR4&lt;&gt;"."),1/((1/AQ4)+(1/AR4)),IF(AND(AO4=".",AP4&lt;&gt;".",AQ4=".",AR4&lt;&gt;"."),1/((1/AP4)+(1/AR4)),IF(AND(AO4=".",AP4&lt;&gt;".",AQ4&lt;&gt;".",AR4="."),1/((1/AP4)+(1/AQ4)),IF(AND(AO4&lt;&gt;".",AP4=".",AQ4=".",AR4="."),1/((1/AO4)),IF(AND(AO4=".",AP4&lt;&gt;".",AQ4=".",AR4="."),1/((1/AP4)),IF(AND(AO4=".",AP4=".",AQ4&lt;&gt;".",AR4="."),1/((1/AQ4)),IF(AND(AO4=".",AP4=".",AQ4=".",AR4&lt;&gt;"."),1/((1/AR4)),IF(AND(AO4=".",AP4=".",AQ4=".",AR4="."),".")))))))))))))))))</f>
        <v>1.7305154169200115E-11</v>
      </c>
      <c r="AT4" s="40">
        <f t="shared" si="4"/>
        <v>2500</v>
      </c>
      <c r="AU4" s="40">
        <f t="shared" si="5"/>
        <v>455.72916666666663</v>
      </c>
      <c r="AV4" s="40">
        <f t="shared" si="6"/>
        <v>0.22831050228310501</v>
      </c>
      <c r="AW4" s="40">
        <f>up_b2w!AB4</f>
        <v>55286.023705663516</v>
      </c>
      <c r="AX4" s="18"/>
      <c r="AY4" s="18"/>
      <c r="AZ4" s="18"/>
      <c r="BA4" s="18"/>
      <c r="BB4" s="18"/>
      <c r="BC4" s="15">
        <f>IFERROR(s_TR/(up_RadSpec!E4*s_EF_res*s_ED_res*s_IRF_res*0.001*s_CF_res_fish),".")</f>
        <v>7.2727272727272723E-11</v>
      </c>
      <c r="BD4" s="40">
        <f t="shared" si="7"/>
        <v>13750</v>
      </c>
      <c r="BE4" s="18"/>
    </row>
    <row r="5" spans="1:57" x14ac:dyDescent="0.25">
      <c r="A5" s="44" t="s">
        <v>15</v>
      </c>
      <c r="B5" s="42" t="s">
        <v>1074</v>
      </c>
      <c r="C5" s="15">
        <f>IFERROR(((s_TR/(up_RadSpec!D5*s_IFS_res_adj*(1/1000)))*1),".")</f>
        <v>3.6363636363636363E-8</v>
      </c>
      <c r="D5" s="15">
        <f>IFERROR(IF(A5="H-3",(s_TR/((up_RadSpec!G5*s_IFA_res_adj*(1/17)*1000))*1),(s_TR/((up_RadSpec!G5*s_IFA_res_adj*(1/s_PEF_wind)*1000))*1)),".")</f>
        <v>3.3989909629864073E-4</v>
      </c>
      <c r="E5" s="15" t="str">
        <f>IFERROR((s_TR/(up_RadSpec!F5*s_EF_res*(1/365)*s_ED_res*up_RadSpec!Q5*((s_ET_res_o*(1/24)*up_RadSpec!V5)+(s_ET_res_i*(1/24)*up_RadSpec!AA5))))*1,".")</f>
        <v>.</v>
      </c>
      <c r="F5" s="15">
        <f>up_b2s!C5</f>
        <v>3.6265718922545492E-12</v>
      </c>
      <c r="G5" s="15">
        <f>up_dir!C5</f>
        <v>1.8181818181818181E-11</v>
      </c>
      <c r="H5" s="15">
        <f t="shared" si="8"/>
        <v>3.6262102089839709E-12</v>
      </c>
      <c r="I5" s="40">
        <f t="shared" si="0"/>
        <v>27.5</v>
      </c>
      <c r="J5" s="40">
        <f t="shared" si="1"/>
        <v>2.9420495991003873E-3</v>
      </c>
      <c r="K5" s="40">
        <f>IFERROR((s_C*s_EF_res*(1/365)*s_ED_res*up_RadSpec!Q5*((s_ET_res_o*(1/24)*up_RadSpec!V5)+(s_ET_res_i*(1/24)*up_RadSpec!AA5))),".")</f>
        <v>0</v>
      </c>
      <c r="L5" s="40">
        <f>up_b2s!AB5</f>
        <v>275742.5</v>
      </c>
      <c r="M5" s="18"/>
      <c r="N5" s="18"/>
      <c r="O5" s="18"/>
      <c r="P5" s="18"/>
      <c r="Q5" s="18"/>
      <c r="R5" s="15" t="str">
        <f>IFERROR((s_TR/(up_RadSpec!F5*s_EF_res*(1/365)*s_ED_res*up_RadSpec!Q5*((s_ET_res_o*(1/24)*up_RadSpec!V5)+(s_ET_res_i*(1/24)*up_RadSpec!AA5))))*1,".")</f>
        <v>.</v>
      </c>
      <c r="S5" s="15" t="str">
        <f>IFERROR((s_TR/(up_RadSpec!M5*s_EF_res*(1/365)*s_ED_res*up_RadSpec!R5*((s_ET_res_o*(1/24)*up_RadSpec!W5)+(s_ET_res_i*(1/24)*up_RadSpec!AB5))))*1,".")</f>
        <v>.</v>
      </c>
      <c r="T5" s="15" t="str">
        <f>IFERROR((s_TR/(up_RadSpec!N5*s_EF_res*(1/365)*s_ED_res*up_RadSpec!S5*((s_ET_res_o*(1/24)*up_RadSpec!X5)+(s_ET_res_i*(1/24)*up_RadSpec!AC5))))*1,".")</f>
        <v>.</v>
      </c>
      <c r="U5" s="15" t="str">
        <f>IFERROR((s_TR/(up_RadSpec!O5*s_EF_res*(1/365)*s_ED_res*up_RadSpec!T5*((s_ET_res_o*(1/24)*up_RadSpec!Y5)+(s_ET_res_i*(1/24)*up_RadSpec!AD5))))*1,".")</f>
        <v>.</v>
      </c>
      <c r="V5" s="15" t="str">
        <f>IFERROR((s_TR/(up_RadSpec!K5*s_EF_res*(1/365)*s_ED_res*up_RadSpec!P5*((s_ET_res_o*(1/24)*up_RadSpec!U5)+(s_ET_res_i*(1/24)*up_RadSpec!Z5))))*1,".")</f>
        <v>.</v>
      </c>
      <c r="W5" s="40">
        <f>IFERROR((s_C*s_EF_res*(1/365)*s_ED_res*up_RadSpec!Q5*((s_ET_res_o*(1/24)*up_RadSpec!V5)+(s_ET_res_i*(1/24)*up_RadSpec!AA5))),".")</f>
        <v>0</v>
      </c>
      <c r="X5" s="40">
        <f>IFERROR((s_C*s_EF_res*(1/365)*s_ED_res*up_RadSpec!R5*((s_ET_res_o*(1/24)*up_RadSpec!W5)+(s_ET_res_i*(1/24)*up_RadSpec!AB5))),".")</f>
        <v>0</v>
      </c>
      <c r="Y5" s="40">
        <f>IFERROR((s_C*s_EF_res*(1/365)*s_ED_res*up_RadSpec!S5*((s_ET_res_o*(1/24)*up_RadSpec!X5)+(s_ET_res_i*(1/24)*up_RadSpec!AC5))),".")</f>
        <v>0</v>
      </c>
      <c r="Z5" s="40">
        <f>IFERROR((s_C*s_EF_res*(1/365)*s_ED_res*up_RadSpec!T5*((s_ET_res_o*(1/24)*up_RadSpec!Y5)+(s_ET_res_i*(1/24)*up_RadSpec!AD5))),".")</f>
        <v>0</v>
      </c>
      <c r="AA5" s="40">
        <f>IFERROR((s_C*s_EF_res*(1/365)*s_ED_res*up_RadSpec!P5*((s_ET_res_o*(1/24)*up_RadSpec!U5)+(s_ET_res_i*(1/24)*up_RadSpec!Z5))),".")</f>
        <v>0</v>
      </c>
      <c r="AB5" s="18"/>
      <c r="AC5" s="18"/>
      <c r="AD5" s="18"/>
      <c r="AE5" s="18"/>
      <c r="AF5" s="18"/>
      <c r="AG5" s="15">
        <f>IFERROR((s_TR/(up_RadSpec!G5*s_IFA_res_adj)),".")</f>
        <v>1.0971428571428573E-9</v>
      </c>
      <c r="AH5" s="15">
        <f>IFERROR((s_TR/(up_RadSpec!J5*s_EF_res*(1/365)*s_ED_res*s_ET_res*(1/24)*s_GSF_a)),".")</f>
        <v>1.7520000000000001E-6</v>
      </c>
      <c r="AI5" s="15">
        <f t="shared" si="9"/>
        <v>1.0964562309317064E-9</v>
      </c>
      <c r="AJ5" s="40">
        <f t="shared" si="2"/>
        <v>911.45833333333326</v>
      </c>
      <c r="AK5" s="40">
        <f t="shared" si="3"/>
        <v>0.57077625570776247</v>
      </c>
      <c r="AL5" s="18"/>
      <c r="AM5" s="18"/>
      <c r="AN5" s="18"/>
      <c r="AO5" s="15">
        <f>IFERROR((s_TR/(up_RadSpec!H5*s_IFW_res_adj)),".")</f>
        <v>3.9999999999999996E-10</v>
      </c>
      <c r="AP5" s="15" t="str">
        <f>IFERROR(IF(up_RadSpec!C5=1,(s_TR/(up_RadSpec!G5*s_IFA_res_adj*s_K)),"."),".")</f>
        <v>.</v>
      </c>
      <c r="AQ5" s="15">
        <f>IFERROR((s_TR/(up_RadSpec!L5*(1/8760)*s_DFA_res_adj)),".")</f>
        <v>4.3800000000000004E-6</v>
      </c>
      <c r="AR5" s="15">
        <f>up_b2w!C5</f>
        <v>1.8087754064641833E-11</v>
      </c>
      <c r="AS5" s="15">
        <f t="shared" si="10"/>
        <v>1.7305154169200115E-11</v>
      </c>
      <c r="AT5" s="40">
        <f t="shared" si="4"/>
        <v>2500</v>
      </c>
      <c r="AU5" s="40">
        <f t="shared" si="5"/>
        <v>455.72916666666663</v>
      </c>
      <c r="AV5" s="40">
        <f t="shared" si="6"/>
        <v>0.22831050228310501</v>
      </c>
      <c r="AW5" s="40">
        <f>up_b2w!AB5</f>
        <v>55286.023705663516</v>
      </c>
      <c r="AX5" s="18"/>
      <c r="AY5" s="18"/>
      <c r="AZ5" s="18"/>
      <c r="BA5" s="18"/>
      <c r="BB5" s="18"/>
      <c r="BC5" s="15">
        <f>IFERROR(s_TR/(up_RadSpec!E5*s_EF_res*s_ED_res*s_IRF_res*0.001*s_CF_res_fish),".")</f>
        <v>7.2727272727272723E-11</v>
      </c>
      <c r="BD5" s="40">
        <f t="shared" si="7"/>
        <v>13750</v>
      </c>
      <c r="BE5" s="18"/>
    </row>
    <row r="6" spans="1:57" x14ac:dyDescent="0.25">
      <c r="A6" s="44" t="s">
        <v>16</v>
      </c>
      <c r="B6" s="42" t="s">
        <v>1074</v>
      </c>
      <c r="C6" s="15">
        <f>IFERROR(((s_TR/(up_RadSpec!D6*s_IFS_res_adj*(1/1000)))*1),".")</f>
        <v>3.6363636363636363E-8</v>
      </c>
      <c r="D6" s="15">
        <f>IFERROR(IF(A6="H-3",(s_TR/((up_RadSpec!G6*s_IFA_res_adj*(1/17)*1000))*1),(s_TR/((up_RadSpec!G6*s_IFA_res_adj*(1/s_PEF_wind)*1000))*1)),".")</f>
        <v>3.3989909629864073E-4</v>
      </c>
      <c r="E6" s="15">
        <f>IFERROR((s_TR/(up_RadSpec!F6*s_EF_res*(1/365)*s_ED_res*up_RadSpec!Q6*((s_ET_res_o*(1/24)*up_RadSpec!V6)+(s_ET_res_i*(1/24)*up_RadSpec!AA6))))*1,".")</f>
        <v>2.5939667890887392E-5</v>
      </c>
      <c r="F6" s="15">
        <f>up_b2s!C6</f>
        <v>3.6265718922545492E-12</v>
      </c>
      <c r="G6" s="15">
        <f>up_dir!C6</f>
        <v>1.8181818181818181E-11</v>
      </c>
      <c r="H6" s="15">
        <f t="shared" si="8"/>
        <v>3.6262097020615736E-12</v>
      </c>
      <c r="I6" s="40">
        <f t="shared" si="0"/>
        <v>27.5</v>
      </c>
      <c r="J6" s="40">
        <f t="shared" si="1"/>
        <v>2.9420495991003873E-3</v>
      </c>
      <c r="K6" s="40">
        <f>IFERROR((s_C*s_EF_res*(1/365)*s_ED_res*up_RadSpec!Q6*((s_ET_res_o*(1/24)*up_RadSpec!V6)+(s_ET_res_i*(1/24)*up_RadSpec!AA6))),".")</f>
        <v>3.8550994723849187E-2</v>
      </c>
      <c r="L6" s="40">
        <f>up_b2s!AB6</f>
        <v>275742.5</v>
      </c>
      <c r="M6" s="18"/>
      <c r="N6" s="18"/>
      <c r="O6" s="18"/>
      <c r="P6" s="18"/>
      <c r="Q6" s="18"/>
      <c r="R6" s="15">
        <f>IFERROR((s_TR/(up_RadSpec!F6*s_EF_res*(1/365)*s_ED_res*up_RadSpec!Q6*((s_ET_res_o*(1/24)*up_RadSpec!V6)+(s_ET_res_i*(1/24)*up_RadSpec!AA6))))*1,".")</f>
        <v>2.5939667890887392E-5</v>
      </c>
      <c r="S6" s="15">
        <f>IFERROR((s_TR/(up_RadSpec!M6*s_EF_res*(1/365)*s_ED_res*up_RadSpec!R6*((s_ET_res_o*(1/24)*up_RadSpec!W6)+(s_ET_res_i*(1/24)*up_RadSpec!AB6))))*1,".")</f>
        <v>4.842505008274541E-5</v>
      </c>
      <c r="T6" s="15">
        <f>IFERROR((s_TR/(up_RadSpec!N6*s_EF_res*(1/365)*s_ED_res*up_RadSpec!S6*((s_ET_res_o*(1/24)*up_RadSpec!X6)+(s_ET_res_i*(1/24)*up_RadSpec!AC6))))*1,".")</f>
        <v>3.4220128065724306E-5</v>
      </c>
      <c r="U6" s="15">
        <f>IFERROR((s_TR/(up_RadSpec!O6*s_EF_res*(1/365)*s_ED_res*up_RadSpec!T6*((s_ET_res_o*(1/24)*up_RadSpec!Y6)+(s_ET_res_i*(1/24)*up_RadSpec!AD6))))*1,".")</f>
        <v>2.8298765432098752E-5</v>
      </c>
      <c r="V6" s="15">
        <f>IFERROR((s_TR/(up_RadSpec!K6*s_EF_res*(1/365)*s_ED_res*up_RadSpec!P6*((s_ET_res_o*(1/24)*up_RadSpec!U6)+(s_ET_res_i*(1/24)*up_RadSpec!Z6))))*1,".")</f>
        <v>8.1342196897752492E-5</v>
      </c>
      <c r="W6" s="40">
        <f>IFERROR((s_C*s_EF_res*(1/365)*s_ED_res*up_RadSpec!Q6*((s_ET_res_o*(1/24)*up_RadSpec!V6)+(s_ET_res_i*(1/24)*up_RadSpec!AA6))),".")</f>
        <v>3.8550994723849187E-2</v>
      </c>
      <c r="X6" s="40">
        <f>IFERROR((s_C*s_EF_res*(1/365)*s_ED_res*up_RadSpec!R6*((s_ET_res_o*(1/24)*up_RadSpec!W6)+(s_ET_res_i*(1/24)*up_RadSpec!AB6))),".")</f>
        <v>2.0650469091746285E-2</v>
      </c>
      <c r="Y6" s="40">
        <f>IFERROR((s_C*s_EF_res*(1/365)*s_ED_res*up_RadSpec!S6*((s_ET_res_o*(1/24)*up_RadSpec!X6)+(s_ET_res_i*(1/24)*up_RadSpec!AC6))),".")</f>
        <v>2.9222567433978244E-2</v>
      </c>
      <c r="Z6" s="40">
        <f>IFERROR((s_C*s_EF_res*(1/365)*s_ED_res*up_RadSpec!T6*((s_ET_res_o*(1/24)*up_RadSpec!Y6)+(s_ET_res_i*(1/24)*up_RadSpec!AD6))),".")</f>
        <v>3.5337230608149389E-2</v>
      </c>
      <c r="AA6" s="40">
        <f>IFERROR((s_C*s_EF_res*(1/365)*s_ED_res*up_RadSpec!P6*((s_ET_res_o*(1/24)*up_RadSpec!U6)+(s_ET_res_i*(1/24)*up_RadSpec!Z6))),".")</f>
        <v>1.2293742216687416E-2</v>
      </c>
      <c r="AB6" s="18"/>
      <c r="AC6" s="18"/>
      <c r="AD6" s="18"/>
      <c r="AE6" s="18"/>
      <c r="AF6" s="18"/>
      <c r="AG6" s="15">
        <f>IFERROR((s_TR/(up_RadSpec!G6*s_IFA_res_adj)),".")</f>
        <v>1.0971428571428573E-9</v>
      </c>
      <c r="AH6" s="15">
        <f>IFERROR((s_TR/(up_RadSpec!J6*s_EF_res*(1/365)*s_ED_res*s_ET_res*(1/24)*s_GSF_a)),".")</f>
        <v>1.7520000000000001E-6</v>
      </c>
      <c r="AI6" s="15">
        <f t="shared" si="9"/>
        <v>1.0964562309317064E-9</v>
      </c>
      <c r="AJ6" s="40">
        <f t="shared" si="2"/>
        <v>911.45833333333326</v>
      </c>
      <c r="AK6" s="40">
        <f t="shared" si="3"/>
        <v>0.57077625570776247</v>
      </c>
      <c r="AL6" s="18"/>
      <c r="AM6" s="18"/>
      <c r="AN6" s="18"/>
      <c r="AO6" s="15">
        <f>IFERROR((s_TR/(up_RadSpec!H6*s_IFW_res_adj)),".")</f>
        <v>3.9999999999999996E-10</v>
      </c>
      <c r="AP6" s="15" t="str">
        <f>IFERROR(IF(up_RadSpec!C6=1,(s_TR/(up_RadSpec!G6*s_IFA_res_adj*s_K)),"."),".")</f>
        <v>.</v>
      </c>
      <c r="AQ6" s="15">
        <f>IFERROR((s_TR/(up_RadSpec!L6*(1/8760)*s_DFA_res_adj)),".")</f>
        <v>4.3800000000000004E-6</v>
      </c>
      <c r="AR6" s="15">
        <f>up_b2w!C6</f>
        <v>1.8087754064641833E-11</v>
      </c>
      <c r="AS6" s="15">
        <f>(IF(AND(AO6&lt;&gt;".",AP6&lt;&gt;".",AQ6&lt;&gt;".",AR6&lt;&gt;"."),1/((1/AO6)+(1/AP6)+(1/AQ6)+(1/AR6)),IF(AND(AO6&lt;&gt;".",AP6&lt;&gt;".",AQ6&lt;&gt;".",AR6="."), 1/((1/AO6)+(1/AP6)+(1/AQ6)),IF(AND(AO6&lt;&gt;".",AP6&lt;&gt;".",AQ6=".",AR6&lt;&gt;"."),1/((1/AO6)+(1/AP6)+(1/AR6)),IF(AND(AO6&lt;&gt;".",AP6=".",AQ6&lt;&gt;".",AR6&lt;&gt;"."),1/((1/AO6)+(1/AQ6)+(1/AR6)),IF(AND(AO6=".",AP6&lt;&gt;".",AQ6&lt;&gt;".",AR6&lt;&gt;"."),1/((1/AP6)+(1/AQ6)+(1/AR6)),IF(AND(AO6&lt;&gt;".",AP6&lt;&gt;".",AQ6=".",AR6="."),1/((1/AO6)+(1/AP6)),IF(AND(AO6&lt;&gt;".",AP6=".",AQ6&lt;&gt;".",AR6="."),1/((1/AO6)+(1/AQ6)),IF(AND(AO6&lt;&gt;".",AP6=".",AQ6=".",AR6&lt;&gt;"."),1/((1/AO6)+(1/AR6)),IF(AND(AO6=".",AP6=".",AQ6&lt;&gt;".",AR6&lt;&gt;"."),1/((1/AQ6)+(1/AR6)),IF(AND(AO6=".",AP6&lt;&gt;".",AQ6=".",AR6&lt;&gt;"."),1/((1/AP6)+(1/AR6)),IF(AND(AO6=".",AP6&lt;&gt;".",AQ6&lt;&gt;".",AR6="."),1/((1/AP6)+(1/AQ6)),IF(AND(AO6&lt;&gt;".",AP6=".",AQ6=".",AR6="."),1/((1/AO6)),IF(AND(AO6=".",AP6&lt;&gt;".",AQ6=".",AR6="."),1/((1/AP6)),IF(AND(AO6=".",AP6=".",AQ6&lt;&gt;".",AR6="."),1/((1/AQ6)),IF(AND(AO6=".",AP6=".",AQ6=".",AR6&lt;&gt;"."),1/((1/AR6)),IF(AND(AO6=".",AP6=".",AQ6=".",AR6="."),".")))))))))))))))))</f>
        <v>1.7305154169200115E-11</v>
      </c>
      <c r="AT6" s="40">
        <f t="shared" si="4"/>
        <v>2500</v>
      </c>
      <c r="AU6" s="40">
        <f t="shared" si="5"/>
        <v>455.72916666666663</v>
      </c>
      <c r="AV6" s="40">
        <f t="shared" si="6"/>
        <v>0.22831050228310501</v>
      </c>
      <c r="AW6" s="40">
        <f>up_b2w!AB6</f>
        <v>55286.023705663516</v>
      </c>
      <c r="AX6" s="18"/>
      <c r="AY6" s="18"/>
      <c r="AZ6" s="18"/>
      <c r="BA6" s="18"/>
      <c r="BB6" s="18"/>
      <c r="BC6" s="15">
        <f>IFERROR(s_TR/(up_RadSpec!E6*s_EF_res*s_ED_res*s_IRF_res*0.001*s_CF_res_fish),".")</f>
        <v>7.2727272727272723E-11</v>
      </c>
      <c r="BD6" s="40">
        <f t="shared" si="7"/>
        <v>13750</v>
      </c>
      <c r="BE6" s="18"/>
    </row>
    <row r="7" spans="1:57" x14ac:dyDescent="0.25">
      <c r="A7" s="44" t="s">
        <v>17</v>
      </c>
      <c r="B7" s="42" t="s">
        <v>1074</v>
      </c>
      <c r="C7" s="15">
        <f>IFERROR(((s_TR/(up_RadSpec!D7*s_IFS_res_adj*(1/1000)))*1),".")</f>
        <v>3.6363636363636363E-8</v>
      </c>
      <c r="D7" s="15">
        <f>IFERROR(IF(A7="H-3",(s_TR/((up_RadSpec!G7*s_IFA_res_adj*(1/17)*1000))*1),(s_TR/((up_RadSpec!G7*s_IFA_res_adj*(1/s_PEF_wind)*1000))*1)),".")</f>
        <v>3.3989909629864073E-4</v>
      </c>
      <c r="E7" s="15">
        <f>IFERROR((s_TR/(up_RadSpec!F7*s_EF_res*(1/365)*s_ED_res*up_RadSpec!Q7*((s_ET_res_o*(1/24)*up_RadSpec!V7)+(s_ET_res_i*(1/24)*up_RadSpec!AA7))))*1,".")</f>
        <v>5.6126520681265191E-5</v>
      </c>
      <c r="F7" s="15">
        <f>up_b2s!C7</f>
        <v>3.6265718922545492E-12</v>
      </c>
      <c r="G7" s="15">
        <f>up_dir!C7</f>
        <v>1.8181818181818181E-11</v>
      </c>
      <c r="H7" s="15">
        <f t="shared" si="8"/>
        <v>3.626209974702575E-12</v>
      </c>
      <c r="I7" s="40">
        <f t="shared" si="0"/>
        <v>27.5</v>
      </c>
      <c r="J7" s="40">
        <f t="shared" si="1"/>
        <v>2.9420495991003873E-3</v>
      </c>
      <c r="K7" s="40">
        <f>IFERROR((s_C*s_EF_res*(1/365)*s_ED_res*up_RadSpec!Q7*((s_ET_res_o*(1/24)*up_RadSpec!V7)+(s_ET_res_i*(1/24)*up_RadSpec!AA7))),".")</f>
        <v>1.7816889197156238E-2</v>
      </c>
      <c r="L7" s="40">
        <f>up_b2s!AB7</f>
        <v>275742.5</v>
      </c>
      <c r="M7" s="18"/>
      <c r="N7" s="18"/>
      <c r="O7" s="18"/>
      <c r="P7" s="18"/>
      <c r="Q7" s="18"/>
      <c r="R7" s="15">
        <f>IFERROR((s_TR/(up_RadSpec!F7*s_EF_res*(1/365)*s_ED_res*up_RadSpec!Q7*((s_ET_res_o*(1/24)*up_RadSpec!V7)+(s_ET_res_i*(1/24)*up_RadSpec!AA7))))*1,".")</f>
        <v>5.6126520681265191E-5</v>
      </c>
      <c r="S7" s="15">
        <f>IFERROR((s_TR/(up_RadSpec!M7*s_EF_res*(1/365)*s_ED_res*up_RadSpec!R7*((s_ET_res_o*(1/24)*up_RadSpec!W7)+(s_ET_res_i*(1/24)*up_RadSpec!AB7))))*1,".")</f>
        <v>8.9290382819794643E-5</v>
      </c>
      <c r="T7" s="15">
        <f>IFERROR((s_TR/(up_RadSpec!N7*s_EF_res*(1/365)*s_ED_res*up_RadSpec!S7*((s_ET_res_o*(1/24)*up_RadSpec!X7)+(s_ET_res_i*(1/24)*up_RadSpec!AC7))))*1,".")</f>
        <v>6.541666666666668E-5</v>
      </c>
      <c r="U7" s="15">
        <f>IFERROR((s_TR/(up_RadSpec!O7*s_EF_res*(1/365)*s_ED_res*up_RadSpec!T7*((s_ET_res_o*(1/24)*up_RadSpec!Y7)+(s_ET_res_i*(1/24)*up_RadSpec!AD7))))*1,".")</f>
        <v>6.0176942025465759E-5</v>
      </c>
      <c r="V7" s="15">
        <f>IFERROR((s_TR/(up_RadSpec!K7*s_EF_res*(1/365)*s_ED_res*up_RadSpec!P7*((s_ET_res_o*(1/24)*up_RadSpec!U7)+(s_ET_res_i*(1/24)*up_RadSpec!Z7))))*1,".")</f>
        <v>1.5280366692131396E-4</v>
      </c>
      <c r="W7" s="40">
        <f>IFERROR((s_C*s_EF_res*(1/365)*s_ED_res*up_RadSpec!Q7*((s_ET_res_o*(1/24)*up_RadSpec!V7)+(s_ET_res_i*(1/24)*up_RadSpec!AA7))),".")</f>
        <v>1.7816889197156238E-2</v>
      </c>
      <c r="X7" s="40">
        <f>IFERROR((s_C*s_EF_res*(1/365)*s_ED_res*up_RadSpec!R7*((s_ET_res_o*(1/24)*up_RadSpec!W7)+(s_ET_res_i*(1/24)*up_RadSpec!AB7))),".")</f>
        <v>1.119941440970406E-2</v>
      </c>
      <c r="Y7" s="40">
        <f>IFERROR((s_C*s_EF_res*(1/365)*s_ED_res*up_RadSpec!S7*((s_ET_res_o*(1/24)*up_RadSpec!X7)+(s_ET_res_i*(1/24)*up_RadSpec!AC7))),".")</f>
        <v>1.5286624203821653E-2</v>
      </c>
      <c r="Z7" s="40">
        <f>IFERROR((s_C*s_EF_res*(1/365)*s_ED_res*up_RadSpec!T7*((s_ET_res_o*(1/24)*up_RadSpec!Y7)+(s_ET_res_i*(1/24)*up_RadSpec!AD7))),".")</f>
        <v>1.6617660624509943E-2</v>
      </c>
      <c r="AA7" s="40">
        <f>IFERROR((s_C*s_EF_res*(1/365)*s_ED_res*up_RadSpec!P7*((s_ET_res_o*(1/24)*up_RadSpec!U7)+(s_ET_res_i*(1/24)*up_RadSpec!Z7))),".")</f>
        <v>6.5443455654434568E-3</v>
      </c>
      <c r="AB7" s="18"/>
      <c r="AC7" s="18"/>
      <c r="AD7" s="18"/>
      <c r="AE7" s="18"/>
      <c r="AF7" s="18"/>
      <c r="AG7" s="15">
        <f>IFERROR((s_TR/(up_RadSpec!G7*s_IFA_res_adj)),".")</f>
        <v>1.0971428571428573E-9</v>
      </c>
      <c r="AH7" s="15">
        <f>IFERROR((s_TR/(up_RadSpec!J7*s_EF_res*(1/365)*s_ED_res*s_ET_res*(1/24)*s_GSF_a)),".")</f>
        <v>1.7520000000000001E-6</v>
      </c>
      <c r="AI7" s="15">
        <f t="shared" si="9"/>
        <v>1.0964562309317064E-9</v>
      </c>
      <c r="AJ7" s="40">
        <f t="shared" si="2"/>
        <v>911.45833333333326</v>
      </c>
      <c r="AK7" s="40">
        <f t="shared" si="3"/>
        <v>0.57077625570776247</v>
      </c>
      <c r="AL7" s="18"/>
      <c r="AM7" s="18"/>
      <c r="AN7" s="18"/>
      <c r="AO7" s="15">
        <f>IFERROR((s_TR/(up_RadSpec!H7*s_IFW_res_adj)),".")</f>
        <v>3.9999999999999996E-10</v>
      </c>
      <c r="AP7" s="15" t="str">
        <f>IFERROR(IF(up_RadSpec!C7=1,(s_TR/(up_RadSpec!G7*s_IFA_res_adj*s_K)),"."),".")</f>
        <v>.</v>
      </c>
      <c r="AQ7" s="15">
        <f>IFERROR((s_TR/(up_RadSpec!L7*(1/8760)*s_DFA_res_adj)),".")</f>
        <v>4.3800000000000004E-6</v>
      </c>
      <c r="AR7" s="15">
        <f>up_b2w!C7</f>
        <v>1.8087754064641833E-11</v>
      </c>
      <c r="AS7" s="15">
        <f>(IF(AND(AO7&lt;&gt;".",AP7&lt;&gt;".",AQ7&lt;&gt;".",AR7&lt;&gt;"."),1/((1/AO7)+(1/AP7)+(1/AQ7)+(1/AR7)),IF(AND(AO7&lt;&gt;".",AP7&lt;&gt;".",AQ7&lt;&gt;".",AR7="."), 1/((1/AO7)+(1/AP7)+(1/AQ7)),IF(AND(AO7&lt;&gt;".",AP7&lt;&gt;".",AQ7=".",AR7&lt;&gt;"."),1/((1/AO7)+(1/AP7)+(1/AR7)),IF(AND(AO7&lt;&gt;".",AP7=".",AQ7&lt;&gt;".",AR7&lt;&gt;"."),1/((1/AO7)+(1/AQ7)+(1/AR7)),IF(AND(AO7=".",AP7&lt;&gt;".",AQ7&lt;&gt;".",AR7&lt;&gt;"."),1/((1/AP7)+(1/AQ7)+(1/AR7)),IF(AND(AO7&lt;&gt;".",AP7&lt;&gt;".",AQ7=".",AR7="."),1/((1/AO7)+(1/AP7)),IF(AND(AO7&lt;&gt;".",AP7=".",AQ7&lt;&gt;".",AR7="."),1/((1/AO7)+(1/AQ7)),IF(AND(AO7&lt;&gt;".",AP7=".",AQ7=".",AR7&lt;&gt;"."),1/((1/AO7)+(1/AR7)),IF(AND(AO7=".",AP7=".",AQ7&lt;&gt;".",AR7&lt;&gt;"."),1/((1/AQ7)+(1/AR7)),IF(AND(AO7=".",AP7&lt;&gt;".",AQ7=".",AR7&lt;&gt;"."),1/((1/AP7)+(1/AR7)),IF(AND(AO7=".",AP7&lt;&gt;".",AQ7&lt;&gt;".",AR7="."),1/((1/AP7)+(1/AQ7)),IF(AND(AO7&lt;&gt;".",AP7=".",AQ7=".",AR7="."),1/((1/AO7)),IF(AND(AO7=".",AP7&lt;&gt;".",AQ7=".",AR7="."),1/((1/AP7)),IF(AND(AO7=".",AP7=".",AQ7&lt;&gt;".",AR7="."),1/((1/AQ7)),IF(AND(AO7=".",AP7=".",AQ7=".",AR7&lt;&gt;"."),1/((1/AR7)),IF(AND(AO7=".",AP7=".",AQ7=".",AR7="."),".")))))))))))))))))</f>
        <v>1.7305154169200115E-11</v>
      </c>
      <c r="AT7" s="40">
        <f t="shared" si="4"/>
        <v>2500</v>
      </c>
      <c r="AU7" s="40">
        <f t="shared" si="5"/>
        <v>455.72916666666663</v>
      </c>
      <c r="AV7" s="40">
        <f t="shared" si="6"/>
        <v>0.22831050228310501</v>
      </c>
      <c r="AW7" s="40">
        <f>up_b2w!AB7</f>
        <v>55286.023705663516</v>
      </c>
      <c r="AX7" s="18"/>
      <c r="AY7" s="18"/>
      <c r="AZ7" s="18"/>
      <c r="BA7" s="18"/>
      <c r="BB7" s="18"/>
      <c r="BC7" s="15">
        <f>IFERROR(s_TR/(up_RadSpec!E7*s_EF_res*s_ED_res*s_IRF_res*0.001*s_CF_res_fish),".")</f>
        <v>7.2727272727272723E-11</v>
      </c>
      <c r="BD7" s="40">
        <f t="shared" si="7"/>
        <v>13750</v>
      </c>
      <c r="BE7" s="18"/>
    </row>
    <row r="8" spans="1:57" x14ac:dyDescent="0.25">
      <c r="A8" s="44" t="s">
        <v>18</v>
      </c>
      <c r="B8" s="42" t="s">
        <v>1074</v>
      </c>
      <c r="C8" s="15">
        <f>IFERROR(((s_TR/(up_RadSpec!D8*s_IFS_res_adj*(1/1000)))*1),".")</f>
        <v>3.6363636363636363E-8</v>
      </c>
      <c r="D8" s="15">
        <f>IFERROR(IF(A8="H-3",(s_TR/((up_RadSpec!G8*s_IFA_res_adj*(1/17)*1000))*1),(s_TR/((up_RadSpec!G8*s_IFA_res_adj*(1/s_PEF_wind)*1000))*1)),".")</f>
        <v>3.3989909629864073E-4</v>
      </c>
      <c r="E8" s="15">
        <f>IFERROR((s_TR/(up_RadSpec!F8*s_EF_res*(1/365)*s_ED_res*up_RadSpec!Q8*((s_ET_res_o*(1/24)*up_RadSpec!V8)+(s_ET_res_i*(1/24)*up_RadSpec!AA8))))*1,".")</f>
        <v>3.2265193370165763E-5</v>
      </c>
      <c r="F8" s="15">
        <f>up_b2s!C8</f>
        <v>3.6265718922545492E-12</v>
      </c>
      <c r="G8" s="15">
        <f>up_dir!C8</f>
        <v>1.8181818181818181E-11</v>
      </c>
      <c r="H8" s="15">
        <f t="shared" si="8"/>
        <v>3.6262098014426668E-12</v>
      </c>
      <c r="I8" s="40">
        <f t="shared" si="0"/>
        <v>27.5</v>
      </c>
      <c r="J8" s="40">
        <f t="shared" si="1"/>
        <v>2.9420495991003873E-3</v>
      </c>
      <c r="K8" s="40">
        <f>IFERROR((s_C*s_EF_res*(1/365)*s_ED_res*up_RadSpec!Q8*((s_ET_res_o*(1/24)*up_RadSpec!V8)+(s_ET_res_i*(1/24)*up_RadSpec!AA8))),".")</f>
        <v>3.0993150684931491E-2</v>
      </c>
      <c r="L8" s="40">
        <f>up_b2s!AB8</f>
        <v>275742.5</v>
      </c>
      <c r="M8" s="18"/>
      <c r="N8" s="18"/>
      <c r="O8" s="18"/>
      <c r="P8" s="18"/>
      <c r="Q8" s="18"/>
      <c r="R8" s="15">
        <f>IFERROR((s_TR/(up_RadSpec!F8*s_EF_res*(1/365)*s_ED_res*up_RadSpec!Q8*((s_ET_res_o*(1/24)*up_RadSpec!V8)+(s_ET_res_i*(1/24)*up_RadSpec!AA8))))*1,".")</f>
        <v>3.2265193370165763E-5</v>
      </c>
      <c r="S8" s="15">
        <f>IFERROR((s_TR/(up_RadSpec!M8*s_EF_res*(1/365)*s_ED_res*up_RadSpec!R8*((s_ET_res_o*(1/24)*up_RadSpec!W8)+(s_ET_res_i*(1/24)*up_RadSpec!AB8))))*1,".")</f>
        <v>5.9229208924949279E-5</v>
      </c>
      <c r="T8" s="15">
        <f>IFERROR((s_TR/(up_RadSpec!N8*s_EF_res*(1/365)*s_ED_res*up_RadSpec!S8*((s_ET_res_o*(1/24)*up_RadSpec!X8)+(s_ET_res_i*(1/24)*up_RadSpec!AC8))))*1,".")</f>
        <v>4.3231810490693751E-5</v>
      </c>
      <c r="U8" s="15">
        <f>IFERROR((s_TR/(up_RadSpec!O8*s_EF_res*(1/365)*s_ED_res*up_RadSpec!T8*((s_ET_res_o*(1/24)*up_RadSpec!Y8)+(s_ET_res_i*(1/24)*up_RadSpec!AD8))))*1,".")</f>
        <v>3.9636746008985771E-5</v>
      </c>
      <c r="V8" s="15">
        <f>IFERROR((s_TR/(up_RadSpec!K8*s_EF_res*(1/365)*s_ED_res*up_RadSpec!P8*((s_ET_res_o*(1/24)*up_RadSpec!U8)+(s_ET_res_i*(1/24)*up_RadSpec!Z8))))*1,".")</f>
        <v>1.0974496644295302E-4</v>
      </c>
      <c r="W8" s="40">
        <f>IFERROR((s_C*s_EF_res*(1/365)*s_ED_res*up_RadSpec!Q8*((s_ET_res_o*(1/24)*up_RadSpec!V8)+(s_ET_res_i*(1/24)*up_RadSpec!AA8))),".")</f>
        <v>3.0993150684931491E-2</v>
      </c>
      <c r="X8" s="40">
        <f>IFERROR((s_C*s_EF_res*(1/365)*s_ED_res*up_RadSpec!R8*((s_ET_res_o*(1/24)*up_RadSpec!W8)+(s_ET_res_i*(1/24)*up_RadSpec!AB8))),".")</f>
        <v>1.6883561643835619E-2</v>
      </c>
      <c r="Y8" s="40">
        <f>IFERROR((s_C*s_EF_res*(1/365)*s_ED_res*up_RadSpec!S8*((s_ET_res_o*(1/24)*up_RadSpec!X8)+(s_ET_res_i*(1/24)*up_RadSpec!AC8))),".")</f>
        <v>2.3131115459882577E-2</v>
      </c>
      <c r="Z8" s="40">
        <f>IFERROR((s_C*s_EF_res*(1/365)*s_ED_res*up_RadSpec!T8*((s_ET_res_o*(1/24)*up_RadSpec!Y8)+(s_ET_res_i*(1/24)*up_RadSpec!AD8))),".")</f>
        <v>2.5229114412502401E-2</v>
      </c>
      <c r="AA8" s="40">
        <f>IFERROR((s_C*s_EF_res*(1/365)*s_ED_res*up_RadSpec!P8*((s_ET_res_o*(1/24)*up_RadSpec!U8)+(s_ET_res_i*(1/24)*up_RadSpec!Z8))),".")</f>
        <v>9.1120352250489232E-3</v>
      </c>
      <c r="AB8" s="18"/>
      <c r="AC8" s="18"/>
      <c r="AD8" s="18"/>
      <c r="AE8" s="18"/>
      <c r="AF8" s="18"/>
      <c r="AG8" s="15">
        <f>IFERROR((s_TR/(up_RadSpec!G8*s_IFA_res_adj)),".")</f>
        <v>1.0971428571428573E-9</v>
      </c>
      <c r="AH8" s="15">
        <f>IFERROR((s_TR/(up_RadSpec!J8*s_EF_res*(1/365)*s_ED_res*s_ET_res*(1/24)*s_GSF_a)),".")</f>
        <v>1.7520000000000001E-6</v>
      </c>
      <c r="AI8" s="15">
        <f t="shared" si="9"/>
        <v>1.0964562309317064E-9</v>
      </c>
      <c r="AJ8" s="40">
        <f t="shared" si="2"/>
        <v>911.45833333333326</v>
      </c>
      <c r="AK8" s="40">
        <f t="shared" si="3"/>
        <v>0.57077625570776247</v>
      </c>
      <c r="AL8" s="18"/>
      <c r="AM8" s="18"/>
      <c r="AN8" s="18"/>
      <c r="AO8" s="15">
        <f>IFERROR((s_TR/(up_RadSpec!H8*s_IFW_res_adj)),".")</f>
        <v>3.9999999999999996E-10</v>
      </c>
      <c r="AP8" s="15" t="str">
        <f>IFERROR(IF(up_RadSpec!C8=1,(s_TR/(up_RadSpec!G8*s_IFA_res_adj*s_K)),"."),".")</f>
        <v>.</v>
      </c>
      <c r="AQ8" s="15">
        <f>IFERROR((s_TR/(up_RadSpec!L8*(1/8760)*s_DFA_res_adj)),".")</f>
        <v>4.3800000000000004E-6</v>
      </c>
      <c r="AR8" s="15">
        <f>up_b2w!C8</f>
        <v>1.8087754064641833E-11</v>
      </c>
      <c r="AS8" s="15">
        <f t="shared" ref="AS8:AS9" si="11">(IF(AND(AO8&lt;&gt;".",AP8&lt;&gt;".",AQ8&lt;&gt;".",AR8&lt;&gt;"."),1/((1/AO8)+(1/AP8)+(1/AQ8)+(1/AR8)),IF(AND(AO8&lt;&gt;".",AP8&lt;&gt;".",AQ8&lt;&gt;".",AR8="."), 1/((1/AO8)+(1/AP8)+(1/AQ8)),IF(AND(AO8&lt;&gt;".",AP8&lt;&gt;".",AQ8=".",AR8&lt;&gt;"."),1/((1/AO8)+(1/AP8)+(1/AR8)),IF(AND(AO8&lt;&gt;".",AP8=".",AQ8&lt;&gt;".",AR8&lt;&gt;"."),1/((1/AO8)+(1/AQ8)+(1/AR8)),IF(AND(AO8=".",AP8&lt;&gt;".",AQ8&lt;&gt;".",AR8&lt;&gt;"."),1/((1/AP8)+(1/AQ8)+(1/AR8)),IF(AND(AO8&lt;&gt;".",AP8&lt;&gt;".",AQ8=".",AR8="."),1/((1/AO8)+(1/AP8)),IF(AND(AO8&lt;&gt;".",AP8=".",AQ8&lt;&gt;".",AR8="."),1/((1/AO8)+(1/AQ8)),IF(AND(AO8&lt;&gt;".",AP8=".",AQ8=".",AR8&lt;&gt;"."),1/((1/AO8)+(1/AR8)),IF(AND(AO8=".",AP8=".",AQ8&lt;&gt;".",AR8&lt;&gt;"."),1/((1/AQ8)+(1/AR8)),IF(AND(AO8=".",AP8&lt;&gt;".",AQ8=".",AR8&lt;&gt;"."),1/((1/AP8)+(1/AR8)),IF(AND(AO8=".",AP8&lt;&gt;".",AQ8&lt;&gt;".",AR8="."),1/((1/AP8)+(1/AQ8)),IF(AND(AO8&lt;&gt;".",AP8=".",AQ8=".",AR8="."),1/((1/AO8)),IF(AND(AO8=".",AP8&lt;&gt;".",AQ8=".",AR8="."),1/((1/AP8)),IF(AND(AO8=".",AP8=".",AQ8&lt;&gt;".",AR8="."),1/((1/AQ8)),IF(AND(AO8=".",AP8=".",AQ8=".",AR8&lt;&gt;"."),1/((1/AR8)),IF(AND(AO8=".",AP8=".",AQ8=".",AR8="."),".")))))))))))))))))</f>
        <v>1.7305154169200115E-11</v>
      </c>
      <c r="AT8" s="40">
        <f t="shared" si="4"/>
        <v>2500</v>
      </c>
      <c r="AU8" s="40">
        <f t="shared" si="5"/>
        <v>455.72916666666663</v>
      </c>
      <c r="AV8" s="40">
        <f t="shared" si="6"/>
        <v>0.22831050228310501</v>
      </c>
      <c r="AW8" s="40">
        <f>up_b2w!AB8</f>
        <v>55286.023705663516</v>
      </c>
      <c r="AX8" s="18"/>
      <c r="AY8" s="18"/>
      <c r="AZ8" s="18"/>
      <c r="BA8" s="18"/>
      <c r="BB8" s="18"/>
      <c r="BC8" s="15">
        <f>IFERROR(s_TR/(up_RadSpec!E8*s_EF_res*s_ED_res*s_IRF_res*0.001*s_CF_res_fish),".")</f>
        <v>7.2727272727272723E-11</v>
      </c>
      <c r="BD8" s="40">
        <f t="shared" si="7"/>
        <v>13750</v>
      </c>
      <c r="BE8" s="18"/>
    </row>
    <row r="9" spans="1:57" x14ac:dyDescent="0.25">
      <c r="A9" s="44" t="s">
        <v>19</v>
      </c>
      <c r="B9" s="42" t="s">
        <v>1074</v>
      </c>
      <c r="C9" s="15">
        <f>IFERROR(((s_TR/(up_RadSpec!D9*s_IFS_res_adj*(1/1000)))*1),".")</f>
        <v>3.6363636363636363E-8</v>
      </c>
      <c r="D9" s="15">
        <f>IFERROR(IF(A9="H-3",(s_TR/((up_RadSpec!G9*s_IFA_res_adj*(1/17)*1000))*1),(s_TR/((up_RadSpec!G9*s_IFA_res_adj*(1/s_PEF_wind)*1000))*1)),".")</f>
        <v>3.3989909629864073E-4</v>
      </c>
      <c r="E9" s="15">
        <f>IFERROR((s_TR/(up_RadSpec!F9*s_EF_res*(1/365)*s_ED_res*up_RadSpec!Q9*((s_ET_res_o*(1/24)*up_RadSpec!V9)+(s_ET_res_i*(1/24)*up_RadSpec!AA9))))*1,".")</f>
        <v>1.5890221908570528E-5</v>
      </c>
      <c r="F9" s="15">
        <f>up_b2s!C9</f>
        <v>3.6265718922545492E-12</v>
      </c>
      <c r="G9" s="15">
        <f>up_dir!C9</f>
        <v>1.8181818181818181E-11</v>
      </c>
      <c r="H9" s="15">
        <f t="shared" si="8"/>
        <v>3.6262093814689403E-12</v>
      </c>
      <c r="I9" s="40">
        <f t="shared" si="0"/>
        <v>27.5</v>
      </c>
      <c r="J9" s="40">
        <f t="shared" si="1"/>
        <v>2.9420495991003873E-3</v>
      </c>
      <c r="K9" s="40">
        <f>IFERROR((s_C*s_EF_res*(1/365)*s_ED_res*up_RadSpec!Q9*((s_ET_res_o*(1/24)*up_RadSpec!V9)+(s_ET_res_i*(1/24)*up_RadSpec!AA9))),".")</f>
        <v>6.2931783190557047E-2</v>
      </c>
      <c r="L9" s="40">
        <f>up_b2s!AB9</f>
        <v>275742.5</v>
      </c>
      <c r="M9" s="18"/>
      <c r="N9" s="18"/>
      <c r="O9" s="18"/>
      <c r="P9" s="18"/>
      <c r="Q9" s="18"/>
      <c r="R9" s="15">
        <f>IFERROR((s_TR/(up_RadSpec!F9*s_EF_res*(1/365)*s_ED_res*up_RadSpec!Q9*((s_ET_res_o*(1/24)*up_RadSpec!V9)+(s_ET_res_i*(1/24)*up_RadSpec!AA9))))*1,".")</f>
        <v>1.5890221908570528E-5</v>
      </c>
      <c r="S9" s="15">
        <f>IFERROR((s_TR/(up_RadSpec!M9*s_EF_res*(1/365)*s_ED_res*up_RadSpec!R9*((s_ET_res_o*(1/24)*up_RadSpec!W9)+(s_ET_res_i*(1/24)*up_RadSpec!AB9))))*1,".")</f>
        <v>3.254583333333335E-5</v>
      </c>
      <c r="T9" s="15">
        <f>IFERROR((s_TR/(up_RadSpec!N9*s_EF_res*(1/365)*s_ED_res*up_RadSpec!S9*((s_ET_res_o*(1/24)*up_RadSpec!X9)+(s_ET_res_i*(1/24)*up_RadSpec!AC9))))*1,".")</f>
        <v>2.2899885203310994E-5</v>
      </c>
      <c r="U9" s="15">
        <f>IFERROR((s_TR/(up_RadSpec!O9*s_EF_res*(1/365)*s_ED_res*up_RadSpec!T9*((s_ET_res_o*(1/24)*up_RadSpec!Y9)+(s_ET_res_i*(1/24)*up_RadSpec!AD9))))*1,".")</f>
        <v>1.8876767676767678E-5</v>
      </c>
      <c r="V9" s="15">
        <f>IFERROR((s_TR/(up_RadSpec!K9*s_EF_res*(1/365)*s_ED_res*up_RadSpec!P9*((s_ET_res_o*(1/24)*up_RadSpec!U9)+(s_ET_res_i*(1/24)*up_RadSpec!Z9))))*1,".")</f>
        <v>5.7647766943541612E-5</v>
      </c>
      <c r="W9" s="40">
        <f>IFERROR((s_C*s_EF_res*(1/365)*s_ED_res*up_RadSpec!Q9*((s_ET_res_o*(1/24)*up_RadSpec!V9)+(s_ET_res_i*(1/24)*up_RadSpec!AA9))),".")</f>
        <v>6.2931783190557047E-2</v>
      </c>
      <c r="X9" s="40">
        <f>IFERROR((s_C*s_EF_res*(1/365)*s_ED_res*up_RadSpec!R9*((s_ET_res_o*(1/24)*up_RadSpec!W9)+(s_ET_res_i*(1/24)*up_RadSpec!AB9))),".")</f>
        <v>3.0725899372679537E-2</v>
      </c>
      <c r="Y9" s="40">
        <f>IFERROR((s_C*s_EF_res*(1/365)*s_ED_res*up_RadSpec!S9*((s_ET_res_o*(1/24)*up_RadSpec!X9)+(s_ET_res_i*(1/24)*up_RadSpec!AC9))),".")</f>
        <v>4.3668341178208801E-2</v>
      </c>
      <c r="Z9" s="40">
        <f>IFERROR((s_C*s_EF_res*(1/365)*s_ED_res*up_RadSpec!T9*((s_ET_res_o*(1/24)*up_RadSpec!Y9)+(s_ET_res_i*(1/24)*up_RadSpec!AD9))),".")</f>
        <v>5.2975171232876705E-2</v>
      </c>
      <c r="AA9" s="40">
        <f>IFERROR((s_C*s_EF_res*(1/365)*s_ED_res*up_RadSpec!P9*((s_ET_res_o*(1/24)*up_RadSpec!U9)+(s_ET_res_i*(1/24)*up_RadSpec!Z9))),".")</f>
        <v>1.7346725693284323E-2</v>
      </c>
      <c r="AB9" s="18"/>
      <c r="AC9" s="18"/>
      <c r="AD9" s="18"/>
      <c r="AE9" s="18"/>
      <c r="AF9" s="18"/>
      <c r="AG9" s="15">
        <f>IFERROR((s_TR/(up_RadSpec!G9*s_IFA_res_adj)),".")</f>
        <v>1.0971428571428573E-9</v>
      </c>
      <c r="AH9" s="15">
        <f>IFERROR((s_TR/(up_RadSpec!J9*s_EF_res*(1/365)*s_ED_res*s_ET_res*(1/24)*s_GSF_a)),".")</f>
        <v>1.7520000000000001E-6</v>
      </c>
      <c r="AI9" s="15">
        <f t="shared" si="9"/>
        <v>1.0964562309317064E-9</v>
      </c>
      <c r="AJ9" s="40">
        <f t="shared" si="2"/>
        <v>911.45833333333326</v>
      </c>
      <c r="AK9" s="40">
        <f t="shared" si="3"/>
        <v>0.57077625570776247</v>
      </c>
      <c r="AL9" s="18"/>
      <c r="AM9" s="18"/>
      <c r="AN9" s="18"/>
      <c r="AO9" s="15">
        <f>IFERROR((s_TR/(up_RadSpec!H9*s_IFW_res_adj)),".")</f>
        <v>3.9999999999999996E-10</v>
      </c>
      <c r="AP9" s="15" t="str">
        <f>IFERROR(IF(up_RadSpec!C9=1,(s_TR/(up_RadSpec!G9*s_IFA_res_adj*s_K)),"."),".")</f>
        <v>.</v>
      </c>
      <c r="AQ9" s="15">
        <f>IFERROR((s_TR/(up_RadSpec!L9*(1/8760)*s_DFA_res_adj)),".")</f>
        <v>4.3800000000000004E-6</v>
      </c>
      <c r="AR9" s="15">
        <f>up_b2w!C9</f>
        <v>1.8087754064641833E-11</v>
      </c>
      <c r="AS9" s="15">
        <f t="shared" si="11"/>
        <v>1.7305154169200115E-11</v>
      </c>
      <c r="AT9" s="40">
        <f t="shared" si="4"/>
        <v>2500</v>
      </c>
      <c r="AU9" s="40">
        <f t="shared" si="5"/>
        <v>455.72916666666663</v>
      </c>
      <c r="AV9" s="40">
        <f t="shared" si="6"/>
        <v>0.22831050228310501</v>
      </c>
      <c r="AW9" s="40">
        <f>up_b2w!AB9</f>
        <v>55286.023705663516</v>
      </c>
      <c r="AX9" s="18"/>
      <c r="AY9" s="18"/>
      <c r="AZ9" s="18"/>
      <c r="BA9" s="18"/>
      <c r="BB9" s="18"/>
      <c r="BC9" s="15">
        <f>IFERROR(s_TR/(up_RadSpec!E9*s_EF_res*s_ED_res*s_IRF_res*0.001*s_CF_res_fish),".")</f>
        <v>7.2727272727272723E-11</v>
      </c>
      <c r="BD9" s="40">
        <f t="shared" si="7"/>
        <v>13750</v>
      </c>
      <c r="BE9" s="18"/>
    </row>
    <row r="10" spans="1:57" x14ac:dyDescent="0.25">
      <c r="A10" s="46" t="s">
        <v>20</v>
      </c>
      <c r="B10" s="42" t="s">
        <v>351</v>
      </c>
      <c r="C10" s="15">
        <f>IFERROR(((s_TR/(up_RadSpec!D10*s_IFS_res_adj*(1/1000)))*1),".")</f>
        <v>3.6363636363636363E-8</v>
      </c>
      <c r="D10" s="15">
        <f>IFERROR(IF(A10="H-3",(s_TR/((up_RadSpec!G10*s_IFA_res_adj*(1/17)*1000))*1),(s_TR/((up_RadSpec!G10*s_IFA_res_adj*(1/s_PEF_wind)*1000))*1)),".")</f>
        <v>3.3989909629864073E-4</v>
      </c>
      <c r="E10" s="15">
        <f>IFERROR((s_TR/(up_RadSpec!F10*s_EF_res*(1/365)*s_ED_res*up_RadSpec!Q10*((s_ET_res_o*(1/24)*up_RadSpec!V10)+(s_ET_res_i*(1/24)*up_RadSpec!AA10))))*1,".")</f>
        <v>3.0405079365079366E-5</v>
      </c>
      <c r="F10" s="15">
        <f>up_b2s!C10</f>
        <v>3.6265718922545492E-12</v>
      </c>
      <c r="G10" s="15">
        <f>up_dir!C10</f>
        <v>1.8181818181818181E-11</v>
      </c>
      <c r="H10" s="15">
        <f t="shared" si="8"/>
        <v>3.6262097765102141E-12</v>
      </c>
      <c r="I10" s="40">
        <f t="shared" si="0"/>
        <v>27.5</v>
      </c>
      <c r="J10" s="40">
        <f t="shared" si="1"/>
        <v>2.9420495991003873E-3</v>
      </c>
      <c r="K10" s="40">
        <f>IFERROR((s_C*s_EF_res*(1/365)*s_ED_res*up_RadSpec!Q10*((s_ET_res_o*(1/24)*up_RadSpec!V10)+(s_ET_res_i*(1/24)*up_RadSpec!AA10))),".")</f>
        <v>3.2889241563648509E-2</v>
      </c>
      <c r="L10" s="40">
        <f>up_b2s!AB10</f>
        <v>275742.5</v>
      </c>
      <c r="M10" s="18"/>
      <c r="N10" s="18"/>
      <c r="O10" s="18"/>
      <c r="P10" s="18"/>
      <c r="Q10" s="18"/>
      <c r="R10" s="15">
        <f>IFERROR((s_TR/(up_RadSpec!F10*s_EF_res*(1/365)*s_ED_res*up_RadSpec!Q10*((s_ET_res_o*(1/24)*up_RadSpec!V10)+(s_ET_res_i*(1/24)*up_RadSpec!AA10))))*1,".")</f>
        <v>3.0405079365079366E-5</v>
      </c>
      <c r="S10" s="15">
        <f>IFERROR((s_TR/(up_RadSpec!M10*s_EF_res*(1/365)*s_ED_res*up_RadSpec!R10*((s_ET_res_o*(1/24)*up_RadSpec!W10)+(s_ET_res_i*(1/24)*up_RadSpec!AB10))))*1,".")</f>
        <v>4.7379188712522031E-5</v>
      </c>
      <c r="T10" s="15">
        <f>IFERROR((s_TR/(up_RadSpec!N10*s_EF_res*(1/365)*s_ED_res*up_RadSpec!S10*((s_ET_res_o*(1/24)*up_RadSpec!X10)+(s_ET_res_i*(1/24)*up_RadSpec!AC10))))*1,".")</f>
        <v>3.3834939976908852E-5</v>
      </c>
      <c r="U10" s="15">
        <f>IFERROR((s_TR/(up_RadSpec!O10*s_EF_res*(1/365)*s_ED_res*up_RadSpec!T10*((s_ET_res_o*(1/24)*up_RadSpec!Y10)+(s_ET_res_i*(1/24)*up_RadSpec!AD10))))*1,".")</f>
        <v>3.0946006247211066E-5</v>
      </c>
      <c r="V10" s="15">
        <f>IFERROR((s_TR/(up_RadSpec!K10*s_EF_res*(1/365)*s_ED_res*up_RadSpec!P10*((s_ET_res_o*(1/24)*up_RadSpec!U10)+(s_ET_res_i*(1/24)*up_RadSpec!Z10))))*1,".")</f>
        <v>7.9648374377868286E-5</v>
      </c>
      <c r="W10" s="40">
        <f>IFERROR((s_C*s_EF_res*(1/365)*s_ED_res*up_RadSpec!Q10*((s_ET_res_o*(1/24)*up_RadSpec!V10)+(s_ET_res_i*(1/24)*up_RadSpec!AA10))),".")</f>
        <v>3.2889241563648509E-2</v>
      </c>
      <c r="X10" s="40">
        <f>IFERROR((s_C*s_EF_res*(1/365)*s_ED_res*up_RadSpec!R10*((s_ET_res_o*(1/24)*up_RadSpec!W10)+(s_ET_res_i*(1/24)*up_RadSpec!AB10))),".")</f>
        <v>2.1106313281715312E-2</v>
      </c>
      <c r="Y10" s="40">
        <f>IFERROR((s_C*s_EF_res*(1/365)*s_ED_res*up_RadSpec!S10*((s_ET_res_o*(1/24)*up_RadSpec!X10)+(s_ET_res_i*(1/24)*up_RadSpec!AC10))),".")</f>
        <v>2.9555246756236733E-2</v>
      </c>
      <c r="Z10" s="40">
        <f>IFERROR((s_C*s_EF_res*(1/365)*s_ED_res*up_RadSpec!T10*((s_ET_res_o*(1/24)*up_RadSpec!Y10)+(s_ET_res_i*(1/24)*up_RadSpec!AD10))),".")</f>
        <v>3.2314347512617157E-2</v>
      </c>
      <c r="AA10" s="40">
        <f>IFERROR((s_C*s_EF_res*(1/365)*s_ED_res*up_RadSpec!P10*((s_ET_res_o*(1/24)*up_RadSpec!U10)+(s_ET_res_i*(1/24)*up_RadSpec!Z10))),".")</f>
        <v>1.2555184055054206E-2</v>
      </c>
      <c r="AB10" s="18"/>
      <c r="AC10" s="18"/>
      <c r="AD10" s="18"/>
      <c r="AE10" s="18"/>
      <c r="AF10" s="18"/>
      <c r="AG10" s="15">
        <f>IFERROR((s_TR/(up_RadSpec!G10*s_IFA_res_adj)),".")</f>
        <v>1.0971428571428573E-9</v>
      </c>
      <c r="AH10" s="15">
        <f>IFERROR((s_TR/(up_RadSpec!J10*s_EF_res*(1/365)*s_ED_res*s_ET_res*(1/24)*s_GSF_a)),".")</f>
        <v>1.7520000000000001E-6</v>
      </c>
      <c r="AI10" s="15">
        <f t="shared" si="9"/>
        <v>1.0964562309317064E-9</v>
      </c>
      <c r="AJ10" s="40">
        <f t="shared" si="2"/>
        <v>911.45833333333326</v>
      </c>
      <c r="AK10" s="40">
        <f t="shared" si="3"/>
        <v>0.57077625570776247</v>
      </c>
      <c r="AL10" s="18"/>
      <c r="AM10" s="18"/>
      <c r="AN10" s="18"/>
      <c r="AO10" s="15">
        <f>IFERROR((s_TR/(up_RadSpec!H10*s_IFW_res_adj)),".")</f>
        <v>3.9999999999999996E-10</v>
      </c>
      <c r="AP10" s="15" t="str">
        <f>IFERROR(IF(up_RadSpec!C10=1,(s_TR/(up_RadSpec!G10*s_IFA_res_adj*s_K)),"."),".")</f>
        <v>.</v>
      </c>
      <c r="AQ10" s="15">
        <f>IFERROR((s_TR/(up_RadSpec!L10*(1/8760)*s_DFA_res_adj)),".")</f>
        <v>4.3800000000000004E-6</v>
      </c>
      <c r="AR10" s="15">
        <f>up_b2w!C10</f>
        <v>1.8087754064641833E-11</v>
      </c>
      <c r="AS10" s="15">
        <f>(IF(AND(AO10&lt;&gt;".",AP10&lt;&gt;".",AQ10&lt;&gt;".",AR10&lt;&gt;"."),1/((1/AO10)+(1/AP10)+(1/AQ10)+(1/AR10)),IF(AND(AO10&lt;&gt;".",AP10&lt;&gt;".",AQ10&lt;&gt;".",AR10="."), 1/((1/AO10)+(1/AP10)+(1/AQ10)),IF(AND(AO10&lt;&gt;".",AP10&lt;&gt;".",AQ10=".",AR10&lt;&gt;"."),1/((1/AO10)+(1/AP10)+(1/AR10)),IF(AND(AO10&lt;&gt;".",AP10=".",AQ10&lt;&gt;".",AR10&lt;&gt;"."),1/((1/AO10)+(1/AQ10)+(1/AR10)),IF(AND(AO10=".",AP10&lt;&gt;".",AQ10&lt;&gt;".",AR10&lt;&gt;"."),1/((1/AP10)+(1/AQ10)+(1/AR10)),IF(AND(AO10&lt;&gt;".",AP10&lt;&gt;".",AQ10=".",AR10="."),1/((1/AO10)+(1/AP10)),IF(AND(AO10&lt;&gt;".",AP10=".",AQ10&lt;&gt;".",AR10="."),1/((1/AO10)+(1/AQ10)),IF(AND(AO10&lt;&gt;".",AP10=".",AQ10=".",AR10&lt;&gt;"."),1/((1/AO10)+(1/AR10)),IF(AND(AO10=".",AP10=".",AQ10&lt;&gt;".",AR10&lt;&gt;"."),1/((1/AQ10)+(1/AR10)),IF(AND(AO10=".",AP10&lt;&gt;".",AQ10=".",AR10&lt;&gt;"."),1/((1/AP10)+(1/AR10)),IF(AND(AO10=".",AP10&lt;&gt;".",AQ10&lt;&gt;".",AR10="."),1/((1/AP10)+(1/AQ10)),IF(AND(AO10&lt;&gt;".",AP10=".",AQ10=".",AR10="."),1/((1/AO10)),IF(AND(AO10=".",AP10&lt;&gt;".",AQ10=".",AR10="."),1/((1/AP10)),IF(AND(AO10=".",AP10=".",AQ10&lt;&gt;".",AR10="."),1/((1/AQ10)),IF(AND(AO10=".",AP10=".",AQ10=".",AR10&lt;&gt;"."),1/((1/AR10)),IF(AND(AO10=".",AP10=".",AQ10=".",AR10="."),".")))))))))))))))))</f>
        <v>1.7305154169200115E-11</v>
      </c>
      <c r="AT10" s="40">
        <f t="shared" si="4"/>
        <v>2500</v>
      </c>
      <c r="AU10" s="40">
        <f t="shared" si="5"/>
        <v>455.72916666666663</v>
      </c>
      <c r="AV10" s="40">
        <f t="shared" si="6"/>
        <v>0.22831050228310501</v>
      </c>
      <c r="AW10" s="40">
        <f>up_b2w!AB10</f>
        <v>55286.023705663516</v>
      </c>
      <c r="AX10" s="18"/>
      <c r="AY10" s="18"/>
      <c r="AZ10" s="18"/>
      <c r="BA10" s="18"/>
      <c r="BB10" s="18"/>
      <c r="BC10" s="15">
        <f>IFERROR(s_TR/(up_RadSpec!E10*s_EF_res*s_ED_res*s_IRF_res*0.001*s_CF_res_fish),".")</f>
        <v>7.2727272727272723E-11</v>
      </c>
      <c r="BD10" s="40">
        <f t="shared" si="7"/>
        <v>13750</v>
      </c>
      <c r="BE10" s="18"/>
    </row>
    <row r="11" spans="1:57" x14ac:dyDescent="0.25">
      <c r="A11" s="44" t="s">
        <v>21</v>
      </c>
      <c r="B11" s="42" t="s">
        <v>1074</v>
      </c>
      <c r="C11" s="15">
        <f>IFERROR(((s_TR/(up_RadSpec!D11*s_IFS_res_adj*(1/1000)))*1),".")</f>
        <v>3.6363636363636363E-8</v>
      </c>
      <c r="D11" s="15">
        <f>IFERROR(IF(A11="H-3",(s_TR/((up_RadSpec!G11*s_IFA_res_adj*(1/17)*1000))*1),(s_TR/((up_RadSpec!G11*s_IFA_res_adj*(1/s_PEF_wind)*1000))*1)),".")</f>
        <v>3.3989909629864073E-4</v>
      </c>
      <c r="E11" s="15">
        <f>IFERROR((s_TR/(up_RadSpec!F11*s_EF_res*(1/365)*s_ED_res*up_RadSpec!Q11*((s_ET_res_o*(1/24)*up_RadSpec!V11)+(s_ET_res_i*(1/24)*up_RadSpec!AA11))))*1,".")</f>
        <v>9.0915750915750919E-5</v>
      </c>
      <c r="F11" s="15">
        <f>up_b2s!C11</f>
        <v>3.6265718922545492E-12</v>
      </c>
      <c r="G11" s="15">
        <f>up_dir!C11</f>
        <v>1.8181818181818181E-11</v>
      </c>
      <c r="H11" s="15">
        <f>(IF(AND(C11&lt;&gt;".",D11&lt;&gt;".",E11&lt;&gt;".",F11&lt;&gt;"."),1/((1/C11)+(1/D11)+(1/E11)+(1/F11)),IF(AND(C11&lt;&gt;".",D11&lt;&gt;".",E11&lt;&gt;".",F11="."), 1/((1/C11)+(1/D11)+(1/E11)),IF(AND(C11&lt;&gt;".",D11&lt;&gt;".",E11=".",F11&lt;&gt;"."),1/((1/C11)+(1/D11)+(1/F11)),IF(AND(C11&lt;&gt;".",D11=".",E11&lt;&gt;".",F11&lt;&gt;"."),1/((1/C11)+(1/E11)+(1/F11)),IF(AND(C11=".",D11&lt;&gt;".",E11&lt;&gt;".",F11&lt;&gt;"."),1/((1/D11)+(1/E11)+(1/F11)),IF(AND(C11&lt;&gt;".",D11&lt;&gt;".",E11=".",F11="."),1/((1/C11)+(1/D11)),IF(AND(C11&lt;&gt;".",D11=".",E11&lt;&gt;".",F11="."),1/((1/C11)+(1/E11)),IF(AND(C11&lt;&gt;".",D11=".",E11=".",F11&lt;&gt;"."),1/((1/C11)+(1/F11)),IF(AND(C11=".",D11=".",E11&lt;&gt;".",F11&lt;&gt;"."),1/((1/E11)+(1/F11)),IF(AND(C11=".",D11&lt;&gt;".",E11=".",F11&lt;&gt;"."),1/((1/D11)+(1/F11)),IF(AND(C11=".",D11&lt;&gt;".",E11&lt;&gt;".",F11="."),1/((1/D11)+(1/E11)),IF(AND(C11&lt;&gt;".",D11=".",E11=".",F11="."),1/((1/C11)),IF(AND(C11=".",D11&lt;&gt;".",E11=".",F11="."),1/((1/D11)),IF(AND(C11=".",D11=".",E11&lt;&gt;".",F11="."),1/((1/E11)),IF(AND(C11=".",D11=".",E11=".",F11&lt;&gt;"."),1/((1/F11)),IF(AND(C11=".",D11=".",E11=".",F11="."),".")))))))))))))))))</f>
        <v>3.6262100643511678E-12</v>
      </c>
      <c r="I11" s="40">
        <f t="shared" si="0"/>
        <v>27.5</v>
      </c>
      <c r="J11" s="40">
        <f t="shared" si="1"/>
        <v>2.9420495991003873E-3</v>
      </c>
      <c r="K11" s="40">
        <f>IFERROR((s_C*s_EF_res*(1/365)*s_ED_res*up_RadSpec!Q11*((s_ET_res_o*(1/24)*up_RadSpec!V11)+(s_ET_res_i*(1/24)*up_RadSpec!AA11))),".")</f>
        <v>1.0999194198227235E-2</v>
      </c>
      <c r="L11" s="40">
        <f>up_b2s!AB11</f>
        <v>275742.5</v>
      </c>
      <c r="M11" s="18"/>
      <c r="N11" s="18"/>
      <c r="O11" s="18"/>
      <c r="P11" s="18"/>
      <c r="Q11" s="18"/>
      <c r="R11" s="15">
        <f>IFERROR((s_TR/(up_RadSpec!F11*s_EF_res*(1/365)*s_ED_res*up_RadSpec!Q11*((s_ET_res_o*(1/24)*up_RadSpec!V11)+(s_ET_res_i*(1/24)*up_RadSpec!AA11))))*1,".")</f>
        <v>9.0915750915750919E-5</v>
      </c>
      <c r="S11" s="15">
        <f>IFERROR((s_TR/(up_RadSpec!M11*s_EF_res*(1/365)*s_ED_res*up_RadSpec!R11*((s_ET_res_o*(1/24)*up_RadSpec!W11)+(s_ET_res_i*(1/24)*up_RadSpec!AB11))))*1,".")</f>
        <v>1.1503847337642353E-4</v>
      </c>
      <c r="T11" s="15">
        <f>IFERROR((s_TR/(up_RadSpec!N11*s_EF_res*(1/365)*s_ED_res*up_RadSpec!S11*((s_ET_res_o*(1/24)*up_RadSpec!X11)+(s_ET_res_i*(1/24)*up_RadSpec!AC11))))*1,".")</f>
        <v>8.9280575539568341E-5</v>
      </c>
      <c r="U11" s="15">
        <f>IFERROR((s_TR/(up_RadSpec!O11*s_EF_res*(1/365)*s_ED_res*up_RadSpec!T11*((s_ET_res_o*(1/24)*up_RadSpec!Y11)+(s_ET_res_i*(1/24)*up_RadSpec!AD11))))*1,".")</f>
        <v>8.5044593088071379E-5</v>
      </c>
      <c r="V11" s="15">
        <f>IFERROR((s_TR/(up_RadSpec!K11*s_EF_res*(1/365)*s_ED_res*up_RadSpec!P11*((s_ET_res_o*(1/24)*up_RadSpec!U11)+(s_ET_res_i*(1/24)*up_RadSpec!Z11))))*1,".")</f>
        <v>2.1415816326530613E-4</v>
      </c>
      <c r="W11" s="40">
        <f>IFERROR((s_C*s_EF_res*(1/365)*s_ED_res*up_RadSpec!Q11*((s_ET_res_o*(1/24)*up_RadSpec!V11)+(s_ET_res_i*(1/24)*up_RadSpec!AA11))),".")</f>
        <v>1.0999194198227235E-2</v>
      </c>
      <c r="X11" s="40">
        <f>IFERROR((s_C*s_EF_res*(1/365)*s_ED_res*up_RadSpec!R11*((s_ET_res_o*(1/24)*up_RadSpec!W11)+(s_ET_res_i*(1/24)*up_RadSpec!AB11))),".")</f>
        <v>8.6927440068493133E-3</v>
      </c>
      <c r="Y11" s="40">
        <f>IFERROR((s_C*s_EF_res*(1/365)*s_ED_res*up_RadSpec!S11*((s_ET_res_o*(1/24)*up_RadSpec!X11)+(s_ET_res_i*(1/24)*up_RadSpec!AC11))),".")</f>
        <v>1.1200644641418211E-2</v>
      </c>
      <c r="Z11" s="40">
        <f>IFERROR((s_C*s_EF_res*(1/365)*s_ED_res*up_RadSpec!T11*((s_ET_res_o*(1/24)*up_RadSpec!Y11)+(s_ET_res_i*(1/24)*up_RadSpec!AD11))),".")</f>
        <v>1.1758537064953787E-2</v>
      </c>
      <c r="AA11" s="40">
        <f>IFERROR((s_C*s_EF_res*(1/365)*s_ED_res*up_RadSpec!P11*((s_ET_res_o*(1/24)*up_RadSpec!U11)+(s_ET_res_i*(1/24)*up_RadSpec!Z11))),".")</f>
        <v>4.6694460988683734E-3</v>
      </c>
      <c r="AB11" s="18"/>
      <c r="AC11" s="18"/>
      <c r="AD11" s="18"/>
      <c r="AE11" s="18"/>
      <c r="AF11" s="18"/>
      <c r="AG11" s="15">
        <f>IFERROR((s_TR/(up_RadSpec!G11*s_IFA_res_adj)),".")</f>
        <v>1.0971428571428573E-9</v>
      </c>
      <c r="AH11" s="15">
        <f>IFERROR((s_TR/(up_RadSpec!J11*s_EF_res*(1/365)*s_ED_res*s_ET_res*(1/24)*s_GSF_a)),".")</f>
        <v>1.7520000000000001E-6</v>
      </c>
      <c r="AI11" s="15">
        <f t="shared" si="9"/>
        <v>1.0964562309317064E-9</v>
      </c>
      <c r="AJ11" s="40">
        <f t="shared" si="2"/>
        <v>911.45833333333326</v>
      </c>
      <c r="AK11" s="40">
        <f t="shared" si="3"/>
        <v>0.57077625570776247</v>
      </c>
      <c r="AL11" s="18"/>
      <c r="AM11" s="18"/>
      <c r="AN11" s="18"/>
      <c r="AO11" s="15">
        <f>IFERROR((s_TR/(up_RadSpec!H11*s_IFW_res_adj)),".")</f>
        <v>3.9999999999999996E-10</v>
      </c>
      <c r="AP11" s="15" t="str">
        <f>IFERROR(IF(up_RadSpec!C11=1,(s_TR/(up_RadSpec!G11*s_IFA_res_adj*s_K)),"."),".")</f>
        <v>.</v>
      </c>
      <c r="AQ11" s="15">
        <f>IFERROR((s_TR/(up_RadSpec!L11*(1/8760)*s_DFA_res_adj)),".")</f>
        <v>4.3800000000000004E-6</v>
      </c>
      <c r="AR11" s="15">
        <f>up_b2w!C11</f>
        <v>1.8087754064641833E-11</v>
      </c>
      <c r="AS11" s="15">
        <f>(IF(AND(AO11&lt;&gt;".",AP11&lt;&gt;".",AQ11&lt;&gt;".",AR11&lt;&gt;"."),1/((1/AO11)+(1/AP11)+(1/AQ11)+(1/AR11)),IF(AND(AO11&lt;&gt;".",AP11&lt;&gt;".",AQ11&lt;&gt;".",AR11="."), 1/((1/AO11)+(1/AP11)+(1/AQ11)),IF(AND(AO11&lt;&gt;".",AP11&lt;&gt;".",AQ11=".",AR11&lt;&gt;"."),1/((1/AO11)+(1/AP11)+(1/AR11)),IF(AND(AO11&lt;&gt;".",AP11=".",AQ11&lt;&gt;".",AR11&lt;&gt;"."),1/((1/AO11)+(1/AQ11)+(1/AR11)),IF(AND(AO11=".",AP11&lt;&gt;".",AQ11&lt;&gt;".",AR11&lt;&gt;"."),1/((1/AP11)+(1/AQ11)+(1/AR11)),IF(AND(AO11&lt;&gt;".",AP11&lt;&gt;".",AQ11=".",AR11="."),1/((1/AO11)+(1/AP11)),IF(AND(AO11&lt;&gt;".",AP11=".",AQ11&lt;&gt;".",AR11="."),1/((1/AO11)+(1/AQ11)),IF(AND(AO11&lt;&gt;".",AP11=".",AQ11=".",AR11&lt;&gt;"."),1/((1/AO11)+(1/AR11)),IF(AND(AO11=".",AP11=".",AQ11&lt;&gt;".",AR11&lt;&gt;"."),1/((1/AQ11)+(1/AR11)),IF(AND(AO11=".",AP11&lt;&gt;".",AQ11=".",AR11&lt;&gt;"."),1/((1/AP11)+(1/AR11)),IF(AND(AO11=".",AP11&lt;&gt;".",AQ11&lt;&gt;".",AR11="."),1/((1/AP11)+(1/AQ11)),IF(AND(AO11&lt;&gt;".",AP11=".",AQ11=".",AR11="."),1/((1/AO11)),IF(AND(AO11=".",AP11&lt;&gt;".",AQ11=".",AR11="."),1/((1/AP11)),IF(AND(AO11=".",AP11=".",AQ11&lt;&gt;".",AR11="."),1/((1/AQ11)),IF(AND(AO11=".",AP11=".",AQ11=".",AR11&lt;&gt;"."),1/((1/AR11)),IF(AND(AO11=".",AP11=".",AQ11=".",AR11="."),".")))))))))))))))))</f>
        <v>1.7305154169200115E-11</v>
      </c>
      <c r="AT11" s="40">
        <f t="shared" si="4"/>
        <v>2500</v>
      </c>
      <c r="AU11" s="40">
        <f t="shared" si="5"/>
        <v>455.72916666666663</v>
      </c>
      <c r="AV11" s="40">
        <f t="shared" si="6"/>
        <v>0.22831050228310501</v>
      </c>
      <c r="AW11" s="40">
        <f>up_b2w!AB11</f>
        <v>55286.023705663516</v>
      </c>
      <c r="AX11" s="18"/>
      <c r="AY11" s="18"/>
      <c r="AZ11" s="18"/>
      <c r="BA11" s="18"/>
      <c r="BB11" s="18"/>
      <c r="BC11" s="15">
        <f>IFERROR(s_TR/(up_RadSpec!E11*s_EF_res*s_ED_res*s_IRF_res*0.001*s_CF_res_fish),".")</f>
        <v>7.2727272727272723E-11</v>
      </c>
      <c r="BD11" s="40">
        <f t="shared" si="7"/>
        <v>13750</v>
      </c>
      <c r="BE11" s="18"/>
    </row>
    <row r="12" spans="1:57" x14ac:dyDescent="0.25">
      <c r="A12" s="44" t="s">
        <v>22</v>
      </c>
      <c r="B12" s="42" t="s">
        <v>1074</v>
      </c>
      <c r="C12" s="15">
        <f>IFERROR(((s_TR/(up_RadSpec!D12*s_IFS_res_adj*(1/1000)))*1),".")</f>
        <v>3.6363636363636363E-8</v>
      </c>
      <c r="D12" s="15">
        <f>IFERROR(IF(A12="H-3",(s_TR/((up_RadSpec!G12*s_IFA_res_adj*(1/17)*1000))*1),(s_TR/((up_RadSpec!G12*s_IFA_res_adj*(1/s_PEF_wind)*1000))*1)),".")</f>
        <v>3.3989909629864073E-4</v>
      </c>
      <c r="E12" s="15">
        <f>IFERROR((s_TR/(up_RadSpec!F12*s_EF_res*(1/365)*s_ED_res*up_RadSpec!Q12*((s_ET_res_o*(1/24)*up_RadSpec!V12)+(s_ET_res_i*(1/24)*up_RadSpec!AA12))))*1,".")</f>
        <v>4.3561257861635207E-5</v>
      </c>
      <c r="F12" s="15">
        <f>up_b2s!C12</f>
        <v>3.6265718922545492E-12</v>
      </c>
      <c r="G12" s="15">
        <f>up_dir!C12</f>
        <v>1.8181818181818181E-11</v>
      </c>
      <c r="H12" s="15">
        <f t="shared" ref="H12:H29" si="12">(IF(AND(C12&lt;&gt;".",D12&lt;&gt;".",E12&lt;&gt;".",F12&lt;&gt;"."),1/((1/C12)+(1/D12)+(1/E12)+(1/F12)),IF(AND(C12&lt;&gt;".",D12&lt;&gt;".",E12&lt;&gt;".",F12="."), 1/((1/C12)+(1/D12)+(1/E12)),IF(AND(C12&lt;&gt;".",D12&lt;&gt;".",E12=".",F12&lt;&gt;"."),1/((1/C12)+(1/D12)+(1/F12)),IF(AND(C12&lt;&gt;".",D12=".",E12&lt;&gt;".",F12&lt;&gt;"."),1/((1/C12)+(1/E12)+(1/F12)),IF(AND(C12=".",D12&lt;&gt;".",E12&lt;&gt;".",F12&lt;&gt;"."),1/((1/D12)+(1/E12)+(1/F12)),IF(AND(C12&lt;&gt;".",D12&lt;&gt;".",E12=".",F12="."),1/((1/C12)+(1/D12)),IF(AND(C12&lt;&gt;".",D12=".",E12&lt;&gt;".",F12="."),1/((1/C12)+(1/E12)),IF(AND(C12&lt;&gt;".",D12=".",E12=".",F12&lt;&gt;"."),1/((1/C12)+(1/F12)),IF(AND(C12=".",D12=".",E12&lt;&gt;".",F12&lt;&gt;"."),1/((1/E12)+(1/F12)),IF(AND(C12=".",D12&lt;&gt;".",E12=".",F12&lt;&gt;"."),1/((1/D12)+(1/F12)),IF(AND(C12=".",D12&lt;&gt;".",E12&lt;&gt;".",F12="."),1/((1/D12)+(1/E12)),IF(AND(C12&lt;&gt;".",D12=".",E12=".",F12="."),1/((1/C12)),IF(AND(C12=".",D12&lt;&gt;".",E12=".",F12="."),1/((1/D12)),IF(AND(C12=".",D12=".",E12&lt;&gt;".",F12="."),1/((1/E12)),IF(AND(C12=".",D12=".",E12=".",F12&lt;&gt;"."),1/((1/F12)),IF(AND(C12=".",D12=".",E12=".",F12="."),".")))))))))))))))))</f>
        <v>3.6262099071240152E-12</v>
      </c>
      <c r="I12" s="40">
        <f t="shared" si="0"/>
        <v>27.5</v>
      </c>
      <c r="J12" s="40">
        <f t="shared" si="1"/>
        <v>2.9420495991003873E-3</v>
      </c>
      <c r="K12" s="40">
        <f>IFERROR((s_C*s_EF_res*(1/365)*s_ED_res*up_RadSpec!Q12*((s_ET_res_o*(1/24)*up_RadSpec!V12)+(s_ET_res_i*(1/24)*up_RadSpec!AA12))),".")</f>
        <v>2.2956178243895682E-2</v>
      </c>
      <c r="L12" s="40">
        <f>up_b2s!AB12</f>
        <v>275742.5</v>
      </c>
      <c r="M12" s="18"/>
      <c r="N12" s="18"/>
      <c r="O12" s="18"/>
      <c r="P12" s="18"/>
      <c r="Q12" s="18"/>
      <c r="R12" s="15">
        <f>IFERROR((s_TR/(up_RadSpec!F12*s_EF_res*(1/365)*s_ED_res*up_RadSpec!Q12*((s_ET_res_o*(1/24)*up_RadSpec!V12)+(s_ET_res_i*(1/24)*up_RadSpec!AA12))))*1,".")</f>
        <v>4.3561257861635207E-5</v>
      </c>
      <c r="S12" s="15">
        <f>IFERROR((s_TR/(up_RadSpec!M12*s_EF_res*(1/365)*s_ED_res*up_RadSpec!R12*((s_ET_res_o*(1/24)*up_RadSpec!W12)+(s_ET_res_i*(1/24)*up_RadSpec!AB12))))*1,".")</f>
        <v>7.815169047900186E-5</v>
      </c>
      <c r="T12" s="15">
        <f>IFERROR((s_TR/(up_RadSpec!N12*s_EF_res*(1/365)*s_ED_res*up_RadSpec!S12*((s_ET_res_o*(1/24)*up_RadSpec!X12)+(s_ET_res_i*(1/24)*up_RadSpec!AC12))))*1,".")</f>
        <v>5.6666824442656298E-5</v>
      </c>
      <c r="U12" s="15">
        <f>IFERROR((s_TR/(up_RadSpec!O12*s_EF_res*(1/365)*s_ED_res*up_RadSpec!T12*((s_ET_res_o*(1/24)*up_RadSpec!Y12)+(s_ET_res_i*(1/24)*up_RadSpec!AD12))))*1,".")</f>
        <v>5.0044709388971682E-5</v>
      </c>
      <c r="V12" s="15">
        <f>IFERROR((s_TR/(up_RadSpec!K12*s_EF_res*(1/365)*s_ED_res*up_RadSpec!P12*((s_ET_res_o*(1/24)*up_RadSpec!U12)+(s_ET_res_i*(1/24)*up_RadSpec!Z12))))*1,".")</f>
        <v>1.349092970521542E-4</v>
      </c>
      <c r="W12" s="40">
        <f>IFERROR((s_C*s_EF_res*(1/365)*s_ED_res*up_RadSpec!Q12*((s_ET_res_o*(1/24)*up_RadSpec!V12)+(s_ET_res_i*(1/24)*up_RadSpec!AA12))),".")</f>
        <v>2.2956178243895682E-2</v>
      </c>
      <c r="X12" s="40">
        <f>IFERROR((s_C*s_EF_res*(1/365)*s_ED_res*up_RadSpec!R12*((s_ET_res_o*(1/24)*up_RadSpec!W12)+(s_ET_res_i*(1/24)*up_RadSpec!AB12))),".")</f>
        <v>1.2795628525382753E-2</v>
      </c>
      <c r="Y12" s="40">
        <f>IFERROR((s_C*s_EF_res*(1/365)*s_ED_res*up_RadSpec!S12*((s_ET_res_o*(1/24)*up_RadSpec!X12)+(s_ET_res_i*(1/24)*up_RadSpec!AC12))),".")</f>
        <v>1.7647009689274979E-2</v>
      </c>
      <c r="Z12" s="40">
        <f>IFERROR((s_C*s_EF_res*(1/365)*s_ED_res*up_RadSpec!T12*((s_ET_res_o*(1/24)*up_RadSpec!Y12)+(s_ET_res_i*(1/24)*up_RadSpec!AD12))),".")</f>
        <v>1.9982132221560454E-2</v>
      </c>
      <c r="AA12" s="40">
        <f>IFERROR((s_C*s_EF_res*(1/365)*s_ED_res*up_RadSpec!P12*((s_ET_res_o*(1/24)*up_RadSpec!U12)+(s_ET_res_i*(1/24)*up_RadSpec!Z12))),".")</f>
        <v>7.4123875955962679E-3</v>
      </c>
      <c r="AB12" s="18"/>
      <c r="AC12" s="18"/>
      <c r="AD12" s="18"/>
      <c r="AE12" s="18"/>
      <c r="AF12" s="18"/>
      <c r="AG12" s="15">
        <f>IFERROR((s_TR/(up_RadSpec!G12*s_IFA_res_adj)),".")</f>
        <v>1.0971428571428573E-9</v>
      </c>
      <c r="AH12" s="15">
        <f>IFERROR((s_TR/(up_RadSpec!J12*s_EF_res*(1/365)*s_ED_res*s_ET_res*(1/24)*s_GSF_a)),".")</f>
        <v>1.7520000000000001E-6</v>
      </c>
      <c r="AI12" s="15">
        <f t="shared" si="9"/>
        <v>1.0964562309317064E-9</v>
      </c>
      <c r="AJ12" s="40">
        <f t="shared" si="2"/>
        <v>911.45833333333326</v>
      </c>
      <c r="AK12" s="40">
        <f t="shared" si="3"/>
        <v>0.57077625570776247</v>
      </c>
      <c r="AL12" s="18"/>
      <c r="AM12" s="18"/>
      <c r="AN12" s="18"/>
      <c r="AO12" s="15">
        <f>IFERROR((s_TR/(up_RadSpec!H12*s_IFW_res_adj)),".")</f>
        <v>3.9999999999999996E-10</v>
      </c>
      <c r="AP12" s="15" t="str">
        <f>IFERROR(IF(up_RadSpec!C12=1,(s_TR/(up_RadSpec!G12*s_IFA_res_adj*s_K)),"."),".")</f>
        <v>.</v>
      </c>
      <c r="AQ12" s="15">
        <f>IFERROR((s_TR/(up_RadSpec!L12*(1/8760)*s_DFA_res_adj)),".")</f>
        <v>4.3800000000000004E-6</v>
      </c>
      <c r="AR12" s="15">
        <f>up_b2w!C12</f>
        <v>1.8087754064641833E-11</v>
      </c>
      <c r="AS12" s="15">
        <f>(IF(AND(AO12&lt;&gt;".",AP12&lt;&gt;".",AQ12&lt;&gt;".",AR12&lt;&gt;"."),1/((1/AO12)+(1/AP12)+(1/AQ12)+(1/AR12)),IF(AND(AO12&lt;&gt;".",AP12&lt;&gt;".",AQ12&lt;&gt;".",AR12="."), 1/((1/AO12)+(1/AP12)+(1/AQ12)),IF(AND(AO12&lt;&gt;".",AP12&lt;&gt;".",AQ12=".",AR12&lt;&gt;"."),1/((1/AO12)+(1/AP12)+(1/AR12)),IF(AND(AO12&lt;&gt;".",AP12=".",AQ12&lt;&gt;".",AR12&lt;&gt;"."),1/((1/AO12)+(1/AQ12)+(1/AR12)),IF(AND(AO12=".",AP12&lt;&gt;".",AQ12&lt;&gt;".",AR12&lt;&gt;"."),1/((1/AP12)+(1/AQ12)+(1/AR12)),IF(AND(AO12&lt;&gt;".",AP12&lt;&gt;".",AQ12=".",AR12="."),1/((1/AO12)+(1/AP12)),IF(AND(AO12&lt;&gt;".",AP12=".",AQ12&lt;&gt;".",AR12="."),1/((1/AO12)+(1/AQ12)),IF(AND(AO12&lt;&gt;".",AP12=".",AQ12=".",AR12&lt;&gt;"."),1/((1/AO12)+(1/AR12)),IF(AND(AO12=".",AP12=".",AQ12&lt;&gt;".",AR12&lt;&gt;"."),1/((1/AQ12)+(1/AR12)),IF(AND(AO12=".",AP12&lt;&gt;".",AQ12=".",AR12&lt;&gt;"."),1/((1/AP12)+(1/AR12)),IF(AND(AO12=".",AP12&lt;&gt;".",AQ12&lt;&gt;".",AR12="."),1/((1/AP12)+(1/AQ12)),IF(AND(AO12&lt;&gt;".",AP12=".",AQ12=".",AR12="."),1/((1/AO12)),IF(AND(AO12=".",AP12&lt;&gt;".",AQ12=".",AR12="."),1/((1/AP12)),IF(AND(AO12=".",AP12=".",AQ12&lt;&gt;".",AR12="."),1/((1/AQ12)),IF(AND(AO12=".",AP12=".",AQ12=".",AR12&lt;&gt;"."),1/((1/AR12)),IF(AND(AO12=".",AP12=".",AQ12=".",AR12="."),".")))))))))))))))))</f>
        <v>1.7305154169200115E-11</v>
      </c>
      <c r="AT12" s="40">
        <f t="shared" si="4"/>
        <v>2500</v>
      </c>
      <c r="AU12" s="40">
        <f t="shared" si="5"/>
        <v>455.72916666666663</v>
      </c>
      <c r="AV12" s="40">
        <f t="shared" si="6"/>
        <v>0.22831050228310501</v>
      </c>
      <c r="AW12" s="40">
        <f>up_b2w!AB12</f>
        <v>55286.023705663516</v>
      </c>
      <c r="AX12" s="18"/>
      <c r="AY12" s="18"/>
      <c r="AZ12" s="18"/>
      <c r="BA12" s="18"/>
      <c r="BB12" s="18"/>
      <c r="BC12" s="15">
        <f>IFERROR(s_TR/(up_RadSpec!E12*s_EF_res*s_ED_res*s_IRF_res*0.001*s_CF_res_fish),".")</f>
        <v>7.2727272727272723E-11</v>
      </c>
      <c r="BD12" s="40">
        <f t="shared" si="7"/>
        <v>13750</v>
      </c>
      <c r="BE12" s="18"/>
    </row>
    <row r="13" spans="1:57" x14ac:dyDescent="0.25">
      <c r="A13" s="44" t="s">
        <v>23</v>
      </c>
      <c r="B13" s="42" t="s">
        <v>1074</v>
      </c>
      <c r="C13" s="15">
        <f>IFERROR(((s_TR/(up_RadSpec!D13*s_IFS_res_adj*(1/1000)))*1),".")</f>
        <v>3.6363636363636363E-8</v>
      </c>
      <c r="D13" s="15">
        <f>IFERROR(IF(A13="H-3",(s_TR/((up_RadSpec!G13*s_IFA_res_adj*(1/17)*1000))*1),(s_TR/((up_RadSpec!G13*s_IFA_res_adj*(1/s_PEF_wind)*1000))*1)),".")</f>
        <v>3.3989909629864073E-4</v>
      </c>
      <c r="E13" s="15">
        <f>IFERROR((s_TR/(up_RadSpec!F13*s_EF_res*(1/365)*s_ED_res*up_RadSpec!Q13*((s_ET_res_o*(1/24)*up_RadSpec!V13)+(s_ET_res_i*(1/24)*up_RadSpec!AA13))))*1,".")</f>
        <v>3.3483155471856059E-4</v>
      </c>
      <c r="F13" s="15">
        <f>up_b2s!C13</f>
        <v>3.6265718922545492E-12</v>
      </c>
      <c r="G13" s="15">
        <f>up_dir!C13</f>
        <v>1.8181818181818181E-11</v>
      </c>
      <c r="H13" s="15">
        <f t="shared" si="12"/>
        <v>3.6262101697122833E-12</v>
      </c>
      <c r="I13" s="40">
        <f t="shared" si="0"/>
        <v>27.5</v>
      </c>
      <c r="J13" s="40">
        <f t="shared" si="1"/>
        <v>2.9420495991003873E-3</v>
      </c>
      <c r="K13" s="40">
        <f>IFERROR((s_C*s_EF_res*(1/365)*s_ED_res*up_RadSpec!Q13*((s_ET_res_o*(1/24)*up_RadSpec!V13)+(s_ET_res_i*(1/24)*up_RadSpec!AA13))),".")</f>
        <v>2.9865763423657615E-3</v>
      </c>
      <c r="L13" s="40">
        <f>up_b2s!AB13</f>
        <v>275742.5</v>
      </c>
      <c r="M13" s="18"/>
      <c r="N13" s="18"/>
      <c r="O13" s="18"/>
      <c r="P13" s="18"/>
      <c r="Q13" s="18"/>
      <c r="R13" s="15">
        <f>IFERROR((s_TR/(up_RadSpec!F13*s_EF_res*(1/365)*s_ED_res*up_RadSpec!Q13*((s_ET_res_o*(1/24)*up_RadSpec!V13)+(s_ET_res_i*(1/24)*up_RadSpec!AA13))))*1,".")</f>
        <v>3.3483155471856059E-4</v>
      </c>
      <c r="S13" s="15">
        <f>IFERROR((s_TR/(up_RadSpec!M13*s_EF_res*(1/365)*s_ED_res*up_RadSpec!R13*((s_ET_res_o*(1/24)*up_RadSpec!W13)+(s_ET_res_i*(1/24)*up_RadSpec!AB13))))*1,".")</f>
        <v>7.3019420058526203E-4</v>
      </c>
      <c r="T13" s="15">
        <f>IFERROR((s_TR/(up_RadSpec!N13*s_EF_res*(1/365)*s_ED_res*up_RadSpec!S13*((s_ET_res_o*(1/24)*up_RadSpec!X13)+(s_ET_res_i*(1/24)*up_RadSpec!AC13))))*1,".")</f>
        <v>4.338032061912659E-4</v>
      </c>
      <c r="U13" s="15">
        <f>IFERROR((s_TR/(up_RadSpec!O13*s_EF_res*(1/365)*s_ED_res*up_RadSpec!T13*((s_ET_res_o*(1/24)*up_RadSpec!Y13)+(s_ET_res_i*(1/24)*up_RadSpec!AD13))))*1,".")</f>
        <v>3.5811283547415498E-4</v>
      </c>
      <c r="V13" s="15">
        <f>IFERROR((s_TR/(up_RadSpec!K13*s_EF_res*(1/365)*s_ED_res*up_RadSpec!P13*((s_ET_res_o*(1/24)*up_RadSpec!U13)+(s_ET_res_i*(1/24)*up_RadSpec!Z13))))*1,".")</f>
        <v>7.0248015873015848E-3</v>
      </c>
      <c r="W13" s="40">
        <f>IFERROR((s_C*s_EF_res*(1/365)*s_ED_res*up_RadSpec!Q13*((s_ET_res_o*(1/24)*up_RadSpec!V13)+(s_ET_res_i*(1/24)*up_RadSpec!AA13))),".")</f>
        <v>2.9865763423657615E-3</v>
      </c>
      <c r="X13" s="40">
        <f>IFERROR((s_C*s_EF_res*(1/365)*s_ED_res*up_RadSpec!R13*((s_ET_res_o*(1/24)*up_RadSpec!W13)+(s_ET_res_i*(1/24)*up_RadSpec!AB13))),".")</f>
        <v>1.3694986884290293E-3</v>
      </c>
      <c r="Y13" s="40">
        <f>IFERROR((s_C*s_EF_res*(1/365)*s_ED_res*up_RadSpec!S13*((s_ET_res_o*(1/24)*up_RadSpec!X13)+(s_ET_res_i*(1/24)*up_RadSpec!AC13))),".")</f>
        <v>2.3051927365402994E-3</v>
      </c>
      <c r="Z13" s="40">
        <f>IFERROR((s_C*s_EF_res*(1/365)*s_ED_res*up_RadSpec!T13*((s_ET_res_o*(1/24)*up_RadSpec!Y13)+(s_ET_res_i*(1/24)*up_RadSpec!AD13))),".")</f>
        <v>2.7924159676543346E-3</v>
      </c>
      <c r="AA13" s="40">
        <f>IFERROR((s_C*s_EF_res*(1/365)*s_ED_res*up_RadSpec!P13*((s_ET_res_o*(1/24)*up_RadSpec!U13)+(s_ET_res_i*(1/24)*up_RadSpec!Z13))),".")</f>
        <v>1.4235277503177522E-4</v>
      </c>
      <c r="AB13" s="18"/>
      <c r="AC13" s="18"/>
      <c r="AD13" s="18"/>
      <c r="AE13" s="18"/>
      <c r="AF13" s="18"/>
      <c r="AG13" s="15">
        <f>IFERROR((s_TR/(up_RadSpec!G13*s_IFA_res_adj)),".")</f>
        <v>1.0971428571428573E-9</v>
      </c>
      <c r="AH13" s="15">
        <f>IFERROR((s_TR/(up_RadSpec!J13*s_EF_res*(1/365)*s_ED_res*s_ET_res*(1/24)*s_GSF_a)),".")</f>
        <v>1.7520000000000001E-6</v>
      </c>
      <c r="AI13" s="15">
        <f t="shared" si="9"/>
        <v>1.0964562309317064E-9</v>
      </c>
      <c r="AJ13" s="40">
        <f t="shared" si="2"/>
        <v>911.45833333333326</v>
      </c>
      <c r="AK13" s="40">
        <f t="shared" si="3"/>
        <v>0.57077625570776247</v>
      </c>
      <c r="AL13" s="18"/>
      <c r="AM13" s="18"/>
      <c r="AN13" s="18"/>
      <c r="AO13" s="15">
        <f>IFERROR((s_TR/(up_RadSpec!H13*s_IFW_res_adj)),".")</f>
        <v>3.9999999999999996E-10</v>
      </c>
      <c r="AP13" s="15" t="str">
        <f>IFERROR(IF(up_RadSpec!C13=1,(s_TR/(up_RadSpec!G13*s_IFA_res_adj*s_K)),"."),".")</f>
        <v>.</v>
      </c>
      <c r="AQ13" s="15">
        <f>IFERROR((s_TR/(up_RadSpec!L13*(1/8760)*s_DFA_res_adj)),".")</f>
        <v>4.3800000000000004E-6</v>
      </c>
      <c r="AR13" s="15">
        <f>up_b2w!C13</f>
        <v>1.8087754064641833E-11</v>
      </c>
      <c r="AS13" s="15">
        <f>(IF(AND(AO13&lt;&gt;".",AP13&lt;&gt;".",AQ13&lt;&gt;".",AR13&lt;&gt;"."),1/((1/AO13)+(1/AP13)+(1/AQ13)+(1/AR13)),IF(AND(AO13&lt;&gt;".",AP13&lt;&gt;".",AQ13&lt;&gt;".",AR13="."), 1/((1/AO13)+(1/AP13)+(1/AQ13)),IF(AND(AO13&lt;&gt;".",AP13&lt;&gt;".",AQ13=".",AR13&lt;&gt;"."),1/((1/AO13)+(1/AP13)+(1/AR13)),IF(AND(AO13&lt;&gt;".",AP13=".",AQ13&lt;&gt;".",AR13&lt;&gt;"."),1/((1/AO13)+(1/AQ13)+(1/AR13)),IF(AND(AO13=".",AP13&lt;&gt;".",AQ13&lt;&gt;".",AR13&lt;&gt;"."),1/((1/AP13)+(1/AQ13)+(1/AR13)),IF(AND(AO13&lt;&gt;".",AP13&lt;&gt;".",AQ13=".",AR13="."),1/((1/AO13)+(1/AP13)),IF(AND(AO13&lt;&gt;".",AP13=".",AQ13&lt;&gt;".",AR13="."),1/((1/AO13)+(1/AQ13)),IF(AND(AO13&lt;&gt;".",AP13=".",AQ13=".",AR13&lt;&gt;"."),1/((1/AO13)+(1/AR13)),IF(AND(AO13=".",AP13=".",AQ13&lt;&gt;".",AR13&lt;&gt;"."),1/((1/AQ13)+(1/AR13)),IF(AND(AO13=".",AP13&lt;&gt;".",AQ13=".",AR13&lt;&gt;"."),1/((1/AP13)+(1/AR13)),IF(AND(AO13=".",AP13&lt;&gt;".",AQ13&lt;&gt;".",AR13="."),1/((1/AP13)+(1/AQ13)),IF(AND(AO13&lt;&gt;".",AP13=".",AQ13=".",AR13="."),1/((1/AO13)),IF(AND(AO13=".",AP13&lt;&gt;".",AQ13=".",AR13="."),1/((1/AP13)),IF(AND(AO13=".",AP13=".",AQ13&lt;&gt;".",AR13="."),1/((1/AQ13)),IF(AND(AO13=".",AP13=".",AQ13=".",AR13&lt;&gt;"."),1/((1/AR13)),IF(AND(AO13=".",AP13=".",AQ13=".",AR13="."),".")))))))))))))))))</f>
        <v>1.7305154169200115E-11</v>
      </c>
      <c r="AT13" s="40">
        <f t="shared" si="4"/>
        <v>2500</v>
      </c>
      <c r="AU13" s="40">
        <f t="shared" si="5"/>
        <v>455.72916666666663</v>
      </c>
      <c r="AV13" s="40">
        <f t="shared" si="6"/>
        <v>0.22831050228310501</v>
      </c>
      <c r="AW13" s="40">
        <f>up_b2w!AB13</f>
        <v>55286.023705663516</v>
      </c>
      <c r="AX13" s="18"/>
      <c r="AY13" s="18"/>
      <c r="AZ13" s="18"/>
      <c r="BA13" s="18"/>
      <c r="BB13" s="18"/>
      <c r="BC13" s="15">
        <f>IFERROR(s_TR/(up_RadSpec!E13*s_EF_res*s_ED_res*s_IRF_res*0.001*s_CF_res_fish),".")</f>
        <v>7.2727272727272723E-11</v>
      </c>
      <c r="BD13" s="40">
        <f t="shared" si="7"/>
        <v>13750</v>
      </c>
      <c r="BE13" s="18"/>
    </row>
    <row r="14" spans="1:57" x14ac:dyDescent="0.25">
      <c r="A14" s="44" t="s">
        <v>24</v>
      </c>
      <c r="B14" s="42" t="s">
        <v>1074</v>
      </c>
      <c r="C14" s="15">
        <f>IFERROR(((s_TR/(up_RadSpec!D14*s_IFS_res_adj*(1/1000)))*1),".")</f>
        <v>3.6363636363636363E-8</v>
      </c>
      <c r="D14" s="15">
        <f>IFERROR(IF(A14="H-3",(s_TR/((up_RadSpec!G14*s_IFA_res_adj*(1/17)*1000))*1),(s_TR/((up_RadSpec!G14*s_IFA_res_adj*(1/s_PEF_wind)*1000))*1)),".")</f>
        <v>3.3989909629864073E-4</v>
      </c>
      <c r="E14" s="15">
        <f>IFERROR((s_TR/(up_RadSpec!F14*s_EF_res*(1/365)*s_ED_res*up_RadSpec!Q14*((s_ET_res_o*(1/24)*up_RadSpec!V14)+(s_ET_res_i*(1/24)*up_RadSpec!AA14))))*1,".")</f>
        <v>5.0263998543456291E-5</v>
      </c>
      <c r="F14" s="15">
        <f>up_b2s!C14</f>
        <v>3.6265718922545492E-12</v>
      </c>
      <c r="G14" s="15">
        <f>up_dir!C14</f>
        <v>1.8181818181818181E-11</v>
      </c>
      <c r="H14" s="15">
        <f t="shared" si="12"/>
        <v>3.6262099473772564E-12</v>
      </c>
      <c r="I14" s="40">
        <f t="shared" si="0"/>
        <v>27.5</v>
      </c>
      <c r="J14" s="40">
        <f t="shared" si="1"/>
        <v>2.9420495991003873E-3</v>
      </c>
      <c r="K14" s="40">
        <f>IFERROR((s_C*s_EF_res*(1/365)*s_ED_res*up_RadSpec!Q14*((s_ET_res_o*(1/24)*up_RadSpec!V14)+(s_ET_res_i*(1/24)*up_RadSpec!AA14))),".")</f>
        <v>1.9894955216016866E-2</v>
      </c>
      <c r="L14" s="40">
        <f>up_b2s!AB14</f>
        <v>275742.5</v>
      </c>
      <c r="M14" s="18"/>
      <c r="N14" s="18"/>
      <c r="O14" s="18"/>
      <c r="P14" s="18"/>
      <c r="Q14" s="18"/>
      <c r="R14" s="15">
        <f>IFERROR((s_TR/(up_RadSpec!F14*s_EF_res*(1/365)*s_ED_res*up_RadSpec!Q14*((s_ET_res_o*(1/24)*up_RadSpec!V14)+(s_ET_res_i*(1/24)*up_RadSpec!AA14))))*1,".")</f>
        <v>5.0263998543456291E-5</v>
      </c>
      <c r="S14" s="15">
        <f>IFERROR((s_TR/(up_RadSpec!M14*s_EF_res*(1/365)*s_ED_res*up_RadSpec!R14*((s_ET_res_o*(1/24)*up_RadSpec!W14)+(s_ET_res_i*(1/24)*up_RadSpec!AB14))))*1,".")</f>
        <v>9.1284619470369602E-5</v>
      </c>
      <c r="T14" s="15">
        <f>IFERROR((s_TR/(up_RadSpec!N14*s_EF_res*(1/365)*s_ED_res*up_RadSpec!S14*((s_ET_res_o*(1/24)*up_RadSpec!X14)+(s_ET_res_i*(1/24)*up_RadSpec!AC14))))*1,".")</f>
        <v>6.7490704451813932E-5</v>
      </c>
      <c r="U14" s="15">
        <f>IFERROR((s_TR/(up_RadSpec!O14*s_EF_res*(1/365)*s_ED_res*up_RadSpec!T14*((s_ET_res_o*(1/24)*up_RadSpec!Y14)+(s_ET_res_i*(1/24)*up_RadSpec!AD14))))*1,".")</f>
        <v>5.9141875688638283E-5</v>
      </c>
      <c r="V14" s="15">
        <f>IFERROR((s_TR/(up_RadSpec!K14*s_EF_res*(1/365)*s_ED_res*up_RadSpec!P14*((s_ET_res_o*(1/24)*up_RadSpec!U14)+(s_ET_res_i*(1/24)*up_RadSpec!Z14))))*1,".")</f>
        <v>2.5470867208672094E-4</v>
      </c>
      <c r="W14" s="40">
        <f>IFERROR((s_C*s_EF_res*(1/365)*s_ED_res*up_RadSpec!Q14*((s_ET_res_o*(1/24)*up_RadSpec!V14)+(s_ET_res_i*(1/24)*up_RadSpec!AA14))),".")</f>
        <v>1.9894955216016866E-2</v>
      </c>
      <c r="X14" s="40">
        <f>IFERROR((s_C*s_EF_res*(1/365)*s_ED_res*up_RadSpec!R14*((s_ET_res_o*(1/24)*up_RadSpec!W14)+(s_ET_res_i*(1/24)*up_RadSpec!AB14))),".")</f>
        <v>1.0954747971804752E-2</v>
      </c>
      <c r="Y14" s="40">
        <f>IFERROR((s_C*s_EF_res*(1/365)*s_ED_res*up_RadSpec!S14*((s_ET_res_o*(1/24)*up_RadSpec!X14)+(s_ET_res_i*(1/24)*up_RadSpec!AC14))),".")</f>
        <v>1.481685527099463E-2</v>
      </c>
      <c r="Z14" s="40">
        <f>IFERROR((s_C*s_EF_res*(1/365)*s_ED_res*up_RadSpec!T14*((s_ET_res_o*(1/24)*up_RadSpec!Y14)+(s_ET_res_i*(1/24)*up_RadSpec!AD14))),".")</f>
        <v>1.690849315068493E-2</v>
      </c>
      <c r="AA14" s="40">
        <f>IFERROR((s_C*s_EF_res*(1/365)*s_ED_res*up_RadSpec!P14*((s_ET_res_o*(1/24)*up_RadSpec!U14)+(s_ET_res_i*(1/24)*up_RadSpec!Z14))),".")</f>
        <v>3.9260539965420924E-3</v>
      </c>
      <c r="AB14" s="18"/>
      <c r="AC14" s="18"/>
      <c r="AD14" s="18"/>
      <c r="AE14" s="18"/>
      <c r="AF14" s="18"/>
      <c r="AG14" s="15">
        <f>IFERROR((s_TR/(up_RadSpec!G14*s_IFA_res_adj)),".")</f>
        <v>1.0971428571428573E-9</v>
      </c>
      <c r="AH14" s="15">
        <f>IFERROR((s_TR/(up_RadSpec!J14*s_EF_res*(1/365)*s_ED_res*s_ET_res*(1/24)*s_GSF_a)),".")</f>
        <v>1.7520000000000001E-6</v>
      </c>
      <c r="AI14" s="15">
        <f t="shared" si="9"/>
        <v>1.0964562309317064E-9</v>
      </c>
      <c r="AJ14" s="40">
        <f t="shared" si="2"/>
        <v>911.45833333333326</v>
      </c>
      <c r="AK14" s="40">
        <f t="shared" si="3"/>
        <v>0.57077625570776247</v>
      </c>
      <c r="AL14" s="18"/>
      <c r="AM14" s="18"/>
      <c r="AN14" s="18"/>
      <c r="AO14" s="15">
        <f>IFERROR((s_TR/(up_RadSpec!H14*s_IFW_res_adj)),".")</f>
        <v>3.9999999999999996E-10</v>
      </c>
      <c r="AP14" s="15" t="str">
        <f>IFERROR(IF(up_RadSpec!C14=1,(s_TR/(up_RadSpec!G14*s_IFA_res_adj*s_K)),"."),".")</f>
        <v>.</v>
      </c>
      <c r="AQ14" s="15">
        <f>IFERROR((s_TR/(up_RadSpec!L14*(1/8760)*s_DFA_res_adj)),".")</f>
        <v>4.3800000000000004E-6</v>
      </c>
      <c r="AR14" s="15">
        <f>up_b2w!C14</f>
        <v>1.8087754064641833E-11</v>
      </c>
      <c r="AS14" s="15">
        <f>(IF(AND(AO14&lt;&gt;".",AP14&lt;&gt;".",AQ14&lt;&gt;".",AR14&lt;&gt;"."),1/((1/AO14)+(1/AP14)+(1/AQ14)+(1/AR14)),IF(AND(AO14&lt;&gt;".",AP14&lt;&gt;".",AQ14&lt;&gt;".",AR14="."), 1/((1/AO14)+(1/AP14)+(1/AQ14)),IF(AND(AO14&lt;&gt;".",AP14&lt;&gt;".",AQ14=".",AR14&lt;&gt;"."),1/((1/AO14)+(1/AP14)+(1/AR14)),IF(AND(AO14&lt;&gt;".",AP14=".",AQ14&lt;&gt;".",AR14&lt;&gt;"."),1/((1/AO14)+(1/AQ14)+(1/AR14)),IF(AND(AO14=".",AP14&lt;&gt;".",AQ14&lt;&gt;".",AR14&lt;&gt;"."),1/((1/AP14)+(1/AQ14)+(1/AR14)),IF(AND(AO14&lt;&gt;".",AP14&lt;&gt;".",AQ14=".",AR14="."),1/((1/AO14)+(1/AP14)),IF(AND(AO14&lt;&gt;".",AP14=".",AQ14&lt;&gt;".",AR14="."),1/((1/AO14)+(1/AQ14)),IF(AND(AO14&lt;&gt;".",AP14=".",AQ14=".",AR14&lt;&gt;"."),1/((1/AO14)+(1/AR14)),IF(AND(AO14=".",AP14=".",AQ14&lt;&gt;".",AR14&lt;&gt;"."),1/((1/AQ14)+(1/AR14)),IF(AND(AO14=".",AP14&lt;&gt;".",AQ14=".",AR14&lt;&gt;"."),1/((1/AP14)+(1/AR14)),IF(AND(AO14=".",AP14&lt;&gt;".",AQ14&lt;&gt;".",AR14="."),1/((1/AP14)+(1/AQ14)),IF(AND(AO14&lt;&gt;".",AP14=".",AQ14=".",AR14="."),1/((1/AO14)),IF(AND(AO14=".",AP14&lt;&gt;".",AQ14=".",AR14="."),1/((1/AP14)),IF(AND(AO14=".",AP14=".",AQ14&lt;&gt;".",AR14="."),1/((1/AQ14)),IF(AND(AO14=".",AP14=".",AQ14=".",AR14&lt;&gt;"."),1/((1/AR14)),IF(AND(AO14=".",AP14=".",AQ14=".",AR14="."),".")))))))))))))))))</f>
        <v>1.7305154169200115E-11</v>
      </c>
      <c r="AT14" s="40">
        <f t="shared" si="4"/>
        <v>2500</v>
      </c>
      <c r="AU14" s="40">
        <f t="shared" si="5"/>
        <v>455.72916666666663</v>
      </c>
      <c r="AV14" s="40">
        <f t="shared" si="6"/>
        <v>0.22831050228310501</v>
      </c>
      <c r="AW14" s="40">
        <f>up_b2w!AB14</f>
        <v>55286.023705663516</v>
      </c>
      <c r="AX14" s="18"/>
      <c r="AY14" s="18"/>
      <c r="AZ14" s="18"/>
      <c r="BA14" s="18"/>
      <c r="BB14" s="18"/>
      <c r="BC14" s="15">
        <f>IFERROR(s_TR/(up_RadSpec!E14*s_EF_res*s_ED_res*s_IRF_res*0.001*s_CF_res_fish),".")</f>
        <v>7.2727272727272723E-11</v>
      </c>
      <c r="BD14" s="40">
        <f t="shared" si="7"/>
        <v>13750</v>
      </c>
      <c r="BE14" s="18"/>
    </row>
    <row r="15" spans="1:57" x14ac:dyDescent="0.25">
      <c r="A15" s="44" t="s">
        <v>25</v>
      </c>
      <c r="B15" s="42" t="s">
        <v>1074</v>
      </c>
      <c r="C15" s="15">
        <f>IFERROR(((s_TR/(up_RadSpec!D15*s_IFS_res_adj*(1/1000)))*1),".")</f>
        <v>3.6363636363636363E-8</v>
      </c>
      <c r="D15" s="15">
        <f>IFERROR(IF(A15="H-3",(s_TR/((up_RadSpec!G15*s_IFA_res_adj*(1/17)*1000))*1),(s_TR/((up_RadSpec!G15*s_IFA_res_adj*(1/s_PEF_wind)*1000))*1)),".")</f>
        <v>3.3989909629864073E-4</v>
      </c>
      <c r="E15" s="15" t="str">
        <f>IFERROR((s_TR/(up_RadSpec!F15*s_EF_res*(1/365)*s_ED_res*up_RadSpec!Q15*((s_ET_res_o*(1/24)*up_RadSpec!V15)+(s_ET_res_i*(1/24)*up_RadSpec!AA15))))*1,".")</f>
        <v>.</v>
      </c>
      <c r="F15" s="15">
        <f>up_b2s!C15</f>
        <v>3.6265718922545492E-12</v>
      </c>
      <c r="G15" s="15">
        <f>up_dir!C15</f>
        <v>1.8181818181818181E-11</v>
      </c>
      <c r="H15" s="15">
        <f t="shared" si="12"/>
        <v>3.6262102089839709E-12</v>
      </c>
      <c r="I15" s="40">
        <f t="shared" si="0"/>
        <v>27.5</v>
      </c>
      <c r="J15" s="40">
        <f t="shared" si="1"/>
        <v>2.9420495991003873E-3</v>
      </c>
      <c r="K15" s="40">
        <f>IFERROR((s_C*s_EF_res*(1/365)*s_ED_res*up_RadSpec!Q15*((s_ET_res_o*(1/24)*up_RadSpec!V15)+(s_ET_res_i*(1/24)*up_RadSpec!AA15))),".")</f>
        <v>0</v>
      </c>
      <c r="L15" s="40">
        <f>up_b2s!AB15</f>
        <v>275742.5</v>
      </c>
      <c r="M15" s="18"/>
      <c r="N15" s="18"/>
      <c r="O15" s="18"/>
      <c r="P15" s="18"/>
      <c r="Q15" s="18"/>
      <c r="R15" s="15" t="str">
        <f>IFERROR((s_TR/(up_RadSpec!F15*s_EF_res*(1/365)*s_ED_res*up_RadSpec!Q15*((s_ET_res_o*(1/24)*up_RadSpec!V15)+(s_ET_res_i*(1/24)*up_RadSpec!AA15))))*1,".")</f>
        <v>.</v>
      </c>
      <c r="S15" s="15" t="str">
        <f>IFERROR((s_TR/(up_RadSpec!M15*s_EF_res*(1/365)*s_ED_res*up_RadSpec!R15*((s_ET_res_o*(1/24)*up_RadSpec!W15)+(s_ET_res_i*(1/24)*up_RadSpec!AB15))))*1,".")</f>
        <v>.</v>
      </c>
      <c r="T15" s="15" t="str">
        <f>IFERROR((s_TR/(up_RadSpec!N15*s_EF_res*(1/365)*s_ED_res*up_RadSpec!S15*((s_ET_res_o*(1/24)*up_RadSpec!X15)+(s_ET_res_i*(1/24)*up_RadSpec!AC15))))*1,".")</f>
        <v>.</v>
      </c>
      <c r="U15" s="15" t="str">
        <f>IFERROR((s_TR/(up_RadSpec!O15*s_EF_res*(1/365)*s_ED_res*up_RadSpec!T15*((s_ET_res_o*(1/24)*up_RadSpec!Y15)+(s_ET_res_i*(1/24)*up_RadSpec!AD15))))*1,".")</f>
        <v>.</v>
      </c>
      <c r="V15" s="15" t="str">
        <f>IFERROR((s_TR/(up_RadSpec!K15*s_EF_res*(1/365)*s_ED_res*up_RadSpec!P15*((s_ET_res_o*(1/24)*up_RadSpec!U15)+(s_ET_res_i*(1/24)*up_RadSpec!Z15))))*1,".")</f>
        <v>.</v>
      </c>
      <c r="W15" s="40">
        <f>IFERROR((s_C*s_EF_res*(1/365)*s_ED_res*up_RadSpec!Q15*((s_ET_res_o*(1/24)*up_RadSpec!V15)+(s_ET_res_i*(1/24)*up_RadSpec!AA15))),".")</f>
        <v>0</v>
      </c>
      <c r="X15" s="40">
        <f>IFERROR((s_C*s_EF_res*(1/365)*s_ED_res*up_RadSpec!R15*((s_ET_res_o*(1/24)*up_RadSpec!W15)+(s_ET_res_i*(1/24)*up_RadSpec!AB15))),".")</f>
        <v>0</v>
      </c>
      <c r="Y15" s="40">
        <f>IFERROR((s_C*s_EF_res*(1/365)*s_ED_res*up_RadSpec!S15*((s_ET_res_o*(1/24)*up_RadSpec!X15)+(s_ET_res_i*(1/24)*up_RadSpec!AC15))),".")</f>
        <v>0</v>
      </c>
      <c r="Z15" s="40">
        <f>IFERROR((s_C*s_EF_res*(1/365)*s_ED_res*up_RadSpec!T15*((s_ET_res_o*(1/24)*up_RadSpec!Y15)+(s_ET_res_i*(1/24)*up_RadSpec!AD15))),".")</f>
        <v>0</v>
      </c>
      <c r="AA15" s="40">
        <f>IFERROR((s_C*s_EF_res*(1/365)*s_ED_res*up_RadSpec!P15*((s_ET_res_o*(1/24)*up_RadSpec!U15)+(s_ET_res_i*(1/24)*up_RadSpec!Z15))),".")</f>
        <v>0</v>
      </c>
      <c r="AB15" s="18"/>
      <c r="AC15" s="18"/>
      <c r="AD15" s="18"/>
      <c r="AE15" s="18"/>
      <c r="AF15" s="18"/>
      <c r="AG15" s="15">
        <f>IFERROR((s_TR/(up_RadSpec!G15*s_IFA_res_adj)),".")</f>
        <v>1.0971428571428573E-9</v>
      </c>
      <c r="AH15" s="15">
        <f>IFERROR((s_TR/(up_RadSpec!J15*s_EF_res*(1/365)*s_ED_res*s_ET_res*(1/24)*s_GSF_a)),".")</f>
        <v>1.7520000000000001E-6</v>
      </c>
      <c r="AI15" s="15">
        <f t="shared" si="9"/>
        <v>1.0964562309317064E-9</v>
      </c>
      <c r="AJ15" s="40">
        <f t="shared" si="2"/>
        <v>911.45833333333326</v>
      </c>
      <c r="AK15" s="40">
        <f t="shared" si="3"/>
        <v>0.57077625570776247</v>
      </c>
      <c r="AL15" s="18"/>
      <c r="AM15" s="18"/>
      <c r="AN15" s="18"/>
      <c r="AO15" s="15">
        <f>IFERROR((s_TR/(up_RadSpec!H15*s_IFW_res_adj)),".")</f>
        <v>3.9999999999999996E-10</v>
      </c>
      <c r="AP15" s="15" t="str">
        <f>IFERROR(IF(up_RadSpec!C15=1,(s_TR/(up_RadSpec!G15*s_IFA_res_adj*s_K)),"."),".")</f>
        <v>.</v>
      </c>
      <c r="AQ15" s="15">
        <f>IFERROR((s_TR/(up_RadSpec!L15*(1/8760)*s_DFA_res_adj)),".")</f>
        <v>4.3800000000000004E-6</v>
      </c>
      <c r="AR15" s="15">
        <f>up_b2w!C15</f>
        <v>1.8087754064641833E-11</v>
      </c>
      <c r="AS15" s="15">
        <f t="shared" ref="AS15:AS16" si="13">(IF(AND(AO15&lt;&gt;".",AP15&lt;&gt;".",AQ15&lt;&gt;".",AR15&lt;&gt;"."),1/((1/AO15)+(1/AP15)+(1/AQ15)+(1/AR15)),IF(AND(AO15&lt;&gt;".",AP15&lt;&gt;".",AQ15&lt;&gt;".",AR15="."), 1/((1/AO15)+(1/AP15)+(1/AQ15)),IF(AND(AO15&lt;&gt;".",AP15&lt;&gt;".",AQ15=".",AR15&lt;&gt;"."),1/((1/AO15)+(1/AP15)+(1/AR15)),IF(AND(AO15&lt;&gt;".",AP15=".",AQ15&lt;&gt;".",AR15&lt;&gt;"."),1/((1/AO15)+(1/AQ15)+(1/AR15)),IF(AND(AO15=".",AP15&lt;&gt;".",AQ15&lt;&gt;".",AR15&lt;&gt;"."),1/((1/AP15)+(1/AQ15)+(1/AR15)),IF(AND(AO15&lt;&gt;".",AP15&lt;&gt;".",AQ15=".",AR15="."),1/((1/AO15)+(1/AP15)),IF(AND(AO15&lt;&gt;".",AP15=".",AQ15&lt;&gt;".",AR15="."),1/((1/AO15)+(1/AQ15)),IF(AND(AO15&lt;&gt;".",AP15=".",AQ15=".",AR15&lt;&gt;"."),1/((1/AO15)+(1/AR15)),IF(AND(AO15=".",AP15=".",AQ15&lt;&gt;".",AR15&lt;&gt;"."),1/((1/AQ15)+(1/AR15)),IF(AND(AO15=".",AP15&lt;&gt;".",AQ15=".",AR15&lt;&gt;"."),1/((1/AP15)+(1/AR15)),IF(AND(AO15=".",AP15&lt;&gt;".",AQ15&lt;&gt;".",AR15="."),1/((1/AP15)+(1/AQ15)),IF(AND(AO15&lt;&gt;".",AP15=".",AQ15=".",AR15="."),1/((1/AO15)),IF(AND(AO15=".",AP15&lt;&gt;".",AQ15=".",AR15="."),1/((1/AP15)),IF(AND(AO15=".",AP15=".",AQ15&lt;&gt;".",AR15="."),1/((1/AQ15)),IF(AND(AO15=".",AP15=".",AQ15=".",AR15&lt;&gt;"."),1/((1/AR15)),IF(AND(AO15=".",AP15=".",AQ15=".",AR15="."),".")))))))))))))))))</f>
        <v>1.7305154169200115E-11</v>
      </c>
      <c r="AT15" s="40">
        <f t="shared" si="4"/>
        <v>2500</v>
      </c>
      <c r="AU15" s="40">
        <f t="shared" si="5"/>
        <v>455.72916666666663</v>
      </c>
      <c r="AV15" s="40">
        <f t="shared" si="6"/>
        <v>0.22831050228310501</v>
      </c>
      <c r="AW15" s="40">
        <f>up_b2w!AB15</f>
        <v>55286.023705663516</v>
      </c>
      <c r="AX15" s="18"/>
      <c r="AY15" s="18"/>
      <c r="AZ15" s="18"/>
      <c r="BA15" s="18"/>
      <c r="BB15" s="18"/>
      <c r="BC15" s="15">
        <f>IFERROR(s_TR/(up_RadSpec!E15*s_EF_res*s_ED_res*s_IRF_res*0.001*s_CF_res_fish),".")</f>
        <v>7.2727272727272723E-11</v>
      </c>
      <c r="BD15" s="40">
        <f t="shared" si="7"/>
        <v>13750</v>
      </c>
      <c r="BE15" s="18"/>
    </row>
    <row r="16" spans="1:57" x14ac:dyDescent="0.25">
      <c r="A16" s="44" t="s">
        <v>26</v>
      </c>
      <c r="B16" s="42" t="s">
        <v>1074</v>
      </c>
      <c r="C16" s="15">
        <f>IFERROR(((s_TR/(up_RadSpec!D16*s_IFS_res_adj*(1/1000)))*1),".")</f>
        <v>3.6363636363636363E-8</v>
      </c>
      <c r="D16" s="15">
        <f>IFERROR(IF(A16="H-3",(s_TR/((up_RadSpec!G16*s_IFA_res_adj*(1/17)*1000))*1),(s_TR/((up_RadSpec!G16*s_IFA_res_adj*(1/s_PEF_wind)*1000))*1)),".")</f>
        <v>3.3989909629864073E-4</v>
      </c>
      <c r="E16" s="15">
        <f>IFERROR((s_TR/(up_RadSpec!F16*s_EF_res*(1/365)*s_ED_res*up_RadSpec!Q16*((s_ET_res_o*(1/24)*up_RadSpec!V16)+(s_ET_res_i*(1/24)*up_RadSpec!AA16))))*1,".")</f>
        <v>0.46746712407089791</v>
      </c>
      <c r="F16" s="15">
        <f>up_b2s!C16</f>
        <v>3.6265718922545492E-12</v>
      </c>
      <c r="G16" s="15">
        <f>up_dir!C16</f>
        <v>1.8181818181818181E-11</v>
      </c>
      <c r="H16" s="15">
        <f t="shared" si="12"/>
        <v>3.626210208955842E-12</v>
      </c>
      <c r="I16" s="40">
        <f t="shared" si="0"/>
        <v>27.5</v>
      </c>
      <c r="J16" s="40">
        <f t="shared" si="1"/>
        <v>2.9420495991003873E-3</v>
      </c>
      <c r="K16" s="40">
        <f>IFERROR((s_C*s_EF_res*(1/365)*s_ED_res*up_RadSpec!Q16*((s_ET_res_o*(1/24)*up_RadSpec!V16)+(s_ET_res_i*(1/24)*up_RadSpec!AA16))),".")</f>
        <v>2.1391878669275917E-6</v>
      </c>
      <c r="L16" s="40">
        <f>up_b2s!AB16</f>
        <v>275742.5</v>
      </c>
      <c r="M16" s="18"/>
      <c r="N16" s="18"/>
      <c r="O16" s="18"/>
      <c r="P16" s="18"/>
      <c r="Q16" s="18"/>
      <c r="R16" s="15">
        <f>IFERROR((s_TR/(up_RadSpec!F16*s_EF_res*(1/365)*s_ED_res*up_RadSpec!Q16*((s_ET_res_o*(1/24)*up_RadSpec!V16)+(s_ET_res_i*(1/24)*up_RadSpec!AA16))))*1,".")</f>
        <v>0.46746712407089791</v>
      </c>
      <c r="S16" s="15">
        <f>IFERROR((s_TR/(up_RadSpec!M16*s_EF_res*(1/365)*s_ED_res*up_RadSpec!R16*((s_ET_res_o*(1/24)*up_RadSpec!W16)+(s_ET_res_i*(1/24)*up_RadSpec!AB16))))*1,".")</f>
        <v>0.83254290876242143</v>
      </c>
      <c r="T16" s="15">
        <f>IFERROR((s_TR/(up_RadSpec!N16*s_EF_res*(1/365)*s_ED_res*up_RadSpec!S16*((s_ET_res_o*(1/24)*up_RadSpec!X16)+(s_ET_res_i*(1/24)*up_RadSpec!AC16))))*1,".")</f>
        <v>0.50014177010097527</v>
      </c>
      <c r="U16" s="15">
        <f>IFERROR((s_TR/(up_RadSpec!O16*s_EF_res*(1/365)*s_ED_res*up_RadSpec!T16*((s_ET_res_o*(1/24)*up_RadSpec!Y16)+(s_ET_res_i*(1/24)*up_RadSpec!AD16))))*1,".")</f>
        <v>0.50272596843615536</v>
      </c>
      <c r="V16" s="15">
        <f>IFERROR((s_TR/(up_RadSpec!K16*s_EF_res*(1/365)*s_ED_res*up_RadSpec!P16*((s_ET_res_o*(1/24)*up_RadSpec!U16)+(s_ET_res_i*(1/24)*up_RadSpec!Z16))))*1,".")</f>
        <v>19.466666666666669</v>
      </c>
      <c r="W16" s="40">
        <f>IFERROR((s_C*s_EF_res*(1/365)*s_ED_res*up_RadSpec!Q16*((s_ET_res_o*(1/24)*up_RadSpec!V16)+(s_ET_res_i*(1/24)*up_RadSpec!AA16))),".")</f>
        <v>2.1391878669275917E-6</v>
      </c>
      <c r="X16" s="40">
        <f>IFERROR((s_C*s_EF_res*(1/365)*s_ED_res*up_RadSpec!R16*((s_ET_res_o*(1/24)*up_RadSpec!W16)+(s_ET_res_i*(1/24)*up_RadSpec!AB16))),".")</f>
        <v>1.2011392920113922E-6</v>
      </c>
      <c r="Y16" s="40">
        <f>IFERROR((s_C*s_EF_res*(1/365)*s_ED_res*up_RadSpec!S16*((s_ET_res_o*(1/24)*up_RadSpec!X16)+(s_ET_res_i*(1/24)*up_RadSpec!AC16))),".")</f>
        <v>1.9994330803406136E-6</v>
      </c>
      <c r="Z16" s="40">
        <f>IFERROR((s_C*s_EF_res*(1/365)*s_ED_res*up_RadSpec!T16*((s_ET_res_o*(1/24)*up_RadSpec!Y16)+(s_ET_res_i*(1/24)*up_RadSpec!AD16))),".")</f>
        <v>1.989155251141551E-6</v>
      </c>
      <c r="AA16" s="40">
        <f>IFERROR((s_C*s_EF_res*(1/365)*s_ED_res*up_RadSpec!P16*((s_ET_res_o*(1/24)*up_RadSpec!U16)+(s_ET_res_i*(1/24)*up_RadSpec!Z16))),".")</f>
        <v>5.1369863013698623E-8</v>
      </c>
      <c r="AB16" s="18"/>
      <c r="AC16" s="18"/>
      <c r="AD16" s="18"/>
      <c r="AE16" s="18"/>
      <c r="AF16" s="18"/>
      <c r="AG16" s="15">
        <f>IFERROR((s_TR/(up_RadSpec!G16*s_IFA_res_adj)),".")</f>
        <v>1.0971428571428573E-9</v>
      </c>
      <c r="AH16" s="15">
        <f>IFERROR((s_TR/(up_RadSpec!J16*s_EF_res*(1/365)*s_ED_res*s_ET_res*(1/24)*s_GSF_a)),".")</f>
        <v>1.7520000000000001E-6</v>
      </c>
      <c r="AI16" s="15">
        <f t="shared" si="9"/>
        <v>1.0964562309317064E-9</v>
      </c>
      <c r="AJ16" s="40">
        <f t="shared" si="2"/>
        <v>911.45833333333326</v>
      </c>
      <c r="AK16" s="40">
        <f t="shared" si="3"/>
        <v>0.57077625570776247</v>
      </c>
      <c r="AL16" s="18"/>
      <c r="AM16" s="18"/>
      <c r="AN16" s="18"/>
      <c r="AO16" s="15">
        <f>IFERROR((s_TR/(up_RadSpec!H16*s_IFW_res_adj)),".")</f>
        <v>3.9999999999999996E-10</v>
      </c>
      <c r="AP16" s="15" t="str">
        <f>IFERROR(IF(up_RadSpec!C16=1,(s_TR/(up_RadSpec!G16*s_IFA_res_adj*s_K)),"."),".")</f>
        <v>.</v>
      </c>
      <c r="AQ16" s="15">
        <f>IFERROR((s_TR/(up_RadSpec!L16*(1/8760)*s_DFA_res_adj)),".")</f>
        <v>4.3800000000000004E-6</v>
      </c>
      <c r="AR16" s="15">
        <f>up_b2w!C16</f>
        <v>1.8087754064641833E-11</v>
      </c>
      <c r="AS16" s="15">
        <f t="shared" si="13"/>
        <v>1.7305154169200115E-11</v>
      </c>
      <c r="AT16" s="40">
        <f t="shared" si="4"/>
        <v>2500</v>
      </c>
      <c r="AU16" s="40">
        <f t="shared" si="5"/>
        <v>455.72916666666663</v>
      </c>
      <c r="AV16" s="40">
        <f t="shared" si="6"/>
        <v>0.22831050228310501</v>
      </c>
      <c r="AW16" s="40">
        <f>up_b2w!AB16</f>
        <v>55286.023705663516</v>
      </c>
      <c r="AX16" s="18"/>
      <c r="AY16" s="18"/>
      <c r="AZ16" s="18"/>
      <c r="BA16" s="18"/>
      <c r="BB16" s="18"/>
      <c r="BC16" s="15">
        <f>IFERROR(s_TR/(up_RadSpec!E16*s_EF_res*s_ED_res*s_IRF_res*0.001*s_CF_res_fish),".")</f>
        <v>7.2727272727272723E-11</v>
      </c>
      <c r="BD16" s="40">
        <f t="shared" si="7"/>
        <v>13750</v>
      </c>
      <c r="BE16" s="18"/>
    </row>
    <row r="17" spans="1:57" x14ac:dyDescent="0.25">
      <c r="A17" s="44" t="s">
        <v>27</v>
      </c>
      <c r="B17" s="42" t="s">
        <v>1074</v>
      </c>
      <c r="C17" s="15">
        <f>IFERROR(((s_TR/(up_RadSpec!D17*s_IFS_res_adj*(1/1000)))*1),".")</f>
        <v>3.6363636363636363E-8</v>
      </c>
      <c r="D17" s="15">
        <f>IFERROR(IF(A17="H-3",(s_TR/((up_RadSpec!G17*s_IFA_res_adj*(1/17)*1000))*1),(s_TR/((up_RadSpec!G17*s_IFA_res_adj*(1/s_PEF_wind)*1000))*1)),".")</f>
        <v>3.3989909629864073E-4</v>
      </c>
      <c r="E17" s="15">
        <f>IFERROR((s_TR/(up_RadSpec!F17*s_EF_res*(1/365)*s_ED_res*up_RadSpec!Q17*((s_ET_res_o*(1/24)*up_RadSpec!V17)+(s_ET_res_i*(1/24)*up_RadSpec!AA17))))*1,".")</f>
        <v>4.2978354978354953E-5</v>
      </c>
      <c r="F17" s="15">
        <f>up_b2s!C17</f>
        <v>3.6265718922545492E-12</v>
      </c>
      <c r="G17" s="15">
        <f>up_dir!C17</f>
        <v>1.8181818181818181E-11</v>
      </c>
      <c r="H17" s="15">
        <f t="shared" si="12"/>
        <v>3.6262099030299768E-12</v>
      </c>
      <c r="I17" s="40">
        <f t="shared" si="0"/>
        <v>27.5</v>
      </c>
      <c r="J17" s="40">
        <f t="shared" si="1"/>
        <v>2.9420495991003873E-3</v>
      </c>
      <c r="K17" s="40">
        <f>IFERROR((s_C*s_EF_res*(1/365)*s_ED_res*up_RadSpec!Q17*((s_ET_res_o*(1/24)*up_RadSpec!V17)+(s_ET_res_i*(1/24)*up_RadSpec!AA17))),".")</f>
        <v>2.3267526188557628E-2</v>
      </c>
      <c r="L17" s="40">
        <f>up_b2s!AB17</f>
        <v>275742.5</v>
      </c>
      <c r="M17" s="18"/>
      <c r="N17" s="18"/>
      <c r="O17" s="18"/>
      <c r="P17" s="18"/>
      <c r="Q17" s="18"/>
      <c r="R17" s="15">
        <f>IFERROR((s_TR/(up_RadSpec!F17*s_EF_res*(1/365)*s_ED_res*up_RadSpec!Q17*((s_ET_res_o*(1/24)*up_RadSpec!V17)+(s_ET_res_i*(1/24)*up_RadSpec!AA17))))*1,".")</f>
        <v>4.2978354978354953E-5</v>
      </c>
      <c r="S17" s="15">
        <f>IFERROR((s_TR/(up_RadSpec!M17*s_EF_res*(1/365)*s_ED_res*up_RadSpec!R17*((s_ET_res_o*(1/24)*up_RadSpec!W17)+(s_ET_res_i*(1/24)*up_RadSpec!AB17))))*1,".")</f>
        <v>7.5113663555874632E-5</v>
      </c>
      <c r="T17" s="15">
        <f>IFERROR((s_TR/(up_RadSpec!N17*s_EF_res*(1/365)*s_ED_res*up_RadSpec!S17*((s_ET_res_o*(1/24)*up_RadSpec!X17)+(s_ET_res_i*(1/24)*up_RadSpec!AC17))))*1,".")</f>
        <v>5.6591717768188358E-5</v>
      </c>
      <c r="U17" s="15">
        <f>IFERROR((s_TR/(up_RadSpec!O17*s_EF_res*(1/365)*s_ED_res*up_RadSpec!T17*((s_ET_res_o*(1/24)*up_RadSpec!Y17)+(s_ET_res_i*(1/24)*up_RadSpec!AD17))))*1,".")</f>
        <v>5.0323136579060743E-5</v>
      </c>
      <c r="V17" s="15">
        <f>IFERROR((s_TR/(up_RadSpec!K17*s_EF_res*(1/365)*s_ED_res*up_RadSpec!P17*((s_ET_res_o*(1/24)*up_RadSpec!U17)+(s_ET_res_i*(1/24)*up_RadSpec!Z17))))*1,".")</f>
        <v>1.4392800276912427E-4</v>
      </c>
      <c r="W17" s="40">
        <f>IFERROR((s_C*s_EF_res*(1/365)*s_ED_res*up_RadSpec!Q17*((s_ET_res_o*(1/24)*up_RadSpec!V17)+(s_ET_res_i*(1/24)*up_RadSpec!AA17))),".")</f>
        <v>2.3267526188557628E-2</v>
      </c>
      <c r="X17" s="40">
        <f>IFERROR((s_C*s_EF_res*(1/365)*s_ED_res*up_RadSpec!R17*((s_ET_res_o*(1/24)*up_RadSpec!W17)+(s_ET_res_i*(1/24)*up_RadSpec!AB17))),".")</f>
        <v>1.331315705638738E-2</v>
      </c>
      <c r="Y17" s="40">
        <f>IFERROR((s_C*s_EF_res*(1/365)*s_ED_res*up_RadSpec!S17*((s_ET_res_o*(1/24)*up_RadSpec!X17)+(s_ET_res_i*(1/24)*up_RadSpec!AC17))),".")</f>
        <v>1.7670430222602739E-2</v>
      </c>
      <c r="Z17" s="40">
        <f>IFERROR((s_C*s_EF_res*(1/365)*s_ED_res*up_RadSpec!T17*((s_ET_res_o*(1/24)*up_RadSpec!Y17)+(s_ET_res_i*(1/24)*up_RadSpec!AD17))),".")</f>
        <v>1.9871575342465756E-2</v>
      </c>
      <c r="AA17" s="40">
        <f>IFERROR((s_C*s_EF_res*(1/365)*s_ED_res*up_RadSpec!P17*((s_ET_res_o*(1/24)*up_RadSpec!U17)+(s_ET_res_i*(1/24)*up_RadSpec!Z17))),".")</f>
        <v>6.9479182699707558E-3</v>
      </c>
      <c r="AB17" s="18"/>
      <c r="AC17" s="18"/>
      <c r="AD17" s="18"/>
      <c r="AE17" s="18"/>
      <c r="AF17" s="18"/>
      <c r="AG17" s="15">
        <f>IFERROR((s_TR/(up_RadSpec!G17*s_IFA_res_adj)),".")</f>
        <v>1.0971428571428573E-9</v>
      </c>
      <c r="AH17" s="15">
        <f>IFERROR((s_TR/(up_RadSpec!J17*s_EF_res*(1/365)*s_ED_res*s_ET_res*(1/24)*s_GSF_a)),".")</f>
        <v>1.7520000000000001E-6</v>
      </c>
      <c r="AI17" s="15">
        <f>IFERROR(IF(AND(AG17&lt;&gt;".",AH17&lt;&gt;"."),1/((1/AG17)+(1/AH17)),IF(AND(AG17&lt;&gt;".",AH17="."),1/((1/AG17)),IF(AND(AG17=".",AH17&lt;&gt;"."),1/((1/AH17)),IF(AND(AG17=".",AH17="."),".")))),".")</f>
        <v>1.0964562309317064E-9</v>
      </c>
      <c r="AJ17" s="40">
        <f t="shared" si="2"/>
        <v>911.45833333333326</v>
      </c>
      <c r="AK17" s="40">
        <f t="shared" si="3"/>
        <v>0.57077625570776247</v>
      </c>
      <c r="AL17" s="18"/>
      <c r="AM17" s="18"/>
      <c r="AN17" s="18"/>
      <c r="AO17" s="15">
        <f>IFERROR((s_TR/(up_RadSpec!H17*s_IFW_res_adj)),".")</f>
        <v>3.9999999999999996E-10</v>
      </c>
      <c r="AP17" s="15" t="str">
        <f>IFERROR(IF(up_RadSpec!C17=1,(s_TR/(up_RadSpec!G17*s_IFA_res_adj*s_K)),"."),".")</f>
        <v>.</v>
      </c>
      <c r="AQ17" s="15">
        <f>IFERROR((s_TR/(up_RadSpec!L17*(1/8760)*s_DFA_res_adj)),".")</f>
        <v>4.3800000000000004E-6</v>
      </c>
      <c r="AR17" s="15">
        <f>up_b2w!C17</f>
        <v>1.8087754064641833E-11</v>
      </c>
      <c r="AS17" s="15">
        <f>(IF(AND(AO17&lt;&gt;".",AP17&lt;&gt;".",AQ17&lt;&gt;".",AR17&lt;&gt;"."),1/((1/AO17)+(1/AP17)+(1/AQ17)+(1/AR17)),IF(AND(AO17&lt;&gt;".",AP17&lt;&gt;".",AQ17&lt;&gt;".",AR17="."), 1/((1/AO17)+(1/AP17)+(1/AQ17)),IF(AND(AO17&lt;&gt;".",AP17&lt;&gt;".",AQ17=".",AR17&lt;&gt;"."),1/((1/AO17)+(1/AP17)+(1/AR17)),IF(AND(AO17&lt;&gt;".",AP17=".",AQ17&lt;&gt;".",AR17&lt;&gt;"."),1/((1/AO17)+(1/AQ17)+(1/AR17)),IF(AND(AO17=".",AP17&lt;&gt;".",AQ17&lt;&gt;".",AR17&lt;&gt;"."),1/((1/AP17)+(1/AQ17)+(1/AR17)),IF(AND(AO17&lt;&gt;".",AP17&lt;&gt;".",AQ17=".",AR17="."),1/((1/AO17)+(1/AP17)),IF(AND(AO17&lt;&gt;".",AP17=".",AQ17&lt;&gt;".",AR17="."),1/((1/AO17)+(1/AQ17)),IF(AND(AO17&lt;&gt;".",AP17=".",AQ17=".",AR17&lt;&gt;"."),1/((1/AO17)+(1/AR17)),IF(AND(AO17=".",AP17=".",AQ17&lt;&gt;".",AR17&lt;&gt;"."),1/((1/AQ17)+(1/AR17)),IF(AND(AO17=".",AP17&lt;&gt;".",AQ17=".",AR17&lt;&gt;"."),1/((1/AP17)+(1/AR17)),IF(AND(AO17=".",AP17&lt;&gt;".",AQ17&lt;&gt;".",AR17="."),1/((1/AP17)+(1/AQ17)),IF(AND(AO17&lt;&gt;".",AP17=".",AQ17=".",AR17="."),1/((1/AO17)),IF(AND(AO17=".",AP17&lt;&gt;".",AQ17=".",AR17="."),1/((1/AP17)),IF(AND(AO17=".",AP17=".",AQ17&lt;&gt;".",AR17="."),1/((1/AQ17)),IF(AND(AO17=".",AP17=".",AQ17=".",AR17&lt;&gt;"."),1/((1/AR17)),IF(AND(AO17=".",AP17=".",AQ17=".",AR17="."),".")))))))))))))))))</f>
        <v>1.7305154169200115E-11</v>
      </c>
      <c r="AT17" s="40">
        <f t="shared" si="4"/>
        <v>2500</v>
      </c>
      <c r="AU17" s="40">
        <f t="shared" si="5"/>
        <v>455.72916666666663</v>
      </c>
      <c r="AV17" s="40">
        <f t="shared" si="6"/>
        <v>0.22831050228310501</v>
      </c>
      <c r="AW17" s="40">
        <f>up_b2w!AB17</f>
        <v>55286.023705663516</v>
      </c>
      <c r="AX17" s="18"/>
      <c r="AY17" s="18"/>
      <c r="AZ17" s="18"/>
      <c r="BA17" s="18"/>
      <c r="BB17" s="18"/>
      <c r="BC17" s="15">
        <f>IFERROR(s_TR/(up_RadSpec!E17*s_EF_res*s_ED_res*s_IRF_res*0.001*s_CF_res_fish),".")</f>
        <v>7.2727272727272723E-11</v>
      </c>
      <c r="BD17" s="40">
        <f t="shared" si="7"/>
        <v>13750</v>
      </c>
      <c r="BE17" s="18"/>
    </row>
    <row r="18" spans="1:57" x14ac:dyDescent="0.25">
      <c r="A18" s="44" t="s">
        <v>28</v>
      </c>
      <c r="B18" s="42" t="s">
        <v>1074</v>
      </c>
      <c r="C18" s="15">
        <f>IFERROR(((s_TR/(up_RadSpec!D18*s_IFS_res_adj*(1/1000)))*1),".")</f>
        <v>3.6363636363636363E-8</v>
      </c>
      <c r="D18" s="15">
        <f>IFERROR(IF(A18="H-3",(s_TR/((up_RadSpec!G18*s_IFA_res_adj*(1/17)*1000))*1),(s_TR/((up_RadSpec!G18*s_IFA_res_adj*(1/s_PEF_wind)*1000))*1)),".")</f>
        <v>3.3989909629864073E-4</v>
      </c>
      <c r="E18" s="15">
        <f>IFERROR((s_TR/(up_RadSpec!F18*s_EF_res*(1/365)*s_ED_res*up_RadSpec!Q18*((s_ET_res_o*(1/24)*up_RadSpec!V18)+(s_ET_res_i*(1/24)*up_RadSpec!AA18))))*1,".")</f>
        <v>2.1889453044375645E-5</v>
      </c>
      <c r="F18" s="15">
        <f>up_b2s!C18</f>
        <v>3.6265718922545492E-12</v>
      </c>
      <c r="G18" s="15">
        <f>up_dir!C18</f>
        <v>1.8181818181818181E-11</v>
      </c>
      <c r="H18" s="15">
        <f t="shared" si="12"/>
        <v>3.626209608265521E-12</v>
      </c>
      <c r="I18" s="40">
        <f t="shared" si="0"/>
        <v>27.5</v>
      </c>
      <c r="J18" s="40">
        <f t="shared" si="1"/>
        <v>2.9420495991003873E-3</v>
      </c>
      <c r="K18" s="40">
        <f>IFERROR((s_C*s_EF_res*(1/365)*s_ED_res*up_RadSpec!Q18*((s_ET_res_o*(1/24)*up_RadSpec!V18)+(s_ET_res_i*(1/24)*up_RadSpec!AA18))),".")</f>
        <v>4.5684101744010615E-2</v>
      </c>
      <c r="L18" s="40">
        <f>up_b2s!AB18</f>
        <v>275742.5</v>
      </c>
      <c r="M18" s="18"/>
      <c r="N18" s="18"/>
      <c r="O18" s="18"/>
      <c r="P18" s="18"/>
      <c r="Q18" s="18"/>
      <c r="R18" s="15">
        <f>IFERROR((s_TR/(up_RadSpec!F18*s_EF_res*(1/365)*s_ED_res*up_RadSpec!Q18*((s_ET_res_o*(1/24)*up_RadSpec!V18)+(s_ET_res_i*(1/24)*up_RadSpec!AA18))))*1,".")</f>
        <v>2.1889453044375645E-5</v>
      </c>
      <c r="S18" s="15">
        <f>IFERROR((s_TR/(up_RadSpec!M18*s_EF_res*(1/365)*s_ED_res*up_RadSpec!R18*((s_ET_res_o*(1/24)*up_RadSpec!W18)+(s_ET_res_i*(1/24)*up_RadSpec!AB18))))*1,".")</f>
        <v>4.3312873780295888E-5</v>
      </c>
      <c r="T18" s="15">
        <f>IFERROR((s_TR/(up_RadSpec!N18*s_EF_res*(1/365)*s_ED_res*up_RadSpec!S18*((s_ET_res_o*(1/24)*up_RadSpec!X18)+(s_ET_res_i*(1/24)*up_RadSpec!AC18))))*1,".")</f>
        <v>3.0331813748837633E-5</v>
      </c>
      <c r="U18" s="15">
        <f>IFERROR((s_TR/(up_RadSpec!O18*s_EF_res*(1/365)*s_ED_res*up_RadSpec!T18*((s_ET_res_o*(1/24)*up_RadSpec!Y18)+(s_ET_res_i*(1/24)*up_RadSpec!AD18))))*1,".")</f>
        <v>2.5130455488655316E-5</v>
      </c>
      <c r="V18" s="15">
        <f>IFERROR((s_TR/(up_RadSpec!K18*s_EF_res*(1/365)*s_ED_res*up_RadSpec!P18*((s_ET_res_o*(1/24)*up_RadSpec!U18)+(s_ET_res_i*(1/24)*up_RadSpec!Z18))))*1,".")</f>
        <v>7.3623931623931614E-5</v>
      </c>
      <c r="W18" s="40">
        <f>IFERROR((s_C*s_EF_res*(1/365)*s_ED_res*up_RadSpec!Q18*((s_ET_res_o*(1/24)*up_RadSpec!V18)+(s_ET_res_i*(1/24)*up_RadSpec!AA18))),".")</f>
        <v>4.5684101744010615E-2</v>
      </c>
      <c r="X18" s="40">
        <f>IFERROR((s_C*s_EF_res*(1/365)*s_ED_res*up_RadSpec!R18*((s_ET_res_o*(1/24)*up_RadSpec!W18)+(s_ET_res_i*(1/24)*up_RadSpec!AB18))),".")</f>
        <v>2.3087823843610328E-2</v>
      </c>
      <c r="Y18" s="40">
        <f>IFERROR((s_C*s_EF_res*(1/365)*s_ED_res*up_RadSpec!S18*((s_ET_res_o*(1/24)*up_RadSpec!X18)+(s_ET_res_i*(1/24)*up_RadSpec!AC18))),".")</f>
        <v>3.2968684572590772E-2</v>
      </c>
      <c r="Z18" s="40">
        <f>IFERROR((s_C*s_EF_res*(1/365)*s_ED_res*up_RadSpec!T18*((s_ET_res_o*(1/24)*up_RadSpec!Y18)+(s_ET_res_i*(1/24)*up_RadSpec!AD18))),".")</f>
        <v>3.9792354756619179E-2</v>
      </c>
      <c r="AA18" s="40">
        <f>IFERROR((s_C*s_EF_res*(1/365)*s_ED_res*up_RadSpec!P18*((s_ET_res_o*(1/24)*up_RadSpec!U18)+(s_ET_res_i*(1/24)*up_RadSpec!Z18))),".")</f>
        <v>1.3582540051079639E-2</v>
      </c>
      <c r="AB18" s="18"/>
      <c r="AC18" s="18"/>
      <c r="AD18" s="18"/>
      <c r="AE18" s="18"/>
      <c r="AF18" s="18"/>
      <c r="AG18" s="15">
        <f>IFERROR((s_TR/(up_RadSpec!G18*s_IFA_res_adj)),".")</f>
        <v>1.0971428571428573E-9</v>
      </c>
      <c r="AH18" s="15">
        <f>IFERROR((s_TR/(up_RadSpec!J18*s_EF_res*(1/365)*s_ED_res*s_ET_res*(1/24)*s_GSF_a)),".")</f>
        <v>1.7520000000000001E-6</v>
      </c>
      <c r="AI18" s="15">
        <f t="shared" ref="AI18:AI20" si="14">IFERROR(IF(AND(AG18&lt;&gt;".",AH18&lt;&gt;"."),1/((1/AG18)+(1/AH18)),IF(AND(AG18&lt;&gt;".",AH18="."),1/((1/AG18)),IF(AND(AG18=".",AH18&lt;&gt;"."),1/((1/AH18)),IF(AND(AG18=".",AH18="."),".")))),".")</f>
        <v>1.0964562309317064E-9</v>
      </c>
      <c r="AJ18" s="40">
        <f t="shared" si="2"/>
        <v>911.45833333333326</v>
      </c>
      <c r="AK18" s="40">
        <f t="shared" si="3"/>
        <v>0.57077625570776247</v>
      </c>
      <c r="AL18" s="18"/>
      <c r="AM18" s="18"/>
      <c r="AN18" s="18"/>
      <c r="AO18" s="15">
        <f>IFERROR((s_TR/(up_RadSpec!H18*s_IFW_res_adj)),".")</f>
        <v>3.9999999999999996E-10</v>
      </c>
      <c r="AP18" s="15" t="str">
        <f>IFERROR(IF(up_RadSpec!C18=1,(s_TR/(up_RadSpec!G18*s_IFA_res_adj*s_K)),"."),".")</f>
        <v>.</v>
      </c>
      <c r="AQ18" s="15">
        <f>IFERROR((s_TR/(up_RadSpec!L18*(1/8760)*s_DFA_res_adj)),".")</f>
        <v>4.3800000000000004E-6</v>
      </c>
      <c r="AR18" s="15">
        <f>up_b2w!C18</f>
        <v>1.8087754064641833E-11</v>
      </c>
      <c r="AS18" s="15">
        <f t="shared" ref="AS18:AS20" si="15">(IF(AND(AO18&lt;&gt;".",AP18&lt;&gt;".",AQ18&lt;&gt;".",AR18&lt;&gt;"."),1/((1/AO18)+(1/AP18)+(1/AQ18)+(1/AR18)),IF(AND(AO18&lt;&gt;".",AP18&lt;&gt;".",AQ18&lt;&gt;".",AR18="."), 1/((1/AO18)+(1/AP18)+(1/AQ18)),IF(AND(AO18&lt;&gt;".",AP18&lt;&gt;".",AQ18=".",AR18&lt;&gt;"."),1/((1/AO18)+(1/AP18)+(1/AR18)),IF(AND(AO18&lt;&gt;".",AP18=".",AQ18&lt;&gt;".",AR18&lt;&gt;"."),1/((1/AO18)+(1/AQ18)+(1/AR18)),IF(AND(AO18=".",AP18&lt;&gt;".",AQ18&lt;&gt;".",AR18&lt;&gt;"."),1/((1/AP18)+(1/AQ18)+(1/AR18)),IF(AND(AO18&lt;&gt;".",AP18&lt;&gt;".",AQ18=".",AR18="."),1/((1/AO18)+(1/AP18)),IF(AND(AO18&lt;&gt;".",AP18=".",AQ18&lt;&gt;".",AR18="."),1/((1/AO18)+(1/AQ18)),IF(AND(AO18&lt;&gt;".",AP18=".",AQ18=".",AR18&lt;&gt;"."),1/((1/AO18)+(1/AR18)),IF(AND(AO18=".",AP18=".",AQ18&lt;&gt;".",AR18&lt;&gt;"."),1/((1/AQ18)+(1/AR18)),IF(AND(AO18=".",AP18&lt;&gt;".",AQ18=".",AR18&lt;&gt;"."),1/((1/AP18)+(1/AR18)),IF(AND(AO18=".",AP18&lt;&gt;".",AQ18&lt;&gt;".",AR18="."),1/((1/AP18)+(1/AQ18)),IF(AND(AO18&lt;&gt;".",AP18=".",AQ18=".",AR18="."),1/((1/AO18)),IF(AND(AO18=".",AP18&lt;&gt;".",AQ18=".",AR18="."),1/((1/AP18)),IF(AND(AO18=".",AP18=".",AQ18&lt;&gt;".",AR18="."),1/((1/AQ18)),IF(AND(AO18=".",AP18=".",AQ18=".",AR18&lt;&gt;"."),1/((1/AR18)),IF(AND(AO18=".",AP18=".",AQ18=".",AR18="."),".")))))))))))))))))</f>
        <v>1.7305154169200115E-11</v>
      </c>
      <c r="AT18" s="40">
        <f t="shared" si="4"/>
        <v>2500</v>
      </c>
      <c r="AU18" s="40">
        <f t="shared" si="5"/>
        <v>455.72916666666663</v>
      </c>
      <c r="AV18" s="40">
        <f t="shared" si="6"/>
        <v>0.22831050228310501</v>
      </c>
      <c r="AW18" s="40">
        <f>up_b2w!AB18</f>
        <v>55286.023705663516</v>
      </c>
      <c r="AX18" s="18"/>
      <c r="AY18" s="18"/>
      <c r="AZ18" s="18"/>
      <c r="BA18" s="18"/>
      <c r="BB18" s="18"/>
      <c r="BC18" s="15">
        <f>IFERROR(s_TR/(up_RadSpec!E18*s_EF_res*s_ED_res*s_IRF_res*0.001*s_CF_res_fish),".")</f>
        <v>7.2727272727272723E-11</v>
      </c>
      <c r="BD18" s="40">
        <f t="shared" si="7"/>
        <v>13750</v>
      </c>
      <c r="BE18" s="18"/>
    </row>
    <row r="19" spans="1:57" x14ac:dyDescent="0.25">
      <c r="A19" s="44" t="s">
        <v>29</v>
      </c>
      <c r="B19" s="42" t="s">
        <v>1074</v>
      </c>
      <c r="C19" s="15">
        <f>IFERROR(((s_TR/(up_RadSpec!D19*s_IFS_res_adj*(1/1000)))*1),".")</f>
        <v>3.6363636363636363E-8</v>
      </c>
      <c r="D19" s="15">
        <f>IFERROR(IF(A19="H-3",(s_TR/((up_RadSpec!G19*s_IFA_res_adj*(1/17)*1000))*1),(s_TR/((up_RadSpec!G19*s_IFA_res_adj*(1/s_PEF_wind)*1000))*1)),".")</f>
        <v>3.3989909629864073E-4</v>
      </c>
      <c r="E19" s="15">
        <f>IFERROR((s_TR/(up_RadSpec!F19*s_EF_res*(1/365)*s_ED_res*up_RadSpec!Q19*((s_ET_res_o*(1/24)*up_RadSpec!V19)+(s_ET_res_i*(1/24)*up_RadSpec!AA19))))*1,".")</f>
        <v>2.2335868519975525E-5</v>
      </c>
      <c r="F19" s="15">
        <f>up_b2s!C19</f>
        <v>3.6265718922545492E-12</v>
      </c>
      <c r="G19" s="15">
        <f>up_dir!C19</f>
        <v>1.8181818181818181E-11</v>
      </c>
      <c r="H19" s="15">
        <f t="shared" si="12"/>
        <v>3.6262096202717689E-12</v>
      </c>
      <c r="I19" s="40">
        <f t="shared" si="0"/>
        <v>27.5</v>
      </c>
      <c r="J19" s="40">
        <f t="shared" si="1"/>
        <v>2.9420495991003873E-3</v>
      </c>
      <c r="K19" s="40">
        <f>IFERROR((s_C*s_EF_res*(1/365)*s_ED_res*up_RadSpec!Q19*((s_ET_res_o*(1/24)*up_RadSpec!V19)+(s_ET_res_i*(1/24)*up_RadSpec!AA19))),".")</f>
        <v>4.4771037181996078E-2</v>
      </c>
      <c r="L19" s="40">
        <f>up_b2s!AB19</f>
        <v>275742.5</v>
      </c>
      <c r="M19" s="18"/>
      <c r="N19" s="18"/>
      <c r="O19" s="18"/>
      <c r="P19" s="18"/>
      <c r="Q19" s="18"/>
      <c r="R19" s="15">
        <f>IFERROR((s_TR/(up_RadSpec!F19*s_EF_res*(1/365)*s_ED_res*up_RadSpec!Q19*((s_ET_res_o*(1/24)*up_RadSpec!V19)+(s_ET_res_i*(1/24)*up_RadSpec!AA19))))*1,".")</f>
        <v>2.2335868519975525E-5</v>
      </c>
      <c r="S19" s="15">
        <f>IFERROR((s_TR/(up_RadSpec!M19*s_EF_res*(1/365)*s_ED_res*up_RadSpec!R19*((s_ET_res_o*(1/24)*up_RadSpec!W19)+(s_ET_res_i*(1/24)*up_RadSpec!AB19))))*1,".")</f>
        <v>4.4301041747850262E-5</v>
      </c>
      <c r="T19" s="15">
        <f>IFERROR((s_TR/(up_RadSpec!N19*s_EF_res*(1/365)*s_ED_res*up_RadSpec!S19*((s_ET_res_o*(1/24)*up_RadSpec!X19)+(s_ET_res_i*(1/24)*up_RadSpec!AC19))))*1,".")</f>
        <v>3.0709447415329781E-5</v>
      </c>
      <c r="U19" s="15">
        <f>IFERROR((s_TR/(up_RadSpec!O19*s_EF_res*(1/365)*s_ED_res*up_RadSpec!T19*((s_ET_res_o*(1/24)*up_RadSpec!Y19)+(s_ET_res_i*(1/24)*up_RadSpec!AD19))))*1,".")</f>
        <v>2.5648648648648641E-5</v>
      </c>
      <c r="V19" s="15">
        <f>IFERROR((s_TR/(up_RadSpec!K19*s_EF_res*(1/365)*s_ED_res*up_RadSpec!P19*((s_ET_res_o*(1/24)*up_RadSpec!U19)+(s_ET_res_i*(1/24)*up_RadSpec!Z19))))*1,".")</f>
        <v>7.6287613017312744E-5</v>
      </c>
      <c r="W19" s="40">
        <f>IFERROR((s_C*s_EF_res*(1/365)*s_ED_res*up_RadSpec!Q19*((s_ET_res_o*(1/24)*up_RadSpec!V19)+(s_ET_res_i*(1/24)*up_RadSpec!AA19))),".")</f>
        <v>4.4771037181996078E-2</v>
      </c>
      <c r="X19" s="40">
        <f>IFERROR((s_C*s_EF_res*(1/365)*s_ED_res*up_RadSpec!R19*((s_ET_res_o*(1/24)*up_RadSpec!W19)+(s_ET_res_i*(1/24)*up_RadSpec!AB19))),".")</f>
        <v>2.257283261399887E-2</v>
      </c>
      <c r="Y19" s="40">
        <f>IFERROR((s_C*s_EF_res*(1/365)*s_ED_res*up_RadSpec!S19*((s_ET_res_o*(1/24)*up_RadSpec!X19)+(s_ET_res_i*(1/24)*up_RadSpec!AC19))),".")</f>
        <v>3.2563269096819114E-2</v>
      </c>
      <c r="Z19" s="40">
        <f>IFERROR((s_C*s_EF_res*(1/365)*s_ED_res*up_RadSpec!T19*((s_ET_res_o*(1/24)*up_RadSpec!Y19)+(s_ET_res_i*(1/24)*up_RadSpec!AD19))),".")</f>
        <v>3.898840885142256E-2</v>
      </c>
      <c r="AA19" s="40">
        <f>IFERROR((s_C*s_EF_res*(1/365)*s_ED_res*up_RadSpec!P19*((s_ET_res_o*(1/24)*up_RadSpec!U19)+(s_ET_res_i*(1/24)*up_RadSpec!Z19))),".")</f>
        <v>1.3108287970329594E-2</v>
      </c>
      <c r="AB19" s="18"/>
      <c r="AC19" s="18"/>
      <c r="AD19" s="18"/>
      <c r="AE19" s="18"/>
      <c r="AF19" s="18"/>
      <c r="AG19" s="15">
        <f>IFERROR((s_TR/(up_RadSpec!G19*s_IFA_res_adj)),".")</f>
        <v>1.0971428571428573E-9</v>
      </c>
      <c r="AH19" s="15">
        <f>IFERROR((s_TR/(up_RadSpec!J19*s_EF_res*(1/365)*s_ED_res*s_ET_res*(1/24)*s_GSF_a)),".")</f>
        <v>1.7520000000000001E-6</v>
      </c>
      <c r="AI19" s="15">
        <f t="shared" si="14"/>
        <v>1.0964562309317064E-9</v>
      </c>
      <c r="AJ19" s="40">
        <f t="shared" si="2"/>
        <v>911.45833333333326</v>
      </c>
      <c r="AK19" s="40">
        <f t="shared" si="3"/>
        <v>0.57077625570776247</v>
      </c>
      <c r="AL19" s="18"/>
      <c r="AM19" s="18"/>
      <c r="AN19" s="18"/>
      <c r="AO19" s="15">
        <f>IFERROR((s_TR/(up_RadSpec!H19*s_IFW_res_adj)),".")</f>
        <v>3.9999999999999996E-10</v>
      </c>
      <c r="AP19" s="15" t="str">
        <f>IFERROR(IF(up_RadSpec!C19=1,(s_TR/(up_RadSpec!G19*s_IFA_res_adj*s_K)),"."),".")</f>
        <v>.</v>
      </c>
      <c r="AQ19" s="15">
        <f>IFERROR((s_TR/(up_RadSpec!L19*(1/8760)*s_DFA_res_adj)),".")</f>
        <v>4.3800000000000004E-6</v>
      </c>
      <c r="AR19" s="15">
        <f>up_b2w!C19</f>
        <v>1.8087754064641833E-11</v>
      </c>
      <c r="AS19" s="15">
        <f t="shared" si="15"/>
        <v>1.7305154169200115E-11</v>
      </c>
      <c r="AT19" s="40">
        <f t="shared" si="4"/>
        <v>2500</v>
      </c>
      <c r="AU19" s="40">
        <f t="shared" si="5"/>
        <v>455.72916666666663</v>
      </c>
      <c r="AV19" s="40">
        <f t="shared" si="6"/>
        <v>0.22831050228310501</v>
      </c>
      <c r="AW19" s="40">
        <f>up_b2w!AB19</f>
        <v>55286.023705663516</v>
      </c>
      <c r="AX19" s="18"/>
      <c r="AY19" s="18"/>
      <c r="AZ19" s="18"/>
      <c r="BA19" s="18"/>
      <c r="BB19" s="18"/>
      <c r="BC19" s="15">
        <f>IFERROR(s_TR/(up_RadSpec!E19*s_EF_res*s_ED_res*s_IRF_res*0.001*s_CF_res_fish),".")</f>
        <v>7.2727272727272723E-11</v>
      </c>
      <c r="BD19" s="40">
        <f t="shared" si="7"/>
        <v>13750</v>
      </c>
      <c r="BE19" s="18"/>
    </row>
    <row r="20" spans="1:57" x14ac:dyDescent="0.25">
      <c r="A20" s="44" t="s">
        <v>30</v>
      </c>
      <c r="B20" s="42" t="s">
        <v>1074</v>
      </c>
      <c r="C20" s="15">
        <f>IFERROR(((s_TR/(up_RadSpec!D20*s_IFS_res_adj*(1/1000)))*1),".")</f>
        <v>3.6363636363636363E-8</v>
      </c>
      <c r="D20" s="15">
        <f>IFERROR(IF(A20="H-3",(s_TR/((up_RadSpec!G20*s_IFA_res_adj*(1/17)*1000))*1),(s_TR/((up_RadSpec!G20*s_IFA_res_adj*(1/s_PEF_wind)*1000))*1)),".")</f>
        <v>3.3989909629864073E-4</v>
      </c>
      <c r="E20" s="15">
        <f>IFERROR((s_TR/(up_RadSpec!F20*s_EF_res*(1/365)*s_ED_res*up_RadSpec!Q20*((s_ET_res_o*(1/24)*up_RadSpec!V20)+(s_ET_res_i*(1/24)*up_RadSpec!AA20))))*1,".")</f>
        <v>2.1962973732674215E-5</v>
      </c>
      <c r="F20" s="15">
        <f>up_b2s!C20</f>
        <v>3.6265718922545492E-12</v>
      </c>
      <c r="G20" s="15">
        <f>up_dir!C20</f>
        <v>1.8181818181818181E-11</v>
      </c>
      <c r="H20" s="15">
        <f t="shared" si="12"/>
        <v>3.6262096102764161E-12</v>
      </c>
      <c r="I20" s="40">
        <f t="shared" si="0"/>
        <v>27.5</v>
      </c>
      <c r="J20" s="40">
        <f t="shared" si="1"/>
        <v>2.9420495991003873E-3</v>
      </c>
      <c r="K20" s="40">
        <f>IFERROR((s_C*s_EF_res*(1/365)*s_ED_res*up_RadSpec!Q20*((s_ET_res_o*(1/24)*up_RadSpec!V20)+(s_ET_res_i*(1/24)*up_RadSpec!AA20))),".")</f>
        <v>4.5531174975285998E-2</v>
      </c>
      <c r="L20" s="40">
        <f>up_b2s!AB20</f>
        <v>275742.5</v>
      </c>
      <c r="M20" s="18"/>
      <c r="N20" s="18"/>
      <c r="O20" s="18"/>
      <c r="P20" s="18"/>
      <c r="Q20" s="18"/>
      <c r="R20" s="15">
        <f>IFERROR((s_TR/(up_RadSpec!F20*s_EF_res*(1/365)*s_ED_res*up_RadSpec!Q20*((s_ET_res_o*(1/24)*up_RadSpec!V20)+(s_ET_res_i*(1/24)*up_RadSpec!AA20))))*1,".")</f>
        <v>2.1962973732674215E-5</v>
      </c>
      <c r="S20" s="15">
        <f>IFERROR((s_TR/(up_RadSpec!M20*s_EF_res*(1/365)*s_ED_res*up_RadSpec!R20*((s_ET_res_o*(1/24)*up_RadSpec!W20)+(s_ET_res_i*(1/24)*up_RadSpec!AB20))))*1,".")</f>
        <v>4.3313064308089192E-5</v>
      </c>
      <c r="T20" s="15">
        <f>IFERROR((s_TR/(up_RadSpec!N20*s_EF_res*(1/365)*s_ED_res*up_RadSpec!S20*((s_ET_res_o*(1/24)*up_RadSpec!X20)+(s_ET_res_i*(1/24)*up_RadSpec!AC20))))*1,".")</f>
        <v>3.0305250305250314E-5</v>
      </c>
      <c r="U20" s="15">
        <f>IFERROR((s_TR/(up_RadSpec!O20*s_EF_res*(1/365)*s_ED_res*up_RadSpec!T20*((s_ET_res_o*(1/24)*up_RadSpec!Y20)+(s_ET_res_i*(1/24)*up_RadSpec!AD20))))*1,".")</f>
        <v>2.544662309368193E-5</v>
      </c>
      <c r="V20" s="15">
        <f>IFERROR((s_TR/(up_RadSpec!K20*s_EF_res*(1/365)*s_ED_res*up_RadSpec!P20*((s_ET_res_o*(1/24)*up_RadSpec!U20)+(s_ET_res_i*(1/24)*up_RadSpec!Z20))))*1,".")</f>
        <v>7.3803803803803829E-5</v>
      </c>
      <c r="W20" s="40">
        <f>IFERROR((s_C*s_EF_res*(1/365)*s_ED_res*up_RadSpec!Q20*((s_ET_res_o*(1/24)*up_RadSpec!V20)+(s_ET_res_i*(1/24)*up_RadSpec!AA20))),".")</f>
        <v>4.5531174975285998E-2</v>
      </c>
      <c r="X20" s="40">
        <f>IFERROR((s_C*s_EF_res*(1/365)*s_ED_res*up_RadSpec!R20*((s_ET_res_o*(1/24)*up_RadSpec!W20)+(s_ET_res_i*(1/24)*up_RadSpec!AB20))),".")</f>
        <v>2.3087722283672247E-2</v>
      </c>
      <c r="Y20" s="40">
        <f>IFERROR((s_C*s_EF_res*(1/365)*s_ED_res*up_RadSpec!S20*((s_ET_res_o*(1/24)*up_RadSpec!X20)+(s_ET_res_i*(1/24)*up_RadSpec!AC20))),".")</f>
        <v>3.2997582594681697E-2</v>
      </c>
      <c r="Z20" s="40">
        <f>IFERROR((s_C*s_EF_res*(1/365)*s_ED_res*up_RadSpec!T20*((s_ET_res_o*(1/24)*up_RadSpec!Y20)+(s_ET_res_i*(1/24)*up_RadSpec!AD20))),".")</f>
        <v>3.9297945205479433E-2</v>
      </c>
      <c r="AA20" s="40">
        <f>IFERROR((s_C*s_EF_res*(1/365)*s_ED_res*up_RadSpec!P20*((s_ET_res_o*(1/24)*up_RadSpec!U20)+(s_ET_res_i*(1/24)*up_RadSpec!Z20))),".")</f>
        <v>1.3549437135494367E-2</v>
      </c>
      <c r="AB20" s="18"/>
      <c r="AC20" s="18"/>
      <c r="AD20" s="18"/>
      <c r="AE20" s="18"/>
      <c r="AF20" s="18"/>
      <c r="AG20" s="15">
        <f>IFERROR((s_TR/(up_RadSpec!G20*s_IFA_res_adj)),".")</f>
        <v>1.0971428571428573E-9</v>
      </c>
      <c r="AH20" s="15">
        <f>IFERROR((s_TR/(up_RadSpec!J20*s_EF_res*(1/365)*s_ED_res*s_ET_res*(1/24)*s_GSF_a)),".")</f>
        <v>1.7520000000000001E-6</v>
      </c>
      <c r="AI20" s="15">
        <f t="shared" si="14"/>
        <v>1.0964562309317064E-9</v>
      </c>
      <c r="AJ20" s="40">
        <f t="shared" si="2"/>
        <v>911.45833333333326</v>
      </c>
      <c r="AK20" s="40">
        <f t="shared" si="3"/>
        <v>0.57077625570776247</v>
      </c>
      <c r="AL20" s="18"/>
      <c r="AM20" s="18"/>
      <c r="AN20" s="18"/>
      <c r="AO20" s="15">
        <f>IFERROR((s_TR/(up_RadSpec!H20*s_IFW_res_adj)),".")</f>
        <v>3.9999999999999996E-10</v>
      </c>
      <c r="AP20" s="15" t="str">
        <f>IFERROR(IF(up_RadSpec!C20=1,(s_TR/(up_RadSpec!G20*s_IFA_res_adj*s_K)),"."),".")</f>
        <v>.</v>
      </c>
      <c r="AQ20" s="15">
        <f>IFERROR((s_TR/(up_RadSpec!L20*(1/8760)*s_DFA_res_adj)),".")</f>
        <v>4.3800000000000004E-6</v>
      </c>
      <c r="AR20" s="15">
        <f>up_b2w!C20</f>
        <v>1.8087754064641833E-11</v>
      </c>
      <c r="AS20" s="15">
        <f t="shared" si="15"/>
        <v>1.7305154169200115E-11</v>
      </c>
      <c r="AT20" s="40">
        <f t="shared" si="4"/>
        <v>2500</v>
      </c>
      <c r="AU20" s="40">
        <f t="shared" si="5"/>
        <v>455.72916666666663</v>
      </c>
      <c r="AV20" s="40">
        <f t="shared" si="6"/>
        <v>0.22831050228310501</v>
      </c>
      <c r="AW20" s="40">
        <f>up_b2w!AB20</f>
        <v>55286.023705663516</v>
      </c>
      <c r="AX20" s="18"/>
      <c r="AY20" s="18"/>
      <c r="AZ20" s="18"/>
      <c r="BA20" s="18"/>
      <c r="BB20" s="18"/>
      <c r="BC20" s="15">
        <f>IFERROR(s_TR/(up_RadSpec!E20*s_EF_res*s_ED_res*s_IRF_res*0.001*s_CF_res_fish),".")</f>
        <v>7.2727272727272723E-11</v>
      </c>
      <c r="BD20" s="40">
        <f t="shared" si="7"/>
        <v>13750</v>
      </c>
      <c r="BE20" s="18"/>
    </row>
    <row r="21" spans="1:57" x14ac:dyDescent="0.25">
      <c r="A21" s="44" t="s">
        <v>31</v>
      </c>
      <c r="B21" s="42" t="s">
        <v>1074</v>
      </c>
      <c r="C21" s="15">
        <f>IFERROR(((s_TR/(up_RadSpec!D21*s_IFS_res_adj*(1/1000)))*1),".")</f>
        <v>3.6363636363636363E-8</v>
      </c>
      <c r="D21" s="15">
        <f>IFERROR(IF(A21="H-3",(s_TR/((up_RadSpec!G21*s_IFA_res_adj*(1/17)*1000))*1),(s_TR/((up_RadSpec!G21*s_IFA_res_adj*(1/s_PEF_wind)*1000))*1)),".")</f>
        <v>3.3989909629864073E-4</v>
      </c>
      <c r="E21" s="15" t="str">
        <f>IFERROR((s_TR/(up_RadSpec!F21*s_EF_res*(1/365)*s_ED_res*up_RadSpec!Q21*((s_ET_res_o*(1/24)*up_RadSpec!V21)+(s_ET_res_i*(1/24)*up_RadSpec!AA21))))*1,".")</f>
        <v>.</v>
      </c>
      <c r="F21" s="15">
        <f>up_b2s!C21</f>
        <v>3.6265718922545492E-12</v>
      </c>
      <c r="G21" s="15">
        <f>up_dir!C21</f>
        <v>1.8181818181818181E-11</v>
      </c>
      <c r="H21" s="15">
        <f t="shared" si="12"/>
        <v>3.6262102089839709E-12</v>
      </c>
      <c r="I21" s="40">
        <f t="shared" si="0"/>
        <v>27.5</v>
      </c>
      <c r="J21" s="40">
        <f t="shared" si="1"/>
        <v>2.9420495991003873E-3</v>
      </c>
      <c r="K21" s="40">
        <f>IFERROR((s_C*s_EF_res*(1/365)*s_ED_res*up_RadSpec!Q21*((s_ET_res_o*(1/24)*up_RadSpec!V21)+(s_ET_res_i*(1/24)*up_RadSpec!AA21))),".")</f>
        <v>0</v>
      </c>
      <c r="L21" s="40">
        <f>up_b2s!AB21</f>
        <v>275742.5</v>
      </c>
      <c r="M21" s="18"/>
      <c r="N21" s="18"/>
      <c r="O21" s="18"/>
      <c r="P21" s="18"/>
      <c r="Q21" s="18"/>
      <c r="R21" s="15" t="str">
        <f>IFERROR((s_TR/(up_RadSpec!F21*s_EF_res*(1/365)*s_ED_res*up_RadSpec!Q21*((s_ET_res_o*(1/24)*up_RadSpec!V21)+(s_ET_res_i*(1/24)*up_RadSpec!AA21))))*1,".")</f>
        <v>.</v>
      </c>
      <c r="S21" s="15" t="str">
        <f>IFERROR((s_TR/(up_RadSpec!M21*s_EF_res*(1/365)*s_ED_res*up_RadSpec!R21*((s_ET_res_o*(1/24)*up_RadSpec!W21)+(s_ET_res_i*(1/24)*up_RadSpec!AB21))))*1,".")</f>
        <v>.</v>
      </c>
      <c r="T21" s="15" t="str">
        <f>IFERROR((s_TR/(up_RadSpec!N21*s_EF_res*(1/365)*s_ED_res*up_RadSpec!S21*((s_ET_res_o*(1/24)*up_RadSpec!X21)+(s_ET_res_i*(1/24)*up_RadSpec!AC21))))*1,".")</f>
        <v>.</v>
      </c>
      <c r="U21" s="15" t="str">
        <f>IFERROR((s_TR/(up_RadSpec!O21*s_EF_res*(1/365)*s_ED_res*up_RadSpec!T21*((s_ET_res_o*(1/24)*up_RadSpec!Y21)+(s_ET_res_i*(1/24)*up_RadSpec!AD21))))*1,".")</f>
        <v>.</v>
      </c>
      <c r="V21" s="15" t="str">
        <f>IFERROR((s_TR/(up_RadSpec!K21*s_EF_res*(1/365)*s_ED_res*up_RadSpec!P21*((s_ET_res_o*(1/24)*up_RadSpec!U21)+(s_ET_res_i*(1/24)*up_RadSpec!Z21))))*1,".")</f>
        <v>.</v>
      </c>
      <c r="W21" s="40">
        <f>IFERROR((s_C*s_EF_res*(1/365)*s_ED_res*up_RadSpec!Q21*((s_ET_res_o*(1/24)*up_RadSpec!V21)+(s_ET_res_i*(1/24)*up_RadSpec!AA21))),".")</f>
        <v>0</v>
      </c>
      <c r="X21" s="40">
        <f>IFERROR((s_C*s_EF_res*(1/365)*s_ED_res*up_RadSpec!R21*((s_ET_res_o*(1/24)*up_RadSpec!W21)+(s_ET_res_i*(1/24)*up_RadSpec!AB21))),".")</f>
        <v>0</v>
      </c>
      <c r="Y21" s="40">
        <f>IFERROR((s_C*s_EF_res*(1/365)*s_ED_res*up_RadSpec!S21*((s_ET_res_o*(1/24)*up_RadSpec!X21)+(s_ET_res_i*(1/24)*up_RadSpec!AC21))),".")</f>
        <v>0</v>
      </c>
      <c r="Z21" s="40">
        <f>IFERROR((s_C*s_EF_res*(1/365)*s_ED_res*up_RadSpec!T21*((s_ET_res_o*(1/24)*up_RadSpec!Y21)+(s_ET_res_i*(1/24)*up_RadSpec!AD21))),".")</f>
        <v>0</v>
      </c>
      <c r="AA21" s="40">
        <f>IFERROR((s_C*s_EF_res*(1/365)*s_ED_res*up_RadSpec!P21*((s_ET_res_o*(1/24)*up_RadSpec!U21)+(s_ET_res_i*(1/24)*up_RadSpec!Z21))),".")</f>
        <v>0</v>
      </c>
      <c r="AB21" s="18"/>
      <c r="AC21" s="18"/>
      <c r="AD21" s="18"/>
      <c r="AE21" s="18"/>
      <c r="AF21" s="18"/>
      <c r="AG21" s="15">
        <f>IFERROR((s_TR/(up_RadSpec!G21*s_IFA_res_adj)),".")</f>
        <v>1.0971428571428573E-9</v>
      </c>
      <c r="AH21" s="15">
        <f>IFERROR((s_TR/(up_RadSpec!J21*s_EF_res*(1/365)*s_ED_res*s_ET_res*(1/24)*s_GSF_a)),".")</f>
        <v>1.7520000000000001E-6</v>
      </c>
      <c r="AI21" s="15">
        <f>IFERROR(IF(AND(AG21&lt;&gt;".",AH21&lt;&gt;"."),1/((1/AG21)+(1/AH21)),IF(AND(AG21&lt;&gt;".",AH21="."),1/((1/AG21)),IF(AND(AG21=".",AH21&lt;&gt;"."),1/((1/AH21)),IF(AND(AG21=".",AH21="."),".")))),".")</f>
        <v>1.0964562309317064E-9</v>
      </c>
      <c r="AJ21" s="40">
        <f t="shared" si="2"/>
        <v>911.45833333333326</v>
      </c>
      <c r="AK21" s="40">
        <f t="shared" si="3"/>
        <v>0.57077625570776247</v>
      </c>
      <c r="AL21" s="18"/>
      <c r="AM21" s="18"/>
      <c r="AN21" s="18"/>
      <c r="AO21" s="15">
        <f>IFERROR((s_TR/(up_RadSpec!H21*s_IFW_res_adj)),".")</f>
        <v>3.9999999999999996E-10</v>
      </c>
      <c r="AP21" s="15" t="str">
        <f>IFERROR(IF(up_RadSpec!C21=1,(s_TR/(up_RadSpec!G21*s_IFA_res_adj*s_K)),"."),".")</f>
        <v>.</v>
      </c>
      <c r="AQ21" s="15">
        <f>IFERROR((s_TR/(up_RadSpec!L21*(1/8760)*s_DFA_res_adj)),".")</f>
        <v>4.3800000000000004E-6</v>
      </c>
      <c r="AR21" s="15">
        <f>up_b2w!C21</f>
        <v>1.8087754064641833E-11</v>
      </c>
      <c r="AS21" s="15">
        <f>(IF(AND(AO21&lt;&gt;".",AP21&lt;&gt;".",AQ21&lt;&gt;".",AR21&lt;&gt;"."),1/((1/AO21)+(1/AP21)+(1/AQ21)+(1/AR21)),IF(AND(AO21&lt;&gt;".",AP21&lt;&gt;".",AQ21&lt;&gt;".",AR21="."), 1/((1/AO21)+(1/AP21)+(1/AQ21)),IF(AND(AO21&lt;&gt;".",AP21&lt;&gt;".",AQ21=".",AR21&lt;&gt;"."),1/((1/AO21)+(1/AP21)+(1/AR21)),IF(AND(AO21&lt;&gt;".",AP21=".",AQ21&lt;&gt;".",AR21&lt;&gt;"."),1/((1/AO21)+(1/AQ21)+(1/AR21)),IF(AND(AO21=".",AP21&lt;&gt;".",AQ21&lt;&gt;".",AR21&lt;&gt;"."),1/((1/AP21)+(1/AQ21)+(1/AR21)),IF(AND(AO21&lt;&gt;".",AP21&lt;&gt;".",AQ21=".",AR21="."),1/((1/AO21)+(1/AP21)),IF(AND(AO21&lt;&gt;".",AP21=".",AQ21&lt;&gt;".",AR21="."),1/((1/AO21)+(1/AQ21)),IF(AND(AO21&lt;&gt;".",AP21=".",AQ21=".",AR21&lt;&gt;"."),1/((1/AO21)+(1/AR21)),IF(AND(AO21=".",AP21=".",AQ21&lt;&gt;".",AR21&lt;&gt;"."),1/((1/AQ21)+(1/AR21)),IF(AND(AO21=".",AP21&lt;&gt;".",AQ21=".",AR21&lt;&gt;"."),1/((1/AP21)+(1/AR21)),IF(AND(AO21=".",AP21&lt;&gt;".",AQ21&lt;&gt;".",AR21="."),1/((1/AP21)+(1/AQ21)),IF(AND(AO21&lt;&gt;".",AP21=".",AQ21=".",AR21="."),1/((1/AO21)),IF(AND(AO21=".",AP21&lt;&gt;".",AQ21=".",AR21="."),1/((1/AP21)),IF(AND(AO21=".",AP21=".",AQ21&lt;&gt;".",AR21="."),1/((1/AQ21)),IF(AND(AO21=".",AP21=".",AQ21=".",AR21&lt;&gt;"."),1/((1/AR21)),IF(AND(AO21=".",AP21=".",AQ21=".",AR21="."),".")))))))))))))))))</f>
        <v>1.7305154169200115E-11</v>
      </c>
      <c r="AT21" s="40">
        <f t="shared" si="4"/>
        <v>2500</v>
      </c>
      <c r="AU21" s="40">
        <f t="shared" si="5"/>
        <v>455.72916666666663</v>
      </c>
      <c r="AV21" s="40">
        <f t="shared" si="6"/>
        <v>0.22831050228310501</v>
      </c>
      <c r="AW21" s="40">
        <f>up_b2w!AB21</f>
        <v>55286.023705663516</v>
      </c>
      <c r="AX21" s="18"/>
      <c r="AY21" s="18"/>
      <c r="AZ21" s="18"/>
      <c r="BA21" s="18"/>
      <c r="BB21" s="18"/>
      <c r="BC21" s="15">
        <f>IFERROR(s_TR/(up_RadSpec!E21*s_EF_res*s_ED_res*s_IRF_res*0.001*s_CF_res_fish),".")</f>
        <v>7.2727272727272723E-11</v>
      </c>
      <c r="BD21" s="40">
        <f t="shared" si="7"/>
        <v>13750</v>
      </c>
      <c r="BE21" s="18"/>
    </row>
    <row r="22" spans="1:57" x14ac:dyDescent="0.25">
      <c r="A22" s="44" t="s">
        <v>32</v>
      </c>
      <c r="B22" s="42" t="s">
        <v>1074</v>
      </c>
      <c r="C22" s="15">
        <f>IFERROR(((s_TR/(up_RadSpec!D22*s_IFS_res_adj*(1/1000)))*1),".")</f>
        <v>3.6363636363636363E-8</v>
      </c>
      <c r="D22" s="15">
        <f>IFERROR(IF(A22="H-3",(s_TR/((up_RadSpec!G22*s_IFA_res_adj*(1/17)*1000))*1),(s_TR/((up_RadSpec!G22*s_IFA_res_adj*(1/s_PEF_wind)*1000))*1)),".")</f>
        <v>3.3989909629864073E-4</v>
      </c>
      <c r="E22" s="15">
        <f>IFERROR((s_TR/(up_RadSpec!F22*s_EF_res*(1/365)*s_ED_res*up_RadSpec!Q22*((s_ET_res_o*(1/24)*up_RadSpec!V22)+(s_ET_res_i*(1/24)*up_RadSpec!AA22))))*1,".")</f>
        <v>93.408602150537689</v>
      </c>
      <c r="F22" s="15">
        <f>up_b2s!C22</f>
        <v>3.6265718922545492E-12</v>
      </c>
      <c r="G22" s="15">
        <f>up_dir!C22</f>
        <v>1.8181818181818181E-11</v>
      </c>
      <c r="H22" s="15">
        <f t="shared" si="12"/>
        <v>3.6262102089838304E-12</v>
      </c>
      <c r="I22" s="40">
        <f t="shared" si="0"/>
        <v>27.5</v>
      </c>
      <c r="J22" s="40">
        <f t="shared" si="1"/>
        <v>2.9420495991003873E-3</v>
      </c>
      <c r="K22" s="40">
        <f>IFERROR((s_C*s_EF_res*(1/365)*s_ED_res*up_RadSpec!Q22*((s_ET_res_o*(1/24)*up_RadSpec!V22)+(s_ET_res_i*(1/24)*up_RadSpec!AA22))),".")</f>
        <v>1.0705652123863238E-8</v>
      </c>
      <c r="L22" s="40">
        <f>up_b2s!AB22</f>
        <v>275742.5</v>
      </c>
      <c r="M22" s="18"/>
      <c r="N22" s="18"/>
      <c r="O22" s="18"/>
      <c r="P22" s="18"/>
      <c r="Q22" s="18"/>
      <c r="R22" s="15">
        <f>IFERROR((s_TR/(up_RadSpec!F22*s_EF_res*(1/365)*s_ED_res*up_RadSpec!Q22*((s_ET_res_o*(1/24)*up_RadSpec!V22)+(s_ET_res_i*(1/24)*up_RadSpec!AA22))))*1,".")</f>
        <v>93.408602150537689</v>
      </c>
      <c r="S22" s="15">
        <f>IFERROR((s_TR/(up_RadSpec!M22*s_EF_res*(1/365)*s_ED_res*up_RadSpec!R22*((s_ET_res_o*(1/24)*up_RadSpec!W22)+(s_ET_res_i*(1/24)*up_RadSpec!AB22))))*1,".")</f>
        <v>85.592241473248407</v>
      </c>
      <c r="T22" s="15">
        <f>IFERROR((s_TR/(up_RadSpec!N22*s_EF_res*(1/365)*s_ED_res*up_RadSpec!S22*((s_ET_res_o*(1/24)*up_RadSpec!X22)+(s_ET_res_i*(1/24)*up_RadSpec!AC22))))*1,".")</f>
        <v>65.75776019476568</v>
      </c>
      <c r="U22" s="15">
        <f>IFERROR((s_TR/(up_RadSpec!O22*s_EF_res*(1/365)*s_ED_res*up_RadSpec!T22*((s_ET_res_o*(1/24)*up_RadSpec!Y22)+(s_ET_res_i*(1/24)*up_RadSpec!AD22))))*1,".")</f>
        <v>67.761574074074048</v>
      </c>
      <c r="V22" s="15">
        <f>IFERROR((s_TR/(up_RadSpec!K22*s_EF_res*(1/365)*s_ED_res*up_RadSpec!P22*((s_ET_res_o*(1/24)*up_RadSpec!U22)+(s_ET_res_i*(1/24)*up_RadSpec!Z22))))*1,".")</f>
        <v>480.81529829382805</v>
      </c>
      <c r="W22" s="40">
        <f>IFERROR((s_C*s_EF_res*(1/365)*s_ED_res*up_RadSpec!Q22*((s_ET_res_o*(1/24)*up_RadSpec!V22)+(s_ET_res_i*(1/24)*up_RadSpec!AA22))),".")</f>
        <v>1.0705652123863238E-8</v>
      </c>
      <c r="X22" s="40">
        <f>IFERROR((s_C*s_EF_res*(1/365)*s_ED_res*up_RadSpec!R22*((s_ET_res_o*(1/24)*up_RadSpec!W22)+(s_ET_res_i*(1/24)*up_RadSpec!AB22))),".")</f>
        <v>1.1683301930030036E-8</v>
      </c>
      <c r="Y22" s="40">
        <f>IFERROR((s_C*s_EF_res*(1/365)*s_ED_res*up_RadSpec!S22*((s_ET_res_o*(1/24)*up_RadSpec!X22)+(s_ET_res_i*(1/24)*up_RadSpec!AC22))),".")</f>
        <v>1.520733061828952E-8</v>
      </c>
      <c r="Z22" s="40">
        <f>IFERROR((s_C*s_EF_res*(1/365)*s_ED_res*up_RadSpec!T22*((s_ET_res_o*(1/24)*up_RadSpec!Y22)+(s_ET_res_i*(1/24)*up_RadSpec!AD22))),".")</f>
        <v>1.4757626481740857E-8</v>
      </c>
      <c r="AA22" s="40">
        <f>IFERROR((s_C*s_EF_res*(1/365)*s_ED_res*up_RadSpec!P22*((s_ET_res_o*(1/24)*up_RadSpec!U22)+(s_ET_res_i*(1/24)*up_RadSpec!Z22))),".")</f>
        <v>2.079800712557395E-9</v>
      </c>
      <c r="AB22" s="18"/>
      <c r="AC22" s="18"/>
      <c r="AD22" s="18"/>
      <c r="AE22" s="18"/>
      <c r="AF22" s="18"/>
      <c r="AG22" s="15">
        <f>IFERROR((s_TR/(up_RadSpec!G22*s_IFA_res_adj)),".")</f>
        <v>1.0971428571428573E-9</v>
      </c>
      <c r="AH22" s="15">
        <f>IFERROR((s_TR/(up_RadSpec!J22*s_EF_res*(1/365)*s_ED_res*s_ET_res*(1/24)*s_GSF_a)),".")</f>
        <v>1.7520000000000001E-6</v>
      </c>
      <c r="AI22" s="15">
        <f t="shared" ref="AI22:AI24" si="16">IFERROR(IF(AND(AG22&lt;&gt;".",AH22&lt;&gt;"."),1/((1/AG22)+(1/AH22)),IF(AND(AG22&lt;&gt;".",AH22="."),1/((1/AG22)),IF(AND(AG22=".",AH22&lt;&gt;"."),1/((1/AH22)),IF(AND(AG22=".",AH22="."),".")))),".")</f>
        <v>1.0964562309317064E-9</v>
      </c>
      <c r="AJ22" s="40">
        <f t="shared" si="2"/>
        <v>911.45833333333326</v>
      </c>
      <c r="AK22" s="40">
        <f t="shared" si="3"/>
        <v>0.57077625570776247</v>
      </c>
      <c r="AL22" s="18"/>
      <c r="AM22" s="18"/>
      <c r="AN22" s="18"/>
      <c r="AO22" s="15">
        <f>IFERROR((s_TR/(up_RadSpec!H22*s_IFW_res_adj)),".")</f>
        <v>3.9999999999999996E-10</v>
      </c>
      <c r="AP22" s="15" t="str">
        <f>IFERROR(IF(up_RadSpec!C22=1,(s_TR/(up_RadSpec!G22*s_IFA_res_adj*s_K)),"."),".")</f>
        <v>.</v>
      </c>
      <c r="AQ22" s="15">
        <f>IFERROR((s_TR/(up_RadSpec!L22*(1/8760)*s_DFA_res_adj)),".")</f>
        <v>4.3800000000000004E-6</v>
      </c>
      <c r="AR22" s="15">
        <f>up_b2w!C22</f>
        <v>1.8087754064641833E-11</v>
      </c>
      <c r="AS22" s="15">
        <f t="shared" ref="AS22:AS24" si="17">(IF(AND(AO22&lt;&gt;".",AP22&lt;&gt;".",AQ22&lt;&gt;".",AR22&lt;&gt;"."),1/((1/AO22)+(1/AP22)+(1/AQ22)+(1/AR22)),IF(AND(AO22&lt;&gt;".",AP22&lt;&gt;".",AQ22&lt;&gt;".",AR22="."), 1/((1/AO22)+(1/AP22)+(1/AQ22)),IF(AND(AO22&lt;&gt;".",AP22&lt;&gt;".",AQ22=".",AR22&lt;&gt;"."),1/((1/AO22)+(1/AP22)+(1/AR22)),IF(AND(AO22&lt;&gt;".",AP22=".",AQ22&lt;&gt;".",AR22&lt;&gt;"."),1/((1/AO22)+(1/AQ22)+(1/AR22)),IF(AND(AO22=".",AP22&lt;&gt;".",AQ22&lt;&gt;".",AR22&lt;&gt;"."),1/((1/AP22)+(1/AQ22)+(1/AR22)),IF(AND(AO22&lt;&gt;".",AP22&lt;&gt;".",AQ22=".",AR22="."),1/((1/AO22)+(1/AP22)),IF(AND(AO22&lt;&gt;".",AP22=".",AQ22&lt;&gt;".",AR22="."),1/((1/AO22)+(1/AQ22)),IF(AND(AO22&lt;&gt;".",AP22=".",AQ22=".",AR22&lt;&gt;"."),1/((1/AO22)+(1/AR22)),IF(AND(AO22=".",AP22=".",AQ22&lt;&gt;".",AR22&lt;&gt;"."),1/((1/AQ22)+(1/AR22)),IF(AND(AO22=".",AP22&lt;&gt;".",AQ22=".",AR22&lt;&gt;"."),1/((1/AP22)+(1/AR22)),IF(AND(AO22=".",AP22&lt;&gt;".",AQ22&lt;&gt;".",AR22="."),1/((1/AP22)+(1/AQ22)),IF(AND(AO22&lt;&gt;".",AP22=".",AQ22=".",AR22="."),1/((1/AO22)),IF(AND(AO22=".",AP22&lt;&gt;".",AQ22=".",AR22="."),1/((1/AP22)),IF(AND(AO22=".",AP22=".",AQ22&lt;&gt;".",AR22="."),1/((1/AQ22)),IF(AND(AO22=".",AP22=".",AQ22=".",AR22&lt;&gt;"."),1/((1/AR22)),IF(AND(AO22=".",AP22=".",AQ22=".",AR22="."),".")))))))))))))))))</f>
        <v>1.7305154169200115E-11</v>
      </c>
      <c r="AT22" s="40">
        <f t="shared" si="4"/>
        <v>2500</v>
      </c>
      <c r="AU22" s="40">
        <f t="shared" si="5"/>
        <v>455.72916666666663</v>
      </c>
      <c r="AV22" s="40">
        <f t="shared" si="6"/>
        <v>0.22831050228310501</v>
      </c>
      <c r="AW22" s="40">
        <f>up_b2w!AB22</f>
        <v>55286.023705663516</v>
      </c>
      <c r="AX22" s="18"/>
      <c r="AY22" s="18"/>
      <c r="AZ22" s="18"/>
      <c r="BA22" s="18"/>
      <c r="BB22" s="18"/>
      <c r="BC22" s="15">
        <f>IFERROR(s_TR/(up_RadSpec!E22*s_EF_res*s_ED_res*s_IRF_res*0.001*s_CF_res_fish),".")</f>
        <v>7.2727272727272723E-11</v>
      </c>
      <c r="BD22" s="40">
        <f t="shared" si="7"/>
        <v>13750</v>
      </c>
      <c r="BE22" s="18"/>
    </row>
    <row r="23" spans="1:57" x14ac:dyDescent="0.25">
      <c r="A23" s="46" t="s">
        <v>33</v>
      </c>
      <c r="B23" s="42" t="s">
        <v>351</v>
      </c>
      <c r="C23" s="15">
        <f>IFERROR(((s_TR/(up_RadSpec!D23*s_IFS_res_adj*(1/1000)))*1),".")</f>
        <v>3.6363636363636363E-8</v>
      </c>
      <c r="D23" s="15">
        <f>IFERROR(IF(A23="H-3",(s_TR/((up_RadSpec!G23*s_IFA_res_adj*(1/17)*1000))*1),(s_TR/((up_RadSpec!G23*s_IFA_res_adj*(1/s_PEF_wind)*1000))*1)),".")</f>
        <v>3.3989909629864073E-4</v>
      </c>
      <c r="E23" s="15">
        <f>IFERROR((s_TR/(up_RadSpec!F23*s_EF_res*(1/365)*s_ED_res*up_RadSpec!Q23*((s_ET_res_o*(1/24)*up_RadSpec!V23)+(s_ET_res_i*(1/24)*up_RadSpec!AA23))))*1,".")</f>
        <v>2.1391286603407811E-5</v>
      </c>
      <c r="F23" s="15">
        <f>up_b2s!C23</f>
        <v>3.6265718922545492E-12</v>
      </c>
      <c r="G23" s="15">
        <f>up_dir!C23</f>
        <v>1.8181818181818181E-11</v>
      </c>
      <c r="H23" s="15">
        <f t="shared" si="12"/>
        <v>3.6262095942758196E-12</v>
      </c>
      <c r="I23" s="40">
        <f t="shared" si="0"/>
        <v>27.5</v>
      </c>
      <c r="J23" s="40">
        <f t="shared" si="1"/>
        <v>2.9420495991003873E-3</v>
      </c>
      <c r="K23" s="40">
        <f>IFERROR((s_C*s_EF_res*(1/365)*s_ED_res*up_RadSpec!Q23*((s_ET_res_o*(1/24)*up_RadSpec!V23)+(s_ET_res_i*(1/24)*up_RadSpec!AA23))),".")</f>
        <v>4.6748006257870039E-2</v>
      </c>
      <c r="L23" s="40">
        <f>up_b2s!AB23</f>
        <v>275742.5</v>
      </c>
      <c r="M23" s="18"/>
      <c r="N23" s="18"/>
      <c r="O23" s="18"/>
      <c r="P23" s="18"/>
      <c r="Q23" s="18"/>
      <c r="R23" s="15">
        <f>IFERROR((s_TR/(up_RadSpec!F23*s_EF_res*(1/365)*s_ED_res*up_RadSpec!Q23*((s_ET_res_o*(1/24)*up_RadSpec!V23)+(s_ET_res_i*(1/24)*up_RadSpec!AA23))))*1,".")</f>
        <v>2.1391286603407811E-5</v>
      </c>
      <c r="S23" s="15">
        <f>IFERROR((s_TR/(up_RadSpec!M23*s_EF_res*(1/365)*s_ED_res*up_RadSpec!R23*((s_ET_res_o*(1/24)*up_RadSpec!W23)+(s_ET_res_i*(1/24)*up_RadSpec!AB23))))*1,".")</f>
        <v>3.8076892588188697E-5</v>
      </c>
      <c r="T23" s="15">
        <f>IFERROR((s_TR/(up_RadSpec!N23*s_EF_res*(1/365)*s_ED_res*up_RadSpec!S23*((s_ET_res_o*(1/24)*up_RadSpec!X23)+(s_ET_res_i*(1/24)*up_RadSpec!AC23))))*1,".")</f>
        <v>2.6925135896800957E-5</v>
      </c>
      <c r="U23" s="15">
        <f>IFERROR((s_TR/(up_RadSpec!O23*s_EF_res*(1/365)*s_ED_res*up_RadSpec!T23*((s_ET_res_o*(1/24)*up_RadSpec!Y23)+(s_ET_res_i*(1/24)*up_RadSpec!AD23))))*1,".")</f>
        <v>2.2033699633699628E-5</v>
      </c>
      <c r="V23" s="15">
        <f>IFERROR((s_TR/(up_RadSpec!K23*s_EF_res*(1/365)*s_ED_res*up_RadSpec!P23*((s_ET_res_o*(1/24)*up_RadSpec!U23)+(s_ET_res_i*(1/24)*up_RadSpec!Z23))))*1,".")</f>
        <v>5.9938973647711501E-5</v>
      </c>
      <c r="W23" s="40">
        <f>IFERROR((s_C*s_EF_res*(1/365)*s_ED_res*up_RadSpec!Q23*((s_ET_res_o*(1/24)*up_RadSpec!V23)+(s_ET_res_i*(1/24)*up_RadSpec!AA23))),".")</f>
        <v>4.6748006257870039E-2</v>
      </c>
      <c r="X23" s="40">
        <f>IFERROR((s_C*s_EF_res*(1/365)*s_ED_res*up_RadSpec!R23*((s_ET_res_o*(1/24)*up_RadSpec!W23)+(s_ET_res_i*(1/24)*up_RadSpec!AB23))),".")</f>
        <v>2.626264729150183E-2</v>
      </c>
      <c r="Y23" s="40">
        <f>IFERROR((s_C*s_EF_res*(1/365)*s_ED_res*up_RadSpec!S23*((s_ET_res_o*(1/24)*up_RadSpec!X23)+(s_ET_res_i*(1/24)*up_RadSpec!AC23))),".")</f>
        <v>3.7140016816732666E-2</v>
      </c>
      <c r="Z23" s="40">
        <f>IFERROR((s_C*s_EF_res*(1/365)*s_ED_res*up_RadSpec!T23*((s_ET_res_o*(1/24)*up_RadSpec!Y23)+(s_ET_res_i*(1/24)*up_RadSpec!AD23))),".")</f>
        <v>4.5385024604335689E-2</v>
      </c>
      <c r="AA23" s="40">
        <f>IFERROR((s_C*s_EF_res*(1/365)*s_ED_res*up_RadSpec!P23*((s_ET_res_o*(1/24)*up_RadSpec!U23)+(s_ET_res_i*(1/24)*up_RadSpec!Z23))),".")</f>
        <v>1.6683635690485008E-2</v>
      </c>
      <c r="AB23" s="18"/>
      <c r="AC23" s="18"/>
      <c r="AD23" s="18"/>
      <c r="AE23" s="18"/>
      <c r="AF23" s="18"/>
      <c r="AG23" s="15">
        <f>IFERROR((s_TR/(up_RadSpec!G23*s_IFA_res_adj)),".")</f>
        <v>1.0971428571428573E-9</v>
      </c>
      <c r="AH23" s="15">
        <f>IFERROR((s_TR/(up_RadSpec!J23*s_EF_res*(1/365)*s_ED_res*s_ET_res*(1/24)*s_GSF_a)),".")</f>
        <v>1.7520000000000001E-6</v>
      </c>
      <c r="AI23" s="15">
        <f t="shared" si="16"/>
        <v>1.0964562309317064E-9</v>
      </c>
      <c r="AJ23" s="40">
        <f t="shared" si="2"/>
        <v>911.45833333333326</v>
      </c>
      <c r="AK23" s="40">
        <f t="shared" si="3"/>
        <v>0.57077625570776247</v>
      </c>
      <c r="AL23" s="18"/>
      <c r="AM23" s="18"/>
      <c r="AN23" s="18"/>
      <c r="AO23" s="15">
        <f>IFERROR((s_TR/(up_RadSpec!H23*s_IFW_res_adj)),".")</f>
        <v>3.9999999999999996E-10</v>
      </c>
      <c r="AP23" s="15">
        <f>IFERROR(IF(up_RadSpec!C23=1,(s_TR/(up_RadSpec!G23*s_IFA_res_adj*s_K)),"."),".")</f>
        <v>2.1942857142857146E-9</v>
      </c>
      <c r="AQ23" s="15">
        <f>IFERROR((s_TR/(up_RadSpec!L23*(1/8760)*s_DFA_res_adj)),".")</f>
        <v>4.3800000000000004E-6</v>
      </c>
      <c r="AR23" s="15">
        <f>up_b2w!C23</f>
        <v>1.8087754064641833E-11</v>
      </c>
      <c r="AS23" s="15">
        <f t="shared" si="17"/>
        <v>1.716974559743792E-11</v>
      </c>
      <c r="AT23" s="40">
        <f t="shared" si="4"/>
        <v>2500</v>
      </c>
      <c r="AU23" s="40">
        <f t="shared" si="5"/>
        <v>455.72916666666663</v>
      </c>
      <c r="AV23" s="40">
        <f t="shared" si="6"/>
        <v>0.22831050228310501</v>
      </c>
      <c r="AW23" s="40">
        <f>up_b2w!AB23</f>
        <v>55286.023705663516</v>
      </c>
      <c r="AX23" s="18"/>
      <c r="AY23" s="18"/>
      <c r="AZ23" s="18"/>
      <c r="BA23" s="18"/>
      <c r="BB23" s="18"/>
      <c r="BC23" s="15">
        <f>IFERROR(s_TR/(up_RadSpec!E23*s_EF_res*s_ED_res*s_IRF_res*0.001*s_CF_res_fish),".")</f>
        <v>7.2727272727272723E-11</v>
      </c>
      <c r="BD23" s="40">
        <f t="shared" si="7"/>
        <v>13750</v>
      </c>
      <c r="BE23" s="18"/>
    </row>
    <row r="24" spans="1:57" x14ac:dyDescent="0.25">
      <c r="A24" s="44" t="s">
        <v>34</v>
      </c>
      <c r="B24" s="42" t="s">
        <v>1074</v>
      </c>
      <c r="C24" s="15">
        <f>IFERROR(((s_TR/(up_RadSpec!D24*s_IFS_res_adj*(1/1000)))*1),".")</f>
        <v>3.6363636363636363E-8</v>
      </c>
      <c r="D24" s="15">
        <f>IFERROR(IF(A24="H-3",(s_TR/((up_RadSpec!G24*s_IFA_res_adj*(1/17)*1000))*1),(s_TR/((up_RadSpec!G24*s_IFA_res_adj*(1/s_PEF_wind)*1000))*1)),".")</f>
        <v>3.3989909629864073E-4</v>
      </c>
      <c r="E24" s="15">
        <f>IFERROR((s_TR/(up_RadSpec!F24*s_EF_res*(1/365)*s_ED_res*up_RadSpec!Q24*((s_ET_res_o*(1/24)*up_RadSpec!V24)+(s_ET_res_i*(1/24)*up_RadSpec!AA24))))*1,".")</f>
        <v>2.8042276946188113E-5</v>
      </c>
      <c r="F24" s="15">
        <f>up_b2s!C24</f>
        <v>3.6265718922545492E-12</v>
      </c>
      <c r="G24" s="15">
        <f>up_dir!C24</f>
        <v>1.8181818181818181E-11</v>
      </c>
      <c r="H24" s="15">
        <f t="shared" si="12"/>
        <v>3.6262097400705942E-12</v>
      </c>
      <c r="I24" s="40">
        <f t="shared" si="0"/>
        <v>27.5</v>
      </c>
      <c r="J24" s="40">
        <f t="shared" si="1"/>
        <v>2.9420495991003873E-3</v>
      </c>
      <c r="K24" s="40">
        <f>IFERROR((s_C*s_EF_res*(1/365)*s_ED_res*up_RadSpec!Q24*((s_ET_res_o*(1/24)*up_RadSpec!V24)+(s_ET_res_i*(1/24)*up_RadSpec!AA24))),".")</f>
        <v>3.5660442335654685E-2</v>
      </c>
      <c r="L24" s="40">
        <f>up_b2s!AB24</f>
        <v>275742.5</v>
      </c>
      <c r="M24" s="18"/>
      <c r="N24" s="18"/>
      <c r="O24" s="18"/>
      <c r="P24" s="18"/>
      <c r="Q24" s="18"/>
      <c r="R24" s="15">
        <f>IFERROR((s_TR/(up_RadSpec!F24*s_EF_res*(1/365)*s_ED_res*up_RadSpec!Q24*((s_ET_res_o*(1/24)*up_RadSpec!V24)+(s_ET_res_i*(1/24)*up_RadSpec!AA24))))*1,".")</f>
        <v>2.8042276946188113E-5</v>
      </c>
      <c r="S24" s="15">
        <f>IFERROR((s_TR/(up_RadSpec!M24*s_EF_res*(1/365)*s_ED_res*up_RadSpec!R24*((s_ET_res_o*(1/24)*up_RadSpec!W24)+(s_ET_res_i*(1/24)*up_RadSpec!AB24))))*1,".")</f>
        <v>5.0841067702712424E-5</v>
      </c>
      <c r="T24" s="15">
        <f>IFERROR((s_TR/(up_RadSpec!N24*s_EF_res*(1/365)*s_ED_res*up_RadSpec!S24*((s_ET_res_o*(1/24)*up_RadSpec!X24)+(s_ET_res_i*(1/24)*up_RadSpec!AC24))))*1,".")</f>
        <v>3.5897079046340923E-5</v>
      </c>
      <c r="U24" s="15">
        <f>IFERROR((s_TR/(up_RadSpec!O24*s_EF_res*(1/365)*s_ED_res*up_RadSpec!T24*((s_ET_res_o*(1/24)*up_RadSpec!Y24)+(s_ET_res_i*(1/24)*up_RadSpec!AD24))))*1,".")</f>
        <v>2.9976388461143622E-5</v>
      </c>
      <c r="V24" s="15">
        <f>IFERROR((s_TR/(up_RadSpec!K24*s_EF_res*(1/365)*s_ED_res*up_RadSpec!P24*((s_ET_res_o*(1/24)*up_RadSpec!U24)+(s_ET_res_i*(1/24)*up_RadSpec!Z24))))*1,".")</f>
        <v>8.4498168498168478E-5</v>
      </c>
      <c r="W24" s="40">
        <f>IFERROR((s_C*s_EF_res*(1/365)*s_ED_res*up_RadSpec!Q24*((s_ET_res_o*(1/24)*up_RadSpec!V24)+(s_ET_res_i*(1/24)*up_RadSpec!AA24))),".")</f>
        <v>3.5660442335654685E-2</v>
      </c>
      <c r="X24" s="40">
        <f>IFERROR((s_C*s_EF_res*(1/365)*s_ED_res*up_RadSpec!R24*((s_ET_res_o*(1/24)*up_RadSpec!W24)+(s_ET_res_i*(1/24)*up_RadSpec!AB24))),".")</f>
        <v>1.966913845805502E-2</v>
      </c>
      <c r="Y24" s="40">
        <f>IFERROR((s_C*s_EF_res*(1/365)*s_ED_res*up_RadSpec!S24*((s_ET_res_o*(1/24)*up_RadSpec!X24)+(s_ET_res_i*(1/24)*up_RadSpec!AC24))),".")</f>
        <v>2.7857419783628115E-2</v>
      </c>
      <c r="Z24" s="40">
        <f>IFERROR((s_C*s_EF_res*(1/365)*s_ED_res*up_RadSpec!T24*((s_ET_res_o*(1/24)*up_RadSpec!Y24)+(s_ET_res_i*(1/24)*up_RadSpec!AD24))),".")</f>
        <v>3.3359589041095886E-2</v>
      </c>
      <c r="AA24" s="40">
        <f>IFERROR((s_C*s_EF_res*(1/365)*s_ED_res*up_RadSpec!P24*((s_ET_res_o*(1/24)*up_RadSpec!U24)+(s_ET_res_i*(1/24)*up_RadSpec!Z24))),".")</f>
        <v>1.1834576036067282E-2</v>
      </c>
      <c r="AB24" s="18"/>
      <c r="AC24" s="18"/>
      <c r="AD24" s="18"/>
      <c r="AE24" s="18"/>
      <c r="AF24" s="18"/>
      <c r="AG24" s="15">
        <f>IFERROR((s_TR/(up_RadSpec!G24*s_IFA_res_adj)),".")</f>
        <v>1.0971428571428573E-9</v>
      </c>
      <c r="AH24" s="15">
        <f>IFERROR((s_TR/(up_RadSpec!J24*s_EF_res*(1/365)*s_ED_res*s_ET_res*(1/24)*s_GSF_a)),".")</f>
        <v>1.7520000000000001E-6</v>
      </c>
      <c r="AI24" s="15">
        <f t="shared" si="16"/>
        <v>1.0964562309317064E-9</v>
      </c>
      <c r="AJ24" s="40">
        <f t="shared" si="2"/>
        <v>911.45833333333326</v>
      </c>
      <c r="AK24" s="40">
        <f t="shared" si="3"/>
        <v>0.57077625570776247</v>
      </c>
      <c r="AL24" s="18"/>
      <c r="AM24" s="18"/>
      <c r="AN24" s="18"/>
      <c r="AO24" s="15">
        <f>IFERROR((s_TR/(up_RadSpec!H24*s_IFW_res_adj)),".")</f>
        <v>3.9999999999999996E-10</v>
      </c>
      <c r="AP24" s="15" t="str">
        <f>IFERROR(IF(up_RadSpec!C24=1,(s_TR/(up_RadSpec!G24*s_IFA_res_adj*s_K)),"."),".")</f>
        <v>.</v>
      </c>
      <c r="AQ24" s="15">
        <f>IFERROR((s_TR/(up_RadSpec!L24*(1/8760)*s_DFA_res_adj)),".")</f>
        <v>4.3800000000000004E-6</v>
      </c>
      <c r="AR24" s="15">
        <f>up_b2w!C24</f>
        <v>1.8087754064641833E-11</v>
      </c>
      <c r="AS24" s="15">
        <f t="shared" si="17"/>
        <v>1.7305154169200115E-11</v>
      </c>
      <c r="AT24" s="40">
        <f t="shared" si="4"/>
        <v>2500</v>
      </c>
      <c r="AU24" s="40">
        <f t="shared" si="5"/>
        <v>455.72916666666663</v>
      </c>
      <c r="AV24" s="40">
        <f t="shared" si="6"/>
        <v>0.22831050228310501</v>
      </c>
      <c r="AW24" s="40">
        <f>up_b2w!AB24</f>
        <v>55286.023705663516</v>
      </c>
      <c r="AX24" s="18"/>
      <c r="AY24" s="18"/>
      <c r="AZ24" s="18"/>
      <c r="BA24" s="18"/>
      <c r="BB24" s="18"/>
      <c r="BC24" s="15">
        <f>IFERROR(s_TR/(up_RadSpec!E24*s_EF_res*s_ED_res*s_IRF_res*0.001*s_CF_res_fish),".")</f>
        <v>7.2727272727272723E-11</v>
      </c>
      <c r="BD24" s="40">
        <f t="shared" si="7"/>
        <v>13750</v>
      </c>
      <c r="BE24" s="18"/>
    </row>
    <row r="25" spans="1:57" x14ac:dyDescent="0.25">
      <c r="A25" s="46" t="s">
        <v>35</v>
      </c>
      <c r="B25" s="42" t="s">
        <v>351</v>
      </c>
      <c r="C25" s="15">
        <f>IFERROR(((s_TR/(up_RadSpec!D25*s_IFS_res_adj*(1/1000)))*1),".")</f>
        <v>3.6363636363636363E-8</v>
      </c>
      <c r="D25" s="15">
        <f>IFERROR(IF(A25="H-3",(s_TR/((up_RadSpec!G25*s_IFA_res_adj*(1/17)*1000))*1),(s_TR/((up_RadSpec!G25*s_IFA_res_adj*(1/s_PEF_wind)*1000))*1)),".")</f>
        <v>3.3989909629864073E-4</v>
      </c>
      <c r="E25" s="15">
        <f>IFERROR((s_TR/(up_RadSpec!F25*s_EF_res*(1/365)*s_ED_res*up_RadSpec!Q25*((s_ET_res_o*(1/24)*up_RadSpec!V25)+(s_ET_res_i*(1/24)*up_RadSpec!AA25))))*1,".")</f>
        <v>3.1271753681392245E-5</v>
      </c>
      <c r="F25" s="15">
        <f>up_b2s!C25</f>
        <v>3.6265718922545492E-12</v>
      </c>
      <c r="G25" s="15">
        <f>up_dir!C25</f>
        <v>1.8181818181818181E-11</v>
      </c>
      <c r="H25" s="15">
        <f t="shared" si="12"/>
        <v>3.6262097884959142E-12</v>
      </c>
      <c r="I25" s="40">
        <f t="shared" si="0"/>
        <v>27.5</v>
      </c>
      <c r="J25" s="40">
        <f t="shared" si="1"/>
        <v>2.9420495991003873E-3</v>
      </c>
      <c r="K25" s="40">
        <f>IFERROR((s_C*s_EF_res*(1/365)*s_ED_res*up_RadSpec!Q25*((s_ET_res_o*(1/24)*up_RadSpec!V25)+(s_ET_res_i*(1/24)*up_RadSpec!AA25))),".")</f>
        <v>3.1977739726027389E-2</v>
      </c>
      <c r="L25" s="40">
        <f>up_b2s!AB25</f>
        <v>275742.5</v>
      </c>
      <c r="M25" s="18"/>
      <c r="N25" s="18"/>
      <c r="O25" s="18"/>
      <c r="P25" s="18"/>
      <c r="Q25" s="18"/>
      <c r="R25" s="15">
        <f>IFERROR((s_TR/(up_RadSpec!F25*s_EF_res*(1/365)*s_ED_res*up_RadSpec!Q25*((s_ET_res_o*(1/24)*up_RadSpec!V25)+(s_ET_res_i*(1/24)*up_RadSpec!AA25))))*1,".")</f>
        <v>3.1271753681392245E-5</v>
      </c>
      <c r="S25" s="15">
        <f>IFERROR((s_TR/(up_RadSpec!M25*s_EF_res*(1/365)*s_ED_res*up_RadSpec!R25*((s_ET_res_o*(1/24)*up_RadSpec!W25)+(s_ET_res_i*(1/24)*up_RadSpec!AB25))))*1,".")</f>
        <v>5.6001221560543581E-5</v>
      </c>
      <c r="T25" s="15">
        <f>IFERROR((s_TR/(up_RadSpec!N25*s_EF_res*(1/365)*s_ED_res*up_RadSpec!S25*((s_ET_res_o*(1/24)*up_RadSpec!X25)+(s_ET_res_i*(1/24)*up_RadSpec!AC25))))*1,".")</f>
        <v>4.0169979832901198E-5</v>
      </c>
      <c r="U25" s="15">
        <f>IFERROR((s_TR/(up_RadSpec!O25*s_EF_res*(1/365)*s_ED_res*up_RadSpec!T25*((s_ET_res_o*(1/24)*up_RadSpec!Y25)+(s_ET_res_i*(1/24)*up_RadSpec!AD25))))*1,".")</f>
        <v>3.5870780819933355E-5</v>
      </c>
      <c r="V25" s="15">
        <f>IFERROR((s_TR/(up_RadSpec!K25*s_EF_res*(1/365)*s_ED_res*up_RadSpec!P25*((s_ET_res_o*(1/24)*up_RadSpec!U25)+(s_ET_res_i*(1/24)*up_RadSpec!Z25))))*1,".")</f>
        <v>1.0040404040404039E-4</v>
      </c>
      <c r="W25" s="40">
        <f>IFERROR((s_C*s_EF_res*(1/365)*s_ED_res*up_RadSpec!Q25*((s_ET_res_o*(1/24)*up_RadSpec!V25)+(s_ET_res_i*(1/24)*up_RadSpec!AA25))),".")</f>
        <v>3.1977739726027389E-2</v>
      </c>
      <c r="X25" s="40">
        <f>IFERROR((s_C*s_EF_res*(1/365)*s_ED_res*up_RadSpec!R25*((s_ET_res_o*(1/24)*up_RadSpec!W25)+(s_ET_res_i*(1/24)*up_RadSpec!AB25))),".")</f>
        <v>1.7856753337405117E-2</v>
      </c>
      <c r="Y25" s="40">
        <f>IFERROR((s_C*s_EF_res*(1/365)*s_ED_res*up_RadSpec!S25*((s_ET_res_o*(1/24)*up_RadSpec!X25)+(s_ET_res_i*(1/24)*up_RadSpec!AC25))),".")</f>
        <v>2.4894212149465671E-2</v>
      </c>
      <c r="Z25" s="40">
        <f>IFERROR((s_C*s_EF_res*(1/365)*s_ED_res*up_RadSpec!T25*((s_ET_res_o*(1/24)*up_RadSpec!Y25)+(s_ET_res_i*(1/24)*up_RadSpec!AD25))),".")</f>
        <v>2.7877843111915226E-2</v>
      </c>
      <c r="AA25" s="40">
        <f>IFERROR((s_C*s_EF_res*(1/365)*s_ED_res*up_RadSpec!P25*((s_ET_res_o*(1/24)*up_RadSpec!U25)+(s_ET_res_i*(1/24)*up_RadSpec!Z25))),".")</f>
        <v>9.9597585513078474E-3</v>
      </c>
      <c r="AB25" s="18"/>
      <c r="AC25" s="18"/>
      <c r="AD25" s="18"/>
      <c r="AE25" s="18"/>
      <c r="AF25" s="18"/>
      <c r="AG25" s="15">
        <f>IFERROR((s_TR/(up_RadSpec!G25*s_IFA_res_adj)),".")</f>
        <v>1.0971428571428573E-9</v>
      </c>
      <c r="AH25" s="15">
        <f>IFERROR((s_TR/(up_RadSpec!J25*s_EF_res*(1/365)*s_ED_res*s_ET_res*(1/24)*s_GSF_a)),".")</f>
        <v>1.7520000000000001E-6</v>
      </c>
      <c r="AI25" s="15">
        <f>IFERROR(IF(AND(AG25&lt;&gt;".",AH25&lt;&gt;"."),1/((1/AG25)+(1/AH25)),IF(AND(AG25&lt;&gt;".",AH25="."),1/((1/AG25)),IF(AND(AG25=".",AH25&lt;&gt;"."),1/((1/AH25)),IF(AND(AG25=".",AH25="."),".")))),".")</f>
        <v>1.0964562309317064E-9</v>
      </c>
      <c r="AJ25" s="40">
        <f t="shared" si="2"/>
        <v>911.45833333333326</v>
      </c>
      <c r="AK25" s="40">
        <f t="shared" si="3"/>
        <v>0.57077625570776247</v>
      </c>
      <c r="AL25" s="18"/>
      <c r="AM25" s="18"/>
      <c r="AN25" s="18"/>
      <c r="AO25" s="15">
        <f>IFERROR((s_TR/(up_RadSpec!H25*s_IFW_res_adj)),".")</f>
        <v>3.9999999999999996E-10</v>
      </c>
      <c r="AP25" s="15">
        <f>IFERROR(IF(up_RadSpec!C25=1,(s_TR/(up_RadSpec!G25*s_IFA_res_adj*s_K)),"."),".")</f>
        <v>2.1942857142857146E-9</v>
      </c>
      <c r="AQ25" s="15">
        <f>IFERROR((s_TR/(up_RadSpec!L25*(1/8760)*s_DFA_res_adj)),".")</f>
        <v>4.3800000000000004E-6</v>
      </c>
      <c r="AR25" s="15">
        <f>up_b2w!C25</f>
        <v>1.8087754064641833E-11</v>
      </c>
      <c r="AS25" s="15">
        <f>(IF(AND(AO25&lt;&gt;".",AP25&lt;&gt;".",AQ25&lt;&gt;".",AR25&lt;&gt;"."),1/((1/AO25)+(1/AP25)+(1/AQ25)+(1/AR25)),IF(AND(AO25&lt;&gt;".",AP25&lt;&gt;".",AQ25&lt;&gt;".",AR25="."), 1/((1/AO25)+(1/AP25)+(1/AQ25)),IF(AND(AO25&lt;&gt;".",AP25&lt;&gt;".",AQ25=".",AR25&lt;&gt;"."),1/((1/AO25)+(1/AP25)+(1/AR25)),IF(AND(AO25&lt;&gt;".",AP25=".",AQ25&lt;&gt;".",AR25&lt;&gt;"."),1/((1/AO25)+(1/AQ25)+(1/AR25)),IF(AND(AO25=".",AP25&lt;&gt;".",AQ25&lt;&gt;".",AR25&lt;&gt;"."),1/((1/AP25)+(1/AQ25)+(1/AR25)),IF(AND(AO25&lt;&gt;".",AP25&lt;&gt;".",AQ25=".",AR25="."),1/((1/AO25)+(1/AP25)),IF(AND(AO25&lt;&gt;".",AP25=".",AQ25&lt;&gt;".",AR25="."),1/((1/AO25)+(1/AQ25)),IF(AND(AO25&lt;&gt;".",AP25=".",AQ25=".",AR25&lt;&gt;"."),1/((1/AO25)+(1/AR25)),IF(AND(AO25=".",AP25=".",AQ25&lt;&gt;".",AR25&lt;&gt;"."),1/((1/AQ25)+(1/AR25)),IF(AND(AO25=".",AP25&lt;&gt;".",AQ25=".",AR25&lt;&gt;"."),1/((1/AP25)+(1/AR25)),IF(AND(AO25=".",AP25&lt;&gt;".",AQ25&lt;&gt;".",AR25="."),1/((1/AP25)+(1/AQ25)),IF(AND(AO25&lt;&gt;".",AP25=".",AQ25=".",AR25="."),1/((1/AO25)),IF(AND(AO25=".",AP25&lt;&gt;".",AQ25=".",AR25="."),1/((1/AP25)),IF(AND(AO25=".",AP25=".",AQ25&lt;&gt;".",AR25="."),1/((1/AQ25)),IF(AND(AO25=".",AP25=".",AQ25=".",AR25&lt;&gt;"."),1/((1/AR25)),IF(AND(AO25=".",AP25=".",AQ25=".",AR25="."),".")))))))))))))))))</f>
        <v>1.716974559743792E-11</v>
      </c>
      <c r="AT25" s="40">
        <f t="shared" si="4"/>
        <v>2500</v>
      </c>
      <c r="AU25" s="40">
        <f t="shared" si="5"/>
        <v>455.72916666666663</v>
      </c>
      <c r="AV25" s="40">
        <f t="shared" si="6"/>
        <v>0.22831050228310501</v>
      </c>
      <c r="AW25" s="40">
        <f>up_b2w!AB25</f>
        <v>55286.023705663516</v>
      </c>
      <c r="AX25" s="18"/>
      <c r="AY25" s="18"/>
      <c r="AZ25" s="18"/>
      <c r="BA25" s="18"/>
      <c r="BB25" s="18"/>
      <c r="BC25" s="15">
        <f>IFERROR(s_TR/(up_RadSpec!E25*s_EF_res*s_ED_res*s_IRF_res*0.001*s_CF_res_fish),".")</f>
        <v>7.2727272727272723E-11</v>
      </c>
      <c r="BD25" s="40">
        <f t="shared" si="7"/>
        <v>13750</v>
      </c>
      <c r="BE25" s="18"/>
    </row>
    <row r="26" spans="1:57" x14ac:dyDescent="0.25">
      <c r="A26" s="44" t="s">
        <v>36</v>
      </c>
      <c r="B26" s="42" t="s">
        <v>1074</v>
      </c>
      <c r="C26" s="15">
        <f>IFERROR(((s_TR/(up_RadSpec!D26*s_IFS_res_adj*(1/1000)))*1),".")</f>
        <v>3.6363636363636363E-8</v>
      </c>
      <c r="D26" s="15">
        <f>IFERROR(IF(A26="H-3",(s_TR/((up_RadSpec!G26*s_IFA_res_adj*(1/17)*1000))*1),(s_TR/((up_RadSpec!G26*s_IFA_res_adj*(1/s_PEF_wind)*1000))*1)),".")</f>
        <v>3.3989909629864073E-4</v>
      </c>
      <c r="E26" s="15">
        <f>IFERROR((s_TR/(up_RadSpec!F26*s_EF_res*(1/365)*s_ED_res*up_RadSpec!Q26*((s_ET_res_o*(1/24)*up_RadSpec!V26)+(s_ET_res_i*(1/24)*up_RadSpec!AA26))))*1,".")</f>
        <v>1.7049886621315187E-4</v>
      </c>
      <c r="F26" s="15">
        <f>up_b2s!C26</f>
        <v>3.6265718922545492E-12</v>
      </c>
      <c r="G26" s="15">
        <f>up_dir!C26</f>
        <v>1.8181818181818181E-11</v>
      </c>
      <c r="H26" s="15">
        <f t="shared" si="12"/>
        <v>3.6262101318608765E-12</v>
      </c>
      <c r="I26" s="40">
        <f t="shared" si="0"/>
        <v>27.5</v>
      </c>
      <c r="J26" s="40">
        <f t="shared" si="1"/>
        <v>2.9420495991003873E-3</v>
      </c>
      <c r="K26" s="40">
        <f>IFERROR((s_C*s_EF_res*(1/365)*s_ED_res*up_RadSpec!Q26*((s_ET_res_o*(1/24)*up_RadSpec!V26)+(s_ET_res_i*(1/24)*up_RadSpec!AA26))),".")</f>
        <v>5.8651416411756897E-3</v>
      </c>
      <c r="L26" s="40">
        <f>up_b2s!AB26</f>
        <v>275742.5</v>
      </c>
      <c r="M26" s="18"/>
      <c r="N26" s="18"/>
      <c r="O26" s="18"/>
      <c r="P26" s="18"/>
      <c r="Q26" s="18"/>
      <c r="R26" s="15">
        <f>IFERROR((s_TR/(up_RadSpec!F26*s_EF_res*(1/365)*s_ED_res*up_RadSpec!Q26*((s_ET_res_o*(1/24)*up_RadSpec!V26)+(s_ET_res_i*(1/24)*up_RadSpec!AA26))))*1,".")</f>
        <v>1.7049886621315187E-4</v>
      </c>
      <c r="S26" s="15">
        <f>IFERROR((s_TR/(up_RadSpec!M26*s_EF_res*(1/365)*s_ED_res*up_RadSpec!R26*((s_ET_res_o*(1/24)*up_RadSpec!W26)+(s_ET_res_i*(1/24)*up_RadSpec!AB26))))*1,".")</f>
        <v>3.1128878735960406E-4</v>
      </c>
      <c r="T26" s="15">
        <f>IFERROR((s_TR/(up_RadSpec!N26*s_EF_res*(1/365)*s_ED_res*up_RadSpec!S26*((s_ET_res_o*(1/24)*up_RadSpec!X26)+(s_ET_res_i*(1/24)*up_RadSpec!AC26))))*1,".")</f>
        <v>2.2499368421052628E-4</v>
      </c>
      <c r="U26" s="15">
        <f>IFERROR((s_TR/(up_RadSpec!O26*s_EF_res*(1/365)*s_ED_res*up_RadSpec!T26*((s_ET_res_o*(1/24)*up_RadSpec!Y26)+(s_ET_res_i*(1/24)*up_RadSpec!AD26))))*1,".")</f>
        <v>1.9245454545454538E-4</v>
      </c>
      <c r="V26" s="15">
        <f>IFERROR((s_TR/(up_RadSpec!K26*s_EF_res*(1/365)*s_ED_res*up_RadSpec!P26*((s_ET_res_o*(1/24)*up_RadSpec!U26)+(s_ET_res_i*(1/24)*up_RadSpec!Z26))))*1,".")</f>
        <v>1.8143580919606163E-3</v>
      </c>
      <c r="W26" s="40">
        <f>IFERROR((s_C*s_EF_res*(1/365)*s_ED_res*up_RadSpec!Q26*((s_ET_res_o*(1/24)*up_RadSpec!V26)+(s_ET_res_i*(1/24)*up_RadSpec!AA26))),".")</f>
        <v>5.8651416411756897E-3</v>
      </c>
      <c r="X26" s="40">
        <f>IFERROR((s_C*s_EF_res*(1/365)*s_ED_res*up_RadSpec!R26*((s_ET_res_o*(1/24)*up_RadSpec!W26)+(s_ET_res_i*(1/24)*up_RadSpec!AB26))),".")</f>
        <v>3.212451076320939E-3</v>
      </c>
      <c r="Y26" s="40">
        <f>IFERROR((s_C*s_EF_res*(1/365)*s_ED_res*up_RadSpec!S26*((s_ET_res_o*(1/24)*up_RadSpec!X26)+(s_ET_res_i*(1/24)*up_RadSpec!AC26))),".")</f>
        <v>4.444569204281758E-3</v>
      </c>
      <c r="Z26" s="40">
        <f>IFERROR((s_C*s_EF_res*(1/365)*s_ED_res*up_RadSpec!T26*((s_ET_res_o*(1/24)*up_RadSpec!Y26)+(s_ET_res_i*(1/24)*up_RadSpec!AD26))),".")</f>
        <v>5.1960321209258403E-3</v>
      </c>
      <c r="AA26" s="40">
        <f>IFERROR((s_C*s_EF_res*(1/365)*s_ED_res*up_RadSpec!P26*((s_ET_res_o*(1/24)*up_RadSpec!U26)+(s_ET_res_i*(1/24)*up_RadSpec!Z26))),".")</f>
        <v>5.511591148577448E-4</v>
      </c>
      <c r="AB26" s="18"/>
      <c r="AC26" s="18"/>
      <c r="AD26" s="18"/>
      <c r="AE26" s="18"/>
      <c r="AF26" s="18"/>
      <c r="AG26" s="15">
        <f>IFERROR((s_TR/(up_RadSpec!G26*s_IFA_res_adj)),".")</f>
        <v>1.0971428571428573E-9</v>
      </c>
      <c r="AH26" s="15">
        <f>IFERROR((s_TR/(up_RadSpec!J26*s_EF_res*(1/365)*s_ED_res*s_ET_res*(1/24)*s_GSF_a)),".")</f>
        <v>1.7520000000000001E-6</v>
      </c>
      <c r="AI26" s="15">
        <f>IFERROR(IF(AND(AG26&lt;&gt;".",AH26&lt;&gt;"."),1/((1/AG26)+(1/AH26)),IF(AND(AG26&lt;&gt;".",AH26="."),1/((1/AG26)),IF(AND(AG26=".",AH26&lt;&gt;"."),1/((1/AH26)),IF(AND(AG26=".",AH26="."),".")))),".")</f>
        <v>1.0964562309317064E-9</v>
      </c>
      <c r="AJ26" s="40">
        <f t="shared" si="2"/>
        <v>911.45833333333326</v>
      </c>
      <c r="AK26" s="40">
        <f t="shared" si="3"/>
        <v>0.57077625570776247</v>
      </c>
      <c r="AL26" s="18"/>
      <c r="AM26" s="18"/>
      <c r="AN26" s="18"/>
      <c r="AO26" s="15">
        <f>IFERROR((s_TR/(up_RadSpec!H26*s_IFW_res_adj)),".")</f>
        <v>3.9999999999999996E-10</v>
      </c>
      <c r="AP26" s="15" t="str">
        <f>IFERROR(IF(up_RadSpec!C26=1,(s_TR/(up_RadSpec!G26*s_IFA_res_adj*s_K)),"."),".")</f>
        <v>.</v>
      </c>
      <c r="AQ26" s="15">
        <f>IFERROR((s_TR/(up_RadSpec!L26*(1/8760)*s_DFA_res_adj)),".")</f>
        <v>4.3800000000000004E-6</v>
      </c>
      <c r="AR26" s="15">
        <f>up_b2w!C26</f>
        <v>1.8087754064641833E-11</v>
      </c>
      <c r="AS26" s="15">
        <f>(IF(AND(AO26&lt;&gt;".",AP26&lt;&gt;".",AQ26&lt;&gt;".",AR26&lt;&gt;"."),1/((1/AO26)+(1/AP26)+(1/AQ26)+(1/AR26)),IF(AND(AO26&lt;&gt;".",AP26&lt;&gt;".",AQ26&lt;&gt;".",AR26="."), 1/((1/AO26)+(1/AP26)+(1/AQ26)),IF(AND(AO26&lt;&gt;".",AP26&lt;&gt;".",AQ26=".",AR26&lt;&gt;"."),1/((1/AO26)+(1/AP26)+(1/AR26)),IF(AND(AO26&lt;&gt;".",AP26=".",AQ26&lt;&gt;".",AR26&lt;&gt;"."),1/((1/AO26)+(1/AQ26)+(1/AR26)),IF(AND(AO26=".",AP26&lt;&gt;".",AQ26&lt;&gt;".",AR26&lt;&gt;"."),1/((1/AP26)+(1/AQ26)+(1/AR26)),IF(AND(AO26&lt;&gt;".",AP26&lt;&gt;".",AQ26=".",AR26="."),1/((1/AO26)+(1/AP26)),IF(AND(AO26&lt;&gt;".",AP26=".",AQ26&lt;&gt;".",AR26="."),1/((1/AO26)+(1/AQ26)),IF(AND(AO26&lt;&gt;".",AP26=".",AQ26=".",AR26&lt;&gt;"."),1/((1/AO26)+(1/AR26)),IF(AND(AO26=".",AP26=".",AQ26&lt;&gt;".",AR26&lt;&gt;"."),1/((1/AQ26)+(1/AR26)),IF(AND(AO26=".",AP26&lt;&gt;".",AQ26=".",AR26&lt;&gt;"."),1/((1/AP26)+(1/AR26)),IF(AND(AO26=".",AP26&lt;&gt;".",AQ26&lt;&gt;".",AR26="."),1/((1/AP26)+(1/AQ26)),IF(AND(AO26&lt;&gt;".",AP26=".",AQ26=".",AR26="."),1/((1/AO26)),IF(AND(AO26=".",AP26&lt;&gt;".",AQ26=".",AR26="."),1/((1/AP26)),IF(AND(AO26=".",AP26=".",AQ26&lt;&gt;".",AR26="."),1/((1/AQ26)),IF(AND(AO26=".",AP26=".",AQ26=".",AR26&lt;&gt;"."),1/((1/AR26)),IF(AND(AO26=".",AP26=".",AQ26=".",AR26="."),".")))))))))))))))))</f>
        <v>1.7305154169200115E-11</v>
      </c>
      <c r="AT26" s="40">
        <f t="shared" si="4"/>
        <v>2500</v>
      </c>
      <c r="AU26" s="40">
        <f t="shared" si="5"/>
        <v>455.72916666666663</v>
      </c>
      <c r="AV26" s="40">
        <f t="shared" si="6"/>
        <v>0.22831050228310501</v>
      </c>
      <c r="AW26" s="40">
        <f>up_b2w!AB26</f>
        <v>55286.023705663516</v>
      </c>
      <c r="AX26" s="18"/>
      <c r="AY26" s="18"/>
      <c r="AZ26" s="18"/>
      <c r="BA26" s="18"/>
      <c r="BB26" s="18"/>
      <c r="BC26" s="15">
        <f>IFERROR(s_TR/(up_RadSpec!E26*s_EF_res*s_ED_res*s_IRF_res*0.001*s_CF_res_fish),".")</f>
        <v>7.2727272727272723E-11</v>
      </c>
      <c r="BD26" s="40">
        <f t="shared" si="7"/>
        <v>13750</v>
      </c>
      <c r="BE26" s="18"/>
    </row>
    <row r="27" spans="1:57" x14ac:dyDescent="0.25">
      <c r="A27" s="44" t="s">
        <v>37</v>
      </c>
      <c r="B27" s="42" t="s">
        <v>1074</v>
      </c>
      <c r="C27" s="15">
        <f>IFERROR(((s_TR/(up_RadSpec!D27*s_IFS_res_adj*(1/1000)))*1),".")</f>
        <v>3.6363636363636363E-8</v>
      </c>
      <c r="D27" s="15">
        <f>IFERROR(IF(A27="H-3",(s_TR/((up_RadSpec!G27*s_IFA_res_adj*(1/17)*1000))*1),(s_TR/((up_RadSpec!G27*s_IFA_res_adj*(1/s_PEF_wind)*1000))*1)),".")</f>
        <v>3.3989909629864073E-4</v>
      </c>
      <c r="E27" s="15">
        <f>IFERROR((s_TR/(up_RadSpec!F27*s_EF_res*(1/365)*s_ED_res*up_RadSpec!Q27*((s_ET_res_o*(1/24)*up_RadSpec!V27)+(s_ET_res_i*(1/24)*up_RadSpec!AA27))))*1,".")</f>
        <v>3.592321561141162E-5</v>
      </c>
      <c r="F27" s="15">
        <f>up_b2s!C27</f>
        <v>3.6265718922545492E-12</v>
      </c>
      <c r="G27" s="15">
        <f>up_dir!C27</f>
        <v>1.8181818181818181E-11</v>
      </c>
      <c r="H27" s="15">
        <f t="shared" si="12"/>
        <v>3.626209842942153E-12</v>
      </c>
      <c r="I27" s="40">
        <f t="shared" si="0"/>
        <v>27.5</v>
      </c>
      <c r="J27" s="40">
        <f t="shared" si="1"/>
        <v>2.9420495991003873E-3</v>
      </c>
      <c r="K27" s="40">
        <f>IFERROR((s_C*s_EF_res*(1/365)*s_ED_res*up_RadSpec!Q27*((s_ET_res_o*(1/24)*up_RadSpec!V27)+(s_ET_res_i*(1/24)*up_RadSpec!AA27))),".")</f>
        <v>2.7837151629664603E-2</v>
      </c>
      <c r="L27" s="40">
        <f>up_b2s!AB27</f>
        <v>275742.5</v>
      </c>
      <c r="M27" s="18"/>
      <c r="N27" s="18"/>
      <c r="O27" s="18"/>
      <c r="P27" s="18"/>
      <c r="Q27" s="18"/>
      <c r="R27" s="15">
        <f>IFERROR((s_TR/(up_RadSpec!F27*s_EF_res*(1/365)*s_ED_res*up_RadSpec!Q27*((s_ET_res_o*(1/24)*up_RadSpec!V27)+(s_ET_res_i*(1/24)*up_RadSpec!AA27))))*1,".")</f>
        <v>3.592321561141162E-5</v>
      </c>
      <c r="S27" s="15">
        <f>IFERROR((s_TR/(up_RadSpec!M27*s_EF_res*(1/365)*s_ED_res*up_RadSpec!R27*((s_ET_res_o*(1/24)*up_RadSpec!W27)+(s_ET_res_i*(1/24)*up_RadSpec!AB27))))*1,".")</f>
        <v>1.0655438596491233E-4</v>
      </c>
      <c r="T27" s="15">
        <f>IFERROR((s_TR/(up_RadSpec!N27*s_EF_res*(1/365)*s_ED_res*up_RadSpec!S27*((s_ET_res_o*(1/24)*up_RadSpec!X27)+(s_ET_res_i*(1/24)*up_RadSpec!AC27))))*1,".")</f>
        <v>6.5325851103628874E-5</v>
      </c>
      <c r="U27" s="15">
        <f>IFERROR((s_TR/(up_RadSpec!O27*s_EF_res*(1/365)*s_ED_res*up_RadSpec!T27*((s_ET_res_o*(1/24)*up_RadSpec!Y27)+(s_ET_res_i*(1/24)*up_RadSpec!AD27))))*1,".")</f>
        <v>4.7522032981887007E-5</v>
      </c>
      <c r="V27" s="15">
        <f>IFERROR((s_TR/(up_RadSpec!K27*s_EF_res*(1/365)*s_ED_res*up_RadSpec!P27*((s_ET_res_o*(1/24)*up_RadSpec!U27)+(s_ET_res_i*(1/24)*up_RadSpec!Z27))))*1,".")</f>
        <v>3.3330024813895797E-4</v>
      </c>
      <c r="W27" s="40">
        <f>IFERROR((s_C*s_EF_res*(1/365)*s_ED_res*up_RadSpec!Q27*((s_ET_res_o*(1/24)*up_RadSpec!V27)+(s_ET_res_i*(1/24)*up_RadSpec!AA27))),".")</f>
        <v>2.7837151629664603E-2</v>
      </c>
      <c r="X27" s="40">
        <f>IFERROR((s_C*s_EF_res*(1/365)*s_ED_res*up_RadSpec!R27*((s_ET_res_o*(1/24)*up_RadSpec!W27)+(s_ET_res_i*(1/24)*up_RadSpec!AB27))),".")</f>
        <v>9.3848788198103213E-3</v>
      </c>
      <c r="Y27" s="40">
        <f>IFERROR((s_C*s_EF_res*(1/365)*s_ED_res*up_RadSpec!S27*((s_ET_res_o*(1/24)*up_RadSpec!X27)+(s_ET_res_i*(1/24)*up_RadSpec!AC27))),".")</f>
        <v>1.5307875566958356E-2</v>
      </c>
      <c r="Z27" s="40">
        <f>IFERROR((s_C*s_EF_res*(1/365)*s_ED_res*up_RadSpec!T27*((s_ET_res_o*(1/24)*up_RadSpec!Y27)+(s_ET_res_i*(1/24)*up_RadSpec!AD27))),".")</f>
        <v>2.1042870795976876E-2</v>
      </c>
      <c r="AA27" s="40">
        <f>IFERROR((s_C*s_EF_res*(1/365)*s_ED_res*up_RadSpec!P27*((s_ET_res_o*(1/24)*up_RadSpec!U27)+(s_ET_res_i*(1/24)*up_RadSpec!Z27))),".")</f>
        <v>3.0002977963073242E-3</v>
      </c>
      <c r="AB27" s="18"/>
      <c r="AC27" s="18"/>
      <c r="AD27" s="18"/>
      <c r="AE27" s="18"/>
      <c r="AF27" s="18"/>
      <c r="AG27" s="15">
        <f>IFERROR((s_TR/(up_RadSpec!G27*s_IFA_res_adj)),".")</f>
        <v>1.0971428571428573E-9</v>
      </c>
      <c r="AH27" s="15">
        <f>IFERROR((s_TR/(up_RadSpec!J27*s_EF_res*(1/365)*s_ED_res*s_ET_res*(1/24)*s_GSF_a)),".")</f>
        <v>1.7520000000000001E-6</v>
      </c>
      <c r="AI27" s="15">
        <f>IFERROR(IF(AND(AG27&lt;&gt;".",AH27&lt;&gt;"."),1/((1/AG27)+(1/AH27)),IF(AND(AG27&lt;&gt;".",AH27="."),1/((1/AG27)),IF(AND(AG27=".",AH27&lt;&gt;"."),1/((1/AH27)),IF(AND(AG27=".",AH27="."),".")))),".")</f>
        <v>1.0964562309317064E-9</v>
      </c>
      <c r="AJ27" s="40">
        <f t="shared" si="2"/>
        <v>911.45833333333326</v>
      </c>
      <c r="AK27" s="40">
        <f t="shared" si="3"/>
        <v>0.57077625570776247</v>
      </c>
      <c r="AL27" s="18"/>
      <c r="AM27" s="18"/>
      <c r="AN27" s="18"/>
      <c r="AO27" s="15">
        <f>IFERROR((s_TR/(up_RadSpec!H27*s_IFW_res_adj)),".")</f>
        <v>3.9999999999999996E-10</v>
      </c>
      <c r="AP27" s="15" t="str">
        <f>IFERROR(IF(up_RadSpec!C27=1,(s_TR/(up_RadSpec!G27*s_IFA_res_adj*s_K)),"."),".")</f>
        <v>.</v>
      </c>
      <c r="AQ27" s="15">
        <f>IFERROR((s_TR/(up_RadSpec!L27*(1/8760)*s_DFA_res_adj)),".")</f>
        <v>4.3800000000000004E-6</v>
      </c>
      <c r="AR27" s="15">
        <f>up_b2w!C27</f>
        <v>1.8087754064641833E-11</v>
      </c>
      <c r="AS27" s="15">
        <f>(IF(AND(AO27&lt;&gt;".",AP27&lt;&gt;".",AQ27&lt;&gt;".",AR27&lt;&gt;"."),1/((1/AO27)+(1/AP27)+(1/AQ27)+(1/AR27)),IF(AND(AO27&lt;&gt;".",AP27&lt;&gt;".",AQ27&lt;&gt;".",AR27="."), 1/((1/AO27)+(1/AP27)+(1/AQ27)),IF(AND(AO27&lt;&gt;".",AP27&lt;&gt;".",AQ27=".",AR27&lt;&gt;"."),1/((1/AO27)+(1/AP27)+(1/AR27)),IF(AND(AO27&lt;&gt;".",AP27=".",AQ27&lt;&gt;".",AR27&lt;&gt;"."),1/((1/AO27)+(1/AQ27)+(1/AR27)),IF(AND(AO27=".",AP27&lt;&gt;".",AQ27&lt;&gt;".",AR27&lt;&gt;"."),1/((1/AP27)+(1/AQ27)+(1/AR27)),IF(AND(AO27&lt;&gt;".",AP27&lt;&gt;".",AQ27=".",AR27="."),1/((1/AO27)+(1/AP27)),IF(AND(AO27&lt;&gt;".",AP27=".",AQ27&lt;&gt;".",AR27="."),1/((1/AO27)+(1/AQ27)),IF(AND(AO27&lt;&gt;".",AP27=".",AQ27=".",AR27&lt;&gt;"."),1/((1/AO27)+(1/AR27)),IF(AND(AO27=".",AP27=".",AQ27&lt;&gt;".",AR27&lt;&gt;"."),1/((1/AQ27)+(1/AR27)),IF(AND(AO27=".",AP27&lt;&gt;".",AQ27=".",AR27&lt;&gt;"."),1/((1/AP27)+(1/AR27)),IF(AND(AO27=".",AP27&lt;&gt;".",AQ27&lt;&gt;".",AR27="."),1/((1/AP27)+(1/AQ27)),IF(AND(AO27&lt;&gt;".",AP27=".",AQ27=".",AR27="."),1/((1/AO27)),IF(AND(AO27=".",AP27&lt;&gt;".",AQ27=".",AR27="."),1/((1/AP27)),IF(AND(AO27=".",AP27=".",AQ27&lt;&gt;".",AR27="."),1/((1/AQ27)),IF(AND(AO27=".",AP27=".",AQ27=".",AR27&lt;&gt;"."),1/((1/AR27)),IF(AND(AO27=".",AP27=".",AQ27=".",AR27="."),".")))))))))))))))))</f>
        <v>1.7305154169200115E-11</v>
      </c>
      <c r="AT27" s="40">
        <f t="shared" si="4"/>
        <v>2500</v>
      </c>
      <c r="AU27" s="40">
        <f t="shared" si="5"/>
        <v>455.72916666666663</v>
      </c>
      <c r="AV27" s="40">
        <f t="shared" si="6"/>
        <v>0.22831050228310501</v>
      </c>
      <c r="AW27" s="40">
        <f>up_b2w!AB27</f>
        <v>55286.023705663516</v>
      </c>
      <c r="AX27" s="18"/>
      <c r="AY27" s="18"/>
      <c r="AZ27" s="18"/>
      <c r="BA27" s="18"/>
      <c r="BB27" s="18"/>
      <c r="BC27" s="15">
        <f>IFERROR(s_TR/(up_RadSpec!E27*s_EF_res*s_ED_res*s_IRF_res*0.001*s_CF_res_fish),".")</f>
        <v>7.2727272727272723E-11</v>
      </c>
      <c r="BD27" s="40">
        <f t="shared" si="7"/>
        <v>13750</v>
      </c>
      <c r="BE27" s="18"/>
    </row>
    <row r="28" spans="1:57" x14ac:dyDescent="0.25">
      <c r="A28" s="44" t="s">
        <v>38</v>
      </c>
      <c r="B28" s="42" t="s">
        <v>1074</v>
      </c>
      <c r="C28" s="15">
        <f>IFERROR(((s_TR/(up_RadSpec!D28*s_IFS_res_adj*(1/1000)))*1),".")</f>
        <v>3.6363636363636363E-8</v>
      </c>
      <c r="D28" s="15">
        <f>IFERROR(IF(A28="H-3",(s_TR/((up_RadSpec!G28*s_IFA_res_adj*(1/17)*1000))*1),(s_TR/((up_RadSpec!G28*s_IFA_res_adj*(1/s_PEF_wind)*1000))*1)),".")</f>
        <v>3.3989909629864073E-4</v>
      </c>
      <c r="E28" s="15">
        <f>IFERROR((s_TR/(up_RadSpec!F28*s_EF_res*(1/365)*s_ED_res*up_RadSpec!Q28*((s_ET_res_o*(1/24)*up_RadSpec!V28)+(s_ET_res_i*(1/24)*up_RadSpec!AA28))))*1,".")</f>
        <v>1.5896347106538189E-5</v>
      </c>
      <c r="F28" s="15">
        <f>up_b2s!C28</f>
        <v>3.6265718922545492E-12</v>
      </c>
      <c r="G28" s="15">
        <f>up_dir!C28</f>
        <v>1.8181818181818181E-11</v>
      </c>
      <c r="H28" s="15">
        <f t="shared" si="12"/>
        <v>3.6262093817877987E-12</v>
      </c>
      <c r="I28" s="40">
        <f t="shared" si="0"/>
        <v>27.5</v>
      </c>
      <c r="J28" s="40">
        <f t="shared" si="1"/>
        <v>2.9420495991003873E-3</v>
      </c>
      <c r="K28" s="40">
        <f>IFERROR((s_C*s_EF_res*(1/365)*s_ED_res*up_RadSpec!Q28*((s_ET_res_o*(1/24)*up_RadSpec!V28)+(s_ET_res_i*(1/24)*up_RadSpec!AA28))),".")</f>
        <v>6.2907534246575345E-2</v>
      </c>
      <c r="L28" s="40">
        <f>up_b2s!AB28</f>
        <v>275742.5</v>
      </c>
      <c r="M28" s="18"/>
      <c r="N28" s="18"/>
      <c r="O28" s="18"/>
      <c r="P28" s="18"/>
      <c r="Q28" s="18"/>
      <c r="R28" s="15">
        <f>IFERROR((s_TR/(up_RadSpec!F28*s_EF_res*(1/365)*s_ED_res*up_RadSpec!Q28*((s_ET_res_o*(1/24)*up_RadSpec!V28)+(s_ET_res_i*(1/24)*up_RadSpec!AA28))))*1,".")</f>
        <v>1.5896347106538189E-5</v>
      </c>
      <c r="S28" s="15">
        <f>IFERROR((s_TR/(up_RadSpec!M28*s_EF_res*(1/365)*s_ED_res*up_RadSpec!R28*((s_ET_res_o*(1/24)*up_RadSpec!W28)+(s_ET_res_i*(1/24)*up_RadSpec!AB28))))*1,".")</f>
        <v>3.5446633073751725E-5</v>
      </c>
      <c r="T28" s="15">
        <f>IFERROR((s_TR/(up_RadSpec!N28*s_EF_res*(1/365)*s_ED_res*up_RadSpec!S28*((s_ET_res_o*(1/24)*up_RadSpec!X28)+(s_ET_res_i*(1/24)*up_RadSpec!AC28))))*1,".")</f>
        <v>2.4610198061525486E-5</v>
      </c>
      <c r="U28" s="15">
        <f>IFERROR((s_TR/(up_RadSpec!O28*s_EF_res*(1/365)*s_ED_res*up_RadSpec!T28*((s_ET_res_o*(1/24)*up_RadSpec!Y28)+(s_ET_res_i*(1/24)*up_RadSpec!AD28))))*1,".")</f>
        <v>2.1307578806170342E-5</v>
      </c>
      <c r="V28" s="15">
        <f>IFERROR((s_TR/(up_RadSpec!K28*s_EF_res*(1/365)*s_ED_res*up_RadSpec!P28*((s_ET_res_o*(1/24)*up_RadSpec!U28)+(s_ET_res_i*(1/24)*up_RadSpec!Z28))))*1,".")</f>
        <v>6.231393298059969E-5</v>
      </c>
      <c r="W28" s="40">
        <f>IFERROR((s_C*s_EF_res*(1/365)*s_ED_res*up_RadSpec!Q28*((s_ET_res_o*(1/24)*up_RadSpec!V28)+(s_ET_res_i*(1/24)*up_RadSpec!AA28))),".")</f>
        <v>6.2907534246575345E-2</v>
      </c>
      <c r="X28" s="40">
        <f>IFERROR((s_C*s_EF_res*(1/365)*s_ED_res*up_RadSpec!R28*((s_ET_res_o*(1/24)*up_RadSpec!W28)+(s_ET_res_i*(1/24)*up_RadSpec!AB28))),".")</f>
        <v>2.8211424140604801E-2</v>
      </c>
      <c r="Y28" s="40">
        <f>IFERROR((s_C*s_EF_res*(1/365)*s_ED_res*up_RadSpec!S28*((s_ET_res_o*(1/24)*up_RadSpec!X28)+(s_ET_res_i*(1/24)*up_RadSpec!AC28))),".")</f>
        <v>4.0633561643835629E-2</v>
      </c>
      <c r="Z28" s="40">
        <f>IFERROR((s_C*s_EF_res*(1/365)*s_ED_res*up_RadSpec!T28*((s_ET_res_o*(1/24)*up_RadSpec!Y28)+(s_ET_res_i*(1/24)*up_RadSpec!AD28))),".")</f>
        <v>4.6931657937147486E-2</v>
      </c>
      <c r="AA28" s="40">
        <f>IFERROR((s_C*s_EF_res*(1/365)*s_ED_res*up_RadSpec!P28*((s_ET_res_o*(1/24)*up_RadSpec!U28)+(s_ET_res_i*(1/24)*up_RadSpec!Z28))),".")</f>
        <v>1.6047775387750471E-2</v>
      </c>
      <c r="AB28" s="18"/>
      <c r="AC28" s="18"/>
      <c r="AD28" s="18"/>
      <c r="AE28" s="18"/>
      <c r="AF28" s="18"/>
      <c r="AG28" s="15">
        <f>IFERROR((s_TR/(up_RadSpec!G28*s_IFA_res_adj)),".")</f>
        <v>1.0971428571428573E-9</v>
      </c>
      <c r="AH28" s="15">
        <f>IFERROR((s_TR/(up_RadSpec!J28*s_EF_res*(1/365)*s_ED_res*s_ET_res*(1/24)*s_GSF_a)),".")</f>
        <v>1.7520000000000001E-6</v>
      </c>
      <c r="AI28" s="15">
        <f t="shared" ref="AI28:AI29" si="18">IFERROR(IF(AND(AG28&lt;&gt;".",AH28&lt;&gt;"."),1/((1/AG28)+(1/AH28)),IF(AND(AG28&lt;&gt;".",AH28="."),1/((1/AG28)),IF(AND(AG28=".",AH28&lt;&gt;"."),1/((1/AH28)),IF(AND(AG28=".",AH28="."),".")))),".")</f>
        <v>1.0964562309317064E-9</v>
      </c>
      <c r="AJ28" s="40">
        <f t="shared" si="2"/>
        <v>911.45833333333326</v>
      </c>
      <c r="AK28" s="40">
        <f t="shared" si="3"/>
        <v>0.57077625570776247</v>
      </c>
      <c r="AL28" s="18"/>
      <c r="AM28" s="18"/>
      <c r="AN28" s="18"/>
      <c r="AO28" s="15">
        <f>IFERROR((s_TR/(up_RadSpec!H28*s_IFW_res_adj)),".")</f>
        <v>3.9999999999999996E-10</v>
      </c>
      <c r="AP28" s="15" t="str">
        <f>IFERROR(IF(up_RadSpec!C28=1,(s_TR/(up_RadSpec!G28*s_IFA_res_adj*s_K)),"."),".")</f>
        <v>.</v>
      </c>
      <c r="AQ28" s="15">
        <f>IFERROR((s_TR/(up_RadSpec!L28*(1/8760)*s_DFA_res_adj)),".")</f>
        <v>4.3800000000000004E-6</v>
      </c>
      <c r="AR28" s="15">
        <f>up_b2w!C28</f>
        <v>1.8087754064641833E-11</v>
      </c>
      <c r="AS28" s="15">
        <f t="shared" ref="AS28:AS29" si="19">(IF(AND(AO28&lt;&gt;".",AP28&lt;&gt;".",AQ28&lt;&gt;".",AR28&lt;&gt;"."),1/((1/AO28)+(1/AP28)+(1/AQ28)+(1/AR28)),IF(AND(AO28&lt;&gt;".",AP28&lt;&gt;".",AQ28&lt;&gt;".",AR28="."), 1/((1/AO28)+(1/AP28)+(1/AQ28)),IF(AND(AO28&lt;&gt;".",AP28&lt;&gt;".",AQ28=".",AR28&lt;&gt;"."),1/((1/AO28)+(1/AP28)+(1/AR28)),IF(AND(AO28&lt;&gt;".",AP28=".",AQ28&lt;&gt;".",AR28&lt;&gt;"."),1/((1/AO28)+(1/AQ28)+(1/AR28)),IF(AND(AO28=".",AP28&lt;&gt;".",AQ28&lt;&gt;".",AR28&lt;&gt;"."),1/((1/AP28)+(1/AQ28)+(1/AR28)),IF(AND(AO28&lt;&gt;".",AP28&lt;&gt;".",AQ28=".",AR28="."),1/((1/AO28)+(1/AP28)),IF(AND(AO28&lt;&gt;".",AP28=".",AQ28&lt;&gt;".",AR28="."),1/((1/AO28)+(1/AQ28)),IF(AND(AO28&lt;&gt;".",AP28=".",AQ28=".",AR28&lt;&gt;"."),1/((1/AO28)+(1/AR28)),IF(AND(AO28=".",AP28=".",AQ28&lt;&gt;".",AR28&lt;&gt;"."),1/((1/AQ28)+(1/AR28)),IF(AND(AO28=".",AP28&lt;&gt;".",AQ28=".",AR28&lt;&gt;"."),1/((1/AP28)+(1/AR28)),IF(AND(AO28=".",AP28&lt;&gt;".",AQ28&lt;&gt;".",AR28="."),1/((1/AP28)+(1/AQ28)),IF(AND(AO28&lt;&gt;".",AP28=".",AQ28=".",AR28="."),1/((1/AO28)),IF(AND(AO28=".",AP28&lt;&gt;".",AQ28=".",AR28="."),1/((1/AP28)),IF(AND(AO28=".",AP28=".",AQ28&lt;&gt;".",AR28="."),1/((1/AQ28)),IF(AND(AO28=".",AP28=".",AQ28=".",AR28&lt;&gt;"."),1/((1/AR28)),IF(AND(AO28=".",AP28=".",AQ28=".",AR28="."),".")))))))))))))))))</f>
        <v>1.7305154169200115E-11</v>
      </c>
      <c r="AT28" s="40">
        <f t="shared" si="4"/>
        <v>2500</v>
      </c>
      <c r="AU28" s="40">
        <f t="shared" si="5"/>
        <v>455.72916666666663</v>
      </c>
      <c r="AV28" s="40">
        <f t="shared" si="6"/>
        <v>0.22831050228310501</v>
      </c>
      <c r="AW28" s="40">
        <f>up_b2w!AB28</f>
        <v>55286.023705663516</v>
      </c>
      <c r="AX28" s="18"/>
      <c r="AY28" s="18"/>
      <c r="AZ28" s="18"/>
      <c r="BA28" s="18"/>
      <c r="BB28" s="18"/>
      <c r="BC28" s="15">
        <f>IFERROR(s_TR/(up_RadSpec!E28*s_EF_res*s_ED_res*s_IRF_res*0.001*s_CF_res_fish),".")</f>
        <v>7.2727272727272723E-11</v>
      </c>
      <c r="BD28" s="40">
        <f t="shared" si="7"/>
        <v>13750</v>
      </c>
      <c r="BE28" s="18"/>
    </row>
    <row r="29" spans="1:57" x14ac:dyDescent="0.25">
      <c r="A29" s="44" t="s">
        <v>39</v>
      </c>
      <c r="B29" s="42" t="s">
        <v>1074</v>
      </c>
      <c r="C29" s="15">
        <f>IFERROR(((s_TR/(up_RadSpec!D29*s_IFS_res_adj*(1/1000)))*1),".")</f>
        <v>3.6363636363636363E-8</v>
      </c>
      <c r="D29" s="15">
        <f>IFERROR(IF(A29="H-3",(s_TR/((up_RadSpec!G29*s_IFA_res_adj*(1/17)*1000))*1),(s_TR/((up_RadSpec!G29*s_IFA_res_adj*(1/s_PEF_wind)*1000))*1)),".")</f>
        <v>3.3989909629864073E-4</v>
      </c>
      <c r="E29" s="15">
        <f>IFERROR((s_TR/(up_RadSpec!F29*s_EF_res*(1/365)*s_ED_res*up_RadSpec!Q29*((s_ET_res_o*(1/24)*up_RadSpec!V29)+(s_ET_res_i*(1/24)*up_RadSpec!AA29))))*1,".")</f>
        <v>1.728597449908926E-5</v>
      </c>
      <c r="F29" s="15">
        <f>up_b2s!C29</f>
        <v>3.6265718922545492E-12</v>
      </c>
      <c r="G29" s="15">
        <f>up_dir!C29</f>
        <v>1.8181818181818181E-11</v>
      </c>
      <c r="H29" s="15">
        <f t="shared" si="12"/>
        <v>3.6262094482864633E-12</v>
      </c>
      <c r="I29" s="40">
        <f t="shared" si="0"/>
        <v>27.5</v>
      </c>
      <c r="J29" s="40">
        <f t="shared" si="1"/>
        <v>2.9420495991003873E-3</v>
      </c>
      <c r="K29" s="40">
        <f>IFERROR((s_C*s_EF_res*(1/365)*s_ED_res*up_RadSpec!Q29*((s_ET_res_o*(1/24)*up_RadSpec!V29)+(s_ET_res_i*(1/24)*up_RadSpec!AA29))),".")</f>
        <v>5.7850368809272891E-2</v>
      </c>
      <c r="L29" s="40">
        <f>up_b2s!AB29</f>
        <v>275742.5</v>
      </c>
      <c r="M29" s="18"/>
      <c r="N29" s="18"/>
      <c r="O29" s="18"/>
      <c r="P29" s="18"/>
      <c r="Q29" s="18"/>
      <c r="R29" s="15">
        <f>IFERROR((s_TR/(up_RadSpec!F29*s_EF_res*(1/365)*s_ED_res*up_RadSpec!Q29*((s_ET_res_o*(1/24)*up_RadSpec!V29)+(s_ET_res_i*(1/24)*up_RadSpec!AA29))))*1,".")</f>
        <v>1.728597449908926E-5</v>
      </c>
      <c r="S29" s="15">
        <f>IFERROR((s_TR/(up_RadSpec!M29*s_EF_res*(1/365)*s_ED_res*up_RadSpec!R29*((s_ET_res_o*(1/24)*up_RadSpec!W29)+(s_ET_res_i*(1/24)*up_RadSpec!AB29))))*1,".")</f>
        <v>3.4493567251461972E-5</v>
      </c>
      <c r="T29" s="15">
        <f>IFERROR((s_TR/(up_RadSpec!N29*s_EF_res*(1/365)*s_ED_res*up_RadSpec!S29*((s_ET_res_o*(1/24)*up_RadSpec!X29)+(s_ET_res_i*(1/24)*up_RadSpec!AC29))))*1,".")</f>
        <v>2.4573070607553363E-5</v>
      </c>
      <c r="U29" s="15">
        <f>IFERROR((s_TR/(up_RadSpec!O29*s_EF_res*(1/365)*s_ED_res*up_RadSpec!T29*((s_ET_res_o*(1/24)*up_RadSpec!Y29)+(s_ET_res_i*(1/24)*up_RadSpec!AD29))))*1,".")</f>
        <v>2.0844307692307674E-5</v>
      </c>
      <c r="V29" s="15">
        <f>IFERROR((s_TR/(up_RadSpec!K29*s_EF_res*(1/365)*s_ED_res*up_RadSpec!P29*((s_ET_res_o*(1/24)*up_RadSpec!U29)+(s_ET_res_i*(1/24)*up_RadSpec!Z29))))*1,".")</f>
        <v>6.1939393939393955E-5</v>
      </c>
      <c r="W29" s="40">
        <f>IFERROR((s_C*s_EF_res*(1/365)*s_ED_res*up_RadSpec!Q29*((s_ET_res_o*(1/24)*up_RadSpec!V29)+(s_ET_res_i*(1/24)*up_RadSpec!AA29))),".")</f>
        <v>5.7850368809272891E-2</v>
      </c>
      <c r="X29" s="40">
        <f>IFERROR((s_C*s_EF_res*(1/365)*s_ED_res*up_RadSpec!R29*((s_ET_res_o*(1/24)*up_RadSpec!W29)+(s_ET_res_i*(1/24)*up_RadSpec!AB29))),".")</f>
        <v>2.8990912789909139E-2</v>
      </c>
      <c r="Y29" s="40">
        <f>IFERROR((s_C*s_EF_res*(1/365)*s_ED_res*up_RadSpec!S29*((s_ET_res_o*(1/24)*up_RadSpec!X29)+(s_ET_res_i*(1/24)*up_RadSpec!AC29))),".")</f>
        <v>4.0694954894754429E-2</v>
      </c>
      <c r="Z29" s="40">
        <f>IFERROR((s_C*s_EF_res*(1/365)*s_ED_res*up_RadSpec!T29*((s_ET_res_o*(1/24)*up_RadSpec!Y29)+(s_ET_res_i*(1/24)*up_RadSpec!AD29))),".")</f>
        <v>4.797472838923008E-2</v>
      </c>
      <c r="AA29" s="40">
        <f>IFERROR((s_C*s_EF_res*(1/365)*s_ED_res*up_RadSpec!P29*((s_ET_res_o*(1/24)*up_RadSpec!U29)+(s_ET_res_i*(1/24)*up_RadSpec!Z29))),".")</f>
        <v>1.6144814090019565E-2</v>
      </c>
      <c r="AB29" s="18"/>
      <c r="AC29" s="18"/>
      <c r="AD29" s="18"/>
      <c r="AE29" s="18"/>
      <c r="AF29" s="18"/>
      <c r="AG29" s="15">
        <f>IFERROR((s_TR/(up_RadSpec!G29*s_IFA_res_adj)),".")</f>
        <v>1.0971428571428573E-9</v>
      </c>
      <c r="AH29" s="15">
        <f>IFERROR((s_TR/(up_RadSpec!J29*s_EF_res*(1/365)*s_ED_res*s_ET_res*(1/24)*s_GSF_a)),".")</f>
        <v>1.7520000000000001E-6</v>
      </c>
      <c r="AI29" s="15">
        <f t="shared" si="18"/>
        <v>1.0964562309317064E-9</v>
      </c>
      <c r="AJ29" s="40">
        <f t="shared" si="2"/>
        <v>911.45833333333326</v>
      </c>
      <c r="AK29" s="40">
        <f t="shared" si="3"/>
        <v>0.57077625570776247</v>
      </c>
      <c r="AL29" s="18"/>
      <c r="AM29" s="18"/>
      <c r="AN29" s="18"/>
      <c r="AO29" s="15">
        <f>IFERROR((s_TR/(up_RadSpec!H29*s_IFW_res_adj)),".")</f>
        <v>3.9999999999999996E-10</v>
      </c>
      <c r="AP29" s="15" t="str">
        <f>IFERROR(IF(up_RadSpec!C29=1,(s_TR/(up_RadSpec!G29*s_IFA_res_adj*s_K)),"."),".")</f>
        <v>.</v>
      </c>
      <c r="AQ29" s="15">
        <f>IFERROR((s_TR/(up_RadSpec!L29*(1/8760)*s_DFA_res_adj)),".")</f>
        <v>4.3800000000000004E-6</v>
      </c>
      <c r="AR29" s="15">
        <f>up_b2w!C29</f>
        <v>1.8087754064641833E-11</v>
      </c>
      <c r="AS29" s="15">
        <f t="shared" si="19"/>
        <v>1.7305154169200115E-11</v>
      </c>
      <c r="AT29" s="40">
        <f t="shared" si="4"/>
        <v>2500</v>
      </c>
      <c r="AU29" s="40">
        <f t="shared" si="5"/>
        <v>455.72916666666663</v>
      </c>
      <c r="AV29" s="40">
        <f t="shared" si="6"/>
        <v>0.22831050228310501</v>
      </c>
      <c r="AW29" s="40">
        <f>up_b2w!AB29</f>
        <v>55286.023705663516</v>
      </c>
      <c r="AX29" s="18"/>
      <c r="AY29" s="18"/>
      <c r="AZ29" s="18"/>
      <c r="BA29" s="18"/>
      <c r="BB29" s="18"/>
      <c r="BC29" s="15">
        <f>IFERROR(s_TR/(up_RadSpec!E29*s_EF_res*s_ED_res*s_IRF_res*0.001*s_CF_res_fish),".")</f>
        <v>7.2727272727272723E-11</v>
      </c>
      <c r="BD29" s="40">
        <f t="shared" si="7"/>
        <v>13750</v>
      </c>
      <c r="BE29" s="18"/>
    </row>
    <row r="30" spans="1:57" x14ac:dyDescent="0.25">
      <c r="A30" s="44" t="s">
        <v>40</v>
      </c>
      <c r="B30" s="42" t="s">
        <v>1074</v>
      </c>
      <c r="C30" s="15">
        <f>IFERROR(((s_TR/(up_RadSpec!D30*s_IFS_res_adj*(1/1000)))*1),".")</f>
        <v>3.6363636363636363E-8</v>
      </c>
      <c r="D30" s="15">
        <f>IFERROR(IF(A30="H-3",(s_TR/((up_RadSpec!G30*s_IFA_res_adj*(1/17)*1000))*1),(s_TR/((up_RadSpec!G30*s_IFA_res_adj*(1/s_PEF_wind)*1000))*1)),".")</f>
        <v>3.3989909629864073E-4</v>
      </c>
      <c r="E30" s="15">
        <f>IFERROR((s_TR/(up_RadSpec!F30*s_EF_res*(1/365)*s_ED_res*up_RadSpec!Q30*((s_ET_res_o*(1/24)*up_RadSpec!V30)+(s_ET_res_i*(1/24)*up_RadSpec!AA30))))*1,".")</f>
        <v>1.6222222222222224E-4</v>
      </c>
      <c r="F30" s="15">
        <f>up_b2s!C30</f>
        <v>3.6265718922545492E-12</v>
      </c>
      <c r="G30" s="15">
        <f>up_dir!C30</f>
        <v>1.8181818181818181E-11</v>
      </c>
      <c r="H30" s="15">
        <f>(IF(AND(C30&lt;&gt;".",D30&lt;&gt;".",E30&lt;&gt;".",F30&lt;&gt;"."),1/((1/C30)+(1/D30)+(1/E30)+(1/F30)),IF(AND(C30&lt;&gt;".",D30&lt;&gt;".",E30&lt;&gt;".",F30="."), 1/((1/C30)+(1/D30)+(1/E30)),IF(AND(C30&lt;&gt;".",D30&lt;&gt;".",E30=".",F30&lt;&gt;"."),1/((1/C30)+(1/D30)+(1/F30)),IF(AND(C30&lt;&gt;".",D30=".",E30&lt;&gt;".",F30&lt;&gt;"."),1/((1/C30)+(1/E30)+(1/F30)),IF(AND(C30=".",D30&lt;&gt;".",E30&lt;&gt;".",F30&lt;&gt;"."),1/((1/D30)+(1/E30)+(1/F30)),IF(AND(C30&lt;&gt;".",D30&lt;&gt;".",E30=".",F30="."),1/((1/C30)+(1/D30)),IF(AND(C30&lt;&gt;".",D30=".",E30&lt;&gt;".",F30="."),1/((1/C30)+(1/E30)),IF(AND(C30&lt;&gt;".",D30=".",E30=".",F30&lt;&gt;"."),1/((1/C30)+(1/F30)),IF(AND(C30=".",D30=".",E30&lt;&gt;".",F30&lt;&gt;"."),1/((1/E30)+(1/F30)),IF(AND(C30=".",D30&lt;&gt;".",E30=".",F30&lt;&gt;"."),1/((1/D30)+(1/F30)),IF(AND(C30=".",D30&lt;&gt;".",E30&lt;&gt;".",F30="."),1/((1/D30)+(1/E30)),IF(AND(C30&lt;&gt;".",D30=".",E30=".",F30="."),1/((1/C30)),IF(AND(C30=".",D30&lt;&gt;".",E30=".",F30="."),1/((1/D30)),IF(AND(C30=".",D30=".",E30&lt;&gt;".",F30="."),1/((1/E30)),IF(AND(C30=".",D30=".",E30=".",F30&lt;&gt;"."),1/((1/F30)),IF(AND(C30=".",D30=".",E30=".",F30="."),".")))))))))))))))))</f>
        <v>3.6262101279260248E-12</v>
      </c>
      <c r="I30" s="40">
        <f t="shared" si="0"/>
        <v>27.5</v>
      </c>
      <c r="J30" s="40">
        <f t="shared" si="1"/>
        <v>2.9420495991003873E-3</v>
      </c>
      <c r="K30" s="40">
        <f>IFERROR((s_C*s_EF_res*(1/365)*s_ED_res*up_RadSpec!Q30*((s_ET_res_o*(1/24)*up_RadSpec!V30)+(s_ET_res_i*(1/24)*up_RadSpec!AA30))),".")</f>
        <v>6.1643835616438346E-3</v>
      </c>
      <c r="L30" s="40">
        <f>up_b2s!AB30</f>
        <v>275742.5</v>
      </c>
      <c r="M30" s="18"/>
      <c r="N30" s="18"/>
      <c r="O30" s="18"/>
      <c r="P30" s="18"/>
      <c r="Q30" s="18"/>
      <c r="R30" s="15">
        <f>IFERROR((s_TR/(up_RadSpec!F30*s_EF_res*(1/365)*s_ED_res*up_RadSpec!Q30*((s_ET_res_o*(1/24)*up_RadSpec!V30)+(s_ET_res_i*(1/24)*up_RadSpec!AA30))))*1,".")</f>
        <v>1.6222222222222224E-4</v>
      </c>
      <c r="S30" s="15">
        <f>IFERROR((s_TR/(up_RadSpec!M30*s_EF_res*(1/365)*s_ED_res*up_RadSpec!R30*((s_ET_res_o*(1/24)*up_RadSpec!W30)+(s_ET_res_i*(1/24)*up_RadSpec!AB30))))*1,".")</f>
        <v>7.9472164948453589E-4</v>
      </c>
      <c r="T30" s="15">
        <f>IFERROR((s_TR/(up_RadSpec!N30*s_EF_res*(1/365)*s_ED_res*up_RadSpec!S30*((s_ET_res_o*(1/24)*up_RadSpec!X30)+(s_ET_res_i*(1/24)*up_RadSpec!AC30))))*1,".")</f>
        <v>2.8639069264069255E-4</v>
      </c>
      <c r="U30" s="15">
        <f>IFERROR((s_TR/(up_RadSpec!O30*s_EF_res*(1/365)*s_ED_res*up_RadSpec!T30*((s_ET_res_o*(1/24)*up_RadSpec!Y30)+(s_ET_res_i*(1/24)*up_RadSpec!AD30))))*1,".")</f>
        <v>2.1317487266553489E-4</v>
      </c>
      <c r="V30" s="15">
        <f>IFERROR((s_TR/(up_RadSpec!K30*s_EF_res*(1/365)*s_ED_res*up_RadSpec!P30*((s_ET_res_o*(1/24)*up_RadSpec!U30)+(s_ET_res_i*(1/24)*up_RadSpec!Z30))))*1,".")</f>
        <v>1.9466666666666663E-2</v>
      </c>
      <c r="W30" s="40">
        <f>IFERROR((s_C*s_EF_res*(1/365)*s_ED_res*up_RadSpec!Q30*((s_ET_res_o*(1/24)*up_RadSpec!V30)+(s_ET_res_i*(1/24)*up_RadSpec!AA30))),".")</f>
        <v>6.1643835616438346E-3</v>
      </c>
      <c r="X30" s="40">
        <f>IFERROR((s_C*s_EF_res*(1/365)*s_ED_res*up_RadSpec!R30*((s_ET_res_o*(1/24)*up_RadSpec!W30)+(s_ET_res_i*(1/24)*up_RadSpec!AB30))),".")</f>
        <v>1.2583022000830222E-3</v>
      </c>
      <c r="Y30" s="40">
        <f>IFERROR((s_C*s_EF_res*(1/365)*s_ED_res*up_RadSpec!S30*((s_ET_res_o*(1/24)*up_RadSpec!X30)+(s_ET_res_i*(1/24)*up_RadSpec!AC30))),".")</f>
        <v>3.4917335852621642E-3</v>
      </c>
      <c r="Z30" s="40">
        <f>IFERROR((s_C*s_EF_res*(1/365)*s_ED_res*up_RadSpec!T30*((s_ET_res_o*(1/24)*up_RadSpec!Y30)+(s_ET_res_i*(1/24)*up_RadSpec!AD30))),".")</f>
        <v>4.6909843899330976E-3</v>
      </c>
      <c r="AA30" s="40">
        <f>IFERROR((s_C*s_EF_res*(1/365)*s_ED_res*up_RadSpec!P30*((s_ET_res_o*(1/24)*up_RadSpec!U30)+(s_ET_res_i*(1/24)*up_RadSpec!Z30))),".")</f>
        <v>5.1369863013698633E-5</v>
      </c>
      <c r="AB30" s="18"/>
      <c r="AC30" s="18"/>
      <c r="AD30" s="18"/>
      <c r="AE30" s="18"/>
      <c r="AF30" s="18"/>
      <c r="AG30" s="15">
        <f>IFERROR((s_TR/(up_RadSpec!G30*s_IFA_res_adj)),".")</f>
        <v>1.0971428571428573E-9</v>
      </c>
      <c r="AH30" s="15">
        <f>IFERROR((s_TR/(up_RadSpec!J30*s_EF_res*(1/365)*s_ED_res*s_ET_res*(1/24)*s_GSF_a)),".")</f>
        <v>1.7520000000000001E-6</v>
      </c>
      <c r="AI30" s="15">
        <f>IFERROR(IF(AND(AG30&lt;&gt;".",AH30&lt;&gt;"."),1/((1/AG30)+(1/AH30)),IF(AND(AG30&lt;&gt;".",AH30="."),1/((1/AG30)),IF(AND(AG30=".",AH30&lt;&gt;"."),1/((1/AH30)),IF(AND(AG30=".",AH30="."),".")))),".")</f>
        <v>1.0964562309317064E-9</v>
      </c>
      <c r="AJ30" s="40">
        <f t="shared" si="2"/>
        <v>911.45833333333326</v>
      </c>
      <c r="AK30" s="40">
        <f t="shared" si="3"/>
        <v>0.57077625570776247</v>
      </c>
      <c r="AL30" s="18"/>
      <c r="AM30" s="18"/>
      <c r="AN30" s="18"/>
      <c r="AO30" s="15">
        <f>IFERROR((s_TR/(up_RadSpec!H30*s_IFW_res_adj)),".")</f>
        <v>3.9999999999999996E-10</v>
      </c>
      <c r="AP30" s="15" t="str">
        <f>IFERROR(IF(up_RadSpec!C30=1,(s_TR/(up_RadSpec!G30*s_IFA_res_adj*s_K)),"."),".")</f>
        <v>.</v>
      </c>
      <c r="AQ30" s="15">
        <f>IFERROR((s_TR/(up_RadSpec!L30*(1/8760)*s_DFA_res_adj)),".")</f>
        <v>4.3800000000000004E-6</v>
      </c>
      <c r="AR30" s="15">
        <f>up_b2w!C30</f>
        <v>1.8087754064641833E-11</v>
      </c>
      <c r="AS30" s="15">
        <f>(IF(AND(AO30&lt;&gt;".",AP30&lt;&gt;".",AQ30&lt;&gt;".",AR30&lt;&gt;"."),1/((1/AO30)+(1/AP30)+(1/AQ30)+(1/AR30)),IF(AND(AO30&lt;&gt;".",AP30&lt;&gt;".",AQ30&lt;&gt;".",AR30="."), 1/((1/AO30)+(1/AP30)+(1/AQ30)),IF(AND(AO30&lt;&gt;".",AP30&lt;&gt;".",AQ30=".",AR30&lt;&gt;"."),1/((1/AO30)+(1/AP30)+(1/AR30)),IF(AND(AO30&lt;&gt;".",AP30=".",AQ30&lt;&gt;".",AR30&lt;&gt;"."),1/((1/AO30)+(1/AQ30)+(1/AR30)),IF(AND(AO30=".",AP30&lt;&gt;".",AQ30&lt;&gt;".",AR30&lt;&gt;"."),1/((1/AP30)+(1/AQ30)+(1/AR30)),IF(AND(AO30&lt;&gt;".",AP30&lt;&gt;".",AQ30=".",AR30="."),1/((1/AO30)+(1/AP30)),IF(AND(AO30&lt;&gt;".",AP30=".",AQ30&lt;&gt;".",AR30="."),1/((1/AO30)+(1/AQ30)),IF(AND(AO30&lt;&gt;".",AP30=".",AQ30=".",AR30&lt;&gt;"."),1/((1/AO30)+(1/AR30)),IF(AND(AO30=".",AP30=".",AQ30&lt;&gt;".",AR30&lt;&gt;"."),1/((1/AQ30)+(1/AR30)),IF(AND(AO30=".",AP30&lt;&gt;".",AQ30=".",AR30&lt;&gt;"."),1/((1/AP30)+(1/AR30)),IF(AND(AO30=".",AP30&lt;&gt;".",AQ30&lt;&gt;".",AR30="."),1/((1/AP30)+(1/AQ30)),IF(AND(AO30&lt;&gt;".",AP30=".",AQ30=".",AR30="."),1/((1/AO30)),IF(AND(AO30=".",AP30&lt;&gt;".",AQ30=".",AR30="."),1/((1/AP30)),IF(AND(AO30=".",AP30=".",AQ30&lt;&gt;".",AR30="."),1/((1/AQ30)),IF(AND(AO30=".",AP30=".",AQ30=".",AR30&lt;&gt;"."),1/((1/AR30)),IF(AND(AO30=".",AP30=".",AQ30=".",AR30="."),".")))))))))))))))))</f>
        <v>1.7305154169200115E-11</v>
      </c>
      <c r="AT30" s="40">
        <f t="shared" si="4"/>
        <v>2500</v>
      </c>
      <c r="AU30" s="40">
        <f t="shared" si="5"/>
        <v>455.72916666666663</v>
      </c>
      <c r="AV30" s="40">
        <f t="shared" si="6"/>
        <v>0.22831050228310501</v>
      </c>
      <c r="AW30" s="40">
        <f>up_b2w!AB30</f>
        <v>55286.023705663516</v>
      </c>
      <c r="AX30" s="18"/>
      <c r="AY30" s="18"/>
      <c r="AZ30" s="18"/>
      <c r="BA30" s="18"/>
      <c r="BB30" s="18"/>
      <c r="BC30" s="15">
        <f>IFERROR(s_TR/(up_RadSpec!E30*s_EF_res*s_ED_res*s_IRF_res*0.001*s_CF_res_fish),".")</f>
        <v>7.2727272727272723E-11</v>
      </c>
      <c r="BD30" s="40">
        <f t="shared" si="7"/>
        <v>13750</v>
      </c>
      <c r="BE30" s="18"/>
    </row>
    <row r="31" spans="1:57" x14ac:dyDescent="0.25">
      <c r="A31" s="57" t="s">
        <v>13</v>
      </c>
      <c r="B31" s="57" t="s">
        <v>1259</v>
      </c>
      <c r="C31" s="58">
        <f>1/SUM(1/C32,1/C33,1/C34,1/C35,1/C36,1/C37,1/C38,1/C41,1/C44)</f>
        <v>4.0405117873850377E-9</v>
      </c>
      <c r="D31" s="58">
        <f>1/SUM(1/D32,1/D33,1/D34,1/D35,1/D36,1/D37,1/D38,1/D41,1/D44)</f>
        <v>3.7767573390694943E-5</v>
      </c>
      <c r="E31" s="58">
        <f>1/SUM(1/E32,1/E33,1/E34,1/E35,1/E36,1/E37,1/E38,1/E39,1/E40,1/E41,1/E42,1/E43)</f>
        <v>6.5958908897048188E-6</v>
      </c>
      <c r="F31" s="58">
        <f>1/SUM(1/F32,1/F33,1/F34,1/F35,1/F36,1/F37,1/F38,1/F41,1/F44)</f>
        <v>4.0296317815747855E-13</v>
      </c>
      <c r="G31" s="58">
        <f>1/SUM(1/G32,1/G33,1/G34,1/G35,1/G36,1/G37,1/G38,1/G41,1/G44)</f>
        <v>2.0202558936925186E-12</v>
      </c>
      <c r="H31" s="59">
        <f>1/SUM(1/H32,1/H33,1/H34,1/H35,1/H36,1/H37,1/H38,1/H39,1/H40,1/H41,1/H42,1/H43,1/H44)</f>
        <v>3.0219323603439595E-13</v>
      </c>
      <c r="I31" s="70"/>
      <c r="J31" s="70"/>
      <c r="K31" s="70"/>
      <c r="L31" s="70"/>
      <c r="M31" s="47">
        <f>IFERROR(IF(SUM(I32:I44)&gt;0.01,1-EXP(-SUM(I32:I44)),SUM(I32:I44)),".")</f>
        <v>1</v>
      </c>
      <c r="N31" s="47">
        <f t="shared" ref="N31" si="20">IFERROR(IF(SUM(J32:J44)&gt;0.01,1-EXP(-SUM(J32:J44)),SUM(J32:J44)),".")</f>
        <v>0.16181604028342822</v>
      </c>
      <c r="O31" s="47">
        <f>IFERROR(IF(SUM(K32:K44)&gt;0.01,1-EXP(-SUM(K32:K44)),SUM(K32:K44)),".")</f>
        <v>0.53141966179240163</v>
      </c>
      <c r="P31" s="47">
        <f>IFERROR(IF(SUM(L32:L44)&gt;0.01,1-EXP(-SUM(L32:L44)),SUM(L32:L44)),".")</f>
        <v>1</v>
      </c>
      <c r="Q31" s="47">
        <f>IFERROR(IF(SUM(I32:L44)&gt;0.01,1-EXP(-SUM(I32:L44)),SUM(I32:L44)),".")</f>
        <v>1</v>
      </c>
      <c r="R31" s="59">
        <f>1/SUM(1/R32,1/R33,1/R34,1/R35,1/R36,1/R37,1/R38,1/R39,1/R40,1/R41,1/R42,1/R43)</f>
        <v>6.5958908897048188E-6</v>
      </c>
      <c r="S31" s="59">
        <f>1/SUM(1/S32,1/S33,1/S34,1/S35,1/S36,1/S37,1/S38,1/S39,1/S40,1/S41,1/S42,1/S43)</f>
        <v>1.2189474859829329E-5</v>
      </c>
      <c r="T31" s="59">
        <f>1/SUM(1/T32,1/T33,1/T34,1/T35,1/T36,1/T37,1/T38,1/T39,1/T40,1/T41,1/T42,1/T43)</f>
        <v>8.6124996771757988E-6</v>
      </c>
      <c r="U31" s="59">
        <f>1/SUM(1/U32,1/U33,1/U34,1/U35,1/U36,1/U37,1/U38,1/U39,1/U40,1/U41,1/U42,1/U43)</f>
        <v>7.4818340321449162E-6</v>
      </c>
      <c r="V31" s="59">
        <f>1/SUM(1/V32,1/V33,1/V34,1/V35,1/V36,1/V37,1/V38,1/V39,1/V40,1/V41,1/V42,1/V43)</f>
        <v>2.5751322483675819E-5</v>
      </c>
      <c r="W31" s="70"/>
      <c r="X31" s="73"/>
      <c r="Y31" s="73"/>
      <c r="Z31" s="73"/>
      <c r="AA31" s="73"/>
      <c r="AB31" s="47">
        <f>IFERROR(IF(SUM(W32:W44)&gt;0.01,1-EXP(-SUM(W32:W44)),SUM(W32:W44)),".")</f>
        <v>0.53141966179240163</v>
      </c>
      <c r="AC31" s="47">
        <f t="shared" ref="AC31:AF31" si="21">IFERROR(IF(SUM(X32:X44)&gt;0.01,1-EXP(-SUM(X32:X44)),SUM(X32:X44)),".")</f>
        <v>0.33647579372360847</v>
      </c>
      <c r="AD31" s="47">
        <f t="shared" si="21"/>
        <v>0.44041035783034532</v>
      </c>
      <c r="AE31" s="47">
        <f t="shared" si="21"/>
        <v>0.48741326332697066</v>
      </c>
      <c r="AF31" s="47">
        <f t="shared" si="21"/>
        <v>0.17647781122454353</v>
      </c>
      <c r="AG31" s="58">
        <f>1/SUM(1/AG32,1/AG33,1/AG34,1/AG35,1/AG36,1/AG37,1/AG38,1/AG41,1/AG44)</f>
        <v>1.2190801278510288E-10</v>
      </c>
      <c r="AH31" s="58">
        <f t="shared" ref="AH31" si="22">1/SUM(1/AH32,1/AH33,1/AH34,1/AH35,1/AH36,1/AH37,1/AH38,1/AH39,1/AH40,1/AH41,1/AH42,1/AH43,1/AH44)</f>
        <v>1.4600438013140397E-7</v>
      </c>
      <c r="AI31" s="59">
        <f>1/SUM(1/AI32,1/AI33,1/AI34,1/AI35,1/AI36,1/AI37,1/AI38,1/AI39,1/AI40,1/AI41,1/AI42,1/AI43,1/AI44)</f>
        <v>9.1374093800456211E-11</v>
      </c>
      <c r="AJ31" s="70"/>
      <c r="AK31" s="70"/>
      <c r="AL31" s="47">
        <f>IFERROR(IF(SUM(AJ32:AJ44)&gt;0.01,1-EXP(-SUM(AJ32:AJ44)),SUM(AJ32:AJ44)),".")</f>
        <v>1</v>
      </c>
      <c r="AM31" s="47">
        <f>IFERROR(IF(SUM(AK32:AK44)&gt;0.01,1-EXP(-SUM(AK32:AK44)),SUM(AK32:AK44)),".")</f>
        <v>0.99999999999999867</v>
      </c>
      <c r="AN31" s="47">
        <f>IFERROR(IF(SUM(AJ32:AK44)&gt;0.01,1-EXP(-SUM(AJ32:AK44)),SUM(AJ32:AK44)),".")</f>
        <v>1</v>
      </c>
      <c r="AO31" s="58">
        <f>1/SUM(1/AO32,1/AO33,1/AO34,1/AO35,1/AO36,1/AO37,1/AO38,1/AO41,1/AO44)</f>
        <v>4.4445629661235408E-11</v>
      </c>
      <c r="AP31" s="58">
        <f>IFERROR(1/SUM(1/AP32,1/AP33,1/AP34,1/AP35,1/AP36,1/AP37,1/AP38,1/AP39,1/AP40,1/AP41,1/AP42,1/AP43,1/AP44),0)</f>
        <v>0</v>
      </c>
      <c r="AQ31" s="58">
        <f t="shared" ref="AQ31" si="23">1/SUM(1/AQ32,1/AQ33,1/AQ34,1/AQ35,1/AQ36,1/AQ37,1/AQ38,1/AQ39,1/AQ40,1/AQ41,1/AQ42,1/AQ43,1/AQ44)</f>
        <v>3.6501095032850994E-7</v>
      </c>
      <c r="AR31" s="58">
        <f>1/SUM(1/AR32,1/AR33,1/AR34,1/AR35,1/AR36,1/AR37,1/AR38,1/AR41,1/AR44)</f>
        <v>2.0098040464014409E-12</v>
      </c>
      <c r="AS31" s="59">
        <f>1/SUM(1/AS32,1/AS33,1/AS34,1/AS35,1/AS36,1/AS37,1/AS38,1/AS41,1/AS44)</f>
        <v>1.9228461835871306E-12</v>
      </c>
      <c r="AT31" s="70"/>
      <c r="AU31" s="70"/>
      <c r="AV31" s="70"/>
      <c r="AW31" s="70"/>
      <c r="AX31" s="47">
        <f>IFERROR(IF(SUM(AT32:AT44)&gt;0.01,1-EXP(-SUM(AT32:AT44)),SUM(AT32:AT44)),".")</f>
        <v>1</v>
      </c>
      <c r="AY31" s="47">
        <f>IFERROR(IF(SUM(AU32:AU44)&gt;0.01,1-EXP(-SUM(AU32:AU44)),SUM(AU32:AU44)),".")</f>
        <v>1</v>
      </c>
      <c r="AZ31" s="47">
        <f>IFERROR(IF(SUM(AV32:AV44)&gt;0.01,1-EXP(-SUM(AV32:AV44)),SUM(AV32:AV44)),".")</f>
        <v>0.99999887555297684</v>
      </c>
      <c r="BA31" s="47">
        <f>IFERROR(IF(SUM(AW32:AW44)&gt;0.01,1-EXP(-SUM(AW32:AW44)),SUM(AW32:AW44)),".")</f>
        <v>1</v>
      </c>
      <c r="BB31" s="47">
        <f>IFERROR(IF(SUM(AT32:AW44)&gt;0.01,1-EXP(-SUM(AT32:AW44)),SUM(AT32:AW44)),".")</f>
        <v>1</v>
      </c>
      <c r="BC31" s="59">
        <f>1/SUM(1/BC32,1/BC33,1/BC34,1/BC35,1/BC36,1/BC37,1/BC38,1/BC41,1/BC44)</f>
        <v>8.0810235747700744E-12</v>
      </c>
      <c r="BD31" s="73"/>
      <c r="BE31" s="47">
        <f>IFERROR(IF(SUM(BD32:BD44)&gt;0.01,1-EXP(-SUM(BD32:BD44)),SUM(BD32:BD44)),".")</f>
        <v>1</v>
      </c>
    </row>
    <row r="32" spans="1:57" x14ac:dyDescent="0.25">
      <c r="A32" s="48" t="s">
        <v>1102</v>
      </c>
      <c r="B32" s="15">
        <v>1</v>
      </c>
      <c r="C32" s="60">
        <f>IFERROR(C3/$B32,0)</f>
        <v>3.6363636363636363E-8</v>
      </c>
      <c r="D32" s="60">
        <f>IFERROR(D3/$B32,0)</f>
        <v>3.3989909629864073E-4</v>
      </c>
      <c r="E32" s="60">
        <f>IFERROR(E3/$B32,0)</f>
        <v>1.3557142857142865E-2</v>
      </c>
      <c r="F32" s="60">
        <f>IFERROR(F3/$B32,0)</f>
        <v>3.6265718922545492E-12</v>
      </c>
      <c r="G32" s="60">
        <f>IFERROR(G3/$B32,0)</f>
        <v>1.8181818181818181E-11</v>
      </c>
      <c r="H32" s="60">
        <f>(IF(AND(C32&lt;&gt;0,D32&lt;&gt;0,E32&lt;&gt;0,F32&lt;&gt;0),1/((1/C32)+(1/D32)+(1/E32)+(1/F32)),IF(AND(C32&lt;&gt;0,D32&lt;&gt;0,E32&lt;&gt;0,F32=0), 1/((1/C32)+(1/D32)+(1/E32)),IF(AND(C32&lt;&gt;0,D32&lt;&gt;0,E32=0,F32&lt;&gt;0),1/((1/C32)+(1/D32)+(1/F32)),IF(AND(C32&lt;&gt;0,D32=0,E32&lt;&gt;0,F32&lt;&gt;0),1/((1/C32)+(1/E32)+(1/F32)),IF(AND(C32=0,D32&lt;&gt;0,E32&lt;&gt;0,F32&lt;&gt;0),1/((1/D32)+(1/E32)+(1/F32)),IF(AND(C32&lt;&gt;0,D32&lt;&gt;0,E32=0,F32=0),1/((1/C32)+(1/D32)),IF(AND(C32&lt;&gt;0,D32=0,E32&lt;&gt;0,F32=0),1/((1/C32)+(1/E32)),IF(AND(C32&lt;&gt;0,D32=0,E32=0,F32&lt;&gt;0),1/((1/C32)+(1/F32)),IF(AND(C32=0,D32=0,E32&lt;&gt;0,F32&lt;&gt;0),1/((1/E32)+(1/F32)),IF(AND(C32=0,D32&lt;&gt;0,E32=0,F32&lt;&gt;0),1/((1/D32)+(1/F32)),IF(AND(C32=0,D32&lt;&gt;0,E32&lt;&gt;0,F32=0),1/((1/D32)+(1/E32)),IF(AND(C32&lt;&gt;0,D32=0,E32=0,F32=0),1/((1/C32)),IF(AND(C32=0,D32&lt;&gt;0,E32=0,F32=0),1/((1/D32)),IF(AND(C32=0,D32=0,E32&lt;&gt;0,F32=0),1/((1/E32)),IF(AND(C32=0,D32=0,E32=0,F32&lt;&gt;0),1/((1/F32)),IF(AND(C32=0,D32=0,E32=0,F32=0),0)))))))))))))))))</f>
        <v>3.6262102080140467E-12</v>
      </c>
      <c r="I32" s="71">
        <f>IFERROR(up_RadSpec!$D$3*I3,".")*$B$32</f>
        <v>137.5</v>
      </c>
      <c r="J32" s="71">
        <f>IFERROR(up_RadSpec!$G$3*J3,".")*B32</f>
        <v>1.4710247995501937E-2</v>
      </c>
      <c r="K32" s="71">
        <f>IFERROR(up_RadSpec!$F$3*K3,".")*B32</f>
        <v>3.6880927291886172E-4</v>
      </c>
      <c r="L32" s="71">
        <f>up_b2s!AB32</f>
        <v>7927596.875</v>
      </c>
      <c r="M32" s="49">
        <f>IFERROR(IF(I32&gt;0.01,1-EXP(-I32),I32),".")</f>
        <v>1</v>
      </c>
      <c r="N32" s="49">
        <f>IFERROR(IF(J32&gt;0.01,1-EXP(-J32),J32),".")</f>
        <v>1.4602580880648697E-2</v>
      </c>
      <c r="O32" s="49">
        <f>IFERROR(IF(K32&gt;0.01,1-EXP(-K32),K32),".")</f>
        <v>3.6880927291886172E-4</v>
      </c>
      <c r="P32" s="49">
        <f>IFERROR(IF(L32&gt;0.01,1-EXP(-L32),L32),".")</f>
        <v>1</v>
      </c>
      <c r="Q32" s="49">
        <f>IFERROR(IF(SUM(I32:L32)&gt;0.01,1-EXP(-SUM(I32:L32)),SUM(I32:L32)),".")</f>
        <v>1</v>
      </c>
      <c r="R32" s="60">
        <f>IFERROR(R3/$B32,0)</f>
        <v>1.3557142857142865E-2</v>
      </c>
      <c r="S32" s="60">
        <f>IFERROR(S3/$B32,0)</f>
        <v>1.9009329247531501E-2</v>
      </c>
      <c r="T32" s="60">
        <f>IFERROR(T3/$B32,0)</f>
        <v>1.4411786372007372E-2</v>
      </c>
      <c r="U32" s="60">
        <f>IFERROR(U3/$B32,0)</f>
        <v>1.4855917716934662E-2</v>
      </c>
      <c r="V32" s="60">
        <f>IFERROR(V3/$B32,0)</f>
        <v>2.9472779984967262E-2</v>
      </c>
      <c r="W32" s="71">
        <f>IFERROR(up_RadSpec!$F$3*W3,".")*$B$32</f>
        <v>3.6880927291886172E-4</v>
      </c>
      <c r="X32" s="71">
        <f>IFERROR(up_RadSpec!$M$3*X3,".")*$B$32</f>
        <v>2.630287441967099E-4</v>
      </c>
      <c r="Y32" s="71">
        <f>IFERROR(up_RadSpec!$N$3*Y3,".")*$B$32</f>
        <v>3.4693825393580032E-4</v>
      </c>
      <c r="Z32" s="71">
        <f>IFERROR(up_RadSpec!$O$3*Z3,".")*$B$32</f>
        <v>3.3656621524635698E-4</v>
      </c>
      <c r="AA32" s="71">
        <f>IFERROR(up_RadSpec!$K$3*AA3,".")*$B$32</f>
        <v>1.6964806178956565E-4</v>
      </c>
      <c r="AB32" s="49">
        <f>IFERROR(IF(W32&gt;0.01,1-EXP(-W32),W32),".")</f>
        <v>3.6880927291886172E-4</v>
      </c>
      <c r="AC32" s="49">
        <f t="shared" ref="AC32:AF44" si="24">IFERROR(IF(X32&gt;0.01,1-EXP(-X32),X32),".")</f>
        <v>2.630287441967099E-4</v>
      </c>
      <c r="AD32" s="49">
        <f t="shared" si="24"/>
        <v>3.4693825393580032E-4</v>
      </c>
      <c r="AE32" s="49">
        <f t="shared" si="24"/>
        <v>3.3656621524635698E-4</v>
      </c>
      <c r="AF32" s="49">
        <f t="shared" si="24"/>
        <v>1.6964806178956565E-4</v>
      </c>
      <c r="AG32" s="60">
        <f>IFERROR(AG3/$B32,0)</f>
        <v>1.0971428571428573E-9</v>
      </c>
      <c r="AH32" s="60">
        <f>IFERROR(AH3/$B32,0)</f>
        <v>1.7520000000000001E-6</v>
      </c>
      <c r="AI32" s="60">
        <f t="shared" ref="AI32:AI38" si="25">IFERROR(IF(AND(AG32&lt;&gt;0,AH32&lt;&gt;0),1/((1/AG32)+(1/AH32)),IF(AND(AG32&lt;&gt;0,AH32=0),1/((1/AG32)),IF(AND(AG32=0,AH32&lt;&gt;0),1/((1/AH32)),IF(AND(AG32=".",AH32="."),".")))),".")</f>
        <v>1.0964562309317064E-9</v>
      </c>
      <c r="AJ32" s="71">
        <f>IFERROR(up_RadSpec!$G$3*AJ3,".")*$B$32</f>
        <v>4557.2916666666661</v>
      </c>
      <c r="AK32" s="71">
        <f>IFERROR(up_RadSpec!$J$3*AK3,".")*$B$32</f>
        <v>2.8538812785388123</v>
      </c>
      <c r="AL32" s="49">
        <f>IFERROR(IF(AJ32&gt;0.01,1-EXP(-AJ32),AJ32),".")</f>
        <v>1</v>
      </c>
      <c r="AM32" s="49">
        <f>IFERROR(IF(AK32&gt;0.01,1-EXP(-AK32),AK32),".")</f>
        <v>0.9423797539167309</v>
      </c>
      <c r="AN32" s="49">
        <f>IFERROR(IF(SUM(AJ32:AK32)&gt;0.01,1-EXP(-SUM(AJ32:AK32)),SUM(AJ32:AK32)),".")</f>
        <v>1</v>
      </c>
      <c r="AO32" s="60">
        <f>IFERROR(AO3/$B32,0)</f>
        <v>3.9999999999999996E-10</v>
      </c>
      <c r="AP32" s="60">
        <f>IFERROR(AP3/$B32,0)</f>
        <v>0</v>
      </c>
      <c r="AQ32" s="60">
        <f>IFERROR(AQ3/$B32,0)</f>
        <v>4.3800000000000004E-6</v>
      </c>
      <c r="AR32" s="60">
        <f>IFERROR(AR3/$B32,0)</f>
        <v>1.8087754064641833E-11</v>
      </c>
      <c r="AS32" s="60">
        <f t="shared" ref="AS32:AS44" si="26">(IF(AND(AO32&lt;&gt;0,AP32&lt;&gt;0,AQ32&lt;&gt;0,AR32&lt;&gt;0),1/((1/AO32)+(1/AP32)+(1/AQ32)+(1/AR32)),IF(AND(AO32&lt;&gt;0,AP32&lt;&gt;0,AQ32&lt;&gt;0,AR32=0), 1/((1/AO32)+(1/AP32)+(1/AQ32)),IF(AND(AO32&lt;&gt;0,AP32&lt;&gt;0,AQ32=0,AR32&lt;&gt;0),1/((1/AO32)+(1/AP32)+(1/AR32)),IF(AND(AO32&lt;&gt;0,AP32=0,AQ32&lt;&gt;0,AR32&lt;&gt;0),1/((1/AO32)+(1/AQ32)+(1/AR32)),IF(AND(AO32=0,AP32&lt;&gt;0,AQ32&lt;&gt;0,AR32&lt;&gt;0),1/((1/AP32)+(1/AQ32)+(1/AR32)),IF(AND(AO32&lt;&gt;0,AP32&lt;&gt;0,AQ32=0,AR32=0),1/((1/AO32)+(1/AP32)),IF(AND(AO32&lt;&gt;0,AP32=0,AQ32&lt;&gt;0,AR32=0),1/((1/AO32)+(1/AQ32)),IF(AND(AO32&lt;&gt;0,AP32=0,AQ32=0,AR32&lt;&gt;0),1/((1/AO32)+(1/AR32)),IF(AND(AO32=0,AP32=0,AQ32&lt;&gt;0,AR32&lt;&gt;0),1/((1/AQ32)+(1/AR32)),IF(AND(AO32=0,AP32&lt;&gt;0,AQ32=0,AR32&lt;&gt;0),1/((1/AP32)+(1/AR32)),IF(AND(AO32=0,AP32&lt;&gt;0,AQ32&lt;&gt;0,AR32=0),1/((1/AP32)+(1/AQ32)),IF(AND(AO32&lt;&gt;0,AP32=0,AQ32=0,AR32=0),1/((1/AO32)),IF(AND(AO32=0,AP32&lt;&gt;0,AQ32=0,AR32=0),1/((1/AP32)),IF(AND(AO32=0,AP32=0,AQ32&lt;&gt;0,AR32=0),1/((1/AQ32)),IF(AND(AO32=0,AP32=0,AQ32=0,AR32&lt;&gt;0),1/((1/AR32)),IF(AND(AO32=0,AP32=0,AQ32=0,AR32=0),0)))))))))))))))))</f>
        <v>1.7305154169200115E-11</v>
      </c>
      <c r="AT32" s="71">
        <f>IFERROR(up_RadSpec!$H$3*AT3,".")*$B$32</f>
        <v>12500</v>
      </c>
      <c r="AU32" s="71">
        <f>IFERROR(up_RadSpec!$G$3*AU3,".")*$B$32</f>
        <v>2278.645833333333</v>
      </c>
      <c r="AV32" s="71">
        <f>IFERROR(up_RadSpec!$L$3*AV3,".")*$B$32</f>
        <v>1.1415525114155249</v>
      </c>
      <c r="AW32" s="71">
        <f>up_b2w!AB32</f>
        <v>276430.1185283176</v>
      </c>
      <c r="AX32" s="49">
        <f>IFERROR(IF(AT32&gt;0.01,1-EXP(-AT32),AT32),".")</f>
        <v>1</v>
      </c>
      <c r="AY32" s="49">
        <f>IFERROR(IF(AP32&lt;&gt;0,IF(AU32&gt;0.01,1-EXP(-AU32),AU32),0),".")</f>
        <v>0</v>
      </c>
      <c r="AZ32" s="49">
        <f>IFERROR(IF(AV32&gt;0.01,1-EXP(-AV32),AV32),".")</f>
        <v>0.68067711563678512</v>
      </c>
      <c r="BA32" s="49">
        <f>IFERROR(IF(AW32&gt;0.01,1-EXP(-AW32),AW32),".")</f>
        <v>1</v>
      </c>
      <c r="BB32" s="49">
        <f>IFERROR(IF(SUM(AT32:AW32)&gt;0.01,1-EXP(-SUM(AT32:AW32)),SUM(AT32:AW32)),".")</f>
        <v>1</v>
      </c>
      <c r="BC32" s="60">
        <f>IFERROR(BC3/$B32,0)</f>
        <v>7.2727272727272723E-11</v>
      </c>
      <c r="BD32" s="71">
        <f>IFERROR(up_RadSpec!$E$3*BD3,".")*$B$32</f>
        <v>68750</v>
      </c>
      <c r="BE32" s="49">
        <f>IFERROR(IF(BD32&gt;0.01,1-EXP(-BD32),BD32),".")</f>
        <v>1</v>
      </c>
    </row>
    <row r="33" spans="1:57" x14ac:dyDescent="0.25">
      <c r="A33" s="48" t="s">
        <v>1078</v>
      </c>
      <c r="B33" s="15">
        <v>1</v>
      </c>
      <c r="C33" s="60">
        <f t="shared" ref="C33:G34" si="27">IFERROR(C13/$B33,0)</f>
        <v>3.6363636363636363E-8</v>
      </c>
      <c r="D33" s="60">
        <f t="shared" si="27"/>
        <v>3.3989909629864073E-4</v>
      </c>
      <c r="E33" s="60">
        <f t="shared" si="27"/>
        <v>3.3483155471856059E-4</v>
      </c>
      <c r="F33" s="60">
        <f t="shared" si="27"/>
        <v>3.6265718922545492E-12</v>
      </c>
      <c r="G33" s="60">
        <f t="shared" si="27"/>
        <v>1.8181818181818181E-11</v>
      </c>
      <c r="H33" s="60">
        <f t="shared" ref="H33:H44" si="28">(IF(AND(C33&lt;&gt;0,D33&lt;&gt;0,E33&lt;&gt;0,F33&lt;&gt;0),1/((1/C33)+(1/D33)+(1/E33)+(1/F33)),IF(AND(C33&lt;&gt;0,D33&lt;&gt;0,E33&lt;&gt;0,F33=0), 1/((1/C33)+(1/D33)+(1/E33)),IF(AND(C33&lt;&gt;0,D33&lt;&gt;0,E33=0,F33&lt;&gt;0),1/((1/C33)+(1/D33)+(1/F33)),IF(AND(C33&lt;&gt;0,D33=0,E33&lt;&gt;0,F33&lt;&gt;0),1/((1/C33)+(1/E33)+(1/F33)),IF(AND(C33=0,D33&lt;&gt;0,E33&lt;&gt;0,F33&lt;&gt;0),1/((1/D33)+(1/E33)+(1/F33)),IF(AND(C33&lt;&gt;0,D33&lt;&gt;0,E33=0,F33=0),1/((1/C33)+(1/D33)),IF(AND(C33&lt;&gt;0,D33=0,E33&lt;&gt;0,F33=0),1/((1/C33)+(1/E33)),IF(AND(C33&lt;&gt;0,D33=0,E33=0,F33&lt;&gt;0),1/((1/C33)+(1/F33)),IF(AND(C33=0,D33=0,E33&lt;&gt;0,F33&lt;&gt;0),1/((1/E33)+(1/F33)),IF(AND(C33=0,D33&lt;&gt;0,E33=0,F33&lt;&gt;0),1/((1/D33)+(1/F33)),IF(AND(C33=0,D33&lt;&gt;0,E33&lt;&gt;0,F33=0),1/((1/D33)+(1/E33)),IF(AND(C33&lt;&gt;0,D33=0,E33=0,F33=0),1/((1/C33)),IF(AND(C33=0,D33&lt;&gt;0,E33=0,F33=0),1/((1/D33)),IF(AND(C33=0,D33=0,E33&lt;&gt;0,F33=0),1/((1/E33)),IF(AND(C33=0,D33=0,E33=0,F33&lt;&gt;0),1/((1/F33)),IF(AND(C33=0,D33=0,E33=0,F33=0),0)))))))))))))))))</f>
        <v>3.6262101697122833E-12</v>
      </c>
      <c r="I33" s="71">
        <f>IFERROR(up_RadSpec!$D$13*I13,".")*$B$33</f>
        <v>137.5</v>
      </c>
      <c r="J33" s="71">
        <f>IFERROR(up_RadSpec!$G$13*J13,".")*B33</f>
        <v>1.4710247995501937E-2</v>
      </c>
      <c r="K33" s="71">
        <f>IFERROR(up_RadSpec!$F$13*K13,".")*B33</f>
        <v>1.4932881711828808E-2</v>
      </c>
      <c r="L33" s="71">
        <f>up_b2s!AB33</f>
        <v>7927596.875</v>
      </c>
      <c r="M33" s="49">
        <f t="shared" ref="M33:N44" si="29">IFERROR(IF(I33&gt;0.01,1-EXP(-I33),I33),".")</f>
        <v>1</v>
      </c>
      <c r="N33" s="49">
        <f t="shared" si="29"/>
        <v>1.4602580880648697E-2</v>
      </c>
      <c r="O33" s="49">
        <f t="shared" ref="O33:O44" si="30">IFERROR(IF(K33&gt;0.01,1-EXP(-K33),K33),".")</f>
        <v>1.4821939150946539E-2</v>
      </c>
      <c r="P33" s="49">
        <f t="shared" ref="P33:P44" si="31">IFERROR(IF(L33&gt;0.01,1-EXP(-L33),L33),".")</f>
        <v>1</v>
      </c>
      <c r="Q33" s="49">
        <f t="shared" ref="Q33:Q44" si="32">IFERROR(IF(SUM(I33:L33)&gt;0.01,1-EXP(-SUM(I33:L33)),SUM(I33:L33)),".")</f>
        <v>1</v>
      </c>
      <c r="R33" s="60">
        <f t="shared" ref="R33:V34" si="33">IFERROR(R13/$B33,0)</f>
        <v>3.3483155471856059E-4</v>
      </c>
      <c r="S33" s="60">
        <f t="shared" si="33"/>
        <v>7.3019420058526203E-4</v>
      </c>
      <c r="T33" s="60">
        <f t="shared" si="33"/>
        <v>4.338032061912659E-4</v>
      </c>
      <c r="U33" s="60">
        <f t="shared" si="33"/>
        <v>3.5811283547415498E-4</v>
      </c>
      <c r="V33" s="60">
        <f t="shared" si="33"/>
        <v>7.0248015873015848E-3</v>
      </c>
      <c r="W33" s="71">
        <f>IFERROR(up_RadSpec!$F$13*W13,".")*$B$33</f>
        <v>1.4932881711828808E-2</v>
      </c>
      <c r="X33" s="71">
        <f>IFERROR(up_RadSpec!$M$13*X13,".")*$B$33</f>
        <v>6.8474934421451465E-3</v>
      </c>
      <c r="Y33" s="71">
        <f>IFERROR(up_RadSpec!$N$13*Y13,".")*$B$33</f>
        <v>1.1525963682701496E-2</v>
      </c>
      <c r="Z33" s="71">
        <f>IFERROR(up_RadSpec!$O$13*Z13,".")*$B$33</f>
        <v>1.3962079838271673E-2</v>
      </c>
      <c r="AA33" s="71">
        <f>IFERROR(up_RadSpec!$K$13*AA13,".")*$B$33</f>
        <v>7.1176387515887605E-4</v>
      </c>
      <c r="AB33" s="49">
        <f t="shared" ref="AB33:AB44" si="34">IFERROR(IF(W33&gt;0.01,1-EXP(-W33),W33),".")</f>
        <v>1.4821939150946539E-2</v>
      </c>
      <c r="AC33" s="49">
        <f t="shared" si="24"/>
        <v>6.8474934421451465E-3</v>
      </c>
      <c r="AD33" s="49">
        <f t="shared" si="24"/>
        <v>1.1459794229524034E-2</v>
      </c>
      <c r="AE33" s="49">
        <f t="shared" si="24"/>
        <v>1.3865062049796872E-2</v>
      </c>
      <c r="AF33" s="49">
        <f t="shared" si="24"/>
        <v>7.1176387515887605E-4</v>
      </c>
      <c r="AG33" s="60">
        <f>IFERROR(AG13/$B33,0)</f>
        <v>1.0971428571428573E-9</v>
      </c>
      <c r="AH33" s="60">
        <f>IFERROR(AH13/$B33,0)</f>
        <v>1.7520000000000001E-6</v>
      </c>
      <c r="AI33" s="60">
        <f t="shared" si="25"/>
        <v>1.0964562309317064E-9</v>
      </c>
      <c r="AJ33" s="71">
        <f>IFERROR(up_RadSpec!$G$13*AJ13,".")*$B$33</f>
        <v>4557.2916666666661</v>
      </c>
      <c r="AK33" s="71">
        <f>IFERROR(up_RadSpec!$J$13*AK13,".")*$B$33</f>
        <v>2.8538812785388123</v>
      </c>
      <c r="AL33" s="49">
        <f t="shared" ref="AL33:AM44" si="35">IFERROR(IF(AJ33&gt;0.01,1-EXP(-AJ33),AJ33),".")</f>
        <v>1</v>
      </c>
      <c r="AM33" s="49">
        <f t="shared" si="35"/>
        <v>0.9423797539167309</v>
      </c>
      <c r="AN33" s="49">
        <f t="shared" ref="AN33:AN44" si="36">IFERROR(IF(SUM(AJ33:AK33)&gt;0.01,1-EXP(-SUM(AJ33:AK33)),SUM(AJ33:AK33)),".")</f>
        <v>1</v>
      </c>
      <c r="AO33" s="60">
        <f t="shared" ref="AO33:AR34" si="37">IFERROR(AO13/$B33,0)</f>
        <v>3.9999999999999996E-10</v>
      </c>
      <c r="AP33" s="60">
        <f t="shared" si="37"/>
        <v>0</v>
      </c>
      <c r="AQ33" s="60">
        <f t="shared" si="37"/>
        <v>4.3800000000000004E-6</v>
      </c>
      <c r="AR33" s="60">
        <f t="shared" si="37"/>
        <v>1.8087754064641833E-11</v>
      </c>
      <c r="AS33" s="60">
        <f t="shared" si="26"/>
        <v>1.7305154169200115E-11</v>
      </c>
      <c r="AT33" s="71">
        <f>IFERROR(up_RadSpec!$H$13*AT13,".")*$B$33</f>
        <v>12500</v>
      </c>
      <c r="AU33" s="71">
        <f>IFERROR(up_RadSpec!$G$13*AU13,".")*$B$33</f>
        <v>2278.645833333333</v>
      </c>
      <c r="AV33" s="71">
        <f>IFERROR(up_RadSpec!$L$13*AV13,".")*$B$33</f>
        <v>1.1415525114155249</v>
      </c>
      <c r="AW33" s="71">
        <f>up_b2w!AB33</f>
        <v>276430.1185283176</v>
      </c>
      <c r="AX33" s="49">
        <f t="shared" ref="AX33:AX44" si="38">IFERROR(IF(AT33&gt;0.01,1-EXP(-AT33),AT33),".")</f>
        <v>1</v>
      </c>
      <c r="AY33" s="49">
        <f t="shared" ref="AY33:AY44" si="39">IFERROR(IF(AP33&lt;&gt;0,IF(AU33&gt;0.01,1-EXP(-AU33),AU33),0),".")</f>
        <v>0</v>
      </c>
      <c r="AZ33" s="49">
        <f t="shared" ref="AZ33:BA47" si="40">IFERROR(IF(AV33&gt;0.01,1-EXP(-AV33),AV33),".")</f>
        <v>0.68067711563678512</v>
      </c>
      <c r="BA33" s="49">
        <f t="shared" si="40"/>
        <v>1</v>
      </c>
      <c r="BB33" s="49">
        <f t="shared" ref="BB33:BB76" si="41">IFERROR(IF(SUM(AT33:AW33)&gt;0.01,1-EXP(-SUM(AT33:AW33)),SUM(AT33:AW33)),".")</f>
        <v>1</v>
      </c>
      <c r="BC33" s="60">
        <f t="shared" ref="BC33:BC34" si="42">IFERROR(BC13/$B33,0)</f>
        <v>7.2727272727272723E-11</v>
      </c>
      <c r="BD33" s="71">
        <f>IFERROR(up_RadSpec!$E$13*BD13,".")*$B$33</f>
        <v>68750</v>
      </c>
      <c r="BE33" s="49">
        <f t="shared" ref="BE33:BE44" si="43">IFERROR(IF(BD33&gt;0.01,1-EXP(-BD33),BD33),".")</f>
        <v>1</v>
      </c>
    </row>
    <row r="34" spans="1:57" x14ac:dyDescent="0.25">
      <c r="A34" s="48" t="s">
        <v>1079</v>
      </c>
      <c r="B34" s="15">
        <v>1</v>
      </c>
      <c r="C34" s="60">
        <f t="shared" si="27"/>
        <v>3.6363636363636363E-8</v>
      </c>
      <c r="D34" s="60">
        <f t="shared" si="27"/>
        <v>3.3989909629864073E-4</v>
      </c>
      <c r="E34" s="60">
        <f t="shared" si="27"/>
        <v>5.0263998543456291E-5</v>
      </c>
      <c r="F34" s="60">
        <f t="shared" si="27"/>
        <v>3.6265718922545492E-12</v>
      </c>
      <c r="G34" s="60">
        <f t="shared" si="27"/>
        <v>1.8181818181818181E-11</v>
      </c>
      <c r="H34" s="60">
        <f t="shared" si="28"/>
        <v>3.6262099473772564E-12</v>
      </c>
      <c r="I34" s="71">
        <f>IFERROR(up_RadSpec!$D$14*I14,".")*$B$34</f>
        <v>137.5</v>
      </c>
      <c r="J34" s="71">
        <f>IFERROR(up_RadSpec!$G$14*J14,".")*B33</f>
        <v>1.4710247995501937E-2</v>
      </c>
      <c r="K34" s="71">
        <f>IFERROR(up_RadSpec!$F$14*K14,".")*B33</f>
        <v>9.9474776080084329E-2</v>
      </c>
      <c r="L34" s="71">
        <f>up_b2s!AB34</f>
        <v>7927596.875</v>
      </c>
      <c r="M34" s="49">
        <f t="shared" si="29"/>
        <v>1</v>
      </c>
      <c r="N34" s="49">
        <f t="shared" si="29"/>
        <v>1.4602580880648697E-2</v>
      </c>
      <c r="O34" s="49">
        <f t="shared" si="30"/>
        <v>9.468721488230003E-2</v>
      </c>
      <c r="P34" s="49">
        <f t="shared" si="31"/>
        <v>1</v>
      </c>
      <c r="Q34" s="49">
        <f t="shared" si="32"/>
        <v>1</v>
      </c>
      <c r="R34" s="60">
        <f t="shared" si="33"/>
        <v>5.0263998543456291E-5</v>
      </c>
      <c r="S34" s="60">
        <f t="shared" si="33"/>
        <v>9.1284619470369602E-5</v>
      </c>
      <c r="T34" s="60">
        <f t="shared" si="33"/>
        <v>6.7490704451813932E-5</v>
      </c>
      <c r="U34" s="60">
        <f t="shared" si="33"/>
        <v>5.9141875688638283E-5</v>
      </c>
      <c r="V34" s="60">
        <f t="shared" si="33"/>
        <v>2.5470867208672094E-4</v>
      </c>
      <c r="W34" s="71">
        <f>IFERROR(up_RadSpec!$F$14*W14,".")*$B$33</f>
        <v>9.9474776080084329E-2</v>
      </c>
      <c r="X34" s="71">
        <f>IFERROR(up_RadSpec!$M$14*X14,".")*$B$33</f>
        <v>5.4773739859023757E-2</v>
      </c>
      <c r="Y34" s="71">
        <f>IFERROR(up_RadSpec!$N$14*Y14,".")*$B$33</f>
        <v>7.4084276354973153E-2</v>
      </c>
      <c r="Z34" s="71">
        <f>IFERROR(up_RadSpec!$O$14*Z14,".")*$B$33</f>
        <v>8.4542465753424653E-2</v>
      </c>
      <c r="AA34" s="71">
        <f>IFERROR(up_RadSpec!$K$14*AA14,".")*$B$33</f>
        <v>1.963026998271046E-2</v>
      </c>
      <c r="AB34" s="49">
        <f t="shared" si="34"/>
        <v>9.468721488230003E-2</v>
      </c>
      <c r="AC34" s="49">
        <f t="shared" si="24"/>
        <v>5.3300675954665588E-2</v>
      </c>
      <c r="AD34" s="49">
        <f t="shared" si="24"/>
        <v>7.1406567926181941E-2</v>
      </c>
      <c r="AE34" s="49">
        <f t="shared" si="24"/>
        <v>8.1067368618292224E-2</v>
      </c>
      <c r="AF34" s="49">
        <f t="shared" si="24"/>
        <v>1.9438850815838848E-2</v>
      </c>
      <c r="AG34" s="60">
        <f>IFERROR(AG14/$B34,0)</f>
        <v>1.0971428571428573E-9</v>
      </c>
      <c r="AH34" s="60">
        <f>IFERROR(AH14/$B34,0)</f>
        <v>1.7520000000000001E-6</v>
      </c>
      <c r="AI34" s="60">
        <f t="shared" si="25"/>
        <v>1.0964562309317064E-9</v>
      </c>
      <c r="AJ34" s="71">
        <f>IFERROR(up_RadSpec!$G$14*AJ14,".")*$B$33</f>
        <v>4557.2916666666661</v>
      </c>
      <c r="AK34" s="71">
        <f>IFERROR(up_RadSpec!$J$14*AK14,".")*$B$33</f>
        <v>2.8538812785388123</v>
      </c>
      <c r="AL34" s="49">
        <f t="shared" si="35"/>
        <v>1</v>
      </c>
      <c r="AM34" s="49">
        <f t="shared" si="35"/>
        <v>0.9423797539167309</v>
      </c>
      <c r="AN34" s="49">
        <f t="shared" si="36"/>
        <v>1</v>
      </c>
      <c r="AO34" s="60">
        <f t="shared" si="37"/>
        <v>3.9999999999999996E-10</v>
      </c>
      <c r="AP34" s="60">
        <f t="shared" si="37"/>
        <v>0</v>
      </c>
      <c r="AQ34" s="60">
        <f t="shared" si="37"/>
        <v>4.3800000000000004E-6</v>
      </c>
      <c r="AR34" s="60">
        <f t="shared" si="37"/>
        <v>1.8087754064641833E-11</v>
      </c>
      <c r="AS34" s="60">
        <f t="shared" si="26"/>
        <v>1.7305154169200115E-11</v>
      </c>
      <c r="AT34" s="71">
        <f>IFERROR(up_RadSpec!$H$14*AT14,".")*$B$34</f>
        <v>12500</v>
      </c>
      <c r="AU34" s="71">
        <f>IFERROR(up_RadSpec!$G$14*AU14,".")*$B$34</f>
        <v>2278.645833333333</v>
      </c>
      <c r="AV34" s="71">
        <f>IFERROR(up_RadSpec!$L$14*AV14,".")*$B$34</f>
        <v>1.1415525114155249</v>
      </c>
      <c r="AW34" s="71">
        <f>up_b2w!AB34</f>
        <v>276430.1185283176</v>
      </c>
      <c r="AX34" s="49">
        <f t="shared" si="38"/>
        <v>1</v>
      </c>
      <c r="AY34" s="49">
        <f t="shared" si="39"/>
        <v>0</v>
      </c>
      <c r="AZ34" s="49">
        <f t="shared" si="40"/>
        <v>0.68067711563678512</v>
      </c>
      <c r="BA34" s="49">
        <f t="shared" si="40"/>
        <v>1</v>
      </c>
      <c r="BB34" s="49">
        <f t="shared" si="41"/>
        <v>1</v>
      </c>
      <c r="BC34" s="60">
        <f t="shared" si="42"/>
        <v>7.2727272727272723E-11</v>
      </c>
      <c r="BD34" s="71">
        <f>IFERROR(up_RadSpec!$E$14*BD14,".")*$B$33</f>
        <v>68750</v>
      </c>
      <c r="BE34" s="49">
        <f t="shared" si="43"/>
        <v>1</v>
      </c>
    </row>
    <row r="35" spans="1:57" x14ac:dyDescent="0.25">
      <c r="A35" s="48" t="s">
        <v>1080</v>
      </c>
      <c r="B35" s="15">
        <v>1</v>
      </c>
      <c r="C35" s="60">
        <f>IFERROR(C30/$B35,0)</f>
        <v>3.6363636363636363E-8</v>
      </c>
      <c r="D35" s="60">
        <f>IFERROR(D30/$B35,0)</f>
        <v>3.3989909629864073E-4</v>
      </c>
      <c r="E35" s="60">
        <f>IFERROR(E30/$B35,0)</f>
        <v>1.6222222222222224E-4</v>
      </c>
      <c r="F35" s="60">
        <f>IFERROR(F30/$B35,0)</f>
        <v>3.6265718922545492E-12</v>
      </c>
      <c r="G35" s="60">
        <f>IFERROR(G30/$B35,0)</f>
        <v>1.8181818181818181E-11</v>
      </c>
      <c r="H35" s="60">
        <f t="shared" si="28"/>
        <v>3.6262101279260248E-12</v>
      </c>
      <c r="I35" s="71">
        <f>IFERROR(up_RadSpec!$D$30*I30,".")*$B$35</f>
        <v>137.5</v>
      </c>
      <c r="J35" s="71">
        <f>IFERROR(up_RadSpec!$G$30*J30,".")*B35</f>
        <v>1.4710247995501937E-2</v>
      </c>
      <c r="K35" s="71">
        <f>IFERROR(up_RadSpec!$F$30*K30,".")*B35</f>
        <v>3.0821917808219173E-2</v>
      </c>
      <c r="L35" s="71">
        <f>up_b2s!AB35</f>
        <v>7927596.875</v>
      </c>
      <c r="M35" s="49">
        <f t="shared" si="29"/>
        <v>1</v>
      </c>
      <c r="N35" s="49">
        <f t="shared" si="29"/>
        <v>1.4602580880648697E-2</v>
      </c>
      <c r="O35" s="49">
        <f t="shared" si="30"/>
        <v>3.0351765215511306E-2</v>
      </c>
      <c r="P35" s="49">
        <f t="shared" si="31"/>
        <v>1</v>
      </c>
      <c r="Q35" s="49">
        <f t="shared" si="32"/>
        <v>1</v>
      </c>
      <c r="R35" s="60">
        <f>IFERROR(R30/$B35,0)</f>
        <v>1.6222222222222224E-4</v>
      </c>
      <c r="S35" s="60">
        <f>IFERROR(S30/$B35,0)</f>
        <v>7.9472164948453589E-4</v>
      </c>
      <c r="T35" s="60">
        <f>IFERROR(T30/$B35,0)</f>
        <v>2.8639069264069255E-4</v>
      </c>
      <c r="U35" s="60">
        <f>IFERROR(U30/$B35,0)</f>
        <v>2.1317487266553489E-4</v>
      </c>
      <c r="V35" s="60">
        <f>IFERROR(V30/$B35,0)</f>
        <v>1.9466666666666663E-2</v>
      </c>
      <c r="W35" s="71">
        <f>IFERROR(up_RadSpec!$F$30*W30,".")*$B$35</f>
        <v>3.0821917808219173E-2</v>
      </c>
      <c r="X35" s="71">
        <f>IFERROR(up_RadSpec!$M$30*X30,".")*$B$35</f>
        <v>6.2915110004151112E-3</v>
      </c>
      <c r="Y35" s="71">
        <f>IFERROR(up_RadSpec!$N$30*Y30,".")*$B$35</f>
        <v>1.745866792631082E-2</v>
      </c>
      <c r="Z35" s="71">
        <f>IFERROR(up_RadSpec!$O$30*Z30,".")*$B$35</f>
        <v>2.3454921949665489E-2</v>
      </c>
      <c r="AA35" s="71">
        <f>IFERROR(up_RadSpec!$K$30*AA30,".")*$B$35</f>
        <v>2.5684931506849318E-4</v>
      </c>
      <c r="AB35" s="49">
        <f t="shared" si="34"/>
        <v>3.0351765215511306E-2</v>
      </c>
      <c r="AC35" s="49">
        <f t="shared" si="24"/>
        <v>6.2915110004151112E-3</v>
      </c>
      <c r="AD35" s="49">
        <f t="shared" si="24"/>
        <v>1.7307148440947717E-2</v>
      </c>
      <c r="AE35" s="49">
        <f t="shared" si="24"/>
        <v>2.3181993272328394E-2</v>
      </c>
      <c r="AF35" s="49">
        <f t="shared" si="24"/>
        <v>2.5684931506849318E-4</v>
      </c>
      <c r="AG35" s="60">
        <f>IFERROR(AG30/$B35,0)</f>
        <v>1.0971428571428573E-9</v>
      </c>
      <c r="AH35" s="60">
        <f>IFERROR(AH30/$B35,0)</f>
        <v>1.7520000000000001E-6</v>
      </c>
      <c r="AI35" s="60">
        <f t="shared" si="25"/>
        <v>1.0964562309317064E-9</v>
      </c>
      <c r="AJ35" s="71">
        <f>IFERROR(up_RadSpec!$G$30*AJ30,".")*$B$35</f>
        <v>4557.2916666666661</v>
      </c>
      <c r="AK35" s="71">
        <f>IFERROR(up_RadSpec!$J$30*AK30,".")*$B$35</f>
        <v>2.8538812785388123</v>
      </c>
      <c r="AL35" s="49">
        <f t="shared" si="35"/>
        <v>1</v>
      </c>
      <c r="AM35" s="49">
        <f t="shared" si="35"/>
        <v>0.9423797539167309</v>
      </c>
      <c r="AN35" s="49">
        <f t="shared" si="36"/>
        <v>1</v>
      </c>
      <c r="AO35" s="60">
        <f>IFERROR(AO30/$B35,0)</f>
        <v>3.9999999999999996E-10</v>
      </c>
      <c r="AP35" s="60">
        <f>IFERROR(AP30/$B35,0)</f>
        <v>0</v>
      </c>
      <c r="AQ35" s="60">
        <f>IFERROR(AQ30/$B35,0)</f>
        <v>4.3800000000000004E-6</v>
      </c>
      <c r="AR35" s="60">
        <f>IFERROR(AR30/$B35,0)</f>
        <v>1.8087754064641833E-11</v>
      </c>
      <c r="AS35" s="60">
        <f t="shared" si="26"/>
        <v>1.7305154169200115E-11</v>
      </c>
      <c r="AT35" s="71">
        <f>IFERROR(up_RadSpec!$H$30*AT30,".")*$B$35</f>
        <v>12500</v>
      </c>
      <c r="AU35" s="71">
        <f>IFERROR(up_RadSpec!$G$30*AU30,".")*$B$35</f>
        <v>2278.645833333333</v>
      </c>
      <c r="AV35" s="71">
        <f>IFERROR(up_RadSpec!$L$30*AV30,".")*$B$35</f>
        <v>1.1415525114155249</v>
      </c>
      <c r="AW35" s="71">
        <f>up_b2w!AB35</f>
        <v>276430.1185283176</v>
      </c>
      <c r="AX35" s="49">
        <f t="shared" si="38"/>
        <v>1</v>
      </c>
      <c r="AY35" s="49">
        <f t="shared" si="39"/>
        <v>0</v>
      </c>
      <c r="AZ35" s="49">
        <f t="shared" si="40"/>
        <v>0.68067711563678512</v>
      </c>
      <c r="BA35" s="49">
        <f t="shared" si="40"/>
        <v>1</v>
      </c>
      <c r="BB35" s="49">
        <f t="shared" si="41"/>
        <v>1</v>
      </c>
      <c r="BC35" s="60">
        <f>IFERROR(BC30/$B35,0)</f>
        <v>7.2727272727272723E-11</v>
      </c>
      <c r="BD35" s="71">
        <f>IFERROR(up_RadSpec!$E$30*BD30,".")*$B$35</f>
        <v>68750</v>
      </c>
      <c r="BE35" s="49">
        <f t="shared" si="43"/>
        <v>1</v>
      </c>
    </row>
    <row r="36" spans="1:57" x14ac:dyDescent="0.25">
      <c r="A36" s="48" t="s">
        <v>1081</v>
      </c>
      <c r="B36" s="15">
        <v>1</v>
      </c>
      <c r="C36" s="60">
        <f>IFERROR(C26/$B36,0)</f>
        <v>3.6363636363636363E-8</v>
      </c>
      <c r="D36" s="60">
        <f>IFERROR(D26/$B36,0)</f>
        <v>3.3989909629864073E-4</v>
      </c>
      <c r="E36" s="60">
        <f>IFERROR(E26/$B36,0)</f>
        <v>1.7049886621315187E-4</v>
      </c>
      <c r="F36" s="60">
        <f>IFERROR(F26/$B36,0)</f>
        <v>3.6265718922545492E-12</v>
      </c>
      <c r="G36" s="60">
        <f>IFERROR(G26/$B36,0)</f>
        <v>1.8181818181818181E-11</v>
      </c>
      <c r="H36" s="60">
        <f t="shared" si="28"/>
        <v>3.6262101318608765E-12</v>
      </c>
      <c r="I36" s="71">
        <f>IFERROR(up_RadSpec!$D$26*I26,".")*$B$37</f>
        <v>137.5</v>
      </c>
      <c r="J36" s="71">
        <f>IFERROR(up_RadSpec!$G$26*J26,".")*B37</f>
        <v>1.4710247995501937E-2</v>
      </c>
      <c r="K36" s="71">
        <f>IFERROR(up_RadSpec!$F$26*K26,".")*B37</f>
        <v>2.9325708205878449E-2</v>
      </c>
      <c r="L36" s="71">
        <f>up_b2s!AB36</f>
        <v>7927596.875</v>
      </c>
      <c r="M36" s="49">
        <f t="shared" si="29"/>
        <v>1</v>
      </c>
      <c r="N36" s="49">
        <f t="shared" si="29"/>
        <v>1.4602580880648697E-2</v>
      </c>
      <c r="O36" s="49">
        <f t="shared" si="30"/>
        <v>2.8899882326027582E-2</v>
      </c>
      <c r="P36" s="49">
        <f t="shared" si="31"/>
        <v>1</v>
      </c>
      <c r="Q36" s="49">
        <f t="shared" si="32"/>
        <v>1</v>
      </c>
      <c r="R36" s="60">
        <f>IFERROR(R26/$B36,0)</f>
        <v>1.7049886621315187E-4</v>
      </c>
      <c r="S36" s="60">
        <f>IFERROR(S26/$B36,0)</f>
        <v>3.1128878735960406E-4</v>
      </c>
      <c r="T36" s="60">
        <f>IFERROR(T26/$B36,0)</f>
        <v>2.2499368421052628E-4</v>
      </c>
      <c r="U36" s="60">
        <f>IFERROR(U26/$B36,0)</f>
        <v>1.9245454545454538E-4</v>
      </c>
      <c r="V36" s="60">
        <f>IFERROR(V26/$B36,0)</f>
        <v>1.8143580919606163E-3</v>
      </c>
      <c r="W36" s="71">
        <f>IFERROR(up_RadSpec!$F$26*W26,".")*$B$37</f>
        <v>2.9325708205878449E-2</v>
      </c>
      <c r="X36" s="71">
        <f>IFERROR(up_RadSpec!$M$26*X26,".")*$B$37</f>
        <v>1.6062255381604697E-2</v>
      </c>
      <c r="Y36" s="71">
        <f>IFERROR(up_RadSpec!$N$26*Y26,".")*$B$37</f>
        <v>2.2222846021408789E-2</v>
      </c>
      <c r="Z36" s="71">
        <f>IFERROR(up_RadSpec!$O$26*Z26,".")*$B$37</f>
        <v>2.5980160604629203E-2</v>
      </c>
      <c r="AA36" s="71">
        <f>IFERROR(up_RadSpec!$K$26*AA26,".")*$B$37</f>
        <v>2.7557955742887239E-3</v>
      </c>
      <c r="AB36" s="49">
        <f t="shared" si="34"/>
        <v>2.8899882326027582E-2</v>
      </c>
      <c r="AC36" s="49">
        <f t="shared" si="24"/>
        <v>1.5933945259504978E-2</v>
      </c>
      <c r="AD36" s="49">
        <f t="shared" si="24"/>
        <v>2.1977737605081482E-2</v>
      </c>
      <c r="AE36" s="49">
        <f t="shared" si="24"/>
        <v>2.5645579980433042E-2</v>
      </c>
      <c r="AF36" s="49">
        <f t="shared" si="24"/>
        <v>2.7557955742887239E-3</v>
      </c>
      <c r="AG36" s="60">
        <f>IFERROR(AG26/$B36,0)</f>
        <v>1.0971428571428573E-9</v>
      </c>
      <c r="AH36" s="60">
        <f>IFERROR(AH26/$B36,0)</f>
        <v>1.7520000000000001E-6</v>
      </c>
      <c r="AI36" s="60">
        <f t="shared" si="25"/>
        <v>1.0964562309317064E-9</v>
      </c>
      <c r="AJ36" s="71">
        <f>IFERROR(up_RadSpec!$G$26*AJ26,".")*$B$37</f>
        <v>4557.2916666666661</v>
      </c>
      <c r="AK36" s="71">
        <f>IFERROR(up_RadSpec!$J$26*AK26,".")*$B$37</f>
        <v>2.8538812785388123</v>
      </c>
      <c r="AL36" s="49">
        <f t="shared" si="35"/>
        <v>1</v>
      </c>
      <c r="AM36" s="49">
        <f t="shared" si="35"/>
        <v>0.9423797539167309</v>
      </c>
      <c r="AN36" s="49">
        <f t="shared" si="36"/>
        <v>1</v>
      </c>
      <c r="AO36" s="60">
        <f>IFERROR(AO26/$B36,0)</f>
        <v>3.9999999999999996E-10</v>
      </c>
      <c r="AP36" s="60">
        <f>IFERROR(AP26/$B36,0)</f>
        <v>0</v>
      </c>
      <c r="AQ36" s="60">
        <f>IFERROR(AQ26/$B36,0)</f>
        <v>4.3800000000000004E-6</v>
      </c>
      <c r="AR36" s="60">
        <f>IFERROR(AR26/$B36,0)</f>
        <v>1.8087754064641833E-11</v>
      </c>
      <c r="AS36" s="60">
        <f t="shared" si="26"/>
        <v>1.7305154169200115E-11</v>
      </c>
      <c r="AT36" s="71">
        <f>IFERROR(up_RadSpec!$H$26*AT26,".")*$B$37</f>
        <v>12500</v>
      </c>
      <c r="AU36" s="71">
        <f>IFERROR(up_RadSpec!$G$26*AU26,".")*$B$37</f>
        <v>2278.645833333333</v>
      </c>
      <c r="AV36" s="71">
        <f>IFERROR(up_RadSpec!$L$26*AV26,".")*$B$37</f>
        <v>1.1415525114155249</v>
      </c>
      <c r="AW36" s="71">
        <f>up_b2w!AB36</f>
        <v>276430.1185283176</v>
      </c>
      <c r="AX36" s="49">
        <f t="shared" si="38"/>
        <v>1</v>
      </c>
      <c r="AY36" s="49">
        <f t="shared" si="39"/>
        <v>0</v>
      </c>
      <c r="AZ36" s="49">
        <f t="shared" si="40"/>
        <v>0.68067711563678512</v>
      </c>
      <c r="BA36" s="49">
        <f t="shared" si="40"/>
        <v>1</v>
      </c>
      <c r="BB36" s="49">
        <f t="shared" si="41"/>
        <v>1</v>
      </c>
      <c r="BC36" s="60">
        <f>IFERROR(BC26/$B36,0)</f>
        <v>7.2727272727272723E-11</v>
      </c>
      <c r="BD36" s="71">
        <f>IFERROR(up_RadSpec!$E$26*BD26,".")*$B$37</f>
        <v>68750</v>
      </c>
      <c r="BE36" s="49">
        <f t="shared" si="43"/>
        <v>1</v>
      </c>
    </row>
    <row r="37" spans="1:57" x14ac:dyDescent="0.25">
      <c r="A37" s="48" t="s">
        <v>1082</v>
      </c>
      <c r="B37" s="15">
        <v>1</v>
      </c>
      <c r="C37" s="60">
        <f>IFERROR(C22/$B37,0)</f>
        <v>3.6363636363636363E-8</v>
      </c>
      <c r="D37" s="60">
        <f>IFERROR(D22/$B37,0)</f>
        <v>3.3989909629864073E-4</v>
      </c>
      <c r="E37" s="60">
        <f>IFERROR(E22/$B37,0)</f>
        <v>93.408602150537689</v>
      </c>
      <c r="F37" s="60">
        <f>IFERROR(F22/$B37,0)</f>
        <v>3.6265718922545492E-12</v>
      </c>
      <c r="G37" s="60">
        <f>IFERROR(G22/$B37,0)</f>
        <v>1.8181818181818181E-11</v>
      </c>
      <c r="H37" s="60">
        <f t="shared" si="28"/>
        <v>3.6262102089838304E-12</v>
      </c>
      <c r="I37" s="71">
        <f>IFERROR(up_RadSpec!$D$22*I22,".")*$B$37</f>
        <v>137.5</v>
      </c>
      <c r="J37" s="71">
        <f>IFERROR(up_RadSpec!$G$22*J22,".")*B37</f>
        <v>1.4710247995501937E-2</v>
      </c>
      <c r="K37" s="71">
        <f>IFERROR(up_RadSpec!$F$22*K22,".")*B37</f>
        <v>5.3528260619316191E-8</v>
      </c>
      <c r="L37" s="71">
        <f>up_b2s!AB37</f>
        <v>7927596.875</v>
      </c>
      <c r="M37" s="49">
        <f t="shared" si="29"/>
        <v>1</v>
      </c>
      <c r="N37" s="49">
        <f t="shared" si="29"/>
        <v>1.4602580880648697E-2</v>
      </c>
      <c r="O37" s="49">
        <f t="shared" si="30"/>
        <v>5.3528260619316191E-8</v>
      </c>
      <c r="P37" s="49">
        <f t="shared" si="31"/>
        <v>1</v>
      </c>
      <c r="Q37" s="49">
        <f t="shared" si="32"/>
        <v>1</v>
      </c>
      <c r="R37" s="60">
        <f>IFERROR(R22/$B37,0)</f>
        <v>93.408602150537689</v>
      </c>
      <c r="S37" s="60">
        <f>IFERROR(S22/$B37,0)</f>
        <v>85.592241473248407</v>
      </c>
      <c r="T37" s="60">
        <f>IFERROR(T22/$B37,0)</f>
        <v>65.75776019476568</v>
      </c>
      <c r="U37" s="60">
        <f>IFERROR(U22/$B37,0)</f>
        <v>67.761574074074048</v>
      </c>
      <c r="V37" s="60">
        <f>IFERROR(V22/$B37,0)</f>
        <v>480.81529829382805</v>
      </c>
      <c r="W37" s="71">
        <f>IFERROR(up_RadSpec!$F$22*W22,".")*$B$37</f>
        <v>5.3528260619316191E-8</v>
      </c>
      <c r="X37" s="71">
        <f>IFERROR(up_RadSpec!$M$22*X22,".")*$B$37</f>
        <v>5.8416509650150176E-8</v>
      </c>
      <c r="Y37" s="71">
        <f>IFERROR(up_RadSpec!$N$22*Y22,".")*$B$37</f>
        <v>7.6036653091447602E-8</v>
      </c>
      <c r="Z37" s="71">
        <f>IFERROR(up_RadSpec!$O$22*Z22,".")*$B$37</f>
        <v>7.378813240870429E-8</v>
      </c>
      <c r="AA37" s="71">
        <f>IFERROR(up_RadSpec!$K$22*AA22,".")*$B$37</f>
        <v>1.0399003562786974E-8</v>
      </c>
      <c r="AB37" s="49">
        <f t="shared" si="34"/>
        <v>5.3528260619316191E-8</v>
      </c>
      <c r="AC37" s="49">
        <f t="shared" si="24"/>
        <v>5.8416509650150176E-8</v>
      </c>
      <c r="AD37" s="49">
        <f t="shared" si="24"/>
        <v>7.6036653091447602E-8</v>
      </c>
      <c r="AE37" s="49">
        <f t="shared" si="24"/>
        <v>7.378813240870429E-8</v>
      </c>
      <c r="AF37" s="49">
        <f t="shared" si="24"/>
        <v>1.0399003562786974E-8</v>
      </c>
      <c r="AG37" s="60">
        <f>IFERROR(AG22/$B37,0)</f>
        <v>1.0971428571428573E-9</v>
      </c>
      <c r="AH37" s="60">
        <f>IFERROR(AH22/$B37,0)</f>
        <v>1.7520000000000001E-6</v>
      </c>
      <c r="AI37" s="60">
        <f t="shared" si="25"/>
        <v>1.0964562309317064E-9</v>
      </c>
      <c r="AJ37" s="71">
        <f>IFERROR(up_RadSpec!$G$22*AJ22,".")*$B$37</f>
        <v>4557.2916666666661</v>
      </c>
      <c r="AK37" s="71">
        <f>IFERROR(up_RadSpec!$J$22*AK22,".")*$B$37</f>
        <v>2.8538812785388123</v>
      </c>
      <c r="AL37" s="49">
        <f t="shared" si="35"/>
        <v>1</v>
      </c>
      <c r="AM37" s="49">
        <f t="shared" si="35"/>
        <v>0.9423797539167309</v>
      </c>
      <c r="AN37" s="49">
        <f t="shared" si="36"/>
        <v>1</v>
      </c>
      <c r="AO37" s="60">
        <f>IFERROR(AO22/$B37,0)</f>
        <v>3.9999999999999996E-10</v>
      </c>
      <c r="AP37" s="60">
        <f>IFERROR(AP22/$B37,0)</f>
        <v>0</v>
      </c>
      <c r="AQ37" s="60">
        <f>IFERROR(AQ22/$B37,0)</f>
        <v>4.3800000000000004E-6</v>
      </c>
      <c r="AR37" s="60">
        <f>IFERROR(AR22/$B37,0)</f>
        <v>1.8087754064641833E-11</v>
      </c>
      <c r="AS37" s="60">
        <f t="shared" si="26"/>
        <v>1.7305154169200115E-11</v>
      </c>
      <c r="AT37" s="71">
        <f>IFERROR(up_RadSpec!$H$22*AT22,".")*$B$37</f>
        <v>12500</v>
      </c>
      <c r="AU37" s="71">
        <f>IFERROR(up_RadSpec!$G$22*AU22,".")*$B$37</f>
        <v>2278.645833333333</v>
      </c>
      <c r="AV37" s="71">
        <f>IFERROR(up_RadSpec!$L$22*AV22,".")*$B$37</f>
        <v>1.1415525114155249</v>
      </c>
      <c r="AW37" s="71">
        <f>up_b2w!AB37</f>
        <v>276430.1185283176</v>
      </c>
      <c r="AX37" s="49">
        <f t="shared" si="38"/>
        <v>1</v>
      </c>
      <c r="AY37" s="49">
        <f t="shared" si="39"/>
        <v>0</v>
      </c>
      <c r="AZ37" s="49">
        <f t="shared" si="40"/>
        <v>0.68067711563678512</v>
      </c>
      <c r="BA37" s="49">
        <f t="shared" si="40"/>
        <v>1</v>
      </c>
      <c r="BB37" s="49">
        <f t="shared" si="41"/>
        <v>1</v>
      </c>
      <c r="BC37" s="60">
        <f>IFERROR(BC22/$B37,0)</f>
        <v>7.2727272727272723E-11</v>
      </c>
      <c r="BD37" s="71">
        <f>IFERROR(up_RadSpec!$E$22*BD22,".")*$B$37</f>
        <v>68750</v>
      </c>
      <c r="BE37" s="49">
        <f t="shared" si="43"/>
        <v>1</v>
      </c>
    </row>
    <row r="38" spans="1:57" x14ac:dyDescent="0.25">
      <c r="A38" s="48" t="s">
        <v>1083</v>
      </c>
      <c r="B38" s="15">
        <v>1</v>
      </c>
      <c r="C38" s="60">
        <f>IFERROR(C2/$B38,0)</f>
        <v>3.6363636363636363E-8</v>
      </c>
      <c r="D38" s="60">
        <f>IFERROR(D2/$B38,0)</f>
        <v>3.3989909629864073E-4</v>
      </c>
      <c r="E38" s="60">
        <f>IFERROR(E2/$B38,0)</f>
        <v>1.0333433583959902E-4</v>
      </c>
      <c r="F38" s="60">
        <f>IFERROR(F2/$B38,0)</f>
        <v>3.6265718922545492E-12</v>
      </c>
      <c r="G38" s="60">
        <f>IFERROR(G2/$B38,0)</f>
        <v>1.8181818181818181E-11</v>
      </c>
      <c r="H38" s="60">
        <f t="shared" si="28"/>
        <v>3.6262100817329475E-12</v>
      </c>
      <c r="I38" s="71">
        <f>IFERROR(up_RadSpec!$D$2*I2,".")*$B$38</f>
        <v>137.5</v>
      </c>
      <c r="J38" s="71">
        <f>IFERROR(up_RadSpec!$G$2*J2,".")*B38</f>
        <v>1.4710247995501937E-2</v>
      </c>
      <c r="K38" s="71">
        <f>IFERROR(up_RadSpec!$F$2*K2,".")*B38</f>
        <v>4.8386627342931414E-2</v>
      </c>
      <c r="L38" s="71">
        <f>up_b2s!AB38</f>
        <v>7927596.875</v>
      </c>
      <c r="M38" s="49">
        <f t="shared" si="29"/>
        <v>1</v>
      </c>
      <c r="N38" s="49">
        <f t="shared" si="29"/>
        <v>1.4602580880648697E-2</v>
      </c>
      <c r="O38" s="49">
        <f t="shared" si="30"/>
        <v>4.7234649277677176E-2</v>
      </c>
      <c r="P38" s="49">
        <f t="shared" si="31"/>
        <v>1</v>
      </c>
      <c r="Q38" s="49">
        <f t="shared" si="32"/>
        <v>1</v>
      </c>
      <c r="R38" s="60">
        <f>IFERROR(R2/$B38,0)</f>
        <v>1.0333433583959902E-4</v>
      </c>
      <c r="S38" s="60">
        <f>IFERROR(S2/$B38,0)</f>
        <v>2.0893542757417099E-4</v>
      </c>
      <c r="T38" s="60">
        <f>IFERROR(T2/$B38,0)</f>
        <v>1.4190654205607474E-4</v>
      </c>
      <c r="U38" s="60">
        <f>IFERROR(U2/$B38,0)</f>
        <v>1.1795570079883802E-4</v>
      </c>
      <c r="V38" s="60">
        <f>IFERROR(V2/$B38,0)</f>
        <v>1.6533727227966526E-3</v>
      </c>
      <c r="W38" s="71">
        <f>IFERROR(up_RadSpec!$F$2*W2,".")*$B$38</f>
        <v>4.8386627342931414E-2</v>
      </c>
      <c r="X38" s="71">
        <f>IFERROR(up_RadSpec!$M$2*X2,".")*$B$38</f>
        <v>2.3930838623454732E-2</v>
      </c>
      <c r="Y38" s="71">
        <f>IFERROR(up_RadSpec!$N$2*Y2,".")*$B$38</f>
        <v>3.5234457323498426E-2</v>
      </c>
      <c r="Z38" s="71">
        <f>IFERROR(up_RadSpec!$O$2*Z2,".")*$B$38</f>
        <v>4.2388794828382342E-2</v>
      </c>
      <c r="AA38" s="71">
        <f>IFERROR(up_RadSpec!$K$2*AA2,".")*$B$38</f>
        <v>3.0241215008933874E-3</v>
      </c>
      <c r="AB38" s="49">
        <f t="shared" si="34"/>
        <v>4.7234649277677176E-2</v>
      </c>
      <c r="AC38" s="49">
        <f t="shared" si="24"/>
        <v>2.3646766643516726E-2</v>
      </c>
      <c r="AD38" s="49">
        <f t="shared" si="24"/>
        <v>3.4620950466179856E-2</v>
      </c>
      <c r="AE38" s="49">
        <f t="shared" si="24"/>
        <v>4.150295057662734E-2</v>
      </c>
      <c r="AF38" s="49">
        <f t="shared" si="24"/>
        <v>3.0241215008933874E-3</v>
      </c>
      <c r="AG38" s="60">
        <f>IFERROR(AG2/$B38,0)</f>
        <v>1.0971428571428573E-9</v>
      </c>
      <c r="AH38" s="60">
        <f>IFERROR(AH2/$B38,0)</f>
        <v>1.7520000000000001E-6</v>
      </c>
      <c r="AI38" s="60">
        <f t="shared" si="25"/>
        <v>1.0964562309317064E-9</v>
      </c>
      <c r="AJ38" s="71">
        <f>IFERROR(up_RadSpec!$G$2*AJ2,".")*$B$38</f>
        <v>4557.2916666666661</v>
      </c>
      <c r="AK38" s="71">
        <f>IFERROR(up_RadSpec!$J$2*AK2,".")*$B$38</f>
        <v>2.8538812785388123</v>
      </c>
      <c r="AL38" s="49">
        <f t="shared" si="35"/>
        <v>1</v>
      </c>
      <c r="AM38" s="49">
        <f t="shared" si="35"/>
        <v>0.9423797539167309</v>
      </c>
      <c r="AN38" s="49">
        <f t="shared" si="36"/>
        <v>1</v>
      </c>
      <c r="AO38" s="60">
        <f>IFERROR(AO2/$B38,0)</f>
        <v>3.9999999999999996E-10</v>
      </c>
      <c r="AP38" s="60">
        <f>IFERROR(AP2/$B38,0)</f>
        <v>0</v>
      </c>
      <c r="AQ38" s="60">
        <f>IFERROR(AQ2/$B38,0)</f>
        <v>4.3800000000000004E-6</v>
      </c>
      <c r="AR38" s="60">
        <f>IFERROR(AR2/$B38,0)</f>
        <v>1.8087754064641833E-11</v>
      </c>
      <c r="AS38" s="60">
        <f t="shared" si="26"/>
        <v>1.7305154169200115E-11</v>
      </c>
      <c r="AT38" s="71">
        <f>IFERROR(up_RadSpec!$H$2*AT2,".")*$B$38</f>
        <v>12500</v>
      </c>
      <c r="AU38" s="71">
        <f>IFERROR(up_RadSpec!$G$2*AU2,".")*$B$38</f>
        <v>2278.645833333333</v>
      </c>
      <c r="AV38" s="71">
        <f>IFERROR(up_RadSpec!$L$2*AV2,".")*$B$38</f>
        <v>1.1415525114155249</v>
      </c>
      <c r="AW38" s="71">
        <f>up_b2w!AB38</f>
        <v>276430.1185283176</v>
      </c>
      <c r="AX38" s="49">
        <f t="shared" si="38"/>
        <v>1</v>
      </c>
      <c r="AY38" s="49">
        <f t="shared" si="39"/>
        <v>0</v>
      </c>
      <c r="AZ38" s="49">
        <f t="shared" si="40"/>
        <v>0.68067711563678512</v>
      </c>
      <c r="BA38" s="49">
        <f t="shared" si="40"/>
        <v>1</v>
      </c>
      <c r="BB38" s="49">
        <f t="shared" si="41"/>
        <v>1</v>
      </c>
      <c r="BC38" s="60">
        <f>IFERROR(BC2/$B38,0)</f>
        <v>7.2727272727272723E-11</v>
      </c>
      <c r="BD38" s="71">
        <f>IFERROR(up_RadSpec!$E$2*BD2,".")*$B$38</f>
        <v>68750</v>
      </c>
      <c r="BE38" s="49">
        <f t="shared" si="43"/>
        <v>1</v>
      </c>
    </row>
    <row r="39" spans="1:57" x14ac:dyDescent="0.25">
      <c r="A39" s="48" t="s">
        <v>1084</v>
      </c>
      <c r="B39" s="15">
        <v>1</v>
      </c>
      <c r="C39" s="60">
        <f>IFERROR(C11/$B39,0)</f>
        <v>3.6363636363636363E-8</v>
      </c>
      <c r="D39" s="60">
        <f>IFERROR(D11/$B39,0)</f>
        <v>3.3989909629864073E-4</v>
      </c>
      <c r="E39" s="60">
        <f>IFERROR(E11/$B39,0)</f>
        <v>9.0915750915750919E-5</v>
      </c>
      <c r="F39" s="60">
        <f>IFERROR(F11/$B39,0)</f>
        <v>3.6265718922545492E-12</v>
      </c>
      <c r="G39" s="60">
        <f>IFERROR(G11/$B39,0)</f>
        <v>1.8181818181818181E-11</v>
      </c>
      <c r="H39" s="60">
        <f t="shared" si="28"/>
        <v>3.6262100643511678E-12</v>
      </c>
      <c r="I39" s="71">
        <f>IFERROR(up_RadSpec!$D$11*I11,".")*$B$39</f>
        <v>137.5</v>
      </c>
      <c r="J39" s="71">
        <f>IFERROR(up_RadSpec!$G$11*J11,".")*B39</f>
        <v>1.4710247995501937E-2</v>
      </c>
      <c r="K39" s="71">
        <f>IFERROR(up_RadSpec!$F$11*K11,".")*B39</f>
        <v>5.4995970991136178E-2</v>
      </c>
      <c r="L39" s="71">
        <f>up_b2s!AB39</f>
        <v>7927596.875</v>
      </c>
      <c r="M39" s="49">
        <f t="shared" si="29"/>
        <v>1</v>
      </c>
      <c r="N39" s="49">
        <f t="shared" si="29"/>
        <v>1.4602580880648697E-2</v>
      </c>
      <c r="O39" s="49">
        <f t="shared" si="30"/>
        <v>5.3511038641783415E-2</v>
      </c>
      <c r="P39" s="49">
        <f t="shared" si="31"/>
        <v>1</v>
      </c>
      <c r="Q39" s="49">
        <f t="shared" si="32"/>
        <v>1</v>
      </c>
      <c r="R39" s="60">
        <f>IFERROR(R11/$B39,0)</f>
        <v>9.0915750915750919E-5</v>
      </c>
      <c r="S39" s="60">
        <f>IFERROR(S11/$B39,0)</f>
        <v>1.1503847337642353E-4</v>
      </c>
      <c r="T39" s="60">
        <f>IFERROR(T11/$B39,0)</f>
        <v>8.9280575539568341E-5</v>
      </c>
      <c r="U39" s="60">
        <f>IFERROR(U11/$B39,0)</f>
        <v>8.5044593088071379E-5</v>
      </c>
      <c r="V39" s="60">
        <f>IFERROR(V11/$B39,0)</f>
        <v>2.1415816326530613E-4</v>
      </c>
      <c r="W39" s="71">
        <f>IFERROR(up_RadSpec!$F$11*W11,".")*$B$39</f>
        <v>5.4995970991136178E-2</v>
      </c>
      <c r="X39" s="71">
        <f>IFERROR(up_RadSpec!$M$11*X11,".")*$B$39</f>
        <v>4.3463720034246568E-2</v>
      </c>
      <c r="Y39" s="71">
        <f>IFERROR(up_RadSpec!$N$11*Y11,".")*$B$39</f>
        <v>5.6003223207091057E-2</v>
      </c>
      <c r="Z39" s="71">
        <f>IFERROR(up_RadSpec!$O$11*Z11,".")*$B$39</f>
        <v>5.8792685324768931E-2</v>
      </c>
      <c r="AA39" s="71">
        <f>IFERROR(up_RadSpec!$K$11*AA11,".")*$B$39</f>
        <v>2.3347230494341866E-2</v>
      </c>
      <c r="AB39" s="49">
        <f t="shared" si="34"/>
        <v>5.3511038641783415E-2</v>
      </c>
      <c r="AC39" s="49">
        <f t="shared" si="24"/>
        <v>4.2532709658648304E-2</v>
      </c>
      <c r="AD39" s="49">
        <f t="shared" si="24"/>
        <v>5.4463911773139806E-2</v>
      </c>
      <c r="AE39" s="49">
        <f t="shared" si="24"/>
        <v>5.7097773635340632E-2</v>
      </c>
      <c r="AF39" s="49">
        <f t="shared" si="24"/>
        <v>2.3076792655095435E-2</v>
      </c>
      <c r="AG39" s="60">
        <f>IFERROR(AG11/$B39,0)</f>
        <v>1.0971428571428573E-9</v>
      </c>
      <c r="AH39" s="60">
        <f>IFERROR(AH11/$B39,0)</f>
        <v>1.7520000000000001E-6</v>
      </c>
      <c r="AI39" s="60">
        <f>IFERROR(IF(AND(AG39&lt;&gt;0,AH39&lt;&gt;0),1/((1/AG39)+(1/AH39)),IF(AND(AG39&lt;&gt;0,AH39=0),1/((1/AG39)),IF(AND(AG39=0,AH39&lt;&gt;0),1/((1/AH39)),IF(AND(AG39=".",AH39="."),".")))),".")</f>
        <v>1.0964562309317064E-9</v>
      </c>
      <c r="AJ39" s="71">
        <f>IFERROR(up_RadSpec!$G$11*AJ11,".")*$B$39</f>
        <v>4557.2916666666661</v>
      </c>
      <c r="AK39" s="71">
        <f>IFERROR(up_RadSpec!$J$11*AK11,".")*$B$39</f>
        <v>2.8538812785388123</v>
      </c>
      <c r="AL39" s="49">
        <f t="shared" si="35"/>
        <v>1</v>
      </c>
      <c r="AM39" s="49">
        <f t="shared" si="35"/>
        <v>0.9423797539167309</v>
      </c>
      <c r="AN39" s="49">
        <f t="shared" si="36"/>
        <v>1</v>
      </c>
      <c r="AO39" s="60">
        <f>IFERROR(AO11/$B39,0)</f>
        <v>3.9999999999999996E-10</v>
      </c>
      <c r="AP39" s="60">
        <f>IFERROR(AP11/$B39,0)</f>
        <v>0</v>
      </c>
      <c r="AQ39" s="60">
        <f>IFERROR(AQ11/$B39,0)</f>
        <v>4.3800000000000004E-6</v>
      </c>
      <c r="AR39" s="60">
        <f>IFERROR(AR11/$B39,0)</f>
        <v>1.8087754064641833E-11</v>
      </c>
      <c r="AS39" s="60">
        <f t="shared" si="26"/>
        <v>1.7305154169200115E-11</v>
      </c>
      <c r="AT39" s="71">
        <f>IFERROR(up_RadSpec!$H$11*AT11,".")*$B$39</f>
        <v>12500</v>
      </c>
      <c r="AU39" s="71">
        <f>IFERROR(up_RadSpec!$G$11*AU11,".")*$B$39</f>
        <v>2278.645833333333</v>
      </c>
      <c r="AV39" s="71">
        <f>IFERROR(up_RadSpec!$L$11*AV11,".")*$B$39</f>
        <v>1.1415525114155249</v>
      </c>
      <c r="AW39" s="71">
        <f>up_b2w!AB39</f>
        <v>276430.1185283176</v>
      </c>
      <c r="AX39" s="49">
        <f t="shared" si="38"/>
        <v>1</v>
      </c>
      <c r="AY39" s="49">
        <f t="shared" si="39"/>
        <v>0</v>
      </c>
      <c r="AZ39" s="49">
        <f t="shared" si="40"/>
        <v>0.68067711563678512</v>
      </c>
      <c r="BA39" s="49">
        <f t="shared" si="40"/>
        <v>1</v>
      </c>
      <c r="BB39" s="49">
        <f t="shared" si="41"/>
        <v>1</v>
      </c>
      <c r="BC39" s="60">
        <f>IFERROR(BC11/$B39,0)</f>
        <v>7.2727272727272723E-11</v>
      </c>
      <c r="BD39" s="71">
        <f>IFERROR(up_RadSpec!$E$11*BD11,".")*$B$39</f>
        <v>68750</v>
      </c>
      <c r="BE39" s="49">
        <f t="shared" si="43"/>
        <v>1</v>
      </c>
    </row>
    <row r="40" spans="1:57" x14ac:dyDescent="0.25">
      <c r="A40" s="48" t="s">
        <v>1085</v>
      </c>
      <c r="B40" s="15">
        <v>1</v>
      </c>
      <c r="C40" s="60">
        <f>IFERROR(C4/$B40,0)</f>
        <v>3.6363636363636363E-8</v>
      </c>
      <c r="D40" s="60">
        <f>IFERROR(D4/$B40,0)</f>
        <v>3.3989909629864073E-4</v>
      </c>
      <c r="E40" s="60">
        <f>IFERROR(E4/$B40,0)</f>
        <v>5.0469135802469151E-5</v>
      </c>
      <c r="F40" s="60">
        <f>IFERROR(F4/$B40,0)</f>
        <v>3.6265718922545492E-12</v>
      </c>
      <c r="G40" s="60">
        <f>IFERROR(G4/$B40,0)</f>
        <v>1.8181818181818181E-11</v>
      </c>
      <c r="H40" s="60">
        <f t="shared" si="28"/>
        <v>3.6262099484405845E-12</v>
      </c>
      <c r="I40" s="71">
        <f>IFERROR(up_RadSpec!$D$4*I4,".")*$B$40</f>
        <v>137.5</v>
      </c>
      <c r="J40" s="71">
        <f>IFERROR(up_RadSpec!$G$4*J4,".")*B40</f>
        <v>1.4710247995501937E-2</v>
      </c>
      <c r="K40" s="71">
        <f>IFERROR(up_RadSpec!$F$4*K4,".")*B40</f>
        <v>9.9070450097847318E-2</v>
      </c>
      <c r="L40" s="71">
        <f>up_b2s!AB40</f>
        <v>7927596.875</v>
      </c>
      <c r="M40" s="49">
        <f t="shared" si="29"/>
        <v>1</v>
      </c>
      <c r="N40" s="49">
        <f t="shared" si="29"/>
        <v>1.4602580880648697E-2</v>
      </c>
      <c r="O40" s="49">
        <f t="shared" si="30"/>
        <v>9.4321099391210583E-2</v>
      </c>
      <c r="P40" s="49">
        <f t="shared" si="31"/>
        <v>1</v>
      </c>
      <c r="Q40" s="49">
        <f t="shared" si="32"/>
        <v>1</v>
      </c>
      <c r="R40" s="60">
        <f>IFERROR(R4/$B40,0)</f>
        <v>5.0469135802469151E-5</v>
      </c>
      <c r="S40" s="60">
        <f>IFERROR(S4/$B40,0)</f>
        <v>8.235897435897439E-5</v>
      </c>
      <c r="T40" s="60">
        <f>IFERROR(T4/$B40,0)</f>
        <v>5.924637681159419E-5</v>
      </c>
      <c r="U40" s="60">
        <f>IFERROR(U4/$B40,0)</f>
        <v>5.1573754568923663E-5</v>
      </c>
      <c r="V40" s="60">
        <f>IFERROR(V4/$B40,0)</f>
        <v>1.5209739559254119E-4</v>
      </c>
      <c r="W40" s="71">
        <f>IFERROR(up_RadSpec!$F$4*W4,".")*$B$40</f>
        <v>9.9070450097847318E-2</v>
      </c>
      <c r="X40" s="71">
        <f>IFERROR(up_RadSpec!$M$4*X4,".")*$B$40</f>
        <v>6.0709838107098353E-2</v>
      </c>
      <c r="Y40" s="71">
        <f>IFERROR(up_RadSpec!$N$4*Y4,".")*$B$40</f>
        <v>8.4393346379647766E-2</v>
      </c>
      <c r="Z40" s="71">
        <f>IFERROR(up_RadSpec!$O$4*Z4,".")*$B$40</f>
        <v>9.6948535971294311E-2</v>
      </c>
      <c r="AA40" s="71">
        <f>IFERROR(up_RadSpec!$K$4*AA4,".")*$B$40</f>
        <v>3.2873672691902417E-2</v>
      </c>
      <c r="AB40" s="49">
        <f t="shared" si="34"/>
        <v>9.4321099391210583E-2</v>
      </c>
      <c r="AC40" s="49">
        <f t="shared" si="24"/>
        <v>5.8903729562219787E-2</v>
      </c>
      <c r="AD40" s="49">
        <f t="shared" si="24"/>
        <v>8.093032774228659E-2</v>
      </c>
      <c r="AE40" s="49">
        <f t="shared" si="24"/>
        <v>9.2397286176503002E-2</v>
      </c>
      <c r="AF40" s="49">
        <f t="shared" si="24"/>
        <v>3.2339206148654376E-2</v>
      </c>
      <c r="AG40" s="60">
        <f>IFERROR(AG4/$B40,0)</f>
        <v>1.0971428571428573E-9</v>
      </c>
      <c r="AH40" s="60">
        <f>IFERROR(AH4/$B40,0)</f>
        <v>1.7520000000000001E-6</v>
      </c>
      <c r="AI40" s="60">
        <f t="shared" ref="AI40:AI44" si="44">IFERROR(IF(AND(AG40&lt;&gt;0,AH40&lt;&gt;0),1/((1/AG40)+(1/AH40)),IF(AND(AG40&lt;&gt;0,AH40=0),1/((1/AG40)),IF(AND(AG40=0,AH40&lt;&gt;0),1/((1/AH40)),IF(AND(AG40=".",AH40="."),".")))),".")</f>
        <v>1.0964562309317064E-9</v>
      </c>
      <c r="AJ40" s="71">
        <f>IFERROR(up_RadSpec!$G$4*AJ4,".")*$B$40</f>
        <v>4557.2916666666661</v>
      </c>
      <c r="AK40" s="71">
        <f>IFERROR(up_RadSpec!$J$4*AK4,".")*$B$40</f>
        <v>2.8538812785388123</v>
      </c>
      <c r="AL40" s="49">
        <f t="shared" si="35"/>
        <v>1</v>
      </c>
      <c r="AM40" s="49">
        <f t="shared" si="35"/>
        <v>0.9423797539167309</v>
      </c>
      <c r="AN40" s="49">
        <f t="shared" si="36"/>
        <v>1</v>
      </c>
      <c r="AO40" s="60">
        <f>IFERROR(AO4/$B40,0)</f>
        <v>3.9999999999999996E-10</v>
      </c>
      <c r="AP40" s="60">
        <f>IFERROR(AP4/$B40,0)</f>
        <v>0</v>
      </c>
      <c r="AQ40" s="60">
        <f>IFERROR(AQ4/$B40,0)</f>
        <v>4.3800000000000004E-6</v>
      </c>
      <c r="AR40" s="60">
        <f>IFERROR(AR4/$B40,0)</f>
        <v>1.8087754064641833E-11</v>
      </c>
      <c r="AS40" s="60">
        <f t="shared" si="26"/>
        <v>1.7305154169200115E-11</v>
      </c>
      <c r="AT40" s="71">
        <f>IFERROR(up_RadSpec!$H$4*AT4,".")*$B$40</f>
        <v>12500</v>
      </c>
      <c r="AU40" s="71">
        <f>IFERROR(up_RadSpec!$G$4*AU4,".")*$B$40</f>
        <v>2278.645833333333</v>
      </c>
      <c r="AV40" s="71">
        <f>IFERROR(up_RadSpec!$L$4*AV4,".")*$B$40</f>
        <v>1.1415525114155249</v>
      </c>
      <c r="AW40" s="71">
        <f>up_b2w!AB40</f>
        <v>276430.1185283176</v>
      </c>
      <c r="AX40" s="49">
        <f t="shared" si="38"/>
        <v>1</v>
      </c>
      <c r="AY40" s="49">
        <f t="shared" si="39"/>
        <v>0</v>
      </c>
      <c r="AZ40" s="49">
        <f t="shared" si="40"/>
        <v>0.68067711563678512</v>
      </c>
      <c r="BA40" s="49">
        <f t="shared" si="40"/>
        <v>1</v>
      </c>
      <c r="BB40" s="49">
        <f t="shared" si="41"/>
        <v>1</v>
      </c>
      <c r="BC40" s="60">
        <f>IFERROR(BC4/$B40,0)</f>
        <v>7.2727272727272723E-11</v>
      </c>
      <c r="BD40" s="71">
        <f>IFERROR(up_RadSpec!$E$4*BD4,".")*$B$40</f>
        <v>68750</v>
      </c>
      <c r="BE40" s="49">
        <f t="shared" si="43"/>
        <v>1</v>
      </c>
    </row>
    <row r="41" spans="1:57" x14ac:dyDescent="0.25">
      <c r="A41" s="48" t="s">
        <v>1086</v>
      </c>
      <c r="B41" s="50">
        <v>0.99987999999999999</v>
      </c>
      <c r="C41" s="60">
        <f>IFERROR(C8/$B41,0)</f>
        <v>3.6368000523699208E-8</v>
      </c>
      <c r="D41" s="60">
        <f>IFERROR(D8/$B41,0)</f>
        <v>3.3993988908533095E-4</v>
      </c>
      <c r="E41" s="60">
        <f>IFERROR(E8/$B41,0)</f>
        <v>3.2269065658044728E-5</v>
      </c>
      <c r="F41" s="60">
        <f>IFERROR(F8/$B41,0)</f>
        <v>3.6270071331105223E-12</v>
      </c>
      <c r="G41" s="60">
        <f>IFERROR(G8/$B41,0)</f>
        <v>1.8184000261849604E-11</v>
      </c>
      <c r="H41" s="60">
        <f t="shared" si="28"/>
        <v>3.6266449988425276E-12</v>
      </c>
      <c r="I41" s="71">
        <f>IFERROR(up_RadSpec!$D$8*I8,".")*$B$41</f>
        <v>137.48349999999999</v>
      </c>
      <c r="J41" s="71">
        <f>IFERROR(up_RadSpec!$G$8*J8,".")*B41</f>
        <v>1.4708482765742477E-2</v>
      </c>
      <c r="K41" s="71">
        <f>IFERROR(up_RadSpec!$F$8*K8,".")*B41</f>
        <v>0.15494715753424651</v>
      </c>
      <c r="L41" s="71">
        <f>up_b2s!AB41</f>
        <v>7928548.3007960971</v>
      </c>
      <c r="M41" s="49">
        <f t="shared" si="29"/>
        <v>1</v>
      </c>
      <c r="N41" s="49">
        <f t="shared" si="29"/>
        <v>1.4600841426264277E-2</v>
      </c>
      <c r="O41" s="49">
        <f t="shared" si="30"/>
        <v>0.14353956623098318</v>
      </c>
      <c r="P41" s="49">
        <f t="shared" si="31"/>
        <v>1</v>
      </c>
      <c r="Q41" s="49">
        <f t="shared" si="32"/>
        <v>1</v>
      </c>
      <c r="R41" s="60">
        <f>IFERROR(R8/$B41,0)</f>
        <v>3.2269065658044728E-5</v>
      </c>
      <c r="S41" s="60">
        <f>IFERROR(S8/$B41,0)</f>
        <v>5.9236317283023246E-5</v>
      </c>
      <c r="T41" s="60">
        <f>IFERROR(T8/$B41,0)</f>
        <v>4.323699893056542E-5</v>
      </c>
      <c r="U41" s="60">
        <f>IFERROR(U8/$B41,0)</f>
        <v>3.9641502989344493E-5</v>
      </c>
      <c r="V41" s="60">
        <f>IFERROR(V8/$B41,0)</f>
        <v>1.0975813741944335E-4</v>
      </c>
      <c r="W41" s="71">
        <f>IFERROR(up_RadSpec!$F$8*W8,".")*$B$41</f>
        <v>0.15494715753424651</v>
      </c>
      <c r="X41" s="71">
        <f>IFERROR(up_RadSpec!$M$8*X8,".")*$B$41</f>
        <v>8.4407678082191781E-2</v>
      </c>
      <c r="Y41" s="71">
        <f>IFERROR(up_RadSpec!$N$8*Y8,".")*$B$41</f>
        <v>0.11564169863013696</v>
      </c>
      <c r="Z41" s="71">
        <f>IFERROR(up_RadSpec!$O$8*Z8,".")*$B$41</f>
        <v>0.1261304345938645</v>
      </c>
      <c r="AA41" s="71">
        <f>IFERROR(up_RadSpec!$K$8*AA8,".")*$B$41</f>
        <v>4.5554708904109585E-2</v>
      </c>
      <c r="AB41" s="49">
        <f t="shared" si="34"/>
        <v>0.14353956623098318</v>
      </c>
      <c r="AC41" s="49">
        <f t="shared" si="24"/>
        <v>8.0943499481059611E-2</v>
      </c>
      <c r="AD41" s="49">
        <f t="shared" si="24"/>
        <v>0.10920566104381602</v>
      </c>
      <c r="AE41" s="49">
        <f t="shared" si="24"/>
        <v>0.11850013879185761</v>
      </c>
      <c r="AF41" s="49">
        <f t="shared" si="24"/>
        <v>4.4532671428417769E-2</v>
      </c>
      <c r="AG41" s="60">
        <f>IFERROR(AG8/$B41,0)</f>
        <v>1.0972745300864677E-9</v>
      </c>
      <c r="AH41" s="60">
        <f>IFERROR(AH8/$B41,0)</f>
        <v>1.752210265231828E-6</v>
      </c>
      <c r="AI41" s="60">
        <f t="shared" si="44"/>
        <v>1.0965878214702828E-9</v>
      </c>
      <c r="AJ41" s="71">
        <f>IFERROR(up_RadSpec!$G$8*AJ8,".")*$B$41</f>
        <v>4556.7447916666661</v>
      </c>
      <c r="AK41" s="71">
        <f>IFERROR(up_RadSpec!$J$8*AK8,".")*$B$41</f>
        <v>2.8535388127853878</v>
      </c>
      <c r="AL41" s="49">
        <f t="shared" si="35"/>
        <v>1</v>
      </c>
      <c r="AM41" s="49">
        <f t="shared" si="35"/>
        <v>0.94236001757642607</v>
      </c>
      <c r="AN41" s="49">
        <f t="shared" si="36"/>
        <v>1</v>
      </c>
      <c r="AO41" s="60">
        <f>IFERROR(AO8/$B41,0)</f>
        <v>4.0004800576069125E-10</v>
      </c>
      <c r="AP41" s="60">
        <f>IFERROR(AP8/$B41,0)</f>
        <v>0</v>
      </c>
      <c r="AQ41" s="60">
        <f>IFERROR(AQ8/$B41,0)</f>
        <v>4.3805256630795697E-6</v>
      </c>
      <c r="AR41" s="60">
        <f>IFERROR(AR8/$B41,0)</f>
        <v>1.8089924855624508E-11</v>
      </c>
      <c r="AS41" s="60">
        <f t="shared" si="26"/>
        <v>1.7307231036924542E-11</v>
      </c>
      <c r="AT41" s="71">
        <f>IFERROR(up_RadSpec!$H$8*AT8,".")*$B$41</f>
        <v>12498.5</v>
      </c>
      <c r="AU41" s="71">
        <f>IFERROR(up_RadSpec!$G$8*AU8,".")*$B$41</f>
        <v>2278.372395833333</v>
      </c>
      <c r="AV41" s="71">
        <f>IFERROR(up_RadSpec!$L$8*AV8,".")*$B$41</f>
        <v>1.1414155251141551</v>
      </c>
      <c r="AW41" s="71">
        <f>up_b2w!AB41</f>
        <v>276463.29412361246</v>
      </c>
      <c r="AX41" s="49">
        <f t="shared" si="38"/>
        <v>1</v>
      </c>
      <c r="AY41" s="49">
        <f t="shared" si="39"/>
        <v>0</v>
      </c>
      <c r="AZ41" s="49">
        <f t="shared" si="40"/>
        <v>0.68063336977969024</v>
      </c>
      <c r="BA41" s="49">
        <f t="shared" si="40"/>
        <v>1</v>
      </c>
      <c r="BB41" s="49">
        <f t="shared" si="41"/>
        <v>1</v>
      </c>
      <c r="BC41" s="60">
        <f>IFERROR(BC8/$B41,0)</f>
        <v>7.2736001047398416E-11</v>
      </c>
      <c r="BD41" s="71">
        <f>IFERROR(up_RadSpec!$E$8*BD8,".")*$B$41</f>
        <v>68741.75</v>
      </c>
      <c r="BE41" s="49">
        <f t="shared" si="43"/>
        <v>1</v>
      </c>
    </row>
    <row r="42" spans="1:57" x14ac:dyDescent="0.25">
      <c r="A42" s="48" t="s">
        <v>1087</v>
      </c>
      <c r="B42" s="15">
        <v>0.97898250799999997</v>
      </c>
      <c r="C42" s="60">
        <f>IFERROR(C19/$B42,0)</f>
        <v>3.7144316743641313E-8</v>
      </c>
      <c r="D42" s="60">
        <f>IFERROR(D19/$B42,0)</f>
        <v>3.4719629157933915E-4</v>
      </c>
      <c r="E42" s="60">
        <f>IFERROR(E19/$B42,0)</f>
        <v>2.2815390813883189E-5</v>
      </c>
      <c r="F42" s="60">
        <f>IFERROR(F19/$B42,0)</f>
        <v>3.7044297141359646E-12</v>
      </c>
      <c r="G42" s="60">
        <f>IFERROR(G19/$B42,0)</f>
        <v>1.8572158371820654E-11</v>
      </c>
      <c r="H42" s="60">
        <f t="shared" si="28"/>
        <v>3.7040596646408812E-12</v>
      </c>
      <c r="I42" s="72">
        <f>IFERROR(up_RadSpec!$D$19*I19,".")*$B$42</f>
        <v>134.61009485</v>
      </c>
      <c r="J42" s="72">
        <f>IFERROR(up_RadSpec!$G$19*J19,".")*B42</f>
        <v>1.4401075475938458E-2</v>
      </c>
      <c r="K42" s="72">
        <f>IFERROR(up_RadSpec!$F$19*K19,".")*B42</f>
        <v>0.21915031133095886</v>
      </c>
      <c r="L42" s="71">
        <f>up_b2s!AB42</f>
        <v>8097792.1568747796</v>
      </c>
      <c r="M42" s="49">
        <f t="shared" si="29"/>
        <v>1</v>
      </c>
      <c r="N42" s="49">
        <f t="shared" si="29"/>
        <v>1.4297875977043906E-2</v>
      </c>
      <c r="O42" s="49">
        <f t="shared" si="30"/>
        <v>0.19679902112854886</v>
      </c>
      <c r="P42" s="49">
        <f t="shared" si="31"/>
        <v>1</v>
      </c>
      <c r="Q42" s="49">
        <f t="shared" si="32"/>
        <v>1</v>
      </c>
      <c r="R42" s="60">
        <f>IFERROR(R19/$B42,0)</f>
        <v>2.2815390813883189E-5</v>
      </c>
      <c r="S42" s="60">
        <f>IFERROR(S19/$B42,0)</f>
        <v>4.5252127985774248E-5</v>
      </c>
      <c r="T42" s="60">
        <f>IFERROR(T19/$B42,0)</f>
        <v>3.1368739649973175E-5</v>
      </c>
      <c r="U42" s="60">
        <f>IFERROR(U19/$B42,0)</f>
        <v>2.6199292059923752E-5</v>
      </c>
      <c r="V42" s="60">
        <f>IFERROR(V19/$B42,0)</f>
        <v>7.792540969211347E-5</v>
      </c>
      <c r="W42" s="72">
        <f>IFERROR(up_RadSpec!$F$19*W19,".")*$B$42</f>
        <v>0.21915031133095886</v>
      </c>
      <c r="X42" s="72">
        <f>IFERROR(up_RadSpec!$M$19*X19,".")*$B$42</f>
        <v>0.11049204142558404</v>
      </c>
      <c r="Y42" s="72">
        <f>IFERROR(up_RadSpec!$N$19*Y19,".")*$B$42</f>
        <v>0.15939435424541434</v>
      </c>
      <c r="Z42" s="72">
        <f>IFERROR(up_RadSpec!$O$19*Z19,".")*$B$42</f>
        <v>0.19084485140147528</v>
      </c>
      <c r="AA42" s="72">
        <f>IFERROR(up_RadSpec!$K$19*AA19,".")*$B$42</f>
        <v>6.4163923163897477E-2</v>
      </c>
      <c r="AB42" s="49">
        <f t="shared" si="34"/>
        <v>0.19679902112854886</v>
      </c>
      <c r="AC42" s="49">
        <f t="shared" si="24"/>
        <v>0.10460654378341772</v>
      </c>
      <c r="AD42" s="49">
        <f t="shared" si="24"/>
        <v>0.14733995744808892</v>
      </c>
      <c r="AE42" s="49">
        <f t="shared" si="24"/>
        <v>0.17373922859208968</v>
      </c>
      <c r="AF42" s="49">
        <f t="shared" si="24"/>
        <v>6.2148748614759719E-2</v>
      </c>
      <c r="AG42" s="60">
        <f>IFERROR(AG19/$B42,0)</f>
        <v>1.1206970994652922E-9</v>
      </c>
      <c r="AH42" s="60">
        <f>IFERROR(AH19/$B42,0)</f>
        <v>1.7896131807086385E-6</v>
      </c>
      <c r="AI42" s="60">
        <f t="shared" si="44"/>
        <v>1.1199957322748266E-9</v>
      </c>
      <c r="AJ42" s="72">
        <f>IFERROR(up_RadSpec!$G$19*AJ19,".")*$B$42</f>
        <v>4461.5088255208329</v>
      </c>
      <c r="AK42" s="72">
        <f>IFERROR(up_RadSpec!$J$19*AK19,".")*$B$42</f>
        <v>2.793899851598173</v>
      </c>
      <c r="AL42" s="49">
        <f t="shared" si="35"/>
        <v>1</v>
      </c>
      <c r="AM42" s="49">
        <f t="shared" si="35"/>
        <v>0.93881785323804412</v>
      </c>
      <c r="AN42" s="49">
        <f t="shared" si="36"/>
        <v>1</v>
      </c>
      <c r="AO42" s="60">
        <f>IFERROR(AO19/$B42,0)</f>
        <v>4.0858748418005437E-10</v>
      </c>
      <c r="AP42" s="60">
        <f>IFERROR(AP19/$B42,0)</f>
        <v>0</v>
      </c>
      <c r="AQ42" s="60">
        <f>IFERROR(AQ19/$B42,0)</f>
        <v>4.4740329517715967E-6</v>
      </c>
      <c r="AR42" s="60">
        <f>IFERROR(AR19/$B42,0)</f>
        <v>1.8476074819348901E-11</v>
      </c>
      <c r="AS42" s="60">
        <f t="shared" si="26"/>
        <v>1.7676673513353635E-11</v>
      </c>
      <c r="AT42" s="72">
        <f>IFERROR(up_RadSpec!$H$19*AT19,".")*$B$42</f>
        <v>12237.281349999999</v>
      </c>
      <c r="AU42" s="72">
        <f>IFERROR(up_RadSpec!$G$19*AU19,".")*$B$42</f>
        <v>2230.7544127604165</v>
      </c>
      <c r="AV42" s="72">
        <f>IFERROR(up_RadSpec!$L$19*AV19,".")*$B$42</f>
        <v>1.1175599406392691</v>
      </c>
      <c r="AW42" s="71">
        <f>up_b2w!AB42</f>
        <v>282364.71670269885</v>
      </c>
      <c r="AX42" s="49">
        <f t="shared" si="38"/>
        <v>1</v>
      </c>
      <c r="AY42" s="49">
        <f t="shared" si="39"/>
        <v>0</v>
      </c>
      <c r="AZ42" s="49">
        <f t="shared" si="40"/>
        <v>0.67292309120241578</v>
      </c>
      <c r="BA42" s="49">
        <f t="shared" si="40"/>
        <v>1</v>
      </c>
      <c r="BB42" s="49">
        <f t="shared" si="41"/>
        <v>1</v>
      </c>
      <c r="BC42" s="60">
        <f>IFERROR(BC19/$B42,0)</f>
        <v>7.4288633487282614E-11</v>
      </c>
      <c r="BD42" s="72">
        <f>IFERROR(up_RadSpec!$E$19*BD19,".")*$B$42</f>
        <v>67305.047424999997</v>
      </c>
      <c r="BE42" s="49">
        <f t="shared" si="43"/>
        <v>1</v>
      </c>
    </row>
    <row r="43" spans="1:57" x14ac:dyDescent="0.25">
      <c r="A43" s="48" t="s">
        <v>1088</v>
      </c>
      <c r="B43" s="15">
        <v>2.0897492E-2</v>
      </c>
      <c r="C43" s="60">
        <f>IFERROR(C28/$B43,0)</f>
        <v>1.7400957188372825E-6</v>
      </c>
      <c r="D43" s="60">
        <f>IFERROR(D28/$B43,0)</f>
        <v>1.6265066463412966E-2</v>
      </c>
      <c r="E43" s="60">
        <f>IFERROR(E28/$B43,0)</f>
        <v>7.6068205249405949E-4</v>
      </c>
      <c r="F43" s="60">
        <f>IFERROR(F28/$B43,0)</f>
        <v>1.7354101115361351E-10</v>
      </c>
      <c r="G43" s="60">
        <f>IFERROR(G28/$B43,0)</f>
        <v>8.7004785941864122E-10</v>
      </c>
      <c r="H43" s="60">
        <f t="shared" si="28"/>
        <v>1.7352366407355479E-10</v>
      </c>
      <c r="I43" s="72">
        <f>IFERROR(up_RadSpec!D28*I28,".")*$B$43</f>
        <v>2.87340515</v>
      </c>
      <c r="J43" s="72">
        <f>IFERROR(up_RadSpec!E28*J28,".")*B43</f>
        <v>3.0740728980401774E-4</v>
      </c>
      <c r="K43" s="72">
        <f>IFERROR(up_RadSpec!F28*K28,".")*B43</f>
        <v>6.5730484682876714E-3</v>
      </c>
      <c r="L43" s="71">
        <f>up_b2s!AB43</f>
        <v>379356378.02852136</v>
      </c>
      <c r="M43" s="49">
        <f t="shared" si="29"/>
        <v>0.94349381342943939</v>
      </c>
      <c r="N43" s="49">
        <f t="shared" si="29"/>
        <v>3.0740728980401774E-4</v>
      </c>
      <c r="O43" s="49">
        <f t="shared" si="30"/>
        <v>6.5730484682876714E-3</v>
      </c>
      <c r="P43" s="49">
        <f t="shared" si="31"/>
        <v>1</v>
      </c>
      <c r="Q43" s="49">
        <f t="shared" si="32"/>
        <v>1</v>
      </c>
      <c r="R43" s="60">
        <f>IFERROR(R28/$B43,0)</f>
        <v>7.6068205249405949E-4</v>
      </c>
      <c r="S43" s="60">
        <f>IFERROR(S28/$B43,0)</f>
        <v>1.6962146976178636E-3</v>
      </c>
      <c r="T43" s="60">
        <f>IFERROR(T28/$B43,0)</f>
        <v>1.1776627578814476E-3</v>
      </c>
      <c r="U43" s="60">
        <f>IFERROR(U28/$B43,0)</f>
        <v>1.0196237331336383E-3</v>
      </c>
      <c r="V43" s="60">
        <f>IFERROR(V28/$B43,0)</f>
        <v>2.9818857200950089E-3</v>
      </c>
      <c r="W43" s="72">
        <f>IFERROR(up_RadSpec!$F$28*W28,".")*$B$43</f>
        <v>6.5730484682876714E-3</v>
      </c>
      <c r="X43" s="72">
        <f>IFERROR(up_RadSpec!$M$28*X28,".")*$B$43</f>
        <v>2.9477400514344785E-3</v>
      </c>
      <c r="Y43" s="72">
        <f>IFERROR(up_RadSpec!$N$28*Y28,".")*$B$43</f>
        <v>4.2456976469178098E-3</v>
      </c>
      <c r="Z43" s="72">
        <f>IFERROR(up_RadSpec!$O$28*Z28,".")*$B$43</f>
        <v>4.9037697314413802E-3</v>
      </c>
      <c r="AA43" s="72">
        <f>IFERROR(up_RadSpec!$K$28*AA28,".")*$B$43</f>
        <v>1.6767912889165619E-3</v>
      </c>
      <c r="AB43" s="49">
        <f t="shared" si="34"/>
        <v>6.5730484682876714E-3</v>
      </c>
      <c r="AC43" s="49">
        <f t="shared" si="24"/>
        <v>2.9477400514344785E-3</v>
      </c>
      <c r="AD43" s="49">
        <f t="shared" si="24"/>
        <v>4.2456976469178098E-3</v>
      </c>
      <c r="AE43" s="49">
        <f t="shared" si="24"/>
        <v>4.9037697314413802E-3</v>
      </c>
      <c r="AF43" s="49">
        <f t="shared" si="24"/>
        <v>1.6767912889165619E-3</v>
      </c>
      <c r="AG43" s="60">
        <f>IFERROR(AG28/$B43,0)</f>
        <v>5.2501173688347737E-8</v>
      </c>
      <c r="AH43" s="60">
        <f>IFERROR(AH28/$B43,0)</f>
        <v>8.3837811733580286E-5</v>
      </c>
      <c r="AI43" s="60">
        <f t="shared" si="44"/>
        <v>5.2468316816759942E-8</v>
      </c>
      <c r="AJ43" s="72">
        <f>IFERROR(up_RadSpec!$G$28*AJ28,".")*$B$43</f>
        <v>95.235966145833316</v>
      </c>
      <c r="AK43" s="72">
        <f>IFERROR(up_RadSpec!$J$28*AK28,".")*$B$43</f>
        <v>5.9638961187214602E-2</v>
      </c>
      <c r="AL43" s="49">
        <f t="shared" si="35"/>
        <v>1</v>
      </c>
      <c r="AM43" s="49">
        <f t="shared" si="35"/>
        <v>5.7895391480191183E-2</v>
      </c>
      <c r="AN43" s="49">
        <f t="shared" si="36"/>
        <v>1</v>
      </c>
      <c r="AO43" s="60">
        <f>IFERROR(AO28/$B43,0)</f>
        <v>1.9141052907210108E-8</v>
      </c>
      <c r="AP43" s="60">
        <f>IFERROR(AP28/$B43,0)</f>
        <v>0</v>
      </c>
      <c r="AQ43" s="60">
        <f>IFERROR(AQ28/$B43,0)</f>
        <v>2.0959452933395071E-4</v>
      </c>
      <c r="AR43" s="60">
        <f>IFERROR(AR28/$B43,0)</f>
        <v>8.6554664380978504E-10</v>
      </c>
      <c r="AS43" s="60">
        <f t="shared" si="26"/>
        <v>8.2809717880021734E-10</v>
      </c>
      <c r="AT43" s="72">
        <f>IFERROR(up_RadSpec!$H$28*AT28,".")*$B$43</f>
        <v>261.21865000000003</v>
      </c>
      <c r="AU43" s="72">
        <f>IFERROR(up_RadSpec!$G$28*AU28,".")*$B$43</f>
        <v>47.617983072916658</v>
      </c>
      <c r="AV43" s="72">
        <f>IFERROR(up_RadSpec!$L$28*AV28,".")*$B$43</f>
        <v>2.3855584474885842E-2</v>
      </c>
      <c r="AW43" s="71">
        <f>up_b2w!AB43</f>
        <v>13227908.80974222</v>
      </c>
      <c r="AX43" s="49">
        <f t="shared" si="38"/>
        <v>1</v>
      </c>
      <c r="AY43" s="49">
        <f t="shared" si="39"/>
        <v>0</v>
      </c>
      <c r="AZ43" s="49">
        <f t="shared" si="40"/>
        <v>2.3573289247533324E-2</v>
      </c>
      <c r="BA43" s="49">
        <f t="shared" si="40"/>
        <v>1</v>
      </c>
      <c r="BB43" s="49">
        <f t="shared" si="41"/>
        <v>1</v>
      </c>
      <c r="BC43" s="60">
        <f>IFERROR(BC28/$B43,0)</f>
        <v>3.4801914376745649E-9</v>
      </c>
      <c r="BD43" s="72">
        <f>IFERROR(up_RadSpec!$E$28*BD28,".")*$B$43</f>
        <v>1436.702575</v>
      </c>
      <c r="BE43" s="49">
        <f t="shared" si="43"/>
        <v>1</v>
      </c>
    </row>
    <row r="44" spans="1:57" x14ac:dyDescent="0.25">
      <c r="A44" s="48" t="s">
        <v>1089</v>
      </c>
      <c r="B44" s="15">
        <v>0.99987999999999999</v>
      </c>
      <c r="C44" s="60">
        <f>IFERROR(C15/$B44,0)</f>
        <v>3.6368000523699208E-8</v>
      </c>
      <c r="D44" s="60">
        <f>IFERROR(D15/$B44,0)</f>
        <v>3.3993988908533095E-4</v>
      </c>
      <c r="E44" s="60">
        <f>IFERROR(E15/$B44,0)</f>
        <v>0</v>
      </c>
      <c r="F44" s="60">
        <f>IFERROR(F15/$B44,0)</f>
        <v>3.6270071331105223E-12</v>
      </c>
      <c r="G44" s="60">
        <f>IFERROR(G15/$B44,0)</f>
        <v>1.8184000261849604E-11</v>
      </c>
      <c r="H44" s="60">
        <f t="shared" si="28"/>
        <v>3.6266454064327432E-12</v>
      </c>
      <c r="I44" s="71">
        <f>IFERROR(up_RadSpec!$D$15*I15,".")*$B$44</f>
        <v>137.48349999999999</v>
      </c>
      <c r="J44" s="71">
        <f>IFERROR(up_RadSpec!$G$15*J15,".")*B44</f>
        <v>1.4708482765742477E-2</v>
      </c>
      <c r="K44" s="71">
        <f>IFERROR(up_RadSpec!$F$15*K15,".")*B44</f>
        <v>0</v>
      </c>
      <c r="L44" s="71">
        <f>up_b2s!AB44</f>
        <v>7928548.3007960971</v>
      </c>
      <c r="M44" s="49">
        <f t="shared" si="29"/>
        <v>1</v>
      </c>
      <c r="N44" s="49">
        <f t="shared" si="29"/>
        <v>1.4600841426264277E-2</v>
      </c>
      <c r="O44" s="49">
        <f t="shared" si="30"/>
        <v>0</v>
      </c>
      <c r="P44" s="49">
        <f t="shared" si="31"/>
        <v>1</v>
      </c>
      <c r="Q44" s="49">
        <f t="shared" si="32"/>
        <v>1</v>
      </c>
      <c r="R44" s="60">
        <f>IFERROR(R15/$B44,0)</f>
        <v>0</v>
      </c>
      <c r="S44" s="60">
        <f>IFERROR(S15/$B44,0)</f>
        <v>0</v>
      </c>
      <c r="T44" s="60">
        <f>IFERROR(T15/$B44,0)</f>
        <v>0</v>
      </c>
      <c r="U44" s="60">
        <f>IFERROR(U15/$B44,0)</f>
        <v>0</v>
      </c>
      <c r="V44" s="60">
        <f>IFERROR(V15/$B44,0)</f>
        <v>0</v>
      </c>
      <c r="W44" s="71">
        <f>IFERROR(up_RadSpec!$F$15*W15,".")*$B$44</f>
        <v>0</v>
      </c>
      <c r="X44" s="71">
        <f>IFERROR(up_RadSpec!$M$15*X15,".")*$B$44</f>
        <v>0</v>
      </c>
      <c r="Y44" s="71">
        <f>IFERROR(up_RadSpec!$N$15*Y15,".")*$B$44</f>
        <v>0</v>
      </c>
      <c r="Z44" s="71">
        <f>IFERROR(up_RadSpec!$O$15*Z15,".")*$B$44</f>
        <v>0</v>
      </c>
      <c r="AA44" s="71">
        <f>IFERROR(up_RadSpec!$K$15*AA15,".")*$B$44</f>
        <v>0</v>
      </c>
      <c r="AB44" s="49">
        <f t="shared" si="34"/>
        <v>0</v>
      </c>
      <c r="AC44" s="49">
        <f t="shared" si="24"/>
        <v>0</v>
      </c>
      <c r="AD44" s="49">
        <f t="shared" si="24"/>
        <v>0</v>
      </c>
      <c r="AE44" s="49">
        <f t="shared" si="24"/>
        <v>0</v>
      </c>
      <c r="AF44" s="49">
        <f t="shared" si="24"/>
        <v>0</v>
      </c>
      <c r="AG44" s="60">
        <f>IFERROR(AG15/$B44,0)</f>
        <v>1.0972745300864677E-9</v>
      </c>
      <c r="AH44" s="60">
        <f>IFERROR(AH15/$B44,0)</f>
        <v>1.752210265231828E-6</v>
      </c>
      <c r="AI44" s="60">
        <f t="shared" si="44"/>
        <v>1.0965878214702828E-9</v>
      </c>
      <c r="AJ44" s="71">
        <f>IFERROR(up_RadSpec!$G$15*AJ15,".")*$B$44</f>
        <v>4556.7447916666661</v>
      </c>
      <c r="AK44" s="71">
        <f>IFERROR(up_RadSpec!$J$15*AK15,".")*$B$44</f>
        <v>2.8535388127853878</v>
      </c>
      <c r="AL44" s="49">
        <f t="shared" si="35"/>
        <v>1</v>
      </c>
      <c r="AM44" s="49">
        <f t="shared" si="35"/>
        <v>0.94236001757642607</v>
      </c>
      <c r="AN44" s="49">
        <f t="shared" si="36"/>
        <v>1</v>
      </c>
      <c r="AO44" s="60">
        <f>IFERROR(AO15/$B44,0)</f>
        <v>4.0004800576069125E-10</v>
      </c>
      <c r="AP44" s="60">
        <f>IFERROR(AP15/$B44,0)</f>
        <v>0</v>
      </c>
      <c r="AQ44" s="60">
        <f>IFERROR(AQ15/$B44,0)</f>
        <v>4.3805256630795697E-6</v>
      </c>
      <c r="AR44" s="60">
        <f>IFERROR(AR15/$B44,0)</f>
        <v>1.8089924855624508E-11</v>
      </c>
      <c r="AS44" s="60">
        <f t="shared" si="26"/>
        <v>1.7307231036924542E-11</v>
      </c>
      <c r="AT44" s="71">
        <f>IFERROR(up_RadSpec!$H$15*AT15,".")*$B$44</f>
        <v>12498.5</v>
      </c>
      <c r="AU44" s="71">
        <f>IFERROR(up_RadSpec!$G$15*AU15,".")*$B$44</f>
        <v>2278.372395833333</v>
      </c>
      <c r="AV44" s="71">
        <f>IFERROR(up_RadSpec!$L$15*AV15,".")*$B$44</f>
        <v>1.1414155251141551</v>
      </c>
      <c r="AW44" s="71">
        <f>up_b2w!AB44</f>
        <v>276463.29412361246</v>
      </c>
      <c r="AX44" s="49">
        <f t="shared" si="38"/>
        <v>1</v>
      </c>
      <c r="AY44" s="49">
        <f t="shared" si="39"/>
        <v>0</v>
      </c>
      <c r="AZ44" s="49">
        <f t="shared" si="40"/>
        <v>0.68063336977969024</v>
      </c>
      <c r="BA44" s="49">
        <f t="shared" si="40"/>
        <v>1</v>
      </c>
      <c r="BB44" s="49">
        <f t="shared" si="41"/>
        <v>1</v>
      </c>
      <c r="BC44" s="60">
        <f>IFERROR(BC15/$B44,0)</f>
        <v>7.2736001047398416E-11</v>
      </c>
      <c r="BD44" s="71">
        <f>IFERROR(up_RadSpec!$E$15*BD15,".")*$B$44</f>
        <v>68741.75</v>
      </c>
      <c r="BE44" s="49">
        <f t="shared" si="43"/>
        <v>1</v>
      </c>
    </row>
    <row r="45" spans="1:57" x14ac:dyDescent="0.25">
      <c r="A45" s="57" t="s">
        <v>20</v>
      </c>
      <c r="B45" s="57" t="s">
        <v>1259</v>
      </c>
      <c r="C45" s="58">
        <f>IFERROR(IF(AND(C46&lt;&gt;0,C47&lt;&gt;0),1/SUM(1/C46,1/C47),IF(AND(C46&lt;&gt;0,C47=0),1/(1/C46),IF(AND(C46=0,C47&lt;&gt;0),1/(1/C47),IF(AND(C46=0,C47=0),".")))),".")</f>
        <v>1.8705670483714608E-8</v>
      </c>
      <c r="D45" s="58">
        <f t="shared" ref="D45:G45" si="45">IFERROR(IF(AND(D46&lt;&gt;0,D47&lt;&gt;0),1/SUM(1/D46,1/D47),IF(AND(D46&lt;&gt;0,D47=0),1/(1/D46),IF(AND(D46=0,D47&lt;&gt;0),1/(1/D47),IF(AND(D46=0,D47=0),".")))),".")</f>
        <v>1.7484611355955573E-4</v>
      </c>
      <c r="E45" s="58">
        <f t="shared" si="45"/>
        <v>1.4433972822505002E-5</v>
      </c>
      <c r="F45" s="58">
        <f t="shared" si="45"/>
        <v>1.8655301170554114E-12</v>
      </c>
      <c r="G45" s="58">
        <f t="shared" si="45"/>
        <v>9.352835241857304E-12</v>
      </c>
      <c r="H45" s="59">
        <f>IFERROR(IF(AND(H46&lt;&gt;0,H47&lt;&gt;0),1/SUM(1/H46,1/H47),IF(AND(H46&lt;&gt;0,H47=0),1/(1/H46),IF(AND(H46=0,H47&lt;&gt;0),1/(1/H47),IF(AND(H46=0,H47=0),".")))),".")</f>
        <v>1.8653438239694626E-12</v>
      </c>
      <c r="I45" s="70"/>
      <c r="J45" s="70"/>
      <c r="K45" s="70"/>
      <c r="L45" s="70"/>
      <c r="M45" s="47">
        <f t="shared" ref="M45:O45" si="46">IFERROR(IF(SUM(I46:I47)&gt;0.01,1-EXP(-SUM(I46:I47)),SUM(I46:I47)),".")</f>
        <v>1</v>
      </c>
      <c r="N45" s="47">
        <f t="shared" si="46"/>
        <v>2.8191562786485047E-2</v>
      </c>
      <c r="O45" s="47">
        <f t="shared" si="46"/>
        <v>0.29277398001128108</v>
      </c>
      <c r="P45" s="47">
        <f>IFERROR(IF(SUM(L46:L47)&gt;0.01,1-EXP(-SUM(L46:L47)),SUM(L46:L47)),".")</f>
        <v>1</v>
      </c>
      <c r="Q45" s="47">
        <f>IFERROR(IF(SUM(I46:L47)&gt;0.01,1-EXP(-SUM(I46:L47)),SUM(I46:L47)),".")</f>
        <v>1</v>
      </c>
      <c r="R45" s="59">
        <f t="shared" ref="R45:V45" si="47">IFERROR(IF(AND(R46&lt;&gt;0,R47&lt;&gt;0),1/SUM(1/R46,1/R47),IF(AND(R46&lt;&gt;0,R47=0),1/(1/R46),IF(AND(R46=0,R47&lt;&gt;0),1/(1/R47),IF(AND(R46=0,R47=0),".")))),".")</f>
        <v>1.4433972822505002E-5</v>
      </c>
      <c r="S45" s="59">
        <f t="shared" si="47"/>
        <v>2.4630451115604808E-5</v>
      </c>
      <c r="T45" s="59">
        <f t="shared" si="47"/>
        <v>1.7500550947196914E-5</v>
      </c>
      <c r="U45" s="59">
        <f t="shared" si="47"/>
        <v>1.5227110873794768E-5</v>
      </c>
      <c r="V45" s="59">
        <f t="shared" si="47"/>
        <v>4.1390122409302138E-5</v>
      </c>
      <c r="W45" s="70"/>
      <c r="X45" s="70"/>
      <c r="Y45" s="70"/>
      <c r="Z45" s="70"/>
      <c r="AA45" s="70"/>
      <c r="AB45" s="47">
        <f>IFERROR(IF(SUM(W46:W47)&gt;0.01,1-EXP(-SUM(W46:W47)),SUM(W46:W47)),".")</f>
        <v>0.29277398001128108</v>
      </c>
      <c r="AC45" s="47">
        <f t="shared" ref="AC45:AF45" si="48">IFERROR(IF(SUM(X46:X47)&gt;0.01,1-EXP(-SUM(X46:X47)),SUM(X46:X47)),".")</f>
        <v>0.18372236914878792</v>
      </c>
      <c r="AD45" s="47">
        <f t="shared" si="48"/>
        <v>0.24851594752657613</v>
      </c>
      <c r="AE45" s="47">
        <f t="shared" si="48"/>
        <v>0.2798974878869499</v>
      </c>
      <c r="AF45" s="47">
        <f t="shared" si="48"/>
        <v>0.11379038346743142</v>
      </c>
      <c r="AG45" s="58">
        <f t="shared" ref="AG45:AI45" si="49">IFERROR(IF(AND(AG46&lt;&gt;0,AG47&lt;&gt;0),1/SUM(1/AG46,1/AG47),IF(AND(AG46&lt;&gt;0,AG47=0),1/(1/AG46),IF(AND(AG46=0,AG47&lt;&gt;0),1/(1/AG47),IF(AND(AG46=0,AG47=0),".")))),".")</f>
        <v>5.6437680088007518E-10</v>
      </c>
      <c r="AH45" s="58">
        <f t="shared" si="49"/>
        <v>9.0123920390536997E-7</v>
      </c>
      <c r="AI45" s="59">
        <f t="shared" si="49"/>
        <v>5.6402359627966523E-10</v>
      </c>
      <c r="AJ45" s="70"/>
      <c r="AK45" s="70"/>
      <c r="AL45" s="47">
        <f>IFERROR(IF(SUM(AJ46:AJ47)&gt;0.01,1-EXP(-SUM(AJ46:AJ47)),SUM(AJ46:AJ47)),".")</f>
        <v>1</v>
      </c>
      <c r="AM45" s="47">
        <f>IFERROR(IF(SUM(AK46:AK47)&gt;0.01,1-EXP(-SUM(AK46:AK47)),SUM(AK46:AK47)),".")</f>
        <v>0.99610443544508287</v>
      </c>
      <c r="AN45" s="47">
        <f t="shared" ref="AN45" si="50">IFERROR(IF(SUM(AL46:AL47)&gt;0.01,1-EXP(-SUM(AL46:AL47)),SUM(AL46:AL47)),".")</f>
        <v>0.8646647167633873</v>
      </c>
      <c r="AO45" s="58">
        <f t="shared" ref="AO45:AS45" si="51">IFERROR(IF(AND(AO46&lt;&gt;0,AO47&lt;&gt;0),1/SUM(1/AO46,1/AO47),IF(AND(AO46&lt;&gt;0,AO47=0),1/(1/AO46),IF(AND(AO46=0,AO47&lt;&gt;0),1/(1/AO47),IF(AND(AO46=0,AO47=0),".")))),".")</f>
        <v>2.057623753208607E-10</v>
      </c>
      <c r="AP45" s="58">
        <f>IFERROR(IF(AND(AP46&lt;&gt;0,AP47&lt;&gt;0),1/SUM(1/AP46,1/AP47),IF(AND(AP46&lt;&gt;0,AP47=0),1/(1/AP46),IF(AND(AP46=0,AP47&lt;&gt;0),1/(1/AP47),IF(AND(AP46=0,AP47=0),0)))),0)</f>
        <v>0</v>
      </c>
      <c r="AQ45" s="58">
        <f t="shared" si="51"/>
        <v>2.2530980097634248E-6</v>
      </c>
      <c r="AR45" s="58">
        <f t="shared" si="51"/>
        <v>9.3044481014006415E-12</v>
      </c>
      <c r="AS45" s="59">
        <f t="shared" si="51"/>
        <v>8.9018740678707789E-12</v>
      </c>
      <c r="AT45" s="70"/>
      <c r="AU45" s="70"/>
      <c r="AV45" s="70"/>
      <c r="AW45" s="70"/>
      <c r="AX45" s="47">
        <f>IFERROR(IF(SUM(AT46:AT47)&gt;0.01,1-EXP(-SUM(AT46:AT47)),SUM(AT46:AT47)),".")</f>
        <v>1</v>
      </c>
      <c r="AY45" s="47">
        <f t="shared" ref="AY45:BA45" si="52">IFERROR(IF(SUM(AU46:AU47)&gt;0.01,1-EXP(-SUM(AU46:AU47)),SUM(AU46:AU47)),".")</f>
        <v>1</v>
      </c>
      <c r="AZ45" s="47">
        <f t="shared" si="52"/>
        <v>0.89130034586238083</v>
      </c>
      <c r="BA45" s="47">
        <f t="shared" si="52"/>
        <v>1</v>
      </c>
      <c r="BB45" s="47">
        <f>IFERROR(IF(SUM(AT46:AW47)&gt;0.01,1-EXP(-SUM(AT46:AW47)),SUM(AT46:AW47)),".")</f>
        <v>1</v>
      </c>
      <c r="BC45" s="59">
        <f t="shared" ref="BC45" si="53">IFERROR(IF(AND(BC46&lt;&gt;0,BC47&lt;&gt;0),1/SUM(1/BC46,1/BC47),IF(AND(BC46&lt;&gt;0,BC47=0),1/(1/BC46),IF(AND(BC46=0,BC47&lt;&gt;0),1/(1/BC47),IF(AND(BC46=0,BC47=0),".")))),".")</f>
        <v>3.7411340967429216E-11</v>
      </c>
      <c r="BD45" s="70"/>
      <c r="BE45" s="47">
        <f>IFERROR(IF(SUM(BE46:BE47)&gt;0.01,1-EXP(-SUM(BE46:BE47)),SUM(BE46:BE47)),".")</f>
        <v>0.68850259998395247</v>
      </c>
    </row>
    <row r="46" spans="1:57" x14ac:dyDescent="0.25">
      <c r="A46" s="48" t="s">
        <v>1101</v>
      </c>
      <c r="B46" s="15">
        <v>1</v>
      </c>
      <c r="C46" s="60">
        <f>IFERROR(C10/$B46,0)</f>
        <v>3.6363636363636363E-8</v>
      </c>
      <c r="D46" s="60">
        <f>IFERROR(D10/$B46,0)</f>
        <v>3.3989909629864073E-4</v>
      </c>
      <c r="E46" s="60">
        <f>IFERROR(E10/$B46,0)</f>
        <v>3.0405079365079366E-5</v>
      </c>
      <c r="F46" s="60">
        <f>IFERROR(F10/$B46,0)</f>
        <v>3.6265718922545492E-12</v>
      </c>
      <c r="G46" s="60">
        <f>IFERROR(G10/$B46,0)</f>
        <v>1.8181818181818181E-11</v>
      </c>
      <c r="H46" s="60">
        <f>(IF(AND(C46&lt;&gt;0,D46&lt;&gt;0,E46&lt;&gt;0,F46&lt;&gt;0),1/((1/C46)+(1/D46)+(1/E46)+(1/F46)),IF(AND(C46&lt;&gt;0,D46&lt;&gt;0,E46&lt;&gt;0,F46=0), 1/((1/C46)+(1/D46)+(1/E46)),IF(AND(C46&lt;&gt;0,D46&lt;&gt;0,E46=0,F46&lt;&gt;0),1/((1/C46)+(1/D46)+(1/F46)),IF(AND(C46&lt;&gt;0,D46=0,E46&lt;&gt;0,F46&lt;&gt;0),1/((1/C46)+(1/E46)+(1/F46)),IF(AND(C46=0,D46&lt;&gt;0,E46&lt;&gt;0,F46&lt;&gt;0),1/((1/D46)+(1/E46)+(1/F46)),IF(AND(C46&lt;&gt;0,D46&lt;&gt;0,E46=0,F46=0),1/((1/C46)+(1/D46)),IF(AND(C46&lt;&gt;0,D46=0,E46&lt;&gt;0,F46=0),1/((1/C46)+(1/E46)),IF(AND(C46&lt;&gt;0,D46=0,E46=0,F46&lt;&gt;0),1/((1/C46)+(1/F46)),IF(AND(C46=0,D46=0,E46&lt;&gt;0,F46&lt;&gt;0),1/((1/E46)+(1/F46)),IF(AND(C46=0,D46&lt;&gt;0,E46=0,F46&lt;&gt;0),1/((1/D46)+(1/F46)),IF(AND(C46=0,D46&lt;&gt;0,E46&lt;&gt;0,F46=0),1/((1/D46)+(1/E46)),IF(AND(C46&lt;&gt;0,D46=0,E46=0,F46=0),1/((1/C46)),IF(AND(C46=0,D46&lt;&gt;0,E46=0,F46=0),1/((1/D46)),IF(AND(C46=0,D46=0,E46&lt;&gt;0,F46=0),1/((1/E46)),IF(AND(C46=0,D46=0,E46=0,F46&lt;&gt;0),1/((1/F46)),IF(AND(C46=0,D46=0,E46=0,F46=0),0)))))))))))))))))</f>
        <v>3.6262097765102141E-12</v>
      </c>
      <c r="I46" s="71">
        <f>IFERROR(up_RadSpec!$D$10*I10,".")*$B$46</f>
        <v>137.5</v>
      </c>
      <c r="J46" s="71">
        <f>IFERROR(up_RadSpec!$G$10*J10,".")*B46</f>
        <v>1.4710247995501937E-2</v>
      </c>
      <c r="K46" s="71">
        <f>IFERROR(up_RadSpec!$F$10*K10,".")*B46</f>
        <v>0.16444620781824254</v>
      </c>
      <c r="L46" s="71">
        <f>up_b2s!AB46</f>
        <v>7927596.875</v>
      </c>
      <c r="M46" s="49">
        <f t="shared" ref="M46:P47" si="54">IFERROR(IF(I46&gt;0.01,1-EXP(-I46),I46),".")</f>
        <v>1</v>
      </c>
      <c r="N46" s="49">
        <f t="shared" si="54"/>
        <v>1.4602580880648697E-2</v>
      </c>
      <c r="O46" s="49">
        <f t="shared" si="54"/>
        <v>0.15163660896532327</v>
      </c>
      <c r="P46" s="49">
        <f t="shared" si="54"/>
        <v>1</v>
      </c>
      <c r="Q46" s="49">
        <f t="shared" ref="Q46:Q62" si="55">IFERROR(IF(SUM(I46:L46)&gt;0.01,1-EXP(-SUM(I46:L46)),SUM(I46:L46)),".")</f>
        <v>1</v>
      </c>
      <c r="R46" s="60">
        <f>IFERROR(R10/$B46,0)</f>
        <v>3.0405079365079366E-5</v>
      </c>
      <c r="S46" s="60">
        <f>IFERROR(S10/$B46,0)</f>
        <v>4.7379188712522031E-5</v>
      </c>
      <c r="T46" s="60">
        <f>IFERROR(T10/$B46,0)</f>
        <v>3.3834939976908852E-5</v>
      </c>
      <c r="U46" s="60">
        <f>IFERROR(U10/$B46,0)</f>
        <v>3.0946006247211066E-5</v>
      </c>
      <c r="V46" s="60">
        <f>IFERROR(V10/$B46,0)</f>
        <v>7.9648374377868286E-5</v>
      </c>
      <c r="W46" s="71">
        <f>IFERROR(up_RadSpec!$F$10*W10,".")*$B46</f>
        <v>0.16444620781824254</v>
      </c>
      <c r="X46" s="71">
        <f>IFERROR(up_RadSpec!$M$10*X10,".")*$B46</f>
        <v>0.10553156640857655</v>
      </c>
      <c r="Y46" s="71">
        <f>IFERROR(up_RadSpec!$N$10*Y10,".")*$B46</f>
        <v>0.14777623378118365</v>
      </c>
      <c r="Z46" s="71">
        <f>IFERROR(up_RadSpec!$O$10*Z10,".")*$B46</f>
        <v>0.16157173756308579</v>
      </c>
      <c r="AA46" s="71">
        <f>IFERROR(up_RadSpec!$K$10*AA10,".")*$B46</f>
        <v>6.2775920275271027E-2</v>
      </c>
      <c r="AB46" s="49">
        <f t="shared" ref="AB46:AF47" si="56">IFERROR(IF(W46&gt;0.01,1-EXP(-W46),W46),".")</f>
        <v>0.15163660896532327</v>
      </c>
      <c r="AC46" s="49">
        <f t="shared" si="56"/>
        <v>0.10015393251016425</v>
      </c>
      <c r="AD46" s="49">
        <f t="shared" si="56"/>
        <v>0.13737588051523142</v>
      </c>
      <c r="AE46" s="49">
        <f t="shared" si="56"/>
        <v>0.14919450543675972</v>
      </c>
      <c r="AF46" s="49">
        <f t="shared" si="56"/>
        <v>6.0846104541000812E-2</v>
      </c>
      <c r="AG46" s="60">
        <f>IFERROR(AG10/$B46,0)</f>
        <v>1.0971428571428573E-9</v>
      </c>
      <c r="AH46" s="60">
        <f>IFERROR(AH10/$B46,0)</f>
        <v>1.7520000000000001E-6</v>
      </c>
      <c r="AI46" s="60">
        <f t="shared" ref="AI46:AI47" si="57">IFERROR(IF(AND(AG46&lt;&gt;0,AH46&lt;&gt;0),1/((1/AG46)+(1/AH46)),IF(AND(AG46&lt;&gt;0,AH46=0),1/((1/AG46)),IF(AND(AG46=0,AH46&lt;&gt;0),1/((1/AH46)),IF(AND(AG46=".",AH46="."),".")))),".")</f>
        <v>1.0964562309317064E-9</v>
      </c>
      <c r="AJ46" s="71">
        <f>IFERROR(up_RadSpec!$G$10*AJ10,".")*$B$46</f>
        <v>4557.2916666666661</v>
      </c>
      <c r="AK46" s="71">
        <f>IFERROR(up_RadSpec!$J$10*AK10,".")*$B$46</f>
        <v>2.8538812785388123</v>
      </c>
      <c r="AL46" s="49">
        <f>IFERROR(IF(AJ46&gt;0.01,1-EXP(-AJ46),AJ46),".")</f>
        <v>1</v>
      </c>
      <c r="AM46" s="49">
        <f>IFERROR(IF(AK46&gt;0.01,1-EXP(-AK46),AK46),".")</f>
        <v>0.9423797539167309</v>
      </c>
      <c r="AN46" s="49">
        <f>IFERROR(IF(SUM(AJ46:AK46)&gt;0.01,1-EXP(-SUM(AJ46:AK46)),SUM(AJ46:AK46)),".")</f>
        <v>1</v>
      </c>
      <c r="AO46" s="60">
        <f>IFERROR(AO10/$B46,0)</f>
        <v>3.9999999999999996E-10</v>
      </c>
      <c r="AP46" s="60">
        <f>IFERROR(AP10/$B46,0)</f>
        <v>0</v>
      </c>
      <c r="AQ46" s="60">
        <f>IFERROR(AQ10/$B46,0)</f>
        <v>4.3800000000000004E-6</v>
      </c>
      <c r="AR46" s="60">
        <f>IFERROR(AR10/$B46,0)</f>
        <v>1.8087754064641833E-11</v>
      </c>
      <c r="AS46" s="60">
        <f>(IF(AND(AO46&lt;&gt;0,AP46&lt;&gt;0,AQ46&lt;&gt;0,AR46&lt;&gt;0),1/((1/AO46)+(1/AP46)+(1/AQ46)+(1/AR46)),IF(AND(AO46&lt;&gt;0,AP46&lt;&gt;0,AQ46&lt;&gt;0,AR46=0), 1/((1/AO46)+(1/AP46)+(1/AQ46)),IF(AND(AO46&lt;&gt;0,AP46&lt;&gt;0,AQ46=0,AR46&lt;&gt;0),1/((1/AO46)+(1/AP46)+(1/AR46)),IF(AND(AO46&lt;&gt;0,AP46=0,AQ46&lt;&gt;0,AR46&lt;&gt;0),1/((1/AO46)+(1/AQ46)+(1/AR46)),IF(AND(AO46=0,AP46&lt;&gt;0,AQ46&lt;&gt;0,AR46&lt;&gt;0),1/((1/AP46)+(1/AQ46)+(1/AR46)),IF(AND(AO46&lt;&gt;0,AP46&lt;&gt;0,AQ46=0,AR46=0),1/((1/AO46)+(1/AP46)),IF(AND(AO46&lt;&gt;0,AP46=0,AQ46&lt;&gt;0,AR46=0),1/((1/AO46)+(1/AQ46)),IF(AND(AO46&lt;&gt;0,AP46=0,AQ46=0,AR46&lt;&gt;0),1/((1/AO46)+(1/AR46)),IF(AND(AO46=0,AP46=0,AQ46&lt;&gt;0,AR46&lt;&gt;0),1/((1/AQ46)+(1/AR46)),IF(AND(AO46=0,AP46&lt;&gt;0,AQ46=0,AR46&lt;&gt;0),1/((1/AP46)+(1/AR46)),IF(AND(AO46=0,AP46&lt;&gt;0,AQ46&lt;&gt;0,AR46=0),1/((1/AP46)+(1/AQ46)),IF(AND(AO46&lt;&gt;0,AP46=0,AQ46=0,AR46=0),1/((1/AO46)),IF(AND(AO46=0,AP46&lt;&gt;0,AQ46=0,AR46=0),1/((1/AP46)),IF(AND(AO46=0,AP46=0,AQ46&lt;&gt;0,AR46=0),1/((1/AQ46)),IF(AND(AO46=0,AP46=0,AQ46=0,AR46&lt;&gt;0),1/((1/AR46)),IF(AND(AO46=0,AP46=0,AQ46=0,AR46=0),0)))))))))))))))))</f>
        <v>1.7305154169200115E-11</v>
      </c>
      <c r="AT46" s="71">
        <f>IFERROR(up_RadSpec!$H$10*AT10,".")*$B$46</f>
        <v>12500</v>
      </c>
      <c r="AU46" s="71">
        <f>IFERROR(up_RadSpec!$G$10*AU10,".")*$B$46</f>
        <v>2278.645833333333</v>
      </c>
      <c r="AV46" s="71">
        <f>IFERROR(up_RadSpec!$L$10*AV10,".")*$B$46</f>
        <v>1.1415525114155249</v>
      </c>
      <c r="AW46" s="71">
        <f>up_b2w!AB44</f>
        <v>276463.29412361246</v>
      </c>
      <c r="AX46" s="49">
        <f t="shared" ref="AX46:AX47" si="58">IFERROR(IF(AT46&gt;0.01,1-EXP(-AT46),AT46),".")</f>
        <v>1</v>
      </c>
      <c r="AY46" s="49">
        <f t="shared" ref="AY46:AY47" si="59">IFERROR(IF(AP46&lt;&gt;0,IF(AU46&gt;0.01,1-EXP(-AU46),AU46),0),".")</f>
        <v>0</v>
      </c>
      <c r="AZ46" s="49">
        <f t="shared" ref="AZ46:AZ47" si="60">IFERROR(IF(AV46&gt;0.01,1-EXP(-AV46),AV46),".")</f>
        <v>0.68067711563678512</v>
      </c>
      <c r="BA46" s="49">
        <f t="shared" si="40"/>
        <v>1</v>
      </c>
      <c r="BB46" s="49">
        <f t="shared" si="41"/>
        <v>1</v>
      </c>
      <c r="BC46" s="60">
        <f>IFERROR(BC10/$B46,0)</f>
        <v>7.2727272727272723E-11</v>
      </c>
      <c r="BD46" s="71">
        <f>IFERROR(up_RadSpec!$E$10*BD10,".")*$B$46</f>
        <v>68750</v>
      </c>
      <c r="BE46" s="49">
        <f t="shared" ref="BE46:BE47" si="61">IFERROR(IF(BD46&gt;0.01,1-EXP(-BD46),BD46),".")</f>
        <v>1</v>
      </c>
    </row>
    <row r="47" spans="1:57" x14ac:dyDescent="0.25">
      <c r="A47" s="48" t="s">
        <v>1075</v>
      </c>
      <c r="B47" s="51">
        <v>0.94399</v>
      </c>
      <c r="C47" s="60">
        <f>IFERROR(C6/$B$47,0)</f>
        <v>3.852120929632344E-8</v>
      </c>
      <c r="D47" s="60">
        <f>IFERROR(D6/$B$47,0)</f>
        <v>3.6006641627415624E-4</v>
      </c>
      <c r="E47" s="60">
        <f>IFERROR(E6/$B$47,0)</f>
        <v>2.7478752837304835E-5</v>
      </c>
      <c r="F47" s="60">
        <f>IFERROR(F6/$B$47,0)</f>
        <v>3.8417482094667841E-12</v>
      </c>
      <c r="G47" s="60">
        <f>IFERROR(G6/$B$47,0)</f>
        <v>1.9260604648161719E-11</v>
      </c>
      <c r="H47" s="60">
        <f>(IF(AND(C47&lt;&gt;0,D47&lt;&gt;0,E47&lt;&gt;0,F47&lt;&gt;0),1/((1/C47)+(1/D47)+(1/E47)+(1/F47)),IF(AND(C47&lt;&gt;0,D47&lt;&gt;0,E47&lt;&gt;0,F47=0), 1/((1/C47)+(1/D47)+(1/E47)),IF(AND(C47&lt;&gt;0,D47&lt;&gt;0,E47=0,F47&lt;&gt;0),1/((1/C47)+(1/D47)+(1/F47)),IF(AND(C47&lt;&gt;0,D47=0,E47&lt;&gt;0,F47&lt;&gt;0),1/((1/C47)+(1/E47)+(1/F47)),IF(AND(C47=0,D47&lt;&gt;0,E47&lt;&gt;0,F47&lt;&gt;0),1/((1/D47)+(1/E47)+(1/F47)),IF(AND(C47&lt;&gt;0,D47&lt;&gt;0,E47=0,F47=0),1/((1/C47)+(1/D47)),IF(AND(C47&lt;&gt;0,D47=0,E47&lt;&gt;0,F47=0),1/((1/C47)+(1/E47)),IF(AND(C47&lt;&gt;0,D47=0,E47=0,F47&lt;&gt;0),1/((1/C47)+(1/F47)),IF(AND(C47=0,D47=0,E47&lt;&gt;0,F47&lt;&gt;0),1/((1/E47)+(1/F47)),IF(AND(C47=0,D47&lt;&gt;0,E47=0,F47&lt;&gt;0),1/((1/D47)+(1/F47)),IF(AND(C47=0,D47&lt;&gt;0,E47&lt;&gt;0,F47=0),1/((1/D47)+(1/E47)),IF(AND(C47&lt;&gt;0,D47=0,E47=0,F47=0),1/((1/C47)),IF(AND(C47=0,D47&lt;&gt;0,E47=0,F47=0),1/((1/D47)),IF(AND(C47=0,D47=0,E47&lt;&gt;0,F47=0),1/((1/E47)),IF(AND(C47=0,D47=0,E47=0,F47&lt;&gt;0),1/((1/F47)),IF(AND(C47=0,D47=0,E47=0,F47=0),0)))))))))))))))))</f>
        <v>3.8413645293504949E-12</v>
      </c>
      <c r="I47" s="71">
        <f>IFERROR(up_RadSpec!$D$6*I6,".")*$B$47</f>
        <v>129.79862499999999</v>
      </c>
      <c r="J47" s="71">
        <f>IFERROR(up_RadSpec!$G$6*$J$6,".")*B47</f>
        <v>1.3886327005273874E-2</v>
      </c>
      <c r="K47" s="71">
        <f>IFERROR(up_RadSpec!$F$6*$K$6,".")*B47</f>
        <v>0.18195876754683196</v>
      </c>
      <c r="L47" s="71">
        <f>up_b2s!AB47</f>
        <v>8397967.0070657562</v>
      </c>
      <c r="M47" s="49">
        <f t="shared" si="54"/>
        <v>1</v>
      </c>
      <c r="N47" s="49">
        <f t="shared" si="54"/>
        <v>1.3790356704994067E-2</v>
      </c>
      <c r="O47" s="49">
        <f t="shared" ref="O47" si="62">IFERROR(IF(K47&gt;0.01,1-EXP(-K47),K47),".")</f>
        <v>0.16636428744741627</v>
      </c>
      <c r="P47" s="49">
        <f t="shared" ref="P47" si="63">IFERROR(IF(L47&gt;0.01,1-EXP(-L47),L47),".")</f>
        <v>1</v>
      </c>
      <c r="Q47" s="49">
        <f t="shared" si="55"/>
        <v>1</v>
      </c>
      <c r="R47" s="60">
        <f>IFERROR(R6/$B$47,0)</f>
        <v>2.7478752837304835E-5</v>
      </c>
      <c r="S47" s="60">
        <f>IFERROR(S6/$B$47,0)</f>
        <v>5.1298265959115465E-5</v>
      </c>
      <c r="T47" s="60">
        <f>IFERROR(T6/$B$47,0)</f>
        <v>3.6250519672585841E-5</v>
      </c>
      <c r="U47" s="60">
        <f>IFERROR(U6/$B$47,0)</f>
        <v>2.9977823316029567E-5</v>
      </c>
      <c r="V47" s="60">
        <f>IFERROR(V6/$B$47,0)</f>
        <v>8.6168494261329556E-5</v>
      </c>
      <c r="W47" s="71">
        <f>IFERROR(up_RadSpec!$F$6*W6,".")*$B47</f>
        <v>0.18195876754683196</v>
      </c>
      <c r="X47" s="71">
        <f>IFERROR(up_RadSpec!$M$6*X6,".")*$B47</f>
        <v>9.746918158958788E-2</v>
      </c>
      <c r="Y47" s="71">
        <f>IFERROR(up_RadSpec!$N$6*Y6,".")*$B47</f>
        <v>0.13792905716000561</v>
      </c>
      <c r="Z47" s="71">
        <f>IFERROR(up_RadSpec!$O$6*Z6,".")*$B47</f>
        <v>0.16678996160893472</v>
      </c>
      <c r="AA47" s="71">
        <f>IFERROR(up_RadSpec!$K$6*AA6,".")*$B47</f>
        <v>5.8025848575653766E-2</v>
      </c>
      <c r="AB47" s="49">
        <f t="shared" si="56"/>
        <v>0.16636428744741627</v>
      </c>
      <c r="AC47" s="49">
        <f t="shared" si="56"/>
        <v>9.2869702561174661E-2</v>
      </c>
      <c r="AD47" s="49">
        <f t="shared" si="56"/>
        <v>0.12883950784697151</v>
      </c>
      <c r="AE47" s="49">
        <f t="shared" si="56"/>
        <v>0.15362263559109524</v>
      </c>
      <c r="AF47" s="49">
        <f t="shared" si="56"/>
        <v>5.6374444255011924E-2</v>
      </c>
      <c r="AG47" s="60">
        <f>IFERROR(AG6/$B$47,0)</f>
        <v>1.1622399147690731E-9</v>
      </c>
      <c r="AH47" s="60">
        <f>IFERROR(AH6/$B$47,0)</f>
        <v>1.8559518638968636E-6</v>
      </c>
      <c r="AI47" s="60">
        <f t="shared" si="57"/>
        <v>1.1615125487894007E-9</v>
      </c>
      <c r="AJ47" s="71">
        <f>IFERROR(up_RadSpec!$G$6*AJ6,".")*$B$47</f>
        <v>4302.0377604166661</v>
      </c>
      <c r="AK47" s="71">
        <f>IFERROR(up_RadSpec!$J$6*AK6,".")*$B$47</f>
        <v>2.6940353881278534</v>
      </c>
      <c r="AL47" s="49">
        <f>IFERROR(IF(AJ47&gt;0.01,1-EXP(-AJ47),AJ47),".")</f>
        <v>1</v>
      </c>
      <c r="AM47" s="49">
        <f>IFERROR(IF(AK47&gt;0.01,1-EXP(-AK47),AK47),".")</f>
        <v>0.93239243460905208</v>
      </c>
      <c r="AN47" s="49">
        <f>IFERROR(IF(SUM(AJ47:AK47)&gt;0.01,1-EXP(-SUM(AJ47:AK47)),SUM(AJ47:AK47)),".")</f>
        <v>1</v>
      </c>
      <c r="AO47" s="60">
        <f>IFERROR(AO6/$B$47,0)</f>
        <v>4.237333022595578E-10</v>
      </c>
      <c r="AP47" s="60">
        <f>IFERROR(AP6/$B$47,0)</f>
        <v>0</v>
      </c>
      <c r="AQ47" s="60">
        <f>IFERROR(AQ6/$B$47,0)</f>
        <v>4.6398796597421587E-6</v>
      </c>
      <c r="AR47" s="60">
        <f>IFERROR(AR6/$B$47,0)</f>
        <v>1.9160959400673561E-11</v>
      </c>
      <c r="AS47" s="60">
        <f>(IF(AND(AO47&lt;&gt;0,AP47&lt;&gt;0,AQ47&lt;&gt;0,AR47&lt;&gt;0),1/((1/AO47)+(1/AP47)+(1/AQ47)+(1/AR47)),IF(AND(AO47&lt;&gt;0,AP47&lt;&gt;0,AQ47&lt;&gt;0,AR47=0), 1/((1/AO47)+(1/AP47)+(1/AQ47)),IF(AND(AO47&lt;&gt;0,AP47&lt;&gt;0,AQ47=0,AR47&lt;&gt;0),1/((1/AO47)+(1/AP47)+(1/AR47)),IF(AND(AO47&lt;&gt;0,AP47=0,AQ47&lt;&gt;0,AR47&lt;&gt;0),1/((1/AO47)+(1/AQ47)+(1/AR47)),IF(AND(AO47=0,AP47&lt;&gt;0,AQ47&lt;&gt;0,AR47&lt;&gt;0),1/((1/AP47)+(1/AQ47)+(1/AR47)),IF(AND(AO47&lt;&gt;0,AP47&lt;&gt;0,AQ47=0,AR47=0),1/((1/AO47)+(1/AP47)),IF(AND(AO47&lt;&gt;0,AP47=0,AQ47&lt;&gt;0,AR47=0),1/((1/AO47)+(1/AQ47)),IF(AND(AO47&lt;&gt;0,AP47=0,AQ47=0,AR47&lt;&gt;0),1/((1/AO47)+(1/AR47)),IF(AND(AO47=0,AP47=0,AQ47&lt;&gt;0,AR47&lt;&gt;0),1/((1/AQ47)+(1/AR47)),IF(AND(AO47=0,AP47&lt;&gt;0,AQ47=0,AR47&lt;&gt;0),1/((1/AP47)+(1/AR47)),IF(AND(AO47=0,AP47&lt;&gt;0,AQ47&lt;&gt;0,AR47=0),1/((1/AP47)+(1/AQ47)),IF(AND(AO47&lt;&gt;0,AP47=0,AQ47=0,AR47=0),1/((1/AO47)),IF(AND(AO47=0,AP47&lt;&gt;0,AQ47=0,AR47=0),1/((1/AP47)),IF(AND(AO47=0,AP47=0,AQ47&lt;&gt;0,AR47=0),1/((1/AQ47)),IF(AND(AO47=0,AP47=0,AQ47=0,AR47&lt;&gt;0),1/((1/AR47)),IF(AND(AO47=0,AP47=0,AQ47=0,AR47=0),0)))))))))))))))))</f>
        <v>1.8331925305564799E-11</v>
      </c>
      <c r="AT47" s="71">
        <f>IFERROR(up_RadSpec!$H$6*AT6,".")*$B$47</f>
        <v>11799.875</v>
      </c>
      <c r="AU47" s="71">
        <f>IFERROR(up_RadSpec!$G$6*AU6,".")*$B$47</f>
        <v>2151.018880208333</v>
      </c>
      <c r="AV47" s="71">
        <f>IFERROR(up_RadSpec!$L$6*AV6,".")*$B$47</f>
        <v>1.0776141552511413</v>
      </c>
      <c r="AW47" s="71">
        <f>up_b2w!AB45</f>
        <v>1</v>
      </c>
      <c r="AX47" s="49">
        <f t="shared" si="58"/>
        <v>1</v>
      </c>
      <c r="AY47" s="49">
        <f t="shared" si="59"/>
        <v>0</v>
      </c>
      <c r="AZ47" s="49">
        <f t="shared" si="60"/>
        <v>0.65959328485214841</v>
      </c>
      <c r="BA47" s="49">
        <f t="shared" si="40"/>
        <v>0.63212055882855767</v>
      </c>
      <c r="BB47" s="49">
        <f t="shared" si="41"/>
        <v>1</v>
      </c>
      <c r="BC47" s="60">
        <f>IFERROR(BC6/$B$47,0)</f>
        <v>7.7042418592646875E-11</v>
      </c>
      <c r="BD47" s="71">
        <f>IFERROR(up_RadSpec!$E$6*$K$6,".")*$B$47</f>
        <v>0.18195876754683196</v>
      </c>
      <c r="BE47" s="49">
        <f t="shared" si="61"/>
        <v>0.16636428744741627</v>
      </c>
    </row>
    <row r="48" spans="1:57" x14ac:dyDescent="0.25">
      <c r="A48" s="57" t="s">
        <v>33</v>
      </c>
      <c r="B48" s="57" t="s">
        <v>1259</v>
      </c>
      <c r="C48" s="58">
        <f>1/SUM(1/C49,1/C52,1/C54,1/C58,1/C59,1/C61)</f>
        <v>6.0608082895759896E-9</v>
      </c>
      <c r="D48" s="58">
        <f>1/SUM(1/D49,1/D50,1/D51,1/D52,1/D54,1/D58,1/D59,1/D61)</f>
        <v>4.2488450310799124E-5</v>
      </c>
      <c r="E48" s="58">
        <f>1/SUM(1/E49,1/E50,1/E52,1/E54,1/E55,1/E56,1/E57,1/E58,1/E59,1/E60,1/E61,1/E62)</f>
        <v>3.6502035324081292E-6</v>
      </c>
      <c r="F48" s="58">
        <f>1/SUM(1/F49,1/F52,1/F54,1/F58,1/F59,1/F61)</f>
        <v>6.0444881715129044E-13</v>
      </c>
      <c r="G48" s="58">
        <f>1/SUM(1/G49,1/G52,1/G54,1/G58,1/G59,1/G61)</f>
        <v>3.0304041447879948E-12</v>
      </c>
      <c r="H48" s="59">
        <f>1/SUM(1/H49,1/H50,1/H51,1/H52,1/H54,1/H55,1/H56,1/H57,1/H58,1/H59,1/H60,1/H61,1/H62)</f>
        <v>4.0292109397369842E-13</v>
      </c>
      <c r="I48" s="70"/>
      <c r="J48" s="70"/>
      <c r="K48" s="70"/>
      <c r="L48" s="70"/>
      <c r="M48" s="47">
        <f t="shared" ref="M48:O48" si="64">IFERROR(IF(SUM(I49:I62)&gt;0.01,1-EXP(-SUM(I49:I62)),SUM(I49:I62)),".")</f>
        <v>1</v>
      </c>
      <c r="N48" s="47">
        <f t="shared" si="64"/>
        <v>0.12400268396378111</v>
      </c>
      <c r="O48" s="47">
        <f t="shared" si="64"/>
        <v>0.74583881617581704</v>
      </c>
      <c r="P48" s="47">
        <f>IFERROR(IF(SUM(L49:L62)&gt;0.01,1-EXP(-SUM(L49:L62)),SUM(L49:L62)),".")</f>
        <v>1</v>
      </c>
      <c r="Q48" s="47">
        <f>IFERROR(IF(SUM(I49:L62)&gt;0.01,1-EXP(-SUM(I49:L62)),SUM(I49:L62)),".")</f>
        <v>1</v>
      </c>
      <c r="R48" s="59">
        <f t="shared" ref="R48:V48" si="65">1/SUM(1/R49,1/R50,1/R52,1/R54,1/R55,1/R56,1/R57,1/R58,1/R59,1/R60,1/R61,1/R62)</f>
        <v>3.6502035324081292E-6</v>
      </c>
      <c r="S48" s="59">
        <f t="shared" si="65"/>
        <v>6.8712840521956035E-6</v>
      </c>
      <c r="T48" s="59">
        <f t="shared" si="65"/>
        <v>4.8869647209489478E-6</v>
      </c>
      <c r="U48" s="59">
        <f t="shared" si="65"/>
        <v>4.1353510920275483E-6</v>
      </c>
      <c r="V48" s="59">
        <f t="shared" si="65"/>
        <v>1.181843515422879E-5</v>
      </c>
      <c r="W48" s="70"/>
      <c r="X48" s="70"/>
      <c r="Y48" s="70"/>
      <c r="Z48" s="70"/>
      <c r="AA48" s="70"/>
      <c r="AB48" s="47">
        <f>IFERROR(IF(SUM(W49:W62)&gt;0.01,1-EXP(-SUM(W49:W62)),SUM(W49:W62)),".")</f>
        <v>0.74583881617581704</v>
      </c>
      <c r="AC48" s="47">
        <f t="shared" ref="AC48:AF48" si="66">IFERROR(IF(SUM(X49:X62)&gt;0.01,1-EXP(-SUM(X49:X62)),SUM(X49:X62)),".")</f>
        <v>0.51696493607841165</v>
      </c>
      <c r="AD48" s="47">
        <f t="shared" si="66"/>
        <v>0.64053194166426974</v>
      </c>
      <c r="AE48" s="47">
        <f t="shared" si="66"/>
        <v>0.70153039656620753</v>
      </c>
      <c r="AF48" s="47">
        <f t="shared" si="66"/>
        <v>0.34496581517788449</v>
      </c>
      <c r="AG48" s="58">
        <f>1/SUM(1/AG49,1/AG50,1/AG51,1/AG52,1/AG54,1/AG58,1/AG59,1/AG61)</f>
        <v>1.3714628922874512E-10</v>
      </c>
      <c r="AH48" s="58">
        <f t="shared" ref="AH48:AI48" si="67">1/SUM(1/AH49,1/AH50,1/AH51,1/AH52,1/AH53,1/AH54,1/AH55,1/AH56,1/AH57,1/AH58,1/AH59,1/AH60,1/AH61,1/AH62)</f>
        <v>1.9466663729363409E-7</v>
      </c>
      <c r="AI48" s="59">
        <f t="shared" si="67"/>
        <v>1.218284517209632E-10</v>
      </c>
      <c r="AJ48" s="70"/>
      <c r="AK48" s="70"/>
      <c r="AL48" s="47">
        <f>IFERROR(IF(SUM(AJ49:AJ62)&gt;0.01,1-EXP(-SUM(AJ49:AJ62)),SUM(AJ49:AJ62)),".")</f>
        <v>1</v>
      </c>
      <c r="AM48" s="47">
        <f>IFERROR(IF(SUM(AK49:AK62)&gt;0.01,1-EXP(-SUM(AK49:AK62)),SUM(AK49:AK62)),".")</f>
        <v>0.99999999999299882</v>
      </c>
      <c r="AN48" s="47">
        <f>IFERROR(IF(SUM(AJ49:AK62)&gt;0.01,1-EXP(-SUM(AJ49:AK62)),SUM(AJ49:AK62)),".")</f>
        <v>1</v>
      </c>
      <c r="AO48" s="58">
        <f>1/SUM(1/AO49,1/AO52,1/AO54,1/AO58,1/AO59,1/AO61)</f>
        <v>6.6668891185335878E-11</v>
      </c>
      <c r="AP48" s="58">
        <f>1/SUM(1/AP49,1/AP50)</f>
        <v>1.0971428571428573E-9</v>
      </c>
      <c r="AQ48" s="58">
        <f t="shared" ref="AQ48" si="68">1/SUM(1/AQ49,1/AQ50,1/AQ51,1/AQ52,1/AQ53,1/AQ54,1/AQ55,1/AQ56,1/AQ57,1/AQ58,1/AQ59,1/AQ60,1/AQ61,1/AQ62)</f>
        <v>4.8666659323408516E-7</v>
      </c>
      <c r="AR48" s="58">
        <f>1/SUM(1/AR49,1/AR52,1/AR54,1/AR58,1/AR59,1/AR61)</f>
        <v>3.0147262688068082E-12</v>
      </c>
      <c r="AS48" s="59">
        <f t="shared" ref="AS48" si="69">1/SUM(1/AS49,1/AS50,1/AS51,1/AS52,1/AS53,1/AS54,1/AS55,1/AS56,1/AS57,1/AS58,1/AS59,1/AS60,1/AS61,1/AS62)</f>
        <v>1.9194307246617147E-12</v>
      </c>
      <c r="AT48" s="70"/>
      <c r="AU48" s="70"/>
      <c r="AV48" s="70"/>
      <c r="AW48" s="70"/>
      <c r="AX48" s="47">
        <f>IFERROR(IF(SUM(AT49:AT62)&gt;0.01,1-EXP(-SUM(AT49:AT62)),SUM(AT49:AT62)),".")</f>
        <v>1</v>
      </c>
      <c r="AY48" s="47">
        <f t="shared" ref="AY48:BA48" si="70">IFERROR(IF(SUM(AU49:AU62)&gt;0.01,1-EXP(-SUM(AU49:AU62)),SUM(AU49:AU62)),".")</f>
        <v>1</v>
      </c>
      <c r="AZ48" s="47">
        <f t="shared" si="70"/>
        <v>0.99996548008496122</v>
      </c>
      <c r="BA48" s="47">
        <f t="shared" si="70"/>
        <v>1</v>
      </c>
      <c r="BB48" s="47">
        <f>IFERROR(IF(SUM(AT49:AW62)&gt;0.01,1-EXP(-SUM(AT49:AW62)),SUM(AT49:AW62)),".")</f>
        <v>1</v>
      </c>
      <c r="BC48" s="59">
        <f>1/SUM(1/BC49,1/BC52,1/BC54,1/BC58,1/BC59,1/BC61)</f>
        <v>1.2121616579151979E-11</v>
      </c>
      <c r="BD48" s="70"/>
      <c r="BE48" s="47">
        <f>IFERROR(IF(SUM(BE49:BE62)&gt;0.01,1-EXP(-SUM(BE49:BE62)),SUM(BE49:BE62)),".")</f>
        <v>0.9999849315394056</v>
      </c>
    </row>
    <row r="49" spans="1:57" x14ac:dyDescent="0.25">
      <c r="A49" s="48" t="s">
        <v>1103</v>
      </c>
      <c r="B49" s="15">
        <v>1</v>
      </c>
      <c r="C49" s="60">
        <f>IFERROR(C23/$B49,0)</f>
        <v>3.6363636363636363E-8</v>
      </c>
      <c r="D49" s="60">
        <f>IFERROR(D23/$B49,0)</f>
        <v>3.3989909629864073E-4</v>
      </c>
      <c r="E49" s="60">
        <f>IFERROR(E23/$B49,0)</f>
        <v>2.1391286603407811E-5</v>
      </c>
      <c r="F49" s="60">
        <f>IFERROR(F23/$B49,0)</f>
        <v>3.6265718922545492E-12</v>
      </c>
      <c r="G49" s="60">
        <f>IFERROR(G23/$B49,0)</f>
        <v>1.8181818181818181E-11</v>
      </c>
      <c r="H49" s="60">
        <f>(IF(AND(C49&lt;&gt;0,D49&lt;&gt;0,E49&lt;&gt;0,F49&lt;&gt;0),1/((1/C49)+(1/D49)+(1/E49)+(1/F49)),IF(AND(C49&lt;&gt;0,D49&lt;&gt;0,E49&lt;&gt;0,F49=0), 1/((1/C49)+(1/D49)+(1/E49)),IF(AND(C49&lt;&gt;0,D49&lt;&gt;0,E49=0,F49&lt;&gt;0),1/((1/C49)+(1/D49)+(1/F49)),IF(AND(C49&lt;&gt;0,D49=0,E49&lt;&gt;0,F49&lt;&gt;0),1/((1/C49)+(1/E49)+(1/F49)),IF(AND(C49=0,D49&lt;&gt;0,E49&lt;&gt;0,F49&lt;&gt;0),1/((1/D49)+(1/E49)+(1/F49)),IF(AND(C49&lt;&gt;0,D49&lt;&gt;0,E49=0,F49=0),1/((1/C49)+(1/D49)),IF(AND(C49&lt;&gt;0,D49=0,E49&lt;&gt;0,F49=0),1/((1/C49)+(1/E49)),IF(AND(C49&lt;&gt;0,D49=0,E49=0,F49&lt;&gt;0),1/((1/C49)+(1/F49)),IF(AND(C49=0,D49=0,E49&lt;&gt;0,F49&lt;&gt;0),1/((1/E49)+(1/F49)),IF(AND(C49=0,D49&lt;&gt;0,E49=0,F49&lt;&gt;0),1/((1/D49)+(1/F49)),IF(AND(C49=0,D49&lt;&gt;0,E49&lt;&gt;0,F49=0),1/((1/D49)+(1/E49)),IF(AND(C49&lt;&gt;0,D49=0,E49=0,F49=0),1/((1/C49)),IF(AND(C49=0,D49&lt;&gt;0,E49=0,F49=0),1/((1/D49)),IF(AND(C49=0,D49=0,E49&lt;&gt;0,F49=0),1/((1/E49)),IF(AND(C49=0,D49=0,E49=0,F49&lt;&gt;0),1/((1/F49)),IF(AND(C49=0,D49=0,E49=0,F49=0),0)))))))))))))))))</f>
        <v>3.6262095942758196E-12</v>
      </c>
      <c r="I49" s="71">
        <f>IFERROR(up_RadSpec!$D$23*I23,".")*$B$49</f>
        <v>137.5</v>
      </c>
      <c r="J49" s="71">
        <f>IFERROR(up_RadSpec!$G$23*$J$23,".")*B49</f>
        <v>1.4710247995501937E-2</v>
      </c>
      <c r="K49" s="71">
        <f>IFERROR(up_RadSpec!$F$23*$K$23,".")*B49</f>
        <v>0.2337400312893502</v>
      </c>
      <c r="L49" s="71">
        <f>up_b2s!AB49</f>
        <v>7927596.875</v>
      </c>
      <c r="M49" s="49">
        <f t="shared" ref="M49:P62" si="71">IFERROR(IF(I49&gt;0.01,1-EXP(-I49),I49),".")</f>
        <v>1</v>
      </c>
      <c r="N49" s="49">
        <f t="shared" si="71"/>
        <v>1.4602580880648697E-2</v>
      </c>
      <c r="O49" s="49">
        <f t="shared" si="71"/>
        <v>0.20843242804957096</v>
      </c>
      <c r="P49" s="49">
        <f t="shared" si="71"/>
        <v>1</v>
      </c>
      <c r="Q49" s="49">
        <f t="shared" si="55"/>
        <v>1</v>
      </c>
      <c r="R49" s="60">
        <f>IFERROR(R23/$B49,0)</f>
        <v>2.1391286603407811E-5</v>
      </c>
      <c r="S49" s="60">
        <f>IFERROR(S23/$B49,0)</f>
        <v>3.8076892588188697E-5</v>
      </c>
      <c r="T49" s="60">
        <f>IFERROR(T23/$B49,0)</f>
        <v>2.6925135896800957E-5</v>
      </c>
      <c r="U49" s="60">
        <f>IFERROR(U23/$B49,0)</f>
        <v>2.2033699633699628E-5</v>
      </c>
      <c r="V49" s="60">
        <f>IFERROR(V23/$B49,0)</f>
        <v>5.9938973647711501E-5</v>
      </c>
      <c r="W49" s="71">
        <f>IFERROR(up_RadSpec!$F$23*$W$23,".")*$B$49</f>
        <v>0.2337400312893502</v>
      </c>
      <c r="X49" s="71">
        <f>IFERROR(up_RadSpec!$M$23*$X$23,".")*$B$49</f>
        <v>0.13131323645750914</v>
      </c>
      <c r="Y49" s="71">
        <f>IFERROR(up_RadSpec!$N$23*$Y$23,".")*$B$49</f>
        <v>0.18570008408366334</v>
      </c>
      <c r="Z49" s="71">
        <f>IFERROR(up_RadSpec!$O$23*$Z$23,".")*$B$49</f>
        <v>0.22692512302167844</v>
      </c>
      <c r="AA49" s="71">
        <f>IFERROR(up_RadSpec!$K$23*$AA$23,".")*$B$49</f>
        <v>8.3418178452425037E-2</v>
      </c>
      <c r="AB49" s="49">
        <f t="shared" ref="AB49:AF62" si="72">IFERROR(IF(W49&gt;0.01,1-EXP(-W49),W49),".")</f>
        <v>0.20843242804957096</v>
      </c>
      <c r="AC49" s="49">
        <f t="shared" si="72"/>
        <v>0.12305695916654125</v>
      </c>
      <c r="AD49" s="49">
        <f t="shared" si="72"/>
        <v>0.16947735540691378</v>
      </c>
      <c r="AE49" s="49">
        <f t="shared" si="72"/>
        <v>0.20301954445567216</v>
      </c>
      <c r="AF49" s="49">
        <f t="shared" si="72"/>
        <v>8.0033643337140026E-2</v>
      </c>
      <c r="AG49" s="60">
        <f>IFERROR(AG23/$B49,0)</f>
        <v>1.0971428571428573E-9</v>
      </c>
      <c r="AH49" s="60">
        <f>IFERROR(AH23/$B49,0)</f>
        <v>1.7520000000000001E-6</v>
      </c>
      <c r="AI49" s="60">
        <f t="shared" ref="AI49:AI62" si="73">IFERROR(IF(AND(AG49&lt;&gt;0,AH49&lt;&gt;0),1/((1/AG49)+(1/AH49)),IF(AND(AG49&lt;&gt;0,AH49=0),1/((1/AG49)),IF(AND(AG49=0,AH49&lt;&gt;0),1/((1/AH49)),IF(AND(AG49=".",AH49="."),".")))),".")</f>
        <v>1.0964562309317064E-9</v>
      </c>
      <c r="AJ49" s="71">
        <f>IFERROR(up_RadSpec!$G$23*AJ23,".")*$B$49</f>
        <v>4557.2916666666661</v>
      </c>
      <c r="AK49" s="71">
        <f>IFERROR(up_RadSpec!$J$23*AK23,".")*$B$49</f>
        <v>2.8538812785388123</v>
      </c>
      <c r="AL49" s="49">
        <f t="shared" ref="AL49:AM62" si="74">IFERROR(IF(AJ49&gt;0.01,1-EXP(-AJ49),AJ49),".")</f>
        <v>1</v>
      </c>
      <c r="AM49" s="49">
        <f t="shared" si="74"/>
        <v>0.9423797539167309</v>
      </c>
      <c r="AN49" s="49">
        <f t="shared" ref="AN49:AN62" si="75">IFERROR(IF(SUM(AJ49:AK49)&gt;0.01,1-EXP(-SUM(AJ49:AK49)),SUM(AJ49:AK49)),".")</f>
        <v>1</v>
      </c>
      <c r="AO49" s="60">
        <f>IFERROR(AO23/$B49,0)</f>
        <v>3.9999999999999996E-10</v>
      </c>
      <c r="AP49" s="60">
        <f>IFERROR(AP23/$B49,0)</f>
        <v>2.1942857142857146E-9</v>
      </c>
      <c r="AQ49" s="60">
        <f>IFERROR(AQ23/$B49,0)</f>
        <v>4.3800000000000004E-6</v>
      </c>
      <c r="AR49" s="60">
        <f>IFERROR(AR23/$B49,0)</f>
        <v>1.8087754064641833E-11</v>
      </c>
      <c r="AS49" s="60">
        <f t="shared" ref="AS49:AS62" si="76">(IF(AND(AO49&lt;&gt;0,AP49&lt;&gt;0,AQ49&lt;&gt;0,AR49&lt;&gt;0),1/((1/AO49)+(1/AP49)+(1/AQ49)+(1/AR49)),IF(AND(AO49&lt;&gt;0,AP49&lt;&gt;0,AQ49&lt;&gt;0,AR49=0), 1/((1/AO49)+(1/AP49)+(1/AQ49)),IF(AND(AO49&lt;&gt;0,AP49&lt;&gt;0,AQ49=0,AR49&lt;&gt;0),1/((1/AO49)+(1/AP49)+(1/AR49)),IF(AND(AO49&lt;&gt;0,AP49=0,AQ49&lt;&gt;0,AR49&lt;&gt;0),1/((1/AO49)+(1/AQ49)+(1/AR49)),IF(AND(AO49=0,AP49&lt;&gt;0,AQ49&lt;&gt;0,AR49&lt;&gt;0),1/((1/AP49)+(1/AQ49)+(1/AR49)),IF(AND(AO49&lt;&gt;0,AP49&lt;&gt;0,AQ49=0,AR49=0),1/((1/AO49)+(1/AP49)),IF(AND(AO49&lt;&gt;0,AP49=0,AQ49&lt;&gt;0,AR49=0),1/((1/AO49)+(1/AQ49)),IF(AND(AO49&lt;&gt;0,AP49=0,AQ49=0,AR49&lt;&gt;0),1/((1/AO49)+(1/AR49)),IF(AND(AO49=0,AP49=0,AQ49&lt;&gt;0,AR49&lt;&gt;0),1/((1/AQ49)+(1/AR49)),IF(AND(AO49=0,AP49&lt;&gt;0,AQ49=0,AR49&lt;&gt;0),1/((1/AP49)+(1/AR49)),IF(AND(AO49=0,AP49&lt;&gt;0,AQ49&lt;&gt;0,AR49=0),1/((1/AP49)+(1/AQ49)),IF(AND(AO49&lt;&gt;0,AP49=0,AQ49=0,AR49=0),1/((1/AO49)),IF(AND(AO49=0,AP49&lt;&gt;0,AQ49=0,AR49=0),1/((1/AP49)),IF(AND(AO49=0,AP49=0,AQ49&lt;&gt;0,AR49=0),1/((1/AQ49)),IF(AND(AO49=0,AP49=0,AQ49=0,AR49&lt;&gt;0),1/((1/AR49)),IF(AND(AO49=0,AP49=0,AQ49=0,AR49=0),0)))))))))))))))))</f>
        <v>1.716974559743792E-11</v>
      </c>
      <c r="AT49" s="71">
        <f>IFERROR(up_RadSpec!$H$23*AT23,".")*$B$49</f>
        <v>12500</v>
      </c>
      <c r="AU49" s="71">
        <f>IFERROR(up_RadSpec!$G$23*AU23,".")*$B$49</f>
        <v>2278.645833333333</v>
      </c>
      <c r="AV49" s="71">
        <f>IFERROR(up_RadSpec!$L$23*AV23,".")*$B$49</f>
        <v>1.1415525114155249</v>
      </c>
      <c r="AW49" s="71">
        <f>up_b2w!AB49</f>
        <v>276430.1185283176</v>
      </c>
      <c r="AX49" s="49">
        <f t="shared" ref="AX49:AX62" si="77">IFERROR(IF(AT49&gt;0.01,1-EXP(-AT49),AT49),".")</f>
        <v>1</v>
      </c>
      <c r="AY49" s="49">
        <f t="shared" ref="AY49:AY62" si="78">IFERROR(IF(AP49&lt;&gt;0,IF(AU49&gt;0.01,1-EXP(-AU49),AU49),0),".")</f>
        <v>1</v>
      </c>
      <c r="AZ49" s="49">
        <f>IFERROR(IF(AV49&gt;0.01,1-EXP(-AV49),AV49),".")</f>
        <v>0.68067711563678512</v>
      </c>
      <c r="BA49" s="49">
        <f>IFERROR(IF(AW49&gt;0.01,1-EXP(-AW49),AW49),".")</f>
        <v>1</v>
      </c>
      <c r="BB49" s="49">
        <f t="shared" si="41"/>
        <v>1</v>
      </c>
      <c r="BC49" s="60">
        <f>IFERROR(BC23/$B49,0)</f>
        <v>7.2727272727272723E-11</v>
      </c>
      <c r="BD49" s="71">
        <f>IFERROR(up_RadSpec!$E$23*BD23,".")*$B$49</f>
        <v>68750</v>
      </c>
      <c r="BE49" s="49">
        <f t="shared" ref="BE49:BE62" si="79">IFERROR(IF(BD49&gt;0.01,1-EXP(-BD49),BD49),".")</f>
        <v>1</v>
      </c>
    </row>
    <row r="50" spans="1:57" x14ac:dyDescent="0.25">
      <c r="A50" s="48" t="s">
        <v>1090</v>
      </c>
      <c r="B50" s="15">
        <v>1</v>
      </c>
      <c r="C50" s="60">
        <f>IFERROR(C25/$B50,0)</f>
        <v>3.6363636363636363E-8</v>
      </c>
      <c r="D50" s="60">
        <f>IFERROR(D25/$B50,0)</f>
        <v>3.3989909629864073E-4</v>
      </c>
      <c r="E50" s="60">
        <f>IFERROR(E25/$B50,0)</f>
        <v>3.1271753681392245E-5</v>
      </c>
      <c r="F50" s="60">
        <f>IFERROR(F25/$B50,0)</f>
        <v>3.6265718922545492E-12</v>
      </c>
      <c r="G50" s="60">
        <f>IFERROR(G25/$B50,0)</f>
        <v>1.8181818181818181E-11</v>
      </c>
      <c r="H50" s="60">
        <f t="shared" ref="H50:H62" si="80">(IF(AND(C50&lt;&gt;0,D50&lt;&gt;0,E50&lt;&gt;0,F50&lt;&gt;0),1/((1/C50)+(1/D50)+(1/E50)+(1/F50)),IF(AND(C50&lt;&gt;0,D50&lt;&gt;0,E50&lt;&gt;0,F50=0), 1/((1/C50)+(1/D50)+(1/E50)),IF(AND(C50&lt;&gt;0,D50&lt;&gt;0,E50=0,F50&lt;&gt;0),1/((1/C50)+(1/D50)+(1/F50)),IF(AND(C50&lt;&gt;0,D50=0,E50&lt;&gt;0,F50&lt;&gt;0),1/((1/C50)+(1/E50)+(1/F50)),IF(AND(C50=0,D50&lt;&gt;0,E50&lt;&gt;0,F50&lt;&gt;0),1/((1/D50)+(1/E50)+(1/F50)),IF(AND(C50&lt;&gt;0,D50&lt;&gt;0,E50=0,F50=0),1/((1/C50)+(1/D50)),IF(AND(C50&lt;&gt;0,D50=0,E50&lt;&gt;0,F50=0),1/((1/C50)+(1/E50)),IF(AND(C50&lt;&gt;0,D50=0,E50=0,F50&lt;&gt;0),1/((1/C50)+(1/F50)),IF(AND(C50=0,D50=0,E50&lt;&gt;0,F50&lt;&gt;0),1/((1/E50)+(1/F50)),IF(AND(C50=0,D50&lt;&gt;0,E50=0,F50&lt;&gt;0),1/((1/D50)+(1/F50)),IF(AND(C50=0,D50&lt;&gt;0,E50&lt;&gt;0,F50=0),1/((1/D50)+(1/E50)),IF(AND(C50&lt;&gt;0,D50=0,E50=0,F50=0),1/((1/C50)),IF(AND(C50=0,D50&lt;&gt;0,E50=0,F50=0),1/((1/D50)),IF(AND(C50=0,D50=0,E50&lt;&gt;0,F50=0),1/((1/E50)),IF(AND(C50=0,D50=0,E50=0,F50&lt;&gt;0),1/((1/F50)),IF(AND(C50=0,D50=0,E50=0,F50=0),0)))))))))))))))))</f>
        <v>3.6262097884959142E-12</v>
      </c>
      <c r="I50" s="71">
        <f>IFERROR(up_RadSpec!$D$25*I25,".")*$B$50</f>
        <v>137.5</v>
      </c>
      <c r="J50" s="71">
        <f>IFERROR(up_RadSpec!$G$25*$J$25,".")*B50</f>
        <v>1.4710247995501937E-2</v>
      </c>
      <c r="K50" s="71">
        <f>IFERROR(up_RadSpec!$F$25*$K$25,".")*B50</f>
        <v>0.15988869863013694</v>
      </c>
      <c r="L50" s="71">
        <f>up_b2s!AB50</f>
        <v>7927596.875</v>
      </c>
      <c r="M50" s="49">
        <f t="shared" si="71"/>
        <v>1</v>
      </c>
      <c r="N50" s="49">
        <f t="shared" si="71"/>
        <v>1.4602580880648697E-2</v>
      </c>
      <c r="O50" s="49">
        <f t="shared" si="71"/>
        <v>0.14776136098438408</v>
      </c>
      <c r="P50" s="49">
        <f t="shared" si="71"/>
        <v>1</v>
      </c>
      <c r="Q50" s="49">
        <f t="shared" si="55"/>
        <v>1</v>
      </c>
      <c r="R50" s="60">
        <f>IFERROR(R25/$B50,0)</f>
        <v>3.1271753681392245E-5</v>
      </c>
      <c r="S50" s="60">
        <f>IFERROR(S25/$B50,0)</f>
        <v>5.6001221560543581E-5</v>
      </c>
      <c r="T50" s="60">
        <f>IFERROR(T25/$B50,0)</f>
        <v>4.0169979832901198E-5</v>
      </c>
      <c r="U50" s="60">
        <f>IFERROR(U25/$B50,0)</f>
        <v>3.5870780819933355E-5</v>
      </c>
      <c r="V50" s="60">
        <f>IFERROR(V25/$B50,0)</f>
        <v>1.0040404040404039E-4</v>
      </c>
      <c r="W50" s="71">
        <f>IFERROR(up_RadSpec!$F$25*$W$25,".")*$B$50</f>
        <v>0.15988869863013694</v>
      </c>
      <c r="X50" s="71">
        <f>IFERROR(up_RadSpec!$M$25*$X$25,".")*$B$50</f>
        <v>8.928376668702559E-2</v>
      </c>
      <c r="Y50" s="71">
        <f>IFERROR(up_RadSpec!$N$25*$Y$25,".")*$B$50</f>
        <v>0.12447106074732836</v>
      </c>
      <c r="Z50" s="71">
        <f>IFERROR(up_RadSpec!$O$25*$Z$25,".")*$B$50</f>
        <v>0.13938921555957612</v>
      </c>
      <c r="AA50" s="71">
        <f>IFERROR(up_RadSpec!$K$25*$AA$25,".")*$B$50</f>
        <v>4.9798792756539235E-2</v>
      </c>
      <c r="AB50" s="49">
        <f t="shared" si="72"/>
        <v>0.14776136098438408</v>
      </c>
      <c r="AC50" s="49">
        <f t="shared" si="72"/>
        <v>8.5413992293286278E-2</v>
      </c>
      <c r="AD50" s="49">
        <f t="shared" si="72"/>
        <v>0.11703618669044735</v>
      </c>
      <c r="AE50" s="49">
        <f t="shared" si="72"/>
        <v>0.13011061192447559</v>
      </c>
      <c r="AF50" s="49">
        <f t="shared" si="72"/>
        <v>4.8579161992637232E-2</v>
      </c>
      <c r="AG50" s="60">
        <f>IFERROR(AG25/$B50,0)</f>
        <v>1.0971428571428573E-9</v>
      </c>
      <c r="AH50" s="60">
        <f>IFERROR(AH25/$B50,0)</f>
        <v>1.7520000000000001E-6</v>
      </c>
      <c r="AI50" s="60">
        <f t="shared" si="73"/>
        <v>1.0964562309317064E-9</v>
      </c>
      <c r="AJ50" s="71">
        <f>IFERROR(up_RadSpec!$G$25*AJ$25,".")*$B$50</f>
        <v>4557.2916666666661</v>
      </c>
      <c r="AK50" s="71">
        <f>IFERROR(up_RadSpec!$J$25*$AK$25,".")*$B$50</f>
        <v>2.8538812785388123</v>
      </c>
      <c r="AL50" s="49">
        <f t="shared" si="74"/>
        <v>1</v>
      </c>
      <c r="AM50" s="49">
        <f t="shared" si="74"/>
        <v>0.9423797539167309</v>
      </c>
      <c r="AN50" s="49">
        <f t="shared" si="75"/>
        <v>1</v>
      </c>
      <c r="AO50" s="60">
        <f>IFERROR(AO25/$B50,0)</f>
        <v>3.9999999999999996E-10</v>
      </c>
      <c r="AP50" s="60">
        <f>IFERROR(AP25/$B50,0)</f>
        <v>2.1942857142857146E-9</v>
      </c>
      <c r="AQ50" s="60">
        <f>IFERROR(AQ25/$B50,0)</f>
        <v>4.3800000000000004E-6</v>
      </c>
      <c r="AR50" s="60">
        <f>IFERROR(AR25/$B50,0)</f>
        <v>1.8087754064641833E-11</v>
      </c>
      <c r="AS50" s="60">
        <f t="shared" si="76"/>
        <v>1.716974559743792E-11</v>
      </c>
      <c r="AT50" s="71">
        <f>IFERROR(up_RadSpec!$H$25*AT25,".")*$B$50</f>
        <v>12500</v>
      </c>
      <c r="AU50" s="71">
        <f>IFERROR(up_RadSpec!$G$25*AU25,".")*$B$50</f>
        <v>2278.645833333333</v>
      </c>
      <c r="AV50" s="71">
        <f>IFERROR(up_RadSpec!$L$25*AV25,".")*$B$50</f>
        <v>1.1415525114155249</v>
      </c>
      <c r="AW50" s="71">
        <f>up_b2w!AB50</f>
        <v>276430.1185283176</v>
      </c>
      <c r="AX50" s="49">
        <f t="shared" si="77"/>
        <v>1</v>
      </c>
      <c r="AY50" s="49">
        <f t="shared" si="78"/>
        <v>1</v>
      </c>
      <c r="AZ50" s="49">
        <f t="shared" ref="AZ50:BA62" si="81">IFERROR(IF(AV50&gt;0.01,1-EXP(-AV50),AV50),".")</f>
        <v>0.68067711563678512</v>
      </c>
      <c r="BA50" s="49">
        <f t="shared" si="81"/>
        <v>1</v>
      </c>
      <c r="BB50" s="49">
        <f t="shared" si="41"/>
        <v>1</v>
      </c>
      <c r="BC50" s="60">
        <f>IFERROR(BC25/$B50,0)</f>
        <v>7.2727272727272723E-11</v>
      </c>
      <c r="BD50" s="71">
        <f>IFERROR(up_RadSpec!$E$25*BD25,".")*$B$50</f>
        <v>68750</v>
      </c>
      <c r="BE50" s="49">
        <f t="shared" si="79"/>
        <v>1</v>
      </c>
    </row>
    <row r="51" spans="1:57" x14ac:dyDescent="0.25">
      <c r="A51" s="48" t="s">
        <v>1076</v>
      </c>
      <c r="B51" s="15">
        <v>1</v>
      </c>
      <c r="C51" s="60">
        <f>IFERROR(C21/$B51,0)</f>
        <v>3.6363636363636363E-8</v>
      </c>
      <c r="D51" s="60">
        <f>IFERROR(D21/$B51,0)</f>
        <v>3.3989909629864073E-4</v>
      </c>
      <c r="E51" s="60">
        <f>IFERROR(E21/$B51,0)</f>
        <v>0</v>
      </c>
      <c r="F51" s="60">
        <f>IFERROR(F21/$B51,0)</f>
        <v>3.6265718922545492E-12</v>
      </c>
      <c r="G51" s="60">
        <f>IFERROR(G21/$B51,0)</f>
        <v>1.8181818181818181E-11</v>
      </c>
      <c r="H51" s="60">
        <f t="shared" si="80"/>
        <v>3.6262102089839709E-12</v>
      </c>
      <c r="I51" s="71">
        <f>IFERROR(up_RadSpec!$D$21*I21,".")*$B$51</f>
        <v>137.5</v>
      </c>
      <c r="J51" s="71">
        <f>IFERROR(up_RadSpec!$G$21*$J$21,".")*B51</f>
        <v>1.4710247995501937E-2</v>
      </c>
      <c r="K51" s="71">
        <f>IFERROR(up_RadSpec!$F$21*$K$21,".")*B51</f>
        <v>0</v>
      </c>
      <c r="L51" s="71">
        <f>up_b2s!AB51</f>
        <v>7927596.875</v>
      </c>
      <c r="M51" s="49">
        <f t="shared" si="71"/>
        <v>1</v>
      </c>
      <c r="N51" s="49">
        <f t="shared" si="71"/>
        <v>1.4602580880648697E-2</v>
      </c>
      <c r="O51" s="49">
        <f t="shared" si="71"/>
        <v>0</v>
      </c>
      <c r="P51" s="49">
        <f t="shared" si="71"/>
        <v>1</v>
      </c>
      <c r="Q51" s="49">
        <f t="shared" si="55"/>
        <v>1</v>
      </c>
      <c r="R51" s="60">
        <f>IFERROR(R21/$B51,0)</f>
        <v>0</v>
      </c>
      <c r="S51" s="60">
        <f>IFERROR(S21/$B51,0)</f>
        <v>0</v>
      </c>
      <c r="T51" s="60">
        <f>IFERROR(T21/$B51,0)</f>
        <v>0</v>
      </c>
      <c r="U51" s="60">
        <f>IFERROR(U21/$B51,0)</f>
        <v>0</v>
      </c>
      <c r="V51" s="60">
        <f>IFERROR(V21/$B51,0)</f>
        <v>0</v>
      </c>
      <c r="W51" s="71">
        <f>IFERROR(up_RadSpec!$F$21*$W$21,".")*$B$51</f>
        <v>0</v>
      </c>
      <c r="X51" s="71">
        <f>IFERROR(up_RadSpec!$M$21*$X$21,".")*$B$51</f>
        <v>0</v>
      </c>
      <c r="Y51" s="71">
        <f>IFERROR(up_RadSpec!$N$21*$Y$21,".")*$B$51</f>
        <v>0</v>
      </c>
      <c r="Z51" s="71">
        <f>IFERROR(up_RadSpec!$O$21*$Z$21,".")*$B$51</f>
        <v>0</v>
      </c>
      <c r="AA51" s="71">
        <f>IFERROR(up_RadSpec!$K$21*$AA$21,".")*$B$51</f>
        <v>0</v>
      </c>
      <c r="AB51" s="49">
        <f t="shared" si="72"/>
        <v>0</v>
      </c>
      <c r="AC51" s="49">
        <f t="shared" si="72"/>
        <v>0</v>
      </c>
      <c r="AD51" s="49">
        <f t="shared" si="72"/>
        <v>0</v>
      </c>
      <c r="AE51" s="49">
        <f t="shared" si="72"/>
        <v>0</v>
      </c>
      <c r="AF51" s="49">
        <f t="shared" si="72"/>
        <v>0</v>
      </c>
      <c r="AG51" s="60">
        <f>IFERROR(AG21/$B51,0)</f>
        <v>1.0971428571428573E-9</v>
      </c>
      <c r="AH51" s="60">
        <f>IFERROR(AH21/$B51,0)</f>
        <v>1.7520000000000001E-6</v>
      </c>
      <c r="AI51" s="60">
        <f t="shared" si="73"/>
        <v>1.0964562309317064E-9</v>
      </c>
      <c r="AJ51" s="71">
        <f>IFERROR(up_RadSpec!$G$21*AJ21,".")*$B$51</f>
        <v>4557.2916666666661</v>
      </c>
      <c r="AK51" s="71">
        <f>IFERROR(up_RadSpec!$J$21*$AK$21,".")*$B$51</f>
        <v>2.8538812785388123</v>
      </c>
      <c r="AL51" s="49">
        <f t="shared" si="74"/>
        <v>1</v>
      </c>
      <c r="AM51" s="49">
        <f t="shared" si="74"/>
        <v>0.9423797539167309</v>
      </c>
      <c r="AN51" s="49">
        <f t="shared" si="75"/>
        <v>1</v>
      </c>
      <c r="AO51" s="60">
        <f>IFERROR(AO21/$B51,0)</f>
        <v>3.9999999999999996E-10</v>
      </c>
      <c r="AP51" s="60">
        <f>IFERROR(AP21/$B51,0)</f>
        <v>0</v>
      </c>
      <c r="AQ51" s="60">
        <f>IFERROR(AQ21/$B51,0)</f>
        <v>4.3800000000000004E-6</v>
      </c>
      <c r="AR51" s="60">
        <f>IFERROR(AR21/$B51,0)</f>
        <v>1.8087754064641833E-11</v>
      </c>
      <c r="AS51" s="60">
        <f t="shared" si="76"/>
        <v>1.7305154169200115E-11</v>
      </c>
      <c r="AT51" s="71">
        <f>IFERROR(up_RadSpec!$H$21*AT21,".")*$B$51</f>
        <v>12500</v>
      </c>
      <c r="AU51" s="71">
        <f>IFERROR(up_RadSpec!$G$21*AU21,".")*$B$51</f>
        <v>2278.645833333333</v>
      </c>
      <c r="AV51" s="71">
        <f>IFERROR(up_RadSpec!$L$21*AV21,".")*$B$51</f>
        <v>1.1415525114155249</v>
      </c>
      <c r="AW51" s="71">
        <f>up_b2w!AB51</f>
        <v>276430.1185283176</v>
      </c>
      <c r="AX51" s="49">
        <f t="shared" si="77"/>
        <v>1</v>
      </c>
      <c r="AY51" s="49">
        <f t="shared" si="78"/>
        <v>0</v>
      </c>
      <c r="AZ51" s="49">
        <f t="shared" si="81"/>
        <v>0.68067711563678512</v>
      </c>
      <c r="BA51" s="49">
        <f t="shared" si="81"/>
        <v>1</v>
      </c>
      <c r="BB51" s="49">
        <f t="shared" si="41"/>
        <v>1</v>
      </c>
      <c r="BC51" s="60">
        <f>IFERROR(BC21/$B51,0)</f>
        <v>7.2727272727272723E-11</v>
      </c>
      <c r="BD51" s="71">
        <f>IFERROR(up_RadSpec!$E$21*BD21,".")*$B$51</f>
        <v>68750</v>
      </c>
      <c r="BE51" s="49">
        <f t="shared" si="79"/>
        <v>1</v>
      </c>
    </row>
    <row r="52" spans="1:57" x14ac:dyDescent="0.25">
      <c r="A52" s="48" t="s">
        <v>1077</v>
      </c>
      <c r="B52" s="51">
        <v>0.99980000000000002</v>
      </c>
      <c r="C52" s="60">
        <f>IFERROR(C17/$B52,0)</f>
        <v>3.6370910545745511E-8</v>
      </c>
      <c r="D52" s="60">
        <f>IFERROR(D17/$B52,0)</f>
        <v>3.3996708971658404E-4</v>
      </c>
      <c r="E52" s="60">
        <f>IFERROR(E17/$B52,0)</f>
        <v>4.2986952368828715E-5</v>
      </c>
      <c r="F52" s="60">
        <f>IFERROR(F17/$B52,0)</f>
        <v>3.6272973517248939E-12</v>
      </c>
      <c r="G52" s="60">
        <f>IFERROR(G17/$B52,0)</f>
        <v>1.8185455272872755E-11</v>
      </c>
      <c r="H52" s="60">
        <f t="shared" si="80"/>
        <v>3.6269352900879945E-12</v>
      </c>
      <c r="I52" s="71">
        <f>IFERROR(up_RadSpec!$D$17*I17,".")*$B$52</f>
        <v>137.4725</v>
      </c>
      <c r="J52" s="71">
        <f>IFERROR(up_RadSpec!$G$17*$J$17,".")*B52</f>
        <v>1.4707305945902837E-2</v>
      </c>
      <c r="K52" s="71">
        <f>IFERROR(up_RadSpec!$F$17*$K$17,".")*B52</f>
        <v>0.11631436341659958</v>
      </c>
      <c r="L52" s="71">
        <f>up_b2s!AB52</f>
        <v>7929182.7115423055</v>
      </c>
      <c r="M52" s="49">
        <f t="shared" si="71"/>
        <v>1</v>
      </c>
      <c r="N52" s="49">
        <f t="shared" si="71"/>
        <v>1.4599681788302177E-2</v>
      </c>
      <c r="O52" s="49">
        <f t="shared" si="71"/>
        <v>0.1098046655404098</v>
      </c>
      <c r="P52" s="49">
        <f t="shared" si="71"/>
        <v>1</v>
      </c>
      <c r="Q52" s="49">
        <f t="shared" si="55"/>
        <v>1</v>
      </c>
      <c r="R52" s="60">
        <f>IFERROR(R17/$B52,0)</f>
        <v>4.2986952368828715E-5</v>
      </c>
      <c r="S52" s="60">
        <f>IFERROR(S17/$B52,0)</f>
        <v>7.5128689293733382E-5</v>
      </c>
      <c r="T52" s="60">
        <f>IFERROR(T17/$B52,0)</f>
        <v>5.6603038375863529E-5</v>
      </c>
      <c r="U52" s="60">
        <f>IFERROR(U17/$B52,0)</f>
        <v>5.0333203219704683E-5</v>
      </c>
      <c r="V52" s="60">
        <f>IFERROR(V17/$B52,0)</f>
        <v>1.4395679412794986E-4</v>
      </c>
      <c r="W52" s="71">
        <f>IFERROR(up_RadSpec!$F$17*$W$17,".")*$B$52</f>
        <v>0.11631436341659958</v>
      </c>
      <c r="X52" s="71">
        <f>IFERROR(up_RadSpec!$M$17*$X$17,".")*$B$52</f>
        <v>6.6552472124880524E-2</v>
      </c>
      <c r="Y52" s="71">
        <f>IFERROR(up_RadSpec!$N$17*$Y$17,".")*$B$52</f>
        <v>8.8334480682791094E-2</v>
      </c>
      <c r="Z52" s="71">
        <f>IFERROR(up_RadSpec!$O$17*$Z$17,".")*$B$52</f>
        <v>9.9338005136986318E-2</v>
      </c>
      <c r="AA52" s="71">
        <f>IFERROR(up_RadSpec!$K$17*$AA$17,".")*$B$52</f>
        <v>3.4732643431583811E-2</v>
      </c>
      <c r="AB52" s="49">
        <f t="shared" si="72"/>
        <v>0.1098046655404098</v>
      </c>
      <c r="AC52" s="49">
        <f t="shared" si="72"/>
        <v>6.4386179076967087E-2</v>
      </c>
      <c r="AD52" s="49">
        <f t="shared" si="72"/>
        <v>8.4545376379265513E-2</v>
      </c>
      <c r="AE52" s="49">
        <f t="shared" si="72"/>
        <v>9.4563385930972688E-2</v>
      </c>
      <c r="AF52" s="49">
        <f t="shared" si="72"/>
        <v>3.4136388278310115E-2</v>
      </c>
      <c r="AG52" s="60">
        <f>IFERROR(AG17/$B52,0)</f>
        <v>1.097362329608779E-9</v>
      </c>
      <c r="AH52" s="60">
        <f>IFERROR(AH17/$B52,0)</f>
        <v>1.7523504700940188E-6</v>
      </c>
      <c r="AI52" s="60">
        <f t="shared" si="73"/>
        <v>1.0966755660449152E-9</v>
      </c>
      <c r="AJ52" s="71">
        <f>IFERROR(up_RadSpec!$G$17*AJ17,".")*$B$52</f>
        <v>4556.380208333333</v>
      </c>
      <c r="AK52" s="71">
        <f>IFERROR(up_RadSpec!$J$17*$AK$17,".")*$B$52</f>
        <v>2.8533105022831045</v>
      </c>
      <c r="AL52" s="49">
        <f t="shared" si="74"/>
        <v>1</v>
      </c>
      <c r="AM52" s="49">
        <f t="shared" si="74"/>
        <v>0.94234685626071124</v>
      </c>
      <c r="AN52" s="49">
        <f t="shared" si="75"/>
        <v>1</v>
      </c>
      <c r="AO52" s="60">
        <f>IFERROR(AO17/$B52,0)</f>
        <v>4.0008001600320061E-10</v>
      </c>
      <c r="AP52" s="60">
        <f>IFERROR(AP17/$B52,0)</f>
        <v>0</v>
      </c>
      <c r="AQ52" s="60">
        <f>IFERROR(AQ17/$B52,0)</f>
        <v>4.3808761752350469E-6</v>
      </c>
      <c r="AR52" s="60">
        <f>IFERROR(AR17/$B52,0)</f>
        <v>1.8091372339109655E-11</v>
      </c>
      <c r="AS52" s="60">
        <f t="shared" si="76"/>
        <v>1.7308615892378589E-11</v>
      </c>
      <c r="AT52" s="71">
        <f>IFERROR(up_RadSpec!$H$17*AT17,".")*$B$52</f>
        <v>12497.5</v>
      </c>
      <c r="AU52" s="71">
        <f>IFERROR(up_RadSpec!$G$17*AU17,".")*$B$52</f>
        <v>2278.1901041666665</v>
      </c>
      <c r="AV52" s="71">
        <f>IFERROR(up_RadSpec!$L$17*AV17,".")*$B$52</f>
        <v>1.1413242009132418</v>
      </c>
      <c r="AW52" s="71">
        <f>up_b2w!AB52</f>
        <v>276485.41561143985</v>
      </c>
      <c r="AX52" s="49">
        <f t="shared" si="77"/>
        <v>1</v>
      </c>
      <c r="AY52" s="49">
        <f t="shared" si="78"/>
        <v>0</v>
      </c>
      <c r="AZ52" s="49">
        <f t="shared" si="81"/>
        <v>0.68060420254557019</v>
      </c>
      <c r="BA52" s="49">
        <f t="shared" si="81"/>
        <v>1</v>
      </c>
      <c r="BB52" s="49">
        <f t="shared" si="41"/>
        <v>1</v>
      </c>
      <c r="BC52" s="60">
        <f>IFERROR(BC17/$B52,0)</f>
        <v>7.2741821091491019E-11</v>
      </c>
      <c r="BD52" s="71">
        <f>IFERROR(up_RadSpec!$E$17*BD17,".")*$B$52</f>
        <v>68736.25</v>
      </c>
      <c r="BE52" s="49">
        <f t="shared" si="79"/>
        <v>1</v>
      </c>
    </row>
    <row r="53" spans="1:57" x14ac:dyDescent="0.25">
      <c r="A53" s="48" t="s">
        <v>1091</v>
      </c>
      <c r="B53" s="15">
        <v>2.0000000000000001E-4</v>
      </c>
      <c r="C53" s="60">
        <f>IFERROR(C5/$B53,0)</f>
        <v>1.8181818181818181E-4</v>
      </c>
      <c r="D53" s="60">
        <f>IFERROR(D5/$B53,0)</f>
        <v>1.6994954814932035</v>
      </c>
      <c r="E53" s="60">
        <f>IFERROR(E5/$B53,0)</f>
        <v>0</v>
      </c>
      <c r="F53" s="60">
        <f>IFERROR(F5/$B53,0)</f>
        <v>1.8132859461272745E-8</v>
      </c>
      <c r="G53" s="60">
        <f>IFERROR(G5/$B53,0)</f>
        <v>9.0909090909090901E-8</v>
      </c>
      <c r="H53" s="60">
        <f t="shared" si="80"/>
        <v>1.8131051044919853E-8</v>
      </c>
      <c r="I53" s="71">
        <f>IFERROR(up_RadSpec!$D$5*I5,".")*$B$53</f>
        <v>2.75E-2</v>
      </c>
      <c r="J53" s="71">
        <f>IFERROR(up_RadSpec!$G$5*$J$5,".")*B53</f>
        <v>2.9420495991003874E-6</v>
      </c>
      <c r="K53" s="71">
        <f>IFERROR(up_RadSpec!$F$5*$K$5,".")*B53</f>
        <v>0</v>
      </c>
      <c r="L53" s="71">
        <f>up_b2s!AB53</f>
        <v>39637984375</v>
      </c>
      <c r="M53" s="49">
        <f t="shared" si="71"/>
        <v>2.7125317446546005E-2</v>
      </c>
      <c r="N53" s="49">
        <f t="shared" si="71"/>
        <v>2.9420495991003874E-6</v>
      </c>
      <c r="O53" s="49">
        <f t="shared" si="71"/>
        <v>0</v>
      </c>
      <c r="P53" s="49">
        <f t="shared" si="71"/>
        <v>1</v>
      </c>
      <c r="Q53" s="49">
        <f t="shared" si="55"/>
        <v>1</v>
      </c>
      <c r="R53" s="60">
        <f>IFERROR(R5/$B53,0)</f>
        <v>0</v>
      </c>
      <c r="S53" s="60">
        <f>IFERROR(S5/$B53,0)</f>
        <v>0</v>
      </c>
      <c r="T53" s="60">
        <f>IFERROR(T5/$B53,0)</f>
        <v>0</v>
      </c>
      <c r="U53" s="60">
        <f>IFERROR(U5/$B53,0)</f>
        <v>0</v>
      </c>
      <c r="V53" s="60">
        <f>IFERROR(V5/$B53,0)</f>
        <v>0</v>
      </c>
      <c r="W53" s="71">
        <f>IFERROR(up_RadSpec!$F$5*$W$5,".")*$B$53</f>
        <v>0</v>
      </c>
      <c r="X53" s="71">
        <f>IFERROR(up_RadSpec!$M$5*$X$5,".")*$B$53</f>
        <v>0</v>
      </c>
      <c r="Y53" s="71">
        <f>IFERROR(up_RadSpec!$N$5*$Y$5,".")*$B$53</f>
        <v>0</v>
      </c>
      <c r="Z53" s="71">
        <f>IFERROR(up_RadSpec!$O$5*$Z$5,".")*$B$53</f>
        <v>0</v>
      </c>
      <c r="AA53" s="71">
        <f>IFERROR(up_RadSpec!$K$5*$AA$5,".")*$B$53</f>
        <v>0</v>
      </c>
      <c r="AB53" s="49">
        <f t="shared" si="72"/>
        <v>0</v>
      </c>
      <c r="AC53" s="49">
        <f t="shared" si="72"/>
        <v>0</v>
      </c>
      <c r="AD53" s="49">
        <f t="shared" si="72"/>
        <v>0</v>
      </c>
      <c r="AE53" s="49">
        <f t="shared" si="72"/>
        <v>0</v>
      </c>
      <c r="AF53" s="49">
        <f t="shared" si="72"/>
        <v>0</v>
      </c>
      <c r="AG53" s="60">
        <f>IFERROR(AG5/$B53,0)</f>
        <v>5.4857142857142858E-6</v>
      </c>
      <c r="AH53" s="60">
        <f>IFERROR(AH5/$B53,0)</f>
        <v>8.7600000000000004E-3</v>
      </c>
      <c r="AI53" s="60">
        <f t="shared" si="73"/>
        <v>5.4822811546585309E-6</v>
      </c>
      <c r="AJ53" s="71">
        <f>IFERROR(up_RadSpec!$G$5*AJ5,".")*$B$53</f>
        <v>0.91145833333333326</v>
      </c>
      <c r="AK53" s="71">
        <f>IFERROR(up_RadSpec!$J$5*$AK$5,".")*$B$53</f>
        <v>5.7077625570776253E-4</v>
      </c>
      <c r="AL53" s="49">
        <f t="shared" si="74"/>
        <v>0.59806236263633994</v>
      </c>
      <c r="AM53" s="49">
        <f t="shared" si="74"/>
        <v>5.7077625570776253E-4</v>
      </c>
      <c r="AN53" s="49">
        <f t="shared" si="75"/>
        <v>0.59829171363574352</v>
      </c>
      <c r="AO53" s="60">
        <f>IFERROR(AO5/$B53,0)</f>
        <v>1.9999999999999999E-6</v>
      </c>
      <c r="AP53" s="60">
        <f>IFERROR(AP5/$B53,0)</f>
        <v>0</v>
      </c>
      <c r="AQ53" s="60">
        <f>IFERROR(AQ5/$B53,0)</f>
        <v>2.1899999999999999E-2</v>
      </c>
      <c r="AR53" s="60">
        <f>IFERROR(AR5/$B53,0)</f>
        <v>9.0438770323209157E-8</v>
      </c>
      <c r="AS53" s="60">
        <f t="shared" si="76"/>
        <v>8.6525770846000549E-8</v>
      </c>
      <c r="AT53" s="71">
        <f>IFERROR(up_RadSpec!$H$5*AT5,".")*$B$53</f>
        <v>2.5</v>
      </c>
      <c r="AU53" s="71">
        <f>IFERROR(up_RadSpec!$G$5*AU5,".")*$B$53</f>
        <v>0.45572916666666663</v>
      </c>
      <c r="AV53" s="71">
        <f>IFERROR(up_RadSpec!$L$5*AV5,".")*$B$53</f>
        <v>2.2831050228310499E-4</v>
      </c>
      <c r="AW53" s="71">
        <f>up_b2w!AB53</f>
        <v>1382150592.6415877</v>
      </c>
      <c r="AX53" s="49">
        <f t="shared" si="77"/>
        <v>0.91791500137610116</v>
      </c>
      <c r="AY53" s="49">
        <f t="shared" si="78"/>
        <v>0</v>
      </c>
      <c r="AZ53" s="49">
        <f t="shared" si="81"/>
        <v>2.2831050228310499E-4</v>
      </c>
      <c r="BA53" s="49">
        <f t="shared" si="81"/>
        <v>1</v>
      </c>
      <c r="BB53" s="49">
        <f t="shared" si="41"/>
        <v>1</v>
      </c>
      <c r="BC53" s="60">
        <f>IFERROR(BC5/$B53,0)</f>
        <v>3.6363636363636361E-7</v>
      </c>
      <c r="BD53" s="71">
        <f>IFERROR(up_RadSpec!$E$5*BD5,".")*$B$53</f>
        <v>13.75</v>
      </c>
      <c r="BE53" s="49">
        <f t="shared" si="79"/>
        <v>0.99999893229599002</v>
      </c>
    </row>
    <row r="54" spans="1:57" x14ac:dyDescent="0.25">
      <c r="A54" s="48" t="s">
        <v>1092</v>
      </c>
      <c r="B54" s="15">
        <v>0.99999979999999999</v>
      </c>
      <c r="C54" s="60">
        <f>IFERROR(C9/$B54,0)</f>
        <v>3.6363643636365089E-8</v>
      </c>
      <c r="D54" s="60">
        <f>IFERROR(D9/$B54,0)</f>
        <v>3.3989916427847359E-4</v>
      </c>
      <c r="E54" s="60">
        <f>IFERROR(E9/$B54,0)</f>
        <v>1.5890225086615544E-5</v>
      </c>
      <c r="F54" s="60">
        <f>IFERROR(F9/$B54,0)</f>
        <v>3.6265726175690729E-12</v>
      </c>
      <c r="G54" s="60">
        <f>IFERROR(G9/$B54,0)</f>
        <v>1.8181821818182545E-11</v>
      </c>
      <c r="H54" s="60">
        <f>(IF(AND(C54&lt;&gt;0,D54&lt;&gt;0,E54&lt;&gt;0,F54&lt;&gt;0),1/((1/C54)+(1/D54)+(1/E54)+(1/F54)),IF(AND(C54&lt;&gt;0,D54&lt;&gt;0,E54&lt;&gt;0,F54=0), 1/((1/C54)+(1/D54)+(1/E54)),IF(AND(C54&lt;&gt;0,D54&lt;&gt;0,E54=0,F54&lt;&gt;0),1/((1/C54)+(1/D54)+(1/F54)),IF(AND(C54&lt;&gt;0,D54=0,E54&lt;&gt;0,F54&lt;&gt;0),1/((1/C54)+(1/E54)+(1/F54)),IF(AND(C54=0,D54&lt;&gt;0,E54&lt;&gt;0,F54&lt;&gt;0),1/((1/D54)+(1/E54)+(1/F54)),IF(AND(C54&lt;&gt;0,D54&lt;&gt;0,E54=0,F54=0),1/((1/C54)+(1/D54)),IF(AND(C54&lt;&gt;0,D54=0,E54&lt;&gt;0,F54=0),1/((1/C54)+(1/E54)),IF(AND(C54&lt;&gt;0,D54=0,E54=0,F54&lt;&gt;0),1/((1/C54)+(1/F54)),IF(AND(C54=0,D54=0,E54&lt;&gt;0,F54&lt;&gt;0),1/((1/E54)+(1/F54)),IF(AND(C54=0,D54&lt;&gt;0,E54=0,F54&lt;&gt;0),1/((1/D54)+(1/F54)),IF(AND(C54=0,D54&lt;&gt;0,E54&lt;&gt;0,F54=0),1/((1/D54)+(1/E54)),IF(AND(C54&lt;&gt;0,D54=0,E54=0,F54=0),1/((1/C54)),IF(AND(C54=0,D54&lt;&gt;0,E54=0,F54=0),1/((1/D54)),IF(AND(C54=0,D54=0,E54&lt;&gt;0,F54=0),1/((1/E54)),IF(AND(C54=0,D54=0,E54=0,F54&lt;&gt;0),1/((1/F54)),IF(AND(C54=0,D54=0,E54=0,F54=0),0)))))))))))))))))</f>
        <v>3.626210106710961E-12</v>
      </c>
      <c r="I54" s="71">
        <f>IFERROR(up_RadSpec!$D$9*I9,".")*$B$54</f>
        <v>137.49997250000001</v>
      </c>
      <c r="J54" s="71">
        <f>IFERROR(up_RadSpec!$G$9*$J$9,".")*B54</f>
        <v>1.4710245053452338E-2</v>
      </c>
      <c r="K54" s="71">
        <f>IFERROR(up_RadSpec!$F$9*$K$9,".")*B54</f>
        <v>0.31465885302100205</v>
      </c>
      <c r="L54" s="71">
        <f>up_b2s!AB54</f>
        <v>7927598.4605196863</v>
      </c>
      <c r="M54" s="49">
        <f t="shared" si="71"/>
        <v>1</v>
      </c>
      <c r="N54" s="49">
        <f t="shared" si="71"/>
        <v>1.4602577981560616E-2</v>
      </c>
      <c r="O54" s="49">
        <f t="shared" si="71"/>
        <v>0.26996211798947556</v>
      </c>
      <c r="P54" s="49">
        <f t="shared" si="71"/>
        <v>1</v>
      </c>
      <c r="Q54" s="49">
        <f t="shared" si="55"/>
        <v>1</v>
      </c>
      <c r="R54" s="60">
        <f>IFERROR(R9/$B54,0)</f>
        <v>1.5890225086615544E-5</v>
      </c>
      <c r="S54" s="60">
        <f>IFERROR(S9/$B54,0)</f>
        <v>3.2545839842501317E-5</v>
      </c>
      <c r="T54" s="60">
        <f>IFERROR(T9/$B54,0)</f>
        <v>2.2899889783288952E-5</v>
      </c>
      <c r="U54" s="60">
        <f>IFERROR(U9/$B54,0)</f>
        <v>1.8876771452121968E-5</v>
      </c>
      <c r="V54" s="60">
        <f>IFERROR(V9/$B54,0)</f>
        <v>5.764777847309731E-5</v>
      </c>
      <c r="W54" s="71">
        <f>IFERROR(up_RadSpec!$F$9*$W$9,".")*$B$54</f>
        <v>0.31465885302100205</v>
      </c>
      <c r="X54" s="71">
        <f>IFERROR(up_RadSpec!$M$9*$X$9,".")*$B$54</f>
        <v>0.15362946613749831</v>
      </c>
      <c r="Y54" s="71">
        <f>IFERROR(up_RadSpec!$N$9*$Y$9,".")*$B$54</f>
        <v>0.21834166222270282</v>
      </c>
      <c r="Z54" s="71">
        <f>IFERROR(up_RadSpec!$O$9*$Z$9,".")*$B$54</f>
        <v>0.26487580318921228</v>
      </c>
      <c r="AA54" s="71">
        <f>IFERROR(up_RadSpec!$K$9*$AA$9,".")*$B$54</f>
        <v>8.6733611119695922E-2</v>
      </c>
      <c r="AB54" s="49">
        <f t="shared" si="72"/>
        <v>0.26996211798947556</v>
      </c>
      <c r="AC54" s="49">
        <f t="shared" si="72"/>
        <v>0.14241027181838506</v>
      </c>
      <c r="AD54" s="49">
        <f t="shared" si="72"/>
        <v>0.19614925069049927</v>
      </c>
      <c r="AE54" s="49">
        <f t="shared" si="72"/>
        <v>0.23269875957467745</v>
      </c>
      <c r="AF54" s="49">
        <f t="shared" si="72"/>
        <v>8.3078679253758669E-2</v>
      </c>
      <c r="AG54" s="60">
        <f>IFERROR(AG9/$B54,0)</f>
        <v>1.0971430765714725E-9</v>
      </c>
      <c r="AH54" s="60">
        <f>IFERROR(AH9/$B54,0)</f>
        <v>1.7520003504000703E-6</v>
      </c>
      <c r="AI54" s="60">
        <f t="shared" si="73"/>
        <v>1.0964564502229962E-9</v>
      </c>
      <c r="AJ54" s="71">
        <f>IFERROR(up_RadSpec!$G$9*AJ9,".")*$B$54</f>
        <v>4557.2907552083325</v>
      </c>
      <c r="AK54" s="71">
        <f>IFERROR(up_RadSpec!$J$9*$AK$9,".")*$B$54</f>
        <v>2.8538807077625568</v>
      </c>
      <c r="AL54" s="49">
        <f t="shared" si="74"/>
        <v>1</v>
      </c>
      <c r="AM54" s="49">
        <f t="shared" si="74"/>
        <v>0.94237972102845324</v>
      </c>
      <c r="AN54" s="49">
        <f t="shared" si="75"/>
        <v>1</v>
      </c>
      <c r="AO54" s="60">
        <f>IFERROR(AO9/$B54,0)</f>
        <v>4.0000008000001598E-10</v>
      </c>
      <c r="AP54" s="60">
        <f>IFERROR(AP9/$B54,0)</f>
        <v>0</v>
      </c>
      <c r="AQ54" s="60">
        <f>IFERROR(AQ9/$B54,0)</f>
        <v>4.380000876000176E-6</v>
      </c>
      <c r="AR54" s="60">
        <f>IFERROR(AR9/$B54,0)</f>
        <v>1.8087757682193371E-11</v>
      </c>
      <c r="AS54" s="60">
        <f t="shared" si="76"/>
        <v>1.7305157630231641E-11</v>
      </c>
      <c r="AT54" s="71">
        <f>IFERROR(up_RadSpec!$H$9*AT9,".")*$B$54</f>
        <v>12499.997499999999</v>
      </c>
      <c r="AU54" s="71">
        <f>IFERROR(up_RadSpec!$G$9*AU9,".")*$B$54</f>
        <v>2278.6453776041662</v>
      </c>
      <c r="AV54" s="71">
        <f>IFERROR(up_RadSpec!$L$9*AV9,".")*$B$54</f>
        <v>1.1415522831050227</v>
      </c>
      <c r="AW54" s="71">
        <f>up_b2w!AB54</f>
        <v>276430.17381435237</v>
      </c>
      <c r="AX54" s="49">
        <f t="shared" si="77"/>
        <v>1</v>
      </c>
      <c r="AY54" s="49">
        <f t="shared" si="78"/>
        <v>0</v>
      </c>
      <c r="AZ54" s="49">
        <f t="shared" si="81"/>
        <v>0.68067704273200869</v>
      </c>
      <c r="BA54" s="49">
        <f t="shared" si="81"/>
        <v>1</v>
      </c>
      <c r="BB54" s="49">
        <f t="shared" si="41"/>
        <v>1</v>
      </c>
      <c r="BC54" s="60">
        <f>IFERROR(BC9/$B54,0)</f>
        <v>7.272728727273018E-11</v>
      </c>
      <c r="BD54" s="71">
        <f>IFERROR(up_RadSpec!$E$9*BD9,".")*$B$54</f>
        <v>68749.986250000002</v>
      </c>
      <c r="BE54" s="49">
        <f t="shared" si="79"/>
        <v>1</v>
      </c>
    </row>
    <row r="55" spans="1:57" x14ac:dyDescent="0.25">
      <c r="A55" s="48" t="s">
        <v>1093</v>
      </c>
      <c r="B55" s="15">
        <v>1.9999999999999999E-7</v>
      </c>
      <c r="C55" s="60">
        <f>IFERROR(C24/$B55,0)</f>
        <v>0.18181818181818182</v>
      </c>
      <c r="D55" s="60">
        <f>IFERROR(D24/$B55,0)</f>
        <v>1699.4954814932037</v>
      </c>
      <c r="E55" s="60">
        <f>IFERROR(E24/$B55,0)</f>
        <v>140.21138473094058</v>
      </c>
      <c r="F55" s="60">
        <f>IFERROR(F24/$B55,0)</f>
        <v>1.8132859461272745E-5</v>
      </c>
      <c r="G55" s="60">
        <f>IFERROR(G24/$B55,0)</f>
        <v>9.0909090909090904E-5</v>
      </c>
      <c r="H55" s="60">
        <f t="shared" si="80"/>
        <v>1.8131048700352971E-5</v>
      </c>
      <c r="I55" s="71">
        <f>IFERROR(up_RadSpec!$D$24*I24,".")*$B$55</f>
        <v>2.7499999999999998E-5</v>
      </c>
      <c r="J55" s="71">
        <f>IFERROR(up_RadSpec!$G$24*$J$24,".")*B55</f>
        <v>2.9420495991003874E-9</v>
      </c>
      <c r="K55" s="71">
        <f>IFERROR(up_RadSpec!$F$24*$K$24,".")*B55</f>
        <v>3.5660442335654684E-8</v>
      </c>
      <c r="L55" s="71">
        <f>up_b2s!AB55</f>
        <v>39637984375000</v>
      </c>
      <c r="M55" s="49">
        <f t="shared" si="71"/>
        <v>2.7499999999999998E-5</v>
      </c>
      <c r="N55" s="49">
        <f t="shared" si="71"/>
        <v>2.9420495991003874E-9</v>
      </c>
      <c r="O55" s="49">
        <f t="shared" si="71"/>
        <v>3.5660442335654684E-8</v>
      </c>
      <c r="P55" s="49">
        <f t="shared" si="71"/>
        <v>1</v>
      </c>
      <c r="Q55" s="49">
        <f t="shared" si="55"/>
        <v>1</v>
      </c>
      <c r="R55" s="60">
        <f>IFERROR(R24/$B55,0)</f>
        <v>140.21138473094058</v>
      </c>
      <c r="S55" s="60">
        <f>IFERROR(S24/$B55,0)</f>
        <v>254.20533851356214</v>
      </c>
      <c r="T55" s="60">
        <f>IFERROR(T24/$B55,0)</f>
        <v>179.48539523170462</v>
      </c>
      <c r="U55" s="60">
        <f>IFERROR(U24/$B55,0)</f>
        <v>149.88194230571813</v>
      </c>
      <c r="V55" s="60">
        <f>IFERROR(V24/$B55,0)</f>
        <v>422.4908424908424</v>
      </c>
      <c r="W55" s="71">
        <f>IFERROR(up_RadSpec!$F$24*$W$24,".")*$B$55</f>
        <v>3.5660442335654684E-8</v>
      </c>
      <c r="X55" s="71">
        <f>IFERROR(up_RadSpec!$M$24*$X$24,".")*$B$55</f>
        <v>1.966913845805502E-8</v>
      </c>
      <c r="Y55" s="71">
        <f>IFERROR(up_RadSpec!$N$24*$Y$24,".")*$B$55</f>
        <v>2.7857419783628111E-8</v>
      </c>
      <c r="Z55" s="71">
        <f>IFERROR(up_RadSpec!$O$24*$Z$24,".")*$B$55</f>
        <v>3.3359589041095882E-8</v>
      </c>
      <c r="AA55" s="71">
        <f>IFERROR(up_RadSpec!$K$24*$AA$24,".")*$B$55</f>
        <v>1.1834576036067282E-8</v>
      </c>
      <c r="AB55" s="49">
        <f t="shared" si="72"/>
        <v>3.5660442335654684E-8</v>
      </c>
      <c r="AC55" s="49">
        <f t="shared" si="72"/>
        <v>1.966913845805502E-8</v>
      </c>
      <c r="AD55" s="49">
        <f t="shared" si="72"/>
        <v>2.7857419783628111E-8</v>
      </c>
      <c r="AE55" s="49">
        <f t="shared" si="72"/>
        <v>3.3359589041095882E-8</v>
      </c>
      <c r="AF55" s="49">
        <f t="shared" si="72"/>
        <v>1.1834576036067282E-8</v>
      </c>
      <c r="AG55" s="60">
        <f>IFERROR(AG24/$B55,0)</f>
        <v>5.4857142857142865E-3</v>
      </c>
      <c r="AH55" s="60">
        <f>IFERROR(AH24/$B55,0)</f>
        <v>8.7600000000000016</v>
      </c>
      <c r="AI55" s="60">
        <f t="shared" si="73"/>
        <v>5.4822811546585328E-3</v>
      </c>
      <c r="AJ55" s="71">
        <f>IFERROR(up_RadSpec!$G$24*AJ24,".")*$B$55</f>
        <v>9.1145833333333313E-4</v>
      </c>
      <c r="AK55" s="71">
        <f>IFERROR(up_RadSpec!$J$24*$AK$24,".")*$B$55</f>
        <v>5.7077625570776247E-7</v>
      </c>
      <c r="AL55" s="49">
        <f t="shared" si="74"/>
        <v>9.1145833333333313E-4</v>
      </c>
      <c r="AM55" s="49">
        <f t="shared" si="74"/>
        <v>5.7077625570776247E-7</v>
      </c>
      <c r="AN55" s="49">
        <f t="shared" si="75"/>
        <v>9.1202910958904093E-4</v>
      </c>
      <c r="AO55" s="60">
        <f>IFERROR(AO24/$B55,0)</f>
        <v>2E-3</v>
      </c>
      <c r="AP55" s="60">
        <f>IFERROR(AP24/$B55,0)</f>
        <v>0</v>
      </c>
      <c r="AQ55" s="60">
        <f>IFERROR(AQ24/$B55,0)</f>
        <v>21.900000000000002</v>
      </c>
      <c r="AR55" s="60">
        <f>IFERROR(AR24/$B55,0)</f>
        <v>9.0438770323209169E-5</v>
      </c>
      <c r="AS55" s="60">
        <f t="shared" si="76"/>
        <v>8.6525770846000572E-5</v>
      </c>
      <c r="AT55" s="71">
        <f>IFERROR(up_RadSpec!$H$24*AT24,".")*$B$55</f>
        <v>2.5000000000000001E-3</v>
      </c>
      <c r="AU55" s="71">
        <f>IFERROR(up_RadSpec!$G$24*AU24,".")*$B$55</f>
        <v>4.5572916666666657E-4</v>
      </c>
      <c r="AV55" s="71">
        <f>IFERROR(up_RadSpec!$L$24*AV24,".")*$B$55</f>
        <v>2.2831050228310497E-7</v>
      </c>
      <c r="AW55" s="71">
        <f>up_b2w!AB55</f>
        <v>1382150592641.5879</v>
      </c>
      <c r="AX55" s="49">
        <f t="shared" si="77"/>
        <v>2.5000000000000001E-3</v>
      </c>
      <c r="AY55" s="49">
        <f t="shared" si="78"/>
        <v>0</v>
      </c>
      <c r="AZ55" s="49">
        <f t="shared" si="81"/>
        <v>2.2831050228310497E-7</v>
      </c>
      <c r="BA55" s="49">
        <f t="shared" si="81"/>
        <v>1</v>
      </c>
      <c r="BB55" s="49">
        <f t="shared" si="41"/>
        <v>1</v>
      </c>
      <c r="BC55" s="60">
        <f>IFERROR(BC24/$B55,0)</f>
        <v>3.6363636363636361E-4</v>
      </c>
      <c r="BD55" s="71">
        <f>IFERROR(up_RadSpec!$E$24*BD24,".")*$B$55</f>
        <v>1.375E-2</v>
      </c>
      <c r="BE55" s="49">
        <f t="shared" si="79"/>
        <v>1.3655900532955956E-2</v>
      </c>
    </row>
    <row r="56" spans="1:57" x14ac:dyDescent="0.25">
      <c r="A56" s="48" t="s">
        <v>1094</v>
      </c>
      <c r="B56" s="15">
        <v>0.99979000004200003</v>
      </c>
      <c r="C56" s="60">
        <f>IFERROR(C20/$B56,0)</f>
        <v>3.6371274329718007E-8</v>
      </c>
      <c r="D56" s="60">
        <f>IFERROR(D20/$B56,0)</f>
        <v>3.3997049008728026E-4</v>
      </c>
      <c r="E56" s="60">
        <f>IFERROR(E20/$B56,0)</f>
        <v>2.1967586925005828E-5</v>
      </c>
      <c r="F56" s="60">
        <f>IFERROR(F20/$B56,0)</f>
        <v>3.6273336321649558E-12</v>
      </c>
      <c r="G56" s="60">
        <f>IFERROR(G20/$B56,0)</f>
        <v>1.8185637164859005E-11</v>
      </c>
      <c r="H56" s="60">
        <f t="shared" si="80"/>
        <v>3.6269712740916428E-12</v>
      </c>
      <c r="I56" s="71">
        <f>IFERROR(up_RadSpec!$D$20*I20,".")*$B$56</f>
        <v>137.47112500577501</v>
      </c>
      <c r="J56" s="71">
        <f>IFERROR(up_RadSpec!$G$20*$J$20,".")*B56</f>
        <v>1.4707158844040712E-2</v>
      </c>
      <c r="K56" s="71">
        <f>IFERROR(up_RadSpec!$F$20*$K$20,".")*B56</f>
        <v>0.2276080671522675</v>
      </c>
      <c r="L56" s="71">
        <f>up_b2s!AB56</f>
        <v>7929262.0196911097</v>
      </c>
      <c r="M56" s="49">
        <f t="shared" si="71"/>
        <v>1</v>
      </c>
      <c r="N56" s="49">
        <f t="shared" si="71"/>
        <v>1.4599536834069782E-2</v>
      </c>
      <c r="O56" s="49">
        <f t="shared" si="71"/>
        <v>0.2035636517613868</v>
      </c>
      <c r="P56" s="49">
        <f t="shared" si="71"/>
        <v>1</v>
      </c>
      <c r="Q56" s="49">
        <f t="shared" si="55"/>
        <v>1</v>
      </c>
      <c r="R56" s="60">
        <f>IFERROR(R20/$B56,0)</f>
        <v>2.1967586925005828E-5</v>
      </c>
      <c r="S56" s="60">
        <f>IFERROR(S20/$B56,0)</f>
        <v>4.3322161960281317E-5</v>
      </c>
      <c r="T56" s="60">
        <f>IFERROR(T20/$B56,0)</f>
        <v>3.0311615743283314E-5</v>
      </c>
      <c r="U56" s="60">
        <f>IFERROR(U20/$B56,0)</f>
        <v>2.5451968005894182E-5</v>
      </c>
      <c r="V56" s="60">
        <f>IFERROR(V20/$B56,0)</f>
        <v>7.3819305854932953E-5</v>
      </c>
      <c r="W56" s="71">
        <f>IFERROR(up_RadSpec!$F$20*$W$20,".")*$B$56</f>
        <v>0.2276080671522675</v>
      </c>
      <c r="X56" s="71">
        <f>IFERROR(up_RadSpec!$M$20*$X$20,".")*$B$56</f>
        <v>0.1154143693148118</v>
      </c>
      <c r="Y56" s="71">
        <f>IFERROR(up_RadSpec!$N$20*$Y$20,".")*$B$56</f>
        <v>0.16495326551861356</v>
      </c>
      <c r="Z56" s="71">
        <f>IFERROR(up_RadSpec!$O$20*$Z$20,".")*$B$56</f>
        <v>0.19644846319318399</v>
      </c>
      <c r="AA56" s="71">
        <f>IFERROR(up_RadSpec!$K$20*$AA$20,".")*$B$56</f>
        <v>6.7732958771324944E-2</v>
      </c>
      <c r="AB56" s="49">
        <f t="shared" si="72"/>
        <v>0.2035636517613868</v>
      </c>
      <c r="AC56" s="49">
        <f t="shared" si="72"/>
        <v>0.10900313435739128</v>
      </c>
      <c r="AD56" s="49">
        <f t="shared" si="72"/>
        <v>0.15206666911359101</v>
      </c>
      <c r="AE56" s="49">
        <f t="shared" si="72"/>
        <v>0.17835632490453279</v>
      </c>
      <c r="AF56" s="49">
        <f t="shared" si="72"/>
        <v>6.5490007043521814E-2</v>
      </c>
      <c r="AG56" s="60">
        <f>IFERROR(AG20/$B56,0)</f>
        <v>1.0973733054909206E-9</v>
      </c>
      <c r="AH56" s="60">
        <f>IFERROR(AH20/$B56,0)</f>
        <v>1.7523679972058138E-6</v>
      </c>
      <c r="AI56" s="60">
        <f t="shared" si="73"/>
        <v>1.0966865350580075E-9</v>
      </c>
      <c r="AJ56" s="71">
        <f>IFERROR(up_RadSpec!$G$20*AJ20,".")*$B$56</f>
        <v>4556.3346356080729</v>
      </c>
      <c r="AK56" s="71">
        <f>IFERROR(up_RadSpec!$J$20*$AK$20,".")*$B$56</f>
        <v>2.8532819635901823</v>
      </c>
      <c r="AL56" s="49">
        <f t="shared" si="74"/>
        <v>1</v>
      </c>
      <c r="AM56" s="49">
        <f t="shared" si="74"/>
        <v>0.94234521089186785</v>
      </c>
      <c r="AN56" s="49">
        <f t="shared" si="75"/>
        <v>1</v>
      </c>
      <c r="AO56" s="60">
        <f>IFERROR(AO20/$B56,0)</f>
        <v>4.0008401762689807E-10</v>
      </c>
      <c r="AP56" s="60">
        <f>IFERROR(AP20/$B56,0)</f>
        <v>0</v>
      </c>
      <c r="AQ56" s="60">
        <f>IFERROR(AQ20/$B56,0)</f>
        <v>4.3809199930145349E-6</v>
      </c>
      <c r="AR56" s="60">
        <f>IFERROR(AR20/$B56,0)</f>
        <v>1.8091553290072903E-11</v>
      </c>
      <c r="AS56" s="60">
        <f t="shared" si="76"/>
        <v>1.7308789014166119E-11</v>
      </c>
      <c r="AT56" s="71">
        <f>IFERROR(up_RadSpec!$H$20*AT20,".")*$B$56</f>
        <v>12497.375000525</v>
      </c>
      <c r="AU56" s="71">
        <f>IFERROR(up_RadSpec!$G$20*AU20,".")*$B$56</f>
        <v>2278.1673178040364</v>
      </c>
      <c r="AV56" s="71">
        <f>IFERROR(up_RadSpec!$L$20*AV20,".")*$B$56</f>
        <v>1.141312785436073</v>
      </c>
      <c r="AW56" s="71">
        <f>up_b2w!AB56</f>
        <v>276488.18103472237</v>
      </c>
      <c r="AX56" s="49">
        <f t="shared" si="77"/>
        <v>1</v>
      </c>
      <c r="AY56" s="49">
        <f t="shared" si="78"/>
        <v>0</v>
      </c>
      <c r="AZ56" s="49">
        <f t="shared" si="81"/>
        <v>0.68060055646932571</v>
      </c>
      <c r="BA56" s="49">
        <f t="shared" si="81"/>
        <v>1</v>
      </c>
      <c r="BB56" s="49">
        <f t="shared" si="41"/>
        <v>1</v>
      </c>
      <c r="BC56" s="60">
        <f>IFERROR(BC20/$B56,0)</f>
        <v>7.2742548659436019E-11</v>
      </c>
      <c r="BD56" s="71">
        <f>IFERROR(up_RadSpec!$E$20*BD20,".")*$B$56</f>
        <v>68735.562502887507</v>
      </c>
      <c r="BE56" s="49">
        <f t="shared" si="79"/>
        <v>1</v>
      </c>
    </row>
    <row r="57" spans="1:57" x14ac:dyDescent="0.25">
      <c r="A57" s="48" t="s">
        <v>1095</v>
      </c>
      <c r="B57" s="15">
        <v>2.0999995799999999E-4</v>
      </c>
      <c r="C57" s="60">
        <f>IFERROR(C29/$B57,0)</f>
        <v>1.7316020779221473E-4</v>
      </c>
      <c r="D57" s="60">
        <f>IFERROR(D29/$B57,0)</f>
        <v>1.6185674489451123</v>
      </c>
      <c r="E57" s="60">
        <f>IFERROR(E29/$B57,0)</f>
        <v>8.231418074421358E-2</v>
      </c>
      <c r="F57" s="60">
        <f>IFERROR(F29/$B57,0)</f>
        <v>1.7269393416995584E-8</v>
      </c>
      <c r="G57" s="60">
        <f>IFERROR(G29/$B57,0)</f>
        <v>8.6580103896107364E-8</v>
      </c>
      <c r="H57" s="60">
        <f t="shared" si="80"/>
        <v>1.7267667492992848E-8</v>
      </c>
      <c r="I57" s="71">
        <f>IFERROR(up_RadSpec!$D$29*I29,".")*$B$57</f>
        <v>2.8874994224999999E-2</v>
      </c>
      <c r="J57" s="71">
        <f>IFERROR(up_RadSpec!$G$29*$J$29,".")*B57</f>
        <v>3.0891514612249906E-6</v>
      </c>
      <c r="K57" s="71">
        <f>IFERROR(up_RadSpec!$F$29*$K$29,".")*B57</f>
        <v>6.0742875101159081E-5</v>
      </c>
      <c r="L57" s="71">
        <f>up_b2s!AB57</f>
        <v>37750468859.617577</v>
      </c>
      <c r="M57" s="49">
        <f t="shared" si="71"/>
        <v>2.8462095275198163E-2</v>
      </c>
      <c r="N57" s="49">
        <f t="shared" si="71"/>
        <v>3.0891514612249906E-6</v>
      </c>
      <c r="O57" s="49">
        <f t="shared" si="71"/>
        <v>6.0742875101159081E-5</v>
      </c>
      <c r="P57" s="49">
        <f t="shared" si="71"/>
        <v>1</v>
      </c>
      <c r="Q57" s="49">
        <f t="shared" si="55"/>
        <v>1</v>
      </c>
      <c r="R57" s="60">
        <f>IFERROR(R29/$B57,0)</f>
        <v>8.231418074421358E-2</v>
      </c>
      <c r="S57" s="60">
        <f>IFERROR(S29/$B57,0)</f>
        <v>0.16425511500084192</v>
      </c>
      <c r="T57" s="60">
        <f>IFERROR(T29/$B57,0)</f>
        <v>0.11701464534365938</v>
      </c>
      <c r="U57" s="60">
        <f>IFERROR(U29/$B57,0)</f>
        <v>9.9258627910333561E-2</v>
      </c>
      <c r="V57" s="60">
        <f>IFERROR(V29/$B57,0)</f>
        <v>0.29494955393940581</v>
      </c>
      <c r="W57" s="71">
        <f>IFERROR(up_RadSpec!$F$29*$W$29,".")*$B$57</f>
        <v>6.0742875101159081E-5</v>
      </c>
      <c r="X57" s="71">
        <f>IFERROR(up_RadSpec!$M$29*$X$29,".")*$B$57</f>
        <v>3.0440452341312908E-5</v>
      </c>
      <c r="Y57" s="71">
        <f>IFERROR(up_RadSpec!$N$29*$Y$29,".")*$B$57</f>
        <v>4.272969409355162E-5</v>
      </c>
      <c r="Z57" s="71">
        <f>IFERROR(up_RadSpec!$O$29*$Z$29,".")*$B$57</f>
        <v>5.0373454733998619E-5</v>
      </c>
      <c r="AA57" s="71">
        <f>IFERROR(up_RadSpec!$K$29*$AA$29,".")*$B$57</f>
        <v>1.6952051404109583E-5</v>
      </c>
      <c r="AB57" s="49">
        <f t="shared" si="72"/>
        <v>6.0742875101159081E-5</v>
      </c>
      <c r="AC57" s="49">
        <f t="shared" si="72"/>
        <v>3.0440452341312908E-5</v>
      </c>
      <c r="AD57" s="49">
        <f t="shared" si="72"/>
        <v>4.272969409355162E-5</v>
      </c>
      <c r="AE57" s="49">
        <f t="shared" si="72"/>
        <v>5.0373454733998619E-5</v>
      </c>
      <c r="AF57" s="49">
        <f t="shared" si="72"/>
        <v>1.6952051404109583E-5</v>
      </c>
      <c r="AG57" s="60">
        <f>IFERROR(AG29/$B57,0)</f>
        <v>5.2244908408165367E-6</v>
      </c>
      <c r="AH57" s="60">
        <f>IFERROR(AH29/$B57,0)</f>
        <v>8.3428588114289066E-3</v>
      </c>
      <c r="AI57" s="60">
        <f t="shared" si="73"/>
        <v>5.2212211915380781E-6</v>
      </c>
      <c r="AJ57" s="71">
        <f>IFERROR(up_RadSpec!$G$29*AJ29,".")*$B$57</f>
        <v>0.95703105859374982</v>
      </c>
      <c r="AK57" s="71">
        <f>IFERROR(up_RadSpec!$J$29*$AK$29,".")*$B$57</f>
        <v>5.9931494863013689E-4</v>
      </c>
      <c r="AL57" s="49">
        <f t="shared" si="74"/>
        <v>0.61596863828394266</v>
      </c>
      <c r="AM57" s="49">
        <f t="shared" si="74"/>
        <v>5.9931494863013689E-4</v>
      </c>
      <c r="AN57" s="49">
        <f t="shared" si="75"/>
        <v>0.6161987250656511</v>
      </c>
      <c r="AO57" s="60">
        <f>IFERROR(AO29/$B57,0)</f>
        <v>1.9047622857143618E-6</v>
      </c>
      <c r="AP57" s="60">
        <f>IFERROR(AP29/$B57,0)</f>
        <v>0</v>
      </c>
      <c r="AQ57" s="60">
        <f>IFERROR(AQ29/$B57,0)</f>
        <v>2.0857147028572266E-2</v>
      </c>
      <c r="AR57" s="60">
        <f>IFERROR(AR29/$B57,0)</f>
        <v>8.6132179439016046E-8</v>
      </c>
      <c r="AS57" s="60">
        <f t="shared" si="76"/>
        <v>8.2405512524912558E-8</v>
      </c>
      <c r="AT57" s="71">
        <f>IFERROR(up_RadSpec!$H$29*AT29,".")*$B$57</f>
        <v>2.6249994749999996</v>
      </c>
      <c r="AU57" s="71">
        <f>IFERROR(up_RadSpec!$G$29*AU29,".")*$B$57</f>
        <v>0.47851552929687491</v>
      </c>
      <c r="AV57" s="71">
        <f>IFERROR(up_RadSpec!$L$29*AV29,".")*$B$57</f>
        <v>2.3972597945205474E-4</v>
      </c>
      <c r="AW57" s="71">
        <f>up_b2w!AB57</f>
        <v>1316334161.0207255</v>
      </c>
      <c r="AX57" s="49">
        <f t="shared" si="77"/>
        <v>0.92756020493486613</v>
      </c>
      <c r="AY57" s="49">
        <f t="shared" si="78"/>
        <v>0</v>
      </c>
      <c r="AZ57" s="49">
        <f t="shared" si="81"/>
        <v>2.3972597945205474E-4</v>
      </c>
      <c r="BA57" s="49">
        <f t="shared" si="81"/>
        <v>1</v>
      </c>
      <c r="BB57" s="49">
        <f t="shared" si="41"/>
        <v>1</v>
      </c>
      <c r="BC57" s="60">
        <f>IFERROR(BC29/$B57,0)</f>
        <v>3.4632041558442946E-7</v>
      </c>
      <c r="BD57" s="71">
        <f>IFERROR(up_RadSpec!$E$29*BD29,".")*$B$57</f>
        <v>14.437497112499999</v>
      </c>
      <c r="BE57" s="49">
        <f t="shared" si="79"/>
        <v>0.99999946312315757</v>
      </c>
    </row>
    <row r="58" spans="1:57" x14ac:dyDescent="0.25">
      <c r="A58" s="48" t="s">
        <v>1096</v>
      </c>
      <c r="B58" s="15">
        <v>1</v>
      </c>
      <c r="C58" s="60">
        <f>IFERROR(C16/$B58,0)</f>
        <v>3.6363636363636363E-8</v>
      </c>
      <c r="D58" s="60">
        <f>IFERROR(D16/$B58,0)</f>
        <v>3.3989909629864073E-4</v>
      </c>
      <c r="E58" s="60">
        <f>IFERROR(E16/$B58,0)</f>
        <v>0.46746712407089791</v>
      </c>
      <c r="F58" s="60">
        <f>IFERROR(F16/$B58,0)</f>
        <v>3.6265718922545492E-12</v>
      </c>
      <c r="G58" s="60">
        <f>IFERROR(G16/$B58,0)</f>
        <v>1.8181818181818181E-11</v>
      </c>
      <c r="H58" s="60">
        <f t="shared" si="80"/>
        <v>3.626210208955842E-12</v>
      </c>
      <c r="I58" s="71">
        <f>IFERROR(up_RadSpec!$D$16*I16,".")*$B$58</f>
        <v>137.5</v>
      </c>
      <c r="J58" s="71">
        <f>IFERROR(up_RadSpec!$G$16*$J$16,".")*B58</f>
        <v>1.4710247995501937E-2</v>
      </c>
      <c r="K58" s="71">
        <f>IFERROR(up_RadSpec!$F$16*$K$16,".")*B58</f>
        <v>1.0695939334637959E-5</v>
      </c>
      <c r="L58" s="71">
        <f>up_b2s!AB58</f>
        <v>7927596.875</v>
      </c>
      <c r="M58" s="49">
        <f t="shared" si="71"/>
        <v>1</v>
      </c>
      <c r="N58" s="49">
        <f t="shared" si="71"/>
        <v>1.4602580880648697E-2</v>
      </c>
      <c r="O58" s="49">
        <f t="shared" si="71"/>
        <v>1.0695939334637959E-5</v>
      </c>
      <c r="P58" s="49">
        <f t="shared" si="71"/>
        <v>1</v>
      </c>
      <c r="Q58" s="49">
        <f t="shared" si="55"/>
        <v>1</v>
      </c>
      <c r="R58" s="60">
        <f>IFERROR(R16/$B58,0)</f>
        <v>0.46746712407089791</v>
      </c>
      <c r="S58" s="60">
        <f>IFERROR(S16/$B58,0)</f>
        <v>0.83254290876242143</v>
      </c>
      <c r="T58" s="60">
        <f>IFERROR(T16/$B58,0)</f>
        <v>0.50014177010097527</v>
      </c>
      <c r="U58" s="60">
        <f>IFERROR(U16/$B58,0)</f>
        <v>0.50272596843615536</v>
      </c>
      <c r="V58" s="60">
        <f>IFERROR(V16/$B58,0)</f>
        <v>19.466666666666669</v>
      </c>
      <c r="W58" s="71">
        <f>IFERROR(up_RadSpec!$F$16*$W$16,".")*$B$58</f>
        <v>1.0695939334637959E-5</v>
      </c>
      <c r="X58" s="71">
        <f>IFERROR(up_RadSpec!$M$16*$X$16,".")*$B$58</f>
        <v>6.0056964600569615E-6</v>
      </c>
      <c r="Y58" s="71">
        <f>IFERROR(up_RadSpec!$N$16*$Y$16,".")*$B$58</f>
        <v>9.9971654017030686E-6</v>
      </c>
      <c r="Z58" s="71">
        <f>IFERROR(up_RadSpec!$O$16*$Z$16,".")*$B$58</f>
        <v>9.9457762557077541E-6</v>
      </c>
      <c r="AA58" s="71">
        <f>IFERROR(up_RadSpec!$K$16*$AA$16,".")*$B$58</f>
        <v>2.5684931506849313E-7</v>
      </c>
      <c r="AB58" s="49">
        <f t="shared" si="72"/>
        <v>1.0695939334637959E-5</v>
      </c>
      <c r="AC58" s="49">
        <f t="shared" si="72"/>
        <v>6.0056964600569615E-6</v>
      </c>
      <c r="AD58" s="49">
        <f t="shared" si="72"/>
        <v>9.9971654017030686E-6</v>
      </c>
      <c r="AE58" s="49">
        <f t="shared" si="72"/>
        <v>9.9457762557077541E-6</v>
      </c>
      <c r="AF58" s="49">
        <f t="shared" si="72"/>
        <v>2.5684931506849313E-7</v>
      </c>
      <c r="AG58" s="60">
        <f>IFERROR(AG16/$B58,0)</f>
        <v>1.0971428571428573E-9</v>
      </c>
      <c r="AH58" s="60">
        <f>IFERROR(AH16/$B58,0)</f>
        <v>1.7520000000000001E-6</v>
      </c>
      <c r="AI58" s="60">
        <f t="shared" si="73"/>
        <v>1.0964562309317064E-9</v>
      </c>
      <c r="AJ58" s="71">
        <f>IFERROR(up_RadSpec!$G$16*AJ16,".")*$B$58</f>
        <v>4557.2916666666661</v>
      </c>
      <c r="AK58" s="71">
        <f>IFERROR(up_RadSpec!$J$16*$AK$16,".")*$B$58</f>
        <v>2.8538812785388123</v>
      </c>
      <c r="AL58" s="49">
        <f t="shared" si="74"/>
        <v>1</v>
      </c>
      <c r="AM58" s="49">
        <f t="shared" si="74"/>
        <v>0.9423797539167309</v>
      </c>
      <c r="AN58" s="49">
        <f t="shared" si="75"/>
        <v>1</v>
      </c>
      <c r="AO58" s="60">
        <f>IFERROR(AO16/$B58,0)</f>
        <v>3.9999999999999996E-10</v>
      </c>
      <c r="AP58" s="60">
        <f>IFERROR(AP16/$B58,0)</f>
        <v>0</v>
      </c>
      <c r="AQ58" s="60">
        <f>IFERROR(AQ16/$B58,0)</f>
        <v>4.3800000000000004E-6</v>
      </c>
      <c r="AR58" s="60">
        <f>IFERROR(AR16/$B58,0)</f>
        <v>1.8087754064641833E-11</v>
      </c>
      <c r="AS58" s="60">
        <f t="shared" si="76"/>
        <v>1.7305154169200115E-11</v>
      </c>
      <c r="AT58" s="71">
        <f>IFERROR(up_RadSpec!$H$16*AT16,".")*$B$58</f>
        <v>12500</v>
      </c>
      <c r="AU58" s="71">
        <f>IFERROR(up_RadSpec!$G$16*AU16,".")*$B$58</f>
        <v>2278.645833333333</v>
      </c>
      <c r="AV58" s="71">
        <f>IFERROR(up_RadSpec!$L$16*AV16,".")*$B$58</f>
        <v>1.1415525114155249</v>
      </c>
      <c r="AW58" s="71">
        <f>up_b2w!AB58</f>
        <v>276430.1185283176</v>
      </c>
      <c r="AX58" s="49">
        <f t="shared" si="77"/>
        <v>1</v>
      </c>
      <c r="AY58" s="49">
        <f t="shared" si="78"/>
        <v>0</v>
      </c>
      <c r="AZ58" s="49">
        <f t="shared" si="81"/>
        <v>0.68067711563678512</v>
      </c>
      <c r="BA58" s="49">
        <f t="shared" si="81"/>
        <v>1</v>
      </c>
      <c r="BB58" s="49">
        <f t="shared" si="41"/>
        <v>1</v>
      </c>
      <c r="BC58" s="60">
        <f>IFERROR(BC16/$B58,0)</f>
        <v>7.2727272727272723E-11</v>
      </c>
      <c r="BD58" s="71">
        <f>IFERROR(up_RadSpec!$E$16*BD16,".")*$B$58</f>
        <v>68750</v>
      </c>
      <c r="BE58" s="49">
        <f t="shared" si="79"/>
        <v>1</v>
      </c>
    </row>
    <row r="59" spans="1:57" x14ac:dyDescent="0.25">
      <c r="A59" s="48" t="s">
        <v>1097</v>
      </c>
      <c r="B59" s="15">
        <v>1</v>
      </c>
      <c r="C59" s="60">
        <f>IFERROR(C7/$B59,0)</f>
        <v>3.6363636363636363E-8</v>
      </c>
      <c r="D59" s="60">
        <f>IFERROR(D7/$B59,0)</f>
        <v>3.3989909629864073E-4</v>
      </c>
      <c r="E59" s="60">
        <f>IFERROR(E7/$B59,0)</f>
        <v>5.6126520681265191E-5</v>
      </c>
      <c r="F59" s="60">
        <f>IFERROR(F7/$B59,0)</f>
        <v>3.6265718922545492E-12</v>
      </c>
      <c r="G59" s="60">
        <f>IFERROR(G7/$B59,0)</f>
        <v>1.8181818181818181E-11</v>
      </c>
      <c r="H59" s="60">
        <f t="shared" si="80"/>
        <v>3.626209974702575E-12</v>
      </c>
      <c r="I59" s="71">
        <f>IFERROR(up_RadSpec!$D$7*I7,".")*$B$59</f>
        <v>137.5</v>
      </c>
      <c r="J59" s="71">
        <f>IFERROR(up_RadSpec!$G$7*$J$7,".")*B59</f>
        <v>1.4710247995501937E-2</v>
      </c>
      <c r="K59" s="71">
        <f>IFERROR(up_RadSpec!$F$7*$K$7,".")*B59</f>
        <v>8.9084445985781191E-2</v>
      </c>
      <c r="L59" s="71">
        <f>up_b2s!AB59</f>
        <v>7927596.875</v>
      </c>
      <c r="M59" s="49">
        <f t="shared" si="71"/>
        <v>1</v>
      </c>
      <c r="N59" s="49">
        <f t="shared" si="71"/>
        <v>1.4602580880648697E-2</v>
      </c>
      <c r="O59" s="49">
        <f t="shared" si="71"/>
        <v>8.5231678199998995E-2</v>
      </c>
      <c r="P59" s="49">
        <f t="shared" si="71"/>
        <v>1</v>
      </c>
      <c r="Q59" s="49">
        <f t="shared" si="55"/>
        <v>1</v>
      </c>
      <c r="R59" s="60">
        <f>IFERROR(R7/$B59,0)</f>
        <v>5.6126520681265191E-5</v>
      </c>
      <c r="S59" s="60">
        <f>IFERROR(S7/$B59,0)</f>
        <v>8.9290382819794643E-5</v>
      </c>
      <c r="T59" s="60">
        <f>IFERROR(T7/$B59,0)</f>
        <v>6.541666666666668E-5</v>
      </c>
      <c r="U59" s="60">
        <f>IFERROR(U7/$B59,0)</f>
        <v>6.0176942025465759E-5</v>
      </c>
      <c r="V59" s="60">
        <f>IFERROR(V7/$B59,0)</f>
        <v>1.5280366692131396E-4</v>
      </c>
      <c r="W59" s="71">
        <f>IFERROR(up_RadSpec!$F$7*$W$7,".")*$B$59</f>
        <v>8.9084445985781191E-2</v>
      </c>
      <c r="X59" s="71">
        <f>IFERROR(up_RadSpec!$M$7*$X$7,".")*$B$59</f>
        <v>5.5997072048520301E-2</v>
      </c>
      <c r="Y59" s="71">
        <f>IFERROR(up_RadSpec!$N$7*$Y$7,".")*$B$59</f>
        <v>7.6433121019108263E-2</v>
      </c>
      <c r="Z59" s="71">
        <f>IFERROR(up_RadSpec!$O$7*$Z$7,".")*$B$59</f>
        <v>8.3088303122549723E-2</v>
      </c>
      <c r="AA59" s="71">
        <f>IFERROR(up_RadSpec!$K$7*$AA$7,".")*$B$59</f>
        <v>3.2721727827217287E-2</v>
      </c>
      <c r="AB59" s="49">
        <f t="shared" si="72"/>
        <v>8.5231678199998995E-2</v>
      </c>
      <c r="AC59" s="49">
        <f t="shared" si="72"/>
        <v>5.4458095612838653E-2</v>
      </c>
      <c r="AD59" s="49">
        <f t="shared" si="72"/>
        <v>7.3585130100583207E-2</v>
      </c>
      <c r="AE59" s="49">
        <f t="shared" si="72"/>
        <v>7.9730119071930616E-2</v>
      </c>
      <c r="AF59" s="49">
        <f t="shared" si="72"/>
        <v>3.2192163889396386E-2</v>
      </c>
      <c r="AG59" s="60">
        <f>IFERROR(AG7/$B59,0)</f>
        <v>1.0971428571428573E-9</v>
      </c>
      <c r="AH59" s="60">
        <f>IFERROR(AH7/$B59,0)</f>
        <v>1.7520000000000001E-6</v>
      </c>
      <c r="AI59" s="60">
        <f t="shared" si="73"/>
        <v>1.0964562309317064E-9</v>
      </c>
      <c r="AJ59" s="71">
        <f>IFERROR(up_RadSpec!$G$7*AJ7,".")*$B$59</f>
        <v>4557.2916666666661</v>
      </c>
      <c r="AK59" s="71">
        <f>IFERROR(up_RadSpec!$J$7*$AK$7,".")*$B$59</f>
        <v>2.8538812785388123</v>
      </c>
      <c r="AL59" s="49">
        <f t="shared" si="74"/>
        <v>1</v>
      </c>
      <c r="AM59" s="49">
        <f t="shared" si="74"/>
        <v>0.9423797539167309</v>
      </c>
      <c r="AN59" s="49">
        <f t="shared" si="75"/>
        <v>1</v>
      </c>
      <c r="AO59" s="60">
        <f>IFERROR(AO7/$B59,0)</f>
        <v>3.9999999999999996E-10</v>
      </c>
      <c r="AP59" s="60">
        <f>IFERROR(AP7/$B59,0)</f>
        <v>0</v>
      </c>
      <c r="AQ59" s="60">
        <f>IFERROR(AQ7/$B59,0)</f>
        <v>4.3800000000000004E-6</v>
      </c>
      <c r="AR59" s="60">
        <f>IFERROR(AR7/$B59,0)</f>
        <v>1.8087754064641833E-11</v>
      </c>
      <c r="AS59" s="60">
        <f t="shared" si="76"/>
        <v>1.7305154169200115E-11</v>
      </c>
      <c r="AT59" s="71">
        <f>IFERROR(up_RadSpec!$H$7*AT7,".")*$B$59</f>
        <v>12500</v>
      </c>
      <c r="AU59" s="71">
        <f>IFERROR(up_RadSpec!$G$7*AU7,".")*$B$59</f>
        <v>2278.645833333333</v>
      </c>
      <c r="AV59" s="71">
        <f>IFERROR(up_RadSpec!$L$7*AV7,".")*$B$59</f>
        <v>1.1415525114155249</v>
      </c>
      <c r="AW59" s="71">
        <f>up_b2w!AB59</f>
        <v>276430.1185283176</v>
      </c>
      <c r="AX59" s="49">
        <f t="shared" si="77"/>
        <v>1</v>
      </c>
      <c r="AY59" s="49">
        <f t="shared" si="78"/>
        <v>0</v>
      </c>
      <c r="AZ59" s="49">
        <f t="shared" si="81"/>
        <v>0.68067711563678512</v>
      </c>
      <c r="BA59" s="49">
        <f t="shared" si="81"/>
        <v>1</v>
      </c>
      <c r="BB59" s="49">
        <f t="shared" si="41"/>
        <v>1</v>
      </c>
      <c r="BC59" s="60">
        <f>IFERROR(BC7/$B59,0)</f>
        <v>7.2727272727272723E-11</v>
      </c>
      <c r="BD59" s="71">
        <f>IFERROR(up_RadSpec!$E$7*BD7,".")*$B$59</f>
        <v>68750</v>
      </c>
      <c r="BE59" s="49">
        <f t="shared" si="79"/>
        <v>1</v>
      </c>
    </row>
    <row r="60" spans="1:57" x14ac:dyDescent="0.25">
      <c r="A60" s="48" t="s">
        <v>1098</v>
      </c>
      <c r="B60" s="15">
        <v>1.9000000000000001E-8</v>
      </c>
      <c r="C60" s="60">
        <f>IFERROR(C12/$B60,0)</f>
        <v>1.9138755980861242</v>
      </c>
      <c r="D60" s="60">
        <f>IFERROR(D12/$B60,0)</f>
        <v>17889.42612098109</v>
      </c>
      <c r="E60" s="60">
        <f>IFERROR(E12/$B60,0)</f>
        <v>2292.6977821913265</v>
      </c>
      <c r="F60" s="60">
        <f>IFERROR(F12/$B60,0)</f>
        <v>1.9087220485550257E-4</v>
      </c>
      <c r="G60" s="60">
        <f>IFERROR(G12/$B60,0)</f>
        <v>9.5693779904306212E-4</v>
      </c>
      <c r="H60" s="60">
        <f t="shared" si="80"/>
        <v>1.9085315300652712E-4</v>
      </c>
      <c r="I60" s="71">
        <f>IFERROR(up_RadSpec!$D$12*I12,".")*$B$60</f>
        <v>2.6125000000000004E-6</v>
      </c>
      <c r="J60" s="71">
        <f>IFERROR(up_RadSpec!$G$12*$J$12,".")*B60</f>
        <v>2.794947119145368E-10</v>
      </c>
      <c r="K60" s="71">
        <f>IFERROR(up_RadSpec!$F$12*$K$12,".")*B60</f>
        <v>2.1808369331700897E-9</v>
      </c>
      <c r="L60" s="71">
        <f>up_b2s!AB60</f>
        <v>417241940789473.94</v>
      </c>
      <c r="M60" s="49">
        <f t="shared" si="71"/>
        <v>2.6125000000000004E-6</v>
      </c>
      <c r="N60" s="49">
        <f t="shared" si="71"/>
        <v>2.794947119145368E-10</v>
      </c>
      <c r="O60" s="49">
        <f t="shared" si="71"/>
        <v>2.1808369331700897E-9</v>
      </c>
      <c r="P60" s="49">
        <f t="shared" si="71"/>
        <v>1</v>
      </c>
      <c r="Q60" s="49">
        <f t="shared" si="55"/>
        <v>1</v>
      </c>
      <c r="R60" s="60">
        <f>IFERROR(R12/$B60,0)</f>
        <v>2292.6977821913265</v>
      </c>
      <c r="S60" s="60">
        <f>IFERROR(S12/$B60,0)</f>
        <v>4113.2468673158874</v>
      </c>
      <c r="T60" s="60">
        <f>IFERROR(T12/$B60,0)</f>
        <v>2982.4644443503312</v>
      </c>
      <c r="U60" s="60">
        <f>IFERROR(U12/$B60,0)</f>
        <v>2633.9320731037724</v>
      </c>
      <c r="V60" s="60">
        <f>IFERROR(V12/$B60,0)</f>
        <v>7100.4893185344308</v>
      </c>
      <c r="W60" s="71">
        <f>IFERROR(up_RadSpec!$F$12*$W$12,".")*$B$60</f>
        <v>2.1808369331700897E-9</v>
      </c>
      <c r="X60" s="71">
        <f>IFERROR(up_RadSpec!$M$12*$X$12,".")*$B$60</f>
        <v>1.2155847099113615E-9</v>
      </c>
      <c r="Y60" s="71">
        <f>IFERROR(up_RadSpec!$N$12*$Y$12,".")*$B$60</f>
        <v>1.6764659204811231E-9</v>
      </c>
      <c r="Z60" s="71">
        <f>IFERROR(up_RadSpec!$O$12*$Z$12,".")*$B$60</f>
        <v>1.8983025610482432E-9</v>
      </c>
      <c r="AA60" s="71">
        <f>IFERROR(up_RadSpec!$K$12*$AA$12,".")*$B$60</f>
        <v>7.0417682158164548E-10</v>
      </c>
      <c r="AB60" s="49">
        <f t="shared" si="72"/>
        <v>2.1808369331700897E-9</v>
      </c>
      <c r="AC60" s="49">
        <f t="shared" si="72"/>
        <v>1.2155847099113615E-9</v>
      </c>
      <c r="AD60" s="49">
        <f t="shared" si="72"/>
        <v>1.6764659204811231E-9</v>
      </c>
      <c r="AE60" s="49">
        <f t="shared" si="72"/>
        <v>1.8983025610482432E-9</v>
      </c>
      <c r="AF60" s="49">
        <f t="shared" si="72"/>
        <v>7.0417682158164548E-10</v>
      </c>
      <c r="AG60" s="60">
        <f>IFERROR(AG12/$B60,0)</f>
        <v>5.774436090225564E-2</v>
      </c>
      <c r="AH60" s="60">
        <f>IFERROR(AH12/$B60,0)</f>
        <v>92.21052631578948</v>
      </c>
      <c r="AI60" s="60">
        <f t="shared" si="73"/>
        <v>5.7708222680616122E-2</v>
      </c>
      <c r="AJ60" s="71">
        <f>IFERROR(up_RadSpec!$G$12*AJ12,".")*$B$60</f>
        <v>8.6588541666666658E-5</v>
      </c>
      <c r="AK60" s="71">
        <f>IFERROR(up_RadSpec!$J$12*$AK$12,".")*$B$60</f>
        <v>5.4223744292237439E-8</v>
      </c>
      <c r="AL60" s="49">
        <f t="shared" si="74"/>
        <v>8.6588541666666658E-5</v>
      </c>
      <c r="AM60" s="49">
        <f t="shared" si="74"/>
        <v>5.4223744292237439E-8</v>
      </c>
      <c r="AN60" s="49">
        <f t="shared" si="75"/>
        <v>8.6642765410958899E-5</v>
      </c>
      <c r="AO60" s="60">
        <f>IFERROR(AO12/$B60,0)</f>
        <v>2.1052631578947364E-2</v>
      </c>
      <c r="AP60" s="60">
        <f>IFERROR(AP12/$B60,0)</f>
        <v>0</v>
      </c>
      <c r="AQ60" s="60">
        <f>IFERROR(AQ12/$B60,0)</f>
        <v>230.5263157894737</v>
      </c>
      <c r="AR60" s="60">
        <f>IFERROR(AR12/$B60,0)</f>
        <v>9.5198705603378065E-4</v>
      </c>
      <c r="AS60" s="60">
        <f t="shared" si="76"/>
        <v>9.1079758785263753E-4</v>
      </c>
      <c r="AT60" s="71">
        <f>IFERROR(up_RadSpec!$H$12*AT12,".")*$B$60</f>
        <v>2.3750000000000003E-4</v>
      </c>
      <c r="AU60" s="71">
        <f>IFERROR(up_RadSpec!$G$12*AU12,".")*$B$60</f>
        <v>4.3294270833333329E-5</v>
      </c>
      <c r="AV60" s="71">
        <f>IFERROR(up_RadSpec!$L$12*AV12,".")*$B$60</f>
        <v>2.1689497716894977E-8</v>
      </c>
      <c r="AW60" s="71">
        <f>up_b2w!AB60</f>
        <v>14548953606753.555</v>
      </c>
      <c r="AX60" s="49">
        <f t="shared" si="77"/>
        <v>2.3750000000000003E-4</v>
      </c>
      <c r="AY60" s="49">
        <f t="shared" si="78"/>
        <v>0</v>
      </c>
      <c r="AZ60" s="49">
        <f t="shared" si="81"/>
        <v>2.1689497716894977E-8</v>
      </c>
      <c r="BA60" s="49">
        <f t="shared" si="81"/>
        <v>1</v>
      </c>
      <c r="BB60" s="49">
        <f t="shared" si="41"/>
        <v>1</v>
      </c>
      <c r="BC60" s="60">
        <f>IFERROR(BC12/$B60,0)</f>
        <v>3.8277511961722485E-3</v>
      </c>
      <c r="BD60" s="71">
        <f>IFERROR(up_RadSpec!$E$12*BD12,".")*$B$60</f>
        <v>1.3062500000000001E-3</v>
      </c>
      <c r="BE60" s="49">
        <f t="shared" si="79"/>
        <v>1.3062500000000001E-3</v>
      </c>
    </row>
    <row r="61" spans="1:57" x14ac:dyDescent="0.25">
      <c r="A61" s="48" t="s">
        <v>1099</v>
      </c>
      <c r="B61" s="15">
        <v>1</v>
      </c>
      <c r="C61" s="60">
        <f>IFERROR(C18/$B61,0)</f>
        <v>3.6363636363636363E-8</v>
      </c>
      <c r="D61" s="60">
        <f>IFERROR(D18/$B61,0)</f>
        <v>3.3989909629864073E-4</v>
      </c>
      <c r="E61" s="60">
        <f>IFERROR(E18/$B61,0)</f>
        <v>2.1889453044375645E-5</v>
      </c>
      <c r="F61" s="60">
        <f>IFERROR(F18/$B61,0)</f>
        <v>3.6265718922545492E-12</v>
      </c>
      <c r="G61" s="60">
        <f>IFERROR(G18/$B61,0)</f>
        <v>1.8181818181818181E-11</v>
      </c>
      <c r="H61" s="60">
        <f t="shared" si="80"/>
        <v>3.626209608265521E-12</v>
      </c>
      <c r="I61" s="71">
        <f>IFERROR(up_RadSpec!$D$18*I18,".")*$B$61</f>
        <v>137.5</v>
      </c>
      <c r="J61" s="71">
        <f>IFERROR(up_RadSpec!$G$18*$J$18,".")*B61</f>
        <v>1.4710247995501937E-2</v>
      </c>
      <c r="K61" s="71">
        <f>IFERROR(up_RadSpec!$F$18*$K$18,".")*B61</f>
        <v>0.22842050872005307</v>
      </c>
      <c r="L61" s="71">
        <f>up_b2s!AB61</f>
        <v>7927596.875</v>
      </c>
      <c r="M61" s="49">
        <f t="shared" si="71"/>
        <v>1</v>
      </c>
      <c r="N61" s="49">
        <f t="shared" si="71"/>
        <v>1.4602580880648697E-2</v>
      </c>
      <c r="O61" s="49">
        <f t="shared" si="71"/>
        <v>0.20421044697955359</v>
      </c>
      <c r="P61" s="49">
        <f t="shared" si="71"/>
        <v>1</v>
      </c>
      <c r="Q61" s="49">
        <f t="shared" si="55"/>
        <v>1</v>
      </c>
      <c r="R61" s="60">
        <f>IFERROR(R18/$B61,0)</f>
        <v>2.1889453044375645E-5</v>
      </c>
      <c r="S61" s="60">
        <f>IFERROR(S18/$B61,0)</f>
        <v>4.3312873780295888E-5</v>
      </c>
      <c r="T61" s="60">
        <f>IFERROR(T18/$B61,0)</f>
        <v>3.0331813748837633E-5</v>
      </c>
      <c r="U61" s="60">
        <f>IFERROR(U18/$B61,0)</f>
        <v>2.5130455488655316E-5</v>
      </c>
      <c r="V61" s="60">
        <f>IFERROR(V18/$B61,0)</f>
        <v>7.3623931623931614E-5</v>
      </c>
      <c r="W61" s="71">
        <f>IFERROR(up_RadSpec!$F$18*$W$18,".")*$B$61</f>
        <v>0.22842050872005307</v>
      </c>
      <c r="X61" s="71">
        <f>IFERROR(up_RadSpec!$M$18*$X$18,".")*$B$61</f>
        <v>0.11543911921805164</v>
      </c>
      <c r="Y61" s="71">
        <f>IFERROR(up_RadSpec!$N$18*$Y$18,".")*$B$61</f>
        <v>0.16484342286295386</v>
      </c>
      <c r="Z61" s="71">
        <f>IFERROR(up_RadSpec!$O$18*$Z$18,".")*$B$61</f>
        <v>0.1989617737830959</v>
      </c>
      <c r="AA61" s="71">
        <f>IFERROR(up_RadSpec!$K$18*$AA$18,".")*$B$61</f>
        <v>6.7912700255398195E-2</v>
      </c>
      <c r="AB61" s="49">
        <f t="shared" si="72"/>
        <v>0.20421044697955359</v>
      </c>
      <c r="AC61" s="49">
        <f t="shared" si="72"/>
        <v>0.10902518617071166</v>
      </c>
      <c r="AD61" s="49">
        <f t="shared" si="72"/>
        <v>0.15197352474918557</v>
      </c>
      <c r="AE61" s="49">
        <f t="shared" si="72"/>
        <v>0.18041877777629944</v>
      </c>
      <c r="AF61" s="49">
        <f t="shared" si="72"/>
        <v>6.5657962161833838E-2</v>
      </c>
      <c r="AG61" s="60">
        <f>IFERROR(AG18/$B61,0)</f>
        <v>1.0971428571428573E-9</v>
      </c>
      <c r="AH61" s="60">
        <f>IFERROR(AH18/$B61,0)</f>
        <v>1.7520000000000001E-6</v>
      </c>
      <c r="AI61" s="60">
        <f t="shared" si="73"/>
        <v>1.0964562309317064E-9</v>
      </c>
      <c r="AJ61" s="71">
        <f>IFERROR(up_RadSpec!$G$18*AJ18,".")*$B$61</f>
        <v>4557.2916666666661</v>
      </c>
      <c r="AK61" s="71">
        <f>IFERROR(up_RadSpec!$J$18*$AK$18,".")*$B$61</f>
        <v>2.8538812785388123</v>
      </c>
      <c r="AL61" s="49">
        <f t="shared" si="74"/>
        <v>1</v>
      </c>
      <c r="AM61" s="49">
        <f t="shared" si="74"/>
        <v>0.9423797539167309</v>
      </c>
      <c r="AN61" s="49">
        <f t="shared" si="75"/>
        <v>1</v>
      </c>
      <c r="AO61" s="60">
        <f>IFERROR(AO18/$B61,0)</f>
        <v>3.9999999999999996E-10</v>
      </c>
      <c r="AP61" s="60">
        <f>IFERROR(AP18/$B61,0)</f>
        <v>0</v>
      </c>
      <c r="AQ61" s="60">
        <f>IFERROR(AQ18/$B61,0)</f>
        <v>4.3800000000000004E-6</v>
      </c>
      <c r="AR61" s="60">
        <f>IFERROR(AR18/$B61,0)</f>
        <v>1.8087754064641833E-11</v>
      </c>
      <c r="AS61" s="60">
        <f t="shared" si="76"/>
        <v>1.7305154169200115E-11</v>
      </c>
      <c r="AT61" s="71">
        <f>IFERROR(up_RadSpec!$H$18*AT18,".")*$B$61</f>
        <v>12500</v>
      </c>
      <c r="AU61" s="71">
        <f>IFERROR(up_RadSpec!$G$18*AU18,".")*$B$61</f>
        <v>2278.645833333333</v>
      </c>
      <c r="AV61" s="71">
        <f>IFERROR(up_RadSpec!$L$18*AV18,".")*$B$61</f>
        <v>1.1415525114155249</v>
      </c>
      <c r="AW61" s="71">
        <f>up_b2w!AB61</f>
        <v>276430.1185283176</v>
      </c>
      <c r="AX61" s="49">
        <f t="shared" si="77"/>
        <v>1</v>
      </c>
      <c r="AY61" s="49">
        <f t="shared" si="78"/>
        <v>0</v>
      </c>
      <c r="AZ61" s="49">
        <f t="shared" si="81"/>
        <v>0.68067711563678512</v>
      </c>
      <c r="BA61" s="49">
        <f t="shared" si="81"/>
        <v>1</v>
      </c>
      <c r="BB61" s="49">
        <f t="shared" si="41"/>
        <v>1</v>
      </c>
      <c r="BC61" s="60">
        <f>IFERROR(BC18/$B61,0)</f>
        <v>7.2727272727272723E-11</v>
      </c>
      <c r="BD61" s="71">
        <f>IFERROR(up_RadSpec!$E$18*BD18,".")*$B$61</f>
        <v>68750</v>
      </c>
      <c r="BE61" s="49">
        <f t="shared" si="79"/>
        <v>1</v>
      </c>
    </row>
    <row r="62" spans="1:57" x14ac:dyDescent="0.25">
      <c r="A62" s="48" t="s">
        <v>1100</v>
      </c>
      <c r="B62" s="15">
        <v>1.339E-6</v>
      </c>
      <c r="C62" s="60">
        <f>IFERROR(C27/$B62,0)</f>
        <v>2.7157308710706769E-2</v>
      </c>
      <c r="D62" s="60">
        <f>IFERROR(D27/$B62,0)</f>
        <v>253.84547893849196</v>
      </c>
      <c r="E62" s="60">
        <f>IFERROR(E27/$B62,0)</f>
        <v>26.828391046610619</v>
      </c>
      <c r="F62" s="60">
        <f>IFERROR(F27/$B62,0)</f>
        <v>2.7084181420870421E-6</v>
      </c>
      <c r="G62" s="60">
        <f>IFERROR(G27/$B62,0)</f>
        <v>1.3578654355353383E-5</v>
      </c>
      <c r="H62" s="60">
        <f t="shared" si="80"/>
        <v>2.708147754251048E-6</v>
      </c>
      <c r="I62" s="71">
        <f>IFERROR(up_RadSpec!$D$27*I27,".")*$B$62</f>
        <v>1.8411250000000001E-4</v>
      </c>
      <c r="J62" s="71">
        <f>IFERROR(up_RadSpec!$G$27*$J$27,".")*B62</f>
        <v>1.9697022065977095E-8</v>
      </c>
      <c r="K62" s="71">
        <f>IFERROR(up_RadSpec!$F$27*$K$27,".")*B62</f>
        <v>1.8636973016060451E-7</v>
      </c>
      <c r="L62" s="71">
        <f>up_b2s!AB62</f>
        <v>5920535380881.2568</v>
      </c>
      <c r="M62" s="49">
        <f t="shared" si="71"/>
        <v>1.8411250000000001E-4</v>
      </c>
      <c r="N62" s="49">
        <f t="shared" si="71"/>
        <v>1.9697022065977095E-8</v>
      </c>
      <c r="O62" s="49">
        <f t="shared" si="71"/>
        <v>1.8636973016060451E-7</v>
      </c>
      <c r="P62" s="49">
        <f t="shared" si="71"/>
        <v>1</v>
      </c>
      <c r="Q62" s="49">
        <f t="shared" si="55"/>
        <v>1</v>
      </c>
      <c r="R62" s="60">
        <f>IFERROR(R27/$B62,0)</f>
        <v>26.828391046610619</v>
      </c>
      <c r="S62" s="60">
        <f>IFERROR(S27/$B62,0)</f>
        <v>79.577584738545426</v>
      </c>
      <c r="T62" s="60">
        <f>IFERROR(T27/$B62,0)</f>
        <v>48.787043393300131</v>
      </c>
      <c r="U62" s="60">
        <f>IFERROR(U27/$B62,0)</f>
        <v>35.490689306861093</v>
      </c>
      <c r="V62" s="60">
        <f>IFERROR(V27/$B62,0)</f>
        <v>248.91728763178341</v>
      </c>
      <c r="W62" s="71">
        <f>IFERROR(up_RadSpec!$F$27*$W$27,".")*$B$62</f>
        <v>1.8636973016060451E-7</v>
      </c>
      <c r="X62" s="71">
        <f>IFERROR(up_RadSpec!$M$27*$X$27,".")*$B$62</f>
        <v>6.2831763698630105E-8</v>
      </c>
      <c r="Y62" s="71">
        <f>IFERROR(up_RadSpec!$N$27*$Y$27,".")*$B$62</f>
        <v>1.024862269207862E-7</v>
      </c>
      <c r="Z62" s="71">
        <f>IFERROR(up_RadSpec!$O$27*$Z$27,".")*$B$62</f>
        <v>1.4088201997906518E-7</v>
      </c>
      <c r="AA62" s="71">
        <f>IFERROR(up_RadSpec!$K$27*$AA$27,".")*$B$62</f>
        <v>2.0086993746277535E-8</v>
      </c>
      <c r="AB62" s="49">
        <f t="shared" si="72"/>
        <v>1.8636973016060451E-7</v>
      </c>
      <c r="AC62" s="49">
        <f t="shared" si="72"/>
        <v>6.2831763698630105E-8</v>
      </c>
      <c r="AD62" s="49">
        <f t="shared" si="72"/>
        <v>1.024862269207862E-7</v>
      </c>
      <c r="AE62" s="49">
        <f t="shared" si="72"/>
        <v>1.4088201997906518E-7</v>
      </c>
      <c r="AF62" s="49">
        <f t="shared" si="72"/>
        <v>2.0086993746277535E-8</v>
      </c>
      <c r="AG62" s="60">
        <f>IFERROR(AG27/$B62,0)</f>
        <v>8.1937479995732433E-4</v>
      </c>
      <c r="AH62" s="60">
        <f>IFERROR(AH27/$B62,0)</f>
        <v>1.3084391336818522</v>
      </c>
      <c r="AI62" s="60">
        <f t="shared" si="73"/>
        <v>8.1886200965773431E-4</v>
      </c>
      <c r="AJ62" s="71">
        <f>IFERROR(up_RadSpec!$G$27*AJ27,".")*$B$62</f>
        <v>6.1022135416666659E-3</v>
      </c>
      <c r="AK62" s="71">
        <f>IFERROR(up_RadSpec!$J$27*$AK$27,".")*$B$62</f>
        <v>3.8213470319634697E-6</v>
      </c>
      <c r="AL62" s="49">
        <f t="shared" si="74"/>
        <v>6.1022135416666659E-3</v>
      </c>
      <c r="AM62" s="49">
        <f t="shared" si="74"/>
        <v>3.8213470319634697E-6</v>
      </c>
      <c r="AN62" s="49">
        <f t="shared" si="75"/>
        <v>6.1060348886986292E-3</v>
      </c>
      <c r="AO62" s="60">
        <f>IFERROR(AO27/$B62,0)</f>
        <v>2.9873039581777443E-4</v>
      </c>
      <c r="AP62" s="60">
        <f>IFERROR(AP27/$B62,0)</f>
        <v>0</v>
      </c>
      <c r="AQ62" s="60">
        <f>IFERROR(AQ27/$B62,0)</f>
        <v>3.2710978342046304</v>
      </c>
      <c r="AR62" s="60">
        <f>IFERROR(AR27/$B62,0)</f>
        <v>1.3508404827962534E-5</v>
      </c>
      <c r="AS62" s="60">
        <f t="shared" si="76"/>
        <v>1.2923938886631899E-5</v>
      </c>
      <c r="AT62" s="71">
        <f>IFERROR(up_RadSpec!$H$27*AT27,".")*$B$62</f>
        <v>1.6737499999999999E-2</v>
      </c>
      <c r="AU62" s="71">
        <f>IFERROR(up_RadSpec!$G$27*AU27,".")*$B$62</f>
        <v>3.051106770833333E-3</v>
      </c>
      <c r="AV62" s="71">
        <f>IFERROR(up_RadSpec!$L$27*AV27,".")*$B$62</f>
        <v>1.5285388127853878E-6</v>
      </c>
      <c r="AW62" s="71">
        <f>up_b2w!AB62</f>
        <v>206445196809.79657</v>
      </c>
      <c r="AX62" s="49">
        <f t="shared" si="77"/>
        <v>1.6598206272537386E-2</v>
      </c>
      <c r="AY62" s="49">
        <f t="shared" si="78"/>
        <v>0</v>
      </c>
      <c r="AZ62" s="49">
        <f t="shared" si="81"/>
        <v>1.5285388127853878E-6</v>
      </c>
      <c r="BA62" s="49">
        <f t="shared" si="81"/>
        <v>1</v>
      </c>
      <c r="BB62" s="49">
        <f t="shared" si="41"/>
        <v>1</v>
      </c>
      <c r="BC62" s="60">
        <f>IFERROR(BC27/$B62,0)</f>
        <v>5.4314617421413531E-5</v>
      </c>
      <c r="BD62" s="71">
        <f>IFERROR(up_RadSpec!$E$27*BD27,".")*$B$62</f>
        <v>9.2056250000000006E-2</v>
      </c>
      <c r="BE62" s="49">
        <f t="shared" si="79"/>
        <v>8.7946154926619724E-2</v>
      </c>
    </row>
    <row r="63" spans="1:57" x14ac:dyDescent="0.25">
      <c r="A63" s="57" t="s">
        <v>35</v>
      </c>
      <c r="B63" s="57" t="s">
        <v>1259</v>
      </c>
      <c r="C63" s="58">
        <f>1/SUM(1/C66,1/C68,1/C72,1/C73,1/C75)</f>
        <v>7.2730184843873879E-9</v>
      </c>
      <c r="D63" s="58">
        <f>1/SUM(1/D64,1/D65,1/D66,1/D68,1/D72,1/D73,1/D75)</f>
        <v>4.8558402527260952E-5</v>
      </c>
      <c r="E63" s="58">
        <f>1/SUM(1/E64,1/E66,1/E68,1/E69,1/E70,1/E71,1/E72,1/E73,1/E74,1/E75,1/E76)</f>
        <v>4.4012279075650616E-6</v>
      </c>
      <c r="F63" s="58">
        <f>1/SUM(1/F66,1/F68,1/F72,1/F73,1/F75)</f>
        <v>7.2534342120149472E-13</v>
      </c>
      <c r="G63" s="58">
        <f>1/SUM(1/G66,1/G68,1/G72,1/G73,1/G75)</f>
        <v>3.636509242193694E-12</v>
      </c>
      <c r="H63" s="59">
        <f>1/SUM(1/H64,1/H65,1/H66,1/H68,1/H69,1/H70,1/H71,1/H72,1/H73,1/H74,1/H75,1/H76)</f>
        <v>4.5328748468112205E-13</v>
      </c>
      <c r="I63" s="70"/>
      <c r="J63" s="70"/>
      <c r="K63" s="70"/>
      <c r="L63" s="70"/>
      <c r="M63" s="47">
        <f t="shared" ref="M63:O63" si="82">IFERROR(IF(SUM(I64:I76)&gt;0.01,1-EXP(-SUM(I64:I76)),SUM(I64:I76)),".")</f>
        <v>1</v>
      </c>
      <c r="N63" s="47">
        <f t="shared" si="82"/>
        <v>0.11102130060468729</v>
      </c>
      <c r="O63" s="47">
        <f t="shared" si="82"/>
        <v>0.67891410306522837</v>
      </c>
      <c r="P63" s="47">
        <f>IFERROR(IF(SUM(L64:L76)&gt;0.01,1-EXP(-SUM(L64:L76)),SUM(L64:L76)),".")</f>
        <v>1</v>
      </c>
      <c r="Q63" s="47">
        <f>IFERROR(IF(SUM(I64:L76)&gt;0.01,1-EXP(-SUM(I64:L76)),SUM(I64:L76)),".")</f>
        <v>1</v>
      </c>
      <c r="R63" s="59">
        <f t="shared" ref="R63:V63" si="83">1/SUM(1/R64,1/R66,1/R68,1/R69,1/R70,1/R71,1/R72,1/R73,1/R74,1/R75,1/R76)</f>
        <v>4.4012279075650616E-6</v>
      </c>
      <c r="S63" s="59">
        <f t="shared" si="83"/>
        <v>8.3842987550333817E-6</v>
      </c>
      <c r="T63" s="59">
        <f t="shared" si="83"/>
        <v>5.9706492060739401E-6</v>
      </c>
      <c r="U63" s="59">
        <f t="shared" si="83"/>
        <v>5.0908095587412502E-6</v>
      </c>
      <c r="V63" s="59">
        <f t="shared" si="83"/>
        <v>1.4721050417223575E-5</v>
      </c>
      <c r="W63" s="70"/>
      <c r="X63" s="70"/>
      <c r="Y63" s="70"/>
      <c r="Z63" s="70"/>
      <c r="AA63" s="70"/>
      <c r="AB63" s="47">
        <f>IFERROR(IF(SUM(W64:W76)&gt;0.01,1-EXP(-SUM(W64:W76)),SUM(W64:W76)),".")</f>
        <v>0.67891410306522837</v>
      </c>
      <c r="AC63" s="47">
        <f t="shared" ref="AC63:AF63" si="84">IFERROR(IF(SUM(X64:X76)&gt;0.01,1-EXP(-SUM(X64:X76)),SUM(X64:X76)),".")</f>
        <v>0.44918308096440884</v>
      </c>
      <c r="AD63" s="47">
        <f t="shared" si="84"/>
        <v>0.5671784981710507</v>
      </c>
      <c r="AE63" s="47">
        <f t="shared" si="84"/>
        <v>0.62549946945694979</v>
      </c>
      <c r="AF63" s="47">
        <f t="shared" si="84"/>
        <v>0.28798028310706381</v>
      </c>
      <c r="AG63" s="58">
        <f>1/SUM(1/AG64,1/AG65,1/AG66,1/AG68,1/AG72,1/AG73,1/AG75)</f>
        <v>1.5673917661800231E-10</v>
      </c>
      <c r="AH63" s="58">
        <f t="shared" ref="AH63" si="85">1/SUM(1/AH64,1/AH65,1/AH66,1/AH67,1/AH68,1/AH69,1/AH70,1/AH71,1/AH72,1/AH73,1/AH74,1/AH75,1/AH76)</f>
        <v>2.1899996282475631E-7</v>
      </c>
      <c r="AI63" s="59">
        <f>1/SUM(1/AI64,1/AI65,1/AI66,1/AI67,1/AI68,1/AI69,1/AI70,1/AI71,1/AI72,1/AI73,1/AI74,1/AI75,1/AI76)</f>
        <v>1.3705700560103658E-10</v>
      </c>
      <c r="AJ63" s="70"/>
      <c r="AK63" s="70"/>
      <c r="AL63" s="47">
        <f>IFERROR(IF(SUM(AJ64:AJ76)&gt;0.01,1-EXP(-SUM(AJ64:AJ76)),SUM(AJ64:AJ76)),".")</f>
        <v>1</v>
      </c>
      <c r="AM63" s="47">
        <f>IFERROR(IF(SUM(AK64:AK76)&gt;0.01,1-EXP(-SUM(AK64:AK76)),SUM(AK64:AK76)),".")</f>
        <v>0.99999999987849364</v>
      </c>
      <c r="AN63" s="47">
        <f>IFERROR(IF(SUM(AJ64:AK76)&gt;0.01,1-EXP(-SUM(AJ64:AK76)),SUM(AJ64:AK76)),".")</f>
        <v>1</v>
      </c>
      <c r="AO63" s="58">
        <f>1/SUM(1/AO66,1/AO68,1/AO72,1/AO73,1/AO75)</f>
        <v>8.0003203328261265E-11</v>
      </c>
      <c r="AP63" s="58">
        <f>1/SUM(1/AP64)</f>
        <v>2.1942857142857146E-9</v>
      </c>
      <c r="AQ63" s="58">
        <f t="shared" ref="AQ63" si="86">1/SUM(1/AQ64,1/AQ65,1/AQ66,1/AQ67,1/AQ68,1/AQ69,1/AQ70,1/AQ71,1/AQ72,1/AQ73,1/AQ74,1/AQ75,1/AQ76)</f>
        <v>5.4749990706189082E-7</v>
      </c>
      <c r="AR63" s="58">
        <f>1/SUM(1/AR66,1/AR68,1/AR72,1/AR73,1/AR75)</f>
        <v>3.6176956654628117E-12</v>
      </c>
      <c r="AS63" s="59">
        <f>1/SUM(1/AS64,1/AS65,1/AS66,1/AS67,1/AS68,1/AS69,1/AS70,1/AS71,1/AS72,1/AS73,1/AS74,1/AS75,1/AS76)</f>
        <v>2.161013560000557E-12</v>
      </c>
      <c r="AT63" s="70"/>
      <c r="AU63" s="70"/>
      <c r="AV63" s="70"/>
      <c r="AW63" s="70"/>
      <c r="AX63" s="47">
        <f>IFERROR(IF(SUM(AT64:AT76)&gt;0.01,1-EXP(-SUM(AT64:AT76)),SUM(AT64:AT76)),".")</f>
        <v>1</v>
      </c>
      <c r="AY63" s="47">
        <f t="shared" ref="AY63:BA63" si="87">IFERROR(IF(SUM(AU64:AU76)&gt;0.01,1-EXP(-SUM(AU64:AU76)),SUM(AU64:AU76)),".")</f>
        <v>1</v>
      </c>
      <c r="AZ63" s="47">
        <f t="shared" si="87"/>
        <v>0.99989189652001398</v>
      </c>
      <c r="BA63" s="47">
        <f t="shared" si="87"/>
        <v>1</v>
      </c>
      <c r="BB63" s="47">
        <f>IFERROR(IF(SUM(AT64:AW76)&gt;0.01,1-EXP(-SUM(AT64:AW76)),SUM(AT64:AW76)),".")</f>
        <v>1</v>
      </c>
      <c r="BC63" s="59">
        <f>1/SUM(1/BC66,1/BC68,1/BC72,1/BC73,1/BC75)</f>
        <v>1.4546036968774776E-11</v>
      </c>
      <c r="BD63" s="70"/>
      <c r="BE63" s="47">
        <f>IFERROR(IF(SUM(BE64:BE76)&gt;0.01,1-EXP(-SUM(BE64:BE76)),SUM(BE64:BE76)),".")</f>
        <v>0.99995903967738331</v>
      </c>
    </row>
    <row r="64" spans="1:57" x14ac:dyDescent="0.25">
      <c r="A64" s="48" t="s">
        <v>1090</v>
      </c>
      <c r="B64" s="45">
        <v>1</v>
      </c>
      <c r="C64" s="60">
        <f>IFERROR(C25/$B50,0)</f>
        <v>3.6363636363636363E-8</v>
      </c>
      <c r="D64" s="60">
        <f>IFERROR(D25/$B50,0)</f>
        <v>3.3989909629864073E-4</v>
      </c>
      <c r="E64" s="60">
        <f>IFERROR(E25/$B50,0)</f>
        <v>3.1271753681392245E-5</v>
      </c>
      <c r="F64" s="60">
        <f>IFERROR(F25/$B50,0)</f>
        <v>3.6265718922545492E-12</v>
      </c>
      <c r="G64" s="60">
        <f>IFERROR(G25/$B50,0)</f>
        <v>1.8181818181818181E-11</v>
      </c>
      <c r="H64" s="60">
        <f t="shared" ref="H64:H76" si="88">(IF(AND(C64&lt;&gt;0,D64&lt;&gt;0,E64&lt;&gt;0,F64&lt;&gt;0),1/((1/C64)+(1/D64)+(1/E64)+(1/F64)),IF(AND(C64&lt;&gt;0,D64&lt;&gt;0,E64&lt;&gt;0,F64=0), 1/((1/C64)+(1/D64)+(1/E64)),IF(AND(C64&lt;&gt;0,D64&lt;&gt;0,E64=0,F64&lt;&gt;0),1/((1/C64)+(1/D64)+(1/F64)),IF(AND(C64&lt;&gt;0,D64=0,E64&lt;&gt;0,F64&lt;&gt;0),1/((1/C64)+(1/E64)+(1/F64)),IF(AND(C64=0,D64&lt;&gt;0,E64&lt;&gt;0,F64&lt;&gt;0),1/((1/D64)+(1/E64)+(1/F64)),IF(AND(C64&lt;&gt;0,D64&lt;&gt;0,E64=0,F64=0),1/((1/C64)+(1/D64)),IF(AND(C64&lt;&gt;0,D64=0,E64&lt;&gt;0,F64=0),1/((1/C64)+(1/E64)),IF(AND(C64&lt;&gt;0,D64=0,E64=0,F64&lt;&gt;0),1/((1/C64)+(1/F64)),IF(AND(C64=0,D64=0,E64&lt;&gt;0,F64&lt;&gt;0),1/((1/E64)+(1/F64)),IF(AND(C64=0,D64&lt;&gt;0,E64=0,F64&lt;&gt;0),1/((1/D64)+(1/F64)),IF(AND(C64=0,D64&lt;&gt;0,E64&lt;&gt;0,F64=0),1/((1/D64)+(1/E64)),IF(AND(C64&lt;&gt;0,D64=0,E64=0,F64=0),1/((1/C64)),IF(AND(C64=0,D64&lt;&gt;0,E64=0,F64=0),1/((1/D64)),IF(AND(C64=0,D64=0,E64&lt;&gt;0,F64=0),1/((1/E64)),IF(AND(C64=0,D64=0,E64=0,F64&lt;&gt;0),1/((1/F64)),IF(AND(C64=0,D64=0,E64=0,F64=0),0)))))))))))))))))</f>
        <v>3.6262097884959142E-12</v>
      </c>
      <c r="I64" s="71">
        <f>IFERROR(up_RadSpec!$D$25*I25,".")*$B$64</f>
        <v>137.5</v>
      </c>
      <c r="J64" s="71">
        <f>IFERROR(up_RadSpec!$G$25*$J$25,".")*B64</f>
        <v>1.4710247995501937E-2</v>
      </c>
      <c r="K64" s="71">
        <f>IFERROR(up_RadSpec!$F$25*$K$25,".")*B64</f>
        <v>0.15988869863013694</v>
      </c>
      <c r="L64" s="71">
        <f>up_b2s!AB64</f>
        <v>7927596.875</v>
      </c>
      <c r="M64" s="49">
        <f t="shared" ref="M64:P76" si="89">IFERROR(IF(I64&gt;0.01,1-EXP(-I64),I64),".")</f>
        <v>1</v>
      </c>
      <c r="N64" s="49">
        <f t="shared" si="89"/>
        <v>1.4602580880648697E-2</v>
      </c>
      <c r="O64" s="49">
        <f t="shared" si="89"/>
        <v>0.14776136098438408</v>
      </c>
      <c r="P64" s="49">
        <f t="shared" si="89"/>
        <v>1</v>
      </c>
      <c r="Q64" s="49">
        <f t="shared" ref="Q64:Q76" si="90">IFERROR(IF(SUM(I64:L64)&gt;0.01,1-EXP(-SUM(I64:L64)),SUM(I64:L64)),".")</f>
        <v>1</v>
      </c>
      <c r="R64" s="60">
        <f>IFERROR(R25/$B50,0)</f>
        <v>3.1271753681392245E-5</v>
      </c>
      <c r="S64" s="60">
        <f>IFERROR(S25/$B50,0)</f>
        <v>5.6001221560543581E-5</v>
      </c>
      <c r="T64" s="60">
        <f>IFERROR(T25/$B50,0)</f>
        <v>4.0169979832901198E-5</v>
      </c>
      <c r="U64" s="60">
        <f>IFERROR(U25/$B50,0)</f>
        <v>3.5870780819933355E-5</v>
      </c>
      <c r="V64" s="60">
        <f>IFERROR(V25/$B50,0)</f>
        <v>1.0040404040404039E-4</v>
      </c>
      <c r="W64" s="71">
        <f>IFERROR(up_RadSpec!$F$25*$W$25,".")*$B$64</f>
        <v>0.15988869863013694</v>
      </c>
      <c r="X64" s="71">
        <f>IFERROR(up_RadSpec!$M$25*$X$25,".")*$B$64</f>
        <v>8.928376668702559E-2</v>
      </c>
      <c r="Y64" s="71">
        <f>IFERROR(up_RadSpec!$N$25*$Y$25,".")*$B$64</f>
        <v>0.12447106074732836</v>
      </c>
      <c r="Z64" s="71">
        <f>IFERROR(up_RadSpec!$O$25*$Z$25,".")*$B$64</f>
        <v>0.13938921555957612</v>
      </c>
      <c r="AA64" s="71">
        <f>IFERROR(up_RadSpec!$K$25*$AA$25,".")*$B$64</f>
        <v>4.9798792756539235E-2</v>
      </c>
      <c r="AB64" s="49">
        <f t="shared" ref="AB64:AF76" si="91">IFERROR(IF(W64&gt;0.01,1-EXP(-W64),W64),".")</f>
        <v>0.14776136098438408</v>
      </c>
      <c r="AC64" s="49">
        <f t="shared" si="91"/>
        <v>8.5413992293286278E-2</v>
      </c>
      <c r="AD64" s="49">
        <f t="shared" si="91"/>
        <v>0.11703618669044735</v>
      </c>
      <c r="AE64" s="49">
        <f t="shared" si="91"/>
        <v>0.13011061192447559</v>
      </c>
      <c r="AF64" s="49">
        <f t="shared" si="91"/>
        <v>4.8579161992637232E-2</v>
      </c>
      <c r="AG64" s="60">
        <f>IFERROR(AG25/$B50,0)</f>
        <v>1.0971428571428573E-9</v>
      </c>
      <c r="AH64" s="60">
        <f>IFERROR(AH25/$B50,0)</f>
        <v>1.7520000000000001E-6</v>
      </c>
      <c r="AI64" s="60">
        <f t="shared" ref="AI64:AI76" si="92">IFERROR(IF(AND(AG64&lt;&gt;0,AH64&lt;&gt;0),1/((1/AG64)+(1/AH64)),IF(AND(AG64&lt;&gt;0,AH64=0),1/((1/AG64)),IF(AND(AG64=0,AH64&lt;&gt;0),1/((1/AH64)),IF(AND(AG64=".",AH64="."),".")))),".")</f>
        <v>1.0964562309317064E-9</v>
      </c>
      <c r="AJ64" s="71">
        <f>IFERROR(up_RadSpec!$G$25*AJ25,".")*$B$64</f>
        <v>4557.2916666666661</v>
      </c>
      <c r="AK64" s="71">
        <f>IFERROR(up_RadSpec!$J$25*$AK$25,".")*$B$64</f>
        <v>2.8538812785388123</v>
      </c>
      <c r="AL64" s="49">
        <f t="shared" ref="AL64:AM76" si="93">IFERROR(IF(AJ64&gt;0.01,1-EXP(-AJ64),AJ64),".")</f>
        <v>1</v>
      </c>
      <c r="AM64" s="49">
        <f t="shared" si="93"/>
        <v>0.9423797539167309</v>
      </c>
      <c r="AN64" s="49">
        <f t="shared" ref="AN64:AN76" si="94">IFERROR(IF(SUM(AJ64:AK64)&gt;0.01,1-EXP(-SUM(AJ64:AK64)),SUM(AJ64:AK64)),".")</f>
        <v>1</v>
      </c>
      <c r="AO64" s="60">
        <f>IFERROR(AO25/$B50,0)</f>
        <v>3.9999999999999996E-10</v>
      </c>
      <c r="AP64" s="60">
        <f>IFERROR(AP25/$B50,0)</f>
        <v>2.1942857142857146E-9</v>
      </c>
      <c r="AQ64" s="60">
        <f>IFERROR(AQ25/$B50,0)</f>
        <v>4.3800000000000004E-6</v>
      </c>
      <c r="AR64" s="60">
        <f>IFERROR(AR25/$B50,0)</f>
        <v>1.8087754064641833E-11</v>
      </c>
      <c r="AS64" s="60">
        <f>(IF(AND(AO64&lt;&gt;0,AP64&lt;&gt;0,AQ64&lt;&gt;0,AR64&lt;&gt;0),1/((1/AO64)+(1/AP64)+(1/AQ64)+(1/AR64)),IF(AND(AO64&lt;&gt;0,AP64&lt;&gt;0,AQ64&lt;&gt;0,AR64=0), 1/((1/AO64)+(1/AP64)+(1/AQ64)),IF(AND(AO64&lt;&gt;0,AP64&lt;&gt;0,AQ64=0,AR64&lt;&gt;0),1/((1/AO64)+(1/AP64)+(1/AR64)),IF(AND(AO64&lt;&gt;0,AP64=0,AQ64&lt;&gt;0,AR64&lt;&gt;0),1/((1/AO64)+(1/AQ64)+(1/AR64)),IF(AND(AO64=0,AP64&lt;&gt;0,AQ64&lt;&gt;0,AR64&lt;&gt;0),1/((1/AP64)+(1/AQ64)+(1/AR64)),IF(AND(AO64&lt;&gt;0,AP64&lt;&gt;0,AQ64=0,AR64=0),1/((1/AO64)+(1/AP64)),IF(AND(AO64&lt;&gt;0,AP64=0,AQ64&lt;&gt;0,AR64=0),1/((1/AO64)+(1/AQ64)),IF(AND(AO64&lt;&gt;0,AP64=0,AQ64=0,AR64&lt;&gt;0),1/((1/AO64)+(1/AR64)),IF(AND(AO64=0,AP64=0,AQ64&lt;&gt;0,AR64&lt;&gt;0),1/((1/AQ64)+(1/AR64)),IF(AND(AO64=0,AP64&lt;&gt;0,AQ64=0,AR64&lt;&gt;0),1/((1/AP64)+(1/AR64)),IF(AND(AO64=0,AP64&lt;&gt;0,AQ64&lt;&gt;0,AR64=0),1/((1/AP64)+(1/AQ64)),IF(AND(AO64&lt;&gt;0,AP64=0,AQ64=0,AR64=0),1/((1/AO64)),IF(AND(AO64=0,AP64&lt;&gt;0,AQ64=0,AR64=0),1/((1/AP64)),IF(AND(AO64=0,AP64=0,AQ64&lt;&gt;0,AR64=0),1/((1/AQ64)),IF(AND(AO64=0,AP64=0,AQ64=0,AR64&lt;&gt;0),1/((1/AR64)),IF(AND(AO64=0,AP64=0,AQ64=0,AR64=0),0)))))))))))))))))</f>
        <v>1.716974559743792E-11</v>
      </c>
      <c r="AT64" s="71">
        <f>IFERROR(up_RadSpec!$H$25*AT25,".")*$B$64</f>
        <v>12500</v>
      </c>
      <c r="AU64" s="71">
        <f>IFERROR(up_RadSpec!$G$25*AU25,".")*$B$64</f>
        <v>2278.645833333333</v>
      </c>
      <c r="AV64" s="71">
        <f>IFERROR(up_RadSpec!$L$25*AV25,".")*$B$64</f>
        <v>1.1415525114155249</v>
      </c>
      <c r="AW64" s="71">
        <f>up_b2w!AB64</f>
        <v>276430.1185283176</v>
      </c>
      <c r="AX64" s="49">
        <f t="shared" ref="AX64:AX76" si="95">IFERROR(IF(AT64&gt;0.01,1-EXP(-AT64),AT64),".")</f>
        <v>1</v>
      </c>
      <c r="AY64" s="49">
        <f t="shared" ref="AY64:AY76" si="96">IFERROR(IF(AP64&lt;&gt;0,IF(AU64&gt;0.01,1-EXP(-AU64),AU64),0),".")</f>
        <v>1</v>
      </c>
      <c r="AZ64" s="49">
        <f t="shared" ref="AZ64:BA76" si="97">IFERROR(IF(AV64&gt;0.01,1-EXP(-AV64),AV64),".")</f>
        <v>0.68067711563678512</v>
      </c>
      <c r="BA64" s="49">
        <f t="shared" si="97"/>
        <v>1</v>
      </c>
      <c r="BB64" s="49">
        <f t="shared" si="41"/>
        <v>1</v>
      </c>
      <c r="BC64" s="60">
        <f>IFERROR(BC25/$B50,0)</f>
        <v>7.2727272727272723E-11</v>
      </c>
      <c r="BD64" s="71">
        <f>IFERROR(up_RadSpec!$E$25*BD25,".")*$B$64</f>
        <v>68750</v>
      </c>
      <c r="BE64" s="49">
        <f t="shared" ref="BE64:BE76" si="98">IFERROR(IF(BD64&gt;0.01,1-EXP(-BD64),BD64),".")</f>
        <v>1</v>
      </c>
    </row>
    <row r="65" spans="1:57" x14ac:dyDescent="0.25">
      <c r="A65" s="48" t="s">
        <v>1076</v>
      </c>
      <c r="B65" s="45">
        <v>1</v>
      </c>
      <c r="C65" s="60">
        <f>IFERROR(C21/$B51,0)</f>
        <v>3.6363636363636363E-8</v>
      </c>
      <c r="D65" s="60">
        <f>IFERROR(D21/$B51,0)</f>
        <v>3.3989909629864073E-4</v>
      </c>
      <c r="E65" s="60">
        <f>IFERROR(E21/$B51,0)</f>
        <v>0</v>
      </c>
      <c r="F65" s="60">
        <f>IFERROR(F21/$B51,0)</f>
        <v>3.6265718922545492E-12</v>
      </c>
      <c r="G65" s="60">
        <f>IFERROR(G21/$B51,0)</f>
        <v>1.8181818181818181E-11</v>
      </c>
      <c r="H65" s="60">
        <f t="shared" si="88"/>
        <v>3.6262102089839709E-12</v>
      </c>
      <c r="I65" s="71">
        <f>IFERROR(up_RadSpec!$D$21*I21,".")*$B$65</f>
        <v>137.5</v>
      </c>
      <c r="J65" s="71">
        <f>IFERROR(up_RadSpec!$G$21*$J$21,".")*B65</f>
        <v>1.4710247995501937E-2</v>
      </c>
      <c r="K65" s="71">
        <f>IFERROR(up_RadSpec!$F$21*$K$21,".")*B65</f>
        <v>0</v>
      </c>
      <c r="L65" s="71">
        <f>up_b2s!AB65</f>
        <v>7927596.875</v>
      </c>
      <c r="M65" s="49">
        <f t="shared" si="89"/>
        <v>1</v>
      </c>
      <c r="N65" s="49">
        <f t="shared" si="89"/>
        <v>1.4602580880648697E-2</v>
      </c>
      <c r="O65" s="49">
        <f t="shared" si="89"/>
        <v>0</v>
      </c>
      <c r="P65" s="49">
        <f t="shared" si="89"/>
        <v>1</v>
      </c>
      <c r="Q65" s="49">
        <f t="shared" si="90"/>
        <v>1</v>
      </c>
      <c r="R65" s="60">
        <f>IFERROR(R21/$B51,0)</f>
        <v>0</v>
      </c>
      <c r="S65" s="60">
        <f>IFERROR(S21/$B51,0)</f>
        <v>0</v>
      </c>
      <c r="T65" s="60">
        <f>IFERROR(T21/$B51,0)</f>
        <v>0</v>
      </c>
      <c r="U65" s="60">
        <f>IFERROR(U21/$B51,0)</f>
        <v>0</v>
      </c>
      <c r="V65" s="60">
        <f>IFERROR(V21/$B51,0)</f>
        <v>0</v>
      </c>
      <c r="W65" s="71">
        <f>IFERROR(up_RadSpec!$F$21*$W$21,".")*$B$65</f>
        <v>0</v>
      </c>
      <c r="X65" s="71">
        <f>IFERROR(up_RadSpec!$M$21*$X$21,".")*$B$65</f>
        <v>0</v>
      </c>
      <c r="Y65" s="71">
        <f>IFERROR(up_RadSpec!$N$21*$Y$21,".")*$B$65</f>
        <v>0</v>
      </c>
      <c r="Z65" s="71">
        <f>IFERROR(up_RadSpec!$O$21*$Z$21,".")*$B$65</f>
        <v>0</v>
      </c>
      <c r="AA65" s="71">
        <f>IFERROR(up_RadSpec!$K$21*$AA$21,".")*$B$65</f>
        <v>0</v>
      </c>
      <c r="AB65" s="49">
        <f t="shared" si="91"/>
        <v>0</v>
      </c>
      <c r="AC65" s="49">
        <f t="shared" si="91"/>
        <v>0</v>
      </c>
      <c r="AD65" s="49">
        <f t="shared" si="91"/>
        <v>0</v>
      </c>
      <c r="AE65" s="49">
        <f t="shared" si="91"/>
        <v>0</v>
      </c>
      <c r="AF65" s="49">
        <f t="shared" si="91"/>
        <v>0</v>
      </c>
      <c r="AG65" s="60">
        <f>IFERROR(AG21/$B51,0)</f>
        <v>1.0971428571428573E-9</v>
      </c>
      <c r="AH65" s="60">
        <f>IFERROR(AH21/$B51,0)</f>
        <v>1.7520000000000001E-6</v>
      </c>
      <c r="AI65" s="60">
        <f t="shared" si="92"/>
        <v>1.0964562309317064E-9</v>
      </c>
      <c r="AJ65" s="71">
        <f>IFERROR(up_RadSpec!$G$21*AJ21,".")*$B$65</f>
        <v>4557.2916666666661</v>
      </c>
      <c r="AK65" s="71">
        <f>IFERROR(up_RadSpec!$J$21*$AK$21,".")*$B$65</f>
        <v>2.8538812785388123</v>
      </c>
      <c r="AL65" s="49">
        <f t="shared" si="93"/>
        <v>1</v>
      </c>
      <c r="AM65" s="49">
        <f t="shared" si="93"/>
        <v>0.9423797539167309</v>
      </c>
      <c r="AN65" s="49">
        <f t="shared" si="94"/>
        <v>1</v>
      </c>
      <c r="AO65" s="60">
        <f>IFERROR(AO21/$B51,0)</f>
        <v>3.9999999999999996E-10</v>
      </c>
      <c r="AP65" s="60">
        <f>IFERROR(AP21/$B51,0)</f>
        <v>0</v>
      </c>
      <c r="AQ65" s="60">
        <f>IFERROR(AQ21/$B51,0)</f>
        <v>4.3800000000000004E-6</v>
      </c>
      <c r="AR65" s="60">
        <f>IFERROR(AR21/$B51,0)</f>
        <v>1.8087754064641833E-11</v>
      </c>
      <c r="AS65" s="60">
        <f t="shared" ref="AS65:AS76" si="99">(IF(AND(AO65&lt;&gt;0,AP65&lt;&gt;0,AQ65&lt;&gt;0,AR65&lt;&gt;0),1/((1/AO65)+(1/AP65)+(1/AQ65)+(1/AR65)),IF(AND(AO65&lt;&gt;0,AP65&lt;&gt;0,AQ65&lt;&gt;0,AR65=0), 1/((1/AO65)+(1/AP65)+(1/AQ65)),IF(AND(AO65&lt;&gt;0,AP65&lt;&gt;0,AQ65=0,AR65&lt;&gt;0),1/((1/AO65)+(1/AP65)+(1/AR65)),IF(AND(AO65&lt;&gt;0,AP65=0,AQ65&lt;&gt;0,AR65&lt;&gt;0),1/((1/AO65)+(1/AQ65)+(1/AR65)),IF(AND(AO65=0,AP65&lt;&gt;0,AQ65&lt;&gt;0,AR65&lt;&gt;0),1/((1/AP65)+(1/AQ65)+(1/AR65)),IF(AND(AO65&lt;&gt;0,AP65&lt;&gt;0,AQ65=0,AR65=0),1/((1/AO65)+(1/AP65)),IF(AND(AO65&lt;&gt;0,AP65=0,AQ65&lt;&gt;0,AR65=0),1/((1/AO65)+(1/AQ65)),IF(AND(AO65&lt;&gt;0,AP65=0,AQ65=0,AR65&lt;&gt;0),1/((1/AO65)+(1/AR65)),IF(AND(AO65=0,AP65=0,AQ65&lt;&gt;0,AR65&lt;&gt;0),1/((1/AQ65)+(1/AR65)),IF(AND(AO65=0,AP65&lt;&gt;0,AQ65=0,AR65&lt;&gt;0),1/((1/AP65)+(1/AR65)),IF(AND(AO65=0,AP65&lt;&gt;0,AQ65&lt;&gt;0,AR65=0),1/((1/AP65)+(1/AQ65)),IF(AND(AO65&lt;&gt;0,AP65=0,AQ65=0,AR65=0),1/((1/AO65)),IF(AND(AO65=0,AP65&lt;&gt;0,AQ65=0,AR65=0),1/((1/AP65)),IF(AND(AO65=0,AP65=0,AQ65&lt;&gt;0,AR65=0),1/((1/AQ65)),IF(AND(AO65=0,AP65=0,AQ65=0,AR65&lt;&gt;0),1/((1/AR65)),IF(AND(AO65=0,AP65=0,AQ65=0,AR65=0),0)))))))))))))))))</f>
        <v>1.7305154169200115E-11</v>
      </c>
      <c r="AT65" s="71">
        <f>IFERROR(up_RadSpec!$H$21*AT21,".")*$B$65</f>
        <v>12500</v>
      </c>
      <c r="AU65" s="71">
        <f>IFERROR(up_RadSpec!$G$21*AU21,".")*$B$65</f>
        <v>2278.645833333333</v>
      </c>
      <c r="AV65" s="71">
        <f>IFERROR(up_RadSpec!$L$21*AV21,".")*$B$65</f>
        <v>1.1415525114155249</v>
      </c>
      <c r="AW65" s="71">
        <f>up_b2w!AB65</f>
        <v>276430.1185283176</v>
      </c>
      <c r="AX65" s="49">
        <f t="shared" si="95"/>
        <v>1</v>
      </c>
      <c r="AY65" s="49">
        <f t="shared" si="96"/>
        <v>0</v>
      </c>
      <c r="AZ65" s="49">
        <f t="shared" si="97"/>
        <v>0.68067711563678512</v>
      </c>
      <c r="BA65" s="49">
        <f t="shared" si="97"/>
        <v>1</v>
      </c>
      <c r="BB65" s="49">
        <f t="shared" si="41"/>
        <v>1</v>
      </c>
      <c r="BC65" s="60">
        <f>IFERROR(BC21/$B51,0)</f>
        <v>7.2727272727272723E-11</v>
      </c>
      <c r="BD65" s="71">
        <f>IFERROR(up_RadSpec!$E$21*BD21,".")*$B$65</f>
        <v>68750</v>
      </c>
      <c r="BE65" s="49">
        <f t="shared" si="98"/>
        <v>1</v>
      </c>
    </row>
    <row r="66" spans="1:57" x14ac:dyDescent="0.25">
      <c r="A66" s="48" t="s">
        <v>1077</v>
      </c>
      <c r="B66" s="52">
        <v>0.99980000000000002</v>
      </c>
      <c r="C66" s="60">
        <f>IFERROR(C17/$B52,0)</f>
        <v>3.6370910545745511E-8</v>
      </c>
      <c r="D66" s="60">
        <f>IFERROR(D17/$B52,0)</f>
        <v>3.3996708971658404E-4</v>
      </c>
      <c r="E66" s="60">
        <f>IFERROR(E17/$B52,0)</f>
        <v>4.2986952368828715E-5</v>
      </c>
      <c r="F66" s="60">
        <f>IFERROR(F17/$B52,0)</f>
        <v>3.6272973517248939E-12</v>
      </c>
      <c r="G66" s="60">
        <f>IFERROR(G17/$B52,0)</f>
        <v>1.8185455272872755E-11</v>
      </c>
      <c r="H66" s="60">
        <f t="shared" si="88"/>
        <v>3.6269352900879945E-12</v>
      </c>
      <c r="I66" s="71">
        <f>IFERROR(up_RadSpec!$D$17*I17,".")*$B$66</f>
        <v>137.4725</v>
      </c>
      <c r="J66" s="71">
        <f>IFERROR(up_RadSpec!$G$17*$J$17,".")*B66</f>
        <v>1.4707305945902837E-2</v>
      </c>
      <c r="K66" s="71">
        <f>IFERROR(up_RadSpec!$F$17*$K$17,".")*B66</f>
        <v>0.11631436341659958</v>
      </c>
      <c r="L66" s="71">
        <f>up_b2s!AB66</f>
        <v>7929182.7115423055</v>
      </c>
      <c r="M66" s="49">
        <f t="shared" si="89"/>
        <v>1</v>
      </c>
      <c r="N66" s="49">
        <f t="shared" si="89"/>
        <v>1.4599681788302177E-2</v>
      </c>
      <c r="O66" s="49">
        <f t="shared" si="89"/>
        <v>0.1098046655404098</v>
      </c>
      <c r="P66" s="49">
        <f t="shared" si="89"/>
        <v>1</v>
      </c>
      <c r="Q66" s="49">
        <f t="shared" si="90"/>
        <v>1</v>
      </c>
      <c r="R66" s="60">
        <f>IFERROR(R17/$B52,0)</f>
        <v>4.2986952368828715E-5</v>
      </c>
      <c r="S66" s="60">
        <f>IFERROR(S17/$B52,0)</f>
        <v>7.5128689293733382E-5</v>
      </c>
      <c r="T66" s="60">
        <f>IFERROR(T17/$B52,0)</f>
        <v>5.6603038375863529E-5</v>
      </c>
      <c r="U66" s="60">
        <f>IFERROR(U17/$B52,0)</f>
        <v>5.0333203219704683E-5</v>
      </c>
      <c r="V66" s="60">
        <f>IFERROR(V17/$B52,0)</f>
        <v>1.4395679412794986E-4</v>
      </c>
      <c r="W66" s="71">
        <f>IFERROR(up_RadSpec!$F$17*$W$17,".")*$B$66</f>
        <v>0.11631436341659958</v>
      </c>
      <c r="X66" s="71">
        <f>IFERROR(up_RadSpec!$M$17*$X$17,".")*$B$66</f>
        <v>6.6552472124880524E-2</v>
      </c>
      <c r="Y66" s="71">
        <f>IFERROR(up_RadSpec!$N$17*$Y$17,".")*$B$66</f>
        <v>8.8334480682791094E-2</v>
      </c>
      <c r="Z66" s="71">
        <f>IFERROR(up_RadSpec!$O$17*$Z$17,".")*$B$66</f>
        <v>9.9338005136986318E-2</v>
      </c>
      <c r="AA66" s="71">
        <f>IFERROR(up_RadSpec!$K$17*$AA$17,".")*$B$66</f>
        <v>3.4732643431583811E-2</v>
      </c>
      <c r="AB66" s="49">
        <f t="shared" si="91"/>
        <v>0.1098046655404098</v>
      </c>
      <c r="AC66" s="49">
        <f t="shared" si="91"/>
        <v>6.4386179076967087E-2</v>
      </c>
      <c r="AD66" s="49">
        <f t="shared" si="91"/>
        <v>8.4545376379265513E-2</v>
      </c>
      <c r="AE66" s="49">
        <f t="shared" si="91"/>
        <v>9.4563385930972688E-2</v>
      </c>
      <c r="AF66" s="49">
        <f t="shared" si="91"/>
        <v>3.4136388278310115E-2</v>
      </c>
      <c r="AG66" s="60">
        <f>IFERROR(AG17/$B52,0)</f>
        <v>1.097362329608779E-9</v>
      </c>
      <c r="AH66" s="60">
        <f>IFERROR(AH17/$B52,0)</f>
        <v>1.7523504700940188E-6</v>
      </c>
      <c r="AI66" s="60">
        <f t="shared" si="92"/>
        <v>1.0966755660449152E-9</v>
      </c>
      <c r="AJ66" s="71">
        <f>IFERROR(up_RadSpec!$G$17*AJ17,".")*$B$66</f>
        <v>4556.380208333333</v>
      </c>
      <c r="AK66" s="71">
        <f>IFERROR(up_RadSpec!$J$17*$AK$17,".")*$B$66</f>
        <v>2.8533105022831045</v>
      </c>
      <c r="AL66" s="49">
        <f t="shared" si="93"/>
        <v>1</v>
      </c>
      <c r="AM66" s="49">
        <f t="shared" si="93"/>
        <v>0.94234685626071124</v>
      </c>
      <c r="AN66" s="49">
        <f t="shared" si="94"/>
        <v>1</v>
      </c>
      <c r="AO66" s="60">
        <f>IFERROR(AO17/$B52,0)</f>
        <v>4.0008001600320061E-10</v>
      </c>
      <c r="AP66" s="60">
        <f>IFERROR(AP17/$B52,0)</f>
        <v>0</v>
      </c>
      <c r="AQ66" s="60">
        <f>IFERROR(AQ17/$B52,0)</f>
        <v>4.3808761752350469E-6</v>
      </c>
      <c r="AR66" s="60">
        <f>IFERROR(AR17/$B52,0)</f>
        <v>1.8091372339109655E-11</v>
      </c>
      <c r="AS66" s="60">
        <f t="shared" si="99"/>
        <v>1.7308615892378589E-11</v>
      </c>
      <c r="AT66" s="71">
        <f>IFERROR(up_RadSpec!$H$17*AT17,".")*$B$66</f>
        <v>12497.5</v>
      </c>
      <c r="AU66" s="71">
        <f>IFERROR(up_RadSpec!$G$17*AU17,".")*$B$66</f>
        <v>2278.1901041666665</v>
      </c>
      <c r="AV66" s="71">
        <f>IFERROR(up_RadSpec!$L$17*AV17,".")*$B$66</f>
        <v>1.1413242009132418</v>
      </c>
      <c r="AW66" s="71">
        <f>up_b2w!AB66</f>
        <v>276485.41561143985</v>
      </c>
      <c r="AX66" s="49">
        <f t="shared" si="95"/>
        <v>1</v>
      </c>
      <c r="AY66" s="49">
        <f t="shared" si="96"/>
        <v>0</v>
      </c>
      <c r="AZ66" s="49">
        <f t="shared" si="97"/>
        <v>0.68060420254557019</v>
      </c>
      <c r="BA66" s="49">
        <f t="shared" si="97"/>
        <v>1</v>
      </c>
      <c r="BB66" s="49">
        <f t="shared" si="41"/>
        <v>1</v>
      </c>
      <c r="BC66" s="60">
        <f>IFERROR(BC17/$B52,0)</f>
        <v>7.2741821091491019E-11</v>
      </c>
      <c r="BD66" s="71">
        <f>IFERROR(up_RadSpec!$E$17*BD17,".")*$B$66</f>
        <v>68736.25</v>
      </c>
      <c r="BE66" s="49">
        <f t="shared" si="98"/>
        <v>1</v>
      </c>
    </row>
    <row r="67" spans="1:57" x14ac:dyDescent="0.25">
      <c r="A67" s="48" t="s">
        <v>1091</v>
      </c>
      <c r="B67" s="45">
        <v>2.0000000000000001E-4</v>
      </c>
      <c r="C67" s="60">
        <f>IFERROR(C5/$B53,0)</f>
        <v>1.8181818181818181E-4</v>
      </c>
      <c r="D67" s="60">
        <f>IFERROR(D5/$B53,0)</f>
        <v>1.6994954814932035</v>
      </c>
      <c r="E67" s="60">
        <f>IFERROR(E5/$B53,0)</f>
        <v>0</v>
      </c>
      <c r="F67" s="60">
        <f>IFERROR(F5/$B53,0)</f>
        <v>1.8132859461272745E-8</v>
      </c>
      <c r="G67" s="60">
        <f>IFERROR(G5/$B53,0)</f>
        <v>9.0909090909090901E-8</v>
      </c>
      <c r="H67" s="60">
        <f t="shared" si="88"/>
        <v>1.8131051044919853E-8</v>
      </c>
      <c r="I67" s="71">
        <f>IFERROR(up_RadSpec!$D$5*I5,".")*$B$67</f>
        <v>2.75E-2</v>
      </c>
      <c r="J67" s="71">
        <f>IFERROR(up_RadSpec!$G$5*$J$5,".")*B67</f>
        <v>2.9420495991003874E-6</v>
      </c>
      <c r="K67" s="71">
        <f>IFERROR(up_RadSpec!$F$5*$K$5,".")*B67</f>
        <v>0</v>
      </c>
      <c r="L67" s="71">
        <f>up_b2s!AB67</f>
        <v>39637984375</v>
      </c>
      <c r="M67" s="49">
        <f t="shared" si="89"/>
        <v>2.7125317446546005E-2</v>
      </c>
      <c r="N67" s="49">
        <f t="shared" si="89"/>
        <v>2.9420495991003874E-6</v>
      </c>
      <c r="O67" s="49">
        <f t="shared" si="89"/>
        <v>0</v>
      </c>
      <c r="P67" s="49">
        <f t="shared" si="89"/>
        <v>1</v>
      </c>
      <c r="Q67" s="49">
        <f t="shared" si="90"/>
        <v>1</v>
      </c>
      <c r="R67" s="60">
        <f>IFERROR(R5/$B53,0)</f>
        <v>0</v>
      </c>
      <c r="S67" s="60">
        <f>IFERROR(S5/$B53,0)</f>
        <v>0</v>
      </c>
      <c r="T67" s="60">
        <f>IFERROR(T5/$B53,0)</f>
        <v>0</v>
      </c>
      <c r="U67" s="60">
        <f>IFERROR(U5/$B53,0)</f>
        <v>0</v>
      </c>
      <c r="V67" s="60">
        <f>IFERROR(V5/$B53,0)</f>
        <v>0</v>
      </c>
      <c r="W67" s="71">
        <f>IFERROR(up_RadSpec!$F$5*$W$5,".")*$B$67</f>
        <v>0</v>
      </c>
      <c r="X67" s="71">
        <f>IFERROR(up_RadSpec!$M$5*$X$5,".")*$B$67</f>
        <v>0</v>
      </c>
      <c r="Y67" s="71">
        <f>IFERROR(up_RadSpec!$N$5*$Y$5,".")*$B$67</f>
        <v>0</v>
      </c>
      <c r="Z67" s="71">
        <f>IFERROR(up_RadSpec!$O$5*$Z$5,".")*$B$67</f>
        <v>0</v>
      </c>
      <c r="AA67" s="71">
        <f>IFERROR(up_RadSpec!$K$5*$AA$5,".")*$B$67</f>
        <v>0</v>
      </c>
      <c r="AB67" s="49">
        <f t="shared" si="91"/>
        <v>0</v>
      </c>
      <c r="AC67" s="49">
        <f t="shared" si="91"/>
        <v>0</v>
      </c>
      <c r="AD67" s="49">
        <f t="shared" si="91"/>
        <v>0</v>
      </c>
      <c r="AE67" s="49">
        <f t="shared" si="91"/>
        <v>0</v>
      </c>
      <c r="AF67" s="49">
        <f t="shared" si="91"/>
        <v>0</v>
      </c>
      <c r="AG67" s="60">
        <f>IFERROR(AG5/$B53,0)</f>
        <v>5.4857142857142858E-6</v>
      </c>
      <c r="AH67" s="60">
        <f>IFERROR(AH5/$B53,0)</f>
        <v>8.7600000000000004E-3</v>
      </c>
      <c r="AI67" s="60">
        <f t="shared" si="92"/>
        <v>5.4822811546585309E-6</v>
      </c>
      <c r="AJ67" s="71">
        <f>IFERROR(up_RadSpec!$G$5*AJ5,".")*$B$67</f>
        <v>0.91145833333333326</v>
      </c>
      <c r="AK67" s="71">
        <f>IFERROR(up_RadSpec!$J$5*$AK$5,".")*$B$67</f>
        <v>5.7077625570776253E-4</v>
      </c>
      <c r="AL67" s="49">
        <f t="shared" si="93"/>
        <v>0.59806236263633994</v>
      </c>
      <c r="AM67" s="49">
        <f t="shared" si="93"/>
        <v>5.7077625570776253E-4</v>
      </c>
      <c r="AN67" s="49">
        <f t="shared" si="94"/>
        <v>0.59829171363574352</v>
      </c>
      <c r="AO67" s="60">
        <f>IFERROR(AO5/$B53,0)</f>
        <v>1.9999999999999999E-6</v>
      </c>
      <c r="AP67" s="60">
        <f>IFERROR(AP5/$B53,0)</f>
        <v>0</v>
      </c>
      <c r="AQ67" s="60">
        <f>IFERROR(AQ5/$B53,0)</f>
        <v>2.1899999999999999E-2</v>
      </c>
      <c r="AR67" s="60">
        <f>IFERROR(AR5/$B53,0)</f>
        <v>9.0438770323209157E-8</v>
      </c>
      <c r="AS67" s="60">
        <f t="shared" si="99"/>
        <v>8.6525770846000549E-8</v>
      </c>
      <c r="AT67" s="71">
        <f>IFERROR(up_RadSpec!$H$5*AT5,".")*$B$67</f>
        <v>2.5</v>
      </c>
      <c r="AU67" s="71">
        <f>IFERROR(up_RadSpec!$G$5*AU5,".")*$B$67</f>
        <v>0.45572916666666663</v>
      </c>
      <c r="AV67" s="71">
        <f>IFERROR(up_RadSpec!$L$5*AV5,".")*$B$67</f>
        <v>2.2831050228310499E-4</v>
      </c>
      <c r="AW67" s="71">
        <f>up_b2w!AB67</f>
        <v>1382150592.6415877</v>
      </c>
      <c r="AX67" s="49">
        <f t="shared" si="95"/>
        <v>0.91791500137610116</v>
      </c>
      <c r="AY67" s="49">
        <f t="shared" si="96"/>
        <v>0</v>
      </c>
      <c r="AZ67" s="49">
        <f t="shared" si="97"/>
        <v>2.2831050228310499E-4</v>
      </c>
      <c r="BA67" s="49">
        <f t="shared" si="97"/>
        <v>1</v>
      </c>
      <c r="BB67" s="49">
        <f t="shared" si="41"/>
        <v>1</v>
      </c>
      <c r="BC67" s="60">
        <f>IFERROR(BC5/$B53,0)</f>
        <v>3.6363636363636361E-7</v>
      </c>
      <c r="BD67" s="71">
        <f>IFERROR(up_RadSpec!$E$5*BD5,".")*$B$67</f>
        <v>13.75</v>
      </c>
      <c r="BE67" s="49">
        <f t="shared" si="98"/>
        <v>0.99999893229599002</v>
      </c>
    </row>
    <row r="68" spans="1:57" x14ac:dyDescent="0.25">
      <c r="A68" s="48" t="s">
        <v>1092</v>
      </c>
      <c r="B68" s="45">
        <v>0.99999979999999999</v>
      </c>
      <c r="C68" s="60">
        <f>IFERROR(C9/$B54,0)</f>
        <v>3.6363643636365089E-8</v>
      </c>
      <c r="D68" s="60">
        <f>IFERROR(D9/$B54,0)</f>
        <v>3.3989916427847359E-4</v>
      </c>
      <c r="E68" s="60">
        <f>IFERROR(E9/$B54,0)</f>
        <v>1.5890225086615544E-5</v>
      </c>
      <c r="F68" s="60">
        <f>IFERROR(F9/$B54,0)</f>
        <v>3.6265726175690729E-12</v>
      </c>
      <c r="G68" s="60">
        <f>IFERROR(G9/$B54,0)</f>
        <v>1.8181821818182545E-11</v>
      </c>
      <c r="H68" s="60">
        <f t="shared" si="88"/>
        <v>3.626210106710961E-12</v>
      </c>
      <c r="I68" s="71">
        <f>IFERROR(up_RadSpec!$D$9*I9,".")*$B$68</f>
        <v>137.49997250000001</v>
      </c>
      <c r="J68" s="71">
        <f>IFERROR(up_RadSpec!$G$9*$J$9,".")*B68</f>
        <v>1.4710245053452338E-2</v>
      </c>
      <c r="K68" s="71">
        <f>IFERROR(up_RadSpec!$F$9*$K$9,".")*B68</f>
        <v>0.31465885302100205</v>
      </c>
      <c r="L68" s="71">
        <f>up_b2s!AB68</f>
        <v>7927598.4605196863</v>
      </c>
      <c r="M68" s="49">
        <f t="shared" si="89"/>
        <v>1</v>
      </c>
      <c r="N68" s="49">
        <f t="shared" si="89"/>
        <v>1.4602577981560616E-2</v>
      </c>
      <c r="O68" s="49">
        <f t="shared" si="89"/>
        <v>0.26996211798947556</v>
      </c>
      <c r="P68" s="49">
        <f t="shared" si="89"/>
        <v>1</v>
      </c>
      <c r="Q68" s="49">
        <f t="shared" si="90"/>
        <v>1</v>
      </c>
      <c r="R68" s="60">
        <f>IFERROR(R9/$B54,0)</f>
        <v>1.5890225086615544E-5</v>
      </c>
      <c r="S68" s="60">
        <f>IFERROR(S9/$B54,0)</f>
        <v>3.2545839842501317E-5</v>
      </c>
      <c r="T68" s="60">
        <f>IFERROR(T9/$B54,0)</f>
        <v>2.2899889783288952E-5</v>
      </c>
      <c r="U68" s="60">
        <f>IFERROR(U9/$B54,0)</f>
        <v>1.8876771452121968E-5</v>
      </c>
      <c r="V68" s="60">
        <f>IFERROR(V9/$B54,0)</f>
        <v>5.764777847309731E-5</v>
      </c>
      <c r="W68" s="71">
        <f>IFERROR(up_RadSpec!$F$9*$W$9,".")*$B$68</f>
        <v>0.31465885302100205</v>
      </c>
      <c r="X68" s="71">
        <f>IFERROR(up_RadSpec!$M$9*$X$9,".")*$B$68</f>
        <v>0.15362946613749831</v>
      </c>
      <c r="Y68" s="71">
        <f>IFERROR(up_RadSpec!$N$9*$Y$9,".")*$B$68</f>
        <v>0.21834166222270282</v>
      </c>
      <c r="Z68" s="71">
        <f>IFERROR(up_RadSpec!$O$9*$Z$9,".")*$B$68</f>
        <v>0.26487580318921228</v>
      </c>
      <c r="AA68" s="71">
        <f>IFERROR(up_RadSpec!$K$9*$AA$9,".")*$B$68</f>
        <v>8.6733611119695922E-2</v>
      </c>
      <c r="AB68" s="49">
        <f t="shared" si="91"/>
        <v>0.26996211798947556</v>
      </c>
      <c r="AC68" s="49">
        <f t="shared" si="91"/>
        <v>0.14241027181838506</v>
      </c>
      <c r="AD68" s="49">
        <f t="shared" si="91"/>
        <v>0.19614925069049927</v>
      </c>
      <c r="AE68" s="49">
        <f t="shared" si="91"/>
        <v>0.23269875957467745</v>
      </c>
      <c r="AF68" s="49">
        <f t="shared" si="91"/>
        <v>8.3078679253758669E-2</v>
      </c>
      <c r="AG68" s="60">
        <f>IFERROR(AG9/$B54,0)</f>
        <v>1.0971430765714725E-9</v>
      </c>
      <c r="AH68" s="60">
        <f>IFERROR(AH9/$B54,0)</f>
        <v>1.7520003504000703E-6</v>
      </c>
      <c r="AI68" s="60">
        <f t="shared" si="92"/>
        <v>1.0964564502229962E-9</v>
      </c>
      <c r="AJ68" s="71">
        <f>IFERROR(up_RadSpec!$G$9*AJ9,".")*$B$68</f>
        <v>4557.2907552083325</v>
      </c>
      <c r="AK68" s="71">
        <f>IFERROR(up_RadSpec!$J$9*$AK$9,".")*$B$68</f>
        <v>2.8538807077625568</v>
      </c>
      <c r="AL68" s="49">
        <f t="shared" si="93"/>
        <v>1</v>
      </c>
      <c r="AM68" s="49">
        <f t="shared" si="93"/>
        <v>0.94237972102845324</v>
      </c>
      <c r="AN68" s="49">
        <f t="shared" si="94"/>
        <v>1</v>
      </c>
      <c r="AO68" s="60">
        <f>IFERROR(AO9/$B54,0)</f>
        <v>4.0000008000001598E-10</v>
      </c>
      <c r="AP68" s="60">
        <f>IFERROR(AP9/$B54,0)</f>
        <v>0</v>
      </c>
      <c r="AQ68" s="60">
        <f>IFERROR(AQ9/$B54,0)</f>
        <v>4.380000876000176E-6</v>
      </c>
      <c r="AR68" s="60">
        <f>IFERROR(AR9/$B54,0)</f>
        <v>1.8087757682193371E-11</v>
      </c>
      <c r="AS68" s="60">
        <f t="shared" si="99"/>
        <v>1.7305157630231641E-11</v>
      </c>
      <c r="AT68" s="71">
        <f>IFERROR(up_RadSpec!$H$9*AT9,".")*$B$68</f>
        <v>12499.997499999999</v>
      </c>
      <c r="AU68" s="71">
        <f>IFERROR(up_RadSpec!$G$9*AU9,".")*$B$68</f>
        <v>2278.6453776041662</v>
      </c>
      <c r="AV68" s="71">
        <f>IFERROR(up_RadSpec!$L$9*AV9,".")*$B$68</f>
        <v>1.1415522831050227</v>
      </c>
      <c r="AW68" s="71">
        <f>up_b2w!AB68</f>
        <v>276430.17381435237</v>
      </c>
      <c r="AX68" s="49">
        <f t="shared" si="95"/>
        <v>1</v>
      </c>
      <c r="AY68" s="49">
        <f t="shared" si="96"/>
        <v>0</v>
      </c>
      <c r="AZ68" s="49">
        <f t="shared" si="97"/>
        <v>0.68067704273200869</v>
      </c>
      <c r="BA68" s="49">
        <f t="shared" si="97"/>
        <v>1</v>
      </c>
      <c r="BB68" s="49">
        <f t="shared" si="41"/>
        <v>1</v>
      </c>
      <c r="BC68" s="60">
        <f>IFERROR(BC9/$B54,0)</f>
        <v>7.272728727273018E-11</v>
      </c>
      <c r="BD68" s="71">
        <f>IFERROR(up_RadSpec!$E$9*BD9,".")*$B$68</f>
        <v>68749.986250000002</v>
      </c>
      <c r="BE68" s="49">
        <f t="shared" si="98"/>
        <v>1</v>
      </c>
    </row>
    <row r="69" spans="1:57" x14ac:dyDescent="0.25">
      <c r="A69" s="48" t="s">
        <v>1093</v>
      </c>
      <c r="B69" s="45">
        <v>1.9999999999999999E-7</v>
      </c>
      <c r="C69" s="60">
        <f>IFERROR(C24/$B55,0)</f>
        <v>0.18181818181818182</v>
      </c>
      <c r="D69" s="60">
        <f>IFERROR(D24/$B55,0)</f>
        <v>1699.4954814932037</v>
      </c>
      <c r="E69" s="60">
        <f>IFERROR(E24/$B55,0)</f>
        <v>140.21138473094058</v>
      </c>
      <c r="F69" s="60">
        <f>IFERROR(F24/$B55,0)</f>
        <v>1.8132859461272745E-5</v>
      </c>
      <c r="G69" s="60">
        <f>IFERROR(G24/$B55,0)</f>
        <v>9.0909090909090904E-5</v>
      </c>
      <c r="H69" s="60">
        <f t="shared" si="88"/>
        <v>1.8131048700352971E-5</v>
      </c>
      <c r="I69" s="71">
        <f>IFERROR(up_RadSpec!$D$24*I24,".")*$B$69</f>
        <v>2.7499999999999998E-5</v>
      </c>
      <c r="J69" s="71">
        <f>IFERROR(up_RadSpec!$G$24*$J$24,".")*B69</f>
        <v>2.9420495991003874E-9</v>
      </c>
      <c r="K69" s="71">
        <f>IFERROR(up_RadSpec!$F$24*$K$24,".")*B69</f>
        <v>3.5660442335654684E-8</v>
      </c>
      <c r="L69" s="71">
        <f>up_b2s!AB69</f>
        <v>39637984375000</v>
      </c>
      <c r="M69" s="49">
        <f t="shared" si="89"/>
        <v>2.7499999999999998E-5</v>
      </c>
      <c r="N69" s="49">
        <f t="shared" si="89"/>
        <v>2.9420495991003874E-9</v>
      </c>
      <c r="O69" s="49">
        <f t="shared" si="89"/>
        <v>3.5660442335654684E-8</v>
      </c>
      <c r="P69" s="49">
        <f t="shared" si="89"/>
        <v>1</v>
      </c>
      <c r="Q69" s="49">
        <f t="shared" si="90"/>
        <v>1</v>
      </c>
      <c r="R69" s="60">
        <f>IFERROR(R24/$B55,0)</f>
        <v>140.21138473094058</v>
      </c>
      <c r="S69" s="60">
        <f>IFERROR(S24/$B55,0)</f>
        <v>254.20533851356214</v>
      </c>
      <c r="T69" s="60">
        <f>IFERROR(T24/$B55,0)</f>
        <v>179.48539523170462</v>
      </c>
      <c r="U69" s="60">
        <f>IFERROR(U24/$B55,0)</f>
        <v>149.88194230571813</v>
      </c>
      <c r="V69" s="60">
        <f>IFERROR(V24/$B55,0)</f>
        <v>422.4908424908424</v>
      </c>
      <c r="W69" s="71">
        <f>IFERROR(up_RadSpec!$F$24*$W$24,".")*$B$69</f>
        <v>3.5660442335654684E-8</v>
      </c>
      <c r="X69" s="71">
        <f>IFERROR(up_RadSpec!$M$24*$X$24,".")*$B$69</f>
        <v>1.966913845805502E-8</v>
      </c>
      <c r="Y69" s="71">
        <f>IFERROR(up_RadSpec!$N$24*$Y$24,".")*$B$69</f>
        <v>2.7857419783628111E-8</v>
      </c>
      <c r="Z69" s="71">
        <f>IFERROR(up_RadSpec!$O$24*$Z$24,".")*$B$69</f>
        <v>3.3359589041095882E-8</v>
      </c>
      <c r="AA69" s="71">
        <f>IFERROR(up_RadSpec!$K$24*$AA$24,".")*$B$69</f>
        <v>1.1834576036067282E-8</v>
      </c>
      <c r="AB69" s="49">
        <f t="shared" si="91"/>
        <v>3.5660442335654684E-8</v>
      </c>
      <c r="AC69" s="49">
        <f t="shared" si="91"/>
        <v>1.966913845805502E-8</v>
      </c>
      <c r="AD69" s="49">
        <f t="shared" si="91"/>
        <v>2.7857419783628111E-8</v>
      </c>
      <c r="AE69" s="49">
        <f t="shared" si="91"/>
        <v>3.3359589041095882E-8</v>
      </c>
      <c r="AF69" s="49">
        <f t="shared" si="91"/>
        <v>1.1834576036067282E-8</v>
      </c>
      <c r="AG69" s="60">
        <f>IFERROR(AG24/$B55,0)</f>
        <v>5.4857142857142865E-3</v>
      </c>
      <c r="AH69" s="60">
        <f>IFERROR(AH24/$B55,0)</f>
        <v>8.7600000000000016</v>
      </c>
      <c r="AI69" s="60">
        <f t="shared" si="92"/>
        <v>5.4822811546585328E-3</v>
      </c>
      <c r="AJ69" s="71">
        <f>IFERROR(up_RadSpec!$G$24*AJ24,".")*$B$69</f>
        <v>9.1145833333333313E-4</v>
      </c>
      <c r="AK69" s="71">
        <f>IFERROR(up_RadSpec!$J$24*$AK$24,".")*$B$69</f>
        <v>5.7077625570776247E-7</v>
      </c>
      <c r="AL69" s="49">
        <f t="shared" si="93"/>
        <v>9.1145833333333313E-4</v>
      </c>
      <c r="AM69" s="49">
        <f t="shared" si="93"/>
        <v>5.7077625570776247E-7</v>
      </c>
      <c r="AN69" s="49">
        <f t="shared" si="94"/>
        <v>9.1202910958904093E-4</v>
      </c>
      <c r="AO69" s="60">
        <f>IFERROR(AO24/$B55,0)</f>
        <v>2E-3</v>
      </c>
      <c r="AP69" s="60">
        <f>IFERROR(AP24/$B55,0)</f>
        <v>0</v>
      </c>
      <c r="AQ69" s="60">
        <f>IFERROR(AQ24/$B55,0)</f>
        <v>21.900000000000002</v>
      </c>
      <c r="AR69" s="60">
        <f>IFERROR(AR24/$B55,0)</f>
        <v>9.0438770323209169E-5</v>
      </c>
      <c r="AS69" s="60">
        <f t="shared" si="99"/>
        <v>8.6525770846000572E-5</v>
      </c>
      <c r="AT69" s="71">
        <f>IFERROR(up_RadSpec!$H$24*AT24,".")*$B$69</f>
        <v>2.5000000000000001E-3</v>
      </c>
      <c r="AU69" s="71">
        <f>IFERROR(up_RadSpec!$G$24*AU24,".")*$B$69</f>
        <v>4.5572916666666657E-4</v>
      </c>
      <c r="AV69" s="71">
        <f>IFERROR(up_RadSpec!$L$24*AV24,".")*$B$69</f>
        <v>2.2831050228310497E-7</v>
      </c>
      <c r="AW69" s="71">
        <f>up_b2w!AB69</f>
        <v>1382150592641.5879</v>
      </c>
      <c r="AX69" s="49">
        <f t="shared" si="95"/>
        <v>2.5000000000000001E-3</v>
      </c>
      <c r="AY69" s="49">
        <f t="shared" si="96"/>
        <v>0</v>
      </c>
      <c r="AZ69" s="49">
        <f t="shared" si="97"/>
        <v>2.2831050228310497E-7</v>
      </c>
      <c r="BA69" s="49">
        <f t="shared" si="97"/>
        <v>1</v>
      </c>
      <c r="BB69" s="49">
        <f t="shared" si="41"/>
        <v>1</v>
      </c>
      <c r="BC69" s="60">
        <f>IFERROR(BC24/$B55,0)</f>
        <v>3.6363636363636361E-4</v>
      </c>
      <c r="BD69" s="71">
        <f>IFERROR(up_RadSpec!$E$24*BD24,".")*$B$69</f>
        <v>1.375E-2</v>
      </c>
      <c r="BE69" s="49">
        <f t="shared" si="98"/>
        <v>1.3655900532955956E-2</v>
      </c>
    </row>
    <row r="70" spans="1:57" x14ac:dyDescent="0.25">
      <c r="A70" s="48" t="s">
        <v>1094</v>
      </c>
      <c r="B70" s="45">
        <v>0.99979000004200003</v>
      </c>
      <c r="C70" s="60">
        <f>IFERROR(C20/$B56,0)</f>
        <v>3.6371274329718007E-8</v>
      </c>
      <c r="D70" s="60">
        <f>IFERROR(D20/$B56,0)</f>
        <v>3.3997049008728026E-4</v>
      </c>
      <c r="E70" s="60">
        <f>IFERROR(E20/$B56,0)</f>
        <v>2.1967586925005828E-5</v>
      </c>
      <c r="F70" s="60">
        <f>IFERROR(F20/$B56,0)</f>
        <v>3.6273336321649558E-12</v>
      </c>
      <c r="G70" s="60">
        <f>IFERROR(G20/$B56,0)</f>
        <v>1.8185637164859005E-11</v>
      </c>
      <c r="H70" s="60">
        <f t="shared" si="88"/>
        <v>3.6269712740916428E-12</v>
      </c>
      <c r="I70" s="71">
        <f>IFERROR(up_RadSpec!$D$20*I20,".")*$B$70</f>
        <v>137.47112500577501</v>
      </c>
      <c r="J70" s="71">
        <f>IFERROR(up_RadSpec!$G$20*$J$20,".")*B70</f>
        <v>1.4707158844040712E-2</v>
      </c>
      <c r="K70" s="71">
        <f>IFERROR(up_RadSpec!$F$20*$K$20,".")*B70</f>
        <v>0.2276080671522675</v>
      </c>
      <c r="L70" s="71">
        <f>up_b2s!AB70</f>
        <v>7929262.0196911097</v>
      </c>
      <c r="M70" s="49">
        <f t="shared" si="89"/>
        <v>1</v>
      </c>
      <c r="N70" s="49">
        <f t="shared" si="89"/>
        <v>1.4599536834069782E-2</v>
      </c>
      <c r="O70" s="49">
        <f t="shared" si="89"/>
        <v>0.2035636517613868</v>
      </c>
      <c r="P70" s="49">
        <f t="shared" si="89"/>
        <v>1</v>
      </c>
      <c r="Q70" s="49">
        <f t="shared" si="90"/>
        <v>1</v>
      </c>
      <c r="R70" s="60">
        <f>IFERROR(R20/$B56,0)</f>
        <v>2.1967586925005828E-5</v>
      </c>
      <c r="S70" s="60">
        <f>IFERROR(S20/$B56,0)</f>
        <v>4.3322161960281317E-5</v>
      </c>
      <c r="T70" s="60">
        <f>IFERROR(T20/$B56,0)</f>
        <v>3.0311615743283314E-5</v>
      </c>
      <c r="U70" s="60">
        <f>IFERROR(U20/$B56,0)</f>
        <v>2.5451968005894182E-5</v>
      </c>
      <c r="V70" s="60">
        <f>IFERROR(V20/$B56,0)</f>
        <v>7.3819305854932953E-5</v>
      </c>
      <c r="W70" s="71">
        <f>IFERROR(up_RadSpec!$F$20*$W$20,".")*$B$70</f>
        <v>0.2276080671522675</v>
      </c>
      <c r="X70" s="71">
        <f>IFERROR(up_RadSpec!$M$20*$X$20,".")*$B$70</f>
        <v>0.1154143693148118</v>
      </c>
      <c r="Y70" s="71">
        <f>IFERROR(up_RadSpec!$N$20*$Y$20,".")*$B$70</f>
        <v>0.16495326551861356</v>
      </c>
      <c r="Z70" s="71">
        <f>IFERROR(up_RadSpec!$O$20*$Z$20,".")*$B$70</f>
        <v>0.19644846319318399</v>
      </c>
      <c r="AA70" s="71">
        <f>IFERROR(up_RadSpec!$K$20*$AA$20,".")*$B$70</f>
        <v>6.7732958771324944E-2</v>
      </c>
      <c r="AB70" s="49">
        <f t="shared" si="91"/>
        <v>0.2035636517613868</v>
      </c>
      <c r="AC70" s="49">
        <f t="shared" si="91"/>
        <v>0.10900313435739128</v>
      </c>
      <c r="AD70" s="49">
        <f t="shared" si="91"/>
        <v>0.15206666911359101</v>
      </c>
      <c r="AE70" s="49">
        <f t="shared" si="91"/>
        <v>0.17835632490453279</v>
      </c>
      <c r="AF70" s="49">
        <f t="shared" si="91"/>
        <v>6.5490007043521814E-2</v>
      </c>
      <c r="AG70" s="60">
        <f>IFERROR(AG20/$B56,0)</f>
        <v>1.0973733054909206E-9</v>
      </c>
      <c r="AH70" s="60">
        <f>IFERROR(AH20/$B56,0)</f>
        <v>1.7523679972058138E-6</v>
      </c>
      <c r="AI70" s="60">
        <f t="shared" si="92"/>
        <v>1.0966865350580075E-9</v>
      </c>
      <c r="AJ70" s="71">
        <f>IFERROR(up_RadSpec!$G$20*AJ20,".")*$B$70</f>
        <v>4556.3346356080729</v>
      </c>
      <c r="AK70" s="71">
        <f>IFERROR(up_RadSpec!$J$20*$AK$20,".")*$B$70</f>
        <v>2.8532819635901823</v>
      </c>
      <c r="AL70" s="49">
        <f t="shared" si="93"/>
        <v>1</v>
      </c>
      <c r="AM70" s="49">
        <f t="shared" si="93"/>
        <v>0.94234521089186785</v>
      </c>
      <c r="AN70" s="49">
        <f t="shared" si="94"/>
        <v>1</v>
      </c>
      <c r="AO70" s="60">
        <f>IFERROR(AO20/$B56,0)</f>
        <v>4.0008401762689807E-10</v>
      </c>
      <c r="AP70" s="60">
        <f>IFERROR(AP20/$B56,0)</f>
        <v>0</v>
      </c>
      <c r="AQ70" s="60">
        <f>IFERROR(AQ20/$B56,0)</f>
        <v>4.3809199930145349E-6</v>
      </c>
      <c r="AR70" s="60">
        <f>IFERROR(AR20/$B56,0)</f>
        <v>1.8091553290072903E-11</v>
      </c>
      <c r="AS70" s="60">
        <f t="shared" si="99"/>
        <v>1.7308789014166119E-11</v>
      </c>
      <c r="AT70" s="71">
        <f>IFERROR(up_RadSpec!$H$20*AT20,".")*$B$70</f>
        <v>12497.375000525</v>
      </c>
      <c r="AU70" s="71">
        <f>IFERROR(up_RadSpec!$G$20*AU20,".")*$B$70</f>
        <v>2278.1673178040364</v>
      </c>
      <c r="AV70" s="71">
        <f>IFERROR(up_RadSpec!$L$20*AV20,".")*$B$70</f>
        <v>1.141312785436073</v>
      </c>
      <c r="AW70" s="71">
        <f>up_b2w!AB70</f>
        <v>276488.18103472237</v>
      </c>
      <c r="AX70" s="49">
        <f t="shared" si="95"/>
        <v>1</v>
      </c>
      <c r="AY70" s="49">
        <f t="shared" si="96"/>
        <v>0</v>
      </c>
      <c r="AZ70" s="49">
        <f t="shared" si="97"/>
        <v>0.68060055646932571</v>
      </c>
      <c r="BA70" s="49">
        <f t="shared" si="97"/>
        <v>1</v>
      </c>
      <c r="BB70" s="49">
        <f t="shared" si="41"/>
        <v>1</v>
      </c>
      <c r="BC70" s="60">
        <f>IFERROR(BC20/$B56,0)</f>
        <v>7.2742548659436019E-11</v>
      </c>
      <c r="BD70" s="71">
        <f>IFERROR(up_RadSpec!$E$20*BD20,".")*$B$70</f>
        <v>68735.562502887507</v>
      </c>
      <c r="BE70" s="49">
        <f t="shared" si="98"/>
        <v>1</v>
      </c>
    </row>
    <row r="71" spans="1:57" x14ac:dyDescent="0.25">
      <c r="A71" s="48" t="s">
        <v>1095</v>
      </c>
      <c r="B71" s="45">
        <v>2.0999995799999999E-4</v>
      </c>
      <c r="C71" s="60">
        <f>IFERROR(C29/$B57,0)</f>
        <v>1.7316020779221473E-4</v>
      </c>
      <c r="D71" s="60">
        <f>IFERROR(D29/$B57,0)</f>
        <v>1.6185674489451123</v>
      </c>
      <c r="E71" s="60">
        <f>IFERROR(E29/$B57,0)</f>
        <v>8.231418074421358E-2</v>
      </c>
      <c r="F71" s="60">
        <f>IFERROR(F29/$B57,0)</f>
        <v>1.7269393416995584E-8</v>
      </c>
      <c r="G71" s="60">
        <f>IFERROR(G29/$B57,0)</f>
        <v>8.6580103896107364E-8</v>
      </c>
      <c r="H71" s="60">
        <f t="shared" si="88"/>
        <v>1.7267667492992848E-8</v>
      </c>
      <c r="I71" s="71">
        <f>IFERROR(up_RadSpec!$D$29*I29,".")*$B$71</f>
        <v>2.8874994224999999E-2</v>
      </c>
      <c r="J71" s="71">
        <f>IFERROR(up_RadSpec!$G$29*$J$29,".")*B71</f>
        <v>3.0891514612249906E-6</v>
      </c>
      <c r="K71" s="71">
        <f>IFERROR(up_RadSpec!$F$29*$K$29,".")*B71</f>
        <v>6.0742875101159081E-5</v>
      </c>
      <c r="L71" s="71">
        <f>up_b2s!AB71</f>
        <v>37750468859.617577</v>
      </c>
      <c r="M71" s="49">
        <f t="shared" si="89"/>
        <v>2.8462095275198163E-2</v>
      </c>
      <c r="N71" s="49">
        <f t="shared" si="89"/>
        <v>3.0891514612249906E-6</v>
      </c>
      <c r="O71" s="49">
        <f t="shared" si="89"/>
        <v>6.0742875101159081E-5</v>
      </c>
      <c r="P71" s="49">
        <f t="shared" si="89"/>
        <v>1</v>
      </c>
      <c r="Q71" s="49">
        <f t="shared" si="90"/>
        <v>1</v>
      </c>
      <c r="R71" s="60">
        <f>IFERROR(R29/$B57,0)</f>
        <v>8.231418074421358E-2</v>
      </c>
      <c r="S71" s="60">
        <f>IFERROR(S29/$B57,0)</f>
        <v>0.16425511500084192</v>
      </c>
      <c r="T71" s="60">
        <f>IFERROR(T29/$B57,0)</f>
        <v>0.11701464534365938</v>
      </c>
      <c r="U71" s="60">
        <f>IFERROR(U29/$B57,0)</f>
        <v>9.9258627910333561E-2</v>
      </c>
      <c r="V71" s="60">
        <f>IFERROR(V29/$B57,0)</f>
        <v>0.29494955393940581</v>
      </c>
      <c r="W71" s="71">
        <f>IFERROR(up_RadSpec!$F$29*$W$29,".")*$B$71</f>
        <v>6.0742875101159081E-5</v>
      </c>
      <c r="X71" s="71">
        <f>IFERROR(up_RadSpec!$M$29*$X$29,".")*$B$71</f>
        <v>3.0440452341312908E-5</v>
      </c>
      <c r="Y71" s="71">
        <f>IFERROR(up_RadSpec!$N$29*$Y$29,".")*$B$71</f>
        <v>4.272969409355162E-5</v>
      </c>
      <c r="Z71" s="71">
        <f>IFERROR(up_RadSpec!$O$29*$Z$29,".")*$B$71</f>
        <v>5.0373454733998619E-5</v>
      </c>
      <c r="AA71" s="71">
        <f>IFERROR(up_RadSpec!$K$29*$AA$29,".")*$B$71</f>
        <v>1.6952051404109583E-5</v>
      </c>
      <c r="AB71" s="49">
        <f t="shared" si="91"/>
        <v>6.0742875101159081E-5</v>
      </c>
      <c r="AC71" s="49">
        <f t="shared" si="91"/>
        <v>3.0440452341312908E-5</v>
      </c>
      <c r="AD71" s="49">
        <f t="shared" si="91"/>
        <v>4.272969409355162E-5</v>
      </c>
      <c r="AE71" s="49">
        <f t="shared" si="91"/>
        <v>5.0373454733998619E-5</v>
      </c>
      <c r="AF71" s="49">
        <f t="shared" si="91"/>
        <v>1.6952051404109583E-5</v>
      </c>
      <c r="AG71" s="60">
        <f>IFERROR(AG29/$B57,0)</f>
        <v>5.2244908408165367E-6</v>
      </c>
      <c r="AH71" s="60">
        <f>IFERROR(AH29/$B57,0)</f>
        <v>8.3428588114289066E-3</v>
      </c>
      <c r="AI71" s="60">
        <f t="shared" si="92"/>
        <v>5.2212211915380781E-6</v>
      </c>
      <c r="AJ71" s="71">
        <f>IFERROR(up_RadSpec!$G$29*AJ29,".")*$B$71</f>
        <v>0.95703105859374982</v>
      </c>
      <c r="AK71" s="71">
        <f>IFERROR(up_RadSpec!$J$29*$AK$29,".")*$B$71</f>
        <v>5.9931494863013689E-4</v>
      </c>
      <c r="AL71" s="49">
        <f t="shared" si="93"/>
        <v>0.61596863828394266</v>
      </c>
      <c r="AM71" s="49">
        <f t="shared" si="93"/>
        <v>5.9931494863013689E-4</v>
      </c>
      <c r="AN71" s="49">
        <f t="shared" si="94"/>
        <v>0.6161987250656511</v>
      </c>
      <c r="AO71" s="60">
        <f>IFERROR(AO29/$B57,0)</f>
        <v>1.9047622857143618E-6</v>
      </c>
      <c r="AP71" s="60">
        <f>IFERROR(AP29/$B57,0)</f>
        <v>0</v>
      </c>
      <c r="AQ71" s="60">
        <f>IFERROR(AQ29/$B57,0)</f>
        <v>2.0857147028572266E-2</v>
      </c>
      <c r="AR71" s="60">
        <f>IFERROR(AR29/$B57,0)</f>
        <v>8.6132179439016046E-8</v>
      </c>
      <c r="AS71" s="60">
        <f t="shared" si="99"/>
        <v>8.2405512524912558E-8</v>
      </c>
      <c r="AT71" s="71">
        <f>IFERROR(up_RadSpec!$H$29*AT29,".")*$B$71</f>
        <v>2.6249994749999996</v>
      </c>
      <c r="AU71" s="71">
        <f>IFERROR(up_RadSpec!$G$29*AU29,".")*$B$71</f>
        <v>0.47851552929687491</v>
      </c>
      <c r="AV71" s="71">
        <f>IFERROR(up_RadSpec!$L$29*AV29,".")*$B$71</f>
        <v>2.3972597945205474E-4</v>
      </c>
      <c r="AW71" s="71">
        <f>up_b2w!AB71</f>
        <v>1316334161.0207255</v>
      </c>
      <c r="AX71" s="49">
        <f t="shared" si="95"/>
        <v>0.92756020493486613</v>
      </c>
      <c r="AY71" s="49">
        <f t="shared" si="96"/>
        <v>0</v>
      </c>
      <c r="AZ71" s="49">
        <f t="shared" si="97"/>
        <v>2.3972597945205474E-4</v>
      </c>
      <c r="BA71" s="49">
        <f t="shared" si="97"/>
        <v>1</v>
      </c>
      <c r="BB71" s="49">
        <f t="shared" si="41"/>
        <v>1</v>
      </c>
      <c r="BC71" s="60">
        <f>IFERROR(BC29/$B57,0)</f>
        <v>3.4632041558442946E-7</v>
      </c>
      <c r="BD71" s="71">
        <f>IFERROR(up_RadSpec!$E$29*BD29,".")*$B$71</f>
        <v>14.437497112499999</v>
      </c>
      <c r="BE71" s="49">
        <f t="shared" si="98"/>
        <v>0.99999946312315757</v>
      </c>
    </row>
    <row r="72" spans="1:57" x14ac:dyDescent="0.25">
      <c r="A72" s="48" t="s">
        <v>1096</v>
      </c>
      <c r="B72" s="45">
        <v>1</v>
      </c>
      <c r="C72" s="60">
        <f>IFERROR(C16/$B58,0)</f>
        <v>3.6363636363636363E-8</v>
      </c>
      <c r="D72" s="60">
        <f>IFERROR(D16/$B58,0)</f>
        <v>3.3989909629864073E-4</v>
      </c>
      <c r="E72" s="60">
        <f>IFERROR(E16/$B58,0)</f>
        <v>0.46746712407089791</v>
      </c>
      <c r="F72" s="60">
        <f>IFERROR(F16/$B58,0)</f>
        <v>3.6265718922545492E-12</v>
      </c>
      <c r="G72" s="60">
        <f>IFERROR(G16/$B58,0)</f>
        <v>1.8181818181818181E-11</v>
      </c>
      <c r="H72" s="60">
        <f t="shared" si="88"/>
        <v>3.626210208955842E-12</v>
      </c>
      <c r="I72" s="71">
        <f>IFERROR(up_RadSpec!$D$16*I16,".")*$B$72</f>
        <v>137.5</v>
      </c>
      <c r="J72" s="71">
        <f>IFERROR(up_RadSpec!$G$16*$J$16,".")*B72</f>
        <v>1.4710247995501937E-2</v>
      </c>
      <c r="K72" s="71">
        <f>IFERROR(up_RadSpec!$F$16*$K$16,".")*B72</f>
        <v>1.0695939334637959E-5</v>
      </c>
      <c r="L72" s="71">
        <f>up_b2s!AB72</f>
        <v>7927596.875</v>
      </c>
      <c r="M72" s="49">
        <f t="shared" si="89"/>
        <v>1</v>
      </c>
      <c r="N72" s="49">
        <f t="shared" si="89"/>
        <v>1.4602580880648697E-2</v>
      </c>
      <c r="O72" s="49">
        <f t="shared" si="89"/>
        <v>1.0695939334637959E-5</v>
      </c>
      <c r="P72" s="49">
        <f t="shared" si="89"/>
        <v>1</v>
      </c>
      <c r="Q72" s="49">
        <f t="shared" si="90"/>
        <v>1</v>
      </c>
      <c r="R72" s="60">
        <f>IFERROR(R16/$B58,0)</f>
        <v>0.46746712407089791</v>
      </c>
      <c r="S72" s="60">
        <f>IFERROR(S16/$B58,0)</f>
        <v>0.83254290876242143</v>
      </c>
      <c r="T72" s="60">
        <f>IFERROR(T16/$B58,0)</f>
        <v>0.50014177010097527</v>
      </c>
      <c r="U72" s="60">
        <f>IFERROR(U16/$B58,0)</f>
        <v>0.50272596843615536</v>
      </c>
      <c r="V72" s="60">
        <f>IFERROR(V16/$B58,0)</f>
        <v>19.466666666666669</v>
      </c>
      <c r="W72" s="71">
        <f>IFERROR(up_RadSpec!$F$16*$W$16,".")*$B$72</f>
        <v>1.0695939334637959E-5</v>
      </c>
      <c r="X72" s="71">
        <f>IFERROR(up_RadSpec!$M$16*$X$16,".")*$B$72</f>
        <v>6.0056964600569615E-6</v>
      </c>
      <c r="Y72" s="71">
        <f>IFERROR(up_RadSpec!$N$16*$Y$16,".")*$B$72</f>
        <v>9.9971654017030686E-6</v>
      </c>
      <c r="Z72" s="71">
        <f>IFERROR(up_RadSpec!$O$16*$Z$16,".")*$B$72</f>
        <v>9.9457762557077541E-6</v>
      </c>
      <c r="AA72" s="71">
        <f>IFERROR(up_RadSpec!$K$16*$AA$16,".")*$B$72</f>
        <v>2.5684931506849313E-7</v>
      </c>
      <c r="AB72" s="49">
        <f t="shared" si="91"/>
        <v>1.0695939334637959E-5</v>
      </c>
      <c r="AC72" s="49">
        <f t="shared" si="91"/>
        <v>6.0056964600569615E-6</v>
      </c>
      <c r="AD72" s="49">
        <f t="shared" si="91"/>
        <v>9.9971654017030686E-6</v>
      </c>
      <c r="AE72" s="49">
        <f t="shared" si="91"/>
        <v>9.9457762557077541E-6</v>
      </c>
      <c r="AF72" s="49">
        <f t="shared" si="91"/>
        <v>2.5684931506849313E-7</v>
      </c>
      <c r="AG72" s="60">
        <f>IFERROR(AG16/$B58,0)</f>
        <v>1.0971428571428573E-9</v>
      </c>
      <c r="AH72" s="60">
        <f>IFERROR(AH16/$B58,0)</f>
        <v>1.7520000000000001E-6</v>
      </c>
      <c r="AI72" s="60">
        <f t="shared" si="92"/>
        <v>1.0964562309317064E-9</v>
      </c>
      <c r="AJ72" s="71">
        <f>IFERROR(up_RadSpec!$G$16*AJ16,".")*$B$72</f>
        <v>4557.2916666666661</v>
      </c>
      <c r="AK72" s="71">
        <f>IFERROR(up_RadSpec!$J$16*$AK$16,".")*$B$72</f>
        <v>2.8538812785388123</v>
      </c>
      <c r="AL72" s="49">
        <f t="shared" si="93"/>
        <v>1</v>
      </c>
      <c r="AM72" s="49">
        <f t="shared" si="93"/>
        <v>0.9423797539167309</v>
      </c>
      <c r="AN72" s="49">
        <f t="shared" si="94"/>
        <v>1</v>
      </c>
      <c r="AO72" s="60">
        <f>IFERROR(AO16/$B58,0)</f>
        <v>3.9999999999999996E-10</v>
      </c>
      <c r="AP72" s="60">
        <f>IFERROR(AP16/$B58,0)</f>
        <v>0</v>
      </c>
      <c r="AQ72" s="60">
        <f>IFERROR(AQ16/$B58,0)</f>
        <v>4.3800000000000004E-6</v>
      </c>
      <c r="AR72" s="60">
        <f>IFERROR(AR16/$B58,0)</f>
        <v>1.8087754064641833E-11</v>
      </c>
      <c r="AS72" s="60">
        <f t="shared" si="99"/>
        <v>1.7305154169200115E-11</v>
      </c>
      <c r="AT72" s="71">
        <f>IFERROR(up_RadSpec!$H$16*AT16,".")*$B$72</f>
        <v>12500</v>
      </c>
      <c r="AU72" s="71">
        <f>IFERROR(up_RadSpec!$G$16*AU16,".")*$B$72</f>
        <v>2278.645833333333</v>
      </c>
      <c r="AV72" s="71">
        <f>IFERROR(up_RadSpec!$L$16*AV16,".")*$B$72</f>
        <v>1.1415525114155249</v>
      </c>
      <c r="AW72" s="71">
        <f>up_b2w!AB72</f>
        <v>276430.1185283176</v>
      </c>
      <c r="AX72" s="49">
        <f t="shared" si="95"/>
        <v>1</v>
      </c>
      <c r="AY72" s="49">
        <f t="shared" si="96"/>
        <v>0</v>
      </c>
      <c r="AZ72" s="49">
        <f t="shared" si="97"/>
        <v>0.68067711563678512</v>
      </c>
      <c r="BA72" s="49">
        <f t="shared" si="97"/>
        <v>1</v>
      </c>
      <c r="BB72" s="49">
        <f t="shared" si="41"/>
        <v>1</v>
      </c>
      <c r="BC72" s="60">
        <f>IFERROR(BC16/$B58,0)</f>
        <v>7.2727272727272723E-11</v>
      </c>
      <c r="BD72" s="71">
        <f>IFERROR(up_RadSpec!$E$16*BD16,".")*$B$72</f>
        <v>68750</v>
      </c>
      <c r="BE72" s="49">
        <f t="shared" si="98"/>
        <v>1</v>
      </c>
    </row>
    <row r="73" spans="1:57" x14ac:dyDescent="0.25">
      <c r="A73" s="48" t="s">
        <v>1097</v>
      </c>
      <c r="B73" s="45">
        <v>1</v>
      </c>
      <c r="C73" s="60">
        <f>IFERROR(C7/$B59,0)</f>
        <v>3.6363636363636363E-8</v>
      </c>
      <c r="D73" s="60">
        <f>IFERROR(D7/$B59,0)</f>
        <v>3.3989909629864073E-4</v>
      </c>
      <c r="E73" s="60">
        <f>IFERROR(E7/$B59,0)</f>
        <v>5.6126520681265191E-5</v>
      </c>
      <c r="F73" s="60">
        <f>IFERROR(F7/$B59,0)</f>
        <v>3.6265718922545492E-12</v>
      </c>
      <c r="G73" s="60">
        <f>IFERROR(G7/$B59,0)</f>
        <v>1.8181818181818181E-11</v>
      </c>
      <c r="H73" s="60">
        <f t="shared" si="88"/>
        <v>3.626209974702575E-12</v>
      </c>
      <c r="I73" s="71">
        <f>IFERROR(up_RadSpec!$D$7*I7,".")*$B$73</f>
        <v>137.5</v>
      </c>
      <c r="J73" s="71">
        <f>IFERROR(up_RadSpec!$G$7*$J$7,".")*B73</f>
        <v>1.4710247995501937E-2</v>
      </c>
      <c r="K73" s="71">
        <f>IFERROR(up_RadSpec!$F$7*$K$7,".")*B73</f>
        <v>8.9084445985781191E-2</v>
      </c>
      <c r="L73" s="71">
        <f>up_b2s!AB73</f>
        <v>7927596.875</v>
      </c>
      <c r="M73" s="49">
        <f t="shared" si="89"/>
        <v>1</v>
      </c>
      <c r="N73" s="49">
        <f t="shared" si="89"/>
        <v>1.4602580880648697E-2</v>
      </c>
      <c r="O73" s="49">
        <f t="shared" si="89"/>
        <v>8.5231678199998995E-2</v>
      </c>
      <c r="P73" s="49">
        <f t="shared" si="89"/>
        <v>1</v>
      </c>
      <c r="Q73" s="49">
        <f t="shared" si="90"/>
        <v>1</v>
      </c>
      <c r="R73" s="60">
        <f>IFERROR(R7/$B59,0)</f>
        <v>5.6126520681265191E-5</v>
      </c>
      <c r="S73" s="60">
        <f>IFERROR(S7/$B59,0)</f>
        <v>8.9290382819794643E-5</v>
      </c>
      <c r="T73" s="60">
        <f>IFERROR(T7/$B59,0)</f>
        <v>6.541666666666668E-5</v>
      </c>
      <c r="U73" s="60">
        <f>IFERROR(U7/$B59,0)</f>
        <v>6.0176942025465759E-5</v>
      </c>
      <c r="V73" s="60">
        <f>IFERROR(V7/$B59,0)</f>
        <v>1.5280366692131396E-4</v>
      </c>
      <c r="W73" s="71">
        <f>IFERROR(up_RadSpec!$F$7*$W$7,".")*$B$73</f>
        <v>8.9084445985781191E-2</v>
      </c>
      <c r="X73" s="71">
        <f>IFERROR(up_RadSpec!$M$7*$X$7,".")*$B$73</f>
        <v>5.5997072048520301E-2</v>
      </c>
      <c r="Y73" s="71">
        <f>IFERROR(up_RadSpec!$N$7*$Y$7,".")*$B$73</f>
        <v>7.6433121019108263E-2</v>
      </c>
      <c r="Z73" s="71">
        <f>IFERROR(up_RadSpec!$O$7*$Z$7,".")*$B$73</f>
        <v>8.3088303122549723E-2</v>
      </c>
      <c r="AA73" s="71">
        <f>IFERROR(up_RadSpec!$K$7*$AA$7,".")*$B$73</f>
        <v>3.2721727827217287E-2</v>
      </c>
      <c r="AB73" s="49">
        <f t="shared" si="91"/>
        <v>8.5231678199998995E-2</v>
      </c>
      <c r="AC73" s="49">
        <f t="shared" si="91"/>
        <v>5.4458095612838653E-2</v>
      </c>
      <c r="AD73" s="49">
        <f t="shared" si="91"/>
        <v>7.3585130100583207E-2</v>
      </c>
      <c r="AE73" s="49">
        <f t="shared" si="91"/>
        <v>7.9730119071930616E-2</v>
      </c>
      <c r="AF73" s="49">
        <f t="shared" si="91"/>
        <v>3.2192163889396386E-2</v>
      </c>
      <c r="AG73" s="60">
        <f>IFERROR(AG7/$B59,0)</f>
        <v>1.0971428571428573E-9</v>
      </c>
      <c r="AH73" s="60">
        <f>IFERROR(AH7/$B59,0)</f>
        <v>1.7520000000000001E-6</v>
      </c>
      <c r="AI73" s="60">
        <f t="shared" si="92"/>
        <v>1.0964562309317064E-9</v>
      </c>
      <c r="AJ73" s="71">
        <f>IFERROR(up_RadSpec!$G$7*AJ7,".")*$B$73</f>
        <v>4557.2916666666661</v>
      </c>
      <c r="AK73" s="71">
        <f>IFERROR(up_RadSpec!$J$7*$AK$7,".")*$B$73</f>
        <v>2.8538812785388123</v>
      </c>
      <c r="AL73" s="49">
        <f t="shared" si="93"/>
        <v>1</v>
      </c>
      <c r="AM73" s="49">
        <f t="shared" si="93"/>
        <v>0.9423797539167309</v>
      </c>
      <c r="AN73" s="49">
        <f t="shared" si="94"/>
        <v>1</v>
      </c>
      <c r="AO73" s="60">
        <f>IFERROR(AO7/$B59,0)</f>
        <v>3.9999999999999996E-10</v>
      </c>
      <c r="AP73" s="60">
        <f>IFERROR(AP7/$B59,0)</f>
        <v>0</v>
      </c>
      <c r="AQ73" s="60">
        <f>IFERROR(AQ7/$B59,0)</f>
        <v>4.3800000000000004E-6</v>
      </c>
      <c r="AR73" s="60">
        <f>IFERROR(AR7/$B59,0)</f>
        <v>1.8087754064641833E-11</v>
      </c>
      <c r="AS73" s="60">
        <f t="shared" si="99"/>
        <v>1.7305154169200115E-11</v>
      </c>
      <c r="AT73" s="71">
        <f>IFERROR(up_RadSpec!$H$7*AT7,".")*$B$73</f>
        <v>12500</v>
      </c>
      <c r="AU73" s="71">
        <f>IFERROR(up_RadSpec!$G$7*AU7,".")*$B$73</f>
        <v>2278.645833333333</v>
      </c>
      <c r="AV73" s="71">
        <f>IFERROR(up_RadSpec!$L$7*AV7,".")*$B$73</f>
        <v>1.1415525114155249</v>
      </c>
      <c r="AW73" s="71">
        <f>up_b2w!AB73</f>
        <v>276430.1185283176</v>
      </c>
      <c r="AX73" s="49">
        <f t="shared" si="95"/>
        <v>1</v>
      </c>
      <c r="AY73" s="49">
        <f t="shared" si="96"/>
        <v>0</v>
      </c>
      <c r="AZ73" s="49">
        <f t="shared" si="97"/>
        <v>0.68067711563678512</v>
      </c>
      <c r="BA73" s="49">
        <f t="shared" si="97"/>
        <v>1</v>
      </c>
      <c r="BB73" s="49">
        <f t="shared" si="41"/>
        <v>1</v>
      </c>
      <c r="BC73" s="60">
        <f>IFERROR(BC7/$B59,0)</f>
        <v>7.2727272727272723E-11</v>
      </c>
      <c r="BD73" s="71">
        <f>IFERROR(up_RadSpec!$E$7*BD7,".")*$B$73</f>
        <v>68750</v>
      </c>
      <c r="BE73" s="49">
        <f t="shared" si="98"/>
        <v>1</v>
      </c>
    </row>
    <row r="74" spans="1:57" x14ac:dyDescent="0.25">
      <c r="A74" s="48" t="s">
        <v>1098</v>
      </c>
      <c r="B74" s="45">
        <v>1.9000000000000001E-8</v>
      </c>
      <c r="C74" s="60">
        <f>IFERROR(C12/$B60,0)</f>
        <v>1.9138755980861242</v>
      </c>
      <c r="D74" s="60">
        <f>IFERROR(D12/$B60,0)</f>
        <v>17889.42612098109</v>
      </c>
      <c r="E74" s="60">
        <f>IFERROR(E12/$B60,0)</f>
        <v>2292.6977821913265</v>
      </c>
      <c r="F74" s="60">
        <f>IFERROR(F12/$B60,0)</f>
        <v>1.9087220485550257E-4</v>
      </c>
      <c r="G74" s="60">
        <f>IFERROR(G12/$B60,0)</f>
        <v>9.5693779904306212E-4</v>
      </c>
      <c r="H74" s="60">
        <f t="shared" si="88"/>
        <v>1.9085315300652712E-4</v>
      </c>
      <c r="I74" s="71">
        <f>IFERROR(up_RadSpec!$D$12*I12,".")*$B$74</f>
        <v>2.6125000000000004E-6</v>
      </c>
      <c r="J74" s="71">
        <f>IFERROR(up_RadSpec!$G$12*$J$12,".")*B74</f>
        <v>2.794947119145368E-10</v>
      </c>
      <c r="K74" s="71">
        <f>IFERROR(up_RadSpec!$F$12*$K$12,".")*B74</f>
        <v>2.1808369331700897E-9</v>
      </c>
      <c r="L74" s="71">
        <f>up_b2s!AB74</f>
        <v>417241940789473.94</v>
      </c>
      <c r="M74" s="49">
        <f t="shared" si="89"/>
        <v>2.6125000000000004E-6</v>
      </c>
      <c r="N74" s="49">
        <f t="shared" si="89"/>
        <v>2.794947119145368E-10</v>
      </c>
      <c r="O74" s="49">
        <f t="shared" si="89"/>
        <v>2.1808369331700897E-9</v>
      </c>
      <c r="P74" s="49">
        <f t="shared" si="89"/>
        <v>1</v>
      </c>
      <c r="Q74" s="49">
        <f t="shared" si="90"/>
        <v>1</v>
      </c>
      <c r="R74" s="60">
        <f>IFERROR(R12/$B60,0)</f>
        <v>2292.6977821913265</v>
      </c>
      <c r="S74" s="60">
        <f>IFERROR(S12/$B60,0)</f>
        <v>4113.2468673158874</v>
      </c>
      <c r="T74" s="60">
        <f>IFERROR(T12/$B60,0)</f>
        <v>2982.4644443503312</v>
      </c>
      <c r="U74" s="60">
        <f>IFERROR(U12/$B60,0)</f>
        <v>2633.9320731037724</v>
      </c>
      <c r="V74" s="60">
        <f>IFERROR(V12/$B60,0)</f>
        <v>7100.4893185344308</v>
      </c>
      <c r="W74" s="71">
        <f>IFERROR(up_RadSpec!$F$12*$W$12,".")*$B$74</f>
        <v>2.1808369331700897E-9</v>
      </c>
      <c r="X74" s="71">
        <f>IFERROR(up_RadSpec!$M$12*$X$12,".")*$B$74</f>
        <v>1.2155847099113615E-9</v>
      </c>
      <c r="Y74" s="71">
        <f>IFERROR(up_RadSpec!$N$12*$Y$12,".")*$B$74</f>
        <v>1.6764659204811231E-9</v>
      </c>
      <c r="Z74" s="71">
        <f>IFERROR(up_RadSpec!$O$12*$Z$12,".")*$B$74</f>
        <v>1.8983025610482432E-9</v>
      </c>
      <c r="AA74" s="71">
        <f>IFERROR(up_RadSpec!$K$12*$AA$12,".")*$B$74</f>
        <v>7.0417682158164548E-10</v>
      </c>
      <c r="AB74" s="49">
        <f t="shared" si="91"/>
        <v>2.1808369331700897E-9</v>
      </c>
      <c r="AC74" s="49">
        <f t="shared" si="91"/>
        <v>1.2155847099113615E-9</v>
      </c>
      <c r="AD74" s="49">
        <f t="shared" si="91"/>
        <v>1.6764659204811231E-9</v>
      </c>
      <c r="AE74" s="49">
        <f t="shared" si="91"/>
        <v>1.8983025610482432E-9</v>
      </c>
      <c r="AF74" s="49">
        <f t="shared" si="91"/>
        <v>7.0417682158164548E-10</v>
      </c>
      <c r="AG74" s="60">
        <f>IFERROR(AG12/$B60,0)</f>
        <v>5.774436090225564E-2</v>
      </c>
      <c r="AH74" s="60">
        <f>IFERROR(AH12/$B60,0)</f>
        <v>92.21052631578948</v>
      </c>
      <c r="AI74" s="60">
        <f t="shared" si="92"/>
        <v>5.7708222680616122E-2</v>
      </c>
      <c r="AJ74" s="71">
        <f>IFERROR(up_RadSpec!$G$12*AJ12,".")*$B$74</f>
        <v>8.6588541666666658E-5</v>
      </c>
      <c r="AK74" s="71">
        <f>IFERROR(up_RadSpec!$J$12*$AK$12,".")*$B$74</f>
        <v>5.4223744292237439E-8</v>
      </c>
      <c r="AL74" s="49">
        <f t="shared" si="93"/>
        <v>8.6588541666666658E-5</v>
      </c>
      <c r="AM74" s="49">
        <f t="shared" si="93"/>
        <v>5.4223744292237439E-8</v>
      </c>
      <c r="AN74" s="49">
        <f t="shared" si="94"/>
        <v>8.6642765410958899E-5</v>
      </c>
      <c r="AO74" s="60">
        <f>IFERROR(AO12/$B60,0)</f>
        <v>2.1052631578947364E-2</v>
      </c>
      <c r="AP74" s="60">
        <f>IFERROR(AP12/$B60,0)</f>
        <v>0</v>
      </c>
      <c r="AQ74" s="60">
        <f>IFERROR(AQ12/$B60,0)</f>
        <v>230.5263157894737</v>
      </c>
      <c r="AR74" s="60">
        <f>IFERROR(AR12/$B60,0)</f>
        <v>9.5198705603378065E-4</v>
      </c>
      <c r="AS74" s="60">
        <f t="shared" si="99"/>
        <v>9.1079758785263753E-4</v>
      </c>
      <c r="AT74" s="71">
        <f>IFERROR(up_RadSpec!$H$12*AT12,".")*$B$74</f>
        <v>2.3750000000000003E-4</v>
      </c>
      <c r="AU74" s="71">
        <f>IFERROR(up_RadSpec!$G$12*AU12,".")*$B$74</f>
        <v>4.3294270833333329E-5</v>
      </c>
      <c r="AV74" s="71">
        <f>IFERROR(up_RadSpec!$L$12*AV12,".")*$B$74</f>
        <v>2.1689497716894977E-8</v>
      </c>
      <c r="AW74" s="71">
        <f>up_b2w!AB74</f>
        <v>14548953606753.555</v>
      </c>
      <c r="AX74" s="49">
        <f t="shared" si="95"/>
        <v>2.3750000000000003E-4</v>
      </c>
      <c r="AY74" s="49">
        <f t="shared" si="96"/>
        <v>0</v>
      </c>
      <c r="AZ74" s="49">
        <f t="shared" si="97"/>
        <v>2.1689497716894977E-8</v>
      </c>
      <c r="BA74" s="49">
        <f t="shared" si="97"/>
        <v>1</v>
      </c>
      <c r="BB74" s="49">
        <f t="shared" si="41"/>
        <v>1</v>
      </c>
      <c r="BC74" s="60">
        <f>IFERROR(BC12/$B60,0)</f>
        <v>3.8277511961722485E-3</v>
      </c>
      <c r="BD74" s="71">
        <f>IFERROR(up_RadSpec!$E$12*BD12,".")*$B$74</f>
        <v>1.3062500000000001E-3</v>
      </c>
      <c r="BE74" s="49">
        <f t="shared" si="98"/>
        <v>1.3062500000000001E-3</v>
      </c>
    </row>
    <row r="75" spans="1:57" x14ac:dyDescent="0.25">
      <c r="A75" s="48" t="s">
        <v>1099</v>
      </c>
      <c r="B75" s="45">
        <v>1</v>
      </c>
      <c r="C75" s="60">
        <f>IFERROR(C18/$B61,0)</f>
        <v>3.6363636363636363E-8</v>
      </c>
      <c r="D75" s="60">
        <f>IFERROR(D18/$B61,0)</f>
        <v>3.3989909629864073E-4</v>
      </c>
      <c r="E75" s="60">
        <f>IFERROR(E18/$B61,0)</f>
        <v>2.1889453044375645E-5</v>
      </c>
      <c r="F75" s="60">
        <f>IFERROR(F18/$B61,0)</f>
        <v>3.6265718922545492E-12</v>
      </c>
      <c r="G75" s="60">
        <f>IFERROR(G18/$B61,0)</f>
        <v>1.8181818181818181E-11</v>
      </c>
      <c r="H75" s="60">
        <f t="shared" si="88"/>
        <v>3.626209608265521E-12</v>
      </c>
      <c r="I75" s="71">
        <f>IFERROR(up_RadSpec!$D$18*I18,".")*$B$75</f>
        <v>137.5</v>
      </c>
      <c r="J75" s="71">
        <f>IFERROR(up_RadSpec!$G$18*$J$18,".")*B75</f>
        <v>1.4710247995501937E-2</v>
      </c>
      <c r="K75" s="71">
        <f>IFERROR(up_RadSpec!$F$18*$K$18,".")*B75</f>
        <v>0.22842050872005307</v>
      </c>
      <c r="L75" s="71">
        <f>up_b2s!AB75</f>
        <v>7927596.875</v>
      </c>
      <c r="M75" s="49">
        <f t="shared" si="89"/>
        <v>1</v>
      </c>
      <c r="N75" s="49">
        <f t="shared" si="89"/>
        <v>1.4602580880648697E-2</v>
      </c>
      <c r="O75" s="49">
        <f t="shared" si="89"/>
        <v>0.20421044697955359</v>
      </c>
      <c r="P75" s="49">
        <f t="shared" si="89"/>
        <v>1</v>
      </c>
      <c r="Q75" s="49">
        <f t="shared" si="90"/>
        <v>1</v>
      </c>
      <c r="R75" s="60">
        <f>IFERROR(R18/$B61,0)</f>
        <v>2.1889453044375645E-5</v>
      </c>
      <c r="S75" s="60">
        <f>IFERROR(S18/$B61,0)</f>
        <v>4.3312873780295888E-5</v>
      </c>
      <c r="T75" s="60">
        <f>IFERROR(T18/$B61,0)</f>
        <v>3.0331813748837633E-5</v>
      </c>
      <c r="U75" s="60">
        <f>IFERROR(U18/$B61,0)</f>
        <v>2.5130455488655316E-5</v>
      </c>
      <c r="V75" s="60">
        <f>IFERROR(V18/$B61,0)</f>
        <v>7.3623931623931614E-5</v>
      </c>
      <c r="W75" s="71">
        <f>IFERROR(up_RadSpec!$F$18*$W$18,".")*$B$75</f>
        <v>0.22842050872005307</v>
      </c>
      <c r="X75" s="71">
        <f>IFERROR(up_RadSpec!$M$18*$X$18,".")*$B$75</f>
        <v>0.11543911921805164</v>
      </c>
      <c r="Y75" s="71">
        <f>IFERROR(up_RadSpec!$N$18*$Y$18,".")*$B$75</f>
        <v>0.16484342286295386</v>
      </c>
      <c r="Z75" s="71">
        <f>IFERROR(up_RadSpec!$O$18*$Z$18,".")*$B$75</f>
        <v>0.1989617737830959</v>
      </c>
      <c r="AA75" s="71">
        <f>IFERROR(up_RadSpec!$K$18*$AA$18,".")*$B$75</f>
        <v>6.7912700255398195E-2</v>
      </c>
      <c r="AB75" s="49">
        <f t="shared" si="91"/>
        <v>0.20421044697955359</v>
      </c>
      <c r="AC75" s="49">
        <f t="shared" si="91"/>
        <v>0.10902518617071166</v>
      </c>
      <c r="AD75" s="49">
        <f t="shared" si="91"/>
        <v>0.15197352474918557</v>
      </c>
      <c r="AE75" s="49">
        <f t="shared" si="91"/>
        <v>0.18041877777629944</v>
      </c>
      <c r="AF75" s="49">
        <f t="shared" si="91"/>
        <v>6.5657962161833838E-2</v>
      </c>
      <c r="AG75" s="60">
        <f>IFERROR(AG18/$B61,0)</f>
        <v>1.0971428571428573E-9</v>
      </c>
      <c r="AH75" s="60">
        <f>IFERROR(AH18/$B61,0)</f>
        <v>1.7520000000000001E-6</v>
      </c>
      <c r="AI75" s="60">
        <f t="shared" si="92"/>
        <v>1.0964562309317064E-9</v>
      </c>
      <c r="AJ75" s="71">
        <f>IFERROR(up_RadSpec!$G$18*AJ18,".")*$B$75</f>
        <v>4557.2916666666661</v>
      </c>
      <c r="AK75" s="71">
        <f>IFERROR(up_RadSpec!$J$18*$AK$18,".")*$B$75</f>
        <v>2.8538812785388123</v>
      </c>
      <c r="AL75" s="49">
        <f t="shared" si="93"/>
        <v>1</v>
      </c>
      <c r="AM75" s="49">
        <f t="shared" si="93"/>
        <v>0.9423797539167309</v>
      </c>
      <c r="AN75" s="49">
        <f t="shared" si="94"/>
        <v>1</v>
      </c>
      <c r="AO75" s="60">
        <f>IFERROR(AO18/$B61,0)</f>
        <v>3.9999999999999996E-10</v>
      </c>
      <c r="AP75" s="60">
        <f>IFERROR(AP18/$B61,0)</f>
        <v>0</v>
      </c>
      <c r="AQ75" s="60">
        <f>IFERROR(AQ18/$B61,0)</f>
        <v>4.3800000000000004E-6</v>
      </c>
      <c r="AR75" s="60">
        <f>IFERROR(AR18/$B61,0)</f>
        <v>1.8087754064641833E-11</v>
      </c>
      <c r="AS75" s="60">
        <f t="shared" si="99"/>
        <v>1.7305154169200115E-11</v>
      </c>
      <c r="AT75" s="71">
        <f>IFERROR(up_RadSpec!$H$18*AT18,".")*$B$75</f>
        <v>12500</v>
      </c>
      <c r="AU75" s="71">
        <f>IFERROR(up_RadSpec!$G$18*AU18,".")*$B$75</f>
        <v>2278.645833333333</v>
      </c>
      <c r="AV75" s="71">
        <f>IFERROR(up_RadSpec!$L$18*AV18,".")*$B$75</f>
        <v>1.1415525114155249</v>
      </c>
      <c r="AW75" s="71">
        <f>up_b2w!AB75</f>
        <v>276430.1185283176</v>
      </c>
      <c r="AX75" s="49">
        <f t="shared" si="95"/>
        <v>1</v>
      </c>
      <c r="AY75" s="49">
        <f t="shared" si="96"/>
        <v>0</v>
      </c>
      <c r="AZ75" s="49">
        <f t="shared" si="97"/>
        <v>0.68067711563678512</v>
      </c>
      <c r="BA75" s="49">
        <f t="shared" si="97"/>
        <v>1</v>
      </c>
      <c r="BB75" s="49">
        <f t="shared" si="41"/>
        <v>1</v>
      </c>
      <c r="BC75" s="60">
        <f>IFERROR(BC18/$B61,0)</f>
        <v>7.2727272727272723E-11</v>
      </c>
      <c r="BD75" s="71">
        <f>IFERROR(up_RadSpec!$E$18*BD18,".")*$B$75</f>
        <v>68750</v>
      </c>
      <c r="BE75" s="49">
        <f t="shared" si="98"/>
        <v>1</v>
      </c>
    </row>
    <row r="76" spans="1:57" x14ac:dyDescent="0.25">
      <c r="A76" s="48" t="s">
        <v>1100</v>
      </c>
      <c r="B76" s="45">
        <v>1.339E-6</v>
      </c>
      <c r="C76" s="60">
        <f>IFERROR(C27/$B62,0)</f>
        <v>2.7157308710706769E-2</v>
      </c>
      <c r="D76" s="60">
        <f>IFERROR(D27/$B62,0)</f>
        <v>253.84547893849196</v>
      </c>
      <c r="E76" s="60">
        <f>IFERROR(E27/$B62,0)</f>
        <v>26.828391046610619</v>
      </c>
      <c r="F76" s="60">
        <f>IFERROR(F27/$B62,0)</f>
        <v>2.7084181420870421E-6</v>
      </c>
      <c r="G76" s="60">
        <f>IFERROR(G27/$B62,0)</f>
        <v>1.3578654355353383E-5</v>
      </c>
      <c r="H76" s="60">
        <f t="shared" si="88"/>
        <v>2.708147754251048E-6</v>
      </c>
      <c r="I76" s="71">
        <f>IFERROR(up_RadSpec!$D$27*I27,".")*$B$76</f>
        <v>1.8411250000000001E-4</v>
      </c>
      <c r="J76" s="71">
        <f>IFERROR(up_RadSpec!$G$27*$J$27,".")*B76</f>
        <v>1.9697022065977095E-8</v>
      </c>
      <c r="K76" s="71">
        <f>IFERROR(up_RadSpec!$F$27*$K$27,".")*B76</f>
        <v>1.8636973016060451E-7</v>
      </c>
      <c r="L76" s="71">
        <f>up_b2s!AB76</f>
        <v>5920535380881.2568</v>
      </c>
      <c r="M76" s="49">
        <f t="shared" si="89"/>
        <v>1.8411250000000001E-4</v>
      </c>
      <c r="N76" s="49">
        <f t="shared" si="89"/>
        <v>1.9697022065977095E-8</v>
      </c>
      <c r="O76" s="49">
        <f t="shared" si="89"/>
        <v>1.8636973016060451E-7</v>
      </c>
      <c r="P76" s="49">
        <f t="shared" si="89"/>
        <v>1</v>
      </c>
      <c r="Q76" s="49">
        <f t="shared" si="90"/>
        <v>1</v>
      </c>
      <c r="R76" s="60">
        <f>IFERROR(R27/$B62,0)</f>
        <v>26.828391046610619</v>
      </c>
      <c r="S76" s="60">
        <f>IFERROR(S27/$B62,0)</f>
        <v>79.577584738545426</v>
      </c>
      <c r="T76" s="60">
        <f>IFERROR(T27/$B62,0)</f>
        <v>48.787043393300131</v>
      </c>
      <c r="U76" s="60">
        <f>IFERROR(U27/$B62,0)</f>
        <v>35.490689306861093</v>
      </c>
      <c r="V76" s="60">
        <f>IFERROR(V27/$B62,0)</f>
        <v>248.91728763178341</v>
      </c>
      <c r="W76" s="71">
        <f>IFERROR(up_RadSpec!$F$27*$W$27,".")*$B$76</f>
        <v>1.8636973016060451E-7</v>
      </c>
      <c r="X76" s="71">
        <f>IFERROR(up_RadSpec!$M$27*$X$27,".")*$B$76</f>
        <v>6.2831763698630105E-8</v>
      </c>
      <c r="Y76" s="71">
        <f>IFERROR(up_RadSpec!$N$27*$Y$27,".")*$B$76</f>
        <v>1.024862269207862E-7</v>
      </c>
      <c r="Z76" s="71">
        <f>IFERROR(up_RadSpec!$O$27*$Z$27,".")*$B$76</f>
        <v>1.4088201997906518E-7</v>
      </c>
      <c r="AA76" s="71">
        <f>IFERROR(up_RadSpec!$K$27*$AA$27,".")*$B$76</f>
        <v>2.0086993746277535E-8</v>
      </c>
      <c r="AB76" s="49">
        <f t="shared" si="91"/>
        <v>1.8636973016060451E-7</v>
      </c>
      <c r="AC76" s="49">
        <f t="shared" si="91"/>
        <v>6.2831763698630105E-8</v>
      </c>
      <c r="AD76" s="49">
        <f t="shared" si="91"/>
        <v>1.024862269207862E-7</v>
      </c>
      <c r="AE76" s="49">
        <f t="shared" si="91"/>
        <v>1.4088201997906518E-7</v>
      </c>
      <c r="AF76" s="49">
        <f t="shared" si="91"/>
        <v>2.0086993746277535E-8</v>
      </c>
      <c r="AG76" s="60">
        <f>IFERROR(AG27/$B62,0)</f>
        <v>8.1937479995732433E-4</v>
      </c>
      <c r="AH76" s="60">
        <f>IFERROR(AH27/$B62,0)</f>
        <v>1.3084391336818522</v>
      </c>
      <c r="AI76" s="60">
        <f t="shared" si="92"/>
        <v>8.1886200965773431E-4</v>
      </c>
      <c r="AJ76" s="71">
        <f>IFERROR(up_RadSpec!$G$27*AJ27,".")*$B$76</f>
        <v>6.1022135416666659E-3</v>
      </c>
      <c r="AK76" s="71">
        <f>IFERROR(up_RadSpec!$J$27*$AK$27,".")*$B$76</f>
        <v>3.8213470319634697E-6</v>
      </c>
      <c r="AL76" s="49">
        <f t="shared" si="93"/>
        <v>6.1022135416666659E-3</v>
      </c>
      <c r="AM76" s="49">
        <f t="shared" si="93"/>
        <v>3.8213470319634697E-6</v>
      </c>
      <c r="AN76" s="49">
        <f t="shared" si="94"/>
        <v>6.1060348886986292E-3</v>
      </c>
      <c r="AO76" s="60">
        <f>IFERROR(AO27/$B62,0)</f>
        <v>2.9873039581777443E-4</v>
      </c>
      <c r="AP76" s="60">
        <f>IFERROR(AP27/$B62,0)</f>
        <v>0</v>
      </c>
      <c r="AQ76" s="60">
        <f>IFERROR(AQ27/$B62,0)</f>
        <v>3.2710978342046304</v>
      </c>
      <c r="AR76" s="60">
        <f>IFERROR(AR27/$B62,0)</f>
        <v>1.3508404827962534E-5</v>
      </c>
      <c r="AS76" s="60">
        <f t="shared" si="99"/>
        <v>1.2923938886631899E-5</v>
      </c>
      <c r="AT76" s="71">
        <f>IFERROR(up_RadSpec!$H$27*AT27,".")*$B$76</f>
        <v>1.6737499999999999E-2</v>
      </c>
      <c r="AU76" s="71">
        <f>IFERROR(up_RadSpec!$G$27*AU27,".")*$B$76</f>
        <v>3.051106770833333E-3</v>
      </c>
      <c r="AV76" s="71">
        <f>IFERROR(up_RadSpec!$L$27*AV27,".")*$B$76</f>
        <v>1.5285388127853878E-6</v>
      </c>
      <c r="AW76" s="71">
        <f>up_b2w!AB76</f>
        <v>206445196809.79657</v>
      </c>
      <c r="AX76" s="49">
        <f t="shared" si="95"/>
        <v>1.6598206272537386E-2</v>
      </c>
      <c r="AY76" s="49">
        <f t="shared" si="96"/>
        <v>0</v>
      </c>
      <c r="AZ76" s="49">
        <f t="shared" si="97"/>
        <v>1.5285388127853878E-6</v>
      </c>
      <c r="BA76" s="49">
        <f t="shared" si="97"/>
        <v>1</v>
      </c>
      <c r="BB76" s="49">
        <f t="shared" si="41"/>
        <v>1</v>
      </c>
      <c r="BC76" s="60">
        <f>IFERROR(BC27/$B62,0)</f>
        <v>5.4314617421413531E-5</v>
      </c>
      <c r="BD76" s="71">
        <f>IFERROR(up_RadSpec!$E$27*BD27,".")*$B$76</f>
        <v>9.2056250000000006E-2</v>
      </c>
      <c r="BE76" s="49">
        <f t="shared" si="98"/>
        <v>8.7946154926619724E-2</v>
      </c>
    </row>
  </sheetData>
  <sheetProtection algorithmName="SHA-512" hashValue="06OjPdnTvrrW/MN2mo2t+T3AnKHUhATh3ef2lFs3rFAvT1IjrNfcKS9SDE3aRVz9CLYh0Sh264DwAxwKUnLmjg==" saltValue="+09g5KKbJidYkHtVJVXs8A==" spinCount="100000" sheet="1" objects="1" scenarios="1" formatColumns="0" formatRows="0" autoFilter="0"/>
  <autoFilter ref="A1:BE1299" xr:uid="{00000000-0009-0000-0000-00001E000000}"/>
  <pageMargins left="0.7" right="0.7" top="0.75" bottom="0.75" header="0.3" footer="0.3"/>
  <pageSetup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9" tint="-0.499984740745262"/>
  </sheetPr>
  <dimension ref="A1:FC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15.5703125" defaultRowHeight="15" x14ac:dyDescent="0.25"/>
  <cols>
    <col min="1" max="1" width="14.5703125" style="4" bestFit="1" customWidth="1"/>
    <col min="2" max="2" width="11.7109375" style="4" bestFit="1" customWidth="1"/>
    <col min="3" max="3" width="13.42578125" style="3" bestFit="1" customWidth="1"/>
    <col min="4" max="4" width="12.5703125" style="3" bestFit="1" customWidth="1"/>
    <col min="5" max="5" width="9.5703125" style="3" bestFit="1" customWidth="1"/>
    <col min="6" max="6" width="10.28515625" style="3" bestFit="1" customWidth="1"/>
    <col min="7" max="7" width="10.7109375" style="3" bestFit="1" customWidth="1"/>
    <col min="8" max="8" width="11.42578125" style="3" bestFit="1" customWidth="1"/>
    <col min="9" max="9" width="9.5703125" style="3" bestFit="1" customWidth="1"/>
    <col min="10" max="10" width="10.28515625" style="3" bestFit="1" customWidth="1"/>
    <col min="11" max="11" width="11.5703125" style="3" bestFit="1" customWidth="1"/>
    <col min="12" max="12" width="12.140625" style="3" bestFit="1" customWidth="1"/>
    <col min="13" max="13" width="13.140625" style="3" bestFit="1" customWidth="1"/>
    <col min="14" max="14" width="13.42578125" style="3" bestFit="1" customWidth="1"/>
    <col min="15" max="15" width="12.7109375" style="3" bestFit="1" customWidth="1"/>
    <col min="16" max="16" width="10" style="3" bestFit="1" customWidth="1"/>
    <col min="17" max="17" width="10.5703125" style="3" bestFit="1" customWidth="1"/>
    <col min="18" max="18" width="11.140625" style="3" bestFit="1" customWidth="1"/>
    <col min="19" max="19" width="11.5703125" style="3" bestFit="1" customWidth="1"/>
    <col min="20" max="20" width="10" style="3" bestFit="1" customWidth="1"/>
    <col min="21" max="21" width="10.7109375" style="3" bestFit="1" customWidth="1"/>
    <col min="22" max="22" width="11.5703125" style="3" bestFit="1" customWidth="1"/>
    <col min="23" max="23" width="12.7109375" style="3" bestFit="1" customWidth="1"/>
    <col min="24" max="24" width="13.42578125" style="3" bestFit="1" customWidth="1"/>
    <col min="25" max="25" width="14" style="3" bestFit="1" customWidth="1"/>
    <col min="26" max="26" width="13.28515625" style="3" bestFit="1" customWidth="1"/>
    <col min="27" max="27" width="10.5703125" style="3" bestFit="1" customWidth="1"/>
    <col min="28" max="28" width="11" style="3" bestFit="1" customWidth="1"/>
    <col min="29" max="29" width="11.5703125" style="3" bestFit="1" customWidth="1"/>
    <col min="30" max="30" width="12.140625" style="3" bestFit="1" customWidth="1"/>
    <col min="31" max="31" width="10.42578125" style="3" bestFit="1" customWidth="1"/>
    <col min="32" max="32" width="11.28515625" style="3" bestFit="1" customWidth="1"/>
    <col min="33" max="33" width="12.140625" style="3" bestFit="1" customWidth="1"/>
    <col min="34" max="34" width="13.140625" style="3" bestFit="1" customWidth="1"/>
    <col min="35" max="35" width="14" style="3" bestFit="1" customWidth="1"/>
    <col min="36" max="36" width="12.85546875" style="3" bestFit="1" customWidth="1"/>
    <col min="37" max="37" width="13" style="3" bestFit="1" customWidth="1"/>
    <col min="38" max="38" width="12.85546875" style="2" bestFit="1" customWidth="1"/>
    <col min="39" max="39" width="17.140625" style="3" bestFit="1" customWidth="1"/>
    <col min="40" max="40" width="13.28515625" style="3" bestFit="1" customWidth="1"/>
    <col min="41" max="41" width="14" style="3" bestFit="1" customWidth="1"/>
    <col min="42" max="42" width="14.28515625" style="3" bestFit="1" customWidth="1"/>
    <col min="43" max="43" width="15.140625" style="3" bestFit="1" customWidth="1"/>
    <col min="44" max="44" width="16.28515625" style="3" bestFit="1" customWidth="1"/>
    <col min="45" max="45" width="13.140625" style="3" bestFit="1" customWidth="1"/>
    <col min="46" max="46" width="14" style="3" bestFit="1" customWidth="1"/>
    <col min="47" max="47" width="16" style="3" bestFit="1" customWidth="1"/>
    <col min="48" max="48" width="15.28515625" style="3" bestFit="1" customWidth="1"/>
    <col min="49" max="49" width="16.85546875" style="3" bestFit="1" customWidth="1"/>
    <col min="50" max="51" width="8.7109375" style="3" bestFit="1" customWidth="1"/>
    <col min="52" max="52" width="8.85546875" style="3" bestFit="1" customWidth="1"/>
    <col min="53" max="53" width="12" style="3" bestFit="1" customWidth="1"/>
    <col min="54" max="54" width="9.140625" style="3" bestFit="1" customWidth="1"/>
    <col min="55" max="55" width="9.7109375" style="3" bestFit="1" customWidth="1"/>
    <col min="56" max="56" width="10" style="3" bestFit="1" customWidth="1"/>
    <col min="57" max="57" width="10.5703125" style="3" bestFit="1" customWidth="1"/>
    <col min="58" max="58" width="11.42578125" style="3" bestFit="1" customWidth="1"/>
    <col min="59" max="59" width="9.140625" style="3" bestFit="1" customWidth="1"/>
    <col min="60" max="60" width="9.7109375" style="3" bestFit="1" customWidth="1"/>
    <col min="61" max="61" width="11.42578125" style="3" bestFit="1" customWidth="1"/>
    <col min="62" max="62" width="10.7109375" style="3" bestFit="1" customWidth="1"/>
    <col min="63" max="63" width="12" style="3" bestFit="1" customWidth="1"/>
    <col min="64" max="64" width="12.85546875" style="3" bestFit="1" customWidth="1"/>
    <col min="65" max="67" width="13.140625" style="3" bestFit="1" customWidth="1"/>
    <col min="68" max="68" width="17" style="3" bestFit="1" customWidth="1"/>
    <col min="69" max="69" width="13.42578125" style="3" bestFit="1" customWidth="1"/>
    <col min="70" max="70" width="14" style="3" bestFit="1" customWidth="1"/>
    <col min="71" max="71" width="14.7109375" style="3" bestFit="1" customWidth="1"/>
    <col min="72" max="72" width="15.28515625" style="3" bestFit="1" customWidth="1"/>
    <col min="73" max="73" width="16.28515625" style="3" bestFit="1" customWidth="1"/>
    <col min="74" max="74" width="13.5703125" style="3" bestFit="1" customWidth="1"/>
    <col min="75" max="75" width="14.28515625" style="3" bestFit="1" customWidth="1"/>
    <col min="76" max="76" width="16.28515625" style="3" bestFit="1" customWidth="1"/>
    <col min="77" max="77" width="15.28515625" style="3" bestFit="1" customWidth="1"/>
    <col min="78" max="78" width="17" style="3" bestFit="1" customWidth="1"/>
    <col min="79" max="81" width="13.5703125" style="3" bestFit="1" customWidth="1"/>
    <col min="82" max="82" width="17.5703125" style="3" bestFit="1" customWidth="1"/>
    <col min="83" max="83" width="14" style="3" bestFit="1" customWidth="1"/>
    <col min="84" max="84" width="14.5703125" style="3" bestFit="1" customWidth="1"/>
    <col min="85" max="85" width="15.28515625" style="3" bestFit="1" customWidth="1"/>
    <col min="86" max="86" width="15.85546875" style="3" bestFit="1" customWidth="1"/>
    <col min="87" max="87" width="16.85546875" style="3" bestFit="1" customWidth="1"/>
    <col min="88" max="88" width="14" style="3" bestFit="1" customWidth="1"/>
    <col min="89" max="89" width="14.85546875" style="3" bestFit="1" customWidth="1"/>
    <col min="90" max="90" width="16.85546875" style="3" bestFit="1" customWidth="1"/>
    <col min="91" max="91" width="15.85546875" style="3" bestFit="1" customWidth="1"/>
    <col min="92" max="92" width="17.5703125" style="3" bestFit="1" customWidth="1"/>
    <col min="93" max="93" width="13.5703125" style="3" bestFit="1" customWidth="1"/>
    <col min="94" max="94" width="14.7109375" style="3" bestFit="1" customWidth="1"/>
    <col min="95" max="95" width="15" style="3" bestFit="1" customWidth="1"/>
    <col min="96" max="96" width="16" style="3" bestFit="1" customWidth="1"/>
    <col min="97" max="97" width="19.140625" style="3" bestFit="1" customWidth="1"/>
    <col min="98" max="98" width="15.28515625" style="3" bestFit="1" customWidth="1"/>
    <col min="99" max="99" width="16" style="3" bestFit="1" customWidth="1"/>
    <col min="100" max="100" width="16.28515625" style="3" bestFit="1" customWidth="1"/>
    <col min="101" max="101" width="17" style="3" bestFit="1" customWidth="1"/>
    <col min="102" max="102" width="18.140625" style="3" bestFit="1" customWidth="1"/>
    <col min="103" max="103" width="15.140625" style="3" bestFit="1" customWidth="1"/>
    <col min="104" max="104" width="16" style="3" bestFit="1" customWidth="1"/>
    <col min="105" max="105" width="17.85546875" style="3" bestFit="1" customWidth="1"/>
    <col min="106" max="106" width="17.140625" style="3" bestFit="1" customWidth="1"/>
    <col min="107" max="107" width="18.85546875" style="3" bestFit="1" customWidth="1"/>
    <col min="108" max="109" width="10.42578125" style="2" bestFit="1" customWidth="1"/>
    <col min="110" max="110" width="11.28515625" style="2" bestFit="1" customWidth="1"/>
    <col min="111" max="111" width="13.85546875" style="2" bestFit="1" customWidth="1"/>
    <col min="112" max="112" width="10.85546875" style="2" bestFit="1" customWidth="1"/>
    <col min="113" max="113" width="11.42578125" style="2" bestFit="1" customWidth="1"/>
    <col min="114" max="114" width="11.85546875" style="2" bestFit="1" customWidth="1"/>
    <col min="115" max="115" width="12.28515625" style="2" bestFit="1" customWidth="1"/>
    <col min="116" max="116" width="13.140625" style="2" bestFit="1" customWidth="1"/>
    <col min="117" max="117" width="10.85546875" style="2" bestFit="1" customWidth="1"/>
    <col min="118" max="118" width="11.42578125" style="2" bestFit="1" customWidth="1"/>
    <col min="119" max="119" width="13.140625" style="2" bestFit="1" customWidth="1"/>
    <col min="120" max="120" width="12.28515625" style="2" bestFit="1" customWidth="1"/>
    <col min="121" max="121" width="13.85546875" style="2" bestFit="1" customWidth="1"/>
    <col min="122" max="122" width="14.7109375" style="3" bestFit="1" customWidth="1"/>
    <col min="123" max="124" width="15.140625" style="3" bestFit="1" customWidth="1"/>
    <col min="125" max="125" width="16.28515625" style="3" bestFit="1" customWidth="1"/>
    <col min="126" max="126" width="19" style="3" bestFit="1" customWidth="1"/>
    <col min="127" max="127" width="15.5703125" style="3" bestFit="1" customWidth="1"/>
    <col min="128" max="128" width="16.140625" style="3" bestFit="1" customWidth="1"/>
    <col min="129" max="129" width="16.7109375" style="3" bestFit="1" customWidth="1"/>
    <col min="130" max="130" width="17.28515625" style="3" bestFit="1" customWidth="1"/>
    <col min="131" max="131" width="18.28515625" style="3" bestFit="1" customWidth="1"/>
    <col min="132" max="132" width="15.5703125" style="3" bestFit="1" customWidth="1"/>
    <col min="133" max="133" width="16.28515625" style="3" bestFit="1" customWidth="1"/>
    <col min="134" max="134" width="18.28515625" style="3" bestFit="1" customWidth="1"/>
    <col min="135" max="135" width="17.28515625" style="3" bestFit="1" customWidth="1"/>
    <col min="136" max="136" width="19" style="3" bestFit="1" customWidth="1"/>
    <col min="137" max="138" width="15.7109375" style="17" bestFit="1" customWidth="1"/>
    <col min="139" max="139" width="16.85546875" style="17" bestFit="1" customWidth="1"/>
    <col min="140" max="140" width="19.5703125" style="17" bestFit="1" customWidth="1"/>
    <col min="141" max="141" width="16" style="17" bestFit="1" customWidth="1"/>
    <col min="142" max="142" width="16.7109375" style="17" bestFit="1" customWidth="1"/>
    <col min="143" max="143" width="17.28515625" style="17" bestFit="1" customWidth="1"/>
    <col min="144" max="144" width="17.85546875" style="17" bestFit="1" customWidth="1"/>
    <col min="145" max="145" width="18.85546875" style="17" bestFit="1" customWidth="1"/>
    <col min="146" max="146" width="16.140625" style="17" bestFit="1" customWidth="1"/>
    <col min="147" max="147" width="16.85546875" style="17" bestFit="1" customWidth="1"/>
    <col min="148" max="148" width="18.85546875" style="17" bestFit="1" customWidth="1"/>
    <col min="149" max="149" width="17.85546875" style="17" bestFit="1" customWidth="1"/>
    <col min="150" max="150" width="19.5703125" style="17" bestFit="1" customWidth="1"/>
    <col min="151" max="151" width="15.5703125" style="3" bestFit="1" customWidth="1"/>
    <col min="152" max="152" width="12.28515625" style="3" bestFit="1" customWidth="1"/>
    <col min="153" max="153" width="12.5703125" style="3" bestFit="1" customWidth="1"/>
    <col min="154" max="154" width="12.140625" style="3" bestFit="1" customWidth="1"/>
    <col min="155" max="155" width="12.5703125" style="3" bestFit="1" customWidth="1"/>
    <col min="156" max="156" width="12.85546875" style="3" bestFit="1" customWidth="1"/>
    <col min="157" max="157" width="13.140625" style="3" bestFit="1" customWidth="1"/>
    <col min="158" max="158" width="13.42578125" style="3" bestFit="1" customWidth="1"/>
    <col min="159" max="159" width="13" style="3" bestFit="1" customWidth="1"/>
    <col min="160" max="16384" width="15.5703125" style="3"/>
  </cols>
  <sheetData>
    <row r="1" spans="1:159" s="14" customFormat="1" x14ac:dyDescent="0.2">
      <c r="A1" s="78" t="s">
        <v>51</v>
      </c>
      <c r="B1" s="79" t="s">
        <v>350</v>
      </c>
      <c r="C1" s="64" t="s">
        <v>1265</v>
      </c>
      <c r="D1" s="64" t="s">
        <v>1266</v>
      </c>
      <c r="E1" s="64" t="s">
        <v>1267</v>
      </c>
      <c r="F1" s="64" t="s">
        <v>1268</v>
      </c>
      <c r="G1" s="64" t="s">
        <v>1269</v>
      </c>
      <c r="H1" s="64" t="s">
        <v>1270</v>
      </c>
      <c r="I1" s="64" t="s">
        <v>1271</v>
      </c>
      <c r="J1" s="64" t="s">
        <v>1272</v>
      </c>
      <c r="K1" s="64" t="s">
        <v>1273</v>
      </c>
      <c r="L1" s="64" t="s">
        <v>1274</v>
      </c>
      <c r="M1" s="64" t="s">
        <v>1275</v>
      </c>
      <c r="N1" s="118" t="s">
        <v>1303</v>
      </c>
      <c r="O1" s="118" t="s">
        <v>1304</v>
      </c>
      <c r="P1" s="118" t="s">
        <v>1305</v>
      </c>
      <c r="Q1" s="118" t="s">
        <v>1306</v>
      </c>
      <c r="R1" s="118" t="s">
        <v>1307</v>
      </c>
      <c r="S1" s="118" t="s">
        <v>1308</v>
      </c>
      <c r="T1" s="118" t="s">
        <v>1309</v>
      </c>
      <c r="U1" s="118" t="s">
        <v>1310</v>
      </c>
      <c r="V1" s="118" t="s">
        <v>1311</v>
      </c>
      <c r="W1" s="118" t="s">
        <v>1312</v>
      </c>
      <c r="X1" s="118" t="s">
        <v>1313</v>
      </c>
      <c r="Y1" s="119" t="s">
        <v>1314</v>
      </c>
      <c r="Z1" s="119" t="s">
        <v>1315</v>
      </c>
      <c r="AA1" s="119" t="s">
        <v>1316</v>
      </c>
      <c r="AB1" s="119" t="s">
        <v>1317</v>
      </c>
      <c r="AC1" s="119" t="s">
        <v>1318</v>
      </c>
      <c r="AD1" s="119" t="s">
        <v>1319</v>
      </c>
      <c r="AE1" s="119" t="s">
        <v>1320</v>
      </c>
      <c r="AF1" s="119" t="s">
        <v>1321</v>
      </c>
      <c r="AG1" s="119" t="s">
        <v>1322</v>
      </c>
      <c r="AH1" s="119" t="s">
        <v>1323</v>
      </c>
      <c r="AI1" s="119" t="s">
        <v>1324</v>
      </c>
      <c r="AJ1" s="64" t="s">
        <v>1169</v>
      </c>
      <c r="AK1" s="64" t="s">
        <v>1170</v>
      </c>
      <c r="AL1" s="65" t="s">
        <v>1171</v>
      </c>
      <c r="AM1" s="64" t="s">
        <v>1175</v>
      </c>
      <c r="AN1" s="64" t="s">
        <v>1181</v>
      </c>
      <c r="AO1" s="64" t="s">
        <v>1178</v>
      </c>
      <c r="AP1" s="64" t="s">
        <v>1179</v>
      </c>
      <c r="AQ1" s="64" t="s">
        <v>1180</v>
      </c>
      <c r="AR1" s="64" t="s">
        <v>1176</v>
      </c>
      <c r="AS1" s="64" t="s">
        <v>1177</v>
      </c>
      <c r="AT1" s="64" t="s">
        <v>1276</v>
      </c>
      <c r="AU1" s="64" t="s">
        <v>1278</v>
      </c>
      <c r="AV1" s="64" t="s">
        <v>1277</v>
      </c>
      <c r="AW1" s="64" t="s">
        <v>1279</v>
      </c>
      <c r="AX1" s="38" t="s">
        <v>1182</v>
      </c>
      <c r="AY1" s="38" t="s">
        <v>1183</v>
      </c>
      <c r="AZ1" s="38" t="s">
        <v>1184</v>
      </c>
      <c r="BA1" s="38" t="s">
        <v>1185</v>
      </c>
      <c r="BB1" s="38" t="s">
        <v>1191</v>
      </c>
      <c r="BC1" s="38" t="s">
        <v>1188</v>
      </c>
      <c r="BD1" s="38" t="s">
        <v>1189</v>
      </c>
      <c r="BE1" s="38" t="s">
        <v>1190</v>
      </c>
      <c r="BF1" s="38" t="s">
        <v>1186</v>
      </c>
      <c r="BG1" s="38" t="s">
        <v>1187</v>
      </c>
      <c r="BH1" s="38" t="s">
        <v>1280</v>
      </c>
      <c r="BI1" s="38" t="s">
        <v>1282</v>
      </c>
      <c r="BJ1" s="38" t="s">
        <v>1281</v>
      </c>
      <c r="BK1" s="38" t="s">
        <v>1283</v>
      </c>
      <c r="BL1" s="64" t="s">
        <v>1172</v>
      </c>
      <c r="BM1" s="118" t="s">
        <v>1225</v>
      </c>
      <c r="BN1" s="118" t="s">
        <v>1226</v>
      </c>
      <c r="BO1" s="118" t="s">
        <v>1227</v>
      </c>
      <c r="BP1" s="118" t="s">
        <v>1228</v>
      </c>
      <c r="BQ1" s="118" t="s">
        <v>1330</v>
      </c>
      <c r="BR1" s="118" t="s">
        <v>1327</v>
      </c>
      <c r="BS1" s="118" t="s">
        <v>1328</v>
      </c>
      <c r="BT1" s="118" t="s">
        <v>1329</v>
      </c>
      <c r="BU1" s="118" t="s">
        <v>1325</v>
      </c>
      <c r="BV1" s="118" t="s">
        <v>1326</v>
      </c>
      <c r="BW1" s="118" t="s">
        <v>1331</v>
      </c>
      <c r="BX1" s="118" t="s">
        <v>1333</v>
      </c>
      <c r="BY1" s="118" t="s">
        <v>1332</v>
      </c>
      <c r="BZ1" s="118" t="s">
        <v>1334</v>
      </c>
      <c r="CA1" s="119" t="s">
        <v>1229</v>
      </c>
      <c r="CB1" s="119" t="s">
        <v>1230</v>
      </c>
      <c r="CC1" s="119" t="s">
        <v>1231</v>
      </c>
      <c r="CD1" s="119" t="s">
        <v>1232</v>
      </c>
      <c r="CE1" s="119" t="s">
        <v>1340</v>
      </c>
      <c r="CF1" s="119" t="s">
        <v>1337</v>
      </c>
      <c r="CG1" s="119" t="s">
        <v>1338</v>
      </c>
      <c r="CH1" s="119" t="s">
        <v>1339</v>
      </c>
      <c r="CI1" s="119" t="s">
        <v>1335</v>
      </c>
      <c r="CJ1" s="119" t="s">
        <v>1336</v>
      </c>
      <c r="CK1" s="119" t="s">
        <v>1341</v>
      </c>
      <c r="CL1" s="119" t="s">
        <v>1343</v>
      </c>
      <c r="CM1" s="119" t="s">
        <v>1342</v>
      </c>
      <c r="CN1" s="119" t="s">
        <v>1344</v>
      </c>
      <c r="CO1" s="119" t="s">
        <v>1233</v>
      </c>
      <c r="CP1" s="64" t="s">
        <v>1284</v>
      </c>
      <c r="CQ1" s="64" t="s">
        <v>1285</v>
      </c>
      <c r="CR1" s="64" t="s">
        <v>1286</v>
      </c>
      <c r="CS1" s="64" t="s">
        <v>1287</v>
      </c>
      <c r="CT1" s="64" t="s">
        <v>1293</v>
      </c>
      <c r="CU1" s="64" t="s">
        <v>1290</v>
      </c>
      <c r="CV1" s="64" t="s">
        <v>1291</v>
      </c>
      <c r="CW1" s="64" t="s">
        <v>1292</v>
      </c>
      <c r="CX1" s="64" t="s">
        <v>1288</v>
      </c>
      <c r="CY1" s="64" t="s">
        <v>1289</v>
      </c>
      <c r="CZ1" s="64" t="s">
        <v>1294</v>
      </c>
      <c r="DA1" s="64" t="s">
        <v>1296</v>
      </c>
      <c r="DB1" s="64" t="s">
        <v>1295</v>
      </c>
      <c r="DC1" s="64" t="s">
        <v>1297</v>
      </c>
      <c r="DD1" s="38" t="s">
        <v>1192</v>
      </c>
      <c r="DE1" s="38" t="s">
        <v>1193</v>
      </c>
      <c r="DF1" s="38" t="s">
        <v>1194</v>
      </c>
      <c r="DG1" s="38" t="s">
        <v>1195</v>
      </c>
      <c r="DH1" s="38" t="s">
        <v>1201</v>
      </c>
      <c r="DI1" s="38" t="s">
        <v>1198</v>
      </c>
      <c r="DJ1" s="38" t="s">
        <v>1199</v>
      </c>
      <c r="DK1" s="38" t="s">
        <v>1200</v>
      </c>
      <c r="DL1" s="38" t="s">
        <v>1196</v>
      </c>
      <c r="DM1" s="38" t="s">
        <v>1197</v>
      </c>
      <c r="DN1" s="38" t="s">
        <v>1298</v>
      </c>
      <c r="DO1" s="38" t="s">
        <v>1300</v>
      </c>
      <c r="DP1" s="38" t="s">
        <v>1299</v>
      </c>
      <c r="DQ1" s="38" t="s">
        <v>1301</v>
      </c>
      <c r="DR1" s="64" t="s">
        <v>1302</v>
      </c>
      <c r="DS1" s="118" t="s">
        <v>1345</v>
      </c>
      <c r="DT1" s="118" t="s">
        <v>1346</v>
      </c>
      <c r="DU1" s="118" t="s">
        <v>1347</v>
      </c>
      <c r="DV1" s="118" t="s">
        <v>1348</v>
      </c>
      <c r="DW1" s="118" t="s">
        <v>1349</v>
      </c>
      <c r="DX1" s="118" t="s">
        <v>1350</v>
      </c>
      <c r="DY1" s="118" t="s">
        <v>1351</v>
      </c>
      <c r="DZ1" s="118" t="s">
        <v>1352</v>
      </c>
      <c r="EA1" s="118" t="s">
        <v>1353</v>
      </c>
      <c r="EB1" s="118" t="s">
        <v>1354</v>
      </c>
      <c r="EC1" s="118" t="s">
        <v>1355</v>
      </c>
      <c r="ED1" s="118" t="s">
        <v>1356</v>
      </c>
      <c r="EE1" s="118" t="s">
        <v>1357</v>
      </c>
      <c r="EF1" s="118" t="s">
        <v>1358</v>
      </c>
      <c r="EG1" s="119" t="s">
        <v>1359</v>
      </c>
      <c r="EH1" s="119" t="s">
        <v>1360</v>
      </c>
      <c r="EI1" s="119" t="s">
        <v>1361</v>
      </c>
      <c r="EJ1" s="119" t="s">
        <v>1362</v>
      </c>
      <c r="EK1" s="119" t="s">
        <v>1363</v>
      </c>
      <c r="EL1" s="119" t="s">
        <v>1364</v>
      </c>
      <c r="EM1" s="119" t="s">
        <v>1365</v>
      </c>
      <c r="EN1" s="119" t="s">
        <v>1366</v>
      </c>
      <c r="EO1" s="119" t="s">
        <v>1367</v>
      </c>
      <c r="EP1" s="119" t="s">
        <v>1368</v>
      </c>
      <c r="EQ1" s="119" t="s">
        <v>1369</v>
      </c>
      <c r="ER1" s="119" t="s">
        <v>1370</v>
      </c>
      <c r="ES1" s="119" t="s">
        <v>1371</v>
      </c>
      <c r="ET1" s="119" t="s">
        <v>1372</v>
      </c>
      <c r="EU1" s="119" t="s">
        <v>1373</v>
      </c>
      <c r="EV1" s="64" t="s">
        <v>1209</v>
      </c>
      <c r="EW1" s="64" t="s">
        <v>1210</v>
      </c>
      <c r="EX1" s="64" t="s">
        <v>1211</v>
      </c>
      <c r="EY1" s="118" t="s">
        <v>1244</v>
      </c>
      <c r="EZ1" s="118" t="s">
        <v>1245</v>
      </c>
      <c r="FA1" s="119" t="s">
        <v>1246</v>
      </c>
      <c r="FB1" s="119" t="s">
        <v>1247</v>
      </c>
      <c r="FC1" s="119" t="s">
        <v>1248</v>
      </c>
    </row>
    <row r="2" spans="1:159" customFormat="1" x14ac:dyDescent="0.25">
      <c r="A2" s="44" t="s">
        <v>12</v>
      </c>
      <c r="B2" s="42" t="s">
        <v>1074</v>
      </c>
      <c r="C2" s="15">
        <f>up_dir!AB2</f>
        <v>1.8181818181818181E-11</v>
      </c>
      <c r="D2" s="15">
        <f>IFERROR(s_TR/(up_RadSpec!E2*s_IFP_far_adj*s_CF_far_poultry),".")</f>
        <v>7.2727272727272723E-11</v>
      </c>
      <c r="E2" s="15">
        <f>IFERROR(s_TR/(up_RadSpec!E2*s_IFE_far_adj*s_CF_far_egg),".")</f>
        <v>7.2727272727272723E-11</v>
      </c>
      <c r="F2" s="15">
        <f>IFERROR(s_TR/(up_RadSpec!E2*s_IFB_far_adj*s_CF_far_beef),".")</f>
        <v>7.2727272727272723E-11</v>
      </c>
      <c r="G2" s="15">
        <f>IFERROR(s_TR/(up_RadSpec!E2*s_IFD_far_adj*s_CF_far_dairy),".")</f>
        <v>7.2727272727272723E-11</v>
      </c>
      <c r="H2" s="15">
        <f>IFERROR(s_TR/(up_RadSpec!E2*s_IFSW_far_adj*s_CF_far_swine),".")</f>
        <v>7.2727272727272723E-11</v>
      </c>
      <c r="I2" s="15">
        <f>IFERROR(s_TR/(up_RadSpec!E2*s_IFFI_far_adj*s_CF_far_fish),".")</f>
        <v>7.2727272727272723E-11</v>
      </c>
      <c r="J2" s="15">
        <f>IFERROR(s_TR/(up_RadSpec!E2*s_IFGO_far_adj*s_CF_far_goat),".")</f>
        <v>7.2727272727272723E-11</v>
      </c>
      <c r="K2" s="15">
        <f>IFERROR(s_TR/(up_RadSpec!E2*s_IFSH_far_adj*s_CF_far_sheep),".")</f>
        <v>7.2727272727272723E-11</v>
      </c>
      <c r="L2" s="15">
        <f>IFERROR(s_TR/(up_RadSpec!E2*s_IFGM_far_adj*s_CF_far_goat_milk),".")</f>
        <v>7.2727272727272723E-11</v>
      </c>
      <c r="M2" s="15">
        <f>IFERROR(s_TR/(up_RadSpec!E2*s_IFSM_far_adj*s_CF_far_sheep_milk),".")</f>
        <v>7.2727272727272723E-11</v>
      </c>
      <c r="N2" s="40">
        <f>up_dir!BA2</f>
        <v>55000</v>
      </c>
      <c r="O2" s="40">
        <f t="shared" ref="O2:O30" si="0">IFERROR(s_C*s_IFP_far_adj*s_CF_far_poultry,".")</f>
        <v>13750</v>
      </c>
      <c r="P2" s="40">
        <f t="shared" ref="P2:P30" si="1">IFERROR(s_C*s_IFE_far_adj*s_CF_far_egg,".")</f>
        <v>13750</v>
      </c>
      <c r="Q2" s="40">
        <f t="shared" ref="Q2:Q30" si="2">IFERROR(s_C*s_IFB_far_adj*s_CF_far_beef,".")</f>
        <v>13750</v>
      </c>
      <c r="R2" s="40">
        <f t="shared" ref="R2:R30" si="3">IFERROR(s_C*s_IFD_far_adj*s_CF_far_dairy,".")</f>
        <v>13750</v>
      </c>
      <c r="S2" s="40">
        <f t="shared" ref="S2:S30" si="4">IFERROR(s_C*s_IFS_far_adj*s_CF_far_swine,".")</f>
        <v>13750</v>
      </c>
      <c r="T2" s="40">
        <f t="shared" ref="T2:T30" si="5">IFERROR(s_C*s_IFFI_far_adj*s_CF_far_fish,".")</f>
        <v>13750</v>
      </c>
      <c r="U2" s="40">
        <f t="shared" ref="U2:U30" si="6">IFERROR(s_C*s_IFGO_far_adj*s_CF_far_goat,".")</f>
        <v>13750</v>
      </c>
      <c r="V2" s="40">
        <f t="shared" ref="V2:V30" si="7">IFERROR(s_C*s_IFSH_far_adj*s_CF_far_sheep,".")</f>
        <v>13750</v>
      </c>
      <c r="W2" s="40">
        <f t="shared" ref="W2:W30" si="8">IFERROR(s_C*s_IFGM_far_adj*s_CF_far_goat_milk,".")</f>
        <v>13750</v>
      </c>
      <c r="X2" s="40">
        <f t="shared" ref="X2:X30" si="9">IFERROR(s_C*s_IFSM_far_adj*s_CF_far_sheep_milk,".")</f>
        <v>13750</v>
      </c>
      <c r="Y2" s="5"/>
      <c r="Z2" s="5"/>
      <c r="AA2" s="5"/>
      <c r="AB2" s="5"/>
      <c r="AC2" s="5"/>
      <c r="AD2" s="5"/>
      <c r="AE2" s="5"/>
      <c r="AF2" s="5"/>
      <c r="AG2" s="5"/>
      <c r="AH2" s="5"/>
      <c r="AI2" s="5"/>
      <c r="AJ2" s="45">
        <f>IFERROR((s_TR/(up_RadSpec!D2*s_IFS_far_adj*(1/1000)))*1,".")</f>
        <v>3.6363636363636363E-8</v>
      </c>
      <c r="AK2" s="45">
        <f>IFERROR(IF(A2="H-3",(s_TR/(up_RadSpec!G2*s_IFA_far_adj*(1/17)*1000))*1,(s_TR/(up_RadSpec!G2*s_IFA_far_adj*(1/s_PEF_wind)*1000))*1),".")</f>
        <v>3.3989909629864073E-4</v>
      </c>
      <c r="AL2" s="45">
        <f>IFERROR((s_TR/(up_RadSpec!F2*s_EF_far*(1/365)*s_ED_far*up_RadSpec!Q2*((s_ET_far_o*(1/24)*up_RadSpec!V2)+(s_ET_far_i*(1/24)*up_RadSpec!AA2))))*1,".")</f>
        <v>7.7500751879699262E-5</v>
      </c>
      <c r="AM2" s="45">
        <f>up_b2s!BA2</f>
        <v>3.6265718922545492E-12</v>
      </c>
      <c r="AN2" s="45">
        <f>IFERROR(((I2*up_RadSpec!AS2)/up_RadSpec!AI2)*1,".")</f>
        <v>7.2727272727272723E-11</v>
      </c>
      <c r="AO2" s="45">
        <f>IFERROR((F2/(up_RadSpec!AH2*((s_Q_p_beef*s_f_p_beef*s_f_s_beef*(up_RadSpec!BB2+s_R_es_past))+(s_Q_s_beef*s_f_p_beef))))*1,".")</f>
        <v>2.0414673046251994E-14</v>
      </c>
      <c r="AP2" s="45">
        <f>IFERROR(((G2*s_D_milk)/(up_RadSpec!AG2*((s_Q_p_dairy*s_f_p_dairy*s_f_s_dairy*(up_RadSpec!BB2+s_R_es_past))+(s_Q_s_dairy*s_f_p_dairy))))*1,".")</f>
        <v>2.102711323763955E-14</v>
      </c>
      <c r="AQ2" s="45">
        <f>IFERROR((H2/(up_RadSpec!AL2*((s_Q_p_swine*s_f_p_swine*s_f_s_swine*(up_RadSpec!BB2+s_R_es_past))+(s_Q_s_swine*s_f_p_swine))))*1,".")</f>
        <v>2.0414673046251994E-14</v>
      </c>
      <c r="AR2" s="45">
        <f>IFERROR((D2/(up_RadSpec!AJ2*((s_Q_p_poultry*s_f_p_poultry*s_f_s_poultry*(up_RadSpec!BB2+s_R_es_past))+(s_Q_s_poultry*s_f_p_poultry))))*1,".")</f>
        <v>2.0414673046251994E-14</v>
      </c>
      <c r="AS2" s="45">
        <f>IFERROR((E2/(up_RadSpec!AK2*((s_Q_p_poultry*s_f_p_poultry*s_f_s_poultry*(up_RadSpec!BB2+s_R_es_past))+(s_Q_s_poultry*s_f_p_poultry))))*1,".")</f>
        <v>2.0414673046251994E-14</v>
      </c>
      <c r="AT2" s="45">
        <f>IFERROR((J2/(up_RadSpec!AO2*((s_Q_p_goat*s_f_p_goat*s_f_s_goat*(up_RadSpec!BB2+s_R_es_past))+(s_Q_s_goat*s_f_p_goat))))*1,".")</f>
        <v>2.0414673046251994E-14</v>
      </c>
      <c r="AU2" s="45">
        <f>IFERROR((L2*s_D_milk/(up_RadSpec!AP2*((s_Q_p_goat_milk*s_f_p_goat_milk*s_f_s_goat_milk*(up_RadSpec!BB2+s_R_es_past))+(s_Q_s_goat_milk*s_f_p_goat_milk))))*1,".")</f>
        <v>2.102711323763955E-14</v>
      </c>
      <c r="AV2" s="45">
        <f>IFERROR((K2/(up_RadSpec!AM2*((s_Q_p_sheep*s_f_p_sheep*s_f_s_sheep*(up_RadSpec!BB2+s_R_es_past))+(s_Q_s_sheep*s_f_p_sheep))))*1,".")</f>
        <v>2.0414673046251994E-14</v>
      </c>
      <c r="AW2" s="45">
        <f>IFERROR((M2*s_D_milk/(up_RadSpec!AN2*((s_Q_p_sheep_milk*s_f_p_sheep_milk*s_f_s_sheep_milk*(up_RadSpec!BB2+s_R_es_past))+(s_Q_s_sheep_milk*s_f_p_sheep_milk))))*1,".")</f>
        <v>2.102711323763955E-14</v>
      </c>
      <c r="AX2" s="120">
        <f t="shared" ref="AX2:AX30" si="10">IFERROR(1/AJ2,".")</f>
        <v>27500000</v>
      </c>
      <c r="AY2" s="120">
        <f t="shared" ref="AY2:AY30" si="11">IFERROR(1/AK2,".")</f>
        <v>2942.0495991003877</v>
      </c>
      <c r="AZ2" s="120">
        <f t="shared" ref="AZ2:AZ30" si="12">IFERROR(1/AL2,".")</f>
        <v>12903.100624781711</v>
      </c>
      <c r="BA2" s="120">
        <f t="shared" ref="BA2:BA30" si="13">IFERROR(1/AM2,".")</f>
        <v>275742500000</v>
      </c>
      <c r="BB2" s="120">
        <f t="shared" ref="BB2:BB30" si="14">IFERROR(1/AN2,".")</f>
        <v>13750000000</v>
      </c>
      <c r="BC2" s="120">
        <f t="shared" ref="BC2:BC30" si="15">IFERROR(1/AO2,".")</f>
        <v>48984375000000</v>
      </c>
      <c r="BD2" s="120">
        <f t="shared" ref="BD2:BD30" si="16">IFERROR(1/AP2,".")</f>
        <v>47557645631067.969</v>
      </c>
      <c r="BE2" s="120">
        <f t="shared" ref="BE2:BE30" si="17">IFERROR(1/AQ2,".")</f>
        <v>48984375000000</v>
      </c>
      <c r="BF2" s="120">
        <f t="shared" ref="BF2:BF30" si="18">IFERROR(1/AR2,".")</f>
        <v>48984375000000</v>
      </c>
      <c r="BG2" s="120">
        <f t="shared" ref="BG2:BG30" si="19">IFERROR(1/AS2,".")</f>
        <v>48984375000000</v>
      </c>
      <c r="BH2" s="120">
        <f t="shared" ref="BH2:BH30" si="20">IFERROR(1/AT2,".")</f>
        <v>48984375000000</v>
      </c>
      <c r="BI2" s="120">
        <f t="shared" ref="BI2:BI30" si="21">IFERROR(1/AU2,".")</f>
        <v>47557645631067.969</v>
      </c>
      <c r="BJ2" s="120">
        <f t="shared" ref="BJ2:BJ30" si="22">IFERROR(1/AV2,".")</f>
        <v>48984375000000</v>
      </c>
      <c r="BK2" s="120">
        <f t="shared" ref="BK2:BK30" si="23">IFERROR(1/AW2,".")</f>
        <v>47557645631067.969</v>
      </c>
      <c r="BL2" s="15">
        <f t="shared" ref="BL2:BL30" si="24">IFERROR(1/(SUMIF(AX2:BK2,"&lt;&gt;0")),".")</f>
        <v>2.2890172360369774E-15</v>
      </c>
      <c r="BM2" s="40">
        <f t="shared" ref="BM2:BM30" si="25">IFERROR(s_C*s_IFS_far_adj*(1/1000),".")</f>
        <v>27.5</v>
      </c>
      <c r="BN2" s="40">
        <f t="shared" ref="BN2:BN30" si="26">IFERROR(s_C*s_IFA_far_adj*(1/s_PEF_wind)*1000,".")</f>
        <v>2.9420495991003873E-3</v>
      </c>
      <c r="BO2" s="40">
        <f>IFERROR((s_C*s_EF_far*(1/365)*s_ED_far*up_RadSpec!Q2*((s_ET_far_o*(1/24)*up_RadSpec!V2)+(s_ET_far_i*(1/24)*up_RadSpec!AA2))),".")</f>
        <v>1.2903100624781711E-2</v>
      </c>
      <c r="BP2" s="40">
        <f>up_b2s!BZ2</f>
        <v>275742.5</v>
      </c>
      <c r="BQ2" s="40">
        <f>IFERROR(((s_C*up_RadSpec!AI2)/up_RadSpec!AS2)*s_IFFI_far_adj*s_CF_far_fish,0)</f>
        <v>13750</v>
      </c>
      <c r="BR2" s="40">
        <f>(s_C*s_IFB_far_adj*s_CF_far_beef*up_RadSpec!AH2*((s_Q_p_beef*s_f_p_beef*s_f_s_beef*(up_RadSpec!$AR2+s_R_es_past))+(s_Q_s_beef*s_f_p_beef)))</f>
        <v>48984375</v>
      </c>
      <c r="BS2" s="40">
        <f>(s_C*s_IFD_far_adj*s_CF_far_dairy*up_RadSpec!AG2*1/s_D_milk*((s_Q_p_dairy*s_f_p_dairy*s_f_s_dairy*(up_RadSpec!$AR2+s_R_es_past))+(s_Q_s_dairy*s_f_p_dairy)))</f>
        <v>47557645.631067954</v>
      </c>
      <c r="BT2" s="40">
        <f>(s_C*s_IFSW_far_adj*s_CF_far_swine*up_RadSpec!AL2*((s_Q_p_swine*s_f_p_swine*s_f_s_swine*(up_RadSpec!$AR2+s_R_es_past))+(s_Q_s_swine*s_f_p_swine)))</f>
        <v>48984375</v>
      </c>
      <c r="BU2" s="40">
        <f>(s_C*s_IFP_far_adj*s_CF_far_poultry*up_RadSpec!AJ2*((s_Q_p_poultry*s_f_p_poultry*s_f_s_poultry*(up_RadSpec!AR2+s_R_es_past))+(s_Q_s_poultry*s_f_p_poultry)))</f>
        <v>48984375</v>
      </c>
      <c r="BV2" s="40">
        <f>(s_C*s_IFE_far_adj*s_CF_far_egg*up_RadSpec!AK2*((s_Q_p_egg*s_f_p_egg*s_f_s_egg*(up_RadSpec!$AR2+s_R_es_past))+(s_Q_s_egg*s_f_p_egg)))</f>
        <v>48984375</v>
      </c>
      <c r="BW2" s="40">
        <f>(s_C*s_IFGO_far_adj*s_CF_far_goat*up_RadSpec!AO2*((s_Q_p_goat*s_f_p_goat*s_f_s_goat*(up_RadSpec!$AR2+s_R_es_past))+(s_Q_s_goat*s_f_p_goat)))</f>
        <v>48984375</v>
      </c>
      <c r="BX2" s="40">
        <f>(s_C*s_IFGM_far_adj*s_CF_far_goat_milk*up_RadSpec!AP2*1/s_D_milk*((s_Q_p_goat_milk*s_f_p_goat_milk*s_f_s_goat_milk*(up_RadSpec!$AR2+s_R_es_past))+(s_Q_s_goat_milk*s_f_p_goat_milk)))</f>
        <v>47557645.631067954</v>
      </c>
      <c r="BY2" s="40">
        <f>(s_C*s_IFSH_far_adj*s_CF_far_sheep*up_RadSpec!AM2*((s_Q_p_sheep*s_f_p_sheep*s_f_s_sheep*(up_RadSpec!$AR2+s_R_es_past))+(s_Q_s_sheep*s_f_p_sheep)))</f>
        <v>48984375</v>
      </c>
      <c r="BZ2" s="40">
        <f>(s_C*s_IFSM_far_adj*s_CF_far_sheep_milk*up_RadSpec!AN2*1/s_D_milk*((s_Q_p_sheep_milk*s_f_p_sheep_milk*s_f_s_sheep_milk*(up_RadSpec!$AR2+s_R_es_past))+(s_Q_s_sheep_milk*s_f_p_sheep_milk)))</f>
        <v>47557645.631067954</v>
      </c>
      <c r="CA2" s="45"/>
      <c r="CB2" s="45"/>
      <c r="CC2" s="45"/>
      <c r="CD2" s="45"/>
      <c r="CE2" s="45"/>
      <c r="CF2" s="45"/>
      <c r="CG2" s="45"/>
      <c r="CH2" s="45"/>
      <c r="CI2" s="45"/>
      <c r="CJ2" s="45"/>
      <c r="CK2" s="45"/>
      <c r="CL2" s="45"/>
      <c r="CM2" s="45"/>
      <c r="CN2" s="45"/>
      <c r="CO2" s="15"/>
      <c r="CP2" s="15">
        <f>IFERROR(s_TR/(up_RadSpec!H2*s_IFW_far_adj),".")</f>
        <v>3.9999999999999996E-10</v>
      </c>
      <c r="CQ2" s="15" t="str">
        <f>IFERROR(IF(up_RadSpec!C2=1,s_TR/(up_RadSpec!G2*s_IFA_far_adj*s_K),"."),".")</f>
        <v>.</v>
      </c>
      <c r="CR2" s="15">
        <f>IFERROR((s_TR/(up_RadSpec!L2*(1/8760)*s_DFA_far_adj)),".")</f>
        <v>4.3800000000000004E-6</v>
      </c>
      <c r="CS2" s="15">
        <f>up_b2w!BA2</f>
        <v>1.8087754064641833E-11</v>
      </c>
      <c r="CT2" s="15">
        <f>IFERROR(I2/(up_RadSpec!AI2*(1/1000)),".")</f>
        <v>1.4545454545454544E-8</v>
      </c>
      <c r="CU2" s="15">
        <f>IFERROR(F2/(up_RadSpec!AH2*s_Q_w_beef*(1/1000)),".")</f>
        <v>2.9090909090909087E-9</v>
      </c>
      <c r="CV2" s="15">
        <f>IFERROR((G2*s_D_milk)/(up_RadSpec!AG2*s_Q_w_dairy*(1/1000)),".")</f>
        <v>2.9963636363636357E-9</v>
      </c>
      <c r="CW2" s="15">
        <f>IFERROR(H2/(up_RadSpec!AL2*s_Q_w_swine*(1/1000)),".")</f>
        <v>2.9090909090909087E-9</v>
      </c>
      <c r="CX2" s="15">
        <f>IFERROR(D2/(up_RadSpec!AJ2*s_Q_w_poultry*(1/1000)),".")</f>
        <v>2.9090909090909087E-9</v>
      </c>
      <c r="CY2" s="15">
        <f>IFERROR(E2/(up_RadSpec!AK2*s_Q_w_poultry*(1/1000)),".")</f>
        <v>2.9090909090909087E-9</v>
      </c>
      <c r="CZ2" s="15">
        <f>IFERROR(J2/(up_RadSpec!AO2*s_Q_w_goat*(1/1000)),".")</f>
        <v>2.9090909090909087E-9</v>
      </c>
      <c r="DA2" s="15">
        <f>IFERROR(L2*s_D_milk/(up_RadSpec!AP2*s_Q_w_goat_milk*(1/1000)),".")</f>
        <v>2.9963636363636357E-9</v>
      </c>
      <c r="DB2" s="15">
        <f>IFERROR(K2/(up_RadSpec!AM2*s_Q_w_sheep*(1/1000)),".")</f>
        <v>2.9090909090909087E-9</v>
      </c>
      <c r="DC2" s="15">
        <f>IFERROR(M2*s_D_milk/(up_RadSpec!AN2*s_Q_w_sheep_milk*(1/1000)),".")</f>
        <v>2.9963636363636357E-9</v>
      </c>
      <c r="DD2" s="120">
        <f t="shared" ref="DD2:DD30" si="27">IFERROR(1/CP2,".")</f>
        <v>2500000000</v>
      </c>
      <c r="DE2" s="120" t="str">
        <f t="shared" ref="DE2:DE30" si="28">IFERROR(1/CQ2,".")</f>
        <v>.</v>
      </c>
      <c r="DF2" s="120">
        <f t="shared" ref="DF2:DF30" si="29">IFERROR(1/CR2,".")</f>
        <v>228310.50228310502</v>
      </c>
      <c r="DG2" s="120">
        <f t="shared" ref="DG2:DG30" si="30">IFERROR(1/CS2,".")</f>
        <v>55286023705.663513</v>
      </c>
      <c r="DH2" s="120">
        <f t="shared" ref="DH2:DH30" si="31">IFERROR(1/CT2,".")</f>
        <v>68750000</v>
      </c>
      <c r="DI2" s="120">
        <f t="shared" ref="DI2:DI30" si="32">IFERROR(1/CU2,".")</f>
        <v>343750000.00000006</v>
      </c>
      <c r="DJ2" s="120">
        <f t="shared" ref="DJ2:DJ30" si="33">IFERROR(1/CV2,".")</f>
        <v>333737864.07766998</v>
      </c>
      <c r="DK2" s="120">
        <f t="shared" ref="DK2:DK30" si="34">IFERROR(1/CW2,".")</f>
        <v>343750000.00000006</v>
      </c>
      <c r="DL2" s="120">
        <f t="shared" ref="DL2:DL30" si="35">IFERROR(1/CX2,".")</f>
        <v>343750000.00000006</v>
      </c>
      <c r="DM2" s="120">
        <f t="shared" ref="DM2:DM30" si="36">IFERROR(1/CY2,".")</f>
        <v>343750000.00000006</v>
      </c>
      <c r="DN2" s="120">
        <f t="shared" ref="DN2:DN30" si="37">IFERROR(1/CZ2,".")</f>
        <v>343750000.00000006</v>
      </c>
      <c r="DO2" s="120">
        <f t="shared" ref="DO2:DO30" si="38">IFERROR(1/DA2,".")</f>
        <v>333737864.07766998</v>
      </c>
      <c r="DP2" s="120">
        <f t="shared" ref="DP2:DP30" si="39">IFERROR(1/DB2,".")</f>
        <v>343750000.00000006</v>
      </c>
      <c r="DQ2" s="120">
        <f t="shared" ref="DQ2:DQ30" si="40">IFERROR(1/DC2,".")</f>
        <v>333737864.07766998</v>
      </c>
      <c r="DR2" s="15">
        <f t="shared" ref="DR2:DR30" si="41">IFERROR(1/(SUMIF(DD2:DQ2,"&lt;&gt;0")),".")</f>
        <v>1.6415316541278672E-11</v>
      </c>
      <c r="DS2" s="40">
        <f t="shared" ref="DS2:DS30" si="42">IFERROR(s_C*s_IFW_far_adj,".")</f>
        <v>2500</v>
      </c>
      <c r="DT2" s="40">
        <f t="shared" ref="DT2:DT30" si="43">IFERROR(s_C*s_IFA_far_adj*s_K,".")</f>
        <v>455.72916666666663</v>
      </c>
      <c r="DU2" s="40">
        <f t="shared" ref="DU2:DU30" si="44">IFERROR((s_C*s_DFA_far_adj*(1/8760)),".")</f>
        <v>0.22831050228310501</v>
      </c>
      <c r="DV2" s="40">
        <f>up_b2w!BZ2</f>
        <v>55286.023705663516</v>
      </c>
      <c r="DW2" s="40">
        <f>IFERROR(s_C*up_RadSpec!AI2*(1/1000)*s_IFFI_far_adj*s_CF_far_fish,0)</f>
        <v>68.75</v>
      </c>
      <c r="DX2" s="40">
        <f>(s_C*s_IFB_far_adj*s_CF_far_beef*up_RadSpec!AH2*s_Q_w_beef*(1/1000))</f>
        <v>343.75</v>
      </c>
      <c r="DY2" s="40">
        <f>(s_C*s_IFD_far_adj*s_CF_far_dairy*up_RadSpec!AG2*(1/s_D_milk)*s_Q_w_dairy*(1/1000))</f>
        <v>333.73786407766988</v>
      </c>
      <c r="DZ2" s="40">
        <f>(s_C*s_IFSW_far_adj*s_CF_far_swine*up_RadSpec!AL2*s_Q_w_swine*(1/1000))</f>
        <v>343.75</v>
      </c>
      <c r="EA2" s="40">
        <f>(s_C*s_IFP_far_adj*s_CF_far_poultry*up_RadSpec!AJ2*s_Q_w_poultry*(1/1000))</f>
        <v>343.75</v>
      </c>
      <c r="EB2" s="40">
        <f>(s_C*s_IFE_far_adj*s_CF_far_egg*up_RadSpec!AK2*s_Q_w_egg*(1/1000))</f>
        <v>343.75</v>
      </c>
      <c r="EC2" s="40">
        <f>(s_C*s_IFGO_far_adj*s_CF_far_goat*up_RadSpec!AO2*s_Q_p_goat*(1/1000))</f>
        <v>343.75</v>
      </c>
      <c r="ED2" s="40">
        <f>(s_C*s_IFGM_far_adj*s_CF_far_goat_milk*up_RadSpec!AP2*(1/s_D_milk)*s_Q_p_goat_milk*(1/1000))</f>
        <v>333.73786407766988</v>
      </c>
      <c r="EE2" s="40">
        <f>(s_C*s_IFSH_far_adj*s_CF_far_sheep*up_RadSpec!AM2*s_Q_p_sheep*(1/1000))</f>
        <v>343.75</v>
      </c>
      <c r="EF2" s="40">
        <f>(s_C*s_IFSM_far_adj*s_CF_far_sheep_milk*up_RadSpec!AN2*(1/s_D_milk)*s_Q_p_sheep_milk*(1/1000))</f>
        <v>333.73786407766988</v>
      </c>
      <c r="EG2" s="18"/>
      <c r="EH2" s="18"/>
      <c r="EI2" s="18"/>
      <c r="EJ2" s="18"/>
      <c r="EK2" s="18"/>
      <c r="EL2" s="18"/>
      <c r="EM2" s="18"/>
      <c r="EN2" s="18"/>
      <c r="EO2" s="18"/>
      <c r="EP2" s="18"/>
      <c r="EQ2" s="18"/>
      <c r="ER2" s="18"/>
      <c r="ES2" s="18"/>
      <c r="ET2" s="18"/>
      <c r="EU2" s="5"/>
      <c r="EV2" s="15">
        <f>IFERROR((s_TR/(up_RadSpec!G2*s_IFA_far_adj)),".")</f>
        <v>1.0971428571428573E-9</v>
      </c>
      <c r="EW2" s="15">
        <f>IFERROR((s_TR/(up_RadSpec!J2*s_EF_far*(1/365)*s_ED_far*s_ET_far*(1/24)*s_GSF_a)),".")</f>
        <v>1.7520000000000001E-6</v>
      </c>
      <c r="EX2" s="15">
        <f t="shared" ref="EX2" si="45">IFERROR(IF(AND(ISNUMBER(EV2),ISNUMBER(EW2)),1/((1/EV2)+(1/EW2)),IF(AND(ISNUMBER(EV2),NOT(ISNUMBER(EW2))),1/((1/EV2)),IF(AND(NOT(ISNUMBER(EV2)),ISNUMBER(EW2)),1/((1/EW2)),IF(AND(NOT(ISNUMBER(EV2)),NOT(ISNUMBER(EW2))),".")))),".")</f>
        <v>1.0964562309317064E-9</v>
      </c>
      <c r="EY2" s="40">
        <f t="shared" ref="EY2:EY30" si="46">s_C*s_IFA_far_adj</f>
        <v>911.45833333333326</v>
      </c>
      <c r="EZ2" s="40">
        <f t="shared" ref="EZ2:EZ30" si="47">s_C*s_EF_far*(1/365)*s_ED_far*s_ET_far*(1/24)*s_GSF_a</f>
        <v>0.57077625570776247</v>
      </c>
      <c r="FA2" s="122"/>
      <c r="FB2" s="122"/>
      <c r="FC2" s="122"/>
    </row>
    <row r="3" spans="1:159" x14ac:dyDescent="0.25">
      <c r="A3" s="46" t="s">
        <v>13</v>
      </c>
      <c r="B3" s="42" t="s">
        <v>351</v>
      </c>
      <c r="C3" s="15">
        <f>up_dir!AB3</f>
        <v>1.8181818181818181E-11</v>
      </c>
      <c r="D3" s="15">
        <f>IFERROR(s_TR/(up_RadSpec!E3*s_IFP_far_adj*s_CF_far_poultry),".")</f>
        <v>7.2727272727272723E-11</v>
      </c>
      <c r="E3" s="15">
        <f>IFERROR(s_TR/(up_RadSpec!E3*s_IFE_far_adj*s_CF_far_egg),".")</f>
        <v>7.2727272727272723E-11</v>
      </c>
      <c r="F3" s="15">
        <f>IFERROR(s_TR/(up_RadSpec!E3*s_IFB_far_adj*s_CF_far_beef),".")</f>
        <v>7.2727272727272723E-11</v>
      </c>
      <c r="G3" s="15">
        <f>IFERROR(s_TR/(up_RadSpec!E3*s_IFD_far_adj*s_CF_far_dairy),".")</f>
        <v>7.2727272727272723E-11</v>
      </c>
      <c r="H3" s="15">
        <f>IFERROR(s_TR/(up_RadSpec!E3*s_IFSW_far_adj*s_CF_far_swine),".")</f>
        <v>7.2727272727272723E-11</v>
      </c>
      <c r="I3" s="15">
        <f>IFERROR(s_TR/(up_RadSpec!E3*s_IFFI_far_adj*s_CF_far_fish),".")</f>
        <v>7.2727272727272723E-11</v>
      </c>
      <c r="J3" s="15">
        <f>IFERROR(s_TR/(up_RadSpec!E3*s_IFGO_far_adj*s_CF_far_goat),".")</f>
        <v>7.2727272727272723E-11</v>
      </c>
      <c r="K3" s="15">
        <f>IFERROR(s_TR/(up_RadSpec!E3*s_IFSH_far_adj*s_CF_far_sheep),".")</f>
        <v>7.2727272727272723E-11</v>
      </c>
      <c r="L3" s="15">
        <f>IFERROR(s_TR/(up_RadSpec!E3*s_IFGM_far_adj*s_CF_far_goat_milk),".")</f>
        <v>7.2727272727272723E-11</v>
      </c>
      <c r="M3" s="15">
        <f>IFERROR(s_TR/(up_RadSpec!E3*s_IFSM_far_adj*s_CF_far_sheep_milk),".")</f>
        <v>7.2727272727272723E-11</v>
      </c>
      <c r="N3" s="40">
        <f>up_dir!BA3</f>
        <v>55000</v>
      </c>
      <c r="O3" s="40">
        <f t="shared" si="0"/>
        <v>13750</v>
      </c>
      <c r="P3" s="40">
        <f t="shared" si="1"/>
        <v>13750</v>
      </c>
      <c r="Q3" s="40">
        <f t="shared" si="2"/>
        <v>13750</v>
      </c>
      <c r="R3" s="40">
        <f t="shared" si="3"/>
        <v>13750</v>
      </c>
      <c r="S3" s="40">
        <f t="shared" si="4"/>
        <v>13750</v>
      </c>
      <c r="T3" s="40">
        <f t="shared" si="5"/>
        <v>13750</v>
      </c>
      <c r="U3" s="40">
        <f t="shared" si="6"/>
        <v>13750</v>
      </c>
      <c r="V3" s="40">
        <f t="shared" si="7"/>
        <v>13750</v>
      </c>
      <c r="W3" s="40">
        <f t="shared" si="8"/>
        <v>13750</v>
      </c>
      <c r="X3" s="40">
        <f t="shared" si="9"/>
        <v>13750</v>
      </c>
      <c r="Y3" s="5"/>
      <c r="Z3" s="5"/>
      <c r="AA3" s="5"/>
      <c r="AB3" s="5"/>
      <c r="AC3" s="5"/>
      <c r="AD3" s="5"/>
      <c r="AE3" s="5"/>
      <c r="AF3" s="5"/>
      <c r="AG3" s="5"/>
      <c r="AH3" s="5"/>
      <c r="AI3" s="5"/>
      <c r="AJ3" s="45">
        <f>IFERROR((s_TR/(up_RadSpec!D3*s_IFS_far_adj*(1/1000)))*1,".")</f>
        <v>3.6363636363636363E-8</v>
      </c>
      <c r="AK3" s="45">
        <f>IFERROR(IF(A3="H-3",(s_TR/(up_RadSpec!G3*s_IFA_far_adj*(1/17)*1000))*1,(s_TR/(up_RadSpec!G3*s_IFA_far_adj*(1/s_PEF_wind)*1000))*1),".")</f>
        <v>3.3989909629864073E-4</v>
      </c>
      <c r="AL3" s="45">
        <f>IFERROR((s_TR/(up_RadSpec!F3*s_EF_far*(1/365)*s_ED_far*up_RadSpec!Q3*((s_ET_far_o*(1/24)*up_RadSpec!V3)+(s_ET_far_i*(1/24)*up_RadSpec!AA3))))*1,".")</f>
        <v>1.0167857142857149E-2</v>
      </c>
      <c r="AM3" s="45">
        <f>up_b2s!BA3</f>
        <v>3.6265718922545492E-12</v>
      </c>
      <c r="AN3" s="45">
        <f>IFERROR(((I3*up_RadSpec!AS3)/up_RadSpec!AI3)*1,".")</f>
        <v>7.2727272727272723E-11</v>
      </c>
      <c r="AO3" s="45">
        <f>IFERROR((F3/(up_RadSpec!AH3*((s_Q_p_beef*s_f_p_beef*s_f_s_beef*(up_RadSpec!AR3+s_R_es_past))+(s_Q_s_beef*s_f_p_beef))))*1,".")</f>
        <v>2.0414673046251994E-14</v>
      </c>
      <c r="AP3" s="45">
        <f>IFERROR(((G3*s_D_milk)/(up_RadSpec!AG3*((s_Q_p_dairy*s_f_p_dairy*s_f_s_dairy*(up_RadSpec!AR3+s_R_es_past))+(s_Q_s_dairy*s_f_p_dairy))))*1,".")</f>
        <v>2.102711323763955E-14</v>
      </c>
      <c r="AQ3" s="45">
        <f>IFERROR((H3/(up_RadSpec!AL3*((s_Q_p_swine*s_f_p_swine*s_f_s_swine*(up_RadSpec!AR3+s_R_es_past))+(s_Q_s_swine*s_f_p_swine))))*1,".")</f>
        <v>2.0414673046251994E-14</v>
      </c>
      <c r="AR3" s="45">
        <f>IFERROR((D3/(up_RadSpec!AJ3*((s_Q_p_poultry*s_f_p_poultry*s_f_s_poultry*(up_RadSpec!BB3+s_R_es_past))+(s_Q_s_poultry*s_f_p_poultry))))*1,".")</f>
        <v>2.0414673046251994E-14</v>
      </c>
      <c r="AS3" s="45">
        <f>IFERROR((E3/(up_RadSpec!AK3*((s_Q_p_poultry*s_f_p_poultry*s_f_s_poultry*(up_RadSpec!AR3+s_R_es_past))+(s_Q_s_poultry*s_f_p_poultry))))*1,".")</f>
        <v>2.0414673046251994E-14</v>
      </c>
      <c r="AT3" s="45">
        <f>IFERROR((J3/(up_RadSpec!AO3*((s_Q_p_goat*s_f_p_goat*s_f_s_goat*(up_RadSpec!AR3+s_R_es_past))+(s_Q_s_goat*s_f_p_goat))))*1,".")</f>
        <v>2.0414673046251994E-14</v>
      </c>
      <c r="AU3" s="45">
        <f>IFERROR((L3*s_D_milk/(up_RadSpec!AP3*((s_Q_p_goat_milk*s_f_p_goat_milk*s_f_s_goat_milk*(up_RadSpec!AR3+s_R_es_past))+(s_Q_s_goat_milk*s_f_p_goat_milk))))*1,".")</f>
        <v>2.102711323763955E-14</v>
      </c>
      <c r="AV3" s="45">
        <f>IFERROR((K3/(up_RadSpec!AM3*((s_Q_p_sheep*s_f_p_sheep*s_f_s_sheep*(up_RadSpec!AR3+s_R_es_past))+(s_Q_s_sheep*s_f_p_sheep))))*1,".")</f>
        <v>2.0414673046251994E-14</v>
      </c>
      <c r="AW3" s="45">
        <f>IFERROR((M3*s_D_milk/(up_RadSpec!AN3*((s_Q_p_sheep_milk*s_f_p_sheep_milk*s_f_s_sheep_milk*(up_RadSpec!AR3+s_R_es_past))+(s_Q_s_sheep_milk*s_f_p_sheep_milk))))*1,".")</f>
        <v>2.102711323763955E-14</v>
      </c>
      <c r="AX3" s="120">
        <f t="shared" si="10"/>
        <v>27500000</v>
      </c>
      <c r="AY3" s="120">
        <f t="shared" si="11"/>
        <v>2942.0495991003877</v>
      </c>
      <c r="AZ3" s="120">
        <f t="shared" si="12"/>
        <v>98.349139445029806</v>
      </c>
      <c r="BA3" s="120">
        <f t="shared" si="13"/>
        <v>275742500000</v>
      </c>
      <c r="BB3" s="120">
        <f t="shared" si="14"/>
        <v>13750000000</v>
      </c>
      <c r="BC3" s="120">
        <f t="shared" si="15"/>
        <v>48984375000000</v>
      </c>
      <c r="BD3" s="120">
        <f t="shared" si="16"/>
        <v>47557645631067.969</v>
      </c>
      <c r="BE3" s="120">
        <f t="shared" si="17"/>
        <v>48984375000000</v>
      </c>
      <c r="BF3" s="120">
        <f t="shared" si="18"/>
        <v>48984375000000</v>
      </c>
      <c r="BG3" s="120">
        <f t="shared" si="19"/>
        <v>48984375000000</v>
      </c>
      <c r="BH3" s="120">
        <f t="shared" si="20"/>
        <v>48984375000000</v>
      </c>
      <c r="BI3" s="120">
        <f t="shared" si="21"/>
        <v>47557645631067.969</v>
      </c>
      <c r="BJ3" s="120">
        <f t="shared" si="22"/>
        <v>48984375000000</v>
      </c>
      <c r="BK3" s="120">
        <f t="shared" si="23"/>
        <v>47557645631067.969</v>
      </c>
      <c r="BL3" s="15">
        <f t="shared" si="24"/>
        <v>2.2890172361040692E-15</v>
      </c>
      <c r="BM3" s="40">
        <f t="shared" si="25"/>
        <v>27.5</v>
      </c>
      <c r="BN3" s="40">
        <f t="shared" si="26"/>
        <v>2.9420495991003873E-3</v>
      </c>
      <c r="BO3" s="40">
        <f>IFERROR((s_C*s_EF_far*(1/365)*s_ED_far*up_RadSpec!Q3*((s_ET_far_o*(1/24)*up_RadSpec!V3)+(s_ET_far_i*(1/24)*up_RadSpec!AA3))),".")</f>
        <v>9.8349139445029799E-5</v>
      </c>
      <c r="BP3" s="40">
        <f>up_b2s!BZ3</f>
        <v>275742.5</v>
      </c>
      <c r="BQ3" s="40">
        <f>IFERROR(((s_C*up_RadSpec!AI3)/up_RadSpec!AS3)*s_IFFI_far_adj*s_CF_far_fish,0)</f>
        <v>13750</v>
      </c>
      <c r="BR3" s="40">
        <f>(s_C*s_IFB_far_adj*s_CF_far_beef*up_RadSpec!AH3*((s_Q_p_beef*s_f_p_beef*s_f_s_beef*(up_RadSpec!$AR3+s_R_es_past))+(s_Q_s_beef*s_f_p_beef)))</f>
        <v>48984375</v>
      </c>
      <c r="BS3" s="40">
        <f>(s_C*s_IFD_far_adj*s_CF_far_dairy*up_RadSpec!AG3*1/s_D_milk*((s_Q_p_dairy*s_f_p_dairy*s_f_s_dairy*(up_RadSpec!$AR3+s_R_es_past))+(s_Q_s_dairy*s_f_p_dairy)))</f>
        <v>47557645.631067954</v>
      </c>
      <c r="BT3" s="40">
        <f>(s_C*s_IFSW_far_adj*s_CF_far_swine*up_RadSpec!AL3*((s_Q_p_swine*s_f_p_swine*s_f_s_swine*(up_RadSpec!$AR3+s_R_es_past))+(s_Q_s_swine*s_f_p_swine)))</f>
        <v>48984375</v>
      </c>
      <c r="BU3" s="40">
        <f>(s_C*s_IFP_far_adj*s_CF_far_poultry*up_RadSpec!AJ3*((s_Q_p_poultry*s_f_p_poultry*s_f_s_poultry*(up_RadSpec!AR3+s_R_es_past))+(s_Q_s_poultry*s_f_p_poultry)))</f>
        <v>48984375</v>
      </c>
      <c r="BV3" s="40">
        <f>(s_C*s_IFE_far_adj*s_CF_far_egg*up_RadSpec!AK3*((s_Q_p_egg*s_f_p_egg*s_f_s_egg*(up_RadSpec!$AR3+s_R_es_past))+(s_Q_s_egg*s_f_p_egg)))</f>
        <v>48984375</v>
      </c>
      <c r="BW3" s="40">
        <f>(s_C*s_IFGO_far_adj*s_CF_far_goat*up_RadSpec!AO3*((s_Q_p_goat*s_f_p_goat*s_f_s_goat*(up_RadSpec!$AR3+s_R_es_past))+(s_Q_s_goat*s_f_p_goat)))</f>
        <v>48984375</v>
      </c>
      <c r="BX3" s="40">
        <f>(s_C*s_IFGM_far_adj*s_CF_far_goat_milk*up_RadSpec!AP3*1/s_D_milk*((s_Q_p_goat_milk*s_f_p_goat_milk*s_f_s_goat_milk*(up_RadSpec!$AR3+s_R_es_past))+(s_Q_s_goat_milk*s_f_p_goat_milk)))</f>
        <v>47557645.631067954</v>
      </c>
      <c r="BY3" s="40">
        <f>(s_C*s_IFSH_far_adj*s_CF_far_sheep*up_RadSpec!AM3*((s_Q_p_sheep*s_f_p_sheep*s_f_s_sheep*(up_RadSpec!$AR3+s_R_es_past))+(s_Q_s_sheep*s_f_p_sheep)))</f>
        <v>48984375</v>
      </c>
      <c r="BZ3" s="40">
        <f>(s_C*s_IFSM_far_adj*s_CF_far_sheep_milk*up_RadSpec!AN3*1/s_D_milk*((s_Q_p_sheep_milk*s_f_p_sheep_milk*s_f_s_sheep_milk*(up_RadSpec!$AR3+s_R_es_past))+(s_Q_s_sheep_milk*s_f_p_sheep_milk)))</f>
        <v>47557645.631067954</v>
      </c>
      <c r="CA3" s="45"/>
      <c r="CB3" s="45"/>
      <c r="CC3" s="45"/>
      <c r="CD3" s="45"/>
      <c r="CE3" s="45"/>
      <c r="CF3" s="45"/>
      <c r="CG3" s="45"/>
      <c r="CH3" s="45"/>
      <c r="CI3" s="45"/>
      <c r="CJ3" s="45"/>
      <c r="CK3" s="45"/>
      <c r="CL3" s="45"/>
      <c r="CM3" s="45"/>
      <c r="CN3" s="45"/>
      <c r="CO3" s="15"/>
      <c r="CP3" s="15">
        <f>IFERROR(s_TR/(up_RadSpec!H3*s_IFW_far_adj),".")</f>
        <v>3.9999999999999996E-10</v>
      </c>
      <c r="CQ3" s="15" t="str">
        <f>IFERROR(IF(up_RadSpec!C3=1,s_TR/(up_RadSpec!G3*s_IFA_far_adj*s_K),"."),".")</f>
        <v>.</v>
      </c>
      <c r="CR3" s="15">
        <f>IFERROR((s_TR/(up_RadSpec!L3*(1/8760)*s_DFA_far_adj)),".")</f>
        <v>4.3800000000000004E-6</v>
      </c>
      <c r="CS3" s="15">
        <f>up_b2w!BA3</f>
        <v>1.8087754064641833E-11</v>
      </c>
      <c r="CT3" s="15">
        <f>IFERROR(I3/(up_RadSpec!AI3*(1/1000)),".")</f>
        <v>1.4545454545454544E-8</v>
      </c>
      <c r="CU3" s="15">
        <f>IFERROR(F3/(up_RadSpec!AH3*s_Q_w_beef*(1/1000)),".")</f>
        <v>2.9090909090909087E-9</v>
      </c>
      <c r="CV3" s="15">
        <f>IFERROR((G3*s_D_milk)/(up_RadSpec!AG3*s_Q_w_dairy*(1/1000)),".")</f>
        <v>2.9963636363636357E-9</v>
      </c>
      <c r="CW3" s="15">
        <f>IFERROR(H3/(up_RadSpec!AL3*s_Q_w_swine*(1/1000)),".")</f>
        <v>2.9090909090909087E-9</v>
      </c>
      <c r="CX3" s="15">
        <f>IFERROR(D3/(up_RadSpec!AJ3*s_Q_w_poultry*(1/1000)),".")</f>
        <v>2.9090909090909087E-9</v>
      </c>
      <c r="CY3" s="15">
        <f>IFERROR(E3/(up_RadSpec!AK3*s_Q_w_poultry*(1/1000)),".")</f>
        <v>2.9090909090909087E-9</v>
      </c>
      <c r="CZ3" s="15">
        <f>IFERROR(J3/(up_RadSpec!AO3*s_Q_w_goat*(1/1000)),".")</f>
        <v>2.9090909090909087E-9</v>
      </c>
      <c r="DA3" s="15">
        <f>IFERROR(L3*s_D_milk/(up_RadSpec!AP3*s_Q_w_goat_milk*(1/1000)),".")</f>
        <v>2.9963636363636357E-9</v>
      </c>
      <c r="DB3" s="15">
        <f>IFERROR(K3/(up_RadSpec!AM3*s_Q_w_sheep*(1/1000)),".")</f>
        <v>2.9090909090909087E-9</v>
      </c>
      <c r="DC3" s="15">
        <f>IFERROR(M3*s_D_milk/(up_RadSpec!AN3*s_Q_w_sheep_milk*(1/1000)),".")</f>
        <v>2.9963636363636357E-9</v>
      </c>
      <c r="DD3" s="120">
        <f t="shared" si="27"/>
        <v>2500000000</v>
      </c>
      <c r="DE3" s="120" t="str">
        <f t="shared" si="28"/>
        <v>.</v>
      </c>
      <c r="DF3" s="120">
        <f t="shared" si="29"/>
        <v>228310.50228310502</v>
      </c>
      <c r="DG3" s="120">
        <f t="shared" si="30"/>
        <v>55286023705.663513</v>
      </c>
      <c r="DH3" s="120">
        <f t="shared" si="31"/>
        <v>68750000</v>
      </c>
      <c r="DI3" s="120">
        <f t="shared" si="32"/>
        <v>343750000.00000006</v>
      </c>
      <c r="DJ3" s="120">
        <f t="shared" si="33"/>
        <v>333737864.07766998</v>
      </c>
      <c r="DK3" s="120">
        <f t="shared" si="34"/>
        <v>343750000.00000006</v>
      </c>
      <c r="DL3" s="120">
        <f t="shared" si="35"/>
        <v>343750000.00000006</v>
      </c>
      <c r="DM3" s="120">
        <f t="shared" si="36"/>
        <v>343750000.00000006</v>
      </c>
      <c r="DN3" s="120">
        <f t="shared" si="37"/>
        <v>343750000.00000006</v>
      </c>
      <c r="DO3" s="120">
        <f t="shared" si="38"/>
        <v>333737864.07766998</v>
      </c>
      <c r="DP3" s="120">
        <f t="shared" si="39"/>
        <v>343750000.00000006</v>
      </c>
      <c r="DQ3" s="120">
        <f t="shared" si="40"/>
        <v>333737864.07766998</v>
      </c>
      <c r="DR3" s="15">
        <f t="shared" si="41"/>
        <v>1.6415316541278672E-11</v>
      </c>
      <c r="DS3" s="40">
        <f t="shared" si="42"/>
        <v>2500</v>
      </c>
      <c r="DT3" s="40">
        <f t="shared" si="43"/>
        <v>455.72916666666663</v>
      </c>
      <c r="DU3" s="40">
        <f t="shared" si="44"/>
        <v>0.22831050228310501</v>
      </c>
      <c r="DV3" s="40">
        <f>up_b2w!BZ3</f>
        <v>55286.023705663516</v>
      </c>
      <c r="DW3" s="40">
        <f>IFERROR(s_C*up_RadSpec!AI3*(1/1000)*s_IFFI_far_adj*s_CF_far_fish,0)</f>
        <v>68.75</v>
      </c>
      <c r="DX3" s="40">
        <f>(s_C*s_IFB_far_adj*s_CF_far_beef*up_RadSpec!AH3*s_Q_w_beef*(1/1000))</f>
        <v>343.75</v>
      </c>
      <c r="DY3" s="40">
        <f>(s_C*s_IFD_far_adj*s_CF_far_dairy*up_RadSpec!AG3*(1/s_D_milk)*s_Q_w_dairy*(1/1000))</f>
        <v>333.73786407766988</v>
      </c>
      <c r="DZ3" s="40">
        <f>(s_C*s_IFSW_far_adj*s_CF_far_swine*up_RadSpec!AL3*s_Q_w_swine*(1/1000))</f>
        <v>343.75</v>
      </c>
      <c r="EA3" s="40">
        <f>(s_C*s_IFP_far_adj*s_CF_far_poultry*up_RadSpec!AJ3*s_Q_w_poultry*(1/1000))</f>
        <v>343.75</v>
      </c>
      <c r="EB3" s="40">
        <f>(s_C*s_IFE_far_adj*s_CF_far_egg*up_RadSpec!AK3*s_Q_w_egg*(1/1000))</f>
        <v>343.75</v>
      </c>
      <c r="EC3" s="40">
        <f>(s_C*s_IFGO_far_adj*s_CF_far_goat*up_RadSpec!AO3*s_Q_p_goat*(1/1000))</f>
        <v>343.75</v>
      </c>
      <c r="ED3" s="40">
        <f>(s_C*s_IFGM_far_adj*s_CF_far_goat_milk*up_RadSpec!AP3*(1/s_D_milk)*s_Q_p_goat_milk*(1/1000))</f>
        <v>333.73786407766988</v>
      </c>
      <c r="EE3" s="40">
        <f>(s_C*s_IFSH_far_adj*s_CF_far_sheep*up_RadSpec!AM3*s_Q_p_sheep*(1/1000))</f>
        <v>343.75</v>
      </c>
      <c r="EF3" s="40">
        <f>(s_C*s_IFSM_far_adj*s_CF_far_sheep_milk*up_RadSpec!AN3*(1/s_D_milk)*s_Q_p_sheep_milk*(1/1000))</f>
        <v>333.73786407766988</v>
      </c>
      <c r="EG3" s="18"/>
      <c r="EH3" s="18"/>
      <c r="EI3" s="18"/>
      <c r="EJ3" s="18"/>
      <c r="EK3" s="18"/>
      <c r="EL3" s="18"/>
      <c r="EM3" s="18"/>
      <c r="EN3" s="18"/>
      <c r="EO3" s="18"/>
      <c r="EP3" s="18"/>
      <c r="EQ3" s="18"/>
      <c r="ER3" s="18"/>
      <c r="ES3" s="18"/>
      <c r="ET3" s="18"/>
      <c r="EU3" s="5"/>
      <c r="EV3" s="15">
        <f>IFERROR((s_TR/(up_RadSpec!G3*s_IFA_far_adj)),".")</f>
        <v>1.0971428571428573E-9</v>
      </c>
      <c r="EW3" s="15">
        <f>IFERROR((s_TR/(up_RadSpec!J3*s_EF_far*(1/365)*s_ED_far*s_ET_far*(1/24)*s_GSF_a)),".")</f>
        <v>1.7520000000000001E-6</v>
      </c>
      <c r="EX3" s="15">
        <f>IFERROR(IF(AND(ISNUMBER(EV3),ISNUMBER(EW3)),1/((1/EV3)+(1/EW3)),IF(AND(ISNUMBER(EV3),NOT(ISNUMBER(EW3))),1/((1/EV3)),IF(AND(NOT(ISNUMBER(EV3)),ISNUMBER(EW3)),1/((1/EW3)),IF(AND(NOT(ISNUMBER(EV3)),NOT(ISNUMBER(EW3))),".")))),".")</f>
        <v>1.0964562309317064E-9</v>
      </c>
      <c r="EY3" s="40">
        <f t="shared" si="46"/>
        <v>911.45833333333326</v>
      </c>
      <c r="EZ3" s="40">
        <f t="shared" si="47"/>
        <v>0.57077625570776247</v>
      </c>
      <c r="FA3" s="4"/>
      <c r="FB3" s="4"/>
      <c r="FC3" s="4"/>
    </row>
    <row r="4" spans="1:159" customFormat="1" x14ac:dyDescent="0.25">
      <c r="A4" s="44" t="s">
        <v>14</v>
      </c>
      <c r="B4" s="42" t="s">
        <v>1074</v>
      </c>
      <c r="C4" s="15">
        <f>up_dir!AB4</f>
        <v>1.8181818181818181E-11</v>
      </c>
      <c r="D4" s="15">
        <f>IFERROR(s_TR/(up_RadSpec!E4*s_IFP_far_adj*s_CF_far_poultry),".")</f>
        <v>7.2727272727272723E-11</v>
      </c>
      <c r="E4" s="15">
        <f>IFERROR(s_TR/(up_RadSpec!E4*s_IFE_far_adj*s_CF_far_egg),".")</f>
        <v>7.2727272727272723E-11</v>
      </c>
      <c r="F4" s="15">
        <f>IFERROR(s_TR/(up_RadSpec!E4*s_IFB_far_adj*s_CF_far_beef),".")</f>
        <v>7.2727272727272723E-11</v>
      </c>
      <c r="G4" s="15">
        <f>IFERROR(s_TR/(up_RadSpec!E4*s_IFD_far_adj*s_CF_far_dairy),".")</f>
        <v>7.2727272727272723E-11</v>
      </c>
      <c r="H4" s="15">
        <f>IFERROR(s_TR/(up_RadSpec!E4*s_IFSW_far_adj*s_CF_far_swine),".")</f>
        <v>7.2727272727272723E-11</v>
      </c>
      <c r="I4" s="15">
        <f>IFERROR(s_TR/(up_RadSpec!E4*s_IFFI_far_adj*s_CF_far_fish),".")</f>
        <v>7.2727272727272723E-11</v>
      </c>
      <c r="J4" s="15">
        <f>IFERROR(s_TR/(up_RadSpec!E4*s_IFGO_far_adj*s_CF_far_goat),".")</f>
        <v>7.2727272727272723E-11</v>
      </c>
      <c r="K4" s="15">
        <f>IFERROR(s_TR/(up_RadSpec!E4*s_IFSH_far_adj*s_CF_far_sheep),".")</f>
        <v>7.2727272727272723E-11</v>
      </c>
      <c r="L4" s="15">
        <f>IFERROR(s_TR/(up_RadSpec!E4*s_IFGM_far_adj*s_CF_far_goat_milk),".")</f>
        <v>7.2727272727272723E-11</v>
      </c>
      <c r="M4" s="15">
        <f>IFERROR(s_TR/(up_RadSpec!E4*s_IFSM_far_adj*s_CF_far_sheep_milk),".")</f>
        <v>7.2727272727272723E-11</v>
      </c>
      <c r="N4" s="40">
        <f>up_dir!BA4</f>
        <v>55000</v>
      </c>
      <c r="O4" s="40">
        <f t="shared" si="0"/>
        <v>13750</v>
      </c>
      <c r="P4" s="40">
        <f t="shared" si="1"/>
        <v>13750</v>
      </c>
      <c r="Q4" s="40">
        <f t="shared" si="2"/>
        <v>13750</v>
      </c>
      <c r="R4" s="40">
        <f t="shared" si="3"/>
        <v>13750</v>
      </c>
      <c r="S4" s="40">
        <f t="shared" si="4"/>
        <v>13750</v>
      </c>
      <c r="T4" s="40">
        <f t="shared" si="5"/>
        <v>13750</v>
      </c>
      <c r="U4" s="40">
        <f t="shared" si="6"/>
        <v>13750</v>
      </c>
      <c r="V4" s="40">
        <f t="shared" si="7"/>
        <v>13750</v>
      </c>
      <c r="W4" s="40">
        <f t="shared" si="8"/>
        <v>13750</v>
      </c>
      <c r="X4" s="40">
        <f t="shared" si="9"/>
        <v>13750</v>
      </c>
      <c r="Y4" s="5"/>
      <c r="Z4" s="5"/>
      <c r="AA4" s="5"/>
      <c r="AB4" s="5"/>
      <c r="AC4" s="5"/>
      <c r="AD4" s="5"/>
      <c r="AE4" s="5"/>
      <c r="AF4" s="5"/>
      <c r="AG4" s="5"/>
      <c r="AH4" s="5"/>
      <c r="AI4" s="5"/>
      <c r="AJ4" s="45">
        <f>IFERROR((s_TR/(up_RadSpec!D4*s_IFS_far_adj*(1/1000)))*1,".")</f>
        <v>3.6363636363636363E-8</v>
      </c>
      <c r="AK4" s="45">
        <f>IFERROR(IF(A4="H-3",(s_TR/(up_RadSpec!G4*s_IFA_far_adj*(1/17)*1000))*1,(s_TR/(up_RadSpec!G4*s_IFA_far_adj*(1/s_PEF_wind)*1000))*1),".")</f>
        <v>3.3989909629864073E-4</v>
      </c>
      <c r="AL4" s="45">
        <f>IFERROR((s_TR/(up_RadSpec!F4*s_EF_far*(1/365)*s_ED_far*up_RadSpec!Q4*((s_ET_far_o*(1/24)*up_RadSpec!V4)+(s_ET_far_i*(1/24)*up_RadSpec!AA4))))*1,".")</f>
        <v>3.7851851851851862E-5</v>
      </c>
      <c r="AM4" s="45">
        <f>up_b2s!BA4</f>
        <v>3.6265718922545492E-12</v>
      </c>
      <c r="AN4" s="45">
        <f>IFERROR(((I4*up_RadSpec!AS4)/up_RadSpec!AI4)*1,".")</f>
        <v>7.2727272727272723E-11</v>
      </c>
      <c r="AO4" s="45">
        <f>IFERROR((F4/(up_RadSpec!AH4*((s_Q_p_beef*s_f_p_beef*s_f_s_beef*(up_RadSpec!BB4+s_R_es_past))+(s_Q_s_beef*s_f_p_beef))))*1,".")</f>
        <v>2.0414673046251994E-14</v>
      </c>
      <c r="AP4" s="45">
        <f>IFERROR(((G4*s_D_milk)/(up_RadSpec!AG4*((s_Q_p_dairy*s_f_p_dairy*s_f_s_dairy*(up_RadSpec!BB4+s_R_es_past))+(s_Q_s_dairy*s_f_p_dairy))))*1,".")</f>
        <v>2.102711323763955E-14</v>
      </c>
      <c r="AQ4" s="45">
        <f>IFERROR((H4/(up_RadSpec!AL4*((s_Q_p_swine*s_f_p_swine*s_f_s_swine*(up_RadSpec!BB4+s_R_es_past))+(s_Q_s_swine*s_f_p_swine))))*1,".")</f>
        <v>2.0414673046251994E-14</v>
      </c>
      <c r="AR4" s="45">
        <f>IFERROR((D4/(up_RadSpec!AJ4*((s_Q_p_poultry*s_f_p_poultry*s_f_s_poultry*(up_RadSpec!BB4+s_R_es_past))+(s_Q_s_poultry*s_f_p_poultry))))*1,".")</f>
        <v>2.0414673046251994E-14</v>
      </c>
      <c r="AS4" s="45">
        <f>IFERROR((E4/(up_RadSpec!AK4*((s_Q_p_poultry*s_f_p_poultry*s_f_s_poultry*(up_RadSpec!BB4+s_R_es_past))+(s_Q_s_poultry*s_f_p_poultry))))*1,".")</f>
        <v>2.0414673046251994E-14</v>
      </c>
      <c r="AT4" s="45">
        <f>IFERROR((J4/(up_RadSpec!AO4*((s_Q_p_goat*s_f_p_goat*s_f_s_goat*(up_RadSpec!BB4+s_R_es_past))+(s_Q_s_goat*s_f_p_goat))))*1,".")</f>
        <v>2.0414673046251994E-14</v>
      </c>
      <c r="AU4" s="45">
        <f>IFERROR((L4*s_D_milk/(up_RadSpec!AP4*((s_Q_p_goat_milk*s_f_p_goat_milk*s_f_s_goat_milk*(up_RadSpec!BB4+s_R_es_past))+(s_Q_s_goat_milk*s_f_p_goat_milk))))*1,".")</f>
        <v>2.102711323763955E-14</v>
      </c>
      <c r="AV4" s="45">
        <f>IFERROR((K4/(up_RadSpec!AM4*((s_Q_p_sheep*s_f_p_sheep*s_f_s_sheep*(up_RadSpec!BB4+s_R_es_past))+(s_Q_s_sheep*s_f_p_sheep))))*1,".")</f>
        <v>2.0414673046251994E-14</v>
      </c>
      <c r="AW4" s="45">
        <f>IFERROR((M4*s_D_milk/(up_RadSpec!AN4*((s_Q_p_sheep_milk*s_f_p_sheep_milk*s_f_s_sheep_milk*(up_RadSpec!BB4+s_R_es_past))+(s_Q_s_sheep_milk*s_f_p_sheep_milk))))*1,".")</f>
        <v>2.102711323763955E-14</v>
      </c>
      <c r="AX4" s="120">
        <f t="shared" si="10"/>
        <v>27500000</v>
      </c>
      <c r="AY4" s="120">
        <f t="shared" si="11"/>
        <v>2942.0495991003877</v>
      </c>
      <c r="AZ4" s="120">
        <f t="shared" si="12"/>
        <v>26418.786692759288</v>
      </c>
      <c r="BA4" s="120">
        <f t="shared" si="13"/>
        <v>275742500000</v>
      </c>
      <c r="BB4" s="120">
        <f t="shared" si="14"/>
        <v>13750000000</v>
      </c>
      <c r="BC4" s="120">
        <f t="shared" si="15"/>
        <v>48984375000000</v>
      </c>
      <c r="BD4" s="120">
        <f t="shared" si="16"/>
        <v>47557645631067.969</v>
      </c>
      <c r="BE4" s="120">
        <f t="shared" si="17"/>
        <v>48984375000000</v>
      </c>
      <c r="BF4" s="120">
        <f t="shared" si="18"/>
        <v>48984375000000</v>
      </c>
      <c r="BG4" s="120">
        <f t="shared" si="19"/>
        <v>48984375000000</v>
      </c>
      <c r="BH4" s="120">
        <f t="shared" si="20"/>
        <v>48984375000000</v>
      </c>
      <c r="BI4" s="120">
        <f t="shared" si="21"/>
        <v>47557645631067.969</v>
      </c>
      <c r="BJ4" s="120">
        <f t="shared" si="22"/>
        <v>48984375000000</v>
      </c>
      <c r="BK4" s="120">
        <f t="shared" si="23"/>
        <v>47557645631067.969</v>
      </c>
      <c r="BL4" s="15">
        <f t="shared" si="24"/>
        <v>2.2890172359661609E-15</v>
      </c>
      <c r="BM4" s="40">
        <f t="shared" si="25"/>
        <v>27.5</v>
      </c>
      <c r="BN4" s="40">
        <f t="shared" si="26"/>
        <v>2.9420495991003873E-3</v>
      </c>
      <c r="BO4" s="40">
        <f>IFERROR((s_C*s_EF_far*(1/365)*s_ED_far*up_RadSpec!Q4*((s_ET_far_o*(1/24)*up_RadSpec!V4)+(s_ET_far_i*(1/24)*up_RadSpec!AA4))),".")</f>
        <v>2.6418786692759287E-2</v>
      </c>
      <c r="BP4" s="40">
        <f>up_b2s!BZ4</f>
        <v>275742.5</v>
      </c>
      <c r="BQ4" s="40">
        <f>IFERROR(((s_C*up_RadSpec!AI4)/up_RadSpec!AS4)*s_IFFI_far_adj*s_CF_far_fish,0)</f>
        <v>13750</v>
      </c>
      <c r="BR4" s="40">
        <f>(s_C*s_IFB_far_adj*s_CF_far_beef*up_RadSpec!AH4*((s_Q_p_beef*s_f_p_beef*s_f_s_beef*(up_RadSpec!$AR4+s_R_es_past))+(s_Q_s_beef*s_f_p_beef)))</f>
        <v>48984375</v>
      </c>
      <c r="BS4" s="40">
        <f>(s_C*s_IFD_far_adj*s_CF_far_dairy*up_RadSpec!AG4*1/s_D_milk*((s_Q_p_dairy*s_f_p_dairy*s_f_s_dairy*(up_RadSpec!$AR4+s_R_es_past))+(s_Q_s_dairy*s_f_p_dairy)))</f>
        <v>47557645.631067954</v>
      </c>
      <c r="BT4" s="40">
        <f>(s_C*s_IFSW_far_adj*s_CF_far_swine*up_RadSpec!AL4*((s_Q_p_swine*s_f_p_swine*s_f_s_swine*(up_RadSpec!$AR4+s_R_es_past))+(s_Q_s_swine*s_f_p_swine)))</f>
        <v>48984375</v>
      </c>
      <c r="BU4" s="40">
        <f>(s_C*s_IFP_far_adj*s_CF_far_poultry*up_RadSpec!AJ4*((s_Q_p_poultry*s_f_p_poultry*s_f_s_poultry*(up_RadSpec!AR4+s_R_es_past))+(s_Q_s_poultry*s_f_p_poultry)))</f>
        <v>48984375</v>
      </c>
      <c r="BV4" s="40">
        <f>(s_C*s_IFE_far_adj*s_CF_far_egg*up_RadSpec!AK4*((s_Q_p_egg*s_f_p_egg*s_f_s_egg*(up_RadSpec!$AR4+s_R_es_past))+(s_Q_s_egg*s_f_p_egg)))</f>
        <v>48984375</v>
      </c>
      <c r="BW4" s="40">
        <f>(s_C*s_IFGO_far_adj*s_CF_far_goat*up_RadSpec!AO4*((s_Q_p_goat*s_f_p_goat*s_f_s_goat*(up_RadSpec!$AR4+s_R_es_past))+(s_Q_s_goat*s_f_p_goat)))</f>
        <v>48984375</v>
      </c>
      <c r="BX4" s="40">
        <f>(s_C*s_IFGM_far_adj*s_CF_far_goat_milk*up_RadSpec!AP4*1/s_D_milk*((s_Q_p_goat_milk*s_f_p_goat_milk*s_f_s_goat_milk*(up_RadSpec!$AR4+s_R_es_past))+(s_Q_s_goat_milk*s_f_p_goat_milk)))</f>
        <v>47557645.631067954</v>
      </c>
      <c r="BY4" s="40">
        <f>(s_C*s_IFSH_far_adj*s_CF_far_sheep*up_RadSpec!AM4*((s_Q_p_sheep*s_f_p_sheep*s_f_s_sheep*(up_RadSpec!$AR4+s_R_es_past))+(s_Q_s_sheep*s_f_p_sheep)))</f>
        <v>48984375</v>
      </c>
      <c r="BZ4" s="40">
        <f>(s_C*s_IFSM_far_adj*s_CF_far_sheep_milk*up_RadSpec!AN4*1/s_D_milk*((s_Q_p_sheep_milk*s_f_p_sheep_milk*s_f_s_sheep_milk*(up_RadSpec!$AR4+s_R_es_past))+(s_Q_s_sheep_milk*s_f_p_sheep_milk)))</f>
        <v>47557645.631067954</v>
      </c>
      <c r="CA4" s="45"/>
      <c r="CB4" s="45"/>
      <c r="CC4" s="45"/>
      <c r="CD4" s="45"/>
      <c r="CE4" s="45"/>
      <c r="CF4" s="45"/>
      <c r="CG4" s="45"/>
      <c r="CH4" s="45"/>
      <c r="CI4" s="45"/>
      <c r="CJ4" s="45"/>
      <c r="CK4" s="45"/>
      <c r="CL4" s="45"/>
      <c r="CM4" s="45"/>
      <c r="CN4" s="45"/>
      <c r="CO4" s="15"/>
      <c r="CP4" s="15">
        <f>IFERROR(s_TR/(up_RadSpec!H4*s_IFW_far_adj),".")</f>
        <v>3.9999999999999996E-10</v>
      </c>
      <c r="CQ4" s="15" t="str">
        <f>IFERROR(IF(up_RadSpec!C4=1,s_TR/(up_RadSpec!G4*s_IFA_far_adj*s_K),"."),".")</f>
        <v>.</v>
      </c>
      <c r="CR4" s="15">
        <f>IFERROR((s_TR/(up_RadSpec!L4*(1/8760)*s_DFA_far_adj)),".")</f>
        <v>4.3800000000000004E-6</v>
      </c>
      <c r="CS4" s="15">
        <f>up_b2w!BA4</f>
        <v>1.8087754064641833E-11</v>
      </c>
      <c r="CT4" s="15">
        <f>IFERROR(I4/(up_RadSpec!AI4*(1/1000)),".")</f>
        <v>1.4545454545454544E-8</v>
      </c>
      <c r="CU4" s="15">
        <f>IFERROR(F4/(up_RadSpec!AH4*s_Q_w_beef*(1/1000)),".")</f>
        <v>2.9090909090909087E-9</v>
      </c>
      <c r="CV4" s="15">
        <f>IFERROR((G4*s_D_milk)/(up_RadSpec!AG4*s_Q_w_dairy*(1/1000)),".")</f>
        <v>2.9963636363636357E-9</v>
      </c>
      <c r="CW4" s="15">
        <f>IFERROR(H4/(up_RadSpec!AL4*s_Q_w_swine*(1/1000)),".")</f>
        <v>2.9090909090909087E-9</v>
      </c>
      <c r="CX4" s="15">
        <f>IFERROR(D4/(up_RadSpec!AJ4*s_Q_w_poultry*(1/1000)),".")</f>
        <v>2.9090909090909087E-9</v>
      </c>
      <c r="CY4" s="15">
        <f>IFERROR(E4/(up_RadSpec!AK4*s_Q_w_poultry*(1/1000)),".")</f>
        <v>2.9090909090909087E-9</v>
      </c>
      <c r="CZ4" s="15">
        <f>IFERROR(J4/(up_RadSpec!AO4*s_Q_w_goat*(1/1000)),".")</f>
        <v>2.9090909090909087E-9</v>
      </c>
      <c r="DA4" s="15">
        <f>IFERROR(L4*s_D_milk/(up_RadSpec!AP4*s_Q_w_goat_milk*(1/1000)),".")</f>
        <v>2.9963636363636357E-9</v>
      </c>
      <c r="DB4" s="15">
        <f>IFERROR(K4/(up_RadSpec!AM4*s_Q_w_sheep*(1/1000)),".")</f>
        <v>2.9090909090909087E-9</v>
      </c>
      <c r="DC4" s="15">
        <f>IFERROR(M4*s_D_milk/(up_RadSpec!AN4*s_Q_w_sheep_milk*(1/1000)),".")</f>
        <v>2.9963636363636357E-9</v>
      </c>
      <c r="DD4" s="120">
        <f t="shared" si="27"/>
        <v>2500000000</v>
      </c>
      <c r="DE4" s="120" t="str">
        <f t="shared" si="28"/>
        <v>.</v>
      </c>
      <c r="DF4" s="120">
        <f t="shared" si="29"/>
        <v>228310.50228310502</v>
      </c>
      <c r="DG4" s="120">
        <f t="shared" si="30"/>
        <v>55286023705.663513</v>
      </c>
      <c r="DH4" s="120">
        <f t="shared" si="31"/>
        <v>68750000</v>
      </c>
      <c r="DI4" s="120">
        <f t="shared" si="32"/>
        <v>343750000.00000006</v>
      </c>
      <c r="DJ4" s="120">
        <f t="shared" si="33"/>
        <v>333737864.07766998</v>
      </c>
      <c r="DK4" s="120">
        <f t="shared" si="34"/>
        <v>343750000.00000006</v>
      </c>
      <c r="DL4" s="120">
        <f t="shared" si="35"/>
        <v>343750000.00000006</v>
      </c>
      <c r="DM4" s="120">
        <f t="shared" si="36"/>
        <v>343750000.00000006</v>
      </c>
      <c r="DN4" s="120">
        <f t="shared" si="37"/>
        <v>343750000.00000006</v>
      </c>
      <c r="DO4" s="120">
        <f t="shared" si="38"/>
        <v>333737864.07766998</v>
      </c>
      <c r="DP4" s="120">
        <f t="shared" si="39"/>
        <v>343750000.00000006</v>
      </c>
      <c r="DQ4" s="120">
        <f t="shared" si="40"/>
        <v>333737864.07766998</v>
      </c>
      <c r="DR4" s="15">
        <f t="shared" si="41"/>
        <v>1.6415316541278672E-11</v>
      </c>
      <c r="DS4" s="40">
        <f t="shared" si="42"/>
        <v>2500</v>
      </c>
      <c r="DT4" s="40">
        <f t="shared" si="43"/>
        <v>455.72916666666663</v>
      </c>
      <c r="DU4" s="40">
        <f t="shared" si="44"/>
        <v>0.22831050228310501</v>
      </c>
      <c r="DV4" s="40">
        <f>up_b2w!BZ4</f>
        <v>55286.023705663516</v>
      </c>
      <c r="DW4" s="40">
        <f>IFERROR(s_C*up_RadSpec!AI4*(1/1000)*s_IFFI_far_adj*s_CF_far_fish,0)</f>
        <v>68.75</v>
      </c>
      <c r="DX4" s="40">
        <f>(s_C*s_IFB_far_adj*s_CF_far_beef*up_RadSpec!AH4*s_Q_w_beef*(1/1000))</f>
        <v>343.75</v>
      </c>
      <c r="DY4" s="40">
        <f>(s_C*s_IFD_far_adj*s_CF_far_dairy*up_RadSpec!AG4*(1/s_D_milk)*s_Q_w_dairy*(1/1000))</f>
        <v>333.73786407766988</v>
      </c>
      <c r="DZ4" s="40">
        <f>(s_C*s_IFSW_far_adj*s_CF_far_swine*up_RadSpec!AL4*s_Q_w_swine*(1/1000))</f>
        <v>343.75</v>
      </c>
      <c r="EA4" s="40">
        <f>(s_C*s_IFP_far_adj*s_CF_far_poultry*up_RadSpec!AJ4*s_Q_w_poultry*(1/1000))</f>
        <v>343.75</v>
      </c>
      <c r="EB4" s="40">
        <f>(s_C*s_IFE_far_adj*s_CF_far_egg*up_RadSpec!AK4*s_Q_w_egg*(1/1000))</f>
        <v>343.75</v>
      </c>
      <c r="EC4" s="40">
        <f>(s_C*s_IFGO_far_adj*s_CF_far_goat*up_RadSpec!AO4*s_Q_p_goat*(1/1000))</f>
        <v>343.75</v>
      </c>
      <c r="ED4" s="40">
        <f>(s_C*s_IFGM_far_adj*s_CF_far_goat_milk*up_RadSpec!AP4*(1/s_D_milk)*s_Q_p_goat_milk*(1/1000))</f>
        <v>333.73786407766988</v>
      </c>
      <c r="EE4" s="40">
        <f>(s_C*s_IFSH_far_adj*s_CF_far_sheep*up_RadSpec!AM4*s_Q_p_sheep*(1/1000))</f>
        <v>343.75</v>
      </c>
      <c r="EF4" s="40">
        <f>(s_C*s_IFSM_far_adj*s_CF_far_sheep_milk*up_RadSpec!AN4*(1/s_D_milk)*s_Q_p_sheep_milk*(1/1000))</f>
        <v>333.73786407766988</v>
      </c>
      <c r="EG4" s="18"/>
      <c r="EH4" s="18"/>
      <c r="EI4" s="18"/>
      <c r="EJ4" s="18"/>
      <c r="EK4" s="18"/>
      <c r="EL4" s="18"/>
      <c r="EM4" s="18"/>
      <c r="EN4" s="18"/>
      <c r="EO4" s="18"/>
      <c r="EP4" s="18"/>
      <c r="EQ4" s="18"/>
      <c r="ER4" s="18"/>
      <c r="ES4" s="18"/>
      <c r="ET4" s="18"/>
      <c r="EU4" s="5"/>
      <c r="EV4" s="15">
        <f>IFERROR((s_TR/(up_RadSpec!G4*s_IFA_far_adj)),".")</f>
        <v>1.0971428571428573E-9</v>
      </c>
      <c r="EW4" s="15">
        <f>IFERROR((s_TR/(up_RadSpec!J4*s_EF_far*(1/365)*s_ED_far*s_ET_far*(1/24)*s_GSF_a)),".")</f>
        <v>1.7520000000000001E-6</v>
      </c>
      <c r="EX4" s="15">
        <f t="shared" ref="EX4:EX30" si="48">IFERROR(IF(AND(ISNUMBER(EV4),ISNUMBER(EW4)),1/((1/EV4)+(1/EW4)),IF(AND(ISNUMBER(EV4),NOT(ISNUMBER(EW4))),1/((1/EV4)),IF(AND(NOT(ISNUMBER(EV4)),ISNUMBER(EW4)),1/((1/EW4)),IF(AND(NOT(ISNUMBER(EV4)),NOT(ISNUMBER(EW4))),".")))),".")</f>
        <v>1.0964562309317064E-9</v>
      </c>
      <c r="EY4" s="40">
        <f t="shared" si="46"/>
        <v>911.45833333333326</v>
      </c>
      <c r="EZ4" s="40">
        <f t="shared" si="47"/>
        <v>0.57077625570776247</v>
      </c>
      <c r="FA4" s="122"/>
      <c r="FB4" s="122"/>
      <c r="FC4" s="122"/>
    </row>
    <row r="5" spans="1:159" customFormat="1" x14ac:dyDescent="0.25">
      <c r="A5" s="44" t="s">
        <v>15</v>
      </c>
      <c r="B5" s="42" t="s">
        <v>1074</v>
      </c>
      <c r="C5" s="15">
        <f>up_dir!AB5</f>
        <v>1.8181818181818181E-11</v>
      </c>
      <c r="D5" s="15">
        <f>IFERROR(s_TR/(up_RadSpec!E5*s_IFP_far_adj*s_CF_far_poultry),".")</f>
        <v>7.2727272727272723E-11</v>
      </c>
      <c r="E5" s="15">
        <f>IFERROR(s_TR/(up_RadSpec!E5*s_IFE_far_adj*s_CF_far_egg),".")</f>
        <v>7.2727272727272723E-11</v>
      </c>
      <c r="F5" s="15">
        <f>IFERROR(s_TR/(up_RadSpec!E5*s_IFB_far_adj*s_CF_far_beef),".")</f>
        <v>7.2727272727272723E-11</v>
      </c>
      <c r="G5" s="15">
        <f>IFERROR(s_TR/(up_RadSpec!E5*s_IFD_far_adj*s_CF_far_dairy),".")</f>
        <v>7.2727272727272723E-11</v>
      </c>
      <c r="H5" s="15">
        <f>IFERROR(s_TR/(up_RadSpec!E5*s_IFSW_far_adj*s_CF_far_swine),".")</f>
        <v>7.2727272727272723E-11</v>
      </c>
      <c r="I5" s="15">
        <f>IFERROR(s_TR/(up_RadSpec!E5*s_IFFI_far_adj*s_CF_far_fish),".")</f>
        <v>7.2727272727272723E-11</v>
      </c>
      <c r="J5" s="15">
        <f>IFERROR(s_TR/(up_RadSpec!E5*s_IFGO_far_adj*s_CF_far_goat),".")</f>
        <v>7.2727272727272723E-11</v>
      </c>
      <c r="K5" s="15">
        <f>IFERROR(s_TR/(up_RadSpec!E5*s_IFSH_far_adj*s_CF_far_sheep),".")</f>
        <v>7.2727272727272723E-11</v>
      </c>
      <c r="L5" s="15">
        <f>IFERROR(s_TR/(up_RadSpec!E5*s_IFGM_far_adj*s_CF_far_goat_milk),".")</f>
        <v>7.2727272727272723E-11</v>
      </c>
      <c r="M5" s="15">
        <f>IFERROR(s_TR/(up_RadSpec!E5*s_IFSM_far_adj*s_CF_far_sheep_milk),".")</f>
        <v>7.2727272727272723E-11</v>
      </c>
      <c r="N5" s="40">
        <f>up_dir!BA5</f>
        <v>55000</v>
      </c>
      <c r="O5" s="40">
        <f t="shared" si="0"/>
        <v>13750</v>
      </c>
      <c r="P5" s="40">
        <f t="shared" si="1"/>
        <v>13750</v>
      </c>
      <c r="Q5" s="40">
        <f t="shared" si="2"/>
        <v>13750</v>
      </c>
      <c r="R5" s="40">
        <f t="shared" si="3"/>
        <v>13750</v>
      </c>
      <c r="S5" s="40">
        <f t="shared" si="4"/>
        <v>13750</v>
      </c>
      <c r="T5" s="40">
        <f t="shared" si="5"/>
        <v>13750</v>
      </c>
      <c r="U5" s="40">
        <f t="shared" si="6"/>
        <v>13750</v>
      </c>
      <c r="V5" s="40">
        <f t="shared" si="7"/>
        <v>13750</v>
      </c>
      <c r="W5" s="40">
        <f t="shared" si="8"/>
        <v>13750</v>
      </c>
      <c r="X5" s="40">
        <f t="shared" si="9"/>
        <v>13750</v>
      </c>
      <c r="Y5" s="5"/>
      <c r="Z5" s="5"/>
      <c r="AA5" s="5"/>
      <c r="AB5" s="5"/>
      <c r="AC5" s="5"/>
      <c r="AD5" s="5"/>
      <c r="AE5" s="5"/>
      <c r="AF5" s="5"/>
      <c r="AG5" s="5"/>
      <c r="AH5" s="5"/>
      <c r="AI5" s="5"/>
      <c r="AJ5" s="45">
        <f>IFERROR((s_TR/(up_RadSpec!D5*s_IFS_far_adj*(1/1000)))*1,".")</f>
        <v>3.6363636363636363E-8</v>
      </c>
      <c r="AK5" s="45">
        <f>IFERROR(IF(A5="H-3",(s_TR/(up_RadSpec!G5*s_IFA_far_adj*(1/17)*1000))*1,(s_TR/(up_RadSpec!G5*s_IFA_far_adj*(1/s_PEF_wind)*1000))*1),".")</f>
        <v>3.3989909629864073E-4</v>
      </c>
      <c r="AL5" s="45" t="str">
        <f>IFERROR((s_TR/(up_RadSpec!F5*s_EF_far*(1/365)*s_ED_far*up_RadSpec!Q5*((s_ET_far_o*(1/24)*up_RadSpec!V5)+(s_ET_far_i*(1/24)*up_RadSpec!AA5))))*1,".")</f>
        <v>.</v>
      </c>
      <c r="AM5" s="45">
        <f>up_b2s!BA5</f>
        <v>3.6265718922545492E-12</v>
      </c>
      <c r="AN5" s="45">
        <f>IFERROR(((I5*up_RadSpec!AS5)/up_RadSpec!AI5)*1,".")</f>
        <v>7.2727272727272723E-11</v>
      </c>
      <c r="AO5" s="45">
        <f>IFERROR((F5/(up_RadSpec!AH5*((s_Q_p_beef*s_f_p_beef*s_f_s_beef*(up_RadSpec!BB5+s_R_es_past))+(s_Q_s_beef*s_f_p_beef))))*1,".")</f>
        <v>2.0414673046251994E-14</v>
      </c>
      <c r="AP5" s="45">
        <f>IFERROR(((G5*s_D_milk)/(up_RadSpec!AG5*((s_Q_p_dairy*s_f_p_dairy*s_f_s_dairy*(up_RadSpec!BB5+s_R_es_past))+(s_Q_s_dairy*s_f_p_dairy))))*1,".")</f>
        <v>2.102711323763955E-14</v>
      </c>
      <c r="AQ5" s="45">
        <f>IFERROR((H5/(up_RadSpec!AL5*((s_Q_p_swine*s_f_p_swine*s_f_s_swine*(up_RadSpec!BB5+s_R_es_past))+(s_Q_s_swine*s_f_p_swine))))*1,".")</f>
        <v>2.0414673046251994E-14</v>
      </c>
      <c r="AR5" s="45">
        <f>IFERROR((D5/(up_RadSpec!AJ5*((s_Q_p_poultry*s_f_p_poultry*s_f_s_poultry*(up_RadSpec!BB5+s_R_es_past))+(s_Q_s_poultry*s_f_p_poultry))))*1,".")</f>
        <v>2.0414673046251994E-14</v>
      </c>
      <c r="AS5" s="45">
        <f>IFERROR((E5/(up_RadSpec!AK5*((s_Q_p_poultry*s_f_p_poultry*s_f_s_poultry*(up_RadSpec!BB5+s_R_es_past))+(s_Q_s_poultry*s_f_p_poultry))))*1,".")</f>
        <v>2.0414673046251994E-14</v>
      </c>
      <c r="AT5" s="45">
        <f>IFERROR((J5/(up_RadSpec!AO5*((s_Q_p_goat*s_f_p_goat*s_f_s_goat*(up_RadSpec!BB5+s_R_es_past))+(s_Q_s_goat*s_f_p_goat))))*1,".")</f>
        <v>2.0414673046251994E-14</v>
      </c>
      <c r="AU5" s="45">
        <f>IFERROR((L5*s_D_milk/(up_RadSpec!AP5*((s_Q_p_goat_milk*s_f_p_goat_milk*s_f_s_goat_milk*(up_RadSpec!BB5+s_R_es_past))+(s_Q_s_goat_milk*s_f_p_goat_milk))))*1,".")</f>
        <v>2.102711323763955E-14</v>
      </c>
      <c r="AV5" s="45">
        <f>IFERROR((K5/(up_RadSpec!AM5*((s_Q_p_sheep*s_f_p_sheep*s_f_s_sheep*(up_RadSpec!BB5+s_R_es_past))+(s_Q_s_sheep*s_f_p_sheep))))*1,".")</f>
        <v>2.0414673046251994E-14</v>
      </c>
      <c r="AW5" s="45">
        <f>IFERROR((M5*s_D_milk/(up_RadSpec!AN5*((s_Q_p_sheep_milk*s_f_p_sheep_milk*s_f_s_sheep_milk*(up_RadSpec!BB5+s_R_es_past))+(s_Q_s_sheep_milk*s_f_p_sheep_milk))))*1,".")</f>
        <v>2.102711323763955E-14</v>
      </c>
      <c r="AX5" s="120">
        <f t="shared" si="10"/>
        <v>27500000</v>
      </c>
      <c r="AY5" s="120">
        <f t="shared" si="11"/>
        <v>2942.0495991003877</v>
      </c>
      <c r="AZ5" s="120" t="str">
        <f t="shared" si="12"/>
        <v>.</v>
      </c>
      <c r="BA5" s="120">
        <f t="shared" si="13"/>
        <v>275742500000</v>
      </c>
      <c r="BB5" s="120">
        <f t="shared" si="14"/>
        <v>13750000000</v>
      </c>
      <c r="BC5" s="120">
        <f t="shared" si="15"/>
        <v>48984375000000</v>
      </c>
      <c r="BD5" s="120">
        <f t="shared" si="16"/>
        <v>47557645631067.969</v>
      </c>
      <c r="BE5" s="120">
        <f t="shared" si="17"/>
        <v>48984375000000</v>
      </c>
      <c r="BF5" s="120">
        <f t="shared" si="18"/>
        <v>48984375000000</v>
      </c>
      <c r="BG5" s="120">
        <f t="shared" si="19"/>
        <v>48984375000000</v>
      </c>
      <c r="BH5" s="120">
        <f t="shared" si="20"/>
        <v>48984375000000</v>
      </c>
      <c r="BI5" s="120">
        <f t="shared" si="21"/>
        <v>47557645631067.969</v>
      </c>
      <c r="BJ5" s="120">
        <f t="shared" si="22"/>
        <v>48984375000000</v>
      </c>
      <c r="BK5" s="120">
        <f t="shared" si="23"/>
        <v>47557645631067.969</v>
      </c>
      <c r="BL5" s="15">
        <f t="shared" si="24"/>
        <v>2.2890172361045847E-15</v>
      </c>
      <c r="BM5" s="40">
        <f t="shared" si="25"/>
        <v>27.5</v>
      </c>
      <c r="BN5" s="40">
        <f t="shared" si="26"/>
        <v>2.9420495991003873E-3</v>
      </c>
      <c r="BO5" s="40">
        <f>IFERROR((s_C*s_EF_far*(1/365)*s_ED_far*up_RadSpec!Q5*((s_ET_far_o*(1/24)*up_RadSpec!V5)+(s_ET_far_i*(1/24)*up_RadSpec!AA5))),".")</f>
        <v>0</v>
      </c>
      <c r="BP5" s="40">
        <f>up_b2s!BZ5</f>
        <v>275742.5</v>
      </c>
      <c r="BQ5" s="40">
        <f>IFERROR(((s_C*up_RadSpec!AI5)/up_RadSpec!AS5)*s_IFFI_far_adj*s_CF_far_fish,0)</f>
        <v>13750</v>
      </c>
      <c r="BR5" s="40">
        <f>(s_C*s_IFB_far_adj*s_CF_far_beef*up_RadSpec!AH5*((s_Q_p_beef*s_f_p_beef*s_f_s_beef*(up_RadSpec!$AR5+s_R_es_past))+(s_Q_s_beef*s_f_p_beef)))</f>
        <v>48984375</v>
      </c>
      <c r="BS5" s="40">
        <f>(s_C*s_IFD_far_adj*s_CF_far_dairy*up_RadSpec!AG5*1/s_D_milk*((s_Q_p_dairy*s_f_p_dairy*s_f_s_dairy*(up_RadSpec!$AR5+s_R_es_past))+(s_Q_s_dairy*s_f_p_dairy)))</f>
        <v>47557645.631067954</v>
      </c>
      <c r="BT5" s="40">
        <f>(s_C*s_IFSW_far_adj*s_CF_far_swine*up_RadSpec!AL5*((s_Q_p_swine*s_f_p_swine*s_f_s_swine*(up_RadSpec!$AR5+s_R_es_past))+(s_Q_s_swine*s_f_p_swine)))</f>
        <v>48984375</v>
      </c>
      <c r="BU5" s="40">
        <f>(s_C*s_IFP_far_adj*s_CF_far_poultry*up_RadSpec!AJ5*((s_Q_p_poultry*s_f_p_poultry*s_f_s_poultry*(up_RadSpec!AR5+s_R_es_past))+(s_Q_s_poultry*s_f_p_poultry)))</f>
        <v>48984375</v>
      </c>
      <c r="BV5" s="40">
        <f>(s_C*s_IFE_far_adj*s_CF_far_egg*up_RadSpec!AK5*((s_Q_p_egg*s_f_p_egg*s_f_s_egg*(up_RadSpec!$AR5+s_R_es_past))+(s_Q_s_egg*s_f_p_egg)))</f>
        <v>48984375</v>
      </c>
      <c r="BW5" s="40">
        <f>(s_C*s_IFGO_far_adj*s_CF_far_goat*up_RadSpec!AO5*((s_Q_p_goat*s_f_p_goat*s_f_s_goat*(up_RadSpec!$AR5+s_R_es_past))+(s_Q_s_goat*s_f_p_goat)))</f>
        <v>48984375</v>
      </c>
      <c r="BX5" s="40">
        <f>(s_C*s_IFGM_far_adj*s_CF_far_goat_milk*up_RadSpec!AP5*1/s_D_milk*((s_Q_p_goat_milk*s_f_p_goat_milk*s_f_s_goat_milk*(up_RadSpec!$AR5+s_R_es_past))+(s_Q_s_goat_milk*s_f_p_goat_milk)))</f>
        <v>47557645.631067954</v>
      </c>
      <c r="BY5" s="40">
        <f>(s_C*s_IFSH_far_adj*s_CF_far_sheep*up_RadSpec!AM5*((s_Q_p_sheep*s_f_p_sheep*s_f_s_sheep*(up_RadSpec!$AR5+s_R_es_past))+(s_Q_s_sheep*s_f_p_sheep)))</f>
        <v>48984375</v>
      </c>
      <c r="BZ5" s="40">
        <f>(s_C*s_IFSM_far_adj*s_CF_far_sheep_milk*up_RadSpec!AN5*1/s_D_milk*((s_Q_p_sheep_milk*s_f_p_sheep_milk*s_f_s_sheep_milk*(up_RadSpec!$AR5+s_R_es_past))+(s_Q_s_sheep_milk*s_f_p_sheep_milk)))</f>
        <v>47557645.631067954</v>
      </c>
      <c r="CA5" s="45"/>
      <c r="CB5" s="45"/>
      <c r="CC5" s="45"/>
      <c r="CD5" s="45"/>
      <c r="CE5" s="45"/>
      <c r="CF5" s="45"/>
      <c r="CG5" s="45"/>
      <c r="CH5" s="45"/>
      <c r="CI5" s="45"/>
      <c r="CJ5" s="45"/>
      <c r="CK5" s="45"/>
      <c r="CL5" s="45"/>
      <c r="CM5" s="45"/>
      <c r="CN5" s="45"/>
      <c r="CO5" s="15"/>
      <c r="CP5" s="15">
        <f>IFERROR(s_TR/(up_RadSpec!H5*s_IFW_far_adj),".")</f>
        <v>3.9999999999999996E-10</v>
      </c>
      <c r="CQ5" s="15" t="str">
        <f>IFERROR(IF(up_RadSpec!C5=1,s_TR/(up_RadSpec!G5*s_IFA_far_adj*s_K),"."),".")</f>
        <v>.</v>
      </c>
      <c r="CR5" s="15">
        <f>IFERROR((s_TR/(up_RadSpec!L5*(1/8760)*s_DFA_far_adj)),".")</f>
        <v>4.3800000000000004E-6</v>
      </c>
      <c r="CS5" s="15">
        <f>up_b2w!BA5</f>
        <v>1.8087754064641833E-11</v>
      </c>
      <c r="CT5" s="15">
        <f>IFERROR(I5/(up_RadSpec!AI5*(1/1000)),".")</f>
        <v>1.4545454545454544E-8</v>
      </c>
      <c r="CU5" s="15">
        <f>IFERROR(F5/(up_RadSpec!AH5*s_Q_w_beef*(1/1000)),".")</f>
        <v>2.9090909090909087E-9</v>
      </c>
      <c r="CV5" s="15">
        <f>IFERROR((G5*s_D_milk)/(up_RadSpec!AG5*s_Q_w_dairy*(1/1000)),".")</f>
        <v>2.9963636363636357E-9</v>
      </c>
      <c r="CW5" s="15">
        <f>IFERROR(H5/(up_RadSpec!AL5*s_Q_w_swine*(1/1000)),".")</f>
        <v>2.9090909090909087E-9</v>
      </c>
      <c r="CX5" s="15">
        <f>IFERROR(D5/(up_RadSpec!AJ5*s_Q_w_poultry*(1/1000)),".")</f>
        <v>2.9090909090909087E-9</v>
      </c>
      <c r="CY5" s="15">
        <f>IFERROR(E5/(up_RadSpec!AK5*s_Q_w_poultry*(1/1000)),".")</f>
        <v>2.9090909090909087E-9</v>
      </c>
      <c r="CZ5" s="15">
        <f>IFERROR(J5/(up_RadSpec!AO5*s_Q_w_goat*(1/1000)),".")</f>
        <v>2.9090909090909087E-9</v>
      </c>
      <c r="DA5" s="15">
        <f>IFERROR(L5*s_D_milk/(up_RadSpec!AP5*s_Q_w_goat_milk*(1/1000)),".")</f>
        <v>2.9963636363636357E-9</v>
      </c>
      <c r="DB5" s="15">
        <f>IFERROR(K5/(up_RadSpec!AM5*s_Q_w_sheep*(1/1000)),".")</f>
        <v>2.9090909090909087E-9</v>
      </c>
      <c r="DC5" s="15">
        <f>IFERROR(M5*s_D_milk/(up_RadSpec!AN5*s_Q_w_sheep_milk*(1/1000)),".")</f>
        <v>2.9963636363636357E-9</v>
      </c>
      <c r="DD5" s="120">
        <f t="shared" si="27"/>
        <v>2500000000</v>
      </c>
      <c r="DE5" s="120" t="str">
        <f t="shared" si="28"/>
        <v>.</v>
      </c>
      <c r="DF5" s="120">
        <f t="shared" si="29"/>
        <v>228310.50228310502</v>
      </c>
      <c r="DG5" s="120">
        <f t="shared" si="30"/>
        <v>55286023705.663513</v>
      </c>
      <c r="DH5" s="120">
        <f t="shared" si="31"/>
        <v>68750000</v>
      </c>
      <c r="DI5" s="120">
        <f t="shared" si="32"/>
        <v>343750000.00000006</v>
      </c>
      <c r="DJ5" s="120">
        <f t="shared" si="33"/>
        <v>333737864.07766998</v>
      </c>
      <c r="DK5" s="120">
        <f t="shared" si="34"/>
        <v>343750000.00000006</v>
      </c>
      <c r="DL5" s="120">
        <f t="shared" si="35"/>
        <v>343750000.00000006</v>
      </c>
      <c r="DM5" s="120">
        <f t="shared" si="36"/>
        <v>343750000.00000006</v>
      </c>
      <c r="DN5" s="120">
        <f t="shared" si="37"/>
        <v>343750000.00000006</v>
      </c>
      <c r="DO5" s="120">
        <f t="shared" si="38"/>
        <v>333737864.07766998</v>
      </c>
      <c r="DP5" s="120">
        <f t="shared" si="39"/>
        <v>343750000.00000006</v>
      </c>
      <c r="DQ5" s="120">
        <f t="shared" si="40"/>
        <v>333737864.07766998</v>
      </c>
      <c r="DR5" s="15">
        <f t="shared" si="41"/>
        <v>1.6415316541278672E-11</v>
      </c>
      <c r="DS5" s="40">
        <f t="shared" si="42"/>
        <v>2500</v>
      </c>
      <c r="DT5" s="40">
        <f t="shared" si="43"/>
        <v>455.72916666666663</v>
      </c>
      <c r="DU5" s="40">
        <f t="shared" si="44"/>
        <v>0.22831050228310501</v>
      </c>
      <c r="DV5" s="40">
        <f>up_b2w!BZ5</f>
        <v>55286.023705663516</v>
      </c>
      <c r="DW5" s="40">
        <f>IFERROR(s_C*up_RadSpec!AI5*(1/1000)*s_IFFI_far_adj*s_CF_far_fish,0)</f>
        <v>68.75</v>
      </c>
      <c r="DX5" s="40">
        <f>(s_C*s_IFB_far_adj*s_CF_far_beef*up_RadSpec!AH5*s_Q_w_beef*(1/1000))</f>
        <v>343.75</v>
      </c>
      <c r="DY5" s="40">
        <f>(s_C*s_IFD_far_adj*s_CF_far_dairy*up_RadSpec!AG5*(1/s_D_milk)*s_Q_w_dairy*(1/1000))</f>
        <v>333.73786407766988</v>
      </c>
      <c r="DZ5" s="40">
        <f>(s_C*s_IFSW_far_adj*s_CF_far_swine*up_RadSpec!AL5*s_Q_w_swine*(1/1000))</f>
        <v>343.75</v>
      </c>
      <c r="EA5" s="40">
        <f>(s_C*s_IFP_far_adj*s_CF_far_poultry*up_RadSpec!AJ5*s_Q_w_poultry*(1/1000))</f>
        <v>343.75</v>
      </c>
      <c r="EB5" s="40">
        <f>(s_C*s_IFE_far_adj*s_CF_far_egg*up_RadSpec!AK5*s_Q_w_egg*(1/1000))</f>
        <v>343.75</v>
      </c>
      <c r="EC5" s="40">
        <f>(s_C*s_IFGO_far_adj*s_CF_far_goat*up_RadSpec!AO5*s_Q_p_goat*(1/1000))</f>
        <v>343.75</v>
      </c>
      <c r="ED5" s="40">
        <f>(s_C*s_IFGM_far_adj*s_CF_far_goat_milk*up_RadSpec!AP5*(1/s_D_milk)*s_Q_p_goat_milk*(1/1000))</f>
        <v>333.73786407766988</v>
      </c>
      <c r="EE5" s="40">
        <f>(s_C*s_IFSH_far_adj*s_CF_far_sheep*up_RadSpec!AM5*s_Q_p_sheep*(1/1000))</f>
        <v>343.75</v>
      </c>
      <c r="EF5" s="40">
        <f>(s_C*s_IFSM_far_adj*s_CF_far_sheep_milk*up_RadSpec!AN5*(1/s_D_milk)*s_Q_p_sheep_milk*(1/1000))</f>
        <v>333.73786407766988</v>
      </c>
      <c r="EG5" s="18"/>
      <c r="EH5" s="18"/>
      <c r="EI5" s="18"/>
      <c r="EJ5" s="18"/>
      <c r="EK5" s="18"/>
      <c r="EL5" s="18"/>
      <c r="EM5" s="18"/>
      <c r="EN5" s="18"/>
      <c r="EO5" s="18"/>
      <c r="EP5" s="18"/>
      <c r="EQ5" s="18"/>
      <c r="ER5" s="18"/>
      <c r="ES5" s="18"/>
      <c r="ET5" s="18"/>
      <c r="EU5" s="5"/>
      <c r="EV5" s="15">
        <f>IFERROR((s_TR/(up_RadSpec!G5*s_IFA_far_adj)),".")</f>
        <v>1.0971428571428573E-9</v>
      </c>
      <c r="EW5" s="15">
        <f>IFERROR((s_TR/(up_RadSpec!J5*s_EF_far*(1/365)*s_ED_far*s_ET_far*(1/24)*s_GSF_a)),".")</f>
        <v>1.7520000000000001E-6</v>
      </c>
      <c r="EX5" s="15">
        <f t="shared" si="48"/>
        <v>1.0964562309317064E-9</v>
      </c>
      <c r="EY5" s="40">
        <f t="shared" si="46"/>
        <v>911.45833333333326</v>
      </c>
      <c r="EZ5" s="40">
        <f t="shared" si="47"/>
        <v>0.57077625570776247</v>
      </c>
      <c r="FA5" s="122"/>
      <c r="FB5" s="122"/>
      <c r="FC5" s="122"/>
    </row>
    <row r="6" spans="1:159" customFormat="1" x14ac:dyDescent="0.25">
      <c r="A6" s="44" t="s">
        <v>16</v>
      </c>
      <c r="B6" s="42" t="s">
        <v>1074</v>
      </c>
      <c r="C6" s="15">
        <f>up_dir!AB6</f>
        <v>1.8181818181818181E-11</v>
      </c>
      <c r="D6" s="15">
        <f>IFERROR(s_TR/(up_RadSpec!E6*s_IFP_far_adj*s_CF_far_poultry),".")</f>
        <v>7.2727272727272723E-11</v>
      </c>
      <c r="E6" s="15">
        <f>IFERROR(s_TR/(up_RadSpec!E6*s_IFE_far_adj*s_CF_far_egg),".")</f>
        <v>7.2727272727272723E-11</v>
      </c>
      <c r="F6" s="15">
        <f>IFERROR(s_TR/(up_RadSpec!E6*s_IFB_far_adj*s_CF_far_beef),".")</f>
        <v>7.2727272727272723E-11</v>
      </c>
      <c r="G6" s="15">
        <f>IFERROR(s_TR/(up_RadSpec!E6*s_IFD_far_adj*s_CF_far_dairy),".")</f>
        <v>7.2727272727272723E-11</v>
      </c>
      <c r="H6" s="15">
        <f>IFERROR(s_TR/(up_RadSpec!E6*s_IFSW_far_adj*s_CF_far_swine),".")</f>
        <v>7.2727272727272723E-11</v>
      </c>
      <c r="I6" s="15">
        <f>IFERROR(s_TR/(up_RadSpec!E6*s_IFFI_far_adj*s_CF_far_fish),".")</f>
        <v>7.2727272727272723E-11</v>
      </c>
      <c r="J6" s="15">
        <f>IFERROR(s_TR/(up_RadSpec!E6*s_IFGO_far_adj*s_CF_far_goat),".")</f>
        <v>7.2727272727272723E-11</v>
      </c>
      <c r="K6" s="15">
        <f>IFERROR(s_TR/(up_RadSpec!E6*s_IFSH_far_adj*s_CF_far_sheep),".")</f>
        <v>7.2727272727272723E-11</v>
      </c>
      <c r="L6" s="15">
        <f>IFERROR(s_TR/(up_RadSpec!E6*s_IFGM_far_adj*s_CF_far_goat_milk),".")</f>
        <v>7.2727272727272723E-11</v>
      </c>
      <c r="M6" s="15">
        <f>IFERROR(s_TR/(up_RadSpec!E6*s_IFSM_far_adj*s_CF_far_sheep_milk),".")</f>
        <v>7.2727272727272723E-11</v>
      </c>
      <c r="N6" s="40">
        <f>up_dir!BA6</f>
        <v>55000</v>
      </c>
      <c r="O6" s="40">
        <f t="shared" si="0"/>
        <v>13750</v>
      </c>
      <c r="P6" s="40">
        <f t="shared" si="1"/>
        <v>13750</v>
      </c>
      <c r="Q6" s="40">
        <f t="shared" si="2"/>
        <v>13750</v>
      </c>
      <c r="R6" s="40">
        <f t="shared" si="3"/>
        <v>13750</v>
      </c>
      <c r="S6" s="40">
        <f t="shared" si="4"/>
        <v>13750</v>
      </c>
      <c r="T6" s="40">
        <f t="shared" si="5"/>
        <v>13750</v>
      </c>
      <c r="U6" s="40">
        <f t="shared" si="6"/>
        <v>13750</v>
      </c>
      <c r="V6" s="40">
        <f t="shared" si="7"/>
        <v>13750</v>
      </c>
      <c r="W6" s="40">
        <f t="shared" si="8"/>
        <v>13750</v>
      </c>
      <c r="X6" s="40">
        <f t="shared" si="9"/>
        <v>13750</v>
      </c>
      <c r="Y6" s="5"/>
      <c r="Z6" s="5"/>
      <c r="AA6" s="5"/>
      <c r="AB6" s="5"/>
      <c r="AC6" s="5"/>
      <c r="AD6" s="5"/>
      <c r="AE6" s="5"/>
      <c r="AF6" s="5"/>
      <c r="AG6" s="5"/>
      <c r="AH6" s="5"/>
      <c r="AI6" s="5"/>
      <c r="AJ6" s="45">
        <f>IFERROR((s_TR/(up_RadSpec!D6*s_IFS_far_adj*(1/1000)))*1,".")</f>
        <v>3.6363636363636363E-8</v>
      </c>
      <c r="AK6" s="45">
        <f>IFERROR(IF(A6="H-3",(s_TR/(up_RadSpec!G6*s_IFA_far_adj*(1/17)*1000))*1,(s_TR/(up_RadSpec!G6*s_IFA_far_adj*(1/s_PEF_wind)*1000))*1),".")</f>
        <v>3.3989909629864073E-4</v>
      </c>
      <c r="AL6" s="45">
        <f>IFERROR((s_TR/(up_RadSpec!F6*s_EF_far*(1/365)*s_ED_far*up_RadSpec!Q6*((s_ET_far_o*(1/24)*up_RadSpec!V6)+(s_ET_far_i*(1/24)*up_RadSpec!AA6))))*1,".")</f>
        <v>1.9454750918165546E-5</v>
      </c>
      <c r="AM6" s="45">
        <f>up_b2s!BA6</f>
        <v>3.6265718922545492E-12</v>
      </c>
      <c r="AN6" s="45">
        <f>IFERROR(((I6*up_RadSpec!AS6)/up_RadSpec!AI6)*1,".")</f>
        <v>7.2727272727272723E-11</v>
      </c>
      <c r="AO6" s="45">
        <f>IFERROR((F6/(up_RadSpec!AH6*((s_Q_p_beef*s_f_p_beef*s_f_s_beef*(up_RadSpec!BB6+s_R_es_past))+(s_Q_s_beef*s_f_p_beef))))*1,".")</f>
        <v>2.0414673046251994E-14</v>
      </c>
      <c r="AP6" s="45">
        <f>IFERROR(((G6*s_D_milk)/(up_RadSpec!AG6*((s_Q_p_dairy*s_f_p_dairy*s_f_s_dairy*(up_RadSpec!BB6+s_R_es_past))+(s_Q_s_dairy*s_f_p_dairy))))*1,".")</f>
        <v>2.102711323763955E-14</v>
      </c>
      <c r="AQ6" s="45">
        <f>IFERROR((H6/(up_RadSpec!AL6*((s_Q_p_swine*s_f_p_swine*s_f_s_swine*(up_RadSpec!BB6+s_R_es_past))+(s_Q_s_swine*s_f_p_swine))))*1,".")</f>
        <v>2.0414673046251994E-14</v>
      </c>
      <c r="AR6" s="45">
        <f>IFERROR((D6/(up_RadSpec!AJ6*((s_Q_p_poultry*s_f_p_poultry*s_f_s_poultry*(up_RadSpec!BB6+s_R_es_past))+(s_Q_s_poultry*s_f_p_poultry))))*1,".")</f>
        <v>2.0414673046251994E-14</v>
      </c>
      <c r="AS6" s="45">
        <f>IFERROR((E6/(up_RadSpec!AK6*((s_Q_p_poultry*s_f_p_poultry*s_f_s_poultry*(up_RadSpec!BB6+s_R_es_past))+(s_Q_s_poultry*s_f_p_poultry))))*1,".")</f>
        <v>2.0414673046251994E-14</v>
      </c>
      <c r="AT6" s="45">
        <f>IFERROR((J6/(up_RadSpec!AO6*((s_Q_p_goat*s_f_p_goat*s_f_s_goat*(up_RadSpec!BB6+s_R_es_past))+(s_Q_s_goat*s_f_p_goat))))*1,".")</f>
        <v>2.0414673046251994E-14</v>
      </c>
      <c r="AU6" s="45">
        <f>IFERROR((L6*s_D_milk/(up_RadSpec!AP6*((s_Q_p_goat_milk*s_f_p_goat_milk*s_f_s_goat_milk*(up_RadSpec!BB6+s_R_es_past))+(s_Q_s_goat_milk*s_f_p_goat_milk))))*1,".")</f>
        <v>2.102711323763955E-14</v>
      </c>
      <c r="AV6" s="45">
        <f>IFERROR((K6/(up_RadSpec!AM6*((s_Q_p_sheep*s_f_p_sheep*s_f_s_sheep*(up_RadSpec!BB6+s_R_es_past))+(s_Q_s_sheep*s_f_p_sheep))))*1,".")</f>
        <v>2.0414673046251994E-14</v>
      </c>
      <c r="AW6" s="45">
        <f>IFERROR((M6*s_D_milk/(up_RadSpec!AN6*((s_Q_p_sheep_milk*s_f_p_sheep_milk*s_f_s_sheep_milk*(up_RadSpec!BB6+s_R_es_past))+(s_Q_s_sheep_milk*s_f_p_sheep_milk))))*1,".")</f>
        <v>2.102711323763955E-14</v>
      </c>
      <c r="AX6" s="120">
        <f t="shared" si="10"/>
        <v>27500000</v>
      </c>
      <c r="AY6" s="120">
        <f t="shared" si="11"/>
        <v>2942.0495991003877</v>
      </c>
      <c r="AZ6" s="120">
        <f t="shared" si="12"/>
        <v>51401.326298465574</v>
      </c>
      <c r="BA6" s="120">
        <f t="shared" si="13"/>
        <v>275742500000</v>
      </c>
      <c r="BB6" s="120">
        <f t="shared" si="14"/>
        <v>13750000000</v>
      </c>
      <c r="BC6" s="120">
        <f t="shared" si="15"/>
        <v>48984375000000</v>
      </c>
      <c r="BD6" s="120">
        <f t="shared" si="16"/>
        <v>47557645631067.969</v>
      </c>
      <c r="BE6" s="120">
        <f t="shared" si="17"/>
        <v>48984375000000</v>
      </c>
      <c r="BF6" s="120">
        <f t="shared" si="18"/>
        <v>48984375000000</v>
      </c>
      <c r="BG6" s="120">
        <f t="shared" si="19"/>
        <v>48984375000000</v>
      </c>
      <c r="BH6" s="120">
        <f t="shared" si="20"/>
        <v>48984375000000</v>
      </c>
      <c r="BI6" s="120">
        <f t="shared" si="21"/>
        <v>47557645631067.969</v>
      </c>
      <c r="BJ6" s="120">
        <f t="shared" si="22"/>
        <v>48984375000000</v>
      </c>
      <c r="BK6" s="120">
        <f t="shared" si="23"/>
        <v>47557645631067.969</v>
      </c>
      <c r="BL6" s="15">
        <f t="shared" si="24"/>
        <v>2.2890172358352621E-15</v>
      </c>
      <c r="BM6" s="40">
        <f t="shared" si="25"/>
        <v>27.5</v>
      </c>
      <c r="BN6" s="40">
        <f t="shared" si="26"/>
        <v>2.9420495991003873E-3</v>
      </c>
      <c r="BO6" s="40">
        <f>IFERROR((s_C*s_EF_far*(1/365)*s_ED_far*up_RadSpec!Q6*((s_ET_far_o*(1/24)*up_RadSpec!V6)+(s_ET_far_i*(1/24)*up_RadSpec!AA6))),".")</f>
        <v>5.1401326298465576E-2</v>
      </c>
      <c r="BP6" s="40">
        <f>up_b2s!BZ6</f>
        <v>275742.5</v>
      </c>
      <c r="BQ6" s="40">
        <f>IFERROR(((s_C*up_RadSpec!AI6)/up_RadSpec!AS6)*s_IFFI_far_adj*s_CF_far_fish,0)</f>
        <v>13750</v>
      </c>
      <c r="BR6" s="40">
        <f>(s_C*s_IFB_far_adj*s_CF_far_beef*up_RadSpec!AH6*((s_Q_p_beef*s_f_p_beef*s_f_s_beef*(up_RadSpec!$AR6+s_R_es_past))+(s_Q_s_beef*s_f_p_beef)))</f>
        <v>48984375</v>
      </c>
      <c r="BS6" s="40">
        <f>(s_C*s_IFD_far_adj*s_CF_far_dairy*up_RadSpec!AG6*1/s_D_milk*((s_Q_p_dairy*s_f_p_dairy*s_f_s_dairy*(up_RadSpec!$AR6+s_R_es_past))+(s_Q_s_dairy*s_f_p_dairy)))</f>
        <v>47557645.631067954</v>
      </c>
      <c r="BT6" s="40">
        <f>(s_C*s_IFSW_far_adj*s_CF_far_swine*up_RadSpec!AL6*((s_Q_p_swine*s_f_p_swine*s_f_s_swine*(up_RadSpec!$AR6+s_R_es_past))+(s_Q_s_swine*s_f_p_swine)))</f>
        <v>48984375</v>
      </c>
      <c r="BU6" s="40">
        <f>(s_C*s_IFP_far_adj*s_CF_far_poultry*up_RadSpec!AJ6*((s_Q_p_poultry*s_f_p_poultry*s_f_s_poultry*(up_RadSpec!AR6+s_R_es_past))+(s_Q_s_poultry*s_f_p_poultry)))</f>
        <v>48984375</v>
      </c>
      <c r="BV6" s="40">
        <f>(s_C*s_IFE_far_adj*s_CF_far_egg*up_RadSpec!AK6*((s_Q_p_egg*s_f_p_egg*s_f_s_egg*(up_RadSpec!$AR6+s_R_es_past))+(s_Q_s_egg*s_f_p_egg)))</f>
        <v>48984375</v>
      </c>
      <c r="BW6" s="40">
        <f>(s_C*s_IFGO_far_adj*s_CF_far_goat*up_RadSpec!AO6*((s_Q_p_goat*s_f_p_goat*s_f_s_goat*(up_RadSpec!$AR6+s_R_es_past))+(s_Q_s_goat*s_f_p_goat)))</f>
        <v>48984375</v>
      </c>
      <c r="BX6" s="40">
        <f>(s_C*s_IFGM_far_adj*s_CF_far_goat_milk*up_RadSpec!AP6*1/s_D_milk*((s_Q_p_goat_milk*s_f_p_goat_milk*s_f_s_goat_milk*(up_RadSpec!$AR6+s_R_es_past))+(s_Q_s_goat_milk*s_f_p_goat_milk)))</f>
        <v>47557645.631067954</v>
      </c>
      <c r="BY6" s="40">
        <f>(s_C*s_IFSH_far_adj*s_CF_far_sheep*up_RadSpec!AM6*((s_Q_p_sheep*s_f_p_sheep*s_f_s_sheep*(up_RadSpec!$AR6+s_R_es_past))+(s_Q_s_sheep*s_f_p_sheep)))</f>
        <v>48984375</v>
      </c>
      <c r="BZ6" s="40">
        <f>(s_C*s_IFSM_far_adj*s_CF_far_sheep_milk*up_RadSpec!AN6*1/s_D_milk*((s_Q_p_sheep_milk*s_f_p_sheep_milk*s_f_s_sheep_milk*(up_RadSpec!$AR6+s_R_es_past))+(s_Q_s_sheep_milk*s_f_p_sheep_milk)))</f>
        <v>47557645.631067954</v>
      </c>
      <c r="CA6" s="45"/>
      <c r="CB6" s="45"/>
      <c r="CC6" s="45"/>
      <c r="CD6" s="45"/>
      <c r="CE6" s="45"/>
      <c r="CF6" s="45"/>
      <c r="CG6" s="45"/>
      <c r="CH6" s="45"/>
      <c r="CI6" s="45"/>
      <c r="CJ6" s="45"/>
      <c r="CK6" s="45"/>
      <c r="CL6" s="45"/>
      <c r="CM6" s="45"/>
      <c r="CN6" s="45"/>
      <c r="CO6" s="15"/>
      <c r="CP6" s="15">
        <f>IFERROR(s_TR/(up_RadSpec!H6*s_IFW_far_adj),".")</f>
        <v>3.9999999999999996E-10</v>
      </c>
      <c r="CQ6" s="15" t="str">
        <f>IFERROR(IF(up_RadSpec!C6=1,s_TR/(up_RadSpec!G6*s_IFA_far_adj*s_K),"."),".")</f>
        <v>.</v>
      </c>
      <c r="CR6" s="15">
        <f>IFERROR((s_TR/(up_RadSpec!L6*(1/8760)*s_DFA_far_adj)),".")</f>
        <v>4.3800000000000004E-6</v>
      </c>
      <c r="CS6" s="15">
        <f>up_b2w!BA6</f>
        <v>1.8087754064641833E-11</v>
      </c>
      <c r="CT6" s="15">
        <f>IFERROR(I6/(up_RadSpec!AI6*(1/1000)),".")</f>
        <v>1.4545454545454544E-8</v>
      </c>
      <c r="CU6" s="15">
        <f>IFERROR(F6/(up_RadSpec!AH6*s_Q_w_beef*(1/1000)),".")</f>
        <v>2.9090909090909087E-9</v>
      </c>
      <c r="CV6" s="15">
        <f>IFERROR((G6*s_D_milk)/(up_RadSpec!AG6*s_Q_w_dairy*(1/1000)),".")</f>
        <v>2.9963636363636357E-9</v>
      </c>
      <c r="CW6" s="15">
        <f>IFERROR(H6/(up_RadSpec!AL6*s_Q_w_swine*(1/1000)),".")</f>
        <v>2.9090909090909087E-9</v>
      </c>
      <c r="CX6" s="15">
        <f>IFERROR(D6/(up_RadSpec!AJ6*s_Q_w_poultry*(1/1000)),".")</f>
        <v>2.9090909090909087E-9</v>
      </c>
      <c r="CY6" s="15">
        <f>IFERROR(E6/(up_RadSpec!AK6*s_Q_w_poultry*(1/1000)),".")</f>
        <v>2.9090909090909087E-9</v>
      </c>
      <c r="CZ6" s="15">
        <f>IFERROR(J6/(up_RadSpec!AO6*s_Q_w_goat*(1/1000)),".")</f>
        <v>2.9090909090909087E-9</v>
      </c>
      <c r="DA6" s="15">
        <f>IFERROR(L6*s_D_milk/(up_RadSpec!AP6*s_Q_w_goat_milk*(1/1000)),".")</f>
        <v>2.9963636363636357E-9</v>
      </c>
      <c r="DB6" s="15">
        <f>IFERROR(K6/(up_RadSpec!AM6*s_Q_w_sheep*(1/1000)),".")</f>
        <v>2.9090909090909087E-9</v>
      </c>
      <c r="DC6" s="15">
        <f>IFERROR(M6*s_D_milk/(up_RadSpec!AN6*s_Q_w_sheep_milk*(1/1000)),".")</f>
        <v>2.9963636363636357E-9</v>
      </c>
      <c r="DD6" s="120">
        <f t="shared" si="27"/>
        <v>2500000000</v>
      </c>
      <c r="DE6" s="120" t="str">
        <f t="shared" si="28"/>
        <v>.</v>
      </c>
      <c r="DF6" s="120">
        <f t="shared" si="29"/>
        <v>228310.50228310502</v>
      </c>
      <c r="DG6" s="120">
        <f t="shared" si="30"/>
        <v>55286023705.663513</v>
      </c>
      <c r="DH6" s="120">
        <f t="shared" si="31"/>
        <v>68750000</v>
      </c>
      <c r="DI6" s="120">
        <f t="shared" si="32"/>
        <v>343750000.00000006</v>
      </c>
      <c r="DJ6" s="120">
        <f t="shared" si="33"/>
        <v>333737864.07766998</v>
      </c>
      <c r="DK6" s="120">
        <f t="shared" si="34"/>
        <v>343750000.00000006</v>
      </c>
      <c r="DL6" s="120">
        <f t="shared" si="35"/>
        <v>343750000.00000006</v>
      </c>
      <c r="DM6" s="120">
        <f t="shared" si="36"/>
        <v>343750000.00000006</v>
      </c>
      <c r="DN6" s="120">
        <f t="shared" si="37"/>
        <v>343750000.00000006</v>
      </c>
      <c r="DO6" s="120">
        <f t="shared" si="38"/>
        <v>333737864.07766998</v>
      </c>
      <c r="DP6" s="120">
        <f t="shared" si="39"/>
        <v>343750000.00000006</v>
      </c>
      <c r="DQ6" s="120">
        <f t="shared" si="40"/>
        <v>333737864.07766998</v>
      </c>
      <c r="DR6" s="15">
        <f t="shared" si="41"/>
        <v>1.6415316541278672E-11</v>
      </c>
      <c r="DS6" s="40">
        <f t="shared" si="42"/>
        <v>2500</v>
      </c>
      <c r="DT6" s="40">
        <f t="shared" si="43"/>
        <v>455.72916666666663</v>
      </c>
      <c r="DU6" s="40">
        <f t="shared" si="44"/>
        <v>0.22831050228310501</v>
      </c>
      <c r="DV6" s="40">
        <f>up_b2w!BZ6</f>
        <v>55286.023705663516</v>
      </c>
      <c r="DW6" s="40">
        <f>IFERROR(s_C*up_RadSpec!AI6*(1/1000)*s_IFFI_far_adj*s_CF_far_fish,0)</f>
        <v>68.75</v>
      </c>
      <c r="DX6" s="40">
        <f>(s_C*s_IFB_far_adj*s_CF_far_beef*up_RadSpec!AH6*s_Q_w_beef*(1/1000))</f>
        <v>343.75</v>
      </c>
      <c r="DY6" s="40">
        <f>(s_C*s_IFD_far_adj*s_CF_far_dairy*up_RadSpec!AG6*(1/s_D_milk)*s_Q_w_dairy*(1/1000))</f>
        <v>333.73786407766988</v>
      </c>
      <c r="DZ6" s="40">
        <f>(s_C*s_IFSW_far_adj*s_CF_far_swine*up_RadSpec!AL6*s_Q_w_swine*(1/1000))</f>
        <v>343.75</v>
      </c>
      <c r="EA6" s="40">
        <f>(s_C*s_IFP_far_adj*s_CF_far_poultry*up_RadSpec!AJ6*s_Q_w_poultry*(1/1000))</f>
        <v>343.75</v>
      </c>
      <c r="EB6" s="40">
        <f>(s_C*s_IFE_far_adj*s_CF_far_egg*up_RadSpec!AK6*s_Q_w_egg*(1/1000))</f>
        <v>343.75</v>
      </c>
      <c r="EC6" s="40">
        <f>(s_C*s_IFGO_far_adj*s_CF_far_goat*up_RadSpec!AO6*s_Q_p_goat*(1/1000))</f>
        <v>343.75</v>
      </c>
      <c r="ED6" s="40">
        <f>(s_C*s_IFGM_far_adj*s_CF_far_goat_milk*up_RadSpec!AP6*(1/s_D_milk)*s_Q_p_goat_milk*(1/1000))</f>
        <v>333.73786407766988</v>
      </c>
      <c r="EE6" s="40">
        <f>(s_C*s_IFSH_far_adj*s_CF_far_sheep*up_RadSpec!AM6*s_Q_p_sheep*(1/1000))</f>
        <v>343.75</v>
      </c>
      <c r="EF6" s="40">
        <f>(s_C*s_IFSM_far_adj*s_CF_far_sheep_milk*up_RadSpec!AN6*(1/s_D_milk)*s_Q_p_sheep_milk*(1/1000))</f>
        <v>333.73786407766988</v>
      </c>
      <c r="EG6" s="18"/>
      <c r="EH6" s="18"/>
      <c r="EI6" s="18"/>
      <c r="EJ6" s="18"/>
      <c r="EK6" s="18"/>
      <c r="EL6" s="18"/>
      <c r="EM6" s="18"/>
      <c r="EN6" s="18"/>
      <c r="EO6" s="18"/>
      <c r="EP6" s="18"/>
      <c r="EQ6" s="18"/>
      <c r="ER6" s="18"/>
      <c r="ES6" s="18"/>
      <c r="ET6" s="18"/>
      <c r="EU6" s="5"/>
      <c r="EV6" s="15">
        <f>IFERROR((s_TR/(up_RadSpec!G6*s_IFA_far_adj)),".")</f>
        <v>1.0971428571428573E-9</v>
      </c>
      <c r="EW6" s="15">
        <f>IFERROR((s_TR/(up_RadSpec!J6*s_EF_far*(1/365)*s_ED_far*s_ET_far*(1/24)*s_GSF_a)),".")</f>
        <v>1.7520000000000001E-6</v>
      </c>
      <c r="EX6" s="15">
        <f t="shared" si="48"/>
        <v>1.0964562309317064E-9</v>
      </c>
      <c r="EY6" s="40">
        <f t="shared" si="46"/>
        <v>911.45833333333326</v>
      </c>
      <c r="EZ6" s="40">
        <f t="shared" si="47"/>
        <v>0.57077625570776247</v>
      </c>
      <c r="FA6" s="122"/>
      <c r="FB6" s="122"/>
      <c r="FC6" s="122"/>
    </row>
    <row r="7" spans="1:159" customFormat="1" x14ac:dyDescent="0.25">
      <c r="A7" s="44" t="s">
        <v>17</v>
      </c>
      <c r="B7" s="42" t="s">
        <v>1074</v>
      </c>
      <c r="C7" s="15">
        <f>up_dir!AB7</f>
        <v>1.8181818181818181E-11</v>
      </c>
      <c r="D7" s="15">
        <f>IFERROR(s_TR/(up_RadSpec!E7*s_IFP_far_adj*s_CF_far_poultry),".")</f>
        <v>7.2727272727272723E-11</v>
      </c>
      <c r="E7" s="15">
        <f>IFERROR(s_TR/(up_RadSpec!E7*s_IFE_far_adj*s_CF_far_egg),".")</f>
        <v>7.2727272727272723E-11</v>
      </c>
      <c r="F7" s="15">
        <f>IFERROR(s_TR/(up_RadSpec!E7*s_IFB_far_adj*s_CF_far_beef),".")</f>
        <v>7.2727272727272723E-11</v>
      </c>
      <c r="G7" s="15">
        <f>IFERROR(s_TR/(up_RadSpec!E7*s_IFD_far_adj*s_CF_far_dairy),".")</f>
        <v>7.2727272727272723E-11</v>
      </c>
      <c r="H7" s="15">
        <f>IFERROR(s_TR/(up_RadSpec!E7*s_IFSW_far_adj*s_CF_far_swine),".")</f>
        <v>7.2727272727272723E-11</v>
      </c>
      <c r="I7" s="15">
        <f>IFERROR(s_TR/(up_RadSpec!E7*s_IFFI_far_adj*s_CF_far_fish),".")</f>
        <v>7.2727272727272723E-11</v>
      </c>
      <c r="J7" s="15">
        <f>IFERROR(s_TR/(up_RadSpec!E7*s_IFGO_far_adj*s_CF_far_goat),".")</f>
        <v>7.2727272727272723E-11</v>
      </c>
      <c r="K7" s="15">
        <f>IFERROR(s_TR/(up_RadSpec!E7*s_IFSH_far_adj*s_CF_far_sheep),".")</f>
        <v>7.2727272727272723E-11</v>
      </c>
      <c r="L7" s="15">
        <f>IFERROR(s_TR/(up_RadSpec!E7*s_IFGM_far_adj*s_CF_far_goat_milk),".")</f>
        <v>7.2727272727272723E-11</v>
      </c>
      <c r="M7" s="15">
        <f>IFERROR(s_TR/(up_RadSpec!E7*s_IFSM_far_adj*s_CF_far_sheep_milk),".")</f>
        <v>7.2727272727272723E-11</v>
      </c>
      <c r="N7" s="40">
        <f>up_dir!BA7</f>
        <v>55000</v>
      </c>
      <c r="O7" s="40">
        <f t="shared" si="0"/>
        <v>13750</v>
      </c>
      <c r="P7" s="40">
        <f t="shared" si="1"/>
        <v>13750</v>
      </c>
      <c r="Q7" s="40">
        <f t="shared" si="2"/>
        <v>13750</v>
      </c>
      <c r="R7" s="40">
        <f t="shared" si="3"/>
        <v>13750</v>
      </c>
      <c r="S7" s="40">
        <f t="shared" si="4"/>
        <v>13750</v>
      </c>
      <c r="T7" s="40">
        <f t="shared" si="5"/>
        <v>13750</v>
      </c>
      <c r="U7" s="40">
        <f t="shared" si="6"/>
        <v>13750</v>
      </c>
      <c r="V7" s="40">
        <f t="shared" si="7"/>
        <v>13750</v>
      </c>
      <c r="W7" s="40">
        <f t="shared" si="8"/>
        <v>13750</v>
      </c>
      <c r="X7" s="40">
        <f t="shared" si="9"/>
        <v>13750</v>
      </c>
      <c r="Y7" s="5"/>
      <c r="Z7" s="5"/>
      <c r="AA7" s="5"/>
      <c r="AB7" s="5"/>
      <c r="AC7" s="5"/>
      <c r="AD7" s="5"/>
      <c r="AE7" s="5"/>
      <c r="AF7" s="5"/>
      <c r="AG7" s="5"/>
      <c r="AH7" s="5"/>
      <c r="AI7" s="5"/>
      <c r="AJ7" s="45">
        <f>IFERROR((s_TR/(up_RadSpec!D7*s_IFS_far_adj*(1/1000)))*1,".")</f>
        <v>3.6363636363636363E-8</v>
      </c>
      <c r="AK7" s="45">
        <f>IFERROR(IF(A7="H-3",(s_TR/(up_RadSpec!G7*s_IFA_far_adj*(1/17)*1000))*1,(s_TR/(up_RadSpec!G7*s_IFA_far_adj*(1/s_PEF_wind)*1000))*1),".")</f>
        <v>3.3989909629864073E-4</v>
      </c>
      <c r="AL7" s="45">
        <f>IFERROR((s_TR/(up_RadSpec!F7*s_EF_far*(1/365)*s_ED_far*up_RadSpec!Q7*((s_ET_far_o*(1/24)*up_RadSpec!V7)+(s_ET_far_i*(1/24)*up_RadSpec!AA7))))*1,".")</f>
        <v>4.209489051094889E-5</v>
      </c>
      <c r="AM7" s="45">
        <f>up_b2s!BA7</f>
        <v>3.6265718922545492E-12</v>
      </c>
      <c r="AN7" s="45">
        <f>IFERROR(((I7*up_RadSpec!AS7)/up_RadSpec!AI7)*1,".")</f>
        <v>7.2727272727272723E-11</v>
      </c>
      <c r="AO7" s="45">
        <f>IFERROR((F7/(up_RadSpec!AH7*((s_Q_p_beef*s_f_p_beef*s_f_s_beef*(up_RadSpec!BB7+s_R_es_past))+(s_Q_s_beef*s_f_p_beef))))*1,".")</f>
        <v>2.0414673046251994E-14</v>
      </c>
      <c r="AP7" s="45">
        <f>IFERROR(((G7*s_D_milk)/(up_RadSpec!AG7*((s_Q_p_dairy*s_f_p_dairy*s_f_s_dairy*(up_RadSpec!BB7+s_R_es_past))+(s_Q_s_dairy*s_f_p_dairy))))*1,".")</f>
        <v>2.102711323763955E-14</v>
      </c>
      <c r="AQ7" s="45">
        <f>IFERROR((H7/(up_RadSpec!AL7*((s_Q_p_swine*s_f_p_swine*s_f_s_swine*(up_RadSpec!BB7+s_R_es_past))+(s_Q_s_swine*s_f_p_swine))))*1,".")</f>
        <v>2.0414673046251994E-14</v>
      </c>
      <c r="AR7" s="45">
        <f>IFERROR((D7/(up_RadSpec!AJ7*((s_Q_p_poultry*s_f_p_poultry*s_f_s_poultry*(up_RadSpec!BB7+s_R_es_past))+(s_Q_s_poultry*s_f_p_poultry))))*1,".")</f>
        <v>2.0414673046251994E-14</v>
      </c>
      <c r="AS7" s="45">
        <f>IFERROR((E7/(up_RadSpec!AK7*((s_Q_p_poultry*s_f_p_poultry*s_f_s_poultry*(up_RadSpec!BB7+s_R_es_past))+(s_Q_s_poultry*s_f_p_poultry))))*1,".")</f>
        <v>2.0414673046251994E-14</v>
      </c>
      <c r="AT7" s="45">
        <f>IFERROR((J7/(up_RadSpec!AO7*((s_Q_p_goat*s_f_p_goat*s_f_s_goat*(up_RadSpec!BB7+s_R_es_past))+(s_Q_s_goat*s_f_p_goat))))*1,".")</f>
        <v>2.0414673046251994E-14</v>
      </c>
      <c r="AU7" s="45">
        <f>IFERROR((L7*s_D_milk/(up_RadSpec!AP7*((s_Q_p_goat_milk*s_f_p_goat_milk*s_f_s_goat_milk*(up_RadSpec!BB7+s_R_es_past))+(s_Q_s_goat_milk*s_f_p_goat_milk))))*1,".")</f>
        <v>2.102711323763955E-14</v>
      </c>
      <c r="AV7" s="45">
        <f>IFERROR((K7/(up_RadSpec!AM7*((s_Q_p_sheep*s_f_p_sheep*s_f_s_sheep*(up_RadSpec!BB7+s_R_es_past))+(s_Q_s_sheep*s_f_p_sheep))))*1,".")</f>
        <v>2.0414673046251994E-14</v>
      </c>
      <c r="AW7" s="45">
        <f>IFERROR((M7*s_D_milk/(up_RadSpec!AN7*((s_Q_p_sheep_milk*s_f_p_sheep_milk*s_f_s_sheep_milk*(up_RadSpec!BB7+s_R_es_past))+(s_Q_s_sheep_milk*s_f_p_sheep_milk))))*1,".")</f>
        <v>2.102711323763955E-14</v>
      </c>
      <c r="AX7" s="120">
        <f t="shared" si="10"/>
        <v>27500000</v>
      </c>
      <c r="AY7" s="120">
        <f t="shared" si="11"/>
        <v>2942.0495991003877</v>
      </c>
      <c r="AZ7" s="120">
        <f t="shared" si="12"/>
        <v>23755.852262874985</v>
      </c>
      <c r="BA7" s="120">
        <f t="shared" si="13"/>
        <v>275742500000</v>
      </c>
      <c r="BB7" s="120">
        <f t="shared" si="14"/>
        <v>13750000000</v>
      </c>
      <c r="BC7" s="120">
        <f t="shared" si="15"/>
        <v>48984375000000</v>
      </c>
      <c r="BD7" s="120">
        <f t="shared" si="16"/>
        <v>47557645631067.969</v>
      </c>
      <c r="BE7" s="120">
        <f t="shared" si="17"/>
        <v>48984375000000</v>
      </c>
      <c r="BF7" s="120">
        <f t="shared" si="18"/>
        <v>48984375000000</v>
      </c>
      <c r="BG7" s="120">
        <f t="shared" si="19"/>
        <v>48984375000000</v>
      </c>
      <c r="BH7" s="120">
        <f t="shared" si="20"/>
        <v>48984375000000</v>
      </c>
      <c r="BI7" s="120">
        <f t="shared" si="21"/>
        <v>47557645631067.969</v>
      </c>
      <c r="BJ7" s="120">
        <f t="shared" si="22"/>
        <v>48984375000000</v>
      </c>
      <c r="BK7" s="120">
        <f t="shared" si="23"/>
        <v>47557645631067.969</v>
      </c>
      <c r="BL7" s="15">
        <f t="shared" si="24"/>
        <v>2.2890172359801135E-15</v>
      </c>
      <c r="BM7" s="40">
        <f t="shared" si="25"/>
        <v>27.5</v>
      </c>
      <c r="BN7" s="40">
        <f t="shared" si="26"/>
        <v>2.9420495991003873E-3</v>
      </c>
      <c r="BO7" s="40">
        <f>IFERROR((s_C*s_EF_far*(1/365)*s_ED_far*up_RadSpec!Q7*((s_ET_far_o*(1/24)*up_RadSpec!V7)+(s_ET_far_i*(1/24)*up_RadSpec!AA7))),".")</f>
        <v>2.3755852262874987E-2</v>
      </c>
      <c r="BP7" s="40">
        <f>up_b2s!BZ7</f>
        <v>275742.5</v>
      </c>
      <c r="BQ7" s="40">
        <f>IFERROR(((s_C*up_RadSpec!AI7)/up_RadSpec!AS7)*s_IFFI_far_adj*s_CF_far_fish,0)</f>
        <v>13750</v>
      </c>
      <c r="BR7" s="40">
        <f>(s_C*s_IFB_far_adj*s_CF_far_beef*up_RadSpec!AH7*((s_Q_p_beef*s_f_p_beef*s_f_s_beef*(up_RadSpec!$AR7+s_R_es_past))+(s_Q_s_beef*s_f_p_beef)))</f>
        <v>48984375</v>
      </c>
      <c r="BS7" s="40">
        <f>(s_C*s_IFD_far_adj*s_CF_far_dairy*up_RadSpec!AG7*1/s_D_milk*((s_Q_p_dairy*s_f_p_dairy*s_f_s_dairy*(up_RadSpec!$AR7+s_R_es_past))+(s_Q_s_dairy*s_f_p_dairy)))</f>
        <v>47557645.631067954</v>
      </c>
      <c r="BT7" s="40">
        <f>(s_C*s_IFSW_far_adj*s_CF_far_swine*up_RadSpec!AL7*((s_Q_p_swine*s_f_p_swine*s_f_s_swine*(up_RadSpec!$AR7+s_R_es_past))+(s_Q_s_swine*s_f_p_swine)))</f>
        <v>48984375</v>
      </c>
      <c r="BU7" s="40">
        <f>(s_C*s_IFP_far_adj*s_CF_far_poultry*up_RadSpec!AJ7*((s_Q_p_poultry*s_f_p_poultry*s_f_s_poultry*(up_RadSpec!AR7+s_R_es_past))+(s_Q_s_poultry*s_f_p_poultry)))</f>
        <v>48984375</v>
      </c>
      <c r="BV7" s="40">
        <f>(s_C*s_IFE_far_adj*s_CF_far_egg*up_RadSpec!AK7*((s_Q_p_egg*s_f_p_egg*s_f_s_egg*(up_RadSpec!$AR7+s_R_es_past))+(s_Q_s_egg*s_f_p_egg)))</f>
        <v>48984375</v>
      </c>
      <c r="BW7" s="40">
        <f>(s_C*s_IFGO_far_adj*s_CF_far_goat*up_RadSpec!AO7*((s_Q_p_goat*s_f_p_goat*s_f_s_goat*(up_RadSpec!$AR7+s_R_es_past))+(s_Q_s_goat*s_f_p_goat)))</f>
        <v>48984375</v>
      </c>
      <c r="BX7" s="40">
        <f>(s_C*s_IFGM_far_adj*s_CF_far_goat_milk*up_RadSpec!AP7*1/s_D_milk*((s_Q_p_goat_milk*s_f_p_goat_milk*s_f_s_goat_milk*(up_RadSpec!$AR7+s_R_es_past))+(s_Q_s_goat_milk*s_f_p_goat_milk)))</f>
        <v>47557645.631067954</v>
      </c>
      <c r="BY7" s="40">
        <f>(s_C*s_IFSH_far_adj*s_CF_far_sheep*up_RadSpec!AM7*((s_Q_p_sheep*s_f_p_sheep*s_f_s_sheep*(up_RadSpec!$AR7+s_R_es_past))+(s_Q_s_sheep*s_f_p_sheep)))</f>
        <v>48984375</v>
      </c>
      <c r="BZ7" s="40">
        <f>(s_C*s_IFSM_far_adj*s_CF_far_sheep_milk*up_RadSpec!AN7*1/s_D_milk*((s_Q_p_sheep_milk*s_f_p_sheep_milk*s_f_s_sheep_milk*(up_RadSpec!$AR7+s_R_es_past))+(s_Q_s_sheep_milk*s_f_p_sheep_milk)))</f>
        <v>47557645.631067954</v>
      </c>
      <c r="CA7" s="45"/>
      <c r="CB7" s="45"/>
      <c r="CC7" s="45"/>
      <c r="CD7" s="45"/>
      <c r="CE7" s="45"/>
      <c r="CF7" s="45"/>
      <c r="CG7" s="45"/>
      <c r="CH7" s="45"/>
      <c r="CI7" s="45"/>
      <c r="CJ7" s="45"/>
      <c r="CK7" s="45"/>
      <c r="CL7" s="45"/>
      <c r="CM7" s="45"/>
      <c r="CN7" s="45"/>
      <c r="CO7" s="15"/>
      <c r="CP7" s="15">
        <f>IFERROR(s_TR/(up_RadSpec!H7*s_IFW_far_adj),".")</f>
        <v>3.9999999999999996E-10</v>
      </c>
      <c r="CQ7" s="15" t="str">
        <f>IFERROR(IF(up_RadSpec!C7=1,s_TR/(up_RadSpec!G7*s_IFA_far_adj*s_K),"."),".")</f>
        <v>.</v>
      </c>
      <c r="CR7" s="15">
        <f>IFERROR((s_TR/(up_RadSpec!L7*(1/8760)*s_DFA_far_adj)),".")</f>
        <v>4.3800000000000004E-6</v>
      </c>
      <c r="CS7" s="15">
        <f>up_b2w!BA7</f>
        <v>1.8087754064641833E-11</v>
      </c>
      <c r="CT7" s="15">
        <f>IFERROR(I7/(up_RadSpec!AI7*(1/1000)),".")</f>
        <v>1.4545454545454544E-8</v>
      </c>
      <c r="CU7" s="15">
        <f>IFERROR(F7/(up_RadSpec!AH7*s_Q_w_beef*(1/1000)),".")</f>
        <v>2.9090909090909087E-9</v>
      </c>
      <c r="CV7" s="15">
        <f>IFERROR((G7*s_D_milk)/(up_RadSpec!AG7*s_Q_w_dairy*(1/1000)),".")</f>
        <v>2.9963636363636357E-9</v>
      </c>
      <c r="CW7" s="15">
        <f>IFERROR(H7/(up_RadSpec!AL7*s_Q_w_swine*(1/1000)),".")</f>
        <v>2.9090909090909087E-9</v>
      </c>
      <c r="CX7" s="15">
        <f>IFERROR(D7/(up_RadSpec!AJ7*s_Q_w_poultry*(1/1000)),".")</f>
        <v>2.9090909090909087E-9</v>
      </c>
      <c r="CY7" s="15">
        <f>IFERROR(E7/(up_RadSpec!AK7*s_Q_w_poultry*(1/1000)),".")</f>
        <v>2.9090909090909087E-9</v>
      </c>
      <c r="CZ7" s="15">
        <f>IFERROR(J7/(up_RadSpec!AO7*s_Q_w_goat*(1/1000)),".")</f>
        <v>2.9090909090909087E-9</v>
      </c>
      <c r="DA7" s="15">
        <f>IFERROR(L7*s_D_milk/(up_RadSpec!AP7*s_Q_w_goat_milk*(1/1000)),".")</f>
        <v>2.9963636363636357E-9</v>
      </c>
      <c r="DB7" s="15">
        <f>IFERROR(K7/(up_RadSpec!AM7*s_Q_w_sheep*(1/1000)),".")</f>
        <v>2.9090909090909087E-9</v>
      </c>
      <c r="DC7" s="15">
        <f>IFERROR(M7*s_D_milk/(up_RadSpec!AN7*s_Q_w_sheep_milk*(1/1000)),".")</f>
        <v>2.9963636363636357E-9</v>
      </c>
      <c r="DD7" s="120">
        <f t="shared" si="27"/>
        <v>2500000000</v>
      </c>
      <c r="DE7" s="120" t="str">
        <f t="shared" si="28"/>
        <v>.</v>
      </c>
      <c r="DF7" s="120">
        <f t="shared" si="29"/>
        <v>228310.50228310502</v>
      </c>
      <c r="DG7" s="120">
        <f t="shared" si="30"/>
        <v>55286023705.663513</v>
      </c>
      <c r="DH7" s="120">
        <f t="shared" si="31"/>
        <v>68750000</v>
      </c>
      <c r="DI7" s="120">
        <f t="shared" si="32"/>
        <v>343750000.00000006</v>
      </c>
      <c r="DJ7" s="120">
        <f t="shared" si="33"/>
        <v>333737864.07766998</v>
      </c>
      <c r="DK7" s="120">
        <f t="shared" si="34"/>
        <v>343750000.00000006</v>
      </c>
      <c r="DL7" s="120">
        <f t="shared" si="35"/>
        <v>343750000.00000006</v>
      </c>
      <c r="DM7" s="120">
        <f t="shared" si="36"/>
        <v>343750000.00000006</v>
      </c>
      <c r="DN7" s="120">
        <f t="shared" si="37"/>
        <v>343750000.00000006</v>
      </c>
      <c r="DO7" s="120">
        <f t="shared" si="38"/>
        <v>333737864.07766998</v>
      </c>
      <c r="DP7" s="120">
        <f t="shared" si="39"/>
        <v>343750000.00000006</v>
      </c>
      <c r="DQ7" s="120">
        <f t="shared" si="40"/>
        <v>333737864.07766998</v>
      </c>
      <c r="DR7" s="15">
        <f t="shared" si="41"/>
        <v>1.6415316541278672E-11</v>
      </c>
      <c r="DS7" s="40">
        <f t="shared" si="42"/>
        <v>2500</v>
      </c>
      <c r="DT7" s="40">
        <f t="shared" si="43"/>
        <v>455.72916666666663</v>
      </c>
      <c r="DU7" s="40">
        <f t="shared" si="44"/>
        <v>0.22831050228310501</v>
      </c>
      <c r="DV7" s="40">
        <f>up_b2w!BZ7</f>
        <v>55286.023705663516</v>
      </c>
      <c r="DW7" s="40">
        <f>IFERROR(s_C*up_RadSpec!AI7*(1/1000)*s_IFFI_far_adj*s_CF_far_fish,0)</f>
        <v>68.75</v>
      </c>
      <c r="DX7" s="40">
        <f>(s_C*s_IFB_far_adj*s_CF_far_beef*up_RadSpec!AH7*s_Q_w_beef*(1/1000))</f>
        <v>343.75</v>
      </c>
      <c r="DY7" s="40">
        <f>(s_C*s_IFD_far_adj*s_CF_far_dairy*up_RadSpec!AG7*(1/s_D_milk)*s_Q_w_dairy*(1/1000))</f>
        <v>333.73786407766988</v>
      </c>
      <c r="DZ7" s="40">
        <f>(s_C*s_IFSW_far_adj*s_CF_far_swine*up_RadSpec!AL7*s_Q_w_swine*(1/1000))</f>
        <v>343.75</v>
      </c>
      <c r="EA7" s="40">
        <f>(s_C*s_IFP_far_adj*s_CF_far_poultry*up_RadSpec!AJ7*s_Q_w_poultry*(1/1000))</f>
        <v>343.75</v>
      </c>
      <c r="EB7" s="40">
        <f>(s_C*s_IFE_far_adj*s_CF_far_egg*up_RadSpec!AK7*s_Q_w_egg*(1/1000))</f>
        <v>343.75</v>
      </c>
      <c r="EC7" s="40">
        <f>(s_C*s_IFGO_far_adj*s_CF_far_goat*up_RadSpec!AO7*s_Q_p_goat*(1/1000))</f>
        <v>343.75</v>
      </c>
      <c r="ED7" s="40">
        <f>(s_C*s_IFGM_far_adj*s_CF_far_goat_milk*up_RadSpec!AP7*(1/s_D_milk)*s_Q_p_goat_milk*(1/1000))</f>
        <v>333.73786407766988</v>
      </c>
      <c r="EE7" s="40">
        <f>(s_C*s_IFSH_far_adj*s_CF_far_sheep*up_RadSpec!AM7*s_Q_p_sheep*(1/1000))</f>
        <v>343.75</v>
      </c>
      <c r="EF7" s="40">
        <f>(s_C*s_IFSM_far_adj*s_CF_far_sheep_milk*up_RadSpec!AN7*(1/s_D_milk)*s_Q_p_sheep_milk*(1/1000))</f>
        <v>333.73786407766988</v>
      </c>
      <c r="EG7" s="18"/>
      <c r="EH7" s="18"/>
      <c r="EI7" s="18"/>
      <c r="EJ7" s="18"/>
      <c r="EK7" s="18"/>
      <c r="EL7" s="18"/>
      <c r="EM7" s="18"/>
      <c r="EN7" s="18"/>
      <c r="EO7" s="18"/>
      <c r="EP7" s="18"/>
      <c r="EQ7" s="18"/>
      <c r="ER7" s="18"/>
      <c r="ES7" s="18"/>
      <c r="ET7" s="18"/>
      <c r="EU7" s="5"/>
      <c r="EV7" s="15">
        <f>IFERROR((s_TR/(up_RadSpec!G7*s_IFA_far_adj)),".")</f>
        <v>1.0971428571428573E-9</v>
      </c>
      <c r="EW7" s="15">
        <f>IFERROR((s_TR/(up_RadSpec!J7*s_EF_far*(1/365)*s_ED_far*s_ET_far*(1/24)*s_GSF_a)),".")</f>
        <v>1.7520000000000001E-6</v>
      </c>
      <c r="EX7" s="15">
        <f t="shared" si="48"/>
        <v>1.0964562309317064E-9</v>
      </c>
      <c r="EY7" s="40">
        <f t="shared" si="46"/>
        <v>911.45833333333326</v>
      </c>
      <c r="EZ7" s="40">
        <f t="shared" si="47"/>
        <v>0.57077625570776247</v>
      </c>
      <c r="FA7" s="122"/>
      <c r="FB7" s="122"/>
      <c r="FC7" s="122"/>
    </row>
    <row r="8" spans="1:159" customFormat="1" x14ac:dyDescent="0.25">
      <c r="A8" s="44" t="s">
        <v>18</v>
      </c>
      <c r="B8" s="42" t="s">
        <v>1074</v>
      </c>
      <c r="C8" s="15">
        <f>up_dir!AB8</f>
        <v>1.8181818181818181E-11</v>
      </c>
      <c r="D8" s="15">
        <f>IFERROR(s_TR/(up_RadSpec!E8*s_IFP_far_adj*s_CF_far_poultry),".")</f>
        <v>7.2727272727272723E-11</v>
      </c>
      <c r="E8" s="15">
        <f>IFERROR(s_TR/(up_RadSpec!E8*s_IFE_far_adj*s_CF_far_egg),".")</f>
        <v>7.2727272727272723E-11</v>
      </c>
      <c r="F8" s="15">
        <f>IFERROR(s_TR/(up_RadSpec!E8*s_IFB_far_adj*s_CF_far_beef),".")</f>
        <v>7.2727272727272723E-11</v>
      </c>
      <c r="G8" s="15">
        <f>IFERROR(s_TR/(up_RadSpec!E8*s_IFD_far_adj*s_CF_far_dairy),".")</f>
        <v>7.2727272727272723E-11</v>
      </c>
      <c r="H8" s="15">
        <f>IFERROR(s_TR/(up_RadSpec!E8*s_IFSW_far_adj*s_CF_far_swine),".")</f>
        <v>7.2727272727272723E-11</v>
      </c>
      <c r="I8" s="15">
        <f>IFERROR(s_TR/(up_RadSpec!E8*s_IFFI_far_adj*s_CF_far_fish),".")</f>
        <v>7.2727272727272723E-11</v>
      </c>
      <c r="J8" s="15">
        <f>IFERROR(s_TR/(up_RadSpec!E8*s_IFGO_far_adj*s_CF_far_goat),".")</f>
        <v>7.2727272727272723E-11</v>
      </c>
      <c r="K8" s="15">
        <f>IFERROR(s_TR/(up_RadSpec!E8*s_IFSH_far_adj*s_CF_far_sheep),".")</f>
        <v>7.2727272727272723E-11</v>
      </c>
      <c r="L8" s="15">
        <f>IFERROR(s_TR/(up_RadSpec!E8*s_IFGM_far_adj*s_CF_far_goat_milk),".")</f>
        <v>7.2727272727272723E-11</v>
      </c>
      <c r="M8" s="15">
        <f>IFERROR(s_TR/(up_RadSpec!E8*s_IFSM_far_adj*s_CF_far_sheep_milk),".")</f>
        <v>7.2727272727272723E-11</v>
      </c>
      <c r="N8" s="40">
        <f>up_dir!BA8</f>
        <v>55000</v>
      </c>
      <c r="O8" s="40">
        <f t="shared" si="0"/>
        <v>13750</v>
      </c>
      <c r="P8" s="40">
        <f t="shared" si="1"/>
        <v>13750</v>
      </c>
      <c r="Q8" s="40">
        <f t="shared" si="2"/>
        <v>13750</v>
      </c>
      <c r="R8" s="40">
        <f t="shared" si="3"/>
        <v>13750</v>
      </c>
      <c r="S8" s="40">
        <f t="shared" si="4"/>
        <v>13750</v>
      </c>
      <c r="T8" s="40">
        <f t="shared" si="5"/>
        <v>13750</v>
      </c>
      <c r="U8" s="40">
        <f t="shared" si="6"/>
        <v>13750</v>
      </c>
      <c r="V8" s="40">
        <f t="shared" si="7"/>
        <v>13750</v>
      </c>
      <c r="W8" s="40">
        <f t="shared" si="8"/>
        <v>13750</v>
      </c>
      <c r="X8" s="40">
        <f t="shared" si="9"/>
        <v>13750</v>
      </c>
      <c r="Y8" s="5"/>
      <c r="Z8" s="5"/>
      <c r="AA8" s="5"/>
      <c r="AB8" s="5"/>
      <c r="AC8" s="5"/>
      <c r="AD8" s="5"/>
      <c r="AE8" s="5"/>
      <c r="AF8" s="5"/>
      <c r="AG8" s="5"/>
      <c r="AH8" s="5"/>
      <c r="AI8" s="5"/>
      <c r="AJ8" s="45">
        <f>IFERROR((s_TR/(up_RadSpec!D8*s_IFS_far_adj*(1/1000)))*1,".")</f>
        <v>3.6363636363636363E-8</v>
      </c>
      <c r="AK8" s="45">
        <f>IFERROR(IF(A8="H-3",(s_TR/(up_RadSpec!G8*s_IFA_far_adj*(1/17)*1000))*1,(s_TR/(up_RadSpec!G8*s_IFA_far_adj*(1/s_PEF_wind)*1000))*1),".")</f>
        <v>3.3989909629864073E-4</v>
      </c>
      <c r="AL8" s="45">
        <f>IFERROR((s_TR/(up_RadSpec!F8*s_EF_far*(1/365)*s_ED_far*up_RadSpec!Q8*((s_ET_far_o*(1/24)*up_RadSpec!V8)+(s_ET_far_i*(1/24)*up_RadSpec!AA8))))*1,".")</f>
        <v>2.4198895027624325E-5</v>
      </c>
      <c r="AM8" s="45">
        <f>up_b2s!BA8</f>
        <v>3.6265718922545492E-12</v>
      </c>
      <c r="AN8" s="45">
        <f>IFERROR(((I8*up_RadSpec!AS8)/up_RadSpec!AI8)*1,".")</f>
        <v>7.2727272727272723E-11</v>
      </c>
      <c r="AO8" s="45">
        <f>IFERROR((F8/(up_RadSpec!AH8*((s_Q_p_beef*s_f_p_beef*s_f_s_beef*(up_RadSpec!BB8+s_R_es_past))+(s_Q_s_beef*s_f_p_beef))))*1,".")</f>
        <v>2.0414673046251994E-14</v>
      </c>
      <c r="AP8" s="45">
        <f>IFERROR(((G8*s_D_milk)/(up_RadSpec!AG8*((s_Q_p_dairy*s_f_p_dairy*s_f_s_dairy*(up_RadSpec!BB8+s_R_es_past))+(s_Q_s_dairy*s_f_p_dairy))))*1,".")</f>
        <v>2.102711323763955E-14</v>
      </c>
      <c r="AQ8" s="45">
        <f>IFERROR((H8/(up_RadSpec!AL8*((s_Q_p_swine*s_f_p_swine*s_f_s_swine*(up_RadSpec!BB8+s_R_es_past))+(s_Q_s_swine*s_f_p_swine))))*1,".")</f>
        <v>2.0414673046251994E-14</v>
      </c>
      <c r="AR8" s="45">
        <f>IFERROR((D8/(up_RadSpec!AJ8*((s_Q_p_poultry*s_f_p_poultry*s_f_s_poultry*(up_RadSpec!BB8+s_R_es_past))+(s_Q_s_poultry*s_f_p_poultry))))*1,".")</f>
        <v>2.0414673046251994E-14</v>
      </c>
      <c r="AS8" s="45">
        <f>IFERROR((E8/(up_RadSpec!AK8*((s_Q_p_poultry*s_f_p_poultry*s_f_s_poultry*(up_RadSpec!BB8+s_R_es_past))+(s_Q_s_poultry*s_f_p_poultry))))*1,".")</f>
        <v>2.0414673046251994E-14</v>
      </c>
      <c r="AT8" s="45">
        <f>IFERROR((J8/(up_RadSpec!AO8*((s_Q_p_goat*s_f_p_goat*s_f_s_goat*(up_RadSpec!BB8+s_R_es_past))+(s_Q_s_goat*s_f_p_goat))))*1,".")</f>
        <v>2.0414673046251994E-14</v>
      </c>
      <c r="AU8" s="45">
        <f>IFERROR((L8*s_D_milk/(up_RadSpec!AP8*((s_Q_p_goat_milk*s_f_p_goat_milk*s_f_s_goat_milk*(up_RadSpec!BB8+s_R_es_past))+(s_Q_s_goat_milk*s_f_p_goat_milk))))*1,".")</f>
        <v>2.102711323763955E-14</v>
      </c>
      <c r="AV8" s="45">
        <f>IFERROR((K8/(up_RadSpec!AM8*((s_Q_p_sheep*s_f_p_sheep*s_f_s_sheep*(up_RadSpec!BB8+s_R_es_past))+(s_Q_s_sheep*s_f_p_sheep))))*1,".")</f>
        <v>2.0414673046251994E-14</v>
      </c>
      <c r="AW8" s="45">
        <f>IFERROR((M8*s_D_milk/(up_RadSpec!AN8*((s_Q_p_sheep_milk*s_f_p_sheep_milk*s_f_s_sheep_milk*(up_RadSpec!BB8+s_R_es_past))+(s_Q_s_sheep_milk*s_f_p_sheep_milk))))*1,".")</f>
        <v>2.102711323763955E-14</v>
      </c>
      <c r="AX8" s="120">
        <f t="shared" si="10"/>
        <v>27500000</v>
      </c>
      <c r="AY8" s="120">
        <f t="shared" si="11"/>
        <v>2942.0495991003877</v>
      </c>
      <c r="AZ8" s="120">
        <f t="shared" si="12"/>
        <v>41324.200913241984</v>
      </c>
      <c r="BA8" s="120">
        <f t="shared" si="13"/>
        <v>275742500000</v>
      </c>
      <c r="BB8" s="120">
        <f t="shared" si="14"/>
        <v>13750000000</v>
      </c>
      <c r="BC8" s="120">
        <f t="shared" si="15"/>
        <v>48984375000000</v>
      </c>
      <c r="BD8" s="120">
        <f t="shared" si="16"/>
        <v>47557645631067.969</v>
      </c>
      <c r="BE8" s="120">
        <f t="shared" si="17"/>
        <v>48984375000000</v>
      </c>
      <c r="BF8" s="120">
        <f t="shared" si="18"/>
        <v>48984375000000</v>
      </c>
      <c r="BG8" s="120">
        <f t="shared" si="19"/>
        <v>48984375000000</v>
      </c>
      <c r="BH8" s="120">
        <f t="shared" si="20"/>
        <v>48984375000000</v>
      </c>
      <c r="BI8" s="120">
        <f t="shared" si="21"/>
        <v>47557645631067.969</v>
      </c>
      <c r="BJ8" s="120">
        <f t="shared" si="22"/>
        <v>48984375000000</v>
      </c>
      <c r="BK8" s="120">
        <f t="shared" si="23"/>
        <v>47557645631067.969</v>
      </c>
      <c r="BL8" s="15">
        <f t="shared" si="24"/>
        <v>2.2890172358880621E-15</v>
      </c>
      <c r="BM8" s="40">
        <f t="shared" si="25"/>
        <v>27.5</v>
      </c>
      <c r="BN8" s="40">
        <f t="shared" si="26"/>
        <v>2.9420495991003873E-3</v>
      </c>
      <c r="BO8" s="40">
        <f>IFERROR((s_C*s_EF_far*(1/365)*s_ED_far*up_RadSpec!Q8*((s_ET_far_o*(1/24)*up_RadSpec!V8)+(s_ET_far_i*(1/24)*up_RadSpec!AA8))),".")</f>
        <v>4.132420091324198E-2</v>
      </c>
      <c r="BP8" s="40">
        <f>up_b2s!BZ8</f>
        <v>275742.5</v>
      </c>
      <c r="BQ8" s="40">
        <f>IFERROR(((s_C*up_RadSpec!AI8)/up_RadSpec!AS8)*s_IFFI_far_adj*s_CF_far_fish,0)</f>
        <v>13750</v>
      </c>
      <c r="BR8" s="40">
        <f>(s_C*s_IFB_far_adj*s_CF_far_beef*up_RadSpec!AH8*((s_Q_p_beef*s_f_p_beef*s_f_s_beef*(up_RadSpec!$AR8+s_R_es_past))+(s_Q_s_beef*s_f_p_beef)))</f>
        <v>48984375</v>
      </c>
      <c r="BS8" s="40">
        <f>(s_C*s_IFD_far_adj*s_CF_far_dairy*up_RadSpec!AG8*1/s_D_milk*((s_Q_p_dairy*s_f_p_dairy*s_f_s_dairy*(up_RadSpec!$AR8+s_R_es_past))+(s_Q_s_dairy*s_f_p_dairy)))</f>
        <v>47557645.631067954</v>
      </c>
      <c r="BT8" s="40">
        <f>(s_C*s_IFSW_far_adj*s_CF_far_swine*up_RadSpec!AL8*((s_Q_p_swine*s_f_p_swine*s_f_s_swine*(up_RadSpec!$AR8+s_R_es_past))+(s_Q_s_swine*s_f_p_swine)))</f>
        <v>48984375</v>
      </c>
      <c r="BU8" s="40">
        <f>(s_C*s_IFP_far_adj*s_CF_far_poultry*up_RadSpec!AJ8*((s_Q_p_poultry*s_f_p_poultry*s_f_s_poultry*(up_RadSpec!AR8+s_R_es_past))+(s_Q_s_poultry*s_f_p_poultry)))</f>
        <v>48984375</v>
      </c>
      <c r="BV8" s="40">
        <f>(s_C*s_IFE_far_adj*s_CF_far_egg*up_RadSpec!AK8*((s_Q_p_egg*s_f_p_egg*s_f_s_egg*(up_RadSpec!$AR8+s_R_es_past))+(s_Q_s_egg*s_f_p_egg)))</f>
        <v>48984375</v>
      </c>
      <c r="BW8" s="40">
        <f>(s_C*s_IFGO_far_adj*s_CF_far_goat*up_RadSpec!AO8*((s_Q_p_goat*s_f_p_goat*s_f_s_goat*(up_RadSpec!$AR8+s_R_es_past))+(s_Q_s_goat*s_f_p_goat)))</f>
        <v>48984375</v>
      </c>
      <c r="BX8" s="40">
        <f>(s_C*s_IFGM_far_adj*s_CF_far_goat_milk*up_RadSpec!AP8*1/s_D_milk*((s_Q_p_goat_milk*s_f_p_goat_milk*s_f_s_goat_milk*(up_RadSpec!$AR8+s_R_es_past))+(s_Q_s_goat_milk*s_f_p_goat_milk)))</f>
        <v>47557645.631067954</v>
      </c>
      <c r="BY8" s="40">
        <f>(s_C*s_IFSH_far_adj*s_CF_far_sheep*up_RadSpec!AM8*((s_Q_p_sheep*s_f_p_sheep*s_f_s_sheep*(up_RadSpec!$AR8+s_R_es_past))+(s_Q_s_sheep*s_f_p_sheep)))</f>
        <v>48984375</v>
      </c>
      <c r="BZ8" s="40">
        <f>(s_C*s_IFSM_far_adj*s_CF_far_sheep_milk*up_RadSpec!AN8*1/s_D_milk*((s_Q_p_sheep_milk*s_f_p_sheep_milk*s_f_s_sheep_milk*(up_RadSpec!$AR8+s_R_es_past))+(s_Q_s_sheep_milk*s_f_p_sheep_milk)))</f>
        <v>47557645.631067954</v>
      </c>
      <c r="CA8" s="45"/>
      <c r="CB8" s="45"/>
      <c r="CC8" s="45"/>
      <c r="CD8" s="45"/>
      <c r="CE8" s="45"/>
      <c r="CF8" s="45"/>
      <c r="CG8" s="45"/>
      <c r="CH8" s="45"/>
      <c r="CI8" s="45"/>
      <c r="CJ8" s="45"/>
      <c r="CK8" s="45"/>
      <c r="CL8" s="45"/>
      <c r="CM8" s="45"/>
      <c r="CN8" s="45"/>
      <c r="CO8" s="15"/>
      <c r="CP8" s="15">
        <f>IFERROR(s_TR/(up_RadSpec!H8*s_IFW_far_adj),".")</f>
        <v>3.9999999999999996E-10</v>
      </c>
      <c r="CQ8" s="15" t="str">
        <f>IFERROR(IF(up_RadSpec!C8=1,s_TR/(up_RadSpec!G8*s_IFA_far_adj*s_K),"."),".")</f>
        <v>.</v>
      </c>
      <c r="CR8" s="15">
        <f>IFERROR((s_TR/(up_RadSpec!L8*(1/8760)*s_DFA_far_adj)),".")</f>
        <v>4.3800000000000004E-6</v>
      </c>
      <c r="CS8" s="15">
        <f>up_b2w!BA8</f>
        <v>1.8087754064641833E-11</v>
      </c>
      <c r="CT8" s="15">
        <f>IFERROR(I8/(up_RadSpec!AI8*(1/1000)),".")</f>
        <v>1.4545454545454544E-8</v>
      </c>
      <c r="CU8" s="15">
        <f>IFERROR(F8/(up_RadSpec!AH8*s_Q_w_beef*(1/1000)),".")</f>
        <v>2.9090909090909087E-9</v>
      </c>
      <c r="CV8" s="15">
        <f>IFERROR((G8*s_D_milk)/(up_RadSpec!AG8*s_Q_w_dairy*(1/1000)),".")</f>
        <v>2.9963636363636357E-9</v>
      </c>
      <c r="CW8" s="15">
        <f>IFERROR(H8/(up_RadSpec!AL8*s_Q_w_swine*(1/1000)),".")</f>
        <v>2.9090909090909087E-9</v>
      </c>
      <c r="CX8" s="15">
        <f>IFERROR(D8/(up_RadSpec!AJ8*s_Q_w_poultry*(1/1000)),".")</f>
        <v>2.9090909090909087E-9</v>
      </c>
      <c r="CY8" s="15">
        <f>IFERROR(E8/(up_RadSpec!AK8*s_Q_w_poultry*(1/1000)),".")</f>
        <v>2.9090909090909087E-9</v>
      </c>
      <c r="CZ8" s="15">
        <f>IFERROR(J8/(up_RadSpec!AO8*s_Q_w_goat*(1/1000)),".")</f>
        <v>2.9090909090909087E-9</v>
      </c>
      <c r="DA8" s="15">
        <f>IFERROR(L8*s_D_milk/(up_RadSpec!AP8*s_Q_w_goat_milk*(1/1000)),".")</f>
        <v>2.9963636363636357E-9</v>
      </c>
      <c r="DB8" s="15">
        <f>IFERROR(K8/(up_RadSpec!AM8*s_Q_w_sheep*(1/1000)),".")</f>
        <v>2.9090909090909087E-9</v>
      </c>
      <c r="DC8" s="15">
        <f>IFERROR(M8*s_D_milk/(up_RadSpec!AN8*s_Q_w_sheep_milk*(1/1000)),".")</f>
        <v>2.9963636363636357E-9</v>
      </c>
      <c r="DD8" s="120">
        <f t="shared" si="27"/>
        <v>2500000000</v>
      </c>
      <c r="DE8" s="120" t="str">
        <f t="shared" si="28"/>
        <v>.</v>
      </c>
      <c r="DF8" s="120">
        <f t="shared" si="29"/>
        <v>228310.50228310502</v>
      </c>
      <c r="DG8" s="120">
        <f t="shared" si="30"/>
        <v>55286023705.663513</v>
      </c>
      <c r="DH8" s="120">
        <f t="shared" si="31"/>
        <v>68750000</v>
      </c>
      <c r="DI8" s="120">
        <f t="shared" si="32"/>
        <v>343750000.00000006</v>
      </c>
      <c r="DJ8" s="120">
        <f t="shared" si="33"/>
        <v>333737864.07766998</v>
      </c>
      <c r="DK8" s="120">
        <f t="shared" si="34"/>
        <v>343750000.00000006</v>
      </c>
      <c r="DL8" s="120">
        <f t="shared" si="35"/>
        <v>343750000.00000006</v>
      </c>
      <c r="DM8" s="120">
        <f t="shared" si="36"/>
        <v>343750000.00000006</v>
      </c>
      <c r="DN8" s="120">
        <f t="shared" si="37"/>
        <v>343750000.00000006</v>
      </c>
      <c r="DO8" s="120">
        <f t="shared" si="38"/>
        <v>333737864.07766998</v>
      </c>
      <c r="DP8" s="120">
        <f t="shared" si="39"/>
        <v>343750000.00000006</v>
      </c>
      <c r="DQ8" s="120">
        <f t="shared" si="40"/>
        <v>333737864.07766998</v>
      </c>
      <c r="DR8" s="15">
        <f t="shared" si="41"/>
        <v>1.6415316541278672E-11</v>
      </c>
      <c r="DS8" s="40">
        <f t="shared" si="42"/>
        <v>2500</v>
      </c>
      <c r="DT8" s="40">
        <f t="shared" si="43"/>
        <v>455.72916666666663</v>
      </c>
      <c r="DU8" s="40">
        <f t="shared" si="44"/>
        <v>0.22831050228310501</v>
      </c>
      <c r="DV8" s="40">
        <f>up_b2w!BZ8</f>
        <v>55286.023705663516</v>
      </c>
      <c r="DW8" s="40">
        <f>IFERROR(s_C*up_RadSpec!AI8*(1/1000)*s_IFFI_far_adj*s_CF_far_fish,0)</f>
        <v>68.75</v>
      </c>
      <c r="DX8" s="40">
        <f>(s_C*s_IFB_far_adj*s_CF_far_beef*up_RadSpec!AH8*s_Q_w_beef*(1/1000))</f>
        <v>343.75</v>
      </c>
      <c r="DY8" s="40">
        <f>(s_C*s_IFD_far_adj*s_CF_far_dairy*up_RadSpec!AG8*(1/s_D_milk)*s_Q_w_dairy*(1/1000))</f>
        <v>333.73786407766988</v>
      </c>
      <c r="DZ8" s="40">
        <f>(s_C*s_IFSW_far_adj*s_CF_far_swine*up_RadSpec!AL8*s_Q_w_swine*(1/1000))</f>
        <v>343.75</v>
      </c>
      <c r="EA8" s="40">
        <f>(s_C*s_IFP_far_adj*s_CF_far_poultry*up_RadSpec!AJ8*s_Q_w_poultry*(1/1000))</f>
        <v>343.75</v>
      </c>
      <c r="EB8" s="40">
        <f>(s_C*s_IFE_far_adj*s_CF_far_egg*up_RadSpec!AK8*s_Q_w_egg*(1/1000))</f>
        <v>343.75</v>
      </c>
      <c r="EC8" s="40">
        <f>(s_C*s_IFGO_far_adj*s_CF_far_goat*up_RadSpec!AO8*s_Q_p_goat*(1/1000))</f>
        <v>343.75</v>
      </c>
      <c r="ED8" s="40">
        <f>(s_C*s_IFGM_far_adj*s_CF_far_goat_milk*up_RadSpec!AP8*(1/s_D_milk)*s_Q_p_goat_milk*(1/1000))</f>
        <v>333.73786407766988</v>
      </c>
      <c r="EE8" s="40">
        <f>(s_C*s_IFSH_far_adj*s_CF_far_sheep*up_RadSpec!AM8*s_Q_p_sheep*(1/1000))</f>
        <v>343.75</v>
      </c>
      <c r="EF8" s="40">
        <f>(s_C*s_IFSM_far_adj*s_CF_far_sheep_milk*up_RadSpec!AN8*(1/s_D_milk)*s_Q_p_sheep_milk*(1/1000))</f>
        <v>333.73786407766988</v>
      </c>
      <c r="EG8" s="18"/>
      <c r="EH8" s="18"/>
      <c r="EI8" s="18"/>
      <c r="EJ8" s="18"/>
      <c r="EK8" s="18"/>
      <c r="EL8" s="18"/>
      <c r="EM8" s="18"/>
      <c r="EN8" s="18"/>
      <c r="EO8" s="18"/>
      <c r="EP8" s="18"/>
      <c r="EQ8" s="18"/>
      <c r="ER8" s="18"/>
      <c r="ES8" s="18"/>
      <c r="ET8" s="18"/>
      <c r="EU8" s="5"/>
      <c r="EV8" s="15">
        <f>IFERROR((s_TR/(up_RadSpec!G8*s_IFA_far_adj)),".")</f>
        <v>1.0971428571428573E-9</v>
      </c>
      <c r="EW8" s="15">
        <f>IFERROR((s_TR/(up_RadSpec!J8*s_EF_far*(1/365)*s_ED_far*s_ET_far*(1/24)*s_GSF_a)),".")</f>
        <v>1.7520000000000001E-6</v>
      </c>
      <c r="EX8" s="15">
        <f t="shared" si="48"/>
        <v>1.0964562309317064E-9</v>
      </c>
      <c r="EY8" s="40">
        <f t="shared" si="46"/>
        <v>911.45833333333326</v>
      </c>
      <c r="EZ8" s="40">
        <f t="shared" si="47"/>
        <v>0.57077625570776247</v>
      </c>
      <c r="FA8" s="122"/>
      <c r="FB8" s="122"/>
      <c r="FC8" s="122"/>
    </row>
    <row r="9" spans="1:159" customFormat="1" x14ac:dyDescent="0.25">
      <c r="A9" s="44" t="s">
        <v>19</v>
      </c>
      <c r="B9" s="42" t="s">
        <v>1074</v>
      </c>
      <c r="C9" s="15">
        <f>up_dir!AB9</f>
        <v>1.8181818181818181E-11</v>
      </c>
      <c r="D9" s="15">
        <f>IFERROR(s_TR/(up_RadSpec!E9*s_IFP_far_adj*s_CF_far_poultry),".")</f>
        <v>7.2727272727272723E-11</v>
      </c>
      <c r="E9" s="15">
        <f>IFERROR(s_TR/(up_RadSpec!E9*s_IFE_far_adj*s_CF_far_egg),".")</f>
        <v>7.2727272727272723E-11</v>
      </c>
      <c r="F9" s="15">
        <f>IFERROR(s_TR/(up_RadSpec!E9*s_IFB_far_adj*s_CF_far_beef),".")</f>
        <v>7.2727272727272723E-11</v>
      </c>
      <c r="G9" s="15">
        <f>IFERROR(s_TR/(up_RadSpec!E9*s_IFD_far_adj*s_CF_far_dairy),".")</f>
        <v>7.2727272727272723E-11</v>
      </c>
      <c r="H9" s="15">
        <f>IFERROR(s_TR/(up_RadSpec!E9*s_IFSW_far_adj*s_CF_far_swine),".")</f>
        <v>7.2727272727272723E-11</v>
      </c>
      <c r="I9" s="15">
        <f>IFERROR(s_TR/(up_RadSpec!E9*s_IFFI_far_adj*s_CF_far_fish),".")</f>
        <v>7.2727272727272723E-11</v>
      </c>
      <c r="J9" s="15">
        <f>IFERROR(s_TR/(up_RadSpec!E9*s_IFGO_far_adj*s_CF_far_goat),".")</f>
        <v>7.2727272727272723E-11</v>
      </c>
      <c r="K9" s="15">
        <f>IFERROR(s_TR/(up_RadSpec!E9*s_IFSH_far_adj*s_CF_far_sheep),".")</f>
        <v>7.2727272727272723E-11</v>
      </c>
      <c r="L9" s="15">
        <f>IFERROR(s_TR/(up_RadSpec!E9*s_IFGM_far_adj*s_CF_far_goat_milk),".")</f>
        <v>7.2727272727272723E-11</v>
      </c>
      <c r="M9" s="15">
        <f>IFERROR(s_TR/(up_RadSpec!E9*s_IFSM_far_adj*s_CF_far_sheep_milk),".")</f>
        <v>7.2727272727272723E-11</v>
      </c>
      <c r="N9" s="40">
        <f>up_dir!BA9</f>
        <v>55000</v>
      </c>
      <c r="O9" s="40">
        <f t="shared" si="0"/>
        <v>13750</v>
      </c>
      <c r="P9" s="40">
        <f t="shared" si="1"/>
        <v>13750</v>
      </c>
      <c r="Q9" s="40">
        <f t="shared" si="2"/>
        <v>13750</v>
      </c>
      <c r="R9" s="40">
        <f t="shared" si="3"/>
        <v>13750</v>
      </c>
      <c r="S9" s="40">
        <f t="shared" si="4"/>
        <v>13750</v>
      </c>
      <c r="T9" s="40">
        <f t="shared" si="5"/>
        <v>13750</v>
      </c>
      <c r="U9" s="40">
        <f t="shared" si="6"/>
        <v>13750</v>
      </c>
      <c r="V9" s="40">
        <f t="shared" si="7"/>
        <v>13750</v>
      </c>
      <c r="W9" s="40">
        <f t="shared" si="8"/>
        <v>13750</v>
      </c>
      <c r="X9" s="40">
        <f t="shared" si="9"/>
        <v>13750</v>
      </c>
      <c r="Y9" s="5"/>
      <c r="Z9" s="5"/>
      <c r="AA9" s="5"/>
      <c r="AB9" s="5"/>
      <c r="AC9" s="5"/>
      <c r="AD9" s="5"/>
      <c r="AE9" s="5"/>
      <c r="AF9" s="5"/>
      <c r="AG9" s="5"/>
      <c r="AH9" s="5"/>
      <c r="AI9" s="5"/>
      <c r="AJ9" s="45">
        <f>IFERROR((s_TR/(up_RadSpec!D9*s_IFS_far_adj*(1/1000)))*1,".")</f>
        <v>3.6363636363636363E-8</v>
      </c>
      <c r="AK9" s="45">
        <f>IFERROR(IF(A9="H-3",(s_TR/(up_RadSpec!G9*s_IFA_far_adj*(1/17)*1000))*1,(s_TR/(up_RadSpec!G9*s_IFA_far_adj*(1/s_PEF_wind)*1000))*1),".")</f>
        <v>3.3989909629864073E-4</v>
      </c>
      <c r="AL9" s="45">
        <f>IFERROR((s_TR/(up_RadSpec!F9*s_EF_far*(1/365)*s_ED_far*up_RadSpec!Q9*((s_ET_far_o*(1/24)*up_RadSpec!V9)+(s_ET_far_i*(1/24)*up_RadSpec!AA9))))*1,".")</f>
        <v>1.1917666431427897E-5</v>
      </c>
      <c r="AM9" s="45">
        <f>up_b2s!BA9</f>
        <v>3.6265718922545492E-12</v>
      </c>
      <c r="AN9" s="45">
        <f>IFERROR(((I9*up_RadSpec!AS9)/up_RadSpec!AI9)*1,".")</f>
        <v>7.2727272727272723E-11</v>
      </c>
      <c r="AO9" s="45">
        <f>IFERROR((F9/(up_RadSpec!AH9*((s_Q_p_beef*s_f_p_beef*s_f_s_beef*(up_RadSpec!BB9+s_R_es_past))+(s_Q_s_beef*s_f_p_beef))))*1,".")</f>
        <v>2.0414673046251994E-14</v>
      </c>
      <c r="AP9" s="45">
        <f>IFERROR(((G9*s_D_milk)/(up_RadSpec!AG9*((s_Q_p_dairy*s_f_p_dairy*s_f_s_dairy*(up_RadSpec!BB9+s_R_es_past))+(s_Q_s_dairy*s_f_p_dairy))))*1,".")</f>
        <v>2.102711323763955E-14</v>
      </c>
      <c r="AQ9" s="45">
        <f>IFERROR((H9/(up_RadSpec!AL9*((s_Q_p_swine*s_f_p_swine*s_f_s_swine*(up_RadSpec!BB9+s_R_es_past))+(s_Q_s_swine*s_f_p_swine))))*1,".")</f>
        <v>2.0414673046251994E-14</v>
      </c>
      <c r="AR9" s="45">
        <f>IFERROR((D9/(up_RadSpec!AJ9*((s_Q_p_poultry*s_f_p_poultry*s_f_s_poultry*(up_RadSpec!BB9+s_R_es_past))+(s_Q_s_poultry*s_f_p_poultry))))*1,".")</f>
        <v>2.0414673046251994E-14</v>
      </c>
      <c r="AS9" s="45">
        <f>IFERROR((E9/(up_RadSpec!AK9*((s_Q_p_poultry*s_f_p_poultry*s_f_s_poultry*(up_RadSpec!BB9+s_R_es_past))+(s_Q_s_poultry*s_f_p_poultry))))*1,".")</f>
        <v>2.0414673046251994E-14</v>
      </c>
      <c r="AT9" s="45">
        <f>IFERROR((J9/(up_RadSpec!AO9*((s_Q_p_goat*s_f_p_goat*s_f_s_goat*(up_RadSpec!BB9+s_R_es_past))+(s_Q_s_goat*s_f_p_goat))))*1,".")</f>
        <v>2.0414673046251994E-14</v>
      </c>
      <c r="AU9" s="45">
        <f>IFERROR((L9*s_D_milk/(up_RadSpec!AP9*((s_Q_p_goat_milk*s_f_p_goat_milk*s_f_s_goat_milk*(up_RadSpec!BB9+s_R_es_past))+(s_Q_s_goat_milk*s_f_p_goat_milk))))*1,".")</f>
        <v>2.102711323763955E-14</v>
      </c>
      <c r="AV9" s="45">
        <f>IFERROR((K9/(up_RadSpec!AM9*((s_Q_p_sheep*s_f_p_sheep*s_f_s_sheep*(up_RadSpec!BB9+s_R_es_past))+(s_Q_s_sheep*s_f_p_sheep))))*1,".")</f>
        <v>2.0414673046251994E-14</v>
      </c>
      <c r="AW9" s="45">
        <f>IFERROR((M9*s_D_milk/(up_RadSpec!AN9*((s_Q_p_sheep_milk*s_f_p_sheep_milk*s_f_s_sheep_milk*(up_RadSpec!BB9+s_R_es_past))+(s_Q_s_sheep_milk*s_f_p_sheep_milk))))*1,".")</f>
        <v>2.102711323763955E-14</v>
      </c>
      <c r="AX9" s="120">
        <f t="shared" si="10"/>
        <v>27500000</v>
      </c>
      <c r="AY9" s="120">
        <f t="shared" si="11"/>
        <v>2942.0495991003877</v>
      </c>
      <c r="AZ9" s="120">
        <f t="shared" si="12"/>
        <v>83909.044254076056</v>
      </c>
      <c r="BA9" s="120">
        <f t="shared" si="13"/>
        <v>275742500000</v>
      </c>
      <c r="BB9" s="120">
        <f t="shared" si="14"/>
        <v>13750000000</v>
      </c>
      <c r="BC9" s="120">
        <f t="shared" si="15"/>
        <v>48984375000000</v>
      </c>
      <c r="BD9" s="120">
        <f t="shared" si="16"/>
        <v>47557645631067.969</v>
      </c>
      <c r="BE9" s="120">
        <f t="shared" si="17"/>
        <v>48984375000000</v>
      </c>
      <c r="BF9" s="120">
        <f t="shared" si="18"/>
        <v>48984375000000</v>
      </c>
      <c r="BG9" s="120">
        <f t="shared" si="19"/>
        <v>48984375000000</v>
      </c>
      <c r="BH9" s="120">
        <f t="shared" si="20"/>
        <v>48984375000000</v>
      </c>
      <c r="BI9" s="120">
        <f t="shared" si="21"/>
        <v>47557645631067.969</v>
      </c>
      <c r="BJ9" s="120">
        <f t="shared" si="22"/>
        <v>48984375000000</v>
      </c>
      <c r="BK9" s="120">
        <f t="shared" si="23"/>
        <v>47557645631067.969</v>
      </c>
      <c r="BL9" s="15">
        <f t="shared" si="24"/>
        <v>2.2890172356649352E-15</v>
      </c>
      <c r="BM9" s="40">
        <f t="shared" si="25"/>
        <v>27.5</v>
      </c>
      <c r="BN9" s="40">
        <f t="shared" si="26"/>
        <v>2.9420495991003873E-3</v>
      </c>
      <c r="BO9" s="40">
        <f>IFERROR((s_C*s_EF_far*(1/365)*s_ED_far*up_RadSpec!Q9*((s_ET_far_o*(1/24)*up_RadSpec!V9)+(s_ET_far_i*(1/24)*up_RadSpec!AA9))),".")</f>
        <v>8.3909044254076054E-2</v>
      </c>
      <c r="BP9" s="40">
        <f>up_b2s!BZ9</f>
        <v>275742.5</v>
      </c>
      <c r="BQ9" s="40">
        <f>IFERROR(((s_C*up_RadSpec!AI9)/up_RadSpec!AS9)*s_IFFI_far_adj*s_CF_far_fish,0)</f>
        <v>13750</v>
      </c>
      <c r="BR9" s="40">
        <f>(s_C*s_IFB_far_adj*s_CF_far_beef*up_RadSpec!AH9*((s_Q_p_beef*s_f_p_beef*s_f_s_beef*(up_RadSpec!$AR9+s_R_es_past))+(s_Q_s_beef*s_f_p_beef)))</f>
        <v>48984375</v>
      </c>
      <c r="BS9" s="40">
        <f>(s_C*s_IFD_far_adj*s_CF_far_dairy*up_RadSpec!AG9*1/s_D_milk*((s_Q_p_dairy*s_f_p_dairy*s_f_s_dairy*(up_RadSpec!$AR9+s_R_es_past))+(s_Q_s_dairy*s_f_p_dairy)))</f>
        <v>47557645.631067954</v>
      </c>
      <c r="BT9" s="40">
        <f>(s_C*s_IFSW_far_adj*s_CF_far_swine*up_RadSpec!AL9*((s_Q_p_swine*s_f_p_swine*s_f_s_swine*(up_RadSpec!$AR9+s_R_es_past))+(s_Q_s_swine*s_f_p_swine)))</f>
        <v>48984375</v>
      </c>
      <c r="BU9" s="40">
        <f>(s_C*s_IFP_far_adj*s_CF_far_poultry*up_RadSpec!AJ9*((s_Q_p_poultry*s_f_p_poultry*s_f_s_poultry*(up_RadSpec!AR9+s_R_es_past))+(s_Q_s_poultry*s_f_p_poultry)))</f>
        <v>48984375</v>
      </c>
      <c r="BV9" s="40">
        <f>(s_C*s_IFE_far_adj*s_CF_far_egg*up_RadSpec!AK9*((s_Q_p_egg*s_f_p_egg*s_f_s_egg*(up_RadSpec!$AR9+s_R_es_past))+(s_Q_s_egg*s_f_p_egg)))</f>
        <v>48984375</v>
      </c>
      <c r="BW9" s="40">
        <f>(s_C*s_IFGO_far_adj*s_CF_far_goat*up_RadSpec!AO9*((s_Q_p_goat*s_f_p_goat*s_f_s_goat*(up_RadSpec!$AR9+s_R_es_past))+(s_Q_s_goat*s_f_p_goat)))</f>
        <v>48984375</v>
      </c>
      <c r="BX9" s="40">
        <f>(s_C*s_IFGM_far_adj*s_CF_far_goat_milk*up_RadSpec!AP9*1/s_D_milk*((s_Q_p_goat_milk*s_f_p_goat_milk*s_f_s_goat_milk*(up_RadSpec!$AR9+s_R_es_past))+(s_Q_s_goat_milk*s_f_p_goat_milk)))</f>
        <v>47557645.631067954</v>
      </c>
      <c r="BY9" s="40">
        <f>(s_C*s_IFSH_far_adj*s_CF_far_sheep*up_RadSpec!AM9*((s_Q_p_sheep*s_f_p_sheep*s_f_s_sheep*(up_RadSpec!$AR9+s_R_es_past))+(s_Q_s_sheep*s_f_p_sheep)))</f>
        <v>48984375</v>
      </c>
      <c r="BZ9" s="40">
        <f>(s_C*s_IFSM_far_adj*s_CF_far_sheep_milk*up_RadSpec!AN9*1/s_D_milk*((s_Q_p_sheep_milk*s_f_p_sheep_milk*s_f_s_sheep_milk*(up_RadSpec!$AR9+s_R_es_past))+(s_Q_s_sheep_milk*s_f_p_sheep_milk)))</f>
        <v>47557645.631067954</v>
      </c>
      <c r="CA9" s="45"/>
      <c r="CB9" s="45"/>
      <c r="CC9" s="45"/>
      <c r="CD9" s="45"/>
      <c r="CE9" s="45"/>
      <c r="CF9" s="45"/>
      <c r="CG9" s="45"/>
      <c r="CH9" s="45"/>
      <c r="CI9" s="45"/>
      <c r="CJ9" s="45"/>
      <c r="CK9" s="45"/>
      <c r="CL9" s="45"/>
      <c r="CM9" s="45"/>
      <c r="CN9" s="45"/>
      <c r="CO9" s="15"/>
      <c r="CP9" s="15">
        <f>IFERROR(s_TR/(up_RadSpec!H9*s_IFW_far_adj),".")</f>
        <v>3.9999999999999996E-10</v>
      </c>
      <c r="CQ9" s="15" t="str">
        <f>IFERROR(IF(up_RadSpec!C9=1,s_TR/(up_RadSpec!G9*s_IFA_far_adj*s_K),"."),".")</f>
        <v>.</v>
      </c>
      <c r="CR9" s="15">
        <f>IFERROR((s_TR/(up_RadSpec!L9*(1/8760)*s_DFA_far_adj)),".")</f>
        <v>4.3800000000000004E-6</v>
      </c>
      <c r="CS9" s="15">
        <f>up_b2w!BA9</f>
        <v>1.8087754064641833E-11</v>
      </c>
      <c r="CT9" s="15">
        <f>IFERROR(I9/(up_RadSpec!AI9*(1/1000)),".")</f>
        <v>1.4545454545454544E-8</v>
      </c>
      <c r="CU9" s="15">
        <f>IFERROR(F9/(up_RadSpec!AH9*s_Q_w_beef*(1/1000)),".")</f>
        <v>2.9090909090909087E-9</v>
      </c>
      <c r="CV9" s="15">
        <f>IFERROR((G9*s_D_milk)/(up_RadSpec!AG9*s_Q_w_dairy*(1/1000)),".")</f>
        <v>2.9963636363636357E-9</v>
      </c>
      <c r="CW9" s="15">
        <f>IFERROR(H9/(up_RadSpec!AL9*s_Q_w_swine*(1/1000)),".")</f>
        <v>2.9090909090909087E-9</v>
      </c>
      <c r="CX9" s="15">
        <f>IFERROR(D9/(up_RadSpec!AJ9*s_Q_w_poultry*(1/1000)),".")</f>
        <v>2.9090909090909087E-9</v>
      </c>
      <c r="CY9" s="15">
        <f>IFERROR(E9/(up_RadSpec!AK9*s_Q_w_poultry*(1/1000)),".")</f>
        <v>2.9090909090909087E-9</v>
      </c>
      <c r="CZ9" s="15">
        <f>IFERROR(J9/(up_RadSpec!AO9*s_Q_w_goat*(1/1000)),".")</f>
        <v>2.9090909090909087E-9</v>
      </c>
      <c r="DA9" s="15">
        <f>IFERROR(L9*s_D_milk/(up_RadSpec!AP9*s_Q_w_goat_milk*(1/1000)),".")</f>
        <v>2.9963636363636357E-9</v>
      </c>
      <c r="DB9" s="15">
        <f>IFERROR(K9/(up_RadSpec!AM9*s_Q_w_sheep*(1/1000)),".")</f>
        <v>2.9090909090909087E-9</v>
      </c>
      <c r="DC9" s="15">
        <f>IFERROR(M9*s_D_milk/(up_RadSpec!AN9*s_Q_w_sheep_milk*(1/1000)),".")</f>
        <v>2.9963636363636357E-9</v>
      </c>
      <c r="DD9" s="120">
        <f t="shared" si="27"/>
        <v>2500000000</v>
      </c>
      <c r="DE9" s="120" t="str">
        <f t="shared" si="28"/>
        <v>.</v>
      </c>
      <c r="DF9" s="120">
        <f t="shared" si="29"/>
        <v>228310.50228310502</v>
      </c>
      <c r="DG9" s="120">
        <f t="shared" si="30"/>
        <v>55286023705.663513</v>
      </c>
      <c r="DH9" s="120">
        <f t="shared" si="31"/>
        <v>68750000</v>
      </c>
      <c r="DI9" s="120">
        <f t="shared" si="32"/>
        <v>343750000.00000006</v>
      </c>
      <c r="DJ9" s="120">
        <f t="shared" si="33"/>
        <v>333737864.07766998</v>
      </c>
      <c r="DK9" s="120">
        <f t="shared" si="34"/>
        <v>343750000.00000006</v>
      </c>
      <c r="DL9" s="120">
        <f t="shared" si="35"/>
        <v>343750000.00000006</v>
      </c>
      <c r="DM9" s="120">
        <f t="shared" si="36"/>
        <v>343750000.00000006</v>
      </c>
      <c r="DN9" s="120">
        <f t="shared" si="37"/>
        <v>343750000.00000006</v>
      </c>
      <c r="DO9" s="120">
        <f t="shared" si="38"/>
        <v>333737864.07766998</v>
      </c>
      <c r="DP9" s="120">
        <f t="shared" si="39"/>
        <v>343750000.00000006</v>
      </c>
      <c r="DQ9" s="120">
        <f t="shared" si="40"/>
        <v>333737864.07766998</v>
      </c>
      <c r="DR9" s="15">
        <f t="shared" si="41"/>
        <v>1.6415316541278672E-11</v>
      </c>
      <c r="DS9" s="40">
        <f t="shared" si="42"/>
        <v>2500</v>
      </c>
      <c r="DT9" s="40">
        <f t="shared" si="43"/>
        <v>455.72916666666663</v>
      </c>
      <c r="DU9" s="40">
        <f t="shared" si="44"/>
        <v>0.22831050228310501</v>
      </c>
      <c r="DV9" s="40">
        <f>up_b2w!BZ9</f>
        <v>55286.023705663516</v>
      </c>
      <c r="DW9" s="40">
        <f>IFERROR(s_C*up_RadSpec!AI9*(1/1000)*s_IFFI_far_adj*s_CF_far_fish,0)</f>
        <v>68.75</v>
      </c>
      <c r="DX9" s="40">
        <f>(s_C*s_IFB_far_adj*s_CF_far_beef*up_RadSpec!AH9*s_Q_w_beef*(1/1000))</f>
        <v>343.75</v>
      </c>
      <c r="DY9" s="40">
        <f>(s_C*s_IFD_far_adj*s_CF_far_dairy*up_RadSpec!AG9*(1/s_D_milk)*s_Q_w_dairy*(1/1000))</f>
        <v>333.73786407766988</v>
      </c>
      <c r="DZ9" s="40">
        <f>(s_C*s_IFSW_far_adj*s_CF_far_swine*up_RadSpec!AL9*s_Q_w_swine*(1/1000))</f>
        <v>343.75</v>
      </c>
      <c r="EA9" s="40">
        <f>(s_C*s_IFP_far_adj*s_CF_far_poultry*up_RadSpec!AJ9*s_Q_w_poultry*(1/1000))</f>
        <v>343.75</v>
      </c>
      <c r="EB9" s="40">
        <f>(s_C*s_IFE_far_adj*s_CF_far_egg*up_RadSpec!AK9*s_Q_w_egg*(1/1000))</f>
        <v>343.75</v>
      </c>
      <c r="EC9" s="40">
        <f>(s_C*s_IFGO_far_adj*s_CF_far_goat*up_RadSpec!AO9*s_Q_p_goat*(1/1000))</f>
        <v>343.75</v>
      </c>
      <c r="ED9" s="40">
        <f>(s_C*s_IFGM_far_adj*s_CF_far_goat_milk*up_RadSpec!AP9*(1/s_D_milk)*s_Q_p_goat_milk*(1/1000))</f>
        <v>333.73786407766988</v>
      </c>
      <c r="EE9" s="40">
        <f>(s_C*s_IFSH_far_adj*s_CF_far_sheep*up_RadSpec!AM9*s_Q_p_sheep*(1/1000))</f>
        <v>343.75</v>
      </c>
      <c r="EF9" s="40">
        <f>(s_C*s_IFSM_far_adj*s_CF_far_sheep_milk*up_RadSpec!AN9*(1/s_D_milk)*s_Q_p_sheep_milk*(1/1000))</f>
        <v>333.73786407766988</v>
      </c>
      <c r="EG9" s="18"/>
      <c r="EH9" s="18"/>
      <c r="EI9" s="18"/>
      <c r="EJ9" s="18"/>
      <c r="EK9" s="18"/>
      <c r="EL9" s="18"/>
      <c r="EM9" s="18"/>
      <c r="EN9" s="18"/>
      <c r="EO9" s="18"/>
      <c r="EP9" s="18"/>
      <c r="EQ9" s="18"/>
      <c r="ER9" s="18"/>
      <c r="ES9" s="18"/>
      <c r="ET9" s="18"/>
      <c r="EU9" s="5"/>
      <c r="EV9" s="15">
        <f>IFERROR((s_TR/(up_RadSpec!G9*s_IFA_far_adj)),".")</f>
        <v>1.0971428571428573E-9</v>
      </c>
      <c r="EW9" s="15">
        <f>IFERROR((s_TR/(up_RadSpec!J9*s_EF_far*(1/365)*s_ED_far*s_ET_far*(1/24)*s_GSF_a)),".")</f>
        <v>1.7520000000000001E-6</v>
      </c>
      <c r="EX9" s="15">
        <f t="shared" si="48"/>
        <v>1.0964562309317064E-9</v>
      </c>
      <c r="EY9" s="40">
        <f t="shared" si="46"/>
        <v>911.45833333333326</v>
      </c>
      <c r="EZ9" s="40">
        <f t="shared" si="47"/>
        <v>0.57077625570776247</v>
      </c>
      <c r="FA9" s="122"/>
      <c r="FB9" s="122"/>
      <c r="FC9" s="122"/>
    </row>
    <row r="10" spans="1:159" customFormat="1" x14ac:dyDescent="0.25">
      <c r="A10" s="46" t="s">
        <v>20</v>
      </c>
      <c r="B10" s="42" t="s">
        <v>351</v>
      </c>
      <c r="C10" s="15">
        <f>up_dir!AB10</f>
        <v>1.8181818181818181E-11</v>
      </c>
      <c r="D10" s="15">
        <f>IFERROR(s_TR/(up_RadSpec!E10*s_IFP_far_adj*s_CF_far_poultry),".")</f>
        <v>7.2727272727272723E-11</v>
      </c>
      <c r="E10" s="15">
        <f>IFERROR(s_TR/(up_RadSpec!E10*s_IFE_far_adj*s_CF_far_egg),".")</f>
        <v>7.2727272727272723E-11</v>
      </c>
      <c r="F10" s="15">
        <f>IFERROR(s_TR/(up_RadSpec!E10*s_IFB_far_adj*s_CF_far_beef),".")</f>
        <v>7.2727272727272723E-11</v>
      </c>
      <c r="G10" s="15">
        <f>IFERROR(s_TR/(up_RadSpec!E10*s_IFD_far_adj*s_CF_far_dairy),".")</f>
        <v>7.2727272727272723E-11</v>
      </c>
      <c r="H10" s="15">
        <f>IFERROR(s_TR/(up_RadSpec!E10*s_IFSW_far_adj*s_CF_far_swine),".")</f>
        <v>7.2727272727272723E-11</v>
      </c>
      <c r="I10" s="15">
        <f>IFERROR(s_TR/(up_RadSpec!E10*s_IFFI_far_adj*s_CF_far_fish),".")</f>
        <v>7.2727272727272723E-11</v>
      </c>
      <c r="J10" s="15">
        <f>IFERROR(s_TR/(up_RadSpec!E10*s_IFGO_far_adj*s_CF_far_goat),".")</f>
        <v>7.2727272727272723E-11</v>
      </c>
      <c r="K10" s="15">
        <f>IFERROR(s_TR/(up_RadSpec!E10*s_IFSH_far_adj*s_CF_far_sheep),".")</f>
        <v>7.2727272727272723E-11</v>
      </c>
      <c r="L10" s="15">
        <f>IFERROR(s_TR/(up_RadSpec!E10*s_IFGM_far_adj*s_CF_far_goat_milk),".")</f>
        <v>7.2727272727272723E-11</v>
      </c>
      <c r="M10" s="15">
        <f>IFERROR(s_TR/(up_RadSpec!E10*s_IFSM_far_adj*s_CF_far_sheep_milk),".")</f>
        <v>7.2727272727272723E-11</v>
      </c>
      <c r="N10" s="40">
        <f>up_dir!BA10</f>
        <v>55000</v>
      </c>
      <c r="O10" s="40">
        <f t="shared" si="0"/>
        <v>13750</v>
      </c>
      <c r="P10" s="40">
        <f t="shared" si="1"/>
        <v>13750</v>
      </c>
      <c r="Q10" s="40">
        <f t="shared" si="2"/>
        <v>13750</v>
      </c>
      <c r="R10" s="40">
        <f t="shared" si="3"/>
        <v>13750</v>
      </c>
      <c r="S10" s="40">
        <f t="shared" si="4"/>
        <v>13750</v>
      </c>
      <c r="T10" s="40">
        <f t="shared" si="5"/>
        <v>13750</v>
      </c>
      <c r="U10" s="40">
        <f t="shared" si="6"/>
        <v>13750</v>
      </c>
      <c r="V10" s="40">
        <f t="shared" si="7"/>
        <v>13750</v>
      </c>
      <c r="W10" s="40">
        <f t="shared" si="8"/>
        <v>13750</v>
      </c>
      <c r="X10" s="40">
        <f t="shared" si="9"/>
        <v>13750</v>
      </c>
      <c r="Y10" s="5"/>
      <c r="Z10" s="5"/>
      <c r="AA10" s="5"/>
      <c r="AB10" s="5"/>
      <c r="AC10" s="5"/>
      <c r="AD10" s="5"/>
      <c r="AE10" s="5"/>
      <c r="AF10" s="5"/>
      <c r="AG10" s="5"/>
      <c r="AH10" s="5"/>
      <c r="AI10" s="5"/>
      <c r="AJ10" s="45">
        <f>IFERROR((s_TR/(up_RadSpec!D10*s_IFS_far_adj*(1/1000)))*1,".")</f>
        <v>3.6363636363636363E-8</v>
      </c>
      <c r="AK10" s="45">
        <f>IFERROR(IF(A10="H-3",(s_TR/(up_RadSpec!G10*s_IFA_far_adj*(1/17)*1000))*1,(s_TR/(up_RadSpec!G10*s_IFA_far_adj*(1/s_PEF_wind)*1000))*1),".")</f>
        <v>3.3989909629864073E-4</v>
      </c>
      <c r="AL10" s="45">
        <f>IFERROR((s_TR/(up_RadSpec!F10*s_EF_far*(1/365)*s_ED_far*up_RadSpec!Q10*((s_ET_far_o*(1/24)*up_RadSpec!V10)+(s_ET_far_i*(1/24)*up_RadSpec!AA10))))*1,".")</f>
        <v>2.2803809523809523E-5</v>
      </c>
      <c r="AM10" s="45">
        <f>up_b2s!BA10</f>
        <v>3.6265718922545492E-12</v>
      </c>
      <c r="AN10" s="45">
        <f>IFERROR(((I10*up_RadSpec!AS10)/up_RadSpec!AI10)*1,".")</f>
        <v>7.2727272727272723E-11</v>
      </c>
      <c r="AO10" s="45">
        <f>IFERROR((F10/(up_RadSpec!AH10*((s_Q_p_beef*s_f_p_beef*s_f_s_beef*(up_RadSpec!BB10+s_R_es_past))+(s_Q_s_beef*s_f_p_beef))))*1,".")</f>
        <v>2.0414673046251994E-14</v>
      </c>
      <c r="AP10" s="45">
        <f>IFERROR(((G10*s_D_milk)/(up_RadSpec!AG10*((s_Q_p_dairy*s_f_p_dairy*s_f_s_dairy*(up_RadSpec!BB10+s_R_es_past))+(s_Q_s_dairy*s_f_p_dairy))))*1,".")</f>
        <v>2.102711323763955E-14</v>
      </c>
      <c r="AQ10" s="45">
        <f>IFERROR((H10/(up_RadSpec!AL10*((s_Q_p_swine*s_f_p_swine*s_f_s_swine*(up_RadSpec!BB10+s_R_es_past))+(s_Q_s_swine*s_f_p_swine))))*1,".")</f>
        <v>2.0414673046251994E-14</v>
      </c>
      <c r="AR10" s="45">
        <f>IFERROR((D10/(up_RadSpec!AJ10*((s_Q_p_poultry*s_f_p_poultry*s_f_s_poultry*(up_RadSpec!BB10+s_R_es_past))+(s_Q_s_poultry*s_f_p_poultry))))*1,".")</f>
        <v>2.0414673046251994E-14</v>
      </c>
      <c r="AS10" s="45">
        <f>IFERROR((E10/(up_RadSpec!AK10*((s_Q_p_poultry*s_f_p_poultry*s_f_s_poultry*(up_RadSpec!BB10+s_R_es_past))+(s_Q_s_poultry*s_f_p_poultry))))*1,".")</f>
        <v>2.0414673046251994E-14</v>
      </c>
      <c r="AT10" s="45">
        <f>IFERROR((J10/(up_RadSpec!AO10*((s_Q_p_goat*s_f_p_goat*s_f_s_goat*(up_RadSpec!BB10+s_R_es_past))+(s_Q_s_goat*s_f_p_goat))))*1,".")</f>
        <v>2.0414673046251994E-14</v>
      </c>
      <c r="AU10" s="45">
        <f>IFERROR((L10*s_D_milk/(up_RadSpec!AP10*((s_Q_p_goat_milk*s_f_p_goat_milk*s_f_s_goat_milk*(up_RadSpec!BB10+s_R_es_past))+(s_Q_s_goat_milk*s_f_p_goat_milk))))*1,".")</f>
        <v>2.102711323763955E-14</v>
      </c>
      <c r="AV10" s="45">
        <f>IFERROR((K10/(up_RadSpec!AM10*((s_Q_p_sheep*s_f_p_sheep*s_f_s_sheep*(up_RadSpec!BB10+s_R_es_past))+(s_Q_s_sheep*s_f_p_sheep))))*1,".")</f>
        <v>2.0414673046251994E-14</v>
      </c>
      <c r="AW10" s="45">
        <f>IFERROR((M10*s_D_milk/(up_RadSpec!AN10*((s_Q_p_sheep_milk*s_f_p_sheep_milk*s_f_s_sheep_milk*(up_RadSpec!BB10+s_R_es_past))+(s_Q_s_sheep_milk*s_f_p_sheep_milk))))*1,".")</f>
        <v>2.102711323763955E-14</v>
      </c>
      <c r="AX10" s="120">
        <f t="shared" si="10"/>
        <v>27500000</v>
      </c>
      <c r="AY10" s="120">
        <f t="shared" si="11"/>
        <v>2942.0495991003877</v>
      </c>
      <c r="AZ10" s="120">
        <f t="shared" si="12"/>
        <v>43852.322084864689</v>
      </c>
      <c r="BA10" s="120">
        <f t="shared" si="13"/>
        <v>275742500000</v>
      </c>
      <c r="BB10" s="120">
        <f t="shared" si="14"/>
        <v>13750000000</v>
      </c>
      <c r="BC10" s="120">
        <f t="shared" si="15"/>
        <v>48984375000000</v>
      </c>
      <c r="BD10" s="120">
        <f t="shared" si="16"/>
        <v>47557645631067.969</v>
      </c>
      <c r="BE10" s="120">
        <f t="shared" si="17"/>
        <v>48984375000000</v>
      </c>
      <c r="BF10" s="120">
        <f t="shared" si="18"/>
        <v>48984375000000</v>
      </c>
      <c r="BG10" s="120">
        <f t="shared" si="19"/>
        <v>48984375000000</v>
      </c>
      <c r="BH10" s="120">
        <f t="shared" si="20"/>
        <v>48984375000000</v>
      </c>
      <c r="BI10" s="120">
        <f t="shared" si="21"/>
        <v>47557645631067.969</v>
      </c>
      <c r="BJ10" s="120">
        <f t="shared" si="22"/>
        <v>48984375000000</v>
      </c>
      <c r="BK10" s="120">
        <f t="shared" si="23"/>
        <v>47557645631067.969</v>
      </c>
      <c r="BL10" s="15">
        <f t="shared" si="24"/>
        <v>2.2890172358748156E-15</v>
      </c>
      <c r="BM10" s="40">
        <f t="shared" si="25"/>
        <v>27.5</v>
      </c>
      <c r="BN10" s="40">
        <f t="shared" si="26"/>
        <v>2.9420495991003873E-3</v>
      </c>
      <c r="BO10" s="40">
        <f>IFERROR((s_C*s_EF_far*(1/365)*s_ED_far*up_RadSpec!Q10*((s_ET_far_o*(1/24)*up_RadSpec!V10)+(s_ET_far_i*(1/24)*up_RadSpec!AA10))),".")</f>
        <v>4.3852322084864684E-2</v>
      </c>
      <c r="BP10" s="40">
        <f>up_b2s!BZ10</f>
        <v>275742.5</v>
      </c>
      <c r="BQ10" s="40">
        <f>IFERROR(((s_C*up_RadSpec!AI10)/up_RadSpec!AS10)*s_IFFI_far_adj*s_CF_far_fish,0)</f>
        <v>13750</v>
      </c>
      <c r="BR10" s="40">
        <f>(s_C*s_IFB_far_adj*s_CF_far_beef*up_RadSpec!AH10*((s_Q_p_beef*s_f_p_beef*s_f_s_beef*(up_RadSpec!$AR10+s_R_es_past))+(s_Q_s_beef*s_f_p_beef)))</f>
        <v>48984375</v>
      </c>
      <c r="BS10" s="40">
        <f>(s_C*s_IFD_far_adj*s_CF_far_dairy*up_RadSpec!AG10*1/s_D_milk*((s_Q_p_dairy*s_f_p_dairy*s_f_s_dairy*(up_RadSpec!$AR10+s_R_es_past))+(s_Q_s_dairy*s_f_p_dairy)))</f>
        <v>47557645.631067954</v>
      </c>
      <c r="BT10" s="40">
        <f>(s_C*s_IFSW_far_adj*s_CF_far_swine*up_RadSpec!AL10*((s_Q_p_swine*s_f_p_swine*s_f_s_swine*(up_RadSpec!$AR10+s_R_es_past))+(s_Q_s_swine*s_f_p_swine)))</f>
        <v>48984375</v>
      </c>
      <c r="BU10" s="40">
        <f>(s_C*s_IFP_far_adj*s_CF_far_poultry*up_RadSpec!AJ10*((s_Q_p_poultry*s_f_p_poultry*s_f_s_poultry*(up_RadSpec!AR10+s_R_es_past))+(s_Q_s_poultry*s_f_p_poultry)))</f>
        <v>48984375</v>
      </c>
      <c r="BV10" s="40">
        <f>(s_C*s_IFE_far_adj*s_CF_far_egg*up_RadSpec!AK10*((s_Q_p_egg*s_f_p_egg*s_f_s_egg*(up_RadSpec!$AR10+s_R_es_past))+(s_Q_s_egg*s_f_p_egg)))</f>
        <v>48984375</v>
      </c>
      <c r="BW10" s="40">
        <f>(s_C*s_IFGO_far_adj*s_CF_far_goat*up_RadSpec!AO10*((s_Q_p_goat*s_f_p_goat*s_f_s_goat*(up_RadSpec!$AR10+s_R_es_past))+(s_Q_s_goat*s_f_p_goat)))</f>
        <v>48984375</v>
      </c>
      <c r="BX10" s="40">
        <f>(s_C*s_IFGM_far_adj*s_CF_far_goat_milk*up_RadSpec!AP10*1/s_D_milk*((s_Q_p_goat_milk*s_f_p_goat_milk*s_f_s_goat_milk*(up_RadSpec!$AR10+s_R_es_past))+(s_Q_s_goat_milk*s_f_p_goat_milk)))</f>
        <v>47557645.631067954</v>
      </c>
      <c r="BY10" s="40">
        <f>(s_C*s_IFSH_far_adj*s_CF_far_sheep*up_RadSpec!AM10*((s_Q_p_sheep*s_f_p_sheep*s_f_s_sheep*(up_RadSpec!$AR10+s_R_es_past))+(s_Q_s_sheep*s_f_p_sheep)))</f>
        <v>48984375</v>
      </c>
      <c r="BZ10" s="40">
        <f>(s_C*s_IFSM_far_adj*s_CF_far_sheep_milk*up_RadSpec!AN10*1/s_D_milk*((s_Q_p_sheep_milk*s_f_p_sheep_milk*s_f_s_sheep_milk*(up_RadSpec!$AR10+s_R_es_past))+(s_Q_s_sheep_milk*s_f_p_sheep_milk)))</f>
        <v>47557645.631067954</v>
      </c>
      <c r="CA10" s="45"/>
      <c r="CB10" s="45"/>
      <c r="CC10" s="45"/>
      <c r="CD10" s="45"/>
      <c r="CE10" s="45"/>
      <c r="CF10" s="45"/>
      <c r="CG10" s="45"/>
      <c r="CH10" s="45"/>
      <c r="CI10" s="45"/>
      <c r="CJ10" s="45"/>
      <c r="CK10" s="45"/>
      <c r="CL10" s="45"/>
      <c r="CM10" s="45"/>
      <c r="CN10" s="45"/>
      <c r="CO10" s="15"/>
      <c r="CP10" s="15">
        <f>IFERROR(s_TR/(up_RadSpec!H10*s_IFW_far_adj),".")</f>
        <v>3.9999999999999996E-10</v>
      </c>
      <c r="CQ10" s="15" t="str">
        <f>IFERROR(IF(up_RadSpec!C10=1,s_TR/(up_RadSpec!G10*s_IFA_far_adj*s_K),"."),".")</f>
        <v>.</v>
      </c>
      <c r="CR10" s="15">
        <f>IFERROR((s_TR/(up_RadSpec!L10*(1/8760)*s_DFA_far_adj)),".")</f>
        <v>4.3800000000000004E-6</v>
      </c>
      <c r="CS10" s="15">
        <f>up_b2w!BA10</f>
        <v>1.8087754064641833E-11</v>
      </c>
      <c r="CT10" s="15">
        <f>IFERROR(I10/(up_RadSpec!AI10*(1/1000)),".")</f>
        <v>1.4545454545454544E-8</v>
      </c>
      <c r="CU10" s="15">
        <f>IFERROR(F10/(up_RadSpec!AH10*s_Q_w_beef*(1/1000)),".")</f>
        <v>2.9090909090909087E-9</v>
      </c>
      <c r="CV10" s="15">
        <f>IFERROR((G10*s_D_milk)/(up_RadSpec!AG10*s_Q_w_dairy*(1/1000)),".")</f>
        <v>2.9963636363636357E-9</v>
      </c>
      <c r="CW10" s="15">
        <f>IFERROR(H10/(up_RadSpec!AL10*s_Q_w_swine*(1/1000)),".")</f>
        <v>2.9090909090909087E-9</v>
      </c>
      <c r="CX10" s="15">
        <f>IFERROR(D10/(up_RadSpec!AJ10*s_Q_w_poultry*(1/1000)),".")</f>
        <v>2.9090909090909087E-9</v>
      </c>
      <c r="CY10" s="15">
        <f>IFERROR(E10/(up_RadSpec!AK10*s_Q_w_poultry*(1/1000)),".")</f>
        <v>2.9090909090909087E-9</v>
      </c>
      <c r="CZ10" s="15">
        <f>IFERROR(J10/(up_RadSpec!AO10*s_Q_w_goat*(1/1000)),".")</f>
        <v>2.9090909090909087E-9</v>
      </c>
      <c r="DA10" s="15">
        <f>IFERROR(L10*s_D_milk/(up_RadSpec!AP10*s_Q_w_goat_milk*(1/1000)),".")</f>
        <v>2.9963636363636357E-9</v>
      </c>
      <c r="DB10" s="15">
        <f>IFERROR(K10/(up_RadSpec!AM10*s_Q_w_sheep*(1/1000)),".")</f>
        <v>2.9090909090909087E-9</v>
      </c>
      <c r="DC10" s="15">
        <f>IFERROR(M10*s_D_milk/(up_RadSpec!AN10*s_Q_w_sheep_milk*(1/1000)),".")</f>
        <v>2.9963636363636357E-9</v>
      </c>
      <c r="DD10" s="120">
        <f t="shared" si="27"/>
        <v>2500000000</v>
      </c>
      <c r="DE10" s="120" t="str">
        <f t="shared" si="28"/>
        <v>.</v>
      </c>
      <c r="DF10" s="120">
        <f t="shared" si="29"/>
        <v>228310.50228310502</v>
      </c>
      <c r="DG10" s="120">
        <f t="shared" si="30"/>
        <v>55286023705.663513</v>
      </c>
      <c r="DH10" s="120">
        <f t="shared" si="31"/>
        <v>68750000</v>
      </c>
      <c r="DI10" s="120">
        <f t="shared" si="32"/>
        <v>343750000.00000006</v>
      </c>
      <c r="DJ10" s="120">
        <f t="shared" si="33"/>
        <v>333737864.07766998</v>
      </c>
      <c r="DK10" s="120">
        <f t="shared" si="34"/>
        <v>343750000.00000006</v>
      </c>
      <c r="DL10" s="120">
        <f t="shared" si="35"/>
        <v>343750000.00000006</v>
      </c>
      <c r="DM10" s="120">
        <f t="shared" si="36"/>
        <v>343750000.00000006</v>
      </c>
      <c r="DN10" s="120">
        <f t="shared" si="37"/>
        <v>343750000.00000006</v>
      </c>
      <c r="DO10" s="120">
        <f t="shared" si="38"/>
        <v>333737864.07766998</v>
      </c>
      <c r="DP10" s="120">
        <f t="shared" si="39"/>
        <v>343750000.00000006</v>
      </c>
      <c r="DQ10" s="120">
        <f t="shared" si="40"/>
        <v>333737864.07766998</v>
      </c>
      <c r="DR10" s="15">
        <f t="shared" si="41"/>
        <v>1.6415316541278672E-11</v>
      </c>
      <c r="DS10" s="40">
        <f t="shared" si="42"/>
        <v>2500</v>
      </c>
      <c r="DT10" s="40">
        <f t="shared" si="43"/>
        <v>455.72916666666663</v>
      </c>
      <c r="DU10" s="40">
        <f t="shared" si="44"/>
        <v>0.22831050228310501</v>
      </c>
      <c r="DV10" s="40">
        <f>up_b2w!BZ10</f>
        <v>55286.023705663516</v>
      </c>
      <c r="DW10" s="40">
        <f>IFERROR(s_C*up_RadSpec!AI10*(1/1000)*s_IFFI_far_adj*s_CF_far_fish,0)</f>
        <v>68.75</v>
      </c>
      <c r="DX10" s="40">
        <f>(s_C*s_IFB_far_adj*s_CF_far_beef*up_RadSpec!AH10*s_Q_w_beef*(1/1000))</f>
        <v>343.75</v>
      </c>
      <c r="DY10" s="40">
        <f>(s_C*s_IFD_far_adj*s_CF_far_dairy*up_RadSpec!AG10*(1/s_D_milk)*s_Q_w_dairy*(1/1000))</f>
        <v>333.73786407766988</v>
      </c>
      <c r="DZ10" s="40">
        <f>(s_C*s_IFSW_far_adj*s_CF_far_swine*up_RadSpec!AL10*s_Q_w_swine*(1/1000))</f>
        <v>343.75</v>
      </c>
      <c r="EA10" s="40">
        <f>(s_C*s_IFP_far_adj*s_CF_far_poultry*up_RadSpec!AJ10*s_Q_w_poultry*(1/1000))</f>
        <v>343.75</v>
      </c>
      <c r="EB10" s="40">
        <f>(s_C*s_IFE_far_adj*s_CF_far_egg*up_RadSpec!AK10*s_Q_w_egg*(1/1000))</f>
        <v>343.75</v>
      </c>
      <c r="EC10" s="40">
        <f>(s_C*s_IFGO_far_adj*s_CF_far_goat*up_RadSpec!AO10*s_Q_p_goat*(1/1000))</f>
        <v>343.75</v>
      </c>
      <c r="ED10" s="40">
        <f>(s_C*s_IFGM_far_adj*s_CF_far_goat_milk*up_RadSpec!AP10*(1/s_D_milk)*s_Q_p_goat_milk*(1/1000))</f>
        <v>333.73786407766988</v>
      </c>
      <c r="EE10" s="40">
        <f>(s_C*s_IFSH_far_adj*s_CF_far_sheep*up_RadSpec!AM10*s_Q_p_sheep*(1/1000))</f>
        <v>343.75</v>
      </c>
      <c r="EF10" s="40">
        <f>(s_C*s_IFSM_far_adj*s_CF_far_sheep_milk*up_RadSpec!AN10*(1/s_D_milk)*s_Q_p_sheep_milk*(1/1000))</f>
        <v>333.73786407766988</v>
      </c>
      <c r="EG10" s="18"/>
      <c r="EH10" s="18"/>
      <c r="EI10" s="18"/>
      <c r="EJ10" s="18"/>
      <c r="EK10" s="18"/>
      <c r="EL10" s="18"/>
      <c r="EM10" s="18"/>
      <c r="EN10" s="18"/>
      <c r="EO10" s="18"/>
      <c r="EP10" s="18"/>
      <c r="EQ10" s="18"/>
      <c r="ER10" s="18"/>
      <c r="ES10" s="18"/>
      <c r="ET10" s="18"/>
      <c r="EU10" s="5"/>
      <c r="EV10" s="15">
        <f>IFERROR((s_TR/(up_RadSpec!G10*s_IFA_far_adj)),".")</f>
        <v>1.0971428571428573E-9</v>
      </c>
      <c r="EW10" s="15">
        <f>IFERROR((s_TR/(up_RadSpec!J10*s_EF_far*(1/365)*s_ED_far*s_ET_far*(1/24)*s_GSF_a)),".")</f>
        <v>1.7520000000000001E-6</v>
      </c>
      <c r="EX10" s="15">
        <f t="shared" si="48"/>
        <v>1.0964562309317064E-9</v>
      </c>
      <c r="EY10" s="40">
        <f t="shared" si="46"/>
        <v>911.45833333333326</v>
      </c>
      <c r="EZ10" s="40">
        <f t="shared" si="47"/>
        <v>0.57077625570776247</v>
      </c>
      <c r="FA10" s="122"/>
      <c r="FB10" s="122"/>
      <c r="FC10" s="122"/>
    </row>
    <row r="11" spans="1:159" customFormat="1" x14ac:dyDescent="0.25">
      <c r="A11" s="44" t="s">
        <v>21</v>
      </c>
      <c r="B11" s="42" t="s">
        <v>1074</v>
      </c>
      <c r="C11" s="15">
        <f>up_dir!AB11</f>
        <v>1.8181818181818181E-11</v>
      </c>
      <c r="D11" s="15">
        <f>IFERROR(s_TR/(up_RadSpec!E11*s_IFP_far_adj*s_CF_far_poultry),".")</f>
        <v>7.2727272727272723E-11</v>
      </c>
      <c r="E11" s="15">
        <f>IFERROR(s_TR/(up_RadSpec!E11*s_IFE_far_adj*s_CF_far_egg),".")</f>
        <v>7.2727272727272723E-11</v>
      </c>
      <c r="F11" s="15">
        <f>IFERROR(s_TR/(up_RadSpec!E11*s_IFB_far_adj*s_CF_far_beef),".")</f>
        <v>7.2727272727272723E-11</v>
      </c>
      <c r="G11" s="15">
        <f>IFERROR(s_TR/(up_RadSpec!E11*s_IFD_far_adj*s_CF_far_dairy),".")</f>
        <v>7.2727272727272723E-11</v>
      </c>
      <c r="H11" s="15">
        <f>IFERROR(s_TR/(up_RadSpec!E11*s_IFSW_far_adj*s_CF_far_swine),".")</f>
        <v>7.2727272727272723E-11</v>
      </c>
      <c r="I11" s="15">
        <f>IFERROR(s_TR/(up_RadSpec!E11*s_IFFI_far_adj*s_CF_far_fish),".")</f>
        <v>7.2727272727272723E-11</v>
      </c>
      <c r="J11" s="15">
        <f>IFERROR(s_TR/(up_RadSpec!E11*s_IFGO_far_adj*s_CF_far_goat),".")</f>
        <v>7.2727272727272723E-11</v>
      </c>
      <c r="K11" s="15">
        <f>IFERROR(s_TR/(up_RadSpec!E11*s_IFSH_far_adj*s_CF_far_sheep),".")</f>
        <v>7.2727272727272723E-11</v>
      </c>
      <c r="L11" s="15">
        <f>IFERROR(s_TR/(up_RadSpec!E11*s_IFGM_far_adj*s_CF_far_goat_milk),".")</f>
        <v>7.2727272727272723E-11</v>
      </c>
      <c r="M11" s="15">
        <f>IFERROR(s_TR/(up_RadSpec!E11*s_IFSM_far_adj*s_CF_far_sheep_milk),".")</f>
        <v>7.2727272727272723E-11</v>
      </c>
      <c r="N11" s="40">
        <f>up_dir!BA11</f>
        <v>55000</v>
      </c>
      <c r="O11" s="40">
        <f t="shared" si="0"/>
        <v>13750</v>
      </c>
      <c r="P11" s="40">
        <f t="shared" si="1"/>
        <v>13750</v>
      </c>
      <c r="Q11" s="40">
        <f t="shared" si="2"/>
        <v>13750</v>
      </c>
      <c r="R11" s="40">
        <f t="shared" si="3"/>
        <v>13750</v>
      </c>
      <c r="S11" s="40">
        <f t="shared" si="4"/>
        <v>13750</v>
      </c>
      <c r="T11" s="40">
        <f t="shared" si="5"/>
        <v>13750</v>
      </c>
      <c r="U11" s="40">
        <f t="shared" si="6"/>
        <v>13750</v>
      </c>
      <c r="V11" s="40">
        <f t="shared" si="7"/>
        <v>13750</v>
      </c>
      <c r="W11" s="40">
        <f t="shared" si="8"/>
        <v>13750</v>
      </c>
      <c r="X11" s="40">
        <f t="shared" si="9"/>
        <v>13750</v>
      </c>
      <c r="Y11" s="5"/>
      <c r="Z11" s="5"/>
      <c r="AA11" s="5"/>
      <c r="AB11" s="5"/>
      <c r="AC11" s="5"/>
      <c r="AD11" s="5"/>
      <c r="AE11" s="5"/>
      <c r="AF11" s="5"/>
      <c r="AG11" s="5"/>
      <c r="AH11" s="5"/>
      <c r="AI11" s="5"/>
      <c r="AJ11" s="45">
        <f>IFERROR((s_TR/(up_RadSpec!D11*s_IFS_far_adj*(1/1000)))*1,".")</f>
        <v>3.6363636363636363E-8</v>
      </c>
      <c r="AK11" s="45">
        <f>IFERROR(IF(A11="H-3",(s_TR/(up_RadSpec!G11*s_IFA_far_adj*(1/17)*1000))*1,(s_TR/(up_RadSpec!G11*s_IFA_far_adj*(1/s_PEF_wind)*1000))*1),".")</f>
        <v>3.3989909629864073E-4</v>
      </c>
      <c r="AL11" s="45">
        <f>IFERROR((s_TR/(up_RadSpec!F11*s_EF_far*(1/365)*s_ED_far*up_RadSpec!Q11*((s_ET_far_o*(1/24)*up_RadSpec!V11)+(s_ET_far_i*(1/24)*up_RadSpec!AA11))))*1,".")</f>
        <v>6.8186813186813189E-5</v>
      </c>
      <c r="AM11" s="45">
        <f>up_b2s!BA11</f>
        <v>3.6265718922545492E-12</v>
      </c>
      <c r="AN11" s="45">
        <f>IFERROR(((I11*up_RadSpec!AS11)/up_RadSpec!AI11)*1,".")</f>
        <v>7.2727272727272723E-11</v>
      </c>
      <c r="AO11" s="45">
        <f>IFERROR((F11/(up_RadSpec!AH11*((s_Q_p_beef*s_f_p_beef*s_f_s_beef*(up_RadSpec!BB11+s_R_es_past))+(s_Q_s_beef*s_f_p_beef))))*1,".")</f>
        <v>2.0414673046251994E-14</v>
      </c>
      <c r="AP11" s="45">
        <f>IFERROR(((G11*s_D_milk)/(up_RadSpec!AG11*((s_Q_p_dairy*s_f_p_dairy*s_f_s_dairy*(up_RadSpec!BB11+s_R_es_past))+(s_Q_s_dairy*s_f_p_dairy))))*1,".")</f>
        <v>2.102711323763955E-14</v>
      </c>
      <c r="AQ11" s="45">
        <f>IFERROR((H11/(up_RadSpec!AL11*((s_Q_p_swine*s_f_p_swine*s_f_s_swine*(up_RadSpec!BB11+s_R_es_past))+(s_Q_s_swine*s_f_p_swine))))*1,".")</f>
        <v>2.0414673046251994E-14</v>
      </c>
      <c r="AR11" s="45">
        <f>IFERROR((D11/(up_RadSpec!AJ11*((s_Q_p_poultry*s_f_p_poultry*s_f_s_poultry*(up_RadSpec!BB11+s_R_es_past))+(s_Q_s_poultry*s_f_p_poultry))))*1,".")</f>
        <v>2.0414673046251994E-14</v>
      </c>
      <c r="AS11" s="45">
        <f>IFERROR((E11/(up_RadSpec!AK11*((s_Q_p_poultry*s_f_p_poultry*s_f_s_poultry*(up_RadSpec!BB11+s_R_es_past))+(s_Q_s_poultry*s_f_p_poultry))))*1,".")</f>
        <v>2.0414673046251994E-14</v>
      </c>
      <c r="AT11" s="45">
        <f>IFERROR((J11/(up_RadSpec!AO11*((s_Q_p_goat*s_f_p_goat*s_f_s_goat*(up_RadSpec!BB11+s_R_es_past))+(s_Q_s_goat*s_f_p_goat))))*1,".")</f>
        <v>2.0414673046251994E-14</v>
      </c>
      <c r="AU11" s="45">
        <f>IFERROR((L11*s_D_milk/(up_RadSpec!AP11*((s_Q_p_goat_milk*s_f_p_goat_milk*s_f_s_goat_milk*(up_RadSpec!BB11+s_R_es_past))+(s_Q_s_goat_milk*s_f_p_goat_milk))))*1,".")</f>
        <v>2.102711323763955E-14</v>
      </c>
      <c r="AV11" s="45">
        <f>IFERROR((K11/(up_RadSpec!AM11*((s_Q_p_sheep*s_f_p_sheep*s_f_s_sheep*(up_RadSpec!BB11+s_R_es_past))+(s_Q_s_sheep*s_f_p_sheep))))*1,".")</f>
        <v>2.0414673046251994E-14</v>
      </c>
      <c r="AW11" s="45">
        <f>IFERROR((M11*s_D_milk/(up_RadSpec!AN11*((s_Q_p_sheep_milk*s_f_p_sheep_milk*s_f_s_sheep_milk*(up_RadSpec!BB11+s_R_es_past))+(s_Q_s_sheep_milk*s_f_p_sheep_milk))))*1,".")</f>
        <v>2.102711323763955E-14</v>
      </c>
      <c r="AX11" s="120">
        <f t="shared" si="10"/>
        <v>27500000</v>
      </c>
      <c r="AY11" s="120">
        <f t="shared" si="11"/>
        <v>2942.0495991003877</v>
      </c>
      <c r="AZ11" s="120">
        <f t="shared" si="12"/>
        <v>14665.592264302981</v>
      </c>
      <c r="BA11" s="120">
        <f t="shared" si="13"/>
        <v>275742500000</v>
      </c>
      <c r="BB11" s="120">
        <f t="shared" si="14"/>
        <v>13750000000</v>
      </c>
      <c r="BC11" s="120">
        <f t="shared" si="15"/>
        <v>48984375000000</v>
      </c>
      <c r="BD11" s="120">
        <f t="shared" si="16"/>
        <v>47557645631067.969</v>
      </c>
      <c r="BE11" s="120">
        <f t="shared" si="17"/>
        <v>48984375000000</v>
      </c>
      <c r="BF11" s="120">
        <f t="shared" si="18"/>
        <v>48984375000000</v>
      </c>
      <c r="BG11" s="120">
        <f t="shared" si="19"/>
        <v>48984375000000</v>
      </c>
      <c r="BH11" s="120">
        <f t="shared" si="20"/>
        <v>48984375000000</v>
      </c>
      <c r="BI11" s="120">
        <f t="shared" si="21"/>
        <v>47557645631067.969</v>
      </c>
      <c r="BJ11" s="120">
        <f t="shared" si="22"/>
        <v>48984375000000</v>
      </c>
      <c r="BK11" s="120">
        <f t="shared" si="23"/>
        <v>47557645631067.969</v>
      </c>
      <c r="BL11" s="15">
        <f t="shared" si="24"/>
        <v>2.2890172360277426E-15</v>
      </c>
      <c r="BM11" s="40">
        <f t="shared" si="25"/>
        <v>27.5</v>
      </c>
      <c r="BN11" s="40">
        <f t="shared" si="26"/>
        <v>2.9420495991003873E-3</v>
      </c>
      <c r="BO11" s="40">
        <f>IFERROR((s_C*s_EF_far*(1/365)*s_ED_far*up_RadSpec!Q11*((s_ET_far_o*(1/24)*up_RadSpec!V11)+(s_ET_far_i*(1/24)*up_RadSpec!AA11))),".")</f>
        <v>1.466559226430298E-2</v>
      </c>
      <c r="BP11" s="40">
        <f>up_b2s!BZ11</f>
        <v>275742.5</v>
      </c>
      <c r="BQ11" s="40">
        <f>IFERROR(((s_C*up_RadSpec!AI11)/up_RadSpec!AS11)*s_IFFI_far_adj*s_CF_far_fish,0)</f>
        <v>13750</v>
      </c>
      <c r="BR11" s="40">
        <f>(s_C*s_IFB_far_adj*s_CF_far_beef*up_RadSpec!AH11*((s_Q_p_beef*s_f_p_beef*s_f_s_beef*(up_RadSpec!$AR11+s_R_es_past))+(s_Q_s_beef*s_f_p_beef)))</f>
        <v>48984375</v>
      </c>
      <c r="BS11" s="40">
        <f>(s_C*s_IFD_far_adj*s_CF_far_dairy*up_RadSpec!AG11*1/s_D_milk*((s_Q_p_dairy*s_f_p_dairy*s_f_s_dairy*(up_RadSpec!$AR11+s_R_es_past))+(s_Q_s_dairy*s_f_p_dairy)))</f>
        <v>47557645.631067954</v>
      </c>
      <c r="BT11" s="40">
        <f>(s_C*s_IFSW_far_adj*s_CF_far_swine*up_RadSpec!AL11*((s_Q_p_swine*s_f_p_swine*s_f_s_swine*(up_RadSpec!$AR11+s_R_es_past))+(s_Q_s_swine*s_f_p_swine)))</f>
        <v>48984375</v>
      </c>
      <c r="BU11" s="40">
        <f>(s_C*s_IFP_far_adj*s_CF_far_poultry*up_RadSpec!AJ11*((s_Q_p_poultry*s_f_p_poultry*s_f_s_poultry*(up_RadSpec!AR11+s_R_es_past))+(s_Q_s_poultry*s_f_p_poultry)))</f>
        <v>48984375</v>
      </c>
      <c r="BV11" s="40">
        <f>(s_C*s_IFE_far_adj*s_CF_far_egg*up_RadSpec!AK11*((s_Q_p_egg*s_f_p_egg*s_f_s_egg*(up_RadSpec!$AR11+s_R_es_past))+(s_Q_s_egg*s_f_p_egg)))</f>
        <v>48984375</v>
      </c>
      <c r="BW11" s="40">
        <f>(s_C*s_IFGO_far_adj*s_CF_far_goat*up_RadSpec!AO11*((s_Q_p_goat*s_f_p_goat*s_f_s_goat*(up_RadSpec!$AR11+s_R_es_past))+(s_Q_s_goat*s_f_p_goat)))</f>
        <v>48984375</v>
      </c>
      <c r="BX11" s="40">
        <f>(s_C*s_IFGM_far_adj*s_CF_far_goat_milk*up_RadSpec!AP11*1/s_D_milk*((s_Q_p_goat_milk*s_f_p_goat_milk*s_f_s_goat_milk*(up_RadSpec!$AR11+s_R_es_past))+(s_Q_s_goat_milk*s_f_p_goat_milk)))</f>
        <v>47557645.631067954</v>
      </c>
      <c r="BY11" s="40">
        <f>(s_C*s_IFSH_far_adj*s_CF_far_sheep*up_RadSpec!AM11*((s_Q_p_sheep*s_f_p_sheep*s_f_s_sheep*(up_RadSpec!$AR11+s_R_es_past))+(s_Q_s_sheep*s_f_p_sheep)))</f>
        <v>48984375</v>
      </c>
      <c r="BZ11" s="40">
        <f>(s_C*s_IFSM_far_adj*s_CF_far_sheep_milk*up_RadSpec!AN11*1/s_D_milk*((s_Q_p_sheep_milk*s_f_p_sheep_milk*s_f_s_sheep_milk*(up_RadSpec!$AR11+s_R_es_past))+(s_Q_s_sheep_milk*s_f_p_sheep_milk)))</f>
        <v>47557645.631067954</v>
      </c>
      <c r="CA11" s="45"/>
      <c r="CB11" s="45"/>
      <c r="CC11" s="45"/>
      <c r="CD11" s="45"/>
      <c r="CE11" s="45"/>
      <c r="CF11" s="45"/>
      <c r="CG11" s="45"/>
      <c r="CH11" s="45"/>
      <c r="CI11" s="45"/>
      <c r="CJ11" s="45"/>
      <c r="CK11" s="45"/>
      <c r="CL11" s="45"/>
      <c r="CM11" s="45"/>
      <c r="CN11" s="45"/>
      <c r="CO11" s="15"/>
      <c r="CP11" s="15">
        <f>IFERROR(s_TR/(up_RadSpec!H11*s_IFW_far_adj),".")</f>
        <v>3.9999999999999996E-10</v>
      </c>
      <c r="CQ11" s="15" t="str">
        <f>IFERROR(IF(up_RadSpec!C11=1,s_TR/(up_RadSpec!G11*s_IFA_far_adj*s_K),"."),".")</f>
        <v>.</v>
      </c>
      <c r="CR11" s="15">
        <f>IFERROR((s_TR/(up_RadSpec!L11*(1/8760)*s_DFA_far_adj)),".")</f>
        <v>4.3800000000000004E-6</v>
      </c>
      <c r="CS11" s="15">
        <f>up_b2w!BA11</f>
        <v>1.8087754064641833E-11</v>
      </c>
      <c r="CT11" s="15">
        <f>IFERROR(I11/(up_RadSpec!AI11*(1/1000)),".")</f>
        <v>1.4545454545454544E-8</v>
      </c>
      <c r="CU11" s="15">
        <f>IFERROR(F11/(up_RadSpec!AH11*s_Q_w_beef*(1/1000)),".")</f>
        <v>2.9090909090909087E-9</v>
      </c>
      <c r="CV11" s="15">
        <f>IFERROR((G11*s_D_milk)/(up_RadSpec!AG11*s_Q_w_dairy*(1/1000)),".")</f>
        <v>2.9963636363636357E-9</v>
      </c>
      <c r="CW11" s="15">
        <f>IFERROR(H11/(up_RadSpec!AL11*s_Q_w_swine*(1/1000)),".")</f>
        <v>2.9090909090909087E-9</v>
      </c>
      <c r="CX11" s="15">
        <f>IFERROR(D11/(up_RadSpec!AJ11*s_Q_w_poultry*(1/1000)),".")</f>
        <v>2.9090909090909087E-9</v>
      </c>
      <c r="CY11" s="15">
        <f>IFERROR(E11/(up_RadSpec!AK11*s_Q_w_poultry*(1/1000)),".")</f>
        <v>2.9090909090909087E-9</v>
      </c>
      <c r="CZ11" s="15">
        <f>IFERROR(J11/(up_RadSpec!AO11*s_Q_w_goat*(1/1000)),".")</f>
        <v>2.9090909090909087E-9</v>
      </c>
      <c r="DA11" s="15">
        <f>IFERROR(L11*s_D_milk/(up_RadSpec!AP11*s_Q_w_goat_milk*(1/1000)),".")</f>
        <v>2.9963636363636357E-9</v>
      </c>
      <c r="DB11" s="15">
        <f>IFERROR(K11/(up_RadSpec!AM11*s_Q_w_sheep*(1/1000)),".")</f>
        <v>2.9090909090909087E-9</v>
      </c>
      <c r="DC11" s="15">
        <f>IFERROR(M11*s_D_milk/(up_RadSpec!AN11*s_Q_w_sheep_milk*(1/1000)),".")</f>
        <v>2.9963636363636357E-9</v>
      </c>
      <c r="DD11" s="120">
        <f t="shared" si="27"/>
        <v>2500000000</v>
      </c>
      <c r="DE11" s="120" t="str">
        <f t="shared" si="28"/>
        <v>.</v>
      </c>
      <c r="DF11" s="120">
        <f t="shared" si="29"/>
        <v>228310.50228310502</v>
      </c>
      <c r="DG11" s="120">
        <f t="shared" si="30"/>
        <v>55286023705.663513</v>
      </c>
      <c r="DH11" s="120">
        <f t="shared" si="31"/>
        <v>68750000</v>
      </c>
      <c r="DI11" s="120">
        <f t="shared" si="32"/>
        <v>343750000.00000006</v>
      </c>
      <c r="DJ11" s="120">
        <f t="shared" si="33"/>
        <v>333737864.07766998</v>
      </c>
      <c r="DK11" s="120">
        <f t="shared" si="34"/>
        <v>343750000.00000006</v>
      </c>
      <c r="DL11" s="120">
        <f t="shared" si="35"/>
        <v>343750000.00000006</v>
      </c>
      <c r="DM11" s="120">
        <f t="shared" si="36"/>
        <v>343750000.00000006</v>
      </c>
      <c r="DN11" s="120">
        <f t="shared" si="37"/>
        <v>343750000.00000006</v>
      </c>
      <c r="DO11" s="120">
        <f t="shared" si="38"/>
        <v>333737864.07766998</v>
      </c>
      <c r="DP11" s="120">
        <f t="shared" si="39"/>
        <v>343750000.00000006</v>
      </c>
      <c r="DQ11" s="120">
        <f t="shared" si="40"/>
        <v>333737864.07766998</v>
      </c>
      <c r="DR11" s="15">
        <f t="shared" si="41"/>
        <v>1.6415316541278672E-11</v>
      </c>
      <c r="DS11" s="40">
        <f t="shared" si="42"/>
        <v>2500</v>
      </c>
      <c r="DT11" s="40">
        <f t="shared" si="43"/>
        <v>455.72916666666663</v>
      </c>
      <c r="DU11" s="40">
        <f t="shared" si="44"/>
        <v>0.22831050228310501</v>
      </c>
      <c r="DV11" s="40">
        <f>up_b2w!BZ11</f>
        <v>55286.023705663516</v>
      </c>
      <c r="DW11" s="40">
        <f>IFERROR(s_C*up_RadSpec!AI11*(1/1000)*s_IFFI_far_adj*s_CF_far_fish,0)</f>
        <v>68.75</v>
      </c>
      <c r="DX11" s="40">
        <f>(s_C*s_IFB_far_adj*s_CF_far_beef*up_RadSpec!AH11*s_Q_w_beef*(1/1000))</f>
        <v>343.75</v>
      </c>
      <c r="DY11" s="40">
        <f>(s_C*s_IFD_far_adj*s_CF_far_dairy*up_RadSpec!AG11*(1/s_D_milk)*s_Q_w_dairy*(1/1000))</f>
        <v>333.73786407766988</v>
      </c>
      <c r="DZ11" s="40">
        <f>(s_C*s_IFSW_far_adj*s_CF_far_swine*up_RadSpec!AL11*s_Q_w_swine*(1/1000))</f>
        <v>343.75</v>
      </c>
      <c r="EA11" s="40">
        <f>(s_C*s_IFP_far_adj*s_CF_far_poultry*up_RadSpec!AJ11*s_Q_w_poultry*(1/1000))</f>
        <v>343.75</v>
      </c>
      <c r="EB11" s="40">
        <f>(s_C*s_IFE_far_adj*s_CF_far_egg*up_RadSpec!AK11*s_Q_w_egg*(1/1000))</f>
        <v>343.75</v>
      </c>
      <c r="EC11" s="40">
        <f>(s_C*s_IFGO_far_adj*s_CF_far_goat*up_RadSpec!AO11*s_Q_p_goat*(1/1000))</f>
        <v>343.75</v>
      </c>
      <c r="ED11" s="40">
        <f>(s_C*s_IFGM_far_adj*s_CF_far_goat_milk*up_RadSpec!AP11*(1/s_D_milk)*s_Q_p_goat_milk*(1/1000))</f>
        <v>333.73786407766988</v>
      </c>
      <c r="EE11" s="40">
        <f>(s_C*s_IFSH_far_adj*s_CF_far_sheep*up_RadSpec!AM11*s_Q_p_sheep*(1/1000))</f>
        <v>343.75</v>
      </c>
      <c r="EF11" s="40">
        <f>(s_C*s_IFSM_far_adj*s_CF_far_sheep_milk*up_RadSpec!AN11*(1/s_D_milk)*s_Q_p_sheep_milk*(1/1000))</f>
        <v>333.73786407766988</v>
      </c>
      <c r="EG11" s="18"/>
      <c r="EH11" s="18"/>
      <c r="EI11" s="18"/>
      <c r="EJ11" s="18"/>
      <c r="EK11" s="18"/>
      <c r="EL11" s="18"/>
      <c r="EM11" s="18"/>
      <c r="EN11" s="18"/>
      <c r="EO11" s="18"/>
      <c r="EP11" s="18"/>
      <c r="EQ11" s="18"/>
      <c r="ER11" s="18"/>
      <c r="ES11" s="18"/>
      <c r="ET11" s="18"/>
      <c r="EU11" s="5"/>
      <c r="EV11" s="15">
        <f>IFERROR((s_TR/(up_RadSpec!G11*s_IFA_far_adj)),".")</f>
        <v>1.0971428571428573E-9</v>
      </c>
      <c r="EW11" s="15">
        <f>IFERROR((s_TR/(up_RadSpec!J11*s_EF_far*(1/365)*s_ED_far*s_ET_far*(1/24)*s_GSF_a)),".")</f>
        <v>1.7520000000000001E-6</v>
      </c>
      <c r="EX11" s="15">
        <f t="shared" si="48"/>
        <v>1.0964562309317064E-9</v>
      </c>
      <c r="EY11" s="40">
        <f t="shared" si="46"/>
        <v>911.45833333333326</v>
      </c>
      <c r="EZ11" s="40">
        <f t="shared" si="47"/>
        <v>0.57077625570776247</v>
      </c>
      <c r="FA11" s="122"/>
      <c r="FB11" s="122"/>
      <c r="FC11" s="122"/>
    </row>
    <row r="12" spans="1:159" customFormat="1" x14ac:dyDescent="0.25">
      <c r="A12" s="44" t="s">
        <v>22</v>
      </c>
      <c r="B12" s="42" t="s">
        <v>1074</v>
      </c>
      <c r="C12" s="15">
        <f>up_dir!AB12</f>
        <v>1.8181818181818181E-11</v>
      </c>
      <c r="D12" s="15">
        <f>IFERROR(s_TR/(up_RadSpec!E12*s_IFP_far_adj*s_CF_far_poultry),".")</f>
        <v>7.2727272727272723E-11</v>
      </c>
      <c r="E12" s="15">
        <f>IFERROR(s_TR/(up_RadSpec!E12*s_IFE_far_adj*s_CF_far_egg),".")</f>
        <v>7.2727272727272723E-11</v>
      </c>
      <c r="F12" s="15">
        <f>IFERROR(s_TR/(up_RadSpec!E12*s_IFB_far_adj*s_CF_far_beef),".")</f>
        <v>7.2727272727272723E-11</v>
      </c>
      <c r="G12" s="15">
        <f>IFERROR(s_TR/(up_RadSpec!E12*s_IFD_far_adj*s_CF_far_dairy),".")</f>
        <v>7.2727272727272723E-11</v>
      </c>
      <c r="H12" s="15">
        <f>IFERROR(s_TR/(up_RadSpec!E12*s_IFSW_far_adj*s_CF_far_swine),".")</f>
        <v>7.2727272727272723E-11</v>
      </c>
      <c r="I12" s="15">
        <f>IFERROR(s_TR/(up_RadSpec!E12*s_IFFI_far_adj*s_CF_far_fish),".")</f>
        <v>7.2727272727272723E-11</v>
      </c>
      <c r="J12" s="15">
        <f>IFERROR(s_TR/(up_RadSpec!E12*s_IFGO_far_adj*s_CF_far_goat),".")</f>
        <v>7.2727272727272723E-11</v>
      </c>
      <c r="K12" s="15">
        <f>IFERROR(s_TR/(up_RadSpec!E12*s_IFSH_far_adj*s_CF_far_sheep),".")</f>
        <v>7.2727272727272723E-11</v>
      </c>
      <c r="L12" s="15">
        <f>IFERROR(s_TR/(up_RadSpec!E12*s_IFGM_far_adj*s_CF_far_goat_milk),".")</f>
        <v>7.2727272727272723E-11</v>
      </c>
      <c r="M12" s="15">
        <f>IFERROR(s_TR/(up_RadSpec!E12*s_IFSM_far_adj*s_CF_far_sheep_milk),".")</f>
        <v>7.2727272727272723E-11</v>
      </c>
      <c r="N12" s="40">
        <f>up_dir!BA12</f>
        <v>55000</v>
      </c>
      <c r="O12" s="40">
        <f t="shared" si="0"/>
        <v>13750</v>
      </c>
      <c r="P12" s="40">
        <f t="shared" si="1"/>
        <v>13750</v>
      </c>
      <c r="Q12" s="40">
        <f t="shared" si="2"/>
        <v>13750</v>
      </c>
      <c r="R12" s="40">
        <f t="shared" si="3"/>
        <v>13750</v>
      </c>
      <c r="S12" s="40">
        <f t="shared" si="4"/>
        <v>13750</v>
      </c>
      <c r="T12" s="40">
        <f t="shared" si="5"/>
        <v>13750</v>
      </c>
      <c r="U12" s="40">
        <f t="shared" si="6"/>
        <v>13750</v>
      </c>
      <c r="V12" s="40">
        <f t="shared" si="7"/>
        <v>13750</v>
      </c>
      <c r="W12" s="40">
        <f t="shared" si="8"/>
        <v>13750</v>
      </c>
      <c r="X12" s="40">
        <f t="shared" si="9"/>
        <v>13750</v>
      </c>
      <c r="Y12" s="5"/>
      <c r="Z12" s="5"/>
      <c r="AA12" s="5"/>
      <c r="AB12" s="5"/>
      <c r="AC12" s="5"/>
      <c r="AD12" s="5"/>
      <c r="AE12" s="5"/>
      <c r="AF12" s="5"/>
      <c r="AG12" s="5"/>
      <c r="AH12" s="5"/>
      <c r="AI12" s="5"/>
      <c r="AJ12" s="45">
        <f>IFERROR((s_TR/(up_RadSpec!D12*s_IFS_far_adj*(1/1000)))*1,".")</f>
        <v>3.6363636363636363E-8</v>
      </c>
      <c r="AK12" s="45">
        <f>IFERROR(IF(A12="H-3",(s_TR/(up_RadSpec!G12*s_IFA_far_adj*(1/17)*1000))*1,(s_TR/(up_RadSpec!G12*s_IFA_far_adj*(1/s_PEF_wind)*1000))*1),".")</f>
        <v>3.3989909629864073E-4</v>
      </c>
      <c r="AL12" s="45">
        <f>IFERROR((s_TR/(up_RadSpec!F12*s_EF_far*(1/365)*s_ED_far*up_RadSpec!Q12*((s_ET_far_o*(1/24)*up_RadSpec!V12)+(s_ET_far_i*(1/24)*up_RadSpec!AA12))))*1,".")</f>
        <v>3.2670943396226411E-5</v>
      </c>
      <c r="AM12" s="45">
        <f>up_b2s!BA12</f>
        <v>3.6265718922545492E-12</v>
      </c>
      <c r="AN12" s="45">
        <f>IFERROR(((I12*up_RadSpec!AS12)/up_RadSpec!AI12)*1,".")</f>
        <v>7.2727272727272723E-11</v>
      </c>
      <c r="AO12" s="45">
        <f>IFERROR((F12/(up_RadSpec!AH12*((s_Q_p_beef*s_f_p_beef*s_f_s_beef*(up_RadSpec!BB12+s_R_es_past))+(s_Q_s_beef*s_f_p_beef))))*1,".")</f>
        <v>2.0414673046251994E-14</v>
      </c>
      <c r="AP12" s="45">
        <f>IFERROR(((G12*s_D_milk)/(up_RadSpec!AG12*((s_Q_p_dairy*s_f_p_dairy*s_f_s_dairy*(up_RadSpec!BB12+s_R_es_past))+(s_Q_s_dairy*s_f_p_dairy))))*1,".")</f>
        <v>2.102711323763955E-14</v>
      </c>
      <c r="AQ12" s="45">
        <f>IFERROR((H12/(up_RadSpec!AL12*((s_Q_p_swine*s_f_p_swine*s_f_s_swine*(up_RadSpec!BB12+s_R_es_past))+(s_Q_s_swine*s_f_p_swine))))*1,".")</f>
        <v>2.0414673046251994E-14</v>
      </c>
      <c r="AR12" s="45">
        <f>IFERROR((D12/(up_RadSpec!AJ12*((s_Q_p_poultry*s_f_p_poultry*s_f_s_poultry*(up_RadSpec!BB12+s_R_es_past))+(s_Q_s_poultry*s_f_p_poultry))))*1,".")</f>
        <v>2.0414673046251994E-14</v>
      </c>
      <c r="AS12" s="45">
        <f>IFERROR((E12/(up_RadSpec!AK12*((s_Q_p_poultry*s_f_p_poultry*s_f_s_poultry*(up_RadSpec!BB12+s_R_es_past))+(s_Q_s_poultry*s_f_p_poultry))))*1,".")</f>
        <v>2.0414673046251994E-14</v>
      </c>
      <c r="AT12" s="45">
        <f>IFERROR((J12/(up_RadSpec!AO12*((s_Q_p_goat*s_f_p_goat*s_f_s_goat*(up_RadSpec!BB12+s_R_es_past))+(s_Q_s_goat*s_f_p_goat))))*1,".")</f>
        <v>2.0414673046251994E-14</v>
      </c>
      <c r="AU12" s="45">
        <f>IFERROR((L12*s_D_milk/(up_RadSpec!AP12*((s_Q_p_goat_milk*s_f_p_goat_milk*s_f_s_goat_milk*(up_RadSpec!BB12+s_R_es_past))+(s_Q_s_goat_milk*s_f_p_goat_milk))))*1,".")</f>
        <v>2.102711323763955E-14</v>
      </c>
      <c r="AV12" s="45">
        <f>IFERROR((K12/(up_RadSpec!AM12*((s_Q_p_sheep*s_f_p_sheep*s_f_s_sheep*(up_RadSpec!BB12+s_R_es_past))+(s_Q_s_sheep*s_f_p_sheep))))*1,".")</f>
        <v>2.0414673046251994E-14</v>
      </c>
      <c r="AW12" s="45">
        <f>IFERROR((M12*s_D_milk/(up_RadSpec!AN12*((s_Q_p_sheep_milk*s_f_p_sheep_milk*s_f_s_sheep_milk*(up_RadSpec!BB12+s_R_es_past))+(s_Q_s_sheep_milk*s_f_p_sheep_milk))))*1,".")</f>
        <v>2.102711323763955E-14</v>
      </c>
      <c r="AX12" s="120">
        <f t="shared" si="10"/>
        <v>27500000</v>
      </c>
      <c r="AY12" s="120">
        <f t="shared" si="11"/>
        <v>2942.0495991003877</v>
      </c>
      <c r="AZ12" s="120">
        <f t="shared" si="12"/>
        <v>30608.237658527574</v>
      </c>
      <c r="BA12" s="120">
        <f t="shared" si="13"/>
        <v>275742500000</v>
      </c>
      <c r="BB12" s="120">
        <f t="shared" si="14"/>
        <v>13750000000</v>
      </c>
      <c r="BC12" s="120">
        <f t="shared" si="15"/>
        <v>48984375000000</v>
      </c>
      <c r="BD12" s="120">
        <f t="shared" si="16"/>
        <v>47557645631067.969</v>
      </c>
      <c r="BE12" s="120">
        <f t="shared" si="17"/>
        <v>48984375000000</v>
      </c>
      <c r="BF12" s="120">
        <f t="shared" si="18"/>
        <v>48984375000000</v>
      </c>
      <c r="BG12" s="120">
        <f t="shared" si="19"/>
        <v>48984375000000</v>
      </c>
      <c r="BH12" s="120">
        <f t="shared" si="20"/>
        <v>48984375000000</v>
      </c>
      <c r="BI12" s="120">
        <f t="shared" si="21"/>
        <v>47557645631067.969</v>
      </c>
      <c r="BJ12" s="120">
        <f t="shared" si="22"/>
        <v>48984375000000</v>
      </c>
      <c r="BK12" s="120">
        <f t="shared" si="23"/>
        <v>47557645631067.969</v>
      </c>
      <c r="BL12" s="15">
        <f t="shared" si="24"/>
        <v>2.2890172359442097E-15</v>
      </c>
      <c r="BM12" s="40">
        <f t="shared" si="25"/>
        <v>27.5</v>
      </c>
      <c r="BN12" s="40">
        <f t="shared" si="26"/>
        <v>2.9420495991003873E-3</v>
      </c>
      <c r="BO12" s="40">
        <f>IFERROR((s_C*s_EF_far*(1/365)*s_ED_far*up_RadSpec!Q12*((s_ET_far_o*(1/24)*up_RadSpec!V12)+(s_ET_far_i*(1/24)*up_RadSpec!AA12))),".")</f>
        <v>3.0608237658527573E-2</v>
      </c>
      <c r="BP12" s="40">
        <f>up_b2s!BZ12</f>
        <v>275742.5</v>
      </c>
      <c r="BQ12" s="40">
        <f>IFERROR(((s_C*up_RadSpec!AI12)/up_RadSpec!AS12)*s_IFFI_far_adj*s_CF_far_fish,0)</f>
        <v>13750</v>
      </c>
      <c r="BR12" s="40">
        <f>(s_C*s_IFB_far_adj*s_CF_far_beef*up_RadSpec!AH12*((s_Q_p_beef*s_f_p_beef*s_f_s_beef*(up_RadSpec!$AR12+s_R_es_past))+(s_Q_s_beef*s_f_p_beef)))</f>
        <v>48984375</v>
      </c>
      <c r="BS12" s="40">
        <f>(s_C*s_IFD_far_adj*s_CF_far_dairy*up_RadSpec!AG12*1/s_D_milk*((s_Q_p_dairy*s_f_p_dairy*s_f_s_dairy*(up_RadSpec!$AR12+s_R_es_past))+(s_Q_s_dairy*s_f_p_dairy)))</f>
        <v>47557645.631067954</v>
      </c>
      <c r="BT12" s="40">
        <f>(s_C*s_IFSW_far_adj*s_CF_far_swine*up_RadSpec!AL12*((s_Q_p_swine*s_f_p_swine*s_f_s_swine*(up_RadSpec!$AR12+s_R_es_past))+(s_Q_s_swine*s_f_p_swine)))</f>
        <v>48984375</v>
      </c>
      <c r="BU12" s="40">
        <f>(s_C*s_IFP_far_adj*s_CF_far_poultry*up_RadSpec!AJ12*((s_Q_p_poultry*s_f_p_poultry*s_f_s_poultry*(up_RadSpec!AR12+s_R_es_past))+(s_Q_s_poultry*s_f_p_poultry)))</f>
        <v>48984375</v>
      </c>
      <c r="BV12" s="40">
        <f>(s_C*s_IFE_far_adj*s_CF_far_egg*up_RadSpec!AK12*((s_Q_p_egg*s_f_p_egg*s_f_s_egg*(up_RadSpec!$AR12+s_R_es_past))+(s_Q_s_egg*s_f_p_egg)))</f>
        <v>48984375</v>
      </c>
      <c r="BW12" s="40">
        <f>(s_C*s_IFGO_far_adj*s_CF_far_goat*up_RadSpec!AO12*((s_Q_p_goat*s_f_p_goat*s_f_s_goat*(up_RadSpec!$AR12+s_R_es_past))+(s_Q_s_goat*s_f_p_goat)))</f>
        <v>48984375</v>
      </c>
      <c r="BX12" s="40">
        <f>(s_C*s_IFGM_far_adj*s_CF_far_goat_milk*up_RadSpec!AP12*1/s_D_milk*((s_Q_p_goat_milk*s_f_p_goat_milk*s_f_s_goat_milk*(up_RadSpec!$AR12+s_R_es_past))+(s_Q_s_goat_milk*s_f_p_goat_milk)))</f>
        <v>47557645.631067954</v>
      </c>
      <c r="BY12" s="40">
        <f>(s_C*s_IFSH_far_adj*s_CF_far_sheep*up_RadSpec!AM12*((s_Q_p_sheep*s_f_p_sheep*s_f_s_sheep*(up_RadSpec!$AR12+s_R_es_past))+(s_Q_s_sheep*s_f_p_sheep)))</f>
        <v>48984375</v>
      </c>
      <c r="BZ12" s="40">
        <f>(s_C*s_IFSM_far_adj*s_CF_far_sheep_milk*up_RadSpec!AN12*1/s_D_milk*((s_Q_p_sheep_milk*s_f_p_sheep_milk*s_f_s_sheep_milk*(up_RadSpec!$AR12+s_R_es_past))+(s_Q_s_sheep_milk*s_f_p_sheep_milk)))</f>
        <v>47557645.631067954</v>
      </c>
      <c r="CA12" s="45"/>
      <c r="CB12" s="45"/>
      <c r="CC12" s="45"/>
      <c r="CD12" s="45"/>
      <c r="CE12" s="45"/>
      <c r="CF12" s="45"/>
      <c r="CG12" s="45"/>
      <c r="CH12" s="45"/>
      <c r="CI12" s="45"/>
      <c r="CJ12" s="45"/>
      <c r="CK12" s="45"/>
      <c r="CL12" s="45"/>
      <c r="CM12" s="45"/>
      <c r="CN12" s="45"/>
      <c r="CO12" s="15"/>
      <c r="CP12" s="15">
        <f>IFERROR(s_TR/(up_RadSpec!H12*s_IFW_far_adj),".")</f>
        <v>3.9999999999999996E-10</v>
      </c>
      <c r="CQ12" s="15" t="str">
        <f>IFERROR(IF(up_RadSpec!C12=1,s_TR/(up_RadSpec!G12*s_IFA_far_adj*s_K),"."),".")</f>
        <v>.</v>
      </c>
      <c r="CR12" s="15">
        <f>IFERROR((s_TR/(up_RadSpec!L12*(1/8760)*s_DFA_far_adj)),".")</f>
        <v>4.3800000000000004E-6</v>
      </c>
      <c r="CS12" s="15">
        <f>up_b2w!BA12</f>
        <v>1.8087754064641833E-11</v>
      </c>
      <c r="CT12" s="15">
        <f>IFERROR(I12/(up_RadSpec!AI12*(1/1000)),".")</f>
        <v>1.4545454545454544E-8</v>
      </c>
      <c r="CU12" s="15">
        <f>IFERROR(F12/(up_RadSpec!AH12*s_Q_w_beef*(1/1000)),".")</f>
        <v>2.9090909090909087E-9</v>
      </c>
      <c r="CV12" s="15">
        <f>IFERROR((G12*s_D_milk)/(up_RadSpec!AG12*s_Q_w_dairy*(1/1000)),".")</f>
        <v>2.9963636363636357E-9</v>
      </c>
      <c r="CW12" s="15">
        <f>IFERROR(H12/(up_RadSpec!AL12*s_Q_w_swine*(1/1000)),".")</f>
        <v>2.9090909090909087E-9</v>
      </c>
      <c r="CX12" s="15">
        <f>IFERROR(D12/(up_RadSpec!AJ12*s_Q_w_poultry*(1/1000)),".")</f>
        <v>2.9090909090909087E-9</v>
      </c>
      <c r="CY12" s="15">
        <f>IFERROR(E12/(up_RadSpec!AK12*s_Q_w_poultry*(1/1000)),".")</f>
        <v>2.9090909090909087E-9</v>
      </c>
      <c r="CZ12" s="15">
        <f>IFERROR(J12/(up_RadSpec!AO12*s_Q_w_goat*(1/1000)),".")</f>
        <v>2.9090909090909087E-9</v>
      </c>
      <c r="DA12" s="15">
        <f>IFERROR(L12*s_D_milk/(up_RadSpec!AP12*s_Q_w_goat_milk*(1/1000)),".")</f>
        <v>2.9963636363636357E-9</v>
      </c>
      <c r="DB12" s="15">
        <f>IFERROR(K12/(up_RadSpec!AM12*s_Q_w_sheep*(1/1000)),".")</f>
        <v>2.9090909090909087E-9</v>
      </c>
      <c r="DC12" s="15">
        <f>IFERROR(M12*s_D_milk/(up_RadSpec!AN12*s_Q_w_sheep_milk*(1/1000)),".")</f>
        <v>2.9963636363636357E-9</v>
      </c>
      <c r="DD12" s="120">
        <f t="shared" si="27"/>
        <v>2500000000</v>
      </c>
      <c r="DE12" s="120" t="str">
        <f t="shared" si="28"/>
        <v>.</v>
      </c>
      <c r="DF12" s="120">
        <f t="shared" si="29"/>
        <v>228310.50228310502</v>
      </c>
      <c r="DG12" s="120">
        <f t="shared" si="30"/>
        <v>55286023705.663513</v>
      </c>
      <c r="DH12" s="120">
        <f t="shared" si="31"/>
        <v>68750000</v>
      </c>
      <c r="DI12" s="120">
        <f t="shared" si="32"/>
        <v>343750000.00000006</v>
      </c>
      <c r="DJ12" s="120">
        <f t="shared" si="33"/>
        <v>333737864.07766998</v>
      </c>
      <c r="DK12" s="120">
        <f t="shared" si="34"/>
        <v>343750000.00000006</v>
      </c>
      <c r="DL12" s="120">
        <f t="shared" si="35"/>
        <v>343750000.00000006</v>
      </c>
      <c r="DM12" s="120">
        <f t="shared" si="36"/>
        <v>343750000.00000006</v>
      </c>
      <c r="DN12" s="120">
        <f t="shared" si="37"/>
        <v>343750000.00000006</v>
      </c>
      <c r="DO12" s="120">
        <f t="shared" si="38"/>
        <v>333737864.07766998</v>
      </c>
      <c r="DP12" s="120">
        <f t="shared" si="39"/>
        <v>343750000.00000006</v>
      </c>
      <c r="DQ12" s="120">
        <f t="shared" si="40"/>
        <v>333737864.07766998</v>
      </c>
      <c r="DR12" s="15">
        <f t="shared" si="41"/>
        <v>1.6415316541278672E-11</v>
      </c>
      <c r="DS12" s="40">
        <f t="shared" si="42"/>
        <v>2500</v>
      </c>
      <c r="DT12" s="40">
        <f t="shared" si="43"/>
        <v>455.72916666666663</v>
      </c>
      <c r="DU12" s="40">
        <f t="shared" si="44"/>
        <v>0.22831050228310501</v>
      </c>
      <c r="DV12" s="40">
        <f>up_b2w!BZ12</f>
        <v>55286.023705663516</v>
      </c>
      <c r="DW12" s="40">
        <f>IFERROR(s_C*up_RadSpec!AI12*(1/1000)*s_IFFI_far_adj*s_CF_far_fish,0)</f>
        <v>68.75</v>
      </c>
      <c r="DX12" s="40">
        <f>(s_C*s_IFB_far_adj*s_CF_far_beef*up_RadSpec!AH12*s_Q_w_beef*(1/1000))</f>
        <v>343.75</v>
      </c>
      <c r="DY12" s="40">
        <f>(s_C*s_IFD_far_adj*s_CF_far_dairy*up_RadSpec!AG12*(1/s_D_milk)*s_Q_w_dairy*(1/1000))</f>
        <v>333.73786407766988</v>
      </c>
      <c r="DZ12" s="40">
        <f>(s_C*s_IFSW_far_adj*s_CF_far_swine*up_RadSpec!AL12*s_Q_w_swine*(1/1000))</f>
        <v>343.75</v>
      </c>
      <c r="EA12" s="40">
        <f>(s_C*s_IFP_far_adj*s_CF_far_poultry*up_RadSpec!AJ12*s_Q_w_poultry*(1/1000))</f>
        <v>343.75</v>
      </c>
      <c r="EB12" s="40">
        <f>(s_C*s_IFE_far_adj*s_CF_far_egg*up_RadSpec!AK12*s_Q_w_egg*(1/1000))</f>
        <v>343.75</v>
      </c>
      <c r="EC12" s="40">
        <f>(s_C*s_IFGO_far_adj*s_CF_far_goat*up_RadSpec!AO12*s_Q_p_goat*(1/1000))</f>
        <v>343.75</v>
      </c>
      <c r="ED12" s="40">
        <f>(s_C*s_IFGM_far_adj*s_CF_far_goat_milk*up_RadSpec!AP12*(1/s_D_milk)*s_Q_p_goat_milk*(1/1000))</f>
        <v>333.73786407766988</v>
      </c>
      <c r="EE12" s="40">
        <f>(s_C*s_IFSH_far_adj*s_CF_far_sheep*up_RadSpec!AM12*s_Q_p_sheep*(1/1000))</f>
        <v>343.75</v>
      </c>
      <c r="EF12" s="40">
        <f>(s_C*s_IFSM_far_adj*s_CF_far_sheep_milk*up_RadSpec!AN12*(1/s_D_milk)*s_Q_p_sheep_milk*(1/1000))</f>
        <v>333.73786407766988</v>
      </c>
      <c r="EG12" s="18"/>
      <c r="EH12" s="18"/>
      <c r="EI12" s="18"/>
      <c r="EJ12" s="18"/>
      <c r="EK12" s="18"/>
      <c r="EL12" s="18"/>
      <c r="EM12" s="18"/>
      <c r="EN12" s="18"/>
      <c r="EO12" s="18"/>
      <c r="EP12" s="18"/>
      <c r="EQ12" s="18"/>
      <c r="ER12" s="18"/>
      <c r="ES12" s="18"/>
      <c r="ET12" s="18"/>
      <c r="EU12" s="5"/>
      <c r="EV12" s="15">
        <f>IFERROR((s_TR/(up_RadSpec!G12*s_IFA_far_adj)),".")</f>
        <v>1.0971428571428573E-9</v>
      </c>
      <c r="EW12" s="15">
        <f>IFERROR((s_TR/(up_RadSpec!J12*s_EF_far*(1/365)*s_ED_far*s_ET_far*(1/24)*s_GSF_a)),".")</f>
        <v>1.7520000000000001E-6</v>
      </c>
      <c r="EX12" s="15">
        <f t="shared" si="48"/>
        <v>1.0964562309317064E-9</v>
      </c>
      <c r="EY12" s="40">
        <f t="shared" si="46"/>
        <v>911.45833333333326</v>
      </c>
      <c r="EZ12" s="40">
        <f t="shared" si="47"/>
        <v>0.57077625570776247</v>
      </c>
      <c r="FA12" s="122"/>
      <c r="FB12" s="122"/>
      <c r="FC12" s="122"/>
    </row>
    <row r="13" spans="1:159" customFormat="1" x14ac:dyDescent="0.25">
      <c r="A13" s="44" t="s">
        <v>23</v>
      </c>
      <c r="B13" s="42" t="s">
        <v>1074</v>
      </c>
      <c r="C13" s="15">
        <f>up_dir!AB13</f>
        <v>1.8181818181818181E-11</v>
      </c>
      <c r="D13" s="15">
        <f>IFERROR(s_TR/(up_RadSpec!E13*s_IFP_far_adj*s_CF_far_poultry),".")</f>
        <v>7.2727272727272723E-11</v>
      </c>
      <c r="E13" s="15">
        <f>IFERROR(s_TR/(up_RadSpec!E13*s_IFE_far_adj*s_CF_far_egg),".")</f>
        <v>7.2727272727272723E-11</v>
      </c>
      <c r="F13" s="15">
        <f>IFERROR(s_TR/(up_RadSpec!E13*s_IFB_far_adj*s_CF_far_beef),".")</f>
        <v>7.2727272727272723E-11</v>
      </c>
      <c r="G13" s="15">
        <f>IFERROR(s_TR/(up_RadSpec!E13*s_IFD_far_adj*s_CF_far_dairy),".")</f>
        <v>7.2727272727272723E-11</v>
      </c>
      <c r="H13" s="15">
        <f>IFERROR(s_TR/(up_RadSpec!E13*s_IFSW_far_adj*s_CF_far_swine),".")</f>
        <v>7.2727272727272723E-11</v>
      </c>
      <c r="I13" s="15">
        <f>IFERROR(s_TR/(up_RadSpec!E13*s_IFFI_far_adj*s_CF_far_fish),".")</f>
        <v>7.2727272727272723E-11</v>
      </c>
      <c r="J13" s="15">
        <f>IFERROR(s_TR/(up_RadSpec!E13*s_IFGO_far_adj*s_CF_far_goat),".")</f>
        <v>7.2727272727272723E-11</v>
      </c>
      <c r="K13" s="15">
        <f>IFERROR(s_TR/(up_RadSpec!E13*s_IFSH_far_adj*s_CF_far_sheep),".")</f>
        <v>7.2727272727272723E-11</v>
      </c>
      <c r="L13" s="15">
        <f>IFERROR(s_TR/(up_RadSpec!E13*s_IFGM_far_adj*s_CF_far_goat_milk),".")</f>
        <v>7.2727272727272723E-11</v>
      </c>
      <c r="M13" s="15">
        <f>IFERROR(s_TR/(up_RadSpec!E13*s_IFSM_far_adj*s_CF_far_sheep_milk),".")</f>
        <v>7.2727272727272723E-11</v>
      </c>
      <c r="N13" s="40">
        <f>up_dir!BA13</f>
        <v>55000</v>
      </c>
      <c r="O13" s="40">
        <f t="shared" si="0"/>
        <v>13750</v>
      </c>
      <c r="P13" s="40">
        <f t="shared" si="1"/>
        <v>13750</v>
      </c>
      <c r="Q13" s="40">
        <f t="shared" si="2"/>
        <v>13750</v>
      </c>
      <c r="R13" s="40">
        <f t="shared" si="3"/>
        <v>13750</v>
      </c>
      <c r="S13" s="40">
        <f t="shared" si="4"/>
        <v>13750</v>
      </c>
      <c r="T13" s="40">
        <f t="shared" si="5"/>
        <v>13750</v>
      </c>
      <c r="U13" s="40">
        <f t="shared" si="6"/>
        <v>13750</v>
      </c>
      <c r="V13" s="40">
        <f t="shared" si="7"/>
        <v>13750</v>
      </c>
      <c r="W13" s="40">
        <f t="shared" si="8"/>
        <v>13750</v>
      </c>
      <c r="X13" s="40">
        <f t="shared" si="9"/>
        <v>13750</v>
      </c>
      <c r="Y13" s="5"/>
      <c r="Z13" s="5"/>
      <c r="AA13" s="5"/>
      <c r="AB13" s="5"/>
      <c r="AC13" s="5"/>
      <c r="AD13" s="5"/>
      <c r="AE13" s="5"/>
      <c r="AF13" s="5"/>
      <c r="AG13" s="5"/>
      <c r="AH13" s="5"/>
      <c r="AI13" s="5"/>
      <c r="AJ13" s="45">
        <f>IFERROR((s_TR/(up_RadSpec!D13*s_IFS_far_adj*(1/1000)))*1,".")</f>
        <v>3.6363636363636363E-8</v>
      </c>
      <c r="AK13" s="45">
        <f>IFERROR(IF(A13="H-3",(s_TR/(up_RadSpec!G13*s_IFA_far_adj*(1/17)*1000))*1,(s_TR/(up_RadSpec!G13*s_IFA_far_adj*(1/s_PEF_wind)*1000))*1),".")</f>
        <v>3.3989909629864073E-4</v>
      </c>
      <c r="AL13" s="45">
        <f>IFERROR((s_TR/(up_RadSpec!F13*s_EF_far*(1/365)*s_ED_far*up_RadSpec!Q13*((s_ET_far_o*(1/24)*up_RadSpec!V13)+(s_ET_far_i*(1/24)*up_RadSpec!AA13))))*1,".")</f>
        <v>2.5112366603892043E-4</v>
      </c>
      <c r="AM13" s="45">
        <f>up_b2s!BA13</f>
        <v>3.6265718922545492E-12</v>
      </c>
      <c r="AN13" s="45">
        <f>IFERROR(((I13*up_RadSpec!AS13)/up_RadSpec!AI13)*1,".")</f>
        <v>7.2727272727272723E-11</v>
      </c>
      <c r="AO13" s="45">
        <f>IFERROR((F13/(up_RadSpec!AH13*((s_Q_p_beef*s_f_p_beef*s_f_s_beef*(up_RadSpec!BB13+s_R_es_past))+(s_Q_s_beef*s_f_p_beef))))*1,".")</f>
        <v>2.0414673046251994E-14</v>
      </c>
      <c r="AP13" s="45">
        <f>IFERROR(((G13*s_D_milk)/(up_RadSpec!AG13*((s_Q_p_dairy*s_f_p_dairy*s_f_s_dairy*(up_RadSpec!BB13+s_R_es_past))+(s_Q_s_dairy*s_f_p_dairy))))*1,".")</f>
        <v>2.102711323763955E-14</v>
      </c>
      <c r="AQ13" s="45">
        <f>IFERROR((H13/(up_RadSpec!AL13*((s_Q_p_swine*s_f_p_swine*s_f_s_swine*(up_RadSpec!BB13+s_R_es_past))+(s_Q_s_swine*s_f_p_swine))))*1,".")</f>
        <v>2.0414673046251994E-14</v>
      </c>
      <c r="AR13" s="45">
        <f>IFERROR((D13/(up_RadSpec!AJ13*((s_Q_p_poultry*s_f_p_poultry*s_f_s_poultry*(up_RadSpec!BB13+s_R_es_past))+(s_Q_s_poultry*s_f_p_poultry))))*1,".")</f>
        <v>2.0414673046251994E-14</v>
      </c>
      <c r="AS13" s="45">
        <f>IFERROR((E13/(up_RadSpec!AK13*((s_Q_p_poultry*s_f_p_poultry*s_f_s_poultry*(up_RadSpec!BB13+s_R_es_past))+(s_Q_s_poultry*s_f_p_poultry))))*1,".")</f>
        <v>2.0414673046251994E-14</v>
      </c>
      <c r="AT13" s="45">
        <f>IFERROR((J13/(up_RadSpec!AO13*((s_Q_p_goat*s_f_p_goat*s_f_s_goat*(up_RadSpec!BB13+s_R_es_past))+(s_Q_s_goat*s_f_p_goat))))*1,".")</f>
        <v>2.0414673046251994E-14</v>
      </c>
      <c r="AU13" s="45">
        <f>IFERROR((L13*s_D_milk/(up_RadSpec!AP13*((s_Q_p_goat_milk*s_f_p_goat_milk*s_f_s_goat_milk*(up_RadSpec!BB13+s_R_es_past))+(s_Q_s_goat_milk*s_f_p_goat_milk))))*1,".")</f>
        <v>2.102711323763955E-14</v>
      </c>
      <c r="AV13" s="45">
        <f>IFERROR((K13/(up_RadSpec!AM13*((s_Q_p_sheep*s_f_p_sheep*s_f_s_sheep*(up_RadSpec!BB13+s_R_es_past))+(s_Q_s_sheep*s_f_p_sheep))))*1,".")</f>
        <v>2.0414673046251994E-14</v>
      </c>
      <c r="AW13" s="45">
        <f>IFERROR((M13*s_D_milk/(up_RadSpec!AN13*((s_Q_p_sheep_milk*s_f_p_sheep_milk*s_f_s_sheep_milk*(up_RadSpec!BB13+s_R_es_past))+(s_Q_s_sheep_milk*s_f_p_sheep_milk))))*1,".")</f>
        <v>2.102711323763955E-14</v>
      </c>
      <c r="AX13" s="120">
        <f t="shared" si="10"/>
        <v>27500000</v>
      </c>
      <c r="AY13" s="120">
        <f t="shared" si="11"/>
        <v>2942.0495991003877</v>
      </c>
      <c r="AZ13" s="120">
        <f t="shared" si="12"/>
        <v>3982.1017898210157</v>
      </c>
      <c r="BA13" s="120">
        <f t="shared" si="13"/>
        <v>275742500000</v>
      </c>
      <c r="BB13" s="120">
        <f t="shared" si="14"/>
        <v>13750000000</v>
      </c>
      <c r="BC13" s="120">
        <f t="shared" si="15"/>
        <v>48984375000000</v>
      </c>
      <c r="BD13" s="120">
        <f t="shared" si="16"/>
        <v>47557645631067.969</v>
      </c>
      <c r="BE13" s="120">
        <f t="shared" si="17"/>
        <v>48984375000000</v>
      </c>
      <c r="BF13" s="120">
        <f t="shared" si="18"/>
        <v>48984375000000</v>
      </c>
      <c r="BG13" s="120">
        <f t="shared" si="19"/>
        <v>48984375000000</v>
      </c>
      <c r="BH13" s="120">
        <f t="shared" si="20"/>
        <v>48984375000000</v>
      </c>
      <c r="BI13" s="120">
        <f t="shared" si="21"/>
        <v>47557645631067.969</v>
      </c>
      <c r="BJ13" s="120">
        <f t="shared" si="22"/>
        <v>48984375000000</v>
      </c>
      <c r="BK13" s="120">
        <f t="shared" si="23"/>
        <v>47557645631067.969</v>
      </c>
      <c r="BL13" s="15">
        <f t="shared" si="24"/>
        <v>2.2890172360837197E-15</v>
      </c>
      <c r="BM13" s="40">
        <f t="shared" si="25"/>
        <v>27.5</v>
      </c>
      <c r="BN13" s="40">
        <f t="shared" si="26"/>
        <v>2.9420495991003873E-3</v>
      </c>
      <c r="BO13" s="40">
        <f>IFERROR((s_C*s_EF_far*(1/365)*s_ED_far*up_RadSpec!Q13*((s_ET_far_o*(1/24)*up_RadSpec!V13)+(s_ET_far_i*(1/24)*up_RadSpec!AA13))),".")</f>
        <v>3.9821017898210151E-3</v>
      </c>
      <c r="BP13" s="40">
        <f>up_b2s!BZ13</f>
        <v>275742.5</v>
      </c>
      <c r="BQ13" s="40">
        <f>IFERROR(((s_C*up_RadSpec!AI13)/up_RadSpec!AS13)*s_IFFI_far_adj*s_CF_far_fish,0)</f>
        <v>13750</v>
      </c>
      <c r="BR13" s="40">
        <f>(s_C*s_IFB_far_adj*s_CF_far_beef*up_RadSpec!AH13*((s_Q_p_beef*s_f_p_beef*s_f_s_beef*(up_RadSpec!$AR13+s_R_es_past))+(s_Q_s_beef*s_f_p_beef)))</f>
        <v>48984375</v>
      </c>
      <c r="BS13" s="40">
        <f>(s_C*s_IFD_far_adj*s_CF_far_dairy*up_RadSpec!AG13*1/s_D_milk*((s_Q_p_dairy*s_f_p_dairy*s_f_s_dairy*(up_RadSpec!$AR13+s_R_es_past))+(s_Q_s_dairy*s_f_p_dairy)))</f>
        <v>47557645.631067954</v>
      </c>
      <c r="BT13" s="40">
        <f>(s_C*s_IFSW_far_adj*s_CF_far_swine*up_RadSpec!AL13*((s_Q_p_swine*s_f_p_swine*s_f_s_swine*(up_RadSpec!$AR13+s_R_es_past))+(s_Q_s_swine*s_f_p_swine)))</f>
        <v>48984375</v>
      </c>
      <c r="BU13" s="40">
        <f>(s_C*s_IFP_far_adj*s_CF_far_poultry*up_RadSpec!AJ13*((s_Q_p_poultry*s_f_p_poultry*s_f_s_poultry*(up_RadSpec!AR13+s_R_es_past))+(s_Q_s_poultry*s_f_p_poultry)))</f>
        <v>48984375</v>
      </c>
      <c r="BV13" s="40">
        <f>(s_C*s_IFE_far_adj*s_CF_far_egg*up_RadSpec!AK13*((s_Q_p_egg*s_f_p_egg*s_f_s_egg*(up_RadSpec!$AR13+s_R_es_past))+(s_Q_s_egg*s_f_p_egg)))</f>
        <v>48984375</v>
      </c>
      <c r="BW13" s="40">
        <f>(s_C*s_IFGO_far_adj*s_CF_far_goat*up_RadSpec!AO13*((s_Q_p_goat*s_f_p_goat*s_f_s_goat*(up_RadSpec!$AR13+s_R_es_past))+(s_Q_s_goat*s_f_p_goat)))</f>
        <v>48984375</v>
      </c>
      <c r="BX13" s="40">
        <f>(s_C*s_IFGM_far_adj*s_CF_far_goat_milk*up_RadSpec!AP13*1/s_D_milk*((s_Q_p_goat_milk*s_f_p_goat_milk*s_f_s_goat_milk*(up_RadSpec!$AR13+s_R_es_past))+(s_Q_s_goat_milk*s_f_p_goat_milk)))</f>
        <v>47557645.631067954</v>
      </c>
      <c r="BY13" s="40">
        <f>(s_C*s_IFSH_far_adj*s_CF_far_sheep*up_RadSpec!AM13*((s_Q_p_sheep*s_f_p_sheep*s_f_s_sheep*(up_RadSpec!$AR13+s_R_es_past))+(s_Q_s_sheep*s_f_p_sheep)))</f>
        <v>48984375</v>
      </c>
      <c r="BZ13" s="40">
        <f>(s_C*s_IFSM_far_adj*s_CF_far_sheep_milk*up_RadSpec!AN13*1/s_D_milk*((s_Q_p_sheep_milk*s_f_p_sheep_milk*s_f_s_sheep_milk*(up_RadSpec!$AR13+s_R_es_past))+(s_Q_s_sheep_milk*s_f_p_sheep_milk)))</f>
        <v>47557645.631067954</v>
      </c>
      <c r="CA13" s="45"/>
      <c r="CB13" s="45"/>
      <c r="CC13" s="45"/>
      <c r="CD13" s="45"/>
      <c r="CE13" s="45"/>
      <c r="CF13" s="45"/>
      <c r="CG13" s="45"/>
      <c r="CH13" s="45"/>
      <c r="CI13" s="45"/>
      <c r="CJ13" s="45"/>
      <c r="CK13" s="45"/>
      <c r="CL13" s="45"/>
      <c r="CM13" s="45"/>
      <c r="CN13" s="45"/>
      <c r="CO13" s="15"/>
      <c r="CP13" s="15">
        <f>IFERROR(s_TR/(up_RadSpec!H13*s_IFW_far_adj),".")</f>
        <v>3.9999999999999996E-10</v>
      </c>
      <c r="CQ13" s="15" t="str">
        <f>IFERROR(IF(up_RadSpec!C13=1,s_TR/(up_RadSpec!G13*s_IFA_far_adj*s_K),"."),".")</f>
        <v>.</v>
      </c>
      <c r="CR13" s="15">
        <f>IFERROR((s_TR/(up_RadSpec!L13*(1/8760)*s_DFA_far_adj)),".")</f>
        <v>4.3800000000000004E-6</v>
      </c>
      <c r="CS13" s="15">
        <f>up_b2w!BA13</f>
        <v>1.8087754064641833E-11</v>
      </c>
      <c r="CT13" s="15">
        <f>IFERROR(I13/(up_RadSpec!AI13*(1/1000)),".")</f>
        <v>1.4545454545454544E-8</v>
      </c>
      <c r="CU13" s="15">
        <f>IFERROR(F13/(up_RadSpec!AH13*s_Q_w_beef*(1/1000)),".")</f>
        <v>2.9090909090909087E-9</v>
      </c>
      <c r="CV13" s="15">
        <f>IFERROR((G13*s_D_milk)/(up_RadSpec!AG13*s_Q_w_dairy*(1/1000)),".")</f>
        <v>2.9963636363636357E-9</v>
      </c>
      <c r="CW13" s="15">
        <f>IFERROR(H13/(up_RadSpec!AL13*s_Q_w_swine*(1/1000)),".")</f>
        <v>2.9090909090909087E-9</v>
      </c>
      <c r="CX13" s="15">
        <f>IFERROR(D13/(up_RadSpec!AJ13*s_Q_w_poultry*(1/1000)),".")</f>
        <v>2.9090909090909087E-9</v>
      </c>
      <c r="CY13" s="15">
        <f>IFERROR(E13/(up_RadSpec!AK13*s_Q_w_poultry*(1/1000)),".")</f>
        <v>2.9090909090909087E-9</v>
      </c>
      <c r="CZ13" s="15">
        <f>IFERROR(J13/(up_RadSpec!AO13*s_Q_w_goat*(1/1000)),".")</f>
        <v>2.9090909090909087E-9</v>
      </c>
      <c r="DA13" s="15">
        <f>IFERROR(L13*s_D_milk/(up_RadSpec!AP13*s_Q_w_goat_milk*(1/1000)),".")</f>
        <v>2.9963636363636357E-9</v>
      </c>
      <c r="DB13" s="15">
        <f>IFERROR(K13/(up_RadSpec!AM13*s_Q_w_sheep*(1/1000)),".")</f>
        <v>2.9090909090909087E-9</v>
      </c>
      <c r="DC13" s="15">
        <f>IFERROR(M13*s_D_milk/(up_RadSpec!AN13*s_Q_w_sheep_milk*(1/1000)),".")</f>
        <v>2.9963636363636357E-9</v>
      </c>
      <c r="DD13" s="120">
        <f t="shared" si="27"/>
        <v>2500000000</v>
      </c>
      <c r="DE13" s="120" t="str">
        <f t="shared" si="28"/>
        <v>.</v>
      </c>
      <c r="DF13" s="120">
        <f t="shared" si="29"/>
        <v>228310.50228310502</v>
      </c>
      <c r="DG13" s="120">
        <f t="shared" si="30"/>
        <v>55286023705.663513</v>
      </c>
      <c r="DH13" s="120">
        <f t="shared" si="31"/>
        <v>68750000</v>
      </c>
      <c r="DI13" s="120">
        <f t="shared" si="32"/>
        <v>343750000.00000006</v>
      </c>
      <c r="DJ13" s="120">
        <f t="shared" si="33"/>
        <v>333737864.07766998</v>
      </c>
      <c r="DK13" s="120">
        <f t="shared" si="34"/>
        <v>343750000.00000006</v>
      </c>
      <c r="DL13" s="120">
        <f t="shared" si="35"/>
        <v>343750000.00000006</v>
      </c>
      <c r="DM13" s="120">
        <f t="shared" si="36"/>
        <v>343750000.00000006</v>
      </c>
      <c r="DN13" s="120">
        <f t="shared" si="37"/>
        <v>343750000.00000006</v>
      </c>
      <c r="DO13" s="120">
        <f t="shared" si="38"/>
        <v>333737864.07766998</v>
      </c>
      <c r="DP13" s="120">
        <f t="shared" si="39"/>
        <v>343750000.00000006</v>
      </c>
      <c r="DQ13" s="120">
        <f t="shared" si="40"/>
        <v>333737864.07766998</v>
      </c>
      <c r="DR13" s="15">
        <f t="shared" si="41"/>
        <v>1.6415316541278672E-11</v>
      </c>
      <c r="DS13" s="40">
        <f t="shared" si="42"/>
        <v>2500</v>
      </c>
      <c r="DT13" s="40">
        <f t="shared" si="43"/>
        <v>455.72916666666663</v>
      </c>
      <c r="DU13" s="40">
        <f t="shared" si="44"/>
        <v>0.22831050228310501</v>
      </c>
      <c r="DV13" s="40">
        <f>up_b2w!BZ13</f>
        <v>55286.023705663516</v>
      </c>
      <c r="DW13" s="40">
        <f>IFERROR(s_C*up_RadSpec!AI13*(1/1000)*s_IFFI_far_adj*s_CF_far_fish,0)</f>
        <v>68.75</v>
      </c>
      <c r="DX13" s="40">
        <f>(s_C*s_IFB_far_adj*s_CF_far_beef*up_RadSpec!AH13*s_Q_w_beef*(1/1000))</f>
        <v>343.75</v>
      </c>
      <c r="DY13" s="40">
        <f>(s_C*s_IFD_far_adj*s_CF_far_dairy*up_RadSpec!AG13*(1/s_D_milk)*s_Q_w_dairy*(1/1000))</f>
        <v>333.73786407766988</v>
      </c>
      <c r="DZ13" s="40">
        <f>(s_C*s_IFSW_far_adj*s_CF_far_swine*up_RadSpec!AL13*s_Q_w_swine*(1/1000))</f>
        <v>343.75</v>
      </c>
      <c r="EA13" s="40">
        <f>(s_C*s_IFP_far_adj*s_CF_far_poultry*up_RadSpec!AJ13*s_Q_w_poultry*(1/1000))</f>
        <v>343.75</v>
      </c>
      <c r="EB13" s="40">
        <f>(s_C*s_IFE_far_adj*s_CF_far_egg*up_RadSpec!AK13*s_Q_w_egg*(1/1000))</f>
        <v>343.75</v>
      </c>
      <c r="EC13" s="40">
        <f>(s_C*s_IFGO_far_adj*s_CF_far_goat*up_RadSpec!AO13*s_Q_p_goat*(1/1000))</f>
        <v>343.75</v>
      </c>
      <c r="ED13" s="40">
        <f>(s_C*s_IFGM_far_adj*s_CF_far_goat_milk*up_RadSpec!AP13*(1/s_D_milk)*s_Q_p_goat_milk*(1/1000))</f>
        <v>333.73786407766988</v>
      </c>
      <c r="EE13" s="40">
        <f>(s_C*s_IFSH_far_adj*s_CF_far_sheep*up_RadSpec!AM13*s_Q_p_sheep*(1/1000))</f>
        <v>343.75</v>
      </c>
      <c r="EF13" s="40">
        <f>(s_C*s_IFSM_far_adj*s_CF_far_sheep_milk*up_RadSpec!AN13*(1/s_D_milk)*s_Q_p_sheep_milk*(1/1000))</f>
        <v>333.73786407766988</v>
      </c>
      <c r="EG13" s="18"/>
      <c r="EH13" s="18"/>
      <c r="EI13" s="18"/>
      <c r="EJ13" s="18"/>
      <c r="EK13" s="18"/>
      <c r="EL13" s="18"/>
      <c r="EM13" s="18"/>
      <c r="EN13" s="18"/>
      <c r="EO13" s="18"/>
      <c r="EP13" s="18"/>
      <c r="EQ13" s="18"/>
      <c r="ER13" s="18"/>
      <c r="ES13" s="18"/>
      <c r="ET13" s="18"/>
      <c r="EU13" s="5"/>
      <c r="EV13" s="15">
        <f>IFERROR((s_TR/(up_RadSpec!G13*s_IFA_far_adj)),".")</f>
        <v>1.0971428571428573E-9</v>
      </c>
      <c r="EW13" s="15">
        <f>IFERROR((s_TR/(up_RadSpec!J13*s_EF_far*(1/365)*s_ED_far*s_ET_far*(1/24)*s_GSF_a)),".")</f>
        <v>1.7520000000000001E-6</v>
      </c>
      <c r="EX13" s="15">
        <f t="shared" si="48"/>
        <v>1.0964562309317064E-9</v>
      </c>
      <c r="EY13" s="40">
        <f t="shared" si="46"/>
        <v>911.45833333333326</v>
      </c>
      <c r="EZ13" s="40">
        <f t="shared" si="47"/>
        <v>0.57077625570776247</v>
      </c>
      <c r="FA13" s="122"/>
      <c r="FB13" s="122"/>
      <c r="FC13" s="122"/>
    </row>
    <row r="14" spans="1:159" customFormat="1" x14ac:dyDescent="0.25">
      <c r="A14" s="44" t="s">
        <v>24</v>
      </c>
      <c r="B14" s="42" t="s">
        <v>1074</v>
      </c>
      <c r="C14" s="15">
        <f>up_dir!AB14</f>
        <v>1.8181818181818181E-11</v>
      </c>
      <c r="D14" s="15">
        <f>IFERROR(s_TR/(up_RadSpec!E14*s_IFP_far_adj*s_CF_far_poultry),".")</f>
        <v>7.2727272727272723E-11</v>
      </c>
      <c r="E14" s="15">
        <f>IFERROR(s_TR/(up_RadSpec!E14*s_IFE_far_adj*s_CF_far_egg),".")</f>
        <v>7.2727272727272723E-11</v>
      </c>
      <c r="F14" s="15">
        <f>IFERROR(s_TR/(up_RadSpec!E14*s_IFB_far_adj*s_CF_far_beef),".")</f>
        <v>7.2727272727272723E-11</v>
      </c>
      <c r="G14" s="15">
        <f>IFERROR(s_TR/(up_RadSpec!E14*s_IFD_far_adj*s_CF_far_dairy),".")</f>
        <v>7.2727272727272723E-11</v>
      </c>
      <c r="H14" s="15">
        <f>IFERROR(s_TR/(up_RadSpec!E14*s_IFSW_far_adj*s_CF_far_swine),".")</f>
        <v>7.2727272727272723E-11</v>
      </c>
      <c r="I14" s="15">
        <f>IFERROR(s_TR/(up_RadSpec!E14*s_IFFI_far_adj*s_CF_far_fish),".")</f>
        <v>7.2727272727272723E-11</v>
      </c>
      <c r="J14" s="15">
        <f>IFERROR(s_TR/(up_RadSpec!E14*s_IFGO_far_adj*s_CF_far_goat),".")</f>
        <v>7.2727272727272723E-11</v>
      </c>
      <c r="K14" s="15">
        <f>IFERROR(s_TR/(up_RadSpec!E14*s_IFSH_far_adj*s_CF_far_sheep),".")</f>
        <v>7.2727272727272723E-11</v>
      </c>
      <c r="L14" s="15">
        <f>IFERROR(s_TR/(up_RadSpec!E14*s_IFGM_far_adj*s_CF_far_goat_milk),".")</f>
        <v>7.2727272727272723E-11</v>
      </c>
      <c r="M14" s="15">
        <f>IFERROR(s_TR/(up_RadSpec!E14*s_IFSM_far_adj*s_CF_far_sheep_milk),".")</f>
        <v>7.2727272727272723E-11</v>
      </c>
      <c r="N14" s="40">
        <f>up_dir!BA14</f>
        <v>55000</v>
      </c>
      <c r="O14" s="40">
        <f t="shared" si="0"/>
        <v>13750</v>
      </c>
      <c r="P14" s="40">
        <f t="shared" si="1"/>
        <v>13750</v>
      </c>
      <c r="Q14" s="40">
        <f t="shared" si="2"/>
        <v>13750</v>
      </c>
      <c r="R14" s="40">
        <f t="shared" si="3"/>
        <v>13750</v>
      </c>
      <c r="S14" s="40">
        <f t="shared" si="4"/>
        <v>13750</v>
      </c>
      <c r="T14" s="40">
        <f t="shared" si="5"/>
        <v>13750</v>
      </c>
      <c r="U14" s="40">
        <f t="shared" si="6"/>
        <v>13750</v>
      </c>
      <c r="V14" s="40">
        <f t="shared" si="7"/>
        <v>13750</v>
      </c>
      <c r="W14" s="40">
        <f t="shared" si="8"/>
        <v>13750</v>
      </c>
      <c r="X14" s="40">
        <f t="shared" si="9"/>
        <v>13750</v>
      </c>
      <c r="Y14" s="5"/>
      <c r="Z14" s="5"/>
      <c r="AA14" s="5"/>
      <c r="AB14" s="5"/>
      <c r="AC14" s="5"/>
      <c r="AD14" s="5"/>
      <c r="AE14" s="5"/>
      <c r="AF14" s="5"/>
      <c r="AG14" s="5"/>
      <c r="AH14" s="5"/>
      <c r="AI14" s="5"/>
      <c r="AJ14" s="45">
        <f>IFERROR((s_TR/(up_RadSpec!D14*s_IFS_far_adj*(1/1000)))*1,".")</f>
        <v>3.6363636363636363E-8</v>
      </c>
      <c r="AK14" s="45">
        <f>IFERROR(IF(A14="H-3",(s_TR/(up_RadSpec!G14*s_IFA_far_adj*(1/17)*1000))*1,(s_TR/(up_RadSpec!G14*s_IFA_far_adj*(1/s_PEF_wind)*1000))*1),".")</f>
        <v>3.3989909629864073E-4</v>
      </c>
      <c r="AL14" s="45">
        <f>IFERROR((s_TR/(up_RadSpec!F14*s_EF_far*(1/365)*s_ED_far*up_RadSpec!Q14*((s_ET_far_o*(1/24)*up_RadSpec!V14)+(s_ET_far_i*(1/24)*up_RadSpec!AA14))))*1,".")</f>
        <v>3.7697998907592224E-5</v>
      </c>
      <c r="AM14" s="45">
        <f>up_b2s!BA14</f>
        <v>3.6265718922545492E-12</v>
      </c>
      <c r="AN14" s="45">
        <f>IFERROR(((I14*up_RadSpec!AS14)/up_RadSpec!AI14)*1,".")</f>
        <v>7.2727272727272723E-11</v>
      </c>
      <c r="AO14" s="45">
        <f>IFERROR((F14/(up_RadSpec!AH14*((s_Q_p_beef*s_f_p_beef*s_f_s_beef*(up_RadSpec!BB14+s_R_es_past))+(s_Q_s_beef*s_f_p_beef))))*1,".")</f>
        <v>2.0414673046251994E-14</v>
      </c>
      <c r="AP14" s="45">
        <f>IFERROR(((G14*s_D_milk)/(up_RadSpec!AG14*((s_Q_p_dairy*s_f_p_dairy*s_f_s_dairy*(up_RadSpec!BB14+s_R_es_past))+(s_Q_s_dairy*s_f_p_dairy))))*1,".")</f>
        <v>2.102711323763955E-14</v>
      </c>
      <c r="AQ14" s="45">
        <f>IFERROR((H14/(up_RadSpec!AL14*((s_Q_p_swine*s_f_p_swine*s_f_s_swine*(up_RadSpec!BB14+s_R_es_past))+(s_Q_s_swine*s_f_p_swine))))*1,".")</f>
        <v>2.0414673046251994E-14</v>
      </c>
      <c r="AR14" s="45">
        <f>IFERROR((D14/(up_RadSpec!AJ14*((s_Q_p_poultry*s_f_p_poultry*s_f_s_poultry*(up_RadSpec!BB14+s_R_es_past))+(s_Q_s_poultry*s_f_p_poultry))))*1,".")</f>
        <v>2.0414673046251994E-14</v>
      </c>
      <c r="AS14" s="45">
        <f>IFERROR((E14/(up_RadSpec!AK14*((s_Q_p_poultry*s_f_p_poultry*s_f_s_poultry*(up_RadSpec!BB14+s_R_es_past))+(s_Q_s_poultry*s_f_p_poultry))))*1,".")</f>
        <v>2.0414673046251994E-14</v>
      </c>
      <c r="AT14" s="45">
        <f>IFERROR((J14/(up_RadSpec!AO14*((s_Q_p_goat*s_f_p_goat*s_f_s_goat*(up_RadSpec!BB14+s_R_es_past))+(s_Q_s_goat*s_f_p_goat))))*1,".")</f>
        <v>2.0414673046251994E-14</v>
      </c>
      <c r="AU14" s="45">
        <f>IFERROR((L14*s_D_milk/(up_RadSpec!AP14*((s_Q_p_goat_milk*s_f_p_goat_milk*s_f_s_goat_milk*(up_RadSpec!BB14+s_R_es_past))+(s_Q_s_goat_milk*s_f_p_goat_milk))))*1,".")</f>
        <v>2.102711323763955E-14</v>
      </c>
      <c r="AV14" s="45">
        <f>IFERROR((K14/(up_RadSpec!AM14*((s_Q_p_sheep*s_f_p_sheep*s_f_s_sheep*(up_RadSpec!BB14+s_R_es_past))+(s_Q_s_sheep*s_f_p_sheep))))*1,".")</f>
        <v>2.0414673046251994E-14</v>
      </c>
      <c r="AW14" s="45">
        <f>IFERROR((M14*s_D_milk/(up_RadSpec!AN14*((s_Q_p_sheep_milk*s_f_p_sheep_milk*s_f_s_sheep_milk*(up_RadSpec!BB14+s_R_es_past))+(s_Q_s_sheep_milk*s_f_p_sheep_milk))))*1,".")</f>
        <v>2.102711323763955E-14</v>
      </c>
      <c r="AX14" s="120">
        <f t="shared" si="10"/>
        <v>27500000</v>
      </c>
      <c r="AY14" s="120">
        <f t="shared" si="11"/>
        <v>2942.0495991003877</v>
      </c>
      <c r="AZ14" s="120">
        <f t="shared" si="12"/>
        <v>26526.606954689152</v>
      </c>
      <c r="BA14" s="120">
        <f t="shared" si="13"/>
        <v>275742500000</v>
      </c>
      <c r="BB14" s="120">
        <f t="shared" si="14"/>
        <v>13750000000</v>
      </c>
      <c r="BC14" s="120">
        <f t="shared" si="15"/>
        <v>48984375000000</v>
      </c>
      <c r="BD14" s="120">
        <f t="shared" si="16"/>
        <v>47557645631067.969</v>
      </c>
      <c r="BE14" s="120">
        <f t="shared" si="17"/>
        <v>48984375000000</v>
      </c>
      <c r="BF14" s="120">
        <f t="shared" si="18"/>
        <v>48984375000000</v>
      </c>
      <c r="BG14" s="120">
        <f t="shared" si="19"/>
        <v>48984375000000</v>
      </c>
      <c r="BH14" s="120">
        <f t="shared" si="20"/>
        <v>48984375000000</v>
      </c>
      <c r="BI14" s="120">
        <f t="shared" si="21"/>
        <v>47557645631067.969</v>
      </c>
      <c r="BJ14" s="120">
        <f t="shared" si="22"/>
        <v>48984375000000</v>
      </c>
      <c r="BK14" s="120">
        <f t="shared" si="23"/>
        <v>47557645631067.969</v>
      </c>
      <c r="BL14" s="15">
        <f t="shared" si="24"/>
        <v>2.2890172359655957E-15</v>
      </c>
      <c r="BM14" s="40">
        <f t="shared" si="25"/>
        <v>27.5</v>
      </c>
      <c r="BN14" s="40">
        <f t="shared" si="26"/>
        <v>2.9420495991003873E-3</v>
      </c>
      <c r="BO14" s="40">
        <f>IFERROR((s_C*s_EF_far*(1/365)*s_ED_far*up_RadSpec!Q14*((s_ET_far_o*(1/24)*up_RadSpec!V14)+(s_ET_far_i*(1/24)*up_RadSpec!AA14))),".")</f>
        <v>2.6526606954689152E-2</v>
      </c>
      <c r="BP14" s="40">
        <f>up_b2s!BZ14</f>
        <v>275742.5</v>
      </c>
      <c r="BQ14" s="40">
        <f>IFERROR(((s_C*up_RadSpec!AI14)/up_RadSpec!AS14)*s_IFFI_far_adj*s_CF_far_fish,0)</f>
        <v>13750</v>
      </c>
      <c r="BR14" s="40">
        <f>(s_C*s_IFB_far_adj*s_CF_far_beef*up_RadSpec!AH14*((s_Q_p_beef*s_f_p_beef*s_f_s_beef*(up_RadSpec!$AR14+s_R_es_past))+(s_Q_s_beef*s_f_p_beef)))</f>
        <v>48984375</v>
      </c>
      <c r="BS14" s="40">
        <f>(s_C*s_IFD_far_adj*s_CF_far_dairy*up_RadSpec!AG14*1/s_D_milk*((s_Q_p_dairy*s_f_p_dairy*s_f_s_dairy*(up_RadSpec!$AR14+s_R_es_past))+(s_Q_s_dairy*s_f_p_dairy)))</f>
        <v>47557645.631067954</v>
      </c>
      <c r="BT14" s="40">
        <f>(s_C*s_IFSW_far_adj*s_CF_far_swine*up_RadSpec!AL14*((s_Q_p_swine*s_f_p_swine*s_f_s_swine*(up_RadSpec!$AR14+s_R_es_past))+(s_Q_s_swine*s_f_p_swine)))</f>
        <v>48984375</v>
      </c>
      <c r="BU14" s="40">
        <f>(s_C*s_IFP_far_adj*s_CF_far_poultry*up_RadSpec!AJ14*((s_Q_p_poultry*s_f_p_poultry*s_f_s_poultry*(up_RadSpec!AR14+s_R_es_past))+(s_Q_s_poultry*s_f_p_poultry)))</f>
        <v>48984375</v>
      </c>
      <c r="BV14" s="40">
        <f>(s_C*s_IFE_far_adj*s_CF_far_egg*up_RadSpec!AK14*((s_Q_p_egg*s_f_p_egg*s_f_s_egg*(up_RadSpec!$AR14+s_R_es_past))+(s_Q_s_egg*s_f_p_egg)))</f>
        <v>48984375</v>
      </c>
      <c r="BW14" s="40">
        <f>(s_C*s_IFGO_far_adj*s_CF_far_goat*up_RadSpec!AO14*((s_Q_p_goat*s_f_p_goat*s_f_s_goat*(up_RadSpec!$AR14+s_R_es_past))+(s_Q_s_goat*s_f_p_goat)))</f>
        <v>48984375</v>
      </c>
      <c r="BX14" s="40">
        <f>(s_C*s_IFGM_far_adj*s_CF_far_goat_milk*up_RadSpec!AP14*1/s_D_milk*((s_Q_p_goat_milk*s_f_p_goat_milk*s_f_s_goat_milk*(up_RadSpec!$AR14+s_R_es_past))+(s_Q_s_goat_milk*s_f_p_goat_milk)))</f>
        <v>47557645.631067954</v>
      </c>
      <c r="BY14" s="40">
        <f>(s_C*s_IFSH_far_adj*s_CF_far_sheep*up_RadSpec!AM14*((s_Q_p_sheep*s_f_p_sheep*s_f_s_sheep*(up_RadSpec!$AR14+s_R_es_past))+(s_Q_s_sheep*s_f_p_sheep)))</f>
        <v>48984375</v>
      </c>
      <c r="BZ14" s="40">
        <f>(s_C*s_IFSM_far_adj*s_CF_far_sheep_milk*up_RadSpec!AN14*1/s_D_milk*((s_Q_p_sheep_milk*s_f_p_sheep_milk*s_f_s_sheep_milk*(up_RadSpec!$AR14+s_R_es_past))+(s_Q_s_sheep_milk*s_f_p_sheep_milk)))</f>
        <v>47557645.631067954</v>
      </c>
      <c r="CA14" s="45"/>
      <c r="CB14" s="45"/>
      <c r="CC14" s="45"/>
      <c r="CD14" s="45"/>
      <c r="CE14" s="45"/>
      <c r="CF14" s="45"/>
      <c r="CG14" s="45"/>
      <c r="CH14" s="45"/>
      <c r="CI14" s="45"/>
      <c r="CJ14" s="45"/>
      <c r="CK14" s="45"/>
      <c r="CL14" s="45"/>
      <c r="CM14" s="45"/>
      <c r="CN14" s="45"/>
      <c r="CO14" s="15"/>
      <c r="CP14" s="15">
        <f>IFERROR(s_TR/(up_RadSpec!H14*s_IFW_far_adj),".")</f>
        <v>3.9999999999999996E-10</v>
      </c>
      <c r="CQ14" s="15" t="str">
        <f>IFERROR(IF(up_RadSpec!C14=1,s_TR/(up_RadSpec!G14*s_IFA_far_adj*s_K),"."),".")</f>
        <v>.</v>
      </c>
      <c r="CR14" s="15">
        <f>IFERROR((s_TR/(up_RadSpec!L14*(1/8760)*s_DFA_far_adj)),".")</f>
        <v>4.3800000000000004E-6</v>
      </c>
      <c r="CS14" s="15">
        <f>up_b2w!BA14</f>
        <v>1.8087754064641833E-11</v>
      </c>
      <c r="CT14" s="15">
        <f>IFERROR(I14/(up_RadSpec!AI14*(1/1000)),".")</f>
        <v>1.4545454545454544E-8</v>
      </c>
      <c r="CU14" s="15">
        <f>IFERROR(F14/(up_RadSpec!AH14*s_Q_w_beef*(1/1000)),".")</f>
        <v>2.9090909090909087E-9</v>
      </c>
      <c r="CV14" s="15">
        <f>IFERROR((G14*s_D_milk)/(up_RadSpec!AG14*s_Q_w_dairy*(1/1000)),".")</f>
        <v>2.9963636363636357E-9</v>
      </c>
      <c r="CW14" s="15">
        <f>IFERROR(H14/(up_RadSpec!AL14*s_Q_w_swine*(1/1000)),".")</f>
        <v>2.9090909090909087E-9</v>
      </c>
      <c r="CX14" s="15">
        <f>IFERROR(D14/(up_RadSpec!AJ14*s_Q_w_poultry*(1/1000)),".")</f>
        <v>2.9090909090909087E-9</v>
      </c>
      <c r="CY14" s="15">
        <f>IFERROR(E14/(up_RadSpec!AK14*s_Q_w_poultry*(1/1000)),".")</f>
        <v>2.9090909090909087E-9</v>
      </c>
      <c r="CZ14" s="15">
        <f>IFERROR(J14/(up_RadSpec!AO14*s_Q_w_goat*(1/1000)),".")</f>
        <v>2.9090909090909087E-9</v>
      </c>
      <c r="DA14" s="15">
        <f>IFERROR(L14*s_D_milk/(up_RadSpec!AP14*s_Q_w_goat_milk*(1/1000)),".")</f>
        <v>2.9963636363636357E-9</v>
      </c>
      <c r="DB14" s="15">
        <f>IFERROR(K14/(up_RadSpec!AM14*s_Q_w_sheep*(1/1000)),".")</f>
        <v>2.9090909090909087E-9</v>
      </c>
      <c r="DC14" s="15">
        <f>IFERROR(M14*s_D_milk/(up_RadSpec!AN14*s_Q_w_sheep_milk*(1/1000)),".")</f>
        <v>2.9963636363636357E-9</v>
      </c>
      <c r="DD14" s="120">
        <f t="shared" si="27"/>
        <v>2500000000</v>
      </c>
      <c r="DE14" s="120" t="str">
        <f t="shared" si="28"/>
        <v>.</v>
      </c>
      <c r="DF14" s="120">
        <f t="shared" si="29"/>
        <v>228310.50228310502</v>
      </c>
      <c r="DG14" s="120">
        <f t="shared" si="30"/>
        <v>55286023705.663513</v>
      </c>
      <c r="DH14" s="120">
        <f t="shared" si="31"/>
        <v>68750000</v>
      </c>
      <c r="DI14" s="120">
        <f t="shared" si="32"/>
        <v>343750000.00000006</v>
      </c>
      <c r="DJ14" s="120">
        <f t="shared" si="33"/>
        <v>333737864.07766998</v>
      </c>
      <c r="DK14" s="120">
        <f t="shared" si="34"/>
        <v>343750000.00000006</v>
      </c>
      <c r="DL14" s="120">
        <f t="shared" si="35"/>
        <v>343750000.00000006</v>
      </c>
      <c r="DM14" s="120">
        <f t="shared" si="36"/>
        <v>343750000.00000006</v>
      </c>
      <c r="DN14" s="120">
        <f t="shared" si="37"/>
        <v>343750000.00000006</v>
      </c>
      <c r="DO14" s="120">
        <f t="shared" si="38"/>
        <v>333737864.07766998</v>
      </c>
      <c r="DP14" s="120">
        <f t="shared" si="39"/>
        <v>343750000.00000006</v>
      </c>
      <c r="DQ14" s="120">
        <f t="shared" si="40"/>
        <v>333737864.07766998</v>
      </c>
      <c r="DR14" s="15">
        <f t="shared" si="41"/>
        <v>1.6415316541278672E-11</v>
      </c>
      <c r="DS14" s="40">
        <f t="shared" si="42"/>
        <v>2500</v>
      </c>
      <c r="DT14" s="40">
        <f t="shared" si="43"/>
        <v>455.72916666666663</v>
      </c>
      <c r="DU14" s="40">
        <f t="shared" si="44"/>
        <v>0.22831050228310501</v>
      </c>
      <c r="DV14" s="40">
        <f>up_b2w!BZ14</f>
        <v>55286.023705663516</v>
      </c>
      <c r="DW14" s="40">
        <f>IFERROR(s_C*up_RadSpec!AI14*(1/1000)*s_IFFI_far_adj*s_CF_far_fish,0)</f>
        <v>68.75</v>
      </c>
      <c r="DX14" s="40">
        <f>(s_C*s_IFB_far_adj*s_CF_far_beef*up_RadSpec!AH14*s_Q_w_beef*(1/1000))</f>
        <v>343.75</v>
      </c>
      <c r="DY14" s="40">
        <f>(s_C*s_IFD_far_adj*s_CF_far_dairy*up_RadSpec!AG14*(1/s_D_milk)*s_Q_w_dairy*(1/1000))</f>
        <v>333.73786407766988</v>
      </c>
      <c r="DZ14" s="40">
        <f>(s_C*s_IFSW_far_adj*s_CF_far_swine*up_RadSpec!AL14*s_Q_w_swine*(1/1000))</f>
        <v>343.75</v>
      </c>
      <c r="EA14" s="40">
        <f>(s_C*s_IFP_far_adj*s_CF_far_poultry*up_RadSpec!AJ14*s_Q_w_poultry*(1/1000))</f>
        <v>343.75</v>
      </c>
      <c r="EB14" s="40">
        <f>(s_C*s_IFE_far_adj*s_CF_far_egg*up_RadSpec!AK14*s_Q_w_egg*(1/1000))</f>
        <v>343.75</v>
      </c>
      <c r="EC14" s="40">
        <f>(s_C*s_IFGO_far_adj*s_CF_far_goat*up_RadSpec!AO14*s_Q_p_goat*(1/1000))</f>
        <v>343.75</v>
      </c>
      <c r="ED14" s="40">
        <f>(s_C*s_IFGM_far_adj*s_CF_far_goat_milk*up_RadSpec!AP14*(1/s_D_milk)*s_Q_p_goat_milk*(1/1000))</f>
        <v>333.73786407766988</v>
      </c>
      <c r="EE14" s="40">
        <f>(s_C*s_IFSH_far_adj*s_CF_far_sheep*up_RadSpec!AM14*s_Q_p_sheep*(1/1000))</f>
        <v>343.75</v>
      </c>
      <c r="EF14" s="40">
        <f>(s_C*s_IFSM_far_adj*s_CF_far_sheep_milk*up_RadSpec!AN14*(1/s_D_milk)*s_Q_p_sheep_milk*(1/1000))</f>
        <v>333.73786407766988</v>
      </c>
      <c r="EG14" s="18"/>
      <c r="EH14" s="18"/>
      <c r="EI14" s="18"/>
      <c r="EJ14" s="18"/>
      <c r="EK14" s="18"/>
      <c r="EL14" s="18"/>
      <c r="EM14" s="18"/>
      <c r="EN14" s="18"/>
      <c r="EO14" s="18"/>
      <c r="EP14" s="18"/>
      <c r="EQ14" s="18"/>
      <c r="ER14" s="18"/>
      <c r="ES14" s="18"/>
      <c r="ET14" s="18"/>
      <c r="EU14" s="5"/>
      <c r="EV14" s="15">
        <f>IFERROR((s_TR/(up_RadSpec!G14*s_IFA_far_adj)),".")</f>
        <v>1.0971428571428573E-9</v>
      </c>
      <c r="EW14" s="15">
        <f>IFERROR((s_TR/(up_RadSpec!J14*s_EF_far*(1/365)*s_ED_far*s_ET_far*(1/24)*s_GSF_a)),".")</f>
        <v>1.7520000000000001E-6</v>
      </c>
      <c r="EX14" s="15">
        <f t="shared" si="48"/>
        <v>1.0964562309317064E-9</v>
      </c>
      <c r="EY14" s="40">
        <f t="shared" si="46"/>
        <v>911.45833333333326</v>
      </c>
      <c r="EZ14" s="40">
        <f t="shared" si="47"/>
        <v>0.57077625570776247</v>
      </c>
      <c r="FA14" s="122"/>
      <c r="FB14" s="122"/>
      <c r="FC14" s="122"/>
    </row>
    <row r="15" spans="1:159" customFormat="1" x14ac:dyDescent="0.25">
      <c r="A15" s="44" t="s">
        <v>25</v>
      </c>
      <c r="B15" s="42" t="s">
        <v>1074</v>
      </c>
      <c r="C15" s="15">
        <f>up_dir!AB15</f>
        <v>1.8181818181818181E-11</v>
      </c>
      <c r="D15" s="15">
        <f>IFERROR(s_TR/(up_RadSpec!E15*s_IFP_far_adj*s_CF_far_poultry),".")</f>
        <v>7.2727272727272723E-11</v>
      </c>
      <c r="E15" s="15">
        <f>IFERROR(s_TR/(up_RadSpec!E15*s_IFE_far_adj*s_CF_far_egg),".")</f>
        <v>7.2727272727272723E-11</v>
      </c>
      <c r="F15" s="15">
        <f>IFERROR(s_TR/(up_RadSpec!E15*s_IFB_far_adj*s_CF_far_beef),".")</f>
        <v>7.2727272727272723E-11</v>
      </c>
      <c r="G15" s="15">
        <f>IFERROR(s_TR/(up_RadSpec!E15*s_IFD_far_adj*s_CF_far_dairy),".")</f>
        <v>7.2727272727272723E-11</v>
      </c>
      <c r="H15" s="15">
        <f>IFERROR(s_TR/(up_RadSpec!E15*s_IFSW_far_adj*s_CF_far_swine),".")</f>
        <v>7.2727272727272723E-11</v>
      </c>
      <c r="I15" s="15">
        <f>IFERROR(s_TR/(up_RadSpec!E15*s_IFFI_far_adj*s_CF_far_fish),".")</f>
        <v>7.2727272727272723E-11</v>
      </c>
      <c r="J15" s="15">
        <f>IFERROR(s_TR/(up_RadSpec!E15*s_IFGO_far_adj*s_CF_far_goat),".")</f>
        <v>7.2727272727272723E-11</v>
      </c>
      <c r="K15" s="15">
        <f>IFERROR(s_TR/(up_RadSpec!E15*s_IFSH_far_adj*s_CF_far_sheep),".")</f>
        <v>7.2727272727272723E-11</v>
      </c>
      <c r="L15" s="15">
        <f>IFERROR(s_TR/(up_RadSpec!E15*s_IFGM_far_adj*s_CF_far_goat_milk),".")</f>
        <v>7.2727272727272723E-11</v>
      </c>
      <c r="M15" s="15">
        <f>IFERROR(s_TR/(up_RadSpec!E15*s_IFSM_far_adj*s_CF_far_sheep_milk),".")</f>
        <v>7.2727272727272723E-11</v>
      </c>
      <c r="N15" s="40">
        <f>up_dir!BA15</f>
        <v>55000</v>
      </c>
      <c r="O15" s="40">
        <f t="shared" si="0"/>
        <v>13750</v>
      </c>
      <c r="P15" s="40">
        <f t="shared" si="1"/>
        <v>13750</v>
      </c>
      <c r="Q15" s="40">
        <f t="shared" si="2"/>
        <v>13750</v>
      </c>
      <c r="R15" s="40">
        <f t="shared" si="3"/>
        <v>13750</v>
      </c>
      <c r="S15" s="40">
        <f t="shared" si="4"/>
        <v>13750</v>
      </c>
      <c r="T15" s="40">
        <f t="shared" si="5"/>
        <v>13750</v>
      </c>
      <c r="U15" s="40">
        <f t="shared" si="6"/>
        <v>13750</v>
      </c>
      <c r="V15" s="40">
        <f t="shared" si="7"/>
        <v>13750</v>
      </c>
      <c r="W15" s="40">
        <f t="shared" si="8"/>
        <v>13750</v>
      </c>
      <c r="X15" s="40">
        <f t="shared" si="9"/>
        <v>13750</v>
      </c>
      <c r="Y15" s="5"/>
      <c r="Z15" s="5"/>
      <c r="AA15" s="5"/>
      <c r="AB15" s="5"/>
      <c r="AC15" s="5"/>
      <c r="AD15" s="5"/>
      <c r="AE15" s="5"/>
      <c r="AF15" s="5"/>
      <c r="AG15" s="5"/>
      <c r="AH15" s="5"/>
      <c r="AI15" s="5"/>
      <c r="AJ15" s="45">
        <f>IFERROR((s_TR/(up_RadSpec!D15*s_IFS_far_adj*(1/1000)))*1,".")</f>
        <v>3.6363636363636363E-8</v>
      </c>
      <c r="AK15" s="45">
        <f>IFERROR(IF(A15="H-3",(s_TR/(up_RadSpec!G15*s_IFA_far_adj*(1/17)*1000))*1,(s_TR/(up_RadSpec!G15*s_IFA_far_adj*(1/s_PEF_wind)*1000))*1),".")</f>
        <v>3.3989909629864073E-4</v>
      </c>
      <c r="AL15" s="45" t="str">
        <f>IFERROR((s_TR/(up_RadSpec!F15*s_EF_far*(1/365)*s_ED_far*up_RadSpec!Q15*((s_ET_far_o*(1/24)*up_RadSpec!V15)+(s_ET_far_i*(1/24)*up_RadSpec!AA15))))*1,".")</f>
        <v>.</v>
      </c>
      <c r="AM15" s="45">
        <f>up_b2s!BA15</f>
        <v>3.6265718922545492E-12</v>
      </c>
      <c r="AN15" s="45">
        <f>IFERROR(((I15*up_RadSpec!AS15)/up_RadSpec!AI15)*1,".")</f>
        <v>7.2727272727272723E-11</v>
      </c>
      <c r="AO15" s="45">
        <f>IFERROR((F15/(up_RadSpec!AH15*((s_Q_p_beef*s_f_p_beef*s_f_s_beef*(up_RadSpec!BB15+s_R_es_past))+(s_Q_s_beef*s_f_p_beef))))*1,".")</f>
        <v>2.0414673046251994E-14</v>
      </c>
      <c r="AP15" s="45">
        <f>IFERROR(((G15*s_D_milk)/(up_RadSpec!AG15*((s_Q_p_dairy*s_f_p_dairy*s_f_s_dairy*(up_RadSpec!BB15+s_R_es_past))+(s_Q_s_dairy*s_f_p_dairy))))*1,".")</f>
        <v>2.102711323763955E-14</v>
      </c>
      <c r="AQ15" s="45">
        <f>IFERROR((H15/(up_RadSpec!AL15*((s_Q_p_swine*s_f_p_swine*s_f_s_swine*(up_RadSpec!BB15+s_R_es_past))+(s_Q_s_swine*s_f_p_swine))))*1,".")</f>
        <v>2.0414673046251994E-14</v>
      </c>
      <c r="AR15" s="45">
        <f>IFERROR((D15/(up_RadSpec!AJ15*((s_Q_p_poultry*s_f_p_poultry*s_f_s_poultry*(up_RadSpec!BB15+s_R_es_past))+(s_Q_s_poultry*s_f_p_poultry))))*1,".")</f>
        <v>2.0414673046251994E-14</v>
      </c>
      <c r="AS15" s="45">
        <f>IFERROR((E15/(up_RadSpec!AK15*((s_Q_p_poultry*s_f_p_poultry*s_f_s_poultry*(up_RadSpec!BB15+s_R_es_past))+(s_Q_s_poultry*s_f_p_poultry))))*1,".")</f>
        <v>2.0414673046251994E-14</v>
      </c>
      <c r="AT15" s="45">
        <f>IFERROR((J15/(up_RadSpec!AO15*((s_Q_p_goat*s_f_p_goat*s_f_s_goat*(up_RadSpec!BB15+s_R_es_past))+(s_Q_s_goat*s_f_p_goat))))*1,".")</f>
        <v>2.0414673046251994E-14</v>
      </c>
      <c r="AU15" s="45">
        <f>IFERROR((L15*s_D_milk/(up_RadSpec!AP15*((s_Q_p_goat_milk*s_f_p_goat_milk*s_f_s_goat_milk*(up_RadSpec!BB15+s_R_es_past))+(s_Q_s_goat_milk*s_f_p_goat_milk))))*1,".")</f>
        <v>2.102711323763955E-14</v>
      </c>
      <c r="AV15" s="45">
        <f>IFERROR((K15/(up_RadSpec!AM15*((s_Q_p_sheep*s_f_p_sheep*s_f_s_sheep*(up_RadSpec!BB15+s_R_es_past))+(s_Q_s_sheep*s_f_p_sheep))))*1,".")</f>
        <v>2.0414673046251994E-14</v>
      </c>
      <c r="AW15" s="45">
        <f>IFERROR((M15*s_D_milk/(up_RadSpec!AN15*((s_Q_p_sheep_milk*s_f_p_sheep_milk*s_f_s_sheep_milk*(up_RadSpec!BB15+s_R_es_past))+(s_Q_s_sheep_milk*s_f_p_sheep_milk))))*1,".")</f>
        <v>2.102711323763955E-14</v>
      </c>
      <c r="AX15" s="120">
        <f t="shared" si="10"/>
        <v>27500000</v>
      </c>
      <c r="AY15" s="120">
        <f t="shared" si="11"/>
        <v>2942.0495991003877</v>
      </c>
      <c r="AZ15" s="120" t="str">
        <f t="shared" si="12"/>
        <v>.</v>
      </c>
      <c r="BA15" s="120">
        <f t="shared" si="13"/>
        <v>275742500000</v>
      </c>
      <c r="BB15" s="120">
        <f t="shared" si="14"/>
        <v>13750000000</v>
      </c>
      <c r="BC15" s="120">
        <f t="shared" si="15"/>
        <v>48984375000000</v>
      </c>
      <c r="BD15" s="120">
        <f t="shared" si="16"/>
        <v>47557645631067.969</v>
      </c>
      <c r="BE15" s="120">
        <f t="shared" si="17"/>
        <v>48984375000000</v>
      </c>
      <c r="BF15" s="120">
        <f t="shared" si="18"/>
        <v>48984375000000</v>
      </c>
      <c r="BG15" s="120">
        <f t="shared" si="19"/>
        <v>48984375000000</v>
      </c>
      <c r="BH15" s="120">
        <f t="shared" si="20"/>
        <v>48984375000000</v>
      </c>
      <c r="BI15" s="120">
        <f t="shared" si="21"/>
        <v>47557645631067.969</v>
      </c>
      <c r="BJ15" s="120">
        <f t="shared" si="22"/>
        <v>48984375000000</v>
      </c>
      <c r="BK15" s="120">
        <f t="shared" si="23"/>
        <v>47557645631067.969</v>
      </c>
      <c r="BL15" s="15">
        <f t="shared" si="24"/>
        <v>2.2890172361045847E-15</v>
      </c>
      <c r="BM15" s="40">
        <f t="shared" si="25"/>
        <v>27.5</v>
      </c>
      <c r="BN15" s="40">
        <f t="shared" si="26"/>
        <v>2.9420495991003873E-3</v>
      </c>
      <c r="BO15" s="40">
        <f>IFERROR((s_C*s_EF_far*(1/365)*s_ED_far*up_RadSpec!Q15*((s_ET_far_o*(1/24)*up_RadSpec!V15)+(s_ET_far_i*(1/24)*up_RadSpec!AA15))),".")</f>
        <v>0</v>
      </c>
      <c r="BP15" s="40">
        <f>up_b2s!BZ15</f>
        <v>275742.5</v>
      </c>
      <c r="BQ15" s="40">
        <f>IFERROR(((s_C*up_RadSpec!AI15)/up_RadSpec!AS15)*s_IFFI_far_adj*s_CF_far_fish,0)</f>
        <v>13750</v>
      </c>
      <c r="BR15" s="40">
        <f>(s_C*s_IFB_far_adj*s_CF_far_beef*up_RadSpec!AH15*((s_Q_p_beef*s_f_p_beef*s_f_s_beef*(up_RadSpec!$AR15+s_R_es_past))+(s_Q_s_beef*s_f_p_beef)))</f>
        <v>48984375</v>
      </c>
      <c r="BS15" s="40">
        <f>(s_C*s_IFD_far_adj*s_CF_far_dairy*up_RadSpec!AG15*1/s_D_milk*((s_Q_p_dairy*s_f_p_dairy*s_f_s_dairy*(up_RadSpec!$AR15+s_R_es_past))+(s_Q_s_dairy*s_f_p_dairy)))</f>
        <v>47557645.631067954</v>
      </c>
      <c r="BT15" s="40">
        <f>(s_C*s_IFSW_far_adj*s_CF_far_swine*up_RadSpec!AL15*((s_Q_p_swine*s_f_p_swine*s_f_s_swine*(up_RadSpec!$AR15+s_R_es_past))+(s_Q_s_swine*s_f_p_swine)))</f>
        <v>48984375</v>
      </c>
      <c r="BU15" s="40">
        <f>(s_C*s_IFP_far_adj*s_CF_far_poultry*up_RadSpec!AJ15*((s_Q_p_poultry*s_f_p_poultry*s_f_s_poultry*(up_RadSpec!AR15+s_R_es_past))+(s_Q_s_poultry*s_f_p_poultry)))</f>
        <v>48984375</v>
      </c>
      <c r="BV15" s="40">
        <f>(s_C*s_IFE_far_adj*s_CF_far_egg*up_RadSpec!AK15*((s_Q_p_egg*s_f_p_egg*s_f_s_egg*(up_RadSpec!$AR15+s_R_es_past))+(s_Q_s_egg*s_f_p_egg)))</f>
        <v>48984375</v>
      </c>
      <c r="BW15" s="40">
        <f>(s_C*s_IFGO_far_adj*s_CF_far_goat*up_RadSpec!AO15*((s_Q_p_goat*s_f_p_goat*s_f_s_goat*(up_RadSpec!$AR15+s_R_es_past))+(s_Q_s_goat*s_f_p_goat)))</f>
        <v>48984375</v>
      </c>
      <c r="BX15" s="40">
        <f>(s_C*s_IFGM_far_adj*s_CF_far_goat_milk*up_RadSpec!AP15*1/s_D_milk*((s_Q_p_goat_milk*s_f_p_goat_milk*s_f_s_goat_milk*(up_RadSpec!$AR15+s_R_es_past))+(s_Q_s_goat_milk*s_f_p_goat_milk)))</f>
        <v>47557645.631067954</v>
      </c>
      <c r="BY15" s="40">
        <f>(s_C*s_IFSH_far_adj*s_CF_far_sheep*up_RadSpec!AM15*((s_Q_p_sheep*s_f_p_sheep*s_f_s_sheep*(up_RadSpec!$AR15+s_R_es_past))+(s_Q_s_sheep*s_f_p_sheep)))</f>
        <v>48984375</v>
      </c>
      <c r="BZ15" s="40">
        <f>(s_C*s_IFSM_far_adj*s_CF_far_sheep_milk*up_RadSpec!AN15*1/s_D_milk*((s_Q_p_sheep_milk*s_f_p_sheep_milk*s_f_s_sheep_milk*(up_RadSpec!$AR15+s_R_es_past))+(s_Q_s_sheep_milk*s_f_p_sheep_milk)))</f>
        <v>47557645.631067954</v>
      </c>
      <c r="CA15" s="45"/>
      <c r="CB15" s="45"/>
      <c r="CC15" s="45"/>
      <c r="CD15" s="45"/>
      <c r="CE15" s="45"/>
      <c r="CF15" s="45"/>
      <c r="CG15" s="45"/>
      <c r="CH15" s="45"/>
      <c r="CI15" s="45"/>
      <c r="CJ15" s="45"/>
      <c r="CK15" s="45"/>
      <c r="CL15" s="45"/>
      <c r="CM15" s="45"/>
      <c r="CN15" s="45"/>
      <c r="CO15" s="15"/>
      <c r="CP15" s="15">
        <f>IFERROR(s_TR/(up_RadSpec!H15*s_IFW_far_adj),".")</f>
        <v>3.9999999999999996E-10</v>
      </c>
      <c r="CQ15" s="15" t="str">
        <f>IFERROR(IF(up_RadSpec!C15=1,s_TR/(up_RadSpec!G15*s_IFA_far_adj*s_K),"."),".")</f>
        <v>.</v>
      </c>
      <c r="CR15" s="15">
        <f>IFERROR((s_TR/(up_RadSpec!L15*(1/8760)*s_DFA_far_adj)),".")</f>
        <v>4.3800000000000004E-6</v>
      </c>
      <c r="CS15" s="15">
        <f>up_b2w!BA15</f>
        <v>1.8087754064641833E-11</v>
      </c>
      <c r="CT15" s="15">
        <f>IFERROR(I15/(up_RadSpec!AI15*(1/1000)),".")</f>
        <v>1.4545454545454544E-8</v>
      </c>
      <c r="CU15" s="15">
        <f>IFERROR(F15/(up_RadSpec!AH15*s_Q_w_beef*(1/1000)),".")</f>
        <v>2.9090909090909087E-9</v>
      </c>
      <c r="CV15" s="15">
        <f>IFERROR((G15*s_D_milk)/(up_RadSpec!AG15*s_Q_w_dairy*(1/1000)),".")</f>
        <v>2.9963636363636357E-9</v>
      </c>
      <c r="CW15" s="15">
        <f>IFERROR(H15/(up_RadSpec!AL15*s_Q_w_swine*(1/1000)),".")</f>
        <v>2.9090909090909087E-9</v>
      </c>
      <c r="CX15" s="15">
        <f>IFERROR(D15/(up_RadSpec!AJ15*s_Q_w_poultry*(1/1000)),".")</f>
        <v>2.9090909090909087E-9</v>
      </c>
      <c r="CY15" s="15">
        <f>IFERROR(E15/(up_RadSpec!AK15*s_Q_w_poultry*(1/1000)),".")</f>
        <v>2.9090909090909087E-9</v>
      </c>
      <c r="CZ15" s="15">
        <f>IFERROR(J15/(up_RadSpec!AO15*s_Q_w_goat*(1/1000)),".")</f>
        <v>2.9090909090909087E-9</v>
      </c>
      <c r="DA15" s="15">
        <f>IFERROR(L15*s_D_milk/(up_RadSpec!AP15*s_Q_w_goat_milk*(1/1000)),".")</f>
        <v>2.9963636363636357E-9</v>
      </c>
      <c r="DB15" s="15">
        <f>IFERROR(K15/(up_RadSpec!AM15*s_Q_w_sheep*(1/1000)),".")</f>
        <v>2.9090909090909087E-9</v>
      </c>
      <c r="DC15" s="15">
        <f>IFERROR(M15*s_D_milk/(up_RadSpec!AN15*s_Q_w_sheep_milk*(1/1000)),".")</f>
        <v>2.9963636363636357E-9</v>
      </c>
      <c r="DD15" s="120">
        <f t="shared" si="27"/>
        <v>2500000000</v>
      </c>
      <c r="DE15" s="120" t="str">
        <f t="shared" si="28"/>
        <v>.</v>
      </c>
      <c r="DF15" s="120">
        <f t="shared" si="29"/>
        <v>228310.50228310502</v>
      </c>
      <c r="DG15" s="120">
        <f t="shared" si="30"/>
        <v>55286023705.663513</v>
      </c>
      <c r="DH15" s="120">
        <f t="shared" si="31"/>
        <v>68750000</v>
      </c>
      <c r="DI15" s="120">
        <f t="shared" si="32"/>
        <v>343750000.00000006</v>
      </c>
      <c r="DJ15" s="120">
        <f t="shared" si="33"/>
        <v>333737864.07766998</v>
      </c>
      <c r="DK15" s="120">
        <f t="shared" si="34"/>
        <v>343750000.00000006</v>
      </c>
      <c r="DL15" s="120">
        <f t="shared" si="35"/>
        <v>343750000.00000006</v>
      </c>
      <c r="DM15" s="120">
        <f t="shared" si="36"/>
        <v>343750000.00000006</v>
      </c>
      <c r="DN15" s="120">
        <f t="shared" si="37"/>
        <v>343750000.00000006</v>
      </c>
      <c r="DO15" s="120">
        <f t="shared" si="38"/>
        <v>333737864.07766998</v>
      </c>
      <c r="DP15" s="120">
        <f t="shared" si="39"/>
        <v>343750000.00000006</v>
      </c>
      <c r="DQ15" s="120">
        <f t="shared" si="40"/>
        <v>333737864.07766998</v>
      </c>
      <c r="DR15" s="15">
        <f t="shared" si="41"/>
        <v>1.6415316541278672E-11</v>
      </c>
      <c r="DS15" s="40">
        <f t="shared" si="42"/>
        <v>2500</v>
      </c>
      <c r="DT15" s="40">
        <f t="shared" si="43"/>
        <v>455.72916666666663</v>
      </c>
      <c r="DU15" s="40">
        <f t="shared" si="44"/>
        <v>0.22831050228310501</v>
      </c>
      <c r="DV15" s="40">
        <f>up_b2w!BZ15</f>
        <v>55286.023705663516</v>
      </c>
      <c r="DW15" s="40">
        <f>IFERROR(s_C*up_RadSpec!AI15*(1/1000)*s_IFFI_far_adj*s_CF_far_fish,0)</f>
        <v>68.75</v>
      </c>
      <c r="DX15" s="40">
        <f>(s_C*s_IFB_far_adj*s_CF_far_beef*up_RadSpec!AH15*s_Q_w_beef*(1/1000))</f>
        <v>343.75</v>
      </c>
      <c r="DY15" s="40">
        <f>(s_C*s_IFD_far_adj*s_CF_far_dairy*up_RadSpec!AG15*(1/s_D_milk)*s_Q_w_dairy*(1/1000))</f>
        <v>333.73786407766988</v>
      </c>
      <c r="DZ15" s="40">
        <f>(s_C*s_IFSW_far_adj*s_CF_far_swine*up_RadSpec!AL15*s_Q_w_swine*(1/1000))</f>
        <v>343.75</v>
      </c>
      <c r="EA15" s="40">
        <f>(s_C*s_IFP_far_adj*s_CF_far_poultry*up_RadSpec!AJ15*s_Q_w_poultry*(1/1000))</f>
        <v>343.75</v>
      </c>
      <c r="EB15" s="40">
        <f>(s_C*s_IFE_far_adj*s_CF_far_egg*up_RadSpec!AK15*s_Q_w_egg*(1/1000))</f>
        <v>343.75</v>
      </c>
      <c r="EC15" s="40">
        <f>(s_C*s_IFGO_far_adj*s_CF_far_goat*up_RadSpec!AO15*s_Q_p_goat*(1/1000))</f>
        <v>343.75</v>
      </c>
      <c r="ED15" s="40">
        <f>(s_C*s_IFGM_far_adj*s_CF_far_goat_milk*up_RadSpec!AP15*(1/s_D_milk)*s_Q_p_goat_milk*(1/1000))</f>
        <v>333.73786407766988</v>
      </c>
      <c r="EE15" s="40">
        <f>(s_C*s_IFSH_far_adj*s_CF_far_sheep*up_RadSpec!AM15*s_Q_p_sheep*(1/1000))</f>
        <v>343.75</v>
      </c>
      <c r="EF15" s="40">
        <f>(s_C*s_IFSM_far_adj*s_CF_far_sheep_milk*up_RadSpec!AN15*(1/s_D_milk)*s_Q_p_sheep_milk*(1/1000))</f>
        <v>333.73786407766988</v>
      </c>
      <c r="EG15" s="18"/>
      <c r="EH15" s="18"/>
      <c r="EI15" s="18"/>
      <c r="EJ15" s="18"/>
      <c r="EK15" s="18"/>
      <c r="EL15" s="18"/>
      <c r="EM15" s="18"/>
      <c r="EN15" s="18"/>
      <c r="EO15" s="18"/>
      <c r="EP15" s="18"/>
      <c r="EQ15" s="18"/>
      <c r="ER15" s="18"/>
      <c r="ES15" s="18"/>
      <c r="ET15" s="18"/>
      <c r="EU15" s="5"/>
      <c r="EV15" s="15">
        <f>IFERROR((s_TR/(up_RadSpec!G15*s_IFA_far_adj)),".")</f>
        <v>1.0971428571428573E-9</v>
      </c>
      <c r="EW15" s="15">
        <f>IFERROR((s_TR/(up_RadSpec!J15*s_EF_far*(1/365)*s_ED_far*s_ET_far*(1/24)*s_GSF_a)),".")</f>
        <v>1.7520000000000001E-6</v>
      </c>
      <c r="EX15" s="15">
        <f t="shared" si="48"/>
        <v>1.0964562309317064E-9</v>
      </c>
      <c r="EY15" s="40">
        <f t="shared" si="46"/>
        <v>911.45833333333326</v>
      </c>
      <c r="EZ15" s="40">
        <f t="shared" si="47"/>
        <v>0.57077625570776247</v>
      </c>
      <c r="FA15" s="122"/>
      <c r="FB15" s="122"/>
      <c r="FC15" s="122"/>
    </row>
    <row r="16" spans="1:159" customFormat="1" x14ac:dyDescent="0.25">
      <c r="A16" s="44" t="s">
        <v>26</v>
      </c>
      <c r="B16" s="42" t="s">
        <v>1074</v>
      </c>
      <c r="C16" s="15">
        <f>up_dir!AB16</f>
        <v>1.8181818181818181E-11</v>
      </c>
      <c r="D16" s="15">
        <f>IFERROR(s_TR/(up_RadSpec!E16*s_IFP_far_adj*s_CF_far_poultry),".")</f>
        <v>7.2727272727272723E-11</v>
      </c>
      <c r="E16" s="15">
        <f>IFERROR(s_TR/(up_RadSpec!E16*s_IFE_far_adj*s_CF_far_egg),".")</f>
        <v>7.2727272727272723E-11</v>
      </c>
      <c r="F16" s="15">
        <f>IFERROR(s_TR/(up_RadSpec!E16*s_IFB_far_adj*s_CF_far_beef),".")</f>
        <v>7.2727272727272723E-11</v>
      </c>
      <c r="G16" s="15">
        <f>IFERROR(s_TR/(up_RadSpec!E16*s_IFD_far_adj*s_CF_far_dairy),".")</f>
        <v>7.2727272727272723E-11</v>
      </c>
      <c r="H16" s="15">
        <f>IFERROR(s_TR/(up_RadSpec!E16*s_IFSW_far_adj*s_CF_far_swine),".")</f>
        <v>7.2727272727272723E-11</v>
      </c>
      <c r="I16" s="15">
        <f>IFERROR(s_TR/(up_RadSpec!E16*s_IFFI_far_adj*s_CF_far_fish),".")</f>
        <v>7.2727272727272723E-11</v>
      </c>
      <c r="J16" s="15">
        <f>IFERROR(s_TR/(up_RadSpec!E16*s_IFGO_far_adj*s_CF_far_goat),".")</f>
        <v>7.2727272727272723E-11</v>
      </c>
      <c r="K16" s="15">
        <f>IFERROR(s_TR/(up_RadSpec!E16*s_IFSH_far_adj*s_CF_far_sheep),".")</f>
        <v>7.2727272727272723E-11</v>
      </c>
      <c r="L16" s="15">
        <f>IFERROR(s_TR/(up_RadSpec!E16*s_IFGM_far_adj*s_CF_far_goat_milk),".")</f>
        <v>7.2727272727272723E-11</v>
      </c>
      <c r="M16" s="15">
        <f>IFERROR(s_TR/(up_RadSpec!E16*s_IFSM_far_adj*s_CF_far_sheep_milk),".")</f>
        <v>7.2727272727272723E-11</v>
      </c>
      <c r="N16" s="40">
        <f>up_dir!BA16</f>
        <v>55000</v>
      </c>
      <c r="O16" s="40">
        <f t="shared" si="0"/>
        <v>13750</v>
      </c>
      <c r="P16" s="40">
        <f t="shared" si="1"/>
        <v>13750</v>
      </c>
      <c r="Q16" s="40">
        <f t="shared" si="2"/>
        <v>13750</v>
      </c>
      <c r="R16" s="40">
        <f t="shared" si="3"/>
        <v>13750</v>
      </c>
      <c r="S16" s="40">
        <f t="shared" si="4"/>
        <v>13750</v>
      </c>
      <c r="T16" s="40">
        <f t="shared" si="5"/>
        <v>13750</v>
      </c>
      <c r="U16" s="40">
        <f t="shared" si="6"/>
        <v>13750</v>
      </c>
      <c r="V16" s="40">
        <f t="shared" si="7"/>
        <v>13750</v>
      </c>
      <c r="W16" s="40">
        <f t="shared" si="8"/>
        <v>13750</v>
      </c>
      <c r="X16" s="40">
        <f t="shared" si="9"/>
        <v>13750</v>
      </c>
      <c r="Y16" s="5"/>
      <c r="Z16" s="5"/>
      <c r="AA16" s="5"/>
      <c r="AB16" s="5"/>
      <c r="AC16" s="5"/>
      <c r="AD16" s="5"/>
      <c r="AE16" s="5"/>
      <c r="AF16" s="5"/>
      <c r="AG16" s="5"/>
      <c r="AH16" s="5"/>
      <c r="AI16" s="5"/>
      <c r="AJ16" s="45">
        <f>IFERROR((s_TR/(up_RadSpec!D16*s_IFS_far_adj*(1/1000)))*1,".")</f>
        <v>3.6363636363636363E-8</v>
      </c>
      <c r="AK16" s="45">
        <f>IFERROR(IF(A16="H-3",(s_TR/(up_RadSpec!G16*s_IFA_far_adj*(1/17)*1000))*1,(s_TR/(up_RadSpec!G16*s_IFA_far_adj*(1/s_PEF_wind)*1000))*1),".")</f>
        <v>3.3989909629864073E-4</v>
      </c>
      <c r="AL16" s="45">
        <f>IFERROR((s_TR/(up_RadSpec!F16*s_EF_far*(1/365)*s_ED_far*up_RadSpec!Q16*((s_ET_far_o*(1/24)*up_RadSpec!V16)+(s_ET_far_i*(1/24)*up_RadSpec!AA16))))*1,".")</f>
        <v>0.35060034305317339</v>
      </c>
      <c r="AM16" s="45">
        <f>up_b2s!BA16</f>
        <v>3.6265718922545492E-12</v>
      </c>
      <c r="AN16" s="45">
        <f>IFERROR(((I16*up_RadSpec!AS16)/up_RadSpec!AI16)*1,".")</f>
        <v>7.2727272727272723E-11</v>
      </c>
      <c r="AO16" s="45">
        <f>IFERROR((F16/(up_RadSpec!AH16*((s_Q_p_beef*s_f_p_beef*s_f_s_beef*(up_RadSpec!BB16+s_R_es_past))+(s_Q_s_beef*s_f_p_beef))))*1,".")</f>
        <v>2.0414673046251994E-14</v>
      </c>
      <c r="AP16" s="45">
        <f>IFERROR(((G16*s_D_milk)/(up_RadSpec!AG16*((s_Q_p_dairy*s_f_p_dairy*s_f_s_dairy*(up_RadSpec!BB16+s_R_es_past))+(s_Q_s_dairy*s_f_p_dairy))))*1,".")</f>
        <v>2.102711323763955E-14</v>
      </c>
      <c r="AQ16" s="45">
        <f>IFERROR((H16/(up_RadSpec!AL16*((s_Q_p_swine*s_f_p_swine*s_f_s_swine*(up_RadSpec!BB16+s_R_es_past))+(s_Q_s_swine*s_f_p_swine))))*1,".")</f>
        <v>2.0414673046251994E-14</v>
      </c>
      <c r="AR16" s="45">
        <f>IFERROR((D16/(up_RadSpec!AJ16*((s_Q_p_poultry*s_f_p_poultry*s_f_s_poultry*(up_RadSpec!BB16+s_R_es_past))+(s_Q_s_poultry*s_f_p_poultry))))*1,".")</f>
        <v>2.0414673046251994E-14</v>
      </c>
      <c r="AS16" s="45">
        <f>IFERROR((E16/(up_RadSpec!AK16*((s_Q_p_poultry*s_f_p_poultry*s_f_s_poultry*(up_RadSpec!BB16+s_R_es_past))+(s_Q_s_poultry*s_f_p_poultry))))*1,".")</f>
        <v>2.0414673046251994E-14</v>
      </c>
      <c r="AT16" s="45">
        <f>IFERROR((J16/(up_RadSpec!AO16*((s_Q_p_goat*s_f_p_goat*s_f_s_goat*(up_RadSpec!BB16+s_R_es_past))+(s_Q_s_goat*s_f_p_goat))))*1,".")</f>
        <v>2.0414673046251994E-14</v>
      </c>
      <c r="AU16" s="45">
        <f>IFERROR((L16*s_D_milk/(up_RadSpec!AP16*((s_Q_p_goat_milk*s_f_p_goat_milk*s_f_s_goat_milk*(up_RadSpec!BB16+s_R_es_past))+(s_Q_s_goat_milk*s_f_p_goat_milk))))*1,".")</f>
        <v>2.102711323763955E-14</v>
      </c>
      <c r="AV16" s="45">
        <f>IFERROR((K16/(up_RadSpec!AM16*((s_Q_p_sheep*s_f_p_sheep*s_f_s_sheep*(up_RadSpec!BB16+s_R_es_past))+(s_Q_s_sheep*s_f_p_sheep))))*1,".")</f>
        <v>2.0414673046251994E-14</v>
      </c>
      <c r="AW16" s="45">
        <f>IFERROR((M16*s_D_milk/(up_RadSpec!AN16*((s_Q_p_sheep_milk*s_f_p_sheep_milk*s_f_s_sheep_milk*(up_RadSpec!BB16+s_R_es_past))+(s_Q_s_sheep_milk*s_f_p_sheep_milk))))*1,".")</f>
        <v>2.102711323763955E-14</v>
      </c>
      <c r="AX16" s="120">
        <f t="shared" si="10"/>
        <v>27500000</v>
      </c>
      <c r="AY16" s="120">
        <f t="shared" si="11"/>
        <v>2942.0495991003877</v>
      </c>
      <c r="AZ16" s="120">
        <f t="shared" si="12"/>
        <v>2.8522504892367895</v>
      </c>
      <c r="BA16" s="120">
        <f t="shared" si="13"/>
        <v>275742500000</v>
      </c>
      <c r="BB16" s="120">
        <f t="shared" si="14"/>
        <v>13750000000</v>
      </c>
      <c r="BC16" s="120">
        <f t="shared" si="15"/>
        <v>48984375000000</v>
      </c>
      <c r="BD16" s="120">
        <f t="shared" si="16"/>
        <v>47557645631067.969</v>
      </c>
      <c r="BE16" s="120">
        <f t="shared" si="17"/>
        <v>48984375000000</v>
      </c>
      <c r="BF16" s="120">
        <f t="shared" si="18"/>
        <v>48984375000000</v>
      </c>
      <c r="BG16" s="120">
        <f t="shared" si="19"/>
        <v>48984375000000</v>
      </c>
      <c r="BH16" s="120">
        <f t="shared" si="20"/>
        <v>48984375000000</v>
      </c>
      <c r="BI16" s="120">
        <f t="shared" si="21"/>
        <v>47557645631067.969</v>
      </c>
      <c r="BJ16" s="120">
        <f t="shared" si="22"/>
        <v>48984375000000</v>
      </c>
      <c r="BK16" s="120">
        <f t="shared" si="23"/>
        <v>47557645631067.969</v>
      </c>
      <c r="BL16" s="15">
        <f t="shared" si="24"/>
        <v>2.2890172361045697E-15</v>
      </c>
      <c r="BM16" s="40">
        <f t="shared" si="25"/>
        <v>27.5</v>
      </c>
      <c r="BN16" s="40">
        <f t="shared" si="26"/>
        <v>2.9420495991003873E-3</v>
      </c>
      <c r="BO16" s="40">
        <f>IFERROR((s_C*s_EF_far*(1/365)*s_ED_far*up_RadSpec!Q16*((s_ET_far_o*(1/24)*up_RadSpec!V16)+(s_ET_far_i*(1/24)*up_RadSpec!AA16))),".")</f>
        <v>2.8522504892367894E-6</v>
      </c>
      <c r="BP16" s="40">
        <f>up_b2s!BZ16</f>
        <v>275742.5</v>
      </c>
      <c r="BQ16" s="40">
        <f>IFERROR(((s_C*up_RadSpec!AI16)/up_RadSpec!AS16)*s_IFFI_far_adj*s_CF_far_fish,0)</f>
        <v>13750</v>
      </c>
      <c r="BR16" s="40">
        <f>(s_C*s_IFB_far_adj*s_CF_far_beef*up_RadSpec!AH16*((s_Q_p_beef*s_f_p_beef*s_f_s_beef*(up_RadSpec!$AR16+s_R_es_past))+(s_Q_s_beef*s_f_p_beef)))</f>
        <v>48984375</v>
      </c>
      <c r="BS16" s="40">
        <f>(s_C*s_IFD_far_adj*s_CF_far_dairy*up_RadSpec!AG16*1/s_D_milk*((s_Q_p_dairy*s_f_p_dairy*s_f_s_dairy*(up_RadSpec!$AR16+s_R_es_past))+(s_Q_s_dairy*s_f_p_dairy)))</f>
        <v>47557645.631067954</v>
      </c>
      <c r="BT16" s="40">
        <f>(s_C*s_IFSW_far_adj*s_CF_far_swine*up_RadSpec!AL16*((s_Q_p_swine*s_f_p_swine*s_f_s_swine*(up_RadSpec!$AR16+s_R_es_past))+(s_Q_s_swine*s_f_p_swine)))</f>
        <v>48984375</v>
      </c>
      <c r="BU16" s="40">
        <f>(s_C*s_IFP_far_adj*s_CF_far_poultry*up_RadSpec!AJ16*((s_Q_p_poultry*s_f_p_poultry*s_f_s_poultry*(up_RadSpec!AR16+s_R_es_past))+(s_Q_s_poultry*s_f_p_poultry)))</f>
        <v>48984375</v>
      </c>
      <c r="BV16" s="40">
        <f>(s_C*s_IFE_far_adj*s_CF_far_egg*up_RadSpec!AK16*((s_Q_p_egg*s_f_p_egg*s_f_s_egg*(up_RadSpec!$AR16+s_R_es_past))+(s_Q_s_egg*s_f_p_egg)))</f>
        <v>48984375</v>
      </c>
      <c r="BW16" s="40">
        <f>(s_C*s_IFGO_far_adj*s_CF_far_goat*up_RadSpec!AO16*((s_Q_p_goat*s_f_p_goat*s_f_s_goat*(up_RadSpec!$AR16+s_R_es_past))+(s_Q_s_goat*s_f_p_goat)))</f>
        <v>48984375</v>
      </c>
      <c r="BX16" s="40">
        <f>(s_C*s_IFGM_far_adj*s_CF_far_goat_milk*up_RadSpec!AP16*1/s_D_milk*((s_Q_p_goat_milk*s_f_p_goat_milk*s_f_s_goat_milk*(up_RadSpec!$AR16+s_R_es_past))+(s_Q_s_goat_milk*s_f_p_goat_milk)))</f>
        <v>47557645.631067954</v>
      </c>
      <c r="BY16" s="40">
        <f>(s_C*s_IFSH_far_adj*s_CF_far_sheep*up_RadSpec!AM16*((s_Q_p_sheep*s_f_p_sheep*s_f_s_sheep*(up_RadSpec!$AR16+s_R_es_past))+(s_Q_s_sheep*s_f_p_sheep)))</f>
        <v>48984375</v>
      </c>
      <c r="BZ16" s="40">
        <f>(s_C*s_IFSM_far_adj*s_CF_far_sheep_milk*up_RadSpec!AN16*1/s_D_milk*((s_Q_p_sheep_milk*s_f_p_sheep_milk*s_f_s_sheep_milk*(up_RadSpec!$AR16+s_R_es_past))+(s_Q_s_sheep_milk*s_f_p_sheep_milk)))</f>
        <v>47557645.631067954</v>
      </c>
      <c r="CA16" s="45"/>
      <c r="CB16" s="45"/>
      <c r="CC16" s="45"/>
      <c r="CD16" s="45"/>
      <c r="CE16" s="45"/>
      <c r="CF16" s="45"/>
      <c r="CG16" s="45"/>
      <c r="CH16" s="45"/>
      <c r="CI16" s="45"/>
      <c r="CJ16" s="45"/>
      <c r="CK16" s="45"/>
      <c r="CL16" s="45"/>
      <c r="CM16" s="45"/>
      <c r="CN16" s="45"/>
      <c r="CO16" s="15"/>
      <c r="CP16" s="15">
        <f>IFERROR(s_TR/(up_RadSpec!H16*s_IFW_far_adj),".")</f>
        <v>3.9999999999999996E-10</v>
      </c>
      <c r="CQ16" s="15" t="str">
        <f>IFERROR(IF(up_RadSpec!C16=1,s_TR/(up_RadSpec!G16*s_IFA_far_adj*s_K),"."),".")</f>
        <v>.</v>
      </c>
      <c r="CR16" s="15">
        <f>IFERROR((s_TR/(up_RadSpec!L16*(1/8760)*s_DFA_far_adj)),".")</f>
        <v>4.3800000000000004E-6</v>
      </c>
      <c r="CS16" s="15">
        <f>up_b2w!BA16</f>
        <v>1.8087754064641833E-11</v>
      </c>
      <c r="CT16" s="15">
        <f>IFERROR(I16/(up_RadSpec!AI16*(1/1000)),".")</f>
        <v>1.4545454545454544E-8</v>
      </c>
      <c r="CU16" s="15">
        <f>IFERROR(F16/(up_RadSpec!AH16*s_Q_w_beef*(1/1000)),".")</f>
        <v>2.9090909090909087E-9</v>
      </c>
      <c r="CV16" s="15">
        <f>IFERROR((G16*s_D_milk)/(up_RadSpec!AG16*s_Q_w_dairy*(1/1000)),".")</f>
        <v>2.9963636363636357E-9</v>
      </c>
      <c r="CW16" s="15">
        <f>IFERROR(H16/(up_RadSpec!AL16*s_Q_w_swine*(1/1000)),".")</f>
        <v>2.9090909090909087E-9</v>
      </c>
      <c r="CX16" s="15">
        <f>IFERROR(D16/(up_RadSpec!AJ16*s_Q_w_poultry*(1/1000)),".")</f>
        <v>2.9090909090909087E-9</v>
      </c>
      <c r="CY16" s="15">
        <f>IFERROR(E16/(up_RadSpec!AK16*s_Q_w_poultry*(1/1000)),".")</f>
        <v>2.9090909090909087E-9</v>
      </c>
      <c r="CZ16" s="15">
        <f>IFERROR(J16/(up_RadSpec!AO16*s_Q_w_goat*(1/1000)),".")</f>
        <v>2.9090909090909087E-9</v>
      </c>
      <c r="DA16" s="15">
        <f>IFERROR(L16*s_D_milk/(up_RadSpec!AP16*s_Q_w_goat_milk*(1/1000)),".")</f>
        <v>2.9963636363636357E-9</v>
      </c>
      <c r="DB16" s="15">
        <f>IFERROR(K16/(up_RadSpec!AM16*s_Q_w_sheep*(1/1000)),".")</f>
        <v>2.9090909090909087E-9</v>
      </c>
      <c r="DC16" s="15">
        <f>IFERROR(M16*s_D_milk/(up_RadSpec!AN16*s_Q_w_sheep_milk*(1/1000)),".")</f>
        <v>2.9963636363636357E-9</v>
      </c>
      <c r="DD16" s="120">
        <f t="shared" si="27"/>
        <v>2500000000</v>
      </c>
      <c r="DE16" s="120" t="str">
        <f t="shared" si="28"/>
        <v>.</v>
      </c>
      <c r="DF16" s="120">
        <f t="shared" si="29"/>
        <v>228310.50228310502</v>
      </c>
      <c r="DG16" s="120">
        <f t="shared" si="30"/>
        <v>55286023705.663513</v>
      </c>
      <c r="DH16" s="120">
        <f t="shared" si="31"/>
        <v>68750000</v>
      </c>
      <c r="DI16" s="120">
        <f t="shared" si="32"/>
        <v>343750000.00000006</v>
      </c>
      <c r="DJ16" s="120">
        <f t="shared" si="33"/>
        <v>333737864.07766998</v>
      </c>
      <c r="DK16" s="120">
        <f t="shared" si="34"/>
        <v>343750000.00000006</v>
      </c>
      <c r="DL16" s="120">
        <f t="shared" si="35"/>
        <v>343750000.00000006</v>
      </c>
      <c r="DM16" s="120">
        <f t="shared" si="36"/>
        <v>343750000.00000006</v>
      </c>
      <c r="DN16" s="120">
        <f t="shared" si="37"/>
        <v>343750000.00000006</v>
      </c>
      <c r="DO16" s="120">
        <f t="shared" si="38"/>
        <v>333737864.07766998</v>
      </c>
      <c r="DP16" s="120">
        <f t="shared" si="39"/>
        <v>343750000.00000006</v>
      </c>
      <c r="DQ16" s="120">
        <f t="shared" si="40"/>
        <v>333737864.07766998</v>
      </c>
      <c r="DR16" s="15">
        <f t="shared" si="41"/>
        <v>1.6415316541278672E-11</v>
      </c>
      <c r="DS16" s="40">
        <f t="shared" si="42"/>
        <v>2500</v>
      </c>
      <c r="DT16" s="40">
        <f t="shared" si="43"/>
        <v>455.72916666666663</v>
      </c>
      <c r="DU16" s="40">
        <f t="shared" si="44"/>
        <v>0.22831050228310501</v>
      </c>
      <c r="DV16" s="40">
        <f>up_b2w!BZ16</f>
        <v>55286.023705663516</v>
      </c>
      <c r="DW16" s="40">
        <f>IFERROR(s_C*up_RadSpec!AI16*(1/1000)*s_IFFI_far_adj*s_CF_far_fish,0)</f>
        <v>68.75</v>
      </c>
      <c r="DX16" s="40">
        <f>(s_C*s_IFB_far_adj*s_CF_far_beef*up_RadSpec!AH16*s_Q_w_beef*(1/1000))</f>
        <v>343.75</v>
      </c>
      <c r="DY16" s="40">
        <f>(s_C*s_IFD_far_adj*s_CF_far_dairy*up_RadSpec!AG16*(1/s_D_milk)*s_Q_w_dairy*(1/1000))</f>
        <v>333.73786407766988</v>
      </c>
      <c r="DZ16" s="40">
        <f>(s_C*s_IFSW_far_adj*s_CF_far_swine*up_RadSpec!AL16*s_Q_w_swine*(1/1000))</f>
        <v>343.75</v>
      </c>
      <c r="EA16" s="40">
        <f>(s_C*s_IFP_far_adj*s_CF_far_poultry*up_RadSpec!AJ16*s_Q_w_poultry*(1/1000))</f>
        <v>343.75</v>
      </c>
      <c r="EB16" s="40">
        <f>(s_C*s_IFE_far_adj*s_CF_far_egg*up_RadSpec!AK16*s_Q_w_egg*(1/1000))</f>
        <v>343.75</v>
      </c>
      <c r="EC16" s="40">
        <f>(s_C*s_IFGO_far_adj*s_CF_far_goat*up_RadSpec!AO16*s_Q_p_goat*(1/1000))</f>
        <v>343.75</v>
      </c>
      <c r="ED16" s="40">
        <f>(s_C*s_IFGM_far_adj*s_CF_far_goat_milk*up_RadSpec!AP16*(1/s_D_milk)*s_Q_p_goat_milk*(1/1000))</f>
        <v>333.73786407766988</v>
      </c>
      <c r="EE16" s="40">
        <f>(s_C*s_IFSH_far_adj*s_CF_far_sheep*up_RadSpec!AM16*s_Q_p_sheep*(1/1000))</f>
        <v>343.75</v>
      </c>
      <c r="EF16" s="40">
        <f>(s_C*s_IFSM_far_adj*s_CF_far_sheep_milk*up_RadSpec!AN16*(1/s_D_milk)*s_Q_p_sheep_milk*(1/1000))</f>
        <v>333.73786407766988</v>
      </c>
      <c r="EG16" s="18"/>
      <c r="EH16" s="18"/>
      <c r="EI16" s="18"/>
      <c r="EJ16" s="18"/>
      <c r="EK16" s="18"/>
      <c r="EL16" s="18"/>
      <c r="EM16" s="18"/>
      <c r="EN16" s="18"/>
      <c r="EO16" s="18"/>
      <c r="EP16" s="18"/>
      <c r="EQ16" s="18"/>
      <c r="ER16" s="18"/>
      <c r="ES16" s="18"/>
      <c r="ET16" s="18"/>
      <c r="EU16" s="5"/>
      <c r="EV16" s="15">
        <f>IFERROR((s_TR/(up_RadSpec!G16*s_IFA_far_adj)),".")</f>
        <v>1.0971428571428573E-9</v>
      </c>
      <c r="EW16" s="15">
        <f>IFERROR((s_TR/(up_RadSpec!J16*s_EF_far*(1/365)*s_ED_far*s_ET_far*(1/24)*s_GSF_a)),".")</f>
        <v>1.7520000000000001E-6</v>
      </c>
      <c r="EX16" s="15">
        <f t="shared" si="48"/>
        <v>1.0964562309317064E-9</v>
      </c>
      <c r="EY16" s="40">
        <f t="shared" si="46"/>
        <v>911.45833333333326</v>
      </c>
      <c r="EZ16" s="40">
        <f t="shared" si="47"/>
        <v>0.57077625570776247</v>
      </c>
      <c r="FA16" s="122"/>
      <c r="FB16" s="122"/>
      <c r="FC16" s="122"/>
    </row>
    <row r="17" spans="1:159" customFormat="1" x14ac:dyDescent="0.25">
      <c r="A17" s="44" t="s">
        <v>27</v>
      </c>
      <c r="B17" s="42" t="s">
        <v>1074</v>
      </c>
      <c r="C17" s="15">
        <f>up_dir!AB17</f>
        <v>1.8181818181818181E-11</v>
      </c>
      <c r="D17" s="15">
        <f>IFERROR(s_TR/(up_RadSpec!E17*s_IFP_far_adj*s_CF_far_poultry),".")</f>
        <v>7.2727272727272723E-11</v>
      </c>
      <c r="E17" s="15">
        <f>IFERROR(s_TR/(up_RadSpec!E17*s_IFE_far_adj*s_CF_far_egg),".")</f>
        <v>7.2727272727272723E-11</v>
      </c>
      <c r="F17" s="15">
        <f>IFERROR(s_TR/(up_RadSpec!E17*s_IFB_far_adj*s_CF_far_beef),".")</f>
        <v>7.2727272727272723E-11</v>
      </c>
      <c r="G17" s="15">
        <f>IFERROR(s_TR/(up_RadSpec!E17*s_IFD_far_adj*s_CF_far_dairy),".")</f>
        <v>7.2727272727272723E-11</v>
      </c>
      <c r="H17" s="15">
        <f>IFERROR(s_TR/(up_RadSpec!E17*s_IFSW_far_adj*s_CF_far_swine),".")</f>
        <v>7.2727272727272723E-11</v>
      </c>
      <c r="I17" s="15">
        <f>IFERROR(s_TR/(up_RadSpec!E17*s_IFFI_far_adj*s_CF_far_fish),".")</f>
        <v>7.2727272727272723E-11</v>
      </c>
      <c r="J17" s="15">
        <f>IFERROR(s_TR/(up_RadSpec!E17*s_IFGO_far_adj*s_CF_far_goat),".")</f>
        <v>7.2727272727272723E-11</v>
      </c>
      <c r="K17" s="15">
        <f>IFERROR(s_TR/(up_RadSpec!E17*s_IFSH_far_adj*s_CF_far_sheep),".")</f>
        <v>7.2727272727272723E-11</v>
      </c>
      <c r="L17" s="15">
        <f>IFERROR(s_TR/(up_RadSpec!E17*s_IFGM_far_adj*s_CF_far_goat_milk),".")</f>
        <v>7.2727272727272723E-11</v>
      </c>
      <c r="M17" s="15">
        <f>IFERROR(s_TR/(up_RadSpec!E17*s_IFSM_far_adj*s_CF_far_sheep_milk),".")</f>
        <v>7.2727272727272723E-11</v>
      </c>
      <c r="N17" s="40">
        <f>up_dir!BA17</f>
        <v>55000</v>
      </c>
      <c r="O17" s="40">
        <f t="shared" si="0"/>
        <v>13750</v>
      </c>
      <c r="P17" s="40">
        <f t="shared" si="1"/>
        <v>13750</v>
      </c>
      <c r="Q17" s="40">
        <f t="shared" si="2"/>
        <v>13750</v>
      </c>
      <c r="R17" s="40">
        <f t="shared" si="3"/>
        <v>13750</v>
      </c>
      <c r="S17" s="40">
        <f t="shared" si="4"/>
        <v>13750</v>
      </c>
      <c r="T17" s="40">
        <f t="shared" si="5"/>
        <v>13750</v>
      </c>
      <c r="U17" s="40">
        <f t="shared" si="6"/>
        <v>13750</v>
      </c>
      <c r="V17" s="40">
        <f t="shared" si="7"/>
        <v>13750</v>
      </c>
      <c r="W17" s="40">
        <f t="shared" si="8"/>
        <v>13750</v>
      </c>
      <c r="X17" s="40">
        <f t="shared" si="9"/>
        <v>13750</v>
      </c>
      <c r="Y17" s="5"/>
      <c r="Z17" s="5"/>
      <c r="AA17" s="5"/>
      <c r="AB17" s="5"/>
      <c r="AC17" s="5"/>
      <c r="AD17" s="5"/>
      <c r="AE17" s="5"/>
      <c r="AF17" s="5"/>
      <c r="AG17" s="5"/>
      <c r="AH17" s="5"/>
      <c r="AI17" s="5"/>
      <c r="AJ17" s="45">
        <f>IFERROR((s_TR/(up_RadSpec!D17*s_IFS_far_adj*(1/1000)))*1,".")</f>
        <v>3.6363636363636363E-8</v>
      </c>
      <c r="AK17" s="45">
        <f>IFERROR(IF(A17="H-3",(s_TR/(up_RadSpec!G17*s_IFA_far_adj*(1/17)*1000))*1,(s_TR/(up_RadSpec!G17*s_IFA_far_adj*(1/s_PEF_wind)*1000))*1),".")</f>
        <v>3.3989909629864073E-4</v>
      </c>
      <c r="AL17" s="45">
        <f>IFERROR((s_TR/(up_RadSpec!F17*s_EF_far*(1/365)*s_ED_far*up_RadSpec!Q17*((s_ET_far_o*(1/24)*up_RadSpec!V17)+(s_ET_far_i*(1/24)*up_RadSpec!AA17))))*1,".")</f>
        <v>3.2233766233766216E-5</v>
      </c>
      <c r="AM17" s="45">
        <f>up_b2s!BA17</f>
        <v>3.6265718922545492E-12</v>
      </c>
      <c r="AN17" s="45">
        <f>IFERROR(((I17*up_RadSpec!AS17)/up_RadSpec!AI17)*1,".")</f>
        <v>7.2727272727272723E-11</v>
      </c>
      <c r="AO17" s="45">
        <f>IFERROR((F17/(up_RadSpec!AH17*((s_Q_p_beef*s_f_p_beef*s_f_s_beef*(up_RadSpec!BB17+s_R_es_past))+(s_Q_s_beef*s_f_p_beef))))*1,".")</f>
        <v>2.0414673046251994E-14</v>
      </c>
      <c r="AP17" s="45">
        <f>IFERROR(((G17*s_D_milk)/(up_RadSpec!AG17*((s_Q_p_dairy*s_f_p_dairy*s_f_s_dairy*(up_RadSpec!BB17+s_R_es_past))+(s_Q_s_dairy*s_f_p_dairy))))*1,".")</f>
        <v>2.102711323763955E-14</v>
      </c>
      <c r="AQ17" s="45">
        <f>IFERROR((H17/(up_RadSpec!AL17*((s_Q_p_swine*s_f_p_swine*s_f_s_swine*(up_RadSpec!BB17+s_R_es_past))+(s_Q_s_swine*s_f_p_swine))))*1,".")</f>
        <v>2.0414673046251994E-14</v>
      </c>
      <c r="AR17" s="45">
        <f>IFERROR((D17/(up_RadSpec!AJ17*((s_Q_p_poultry*s_f_p_poultry*s_f_s_poultry*(up_RadSpec!BB17+s_R_es_past))+(s_Q_s_poultry*s_f_p_poultry))))*1,".")</f>
        <v>2.0414673046251994E-14</v>
      </c>
      <c r="AS17" s="45">
        <f>IFERROR((E17/(up_RadSpec!AK17*((s_Q_p_poultry*s_f_p_poultry*s_f_s_poultry*(up_RadSpec!BB17+s_R_es_past))+(s_Q_s_poultry*s_f_p_poultry))))*1,".")</f>
        <v>2.0414673046251994E-14</v>
      </c>
      <c r="AT17" s="45">
        <f>IFERROR((J17/(up_RadSpec!AO17*((s_Q_p_goat*s_f_p_goat*s_f_s_goat*(up_RadSpec!BB17+s_R_es_past))+(s_Q_s_goat*s_f_p_goat))))*1,".")</f>
        <v>2.0414673046251994E-14</v>
      </c>
      <c r="AU17" s="45">
        <f>IFERROR((L17*s_D_milk/(up_RadSpec!AP17*((s_Q_p_goat_milk*s_f_p_goat_milk*s_f_s_goat_milk*(up_RadSpec!BB17+s_R_es_past))+(s_Q_s_goat_milk*s_f_p_goat_milk))))*1,".")</f>
        <v>2.102711323763955E-14</v>
      </c>
      <c r="AV17" s="45">
        <f>IFERROR((K17/(up_RadSpec!AM17*((s_Q_p_sheep*s_f_p_sheep*s_f_s_sheep*(up_RadSpec!BB17+s_R_es_past))+(s_Q_s_sheep*s_f_p_sheep))))*1,".")</f>
        <v>2.0414673046251994E-14</v>
      </c>
      <c r="AW17" s="45">
        <f>IFERROR((M17*s_D_milk/(up_RadSpec!AN17*((s_Q_p_sheep_milk*s_f_p_sheep_milk*s_f_s_sheep_milk*(up_RadSpec!BB17+s_R_es_past))+(s_Q_s_sheep_milk*s_f_p_sheep_milk))))*1,".")</f>
        <v>2.102711323763955E-14</v>
      </c>
      <c r="AX17" s="120">
        <f t="shared" si="10"/>
        <v>27500000</v>
      </c>
      <c r="AY17" s="120">
        <f t="shared" si="11"/>
        <v>2942.0495991003877</v>
      </c>
      <c r="AZ17" s="120">
        <f t="shared" si="12"/>
        <v>31023.368251410171</v>
      </c>
      <c r="BA17" s="120">
        <f t="shared" si="13"/>
        <v>275742500000</v>
      </c>
      <c r="BB17" s="120">
        <f t="shared" si="14"/>
        <v>13750000000</v>
      </c>
      <c r="BC17" s="120">
        <f t="shared" si="15"/>
        <v>48984375000000</v>
      </c>
      <c r="BD17" s="120">
        <f t="shared" si="16"/>
        <v>47557645631067.969</v>
      </c>
      <c r="BE17" s="120">
        <f t="shared" si="17"/>
        <v>48984375000000</v>
      </c>
      <c r="BF17" s="120">
        <f t="shared" si="18"/>
        <v>48984375000000</v>
      </c>
      <c r="BG17" s="120">
        <f t="shared" si="19"/>
        <v>48984375000000</v>
      </c>
      <c r="BH17" s="120">
        <f t="shared" si="20"/>
        <v>48984375000000</v>
      </c>
      <c r="BI17" s="120">
        <f t="shared" si="21"/>
        <v>47557645631067.969</v>
      </c>
      <c r="BJ17" s="120">
        <f t="shared" si="22"/>
        <v>48984375000000</v>
      </c>
      <c r="BK17" s="120">
        <f t="shared" si="23"/>
        <v>47557645631067.969</v>
      </c>
      <c r="BL17" s="15">
        <f t="shared" si="24"/>
        <v>2.2890172359420344E-15</v>
      </c>
      <c r="BM17" s="40">
        <f t="shared" si="25"/>
        <v>27.5</v>
      </c>
      <c r="BN17" s="40">
        <f t="shared" si="26"/>
        <v>2.9420495991003873E-3</v>
      </c>
      <c r="BO17" s="40">
        <f>IFERROR((s_C*s_EF_far*(1/365)*s_ED_far*up_RadSpec!Q17*((s_ET_far_o*(1/24)*up_RadSpec!V17)+(s_ET_far_i*(1/24)*up_RadSpec!AA17))),".")</f>
        <v>3.102336825141017E-2</v>
      </c>
      <c r="BP17" s="40">
        <f>up_b2s!BZ17</f>
        <v>275742.5</v>
      </c>
      <c r="BQ17" s="40">
        <f>IFERROR(((s_C*up_RadSpec!AI17)/up_RadSpec!AS17)*s_IFFI_far_adj*s_CF_far_fish,0)</f>
        <v>13750</v>
      </c>
      <c r="BR17" s="40">
        <f>(s_C*s_IFB_far_adj*s_CF_far_beef*up_RadSpec!AH17*((s_Q_p_beef*s_f_p_beef*s_f_s_beef*(up_RadSpec!$AR17+s_R_es_past))+(s_Q_s_beef*s_f_p_beef)))</f>
        <v>48984375</v>
      </c>
      <c r="BS17" s="40">
        <f>(s_C*s_IFD_far_adj*s_CF_far_dairy*up_RadSpec!AG17*1/s_D_milk*((s_Q_p_dairy*s_f_p_dairy*s_f_s_dairy*(up_RadSpec!$AR17+s_R_es_past))+(s_Q_s_dairy*s_f_p_dairy)))</f>
        <v>47557645.631067954</v>
      </c>
      <c r="BT17" s="40">
        <f>(s_C*s_IFSW_far_adj*s_CF_far_swine*up_RadSpec!AL17*((s_Q_p_swine*s_f_p_swine*s_f_s_swine*(up_RadSpec!$AR17+s_R_es_past))+(s_Q_s_swine*s_f_p_swine)))</f>
        <v>48984375</v>
      </c>
      <c r="BU17" s="40">
        <f>(s_C*s_IFP_far_adj*s_CF_far_poultry*up_RadSpec!AJ17*((s_Q_p_poultry*s_f_p_poultry*s_f_s_poultry*(up_RadSpec!AR17+s_R_es_past))+(s_Q_s_poultry*s_f_p_poultry)))</f>
        <v>48984375</v>
      </c>
      <c r="BV17" s="40">
        <f>(s_C*s_IFE_far_adj*s_CF_far_egg*up_RadSpec!AK17*((s_Q_p_egg*s_f_p_egg*s_f_s_egg*(up_RadSpec!$AR17+s_R_es_past))+(s_Q_s_egg*s_f_p_egg)))</f>
        <v>48984375</v>
      </c>
      <c r="BW17" s="40">
        <f>(s_C*s_IFGO_far_adj*s_CF_far_goat*up_RadSpec!AO17*((s_Q_p_goat*s_f_p_goat*s_f_s_goat*(up_RadSpec!$AR17+s_R_es_past))+(s_Q_s_goat*s_f_p_goat)))</f>
        <v>48984375</v>
      </c>
      <c r="BX17" s="40">
        <f>(s_C*s_IFGM_far_adj*s_CF_far_goat_milk*up_RadSpec!AP17*1/s_D_milk*((s_Q_p_goat_milk*s_f_p_goat_milk*s_f_s_goat_milk*(up_RadSpec!$AR17+s_R_es_past))+(s_Q_s_goat_milk*s_f_p_goat_milk)))</f>
        <v>47557645.631067954</v>
      </c>
      <c r="BY17" s="40">
        <f>(s_C*s_IFSH_far_adj*s_CF_far_sheep*up_RadSpec!AM17*((s_Q_p_sheep*s_f_p_sheep*s_f_s_sheep*(up_RadSpec!$AR17+s_R_es_past))+(s_Q_s_sheep*s_f_p_sheep)))</f>
        <v>48984375</v>
      </c>
      <c r="BZ17" s="40">
        <f>(s_C*s_IFSM_far_adj*s_CF_far_sheep_milk*up_RadSpec!AN17*1/s_D_milk*((s_Q_p_sheep_milk*s_f_p_sheep_milk*s_f_s_sheep_milk*(up_RadSpec!$AR17+s_R_es_past))+(s_Q_s_sheep_milk*s_f_p_sheep_milk)))</f>
        <v>47557645.631067954</v>
      </c>
      <c r="CA17" s="45"/>
      <c r="CB17" s="45"/>
      <c r="CC17" s="45"/>
      <c r="CD17" s="45"/>
      <c r="CE17" s="45"/>
      <c r="CF17" s="45"/>
      <c r="CG17" s="45"/>
      <c r="CH17" s="45"/>
      <c r="CI17" s="45"/>
      <c r="CJ17" s="45"/>
      <c r="CK17" s="45"/>
      <c r="CL17" s="45"/>
      <c r="CM17" s="45"/>
      <c r="CN17" s="45"/>
      <c r="CO17" s="15"/>
      <c r="CP17" s="15">
        <f>IFERROR(s_TR/(up_RadSpec!H17*s_IFW_far_adj),".")</f>
        <v>3.9999999999999996E-10</v>
      </c>
      <c r="CQ17" s="15" t="str">
        <f>IFERROR(IF(up_RadSpec!C17=1,s_TR/(up_RadSpec!G17*s_IFA_far_adj*s_K),"."),".")</f>
        <v>.</v>
      </c>
      <c r="CR17" s="15">
        <f>IFERROR((s_TR/(up_RadSpec!L17*(1/8760)*s_DFA_far_adj)),".")</f>
        <v>4.3800000000000004E-6</v>
      </c>
      <c r="CS17" s="15">
        <f>up_b2w!BA17</f>
        <v>1.8087754064641833E-11</v>
      </c>
      <c r="CT17" s="15">
        <f>IFERROR(I17/(up_RadSpec!AI17*(1/1000)),".")</f>
        <v>1.4545454545454544E-8</v>
      </c>
      <c r="CU17" s="15">
        <f>IFERROR(F17/(up_RadSpec!AH17*s_Q_w_beef*(1/1000)),".")</f>
        <v>2.9090909090909087E-9</v>
      </c>
      <c r="CV17" s="15">
        <f>IFERROR((G17*s_D_milk)/(up_RadSpec!AG17*s_Q_w_dairy*(1/1000)),".")</f>
        <v>2.9963636363636357E-9</v>
      </c>
      <c r="CW17" s="15">
        <f>IFERROR(H17/(up_RadSpec!AL17*s_Q_w_swine*(1/1000)),".")</f>
        <v>2.9090909090909087E-9</v>
      </c>
      <c r="CX17" s="15">
        <f>IFERROR(D17/(up_RadSpec!AJ17*s_Q_w_poultry*(1/1000)),".")</f>
        <v>2.9090909090909087E-9</v>
      </c>
      <c r="CY17" s="15">
        <f>IFERROR(E17/(up_RadSpec!AK17*s_Q_w_poultry*(1/1000)),".")</f>
        <v>2.9090909090909087E-9</v>
      </c>
      <c r="CZ17" s="15">
        <f>IFERROR(J17/(up_RadSpec!AO17*s_Q_w_goat*(1/1000)),".")</f>
        <v>2.9090909090909087E-9</v>
      </c>
      <c r="DA17" s="15">
        <f>IFERROR(L17*s_D_milk/(up_RadSpec!AP17*s_Q_w_goat_milk*(1/1000)),".")</f>
        <v>2.9963636363636357E-9</v>
      </c>
      <c r="DB17" s="15">
        <f>IFERROR(K17/(up_RadSpec!AM17*s_Q_w_sheep*(1/1000)),".")</f>
        <v>2.9090909090909087E-9</v>
      </c>
      <c r="DC17" s="15">
        <f>IFERROR(M17*s_D_milk/(up_RadSpec!AN17*s_Q_w_sheep_milk*(1/1000)),".")</f>
        <v>2.9963636363636357E-9</v>
      </c>
      <c r="DD17" s="120">
        <f t="shared" si="27"/>
        <v>2500000000</v>
      </c>
      <c r="DE17" s="120" t="str">
        <f t="shared" si="28"/>
        <v>.</v>
      </c>
      <c r="DF17" s="120">
        <f t="shared" si="29"/>
        <v>228310.50228310502</v>
      </c>
      <c r="DG17" s="120">
        <f t="shared" si="30"/>
        <v>55286023705.663513</v>
      </c>
      <c r="DH17" s="120">
        <f t="shared" si="31"/>
        <v>68750000</v>
      </c>
      <c r="DI17" s="120">
        <f t="shared" si="32"/>
        <v>343750000.00000006</v>
      </c>
      <c r="DJ17" s="120">
        <f t="shared" si="33"/>
        <v>333737864.07766998</v>
      </c>
      <c r="DK17" s="120">
        <f t="shared" si="34"/>
        <v>343750000.00000006</v>
      </c>
      <c r="DL17" s="120">
        <f t="shared" si="35"/>
        <v>343750000.00000006</v>
      </c>
      <c r="DM17" s="120">
        <f t="shared" si="36"/>
        <v>343750000.00000006</v>
      </c>
      <c r="DN17" s="120">
        <f t="shared" si="37"/>
        <v>343750000.00000006</v>
      </c>
      <c r="DO17" s="120">
        <f t="shared" si="38"/>
        <v>333737864.07766998</v>
      </c>
      <c r="DP17" s="120">
        <f t="shared" si="39"/>
        <v>343750000.00000006</v>
      </c>
      <c r="DQ17" s="120">
        <f t="shared" si="40"/>
        <v>333737864.07766998</v>
      </c>
      <c r="DR17" s="15">
        <f t="shared" si="41"/>
        <v>1.6415316541278672E-11</v>
      </c>
      <c r="DS17" s="40">
        <f t="shared" si="42"/>
        <v>2500</v>
      </c>
      <c r="DT17" s="40">
        <f t="shared" si="43"/>
        <v>455.72916666666663</v>
      </c>
      <c r="DU17" s="40">
        <f t="shared" si="44"/>
        <v>0.22831050228310501</v>
      </c>
      <c r="DV17" s="40">
        <f>up_b2w!BZ17</f>
        <v>55286.023705663516</v>
      </c>
      <c r="DW17" s="40">
        <f>IFERROR(s_C*up_RadSpec!AI17*(1/1000)*s_IFFI_far_adj*s_CF_far_fish,0)</f>
        <v>68.75</v>
      </c>
      <c r="DX17" s="40">
        <f>(s_C*s_IFB_far_adj*s_CF_far_beef*up_RadSpec!AH17*s_Q_w_beef*(1/1000))</f>
        <v>343.75</v>
      </c>
      <c r="DY17" s="40">
        <f>(s_C*s_IFD_far_adj*s_CF_far_dairy*up_RadSpec!AG17*(1/s_D_milk)*s_Q_w_dairy*(1/1000))</f>
        <v>333.73786407766988</v>
      </c>
      <c r="DZ17" s="40">
        <f>(s_C*s_IFSW_far_adj*s_CF_far_swine*up_RadSpec!AL17*s_Q_w_swine*(1/1000))</f>
        <v>343.75</v>
      </c>
      <c r="EA17" s="40">
        <f>(s_C*s_IFP_far_adj*s_CF_far_poultry*up_RadSpec!AJ17*s_Q_w_poultry*(1/1000))</f>
        <v>343.75</v>
      </c>
      <c r="EB17" s="40">
        <f>(s_C*s_IFE_far_adj*s_CF_far_egg*up_RadSpec!AK17*s_Q_w_egg*(1/1000))</f>
        <v>343.75</v>
      </c>
      <c r="EC17" s="40">
        <f>(s_C*s_IFGO_far_adj*s_CF_far_goat*up_RadSpec!AO17*s_Q_p_goat*(1/1000))</f>
        <v>343.75</v>
      </c>
      <c r="ED17" s="40">
        <f>(s_C*s_IFGM_far_adj*s_CF_far_goat_milk*up_RadSpec!AP17*(1/s_D_milk)*s_Q_p_goat_milk*(1/1000))</f>
        <v>333.73786407766988</v>
      </c>
      <c r="EE17" s="40">
        <f>(s_C*s_IFSH_far_adj*s_CF_far_sheep*up_RadSpec!AM17*s_Q_p_sheep*(1/1000))</f>
        <v>343.75</v>
      </c>
      <c r="EF17" s="40">
        <f>(s_C*s_IFSM_far_adj*s_CF_far_sheep_milk*up_RadSpec!AN17*(1/s_D_milk)*s_Q_p_sheep_milk*(1/1000))</f>
        <v>333.73786407766988</v>
      </c>
      <c r="EG17" s="18"/>
      <c r="EH17" s="18"/>
      <c r="EI17" s="18"/>
      <c r="EJ17" s="18"/>
      <c r="EK17" s="18"/>
      <c r="EL17" s="18"/>
      <c r="EM17" s="18"/>
      <c r="EN17" s="18"/>
      <c r="EO17" s="18"/>
      <c r="EP17" s="18"/>
      <c r="EQ17" s="18"/>
      <c r="ER17" s="18"/>
      <c r="ES17" s="18"/>
      <c r="ET17" s="18"/>
      <c r="EU17" s="5"/>
      <c r="EV17" s="15">
        <f>IFERROR((s_TR/(up_RadSpec!G17*s_IFA_far_adj)),".")</f>
        <v>1.0971428571428573E-9</v>
      </c>
      <c r="EW17" s="15">
        <f>IFERROR((s_TR/(up_RadSpec!J17*s_EF_far*(1/365)*s_ED_far*s_ET_far*(1/24)*s_GSF_a)),".")</f>
        <v>1.7520000000000001E-6</v>
      </c>
      <c r="EX17" s="15">
        <f t="shared" si="48"/>
        <v>1.0964562309317064E-9</v>
      </c>
      <c r="EY17" s="40">
        <f t="shared" si="46"/>
        <v>911.45833333333326</v>
      </c>
      <c r="EZ17" s="40">
        <f t="shared" si="47"/>
        <v>0.57077625570776247</v>
      </c>
      <c r="FA17" s="122"/>
      <c r="FB17" s="122"/>
      <c r="FC17" s="122"/>
    </row>
    <row r="18" spans="1:159" customFormat="1" x14ac:dyDescent="0.25">
      <c r="A18" s="44" t="s">
        <v>28</v>
      </c>
      <c r="B18" s="42" t="s">
        <v>1074</v>
      </c>
      <c r="C18" s="15">
        <f>up_dir!AB18</f>
        <v>1.8181818181818181E-11</v>
      </c>
      <c r="D18" s="15">
        <f>IFERROR(s_TR/(up_RadSpec!E18*s_IFP_far_adj*s_CF_far_poultry),".")</f>
        <v>7.2727272727272723E-11</v>
      </c>
      <c r="E18" s="15">
        <f>IFERROR(s_TR/(up_RadSpec!E18*s_IFE_far_adj*s_CF_far_egg),".")</f>
        <v>7.2727272727272723E-11</v>
      </c>
      <c r="F18" s="15">
        <f>IFERROR(s_TR/(up_RadSpec!E18*s_IFB_far_adj*s_CF_far_beef),".")</f>
        <v>7.2727272727272723E-11</v>
      </c>
      <c r="G18" s="15">
        <f>IFERROR(s_TR/(up_RadSpec!E18*s_IFD_far_adj*s_CF_far_dairy),".")</f>
        <v>7.2727272727272723E-11</v>
      </c>
      <c r="H18" s="15">
        <f>IFERROR(s_TR/(up_RadSpec!E18*s_IFSW_far_adj*s_CF_far_swine),".")</f>
        <v>7.2727272727272723E-11</v>
      </c>
      <c r="I18" s="15">
        <f>IFERROR(s_TR/(up_RadSpec!E18*s_IFFI_far_adj*s_CF_far_fish),".")</f>
        <v>7.2727272727272723E-11</v>
      </c>
      <c r="J18" s="15">
        <f>IFERROR(s_TR/(up_RadSpec!E18*s_IFGO_far_adj*s_CF_far_goat),".")</f>
        <v>7.2727272727272723E-11</v>
      </c>
      <c r="K18" s="15">
        <f>IFERROR(s_TR/(up_RadSpec!E18*s_IFSH_far_adj*s_CF_far_sheep),".")</f>
        <v>7.2727272727272723E-11</v>
      </c>
      <c r="L18" s="15">
        <f>IFERROR(s_TR/(up_RadSpec!E18*s_IFGM_far_adj*s_CF_far_goat_milk),".")</f>
        <v>7.2727272727272723E-11</v>
      </c>
      <c r="M18" s="15">
        <f>IFERROR(s_TR/(up_RadSpec!E18*s_IFSM_far_adj*s_CF_far_sheep_milk),".")</f>
        <v>7.2727272727272723E-11</v>
      </c>
      <c r="N18" s="40">
        <f>up_dir!BA18</f>
        <v>55000</v>
      </c>
      <c r="O18" s="40">
        <f t="shared" si="0"/>
        <v>13750</v>
      </c>
      <c r="P18" s="40">
        <f t="shared" si="1"/>
        <v>13750</v>
      </c>
      <c r="Q18" s="40">
        <f t="shared" si="2"/>
        <v>13750</v>
      </c>
      <c r="R18" s="40">
        <f t="shared" si="3"/>
        <v>13750</v>
      </c>
      <c r="S18" s="40">
        <f t="shared" si="4"/>
        <v>13750</v>
      </c>
      <c r="T18" s="40">
        <f t="shared" si="5"/>
        <v>13750</v>
      </c>
      <c r="U18" s="40">
        <f t="shared" si="6"/>
        <v>13750</v>
      </c>
      <c r="V18" s="40">
        <f t="shared" si="7"/>
        <v>13750</v>
      </c>
      <c r="W18" s="40">
        <f t="shared" si="8"/>
        <v>13750</v>
      </c>
      <c r="X18" s="40">
        <f t="shared" si="9"/>
        <v>13750</v>
      </c>
      <c r="Y18" s="5"/>
      <c r="Z18" s="5"/>
      <c r="AA18" s="5"/>
      <c r="AB18" s="5"/>
      <c r="AC18" s="5"/>
      <c r="AD18" s="5"/>
      <c r="AE18" s="5"/>
      <c r="AF18" s="5"/>
      <c r="AG18" s="5"/>
      <c r="AH18" s="5"/>
      <c r="AI18" s="5"/>
      <c r="AJ18" s="45">
        <f>IFERROR((s_TR/(up_RadSpec!D18*s_IFS_far_adj*(1/1000)))*1,".")</f>
        <v>3.6363636363636363E-8</v>
      </c>
      <c r="AK18" s="45">
        <f>IFERROR(IF(A18="H-3",(s_TR/(up_RadSpec!G18*s_IFA_far_adj*(1/17)*1000))*1,(s_TR/(up_RadSpec!G18*s_IFA_far_adj*(1/s_PEF_wind)*1000))*1),".")</f>
        <v>3.3989909629864073E-4</v>
      </c>
      <c r="AL18" s="45">
        <f>IFERROR((s_TR/(up_RadSpec!F18*s_EF_far*(1/365)*s_ED_far*up_RadSpec!Q18*((s_ET_far_o*(1/24)*up_RadSpec!V18)+(s_ET_far_i*(1/24)*up_RadSpec!AA18))))*1,".")</f>
        <v>1.6417089783281737E-5</v>
      </c>
      <c r="AM18" s="45">
        <f>up_b2s!BA18</f>
        <v>3.6265718922545492E-12</v>
      </c>
      <c r="AN18" s="45">
        <f>IFERROR(((I18*up_RadSpec!AS18)/up_RadSpec!AI18)*1,".")</f>
        <v>7.2727272727272723E-11</v>
      </c>
      <c r="AO18" s="45">
        <f>IFERROR((F18/(up_RadSpec!AH18*((s_Q_p_beef*s_f_p_beef*s_f_s_beef*(up_RadSpec!BB18+s_R_es_past))+(s_Q_s_beef*s_f_p_beef))))*1,".")</f>
        <v>2.0414673046251994E-14</v>
      </c>
      <c r="AP18" s="45">
        <f>IFERROR(((G18*s_D_milk)/(up_RadSpec!AG18*((s_Q_p_dairy*s_f_p_dairy*s_f_s_dairy*(up_RadSpec!BB18+s_R_es_past))+(s_Q_s_dairy*s_f_p_dairy))))*1,".")</f>
        <v>2.102711323763955E-14</v>
      </c>
      <c r="AQ18" s="45">
        <f>IFERROR((H18/(up_RadSpec!AL18*((s_Q_p_swine*s_f_p_swine*s_f_s_swine*(up_RadSpec!BB18+s_R_es_past))+(s_Q_s_swine*s_f_p_swine))))*1,".")</f>
        <v>2.0414673046251994E-14</v>
      </c>
      <c r="AR18" s="45">
        <f>IFERROR((D18/(up_RadSpec!AJ18*((s_Q_p_poultry*s_f_p_poultry*s_f_s_poultry*(up_RadSpec!BB18+s_R_es_past))+(s_Q_s_poultry*s_f_p_poultry))))*1,".")</f>
        <v>2.0414673046251994E-14</v>
      </c>
      <c r="AS18" s="45">
        <f>IFERROR((E18/(up_RadSpec!AK18*((s_Q_p_poultry*s_f_p_poultry*s_f_s_poultry*(up_RadSpec!BB18+s_R_es_past))+(s_Q_s_poultry*s_f_p_poultry))))*1,".")</f>
        <v>2.0414673046251994E-14</v>
      </c>
      <c r="AT18" s="45">
        <f>IFERROR((J18/(up_RadSpec!AO18*((s_Q_p_goat*s_f_p_goat*s_f_s_goat*(up_RadSpec!BB18+s_R_es_past))+(s_Q_s_goat*s_f_p_goat))))*1,".")</f>
        <v>2.0414673046251994E-14</v>
      </c>
      <c r="AU18" s="45">
        <f>IFERROR((L18*s_D_milk/(up_RadSpec!AP18*((s_Q_p_goat_milk*s_f_p_goat_milk*s_f_s_goat_milk*(up_RadSpec!BB18+s_R_es_past))+(s_Q_s_goat_milk*s_f_p_goat_milk))))*1,".")</f>
        <v>2.102711323763955E-14</v>
      </c>
      <c r="AV18" s="45">
        <f>IFERROR((K18/(up_RadSpec!AM18*((s_Q_p_sheep*s_f_p_sheep*s_f_s_sheep*(up_RadSpec!BB18+s_R_es_past))+(s_Q_s_sheep*s_f_p_sheep))))*1,".")</f>
        <v>2.0414673046251994E-14</v>
      </c>
      <c r="AW18" s="45">
        <f>IFERROR((M18*s_D_milk/(up_RadSpec!AN18*((s_Q_p_sheep_milk*s_f_p_sheep_milk*s_f_s_sheep_milk*(up_RadSpec!BB18+s_R_es_past))+(s_Q_s_sheep_milk*s_f_p_sheep_milk))))*1,".")</f>
        <v>2.102711323763955E-14</v>
      </c>
      <c r="AX18" s="120">
        <f t="shared" si="10"/>
        <v>27500000</v>
      </c>
      <c r="AY18" s="120">
        <f t="shared" si="11"/>
        <v>2942.0495991003877</v>
      </c>
      <c r="AZ18" s="120">
        <f t="shared" si="12"/>
        <v>60912.135658680818</v>
      </c>
      <c r="BA18" s="120">
        <f t="shared" si="13"/>
        <v>275742500000</v>
      </c>
      <c r="BB18" s="120">
        <f t="shared" si="14"/>
        <v>13750000000</v>
      </c>
      <c r="BC18" s="120">
        <f t="shared" si="15"/>
        <v>48984375000000</v>
      </c>
      <c r="BD18" s="120">
        <f t="shared" si="16"/>
        <v>47557645631067.969</v>
      </c>
      <c r="BE18" s="120">
        <f t="shared" si="17"/>
        <v>48984375000000</v>
      </c>
      <c r="BF18" s="120">
        <f t="shared" si="18"/>
        <v>48984375000000</v>
      </c>
      <c r="BG18" s="120">
        <f t="shared" si="19"/>
        <v>48984375000000</v>
      </c>
      <c r="BH18" s="120">
        <f t="shared" si="20"/>
        <v>48984375000000</v>
      </c>
      <c r="BI18" s="120">
        <f t="shared" si="21"/>
        <v>47557645631067.969</v>
      </c>
      <c r="BJ18" s="120">
        <f t="shared" si="22"/>
        <v>48984375000000</v>
      </c>
      <c r="BK18" s="120">
        <f t="shared" si="23"/>
        <v>47557645631067.969</v>
      </c>
      <c r="BL18" s="15">
        <f t="shared" si="24"/>
        <v>2.2890172357854293E-15</v>
      </c>
      <c r="BM18" s="40">
        <f t="shared" si="25"/>
        <v>27.5</v>
      </c>
      <c r="BN18" s="40">
        <f t="shared" si="26"/>
        <v>2.9420495991003873E-3</v>
      </c>
      <c r="BO18" s="40">
        <f>IFERROR((s_C*s_EF_far*(1/365)*s_ED_far*up_RadSpec!Q18*((s_ET_far_o*(1/24)*up_RadSpec!V18)+(s_ET_far_i*(1/24)*up_RadSpec!AA18))),".")</f>
        <v>6.091213565868081E-2</v>
      </c>
      <c r="BP18" s="40">
        <f>up_b2s!BZ18</f>
        <v>275742.5</v>
      </c>
      <c r="BQ18" s="40">
        <f>IFERROR(((s_C*up_RadSpec!AI18)/up_RadSpec!AS18)*s_IFFI_far_adj*s_CF_far_fish,0)</f>
        <v>13750</v>
      </c>
      <c r="BR18" s="40">
        <f>(s_C*s_IFB_far_adj*s_CF_far_beef*up_RadSpec!AH18*((s_Q_p_beef*s_f_p_beef*s_f_s_beef*(up_RadSpec!$AR18+s_R_es_past))+(s_Q_s_beef*s_f_p_beef)))</f>
        <v>48984375</v>
      </c>
      <c r="BS18" s="40">
        <f>(s_C*s_IFD_far_adj*s_CF_far_dairy*up_RadSpec!AG18*1/s_D_milk*((s_Q_p_dairy*s_f_p_dairy*s_f_s_dairy*(up_RadSpec!$AR18+s_R_es_past))+(s_Q_s_dairy*s_f_p_dairy)))</f>
        <v>47557645.631067954</v>
      </c>
      <c r="BT18" s="40">
        <f>(s_C*s_IFSW_far_adj*s_CF_far_swine*up_RadSpec!AL18*((s_Q_p_swine*s_f_p_swine*s_f_s_swine*(up_RadSpec!$AR18+s_R_es_past))+(s_Q_s_swine*s_f_p_swine)))</f>
        <v>48984375</v>
      </c>
      <c r="BU18" s="40">
        <f>(s_C*s_IFP_far_adj*s_CF_far_poultry*up_RadSpec!AJ18*((s_Q_p_poultry*s_f_p_poultry*s_f_s_poultry*(up_RadSpec!AR18+s_R_es_past))+(s_Q_s_poultry*s_f_p_poultry)))</f>
        <v>48984375</v>
      </c>
      <c r="BV18" s="40">
        <f>(s_C*s_IFE_far_adj*s_CF_far_egg*up_RadSpec!AK18*((s_Q_p_egg*s_f_p_egg*s_f_s_egg*(up_RadSpec!$AR18+s_R_es_past))+(s_Q_s_egg*s_f_p_egg)))</f>
        <v>48984375</v>
      </c>
      <c r="BW18" s="40">
        <f>(s_C*s_IFGO_far_adj*s_CF_far_goat*up_RadSpec!AO18*((s_Q_p_goat*s_f_p_goat*s_f_s_goat*(up_RadSpec!$AR18+s_R_es_past))+(s_Q_s_goat*s_f_p_goat)))</f>
        <v>48984375</v>
      </c>
      <c r="BX18" s="40">
        <f>(s_C*s_IFGM_far_adj*s_CF_far_goat_milk*up_RadSpec!AP18*1/s_D_milk*((s_Q_p_goat_milk*s_f_p_goat_milk*s_f_s_goat_milk*(up_RadSpec!$AR18+s_R_es_past))+(s_Q_s_goat_milk*s_f_p_goat_milk)))</f>
        <v>47557645.631067954</v>
      </c>
      <c r="BY18" s="40">
        <f>(s_C*s_IFSH_far_adj*s_CF_far_sheep*up_RadSpec!AM18*((s_Q_p_sheep*s_f_p_sheep*s_f_s_sheep*(up_RadSpec!$AR18+s_R_es_past))+(s_Q_s_sheep*s_f_p_sheep)))</f>
        <v>48984375</v>
      </c>
      <c r="BZ18" s="40">
        <f>(s_C*s_IFSM_far_adj*s_CF_far_sheep_milk*up_RadSpec!AN18*1/s_D_milk*((s_Q_p_sheep_milk*s_f_p_sheep_milk*s_f_s_sheep_milk*(up_RadSpec!$AR18+s_R_es_past))+(s_Q_s_sheep_milk*s_f_p_sheep_milk)))</f>
        <v>47557645.631067954</v>
      </c>
      <c r="CA18" s="45"/>
      <c r="CB18" s="45"/>
      <c r="CC18" s="45"/>
      <c r="CD18" s="45"/>
      <c r="CE18" s="45"/>
      <c r="CF18" s="45"/>
      <c r="CG18" s="45"/>
      <c r="CH18" s="45"/>
      <c r="CI18" s="45"/>
      <c r="CJ18" s="45"/>
      <c r="CK18" s="45"/>
      <c r="CL18" s="45"/>
      <c r="CM18" s="45"/>
      <c r="CN18" s="45"/>
      <c r="CO18" s="15"/>
      <c r="CP18" s="15">
        <f>IFERROR(s_TR/(up_RadSpec!H18*s_IFW_far_adj),".")</f>
        <v>3.9999999999999996E-10</v>
      </c>
      <c r="CQ18" s="15" t="str">
        <f>IFERROR(IF(up_RadSpec!C18=1,s_TR/(up_RadSpec!G18*s_IFA_far_adj*s_K),"."),".")</f>
        <v>.</v>
      </c>
      <c r="CR18" s="15">
        <f>IFERROR((s_TR/(up_RadSpec!L18*(1/8760)*s_DFA_far_adj)),".")</f>
        <v>4.3800000000000004E-6</v>
      </c>
      <c r="CS18" s="15">
        <f>up_b2w!BA18</f>
        <v>1.8087754064641833E-11</v>
      </c>
      <c r="CT18" s="15">
        <f>IFERROR(I18/(up_RadSpec!AI18*(1/1000)),".")</f>
        <v>1.4545454545454544E-8</v>
      </c>
      <c r="CU18" s="15">
        <f>IFERROR(F18/(up_RadSpec!AH18*s_Q_w_beef*(1/1000)),".")</f>
        <v>2.9090909090909087E-9</v>
      </c>
      <c r="CV18" s="15">
        <f>IFERROR((G18*s_D_milk)/(up_RadSpec!AG18*s_Q_w_dairy*(1/1000)),".")</f>
        <v>2.9963636363636357E-9</v>
      </c>
      <c r="CW18" s="15">
        <f>IFERROR(H18/(up_RadSpec!AL18*s_Q_w_swine*(1/1000)),".")</f>
        <v>2.9090909090909087E-9</v>
      </c>
      <c r="CX18" s="15">
        <f>IFERROR(D18/(up_RadSpec!AJ18*s_Q_w_poultry*(1/1000)),".")</f>
        <v>2.9090909090909087E-9</v>
      </c>
      <c r="CY18" s="15">
        <f>IFERROR(E18/(up_RadSpec!AK18*s_Q_w_poultry*(1/1000)),".")</f>
        <v>2.9090909090909087E-9</v>
      </c>
      <c r="CZ18" s="15">
        <f>IFERROR(J18/(up_RadSpec!AO18*s_Q_w_goat*(1/1000)),".")</f>
        <v>2.9090909090909087E-9</v>
      </c>
      <c r="DA18" s="15">
        <f>IFERROR(L18*s_D_milk/(up_RadSpec!AP18*s_Q_w_goat_milk*(1/1000)),".")</f>
        <v>2.9963636363636357E-9</v>
      </c>
      <c r="DB18" s="15">
        <f>IFERROR(K18/(up_RadSpec!AM18*s_Q_w_sheep*(1/1000)),".")</f>
        <v>2.9090909090909087E-9</v>
      </c>
      <c r="DC18" s="15">
        <f>IFERROR(M18*s_D_milk/(up_RadSpec!AN18*s_Q_w_sheep_milk*(1/1000)),".")</f>
        <v>2.9963636363636357E-9</v>
      </c>
      <c r="DD18" s="120">
        <f t="shared" si="27"/>
        <v>2500000000</v>
      </c>
      <c r="DE18" s="120" t="str">
        <f t="shared" si="28"/>
        <v>.</v>
      </c>
      <c r="DF18" s="120">
        <f t="shared" si="29"/>
        <v>228310.50228310502</v>
      </c>
      <c r="DG18" s="120">
        <f t="shared" si="30"/>
        <v>55286023705.663513</v>
      </c>
      <c r="DH18" s="120">
        <f t="shared" si="31"/>
        <v>68750000</v>
      </c>
      <c r="DI18" s="120">
        <f t="shared" si="32"/>
        <v>343750000.00000006</v>
      </c>
      <c r="DJ18" s="120">
        <f t="shared" si="33"/>
        <v>333737864.07766998</v>
      </c>
      <c r="DK18" s="120">
        <f t="shared" si="34"/>
        <v>343750000.00000006</v>
      </c>
      <c r="DL18" s="120">
        <f t="shared" si="35"/>
        <v>343750000.00000006</v>
      </c>
      <c r="DM18" s="120">
        <f t="shared" si="36"/>
        <v>343750000.00000006</v>
      </c>
      <c r="DN18" s="120">
        <f t="shared" si="37"/>
        <v>343750000.00000006</v>
      </c>
      <c r="DO18" s="120">
        <f t="shared" si="38"/>
        <v>333737864.07766998</v>
      </c>
      <c r="DP18" s="120">
        <f t="shared" si="39"/>
        <v>343750000.00000006</v>
      </c>
      <c r="DQ18" s="120">
        <f t="shared" si="40"/>
        <v>333737864.07766998</v>
      </c>
      <c r="DR18" s="15">
        <f t="shared" si="41"/>
        <v>1.6415316541278672E-11</v>
      </c>
      <c r="DS18" s="40">
        <f t="shared" si="42"/>
        <v>2500</v>
      </c>
      <c r="DT18" s="40">
        <f t="shared" si="43"/>
        <v>455.72916666666663</v>
      </c>
      <c r="DU18" s="40">
        <f t="shared" si="44"/>
        <v>0.22831050228310501</v>
      </c>
      <c r="DV18" s="40">
        <f>up_b2w!BZ18</f>
        <v>55286.023705663516</v>
      </c>
      <c r="DW18" s="40">
        <f>IFERROR(s_C*up_RadSpec!AI18*(1/1000)*s_IFFI_far_adj*s_CF_far_fish,0)</f>
        <v>68.75</v>
      </c>
      <c r="DX18" s="40">
        <f>(s_C*s_IFB_far_adj*s_CF_far_beef*up_RadSpec!AH18*s_Q_w_beef*(1/1000))</f>
        <v>343.75</v>
      </c>
      <c r="DY18" s="40">
        <f>(s_C*s_IFD_far_adj*s_CF_far_dairy*up_RadSpec!AG18*(1/s_D_milk)*s_Q_w_dairy*(1/1000))</f>
        <v>333.73786407766988</v>
      </c>
      <c r="DZ18" s="40">
        <f>(s_C*s_IFSW_far_adj*s_CF_far_swine*up_RadSpec!AL18*s_Q_w_swine*(1/1000))</f>
        <v>343.75</v>
      </c>
      <c r="EA18" s="40">
        <f>(s_C*s_IFP_far_adj*s_CF_far_poultry*up_RadSpec!AJ18*s_Q_w_poultry*(1/1000))</f>
        <v>343.75</v>
      </c>
      <c r="EB18" s="40">
        <f>(s_C*s_IFE_far_adj*s_CF_far_egg*up_RadSpec!AK18*s_Q_w_egg*(1/1000))</f>
        <v>343.75</v>
      </c>
      <c r="EC18" s="40">
        <f>(s_C*s_IFGO_far_adj*s_CF_far_goat*up_RadSpec!AO18*s_Q_p_goat*(1/1000))</f>
        <v>343.75</v>
      </c>
      <c r="ED18" s="40">
        <f>(s_C*s_IFGM_far_adj*s_CF_far_goat_milk*up_RadSpec!AP18*(1/s_D_milk)*s_Q_p_goat_milk*(1/1000))</f>
        <v>333.73786407766988</v>
      </c>
      <c r="EE18" s="40">
        <f>(s_C*s_IFSH_far_adj*s_CF_far_sheep*up_RadSpec!AM18*s_Q_p_sheep*(1/1000))</f>
        <v>343.75</v>
      </c>
      <c r="EF18" s="40">
        <f>(s_C*s_IFSM_far_adj*s_CF_far_sheep_milk*up_RadSpec!AN18*(1/s_D_milk)*s_Q_p_sheep_milk*(1/1000))</f>
        <v>333.73786407766988</v>
      </c>
      <c r="EG18" s="18"/>
      <c r="EH18" s="18"/>
      <c r="EI18" s="18"/>
      <c r="EJ18" s="18"/>
      <c r="EK18" s="18"/>
      <c r="EL18" s="18"/>
      <c r="EM18" s="18"/>
      <c r="EN18" s="18"/>
      <c r="EO18" s="18"/>
      <c r="EP18" s="18"/>
      <c r="EQ18" s="18"/>
      <c r="ER18" s="18"/>
      <c r="ES18" s="18"/>
      <c r="ET18" s="18"/>
      <c r="EU18" s="5"/>
      <c r="EV18" s="15">
        <f>IFERROR((s_TR/(up_RadSpec!G18*s_IFA_far_adj)),".")</f>
        <v>1.0971428571428573E-9</v>
      </c>
      <c r="EW18" s="15">
        <f>IFERROR((s_TR/(up_RadSpec!J18*s_EF_far*(1/365)*s_ED_far*s_ET_far*(1/24)*s_GSF_a)),".")</f>
        <v>1.7520000000000001E-6</v>
      </c>
      <c r="EX18" s="15">
        <f t="shared" si="48"/>
        <v>1.0964562309317064E-9</v>
      </c>
      <c r="EY18" s="40">
        <f t="shared" si="46"/>
        <v>911.45833333333326</v>
      </c>
      <c r="EZ18" s="40">
        <f t="shared" si="47"/>
        <v>0.57077625570776247</v>
      </c>
      <c r="FA18" s="122"/>
      <c r="FB18" s="122"/>
      <c r="FC18" s="122"/>
    </row>
    <row r="19" spans="1:159" customFormat="1" x14ac:dyDescent="0.25">
      <c r="A19" s="44" t="s">
        <v>29</v>
      </c>
      <c r="B19" s="42" t="s">
        <v>1074</v>
      </c>
      <c r="C19" s="15">
        <f>up_dir!AB19</f>
        <v>1.8181818181818181E-11</v>
      </c>
      <c r="D19" s="15">
        <f>IFERROR(s_TR/(up_RadSpec!E19*s_IFP_far_adj*s_CF_far_poultry),".")</f>
        <v>7.2727272727272723E-11</v>
      </c>
      <c r="E19" s="15">
        <f>IFERROR(s_TR/(up_RadSpec!E19*s_IFE_far_adj*s_CF_far_egg),".")</f>
        <v>7.2727272727272723E-11</v>
      </c>
      <c r="F19" s="15">
        <f>IFERROR(s_TR/(up_RadSpec!E19*s_IFB_far_adj*s_CF_far_beef),".")</f>
        <v>7.2727272727272723E-11</v>
      </c>
      <c r="G19" s="15">
        <f>IFERROR(s_TR/(up_RadSpec!E19*s_IFD_far_adj*s_CF_far_dairy),".")</f>
        <v>7.2727272727272723E-11</v>
      </c>
      <c r="H19" s="15">
        <f>IFERROR(s_TR/(up_RadSpec!E19*s_IFSW_far_adj*s_CF_far_swine),".")</f>
        <v>7.2727272727272723E-11</v>
      </c>
      <c r="I19" s="15">
        <f>IFERROR(s_TR/(up_RadSpec!E19*s_IFFI_far_adj*s_CF_far_fish),".")</f>
        <v>7.2727272727272723E-11</v>
      </c>
      <c r="J19" s="15">
        <f>IFERROR(s_TR/(up_RadSpec!E19*s_IFGO_far_adj*s_CF_far_goat),".")</f>
        <v>7.2727272727272723E-11</v>
      </c>
      <c r="K19" s="15">
        <f>IFERROR(s_TR/(up_RadSpec!E19*s_IFSH_far_adj*s_CF_far_sheep),".")</f>
        <v>7.2727272727272723E-11</v>
      </c>
      <c r="L19" s="15">
        <f>IFERROR(s_TR/(up_RadSpec!E19*s_IFGM_far_adj*s_CF_far_goat_milk),".")</f>
        <v>7.2727272727272723E-11</v>
      </c>
      <c r="M19" s="15">
        <f>IFERROR(s_TR/(up_RadSpec!E19*s_IFSM_far_adj*s_CF_far_sheep_milk),".")</f>
        <v>7.2727272727272723E-11</v>
      </c>
      <c r="N19" s="40">
        <f>up_dir!BA19</f>
        <v>55000</v>
      </c>
      <c r="O19" s="40">
        <f t="shared" si="0"/>
        <v>13750</v>
      </c>
      <c r="P19" s="40">
        <f t="shared" si="1"/>
        <v>13750</v>
      </c>
      <c r="Q19" s="40">
        <f t="shared" si="2"/>
        <v>13750</v>
      </c>
      <c r="R19" s="40">
        <f t="shared" si="3"/>
        <v>13750</v>
      </c>
      <c r="S19" s="40">
        <f t="shared" si="4"/>
        <v>13750</v>
      </c>
      <c r="T19" s="40">
        <f t="shared" si="5"/>
        <v>13750</v>
      </c>
      <c r="U19" s="40">
        <f t="shared" si="6"/>
        <v>13750</v>
      </c>
      <c r="V19" s="40">
        <f t="shared" si="7"/>
        <v>13750</v>
      </c>
      <c r="W19" s="40">
        <f t="shared" si="8"/>
        <v>13750</v>
      </c>
      <c r="X19" s="40">
        <f t="shared" si="9"/>
        <v>13750</v>
      </c>
      <c r="Y19" s="5"/>
      <c r="Z19" s="5"/>
      <c r="AA19" s="5"/>
      <c r="AB19" s="5"/>
      <c r="AC19" s="5"/>
      <c r="AD19" s="5"/>
      <c r="AE19" s="5"/>
      <c r="AF19" s="5"/>
      <c r="AG19" s="5"/>
      <c r="AH19" s="5"/>
      <c r="AI19" s="5"/>
      <c r="AJ19" s="45">
        <f>IFERROR((s_TR/(up_RadSpec!D19*s_IFS_far_adj*(1/1000)))*1,".")</f>
        <v>3.6363636363636363E-8</v>
      </c>
      <c r="AK19" s="45">
        <f>IFERROR(IF(A19="H-3",(s_TR/(up_RadSpec!G19*s_IFA_far_adj*(1/17)*1000))*1,(s_TR/(up_RadSpec!G19*s_IFA_far_adj*(1/s_PEF_wind)*1000))*1),".")</f>
        <v>3.3989909629864073E-4</v>
      </c>
      <c r="AL19" s="45">
        <f>IFERROR((s_TR/(up_RadSpec!F19*s_EF_far*(1/365)*s_ED_far*up_RadSpec!Q19*((s_ET_far_o*(1/24)*up_RadSpec!V19)+(s_ET_far_i*(1/24)*up_RadSpec!AA19))))*1,".")</f>
        <v>1.6751901389981644E-5</v>
      </c>
      <c r="AM19" s="45">
        <f>up_b2s!BA19</f>
        <v>3.6265718922545492E-12</v>
      </c>
      <c r="AN19" s="45">
        <f>IFERROR(((I19*up_RadSpec!AS19)/up_RadSpec!AI19)*1,".")</f>
        <v>7.2727272727272723E-11</v>
      </c>
      <c r="AO19" s="45">
        <f>IFERROR((F19/(up_RadSpec!AH19*((s_Q_p_beef*s_f_p_beef*s_f_s_beef*(up_RadSpec!BB19+s_R_es_past))+(s_Q_s_beef*s_f_p_beef))))*1,".")</f>
        <v>2.0414673046251994E-14</v>
      </c>
      <c r="AP19" s="45">
        <f>IFERROR(((G19*s_D_milk)/(up_RadSpec!AG19*((s_Q_p_dairy*s_f_p_dairy*s_f_s_dairy*(up_RadSpec!BB19+s_R_es_past))+(s_Q_s_dairy*s_f_p_dairy))))*1,".")</f>
        <v>2.102711323763955E-14</v>
      </c>
      <c r="AQ19" s="45">
        <f>IFERROR((H19/(up_RadSpec!AL19*((s_Q_p_swine*s_f_p_swine*s_f_s_swine*(up_RadSpec!BB19+s_R_es_past))+(s_Q_s_swine*s_f_p_swine))))*1,".")</f>
        <v>2.0414673046251994E-14</v>
      </c>
      <c r="AR19" s="45">
        <f>IFERROR((D19/(up_RadSpec!AJ19*((s_Q_p_poultry*s_f_p_poultry*s_f_s_poultry*(up_RadSpec!BB19+s_R_es_past))+(s_Q_s_poultry*s_f_p_poultry))))*1,".")</f>
        <v>2.0414673046251994E-14</v>
      </c>
      <c r="AS19" s="45">
        <f>IFERROR((E19/(up_RadSpec!AK19*((s_Q_p_poultry*s_f_p_poultry*s_f_s_poultry*(up_RadSpec!BB19+s_R_es_past))+(s_Q_s_poultry*s_f_p_poultry))))*1,".")</f>
        <v>2.0414673046251994E-14</v>
      </c>
      <c r="AT19" s="45">
        <f>IFERROR((J19/(up_RadSpec!AO19*((s_Q_p_goat*s_f_p_goat*s_f_s_goat*(up_RadSpec!BB19+s_R_es_past))+(s_Q_s_goat*s_f_p_goat))))*1,".")</f>
        <v>2.0414673046251994E-14</v>
      </c>
      <c r="AU19" s="45">
        <f>IFERROR((L19*s_D_milk/(up_RadSpec!AP19*((s_Q_p_goat_milk*s_f_p_goat_milk*s_f_s_goat_milk*(up_RadSpec!BB19+s_R_es_past))+(s_Q_s_goat_milk*s_f_p_goat_milk))))*1,".")</f>
        <v>2.102711323763955E-14</v>
      </c>
      <c r="AV19" s="45">
        <f>IFERROR((K19/(up_RadSpec!AM19*((s_Q_p_sheep*s_f_p_sheep*s_f_s_sheep*(up_RadSpec!BB19+s_R_es_past))+(s_Q_s_sheep*s_f_p_sheep))))*1,".")</f>
        <v>2.0414673046251994E-14</v>
      </c>
      <c r="AW19" s="45">
        <f>IFERROR((M19*s_D_milk/(up_RadSpec!AN19*((s_Q_p_sheep_milk*s_f_p_sheep_milk*s_f_s_sheep_milk*(up_RadSpec!BB19+s_R_es_past))+(s_Q_s_sheep_milk*s_f_p_sheep_milk))))*1,".")</f>
        <v>2.102711323763955E-14</v>
      </c>
      <c r="AX19" s="120">
        <f t="shared" si="10"/>
        <v>27500000</v>
      </c>
      <c r="AY19" s="120">
        <f t="shared" si="11"/>
        <v>2942.0495991003877</v>
      </c>
      <c r="AZ19" s="120">
        <f t="shared" si="12"/>
        <v>59694.716242661438</v>
      </c>
      <c r="BA19" s="120">
        <f t="shared" si="13"/>
        <v>275742500000</v>
      </c>
      <c r="BB19" s="120">
        <f t="shared" si="14"/>
        <v>13750000000</v>
      </c>
      <c r="BC19" s="120">
        <f t="shared" si="15"/>
        <v>48984375000000</v>
      </c>
      <c r="BD19" s="120">
        <f t="shared" si="16"/>
        <v>47557645631067.969</v>
      </c>
      <c r="BE19" s="120">
        <f t="shared" si="17"/>
        <v>48984375000000</v>
      </c>
      <c r="BF19" s="120">
        <f t="shared" si="18"/>
        <v>48984375000000</v>
      </c>
      <c r="BG19" s="120">
        <f t="shared" si="19"/>
        <v>48984375000000</v>
      </c>
      <c r="BH19" s="120">
        <f t="shared" si="20"/>
        <v>48984375000000</v>
      </c>
      <c r="BI19" s="120">
        <f t="shared" si="21"/>
        <v>47557645631067.969</v>
      </c>
      <c r="BJ19" s="120">
        <f t="shared" si="22"/>
        <v>48984375000000</v>
      </c>
      <c r="BK19" s="120">
        <f t="shared" si="23"/>
        <v>47557645631067.969</v>
      </c>
      <c r="BL19" s="15">
        <f t="shared" si="24"/>
        <v>2.2890172357918081E-15</v>
      </c>
      <c r="BM19" s="40">
        <f t="shared" si="25"/>
        <v>27.5</v>
      </c>
      <c r="BN19" s="40">
        <f t="shared" si="26"/>
        <v>2.9420495991003873E-3</v>
      </c>
      <c r="BO19" s="40">
        <f>IFERROR((s_C*s_EF_far*(1/365)*s_ED_far*up_RadSpec!Q19*((s_ET_far_o*(1/24)*up_RadSpec!V19)+(s_ET_far_i*(1/24)*up_RadSpec!AA19))),".")</f>
        <v>5.9694716242661434E-2</v>
      </c>
      <c r="BP19" s="40">
        <f>up_b2s!BZ19</f>
        <v>275742.5</v>
      </c>
      <c r="BQ19" s="40">
        <f>IFERROR(((s_C*up_RadSpec!AI19)/up_RadSpec!AS19)*s_IFFI_far_adj*s_CF_far_fish,0)</f>
        <v>13750</v>
      </c>
      <c r="BR19" s="40">
        <f>(s_C*s_IFB_far_adj*s_CF_far_beef*up_RadSpec!AH19*((s_Q_p_beef*s_f_p_beef*s_f_s_beef*(up_RadSpec!$AR19+s_R_es_past))+(s_Q_s_beef*s_f_p_beef)))</f>
        <v>48984375</v>
      </c>
      <c r="BS19" s="40">
        <f>(s_C*s_IFD_far_adj*s_CF_far_dairy*up_RadSpec!AG19*1/s_D_milk*((s_Q_p_dairy*s_f_p_dairy*s_f_s_dairy*(up_RadSpec!$AR19+s_R_es_past))+(s_Q_s_dairy*s_f_p_dairy)))</f>
        <v>47557645.631067954</v>
      </c>
      <c r="BT19" s="40">
        <f>(s_C*s_IFSW_far_adj*s_CF_far_swine*up_RadSpec!AL19*((s_Q_p_swine*s_f_p_swine*s_f_s_swine*(up_RadSpec!$AR19+s_R_es_past))+(s_Q_s_swine*s_f_p_swine)))</f>
        <v>48984375</v>
      </c>
      <c r="BU19" s="40">
        <f>(s_C*s_IFP_far_adj*s_CF_far_poultry*up_RadSpec!AJ19*((s_Q_p_poultry*s_f_p_poultry*s_f_s_poultry*(up_RadSpec!AR19+s_R_es_past))+(s_Q_s_poultry*s_f_p_poultry)))</f>
        <v>48984375</v>
      </c>
      <c r="BV19" s="40">
        <f>(s_C*s_IFE_far_adj*s_CF_far_egg*up_RadSpec!AK19*((s_Q_p_egg*s_f_p_egg*s_f_s_egg*(up_RadSpec!$AR19+s_R_es_past))+(s_Q_s_egg*s_f_p_egg)))</f>
        <v>48984375</v>
      </c>
      <c r="BW19" s="40">
        <f>(s_C*s_IFGO_far_adj*s_CF_far_goat*up_RadSpec!AO19*((s_Q_p_goat*s_f_p_goat*s_f_s_goat*(up_RadSpec!$AR19+s_R_es_past))+(s_Q_s_goat*s_f_p_goat)))</f>
        <v>48984375</v>
      </c>
      <c r="BX19" s="40">
        <f>(s_C*s_IFGM_far_adj*s_CF_far_goat_milk*up_RadSpec!AP19*1/s_D_milk*((s_Q_p_goat_milk*s_f_p_goat_milk*s_f_s_goat_milk*(up_RadSpec!$AR19+s_R_es_past))+(s_Q_s_goat_milk*s_f_p_goat_milk)))</f>
        <v>47557645.631067954</v>
      </c>
      <c r="BY19" s="40">
        <f>(s_C*s_IFSH_far_adj*s_CF_far_sheep*up_RadSpec!AM19*((s_Q_p_sheep*s_f_p_sheep*s_f_s_sheep*(up_RadSpec!$AR19+s_R_es_past))+(s_Q_s_sheep*s_f_p_sheep)))</f>
        <v>48984375</v>
      </c>
      <c r="BZ19" s="40">
        <f>(s_C*s_IFSM_far_adj*s_CF_far_sheep_milk*up_RadSpec!AN19*1/s_D_milk*((s_Q_p_sheep_milk*s_f_p_sheep_milk*s_f_s_sheep_milk*(up_RadSpec!$AR19+s_R_es_past))+(s_Q_s_sheep_milk*s_f_p_sheep_milk)))</f>
        <v>47557645.631067954</v>
      </c>
      <c r="CA19" s="45"/>
      <c r="CB19" s="45"/>
      <c r="CC19" s="45"/>
      <c r="CD19" s="45"/>
      <c r="CE19" s="45"/>
      <c r="CF19" s="45"/>
      <c r="CG19" s="45"/>
      <c r="CH19" s="45"/>
      <c r="CI19" s="45"/>
      <c r="CJ19" s="45"/>
      <c r="CK19" s="45"/>
      <c r="CL19" s="45"/>
      <c r="CM19" s="45"/>
      <c r="CN19" s="45"/>
      <c r="CO19" s="15"/>
      <c r="CP19" s="15">
        <f>IFERROR(s_TR/(up_RadSpec!H19*s_IFW_far_adj),".")</f>
        <v>3.9999999999999996E-10</v>
      </c>
      <c r="CQ19" s="15" t="str">
        <f>IFERROR(IF(up_RadSpec!C19=1,s_TR/(up_RadSpec!G19*s_IFA_far_adj*s_K),"."),".")</f>
        <v>.</v>
      </c>
      <c r="CR19" s="15">
        <f>IFERROR((s_TR/(up_RadSpec!L19*(1/8760)*s_DFA_far_adj)),".")</f>
        <v>4.3800000000000004E-6</v>
      </c>
      <c r="CS19" s="15">
        <f>up_b2w!BA19</f>
        <v>1.8087754064641833E-11</v>
      </c>
      <c r="CT19" s="15">
        <f>IFERROR(I19/(up_RadSpec!AI19*(1/1000)),".")</f>
        <v>1.4545454545454544E-8</v>
      </c>
      <c r="CU19" s="15">
        <f>IFERROR(F19/(up_RadSpec!AH19*s_Q_w_beef*(1/1000)),".")</f>
        <v>2.9090909090909087E-9</v>
      </c>
      <c r="CV19" s="15">
        <f>IFERROR((G19*s_D_milk)/(up_RadSpec!AG19*s_Q_w_dairy*(1/1000)),".")</f>
        <v>2.9963636363636357E-9</v>
      </c>
      <c r="CW19" s="15">
        <f>IFERROR(H19/(up_RadSpec!AL19*s_Q_w_swine*(1/1000)),".")</f>
        <v>2.9090909090909087E-9</v>
      </c>
      <c r="CX19" s="15">
        <f>IFERROR(D19/(up_RadSpec!AJ19*s_Q_w_poultry*(1/1000)),".")</f>
        <v>2.9090909090909087E-9</v>
      </c>
      <c r="CY19" s="15">
        <f>IFERROR(E19/(up_RadSpec!AK19*s_Q_w_poultry*(1/1000)),".")</f>
        <v>2.9090909090909087E-9</v>
      </c>
      <c r="CZ19" s="15">
        <f>IFERROR(J19/(up_RadSpec!AO19*s_Q_w_goat*(1/1000)),".")</f>
        <v>2.9090909090909087E-9</v>
      </c>
      <c r="DA19" s="15">
        <f>IFERROR(L19*s_D_milk/(up_RadSpec!AP19*s_Q_w_goat_milk*(1/1000)),".")</f>
        <v>2.9963636363636357E-9</v>
      </c>
      <c r="DB19" s="15">
        <f>IFERROR(K19/(up_RadSpec!AM19*s_Q_w_sheep*(1/1000)),".")</f>
        <v>2.9090909090909087E-9</v>
      </c>
      <c r="DC19" s="15">
        <f>IFERROR(M19*s_D_milk/(up_RadSpec!AN19*s_Q_w_sheep_milk*(1/1000)),".")</f>
        <v>2.9963636363636357E-9</v>
      </c>
      <c r="DD19" s="120">
        <f t="shared" si="27"/>
        <v>2500000000</v>
      </c>
      <c r="DE19" s="120" t="str">
        <f t="shared" si="28"/>
        <v>.</v>
      </c>
      <c r="DF19" s="120">
        <f t="shared" si="29"/>
        <v>228310.50228310502</v>
      </c>
      <c r="DG19" s="120">
        <f t="shared" si="30"/>
        <v>55286023705.663513</v>
      </c>
      <c r="DH19" s="120">
        <f t="shared" si="31"/>
        <v>68750000</v>
      </c>
      <c r="DI19" s="120">
        <f t="shared" si="32"/>
        <v>343750000.00000006</v>
      </c>
      <c r="DJ19" s="120">
        <f t="shared" si="33"/>
        <v>333737864.07766998</v>
      </c>
      <c r="DK19" s="120">
        <f t="shared" si="34"/>
        <v>343750000.00000006</v>
      </c>
      <c r="DL19" s="120">
        <f t="shared" si="35"/>
        <v>343750000.00000006</v>
      </c>
      <c r="DM19" s="120">
        <f t="shared" si="36"/>
        <v>343750000.00000006</v>
      </c>
      <c r="DN19" s="120">
        <f t="shared" si="37"/>
        <v>343750000.00000006</v>
      </c>
      <c r="DO19" s="120">
        <f t="shared" si="38"/>
        <v>333737864.07766998</v>
      </c>
      <c r="DP19" s="120">
        <f t="shared" si="39"/>
        <v>343750000.00000006</v>
      </c>
      <c r="DQ19" s="120">
        <f t="shared" si="40"/>
        <v>333737864.07766998</v>
      </c>
      <c r="DR19" s="15">
        <f t="shared" si="41"/>
        <v>1.6415316541278672E-11</v>
      </c>
      <c r="DS19" s="40">
        <f t="shared" si="42"/>
        <v>2500</v>
      </c>
      <c r="DT19" s="40">
        <f t="shared" si="43"/>
        <v>455.72916666666663</v>
      </c>
      <c r="DU19" s="40">
        <f t="shared" si="44"/>
        <v>0.22831050228310501</v>
      </c>
      <c r="DV19" s="40">
        <f>up_b2w!BZ19</f>
        <v>55286.023705663516</v>
      </c>
      <c r="DW19" s="40">
        <f>IFERROR(s_C*up_RadSpec!AI19*(1/1000)*s_IFFI_far_adj*s_CF_far_fish,0)</f>
        <v>68.75</v>
      </c>
      <c r="DX19" s="40">
        <f>(s_C*s_IFB_far_adj*s_CF_far_beef*up_RadSpec!AH19*s_Q_w_beef*(1/1000))</f>
        <v>343.75</v>
      </c>
      <c r="DY19" s="40">
        <f>(s_C*s_IFD_far_adj*s_CF_far_dairy*up_RadSpec!AG19*(1/s_D_milk)*s_Q_w_dairy*(1/1000))</f>
        <v>333.73786407766988</v>
      </c>
      <c r="DZ19" s="40">
        <f>(s_C*s_IFSW_far_adj*s_CF_far_swine*up_RadSpec!AL19*s_Q_w_swine*(1/1000))</f>
        <v>343.75</v>
      </c>
      <c r="EA19" s="40">
        <f>(s_C*s_IFP_far_adj*s_CF_far_poultry*up_RadSpec!AJ19*s_Q_w_poultry*(1/1000))</f>
        <v>343.75</v>
      </c>
      <c r="EB19" s="40">
        <f>(s_C*s_IFE_far_adj*s_CF_far_egg*up_RadSpec!AK19*s_Q_w_egg*(1/1000))</f>
        <v>343.75</v>
      </c>
      <c r="EC19" s="40">
        <f>(s_C*s_IFGO_far_adj*s_CF_far_goat*up_RadSpec!AO19*s_Q_p_goat*(1/1000))</f>
        <v>343.75</v>
      </c>
      <c r="ED19" s="40">
        <f>(s_C*s_IFGM_far_adj*s_CF_far_goat_milk*up_RadSpec!AP19*(1/s_D_milk)*s_Q_p_goat_milk*(1/1000))</f>
        <v>333.73786407766988</v>
      </c>
      <c r="EE19" s="40">
        <f>(s_C*s_IFSH_far_adj*s_CF_far_sheep*up_RadSpec!AM19*s_Q_p_sheep*(1/1000))</f>
        <v>343.75</v>
      </c>
      <c r="EF19" s="40">
        <f>(s_C*s_IFSM_far_adj*s_CF_far_sheep_milk*up_RadSpec!AN19*(1/s_D_milk)*s_Q_p_sheep_milk*(1/1000))</f>
        <v>333.73786407766988</v>
      </c>
      <c r="EG19" s="18"/>
      <c r="EH19" s="18"/>
      <c r="EI19" s="18"/>
      <c r="EJ19" s="18"/>
      <c r="EK19" s="18"/>
      <c r="EL19" s="18"/>
      <c r="EM19" s="18"/>
      <c r="EN19" s="18"/>
      <c r="EO19" s="18"/>
      <c r="EP19" s="18"/>
      <c r="EQ19" s="18"/>
      <c r="ER19" s="18"/>
      <c r="ES19" s="18"/>
      <c r="ET19" s="18"/>
      <c r="EU19" s="5"/>
      <c r="EV19" s="15">
        <f>IFERROR((s_TR/(up_RadSpec!G19*s_IFA_far_adj)),".")</f>
        <v>1.0971428571428573E-9</v>
      </c>
      <c r="EW19" s="15">
        <f>IFERROR((s_TR/(up_RadSpec!J19*s_EF_far*(1/365)*s_ED_far*s_ET_far*(1/24)*s_GSF_a)),".")</f>
        <v>1.7520000000000001E-6</v>
      </c>
      <c r="EX19" s="15">
        <f t="shared" si="48"/>
        <v>1.0964562309317064E-9</v>
      </c>
      <c r="EY19" s="40">
        <f t="shared" si="46"/>
        <v>911.45833333333326</v>
      </c>
      <c r="EZ19" s="40">
        <f t="shared" si="47"/>
        <v>0.57077625570776247</v>
      </c>
      <c r="FA19" s="122"/>
      <c r="FB19" s="122"/>
      <c r="FC19" s="122"/>
    </row>
    <row r="20" spans="1:159" customFormat="1" x14ac:dyDescent="0.25">
      <c r="A20" s="44" t="s">
        <v>30</v>
      </c>
      <c r="B20" s="42" t="s">
        <v>1074</v>
      </c>
      <c r="C20" s="15">
        <f>up_dir!AB20</f>
        <v>1.8181818181818181E-11</v>
      </c>
      <c r="D20" s="15">
        <f>IFERROR(s_TR/(up_RadSpec!E20*s_IFP_far_adj*s_CF_far_poultry),".")</f>
        <v>7.2727272727272723E-11</v>
      </c>
      <c r="E20" s="15">
        <f>IFERROR(s_TR/(up_RadSpec!E20*s_IFE_far_adj*s_CF_far_egg),".")</f>
        <v>7.2727272727272723E-11</v>
      </c>
      <c r="F20" s="15">
        <f>IFERROR(s_TR/(up_RadSpec!E20*s_IFB_far_adj*s_CF_far_beef),".")</f>
        <v>7.2727272727272723E-11</v>
      </c>
      <c r="G20" s="15">
        <f>IFERROR(s_TR/(up_RadSpec!E20*s_IFD_far_adj*s_CF_far_dairy),".")</f>
        <v>7.2727272727272723E-11</v>
      </c>
      <c r="H20" s="15">
        <f>IFERROR(s_TR/(up_RadSpec!E20*s_IFSW_far_adj*s_CF_far_swine),".")</f>
        <v>7.2727272727272723E-11</v>
      </c>
      <c r="I20" s="15">
        <f>IFERROR(s_TR/(up_RadSpec!E20*s_IFFI_far_adj*s_CF_far_fish),".")</f>
        <v>7.2727272727272723E-11</v>
      </c>
      <c r="J20" s="15">
        <f>IFERROR(s_TR/(up_RadSpec!E20*s_IFGO_far_adj*s_CF_far_goat),".")</f>
        <v>7.2727272727272723E-11</v>
      </c>
      <c r="K20" s="15">
        <f>IFERROR(s_TR/(up_RadSpec!E20*s_IFSH_far_adj*s_CF_far_sheep),".")</f>
        <v>7.2727272727272723E-11</v>
      </c>
      <c r="L20" s="15">
        <f>IFERROR(s_TR/(up_RadSpec!E20*s_IFGM_far_adj*s_CF_far_goat_milk),".")</f>
        <v>7.2727272727272723E-11</v>
      </c>
      <c r="M20" s="15">
        <f>IFERROR(s_TR/(up_RadSpec!E20*s_IFSM_far_adj*s_CF_far_sheep_milk),".")</f>
        <v>7.2727272727272723E-11</v>
      </c>
      <c r="N20" s="40">
        <f>up_dir!BA20</f>
        <v>55000</v>
      </c>
      <c r="O20" s="40">
        <f t="shared" si="0"/>
        <v>13750</v>
      </c>
      <c r="P20" s="40">
        <f t="shared" si="1"/>
        <v>13750</v>
      </c>
      <c r="Q20" s="40">
        <f t="shared" si="2"/>
        <v>13750</v>
      </c>
      <c r="R20" s="40">
        <f t="shared" si="3"/>
        <v>13750</v>
      </c>
      <c r="S20" s="40">
        <f t="shared" si="4"/>
        <v>13750</v>
      </c>
      <c r="T20" s="40">
        <f t="shared" si="5"/>
        <v>13750</v>
      </c>
      <c r="U20" s="40">
        <f t="shared" si="6"/>
        <v>13750</v>
      </c>
      <c r="V20" s="40">
        <f t="shared" si="7"/>
        <v>13750</v>
      </c>
      <c r="W20" s="40">
        <f t="shared" si="8"/>
        <v>13750</v>
      </c>
      <c r="X20" s="40">
        <f t="shared" si="9"/>
        <v>13750</v>
      </c>
      <c r="Y20" s="5"/>
      <c r="Z20" s="5"/>
      <c r="AA20" s="5"/>
      <c r="AB20" s="5"/>
      <c r="AC20" s="5"/>
      <c r="AD20" s="5"/>
      <c r="AE20" s="5"/>
      <c r="AF20" s="5"/>
      <c r="AG20" s="5"/>
      <c r="AH20" s="5"/>
      <c r="AI20" s="5"/>
      <c r="AJ20" s="45">
        <f>IFERROR((s_TR/(up_RadSpec!D20*s_IFS_far_adj*(1/1000)))*1,".")</f>
        <v>3.6363636363636363E-8</v>
      </c>
      <c r="AK20" s="45">
        <f>IFERROR(IF(A20="H-3",(s_TR/(up_RadSpec!G20*s_IFA_far_adj*(1/17)*1000))*1,(s_TR/(up_RadSpec!G20*s_IFA_far_adj*(1/s_PEF_wind)*1000))*1),".")</f>
        <v>3.3989909629864073E-4</v>
      </c>
      <c r="AL20" s="45">
        <f>IFERROR((s_TR/(up_RadSpec!F20*s_EF_far*(1/365)*s_ED_far*up_RadSpec!Q20*((s_ET_far_o*(1/24)*up_RadSpec!V20)+(s_ET_far_i*(1/24)*up_RadSpec!AA20))))*1,".")</f>
        <v>1.6472230299505663E-5</v>
      </c>
      <c r="AM20" s="45">
        <f>up_b2s!BA20</f>
        <v>3.6265718922545492E-12</v>
      </c>
      <c r="AN20" s="45">
        <f>IFERROR(((I20*up_RadSpec!AS20)/up_RadSpec!AI20)*1,".")</f>
        <v>7.2727272727272723E-11</v>
      </c>
      <c r="AO20" s="45">
        <f>IFERROR((F20/(up_RadSpec!AH20*((s_Q_p_beef*s_f_p_beef*s_f_s_beef*(up_RadSpec!BB20+s_R_es_past))+(s_Q_s_beef*s_f_p_beef))))*1,".")</f>
        <v>2.0414673046251994E-14</v>
      </c>
      <c r="AP20" s="45">
        <f>IFERROR(((G20*s_D_milk)/(up_RadSpec!AG20*((s_Q_p_dairy*s_f_p_dairy*s_f_s_dairy*(up_RadSpec!BB20+s_R_es_past))+(s_Q_s_dairy*s_f_p_dairy))))*1,".")</f>
        <v>2.102711323763955E-14</v>
      </c>
      <c r="AQ20" s="45">
        <f>IFERROR((H20/(up_RadSpec!AL20*((s_Q_p_swine*s_f_p_swine*s_f_s_swine*(up_RadSpec!BB20+s_R_es_past))+(s_Q_s_swine*s_f_p_swine))))*1,".")</f>
        <v>2.0414673046251994E-14</v>
      </c>
      <c r="AR20" s="45">
        <f>IFERROR((D20/(up_RadSpec!AJ20*((s_Q_p_poultry*s_f_p_poultry*s_f_s_poultry*(up_RadSpec!BB20+s_R_es_past))+(s_Q_s_poultry*s_f_p_poultry))))*1,".")</f>
        <v>2.0414673046251994E-14</v>
      </c>
      <c r="AS20" s="45">
        <f>IFERROR((E20/(up_RadSpec!AK20*((s_Q_p_poultry*s_f_p_poultry*s_f_s_poultry*(up_RadSpec!BB20+s_R_es_past))+(s_Q_s_poultry*s_f_p_poultry))))*1,".")</f>
        <v>2.0414673046251994E-14</v>
      </c>
      <c r="AT20" s="45">
        <f>IFERROR((J20/(up_RadSpec!AO20*((s_Q_p_goat*s_f_p_goat*s_f_s_goat*(up_RadSpec!BB20+s_R_es_past))+(s_Q_s_goat*s_f_p_goat))))*1,".")</f>
        <v>2.0414673046251994E-14</v>
      </c>
      <c r="AU20" s="45">
        <f>IFERROR((L20*s_D_milk/(up_RadSpec!AP20*((s_Q_p_goat_milk*s_f_p_goat_milk*s_f_s_goat_milk*(up_RadSpec!BB20+s_R_es_past))+(s_Q_s_goat_milk*s_f_p_goat_milk))))*1,".")</f>
        <v>2.102711323763955E-14</v>
      </c>
      <c r="AV20" s="45">
        <f>IFERROR((K20/(up_RadSpec!AM20*((s_Q_p_sheep*s_f_p_sheep*s_f_s_sheep*(up_RadSpec!BB20+s_R_es_past))+(s_Q_s_sheep*s_f_p_sheep))))*1,".")</f>
        <v>2.0414673046251994E-14</v>
      </c>
      <c r="AW20" s="45">
        <f>IFERROR((M20*s_D_milk/(up_RadSpec!AN20*((s_Q_p_sheep_milk*s_f_p_sheep_milk*s_f_s_sheep_milk*(up_RadSpec!BB20+s_R_es_past))+(s_Q_s_sheep_milk*s_f_p_sheep_milk))))*1,".")</f>
        <v>2.102711323763955E-14</v>
      </c>
      <c r="AX20" s="120">
        <f t="shared" si="10"/>
        <v>27500000</v>
      </c>
      <c r="AY20" s="120">
        <f t="shared" si="11"/>
        <v>2942.0495991003877</v>
      </c>
      <c r="AZ20" s="120">
        <f t="shared" si="12"/>
        <v>60708.233300381326</v>
      </c>
      <c r="BA20" s="120">
        <f t="shared" si="13"/>
        <v>275742500000</v>
      </c>
      <c r="BB20" s="120">
        <f t="shared" si="14"/>
        <v>13750000000</v>
      </c>
      <c r="BC20" s="120">
        <f t="shared" si="15"/>
        <v>48984375000000</v>
      </c>
      <c r="BD20" s="120">
        <f t="shared" si="16"/>
        <v>47557645631067.969</v>
      </c>
      <c r="BE20" s="120">
        <f t="shared" si="17"/>
        <v>48984375000000</v>
      </c>
      <c r="BF20" s="120">
        <f t="shared" si="18"/>
        <v>48984375000000</v>
      </c>
      <c r="BG20" s="120">
        <f t="shared" si="19"/>
        <v>48984375000000</v>
      </c>
      <c r="BH20" s="120">
        <f t="shared" si="20"/>
        <v>48984375000000</v>
      </c>
      <c r="BI20" s="120">
        <f t="shared" si="21"/>
        <v>47557645631067.969</v>
      </c>
      <c r="BJ20" s="120">
        <f t="shared" si="22"/>
        <v>48984375000000</v>
      </c>
      <c r="BK20" s="120">
        <f t="shared" si="23"/>
        <v>47557645631067.969</v>
      </c>
      <c r="BL20" s="15">
        <f t="shared" si="24"/>
        <v>2.2890172357864978E-15</v>
      </c>
      <c r="BM20" s="40">
        <f t="shared" si="25"/>
        <v>27.5</v>
      </c>
      <c r="BN20" s="40">
        <f t="shared" si="26"/>
        <v>2.9420495991003873E-3</v>
      </c>
      <c r="BO20" s="40">
        <f>IFERROR((s_C*s_EF_far*(1/365)*s_ED_far*up_RadSpec!Q20*((s_ET_far_o*(1/24)*up_RadSpec!V20)+(s_ET_far_i*(1/24)*up_RadSpec!AA20))),".")</f>
        <v>6.0708233300381324E-2</v>
      </c>
      <c r="BP20" s="40">
        <f>up_b2s!BZ20</f>
        <v>275742.5</v>
      </c>
      <c r="BQ20" s="40">
        <f>IFERROR(((s_C*up_RadSpec!AI20)/up_RadSpec!AS20)*s_IFFI_far_adj*s_CF_far_fish,0)</f>
        <v>13750</v>
      </c>
      <c r="BR20" s="40">
        <f>(s_C*s_IFB_far_adj*s_CF_far_beef*up_RadSpec!AH20*((s_Q_p_beef*s_f_p_beef*s_f_s_beef*(up_RadSpec!$AR20+s_R_es_past))+(s_Q_s_beef*s_f_p_beef)))</f>
        <v>48984375</v>
      </c>
      <c r="BS20" s="40">
        <f>(s_C*s_IFD_far_adj*s_CF_far_dairy*up_RadSpec!AG20*1/s_D_milk*((s_Q_p_dairy*s_f_p_dairy*s_f_s_dairy*(up_RadSpec!$AR20+s_R_es_past))+(s_Q_s_dairy*s_f_p_dairy)))</f>
        <v>47557645.631067954</v>
      </c>
      <c r="BT20" s="40">
        <f>(s_C*s_IFSW_far_adj*s_CF_far_swine*up_RadSpec!AL20*((s_Q_p_swine*s_f_p_swine*s_f_s_swine*(up_RadSpec!$AR20+s_R_es_past))+(s_Q_s_swine*s_f_p_swine)))</f>
        <v>48984375</v>
      </c>
      <c r="BU20" s="40">
        <f>(s_C*s_IFP_far_adj*s_CF_far_poultry*up_RadSpec!AJ20*((s_Q_p_poultry*s_f_p_poultry*s_f_s_poultry*(up_RadSpec!AR20+s_R_es_past))+(s_Q_s_poultry*s_f_p_poultry)))</f>
        <v>48984375</v>
      </c>
      <c r="BV20" s="40">
        <f>(s_C*s_IFE_far_adj*s_CF_far_egg*up_RadSpec!AK20*((s_Q_p_egg*s_f_p_egg*s_f_s_egg*(up_RadSpec!$AR20+s_R_es_past))+(s_Q_s_egg*s_f_p_egg)))</f>
        <v>48984375</v>
      </c>
      <c r="BW20" s="40">
        <f>(s_C*s_IFGO_far_adj*s_CF_far_goat*up_RadSpec!AO20*((s_Q_p_goat*s_f_p_goat*s_f_s_goat*(up_RadSpec!$AR20+s_R_es_past))+(s_Q_s_goat*s_f_p_goat)))</f>
        <v>48984375</v>
      </c>
      <c r="BX20" s="40">
        <f>(s_C*s_IFGM_far_adj*s_CF_far_goat_milk*up_RadSpec!AP20*1/s_D_milk*((s_Q_p_goat_milk*s_f_p_goat_milk*s_f_s_goat_milk*(up_RadSpec!$AR20+s_R_es_past))+(s_Q_s_goat_milk*s_f_p_goat_milk)))</f>
        <v>47557645.631067954</v>
      </c>
      <c r="BY20" s="40">
        <f>(s_C*s_IFSH_far_adj*s_CF_far_sheep*up_RadSpec!AM20*((s_Q_p_sheep*s_f_p_sheep*s_f_s_sheep*(up_RadSpec!$AR20+s_R_es_past))+(s_Q_s_sheep*s_f_p_sheep)))</f>
        <v>48984375</v>
      </c>
      <c r="BZ20" s="40">
        <f>(s_C*s_IFSM_far_adj*s_CF_far_sheep_milk*up_RadSpec!AN20*1/s_D_milk*((s_Q_p_sheep_milk*s_f_p_sheep_milk*s_f_s_sheep_milk*(up_RadSpec!$AR20+s_R_es_past))+(s_Q_s_sheep_milk*s_f_p_sheep_milk)))</f>
        <v>47557645.631067954</v>
      </c>
      <c r="CA20" s="45"/>
      <c r="CB20" s="45"/>
      <c r="CC20" s="45"/>
      <c r="CD20" s="45"/>
      <c r="CE20" s="45"/>
      <c r="CF20" s="45"/>
      <c r="CG20" s="45"/>
      <c r="CH20" s="45"/>
      <c r="CI20" s="45"/>
      <c r="CJ20" s="45"/>
      <c r="CK20" s="45"/>
      <c r="CL20" s="45"/>
      <c r="CM20" s="45"/>
      <c r="CN20" s="45"/>
      <c r="CO20" s="15"/>
      <c r="CP20" s="15">
        <f>IFERROR(s_TR/(up_RadSpec!H20*s_IFW_far_adj),".")</f>
        <v>3.9999999999999996E-10</v>
      </c>
      <c r="CQ20" s="15" t="str">
        <f>IFERROR(IF(up_RadSpec!C20=1,s_TR/(up_RadSpec!G20*s_IFA_far_adj*s_K),"."),".")</f>
        <v>.</v>
      </c>
      <c r="CR20" s="15">
        <f>IFERROR((s_TR/(up_RadSpec!L20*(1/8760)*s_DFA_far_adj)),".")</f>
        <v>4.3800000000000004E-6</v>
      </c>
      <c r="CS20" s="15">
        <f>up_b2w!BA20</f>
        <v>1.8087754064641833E-11</v>
      </c>
      <c r="CT20" s="15">
        <f>IFERROR(I20/(up_RadSpec!AI20*(1/1000)),".")</f>
        <v>1.4545454545454544E-8</v>
      </c>
      <c r="CU20" s="15">
        <f>IFERROR(F20/(up_RadSpec!AH20*s_Q_w_beef*(1/1000)),".")</f>
        <v>2.9090909090909087E-9</v>
      </c>
      <c r="CV20" s="15">
        <f>IFERROR((G20*s_D_milk)/(up_RadSpec!AG20*s_Q_w_dairy*(1/1000)),".")</f>
        <v>2.9963636363636357E-9</v>
      </c>
      <c r="CW20" s="15">
        <f>IFERROR(H20/(up_RadSpec!AL20*s_Q_w_swine*(1/1000)),".")</f>
        <v>2.9090909090909087E-9</v>
      </c>
      <c r="CX20" s="15">
        <f>IFERROR(D20/(up_RadSpec!AJ20*s_Q_w_poultry*(1/1000)),".")</f>
        <v>2.9090909090909087E-9</v>
      </c>
      <c r="CY20" s="15">
        <f>IFERROR(E20/(up_RadSpec!AK20*s_Q_w_poultry*(1/1000)),".")</f>
        <v>2.9090909090909087E-9</v>
      </c>
      <c r="CZ20" s="15">
        <f>IFERROR(J20/(up_RadSpec!AO20*s_Q_w_goat*(1/1000)),".")</f>
        <v>2.9090909090909087E-9</v>
      </c>
      <c r="DA20" s="15">
        <f>IFERROR(L20*s_D_milk/(up_RadSpec!AP20*s_Q_w_goat_milk*(1/1000)),".")</f>
        <v>2.9963636363636357E-9</v>
      </c>
      <c r="DB20" s="15">
        <f>IFERROR(K20/(up_RadSpec!AM20*s_Q_w_sheep*(1/1000)),".")</f>
        <v>2.9090909090909087E-9</v>
      </c>
      <c r="DC20" s="15">
        <f>IFERROR(M20*s_D_milk/(up_RadSpec!AN20*s_Q_w_sheep_milk*(1/1000)),".")</f>
        <v>2.9963636363636357E-9</v>
      </c>
      <c r="DD20" s="120">
        <f t="shared" si="27"/>
        <v>2500000000</v>
      </c>
      <c r="DE20" s="120" t="str">
        <f t="shared" si="28"/>
        <v>.</v>
      </c>
      <c r="DF20" s="120">
        <f t="shared" si="29"/>
        <v>228310.50228310502</v>
      </c>
      <c r="DG20" s="120">
        <f t="shared" si="30"/>
        <v>55286023705.663513</v>
      </c>
      <c r="DH20" s="120">
        <f t="shared" si="31"/>
        <v>68750000</v>
      </c>
      <c r="DI20" s="120">
        <f t="shared" si="32"/>
        <v>343750000.00000006</v>
      </c>
      <c r="DJ20" s="120">
        <f t="shared" si="33"/>
        <v>333737864.07766998</v>
      </c>
      <c r="DK20" s="120">
        <f t="shared" si="34"/>
        <v>343750000.00000006</v>
      </c>
      <c r="DL20" s="120">
        <f t="shared" si="35"/>
        <v>343750000.00000006</v>
      </c>
      <c r="DM20" s="120">
        <f t="shared" si="36"/>
        <v>343750000.00000006</v>
      </c>
      <c r="DN20" s="120">
        <f t="shared" si="37"/>
        <v>343750000.00000006</v>
      </c>
      <c r="DO20" s="120">
        <f t="shared" si="38"/>
        <v>333737864.07766998</v>
      </c>
      <c r="DP20" s="120">
        <f t="shared" si="39"/>
        <v>343750000.00000006</v>
      </c>
      <c r="DQ20" s="120">
        <f t="shared" si="40"/>
        <v>333737864.07766998</v>
      </c>
      <c r="DR20" s="15">
        <f t="shared" si="41"/>
        <v>1.6415316541278672E-11</v>
      </c>
      <c r="DS20" s="40">
        <f t="shared" si="42"/>
        <v>2500</v>
      </c>
      <c r="DT20" s="40">
        <f t="shared" si="43"/>
        <v>455.72916666666663</v>
      </c>
      <c r="DU20" s="40">
        <f t="shared" si="44"/>
        <v>0.22831050228310501</v>
      </c>
      <c r="DV20" s="40">
        <f>up_b2w!BZ20</f>
        <v>55286.023705663516</v>
      </c>
      <c r="DW20" s="40">
        <f>IFERROR(s_C*up_RadSpec!AI20*(1/1000)*s_IFFI_far_adj*s_CF_far_fish,0)</f>
        <v>68.75</v>
      </c>
      <c r="DX20" s="40">
        <f>(s_C*s_IFB_far_adj*s_CF_far_beef*up_RadSpec!AH20*s_Q_w_beef*(1/1000))</f>
        <v>343.75</v>
      </c>
      <c r="DY20" s="40">
        <f>(s_C*s_IFD_far_adj*s_CF_far_dairy*up_RadSpec!AG20*(1/s_D_milk)*s_Q_w_dairy*(1/1000))</f>
        <v>333.73786407766988</v>
      </c>
      <c r="DZ20" s="40">
        <f>(s_C*s_IFSW_far_adj*s_CF_far_swine*up_RadSpec!AL20*s_Q_w_swine*(1/1000))</f>
        <v>343.75</v>
      </c>
      <c r="EA20" s="40">
        <f>(s_C*s_IFP_far_adj*s_CF_far_poultry*up_RadSpec!AJ20*s_Q_w_poultry*(1/1000))</f>
        <v>343.75</v>
      </c>
      <c r="EB20" s="40">
        <f>(s_C*s_IFE_far_adj*s_CF_far_egg*up_RadSpec!AK20*s_Q_w_egg*(1/1000))</f>
        <v>343.75</v>
      </c>
      <c r="EC20" s="40">
        <f>(s_C*s_IFGO_far_adj*s_CF_far_goat*up_RadSpec!AO20*s_Q_p_goat*(1/1000))</f>
        <v>343.75</v>
      </c>
      <c r="ED20" s="40">
        <f>(s_C*s_IFGM_far_adj*s_CF_far_goat_milk*up_RadSpec!AP20*(1/s_D_milk)*s_Q_p_goat_milk*(1/1000))</f>
        <v>333.73786407766988</v>
      </c>
      <c r="EE20" s="40">
        <f>(s_C*s_IFSH_far_adj*s_CF_far_sheep*up_RadSpec!AM20*s_Q_p_sheep*(1/1000))</f>
        <v>343.75</v>
      </c>
      <c r="EF20" s="40">
        <f>(s_C*s_IFSM_far_adj*s_CF_far_sheep_milk*up_RadSpec!AN20*(1/s_D_milk)*s_Q_p_sheep_milk*(1/1000))</f>
        <v>333.73786407766988</v>
      </c>
      <c r="EG20" s="18"/>
      <c r="EH20" s="18"/>
      <c r="EI20" s="18"/>
      <c r="EJ20" s="18"/>
      <c r="EK20" s="18"/>
      <c r="EL20" s="18"/>
      <c r="EM20" s="18"/>
      <c r="EN20" s="18"/>
      <c r="EO20" s="18"/>
      <c r="EP20" s="18"/>
      <c r="EQ20" s="18"/>
      <c r="ER20" s="18"/>
      <c r="ES20" s="18"/>
      <c r="ET20" s="18"/>
      <c r="EU20" s="5"/>
      <c r="EV20" s="15">
        <f>IFERROR((s_TR/(up_RadSpec!G20*s_IFA_far_adj)),".")</f>
        <v>1.0971428571428573E-9</v>
      </c>
      <c r="EW20" s="15">
        <f>IFERROR((s_TR/(up_RadSpec!J20*s_EF_far*(1/365)*s_ED_far*s_ET_far*(1/24)*s_GSF_a)),".")</f>
        <v>1.7520000000000001E-6</v>
      </c>
      <c r="EX20" s="15">
        <f t="shared" si="48"/>
        <v>1.0964562309317064E-9</v>
      </c>
      <c r="EY20" s="40">
        <f t="shared" si="46"/>
        <v>911.45833333333326</v>
      </c>
      <c r="EZ20" s="40">
        <f t="shared" si="47"/>
        <v>0.57077625570776247</v>
      </c>
      <c r="FA20" s="122"/>
      <c r="FB20" s="122"/>
      <c r="FC20" s="122"/>
    </row>
    <row r="21" spans="1:159" customFormat="1" x14ac:dyDescent="0.25">
      <c r="A21" s="44" t="s">
        <v>31</v>
      </c>
      <c r="B21" s="42" t="s">
        <v>1074</v>
      </c>
      <c r="C21" s="15">
        <f>up_dir!AB21</f>
        <v>1.8181818181818181E-11</v>
      </c>
      <c r="D21" s="15">
        <f>IFERROR(s_TR/(up_RadSpec!E21*s_IFP_far_adj*s_CF_far_poultry),".")</f>
        <v>7.2727272727272723E-11</v>
      </c>
      <c r="E21" s="15">
        <f>IFERROR(s_TR/(up_RadSpec!E21*s_IFE_far_adj*s_CF_far_egg),".")</f>
        <v>7.2727272727272723E-11</v>
      </c>
      <c r="F21" s="15">
        <f>IFERROR(s_TR/(up_RadSpec!E21*s_IFB_far_adj*s_CF_far_beef),".")</f>
        <v>7.2727272727272723E-11</v>
      </c>
      <c r="G21" s="15">
        <f>IFERROR(s_TR/(up_RadSpec!E21*s_IFD_far_adj*s_CF_far_dairy),".")</f>
        <v>7.2727272727272723E-11</v>
      </c>
      <c r="H21" s="15">
        <f>IFERROR(s_TR/(up_RadSpec!E21*s_IFSW_far_adj*s_CF_far_swine),".")</f>
        <v>7.2727272727272723E-11</v>
      </c>
      <c r="I21" s="15">
        <f>IFERROR(s_TR/(up_RadSpec!E21*s_IFFI_far_adj*s_CF_far_fish),".")</f>
        <v>7.2727272727272723E-11</v>
      </c>
      <c r="J21" s="15">
        <f>IFERROR(s_TR/(up_RadSpec!E21*s_IFGO_far_adj*s_CF_far_goat),".")</f>
        <v>7.2727272727272723E-11</v>
      </c>
      <c r="K21" s="15">
        <f>IFERROR(s_TR/(up_RadSpec!E21*s_IFSH_far_adj*s_CF_far_sheep),".")</f>
        <v>7.2727272727272723E-11</v>
      </c>
      <c r="L21" s="15">
        <f>IFERROR(s_TR/(up_RadSpec!E21*s_IFGM_far_adj*s_CF_far_goat_milk),".")</f>
        <v>7.2727272727272723E-11</v>
      </c>
      <c r="M21" s="15">
        <f>IFERROR(s_TR/(up_RadSpec!E21*s_IFSM_far_adj*s_CF_far_sheep_milk),".")</f>
        <v>7.2727272727272723E-11</v>
      </c>
      <c r="N21" s="40">
        <f>up_dir!BA21</f>
        <v>55000</v>
      </c>
      <c r="O21" s="40">
        <f t="shared" si="0"/>
        <v>13750</v>
      </c>
      <c r="P21" s="40">
        <f t="shared" si="1"/>
        <v>13750</v>
      </c>
      <c r="Q21" s="40">
        <f t="shared" si="2"/>
        <v>13750</v>
      </c>
      <c r="R21" s="40">
        <f t="shared" si="3"/>
        <v>13750</v>
      </c>
      <c r="S21" s="40">
        <f t="shared" si="4"/>
        <v>13750</v>
      </c>
      <c r="T21" s="40">
        <f t="shared" si="5"/>
        <v>13750</v>
      </c>
      <c r="U21" s="40">
        <f t="shared" si="6"/>
        <v>13750</v>
      </c>
      <c r="V21" s="40">
        <f t="shared" si="7"/>
        <v>13750</v>
      </c>
      <c r="W21" s="40">
        <f t="shared" si="8"/>
        <v>13750</v>
      </c>
      <c r="X21" s="40">
        <f t="shared" si="9"/>
        <v>13750</v>
      </c>
      <c r="Y21" s="5"/>
      <c r="Z21" s="5"/>
      <c r="AA21" s="5"/>
      <c r="AB21" s="5"/>
      <c r="AC21" s="5"/>
      <c r="AD21" s="5"/>
      <c r="AE21" s="5"/>
      <c r="AF21" s="5"/>
      <c r="AG21" s="5"/>
      <c r="AH21" s="5"/>
      <c r="AI21" s="5"/>
      <c r="AJ21" s="45">
        <f>IFERROR((s_TR/(up_RadSpec!D21*s_IFS_far_adj*(1/1000)))*1,".")</f>
        <v>3.6363636363636363E-8</v>
      </c>
      <c r="AK21" s="45">
        <f>IFERROR(IF(A21="H-3",(s_TR/(up_RadSpec!G21*s_IFA_far_adj*(1/17)*1000))*1,(s_TR/(up_RadSpec!G21*s_IFA_far_adj*(1/s_PEF_wind)*1000))*1),".")</f>
        <v>3.3989909629864073E-4</v>
      </c>
      <c r="AL21" s="45" t="str">
        <f>IFERROR((s_TR/(up_RadSpec!F21*s_EF_far*(1/365)*s_ED_far*up_RadSpec!Q21*((s_ET_far_o*(1/24)*up_RadSpec!V21)+(s_ET_far_i*(1/24)*up_RadSpec!AA21))))*1,".")</f>
        <v>.</v>
      </c>
      <c r="AM21" s="45">
        <f>up_b2s!BA21</f>
        <v>3.6265718922545492E-12</v>
      </c>
      <c r="AN21" s="45">
        <f>IFERROR(((I21*up_RadSpec!AS21)/up_RadSpec!AI21)*1,".")</f>
        <v>7.2727272727272723E-11</v>
      </c>
      <c r="AO21" s="45">
        <f>IFERROR((F21/(up_RadSpec!AH21*((s_Q_p_beef*s_f_p_beef*s_f_s_beef*(up_RadSpec!BB21+s_R_es_past))+(s_Q_s_beef*s_f_p_beef))))*1,".")</f>
        <v>2.0414673046251994E-14</v>
      </c>
      <c r="AP21" s="45">
        <f>IFERROR(((G21*s_D_milk)/(up_RadSpec!AG21*((s_Q_p_dairy*s_f_p_dairy*s_f_s_dairy*(up_RadSpec!BB21+s_R_es_past))+(s_Q_s_dairy*s_f_p_dairy))))*1,".")</f>
        <v>2.102711323763955E-14</v>
      </c>
      <c r="AQ21" s="45">
        <f>IFERROR((H21/(up_RadSpec!AL21*((s_Q_p_swine*s_f_p_swine*s_f_s_swine*(up_RadSpec!BB21+s_R_es_past))+(s_Q_s_swine*s_f_p_swine))))*1,".")</f>
        <v>2.0414673046251994E-14</v>
      </c>
      <c r="AR21" s="45">
        <f>IFERROR((D21/(up_RadSpec!AJ21*((s_Q_p_poultry*s_f_p_poultry*s_f_s_poultry*(up_RadSpec!BB21+s_R_es_past))+(s_Q_s_poultry*s_f_p_poultry))))*1,".")</f>
        <v>2.0414673046251994E-14</v>
      </c>
      <c r="AS21" s="45">
        <f>IFERROR((E21/(up_RadSpec!AK21*((s_Q_p_poultry*s_f_p_poultry*s_f_s_poultry*(up_RadSpec!BB21+s_R_es_past))+(s_Q_s_poultry*s_f_p_poultry))))*1,".")</f>
        <v>2.0414673046251994E-14</v>
      </c>
      <c r="AT21" s="45">
        <f>IFERROR((J21/(up_RadSpec!AO21*((s_Q_p_goat*s_f_p_goat*s_f_s_goat*(up_RadSpec!BB21+s_R_es_past))+(s_Q_s_goat*s_f_p_goat))))*1,".")</f>
        <v>2.0414673046251994E-14</v>
      </c>
      <c r="AU21" s="45">
        <f>IFERROR((L21*s_D_milk/(up_RadSpec!AP21*((s_Q_p_goat_milk*s_f_p_goat_milk*s_f_s_goat_milk*(up_RadSpec!BB21+s_R_es_past))+(s_Q_s_goat_milk*s_f_p_goat_milk))))*1,".")</f>
        <v>2.102711323763955E-14</v>
      </c>
      <c r="AV21" s="45">
        <f>IFERROR((K21/(up_RadSpec!AM21*((s_Q_p_sheep*s_f_p_sheep*s_f_s_sheep*(up_RadSpec!BB21+s_R_es_past))+(s_Q_s_sheep*s_f_p_sheep))))*1,".")</f>
        <v>2.0414673046251994E-14</v>
      </c>
      <c r="AW21" s="45">
        <f>IFERROR((M21*s_D_milk/(up_RadSpec!AN21*((s_Q_p_sheep_milk*s_f_p_sheep_milk*s_f_s_sheep_milk*(up_RadSpec!BB21+s_R_es_past))+(s_Q_s_sheep_milk*s_f_p_sheep_milk))))*1,".")</f>
        <v>2.102711323763955E-14</v>
      </c>
      <c r="AX21" s="120">
        <f t="shared" si="10"/>
        <v>27500000</v>
      </c>
      <c r="AY21" s="120">
        <f t="shared" si="11"/>
        <v>2942.0495991003877</v>
      </c>
      <c r="AZ21" s="120" t="str">
        <f t="shared" si="12"/>
        <v>.</v>
      </c>
      <c r="BA21" s="120">
        <f t="shared" si="13"/>
        <v>275742500000</v>
      </c>
      <c r="BB21" s="120">
        <f t="shared" si="14"/>
        <v>13750000000</v>
      </c>
      <c r="BC21" s="120">
        <f t="shared" si="15"/>
        <v>48984375000000</v>
      </c>
      <c r="BD21" s="120">
        <f t="shared" si="16"/>
        <v>47557645631067.969</v>
      </c>
      <c r="BE21" s="120">
        <f t="shared" si="17"/>
        <v>48984375000000</v>
      </c>
      <c r="BF21" s="120">
        <f t="shared" si="18"/>
        <v>48984375000000</v>
      </c>
      <c r="BG21" s="120">
        <f t="shared" si="19"/>
        <v>48984375000000</v>
      </c>
      <c r="BH21" s="120">
        <f t="shared" si="20"/>
        <v>48984375000000</v>
      </c>
      <c r="BI21" s="120">
        <f t="shared" si="21"/>
        <v>47557645631067.969</v>
      </c>
      <c r="BJ21" s="120">
        <f t="shared" si="22"/>
        <v>48984375000000</v>
      </c>
      <c r="BK21" s="120">
        <f t="shared" si="23"/>
        <v>47557645631067.969</v>
      </c>
      <c r="BL21" s="15">
        <f t="shared" si="24"/>
        <v>2.2890172361045847E-15</v>
      </c>
      <c r="BM21" s="40">
        <f t="shared" si="25"/>
        <v>27.5</v>
      </c>
      <c r="BN21" s="40">
        <f t="shared" si="26"/>
        <v>2.9420495991003873E-3</v>
      </c>
      <c r="BO21" s="40">
        <f>IFERROR((s_C*s_EF_far*(1/365)*s_ED_far*up_RadSpec!Q21*((s_ET_far_o*(1/24)*up_RadSpec!V21)+(s_ET_far_i*(1/24)*up_RadSpec!AA21))),".")</f>
        <v>0</v>
      </c>
      <c r="BP21" s="40">
        <f>up_b2s!BZ21</f>
        <v>275742.5</v>
      </c>
      <c r="BQ21" s="40">
        <f>IFERROR(((s_C*up_RadSpec!AI21)/up_RadSpec!AS21)*s_IFFI_far_adj*s_CF_far_fish,0)</f>
        <v>13750</v>
      </c>
      <c r="BR21" s="40">
        <f>(s_C*s_IFB_far_adj*s_CF_far_beef*up_RadSpec!AH21*((s_Q_p_beef*s_f_p_beef*s_f_s_beef*(up_RadSpec!$AR21+s_R_es_past))+(s_Q_s_beef*s_f_p_beef)))</f>
        <v>48984375</v>
      </c>
      <c r="BS21" s="40">
        <f>(s_C*s_IFD_far_adj*s_CF_far_dairy*up_RadSpec!AG21*1/s_D_milk*((s_Q_p_dairy*s_f_p_dairy*s_f_s_dairy*(up_RadSpec!$AR21+s_R_es_past))+(s_Q_s_dairy*s_f_p_dairy)))</f>
        <v>47557645.631067954</v>
      </c>
      <c r="BT21" s="40">
        <f>(s_C*s_IFSW_far_adj*s_CF_far_swine*up_RadSpec!AL21*((s_Q_p_swine*s_f_p_swine*s_f_s_swine*(up_RadSpec!$AR21+s_R_es_past))+(s_Q_s_swine*s_f_p_swine)))</f>
        <v>48984375</v>
      </c>
      <c r="BU21" s="40">
        <f>(s_C*s_IFP_far_adj*s_CF_far_poultry*up_RadSpec!AJ21*((s_Q_p_poultry*s_f_p_poultry*s_f_s_poultry*(up_RadSpec!AR21+s_R_es_past))+(s_Q_s_poultry*s_f_p_poultry)))</f>
        <v>48984375</v>
      </c>
      <c r="BV21" s="40">
        <f>(s_C*s_IFE_far_adj*s_CF_far_egg*up_RadSpec!AK21*((s_Q_p_egg*s_f_p_egg*s_f_s_egg*(up_RadSpec!$AR21+s_R_es_past))+(s_Q_s_egg*s_f_p_egg)))</f>
        <v>48984375</v>
      </c>
      <c r="BW21" s="40">
        <f>(s_C*s_IFGO_far_adj*s_CF_far_goat*up_RadSpec!AO21*((s_Q_p_goat*s_f_p_goat*s_f_s_goat*(up_RadSpec!$AR21+s_R_es_past))+(s_Q_s_goat*s_f_p_goat)))</f>
        <v>48984375</v>
      </c>
      <c r="BX21" s="40">
        <f>(s_C*s_IFGM_far_adj*s_CF_far_goat_milk*up_RadSpec!AP21*1/s_D_milk*((s_Q_p_goat_milk*s_f_p_goat_milk*s_f_s_goat_milk*(up_RadSpec!$AR21+s_R_es_past))+(s_Q_s_goat_milk*s_f_p_goat_milk)))</f>
        <v>47557645.631067954</v>
      </c>
      <c r="BY21" s="40">
        <f>(s_C*s_IFSH_far_adj*s_CF_far_sheep*up_RadSpec!AM21*((s_Q_p_sheep*s_f_p_sheep*s_f_s_sheep*(up_RadSpec!$AR21+s_R_es_past))+(s_Q_s_sheep*s_f_p_sheep)))</f>
        <v>48984375</v>
      </c>
      <c r="BZ21" s="40">
        <f>(s_C*s_IFSM_far_adj*s_CF_far_sheep_milk*up_RadSpec!AN21*1/s_D_milk*((s_Q_p_sheep_milk*s_f_p_sheep_milk*s_f_s_sheep_milk*(up_RadSpec!$AR21+s_R_es_past))+(s_Q_s_sheep_milk*s_f_p_sheep_milk)))</f>
        <v>47557645.631067954</v>
      </c>
      <c r="CA21" s="45"/>
      <c r="CB21" s="45"/>
      <c r="CC21" s="45"/>
      <c r="CD21" s="45"/>
      <c r="CE21" s="45"/>
      <c r="CF21" s="45"/>
      <c r="CG21" s="45"/>
      <c r="CH21" s="45"/>
      <c r="CI21" s="45"/>
      <c r="CJ21" s="45"/>
      <c r="CK21" s="45"/>
      <c r="CL21" s="45"/>
      <c r="CM21" s="45"/>
      <c r="CN21" s="45"/>
      <c r="CO21" s="15"/>
      <c r="CP21" s="15">
        <f>IFERROR(s_TR/(up_RadSpec!H21*s_IFW_far_adj),".")</f>
        <v>3.9999999999999996E-10</v>
      </c>
      <c r="CQ21" s="15" t="str">
        <f>IFERROR(IF(up_RadSpec!C21=1,s_TR/(up_RadSpec!G21*s_IFA_far_adj*s_K),"."),".")</f>
        <v>.</v>
      </c>
      <c r="CR21" s="15">
        <f>IFERROR((s_TR/(up_RadSpec!L21*(1/8760)*s_DFA_far_adj)),".")</f>
        <v>4.3800000000000004E-6</v>
      </c>
      <c r="CS21" s="15">
        <f>up_b2w!BA21</f>
        <v>1.8087754064641833E-11</v>
      </c>
      <c r="CT21" s="15">
        <f>IFERROR(I21/(up_RadSpec!AI21*(1/1000)),".")</f>
        <v>1.4545454545454544E-8</v>
      </c>
      <c r="CU21" s="15">
        <f>IFERROR(F21/(up_RadSpec!AH21*s_Q_w_beef*(1/1000)),".")</f>
        <v>2.9090909090909087E-9</v>
      </c>
      <c r="CV21" s="15">
        <f>IFERROR((G21*s_D_milk)/(up_RadSpec!AG21*s_Q_w_dairy*(1/1000)),".")</f>
        <v>2.9963636363636357E-9</v>
      </c>
      <c r="CW21" s="15">
        <f>IFERROR(H21/(up_RadSpec!AL21*s_Q_w_swine*(1/1000)),".")</f>
        <v>2.9090909090909087E-9</v>
      </c>
      <c r="CX21" s="15">
        <f>IFERROR(D21/(up_RadSpec!AJ21*s_Q_w_poultry*(1/1000)),".")</f>
        <v>2.9090909090909087E-9</v>
      </c>
      <c r="CY21" s="15">
        <f>IFERROR(E21/(up_RadSpec!AK21*s_Q_w_poultry*(1/1000)),".")</f>
        <v>2.9090909090909087E-9</v>
      </c>
      <c r="CZ21" s="15">
        <f>IFERROR(J21/(up_RadSpec!AO21*s_Q_w_goat*(1/1000)),".")</f>
        <v>2.9090909090909087E-9</v>
      </c>
      <c r="DA21" s="15">
        <f>IFERROR(L21*s_D_milk/(up_RadSpec!AP21*s_Q_w_goat_milk*(1/1000)),".")</f>
        <v>2.9963636363636357E-9</v>
      </c>
      <c r="DB21" s="15">
        <f>IFERROR(K21/(up_RadSpec!AM21*s_Q_w_sheep*(1/1000)),".")</f>
        <v>2.9090909090909087E-9</v>
      </c>
      <c r="DC21" s="15">
        <f>IFERROR(M21*s_D_milk/(up_RadSpec!AN21*s_Q_w_sheep_milk*(1/1000)),".")</f>
        <v>2.9963636363636357E-9</v>
      </c>
      <c r="DD21" s="120">
        <f t="shared" si="27"/>
        <v>2500000000</v>
      </c>
      <c r="DE21" s="120" t="str">
        <f t="shared" si="28"/>
        <v>.</v>
      </c>
      <c r="DF21" s="120">
        <f t="shared" si="29"/>
        <v>228310.50228310502</v>
      </c>
      <c r="DG21" s="120">
        <f t="shared" si="30"/>
        <v>55286023705.663513</v>
      </c>
      <c r="DH21" s="120">
        <f t="shared" si="31"/>
        <v>68750000</v>
      </c>
      <c r="DI21" s="120">
        <f t="shared" si="32"/>
        <v>343750000.00000006</v>
      </c>
      <c r="DJ21" s="120">
        <f t="shared" si="33"/>
        <v>333737864.07766998</v>
      </c>
      <c r="DK21" s="120">
        <f t="shared" si="34"/>
        <v>343750000.00000006</v>
      </c>
      <c r="DL21" s="120">
        <f t="shared" si="35"/>
        <v>343750000.00000006</v>
      </c>
      <c r="DM21" s="120">
        <f t="shared" si="36"/>
        <v>343750000.00000006</v>
      </c>
      <c r="DN21" s="120">
        <f t="shared" si="37"/>
        <v>343750000.00000006</v>
      </c>
      <c r="DO21" s="120">
        <f t="shared" si="38"/>
        <v>333737864.07766998</v>
      </c>
      <c r="DP21" s="120">
        <f t="shared" si="39"/>
        <v>343750000.00000006</v>
      </c>
      <c r="DQ21" s="120">
        <f t="shared" si="40"/>
        <v>333737864.07766998</v>
      </c>
      <c r="DR21" s="15">
        <f t="shared" si="41"/>
        <v>1.6415316541278672E-11</v>
      </c>
      <c r="DS21" s="40">
        <f t="shared" si="42"/>
        <v>2500</v>
      </c>
      <c r="DT21" s="40">
        <f t="shared" si="43"/>
        <v>455.72916666666663</v>
      </c>
      <c r="DU21" s="40">
        <f t="shared" si="44"/>
        <v>0.22831050228310501</v>
      </c>
      <c r="DV21" s="40">
        <f>up_b2w!BZ21</f>
        <v>55286.023705663516</v>
      </c>
      <c r="DW21" s="40">
        <f>IFERROR(s_C*up_RadSpec!AI21*(1/1000)*s_IFFI_far_adj*s_CF_far_fish,0)</f>
        <v>68.75</v>
      </c>
      <c r="DX21" s="40">
        <f>(s_C*s_IFB_far_adj*s_CF_far_beef*up_RadSpec!AH21*s_Q_w_beef*(1/1000))</f>
        <v>343.75</v>
      </c>
      <c r="DY21" s="40">
        <f>(s_C*s_IFD_far_adj*s_CF_far_dairy*up_RadSpec!AG21*(1/s_D_milk)*s_Q_w_dairy*(1/1000))</f>
        <v>333.73786407766988</v>
      </c>
      <c r="DZ21" s="40">
        <f>(s_C*s_IFSW_far_adj*s_CF_far_swine*up_RadSpec!AL21*s_Q_w_swine*(1/1000))</f>
        <v>343.75</v>
      </c>
      <c r="EA21" s="40">
        <f>(s_C*s_IFP_far_adj*s_CF_far_poultry*up_RadSpec!AJ21*s_Q_w_poultry*(1/1000))</f>
        <v>343.75</v>
      </c>
      <c r="EB21" s="40">
        <f>(s_C*s_IFE_far_adj*s_CF_far_egg*up_RadSpec!AK21*s_Q_w_egg*(1/1000))</f>
        <v>343.75</v>
      </c>
      <c r="EC21" s="40">
        <f>(s_C*s_IFGO_far_adj*s_CF_far_goat*up_RadSpec!AO21*s_Q_p_goat*(1/1000))</f>
        <v>343.75</v>
      </c>
      <c r="ED21" s="40">
        <f>(s_C*s_IFGM_far_adj*s_CF_far_goat_milk*up_RadSpec!AP21*(1/s_D_milk)*s_Q_p_goat_milk*(1/1000))</f>
        <v>333.73786407766988</v>
      </c>
      <c r="EE21" s="40">
        <f>(s_C*s_IFSH_far_adj*s_CF_far_sheep*up_RadSpec!AM21*s_Q_p_sheep*(1/1000))</f>
        <v>343.75</v>
      </c>
      <c r="EF21" s="40">
        <f>(s_C*s_IFSM_far_adj*s_CF_far_sheep_milk*up_RadSpec!AN21*(1/s_D_milk)*s_Q_p_sheep_milk*(1/1000))</f>
        <v>333.73786407766988</v>
      </c>
      <c r="EG21" s="18"/>
      <c r="EH21" s="18"/>
      <c r="EI21" s="18"/>
      <c r="EJ21" s="18"/>
      <c r="EK21" s="18"/>
      <c r="EL21" s="18"/>
      <c r="EM21" s="18"/>
      <c r="EN21" s="18"/>
      <c r="EO21" s="18"/>
      <c r="EP21" s="18"/>
      <c r="EQ21" s="18"/>
      <c r="ER21" s="18"/>
      <c r="ES21" s="18"/>
      <c r="ET21" s="18"/>
      <c r="EU21" s="5"/>
      <c r="EV21" s="15">
        <f>IFERROR((s_TR/(up_RadSpec!G21*s_IFA_far_adj)),".")</f>
        <v>1.0971428571428573E-9</v>
      </c>
      <c r="EW21" s="15">
        <f>IFERROR((s_TR/(up_RadSpec!J21*s_EF_far*(1/365)*s_ED_far*s_ET_far*(1/24)*s_GSF_a)),".")</f>
        <v>1.7520000000000001E-6</v>
      </c>
      <c r="EX21" s="15">
        <f t="shared" si="48"/>
        <v>1.0964562309317064E-9</v>
      </c>
      <c r="EY21" s="40">
        <f t="shared" si="46"/>
        <v>911.45833333333326</v>
      </c>
      <c r="EZ21" s="40">
        <f t="shared" si="47"/>
        <v>0.57077625570776247</v>
      </c>
      <c r="FA21" s="122"/>
      <c r="FB21" s="122"/>
      <c r="FC21" s="122"/>
    </row>
    <row r="22" spans="1:159" customFormat="1" x14ac:dyDescent="0.25">
      <c r="A22" s="44" t="s">
        <v>32</v>
      </c>
      <c r="B22" s="42" t="s">
        <v>1074</v>
      </c>
      <c r="C22" s="15">
        <f>up_dir!AB22</f>
        <v>1.8181818181818181E-11</v>
      </c>
      <c r="D22" s="15">
        <f>IFERROR(s_TR/(up_RadSpec!E22*s_IFP_far_adj*s_CF_far_poultry),".")</f>
        <v>7.2727272727272723E-11</v>
      </c>
      <c r="E22" s="15">
        <f>IFERROR(s_TR/(up_RadSpec!E22*s_IFE_far_adj*s_CF_far_egg),".")</f>
        <v>7.2727272727272723E-11</v>
      </c>
      <c r="F22" s="15">
        <f>IFERROR(s_TR/(up_RadSpec!E22*s_IFB_far_adj*s_CF_far_beef),".")</f>
        <v>7.2727272727272723E-11</v>
      </c>
      <c r="G22" s="15">
        <f>IFERROR(s_TR/(up_RadSpec!E22*s_IFD_far_adj*s_CF_far_dairy),".")</f>
        <v>7.2727272727272723E-11</v>
      </c>
      <c r="H22" s="15">
        <f>IFERROR(s_TR/(up_RadSpec!E22*s_IFSW_far_adj*s_CF_far_swine),".")</f>
        <v>7.2727272727272723E-11</v>
      </c>
      <c r="I22" s="15">
        <f>IFERROR(s_TR/(up_RadSpec!E22*s_IFFI_far_adj*s_CF_far_fish),".")</f>
        <v>7.2727272727272723E-11</v>
      </c>
      <c r="J22" s="15">
        <f>IFERROR(s_TR/(up_RadSpec!E22*s_IFGO_far_adj*s_CF_far_goat),".")</f>
        <v>7.2727272727272723E-11</v>
      </c>
      <c r="K22" s="15">
        <f>IFERROR(s_TR/(up_RadSpec!E22*s_IFSH_far_adj*s_CF_far_sheep),".")</f>
        <v>7.2727272727272723E-11</v>
      </c>
      <c r="L22" s="15">
        <f>IFERROR(s_TR/(up_RadSpec!E22*s_IFGM_far_adj*s_CF_far_goat_milk),".")</f>
        <v>7.2727272727272723E-11</v>
      </c>
      <c r="M22" s="15">
        <f>IFERROR(s_TR/(up_RadSpec!E22*s_IFSM_far_adj*s_CF_far_sheep_milk),".")</f>
        <v>7.2727272727272723E-11</v>
      </c>
      <c r="N22" s="40">
        <f>up_dir!BA22</f>
        <v>55000</v>
      </c>
      <c r="O22" s="40">
        <f t="shared" si="0"/>
        <v>13750</v>
      </c>
      <c r="P22" s="40">
        <f t="shared" si="1"/>
        <v>13750</v>
      </c>
      <c r="Q22" s="40">
        <f t="shared" si="2"/>
        <v>13750</v>
      </c>
      <c r="R22" s="40">
        <f t="shared" si="3"/>
        <v>13750</v>
      </c>
      <c r="S22" s="40">
        <f t="shared" si="4"/>
        <v>13750</v>
      </c>
      <c r="T22" s="40">
        <f t="shared" si="5"/>
        <v>13750</v>
      </c>
      <c r="U22" s="40">
        <f t="shared" si="6"/>
        <v>13750</v>
      </c>
      <c r="V22" s="40">
        <f t="shared" si="7"/>
        <v>13750</v>
      </c>
      <c r="W22" s="40">
        <f t="shared" si="8"/>
        <v>13750</v>
      </c>
      <c r="X22" s="40">
        <f t="shared" si="9"/>
        <v>13750</v>
      </c>
      <c r="Y22" s="5"/>
      <c r="Z22" s="5"/>
      <c r="AA22" s="5"/>
      <c r="AB22" s="5"/>
      <c r="AC22" s="5"/>
      <c r="AD22" s="5"/>
      <c r="AE22" s="5"/>
      <c r="AF22" s="5"/>
      <c r="AG22" s="5"/>
      <c r="AH22" s="5"/>
      <c r="AI22" s="5"/>
      <c r="AJ22" s="45">
        <f>IFERROR((s_TR/(up_RadSpec!D22*s_IFS_far_adj*(1/1000)))*1,".")</f>
        <v>3.6363636363636363E-8</v>
      </c>
      <c r="AK22" s="45">
        <f>IFERROR(IF(A22="H-3",(s_TR/(up_RadSpec!G22*s_IFA_far_adj*(1/17)*1000))*1,(s_TR/(up_RadSpec!G22*s_IFA_far_adj*(1/s_PEF_wind)*1000))*1),".")</f>
        <v>3.3989909629864073E-4</v>
      </c>
      <c r="AL22" s="45">
        <f>IFERROR((s_TR/(up_RadSpec!F22*s_EF_far*(1/365)*s_ED_far*up_RadSpec!Q22*((s_ET_far_o*(1/24)*up_RadSpec!V22)+(s_ET_far_i*(1/24)*up_RadSpec!AA22))))*1,".")</f>
        <v>70.05645161290326</v>
      </c>
      <c r="AM22" s="45">
        <f>up_b2s!BA22</f>
        <v>3.6265718922545492E-12</v>
      </c>
      <c r="AN22" s="45">
        <f>IFERROR(((I22*up_RadSpec!AS22)/up_RadSpec!AI22)*1,".")</f>
        <v>7.2727272727272723E-11</v>
      </c>
      <c r="AO22" s="45">
        <f>IFERROR((F22/(up_RadSpec!AH22*((s_Q_p_beef*s_f_p_beef*s_f_s_beef*(up_RadSpec!BB22+s_R_es_past))+(s_Q_s_beef*s_f_p_beef))))*1,".")</f>
        <v>2.0414673046251994E-14</v>
      </c>
      <c r="AP22" s="45">
        <f>IFERROR(((G22*s_D_milk)/(up_RadSpec!AG22*((s_Q_p_dairy*s_f_p_dairy*s_f_s_dairy*(up_RadSpec!BB22+s_R_es_past))+(s_Q_s_dairy*s_f_p_dairy))))*1,".")</f>
        <v>2.102711323763955E-14</v>
      </c>
      <c r="AQ22" s="45">
        <f>IFERROR((H22/(up_RadSpec!AL22*((s_Q_p_swine*s_f_p_swine*s_f_s_swine*(up_RadSpec!BB22+s_R_es_past))+(s_Q_s_swine*s_f_p_swine))))*1,".")</f>
        <v>2.0414673046251994E-14</v>
      </c>
      <c r="AR22" s="45">
        <f>IFERROR((D22/(up_RadSpec!AJ22*((s_Q_p_poultry*s_f_p_poultry*s_f_s_poultry*(up_RadSpec!BB22+s_R_es_past))+(s_Q_s_poultry*s_f_p_poultry))))*1,".")</f>
        <v>2.0414673046251994E-14</v>
      </c>
      <c r="AS22" s="45">
        <f>IFERROR((E22/(up_RadSpec!AK22*((s_Q_p_poultry*s_f_p_poultry*s_f_s_poultry*(up_RadSpec!BB22+s_R_es_past))+(s_Q_s_poultry*s_f_p_poultry))))*1,".")</f>
        <v>2.0414673046251994E-14</v>
      </c>
      <c r="AT22" s="45">
        <f>IFERROR((J22/(up_RadSpec!AO22*((s_Q_p_goat*s_f_p_goat*s_f_s_goat*(up_RadSpec!BB22+s_R_es_past))+(s_Q_s_goat*s_f_p_goat))))*1,".")</f>
        <v>2.0414673046251994E-14</v>
      </c>
      <c r="AU22" s="45">
        <f>IFERROR((L22*s_D_milk/(up_RadSpec!AP22*((s_Q_p_goat_milk*s_f_p_goat_milk*s_f_s_goat_milk*(up_RadSpec!BB22+s_R_es_past))+(s_Q_s_goat_milk*s_f_p_goat_milk))))*1,".")</f>
        <v>2.102711323763955E-14</v>
      </c>
      <c r="AV22" s="45">
        <f>IFERROR((K22/(up_RadSpec!AM22*((s_Q_p_sheep*s_f_p_sheep*s_f_s_sheep*(up_RadSpec!BB22+s_R_es_past))+(s_Q_s_sheep*s_f_p_sheep))))*1,".")</f>
        <v>2.0414673046251994E-14</v>
      </c>
      <c r="AW22" s="45">
        <f>IFERROR((M22*s_D_milk/(up_RadSpec!AN22*((s_Q_p_sheep_milk*s_f_p_sheep_milk*s_f_s_sheep_milk*(up_RadSpec!BB22+s_R_es_past))+(s_Q_s_sheep_milk*s_f_p_sheep_milk))))*1,".")</f>
        <v>2.102711323763955E-14</v>
      </c>
      <c r="AX22" s="120">
        <f t="shared" si="10"/>
        <v>27500000</v>
      </c>
      <c r="AY22" s="120">
        <f t="shared" si="11"/>
        <v>2942.0495991003877</v>
      </c>
      <c r="AZ22" s="120">
        <f t="shared" si="12"/>
        <v>1.4274202831817651E-2</v>
      </c>
      <c r="BA22" s="120">
        <f t="shared" si="13"/>
        <v>275742500000</v>
      </c>
      <c r="BB22" s="120">
        <f t="shared" si="14"/>
        <v>13750000000</v>
      </c>
      <c r="BC22" s="120">
        <f t="shared" si="15"/>
        <v>48984375000000</v>
      </c>
      <c r="BD22" s="120">
        <f t="shared" si="16"/>
        <v>47557645631067.969</v>
      </c>
      <c r="BE22" s="120">
        <f t="shared" si="17"/>
        <v>48984375000000</v>
      </c>
      <c r="BF22" s="120">
        <f t="shared" si="18"/>
        <v>48984375000000</v>
      </c>
      <c r="BG22" s="120">
        <f t="shared" si="19"/>
        <v>48984375000000</v>
      </c>
      <c r="BH22" s="120">
        <f t="shared" si="20"/>
        <v>48984375000000</v>
      </c>
      <c r="BI22" s="120">
        <f t="shared" si="21"/>
        <v>47557645631067.969</v>
      </c>
      <c r="BJ22" s="120">
        <f t="shared" si="22"/>
        <v>48984375000000</v>
      </c>
      <c r="BK22" s="120">
        <f t="shared" si="23"/>
        <v>47557645631067.969</v>
      </c>
      <c r="BL22" s="15">
        <f t="shared" si="24"/>
        <v>2.2890172361045847E-15</v>
      </c>
      <c r="BM22" s="40">
        <f t="shared" si="25"/>
        <v>27.5</v>
      </c>
      <c r="BN22" s="40">
        <f t="shared" si="26"/>
        <v>2.9420495991003873E-3</v>
      </c>
      <c r="BO22" s="40">
        <f>IFERROR((s_C*s_EF_far*(1/365)*s_ED_far*up_RadSpec!Q22*((s_ET_far_o*(1/24)*up_RadSpec!V22)+(s_ET_far_i*(1/24)*up_RadSpec!AA22))),".")</f>
        <v>1.4274202831817652E-8</v>
      </c>
      <c r="BP22" s="40">
        <f>up_b2s!BZ22</f>
        <v>275742.5</v>
      </c>
      <c r="BQ22" s="40">
        <f>IFERROR(((s_C*up_RadSpec!AI22)/up_RadSpec!AS22)*s_IFFI_far_adj*s_CF_far_fish,0)</f>
        <v>13750</v>
      </c>
      <c r="BR22" s="40">
        <f>(s_C*s_IFB_far_adj*s_CF_far_beef*up_RadSpec!AH22*((s_Q_p_beef*s_f_p_beef*s_f_s_beef*(up_RadSpec!$AR22+s_R_es_past))+(s_Q_s_beef*s_f_p_beef)))</f>
        <v>48984375</v>
      </c>
      <c r="BS22" s="40">
        <f>(s_C*s_IFD_far_adj*s_CF_far_dairy*up_RadSpec!AG22*1/s_D_milk*((s_Q_p_dairy*s_f_p_dairy*s_f_s_dairy*(up_RadSpec!$AR22+s_R_es_past))+(s_Q_s_dairy*s_f_p_dairy)))</f>
        <v>47557645.631067954</v>
      </c>
      <c r="BT22" s="40">
        <f>(s_C*s_IFSW_far_adj*s_CF_far_swine*up_RadSpec!AL22*((s_Q_p_swine*s_f_p_swine*s_f_s_swine*(up_RadSpec!$AR22+s_R_es_past))+(s_Q_s_swine*s_f_p_swine)))</f>
        <v>48984375</v>
      </c>
      <c r="BU22" s="40">
        <f>(s_C*s_IFP_far_adj*s_CF_far_poultry*up_RadSpec!AJ22*((s_Q_p_poultry*s_f_p_poultry*s_f_s_poultry*(up_RadSpec!AR22+s_R_es_past))+(s_Q_s_poultry*s_f_p_poultry)))</f>
        <v>48984375</v>
      </c>
      <c r="BV22" s="40">
        <f>(s_C*s_IFE_far_adj*s_CF_far_egg*up_RadSpec!AK22*((s_Q_p_egg*s_f_p_egg*s_f_s_egg*(up_RadSpec!$AR22+s_R_es_past))+(s_Q_s_egg*s_f_p_egg)))</f>
        <v>48984375</v>
      </c>
      <c r="BW22" s="40">
        <f>(s_C*s_IFGO_far_adj*s_CF_far_goat*up_RadSpec!AO22*((s_Q_p_goat*s_f_p_goat*s_f_s_goat*(up_RadSpec!$AR22+s_R_es_past))+(s_Q_s_goat*s_f_p_goat)))</f>
        <v>48984375</v>
      </c>
      <c r="BX22" s="40">
        <f>(s_C*s_IFGM_far_adj*s_CF_far_goat_milk*up_RadSpec!AP22*1/s_D_milk*((s_Q_p_goat_milk*s_f_p_goat_milk*s_f_s_goat_milk*(up_RadSpec!$AR22+s_R_es_past))+(s_Q_s_goat_milk*s_f_p_goat_milk)))</f>
        <v>47557645.631067954</v>
      </c>
      <c r="BY22" s="40">
        <f>(s_C*s_IFSH_far_adj*s_CF_far_sheep*up_RadSpec!AM22*((s_Q_p_sheep*s_f_p_sheep*s_f_s_sheep*(up_RadSpec!$AR22+s_R_es_past))+(s_Q_s_sheep*s_f_p_sheep)))</f>
        <v>48984375</v>
      </c>
      <c r="BZ22" s="40">
        <f>(s_C*s_IFSM_far_adj*s_CF_far_sheep_milk*up_RadSpec!AN22*1/s_D_milk*((s_Q_p_sheep_milk*s_f_p_sheep_milk*s_f_s_sheep_milk*(up_RadSpec!$AR22+s_R_es_past))+(s_Q_s_sheep_milk*s_f_p_sheep_milk)))</f>
        <v>47557645.631067954</v>
      </c>
      <c r="CA22" s="45"/>
      <c r="CB22" s="45"/>
      <c r="CC22" s="45"/>
      <c r="CD22" s="45"/>
      <c r="CE22" s="45"/>
      <c r="CF22" s="45"/>
      <c r="CG22" s="45"/>
      <c r="CH22" s="45"/>
      <c r="CI22" s="45"/>
      <c r="CJ22" s="45"/>
      <c r="CK22" s="45"/>
      <c r="CL22" s="45"/>
      <c r="CM22" s="45"/>
      <c r="CN22" s="45"/>
      <c r="CO22" s="15"/>
      <c r="CP22" s="15">
        <f>IFERROR(s_TR/(up_RadSpec!H22*s_IFW_far_adj),".")</f>
        <v>3.9999999999999996E-10</v>
      </c>
      <c r="CQ22" s="15" t="str">
        <f>IFERROR(IF(up_RadSpec!C22=1,s_TR/(up_RadSpec!G22*s_IFA_far_adj*s_K),"."),".")</f>
        <v>.</v>
      </c>
      <c r="CR22" s="15">
        <f>IFERROR((s_TR/(up_RadSpec!L22*(1/8760)*s_DFA_far_adj)),".")</f>
        <v>4.3800000000000004E-6</v>
      </c>
      <c r="CS22" s="15">
        <f>up_b2w!BA22</f>
        <v>1.8087754064641833E-11</v>
      </c>
      <c r="CT22" s="15">
        <f>IFERROR(I22/(up_RadSpec!AI22*(1/1000)),".")</f>
        <v>1.4545454545454544E-8</v>
      </c>
      <c r="CU22" s="15">
        <f>IFERROR(F22/(up_RadSpec!AH22*s_Q_w_beef*(1/1000)),".")</f>
        <v>2.9090909090909087E-9</v>
      </c>
      <c r="CV22" s="15">
        <f>IFERROR((G22*s_D_milk)/(up_RadSpec!AG22*s_Q_w_dairy*(1/1000)),".")</f>
        <v>2.9963636363636357E-9</v>
      </c>
      <c r="CW22" s="15">
        <f>IFERROR(H22/(up_RadSpec!AL22*s_Q_w_swine*(1/1000)),".")</f>
        <v>2.9090909090909087E-9</v>
      </c>
      <c r="CX22" s="15">
        <f>IFERROR(D22/(up_RadSpec!AJ22*s_Q_w_poultry*(1/1000)),".")</f>
        <v>2.9090909090909087E-9</v>
      </c>
      <c r="CY22" s="15">
        <f>IFERROR(E22/(up_RadSpec!AK22*s_Q_w_poultry*(1/1000)),".")</f>
        <v>2.9090909090909087E-9</v>
      </c>
      <c r="CZ22" s="15">
        <f>IFERROR(J22/(up_RadSpec!AO22*s_Q_w_goat*(1/1000)),".")</f>
        <v>2.9090909090909087E-9</v>
      </c>
      <c r="DA22" s="15">
        <f>IFERROR(L22*s_D_milk/(up_RadSpec!AP22*s_Q_w_goat_milk*(1/1000)),".")</f>
        <v>2.9963636363636357E-9</v>
      </c>
      <c r="DB22" s="15">
        <f>IFERROR(K22/(up_RadSpec!AM22*s_Q_w_sheep*(1/1000)),".")</f>
        <v>2.9090909090909087E-9</v>
      </c>
      <c r="DC22" s="15">
        <f>IFERROR(M22*s_D_milk/(up_RadSpec!AN22*s_Q_w_sheep_milk*(1/1000)),".")</f>
        <v>2.9963636363636357E-9</v>
      </c>
      <c r="DD22" s="120">
        <f t="shared" si="27"/>
        <v>2500000000</v>
      </c>
      <c r="DE22" s="120" t="str">
        <f t="shared" si="28"/>
        <v>.</v>
      </c>
      <c r="DF22" s="120">
        <f t="shared" si="29"/>
        <v>228310.50228310502</v>
      </c>
      <c r="DG22" s="120">
        <f t="shared" si="30"/>
        <v>55286023705.663513</v>
      </c>
      <c r="DH22" s="120">
        <f t="shared" si="31"/>
        <v>68750000</v>
      </c>
      <c r="DI22" s="120">
        <f t="shared" si="32"/>
        <v>343750000.00000006</v>
      </c>
      <c r="DJ22" s="120">
        <f t="shared" si="33"/>
        <v>333737864.07766998</v>
      </c>
      <c r="DK22" s="120">
        <f t="shared" si="34"/>
        <v>343750000.00000006</v>
      </c>
      <c r="DL22" s="120">
        <f t="shared" si="35"/>
        <v>343750000.00000006</v>
      </c>
      <c r="DM22" s="120">
        <f t="shared" si="36"/>
        <v>343750000.00000006</v>
      </c>
      <c r="DN22" s="120">
        <f t="shared" si="37"/>
        <v>343750000.00000006</v>
      </c>
      <c r="DO22" s="120">
        <f t="shared" si="38"/>
        <v>333737864.07766998</v>
      </c>
      <c r="DP22" s="120">
        <f t="shared" si="39"/>
        <v>343750000.00000006</v>
      </c>
      <c r="DQ22" s="120">
        <f t="shared" si="40"/>
        <v>333737864.07766998</v>
      </c>
      <c r="DR22" s="15">
        <f t="shared" si="41"/>
        <v>1.6415316541278672E-11</v>
      </c>
      <c r="DS22" s="40">
        <f t="shared" si="42"/>
        <v>2500</v>
      </c>
      <c r="DT22" s="40">
        <f t="shared" si="43"/>
        <v>455.72916666666663</v>
      </c>
      <c r="DU22" s="40">
        <f t="shared" si="44"/>
        <v>0.22831050228310501</v>
      </c>
      <c r="DV22" s="40">
        <f>up_b2w!BZ22</f>
        <v>55286.023705663516</v>
      </c>
      <c r="DW22" s="40">
        <f>IFERROR(s_C*up_RadSpec!AI22*(1/1000)*s_IFFI_far_adj*s_CF_far_fish,0)</f>
        <v>68.75</v>
      </c>
      <c r="DX22" s="40">
        <f>(s_C*s_IFB_far_adj*s_CF_far_beef*up_RadSpec!AH22*s_Q_w_beef*(1/1000))</f>
        <v>343.75</v>
      </c>
      <c r="DY22" s="40">
        <f>(s_C*s_IFD_far_adj*s_CF_far_dairy*up_RadSpec!AG22*(1/s_D_milk)*s_Q_w_dairy*(1/1000))</f>
        <v>333.73786407766988</v>
      </c>
      <c r="DZ22" s="40">
        <f>(s_C*s_IFSW_far_adj*s_CF_far_swine*up_RadSpec!AL22*s_Q_w_swine*(1/1000))</f>
        <v>343.75</v>
      </c>
      <c r="EA22" s="40">
        <f>(s_C*s_IFP_far_adj*s_CF_far_poultry*up_RadSpec!AJ22*s_Q_w_poultry*(1/1000))</f>
        <v>343.75</v>
      </c>
      <c r="EB22" s="40">
        <f>(s_C*s_IFE_far_adj*s_CF_far_egg*up_RadSpec!AK22*s_Q_w_egg*(1/1000))</f>
        <v>343.75</v>
      </c>
      <c r="EC22" s="40">
        <f>(s_C*s_IFGO_far_adj*s_CF_far_goat*up_RadSpec!AO22*s_Q_p_goat*(1/1000))</f>
        <v>343.75</v>
      </c>
      <c r="ED22" s="40">
        <f>(s_C*s_IFGM_far_adj*s_CF_far_goat_milk*up_RadSpec!AP22*(1/s_D_milk)*s_Q_p_goat_milk*(1/1000))</f>
        <v>333.73786407766988</v>
      </c>
      <c r="EE22" s="40">
        <f>(s_C*s_IFSH_far_adj*s_CF_far_sheep*up_RadSpec!AM22*s_Q_p_sheep*(1/1000))</f>
        <v>343.75</v>
      </c>
      <c r="EF22" s="40">
        <f>(s_C*s_IFSM_far_adj*s_CF_far_sheep_milk*up_RadSpec!AN22*(1/s_D_milk)*s_Q_p_sheep_milk*(1/1000))</f>
        <v>333.73786407766988</v>
      </c>
      <c r="EG22" s="18"/>
      <c r="EH22" s="18"/>
      <c r="EI22" s="18"/>
      <c r="EJ22" s="18"/>
      <c r="EK22" s="18"/>
      <c r="EL22" s="18"/>
      <c r="EM22" s="18"/>
      <c r="EN22" s="18"/>
      <c r="EO22" s="18"/>
      <c r="EP22" s="18"/>
      <c r="EQ22" s="18"/>
      <c r="ER22" s="18"/>
      <c r="ES22" s="18"/>
      <c r="ET22" s="18"/>
      <c r="EU22" s="5"/>
      <c r="EV22" s="15">
        <f>IFERROR((s_TR/(up_RadSpec!G22*s_IFA_far_adj)),".")</f>
        <v>1.0971428571428573E-9</v>
      </c>
      <c r="EW22" s="15">
        <f>IFERROR((s_TR/(up_RadSpec!J22*s_EF_far*(1/365)*s_ED_far*s_ET_far*(1/24)*s_GSF_a)),".")</f>
        <v>1.7520000000000001E-6</v>
      </c>
      <c r="EX22" s="15">
        <f t="shared" si="48"/>
        <v>1.0964562309317064E-9</v>
      </c>
      <c r="EY22" s="40">
        <f t="shared" si="46"/>
        <v>911.45833333333326</v>
      </c>
      <c r="EZ22" s="40">
        <f t="shared" si="47"/>
        <v>0.57077625570776247</v>
      </c>
      <c r="FA22" s="122"/>
      <c r="FB22" s="122"/>
      <c r="FC22" s="122"/>
    </row>
    <row r="23" spans="1:159" customFormat="1" x14ac:dyDescent="0.25">
      <c r="A23" s="46" t="s">
        <v>33</v>
      </c>
      <c r="B23" s="42" t="s">
        <v>351</v>
      </c>
      <c r="C23" s="15">
        <f>up_dir!AB23</f>
        <v>1.8181818181818181E-11</v>
      </c>
      <c r="D23" s="15">
        <f>IFERROR(s_TR/(up_RadSpec!E23*s_IFP_far_adj*s_CF_far_poultry),".")</f>
        <v>7.2727272727272723E-11</v>
      </c>
      <c r="E23" s="15">
        <f>IFERROR(s_TR/(up_RadSpec!E23*s_IFE_far_adj*s_CF_far_egg),".")</f>
        <v>7.2727272727272723E-11</v>
      </c>
      <c r="F23" s="15">
        <f>IFERROR(s_TR/(up_RadSpec!E23*s_IFB_far_adj*s_CF_far_beef),".")</f>
        <v>7.2727272727272723E-11</v>
      </c>
      <c r="G23" s="15">
        <f>IFERROR(s_TR/(up_RadSpec!E23*s_IFD_far_adj*s_CF_far_dairy),".")</f>
        <v>7.2727272727272723E-11</v>
      </c>
      <c r="H23" s="15">
        <f>IFERROR(s_TR/(up_RadSpec!E23*s_IFSW_far_adj*s_CF_far_swine),".")</f>
        <v>7.2727272727272723E-11</v>
      </c>
      <c r="I23" s="15">
        <f>IFERROR(s_TR/(up_RadSpec!E23*s_IFFI_far_adj*s_CF_far_fish),".")</f>
        <v>7.2727272727272723E-11</v>
      </c>
      <c r="J23" s="15">
        <f>IFERROR(s_TR/(up_RadSpec!E23*s_IFGO_far_adj*s_CF_far_goat),".")</f>
        <v>7.2727272727272723E-11</v>
      </c>
      <c r="K23" s="15">
        <f>IFERROR(s_TR/(up_RadSpec!E23*s_IFSH_far_adj*s_CF_far_sheep),".")</f>
        <v>7.2727272727272723E-11</v>
      </c>
      <c r="L23" s="15">
        <f>IFERROR(s_TR/(up_RadSpec!E23*s_IFGM_far_adj*s_CF_far_goat_milk),".")</f>
        <v>7.2727272727272723E-11</v>
      </c>
      <c r="M23" s="15">
        <f>IFERROR(s_TR/(up_RadSpec!E23*s_IFSM_far_adj*s_CF_far_sheep_milk),".")</f>
        <v>7.2727272727272723E-11</v>
      </c>
      <c r="N23" s="40">
        <f>up_dir!BA23</f>
        <v>55000</v>
      </c>
      <c r="O23" s="40">
        <f t="shared" si="0"/>
        <v>13750</v>
      </c>
      <c r="P23" s="40">
        <f t="shared" si="1"/>
        <v>13750</v>
      </c>
      <c r="Q23" s="40">
        <f t="shared" si="2"/>
        <v>13750</v>
      </c>
      <c r="R23" s="40">
        <f t="shared" si="3"/>
        <v>13750</v>
      </c>
      <c r="S23" s="40">
        <f t="shared" si="4"/>
        <v>13750</v>
      </c>
      <c r="T23" s="40">
        <f t="shared" si="5"/>
        <v>13750</v>
      </c>
      <c r="U23" s="40">
        <f t="shared" si="6"/>
        <v>13750</v>
      </c>
      <c r="V23" s="40">
        <f t="shared" si="7"/>
        <v>13750</v>
      </c>
      <c r="W23" s="40">
        <f t="shared" si="8"/>
        <v>13750</v>
      </c>
      <c r="X23" s="40">
        <f t="shared" si="9"/>
        <v>13750</v>
      </c>
      <c r="Y23" s="5"/>
      <c r="Z23" s="5"/>
      <c r="AA23" s="5"/>
      <c r="AB23" s="5"/>
      <c r="AC23" s="5"/>
      <c r="AD23" s="5"/>
      <c r="AE23" s="5"/>
      <c r="AF23" s="5"/>
      <c r="AG23" s="5"/>
      <c r="AH23" s="5"/>
      <c r="AI23" s="5"/>
      <c r="AJ23" s="45">
        <f>IFERROR((s_TR/(up_RadSpec!D23*s_IFS_far_adj*(1/1000)))*1,".")</f>
        <v>3.6363636363636363E-8</v>
      </c>
      <c r="AK23" s="45">
        <f>IFERROR(IF(A23="H-3",(s_TR/(up_RadSpec!G23*s_IFA_far_adj*(1/17)*1000))*1,(s_TR/(up_RadSpec!G23*s_IFA_far_adj*(1/s_PEF_wind)*1000))*1),".")</f>
        <v>3.3989909629864073E-4</v>
      </c>
      <c r="AL23" s="45">
        <f>IFERROR((s_TR/(up_RadSpec!F23*s_EF_far*(1/365)*s_ED_far*up_RadSpec!Q23*((s_ET_far_o*(1/24)*up_RadSpec!V23)+(s_ET_far_i*(1/24)*up_RadSpec!AA23))))*1,".")</f>
        <v>1.6043464952555859E-5</v>
      </c>
      <c r="AM23" s="45">
        <f>up_b2s!BA23</f>
        <v>3.6265718922545492E-12</v>
      </c>
      <c r="AN23" s="45">
        <f>IFERROR(((I23*up_RadSpec!AS23)/up_RadSpec!AI23)*1,".")</f>
        <v>7.2727272727272723E-11</v>
      </c>
      <c r="AO23" s="45">
        <f>IFERROR((F23/(up_RadSpec!AH23*((s_Q_p_beef*s_f_p_beef*s_f_s_beef*(up_RadSpec!BB23+s_R_es_past))+(s_Q_s_beef*s_f_p_beef))))*1,".")</f>
        <v>2.0414673046251994E-14</v>
      </c>
      <c r="AP23" s="45">
        <f>IFERROR(((G23*s_D_milk)/(up_RadSpec!AG23*((s_Q_p_dairy*s_f_p_dairy*s_f_s_dairy*(up_RadSpec!BB23+s_R_es_past))+(s_Q_s_dairy*s_f_p_dairy))))*1,".")</f>
        <v>2.102711323763955E-14</v>
      </c>
      <c r="AQ23" s="45">
        <f>IFERROR((H23/(up_RadSpec!AL23*((s_Q_p_swine*s_f_p_swine*s_f_s_swine*(up_RadSpec!BB23+s_R_es_past))+(s_Q_s_swine*s_f_p_swine))))*1,".")</f>
        <v>2.0414673046251994E-14</v>
      </c>
      <c r="AR23" s="45">
        <f>IFERROR((D23/(up_RadSpec!AJ23*((s_Q_p_poultry*s_f_p_poultry*s_f_s_poultry*(up_RadSpec!BB23+s_R_es_past))+(s_Q_s_poultry*s_f_p_poultry))))*1,".")</f>
        <v>2.0414673046251994E-14</v>
      </c>
      <c r="AS23" s="45">
        <f>IFERROR((E23/(up_RadSpec!AK23*((s_Q_p_poultry*s_f_p_poultry*s_f_s_poultry*(up_RadSpec!BB23+s_R_es_past))+(s_Q_s_poultry*s_f_p_poultry))))*1,".")</f>
        <v>2.0414673046251994E-14</v>
      </c>
      <c r="AT23" s="45">
        <f>IFERROR((J23/(up_RadSpec!AO23*((s_Q_p_goat*s_f_p_goat*s_f_s_goat*(up_RadSpec!BB23+s_R_es_past))+(s_Q_s_goat*s_f_p_goat))))*1,".")</f>
        <v>2.0414673046251994E-14</v>
      </c>
      <c r="AU23" s="45">
        <f>IFERROR((L23*s_D_milk/(up_RadSpec!AP23*((s_Q_p_goat_milk*s_f_p_goat_milk*s_f_s_goat_milk*(up_RadSpec!BB23+s_R_es_past))+(s_Q_s_goat_milk*s_f_p_goat_milk))))*1,".")</f>
        <v>2.102711323763955E-14</v>
      </c>
      <c r="AV23" s="45">
        <f>IFERROR((K23/(up_RadSpec!AM23*((s_Q_p_sheep*s_f_p_sheep*s_f_s_sheep*(up_RadSpec!BB23+s_R_es_past))+(s_Q_s_sheep*s_f_p_sheep))))*1,".")</f>
        <v>2.0414673046251994E-14</v>
      </c>
      <c r="AW23" s="45">
        <f>IFERROR((M23*s_D_milk/(up_RadSpec!AN23*((s_Q_p_sheep_milk*s_f_p_sheep_milk*s_f_s_sheep_milk*(up_RadSpec!BB23+s_R_es_past))+(s_Q_s_sheep_milk*s_f_p_sheep_milk))))*1,".")</f>
        <v>2.102711323763955E-14</v>
      </c>
      <c r="AX23" s="120">
        <f t="shared" si="10"/>
        <v>27500000</v>
      </c>
      <c r="AY23" s="120">
        <f t="shared" si="11"/>
        <v>2942.0495991003877</v>
      </c>
      <c r="AZ23" s="120">
        <f t="shared" si="12"/>
        <v>62330.675010493389</v>
      </c>
      <c r="BA23" s="120">
        <f t="shared" si="13"/>
        <v>275742500000</v>
      </c>
      <c r="BB23" s="120">
        <f t="shared" si="14"/>
        <v>13750000000</v>
      </c>
      <c r="BC23" s="120">
        <f t="shared" si="15"/>
        <v>48984375000000</v>
      </c>
      <c r="BD23" s="120">
        <f t="shared" si="16"/>
        <v>47557645631067.969</v>
      </c>
      <c r="BE23" s="120">
        <f t="shared" si="17"/>
        <v>48984375000000</v>
      </c>
      <c r="BF23" s="120">
        <f t="shared" si="18"/>
        <v>48984375000000</v>
      </c>
      <c r="BG23" s="120">
        <f t="shared" si="19"/>
        <v>48984375000000</v>
      </c>
      <c r="BH23" s="120">
        <f t="shared" si="20"/>
        <v>48984375000000</v>
      </c>
      <c r="BI23" s="120">
        <f t="shared" si="21"/>
        <v>47557645631067.969</v>
      </c>
      <c r="BJ23" s="120">
        <f t="shared" si="22"/>
        <v>48984375000000</v>
      </c>
      <c r="BK23" s="120">
        <f t="shared" si="23"/>
        <v>47557645631067.969</v>
      </c>
      <c r="BL23" s="15">
        <f t="shared" si="24"/>
        <v>2.2890172357779971E-15</v>
      </c>
      <c r="BM23" s="40">
        <f t="shared" si="25"/>
        <v>27.5</v>
      </c>
      <c r="BN23" s="40">
        <f t="shared" si="26"/>
        <v>2.9420495991003873E-3</v>
      </c>
      <c r="BO23" s="40">
        <f>IFERROR((s_C*s_EF_far*(1/365)*s_ED_far*up_RadSpec!Q23*((s_ET_far_o*(1/24)*up_RadSpec!V23)+(s_ET_far_i*(1/24)*up_RadSpec!AA23))),".")</f>
        <v>6.2330675010493393E-2</v>
      </c>
      <c r="BP23" s="40">
        <f>up_b2s!BZ23</f>
        <v>275742.5</v>
      </c>
      <c r="BQ23" s="40">
        <f>IFERROR(((s_C*up_RadSpec!AI23)/up_RadSpec!AS23)*s_IFFI_far_adj*s_CF_far_fish,0)</f>
        <v>13750</v>
      </c>
      <c r="BR23" s="40">
        <f>(s_C*s_IFB_far_adj*s_CF_far_beef*up_RadSpec!AH23*((s_Q_p_beef*s_f_p_beef*s_f_s_beef*(up_RadSpec!$AR23+s_R_es_past))+(s_Q_s_beef*s_f_p_beef)))</f>
        <v>48984375</v>
      </c>
      <c r="BS23" s="40">
        <f>(s_C*s_IFD_far_adj*s_CF_far_dairy*up_RadSpec!AG23*1/s_D_milk*((s_Q_p_dairy*s_f_p_dairy*s_f_s_dairy*(up_RadSpec!$AR23+s_R_es_past))+(s_Q_s_dairy*s_f_p_dairy)))</f>
        <v>47557645.631067954</v>
      </c>
      <c r="BT23" s="40">
        <f>(s_C*s_IFSW_far_adj*s_CF_far_swine*up_RadSpec!AL23*((s_Q_p_swine*s_f_p_swine*s_f_s_swine*(up_RadSpec!$AR23+s_R_es_past))+(s_Q_s_swine*s_f_p_swine)))</f>
        <v>48984375</v>
      </c>
      <c r="BU23" s="40">
        <f>(s_C*s_IFP_far_adj*s_CF_far_poultry*up_RadSpec!AJ23*((s_Q_p_poultry*s_f_p_poultry*s_f_s_poultry*(up_RadSpec!AR23+s_R_es_past))+(s_Q_s_poultry*s_f_p_poultry)))</f>
        <v>48984375</v>
      </c>
      <c r="BV23" s="40">
        <f>(s_C*s_IFE_far_adj*s_CF_far_egg*up_RadSpec!AK23*((s_Q_p_egg*s_f_p_egg*s_f_s_egg*(up_RadSpec!$AR23+s_R_es_past))+(s_Q_s_egg*s_f_p_egg)))</f>
        <v>48984375</v>
      </c>
      <c r="BW23" s="40">
        <f>(s_C*s_IFGO_far_adj*s_CF_far_goat*up_RadSpec!AO23*((s_Q_p_goat*s_f_p_goat*s_f_s_goat*(up_RadSpec!$AR23+s_R_es_past))+(s_Q_s_goat*s_f_p_goat)))</f>
        <v>48984375</v>
      </c>
      <c r="BX23" s="40">
        <f>(s_C*s_IFGM_far_adj*s_CF_far_goat_milk*up_RadSpec!AP23*1/s_D_milk*((s_Q_p_goat_milk*s_f_p_goat_milk*s_f_s_goat_milk*(up_RadSpec!$AR23+s_R_es_past))+(s_Q_s_goat_milk*s_f_p_goat_milk)))</f>
        <v>47557645.631067954</v>
      </c>
      <c r="BY23" s="40">
        <f>(s_C*s_IFSH_far_adj*s_CF_far_sheep*up_RadSpec!AM23*((s_Q_p_sheep*s_f_p_sheep*s_f_s_sheep*(up_RadSpec!$AR23+s_R_es_past))+(s_Q_s_sheep*s_f_p_sheep)))</f>
        <v>48984375</v>
      </c>
      <c r="BZ23" s="40">
        <f>(s_C*s_IFSM_far_adj*s_CF_far_sheep_milk*up_RadSpec!AN23*1/s_D_milk*((s_Q_p_sheep_milk*s_f_p_sheep_milk*s_f_s_sheep_milk*(up_RadSpec!$AR23+s_R_es_past))+(s_Q_s_sheep_milk*s_f_p_sheep_milk)))</f>
        <v>47557645.631067954</v>
      </c>
      <c r="CA23" s="45"/>
      <c r="CB23" s="45"/>
      <c r="CC23" s="45"/>
      <c r="CD23" s="45"/>
      <c r="CE23" s="45"/>
      <c r="CF23" s="45"/>
      <c r="CG23" s="45"/>
      <c r="CH23" s="45"/>
      <c r="CI23" s="45"/>
      <c r="CJ23" s="45"/>
      <c r="CK23" s="45"/>
      <c r="CL23" s="45"/>
      <c r="CM23" s="45"/>
      <c r="CN23" s="45"/>
      <c r="CO23" s="15"/>
      <c r="CP23" s="15">
        <f>IFERROR(s_TR/(up_RadSpec!H23*s_IFW_far_adj),".")</f>
        <v>3.9999999999999996E-10</v>
      </c>
      <c r="CQ23" s="15">
        <f>IFERROR(IF(up_RadSpec!C23=1,s_TR/(up_RadSpec!G23*s_IFA_far_adj*s_K),"."),".")</f>
        <v>2.1942857142857146E-9</v>
      </c>
      <c r="CR23" s="15">
        <f>IFERROR((s_TR/(up_RadSpec!L23*(1/8760)*s_DFA_far_adj)),".")</f>
        <v>4.3800000000000004E-6</v>
      </c>
      <c r="CS23" s="15">
        <f>up_b2w!BA23</f>
        <v>1.8087754064641833E-11</v>
      </c>
      <c r="CT23" s="15">
        <f>IFERROR(I23/(up_RadSpec!AI23*(1/1000)),".")</f>
        <v>1.4545454545454544E-8</v>
      </c>
      <c r="CU23" s="15">
        <f>IFERROR(F23/(up_RadSpec!AH23*s_Q_w_beef*(1/1000)),".")</f>
        <v>2.9090909090909087E-9</v>
      </c>
      <c r="CV23" s="15">
        <f>IFERROR((G23*s_D_milk)/(up_RadSpec!AG23*s_Q_w_dairy*(1/1000)),".")</f>
        <v>2.9963636363636357E-9</v>
      </c>
      <c r="CW23" s="15">
        <f>IFERROR(H23/(up_RadSpec!AL23*s_Q_w_swine*(1/1000)),".")</f>
        <v>2.9090909090909087E-9</v>
      </c>
      <c r="CX23" s="15">
        <f>IFERROR(D23/(up_RadSpec!AJ23*s_Q_w_poultry*(1/1000)),".")</f>
        <v>2.9090909090909087E-9</v>
      </c>
      <c r="CY23" s="15">
        <f>IFERROR(E23/(up_RadSpec!AK23*s_Q_w_poultry*(1/1000)),".")</f>
        <v>2.9090909090909087E-9</v>
      </c>
      <c r="CZ23" s="15">
        <f>IFERROR(J23/(up_RadSpec!AO23*s_Q_w_goat*(1/1000)),".")</f>
        <v>2.9090909090909087E-9</v>
      </c>
      <c r="DA23" s="15">
        <f>IFERROR(L23*s_D_milk/(up_RadSpec!AP23*s_Q_w_goat_milk*(1/1000)),".")</f>
        <v>2.9963636363636357E-9</v>
      </c>
      <c r="DB23" s="15">
        <f>IFERROR(K23/(up_RadSpec!AM23*s_Q_w_sheep*(1/1000)),".")</f>
        <v>2.9090909090909087E-9</v>
      </c>
      <c r="DC23" s="15">
        <f>IFERROR(M23*s_D_milk/(up_RadSpec!AN23*s_Q_w_sheep_milk*(1/1000)),".")</f>
        <v>2.9963636363636357E-9</v>
      </c>
      <c r="DD23" s="120">
        <f t="shared" si="27"/>
        <v>2500000000</v>
      </c>
      <c r="DE23" s="120">
        <f t="shared" si="28"/>
        <v>455729166.66666663</v>
      </c>
      <c r="DF23" s="120">
        <f t="shared" si="29"/>
        <v>228310.50228310502</v>
      </c>
      <c r="DG23" s="120">
        <f t="shared" si="30"/>
        <v>55286023705.663513</v>
      </c>
      <c r="DH23" s="120">
        <f t="shared" si="31"/>
        <v>68750000</v>
      </c>
      <c r="DI23" s="120">
        <f t="shared" si="32"/>
        <v>343750000.00000006</v>
      </c>
      <c r="DJ23" s="120">
        <f t="shared" si="33"/>
        <v>333737864.07766998</v>
      </c>
      <c r="DK23" s="120">
        <f t="shared" si="34"/>
        <v>343750000.00000006</v>
      </c>
      <c r="DL23" s="120">
        <f t="shared" si="35"/>
        <v>343750000.00000006</v>
      </c>
      <c r="DM23" s="120">
        <f t="shared" si="36"/>
        <v>343750000.00000006</v>
      </c>
      <c r="DN23" s="120">
        <f t="shared" si="37"/>
        <v>343750000.00000006</v>
      </c>
      <c r="DO23" s="120">
        <f t="shared" si="38"/>
        <v>333737864.07766998</v>
      </c>
      <c r="DP23" s="120">
        <f t="shared" si="39"/>
        <v>343750000.00000006</v>
      </c>
      <c r="DQ23" s="120">
        <f t="shared" si="40"/>
        <v>333737864.07766998</v>
      </c>
      <c r="DR23" s="15">
        <f t="shared" si="41"/>
        <v>1.6293426419822685E-11</v>
      </c>
      <c r="DS23" s="40">
        <f t="shared" si="42"/>
        <v>2500</v>
      </c>
      <c r="DT23" s="40">
        <f t="shared" si="43"/>
        <v>455.72916666666663</v>
      </c>
      <c r="DU23" s="40">
        <f t="shared" si="44"/>
        <v>0.22831050228310501</v>
      </c>
      <c r="DV23" s="40">
        <f>up_b2w!BZ23</f>
        <v>55286.023705663516</v>
      </c>
      <c r="DW23" s="40">
        <f>IFERROR(s_C*up_RadSpec!AI23*(1/1000)*s_IFFI_far_adj*s_CF_far_fish,0)</f>
        <v>68.75</v>
      </c>
      <c r="DX23" s="40">
        <f>(s_C*s_IFB_far_adj*s_CF_far_beef*up_RadSpec!AH23*s_Q_w_beef*(1/1000))</f>
        <v>343.75</v>
      </c>
      <c r="DY23" s="40">
        <f>(s_C*s_IFD_far_adj*s_CF_far_dairy*up_RadSpec!AG23*(1/s_D_milk)*s_Q_w_dairy*(1/1000))</f>
        <v>333.73786407766988</v>
      </c>
      <c r="DZ23" s="40">
        <f>(s_C*s_IFSW_far_adj*s_CF_far_swine*up_RadSpec!AL23*s_Q_w_swine*(1/1000))</f>
        <v>343.75</v>
      </c>
      <c r="EA23" s="40">
        <f>(s_C*s_IFP_far_adj*s_CF_far_poultry*up_RadSpec!AJ23*s_Q_w_poultry*(1/1000))</f>
        <v>343.75</v>
      </c>
      <c r="EB23" s="40">
        <f>(s_C*s_IFE_far_adj*s_CF_far_egg*up_RadSpec!AK23*s_Q_w_egg*(1/1000))</f>
        <v>343.75</v>
      </c>
      <c r="EC23" s="40">
        <f>(s_C*s_IFGO_far_adj*s_CF_far_goat*up_RadSpec!AO23*s_Q_p_goat*(1/1000))</f>
        <v>343.75</v>
      </c>
      <c r="ED23" s="40">
        <f>(s_C*s_IFGM_far_adj*s_CF_far_goat_milk*up_RadSpec!AP23*(1/s_D_milk)*s_Q_p_goat_milk*(1/1000))</f>
        <v>333.73786407766988</v>
      </c>
      <c r="EE23" s="40">
        <f>(s_C*s_IFSH_far_adj*s_CF_far_sheep*up_RadSpec!AM23*s_Q_p_sheep*(1/1000))</f>
        <v>343.75</v>
      </c>
      <c r="EF23" s="40">
        <f>(s_C*s_IFSM_far_adj*s_CF_far_sheep_milk*up_RadSpec!AN23*(1/s_D_milk)*s_Q_p_sheep_milk*(1/1000))</f>
        <v>333.73786407766988</v>
      </c>
      <c r="EG23" s="18"/>
      <c r="EH23" s="18"/>
      <c r="EI23" s="18"/>
      <c r="EJ23" s="18"/>
      <c r="EK23" s="18"/>
      <c r="EL23" s="18"/>
      <c r="EM23" s="18"/>
      <c r="EN23" s="18"/>
      <c r="EO23" s="18"/>
      <c r="EP23" s="18"/>
      <c r="EQ23" s="18"/>
      <c r="ER23" s="18"/>
      <c r="ES23" s="18"/>
      <c r="ET23" s="18"/>
      <c r="EU23" s="5"/>
      <c r="EV23" s="15">
        <f>IFERROR((s_TR/(up_RadSpec!G23*s_IFA_far_adj)),".")</f>
        <v>1.0971428571428573E-9</v>
      </c>
      <c r="EW23" s="15">
        <f>IFERROR((s_TR/(up_RadSpec!J23*s_EF_far*(1/365)*s_ED_far*s_ET_far*(1/24)*s_GSF_a)),".")</f>
        <v>1.7520000000000001E-6</v>
      </c>
      <c r="EX23" s="15">
        <f t="shared" si="48"/>
        <v>1.0964562309317064E-9</v>
      </c>
      <c r="EY23" s="40">
        <f t="shared" si="46"/>
        <v>911.45833333333326</v>
      </c>
      <c r="EZ23" s="40">
        <f t="shared" si="47"/>
        <v>0.57077625570776247</v>
      </c>
      <c r="FA23" s="122"/>
      <c r="FB23" s="122"/>
      <c r="FC23" s="122"/>
    </row>
    <row r="24" spans="1:159" customFormat="1" x14ac:dyDescent="0.25">
      <c r="A24" s="44" t="s">
        <v>34</v>
      </c>
      <c r="B24" s="42" t="s">
        <v>1074</v>
      </c>
      <c r="C24" s="15">
        <f>up_dir!AB24</f>
        <v>1.8181818181818181E-11</v>
      </c>
      <c r="D24" s="15">
        <f>IFERROR(s_TR/(up_RadSpec!E24*s_IFP_far_adj*s_CF_far_poultry),".")</f>
        <v>7.2727272727272723E-11</v>
      </c>
      <c r="E24" s="15">
        <f>IFERROR(s_TR/(up_RadSpec!E24*s_IFE_far_adj*s_CF_far_egg),".")</f>
        <v>7.2727272727272723E-11</v>
      </c>
      <c r="F24" s="15">
        <f>IFERROR(s_TR/(up_RadSpec!E24*s_IFB_far_adj*s_CF_far_beef),".")</f>
        <v>7.2727272727272723E-11</v>
      </c>
      <c r="G24" s="15">
        <f>IFERROR(s_TR/(up_RadSpec!E24*s_IFD_far_adj*s_CF_far_dairy),".")</f>
        <v>7.2727272727272723E-11</v>
      </c>
      <c r="H24" s="15">
        <f>IFERROR(s_TR/(up_RadSpec!E24*s_IFSW_far_adj*s_CF_far_swine),".")</f>
        <v>7.2727272727272723E-11</v>
      </c>
      <c r="I24" s="15">
        <f>IFERROR(s_TR/(up_RadSpec!E24*s_IFFI_far_adj*s_CF_far_fish),".")</f>
        <v>7.2727272727272723E-11</v>
      </c>
      <c r="J24" s="15">
        <f>IFERROR(s_TR/(up_RadSpec!E24*s_IFGO_far_adj*s_CF_far_goat),".")</f>
        <v>7.2727272727272723E-11</v>
      </c>
      <c r="K24" s="15">
        <f>IFERROR(s_TR/(up_RadSpec!E24*s_IFSH_far_adj*s_CF_far_sheep),".")</f>
        <v>7.2727272727272723E-11</v>
      </c>
      <c r="L24" s="15">
        <f>IFERROR(s_TR/(up_RadSpec!E24*s_IFGM_far_adj*s_CF_far_goat_milk),".")</f>
        <v>7.2727272727272723E-11</v>
      </c>
      <c r="M24" s="15">
        <f>IFERROR(s_TR/(up_RadSpec!E24*s_IFSM_far_adj*s_CF_far_sheep_milk),".")</f>
        <v>7.2727272727272723E-11</v>
      </c>
      <c r="N24" s="40">
        <f>up_dir!BA24</f>
        <v>55000</v>
      </c>
      <c r="O24" s="40">
        <f t="shared" si="0"/>
        <v>13750</v>
      </c>
      <c r="P24" s="40">
        <f t="shared" si="1"/>
        <v>13750</v>
      </c>
      <c r="Q24" s="40">
        <f t="shared" si="2"/>
        <v>13750</v>
      </c>
      <c r="R24" s="40">
        <f t="shared" si="3"/>
        <v>13750</v>
      </c>
      <c r="S24" s="40">
        <f t="shared" si="4"/>
        <v>13750</v>
      </c>
      <c r="T24" s="40">
        <f t="shared" si="5"/>
        <v>13750</v>
      </c>
      <c r="U24" s="40">
        <f t="shared" si="6"/>
        <v>13750</v>
      </c>
      <c r="V24" s="40">
        <f t="shared" si="7"/>
        <v>13750</v>
      </c>
      <c r="W24" s="40">
        <f t="shared" si="8"/>
        <v>13750</v>
      </c>
      <c r="X24" s="40">
        <f t="shared" si="9"/>
        <v>13750</v>
      </c>
      <c r="Y24" s="5"/>
      <c r="Z24" s="5"/>
      <c r="AA24" s="5"/>
      <c r="AB24" s="5"/>
      <c r="AC24" s="5"/>
      <c r="AD24" s="5"/>
      <c r="AE24" s="5"/>
      <c r="AF24" s="5"/>
      <c r="AG24" s="5"/>
      <c r="AH24" s="5"/>
      <c r="AI24" s="5"/>
      <c r="AJ24" s="45">
        <f>IFERROR((s_TR/(up_RadSpec!D24*s_IFS_far_adj*(1/1000)))*1,".")</f>
        <v>3.6363636363636363E-8</v>
      </c>
      <c r="AK24" s="45">
        <f>IFERROR(IF(A24="H-3",(s_TR/(up_RadSpec!G24*s_IFA_far_adj*(1/17)*1000))*1,(s_TR/(up_RadSpec!G24*s_IFA_far_adj*(1/s_PEF_wind)*1000))*1),".")</f>
        <v>3.3989909629864073E-4</v>
      </c>
      <c r="AL24" s="45">
        <f>IFERROR((s_TR/(up_RadSpec!F24*s_EF_far*(1/365)*s_ED_far*up_RadSpec!Q24*((s_ET_far_o*(1/24)*up_RadSpec!V24)+(s_ET_far_i*(1/24)*up_RadSpec!AA24))))*1,".")</f>
        <v>2.1031707709641086E-5</v>
      </c>
      <c r="AM24" s="45">
        <f>up_b2s!BA24</f>
        <v>3.6265718922545492E-12</v>
      </c>
      <c r="AN24" s="45">
        <f>IFERROR(((I24*up_RadSpec!AS24)/up_RadSpec!AI24)*1,".")</f>
        <v>7.2727272727272723E-11</v>
      </c>
      <c r="AO24" s="45">
        <f>IFERROR((F24/(up_RadSpec!AH24*((s_Q_p_beef*s_f_p_beef*s_f_s_beef*(up_RadSpec!BB24+s_R_es_past))+(s_Q_s_beef*s_f_p_beef))))*1,".")</f>
        <v>2.0414673046251994E-14</v>
      </c>
      <c r="AP24" s="45">
        <f>IFERROR(((G24*s_D_milk)/(up_RadSpec!AG24*((s_Q_p_dairy*s_f_p_dairy*s_f_s_dairy*(up_RadSpec!BB24+s_R_es_past))+(s_Q_s_dairy*s_f_p_dairy))))*1,".")</f>
        <v>2.102711323763955E-14</v>
      </c>
      <c r="AQ24" s="45">
        <f>IFERROR((H24/(up_RadSpec!AL24*((s_Q_p_swine*s_f_p_swine*s_f_s_swine*(up_RadSpec!BB24+s_R_es_past))+(s_Q_s_swine*s_f_p_swine))))*1,".")</f>
        <v>2.0414673046251994E-14</v>
      </c>
      <c r="AR24" s="45">
        <f>IFERROR((D24/(up_RadSpec!AJ24*((s_Q_p_poultry*s_f_p_poultry*s_f_s_poultry*(up_RadSpec!BB24+s_R_es_past))+(s_Q_s_poultry*s_f_p_poultry))))*1,".")</f>
        <v>2.0414673046251994E-14</v>
      </c>
      <c r="AS24" s="45">
        <f>IFERROR((E24/(up_RadSpec!AK24*((s_Q_p_poultry*s_f_p_poultry*s_f_s_poultry*(up_RadSpec!BB24+s_R_es_past))+(s_Q_s_poultry*s_f_p_poultry))))*1,".")</f>
        <v>2.0414673046251994E-14</v>
      </c>
      <c r="AT24" s="45">
        <f>IFERROR((J24/(up_RadSpec!AO24*((s_Q_p_goat*s_f_p_goat*s_f_s_goat*(up_RadSpec!BB24+s_R_es_past))+(s_Q_s_goat*s_f_p_goat))))*1,".")</f>
        <v>2.0414673046251994E-14</v>
      </c>
      <c r="AU24" s="45">
        <f>IFERROR((L24*s_D_milk/(up_RadSpec!AP24*((s_Q_p_goat_milk*s_f_p_goat_milk*s_f_s_goat_milk*(up_RadSpec!BB24+s_R_es_past))+(s_Q_s_goat_milk*s_f_p_goat_milk))))*1,".")</f>
        <v>2.102711323763955E-14</v>
      </c>
      <c r="AV24" s="45">
        <f>IFERROR((K24/(up_RadSpec!AM24*((s_Q_p_sheep*s_f_p_sheep*s_f_s_sheep*(up_RadSpec!BB24+s_R_es_past))+(s_Q_s_sheep*s_f_p_sheep))))*1,".")</f>
        <v>2.0414673046251994E-14</v>
      </c>
      <c r="AW24" s="45">
        <f>IFERROR((M24*s_D_milk/(up_RadSpec!AN24*((s_Q_p_sheep_milk*s_f_p_sheep_milk*s_f_s_sheep_milk*(up_RadSpec!BB24+s_R_es_past))+(s_Q_s_sheep_milk*s_f_p_sheep_milk))))*1,".")</f>
        <v>2.102711323763955E-14</v>
      </c>
      <c r="AX24" s="120">
        <f t="shared" si="10"/>
        <v>27500000</v>
      </c>
      <c r="AY24" s="120">
        <f t="shared" si="11"/>
        <v>2942.0495991003877</v>
      </c>
      <c r="AZ24" s="120">
        <f t="shared" si="12"/>
        <v>47547.256447539577</v>
      </c>
      <c r="BA24" s="120">
        <f t="shared" si="13"/>
        <v>275742500000</v>
      </c>
      <c r="BB24" s="120">
        <f t="shared" si="14"/>
        <v>13750000000</v>
      </c>
      <c r="BC24" s="120">
        <f t="shared" si="15"/>
        <v>48984375000000</v>
      </c>
      <c r="BD24" s="120">
        <f t="shared" si="16"/>
        <v>47557645631067.969</v>
      </c>
      <c r="BE24" s="120">
        <f t="shared" si="17"/>
        <v>48984375000000</v>
      </c>
      <c r="BF24" s="120">
        <f t="shared" si="18"/>
        <v>48984375000000</v>
      </c>
      <c r="BG24" s="120">
        <f t="shared" si="19"/>
        <v>48984375000000</v>
      </c>
      <c r="BH24" s="120">
        <f t="shared" si="20"/>
        <v>48984375000000</v>
      </c>
      <c r="BI24" s="120">
        <f t="shared" si="21"/>
        <v>47557645631067.969</v>
      </c>
      <c r="BJ24" s="120">
        <f t="shared" si="22"/>
        <v>48984375000000</v>
      </c>
      <c r="BK24" s="120">
        <f t="shared" si="23"/>
        <v>47557645631067.969</v>
      </c>
      <c r="BL24" s="15">
        <f t="shared" si="24"/>
        <v>2.2890172358554561E-15</v>
      </c>
      <c r="BM24" s="40">
        <f t="shared" si="25"/>
        <v>27.5</v>
      </c>
      <c r="BN24" s="40">
        <f t="shared" si="26"/>
        <v>2.9420495991003873E-3</v>
      </c>
      <c r="BO24" s="40">
        <f>IFERROR((s_C*s_EF_far*(1/365)*s_ED_far*up_RadSpec!Q24*((s_ET_far_o*(1/24)*up_RadSpec!V24)+(s_ET_far_i*(1/24)*up_RadSpec!AA24))),".")</f>
        <v>4.7547256447539578E-2</v>
      </c>
      <c r="BP24" s="40">
        <f>up_b2s!BZ24</f>
        <v>275742.5</v>
      </c>
      <c r="BQ24" s="40">
        <f>IFERROR(((s_C*up_RadSpec!AI24)/up_RadSpec!AS24)*s_IFFI_far_adj*s_CF_far_fish,0)</f>
        <v>13750</v>
      </c>
      <c r="BR24" s="40">
        <f>(s_C*s_IFB_far_adj*s_CF_far_beef*up_RadSpec!AH24*((s_Q_p_beef*s_f_p_beef*s_f_s_beef*(up_RadSpec!$AR24+s_R_es_past))+(s_Q_s_beef*s_f_p_beef)))</f>
        <v>48984375</v>
      </c>
      <c r="BS24" s="40">
        <f>(s_C*s_IFD_far_adj*s_CF_far_dairy*up_RadSpec!AG24*1/s_D_milk*((s_Q_p_dairy*s_f_p_dairy*s_f_s_dairy*(up_RadSpec!$AR24+s_R_es_past))+(s_Q_s_dairy*s_f_p_dairy)))</f>
        <v>47557645.631067954</v>
      </c>
      <c r="BT24" s="40">
        <f>(s_C*s_IFSW_far_adj*s_CF_far_swine*up_RadSpec!AL24*((s_Q_p_swine*s_f_p_swine*s_f_s_swine*(up_RadSpec!$AR24+s_R_es_past))+(s_Q_s_swine*s_f_p_swine)))</f>
        <v>48984375</v>
      </c>
      <c r="BU24" s="40">
        <f>(s_C*s_IFP_far_adj*s_CF_far_poultry*up_RadSpec!AJ24*((s_Q_p_poultry*s_f_p_poultry*s_f_s_poultry*(up_RadSpec!AR24+s_R_es_past))+(s_Q_s_poultry*s_f_p_poultry)))</f>
        <v>48984375</v>
      </c>
      <c r="BV24" s="40">
        <f>(s_C*s_IFE_far_adj*s_CF_far_egg*up_RadSpec!AK24*((s_Q_p_egg*s_f_p_egg*s_f_s_egg*(up_RadSpec!$AR24+s_R_es_past))+(s_Q_s_egg*s_f_p_egg)))</f>
        <v>48984375</v>
      </c>
      <c r="BW24" s="40">
        <f>(s_C*s_IFGO_far_adj*s_CF_far_goat*up_RadSpec!AO24*((s_Q_p_goat*s_f_p_goat*s_f_s_goat*(up_RadSpec!$AR24+s_R_es_past))+(s_Q_s_goat*s_f_p_goat)))</f>
        <v>48984375</v>
      </c>
      <c r="BX24" s="40">
        <f>(s_C*s_IFGM_far_adj*s_CF_far_goat_milk*up_RadSpec!AP24*1/s_D_milk*((s_Q_p_goat_milk*s_f_p_goat_milk*s_f_s_goat_milk*(up_RadSpec!$AR24+s_R_es_past))+(s_Q_s_goat_milk*s_f_p_goat_milk)))</f>
        <v>47557645.631067954</v>
      </c>
      <c r="BY24" s="40">
        <f>(s_C*s_IFSH_far_adj*s_CF_far_sheep*up_RadSpec!AM24*((s_Q_p_sheep*s_f_p_sheep*s_f_s_sheep*(up_RadSpec!$AR24+s_R_es_past))+(s_Q_s_sheep*s_f_p_sheep)))</f>
        <v>48984375</v>
      </c>
      <c r="BZ24" s="40">
        <f>(s_C*s_IFSM_far_adj*s_CF_far_sheep_milk*up_RadSpec!AN24*1/s_D_milk*((s_Q_p_sheep_milk*s_f_p_sheep_milk*s_f_s_sheep_milk*(up_RadSpec!$AR24+s_R_es_past))+(s_Q_s_sheep_milk*s_f_p_sheep_milk)))</f>
        <v>47557645.631067954</v>
      </c>
      <c r="CA24" s="45"/>
      <c r="CB24" s="45"/>
      <c r="CC24" s="45"/>
      <c r="CD24" s="45"/>
      <c r="CE24" s="45"/>
      <c r="CF24" s="45"/>
      <c r="CG24" s="45"/>
      <c r="CH24" s="45"/>
      <c r="CI24" s="45"/>
      <c r="CJ24" s="45"/>
      <c r="CK24" s="45"/>
      <c r="CL24" s="45"/>
      <c r="CM24" s="45"/>
      <c r="CN24" s="45"/>
      <c r="CO24" s="15"/>
      <c r="CP24" s="15">
        <f>IFERROR(s_TR/(up_RadSpec!H24*s_IFW_far_adj),".")</f>
        <v>3.9999999999999996E-10</v>
      </c>
      <c r="CQ24" s="15" t="str">
        <f>IFERROR(IF(up_RadSpec!C24=1,s_TR/(up_RadSpec!G24*s_IFA_far_adj*s_K),"."),".")</f>
        <v>.</v>
      </c>
      <c r="CR24" s="15">
        <f>IFERROR((s_TR/(up_RadSpec!L24*(1/8760)*s_DFA_far_adj)),".")</f>
        <v>4.3800000000000004E-6</v>
      </c>
      <c r="CS24" s="15">
        <f>up_b2w!BA24</f>
        <v>1.8087754064641833E-11</v>
      </c>
      <c r="CT24" s="15">
        <f>IFERROR(I24/(up_RadSpec!AI24*(1/1000)),".")</f>
        <v>1.4545454545454544E-8</v>
      </c>
      <c r="CU24" s="15">
        <f>IFERROR(F24/(up_RadSpec!AH24*s_Q_w_beef*(1/1000)),".")</f>
        <v>2.9090909090909087E-9</v>
      </c>
      <c r="CV24" s="15">
        <f>IFERROR((G24*s_D_milk)/(up_RadSpec!AG24*s_Q_w_dairy*(1/1000)),".")</f>
        <v>2.9963636363636357E-9</v>
      </c>
      <c r="CW24" s="15">
        <f>IFERROR(H24/(up_RadSpec!AL24*s_Q_w_swine*(1/1000)),".")</f>
        <v>2.9090909090909087E-9</v>
      </c>
      <c r="CX24" s="15">
        <f>IFERROR(D24/(up_RadSpec!AJ24*s_Q_w_poultry*(1/1000)),".")</f>
        <v>2.9090909090909087E-9</v>
      </c>
      <c r="CY24" s="15">
        <f>IFERROR(E24/(up_RadSpec!AK24*s_Q_w_poultry*(1/1000)),".")</f>
        <v>2.9090909090909087E-9</v>
      </c>
      <c r="CZ24" s="15">
        <f>IFERROR(J24/(up_RadSpec!AO24*s_Q_w_goat*(1/1000)),".")</f>
        <v>2.9090909090909087E-9</v>
      </c>
      <c r="DA24" s="15">
        <f>IFERROR(L24*s_D_milk/(up_RadSpec!AP24*s_Q_w_goat_milk*(1/1000)),".")</f>
        <v>2.9963636363636357E-9</v>
      </c>
      <c r="DB24" s="15">
        <f>IFERROR(K24/(up_RadSpec!AM24*s_Q_w_sheep*(1/1000)),".")</f>
        <v>2.9090909090909087E-9</v>
      </c>
      <c r="DC24" s="15">
        <f>IFERROR(M24*s_D_milk/(up_RadSpec!AN24*s_Q_w_sheep_milk*(1/1000)),".")</f>
        <v>2.9963636363636357E-9</v>
      </c>
      <c r="DD24" s="120">
        <f t="shared" si="27"/>
        <v>2500000000</v>
      </c>
      <c r="DE24" s="120" t="str">
        <f t="shared" si="28"/>
        <v>.</v>
      </c>
      <c r="DF24" s="120">
        <f t="shared" si="29"/>
        <v>228310.50228310502</v>
      </c>
      <c r="DG24" s="120">
        <f t="shared" si="30"/>
        <v>55286023705.663513</v>
      </c>
      <c r="DH24" s="120">
        <f t="shared" si="31"/>
        <v>68750000</v>
      </c>
      <c r="DI24" s="120">
        <f t="shared" si="32"/>
        <v>343750000.00000006</v>
      </c>
      <c r="DJ24" s="120">
        <f t="shared" si="33"/>
        <v>333737864.07766998</v>
      </c>
      <c r="DK24" s="120">
        <f t="shared" si="34"/>
        <v>343750000.00000006</v>
      </c>
      <c r="DL24" s="120">
        <f t="shared" si="35"/>
        <v>343750000.00000006</v>
      </c>
      <c r="DM24" s="120">
        <f t="shared" si="36"/>
        <v>343750000.00000006</v>
      </c>
      <c r="DN24" s="120">
        <f t="shared" si="37"/>
        <v>343750000.00000006</v>
      </c>
      <c r="DO24" s="120">
        <f t="shared" si="38"/>
        <v>333737864.07766998</v>
      </c>
      <c r="DP24" s="120">
        <f t="shared" si="39"/>
        <v>343750000.00000006</v>
      </c>
      <c r="DQ24" s="120">
        <f t="shared" si="40"/>
        <v>333737864.07766998</v>
      </c>
      <c r="DR24" s="15">
        <f t="shared" si="41"/>
        <v>1.6415316541278672E-11</v>
      </c>
      <c r="DS24" s="40">
        <f t="shared" si="42"/>
        <v>2500</v>
      </c>
      <c r="DT24" s="40">
        <f t="shared" si="43"/>
        <v>455.72916666666663</v>
      </c>
      <c r="DU24" s="40">
        <f t="shared" si="44"/>
        <v>0.22831050228310501</v>
      </c>
      <c r="DV24" s="40">
        <f>up_b2w!BZ24</f>
        <v>55286.023705663516</v>
      </c>
      <c r="DW24" s="40">
        <f>IFERROR(s_C*up_RadSpec!AI24*(1/1000)*s_IFFI_far_adj*s_CF_far_fish,0)</f>
        <v>68.75</v>
      </c>
      <c r="DX24" s="40">
        <f>(s_C*s_IFB_far_adj*s_CF_far_beef*up_RadSpec!AH24*s_Q_w_beef*(1/1000))</f>
        <v>343.75</v>
      </c>
      <c r="DY24" s="40">
        <f>(s_C*s_IFD_far_adj*s_CF_far_dairy*up_RadSpec!AG24*(1/s_D_milk)*s_Q_w_dairy*(1/1000))</f>
        <v>333.73786407766988</v>
      </c>
      <c r="DZ24" s="40">
        <f>(s_C*s_IFSW_far_adj*s_CF_far_swine*up_RadSpec!AL24*s_Q_w_swine*(1/1000))</f>
        <v>343.75</v>
      </c>
      <c r="EA24" s="40">
        <f>(s_C*s_IFP_far_adj*s_CF_far_poultry*up_RadSpec!AJ24*s_Q_w_poultry*(1/1000))</f>
        <v>343.75</v>
      </c>
      <c r="EB24" s="40">
        <f>(s_C*s_IFE_far_adj*s_CF_far_egg*up_RadSpec!AK24*s_Q_w_egg*(1/1000))</f>
        <v>343.75</v>
      </c>
      <c r="EC24" s="40">
        <f>(s_C*s_IFGO_far_adj*s_CF_far_goat*up_RadSpec!AO24*s_Q_p_goat*(1/1000))</f>
        <v>343.75</v>
      </c>
      <c r="ED24" s="40">
        <f>(s_C*s_IFGM_far_adj*s_CF_far_goat_milk*up_RadSpec!AP24*(1/s_D_milk)*s_Q_p_goat_milk*(1/1000))</f>
        <v>333.73786407766988</v>
      </c>
      <c r="EE24" s="40">
        <f>(s_C*s_IFSH_far_adj*s_CF_far_sheep*up_RadSpec!AM24*s_Q_p_sheep*(1/1000))</f>
        <v>343.75</v>
      </c>
      <c r="EF24" s="40">
        <f>(s_C*s_IFSM_far_adj*s_CF_far_sheep_milk*up_RadSpec!AN24*(1/s_D_milk)*s_Q_p_sheep_milk*(1/1000))</f>
        <v>333.73786407766988</v>
      </c>
      <c r="EG24" s="18"/>
      <c r="EH24" s="18"/>
      <c r="EI24" s="18"/>
      <c r="EJ24" s="18"/>
      <c r="EK24" s="18"/>
      <c r="EL24" s="18"/>
      <c r="EM24" s="18"/>
      <c r="EN24" s="18"/>
      <c r="EO24" s="18"/>
      <c r="EP24" s="18"/>
      <c r="EQ24" s="18"/>
      <c r="ER24" s="18"/>
      <c r="ES24" s="18"/>
      <c r="ET24" s="18"/>
      <c r="EU24" s="5"/>
      <c r="EV24" s="15">
        <f>IFERROR((s_TR/(up_RadSpec!G24*s_IFA_far_adj)),".")</f>
        <v>1.0971428571428573E-9</v>
      </c>
      <c r="EW24" s="15">
        <f>IFERROR((s_TR/(up_RadSpec!J24*s_EF_far*(1/365)*s_ED_far*s_ET_far*(1/24)*s_GSF_a)),".")</f>
        <v>1.7520000000000001E-6</v>
      </c>
      <c r="EX24" s="15">
        <f t="shared" si="48"/>
        <v>1.0964562309317064E-9</v>
      </c>
      <c r="EY24" s="40">
        <f t="shared" si="46"/>
        <v>911.45833333333326</v>
      </c>
      <c r="EZ24" s="40">
        <f t="shared" si="47"/>
        <v>0.57077625570776247</v>
      </c>
      <c r="FA24" s="122"/>
      <c r="FB24" s="122"/>
      <c r="FC24" s="122"/>
    </row>
    <row r="25" spans="1:159" customFormat="1" x14ac:dyDescent="0.25">
      <c r="A25" s="46" t="s">
        <v>35</v>
      </c>
      <c r="B25" s="42" t="s">
        <v>351</v>
      </c>
      <c r="C25" s="15">
        <f>up_dir!AB25</f>
        <v>1.8181818181818181E-11</v>
      </c>
      <c r="D25" s="15">
        <f>IFERROR(s_TR/(up_RadSpec!E25*s_IFP_far_adj*s_CF_far_poultry),".")</f>
        <v>7.2727272727272723E-11</v>
      </c>
      <c r="E25" s="15">
        <f>IFERROR(s_TR/(up_RadSpec!E25*s_IFE_far_adj*s_CF_far_egg),".")</f>
        <v>7.2727272727272723E-11</v>
      </c>
      <c r="F25" s="15">
        <f>IFERROR(s_TR/(up_RadSpec!E25*s_IFB_far_adj*s_CF_far_beef),".")</f>
        <v>7.2727272727272723E-11</v>
      </c>
      <c r="G25" s="15">
        <f>IFERROR(s_TR/(up_RadSpec!E25*s_IFD_far_adj*s_CF_far_dairy),".")</f>
        <v>7.2727272727272723E-11</v>
      </c>
      <c r="H25" s="15">
        <f>IFERROR(s_TR/(up_RadSpec!E25*s_IFSW_far_adj*s_CF_far_swine),".")</f>
        <v>7.2727272727272723E-11</v>
      </c>
      <c r="I25" s="15">
        <f>IFERROR(s_TR/(up_RadSpec!E25*s_IFFI_far_adj*s_CF_far_fish),".")</f>
        <v>7.2727272727272723E-11</v>
      </c>
      <c r="J25" s="15">
        <f>IFERROR(s_TR/(up_RadSpec!E25*s_IFGO_far_adj*s_CF_far_goat),".")</f>
        <v>7.2727272727272723E-11</v>
      </c>
      <c r="K25" s="15">
        <f>IFERROR(s_TR/(up_RadSpec!E25*s_IFSH_far_adj*s_CF_far_sheep),".")</f>
        <v>7.2727272727272723E-11</v>
      </c>
      <c r="L25" s="15">
        <f>IFERROR(s_TR/(up_RadSpec!E25*s_IFGM_far_adj*s_CF_far_goat_milk),".")</f>
        <v>7.2727272727272723E-11</v>
      </c>
      <c r="M25" s="15">
        <f>IFERROR(s_TR/(up_RadSpec!E25*s_IFSM_far_adj*s_CF_far_sheep_milk),".")</f>
        <v>7.2727272727272723E-11</v>
      </c>
      <c r="N25" s="40">
        <f>up_dir!BA25</f>
        <v>55000</v>
      </c>
      <c r="O25" s="40">
        <f t="shared" si="0"/>
        <v>13750</v>
      </c>
      <c r="P25" s="40">
        <f t="shared" si="1"/>
        <v>13750</v>
      </c>
      <c r="Q25" s="40">
        <f t="shared" si="2"/>
        <v>13750</v>
      </c>
      <c r="R25" s="40">
        <f t="shared" si="3"/>
        <v>13750</v>
      </c>
      <c r="S25" s="40">
        <f t="shared" si="4"/>
        <v>13750</v>
      </c>
      <c r="T25" s="40">
        <f t="shared" si="5"/>
        <v>13750</v>
      </c>
      <c r="U25" s="40">
        <f t="shared" si="6"/>
        <v>13750</v>
      </c>
      <c r="V25" s="40">
        <f t="shared" si="7"/>
        <v>13750</v>
      </c>
      <c r="W25" s="40">
        <f t="shared" si="8"/>
        <v>13750</v>
      </c>
      <c r="X25" s="40">
        <f t="shared" si="9"/>
        <v>13750</v>
      </c>
      <c r="Y25" s="5"/>
      <c r="Z25" s="5"/>
      <c r="AA25" s="5"/>
      <c r="AB25" s="5"/>
      <c r="AC25" s="5"/>
      <c r="AD25" s="5"/>
      <c r="AE25" s="5"/>
      <c r="AF25" s="5"/>
      <c r="AG25" s="5"/>
      <c r="AH25" s="5"/>
      <c r="AI25" s="5"/>
      <c r="AJ25" s="45">
        <f>IFERROR((s_TR/(up_RadSpec!D25*s_IFS_far_adj*(1/1000)))*1,".")</f>
        <v>3.6363636363636363E-8</v>
      </c>
      <c r="AK25" s="45">
        <f>IFERROR(IF(A25="H-3",(s_TR/(up_RadSpec!G25*s_IFA_far_adj*(1/17)*1000))*1,(s_TR/(up_RadSpec!G25*s_IFA_far_adj*(1/s_PEF_wind)*1000))*1),".")</f>
        <v>3.3989909629864073E-4</v>
      </c>
      <c r="AL25" s="45">
        <f>IFERROR((s_TR/(up_RadSpec!F25*s_EF_far*(1/365)*s_ED_far*up_RadSpec!Q25*((s_ET_far_o*(1/24)*up_RadSpec!V25)+(s_ET_far_i*(1/24)*up_RadSpec!AA25))))*1,".")</f>
        <v>2.345381526104418E-5</v>
      </c>
      <c r="AM25" s="45">
        <f>up_b2s!BA25</f>
        <v>3.6265718922545492E-12</v>
      </c>
      <c r="AN25" s="45">
        <f>IFERROR(((I25*up_RadSpec!AS25)/up_RadSpec!AI25)*1,".")</f>
        <v>7.2727272727272723E-11</v>
      </c>
      <c r="AO25" s="45">
        <f>IFERROR((F25/(up_RadSpec!AH25*((s_Q_p_beef*s_f_p_beef*s_f_s_beef*(up_RadSpec!BB25+s_R_es_past))+(s_Q_s_beef*s_f_p_beef))))*1,".")</f>
        <v>2.0414673046251994E-14</v>
      </c>
      <c r="AP25" s="45">
        <f>IFERROR(((G25*s_D_milk)/(up_RadSpec!AG25*((s_Q_p_dairy*s_f_p_dairy*s_f_s_dairy*(up_RadSpec!BB25+s_R_es_past))+(s_Q_s_dairy*s_f_p_dairy))))*1,".")</f>
        <v>2.102711323763955E-14</v>
      </c>
      <c r="AQ25" s="45">
        <f>IFERROR((H25/(up_RadSpec!AL25*((s_Q_p_swine*s_f_p_swine*s_f_s_swine*(up_RadSpec!BB25+s_R_es_past))+(s_Q_s_swine*s_f_p_swine))))*1,".")</f>
        <v>2.0414673046251994E-14</v>
      </c>
      <c r="AR25" s="45">
        <f>IFERROR((D25/(up_RadSpec!AJ25*((s_Q_p_poultry*s_f_p_poultry*s_f_s_poultry*(up_RadSpec!BB25+s_R_es_past))+(s_Q_s_poultry*s_f_p_poultry))))*1,".")</f>
        <v>2.0414673046251994E-14</v>
      </c>
      <c r="AS25" s="45">
        <f>IFERROR((E25/(up_RadSpec!AK25*((s_Q_p_poultry*s_f_p_poultry*s_f_s_poultry*(up_RadSpec!BB25+s_R_es_past))+(s_Q_s_poultry*s_f_p_poultry))))*1,".")</f>
        <v>2.0414673046251994E-14</v>
      </c>
      <c r="AT25" s="45">
        <f>IFERROR((J25/(up_RadSpec!AO25*((s_Q_p_goat*s_f_p_goat*s_f_s_goat*(up_RadSpec!BB25+s_R_es_past))+(s_Q_s_goat*s_f_p_goat))))*1,".")</f>
        <v>2.0414673046251994E-14</v>
      </c>
      <c r="AU25" s="45">
        <f>IFERROR((L25*s_D_milk/(up_RadSpec!AP25*((s_Q_p_goat_milk*s_f_p_goat_milk*s_f_s_goat_milk*(up_RadSpec!BB25+s_R_es_past))+(s_Q_s_goat_milk*s_f_p_goat_milk))))*1,".")</f>
        <v>2.102711323763955E-14</v>
      </c>
      <c r="AV25" s="45">
        <f>IFERROR((K25/(up_RadSpec!AM25*((s_Q_p_sheep*s_f_p_sheep*s_f_s_sheep*(up_RadSpec!BB25+s_R_es_past))+(s_Q_s_sheep*s_f_p_sheep))))*1,".")</f>
        <v>2.0414673046251994E-14</v>
      </c>
      <c r="AW25" s="45">
        <f>IFERROR((M25*s_D_milk/(up_RadSpec!AN25*((s_Q_p_sheep_milk*s_f_p_sheep_milk*s_f_s_sheep_milk*(up_RadSpec!BB25+s_R_es_past))+(s_Q_s_sheep_milk*s_f_p_sheep_milk))))*1,".")</f>
        <v>2.102711323763955E-14</v>
      </c>
      <c r="AX25" s="120">
        <f t="shared" si="10"/>
        <v>27500000</v>
      </c>
      <c r="AY25" s="120">
        <f t="shared" si="11"/>
        <v>2942.0495991003877</v>
      </c>
      <c r="AZ25" s="120">
        <f t="shared" si="12"/>
        <v>42636.986301369856</v>
      </c>
      <c r="BA25" s="120">
        <f t="shared" si="13"/>
        <v>275742500000</v>
      </c>
      <c r="BB25" s="120">
        <f t="shared" si="14"/>
        <v>13750000000</v>
      </c>
      <c r="BC25" s="120">
        <f t="shared" si="15"/>
        <v>48984375000000</v>
      </c>
      <c r="BD25" s="120">
        <f t="shared" si="16"/>
        <v>47557645631067.969</v>
      </c>
      <c r="BE25" s="120">
        <f t="shared" si="17"/>
        <v>48984375000000</v>
      </c>
      <c r="BF25" s="120">
        <f t="shared" si="18"/>
        <v>48984375000000</v>
      </c>
      <c r="BG25" s="120">
        <f t="shared" si="19"/>
        <v>48984375000000</v>
      </c>
      <c r="BH25" s="120">
        <f t="shared" si="20"/>
        <v>48984375000000</v>
      </c>
      <c r="BI25" s="120">
        <f t="shared" si="21"/>
        <v>47557645631067.969</v>
      </c>
      <c r="BJ25" s="120">
        <f t="shared" si="22"/>
        <v>48984375000000</v>
      </c>
      <c r="BK25" s="120">
        <f t="shared" si="23"/>
        <v>47557645631067.969</v>
      </c>
      <c r="BL25" s="15">
        <f t="shared" si="24"/>
        <v>2.2890172358811836E-15</v>
      </c>
      <c r="BM25" s="40">
        <f t="shared" si="25"/>
        <v>27.5</v>
      </c>
      <c r="BN25" s="40">
        <f t="shared" si="26"/>
        <v>2.9420495991003873E-3</v>
      </c>
      <c r="BO25" s="40">
        <f>IFERROR((s_C*s_EF_far*(1/365)*s_ED_far*up_RadSpec!Q25*((s_ET_far_o*(1/24)*up_RadSpec!V25)+(s_ET_far_i*(1/24)*up_RadSpec!AA25))),".")</f>
        <v>4.2636986301369854E-2</v>
      </c>
      <c r="BP25" s="40">
        <f>up_b2s!BZ25</f>
        <v>275742.5</v>
      </c>
      <c r="BQ25" s="40">
        <f>IFERROR(((s_C*up_RadSpec!AI25)/up_RadSpec!AS25)*s_IFFI_far_adj*s_CF_far_fish,0)</f>
        <v>13750</v>
      </c>
      <c r="BR25" s="40">
        <f>(s_C*s_IFB_far_adj*s_CF_far_beef*up_RadSpec!AH25*((s_Q_p_beef*s_f_p_beef*s_f_s_beef*(up_RadSpec!$AR25+s_R_es_past))+(s_Q_s_beef*s_f_p_beef)))</f>
        <v>48984375</v>
      </c>
      <c r="BS25" s="40">
        <f>(s_C*s_IFD_far_adj*s_CF_far_dairy*up_RadSpec!AG25*1/s_D_milk*((s_Q_p_dairy*s_f_p_dairy*s_f_s_dairy*(up_RadSpec!$AR25+s_R_es_past))+(s_Q_s_dairy*s_f_p_dairy)))</f>
        <v>47557645.631067954</v>
      </c>
      <c r="BT25" s="40">
        <f>(s_C*s_IFSW_far_adj*s_CF_far_swine*up_RadSpec!AL25*((s_Q_p_swine*s_f_p_swine*s_f_s_swine*(up_RadSpec!$AR25+s_R_es_past))+(s_Q_s_swine*s_f_p_swine)))</f>
        <v>48984375</v>
      </c>
      <c r="BU25" s="40">
        <f>(s_C*s_IFP_far_adj*s_CF_far_poultry*up_RadSpec!AJ25*((s_Q_p_poultry*s_f_p_poultry*s_f_s_poultry*(up_RadSpec!AR25+s_R_es_past))+(s_Q_s_poultry*s_f_p_poultry)))</f>
        <v>48984375</v>
      </c>
      <c r="BV25" s="40">
        <f>(s_C*s_IFE_far_adj*s_CF_far_egg*up_RadSpec!AK25*((s_Q_p_egg*s_f_p_egg*s_f_s_egg*(up_RadSpec!$AR25+s_R_es_past))+(s_Q_s_egg*s_f_p_egg)))</f>
        <v>48984375</v>
      </c>
      <c r="BW25" s="40">
        <f>(s_C*s_IFGO_far_adj*s_CF_far_goat*up_RadSpec!AO25*((s_Q_p_goat*s_f_p_goat*s_f_s_goat*(up_RadSpec!$AR25+s_R_es_past))+(s_Q_s_goat*s_f_p_goat)))</f>
        <v>48984375</v>
      </c>
      <c r="BX25" s="40">
        <f>(s_C*s_IFGM_far_adj*s_CF_far_goat_milk*up_RadSpec!AP25*1/s_D_milk*((s_Q_p_goat_milk*s_f_p_goat_milk*s_f_s_goat_milk*(up_RadSpec!$AR25+s_R_es_past))+(s_Q_s_goat_milk*s_f_p_goat_milk)))</f>
        <v>47557645.631067954</v>
      </c>
      <c r="BY25" s="40">
        <f>(s_C*s_IFSH_far_adj*s_CF_far_sheep*up_RadSpec!AM25*((s_Q_p_sheep*s_f_p_sheep*s_f_s_sheep*(up_RadSpec!$AR25+s_R_es_past))+(s_Q_s_sheep*s_f_p_sheep)))</f>
        <v>48984375</v>
      </c>
      <c r="BZ25" s="40">
        <f>(s_C*s_IFSM_far_adj*s_CF_far_sheep_milk*up_RadSpec!AN25*1/s_D_milk*((s_Q_p_sheep_milk*s_f_p_sheep_milk*s_f_s_sheep_milk*(up_RadSpec!$AR25+s_R_es_past))+(s_Q_s_sheep_milk*s_f_p_sheep_milk)))</f>
        <v>47557645.631067954</v>
      </c>
      <c r="CA25" s="45"/>
      <c r="CB25" s="45"/>
      <c r="CC25" s="45"/>
      <c r="CD25" s="45"/>
      <c r="CE25" s="45"/>
      <c r="CF25" s="45"/>
      <c r="CG25" s="45"/>
      <c r="CH25" s="45"/>
      <c r="CI25" s="45"/>
      <c r="CJ25" s="45"/>
      <c r="CK25" s="45"/>
      <c r="CL25" s="45"/>
      <c r="CM25" s="45"/>
      <c r="CN25" s="45"/>
      <c r="CO25" s="15"/>
      <c r="CP25" s="15">
        <f>IFERROR(s_TR/(up_RadSpec!H25*s_IFW_far_adj),".")</f>
        <v>3.9999999999999996E-10</v>
      </c>
      <c r="CQ25" s="15">
        <f>IFERROR(IF(up_RadSpec!C25=1,s_TR/(up_RadSpec!G25*s_IFA_far_adj*s_K),"."),".")</f>
        <v>2.1942857142857146E-9</v>
      </c>
      <c r="CR25" s="15">
        <f>IFERROR((s_TR/(up_RadSpec!L25*(1/8760)*s_DFA_far_adj)),".")</f>
        <v>4.3800000000000004E-6</v>
      </c>
      <c r="CS25" s="15">
        <f>up_b2w!BA25</f>
        <v>1.8087754064641833E-11</v>
      </c>
      <c r="CT25" s="15">
        <f>IFERROR(I25/(up_RadSpec!AI25*(1/1000)),".")</f>
        <v>1.4545454545454544E-8</v>
      </c>
      <c r="CU25" s="15">
        <f>IFERROR(F25/(up_RadSpec!AH25*s_Q_w_beef*(1/1000)),".")</f>
        <v>2.9090909090909087E-9</v>
      </c>
      <c r="CV25" s="15">
        <f>IFERROR((G25*s_D_milk)/(up_RadSpec!AG25*s_Q_w_dairy*(1/1000)),".")</f>
        <v>2.9963636363636357E-9</v>
      </c>
      <c r="CW25" s="15">
        <f>IFERROR(H25/(up_RadSpec!AL25*s_Q_w_swine*(1/1000)),".")</f>
        <v>2.9090909090909087E-9</v>
      </c>
      <c r="CX25" s="15">
        <f>IFERROR(D25/(up_RadSpec!AJ25*s_Q_w_poultry*(1/1000)),".")</f>
        <v>2.9090909090909087E-9</v>
      </c>
      <c r="CY25" s="15">
        <f>IFERROR(E25/(up_RadSpec!AK25*s_Q_w_poultry*(1/1000)),".")</f>
        <v>2.9090909090909087E-9</v>
      </c>
      <c r="CZ25" s="15">
        <f>IFERROR(J25/(up_RadSpec!AO25*s_Q_w_goat*(1/1000)),".")</f>
        <v>2.9090909090909087E-9</v>
      </c>
      <c r="DA25" s="15">
        <f>IFERROR(L25*s_D_milk/(up_RadSpec!AP25*s_Q_w_goat_milk*(1/1000)),".")</f>
        <v>2.9963636363636357E-9</v>
      </c>
      <c r="DB25" s="15">
        <f>IFERROR(K25/(up_RadSpec!AM25*s_Q_w_sheep*(1/1000)),".")</f>
        <v>2.9090909090909087E-9</v>
      </c>
      <c r="DC25" s="15">
        <f>IFERROR(M25*s_D_milk/(up_RadSpec!AN25*s_Q_w_sheep_milk*(1/1000)),".")</f>
        <v>2.9963636363636357E-9</v>
      </c>
      <c r="DD25" s="120">
        <f t="shared" si="27"/>
        <v>2500000000</v>
      </c>
      <c r="DE25" s="120">
        <f t="shared" si="28"/>
        <v>455729166.66666663</v>
      </c>
      <c r="DF25" s="120">
        <f t="shared" si="29"/>
        <v>228310.50228310502</v>
      </c>
      <c r="DG25" s="120">
        <f t="shared" si="30"/>
        <v>55286023705.663513</v>
      </c>
      <c r="DH25" s="120">
        <f t="shared" si="31"/>
        <v>68750000</v>
      </c>
      <c r="DI25" s="120">
        <f t="shared" si="32"/>
        <v>343750000.00000006</v>
      </c>
      <c r="DJ25" s="120">
        <f t="shared" si="33"/>
        <v>333737864.07766998</v>
      </c>
      <c r="DK25" s="120">
        <f t="shared" si="34"/>
        <v>343750000.00000006</v>
      </c>
      <c r="DL25" s="120">
        <f t="shared" si="35"/>
        <v>343750000.00000006</v>
      </c>
      <c r="DM25" s="120">
        <f t="shared" si="36"/>
        <v>343750000.00000006</v>
      </c>
      <c r="DN25" s="120">
        <f t="shared" si="37"/>
        <v>343750000.00000006</v>
      </c>
      <c r="DO25" s="120">
        <f t="shared" si="38"/>
        <v>333737864.07766998</v>
      </c>
      <c r="DP25" s="120">
        <f t="shared" si="39"/>
        <v>343750000.00000006</v>
      </c>
      <c r="DQ25" s="120">
        <f t="shared" si="40"/>
        <v>333737864.07766998</v>
      </c>
      <c r="DR25" s="15">
        <f t="shared" si="41"/>
        <v>1.6293426419822685E-11</v>
      </c>
      <c r="DS25" s="40">
        <f t="shared" si="42"/>
        <v>2500</v>
      </c>
      <c r="DT25" s="40">
        <f t="shared" si="43"/>
        <v>455.72916666666663</v>
      </c>
      <c r="DU25" s="40">
        <f t="shared" si="44"/>
        <v>0.22831050228310501</v>
      </c>
      <c r="DV25" s="40">
        <f>up_b2w!BZ25</f>
        <v>55286.023705663516</v>
      </c>
      <c r="DW25" s="40">
        <f>IFERROR(s_C*up_RadSpec!AI25*(1/1000)*s_IFFI_far_adj*s_CF_far_fish,0)</f>
        <v>68.75</v>
      </c>
      <c r="DX25" s="40">
        <f>(s_C*s_IFB_far_adj*s_CF_far_beef*up_RadSpec!AH25*s_Q_w_beef*(1/1000))</f>
        <v>343.75</v>
      </c>
      <c r="DY25" s="40">
        <f>(s_C*s_IFD_far_adj*s_CF_far_dairy*up_RadSpec!AG25*(1/s_D_milk)*s_Q_w_dairy*(1/1000))</f>
        <v>333.73786407766988</v>
      </c>
      <c r="DZ25" s="40">
        <f>(s_C*s_IFSW_far_adj*s_CF_far_swine*up_RadSpec!AL25*s_Q_w_swine*(1/1000))</f>
        <v>343.75</v>
      </c>
      <c r="EA25" s="40">
        <f>(s_C*s_IFP_far_adj*s_CF_far_poultry*up_RadSpec!AJ25*s_Q_w_poultry*(1/1000))</f>
        <v>343.75</v>
      </c>
      <c r="EB25" s="40">
        <f>(s_C*s_IFE_far_adj*s_CF_far_egg*up_RadSpec!AK25*s_Q_w_egg*(1/1000))</f>
        <v>343.75</v>
      </c>
      <c r="EC25" s="40">
        <f>(s_C*s_IFGO_far_adj*s_CF_far_goat*up_RadSpec!AO25*s_Q_p_goat*(1/1000))</f>
        <v>343.75</v>
      </c>
      <c r="ED25" s="40">
        <f>(s_C*s_IFGM_far_adj*s_CF_far_goat_milk*up_RadSpec!AP25*(1/s_D_milk)*s_Q_p_goat_milk*(1/1000))</f>
        <v>333.73786407766988</v>
      </c>
      <c r="EE25" s="40">
        <f>(s_C*s_IFSH_far_adj*s_CF_far_sheep*up_RadSpec!AM25*s_Q_p_sheep*(1/1000))</f>
        <v>343.75</v>
      </c>
      <c r="EF25" s="40">
        <f>(s_C*s_IFSM_far_adj*s_CF_far_sheep_milk*up_RadSpec!AN25*(1/s_D_milk)*s_Q_p_sheep_milk*(1/1000))</f>
        <v>333.73786407766988</v>
      </c>
      <c r="EG25" s="18"/>
      <c r="EH25" s="18"/>
      <c r="EI25" s="18"/>
      <c r="EJ25" s="18"/>
      <c r="EK25" s="18"/>
      <c r="EL25" s="18"/>
      <c r="EM25" s="18"/>
      <c r="EN25" s="18"/>
      <c r="EO25" s="18"/>
      <c r="EP25" s="18"/>
      <c r="EQ25" s="18"/>
      <c r="ER25" s="18"/>
      <c r="ES25" s="18"/>
      <c r="ET25" s="18"/>
      <c r="EU25" s="5"/>
      <c r="EV25" s="15">
        <f>IFERROR((s_TR/(up_RadSpec!G25*s_IFA_far_adj)),".")</f>
        <v>1.0971428571428573E-9</v>
      </c>
      <c r="EW25" s="15">
        <f>IFERROR((s_TR/(up_RadSpec!J25*s_EF_far*(1/365)*s_ED_far*s_ET_far*(1/24)*s_GSF_a)),".")</f>
        <v>1.7520000000000001E-6</v>
      </c>
      <c r="EX25" s="15">
        <f t="shared" si="48"/>
        <v>1.0964562309317064E-9</v>
      </c>
      <c r="EY25" s="40">
        <f t="shared" si="46"/>
        <v>911.45833333333326</v>
      </c>
      <c r="EZ25" s="40">
        <f t="shared" si="47"/>
        <v>0.57077625570776247</v>
      </c>
      <c r="FA25" s="122"/>
      <c r="FB25" s="122"/>
      <c r="FC25" s="122"/>
    </row>
    <row r="26" spans="1:159" customFormat="1" x14ac:dyDescent="0.25">
      <c r="A26" s="44" t="s">
        <v>36</v>
      </c>
      <c r="B26" s="42" t="s">
        <v>1074</v>
      </c>
      <c r="C26" s="15">
        <f>up_dir!AB26</f>
        <v>1.8181818181818181E-11</v>
      </c>
      <c r="D26" s="15">
        <f>IFERROR(s_TR/(up_RadSpec!E26*s_IFP_far_adj*s_CF_far_poultry),".")</f>
        <v>7.2727272727272723E-11</v>
      </c>
      <c r="E26" s="15">
        <f>IFERROR(s_TR/(up_RadSpec!E26*s_IFE_far_adj*s_CF_far_egg),".")</f>
        <v>7.2727272727272723E-11</v>
      </c>
      <c r="F26" s="15">
        <f>IFERROR(s_TR/(up_RadSpec!E26*s_IFB_far_adj*s_CF_far_beef),".")</f>
        <v>7.2727272727272723E-11</v>
      </c>
      <c r="G26" s="15">
        <f>IFERROR(s_TR/(up_RadSpec!E26*s_IFD_far_adj*s_CF_far_dairy),".")</f>
        <v>7.2727272727272723E-11</v>
      </c>
      <c r="H26" s="15">
        <f>IFERROR(s_TR/(up_RadSpec!E26*s_IFSW_far_adj*s_CF_far_swine),".")</f>
        <v>7.2727272727272723E-11</v>
      </c>
      <c r="I26" s="15">
        <f>IFERROR(s_TR/(up_RadSpec!E26*s_IFFI_far_adj*s_CF_far_fish),".")</f>
        <v>7.2727272727272723E-11</v>
      </c>
      <c r="J26" s="15">
        <f>IFERROR(s_TR/(up_RadSpec!E26*s_IFGO_far_adj*s_CF_far_goat),".")</f>
        <v>7.2727272727272723E-11</v>
      </c>
      <c r="K26" s="15">
        <f>IFERROR(s_TR/(up_RadSpec!E26*s_IFSH_far_adj*s_CF_far_sheep),".")</f>
        <v>7.2727272727272723E-11</v>
      </c>
      <c r="L26" s="15">
        <f>IFERROR(s_TR/(up_RadSpec!E26*s_IFGM_far_adj*s_CF_far_goat_milk),".")</f>
        <v>7.2727272727272723E-11</v>
      </c>
      <c r="M26" s="15">
        <f>IFERROR(s_TR/(up_RadSpec!E26*s_IFSM_far_adj*s_CF_far_sheep_milk),".")</f>
        <v>7.2727272727272723E-11</v>
      </c>
      <c r="N26" s="40">
        <f>up_dir!BA26</f>
        <v>55000</v>
      </c>
      <c r="O26" s="40">
        <f t="shared" si="0"/>
        <v>13750</v>
      </c>
      <c r="P26" s="40">
        <f t="shared" si="1"/>
        <v>13750</v>
      </c>
      <c r="Q26" s="40">
        <f t="shared" si="2"/>
        <v>13750</v>
      </c>
      <c r="R26" s="40">
        <f t="shared" si="3"/>
        <v>13750</v>
      </c>
      <c r="S26" s="40">
        <f t="shared" si="4"/>
        <v>13750</v>
      </c>
      <c r="T26" s="40">
        <f t="shared" si="5"/>
        <v>13750</v>
      </c>
      <c r="U26" s="40">
        <f t="shared" si="6"/>
        <v>13750</v>
      </c>
      <c r="V26" s="40">
        <f t="shared" si="7"/>
        <v>13750</v>
      </c>
      <c r="W26" s="40">
        <f t="shared" si="8"/>
        <v>13750</v>
      </c>
      <c r="X26" s="40">
        <f t="shared" si="9"/>
        <v>13750</v>
      </c>
      <c r="Y26" s="5"/>
      <c r="Z26" s="5"/>
      <c r="AA26" s="5"/>
      <c r="AB26" s="5"/>
      <c r="AC26" s="5"/>
      <c r="AD26" s="5"/>
      <c r="AE26" s="5"/>
      <c r="AF26" s="5"/>
      <c r="AG26" s="5"/>
      <c r="AH26" s="5"/>
      <c r="AI26" s="5"/>
      <c r="AJ26" s="45">
        <f>IFERROR((s_TR/(up_RadSpec!D26*s_IFS_far_adj*(1/1000)))*1,".")</f>
        <v>3.6363636363636363E-8</v>
      </c>
      <c r="AK26" s="45">
        <f>IFERROR(IF(A26="H-3",(s_TR/(up_RadSpec!G26*s_IFA_far_adj*(1/17)*1000))*1,(s_TR/(up_RadSpec!G26*s_IFA_far_adj*(1/s_PEF_wind)*1000))*1),".")</f>
        <v>3.3989909629864073E-4</v>
      </c>
      <c r="AL26" s="45">
        <f>IFERROR((s_TR/(up_RadSpec!F26*s_EF_far*(1/365)*s_ED_far*up_RadSpec!Q26*((s_ET_far_o*(1/24)*up_RadSpec!V26)+(s_ET_far_i*(1/24)*up_RadSpec!AA26))))*1,".")</f>
        <v>1.2787414965986392E-4</v>
      </c>
      <c r="AM26" s="45">
        <f>up_b2s!BA26</f>
        <v>3.6265718922545492E-12</v>
      </c>
      <c r="AN26" s="45">
        <f>IFERROR(((I26*up_RadSpec!AS26)/up_RadSpec!AI26)*1,".")</f>
        <v>7.2727272727272723E-11</v>
      </c>
      <c r="AO26" s="45">
        <f>IFERROR((F26/(up_RadSpec!AH26*((s_Q_p_beef*s_f_p_beef*s_f_s_beef*(up_RadSpec!BB26+s_R_es_past))+(s_Q_s_beef*s_f_p_beef))))*1,".")</f>
        <v>2.0414673046251994E-14</v>
      </c>
      <c r="AP26" s="45">
        <f>IFERROR(((G26*s_D_milk)/(up_RadSpec!AG26*((s_Q_p_dairy*s_f_p_dairy*s_f_s_dairy*(up_RadSpec!BB26+s_R_es_past))+(s_Q_s_dairy*s_f_p_dairy))))*1,".")</f>
        <v>2.102711323763955E-14</v>
      </c>
      <c r="AQ26" s="45">
        <f>IFERROR((H26/(up_RadSpec!AL26*((s_Q_p_swine*s_f_p_swine*s_f_s_swine*(up_RadSpec!BB26+s_R_es_past))+(s_Q_s_swine*s_f_p_swine))))*1,".")</f>
        <v>2.0414673046251994E-14</v>
      </c>
      <c r="AR26" s="45">
        <f>IFERROR((D26/(up_RadSpec!AJ26*((s_Q_p_poultry*s_f_p_poultry*s_f_s_poultry*(up_RadSpec!BB26+s_R_es_past))+(s_Q_s_poultry*s_f_p_poultry))))*1,".")</f>
        <v>2.0414673046251994E-14</v>
      </c>
      <c r="AS26" s="45">
        <f>IFERROR((E26/(up_RadSpec!AK26*((s_Q_p_poultry*s_f_p_poultry*s_f_s_poultry*(up_RadSpec!BB26+s_R_es_past))+(s_Q_s_poultry*s_f_p_poultry))))*1,".")</f>
        <v>2.0414673046251994E-14</v>
      </c>
      <c r="AT26" s="45">
        <f>IFERROR((J26/(up_RadSpec!AO26*((s_Q_p_goat*s_f_p_goat*s_f_s_goat*(up_RadSpec!BB26+s_R_es_past))+(s_Q_s_goat*s_f_p_goat))))*1,".")</f>
        <v>2.0414673046251994E-14</v>
      </c>
      <c r="AU26" s="45">
        <f>IFERROR((L26*s_D_milk/(up_RadSpec!AP26*((s_Q_p_goat_milk*s_f_p_goat_milk*s_f_s_goat_milk*(up_RadSpec!BB26+s_R_es_past))+(s_Q_s_goat_milk*s_f_p_goat_milk))))*1,".")</f>
        <v>2.102711323763955E-14</v>
      </c>
      <c r="AV26" s="45">
        <f>IFERROR((K26/(up_RadSpec!AM26*((s_Q_p_sheep*s_f_p_sheep*s_f_s_sheep*(up_RadSpec!BB26+s_R_es_past))+(s_Q_s_sheep*s_f_p_sheep))))*1,".")</f>
        <v>2.0414673046251994E-14</v>
      </c>
      <c r="AW26" s="45">
        <f>IFERROR((M26*s_D_milk/(up_RadSpec!AN26*((s_Q_p_sheep_milk*s_f_p_sheep_milk*s_f_s_sheep_milk*(up_RadSpec!BB26+s_R_es_past))+(s_Q_s_sheep_milk*s_f_p_sheep_milk))))*1,".")</f>
        <v>2.102711323763955E-14</v>
      </c>
      <c r="AX26" s="120">
        <f t="shared" si="10"/>
        <v>27500000</v>
      </c>
      <c r="AY26" s="120">
        <f t="shared" si="11"/>
        <v>2942.0495991003877</v>
      </c>
      <c r="AZ26" s="120">
        <f t="shared" si="12"/>
        <v>7820.1888549009191</v>
      </c>
      <c r="BA26" s="120">
        <f t="shared" si="13"/>
        <v>275742500000</v>
      </c>
      <c r="BB26" s="120">
        <f t="shared" si="14"/>
        <v>13750000000</v>
      </c>
      <c r="BC26" s="120">
        <f t="shared" si="15"/>
        <v>48984375000000</v>
      </c>
      <c r="BD26" s="120">
        <f t="shared" si="16"/>
        <v>47557645631067.969</v>
      </c>
      <c r="BE26" s="120">
        <f t="shared" si="17"/>
        <v>48984375000000</v>
      </c>
      <c r="BF26" s="120">
        <f t="shared" si="18"/>
        <v>48984375000000</v>
      </c>
      <c r="BG26" s="120">
        <f t="shared" si="19"/>
        <v>48984375000000</v>
      </c>
      <c r="BH26" s="120">
        <f t="shared" si="20"/>
        <v>48984375000000</v>
      </c>
      <c r="BI26" s="120">
        <f t="shared" si="21"/>
        <v>47557645631067.969</v>
      </c>
      <c r="BJ26" s="120">
        <f t="shared" si="22"/>
        <v>48984375000000</v>
      </c>
      <c r="BK26" s="120">
        <f t="shared" si="23"/>
        <v>47557645631067.969</v>
      </c>
      <c r="BL26" s="15">
        <f t="shared" si="24"/>
        <v>2.2890172360636097E-15</v>
      </c>
      <c r="BM26" s="40">
        <f t="shared" si="25"/>
        <v>27.5</v>
      </c>
      <c r="BN26" s="40">
        <f t="shared" si="26"/>
        <v>2.9420495991003873E-3</v>
      </c>
      <c r="BO26" s="40">
        <f>IFERROR((s_C*s_EF_far*(1/365)*s_ED_far*up_RadSpec!Q26*((s_ET_far_o*(1/24)*up_RadSpec!V26)+(s_ET_far_i*(1/24)*up_RadSpec!AA26))),".")</f>
        <v>7.8201888549009196E-3</v>
      </c>
      <c r="BP26" s="40">
        <f>up_b2s!BZ26</f>
        <v>275742.5</v>
      </c>
      <c r="BQ26" s="40">
        <f>IFERROR(((s_C*up_RadSpec!AI26)/up_RadSpec!AS26)*s_IFFI_far_adj*s_CF_far_fish,0)</f>
        <v>13750</v>
      </c>
      <c r="BR26" s="40">
        <f>(s_C*s_IFB_far_adj*s_CF_far_beef*up_RadSpec!AH26*((s_Q_p_beef*s_f_p_beef*s_f_s_beef*(up_RadSpec!$AR26+s_R_es_past))+(s_Q_s_beef*s_f_p_beef)))</f>
        <v>48984375</v>
      </c>
      <c r="BS26" s="40">
        <f>(s_C*s_IFD_far_adj*s_CF_far_dairy*up_RadSpec!AG26*1/s_D_milk*((s_Q_p_dairy*s_f_p_dairy*s_f_s_dairy*(up_RadSpec!$AR26+s_R_es_past))+(s_Q_s_dairy*s_f_p_dairy)))</f>
        <v>47557645.631067954</v>
      </c>
      <c r="BT26" s="40">
        <f>(s_C*s_IFSW_far_adj*s_CF_far_swine*up_RadSpec!AL26*((s_Q_p_swine*s_f_p_swine*s_f_s_swine*(up_RadSpec!$AR26+s_R_es_past))+(s_Q_s_swine*s_f_p_swine)))</f>
        <v>48984375</v>
      </c>
      <c r="BU26" s="40">
        <f>(s_C*s_IFP_far_adj*s_CF_far_poultry*up_RadSpec!AJ26*((s_Q_p_poultry*s_f_p_poultry*s_f_s_poultry*(up_RadSpec!AR26+s_R_es_past))+(s_Q_s_poultry*s_f_p_poultry)))</f>
        <v>48984375</v>
      </c>
      <c r="BV26" s="40">
        <f>(s_C*s_IFE_far_adj*s_CF_far_egg*up_RadSpec!AK26*((s_Q_p_egg*s_f_p_egg*s_f_s_egg*(up_RadSpec!$AR26+s_R_es_past))+(s_Q_s_egg*s_f_p_egg)))</f>
        <v>48984375</v>
      </c>
      <c r="BW26" s="40">
        <f>(s_C*s_IFGO_far_adj*s_CF_far_goat*up_RadSpec!AO26*((s_Q_p_goat*s_f_p_goat*s_f_s_goat*(up_RadSpec!$AR26+s_R_es_past))+(s_Q_s_goat*s_f_p_goat)))</f>
        <v>48984375</v>
      </c>
      <c r="BX26" s="40">
        <f>(s_C*s_IFGM_far_adj*s_CF_far_goat_milk*up_RadSpec!AP26*1/s_D_milk*((s_Q_p_goat_milk*s_f_p_goat_milk*s_f_s_goat_milk*(up_RadSpec!$AR26+s_R_es_past))+(s_Q_s_goat_milk*s_f_p_goat_milk)))</f>
        <v>47557645.631067954</v>
      </c>
      <c r="BY26" s="40">
        <f>(s_C*s_IFSH_far_adj*s_CF_far_sheep*up_RadSpec!AM26*((s_Q_p_sheep*s_f_p_sheep*s_f_s_sheep*(up_RadSpec!$AR26+s_R_es_past))+(s_Q_s_sheep*s_f_p_sheep)))</f>
        <v>48984375</v>
      </c>
      <c r="BZ26" s="40">
        <f>(s_C*s_IFSM_far_adj*s_CF_far_sheep_milk*up_RadSpec!AN26*1/s_D_milk*((s_Q_p_sheep_milk*s_f_p_sheep_milk*s_f_s_sheep_milk*(up_RadSpec!$AR26+s_R_es_past))+(s_Q_s_sheep_milk*s_f_p_sheep_milk)))</f>
        <v>47557645.631067954</v>
      </c>
      <c r="CA26" s="45"/>
      <c r="CB26" s="45"/>
      <c r="CC26" s="45"/>
      <c r="CD26" s="45"/>
      <c r="CE26" s="45"/>
      <c r="CF26" s="45"/>
      <c r="CG26" s="45"/>
      <c r="CH26" s="45"/>
      <c r="CI26" s="45"/>
      <c r="CJ26" s="45"/>
      <c r="CK26" s="45"/>
      <c r="CL26" s="45"/>
      <c r="CM26" s="45"/>
      <c r="CN26" s="45"/>
      <c r="CO26" s="15"/>
      <c r="CP26" s="15">
        <f>IFERROR(s_TR/(up_RadSpec!H26*s_IFW_far_adj),".")</f>
        <v>3.9999999999999996E-10</v>
      </c>
      <c r="CQ26" s="15" t="str">
        <f>IFERROR(IF(up_RadSpec!C26=1,s_TR/(up_RadSpec!G26*s_IFA_far_adj*s_K),"."),".")</f>
        <v>.</v>
      </c>
      <c r="CR26" s="15">
        <f>IFERROR((s_TR/(up_RadSpec!L26*(1/8760)*s_DFA_far_adj)),".")</f>
        <v>4.3800000000000004E-6</v>
      </c>
      <c r="CS26" s="15">
        <f>up_b2w!BA26</f>
        <v>1.8087754064641833E-11</v>
      </c>
      <c r="CT26" s="15">
        <f>IFERROR(I26/(up_RadSpec!AI26*(1/1000)),".")</f>
        <v>1.4545454545454544E-8</v>
      </c>
      <c r="CU26" s="15">
        <f>IFERROR(F26/(up_RadSpec!AH26*s_Q_w_beef*(1/1000)),".")</f>
        <v>2.9090909090909087E-9</v>
      </c>
      <c r="CV26" s="15">
        <f>IFERROR((G26*s_D_milk)/(up_RadSpec!AG26*s_Q_w_dairy*(1/1000)),".")</f>
        <v>2.9963636363636357E-9</v>
      </c>
      <c r="CW26" s="15">
        <f>IFERROR(H26/(up_RadSpec!AL26*s_Q_w_swine*(1/1000)),".")</f>
        <v>2.9090909090909087E-9</v>
      </c>
      <c r="CX26" s="15">
        <f>IFERROR(D26/(up_RadSpec!AJ26*s_Q_w_poultry*(1/1000)),".")</f>
        <v>2.9090909090909087E-9</v>
      </c>
      <c r="CY26" s="15">
        <f>IFERROR(E26/(up_RadSpec!AK26*s_Q_w_poultry*(1/1000)),".")</f>
        <v>2.9090909090909087E-9</v>
      </c>
      <c r="CZ26" s="15">
        <f>IFERROR(J26/(up_RadSpec!AO26*s_Q_w_goat*(1/1000)),".")</f>
        <v>2.9090909090909087E-9</v>
      </c>
      <c r="DA26" s="15">
        <f>IFERROR(L26*s_D_milk/(up_RadSpec!AP26*s_Q_w_goat_milk*(1/1000)),".")</f>
        <v>2.9963636363636357E-9</v>
      </c>
      <c r="DB26" s="15">
        <f>IFERROR(K26/(up_RadSpec!AM26*s_Q_w_sheep*(1/1000)),".")</f>
        <v>2.9090909090909087E-9</v>
      </c>
      <c r="DC26" s="15">
        <f>IFERROR(M26*s_D_milk/(up_RadSpec!AN26*s_Q_w_sheep_milk*(1/1000)),".")</f>
        <v>2.9963636363636357E-9</v>
      </c>
      <c r="DD26" s="120">
        <f t="shared" si="27"/>
        <v>2500000000</v>
      </c>
      <c r="DE26" s="120" t="str">
        <f t="shared" si="28"/>
        <v>.</v>
      </c>
      <c r="DF26" s="120">
        <f t="shared" si="29"/>
        <v>228310.50228310502</v>
      </c>
      <c r="DG26" s="120">
        <f t="shared" si="30"/>
        <v>55286023705.663513</v>
      </c>
      <c r="DH26" s="120">
        <f t="shared" si="31"/>
        <v>68750000</v>
      </c>
      <c r="DI26" s="120">
        <f t="shared" si="32"/>
        <v>343750000.00000006</v>
      </c>
      <c r="DJ26" s="120">
        <f t="shared" si="33"/>
        <v>333737864.07766998</v>
      </c>
      <c r="DK26" s="120">
        <f t="shared" si="34"/>
        <v>343750000.00000006</v>
      </c>
      <c r="DL26" s="120">
        <f t="shared" si="35"/>
        <v>343750000.00000006</v>
      </c>
      <c r="DM26" s="120">
        <f t="shared" si="36"/>
        <v>343750000.00000006</v>
      </c>
      <c r="DN26" s="120">
        <f t="shared" si="37"/>
        <v>343750000.00000006</v>
      </c>
      <c r="DO26" s="120">
        <f t="shared" si="38"/>
        <v>333737864.07766998</v>
      </c>
      <c r="DP26" s="120">
        <f t="shared" si="39"/>
        <v>343750000.00000006</v>
      </c>
      <c r="DQ26" s="120">
        <f t="shared" si="40"/>
        <v>333737864.07766998</v>
      </c>
      <c r="DR26" s="15">
        <f t="shared" si="41"/>
        <v>1.6415316541278672E-11</v>
      </c>
      <c r="DS26" s="40">
        <f t="shared" si="42"/>
        <v>2500</v>
      </c>
      <c r="DT26" s="40">
        <f t="shared" si="43"/>
        <v>455.72916666666663</v>
      </c>
      <c r="DU26" s="40">
        <f t="shared" si="44"/>
        <v>0.22831050228310501</v>
      </c>
      <c r="DV26" s="40">
        <f>up_b2w!BZ26</f>
        <v>55286.023705663516</v>
      </c>
      <c r="DW26" s="40">
        <f>IFERROR(s_C*up_RadSpec!AI26*(1/1000)*s_IFFI_far_adj*s_CF_far_fish,0)</f>
        <v>68.75</v>
      </c>
      <c r="DX26" s="40">
        <f>(s_C*s_IFB_far_adj*s_CF_far_beef*up_RadSpec!AH26*s_Q_w_beef*(1/1000))</f>
        <v>343.75</v>
      </c>
      <c r="DY26" s="40">
        <f>(s_C*s_IFD_far_adj*s_CF_far_dairy*up_RadSpec!AG26*(1/s_D_milk)*s_Q_w_dairy*(1/1000))</f>
        <v>333.73786407766988</v>
      </c>
      <c r="DZ26" s="40">
        <f>(s_C*s_IFSW_far_adj*s_CF_far_swine*up_RadSpec!AL26*s_Q_w_swine*(1/1000))</f>
        <v>343.75</v>
      </c>
      <c r="EA26" s="40">
        <f>(s_C*s_IFP_far_adj*s_CF_far_poultry*up_RadSpec!AJ26*s_Q_w_poultry*(1/1000))</f>
        <v>343.75</v>
      </c>
      <c r="EB26" s="40">
        <f>(s_C*s_IFE_far_adj*s_CF_far_egg*up_RadSpec!AK26*s_Q_w_egg*(1/1000))</f>
        <v>343.75</v>
      </c>
      <c r="EC26" s="40">
        <f>(s_C*s_IFGO_far_adj*s_CF_far_goat*up_RadSpec!AO26*s_Q_p_goat*(1/1000))</f>
        <v>343.75</v>
      </c>
      <c r="ED26" s="40">
        <f>(s_C*s_IFGM_far_adj*s_CF_far_goat_milk*up_RadSpec!AP26*(1/s_D_milk)*s_Q_p_goat_milk*(1/1000))</f>
        <v>333.73786407766988</v>
      </c>
      <c r="EE26" s="40">
        <f>(s_C*s_IFSH_far_adj*s_CF_far_sheep*up_RadSpec!AM26*s_Q_p_sheep*(1/1000))</f>
        <v>343.75</v>
      </c>
      <c r="EF26" s="40">
        <f>(s_C*s_IFSM_far_adj*s_CF_far_sheep_milk*up_RadSpec!AN26*(1/s_D_milk)*s_Q_p_sheep_milk*(1/1000))</f>
        <v>333.73786407766988</v>
      </c>
      <c r="EG26" s="18"/>
      <c r="EH26" s="18"/>
      <c r="EI26" s="18"/>
      <c r="EJ26" s="18"/>
      <c r="EK26" s="18"/>
      <c r="EL26" s="18"/>
      <c r="EM26" s="18"/>
      <c r="EN26" s="18"/>
      <c r="EO26" s="18"/>
      <c r="EP26" s="18"/>
      <c r="EQ26" s="18"/>
      <c r="ER26" s="18"/>
      <c r="ES26" s="18"/>
      <c r="ET26" s="18"/>
      <c r="EU26" s="5"/>
      <c r="EV26" s="15">
        <f>IFERROR((s_TR/(up_RadSpec!G26*s_IFA_far_adj)),".")</f>
        <v>1.0971428571428573E-9</v>
      </c>
      <c r="EW26" s="15">
        <f>IFERROR((s_TR/(up_RadSpec!J26*s_EF_far*(1/365)*s_ED_far*s_ET_far*(1/24)*s_GSF_a)),".")</f>
        <v>1.7520000000000001E-6</v>
      </c>
      <c r="EX26" s="15">
        <f t="shared" si="48"/>
        <v>1.0964562309317064E-9</v>
      </c>
      <c r="EY26" s="40">
        <f t="shared" si="46"/>
        <v>911.45833333333326</v>
      </c>
      <c r="EZ26" s="40">
        <f t="shared" si="47"/>
        <v>0.57077625570776247</v>
      </c>
      <c r="FA26" s="122"/>
      <c r="FB26" s="122"/>
      <c r="FC26" s="122"/>
    </row>
    <row r="27" spans="1:159" customFormat="1" x14ac:dyDescent="0.25">
      <c r="A27" s="44" t="s">
        <v>37</v>
      </c>
      <c r="B27" s="42" t="s">
        <v>1074</v>
      </c>
      <c r="C27" s="15">
        <f>up_dir!AB27</f>
        <v>1.8181818181818181E-11</v>
      </c>
      <c r="D27" s="15">
        <f>IFERROR(s_TR/(up_RadSpec!E27*s_IFP_far_adj*s_CF_far_poultry),".")</f>
        <v>7.2727272727272723E-11</v>
      </c>
      <c r="E27" s="15">
        <f>IFERROR(s_TR/(up_RadSpec!E27*s_IFE_far_adj*s_CF_far_egg),".")</f>
        <v>7.2727272727272723E-11</v>
      </c>
      <c r="F27" s="15">
        <f>IFERROR(s_TR/(up_RadSpec!E27*s_IFB_far_adj*s_CF_far_beef),".")</f>
        <v>7.2727272727272723E-11</v>
      </c>
      <c r="G27" s="15">
        <f>IFERROR(s_TR/(up_RadSpec!E27*s_IFD_far_adj*s_CF_far_dairy),".")</f>
        <v>7.2727272727272723E-11</v>
      </c>
      <c r="H27" s="15">
        <f>IFERROR(s_TR/(up_RadSpec!E27*s_IFSW_far_adj*s_CF_far_swine),".")</f>
        <v>7.2727272727272723E-11</v>
      </c>
      <c r="I27" s="15">
        <f>IFERROR(s_TR/(up_RadSpec!E27*s_IFFI_far_adj*s_CF_far_fish),".")</f>
        <v>7.2727272727272723E-11</v>
      </c>
      <c r="J27" s="15">
        <f>IFERROR(s_TR/(up_RadSpec!E27*s_IFGO_far_adj*s_CF_far_goat),".")</f>
        <v>7.2727272727272723E-11</v>
      </c>
      <c r="K27" s="15">
        <f>IFERROR(s_TR/(up_RadSpec!E27*s_IFSH_far_adj*s_CF_far_sheep),".")</f>
        <v>7.2727272727272723E-11</v>
      </c>
      <c r="L27" s="15">
        <f>IFERROR(s_TR/(up_RadSpec!E27*s_IFGM_far_adj*s_CF_far_goat_milk),".")</f>
        <v>7.2727272727272723E-11</v>
      </c>
      <c r="M27" s="15">
        <f>IFERROR(s_TR/(up_RadSpec!E27*s_IFSM_far_adj*s_CF_far_sheep_milk),".")</f>
        <v>7.2727272727272723E-11</v>
      </c>
      <c r="N27" s="40">
        <f>up_dir!BA27</f>
        <v>55000</v>
      </c>
      <c r="O27" s="40">
        <f t="shared" si="0"/>
        <v>13750</v>
      </c>
      <c r="P27" s="40">
        <f t="shared" si="1"/>
        <v>13750</v>
      </c>
      <c r="Q27" s="40">
        <f t="shared" si="2"/>
        <v>13750</v>
      </c>
      <c r="R27" s="40">
        <f t="shared" si="3"/>
        <v>13750</v>
      </c>
      <c r="S27" s="40">
        <f t="shared" si="4"/>
        <v>13750</v>
      </c>
      <c r="T27" s="40">
        <f t="shared" si="5"/>
        <v>13750</v>
      </c>
      <c r="U27" s="40">
        <f t="shared" si="6"/>
        <v>13750</v>
      </c>
      <c r="V27" s="40">
        <f t="shared" si="7"/>
        <v>13750</v>
      </c>
      <c r="W27" s="40">
        <f t="shared" si="8"/>
        <v>13750</v>
      </c>
      <c r="X27" s="40">
        <f t="shared" si="9"/>
        <v>13750</v>
      </c>
      <c r="Y27" s="5"/>
      <c r="Z27" s="5"/>
      <c r="AA27" s="5"/>
      <c r="AB27" s="5"/>
      <c r="AC27" s="5"/>
      <c r="AD27" s="5"/>
      <c r="AE27" s="5"/>
      <c r="AF27" s="5"/>
      <c r="AG27" s="5"/>
      <c r="AH27" s="5"/>
      <c r="AI27" s="5"/>
      <c r="AJ27" s="45">
        <f>IFERROR((s_TR/(up_RadSpec!D27*s_IFS_far_adj*(1/1000)))*1,".")</f>
        <v>3.6363636363636363E-8</v>
      </c>
      <c r="AK27" s="45">
        <f>IFERROR(IF(A27="H-3",(s_TR/(up_RadSpec!G27*s_IFA_far_adj*(1/17)*1000))*1,(s_TR/(up_RadSpec!G27*s_IFA_far_adj*(1/s_PEF_wind)*1000))*1),".")</f>
        <v>3.3989909629864073E-4</v>
      </c>
      <c r="AL27" s="45">
        <f>IFERROR((s_TR/(up_RadSpec!F27*s_EF_far*(1/365)*s_ED_far*up_RadSpec!Q27*((s_ET_far_o*(1/24)*up_RadSpec!V27)+(s_ET_far_i*(1/24)*up_RadSpec!AA27))))*1,".")</f>
        <v>2.6942411708558718E-5</v>
      </c>
      <c r="AM27" s="45">
        <f>up_b2s!BA27</f>
        <v>3.6265718922545492E-12</v>
      </c>
      <c r="AN27" s="45">
        <f>IFERROR(((I27*up_RadSpec!AS27)/up_RadSpec!AI27)*1,".")</f>
        <v>7.2727272727272723E-11</v>
      </c>
      <c r="AO27" s="45">
        <f>IFERROR((F27/(up_RadSpec!AH27*((s_Q_p_beef*s_f_p_beef*s_f_s_beef*(up_RadSpec!BB27+s_R_es_past))+(s_Q_s_beef*s_f_p_beef))))*1,".")</f>
        <v>2.0414673046251994E-14</v>
      </c>
      <c r="AP27" s="45">
        <f>IFERROR(((G27*s_D_milk)/(up_RadSpec!AG27*((s_Q_p_dairy*s_f_p_dairy*s_f_s_dairy*(up_RadSpec!BB27+s_R_es_past))+(s_Q_s_dairy*s_f_p_dairy))))*1,".")</f>
        <v>2.102711323763955E-14</v>
      </c>
      <c r="AQ27" s="45">
        <f>IFERROR((H27/(up_RadSpec!AL27*((s_Q_p_swine*s_f_p_swine*s_f_s_swine*(up_RadSpec!BB27+s_R_es_past))+(s_Q_s_swine*s_f_p_swine))))*1,".")</f>
        <v>2.0414673046251994E-14</v>
      </c>
      <c r="AR27" s="45">
        <f>IFERROR((D27/(up_RadSpec!AJ27*((s_Q_p_poultry*s_f_p_poultry*s_f_s_poultry*(up_RadSpec!BB27+s_R_es_past))+(s_Q_s_poultry*s_f_p_poultry))))*1,".")</f>
        <v>2.0414673046251994E-14</v>
      </c>
      <c r="AS27" s="45">
        <f>IFERROR((E27/(up_RadSpec!AK27*((s_Q_p_poultry*s_f_p_poultry*s_f_s_poultry*(up_RadSpec!BB27+s_R_es_past))+(s_Q_s_poultry*s_f_p_poultry))))*1,".")</f>
        <v>2.0414673046251994E-14</v>
      </c>
      <c r="AT27" s="45">
        <f>IFERROR((J27/(up_RadSpec!AO27*((s_Q_p_goat*s_f_p_goat*s_f_s_goat*(up_RadSpec!BB27+s_R_es_past))+(s_Q_s_goat*s_f_p_goat))))*1,".")</f>
        <v>2.0414673046251994E-14</v>
      </c>
      <c r="AU27" s="45">
        <f>IFERROR((L27*s_D_milk/(up_RadSpec!AP27*((s_Q_p_goat_milk*s_f_p_goat_milk*s_f_s_goat_milk*(up_RadSpec!BB27+s_R_es_past))+(s_Q_s_goat_milk*s_f_p_goat_milk))))*1,".")</f>
        <v>2.102711323763955E-14</v>
      </c>
      <c r="AV27" s="45">
        <f>IFERROR((K27/(up_RadSpec!AM27*((s_Q_p_sheep*s_f_p_sheep*s_f_s_sheep*(up_RadSpec!BB27+s_R_es_past))+(s_Q_s_sheep*s_f_p_sheep))))*1,".")</f>
        <v>2.0414673046251994E-14</v>
      </c>
      <c r="AW27" s="45">
        <f>IFERROR((M27*s_D_milk/(up_RadSpec!AN27*((s_Q_p_sheep_milk*s_f_p_sheep_milk*s_f_s_sheep_milk*(up_RadSpec!BB27+s_R_es_past))+(s_Q_s_sheep_milk*s_f_p_sheep_milk))))*1,".")</f>
        <v>2.102711323763955E-14</v>
      </c>
      <c r="AX27" s="120">
        <f t="shared" si="10"/>
        <v>27500000</v>
      </c>
      <c r="AY27" s="120">
        <f t="shared" si="11"/>
        <v>2942.0495991003877</v>
      </c>
      <c r="AZ27" s="120">
        <f t="shared" si="12"/>
        <v>37116.202172886136</v>
      </c>
      <c r="BA27" s="120">
        <f t="shared" si="13"/>
        <v>275742500000</v>
      </c>
      <c r="BB27" s="120">
        <f t="shared" si="14"/>
        <v>13750000000</v>
      </c>
      <c r="BC27" s="120">
        <f t="shared" si="15"/>
        <v>48984375000000</v>
      </c>
      <c r="BD27" s="120">
        <f t="shared" si="16"/>
        <v>47557645631067.969</v>
      </c>
      <c r="BE27" s="120">
        <f t="shared" si="17"/>
        <v>48984375000000</v>
      </c>
      <c r="BF27" s="120">
        <f t="shared" si="18"/>
        <v>48984375000000</v>
      </c>
      <c r="BG27" s="120">
        <f t="shared" si="19"/>
        <v>48984375000000</v>
      </c>
      <c r="BH27" s="120">
        <f t="shared" si="20"/>
        <v>48984375000000</v>
      </c>
      <c r="BI27" s="120">
        <f t="shared" si="21"/>
        <v>47557645631067.969</v>
      </c>
      <c r="BJ27" s="120">
        <f t="shared" si="22"/>
        <v>48984375000000</v>
      </c>
      <c r="BK27" s="120">
        <f t="shared" si="23"/>
        <v>47557645631067.969</v>
      </c>
      <c r="BL27" s="15">
        <f t="shared" si="24"/>
        <v>2.2890172359101104E-15</v>
      </c>
      <c r="BM27" s="40">
        <f t="shared" si="25"/>
        <v>27.5</v>
      </c>
      <c r="BN27" s="40">
        <f t="shared" si="26"/>
        <v>2.9420495991003873E-3</v>
      </c>
      <c r="BO27" s="40">
        <f>IFERROR((s_C*s_EF_far*(1/365)*s_ED_far*up_RadSpec!Q27*((s_ET_far_o*(1/24)*up_RadSpec!V27)+(s_ET_far_i*(1/24)*up_RadSpec!AA27))),".")</f>
        <v>3.7116202172886137E-2</v>
      </c>
      <c r="BP27" s="40">
        <f>up_b2s!BZ27</f>
        <v>275742.5</v>
      </c>
      <c r="BQ27" s="40">
        <f>IFERROR(((s_C*up_RadSpec!AI27)/up_RadSpec!AS27)*s_IFFI_far_adj*s_CF_far_fish,0)</f>
        <v>13750</v>
      </c>
      <c r="BR27" s="40">
        <f>(s_C*s_IFB_far_adj*s_CF_far_beef*up_RadSpec!AH27*((s_Q_p_beef*s_f_p_beef*s_f_s_beef*(up_RadSpec!$AR27+s_R_es_past))+(s_Q_s_beef*s_f_p_beef)))</f>
        <v>48984375</v>
      </c>
      <c r="BS27" s="40">
        <f>(s_C*s_IFD_far_adj*s_CF_far_dairy*up_RadSpec!AG27*1/s_D_milk*((s_Q_p_dairy*s_f_p_dairy*s_f_s_dairy*(up_RadSpec!$AR27+s_R_es_past))+(s_Q_s_dairy*s_f_p_dairy)))</f>
        <v>47557645.631067954</v>
      </c>
      <c r="BT27" s="40">
        <f>(s_C*s_IFSW_far_adj*s_CF_far_swine*up_RadSpec!AL27*((s_Q_p_swine*s_f_p_swine*s_f_s_swine*(up_RadSpec!$AR27+s_R_es_past))+(s_Q_s_swine*s_f_p_swine)))</f>
        <v>48984375</v>
      </c>
      <c r="BU27" s="40">
        <f>(s_C*s_IFP_far_adj*s_CF_far_poultry*up_RadSpec!AJ27*((s_Q_p_poultry*s_f_p_poultry*s_f_s_poultry*(up_RadSpec!AR27+s_R_es_past))+(s_Q_s_poultry*s_f_p_poultry)))</f>
        <v>48984375</v>
      </c>
      <c r="BV27" s="40">
        <f>(s_C*s_IFE_far_adj*s_CF_far_egg*up_RadSpec!AK27*((s_Q_p_egg*s_f_p_egg*s_f_s_egg*(up_RadSpec!$AR27+s_R_es_past))+(s_Q_s_egg*s_f_p_egg)))</f>
        <v>48984375</v>
      </c>
      <c r="BW27" s="40">
        <f>(s_C*s_IFGO_far_adj*s_CF_far_goat*up_RadSpec!AO27*((s_Q_p_goat*s_f_p_goat*s_f_s_goat*(up_RadSpec!$AR27+s_R_es_past))+(s_Q_s_goat*s_f_p_goat)))</f>
        <v>48984375</v>
      </c>
      <c r="BX27" s="40">
        <f>(s_C*s_IFGM_far_adj*s_CF_far_goat_milk*up_RadSpec!AP27*1/s_D_milk*((s_Q_p_goat_milk*s_f_p_goat_milk*s_f_s_goat_milk*(up_RadSpec!$AR27+s_R_es_past))+(s_Q_s_goat_milk*s_f_p_goat_milk)))</f>
        <v>47557645.631067954</v>
      </c>
      <c r="BY27" s="40">
        <f>(s_C*s_IFSH_far_adj*s_CF_far_sheep*up_RadSpec!AM27*((s_Q_p_sheep*s_f_p_sheep*s_f_s_sheep*(up_RadSpec!$AR27+s_R_es_past))+(s_Q_s_sheep*s_f_p_sheep)))</f>
        <v>48984375</v>
      </c>
      <c r="BZ27" s="40">
        <f>(s_C*s_IFSM_far_adj*s_CF_far_sheep_milk*up_RadSpec!AN27*1/s_D_milk*((s_Q_p_sheep_milk*s_f_p_sheep_milk*s_f_s_sheep_milk*(up_RadSpec!$AR27+s_R_es_past))+(s_Q_s_sheep_milk*s_f_p_sheep_milk)))</f>
        <v>47557645.631067954</v>
      </c>
      <c r="CA27" s="45"/>
      <c r="CB27" s="45"/>
      <c r="CC27" s="45"/>
      <c r="CD27" s="45"/>
      <c r="CE27" s="45"/>
      <c r="CF27" s="45"/>
      <c r="CG27" s="45"/>
      <c r="CH27" s="45"/>
      <c r="CI27" s="45"/>
      <c r="CJ27" s="45"/>
      <c r="CK27" s="45"/>
      <c r="CL27" s="45"/>
      <c r="CM27" s="45"/>
      <c r="CN27" s="45"/>
      <c r="CO27" s="15"/>
      <c r="CP27" s="15">
        <f>IFERROR(s_TR/(up_RadSpec!H27*s_IFW_far_adj),".")</f>
        <v>3.9999999999999996E-10</v>
      </c>
      <c r="CQ27" s="15" t="str">
        <f>IFERROR(IF(up_RadSpec!C27=1,s_TR/(up_RadSpec!G27*s_IFA_far_adj*s_K),"."),".")</f>
        <v>.</v>
      </c>
      <c r="CR27" s="15">
        <f>IFERROR((s_TR/(up_RadSpec!L27*(1/8760)*s_DFA_far_adj)),".")</f>
        <v>4.3800000000000004E-6</v>
      </c>
      <c r="CS27" s="15">
        <f>up_b2w!BA27</f>
        <v>1.8087754064641833E-11</v>
      </c>
      <c r="CT27" s="15">
        <f>IFERROR(I27/(up_RadSpec!AI27*(1/1000)),".")</f>
        <v>1.4545454545454544E-8</v>
      </c>
      <c r="CU27" s="15">
        <f>IFERROR(F27/(up_RadSpec!AH27*s_Q_w_beef*(1/1000)),".")</f>
        <v>2.9090909090909087E-9</v>
      </c>
      <c r="CV27" s="15">
        <f>IFERROR((G27*s_D_milk)/(up_RadSpec!AG27*s_Q_w_dairy*(1/1000)),".")</f>
        <v>2.9963636363636357E-9</v>
      </c>
      <c r="CW27" s="15">
        <f>IFERROR(H27/(up_RadSpec!AL27*s_Q_w_swine*(1/1000)),".")</f>
        <v>2.9090909090909087E-9</v>
      </c>
      <c r="CX27" s="15">
        <f>IFERROR(D27/(up_RadSpec!AJ27*s_Q_w_poultry*(1/1000)),".")</f>
        <v>2.9090909090909087E-9</v>
      </c>
      <c r="CY27" s="15">
        <f>IFERROR(E27/(up_RadSpec!AK27*s_Q_w_poultry*(1/1000)),".")</f>
        <v>2.9090909090909087E-9</v>
      </c>
      <c r="CZ27" s="15">
        <f>IFERROR(J27/(up_RadSpec!AO27*s_Q_w_goat*(1/1000)),".")</f>
        <v>2.9090909090909087E-9</v>
      </c>
      <c r="DA27" s="15">
        <f>IFERROR(L27*s_D_milk/(up_RadSpec!AP27*s_Q_w_goat_milk*(1/1000)),".")</f>
        <v>2.9963636363636357E-9</v>
      </c>
      <c r="DB27" s="15">
        <f>IFERROR(K27/(up_RadSpec!AM27*s_Q_w_sheep*(1/1000)),".")</f>
        <v>2.9090909090909087E-9</v>
      </c>
      <c r="DC27" s="15">
        <f>IFERROR(M27*s_D_milk/(up_RadSpec!AN27*s_Q_w_sheep_milk*(1/1000)),".")</f>
        <v>2.9963636363636357E-9</v>
      </c>
      <c r="DD27" s="120">
        <f t="shared" si="27"/>
        <v>2500000000</v>
      </c>
      <c r="DE27" s="120" t="str">
        <f t="shared" si="28"/>
        <v>.</v>
      </c>
      <c r="DF27" s="120">
        <f t="shared" si="29"/>
        <v>228310.50228310502</v>
      </c>
      <c r="DG27" s="120">
        <f t="shared" si="30"/>
        <v>55286023705.663513</v>
      </c>
      <c r="DH27" s="120">
        <f t="shared" si="31"/>
        <v>68750000</v>
      </c>
      <c r="DI27" s="120">
        <f t="shared" si="32"/>
        <v>343750000.00000006</v>
      </c>
      <c r="DJ27" s="120">
        <f t="shared" si="33"/>
        <v>333737864.07766998</v>
      </c>
      <c r="DK27" s="120">
        <f t="shared" si="34"/>
        <v>343750000.00000006</v>
      </c>
      <c r="DL27" s="120">
        <f t="shared" si="35"/>
        <v>343750000.00000006</v>
      </c>
      <c r="DM27" s="120">
        <f t="shared" si="36"/>
        <v>343750000.00000006</v>
      </c>
      <c r="DN27" s="120">
        <f t="shared" si="37"/>
        <v>343750000.00000006</v>
      </c>
      <c r="DO27" s="120">
        <f t="shared" si="38"/>
        <v>333737864.07766998</v>
      </c>
      <c r="DP27" s="120">
        <f t="shared" si="39"/>
        <v>343750000.00000006</v>
      </c>
      <c r="DQ27" s="120">
        <f t="shared" si="40"/>
        <v>333737864.07766998</v>
      </c>
      <c r="DR27" s="15">
        <f t="shared" si="41"/>
        <v>1.6415316541278672E-11</v>
      </c>
      <c r="DS27" s="40">
        <f t="shared" si="42"/>
        <v>2500</v>
      </c>
      <c r="DT27" s="40">
        <f t="shared" si="43"/>
        <v>455.72916666666663</v>
      </c>
      <c r="DU27" s="40">
        <f t="shared" si="44"/>
        <v>0.22831050228310501</v>
      </c>
      <c r="DV27" s="40">
        <f>up_b2w!BZ27</f>
        <v>55286.023705663516</v>
      </c>
      <c r="DW27" s="40">
        <f>IFERROR(s_C*up_RadSpec!AI27*(1/1000)*s_IFFI_far_adj*s_CF_far_fish,0)</f>
        <v>68.75</v>
      </c>
      <c r="DX27" s="40">
        <f>(s_C*s_IFB_far_adj*s_CF_far_beef*up_RadSpec!AH27*s_Q_w_beef*(1/1000))</f>
        <v>343.75</v>
      </c>
      <c r="DY27" s="40">
        <f>(s_C*s_IFD_far_adj*s_CF_far_dairy*up_RadSpec!AG27*(1/s_D_milk)*s_Q_w_dairy*(1/1000))</f>
        <v>333.73786407766988</v>
      </c>
      <c r="DZ27" s="40">
        <f>(s_C*s_IFSW_far_adj*s_CF_far_swine*up_RadSpec!AL27*s_Q_w_swine*(1/1000))</f>
        <v>343.75</v>
      </c>
      <c r="EA27" s="40">
        <f>(s_C*s_IFP_far_adj*s_CF_far_poultry*up_RadSpec!AJ27*s_Q_w_poultry*(1/1000))</f>
        <v>343.75</v>
      </c>
      <c r="EB27" s="40">
        <f>(s_C*s_IFE_far_adj*s_CF_far_egg*up_RadSpec!AK27*s_Q_w_egg*(1/1000))</f>
        <v>343.75</v>
      </c>
      <c r="EC27" s="40">
        <f>(s_C*s_IFGO_far_adj*s_CF_far_goat*up_RadSpec!AO27*s_Q_p_goat*(1/1000))</f>
        <v>343.75</v>
      </c>
      <c r="ED27" s="40">
        <f>(s_C*s_IFGM_far_adj*s_CF_far_goat_milk*up_RadSpec!AP27*(1/s_D_milk)*s_Q_p_goat_milk*(1/1000))</f>
        <v>333.73786407766988</v>
      </c>
      <c r="EE27" s="40">
        <f>(s_C*s_IFSH_far_adj*s_CF_far_sheep*up_RadSpec!AM27*s_Q_p_sheep*(1/1000))</f>
        <v>343.75</v>
      </c>
      <c r="EF27" s="40">
        <f>(s_C*s_IFSM_far_adj*s_CF_far_sheep_milk*up_RadSpec!AN27*(1/s_D_milk)*s_Q_p_sheep_milk*(1/1000))</f>
        <v>333.73786407766988</v>
      </c>
      <c r="EG27" s="18"/>
      <c r="EH27" s="18"/>
      <c r="EI27" s="18"/>
      <c r="EJ27" s="18"/>
      <c r="EK27" s="18"/>
      <c r="EL27" s="18"/>
      <c r="EM27" s="18"/>
      <c r="EN27" s="18"/>
      <c r="EO27" s="18"/>
      <c r="EP27" s="18"/>
      <c r="EQ27" s="18"/>
      <c r="ER27" s="18"/>
      <c r="ES27" s="18"/>
      <c r="ET27" s="18"/>
      <c r="EU27" s="5"/>
      <c r="EV27" s="15">
        <f>IFERROR((s_TR/(up_RadSpec!G27*s_IFA_far_adj)),".")</f>
        <v>1.0971428571428573E-9</v>
      </c>
      <c r="EW27" s="15">
        <f>IFERROR((s_TR/(up_RadSpec!J27*s_EF_far*(1/365)*s_ED_far*s_ET_far*(1/24)*s_GSF_a)),".")</f>
        <v>1.7520000000000001E-6</v>
      </c>
      <c r="EX27" s="15">
        <f t="shared" si="48"/>
        <v>1.0964562309317064E-9</v>
      </c>
      <c r="EY27" s="40">
        <f t="shared" si="46"/>
        <v>911.45833333333326</v>
      </c>
      <c r="EZ27" s="40">
        <f t="shared" si="47"/>
        <v>0.57077625570776247</v>
      </c>
      <c r="FA27" s="122"/>
      <c r="FB27" s="122"/>
      <c r="FC27" s="122"/>
    </row>
    <row r="28" spans="1:159" customFormat="1" x14ac:dyDescent="0.25">
      <c r="A28" s="44" t="s">
        <v>38</v>
      </c>
      <c r="B28" s="42" t="s">
        <v>1074</v>
      </c>
      <c r="C28" s="15">
        <f>up_dir!AB28</f>
        <v>1.8181818181818181E-11</v>
      </c>
      <c r="D28" s="15">
        <f>IFERROR(s_TR/(up_RadSpec!E28*s_IFP_far_adj*s_CF_far_poultry),".")</f>
        <v>7.2727272727272723E-11</v>
      </c>
      <c r="E28" s="15">
        <f>IFERROR(s_TR/(up_RadSpec!E28*s_IFE_far_adj*s_CF_far_egg),".")</f>
        <v>7.2727272727272723E-11</v>
      </c>
      <c r="F28" s="15">
        <f>IFERROR(s_TR/(up_RadSpec!E28*s_IFB_far_adj*s_CF_far_beef),".")</f>
        <v>7.2727272727272723E-11</v>
      </c>
      <c r="G28" s="15">
        <f>IFERROR(s_TR/(up_RadSpec!E28*s_IFD_far_adj*s_CF_far_dairy),".")</f>
        <v>7.2727272727272723E-11</v>
      </c>
      <c r="H28" s="15">
        <f>IFERROR(s_TR/(up_RadSpec!E28*s_IFSW_far_adj*s_CF_far_swine),".")</f>
        <v>7.2727272727272723E-11</v>
      </c>
      <c r="I28" s="15">
        <f>IFERROR(s_TR/(up_RadSpec!E28*s_IFFI_far_adj*s_CF_far_fish),".")</f>
        <v>7.2727272727272723E-11</v>
      </c>
      <c r="J28" s="15">
        <f>IFERROR(s_TR/(up_RadSpec!E28*s_IFGO_far_adj*s_CF_far_goat),".")</f>
        <v>7.2727272727272723E-11</v>
      </c>
      <c r="K28" s="15">
        <f>IFERROR(s_TR/(up_RadSpec!E28*s_IFSH_far_adj*s_CF_far_sheep),".")</f>
        <v>7.2727272727272723E-11</v>
      </c>
      <c r="L28" s="15">
        <f>IFERROR(s_TR/(up_RadSpec!E28*s_IFGM_far_adj*s_CF_far_goat_milk),".")</f>
        <v>7.2727272727272723E-11</v>
      </c>
      <c r="M28" s="15">
        <f>IFERROR(s_TR/(up_RadSpec!E28*s_IFSM_far_adj*s_CF_far_sheep_milk),".")</f>
        <v>7.2727272727272723E-11</v>
      </c>
      <c r="N28" s="40">
        <f>up_dir!BA28</f>
        <v>55000</v>
      </c>
      <c r="O28" s="40">
        <f t="shared" si="0"/>
        <v>13750</v>
      </c>
      <c r="P28" s="40">
        <f t="shared" si="1"/>
        <v>13750</v>
      </c>
      <c r="Q28" s="40">
        <f t="shared" si="2"/>
        <v>13750</v>
      </c>
      <c r="R28" s="40">
        <f t="shared" si="3"/>
        <v>13750</v>
      </c>
      <c r="S28" s="40">
        <f t="shared" si="4"/>
        <v>13750</v>
      </c>
      <c r="T28" s="40">
        <f t="shared" si="5"/>
        <v>13750</v>
      </c>
      <c r="U28" s="40">
        <f t="shared" si="6"/>
        <v>13750</v>
      </c>
      <c r="V28" s="40">
        <f t="shared" si="7"/>
        <v>13750</v>
      </c>
      <c r="W28" s="40">
        <f t="shared" si="8"/>
        <v>13750</v>
      </c>
      <c r="X28" s="40">
        <f t="shared" si="9"/>
        <v>13750</v>
      </c>
      <c r="Y28" s="5"/>
      <c r="Z28" s="5"/>
      <c r="AA28" s="5"/>
      <c r="AB28" s="5"/>
      <c r="AC28" s="5"/>
      <c r="AD28" s="5"/>
      <c r="AE28" s="5"/>
      <c r="AF28" s="5"/>
      <c r="AG28" s="5"/>
      <c r="AH28" s="5"/>
      <c r="AI28" s="5"/>
      <c r="AJ28" s="45">
        <f>IFERROR((s_TR/(up_RadSpec!D28*s_IFS_far_adj*(1/1000)))*1,".")</f>
        <v>3.6363636363636363E-8</v>
      </c>
      <c r="AK28" s="45">
        <f>IFERROR(IF(A28="H-3",(s_TR/(up_RadSpec!G28*s_IFA_far_adj*(1/17)*1000))*1,(s_TR/(up_RadSpec!G28*s_IFA_far_adj*(1/s_PEF_wind)*1000))*1),".")</f>
        <v>3.3989909629864073E-4</v>
      </c>
      <c r="AL28" s="45">
        <f>IFERROR((s_TR/(up_RadSpec!F28*s_EF_far*(1/365)*s_ED_far*up_RadSpec!Q28*((s_ET_far_o*(1/24)*up_RadSpec!V28)+(s_ET_far_i*(1/24)*up_RadSpec!AA28))))*1,".")</f>
        <v>1.1922260329903642E-5</v>
      </c>
      <c r="AM28" s="45">
        <f>up_b2s!BA28</f>
        <v>3.6265718922545492E-12</v>
      </c>
      <c r="AN28" s="45">
        <f>IFERROR(((I28*up_RadSpec!AS28)/up_RadSpec!AI28)*1,".")</f>
        <v>7.2727272727272723E-11</v>
      </c>
      <c r="AO28" s="45">
        <f>IFERROR((F28/(up_RadSpec!AH28*((s_Q_p_beef*s_f_p_beef*s_f_s_beef*(up_RadSpec!BB28+s_R_es_past))+(s_Q_s_beef*s_f_p_beef))))*1,".")</f>
        <v>2.0414673046251994E-14</v>
      </c>
      <c r="AP28" s="45">
        <f>IFERROR(((G28*s_D_milk)/(up_RadSpec!AG28*((s_Q_p_dairy*s_f_p_dairy*s_f_s_dairy*(up_RadSpec!BB28+s_R_es_past))+(s_Q_s_dairy*s_f_p_dairy))))*1,".")</f>
        <v>2.102711323763955E-14</v>
      </c>
      <c r="AQ28" s="45">
        <f>IFERROR((H28/(up_RadSpec!AL28*((s_Q_p_swine*s_f_p_swine*s_f_s_swine*(up_RadSpec!BB28+s_R_es_past))+(s_Q_s_swine*s_f_p_swine))))*1,".")</f>
        <v>2.0414673046251994E-14</v>
      </c>
      <c r="AR28" s="45">
        <f>IFERROR((D28/(up_RadSpec!AJ28*((s_Q_p_poultry*s_f_p_poultry*s_f_s_poultry*(up_RadSpec!BB28+s_R_es_past))+(s_Q_s_poultry*s_f_p_poultry))))*1,".")</f>
        <v>2.0414673046251994E-14</v>
      </c>
      <c r="AS28" s="45">
        <f>IFERROR((E28/(up_RadSpec!AK28*((s_Q_p_poultry*s_f_p_poultry*s_f_s_poultry*(up_RadSpec!BB28+s_R_es_past))+(s_Q_s_poultry*s_f_p_poultry))))*1,".")</f>
        <v>2.0414673046251994E-14</v>
      </c>
      <c r="AT28" s="45">
        <f>IFERROR((J28/(up_RadSpec!AO28*((s_Q_p_goat*s_f_p_goat*s_f_s_goat*(up_RadSpec!BB28+s_R_es_past))+(s_Q_s_goat*s_f_p_goat))))*1,".")</f>
        <v>2.0414673046251994E-14</v>
      </c>
      <c r="AU28" s="45">
        <f>IFERROR((L28*s_D_milk/(up_RadSpec!AP28*((s_Q_p_goat_milk*s_f_p_goat_milk*s_f_s_goat_milk*(up_RadSpec!BB28+s_R_es_past))+(s_Q_s_goat_milk*s_f_p_goat_milk))))*1,".")</f>
        <v>2.102711323763955E-14</v>
      </c>
      <c r="AV28" s="45">
        <f>IFERROR((K28/(up_RadSpec!AM28*((s_Q_p_sheep*s_f_p_sheep*s_f_s_sheep*(up_RadSpec!BB28+s_R_es_past))+(s_Q_s_sheep*s_f_p_sheep))))*1,".")</f>
        <v>2.0414673046251994E-14</v>
      </c>
      <c r="AW28" s="45">
        <f>IFERROR((M28*s_D_milk/(up_RadSpec!AN28*((s_Q_p_sheep_milk*s_f_p_sheep_milk*s_f_s_sheep_milk*(up_RadSpec!BB28+s_R_es_past))+(s_Q_s_sheep_milk*s_f_p_sheep_milk))))*1,".")</f>
        <v>2.102711323763955E-14</v>
      </c>
      <c r="AX28" s="120">
        <f t="shared" si="10"/>
        <v>27500000</v>
      </c>
      <c r="AY28" s="120">
        <f t="shared" si="11"/>
        <v>2942.0495991003877</v>
      </c>
      <c r="AZ28" s="120">
        <f t="shared" si="12"/>
        <v>83876.712328767127</v>
      </c>
      <c r="BA28" s="120">
        <f t="shared" si="13"/>
        <v>275742500000</v>
      </c>
      <c r="BB28" s="120">
        <f t="shared" si="14"/>
        <v>13750000000</v>
      </c>
      <c r="BC28" s="120">
        <f t="shared" si="15"/>
        <v>48984375000000</v>
      </c>
      <c r="BD28" s="120">
        <f t="shared" si="16"/>
        <v>47557645631067.969</v>
      </c>
      <c r="BE28" s="120">
        <f t="shared" si="17"/>
        <v>48984375000000</v>
      </c>
      <c r="BF28" s="120">
        <f t="shared" si="18"/>
        <v>48984375000000</v>
      </c>
      <c r="BG28" s="120">
        <f t="shared" si="19"/>
        <v>48984375000000</v>
      </c>
      <c r="BH28" s="120">
        <f t="shared" si="20"/>
        <v>48984375000000</v>
      </c>
      <c r="BI28" s="120">
        <f t="shared" si="21"/>
        <v>47557645631067.969</v>
      </c>
      <c r="BJ28" s="120">
        <f t="shared" si="22"/>
        <v>48984375000000</v>
      </c>
      <c r="BK28" s="120">
        <f t="shared" si="23"/>
        <v>47557645631067.969</v>
      </c>
      <c r="BL28" s="15">
        <f t="shared" si="24"/>
        <v>2.289017235665104E-15</v>
      </c>
      <c r="BM28" s="40">
        <f t="shared" si="25"/>
        <v>27.5</v>
      </c>
      <c r="BN28" s="40">
        <f t="shared" si="26"/>
        <v>2.9420495991003873E-3</v>
      </c>
      <c r="BO28" s="40">
        <f>IFERROR((s_C*s_EF_far*(1/365)*s_ED_far*up_RadSpec!Q28*((s_ET_far_o*(1/24)*up_RadSpec!V28)+(s_ET_far_i*(1/24)*up_RadSpec!AA28))),".")</f>
        <v>8.3876712328767117E-2</v>
      </c>
      <c r="BP28" s="40">
        <f>up_b2s!BZ28</f>
        <v>275742.5</v>
      </c>
      <c r="BQ28" s="40">
        <f>IFERROR(((s_C*up_RadSpec!AI28)/up_RadSpec!AS28)*s_IFFI_far_adj*s_CF_far_fish,0)</f>
        <v>13750</v>
      </c>
      <c r="BR28" s="40">
        <f>(s_C*s_IFB_far_adj*s_CF_far_beef*up_RadSpec!AH28*((s_Q_p_beef*s_f_p_beef*s_f_s_beef*(up_RadSpec!$AR28+s_R_es_past))+(s_Q_s_beef*s_f_p_beef)))</f>
        <v>48984375</v>
      </c>
      <c r="BS28" s="40">
        <f>(s_C*s_IFD_far_adj*s_CF_far_dairy*up_RadSpec!AG28*1/s_D_milk*((s_Q_p_dairy*s_f_p_dairy*s_f_s_dairy*(up_RadSpec!$AR28+s_R_es_past))+(s_Q_s_dairy*s_f_p_dairy)))</f>
        <v>47557645.631067954</v>
      </c>
      <c r="BT28" s="40">
        <f>(s_C*s_IFSW_far_adj*s_CF_far_swine*up_RadSpec!AL28*((s_Q_p_swine*s_f_p_swine*s_f_s_swine*(up_RadSpec!$AR28+s_R_es_past))+(s_Q_s_swine*s_f_p_swine)))</f>
        <v>48984375</v>
      </c>
      <c r="BU28" s="40">
        <f>(s_C*s_IFP_far_adj*s_CF_far_poultry*up_RadSpec!AJ28*((s_Q_p_poultry*s_f_p_poultry*s_f_s_poultry*(up_RadSpec!AR28+s_R_es_past))+(s_Q_s_poultry*s_f_p_poultry)))</f>
        <v>48984375</v>
      </c>
      <c r="BV28" s="40">
        <f>(s_C*s_IFE_far_adj*s_CF_far_egg*up_RadSpec!AK28*((s_Q_p_egg*s_f_p_egg*s_f_s_egg*(up_RadSpec!$AR28+s_R_es_past))+(s_Q_s_egg*s_f_p_egg)))</f>
        <v>48984375</v>
      </c>
      <c r="BW28" s="40">
        <f>(s_C*s_IFGO_far_adj*s_CF_far_goat*up_RadSpec!AO28*((s_Q_p_goat*s_f_p_goat*s_f_s_goat*(up_RadSpec!$AR28+s_R_es_past))+(s_Q_s_goat*s_f_p_goat)))</f>
        <v>48984375</v>
      </c>
      <c r="BX28" s="40">
        <f>(s_C*s_IFGM_far_adj*s_CF_far_goat_milk*up_RadSpec!AP28*1/s_D_milk*((s_Q_p_goat_milk*s_f_p_goat_milk*s_f_s_goat_milk*(up_RadSpec!$AR28+s_R_es_past))+(s_Q_s_goat_milk*s_f_p_goat_milk)))</f>
        <v>47557645.631067954</v>
      </c>
      <c r="BY28" s="40">
        <f>(s_C*s_IFSH_far_adj*s_CF_far_sheep*up_RadSpec!AM28*((s_Q_p_sheep*s_f_p_sheep*s_f_s_sheep*(up_RadSpec!$AR28+s_R_es_past))+(s_Q_s_sheep*s_f_p_sheep)))</f>
        <v>48984375</v>
      </c>
      <c r="BZ28" s="40">
        <f>(s_C*s_IFSM_far_adj*s_CF_far_sheep_milk*up_RadSpec!AN28*1/s_D_milk*((s_Q_p_sheep_milk*s_f_p_sheep_milk*s_f_s_sheep_milk*(up_RadSpec!$AR28+s_R_es_past))+(s_Q_s_sheep_milk*s_f_p_sheep_milk)))</f>
        <v>47557645.631067954</v>
      </c>
      <c r="CA28" s="45"/>
      <c r="CB28" s="45"/>
      <c r="CC28" s="45"/>
      <c r="CD28" s="45"/>
      <c r="CE28" s="45"/>
      <c r="CF28" s="45"/>
      <c r="CG28" s="45"/>
      <c r="CH28" s="45"/>
      <c r="CI28" s="45"/>
      <c r="CJ28" s="45"/>
      <c r="CK28" s="45"/>
      <c r="CL28" s="45"/>
      <c r="CM28" s="45"/>
      <c r="CN28" s="45"/>
      <c r="CO28" s="15"/>
      <c r="CP28" s="15">
        <f>IFERROR(s_TR/(up_RadSpec!H28*s_IFW_far_adj),".")</f>
        <v>3.9999999999999996E-10</v>
      </c>
      <c r="CQ28" s="15" t="str">
        <f>IFERROR(IF(up_RadSpec!C28=1,s_TR/(up_RadSpec!G28*s_IFA_far_adj*s_K),"."),".")</f>
        <v>.</v>
      </c>
      <c r="CR28" s="15">
        <f>IFERROR((s_TR/(up_RadSpec!L28*(1/8760)*s_DFA_far_adj)),".")</f>
        <v>4.3800000000000004E-6</v>
      </c>
      <c r="CS28" s="15">
        <f>up_b2w!BA28</f>
        <v>1.8087754064641833E-11</v>
      </c>
      <c r="CT28" s="15">
        <f>IFERROR(I28/(up_RadSpec!AI28*(1/1000)),".")</f>
        <v>1.4545454545454544E-8</v>
      </c>
      <c r="CU28" s="15">
        <f>IFERROR(F28/(up_RadSpec!AH28*s_Q_w_beef*(1/1000)),".")</f>
        <v>2.9090909090909087E-9</v>
      </c>
      <c r="CV28" s="15">
        <f>IFERROR((G28*s_D_milk)/(up_RadSpec!AG28*s_Q_w_dairy*(1/1000)),".")</f>
        <v>2.9963636363636357E-9</v>
      </c>
      <c r="CW28" s="15">
        <f>IFERROR(H28/(up_RadSpec!AL28*s_Q_w_swine*(1/1000)),".")</f>
        <v>2.9090909090909087E-9</v>
      </c>
      <c r="CX28" s="15">
        <f>IFERROR(D28/(up_RadSpec!AJ28*s_Q_w_poultry*(1/1000)),".")</f>
        <v>2.9090909090909087E-9</v>
      </c>
      <c r="CY28" s="15">
        <f>IFERROR(E28/(up_RadSpec!AK28*s_Q_w_poultry*(1/1000)),".")</f>
        <v>2.9090909090909087E-9</v>
      </c>
      <c r="CZ28" s="15">
        <f>IFERROR(J28/(up_RadSpec!AO28*s_Q_w_goat*(1/1000)),".")</f>
        <v>2.9090909090909087E-9</v>
      </c>
      <c r="DA28" s="15">
        <f>IFERROR(L28*s_D_milk/(up_RadSpec!AP28*s_Q_w_goat_milk*(1/1000)),".")</f>
        <v>2.9963636363636357E-9</v>
      </c>
      <c r="DB28" s="15">
        <f>IFERROR(K28/(up_RadSpec!AM28*s_Q_w_sheep*(1/1000)),".")</f>
        <v>2.9090909090909087E-9</v>
      </c>
      <c r="DC28" s="15">
        <f>IFERROR(M28*s_D_milk/(up_RadSpec!AN28*s_Q_w_sheep_milk*(1/1000)),".")</f>
        <v>2.9963636363636357E-9</v>
      </c>
      <c r="DD28" s="120">
        <f t="shared" si="27"/>
        <v>2500000000</v>
      </c>
      <c r="DE28" s="120" t="str">
        <f t="shared" si="28"/>
        <v>.</v>
      </c>
      <c r="DF28" s="120">
        <f t="shared" si="29"/>
        <v>228310.50228310502</v>
      </c>
      <c r="DG28" s="120">
        <f t="shared" si="30"/>
        <v>55286023705.663513</v>
      </c>
      <c r="DH28" s="120">
        <f t="shared" si="31"/>
        <v>68750000</v>
      </c>
      <c r="DI28" s="120">
        <f t="shared" si="32"/>
        <v>343750000.00000006</v>
      </c>
      <c r="DJ28" s="120">
        <f t="shared" si="33"/>
        <v>333737864.07766998</v>
      </c>
      <c r="DK28" s="120">
        <f t="shared" si="34"/>
        <v>343750000.00000006</v>
      </c>
      <c r="DL28" s="120">
        <f t="shared" si="35"/>
        <v>343750000.00000006</v>
      </c>
      <c r="DM28" s="120">
        <f t="shared" si="36"/>
        <v>343750000.00000006</v>
      </c>
      <c r="DN28" s="120">
        <f t="shared" si="37"/>
        <v>343750000.00000006</v>
      </c>
      <c r="DO28" s="120">
        <f t="shared" si="38"/>
        <v>333737864.07766998</v>
      </c>
      <c r="DP28" s="120">
        <f t="shared" si="39"/>
        <v>343750000.00000006</v>
      </c>
      <c r="DQ28" s="120">
        <f t="shared" si="40"/>
        <v>333737864.07766998</v>
      </c>
      <c r="DR28" s="15">
        <f t="shared" si="41"/>
        <v>1.6415316541278672E-11</v>
      </c>
      <c r="DS28" s="40">
        <f t="shared" si="42"/>
        <v>2500</v>
      </c>
      <c r="DT28" s="40">
        <f t="shared" si="43"/>
        <v>455.72916666666663</v>
      </c>
      <c r="DU28" s="40">
        <f t="shared" si="44"/>
        <v>0.22831050228310501</v>
      </c>
      <c r="DV28" s="40">
        <f>up_b2w!BZ28</f>
        <v>55286.023705663516</v>
      </c>
      <c r="DW28" s="40">
        <f>IFERROR(s_C*up_RadSpec!AI28*(1/1000)*s_IFFI_far_adj*s_CF_far_fish,0)</f>
        <v>68.75</v>
      </c>
      <c r="DX28" s="40">
        <f>(s_C*s_IFB_far_adj*s_CF_far_beef*up_RadSpec!AH28*s_Q_w_beef*(1/1000))</f>
        <v>343.75</v>
      </c>
      <c r="DY28" s="40">
        <f>(s_C*s_IFD_far_adj*s_CF_far_dairy*up_RadSpec!AG28*(1/s_D_milk)*s_Q_w_dairy*(1/1000))</f>
        <v>333.73786407766988</v>
      </c>
      <c r="DZ28" s="40">
        <f>(s_C*s_IFSW_far_adj*s_CF_far_swine*up_RadSpec!AL28*s_Q_w_swine*(1/1000))</f>
        <v>343.75</v>
      </c>
      <c r="EA28" s="40">
        <f>(s_C*s_IFP_far_adj*s_CF_far_poultry*up_RadSpec!AJ28*s_Q_w_poultry*(1/1000))</f>
        <v>343.75</v>
      </c>
      <c r="EB28" s="40">
        <f>(s_C*s_IFE_far_adj*s_CF_far_egg*up_RadSpec!AK28*s_Q_w_egg*(1/1000))</f>
        <v>343.75</v>
      </c>
      <c r="EC28" s="40">
        <f>(s_C*s_IFGO_far_adj*s_CF_far_goat*up_RadSpec!AO28*s_Q_p_goat*(1/1000))</f>
        <v>343.75</v>
      </c>
      <c r="ED28" s="40">
        <f>(s_C*s_IFGM_far_adj*s_CF_far_goat_milk*up_RadSpec!AP28*(1/s_D_milk)*s_Q_p_goat_milk*(1/1000))</f>
        <v>333.73786407766988</v>
      </c>
      <c r="EE28" s="40">
        <f>(s_C*s_IFSH_far_adj*s_CF_far_sheep*up_RadSpec!AM28*s_Q_p_sheep*(1/1000))</f>
        <v>343.75</v>
      </c>
      <c r="EF28" s="40">
        <f>(s_C*s_IFSM_far_adj*s_CF_far_sheep_milk*up_RadSpec!AN28*(1/s_D_milk)*s_Q_p_sheep_milk*(1/1000))</f>
        <v>333.73786407766988</v>
      </c>
      <c r="EG28" s="18"/>
      <c r="EH28" s="18"/>
      <c r="EI28" s="18"/>
      <c r="EJ28" s="18"/>
      <c r="EK28" s="18"/>
      <c r="EL28" s="18"/>
      <c r="EM28" s="18"/>
      <c r="EN28" s="18"/>
      <c r="EO28" s="18"/>
      <c r="EP28" s="18"/>
      <c r="EQ28" s="18"/>
      <c r="ER28" s="18"/>
      <c r="ES28" s="18"/>
      <c r="ET28" s="18"/>
      <c r="EU28" s="5"/>
      <c r="EV28" s="15">
        <f>IFERROR((s_TR/(up_RadSpec!G28*s_IFA_far_adj)),".")</f>
        <v>1.0971428571428573E-9</v>
      </c>
      <c r="EW28" s="15">
        <f>IFERROR((s_TR/(up_RadSpec!J28*s_EF_far*(1/365)*s_ED_far*s_ET_far*(1/24)*s_GSF_a)),".")</f>
        <v>1.7520000000000001E-6</v>
      </c>
      <c r="EX28" s="15">
        <f t="shared" si="48"/>
        <v>1.0964562309317064E-9</v>
      </c>
      <c r="EY28" s="40">
        <f t="shared" si="46"/>
        <v>911.45833333333326</v>
      </c>
      <c r="EZ28" s="40">
        <f t="shared" si="47"/>
        <v>0.57077625570776247</v>
      </c>
      <c r="FA28" s="122"/>
      <c r="FB28" s="122"/>
      <c r="FC28" s="122"/>
    </row>
    <row r="29" spans="1:159" customFormat="1" x14ac:dyDescent="0.25">
      <c r="A29" s="44" t="s">
        <v>39</v>
      </c>
      <c r="B29" s="42" t="s">
        <v>1074</v>
      </c>
      <c r="C29" s="15">
        <f>up_dir!AB29</f>
        <v>1.8181818181818181E-11</v>
      </c>
      <c r="D29" s="15">
        <f>IFERROR(s_TR/(up_RadSpec!E29*s_IFP_far_adj*s_CF_far_poultry),".")</f>
        <v>7.2727272727272723E-11</v>
      </c>
      <c r="E29" s="15">
        <f>IFERROR(s_TR/(up_RadSpec!E29*s_IFE_far_adj*s_CF_far_egg),".")</f>
        <v>7.2727272727272723E-11</v>
      </c>
      <c r="F29" s="15">
        <f>IFERROR(s_TR/(up_RadSpec!E29*s_IFB_far_adj*s_CF_far_beef),".")</f>
        <v>7.2727272727272723E-11</v>
      </c>
      <c r="G29" s="15">
        <f>IFERROR(s_TR/(up_RadSpec!E29*s_IFD_far_adj*s_CF_far_dairy),".")</f>
        <v>7.2727272727272723E-11</v>
      </c>
      <c r="H29" s="15">
        <f>IFERROR(s_TR/(up_RadSpec!E29*s_IFSW_far_adj*s_CF_far_swine),".")</f>
        <v>7.2727272727272723E-11</v>
      </c>
      <c r="I29" s="15">
        <f>IFERROR(s_TR/(up_RadSpec!E29*s_IFFI_far_adj*s_CF_far_fish),".")</f>
        <v>7.2727272727272723E-11</v>
      </c>
      <c r="J29" s="15">
        <f>IFERROR(s_TR/(up_RadSpec!E29*s_IFGO_far_adj*s_CF_far_goat),".")</f>
        <v>7.2727272727272723E-11</v>
      </c>
      <c r="K29" s="15">
        <f>IFERROR(s_TR/(up_RadSpec!E29*s_IFSH_far_adj*s_CF_far_sheep),".")</f>
        <v>7.2727272727272723E-11</v>
      </c>
      <c r="L29" s="15">
        <f>IFERROR(s_TR/(up_RadSpec!E29*s_IFGM_far_adj*s_CF_far_goat_milk),".")</f>
        <v>7.2727272727272723E-11</v>
      </c>
      <c r="M29" s="15">
        <f>IFERROR(s_TR/(up_RadSpec!E29*s_IFSM_far_adj*s_CF_far_sheep_milk),".")</f>
        <v>7.2727272727272723E-11</v>
      </c>
      <c r="N29" s="40">
        <f>up_dir!BA29</f>
        <v>55000</v>
      </c>
      <c r="O29" s="40">
        <f t="shared" si="0"/>
        <v>13750</v>
      </c>
      <c r="P29" s="40">
        <f t="shared" si="1"/>
        <v>13750</v>
      </c>
      <c r="Q29" s="40">
        <f t="shared" si="2"/>
        <v>13750</v>
      </c>
      <c r="R29" s="40">
        <f t="shared" si="3"/>
        <v>13750</v>
      </c>
      <c r="S29" s="40">
        <f t="shared" si="4"/>
        <v>13750</v>
      </c>
      <c r="T29" s="40">
        <f t="shared" si="5"/>
        <v>13750</v>
      </c>
      <c r="U29" s="40">
        <f t="shared" si="6"/>
        <v>13750</v>
      </c>
      <c r="V29" s="40">
        <f t="shared" si="7"/>
        <v>13750</v>
      </c>
      <c r="W29" s="40">
        <f t="shared" si="8"/>
        <v>13750</v>
      </c>
      <c r="X29" s="40">
        <f t="shared" si="9"/>
        <v>13750</v>
      </c>
      <c r="Y29" s="5"/>
      <c r="Z29" s="5"/>
      <c r="AA29" s="5"/>
      <c r="AB29" s="5"/>
      <c r="AC29" s="5"/>
      <c r="AD29" s="5"/>
      <c r="AE29" s="5"/>
      <c r="AF29" s="5"/>
      <c r="AG29" s="5"/>
      <c r="AH29" s="5"/>
      <c r="AI29" s="5"/>
      <c r="AJ29" s="45">
        <f>IFERROR((s_TR/(up_RadSpec!D29*s_IFS_far_adj*(1/1000)))*1,".")</f>
        <v>3.6363636363636363E-8</v>
      </c>
      <c r="AK29" s="45">
        <f>IFERROR(IF(A29="H-3",(s_TR/(up_RadSpec!G29*s_IFA_far_adj*(1/17)*1000))*1,(s_TR/(up_RadSpec!G29*s_IFA_far_adj*(1/s_PEF_wind)*1000))*1),".")</f>
        <v>3.3989909629864073E-4</v>
      </c>
      <c r="AL29" s="45">
        <f>IFERROR((s_TR/(up_RadSpec!F29*s_EF_far*(1/365)*s_ED_far*up_RadSpec!Q29*((s_ET_far_o*(1/24)*up_RadSpec!V29)+(s_ET_far_i*(1/24)*up_RadSpec!AA29))))*1,".")</f>
        <v>1.2964480874316945E-5</v>
      </c>
      <c r="AM29" s="45">
        <f>up_b2s!BA29</f>
        <v>3.6265718922545492E-12</v>
      </c>
      <c r="AN29" s="45">
        <f>IFERROR(((I29*up_RadSpec!AS29)/up_RadSpec!AI29)*1,".")</f>
        <v>7.2727272727272723E-11</v>
      </c>
      <c r="AO29" s="45">
        <f>IFERROR((F29/(up_RadSpec!AH29*((s_Q_p_beef*s_f_p_beef*s_f_s_beef*(up_RadSpec!BB29+s_R_es_past))+(s_Q_s_beef*s_f_p_beef))))*1,".")</f>
        <v>2.0414673046251994E-14</v>
      </c>
      <c r="AP29" s="45">
        <f>IFERROR(((G29*s_D_milk)/(up_RadSpec!AG29*((s_Q_p_dairy*s_f_p_dairy*s_f_s_dairy*(up_RadSpec!BB29+s_R_es_past))+(s_Q_s_dairy*s_f_p_dairy))))*1,".")</f>
        <v>2.102711323763955E-14</v>
      </c>
      <c r="AQ29" s="45">
        <f>IFERROR((H29/(up_RadSpec!AL29*((s_Q_p_swine*s_f_p_swine*s_f_s_swine*(up_RadSpec!BB29+s_R_es_past))+(s_Q_s_swine*s_f_p_swine))))*1,".")</f>
        <v>2.0414673046251994E-14</v>
      </c>
      <c r="AR29" s="45">
        <f>IFERROR((D29/(up_RadSpec!AJ29*((s_Q_p_poultry*s_f_p_poultry*s_f_s_poultry*(up_RadSpec!BB29+s_R_es_past))+(s_Q_s_poultry*s_f_p_poultry))))*1,".")</f>
        <v>2.0414673046251994E-14</v>
      </c>
      <c r="AS29" s="45">
        <f>IFERROR((E29/(up_RadSpec!AK29*((s_Q_p_poultry*s_f_p_poultry*s_f_s_poultry*(up_RadSpec!BB29+s_R_es_past))+(s_Q_s_poultry*s_f_p_poultry))))*1,".")</f>
        <v>2.0414673046251994E-14</v>
      </c>
      <c r="AT29" s="45">
        <f>IFERROR((J29/(up_RadSpec!AO29*((s_Q_p_goat*s_f_p_goat*s_f_s_goat*(up_RadSpec!BB29+s_R_es_past))+(s_Q_s_goat*s_f_p_goat))))*1,".")</f>
        <v>2.0414673046251994E-14</v>
      </c>
      <c r="AU29" s="45">
        <f>IFERROR((L29*s_D_milk/(up_RadSpec!AP29*((s_Q_p_goat_milk*s_f_p_goat_milk*s_f_s_goat_milk*(up_RadSpec!BB29+s_R_es_past))+(s_Q_s_goat_milk*s_f_p_goat_milk))))*1,".")</f>
        <v>2.102711323763955E-14</v>
      </c>
      <c r="AV29" s="45">
        <f>IFERROR((K29/(up_RadSpec!AM29*((s_Q_p_sheep*s_f_p_sheep*s_f_s_sheep*(up_RadSpec!BB29+s_R_es_past))+(s_Q_s_sheep*s_f_p_sheep))))*1,".")</f>
        <v>2.0414673046251994E-14</v>
      </c>
      <c r="AW29" s="45">
        <f>IFERROR((M29*s_D_milk/(up_RadSpec!AN29*((s_Q_p_sheep_milk*s_f_p_sheep_milk*s_f_s_sheep_milk*(up_RadSpec!BB29+s_R_es_past))+(s_Q_s_sheep_milk*s_f_p_sheep_milk))))*1,".")</f>
        <v>2.102711323763955E-14</v>
      </c>
      <c r="AX29" s="120">
        <f t="shared" si="10"/>
        <v>27500000</v>
      </c>
      <c r="AY29" s="120">
        <f t="shared" si="11"/>
        <v>2942.0495991003877</v>
      </c>
      <c r="AZ29" s="120">
        <f t="shared" si="12"/>
        <v>77133.825079030532</v>
      </c>
      <c r="BA29" s="120">
        <f t="shared" si="13"/>
        <v>275742500000</v>
      </c>
      <c r="BB29" s="120">
        <f t="shared" si="14"/>
        <v>13750000000</v>
      </c>
      <c r="BC29" s="120">
        <f t="shared" si="15"/>
        <v>48984375000000</v>
      </c>
      <c r="BD29" s="120">
        <f t="shared" si="16"/>
        <v>47557645631067.969</v>
      </c>
      <c r="BE29" s="120">
        <f t="shared" si="17"/>
        <v>48984375000000</v>
      </c>
      <c r="BF29" s="120">
        <f t="shared" si="18"/>
        <v>48984375000000</v>
      </c>
      <c r="BG29" s="120">
        <f t="shared" si="19"/>
        <v>48984375000000</v>
      </c>
      <c r="BH29" s="120">
        <f t="shared" si="20"/>
        <v>48984375000000</v>
      </c>
      <c r="BI29" s="120">
        <f t="shared" si="21"/>
        <v>47557645631067.969</v>
      </c>
      <c r="BJ29" s="120">
        <f t="shared" si="22"/>
        <v>48984375000000</v>
      </c>
      <c r="BK29" s="120">
        <f t="shared" si="23"/>
        <v>47557645631067.969</v>
      </c>
      <c r="BL29" s="15">
        <f t="shared" si="24"/>
        <v>2.2890172357004339E-15</v>
      </c>
      <c r="BM29" s="40">
        <f t="shared" si="25"/>
        <v>27.5</v>
      </c>
      <c r="BN29" s="40">
        <f t="shared" si="26"/>
        <v>2.9420495991003873E-3</v>
      </c>
      <c r="BO29" s="40">
        <f>IFERROR((s_C*s_EF_far*(1/365)*s_ED_far*up_RadSpec!Q29*((s_ET_far_o*(1/24)*up_RadSpec!V29)+(s_ET_far_i*(1/24)*up_RadSpec!AA29))),".")</f>
        <v>7.7133825079030521E-2</v>
      </c>
      <c r="BP29" s="40">
        <f>up_b2s!BZ29</f>
        <v>275742.5</v>
      </c>
      <c r="BQ29" s="40">
        <f>IFERROR(((s_C*up_RadSpec!AI29)/up_RadSpec!AS29)*s_IFFI_far_adj*s_CF_far_fish,0)</f>
        <v>13750</v>
      </c>
      <c r="BR29" s="40">
        <f>(s_C*s_IFB_far_adj*s_CF_far_beef*up_RadSpec!AH29*((s_Q_p_beef*s_f_p_beef*s_f_s_beef*(up_RadSpec!$AR29+s_R_es_past))+(s_Q_s_beef*s_f_p_beef)))</f>
        <v>48984375</v>
      </c>
      <c r="BS29" s="40">
        <f>(s_C*s_IFD_far_adj*s_CF_far_dairy*up_RadSpec!AG29*1/s_D_milk*((s_Q_p_dairy*s_f_p_dairy*s_f_s_dairy*(up_RadSpec!$AR29+s_R_es_past))+(s_Q_s_dairy*s_f_p_dairy)))</f>
        <v>47557645.631067954</v>
      </c>
      <c r="BT29" s="40">
        <f>(s_C*s_IFSW_far_adj*s_CF_far_swine*up_RadSpec!AL29*((s_Q_p_swine*s_f_p_swine*s_f_s_swine*(up_RadSpec!$AR29+s_R_es_past))+(s_Q_s_swine*s_f_p_swine)))</f>
        <v>48984375</v>
      </c>
      <c r="BU29" s="40">
        <f>(s_C*s_IFP_far_adj*s_CF_far_poultry*up_RadSpec!AJ29*((s_Q_p_poultry*s_f_p_poultry*s_f_s_poultry*(up_RadSpec!AR29+s_R_es_past))+(s_Q_s_poultry*s_f_p_poultry)))</f>
        <v>48984375</v>
      </c>
      <c r="BV29" s="40">
        <f>(s_C*s_IFE_far_adj*s_CF_far_egg*up_RadSpec!AK29*((s_Q_p_egg*s_f_p_egg*s_f_s_egg*(up_RadSpec!$AR29+s_R_es_past))+(s_Q_s_egg*s_f_p_egg)))</f>
        <v>48984375</v>
      </c>
      <c r="BW29" s="40">
        <f>(s_C*s_IFGO_far_adj*s_CF_far_goat*up_RadSpec!AO29*((s_Q_p_goat*s_f_p_goat*s_f_s_goat*(up_RadSpec!$AR29+s_R_es_past))+(s_Q_s_goat*s_f_p_goat)))</f>
        <v>48984375</v>
      </c>
      <c r="BX29" s="40">
        <f>(s_C*s_IFGM_far_adj*s_CF_far_goat_milk*up_RadSpec!AP29*1/s_D_milk*((s_Q_p_goat_milk*s_f_p_goat_milk*s_f_s_goat_milk*(up_RadSpec!$AR29+s_R_es_past))+(s_Q_s_goat_milk*s_f_p_goat_milk)))</f>
        <v>47557645.631067954</v>
      </c>
      <c r="BY29" s="40">
        <f>(s_C*s_IFSH_far_adj*s_CF_far_sheep*up_RadSpec!AM29*((s_Q_p_sheep*s_f_p_sheep*s_f_s_sheep*(up_RadSpec!$AR29+s_R_es_past))+(s_Q_s_sheep*s_f_p_sheep)))</f>
        <v>48984375</v>
      </c>
      <c r="BZ29" s="40">
        <f>(s_C*s_IFSM_far_adj*s_CF_far_sheep_milk*up_RadSpec!AN29*1/s_D_milk*((s_Q_p_sheep_milk*s_f_p_sheep_milk*s_f_s_sheep_milk*(up_RadSpec!$AR29+s_R_es_past))+(s_Q_s_sheep_milk*s_f_p_sheep_milk)))</f>
        <v>47557645.631067954</v>
      </c>
      <c r="CA29" s="45"/>
      <c r="CB29" s="45"/>
      <c r="CC29" s="45"/>
      <c r="CD29" s="45"/>
      <c r="CE29" s="45"/>
      <c r="CF29" s="45"/>
      <c r="CG29" s="45"/>
      <c r="CH29" s="45"/>
      <c r="CI29" s="45"/>
      <c r="CJ29" s="45"/>
      <c r="CK29" s="45"/>
      <c r="CL29" s="45"/>
      <c r="CM29" s="45"/>
      <c r="CN29" s="45"/>
      <c r="CO29" s="15"/>
      <c r="CP29" s="15">
        <f>IFERROR(s_TR/(up_RadSpec!H29*s_IFW_far_adj),".")</f>
        <v>3.9999999999999996E-10</v>
      </c>
      <c r="CQ29" s="15" t="str">
        <f>IFERROR(IF(up_RadSpec!C29=1,s_TR/(up_RadSpec!G29*s_IFA_far_adj*s_K),"."),".")</f>
        <v>.</v>
      </c>
      <c r="CR29" s="15">
        <f>IFERROR((s_TR/(up_RadSpec!L29*(1/8760)*s_DFA_far_adj)),".")</f>
        <v>4.3800000000000004E-6</v>
      </c>
      <c r="CS29" s="15">
        <f>up_b2w!BA29</f>
        <v>1.8087754064641833E-11</v>
      </c>
      <c r="CT29" s="15">
        <f>IFERROR(I29/(up_RadSpec!AI29*(1/1000)),".")</f>
        <v>1.4545454545454544E-8</v>
      </c>
      <c r="CU29" s="15">
        <f>IFERROR(F29/(up_RadSpec!AH29*s_Q_w_beef*(1/1000)),".")</f>
        <v>2.9090909090909087E-9</v>
      </c>
      <c r="CV29" s="15">
        <f>IFERROR((G29*s_D_milk)/(up_RadSpec!AG29*s_Q_w_dairy*(1/1000)),".")</f>
        <v>2.9963636363636357E-9</v>
      </c>
      <c r="CW29" s="15">
        <f>IFERROR(H29/(up_RadSpec!AL29*s_Q_w_swine*(1/1000)),".")</f>
        <v>2.9090909090909087E-9</v>
      </c>
      <c r="CX29" s="15">
        <f>IFERROR(D29/(up_RadSpec!AJ29*s_Q_w_poultry*(1/1000)),".")</f>
        <v>2.9090909090909087E-9</v>
      </c>
      <c r="CY29" s="15">
        <f>IFERROR(E29/(up_RadSpec!AK29*s_Q_w_poultry*(1/1000)),".")</f>
        <v>2.9090909090909087E-9</v>
      </c>
      <c r="CZ29" s="15">
        <f>IFERROR(J29/(up_RadSpec!AO29*s_Q_w_goat*(1/1000)),".")</f>
        <v>2.9090909090909087E-9</v>
      </c>
      <c r="DA29" s="15">
        <f>IFERROR(L29*s_D_milk/(up_RadSpec!AP29*s_Q_w_goat_milk*(1/1000)),".")</f>
        <v>2.9963636363636357E-9</v>
      </c>
      <c r="DB29" s="15">
        <f>IFERROR(K29/(up_RadSpec!AM29*s_Q_w_sheep*(1/1000)),".")</f>
        <v>2.9090909090909087E-9</v>
      </c>
      <c r="DC29" s="15">
        <f>IFERROR(M29*s_D_milk/(up_RadSpec!AN29*s_Q_w_sheep_milk*(1/1000)),".")</f>
        <v>2.9963636363636357E-9</v>
      </c>
      <c r="DD29" s="120">
        <f t="shared" si="27"/>
        <v>2500000000</v>
      </c>
      <c r="DE29" s="120" t="str">
        <f t="shared" si="28"/>
        <v>.</v>
      </c>
      <c r="DF29" s="120">
        <f t="shared" si="29"/>
        <v>228310.50228310502</v>
      </c>
      <c r="DG29" s="120">
        <f t="shared" si="30"/>
        <v>55286023705.663513</v>
      </c>
      <c r="DH29" s="120">
        <f t="shared" si="31"/>
        <v>68750000</v>
      </c>
      <c r="DI29" s="120">
        <f t="shared" si="32"/>
        <v>343750000.00000006</v>
      </c>
      <c r="DJ29" s="120">
        <f t="shared" si="33"/>
        <v>333737864.07766998</v>
      </c>
      <c r="DK29" s="120">
        <f t="shared" si="34"/>
        <v>343750000.00000006</v>
      </c>
      <c r="DL29" s="120">
        <f t="shared" si="35"/>
        <v>343750000.00000006</v>
      </c>
      <c r="DM29" s="120">
        <f t="shared" si="36"/>
        <v>343750000.00000006</v>
      </c>
      <c r="DN29" s="120">
        <f t="shared" si="37"/>
        <v>343750000.00000006</v>
      </c>
      <c r="DO29" s="120">
        <f t="shared" si="38"/>
        <v>333737864.07766998</v>
      </c>
      <c r="DP29" s="120">
        <f t="shared" si="39"/>
        <v>343750000.00000006</v>
      </c>
      <c r="DQ29" s="120">
        <f t="shared" si="40"/>
        <v>333737864.07766998</v>
      </c>
      <c r="DR29" s="15">
        <f t="shared" si="41"/>
        <v>1.6415316541278672E-11</v>
      </c>
      <c r="DS29" s="40">
        <f t="shared" si="42"/>
        <v>2500</v>
      </c>
      <c r="DT29" s="40">
        <f t="shared" si="43"/>
        <v>455.72916666666663</v>
      </c>
      <c r="DU29" s="40">
        <f t="shared" si="44"/>
        <v>0.22831050228310501</v>
      </c>
      <c r="DV29" s="40">
        <f>up_b2w!BZ29</f>
        <v>55286.023705663516</v>
      </c>
      <c r="DW29" s="40">
        <f>IFERROR(s_C*up_RadSpec!AI29*(1/1000)*s_IFFI_far_adj*s_CF_far_fish,0)</f>
        <v>68.75</v>
      </c>
      <c r="DX29" s="40">
        <f>(s_C*s_IFB_far_adj*s_CF_far_beef*up_RadSpec!AH29*s_Q_w_beef*(1/1000))</f>
        <v>343.75</v>
      </c>
      <c r="DY29" s="40">
        <f>(s_C*s_IFD_far_adj*s_CF_far_dairy*up_RadSpec!AG29*(1/s_D_milk)*s_Q_w_dairy*(1/1000))</f>
        <v>333.73786407766988</v>
      </c>
      <c r="DZ29" s="40">
        <f>(s_C*s_IFSW_far_adj*s_CF_far_swine*up_RadSpec!AL29*s_Q_w_swine*(1/1000))</f>
        <v>343.75</v>
      </c>
      <c r="EA29" s="40">
        <f>(s_C*s_IFP_far_adj*s_CF_far_poultry*up_RadSpec!AJ29*s_Q_w_poultry*(1/1000))</f>
        <v>343.75</v>
      </c>
      <c r="EB29" s="40">
        <f>(s_C*s_IFE_far_adj*s_CF_far_egg*up_RadSpec!AK29*s_Q_w_egg*(1/1000))</f>
        <v>343.75</v>
      </c>
      <c r="EC29" s="40">
        <f>(s_C*s_IFGO_far_adj*s_CF_far_goat*up_RadSpec!AO29*s_Q_p_goat*(1/1000))</f>
        <v>343.75</v>
      </c>
      <c r="ED29" s="40">
        <f>(s_C*s_IFGM_far_adj*s_CF_far_goat_milk*up_RadSpec!AP29*(1/s_D_milk)*s_Q_p_goat_milk*(1/1000))</f>
        <v>333.73786407766988</v>
      </c>
      <c r="EE29" s="40">
        <f>(s_C*s_IFSH_far_adj*s_CF_far_sheep*up_RadSpec!AM29*s_Q_p_sheep*(1/1000))</f>
        <v>343.75</v>
      </c>
      <c r="EF29" s="40">
        <f>(s_C*s_IFSM_far_adj*s_CF_far_sheep_milk*up_RadSpec!AN29*(1/s_D_milk)*s_Q_p_sheep_milk*(1/1000))</f>
        <v>333.73786407766988</v>
      </c>
      <c r="EG29" s="18"/>
      <c r="EH29" s="18"/>
      <c r="EI29" s="18"/>
      <c r="EJ29" s="18"/>
      <c r="EK29" s="18"/>
      <c r="EL29" s="18"/>
      <c r="EM29" s="18"/>
      <c r="EN29" s="18"/>
      <c r="EO29" s="18"/>
      <c r="EP29" s="18"/>
      <c r="EQ29" s="18"/>
      <c r="ER29" s="18"/>
      <c r="ES29" s="18"/>
      <c r="ET29" s="18"/>
      <c r="EU29" s="5"/>
      <c r="EV29" s="15">
        <f>IFERROR((s_TR/(up_RadSpec!G29*s_IFA_far_adj)),".")</f>
        <v>1.0971428571428573E-9</v>
      </c>
      <c r="EW29" s="15">
        <f>IFERROR((s_TR/(up_RadSpec!J29*s_EF_far*(1/365)*s_ED_far*s_ET_far*(1/24)*s_GSF_a)),".")</f>
        <v>1.7520000000000001E-6</v>
      </c>
      <c r="EX29" s="15">
        <f t="shared" si="48"/>
        <v>1.0964562309317064E-9</v>
      </c>
      <c r="EY29" s="40">
        <f t="shared" si="46"/>
        <v>911.45833333333326</v>
      </c>
      <c r="EZ29" s="40">
        <f t="shared" si="47"/>
        <v>0.57077625570776247</v>
      </c>
      <c r="FA29" s="122"/>
      <c r="FB29" s="122"/>
      <c r="FC29" s="122"/>
    </row>
    <row r="30" spans="1:159" customFormat="1" x14ac:dyDescent="0.25">
      <c r="A30" s="44" t="s">
        <v>40</v>
      </c>
      <c r="B30" s="42" t="s">
        <v>1074</v>
      </c>
      <c r="C30" s="15">
        <f>up_dir!AB30</f>
        <v>1.8181818181818181E-11</v>
      </c>
      <c r="D30" s="15">
        <f>IFERROR(s_TR/(up_RadSpec!E30*s_IFP_far_adj*s_CF_far_poultry),".")</f>
        <v>7.2727272727272723E-11</v>
      </c>
      <c r="E30" s="15">
        <f>IFERROR(s_TR/(up_RadSpec!E30*s_IFE_far_adj*s_CF_far_egg),".")</f>
        <v>7.2727272727272723E-11</v>
      </c>
      <c r="F30" s="15">
        <f>IFERROR(s_TR/(up_RadSpec!E30*s_IFB_far_adj*s_CF_far_beef),".")</f>
        <v>7.2727272727272723E-11</v>
      </c>
      <c r="G30" s="15">
        <f>IFERROR(s_TR/(up_RadSpec!E30*s_IFD_far_adj*s_CF_far_dairy),".")</f>
        <v>7.2727272727272723E-11</v>
      </c>
      <c r="H30" s="15">
        <f>IFERROR(s_TR/(up_RadSpec!E30*s_IFSW_far_adj*s_CF_far_swine),".")</f>
        <v>7.2727272727272723E-11</v>
      </c>
      <c r="I30" s="15">
        <f>IFERROR(s_TR/(up_RadSpec!E30*s_IFFI_far_adj*s_CF_far_fish),".")</f>
        <v>7.2727272727272723E-11</v>
      </c>
      <c r="J30" s="15">
        <f>IFERROR(s_TR/(up_RadSpec!E30*s_IFGO_far_adj*s_CF_far_goat),".")</f>
        <v>7.2727272727272723E-11</v>
      </c>
      <c r="K30" s="15">
        <f>IFERROR(s_TR/(up_RadSpec!E30*s_IFSH_far_adj*s_CF_far_sheep),".")</f>
        <v>7.2727272727272723E-11</v>
      </c>
      <c r="L30" s="15">
        <f>IFERROR(s_TR/(up_RadSpec!E30*s_IFGM_far_adj*s_CF_far_goat_milk),".")</f>
        <v>7.2727272727272723E-11</v>
      </c>
      <c r="M30" s="15">
        <f>IFERROR(s_TR/(up_RadSpec!E30*s_IFSM_far_adj*s_CF_far_sheep_milk),".")</f>
        <v>7.2727272727272723E-11</v>
      </c>
      <c r="N30" s="40">
        <f>up_dir!BA30</f>
        <v>55000</v>
      </c>
      <c r="O30" s="40">
        <f t="shared" si="0"/>
        <v>13750</v>
      </c>
      <c r="P30" s="40">
        <f t="shared" si="1"/>
        <v>13750</v>
      </c>
      <c r="Q30" s="40">
        <f t="shared" si="2"/>
        <v>13750</v>
      </c>
      <c r="R30" s="40">
        <f t="shared" si="3"/>
        <v>13750</v>
      </c>
      <c r="S30" s="40">
        <f t="shared" si="4"/>
        <v>13750</v>
      </c>
      <c r="T30" s="40">
        <f t="shared" si="5"/>
        <v>13750</v>
      </c>
      <c r="U30" s="40">
        <f t="shared" si="6"/>
        <v>13750</v>
      </c>
      <c r="V30" s="40">
        <f t="shared" si="7"/>
        <v>13750</v>
      </c>
      <c r="W30" s="40">
        <f t="shared" si="8"/>
        <v>13750</v>
      </c>
      <c r="X30" s="40">
        <f t="shared" si="9"/>
        <v>13750</v>
      </c>
      <c r="Y30" s="5"/>
      <c r="Z30" s="5"/>
      <c r="AA30" s="5"/>
      <c r="AB30" s="5"/>
      <c r="AC30" s="5"/>
      <c r="AD30" s="5"/>
      <c r="AE30" s="5"/>
      <c r="AF30" s="5"/>
      <c r="AG30" s="5"/>
      <c r="AH30" s="5"/>
      <c r="AI30" s="5"/>
      <c r="AJ30" s="45">
        <f>IFERROR((s_TR/(up_RadSpec!D30*s_IFS_far_adj*(1/1000)))*1,".")</f>
        <v>3.6363636363636363E-8</v>
      </c>
      <c r="AK30" s="45">
        <f>IFERROR(IF(A30="H-3",(s_TR/(up_RadSpec!G30*s_IFA_far_adj*(1/17)*1000))*1,(s_TR/(up_RadSpec!G30*s_IFA_far_adj*(1/s_PEF_wind)*1000))*1),".")</f>
        <v>3.3989909629864073E-4</v>
      </c>
      <c r="AL30" s="45">
        <f>IFERROR((s_TR/(up_RadSpec!F30*s_EF_far*(1/365)*s_ED_far*up_RadSpec!Q30*((s_ET_far_o*(1/24)*up_RadSpec!V30)+(s_ET_far_i*(1/24)*up_RadSpec!AA30))))*1,".")</f>
        <v>1.2166666666666668E-4</v>
      </c>
      <c r="AM30" s="45">
        <f>up_b2s!BA30</f>
        <v>3.6265718922545492E-12</v>
      </c>
      <c r="AN30" s="45">
        <f>IFERROR(((I30*up_RadSpec!AS30)/up_RadSpec!AI30)*1,".")</f>
        <v>7.2727272727272723E-11</v>
      </c>
      <c r="AO30" s="45">
        <f>IFERROR((F30/(up_RadSpec!AH30*((s_Q_p_beef*s_f_p_beef*s_f_s_beef*(up_RadSpec!BB30+s_R_es_past))+(s_Q_s_beef*s_f_p_beef))))*1,".")</f>
        <v>2.0414673046251994E-14</v>
      </c>
      <c r="AP30" s="45">
        <f>IFERROR(((G30*s_D_milk)/(up_RadSpec!AG30*((s_Q_p_dairy*s_f_p_dairy*s_f_s_dairy*(up_RadSpec!BB30+s_R_es_past))+(s_Q_s_dairy*s_f_p_dairy))))*1,".")</f>
        <v>2.102711323763955E-14</v>
      </c>
      <c r="AQ30" s="45">
        <f>IFERROR((H30/(up_RadSpec!AL30*((s_Q_p_swine*s_f_p_swine*s_f_s_swine*(up_RadSpec!BB30+s_R_es_past))+(s_Q_s_swine*s_f_p_swine))))*1,".")</f>
        <v>2.0414673046251994E-14</v>
      </c>
      <c r="AR30" s="45">
        <f>IFERROR((D30/(up_RadSpec!AJ30*((s_Q_p_poultry*s_f_p_poultry*s_f_s_poultry*(up_RadSpec!BB30+s_R_es_past))+(s_Q_s_poultry*s_f_p_poultry))))*1,".")</f>
        <v>2.0414673046251994E-14</v>
      </c>
      <c r="AS30" s="45">
        <f>IFERROR((E30/(up_RadSpec!AK30*((s_Q_p_poultry*s_f_p_poultry*s_f_s_poultry*(up_RadSpec!BB30+s_R_es_past))+(s_Q_s_poultry*s_f_p_poultry))))*1,".")</f>
        <v>2.0414673046251994E-14</v>
      </c>
      <c r="AT30" s="45">
        <f>IFERROR((J30/(up_RadSpec!AO30*((s_Q_p_goat*s_f_p_goat*s_f_s_goat*(up_RadSpec!BB30+s_R_es_past))+(s_Q_s_goat*s_f_p_goat))))*1,".")</f>
        <v>2.0414673046251994E-14</v>
      </c>
      <c r="AU30" s="45">
        <f>IFERROR((L30*s_D_milk/(up_RadSpec!AP30*((s_Q_p_goat_milk*s_f_p_goat_milk*s_f_s_goat_milk*(up_RadSpec!BB30+s_R_es_past))+(s_Q_s_goat_milk*s_f_p_goat_milk))))*1,".")</f>
        <v>2.102711323763955E-14</v>
      </c>
      <c r="AV30" s="45">
        <f>IFERROR((K30/(up_RadSpec!AM30*((s_Q_p_sheep*s_f_p_sheep*s_f_s_sheep*(up_RadSpec!BB30+s_R_es_past))+(s_Q_s_sheep*s_f_p_sheep))))*1,".")</f>
        <v>2.0414673046251994E-14</v>
      </c>
      <c r="AW30" s="45">
        <f>IFERROR((M30*s_D_milk/(up_RadSpec!AN30*((s_Q_p_sheep_milk*s_f_p_sheep_milk*s_f_s_sheep_milk*(up_RadSpec!BB30+s_R_es_past))+(s_Q_s_sheep_milk*s_f_p_sheep_milk))))*1,".")</f>
        <v>2.102711323763955E-14</v>
      </c>
      <c r="AX30" s="120">
        <f t="shared" si="10"/>
        <v>27500000</v>
      </c>
      <c r="AY30" s="120">
        <f t="shared" si="11"/>
        <v>2942.0495991003877</v>
      </c>
      <c r="AZ30" s="120">
        <f t="shared" si="12"/>
        <v>8219.17808219178</v>
      </c>
      <c r="BA30" s="120">
        <f t="shared" si="13"/>
        <v>275742500000</v>
      </c>
      <c r="BB30" s="120">
        <f t="shared" si="14"/>
        <v>13750000000</v>
      </c>
      <c r="BC30" s="120">
        <f t="shared" si="15"/>
        <v>48984375000000</v>
      </c>
      <c r="BD30" s="120">
        <f t="shared" si="16"/>
        <v>47557645631067.969</v>
      </c>
      <c r="BE30" s="120">
        <f t="shared" si="17"/>
        <v>48984375000000</v>
      </c>
      <c r="BF30" s="120">
        <f t="shared" si="18"/>
        <v>48984375000000</v>
      </c>
      <c r="BG30" s="120">
        <f t="shared" si="19"/>
        <v>48984375000000</v>
      </c>
      <c r="BH30" s="120">
        <f t="shared" si="20"/>
        <v>48984375000000</v>
      </c>
      <c r="BI30" s="120">
        <f t="shared" si="21"/>
        <v>47557645631067.969</v>
      </c>
      <c r="BJ30" s="120">
        <f t="shared" si="22"/>
        <v>48984375000000</v>
      </c>
      <c r="BK30" s="120">
        <f t="shared" si="23"/>
        <v>47557645631067.969</v>
      </c>
      <c r="BL30" s="15">
        <f t="shared" si="24"/>
        <v>2.2890172360615196E-15</v>
      </c>
      <c r="BM30" s="40">
        <f t="shared" si="25"/>
        <v>27.5</v>
      </c>
      <c r="BN30" s="40">
        <f t="shared" si="26"/>
        <v>2.9420495991003873E-3</v>
      </c>
      <c r="BO30" s="40">
        <f>IFERROR((s_C*s_EF_far*(1/365)*s_ED_far*up_RadSpec!Q30*((s_ET_far_o*(1/24)*up_RadSpec!V30)+(s_ET_far_i*(1/24)*up_RadSpec!AA30))),".")</f>
        <v>8.21917808219178E-3</v>
      </c>
      <c r="BP30" s="40">
        <f>up_b2s!BZ30</f>
        <v>275742.5</v>
      </c>
      <c r="BQ30" s="40">
        <f>IFERROR(((s_C*up_RadSpec!AI30)/up_RadSpec!AS30)*s_IFFI_far_adj*s_CF_far_fish,0)</f>
        <v>13750</v>
      </c>
      <c r="BR30" s="40">
        <f>(s_C*s_IFB_far_adj*s_CF_far_beef*up_RadSpec!AH30*((s_Q_p_beef*s_f_p_beef*s_f_s_beef*(up_RadSpec!$AR30+s_R_es_past))+(s_Q_s_beef*s_f_p_beef)))</f>
        <v>48984375</v>
      </c>
      <c r="BS30" s="40">
        <f>(s_C*s_IFD_far_adj*s_CF_far_dairy*up_RadSpec!AG30*1/s_D_milk*((s_Q_p_dairy*s_f_p_dairy*s_f_s_dairy*(up_RadSpec!$AR30+s_R_es_past))+(s_Q_s_dairy*s_f_p_dairy)))</f>
        <v>47557645.631067954</v>
      </c>
      <c r="BT30" s="40">
        <f>(s_C*s_IFSW_far_adj*s_CF_far_swine*up_RadSpec!AL30*((s_Q_p_swine*s_f_p_swine*s_f_s_swine*(up_RadSpec!$AR30+s_R_es_past))+(s_Q_s_swine*s_f_p_swine)))</f>
        <v>48984375</v>
      </c>
      <c r="BU30" s="40">
        <f>(s_C*s_IFP_far_adj*s_CF_far_poultry*up_RadSpec!AJ30*((s_Q_p_poultry*s_f_p_poultry*s_f_s_poultry*(up_RadSpec!AR30+s_R_es_past))+(s_Q_s_poultry*s_f_p_poultry)))</f>
        <v>48984375</v>
      </c>
      <c r="BV30" s="40">
        <f>(s_C*s_IFE_far_adj*s_CF_far_egg*up_RadSpec!AK30*((s_Q_p_egg*s_f_p_egg*s_f_s_egg*(up_RadSpec!$AR30+s_R_es_past))+(s_Q_s_egg*s_f_p_egg)))</f>
        <v>48984375</v>
      </c>
      <c r="BW30" s="40">
        <f>(s_C*s_IFGO_far_adj*s_CF_far_goat*up_RadSpec!AO30*((s_Q_p_goat*s_f_p_goat*s_f_s_goat*(up_RadSpec!$AR30+s_R_es_past))+(s_Q_s_goat*s_f_p_goat)))</f>
        <v>48984375</v>
      </c>
      <c r="BX30" s="40">
        <f>(s_C*s_IFGM_far_adj*s_CF_far_goat_milk*up_RadSpec!AP30*1/s_D_milk*((s_Q_p_goat_milk*s_f_p_goat_milk*s_f_s_goat_milk*(up_RadSpec!$AR30+s_R_es_past))+(s_Q_s_goat_milk*s_f_p_goat_milk)))</f>
        <v>47557645.631067954</v>
      </c>
      <c r="BY30" s="40">
        <f>(s_C*s_IFSH_far_adj*s_CF_far_sheep*up_RadSpec!AM30*((s_Q_p_sheep*s_f_p_sheep*s_f_s_sheep*(up_RadSpec!$AR30+s_R_es_past))+(s_Q_s_sheep*s_f_p_sheep)))</f>
        <v>48984375</v>
      </c>
      <c r="BZ30" s="40">
        <f>(s_C*s_IFSM_far_adj*s_CF_far_sheep_milk*up_RadSpec!AN30*1/s_D_milk*((s_Q_p_sheep_milk*s_f_p_sheep_milk*s_f_s_sheep_milk*(up_RadSpec!$AR30+s_R_es_past))+(s_Q_s_sheep_milk*s_f_p_sheep_milk)))</f>
        <v>47557645.631067954</v>
      </c>
      <c r="CA30" s="45"/>
      <c r="CB30" s="45"/>
      <c r="CC30" s="45"/>
      <c r="CD30" s="45"/>
      <c r="CE30" s="45"/>
      <c r="CF30" s="45"/>
      <c r="CG30" s="45"/>
      <c r="CH30" s="45"/>
      <c r="CI30" s="45"/>
      <c r="CJ30" s="45"/>
      <c r="CK30" s="45"/>
      <c r="CL30" s="45"/>
      <c r="CM30" s="45"/>
      <c r="CN30" s="45"/>
      <c r="CO30" s="15"/>
      <c r="CP30" s="15">
        <f>IFERROR(s_TR/(up_RadSpec!H30*s_IFW_far_adj),".")</f>
        <v>3.9999999999999996E-10</v>
      </c>
      <c r="CQ30" s="15" t="str">
        <f>IFERROR(IF(up_RadSpec!C30=1,s_TR/(up_RadSpec!G30*s_IFA_far_adj*s_K),"."),".")</f>
        <v>.</v>
      </c>
      <c r="CR30" s="15">
        <f>IFERROR((s_TR/(up_RadSpec!L30*(1/8760)*s_DFA_far_adj)),".")</f>
        <v>4.3800000000000004E-6</v>
      </c>
      <c r="CS30" s="15">
        <f>up_b2w!BA30</f>
        <v>1.8087754064641833E-11</v>
      </c>
      <c r="CT30" s="15">
        <f>IFERROR(I30/(up_RadSpec!AI30*(1/1000)),".")</f>
        <v>1.4545454545454544E-8</v>
      </c>
      <c r="CU30" s="15">
        <f>IFERROR(F30/(up_RadSpec!AH30*s_Q_w_beef*(1/1000)),".")</f>
        <v>2.9090909090909087E-9</v>
      </c>
      <c r="CV30" s="15">
        <f>IFERROR((G30*s_D_milk)/(up_RadSpec!AG30*s_Q_w_dairy*(1/1000)),".")</f>
        <v>2.9963636363636357E-9</v>
      </c>
      <c r="CW30" s="15">
        <f>IFERROR(H30/(up_RadSpec!AL30*s_Q_w_swine*(1/1000)),".")</f>
        <v>2.9090909090909087E-9</v>
      </c>
      <c r="CX30" s="15">
        <f>IFERROR(D30/(up_RadSpec!AJ30*s_Q_w_poultry*(1/1000)),".")</f>
        <v>2.9090909090909087E-9</v>
      </c>
      <c r="CY30" s="15">
        <f>IFERROR(E30/(up_RadSpec!AK30*s_Q_w_poultry*(1/1000)),".")</f>
        <v>2.9090909090909087E-9</v>
      </c>
      <c r="CZ30" s="15">
        <f>IFERROR(J30/(up_RadSpec!AO30*s_Q_w_goat*(1/1000)),".")</f>
        <v>2.9090909090909087E-9</v>
      </c>
      <c r="DA30" s="15">
        <f>IFERROR(L30*s_D_milk/(up_RadSpec!AP30*s_Q_w_goat_milk*(1/1000)),".")</f>
        <v>2.9963636363636357E-9</v>
      </c>
      <c r="DB30" s="15">
        <f>IFERROR(K30/(up_RadSpec!AM30*s_Q_w_sheep*(1/1000)),".")</f>
        <v>2.9090909090909087E-9</v>
      </c>
      <c r="DC30" s="15">
        <f>IFERROR(M30*s_D_milk/(up_RadSpec!AN30*s_Q_w_sheep_milk*(1/1000)),".")</f>
        <v>2.9963636363636357E-9</v>
      </c>
      <c r="DD30" s="120">
        <f t="shared" si="27"/>
        <v>2500000000</v>
      </c>
      <c r="DE30" s="120" t="str">
        <f t="shared" si="28"/>
        <v>.</v>
      </c>
      <c r="DF30" s="120">
        <f t="shared" si="29"/>
        <v>228310.50228310502</v>
      </c>
      <c r="DG30" s="120">
        <f t="shared" si="30"/>
        <v>55286023705.663513</v>
      </c>
      <c r="DH30" s="120">
        <f t="shared" si="31"/>
        <v>68750000</v>
      </c>
      <c r="DI30" s="120">
        <f t="shared" si="32"/>
        <v>343750000.00000006</v>
      </c>
      <c r="DJ30" s="120">
        <f t="shared" si="33"/>
        <v>333737864.07766998</v>
      </c>
      <c r="DK30" s="120">
        <f t="shared" si="34"/>
        <v>343750000.00000006</v>
      </c>
      <c r="DL30" s="120">
        <f t="shared" si="35"/>
        <v>343750000.00000006</v>
      </c>
      <c r="DM30" s="120">
        <f t="shared" si="36"/>
        <v>343750000.00000006</v>
      </c>
      <c r="DN30" s="120">
        <f t="shared" si="37"/>
        <v>343750000.00000006</v>
      </c>
      <c r="DO30" s="120">
        <f t="shared" si="38"/>
        <v>333737864.07766998</v>
      </c>
      <c r="DP30" s="120">
        <f t="shared" si="39"/>
        <v>343750000.00000006</v>
      </c>
      <c r="DQ30" s="120">
        <f t="shared" si="40"/>
        <v>333737864.07766998</v>
      </c>
      <c r="DR30" s="15">
        <f t="shared" si="41"/>
        <v>1.6415316541278672E-11</v>
      </c>
      <c r="DS30" s="40">
        <f t="shared" si="42"/>
        <v>2500</v>
      </c>
      <c r="DT30" s="40">
        <f t="shared" si="43"/>
        <v>455.72916666666663</v>
      </c>
      <c r="DU30" s="40">
        <f t="shared" si="44"/>
        <v>0.22831050228310501</v>
      </c>
      <c r="DV30" s="40">
        <f>up_b2w!BZ30</f>
        <v>55286.023705663516</v>
      </c>
      <c r="DW30" s="40">
        <f>IFERROR(s_C*up_RadSpec!AI30*(1/1000)*s_IFFI_far_adj*s_CF_far_fish,0)</f>
        <v>68.75</v>
      </c>
      <c r="DX30" s="40">
        <f>(s_C*s_IFB_far_adj*s_CF_far_beef*up_RadSpec!AH30*s_Q_w_beef*(1/1000))</f>
        <v>343.75</v>
      </c>
      <c r="DY30" s="40">
        <f>(s_C*s_IFD_far_adj*s_CF_far_dairy*up_RadSpec!AG30*(1/s_D_milk)*s_Q_w_dairy*(1/1000))</f>
        <v>333.73786407766988</v>
      </c>
      <c r="DZ30" s="40">
        <f>(s_C*s_IFSW_far_adj*s_CF_far_swine*up_RadSpec!AL30*s_Q_w_swine*(1/1000))</f>
        <v>343.75</v>
      </c>
      <c r="EA30" s="40">
        <f>(s_C*s_IFP_far_adj*s_CF_far_poultry*up_RadSpec!AJ30*s_Q_w_poultry*(1/1000))</f>
        <v>343.75</v>
      </c>
      <c r="EB30" s="40">
        <f>(s_C*s_IFE_far_adj*s_CF_far_egg*up_RadSpec!AK30*s_Q_w_egg*(1/1000))</f>
        <v>343.75</v>
      </c>
      <c r="EC30" s="40">
        <f>(s_C*s_IFGO_far_adj*s_CF_far_goat*up_RadSpec!AO30*s_Q_p_goat*(1/1000))</f>
        <v>343.75</v>
      </c>
      <c r="ED30" s="40">
        <f>(s_C*s_IFGM_far_adj*s_CF_far_goat_milk*up_RadSpec!AP30*(1/s_D_milk)*s_Q_p_goat_milk*(1/1000))</f>
        <v>333.73786407766988</v>
      </c>
      <c r="EE30" s="40">
        <f>(s_C*s_IFSH_far_adj*s_CF_far_sheep*up_RadSpec!AM30*s_Q_p_sheep*(1/1000))</f>
        <v>343.75</v>
      </c>
      <c r="EF30" s="40">
        <f>(s_C*s_IFSM_far_adj*s_CF_far_sheep_milk*up_RadSpec!AN30*(1/s_D_milk)*s_Q_p_sheep_milk*(1/1000))</f>
        <v>333.73786407766988</v>
      </c>
      <c r="EG30" s="18"/>
      <c r="EH30" s="18"/>
      <c r="EI30" s="18"/>
      <c r="EJ30" s="18"/>
      <c r="EK30" s="18"/>
      <c r="EL30" s="18"/>
      <c r="EM30" s="18"/>
      <c r="EN30" s="18"/>
      <c r="EO30" s="18"/>
      <c r="EP30" s="18"/>
      <c r="EQ30" s="18"/>
      <c r="ER30" s="18"/>
      <c r="ES30" s="18"/>
      <c r="ET30" s="18"/>
      <c r="EU30" s="5"/>
      <c r="EV30" s="15">
        <f>IFERROR((s_TR/(up_RadSpec!G30*s_IFA_far_adj)),".")</f>
        <v>1.0971428571428573E-9</v>
      </c>
      <c r="EW30" s="15">
        <f>IFERROR((s_TR/(up_RadSpec!J30*s_EF_far*(1/365)*s_ED_far*s_ET_far*(1/24)*s_GSF_a)),".")</f>
        <v>1.7520000000000001E-6</v>
      </c>
      <c r="EX30" s="15">
        <f t="shared" si="48"/>
        <v>1.0964562309317064E-9</v>
      </c>
      <c r="EY30" s="40">
        <f t="shared" si="46"/>
        <v>911.45833333333326</v>
      </c>
      <c r="EZ30" s="40">
        <f t="shared" si="47"/>
        <v>0.57077625570776247</v>
      </c>
      <c r="FA30" s="122"/>
      <c r="FB30" s="122"/>
      <c r="FC30" s="122"/>
    </row>
    <row r="31" spans="1:159" x14ac:dyDescent="0.25">
      <c r="A31" s="82" t="s">
        <v>13</v>
      </c>
      <c r="B31" s="82" t="s">
        <v>1074</v>
      </c>
      <c r="C31" s="58">
        <f>1/SUM(1/C32,1/C33,1/C34,1/C35,1/C36,1/C37,1/C38,1/C41,1/C44)</f>
        <v>2.0202558936925186E-12</v>
      </c>
      <c r="D31" s="58">
        <f t="shared" ref="D31:M31" si="49">1/SUM(1/D32,1/D33,1/D34,1/D35,1/D36,1/D37,1/D38,1/D41,1/D44)</f>
        <v>8.0810235747700744E-12</v>
      </c>
      <c r="E31" s="58">
        <f t="shared" si="49"/>
        <v>8.0810235747700744E-12</v>
      </c>
      <c r="F31" s="58">
        <f t="shared" si="49"/>
        <v>8.0810235747700744E-12</v>
      </c>
      <c r="G31" s="58">
        <f t="shared" si="49"/>
        <v>8.0810235747700744E-12</v>
      </c>
      <c r="H31" s="58">
        <f t="shared" si="49"/>
        <v>8.0810235747700744E-12</v>
      </c>
      <c r="I31" s="58">
        <f t="shared" si="49"/>
        <v>8.0810235747700744E-12</v>
      </c>
      <c r="J31" s="58">
        <f t="shared" si="49"/>
        <v>8.0810235747700744E-12</v>
      </c>
      <c r="K31" s="58">
        <f t="shared" si="49"/>
        <v>8.0810235747700744E-12</v>
      </c>
      <c r="L31" s="58">
        <f t="shared" si="49"/>
        <v>8.0810235747700744E-12</v>
      </c>
      <c r="M31" s="58">
        <f t="shared" si="49"/>
        <v>8.0810235747700744E-12</v>
      </c>
      <c r="N31" s="73"/>
      <c r="O31" s="73"/>
      <c r="P31" s="73"/>
      <c r="Q31" s="73"/>
      <c r="R31" s="73"/>
      <c r="S31" s="73"/>
      <c r="T31" s="73"/>
      <c r="U31" s="73"/>
      <c r="V31" s="73"/>
      <c r="W31" s="73"/>
      <c r="X31" s="73"/>
      <c r="Y31" s="47">
        <f>IFERROR(IF(SUM(N32:N44)&gt;0.01,1-EXP(-SUM(N32:N44)),SUM(N32:N44)),".")</f>
        <v>1</v>
      </c>
      <c r="Z31" s="47">
        <f t="shared" ref="Z31:AI31" si="50">IFERROR(IF(SUM(O32:O44)&gt;0.01,1-EXP(-SUM(O32:O44)),SUM(O32:O44)),".")</f>
        <v>1</v>
      </c>
      <c r="AA31" s="47">
        <f t="shared" si="50"/>
        <v>1</v>
      </c>
      <c r="AB31" s="47">
        <f t="shared" si="50"/>
        <v>1</v>
      </c>
      <c r="AC31" s="47">
        <f t="shared" si="50"/>
        <v>1</v>
      </c>
      <c r="AD31" s="47">
        <f t="shared" si="50"/>
        <v>1</v>
      </c>
      <c r="AE31" s="47">
        <f t="shared" si="50"/>
        <v>1</v>
      </c>
      <c r="AF31" s="47">
        <f t="shared" si="50"/>
        <v>1</v>
      </c>
      <c r="AG31" s="47">
        <f t="shared" si="50"/>
        <v>1</v>
      </c>
      <c r="AH31" s="47">
        <f t="shared" si="50"/>
        <v>1</v>
      </c>
      <c r="AI31" s="47">
        <f t="shared" si="50"/>
        <v>1</v>
      </c>
      <c r="AJ31" s="58">
        <f>1/SUM(1/AJ32,1/AJ33,1/AJ34,1/AJ35,1/AJ36,1/AJ37,1/AJ38,1/AJ41,1/AJ44)</f>
        <v>4.0405117873850377E-9</v>
      </c>
      <c r="AK31" s="58">
        <f>1/SUM(1/AK32,1/AK33,1/AK34,1/AK35,1/AK36,1/AK37,1/AK38,1/AK41,1/AK44)</f>
        <v>3.7767573390694943E-5</v>
      </c>
      <c r="AL31" s="58">
        <f>1/SUM(1/AL32,1/AL33,1/AL34,1/AL35,1/AL36,1/AL37,1/AL38,1/AL41,1/AL43,1/AL39,1/AL40,1/AL42)</f>
        <v>4.9469181672786149E-6</v>
      </c>
      <c r="AM31" s="58">
        <f t="shared" ref="AM31" si="51">1/SUM(1/AM32,1/AM33,1/AM34,1/AM35,1/AM36,1/AM37,1/AM38,1/AM41,1/AM44)</f>
        <v>4.0296317815747855E-13</v>
      </c>
      <c r="AN31" s="58">
        <f>1/SUM(1/AN32,1/AN33,1/AN34,1/AN35,1/AN36,1/AN37,1/AN38,1/AN41,1/AN44)</f>
        <v>8.0810235747700744E-12</v>
      </c>
      <c r="AO31" s="58">
        <f>1/SUM(1/AO32,1/AO33,1/AO34,1/AO35,1/AO36,1/AO37,1/AO38,1/AO41,1/AO44)</f>
        <v>2.2683574946723018E-15</v>
      </c>
      <c r="AP31" s="58">
        <f>1/SUM(1/AP32,1/AP33,1/AP34,1/AP35,1/AP36,1/AP37,1/AP38,1/AP41,1/AP44)</f>
        <v>2.3364082195124705E-15</v>
      </c>
      <c r="AQ31" s="58">
        <f>1/SUM(1/AQ32,1/AQ35)</f>
        <v>1.0207336523125997E-14</v>
      </c>
      <c r="AR31" s="58">
        <f>1/SUM(1/AR32,1/AR35)</f>
        <v>1.0207336523125997E-14</v>
      </c>
      <c r="AS31" s="58">
        <f>1/SUM(1/AS32,1/AS35)</f>
        <v>1.0207336523125997E-14</v>
      </c>
      <c r="AT31" s="121">
        <f>IFERROR(1/SUM(1/AT32,1/AT33,1/AT34,1/AT35,1/AT36,1/AT37,1/AT38,1/AT41,1/AT44),".")</f>
        <v>2.2683574946723018E-15</v>
      </c>
      <c r="AU31" s="58">
        <f>1/SUM(1/AU32,1/AU33,1/AU35,1/AU44)</f>
        <v>5.2569360174904123E-15</v>
      </c>
      <c r="AV31" s="58">
        <f>1/SUM(1/AV32,1/AV33,1/AV35,1/AV36,1/AV37,1/AV44)</f>
        <v>3.4025135579798253E-15</v>
      </c>
      <c r="AW31" s="58">
        <f>1/SUM(1/AW44)</f>
        <v>2.1029636794054837E-14</v>
      </c>
      <c r="AX31" s="42"/>
      <c r="AY31" s="42"/>
      <c r="AZ31" s="42"/>
      <c r="BA31" s="42"/>
      <c r="BB31" s="42"/>
      <c r="BC31" s="42"/>
      <c r="BD31" s="42"/>
      <c r="BE31" s="42"/>
      <c r="BF31" s="42"/>
      <c r="BG31" s="42"/>
      <c r="BH31" s="42"/>
      <c r="BI31" s="42"/>
      <c r="BJ31" s="42"/>
      <c r="BK31" s="42"/>
      <c r="BL31" s="59">
        <f>1/SUM(1/BL32,1/BL33,1/BL34,1/BL35,1/BL36,1/BL37,1/BL38,1/BL41,1/BL44)</f>
        <v>2.543420309036974E-16</v>
      </c>
      <c r="BM31" s="73"/>
      <c r="BN31" s="73"/>
      <c r="BO31" s="73"/>
      <c r="BP31" s="73"/>
      <c r="BQ31" s="73"/>
      <c r="BR31" s="73"/>
      <c r="BS31" s="73"/>
      <c r="BT31" s="73"/>
      <c r="BU31" s="73"/>
      <c r="BV31" s="73"/>
      <c r="BW31" s="73"/>
      <c r="BX31" s="73"/>
      <c r="BY31" s="73"/>
      <c r="BZ31" s="73"/>
      <c r="CA31" s="47">
        <f t="shared" ref="CA31:CN31" si="52">IFERROR(IF(SUM(BM32:BM44)&gt;0.01,1-EXP(-SUM(BM32:BM44)),SUM(BM32:BM44)),".")</f>
        <v>1</v>
      </c>
      <c r="CB31" s="47">
        <f t="shared" si="52"/>
        <v>0.16181604028342822</v>
      </c>
      <c r="CC31" s="47">
        <f t="shared" si="52"/>
        <v>0.63604690631926042</v>
      </c>
      <c r="CD31" s="47">
        <f t="shared" si="52"/>
        <v>1</v>
      </c>
      <c r="CE31" s="47">
        <f t="shared" si="52"/>
        <v>1</v>
      </c>
      <c r="CF31" s="47">
        <f t="shared" si="52"/>
        <v>1</v>
      </c>
      <c r="CG31" s="47">
        <f t="shared" si="52"/>
        <v>1</v>
      </c>
      <c r="CH31" s="47">
        <f t="shared" si="52"/>
        <v>1</v>
      </c>
      <c r="CI31" s="47">
        <f t="shared" si="52"/>
        <v>1</v>
      </c>
      <c r="CJ31" s="47">
        <f t="shared" si="52"/>
        <v>1</v>
      </c>
      <c r="CK31" s="47">
        <f t="shared" si="52"/>
        <v>1</v>
      </c>
      <c r="CL31" s="47">
        <f t="shared" si="52"/>
        <v>1</v>
      </c>
      <c r="CM31" s="47">
        <f t="shared" si="52"/>
        <v>1</v>
      </c>
      <c r="CN31" s="47">
        <f t="shared" si="52"/>
        <v>1</v>
      </c>
      <c r="CO31" s="47">
        <f>IFERROR(IF(SUM(BM32:BZ44)&gt;0.01,1-EXP(-SUM(BM32:BZ44)),SUM(BM32:BZ44)),".")</f>
        <v>1</v>
      </c>
      <c r="CP31" s="59">
        <f t="shared" ref="CP31" si="53">1/SUM(1/CP32,1/CP33,1/CP34,1/CP35,1/CP36,1/CP37,1/CP38,1/CP41,1/CP44)</f>
        <v>4.4445629661235408E-11</v>
      </c>
      <c r="CQ31" s="59" t="str">
        <f>IFERROR(1/SUM(1/CQ32,1/CQ33,1/CQ34,1/CQ35,1/CQ36,1/CQ37,1/CQ38,1/CQ41,1/CQ44),".")</f>
        <v>.</v>
      </c>
      <c r="CR31" s="59">
        <f>1/SUM(1/CR32,1/CR33,1/CR34,1/CR35,1/CR36,1/CR37,1/CR38,1/CR41,1/CR44,1/CR39,1/CR40,1/CR42,1/CR43)</f>
        <v>3.6501095032850989E-7</v>
      </c>
      <c r="CS31" s="59">
        <f>1/SUM(1/CS32,1/CS33,1/CS34,1/CS35,1/CS36,1/CS37,1/CS38,1/CS41,1/CS44)</f>
        <v>2.0098040464014409E-12</v>
      </c>
      <c r="CT31" s="59">
        <f>1/SUM(1/CT32,1/CT33,1/CT34,1/CT35,1/CT36,1/CT37,1/CT38,1/CT41,1/CT44)</f>
        <v>1.6162047149540148E-9</v>
      </c>
      <c r="CU31" s="59">
        <f>1/SUM(1/CU32,1/CU33,1/CU34,1/CU35,1/CU36,1/CU37,1/CU38,1/CU41,1/CU44)</f>
        <v>3.2324094299080294E-10</v>
      </c>
      <c r="CV31" s="59">
        <f>1/SUM(1/CV32,1/CV33,1/CV34,1/CV35,1/CV36,1/CV37,1/CV38,1/CV41,1/CV44)</f>
        <v>3.3293817128052693E-10</v>
      </c>
      <c r="CW31" s="59">
        <f>1/SUM(1/CW32,1/CW35)</f>
        <v>1.4545454545454544E-9</v>
      </c>
      <c r="CX31" s="59">
        <f>1/SUM(1/CX32,1/CX35)</f>
        <v>1.4545454545454544E-9</v>
      </c>
      <c r="CY31" s="59">
        <f>1/SUM(1/CY32,1/CY35)</f>
        <v>1.4545454545454544E-9</v>
      </c>
      <c r="CZ31" s="59">
        <f>(IFERROR(1/SUM(1/CZ32,1/CZ33,1/CZ34,1/CZ35,1/CZ36,1/CZ37,1/CZ38,1/CZ41,1/CZ44),"."))</f>
        <v>3.2324094299080294E-10</v>
      </c>
      <c r="DA31" s="59">
        <f>1/SUM(1/DA32,1/DA33,1/DA35,1/DA44)</f>
        <v>7.4911338249238367E-10</v>
      </c>
      <c r="DB31" s="59">
        <f>1/SUM(1/DB32,1/DB33,1/DB35,1/DB36,1/DB37,1/DB44)</f>
        <v>4.8485818201212499E-10</v>
      </c>
      <c r="DC31" s="59">
        <f>1/SUM(1/DC44)</f>
        <v>2.9967232431528141E-9</v>
      </c>
      <c r="DD31" s="15"/>
      <c r="DE31" s="15"/>
      <c r="DF31" s="15"/>
      <c r="DG31" s="15"/>
      <c r="DH31" s="15"/>
      <c r="DI31" s="15"/>
      <c r="DJ31" s="15"/>
      <c r="DK31" s="15"/>
      <c r="DL31" s="15"/>
      <c r="DM31" s="15"/>
      <c r="DN31" s="15"/>
      <c r="DO31" s="15"/>
      <c r="DP31" s="15"/>
      <c r="DQ31" s="15"/>
      <c r="DR31" s="59">
        <f>1/SUM(1/DR32,1/DR33,1/DR34,1/DR35,1/DR36,1/DR37,1/DR38,1/DR41,1/DR44,1/DR39,1/DR40,1/DR42,1/DR43)</f>
        <v>1.3679840846290949E-12</v>
      </c>
      <c r="DS31" s="70"/>
      <c r="DT31" s="70"/>
      <c r="DU31" s="70"/>
      <c r="DV31" s="70"/>
      <c r="DW31" s="70"/>
      <c r="DX31" s="70"/>
      <c r="DY31" s="70"/>
      <c r="DZ31" s="70"/>
      <c r="EA31" s="70"/>
      <c r="EB31" s="70"/>
      <c r="EC31" s="70"/>
      <c r="ED31" s="70"/>
      <c r="EE31" s="70"/>
      <c r="EF31" s="70"/>
      <c r="EG31" s="47">
        <f t="shared" ref="EG31:ET31" si="54">IFERROR(IF(SUM(DS32:DS44)&gt;0.01,1-EXP(-SUM(DS32:DS44)),SUM(DS32:DS44)),".")</f>
        <v>1</v>
      </c>
      <c r="EH31" s="47">
        <f t="shared" si="54"/>
        <v>1</v>
      </c>
      <c r="EI31" s="47">
        <f t="shared" si="54"/>
        <v>0.99999887555297684</v>
      </c>
      <c r="EJ31" s="47">
        <f t="shared" si="54"/>
        <v>1</v>
      </c>
      <c r="EK31" s="47">
        <f t="shared" si="54"/>
        <v>1</v>
      </c>
      <c r="EL31" s="47">
        <f t="shared" si="54"/>
        <v>1</v>
      </c>
      <c r="EM31" s="47">
        <f t="shared" si="54"/>
        <v>1</v>
      </c>
      <c r="EN31" s="47">
        <f t="shared" si="54"/>
        <v>1</v>
      </c>
      <c r="EO31" s="47">
        <f t="shared" si="54"/>
        <v>1</v>
      </c>
      <c r="EP31" s="47">
        <f t="shared" si="54"/>
        <v>1</v>
      </c>
      <c r="EQ31" s="47">
        <f t="shared" si="54"/>
        <v>1</v>
      </c>
      <c r="ER31" s="47">
        <f t="shared" si="54"/>
        <v>1</v>
      </c>
      <c r="ES31" s="47">
        <f t="shared" si="54"/>
        <v>1</v>
      </c>
      <c r="ET31" s="47">
        <f t="shared" si="54"/>
        <v>1</v>
      </c>
      <c r="EU31" s="47">
        <f>IFERROR(IF(SUM(DS32:EF44)&gt;0.01,1-EXP(-SUM(DS32:EF44)),SUM(DS32:EF44)),".")</f>
        <v>1</v>
      </c>
      <c r="EV31" s="59">
        <f>1/SUM(1/EV32,1/EV33,1/EV34,1/EV35,1/EV36,1/EV37,1/EV38,1/EV41,1/EV44)</f>
        <v>1.2190801278510288E-10</v>
      </c>
      <c r="EW31" s="59">
        <f t="shared" ref="EW31:EX31" si="55">1/SUM(1/EW32,1/EW33,1/EW34,1/EW35,1/EW36,1/EW37,1/EW38,1/EW41,1/EW44,1/EW39,1/EW40,1/EW42,1/EW43)</f>
        <v>1.4600438013140397E-7</v>
      </c>
      <c r="EX31" s="59">
        <f t="shared" si="55"/>
        <v>9.1374093800456211E-11</v>
      </c>
      <c r="EY31" s="70"/>
      <c r="EZ31" s="70"/>
      <c r="FA31" s="47">
        <f>IFERROR(IF(SUM(EY32:EY44)&gt;0.01,1-EXP(-SUM(EY32:EY44)),SUM(EY32:EY44)),".")</f>
        <v>1</v>
      </c>
      <c r="FB31" s="47">
        <f>IFERROR(IF(SUM(EZ32:EZ44)&gt;0.01,1-EXP(-SUM(EZ32:EZ44)),SUM(EZ32:EZ44)),".")</f>
        <v>0.99999999999999867</v>
      </c>
      <c r="FC31" s="47">
        <f>IFERROR(IF(SUM(EY32:EZ44)&gt;0.01,1-EXP(-SUM(EY32:EZ44)),SUM(EY32:EZ44)),".")</f>
        <v>1</v>
      </c>
    </row>
    <row r="32" spans="1:159" x14ac:dyDescent="0.25">
      <c r="A32" s="83" t="s">
        <v>1102</v>
      </c>
      <c r="B32" s="42">
        <v>1</v>
      </c>
      <c r="C32" s="60">
        <f t="shared" ref="C32:M32" si="56">IFERROR(C3/$B32,0)</f>
        <v>1.8181818181818181E-11</v>
      </c>
      <c r="D32" s="60">
        <f t="shared" si="56"/>
        <v>7.2727272727272723E-11</v>
      </c>
      <c r="E32" s="60">
        <f t="shared" si="56"/>
        <v>7.2727272727272723E-11</v>
      </c>
      <c r="F32" s="60">
        <f t="shared" si="56"/>
        <v>7.2727272727272723E-11</v>
      </c>
      <c r="G32" s="60">
        <f t="shared" si="56"/>
        <v>7.2727272727272723E-11</v>
      </c>
      <c r="H32" s="60">
        <f t="shared" si="56"/>
        <v>7.2727272727272723E-11</v>
      </c>
      <c r="I32" s="60">
        <f t="shared" si="56"/>
        <v>7.2727272727272723E-11</v>
      </c>
      <c r="J32" s="60">
        <f t="shared" si="56"/>
        <v>7.2727272727272723E-11</v>
      </c>
      <c r="K32" s="60">
        <f t="shared" si="56"/>
        <v>7.2727272727272723E-11</v>
      </c>
      <c r="L32" s="60">
        <f t="shared" si="56"/>
        <v>7.2727272727272723E-11</v>
      </c>
      <c r="M32" s="60">
        <f t="shared" si="56"/>
        <v>7.2727272727272723E-11</v>
      </c>
      <c r="N32" s="71">
        <f>up_dir!BA32</f>
        <v>275000</v>
      </c>
      <c r="O32" s="71">
        <f>IFERROR(up_RadSpec!$E$3*O3,".")*$B$32</f>
        <v>68750</v>
      </c>
      <c r="P32" s="71">
        <f>IFERROR(up_RadSpec!$E$3*P3,".")*$B$32</f>
        <v>68750</v>
      </c>
      <c r="Q32" s="71">
        <f>IFERROR(up_RadSpec!$E$3*Q3,".")*$B$32</f>
        <v>68750</v>
      </c>
      <c r="R32" s="71">
        <f>IFERROR(up_RadSpec!$E$3*R3,".")*$B$32</f>
        <v>68750</v>
      </c>
      <c r="S32" s="71">
        <f>IFERROR(up_RadSpec!$E$3*S3,".")*$B$32</f>
        <v>68750</v>
      </c>
      <c r="T32" s="71">
        <f>IFERROR(up_RadSpec!$E$3*T3,".")*$B$32</f>
        <v>68750</v>
      </c>
      <c r="U32" s="71">
        <f>IFERROR(up_RadSpec!$E$3*U3,".")*$B$32</f>
        <v>68750</v>
      </c>
      <c r="V32" s="71">
        <f>IFERROR(up_RadSpec!$E$3*V3,".")*$B$32</f>
        <v>68750</v>
      </c>
      <c r="W32" s="71">
        <f>IFERROR(up_RadSpec!$E$3*W3,".")*$B$32</f>
        <v>68750</v>
      </c>
      <c r="X32" s="71">
        <f>IFERROR(up_RadSpec!$E$3*X3,".")*$B$32</f>
        <v>68750</v>
      </c>
      <c r="Y32" s="49">
        <f>IFERROR(IF(N32&gt;0.01,1-EXP(-N32),N32),".")</f>
        <v>1</v>
      </c>
      <c r="Z32" s="49">
        <f t="shared" ref="Z32:AI44" si="57">IFERROR(IF(O32&gt;0.01,1-EXP(-O32),O32),".")</f>
        <v>1</v>
      </c>
      <c r="AA32" s="49">
        <f t="shared" si="57"/>
        <v>1</v>
      </c>
      <c r="AB32" s="49">
        <f t="shared" si="57"/>
        <v>1</v>
      </c>
      <c r="AC32" s="49">
        <f t="shared" si="57"/>
        <v>1</v>
      </c>
      <c r="AD32" s="49">
        <f t="shared" si="57"/>
        <v>1</v>
      </c>
      <c r="AE32" s="49">
        <f t="shared" si="57"/>
        <v>1</v>
      </c>
      <c r="AF32" s="49">
        <f t="shared" si="57"/>
        <v>1</v>
      </c>
      <c r="AG32" s="49">
        <f t="shared" si="57"/>
        <v>1</v>
      </c>
      <c r="AH32" s="49">
        <f t="shared" si="57"/>
        <v>1</v>
      </c>
      <c r="AI32" s="49">
        <f t="shared" si="57"/>
        <v>1</v>
      </c>
      <c r="AJ32" s="60">
        <f t="shared" ref="AJ32:AW32" si="58">IFERROR(AJ3/$B32,0)</f>
        <v>3.6363636363636363E-8</v>
      </c>
      <c r="AK32" s="60">
        <f t="shared" si="58"/>
        <v>3.3989909629864073E-4</v>
      </c>
      <c r="AL32" s="60">
        <f t="shared" si="58"/>
        <v>1.0167857142857149E-2</v>
      </c>
      <c r="AM32" s="60">
        <f t="shared" si="58"/>
        <v>3.6265718922545492E-12</v>
      </c>
      <c r="AN32" s="60">
        <f>IFERROR(AN3/$B32,0)</f>
        <v>7.2727272727272723E-11</v>
      </c>
      <c r="AO32" s="60">
        <f>IFERROR(AO3/$B32,0)</f>
        <v>2.0414673046251994E-14</v>
      </c>
      <c r="AP32" s="60">
        <f>IFERROR(AP3/$B32,0)</f>
        <v>2.102711323763955E-14</v>
      </c>
      <c r="AQ32" s="60">
        <f>IFERROR(AQ3/$B32,0)</f>
        <v>2.0414673046251994E-14</v>
      </c>
      <c r="AR32" s="60">
        <f t="shared" si="58"/>
        <v>2.0414673046251994E-14</v>
      </c>
      <c r="AS32" s="60">
        <f t="shared" si="58"/>
        <v>2.0414673046251994E-14</v>
      </c>
      <c r="AT32" s="60">
        <f t="shared" si="58"/>
        <v>2.0414673046251994E-14</v>
      </c>
      <c r="AU32" s="60">
        <f>IFERROR(AU3/$B32,0)</f>
        <v>2.102711323763955E-14</v>
      </c>
      <c r="AV32" s="60">
        <f t="shared" si="58"/>
        <v>2.0414673046251994E-14</v>
      </c>
      <c r="AW32" s="60">
        <f t="shared" si="58"/>
        <v>2.102711323763955E-14</v>
      </c>
      <c r="AX32" s="42"/>
      <c r="AY32" s="42"/>
      <c r="AZ32" s="42"/>
      <c r="BA32" s="42"/>
      <c r="BB32" s="42"/>
      <c r="BC32" s="42"/>
      <c r="BD32" s="42"/>
      <c r="BE32" s="42"/>
      <c r="BF32" s="42"/>
      <c r="BG32" s="42"/>
      <c r="BH32" s="42"/>
      <c r="BI32" s="42"/>
      <c r="BJ32" s="42"/>
      <c r="BK32" s="42"/>
      <c r="BL32" s="60">
        <f>IFERROR(BL3/$B32,0)</f>
        <v>2.2890172361040692E-15</v>
      </c>
      <c r="BM32" s="71">
        <f>IFERROR(up_RadSpec!$D$3*BM3,".")*$B$32</f>
        <v>137.5</v>
      </c>
      <c r="BN32" s="71">
        <f>IFERROR(up_RadSpec!$G$3*BN3,".")*$B$32</f>
        <v>1.4710247995501937E-2</v>
      </c>
      <c r="BO32" s="71">
        <f>IFERROR(up_RadSpec!$F$3*BO3,".")*$B$32</f>
        <v>4.9174569722514896E-4</v>
      </c>
      <c r="BP32" s="71">
        <f>up_b2s!BZ32</f>
        <v>1378712.5</v>
      </c>
      <c r="BQ32" s="71">
        <f>IFERROR(up_RadSpec!$E$3*BQ3,".")*$B$32</f>
        <v>68750</v>
      </c>
      <c r="BR32" s="71">
        <f>IFERROR(up_RadSpec!$E$3*BR3,".")*$B$32</f>
        <v>244921875</v>
      </c>
      <c r="BS32" s="71">
        <f>IFERROR(up_RadSpec!$E$3*BS3,".")*$B$32</f>
        <v>237788228.15533978</v>
      </c>
      <c r="BT32" s="71">
        <f>IFERROR(up_RadSpec!$E$3*BT3,".")*$B$32</f>
        <v>244921875</v>
      </c>
      <c r="BU32" s="71">
        <f>IFERROR(up_RadSpec!$E$3*BU3,".")*$B$32</f>
        <v>244921875</v>
      </c>
      <c r="BV32" s="71">
        <f>IFERROR(up_RadSpec!$E$3*BV3,".")*$B$32</f>
        <v>244921875</v>
      </c>
      <c r="BW32" s="71">
        <f>IFERROR(up_RadSpec!$E$3*BW3,".")*$B$32</f>
        <v>244921875</v>
      </c>
      <c r="BX32" s="71">
        <f>IFERROR(up_RadSpec!$E$3*BX3,".")*$B$32</f>
        <v>237788228.15533978</v>
      </c>
      <c r="BY32" s="71">
        <f>IFERROR(up_RadSpec!$E$3*BY3,".")*$B$32</f>
        <v>244921875</v>
      </c>
      <c r="BZ32" s="71">
        <f>IFERROR(up_RadSpec!$E$3*BZ3,".")*$B$32</f>
        <v>237788228.15533978</v>
      </c>
      <c r="CA32" s="49">
        <f t="shared" ref="CA32" si="59">IFERROR(IF(BM32&gt;0.01,1-EXP(-BM32),BM32),".")</f>
        <v>1</v>
      </c>
      <c r="CB32" s="49">
        <f t="shared" ref="CB32" si="60">IFERROR(IF(BN32&gt;0.01,1-EXP(-BN32),BN32),".")</f>
        <v>1.4602580880648697E-2</v>
      </c>
      <c r="CC32" s="49">
        <f t="shared" ref="CC32" si="61">IFERROR(IF(BO32&gt;0.01,1-EXP(-BO32),BO32),".")</f>
        <v>4.9174569722514896E-4</v>
      </c>
      <c r="CD32" s="49">
        <f t="shared" ref="CD32" si="62">IFERROR(IF(BP32&gt;0.01,1-EXP(-BP32),BP32),".")</f>
        <v>1</v>
      </c>
      <c r="CE32" s="49">
        <f t="shared" ref="CE32:CE44" si="63">IFERROR(IF(BQ32&gt;0.01,1-EXP(-BQ32),BQ32),".")</f>
        <v>1</v>
      </c>
      <c r="CF32" s="49">
        <f t="shared" ref="CF32:CF44" si="64">IFERROR(IF(BR32&gt;0.01,1-EXP(-BR32),BR32),".")</f>
        <v>1</v>
      </c>
      <c r="CG32" s="49">
        <f t="shared" ref="CG32:CG44" si="65">IFERROR(IF(BS32&gt;0.01,1-EXP(-BS32),BS32),".")</f>
        <v>1</v>
      </c>
      <c r="CH32" s="49">
        <f t="shared" ref="CH32:CH44" si="66">IFERROR(IF(BT32&gt;0.01,1-EXP(-BT32),BT32),".")</f>
        <v>1</v>
      </c>
      <c r="CI32" s="49">
        <f t="shared" ref="CI32:CI44" si="67">IFERROR(IF(BU32&gt;0.01,1-EXP(-BU32),BU32),".")</f>
        <v>1</v>
      </c>
      <c r="CJ32" s="49">
        <f t="shared" ref="CJ32:CJ44" si="68">IFERROR(IF(BV32&gt;0.01,1-EXP(-BV32),BV32),".")</f>
        <v>1</v>
      </c>
      <c r="CK32" s="49">
        <f t="shared" ref="CK32:CK44" si="69">IFERROR(IF(BW32&gt;0.01,1-EXP(-BW32),BW32),".")</f>
        <v>1</v>
      </c>
      <c r="CL32" s="49">
        <f t="shared" ref="CL32:CL44" si="70">IFERROR(IF(BX32&gt;0.01,1-EXP(-BX32),BX32),".")</f>
        <v>1</v>
      </c>
      <c r="CM32" s="49">
        <f t="shared" ref="CM32:CM44" si="71">IFERROR(IF(BY32&gt;0.01,1-EXP(-BY32),BY32),".")</f>
        <v>1</v>
      </c>
      <c r="CN32" s="49">
        <f t="shared" ref="CN32:CN44" si="72">IFERROR(IF(BZ32&gt;0.01,1-EXP(-BZ32),BZ32),".")</f>
        <v>1</v>
      </c>
      <c r="CO32" s="49">
        <f t="shared" ref="CO32:CO44" si="73">IFERROR(IF(SUM(BM32:BZ32)&gt;0.01,1-EXP(-SUM(BM32:BZ32)),SUM(BM32:BZ32)),".")</f>
        <v>1</v>
      </c>
      <c r="CP32" s="60">
        <f t="shared" ref="CP32:DC32" si="74">IFERROR(CP3/$B32,0)</f>
        <v>3.9999999999999996E-10</v>
      </c>
      <c r="CQ32" s="60">
        <f t="shared" si="74"/>
        <v>0</v>
      </c>
      <c r="CR32" s="60">
        <f t="shared" si="74"/>
        <v>4.3800000000000004E-6</v>
      </c>
      <c r="CS32" s="60">
        <f t="shared" si="74"/>
        <v>1.8087754064641833E-11</v>
      </c>
      <c r="CT32" s="60">
        <f>IFERROR(CT3/$B32,0)</f>
        <v>1.4545454545454544E-8</v>
      </c>
      <c r="CU32" s="60">
        <f>IFERROR(CU3/$B32,0)</f>
        <v>2.9090909090909087E-9</v>
      </c>
      <c r="CV32" s="60">
        <f>IFERROR(CV3/$B32,0)</f>
        <v>2.9963636363636357E-9</v>
      </c>
      <c r="CW32" s="60">
        <f>IFERROR(CW3/$B32,0)</f>
        <v>2.9090909090909087E-9</v>
      </c>
      <c r="CX32" s="60">
        <f t="shared" si="74"/>
        <v>2.9090909090909087E-9</v>
      </c>
      <c r="CY32" s="60">
        <f t="shared" si="74"/>
        <v>2.9090909090909087E-9</v>
      </c>
      <c r="CZ32" s="60">
        <f t="shared" si="74"/>
        <v>2.9090909090909087E-9</v>
      </c>
      <c r="DA32" s="60">
        <f>IFERROR(DA3/$B32,0)</f>
        <v>2.9963636363636357E-9</v>
      </c>
      <c r="DB32" s="60">
        <f t="shared" si="74"/>
        <v>2.9090909090909087E-9</v>
      </c>
      <c r="DC32" s="60">
        <f t="shared" si="74"/>
        <v>2.9963636363636357E-9</v>
      </c>
      <c r="DD32" s="15"/>
      <c r="DE32" s="15"/>
      <c r="DF32" s="15"/>
      <c r="DG32" s="15"/>
      <c r="DH32" s="15"/>
      <c r="DI32" s="15"/>
      <c r="DJ32" s="15"/>
      <c r="DK32" s="15"/>
      <c r="DL32" s="15"/>
      <c r="DM32" s="15"/>
      <c r="DN32" s="15"/>
      <c r="DO32" s="15"/>
      <c r="DP32" s="15"/>
      <c r="DQ32" s="15"/>
      <c r="DR32" s="60">
        <f>IFERROR(DR3/$B32,0)</f>
        <v>1.6415316541278672E-11</v>
      </c>
      <c r="DS32" s="71">
        <f>IFERROR(up_RadSpec!$H$3*DS3,".")*$B$32</f>
        <v>12500</v>
      </c>
      <c r="DT32" s="71">
        <f>IFERROR(up_RadSpec!$G$3*DT3,".")*$B$32</f>
        <v>2278.645833333333</v>
      </c>
      <c r="DU32" s="71">
        <f>IFERROR(up_RadSpec!$L$3*DU3,".")*$B$32</f>
        <v>1.1415525114155249</v>
      </c>
      <c r="DV32" s="71">
        <f>up_b2w!BZ32</f>
        <v>276430.1185283176</v>
      </c>
      <c r="DW32" s="71">
        <f>IFERROR(up_RadSpec!$E$3*DW3,".")*$B$32</f>
        <v>343.75</v>
      </c>
      <c r="DX32" s="71">
        <f>IFERROR(up_RadSpec!$E$3*DX3,".")*$B$32</f>
        <v>1718.75</v>
      </c>
      <c r="DY32" s="71">
        <f>IFERROR(up_RadSpec!$E$3*DY3,".")*$B$32</f>
        <v>1668.6893203883494</v>
      </c>
      <c r="DZ32" s="71">
        <f>IFERROR(up_RadSpec!$E$3*DZ3,".")*$B$32</f>
        <v>1718.75</v>
      </c>
      <c r="EA32" s="71">
        <f>IFERROR(up_RadSpec!$E$3*EA3,".")*$B$32</f>
        <v>1718.75</v>
      </c>
      <c r="EB32" s="71">
        <f>IFERROR(up_RadSpec!$E$3*EB3,".")*$B$32</f>
        <v>1718.75</v>
      </c>
      <c r="EC32" s="71">
        <f>IFERROR(up_RadSpec!$E$3*EC3,".")*$B$32</f>
        <v>1718.75</v>
      </c>
      <c r="ED32" s="71">
        <f>IFERROR(up_RadSpec!$E$3*ED3,".")*$B$32</f>
        <v>1668.6893203883494</v>
      </c>
      <c r="EE32" s="71">
        <f>IFERROR(up_RadSpec!$E$3*EE3,".")*$B$32</f>
        <v>1718.75</v>
      </c>
      <c r="EF32" s="71">
        <f>IFERROR(up_RadSpec!$E$3*EF3,".")*$B$32</f>
        <v>1668.6893203883494</v>
      </c>
      <c r="EG32" s="49">
        <f t="shared" ref="EG32" si="75">IFERROR(IF(DS32&gt;0.01,1-EXP(-DS32),DS32),".")</f>
        <v>1</v>
      </c>
      <c r="EH32" s="49">
        <f t="shared" ref="EH32" si="76">IFERROR(IF(DT32&gt;0.01,1-EXP(-DT32),DT32),".")</f>
        <v>1</v>
      </c>
      <c r="EI32" s="49">
        <f t="shared" ref="EI32" si="77">IFERROR(IF(DU32&gt;0.01,1-EXP(-DU32),DU32),".")</f>
        <v>0.68067711563678512</v>
      </c>
      <c r="EJ32" s="49">
        <f t="shared" ref="EJ32" si="78">IFERROR(IF(DV32&gt;0.01,1-EXP(-DV32),DV32),".")</f>
        <v>1</v>
      </c>
      <c r="EK32" s="49">
        <f t="shared" ref="EK32:ET44" si="79">IFERROR(IF(DW32&gt;0.01,1-EXP(-DW32),DW32),".")</f>
        <v>1</v>
      </c>
      <c r="EL32" s="49">
        <f t="shared" si="79"/>
        <v>1</v>
      </c>
      <c r="EM32" s="49">
        <f t="shared" si="79"/>
        <v>1</v>
      </c>
      <c r="EN32" s="49">
        <f t="shared" si="79"/>
        <v>1</v>
      </c>
      <c r="EO32" s="49">
        <f t="shared" si="79"/>
        <v>1</v>
      </c>
      <c r="EP32" s="49">
        <f t="shared" si="79"/>
        <v>1</v>
      </c>
      <c r="EQ32" s="49">
        <f t="shared" si="79"/>
        <v>1</v>
      </c>
      <c r="ER32" s="49">
        <f t="shared" si="79"/>
        <v>1</v>
      </c>
      <c r="ES32" s="49">
        <f t="shared" si="79"/>
        <v>1</v>
      </c>
      <c r="ET32" s="49">
        <f t="shared" si="79"/>
        <v>1</v>
      </c>
      <c r="EU32" s="49">
        <f t="shared" ref="EU32:EU44" si="80">IFERROR(IF(SUM(DS32:EF32)&gt;0.01,1-EXP(-SUM(DS32:EF32)),SUM(DS32:EF32)),".")</f>
        <v>1</v>
      </c>
      <c r="EV32" s="60">
        <f>IFERROR(EV3/$B32,0)</f>
        <v>1.0971428571428573E-9</v>
      </c>
      <c r="EW32" s="60">
        <f>IFERROR(EW3/$B32,0)</f>
        <v>1.7520000000000001E-6</v>
      </c>
      <c r="EX32" s="60">
        <f>IFERROR(EX3/$B32,0)</f>
        <v>1.0964562309317064E-9</v>
      </c>
      <c r="EY32" s="71">
        <f>IFERROR(up_RadSpec!$G$3*EY3,".")*$B$32</f>
        <v>4557.2916666666661</v>
      </c>
      <c r="EZ32" s="71">
        <f>IFERROR(up_RadSpec!$J$3*EZ3,".")*$B$32</f>
        <v>2.8538812785388123</v>
      </c>
      <c r="FA32" s="49">
        <f>IFERROR(IF(EY32&gt;0.01,1-EXP(-EY32),EY32),".")</f>
        <v>1</v>
      </c>
      <c r="FB32" s="49">
        <f>IFERROR(IF(EZ32&gt;0.01,1-EXP(-EZ32),EZ32),".")</f>
        <v>0.9423797539167309</v>
      </c>
      <c r="FC32" s="49">
        <f>IFERROR(IF(SUM(EY32:EZ32)&gt;0.01,1-EXP(-SUM(EY32:EZ32)),SUM(EY32:EZ32)),".")</f>
        <v>1</v>
      </c>
    </row>
    <row r="33" spans="1:159" x14ac:dyDescent="0.25">
      <c r="A33" s="83" t="s">
        <v>1078</v>
      </c>
      <c r="B33" s="42">
        <v>1</v>
      </c>
      <c r="C33" s="60">
        <f t="shared" ref="C33:M34" si="81">IFERROR(C13/$B33,0)</f>
        <v>1.8181818181818181E-11</v>
      </c>
      <c r="D33" s="60">
        <f t="shared" si="81"/>
        <v>7.2727272727272723E-11</v>
      </c>
      <c r="E33" s="60">
        <f t="shared" si="81"/>
        <v>7.2727272727272723E-11</v>
      </c>
      <c r="F33" s="60">
        <f t="shared" si="81"/>
        <v>7.2727272727272723E-11</v>
      </c>
      <c r="G33" s="60">
        <f t="shared" si="81"/>
        <v>7.2727272727272723E-11</v>
      </c>
      <c r="H33" s="60">
        <f t="shared" si="81"/>
        <v>7.2727272727272723E-11</v>
      </c>
      <c r="I33" s="60">
        <f t="shared" si="81"/>
        <v>7.2727272727272723E-11</v>
      </c>
      <c r="J33" s="60">
        <f t="shared" si="81"/>
        <v>7.2727272727272723E-11</v>
      </c>
      <c r="K33" s="60">
        <f t="shared" si="81"/>
        <v>7.2727272727272723E-11</v>
      </c>
      <c r="L33" s="60">
        <f t="shared" si="81"/>
        <v>7.2727272727272723E-11</v>
      </c>
      <c r="M33" s="60">
        <f t="shared" si="81"/>
        <v>7.2727272727272723E-11</v>
      </c>
      <c r="N33" s="71">
        <f>up_dir!BA33</f>
        <v>275000</v>
      </c>
      <c r="O33" s="71">
        <f>IFERROR(up_RadSpec!$E$13*O13,".")*$B$33</f>
        <v>68750</v>
      </c>
      <c r="P33" s="71">
        <f>IFERROR(up_RadSpec!$E$13*P13,".")*$B$33</f>
        <v>68750</v>
      </c>
      <c r="Q33" s="71">
        <f>IFERROR(up_RadSpec!$E$13*Q13,".")*$B$33</f>
        <v>68750</v>
      </c>
      <c r="R33" s="71">
        <f>IFERROR(up_RadSpec!$E$13*R13,".")*$B$33</f>
        <v>68750</v>
      </c>
      <c r="S33" s="71">
        <f>IFERROR(up_RadSpec!$E$13*S13,".")*$B$33</f>
        <v>68750</v>
      </c>
      <c r="T33" s="71">
        <f>IFERROR(up_RadSpec!$E$13*T13,".")*$B$33</f>
        <v>68750</v>
      </c>
      <c r="U33" s="71">
        <f>IFERROR(up_RadSpec!$E$13*U13,".")*$B$33</f>
        <v>68750</v>
      </c>
      <c r="V33" s="71">
        <f>IFERROR(up_RadSpec!$E$13*V13,".")*$B$33</f>
        <v>68750</v>
      </c>
      <c r="W33" s="71">
        <f>IFERROR(up_RadSpec!$E$13*W13,".")*$B$33</f>
        <v>68750</v>
      </c>
      <c r="X33" s="71">
        <f>IFERROR(up_RadSpec!$E$13*X13,".")*$B$33</f>
        <v>68750</v>
      </c>
      <c r="Y33" s="49">
        <f t="shared" ref="Y33:Y44" si="82">IFERROR(IF(N33&gt;0.01,1-EXP(-N33),N33),".")</f>
        <v>1</v>
      </c>
      <c r="Z33" s="49">
        <f t="shared" si="57"/>
        <v>1</v>
      </c>
      <c r="AA33" s="49">
        <f t="shared" si="57"/>
        <v>1</v>
      </c>
      <c r="AB33" s="49">
        <f t="shared" si="57"/>
        <v>1</v>
      </c>
      <c r="AC33" s="49">
        <f t="shared" si="57"/>
        <v>1</v>
      </c>
      <c r="AD33" s="49">
        <f t="shared" si="57"/>
        <v>1</v>
      </c>
      <c r="AE33" s="49">
        <f t="shared" si="57"/>
        <v>1</v>
      </c>
      <c r="AF33" s="49">
        <f t="shared" si="57"/>
        <v>1</v>
      </c>
      <c r="AG33" s="49">
        <f t="shared" si="57"/>
        <v>1</v>
      </c>
      <c r="AH33" s="49">
        <f t="shared" si="57"/>
        <v>1</v>
      </c>
      <c r="AI33" s="49">
        <f t="shared" si="57"/>
        <v>1</v>
      </c>
      <c r="AJ33" s="60">
        <f t="shared" ref="AJ33:AW34" si="83">IFERROR(AJ13/$B33,0)</f>
        <v>3.6363636363636363E-8</v>
      </c>
      <c r="AK33" s="60">
        <f t="shared" si="83"/>
        <v>3.3989909629864073E-4</v>
      </c>
      <c r="AL33" s="60">
        <f t="shared" si="83"/>
        <v>2.5112366603892043E-4</v>
      </c>
      <c r="AM33" s="60">
        <f t="shared" si="83"/>
        <v>3.6265718922545492E-12</v>
      </c>
      <c r="AN33" s="60">
        <f t="shared" ref="AN33:AQ34" si="84">IFERROR(AN13/$B33,0)</f>
        <v>7.2727272727272723E-11</v>
      </c>
      <c r="AO33" s="60">
        <f t="shared" si="84"/>
        <v>2.0414673046251994E-14</v>
      </c>
      <c r="AP33" s="60">
        <f t="shared" si="84"/>
        <v>2.102711323763955E-14</v>
      </c>
      <c r="AQ33" s="60">
        <f t="shared" si="84"/>
        <v>2.0414673046251994E-14</v>
      </c>
      <c r="AR33" s="60">
        <f t="shared" si="83"/>
        <v>2.0414673046251994E-14</v>
      </c>
      <c r="AS33" s="60">
        <f t="shared" si="83"/>
        <v>2.0414673046251994E-14</v>
      </c>
      <c r="AT33" s="60">
        <f t="shared" si="83"/>
        <v>2.0414673046251994E-14</v>
      </c>
      <c r="AU33" s="60">
        <f>IFERROR(AU13/$B33,0)</f>
        <v>2.102711323763955E-14</v>
      </c>
      <c r="AV33" s="60">
        <f t="shared" si="83"/>
        <v>2.0414673046251994E-14</v>
      </c>
      <c r="AW33" s="60">
        <f t="shared" si="83"/>
        <v>2.102711323763955E-14</v>
      </c>
      <c r="AX33" s="42"/>
      <c r="AY33" s="42"/>
      <c r="AZ33" s="42"/>
      <c r="BA33" s="42"/>
      <c r="BB33" s="42"/>
      <c r="BC33" s="42"/>
      <c r="BD33" s="42"/>
      <c r="BE33" s="42"/>
      <c r="BF33" s="42"/>
      <c r="BG33" s="42"/>
      <c r="BH33" s="42"/>
      <c r="BI33" s="42"/>
      <c r="BJ33" s="42"/>
      <c r="BK33" s="42"/>
      <c r="BL33" s="60">
        <f>IFERROR(BL13/$B33,0)</f>
        <v>2.2890172360837197E-15</v>
      </c>
      <c r="BM33" s="71">
        <f>IFERROR(up_RadSpec!$D$13*BM13,".")*$B$33</f>
        <v>137.5</v>
      </c>
      <c r="BN33" s="71">
        <f>IFERROR(up_RadSpec!$G$13*BN13,".")*$B$33</f>
        <v>1.4710247995501937E-2</v>
      </c>
      <c r="BO33" s="71">
        <f>IFERROR(up_RadSpec!$F$13*BO13,".")*$B$33</f>
        <v>1.9910508949105076E-2</v>
      </c>
      <c r="BP33" s="71">
        <f>up_b2s!BZ33</f>
        <v>1378712.5</v>
      </c>
      <c r="BQ33" s="71">
        <f>IFERROR(up_RadSpec!$E$13*BQ13,".")*$B$33</f>
        <v>68750</v>
      </c>
      <c r="BR33" s="71">
        <f>IFERROR(up_RadSpec!$E$13*BR13,".")*$B$33</f>
        <v>244921875</v>
      </c>
      <c r="BS33" s="71">
        <f>IFERROR(up_RadSpec!$E$13*BS13,".")*$B$33</f>
        <v>237788228.15533978</v>
      </c>
      <c r="BT33" s="71">
        <f>IFERROR(up_RadSpec!$E$13*BT13,".")*$B$33</f>
        <v>244921875</v>
      </c>
      <c r="BU33" s="71">
        <f>IFERROR(up_RadSpec!$E$13*BU13,".")*$B$33</f>
        <v>244921875</v>
      </c>
      <c r="BV33" s="71">
        <f>IFERROR(up_RadSpec!$E$13*BV13,".")*$B$33</f>
        <v>244921875</v>
      </c>
      <c r="BW33" s="71">
        <f>IFERROR(up_RadSpec!$E$13*BW13,".")*$B$33</f>
        <v>244921875</v>
      </c>
      <c r="BX33" s="71">
        <f>IFERROR(up_RadSpec!$E$13*BX13,".")*$B$33</f>
        <v>237788228.15533978</v>
      </c>
      <c r="BY33" s="71">
        <f>IFERROR(up_RadSpec!$E$13*BY13,".")*$B$33</f>
        <v>244921875</v>
      </c>
      <c r="BZ33" s="71">
        <f>IFERROR(up_RadSpec!$E$13*BZ13,".")*$B$33</f>
        <v>237788228.15533978</v>
      </c>
      <c r="CA33" s="49">
        <f t="shared" ref="CA33:CA44" si="85">IFERROR(IF(BM33&gt;0.01,1-EXP(-BM33),BM33),".")</f>
        <v>1</v>
      </c>
      <c r="CB33" s="49">
        <f t="shared" ref="CB33:CB44" si="86">IFERROR(IF(BN33&gt;0.01,1-EXP(-BN33),BN33),".")</f>
        <v>1.4602580880648697E-2</v>
      </c>
      <c r="CC33" s="49">
        <f t="shared" ref="CC33:CC44" si="87">IFERROR(IF(BO33&gt;0.01,1-EXP(-BO33),BO33),".")</f>
        <v>1.9713603758734433E-2</v>
      </c>
      <c r="CD33" s="49">
        <f t="shared" ref="CD33:CD44" si="88">IFERROR(IF(BP33&gt;0.01,1-EXP(-BP33),BP33),".")</f>
        <v>1</v>
      </c>
      <c r="CE33" s="49">
        <f t="shared" si="63"/>
        <v>1</v>
      </c>
      <c r="CF33" s="49">
        <f t="shared" si="64"/>
        <v>1</v>
      </c>
      <c r="CG33" s="49">
        <f t="shared" si="65"/>
        <v>1</v>
      </c>
      <c r="CH33" s="49">
        <f t="shared" si="66"/>
        <v>1</v>
      </c>
      <c r="CI33" s="49">
        <f t="shared" si="67"/>
        <v>1</v>
      </c>
      <c r="CJ33" s="49">
        <f t="shared" si="68"/>
        <v>1</v>
      </c>
      <c r="CK33" s="49">
        <f t="shared" si="69"/>
        <v>1</v>
      </c>
      <c r="CL33" s="49">
        <f t="shared" si="70"/>
        <v>1</v>
      </c>
      <c r="CM33" s="49">
        <f t="shared" si="71"/>
        <v>1</v>
      </c>
      <c r="CN33" s="49">
        <f t="shared" si="72"/>
        <v>1</v>
      </c>
      <c r="CO33" s="49">
        <f t="shared" si="73"/>
        <v>1</v>
      </c>
      <c r="CP33" s="60">
        <f t="shared" ref="CP33:DC34" si="89">IFERROR(CP13/$B33,0)</f>
        <v>3.9999999999999996E-10</v>
      </c>
      <c r="CQ33" s="60">
        <f t="shared" si="89"/>
        <v>0</v>
      </c>
      <c r="CR33" s="60">
        <f t="shared" si="89"/>
        <v>4.3800000000000004E-6</v>
      </c>
      <c r="CS33" s="60">
        <f t="shared" si="89"/>
        <v>1.8087754064641833E-11</v>
      </c>
      <c r="CT33" s="60">
        <f t="shared" ref="CT33:CW34" si="90">IFERROR(CT13/$B33,0)</f>
        <v>1.4545454545454544E-8</v>
      </c>
      <c r="CU33" s="60">
        <f t="shared" si="90"/>
        <v>2.9090909090909087E-9</v>
      </c>
      <c r="CV33" s="60">
        <f t="shared" si="90"/>
        <v>2.9963636363636357E-9</v>
      </c>
      <c r="CW33" s="60">
        <f t="shared" si="90"/>
        <v>2.9090909090909087E-9</v>
      </c>
      <c r="CX33" s="60">
        <f t="shared" si="89"/>
        <v>2.9090909090909087E-9</v>
      </c>
      <c r="CY33" s="60">
        <f t="shared" si="89"/>
        <v>2.9090909090909087E-9</v>
      </c>
      <c r="CZ33" s="60">
        <f t="shared" si="89"/>
        <v>2.9090909090909087E-9</v>
      </c>
      <c r="DA33" s="60">
        <f>IFERROR(DA13/$B33,0)</f>
        <v>2.9963636363636357E-9</v>
      </c>
      <c r="DB33" s="60">
        <f t="shared" si="89"/>
        <v>2.9090909090909087E-9</v>
      </c>
      <c r="DC33" s="60">
        <f t="shared" si="89"/>
        <v>2.9963636363636357E-9</v>
      </c>
      <c r="DD33" s="15"/>
      <c r="DE33" s="15"/>
      <c r="DF33" s="15"/>
      <c r="DG33" s="15"/>
      <c r="DH33" s="15"/>
      <c r="DI33" s="15"/>
      <c r="DJ33" s="15"/>
      <c r="DK33" s="15"/>
      <c r="DL33" s="15"/>
      <c r="DM33" s="15"/>
      <c r="DN33" s="15"/>
      <c r="DO33" s="15"/>
      <c r="DP33" s="15"/>
      <c r="DQ33" s="15"/>
      <c r="DR33" s="60">
        <f>IFERROR(DR13/$B33,0)</f>
        <v>1.6415316541278672E-11</v>
      </c>
      <c r="DS33" s="71">
        <f>IFERROR(up_RadSpec!$H$13*DS13,".")*$B$33</f>
        <v>12500</v>
      </c>
      <c r="DT33" s="71">
        <f>IFERROR(up_RadSpec!$G$13*DT13,".")*$B$33</f>
        <v>2278.645833333333</v>
      </c>
      <c r="DU33" s="71">
        <f>IFERROR(up_RadSpec!$L$13*DU13,".")*$B$33</f>
        <v>1.1415525114155249</v>
      </c>
      <c r="DV33" s="71">
        <f>up_b2w!BZ33</f>
        <v>276430.1185283176</v>
      </c>
      <c r="DW33" s="71">
        <f>IFERROR(up_RadSpec!$E$13*DW13,".")*$B$33</f>
        <v>343.75</v>
      </c>
      <c r="DX33" s="71">
        <f>IFERROR(up_RadSpec!$E$13*DX13,".")*$B$33</f>
        <v>1718.75</v>
      </c>
      <c r="DY33" s="71">
        <f>IFERROR(up_RadSpec!$E$13*DY13,".")*$B$33</f>
        <v>1668.6893203883494</v>
      </c>
      <c r="DZ33" s="71">
        <f>IFERROR(up_RadSpec!$E$13*DZ13,".")*$B$33</f>
        <v>1718.75</v>
      </c>
      <c r="EA33" s="71">
        <f>IFERROR(up_RadSpec!$E$13*EA13,".")*$B$33</f>
        <v>1718.75</v>
      </c>
      <c r="EB33" s="71">
        <f>IFERROR(up_RadSpec!$E$13*EB13,".")*$B$33</f>
        <v>1718.75</v>
      </c>
      <c r="EC33" s="71">
        <f>IFERROR(up_RadSpec!$E$13*EC13,".")*$B$33</f>
        <v>1718.75</v>
      </c>
      <c r="ED33" s="71">
        <f>IFERROR(up_RadSpec!$E$13*ED13,".")*$B$33</f>
        <v>1668.6893203883494</v>
      </c>
      <c r="EE33" s="71">
        <f>IFERROR(up_RadSpec!$E$13*EE13,".")*$B$33</f>
        <v>1718.75</v>
      </c>
      <c r="EF33" s="71">
        <f>IFERROR(up_RadSpec!$E$13*EF13,".")*$B$33</f>
        <v>1668.6893203883494</v>
      </c>
      <c r="EG33" s="49">
        <f t="shared" ref="EG33:EG44" si="91">IFERROR(IF(DS33&gt;0.01,1-EXP(-DS33),DS33),".")</f>
        <v>1</v>
      </c>
      <c r="EH33" s="49">
        <f t="shared" ref="EH33:EH44" si="92">IFERROR(IF(DT33&gt;0.01,1-EXP(-DT33),DT33),".")</f>
        <v>1</v>
      </c>
      <c r="EI33" s="49">
        <f t="shared" ref="EI33:EI44" si="93">IFERROR(IF(DU33&gt;0.01,1-EXP(-DU33),DU33),".")</f>
        <v>0.68067711563678512</v>
      </c>
      <c r="EJ33" s="49">
        <f t="shared" ref="EJ33:EJ44" si="94">IFERROR(IF(DV33&gt;0.01,1-EXP(-DV33),DV33),".")</f>
        <v>1</v>
      </c>
      <c r="EK33" s="49">
        <f t="shared" ref="EK33:EK44" si="95">IFERROR(IF(DW33&gt;0.01,1-EXP(-DW33),DW33),".")</f>
        <v>1</v>
      </c>
      <c r="EL33" s="49">
        <f t="shared" si="79"/>
        <v>1</v>
      </c>
      <c r="EM33" s="49">
        <f t="shared" si="79"/>
        <v>1</v>
      </c>
      <c r="EN33" s="49">
        <f t="shared" si="79"/>
        <v>1</v>
      </c>
      <c r="EO33" s="49">
        <f t="shared" si="79"/>
        <v>1</v>
      </c>
      <c r="EP33" s="49">
        <f t="shared" si="79"/>
        <v>1</v>
      </c>
      <c r="EQ33" s="49">
        <f t="shared" si="79"/>
        <v>1</v>
      </c>
      <c r="ER33" s="49">
        <f t="shared" si="79"/>
        <v>1</v>
      </c>
      <c r="ES33" s="49">
        <f t="shared" si="79"/>
        <v>1</v>
      </c>
      <c r="ET33" s="49">
        <f t="shared" si="79"/>
        <v>1</v>
      </c>
      <c r="EU33" s="49">
        <f t="shared" si="80"/>
        <v>1</v>
      </c>
      <c r="EV33" s="60">
        <f t="shared" ref="EV33:EX34" si="96">IFERROR(EV13/$B33,0)</f>
        <v>1.0971428571428573E-9</v>
      </c>
      <c r="EW33" s="60">
        <f t="shared" si="96"/>
        <v>1.7520000000000001E-6</v>
      </c>
      <c r="EX33" s="60">
        <f t="shared" si="96"/>
        <v>1.0964562309317064E-9</v>
      </c>
      <c r="EY33" s="71">
        <f>IFERROR(up_RadSpec!$G$13*EY13,".")*$B$33</f>
        <v>4557.2916666666661</v>
      </c>
      <c r="EZ33" s="71">
        <f>IFERROR(up_RadSpec!$J$13*EZ13,".")*$B$33</f>
        <v>2.8538812785388123</v>
      </c>
      <c r="FA33" s="49">
        <f t="shared" ref="FA33:FB44" si="97">IFERROR(IF(EY33&gt;0.01,1-EXP(-EY33),EY33),".")</f>
        <v>1</v>
      </c>
      <c r="FB33" s="49">
        <f t="shared" si="97"/>
        <v>0.9423797539167309</v>
      </c>
      <c r="FC33" s="49">
        <f t="shared" ref="FC33:FC44" si="98">IFERROR(IF(SUM(EY33:EZ33)&gt;0.01,1-EXP(-SUM(EY33:EZ33)),SUM(EY33:EZ33)),".")</f>
        <v>1</v>
      </c>
    </row>
    <row r="34" spans="1:159" x14ac:dyDescent="0.25">
      <c r="A34" s="83" t="s">
        <v>1079</v>
      </c>
      <c r="B34" s="42">
        <v>1</v>
      </c>
      <c r="C34" s="60">
        <f t="shared" si="81"/>
        <v>1.8181818181818181E-11</v>
      </c>
      <c r="D34" s="60">
        <f t="shared" si="81"/>
        <v>7.2727272727272723E-11</v>
      </c>
      <c r="E34" s="60">
        <f t="shared" si="81"/>
        <v>7.2727272727272723E-11</v>
      </c>
      <c r="F34" s="60">
        <f t="shared" si="81"/>
        <v>7.2727272727272723E-11</v>
      </c>
      <c r="G34" s="60">
        <f t="shared" si="81"/>
        <v>7.2727272727272723E-11</v>
      </c>
      <c r="H34" s="60">
        <f t="shared" si="81"/>
        <v>7.2727272727272723E-11</v>
      </c>
      <c r="I34" s="60">
        <f t="shared" si="81"/>
        <v>7.2727272727272723E-11</v>
      </c>
      <c r="J34" s="60">
        <f t="shared" si="81"/>
        <v>7.2727272727272723E-11</v>
      </c>
      <c r="K34" s="60">
        <f t="shared" si="81"/>
        <v>7.2727272727272723E-11</v>
      </c>
      <c r="L34" s="60">
        <f t="shared" si="81"/>
        <v>7.2727272727272723E-11</v>
      </c>
      <c r="M34" s="60">
        <f t="shared" si="81"/>
        <v>7.2727272727272723E-11</v>
      </c>
      <c r="N34" s="71">
        <f>up_dir!BA34</f>
        <v>275000</v>
      </c>
      <c r="O34" s="71">
        <f>IFERROR(up_RadSpec!$E$14*O14,".")*$B$34</f>
        <v>68750</v>
      </c>
      <c r="P34" s="71">
        <f>IFERROR(up_RadSpec!$E$14*P14,".")*$B$34</f>
        <v>68750</v>
      </c>
      <c r="Q34" s="71">
        <f>IFERROR(up_RadSpec!$E$14*Q14,".")*$B$34</f>
        <v>68750</v>
      </c>
      <c r="R34" s="71">
        <f>IFERROR(up_RadSpec!$E$14*R14,".")*$B$34</f>
        <v>68750</v>
      </c>
      <c r="S34" s="71">
        <f>IFERROR(up_RadSpec!$E$14*S14,".")*$B$34</f>
        <v>68750</v>
      </c>
      <c r="T34" s="71">
        <f>IFERROR(up_RadSpec!$E$14*T14,".")*$B$34</f>
        <v>68750</v>
      </c>
      <c r="U34" s="71">
        <f>IFERROR(up_RadSpec!$E$14*U14,".")*$B$34</f>
        <v>68750</v>
      </c>
      <c r="V34" s="71">
        <f>IFERROR(up_RadSpec!$E$14*V14,".")*$B$34</f>
        <v>68750</v>
      </c>
      <c r="W34" s="71">
        <f>IFERROR(up_RadSpec!$E$14*W14,".")*$B$34</f>
        <v>68750</v>
      </c>
      <c r="X34" s="71">
        <f>IFERROR(up_RadSpec!$E$14*X14,".")*$B$34</f>
        <v>68750</v>
      </c>
      <c r="Y34" s="49">
        <f t="shared" si="82"/>
        <v>1</v>
      </c>
      <c r="Z34" s="49">
        <f t="shared" si="57"/>
        <v>1</v>
      </c>
      <c r="AA34" s="49">
        <f t="shared" si="57"/>
        <v>1</v>
      </c>
      <c r="AB34" s="49">
        <f t="shared" si="57"/>
        <v>1</v>
      </c>
      <c r="AC34" s="49">
        <f t="shared" si="57"/>
        <v>1</v>
      </c>
      <c r="AD34" s="49">
        <f t="shared" si="57"/>
        <v>1</v>
      </c>
      <c r="AE34" s="49">
        <f t="shared" si="57"/>
        <v>1</v>
      </c>
      <c r="AF34" s="49">
        <f t="shared" si="57"/>
        <v>1</v>
      </c>
      <c r="AG34" s="49">
        <f t="shared" si="57"/>
        <v>1</v>
      </c>
      <c r="AH34" s="49">
        <f t="shared" si="57"/>
        <v>1</v>
      </c>
      <c r="AI34" s="49">
        <f t="shared" si="57"/>
        <v>1</v>
      </c>
      <c r="AJ34" s="60">
        <f t="shared" si="83"/>
        <v>3.6363636363636363E-8</v>
      </c>
      <c r="AK34" s="60">
        <f t="shared" si="83"/>
        <v>3.3989909629864073E-4</v>
      </c>
      <c r="AL34" s="60">
        <f t="shared" si="83"/>
        <v>3.7697998907592224E-5</v>
      </c>
      <c r="AM34" s="60">
        <f t="shared" si="83"/>
        <v>3.6265718922545492E-12</v>
      </c>
      <c r="AN34" s="60">
        <f t="shared" si="84"/>
        <v>7.2727272727272723E-11</v>
      </c>
      <c r="AO34" s="60">
        <f t="shared" si="84"/>
        <v>2.0414673046251994E-14</v>
      </c>
      <c r="AP34" s="60">
        <f t="shared" si="84"/>
        <v>2.102711323763955E-14</v>
      </c>
      <c r="AQ34" s="60">
        <f t="shared" si="84"/>
        <v>2.0414673046251994E-14</v>
      </c>
      <c r="AR34" s="60">
        <f t="shared" si="83"/>
        <v>2.0414673046251994E-14</v>
      </c>
      <c r="AS34" s="60">
        <f t="shared" si="83"/>
        <v>2.0414673046251994E-14</v>
      </c>
      <c r="AT34" s="60">
        <f t="shared" si="83"/>
        <v>2.0414673046251994E-14</v>
      </c>
      <c r="AU34" s="60">
        <f>IFERROR(AU14/$B34,0)</f>
        <v>2.102711323763955E-14</v>
      </c>
      <c r="AV34" s="60">
        <f t="shared" si="83"/>
        <v>2.0414673046251994E-14</v>
      </c>
      <c r="AW34" s="60">
        <f t="shared" si="83"/>
        <v>2.102711323763955E-14</v>
      </c>
      <c r="AX34" s="42"/>
      <c r="AY34" s="42"/>
      <c r="AZ34" s="42"/>
      <c r="BA34" s="42"/>
      <c r="BB34" s="42"/>
      <c r="BC34" s="42"/>
      <c r="BD34" s="42"/>
      <c r="BE34" s="42"/>
      <c r="BF34" s="42"/>
      <c r="BG34" s="42"/>
      <c r="BH34" s="42"/>
      <c r="BI34" s="42"/>
      <c r="BJ34" s="42"/>
      <c r="BK34" s="42"/>
      <c r="BL34" s="60">
        <f>IFERROR(BL14/$B34,0)</f>
        <v>2.2890172359655957E-15</v>
      </c>
      <c r="BM34" s="71">
        <f>IFERROR(up_RadSpec!$D$14*BM14,".")*$B$34</f>
        <v>137.5</v>
      </c>
      <c r="BN34" s="71">
        <f>IFERROR(up_RadSpec!$G$14*BN14,".")*$B$34</f>
        <v>1.4710247995501937E-2</v>
      </c>
      <c r="BO34" s="71">
        <f>IFERROR(up_RadSpec!$F$14*BO14,".")*$B$34</f>
        <v>0.13263303477344576</v>
      </c>
      <c r="BP34" s="71">
        <f>up_b2s!BZ34</f>
        <v>1378712.5</v>
      </c>
      <c r="BQ34" s="71">
        <f>IFERROR(up_RadSpec!$E$14*BQ14,".")*$B$34</f>
        <v>68750</v>
      </c>
      <c r="BR34" s="71">
        <f>IFERROR(up_RadSpec!$E$14*BR14,".")*$B$34</f>
        <v>244921875</v>
      </c>
      <c r="BS34" s="71">
        <f>IFERROR(up_RadSpec!$E$14*BS14,".")*$B$34</f>
        <v>237788228.15533978</v>
      </c>
      <c r="BT34" s="71">
        <f>IFERROR(up_RadSpec!$E$14*BT14,".")*$B$34</f>
        <v>244921875</v>
      </c>
      <c r="BU34" s="71">
        <f>IFERROR(up_RadSpec!$E$14*BU14,".")*$B$34</f>
        <v>244921875</v>
      </c>
      <c r="BV34" s="71">
        <f>IFERROR(up_RadSpec!$E$14*BV14,".")*$B$34</f>
        <v>244921875</v>
      </c>
      <c r="BW34" s="71">
        <f>IFERROR(up_RadSpec!$E$14*BW14,".")*$B$34</f>
        <v>244921875</v>
      </c>
      <c r="BX34" s="71">
        <f>IFERROR(up_RadSpec!$E$14*BX14,".")*$B$34</f>
        <v>237788228.15533978</v>
      </c>
      <c r="BY34" s="71">
        <f>IFERROR(up_RadSpec!$E$14*BY14,".")*$B$34</f>
        <v>244921875</v>
      </c>
      <c r="BZ34" s="71">
        <f>IFERROR(up_RadSpec!$E$14*BZ14,".")*$B$34</f>
        <v>237788228.15533978</v>
      </c>
      <c r="CA34" s="49">
        <f t="shared" si="85"/>
        <v>1</v>
      </c>
      <c r="CB34" s="49">
        <f t="shared" si="86"/>
        <v>1.4602580880648697E-2</v>
      </c>
      <c r="CC34" s="49">
        <f t="shared" si="87"/>
        <v>0.12421358369156488</v>
      </c>
      <c r="CD34" s="49">
        <f t="shared" si="88"/>
        <v>1</v>
      </c>
      <c r="CE34" s="49">
        <f t="shared" si="63"/>
        <v>1</v>
      </c>
      <c r="CF34" s="49">
        <f t="shared" si="64"/>
        <v>1</v>
      </c>
      <c r="CG34" s="49">
        <f t="shared" si="65"/>
        <v>1</v>
      </c>
      <c r="CH34" s="49">
        <f t="shared" si="66"/>
        <v>1</v>
      </c>
      <c r="CI34" s="49">
        <f t="shared" si="67"/>
        <v>1</v>
      </c>
      <c r="CJ34" s="49">
        <f t="shared" si="68"/>
        <v>1</v>
      </c>
      <c r="CK34" s="49">
        <f t="shared" si="69"/>
        <v>1</v>
      </c>
      <c r="CL34" s="49">
        <f t="shared" si="70"/>
        <v>1</v>
      </c>
      <c r="CM34" s="49">
        <f t="shared" si="71"/>
        <v>1</v>
      </c>
      <c r="CN34" s="49">
        <f t="shared" si="72"/>
        <v>1</v>
      </c>
      <c r="CO34" s="49">
        <f t="shared" si="73"/>
        <v>1</v>
      </c>
      <c r="CP34" s="60">
        <f t="shared" si="89"/>
        <v>3.9999999999999996E-10</v>
      </c>
      <c r="CQ34" s="60">
        <f t="shared" si="89"/>
        <v>0</v>
      </c>
      <c r="CR34" s="60">
        <f t="shared" si="89"/>
        <v>4.3800000000000004E-6</v>
      </c>
      <c r="CS34" s="60">
        <f t="shared" si="89"/>
        <v>1.8087754064641833E-11</v>
      </c>
      <c r="CT34" s="60">
        <f t="shared" si="90"/>
        <v>1.4545454545454544E-8</v>
      </c>
      <c r="CU34" s="60">
        <f t="shared" si="90"/>
        <v>2.9090909090909087E-9</v>
      </c>
      <c r="CV34" s="60">
        <f t="shared" si="90"/>
        <v>2.9963636363636357E-9</v>
      </c>
      <c r="CW34" s="60">
        <f t="shared" si="90"/>
        <v>2.9090909090909087E-9</v>
      </c>
      <c r="CX34" s="60">
        <f t="shared" si="89"/>
        <v>2.9090909090909087E-9</v>
      </c>
      <c r="CY34" s="60">
        <f t="shared" si="89"/>
        <v>2.9090909090909087E-9</v>
      </c>
      <c r="CZ34" s="60">
        <f t="shared" si="89"/>
        <v>2.9090909090909087E-9</v>
      </c>
      <c r="DA34" s="60">
        <f>IFERROR(DA14/$B34,0)</f>
        <v>2.9963636363636357E-9</v>
      </c>
      <c r="DB34" s="60">
        <f t="shared" si="89"/>
        <v>2.9090909090909087E-9</v>
      </c>
      <c r="DC34" s="60">
        <f t="shared" si="89"/>
        <v>2.9963636363636357E-9</v>
      </c>
      <c r="DD34" s="15"/>
      <c r="DE34" s="15"/>
      <c r="DF34" s="15"/>
      <c r="DG34" s="15"/>
      <c r="DH34" s="15"/>
      <c r="DI34" s="15"/>
      <c r="DJ34" s="15"/>
      <c r="DK34" s="15"/>
      <c r="DL34" s="15"/>
      <c r="DM34" s="15"/>
      <c r="DN34" s="15"/>
      <c r="DO34" s="15"/>
      <c r="DP34" s="15"/>
      <c r="DQ34" s="15"/>
      <c r="DR34" s="60">
        <f>IFERROR(DR14/$B34,0)</f>
        <v>1.6415316541278672E-11</v>
      </c>
      <c r="DS34" s="71">
        <f>IFERROR(up_RadSpec!$H$14*DS14,".")*$B$34</f>
        <v>12500</v>
      </c>
      <c r="DT34" s="71">
        <f>IFERROR(up_RadSpec!$G$14*DT14,".")*$B$34</f>
        <v>2278.645833333333</v>
      </c>
      <c r="DU34" s="71">
        <f>IFERROR(up_RadSpec!$L$14*DU14,".")*$B$34</f>
        <v>1.1415525114155249</v>
      </c>
      <c r="DV34" s="71">
        <f>up_b2w!BZ34</f>
        <v>276430.1185283176</v>
      </c>
      <c r="DW34" s="71">
        <f>IFERROR(up_RadSpec!$E$14*DW14,".")*$B$34</f>
        <v>343.75</v>
      </c>
      <c r="DX34" s="71">
        <f>IFERROR(up_RadSpec!$E$14*DX14,".")*$B$34</f>
        <v>1718.75</v>
      </c>
      <c r="DY34" s="71">
        <f>IFERROR(up_RadSpec!$E$14*DY14,".")*$B$34</f>
        <v>1668.6893203883494</v>
      </c>
      <c r="DZ34" s="71">
        <f>IFERROR(up_RadSpec!$E$14*DZ14,".")*$B$34</f>
        <v>1718.75</v>
      </c>
      <c r="EA34" s="71">
        <f>IFERROR(up_RadSpec!$E$14*EA14,".")*$B$34</f>
        <v>1718.75</v>
      </c>
      <c r="EB34" s="71">
        <f>IFERROR(up_RadSpec!$E$14*EB14,".")*$B$34</f>
        <v>1718.75</v>
      </c>
      <c r="EC34" s="71">
        <f>IFERROR(up_RadSpec!$E$14*EC14,".")*$B$34</f>
        <v>1718.75</v>
      </c>
      <c r="ED34" s="71">
        <f>IFERROR(up_RadSpec!$E$14*ED14,".")*$B$34</f>
        <v>1668.6893203883494</v>
      </c>
      <c r="EE34" s="71">
        <f>IFERROR(up_RadSpec!$E$14*EE14,".")*$B$34</f>
        <v>1718.75</v>
      </c>
      <c r="EF34" s="71">
        <f>IFERROR(up_RadSpec!$E$14*EF14,".")*$B$34</f>
        <v>1668.6893203883494</v>
      </c>
      <c r="EG34" s="49">
        <f t="shared" si="91"/>
        <v>1</v>
      </c>
      <c r="EH34" s="49">
        <f t="shared" si="92"/>
        <v>1</v>
      </c>
      <c r="EI34" s="49">
        <f t="shared" si="93"/>
        <v>0.68067711563678512</v>
      </c>
      <c r="EJ34" s="49">
        <f t="shared" si="94"/>
        <v>1</v>
      </c>
      <c r="EK34" s="49">
        <f t="shared" si="95"/>
        <v>1</v>
      </c>
      <c r="EL34" s="49">
        <f t="shared" si="79"/>
        <v>1</v>
      </c>
      <c r="EM34" s="49">
        <f t="shared" si="79"/>
        <v>1</v>
      </c>
      <c r="EN34" s="49">
        <f t="shared" si="79"/>
        <v>1</v>
      </c>
      <c r="EO34" s="49">
        <f t="shared" si="79"/>
        <v>1</v>
      </c>
      <c r="EP34" s="49">
        <f t="shared" si="79"/>
        <v>1</v>
      </c>
      <c r="EQ34" s="49">
        <f t="shared" si="79"/>
        <v>1</v>
      </c>
      <c r="ER34" s="49">
        <f t="shared" si="79"/>
        <v>1</v>
      </c>
      <c r="ES34" s="49">
        <f t="shared" si="79"/>
        <v>1</v>
      </c>
      <c r="ET34" s="49">
        <f t="shared" si="79"/>
        <v>1</v>
      </c>
      <c r="EU34" s="49">
        <f t="shared" si="80"/>
        <v>1</v>
      </c>
      <c r="EV34" s="60">
        <f t="shared" si="96"/>
        <v>1.0971428571428573E-9</v>
      </c>
      <c r="EW34" s="60">
        <f t="shared" si="96"/>
        <v>1.7520000000000001E-6</v>
      </c>
      <c r="EX34" s="60">
        <f t="shared" si="96"/>
        <v>1.0964562309317064E-9</v>
      </c>
      <c r="EY34" s="71">
        <f>IFERROR(up_RadSpec!$G$14*EY14,".")*$B$34</f>
        <v>4557.2916666666661</v>
      </c>
      <c r="EZ34" s="71">
        <f>IFERROR(up_RadSpec!$J$14*EZ14,".")*$B$34</f>
        <v>2.8538812785388123</v>
      </c>
      <c r="FA34" s="49">
        <f t="shared" si="97"/>
        <v>1</v>
      </c>
      <c r="FB34" s="49">
        <f t="shared" si="97"/>
        <v>0.9423797539167309</v>
      </c>
      <c r="FC34" s="49">
        <f t="shared" si="98"/>
        <v>1</v>
      </c>
    </row>
    <row r="35" spans="1:159" x14ac:dyDescent="0.25">
      <c r="A35" s="83" t="s">
        <v>1080</v>
      </c>
      <c r="B35" s="42">
        <v>1</v>
      </c>
      <c r="C35" s="60">
        <f t="shared" ref="C35:M35" si="99">IFERROR(C30/$B35,0)</f>
        <v>1.8181818181818181E-11</v>
      </c>
      <c r="D35" s="60">
        <f t="shared" si="99"/>
        <v>7.2727272727272723E-11</v>
      </c>
      <c r="E35" s="60">
        <f t="shared" si="99"/>
        <v>7.2727272727272723E-11</v>
      </c>
      <c r="F35" s="60">
        <f t="shared" si="99"/>
        <v>7.2727272727272723E-11</v>
      </c>
      <c r="G35" s="60">
        <f t="shared" si="99"/>
        <v>7.2727272727272723E-11</v>
      </c>
      <c r="H35" s="60">
        <f t="shared" si="99"/>
        <v>7.2727272727272723E-11</v>
      </c>
      <c r="I35" s="60">
        <f t="shared" si="99"/>
        <v>7.2727272727272723E-11</v>
      </c>
      <c r="J35" s="60">
        <f t="shared" si="99"/>
        <v>7.2727272727272723E-11</v>
      </c>
      <c r="K35" s="60">
        <f t="shared" si="99"/>
        <v>7.2727272727272723E-11</v>
      </c>
      <c r="L35" s="60">
        <f t="shared" si="99"/>
        <v>7.2727272727272723E-11</v>
      </c>
      <c r="M35" s="60">
        <f t="shared" si="99"/>
        <v>7.2727272727272723E-11</v>
      </c>
      <c r="N35" s="71">
        <f>up_dir!BA35</f>
        <v>275000</v>
      </c>
      <c r="O35" s="71">
        <f>IFERROR(up_RadSpec!$E$30*O30,".")*$B$35</f>
        <v>68750</v>
      </c>
      <c r="P35" s="71">
        <f>IFERROR(up_RadSpec!$E$30*P30,".")*$B$35</f>
        <v>68750</v>
      </c>
      <c r="Q35" s="71">
        <f>IFERROR(up_RadSpec!$E$30*Q30,".")*$B$35</f>
        <v>68750</v>
      </c>
      <c r="R35" s="71">
        <f>IFERROR(up_RadSpec!$E$30*R30,".")*$B$35</f>
        <v>68750</v>
      </c>
      <c r="S35" s="71">
        <f>IFERROR(up_RadSpec!$E$30*S30,".")*$B$35</f>
        <v>68750</v>
      </c>
      <c r="T35" s="71">
        <f>IFERROR(up_RadSpec!$E$30*T30,".")*$B$35</f>
        <v>68750</v>
      </c>
      <c r="U35" s="71">
        <f>IFERROR(up_RadSpec!$E$30*U30,".")*$B$35</f>
        <v>68750</v>
      </c>
      <c r="V35" s="71">
        <f>IFERROR(up_RadSpec!$E$30*V30,".")*$B$35</f>
        <v>68750</v>
      </c>
      <c r="W35" s="71">
        <f>IFERROR(up_RadSpec!$E$30*W30,".")*$B$35</f>
        <v>68750</v>
      </c>
      <c r="X35" s="71">
        <f>IFERROR(up_RadSpec!$E$30*X30,".")*$B$35</f>
        <v>68750</v>
      </c>
      <c r="Y35" s="49">
        <f t="shared" si="82"/>
        <v>1</v>
      </c>
      <c r="Z35" s="49">
        <f t="shared" si="57"/>
        <v>1</v>
      </c>
      <c r="AA35" s="49">
        <f t="shared" si="57"/>
        <v>1</v>
      </c>
      <c r="AB35" s="49">
        <f t="shared" si="57"/>
        <v>1</v>
      </c>
      <c r="AC35" s="49">
        <f t="shared" si="57"/>
        <v>1</v>
      </c>
      <c r="AD35" s="49">
        <f t="shared" si="57"/>
        <v>1</v>
      </c>
      <c r="AE35" s="49">
        <f t="shared" si="57"/>
        <v>1</v>
      </c>
      <c r="AF35" s="49">
        <f t="shared" si="57"/>
        <v>1</v>
      </c>
      <c r="AG35" s="49">
        <f t="shared" si="57"/>
        <v>1</v>
      </c>
      <c r="AH35" s="49">
        <f t="shared" si="57"/>
        <v>1</v>
      </c>
      <c r="AI35" s="49">
        <f t="shared" si="57"/>
        <v>1</v>
      </c>
      <c r="AJ35" s="60">
        <f t="shared" ref="AJ35:AW35" si="100">IFERROR(AJ30/$B35,0)</f>
        <v>3.6363636363636363E-8</v>
      </c>
      <c r="AK35" s="60">
        <f t="shared" si="100"/>
        <v>3.3989909629864073E-4</v>
      </c>
      <c r="AL35" s="60">
        <f t="shared" si="100"/>
        <v>1.2166666666666668E-4</v>
      </c>
      <c r="AM35" s="60">
        <f t="shared" si="100"/>
        <v>3.6265718922545492E-12</v>
      </c>
      <c r="AN35" s="60">
        <f>IFERROR(AN30/$B35,0)</f>
        <v>7.2727272727272723E-11</v>
      </c>
      <c r="AO35" s="60">
        <f>IFERROR(AO30/$B35,0)</f>
        <v>2.0414673046251994E-14</v>
      </c>
      <c r="AP35" s="60">
        <f>IFERROR(AP30/$B35,0)</f>
        <v>2.102711323763955E-14</v>
      </c>
      <c r="AQ35" s="60">
        <f>IFERROR(AQ30/$B35,0)</f>
        <v>2.0414673046251994E-14</v>
      </c>
      <c r="AR35" s="60">
        <f t="shared" si="100"/>
        <v>2.0414673046251994E-14</v>
      </c>
      <c r="AS35" s="60">
        <f t="shared" si="100"/>
        <v>2.0414673046251994E-14</v>
      </c>
      <c r="AT35" s="60">
        <f t="shared" si="100"/>
        <v>2.0414673046251994E-14</v>
      </c>
      <c r="AU35" s="60">
        <f>IFERROR(AU30/$B35,0)</f>
        <v>2.102711323763955E-14</v>
      </c>
      <c r="AV35" s="60">
        <f t="shared" si="100"/>
        <v>2.0414673046251994E-14</v>
      </c>
      <c r="AW35" s="60">
        <f t="shared" si="100"/>
        <v>2.102711323763955E-14</v>
      </c>
      <c r="AX35" s="42"/>
      <c r="AY35" s="42"/>
      <c r="AZ35" s="42"/>
      <c r="BA35" s="42"/>
      <c r="BB35" s="42"/>
      <c r="BC35" s="42"/>
      <c r="BD35" s="42"/>
      <c r="BE35" s="42"/>
      <c r="BF35" s="42"/>
      <c r="BG35" s="42"/>
      <c r="BH35" s="42"/>
      <c r="BI35" s="42"/>
      <c r="BJ35" s="42"/>
      <c r="BK35" s="42"/>
      <c r="BL35" s="60">
        <f>IFERROR(BL30/$B35,0)</f>
        <v>2.2890172360615196E-15</v>
      </c>
      <c r="BM35" s="71">
        <f>IFERROR(up_RadSpec!$D$30*BM30,".")*$B$35</f>
        <v>137.5</v>
      </c>
      <c r="BN35" s="71">
        <f>IFERROR(up_RadSpec!$G$30*BN30,".")*$B$35</f>
        <v>1.4710247995501937E-2</v>
      </c>
      <c r="BO35" s="71">
        <f>IFERROR(up_RadSpec!$F$30*BO30,".")*$B$35</f>
        <v>4.1095890410958902E-2</v>
      </c>
      <c r="BP35" s="71">
        <f>up_b2s!BZ35</f>
        <v>1378712.5</v>
      </c>
      <c r="BQ35" s="71">
        <f>IFERROR(up_RadSpec!$E$30*BQ30,".")*$B$35</f>
        <v>68750</v>
      </c>
      <c r="BR35" s="71">
        <f>IFERROR(up_RadSpec!$E$30*BR30,".")*$B$35</f>
        <v>244921875</v>
      </c>
      <c r="BS35" s="71">
        <f>IFERROR(up_RadSpec!$E$30*BS30,".")*$B$35</f>
        <v>237788228.15533978</v>
      </c>
      <c r="BT35" s="71">
        <f>IFERROR(up_RadSpec!$E$30*BT30,".")*$B$35</f>
        <v>244921875</v>
      </c>
      <c r="BU35" s="71">
        <f>IFERROR(up_RadSpec!$E$30*BU30,".")*$B$35</f>
        <v>244921875</v>
      </c>
      <c r="BV35" s="71">
        <f>IFERROR(up_RadSpec!$E$30*BV30,".")*$B$35</f>
        <v>244921875</v>
      </c>
      <c r="BW35" s="71">
        <f>IFERROR(up_RadSpec!$E$30*BW30,".")*$B$35</f>
        <v>244921875</v>
      </c>
      <c r="BX35" s="71">
        <f>IFERROR(up_RadSpec!$E$30*BX30,".")*$B$35</f>
        <v>237788228.15533978</v>
      </c>
      <c r="BY35" s="71">
        <f>IFERROR(up_RadSpec!$E$30*BY30,".")*$B$35</f>
        <v>244921875</v>
      </c>
      <c r="BZ35" s="71">
        <f>IFERROR(up_RadSpec!$E$30*BZ30,".")*$B$35</f>
        <v>237788228.15533978</v>
      </c>
      <c r="CA35" s="49">
        <f t="shared" si="85"/>
        <v>1</v>
      </c>
      <c r="CB35" s="49">
        <f t="shared" si="86"/>
        <v>1.4602580880648697E-2</v>
      </c>
      <c r="CC35" s="49">
        <f t="shared" si="87"/>
        <v>4.0262904049262693E-2</v>
      </c>
      <c r="CD35" s="49">
        <f t="shared" si="88"/>
        <v>1</v>
      </c>
      <c r="CE35" s="49">
        <f t="shared" si="63"/>
        <v>1</v>
      </c>
      <c r="CF35" s="49">
        <f t="shared" si="64"/>
        <v>1</v>
      </c>
      <c r="CG35" s="49">
        <f t="shared" si="65"/>
        <v>1</v>
      </c>
      <c r="CH35" s="49">
        <f t="shared" si="66"/>
        <v>1</v>
      </c>
      <c r="CI35" s="49">
        <f t="shared" si="67"/>
        <v>1</v>
      </c>
      <c r="CJ35" s="49">
        <f t="shared" si="68"/>
        <v>1</v>
      </c>
      <c r="CK35" s="49">
        <f t="shared" si="69"/>
        <v>1</v>
      </c>
      <c r="CL35" s="49">
        <f t="shared" si="70"/>
        <v>1</v>
      </c>
      <c r="CM35" s="49">
        <f t="shared" si="71"/>
        <v>1</v>
      </c>
      <c r="CN35" s="49">
        <f t="shared" si="72"/>
        <v>1</v>
      </c>
      <c r="CO35" s="49">
        <f t="shared" si="73"/>
        <v>1</v>
      </c>
      <c r="CP35" s="60">
        <f t="shared" ref="CP35:DC35" si="101">IFERROR(CP30/$B35,0)</f>
        <v>3.9999999999999996E-10</v>
      </c>
      <c r="CQ35" s="60">
        <f t="shared" si="101"/>
        <v>0</v>
      </c>
      <c r="CR35" s="60">
        <f t="shared" si="101"/>
        <v>4.3800000000000004E-6</v>
      </c>
      <c r="CS35" s="60">
        <f t="shared" si="101"/>
        <v>1.8087754064641833E-11</v>
      </c>
      <c r="CT35" s="60">
        <f>IFERROR(CT30/$B35,0)</f>
        <v>1.4545454545454544E-8</v>
      </c>
      <c r="CU35" s="60">
        <f>IFERROR(CU30/$B35,0)</f>
        <v>2.9090909090909087E-9</v>
      </c>
      <c r="CV35" s="60">
        <f>IFERROR(CV30/$B35,0)</f>
        <v>2.9963636363636357E-9</v>
      </c>
      <c r="CW35" s="60">
        <f>IFERROR(CW30/$B35,0)</f>
        <v>2.9090909090909087E-9</v>
      </c>
      <c r="CX35" s="60">
        <f t="shared" si="101"/>
        <v>2.9090909090909087E-9</v>
      </c>
      <c r="CY35" s="60">
        <f t="shared" si="101"/>
        <v>2.9090909090909087E-9</v>
      </c>
      <c r="CZ35" s="60">
        <f t="shared" si="101"/>
        <v>2.9090909090909087E-9</v>
      </c>
      <c r="DA35" s="60">
        <f>IFERROR(DA30/$B35,0)</f>
        <v>2.9963636363636357E-9</v>
      </c>
      <c r="DB35" s="60">
        <f t="shared" si="101"/>
        <v>2.9090909090909087E-9</v>
      </c>
      <c r="DC35" s="60">
        <f t="shared" si="101"/>
        <v>2.9963636363636357E-9</v>
      </c>
      <c r="DD35" s="15"/>
      <c r="DE35" s="15"/>
      <c r="DF35" s="15"/>
      <c r="DG35" s="15"/>
      <c r="DH35" s="15"/>
      <c r="DI35" s="15"/>
      <c r="DJ35" s="15"/>
      <c r="DK35" s="15"/>
      <c r="DL35" s="15"/>
      <c r="DM35" s="15"/>
      <c r="DN35" s="15"/>
      <c r="DO35" s="15"/>
      <c r="DP35" s="15"/>
      <c r="DQ35" s="15"/>
      <c r="DR35" s="60">
        <f>IFERROR(DR30/$B35,0)</f>
        <v>1.6415316541278672E-11</v>
      </c>
      <c r="DS35" s="71">
        <f>IFERROR(up_RadSpec!$H$30*DS30,".")*$B$35</f>
        <v>12500</v>
      </c>
      <c r="DT35" s="71">
        <f>IFERROR(up_RadSpec!$G$30*DT30,".")*$B$35</f>
        <v>2278.645833333333</v>
      </c>
      <c r="DU35" s="71">
        <f>IFERROR(up_RadSpec!$L$30*DU30,".")*$B$35</f>
        <v>1.1415525114155249</v>
      </c>
      <c r="DV35" s="71">
        <f>up_b2w!BZ35</f>
        <v>276430.1185283176</v>
      </c>
      <c r="DW35" s="71">
        <f>IFERROR(up_RadSpec!$E$30*DW30,".")*$B$35</f>
        <v>343.75</v>
      </c>
      <c r="DX35" s="71">
        <f>IFERROR(up_RadSpec!$E$30*DX30,".")*$B$35</f>
        <v>1718.75</v>
      </c>
      <c r="DY35" s="71">
        <f>IFERROR(up_RadSpec!$E$30*DY30,".")*$B$35</f>
        <v>1668.6893203883494</v>
      </c>
      <c r="DZ35" s="71">
        <f>IFERROR(up_RadSpec!$E$30*DZ30,".")*$B$35</f>
        <v>1718.75</v>
      </c>
      <c r="EA35" s="71">
        <f>IFERROR(up_RadSpec!$E$30*EA30,".")*$B$35</f>
        <v>1718.75</v>
      </c>
      <c r="EB35" s="71">
        <f>IFERROR(up_RadSpec!$E$30*EB30,".")*$B$35</f>
        <v>1718.75</v>
      </c>
      <c r="EC35" s="71">
        <f>IFERROR(up_RadSpec!$E$30*EC30,".")*$B$35</f>
        <v>1718.75</v>
      </c>
      <c r="ED35" s="71">
        <f>IFERROR(up_RadSpec!$E$30*ED30,".")*$B$35</f>
        <v>1668.6893203883494</v>
      </c>
      <c r="EE35" s="71">
        <f>IFERROR(up_RadSpec!$E$30*EE30,".")*$B$35</f>
        <v>1718.75</v>
      </c>
      <c r="EF35" s="71">
        <f>IFERROR(up_RadSpec!$E$30*EF30,".")*$B$35</f>
        <v>1668.6893203883494</v>
      </c>
      <c r="EG35" s="49">
        <f t="shared" si="91"/>
        <v>1</v>
      </c>
      <c r="EH35" s="49">
        <f t="shared" si="92"/>
        <v>1</v>
      </c>
      <c r="EI35" s="49">
        <f t="shared" si="93"/>
        <v>0.68067711563678512</v>
      </c>
      <c r="EJ35" s="49">
        <f t="shared" si="94"/>
        <v>1</v>
      </c>
      <c r="EK35" s="49">
        <f t="shared" si="95"/>
        <v>1</v>
      </c>
      <c r="EL35" s="49">
        <f t="shared" si="79"/>
        <v>1</v>
      </c>
      <c r="EM35" s="49">
        <f t="shared" si="79"/>
        <v>1</v>
      </c>
      <c r="EN35" s="49">
        <f t="shared" si="79"/>
        <v>1</v>
      </c>
      <c r="EO35" s="49">
        <f t="shared" si="79"/>
        <v>1</v>
      </c>
      <c r="EP35" s="49">
        <f t="shared" si="79"/>
        <v>1</v>
      </c>
      <c r="EQ35" s="49">
        <f t="shared" si="79"/>
        <v>1</v>
      </c>
      <c r="ER35" s="49">
        <f t="shared" si="79"/>
        <v>1</v>
      </c>
      <c r="ES35" s="49">
        <f t="shared" si="79"/>
        <v>1</v>
      </c>
      <c r="ET35" s="49">
        <f t="shared" si="79"/>
        <v>1</v>
      </c>
      <c r="EU35" s="49">
        <f t="shared" si="80"/>
        <v>1</v>
      </c>
      <c r="EV35" s="60">
        <f>IFERROR(EV30/$B35,0)</f>
        <v>1.0971428571428573E-9</v>
      </c>
      <c r="EW35" s="60">
        <f>IFERROR(EW30/$B35,0)</f>
        <v>1.7520000000000001E-6</v>
      </c>
      <c r="EX35" s="60">
        <f>IFERROR(EX30/$B35,0)</f>
        <v>1.0964562309317064E-9</v>
      </c>
      <c r="EY35" s="71">
        <f>IFERROR(up_RadSpec!$G$30*EY30,".")*$B$35</f>
        <v>4557.2916666666661</v>
      </c>
      <c r="EZ35" s="71">
        <f>IFERROR(up_RadSpec!$J$30*EZ30,".")*$B$35</f>
        <v>2.8538812785388123</v>
      </c>
      <c r="FA35" s="49">
        <f t="shared" si="97"/>
        <v>1</v>
      </c>
      <c r="FB35" s="49">
        <f t="shared" si="97"/>
        <v>0.9423797539167309</v>
      </c>
      <c r="FC35" s="49">
        <f t="shared" si="98"/>
        <v>1</v>
      </c>
    </row>
    <row r="36" spans="1:159" x14ac:dyDescent="0.25">
      <c r="A36" s="83" t="s">
        <v>1081</v>
      </c>
      <c r="B36" s="42">
        <v>1</v>
      </c>
      <c r="C36" s="60">
        <f t="shared" ref="C36:M36" si="102">IFERROR(C26/$B36,0)</f>
        <v>1.8181818181818181E-11</v>
      </c>
      <c r="D36" s="60">
        <f t="shared" si="102"/>
        <v>7.2727272727272723E-11</v>
      </c>
      <c r="E36" s="60">
        <f t="shared" si="102"/>
        <v>7.2727272727272723E-11</v>
      </c>
      <c r="F36" s="60">
        <f t="shared" si="102"/>
        <v>7.2727272727272723E-11</v>
      </c>
      <c r="G36" s="60">
        <f t="shared" si="102"/>
        <v>7.2727272727272723E-11</v>
      </c>
      <c r="H36" s="60">
        <f t="shared" si="102"/>
        <v>7.2727272727272723E-11</v>
      </c>
      <c r="I36" s="60">
        <f t="shared" si="102"/>
        <v>7.2727272727272723E-11</v>
      </c>
      <c r="J36" s="60">
        <f t="shared" si="102"/>
        <v>7.2727272727272723E-11</v>
      </c>
      <c r="K36" s="60">
        <f t="shared" si="102"/>
        <v>7.2727272727272723E-11</v>
      </c>
      <c r="L36" s="60">
        <f t="shared" si="102"/>
        <v>7.2727272727272723E-11</v>
      </c>
      <c r="M36" s="60">
        <f t="shared" si="102"/>
        <v>7.2727272727272723E-11</v>
      </c>
      <c r="N36" s="71">
        <f>up_dir!BA36</f>
        <v>275000</v>
      </c>
      <c r="O36" s="71">
        <f>IFERROR(up_RadSpec!$E$26*O26,".")*$B$37</f>
        <v>68750</v>
      </c>
      <c r="P36" s="71">
        <f>IFERROR(up_RadSpec!$E$26*P26,".")*$B$37</f>
        <v>68750</v>
      </c>
      <c r="Q36" s="71">
        <f>IFERROR(up_RadSpec!$E$26*Q26,".")*$B$37</f>
        <v>68750</v>
      </c>
      <c r="R36" s="71">
        <f>IFERROR(up_RadSpec!$E$26*R26,".")*$B$37</f>
        <v>68750</v>
      </c>
      <c r="S36" s="71">
        <f>IFERROR(up_RadSpec!$E$26*S26,".")*$B$37</f>
        <v>68750</v>
      </c>
      <c r="T36" s="71">
        <f>IFERROR(up_RadSpec!$E$26*T26,".")*$B$37</f>
        <v>68750</v>
      </c>
      <c r="U36" s="71">
        <f>IFERROR(up_RadSpec!$E$26*U26,".")*$B$37</f>
        <v>68750</v>
      </c>
      <c r="V36" s="71">
        <f>IFERROR(up_RadSpec!$E$26*V26,".")*$B$37</f>
        <v>68750</v>
      </c>
      <c r="W36" s="71">
        <f>IFERROR(up_RadSpec!$E$26*W26,".")*$B$37</f>
        <v>68750</v>
      </c>
      <c r="X36" s="71">
        <f>IFERROR(up_RadSpec!$E$26*X26,".")*$B$37</f>
        <v>68750</v>
      </c>
      <c r="Y36" s="49">
        <f t="shared" si="82"/>
        <v>1</v>
      </c>
      <c r="Z36" s="49">
        <f t="shared" si="57"/>
        <v>1</v>
      </c>
      <c r="AA36" s="49">
        <f t="shared" si="57"/>
        <v>1</v>
      </c>
      <c r="AB36" s="49">
        <f t="shared" si="57"/>
        <v>1</v>
      </c>
      <c r="AC36" s="49">
        <f t="shared" si="57"/>
        <v>1</v>
      </c>
      <c r="AD36" s="49">
        <f t="shared" si="57"/>
        <v>1</v>
      </c>
      <c r="AE36" s="49">
        <f t="shared" si="57"/>
        <v>1</v>
      </c>
      <c r="AF36" s="49">
        <f t="shared" si="57"/>
        <v>1</v>
      </c>
      <c r="AG36" s="49">
        <f t="shared" si="57"/>
        <v>1</v>
      </c>
      <c r="AH36" s="49">
        <f t="shared" si="57"/>
        <v>1</v>
      </c>
      <c r="AI36" s="49">
        <f t="shared" si="57"/>
        <v>1</v>
      </c>
      <c r="AJ36" s="60">
        <f t="shared" ref="AJ36:AW36" si="103">IFERROR(AJ26/$B36,0)</f>
        <v>3.6363636363636363E-8</v>
      </c>
      <c r="AK36" s="60">
        <f t="shared" si="103"/>
        <v>3.3989909629864073E-4</v>
      </c>
      <c r="AL36" s="60">
        <f t="shared" si="103"/>
        <v>1.2787414965986392E-4</v>
      </c>
      <c r="AM36" s="60">
        <f t="shared" si="103"/>
        <v>3.6265718922545492E-12</v>
      </c>
      <c r="AN36" s="60">
        <f>IFERROR(AN26/$B36,0)</f>
        <v>7.2727272727272723E-11</v>
      </c>
      <c r="AO36" s="60">
        <f>IFERROR(AO26/$B36,0)</f>
        <v>2.0414673046251994E-14</v>
      </c>
      <c r="AP36" s="60">
        <f>IFERROR(AP26/$B36,0)</f>
        <v>2.102711323763955E-14</v>
      </c>
      <c r="AQ36" s="60">
        <f>IFERROR(AQ26/$B36,0)</f>
        <v>2.0414673046251994E-14</v>
      </c>
      <c r="AR36" s="60">
        <f t="shared" si="103"/>
        <v>2.0414673046251994E-14</v>
      </c>
      <c r="AS36" s="60">
        <f t="shared" si="103"/>
        <v>2.0414673046251994E-14</v>
      </c>
      <c r="AT36" s="60">
        <f t="shared" si="103"/>
        <v>2.0414673046251994E-14</v>
      </c>
      <c r="AU36" s="60">
        <f>IFERROR(AU26/$B36,0)</f>
        <v>2.102711323763955E-14</v>
      </c>
      <c r="AV36" s="60">
        <f t="shared" si="103"/>
        <v>2.0414673046251994E-14</v>
      </c>
      <c r="AW36" s="60">
        <f t="shared" si="103"/>
        <v>2.102711323763955E-14</v>
      </c>
      <c r="AX36" s="42"/>
      <c r="AY36" s="42"/>
      <c r="AZ36" s="42"/>
      <c r="BA36" s="42"/>
      <c r="BB36" s="42"/>
      <c r="BC36" s="42"/>
      <c r="BD36" s="42"/>
      <c r="BE36" s="42"/>
      <c r="BF36" s="42"/>
      <c r="BG36" s="42"/>
      <c r="BH36" s="42"/>
      <c r="BI36" s="42"/>
      <c r="BJ36" s="42"/>
      <c r="BK36" s="42"/>
      <c r="BL36" s="60">
        <f>IFERROR(BL26/$B36,0)</f>
        <v>2.2890172360636097E-15</v>
      </c>
      <c r="BM36" s="71">
        <f>IFERROR(up_RadSpec!$D$26*BM26,".")*$B$37</f>
        <v>137.5</v>
      </c>
      <c r="BN36" s="71">
        <f>IFERROR(up_RadSpec!$G$26*BN26,".")*$B$37</f>
        <v>1.4710247995501937E-2</v>
      </c>
      <c r="BO36" s="71">
        <f>IFERROR(up_RadSpec!$F$26*BO26,".")*$B$37</f>
        <v>3.9100944274504598E-2</v>
      </c>
      <c r="BP36" s="71">
        <f>up_b2s!BZ36</f>
        <v>1378712.5</v>
      </c>
      <c r="BQ36" s="71">
        <f>IFERROR(up_RadSpec!$E$26*BQ26,".")*$B$37</f>
        <v>68750</v>
      </c>
      <c r="BR36" s="71">
        <f>IFERROR(up_RadSpec!$E$26*BR26,".")*$B$37</f>
        <v>244921875</v>
      </c>
      <c r="BS36" s="71">
        <f>IFERROR(up_RadSpec!$E$26*BS26,".")*$B$37</f>
        <v>237788228.15533978</v>
      </c>
      <c r="BT36" s="71">
        <f>IFERROR(up_RadSpec!$E$26*BT26,".")*$B$37</f>
        <v>244921875</v>
      </c>
      <c r="BU36" s="71">
        <f>IFERROR(up_RadSpec!$E$26*BU26,".")*$B$37</f>
        <v>244921875</v>
      </c>
      <c r="BV36" s="71">
        <f>IFERROR(up_RadSpec!$E$26*BV26,".")*$B$37</f>
        <v>244921875</v>
      </c>
      <c r="BW36" s="71">
        <f>IFERROR(up_RadSpec!$E$26*BW26,".")*$B$37</f>
        <v>244921875</v>
      </c>
      <c r="BX36" s="71">
        <f>IFERROR(up_RadSpec!$E$26*BX26,".")*$B$37</f>
        <v>237788228.15533978</v>
      </c>
      <c r="BY36" s="71">
        <f>IFERROR(up_RadSpec!$E$26*BY26,".")*$B$37</f>
        <v>244921875</v>
      </c>
      <c r="BZ36" s="71">
        <f>IFERROR(up_RadSpec!$E$26*BZ26,".")*$B$37</f>
        <v>237788228.15533978</v>
      </c>
      <c r="CA36" s="49">
        <f t="shared" si="85"/>
        <v>1</v>
      </c>
      <c r="CB36" s="49">
        <f t="shared" si="86"/>
        <v>1.4602580880648697E-2</v>
      </c>
      <c r="CC36" s="49">
        <f t="shared" si="87"/>
        <v>3.8346369181389228E-2</v>
      </c>
      <c r="CD36" s="49">
        <f t="shared" si="88"/>
        <v>1</v>
      </c>
      <c r="CE36" s="49">
        <f t="shared" si="63"/>
        <v>1</v>
      </c>
      <c r="CF36" s="49">
        <f t="shared" si="64"/>
        <v>1</v>
      </c>
      <c r="CG36" s="49">
        <f t="shared" si="65"/>
        <v>1</v>
      </c>
      <c r="CH36" s="49">
        <f t="shared" si="66"/>
        <v>1</v>
      </c>
      <c r="CI36" s="49">
        <f t="shared" si="67"/>
        <v>1</v>
      </c>
      <c r="CJ36" s="49">
        <f t="shared" si="68"/>
        <v>1</v>
      </c>
      <c r="CK36" s="49">
        <f t="shared" si="69"/>
        <v>1</v>
      </c>
      <c r="CL36" s="49">
        <f t="shared" si="70"/>
        <v>1</v>
      </c>
      <c r="CM36" s="49">
        <f t="shared" si="71"/>
        <v>1</v>
      </c>
      <c r="CN36" s="49">
        <f t="shared" si="72"/>
        <v>1</v>
      </c>
      <c r="CO36" s="49">
        <f t="shared" si="73"/>
        <v>1</v>
      </c>
      <c r="CP36" s="60">
        <f t="shared" ref="CP36:DC36" si="104">IFERROR(CP26/$B36,0)</f>
        <v>3.9999999999999996E-10</v>
      </c>
      <c r="CQ36" s="60">
        <f t="shared" si="104"/>
        <v>0</v>
      </c>
      <c r="CR36" s="60">
        <f t="shared" si="104"/>
        <v>4.3800000000000004E-6</v>
      </c>
      <c r="CS36" s="60">
        <f t="shared" si="104"/>
        <v>1.8087754064641833E-11</v>
      </c>
      <c r="CT36" s="60">
        <f>IFERROR(CT26/$B36,0)</f>
        <v>1.4545454545454544E-8</v>
      </c>
      <c r="CU36" s="60">
        <f>IFERROR(CU26/$B36,0)</f>
        <v>2.9090909090909087E-9</v>
      </c>
      <c r="CV36" s="60">
        <f>IFERROR(CV26/$B36,0)</f>
        <v>2.9963636363636357E-9</v>
      </c>
      <c r="CW36" s="60">
        <f>IFERROR(CW26/$B36,0)</f>
        <v>2.9090909090909087E-9</v>
      </c>
      <c r="CX36" s="60">
        <f t="shared" si="104"/>
        <v>2.9090909090909087E-9</v>
      </c>
      <c r="CY36" s="60">
        <f t="shared" si="104"/>
        <v>2.9090909090909087E-9</v>
      </c>
      <c r="CZ36" s="60">
        <f t="shared" si="104"/>
        <v>2.9090909090909087E-9</v>
      </c>
      <c r="DA36" s="60">
        <f>IFERROR(DA26/$B36,0)</f>
        <v>2.9963636363636357E-9</v>
      </c>
      <c r="DB36" s="60">
        <f t="shared" si="104"/>
        <v>2.9090909090909087E-9</v>
      </c>
      <c r="DC36" s="60">
        <f t="shared" si="104"/>
        <v>2.9963636363636357E-9</v>
      </c>
      <c r="DD36" s="15"/>
      <c r="DE36" s="15"/>
      <c r="DF36" s="15"/>
      <c r="DG36" s="15"/>
      <c r="DH36" s="15"/>
      <c r="DI36" s="15"/>
      <c r="DJ36" s="15"/>
      <c r="DK36" s="15"/>
      <c r="DL36" s="15"/>
      <c r="DM36" s="15"/>
      <c r="DN36" s="15"/>
      <c r="DO36" s="15"/>
      <c r="DP36" s="15"/>
      <c r="DQ36" s="15"/>
      <c r="DR36" s="60">
        <f>IFERROR(DR26/$B36,0)</f>
        <v>1.6415316541278672E-11</v>
      </c>
      <c r="DS36" s="71">
        <f>IFERROR(up_RadSpec!$H$26*DS26,".")*$B$37</f>
        <v>12500</v>
      </c>
      <c r="DT36" s="71">
        <f>IFERROR(up_RadSpec!$G$26*DT26,".")*$B$37</f>
        <v>2278.645833333333</v>
      </c>
      <c r="DU36" s="71">
        <f>IFERROR(up_RadSpec!$L$26*DU26,".")*$B$37</f>
        <v>1.1415525114155249</v>
      </c>
      <c r="DV36" s="71">
        <f>up_b2w!BZ36</f>
        <v>276430.1185283176</v>
      </c>
      <c r="DW36" s="71">
        <f>IFERROR(up_RadSpec!$E$26*DW26,".")*$B$37</f>
        <v>343.75</v>
      </c>
      <c r="DX36" s="71">
        <f>IFERROR(up_RadSpec!$E$26*DX26,".")*$B$37</f>
        <v>1718.75</v>
      </c>
      <c r="DY36" s="71">
        <f>IFERROR(up_RadSpec!$E$26*DY26,".")*$B$37</f>
        <v>1668.6893203883494</v>
      </c>
      <c r="DZ36" s="71">
        <f>IFERROR(up_RadSpec!$E$26*DZ26,".")*$B$37</f>
        <v>1718.75</v>
      </c>
      <c r="EA36" s="71">
        <f>IFERROR(up_RadSpec!$E$26*EA26,".")*$B$37</f>
        <v>1718.75</v>
      </c>
      <c r="EB36" s="71">
        <f>IFERROR(up_RadSpec!$E$26*EB26,".")*$B$37</f>
        <v>1718.75</v>
      </c>
      <c r="EC36" s="71">
        <f>IFERROR(up_RadSpec!$E$26*EC26,".")*$B$37</f>
        <v>1718.75</v>
      </c>
      <c r="ED36" s="71">
        <f>IFERROR(up_RadSpec!$E$26*ED26,".")*$B$37</f>
        <v>1668.6893203883494</v>
      </c>
      <c r="EE36" s="71">
        <f>IFERROR(up_RadSpec!$E$26*EE26,".")*$B$37</f>
        <v>1718.75</v>
      </c>
      <c r="EF36" s="71">
        <f>IFERROR(up_RadSpec!$E$26*EF26,".")*$B$37</f>
        <v>1668.6893203883494</v>
      </c>
      <c r="EG36" s="49">
        <f t="shared" si="91"/>
        <v>1</v>
      </c>
      <c r="EH36" s="49">
        <f t="shared" si="92"/>
        <v>1</v>
      </c>
      <c r="EI36" s="49">
        <f t="shared" si="93"/>
        <v>0.68067711563678512</v>
      </c>
      <c r="EJ36" s="49">
        <f t="shared" si="94"/>
        <v>1</v>
      </c>
      <c r="EK36" s="49">
        <f t="shared" si="95"/>
        <v>1</v>
      </c>
      <c r="EL36" s="49">
        <f t="shared" si="79"/>
        <v>1</v>
      </c>
      <c r="EM36" s="49">
        <f t="shared" si="79"/>
        <v>1</v>
      </c>
      <c r="EN36" s="49">
        <f t="shared" si="79"/>
        <v>1</v>
      </c>
      <c r="EO36" s="49">
        <f t="shared" si="79"/>
        <v>1</v>
      </c>
      <c r="EP36" s="49">
        <f t="shared" si="79"/>
        <v>1</v>
      </c>
      <c r="EQ36" s="49">
        <f t="shared" si="79"/>
        <v>1</v>
      </c>
      <c r="ER36" s="49">
        <f t="shared" si="79"/>
        <v>1</v>
      </c>
      <c r="ES36" s="49">
        <f t="shared" si="79"/>
        <v>1</v>
      </c>
      <c r="ET36" s="49">
        <f t="shared" si="79"/>
        <v>1</v>
      </c>
      <c r="EU36" s="49">
        <f t="shared" si="80"/>
        <v>1</v>
      </c>
      <c r="EV36" s="60">
        <f>IFERROR(EV26/$B36,0)</f>
        <v>1.0971428571428573E-9</v>
      </c>
      <c r="EW36" s="60">
        <f>IFERROR(EW26/$B36,0)</f>
        <v>1.7520000000000001E-6</v>
      </c>
      <c r="EX36" s="60">
        <f>IFERROR(EX26/$B36,0)</f>
        <v>1.0964562309317064E-9</v>
      </c>
      <c r="EY36" s="71">
        <f>IFERROR(up_RadSpec!$G$26*EY26,".")*$B$37</f>
        <v>4557.2916666666661</v>
      </c>
      <c r="EZ36" s="71">
        <f>IFERROR(up_RadSpec!$J$26*EZ26,".")*$B$37</f>
        <v>2.8538812785388123</v>
      </c>
      <c r="FA36" s="49">
        <f t="shared" si="97"/>
        <v>1</v>
      </c>
      <c r="FB36" s="49">
        <f t="shared" si="97"/>
        <v>0.9423797539167309</v>
      </c>
      <c r="FC36" s="49">
        <f t="shared" si="98"/>
        <v>1</v>
      </c>
    </row>
    <row r="37" spans="1:159" x14ac:dyDescent="0.25">
      <c r="A37" s="83" t="s">
        <v>1082</v>
      </c>
      <c r="B37" s="42">
        <v>1</v>
      </c>
      <c r="C37" s="60">
        <f t="shared" ref="C37:M37" si="105">IFERROR(C22/$B37,0)</f>
        <v>1.8181818181818181E-11</v>
      </c>
      <c r="D37" s="60">
        <f t="shared" si="105"/>
        <v>7.2727272727272723E-11</v>
      </c>
      <c r="E37" s="60">
        <f t="shared" si="105"/>
        <v>7.2727272727272723E-11</v>
      </c>
      <c r="F37" s="60">
        <f t="shared" si="105"/>
        <v>7.2727272727272723E-11</v>
      </c>
      <c r="G37" s="60">
        <f t="shared" si="105"/>
        <v>7.2727272727272723E-11</v>
      </c>
      <c r="H37" s="60">
        <f t="shared" si="105"/>
        <v>7.2727272727272723E-11</v>
      </c>
      <c r="I37" s="60">
        <f t="shared" si="105"/>
        <v>7.2727272727272723E-11</v>
      </c>
      <c r="J37" s="60">
        <f t="shared" si="105"/>
        <v>7.2727272727272723E-11</v>
      </c>
      <c r="K37" s="60">
        <f t="shared" si="105"/>
        <v>7.2727272727272723E-11</v>
      </c>
      <c r="L37" s="60">
        <f t="shared" si="105"/>
        <v>7.2727272727272723E-11</v>
      </c>
      <c r="M37" s="60">
        <f t="shared" si="105"/>
        <v>7.2727272727272723E-11</v>
      </c>
      <c r="N37" s="71">
        <f>up_dir!BA37</f>
        <v>275000</v>
      </c>
      <c r="O37" s="71">
        <f>IFERROR(up_RadSpec!$E$22*O22,".")*$B$37</f>
        <v>68750</v>
      </c>
      <c r="P37" s="71">
        <f>IFERROR(up_RadSpec!$E$22*P22,".")*$B$37</f>
        <v>68750</v>
      </c>
      <c r="Q37" s="71">
        <f>IFERROR(up_RadSpec!$E$22*Q22,".")*$B$37</f>
        <v>68750</v>
      </c>
      <c r="R37" s="71">
        <f>IFERROR(up_RadSpec!$E$22*R22,".")*$B$37</f>
        <v>68750</v>
      </c>
      <c r="S37" s="71">
        <f>IFERROR(up_RadSpec!$E$22*S22,".")*$B$37</f>
        <v>68750</v>
      </c>
      <c r="T37" s="71">
        <f>IFERROR(up_RadSpec!$E$22*T22,".")*$B$37</f>
        <v>68750</v>
      </c>
      <c r="U37" s="71">
        <f>IFERROR(up_RadSpec!$E$22*U22,".")*$B$37</f>
        <v>68750</v>
      </c>
      <c r="V37" s="71">
        <f>IFERROR(up_RadSpec!$E$22*V22,".")*$B$37</f>
        <v>68750</v>
      </c>
      <c r="W37" s="71">
        <f>IFERROR(up_RadSpec!$E$22*W22,".")*$B$37</f>
        <v>68750</v>
      </c>
      <c r="X37" s="71">
        <f>IFERROR(up_RadSpec!$E$22*X22,".")*$B$37</f>
        <v>68750</v>
      </c>
      <c r="Y37" s="49">
        <f t="shared" si="82"/>
        <v>1</v>
      </c>
      <c r="Z37" s="49">
        <f t="shared" si="57"/>
        <v>1</v>
      </c>
      <c r="AA37" s="49">
        <f t="shared" si="57"/>
        <v>1</v>
      </c>
      <c r="AB37" s="49">
        <f t="shared" si="57"/>
        <v>1</v>
      </c>
      <c r="AC37" s="49">
        <f t="shared" si="57"/>
        <v>1</v>
      </c>
      <c r="AD37" s="49">
        <f t="shared" si="57"/>
        <v>1</v>
      </c>
      <c r="AE37" s="49">
        <f t="shared" si="57"/>
        <v>1</v>
      </c>
      <c r="AF37" s="49">
        <f t="shared" si="57"/>
        <v>1</v>
      </c>
      <c r="AG37" s="49">
        <f t="shared" si="57"/>
        <v>1</v>
      </c>
      <c r="AH37" s="49">
        <f t="shared" si="57"/>
        <v>1</v>
      </c>
      <c r="AI37" s="49">
        <f t="shared" si="57"/>
        <v>1</v>
      </c>
      <c r="AJ37" s="60">
        <f t="shared" ref="AJ37:AW37" si="106">IFERROR(AJ22/$B37,0)</f>
        <v>3.6363636363636363E-8</v>
      </c>
      <c r="AK37" s="60">
        <f t="shared" si="106"/>
        <v>3.3989909629864073E-4</v>
      </c>
      <c r="AL37" s="60">
        <f t="shared" si="106"/>
        <v>70.05645161290326</v>
      </c>
      <c r="AM37" s="60">
        <f t="shared" si="106"/>
        <v>3.6265718922545492E-12</v>
      </c>
      <c r="AN37" s="60">
        <f>IFERROR(AN22/$B37,0)</f>
        <v>7.2727272727272723E-11</v>
      </c>
      <c r="AO37" s="60">
        <f>IFERROR(AO22/$B37,0)</f>
        <v>2.0414673046251994E-14</v>
      </c>
      <c r="AP37" s="60">
        <f>IFERROR(AP22/$B37,0)</f>
        <v>2.102711323763955E-14</v>
      </c>
      <c r="AQ37" s="60">
        <f>IFERROR(AQ22/$B37,0)</f>
        <v>2.0414673046251994E-14</v>
      </c>
      <c r="AR37" s="60">
        <f t="shared" si="106"/>
        <v>2.0414673046251994E-14</v>
      </c>
      <c r="AS37" s="60">
        <f t="shared" si="106"/>
        <v>2.0414673046251994E-14</v>
      </c>
      <c r="AT37" s="60">
        <f t="shared" si="106"/>
        <v>2.0414673046251994E-14</v>
      </c>
      <c r="AU37" s="60">
        <f>IFERROR(AU22/$B37,0)</f>
        <v>2.102711323763955E-14</v>
      </c>
      <c r="AV37" s="60">
        <f t="shared" si="106"/>
        <v>2.0414673046251994E-14</v>
      </c>
      <c r="AW37" s="60">
        <f t="shared" si="106"/>
        <v>2.102711323763955E-14</v>
      </c>
      <c r="AX37" s="42"/>
      <c r="AY37" s="42"/>
      <c r="AZ37" s="42"/>
      <c r="BA37" s="42"/>
      <c r="BB37" s="42"/>
      <c r="BC37" s="42"/>
      <c r="BD37" s="42"/>
      <c r="BE37" s="42"/>
      <c r="BF37" s="42"/>
      <c r="BG37" s="42"/>
      <c r="BH37" s="42"/>
      <c r="BI37" s="42"/>
      <c r="BJ37" s="42"/>
      <c r="BK37" s="42"/>
      <c r="BL37" s="60">
        <f>IFERROR(BL22/$B37,0)</f>
        <v>2.2890172361045847E-15</v>
      </c>
      <c r="BM37" s="71">
        <f>IFERROR(up_RadSpec!$D$22*BM22,".")*$B$37</f>
        <v>137.5</v>
      </c>
      <c r="BN37" s="71">
        <f>IFERROR(up_RadSpec!$G$22*BN22,".")*$B$37</f>
        <v>1.4710247995501937E-2</v>
      </c>
      <c r="BO37" s="71">
        <f>IFERROR(up_RadSpec!$F$22*BO22,".")*$B$37</f>
        <v>7.1371014159088255E-8</v>
      </c>
      <c r="BP37" s="71">
        <f>up_b2s!BZ37</f>
        <v>1378712.5</v>
      </c>
      <c r="BQ37" s="71">
        <f>IFERROR(up_RadSpec!$E$22*BQ22,".")*$B$37</f>
        <v>68750</v>
      </c>
      <c r="BR37" s="71">
        <f>IFERROR(up_RadSpec!$E$22*BR22,".")*$B$37</f>
        <v>244921875</v>
      </c>
      <c r="BS37" s="71">
        <f>IFERROR(up_RadSpec!$E$22*BS22,".")*$B$37</f>
        <v>237788228.15533978</v>
      </c>
      <c r="BT37" s="71">
        <f>IFERROR(up_RadSpec!$E$22*BT22,".")*$B$37</f>
        <v>244921875</v>
      </c>
      <c r="BU37" s="71">
        <f>IFERROR(up_RadSpec!$E$22*BU22,".")*$B$37</f>
        <v>244921875</v>
      </c>
      <c r="BV37" s="71">
        <f>IFERROR(up_RadSpec!$E$22*BV22,".")*$B$37</f>
        <v>244921875</v>
      </c>
      <c r="BW37" s="71">
        <f>IFERROR(up_RadSpec!$E$22*BW22,".")*$B$37</f>
        <v>244921875</v>
      </c>
      <c r="BX37" s="71">
        <f>IFERROR(up_RadSpec!$E$22*BX22,".")*$B$37</f>
        <v>237788228.15533978</v>
      </c>
      <c r="BY37" s="71">
        <f>IFERROR(up_RadSpec!$E$22*BY22,".")*$B$37</f>
        <v>244921875</v>
      </c>
      <c r="BZ37" s="71">
        <f>IFERROR(up_RadSpec!$E$22*BZ22,".")*$B$37</f>
        <v>237788228.15533978</v>
      </c>
      <c r="CA37" s="49">
        <f t="shared" si="85"/>
        <v>1</v>
      </c>
      <c r="CB37" s="49">
        <f t="shared" si="86"/>
        <v>1.4602580880648697E-2</v>
      </c>
      <c r="CC37" s="49">
        <f t="shared" si="87"/>
        <v>7.1371014159088255E-8</v>
      </c>
      <c r="CD37" s="49">
        <f t="shared" si="88"/>
        <v>1</v>
      </c>
      <c r="CE37" s="49">
        <f t="shared" si="63"/>
        <v>1</v>
      </c>
      <c r="CF37" s="49">
        <f t="shared" si="64"/>
        <v>1</v>
      </c>
      <c r="CG37" s="49">
        <f t="shared" si="65"/>
        <v>1</v>
      </c>
      <c r="CH37" s="49">
        <f t="shared" si="66"/>
        <v>1</v>
      </c>
      <c r="CI37" s="49">
        <f t="shared" si="67"/>
        <v>1</v>
      </c>
      <c r="CJ37" s="49">
        <f t="shared" si="68"/>
        <v>1</v>
      </c>
      <c r="CK37" s="49">
        <f t="shared" si="69"/>
        <v>1</v>
      </c>
      <c r="CL37" s="49">
        <f t="shared" si="70"/>
        <v>1</v>
      </c>
      <c r="CM37" s="49">
        <f t="shared" si="71"/>
        <v>1</v>
      </c>
      <c r="CN37" s="49">
        <f t="shared" si="72"/>
        <v>1</v>
      </c>
      <c r="CO37" s="49">
        <f t="shared" si="73"/>
        <v>1</v>
      </c>
      <c r="CP37" s="60">
        <f t="shared" ref="CP37:DC37" si="107">IFERROR(CP22/$B37,0)</f>
        <v>3.9999999999999996E-10</v>
      </c>
      <c r="CQ37" s="60">
        <f t="shared" si="107"/>
        <v>0</v>
      </c>
      <c r="CR37" s="60">
        <f t="shared" si="107"/>
        <v>4.3800000000000004E-6</v>
      </c>
      <c r="CS37" s="60">
        <f t="shared" si="107"/>
        <v>1.8087754064641833E-11</v>
      </c>
      <c r="CT37" s="60">
        <f>IFERROR(CT22/$B37,0)</f>
        <v>1.4545454545454544E-8</v>
      </c>
      <c r="CU37" s="60">
        <f>IFERROR(CU22/$B37,0)</f>
        <v>2.9090909090909087E-9</v>
      </c>
      <c r="CV37" s="60">
        <f>IFERROR(CV22/$B37,0)</f>
        <v>2.9963636363636357E-9</v>
      </c>
      <c r="CW37" s="60">
        <f>IFERROR(CW22/$B37,0)</f>
        <v>2.9090909090909087E-9</v>
      </c>
      <c r="CX37" s="60">
        <f t="shared" si="107"/>
        <v>2.9090909090909087E-9</v>
      </c>
      <c r="CY37" s="60">
        <f t="shared" si="107"/>
        <v>2.9090909090909087E-9</v>
      </c>
      <c r="CZ37" s="60">
        <f t="shared" si="107"/>
        <v>2.9090909090909087E-9</v>
      </c>
      <c r="DA37" s="60">
        <f>IFERROR(DA22/$B37,0)</f>
        <v>2.9963636363636357E-9</v>
      </c>
      <c r="DB37" s="60">
        <f t="shared" si="107"/>
        <v>2.9090909090909087E-9</v>
      </c>
      <c r="DC37" s="60">
        <f t="shared" si="107"/>
        <v>2.9963636363636357E-9</v>
      </c>
      <c r="DD37" s="15"/>
      <c r="DE37" s="15"/>
      <c r="DF37" s="15"/>
      <c r="DG37" s="15"/>
      <c r="DH37" s="15"/>
      <c r="DI37" s="15"/>
      <c r="DJ37" s="15"/>
      <c r="DK37" s="15"/>
      <c r="DL37" s="15"/>
      <c r="DM37" s="15"/>
      <c r="DN37" s="15"/>
      <c r="DO37" s="15"/>
      <c r="DP37" s="15"/>
      <c r="DQ37" s="15"/>
      <c r="DR37" s="60">
        <f>IFERROR(DR22/$B37,0)</f>
        <v>1.6415316541278672E-11</v>
      </c>
      <c r="DS37" s="71">
        <f>IFERROR(up_RadSpec!$H$22*DS22,".")*$B$37</f>
        <v>12500</v>
      </c>
      <c r="DT37" s="71">
        <f>IFERROR(up_RadSpec!$G$22*DT22,".")*$B$37</f>
        <v>2278.645833333333</v>
      </c>
      <c r="DU37" s="71">
        <f>IFERROR(up_RadSpec!$L$22*DU22,".")*$B$37</f>
        <v>1.1415525114155249</v>
      </c>
      <c r="DV37" s="71">
        <f>up_b2w!BZ37</f>
        <v>276430.1185283176</v>
      </c>
      <c r="DW37" s="71">
        <f>IFERROR(up_RadSpec!$E$22*DW22,".")*$B$37</f>
        <v>343.75</v>
      </c>
      <c r="DX37" s="71">
        <f>IFERROR(up_RadSpec!$E$22*DX22,".")*$B$37</f>
        <v>1718.75</v>
      </c>
      <c r="DY37" s="71">
        <f>IFERROR(up_RadSpec!$E$22*DY22,".")*$B$37</f>
        <v>1668.6893203883494</v>
      </c>
      <c r="DZ37" s="71">
        <f>IFERROR(up_RadSpec!$E$22*DZ22,".")*$B$37</f>
        <v>1718.75</v>
      </c>
      <c r="EA37" s="71">
        <f>IFERROR(up_RadSpec!$E$22*EA22,".")*$B$37</f>
        <v>1718.75</v>
      </c>
      <c r="EB37" s="71">
        <f>IFERROR(up_RadSpec!$E$22*EB22,".")*$B$37</f>
        <v>1718.75</v>
      </c>
      <c r="EC37" s="71">
        <f>IFERROR(up_RadSpec!$E$22*EC22,".")*$B$37</f>
        <v>1718.75</v>
      </c>
      <c r="ED37" s="71">
        <f>IFERROR(up_RadSpec!$E$22*ED22,".")*$B$37</f>
        <v>1668.6893203883494</v>
      </c>
      <c r="EE37" s="71">
        <f>IFERROR(up_RadSpec!$E$22*EE22,".")*$B$37</f>
        <v>1718.75</v>
      </c>
      <c r="EF37" s="71">
        <f>IFERROR(up_RadSpec!$E$22*EF22,".")*$B$37</f>
        <v>1668.6893203883494</v>
      </c>
      <c r="EG37" s="49">
        <f t="shared" si="91"/>
        <v>1</v>
      </c>
      <c r="EH37" s="49">
        <f t="shared" si="92"/>
        <v>1</v>
      </c>
      <c r="EI37" s="49">
        <f t="shared" si="93"/>
        <v>0.68067711563678512</v>
      </c>
      <c r="EJ37" s="49">
        <f t="shared" si="94"/>
        <v>1</v>
      </c>
      <c r="EK37" s="49">
        <f t="shared" si="95"/>
        <v>1</v>
      </c>
      <c r="EL37" s="49">
        <f t="shared" si="79"/>
        <v>1</v>
      </c>
      <c r="EM37" s="49">
        <f t="shared" si="79"/>
        <v>1</v>
      </c>
      <c r="EN37" s="49">
        <f t="shared" si="79"/>
        <v>1</v>
      </c>
      <c r="EO37" s="49">
        <f t="shared" si="79"/>
        <v>1</v>
      </c>
      <c r="EP37" s="49">
        <f t="shared" si="79"/>
        <v>1</v>
      </c>
      <c r="EQ37" s="49">
        <f t="shared" si="79"/>
        <v>1</v>
      </c>
      <c r="ER37" s="49">
        <f t="shared" si="79"/>
        <v>1</v>
      </c>
      <c r="ES37" s="49">
        <f t="shared" si="79"/>
        <v>1</v>
      </c>
      <c r="ET37" s="49">
        <f t="shared" si="79"/>
        <v>1</v>
      </c>
      <c r="EU37" s="49">
        <f t="shared" si="80"/>
        <v>1</v>
      </c>
      <c r="EV37" s="60">
        <f>IFERROR(EV22/$B37,0)</f>
        <v>1.0971428571428573E-9</v>
      </c>
      <c r="EW37" s="60">
        <f>IFERROR(EW22/$B37,0)</f>
        <v>1.7520000000000001E-6</v>
      </c>
      <c r="EX37" s="60">
        <f>IFERROR(EX22/$B37,0)</f>
        <v>1.0964562309317064E-9</v>
      </c>
      <c r="EY37" s="71">
        <f>IFERROR(up_RadSpec!$G$22*EY22,".")*$B$37</f>
        <v>4557.2916666666661</v>
      </c>
      <c r="EZ37" s="71">
        <f>IFERROR(up_RadSpec!$J$22*EZ22,".")*$B$37</f>
        <v>2.8538812785388123</v>
      </c>
      <c r="FA37" s="49">
        <f t="shared" si="97"/>
        <v>1</v>
      </c>
      <c r="FB37" s="49">
        <f t="shared" si="97"/>
        <v>0.9423797539167309</v>
      </c>
      <c r="FC37" s="49">
        <f t="shared" si="98"/>
        <v>1</v>
      </c>
    </row>
    <row r="38" spans="1:159" x14ac:dyDescent="0.25">
      <c r="A38" s="83" t="s">
        <v>1083</v>
      </c>
      <c r="B38" s="42">
        <v>1</v>
      </c>
      <c r="C38" s="60">
        <f t="shared" ref="C38:M38" si="108">IFERROR(C2/$B38,0)</f>
        <v>1.8181818181818181E-11</v>
      </c>
      <c r="D38" s="60">
        <f t="shared" si="108"/>
        <v>7.2727272727272723E-11</v>
      </c>
      <c r="E38" s="60">
        <f t="shared" si="108"/>
        <v>7.2727272727272723E-11</v>
      </c>
      <c r="F38" s="60">
        <f t="shared" si="108"/>
        <v>7.2727272727272723E-11</v>
      </c>
      <c r="G38" s="60">
        <f t="shared" si="108"/>
        <v>7.2727272727272723E-11</v>
      </c>
      <c r="H38" s="60">
        <f t="shared" si="108"/>
        <v>7.2727272727272723E-11</v>
      </c>
      <c r="I38" s="60">
        <f t="shared" si="108"/>
        <v>7.2727272727272723E-11</v>
      </c>
      <c r="J38" s="60">
        <f t="shared" si="108"/>
        <v>7.2727272727272723E-11</v>
      </c>
      <c r="K38" s="60">
        <f t="shared" si="108"/>
        <v>7.2727272727272723E-11</v>
      </c>
      <c r="L38" s="60">
        <f t="shared" si="108"/>
        <v>7.2727272727272723E-11</v>
      </c>
      <c r="M38" s="60">
        <f t="shared" si="108"/>
        <v>7.2727272727272723E-11</v>
      </c>
      <c r="N38" s="71">
        <f>up_dir!BA38</f>
        <v>275000</v>
      </c>
      <c r="O38" s="71">
        <f>IFERROR(up_RadSpec!$E$2*O2,".")*$B$38</f>
        <v>68750</v>
      </c>
      <c r="P38" s="71">
        <f>IFERROR(up_RadSpec!$E$2*P2,".")*$B$38</f>
        <v>68750</v>
      </c>
      <c r="Q38" s="71">
        <f>IFERROR(up_RadSpec!$E$2*Q2,".")*$B$38</f>
        <v>68750</v>
      </c>
      <c r="R38" s="71">
        <f>IFERROR(up_RadSpec!$E$2*R2,".")*$B$38</f>
        <v>68750</v>
      </c>
      <c r="S38" s="71">
        <f>IFERROR(up_RadSpec!$E$2*S2,".")*$B$38</f>
        <v>68750</v>
      </c>
      <c r="T38" s="71">
        <f>IFERROR(up_RadSpec!$E$2*T2,".")*$B$38</f>
        <v>68750</v>
      </c>
      <c r="U38" s="71">
        <f>IFERROR(up_RadSpec!$E$2*U2,".")*$B$38</f>
        <v>68750</v>
      </c>
      <c r="V38" s="71">
        <f>IFERROR(up_RadSpec!$E$2*V2,".")*$B$38</f>
        <v>68750</v>
      </c>
      <c r="W38" s="71">
        <f>IFERROR(up_RadSpec!$E$2*W2,".")*$B$38</f>
        <v>68750</v>
      </c>
      <c r="X38" s="71">
        <f>IFERROR(up_RadSpec!$E$2*X2,".")*$B$38</f>
        <v>68750</v>
      </c>
      <c r="Y38" s="49">
        <f t="shared" si="82"/>
        <v>1</v>
      </c>
      <c r="Z38" s="49">
        <f t="shared" si="57"/>
        <v>1</v>
      </c>
      <c r="AA38" s="49">
        <f t="shared" si="57"/>
        <v>1</v>
      </c>
      <c r="AB38" s="49">
        <f t="shared" si="57"/>
        <v>1</v>
      </c>
      <c r="AC38" s="49">
        <f t="shared" si="57"/>
        <v>1</v>
      </c>
      <c r="AD38" s="49">
        <f t="shared" si="57"/>
        <v>1</v>
      </c>
      <c r="AE38" s="49">
        <f t="shared" si="57"/>
        <v>1</v>
      </c>
      <c r="AF38" s="49">
        <f t="shared" si="57"/>
        <v>1</v>
      </c>
      <c r="AG38" s="49">
        <f t="shared" si="57"/>
        <v>1</v>
      </c>
      <c r="AH38" s="49">
        <f t="shared" si="57"/>
        <v>1</v>
      </c>
      <c r="AI38" s="49">
        <f t="shared" si="57"/>
        <v>1</v>
      </c>
      <c r="AJ38" s="60">
        <f t="shared" ref="AJ38:AW38" si="109">IFERROR(AJ2/$B38,0)</f>
        <v>3.6363636363636363E-8</v>
      </c>
      <c r="AK38" s="60">
        <f t="shared" si="109"/>
        <v>3.3989909629864073E-4</v>
      </c>
      <c r="AL38" s="60">
        <f t="shared" si="109"/>
        <v>7.7500751879699262E-5</v>
      </c>
      <c r="AM38" s="60">
        <f t="shared" si="109"/>
        <v>3.6265718922545492E-12</v>
      </c>
      <c r="AN38" s="60">
        <f>IFERROR(AN2/$B38,0)</f>
        <v>7.2727272727272723E-11</v>
      </c>
      <c r="AO38" s="60">
        <f>IFERROR(AO2/$B38,0)</f>
        <v>2.0414673046251994E-14</v>
      </c>
      <c r="AP38" s="60">
        <f>IFERROR(AP2/$B38,0)</f>
        <v>2.102711323763955E-14</v>
      </c>
      <c r="AQ38" s="60">
        <f>IFERROR(AQ2/$B38,0)</f>
        <v>2.0414673046251994E-14</v>
      </c>
      <c r="AR38" s="60">
        <f t="shared" si="109"/>
        <v>2.0414673046251994E-14</v>
      </c>
      <c r="AS38" s="60">
        <f t="shared" si="109"/>
        <v>2.0414673046251994E-14</v>
      </c>
      <c r="AT38" s="60">
        <f t="shared" si="109"/>
        <v>2.0414673046251994E-14</v>
      </c>
      <c r="AU38" s="60">
        <f>IFERROR(AU2/$B38,0)</f>
        <v>2.102711323763955E-14</v>
      </c>
      <c r="AV38" s="60">
        <f t="shared" si="109"/>
        <v>2.0414673046251994E-14</v>
      </c>
      <c r="AW38" s="60">
        <f t="shared" si="109"/>
        <v>2.102711323763955E-14</v>
      </c>
      <c r="AX38" s="42"/>
      <c r="AY38" s="42"/>
      <c r="AZ38" s="42"/>
      <c r="BA38" s="42"/>
      <c r="BB38" s="42"/>
      <c r="BC38" s="42"/>
      <c r="BD38" s="42"/>
      <c r="BE38" s="42"/>
      <c r="BF38" s="42"/>
      <c r="BG38" s="42"/>
      <c r="BH38" s="42"/>
      <c r="BI38" s="42"/>
      <c r="BJ38" s="42"/>
      <c r="BK38" s="42"/>
      <c r="BL38" s="60">
        <f>IFERROR(BL2/$B38,0)</f>
        <v>2.2890172360369774E-15</v>
      </c>
      <c r="BM38" s="71">
        <f>IFERROR(up_RadSpec!$D$2*BM2,".")*$B$38</f>
        <v>137.5</v>
      </c>
      <c r="BN38" s="71">
        <f>IFERROR(up_RadSpec!$G$2*BN2,".")*$B$38</f>
        <v>1.4710247995501937E-2</v>
      </c>
      <c r="BO38" s="71">
        <f>IFERROR(up_RadSpec!$F$2*BO2,".")*$B$38</f>
        <v>6.4515503123908552E-2</v>
      </c>
      <c r="BP38" s="71">
        <f>up_b2s!BZ38</f>
        <v>1378712.5</v>
      </c>
      <c r="BQ38" s="71">
        <f>IFERROR(up_RadSpec!$E$2*BQ2,".")*$B$38</f>
        <v>68750</v>
      </c>
      <c r="BR38" s="71">
        <f>IFERROR(up_RadSpec!$E$2*BR2,".")*$B$38</f>
        <v>244921875</v>
      </c>
      <c r="BS38" s="71">
        <f>IFERROR(up_RadSpec!$E$2*BS2,".")*$B$38</f>
        <v>237788228.15533978</v>
      </c>
      <c r="BT38" s="71">
        <f>IFERROR(up_RadSpec!$E$2*BT2,".")*$B$38</f>
        <v>244921875</v>
      </c>
      <c r="BU38" s="71">
        <f>IFERROR(up_RadSpec!$E$2*BU2,".")*$B$38</f>
        <v>244921875</v>
      </c>
      <c r="BV38" s="71">
        <f>IFERROR(up_RadSpec!$E$2*BV2,".")*$B$38</f>
        <v>244921875</v>
      </c>
      <c r="BW38" s="71">
        <f>IFERROR(up_RadSpec!$E$2*BW2,".")*$B$38</f>
        <v>244921875</v>
      </c>
      <c r="BX38" s="71">
        <f>IFERROR(up_RadSpec!$E$2*BX2,".")*$B$38</f>
        <v>237788228.15533978</v>
      </c>
      <c r="BY38" s="71">
        <f>IFERROR(up_RadSpec!$E$2*BY2,".")*$B$38</f>
        <v>244921875</v>
      </c>
      <c r="BZ38" s="71">
        <f>IFERROR(up_RadSpec!$E$2*BZ2,".")*$B$38</f>
        <v>237788228.15533978</v>
      </c>
      <c r="CA38" s="49">
        <f t="shared" si="85"/>
        <v>1</v>
      </c>
      <c r="CB38" s="49">
        <f t="shared" si="86"/>
        <v>1.4602580880648697E-2</v>
      </c>
      <c r="CC38" s="49">
        <f t="shared" si="87"/>
        <v>6.247842036383211E-2</v>
      </c>
      <c r="CD38" s="49">
        <f t="shared" si="88"/>
        <v>1</v>
      </c>
      <c r="CE38" s="49">
        <f t="shared" si="63"/>
        <v>1</v>
      </c>
      <c r="CF38" s="49">
        <f t="shared" si="64"/>
        <v>1</v>
      </c>
      <c r="CG38" s="49">
        <f t="shared" si="65"/>
        <v>1</v>
      </c>
      <c r="CH38" s="49">
        <f t="shared" si="66"/>
        <v>1</v>
      </c>
      <c r="CI38" s="49">
        <f t="shared" si="67"/>
        <v>1</v>
      </c>
      <c r="CJ38" s="49">
        <f t="shared" si="68"/>
        <v>1</v>
      </c>
      <c r="CK38" s="49">
        <f t="shared" si="69"/>
        <v>1</v>
      </c>
      <c r="CL38" s="49">
        <f t="shared" si="70"/>
        <v>1</v>
      </c>
      <c r="CM38" s="49">
        <f t="shared" si="71"/>
        <v>1</v>
      </c>
      <c r="CN38" s="49">
        <f t="shared" si="72"/>
        <v>1</v>
      </c>
      <c r="CO38" s="49">
        <f t="shared" si="73"/>
        <v>1</v>
      </c>
      <c r="CP38" s="60">
        <f t="shared" ref="CP38:DC38" si="110">IFERROR(CP2/$B38,0)</f>
        <v>3.9999999999999996E-10</v>
      </c>
      <c r="CQ38" s="60">
        <f t="shared" si="110"/>
        <v>0</v>
      </c>
      <c r="CR38" s="60">
        <f t="shared" si="110"/>
        <v>4.3800000000000004E-6</v>
      </c>
      <c r="CS38" s="60">
        <f t="shared" si="110"/>
        <v>1.8087754064641833E-11</v>
      </c>
      <c r="CT38" s="60">
        <f>IFERROR(CT2/$B38,0)</f>
        <v>1.4545454545454544E-8</v>
      </c>
      <c r="CU38" s="60">
        <f>IFERROR(CU2/$B38,0)</f>
        <v>2.9090909090909087E-9</v>
      </c>
      <c r="CV38" s="60">
        <f>IFERROR(CV2/$B38,0)</f>
        <v>2.9963636363636357E-9</v>
      </c>
      <c r="CW38" s="60">
        <f>IFERROR(CW2/$B38,0)</f>
        <v>2.9090909090909087E-9</v>
      </c>
      <c r="CX38" s="60">
        <f t="shared" si="110"/>
        <v>2.9090909090909087E-9</v>
      </c>
      <c r="CY38" s="60">
        <f t="shared" si="110"/>
        <v>2.9090909090909087E-9</v>
      </c>
      <c r="CZ38" s="60">
        <f t="shared" si="110"/>
        <v>2.9090909090909087E-9</v>
      </c>
      <c r="DA38" s="60">
        <f>IFERROR(DA2/$B38,0)</f>
        <v>2.9963636363636357E-9</v>
      </c>
      <c r="DB38" s="60">
        <f t="shared" si="110"/>
        <v>2.9090909090909087E-9</v>
      </c>
      <c r="DC38" s="60">
        <f t="shared" si="110"/>
        <v>2.9963636363636357E-9</v>
      </c>
      <c r="DD38" s="15"/>
      <c r="DE38" s="15"/>
      <c r="DF38" s="15"/>
      <c r="DG38" s="15"/>
      <c r="DH38" s="15"/>
      <c r="DI38" s="15"/>
      <c r="DJ38" s="15"/>
      <c r="DK38" s="15"/>
      <c r="DL38" s="15"/>
      <c r="DM38" s="15"/>
      <c r="DN38" s="15"/>
      <c r="DO38" s="15"/>
      <c r="DP38" s="15"/>
      <c r="DQ38" s="15"/>
      <c r="DR38" s="60">
        <f>IFERROR(DR2/$B38,0)</f>
        <v>1.6415316541278672E-11</v>
      </c>
      <c r="DS38" s="71">
        <f>IFERROR(up_RadSpec!$H$2*DS2,".")*$B$38</f>
        <v>12500</v>
      </c>
      <c r="DT38" s="71">
        <f>IFERROR(up_RadSpec!$G$2*DT2,".")*$B$38</f>
        <v>2278.645833333333</v>
      </c>
      <c r="DU38" s="71">
        <f>IFERROR(up_RadSpec!$L$2*DU2,".")*$B$38</f>
        <v>1.1415525114155249</v>
      </c>
      <c r="DV38" s="71">
        <f>up_b2w!BZ38</f>
        <v>276430.1185283176</v>
      </c>
      <c r="DW38" s="71">
        <f>IFERROR(up_RadSpec!$E$2*DW2,".")*$B$38</f>
        <v>343.75</v>
      </c>
      <c r="DX38" s="71">
        <f>IFERROR(up_RadSpec!$E$2*DX2,".")*$B$38</f>
        <v>1718.75</v>
      </c>
      <c r="DY38" s="71">
        <f>IFERROR(up_RadSpec!$E$2*DY2,".")*$B$38</f>
        <v>1668.6893203883494</v>
      </c>
      <c r="DZ38" s="71">
        <f>IFERROR(up_RadSpec!$E$2*DZ2,".")*$B$38</f>
        <v>1718.75</v>
      </c>
      <c r="EA38" s="71">
        <f>IFERROR(up_RadSpec!$E$2*EA2,".")*$B$38</f>
        <v>1718.75</v>
      </c>
      <c r="EB38" s="71">
        <f>IFERROR(up_RadSpec!$E$2*EB2,".")*$B$38</f>
        <v>1718.75</v>
      </c>
      <c r="EC38" s="71">
        <f>IFERROR(up_RadSpec!$E$2*EC2,".")*$B$38</f>
        <v>1718.75</v>
      </c>
      <c r="ED38" s="71">
        <f>IFERROR(up_RadSpec!$E$2*ED2,".")*$B$38</f>
        <v>1668.6893203883494</v>
      </c>
      <c r="EE38" s="71">
        <f>IFERROR(up_RadSpec!$E$2*EE2,".")*$B$38</f>
        <v>1718.75</v>
      </c>
      <c r="EF38" s="71">
        <f>IFERROR(up_RadSpec!$E$2*EF2,".")*$B$38</f>
        <v>1668.6893203883494</v>
      </c>
      <c r="EG38" s="49">
        <f t="shared" si="91"/>
        <v>1</v>
      </c>
      <c r="EH38" s="49">
        <f t="shared" si="92"/>
        <v>1</v>
      </c>
      <c r="EI38" s="49">
        <f t="shared" si="93"/>
        <v>0.68067711563678512</v>
      </c>
      <c r="EJ38" s="49">
        <f t="shared" si="94"/>
        <v>1</v>
      </c>
      <c r="EK38" s="49">
        <f t="shared" si="95"/>
        <v>1</v>
      </c>
      <c r="EL38" s="49">
        <f t="shared" si="79"/>
        <v>1</v>
      </c>
      <c r="EM38" s="49">
        <f t="shared" si="79"/>
        <v>1</v>
      </c>
      <c r="EN38" s="49">
        <f t="shared" si="79"/>
        <v>1</v>
      </c>
      <c r="EO38" s="49">
        <f t="shared" si="79"/>
        <v>1</v>
      </c>
      <c r="EP38" s="49">
        <f t="shared" si="79"/>
        <v>1</v>
      </c>
      <c r="EQ38" s="49">
        <f t="shared" si="79"/>
        <v>1</v>
      </c>
      <c r="ER38" s="49">
        <f t="shared" si="79"/>
        <v>1</v>
      </c>
      <c r="ES38" s="49">
        <f t="shared" si="79"/>
        <v>1</v>
      </c>
      <c r="ET38" s="49">
        <f t="shared" si="79"/>
        <v>1</v>
      </c>
      <c r="EU38" s="49">
        <f t="shared" si="80"/>
        <v>1</v>
      </c>
      <c r="EV38" s="60">
        <f>IFERROR(EV2/$B38,0)</f>
        <v>1.0971428571428573E-9</v>
      </c>
      <c r="EW38" s="60">
        <f>IFERROR(EW2/$B38,0)</f>
        <v>1.7520000000000001E-6</v>
      </c>
      <c r="EX38" s="60">
        <f>IFERROR(EX2/$B38,0)</f>
        <v>1.0964562309317064E-9</v>
      </c>
      <c r="EY38" s="71">
        <f>IFERROR(up_RadSpec!$G$2*EY2,".")*$B$38</f>
        <v>4557.2916666666661</v>
      </c>
      <c r="EZ38" s="71">
        <f>IFERROR(up_RadSpec!$J$2*EZ2,".")*$B$38</f>
        <v>2.8538812785388123</v>
      </c>
      <c r="FA38" s="49">
        <f t="shared" si="97"/>
        <v>1</v>
      </c>
      <c r="FB38" s="49">
        <f t="shared" si="97"/>
        <v>0.9423797539167309</v>
      </c>
      <c r="FC38" s="49">
        <f t="shared" si="98"/>
        <v>1</v>
      </c>
    </row>
    <row r="39" spans="1:159" x14ac:dyDescent="0.25">
      <c r="A39" s="83" t="s">
        <v>1084</v>
      </c>
      <c r="B39" s="42">
        <v>1</v>
      </c>
      <c r="C39" s="60">
        <f t="shared" ref="C39:M39" si="111">IFERROR(C11/$B39,0)</f>
        <v>1.8181818181818181E-11</v>
      </c>
      <c r="D39" s="60">
        <f t="shared" si="111"/>
        <v>7.2727272727272723E-11</v>
      </c>
      <c r="E39" s="60">
        <f t="shared" si="111"/>
        <v>7.2727272727272723E-11</v>
      </c>
      <c r="F39" s="60">
        <f t="shared" si="111"/>
        <v>7.2727272727272723E-11</v>
      </c>
      <c r="G39" s="60">
        <f t="shared" si="111"/>
        <v>7.2727272727272723E-11</v>
      </c>
      <c r="H39" s="60">
        <f t="shared" si="111"/>
        <v>7.2727272727272723E-11</v>
      </c>
      <c r="I39" s="60">
        <f t="shared" si="111"/>
        <v>7.2727272727272723E-11</v>
      </c>
      <c r="J39" s="60">
        <f t="shared" si="111"/>
        <v>7.2727272727272723E-11</v>
      </c>
      <c r="K39" s="60">
        <f t="shared" si="111"/>
        <v>7.2727272727272723E-11</v>
      </c>
      <c r="L39" s="60">
        <f t="shared" si="111"/>
        <v>7.2727272727272723E-11</v>
      </c>
      <c r="M39" s="60">
        <f t="shared" si="111"/>
        <v>7.2727272727272723E-11</v>
      </c>
      <c r="N39" s="71">
        <f>up_dir!BA39</f>
        <v>275000</v>
      </c>
      <c r="O39" s="71">
        <f>IFERROR(up_RadSpec!$E$11*O11,".")*$B$39</f>
        <v>68750</v>
      </c>
      <c r="P39" s="71">
        <f>IFERROR(up_RadSpec!$E$11*P11,".")*$B$39</f>
        <v>68750</v>
      </c>
      <c r="Q39" s="71">
        <f>IFERROR(up_RadSpec!$E$11*Q11,".")*$B$39</f>
        <v>68750</v>
      </c>
      <c r="R39" s="71">
        <f>IFERROR(up_RadSpec!$E$11*R11,".")*$B$39</f>
        <v>68750</v>
      </c>
      <c r="S39" s="71">
        <f>IFERROR(up_RadSpec!$E$11*S11,".")*$B$39</f>
        <v>68750</v>
      </c>
      <c r="T39" s="71">
        <f>IFERROR(up_RadSpec!$E$11*T11,".")*$B$39</f>
        <v>68750</v>
      </c>
      <c r="U39" s="71">
        <f>IFERROR(up_RadSpec!$E$11*U11,".")*$B$39</f>
        <v>68750</v>
      </c>
      <c r="V39" s="71">
        <f>IFERROR(up_RadSpec!$E$11*V11,".")*$B$39</f>
        <v>68750</v>
      </c>
      <c r="W39" s="71">
        <f>IFERROR(up_RadSpec!$E$11*W11,".")*$B$39</f>
        <v>68750</v>
      </c>
      <c r="X39" s="71">
        <f>IFERROR(up_RadSpec!$E$11*X11,".")*$B$39</f>
        <v>68750</v>
      </c>
      <c r="Y39" s="49">
        <f t="shared" si="82"/>
        <v>1</v>
      </c>
      <c r="Z39" s="49">
        <f t="shared" si="57"/>
        <v>1</v>
      </c>
      <c r="AA39" s="49">
        <f t="shared" si="57"/>
        <v>1</v>
      </c>
      <c r="AB39" s="49">
        <f t="shared" si="57"/>
        <v>1</v>
      </c>
      <c r="AC39" s="49">
        <f t="shared" si="57"/>
        <v>1</v>
      </c>
      <c r="AD39" s="49">
        <f t="shared" si="57"/>
        <v>1</v>
      </c>
      <c r="AE39" s="49">
        <f t="shared" si="57"/>
        <v>1</v>
      </c>
      <c r="AF39" s="49">
        <f t="shared" si="57"/>
        <v>1</v>
      </c>
      <c r="AG39" s="49">
        <f t="shared" si="57"/>
        <v>1</v>
      </c>
      <c r="AH39" s="49">
        <f t="shared" si="57"/>
        <v>1</v>
      </c>
      <c r="AI39" s="49">
        <f t="shared" si="57"/>
        <v>1</v>
      </c>
      <c r="AJ39" s="60">
        <f t="shared" ref="AJ39:AW39" si="112">IFERROR(AJ11/$B39,0)</f>
        <v>3.6363636363636363E-8</v>
      </c>
      <c r="AK39" s="60">
        <f t="shared" si="112"/>
        <v>3.3989909629864073E-4</v>
      </c>
      <c r="AL39" s="60">
        <f t="shared" si="112"/>
        <v>6.8186813186813189E-5</v>
      </c>
      <c r="AM39" s="60">
        <f t="shared" si="112"/>
        <v>3.6265718922545492E-12</v>
      </c>
      <c r="AN39" s="60">
        <f>IFERROR(AN11/$B39,0)</f>
        <v>7.2727272727272723E-11</v>
      </c>
      <c r="AO39" s="60">
        <f>IFERROR(AO11/$B39,0)</f>
        <v>2.0414673046251994E-14</v>
      </c>
      <c r="AP39" s="60">
        <f>IFERROR(AP11/$B39,0)</f>
        <v>2.102711323763955E-14</v>
      </c>
      <c r="AQ39" s="60">
        <f>IFERROR(AQ11/$B39,0)</f>
        <v>2.0414673046251994E-14</v>
      </c>
      <c r="AR39" s="60">
        <f t="shared" si="112"/>
        <v>2.0414673046251994E-14</v>
      </c>
      <c r="AS39" s="60">
        <f t="shared" si="112"/>
        <v>2.0414673046251994E-14</v>
      </c>
      <c r="AT39" s="60">
        <f t="shared" si="112"/>
        <v>2.0414673046251994E-14</v>
      </c>
      <c r="AU39" s="60">
        <f>IFERROR(AU11/$B39,0)</f>
        <v>2.102711323763955E-14</v>
      </c>
      <c r="AV39" s="60">
        <f t="shared" si="112"/>
        <v>2.0414673046251994E-14</v>
      </c>
      <c r="AW39" s="60">
        <f t="shared" si="112"/>
        <v>2.102711323763955E-14</v>
      </c>
      <c r="AX39" s="42"/>
      <c r="AY39" s="42"/>
      <c r="AZ39" s="42"/>
      <c r="BA39" s="42"/>
      <c r="BB39" s="42"/>
      <c r="BC39" s="42"/>
      <c r="BD39" s="42"/>
      <c r="BE39" s="42"/>
      <c r="BF39" s="42"/>
      <c r="BG39" s="42"/>
      <c r="BH39" s="42"/>
      <c r="BI39" s="42"/>
      <c r="BJ39" s="42"/>
      <c r="BK39" s="42"/>
      <c r="BL39" s="60">
        <f>IFERROR(BL11/$B39,0)</f>
        <v>2.2890172360277426E-15</v>
      </c>
      <c r="BM39" s="71">
        <f>IFERROR(up_RadSpec!$D$11*BM11,".")*$B$39</f>
        <v>137.5</v>
      </c>
      <c r="BN39" s="71">
        <f>IFERROR(up_RadSpec!$G$11*BN11,".")*$B$39</f>
        <v>1.4710247995501937E-2</v>
      </c>
      <c r="BO39" s="71">
        <f>IFERROR(up_RadSpec!$F$11*BO11,".")*$B$39</f>
        <v>7.3327961321514895E-2</v>
      </c>
      <c r="BP39" s="71">
        <f>up_b2s!BZ39</f>
        <v>1378712.5</v>
      </c>
      <c r="BQ39" s="71">
        <f>IFERROR(up_RadSpec!$E$11*BQ11,".")*$B$39</f>
        <v>68750</v>
      </c>
      <c r="BR39" s="71">
        <f>IFERROR(up_RadSpec!$E$11*BR11,".")*$B$39</f>
        <v>244921875</v>
      </c>
      <c r="BS39" s="71">
        <f>IFERROR(up_RadSpec!$E$11*BS11,".")*$B$39</f>
        <v>237788228.15533978</v>
      </c>
      <c r="BT39" s="71">
        <f>IFERROR(up_RadSpec!$E$11*BT11,".")*$B$39</f>
        <v>244921875</v>
      </c>
      <c r="BU39" s="71">
        <f>IFERROR(up_RadSpec!$E$11*BU11,".")*$B$39</f>
        <v>244921875</v>
      </c>
      <c r="BV39" s="71">
        <f>IFERROR(up_RadSpec!$E$11*BV11,".")*$B$39</f>
        <v>244921875</v>
      </c>
      <c r="BW39" s="71">
        <f>IFERROR(up_RadSpec!$E$11*BW11,".")*$B$39</f>
        <v>244921875</v>
      </c>
      <c r="BX39" s="71">
        <f>IFERROR(up_RadSpec!$E$11*BX11,".")*$B$39</f>
        <v>237788228.15533978</v>
      </c>
      <c r="BY39" s="71">
        <f>IFERROR(up_RadSpec!$E$11*BY11,".")*$B$39</f>
        <v>244921875</v>
      </c>
      <c r="BZ39" s="71">
        <f>IFERROR(up_RadSpec!$E$11*BZ11,".")*$B$39</f>
        <v>237788228.15533978</v>
      </c>
      <c r="CA39" s="49">
        <f t="shared" si="85"/>
        <v>1</v>
      </c>
      <c r="CB39" s="49">
        <f t="shared" si="86"/>
        <v>1.4602580880648697E-2</v>
      </c>
      <c r="CC39" s="49">
        <f t="shared" si="87"/>
        <v>7.0703993103073626E-2</v>
      </c>
      <c r="CD39" s="49">
        <f t="shared" si="88"/>
        <v>1</v>
      </c>
      <c r="CE39" s="49">
        <f t="shared" si="63"/>
        <v>1</v>
      </c>
      <c r="CF39" s="49">
        <f t="shared" si="64"/>
        <v>1</v>
      </c>
      <c r="CG39" s="49">
        <f t="shared" si="65"/>
        <v>1</v>
      </c>
      <c r="CH39" s="49">
        <f t="shared" si="66"/>
        <v>1</v>
      </c>
      <c r="CI39" s="49">
        <f t="shared" si="67"/>
        <v>1</v>
      </c>
      <c r="CJ39" s="49">
        <f t="shared" si="68"/>
        <v>1</v>
      </c>
      <c r="CK39" s="49">
        <f t="shared" si="69"/>
        <v>1</v>
      </c>
      <c r="CL39" s="49">
        <f t="shared" si="70"/>
        <v>1</v>
      </c>
      <c r="CM39" s="49">
        <f t="shared" si="71"/>
        <v>1</v>
      </c>
      <c r="CN39" s="49">
        <f t="shared" si="72"/>
        <v>1</v>
      </c>
      <c r="CO39" s="49">
        <f t="shared" si="73"/>
        <v>1</v>
      </c>
      <c r="CP39" s="60">
        <f t="shared" ref="CP39:DC39" si="113">IFERROR(CP11/$B39,0)</f>
        <v>3.9999999999999996E-10</v>
      </c>
      <c r="CQ39" s="60">
        <f t="shared" si="113"/>
        <v>0</v>
      </c>
      <c r="CR39" s="60">
        <f t="shared" si="113"/>
        <v>4.3800000000000004E-6</v>
      </c>
      <c r="CS39" s="60">
        <f t="shared" si="113"/>
        <v>1.8087754064641833E-11</v>
      </c>
      <c r="CT39" s="60">
        <f>IFERROR(CT11/$B39,0)</f>
        <v>1.4545454545454544E-8</v>
      </c>
      <c r="CU39" s="60">
        <f>IFERROR(CU11/$B39,0)</f>
        <v>2.9090909090909087E-9</v>
      </c>
      <c r="CV39" s="60">
        <f>IFERROR(CV11/$B39,0)</f>
        <v>2.9963636363636357E-9</v>
      </c>
      <c r="CW39" s="60">
        <f>IFERROR(CW11/$B39,0)</f>
        <v>2.9090909090909087E-9</v>
      </c>
      <c r="CX39" s="60">
        <f t="shared" si="113"/>
        <v>2.9090909090909087E-9</v>
      </c>
      <c r="CY39" s="60">
        <f t="shared" si="113"/>
        <v>2.9090909090909087E-9</v>
      </c>
      <c r="CZ39" s="60">
        <f t="shared" si="113"/>
        <v>2.9090909090909087E-9</v>
      </c>
      <c r="DA39" s="60">
        <f>IFERROR(DA11/$B39,0)</f>
        <v>2.9963636363636357E-9</v>
      </c>
      <c r="DB39" s="60">
        <f t="shared" si="113"/>
        <v>2.9090909090909087E-9</v>
      </c>
      <c r="DC39" s="60">
        <f t="shared" si="113"/>
        <v>2.9963636363636357E-9</v>
      </c>
      <c r="DD39" s="15"/>
      <c r="DE39" s="15"/>
      <c r="DF39" s="15"/>
      <c r="DG39" s="15"/>
      <c r="DH39" s="15"/>
      <c r="DI39" s="15"/>
      <c r="DJ39" s="15"/>
      <c r="DK39" s="15"/>
      <c r="DL39" s="15"/>
      <c r="DM39" s="15"/>
      <c r="DN39" s="15"/>
      <c r="DO39" s="15"/>
      <c r="DP39" s="15"/>
      <c r="DQ39" s="15"/>
      <c r="DR39" s="60">
        <f>IFERROR(DR11/$B39,0)</f>
        <v>1.6415316541278672E-11</v>
      </c>
      <c r="DS39" s="71">
        <f>IFERROR(up_RadSpec!$H$11*DS11,".")*$B$39</f>
        <v>12500</v>
      </c>
      <c r="DT39" s="71">
        <f>IFERROR(up_RadSpec!$G$11*DT11,".")*$B$39</f>
        <v>2278.645833333333</v>
      </c>
      <c r="DU39" s="71">
        <f>IFERROR(up_RadSpec!$L$11*DU11,".")*$B$39</f>
        <v>1.1415525114155249</v>
      </c>
      <c r="DV39" s="71">
        <f>up_b2w!BZ39</f>
        <v>276430.1185283176</v>
      </c>
      <c r="DW39" s="71">
        <f>IFERROR(up_RadSpec!$E$11*DW11,".")*$B$39</f>
        <v>343.75</v>
      </c>
      <c r="DX39" s="71">
        <f>IFERROR(up_RadSpec!$E$11*DX11,".")*$B$39</f>
        <v>1718.75</v>
      </c>
      <c r="DY39" s="71">
        <f>IFERROR(up_RadSpec!$E$11*DY11,".")*$B$39</f>
        <v>1668.6893203883494</v>
      </c>
      <c r="DZ39" s="71">
        <f>IFERROR(up_RadSpec!$E$11*DZ11,".")*$B$39</f>
        <v>1718.75</v>
      </c>
      <c r="EA39" s="71">
        <f>IFERROR(up_RadSpec!$E$11*EA11,".")*$B$39</f>
        <v>1718.75</v>
      </c>
      <c r="EB39" s="71">
        <f>IFERROR(up_RadSpec!$E$11*EB11,".")*$B$39</f>
        <v>1718.75</v>
      </c>
      <c r="EC39" s="71">
        <f>IFERROR(up_RadSpec!$E$11*EC11,".")*$B$39</f>
        <v>1718.75</v>
      </c>
      <c r="ED39" s="71">
        <f>IFERROR(up_RadSpec!$E$11*ED11,".")*$B$39</f>
        <v>1668.6893203883494</v>
      </c>
      <c r="EE39" s="71">
        <f>IFERROR(up_RadSpec!$E$11*EE11,".")*$B$39</f>
        <v>1718.75</v>
      </c>
      <c r="EF39" s="71">
        <f>IFERROR(up_RadSpec!$E$11*EF11,".")*$B$39</f>
        <v>1668.6893203883494</v>
      </c>
      <c r="EG39" s="49">
        <f t="shared" si="91"/>
        <v>1</v>
      </c>
      <c r="EH39" s="49">
        <f t="shared" si="92"/>
        <v>1</v>
      </c>
      <c r="EI39" s="49">
        <f t="shared" si="93"/>
        <v>0.68067711563678512</v>
      </c>
      <c r="EJ39" s="49">
        <f t="shared" si="94"/>
        <v>1</v>
      </c>
      <c r="EK39" s="49">
        <f t="shared" si="95"/>
        <v>1</v>
      </c>
      <c r="EL39" s="49">
        <f t="shared" si="79"/>
        <v>1</v>
      </c>
      <c r="EM39" s="49">
        <f t="shared" si="79"/>
        <v>1</v>
      </c>
      <c r="EN39" s="49">
        <f t="shared" si="79"/>
        <v>1</v>
      </c>
      <c r="EO39" s="49">
        <f t="shared" si="79"/>
        <v>1</v>
      </c>
      <c r="EP39" s="49">
        <f t="shared" si="79"/>
        <v>1</v>
      </c>
      <c r="EQ39" s="49">
        <f t="shared" si="79"/>
        <v>1</v>
      </c>
      <c r="ER39" s="49">
        <f t="shared" si="79"/>
        <v>1</v>
      </c>
      <c r="ES39" s="49">
        <f t="shared" si="79"/>
        <v>1</v>
      </c>
      <c r="ET39" s="49">
        <f t="shared" si="79"/>
        <v>1</v>
      </c>
      <c r="EU39" s="49">
        <f t="shared" si="80"/>
        <v>1</v>
      </c>
      <c r="EV39" s="60">
        <f>IFERROR(EV11/$B39,0)</f>
        <v>1.0971428571428573E-9</v>
      </c>
      <c r="EW39" s="60">
        <f>IFERROR(EW11/$B39,0)</f>
        <v>1.7520000000000001E-6</v>
      </c>
      <c r="EX39" s="60">
        <f>IFERROR(EX11/$B39,0)</f>
        <v>1.0964562309317064E-9</v>
      </c>
      <c r="EY39" s="71">
        <f>IFERROR(up_RadSpec!$G$11*EY11,".")*$B$39</f>
        <v>4557.2916666666661</v>
      </c>
      <c r="EZ39" s="71">
        <f>IFERROR(up_RadSpec!$J$11*EZ11,".")*$B$39</f>
        <v>2.8538812785388123</v>
      </c>
      <c r="FA39" s="49">
        <f t="shared" si="97"/>
        <v>1</v>
      </c>
      <c r="FB39" s="49">
        <f t="shared" si="97"/>
        <v>0.9423797539167309</v>
      </c>
      <c r="FC39" s="49">
        <f t="shared" si="98"/>
        <v>1</v>
      </c>
    </row>
    <row r="40" spans="1:159" x14ac:dyDescent="0.25">
      <c r="A40" s="83" t="s">
        <v>1085</v>
      </c>
      <c r="B40" s="42">
        <v>1</v>
      </c>
      <c r="C40" s="60">
        <f t="shared" ref="C40:M40" si="114">IFERROR(C4/$B40,0)</f>
        <v>1.8181818181818181E-11</v>
      </c>
      <c r="D40" s="60">
        <f t="shared" si="114"/>
        <v>7.2727272727272723E-11</v>
      </c>
      <c r="E40" s="60">
        <f t="shared" si="114"/>
        <v>7.2727272727272723E-11</v>
      </c>
      <c r="F40" s="60">
        <f t="shared" si="114"/>
        <v>7.2727272727272723E-11</v>
      </c>
      <c r="G40" s="60">
        <f t="shared" si="114"/>
        <v>7.2727272727272723E-11</v>
      </c>
      <c r="H40" s="60">
        <f t="shared" si="114"/>
        <v>7.2727272727272723E-11</v>
      </c>
      <c r="I40" s="60">
        <f t="shared" si="114"/>
        <v>7.2727272727272723E-11</v>
      </c>
      <c r="J40" s="60">
        <f t="shared" si="114"/>
        <v>7.2727272727272723E-11</v>
      </c>
      <c r="K40" s="60">
        <f t="shared" si="114"/>
        <v>7.2727272727272723E-11</v>
      </c>
      <c r="L40" s="60">
        <f t="shared" si="114"/>
        <v>7.2727272727272723E-11</v>
      </c>
      <c r="M40" s="60">
        <f t="shared" si="114"/>
        <v>7.2727272727272723E-11</v>
      </c>
      <c r="N40" s="71">
        <f>up_dir!BA40</f>
        <v>275000</v>
      </c>
      <c r="O40" s="71">
        <f>IFERROR(up_RadSpec!$E$4*O4,".")*$B$40</f>
        <v>68750</v>
      </c>
      <c r="P40" s="71">
        <f>IFERROR(up_RadSpec!$E$4*P4,".")*$B$40</f>
        <v>68750</v>
      </c>
      <c r="Q40" s="71">
        <f>IFERROR(up_RadSpec!$E$4*Q4,".")*$B$40</f>
        <v>68750</v>
      </c>
      <c r="R40" s="71">
        <f>IFERROR(up_RadSpec!$E$4*R4,".")*$B$40</f>
        <v>68750</v>
      </c>
      <c r="S40" s="71">
        <f>IFERROR(up_RadSpec!$E$4*S4,".")*$B$40</f>
        <v>68750</v>
      </c>
      <c r="T40" s="71">
        <f>IFERROR(up_RadSpec!$E$4*T4,".")*$B$40</f>
        <v>68750</v>
      </c>
      <c r="U40" s="71">
        <f>IFERROR(up_RadSpec!$E$4*U4,".")*$B$40</f>
        <v>68750</v>
      </c>
      <c r="V40" s="71">
        <f>IFERROR(up_RadSpec!$E$4*V4,".")*$B$40</f>
        <v>68750</v>
      </c>
      <c r="W40" s="71">
        <f>IFERROR(up_RadSpec!$E$4*W4,".")*$B$40</f>
        <v>68750</v>
      </c>
      <c r="X40" s="71">
        <f>IFERROR(up_RadSpec!$E$4*X4,".")*$B$40</f>
        <v>68750</v>
      </c>
      <c r="Y40" s="49">
        <f t="shared" si="82"/>
        <v>1</v>
      </c>
      <c r="Z40" s="49">
        <f t="shared" si="57"/>
        <v>1</v>
      </c>
      <c r="AA40" s="49">
        <f t="shared" si="57"/>
        <v>1</v>
      </c>
      <c r="AB40" s="49">
        <f t="shared" si="57"/>
        <v>1</v>
      </c>
      <c r="AC40" s="49">
        <f t="shared" si="57"/>
        <v>1</v>
      </c>
      <c r="AD40" s="49">
        <f t="shared" si="57"/>
        <v>1</v>
      </c>
      <c r="AE40" s="49">
        <f t="shared" si="57"/>
        <v>1</v>
      </c>
      <c r="AF40" s="49">
        <f t="shared" si="57"/>
        <v>1</v>
      </c>
      <c r="AG40" s="49">
        <f t="shared" si="57"/>
        <v>1</v>
      </c>
      <c r="AH40" s="49">
        <f t="shared" si="57"/>
        <v>1</v>
      </c>
      <c r="AI40" s="49">
        <f t="shared" si="57"/>
        <v>1</v>
      </c>
      <c r="AJ40" s="60">
        <f t="shared" ref="AJ40:AW40" si="115">IFERROR(AJ4/$B40,0)</f>
        <v>3.6363636363636363E-8</v>
      </c>
      <c r="AK40" s="60">
        <f t="shared" si="115"/>
        <v>3.3989909629864073E-4</v>
      </c>
      <c r="AL40" s="60">
        <f t="shared" si="115"/>
        <v>3.7851851851851862E-5</v>
      </c>
      <c r="AM40" s="60">
        <f t="shared" si="115"/>
        <v>3.6265718922545492E-12</v>
      </c>
      <c r="AN40" s="60">
        <f>IFERROR(AN4/$B40,0)</f>
        <v>7.2727272727272723E-11</v>
      </c>
      <c r="AO40" s="60">
        <f>IFERROR(AO4/$B40,0)</f>
        <v>2.0414673046251994E-14</v>
      </c>
      <c r="AP40" s="60">
        <f>IFERROR(AP4/$B40,0)</f>
        <v>2.102711323763955E-14</v>
      </c>
      <c r="AQ40" s="60">
        <f>IFERROR(AQ4/$B40,0)</f>
        <v>2.0414673046251994E-14</v>
      </c>
      <c r="AR40" s="60">
        <f t="shared" si="115"/>
        <v>2.0414673046251994E-14</v>
      </c>
      <c r="AS40" s="60">
        <f t="shared" si="115"/>
        <v>2.0414673046251994E-14</v>
      </c>
      <c r="AT40" s="60">
        <f t="shared" si="115"/>
        <v>2.0414673046251994E-14</v>
      </c>
      <c r="AU40" s="60">
        <f>IFERROR(AU4/$B40,0)</f>
        <v>2.102711323763955E-14</v>
      </c>
      <c r="AV40" s="60">
        <f t="shared" si="115"/>
        <v>2.0414673046251994E-14</v>
      </c>
      <c r="AW40" s="60">
        <f t="shared" si="115"/>
        <v>2.102711323763955E-14</v>
      </c>
      <c r="AX40" s="42"/>
      <c r="AY40" s="42"/>
      <c r="AZ40" s="42"/>
      <c r="BA40" s="42"/>
      <c r="BB40" s="42"/>
      <c r="BC40" s="42"/>
      <c r="BD40" s="42"/>
      <c r="BE40" s="42"/>
      <c r="BF40" s="42"/>
      <c r="BG40" s="42"/>
      <c r="BH40" s="42"/>
      <c r="BI40" s="42"/>
      <c r="BJ40" s="42"/>
      <c r="BK40" s="42"/>
      <c r="BL40" s="60">
        <f>IFERROR(BL4/$B40,0)</f>
        <v>2.2890172359661609E-15</v>
      </c>
      <c r="BM40" s="71">
        <f>IFERROR(up_RadSpec!$D$4*BM4,".")*$B$40</f>
        <v>137.5</v>
      </c>
      <c r="BN40" s="71">
        <f>IFERROR(up_RadSpec!$G$4*BN4,".")*$B$40</f>
        <v>1.4710247995501937E-2</v>
      </c>
      <c r="BO40" s="71">
        <f>IFERROR(up_RadSpec!$F$4*BO4,".")*$B$40</f>
        <v>0.13209393346379644</v>
      </c>
      <c r="BP40" s="71">
        <f>up_b2s!BZ40</f>
        <v>1378712.5</v>
      </c>
      <c r="BQ40" s="71">
        <f>IFERROR(up_RadSpec!$E$4*BQ4,".")*$B$40</f>
        <v>68750</v>
      </c>
      <c r="BR40" s="71">
        <f>IFERROR(up_RadSpec!$E$4*BR4,".")*$B$40</f>
        <v>244921875</v>
      </c>
      <c r="BS40" s="71">
        <f>IFERROR(up_RadSpec!$E$4*BS4,".")*$B$40</f>
        <v>237788228.15533978</v>
      </c>
      <c r="BT40" s="71">
        <f>IFERROR(up_RadSpec!$E$4*BT4,".")*$B$40</f>
        <v>244921875</v>
      </c>
      <c r="BU40" s="71">
        <f>IFERROR(up_RadSpec!$E$4*BU4,".")*$B$40</f>
        <v>244921875</v>
      </c>
      <c r="BV40" s="71">
        <f>IFERROR(up_RadSpec!$E$4*BV4,".")*$B$40</f>
        <v>244921875</v>
      </c>
      <c r="BW40" s="71">
        <f>IFERROR(up_RadSpec!$E$4*BW4,".")*$B$40</f>
        <v>244921875</v>
      </c>
      <c r="BX40" s="71">
        <f>IFERROR(up_RadSpec!$E$4*BX4,".")*$B$40</f>
        <v>237788228.15533978</v>
      </c>
      <c r="BY40" s="71">
        <f>IFERROR(up_RadSpec!$E$4*BY4,".")*$B$40</f>
        <v>244921875</v>
      </c>
      <c r="BZ40" s="71">
        <f>IFERROR(up_RadSpec!$E$4*BZ4,".")*$B$40</f>
        <v>237788228.15533978</v>
      </c>
      <c r="CA40" s="49">
        <f t="shared" si="85"/>
        <v>1</v>
      </c>
      <c r="CB40" s="49">
        <f t="shared" si="86"/>
        <v>1.4602580880648697E-2</v>
      </c>
      <c r="CC40" s="49">
        <f t="shared" si="87"/>
        <v>0.12374131879968686</v>
      </c>
      <c r="CD40" s="49">
        <f t="shared" si="88"/>
        <v>1</v>
      </c>
      <c r="CE40" s="49">
        <f t="shared" si="63"/>
        <v>1</v>
      </c>
      <c r="CF40" s="49">
        <f t="shared" si="64"/>
        <v>1</v>
      </c>
      <c r="CG40" s="49">
        <f t="shared" si="65"/>
        <v>1</v>
      </c>
      <c r="CH40" s="49">
        <f t="shared" si="66"/>
        <v>1</v>
      </c>
      <c r="CI40" s="49">
        <f t="shared" si="67"/>
        <v>1</v>
      </c>
      <c r="CJ40" s="49">
        <f t="shared" si="68"/>
        <v>1</v>
      </c>
      <c r="CK40" s="49">
        <f t="shared" si="69"/>
        <v>1</v>
      </c>
      <c r="CL40" s="49">
        <f t="shared" si="70"/>
        <v>1</v>
      </c>
      <c r="CM40" s="49">
        <f t="shared" si="71"/>
        <v>1</v>
      </c>
      <c r="CN40" s="49">
        <f t="shared" si="72"/>
        <v>1</v>
      </c>
      <c r="CO40" s="49">
        <f t="shared" si="73"/>
        <v>1</v>
      </c>
      <c r="CP40" s="60">
        <f t="shared" ref="CP40:DC40" si="116">IFERROR(CP4/$B40,0)</f>
        <v>3.9999999999999996E-10</v>
      </c>
      <c r="CQ40" s="60">
        <f t="shared" si="116"/>
        <v>0</v>
      </c>
      <c r="CR40" s="60">
        <f t="shared" si="116"/>
        <v>4.3800000000000004E-6</v>
      </c>
      <c r="CS40" s="60">
        <f t="shared" si="116"/>
        <v>1.8087754064641833E-11</v>
      </c>
      <c r="CT40" s="60">
        <f>IFERROR(CT4/$B40,0)</f>
        <v>1.4545454545454544E-8</v>
      </c>
      <c r="CU40" s="60">
        <f>IFERROR(CU4/$B40,0)</f>
        <v>2.9090909090909087E-9</v>
      </c>
      <c r="CV40" s="60">
        <f>IFERROR(CV4/$B40,0)</f>
        <v>2.9963636363636357E-9</v>
      </c>
      <c r="CW40" s="60">
        <f>IFERROR(CW4/$B40,0)</f>
        <v>2.9090909090909087E-9</v>
      </c>
      <c r="CX40" s="60">
        <f t="shared" si="116"/>
        <v>2.9090909090909087E-9</v>
      </c>
      <c r="CY40" s="60">
        <f t="shared" si="116"/>
        <v>2.9090909090909087E-9</v>
      </c>
      <c r="CZ40" s="60">
        <f t="shared" si="116"/>
        <v>2.9090909090909087E-9</v>
      </c>
      <c r="DA40" s="60">
        <f>IFERROR(DA4/$B40,0)</f>
        <v>2.9963636363636357E-9</v>
      </c>
      <c r="DB40" s="60">
        <f t="shared" si="116"/>
        <v>2.9090909090909087E-9</v>
      </c>
      <c r="DC40" s="60">
        <f t="shared" si="116"/>
        <v>2.9963636363636357E-9</v>
      </c>
      <c r="DD40" s="15"/>
      <c r="DE40" s="15"/>
      <c r="DF40" s="15"/>
      <c r="DG40" s="15"/>
      <c r="DH40" s="15"/>
      <c r="DI40" s="15"/>
      <c r="DJ40" s="15"/>
      <c r="DK40" s="15"/>
      <c r="DL40" s="15"/>
      <c r="DM40" s="15"/>
      <c r="DN40" s="15"/>
      <c r="DO40" s="15"/>
      <c r="DP40" s="15"/>
      <c r="DQ40" s="15"/>
      <c r="DR40" s="60">
        <f>IFERROR(DR4/$B40,0)</f>
        <v>1.6415316541278672E-11</v>
      </c>
      <c r="DS40" s="71">
        <f>IFERROR(up_RadSpec!$H$4*DS4,".")*$B$40</f>
        <v>12500</v>
      </c>
      <c r="DT40" s="71">
        <f>IFERROR(up_RadSpec!$G$4*DT4,".")*$B$40</f>
        <v>2278.645833333333</v>
      </c>
      <c r="DU40" s="71">
        <f>IFERROR(up_RadSpec!$L$4*DU4,".")*$B$40</f>
        <v>1.1415525114155249</v>
      </c>
      <c r="DV40" s="71">
        <f>up_b2w!BZ40</f>
        <v>276430.1185283176</v>
      </c>
      <c r="DW40" s="71">
        <f>IFERROR(up_RadSpec!$E$4*DW4,".")*$B$40</f>
        <v>343.75</v>
      </c>
      <c r="DX40" s="71">
        <f>IFERROR(up_RadSpec!$E$4*DX4,".")*$B$40</f>
        <v>1718.75</v>
      </c>
      <c r="DY40" s="71">
        <f>IFERROR(up_RadSpec!$E$4*DY4,".")*$B$40</f>
        <v>1668.6893203883494</v>
      </c>
      <c r="DZ40" s="71">
        <f>IFERROR(up_RadSpec!$E$4*DZ4,".")*$B$40</f>
        <v>1718.75</v>
      </c>
      <c r="EA40" s="71">
        <f>IFERROR(up_RadSpec!$E$4*EA4,".")*$B$40</f>
        <v>1718.75</v>
      </c>
      <c r="EB40" s="71">
        <f>IFERROR(up_RadSpec!$E$4*EB4,".")*$B$40</f>
        <v>1718.75</v>
      </c>
      <c r="EC40" s="71">
        <f>IFERROR(up_RadSpec!$E$4*EC4,".")*$B$40</f>
        <v>1718.75</v>
      </c>
      <c r="ED40" s="71">
        <f>IFERROR(up_RadSpec!$E$4*ED4,".")*$B$40</f>
        <v>1668.6893203883494</v>
      </c>
      <c r="EE40" s="71">
        <f>IFERROR(up_RadSpec!$E$4*EE4,".")*$B$40</f>
        <v>1718.75</v>
      </c>
      <c r="EF40" s="71">
        <f>IFERROR(up_RadSpec!$E$4*EF4,".")*$B$40</f>
        <v>1668.6893203883494</v>
      </c>
      <c r="EG40" s="49">
        <f t="shared" si="91"/>
        <v>1</v>
      </c>
      <c r="EH40" s="49">
        <f t="shared" si="92"/>
        <v>1</v>
      </c>
      <c r="EI40" s="49">
        <f t="shared" si="93"/>
        <v>0.68067711563678512</v>
      </c>
      <c r="EJ40" s="49">
        <f t="shared" si="94"/>
        <v>1</v>
      </c>
      <c r="EK40" s="49">
        <f t="shared" si="95"/>
        <v>1</v>
      </c>
      <c r="EL40" s="49">
        <f t="shared" si="79"/>
        <v>1</v>
      </c>
      <c r="EM40" s="49">
        <f t="shared" si="79"/>
        <v>1</v>
      </c>
      <c r="EN40" s="49">
        <f t="shared" si="79"/>
        <v>1</v>
      </c>
      <c r="EO40" s="49">
        <f t="shared" si="79"/>
        <v>1</v>
      </c>
      <c r="EP40" s="49">
        <f t="shared" si="79"/>
        <v>1</v>
      </c>
      <c r="EQ40" s="49">
        <f t="shared" si="79"/>
        <v>1</v>
      </c>
      <c r="ER40" s="49">
        <f t="shared" si="79"/>
        <v>1</v>
      </c>
      <c r="ES40" s="49">
        <f t="shared" si="79"/>
        <v>1</v>
      </c>
      <c r="ET40" s="49">
        <f t="shared" si="79"/>
        <v>1</v>
      </c>
      <c r="EU40" s="49">
        <f t="shared" si="80"/>
        <v>1</v>
      </c>
      <c r="EV40" s="60">
        <f>IFERROR(EV4/$B40,0)</f>
        <v>1.0971428571428573E-9</v>
      </c>
      <c r="EW40" s="60">
        <f>IFERROR(EW4/$B40,0)</f>
        <v>1.7520000000000001E-6</v>
      </c>
      <c r="EX40" s="60">
        <f>IFERROR(EX4/$B40,0)</f>
        <v>1.0964562309317064E-9</v>
      </c>
      <c r="EY40" s="71">
        <f>IFERROR(up_RadSpec!$G$4*EY4,".")*$B$40</f>
        <v>4557.2916666666661</v>
      </c>
      <c r="EZ40" s="71">
        <f>IFERROR(up_RadSpec!$J$4*EZ4,".")*$B$40</f>
        <v>2.8538812785388123</v>
      </c>
      <c r="FA40" s="49">
        <f t="shared" si="97"/>
        <v>1</v>
      </c>
      <c r="FB40" s="49">
        <f t="shared" si="97"/>
        <v>0.9423797539167309</v>
      </c>
      <c r="FC40" s="49">
        <f t="shared" si="98"/>
        <v>1</v>
      </c>
    </row>
    <row r="41" spans="1:159" x14ac:dyDescent="0.25">
      <c r="A41" s="83" t="s">
        <v>1086</v>
      </c>
      <c r="B41" s="84">
        <v>0.99987999999999999</v>
      </c>
      <c r="C41" s="60">
        <f t="shared" ref="C41:M41" si="117">IFERROR(C8/$B41,0)</f>
        <v>1.8184000261849604E-11</v>
      </c>
      <c r="D41" s="60">
        <f t="shared" si="117"/>
        <v>7.2736001047398416E-11</v>
      </c>
      <c r="E41" s="60">
        <f t="shared" si="117"/>
        <v>7.2736001047398416E-11</v>
      </c>
      <c r="F41" s="60">
        <f t="shared" si="117"/>
        <v>7.2736001047398416E-11</v>
      </c>
      <c r="G41" s="60">
        <f t="shared" si="117"/>
        <v>7.2736001047398416E-11</v>
      </c>
      <c r="H41" s="60">
        <f t="shared" si="117"/>
        <v>7.2736001047398416E-11</v>
      </c>
      <c r="I41" s="60">
        <f t="shared" si="117"/>
        <v>7.2736001047398416E-11</v>
      </c>
      <c r="J41" s="60">
        <f t="shared" si="117"/>
        <v>7.2736001047398416E-11</v>
      </c>
      <c r="K41" s="60">
        <f t="shared" si="117"/>
        <v>7.2736001047398416E-11</v>
      </c>
      <c r="L41" s="60">
        <f t="shared" si="117"/>
        <v>7.2736001047398416E-11</v>
      </c>
      <c r="M41" s="60">
        <f t="shared" si="117"/>
        <v>7.2736001047398416E-11</v>
      </c>
      <c r="N41" s="71">
        <f>up_dir!BA41</f>
        <v>275033.00396047527</v>
      </c>
      <c r="O41" s="71">
        <f>IFERROR(up_RadSpec!$E$8*O8,".")*$B$41</f>
        <v>68741.75</v>
      </c>
      <c r="P41" s="71">
        <f>IFERROR(up_RadSpec!$E$8*P8,".")*$B$41</f>
        <v>68741.75</v>
      </c>
      <c r="Q41" s="71">
        <f>IFERROR(up_RadSpec!$E$8*Q8,".")*$B$41</f>
        <v>68741.75</v>
      </c>
      <c r="R41" s="71">
        <f>IFERROR(up_RadSpec!$E$8*R8,".")*$B$41</f>
        <v>68741.75</v>
      </c>
      <c r="S41" s="71">
        <f>IFERROR(up_RadSpec!$E$8*S8,".")*$B$41</f>
        <v>68741.75</v>
      </c>
      <c r="T41" s="71">
        <f>IFERROR(up_RadSpec!$E$8*T8,".")*$B$41</f>
        <v>68741.75</v>
      </c>
      <c r="U41" s="71">
        <f>IFERROR(up_RadSpec!$E$8*U8,".")*$B$41</f>
        <v>68741.75</v>
      </c>
      <c r="V41" s="71">
        <f>IFERROR(up_RadSpec!$E$8*V8,".")*$B$41</f>
        <v>68741.75</v>
      </c>
      <c r="W41" s="71">
        <f>IFERROR(up_RadSpec!$E$8*W8,".")*$B$41</f>
        <v>68741.75</v>
      </c>
      <c r="X41" s="71">
        <f>IFERROR(up_RadSpec!$E$8*X8,".")*$B$41</f>
        <v>68741.75</v>
      </c>
      <c r="Y41" s="49">
        <f t="shared" si="82"/>
        <v>1</v>
      </c>
      <c r="Z41" s="49">
        <f t="shared" si="57"/>
        <v>1</v>
      </c>
      <c r="AA41" s="49">
        <f t="shared" si="57"/>
        <v>1</v>
      </c>
      <c r="AB41" s="49">
        <f t="shared" si="57"/>
        <v>1</v>
      </c>
      <c r="AC41" s="49">
        <f t="shared" si="57"/>
        <v>1</v>
      </c>
      <c r="AD41" s="49">
        <f t="shared" si="57"/>
        <v>1</v>
      </c>
      <c r="AE41" s="49">
        <f t="shared" si="57"/>
        <v>1</v>
      </c>
      <c r="AF41" s="49">
        <f t="shared" si="57"/>
        <v>1</v>
      </c>
      <c r="AG41" s="49">
        <f t="shared" si="57"/>
        <v>1</v>
      </c>
      <c r="AH41" s="49">
        <f t="shared" si="57"/>
        <v>1</v>
      </c>
      <c r="AI41" s="49">
        <f t="shared" si="57"/>
        <v>1</v>
      </c>
      <c r="AJ41" s="60">
        <f t="shared" ref="AJ41:AW41" si="118">IFERROR(AJ8/$B41,0)</f>
        <v>3.6368000523699208E-8</v>
      </c>
      <c r="AK41" s="60">
        <f t="shared" si="118"/>
        <v>3.3993988908533095E-4</v>
      </c>
      <c r="AL41" s="60">
        <f t="shared" si="118"/>
        <v>2.4201799243533549E-5</v>
      </c>
      <c r="AM41" s="60">
        <f t="shared" si="118"/>
        <v>3.6270071331105223E-12</v>
      </c>
      <c r="AN41" s="60">
        <f>IFERROR(AN8/$B41,0)</f>
        <v>7.2736001047398416E-11</v>
      </c>
      <c r="AO41" s="60">
        <f>IFERROR(AO8/$B41,0)</f>
        <v>2.0417123101024115E-14</v>
      </c>
      <c r="AP41" s="60">
        <f>IFERROR(AP8/$B41,0)</f>
        <v>2.1029636794054837E-14</v>
      </c>
      <c r="AQ41" s="60">
        <f>IFERROR(AQ8/$B41,0)</f>
        <v>2.0417123101024115E-14</v>
      </c>
      <c r="AR41" s="60">
        <f t="shared" si="118"/>
        <v>2.0417123101024115E-14</v>
      </c>
      <c r="AS41" s="60">
        <f t="shared" si="118"/>
        <v>2.0417123101024115E-14</v>
      </c>
      <c r="AT41" s="60">
        <f t="shared" si="118"/>
        <v>2.0417123101024115E-14</v>
      </c>
      <c r="AU41" s="60">
        <f>IFERROR(AU8/$B41,0)</f>
        <v>2.1029636794054837E-14</v>
      </c>
      <c r="AV41" s="60">
        <f t="shared" si="118"/>
        <v>2.0417123101024115E-14</v>
      </c>
      <c r="AW41" s="60">
        <f t="shared" si="118"/>
        <v>2.1029636794054837E-14</v>
      </c>
      <c r="AX41" s="42"/>
      <c r="AY41" s="42"/>
      <c r="AZ41" s="42"/>
      <c r="BA41" s="42"/>
      <c r="BB41" s="42"/>
      <c r="BC41" s="42"/>
      <c r="BD41" s="42"/>
      <c r="BE41" s="42"/>
      <c r="BF41" s="42"/>
      <c r="BG41" s="42"/>
      <c r="BH41" s="42"/>
      <c r="BI41" s="42"/>
      <c r="BJ41" s="42"/>
      <c r="BK41" s="42"/>
      <c r="BL41" s="60">
        <f>IFERROR(BL8/$B41,0)</f>
        <v>2.2892919509221727E-15</v>
      </c>
      <c r="BM41" s="71">
        <f>IFERROR(up_RadSpec!$D$8*BM8,".")*$B$41</f>
        <v>137.48349999999999</v>
      </c>
      <c r="BN41" s="71">
        <f>IFERROR(up_RadSpec!$G$8*BN8,".")*$B$41</f>
        <v>1.4708482765742477E-2</v>
      </c>
      <c r="BO41" s="71">
        <f>IFERROR(up_RadSpec!$F$8*BO8,".")*$B$41</f>
        <v>0.20659621004566195</v>
      </c>
      <c r="BP41" s="71">
        <f>up_b2s!BZ41</f>
        <v>1378877.9653558426</v>
      </c>
      <c r="BQ41" s="71">
        <f>IFERROR(up_RadSpec!$E$8*BQ8,".")*$B$41</f>
        <v>68741.75</v>
      </c>
      <c r="BR41" s="71">
        <f>IFERROR(up_RadSpec!$E$8*BR8,".")*$B$41</f>
        <v>244892484.375</v>
      </c>
      <c r="BS41" s="71">
        <f>IFERROR(up_RadSpec!$E$8*BS8,".")*$B$41</f>
        <v>237759693.56796113</v>
      </c>
      <c r="BT41" s="71">
        <f>IFERROR(up_RadSpec!$E$8*BT8,".")*$B$41</f>
        <v>244892484.375</v>
      </c>
      <c r="BU41" s="71">
        <f>IFERROR(up_RadSpec!$E$8*BU8,".")*$B$41</f>
        <v>244892484.375</v>
      </c>
      <c r="BV41" s="71">
        <f>IFERROR(up_RadSpec!$E$8*BV8,".")*$B$41</f>
        <v>244892484.375</v>
      </c>
      <c r="BW41" s="71">
        <f>IFERROR(up_RadSpec!$E$8*BW8,".")*$B$41</f>
        <v>244892484.375</v>
      </c>
      <c r="BX41" s="71">
        <f>IFERROR(up_RadSpec!$E$8*BX8,".")*$B$41</f>
        <v>237759693.56796113</v>
      </c>
      <c r="BY41" s="71">
        <f>IFERROR(up_RadSpec!$E$8*BY8,".")*$B$41</f>
        <v>244892484.375</v>
      </c>
      <c r="BZ41" s="71">
        <f>IFERROR(up_RadSpec!$E$8*BZ8,".")*$B$41</f>
        <v>237759693.56796113</v>
      </c>
      <c r="CA41" s="49">
        <f t="shared" si="85"/>
        <v>1</v>
      </c>
      <c r="CB41" s="49">
        <f t="shared" si="86"/>
        <v>1.4600841426264277E-2</v>
      </c>
      <c r="CC41" s="49">
        <f t="shared" si="87"/>
        <v>0.18665199455622872</v>
      </c>
      <c r="CD41" s="49">
        <f t="shared" si="88"/>
        <v>1</v>
      </c>
      <c r="CE41" s="49">
        <f t="shared" si="63"/>
        <v>1</v>
      </c>
      <c r="CF41" s="49">
        <f t="shared" si="64"/>
        <v>1</v>
      </c>
      <c r="CG41" s="49">
        <f t="shared" si="65"/>
        <v>1</v>
      </c>
      <c r="CH41" s="49">
        <f t="shared" si="66"/>
        <v>1</v>
      </c>
      <c r="CI41" s="49">
        <f t="shared" si="67"/>
        <v>1</v>
      </c>
      <c r="CJ41" s="49">
        <f t="shared" si="68"/>
        <v>1</v>
      </c>
      <c r="CK41" s="49">
        <f t="shared" si="69"/>
        <v>1</v>
      </c>
      <c r="CL41" s="49">
        <f t="shared" si="70"/>
        <v>1</v>
      </c>
      <c r="CM41" s="49">
        <f t="shared" si="71"/>
        <v>1</v>
      </c>
      <c r="CN41" s="49">
        <f t="shared" si="72"/>
        <v>1</v>
      </c>
      <c r="CO41" s="49">
        <f t="shared" si="73"/>
        <v>1</v>
      </c>
      <c r="CP41" s="60">
        <f t="shared" ref="CP41:DC41" si="119">IFERROR(CP8/$B41,0)</f>
        <v>4.0004800576069125E-10</v>
      </c>
      <c r="CQ41" s="60">
        <f t="shared" si="119"/>
        <v>0</v>
      </c>
      <c r="CR41" s="60">
        <f t="shared" si="119"/>
        <v>4.3805256630795697E-6</v>
      </c>
      <c r="CS41" s="60">
        <f t="shared" si="119"/>
        <v>1.8089924855624508E-11</v>
      </c>
      <c r="CT41" s="60">
        <f>IFERROR(CT8/$B41,0)</f>
        <v>1.4547200209479682E-8</v>
      </c>
      <c r="CU41" s="60">
        <f>IFERROR(CU8/$B41,0)</f>
        <v>2.9094400418959364E-9</v>
      </c>
      <c r="CV41" s="60">
        <f>IFERROR(CV8/$B41,0)</f>
        <v>2.9967232431528141E-9</v>
      </c>
      <c r="CW41" s="60">
        <f>IFERROR(CW8/$B41,0)</f>
        <v>2.9094400418959364E-9</v>
      </c>
      <c r="CX41" s="60">
        <f t="shared" si="119"/>
        <v>2.9094400418959364E-9</v>
      </c>
      <c r="CY41" s="60">
        <f t="shared" si="119"/>
        <v>2.9094400418959364E-9</v>
      </c>
      <c r="CZ41" s="60">
        <f t="shared" si="119"/>
        <v>2.9094400418959364E-9</v>
      </c>
      <c r="DA41" s="60">
        <f>IFERROR(DA8/$B41,0)</f>
        <v>2.9967232431528141E-9</v>
      </c>
      <c r="DB41" s="60">
        <f t="shared" si="119"/>
        <v>2.9094400418959364E-9</v>
      </c>
      <c r="DC41" s="60">
        <f t="shared" si="119"/>
        <v>2.9967232431528141E-9</v>
      </c>
      <c r="DD41" s="15"/>
      <c r="DE41" s="15"/>
      <c r="DF41" s="15"/>
      <c r="DG41" s="15"/>
      <c r="DH41" s="15"/>
      <c r="DI41" s="15"/>
      <c r="DJ41" s="15"/>
      <c r="DK41" s="15"/>
      <c r="DL41" s="15"/>
      <c r="DM41" s="15"/>
      <c r="DN41" s="15"/>
      <c r="DO41" s="15"/>
      <c r="DP41" s="15"/>
      <c r="DQ41" s="15"/>
      <c r="DR41" s="60">
        <f>IFERROR(DR8/$B41,0)</f>
        <v>1.6417286615672553E-11</v>
      </c>
      <c r="DS41" s="71">
        <f>IFERROR(up_RadSpec!$H$8*DS8,".")*$B$41</f>
        <v>12498.5</v>
      </c>
      <c r="DT41" s="71">
        <f>IFERROR(up_RadSpec!$G$8*DT8,".")*$B$41</f>
        <v>2278.372395833333</v>
      </c>
      <c r="DU41" s="71">
        <f>IFERROR(up_RadSpec!$L$8*DU8,".")*$B$41</f>
        <v>1.1414155251141551</v>
      </c>
      <c r="DV41" s="71">
        <f>up_b2w!BZ41</f>
        <v>276463.29412361246</v>
      </c>
      <c r="DW41" s="71">
        <f>IFERROR(up_RadSpec!$E$8*DW8,".")*$B$41</f>
        <v>343.70875000000001</v>
      </c>
      <c r="DX41" s="71">
        <f>IFERROR(up_RadSpec!$E$8*DX8,".")*$B$41</f>
        <v>1718.54375</v>
      </c>
      <c r="DY41" s="71">
        <f>IFERROR(up_RadSpec!$E$8*DY8,".")*$B$41</f>
        <v>1668.4890776699028</v>
      </c>
      <c r="DZ41" s="71">
        <f>IFERROR(up_RadSpec!$E$8*DZ8,".")*$B$41</f>
        <v>1718.54375</v>
      </c>
      <c r="EA41" s="71">
        <f>IFERROR(up_RadSpec!$E$8*EA8,".")*$B$41</f>
        <v>1718.54375</v>
      </c>
      <c r="EB41" s="71">
        <f>IFERROR(up_RadSpec!$E$8*EB8,".")*$B$41</f>
        <v>1718.54375</v>
      </c>
      <c r="EC41" s="71">
        <f>IFERROR(up_RadSpec!$E$8*EC8,".")*$B$41</f>
        <v>1718.54375</v>
      </c>
      <c r="ED41" s="71">
        <f>IFERROR(up_RadSpec!$E$8*ED8,".")*$B$41</f>
        <v>1668.4890776699028</v>
      </c>
      <c r="EE41" s="71">
        <f>IFERROR(up_RadSpec!$E$8*EE8,".")*$B$41</f>
        <v>1718.54375</v>
      </c>
      <c r="EF41" s="71">
        <f>IFERROR(up_RadSpec!$E$8*EF8,".")*$B$41</f>
        <v>1668.4890776699028</v>
      </c>
      <c r="EG41" s="49">
        <f t="shared" si="91"/>
        <v>1</v>
      </c>
      <c r="EH41" s="49">
        <f t="shared" si="92"/>
        <v>1</v>
      </c>
      <c r="EI41" s="49">
        <f t="shared" si="93"/>
        <v>0.68063336977969024</v>
      </c>
      <c r="EJ41" s="49">
        <f t="shared" si="94"/>
        <v>1</v>
      </c>
      <c r="EK41" s="49">
        <f t="shared" si="95"/>
        <v>1</v>
      </c>
      <c r="EL41" s="49">
        <f t="shared" si="79"/>
        <v>1</v>
      </c>
      <c r="EM41" s="49">
        <f t="shared" si="79"/>
        <v>1</v>
      </c>
      <c r="EN41" s="49">
        <f t="shared" si="79"/>
        <v>1</v>
      </c>
      <c r="EO41" s="49">
        <f t="shared" si="79"/>
        <v>1</v>
      </c>
      <c r="EP41" s="49">
        <f t="shared" si="79"/>
        <v>1</v>
      </c>
      <c r="EQ41" s="49">
        <f t="shared" si="79"/>
        <v>1</v>
      </c>
      <c r="ER41" s="49">
        <f t="shared" si="79"/>
        <v>1</v>
      </c>
      <c r="ES41" s="49">
        <f t="shared" si="79"/>
        <v>1</v>
      </c>
      <c r="ET41" s="49">
        <f t="shared" si="79"/>
        <v>1</v>
      </c>
      <c r="EU41" s="49">
        <f t="shared" si="80"/>
        <v>1</v>
      </c>
      <c r="EV41" s="60">
        <f>IFERROR(EV8/$B41,0)</f>
        <v>1.0972745300864677E-9</v>
      </c>
      <c r="EW41" s="60">
        <f>IFERROR(EW8/$B41,0)</f>
        <v>1.752210265231828E-6</v>
      </c>
      <c r="EX41" s="60">
        <f>IFERROR(EX8/$B41,0)</f>
        <v>1.0965878214702828E-9</v>
      </c>
      <c r="EY41" s="71">
        <f>IFERROR(up_RadSpec!$G$8*EY8,".")*$B$41</f>
        <v>4556.7447916666661</v>
      </c>
      <c r="EZ41" s="71">
        <f>IFERROR(up_RadSpec!$J$8*EZ8,".")*$B$41</f>
        <v>2.8535388127853878</v>
      </c>
      <c r="FA41" s="49">
        <f t="shared" si="97"/>
        <v>1</v>
      </c>
      <c r="FB41" s="49">
        <f t="shared" si="97"/>
        <v>0.94236001757642607</v>
      </c>
      <c r="FC41" s="49">
        <f t="shared" si="98"/>
        <v>1</v>
      </c>
    </row>
    <row r="42" spans="1:159" x14ac:dyDescent="0.25">
      <c r="A42" s="83" t="s">
        <v>1087</v>
      </c>
      <c r="B42" s="42">
        <v>0.97898250799999997</v>
      </c>
      <c r="C42" s="60">
        <f t="shared" ref="C42:M42" si="120">IFERROR(C19/$B42,0)</f>
        <v>1.8572158371820654E-11</v>
      </c>
      <c r="D42" s="60">
        <f t="shared" si="120"/>
        <v>7.4288633487282614E-11</v>
      </c>
      <c r="E42" s="60">
        <f t="shared" si="120"/>
        <v>7.4288633487282614E-11</v>
      </c>
      <c r="F42" s="60">
        <f t="shared" si="120"/>
        <v>7.4288633487282614E-11</v>
      </c>
      <c r="G42" s="60">
        <f t="shared" si="120"/>
        <v>7.4288633487282614E-11</v>
      </c>
      <c r="H42" s="60">
        <f t="shared" si="120"/>
        <v>7.4288633487282614E-11</v>
      </c>
      <c r="I42" s="60">
        <f t="shared" si="120"/>
        <v>7.4288633487282614E-11</v>
      </c>
      <c r="J42" s="60">
        <f t="shared" si="120"/>
        <v>7.4288633487282614E-11</v>
      </c>
      <c r="K42" s="60">
        <f t="shared" si="120"/>
        <v>7.4288633487282614E-11</v>
      </c>
      <c r="L42" s="60">
        <f t="shared" si="120"/>
        <v>7.4288633487282614E-11</v>
      </c>
      <c r="M42" s="60">
        <f t="shared" si="120"/>
        <v>7.4288633487282614E-11</v>
      </c>
      <c r="N42" s="71">
        <f>up_dir!BA42</f>
        <v>280903.89537378744</v>
      </c>
      <c r="O42" s="72">
        <f>IFERROR(up_RadSpec!$E$19*O19,".")*$B$42</f>
        <v>67305.047424999997</v>
      </c>
      <c r="P42" s="72">
        <f>IFERROR(up_RadSpec!$E$19*P19,".")*$B$42</f>
        <v>67305.047424999997</v>
      </c>
      <c r="Q42" s="72">
        <f>IFERROR(up_RadSpec!$E$19*Q19,".")*$B$42</f>
        <v>67305.047424999997</v>
      </c>
      <c r="R42" s="72">
        <f>IFERROR(up_RadSpec!$E$19*R19,".")*$B$42</f>
        <v>67305.047424999997</v>
      </c>
      <c r="S42" s="72">
        <f>IFERROR(up_RadSpec!$E$19*S19,".")*$B$42</f>
        <v>67305.047424999997</v>
      </c>
      <c r="T42" s="72">
        <f>IFERROR(up_RadSpec!$E$19*T19,".")*$B$42</f>
        <v>67305.047424999997</v>
      </c>
      <c r="U42" s="72">
        <f>IFERROR(up_RadSpec!$E$19*U19,".")*$B$42</f>
        <v>67305.047424999997</v>
      </c>
      <c r="V42" s="72">
        <f>IFERROR(up_RadSpec!$E$19*V19,".")*$B$42</f>
        <v>67305.047424999997</v>
      </c>
      <c r="W42" s="72">
        <f>IFERROR(up_RadSpec!$E$19*W19,".")*$B$42</f>
        <v>67305.047424999997</v>
      </c>
      <c r="X42" s="72">
        <f>IFERROR(up_RadSpec!$E$19*X19,".")*$B$42</f>
        <v>67305.047424999997</v>
      </c>
      <c r="Y42" s="49">
        <f t="shared" si="82"/>
        <v>1</v>
      </c>
      <c r="Z42" s="49">
        <f t="shared" si="57"/>
        <v>1</v>
      </c>
      <c r="AA42" s="49">
        <f t="shared" si="57"/>
        <v>1</v>
      </c>
      <c r="AB42" s="49">
        <f t="shared" si="57"/>
        <v>1</v>
      </c>
      <c r="AC42" s="49">
        <f t="shared" si="57"/>
        <v>1</v>
      </c>
      <c r="AD42" s="49">
        <f t="shared" si="57"/>
        <v>1</v>
      </c>
      <c r="AE42" s="49">
        <f t="shared" si="57"/>
        <v>1</v>
      </c>
      <c r="AF42" s="49">
        <f t="shared" si="57"/>
        <v>1</v>
      </c>
      <c r="AG42" s="49">
        <f t="shared" si="57"/>
        <v>1</v>
      </c>
      <c r="AH42" s="49">
        <f t="shared" si="57"/>
        <v>1</v>
      </c>
      <c r="AI42" s="49">
        <f t="shared" si="57"/>
        <v>1</v>
      </c>
      <c r="AJ42" s="60">
        <f t="shared" ref="AJ42:AW42" si="121">IFERROR(AJ19/$B42,0)</f>
        <v>3.7144316743641313E-8</v>
      </c>
      <c r="AK42" s="60">
        <f t="shared" si="121"/>
        <v>3.4719629157933915E-4</v>
      </c>
      <c r="AL42" s="60">
        <f t="shared" si="121"/>
        <v>1.7111543110412393E-5</v>
      </c>
      <c r="AM42" s="60">
        <f t="shared" si="121"/>
        <v>3.7044297141359646E-12</v>
      </c>
      <c r="AN42" s="60">
        <f>IFERROR(AN19/$B42,0)</f>
        <v>7.4288633487282614E-11</v>
      </c>
      <c r="AO42" s="60">
        <f>IFERROR(AO19/$B42,0)</f>
        <v>2.0852949750816176E-14</v>
      </c>
      <c r="AP42" s="60">
        <f>IFERROR(AP19/$B42,0)</f>
        <v>2.1478538243340657E-14</v>
      </c>
      <c r="AQ42" s="60">
        <f>IFERROR(AQ19/$B42,0)</f>
        <v>2.0852949750816176E-14</v>
      </c>
      <c r="AR42" s="60">
        <f t="shared" si="121"/>
        <v>2.0852949750816176E-14</v>
      </c>
      <c r="AS42" s="60">
        <f t="shared" si="121"/>
        <v>2.0852949750816176E-14</v>
      </c>
      <c r="AT42" s="60">
        <f t="shared" si="121"/>
        <v>2.0852949750816176E-14</v>
      </c>
      <c r="AU42" s="60">
        <f>IFERROR(AU19/$B42,0)</f>
        <v>2.1478538243340657E-14</v>
      </c>
      <c r="AV42" s="60">
        <f t="shared" si="121"/>
        <v>2.0852949750816176E-14</v>
      </c>
      <c r="AW42" s="60">
        <f t="shared" si="121"/>
        <v>2.1478538243340657E-14</v>
      </c>
      <c r="AX42" s="42"/>
      <c r="AY42" s="42"/>
      <c r="AZ42" s="42"/>
      <c r="BA42" s="42"/>
      <c r="BB42" s="42"/>
      <c r="BC42" s="42"/>
      <c r="BD42" s="42"/>
      <c r="BE42" s="42"/>
      <c r="BF42" s="42"/>
      <c r="BG42" s="42"/>
      <c r="BH42" s="42"/>
      <c r="BI42" s="42"/>
      <c r="BJ42" s="42"/>
      <c r="BK42" s="42"/>
      <c r="BL42" s="60">
        <f>IFERROR(BL19/$B42,0)</f>
        <v>2.3381594840423933E-15</v>
      </c>
      <c r="BM42" s="72">
        <f>IFERROR(up_RadSpec!$D$19*BM19,".")*$B$42</f>
        <v>134.61009485</v>
      </c>
      <c r="BN42" s="72">
        <f>IFERROR(up_RadSpec!$G$19*BN19,".")*$B$42</f>
        <v>1.4401075475938458E-2</v>
      </c>
      <c r="BO42" s="72">
        <f>IFERROR(up_RadSpec!$F$19*BO19,".")*$B$42</f>
        <v>0.29220041510794514</v>
      </c>
      <c r="BP42" s="71">
        <f>up_b2s!BZ42</f>
        <v>1408311.6794564831</v>
      </c>
      <c r="BQ42" s="72">
        <f>IFERROR(up_RadSpec!$E$19*BQ19,".")*$B$42</f>
        <v>67305.047424999997</v>
      </c>
      <c r="BR42" s="72">
        <f>IFERROR(up_RadSpec!$E$19*BR19,".")*$B$42</f>
        <v>239774231.45156249</v>
      </c>
      <c r="BS42" s="72">
        <f>IFERROR(up_RadSpec!$E$19*BS19,".")*$B$42</f>
        <v>232790515.97239074</v>
      </c>
      <c r="BT42" s="72">
        <f>IFERROR(up_RadSpec!$E$19*BT19,".")*$B$42</f>
        <v>239774231.45156249</v>
      </c>
      <c r="BU42" s="72">
        <f>IFERROR(up_RadSpec!$E$19*BU19,".")*$B$42</f>
        <v>239774231.45156249</v>
      </c>
      <c r="BV42" s="72">
        <f>IFERROR(up_RadSpec!$E$19*BV19,".")*$B$42</f>
        <v>239774231.45156249</v>
      </c>
      <c r="BW42" s="72">
        <f>IFERROR(up_RadSpec!$E$19*BW19,".")*$B$42</f>
        <v>239774231.45156249</v>
      </c>
      <c r="BX42" s="72">
        <f>IFERROR(up_RadSpec!$E$19*BX19,".")*$B$42</f>
        <v>232790515.97239074</v>
      </c>
      <c r="BY42" s="72">
        <f>IFERROR(up_RadSpec!$E$19*BY19,".")*$B$42</f>
        <v>239774231.45156249</v>
      </c>
      <c r="BZ42" s="72">
        <f>IFERROR(up_RadSpec!$E$19*BZ19,".")*$B$42</f>
        <v>232790515.97239074</v>
      </c>
      <c r="CA42" s="49">
        <f t="shared" si="85"/>
        <v>1</v>
      </c>
      <c r="CB42" s="49">
        <f t="shared" si="86"/>
        <v>1.4297875977043906E-2</v>
      </c>
      <c r="CC42" s="49">
        <f t="shared" si="87"/>
        <v>0.25338111272695885</v>
      </c>
      <c r="CD42" s="49">
        <f t="shared" si="88"/>
        <v>1</v>
      </c>
      <c r="CE42" s="49">
        <f t="shared" si="63"/>
        <v>1</v>
      </c>
      <c r="CF42" s="49">
        <f t="shared" si="64"/>
        <v>1</v>
      </c>
      <c r="CG42" s="49">
        <f t="shared" si="65"/>
        <v>1</v>
      </c>
      <c r="CH42" s="49">
        <f t="shared" si="66"/>
        <v>1</v>
      </c>
      <c r="CI42" s="49">
        <f t="shared" si="67"/>
        <v>1</v>
      </c>
      <c r="CJ42" s="49">
        <f t="shared" si="68"/>
        <v>1</v>
      </c>
      <c r="CK42" s="49">
        <f t="shared" si="69"/>
        <v>1</v>
      </c>
      <c r="CL42" s="49">
        <f t="shared" si="70"/>
        <v>1</v>
      </c>
      <c r="CM42" s="49">
        <f t="shared" si="71"/>
        <v>1</v>
      </c>
      <c r="CN42" s="49">
        <f t="shared" si="72"/>
        <v>1</v>
      </c>
      <c r="CO42" s="49">
        <f t="shared" si="73"/>
        <v>1</v>
      </c>
      <c r="CP42" s="60">
        <f t="shared" ref="CP42:DC42" si="122">IFERROR(CP19/$B42,0)</f>
        <v>4.0858748418005437E-10</v>
      </c>
      <c r="CQ42" s="60">
        <f t="shared" si="122"/>
        <v>0</v>
      </c>
      <c r="CR42" s="60">
        <f t="shared" si="122"/>
        <v>4.4740329517715967E-6</v>
      </c>
      <c r="CS42" s="60">
        <f t="shared" si="122"/>
        <v>1.8476074819348901E-11</v>
      </c>
      <c r="CT42" s="60">
        <f>IFERROR(CT19/$B42,0)</f>
        <v>1.4857726697456523E-8</v>
      </c>
      <c r="CU42" s="60">
        <f>IFERROR(CU19/$B42,0)</f>
        <v>2.9715453394913047E-9</v>
      </c>
      <c r="CV42" s="60">
        <f>IFERROR(CV19/$B42,0)</f>
        <v>3.0606916996760436E-9</v>
      </c>
      <c r="CW42" s="60">
        <f>IFERROR(CW19/$B42,0)</f>
        <v>2.9715453394913047E-9</v>
      </c>
      <c r="CX42" s="60">
        <f t="shared" si="122"/>
        <v>2.9715453394913047E-9</v>
      </c>
      <c r="CY42" s="60">
        <f t="shared" si="122"/>
        <v>2.9715453394913047E-9</v>
      </c>
      <c r="CZ42" s="60">
        <f t="shared" si="122"/>
        <v>2.9715453394913047E-9</v>
      </c>
      <c r="DA42" s="60">
        <f>IFERROR(DA19/$B42,0)</f>
        <v>3.0606916996760436E-9</v>
      </c>
      <c r="DB42" s="60">
        <f t="shared" si="122"/>
        <v>2.9715453394913047E-9</v>
      </c>
      <c r="DC42" s="60">
        <f t="shared" si="122"/>
        <v>3.0606916996760436E-9</v>
      </c>
      <c r="DD42" s="15"/>
      <c r="DE42" s="15"/>
      <c r="DF42" s="15"/>
      <c r="DG42" s="15"/>
      <c r="DH42" s="15"/>
      <c r="DI42" s="15"/>
      <c r="DJ42" s="15"/>
      <c r="DK42" s="15"/>
      <c r="DL42" s="15"/>
      <c r="DM42" s="15"/>
      <c r="DN42" s="15"/>
      <c r="DO42" s="15"/>
      <c r="DP42" s="15"/>
      <c r="DQ42" s="15"/>
      <c r="DR42" s="60">
        <f>IFERROR(DR19/$B42,0)</f>
        <v>1.6767732219050713E-11</v>
      </c>
      <c r="DS42" s="72">
        <f>IFERROR(up_RadSpec!$H$19*DS19,".")*$B$42</f>
        <v>12237.281349999999</v>
      </c>
      <c r="DT42" s="72">
        <f>IFERROR(up_RadSpec!$G$19*DT19,".")*$B$42</f>
        <v>2230.7544127604165</v>
      </c>
      <c r="DU42" s="72">
        <f>IFERROR(up_RadSpec!$L$19*DU19,".")*$B$42</f>
        <v>1.1175599406392691</v>
      </c>
      <c r="DV42" s="71">
        <f>up_b2w!BZ42</f>
        <v>282364.71670269885</v>
      </c>
      <c r="DW42" s="72">
        <f>IFERROR(up_RadSpec!$E$19*DW19,".")*$B$42</f>
        <v>336.52523712499999</v>
      </c>
      <c r="DX42" s="72">
        <f>IFERROR(up_RadSpec!$E$19*DX19,".")*$B$42</f>
        <v>1682.6261856250001</v>
      </c>
      <c r="DY42" s="72">
        <f>IFERROR(up_RadSpec!$E$19*DY19,".")*$B$42</f>
        <v>1633.6176559466019</v>
      </c>
      <c r="DZ42" s="72">
        <f>IFERROR(up_RadSpec!$E$19*DZ19,".")*$B$42</f>
        <v>1682.6261856250001</v>
      </c>
      <c r="EA42" s="72">
        <f>IFERROR(up_RadSpec!$E$19*EA19,".")*$B$42</f>
        <v>1682.6261856250001</v>
      </c>
      <c r="EB42" s="72">
        <f>IFERROR(up_RadSpec!$E$19*EB19,".")*$B$42</f>
        <v>1682.6261856250001</v>
      </c>
      <c r="EC42" s="72">
        <f>IFERROR(up_RadSpec!$E$19*EC19,".")*$B$42</f>
        <v>1682.6261856250001</v>
      </c>
      <c r="ED42" s="72">
        <f>IFERROR(up_RadSpec!$E$19*ED19,".")*$B$42</f>
        <v>1633.6176559466019</v>
      </c>
      <c r="EE42" s="72">
        <f>IFERROR(up_RadSpec!$E$19*EE19,".")*$B$42</f>
        <v>1682.6261856250001</v>
      </c>
      <c r="EF42" s="72">
        <f>IFERROR(up_RadSpec!$E$19*EF19,".")*$B$42</f>
        <v>1633.6176559466019</v>
      </c>
      <c r="EG42" s="49">
        <f t="shared" si="91"/>
        <v>1</v>
      </c>
      <c r="EH42" s="49">
        <f t="shared" si="92"/>
        <v>1</v>
      </c>
      <c r="EI42" s="49">
        <f t="shared" si="93"/>
        <v>0.67292309120241578</v>
      </c>
      <c r="EJ42" s="49">
        <f t="shared" si="94"/>
        <v>1</v>
      </c>
      <c r="EK42" s="49">
        <f t="shared" si="95"/>
        <v>1</v>
      </c>
      <c r="EL42" s="49">
        <f t="shared" si="79"/>
        <v>1</v>
      </c>
      <c r="EM42" s="49">
        <f t="shared" si="79"/>
        <v>1</v>
      </c>
      <c r="EN42" s="49">
        <f t="shared" si="79"/>
        <v>1</v>
      </c>
      <c r="EO42" s="49">
        <f t="shared" si="79"/>
        <v>1</v>
      </c>
      <c r="EP42" s="49">
        <f t="shared" si="79"/>
        <v>1</v>
      </c>
      <c r="EQ42" s="49">
        <f t="shared" si="79"/>
        <v>1</v>
      </c>
      <c r="ER42" s="49">
        <f t="shared" si="79"/>
        <v>1</v>
      </c>
      <c r="ES42" s="49">
        <f t="shared" si="79"/>
        <v>1</v>
      </c>
      <c r="ET42" s="49">
        <f t="shared" si="79"/>
        <v>1</v>
      </c>
      <c r="EU42" s="49">
        <f t="shared" si="80"/>
        <v>1</v>
      </c>
      <c r="EV42" s="60">
        <f>IFERROR(EV19/$B42,0)</f>
        <v>1.1206970994652922E-9</v>
      </c>
      <c r="EW42" s="60">
        <f>IFERROR(EW19/$B42,0)</f>
        <v>1.7896131807086385E-6</v>
      </c>
      <c r="EX42" s="60">
        <f>IFERROR(EX19/$B42,0)</f>
        <v>1.1199957322748268E-9</v>
      </c>
      <c r="EY42" s="72">
        <f>IFERROR(up_RadSpec!$G$19*EY19,".")*$B$42</f>
        <v>4461.5088255208329</v>
      </c>
      <c r="EZ42" s="72">
        <f>IFERROR(up_RadSpec!$J$19*EZ19,".")*$B$42</f>
        <v>2.793899851598173</v>
      </c>
      <c r="FA42" s="49">
        <f t="shared" si="97"/>
        <v>1</v>
      </c>
      <c r="FB42" s="49">
        <f t="shared" si="97"/>
        <v>0.93881785323804412</v>
      </c>
      <c r="FC42" s="49">
        <f t="shared" si="98"/>
        <v>1</v>
      </c>
    </row>
    <row r="43" spans="1:159" x14ac:dyDescent="0.25">
      <c r="A43" s="83" t="s">
        <v>1088</v>
      </c>
      <c r="B43" s="42">
        <v>2.0897492E-2</v>
      </c>
      <c r="C43" s="60">
        <f t="shared" ref="C43:M43" si="123">IFERROR(C28/$B43,0)</f>
        <v>8.7004785941864122E-10</v>
      </c>
      <c r="D43" s="60">
        <f t="shared" si="123"/>
        <v>3.4801914376745649E-9</v>
      </c>
      <c r="E43" s="60">
        <f t="shared" si="123"/>
        <v>3.4801914376745649E-9</v>
      </c>
      <c r="F43" s="60">
        <f t="shared" si="123"/>
        <v>3.4801914376745649E-9</v>
      </c>
      <c r="G43" s="60">
        <f t="shared" si="123"/>
        <v>3.4801914376745649E-9</v>
      </c>
      <c r="H43" s="60">
        <f t="shared" si="123"/>
        <v>3.4801914376745649E-9</v>
      </c>
      <c r="I43" s="60">
        <f t="shared" si="123"/>
        <v>3.4801914376745649E-9</v>
      </c>
      <c r="J43" s="60">
        <f t="shared" si="123"/>
        <v>3.4801914376745649E-9</v>
      </c>
      <c r="K43" s="60">
        <f t="shared" si="123"/>
        <v>3.4801914376745649E-9</v>
      </c>
      <c r="L43" s="60">
        <f t="shared" si="123"/>
        <v>3.4801914376745649E-9</v>
      </c>
      <c r="M43" s="60">
        <f t="shared" si="123"/>
        <v>3.4801914376745649E-9</v>
      </c>
      <c r="N43" s="71">
        <f>up_dir!BA43</f>
        <v>13159473.873706948</v>
      </c>
      <c r="O43" s="72">
        <f>IFERROR(up_RadSpec!$E$28*O28,".")*$B$43</f>
        <v>1436.702575</v>
      </c>
      <c r="P43" s="72">
        <f>IFERROR(up_RadSpec!$E$28*P28,".")*$B$43</f>
        <v>1436.702575</v>
      </c>
      <c r="Q43" s="72">
        <f>IFERROR(up_RadSpec!$E$28*Q28,".")*$B$43</f>
        <v>1436.702575</v>
      </c>
      <c r="R43" s="72">
        <f>IFERROR(up_RadSpec!$E$28*R28,".")*$B$43</f>
        <v>1436.702575</v>
      </c>
      <c r="S43" s="72">
        <f>IFERROR(up_RadSpec!$E$28*S28,".")*$B$43</f>
        <v>1436.702575</v>
      </c>
      <c r="T43" s="72">
        <f>IFERROR(up_RadSpec!$E$28*T28,".")*$B$43</f>
        <v>1436.702575</v>
      </c>
      <c r="U43" s="72">
        <f>IFERROR(up_RadSpec!$E$28*U28,".")*$B$43</f>
        <v>1436.702575</v>
      </c>
      <c r="V43" s="72">
        <f>IFERROR(up_RadSpec!$E$28*V28,".")*$B$43</f>
        <v>1436.702575</v>
      </c>
      <c r="W43" s="72">
        <f>IFERROR(up_RadSpec!$E$28*W28,".")*$B$43</f>
        <v>1436.702575</v>
      </c>
      <c r="X43" s="72">
        <f>IFERROR(up_RadSpec!$E$28*X28,".")*$B$43</f>
        <v>1436.702575</v>
      </c>
      <c r="Y43" s="49">
        <f t="shared" si="82"/>
        <v>1</v>
      </c>
      <c r="Z43" s="49">
        <f t="shared" si="57"/>
        <v>1</v>
      </c>
      <c r="AA43" s="49">
        <f t="shared" si="57"/>
        <v>1</v>
      </c>
      <c r="AB43" s="49">
        <f t="shared" si="57"/>
        <v>1</v>
      </c>
      <c r="AC43" s="49">
        <f t="shared" si="57"/>
        <v>1</v>
      </c>
      <c r="AD43" s="49">
        <f t="shared" si="57"/>
        <v>1</v>
      </c>
      <c r="AE43" s="49">
        <f t="shared" si="57"/>
        <v>1</v>
      </c>
      <c r="AF43" s="49">
        <f t="shared" si="57"/>
        <v>1</v>
      </c>
      <c r="AG43" s="49">
        <f t="shared" si="57"/>
        <v>1</v>
      </c>
      <c r="AH43" s="49">
        <f t="shared" si="57"/>
        <v>1</v>
      </c>
      <c r="AI43" s="49">
        <f t="shared" si="57"/>
        <v>1</v>
      </c>
      <c r="AJ43" s="60">
        <f t="shared" ref="AJ43:AW43" si="124">IFERROR(AJ28/$B43,0)</f>
        <v>1.7400957188372825E-6</v>
      </c>
      <c r="AK43" s="60">
        <f t="shared" si="124"/>
        <v>1.6265066463412966E-2</v>
      </c>
      <c r="AL43" s="60">
        <f t="shared" si="124"/>
        <v>5.7051153937054465E-4</v>
      </c>
      <c r="AM43" s="60">
        <f t="shared" si="124"/>
        <v>1.7354101115361351E-10</v>
      </c>
      <c r="AN43" s="60">
        <f>IFERROR(AN28/$B43,0)</f>
        <v>3.4801914376745649E-9</v>
      </c>
      <c r="AO43" s="60">
        <f>IFERROR(AO28/$B43,0)</f>
        <v>9.7689584215426402E-13</v>
      </c>
      <c r="AP43" s="60">
        <f>IFERROR(AP28/$B43,0)</f>
        <v>1.0062027174188918E-12</v>
      </c>
      <c r="AQ43" s="60">
        <f>IFERROR(AQ28/$B43,0)</f>
        <v>9.7689584215426402E-13</v>
      </c>
      <c r="AR43" s="60">
        <f t="shared" si="124"/>
        <v>9.7689584215426402E-13</v>
      </c>
      <c r="AS43" s="60">
        <f t="shared" si="124"/>
        <v>9.7689584215426402E-13</v>
      </c>
      <c r="AT43" s="60">
        <f t="shared" si="124"/>
        <v>9.7689584215426402E-13</v>
      </c>
      <c r="AU43" s="60">
        <f>IFERROR(AU28/$B43,0)</f>
        <v>1.0062027174188918E-12</v>
      </c>
      <c r="AV43" s="60">
        <f t="shared" si="124"/>
        <v>9.7689584215426402E-13</v>
      </c>
      <c r="AW43" s="60">
        <f t="shared" si="124"/>
        <v>1.0062027174188918E-12</v>
      </c>
      <c r="AX43" s="42"/>
      <c r="AY43" s="42"/>
      <c r="AZ43" s="42"/>
      <c r="BA43" s="42"/>
      <c r="BB43" s="42"/>
      <c r="BC43" s="42"/>
      <c r="BD43" s="42"/>
      <c r="BE43" s="42"/>
      <c r="BF43" s="42"/>
      <c r="BG43" s="42"/>
      <c r="BH43" s="42"/>
      <c r="BI43" s="42"/>
      <c r="BJ43" s="42"/>
      <c r="BK43" s="42"/>
      <c r="BL43" s="60">
        <f>IFERROR(BL28/$B43,0)</f>
        <v>1.0953550003345397E-13</v>
      </c>
      <c r="BM43" s="72">
        <f>IFERROR(up_RadSpec!$D$28*BM28,".")*$B$43</f>
        <v>2.87340515</v>
      </c>
      <c r="BN43" s="72">
        <f>IFERROR(up_RadSpec!$G$28*BN28,".")*$B$43</f>
        <v>3.0740728980401774E-4</v>
      </c>
      <c r="BO43" s="72">
        <f>IFERROR(up_RadSpec!$F$28*BO28,".")*$B$43</f>
        <v>8.7640646243835624E-3</v>
      </c>
      <c r="BP43" s="71">
        <f>up_b2s!BZ43</f>
        <v>65975022.265829802</v>
      </c>
      <c r="BQ43" s="72">
        <f>IFERROR(up_RadSpec!$E$28*BQ28,".")*$B$43</f>
        <v>1436.702575</v>
      </c>
      <c r="BR43" s="72">
        <f>IFERROR(up_RadSpec!$E$28*BR28,".")*$B$43</f>
        <v>5118252.9234375004</v>
      </c>
      <c r="BS43" s="72">
        <f>IFERROR(up_RadSpec!$E$28*BS28,".")*$B$43</f>
        <v>4969177.5955703883</v>
      </c>
      <c r="BT43" s="72">
        <f>IFERROR(up_RadSpec!$E$28*BT28,".")*$B$43</f>
        <v>5118252.9234375004</v>
      </c>
      <c r="BU43" s="72">
        <f>IFERROR(up_RadSpec!$E$28*BU28,".")*$B$43</f>
        <v>5118252.9234375004</v>
      </c>
      <c r="BV43" s="72">
        <f>IFERROR(up_RadSpec!$E$28*BV28,".")*$B$43</f>
        <v>5118252.9234375004</v>
      </c>
      <c r="BW43" s="72">
        <f>IFERROR(up_RadSpec!$E$28*BW28,".")*$B$43</f>
        <v>5118252.9234375004</v>
      </c>
      <c r="BX43" s="72">
        <f>IFERROR(up_RadSpec!$E$28*BX28,".")*$B$43</f>
        <v>4969177.5955703883</v>
      </c>
      <c r="BY43" s="72">
        <f>IFERROR(up_RadSpec!$E$28*BY28,".")*$B$43</f>
        <v>5118252.9234375004</v>
      </c>
      <c r="BZ43" s="72">
        <f>IFERROR(up_RadSpec!$E$28*BZ28,".")*$B$43</f>
        <v>4969177.5955703883</v>
      </c>
      <c r="CA43" s="49">
        <f t="shared" si="85"/>
        <v>0.94349381342943939</v>
      </c>
      <c r="CB43" s="49">
        <f t="shared" si="86"/>
        <v>3.0740728980401774E-4</v>
      </c>
      <c r="CC43" s="49">
        <f t="shared" si="87"/>
        <v>8.7640646243835624E-3</v>
      </c>
      <c r="CD43" s="49">
        <f t="shared" si="88"/>
        <v>1</v>
      </c>
      <c r="CE43" s="49">
        <f t="shared" si="63"/>
        <v>1</v>
      </c>
      <c r="CF43" s="49">
        <f t="shared" si="64"/>
        <v>1</v>
      </c>
      <c r="CG43" s="49">
        <f t="shared" si="65"/>
        <v>1</v>
      </c>
      <c r="CH43" s="49">
        <f t="shared" si="66"/>
        <v>1</v>
      </c>
      <c r="CI43" s="49">
        <f t="shared" si="67"/>
        <v>1</v>
      </c>
      <c r="CJ43" s="49">
        <f t="shared" si="68"/>
        <v>1</v>
      </c>
      <c r="CK43" s="49">
        <f t="shared" si="69"/>
        <v>1</v>
      </c>
      <c r="CL43" s="49">
        <f t="shared" si="70"/>
        <v>1</v>
      </c>
      <c r="CM43" s="49">
        <f t="shared" si="71"/>
        <v>1</v>
      </c>
      <c r="CN43" s="49">
        <f t="shared" si="72"/>
        <v>1</v>
      </c>
      <c r="CO43" s="49">
        <f t="shared" si="73"/>
        <v>1</v>
      </c>
      <c r="CP43" s="60">
        <f t="shared" ref="CP43:DC43" si="125">IFERROR(CP28/$B43,0)</f>
        <v>1.9141052907210108E-8</v>
      </c>
      <c r="CQ43" s="60">
        <f t="shared" si="125"/>
        <v>0</v>
      </c>
      <c r="CR43" s="60">
        <f t="shared" si="125"/>
        <v>2.0959452933395071E-4</v>
      </c>
      <c r="CS43" s="60">
        <f t="shared" si="125"/>
        <v>8.6554664380978504E-10</v>
      </c>
      <c r="CT43" s="60">
        <f>IFERROR(CT28/$B43,0)</f>
        <v>6.9603828753491302E-7</v>
      </c>
      <c r="CU43" s="60">
        <f>IFERROR(CU28/$B43,0)</f>
        <v>1.3920765750698258E-7</v>
      </c>
      <c r="CV43" s="60">
        <f>IFERROR(CV28/$B43,0)</f>
        <v>1.4338388723219206E-7</v>
      </c>
      <c r="CW43" s="60">
        <f>IFERROR(CW28/$B43,0)</f>
        <v>1.3920765750698258E-7</v>
      </c>
      <c r="CX43" s="60">
        <f t="shared" si="125"/>
        <v>1.3920765750698258E-7</v>
      </c>
      <c r="CY43" s="60">
        <f t="shared" si="125"/>
        <v>1.3920765750698258E-7</v>
      </c>
      <c r="CZ43" s="60">
        <f t="shared" si="125"/>
        <v>1.3920765750698258E-7</v>
      </c>
      <c r="DA43" s="60">
        <f>IFERROR(DA28/$B43,0)</f>
        <v>1.4338388723219206E-7</v>
      </c>
      <c r="DB43" s="60">
        <f t="shared" si="125"/>
        <v>1.3920765750698258E-7</v>
      </c>
      <c r="DC43" s="60">
        <f t="shared" si="125"/>
        <v>1.4338388723219206E-7</v>
      </c>
      <c r="DD43" s="15"/>
      <c r="DE43" s="15"/>
      <c r="DF43" s="15"/>
      <c r="DG43" s="15"/>
      <c r="DH43" s="15"/>
      <c r="DI43" s="15"/>
      <c r="DJ43" s="15"/>
      <c r="DK43" s="15"/>
      <c r="DL43" s="15"/>
      <c r="DM43" s="15"/>
      <c r="DN43" s="15"/>
      <c r="DO43" s="15"/>
      <c r="DP43" s="15"/>
      <c r="DQ43" s="15"/>
      <c r="DR43" s="60">
        <f>IFERROR(DR28/$B43,0)</f>
        <v>7.8551610601304077E-10</v>
      </c>
      <c r="DS43" s="72">
        <f>IFERROR(up_RadSpec!$H$28*DS28,".")*$B$43</f>
        <v>261.21865000000003</v>
      </c>
      <c r="DT43" s="72">
        <f>IFERROR(up_RadSpec!$G$28*DT28,".")*$B$43</f>
        <v>47.617983072916658</v>
      </c>
      <c r="DU43" s="72">
        <f>IFERROR(up_RadSpec!$L$28*DU28,".")*$B$43</f>
        <v>2.3855584474885842E-2</v>
      </c>
      <c r="DV43" s="71">
        <f>up_b2w!BZ43</f>
        <v>13227908.80974222</v>
      </c>
      <c r="DW43" s="72">
        <f>IFERROR(up_RadSpec!$E$28*DW28,".")*$B$43</f>
        <v>7.1835128749999999</v>
      </c>
      <c r="DX43" s="72">
        <f>IFERROR(up_RadSpec!$E$28*DX28,".")*$B$43</f>
        <v>35.917564374999998</v>
      </c>
      <c r="DY43" s="72">
        <f>IFERROR(up_RadSpec!$E$28*DY28,".")*$B$43</f>
        <v>34.871421723300969</v>
      </c>
      <c r="DZ43" s="72">
        <f>IFERROR(up_RadSpec!$E$28*DZ28,".")*$B$43</f>
        <v>35.917564374999998</v>
      </c>
      <c r="EA43" s="72">
        <f>IFERROR(up_RadSpec!$E$28*EA28,".")*$B$43</f>
        <v>35.917564374999998</v>
      </c>
      <c r="EB43" s="72">
        <f>IFERROR(up_RadSpec!$E$28*EB28,".")*$B$43</f>
        <v>35.917564374999998</v>
      </c>
      <c r="EC43" s="72">
        <f>IFERROR(up_RadSpec!$E$28*EC28,".")*$B$43</f>
        <v>35.917564374999998</v>
      </c>
      <c r="ED43" s="72">
        <f>IFERROR(up_RadSpec!$E$28*ED28,".")*$B$43</f>
        <v>34.871421723300969</v>
      </c>
      <c r="EE43" s="72">
        <f>IFERROR(up_RadSpec!$E$28*EE28,".")*$B$43</f>
        <v>35.917564374999998</v>
      </c>
      <c r="EF43" s="72">
        <f>IFERROR(up_RadSpec!$E$28*EF28,".")*$B$43</f>
        <v>34.871421723300969</v>
      </c>
      <c r="EG43" s="49">
        <f t="shared" si="91"/>
        <v>1</v>
      </c>
      <c r="EH43" s="49">
        <f t="shared" si="92"/>
        <v>1</v>
      </c>
      <c r="EI43" s="49">
        <f t="shared" si="93"/>
        <v>2.3573289247533324E-2</v>
      </c>
      <c r="EJ43" s="49">
        <f t="shared" si="94"/>
        <v>1</v>
      </c>
      <c r="EK43" s="49">
        <f t="shared" si="95"/>
        <v>0.99924100310766706</v>
      </c>
      <c r="EL43" s="49">
        <f t="shared" si="79"/>
        <v>0.99999999999999978</v>
      </c>
      <c r="EM43" s="49">
        <f t="shared" si="79"/>
        <v>0.99999999999999933</v>
      </c>
      <c r="EN43" s="49">
        <f t="shared" si="79"/>
        <v>0.99999999999999978</v>
      </c>
      <c r="EO43" s="49">
        <f t="shared" si="79"/>
        <v>0.99999999999999978</v>
      </c>
      <c r="EP43" s="49">
        <f t="shared" si="79"/>
        <v>0.99999999999999978</v>
      </c>
      <c r="EQ43" s="49">
        <f t="shared" si="79"/>
        <v>0.99999999999999978</v>
      </c>
      <c r="ER43" s="49">
        <f t="shared" si="79"/>
        <v>0.99999999999999933</v>
      </c>
      <c r="ES43" s="49">
        <f t="shared" si="79"/>
        <v>0.99999999999999978</v>
      </c>
      <c r="ET43" s="49">
        <f t="shared" si="79"/>
        <v>0.99999999999999933</v>
      </c>
      <c r="EU43" s="49">
        <f t="shared" si="80"/>
        <v>1</v>
      </c>
      <c r="EV43" s="60">
        <f>IFERROR(EV28/$B43,0)</f>
        <v>5.2501173688347737E-8</v>
      </c>
      <c r="EW43" s="60">
        <f>IFERROR(EW28/$B43,0)</f>
        <v>8.3837811733580286E-5</v>
      </c>
      <c r="EX43" s="60">
        <f>IFERROR(EX28/$B43,0)</f>
        <v>5.2468316816759942E-8</v>
      </c>
      <c r="EY43" s="72">
        <f>IFERROR(up_RadSpec!$G$28*EY28,".")*$B$43</f>
        <v>95.235966145833316</v>
      </c>
      <c r="EZ43" s="72">
        <f>IFERROR(up_RadSpec!$J$28*EZ28,".")*$B$43</f>
        <v>5.9638961187214602E-2</v>
      </c>
      <c r="FA43" s="49">
        <f t="shared" si="97"/>
        <v>1</v>
      </c>
      <c r="FB43" s="49">
        <f t="shared" si="97"/>
        <v>5.7895391480191183E-2</v>
      </c>
      <c r="FC43" s="49">
        <f t="shared" si="98"/>
        <v>1</v>
      </c>
    </row>
    <row r="44" spans="1:159" x14ac:dyDescent="0.25">
      <c r="A44" s="83" t="s">
        <v>1089</v>
      </c>
      <c r="B44" s="42">
        <v>0.99987999999999999</v>
      </c>
      <c r="C44" s="60">
        <f t="shared" ref="C44:M44" si="126">IFERROR(C15/$B44,0)</f>
        <v>1.8184000261849604E-11</v>
      </c>
      <c r="D44" s="60">
        <f t="shared" si="126"/>
        <v>7.2736001047398416E-11</v>
      </c>
      <c r="E44" s="60">
        <f t="shared" si="126"/>
        <v>7.2736001047398416E-11</v>
      </c>
      <c r="F44" s="60">
        <f t="shared" si="126"/>
        <v>7.2736001047398416E-11</v>
      </c>
      <c r="G44" s="60">
        <f t="shared" si="126"/>
        <v>7.2736001047398416E-11</v>
      </c>
      <c r="H44" s="60">
        <f t="shared" si="126"/>
        <v>7.2736001047398416E-11</v>
      </c>
      <c r="I44" s="60">
        <f t="shared" si="126"/>
        <v>7.2736001047398416E-11</v>
      </c>
      <c r="J44" s="60">
        <f t="shared" si="126"/>
        <v>7.2736001047398416E-11</v>
      </c>
      <c r="K44" s="60">
        <f t="shared" si="126"/>
        <v>7.2736001047398416E-11</v>
      </c>
      <c r="L44" s="60">
        <f t="shared" si="126"/>
        <v>7.2736001047398416E-11</v>
      </c>
      <c r="M44" s="60">
        <f t="shared" si="126"/>
        <v>7.2736001047398416E-11</v>
      </c>
      <c r="N44" s="71">
        <f>up_dir!BA44</f>
        <v>275033.00396047527</v>
      </c>
      <c r="O44" s="71">
        <f>IFERROR(up_RadSpec!$E$15*O15,".")*$B$44</f>
        <v>68741.75</v>
      </c>
      <c r="P44" s="71">
        <f>IFERROR(up_RadSpec!$E$15*P15,".")*$B$44</f>
        <v>68741.75</v>
      </c>
      <c r="Q44" s="71">
        <f>IFERROR(up_RadSpec!$E$15*Q15,".")*$B$44</f>
        <v>68741.75</v>
      </c>
      <c r="R44" s="71">
        <f>IFERROR(up_RadSpec!$E$15*R15,".")*$B$44</f>
        <v>68741.75</v>
      </c>
      <c r="S44" s="71">
        <f>IFERROR(up_RadSpec!$E$15*S15,".")*$B$44</f>
        <v>68741.75</v>
      </c>
      <c r="T44" s="71">
        <f>IFERROR(up_RadSpec!$E$15*T15,".")*$B$44</f>
        <v>68741.75</v>
      </c>
      <c r="U44" s="71">
        <f>IFERROR(up_RadSpec!$E$15*U15,".")*$B$44</f>
        <v>68741.75</v>
      </c>
      <c r="V44" s="71">
        <f>IFERROR(up_RadSpec!$E$15*V15,".")*$B$44</f>
        <v>68741.75</v>
      </c>
      <c r="W44" s="71">
        <f>IFERROR(up_RadSpec!$E$15*W15,".")*$B$44</f>
        <v>68741.75</v>
      </c>
      <c r="X44" s="71">
        <f>IFERROR(up_RadSpec!$E$15*X15,".")*$B$44</f>
        <v>68741.75</v>
      </c>
      <c r="Y44" s="49">
        <f t="shared" si="82"/>
        <v>1</v>
      </c>
      <c r="Z44" s="49">
        <f t="shared" si="57"/>
        <v>1</v>
      </c>
      <c r="AA44" s="49">
        <f t="shared" si="57"/>
        <v>1</v>
      </c>
      <c r="AB44" s="49">
        <f t="shared" si="57"/>
        <v>1</v>
      </c>
      <c r="AC44" s="49">
        <f t="shared" si="57"/>
        <v>1</v>
      </c>
      <c r="AD44" s="49">
        <f t="shared" si="57"/>
        <v>1</v>
      </c>
      <c r="AE44" s="49">
        <f t="shared" si="57"/>
        <v>1</v>
      </c>
      <c r="AF44" s="49">
        <f t="shared" si="57"/>
        <v>1</v>
      </c>
      <c r="AG44" s="49">
        <f t="shared" si="57"/>
        <v>1</v>
      </c>
      <c r="AH44" s="49">
        <f t="shared" si="57"/>
        <v>1</v>
      </c>
      <c r="AI44" s="49">
        <f t="shared" si="57"/>
        <v>1</v>
      </c>
      <c r="AJ44" s="60">
        <f t="shared" ref="AJ44:AW44" si="127">IFERROR(AJ15/$B44,0)</f>
        <v>3.6368000523699208E-8</v>
      </c>
      <c r="AK44" s="60">
        <f t="shared" si="127"/>
        <v>3.3993988908533095E-4</v>
      </c>
      <c r="AL44" s="60">
        <f t="shared" si="127"/>
        <v>0</v>
      </c>
      <c r="AM44" s="60">
        <f t="shared" si="127"/>
        <v>3.6270071331105223E-12</v>
      </c>
      <c r="AN44" s="60">
        <f>IFERROR(AN15/$B44,0)</f>
        <v>7.2736001047398416E-11</v>
      </c>
      <c r="AO44" s="60">
        <f>IFERROR(AO15/$B44,0)</f>
        <v>2.0417123101024115E-14</v>
      </c>
      <c r="AP44" s="60">
        <f>IFERROR(AP15/$B44,0)</f>
        <v>2.1029636794054837E-14</v>
      </c>
      <c r="AQ44" s="60">
        <f>IFERROR(AQ15/$B44,0)</f>
        <v>2.0417123101024115E-14</v>
      </c>
      <c r="AR44" s="60">
        <f t="shared" si="127"/>
        <v>2.0417123101024115E-14</v>
      </c>
      <c r="AS44" s="60">
        <f t="shared" si="127"/>
        <v>2.0417123101024115E-14</v>
      </c>
      <c r="AT44" s="60">
        <f t="shared" si="127"/>
        <v>2.0417123101024115E-14</v>
      </c>
      <c r="AU44" s="60">
        <f>IFERROR(AU15/$B44,0)</f>
        <v>2.1029636794054837E-14</v>
      </c>
      <c r="AV44" s="60">
        <f t="shared" si="127"/>
        <v>2.0417123101024115E-14</v>
      </c>
      <c r="AW44" s="60">
        <f t="shared" si="127"/>
        <v>2.1029636794054837E-14</v>
      </c>
      <c r="AX44" s="42"/>
      <c r="AY44" s="42"/>
      <c r="AZ44" s="42"/>
      <c r="BA44" s="42"/>
      <c r="BB44" s="42"/>
      <c r="BC44" s="42"/>
      <c r="BD44" s="42"/>
      <c r="BE44" s="42"/>
      <c r="BF44" s="42"/>
      <c r="BG44" s="42"/>
      <c r="BH44" s="42"/>
      <c r="BI44" s="42"/>
      <c r="BJ44" s="42"/>
      <c r="BK44" s="42"/>
      <c r="BL44" s="60">
        <f>IFERROR(BL15/$B44,0)</f>
        <v>2.2892919511387213E-15</v>
      </c>
      <c r="BM44" s="71">
        <f>IFERROR(up_RadSpec!$D$15*BM15,".")*$B$44</f>
        <v>137.48349999999999</v>
      </c>
      <c r="BN44" s="71">
        <f>IFERROR(up_RadSpec!$G$15*BN15,".")*$B$44</f>
        <v>1.4708482765742477E-2</v>
      </c>
      <c r="BO44" s="71">
        <f>IFERROR(up_RadSpec!$F$15*BO15,".")*$B$44</f>
        <v>0</v>
      </c>
      <c r="BP44" s="71">
        <f>up_b2s!BZ44</f>
        <v>1378877.9653558426</v>
      </c>
      <c r="BQ44" s="71">
        <f>IFERROR(up_RadSpec!$E$15*BQ15,".")*$B$44</f>
        <v>68741.75</v>
      </c>
      <c r="BR44" s="71">
        <f>IFERROR(up_RadSpec!$E$15*BR15,".")*$B$44</f>
        <v>244892484.375</v>
      </c>
      <c r="BS44" s="71">
        <f>IFERROR(up_RadSpec!$E$15*BS15,".")*$B$44</f>
        <v>237759693.56796113</v>
      </c>
      <c r="BT44" s="71">
        <f>IFERROR(up_RadSpec!$E$15*BT15,".")*$B$44</f>
        <v>244892484.375</v>
      </c>
      <c r="BU44" s="71">
        <f>IFERROR(up_RadSpec!$E$15*BU15,".")*$B$44</f>
        <v>244892484.375</v>
      </c>
      <c r="BV44" s="71">
        <f>IFERROR(up_RadSpec!$E$15*BV15,".")*$B$44</f>
        <v>244892484.375</v>
      </c>
      <c r="BW44" s="71">
        <f>IFERROR(up_RadSpec!$E$15*BW15,".")*$B$44</f>
        <v>244892484.375</v>
      </c>
      <c r="BX44" s="71">
        <f>IFERROR(up_RadSpec!$E$15*BX15,".")*$B$44</f>
        <v>237759693.56796113</v>
      </c>
      <c r="BY44" s="71">
        <f>IFERROR(up_RadSpec!$E$15*BY15,".")*$B$44</f>
        <v>244892484.375</v>
      </c>
      <c r="BZ44" s="71">
        <f>IFERROR(up_RadSpec!$E$15*BZ15,".")*$B$44</f>
        <v>237759693.56796113</v>
      </c>
      <c r="CA44" s="49">
        <f t="shared" si="85"/>
        <v>1</v>
      </c>
      <c r="CB44" s="49">
        <f t="shared" si="86"/>
        <v>1.4600841426264277E-2</v>
      </c>
      <c r="CC44" s="49">
        <f t="shared" si="87"/>
        <v>0</v>
      </c>
      <c r="CD44" s="49">
        <f t="shared" si="88"/>
        <v>1</v>
      </c>
      <c r="CE44" s="49">
        <f t="shared" si="63"/>
        <v>1</v>
      </c>
      <c r="CF44" s="49">
        <f t="shared" si="64"/>
        <v>1</v>
      </c>
      <c r="CG44" s="49">
        <f t="shared" si="65"/>
        <v>1</v>
      </c>
      <c r="CH44" s="49">
        <f t="shared" si="66"/>
        <v>1</v>
      </c>
      <c r="CI44" s="49">
        <f t="shared" si="67"/>
        <v>1</v>
      </c>
      <c r="CJ44" s="49">
        <f t="shared" si="68"/>
        <v>1</v>
      </c>
      <c r="CK44" s="49">
        <f t="shared" si="69"/>
        <v>1</v>
      </c>
      <c r="CL44" s="49">
        <f t="shared" si="70"/>
        <v>1</v>
      </c>
      <c r="CM44" s="49">
        <f t="shared" si="71"/>
        <v>1</v>
      </c>
      <c r="CN44" s="49">
        <f t="shared" si="72"/>
        <v>1</v>
      </c>
      <c r="CO44" s="49">
        <f t="shared" si="73"/>
        <v>1</v>
      </c>
      <c r="CP44" s="60">
        <f t="shared" ref="CP44:DC44" si="128">IFERROR(CP15/$B44,0)</f>
        <v>4.0004800576069125E-10</v>
      </c>
      <c r="CQ44" s="60">
        <f t="shared" si="128"/>
        <v>0</v>
      </c>
      <c r="CR44" s="60">
        <f t="shared" si="128"/>
        <v>4.3805256630795697E-6</v>
      </c>
      <c r="CS44" s="60">
        <f t="shared" si="128"/>
        <v>1.8089924855624508E-11</v>
      </c>
      <c r="CT44" s="60">
        <f>IFERROR(CT15/$B44,0)</f>
        <v>1.4547200209479682E-8</v>
      </c>
      <c r="CU44" s="60">
        <f>IFERROR(CU15/$B44,0)</f>
        <v>2.9094400418959364E-9</v>
      </c>
      <c r="CV44" s="60">
        <f>IFERROR(CV15/$B44,0)</f>
        <v>2.9967232431528141E-9</v>
      </c>
      <c r="CW44" s="60">
        <f>IFERROR(CW15/$B44,0)</f>
        <v>2.9094400418959364E-9</v>
      </c>
      <c r="CX44" s="60">
        <f t="shared" si="128"/>
        <v>2.9094400418959364E-9</v>
      </c>
      <c r="CY44" s="60">
        <f t="shared" si="128"/>
        <v>2.9094400418959364E-9</v>
      </c>
      <c r="CZ44" s="60">
        <f t="shared" si="128"/>
        <v>2.9094400418959364E-9</v>
      </c>
      <c r="DA44" s="60">
        <f>IFERROR(DA15/$B44,0)</f>
        <v>2.9967232431528141E-9</v>
      </c>
      <c r="DB44" s="60">
        <f t="shared" si="128"/>
        <v>2.9094400418959364E-9</v>
      </c>
      <c r="DC44" s="60">
        <f t="shared" si="128"/>
        <v>2.9967232431528141E-9</v>
      </c>
      <c r="DD44" s="15"/>
      <c r="DE44" s="15"/>
      <c r="DF44" s="15"/>
      <c r="DG44" s="15"/>
      <c r="DH44" s="15"/>
      <c r="DI44" s="15"/>
      <c r="DJ44" s="15"/>
      <c r="DK44" s="15"/>
      <c r="DL44" s="15"/>
      <c r="DM44" s="15"/>
      <c r="DN44" s="15"/>
      <c r="DO44" s="15"/>
      <c r="DP44" s="15"/>
      <c r="DQ44" s="15"/>
      <c r="DR44" s="60">
        <f>IFERROR(DR15/$B44,0)</f>
        <v>1.6417286615672553E-11</v>
      </c>
      <c r="DS44" s="71">
        <f>IFERROR(up_RadSpec!$H$15*DS15,".")*$B$44</f>
        <v>12498.5</v>
      </c>
      <c r="DT44" s="71">
        <f>IFERROR(up_RadSpec!$G$15*DT15,".")*$B$44</f>
        <v>2278.372395833333</v>
      </c>
      <c r="DU44" s="71">
        <f>IFERROR(up_RadSpec!$L$15*DU15,".")*$B$44</f>
        <v>1.1414155251141551</v>
      </c>
      <c r="DV44" s="71">
        <f>up_b2w!BZ44</f>
        <v>276463.29412361246</v>
      </c>
      <c r="DW44" s="71">
        <f>IFERROR(up_RadSpec!$E$15*DW15,".")*$B$44</f>
        <v>343.70875000000001</v>
      </c>
      <c r="DX44" s="71">
        <f>IFERROR(up_RadSpec!$E$15*DX15,".")*$B$44</f>
        <v>1718.54375</v>
      </c>
      <c r="DY44" s="71">
        <f>IFERROR(up_RadSpec!$E$15*DY15,".")*$B$44</f>
        <v>1668.4890776699028</v>
      </c>
      <c r="DZ44" s="71">
        <f>IFERROR(up_RadSpec!$E$15*DZ15,".")*$B$44</f>
        <v>1718.54375</v>
      </c>
      <c r="EA44" s="71">
        <f>IFERROR(up_RadSpec!$E$15*EA15,".")*$B$44</f>
        <v>1718.54375</v>
      </c>
      <c r="EB44" s="71">
        <f>IFERROR(up_RadSpec!$E$15*EB15,".")*$B$44</f>
        <v>1718.54375</v>
      </c>
      <c r="EC44" s="71">
        <f>IFERROR(up_RadSpec!$E$15*EC15,".")*$B$44</f>
        <v>1718.54375</v>
      </c>
      <c r="ED44" s="71">
        <f>IFERROR(up_RadSpec!$E$15*ED15,".")*$B$44</f>
        <v>1668.4890776699028</v>
      </c>
      <c r="EE44" s="71">
        <f>IFERROR(up_RadSpec!$E$15*EE15,".")*$B$44</f>
        <v>1718.54375</v>
      </c>
      <c r="EF44" s="71">
        <f>IFERROR(up_RadSpec!$E$15*EF15,".")*$B$44</f>
        <v>1668.4890776699028</v>
      </c>
      <c r="EG44" s="49">
        <f t="shared" si="91"/>
        <v>1</v>
      </c>
      <c r="EH44" s="49">
        <f t="shared" si="92"/>
        <v>1</v>
      </c>
      <c r="EI44" s="49">
        <f t="shared" si="93"/>
        <v>0.68063336977969024</v>
      </c>
      <c r="EJ44" s="49">
        <f t="shared" si="94"/>
        <v>1</v>
      </c>
      <c r="EK44" s="49">
        <f t="shared" si="95"/>
        <v>1</v>
      </c>
      <c r="EL44" s="49">
        <f t="shared" si="79"/>
        <v>1</v>
      </c>
      <c r="EM44" s="49">
        <f t="shared" si="79"/>
        <v>1</v>
      </c>
      <c r="EN44" s="49">
        <f t="shared" si="79"/>
        <v>1</v>
      </c>
      <c r="EO44" s="49">
        <f t="shared" si="79"/>
        <v>1</v>
      </c>
      <c r="EP44" s="49">
        <f t="shared" si="79"/>
        <v>1</v>
      </c>
      <c r="EQ44" s="49">
        <f t="shared" si="79"/>
        <v>1</v>
      </c>
      <c r="ER44" s="49">
        <f t="shared" si="79"/>
        <v>1</v>
      </c>
      <c r="ES44" s="49">
        <f t="shared" si="79"/>
        <v>1</v>
      </c>
      <c r="ET44" s="49">
        <f t="shared" si="79"/>
        <v>1</v>
      </c>
      <c r="EU44" s="49">
        <f t="shared" si="80"/>
        <v>1</v>
      </c>
      <c r="EV44" s="60">
        <f>IFERROR(EV15/$B44,0)</f>
        <v>1.0972745300864677E-9</v>
      </c>
      <c r="EW44" s="60">
        <f>IFERROR(EW15/$B44,0)</f>
        <v>1.752210265231828E-6</v>
      </c>
      <c r="EX44" s="60">
        <f>IFERROR(EX15/$B44,0)</f>
        <v>1.0965878214702828E-9</v>
      </c>
      <c r="EY44" s="71">
        <f>IFERROR(up_RadSpec!$G$15*EY15,".")*$B$44</f>
        <v>4556.7447916666661</v>
      </c>
      <c r="EZ44" s="71">
        <f>IFERROR(up_RadSpec!$J$15*EZ15,".")*$B$44</f>
        <v>2.8535388127853878</v>
      </c>
      <c r="FA44" s="49">
        <f t="shared" si="97"/>
        <v>1</v>
      </c>
      <c r="FB44" s="49">
        <f t="shared" si="97"/>
        <v>0.94236001757642607</v>
      </c>
      <c r="FC44" s="49">
        <f t="shared" si="98"/>
        <v>1</v>
      </c>
    </row>
    <row r="45" spans="1:159" x14ac:dyDescent="0.25">
      <c r="A45" s="82" t="s">
        <v>20</v>
      </c>
      <c r="B45" s="82" t="s">
        <v>1074</v>
      </c>
      <c r="C45" s="58">
        <f>IFERROR(IF(AND(C46&lt;&gt;0,C47&lt;&gt;0),1/SUM(1/C46,1/C47),IF(AND(C46&lt;&gt;0,C47=0),1/(1/C46),IF(AND(C46=0,C47&lt;&gt;0),1/(1/C47),IF(AND(C46=0,C47=0),".")))),".")</f>
        <v>9.352835241857304E-12</v>
      </c>
      <c r="D45" s="58">
        <f t="shared" ref="D45:M45" si="129">IFERROR(IF(AND(D46&lt;&gt;0,D47&lt;&gt;0),1/SUM(1/D46,1/D47),IF(AND(D46&lt;&gt;0,D47=0),1/(1/D46),IF(AND(D46=0,D47&lt;&gt;0),1/(1/D47),IF(AND(D46=0,D47=0),".")))),".")</f>
        <v>3.7411340967429216E-11</v>
      </c>
      <c r="E45" s="58">
        <f t="shared" si="129"/>
        <v>3.7411340967429216E-11</v>
      </c>
      <c r="F45" s="58">
        <f t="shared" si="129"/>
        <v>3.7411340967429216E-11</v>
      </c>
      <c r="G45" s="58">
        <f t="shared" si="129"/>
        <v>3.7411340967429216E-11</v>
      </c>
      <c r="H45" s="58">
        <f t="shared" si="129"/>
        <v>3.7411340967429216E-11</v>
      </c>
      <c r="I45" s="58">
        <f t="shared" si="129"/>
        <v>3.7411340967429216E-11</v>
      </c>
      <c r="J45" s="58">
        <f t="shared" si="129"/>
        <v>3.7411340967429216E-11</v>
      </c>
      <c r="K45" s="58">
        <f t="shared" si="129"/>
        <v>3.7411340967429216E-11</v>
      </c>
      <c r="L45" s="58">
        <f t="shared" si="129"/>
        <v>3.7411340967429216E-11</v>
      </c>
      <c r="M45" s="58">
        <f t="shared" si="129"/>
        <v>3.7411340967429216E-11</v>
      </c>
      <c r="N45" s="73"/>
      <c r="O45" s="70"/>
      <c r="P45" s="70"/>
      <c r="Q45" s="70"/>
      <c r="R45" s="70"/>
      <c r="S45" s="70"/>
      <c r="T45" s="70"/>
      <c r="U45" s="70"/>
      <c r="V45" s="70"/>
      <c r="W45" s="70"/>
      <c r="X45" s="70"/>
      <c r="Y45" s="47">
        <f>IFERROR(IF(SUM(N46:N47)&gt;0.01,1-EXP(-SUM(N46:N47)),SUM(N46:N47)),".")</f>
        <v>1</v>
      </c>
      <c r="Z45" s="47">
        <f t="shared" ref="Z45:AI45" si="130">IFERROR(IF(SUM(O46:O47)&gt;0.01,1-EXP(-SUM(O46:O47)),SUM(O46:O47)),".")</f>
        <v>1</v>
      </c>
      <c r="AA45" s="47">
        <f t="shared" si="130"/>
        <v>1</v>
      </c>
      <c r="AB45" s="47">
        <f t="shared" si="130"/>
        <v>1</v>
      </c>
      <c r="AC45" s="47">
        <f t="shared" si="130"/>
        <v>1</v>
      </c>
      <c r="AD45" s="47">
        <f t="shared" si="130"/>
        <v>1</v>
      </c>
      <c r="AE45" s="47">
        <f t="shared" si="130"/>
        <v>1</v>
      </c>
      <c r="AF45" s="47">
        <f t="shared" si="130"/>
        <v>1</v>
      </c>
      <c r="AG45" s="47">
        <f t="shared" si="130"/>
        <v>1</v>
      </c>
      <c r="AH45" s="47">
        <f t="shared" si="130"/>
        <v>1</v>
      </c>
      <c r="AI45" s="47">
        <f t="shared" si="130"/>
        <v>1</v>
      </c>
      <c r="AJ45" s="58">
        <f t="shared" ref="AJ45:AW45" si="131">IFERROR(IF(AND(AJ46&lt;&gt;0,AJ47&lt;&gt;0),1/SUM(1/AJ46,1/AJ47),IF(AND(AJ46&lt;&gt;0,AJ47=0),1/(1/AJ46),IF(AND(AJ46=0,AJ47&lt;&gt;0),1/(1/AJ47),IF(AND(AJ46=0,AJ47=0),".")))),".")</f>
        <v>1.8705670483714608E-8</v>
      </c>
      <c r="AK45" s="58">
        <f t="shared" si="131"/>
        <v>1.7484611355955573E-4</v>
      </c>
      <c r="AL45" s="58">
        <f>IFERROR(IF(AND(AL46&lt;&gt;0,AL47&lt;&gt;0),1/SUM(1/AL46,1/AL47),IF(AND(AL46&lt;&gt;0,AL47=0),1/(1/AL46),IF(AND(AL46=0,AL47&lt;&gt;0),1/(1/AL47),IF(AND(AL46=0,AL47=0),".")))),".")</f>
        <v>1.0825479616878751E-5</v>
      </c>
      <c r="AM45" s="58">
        <f t="shared" si="131"/>
        <v>1.8655301170554114E-12</v>
      </c>
      <c r="AN45" s="58">
        <f>IFERROR(IF(AND(AN46&lt;&gt;0,AN47&lt;&gt;0),1/SUM(1/AN46,1/AN47),IF(AND(AN46&lt;&gt;0,AN47=0),1/(1/AN46),IF(AND(AN46=0,AN47&lt;&gt;0),1/(1/AN47),IF(AND(AN46=0,AN47=0),".")))),".")</f>
        <v>3.7411340967429216E-11</v>
      </c>
      <c r="AO45" s="58">
        <f>IFERROR(IF(AND(AO46&lt;&gt;0,AO47&lt;&gt;0),1/SUM(1/AO46,1/AO47),IF(AND(AO46&lt;&gt;0,AO47=0),1/(1/AO46),IF(AND(AO46=0,AO47&lt;&gt;0),1/(1/AO47),IF(AND(AO46=0,AO47=0),".")))),".")</f>
        <v>1.0501429043488904E-14</v>
      </c>
      <c r="AP45" s="58">
        <f>IFERROR(IF(AND(AP46&lt;&gt;0,AP47&lt;&gt;0),1/SUM(1/AP46,1/AP47),IF(AND(AP46&lt;&gt;0,AP47=0),1/(1/AP46),IF(AND(AP46=0,AP47&lt;&gt;0),1/(1/AP47),IF(AND(AP46=0,AP47=0),".")))),".")</f>
        <v>1.0816471914793569E-14</v>
      </c>
      <c r="AQ45" s="58">
        <f>IFERROR(IF(AND(AQ46&lt;&gt;0,AQ47&lt;&gt;0),1/SUM(1/AQ46,1/AQ47),IF(AND(AQ46&lt;&gt;0,AQ47=0),1/(1/AQ46),IF(AND(AQ46=0,AQ47&lt;&gt;0),1/(1/AQ47),IF(AND(AQ46=0,AQ47=0),".")))),".")</f>
        <v>1.0501429043488904E-14</v>
      </c>
      <c r="AR45" s="58">
        <f t="shared" si="131"/>
        <v>1.0501429043488904E-14</v>
      </c>
      <c r="AS45" s="58">
        <f t="shared" si="131"/>
        <v>1.0501429043488904E-14</v>
      </c>
      <c r="AT45" s="58">
        <f t="shared" si="131"/>
        <v>1.0501429043488904E-14</v>
      </c>
      <c r="AU45" s="58">
        <f>IFERROR(IF(AND(AU46&lt;&gt;0,AU47&lt;&gt;0),1/SUM(1/AU46,1/AU47),IF(AND(AU46&lt;&gt;0,AU47=0),1/(1/AU46),IF(AND(AU46=0,AU47&lt;&gt;0),1/(1/AU47),IF(AND(AU46=0,AU47=0),".")))),".")</f>
        <v>1.0816471914793569E-14</v>
      </c>
      <c r="AV45" s="58">
        <f t="shared" si="131"/>
        <v>1.0501429043488904E-14</v>
      </c>
      <c r="AW45" s="58">
        <f t="shared" si="131"/>
        <v>1.0816471914793569E-14</v>
      </c>
      <c r="AX45" s="42"/>
      <c r="AY45" s="42"/>
      <c r="AZ45" s="42"/>
      <c r="BA45" s="42"/>
      <c r="BB45" s="42"/>
      <c r="BC45" s="42"/>
      <c r="BD45" s="42"/>
      <c r="BE45" s="42"/>
      <c r="BF45" s="42"/>
      <c r="BG45" s="42"/>
      <c r="BH45" s="42"/>
      <c r="BI45" s="42"/>
      <c r="BJ45" s="42"/>
      <c r="BK45" s="42"/>
      <c r="BL45" s="59">
        <f t="shared" ref="BL45" si="132">IFERROR(IF(AND(BL46&lt;&gt;0,BL47&lt;&gt;0),1/SUM(1/BL46,1/BL47),IF(AND(BL46&lt;&gt;0,BL47=0),1/(1/BL46),IF(AND(BL46=0,BL47&lt;&gt;0),1/(1/BL47),IF(AND(BL46=0,BL47=0),".")))),".")</f>
        <v>1.1774840590001023E-15</v>
      </c>
      <c r="BM45" s="70"/>
      <c r="BN45" s="70"/>
      <c r="BO45" s="70"/>
      <c r="BP45" s="73"/>
      <c r="BQ45" s="70"/>
      <c r="BR45" s="70"/>
      <c r="BS45" s="70"/>
      <c r="BT45" s="70"/>
      <c r="BU45" s="70"/>
      <c r="BV45" s="70"/>
      <c r="BW45" s="70"/>
      <c r="BX45" s="70"/>
      <c r="BY45" s="70"/>
      <c r="BZ45" s="70"/>
      <c r="CA45" s="47">
        <f t="shared" ref="CA45:CN45" si="133">IFERROR(IF(SUM(BM46:BM47)&gt;0.01,1-EXP(-SUM(BM46:BM47)),SUM(BM46:BM47)),".")</f>
        <v>1</v>
      </c>
      <c r="CB45" s="47">
        <f t="shared" si="133"/>
        <v>2.8191562786485047E-2</v>
      </c>
      <c r="CC45" s="47">
        <f t="shared" si="133"/>
        <v>0.36989783147727617</v>
      </c>
      <c r="CD45" s="47">
        <f t="shared" si="133"/>
        <v>1</v>
      </c>
      <c r="CE45" s="47">
        <f t="shared" si="133"/>
        <v>1</v>
      </c>
      <c r="CF45" s="47">
        <f t="shared" si="133"/>
        <v>1</v>
      </c>
      <c r="CG45" s="47">
        <f t="shared" si="133"/>
        <v>1</v>
      </c>
      <c r="CH45" s="47">
        <f t="shared" si="133"/>
        <v>1</v>
      </c>
      <c r="CI45" s="47">
        <f t="shared" si="133"/>
        <v>1</v>
      </c>
      <c r="CJ45" s="47">
        <f t="shared" si="133"/>
        <v>1</v>
      </c>
      <c r="CK45" s="47">
        <f t="shared" si="133"/>
        <v>1</v>
      </c>
      <c r="CL45" s="47">
        <f t="shared" si="133"/>
        <v>1</v>
      </c>
      <c r="CM45" s="47">
        <f t="shared" si="133"/>
        <v>1</v>
      </c>
      <c r="CN45" s="47">
        <f t="shared" si="133"/>
        <v>1</v>
      </c>
      <c r="CO45" s="47">
        <f>IFERROR(IF(SUM(BM46:BZ47)&gt;0.01,1-EXP(-SUM(BM46:BZ47)),SUM(BM46:BZ47)),".")</f>
        <v>1</v>
      </c>
      <c r="CP45" s="59">
        <f t="shared" ref="CP45:DC45" si="134">IFERROR(IF(AND(CP46&lt;&gt;0,CP47&lt;&gt;0),1/SUM(1/CP46,1/CP47),IF(AND(CP46&lt;&gt;0,CP47=0),1/(1/CP46),IF(AND(CP46=0,CP47&lt;&gt;0),1/(1/CP47),IF(AND(CP46=0,CP47=0),".")))),".")</f>
        <v>2.057623753208607E-10</v>
      </c>
      <c r="CQ45" s="59" t="str">
        <f t="shared" si="134"/>
        <v>.</v>
      </c>
      <c r="CR45" s="59">
        <f t="shared" si="134"/>
        <v>2.2530980097634248E-6</v>
      </c>
      <c r="CS45" s="59">
        <f t="shared" si="134"/>
        <v>9.3044481014006415E-12</v>
      </c>
      <c r="CT45" s="59">
        <f t="shared" si="134"/>
        <v>7.4822681934858434E-9</v>
      </c>
      <c r="CU45" s="59">
        <f t="shared" si="134"/>
        <v>1.4964536386971684E-9</v>
      </c>
      <c r="CV45" s="59">
        <f t="shared" si="134"/>
        <v>1.5413472478580834E-9</v>
      </c>
      <c r="CW45" s="59">
        <f t="shared" si="134"/>
        <v>1.4964536386971684E-9</v>
      </c>
      <c r="CX45" s="59">
        <f t="shared" si="134"/>
        <v>1.4964536386971684E-9</v>
      </c>
      <c r="CY45" s="59">
        <f t="shared" si="134"/>
        <v>1.4964536386971684E-9</v>
      </c>
      <c r="CZ45" s="59">
        <f t="shared" si="134"/>
        <v>1.4964536386971684E-9</v>
      </c>
      <c r="DA45" s="59">
        <f t="shared" si="134"/>
        <v>1.5413472478580834E-9</v>
      </c>
      <c r="DB45" s="59">
        <f t="shared" si="134"/>
        <v>1.4964536386971684E-9</v>
      </c>
      <c r="DC45" s="59">
        <f t="shared" si="134"/>
        <v>1.5413472478580834E-9</v>
      </c>
      <c r="DD45" s="15"/>
      <c r="DE45" s="15"/>
      <c r="DF45" s="15"/>
      <c r="DG45" s="15"/>
      <c r="DH45" s="15"/>
      <c r="DI45" s="15"/>
      <c r="DJ45" s="15"/>
      <c r="DK45" s="15"/>
      <c r="DL45" s="15"/>
      <c r="DM45" s="15"/>
      <c r="DN45" s="15"/>
      <c r="DO45" s="15"/>
      <c r="DP45" s="15"/>
      <c r="DQ45" s="15"/>
      <c r="DR45" s="59">
        <f>IFERROR(IF(AND(DR46&lt;&gt;0,DR47&lt;&gt;0),1/SUM(1/DR46,1/DR47),IF(AND(DR46&lt;&gt;0,DR47=0),1/(1/DR46),IF(AND(DR46=0,DR47&lt;&gt;0),1/(1/DR47),IF(AND(DR46=0,DR47=0),".")))),".")</f>
        <v>8.4441363079432881E-12</v>
      </c>
      <c r="DS45" s="70"/>
      <c r="DT45" s="70"/>
      <c r="DU45" s="70"/>
      <c r="DV45" s="73"/>
      <c r="DW45" s="70"/>
      <c r="DX45" s="70"/>
      <c r="DY45" s="70"/>
      <c r="DZ45" s="70"/>
      <c r="EA45" s="70"/>
      <c r="EB45" s="70"/>
      <c r="EC45" s="70"/>
      <c r="ED45" s="70"/>
      <c r="EE45" s="70"/>
      <c r="EF45" s="70"/>
      <c r="EG45" s="47">
        <f t="shared" ref="EG45:ET45" si="135">IFERROR(IF(SUM(DS46:DS47)&gt;0.01,1-EXP(-SUM(DS46:DS47)),SUM(DS46:DS47)),".")</f>
        <v>1</v>
      </c>
      <c r="EH45" s="47">
        <f t="shared" si="135"/>
        <v>1</v>
      </c>
      <c r="EI45" s="47">
        <f t="shared" si="135"/>
        <v>0.89130034586238083</v>
      </c>
      <c r="EJ45" s="47">
        <f t="shared" si="135"/>
        <v>1</v>
      </c>
      <c r="EK45" s="47">
        <f t="shared" si="135"/>
        <v>1</v>
      </c>
      <c r="EL45" s="47">
        <f t="shared" si="135"/>
        <v>1</v>
      </c>
      <c r="EM45" s="47">
        <f t="shared" si="135"/>
        <v>1</v>
      </c>
      <c r="EN45" s="47">
        <f t="shared" si="135"/>
        <v>1</v>
      </c>
      <c r="EO45" s="47">
        <f t="shared" si="135"/>
        <v>1</v>
      </c>
      <c r="EP45" s="47">
        <f t="shared" si="135"/>
        <v>1</v>
      </c>
      <c r="EQ45" s="47">
        <f t="shared" si="135"/>
        <v>1</v>
      </c>
      <c r="ER45" s="47">
        <f t="shared" si="135"/>
        <v>1</v>
      </c>
      <c r="ES45" s="47">
        <f t="shared" si="135"/>
        <v>1</v>
      </c>
      <c r="ET45" s="47">
        <f t="shared" si="135"/>
        <v>1</v>
      </c>
      <c r="EU45" s="47">
        <f>IFERROR(IF(SUM(DS46:EF47)&gt;0.01,1-EXP(-SUM(DS46:EF47)),SUM(DS46:EF47)),".")</f>
        <v>1</v>
      </c>
      <c r="EV45" s="59">
        <f t="shared" ref="EV45:EX45" si="136">IFERROR(IF(AND(EV46&lt;&gt;0,EV47&lt;&gt;0),1/SUM(1/EV46,1/EV47),IF(AND(EV46&lt;&gt;0,EV47=0),1/(1/EV46),IF(AND(EV46=0,EV47&lt;&gt;0),1/(1/EV47),IF(AND(EV46=0,EV47=0),".")))),".")</f>
        <v>5.6437680088007518E-10</v>
      </c>
      <c r="EW45" s="59">
        <f t="shared" si="136"/>
        <v>9.0123920390536997E-7</v>
      </c>
      <c r="EX45" s="59">
        <f t="shared" si="136"/>
        <v>5.6402359627966523E-10</v>
      </c>
      <c r="EY45" s="70"/>
      <c r="EZ45" s="70"/>
      <c r="FA45" s="47">
        <f>IFERROR(IF(SUM(EY46:EY47)&gt;0.01,1-EXP(-SUM(EY46:EY47)),SUM(EY46:EY47)),".")</f>
        <v>1</v>
      </c>
      <c r="FB45" s="47">
        <f>IFERROR(IF(SUM(EZ46:EZ47)&gt;0.01,1-EXP(-SUM(EZ46:EZ47)),SUM(EZ46:EZ47)),".")</f>
        <v>0.99610443544508287</v>
      </c>
      <c r="FC45" s="47">
        <f t="shared" ref="FC45" si="137">IFERROR(IF(SUM(FA46:FA47)&gt;0.01,1-EXP(-SUM(FA46:FA47)),SUM(FA46:FA47)),".")</f>
        <v>0.8646647167633873</v>
      </c>
    </row>
    <row r="46" spans="1:159" x14ac:dyDescent="0.25">
      <c r="A46" s="83" t="s">
        <v>1101</v>
      </c>
      <c r="B46" s="42">
        <v>1</v>
      </c>
      <c r="C46" s="60">
        <f t="shared" ref="C46:M46" si="138">IFERROR(C10/$B46,0)</f>
        <v>1.8181818181818181E-11</v>
      </c>
      <c r="D46" s="60">
        <f t="shared" si="138"/>
        <v>7.2727272727272723E-11</v>
      </c>
      <c r="E46" s="60">
        <f t="shared" si="138"/>
        <v>7.2727272727272723E-11</v>
      </c>
      <c r="F46" s="60">
        <f t="shared" si="138"/>
        <v>7.2727272727272723E-11</v>
      </c>
      <c r="G46" s="60">
        <f t="shared" si="138"/>
        <v>7.2727272727272723E-11</v>
      </c>
      <c r="H46" s="60">
        <f t="shared" si="138"/>
        <v>7.2727272727272723E-11</v>
      </c>
      <c r="I46" s="60">
        <f t="shared" si="138"/>
        <v>7.2727272727272723E-11</v>
      </c>
      <c r="J46" s="60">
        <f t="shared" si="138"/>
        <v>7.2727272727272723E-11</v>
      </c>
      <c r="K46" s="60">
        <f t="shared" si="138"/>
        <v>7.2727272727272723E-11</v>
      </c>
      <c r="L46" s="60">
        <f t="shared" si="138"/>
        <v>7.2727272727272723E-11</v>
      </c>
      <c r="M46" s="60">
        <f t="shared" si="138"/>
        <v>7.2727272727272723E-11</v>
      </c>
      <c r="N46" s="71">
        <f>up_dir!BA46</f>
        <v>275000</v>
      </c>
      <c r="O46" s="71">
        <f>IFERROR(up_RadSpec!$E$10*O10,".")*$B$46</f>
        <v>68750</v>
      </c>
      <c r="P46" s="71">
        <f>IFERROR(up_RadSpec!$E$10*P10,".")*$B$46</f>
        <v>68750</v>
      </c>
      <c r="Q46" s="71">
        <f>IFERROR(up_RadSpec!$E$10*Q10,".")*$B$46</f>
        <v>68750</v>
      </c>
      <c r="R46" s="71">
        <f>IFERROR(up_RadSpec!$E$10*R10,".")*$B$46</f>
        <v>68750</v>
      </c>
      <c r="S46" s="71">
        <f>IFERROR(up_RadSpec!$E$10*S10,".")*$B$46</f>
        <v>68750</v>
      </c>
      <c r="T46" s="71">
        <f>IFERROR(up_RadSpec!$E$10*T10,".")*$B$46</f>
        <v>68750</v>
      </c>
      <c r="U46" s="71">
        <f>IFERROR(up_RadSpec!$E$10*U10,".")*$B$46</f>
        <v>68750</v>
      </c>
      <c r="V46" s="71">
        <f>IFERROR(up_RadSpec!$E$10*V10,".")*$B$46</f>
        <v>68750</v>
      </c>
      <c r="W46" s="71">
        <f>IFERROR(up_RadSpec!$E$10*W10,".")*$B$46</f>
        <v>68750</v>
      </c>
      <c r="X46" s="71">
        <f>IFERROR(up_RadSpec!$E$10*X10,".")*$B$46</f>
        <v>68750</v>
      </c>
      <c r="Y46" s="49">
        <f>IFERROR(IF(N46&gt;0.01,1-EXP(-N46),N46),".")</f>
        <v>1</v>
      </c>
      <c r="Z46" s="49">
        <f t="shared" ref="Z46:AI47" si="139">IFERROR(IF(O46&gt;0.01,1-EXP(-O46),O46),".")</f>
        <v>1</v>
      </c>
      <c r="AA46" s="49">
        <f t="shared" si="139"/>
        <v>1</v>
      </c>
      <c r="AB46" s="49">
        <f t="shared" si="139"/>
        <v>1</v>
      </c>
      <c r="AC46" s="49">
        <f t="shared" si="139"/>
        <v>1</v>
      </c>
      <c r="AD46" s="49">
        <f t="shared" si="139"/>
        <v>1</v>
      </c>
      <c r="AE46" s="49">
        <f t="shared" si="139"/>
        <v>1</v>
      </c>
      <c r="AF46" s="49">
        <f t="shared" si="139"/>
        <v>1</v>
      </c>
      <c r="AG46" s="49">
        <f t="shared" si="139"/>
        <v>1</v>
      </c>
      <c r="AH46" s="49">
        <f t="shared" si="139"/>
        <v>1</v>
      </c>
      <c r="AI46" s="49">
        <f t="shared" si="139"/>
        <v>1</v>
      </c>
      <c r="AJ46" s="60">
        <f t="shared" ref="AJ46:AW46" si="140">IFERROR(AJ10/$B46,0)</f>
        <v>3.6363636363636363E-8</v>
      </c>
      <c r="AK46" s="60">
        <f t="shared" si="140"/>
        <v>3.3989909629864073E-4</v>
      </c>
      <c r="AL46" s="60">
        <f t="shared" si="140"/>
        <v>2.2803809523809523E-5</v>
      </c>
      <c r="AM46" s="60">
        <f t="shared" si="140"/>
        <v>3.6265718922545492E-12</v>
      </c>
      <c r="AN46" s="60">
        <f>IFERROR(AN10/$B46,0)</f>
        <v>7.2727272727272723E-11</v>
      </c>
      <c r="AO46" s="60">
        <f>IFERROR(AO10/$B46,0)</f>
        <v>2.0414673046251994E-14</v>
      </c>
      <c r="AP46" s="60">
        <f>IFERROR(AP10/$B46,0)</f>
        <v>2.102711323763955E-14</v>
      </c>
      <c r="AQ46" s="60">
        <f>IFERROR(AQ10/$B46,0)</f>
        <v>2.0414673046251994E-14</v>
      </c>
      <c r="AR46" s="60">
        <f t="shared" si="140"/>
        <v>2.0414673046251994E-14</v>
      </c>
      <c r="AS46" s="60">
        <f t="shared" si="140"/>
        <v>2.0414673046251994E-14</v>
      </c>
      <c r="AT46" s="60">
        <f t="shared" si="140"/>
        <v>2.0414673046251994E-14</v>
      </c>
      <c r="AU46" s="60">
        <f>IFERROR(AU10/$B46,0)</f>
        <v>2.102711323763955E-14</v>
      </c>
      <c r="AV46" s="60">
        <f t="shared" si="140"/>
        <v>2.0414673046251994E-14</v>
      </c>
      <c r="AW46" s="60">
        <f t="shared" si="140"/>
        <v>2.102711323763955E-14</v>
      </c>
      <c r="AX46" s="42"/>
      <c r="AY46" s="42"/>
      <c r="AZ46" s="42"/>
      <c r="BA46" s="42"/>
      <c r="BB46" s="42"/>
      <c r="BC46" s="42"/>
      <c r="BD46" s="42"/>
      <c r="BE46" s="42"/>
      <c r="BF46" s="42"/>
      <c r="BG46" s="42"/>
      <c r="BH46" s="42"/>
      <c r="BI46" s="42"/>
      <c r="BJ46" s="42"/>
      <c r="BK46" s="42"/>
      <c r="BL46" s="60">
        <f>IFERROR(BL10/$B46,0)</f>
        <v>2.2890172358748156E-15</v>
      </c>
      <c r="BM46" s="71">
        <f>IFERROR(up_RadSpec!$D$10*BM10,".")*$B$46</f>
        <v>137.5</v>
      </c>
      <c r="BN46" s="71">
        <f>IFERROR(up_RadSpec!$G$10*BN10,".")*$B$46</f>
        <v>1.4710247995501937E-2</v>
      </c>
      <c r="BO46" s="71">
        <f>IFERROR(up_RadSpec!$F$10*BO10,".")*$B$46</f>
        <v>0.21926161042432341</v>
      </c>
      <c r="BP46" s="71">
        <f>up_b2s!BZ46</f>
        <v>1378712.5</v>
      </c>
      <c r="BQ46" s="71">
        <f>IFERROR(up_RadSpec!$E$10*BQ10,".")*$B$46</f>
        <v>68750</v>
      </c>
      <c r="BR46" s="71">
        <f>IFERROR(up_RadSpec!$E$10*BR10,".")*$B$46</f>
        <v>244921875</v>
      </c>
      <c r="BS46" s="71">
        <f>IFERROR(up_RadSpec!$E$10*BS10,".")*$B$46</f>
        <v>237788228.15533978</v>
      </c>
      <c r="BT46" s="71">
        <f>IFERROR(up_RadSpec!$E$10*BT10,".")*$B$46</f>
        <v>244921875</v>
      </c>
      <c r="BU46" s="71">
        <f>IFERROR(up_RadSpec!$E$10*BU10,".")*$B$46</f>
        <v>244921875</v>
      </c>
      <c r="BV46" s="71">
        <f>IFERROR(up_RadSpec!$E$10*BV10,".")*$B$46</f>
        <v>244921875</v>
      </c>
      <c r="BW46" s="71">
        <f>IFERROR(up_RadSpec!$E$10*BW10,".")*$B$46</f>
        <v>244921875</v>
      </c>
      <c r="BX46" s="71">
        <f>IFERROR(up_RadSpec!$E$10*BX10,".")*$B$46</f>
        <v>237788228.15533978</v>
      </c>
      <c r="BY46" s="71">
        <f>IFERROR(up_RadSpec!$E$10*BY10,".")*$B$46</f>
        <v>244921875</v>
      </c>
      <c r="BZ46" s="71">
        <f>IFERROR(up_RadSpec!$E$10*BZ10,".")*$B$46</f>
        <v>237788228.15533978</v>
      </c>
      <c r="CA46" s="49">
        <f t="shared" ref="CA46:CA47" si="141">IFERROR(IF(BM46&gt;0.01,1-EXP(-BM46),BM46),".")</f>
        <v>1</v>
      </c>
      <c r="CB46" s="49">
        <f t="shared" ref="CB46:CB47" si="142">IFERROR(IF(BN46&gt;0.01,1-EXP(-BN46),BN46),".")</f>
        <v>1.4602580880648697E-2</v>
      </c>
      <c r="CC46" s="49">
        <f t="shared" ref="CC46:CC47" si="143">IFERROR(IF(BO46&gt;0.01,1-EXP(-BO46),BO46),".")</f>
        <v>0.19688841169464999</v>
      </c>
      <c r="CD46" s="49">
        <f t="shared" ref="CD46:CD47" si="144">IFERROR(IF(BP46&gt;0.01,1-EXP(-BP46),BP46),".")</f>
        <v>1</v>
      </c>
      <c r="CE46" s="49">
        <f t="shared" ref="CE46:CN47" si="145">IFERROR(IF(BQ46&gt;0.01,1-EXP(-BQ46),BQ46),".")</f>
        <v>1</v>
      </c>
      <c r="CF46" s="49">
        <f t="shared" si="145"/>
        <v>1</v>
      </c>
      <c r="CG46" s="49">
        <f t="shared" si="145"/>
        <v>1</v>
      </c>
      <c r="CH46" s="49">
        <f t="shared" si="145"/>
        <v>1</v>
      </c>
      <c r="CI46" s="49">
        <f t="shared" si="145"/>
        <v>1</v>
      </c>
      <c r="CJ46" s="49">
        <f t="shared" si="145"/>
        <v>1</v>
      </c>
      <c r="CK46" s="49">
        <f t="shared" si="145"/>
        <v>1</v>
      </c>
      <c r="CL46" s="49">
        <f t="shared" si="145"/>
        <v>1</v>
      </c>
      <c r="CM46" s="49">
        <f t="shared" si="145"/>
        <v>1</v>
      </c>
      <c r="CN46" s="49">
        <f t="shared" si="145"/>
        <v>1</v>
      </c>
      <c r="CO46" s="49">
        <f>IFERROR(IF(SUM(BM46:BZ46)&gt;0.01,1-EXP(-SUM(BM46:BZ46)),SUM(BM46:BZ46)),".")</f>
        <v>1</v>
      </c>
      <c r="CP46" s="60">
        <f t="shared" ref="CP46:DC46" si="146">IFERROR(CP10/$B46,0)</f>
        <v>3.9999999999999996E-10</v>
      </c>
      <c r="CQ46" s="60">
        <f t="shared" si="146"/>
        <v>0</v>
      </c>
      <c r="CR46" s="60">
        <f t="shared" si="146"/>
        <v>4.3800000000000004E-6</v>
      </c>
      <c r="CS46" s="60">
        <f t="shared" si="146"/>
        <v>1.8087754064641833E-11</v>
      </c>
      <c r="CT46" s="60">
        <f>IFERROR(CT10/$B46,0)</f>
        <v>1.4545454545454544E-8</v>
      </c>
      <c r="CU46" s="60">
        <f>IFERROR(CU10/$B46,0)</f>
        <v>2.9090909090909087E-9</v>
      </c>
      <c r="CV46" s="60">
        <f>IFERROR(CV10/$B46,0)</f>
        <v>2.9963636363636357E-9</v>
      </c>
      <c r="CW46" s="60">
        <f>IFERROR(CW10/$B46,0)</f>
        <v>2.9090909090909087E-9</v>
      </c>
      <c r="CX46" s="60">
        <f t="shared" si="146"/>
        <v>2.9090909090909087E-9</v>
      </c>
      <c r="CY46" s="60">
        <f t="shared" si="146"/>
        <v>2.9090909090909087E-9</v>
      </c>
      <c r="CZ46" s="60">
        <f t="shared" si="146"/>
        <v>2.9090909090909087E-9</v>
      </c>
      <c r="DA46" s="60">
        <f>IFERROR(DA10/$B46,0)</f>
        <v>2.9963636363636357E-9</v>
      </c>
      <c r="DB46" s="60">
        <f t="shared" si="146"/>
        <v>2.9090909090909087E-9</v>
      </c>
      <c r="DC46" s="60">
        <f t="shared" si="146"/>
        <v>2.9963636363636357E-9</v>
      </c>
      <c r="DD46" s="15"/>
      <c r="DE46" s="15"/>
      <c r="DF46" s="15"/>
      <c r="DG46" s="15"/>
      <c r="DH46" s="15"/>
      <c r="DI46" s="15"/>
      <c r="DJ46" s="15"/>
      <c r="DK46" s="15"/>
      <c r="DL46" s="15"/>
      <c r="DM46" s="15"/>
      <c r="DN46" s="15"/>
      <c r="DO46" s="15"/>
      <c r="DP46" s="15"/>
      <c r="DQ46" s="15"/>
      <c r="DR46" s="60">
        <f>IFERROR(DR10/$B46,0)</f>
        <v>1.6415316541278672E-11</v>
      </c>
      <c r="DS46" s="71">
        <f>IFERROR(up_RadSpec!$H$10*DS10,".")*$B$46</f>
        <v>12500</v>
      </c>
      <c r="DT46" s="71">
        <f>IFERROR(up_RadSpec!$G$10*DT10,".")*$B$46</f>
        <v>2278.645833333333</v>
      </c>
      <c r="DU46" s="71">
        <f>IFERROR(up_RadSpec!$L$10*DU10,".")*$B$46</f>
        <v>1.1415525114155249</v>
      </c>
      <c r="DV46" s="71">
        <f>up_b2w!BZ46</f>
        <v>276430.1185283176</v>
      </c>
      <c r="DW46" s="71">
        <f>IFERROR(up_RadSpec!$E$10*DW10,".")*$B$46</f>
        <v>343.75</v>
      </c>
      <c r="DX46" s="71">
        <f>IFERROR(up_RadSpec!$E$10*DX10,".")*$B$46</f>
        <v>1718.75</v>
      </c>
      <c r="DY46" s="71">
        <f>IFERROR(up_RadSpec!$E$10*DY10,".")*$B$46</f>
        <v>1668.6893203883494</v>
      </c>
      <c r="DZ46" s="71">
        <f>IFERROR(up_RadSpec!$E$10*DZ10,".")*$B$46</f>
        <v>1718.75</v>
      </c>
      <c r="EA46" s="71">
        <f>IFERROR(up_RadSpec!$E$10*EA10,".")*$B$46</f>
        <v>1718.75</v>
      </c>
      <c r="EB46" s="71">
        <f>IFERROR(up_RadSpec!$E$10*EB10,".")*$B$46</f>
        <v>1718.75</v>
      </c>
      <c r="EC46" s="71">
        <f>IFERROR(up_RadSpec!$E$10*EC10,".")*$B$46</f>
        <v>1718.75</v>
      </c>
      <c r="ED46" s="71">
        <f>IFERROR(up_RadSpec!$E$10*ED10,".")*$B$46</f>
        <v>1668.6893203883494</v>
      </c>
      <c r="EE46" s="71">
        <f>IFERROR(up_RadSpec!$E$10*EE10,".")*$B$46</f>
        <v>1718.75</v>
      </c>
      <c r="EF46" s="71">
        <f>IFERROR(up_RadSpec!$E$10*EF10,".")*$B$46</f>
        <v>1668.6893203883494</v>
      </c>
      <c r="EG46" s="49">
        <f t="shared" ref="EG46:EG47" si="147">IFERROR(IF(DS46&gt;0.01,1-EXP(-DS46),DS46),".")</f>
        <v>1</v>
      </c>
      <c r="EH46" s="49">
        <f t="shared" ref="EH46:EH47" si="148">IFERROR(IF(DT46&gt;0.01,1-EXP(-DT46),DT46),".")</f>
        <v>1</v>
      </c>
      <c r="EI46" s="49">
        <f t="shared" ref="EI46:EI47" si="149">IFERROR(IF(DU46&gt;0.01,1-EXP(-DU46),DU46),".")</f>
        <v>0.68067711563678512</v>
      </c>
      <c r="EJ46" s="49">
        <f t="shared" ref="EJ46:EJ47" si="150">IFERROR(IF(DV46&gt;0.01,1-EXP(-DV46),DV46),".")</f>
        <v>1</v>
      </c>
      <c r="EK46" s="49">
        <f t="shared" ref="EK46:ET47" si="151">IFERROR(IF(DW46&gt;0.01,1-EXP(-DW46),DW46),".")</f>
        <v>1</v>
      </c>
      <c r="EL46" s="49">
        <f t="shared" si="151"/>
        <v>1</v>
      </c>
      <c r="EM46" s="49">
        <f t="shared" si="151"/>
        <v>1</v>
      </c>
      <c r="EN46" s="49">
        <f t="shared" si="151"/>
        <v>1</v>
      </c>
      <c r="EO46" s="49">
        <f t="shared" si="151"/>
        <v>1</v>
      </c>
      <c r="EP46" s="49">
        <f t="shared" si="151"/>
        <v>1</v>
      </c>
      <c r="EQ46" s="49">
        <f t="shared" si="151"/>
        <v>1</v>
      </c>
      <c r="ER46" s="49">
        <f t="shared" si="151"/>
        <v>1</v>
      </c>
      <c r="ES46" s="49">
        <f t="shared" si="151"/>
        <v>1</v>
      </c>
      <c r="ET46" s="49">
        <f t="shared" si="151"/>
        <v>1</v>
      </c>
      <c r="EU46" s="49">
        <f>IFERROR(IF(SUM(DS46:EF46)&gt;0.01,1-EXP(-SUM(DS46:EF46)),SUM(DS46:EF46)),".")</f>
        <v>1</v>
      </c>
      <c r="EV46" s="60">
        <f>IFERROR(EV10/$B46,0)</f>
        <v>1.0971428571428573E-9</v>
      </c>
      <c r="EW46" s="60">
        <f>IFERROR(EW10/$B46,0)</f>
        <v>1.7520000000000001E-6</v>
      </c>
      <c r="EX46" s="60">
        <f>IFERROR(EX10/$B46,0)</f>
        <v>1.0964562309317064E-9</v>
      </c>
      <c r="EY46" s="71">
        <f>IFERROR(up_RadSpec!$G$10*EY10,".")*$B$46</f>
        <v>4557.2916666666661</v>
      </c>
      <c r="EZ46" s="71">
        <f>IFERROR(up_RadSpec!$J$10*EZ10,".")*$B$46</f>
        <v>2.8538812785388123</v>
      </c>
      <c r="FA46" s="49">
        <f>IFERROR(IF(EY46&gt;0.01,1-EXP(-EY46),EY46),".")</f>
        <v>1</v>
      </c>
      <c r="FB46" s="49">
        <f>IFERROR(IF(EZ46&gt;0.01,1-EXP(-EZ46),EZ46),".")</f>
        <v>0.9423797539167309</v>
      </c>
      <c r="FC46" s="49">
        <f>IFERROR(IF(SUM(EY46:EZ46)&gt;0.01,1-EXP(-SUM(EY46:EZ46)),SUM(EY46:EZ46)),".")</f>
        <v>1</v>
      </c>
    </row>
    <row r="47" spans="1:159" x14ac:dyDescent="0.25">
      <c r="A47" s="83" t="s">
        <v>1075</v>
      </c>
      <c r="B47" s="85">
        <v>0.94399</v>
      </c>
      <c r="C47" s="60">
        <f t="shared" ref="C47:M47" si="152">IFERROR(C6/$B$47,0)</f>
        <v>1.9260604648161719E-11</v>
      </c>
      <c r="D47" s="60">
        <f t="shared" si="152"/>
        <v>7.7042418592646875E-11</v>
      </c>
      <c r="E47" s="60">
        <f t="shared" si="152"/>
        <v>7.7042418592646875E-11</v>
      </c>
      <c r="F47" s="60">
        <f t="shared" si="152"/>
        <v>7.7042418592646875E-11</v>
      </c>
      <c r="G47" s="60">
        <f t="shared" si="152"/>
        <v>7.7042418592646875E-11</v>
      </c>
      <c r="H47" s="60">
        <f t="shared" si="152"/>
        <v>7.7042418592646875E-11</v>
      </c>
      <c r="I47" s="60">
        <f t="shared" si="152"/>
        <v>7.7042418592646875E-11</v>
      </c>
      <c r="J47" s="60">
        <f t="shared" si="152"/>
        <v>7.7042418592646875E-11</v>
      </c>
      <c r="K47" s="60">
        <f t="shared" si="152"/>
        <v>7.7042418592646875E-11</v>
      </c>
      <c r="L47" s="60">
        <f t="shared" si="152"/>
        <v>7.7042418592646875E-11</v>
      </c>
      <c r="M47" s="60">
        <f t="shared" si="152"/>
        <v>7.7042418592646875E-11</v>
      </c>
      <c r="N47" s="71">
        <f>up_dir!BA47</f>
        <v>291316.64530344604</v>
      </c>
      <c r="O47" s="71">
        <f>IFERROR(up_RadSpec!$E$6*O6,".")*$B$47</f>
        <v>64899.3125</v>
      </c>
      <c r="P47" s="71">
        <f>IFERROR(up_RadSpec!$E$6*P6,".")*$B$47</f>
        <v>64899.3125</v>
      </c>
      <c r="Q47" s="71">
        <f>IFERROR(up_RadSpec!$E$6*Q6,".")*$B$47</f>
        <v>64899.3125</v>
      </c>
      <c r="R47" s="71">
        <f>IFERROR(up_RadSpec!$E$6*R6,".")*$B$47</f>
        <v>64899.3125</v>
      </c>
      <c r="S47" s="71">
        <f>IFERROR(up_RadSpec!$E$6*S6,".")*$B$47</f>
        <v>64899.3125</v>
      </c>
      <c r="T47" s="71">
        <f>IFERROR(up_RadSpec!$E$6*T6,".")*$B$47</f>
        <v>64899.3125</v>
      </c>
      <c r="U47" s="71">
        <f>IFERROR(up_RadSpec!$E$6*U6,".")*$B$47</f>
        <v>64899.3125</v>
      </c>
      <c r="V47" s="71">
        <f>IFERROR(up_RadSpec!$E$6*V6,".")*$B$47</f>
        <v>64899.3125</v>
      </c>
      <c r="W47" s="71">
        <f>IFERROR(up_RadSpec!$E$6*W6,".")*$B$47</f>
        <v>64899.3125</v>
      </c>
      <c r="X47" s="71">
        <f>IFERROR(up_RadSpec!$E$6*X6,".")*$B$47</f>
        <v>64899.3125</v>
      </c>
      <c r="Y47" s="49">
        <f t="shared" ref="Y47" si="153">IFERROR(IF(N47&gt;0.01,1-EXP(-N47),N47),".")</f>
        <v>1</v>
      </c>
      <c r="Z47" s="49">
        <f t="shared" si="139"/>
        <v>1</v>
      </c>
      <c r="AA47" s="49">
        <f t="shared" si="139"/>
        <v>1</v>
      </c>
      <c r="AB47" s="49">
        <f t="shared" si="139"/>
        <v>1</v>
      </c>
      <c r="AC47" s="49">
        <f t="shared" si="139"/>
        <v>1</v>
      </c>
      <c r="AD47" s="49">
        <f t="shared" si="139"/>
        <v>1</v>
      </c>
      <c r="AE47" s="49">
        <f t="shared" si="139"/>
        <v>1</v>
      </c>
      <c r="AF47" s="49">
        <f t="shared" si="139"/>
        <v>1</v>
      </c>
      <c r="AG47" s="49">
        <f t="shared" si="139"/>
        <v>1</v>
      </c>
      <c r="AH47" s="49">
        <f t="shared" si="139"/>
        <v>1</v>
      </c>
      <c r="AI47" s="49">
        <f t="shared" si="139"/>
        <v>1</v>
      </c>
      <c r="AJ47" s="60">
        <f t="shared" ref="AJ47:AW47" si="154">IFERROR(AJ6/$B$47,0)</f>
        <v>3.852120929632344E-8</v>
      </c>
      <c r="AK47" s="60">
        <f t="shared" si="154"/>
        <v>3.6006641627415624E-4</v>
      </c>
      <c r="AL47" s="60">
        <f t="shared" si="154"/>
        <v>2.060906462797863E-5</v>
      </c>
      <c r="AM47" s="60">
        <f t="shared" si="154"/>
        <v>3.8417482094667841E-12</v>
      </c>
      <c r="AN47" s="60">
        <f>IFERROR(AN6/$B$47,0)</f>
        <v>7.7042418592646875E-11</v>
      </c>
      <c r="AO47" s="60">
        <f>IFERROR(AO6/$B$47,0)</f>
        <v>2.162594206109386E-14</v>
      </c>
      <c r="AP47" s="60">
        <f>IFERROR(AP6/$B$47,0)</f>
        <v>2.2274720322926672E-14</v>
      </c>
      <c r="AQ47" s="60">
        <f>IFERROR(AQ6/$B$47,0)</f>
        <v>2.162594206109386E-14</v>
      </c>
      <c r="AR47" s="60">
        <f t="shared" si="154"/>
        <v>2.162594206109386E-14</v>
      </c>
      <c r="AS47" s="60">
        <f t="shared" si="154"/>
        <v>2.162594206109386E-14</v>
      </c>
      <c r="AT47" s="60">
        <f t="shared" si="154"/>
        <v>2.162594206109386E-14</v>
      </c>
      <c r="AU47" s="60">
        <f>IFERROR(AU6/$B$47,0)</f>
        <v>2.2274720322926672E-14</v>
      </c>
      <c r="AV47" s="60">
        <f t="shared" si="154"/>
        <v>2.162594206109386E-14</v>
      </c>
      <c r="AW47" s="60">
        <f t="shared" si="154"/>
        <v>2.2274720322926672E-14</v>
      </c>
      <c r="AX47" s="42"/>
      <c r="AY47" s="42"/>
      <c r="AZ47" s="42"/>
      <c r="BA47" s="42"/>
      <c r="BB47" s="42"/>
      <c r="BC47" s="42"/>
      <c r="BD47" s="42"/>
      <c r="BE47" s="42"/>
      <c r="BF47" s="42"/>
      <c r="BG47" s="42"/>
      <c r="BH47" s="42"/>
      <c r="BI47" s="42"/>
      <c r="BJ47" s="42"/>
      <c r="BK47" s="42"/>
      <c r="BL47" s="60">
        <f>IFERROR(BL6/$B$47,0)</f>
        <v>2.4248320806738016E-15</v>
      </c>
      <c r="BM47" s="71">
        <f>IFERROR(up_RadSpec!$D$6*BM6,".")*$B$47</f>
        <v>129.79862499999999</v>
      </c>
      <c r="BN47" s="71">
        <f>IFERROR(up_RadSpec!$G$6*BN6,".")*$B$47</f>
        <v>1.3886327005273874E-2</v>
      </c>
      <c r="BO47" s="71">
        <f>IFERROR(up_RadSpec!$F$6*BO6,".")*$B$47</f>
        <v>0.2426116900624426</v>
      </c>
      <c r="BP47" s="71">
        <f>up_b2s!BZ47</f>
        <v>1460516.0012288266</v>
      </c>
      <c r="BQ47" s="71">
        <f>IFERROR(up_RadSpec!$E$6*BQ6,".")*$B$47</f>
        <v>64899.3125</v>
      </c>
      <c r="BR47" s="71">
        <f>IFERROR(up_RadSpec!$E$6*BR6,".")*$B$47</f>
        <v>231203800.78125</v>
      </c>
      <c r="BS47" s="71">
        <f>IFERROR(up_RadSpec!$E$6*BS6,".")*$B$47</f>
        <v>224469709.4963592</v>
      </c>
      <c r="BT47" s="71">
        <f>IFERROR(up_RadSpec!$E$6*BT6,".")*$B$47</f>
        <v>231203800.78125</v>
      </c>
      <c r="BU47" s="71">
        <f>IFERROR(up_RadSpec!$E$6*BU6,".")*$B$47</f>
        <v>231203800.78125</v>
      </c>
      <c r="BV47" s="71">
        <f>IFERROR(up_RadSpec!$E$6*BV6,".")*$B$47</f>
        <v>231203800.78125</v>
      </c>
      <c r="BW47" s="71">
        <f>IFERROR(up_RadSpec!$E$6*BW6,".")*$B$47</f>
        <v>231203800.78125</v>
      </c>
      <c r="BX47" s="71">
        <f>IFERROR(up_RadSpec!$E$6*BX6,".")*$B$47</f>
        <v>224469709.4963592</v>
      </c>
      <c r="BY47" s="71">
        <f>IFERROR(up_RadSpec!$E$6*BY6,".")*$B$47</f>
        <v>231203800.78125</v>
      </c>
      <c r="BZ47" s="71">
        <f>IFERROR(up_RadSpec!$E$6*BZ6,".")*$B$47</f>
        <v>224469709.4963592</v>
      </c>
      <c r="CA47" s="49">
        <f t="shared" si="141"/>
        <v>1</v>
      </c>
      <c r="CB47" s="49">
        <f t="shared" si="142"/>
        <v>1.3790356704994067E-2</v>
      </c>
      <c r="CC47" s="49">
        <f t="shared" si="143"/>
        <v>0.21542388667021251</v>
      </c>
      <c r="CD47" s="49">
        <f t="shared" si="144"/>
        <v>1</v>
      </c>
      <c r="CE47" s="49">
        <f t="shared" si="145"/>
        <v>1</v>
      </c>
      <c r="CF47" s="49">
        <f t="shared" si="145"/>
        <v>1</v>
      </c>
      <c r="CG47" s="49">
        <f t="shared" si="145"/>
        <v>1</v>
      </c>
      <c r="CH47" s="49">
        <f t="shared" si="145"/>
        <v>1</v>
      </c>
      <c r="CI47" s="49">
        <f t="shared" si="145"/>
        <v>1</v>
      </c>
      <c r="CJ47" s="49">
        <f t="shared" si="145"/>
        <v>1</v>
      </c>
      <c r="CK47" s="49">
        <f t="shared" si="145"/>
        <v>1</v>
      </c>
      <c r="CL47" s="49">
        <f t="shared" si="145"/>
        <v>1</v>
      </c>
      <c r="CM47" s="49">
        <f t="shared" si="145"/>
        <v>1</v>
      </c>
      <c r="CN47" s="49">
        <f t="shared" si="145"/>
        <v>1</v>
      </c>
      <c r="CO47" s="49">
        <f>IFERROR(IF(SUM(BM47:BZ47)&gt;0.01,1-EXP(-SUM(BM47:BZ47)),SUM(BM47:BZ47)),".")</f>
        <v>1</v>
      </c>
      <c r="CP47" s="60">
        <f t="shared" ref="CP47:DC47" si="155">IFERROR(CP6/$B$47,0)</f>
        <v>4.237333022595578E-10</v>
      </c>
      <c r="CQ47" s="60">
        <f t="shared" si="155"/>
        <v>0</v>
      </c>
      <c r="CR47" s="60">
        <f t="shared" si="155"/>
        <v>4.6398796597421587E-6</v>
      </c>
      <c r="CS47" s="60">
        <f t="shared" si="155"/>
        <v>1.9160959400673561E-11</v>
      </c>
      <c r="CT47" s="60">
        <f>IFERROR(CT6/$B$47,0)</f>
        <v>1.5408483718529374E-8</v>
      </c>
      <c r="CU47" s="60">
        <f>IFERROR(CU6/$B$47,0)</f>
        <v>3.0816967437058748E-9</v>
      </c>
      <c r="CV47" s="60">
        <f>IFERROR(CV6/$B$47,0)</f>
        <v>3.1741476460170508E-9</v>
      </c>
      <c r="CW47" s="60">
        <f>IFERROR(CW6/$B$47,0)</f>
        <v>3.0816967437058748E-9</v>
      </c>
      <c r="CX47" s="60">
        <f t="shared" si="155"/>
        <v>3.0816967437058748E-9</v>
      </c>
      <c r="CY47" s="60">
        <f t="shared" si="155"/>
        <v>3.0816967437058748E-9</v>
      </c>
      <c r="CZ47" s="60">
        <f t="shared" si="155"/>
        <v>3.0816967437058748E-9</v>
      </c>
      <c r="DA47" s="60">
        <f>IFERROR(DA6/$B$47,0)</f>
        <v>3.1741476460170508E-9</v>
      </c>
      <c r="DB47" s="60">
        <f t="shared" si="155"/>
        <v>3.0816967437058748E-9</v>
      </c>
      <c r="DC47" s="60">
        <f t="shared" si="155"/>
        <v>3.1741476460170508E-9</v>
      </c>
      <c r="DD47" s="15"/>
      <c r="DE47" s="15"/>
      <c r="DF47" s="15"/>
      <c r="DG47" s="15"/>
      <c r="DH47" s="15"/>
      <c r="DI47" s="15"/>
      <c r="DJ47" s="15"/>
      <c r="DK47" s="15"/>
      <c r="DL47" s="15"/>
      <c r="DM47" s="15"/>
      <c r="DN47" s="15"/>
      <c r="DO47" s="15"/>
      <c r="DP47" s="15"/>
      <c r="DQ47" s="15"/>
      <c r="DR47" s="60">
        <f>IFERROR(DR6/$B$47,0)</f>
        <v>1.7389290714179887E-11</v>
      </c>
      <c r="DS47" s="71">
        <f>IFERROR(up_RadSpec!$H$6*DS6,".")*$B$47</f>
        <v>11799.875</v>
      </c>
      <c r="DT47" s="71">
        <f>IFERROR(up_RadSpec!$G$6*DT6,".")*$B$47</f>
        <v>2151.018880208333</v>
      </c>
      <c r="DU47" s="71">
        <f>IFERROR(up_RadSpec!$L$6*DU6,".")*$B$47</f>
        <v>1.0776141552511413</v>
      </c>
      <c r="DV47" s="71">
        <f>up_b2w!BZ47</f>
        <v>292831.61742001248</v>
      </c>
      <c r="DW47" s="71">
        <f>IFERROR(up_RadSpec!$E$6*DW6,".")*$B$47</f>
        <v>324.49656249999998</v>
      </c>
      <c r="DX47" s="71">
        <f>IFERROR(up_RadSpec!$E$6*DX6,".")*$B$47</f>
        <v>1622.4828124999999</v>
      </c>
      <c r="DY47" s="71">
        <f>IFERROR(up_RadSpec!$E$6*DY6,".")*$B$47</f>
        <v>1575.2260315533979</v>
      </c>
      <c r="DZ47" s="71">
        <f>IFERROR(up_RadSpec!$E$6*DZ6,".")*$B$47</f>
        <v>1622.4828124999999</v>
      </c>
      <c r="EA47" s="71">
        <f>IFERROR(up_RadSpec!$E$6*EA6,".")*$B$47</f>
        <v>1622.4828124999999</v>
      </c>
      <c r="EB47" s="71">
        <f>IFERROR(up_RadSpec!$E$6*EB6,".")*$B$47</f>
        <v>1622.4828124999999</v>
      </c>
      <c r="EC47" s="71">
        <f>IFERROR(up_RadSpec!$E$6*EC6,".")*$B$47</f>
        <v>1622.4828124999999</v>
      </c>
      <c r="ED47" s="71">
        <f>IFERROR(up_RadSpec!$E$6*ED6,".")*$B$47</f>
        <v>1575.2260315533979</v>
      </c>
      <c r="EE47" s="71">
        <f>IFERROR(up_RadSpec!$E$6*EE6,".")*$B$47</f>
        <v>1622.4828124999999</v>
      </c>
      <c r="EF47" s="71">
        <f>IFERROR(up_RadSpec!$E$6*EF6,".")*$B$47</f>
        <v>1575.2260315533979</v>
      </c>
      <c r="EG47" s="49">
        <f t="shared" si="147"/>
        <v>1</v>
      </c>
      <c r="EH47" s="49">
        <f t="shared" si="148"/>
        <v>1</v>
      </c>
      <c r="EI47" s="49">
        <f t="shared" si="149"/>
        <v>0.65959328485214841</v>
      </c>
      <c r="EJ47" s="49">
        <f t="shared" si="150"/>
        <v>1</v>
      </c>
      <c r="EK47" s="49">
        <f t="shared" si="151"/>
        <v>1</v>
      </c>
      <c r="EL47" s="49">
        <f t="shared" si="151"/>
        <v>1</v>
      </c>
      <c r="EM47" s="49">
        <f t="shared" si="151"/>
        <v>1</v>
      </c>
      <c r="EN47" s="49">
        <f t="shared" si="151"/>
        <v>1</v>
      </c>
      <c r="EO47" s="49">
        <f t="shared" si="151"/>
        <v>1</v>
      </c>
      <c r="EP47" s="49">
        <f t="shared" si="151"/>
        <v>1</v>
      </c>
      <c r="EQ47" s="49">
        <f t="shared" si="151"/>
        <v>1</v>
      </c>
      <c r="ER47" s="49">
        <f t="shared" si="151"/>
        <v>1</v>
      </c>
      <c r="ES47" s="49">
        <f t="shared" si="151"/>
        <v>1</v>
      </c>
      <c r="ET47" s="49">
        <f t="shared" si="151"/>
        <v>1</v>
      </c>
      <c r="EU47" s="49">
        <f>IFERROR(IF(SUM(DS47:EF47)&gt;0.01,1-EXP(-SUM(DS47:EF47)),SUM(DS47:EF47)),".")</f>
        <v>1</v>
      </c>
      <c r="EV47" s="60">
        <f>IFERROR(EV6/$B$47,0)</f>
        <v>1.1622399147690731E-9</v>
      </c>
      <c r="EW47" s="60">
        <f>IFERROR(EW6/$B$47,0)</f>
        <v>1.8559518638968636E-6</v>
      </c>
      <c r="EX47" s="60">
        <f>IFERROR(EX6/$B$47,0)</f>
        <v>1.1615125487894007E-9</v>
      </c>
      <c r="EY47" s="71">
        <f>IFERROR(up_RadSpec!$G$6*EY6,".")*$B$47</f>
        <v>4302.0377604166661</v>
      </c>
      <c r="EZ47" s="71">
        <f>IFERROR(up_RadSpec!$J$6*EZ6,".")*$B$47</f>
        <v>2.6940353881278534</v>
      </c>
      <c r="FA47" s="49">
        <f>IFERROR(IF(EY47&gt;0.01,1-EXP(-EY47),EY47),".")</f>
        <v>1</v>
      </c>
      <c r="FB47" s="49">
        <f>IFERROR(IF(EZ47&gt;0.01,1-EXP(-EZ47),EZ47),".")</f>
        <v>0.93239243460905208</v>
      </c>
      <c r="FC47" s="49">
        <f>IFERROR(IF(SUM(EY47:EZ47)&gt;0.01,1-EXP(-SUM(EY47:EZ47)),SUM(EY47:EZ47)),".")</f>
        <v>1</v>
      </c>
    </row>
    <row r="48" spans="1:159" x14ac:dyDescent="0.25">
      <c r="A48" s="82" t="s">
        <v>33</v>
      </c>
      <c r="B48" s="82" t="s">
        <v>1074</v>
      </c>
      <c r="C48" s="58">
        <f>1/SUM(1/C49,1/C52,1/C54,1/C58,1/C59,1/C61)</f>
        <v>3.0304041447879948E-12</v>
      </c>
      <c r="D48" s="58">
        <f>1/SUM(1/D49,1/D52,1/D54,1/D58,1/D59,1/D61)</f>
        <v>1.2121616579151979E-11</v>
      </c>
      <c r="E48" s="58">
        <f t="shared" ref="E48:M48" si="156">1/SUM(1/E49,1/E52,1/E54,1/E58,1/E59,1/E61)</f>
        <v>1.2121616579151979E-11</v>
      </c>
      <c r="F48" s="58">
        <f t="shared" si="156"/>
        <v>1.2121616579151979E-11</v>
      </c>
      <c r="G48" s="58">
        <f t="shared" si="156"/>
        <v>1.2121616579151979E-11</v>
      </c>
      <c r="H48" s="58">
        <f t="shared" si="156"/>
        <v>1.2121616579151979E-11</v>
      </c>
      <c r="I48" s="58">
        <f t="shared" si="156"/>
        <v>1.2121616579151979E-11</v>
      </c>
      <c r="J48" s="58">
        <f t="shared" si="156"/>
        <v>1.2121616579151979E-11</v>
      </c>
      <c r="K48" s="58">
        <f t="shared" si="156"/>
        <v>1.2121616579151979E-11</v>
      </c>
      <c r="L48" s="58">
        <f t="shared" si="156"/>
        <v>1.2121616579151979E-11</v>
      </c>
      <c r="M48" s="58">
        <f t="shared" si="156"/>
        <v>1.2121616579151979E-11</v>
      </c>
      <c r="N48" s="73"/>
      <c r="O48" s="70"/>
      <c r="P48" s="70"/>
      <c r="Q48" s="70"/>
      <c r="R48" s="70"/>
      <c r="S48" s="70"/>
      <c r="T48" s="70"/>
      <c r="U48" s="70"/>
      <c r="V48" s="70"/>
      <c r="W48" s="70"/>
      <c r="X48" s="70"/>
      <c r="Y48" s="47">
        <f>IFERROR(IF(SUM(N49:N62)&gt;0.01,1-EXP(-SUM(N49:N62)),SUM(N49:N62)),".")</f>
        <v>1</v>
      </c>
      <c r="Z48" s="47">
        <f t="shared" ref="Z48:AI48" si="157">IFERROR(IF(SUM(O49:O62)&gt;0.01,1-EXP(-SUM(O49:O62)),SUM(O49:O62)),".")</f>
        <v>1</v>
      </c>
      <c r="AA48" s="47">
        <f t="shared" si="157"/>
        <v>1</v>
      </c>
      <c r="AB48" s="47">
        <f t="shared" si="157"/>
        <v>1</v>
      </c>
      <c r="AC48" s="47">
        <f t="shared" si="157"/>
        <v>1</v>
      </c>
      <c r="AD48" s="47">
        <f t="shared" si="157"/>
        <v>1</v>
      </c>
      <c r="AE48" s="47">
        <f t="shared" si="157"/>
        <v>1</v>
      </c>
      <c r="AF48" s="47">
        <f t="shared" si="157"/>
        <v>1</v>
      </c>
      <c r="AG48" s="47">
        <f t="shared" si="157"/>
        <v>1</v>
      </c>
      <c r="AH48" s="47">
        <f t="shared" si="157"/>
        <v>1</v>
      </c>
      <c r="AI48" s="47">
        <f t="shared" si="157"/>
        <v>1</v>
      </c>
      <c r="AJ48" s="58">
        <f t="shared" ref="AJ48:AL48" si="158">1/SUM(1/AJ49,1/AJ52,1/AJ54,1/AJ58,1/AJ59,1/AJ61)</f>
        <v>6.0608082895759896E-9</v>
      </c>
      <c r="AK48" s="58">
        <f t="shared" si="158"/>
        <v>5.66517396628202E-5</v>
      </c>
      <c r="AL48" s="58">
        <f t="shared" si="158"/>
        <v>3.8178473533155005E-6</v>
      </c>
      <c r="AM48" s="58">
        <f>1/SUM(1/AM49,1/AM52,1/AM54,1/AM58,1/AM59,1/AM61)</f>
        <v>6.0444881715129044E-13</v>
      </c>
      <c r="AN48" s="58">
        <f>1/SUM(1/AN49,1/AN52,1/AN54,1/AN58,1/AN59,1/AN61)</f>
        <v>1.2121616579151979E-11</v>
      </c>
      <c r="AO48" s="58">
        <f>1/SUM(1/AO49,1/AO52,1/AO54,1/AO58,1/AO59,1/AO61)</f>
        <v>3.4025590397619588E-15</v>
      </c>
      <c r="AP48" s="58">
        <f>1/SUM(1/AP49,1/AP52,1/AP54,1/AP58,1/AP59,1/AP61)</f>
        <v>3.5046358109548168E-15</v>
      </c>
      <c r="AQ48" s="121">
        <f>IFERROR(1/SUM(1/AQ49,1/AQ52,1/AQ54,1/AQ58,1/AQ59,1/AQ61),".")</f>
        <v>3.4025590397619588E-15</v>
      </c>
      <c r="AR48" s="58">
        <f>1/SUM(1/AR61)</f>
        <v>2.0414673046251994E-14</v>
      </c>
      <c r="AS48" s="58">
        <f>1/SUM(1/AS61)</f>
        <v>2.0414673046251994E-14</v>
      </c>
      <c r="AT48" s="121">
        <f>IFERROR(1/SUM(1/AT49,1/AT52,1/AT54,1/AT58,1/AT59,1/AT61),".")</f>
        <v>3.4025590397619588E-15</v>
      </c>
      <c r="AU48" s="58">
        <f>1/SUM(1/AU52,1/AU58,1/AU61)</f>
        <v>7.0095050462162648E-15</v>
      </c>
      <c r="AV48" s="58">
        <f>1/SUM(1/AV49,1/AV52,1/AV58,1/AV61)</f>
        <v>5.1039234577358853E-15</v>
      </c>
      <c r="AW48" s="58">
        <f>1/SUM(1/AW52,1/AW58)</f>
        <v>1.0514608079627739E-14</v>
      </c>
      <c r="AX48" s="42"/>
      <c r="AY48" s="42"/>
      <c r="AZ48" s="42"/>
      <c r="BA48" s="42"/>
      <c r="BB48" s="42"/>
      <c r="BC48" s="42"/>
      <c r="BD48" s="42"/>
      <c r="BE48" s="42"/>
      <c r="BF48" s="42"/>
      <c r="BG48" s="42"/>
      <c r="BH48" s="42"/>
      <c r="BI48" s="42"/>
      <c r="BJ48" s="42"/>
      <c r="BK48" s="42"/>
      <c r="BL48" s="59">
        <f t="shared" ref="BL48" si="159">1/SUM(1/BL49,1/BL52,1/BL54,1/BL58,1/BL59,1/BL61)</f>
        <v>3.8151560254991255E-16</v>
      </c>
      <c r="BM48" s="70"/>
      <c r="BN48" s="70"/>
      <c r="BO48" s="70"/>
      <c r="BP48" s="73"/>
      <c r="BQ48" s="70"/>
      <c r="BR48" s="70"/>
      <c r="BS48" s="70"/>
      <c r="BT48" s="70"/>
      <c r="BU48" s="70"/>
      <c r="BV48" s="70"/>
      <c r="BW48" s="70"/>
      <c r="BX48" s="70"/>
      <c r="BY48" s="70"/>
      <c r="BZ48" s="70"/>
      <c r="CA48" s="47">
        <f t="shared" ref="CA48:CN48" si="160">IFERROR(IF(SUM(BM49:BM62)&gt;0.01,1-EXP(-SUM(BM49:BM62)),SUM(BM49:BM62)),".")</f>
        <v>1</v>
      </c>
      <c r="CB48" s="47">
        <f t="shared" si="160"/>
        <v>0.12400268396378111</v>
      </c>
      <c r="CC48" s="47">
        <f t="shared" si="160"/>
        <v>0.8390050329406965</v>
      </c>
      <c r="CD48" s="47">
        <f t="shared" si="160"/>
        <v>1</v>
      </c>
      <c r="CE48" s="47">
        <f t="shared" si="160"/>
        <v>1</v>
      </c>
      <c r="CF48" s="47">
        <f t="shared" si="160"/>
        <v>1</v>
      </c>
      <c r="CG48" s="47">
        <f t="shared" si="160"/>
        <v>1</v>
      </c>
      <c r="CH48" s="47">
        <f t="shared" si="160"/>
        <v>1</v>
      </c>
      <c r="CI48" s="47">
        <f t="shared" si="160"/>
        <v>1</v>
      </c>
      <c r="CJ48" s="47">
        <f t="shared" si="160"/>
        <v>1</v>
      </c>
      <c r="CK48" s="47">
        <f t="shared" si="160"/>
        <v>1</v>
      </c>
      <c r="CL48" s="47">
        <f t="shared" si="160"/>
        <v>1</v>
      </c>
      <c r="CM48" s="47">
        <f t="shared" si="160"/>
        <v>1</v>
      </c>
      <c r="CN48" s="47">
        <f t="shared" si="160"/>
        <v>1</v>
      </c>
      <c r="CO48" s="47">
        <f>IFERROR(IF(SUM(BM49:BZ62)&gt;0.01,1-EXP(-SUM(BM49:BZ62)),SUM(BM49:BZ62)),".")</f>
        <v>1</v>
      </c>
      <c r="CP48" s="59">
        <f>1/SUM(1/CP49,1/CP52,1/CP54,1/CP58,1/CP59,1/CP61)</f>
        <v>6.6668891185335878E-11</v>
      </c>
      <c r="CQ48" s="59">
        <f>1/SUM(1/CQ49,1/CQ50)</f>
        <v>1.0971428571428573E-9</v>
      </c>
      <c r="CR48" s="59">
        <f>1/SUM(1/CR49,1/CR50,1/CR51,1/CR52,1/CR53,1/CR54,1/CR55,1/CR58,1/CR61,1/CR56,1/CR57,1/CR59,1/CR60,1/CR62)</f>
        <v>4.8666659323408516E-7</v>
      </c>
      <c r="CS48" s="59">
        <f t="shared" ref="CS48:CV48" si="161">1/SUM(1/CS49,1/CS52,1/CS54,1/CS58,1/CS59,1/CS61)</f>
        <v>3.0147262688068082E-12</v>
      </c>
      <c r="CT48" s="59">
        <f t="shared" si="161"/>
        <v>2.4243233158303956E-9</v>
      </c>
      <c r="CU48" s="59">
        <f t="shared" si="161"/>
        <v>4.8486466316607918E-10</v>
      </c>
      <c r="CV48" s="59">
        <f t="shared" si="161"/>
        <v>4.9941060306106139E-10</v>
      </c>
      <c r="CW48" s="59">
        <f>(IFERROR(1/SUM(1/CW49,1/CW50,1/CW51,1/CW52,1/CW53,1/CW54,1/CW55,1/CW58,1/CW61),"."))</f>
        <v>4.1558441558441551E-10</v>
      </c>
      <c r="CX48" s="59">
        <f>1/SUM(1/CX61)</f>
        <v>2.9090909090909087E-9</v>
      </c>
      <c r="CY48" s="59">
        <f>1/SUM(1/CY61)</f>
        <v>2.9090909090909087E-9</v>
      </c>
      <c r="CZ48" s="59">
        <f>(IFERROR(1/SUM(1/CZ49,1/CZ50,1/CZ51,1/CZ52,1/CZ53,1/CZ54,1/CZ55,1/CZ58,1/CZ61),"."))</f>
        <v>4.1558441558441551E-10</v>
      </c>
      <c r="DA48" s="59">
        <f>1/SUM(1/DA52,1/DA58,1/DA61)</f>
        <v>9.9885446908581754E-10</v>
      </c>
      <c r="DB48" s="59">
        <f>1/SUM(1/DB49,1/DB52,1/DB58,1/DB61)</f>
        <v>7.273090927273636E-10</v>
      </c>
      <c r="DC48" s="59">
        <f>1/SUM(1/DC52,1/DC58)</f>
        <v>1.4983316513469522E-9</v>
      </c>
      <c r="DD48" s="15"/>
      <c r="DE48" s="15"/>
      <c r="DF48" s="15"/>
      <c r="DG48" s="15"/>
      <c r="DH48" s="15"/>
      <c r="DI48" s="15"/>
      <c r="DJ48" s="15"/>
      <c r="DK48" s="15"/>
      <c r="DL48" s="15"/>
      <c r="DM48" s="15"/>
      <c r="DN48" s="15"/>
      <c r="DO48" s="15"/>
      <c r="DP48" s="15"/>
      <c r="DQ48" s="15"/>
      <c r="DR48" s="59">
        <f>1/SUM(1/DR49,1/DR50,1/DR51,1/DR52,1/DR53,1/DR54,1/DR55,1/DR58,1/DR61,1/DR56,1/DR57,1/DR59,1/DR60,1/DR62)</f>
        <v>1.820896670709159E-12</v>
      </c>
      <c r="DS48" s="70"/>
      <c r="DT48" s="70"/>
      <c r="DU48" s="70"/>
      <c r="DV48" s="73"/>
      <c r="DW48" s="70"/>
      <c r="DX48" s="70"/>
      <c r="DY48" s="70"/>
      <c r="DZ48" s="70"/>
      <c r="EA48" s="70"/>
      <c r="EB48" s="70"/>
      <c r="EC48" s="70"/>
      <c r="ED48" s="70"/>
      <c r="EE48" s="70"/>
      <c r="EF48" s="70"/>
      <c r="EG48" s="47">
        <f t="shared" ref="EG48:ET48" si="162">IFERROR(IF(SUM(DS49:DS62)&gt;0.01,1-EXP(-SUM(DS49:DS62)),SUM(DS49:DS62)),".")</f>
        <v>1</v>
      </c>
      <c r="EH48" s="47">
        <f t="shared" si="162"/>
        <v>1</v>
      </c>
      <c r="EI48" s="47">
        <f t="shared" si="162"/>
        <v>0.99996548008496122</v>
      </c>
      <c r="EJ48" s="47">
        <f t="shared" si="162"/>
        <v>1</v>
      </c>
      <c r="EK48" s="47">
        <f t="shared" si="162"/>
        <v>1</v>
      </c>
      <c r="EL48" s="47">
        <f t="shared" si="162"/>
        <v>1</v>
      </c>
      <c r="EM48" s="47">
        <f t="shared" si="162"/>
        <v>1</v>
      </c>
      <c r="EN48" s="47">
        <f t="shared" si="162"/>
        <v>1</v>
      </c>
      <c r="EO48" s="47">
        <f t="shared" si="162"/>
        <v>1</v>
      </c>
      <c r="EP48" s="47">
        <f t="shared" si="162"/>
        <v>1</v>
      </c>
      <c r="EQ48" s="47">
        <f t="shared" si="162"/>
        <v>1</v>
      </c>
      <c r="ER48" s="47">
        <f t="shared" si="162"/>
        <v>1</v>
      </c>
      <c r="ES48" s="47">
        <f t="shared" si="162"/>
        <v>1</v>
      </c>
      <c r="ET48" s="47">
        <f t="shared" si="162"/>
        <v>1</v>
      </c>
      <c r="EU48" s="47">
        <f>IFERROR(IF(SUM(DS49:EF62)&gt;0.01,1-EXP(-SUM(DS49:EF62)),SUM(DS49:EF62)),".")</f>
        <v>1</v>
      </c>
      <c r="EV48" s="59">
        <f>1/SUM(1/EV49,1/EV50,1/EV51,1/EV52,1/EV54,1/EV58,1/EV59,1/EV61)</f>
        <v>1.3714628922874512E-10</v>
      </c>
      <c r="EW48" s="59">
        <f t="shared" ref="EW48:EX48" si="163">1/SUM(1/EW49,1/EW50,1/EW51,1/EW52,1/EW53,1/EW54,1/EW55,1/EW58,1/EW61,1/EW56,1/EW57,1/EW59,1/EW60,1/EW62)</f>
        <v>1.9466663729363409E-7</v>
      </c>
      <c r="EX48" s="59">
        <f t="shared" si="163"/>
        <v>1.218284517209632E-10</v>
      </c>
      <c r="EY48" s="70"/>
      <c r="EZ48" s="70"/>
      <c r="FA48" s="47">
        <f>IFERROR(IF(SUM(EY49:EY62)&gt;0.01,1-EXP(-SUM(EY49:EY62)),SUM(EY49:EY62)),".")</f>
        <v>1</v>
      </c>
      <c r="FB48" s="47">
        <f>IFERROR(IF(SUM(EZ49:EZ62)&gt;0.01,1-EXP(-SUM(EZ49:EZ62)),SUM(EZ49:EZ62)),".")</f>
        <v>0.99999999999299882</v>
      </c>
      <c r="FC48" s="47">
        <f>IFERROR(IF(SUM(EY49:EZ62)&gt;0.01,1-EXP(-SUM(EY49:EZ62)),SUM(EY49:EZ62)),".")</f>
        <v>1</v>
      </c>
    </row>
    <row r="49" spans="1:159" x14ac:dyDescent="0.25">
      <c r="A49" s="83" t="s">
        <v>1103</v>
      </c>
      <c r="B49" s="42">
        <v>1</v>
      </c>
      <c r="C49" s="60">
        <f t="shared" ref="C49:M49" si="164">IFERROR(C23/$B49,0)</f>
        <v>1.8181818181818181E-11</v>
      </c>
      <c r="D49" s="60">
        <f t="shared" si="164"/>
        <v>7.2727272727272723E-11</v>
      </c>
      <c r="E49" s="60">
        <f t="shared" si="164"/>
        <v>7.2727272727272723E-11</v>
      </c>
      <c r="F49" s="60">
        <f t="shared" si="164"/>
        <v>7.2727272727272723E-11</v>
      </c>
      <c r="G49" s="60">
        <f t="shared" si="164"/>
        <v>7.2727272727272723E-11</v>
      </c>
      <c r="H49" s="60">
        <f t="shared" si="164"/>
        <v>7.2727272727272723E-11</v>
      </c>
      <c r="I49" s="60">
        <f t="shared" si="164"/>
        <v>7.2727272727272723E-11</v>
      </c>
      <c r="J49" s="60">
        <f t="shared" si="164"/>
        <v>7.2727272727272723E-11</v>
      </c>
      <c r="K49" s="60">
        <f t="shared" si="164"/>
        <v>7.2727272727272723E-11</v>
      </c>
      <c r="L49" s="60">
        <f t="shared" si="164"/>
        <v>7.2727272727272723E-11</v>
      </c>
      <c r="M49" s="60">
        <f t="shared" si="164"/>
        <v>7.2727272727272723E-11</v>
      </c>
      <c r="N49" s="71">
        <f>up_dir!BA49</f>
        <v>275000</v>
      </c>
      <c r="O49" s="71">
        <f>IFERROR(up_RadSpec!$E$23*O23,".")*$B$49</f>
        <v>68750</v>
      </c>
      <c r="P49" s="71">
        <f>IFERROR(up_RadSpec!$E$23*P23,".")*$B$49</f>
        <v>68750</v>
      </c>
      <c r="Q49" s="71">
        <f>IFERROR(up_RadSpec!$E$23*Q23,".")*$B$49</f>
        <v>68750</v>
      </c>
      <c r="R49" s="71">
        <f>IFERROR(up_RadSpec!$E$23*R23,".")*$B$49</f>
        <v>68750</v>
      </c>
      <c r="S49" s="71">
        <f>IFERROR(up_RadSpec!$E$23*S23,".")*$B$49</f>
        <v>68750</v>
      </c>
      <c r="T49" s="71">
        <f>IFERROR(up_RadSpec!$E$23*T23,".")*$B$49</f>
        <v>68750</v>
      </c>
      <c r="U49" s="71">
        <f>IFERROR(up_RadSpec!$E$23*U23,".")*$B$49</f>
        <v>68750</v>
      </c>
      <c r="V49" s="71">
        <f>IFERROR(up_RadSpec!$E$23*V23,".")*$B$49</f>
        <v>68750</v>
      </c>
      <c r="W49" s="71">
        <f>IFERROR(up_RadSpec!$E$23*W23,".")*$B$49</f>
        <v>68750</v>
      </c>
      <c r="X49" s="71">
        <f>IFERROR(up_RadSpec!$E$23*X23,".")*$B$49</f>
        <v>68750</v>
      </c>
      <c r="Y49" s="49">
        <f t="shared" ref="Y49:AI62" si="165">IFERROR(IF(N49&gt;0.01,1-EXP(-N49),N49),".")</f>
        <v>1</v>
      </c>
      <c r="Z49" s="49">
        <f t="shared" si="165"/>
        <v>1</v>
      </c>
      <c r="AA49" s="49">
        <f t="shared" si="165"/>
        <v>1</v>
      </c>
      <c r="AB49" s="49">
        <f t="shared" si="165"/>
        <v>1</v>
      </c>
      <c r="AC49" s="49">
        <f t="shared" si="165"/>
        <v>1</v>
      </c>
      <c r="AD49" s="49">
        <f t="shared" si="165"/>
        <v>1</v>
      </c>
      <c r="AE49" s="49">
        <f t="shared" si="165"/>
        <v>1</v>
      </c>
      <c r="AF49" s="49">
        <f t="shared" si="165"/>
        <v>1</v>
      </c>
      <c r="AG49" s="49">
        <f t="shared" si="165"/>
        <v>1</v>
      </c>
      <c r="AH49" s="49">
        <f t="shared" si="165"/>
        <v>1</v>
      </c>
      <c r="AI49" s="49">
        <f t="shared" si="165"/>
        <v>1</v>
      </c>
      <c r="AJ49" s="60">
        <f t="shared" ref="AJ49:AW49" si="166">IFERROR(AJ23/$B49,0)</f>
        <v>3.6363636363636363E-8</v>
      </c>
      <c r="AK49" s="60">
        <f t="shared" si="166"/>
        <v>3.3989909629864073E-4</v>
      </c>
      <c r="AL49" s="60">
        <f t="shared" si="166"/>
        <v>1.6043464952555859E-5</v>
      </c>
      <c r="AM49" s="60">
        <f t="shared" si="166"/>
        <v>3.6265718922545492E-12</v>
      </c>
      <c r="AN49" s="60">
        <f>IFERROR(AN23/$B49,0)</f>
        <v>7.2727272727272723E-11</v>
      </c>
      <c r="AO49" s="60">
        <f>IFERROR(AO23/$B49,0)</f>
        <v>2.0414673046251994E-14</v>
      </c>
      <c r="AP49" s="60">
        <f>IFERROR(AP23/$B49,0)</f>
        <v>2.102711323763955E-14</v>
      </c>
      <c r="AQ49" s="60">
        <f>IFERROR(AQ23/$B49,0)</f>
        <v>2.0414673046251994E-14</v>
      </c>
      <c r="AR49" s="60">
        <f t="shared" si="166"/>
        <v>2.0414673046251994E-14</v>
      </c>
      <c r="AS49" s="60">
        <f t="shared" si="166"/>
        <v>2.0414673046251994E-14</v>
      </c>
      <c r="AT49" s="60">
        <f t="shared" si="166"/>
        <v>2.0414673046251994E-14</v>
      </c>
      <c r="AU49" s="60">
        <f>IFERROR(AU23/$B49,0)</f>
        <v>2.102711323763955E-14</v>
      </c>
      <c r="AV49" s="60">
        <f t="shared" si="166"/>
        <v>2.0414673046251994E-14</v>
      </c>
      <c r="AW49" s="60">
        <f t="shared" si="166"/>
        <v>2.102711323763955E-14</v>
      </c>
      <c r="AX49" s="42"/>
      <c r="AY49" s="42"/>
      <c r="AZ49" s="42"/>
      <c r="BA49" s="42"/>
      <c r="BB49" s="42"/>
      <c r="BC49" s="42"/>
      <c r="BD49" s="42"/>
      <c r="BE49" s="42"/>
      <c r="BF49" s="42"/>
      <c r="BG49" s="42"/>
      <c r="BH49" s="42"/>
      <c r="BI49" s="42"/>
      <c r="BJ49" s="42"/>
      <c r="BK49" s="42"/>
      <c r="BL49" s="60">
        <f>IFERROR(BL23/$B49,0)</f>
        <v>2.2890172357779971E-15</v>
      </c>
      <c r="BM49" s="71">
        <f>IFERROR(up_RadSpec!$D$23*BM23,".")*$B$49</f>
        <v>137.5</v>
      </c>
      <c r="BN49" s="71">
        <f>IFERROR(up_RadSpec!$G$23*BN23,".")*$B$49</f>
        <v>1.4710247995501937E-2</v>
      </c>
      <c r="BO49" s="71">
        <f>IFERROR(up_RadSpec!$F$23*BO23,".")*$B$49</f>
        <v>0.31165337505246699</v>
      </c>
      <c r="BP49" s="71">
        <f>up_b2s!BZ49</f>
        <v>1378712.5</v>
      </c>
      <c r="BQ49" s="71">
        <f>IFERROR(up_RadSpec!$E$23*BQ23,".")*$B$49</f>
        <v>68750</v>
      </c>
      <c r="BR49" s="71">
        <f>IFERROR(up_RadSpec!$E$23*BR23,".")*$B$49</f>
        <v>244921875</v>
      </c>
      <c r="BS49" s="71">
        <f>IFERROR(up_RadSpec!$E$23*BS23,".")*$B$49</f>
        <v>237788228.15533978</v>
      </c>
      <c r="BT49" s="71">
        <f>IFERROR(up_RadSpec!$E$23*BT23,".")*$B$49</f>
        <v>244921875</v>
      </c>
      <c r="BU49" s="71">
        <f>IFERROR(up_RadSpec!$E$23*BU23,".")*$B$49</f>
        <v>244921875</v>
      </c>
      <c r="BV49" s="71">
        <f>IFERROR(up_RadSpec!$E$23*BV23,".")*$B$49</f>
        <v>244921875</v>
      </c>
      <c r="BW49" s="71">
        <f>IFERROR(up_RadSpec!$E$23*BW23,".")*$B$49</f>
        <v>244921875</v>
      </c>
      <c r="BX49" s="71">
        <f>IFERROR(up_RadSpec!$E$23*BX23,".")*$B$49</f>
        <v>237788228.15533978</v>
      </c>
      <c r="BY49" s="71">
        <f>IFERROR(up_RadSpec!$E$23*BY23,".")*$B$49</f>
        <v>244921875</v>
      </c>
      <c r="BZ49" s="71">
        <f>IFERROR(up_RadSpec!$E$23*BZ23,".")*$B$49</f>
        <v>237788228.15533978</v>
      </c>
      <c r="CA49" s="49">
        <f t="shared" ref="CA49:CA62" si="167">IFERROR(IF(BM49&gt;0.01,1-EXP(-BM49),BM49),".")</f>
        <v>1</v>
      </c>
      <c r="CB49" s="49">
        <f t="shared" ref="CB49:CB62" si="168">IFERROR(IF(BN49&gt;0.01,1-EXP(-BN49),BN49),".")</f>
        <v>1.4602580880648697E-2</v>
      </c>
      <c r="CC49" s="49">
        <f t="shared" ref="CC49:CC62" si="169">IFERROR(IF(BO49&gt;0.01,1-EXP(-BO49),BO49),".")</f>
        <v>0.26776470473441794</v>
      </c>
      <c r="CD49" s="49">
        <f t="shared" ref="CD49:CD62" si="170">IFERROR(IF(BP49&gt;0.01,1-EXP(-BP49),BP49),".")</f>
        <v>1</v>
      </c>
      <c r="CE49" s="49">
        <f t="shared" ref="CE49:CE62" si="171">IFERROR(IF(BQ49&gt;0.01,1-EXP(-BQ49),BQ49),".")</f>
        <v>1</v>
      </c>
      <c r="CF49" s="49">
        <f t="shared" ref="CF49:CF62" si="172">IFERROR(IF(BR49&gt;0.01,1-EXP(-BR49),BR49),".")</f>
        <v>1</v>
      </c>
      <c r="CG49" s="49">
        <f t="shared" ref="CG49:CG62" si="173">IFERROR(IF(BS49&gt;0.01,1-EXP(-BS49),BS49),".")</f>
        <v>1</v>
      </c>
      <c r="CH49" s="49">
        <f t="shared" ref="CH49:CH62" si="174">IFERROR(IF(BT49&gt;0.01,1-EXP(-BT49),BT49),".")</f>
        <v>1</v>
      </c>
      <c r="CI49" s="49">
        <f t="shared" ref="CI49:CI62" si="175">IFERROR(IF(BU49&gt;0.01,1-EXP(-BU49),BU49),".")</f>
        <v>1</v>
      </c>
      <c r="CJ49" s="49">
        <f t="shared" ref="CJ49:CJ62" si="176">IFERROR(IF(BV49&gt;0.01,1-EXP(-BV49),BV49),".")</f>
        <v>1</v>
      </c>
      <c r="CK49" s="49">
        <f t="shared" ref="CK49:CK62" si="177">IFERROR(IF(BW49&gt;0.01,1-EXP(-BW49),BW49),".")</f>
        <v>1</v>
      </c>
      <c r="CL49" s="49">
        <f t="shared" ref="CL49:CL62" si="178">IFERROR(IF(BX49&gt;0.01,1-EXP(-BX49),BX49),".")</f>
        <v>1</v>
      </c>
      <c r="CM49" s="49">
        <f t="shared" ref="CM49:CM62" si="179">IFERROR(IF(BY49&gt;0.01,1-EXP(-BY49),BY49),".")</f>
        <v>1</v>
      </c>
      <c r="CN49" s="49">
        <f t="shared" ref="CN49:CN62" si="180">IFERROR(IF(BZ49&gt;0.01,1-EXP(-BZ49),BZ49),".")</f>
        <v>1</v>
      </c>
      <c r="CO49" s="49">
        <f t="shared" ref="CO49:CO62" si="181">IFERROR(IF(SUM(BM49:BZ49)&gt;0.01,1-EXP(-SUM(BM49:BZ49)),SUM(BM49:BZ49)),".")</f>
        <v>1</v>
      </c>
      <c r="CP49" s="60">
        <f t="shared" ref="CP49:DC49" si="182">IFERROR(CP23/$B49,0)</f>
        <v>3.9999999999999996E-10</v>
      </c>
      <c r="CQ49" s="60">
        <f t="shared" si="182"/>
        <v>2.1942857142857146E-9</v>
      </c>
      <c r="CR49" s="60">
        <f t="shared" si="182"/>
        <v>4.3800000000000004E-6</v>
      </c>
      <c r="CS49" s="60">
        <f t="shared" si="182"/>
        <v>1.8087754064641833E-11</v>
      </c>
      <c r="CT49" s="60">
        <f>IFERROR(CT23/$B49,0)</f>
        <v>1.4545454545454544E-8</v>
      </c>
      <c r="CU49" s="60">
        <f>IFERROR(CU23/$B49,0)</f>
        <v>2.9090909090909087E-9</v>
      </c>
      <c r="CV49" s="60">
        <f>IFERROR(CV23/$B49,0)</f>
        <v>2.9963636363636357E-9</v>
      </c>
      <c r="CW49" s="60">
        <f>IFERROR(CW23/$B49,0)</f>
        <v>2.9090909090909087E-9</v>
      </c>
      <c r="CX49" s="60">
        <f t="shared" si="182"/>
        <v>2.9090909090909087E-9</v>
      </c>
      <c r="CY49" s="60">
        <f t="shared" si="182"/>
        <v>2.9090909090909087E-9</v>
      </c>
      <c r="CZ49" s="60">
        <f t="shared" si="182"/>
        <v>2.9090909090909087E-9</v>
      </c>
      <c r="DA49" s="60">
        <f>IFERROR(DA23/$B49,0)</f>
        <v>2.9963636363636357E-9</v>
      </c>
      <c r="DB49" s="60">
        <f t="shared" si="182"/>
        <v>2.9090909090909087E-9</v>
      </c>
      <c r="DC49" s="60">
        <f t="shared" si="182"/>
        <v>2.9963636363636357E-9</v>
      </c>
      <c r="DD49" s="15"/>
      <c r="DE49" s="15"/>
      <c r="DF49" s="15"/>
      <c r="DG49" s="15"/>
      <c r="DH49" s="15"/>
      <c r="DI49" s="15"/>
      <c r="DJ49" s="15"/>
      <c r="DK49" s="15"/>
      <c r="DL49" s="15"/>
      <c r="DM49" s="15"/>
      <c r="DN49" s="15"/>
      <c r="DO49" s="15"/>
      <c r="DP49" s="15"/>
      <c r="DQ49" s="15"/>
      <c r="DR49" s="60">
        <f>IFERROR(DR23/$B49,0)</f>
        <v>1.6293426419822685E-11</v>
      </c>
      <c r="DS49" s="71">
        <f>IFERROR(up_RadSpec!$H$23*DS23,".")*$B$49</f>
        <v>12500</v>
      </c>
      <c r="DT49" s="71">
        <f>IFERROR(up_RadSpec!$G$23*DT23,".")*$B$49</f>
        <v>2278.645833333333</v>
      </c>
      <c r="DU49" s="71">
        <f>IFERROR(up_RadSpec!$L$23*DU23,".")*$B$49</f>
        <v>1.1415525114155249</v>
      </c>
      <c r="DV49" s="71">
        <f>up_b2w!BZ49</f>
        <v>276430.1185283176</v>
      </c>
      <c r="DW49" s="71">
        <f>IFERROR(up_RadSpec!$E$23*DW23,".")*$B$49</f>
        <v>343.75</v>
      </c>
      <c r="DX49" s="71">
        <f>IFERROR(up_RadSpec!$E$23*DX23,".")*$B$49</f>
        <v>1718.75</v>
      </c>
      <c r="DY49" s="71">
        <f>IFERROR(up_RadSpec!$E$23*DY23,".")*$B$49</f>
        <v>1668.6893203883494</v>
      </c>
      <c r="DZ49" s="71">
        <f>IFERROR(up_RadSpec!$E$23*DZ23,".")*$B$49</f>
        <v>1718.75</v>
      </c>
      <c r="EA49" s="71">
        <f>IFERROR(up_RadSpec!$E$23*EA23,".")*$B$49</f>
        <v>1718.75</v>
      </c>
      <c r="EB49" s="71">
        <f>IFERROR(up_RadSpec!$E$23*EB23,".")*$B$49</f>
        <v>1718.75</v>
      </c>
      <c r="EC49" s="71">
        <f>IFERROR(up_RadSpec!$E$23*EC23,".")*$B$49</f>
        <v>1718.75</v>
      </c>
      <c r="ED49" s="71">
        <f>IFERROR(up_RadSpec!$E$23*ED23,".")*$B$49</f>
        <v>1668.6893203883494</v>
      </c>
      <c r="EE49" s="71">
        <f>IFERROR(up_RadSpec!$E$23*EE23,".")*$B$49</f>
        <v>1718.75</v>
      </c>
      <c r="EF49" s="71">
        <f>IFERROR(up_RadSpec!$E$23*EF23,".")*$B$49</f>
        <v>1668.6893203883494</v>
      </c>
      <c r="EG49" s="49">
        <f t="shared" ref="EG49:EG62" si="183">IFERROR(IF(DS49&gt;0.01,1-EXP(-DS49),DS49),".")</f>
        <v>1</v>
      </c>
      <c r="EH49" s="49">
        <f t="shared" ref="EH49:EH62" si="184">IFERROR(IF(DT49&gt;0.01,1-EXP(-DT49),DT49),".")</f>
        <v>1</v>
      </c>
      <c r="EI49" s="49">
        <f t="shared" ref="EI49:EI62" si="185">IFERROR(IF(DU49&gt;0.01,1-EXP(-DU49),DU49),".")</f>
        <v>0.68067711563678512</v>
      </c>
      <c r="EJ49" s="49">
        <f t="shared" ref="EJ49:EJ62" si="186">IFERROR(IF(DV49&gt;0.01,1-EXP(-DV49),DV49),".")</f>
        <v>1</v>
      </c>
      <c r="EK49" s="49">
        <f t="shared" ref="EK49:ET62" si="187">IFERROR(IF(DW49&gt;0.01,1-EXP(-DW49),DW49),".")</f>
        <v>1</v>
      </c>
      <c r="EL49" s="49">
        <f t="shared" si="187"/>
        <v>1</v>
      </c>
      <c r="EM49" s="49">
        <f t="shared" si="187"/>
        <v>1</v>
      </c>
      <c r="EN49" s="49">
        <f t="shared" si="187"/>
        <v>1</v>
      </c>
      <c r="EO49" s="49">
        <f t="shared" si="187"/>
        <v>1</v>
      </c>
      <c r="EP49" s="49">
        <f t="shared" si="187"/>
        <v>1</v>
      </c>
      <c r="EQ49" s="49">
        <f t="shared" si="187"/>
        <v>1</v>
      </c>
      <c r="ER49" s="49">
        <f t="shared" si="187"/>
        <v>1</v>
      </c>
      <c r="ES49" s="49">
        <f t="shared" si="187"/>
        <v>1</v>
      </c>
      <c r="ET49" s="49">
        <f t="shared" si="187"/>
        <v>1</v>
      </c>
      <c r="EU49" s="49">
        <f t="shared" ref="EU49:EU62" si="188">IFERROR(IF(SUM(DS49:EF49)&gt;0.01,1-EXP(-SUM(DS49:EF49)),SUM(DS49:EF49)),".")</f>
        <v>1</v>
      </c>
      <c r="EV49" s="60">
        <f>IFERROR(EV23/$B49,0)</f>
        <v>1.0971428571428573E-9</v>
      </c>
      <c r="EW49" s="60">
        <f>IFERROR(EW23/$B49,0)</f>
        <v>1.7520000000000001E-6</v>
      </c>
      <c r="EX49" s="60">
        <f>IFERROR(EX23/$B49,0)</f>
        <v>1.0964562309317064E-9</v>
      </c>
      <c r="EY49" s="71">
        <f>IFERROR(up_RadSpec!$G$23*EY23,".")*$B$49</f>
        <v>4557.2916666666661</v>
      </c>
      <c r="EZ49" s="71">
        <f>IFERROR(up_RadSpec!$J$23*EZ23,".")*$B$49</f>
        <v>2.8538812785388123</v>
      </c>
      <c r="FA49" s="49">
        <f t="shared" ref="FA49:FB62" si="189">IFERROR(IF(EY49&gt;0.01,1-EXP(-EY49),EY49),".")</f>
        <v>1</v>
      </c>
      <c r="FB49" s="49">
        <f t="shared" si="189"/>
        <v>0.9423797539167309</v>
      </c>
      <c r="FC49" s="49">
        <f t="shared" ref="FC49:FC62" si="190">IFERROR(IF(SUM(EY49:EZ49)&gt;0.01,1-EXP(-SUM(EY49:EZ49)),SUM(EY49:EZ49)),".")</f>
        <v>1</v>
      </c>
    </row>
    <row r="50" spans="1:159" x14ac:dyDescent="0.25">
      <c r="A50" s="83" t="s">
        <v>1090</v>
      </c>
      <c r="B50" s="42">
        <v>1</v>
      </c>
      <c r="C50" s="60">
        <f t="shared" ref="C50:M50" si="191">IFERROR(C25/$B50,0)</f>
        <v>1.8181818181818181E-11</v>
      </c>
      <c r="D50" s="60">
        <f t="shared" si="191"/>
        <v>7.2727272727272723E-11</v>
      </c>
      <c r="E50" s="60">
        <f t="shared" si="191"/>
        <v>7.2727272727272723E-11</v>
      </c>
      <c r="F50" s="60">
        <f t="shared" si="191"/>
        <v>7.2727272727272723E-11</v>
      </c>
      <c r="G50" s="60">
        <f t="shared" si="191"/>
        <v>7.2727272727272723E-11</v>
      </c>
      <c r="H50" s="60">
        <f t="shared" si="191"/>
        <v>7.2727272727272723E-11</v>
      </c>
      <c r="I50" s="60">
        <f t="shared" si="191"/>
        <v>7.2727272727272723E-11</v>
      </c>
      <c r="J50" s="60">
        <f t="shared" si="191"/>
        <v>7.2727272727272723E-11</v>
      </c>
      <c r="K50" s="60">
        <f t="shared" si="191"/>
        <v>7.2727272727272723E-11</v>
      </c>
      <c r="L50" s="60">
        <f t="shared" si="191"/>
        <v>7.2727272727272723E-11</v>
      </c>
      <c r="M50" s="60">
        <f t="shared" si="191"/>
        <v>7.2727272727272723E-11</v>
      </c>
      <c r="N50" s="71">
        <f>up_dir!BA50</f>
        <v>275000</v>
      </c>
      <c r="O50" s="71">
        <f>IFERROR(up_RadSpec!$E$25*O25,".")*$B$50</f>
        <v>68750</v>
      </c>
      <c r="P50" s="71">
        <f>IFERROR(up_RadSpec!$E$25*P25,".")*$B$50</f>
        <v>68750</v>
      </c>
      <c r="Q50" s="71">
        <f>IFERROR(up_RadSpec!$E$25*Q25,".")*$B$50</f>
        <v>68750</v>
      </c>
      <c r="R50" s="71">
        <f>IFERROR(up_RadSpec!$E$25*R25,".")*$B$50</f>
        <v>68750</v>
      </c>
      <c r="S50" s="71">
        <f>IFERROR(up_RadSpec!$E$25*S25,".")*$B$50</f>
        <v>68750</v>
      </c>
      <c r="T50" s="71">
        <f>IFERROR(up_RadSpec!$E$25*T25,".")*$B$50</f>
        <v>68750</v>
      </c>
      <c r="U50" s="71">
        <f>IFERROR(up_RadSpec!$E$25*U25,".")*$B$50</f>
        <v>68750</v>
      </c>
      <c r="V50" s="71">
        <f>IFERROR(up_RadSpec!$E$25*V25,".")*$B$50</f>
        <v>68750</v>
      </c>
      <c r="W50" s="71">
        <f>IFERROR(up_RadSpec!$E$25*W25,".")*$B$50</f>
        <v>68750</v>
      </c>
      <c r="X50" s="71">
        <f>IFERROR(up_RadSpec!$E$25*X25,".")*$B$50</f>
        <v>68750</v>
      </c>
      <c r="Y50" s="49">
        <f t="shared" si="165"/>
        <v>1</v>
      </c>
      <c r="Z50" s="49">
        <f t="shared" si="165"/>
        <v>1</v>
      </c>
      <c r="AA50" s="49">
        <f t="shared" si="165"/>
        <v>1</v>
      </c>
      <c r="AB50" s="49">
        <f t="shared" si="165"/>
        <v>1</v>
      </c>
      <c r="AC50" s="49">
        <f t="shared" si="165"/>
        <v>1</v>
      </c>
      <c r="AD50" s="49">
        <f t="shared" si="165"/>
        <v>1</v>
      </c>
      <c r="AE50" s="49">
        <f t="shared" si="165"/>
        <v>1</v>
      </c>
      <c r="AF50" s="49">
        <f t="shared" si="165"/>
        <v>1</v>
      </c>
      <c r="AG50" s="49">
        <f t="shared" si="165"/>
        <v>1</v>
      </c>
      <c r="AH50" s="49">
        <f t="shared" si="165"/>
        <v>1</v>
      </c>
      <c r="AI50" s="49">
        <f t="shared" si="165"/>
        <v>1</v>
      </c>
      <c r="AJ50" s="60">
        <f t="shared" ref="AJ50:AW50" si="192">IFERROR(AJ25/$B50,0)</f>
        <v>3.6363636363636363E-8</v>
      </c>
      <c r="AK50" s="60">
        <f t="shared" si="192"/>
        <v>3.3989909629864073E-4</v>
      </c>
      <c r="AL50" s="60">
        <f t="shared" si="192"/>
        <v>2.345381526104418E-5</v>
      </c>
      <c r="AM50" s="60">
        <f t="shared" si="192"/>
        <v>3.6265718922545492E-12</v>
      </c>
      <c r="AN50" s="60">
        <f>IFERROR(AN25/$B50,0)</f>
        <v>7.2727272727272723E-11</v>
      </c>
      <c r="AO50" s="60">
        <f>IFERROR(AO25/$B50,0)</f>
        <v>2.0414673046251994E-14</v>
      </c>
      <c r="AP50" s="60">
        <f>IFERROR(AP25/$B50,0)</f>
        <v>2.102711323763955E-14</v>
      </c>
      <c r="AQ50" s="60">
        <f>IFERROR(AQ25/$B50,0)</f>
        <v>2.0414673046251994E-14</v>
      </c>
      <c r="AR50" s="60">
        <f t="shared" si="192"/>
        <v>2.0414673046251994E-14</v>
      </c>
      <c r="AS50" s="60">
        <f t="shared" si="192"/>
        <v>2.0414673046251994E-14</v>
      </c>
      <c r="AT50" s="60">
        <f t="shared" si="192"/>
        <v>2.0414673046251994E-14</v>
      </c>
      <c r="AU50" s="60">
        <f>IFERROR(AU25/$B50,0)</f>
        <v>2.102711323763955E-14</v>
      </c>
      <c r="AV50" s="60">
        <f t="shared" si="192"/>
        <v>2.0414673046251994E-14</v>
      </c>
      <c r="AW50" s="60">
        <f t="shared" si="192"/>
        <v>2.102711323763955E-14</v>
      </c>
      <c r="AX50" s="42"/>
      <c r="AY50" s="42"/>
      <c r="AZ50" s="42"/>
      <c r="BA50" s="42"/>
      <c r="BB50" s="42"/>
      <c r="BC50" s="42"/>
      <c r="BD50" s="42"/>
      <c r="BE50" s="42"/>
      <c r="BF50" s="42"/>
      <c r="BG50" s="42"/>
      <c r="BH50" s="42"/>
      <c r="BI50" s="42"/>
      <c r="BJ50" s="42"/>
      <c r="BK50" s="42"/>
      <c r="BL50" s="60">
        <f>IFERROR(BL25/$B50,0)</f>
        <v>2.2890172358811836E-15</v>
      </c>
      <c r="BM50" s="71">
        <f>IFERROR(up_RadSpec!$D$25*BM25,".")*$B$50</f>
        <v>137.5</v>
      </c>
      <c r="BN50" s="71">
        <f>IFERROR(up_RadSpec!$G$25*BN25,".")*$B$50</f>
        <v>1.4710247995501937E-2</v>
      </c>
      <c r="BO50" s="71">
        <f>IFERROR(up_RadSpec!$F$25*BO25,".")*$B$50</f>
        <v>0.21318493150684928</v>
      </c>
      <c r="BP50" s="71">
        <f>up_b2s!BZ50</f>
        <v>1378712.5</v>
      </c>
      <c r="BQ50" s="71">
        <f>IFERROR(up_RadSpec!$E$25*BQ25,".")*$B$50</f>
        <v>68750</v>
      </c>
      <c r="BR50" s="71">
        <f>IFERROR(up_RadSpec!$E$25*BR25,".")*$B$50</f>
        <v>244921875</v>
      </c>
      <c r="BS50" s="71">
        <f>IFERROR(up_RadSpec!$E$25*BS25,".")*$B$50</f>
        <v>237788228.15533978</v>
      </c>
      <c r="BT50" s="71">
        <f>IFERROR(up_RadSpec!$E$25*BT25,".")*$B$50</f>
        <v>244921875</v>
      </c>
      <c r="BU50" s="71">
        <f>IFERROR(up_RadSpec!$E$25*BU25,".")*$B$50</f>
        <v>244921875</v>
      </c>
      <c r="BV50" s="71">
        <f>IFERROR(up_RadSpec!$E$25*BV25,".")*$B$50</f>
        <v>244921875</v>
      </c>
      <c r="BW50" s="71">
        <f>IFERROR(up_RadSpec!$E$25*BW25,".")*$B$50</f>
        <v>244921875</v>
      </c>
      <c r="BX50" s="71">
        <f>IFERROR(up_RadSpec!$E$25*BX25,".")*$B$50</f>
        <v>237788228.15533978</v>
      </c>
      <c r="BY50" s="71">
        <f>IFERROR(up_RadSpec!$E$25*BY25,".")*$B$50</f>
        <v>244921875</v>
      </c>
      <c r="BZ50" s="71">
        <f>IFERROR(up_RadSpec!$E$25*BZ25,".")*$B$50</f>
        <v>237788228.15533978</v>
      </c>
      <c r="CA50" s="49">
        <f t="shared" si="167"/>
        <v>1</v>
      </c>
      <c r="CB50" s="49">
        <f t="shared" si="168"/>
        <v>1.4602580880648697E-2</v>
      </c>
      <c r="CC50" s="49">
        <f t="shared" si="169"/>
        <v>0.19199330249725499</v>
      </c>
      <c r="CD50" s="49">
        <f t="shared" si="170"/>
        <v>1</v>
      </c>
      <c r="CE50" s="49">
        <f t="shared" si="171"/>
        <v>1</v>
      </c>
      <c r="CF50" s="49">
        <f t="shared" si="172"/>
        <v>1</v>
      </c>
      <c r="CG50" s="49">
        <f t="shared" si="173"/>
        <v>1</v>
      </c>
      <c r="CH50" s="49">
        <f t="shared" si="174"/>
        <v>1</v>
      </c>
      <c r="CI50" s="49">
        <f t="shared" si="175"/>
        <v>1</v>
      </c>
      <c r="CJ50" s="49">
        <f t="shared" si="176"/>
        <v>1</v>
      </c>
      <c r="CK50" s="49">
        <f t="shared" si="177"/>
        <v>1</v>
      </c>
      <c r="CL50" s="49">
        <f t="shared" si="178"/>
        <v>1</v>
      </c>
      <c r="CM50" s="49">
        <f t="shared" si="179"/>
        <v>1</v>
      </c>
      <c r="CN50" s="49">
        <f t="shared" si="180"/>
        <v>1</v>
      </c>
      <c r="CO50" s="49">
        <f t="shared" si="181"/>
        <v>1</v>
      </c>
      <c r="CP50" s="60">
        <f t="shared" ref="CP50:DC50" si="193">IFERROR(CP25/$B50,0)</f>
        <v>3.9999999999999996E-10</v>
      </c>
      <c r="CQ50" s="60">
        <f t="shared" si="193"/>
        <v>2.1942857142857146E-9</v>
      </c>
      <c r="CR50" s="60">
        <f t="shared" si="193"/>
        <v>4.3800000000000004E-6</v>
      </c>
      <c r="CS50" s="60">
        <f t="shared" si="193"/>
        <v>1.8087754064641833E-11</v>
      </c>
      <c r="CT50" s="60">
        <f>IFERROR(CT25/$B50,0)</f>
        <v>1.4545454545454544E-8</v>
      </c>
      <c r="CU50" s="60">
        <f>IFERROR(CU25/$B50,0)</f>
        <v>2.9090909090909087E-9</v>
      </c>
      <c r="CV50" s="60">
        <f>IFERROR(CV25/$B50,0)</f>
        <v>2.9963636363636357E-9</v>
      </c>
      <c r="CW50" s="60">
        <f>IFERROR(CW25/$B50,0)</f>
        <v>2.9090909090909087E-9</v>
      </c>
      <c r="CX50" s="60">
        <f t="shared" si="193"/>
        <v>2.9090909090909087E-9</v>
      </c>
      <c r="CY50" s="60">
        <f t="shared" si="193"/>
        <v>2.9090909090909087E-9</v>
      </c>
      <c r="CZ50" s="60">
        <f t="shared" si="193"/>
        <v>2.9090909090909087E-9</v>
      </c>
      <c r="DA50" s="60">
        <f>IFERROR(DA25/$B50,0)</f>
        <v>2.9963636363636357E-9</v>
      </c>
      <c r="DB50" s="60">
        <f t="shared" si="193"/>
        <v>2.9090909090909087E-9</v>
      </c>
      <c r="DC50" s="60">
        <f t="shared" si="193"/>
        <v>2.9963636363636357E-9</v>
      </c>
      <c r="DD50" s="15"/>
      <c r="DE50" s="15"/>
      <c r="DF50" s="15"/>
      <c r="DG50" s="15"/>
      <c r="DH50" s="15"/>
      <c r="DI50" s="15"/>
      <c r="DJ50" s="15"/>
      <c r="DK50" s="15"/>
      <c r="DL50" s="15"/>
      <c r="DM50" s="15"/>
      <c r="DN50" s="15"/>
      <c r="DO50" s="15"/>
      <c r="DP50" s="15"/>
      <c r="DQ50" s="15"/>
      <c r="DR50" s="60">
        <f>IFERROR(DR25/$B50,0)</f>
        <v>1.6293426419822685E-11</v>
      </c>
      <c r="DS50" s="71">
        <f>IFERROR(up_RadSpec!$H$25*DS25,".")*$B$50</f>
        <v>12500</v>
      </c>
      <c r="DT50" s="71">
        <f>IFERROR(up_RadSpec!$G$25*DT25,".")*$B$50</f>
        <v>2278.645833333333</v>
      </c>
      <c r="DU50" s="71">
        <f>IFERROR(up_RadSpec!$L$25*DU25,".")*$B$50</f>
        <v>1.1415525114155249</v>
      </c>
      <c r="DV50" s="71">
        <f>up_b2w!BZ50</f>
        <v>276430.1185283176</v>
      </c>
      <c r="DW50" s="71">
        <f>IFERROR(up_RadSpec!$E$25*DW25,".")*$B$50</f>
        <v>343.75</v>
      </c>
      <c r="DX50" s="71">
        <f>IFERROR(up_RadSpec!$E$25*DX25,".")*$B$50</f>
        <v>1718.75</v>
      </c>
      <c r="DY50" s="71">
        <f>IFERROR(up_RadSpec!$E$25*DY25,".")*$B$50</f>
        <v>1668.6893203883494</v>
      </c>
      <c r="DZ50" s="71">
        <f>IFERROR(up_RadSpec!$E$25*DZ25,".")*$B$50</f>
        <v>1718.75</v>
      </c>
      <c r="EA50" s="71">
        <f>IFERROR(up_RadSpec!$E$25*EA25,".")*$B$50</f>
        <v>1718.75</v>
      </c>
      <c r="EB50" s="71">
        <f>IFERROR(up_RadSpec!$E$25*EB25,".")*$B$50</f>
        <v>1718.75</v>
      </c>
      <c r="EC50" s="71">
        <f>IFERROR(up_RadSpec!$E$25*EC25,".")*$B$50</f>
        <v>1718.75</v>
      </c>
      <c r="ED50" s="71">
        <f>IFERROR(up_RadSpec!$E$25*ED25,".")*$B$50</f>
        <v>1668.6893203883494</v>
      </c>
      <c r="EE50" s="71">
        <f>IFERROR(up_RadSpec!$E$25*EE25,".")*$B$50</f>
        <v>1718.75</v>
      </c>
      <c r="EF50" s="71">
        <f>IFERROR(up_RadSpec!$E$25*EF25,".")*$B$50</f>
        <v>1668.6893203883494</v>
      </c>
      <c r="EG50" s="49">
        <f t="shared" si="183"/>
        <v>1</v>
      </c>
      <c r="EH50" s="49">
        <f t="shared" si="184"/>
        <v>1</v>
      </c>
      <c r="EI50" s="49">
        <f t="shared" si="185"/>
        <v>0.68067711563678512</v>
      </c>
      <c r="EJ50" s="49">
        <f t="shared" si="186"/>
        <v>1</v>
      </c>
      <c r="EK50" s="49">
        <f t="shared" si="187"/>
        <v>1</v>
      </c>
      <c r="EL50" s="49">
        <f t="shared" si="187"/>
        <v>1</v>
      </c>
      <c r="EM50" s="49">
        <f t="shared" si="187"/>
        <v>1</v>
      </c>
      <c r="EN50" s="49">
        <f t="shared" si="187"/>
        <v>1</v>
      </c>
      <c r="EO50" s="49">
        <f t="shared" si="187"/>
        <v>1</v>
      </c>
      <c r="EP50" s="49">
        <f t="shared" si="187"/>
        <v>1</v>
      </c>
      <c r="EQ50" s="49">
        <f t="shared" si="187"/>
        <v>1</v>
      </c>
      <c r="ER50" s="49">
        <f t="shared" si="187"/>
        <v>1</v>
      </c>
      <c r="ES50" s="49">
        <f t="shared" si="187"/>
        <v>1</v>
      </c>
      <c r="ET50" s="49">
        <f t="shared" si="187"/>
        <v>1</v>
      </c>
      <c r="EU50" s="49">
        <f t="shared" si="188"/>
        <v>1</v>
      </c>
      <c r="EV50" s="60">
        <f>IFERROR(EV25/$B50,0)</f>
        <v>1.0971428571428573E-9</v>
      </c>
      <c r="EW50" s="60">
        <f>IFERROR(EW25/$B50,0)</f>
        <v>1.7520000000000001E-6</v>
      </c>
      <c r="EX50" s="60">
        <f>IFERROR(EX25/$B50,0)</f>
        <v>1.0964562309317064E-9</v>
      </c>
      <c r="EY50" s="71">
        <f>IFERROR(up_RadSpec!$G$25*EY25,".")*$B$50</f>
        <v>4557.2916666666661</v>
      </c>
      <c r="EZ50" s="71">
        <f>IFERROR(up_RadSpec!$J$25*EZ25,".")*$B$50</f>
        <v>2.8538812785388123</v>
      </c>
      <c r="FA50" s="49">
        <f t="shared" si="189"/>
        <v>1</v>
      </c>
      <c r="FB50" s="49">
        <f t="shared" si="189"/>
        <v>0.9423797539167309</v>
      </c>
      <c r="FC50" s="49">
        <f t="shared" si="190"/>
        <v>1</v>
      </c>
    </row>
    <row r="51" spans="1:159" x14ac:dyDescent="0.25">
      <c r="A51" s="83" t="s">
        <v>1076</v>
      </c>
      <c r="B51" s="42">
        <v>1</v>
      </c>
      <c r="C51" s="60">
        <f t="shared" ref="C51:M51" si="194">IFERROR(C21/$B51,0)</f>
        <v>1.8181818181818181E-11</v>
      </c>
      <c r="D51" s="60">
        <f t="shared" si="194"/>
        <v>7.2727272727272723E-11</v>
      </c>
      <c r="E51" s="60">
        <f t="shared" si="194"/>
        <v>7.2727272727272723E-11</v>
      </c>
      <c r="F51" s="60">
        <f t="shared" si="194"/>
        <v>7.2727272727272723E-11</v>
      </c>
      <c r="G51" s="60">
        <f t="shared" si="194"/>
        <v>7.2727272727272723E-11</v>
      </c>
      <c r="H51" s="60">
        <f t="shared" si="194"/>
        <v>7.2727272727272723E-11</v>
      </c>
      <c r="I51" s="60">
        <f t="shared" si="194"/>
        <v>7.2727272727272723E-11</v>
      </c>
      <c r="J51" s="60">
        <f t="shared" si="194"/>
        <v>7.2727272727272723E-11</v>
      </c>
      <c r="K51" s="60">
        <f t="shared" si="194"/>
        <v>7.2727272727272723E-11</v>
      </c>
      <c r="L51" s="60">
        <f t="shared" si="194"/>
        <v>7.2727272727272723E-11</v>
      </c>
      <c r="M51" s="60">
        <f t="shared" si="194"/>
        <v>7.2727272727272723E-11</v>
      </c>
      <c r="N51" s="71">
        <f>up_dir!BA51</f>
        <v>275000</v>
      </c>
      <c r="O51" s="71">
        <f>IFERROR(up_RadSpec!$E$21*O21,".")*$B$51</f>
        <v>68750</v>
      </c>
      <c r="P51" s="71">
        <f>IFERROR(up_RadSpec!$E$21*P21,".")*$B$51</f>
        <v>68750</v>
      </c>
      <c r="Q51" s="71">
        <f>IFERROR(up_RadSpec!$E$21*Q21,".")*$B$51</f>
        <v>68750</v>
      </c>
      <c r="R51" s="71">
        <f>IFERROR(up_RadSpec!$E$21*R21,".")*$B$51</f>
        <v>68750</v>
      </c>
      <c r="S51" s="71">
        <f>IFERROR(up_RadSpec!$E$21*S21,".")*$B$51</f>
        <v>68750</v>
      </c>
      <c r="T51" s="71">
        <f>IFERROR(up_RadSpec!$E$21*T21,".")*$B$51</f>
        <v>68750</v>
      </c>
      <c r="U51" s="71">
        <f>IFERROR(up_RadSpec!$E$21*U21,".")*$B$51</f>
        <v>68750</v>
      </c>
      <c r="V51" s="71">
        <f>IFERROR(up_RadSpec!$E$21*V21,".")*$B$51</f>
        <v>68750</v>
      </c>
      <c r="W51" s="71">
        <f>IFERROR(up_RadSpec!$E$21*W21,".")*$B$51</f>
        <v>68750</v>
      </c>
      <c r="X51" s="71">
        <f>IFERROR(up_RadSpec!$E$21*X21,".")*$B$51</f>
        <v>68750</v>
      </c>
      <c r="Y51" s="49">
        <f t="shared" si="165"/>
        <v>1</v>
      </c>
      <c r="Z51" s="49">
        <f t="shared" si="165"/>
        <v>1</v>
      </c>
      <c r="AA51" s="49">
        <f t="shared" si="165"/>
        <v>1</v>
      </c>
      <c r="AB51" s="49">
        <f t="shared" si="165"/>
        <v>1</v>
      </c>
      <c r="AC51" s="49">
        <f t="shared" si="165"/>
        <v>1</v>
      </c>
      <c r="AD51" s="49">
        <f t="shared" si="165"/>
        <v>1</v>
      </c>
      <c r="AE51" s="49">
        <f t="shared" si="165"/>
        <v>1</v>
      </c>
      <c r="AF51" s="49">
        <f t="shared" si="165"/>
        <v>1</v>
      </c>
      <c r="AG51" s="49">
        <f t="shared" si="165"/>
        <v>1</v>
      </c>
      <c r="AH51" s="49">
        <f t="shared" si="165"/>
        <v>1</v>
      </c>
      <c r="AI51" s="49">
        <f t="shared" si="165"/>
        <v>1</v>
      </c>
      <c r="AJ51" s="60">
        <f t="shared" ref="AJ51:AW51" si="195">IFERROR(AJ21/$B51,0)</f>
        <v>3.6363636363636363E-8</v>
      </c>
      <c r="AK51" s="60">
        <f t="shared" si="195"/>
        <v>3.3989909629864073E-4</v>
      </c>
      <c r="AL51" s="60">
        <f t="shared" si="195"/>
        <v>0</v>
      </c>
      <c r="AM51" s="60">
        <f t="shared" si="195"/>
        <v>3.6265718922545492E-12</v>
      </c>
      <c r="AN51" s="60">
        <f>IFERROR(AN21/$B51,0)</f>
        <v>7.2727272727272723E-11</v>
      </c>
      <c r="AO51" s="60">
        <f>IFERROR(AO21/$B51,0)</f>
        <v>2.0414673046251994E-14</v>
      </c>
      <c r="AP51" s="60">
        <f>IFERROR(AP21/$B51,0)</f>
        <v>2.102711323763955E-14</v>
      </c>
      <c r="AQ51" s="60">
        <f>IFERROR(AQ21/$B51,0)</f>
        <v>2.0414673046251994E-14</v>
      </c>
      <c r="AR51" s="60">
        <f t="shared" si="195"/>
        <v>2.0414673046251994E-14</v>
      </c>
      <c r="AS51" s="60">
        <f t="shared" si="195"/>
        <v>2.0414673046251994E-14</v>
      </c>
      <c r="AT51" s="60">
        <f t="shared" si="195"/>
        <v>2.0414673046251994E-14</v>
      </c>
      <c r="AU51" s="60">
        <f>IFERROR(AU21/$B51,0)</f>
        <v>2.102711323763955E-14</v>
      </c>
      <c r="AV51" s="60">
        <f t="shared" si="195"/>
        <v>2.0414673046251994E-14</v>
      </c>
      <c r="AW51" s="60">
        <f t="shared" si="195"/>
        <v>2.102711323763955E-14</v>
      </c>
      <c r="AX51" s="42"/>
      <c r="AY51" s="42"/>
      <c r="AZ51" s="42"/>
      <c r="BA51" s="42"/>
      <c r="BB51" s="42"/>
      <c r="BC51" s="42"/>
      <c r="BD51" s="42"/>
      <c r="BE51" s="42"/>
      <c r="BF51" s="42"/>
      <c r="BG51" s="42"/>
      <c r="BH51" s="42"/>
      <c r="BI51" s="42"/>
      <c r="BJ51" s="42"/>
      <c r="BK51" s="42"/>
      <c r="BL51" s="60">
        <f>IFERROR(BL21/$B51,0)</f>
        <v>2.2890172361045847E-15</v>
      </c>
      <c r="BM51" s="71">
        <f>IFERROR(up_RadSpec!$D$21*BM21,".")*$B$51</f>
        <v>137.5</v>
      </c>
      <c r="BN51" s="71">
        <f>IFERROR(up_RadSpec!$G$21*BN21,".")*$B$51</f>
        <v>1.4710247995501937E-2</v>
      </c>
      <c r="BO51" s="71">
        <f>IFERROR(up_RadSpec!$F$21*BO21,".")*$B$51</f>
        <v>0</v>
      </c>
      <c r="BP51" s="71">
        <f>up_b2s!BZ51</f>
        <v>1378712.5</v>
      </c>
      <c r="BQ51" s="71">
        <f>IFERROR(up_RadSpec!$E$21*BQ21,".")*$B$51</f>
        <v>68750</v>
      </c>
      <c r="BR51" s="71">
        <f>IFERROR(up_RadSpec!$E$21*BR21,".")*$B$51</f>
        <v>244921875</v>
      </c>
      <c r="BS51" s="71">
        <f>IFERROR(up_RadSpec!$E$21*BS21,".")*$B$51</f>
        <v>237788228.15533978</v>
      </c>
      <c r="BT51" s="71">
        <f>IFERROR(up_RadSpec!$E$21*BT21,".")*$B$51</f>
        <v>244921875</v>
      </c>
      <c r="BU51" s="71">
        <f>IFERROR(up_RadSpec!$E$21*BU21,".")*$B$51</f>
        <v>244921875</v>
      </c>
      <c r="BV51" s="71">
        <f>IFERROR(up_RadSpec!$E$21*BV21,".")*$B$51</f>
        <v>244921875</v>
      </c>
      <c r="BW51" s="71">
        <f>IFERROR(up_RadSpec!$E$21*BW21,".")*$B$51</f>
        <v>244921875</v>
      </c>
      <c r="BX51" s="71">
        <f>IFERROR(up_RadSpec!$E$21*BX21,".")*$B$51</f>
        <v>237788228.15533978</v>
      </c>
      <c r="BY51" s="71">
        <f>IFERROR(up_RadSpec!$E$21*BY21,".")*$B$51</f>
        <v>244921875</v>
      </c>
      <c r="BZ51" s="71">
        <f>IFERROR(up_RadSpec!$E$21*BZ21,".")*$B$51</f>
        <v>237788228.15533978</v>
      </c>
      <c r="CA51" s="49">
        <f t="shared" si="167"/>
        <v>1</v>
      </c>
      <c r="CB51" s="49">
        <f t="shared" si="168"/>
        <v>1.4602580880648697E-2</v>
      </c>
      <c r="CC51" s="49">
        <f t="shared" si="169"/>
        <v>0</v>
      </c>
      <c r="CD51" s="49">
        <f t="shared" si="170"/>
        <v>1</v>
      </c>
      <c r="CE51" s="49">
        <f t="shared" si="171"/>
        <v>1</v>
      </c>
      <c r="CF51" s="49">
        <f t="shared" si="172"/>
        <v>1</v>
      </c>
      <c r="CG51" s="49">
        <f t="shared" si="173"/>
        <v>1</v>
      </c>
      <c r="CH51" s="49">
        <f t="shared" si="174"/>
        <v>1</v>
      </c>
      <c r="CI51" s="49">
        <f t="shared" si="175"/>
        <v>1</v>
      </c>
      <c r="CJ51" s="49">
        <f t="shared" si="176"/>
        <v>1</v>
      </c>
      <c r="CK51" s="49">
        <f t="shared" si="177"/>
        <v>1</v>
      </c>
      <c r="CL51" s="49">
        <f t="shared" si="178"/>
        <v>1</v>
      </c>
      <c r="CM51" s="49">
        <f t="shared" si="179"/>
        <v>1</v>
      </c>
      <c r="CN51" s="49">
        <f t="shared" si="180"/>
        <v>1</v>
      </c>
      <c r="CO51" s="49">
        <f t="shared" si="181"/>
        <v>1</v>
      </c>
      <c r="CP51" s="60">
        <f t="shared" ref="CP51:DC51" si="196">IFERROR(CP21/$B51,0)</f>
        <v>3.9999999999999996E-10</v>
      </c>
      <c r="CQ51" s="60">
        <f t="shared" si="196"/>
        <v>0</v>
      </c>
      <c r="CR51" s="60">
        <f t="shared" si="196"/>
        <v>4.3800000000000004E-6</v>
      </c>
      <c r="CS51" s="60">
        <f t="shared" si="196"/>
        <v>1.8087754064641833E-11</v>
      </c>
      <c r="CT51" s="60">
        <f>IFERROR(CT21/$B51,0)</f>
        <v>1.4545454545454544E-8</v>
      </c>
      <c r="CU51" s="60">
        <f>IFERROR(CU21/$B51,0)</f>
        <v>2.9090909090909087E-9</v>
      </c>
      <c r="CV51" s="60">
        <f>IFERROR(CV21/$B51,0)</f>
        <v>2.9963636363636357E-9</v>
      </c>
      <c r="CW51" s="60">
        <f>IFERROR(CW21/$B51,0)</f>
        <v>2.9090909090909087E-9</v>
      </c>
      <c r="CX51" s="60">
        <f t="shared" si="196"/>
        <v>2.9090909090909087E-9</v>
      </c>
      <c r="CY51" s="60">
        <f t="shared" si="196"/>
        <v>2.9090909090909087E-9</v>
      </c>
      <c r="CZ51" s="60">
        <f t="shared" si="196"/>
        <v>2.9090909090909087E-9</v>
      </c>
      <c r="DA51" s="60">
        <f>IFERROR(DA21/$B51,0)</f>
        <v>2.9963636363636357E-9</v>
      </c>
      <c r="DB51" s="60">
        <f t="shared" si="196"/>
        <v>2.9090909090909087E-9</v>
      </c>
      <c r="DC51" s="60">
        <f t="shared" si="196"/>
        <v>2.9963636363636357E-9</v>
      </c>
      <c r="DD51" s="15"/>
      <c r="DE51" s="15"/>
      <c r="DF51" s="15"/>
      <c r="DG51" s="15"/>
      <c r="DH51" s="15"/>
      <c r="DI51" s="15"/>
      <c r="DJ51" s="15"/>
      <c r="DK51" s="15"/>
      <c r="DL51" s="15"/>
      <c r="DM51" s="15"/>
      <c r="DN51" s="15"/>
      <c r="DO51" s="15"/>
      <c r="DP51" s="15"/>
      <c r="DQ51" s="15"/>
      <c r="DR51" s="60">
        <f>IFERROR(DR21/$B51,0)</f>
        <v>1.6415316541278672E-11</v>
      </c>
      <c r="DS51" s="71">
        <f>IFERROR(up_RadSpec!$H$21*DS21,".")*$B$51</f>
        <v>12500</v>
      </c>
      <c r="DT51" s="71">
        <f>IFERROR(up_RadSpec!$G$21*DT21,".")*$B$51</f>
        <v>2278.645833333333</v>
      </c>
      <c r="DU51" s="71">
        <f>IFERROR(up_RadSpec!$L$21*DU21,".")*$B$51</f>
        <v>1.1415525114155249</v>
      </c>
      <c r="DV51" s="71">
        <f>up_b2w!BZ51</f>
        <v>276430.1185283176</v>
      </c>
      <c r="DW51" s="71">
        <f>IFERROR(up_RadSpec!$E$21*DW21,".")*$B$51</f>
        <v>343.75</v>
      </c>
      <c r="DX51" s="71">
        <f>IFERROR(up_RadSpec!$E$21*DX21,".")*$B$51</f>
        <v>1718.75</v>
      </c>
      <c r="DY51" s="71">
        <f>IFERROR(up_RadSpec!$E$21*DY21,".")*$B$51</f>
        <v>1668.6893203883494</v>
      </c>
      <c r="DZ51" s="71">
        <f>IFERROR(up_RadSpec!$E$21*DZ21,".")*$B$51</f>
        <v>1718.75</v>
      </c>
      <c r="EA51" s="71">
        <f>IFERROR(up_RadSpec!$E$21*EA21,".")*$B$51</f>
        <v>1718.75</v>
      </c>
      <c r="EB51" s="71">
        <f>IFERROR(up_RadSpec!$E$21*EB21,".")*$B$51</f>
        <v>1718.75</v>
      </c>
      <c r="EC51" s="71">
        <f>IFERROR(up_RadSpec!$E$21*EC21,".")*$B$51</f>
        <v>1718.75</v>
      </c>
      <c r="ED51" s="71">
        <f>IFERROR(up_RadSpec!$E$21*ED21,".")*$B$51</f>
        <v>1668.6893203883494</v>
      </c>
      <c r="EE51" s="71">
        <f>IFERROR(up_RadSpec!$E$21*EE21,".")*$B$51</f>
        <v>1718.75</v>
      </c>
      <c r="EF51" s="71">
        <f>IFERROR(up_RadSpec!$E$21*EF21,".")*$B$51</f>
        <v>1668.6893203883494</v>
      </c>
      <c r="EG51" s="49">
        <f t="shared" si="183"/>
        <v>1</v>
      </c>
      <c r="EH51" s="49">
        <f t="shared" si="184"/>
        <v>1</v>
      </c>
      <c r="EI51" s="49">
        <f t="shared" si="185"/>
        <v>0.68067711563678512</v>
      </c>
      <c r="EJ51" s="49">
        <f t="shared" si="186"/>
        <v>1</v>
      </c>
      <c r="EK51" s="49">
        <f t="shared" si="187"/>
        <v>1</v>
      </c>
      <c r="EL51" s="49">
        <f t="shared" si="187"/>
        <v>1</v>
      </c>
      <c r="EM51" s="49">
        <f t="shared" si="187"/>
        <v>1</v>
      </c>
      <c r="EN51" s="49">
        <f t="shared" si="187"/>
        <v>1</v>
      </c>
      <c r="EO51" s="49">
        <f t="shared" si="187"/>
        <v>1</v>
      </c>
      <c r="EP51" s="49">
        <f t="shared" si="187"/>
        <v>1</v>
      </c>
      <c r="EQ51" s="49">
        <f t="shared" si="187"/>
        <v>1</v>
      </c>
      <c r="ER51" s="49">
        <f t="shared" si="187"/>
        <v>1</v>
      </c>
      <c r="ES51" s="49">
        <f t="shared" si="187"/>
        <v>1</v>
      </c>
      <c r="ET51" s="49">
        <f t="shared" si="187"/>
        <v>1</v>
      </c>
      <c r="EU51" s="49">
        <f t="shared" si="188"/>
        <v>1</v>
      </c>
      <c r="EV51" s="60">
        <f>IFERROR(EV21/$B51,0)</f>
        <v>1.0971428571428573E-9</v>
      </c>
      <c r="EW51" s="60">
        <f>IFERROR(EW21/$B51,0)</f>
        <v>1.7520000000000001E-6</v>
      </c>
      <c r="EX51" s="60">
        <f>IFERROR(EX21/$B51,0)</f>
        <v>1.0964562309317064E-9</v>
      </c>
      <c r="EY51" s="71">
        <f>IFERROR(up_RadSpec!$G$21*EY21,".")*$B$51</f>
        <v>4557.2916666666661</v>
      </c>
      <c r="EZ51" s="71">
        <f>IFERROR(up_RadSpec!$J$21*EZ21,".")*$B$51</f>
        <v>2.8538812785388123</v>
      </c>
      <c r="FA51" s="49">
        <f t="shared" si="189"/>
        <v>1</v>
      </c>
      <c r="FB51" s="49">
        <f t="shared" si="189"/>
        <v>0.9423797539167309</v>
      </c>
      <c r="FC51" s="49">
        <f t="shared" si="190"/>
        <v>1</v>
      </c>
    </row>
    <row r="52" spans="1:159" x14ac:dyDescent="0.25">
      <c r="A52" s="83" t="s">
        <v>1077</v>
      </c>
      <c r="B52" s="85">
        <v>0.99980000000000002</v>
      </c>
      <c r="C52" s="60">
        <f t="shared" ref="C52:M52" si="197">IFERROR(C17/$B52,0)</f>
        <v>1.8185455272872755E-11</v>
      </c>
      <c r="D52" s="60">
        <f t="shared" si="197"/>
        <v>7.2741821091491019E-11</v>
      </c>
      <c r="E52" s="60">
        <f t="shared" si="197"/>
        <v>7.2741821091491019E-11</v>
      </c>
      <c r="F52" s="60">
        <f t="shared" si="197"/>
        <v>7.2741821091491019E-11</v>
      </c>
      <c r="G52" s="60">
        <f t="shared" si="197"/>
        <v>7.2741821091491019E-11</v>
      </c>
      <c r="H52" s="60">
        <f t="shared" si="197"/>
        <v>7.2741821091491019E-11</v>
      </c>
      <c r="I52" s="60">
        <f t="shared" si="197"/>
        <v>7.2741821091491019E-11</v>
      </c>
      <c r="J52" s="60">
        <f t="shared" si="197"/>
        <v>7.2741821091491019E-11</v>
      </c>
      <c r="K52" s="60">
        <f t="shared" si="197"/>
        <v>7.2741821091491019E-11</v>
      </c>
      <c r="L52" s="60">
        <f t="shared" si="197"/>
        <v>7.2741821091491019E-11</v>
      </c>
      <c r="M52" s="60">
        <f t="shared" si="197"/>
        <v>7.2741821091491019E-11</v>
      </c>
      <c r="N52" s="71">
        <f>up_dir!BA52</f>
        <v>275055.01100220042</v>
      </c>
      <c r="O52" s="71">
        <f>IFERROR(up_RadSpec!$E$17*O17,".")*$B$52</f>
        <v>68736.25</v>
      </c>
      <c r="P52" s="71">
        <f>IFERROR(up_RadSpec!$E$17*P17,".")*$B$52</f>
        <v>68736.25</v>
      </c>
      <c r="Q52" s="71">
        <f>IFERROR(up_RadSpec!$E$17*Q17,".")*$B$52</f>
        <v>68736.25</v>
      </c>
      <c r="R52" s="71">
        <f>IFERROR(up_RadSpec!$E$17*R17,".")*$B$52</f>
        <v>68736.25</v>
      </c>
      <c r="S52" s="71">
        <f>IFERROR(up_RadSpec!$E$17*S17,".")*$B$52</f>
        <v>68736.25</v>
      </c>
      <c r="T52" s="71">
        <f>IFERROR(up_RadSpec!$E$17*T17,".")*$B$52</f>
        <v>68736.25</v>
      </c>
      <c r="U52" s="71">
        <f>IFERROR(up_RadSpec!$E$17*U17,".")*$B$52</f>
        <v>68736.25</v>
      </c>
      <c r="V52" s="71">
        <f>IFERROR(up_RadSpec!$E$17*V17,".")*$B$52</f>
        <v>68736.25</v>
      </c>
      <c r="W52" s="71">
        <f>IFERROR(up_RadSpec!$E$17*W17,".")*$B$52</f>
        <v>68736.25</v>
      </c>
      <c r="X52" s="71">
        <f>IFERROR(up_RadSpec!$E$17*X17,".")*$B$52</f>
        <v>68736.25</v>
      </c>
      <c r="Y52" s="49">
        <f t="shared" si="165"/>
        <v>1</v>
      </c>
      <c r="Z52" s="49">
        <f t="shared" si="165"/>
        <v>1</v>
      </c>
      <c r="AA52" s="49">
        <f t="shared" si="165"/>
        <v>1</v>
      </c>
      <c r="AB52" s="49">
        <f t="shared" si="165"/>
        <v>1</v>
      </c>
      <c r="AC52" s="49">
        <f t="shared" si="165"/>
        <v>1</v>
      </c>
      <c r="AD52" s="49">
        <f t="shared" si="165"/>
        <v>1</v>
      </c>
      <c r="AE52" s="49">
        <f t="shared" si="165"/>
        <v>1</v>
      </c>
      <c r="AF52" s="49">
        <f t="shared" si="165"/>
        <v>1</v>
      </c>
      <c r="AG52" s="49">
        <f t="shared" si="165"/>
        <v>1</v>
      </c>
      <c r="AH52" s="49">
        <f t="shared" si="165"/>
        <v>1</v>
      </c>
      <c r="AI52" s="49">
        <f t="shared" si="165"/>
        <v>1</v>
      </c>
      <c r="AJ52" s="60">
        <f t="shared" ref="AJ52:AW52" si="198">IFERROR(AJ17/$B52,0)</f>
        <v>3.6370910545745511E-8</v>
      </c>
      <c r="AK52" s="60">
        <f t="shared" si="198"/>
        <v>3.3996708971658404E-4</v>
      </c>
      <c r="AL52" s="60">
        <f t="shared" si="198"/>
        <v>3.2240214276621542E-5</v>
      </c>
      <c r="AM52" s="60">
        <f t="shared" si="198"/>
        <v>3.6272973517248939E-12</v>
      </c>
      <c r="AN52" s="60">
        <f>IFERROR(AN17/$B52,0)</f>
        <v>7.2741821091491019E-11</v>
      </c>
      <c r="AO52" s="60">
        <f>IFERROR(AO17/$B52,0)</f>
        <v>2.0418756797611515E-14</v>
      </c>
      <c r="AP52" s="60">
        <f>IFERROR(AP17/$B52,0)</f>
        <v>2.1031319501539858E-14</v>
      </c>
      <c r="AQ52" s="60">
        <f>IFERROR(AQ17/$B52,0)</f>
        <v>2.0418756797611515E-14</v>
      </c>
      <c r="AR52" s="60">
        <f t="shared" si="198"/>
        <v>2.0418756797611515E-14</v>
      </c>
      <c r="AS52" s="60">
        <f t="shared" si="198"/>
        <v>2.0418756797611515E-14</v>
      </c>
      <c r="AT52" s="60">
        <f t="shared" si="198"/>
        <v>2.0418756797611515E-14</v>
      </c>
      <c r="AU52" s="60">
        <f>IFERROR(AU17/$B52,0)</f>
        <v>2.1031319501539858E-14</v>
      </c>
      <c r="AV52" s="60">
        <f t="shared" si="198"/>
        <v>2.0418756797611515E-14</v>
      </c>
      <c r="AW52" s="60">
        <f t="shared" si="198"/>
        <v>2.1031319501539858E-14</v>
      </c>
      <c r="AX52" s="42"/>
      <c r="AY52" s="42"/>
      <c r="AZ52" s="42"/>
      <c r="BA52" s="42"/>
      <c r="BB52" s="42"/>
      <c r="BC52" s="42"/>
      <c r="BD52" s="42"/>
      <c r="BE52" s="42"/>
      <c r="BF52" s="42"/>
      <c r="BG52" s="42"/>
      <c r="BH52" s="42"/>
      <c r="BI52" s="42"/>
      <c r="BJ52" s="42"/>
      <c r="BK52" s="42"/>
      <c r="BL52" s="60">
        <f>IFERROR(BL17/$B52,0)</f>
        <v>2.2894751309682281E-15</v>
      </c>
      <c r="BM52" s="71">
        <f>IFERROR(up_RadSpec!$D$17*BM17,".")*$B$52</f>
        <v>137.4725</v>
      </c>
      <c r="BN52" s="71">
        <f>IFERROR(up_RadSpec!$G$17*BN17,".")*$B$52</f>
        <v>1.4707305945902837E-2</v>
      </c>
      <c r="BO52" s="71">
        <f>IFERROR(up_RadSpec!$F$17*BO17,".")*$B$52</f>
        <v>0.15508581788879944</v>
      </c>
      <c r="BP52" s="71">
        <f>up_b2s!BZ52</f>
        <v>1378988.2976595317</v>
      </c>
      <c r="BQ52" s="71">
        <f>IFERROR(up_RadSpec!$E$17*BQ17,".")*$B$52</f>
        <v>68736.25</v>
      </c>
      <c r="BR52" s="71">
        <f>IFERROR(up_RadSpec!$E$17*BR17,".")*$B$52</f>
        <v>244872890.625</v>
      </c>
      <c r="BS52" s="71">
        <f>IFERROR(up_RadSpec!$E$17*BS17,".")*$B$52</f>
        <v>237740670.5097087</v>
      </c>
      <c r="BT52" s="71">
        <f>IFERROR(up_RadSpec!$E$17*BT17,".")*$B$52</f>
        <v>244872890.625</v>
      </c>
      <c r="BU52" s="71">
        <f>IFERROR(up_RadSpec!$E$17*BU17,".")*$B$52</f>
        <v>244872890.625</v>
      </c>
      <c r="BV52" s="71">
        <f>IFERROR(up_RadSpec!$E$17*BV17,".")*$B$52</f>
        <v>244872890.625</v>
      </c>
      <c r="BW52" s="71">
        <f>IFERROR(up_RadSpec!$E$17*BW17,".")*$B$52</f>
        <v>244872890.625</v>
      </c>
      <c r="BX52" s="71">
        <f>IFERROR(up_RadSpec!$E$17*BX17,".")*$B$52</f>
        <v>237740670.5097087</v>
      </c>
      <c r="BY52" s="71">
        <f>IFERROR(up_RadSpec!$E$17*BY17,".")*$B$52</f>
        <v>244872890.625</v>
      </c>
      <c r="BZ52" s="71">
        <f>IFERROR(up_RadSpec!$E$17*BZ17,".")*$B$52</f>
        <v>237740670.5097087</v>
      </c>
      <c r="CA52" s="49">
        <f t="shared" si="167"/>
        <v>1</v>
      </c>
      <c r="CB52" s="49">
        <f t="shared" si="168"/>
        <v>1.4599681788302177E-2</v>
      </c>
      <c r="CC52" s="49">
        <f t="shared" si="169"/>
        <v>0.14365831510531935</v>
      </c>
      <c r="CD52" s="49">
        <f t="shared" si="170"/>
        <v>1</v>
      </c>
      <c r="CE52" s="49">
        <f t="shared" si="171"/>
        <v>1</v>
      </c>
      <c r="CF52" s="49">
        <f t="shared" si="172"/>
        <v>1</v>
      </c>
      <c r="CG52" s="49">
        <f t="shared" si="173"/>
        <v>1</v>
      </c>
      <c r="CH52" s="49">
        <f t="shared" si="174"/>
        <v>1</v>
      </c>
      <c r="CI52" s="49">
        <f t="shared" si="175"/>
        <v>1</v>
      </c>
      <c r="CJ52" s="49">
        <f t="shared" si="176"/>
        <v>1</v>
      </c>
      <c r="CK52" s="49">
        <f t="shared" si="177"/>
        <v>1</v>
      </c>
      <c r="CL52" s="49">
        <f t="shared" si="178"/>
        <v>1</v>
      </c>
      <c r="CM52" s="49">
        <f t="shared" si="179"/>
        <v>1</v>
      </c>
      <c r="CN52" s="49">
        <f t="shared" si="180"/>
        <v>1</v>
      </c>
      <c r="CO52" s="49">
        <f t="shared" si="181"/>
        <v>1</v>
      </c>
      <c r="CP52" s="60">
        <f t="shared" ref="CP52:DC52" si="199">IFERROR(CP17/$B52,0)</f>
        <v>4.0008001600320061E-10</v>
      </c>
      <c r="CQ52" s="60">
        <f t="shared" si="199"/>
        <v>0</v>
      </c>
      <c r="CR52" s="60">
        <f t="shared" si="199"/>
        <v>4.3808761752350469E-6</v>
      </c>
      <c r="CS52" s="60">
        <f t="shared" si="199"/>
        <v>1.8091372339109655E-11</v>
      </c>
      <c r="CT52" s="60">
        <f>IFERROR(CT17/$B52,0)</f>
        <v>1.4548364218298204E-8</v>
      </c>
      <c r="CU52" s="60">
        <f>IFERROR(CU17/$B52,0)</f>
        <v>2.9096728436596408E-9</v>
      </c>
      <c r="CV52" s="60">
        <f>IFERROR(CV17/$B52,0)</f>
        <v>2.9969630289694293E-9</v>
      </c>
      <c r="CW52" s="60">
        <f>IFERROR(CW17/$B52,0)</f>
        <v>2.9096728436596408E-9</v>
      </c>
      <c r="CX52" s="60">
        <f t="shared" si="199"/>
        <v>2.9096728436596408E-9</v>
      </c>
      <c r="CY52" s="60">
        <f t="shared" si="199"/>
        <v>2.9096728436596408E-9</v>
      </c>
      <c r="CZ52" s="60">
        <f t="shared" si="199"/>
        <v>2.9096728436596408E-9</v>
      </c>
      <c r="DA52" s="60">
        <f>IFERROR(DA17/$B52,0)</f>
        <v>2.9969630289694293E-9</v>
      </c>
      <c r="DB52" s="60">
        <f t="shared" si="199"/>
        <v>2.9096728436596408E-9</v>
      </c>
      <c r="DC52" s="60">
        <f t="shared" si="199"/>
        <v>2.9969630289694293E-9</v>
      </c>
      <c r="DD52" s="15"/>
      <c r="DE52" s="15"/>
      <c r="DF52" s="15"/>
      <c r="DG52" s="15"/>
      <c r="DH52" s="15"/>
      <c r="DI52" s="15"/>
      <c r="DJ52" s="15"/>
      <c r="DK52" s="15"/>
      <c r="DL52" s="15"/>
      <c r="DM52" s="15"/>
      <c r="DN52" s="15"/>
      <c r="DO52" s="15"/>
      <c r="DP52" s="15"/>
      <c r="DQ52" s="15"/>
      <c r="DR52" s="60">
        <f>IFERROR(DR17/$B52,0)</f>
        <v>1.6418600261330938E-11</v>
      </c>
      <c r="DS52" s="71">
        <f>IFERROR(up_RadSpec!$H$17*DS17,".")*$B$52</f>
        <v>12497.5</v>
      </c>
      <c r="DT52" s="71">
        <f>IFERROR(up_RadSpec!$G$17*DT17,".")*$B$52</f>
        <v>2278.1901041666665</v>
      </c>
      <c r="DU52" s="71">
        <f>IFERROR(up_RadSpec!$L$17*DU17,".")*$B$52</f>
        <v>1.1413242009132418</v>
      </c>
      <c r="DV52" s="71">
        <f>up_b2w!BZ52</f>
        <v>276485.41561143985</v>
      </c>
      <c r="DW52" s="71">
        <f>IFERROR(up_RadSpec!$E$17*DW17,".")*$B$52</f>
        <v>343.68125000000003</v>
      </c>
      <c r="DX52" s="71">
        <f>IFERROR(up_RadSpec!$E$17*DX17,".")*$B$52</f>
        <v>1718.40625</v>
      </c>
      <c r="DY52" s="71">
        <f>IFERROR(up_RadSpec!$E$17*DY17,".")*$B$52</f>
        <v>1668.3555825242718</v>
      </c>
      <c r="DZ52" s="71">
        <f>IFERROR(up_RadSpec!$E$17*DZ17,".")*$B$52</f>
        <v>1718.40625</v>
      </c>
      <c r="EA52" s="71">
        <f>IFERROR(up_RadSpec!$E$17*EA17,".")*$B$52</f>
        <v>1718.40625</v>
      </c>
      <c r="EB52" s="71">
        <f>IFERROR(up_RadSpec!$E$17*EB17,".")*$B$52</f>
        <v>1718.40625</v>
      </c>
      <c r="EC52" s="71">
        <f>IFERROR(up_RadSpec!$E$17*EC17,".")*$B$52</f>
        <v>1718.40625</v>
      </c>
      <c r="ED52" s="71">
        <f>IFERROR(up_RadSpec!$E$17*ED17,".")*$B$52</f>
        <v>1668.3555825242718</v>
      </c>
      <c r="EE52" s="71">
        <f>IFERROR(up_RadSpec!$E$17*EE17,".")*$B$52</f>
        <v>1718.40625</v>
      </c>
      <c r="EF52" s="71">
        <f>IFERROR(up_RadSpec!$E$17*EF17,".")*$B$52</f>
        <v>1668.3555825242718</v>
      </c>
      <c r="EG52" s="49">
        <f t="shared" si="183"/>
        <v>1</v>
      </c>
      <c r="EH52" s="49">
        <f t="shared" si="184"/>
        <v>1</v>
      </c>
      <c r="EI52" s="49">
        <f t="shared" si="185"/>
        <v>0.68060420254557019</v>
      </c>
      <c r="EJ52" s="49">
        <f t="shared" si="186"/>
        <v>1</v>
      </c>
      <c r="EK52" s="49">
        <f t="shared" si="187"/>
        <v>1</v>
      </c>
      <c r="EL52" s="49">
        <f t="shared" si="187"/>
        <v>1</v>
      </c>
      <c r="EM52" s="49">
        <f t="shared" si="187"/>
        <v>1</v>
      </c>
      <c r="EN52" s="49">
        <f t="shared" si="187"/>
        <v>1</v>
      </c>
      <c r="EO52" s="49">
        <f t="shared" si="187"/>
        <v>1</v>
      </c>
      <c r="EP52" s="49">
        <f t="shared" si="187"/>
        <v>1</v>
      </c>
      <c r="EQ52" s="49">
        <f t="shared" si="187"/>
        <v>1</v>
      </c>
      <c r="ER52" s="49">
        <f t="shared" si="187"/>
        <v>1</v>
      </c>
      <c r="ES52" s="49">
        <f t="shared" si="187"/>
        <v>1</v>
      </c>
      <c r="ET52" s="49">
        <f t="shared" si="187"/>
        <v>1</v>
      </c>
      <c r="EU52" s="49">
        <f t="shared" si="188"/>
        <v>1</v>
      </c>
      <c r="EV52" s="60">
        <f>IFERROR(EV17/$B52,0)</f>
        <v>1.097362329608779E-9</v>
      </c>
      <c r="EW52" s="60">
        <f>IFERROR(EW17/$B52,0)</f>
        <v>1.7523504700940188E-6</v>
      </c>
      <c r="EX52" s="60">
        <f>IFERROR(EX17/$B52,0)</f>
        <v>1.0966755660449154E-9</v>
      </c>
      <c r="EY52" s="71">
        <f>IFERROR(up_RadSpec!$G$17*EY17,".")*$B$52</f>
        <v>4556.380208333333</v>
      </c>
      <c r="EZ52" s="71">
        <f>IFERROR(up_RadSpec!$J$17*EZ17,".")*$B$52</f>
        <v>2.8533105022831045</v>
      </c>
      <c r="FA52" s="49">
        <f t="shared" si="189"/>
        <v>1</v>
      </c>
      <c r="FB52" s="49">
        <f t="shared" si="189"/>
        <v>0.94234685626071124</v>
      </c>
      <c r="FC52" s="49">
        <f t="shared" si="190"/>
        <v>1</v>
      </c>
    </row>
    <row r="53" spans="1:159" x14ac:dyDescent="0.25">
      <c r="A53" s="83" t="s">
        <v>1091</v>
      </c>
      <c r="B53" s="42">
        <v>2.0000000000000001E-4</v>
      </c>
      <c r="C53" s="60">
        <f t="shared" ref="C53:M53" si="200">IFERROR(C5/$B53,0)</f>
        <v>9.0909090909090901E-8</v>
      </c>
      <c r="D53" s="60">
        <f t="shared" si="200"/>
        <v>3.6363636363636361E-7</v>
      </c>
      <c r="E53" s="60">
        <f t="shared" si="200"/>
        <v>3.6363636363636361E-7</v>
      </c>
      <c r="F53" s="60">
        <f t="shared" si="200"/>
        <v>3.6363636363636361E-7</v>
      </c>
      <c r="G53" s="60">
        <f t="shared" si="200"/>
        <v>3.6363636363636361E-7</v>
      </c>
      <c r="H53" s="60">
        <f t="shared" si="200"/>
        <v>3.6363636363636361E-7</v>
      </c>
      <c r="I53" s="60">
        <f t="shared" si="200"/>
        <v>3.6363636363636361E-7</v>
      </c>
      <c r="J53" s="60">
        <f t="shared" si="200"/>
        <v>3.6363636363636361E-7</v>
      </c>
      <c r="K53" s="60">
        <f t="shared" si="200"/>
        <v>3.6363636363636361E-7</v>
      </c>
      <c r="L53" s="60">
        <f t="shared" si="200"/>
        <v>3.6363636363636361E-7</v>
      </c>
      <c r="M53" s="60">
        <f t="shared" si="200"/>
        <v>3.6363636363636361E-7</v>
      </c>
      <c r="N53" s="71">
        <f>up_dir!BA53</f>
        <v>1375000000</v>
      </c>
      <c r="O53" s="71">
        <f>IFERROR(up_RadSpec!$E$5*O5,".")*$B$53</f>
        <v>13.75</v>
      </c>
      <c r="P53" s="71">
        <f>IFERROR(up_RadSpec!$E$5*P5,".")*$B$53</f>
        <v>13.75</v>
      </c>
      <c r="Q53" s="71">
        <f>IFERROR(up_RadSpec!$E$5*Q5,".")*$B$53</f>
        <v>13.75</v>
      </c>
      <c r="R53" s="71">
        <f>IFERROR(up_RadSpec!$E$5*R5,".")*$B$53</f>
        <v>13.75</v>
      </c>
      <c r="S53" s="71">
        <f>IFERROR(up_RadSpec!$E$5*S5,".")*$B$53</f>
        <v>13.75</v>
      </c>
      <c r="T53" s="71">
        <f>IFERROR(up_RadSpec!$E$5*T5,".")*$B$53</f>
        <v>13.75</v>
      </c>
      <c r="U53" s="71">
        <f>IFERROR(up_RadSpec!$E$5*U5,".")*$B$53</f>
        <v>13.75</v>
      </c>
      <c r="V53" s="71">
        <f>IFERROR(up_RadSpec!$E$5*V5,".")*$B$53</f>
        <v>13.75</v>
      </c>
      <c r="W53" s="71">
        <f>IFERROR(up_RadSpec!$E$5*W5,".")*$B$53</f>
        <v>13.75</v>
      </c>
      <c r="X53" s="71">
        <f>IFERROR(up_RadSpec!$E$5*X5,".")*$B$53</f>
        <v>13.75</v>
      </c>
      <c r="Y53" s="49">
        <f t="shared" si="165"/>
        <v>1</v>
      </c>
      <c r="Z53" s="49">
        <f t="shared" si="165"/>
        <v>0.99999893229599002</v>
      </c>
      <c r="AA53" s="49">
        <f t="shared" si="165"/>
        <v>0.99999893229599002</v>
      </c>
      <c r="AB53" s="49">
        <f t="shared" si="165"/>
        <v>0.99999893229599002</v>
      </c>
      <c r="AC53" s="49">
        <f t="shared" si="165"/>
        <v>0.99999893229599002</v>
      </c>
      <c r="AD53" s="49">
        <f t="shared" si="165"/>
        <v>0.99999893229599002</v>
      </c>
      <c r="AE53" s="49">
        <f t="shared" si="165"/>
        <v>0.99999893229599002</v>
      </c>
      <c r="AF53" s="49">
        <f t="shared" si="165"/>
        <v>0.99999893229599002</v>
      </c>
      <c r="AG53" s="49">
        <f t="shared" si="165"/>
        <v>0.99999893229599002</v>
      </c>
      <c r="AH53" s="49">
        <f t="shared" si="165"/>
        <v>0.99999893229599002</v>
      </c>
      <c r="AI53" s="49">
        <f t="shared" si="165"/>
        <v>0.99999893229599002</v>
      </c>
      <c r="AJ53" s="60">
        <f t="shared" ref="AJ53:AW53" si="201">IFERROR(AJ5/$B53,0)</f>
        <v>1.8181818181818181E-4</v>
      </c>
      <c r="AK53" s="60">
        <f t="shared" si="201"/>
        <v>1.6994954814932035</v>
      </c>
      <c r="AL53" s="60">
        <f t="shared" si="201"/>
        <v>0</v>
      </c>
      <c r="AM53" s="60">
        <f t="shared" si="201"/>
        <v>1.8132859461272745E-8</v>
      </c>
      <c r="AN53" s="60">
        <f>IFERROR(AN5/$B53,0)</f>
        <v>3.6363636363636361E-7</v>
      </c>
      <c r="AO53" s="60">
        <f>IFERROR(AO5/$B53,0)</f>
        <v>1.0207336523125996E-10</v>
      </c>
      <c r="AP53" s="60">
        <f>IFERROR(AP5/$B53,0)</f>
        <v>1.0513556618819775E-10</v>
      </c>
      <c r="AQ53" s="60">
        <f>IFERROR(AQ5/$B53,0)</f>
        <v>1.0207336523125996E-10</v>
      </c>
      <c r="AR53" s="60">
        <f t="shared" si="201"/>
        <v>1.0207336523125996E-10</v>
      </c>
      <c r="AS53" s="60">
        <f t="shared" si="201"/>
        <v>1.0207336523125996E-10</v>
      </c>
      <c r="AT53" s="60">
        <f t="shared" si="201"/>
        <v>1.0207336523125996E-10</v>
      </c>
      <c r="AU53" s="60">
        <f>IFERROR(AU5/$B53,0)</f>
        <v>1.0513556618819775E-10</v>
      </c>
      <c r="AV53" s="60">
        <f t="shared" si="201"/>
        <v>1.0207336523125996E-10</v>
      </c>
      <c r="AW53" s="60">
        <f t="shared" si="201"/>
        <v>1.0513556618819775E-10</v>
      </c>
      <c r="AX53" s="42"/>
      <c r="AY53" s="42"/>
      <c r="AZ53" s="42"/>
      <c r="BA53" s="42"/>
      <c r="BB53" s="42"/>
      <c r="BC53" s="42"/>
      <c r="BD53" s="42"/>
      <c r="BE53" s="42"/>
      <c r="BF53" s="42"/>
      <c r="BG53" s="42"/>
      <c r="BH53" s="42"/>
      <c r="BI53" s="42"/>
      <c r="BJ53" s="42"/>
      <c r="BK53" s="42"/>
      <c r="BL53" s="60">
        <f>IFERROR(BL5/$B53,0)</f>
        <v>1.1445086180522923E-11</v>
      </c>
      <c r="BM53" s="71">
        <f>IFERROR(up_RadSpec!$D$5*BM5,".")*$B$53</f>
        <v>2.75E-2</v>
      </c>
      <c r="BN53" s="71">
        <f>IFERROR(up_RadSpec!$G$5*BN5,".")*$B$53</f>
        <v>2.9420495991003874E-6</v>
      </c>
      <c r="BO53" s="71">
        <f>IFERROR(up_RadSpec!$F$5*BO5,".")*$B$53</f>
        <v>0</v>
      </c>
      <c r="BP53" s="71">
        <f>up_b2s!BZ53</f>
        <v>6893562500</v>
      </c>
      <c r="BQ53" s="71">
        <f>IFERROR(up_RadSpec!$E$5*BQ5,".")*$B$53</f>
        <v>13.75</v>
      </c>
      <c r="BR53" s="71">
        <f>IFERROR(up_RadSpec!$E$5*BR5,".")*$B$53</f>
        <v>48984.375</v>
      </c>
      <c r="BS53" s="71">
        <f>IFERROR(up_RadSpec!$E$5*BS5,".")*$B$53</f>
        <v>47557.645631067957</v>
      </c>
      <c r="BT53" s="71">
        <f>IFERROR(up_RadSpec!$E$5*BT5,".")*$B$53</f>
        <v>48984.375</v>
      </c>
      <c r="BU53" s="71">
        <f>IFERROR(up_RadSpec!$E$5*BU5,".")*$B$53</f>
        <v>48984.375</v>
      </c>
      <c r="BV53" s="71">
        <f>IFERROR(up_RadSpec!$E$5*BV5,".")*$B$53</f>
        <v>48984.375</v>
      </c>
      <c r="BW53" s="71">
        <f>IFERROR(up_RadSpec!$E$5*BW5,".")*$B$53</f>
        <v>48984.375</v>
      </c>
      <c r="BX53" s="71">
        <f>IFERROR(up_RadSpec!$E$5*BX5,".")*$B$53</f>
        <v>47557.645631067957</v>
      </c>
      <c r="BY53" s="71">
        <f>IFERROR(up_RadSpec!$E$5*BY5,".")*$B$53</f>
        <v>48984.375</v>
      </c>
      <c r="BZ53" s="71">
        <f>IFERROR(up_RadSpec!$E$5*BZ5,".")*$B$53</f>
        <v>47557.645631067957</v>
      </c>
      <c r="CA53" s="49">
        <f t="shared" si="167"/>
        <v>2.7125317446546005E-2</v>
      </c>
      <c r="CB53" s="49">
        <f t="shared" si="168"/>
        <v>2.9420495991003874E-6</v>
      </c>
      <c r="CC53" s="49">
        <f t="shared" si="169"/>
        <v>0</v>
      </c>
      <c r="CD53" s="49">
        <f t="shared" si="170"/>
        <v>1</v>
      </c>
      <c r="CE53" s="49">
        <f t="shared" si="171"/>
        <v>0.99999893229599002</v>
      </c>
      <c r="CF53" s="49">
        <f t="shared" si="172"/>
        <v>1</v>
      </c>
      <c r="CG53" s="49">
        <f t="shared" si="173"/>
        <v>1</v>
      </c>
      <c r="CH53" s="49">
        <f t="shared" si="174"/>
        <v>1</v>
      </c>
      <c r="CI53" s="49">
        <f t="shared" si="175"/>
        <v>1</v>
      </c>
      <c r="CJ53" s="49">
        <f t="shared" si="176"/>
        <v>1</v>
      </c>
      <c r="CK53" s="49">
        <f t="shared" si="177"/>
        <v>1</v>
      </c>
      <c r="CL53" s="49">
        <f t="shared" si="178"/>
        <v>1</v>
      </c>
      <c r="CM53" s="49">
        <f t="shared" si="179"/>
        <v>1</v>
      </c>
      <c r="CN53" s="49">
        <f t="shared" si="180"/>
        <v>1</v>
      </c>
      <c r="CO53" s="49">
        <f t="shared" si="181"/>
        <v>1</v>
      </c>
      <c r="CP53" s="60">
        <f t="shared" ref="CP53:DC53" si="202">IFERROR(CP5/$B53,0)</f>
        <v>1.9999999999999999E-6</v>
      </c>
      <c r="CQ53" s="60">
        <f t="shared" si="202"/>
        <v>0</v>
      </c>
      <c r="CR53" s="60">
        <f t="shared" si="202"/>
        <v>2.1899999999999999E-2</v>
      </c>
      <c r="CS53" s="60">
        <f t="shared" si="202"/>
        <v>9.0438770323209157E-8</v>
      </c>
      <c r="CT53" s="60">
        <f>IFERROR(CT5/$B53,0)</f>
        <v>7.2727272727272715E-5</v>
      </c>
      <c r="CU53" s="60">
        <f>IFERROR(CU5/$B53,0)</f>
        <v>1.4545454545454543E-5</v>
      </c>
      <c r="CV53" s="60">
        <f>IFERROR(CV5/$B53,0)</f>
        <v>1.4981818181818177E-5</v>
      </c>
      <c r="CW53" s="60">
        <f>IFERROR(CW5/$B53,0)</f>
        <v>1.4545454545454543E-5</v>
      </c>
      <c r="CX53" s="60">
        <f t="shared" si="202"/>
        <v>1.4545454545454543E-5</v>
      </c>
      <c r="CY53" s="60">
        <f t="shared" si="202"/>
        <v>1.4545454545454543E-5</v>
      </c>
      <c r="CZ53" s="60">
        <f t="shared" si="202"/>
        <v>1.4545454545454543E-5</v>
      </c>
      <c r="DA53" s="60">
        <f>IFERROR(DA5/$B53,0)</f>
        <v>1.4981818181818177E-5</v>
      </c>
      <c r="DB53" s="60">
        <f t="shared" si="202"/>
        <v>1.4545454545454543E-5</v>
      </c>
      <c r="DC53" s="60">
        <f t="shared" si="202"/>
        <v>1.4981818181818177E-5</v>
      </c>
      <c r="DD53" s="15"/>
      <c r="DE53" s="15"/>
      <c r="DF53" s="15"/>
      <c r="DG53" s="15"/>
      <c r="DH53" s="15"/>
      <c r="DI53" s="15"/>
      <c r="DJ53" s="15"/>
      <c r="DK53" s="15"/>
      <c r="DL53" s="15"/>
      <c r="DM53" s="15"/>
      <c r="DN53" s="15"/>
      <c r="DO53" s="15"/>
      <c r="DP53" s="15"/>
      <c r="DQ53" s="15"/>
      <c r="DR53" s="60">
        <f>IFERROR(DR5/$B53,0)</f>
        <v>8.207658270639335E-8</v>
      </c>
      <c r="DS53" s="71">
        <f>IFERROR(up_RadSpec!$H$5*DS5,".")*$B$53</f>
        <v>2.5</v>
      </c>
      <c r="DT53" s="71">
        <f>IFERROR(up_RadSpec!$G$5*DT5,".")*$B$53</f>
        <v>0.45572916666666663</v>
      </c>
      <c r="DU53" s="71">
        <f>IFERROR(up_RadSpec!$L$5*DU5,".")*$B$53</f>
        <v>2.2831050228310499E-4</v>
      </c>
      <c r="DV53" s="71">
        <f>up_b2w!BZ53</f>
        <v>1382150592.6415877</v>
      </c>
      <c r="DW53" s="71">
        <f>IFERROR(up_RadSpec!$E$5*DW5,".")*$B$53</f>
        <v>6.8750000000000006E-2</v>
      </c>
      <c r="DX53" s="71">
        <f>IFERROR(up_RadSpec!$E$5*DX5,".")*$B$53</f>
        <v>0.34375</v>
      </c>
      <c r="DY53" s="71">
        <f>IFERROR(up_RadSpec!$E$5*DY5,".")*$B$53</f>
        <v>0.33373786407766992</v>
      </c>
      <c r="DZ53" s="71">
        <f>IFERROR(up_RadSpec!$E$5*DZ5,".")*$B$53</f>
        <v>0.34375</v>
      </c>
      <c r="EA53" s="71">
        <f>IFERROR(up_RadSpec!$E$5*EA5,".")*$B$53</f>
        <v>0.34375</v>
      </c>
      <c r="EB53" s="71">
        <f>IFERROR(up_RadSpec!$E$5*EB5,".")*$B$53</f>
        <v>0.34375</v>
      </c>
      <c r="EC53" s="71">
        <f>IFERROR(up_RadSpec!$E$5*EC5,".")*$B$53</f>
        <v>0.34375</v>
      </c>
      <c r="ED53" s="71">
        <f>IFERROR(up_RadSpec!$E$5*ED5,".")*$B$53</f>
        <v>0.33373786407766992</v>
      </c>
      <c r="EE53" s="71">
        <f>IFERROR(up_RadSpec!$E$5*EE5,".")*$B$53</f>
        <v>0.34375</v>
      </c>
      <c r="EF53" s="71">
        <f>IFERROR(up_RadSpec!$E$5*EF5,".")*$B$53</f>
        <v>0.33373786407766992</v>
      </c>
      <c r="EG53" s="49">
        <f t="shared" si="183"/>
        <v>0.91791500137610116</v>
      </c>
      <c r="EH53" s="49">
        <f t="shared" si="184"/>
        <v>0.36601448173979556</v>
      </c>
      <c r="EI53" s="49">
        <f t="shared" si="185"/>
        <v>2.2831050228310499E-4</v>
      </c>
      <c r="EJ53" s="49">
        <f t="shared" si="186"/>
        <v>1</v>
      </c>
      <c r="EK53" s="49">
        <f t="shared" si="187"/>
        <v>6.6439959082889022E-2</v>
      </c>
      <c r="EL53" s="49">
        <f t="shared" si="187"/>
        <v>0.29089381756260158</v>
      </c>
      <c r="EM53" s="49">
        <f t="shared" si="187"/>
        <v>0.28375848975009521</v>
      </c>
      <c r="EN53" s="49">
        <f t="shared" si="187"/>
        <v>0.29089381756260158</v>
      </c>
      <c r="EO53" s="49">
        <f t="shared" si="187"/>
        <v>0.29089381756260158</v>
      </c>
      <c r="EP53" s="49">
        <f t="shared" si="187"/>
        <v>0.29089381756260158</v>
      </c>
      <c r="EQ53" s="49">
        <f t="shared" si="187"/>
        <v>0.29089381756260158</v>
      </c>
      <c r="ER53" s="49">
        <f t="shared" si="187"/>
        <v>0.28375848975009521</v>
      </c>
      <c r="ES53" s="49">
        <f t="shared" si="187"/>
        <v>0.29089381756260158</v>
      </c>
      <c r="ET53" s="49">
        <f t="shared" si="187"/>
        <v>0.28375848975009521</v>
      </c>
      <c r="EU53" s="49">
        <f t="shared" si="188"/>
        <v>1</v>
      </c>
      <c r="EV53" s="60">
        <f>IFERROR(EV5/$B53,0)</f>
        <v>5.4857142857142858E-6</v>
      </c>
      <c r="EW53" s="60">
        <f>IFERROR(EW5/$B53,0)</f>
        <v>8.7600000000000004E-3</v>
      </c>
      <c r="EX53" s="60">
        <f>IFERROR(EX5/$B53,0)</f>
        <v>5.4822811546585317E-6</v>
      </c>
      <c r="EY53" s="71">
        <f>IFERROR(up_RadSpec!$G$5*EY5,".")*$B$53</f>
        <v>0.91145833333333326</v>
      </c>
      <c r="EZ53" s="71">
        <f>IFERROR(up_RadSpec!$J$5*EZ5,".")*$B$53</f>
        <v>5.7077625570776253E-4</v>
      </c>
      <c r="FA53" s="49">
        <f t="shared" si="189"/>
        <v>0.59806236263633994</v>
      </c>
      <c r="FB53" s="49">
        <f t="shared" si="189"/>
        <v>5.7077625570776253E-4</v>
      </c>
      <c r="FC53" s="49">
        <f t="shared" si="190"/>
        <v>0.59829171363574352</v>
      </c>
    </row>
    <row r="54" spans="1:159" x14ac:dyDescent="0.25">
      <c r="A54" s="83" t="s">
        <v>1092</v>
      </c>
      <c r="B54" s="42">
        <v>0.99999979999999999</v>
      </c>
      <c r="C54" s="60">
        <f t="shared" ref="C54:M54" si="203">IFERROR(C9/$B54,0)</f>
        <v>1.8181821818182545E-11</v>
      </c>
      <c r="D54" s="60">
        <f t="shared" si="203"/>
        <v>7.272728727273018E-11</v>
      </c>
      <c r="E54" s="60">
        <f t="shared" si="203"/>
        <v>7.272728727273018E-11</v>
      </c>
      <c r="F54" s="60">
        <f t="shared" si="203"/>
        <v>7.272728727273018E-11</v>
      </c>
      <c r="G54" s="60">
        <f t="shared" si="203"/>
        <v>7.272728727273018E-11</v>
      </c>
      <c r="H54" s="60">
        <f t="shared" si="203"/>
        <v>7.272728727273018E-11</v>
      </c>
      <c r="I54" s="60">
        <f t="shared" si="203"/>
        <v>7.272728727273018E-11</v>
      </c>
      <c r="J54" s="60">
        <f t="shared" si="203"/>
        <v>7.272728727273018E-11</v>
      </c>
      <c r="K54" s="60">
        <f t="shared" si="203"/>
        <v>7.272728727273018E-11</v>
      </c>
      <c r="L54" s="60">
        <f t="shared" si="203"/>
        <v>7.272728727273018E-11</v>
      </c>
      <c r="M54" s="60">
        <f t="shared" si="203"/>
        <v>7.272728727273018E-11</v>
      </c>
      <c r="N54" s="71">
        <f>up_dir!BA54</f>
        <v>275000.05500001099</v>
      </c>
      <c r="O54" s="71">
        <f>IFERROR(up_RadSpec!$E$9*O9,".")*$B$54</f>
        <v>68749.986250000002</v>
      </c>
      <c r="P54" s="71">
        <f>IFERROR(up_RadSpec!$E$9*P9,".")*$B$54</f>
        <v>68749.986250000002</v>
      </c>
      <c r="Q54" s="71">
        <f>IFERROR(up_RadSpec!$E$9*Q9,".")*$B$54</f>
        <v>68749.986250000002</v>
      </c>
      <c r="R54" s="71">
        <f>IFERROR(up_RadSpec!$E$9*R9,".")*$B$54</f>
        <v>68749.986250000002</v>
      </c>
      <c r="S54" s="71">
        <f>IFERROR(up_RadSpec!$E$9*S9,".")*$B$54</f>
        <v>68749.986250000002</v>
      </c>
      <c r="T54" s="71">
        <f>IFERROR(up_RadSpec!$E$9*T9,".")*$B$54</f>
        <v>68749.986250000002</v>
      </c>
      <c r="U54" s="71">
        <f>IFERROR(up_RadSpec!$E$9*U9,".")*$B$54</f>
        <v>68749.986250000002</v>
      </c>
      <c r="V54" s="71">
        <f>IFERROR(up_RadSpec!$E$9*V9,".")*$B$54</f>
        <v>68749.986250000002</v>
      </c>
      <c r="W54" s="71">
        <f>IFERROR(up_RadSpec!$E$9*W9,".")*$B$54</f>
        <v>68749.986250000002</v>
      </c>
      <c r="X54" s="71">
        <f>IFERROR(up_RadSpec!$E$9*X9,".")*$B$54</f>
        <v>68749.986250000002</v>
      </c>
      <c r="Y54" s="49">
        <f t="shared" si="165"/>
        <v>1</v>
      </c>
      <c r="Z54" s="49">
        <f t="shared" si="165"/>
        <v>1</v>
      </c>
      <c r="AA54" s="49">
        <f t="shared" si="165"/>
        <v>1</v>
      </c>
      <c r="AB54" s="49">
        <f t="shared" si="165"/>
        <v>1</v>
      </c>
      <c r="AC54" s="49">
        <f t="shared" si="165"/>
        <v>1</v>
      </c>
      <c r="AD54" s="49">
        <f t="shared" si="165"/>
        <v>1</v>
      </c>
      <c r="AE54" s="49">
        <f t="shared" si="165"/>
        <v>1</v>
      </c>
      <c r="AF54" s="49">
        <f t="shared" si="165"/>
        <v>1</v>
      </c>
      <c r="AG54" s="49">
        <f t="shared" si="165"/>
        <v>1</v>
      </c>
      <c r="AH54" s="49">
        <f t="shared" si="165"/>
        <v>1</v>
      </c>
      <c r="AI54" s="49">
        <f t="shared" si="165"/>
        <v>1</v>
      </c>
      <c r="AJ54" s="60">
        <f t="shared" ref="AJ54:AW54" si="204">IFERROR(AJ9/$B54,0)</f>
        <v>3.6363643636365089E-8</v>
      </c>
      <c r="AK54" s="60">
        <f t="shared" si="204"/>
        <v>3.3989916427847359E-4</v>
      </c>
      <c r="AL54" s="60">
        <f t="shared" si="204"/>
        <v>1.1917668814961659E-5</v>
      </c>
      <c r="AM54" s="60">
        <f t="shared" si="204"/>
        <v>3.6265726175690729E-12</v>
      </c>
      <c r="AN54" s="60">
        <f>IFERROR(AN9/$B54,0)</f>
        <v>7.272728727273018E-11</v>
      </c>
      <c r="AO54" s="60">
        <f>IFERROR(AO9/$B54,0)</f>
        <v>2.041467712918742E-14</v>
      </c>
      <c r="AP54" s="60">
        <f>IFERROR(AP9/$B54,0)</f>
        <v>2.1027117443063038E-14</v>
      </c>
      <c r="AQ54" s="60">
        <f>IFERROR(AQ9/$B54,0)</f>
        <v>2.041467712918742E-14</v>
      </c>
      <c r="AR54" s="60">
        <f t="shared" si="204"/>
        <v>2.041467712918742E-14</v>
      </c>
      <c r="AS54" s="60">
        <f t="shared" si="204"/>
        <v>2.041467712918742E-14</v>
      </c>
      <c r="AT54" s="60">
        <f t="shared" si="204"/>
        <v>2.041467712918742E-14</v>
      </c>
      <c r="AU54" s="60">
        <f>IFERROR(AU9/$B54,0)</f>
        <v>2.1027117443063038E-14</v>
      </c>
      <c r="AV54" s="60">
        <f t="shared" si="204"/>
        <v>2.041467712918742E-14</v>
      </c>
      <c r="AW54" s="60">
        <f t="shared" si="204"/>
        <v>2.1027117443063038E-14</v>
      </c>
      <c r="AX54" s="42"/>
      <c r="AY54" s="42"/>
      <c r="AZ54" s="42"/>
      <c r="BA54" s="42"/>
      <c r="BB54" s="42"/>
      <c r="BC54" s="42"/>
      <c r="BD54" s="42"/>
      <c r="BE54" s="42"/>
      <c r="BF54" s="42"/>
      <c r="BG54" s="42"/>
      <c r="BH54" s="42"/>
      <c r="BI54" s="42"/>
      <c r="BJ54" s="42"/>
      <c r="BK54" s="42"/>
      <c r="BL54" s="60">
        <f>IFERROR(BL9/$B54,0)</f>
        <v>2.2890176934684738E-15</v>
      </c>
      <c r="BM54" s="71">
        <f>IFERROR(up_RadSpec!$D$9*BM9,".")*$B$54</f>
        <v>137.49997250000001</v>
      </c>
      <c r="BN54" s="71">
        <f>IFERROR(up_RadSpec!$G$9*BN9,".")*$B$54</f>
        <v>1.4710245053452338E-2</v>
      </c>
      <c r="BO54" s="71">
        <f>IFERROR(up_RadSpec!$F$9*BO9,".")*$B$54</f>
        <v>0.41954513736133603</v>
      </c>
      <c r="BP54" s="71">
        <f>up_b2s!BZ54</f>
        <v>1378712.775742555</v>
      </c>
      <c r="BQ54" s="71">
        <f>IFERROR(up_RadSpec!$E$9*BQ9,".")*$B$54</f>
        <v>68749.986250000002</v>
      </c>
      <c r="BR54" s="71">
        <f>IFERROR(up_RadSpec!$E$9*BR9,".")*$B$54</f>
        <v>244921826.015625</v>
      </c>
      <c r="BS54" s="71">
        <f>IFERROR(up_RadSpec!$E$9*BS9,".")*$B$54</f>
        <v>237788180.59769416</v>
      </c>
      <c r="BT54" s="71">
        <f>IFERROR(up_RadSpec!$E$9*BT9,".")*$B$54</f>
        <v>244921826.015625</v>
      </c>
      <c r="BU54" s="71">
        <f>IFERROR(up_RadSpec!$E$9*BU9,".")*$B$54</f>
        <v>244921826.015625</v>
      </c>
      <c r="BV54" s="71">
        <f>IFERROR(up_RadSpec!$E$9*BV9,".")*$B$54</f>
        <v>244921826.015625</v>
      </c>
      <c r="BW54" s="71">
        <f>IFERROR(up_RadSpec!$E$9*BW9,".")*$B$54</f>
        <v>244921826.015625</v>
      </c>
      <c r="BX54" s="71">
        <f>IFERROR(up_RadSpec!$E$9*BX9,".")*$B$54</f>
        <v>237788180.59769416</v>
      </c>
      <c r="BY54" s="71">
        <f>IFERROR(up_RadSpec!$E$9*BY9,".")*$B$54</f>
        <v>244921826.015625</v>
      </c>
      <c r="BZ54" s="71">
        <f>IFERROR(up_RadSpec!$E$9*BZ9,".")*$B$54</f>
        <v>237788180.59769416</v>
      </c>
      <c r="CA54" s="49">
        <f t="shared" si="167"/>
        <v>1</v>
      </c>
      <c r="CB54" s="49">
        <f t="shared" si="168"/>
        <v>1.4602577981560616E-2</v>
      </c>
      <c r="CC54" s="49">
        <f t="shared" si="169"/>
        <v>0.34265424615294915</v>
      </c>
      <c r="CD54" s="49">
        <f t="shared" si="170"/>
        <v>1</v>
      </c>
      <c r="CE54" s="49">
        <f t="shared" si="171"/>
        <v>1</v>
      </c>
      <c r="CF54" s="49">
        <f t="shared" si="172"/>
        <v>1</v>
      </c>
      <c r="CG54" s="49">
        <f t="shared" si="173"/>
        <v>1</v>
      </c>
      <c r="CH54" s="49">
        <f t="shared" si="174"/>
        <v>1</v>
      </c>
      <c r="CI54" s="49">
        <f t="shared" si="175"/>
        <v>1</v>
      </c>
      <c r="CJ54" s="49">
        <f t="shared" si="176"/>
        <v>1</v>
      </c>
      <c r="CK54" s="49">
        <f t="shared" si="177"/>
        <v>1</v>
      </c>
      <c r="CL54" s="49">
        <f t="shared" si="178"/>
        <v>1</v>
      </c>
      <c r="CM54" s="49">
        <f t="shared" si="179"/>
        <v>1</v>
      </c>
      <c r="CN54" s="49">
        <f t="shared" si="180"/>
        <v>1</v>
      </c>
      <c r="CO54" s="49">
        <f t="shared" si="181"/>
        <v>1</v>
      </c>
      <c r="CP54" s="60">
        <f t="shared" ref="CP54:DC54" si="205">IFERROR(CP9/$B54,0)</f>
        <v>4.0000008000001598E-10</v>
      </c>
      <c r="CQ54" s="60">
        <f t="shared" si="205"/>
        <v>0</v>
      </c>
      <c r="CR54" s="60">
        <f t="shared" si="205"/>
        <v>4.380000876000176E-6</v>
      </c>
      <c r="CS54" s="60">
        <f t="shared" si="205"/>
        <v>1.8087757682193371E-11</v>
      </c>
      <c r="CT54" s="60">
        <f>IFERROR(CT9/$B54,0)</f>
        <v>1.4545457454546036E-8</v>
      </c>
      <c r="CU54" s="60">
        <f>IFERROR(CU9/$B54,0)</f>
        <v>2.9090914909092069E-9</v>
      </c>
      <c r="CV54" s="60">
        <f>IFERROR(CV9/$B54,0)</f>
        <v>2.9963642356364829E-9</v>
      </c>
      <c r="CW54" s="60">
        <f>IFERROR(CW9/$B54,0)</f>
        <v>2.9090914909092069E-9</v>
      </c>
      <c r="CX54" s="60">
        <f t="shared" si="205"/>
        <v>2.9090914909092069E-9</v>
      </c>
      <c r="CY54" s="60">
        <f t="shared" si="205"/>
        <v>2.9090914909092069E-9</v>
      </c>
      <c r="CZ54" s="60">
        <f t="shared" si="205"/>
        <v>2.9090914909092069E-9</v>
      </c>
      <c r="DA54" s="60">
        <f>IFERROR(DA9/$B54,0)</f>
        <v>2.9963642356364829E-9</v>
      </c>
      <c r="DB54" s="60">
        <f t="shared" si="205"/>
        <v>2.9090914909092069E-9</v>
      </c>
      <c r="DC54" s="60">
        <f t="shared" si="205"/>
        <v>2.9963642356364829E-9</v>
      </c>
      <c r="DD54" s="15"/>
      <c r="DE54" s="15"/>
      <c r="DF54" s="15"/>
      <c r="DG54" s="15"/>
      <c r="DH54" s="15"/>
      <c r="DI54" s="15"/>
      <c r="DJ54" s="15"/>
      <c r="DK54" s="15"/>
      <c r="DL54" s="15"/>
      <c r="DM54" s="15"/>
      <c r="DN54" s="15"/>
      <c r="DO54" s="15"/>
      <c r="DP54" s="15"/>
      <c r="DQ54" s="15"/>
      <c r="DR54" s="60">
        <f>IFERROR(DR9/$B54,0)</f>
        <v>1.6415319824342636E-11</v>
      </c>
      <c r="DS54" s="71">
        <f>IFERROR(up_RadSpec!$H$9*DS9,".")*$B$54</f>
        <v>12499.997499999999</v>
      </c>
      <c r="DT54" s="71">
        <f>IFERROR(up_RadSpec!$G$9*DT9,".")*$B$54</f>
        <v>2278.6453776041662</v>
      </c>
      <c r="DU54" s="71">
        <f>IFERROR(up_RadSpec!$L$9*DU9,".")*$B$54</f>
        <v>1.1415522831050227</v>
      </c>
      <c r="DV54" s="71">
        <f>up_b2w!BZ54</f>
        <v>276430.17381435237</v>
      </c>
      <c r="DW54" s="71">
        <f>IFERROR(up_RadSpec!$E$9*DW9,".")*$B$54</f>
        <v>343.74993124999997</v>
      </c>
      <c r="DX54" s="71">
        <f>IFERROR(up_RadSpec!$E$9*DX9,".")*$B$54</f>
        <v>1718.74965625</v>
      </c>
      <c r="DY54" s="71">
        <f>IFERROR(up_RadSpec!$E$9*DY9,".")*$B$54</f>
        <v>1668.6889866504853</v>
      </c>
      <c r="DZ54" s="71">
        <f>IFERROR(up_RadSpec!$E$9*DZ9,".")*$B$54</f>
        <v>1718.74965625</v>
      </c>
      <c r="EA54" s="71">
        <f>IFERROR(up_RadSpec!$E$9*EA9,".")*$B$54</f>
        <v>1718.74965625</v>
      </c>
      <c r="EB54" s="71">
        <f>IFERROR(up_RadSpec!$E$9*EB9,".")*$B$54</f>
        <v>1718.74965625</v>
      </c>
      <c r="EC54" s="71">
        <f>IFERROR(up_RadSpec!$E$9*EC9,".")*$B$54</f>
        <v>1718.74965625</v>
      </c>
      <c r="ED54" s="71">
        <f>IFERROR(up_RadSpec!$E$9*ED9,".")*$B$54</f>
        <v>1668.6889866504853</v>
      </c>
      <c r="EE54" s="71">
        <f>IFERROR(up_RadSpec!$E$9*EE9,".")*$B$54</f>
        <v>1718.74965625</v>
      </c>
      <c r="EF54" s="71">
        <f>IFERROR(up_RadSpec!$E$9*EF9,".")*$B$54</f>
        <v>1668.6889866504853</v>
      </c>
      <c r="EG54" s="49">
        <f t="shared" si="183"/>
        <v>1</v>
      </c>
      <c r="EH54" s="49">
        <f t="shared" si="184"/>
        <v>1</v>
      </c>
      <c r="EI54" s="49">
        <f t="shared" si="185"/>
        <v>0.68067704273200869</v>
      </c>
      <c r="EJ54" s="49">
        <f t="shared" si="186"/>
        <v>1</v>
      </c>
      <c r="EK54" s="49">
        <f t="shared" si="187"/>
        <v>1</v>
      </c>
      <c r="EL54" s="49">
        <f t="shared" si="187"/>
        <v>1</v>
      </c>
      <c r="EM54" s="49">
        <f t="shared" si="187"/>
        <v>1</v>
      </c>
      <c r="EN54" s="49">
        <f t="shared" si="187"/>
        <v>1</v>
      </c>
      <c r="EO54" s="49">
        <f t="shared" si="187"/>
        <v>1</v>
      </c>
      <c r="EP54" s="49">
        <f t="shared" si="187"/>
        <v>1</v>
      </c>
      <c r="EQ54" s="49">
        <f t="shared" si="187"/>
        <v>1</v>
      </c>
      <c r="ER54" s="49">
        <f t="shared" si="187"/>
        <v>1</v>
      </c>
      <c r="ES54" s="49">
        <f t="shared" si="187"/>
        <v>1</v>
      </c>
      <c r="ET54" s="49">
        <f t="shared" si="187"/>
        <v>1</v>
      </c>
      <c r="EU54" s="49">
        <f t="shared" si="188"/>
        <v>1</v>
      </c>
      <c r="EV54" s="60">
        <f>IFERROR(EV9/$B54,0)</f>
        <v>1.0971430765714725E-9</v>
      </c>
      <c r="EW54" s="60">
        <f>IFERROR(EW9/$B54,0)</f>
        <v>1.7520003504000703E-6</v>
      </c>
      <c r="EX54" s="60">
        <f>IFERROR(EX9/$B54,0)</f>
        <v>1.0964564502229964E-9</v>
      </c>
      <c r="EY54" s="71">
        <f>IFERROR(up_RadSpec!$G$9*EY9,".")*$B$54</f>
        <v>4557.2907552083325</v>
      </c>
      <c r="EZ54" s="71">
        <f>IFERROR(up_RadSpec!$J$9*EZ9,".")*$B$54</f>
        <v>2.8538807077625568</v>
      </c>
      <c r="FA54" s="49">
        <f t="shared" si="189"/>
        <v>1</v>
      </c>
      <c r="FB54" s="49">
        <f t="shared" si="189"/>
        <v>0.94237972102845324</v>
      </c>
      <c r="FC54" s="49">
        <f t="shared" si="190"/>
        <v>1</v>
      </c>
    </row>
    <row r="55" spans="1:159" x14ac:dyDescent="0.25">
      <c r="A55" s="83" t="s">
        <v>1093</v>
      </c>
      <c r="B55" s="42">
        <v>1.9999999999999999E-7</v>
      </c>
      <c r="C55" s="60">
        <f t="shared" ref="C55:M55" si="206">IFERROR(C24/$B55,0)</f>
        <v>9.0909090909090904E-5</v>
      </c>
      <c r="D55" s="60">
        <f t="shared" si="206"/>
        <v>3.6363636363636361E-4</v>
      </c>
      <c r="E55" s="60">
        <f t="shared" si="206"/>
        <v>3.6363636363636361E-4</v>
      </c>
      <c r="F55" s="60">
        <f t="shared" si="206"/>
        <v>3.6363636363636361E-4</v>
      </c>
      <c r="G55" s="60">
        <f t="shared" si="206"/>
        <v>3.6363636363636361E-4</v>
      </c>
      <c r="H55" s="60">
        <f t="shared" si="206"/>
        <v>3.6363636363636361E-4</v>
      </c>
      <c r="I55" s="60">
        <f t="shared" si="206"/>
        <v>3.6363636363636361E-4</v>
      </c>
      <c r="J55" s="60">
        <f t="shared" si="206"/>
        <v>3.6363636363636361E-4</v>
      </c>
      <c r="K55" s="60">
        <f t="shared" si="206"/>
        <v>3.6363636363636361E-4</v>
      </c>
      <c r="L55" s="60">
        <f t="shared" si="206"/>
        <v>3.6363636363636361E-4</v>
      </c>
      <c r="M55" s="60">
        <f t="shared" si="206"/>
        <v>3.6363636363636361E-4</v>
      </c>
      <c r="N55" s="71">
        <f>up_dir!BA55</f>
        <v>1375000000000</v>
      </c>
      <c r="O55" s="71">
        <f>IFERROR(up_RadSpec!$E$24*O24,".")*$B$55</f>
        <v>1.375E-2</v>
      </c>
      <c r="P55" s="71">
        <f>IFERROR(up_RadSpec!$E$24*P24,".")*$B$55</f>
        <v>1.375E-2</v>
      </c>
      <c r="Q55" s="71">
        <f>IFERROR(up_RadSpec!$E$24*Q24,".")*$B$55</f>
        <v>1.375E-2</v>
      </c>
      <c r="R55" s="71">
        <f>IFERROR(up_RadSpec!$E$24*R24,".")*$B$55</f>
        <v>1.375E-2</v>
      </c>
      <c r="S55" s="71">
        <f>IFERROR(up_RadSpec!$E$24*S24,".")*$B$55</f>
        <v>1.375E-2</v>
      </c>
      <c r="T55" s="71">
        <f>IFERROR(up_RadSpec!$E$24*T24,".")*$B$55</f>
        <v>1.375E-2</v>
      </c>
      <c r="U55" s="71">
        <f>IFERROR(up_RadSpec!$E$24*U24,".")*$B$55</f>
        <v>1.375E-2</v>
      </c>
      <c r="V55" s="71">
        <f>IFERROR(up_RadSpec!$E$24*V24,".")*$B$55</f>
        <v>1.375E-2</v>
      </c>
      <c r="W55" s="71">
        <f>IFERROR(up_RadSpec!$E$24*W24,".")*$B$55</f>
        <v>1.375E-2</v>
      </c>
      <c r="X55" s="71">
        <f>IFERROR(up_RadSpec!$E$24*X24,".")*$B$55</f>
        <v>1.375E-2</v>
      </c>
      <c r="Y55" s="49">
        <f t="shared" si="165"/>
        <v>1</v>
      </c>
      <c r="Z55" s="49">
        <f t="shared" si="165"/>
        <v>1.3655900532955956E-2</v>
      </c>
      <c r="AA55" s="49">
        <f t="shared" si="165"/>
        <v>1.3655900532955956E-2</v>
      </c>
      <c r="AB55" s="49">
        <f t="shared" si="165"/>
        <v>1.3655900532955956E-2</v>
      </c>
      <c r="AC55" s="49">
        <f t="shared" si="165"/>
        <v>1.3655900532955956E-2</v>
      </c>
      <c r="AD55" s="49">
        <f t="shared" si="165"/>
        <v>1.3655900532955956E-2</v>
      </c>
      <c r="AE55" s="49">
        <f t="shared" si="165"/>
        <v>1.3655900532955956E-2</v>
      </c>
      <c r="AF55" s="49">
        <f t="shared" si="165"/>
        <v>1.3655900532955956E-2</v>
      </c>
      <c r="AG55" s="49">
        <f t="shared" si="165"/>
        <v>1.3655900532955956E-2</v>
      </c>
      <c r="AH55" s="49">
        <f t="shared" si="165"/>
        <v>1.3655900532955956E-2</v>
      </c>
      <c r="AI55" s="49">
        <f t="shared" si="165"/>
        <v>1.3655900532955956E-2</v>
      </c>
      <c r="AJ55" s="60">
        <f t="shared" ref="AJ55:AW55" si="207">IFERROR(AJ24/$B55,0)</f>
        <v>0.18181818181818182</v>
      </c>
      <c r="AK55" s="60">
        <f t="shared" si="207"/>
        <v>1699.4954814932037</v>
      </c>
      <c r="AL55" s="60">
        <f t="shared" si="207"/>
        <v>105.15853854820543</v>
      </c>
      <c r="AM55" s="60">
        <f t="shared" si="207"/>
        <v>1.8132859461272745E-5</v>
      </c>
      <c r="AN55" s="60">
        <f>IFERROR(AN24/$B55,0)</f>
        <v>3.6363636363636361E-4</v>
      </c>
      <c r="AO55" s="60">
        <f>IFERROR(AO24/$B55,0)</f>
        <v>1.0207336523125997E-7</v>
      </c>
      <c r="AP55" s="60">
        <f>IFERROR(AP24/$B55,0)</f>
        <v>1.0513556618819776E-7</v>
      </c>
      <c r="AQ55" s="60">
        <f>IFERROR(AQ24/$B55,0)</f>
        <v>1.0207336523125997E-7</v>
      </c>
      <c r="AR55" s="60">
        <f t="shared" si="207"/>
        <v>1.0207336523125997E-7</v>
      </c>
      <c r="AS55" s="60">
        <f t="shared" si="207"/>
        <v>1.0207336523125997E-7</v>
      </c>
      <c r="AT55" s="60">
        <f t="shared" si="207"/>
        <v>1.0207336523125997E-7</v>
      </c>
      <c r="AU55" s="60">
        <f>IFERROR(AU24/$B55,0)</f>
        <v>1.0513556618819776E-7</v>
      </c>
      <c r="AV55" s="60">
        <f t="shared" si="207"/>
        <v>1.0207336523125997E-7</v>
      </c>
      <c r="AW55" s="60">
        <f t="shared" si="207"/>
        <v>1.0513556618819776E-7</v>
      </c>
      <c r="AX55" s="42"/>
      <c r="AY55" s="42"/>
      <c r="AZ55" s="42"/>
      <c r="BA55" s="42"/>
      <c r="BB55" s="42"/>
      <c r="BC55" s="42"/>
      <c r="BD55" s="42"/>
      <c r="BE55" s="42"/>
      <c r="BF55" s="42"/>
      <c r="BG55" s="42"/>
      <c r="BH55" s="42"/>
      <c r="BI55" s="42"/>
      <c r="BJ55" s="42"/>
      <c r="BK55" s="42"/>
      <c r="BL55" s="60">
        <f>IFERROR(BL24/$B55,0)</f>
        <v>1.1445086179277281E-8</v>
      </c>
      <c r="BM55" s="71">
        <f>IFERROR(up_RadSpec!$D$24*BM24,".")*$B$55</f>
        <v>2.7499999999999998E-5</v>
      </c>
      <c r="BN55" s="71">
        <f>IFERROR(up_RadSpec!$G$24*BN24,".")*$B$55</f>
        <v>2.9420495991003874E-9</v>
      </c>
      <c r="BO55" s="71">
        <f>IFERROR(up_RadSpec!$F$24*BO24,".")*$B$55</f>
        <v>4.7547256447539576E-8</v>
      </c>
      <c r="BP55" s="71">
        <f>up_b2s!BZ55</f>
        <v>6893562500000</v>
      </c>
      <c r="BQ55" s="71">
        <f>IFERROR(up_RadSpec!$E$24*BQ24,".")*$B$55</f>
        <v>1.375E-2</v>
      </c>
      <c r="BR55" s="71">
        <f>IFERROR(up_RadSpec!$E$24*BR24,".")*$B$55</f>
        <v>48.984375</v>
      </c>
      <c r="BS55" s="71">
        <f>IFERROR(up_RadSpec!$E$24*BS24,".")*$B$55</f>
        <v>47.557645631067956</v>
      </c>
      <c r="BT55" s="71">
        <f>IFERROR(up_RadSpec!$E$24*BT24,".")*$B$55</f>
        <v>48.984375</v>
      </c>
      <c r="BU55" s="71">
        <f>IFERROR(up_RadSpec!$E$24*BU24,".")*$B$55</f>
        <v>48.984375</v>
      </c>
      <c r="BV55" s="71">
        <f>IFERROR(up_RadSpec!$E$24*BV24,".")*$B$55</f>
        <v>48.984375</v>
      </c>
      <c r="BW55" s="71">
        <f>IFERROR(up_RadSpec!$E$24*BW24,".")*$B$55</f>
        <v>48.984375</v>
      </c>
      <c r="BX55" s="71">
        <f>IFERROR(up_RadSpec!$E$24*BX24,".")*$B$55</f>
        <v>47.557645631067956</v>
      </c>
      <c r="BY55" s="71">
        <f>IFERROR(up_RadSpec!$E$24*BY24,".")*$B$55</f>
        <v>48.984375</v>
      </c>
      <c r="BZ55" s="71">
        <f>IFERROR(up_RadSpec!$E$24*BZ24,".")*$B$55</f>
        <v>47.557645631067956</v>
      </c>
      <c r="CA55" s="49">
        <f t="shared" si="167"/>
        <v>2.7499999999999998E-5</v>
      </c>
      <c r="CB55" s="49">
        <f t="shared" si="168"/>
        <v>2.9420495991003874E-9</v>
      </c>
      <c r="CC55" s="49">
        <f t="shared" si="169"/>
        <v>4.7547256447539576E-8</v>
      </c>
      <c r="CD55" s="49">
        <f t="shared" si="170"/>
        <v>1</v>
      </c>
      <c r="CE55" s="49">
        <f t="shared" si="171"/>
        <v>1.3655900532955956E-2</v>
      </c>
      <c r="CF55" s="49">
        <f t="shared" si="172"/>
        <v>1</v>
      </c>
      <c r="CG55" s="49">
        <f t="shared" si="173"/>
        <v>1</v>
      </c>
      <c r="CH55" s="49">
        <f t="shared" si="174"/>
        <v>1</v>
      </c>
      <c r="CI55" s="49">
        <f t="shared" si="175"/>
        <v>1</v>
      </c>
      <c r="CJ55" s="49">
        <f t="shared" si="176"/>
        <v>1</v>
      </c>
      <c r="CK55" s="49">
        <f t="shared" si="177"/>
        <v>1</v>
      </c>
      <c r="CL55" s="49">
        <f t="shared" si="178"/>
        <v>1</v>
      </c>
      <c r="CM55" s="49">
        <f t="shared" si="179"/>
        <v>1</v>
      </c>
      <c r="CN55" s="49">
        <f t="shared" si="180"/>
        <v>1</v>
      </c>
      <c r="CO55" s="49">
        <f t="shared" si="181"/>
        <v>1</v>
      </c>
      <c r="CP55" s="60">
        <f t="shared" ref="CP55:DC55" si="208">IFERROR(CP24/$B55,0)</f>
        <v>2E-3</v>
      </c>
      <c r="CQ55" s="60">
        <f t="shared" si="208"/>
        <v>0</v>
      </c>
      <c r="CR55" s="60">
        <f t="shared" si="208"/>
        <v>21.900000000000002</v>
      </c>
      <c r="CS55" s="60">
        <f t="shared" si="208"/>
        <v>9.0438770323209169E-5</v>
      </c>
      <c r="CT55" s="60">
        <f>IFERROR(CT24/$B55,0)</f>
        <v>7.2727272727272724E-2</v>
      </c>
      <c r="CU55" s="60">
        <f>IFERROR(CU24/$B55,0)</f>
        <v>1.4545454545454544E-2</v>
      </c>
      <c r="CV55" s="60">
        <f>IFERROR(CV24/$B55,0)</f>
        <v>1.4981818181818179E-2</v>
      </c>
      <c r="CW55" s="60">
        <f>IFERROR(CW24/$B55,0)</f>
        <v>1.4545454545454544E-2</v>
      </c>
      <c r="CX55" s="60">
        <f t="shared" si="208"/>
        <v>1.4545454545454544E-2</v>
      </c>
      <c r="CY55" s="60">
        <f t="shared" si="208"/>
        <v>1.4545454545454544E-2</v>
      </c>
      <c r="CZ55" s="60">
        <f t="shared" si="208"/>
        <v>1.4545454545454544E-2</v>
      </c>
      <c r="DA55" s="60">
        <f>IFERROR(DA24/$B55,0)</f>
        <v>1.4981818181818179E-2</v>
      </c>
      <c r="DB55" s="60">
        <f t="shared" si="208"/>
        <v>1.4545454545454544E-2</v>
      </c>
      <c r="DC55" s="60">
        <f t="shared" si="208"/>
        <v>1.4981818181818179E-2</v>
      </c>
      <c r="DD55" s="15"/>
      <c r="DE55" s="15"/>
      <c r="DF55" s="15"/>
      <c r="DG55" s="15"/>
      <c r="DH55" s="15"/>
      <c r="DI55" s="15"/>
      <c r="DJ55" s="15"/>
      <c r="DK55" s="15"/>
      <c r="DL55" s="15"/>
      <c r="DM55" s="15"/>
      <c r="DN55" s="15"/>
      <c r="DO55" s="15"/>
      <c r="DP55" s="15"/>
      <c r="DQ55" s="15"/>
      <c r="DR55" s="60">
        <f>IFERROR(DR24/$B55,0)</f>
        <v>8.2076582706393369E-5</v>
      </c>
      <c r="DS55" s="71">
        <f>IFERROR(up_RadSpec!$H$24*DS24,".")*$B$55</f>
        <v>2.5000000000000001E-3</v>
      </c>
      <c r="DT55" s="71">
        <f>IFERROR(up_RadSpec!$G$24*DT24,".")*$B$55</f>
        <v>4.5572916666666657E-4</v>
      </c>
      <c r="DU55" s="71">
        <f>IFERROR(up_RadSpec!$L$24*DU24,".")*$B$55</f>
        <v>2.2831050228310497E-7</v>
      </c>
      <c r="DV55" s="71">
        <f>up_b2w!BZ55</f>
        <v>1382150592641.5879</v>
      </c>
      <c r="DW55" s="71">
        <f>IFERROR(up_RadSpec!$E$24*DW24,".")*$B$55</f>
        <v>6.8749999999999991E-5</v>
      </c>
      <c r="DX55" s="71">
        <f>IFERROR(up_RadSpec!$E$24*DX24,".")*$B$55</f>
        <v>3.4374999999999998E-4</v>
      </c>
      <c r="DY55" s="71">
        <f>IFERROR(up_RadSpec!$E$24*DY24,".")*$B$55</f>
        <v>3.3373786407766984E-4</v>
      </c>
      <c r="DZ55" s="71">
        <f>IFERROR(up_RadSpec!$E$24*DZ24,".")*$B$55</f>
        <v>3.4374999999999998E-4</v>
      </c>
      <c r="EA55" s="71">
        <f>IFERROR(up_RadSpec!$E$24*EA24,".")*$B$55</f>
        <v>3.4374999999999998E-4</v>
      </c>
      <c r="EB55" s="71">
        <f>IFERROR(up_RadSpec!$E$24*EB24,".")*$B$55</f>
        <v>3.4374999999999998E-4</v>
      </c>
      <c r="EC55" s="71">
        <f>IFERROR(up_RadSpec!$E$24*EC24,".")*$B$55</f>
        <v>3.4374999999999998E-4</v>
      </c>
      <c r="ED55" s="71">
        <f>IFERROR(up_RadSpec!$E$24*ED24,".")*$B$55</f>
        <v>3.3373786407766984E-4</v>
      </c>
      <c r="EE55" s="71">
        <f>IFERROR(up_RadSpec!$E$24*EE24,".")*$B$55</f>
        <v>3.4374999999999998E-4</v>
      </c>
      <c r="EF55" s="71">
        <f>IFERROR(up_RadSpec!$E$24*EF24,".")*$B$55</f>
        <v>3.3373786407766984E-4</v>
      </c>
      <c r="EG55" s="49">
        <f t="shared" si="183"/>
        <v>2.5000000000000001E-3</v>
      </c>
      <c r="EH55" s="49">
        <f t="shared" si="184"/>
        <v>4.5572916666666657E-4</v>
      </c>
      <c r="EI55" s="49">
        <f t="shared" si="185"/>
        <v>2.2831050228310497E-7</v>
      </c>
      <c r="EJ55" s="49">
        <f t="shared" si="186"/>
        <v>1</v>
      </c>
      <c r="EK55" s="49">
        <f t="shared" si="187"/>
        <v>6.8749999999999991E-5</v>
      </c>
      <c r="EL55" s="49">
        <f t="shared" si="187"/>
        <v>3.4374999999999998E-4</v>
      </c>
      <c r="EM55" s="49">
        <f t="shared" si="187"/>
        <v>3.3373786407766984E-4</v>
      </c>
      <c r="EN55" s="49">
        <f t="shared" si="187"/>
        <v>3.4374999999999998E-4</v>
      </c>
      <c r="EO55" s="49">
        <f t="shared" si="187"/>
        <v>3.4374999999999998E-4</v>
      </c>
      <c r="EP55" s="49">
        <f t="shared" si="187"/>
        <v>3.4374999999999998E-4</v>
      </c>
      <c r="EQ55" s="49">
        <f t="shared" si="187"/>
        <v>3.4374999999999998E-4</v>
      </c>
      <c r="ER55" s="49">
        <f t="shared" si="187"/>
        <v>3.3373786407766984E-4</v>
      </c>
      <c r="ES55" s="49">
        <f t="shared" si="187"/>
        <v>3.4374999999999998E-4</v>
      </c>
      <c r="ET55" s="49">
        <f t="shared" si="187"/>
        <v>3.3373786407766984E-4</v>
      </c>
      <c r="EU55" s="49">
        <f t="shared" si="188"/>
        <v>1</v>
      </c>
      <c r="EV55" s="60">
        <f>IFERROR(EV24/$B55,0)</f>
        <v>5.4857142857142865E-3</v>
      </c>
      <c r="EW55" s="60">
        <f>IFERROR(EW24/$B55,0)</f>
        <v>8.7600000000000016</v>
      </c>
      <c r="EX55" s="60">
        <f>IFERROR(EX24/$B55,0)</f>
        <v>5.4822811546585319E-3</v>
      </c>
      <c r="EY55" s="71">
        <f>IFERROR(up_RadSpec!$G$24*EY24,".")*$B$55</f>
        <v>9.1145833333333313E-4</v>
      </c>
      <c r="EZ55" s="71">
        <f>IFERROR(up_RadSpec!$J$24*EZ24,".")*$B$55</f>
        <v>5.7077625570776247E-7</v>
      </c>
      <c r="FA55" s="49">
        <f t="shared" si="189"/>
        <v>9.1145833333333313E-4</v>
      </c>
      <c r="FB55" s="49">
        <f t="shared" si="189"/>
        <v>5.7077625570776247E-7</v>
      </c>
      <c r="FC55" s="49">
        <f t="shared" si="190"/>
        <v>9.1202910958904093E-4</v>
      </c>
    </row>
    <row r="56" spans="1:159" x14ac:dyDescent="0.25">
      <c r="A56" s="83" t="s">
        <v>1094</v>
      </c>
      <c r="B56" s="42">
        <v>0.99979000004200003</v>
      </c>
      <c r="C56" s="60">
        <f t="shared" ref="C56:M56" si="209">IFERROR(C20/$B56,0)</f>
        <v>1.8185637164859005E-11</v>
      </c>
      <c r="D56" s="60">
        <f t="shared" si="209"/>
        <v>7.2742548659436019E-11</v>
      </c>
      <c r="E56" s="60">
        <f t="shared" si="209"/>
        <v>7.2742548659436019E-11</v>
      </c>
      <c r="F56" s="60">
        <f t="shared" si="209"/>
        <v>7.2742548659436019E-11</v>
      </c>
      <c r="G56" s="60">
        <f t="shared" si="209"/>
        <v>7.2742548659436019E-11</v>
      </c>
      <c r="H56" s="60">
        <f t="shared" si="209"/>
        <v>7.2742548659436019E-11</v>
      </c>
      <c r="I56" s="60">
        <f t="shared" si="209"/>
        <v>7.2742548659436019E-11</v>
      </c>
      <c r="J56" s="60">
        <f t="shared" si="209"/>
        <v>7.2742548659436019E-11</v>
      </c>
      <c r="K56" s="60">
        <f t="shared" si="209"/>
        <v>7.2742548659436019E-11</v>
      </c>
      <c r="L56" s="60">
        <f t="shared" si="209"/>
        <v>7.2742548659436019E-11</v>
      </c>
      <c r="M56" s="60">
        <f t="shared" si="209"/>
        <v>7.2742548659436019E-11</v>
      </c>
      <c r="N56" s="71">
        <f>up_dir!BA56</f>
        <v>275057.76211849245</v>
      </c>
      <c r="O56" s="71">
        <f>IFERROR(up_RadSpec!$E$20*O20,".")*$B$56</f>
        <v>68735.562502887507</v>
      </c>
      <c r="P56" s="71">
        <f>IFERROR(up_RadSpec!$E$20*P20,".")*$B$56</f>
        <v>68735.562502887507</v>
      </c>
      <c r="Q56" s="71">
        <f>IFERROR(up_RadSpec!$E$20*Q20,".")*$B$56</f>
        <v>68735.562502887507</v>
      </c>
      <c r="R56" s="71">
        <f>IFERROR(up_RadSpec!$E$20*R20,".")*$B$56</f>
        <v>68735.562502887507</v>
      </c>
      <c r="S56" s="71">
        <f>IFERROR(up_RadSpec!$E$20*S20,".")*$B$56</f>
        <v>68735.562502887507</v>
      </c>
      <c r="T56" s="71">
        <f>IFERROR(up_RadSpec!$E$20*T20,".")*$B$56</f>
        <v>68735.562502887507</v>
      </c>
      <c r="U56" s="71">
        <f>IFERROR(up_RadSpec!$E$20*U20,".")*$B$56</f>
        <v>68735.562502887507</v>
      </c>
      <c r="V56" s="71">
        <f>IFERROR(up_RadSpec!$E$20*V20,".")*$B$56</f>
        <v>68735.562502887507</v>
      </c>
      <c r="W56" s="71">
        <f>IFERROR(up_RadSpec!$E$20*W20,".")*$B$56</f>
        <v>68735.562502887507</v>
      </c>
      <c r="X56" s="71">
        <f>IFERROR(up_RadSpec!$E$20*X20,".")*$B$56</f>
        <v>68735.562502887507</v>
      </c>
      <c r="Y56" s="49">
        <f t="shared" si="165"/>
        <v>1</v>
      </c>
      <c r="Z56" s="49">
        <f t="shared" si="165"/>
        <v>1</v>
      </c>
      <c r="AA56" s="49">
        <f t="shared" si="165"/>
        <v>1</v>
      </c>
      <c r="AB56" s="49">
        <f t="shared" si="165"/>
        <v>1</v>
      </c>
      <c r="AC56" s="49">
        <f t="shared" si="165"/>
        <v>1</v>
      </c>
      <c r="AD56" s="49">
        <f t="shared" si="165"/>
        <v>1</v>
      </c>
      <c r="AE56" s="49">
        <f t="shared" si="165"/>
        <v>1</v>
      </c>
      <c r="AF56" s="49">
        <f t="shared" si="165"/>
        <v>1</v>
      </c>
      <c r="AG56" s="49">
        <f t="shared" si="165"/>
        <v>1</v>
      </c>
      <c r="AH56" s="49">
        <f t="shared" si="165"/>
        <v>1</v>
      </c>
      <c r="AI56" s="49">
        <f t="shared" si="165"/>
        <v>1</v>
      </c>
      <c r="AJ56" s="60">
        <f t="shared" ref="AJ56:AW56" si="210">IFERROR(AJ20/$B56,0)</f>
        <v>3.6371274329718007E-8</v>
      </c>
      <c r="AK56" s="60">
        <f t="shared" si="210"/>
        <v>3.3997049008728026E-4</v>
      </c>
      <c r="AL56" s="60">
        <f t="shared" si="210"/>
        <v>1.6475690193754373E-5</v>
      </c>
      <c r="AM56" s="60">
        <f t="shared" si="210"/>
        <v>3.6273336321649558E-12</v>
      </c>
      <c r="AN56" s="60">
        <f>IFERROR(AN20/$B56,0)</f>
        <v>7.2742548659436019E-11</v>
      </c>
      <c r="AO56" s="60">
        <f>IFERROR(AO20/$B56,0)</f>
        <v>2.041896102721011E-14</v>
      </c>
      <c r="AP56" s="60">
        <f>IFERROR(AP20/$B56,0)</f>
        <v>2.1031529858026411E-14</v>
      </c>
      <c r="AQ56" s="60">
        <f>IFERROR(AQ20/$B56,0)</f>
        <v>2.041896102721011E-14</v>
      </c>
      <c r="AR56" s="60">
        <f t="shared" si="210"/>
        <v>2.041896102721011E-14</v>
      </c>
      <c r="AS56" s="60">
        <f t="shared" si="210"/>
        <v>2.041896102721011E-14</v>
      </c>
      <c r="AT56" s="60">
        <f t="shared" si="210"/>
        <v>2.041896102721011E-14</v>
      </c>
      <c r="AU56" s="60">
        <f>IFERROR(AU20/$B56,0)</f>
        <v>2.1031529858026411E-14</v>
      </c>
      <c r="AV56" s="60">
        <f t="shared" si="210"/>
        <v>2.041896102721011E-14</v>
      </c>
      <c r="AW56" s="60">
        <f t="shared" si="210"/>
        <v>2.1031529858026411E-14</v>
      </c>
      <c r="AX56" s="42"/>
      <c r="AY56" s="42"/>
      <c r="AZ56" s="42"/>
      <c r="BA56" s="42"/>
      <c r="BB56" s="42"/>
      <c r="BC56" s="42"/>
      <c r="BD56" s="42"/>
      <c r="BE56" s="42"/>
      <c r="BF56" s="42"/>
      <c r="BG56" s="42"/>
      <c r="BH56" s="42"/>
      <c r="BI56" s="42"/>
      <c r="BJ56" s="42"/>
      <c r="BK56" s="42"/>
      <c r="BL56" s="60">
        <f>IFERROR(BL20/$B56,0)</f>
        <v>2.2894980302766971E-15</v>
      </c>
      <c r="BM56" s="71">
        <f>IFERROR(up_RadSpec!$D$20*BM20,".")*$B$56</f>
        <v>137.47112500577501</v>
      </c>
      <c r="BN56" s="71">
        <f>IFERROR(up_RadSpec!$G$20*BN20,".")*$B$56</f>
        <v>1.4707158844040712E-2</v>
      </c>
      <c r="BO56" s="71">
        <f>IFERROR(up_RadSpec!$F$20*BO20,".")*$B$56</f>
        <v>0.30347742286968993</v>
      </c>
      <c r="BP56" s="71">
        <f>up_b2s!BZ56</f>
        <v>1379002.0903810621</v>
      </c>
      <c r="BQ56" s="71">
        <f>IFERROR(up_RadSpec!$E$20*BQ20,".")*$B$56</f>
        <v>68735.562502887507</v>
      </c>
      <c r="BR56" s="71">
        <f>IFERROR(up_RadSpec!$E$20*BR20,".")*$B$56</f>
        <v>244870441.41653672</v>
      </c>
      <c r="BS56" s="71">
        <f>IFERROR(up_RadSpec!$E$20*BS20,".")*$B$56</f>
        <v>237738292.63741428</v>
      </c>
      <c r="BT56" s="71">
        <f>IFERROR(up_RadSpec!$E$20*BT20,".")*$B$56</f>
        <v>244870441.41653672</v>
      </c>
      <c r="BU56" s="71">
        <f>IFERROR(up_RadSpec!$E$20*BU20,".")*$B$56</f>
        <v>244870441.41653672</v>
      </c>
      <c r="BV56" s="71">
        <f>IFERROR(up_RadSpec!$E$20*BV20,".")*$B$56</f>
        <v>244870441.41653672</v>
      </c>
      <c r="BW56" s="71">
        <f>IFERROR(up_RadSpec!$E$20*BW20,".")*$B$56</f>
        <v>244870441.41653672</v>
      </c>
      <c r="BX56" s="71">
        <f>IFERROR(up_RadSpec!$E$20*BX20,".")*$B$56</f>
        <v>237738292.63741428</v>
      </c>
      <c r="BY56" s="71">
        <f>IFERROR(up_RadSpec!$E$20*BY20,".")*$B$56</f>
        <v>244870441.41653672</v>
      </c>
      <c r="BZ56" s="71">
        <f>IFERROR(up_RadSpec!$E$20*BZ20,".")*$B$56</f>
        <v>237738292.63741428</v>
      </c>
      <c r="CA56" s="49">
        <f t="shared" si="167"/>
        <v>1</v>
      </c>
      <c r="CB56" s="49">
        <f t="shared" si="168"/>
        <v>1.4599536834069782E-2</v>
      </c>
      <c r="CC56" s="49">
        <f t="shared" si="169"/>
        <v>0.26175344356764629</v>
      </c>
      <c r="CD56" s="49">
        <f t="shared" si="170"/>
        <v>1</v>
      </c>
      <c r="CE56" s="49">
        <f t="shared" si="171"/>
        <v>1</v>
      </c>
      <c r="CF56" s="49">
        <f t="shared" si="172"/>
        <v>1</v>
      </c>
      <c r="CG56" s="49">
        <f t="shared" si="173"/>
        <v>1</v>
      </c>
      <c r="CH56" s="49">
        <f t="shared" si="174"/>
        <v>1</v>
      </c>
      <c r="CI56" s="49">
        <f t="shared" si="175"/>
        <v>1</v>
      </c>
      <c r="CJ56" s="49">
        <f t="shared" si="176"/>
        <v>1</v>
      </c>
      <c r="CK56" s="49">
        <f t="shared" si="177"/>
        <v>1</v>
      </c>
      <c r="CL56" s="49">
        <f t="shared" si="178"/>
        <v>1</v>
      </c>
      <c r="CM56" s="49">
        <f t="shared" si="179"/>
        <v>1</v>
      </c>
      <c r="CN56" s="49">
        <f t="shared" si="180"/>
        <v>1</v>
      </c>
      <c r="CO56" s="49">
        <f t="shared" si="181"/>
        <v>1</v>
      </c>
      <c r="CP56" s="60">
        <f t="shared" ref="CP56:DC56" si="211">IFERROR(CP20/$B56,0)</f>
        <v>4.0008401762689807E-10</v>
      </c>
      <c r="CQ56" s="60">
        <f t="shared" si="211"/>
        <v>0</v>
      </c>
      <c r="CR56" s="60">
        <f t="shared" si="211"/>
        <v>4.3809199930145349E-6</v>
      </c>
      <c r="CS56" s="60">
        <f t="shared" si="211"/>
        <v>1.8091553290072903E-11</v>
      </c>
      <c r="CT56" s="60">
        <f>IFERROR(CT20/$B56,0)</f>
        <v>1.4548509731887203E-8</v>
      </c>
      <c r="CU56" s="60">
        <f>IFERROR(CU20/$B56,0)</f>
        <v>2.9097019463774405E-9</v>
      </c>
      <c r="CV56" s="60">
        <f>IFERROR(CV20/$B56,0)</f>
        <v>2.9969930047687634E-9</v>
      </c>
      <c r="CW56" s="60">
        <f>IFERROR(CW20/$B56,0)</f>
        <v>2.9097019463774405E-9</v>
      </c>
      <c r="CX56" s="60">
        <f t="shared" si="211"/>
        <v>2.9097019463774405E-9</v>
      </c>
      <c r="CY56" s="60">
        <f t="shared" si="211"/>
        <v>2.9097019463774405E-9</v>
      </c>
      <c r="CZ56" s="60">
        <f t="shared" si="211"/>
        <v>2.9097019463774405E-9</v>
      </c>
      <c r="DA56" s="60">
        <f>IFERROR(DA20/$B56,0)</f>
        <v>2.9969930047687634E-9</v>
      </c>
      <c r="DB56" s="60">
        <f t="shared" si="211"/>
        <v>2.9097019463774405E-9</v>
      </c>
      <c r="DC56" s="60">
        <f t="shared" si="211"/>
        <v>2.9969930047687634E-9</v>
      </c>
      <c r="DD56" s="15"/>
      <c r="DE56" s="15"/>
      <c r="DF56" s="15"/>
      <c r="DG56" s="15"/>
      <c r="DH56" s="15"/>
      <c r="DI56" s="15"/>
      <c r="DJ56" s="15"/>
      <c r="DK56" s="15"/>
      <c r="DL56" s="15"/>
      <c r="DM56" s="15"/>
      <c r="DN56" s="15"/>
      <c r="DO56" s="15"/>
      <c r="DP56" s="15"/>
      <c r="DQ56" s="15"/>
      <c r="DR56" s="60">
        <f>IFERROR(DR20/$B56,0)</f>
        <v>1.6418764481130121E-11</v>
      </c>
      <c r="DS56" s="71">
        <f>IFERROR(up_RadSpec!$H$20*DS20,".")*$B$56</f>
        <v>12497.375000525</v>
      </c>
      <c r="DT56" s="71">
        <f>IFERROR(up_RadSpec!$G$20*DT20,".")*$B$56</f>
        <v>2278.1673178040364</v>
      </c>
      <c r="DU56" s="71">
        <f>IFERROR(up_RadSpec!$L$20*DU20,".")*$B$56</f>
        <v>1.141312785436073</v>
      </c>
      <c r="DV56" s="71">
        <f>up_b2w!BZ56</f>
        <v>276488.18103472237</v>
      </c>
      <c r="DW56" s="71">
        <f>IFERROR(up_RadSpec!$E$20*DW20,".")*$B$56</f>
        <v>343.67781251443751</v>
      </c>
      <c r="DX56" s="71">
        <f>IFERROR(up_RadSpec!$E$20*DX20,".")*$B$56</f>
        <v>1718.3890625721876</v>
      </c>
      <c r="DY56" s="71">
        <f>IFERROR(up_RadSpec!$E$20*DY20,".")*$B$56</f>
        <v>1668.3388957011528</v>
      </c>
      <c r="DZ56" s="71">
        <f>IFERROR(up_RadSpec!$E$20*DZ20,".")*$B$56</f>
        <v>1718.3890625721876</v>
      </c>
      <c r="EA56" s="71">
        <f>IFERROR(up_RadSpec!$E$20*EA20,".")*$B$56</f>
        <v>1718.3890625721876</v>
      </c>
      <c r="EB56" s="71">
        <f>IFERROR(up_RadSpec!$E$20*EB20,".")*$B$56</f>
        <v>1718.3890625721876</v>
      </c>
      <c r="EC56" s="71">
        <f>IFERROR(up_RadSpec!$E$20*EC20,".")*$B$56</f>
        <v>1718.3890625721876</v>
      </c>
      <c r="ED56" s="71">
        <f>IFERROR(up_RadSpec!$E$20*ED20,".")*$B$56</f>
        <v>1668.3388957011528</v>
      </c>
      <c r="EE56" s="71">
        <f>IFERROR(up_RadSpec!$E$20*EE20,".")*$B$56</f>
        <v>1718.3890625721876</v>
      </c>
      <c r="EF56" s="71">
        <f>IFERROR(up_RadSpec!$E$20*EF20,".")*$B$56</f>
        <v>1668.3388957011528</v>
      </c>
      <c r="EG56" s="49">
        <f t="shared" si="183"/>
        <v>1</v>
      </c>
      <c r="EH56" s="49">
        <f t="shared" si="184"/>
        <v>1</v>
      </c>
      <c r="EI56" s="49">
        <f t="shared" si="185"/>
        <v>0.68060055646932571</v>
      </c>
      <c r="EJ56" s="49">
        <f t="shared" si="186"/>
        <v>1</v>
      </c>
      <c r="EK56" s="49">
        <f t="shared" si="187"/>
        <v>1</v>
      </c>
      <c r="EL56" s="49">
        <f t="shared" si="187"/>
        <v>1</v>
      </c>
      <c r="EM56" s="49">
        <f t="shared" si="187"/>
        <v>1</v>
      </c>
      <c r="EN56" s="49">
        <f t="shared" si="187"/>
        <v>1</v>
      </c>
      <c r="EO56" s="49">
        <f t="shared" si="187"/>
        <v>1</v>
      </c>
      <c r="EP56" s="49">
        <f t="shared" si="187"/>
        <v>1</v>
      </c>
      <c r="EQ56" s="49">
        <f t="shared" si="187"/>
        <v>1</v>
      </c>
      <c r="ER56" s="49">
        <f t="shared" si="187"/>
        <v>1</v>
      </c>
      <c r="ES56" s="49">
        <f t="shared" si="187"/>
        <v>1</v>
      </c>
      <c r="ET56" s="49">
        <f t="shared" si="187"/>
        <v>1</v>
      </c>
      <c r="EU56" s="49">
        <f t="shared" si="188"/>
        <v>1</v>
      </c>
      <c r="EV56" s="60">
        <f>IFERROR(EV20/$B56,0)</f>
        <v>1.0973733054909206E-9</v>
      </c>
      <c r="EW56" s="60">
        <f>IFERROR(EW20/$B56,0)</f>
        <v>1.7523679972058138E-6</v>
      </c>
      <c r="EX56" s="60">
        <f>IFERROR(EX20/$B56,0)</f>
        <v>1.0966865350580077E-9</v>
      </c>
      <c r="EY56" s="71">
        <f>IFERROR(up_RadSpec!$G$20*EY20,".")*$B$56</f>
        <v>4556.3346356080729</v>
      </c>
      <c r="EZ56" s="71">
        <f>IFERROR(up_RadSpec!$J$20*EZ20,".")*$B$56</f>
        <v>2.8532819635901823</v>
      </c>
      <c r="FA56" s="49">
        <f t="shared" si="189"/>
        <v>1</v>
      </c>
      <c r="FB56" s="49">
        <f t="shared" si="189"/>
        <v>0.94234521089186785</v>
      </c>
      <c r="FC56" s="49">
        <f t="shared" si="190"/>
        <v>1</v>
      </c>
    </row>
    <row r="57" spans="1:159" x14ac:dyDescent="0.25">
      <c r="A57" s="83" t="s">
        <v>1095</v>
      </c>
      <c r="B57" s="42">
        <v>2.0999995799999999E-4</v>
      </c>
      <c r="C57" s="60">
        <f t="shared" ref="C57:M57" si="212">IFERROR(C29/$B57,0)</f>
        <v>8.6580103896107364E-8</v>
      </c>
      <c r="D57" s="60">
        <f t="shared" si="212"/>
        <v>3.4632041558442946E-7</v>
      </c>
      <c r="E57" s="60">
        <f t="shared" si="212"/>
        <v>3.4632041558442946E-7</v>
      </c>
      <c r="F57" s="60">
        <f t="shared" si="212"/>
        <v>3.4632041558442946E-7</v>
      </c>
      <c r="G57" s="60">
        <f t="shared" si="212"/>
        <v>3.4632041558442946E-7</v>
      </c>
      <c r="H57" s="60">
        <f t="shared" si="212"/>
        <v>3.4632041558442946E-7</v>
      </c>
      <c r="I57" s="60">
        <f t="shared" si="212"/>
        <v>3.4632041558442946E-7</v>
      </c>
      <c r="J57" s="60">
        <f t="shared" si="212"/>
        <v>3.4632041558442946E-7</v>
      </c>
      <c r="K57" s="60">
        <f t="shared" si="212"/>
        <v>3.4632041558442946E-7</v>
      </c>
      <c r="L57" s="60">
        <f t="shared" si="212"/>
        <v>3.4632041558442946E-7</v>
      </c>
      <c r="M57" s="60">
        <f t="shared" si="212"/>
        <v>3.4632041558442946E-7</v>
      </c>
      <c r="N57" s="71">
        <f>up_dir!BA57</f>
        <v>1309524071.4286239</v>
      </c>
      <c r="O57" s="71">
        <f>IFERROR(up_RadSpec!$E$29*O29,".")*$B$57</f>
        <v>14.437497112499999</v>
      </c>
      <c r="P57" s="71">
        <f>IFERROR(up_RadSpec!$E$29*P29,".")*$B$57</f>
        <v>14.437497112499999</v>
      </c>
      <c r="Q57" s="71">
        <f>IFERROR(up_RadSpec!$E$29*Q29,".")*$B$57</f>
        <v>14.437497112499999</v>
      </c>
      <c r="R57" s="71">
        <f>IFERROR(up_RadSpec!$E$29*R29,".")*$B$57</f>
        <v>14.437497112499999</v>
      </c>
      <c r="S57" s="71">
        <f>IFERROR(up_RadSpec!$E$29*S29,".")*$B$57</f>
        <v>14.437497112499999</v>
      </c>
      <c r="T57" s="71">
        <f>IFERROR(up_RadSpec!$E$29*T29,".")*$B$57</f>
        <v>14.437497112499999</v>
      </c>
      <c r="U57" s="71">
        <f>IFERROR(up_RadSpec!$E$29*U29,".")*$B$57</f>
        <v>14.437497112499999</v>
      </c>
      <c r="V57" s="71">
        <f>IFERROR(up_RadSpec!$E$29*V29,".")*$B$57</f>
        <v>14.437497112499999</v>
      </c>
      <c r="W57" s="71">
        <f>IFERROR(up_RadSpec!$E$29*W29,".")*$B$57</f>
        <v>14.437497112499999</v>
      </c>
      <c r="X57" s="71">
        <f>IFERROR(up_RadSpec!$E$29*X29,".")*$B$57</f>
        <v>14.437497112499999</v>
      </c>
      <c r="Y57" s="49">
        <f t="shared" si="165"/>
        <v>1</v>
      </c>
      <c r="Z57" s="49">
        <f t="shared" si="165"/>
        <v>0.99999946312315757</v>
      </c>
      <c r="AA57" s="49">
        <f t="shared" si="165"/>
        <v>0.99999946312315757</v>
      </c>
      <c r="AB57" s="49">
        <f t="shared" si="165"/>
        <v>0.99999946312315757</v>
      </c>
      <c r="AC57" s="49">
        <f t="shared" si="165"/>
        <v>0.99999946312315757</v>
      </c>
      <c r="AD57" s="49">
        <f t="shared" si="165"/>
        <v>0.99999946312315757</v>
      </c>
      <c r="AE57" s="49">
        <f t="shared" si="165"/>
        <v>0.99999946312315757</v>
      </c>
      <c r="AF57" s="49">
        <f t="shared" si="165"/>
        <v>0.99999946312315757</v>
      </c>
      <c r="AG57" s="49">
        <f t="shared" si="165"/>
        <v>0.99999946312315757</v>
      </c>
      <c r="AH57" s="49">
        <f t="shared" si="165"/>
        <v>0.99999946312315757</v>
      </c>
      <c r="AI57" s="49">
        <f t="shared" si="165"/>
        <v>0.99999946312315757</v>
      </c>
      <c r="AJ57" s="60">
        <f t="shared" ref="AJ57:AW57" si="213">IFERROR(AJ29/$B57,0)</f>
        <v>1.7316020779221473E-4</v>
      </c>
      <c r="AK57" s="60">
        <f t="shared" si="213"/>
        <v>1.6185674489451123</v>
      </c>
      <c r="AL57" s="60">
        <f t="shared" si="213"/>
        <v>6.1735635558160189E-2</v>
      </c>
      <c r="AM57" s="60">
        <f t="shared" si="213"/>
        <v>1.7269393416995584E-8</v>
      </c>
      <c r="AN57" s="60">
        <f>IFERROR(AN29/$B57,0)</f>
        <v>3.4632041558442946E-7</v>
      </c>
      <c r="AO57" s="60">
        <f>IFERROR(AO29/$B57,0)</f>
        <v>9.7212748234225809E-11</v>
      </c>
      <c r="AP57" s="60">
        <f>IFERROR(AP29/$B57,0)</f>
        <v>1.0012913068125257E-10</v>
      </c>
      <c r="AQ57" s="60">
        <f>IFERROR(AQ29/$B57,0)</f>
        <v>9.7212748234225809E-11</v>
      </c>
      <c r="AR57" s="60">
        <f t="shared" si="213"/>
        <v>9.7212748234225809E-11</v>
      </c>
      <c r="AS57" s="60">
        <f t="shared" si="213"/>
        <v>9.7212748234225809E-11</v>
      </c>
      <c r="AT57" s="60">
        <f t="shared" si="213"/>
        <v>9.7212748234225809E-11</v>
      </c>
      <c r="AU57" s="60">
        <f>IFERROR(AU29/$B57,0)</f>
        <v>1.0012913068125257E-10</v>
      </c>
      <c r="AV57" s="60">
        <f t="shared" si="213"/>
        <v>9.7212748234225809E-11</v>
      </c>
      <c r="AW57" s="60">
        <f t="shared" si="213"/>
        <v>1.0012913068125257E-10</v>
      </c>
      <c r="AX57" s="42"/>
      <c r="AY57" s="42"/>
      <c r="AZ57" s="42"/>
      <c r="BA57" s="42"/>
      <c r="BB57" s="42"/>
      <c r="BC57" s="42"/>
      <c r="BD57" s="42"/>
      <c r="BE57" s="42"/>
      <c r="BF57" s="42"/>
      <c r="BG57" s="42"/>
      <c r="BH57" s="42"/>
      <c r="BI57" s="42"/>
      <c r="BJ57" s="42"/>
      <c r="BK57" s="42"/>
      <c r="BL57" s="60">
        <f>IFERROR(BL29/$B57,0)</f>
        <v>1.0900084254780822E-11</v>
      </c>
      <c r="BM57" s="71">
        <f>IFERROR(up_RadSpec!$D$29*BM29,".")*$B$57</f>
        <v>2.8874994224999999E-2</v>
      </c>
      <c r="BN57" s="71">
        <f>IFERROR(up_RadSpec!$G$29*BN29,".")*$B$57</f>
        <v>3.0891514612249906E-6</v>
      </c>
      <c r="BO57" s="71">
        <f>IFERROR(up_RadSpec!$F$29*BO29,".")*$B$57</f>
        <v>8.0990500134878779E-5</v>
      </c>
      <c r="BP57" s="71">
        <f>up_b2s!BZ57</f>
        <v>6565298932.1074057</v>
      </c>
      <c r="BQ57" s="71">
        <f>IFERROR(up_RadSpec!$E$29*BQ29,".")*$B$57</f>
        <v>14.437497112499999</v>
      </c>
      <c r="BR57" s="71">
        <f>IFERROR(up_RadSpec!$E$29*BR29,".")*$B$57</f>
        <v>51433.583463281248</v>
      </c>
      <c r="BS57" s="71">
        <f>IFERROR(up_RadSpec!$E$29*BS29,".")*$B$57</f>
        <v>49935.517925515771</v>
      </c>
      <c r="BT57" s="71">
        <f>IFERROR(up_RadSpec!$E$29*BT29,".")*$B$57</f>
        <v>51433.583463281248</v>
      </c>
      <c r="BU57" s="71">
        <f>IFERROR(up_RadSpec!$E$29*BU29,".")*$B$57</f>
        <v>51433.583463281248</v>
      </c>
      <c r="BV57" s="71">
        <f>IFERROR(up_RadSpec!$E$29*BV29,".")*$B$57</f>
        <v>51433.583463281248</v>
      </c>
      <c r="BW57" s="71">
        <f>IFERROR(up_RadSpec!$E$29*BW29,".")*$B$57</f>
        <v>51433.583463281248</v>
      </c>
      <c r="BX57" s="71">
        <f>IFERROR(up_RadSpec!$E$29*BX29,".")*$B$57</f>
        <v>49935.517925515771</v>
      </c>
      <c r="BY57" s="71">
        <f>IFERROR(up_RadSpec!$E$29*BY29,".")*$B$57</f>
        <v>51433.583463281248</v>
      </c>
      <c r="BZ57" s="71">
        <f>IFERROR(up_RadSpec!$E$29*BZ29,".")*$B$57</f>
        <v>49935.517925515771</v>
      </c>
      <c r="CA57" s="49">
        <f t="shared" si="167"/>
        <v>2.8462095275198163E-2</v>
      </c>
      <c r="CB57" s="49">
        <f t="shared" si="168"/>
        <v>3.0891514612249906E-6</v>
      </c>
      <c r="CC57" s="49">
        <f t="shared" si="169"/>
        <v>8.0990500134878779E-5</v>
      </c>
      <c r="CD57" s="49">
        <f t="shared" si="170"/>
        <v>1</v>
      </c>
      <c r="CE57" s="49">
        <f t="shared" si="171"/>
        <v>0.99999946312315757</v>
      </c>
      <c r="CF57" s="49">
        <f t="shared" si="172"/>
        <v>1</v>
      </c>
      <c r="CG57" s="49">
        <f t="shared" si="173"/>
        <v>1</v>
      </c>
      <c r="CH57" s="49">
        <f t="shared" si="174"/>
        <v>1</v>
      </c>
      <c r="CI57" s="49">
        <f t="shared" si="175"/>
        <v>1</v>
      </c>
      <c r="CJ57" s="49">
        <f t="shared" si="176"/>
        <v>1</v>
      </c>
      <c r="CK57" s="49">
        <f t="shared" si="177"/>
        <v>1</v>
      </c>
      <c r="CL57" s="49">
        <f t="shared" si="178"/>
        <v>1</v>
      </c>
      <c r="CM57" s="49">
        <f t="shared" si="179"/>
        <v>1</v>
      </c>
      <c r="CN57" s="49">
        <f t="shared" si="180"/>
        <v>1</v>
      </c>
      <c r="CO57" s="49">
        <f t="shared" si="181"/>
        <v>1</v>
      </c>
      <c r="CP57" s="60">
        <f t="shared" ref="CP57:DC57" si="214">IFERROR(CP29/$B57,0)</f>
        <v>1.9047622857143618E-6</v>
      </c>
      <c r="CQ57" s="60">
        <f t="shared" si="214"/>
        <v>0</v>
      </c>
      <c r="CR57" s="60">
        <f t="shared" si="214"/>
        <v>2.0857147028572266E-2</v>
      </c>
      <c r="CS57" s="60">
        <f t="shared" si="214"/>
        <v>8.6132179439016046E-8</v>
      </c>
      <c r="CT57" s="60">
        <f>IFERROR(CT29/$B57,0)</f>
        <v>6.9264083116885885E-5</v>
      </c>
      <c r="CU57" s="60">
        <f>IFERROR(CU29/$B57,0)</f>
        <v>1.3852816623377177E-5</v>
      </c>
      <c r="CV57" s="60">
        <f>IFERROR(CV29/$B57,0)</f>
        <v>1.4268401122078491E-5</v>
      </c>
      <c r="CW57" s="60">
        <f>IFERROR(CW29/$B57,0)</f>
        <v>1.3852816623377177E-5</v>
      </c>
      <c r="CX57" s="60">
        <f t="shared" si="214"/>
        <v>1.3852816623377177E-5</v>
      </c>
      <c r="CY57" s="60">
        <f t="shared" si="214"/>
        <v>1.3852816623377177E-5</v>
      </c>
      <c r="CZ57" s="60">
        <f t="shared" si="214"/>
        <v>1.3852816623377177E-5</v>
      </c>
      <c r="DA57" s="60">
        <f>IFERROR(DA29/$B57,0)</f>
        <v>1.4268401122078491E-5</v>
      </c>
      <c r="DB57" s="60">
        <f t="shared" si="214"/>
        <v>1.3852816623377177E-5</v>
      </c>
      <c r="DC57" s="60">
        <f t="shared" si="214"/>
        <v>1.4268401122078491E-5</v>
      </c>
      <c r="DD57" s="15"/>
      <c r="DE57" s="15"/>
      <c r="DF57" s="15"/>
      <c r="DG57" s="15"/>
      <c r="DH57" s="15"/>
      <c r="DI57" s="15"/>
      <c r="DJ57" s="15"/>
      <c r="DK57" s="15"/>
      <c r="DL57" s="15"/>
      <c r="DM57" s="15"/>
      <c r="DN57" s="15"/>
      <c r="DO57" s="15"/>
      <c r="DP57" s="15"/>
      <c r="DQ57" s="15"/>
      <c r="DR57" s="60">
        <f>IFERROR(DR29/$B57,0)</f>
        <v>7.8168189639726848E-8</v>
      </c>
      <c r="DS57" s="71">
        <f>IFERROR(up_RadSpec!$H$29*DS29,".")*$B$57</f>
        <v>2.6249994749999996</v>
      </c>
      <c r="DT57" s="71">
        <f>IFERROR(up_RadSpec!$G$29*DT29,".")*$B$57</f>
        <v>0.47851552929687491</v>
      </c>
      <c r="DU57" s="71">
        <f>IFERROR(up_RadSpec!$L$29*DU29,".")*$B$57</f>
        <v>2.3972597945205474E-4</v>
      </c>
      <c r="DV57" s="71">
        <f>up_b2w!BZ57</f>
        <v>1316334161.0207255</v>
      </c>
      <c r="DW57" s="71">
        <f>IFERROR(up_RadSpec!$E$29*DW29,".")*$B$57</f>
        <v>7.2187485562500001E-2</v>
      </c>
      <c r="DX57" s="71">
        <f>IFERROR(up_RadSpec!$E$29*DX29,".")*$B$57</f>
        <v>0.36093742781249999</v>
      </c>
      <c r="DY57" s="71">
        <f>IFERROR(up_RadSpec!$E$29*DY29,".")*$B$57</f>
        <v>0.35042468719660191</v>
      </c>
      <c r="DZ57" s="71">
        <f>IFERROR(up_RadSpec!$E$29*DZ29,".")*$B$57</f>
        <v>0.36093742781249999</v>
      </c>
      <c r="EA57" s="71">
        <f>IFERROR(up_RadSpec!$E$29*EA29,".")*$B$57</f>
        <v>0.36093742781249999</v>
      </c>
      <c r="EB57" s="71">
        <f>IFERROR(up_RadSpec!$E$29*EB29,".")*$B$57</f>
        <v>0.36093742781249999</v>
      </c>
      <c r="EC57" s="71">
        <f>IFERROR(up_RadSpec!$E$29*EC29,".")*$B$57</f>
        <v>0.36093742781249999</v>
      </c>
      <c r="ED57" s="71">
        <f>IFERROR(up_RadSpec!$E$29*ED29,".")*$B$57</f>
        <v>0.35042468719660191</v>
      </c>
      <c r="EE57" s="71">
        <f>IFERROR(up_RadSpec!$E$29*EE29,".")*$B$57</f>
        <v>0.36093742781249999</v>
      </c>
      <c r="EF57" s="71">
        <f>IFERROR(up_RadSpec!$E$29*EF29,".")*$B$57</f>
        <v>0.35042468719660191</v>
      </c>
      <c r="EG57" s="49">
        <f t="shared" si="183"/>
        <v>0.92756020493486613</v>
      </c>
      <c r="EH57" s="49">
        <f t="shared" si="184"/>
        <v>0.38029736024762861</v>
      </c>
      <c r="EI57" s="49">
        <f t="shared" si="185"/>
        <v>2.3972597945205474E-4</v>
      </c>
      <c r="EJ57" s="49">
        <f t="shared" si="186"/>
        <v>1</v>
      </c>
      <c r="EK57" s="49">
        <f t="shared" si="187"/>
        <v>6.964354894377156E-2</v>
      </c>
      <c r="EL57" s="49">
        <f t="shared" si="187"/>
        <v>0.30297738866808965</v>
      </c>
      <c r="EM57" s="49">
        <f t="shared" si="187"/>
        <v>0.29561111875108781</v>
      </c>
      <c r="EN57" s="49">
        <f t="shared" si="187"/>
        <v>0.30297738866808965</v>
      </c>
      <c r="EO57" s="49">
        <f t="shared" si="187"/>
        <v>0.30297738866808965</v>
      </c>
      <c r="EP57" s="49">
        <f t="shared" si="187"/>
        <v>0.30297738866808965</v>
      </c>
      <c r="EQ57" s="49">
        <f t="shared" si="187"/>
        <v>0.30297738866808965</v>
      </c>
      <c r="ER57" s="49">
        <f t="shared" si="187"/>
        <v>0.29561111875108781</v>
      </c>
      <c r="ES57" s="49">
        <f t="shared" si="187"/>
        <v>0.30297738866808965</v>
      </c>
      <c r="ET57" s="49">
        <f t="shared" si="187"/>
        <v>0.29561111875108781</v>
      </c>
      <c r="EU57" s="49">
        <f t="shared" si="188"/>
        <v>1</v>
      </c>
      <c r="EV57" s="60">
        <f>IFERROR(EV29/$B57,0)</f>
        <v>5.2244908408165367E-6</v>
      </c>
      <c r="EW57" s="60">
        <f>IFERROR(EW29/$B57,0)</f>
        <v>8.3428588114289066E-3</v>
      </c>
      <c r="EX57" s="60">
        <f>IFERROR(EX29/$B57,0)</f>
        <v>5.2212211915380789E-6</v>
      </c>
      <c r="EY57" s="71">
        <f>IFERROR(up_RadSpec!$G$29*EY29,".")*$B$57</f>
        <v>0.95703105859374982</v>
      </c>
      <c r="EZ57" s="71">
        <f>IFERROR(up_RadSpec!$J$29*EZ29,".")*$B$57</f>
        <v>5.9931494863013689E-4</v>
      </c>
      <c r="FA57" s="49">
        <f t="shared" si="189"/>
        <v>0.61596863828394266</v>
      </c>
      <c r="FB57" s="49">
        <f t="shared" si="189"/>
        <v>5.9931494863013689E-4</v>
      </c>
      <c r="FC57" s="49">
        <f t="shared" si="190"/>
        <v>0.6161987250656511</v>
      </c>
    </row>
    <row r="58" spans="1:159" x14ac:dyDescent="0.25">
      <c r="A58" s="83" t="s">
        <v>1096</v>
      </c>
      <c r="B58" s="42">
        <v>1</v>
      </c>
      <c r="C58" s="60">
        <f t="shared" ref="C58:M58" si="215">IFERROR(C16/$B58,0)</f>
        <v>1.8181818181818181E-11</v>
      </c>
      <c r="D58" s="60">
        <f t="shared" si="215"/>
        <v>7.2727272727272723E-11</v>
      </c>
      <c r="E58" s="60">
        <f t="shared" si="215"/>
        <v>7.2727272727272723E-11</v>
      </c>
      <c r="F58" s="60">
        <f t="shared" si="215"/>
        <v>7.2727272727272723E-11</v>
      </c>
      <c r="G58" s="60">
        <f t="shared" si="215"/>
        <v>7.2727272727272723E-11</v>
      </c>
      <c r="H58" s="60">
        <f t="shared" si="215"/>
        <v>7.2727272727272723E-11</v>
      </c>
      <c r="I58" s="60">
        <f t="shared" si="215"/>
        <v>7.2727272727272723E-11</v>
      </c>
      <c r="J58" s="60">
        <f t="shared" si="215"/>
        <v>7.2727272727272723E-11</v>
      </c>
      <c r="K58" s="60">
        <f t="shared" si="215"/>
        <v>7.2727272727272723E-11</v>
      </c>
      <c r="L58" s="60">
        <f t="shared" si="215"/>
        <v>7.2727272727272723E-11</v>
      </c>
      <c r="M58" s="60">
        <f t="shared" si="215"/>
        <v>7.2727272727272723E-11</v>
      </c>
      <c r="N58" s="71">
        <f>up_dir!BA58</f>
        <v>275000</v>
      </c>
      <c r="O58" s="71">
        <f>IFERROR(up_RadSpec!$E$16*O16,".")*$B$58</f>
        <v>68750</v>
      </c>
      <c r="P58" s="71">
        <f>IFERROR(up_RadSpec!$E$16*P16,".")*$B$58</f>
        <v>68750</v>
      </c>
      <c r="Q58" s="71">
        <f>IFERROR(up_RadSpec!$E$16*Q16,".")*$B$58</f>
        <v>68750</v>
      </c>
      <c r="R58" s="71">
        <f>IFERROR(up_RadSpec!$E$16*R16,".")*$B$58</f>
        <v>68750</v>
      </c>
      <c r="S58" s="71">
        <f>IFERROR(up_RadSpec!$E$16*S16,".")*$B$58</f>
        <v>68750</v>
      </c>
      <c r="T58" s="71">
        <f>IFERROR(up_RadSpec!$E$16*T16,".")*$B$58</f>
        <v>68750</v>
      </c>
      <c r="U58" s="71">
        <f>IFERROR(up_RadSpec!$E$16*U16,".")*$B$58</f>
        <v>68750</v>
      </c>
      <c r="V58" s="71">
        <f>IFERROR(up_RadSpec!$E$16*V16,".")*$B$58</f>
        <v>68750</v>
      </c>
      <c r="W58" s="71">
        <f>IFERROR(up_RadSpec!$E$16*W16,".")*$B$58</f>
        <v>68750</v>
      </c>
      <c r="X58" s="71">
        <f>IFERROR(up_RadSpec!$E$16*X16,".")*$B$58</f>
        <v>68750</v>
      </c>
      <c r="Y58" s="49">
        <f t="shared" si="165"/>
        <v>1</v>
      </c>
      <c r="Z58" s="49">
        <f t="shared" si="165"/>
        <v>1</v>
      </c>
      <c r="AA58" s="49">
        <f t="shared" si="165"/>
        <v>1</v>
      </c>
      <c r="AB58" s="49">
        <f t="shared" si="165"/>
        <v>1</v>
      </c>
      <c r="AC58" s="49">
        <f t="shared" si="165"/>
        <v>1</v>
      </c>
      <c r="AD58" s="49">
        <f t="shared" si="165"/>
        <v>1</v>
      </c>
      <c r="AE58" s="49">
        <f t="shared" si="165"/>
        <v>1</v>
      </c>
      <c r="AF58" s="49">
        <f t="shared" si="165"/>
        <v>1</v>
      </c>
      <c r="AG58" s="49">
        <f t="shared" si="165"/>
        <v>1</v>
      </c>
      <c r="AH58" s="49">
        <f t="shared" si="165"/>
        <v>1</v>
      </c>
      <c r="AI58" s="49">
        <f t="shared" si="165"/>
        <v>1</v>
      </c>
      <c r="AJ58" s="60">
        <f t="shared" ref="AJ58:AW58" si="216">IFERROR(AJ16/$B58,0)</f>
        <v>3.6363636363636363E-8</v>
      </c>
      <c r="AK58" s="60">
        <f t="shared" si="216"/>
        <v>3.3989909629864073E-4</v>
      </c>
      <c r="AL58" s="60">
        <f t="shared" si="216"/>
        <v>0.35060034305317339</v>
      </c>
      <c r="AM58" s="60">
        <f t="shared" si="216"/>
        <v>3.6265718922545492E-12</v>
      </c>
      <c r="AN58" s="60">
        <f>IFERROR(AN16/$B58,0)</f>
        <v>7.2727272727272723E-11</v>
      </c>
      <c r="AO58" s="60">
        <f>IFERROR(AO16/$B58,0)</f>
        <v>2.0414673046251994E-14</v>
      </c>
      <c r="AP58" s="60">
        <f>IFERROR(AP16/$B58,0)</f>
        <v>2.102711323763955E-14</v>
      </c>
      <c r="AQ58" s="60">
        <f>IFERROR(AQ16/$B58,0)</f>
        <v>2.0414673046251994E-14</v>
      </c>
      <c r="AR58" s="60">
        <f t="shared" si="216"/>
        <v>2.0414673046251994E-14</v>
      </c>
      <c r="AS58" s="60">
        <f t="shared" si="216"/>
        <v>2.0414673046251994E-14</v>
      </c>
      <c r="AT58" s="60">
        <f t="shared" si="216"/>
        <v>2.0414673046251994E-14</v>
      </c>
      <c r="AU58" s="60">
        <f>IFERROR(AU16/$B58,0)</f>
        <v>2.102711323763955E-14</v>
      </c>
      <c r="AV58" s="60">
        <f t="shared" si="216"/>
        <v>2.0414673046251994E-14</v>
      </c>
      <c r="AW58" s="60">
        <f t="shared" si="216"/>
        <v>2.102711323763955E-14</v>
      </c>
      <c r="AX58" s="42"/>
      <c r="AY58" s="42"/>
      <c r="AZ58" s="42"/>
      <c r="BA58" s="42"/>
      <c r="BB58" s="42"/>
      <c r="BC58" s="42"/>
      <c r="BD58" s="42"/>
      <c r="BE58" s="42"/>
      <c r="BF58" s="42"/>
      <c r="BG58" s="42"/>
      <c r="BH58" s="42"/>
      <c r="BI58" s="42"/>
      <c r="BJ58" s="42"/>
      <c r="BK58" s="42"/>
      <c r="BL58" s="60">
        <f>IFERROR(BL16/$B58,0)</f>
        <v>2.2890172361045697E-15</v>
      </c>
      <c r="BM58" s="71">
        <f>IFERROR(up_RadSpec!$D$16*BM16,".")*$B$58</f>
        <v>137.5</v>
      </c>
      <c r="BN58" s="71">
        <f>IFERROR(up_RadSpec!$G$16*BN16,".")*$B$58</f>
        <v>1.4710247995501937E-2</v>
      </c>
      <c r="BO58" s="71">
        <f>IFERROR(up_RadSpec!$F$16*BO16,".")*$B$58</f>
        <v>1.4261252446183947E-5</v>
      </c>
      <c r="BP58" s="71">
        <f>up_b2s!BZ58</f>
        <v>1378712.5</v>
      </c>
      <c r="BQ58" s="71">
        <f>IFERROR(up_RadSpec!$E$16*BQ16,".")*$B$58</f>
        <v>68750</v>
      </c>
      <c r="BR58" s="71">
        <f>IFERROR(up_RadSpec!$E$16*BR16,".")*$B$58</f>
        <v>244921875</v>
      </c>
      <c r="BS58" s="71">
        <f>IFERROR(up_RadSpec!$E$16*BS16,".")*$B$58</f>
        <v>237788228.15533978</v>
      </c>
      <c r="BT58" s="71">
        <f>IFERROR(up_RadSpec!$E$16*BT16,".")*$B$58</f>
        <v>244921875</v>
      </c>
      <c r="BU58" s="71">
        <f>IFERROR(up_RadSpec!$E$16*BU16,".")*$B$58</f>
        <v>244921875</v>
      </c>
      <c r="BV58" s="71">
        <f>IFERROR(up_RadSpec!$E$16*BV16,".")*$B$58</f>
        <v>244921875</v>
      </c>
      <c r="BW58" s="71">
        <f>IFERROR(up_RadSpec!$E$16*BW16,".")*$B$58</f>
        <v>244921875</v>
      </c>
      <c r="BX58" s="71">
        <f>IFERROR(up_RadSpec!$E$16*BX16,".")*$B$58</f>
        <v>237788228.15533978</v>
      </c>
      <c r="BY58" s="71">
        <f>IFERROR(up_RadSpec!$E$16*BY16,".")*$B$58</f>
        <v>244921875</v>
      </c>
      <c r="BZ58" s="71">
        <f>IFERROR(up_RadSpec!$E$16*BZ16,".")*$B$58</f>
        <v>237788228.15533978</v>
      </c>
      <c r="CA58" s="49">
        <f t="shared" si="167"/>
        <v>1</v>
      </c>
      <c r="CB58" s="49">
        <f t="shared" si="168"/>
        <v>1.4602580880648697E-2</v>
      </c>
      <c r="CC58" s="49">
        <f t="shared" si="169"/>
        <v>1.4261252446183947E-5</v>
      </c>
      <c r="CD58" s="49">
        <f t="shared" si="170"/>
        <v>1</v>
      </c>
      <c r="CE58" s="49">
        <f t="shared" si="171"/>
        <v>1</v>
      </c>
      <c r="CF58" s="49">
        <f t="shared" si="172"/>
        <v>1</v>
      </c>
      <c r="CG58" s="49">
        <f t="shared" si="173"/>
        <v>1</v>
      </c>
      <c r="CH58" s="49">
        <f t="shared" si="174"/>
        <v>1</v>
      </c>
      <c r="CI58" s="49">
        <f t="shared" si="175"/>
        <v>1</v>
      </c>
      <c r="CJ58" s="49">
        <f t="shared" si="176"/>
        <v>1</v>
      </c>
      <c r="CK58" s="49">
        <f t="shared" si="177"/>
        <v>1</v>
      </c>
      <c r="CL58" s="49">
        <f t="shared" si="178"/>
        <v>1</v>
      </c>
      <c r="CM58" s="49">
        <f t="shared" si="179"/>
        <v>1</v>
      </c>
      <c r="CN58" s="49">
        <f t="shared" si="180"/>
        <v>1</v>
      </c>
      <c r="CO58" s="49">
        <f t="shared" si="181"/>
        <v>1</v>
      </c>
      <c r="CP58" s="60">
        <f t="shared" ref="CP58:DC58" si="217">IFERROR(CP16/$B58,0)</f>
        <v>3.9999999999999996E-10</v>
      </c>
      <c r="CQ58" s="60">
        <f t="shared" si="217"/>
        <v>0</v>
      </c>
      <c r="CR58" s="60">
        <f t="shared" si="217"/>
        <v>4.3800000000000004E-6</v>
      </c>
      <c r="CS58" s="60">
        <f t="shared" si="217"/>
        <v>1.8087754064641833E-11</v>
      </c>
      <c r="CT58" s="60">
        <f>IFERROR(CT16/$B58,0)</f>
        <v>1.4545454545454544E-8</v>
      </c>
      <c r="CU58" s="60">
        <f>IFERROR(CU16/$B58,0)</f>
        <v>2.9090909090909087E-9</v>
      </c>
      <c r="CV58" s="60">
        <f>IFERROR(CV16/$B58,0)</f>
        <v>2.9963636363636357E-9</v>
      </c>
      <c r="CW58" s="60">
        <f>IFERROR(CW16/$B58,0)</f>
        <v>2.9090909090909087E-9</v>
      </c>
      <c r="CX58" s="60">
        <f t="shared" si="217"/>
        <v>2.9090909090909087E-9</v>
      </c>
      <c r="CY58" s="60">
        <f t="shared" si="217"/>
        <v>2.9090909090909087E-9</v>
      </c>
      <c r="CZ58" s="60">
        <f t="shared" si="217"/>
        <v>2.9090909090909087E-9</v>
      </c>
      <c r="DA58" s="60">
        <f>IFERROR(DA16/$B58,0)</f>
        <v>2.9963636363636357E-9</v>
      </c>
      <c r="DB58" s="60">
        <f t="shared" si="217"/>
        <v>2.9090909090909087E-9</v>
      </c>
      <c r="DC58" s="60">
        <f t="shared" si="217"/>
        <v>2.9963636363636357E-9</v>
      </c>
      <c r="DD58" s="15"/>
      <c r="DE58" s="15"/>
      <c r="DF58" s="15"/>
      <c r="DG58" s="15"/>
      <c r="DH58" s="15"/>
      <c r="DI58" s="15"/>
      <c r="DJ58" s="15"/>
      <c r="DK58" s="15"/>
      <c r="DL58" s="15"/>
      <c r="DM58" s="15"/>
      <c r="DN58" s="15"/>
      <c r="DO58" s="15"/>
      <c r="DP58" s="15"/>
      <c r="DQ58" s="15"/>
      <c r="DR58" s="60">
        <f>IFERROR(DR16/$B58,0)</f>
        <v>1.6415316541278672E-11</v>
      </c>
      <c r="DS58" s="71">
        <f>IFERROR(up_RadSpec!$H$16*DS16,".")*$B$58</f>
        <v>12500</v>
      </c>
      <c r="DT58" s="71">
        <f>IFERROR(up_RadSpec!$G$16*DT16,".")*$B$58</f>
        <v>2278.645833333333</v>
      </c>
      <c r="DU58" s="71">
        <f>IFERROR(up_RadSpec!$L$16*DU16,".")*$B$58</f>
        <v>1.1415525114155249</v>
      </c>
      <c r="DV58" s="71">
        <f>up_b2w!BZ58</f>
        <v>276430.1185283176</v>
      </c>
      <c r="DW58" s="71">
        <f>IFERROR(up_RadSpec!$E$16*DW16,".")*$B$58</f>
        <v>343.75</v>
      </c>
      <c r="DX58" s="71">
        <f>IFERROR(up_RadSpec!$E$16*DX16,".")*$B$58</f>
        <v>1718.75</v>
      </c>
      <c r="DY58" s="71">
        <f>IFERROR(up_RadSpec!$E$16*DY16,".")*$B$58</f>
        <v>1668.6893203883494</v>
      </c>
      <c r="DZ58" s="71">
        <f>IFERROR(up_RadSpec!$E$16*DZ16,".")*$B$58</f>
        <v>1718.75</v>
      </c>
      <c r="EA58" s="71">
        <f>IFERROR(up_RadSpec!$E$16*EA16,".")*$B$58</f>
        <v>1718.75</v>
      </c>
      <c r="EB58" s="71">
        <f>IFERROR(up_RadSpec!$E$16*EB16,".")*$B$58</f>
        <v>1718.75</v>
      </c>
      <c r="EC58" s="71">
        <f>IFERROR(up_RadSpec!$E$16*EC16,".")*$B$58</f>
        <v>1718.75</v>
      </c>
      <c r="ED58" s="71">
        <f>IFERROR(up_RadSpec!$E$16*ED16,".")*$B$58</f>
        <v>1668.6893203883494</v>
      </c>
      <c r="EE58" s="71">
        <f>IFERROR(up_RadSpec!$E$16*EE16,".")*$B$58</f>
        <v>1718.75</v>
      </c>
      <c r="EF58" s="71">
        <f>IFERROR(up_RadSpec!$E$16*EF16,".")*$B$58</f>
        <v>1668.6893203883494</v>
      </c>
      <c r="EG58" s="49">
        <f t="shared" si="183"/>
        <v>1</v>
      </c>
      <c r="EH58" s="49">
        <f t="shared" si="184"/>
        <v>1</v>
      </c>
      <c r="EI58" s="49">
        <f t="shared" si="185"/>
        <v>0.68067711563678512</v>
      </c>
      <c r="EJ58" s="49">
        <f t="shared" si="186"/>
        <v>1</v>
      </c>
      <c r="EK58" s="49">
        <f t="shared" si="187"/>
        <v>1</v>
      </c>
      <c r="EL58" s="49">
        <f t="shared" si="187"/>
        <v>1</v>
      </c>
      <c r="EM58" s="49">
        <f t="shared" si="187"/>
        <v>1</v>
      </c>
      <c r="EN58" s="49">
        <f t="shared" si="187"/>
        <v>1</v>
      </c>
      <c r="EO58" s="49">
        <f t="shared" si="187"/>
        <v>1</v>
      </c>
      <c r="EP58" s="49">
        <f t="shared" si="187"/>
        <v>1</v>
      </c>
      <c r="EQ58" s="49">
        <f t="shared" si="187"/>
        <v>1</v>
      </c>
      <c r="ER58" s="49">
        <f t="shared" si="187"/>
        <v>1</v>
      </c>
      <c r="ES58" s="49">
        <f t="shared" si="187"/>
        <v>1</v>
      </c>
      <c r="ET58" s="49">
        <f t="shared" si="187"/>
        <v>1</v>
      </c>
      <c r="EU58" s="49">
        <f t="shared" si="188"/>
        <v>1</v>
      </c>
      <c r="EV58" s="60">
        <f>IFERROR(EV16/$B58,0)</f>
        <v>1.0971428571428573E-9</v>
      </c>
      <c r="EW58" s="60">
        <f>IFERROR(EW16/$B58,0)</f>
        <v>1.7520000000000001E-6</v>
      </c>
      <c r="EX58" s="60">
        <f>IFERROR(EX16/$B58,0)</f>
        <v>1.0964562309317064E-9</v>
      </c>
      <c r="EY58" s="71">
        <f>IFERROR(up_RadSpec!$G$16*EY16,".")*$B$58</f>
        <v>4557.2916666666661</v>
      </c>
      <c r="EZ58" s="71">
        <f>IFERROR(up_RadSpec!$J$16*EZ16,".")*$B$58</f>
        <v>2.8538812785388123</v>
      </c>
      <c r="FA58" s="49">
        <f t="shared" si="189"/>
        <v>1</v>
      </c>
      <c r="FB58" s="49">
        <f t="shared" si="189"/>
        <v>0.9423797539167309</v>
      </c>
      <c r="FC58" s="49">
        <f t="shared" si="190"/>
        <v>1</v>
      </c>
    </row>
    <row r="59" spans="1:159" x14ac:dyDescent="0.25">
      <c r="A59" s="83" t="s">
        <v>1097</v>
      </c>
      <c r="B59" s="42">
        <v>1</v>
      </c>
      <c r="C59" s="60">
        <f t="shared" ref="C59:M59" si="218">IFERROR(C7/$B59,0)</f>
        <v>1.8181818181818181E-11</v>
      </c>
      <c r="D59" s="60">
        <f t="shared" si="218"/>
        <v>7.2727272727272723E-11</v>
      </c>
      <c r="E59" s="60">
        <f t="shared" si="218"/>
        <v>7.2727272727272723E-11</v>
      </c>
      <c r="F59" s="60">
        <f t="shared" si="218"/>
        <v>7.2727272727272723E-11</v>
      </c>
      <c r="G59" s="60">
        <f t="shared" si="218"/>
        <v>7.2727272727272723E-11</v>
      </c>
      <c r="H59" s="60">
        <f t="shared" si="218"/>
        <v>7.2727272727272723E-11</v>
      </c>
      <c r="I59" s="60">
        <f t="shared" si="218"/>
        <v>7.2727272727272723E-11</v>
      </c>
      <c r="J59" s="60">
        <f t="shared" si="218"/>
        <v>7.2727272727272723E-11</v>
      </c>
      <c r="K59" s="60">
        <f t="shared" si="218"/>
        <v>7.2727272727272723E-11</v>
      </c>
      <c r="L59" s="60">
        <f t="shared" si="218"/>
        <v>7.2727272727272723E-11</v>
      </c>
      <c r="M59" s="60">
        <f t="shared" si="218"/>
        <v>7.2727272727272723E-11</v>
      </c>
      <c r="N59" s="71">
        <f>up_dir!BA59</f>
        <v>275000</v>
      </c>
      <c r="O59" s="71">
        <f>IFERROR(up_RadSpec!$E$7*O7,".")*$B$59</f>
        <v>68750</v>
      </c>
      <c r="P59" s="71">
        <f>IFERROR(up_RadSpec!$E$7*P7,".")*$B$59</f>
        <v>68750</v>
      </c>
      <c r="Q59" s="71">
        <f>IFERROR(up_RadSpec!$E$7*Q7,".")*$B$59</f>
        <v>68750</v>
      </c>
      <c r="R59" s="71">
        <f>IFERROR(up_RadSpec!$E$7*R7,".")*$B$59</f>
        <v>68750</v>
      </c>
      <c r="S59" s="71">
        <f>IFERROR(up_RadSpec!$E$7*S7,".")*$B$59</f>
        <v>68750</v>
      </c>
      <c r="T59" s="71">
        <f>IFERROR(up_RadSpec!$E$7*T7,".")*$B$59</f>
        <v>68750</v>
      </c>
      <c r="U59" s="71">
        <f>IFERROR(up_RadSpec!$E$7*U7,".")*$B$59</f>
        <v>68750</v>
      </c>
      <c r="V59" s="71">
        <f>IFERROR(up_RadSpec!$E$7*V7,".")*$B$59</f>
        <v>68750</v>
      </c>
      <c r="W59" s="71">
        <f>IFERROR(up_RadSpec!$E$7*W7,".")*$B$59</f>
        <v>68750</v>
      </c>
      <c r="X59" s="71">
        <f>IFERROR(up_RadSpec!$E$7*X7,".")*$B$59</f>
        <v>68750</v>
      </c>
      <c r="Y59" s="49">
        <f t="shared" si="165"/>
        <v>1</v>
      </c>
      <c r="Z59" s="49">
        <f t="shared" si="165"/>
        <v>1</v>
      </c>
      <c r="AA59" s="49">
        <f t="shared" si="165"/>
        <v>1</v>
      </c>
      <c r="AB59" s="49">
        <f t="shared" si="165"/>
        <v>1</v>
      </c>
      <c r="AC59" s="49">
        <f t="shared" si="165"/>
        <v>1</v>
      </c>
      <c r="AD59" s="49">
        <f t="shared" si="165"/>
        <v>1</v>
      </c>
      <c r="AE59" s="49">
        <f t="shared" si="165"/>
        <v>1</v>
      </c>
      <c r="AF59" s="49">
        <f t="shared" si="165"/>
        <v>1</v>
      </c>
      <c r="AG59" s="49">
        <f t="shared" si="165"/>
        <v>1</v>
      </c>
      <c r="AH59" s="49">
        <f t="shared" si="165"/>
        <v>1</v>
      </c>
      <c r="AI59" s="49">
        <f t="shared" si="165"/>
        <v>1</v>
      </c>
      <c r="AJ59" s="60">
        <f t="shared" ref="AJ59:AW59" si="219">IFERROR(AJ7/$B59,0)</f>
        <v>3.6363636363636363E-8</v>
      </c>
      <c r="AK59" s="60">
        <f t="shared" si="219"/>
        <v>3.3989909629864073E-4</v>
      </c>
      <c r="AL59" s="60">
        <f t="shared" si="219"/>
        <v>4.209489051094889E-5</v>
      </c>
      <c r="AM59" s="60">
        <f t="shared" si="219"/>
        <v>3.6265718922545492E-12</v>
      </c>
      <c r="AN59" s="60">
        <f>IFERROR(AN7/$B59,0)</f>
        <v>7.2727272727272723E-11</v>
      </c>
      <c r="AO59" s="60">
        <f>IFERROR(AO7/$B59,0)</f>
        <v>2.0414673046251994E-14</v>
      </c>
      <c r="AP59" s="60">
        <f>IFERROR(AP7/$B59,0)</f>
        <v>2.102711323763955E-14</v>
      </c>
      <c r="AQ59" s="60">
        <f>IFERROR(AQ7/$B59,0)</f>
        <v>2.0414673046251994E-14</v>
      </c>
      <c r="AR59" s="60">
        <f t="shared" si="219"/>
        <v>2.0414673046251994E-14</v>
      </c>
      <c r="AS59" s="60">
        <f t="shared" si="219"/>
        <v>2.0414673046251994E-14</v>
      </c>
      <c r="AT59" s="60">
        <f t="shared" si="219"/>
        <v>2.0414673046251994E-14</v>
      </c>
      <c r="AU59" s="60">
        <f>IFERROR(AU7/$B59,0)</f>
        <v>2.102711323763955E-14</v>
      </c>
      <c r="AV59" s="60">
        <f t="shared" si="219"/>
        <v>2.0414673046251994E-14</v>
      </c>
      <c r="AW59" s="60">
        <f t="shared" si="219"/>
        <v>2.102711323763955E-14</v>
      </c>
      <c r="AX59" s="42"/>
      <c r="AY59" s="42"/>
      <c r="AZ59" s="42"/>
      <c r="BA59" s="42"/>
      <c r="BB59" s="42"/>
      <c r="BC59" s="42"/>
      <c r="BD59" s="42"/>
      <c r="BE59" s="42"/>
      <c r="BF59" s="42"/>
      <c r="BG59" s="42"/>
      <c r="BH59" s="42"/>
      <c r="BI59" s="42"/>
      <c r="BJ59" s="42"/>
      <c r="BK59" s="42"/>
      <c r="BL59" s="60">
        <f>IFERROR(BL7/$B59,0)</f>
        <v>2.2890172359801135E-15</v>
      </c>
      <c r="BM59" s="71">
        <f>IFERROR(up_RadSpec!$D$7*BM7,".")*$B$59</f>
        <v>137.5</v>
      </c>
      <c r="BN59" s="71">
        <f>IFERROR(up_RadSpec!$G$7*BN7,".")*$B$59</f>
        <v>1.4710247995501937E-2</v>
      </c>
      <c r="BO59" s="71">
        <f>IFERROR(up_RadSpec!$F$7*BO7,".")*$B$59</f>
        <v>0.11877926131437494</v>
      </c>
      <c r="BP59" s="71">
        <f>up_b2s!BZ59</f>
        <v>1378712.5</v>
      </c>
      <c r="BQ59" s="71">
        <f>IFERROR(up_RadSpec!$E$7*BQ7,".")*$B$59</f>
        <v>68750</v>
      </c>
      <c r="BR59" s="71">
        <f>IFERROR(up_RadSpec!$E$7*BR7,".")*$B$59</f>
        <v>244921875</v>
      </c>
      <c r="BS59" s="71">
        <f>IFERROR(up_RadSpec!$E$7*BS7,".")*$B$59</f>
        <v>237788228.15533978</v>
      </c>
      <c r="BT59" s="71">
        <f>IFERROR(up_RadSpec!$E$7*BT7,".")*$B$59</f>
        <v>244921875</v>
      </c>
      <c r="BU59" s="71">
        <f>IFERROR(up_RadSpec!$E$7*BU7,".")*$B$59</f>
        <v>244921875</v>
      </c>
      <c r="BV59" s="71">
        <f>IFERROR(up_RadSpec!$E$7*BV7,".")*$B$59</f>
        <v>244921875</v>
      </c>
      <c r="BW59" s="71">
        <f>IFERROR(up_RadSpec!$E$7*BW7,".")*$B$59</f>
        <v>244921875</v>
      </c>
      <c r="BX59" s="71">
        <f>IFERROR(up_RadSpec!$E$7*BX7,".")*$B$59</f>
        <v>237788228.15533978</v>
      </c>
      <c r="BY59" s="71">
        <f>IFERROR(up_RadSpec!$E$7*BY7,".")*$B$59</f>
        <v>244921875</v>
      </c>
      <c r="BZ59" s="71">
        <f>IFERROR(up_RadSpec!$E$7*BZ7,".")*$B$59</f>
        <v>237788228.15533978</v>
      </c>
      <c r="CA59" s="49">
        <f t="shared" si="167"/>
        <v>1</v>
      </c>
      <c r="CB59" s="49">
        <f t="shared" si="168"/>
        <v>1.4602580880648697E-2</v>
      </c>
      <c r="CC59" s="49">
        <f t="shared" si="169"/>
        <v>0.11199620407996114</v>
      </c>
      <c r="CD59" s="49">
        <f t="shared" si="170"/>
        <v>1</v>
      </c>
      <c r="CE59" s="49">
        <f t="shared" si="171"/>
        <v>1</v>
      </c>
      <c r="CF59" s="49">
        <f t="shared" si="172"/>
        <v>1</v>
      </c>
      <c r="CG59" s="49">
        <f t="shared" si="173"/>
        <v>1</v>
      </c>
      <c r="CH59" s="49">
        <f t="shared" si="174"/>
        <v>1</v>
      </c>
      <c r="CI59" s="49">
        <f t="shared" si="175"/>
        <v>1</v>
      </c>
      <c r="CJ59" s="49">
        <f t="shared" si="176"/>
        <v>1</v>
      </c>
      <c r="CK59" s="49">
        <f t="shared" si="177"/>
        <v>1</v>
      </c>
      <c r="CL59" s="49">
        <f t="shared" si="178"/>
        <v>1</v>
      </c>
      <c r="CM59" s="49">
        <f t="shared" si="179"/>
        <v>1</v>
      </c>
      <c r="CN59" s="49">
        <f t="shared" si="180"/>
        <v>1</v>
      </c>
      <c r="CO59" s="49">
        <f t="shared" si="181"/>
        <v>1</v>
      </c>
      <c r="CP59" s="60">
        <f t="shared" ref="CP59:DC59" si="220">IFERROR(CP7/$B59,0)</f>
        <v>3.9999999999999996E-10</v>
      </c>
      <c r="CQ59" s="60">
        <f t="shared" si="220"/>
        <v>0</v>
      </c>
      <c r="CR59" s="60">
        <f t="shared" si="220"/>
        <v>4.3800000000000004E-6</v>
      </c>
      <c r="CS59" s="60">
        <f t="shared" si="220"/>
        <v>1.8087754064641833E-11</v>
      </c>
      <c r="CT59" s="60">
        <f>IFERROR(CT7/$B59,0)</f>
        <v>1.4545454545454544E-8</v>
      </c>
      <c r="CU59" s="60">
        <f>IFERROR(CU7/$B59,0)</f>
        <v>2.9090909090909087E-9</v>
      </c>
      <c r="CV59" s="60">
        <f>IFERROR(CV7/$B59,0)</f>
        <v>2.9963636363636357E-9</v>
      </c>
      <c r="CW59" s="60">
        <f>IFERROR(CW7/$B59,0)</f>
        <v>2.9090909090909087E-9</v>
      </c>
      <c r="CX59" s="60">
        <f t="shared" si="220"/>
        <v>2.9090909090909087E-9</v>
      </c>
      <c r="CY59" s="60">
        <f t="shared" si="220"/>
        <v>2.9090909090909087E-9</v>
      </c>
      <c r="CZ59" s="60">
        <f t="shared" si="220"/>
        <v>2.9090909090909087E-9</v>
      </c>
      <c r="DA59" s="60">
        <f>IFERROR(DA7/$B59,0)</f>
        <v>2.9963636363636357E-9</v>
      </c>
      <c r="DB59" s="60">
        <f t="shared" si="220"/>
        <v>2.9090909090909087E-9</v>
      </c>
      <c r="DC59" s="60">
        <f t="shared" si="220"/>
        <v>2.9963636363636357E-9</v>
      </c>
      <c r="DD59" s="15"/>
      <c r="DE59" s="15"/>
      <c r="DF59" s="15"/>
      <c r="DG59" s="15"/>
      <c r="DH59" s="15"/>
      <c r="DI59" s="15"/>
      <c r="DJ59" s="15"/>
      <c r="DK59" s="15"/>
      <c r="DL59" s="15"/>
      <c r="DM59" s="15"/>
      <c r="DN59" s="15"/>
      <c r="DO59" s="15"/>
      <c r="DP59" s="15"/>
      <c r="DQ59" s="15"/>
      <c r="DR59" s="60">
        <f>IFERROR(DR7/$B59,0)</f>
        <v>1.6415316541278672E-11</v>
      </c>
      <c r="DS59" s="71">
        <f>IFERROR(up_RadSpec!$H$7*DS7,".")*$B$59</f>
        <v>12500</v>
      </c>
      <c r="DT59" s="71">
        <f>IFERROR(up_RadSpec!$G$7*DT7,".")*$B$59</f>
        <v>2278.645833333333</v>
      </c>
      <c r="DU59" s="71">
        <f>IFERROR(up_RadSpec!$L$7*DU7,".")*$B$59</f>
        <v>1.1415525114155249</v>
      </c>
      <c r="DV59" s="71">
        <f>up_b2w!BZ59</f>
        <v>276430.1185283176</v>
      </c>
      <c r="DW59" s="71">
        <f>IFERROR(up_RadSpec!$E$7*DW7,".")*$B$59</f>
        <v>343.75</v>
      </c>
      <c r="DX59" s="71">
        <f>IFERROR(up_RadSpec!$E$7*DX7,".")*$B$59</f>
        <v>1718.75</v>
      </c>
      <c r="DY59" s="71">
        <f>IFERROR(up_RadSpec!$E$7*DY7,".")*$B$59</f>
        <v>1668.6893203883494</v>
      </c>
      <c r="DZ59" s="71">
        <f>IFERROR(up_RadSpec!$E$7*DZ7,".")*$B$59</f>
        <v>1718.75</v>
      </c>
      <c r="EA59" s="71">
        <f>IFERROR(up_RadSpec!$E$7*EA7,".")*$B$59</f>
        <v>1718.75</v>
      </c>
      <c r="EB59" s="71">
        <f>IFERROR(up_RadSpec!$E$7*EB7,".")*$B$59</f>
        <v>1718.75</v>
      </c>
      <c r="EC59" s="71">
        <f>IFERROR(up_RadSpec!$E$7*EC7,".")*$B$59</f>
        <v>1718.75</v>
      </c>
      <c r="ED59" s="71">
        <f>IFERROR(up_RadSpec!$E$7*ED7,".")*$B$59</f>
        <v>1668.6893203883494</v>
      </c>
      <c r="EE59" s="71">
        <f>IFERROR(up_RadSpec!$E$7*EE7,".")*$B$59</f>
        <v>1718.75</v>
      </c>
      <c r="EF59" s="71">
        <f>IFERROR(up_RadSpec!$E$7*EF7,".")*$B$59</f>
        <v>1668.6893203883494</v>
      </c>
      <c r="EG59" s="49">
        <f t="shared" si="183"/>
        <v>1</v>
      </c>
      <c r="EH59" s="49">
        <f t="shared" si="184"/>
        <v>1</v>
      </c>
      <c r="EI59" s="49">
        <f t="shared" si="185"/>
        <v>0.68067711563678512</v>
      </c>
      <c r="EJ59" s="49">
        <f t="shared" si="186"/>
        <v>1</v>
      </c>
      <c r="EK59" s="49">
        <f t="shared" si="187"/>
        <v>1</v>
      </c>
      <c r="EL59" s="49">
        <f t="shared" si="187"/>
        <v>1</v>
      </c>
      <c r="EM59" s="49">
        <f t="shared" si="187"/>
        <v>1</v>
      </c>
      <c r="EN59" s="49">
        <f t="shared" si="187"/>
        <v>1</v>
      </c>
      <c r="EO59" s="49">
        <f t="shared" si="187"/>
        <v>1</v>
      </c>
      <c r="EP59" s="49">
        <f t="shared" si="187"/>
        <v>1</v>
      </c>
      <c r="EQ59" s="49">
        <f t="shared" si="187"/>
        <v>1</v>
      </c>
      <c r="ER59" s="49">
        <f t="shared" si="187"/>
        <v>1</v>
      </c>
      <c r="ES59" s="49">
        <f t="shared" si="187"/>
        <v>1</v>
      </c>
      <c r="ET59" s="49">
        <f t="shared" si="187"/>
        <v>1</v>
      </c>
      <c r="EU59" s="49">
        <f t="shared" si="188"/>
        <v>1</v>
      </c>
      <c r="EV59" s="60">
        <f>IFERROR(EV7/$B59,0)</f>
        <v>1.0971428571428573E-9</v>
      </c>
      <c r="EW59" s="60">
        <f>IFERROR(EW7/$B59,0)</f>
        <v>1.7520000000000001E-6</v>
      </c>
      <c r="EX59" s="60">
        <f>IFERROR(EX7/$B59,0)</f>
        <v>1.0964562309317064E-9</v>
      </c>
      <c r="EY59" s="71">
        <f>IFERROR(up_RadSpec!$G$7*EY7,".")*$B$59</f>
        <v>4557.2916666666661</v>
      </c>
      <c r="EZ59" s="71">
        <f>IFERROR(up_RadSpec!$J$7*EZ7,".")*$B$59</f>
        <v>2.8538812785388123</v>
      </c>
      <c r="FA59" s="49">
        <f t="shared" si="189"/>
        <v>1</v>
      </c>
      <c r="FB59" s="49">
        <f t="shared" si="189"/>
        <v>0.9423797539167309</v>
      </c>
      <c r="FC59" s="49">
        <f t="shared" si="190"/>
        <v>1</v>
      </c>
    </row>
    <row r="60" spans="1:159" x14ac:dyDescent="0.25">
      <c r="A60" s="83" t="s">
        <v>1098</v>
      </c>
      <c r="B60" s="86">
        <v>1.9000000000000001E-8</v>
      </c>
      <c r="C60" s="60">
        <f t="shared" ref="C60:M60" si="221">IFERROR(C12/$B60,0)</f>
        <v>9.5693779904306212E-4</v>
      </c>
      <c r="D60" s="60">
        <f t="shared" si="221"/>
        <v>3.8277511961722485E-3</v>
      </c>
      <c r="E60" s="60">
        <f t="shared" si="221"/>
        <v>3.8277511961722485E-3</v>
      </c>
      <c r="F60" s="60">
        <f t="shared" si="221"/>
        <v>3.8277511961722485E-3</v>
      </c>
      <c r="G60" s="60">
        <f t="shared" si="221"/>
        <v>3.8277511961722485E-3</v>
      </c>
      <c r="H60" s="60">
        <f t="shared" si="221"/>
        <v>3.8277511961722485E-3</v>
      </c>
      <c r="I60" s="60">
        <f t="shared" si="221"/>
        <v>3.8277511961722485E-3</v>
      </c>
      <c r="J60" s="60">
        <f t="shared" si="221"/>
        <v>3.8277511961722485E-3</v>
      </c>
      <c r="K60" s="60">
        <f t="shared" si="221"/>
        <v>3.8277511961722485E-3</v>
      </c>
      <c r="L60" s="60">
        <f t="shared" si="221"/>
        <v>3.8277511961722485E-3</v>
      </c>
      <c r="M60" s="60">
        <f t="shared" si="221"/>
        <v>3.8277511961722485E-3</v>
      </c>
      <c r="N60" s="71">
        <f>up_dir!BA60</f>
        <v>14473684210526.316</v>
      </c>
      <c r="O60" s="71">
        <f>IFERROR(up_RadSpec!$E$12*O12,".")*$B$60</f>
        <v>1.3062500000000001E-3</v>
      </c>
      <c r="P60" s="71">
        <f>IFERROR(up_RadSpec!$E$12*P12,".")*$B$60</f>
        <v>1.3062500000000001E-3</v>
      </c>
      <c r="Q60" s="71">
        <f>IFERROR(up_RadSpec!$E$12*Q12,".")*$B$60</f>
        <v>1.3062500000000001E-3</v>
      </c>
      <c r="R60" s="71">
        <f>IFERROR(up_RadSpec!$E$12*R12,".")*$B$60</f>
        <v>1.3062500000000001E-3</v>
      </c>
      <c r="S60" s="71">
        <f>IFERROR(up_RadSpec!$E$12*S12,".")*$B$60</f>
        <v>1.3062500000000001E-3</v>
      </c>
      <c r="T60" s="71">
        <f>IFERROR(up_RadSpec!$E$12*T12,".")*$B$60</f>
        <v>1.3062500000000001E-3</v>
      </c>
      <c r="U60" s="71">
        <f>IFERROR(up_RadSpec!$E$12*U12,".")*$B$60</f>
        <v>1.3062500000000001E-3</v>
      </c>
      <c r="V60" s="71">
        <f>IFERROR(up_RadSpec!$E$12*V12,".")*$B$60</f>
        <v>1.3062500000000001E-3</v>
      </c>
      <c r="W60" s="71">
        <f>IFERROR(up_RadSpec!$E$12*W12,".")*$B$60</f>
        <v>1.3062500000000001E-3</v>
      </c>
      <c r="X60" s="71">
        <f>IFERROR(up_RadSpec!$E$12*X12,".")*$B$60</f>
        <v>1.3062500000000001E-3</v>
      </c>
      <c r="Y60" s="49">
        <f t="shared" si="165"/>
        <v>1</v>
      </c>
      <c r="Z60" s="49">
        <f t="shared" si="165"/>
        <v>1.3062500000000001E-3</v>
      </c>
      <c r="AA60" s="49">
        <f t="shared" si="165"/>
        <v>1.3062500000000001E-3</v>
      </c>
      <c r="AB60" s="49">
        <f t="shared" si="165"/>
        <v>1.3062500000000001E-3</v>
      </c>
      <c r="AC60" s="49">
        <f t="shared" si="165"/>
        <v>1.3062500000000001E-3</v>
      </c>
      <c r="AD60" s="49">
        <f t="shared" si="165"/>
        <v>1.3062500000000001E-3</v>
      </c>
      <c r="AE60" s="49">
        <f t="shared" si="165"/>
        <v>1.3062500000000001E-3</v>
      </c>
      <c r="AF60" s="49">
        <f t="shared" si="165"/>
        <v>1.3062500000000001E-3</v>
      </c>
      <c r="AG60" s="49">
        <f t="shared" si="165"/>
        <v>1.3062500000000001E-3</v>
      </c>
      <c r="AH60" s="49">
        <f t="shared" si="165"/>
        <v>1.3062500000000001E-3</v>
      </c>
      <c r="AI60" s="49">
        <f t="shared" si="165"/>
        <v>1.3062500000000001E-3</v>
      </c>
      <c r="AJ60" s="60">
        <f t="shared" ref="AJ60:AW60" si="222">IFERROR(AJ12/$B60,0)</f>
        <v>1.9138755980861242</v>
      </c>
      <c r="AK60" s="60">
        <f t="shared" si="222"/>
        <v>17889.42612098109</v>
      </c>
      <c r="AL60" s="60">
        <f t="shared" si="222"/>
        <v>1719.5233366434952</v>
      </c>
      <c r="AM60" s="60">
        <f t="shared" si="222"/>
        <v>1.9087220485550257E-4</v>
      </c>
      <c r="AN60" s="60">
        <f>IFERROR(AN12/$B60,0)</f>
        <v>3.8277511961722485E-3</v>
      </c>
      <c r="AO60" s="60">
        <f>IFERROR(AO12/$B60,0)</f>
        <v>1.0744564761185259E-6</v>
      </c>
      <c r="AP60" s="60">
        <f>IFERROR(AP12/$B60,0)</f>
        <v>1.1066901704020815E-6</v>
      </c>
      <c r="AQ60" s="60">
        <f>IFERROR(AQ12/$B60,0)</f>
        <v>1.0744564761185259E-6</v>
      </c>
      <c r="AR60" s="60">
        <f t="shared" si="222"/>
        <v>1.0744564761185259E-6</v>
      </c>
      <c r="AS60" s="60">
        <f t="shared" si="222"/>
        <v>1.0744564761185259E-6</v>
      </c>
      <c r="AT60" s="60">
        <f t="shared" si="222"/>
        <v>1.0744564761185259E-6</v>
      </c>
      <c r="AU60" s="60">
        <f>IFERROR(AU12/$B60,0)</f>
        <v>1.1066901704020815E-6</v>
      </c>
      <c r="AV60" s="60">
        <f t="shared" si="222"/>
        <v>1.0744564761185259E-6</v>
      </c>
      <c r="AW60" s="60">
        <f t="shared" si="222"/>
        <v>1.1066901704020815E-6</v>
      </c>
      <c r="AX60" s="42"/>
      <c r="AY60" s="42"/>
      <c r="AZ60" s="42"/>
      <c r="BA60" s="42"/>
      <c r="BB60" s="42"/>
      <c r="BC60" s="42"/>
      <c r="BD60" s="42"/>
      <c r="BE60" s="42"/>
      <c r="BF60" s="42"/>
      <c r="BG60" s="42"/>
      <c r="BH60" s="42"/>
      <c r="BI60" s="42"/>
      <c r="BJ60" s="42"/>
      <c r="BK60" s="42"/>
      <c r="BL60" s="60">
        <f>IFERROR(BL12/$B60,0)</f>
        <v>1.2047459136548471E-7</v>
      </c>
      <c r="BM60" s="71">
        <f>IFERROR(up_RadSpec!$D$12*BM12,".")*$B$60</f>
        <v>2.6125000000000004E-6</v>
      </c>
      <c r="BN60" s="71">
        <f>IFERROR(up_RadSpec!$G$12*BN12,".")*$B$60</f>
        <v>2.794947119145368E-10</v>
      </c>
      <c r="BO60" s="71">
        <f>IFERROR(up_RadSpec!$F$12*BO12,".")*$B$60</f>
        <v>2.9077825775601195E-9</v>
      </c>
      <c r="BP60" s="71">
        <f>up_b2s!BZ60</f>
        <v>72563815789473.688</v>
      </c>
      <c r="BQ60" s="71">
        <f>IFERROR(up_RadSpec!$E$12*BQ12,".")*$B$60</f>
        <v>1.3062500000000001E-3</v>
      </c>
      <c r="BR60" s="71">
        <f>IFERROR(up_RadSpec!$E$12*BR12,".")*$B$60</f>
        <v>4.6535156250000007</v>
      </c>
      <c r="BS60" s="71">
        <f>IFERROR(up_RadSpec!$E$12*BS12,".")*$B$60</f>
        <v>4.5179763349514559</v>
      </c>
      <c r="BT60" s="71">
        <f>IFERROR(up_RadSpec!$E$12*BT12,".")*$B$60</f>
        <v>4.6535156250000007</v>
      </c>
      <c r="BU60" s="71">
        <f>IFERROR(up_RadSpec!$E$12*BU12,".")*$B$60</f>
        <v>4.6535156250000007</v>
      </c>
      <c r="BV60" s="71">
        <f>IFERROR(up_RadSpec!$E$12*BV12,".")*$B$60</f>
        <v>4.6535156250000007</v>
      </c>
      <c r="BW60" s="71">
        <f>IFERROR(up_RadSpec!$E$12*BW12,".")*$B$60</f>
        <v>4.6535156250000007</v>
      </c>
      <c r="BX60" s="71">
        <f>IFERROR(up_RadSpec!$E$12*BX12,".")*$B$60</f>
        <v>4.5179763349514559</v>
      </c>
      <c r="BY60" s="71">
        <f>IFERROR(up_RadSpec!$E$12*BY12,".")*$B$60</f>
        <v>4.6535156250000007</v>
      </c>
      <c r="BZ60" s="71">
        <f>IFERROR(up_RadSpec!$E$12*BZ12,".")*$B$60</f>
        <v>4.5179763349514559</v>
      </c>
      <c r="CA60" s="49">
        <f t="shared" si="167"/>
        <v>2.6125000000000004E-6</v>
      </c>
      <c r="CB60" s="49">
        <f t="shared" si="168"/>
        <v>2.794947119145368E-10</v>
      </c>
      <c r="CC60" s="49">
        <f t="shared" si="169"/>
        <v>2.9077825775601195E-9</v>
      </c>
      <c r="CD60" s="49">
        <f t="shared" si="170"/>
        <v>1</v>
      </c>
      <c r="CE60" s="49">
        <f t="shared" si="171"/>
        <v>1.3062500000000001E-3</v>
      </c>
      <c r="CF60" s="49">
        <f t="shared" si="172"/>
        <v>0.99047195405654842</v>
      </c>
      <c r="CG60" s="49">
        <f t="shared" si="173"/>
        <v>0.98908891828331191</v>
      </c>
      <c r="CH60" s="49">
        <f t="shared" si="174"/>
        <v>0.99047195405654842</v>
      </c>
      <c r="CI60" s="49">
        <f t="shared" si="175"/>
        <v>0.99047195405654842</v>
      </c>
      <c r="CJ60" s="49">
        <f t="shared" si="176"/>
        <v>0.99047195405654842</v>
      </c>
      <c r="CK60" s="49">
        <f t="shared" si="177"/>
        <v>0.99047195405654842</v>
      </c>
      <c r="CL60" s="49">
        <f t="shared" si="178"/>
        <v>0.98908891828331191</v>
      </c>
      <c r="CM60" s="49">
        <f t="shared" si="179"/>
        <v>0.99047195405654842</v>
      </c>
      <c r="CN60" s="49">
        <f t="shared" si="180"/>
        <v>0.98908891828331191</v>
      </c>
      <c r="CO60" s="49">
        <f t="shared" si="181"/>
        <v>1</v>
      </c>
      <c r="CP60" s="60">
        <f t="shared" ref="CP60:DC60" si="223">IFERROR(CP12/$B60,0)</f>
        <v>2.1052631578947364E-2</v>
      </c>
      <c r="CQ60" s="60">
        <f t="shared" si="223"/>
        <v>0</v>
      </c>
      <c r="CR60" s="60">
        <f t="shared" si="223"/>
        <v>230.5263157894737</v>
      </c>
      <c r="CS60" s="60">
        <f t="shared" si="223"/>
        <v>9.5198705603378065E-4</v>
      </c>
      <c r="CT60" s="60">
        <f>IFERROR(CT12/$B60,0)</f>
        <v>0.76555023923444965</v>
      </c>
      <c r="CU60" s="60">
        <f>IFERROR(CU12/$B60,0)</f>
        <v>0.15311004784688992</v>
      </c>
      <c r="CV60" s="60">
        <f>IFERROR(CV12/$B60,0)</f>
        <v>0.1577033492822966</v>
      </c>
      <c r="CW60" s="60">
        <f>IFERROR(CW12/$B60,0)</f>
        <v>0.15311004784688992</v>
      </c>
      <c r="CX60" s="60">
        <f t="shared" si="223"/>
        <v>0.15311004784688992</v>
      </c>
      <c r="CY60" s="60">
        <f t="shared" si="223"/>
        <v>0.15311004784688992</v>
      </c>
      <c r="CZ60" s="60">
        <f t="shared" si="223"/>
        <v>0.15311004784688992</v>
      </c>
      <c r="DA60" s="60">
        <f>IFERROR(DA12/$B60,0)</f>
        <v>0.1577033492822966</v>
      </c>
      <c r="DB60" s="60">
        <f t="shared" si="223"/>
        <v>0.15311004784688992</v>
      </c>
      <c r="DC60" s="60">
        <f t="shared" si="223"/>
        <v>0.1577033492822966</v>
      </c>
      <c r="DD60" s="15"/>
      <c r="DE60" s="15"/>
      <c r="DF60" s="15"/>
      <c r="DG60" s="15"/>
      <c r="DH60" s="15"/>
      <c r="DI60" s="15"/>
      <c r="DJ60" s="15"/>
      <c r="DK60" s="15"/>
      <c r="DL60" s="15"/>
      <c r="DM60" s="15"/>
      <c r="DN60" s="15"/>
      <c r="DO60" s="15"/>
      <c r="DP60" s="15"/>
      <c r="DQ60" s="15"/>
      <c r="DR60" s="60">
        <f>IFERROR(DR12/$B60,0)</f>
        <v>8.6396402848835105E-4</v>
      </c>
      <c r="DS60" s="71">
        <f>IFERROR(up_RadSpec!$H$12*DS12,".")*$B$60</f>
        <v>2.3750000000000003E-4</v>
      </c>
      <c r="DT60" s="71">
        <f>IFERROR(up_RadSpec!$G$12*DT12,".")*$B$60</f>
        <v>4.3294270833333329E-5</v>
      </c>
      <c r="DU60" s="71">
        <f>IFERROR(up_RadSpec!$L$12*DU12,".")*$B$60</f>
        <v>2.1689497716894977E-8</v>
      </c>
      <c r="DV60" s="71">
        <f>up_b2w!BZ60</f>
        <v>14548953606753.555</v>
      </c>
      <c r="DW60" s="71">
        <f>IFERROR(up_RadSpec!$E$12*DW12,".")*$B$60</f>
        <v>6.5312500000000004E-6</v>
      </c>
      <c r="DX60" s="71">
        <f>IFERROR(up_RadSpec!$E$12*DX12,".")*$B$60</f>
        <v>3.2656250000000004E-5</v>
      </c>
      <c r="DY60" s="71">
        <f>IFERROR(up_RadSpec!$E$12*DY12,".")*$B$60</f>
        <v>3.1705097087378639E-5</v>
      </c>
      <c r="DZ60" s="71">
        <f>IFERROR(up_RadSpec!$E$12*DZ12,".")*$B$60</f>
        <v>3.2656250000000004E-5</v>
      </c>
      <c r="EA60" s="71">
        <f>IFERROR(up_RadSpec!$E$12*EA12,".")*$B$60</f>
        <v>3.2656250000000004E-5</v>
      </c>
      <c r="EB60" s="71">
        <f>IFERROR(up_RadSpec!$E$12*EB12,".")*$B$60</f>
        <v>3.2656250000000004E-5</v>
      </c>
      <c r="EC60" s="71">
        <f>IFERROR(up_RadSpec!$E$12*EC12,".")*$B$60</f>
        <v>3.2656250000000004E-5</v>
      </c>
      <c r="ED60" s="71">
        <f>IFERROR(up_RadSpec!$E$12*ED12,".")*$B$60</f>
        <v>3.1705097087378639E-5</v>
      </c>
      <c r="EE60" s="71">
        <f>IFERROR(up_RadSpec!$E$12*EE12,".")*$B$60</f>
        <v>3.2656250000000004E-5</v>
      </c>
      <c r="EF60" s="71">
        <f>IFERROR(up_RadSpec!$E$12*EF12,".")*$B$60</f>
        <v>3.1705097087378639E-5</v>
      </c>
      <c r="EG60" s="49">
        <f t="shared" si="183"/>
        <v>2.3750000000000003E-4</v>
      </c>
      <c r="EH60" s="49">
        <f t="shared" si="184"/>
        <v>4.3294270833333329E-5</v>
      </c>
      <c r="EI60" s="49">
        <f t="shared" si="185"/>
        <v>2.1689497716894977E-8</v>
      </c>
      <c r="EJ60" s="49">
        <f t="shared" si="186"/>
        <v>1</v>
      </c>
      <c r="EK60" s="49">
        <f t="shared" si="187"/>
        <v>6.5312500000000004E-6</v>
      </c>
      <c r="EL60" s="49">
        <f t="shared" si="187"/>
        <v>3.2656250000000004E-5</v>
      </c>
      <c r="EM60" s="49">
        <f t="shared" si="187"/>
        <v>3.1705097087378639E-5</v>
      </c>
      <c r="EN60" s="49">
        <f t="shared" si="187"/>
        <v>3.2656250000000004E-5</v>
      </c>
      <c r="EO60" s="49">
        <f t="shared" si="187"/>
        <v>3.2656250000000004E-5</v>
      </c>
      <c r="EP60" s="49">
        <f t="shared" si="187"/>
        <v>3.2656250000000004E-5</v>
      </c>
      <c r="EQ60" s="49">
        <f t="shared" si="187"/>
        <v>3.2656250000000004E-5</v>
      </c>
      <c r="ER60" s="49">
        <f t="shared" si="187"/>
        <v>3.1705097087378639E-5</v>
      </c>
      <c r="ES60" s="49">
        <f t="shared" si="187"/>
        <v>3.2656250000000004E-5</v>
      </c>
      <c r="ET60" s="49">
        <f t="shared" si="187"/>
        <v>3.1705097087378639E-5</v>
      </c>
      <c r="EU60" s="49">
        <f t="shared" si="188"/>
        <v>1</v>
      </c>
      <c r="EV60" s="60">
        <f>IFERROR(EV12/$B60,0)</f>
        <v>5.774436090225564E-2</v>
      </c>
      <c r="EW60" s="60">
        <f>IFERROR(EW12/$B60,0)</f>
        <v>92.21052631578948</v>
      </c>
      <c r="EX60" s="60">
        <f>IFERROR(EX12/$B60,0)</f>
        <v>5.7708222680616122E-2</v>
      </c>
      <c r="EY60" s="71">
        <f>IFERROR(up_RadSpec!$G$12*EY12,".")*$B$60</f>
        <v>8.6588541666666658E-5</v>
      </c>
      <c r="EZ60" s="71">
        <f>IFERROR(up_RadSpec!$J$12*EZ12,".")*$B$60</f>
        <v>5.4223744292237439E-8</v>
      </c>
      <c r="FA60" s="49">
        <f t="shared" si="189"/>
        <v>8.6588541666666658E-5</v>
      </c>
      <c r="FB60" s="49">
        <f t="shared" si="189"/>
        <v>5.4223744292237439E-8</v>
      </c>
      <c r="FC60" s="49">
        <f t="shared" si="190"/>
        <v>8.6642765410958899E-5</v>
      </c>
    </row>
    <row r="61" spans="1:159" x14ac:dyDescent="0.25">
      <c r="A61" s="83" t="s">
        <v>1099</v>
      </c>
      <c r="B61" s="42">
        <v>1</v>
      </c>
      <c r="C61" s="60">
        <f t="shared" ref="C61:M61" si="224">IFERROR(C18/$B61,0)</f>
        <v>1.8181818181818181E-11</v>
      </c>
      <c r="D61" s="60">
        <f t="shared" si="224"/>
        <v>7.2727272727272723E-11</v>
      </c>
      <c r="E61" s="60">
        <f t="shared" si="224"/>
        <v>7.2727272727272723E-11</v>
      </c>
      <c r="F61" s="60">
        <f t="shared" si="224"/>
        <v>7.2727272727272723E-11</v>
      </c>
      <c r="G61" s="60">
        <f t="shared" si="224"/>
        <v>7.2727272727272723E-11</v>
      </c>
      <c r="H61" s="60">
        <f t="shared" si="224"/>
        <v>7.2727272727272723E-11</v>
      </c>
      <c r="I61" s="60">
        <f t="shared" si="224"/>
        <v>7.2727272727272723E-11</v>
      </c>
      <c r="J61" s="60">
        <f t="shared" si="224"/>
        <v>7.2727272727272723E-11</v>
      </c>
      <c r="K61" s="60">
        <f t="shared" si="224"/>
        <v>7.2727272727272723E-11</v>
      </c>
      <c r="L61" s="60">
        <f t="shared" si="224"/>
        <v>7.2727272727272723E-11</v>
      </c>
      <c r="M61" s="60">
        <f t="shared" si="224"/>
        <v>7.2727272727272723E-11</v>
      </c>
      <c r="N61" s="71">
        <f>up_dir!BA61</f>
        <v>275000</v>
      </c>
      <c r="O61" s="71">
        <f>IFERROR(up_RadSpec!$E$18*O18,".")*$B$61</f>
        <v>68750</v>
      </c>
      <c r="P61" s="71">
        <f>IFERROR(up_RadSpec!$E$18*P18,".")*$B$61</f>
        <v>68750</v>
      </c>
      <c r="Q61" s="71">
        <f>IFERROR(up_RadSpec!$E$18*Q18,".")*$B$61</f>
        <v>68750</v>
      </c>
      <c r="R61" s="71">
        <f>IFERROR(up_RadSpec!$E$18*R18,".")*$B$61</f>
        <v>68750</v>
      </c>
      <c r="S61" s="71">
        <f>IFERROR(up_RadSpec!$E$18*S18,".")*$B$61</f>
        <v>68750</v>
      </c>
      <c r="T61" s="71">
        <f>IFERROR(up_RadSpec!$E$18*T18,".")*$B$61</f>
        <v>68750</v>
      </c>
      <c r="U61" s="71">
        <f>IFERROR(up_RadSpec!$E$18*U18,".")*$B$61</f>
        <v>68750</v>
      </c>
      <c r="V61" s="71">
        <f>IFERROR(up_RadSpec!$E$18*V18,".")*$B$61</f>
        <v>68750</v>
      </c>
      <c r="W61" s="71">
        <f>IFERROR(up_RadSpec!$E$18*W18,".")*$B$61</f>
        <v>68750</v>
      </c>
      <c r="X61" s="71">
        <f>IFERROR(up_RadSpec!$E$18*X18,".")*$B$61</f>
        <v>68750</v>
      </c>
      <c r="Y61" s="49">
        <f t="shared" si="165"/>
        <v>1</v>
      </c>
      <c r="Z61" s="49">
        <f t="shared" si="165"/>
        <v>1</v>
      </c>
      <c r="AA61" s="49">
        <f t="shared" si="165"/>
        <v>1</v>
      </c>
      <c r="AB61" s="49">
        <f t="shared" si="165"/>
        <v>1</v>
      </c>
      <c r="AC61" s="49">
        <f t="shared" si="165"/>
        <v>1</v>
      </c>
      <c r="AD61" s="49">
        <f t="shared" si="165"/>
        <v>1</v>
      </c>
      <c r="AE61" s="49">
        <f t="shared" si="165"/>
        <v>1</v>
      </c>
      <c r="AF61" s="49">
        <f t="shared" si="165"/>
        <v>1</v>
      </c>
      <c r="AG61" s="49">
        <f t="shared" si="165"/>
        <v>1</v>
      </c>
      <c r="AH61" s="49">
        <f t="shared" si="165"/>
        <v>1</v>
      </c>
      <c r="AI61" s="49">
        <f t="shared" si="165"/>
        <v>1</v>
      </c>
      <c r="AJ61" s="60">
        <f t="shared" ref="AJ61:AW61" si="225">IFERROR(AJ18/$B61,0)</f>
        <v>3.6363636363636363E-8</v>
      </c>
      <c r="AK61" s="60">
        <f t="shared" si="225"/>
        <v>3.3989909629864073E-4</v>
      </c>
      <c r="AL61" s="60">
        <f t="shared" si="225"/>
        <v>1.6417089783281737E-5</v>
      </c>
      <c r="AM61" s="60">
        <f t="shared" si="225"/>
        <v>3.6265718922545492E-12</v>
      </c>
      <c r="AN61" s="60">
        <f>IFERROR(AN18/$B61,0)</f>
        <v>7.2727272727272723E-11</v>
      </c>
      <c r="AO61" s="60">
        <f>IFERROR(AO18/$B61,0)</f>
        <v>2.0414673046251994E-14</v>
      </c>
      <c r="AP61" s="60">
        <f>IFERROR(AP18/$B61,0)</f>
        <v>2.102711323763955E-14</v>
      </c>
      <c r="AQ61" s="60">
        <f>IFERROR(AQ18/$B61,0)</f>
        <v>2.0414673046251994E-14</v>
      </c>
      <c r="AR61" s="60">
        <f t="shared" si="225"/>
        <v>2.0414673046251994E-14</v>
      </c>
      <c r="AS61" s="60">
        <f t="shared" si="225"/>
        <v>2.0414673046251994E-14</v>
      </c>
      <c r="AT61" s="60">
        <f t="shared" si="225"/>
        <v>2.0414673046251994E-14</v>
      </c>
      <c r="AU61" s="60">
        <f>IFERROR(AU18/$B61,0)</f>
        <v>2.102711323763955E-14</v>
      </c>
      <c r="AV61" s="60">
        <f t="shared" si="225"/>
        <v>2.0414673046251994E-14</v>
      </c>
      <c r="AW61" s="60">
        <f t="shared" si="225"/>
        <v>2.102711323763955E-14</v>
      </c>
      <c r="AX61" s="42"/>
      <c r="AY61" s="42"/>
      <c r="AZ61" s="42"/>
      <c r="BA61" s="42"/>
      <c r="BB61" s="42"/>
      <c r="BC61" s="42"/>
      <c r="BD61" s="42"/>
      <c r="BE61" s="42"/>
      <c r="BF61" s="42"/>
      <c r="BG61" s="42"/>
      <c r="BH61" s="42"/>
      <c r="BI61" s="42"/>
      <c r="BJ61" s="42"/>
      <c r="BK61" s="42"/>
      <c r="BL61" s="60">
        <f>IFERROR(BL18/$B61,0)</f>
        <v>2.2890172357854293E-15</v>
      </c>
      <c r="BM61" s="71">
        <f>IFERROR(up_RadSpec!$D$18*BM18,".")*$B$61</f>
        <v>137.5</v>
      </c>
      <c r="BN61" s="71">
        <f>IFERROR(up_RadSpec!$G$18*BN18,".")*$B$61</f>
        <v>1.4710247995501937E-2</v>
      </c>
      <c r="BO61" s="71">
        <f>IFERROR(up_RadSpec!$F$18*BO18,".")*$B$61</f>
        <v>0.30456067829340405</v>
      </c>
      <c r="BP61" s="71">
        <f>up_b2s!BZ61</f>
        <v>1378712.5</v>
      </c>
      <c r="BQ61" s="71">
        <f>IFERROR(up_RadSpec!$E$18*BQ18,".")*$B$61</f>
        <v>68750</v>
      </c>
      <c r="BR61" s="71">
        <f>IFERROR(up_RadSpec!$E$18*BR18,".")*$B$61</f>
        <v>244921875</v>
      </c>
      <c r="BS61" s="71">
        <f>IFERROR(up_RadSpec!$E$18*BS18,".")*$B$61</f>
        <v>237788228.15533978</v>
      </c>
      <c r="BT61" s="71">
        <f>IFERROR(up_RadSpec!$E$18*BT18,".")*$B$61</f>
        <v>244921875</v>
      </c>
      <c r="BU61" s="71">
        <f>IFERROR(up_RadSpec!$E$18*BU18,".")*$B$61</f>
        <v>244921875</v>
      </c>
      <c r="BV61" s="71">
        <f>IFERROR(up_RadSpec!$E$18*BV18,".")*$B$61</f>
        <v>244921875</v>
      </c>
      <c r="BW61" s="71">
        <f>IFERROR(up_RadSpec!$E$18*BW18,".")*$B$61</f>
        <v>244921875</v>
      </c>
      <c r="BX61" s="71">
        <f>IFERROR(up_RadSpec!$E$18*BX18,".")*$B$61</f>
        <v>237788228.15533978</v>
      </c>
      <c r="BY61" s="71">
        <f>IFERROR(up_RadSpec!$E$18*BY18,".")*$B$61</f>
        <v>244921875</v>
      </c>
      <c r="BZ61" s="71">
        <f>IFERROR(up_RadSpec!$E$18*BZ18,".")*$B$61</f>
        <v>237788228.15533978</v>
      </c>
      <c r="CA61" s="49">
        <f t="shared" si="167"/>
        <v>1</v>
      </c>
      <c r="CB61" s="49">
        <f t="shared" si="168"/>
        <v>1.4602580880648697E-2</v>
      </c>
      <c r="CC61" s="49">
        <f t="shared" si="169"/>
        <v>0.26255272016542641</v>
      </c>
      <c r="CD61" s="49">
        <f t="shared" si="170"/>
        <v>1</v>
      </c>
      <c r="CE61" s="49">
        <f t="shared" si="171"/>
        <v>1</v>
      </c>
      <c r="CF61" s="49">
        <f t="shared" si="172"/>
        <v>1</v>
      </c>
      <c r="CG61" s="49">
        <f t="shared" si="173"/>
        <v>1</v>
      </c>
      <c r="CH61" s="49">
        <f t="shared" si="174"/>
        <v>1</v>
      </c>
      <c r="CI61" s="49">
        <f t="shared" si="175"/>
        <v>1</v>
      </c>
      <c r="CJ61" s="49">
        <f t="shared" si="176"/>
        <v>1</v>
      </c>
      <c r="CK61" s="49">
        <f t="shared" si="177"/>
        <v>1</v>
      </c>
      <c r="CL61" s="49">
        <f t="shared" si="178"/>
        <v>1</v>
      </c>
      <c r="CM61" s="49">
        <f t="shared" si="179"/>
        <v>1</v>
      </c>
      <c r="CN61" s="49">
        <f t="shared" si="180"/>
        <v>1</v>
      </c>
      <c r="CO61" s="49">
        <f t="shared" si="181"/>
        <v>1</v>
      </c>
      <c r="CP61" s="60">
        <f t="shared" ref="CP61:DC61" si="226">IFERROR(CP18/$B61,0)</f>
        <v>3.9999999999999996E-10</v>
      </c>
      <c r="CQ61" s="60">
        <f t="shared" si="226"/>
        <v>0</v>
      </c>
      <c r="CR61" s="60">
        <f t="shared" si="226"/>
        <v>4.3800000000000004E-6</v>
      </c>
      <c r="CS61" s="60">
        <f t="shared" si="226"/>
        <v>1.8087754064641833E-11</v>
      </c>
      <c r="CT61" s="60">
        <f>IFERROR(CT18/$B61,0)</f>
        <v>1.4545454545454544E-8</v>
      </c>
      <c r="CU61" s="60">
        <f>IFERROR(CU18/$B61,0)</f>
        <v>2.9090909090909087E-9</v>
      </c>
      <c r="CV61" s="60">
        <f>IFERROR(CV18/$B61,0)</f>
        <v>2.9963636363636357E-9</v>
      </c>
      <c r="CW61" s="60">
        <f>IFERROR(CW18/$B61,0)</f>
        <v>2.9090909090909087E-9</v>
      </c>
      <c r="CX61" s="60">
        <f t="shared" si="226"/>
        <v>2.9090909090909087E-9</v>
      </c>
      <c r="CY61" s="60">
        <f t="shared" si="226"/>
        <v>2.9090909090909087E-9</v>
      </c>
      <c r="CZ61" s="60">
        <f t="shared" si="226"/>
        <v>2.9090909090909087E-9</v>
      </c>
      <c r="DA61" s="60">
        <f>IFERROR(DA18/$B61,0)</f>
        <v>2.9963636363636357E-9</v>
      </c>
      <c r="DB61" s="60">
        <f t="shared" si="226"/>
        <v>2.9090909090909087E-9</v>
      </c>
      <c r="DC61" s="60">
        <f t="shared" si="226"/>
        <v>2.9963636363636357E-9</v>
      </c>
      <c r="DD61" s="15"/>
      <c r="DE61" s="15"/>
      <c r="DF61" s="15"/>
      <c r="DG61" s="15"/>
      <c r="DH61" s="15"/>
      <c r="DI61" s="15"/>
      <c r="DJ61" s="15"/>
      <c r="DK61" s="15"/>
      <c r="DL61" s="15"/>
      <c r="DM61" s="15"/>
      <c r="DN61" s="15"/>
      <c r="DO61" s="15"/>
      <c r="DP61" s="15"/>
      <c r="DQ61" s="15"/>
      <c r="DR61" s="60">
        <f>IFERROR(DR18/$B61,0)</f>
        <v>1.6415316541278672E-11</v>
      </c>
      <c r="DS61" s="71">
        <f>IFERROR(up_RadSpec!$H$18*DS18,".")*$B$61</f>
        <v>12500</v>
      </c>
      <c r="DT61" s="71">
        <f>IFERROR(up_RadSpec!$G$18*DT18,".")*$B$61</f>
        <v>2278.645833333333</v>
      </c>
      <c r="DU61" s="71">
        <f>IFERROR(up_RadSpec!$L$18*DU18,".")*$B$61</f>
        <v>1.1415525114155249</v>
      </c>
      <c r="DV61" s="71">
        <f>up_b2w!BZ61</f>
        <v>276430.1185283176</v>
      </c>
      <c r="DW61" s="71">
        <f>IFERROR(up_RadSpec!$E$18*DW18,".")*$B$61</f>
        <v>343.75</v>
      </c>
      <c r="DX61" s="71">
        <f>IFERROR(up_RadSpec!$E$18*DX18,".")*$B$61</f>
        <v>1718.75</v>
      </c>
      <c r="DY61" s="71">
        <f>IFERROR(up_RadSpec!$E$18*DY18,".")*$B$61</f>
        <v>1668.6893203883494</v>
      </c>
      <c r="DZ61" s="71">
        <f>IFERROR(up_RadSpec!$E$18*DZ18,".")*$B$61</f>
        <v>1718.75</v>
      </c>
      <c r="EA61" s="71">
        <f>IFERROR(up_RadSpec!$E$18*EA18,".")*$B$61</f>
        <v>1718.75</v>
      </c>
      <c r="EB61" s="71">
        <f>IFERROR(up_RadSpec!$E$18*EB18,".")*$B$61</f>
        <v>1718.75</v>
      </c>
      <c r="EC61" s="71">
        <f>IFERROR(up_RadSpec!$E$18*EC18,".")*$B$61</f>
        <v>1718.75</v>
      </c>
      <c r="ED61" s="71">
        <f>IFERROR(up_RadSpec!$E$18*ED18,".")*$B$61</f>
        <v>1668.6893203883494</v>
      </c>
      <c r="EE61" s="71">
        <f>IFERROR(up_RadSpec!$E$18*EE18,".")*$B$61</f>
        <v>1718.75</v>
      </c>
      <c r="EF61" s="71">
        <f>IFERROR(up_RadSpec!$E$18*EF18,".")*$B$61</f>
        <v>1668.6893203883494</v>
      </c>
      <c r="EG61" s="49">
        <f t="shared" si="183"/>
        <v>1</v>
      </c>
      <c r="EH61" s="49">
        <f t="shared" si="184"/>
        <v>1</v>
      </c>
      <c r="EI61" s="49">
        <f t="shared" si="185"/>
        <v>0.68067711563678512</v>
      </c>
      <c r="EJ61" s="49">
        <f t="shared" si="186"/>
        <v>1</v>
      </c>
      <c r="EK61" s="49">
        <f t="shared" si="187"/>
        <v>1</v>
      </c>
      <c r="EL61" s="49">
        <f t="shared" si="187"/>
        <v>1</v>
      </c>
      <c r="EM61" s="49">
        <f t="shared" si="187"/>
        <v>1</v>
      </c>
      <c r="EN61" s="49">
        <f t="shared" si="187"/>
        <v>1</v>
      </c>
      <c r="EO61" s="49">
        <f t="shared" si="187"/>
        <v>1</v>
      </c>
      <c r="EP61" s="49">
        <f t="shared" si="187"/>
        <v>1</v>
      </c>
      <c r="EQ61" s="49">
        <f t="shared" si="187"/>
        <v>1</v>
      </c>
      <c r="ER61" s="49">
        <f t="shared" si="187"/>
        <v>1</v>
      </c>
      <c r="ES61" s="49">
        <f t="shared" si="187"/>
        <v>1</v>
      </c>
      <c r="ET61" s="49">
        <f t="shared" si="187"/>
        <v>1</v>
      </c>
      <c r="EU61" s="49">
        <f t="shared" si="188"/>
        <v>1</v>
      </c>
      <c r="EV61" s="60">
        <f>IFERROR(EV18/$B61,0)</f>
        <v>1.0971428571428573E-9</v>
      </c>
      <c r="EW61" s="60">
        <f>IFERROR(EW18/$B61,0)</f>
        <v>1.7520000000000001E-6</v>
      </c>
      <c r="EX61" s="60">
        <f>IFERROR(EX18/$B61,0)</f>
        <v>1.0964562309317064E-9</v>
      </c>
      <c r="EY61" s="71">
        <f>IFERROR(up_RadSpec!$G$18*EY18,".")*$B$61</f>
        <v>4557.2916666666661</v>
      </c>
      <c r="EZ61" s="71">
        <f>IFERROR(up_RadSpec!$J$18*EZ18,".")*$B$61</f>
        <v>2.8538812785388123</v>
      </c>
      <c r="FA61" s="49">
        <f t="shared" si="189"/>
        <v>1</v>
      </c>
      <c r="FB61" s="49">
        <f t="shared" si="189"/>
        <v>0.9423797539167309</v>
      </c>
      <c r="FC61" s="49">
        <f t="shared" si="190"/>
        <v>1</v>
      </c>
    </row>
    <row r="62" spans="1:159" x14ac:dyDescent="0.25">
      <c r="A62" s="83" t="s">
        <v>1100</v>
      </c>
      <c r="B62" s="42">
        <v>1.339E-6</v>
      </c>
      <c r="C62" s="60">
        <f t="shared" ref="C62:M62" si="227">IFERROR(C27/$B62,0)</f>
        <v>1.3578654355353383E-5</v>
      </c>
      <c r="D62" s="60">
        <f t="shared" si="227"/>
        <v>5.4314617421413531E-5</v>
      </c>
      <c r="E62" s="60">
        <f t="shared" si="227"/>
        <v>5.4314617421413531E-5</v>
      </c>
      <c r="F62" s="60">
        <f t="shared" si="227"/>
        <v>5.4314617421413531E-5</v>
      </c>
      <c r="G62" s="60">
        <f t="shared" si="227"/>
        <v>5.4314617421413531E-5</v>
      </c>
      <c r="H62" s="60">
        <f t="shared" si="227"/>
        <v>5.4314617421413531E-5</v>
      </c>
      <c r="I62" s="60">
        <f t="shared" si="227"/>
        <v>5.4314617421413531E-5</v>
      </c>
      <c r="J62" s="60">
        <f t="shared" si="227"/>
        <v>5.4314617421413531E-5</v>
      </c>
      <c r="K62" s="60">
        <f t="shared" si="227"/>
        <v>5.4314617421413531E-5</v>
      </c>
      <c r="L62" s="60">
        <f t="shared" si="227"/>
        <v>5.4314617421413531E-5</v>
      </c>
      <c r="M62" s="60">
        <f t="shared" si="227"/>
        <v>5.4314617421413531E-5</v>
      </c>
      <c r="N62" s="71">
        <f>up_dir!BA62</f>
        <v>205377147124.71991</v>
      </c>
      <c r="O62" s="71">
        <f>IFERROR(up_RadSpec!$E$27*O27,".")*$B$62</f>
        <v>9.2056250000000006E-2</v>
      </c>
      <c r="P62" s="71">
        <f>IFERROR(up_RadSpec!$E$27*P27,".")*$B$62</f>
        <v>9.2056250000000006E-2</v>
      </c>
      <c r="Q62" s="71">
        <f>IFERROR(up_RadSpec!$E$27*Q27,".")*$B$62</f>
        <v>9.2056250000000006E-2</v>
      </c>
      <c r="R62" s="71">
        <f>IFERROR(up_RadSpec!$E$27*R27,".")*$B$62</f>
        <v>9.2056250000000006E-2</v>
      </c>
      <c r="S62" s="71">
        <f>IFERROR(up_RadSpec!$E$27*S27,".")*$B$62</f>
        <v>9.2056250000000006E-2</v>
      </c>
      <c r="T62" s="71">
        <f>IFERROR(up_RadSpec!$E$27*T27,".")*$B$62</f>
        <v>9.2056250000000006E-2</v>
      </c>
      <c r="U62" s="71">
        <f>IFERROR(up_RadSpec!$E$27*U27,".")*$B$62</f>
        <v>9.2056250000000006E-2</v>
      </c>
      <c r="V62" s="71">
        <f>IFERROR(up_RadSpec!$E$27*V27,".")*$B$62</f>
        <v>9.2056250000000006E-2</v>
      </c>
      <c r="W62" s="71">
        <f>IFERROR(up_RadSpec!$E$27*W27,".")*$B$62</f>
        <v>9.2056250000000006E-2</v>
      </c>
      <c r="X62" s="71">
        <f>IFERROR(up_RadSpec!$E$27*X27,".")*$B$62</f>
        <v>9.2056250000000006E-2</v>
      </c>
      <c r="Y62" s="49">
        <f t="shared" si="165"/>
        <v>1</v>
      </c>
      <c r="Z62" s="49">
        <f t="shared" si="165"/>
        <v>8.7946154926619724E-2</v>
      </c>
      <c r="AA62" s="49">
        <f t="shared" si="165"/>
        <v>8.7946154926619724E-2</v>
      </c>
      <c r="AB62" s="49">
        <f t="shared" si="165"/>
        <v>8.7946154926619724E-2</v>
      </c>
      <c r="AC62" s="49">
        <f t="shared" si="165"/>
        <v>8.7946154926619724E-2</v>
      </c>
      <c r="AD62" s="49">
        <f t="shared" si="165"/>
        <v>8.7946154926619724E-2</v>
      </c>
      <c r="AE62" s="49">
        <f t="shared" si="165"/>
        <v>8.7946154926619724E-2</v>
      </c>
      <c r="AF62" s="49">
        <f t="shared" si="165"/>
        <v>8.7946154926619724E-2</v>
      </c>
      <c r="AG62" s="49">
        <f t="shared" si="165"/>
        <v>8.7946154926619724E-2</v>
      </c>
      <c r="AH62" s="49">
        <f t="shared" si="165"/>
        <v>8.7946154926619724E-2</v>
      </c>
      <c r="AI62" s="49">
        <f t="shared" si="165"/>
        <v>8.7946154926619724E-2</v>
      </c>
      <c r="AJ62" s="60">
        <f t="shared" ref="AJ62:AW62" si="228">IFERROR(AJ27/$B62,0)</f>
        <v>2.7157308710706769E-2</v>
      </c>
      <c r="AK62" s="60">
        <f t="shared" si="228"/>
        <v>253.84547893849196</v>
      </c>
      <c r="AL62" s="60">
        <f t="shared" si="228"/>
        <v>20.121293284957968</v>
      </c>
      <c r="AM62" s="60">
        <f t="shared" si="228"/>
        <v>2.7084181420870421E-6</v>
      </c>
      <c r="AN62" s="60">
        <f>IFERROR(AN27/$B62,0)</f>
        <v>5.4314617421413531E-5</v>
      </c>
      <c r="AO62" s="60">
        <f>IFERROR(AO27/$B62,0)</f>
        <v>1.5246208398993275E-8</v>
      </c>
      <c r="AP62" s="60">
        <f>IFERROR(AP27/$B62,0)</f>
        <v>1.570359465096307E-8</v>
      </c>
      <c r="AQ62" s="60">
        <f>IFERROR(AQ27/$B62,0)</f>
        <v>1.5246208398993275E-8</v>
      </c>
      <c r="AR62" s="60">
        <f t="shared" si="228"/>
        <v>1.5246208398993275E-8</v>
      </c>
      <c r="AS62" s="60">
        <f t="shared" si="228"/>
        <v>1.5246208398993275E-8</v>
      </c>
      <c r="AT62" s="60">
        <f t="shared" si="228"/>
        <v>1.5246208398993275E-8</v>
      </c>
      <c r="AU62" s="60">
        <f>IFERROR(AU27/$B62,0)</f>
        <v>1.570359465096307E-8</v>
      </c>
      <c r="AV62" s="60">
        <f t="shared" si="228"/>
        <v>1.5246208398993275E-8</v>
      </c>
      <c r="AW62" s="60">
        <f t="shared" si="228"/>
        <v>1.570359465096307E-8</v>
      </c>
      <c r="AX62" s="42"/>
      <c r="AY62" s="42"/>
      <c r="AZ62" s="42"/>
      <c r="BA62" s="42"/>
      <c r="BB62" s="42"/>
      <c r="BC62" s="42"/>
      <c r="BD62" s="42"/>
      <c r="BE62" s="42"/>
      <c r="BF62" s="42"/>
      <c r="BG62" s="42"/>
      <c r="BH62" s="42"/>
      <c r="BI62" s="42"/>
      <c r="BJ62" s="42"/>
      <c r="BK62" s="42"/>
      <c r="BL62" s="60">
        <f>IFERROR(BL27/$B62,0)</f>
        <v>1.7094975622928382E-9</v>
      </c>
      <c r="BM62" s="71">
        <f>IFERROR(up_RadSpec!$D$27*BM27,".")*$B$62</f>
        <v>1.8411250000000001E-4</v>
      </c>
      <c r="BN62" s="71">
        <f>IFERROR(up_RadSpec!$G$27*BN27,".")*$B$62</f>
        <v>1.9697022065977095E-8</v>
      </c>
      <c r="BO62" s="71">
        <f>IFERROR(up_RadSpec!$F$27*BO27,".")*$B$62</f>
        <v>2.4849297354747271E-7</v>
      </c>
      <c r="BP62" s="71">
        <f>up_b2s!BZ62</f>
        <v>1029658327109.7834</v>
      </c>
      <c r="BQ62" s="71">
        <f>IFERROR(up_RadSpec!$E$27*BQ27,".")*$B$62</f>
        <v>9.2056250000000006E-2</v>
      </c>
      <c r="BR62" s="71">
        <f>IFERROR(up_RadSpec!$E$27*BR27,".")*$B$62</f>
        <v>327.95039062500001</v>
      </c>
      <c r="BS62" s="71">
        <f>IFERROR(up_RadSpec!$E$27*BS27,".")*$B$62</f>
        <v>318.39843749999994</v>
      </c>
      <c r="BT62" s="71">
        <f>IFERROR(up_RadSpec!$E$27*BT27,".")*$B$62</f>
        <v>327.95039062500001</v>
      </c>
      <c r="BU62" s="71">
        <f>IFERROR(up_RadSpec!$E$27*BU27,".")*$B$62</f>
        <v>327.95039062500001</v>
      </c>
      <c r="BV62" s="71">
        <f>IFERROR(up_RadSpec!$E$27*BV27,".")*$B$62</f>
        <v>327.95039062500001</v>
      </c>
      <c r="BW62" s="71">
        <f>IFERROR(up_RadSpec!$E$27*BW27,".")*$B$62</f>
        <v>327.95039062500001</v>
      </c>
      <c r="BX62" s="71">
        <f>IFERROR(up_RadSpec!$E$27*BX27,".")*$B$62</f>
        <v>318.39843749999994</v>
      </c>
      <c r="BY62" s="71">
        <f>IFERROR(up_RadSpec!$E$27*BY27,".")*$B$62</f>
        <v>327.95039062500001</v>
      </c>
      <c r="BZ62" s="71">
        <f>IFERROR(up_RadSpec!$E$27*BZ27,".")*$B$62</f>
        <v>318.39843749999994</v>
      </c>
      <c r="CA62" s="49">
        <f t="shared" si="167"/>
        <v>1.8411250000000001E-4</v>
      </c>
      <c r="CB62" s="49">
        <f t="shared" si="168"/>
        <v>1.9697022065977095E-8</v>
      </c>
      <c r="CC62" s="49">
        <f t="shared" si="169"/>
        <v>2.4849297354747271E-7</v>
      </c>
      <c r="CD62" s="49">
        <f t="shared" si="170"/>
        <v>1</v>
      </c>
      <c r="CE62" s="49">
        <f t="shared" si="171"/>
        <v>8.7946154926619724E-2</v>
      </c>
      <c r="CF62" s="49">
        <f t="shared" si="172"/>
        <v>1</v>
      </c>
      <c r="CG62" s="49">
        <f t="shared" si="173"/>
        <v>1</v>
      </c>
      <c r="CH62" s="49">
        <f t="shared" si="174"/>
        <v>1</v>
      </c>
      <c r="CI62" s="49">
        <f t="shared" si="175"/>
        <v>1</v>
      </c>
      <c r="CJ62" s="49">
        <f t="shared" si="176"/>
        <v>1</v>
      </c>
      <c r="CK62" s="49">
        <f t="shared" si="177"/>
        <v>1</v>
      </c>
      <c r="CL62" s="49">
        <f t="shared" si="178"/>
        <v>1</v>
      </c>
      <c r="CM62" s="49">
        <f t="shared" si="179"/>
        <v>1</v>
      </c>
      <c r="CN62" s="49">
        <f t="shared" si="180"/>
        <v>1</v>
      </c>
      <c r="CO62" s="49">
        <f t="shared" si="181"/>
        <v>1</v>
      </c>
      <c r="CP62" s="60">
        <f t="shared" ref="CP62:DC62" si="229">IFERROR(CP27/$B62,0)</f>
        <v>2.9873039581777443E-4</v>
      </c>
      <c r="CQ62" s="60">
        <f t="shared" si="229"/>
        <v>0</v>
      </c>
      <c r="CR62" s="60">
        <f t="shared" si="229"/>
        <v>3.2710978342046304</v>
      </c>
      <c r="CS62" s="60">
        <f t="shared" si="229"/>
        <v>1.3508404827962534E-5</v>
      </c>
      <c r="CT62" s="60">
        <f>IFERROR(CT27/$B62,0)</f>
        <v>1.0862923484282706E-2</v>
      </c>
      <c r="CU62" s="60">
        <f>IFERROR(CU27/$B62,0)</f>
        <v>2.1725846968565412E-3</v>
      </c>
      <c r="CV62" s="60">
        <f>IFERROR(CV27/$B62,0)</f>
        <v>2.2377622377622373E-3</v>
      </c>
      <c r="CW62" s="60">
        <f>IFERROR(CW27/$B62,0)</f>
        <v>2.1725846968565412E-3</v>
      </c>
      <c r="CX62" s="60">
        <f t="shared" si="229"/>
        <v>2.1725846968565412E-3</v>
      </c>
      <c r="CY62" s="60">
        <f t="shared" si="229"/>
        <v>2.1725846968565412E-3</v>
      </c>
      <c r="CZ62" s="60">
        <f t="shared" si="229"/>
        <v>2.1725846968565412E-3</v>
      </c>
      <c r="DA62" s="60">
        <f>IFERROR(DA27/$B62,0)</f>
        <v>2.2377622377622373E-3</v>
      </c>
      <c r="DB62" s="60">
        <f t="shared" si="229"/>
        <v>2.1725846968565412E-3</v>
      </c>
      <c r="DC62" s="60">
        <f t="shared" si="229"/>
        <v>2.2377622377622373E-3</v>
      </c>
      <c r="DD62" s="15"/>
      <c r="DE62" s="15"/>
      <c r="DF62" s="15"/>
      <c r="DG62" s="15"/>
      <c r="DH62" s="15"/>
      <c r="DI62" s="15"/>
      <c r="DJ62" s="15"/>
      <c r="DK62" s="15"/>
      <c r="DL62" s="15"/>
      <c r="DM62" s="15"/>
      <c r="DN62" s="15"/>
      <c r="DO62" s="15"/>
      <c r="DP62" s="15"/>
      <c r="DQ62" s="15"/>
      <c r="DR62" s="60">
        <f>IFERROR(DR27/$B62,0)</f>
        <v>1.2259385019625595E-5</v>
      </c>
      <c r="DS62" s="71">
        <f>IFERROR(up_RadSpec!$H$27*DS27,".")*$B$62</f>
        <v>1.6737499999999999E-2</v>
      </c>
      <c r="DT62" s="71">
        <f>IFERROR(up_RadSpec!$G$27*DT27,".")*$B$62</f>
        <v>3.051106770833333E-3</v>
      </c>
      <c r="DU62" s="71">
        <f>IFERROR(up_RadSpec!$L$27*DU27,".")*$B$62</f>
        <v>1.5285388127853878E-6</v>
      </c>
      <c r="DV62" s="71">
        <f>up_b2w!BZ62</f>
        <v>206445196809.79657</v>
      </c>
      <c r="DW62" s="71">
        <f>IFERROR(up_RadSpec!$E$27*DW27,".")*$B$62</f>
        <v>4.6028125000000002E-4</v>
      </c>
      <c r="DX62" s="71">
        <f>IFERROR(up_RadSpec!$E$27*DX27,".")*$B$62</f>
        <v>2.3014062500000001E-3</v>
      </c>
      <c r="DY62" s="71">
        <f>IFERROR(up_RadSpec!$E$27*DY27,".")*$B$62</f>
        <v>2.2343749999999998E-3</v>
      </c>
      <c r="DZ62" s="71">
        <f>IFERROR(up_RadSpec!$E$27*DZ27,".")*$B$62</f>
        <v>2.3014062500000001E-3</v>
      </c>
      <c r="EA62" s="71">
        <f>IFERROR(up_RadSpec!$E$27*EA27,".")*$B$62</f>
        <v>2.3014062500000001E-3</v>
      </c>
      <c r="EB62" s="71">
        <f>IFERROR(up_RadSpec!$E$27*EB27,".")*$B$62</f>
        <v>2.3014062500000001E-3</v>
      </c>
      <c r="EC62" s="71">
        <f>IFERROR(up_RadSpec!$E$27*EC27,".")*$B$62</f>
        <v>2.3014062500000001E-3</v>
      </c>
      <c r="ED62" s="71">
        <f>IFERROR(up_RadSpec!$E$27*ED27,".")*$B$62</f>
        <v>2.2343749999999998E-3</v>
      </c>
      <c r="EE62" s="71">
        <f>IFERROR(up_RadSpec!$E$27*EE27,".")*$B$62</f>
        <v>2.3014062500000001E-3</v>
      </c>
      <c r="EF62" s="71">
        <f>IFERROR(up_RadSpec!$E$27*EF27,".")*$B$62</f>
        <v>2.2343749999999998E-3</v>
      </c>
      <c r="EG62" s="49">
        <f t="shared" si="183"/>
        <v>1.6598206272537386E-2</v>
      </c>
      <c r="EH62" s="49">
        <f t="shared" si="184"/>
        <v>3.051106770833333E-3</v>
      </c>
      <c r="EI62" s="49">
        <f t="shared" si="185"/>
        <v>1.5285388127853878E-6</v>
      </c>
      <c r="EJ62" s="49">
        <f t="shared" si="186"/>
        <v>1</v>
      </c>
      <c r="EK62" s="49">
        <f t="shared" si="187"/>
        <v>4.6028125000000002E-4</v>
      </c>
      <c r="EL62" s="49">
        <f t="shared" si="187"/>
        <v>2.3014062500000001E-3</v>
      </c>
      <c r="EM62" s="49">
        <f t="shared" si="187"/>
        <v>2.2343749999999998E-3</v>
      </c>
      <c r="EN62" s="49">
        <f t="shared" si="187"/>
        <v>2.3014062500000001E-3</v>
      </c>
      <c r="EO62" s="49">
        <f t="shared" si="187"/>
        <v>2.3014062500000001E-3</v>
      </c>
      <c r="EP62" s="49">
        <f t="shared" si="187"/>
        <v>2.3014062500000001E-3</v>
      </c>
      <c r="EQ62" s="49">
        <f t="shared" si="187"/>
        <v>2.3014062500000001E-3</v>
      </c>
      <c r="ER62" s="49">
        <f t="shared" si="187"/>
        <v>2.2343749999999998E-3</v>
      </c>
      <c r="ES62" s="49">
        <f t="shared" si="187"/>
        <v>2.3014062500000001E-3</v>
      </c>
      <c r="ET62" s="49">
        <f t="shared" si="187"/>
        <v>2.2343749999999998E-3</v>
      </c>
      <c r="EU62" s="49">
        <f t="shared" si="188"/>
        <v>1</v>
      </c>
      <c r="EV62" s="60">
        <f>IFERROR(EV27/$B62,0)</f>
        <v>8.1937479995732433E-4</v>
      </c>
      <c r="EW62" s="60">
        <f>IFERROR(EW27/$B62,0)</f>
        <v>1.3084391336818522</v>
      </c>
      <c r="EX62" s="60">
        <f>IFERROR(EX27/$B62,0)</f>
        <v>8.1886200965773442E-4</v>
      </c>
      <c r="EY62" s="71">
        <f>IFERROR(up_RadSpec!$G$27*EY27,".")*$B$62</f>
        <v>6.1022135416666659E-3</v>
      </c>
      <c r="EZ62" s="71">
        <f>IFERROR(up_RadSpec!$J$27*EZ27,".")*$B$62</f>
        <v>3.8213470319634697E-6</v>
      </c>
      <c r="FA62" s="49">
        <f t="shared" si="189"/>
        <v>6.1022135416666659E-3</v>
      </c>
      <c r="FB62" s="49">
        <f t="shared" si="189"/>
        <v>3.8213470319634697E-6</v>
      </c>
      <c r="FC62" s="49">
        <f t="shared" si="190"/>
        <v>6.1060348886986292E-3</v>
      </c>
    </row>
    <row r="63" spans="1:159" x14ac:dyDescent="0.25">
      <c r="A63" s="82" t="s">
        <v>35</v>
      </c>
      <c r="B63" s="82" t="s">
        <v>1074</v>
      </c>
      <c r="C63" s="58">
        <f>1/SUM(1/C66,1/C68,1/C72,1/C73,1/C75)</f>
        <v>3.636509242193694E-12</v>
      </c>
      <c r="D63" s="58">
        <f t="shared" ref="D63:M63" si="230">1/SUM(1/D66,1/D68,1/D72,1/D73,1/D75)</f>
        <v>1.4546036968774776E-11</v>
      </c>
      <c r="E63" s="58">
        <f t="shared" si="230"/>
        <v>1.4546036968774776E-11</v>
      </c>
      <c r="F63" s="58">
        <f t="shared" si="230"/>
        <v>1.4546036968774776E-11</v>
      </c>
      <c r="G63" s="58">
        <f t="shared" si="230"/>
        <v>1.4546036968774776E-11</v>
      </c>
      <c r="H63" s="58">
        <f t="shared" si="230"/>
        <v>1.4546036968774776E-11</v>
      </c>
      <c r="I63" s="58">
        <f t="shared" si="230"/>
        <v>1.4546036968774776E-11</v>
      </c>
      <c r="J63" s="58">
        <f t="shared" si="230"/>
        <v>1.4546036968774776E-11</v>
      </c>
      <c r="K63" s="58">
        <f t="shared" si="230"/>
        <v>1.4546036968774776E-11</v>
      </c>
      <c r="L63" s="58">
        <f t="shared" si="230"/>
        <v>1.4546036968774776E-11</v>
      </c>
      <c r="M63" s="58">
        <f t="shared" si="230"/>
        <v>1.4546036968774776E-11</v>
      </c>
      <c r="N63" s="73"/>
      <c r="O63" s="70"/>
      <c r="P63" s="70"/>
      <c r="Q63" s="70"/>
      <c r="R63" s="70"/>
      <c r="S63" s="70"/>
      <c r="T63" s="70"/>
      <c r="U63" s="70"/>
      <c r="V63" s="70"/>
      <c r="W63" s="70"/>
      <c r="X63" s="70"/>
      <c r="Y63" s="47">
        <f>IFERROR(IF(SUM(N64:N76)&gt;0.01,1-EXP(-SUM(N64:N76)),SUM(N64:N76)),".")</f>
        <v>1</v>
      </c>
      <c r="Z63" s="47">
        <f t="shared" ref="Z63:AI63" si="231">IFERROR(IF(SUM(O64:O76)&gt;0.01,1-EXP(-SUM(O64:O76)),SUM(O64:O76)),".")</f>
        <v>1</v>
      </c>
      <c r="AA63" s="47">
        <f t="shared" si="231"/>
        <v>1</v>
      </c>
      <c r="AB63" s="47">
        <f t="shared" si="231"/>
        <v>1</v>
      </c>
      <c r="AC63" s="47">
        <f t="shared" si="231"/>
        <v>1</v>
      </c>
      <c r="AD63" s="47">
        <f t="shared" si="231"/>
        <v>1</v>
      </c>
      <c r="AE63" s="47">
        <f t="shared" si="231"/>
        <v>1</v>
      </c>
      <c r="AF63" s="47">
        <f t="shared" si="231"/>
        <v>1</v>
      </c>
      <c r="AG63" s="47">
        <f t="shared" si="231"/>
        <v>1</v>
      </c>
      <c r="AH63" s="47">
        <f t="shared" si="231"/>
        <v>1</v>
      </c>
      <c r="AI63" s="47">
        <f t="shared" si="231"/>
        <v>1</v>
      </c>
      <c r="AJ63" s="58">
        <f t="shared" ref="AJ63:AM63" si="232">1/SUM(1/AJ66,1/AJ68,1/AJ72,1/AJ73,1/AJ75)</f>
        <v>7.2730184843873879E-9</v>
      </c>
      <c r="AK63" s="58">
        <f t="shared" si="232"/>
        <v>6.7982541280681017E-5</v>
      </c>
      <c r="AL63" s="58">
        <f t="shared" si="232"/>
        <v>5.0100945584075233E-6</v>
      </c>
      <c r="AM63" s="58">
        <f t="shared" si="232"/>
        <v>7.2534342120149472E-13</v>
      </c>
      <c r="AN63" s="58">
        <f>1/SUM(1/AN66,1/AN68,1/AN72,1/AN73,1/AN75)</f>
        <v>1.4546036968774776E-11</v>
      </c>
      <c r="AO63" s="58">
        <f>1/SUM(1/AO66,1/AO68,1/AO72,1/AO73,1/AO75)</f>
        <v>4.0830980964981825E-15</v>
      </c>
      <c r="AP63" s="58">
        <f>1/SUM(1/AP66,1/AP68,1/AP72,1/AP73,1/AP75)</f>
        <v>4.2055910393931273E-15</v>
      </c>
      <c r="AQ63" s="121">
        <f>IFERROR(1/SUM(1/AQ66,1/AQ68,1/AQ72,1/AQ73,1/AQ75),".")</f>
        <v>4.0830980964981825E-15</v>
      </c>
      <c r="AR63" s="58">
        <f>1/SUM(1/AR75)</f>
        <v>2.0414673046251994E-14</v>
      </c>
      <c r="AS63" s="58">
        <f>1/SUM(1/AS75)</f>
        <v>2.0414673046251994E-14</v>
      </c>
      <c r="AT63" s="121">
        <f>IFERROR(1/SUM(1/AT66,1/AT68,1/AT72,1/AT73,1/AT75),".")</f>
        <v>4.0830980964981825E-15</v>
      </c>
      <c r="AU63" s="58">
        <f>1/SUM(1/AU66,1/AU72,1/AU75)</f>
        <v>7.0095050462162648E-15</v>
      </c>
      <c r="AV63" s="58">
        <f>1/SUM(1/AV66,1/AV72,1/AV75)</f>
        <v>6.8053447050643357E-15</v>
      </c>
      <c r="AW63" s="58">
        <f>1/SUM(1/AW66,1/AW72)</f>
        <v>1.0514608079627739E-14</v>
      </c>
      <c r="AX63" s="42"/>
      <c r="AY63" s="42"/>
      <c r="AZ63" s="42"/>
      <c r="BA63" s="42"/>
      <c r="BB63" s="42"/>
      <c r="BC63" s="42"/>
      <c r="BD63" s="42"/>
      <c r="BE63" s="42"/>
      <c r="BF63" s="42"/>
      <c r="BG63" s="42"/>
      <c r="BH63" s="42"/>
      <c r="BI63" s="42"/>
      <c r="BJ63" s="42"/>
      <c r="BK63" s="42"/>
      <c r="BL63" s="59">
        <f t="shared" ref="BL63:CS63" si="233">1/SUM(1/BL66,1/BL68,1/BL72,1/BL73,1/BL75)</f>
        <v>4.5782177836308866E-16</v>
      </c>
      <c r="BM63" s="70"/>
      <c r="BN63" s="70"/>
      <c r="BO63" s="70"/>
      <c r="BP63" s="73"/>
      <c r="BQ63" s="70"/>
      <c r="BR63" s="70"/>
      <c r="BS63" s="70"/>
      <c r="BT63" s="70"/>
      <c r="BU63" s="70"/>
      <c r="BV63" s="70"/>
      <c r="BW63" s="70"/>
      <c r="BX63" s="70"/>
      <c r="BY63" s="70"/>
      <c r="BZ63" s="70"/>
      <c r="CA63" s="47">
        <f t="shared" ref="CA63:CN63" si="234">IFERROR(IF(SUM(BM64:BM76)&gt;0.01,1-EXP(-SUM(BM64:BM76)),SUM(BM64:BM76)),".")</f>
        <v>1</v>
      </c>
      <c r="CB63" s="47">
        <f t="shared" si="234"/>
        <v>0.11102130060468729</v>
      </c>
      <c r="CC63" s="47">
        <f t="shared" si="234"/>
        <v>0.78013219507411136</v>
      </c>
      <c r="CD63" s="47">
        <f t="shared" si="234"/>
        <v>1</v>
      </c>
      <c r="CE63" s="47">
        <f t="shared" si="234"/>
        <v>1</v>
      </c>
      <c r="CF63" s="47">
        <f t="shared" si="234"/>
        <v>1</v>
      </c>
      <c r="CG63" s="47">
        <f t="shared" si="234"/>
        <v>1</v>
      </c>
      <c r="CH63" s="47">
        <f t="shared" si="234"/>
        <v>1</v>
      </c>
      <c r="CI63" s="47">
        <f t="shared" si="234"/>
        <v>1</v>
      </c>
      <c r="CJ63" s="47">
        <f t="shared" si="234"/>
        <v>1</v>
      </c>
      <c r="CK63" s="47">
        <f t="shared" si="234"/>
        <v>1</v>
      </c>
      <c r="CL63" s="47">
        <f t="shared" si="234"/>
        <v>1</v>
      </c>
      <c r="CM63" s="47">
        <f t="shared" si="234"/>
        <v>1</v>
      </c>
      <c r="CN63" s="47">
        <f t="shared" si="234"/>
        <v>1</v>
      </c>
      <c r="CO63" s="47">
        <f>IFERROR(IF(SUM(BM64:BZ76)&gt;0.01,1-EXP(-SUM(BM64:BZ76)),SUM(BM64:BZ76)),".")</f>
        <v>1</v>
      </c>
      <c r="CP63" s="59">
        <f t="shared" si="233"/>
        <v>8.0003203328261265E-11</v>
      </c>
      <c r="CQ63" s="59">
        <f>1/SUM(1/CQ64)</f>
        <v>2.1942857142857146E-9</v>
      </c>
      <c r="CR63" s="59">
        <f>1/SUM(1/CR64,1/CR65,1/CR66,1/CR67,1/CR68,1/CR69,1/CR70,1/CR73,1/CR76,1/CR71,1/CR72,1/CR74,1/CR75)</f>
        <v>5.4749990706189082E-7</v>
      </c>
      <c r="CS63" s="59">
        <f t="shared" si="233"/>
        <v>3.6176956654628117E-12</v>
      </c>
      <c r="CT63" s="59">
        <f>1/SUM(1/CT66,1/CT68,1/CT72,1/CT73,1/CT75)</f>
        <v>2.9092073937549548E-9</v>
      </c>
      <c r="CU63" s="59">
        <f>1/SUM(1/CU66,1/CU68,1/CU72,1/CU73,1/CU75)</f>
        <v>5.8184147875099099E-10</v>
      </c>
      <c r="CV63" s="59">
        <f>1/SUM(1/CV66,1/CV68,1/CV72,1/CV73,1/CV75)</f>
        <v>5.992967231135205E-10</v>
      </c>
      <c r="CW63" s="59">
        <f>(IFERROR(1/SUM(1/CW64,1/CW65,1/CW66,1/CW67,1/CW68,1/CW69,1/CW70,1/CW73,1/CW76),"."))</f>
        <v>4.8486534692644993E-10</v>
      </c>
      <c r="CX63" s="59">
        <f>1/SUM(1/CX75)</f>
        <v>2.9090909090909087E-9</v>
      </c>
      <c r="CY63" s="59">
        <f>1/SUM(1/CY75)</f>
        <v>2.9090909090909087E-9</v>
      </c>
      <c r="CZ63" s="59">
        <f>(IFERROR(1/SUM(1/CZ64,1/CZ65,1/CZ66,1/CZ67,1/CZ68,1/CZ69,1/CZ70,1/CZ73,1/CZ76),"."))</f>
        <v>4.8486534692644993E-10</v>
      </c>
      <c r="DA63" s="59">
        <f t="shared" ref="DA63" si="235">1/SUM(1/DA66,1/DA72,1/DA75)</f>
        <v>9.9885446908581754E-10</v>
      </c>
      <c r="DB63" s="59">
        <f>1/SUM(1/DB66,1/DB72,1/DB75)</f>
        <v>9.6976162047166784E-10</v>
      </c>
      <c r="DC63" s="59">
        <f>1/SUM(1/DC66,1/DC72)</f>
        <v>1.4983316513469522E-9</v>
      </c>
      <c r="DD63" s="15"/>
      <c r="DE63" s="15"/>
      <c r="DF63" s="15"/>
      <c r="DG63" s="15"/>
      <c r="DH63" s="15"/>
      <c r="DI63" s="15"/>
      <c r="DJ63" s="15"/>
      <c r="DK63" s="15"/>
      <c r="DL63" s="15"/>
      <c r="DM63" s="15"/>
      <c r="DN63" s="15"/>
      <c r="DO63" s="15"/>
      <c r="DP63" s="15"/>
      <c r="DQ63" s="15"/>
      <c r="DR63" s="59">
        <f>1/SUM(1/DR64,1/DR65,1/DR66,1/DR67,1/DR68,1/DR69,1/DR70,1/DR73,1/DR76,1/DR71,1/DR72,1/DR74,1/DR75)</f>
        <v>2.0499972317636486E-12</v>
      </c>
      <c r="DS63" s="70"/>
      <c r="DT63" s="70"/>
      <c r="DU63" s="70"/>
      <c r="DV63" s="73"/>
      <c r="DW63" s="70"/>
      <c r="DX63" s="70"/>
      <c r="DY63" s="70"/>
      <c r="DZ63" s="70"/>
      <c r="EA63" s="70"/>
      <c r="EB63" s="70"/>
      <c r="EC63" s="70"/>
      <c r="ED63" s="70"/>
      <c r="EE63" s="70"/>
      <c r="EF63" s="70"/>
      <c r="EG63" s="47">
        <f t="shared" ref="EG63:ET63" si="236">IFERROR(IF(SUM(DS64:DS76)&gt;0.01,1-EXP(-SUM(DS64:DS76)),SUM(DS64:DS76)),".")</f>
        <v>1</v>
      </c>
      <c r="EH63" s="47">
        <f t="shared" si="236"/>
        <v>1</v>
      </c>
      <c r="EI63" s="47">
        <f t="shared" si="236"/>
        <v>0.99989189652001398</v>
      </c>
      <c r="EJ63" s="47">
        <f t="shared" si="236"/>
        <v>1</v>
      </c>
      <c r="EK63" s="47">
        <f t="shared" si="236"/>
        <v>1</v>
      </c>
      <c r="EL63" s="47">
        <f t="shared" si="236"/>
        <v>1</v>
      </c>
      <c r="EM63" s="47">
        <f t="shared" si="236"/>
        <v>1</v>
      </c>
      <c r="EN63" s="47">
        <f t="shared" si="236"/>
        <v>1</v>
      </c>
      <c r="EO63" s="47">
        <f t="shared" si="236"/>
        <v>1</v>
      </c>
      <c r="EP63" s="47">
        <f t="shared" si="236"/>
        <v>1</v>
      </c>
      <c r="EQ63" s="47">
        <f t="shared" si="236"/>
        <v>1</v>
      </c>
      <c r="ER63" s="47">
        <f t="shared" si="236"/>
        <v>1</v>
      </c>
      <c r="ES63" s="47">
        <f t="shared" si="236"/>
        <v>1</v>
      </c>
      <c r="ET63" s="47">
        <f t="shared" si="236"/>
        <v>1</v>
      </c>
      <c r="EU63" s="47">
        <f>IFERROR(IF(SUM(DS64:EF76)&gt;0.01,1-EXP(-SUM(DS64:EF76)),SUM(DS64:EF76)),".")</f>
        <v>1</v>
      </c>
      <c r="EV63" s="59">
        <f>1/SUM(1/EV64,1/EV65,1/EV66,1/EV68,1/EV73,1/EV72,1/EV75)</f>
        <v>1.5673917661800231E-10</v>
      </c>
      <c r="EW63" s="59">
        <f t="shared" ref="EW63:EX63" si="237">1/SUM(1/EW64,1/EW65,1/EW66,1/EW67,1/EW68,1/EW69,1/EW70,1/EW73,1/EW76,1/EW71,1/EW72,1/EW74,1/EW75)</f>
        <v>2.1899996282475631E-7</v>
      </c>
      <c r="EX63" s="59">
        <f t="shared" si="237"/>
        <v>1.3705700560103661E-10</v>
      </c>
      <c r="EY63" s="70"/>
      <c r="EZ63" s="70"/>
      <c r="FA63" s="47">
        <f>IFERROR(IF(SUM(EY64:EY76)&gt;0.01,1-EXP(-SUM(EY64:EY76)),SUM(EY64:EY76)),".")</f>
        <v>1</v>
      </c>
      <c r="FB63" s="47">
        <f>IFERROR(IF(SUM(EZ64:EZ76)&gt;0.01,1-EXP(-SUM(EZ64:EZ76)),SUM(EZ64:EZ76)),".")</f>
        <v>0.99999999987849364</v>
      </c>
      <c r="FC63" s="47">
        <f>IFERROR(IF(SUM(EY64:EZ76)&gt;0.01,1-EXP(-SUM(EY64:EZ76)),SUM(EY64:EZ76)),".")</f>
        <v>1</v>
      </c>
    </row>
    <row r="64" spans="1:159" x14ac:dyDescent="0.25">
      <c r="A64" s="83" t="s">
        <v>1090</v>
      </c>
      <c r="B64" s="42">
        <v>1</v>
      </c>
      <c r="C64" s="60">
        <f t="shared" ref="C64:M64" si="238">IFERROR(C25/$B50,0)</f>
        <v>1.8181818181818181E-11</v>
      </c>
      <c r="D64" s="60">
        <f t="shared" si="238"/>
        <v>7.2727272727272723E-11</v>
      </c>
      <c r="E64" s="60">
        <f t="shared" si="238"/>
        <v>7.2727272727272723E-11</v>
      </c>
      <c r="F64" s="60">
        <f t="shared" si="238"/>
        <v>7.2727272727272723E-11</v>
      </c>
      <c r="G64" s="60">
        <f t="shared" si="238"/>
        <v>7.2727272727272723E-11</v>
      </c>
      <c r="H64" s="60">
        <f t="shared" si="238"/>
        <v>7.2727272727272723E-11</v>
      </c>
      <c r="I64" s="60">
        <f t="shared" si="238"/>
        <v>7.2727272727272723E-11</v>
      </c>
      <c r="J64" s="60">
        <f t="shared" si="238"/>
        <v>7.2727272727272723E-11</v>
      </c>
      <c r="K64" s="60">
        <f t="shared" si="238"/>
        <v>7.2727272727272723E-11</v>
      </c>
      <c r="L64" s="60">
        <f t="shared" si="238"/>
        <v>7.2727272727272723E-11</v>
      </c>
      <c r="M64" s="60">
        <f t="shared" si="238"/>
        <v>7.2727272727272723E-11</v>
      </c>
      <c r="N64" s="71">
        <f>up_dir!BA64</f>
        <v>275000</v>
      </c>
      <c r="O64" s="71">
        <f>IFERROR(up_RadSpec!$E$25*O25,".")*$B$64</f>
        <v>68750</v>
      </c>
      <c r="P64" s="71">
        <f>IFERROR(up_RadSpec!$E$25*P25,".")*$B$64</f>
        <v>68750</v>
      </c>
      <c r="Q64" s="71">
        <f>IFERROR(up_RadSpec!$E$25*Q25,".")*$B$64</f>
        <v>68750</v>
      </c>
      <c r="R64" s="71">
        <f>IFERROR(up_RadSpec!$E$25*R25,".")*$B$64</f>
        <v>68750</v>
      </c>
      <c r="S64" s="71">
        <f>IFERROR(up_RadSpec!$E$25*S25,".")*$B$64</f>
        <v>68750</v>
      </c>
      <c r="T64" s="71">
        <f>IFERROR(up_RadSpec!$E$25*T25,".")*$B$64</f>
        <v>68750</v>
      </c>
      <c r="U64" s="71">
        <f>IFERROR(up_RadSpec!$E$25*U25,".")*$B$64</f>
        <v>68750</v>
      </c>
      <c r="V64" s="71">
        <f>IFERROR(up_RadSpec!$E$25*V25,".")*$B$64</f>
        <v>68750</v>
      </c>
      <c r="W64" s="71">
        <f>IFERROR(up_RadSpec!$E$25*W25,".")*$B$64</f>
        <v>68750</v>
      </c>
      <c r="X64" s="71">
        <f>IFERROR(up_RadSpec!$E$25*X25,".")*$B$64</f>
        <v>68750</v>
      </c>
      <c r="Y64" s="49">
        <f t="shared" ref="Y64:AI76" si="239">IFERROR(IF(N64&gt;0.01,1-EXP(-N64),N64),".")</f>
        <v>1</v>
      </c>
      <c r="Z64" s="49">
        <f t="shared" si="239"/>
        <v>1</v>
      </c>
      <c r="AA64" s="49">
        <f t="shared" si="239"/>
        <v>1</v>
      </c>
      <c r="AB64" s="49">
        <f t="shared" si="239"/>
        <v>1</v>
      </c>
      <c r="AC64" s="49">
        <f t="shared" si="239"/>
        <v>1</v>
      </c>
      <c r="AD64" s="49">
        <f t="shared" si="239"/>
        <v>1</v>
      </c>
      <c r="AE64" s="49">
        <f t="shared" si="239"/>
        <v>1</v>
      </c>
      <c r="AF64" s="49">
        <f t="shared" si="239"/>
        <v>1</v>
      </c>
      <c r="AG64" s="49">
        <f t="shared" si="239"/>
        <v>1</v>
      </c>
      <c r="AH64" s="49">
        <f t="shared" si="239"/>
        <v>1</v>
      </c>
      <c r="AI64" s="49">
        <f t="shared" si="239"/>
        <v>1</v>
      </c>
      <c r="AJ64" s="60">
        <f t="shared" ref="AJ64:AW64" si="240">IFERROR(AJ25/$B50,0)</f>
        <v>3.6363636363636363E-8</v>
      </c>
      <c r="AK64" s="60">
        <f t="shared" si="240"/>
        <v>3.3989909629864073E-4</v>
      </c>
      <c r="AL64" s="60">
        <f t="shared" si="240"/>
        <v>2.345381526104418E-5</v>
      </c>
      <c r="AM64" s="60">
        <f t="shared" si="240"/>
        <v>3.6265718922545492E-12</v>
      </c>
      <c r="AN64" s="60">
        <f>IFERROR(AN25/$B50,0)</f>
        <v>7.2727272727272723E-11</v>
      </c>
      <c r="AO64" s="60">
        <f>IFERROR(AO25/$B50,0)</f>
        <v>2.0414673046251994E-14</v>
      </c>
      <c r="AP64" s="60">
        <f>IFERROR(AP25/$B50,0)</f>
        <v>2.102711323763955E-14</v>
      </c>
      <c r="AQ64" s="60">
        <f>IFERROR(AQ25/$B50,0)</f>
        <v>2.0414673046251994E-14</v>
      </c>
      <c r="AR64" s="60">
        <f t="shared" si="240"/>
        <v>2.0414673046251994E-14</v>
      </c>
      <c r="AS64" s="60">
        <f t="shared" si="240"/>
        <v>2.0414673046251994E-14</v>
      </c>
      <c r="AT64" s="60">
        <f t="shared" si="240"/>
        <v>2.0414673046251994E-14</v>
      </c>
      <c r="AU64" s="60">
        <f>IFERROR(AU25/$B50,0)</f>
        <v>2.102711323763955E-14</v>
      </c>
      <c r="AV64" s="60">
        <f t="shared" si="240"/>
        <v>2.0414673046251994E-14</v>
      </c>
      <c r="AW64" s="60">
        <f t="shared" si="240"/>
        <v>2.102711323763955E-14</v>
      </c>
      <c r="AX64" s="42"/>
      <c r="AY64" s="42"/>
      <c r="AZ64" s="42"/>
      <c r="BA64" s="42"/>
      <c r="BB64" s="42"/>
      <c r="BC64" s="42"/>
      <c r="BD64" s="42"/>
      <c r="BE64" s="42"/>
      <c r="BF64" s="42"/>
      <c r="BG64" s="42"/>
      <c r="BH64" s="42"/>
      <c r="BI64" s="42"/>
      <c r="BJ64" s="42"/>
      <c r="BK64" s="42"/>
      <c r="BL64" s="60">
        <f>IFERROR(BL25/$B50,0)</f>
        <v>2.2890172358811836E-15</v>
      </c>
      <c r="BM64" s="71">
        <f>IFERROR(up_RadSpec!$D$25*BM25,".")*$B$64</f>
        <v>137.5</v>
      </c>
      <c r="BN64" s="71">
        <f>IFERROR(up_RadSpec!$G$25*BN25,".")*$B$64</f>
        <v>1.4710247995501937E-2</v>
      </c>
      <c r="BO64" s="71">
        <f>IFERROR(up_RadSpec!$F$25*BO25,".")*$B$64</f>
        <v>0.21318493150684928</v>
      </c>
      <c r="BP64" s="71">
        <f>up_b2s!BZ64</f>
        <v>1378712.5</v>
      </c>
      <c r="BQ64" s="71">
        <f>IFERROR(up_RadSpec!$E$25*BQ25,".")*$B$64</f>
        <v>68750</v>
      </c>
      <c r="BR64" s="71">
        <f>IFERROR(up_RadSpec!$E$25*BR25,".")*$B$64</f>
        <v>244921875</v>
      </c>
      <c r="BS64" s="71">
        <f>IFERROR(up_RadSpec!$E$25*BS25,".")*$B$64</f>
        <v>237788228.15533978</v>
      </c>
      <c r="BT64" s="71">
        <f>IFERROR(up_RadSpec!$E$25*BT25,".")*$B$64</f>
        <v>244921875</v>
      </c>
      <c r="BU64" s="71">
        <f>IFERROR(up_RadSpec!$E$25*BU25,".")*$B$64</f>
        <v>244921875</v>
      </c>
      <c r="BV64" s="71">
        <f>IFERROR(up_RadSpec!$E$25*BV25,".")*$B$64</f>
        <v>244921875</v>
      </c>
      <c r="BW64" s="71">
        <f>IFERROR(up_RadSpec!$E$25*BW25,".")*$B$64</f>
        <v>244921875</v>
      </c>
      <c r="BX64" s="71">
        <f>IFERROR(up_RadSpec!$E$25*BX25,".")*$B$64</f>
        <v>237788228.15533978</v>
      </c>
      <c r="BY64" s="71">
        <f>IFERROR(up_RadSpec!$E$25*BY25,".")*$B$64</f>
        <v>244921875</v>
      </c>
      <c r="BZ64" s="71">
        <f>IFERROR(up_RadSpec!$E$25*BZ25,".")*$B$64</f>
        <v>237788228.15533978</v>
      </c>
      <c r="CA64" s="49">
        <f t="shared" ref="CA64:CA76" si="241">IFERROR(IF(BM64&gt;0.01,1-EXP(-BM64),BM64),".")</f>
        <v>1</v>
      </c>
      <c r="CB64" s="49">
        <f t="shared" ref="CB64:CB76" si="242">IFERROR(IF(BN64&gt;0.01,1-EXP(-BN64),BN64),".")</f>
        <v>1.4602580880648697E-2</v>
      </c>
      <c r="CC64" s="49">
        <f t="shared" ref="CC64:CC76" si="243">IFERROR(IF(BO64&gt;0.01,1-EXP(-BO64),BO64),".")</f>
        <v>0.19199330249725499</v>
      </c>
      <c r="CD64" s="49">
        <f t="shared" ref="CD64:CD76" si="244">IFERROR(IF(BP64&gt;0.01,1-EXP(-BP64),BP64),".")</f>
        <v>1</v>
      </c>
      <c r="CE64" s="49">
        <f t="shared" ref="CE64:CE76" si="245">IFERROR(IF(BQ64&gt;0.01,1-EXP(-BQ64),BQ64),".")</f>
        <v>1</v>
      </c>
      <c r="CF64" s="49">
        <f t="shared" ref="CF64:CF76" si="246">IFERROR(IF(BR64&gt;0.01,1-EXP(-BR64),BR64),".")</f>
        <v>1</v>
      </c>
      <c r="CG64" s="49">
        <f t="shared" ref="CG64:CG76" si="247">IFERROR(IF(BS64&gt;0.01,1-EXP(-BS64),BS64),".")</f>
        <v>1</v>
      </c>
      <c r="CH64" s="49">
        <f t="shared" ref="CH64:CH76" si="248">IFERROR(IF(BT64&gt;0.01,1-EXP(-BT64),BT64),".")</f>
        <v>1</v>
      </c>
      <c r="CI64" s="49">
        <f t="shared" ref="CI64:CI76" si="249">IFERROR(IF(BU64&gt;0.01,1-EXP(-BU64),BU64),".")</f>
        <v>1</v>
      </c>
      <c r="CJ64" s="49">
        <f t="shared" ref="CJ64:CJ76" si="250">IFERROR(IF(BV64&gt;0.01,1-EXP(-BV64),BV64),".")</f>
        <v>1</v>
      </c>
      <c r="CK64" s="49">
        <f t="shared" ref="CK64:CK76" si="251">IFERROR(IF(BW64&gt;0.01,1-EXP(-BW64),BW64),".")</f>
        <v>1</v>
      </c>
      <c r="CL64" s="49">
        <f t="shared" ref="CL64:CL76" si="252">IFERROR(IF(BX64&gt;0.01,1-EXP(-BX64),BX64),".")</f>
        <v>1</v>
      </c>
      <c r="CM64" s="49">
        <f t="shared" ref="CM64:CM76" si="253">IFERROR(IF(BY64&gt;0.01,1-EXP(-BY64),BY64),".")</f>
        <v>1</v>
      </c>
      <c r="CN64" s="49">
        <f t="shared" ref="CN64:CN76" si="254">IFERROR(IF(BZ64&gt;0.01,1-EXP(-BZ64),BZ64),".")</f>
        <v>1</v>
      </c>
      <c r="CO64" s="49">
        <f t="shared" ref="CO64:CO76" si="255">IFERROR(IF(SUM(BM64:BZ64)&gt;0.01,1-EXP(-SUM(BM64:BZ64)),SUM(BM64:BZ64)),".")</f>
        <v>1</v>
      </c>
      <c r="CP64" s="60">
        <f t="shared" ref="CP64:DC64" si="256">IFERROR(CP25/$B50,0)</f>
        <v>3.9999999999999996E-10</v>
      </c>
      <c r="CQ64" s="60">
        <f t="shared" si="256"/>
        <v>2.1942857142857146E-9</v>
      </c>
      <c r="CR64" s="60">
        <f t="shared" si="256"/>
        <v>4.3800000000000004E-6</v>
      </c>
      <c r="CS64" s="60">
        <f t="shared" si="256"/>
        <v>1.8087754064641833E-11</v>
      </c>
      <c r="CT64" s="60">
        <f>IFERROR(CT25/$B50,0)</f>
        <v>1.4545454545454544E-8</v>
      </c>
      <c r="CU64" s="60">
        <f>IFERROR(CU25/$B50,0)</f>
        <v>2.9090909090909087E-9</v>
      </c>
      <c r="CV64" s="60">
        <f>IFERROR(CV25/$B50,0)</f>
        <v>2.9963636363636357E-9</v>
      </c>
      <c r="CW64" s="60">
        <f>IFERROR(CW25/$B50,0)</f>
        <v>2.9090909090909087E-9</v>
      </c>
      <c r="CX64" s="60">
        <f t="shared" si="256"/>
        <v>2.9090909090909087E-9</v>
      </c>
      <c r="CY64" s="60">
        <f t="shared" si="256"/>
        <v>2.9090909090909087E-9</v>
      </c>
      <c r="CZ64" s="60">
        <f t="shared" si="256"/>
        <v>2.9090909090909087E-9</v>
      </c>
      <c r="DA64" s="60">
        <f>IFERROR(DA25/$B50,0)</f>
        <v>2.9963636363636357E-9</v>
      </c>
      <c r="DB64" s="60">
        <f t="shared" si="256"/>
        <v>2.9090909090909087E-9</v>
      </c>
      <c r="DC64" s="60">
        <f t="shared" si="256"/>
        <v>2.9963636363636357E-9</v>
      </c>
      <c r="DD64" s="15"/>
      <c r="DE64" s="15"/>
      <c r="DF64" s="15"/>
      <c r="DG64" s="15"/>
      <c r="DH64" s="15"/>
      <c r="DI64" s="15"/>
      <c r="DJ64" s="15"/>
      <c r="DK64" s="15"/>
      <c r="DL64" s="15"/>
      <c r="DM64" s="15"/>
      <c r="DN64" s="15"/>
      <c r="DO64" s="15"/>
      <c r="DP64" s="15"/>
      <c r="DQ64" s="15"/>
      <c r="DR64" s="60">
        <f>IFERROR(DR25/$B50,0)</f>
        <v>1.6293426419822685E-11</v>
      </c>
      <c r="DS64" s="71">
        <f>IFERROR(up_RadSpec!$H$25*DS25,".")*$B$64</f>
        <v>12500</v>
      </c>
      <c r="DT64" s="71">
        <f>IFERROR(up_RadSpec!$G$25*DT25,".")*$B$64</f>
        <v>2278.645833333333</v>
      </c>
      <c r="DU64" s="71">
        <f>IFERROR(up_RadSpec!$L$25*DU25,".")*$B$64</f>
        <v>1.1415525114155249</v>
      </c>
      <c r="DV64" s="71">
        <f>up_b2w!BZ64</f>
        <v>276430.1185283176</v>
      </c>
      <c r="DW64" s="71">
        <f>IFERROR(up_RadSpec!$E$25*DW25,".")*$B$64</f>
        <v>343.75</v>
      </c>
      <c r="DX64" s="71">
        <f>IFERROR(up_RadSpec!$E$25*DX25,".")*$B$64</f>
        <v>1718.75</v>
      </c>
      <c r="DY64" s="71">
        <f>IFERROR(up_RadSpec!$E$25*DY25,".")*$B$64</f>
        <v>1668.6893203883494</v>
      </c>
      <c r="DZ64" s="71">
        <f>IFERROR(up_RadSpec!$E$25*DZ25,".")*$B$64</f>
        <v>1718.75</v>
      </c>
      <c r="EA64" s="71">
        <f>IFERROR(up_RadSpec!$E$25*EA25,".")*$B$64</f>
        <v>1718.75</v>
      </c>
      <c r="EB64" s="71">
        <f>IFERROR(up_RadSpec!$E$25*EB25,".")*$B$64</f>
        <v>1718.75</v>
      </c>
      <c r="EC64" s="71">
        <f>IFERROR(up_RadSpec!$E$25*EC25,".")*$B$64</f>
        <v>1718.75</v>
      </c>
      <c r="ED64" s="71">
        <f>IFERROR(up_RadSpec!$E$25*ED25,".")*$B$64</f>
        <v>1668.6893203883494</v>
      </c>
      <c r="EE64" s="71">
        <f>IFERROR(up_RadSpec!$E$25*EE25,".")*$B$64</f>
        <v>1718.75</v>
      </c>
      <c r="EF64" s="71">
        <f>IFERROR(up_RadSpec!$E$25*EF25,".")*$B$64</f>
        <v>1668.6893203883494</v>
      </c>
      <c r="EG64" s="49">
        <f t="shared" ref="EG64:EG76" si="257">IFERROR(IF(DS64&gt;0.01,1-EXP(-DS64),DS64),".")</f>
        <v>1</v>
      </c>
      <c r="EH64" s="49">
        <f t="shared" ref="EH64:EH76" si="258">IFERROR(IF(DT64&gt;0.01,1-EXP(-DT64),DT64),".")</f>
        <v>1</v>
      </c>
      <c r="EI64" s="49">
        <f t="shared" ref="EI64:EI76" si="259">IFERROR(IF(DU64&gt;0.01,1-EXP(-DU64),DU64),".")</f>
        <v>0.68067711563678512</v>
      </c>
      <c r="EJ64" s="49">
        <f t="shared" ref="EJ64:EJ76" si="260">IFERROR(IF(DV64&gt;0.01,1-EXP(-DV64),DV64),".")</f>
        <v>1</v>
      </c>
      <c r="EK64" s="49">
        <f t="shared" ref="EK64:ET76" si="261">IFERROR(IF(DW64&gt;0.01,1-EXP(-DW64),DW64),".")</f>
        <v>1</v>
      </c>
      <c r="EL64" s="49">
        <f t="shared" si="261"/>
        <v>1</v>
      </c>
      <c r="EM64" s="49">
        <f t="shared" si="261"/>
        <v>1</v>
      </c>
      <c r="EN64" s="49">
        <f t="shared" si="261"/>
        <v>1</v>
      </c>
      <c r="EO64" s="49">
        <f t="shared" si="261"/>
        <v>1</v>
      </c>
      <c r="EP64" s="49">
        <f t="shared" si="261"/>
        <v>1</v>
      </c>
      <c r="EQ64" s="49">
        <f t="shared" si="261"/>
        <v>1</v>
      </c>
      <c r="ER64" s="49">
        <f t="shared" si="261"/>
        <v>1</v>
      </c>
      <c r="ES64" s="49">
        <f t="shared" si="261"/>
        <v>1</v>
      </c>
      <c r="ET64" s="49">
        <f t="shared" si="261"/>
        <v>1</v>
      </c>
      <c r="EU64" s="49">
        <f t="shared" ref="EU64:EU76" si="262">IFERROR(IF(SUM(DS64:EF64)&gt;0.01,1-EXP(-SUM(DS64:EF64)),SUM(DS64:EF64)),".")</f>
        <v>1</v>
      </c>
      <c r="EV64" s="60">
        <f>IFERROR(EV25/$B50,0)</f>
        <v>1.0971428571428573E-9</v>
      </c>
      <c r="EW64" s="60">
        <f>IFERROR(EW25/$B50,0)</f>
        <v>1.7520000000000001E-6</v>
      </c>
      <c r="EX64" s="60">
        <f>IFERROR(EX25/$B50,0)</f>
        <v>1.0964562309317064E-9</v>
      </c>
      <c r="EY64" s="71">
        <f>IFERROR(up_RadSpec!$G$25*EY25,".")*$B$64</f>
        <v>4557.2916666666661</v>
      </c>
      <c r="EZ64" s="71">
        <f>IFERROR(up_RadSpec!$J$25*EZ25,".")*$B$64</f>
        <v>2.8538812785388123</v>
      </c>
      <c r="FA64" s="49">
        <f t="shared" ref="FA64:FB76" si="263">IFERROR(IF(EY64&gt;0.01,1-EXP(-EY64),EY64),".")</f>
        <v>1</v>
      </c>
      <c r="FB64" s="49">
        <f t="shared" si="263"/>
        <v>0.9423797539167309</v>
      </c>
      <c r="FC64" s="49">
        <f t="shared" ref="FC64:FC76" si="264">IFERROR(IF(SUM(EY64:EZ64)&gt;0.01,1-EXP(-SUM(EY64:EZ64)),SUM(EY64:EZ64)),".")</f>
        <v>1</v>
      </c>
    </row>
    <row r="65" spans="1:159" x14ac:dyDescent="0.25">
      <c r="A65" s="83" t="s">
        <v>1076</v>
      </c>
      <c r="B65" s="42">
        <v>1</v>
      </c>
      <c r="C65" s="60">
        <f t="shared" ref="C65:M65" si="265">IFERROR(C21/$B51,0)</f>
        <v>1.8181818181818181E-11</v>
      </c>
      <c r="D65" s="60">
        <f t="shared" si="265"/>
        <v>7.2727272727272723E-11</v>
      </c>
      <c r="E65" s="60">
        <f t="shared" si="265"/>
        <v>7.2727272727272723E-11</v>
      </c>
      <c r="F65" s="60">
        <f t="shared" si="265"/>
        <v>7.2727272727272723E-11</v>
      </c>
      <c r="G65" s="60">
        <f t="shared" si="265"/>
        <v>7.2727272727272723E-11</v>
      </c>
      <c r="H65" s="60">
        <f t="shared" si="265"/>
        <v>7.2727272727272723E-11</v>
      </c>
      <c r="I65" s="60">
        <f t="shared" si="265"/>
        <v>7.2727272727272723E-11</v>
      </c>
      <c r="J65" s="60">
        <f t="shared" si="265"/>
        <v>7.2727272727272723E-11</v>
      </c>
      <c r="K65" s="60">
        <f t="shared" si="265"/>
        <v>7.2727272727272723E-11</v>
      </c>
      <c r="L65" s="60">
        <f t="shared" si="265"/>
        <v>7.2727272727272723E-11</v>
      </c>
      <c r="M65" s="60">
        <f t="shared" si="265"/>
        <v>7.2727272727272723E-11</v>
      </c>
      <c r="N65" s="71">
        <f>up_dir!BA65</f>
        <v>275000</v>
      </c>
      <c r="O65" s="71">
        <f>IFERROR(up_RadSpec!$E$21*O21,".")*$B$65</f>
        <v>68750</v>
      </c>
      <c r="P65" s="71">
        <f>IFERROR(up_RadSpec!$E$21*P21,".")*$B$65</f>
        <v>68750</v>
      </c>
      <c r="Q65" s="71">
        <f>IFERROR(up_RadSpec!$E$21*Q21,".")*$B$65</f>
        <v>68750</v>
      </c>
      <c r="R65" s="71">
        <f>IFERROR(up_RadSpec!$E$21*R21,".")*$B$65</f>
        <v>68750</v>
      </c>
      <c r="S65" s="71">
        <f>IFERROR(up_RadSpec!$E$21*S21,".")*$B$65</f>
        <v>68750</v>
      </c>
      <c r="T65" s="71">
        <f>IFERROR(up_RadSpec!$E$21*T21,".")*$B$65</f>
        <v>68750</v>
      </c>
      <c r="U65" s="71">
        <f>IFERROR(up_RadSpec!$E$21*U21,".")*$B$65</f>
        <v>68750</v>
      </c>
      <c r="V65" s="71">
        <f>IFERROR(up_RadSpec!$E$21*V21,".")*$B$65</f>
        <v>68750</v>
      </c>
      <c r="W65" s="71">
        <f>IFERROR(up_RadSpec!$E$21*W21,".")*$B$65</f>
        <v>68750</v>
      </c>
      <c r="X65" s="71">
        <f>IFERROR(up_RadSpec!$E$21*X21,".")*$B$65</f>
        <v>68750</v>
      </c>
      <c r="Y65" s="49">
        <f t="shared" si="239"/>
        <v>1</v>
      </c>
      <c r="Z65" s="49">
        <f t="shared" si="239"/>
        <v>1</v>
      </c>
      <c r="AA65" s="49">
        <f t="shared" si="239"/>
        <v>1</v>
      </c>
      <c r="AB65" s="49">
        <f t="shared" si="239"/>
        <v>1</v>
      </c>
      <c r="AC65" s="49">
        <f t="shared" si="239"/>
        <v>1</v>
      </c>
      <c r="AD65" s="49">
        <f t="shared" si="239"/>
        <v>1</v>
      </c>
      <c r="AE65" s="49">
        <f t="shared" si="239"/>
        <v>1</v>
      </c>
      <c r="AF65" s="49">
        <f t="shared" si="239"/>
        <v>1</v>
      </c>
      <c r="AG65" s="49">
        <f t="shared" si="239"/>
        <v>1</v>
      </c>
      <c r="AH65" s="49">
        <f t="shared" si="239"/>
        <v>1</v>
      </c>
      <c r="AI65" s="49">
        <f t="shared" si="239"/>
        <v>1</v>
      </c>
      <c r="AJ65" s="60">
        <f t="shared" ref="AJ65:AW65" si="266">IFERROR(AJ21/$B51,0)</f>
        <v>3.6363636363636363E-8</v>
      </c>
      <c r="AK65" s="60">
        <f t="shared" si="266"/>
        <v>3.3989909629864073E-4</v>
      </c>
      <c r="AL65" s="60">
        <f t="shared" si="266"/>
        <v>0</v>
      </c>
      <c r="AM65" s="60">
        <f t="shared" si="266"/>
        <v>3.6265718922545492E-12</v>
      </c>
      <c r="AN65" s="60">
        <f>IFERROR(AN21/$B51,0)</f>
        <v>7.2727272727272723E-11</v>
      </c>
      <c r="AO65" s="60">
        <f>IFERROR(AO21/$B51,0)</f>
        <v>2.0414673046251994E-14</v>
      </c>
      <c r="AP65" s="60">
        <f>IFERROR(AP21/$B51,0)</f>
        <v>2.102711323763955E-14</v>
      </c>
      <c r="AQ65" s="60">
        <f>IFERROR(AQ21/$B51,0)</f>
        <v>2.0414673046251994E-14</v>
      </c>
      <c r="AR65" s="60">
        <f t="shared" si="266"/>
        <v>2.0414673046251994E-14</v>
      </c>
      <c r="AS65" s="60">
        <f t="shared" si="266"/>
        <v>2.0414673046251994E-14</v>
      </c>
      <c r="AT65" s="60">
        <f t="shared" si="266"/>
        <v>2.0414673046251994E-14</v>
      </c>
      <c r="AU65" s="60">
        <f>IFERROR(AU21/$B51,0)</f>
        <v>2.102711323763955E-14</v>
      </c>
      <c r="AV65" s="60">
        <f t="shared" si="266"/>
        <v>2.0414673046251994E-14</v>
      </c>
      <c r="AW65" s="60">
        <f t="shared" si="266"/>
        <v>2.102711323763955E-14</v>
      </c>
      <c r="AX65" s="42"/>
      <c r="AY65" s="42"/>
      <c r="AZ65" s="42"/>
      <c r="BA65" s="42"/>
      <c r="BB65" s="42"/>
      <c r="BC65" s="42"/>
      <c r="BD65" s="42"/>
      <c r="BE65" s="42"/>
      <c r="BF65" s="42"/>
      <c r="BG65" s="42"/>
      <c r="BH65" s="42"/>
      <c r="BI65" s="42"/>
      <c r="BJ65" s="42"/>
      <c r="BK65" s="42"/>
      <c r="BL65" s="60">
        <f>IFERROR(BL21/$B51,0)</f>
        <v>2.2890172361045847E-15</v>
      </c>
      <c r="BM65" s="71">
        <f>IFERROR(up_RadSpec!$D$21*BM21,".")*$B$65</f>
        <v>137.5</v>
      </c>
      <c r="BN65" s="71">
        <f>IFERROR(up_RadSpec!$G$21*BN21,".")*$B$65</f>
        <v>1.4710247995501937E-2</v>
      </c>
      <c r="BO65" s="71">
        <f>IFERROR(up_RadSpec!$F$21*BO21,".")*$B$65</f>
        <v>0</v>
      </c>
      <c r="BP65" s="71">
        <f>up_b2s!BZ65</f>
        <v>1378712.5</v>
      </c>
      <c r="BQ65" s="71">
        <f>IFERROR(up_RadSpec!$E$21*BQ21,".")*$B$65</f>
        <v>68750</v>
      </c>
      <c r="BR65" s="71">
        <f>IFERROR(up_RadSpec!$E$21*BR21,".")*$B$65</f>
        <v>244921875</v>
      </c>
      <c r="BS65" s="71">
        <f>IFERROR(up_RadSpec!$E$21*BS21,".")*$B$65</f>
        <v>237788228.15533978</v>
      </c>
      <c r="BT65" s="71">
        <f>IFERROR(up_RadSpec!$E$21*BT21,".")*$B$65</f>
        <v>244921875</v>
      </c>
      <c r="BU65" s="71">
        <f>IFERROR(up_RadSpec!$E$21*BU21,".")*$B$65</f>
        <v>244921875</v>
      </c>
      <c r="BV65" s="71">
        <f>IFERROR(up_RadSpec!$E$21*BV21,".")*$B$65</f>
        <v>244921875</v>
      </c>
      <c r="BW65" s="71">
        <f>IFERROR(up_RadSpec!$E$21*BW21,".")*$B$65</f>
        <v>244921875</v>
      </c>
      <c r="BX65" s="71">
        <f>IFERROR(up_RadSpec!$E$21*BX21,".")*$B$65</f>
        <v>237788228.15533978</v>
      </c>
      <c r="BY65" s="71">
        <f>IFERROR(up_RadSpec!$E$21*BY21,".")*$B$65</f>
        <v>244921875</v>
      </c>
      <c r="BZ65" s="71">
        <f>IFERROR(up_RadSpec!$E$21*BZ21,".")*$B$65</f>
        <v>237788228.15533978</v>
      </c>
      <c r="CA65" s="49">
        <f t="shared" si="241"/>
        <v>1</v>
      </c>
      <c r="CB65" s="49">
        <f t="shared" si="242"/>
        <v>1.4602580880648697E-2</v>
      </c>
      <c r="CC65" s="49">
        <f t="shared" si="243"/>
        <v>0</v>
      </c>
      <c r="CD65" s="49">
        <f t="shared" si="244"/>
        <v>1</v>
      </c>
      <c r="CE65" s="49">
        <f t="shared" si="245"/>
        <v>1</v>
      </c>
      <c r="CF65" s="49">
        <f t="shared" si="246"/>
        <v>1</v>
      </c>
      <c r="CG65" s="49">
        <f t="shared" si="247"/>
        <v>1</v>
      </c>
      <c r="CH65" s="49">
        <f t="shared" si="248"/>
        <v>1</v>
      </c>
      <c r="CI65" s="49">
        <f t="shared" si="249"/>
        <v>1</v>
      </c>
      <c r="CJ65" s="49">
        <f t="shared" si="250"/>
        <v>1</v>
      </c>
      <c r="CK65" s="49">
        <f t="shared" si="251"/>
        <v>1</v>
      </c>
      <c r="CL65" s="49">
        <f t="shared" si="252"/>
        <v>1</v>
      </c>
      <c r="CM65" s="49">
        <f t="shared" si="253"/>
        <v>1</v>
      </c>
      <c r="CN65" s="49">
        <f t="shared" si="254"/>
        <v>1</v>
      </c>
      <c r="CO65" s="49">
        <f t="shared" si="255"/>
        <v>1</v>
      </c>
      <c r="CP65" s="60">
        <f t="shared" ref="CP65:DC65" si="267">IFERROR(CP21/$B51,0)</f>
        <v>3.9999999999999996E-10</v>
      </c>
      <c r="CQ65" s="60">
        <f t="shared" si="267"/>
        <v>0</v>
      </c>
      <c r="CR65" s="60">
        <f t="shared" si="267"/>
        <v>4.3800000000000004E-6</v>
      </c>
      <c r="CS65" s="60">
        <f t="shared" si="267"/>
        <v>1.8087754064641833E-11</v>
      </c>
      <c r="CT65" s="60">
        <f>IFERROR(CT21/$B51,0)</f>
        <v>1.4545454545454544E-8</v>
      </c>
      <c r="CU65" s="60">
        <f>IFERROR(CU21/$B51,0)</f>
        <v>2.9090909090909087E-9</v>
      </c>
      <c r="CV65" s="60">
        <f>IFERROR(CV21/$B51,0)</f>
        <v>2.9963636363636357E-9</v>
      </c>
      <c r="CW65" s="60">
        <f>IFERROR(CW21/$B51,0)</f>
        <v>2.9090909090909087E-9</v>
      </c>
      <c r="CX65" s="60">
        <f t="shared" si="267"/>
        <v>2.9090909090909087E-9</v>
      </c>
      <c r="CY65" s="60">
        <f t="shared" si="267"/>
        <v>2.9090909090909087E-9</v>
      </c>
      <c r="CZ65" s="60">
        <f t="shared" si="267"/>
        <v>2.9090909090909087E-9</v>
      </c>
      <c r="DA65" s="60">
        <f>IFERROR(DA21/$B51,0)</f>
        <v>2.9963636363636357E-9</v>
      </c>
      <c r="DB65" s="60">
        <f t="shared" si="267"/>
        <v>2.9090909090909087E-9</v>
      </c>
      <c r="DC65" s="60">
        <f t="shared" si="267"/>
        <v>2.9963636363636357E-9</v>
      </c>
      <c r="DD65" s="15"/>
      <c r="DE65" s="15"/>
      <c r="DF65" s="15"/>
      <c r="DG65" s="15"/>
      <c r="DH65" s="15"/>
      <c r="DI65" s="15"/>
      <c r="DJ65" s="15"/>
      <c r="DK65" s="15"/>
      <c r="DL65" s="15"/>
      <c r="DM65" s="15"/>
      <c r="DN65" s="15"/>
      <c r="DO65" s="15"/>
      <c r="DP65" s="15"/>
      <c r="DQ65" s="15"/>
      <c r="DR65" s="60">
        <f>IFERROR(DR21/$B51,0)</f>
        <v>1.6415316541278672E-11</v>
      </c>
      <c r="DS65" s="71">
        <f>IFERROR(up_RadSpec!$H$21*DS21,".")*$B$65</f>
        <v>12500</v>
      </c>
      <c r="DT65" s="71">
        <f>IFERROR(up_RadSpec!$G$21*DT21,".")*$B$65</f>
        <v>2278.645833333333</v>
      </c>
      <c r="DU65" s="71">
        <f>IFERROR(up_RadSpec!$L$21*DU21,".")*$B$65</f>
        <v>1.1415525114155249</v>
      </c>
      <c r="DV65" s="71">
        <f>up_b2w!BZ65</f>
        <v>276430.1185283176</v>
      </c>
      <c r="DW65" s="71">
        <f>IFERROR(up_RadSpec!$E$21*DW21,".")*$B$65</f>
        <v>343.75</v>
      </c>
      <c r="DX65" s="71">
        <f>IFERROR(up_RadSpec!$E$21*DX21,".")*$B$65</f>
        <v>1718.75</v>
      </c>
      <c r="DY65" s="71">
        <f>IFERROR(up_RadSpec!$E$21*DY21,".")*$B$65</f>
        <v>1668.6893203883494</v>
      </c>
      <c r="DZ65" s="71">
        <f>IFERROR(up_RadSpec!$E$21*DZ21,".")*$B$65</f>
        <v>1718.75</v>
      </c>
      <c r="EA65" s="71">
        <f>IFERROR(up_RadSpec!$E$21*EA21,".")*$B$65</f>
        <v>1718.75</v>
      </c>
      <c r="EB65" s="71">
        <f>IFERROR(up_RadSpec!$E$21*EB21,".")*$B$65</f>
        <v>1718.75</v>
      </c>
      <c r="EC65" s="71">
        <f>IFERROR(up_RadSpec!$E$21*EC21,".")*$B$65</f>
        <v>1718.75</v>
      </c>
      <c r="ED65" s="71">
        <f>IFERROR(up_RadSpec!$E$21*ED21,".")*$B$65</f>
        <v>1668.6893203883494</v>
      </c>
      <c r="EE65" s="71">
        <f>IFERROR(up_RadSpec!$E$21*EE21,".")*$B$65</f>
        <v>1718.75</v>
      </c>
      <c r="EF65" s="71">
        <f>IFERROR(up_RadSpec!$E$21*EF21,".")*$B$65</f>
        <v>1668.6893203883494</v>
      </c>
      <c r="EG65" s="49">
        <f t="shared" si="257"/>
        <v>1</v>
      </c>
      <c r="EH65" s="49">
        <f t="shared" si="258"/>
        <v>1</v>
      </c>
      <c r="EI65" s="49">
        <f t="shared" si="259"/>
        <v>0.68067711563678512</v>
      </c>
      <c r="EJ65" s="49">
        <f t="shared" si="260"/>
        <v>1</v>
      </c>
      <c r="EK65" s="49">
        <f t="shared" si="261"/>
        <v>1</v>
      </c>
      <c r="EL65" s="49">
        <f t="shared" si="261"/>
        <v>1</v>
      </c>
      <c r="EM65" s="49">
        <f t="shared" si="261"/>
        <v>1</v>
      </c>
      <c r="EN65" s="49">
        <f t="shared" si="261"/>
        <v>1</v>
      </c>
      <c r="EO65" s="49">
        <f t="shared" si="261"/>
        <v>1</v>
      </c>
      <c r="EP65" s="49">
        <f t="shared" si="261"/>
        <v>1</v>
      </c>
      <c r="EQ65" s="49">
        <f t="shared" si="261"/>
        <v>1</v>
      </c>
      <c r="ER65" s="49">
        <f t="shared" si="261"/>
        <v>1</v>
      </c>
      <c r="ES65" s="49">
        <f t="shared" si="261"/>
        <v>1</v>
      </c>
      <c r="ET65" s="49">
        <f t="shared" si="261"/>
        <v>1</v>
      </c>
      <c r="EU65" s="49">
        <f t="shared" si="262"/>
        <v>1</v>
      </c>
      <c r="EV65" s="60">
        <f>IFERROR(EV21/$B51,0)</f>
        <v>1.0971428571428573E-9</v>
      </c>
      <c r="EW65" s="60">
        <f>IFERROR(EW21/$B51,0)</f>
        <v>1.7520000000000001E-6</v>
      </c>
      <c r="EX65" s="60">
        <f>IFERROR(EX21/$B51,0)</f>
        <v>1.0964562309317064E-9</v>
      </c>
      <c r="EY65" s="71">
        <f>IFERROR(up_RadSpec!$G$21*EY21,".")*$B$65</f>
        <v>4557.2916666666661</v>
      </c>
      <c r="EZ65" s="71">
        <f>IFERROR(up_RadSpec!$J$21*EZ21,".")*$B$65</f>
        <v>2.8538812785388123</v>
      </c>
      <c r="FA65" s="49">
        <f t="shared" si="263"/>
        <v>1</v>
      </c>
      <c r="FB65" s="49">
        <f t="shared" si="263"/>
        <v>0.9423797539167309</v>
      </c>
      <c r="FC65" s="49">
        <f t="shared" si="264"/>
        <v>1</v>
      </c>
    </row>
    <row r="66" spans="1:159" x14ac:dyDescent="0.25">
      <c r="A66" s="83" t="s">
        <v>1077</v>
      </c>
      <c r="B66" s="85">
        <v>0.99980000000000002</v>
      </c>
      <c r="C66" s="60">
        <f t="shared" ref="C66:M66" si="268">IFERROR(C17/$B52,0)</f>
        <v>1.8185455272872755E-11</v>
      </c>
      <c r="D66" s="60">
        <f t="shared" si="268"/>
        <v>7.2741821091491019E-11</v>
      </c>
      <c r="E66" s="60">
        <f t="shared" si="268"/>
        <v>7.2741821091491019E-11</v>
      </c>
      <c r="F66" s="60">
        <f t="shared" si="268"/>
        <v>7.2741821091491019E-11</v>
      </c>
      <c r="G66" s="60">
        <f t="shared" si="268"/>
        <v>7.2741821091491019E-11</v>
      </c>
      <c r="H66" s="60">
        <f t="shared" si="268"/>
        <v>7.2741821091491019E-11</v>
      </c>
      <c r="I66" s="60">
        <f t="shared" si="268"/>
        <v>7.2741821091491019E-11</v>
      </c>
      <c r="J66" s="60">
        <f t="shared" si="268"/>
        <v>7.2741821091491019E-11</v>
      </c>
      <c r="K66" s="60">
        <f t="shared" si="268"/>
        <v>7.2741821091491019E-11</v>
      </c>
      <c r="L66" s="60">
        <f t="shared" si="268"/>
        <v>7.2741821091491019E-11</v>
      </c>
      <c r="M66" s="60">
        <f t="shared" si="268"/>
        <v>7.2741821091491019E-11</v>
      </c>
      <c r="N66" s="71">
        <f>up_dir!BA66</f>
        <v>275055.01100220042</v>
      </c>
      <c r="O66" s="71">
        <f>IFERROR(up_RadSpec!$E$17*O17,".")*$B$66</f>
        <v>68736.25</v>
      </c>
      <c r="P66" s="71">
        <f>IFERROR(up_RadSpec!$E$17*P17,".")*$B$66</f>
        <v>68736.25</v>
      </c>
      <c r="Q66" s="71">
        <f>IFERROR(up_RadSpec!$E$17*Q17,".")*$B$66</f>
        <v>68736.25</v>
      </c>
      <c r="R66" s="71">
        <f>IFERROR(up_RadSpec!$E$17*R17,".")*$B$66</f>
        <v>68736.25</v>
      </c>
      <c r="S66" s="71">
        <f>IFERROR(up_RadSpec!$E$17*S17,".")*$B$66</f>
        <v>68736.25</v>
      </c>
      <c r="T66" s="71">
        <f>IFERROR(up_RadSpec!$E$17*T17,".")*$B$66</f>
        <v>68736.25</v>
      </c>
      <c r="U66" s="71">
        <f>IFERROR(up_RadSpec!$E$17*U17,".")*$B$66</f>
        <v>68736.25</v>
      </c>
      <c r="V66" s="71">
        <f>IFERROR(up_RadSpec!$E$17*V17,".")*$B$66</f>
        <v>68736.25</v>
      </c>
      <c r="W66" s="71">
        <f>IFERROR(up_RadSpec!$E$17*W17,".")*$B$66</f>
        <v>68736.25</v>
      </c>
      <c r="X66" s="71">
        <f>IFERROR(up_RadSpec!$E$17*X17,".")*$B$66</f>
        <v>68736.25</v>
      </c>
      <c r="Y66" s="49">
        <f t="shared" si="239"/>
        <v>1</v>
      </c>
      <c r="Z66" s="49">
        <f t="shared" si="239"/>
        <v>1</v>
      </c>
      <c r="AA66" s="49">
        <f t="shared" si="239"/>
        <v>1</v>
      </c>
      <c r="AB66" s="49">
        <f t="shared" si="239"/>
        <v>1</v>
      </c>
      <c r="AC66" s="49">
        <f t="shared" si="239"/>
        <v>1</v>
      </c>
      <c r="AD66" s="49">
        <f t="shared" si="239"/>
        <v>1</v>
      </c>
      <c r="AE66" s="49">
        <f t="shared" si="239"/>
        <v>1</v>
      </c>
      <c r="AF66" s="49">
        <f t="shared" si="239"/>
        <v>1</v>
      </c>
      <c r="AG66" s="49">
        <f t="shared" si="239"/>
        <v>1</v>
      </c>
      <c r="AH66" s="49">
        <f t="shared" si="239"/>
        <v>1</v>
      </c>
      <c r="AI66" s="49">
        <f t="shared" si="239"/>
        <v>1</v>
      </c>
      <c r="AJ66" s="60">
        <f t="shared" ref="AJ66:AW66" si="269">IFERROR(AJ17/$B52,0)</f>
        <v>3.6370910545745511E-8</v>
      </c>
      <c r="AK66" s="60">
        <f t="shared" si="269"/>
        <v>3.3996708971658404E-4</v>
      </c>
      <c r="AL66" s="60">
        <f t="shared" si="269"/>
        <v>3.2240214276621542E-5</v>
      </c>
      <c r="AM66" s="60">
        <f t="shared" si="269"/>
        <v>3.6272973517248939E-12</v>
      </c>
      <c r="AN66" s="60">
        <f>IFERROR(AN17/$B52,0)</f>
        <v>7.2741821091491019E-11</v>
      </c>
      <c r="AO66" s="60">
        <f>IFERROR(AO17/$B52,0)</f>
        <v>2.0418756797611515E-14</v>
      </c>
      <c r="AP66" s="60">
        <f>IFERROR(AP17/$B52,0)</f>
        <v>2.1031319501539858E-14</v>
      </c>
      <c r="AQ66" s="60">
        <f>IFERROR(AQ17/$B52,0)</f>
        <v>2.0418756797611515E-14</v>
      </c>
      <c r="AR66" s="60">
        <f t="shared" si="269"/>
        <v>2.0418756797611515E-14</v>
      </c>
      <c r="AS66" s="60">
        <f t="shared" si="269"/>
        <v>2.0418756797611515E-14</v>
      </c>
      <c r="AT66" s="60">
        <f t="shared" si="269"/>
        <v>2.0418756797611515E-14</v>
      </c>
      <c r="AU66" s="60">
        <f>IFERROR(AU17/$B52,0)</f>
        <v>2.1031319501539858E-14</v>
      </c>
      <c r="AV66" s="60">
        <f t="shared" si="269"/>
        <v>2.0418756797611515E-14</v>
      </c>
      <c r="AW66" s="60">
        <f t="shared" si="269"/>
        <v>2.1031319501539858E-14</v>
      </c>
      <c r="AX66" s="42"/>
      <c r="AY66" s="42"/>
      <c r="AZ66" s="42"/>
      <c r="BA66" s="42"/>
      <c r="BB66" s="42"/>
      <c r="BC66" s="42"/>
      <c r="BD66" s="42"/>
      <c r="BE66" s="42"/>
      <c r="BF66" s="42"/>
      <c r="BG66" s="42"/>
      <c r="BH66" s="42"/>
      <c r="BI66" s="42"/>
      <c r="BJ66" s="42"/>
      <c r="BK66" s="42"/>
      <c r="BL66" s="60">
        <f>IFERROR(BL17/$B52,0)</f>
        <v>2.2894751309682281E-15</v>
      </c>
      <c r="BM66" s="71">
        <f>IFERROR(up_RadSpec!$D$17*BM17,".")*$B$66</f>
        <v>137.4725</v>
      </c>
      <c r="BN66" s="71">
        <f>IFERROR(up_RadSpec!$G$17*BN17,".")*$B$66</f>
        <v>1.4707305945902837E-2</v>
      </c>
      <c r="BO66" s="71">
        <f>IFERROR(up_RadSpec!$F$17*BO17,".")*$B$66</f>
        <v>0.15508581788879944</v>
      </c>
      <c r="BP66" s="71">
        <f>up_b2s!BZ66</f>
        <v>1378988.2976595317</v>
      </c>
      <c r="BQ66" s="71">
        <f>IFERROR(up_RadSpec!$E$17*BQ17,".")*$B$66</f>
        <v>68736.25</v>
      </c>
      <c r="BR66" s="71">
        <f>IFERROR(up_RadSpec!$E$17*BR17,".")*$B$66</f>
        <v>244872890.625</v>
      </c>
      <c r="BS66" s="71">
        <f>IFERROR(up_RadSpec!$E$17*BS17,".")*$B$66</f>
        <v>237740670.5097087</v>
      </c>
      <c r="BT66" s="71">
        <f>IFERROR(up_RadSpec!$E$17*BT17,".")*$B$66</f>
        <v>244872890.625</v>
      </c>
      <c r="BU66" s="71">
        <f>IFERROR(up_RadSpec!$E$17*BU17,".")*$B$66</f>
        <v>244872890.625</v>
      </c>
      <c r="BV66" s="71">
        <f>IFERROR(up_RadSpec!$E$17*BV17,".")*$B$66</f>
        <v>244872890.625</v>
      </c>
      <c r="BW66" s="71">
        <f>IFERROR(up_RadSpec!$E$17*BW17,".")*$B$66</f>
        <v>244872890.625</v>
      </c>
      <c r="BX66" s="71">
        <f>IFERROR(up_RadSpec!$E$17*BX17,".")*$B$66</f>
        <v>237740670.5097087</v>
      </c>
      <c r="BY66" s="71">
        <f>IFERROR(up_RadSpec!$E$17*BY17,".")*$B$66</f>
        <v>244872890.625</v>
      </c>
      <c r="BZ66" s="71">
        <f>IFERROR(up_RadSpec!$E$17*BZ17,".")*$B$66</f>
        <v>237740670.5097087</v>
      </c>
      <c r="CA66" s="49">
        <f t="shared" si="241"/>
        <v>1</v>
      </c>
      <c r="CB66" s="49">
        <f t="shared" si="242"/>
        <v>1.4599681788302177E-2</v>
      </c>
      <c r="CC66" s="49">
        <f t="shared" si="243"/>
        <v>0.14365831510531935</v>
      </c>
      <c r="CD66" s="49">
        <f t="shared" si="244"/>
        <v>1</v>
      </c>
      <c r="CE66" s="49">
        <f t="shared" si="245"/>
        <v>1</v>
      </c>
      <c r="CF66" s="49">
        <f t="shared" si="246"/>
        <v>1</v>
      </c>
      <c r="CG66" s="49">
        <f t="shared" si="247"/>
        <v>1</v>
      </c>
      <c r="CH66" s="49">
        <f t="shared" si="248"/>
        <v>1</v>
      </c>
      <c r="CI66" s="49">
        <f t="shared" si="249"/>
        <v>1</v>
      </c>
      <c r="CJ66" s="49">
        <f t="shared" si="250"/>
        <v>1</v>
      </c>
      <c r="CK66" s="49">
        <f t="shared" si="251"/>
        <v>1</v>
      </c>
      <c r="CL66" s="49">
        <f t="shared" si="252"/>
        <v>1</v>
      </c>
      <c r="CM66" s="49">
        <f t="shared" si="253"/>
        <v>1</v>
      </c>
      <c r="CN66" s="49">
        <f t="shared" si="254"/>
        <v>1</v>
      </c>
      <c r="CO66" s="49">
        <f t="shared" si="255"/>
        <v>1</v>
      </c>
      <c r="CP66" s="60">
        <f t="shared" ref="CP66:DC66" si="270">IFERROR(CP17/$B52,0)</f>
        <v>4.0008001600320061E-10</v>
      </c>
      <c r="CQ66" s="60">
        <f t="shared" si="270"/>
        <v>0</v>
      </c>
      <c r="CR66" s="60">
        <f t="shared" si="270"/>
        <v>4.3808761752350469E-6</v>
      </c>
      <c r="CS66" s="60">
        <f t="shared" si="270"/>
        <v>1.8091372339109655E-11</v>
      </c>
      <c r="CT66" s="60">
        <f>IFERROR(CT17/$B52,0)</f>
        <v>1.4548364218298204E-8</v>
      </c>
      <c r="CU66" s="60">
        <f>IFERROR(CU17/$B52,0)</f>
        <v>2.9096728436596408E-9</v>
      </c>
      <c r="CV66" s="60">
        <f>IFERROR(CV17/$B52,0)</f>
        <v>2.9969630289694293E-9</v>
      </c>
      <c r="CW66" s="60">
        <f>IFERROR(CW17/$B52,0)</f>
        <v>2.9096728436596408E-9</v>
      </c>
      <c r="CX66" s="60">
        <f t="shared" si="270"/>
        <v>2.9096728436596408E-9</v>
      </c>
      <c r="CY66" s="60">
        <f t="shared" si="270"/>
        <v>2.9096728436596408E-9</v>
      </c>
      <c r="CZ66" s="60">
        <f t="shared" si="270"/>
        <v>2.9096728436596408E-9</v>
      </c>
      <c r="DA66" s="60">
        <f>IFERROR(DA17/$B52,0)</f>
        <v>2.9969630289694293E-9</v>
      </c>
      <c r="DB66" s="60">
        <f t="shared" si="270"/>
        <v>2.9096728436596408E-9</v>
      </c>
      <c r="DC66" s="60">
        <f t="shared" si="270"/>
        <v>2.9969630289694293E-9</v>
      </c>
      <c r="DD66" s="15"/>
      <c r="DE66" s="15"/>
      <c r="DF66" s="15"/>
      <c r="DG66" s="15"/>
      <c r="DH66" s="15"/>
      <c r="DI66" s="15"/>
      <c r="DJ66" s="15"/>
      <c r="DK66" s="15"/>
      <c r="DL66" s="15"/>
      <c r="DM66" s="15"/>
      <c r="DN66" s="15"/>
      <c r="DO66" s="15"/>
      <c r="DP66" s="15"/>
      <c r="DQ66" s="15"/>
      <c r="DR66" s="60">
        <f>IFERROR(DR17/$B52,0)</f>
        <v>1.6418600261330938E-11</v>
      </c>
      <c r="DS66" s="71">
        <f>IFERROR(up_RadSpec!$H$17*DS17,".")*$B$66</f>
        <v>12497.5</v>
      </c>
      <c r="DT66" s="71">
        <f>IFERROR(up_RadSpec!$G$17*DT17,".")*$B$66</f>
        <v>2278.1901041666665</v>
      </c>
      <c r="DU66" s="71">
        <f>IFERROR(up_RadSpec!$L$17*DU17,".")*$B$66</f>
        <v>1.1413242009132418</v>
      </c>
      <c r="DV66" s="71">
        <f>up_b2w!BZ66</f>
        <v>276485.41561143985</v>
      </c>
      <c r="DW66" s="71">
        <f>IFERROR(up_RadSpec!$E$17*DW17,".")*$B$66</f>
        <v>343.68125000000003</v>
      </c>
      <c r="DX66" s="71">
        <f>IFERROR(up_RadSpec!$E$17*DX17,".")*$B$66</f>
        <v>1718.40625</v>
      </c>
      <c r="DY66" s="71">
        <f>IFERROR(up_RadSpec!$E$17*DY17,".")*$B$66</f>
        <v>1668.3555825242718</v>
      </c>
      <c r="DZ66" s="71">
        <f>IFERROR(up_RadSpec!$E$17*DZ17,".")*$B$66</f>
        <v>1718.40625</v>
      </c>
      <c r="EA66" s="71">
        <f>IFERROR(up_RadSpec!$E$17*EA17,".")*$B$66</f>
        <v>1718.40625</v>
      </c>
      <c r="EB66" s="71">
        <f>IFERROR(up_RadSpec!$E$17*EB17,".")*$B$66</f>
        <v>1718.40625</v>
      </c>
      <c r="EC66" s="71">
        <f>IFERROR(up_RadSpec!$E$17*EC17,".")*$B$66</f>
        <v>1718.40625</v>
      </c>
      <c r="ED66" s="71">
        <f>IFERROR(up_RadSpec!$E$17*ED17,".")*$B$66</f>
        <v>1668.3555825242718</v>
      </c>
      <c r="EE66" s="71">
        <f>IFERROR(up_RadSpec!$E$17*EE17,".")*$B$66</f>
        <v>1718.40625</v>
      </c>
      <c r="EF66" s="71">
        <f>IFERROR(up_RadSpec!$E$17*EF17,".")*$B$66</f>
        <v>1668.3555825242718</v>
      </c>
      <c r="EG66" s="49">
        <f t="shared" si="257"/>
        <v>1</v>
      </c>
      <c r="EH66" s="49">
        <f t="shared" si="258"/>
        <v>1</v>
      </c>
      <c r="EI66" s="49">
        <f t="shared" si="259"/>
        <v>0.68060420254557019</v>
      </c>
      <c r="EJ66" s="49">
        <f t="shared" si="260"/>
        <v>1</v>
      </c>
      <c r="EK66" s="49">
        <f t="shared" si="261"/>
        <v>1</v>
      </c>
      <c r="EL66" s="49">
        <f t="shared" si="261"/>
        <v>1</v>
      </c>
      <c r="EM66" s="49">
        <f t="shared" si="261"/>
        <v>1</v>
      </c>
      <c r="EN66" s="49">
        <f t="shared" si="261"/>
        <v>1</v>
      </c>
      <c r="EO66" s="49">
        <f t="shared" si="261"/>
        <v>1</v>
      </c>
      <c r="EP66" s="49">
        <f t="shared" si="261"/>
        <v>1</v>
      </c>
      <c r="EQ66" s="49">
        <f t="shared" si="261"/>
        <v>1</v>
      </c>
      <c r="ER66" s="49">
        <f t="shared" si="261"/>
        <v>1</v>
      </c>
      <c r="ES66" s="49">
        <f t="shared" si="261"/>
        <v>1</v>
      </c>
      <c r="ET66" s="49">
        <f t="shared" si="261"/>
        <v>1</v>
      </c>
      <c r="EU66" s="49">
        <f t="shared" si="262"/>
        <v>1</v>
      </c>
      <c r="EV66" s="60">
        <f>IFERROR(EV17/$B52,0)</f>
        <v>1.097362329608779E-9</v>
      </c>
      <c r="EW66" s="60">
        <f>IFERROR(EW17/$B52,0)</f>
        <v>1.7523504700940188E-6</v>
      </c>
      <c r="EX66" s="60">
        <f>IFERROR(EX17/$B52,0)</f>
        <v>1.0966755660449154E-9</v>
      </c>
      <c r="EY66" s="71">
        <f>IFERROR(up_RadSpec!$G$17*EY17,".")*$B$66</f>
        <v>4556.380208333333</v>
      </c>
      <c r="EZ66" s="71">
        <f>IFERROR(up_RadSpec!$J$17*EZ17,".")*$B$66</f>
        <v>2.8533105022831045</v>
      </c>
      <c r="FA66" s="49">
        <f t="shared" si="263"/>
        <v>1</v>
      </c>
      <c r="FB66" s="49">
        <f t="shared" si="263"/>
        <v>0.94234685626071124</v>
      </c>
      <c r="FC66" s="49">
        <f t="shared" si="264"/>
        <v>1</v>
      </c>
    </row>
    <row r="67" spans="1:159" x14ac:dyDescent="0.25">
      <c r="A67" s="83" t="s">
        <v>1091</v>
      </c>
      <c r="B67" s="42">
        <v>2.0000000000000001E-4</v>
      </c>
      <c r="C67" s="60">
        <f t="shared" ref="C67:M67" si="271">IFERROR(C5/$B53,0)</f>
        <v>9.0909090909090901E-8</v>
      </c>
      <c r="D67" s="60">
        <f t="shared" si="271"/>
        <v>3.6363636363636361E-7</v>
      </c>
      <c r="E67" s="60">
        <f t="shared" si="271"/>
        <v>3.6363636363636361E-7</v>
      </c>
      <c r="F67" s="60">
        <f t="shared" si="271"/>
        <v>3.6363636363636361E-7</v>
      </c>
      <c r="G67" s="60">
        <f t="shared" si="271"/>
        <v>3.6363636363636361E-7</v>
      </c>
      <c r="H67" s="60">
        <f t="shared" si="271"/>
        <v>3.6363636363636361E-7</v>
      </c>
      <c r="I67" s="60">
        <f t="shared" si="271"/>
        <v>3.6363636363636361E-7</v>
      </c>
      <c r="J67" s="60">
        <f t="shared" si="271"/>
        <v>3.6363636363636361E-7</v>
      </c>
      <c r="K67" s="60">
        <f t="shared" si="271"/>
        <v>3.6363636363636361E-7</v>
      </c>
      <c r="L67" s="60">
        <f t="shared" si="271"/>
        <v>3.6363636363636361E-7</v>
      </c>
      <c r="M67" s="60">
        <f t="shared" si="271"/>
        <v>3.6363636363636361E-7</v>
      </c>
      <c r="N67" s="71">
        <f>up_dir!BA67</f>
        <v>1375000000</v>
      </c>
      <c r="O67" s="71">
        <f>IFERROR(up_RadSpec!$E$5*O5,".")*$B$67</f>
        <v>13.75</v>
      </c>
      <c r="P67" s="71">
        <f>IFERROR(up_RadSpec!$E$5*P5,".")*$B$67</f>
        <v>13.75</v>
      </c>
      <c r="Q67" s="71">
        <f>IFERROR(up_RadSpec!$E$5*Q5,".")*$B$67</f>
        <v>13.75</v>
      </c>
      <c r="R67" s="71">
        <f>IFERROR(up_RadSpec!$E$5*R5,".")*$B$67</f>
        <v>13.75</v>
      </c>
      <c r="S67" s="71">
        <f>IFERROR(up_RadSpec!$E$5*S5,".")*$B$67</f>
        <v>13.75</v>
      </c>
      <c r="T67" s="71">
        <f>IFERROR(up_RadSpec!$E$5*T5,".")*$B$67</f>
        <v>13.75</v>
      </c>
      <c r="U67" s="71">
        <f>IFERROR(up_RadSpec!$E$5*U5,".")*$B$67</f>
        <v>13.75</v>
      </c>
      <c r="V67" s="71">
        <f>IFERROR(up_RadSpec!$E$5*V5,".")*$B$67</f>
        <v>13.75</v>
      </c>
      <c r="W67" s="71">
        <f>IFERROR(up_RadSpec!$E$5*W5,".")*$B$67</f>
        <v>13.75</v>
      </c>
      <c r="X67" s="71">
        <f>IFERROR(up_RadSpec!$E$5*X5,".")*$B$67</f>
        <v>13.75</v>
      </c>
      <c r="Y67" s="49">
        <f t="shared" si="239"/>
        <v>1</v>
      </c>
      <c r="Z67" s="49">
        <f t="shared" si="239"/>
        <v>0.99999893229599002</v>
      </c>
      <c r="AA67" s="49">
        <f t="shared" si="239"/>
        <v>0.99999893229599002</v>
      </c>
      <c r="AB67" s="49">
        <f t="shared" si="239"/>
        <v>0.99999893229599002</v>
      </c>
      <c r="AC67" s="49">
        <f t="shared" si="239"/>
        <v>0.99999893229599002</v>
      </c>
      <c r="AD67" s="49">
        <f t="shared" si="239"/>
        <v>0.99999893229599002</v>
      </c>
      <c r="AE67" s="49">
        <f t="shared" si="239"/>
        <v>0.99999893229599002</v>
      </c>
      <c r="AF67" s="49">
        <f t="shared" si="239"/>
        <v>0.99999893229599002</v>
      </c>
      <c r="AG67" s="49">
        <f t="shared" si="239"/>
        <v>0.99999893229599002</v>
      </c>
      <c r="AH67" s="49">
        <f t="shared" si="239"/>
        <v>0.99999893229599002</v>
      </c>
      <c r="AI67" s="49">
        <f t="shared" si="239"/>
        <v>0.99999893229599002</v>
      </c>
      <c r="AJ67" s="60">
        <f t="shared" ref="AJ67:AW67" si="272">IFERROR(AJ5/$B53,0)</f>
        <v>1.8181818181818181E-4</v>
      </c>
      <c r="AK67" s="60">
        <f t="shared" si="272"/>
        <v>1.6994954814932035</v>
      </c>
      <c r="AL67" s="60">
        <f t="shared" si="272"/>
        <v>0</v>
      </c>
      <c r="AM67" s="60">
        <f t="shared" si="272"/>
        <v>1.8132859461272745E-8</v>
      </c>
      <c r="AN67" s="60">
        <f>IFERROR(AN5/$B53,0)</f>
        <v>3.6363636363636361E-7</v>
      </c>
      <c r="AO67" s="60">
        <f>IFERROR(AO5/$B53,0)</f>
        <v>1.0207336523125996E-10</v>
      </c>
      <c r="AP67" s="60">
        <f>IFERROR(AP5/$B53,0)</f>
        <v>1.0513556618819775E-10</v>
      </c>
      <c r="AQ67" s="60">
        <f>IFERROR(AQ5/$B53,0)</f>
        <v>1.0207336523125996E-10</v>
      </c>
      <c r="AR67" s="60">
        <f t="shared" si="272"/>
        <v>1.0207336523125996E-10</v>
      </c>
      <c r="AS67" s="60">
        <f t="shared" si="272"/>
        <v>1.0207336523125996E-10</v>
      </c>
      <c r="AT67" s="60">
        <f t="shared" si="272"/>
        <v>1.0207336523125996E-10</v>
      </c>
      <c r="AU67" s="60">
        <f>IFERROR(AU5/$B53,0)</f>
        <v>1.0513556618819775E-10</v>
      </c>
      <c r="AV67" s="60">
        <f t="shared" si="272"/>
        <v>1.0207336523125996E-10</v>
      </c>
      <c r="AW67" s="60">
        <f t="shared" si="272"/>
        <v>1.0513556618819775E-10</v>
      </c>
      <c r="AX67" s="42"/>
      <c r="AY67" s="42"/>
      <c r="AZ67" s="42"/>
      <c r="BA67" s="42"/>
      <c r="BB67" s="42"/>
      <c r="BC67" s="42"/>
      <c r="BD67" s="42"/>
      <c r="BE67" s="42"/>
      <c r="BF67" s="42"/>
      <c r="BG67" s="42"/>
      <c r="BH67" s="42"/>
      <c r="BI67" s="42"/>
      <c r="BJ67" s="42"/>
      <c r="BK67" s="42"/>
      <c r="BL67" s="60">
        <f>IFERROR(BL5/$B53,0)</f>
        <v>1.1445086180522923E-11</v>
      </c>
      <c r="BM67" s="71">
        <f>IFERROR(up_RadSpec!$D$5*BM5,".")*$B$67</f>
        <v>2.75E-2</v>
      </c>
      <c r="BN67" s="71">
        <f>IFERROR(up_RadSpec!$G$5*BN5,".")*$B$67</f>
        <v>2.9420495991003874E-6</v>
      </c>
      <c r="BO67" s="71">
        <f>IFERROR(up_RadSpec!$F$5*BO5,".")*$B$67</f>
        <v>0</v>
      </c>
      <c r="BP67" s="71">
        <f>up_b2s!BZ67</f>
        <v>6893562500</v>
      </c>
      <c r="BQ67" s="71">
        <f>IFERROR(up_RadSpec!$E$5*BQ5,".")*$B$67</f>
        <v>13.75</v>
      </c>
      <c r="BR67" s="71">
        <f>IFERROR(up_RadSpec!$E$5*BR5,".")*$B$67</f>
        <v>48984.375</v>
      </c>
      <c r="BS67" s="71">
        <f>IFERROR(up_RadSpec!$E$5*BS5,".")*$B$67</f>
        <v>47557.645631067957</v>
      </c>
      <c r="BT67" s="71">
        <f>IFERROR(up_RadSpec!$E$5*BT5,".")*$B$67</f>
        <v>48984.375</v>
      </c>
      <c r="BU67" s="71">
        <f>IFERROR(up_RadSpec!$E$5*BU5,".")*$B$67</f>
        <v>48984.375</v>
      </c>
      <c r="BV67" s="71">
        <f>IFERROR(up_RadSpec!$E$5*BV5,".")*$B$67</f>
        <v>48984.375</v>
      </c>
      <c r="BW67" s="71">
        <f>IFERROR(up_RadSpec!$E$5*BW5,".")*$B$67</f>
        <v>48984.375</v>
      </c>
      <c r="BX67" s="71">
        <f>IFERROR(up_RadSpec!$E$5*BX5,".")*$B$67</f>
        <v>47557.645631067957</v>
      </c>
      <c r="BY67" s="71">
        <f>IFERROR(up_RadSpec!$E$5*BY5,".")*$B$67</f>
        <v>48984.375</v>
      </c>
      <c r="BZ67" s="71">
        <f>IFERROR(up_RadSpec!$E$5*BZ5,".")*$B$67</f>
        <v>47557.645631067957</v>
      </c>
      <c r="CA67" s="49">
        <f t="shared" si="241"/>
        <v>2.7125317446546005E-2</v>
      </c>
      <c r="CB67" s="49">
        <f t="shared" si="242"/>
        <v>2.9420495991003874E-6</v>
      </c>
      <c r="CC67" s="49">
        <f t="shared" si="243"/>
        <v>0</v>
      </c>
      <c r="CD67" s="49">
        <f t="shared" si="244"/>
        <v>1</v>
      </c>
      <c r="CE67" s="49">
        <f t="shared" si="245"/>
        <v>0.99999893229599002</v>
      </c>
      <c r="CF67" s="49">
        <f t="shared" si="246"/>
        <v>1</v>
      </c>
      <c r="CG67" s="49">
        <f t="shared" si="247"/>
        <v>1</v>
      </c>
      <c r="CH67" s="49">
        <f t="shared" si="248"/>
        <v>1</v>
      </c>
      <c r="CI67" s="49">
        <f t="shared" si="249"/>
        <v>1</v>
      </c>
      <c r="CJ67" s="49">
        <f t="shared" si="250"/>
        <v>1</v>
      </c>
      <c r="CK67" s="49">
        <f t="shared" si="251"/>
        <v>1</v>
      </c>
      <c r="CL67" s="49">
        <f t="shared" si="252"/>
        <v>1</v>
      </c>
      <c r="CM67" s="49">
        <f t="shared" si="253"/>
        <v>1</v>
      </c>
      <c r="CN67" s="49">
        <f t="shared" si="254"/>
        <v>1</v>
      </c>
      <c r="CO67" s="49">
        <f t="shared" si="255"/>
        <v>1</v>
      </c>
      <c r="CP67" s="60">
        <f t="shared" ref="CP67:DC67" si="273">IFERROR(CP5/$B53,0)</f>
        <v>1.9999999999999999E-6</v>
      </c>
      <c r="CQ67" s="60">
        <f t="shared" si="273"/>
        <v>0</v>
      </c>
      <c r="CR67" s="60">
        <f t="shared" si="273"/>
        <v>2.1899999999999999E-2</v>
      </c>
      <c r="CS67" s="60">
        <f t="shared" si="273"/>
        <v>9.0438770323209157E-8</v>
      </c>
      <c r="CT67" s="60">
        <f>IFERROR(CT5/$B53,0)</f>
        <v>7.2727272727272715E-5</v>
      </c>
      <c r="CU67" s="60">
        <f>IFERROR(CU5/$B53,0)</f>
        <v>1.4545454545454543E-5</v>
      </c>
      <c r="CV67" s="60">
        <f>IFERROR(CV5/$B53,0)</f>
        <v>1.4981818181818177E-5</v>
      </c>
      <c r="CW67" s="60">
        <f>IFERROR(CW5/$B53,0)</f>
        <v>1.4545454545454543E-5</v>
      </c>
      <c r="CX67" s="60">
        <f t="shared" si="273"/>
        <v>1.4545454545454543E-5</v>
      </c>
      <c r="CY67" s="60">
        <f t="shared" si="273"/>
        <v>1.4545454545454543E-5</v>
      </c>
      <c r="CZ67" s="60">
        <f t="shared" si="273"/>
        <v>1.4545454545454543E-5</v>
      </c>
      <c r="DA67" s="60">
        <f>IFERROR(DA5/$B53,0)</f>
        <v>1.4981818181818177E-5</v>
      </c>
      <c r="DB67" s="60">
        <f t="shared" si="273"/>
        <v>1.4545454545454543E-5</v>
      </c>
      <c r="DC67" s="60">
        <f t="shared" si="273"/>
        <v>1.4981818181818177E-5</v>
      </c>
      <c r="DD67" s="15"/>
      <c r="DE67" s="15"/>
      <c r="DF67" s="15"/>
      <c r="DG67" s="15"/>
      <c r="DH67" s="15"/>
      <c r="DI67" s="15"/>
      <c r="DJ67" s="15"/>
      <c r="DK67" s="15"/>
      <c r="DL67" s="15"/>
      <c r="DM67" s="15"/>
      <c r="DN67" s="15"/>
      <c r="DO67" s="15"/>
      <c r="DP67" s="15"/>
      <c r="DQ67" s="15"/>
      <c r="DR67" s="60">
        <f>IFERROR(DR5/$B53,0)</f>
        <v>8.207658270639335E-8</v>
      </c>
      <c r="DS67" s="71">
        <f>IFERROR(up_RadSpec!$H$5*DS5,".")*$B$67</f>
        <v>2.5</v>
      </c>
      <c r="DT67" s="71">
        <f>IFERROR(up_RadSpec!$G$5*DT5,".")*$B$67</f>
        <v>0.45572916666666663</v>
      </c>
      <c r="DU67" s="71">
        <f>IFERROR(up_RadSpec!$L$5*DU5,".")*$B$67</f>
        <v>2.2831050228310499E-4</v>
      </c>
      <c r="DV67" s="71">
        <f>up_b2w!BZ67</f>
        <v>1382150592.6415877</v>
      </c>
      <c r="DW67" s="71">
        <f>IFERROR(up_RadSpec!$E$5*DW5,".")*$B$67</f>
        <v>6.8750000000000006E-2</v>
      </c>
      <c r="DX67" s="71">
        <f>IFERROR(up_RadSpec!$E$5*DX5,".")*$B$67</f>
        <v>0.34375</v>
      </c>
      <c r="DY67" s="71">
        <f>IFERROR(up_RadSpec!$E$5*DY5,".")*$B$67</f>
        <v>0.33373786407766992</v>
      </c>
      <c r="DZ67" s="71">
        <f>IFERROR(up_RadSpec!$E$5*DZ5,".")*$B$67</f>
        <v>0.34375</v>
      </c>
      <c r="EA67" s="71">
        <f>IFERROR(up_RadSpec!$E$5*EA5,".")*$B$67</f>
        <v>0.34375</v>
      </c>
      <c r="EB67" s="71">
        <f>IFERROR(up_RadSpec!$E$5*EB5,".")*$B$67</f>
        <v>0.34375</v>
      </c>
      <c r="EC67" s="71">
        <f>IFERROR(up_RadSpec!$E$5*EC5,".")*$B$67</f>
        <v>0.34375</v>
      </c>
      <c r="ED67" s="71">
        <f>IFERROR(up_RadSpec!$E$5*ED5,".")*$B$67</f>
        <v>0.33373786407766992</v>
      </c>
      <c r="EE67" s="71">
        <f>IFERROR(up_RadSpec!$E$5*EE5,".")*$B$67</f>
        <v>0.34375</v>
      </c>
      <c r="EF67" s="71">
        <f>IFERROR(up_RadSpec!$E$5*EF5,".")*$B$67</f>
        <v>0.33373786407766992</v>
      </c>
      <c r="EG67" s="49">
        <f t="shared" si="257"/>
        <v>0.91791500137610116</v>
      </c>
      <c r="EH67" s="49">
        <f t="shared" si="258"/>
        <v>0.36601448173979556</v>
      </c>
      <c r="EI67" s="49">
        <f t="shared" si="259"/>
        <v>2.2831050228310499E-4</v>
      </c>
      <c r="EJ67" s="49">
        <f t="shared" si="260"/>
        <v>1</v>
      </c>
      <c r="EK67" s="49">
        <f t="shared" si="261"/>
        <v>6.6439959082889022E-2</v>
      </c>
      <c r="EL67" s="49">
        <f t="shared" si="261"/>
        <v>0.29089381756260158</v>
      </c>
      <c r="EM67" s="49">
        <f t="shared" si="261"/>
        <v>0.28375848975009521</v>
      </c>
      <c r="EN67" s="49">
        <f t="shared" si="261"/>
        <v>0.29089381756260158</v>
      </c>
      <c r="EO67" s="49">
        <f t="shared" si="261"/>
        <v>0.29089381756260158</v>
      </c>
      <c r="EP67" s="49">
        <f t="shared" si="261"/>
        <v>0.29089381756260158</v>
      </c>
      <c r="EQ67" s="49">
        <f t="shared" si="261"/>
        <v>0.29089381756260158</v>
      </c>
      <c r="ER67" s="49">
        <f t="shared" si="261"/>
        <v>0.28375848975009521</v>
      </c>
      <c r="ES67" s="49">
        <f t="shared" si="261"/>
        <v>0.29089381756260158</v>
      </c>
      <c r="ET67" s="49">
        <f t="shared" si="261"/>
        <v>0.28375848975009521</v>
      </c>
      <c r="EU67" s="49">
        <f t="shared" si="262"/>
        <v>1</v>
      </c>
      <c r="EV67" s="60">
        <f>IFERROR(EV5/$B53,0)</f>
        <v>5.4857142857142858E-6</v>
      </c>
      <c r="EW67" s="60">
        <f>IFERROR(EW5/$B53,0)</f>
        <v>8.7600000000000004E-3</v>
      </c>
      <c r="EX67" s="60">
        <f>IFERROR(EX5/$B53,0)</f>
        <v>5.4822811546585317E-6</v>
      </c>
      <c r="EY67" s="71">
        <f>IFERROR(up_RadSpec!$G$5*EY5,".")*$B$67</f>
        <v>0.91145833333333326</v>
      </c>
      <c r="EZ67" s="71">
        <f>IFERROR(up_RadSpec!$J$5*EZ5,".")*$B$67</f>
        <v>5.7077625570776253E-4</v>
      </c>
      <c r="FA67" s="49">
        <f t="shared" si="263"/>
        <v>0.59806236263633994</v>
      </c>
      <c r="FB67" s="49">
        <f t="shared" si="263"/>
        <v>5.7077625570776253E-4</v>
      </c>
      <c r="FC67" s="49">
        <f t="shared" si="264"/>
        <v>0.59829171363574352</v>
      </c>
    </row>
    <row r="68" spans="1:159" x14ac:dyDescent="0.25">
      <c r="A68" s="83" t="s">
        <v>1092</v>
      </c>
      <c r="B68" s="42">
        <v>0.99999979999999999</v>
      </c>
      <c r="C68" s="60">
        <f t="shared" ref="C68:M68" si="274">IFERROR(C9/$B54,0)</f>
        <v>1.8181821818182545E-11</v>
      </c>
      <c r="D68" s="60">
        <f t="shared" si="274"/>
        <v>7.272728727273018E-11</v>
      </c>
      <c r="E68" s="60">
        <f t="shared" si="274"/>
        <v>7.272728727273018E-11</v>
      </c>
      <c r="F68" s="60">
        <f t="shared" si="274"/>
        <v>7.272728727273018E-11</v>
      </c>
      <c r="G68" s="60">
        <f t="shared" si="274"/>
        <v>7.272728727273018E-11</v>
      </c>
      <c r="H68" s="60">
        <f t="shared" si="274"/>
        <v>7.272728727273018E-11</v>
      </c>
      <c r="I68" s="60">
        <f t="shared" si="274"/>
        <v>7.272728727273018E-11</v>
      </c>
      <c r="J68" s="60">
        <f t="shared" si="274"/>
        <v>7.272728727273018E-11</v>
      </c>
      <c r="K68" s="60">
        <f t="shared" si="274"/>
        <v>7.272728727273018E-11</v>
      </c>
      <c r="L68" s="60">
        <f t="shared" si="274"/>
        <v>7.272728727273018E-11</v>
      </c>
      <c r="M68" s="60">
        <f t="shared" si="274"/>
        <v>7.272728727273018E-11</v>
      </c>
      <c r="N68" s="71">
        <f>up_dir!BA68</f>
        <v>275000.05500001099</v>
      </c>
      <c r="O68" s="71">
        <f>IFERROR(up_RadSpec!$E$9*O9,".")*$B$68</f>
        <v>68749.986250000002</v>
      </c>
      <c r="P68" s="71">
        <f>IFERROR(up_RadSpec!$E$9*P9,".")*$B$68</f>
        <v>68749.986250000002</v>
      </c>
      <c r="Q68" s="71">
        <f>IFERROR(up_RadSpec!$E$9*Q9,".")*$B$68</f>
        <v>68749.986250000002</v>
      </c>
      <c r="R68" s="71">
        <f>IFERROR(up_RadSpec!$E$9*R9,".")*$B$68</f>
        <v>68749.986250000002</v>
      </c>
      <c r="S68" s="71">
        <f>IFERROR(up_RadSpec!$E$9*S9,".")*$B$68</f>
        <v>68749.986250000002</v>
      </c>
      <c r="T68" s="71">
        <f>IFERROR(up_RadSpec!$E$9*T9,".")*$B$68</f>
        <v>68749.986250000002</v>
      </c>
      <c r="U68" s="71">
        <f>IFERROR(up_RadSpec!$E$9*U9,".")*$B$68</f>
        <v>68749.986250000002</v>
      </c>
      <c r="V68" s="71">
        <f>IFERROR(up_RadSpec!$E$9*V9,".")*$B$68</f>
        <v>68749.986250000002</v>
      </c>
      <c r="W68" s="71">
        <f>IFERROR(up_RadSpec!$E$9*W9,".")*$B$68</f>
        <v>68749.986250000002</v>
      </c>
      <c r="X68" s="71">
        <f>IFERROR(up_RadSpec!$E$9*X9,".")*$B$68</f>
        <v>68749.986250000002</v>
      </c>
      <c r="Y68" s="49">
        <f t="shared" si="239"/>
        <v>1</v>
      </c>
      <c r="Z68" s="49">
        <f t="shared" si="239"/>
        <v>1</v>
      </c>
      <c r="AA68" s="49">
        <f t="shared" si="239"/>
        <v>1</v>
      </c>
      <c r="AB68" s="49">
        <f t="shared" si="239"/>
        <v>1</v>
      </c>
      <c r="AC68" s="49">
        <f t="shared" si="239"/>
        <v>1</v>
      </c>
      <c r="AD68" s="49">
        <f t="shared" si="239"/>
        <v>1</v>
      </c>
      <c r="AE68" s="49">
        <f t="shared" si="239"/>
        <v>1</v>
      </c>
      <c r="AF68" s="49">
        <f t="shared" si="239"/>
        <v>1</v>
      </c>
      <c r="AG68" s="49">
        <f t="shared" si="239"/>
        <v>1</v>
      </c>
      <c r="AH68" s="49">
        <f t="shared" si="239"/>
        <v>1</v>
      </c>
      <c r="AI68" s="49">
        <f t="shared" si="239"/>
        <v>1</v>
      </c>
      <c r="AJ68" s="60">
        <f t="shared" ref="AJ68:AW68" si="275">IFERROR(AJ9/$B54,0)</f>
        <v>3.6363643636365089E-8</v>
      </c>
      <c r="AK68" s="60">
        <f t="shared" si="275"/>
        <v>3.3989916427847359E-4</v>
      </c>
      <c r="AL68" s="60">
        <f t="shared" si="275"/>
        <v>1.1917668814961659E-5</v>
      </c>
      <c r="AM68" s="60">
        <f t="shared" si="275"/>
        <v>3.6265726175690729E-12</v>
      </c>
      <c r="AN68" s="60">
        <f>IFERROR(AN9/$B54,0)</f>
        <v>7.272728727273018E-11</v>
      </c>
      <c r="AO68" s="60">
        <f>IFERROR(AO9/$B54,0)</f>
        <v>2.041467712918742E-14</v>
      </c>
      <c r="AP68" s="60">
        <f>IFERROR(AP9/$B54,0)</f>
        <v>2.1027117443063038E-14</v>
      </c>
      <c r="AQ68" s="60">
        <f>IFERROR(AQ9/$B54,0)</f>
        <v>2.041467712918742E-14</v>
      </c>
      <c r="AR68" s="60">
        <f t="shared" si="275"/>
        <v>2.041467712918742E-14</v>
      </c>
      <c r="AS68" s="60">
        <f t="shared" si="275"/>
        <v>2.041467712918742E-14</v>
      </c>
      <c r="AT68" s="60">
        <f t="shared" si="275"/>
        <v>2.041467712918742E-14</v>
      </c>
      <c r="AU68" s="60">
        <f>IFERROR(AU9/$B54,0)</f>
        <v>2.1027117443063038E-14</v>
      </c>
      <c r="AV68" s="60">
        <f t="shared" si="275"/>
        <v>2.041467712918742E-14</v>
      </c>
      <c r="AW68" s="60">
        <f t="shared" si="275"/>
        <v>2.1027117443063038E-14</v>
      </c>
      <c r="AX68" s="42"/>
      <c r="AY68" s="42"/>
      <c r="AZ68" s="42"/>
      <c r="BA68" s="42"/>
      <c r="BB68" s="42"/>
      <c r="BC68" s="42"/>
      <c r="BD68" s="42"/>
      <c r="BE68" s="42"/>
      <c r="BF68" s="42"/>
      <c r="BG68" s="42"/>
      <c r="BH68" s="42"/>
      <c r="BI68" s="42"/>
      <c r="BJ68" s="42"/>
      <c r="BK68" s="42"/>
      <c r="BL68" s="60">
        <f>IFERROR(BL9/$B54,0)</f>
        <v>2.2890176934684738E-15</v>
      </c>
      <c r="BM68" s="71">
        <f>IFERROR(up_RadSpec!$D$9*BM9,".")*$B$68</f>
        <v>137.49997250000001</v>
      </c>
      <c r="BN68" s="71">
        <f>IFERROR(up_RadSpec!$G$9*BN9,".")*$B$68</f>
        <v>1.4710245053452338E-2</v>
      </c>
      <c r="BO68" s="71">
        <f>IFERROR(up_RadSpec!$F$9*BO9,".")*$B$68</f>
        <v>0.41954513736133603</v>
      </c>
      <c r="BP68" s="71">
        <f>up_b2s!BZ68</f>
        <v>1378712.775742555</v>
      </c>
      <c r="BQ68" s="71">
        <f>IFERROR(up_RadSpec!$E$9*BQ9,".")*$B$68</f>
        <v>68749.986250000002</v>
      </c>
      <c r="BR68" s="71">
        <f>IFERROR(up_RadSpec!$E$9*BR9,".")*$B$68</f>
        <v>244921826.015625</v>
      </c>
      <c r="BS68" s="71">
        <f>IFERROR(up_RadSpec!$E$9*BS9,".")*$B$68</f>
        <v>237788180.59769416</v>
      </c>
      <c r="BT68" s="71">
        <f>IFERROR(up_RadSpec!$E$9*BT9,".")*$B$68</f>
        <v>244921826.015625</v>
      </c>
      <c r="BU68" s="71">
        <f>IFERROR(up_RadSpec!$E$9*BU9,".")*$B$68</f>
        <v>244921826.015625</v>
      </c>
      <c r="BV68" s="71">
        <f>IFERROR(up_RadSpec!$E$9*BV9,".")*$B$68</f>
        <v>244921826.015625</v>
      </c>
      <c r="BW68" s="71">
        <f>IFERROR(up_RadSpec!$E$9*BW9,".")*$B$68</f>
        <v>244921826.015625</v>
      </c>
      <c r="BX68" s="71">
        <f>IFERROR(up_RadSpec!$E$9*BX9,".")*$B$68</f>
        <v>237788180.59769416</v>
      </c>
      <c r="BY68" s="71">
        <f>IFERROR(up_RadSpec!$E$9*BY9,".")*$B$68</f>
        <v>244921826.015625</v>
      </c>
      <c r="BZ68" s="71">
        <f>IFERROR(up_RadSpec!$E$9*BZ9,".")*$B$68</f>
        <v>237788180.59769416</v>
      </c>
      <c r="CA68" s="49">
        <f t="shared" si="241"/>
        <v>1</v>
      </c>
      <c r="CB68" s="49">
        <f t="shared" si="242"/>
        <v>1.4602577981560616E-2</v>
      </c>
      <c r="CC68" s="49">
        <f t="shared" si="243"/>
        <v>0.34265424615294915</v>
      </c>
      <c r="CD68" s="49">
        <f t="shared" si="244"/>
        <v>1</v>
      </c>
      <c r="CE68" s="49">
        <f t="shared" si="245"/>
        <v>1</v>
      </c>
      <c r="CF68" s="49">
        <f t="shared" si="246"/>
        <v>1</v>
      </c>
      <c r="CG68" s="49">
        <f t="shared" si="247"/>
        <v>1</v>
      </c>
      <c r="CH68" s="49">
        <f t="shared" si="248"/>
        <v>1</v>
      </c>
      <c r="CI68" s="49">
        <f t="shared" si="249"/>
        <v>1</v>
      </c>
      <c r="CJ68" s="49">
        <f t="shared" si="250"/>
        <v>1</v>
      </c>
      <c r="CK68" s="49">
        <f t="shared" si="251"/>
        <v>1</v>
      </c>
      <c r="CL68" s="49">
        <f t="shared" si="252"/>
        <v>1</v>
      </c>
      <c r="CM68" s="49">
        <f t="shared" si="253"/>
        <v>1</v>
      </c>
      <c r="CN68" s="49">
        <f t="shared" si="254"/>
        <v>1</v>
      </c>
      <c r="CO68" s="49">
        <f t="shared" si="255"/>
        <v>1</v>
      </c>
      <c r="CP68" s="60">
        <f t="shared" ref="CP68:DC68" si="276">IFERROR(CP9/$B54,0)</f>
        <v>4.0000008000001598E-10</v>
      </c>
      <c r="CQ68" s="60">
        <f t="shared" si="276"/>
        <v>0</v>
      </c>
      <c r="CR68" s="60">
        <f t="shared" si="276"/>
        <v>4.380000876000176E-6</v>
      </c>
      <c r="CS68" s="60">
        <f t="shared" si="276"/>
        <v>1.8087757682193371E-11</v>
      </c>
      <c r="CT68" s="60">
        <f>IFERROR(CT9/$B54,0)</f>
        <v>1.4545457454546036E-8</v>
      </c>
      <c r="CU68" s="60">
        <f>IFERROR(CU9/$B54,0)</f>
        <v>2.9090914909092069E-9</v>
      </c>
      <c r="CV68" s="60">
        <f>IFERROR(CV9/$B54,0)</f>
        <v>2.9963642356364829E-9</v>
      </c>
      <c r="CW68" s="60">
        <f>IFERROR(CW9/$B54,0)</f>
        <v>2.9090914909092069E-9</v>
      </c>
      <c r="CX68" s="60">
        <f t="shared" si="276"/>
        <v>2.9090914909092069E-9</v>
      </c>
      <c r="CY68" s="60">
        <f t="shared" si="276"/>
        <v>2.9090914909092069E-9</v>
      </c>
      <c r="CZ68" s="60">
        <f t="shared" si="276"/>
        <v>2.9090914909092069E-9</v>
      </c>
      <c r="DA68" s="60">
        <f>IFERROR(DA9/$B54,0)</f>
        <v>2.9963642356364829E-9</v>
      </c>
      <c r="DB68" s="60">
        <f t="shared" si="276"/>
        <v>2.9090914909092069E-9</v>
      </c>
      <c r="DC68" s="60">
        <f t="shared" si="276"/>
        <v>2.9963642356364829E-9</v>
      </c>
      <c r="DD68" s="15"/>
      <c r="DE68" s="15"/>
      <c r="DF68" s="15"/>
      <c r="DG68" s="15"/>
      <c r="DH68" s="15"/>
      <c r="DI68" s="15"/>
      <c r="DJ68" s="15"/>
      <c r="DK68" s="15"/>
      <c r="DL68" s="15"/>
      <c r="DM68" s="15"/>
      <c r="DN68" s="15"/>
      <c r="DO68" s="15"/>
      <c r="DP68" s="15"/>
      <c r="DQ68" s="15"/>
      <c r="DR68" s="60">
        <f>IFERROR(DR9/$B54,0)</f>
        <v>1.6415319824342636E-11</v>
      </c>
      <c r="DS68" s="71">
        <f>IFERROR(up_RadSpec!$H$9*DS9,".")*$B$68</f>
        <v>12499.997499999999</v>
      </c>
      <c r="DT68" s="71">
        <f>IFERROR(up_RadSpec!$G$9*DT9,".")*$B$68</f>
        <v>2278.6453776041662</v>
      </c>
      <c r="DU68" s="71">
        <f>IFERROR(up_RadSpec!$L$9*DU9,".")*$B$68</f>
        <v>1.1415522831050227</v>
      </c>
      <c r="DV68" s="71">
        <f>up_b2w!BZ68</f>
        <v>276430.17381435237</v>
      </c>
      <c r="DW68" s="71">
        <f>IFERROR(up_RadSpec!$E$9*DW9,".")*$B$68</f>
        <v>343.74993124999997</v>
      </c>
      <c r="DX68" s="71">
        <f>IFERROR(up_RadSpec!$E$9*DX9,".")*$B$68</f>
        <v>1718.74965625</v>
      </c>
      <c r="DY68" s="71">
        <f>IFERROR(up_RadSpec!$E$9*DY9,".")*$B$68</f>
        <v>1668.6889866504853</v>
      </c>
      <c r="DZ68" s="71">
        <f>IFERROR(up_RadSpec!$E$9*DZ9,".")*$B$68</f>
        <v>1718.74965625</v>
      </c>
      <c r="EA68" s="71">
        <f>IFERROR(up_RadSpec!$E$9*EA9,".")*$B$68</f>
        <v>1718.74965625</v>
      </c>
      <c r="EB68" s="71">
        <f>IFERROR(up_RadSpec!$E$9*EB9,".")*$B$68</f>
        <v>1718.74965625</v>
      </c>
      <c r="EC68" s="71">
        <f>IFERROR(up_RadSpec!$E$9*EC9,".")*$B$68</f>
        <v>1718.74965625</v>
      </c>
      <c r="ED68" s="71">
        <f>IFERROR(up_RadSpec!$E$9*ED9,".")*$B$68</f>
        <v>1668.6889866504853</v>
      </c>
      <c r="EE68" s="71">
        <f>IFERROR(up_RadSpec!$E$9*EE9,".")*$B$68</f>
        <v>1718.74965625</v>
      </c>
      <c r="EF68" s="71">
        <f>IFERROR(up_RadSpec!$E$9*EF9,".")*$B$68</f>
        <v>1668.6889866504853</v>
      </c>
      <c r="EG68" s="49">
        <f t="shared" si="257"/>
        <v>1</v>
      </c>
      <c r="EH68" s="49">
        <f t="shared" si="258"/>
        <v>1</v>
      </c>
      <c r="EI68" s="49">
        <f t="shared" si="259"/>
        <v>0.68067704273200869</v>
      </c>
      <c r="EJ68" s="49">
        <f t="shared" si="260"/>
        <v>1</v>
      </c>
      <c r="EK68" s="49">
        <f t="shared" si="261"/>
        <v>1</v>
      </c>
      <c r="EL68" s="49">
        <f t="shared" si="261"/>
        <v>1</v>
      </c>
      <c r="EM68" s="49">
        <f t="shared" si="261"/>
        <v>1</v>
      </c>
      <c r="EN68" s="49">
        <f t="shared" si="261"/>
        <v>1</v>
      </c>
      <c r="EO68" s="49">
        <f t="shared" si="261"/>
        <v>1</v>
      </c>
      <c r="EP68" s="49">
        <f t="shared" si="261"/>
        <v>1</v>
      </c>
      <c r="EQ68" s="49">
        <f t="shared" si="261"/>
        <v>1</v>
      </c>
      <c r="ER68" s="49">
        <f t="shared" si="261"/>
        <v>1</v>
      </c>
      <c r="ES68" s="49">
        <f t="shared" si="261"/>
        <v>1</v>
      </c>
      <c r="ET68" s="49">
        <f t="shared" si="261"/>
        <v>1</v>
      </c>
      <c r="EU68" s="49">
        <f t="shared" si="262"/>
        <v>1</v>
      </c>
      <c r="EV68" s="60">
        <f>IFERROR(EV9/$B54,0)</f>
        <v>1.0971430765714725E-9</v>
      </c>
      <c r="EW68" s="60">
        <f>IFERROR(EW9/$B54,0)</f>
        <v>1.7520003504000703E-6</v>
      </c>
      <c r="EX68" s="60">
        <f>IFERROR(EX9/$B54,0)</f>
        <v>1.0964564502229964E-9</v>
      </c>
      <c r="EY68" s="71">
        <f>IFERROR(up_RadSpec!$G$9*EY9,".")*$B$68</f>
        <v>4557.2907552083325</v>
      </c>
      <c r="EZ68" s="71">
        <f>IFERROR(up_RadSpec!$J$9*EZ9,".")*$B$68</f>
        <v>2.8538807077625568</v>
      </c>
      <c r="FA68" s="49">
        <f t="shared" si="263"/>
        <v>1</v>
      </c>
      <c r="FB68" s="49">
        <f t="shared" si="263"/>
        <v>0.94237972102845324</v>
      </c>
      <c r="FC68" s="49">
        <f t="shared" si="264"/>
        <v>1</v>
      </c>
    </row>
    <row r="69" spans="1:159" x14ac:dyDescent="0.25">
      <c r="A69" s="83" t="s">
        <v>1093</v>
      </c>
      <c r="B69" s="42">
        <v>1.9999999999999999E-7</v>
      </c>
      <c r="C69" s="60">
        <f t="shared" ref="C69:M69" si="277">IFERROR(C24/$B55,0)</f>
        <v>9.0909090909090904E-5</v>
      </c>
      <c r="D69" s="60">
        <f t="shared" si="277"/>
        <v>3.6363636363636361E-4</v>
      </c>
      <c r="E69" s="60">
        <f t="shared" si="277"/>
        <v>3.6363636363636361E-4</v>
      </c>
      <c r="F69" s="60">
        <f t="shared" si="277"/>
        <v>3.6363636363636361E-4</v>
      </c>
      <c r="G69" s="60">
        <f t="shared" si="277"/>
        <v>3.6363636363636361E-4</v>
      </c>
      <c r="H69" s="60">
        <f t="shared" si="277"/>
        <v>3.6363636363636361E-4</v>
      </c>
      <c r="I69" s="60">
        <f t="shared" si="277"/>
        <v>3.6363636363636361E-4</v>
      </c>
      <c r="J69" s="60">
        <f t="shared" si="277"/>
        <v>3.6363636363636361E-4</v>
      </c>
      <c r="K69" s="60">
        <f t="shared" si="277"/>
        <v>3.6363636363636361E-4</v>
      </c>
      <c r="L69" s="60">
        <f t="shared" si="277"/>
        <v>3.6363636363636361E-4</v>
      </c>
      <c r="M69" s="60">
        <f t="shared" si="277"/>
        <v>3.6363636363636361E-4</v>
      </c>
      <c r="N69" s="71">
        <f>up_dir!BA69</f>
        <v>1375000000000</v>
      </c>
      <c r="O69" s="71">
        <f>IFERROR(up_RadSpec!$E$24*O24,".")*$B$69</f>
        <v>1.375E-2</v>
      </c>
      <c r="P69" s="71">
        <f>IFERROR(up_RadSpec!$E$24*P24,".")*$B$69</f>
        <v>1.375E-2</v>
      </c>
      <c r="Q69" s="71">
        <f>IFERROR(up_RadSpec!$E$24*Q24,".")*$B$69</f>
        <v>1.375E-2</v>
      </c>
      <c r="R69" s="71">
        <f>IFERROR(up_RadSpec!$E$24*R24,".")*$B$69</f>
        <v>1.375E-2</v>
      </c>
      <c r="S69" s="71">
        <f>IFERROR(up_RadSpec!$E$24*S24,".")*$B$69</f>
        <v>1.375E-2</v>
      </c>
      <c r="T69" s="71">
        <f>IFERROR(up_RadSpec!$E$24*T24,".")*$B$69</f>
        <v>1.375E-2</v>
      </c>
      <c r="U69" s="71">
        <f>IFERROR(up_RadSpec!$E$24*U24,".")*$B$69</f>
        <v>1.375E-2</v>
      </c>
      <c r="V69" s="71">
        <f>IFERROR(up_RadSpec!$E$24*V24,".")*$B$69</f>
        <v>1.375E-2</v>
      </c>
      <c r="W69" s="71">
        <f>IFERROR(up_RadSpec!$E$24*W24,".")*$B$69</f>
        <v>1.375E-2</v>
      </c>
      <c r="X69" s="71">
        <f>IFERROR(up_RadSpec!$E$24*X24,".")*$B$69</f>
        <v>1.375E-2</v>
      </c>
      <c r="Y69" s="49">
        <f t="shared" si="239"/>
        <v>1</v>
      </c>
      <c r="Z69" s="49">
        <f t="shared" si="239"/>
        <v>1.3655900532955956E-2</v>
      </c>
      <c r="AA69" s="49">
        <f t="shared" si="239"/>
        <v>1.3655900532955956E-2</v>
      </c>
      <c r="AB69" s="49">
        <f t="shared" si="239"/>
        <v>1.3655900532955956E-2</v>
      </c>
      <c r="AC69" s="49">
        <f t="shared" si="239"/>
        <v>1.3655900532955956E-2</v>
      </c>
      <c r="AD69" s="49">
        <f t="shared" si="239"/>
        <v>1.3655900532955956E-2</v>
      </c>
      <c r="AE69" s="49">
        <f t="shared" si="239"/>
        <v>1.3655900532955956E-2</v>
      </c>
      <c r="AF69" s="49">
        <f t="shared" si="239"/>
        <v>1.3655900532955956E-2</v>
      </c>
      <c r="AG69" s="49">
        <f t="shared" si="239"/>
        <v>1.3655900532955956E-2</v>
      </c>
      <c r="AH69" s="49">
        <f t="shared" si="239"/>
        <v>1.3655900532955956E-2</v>
      </c>
      <c r="AI69" s="49">
        <f t="shared" si="239"/>
        <v>1.3655900532955956E-2</v>
      </c>
      <c r="AJ69" s="60">
        <f t="shared" ref="AJ69:AW69" si="278">IFERROR(AJ24/$B55,0)</f>
        <v>0.18181818181818182</v>
      </c>
      <c r="AK69" s="60">
        <f t="shared" si="278"/>
        <v>1699.4954814932037</v>
      </c>
      <c r="AL69" s="60">
        <f t="shared" si="278"/>
        <v>105.15853854820543</v>
      </c>
      <c r="AM69" s="60">
        <f t="shared" si="278"/>
        <v>1.8132859461272745E-5</v>
      </c>
      <c r="AN69" s="60">
        <f>IFERROR(AN24/$B55,0)</f>
        <v>3.6363636363636361E-4</v>
      </c>
      <c r="AO69" s="60">
        <f>IFERROR(AO24/$B55,0)</f>
        <v>1.0207336523125997E-7</v>
      </c>
      <c r="AP69" s="60">
        <f>IFERROR(AP24/$B55,0)</f>
        <v>1.0513556618819776E-7</v>
      </c>
      <c r="AQ69" s="60">
        <f>IFERROR(AQ24/$B55,0)</f>
        <v>1.0207336523125997E-7</v>
      </c>
      <c r="AR69" s="60">
        <f t="shared" si="278"/>
        <v>1.0207336523125997E-7</v>
      </c>
      <c r="AS69" s="60">
        <f t="shared" si="278"/>
        <v>1.0207336523125997E-7</v>
      </c>
      <c r="AT69" s="60">
        <f t="shared" si="278"/>
        <v>1.0207336523125997E-7</v>
      </c>
      <c r="AU69" s="60">
        <f>IFERROR(AU24/$B55,0)</f>
        <v>1.0513556618819776E-7</v>
      </c>
      <c r="AV69" s="60">
        <f t="shared" si="278"/>
        <v>1.0207336523125997E-7</v>
      </c>
      <c r="AW69" s="60">
        <f t="shared" si="278"/>
        <v>1.0513556618819776E-7</v>
      </c>
      <c r="AX69" s="42"/>
      <c r="AY69" s="42"/>
      <c r="AZ69" s="42"/>
      <c r="BA69" s="42"/>
      <c r="BB69" s="42"/>
      <c r="BC69" s="42"/>
      <c r="BD69" s="42"/>
      <c r="BE69" s="42"/>
      <c r="BF69" s="42"/>
      <c r="BG69" s="42"/>
      <c r="BH69" s="42"/>
      <c r="BI69" s="42"/>
      <c r="BJ69" s="42"/>
      <c r="BK69" s="42"/>
      <c r="BL69" s="60">
        <f>IFERROR(BL24/$B55,0)</f>
        <v>1.1445086179277281E-8</v>
      </c>
      <c r="BM69" s="71">
        <f>IFERROR(up_RadSpec!$D$24*BM24,".")*$B$69</f>
        <v>2.7499999999999998E-5</v>
      </c>
      <c r="BN69" s="71">
        <f>IFERROR(up_RadSpec!$G$24*BN24,".")*$B$69</f>
        <v>2.9420495991003874E-9</v>
      </c>
      <c r="BO69" s="71">
        <f>IFERROR(up_RadSpec!$F$24*BO24,".")*$B$69</f>
        <v>4.7547256447539576E-8</v>
      </c>
      <c r="BP69" s="71">
        <f>up_b2s!BZ69</f>
        <v>6893562500000</v>
      </c>
      <c r="BQ69" s="71">
        <f>IFERROR(up_RadSpec!$E$24*BQ24,".")*$B$69</f>
        <v>1.375E-2</v>
      </c>
      <c r="BR69" s="71">
        <f>IFERROR(up_RadSpec!$E$24*BR24,".")*$B$69</f>
        <v>48.984375</v>
      </c>
      <c r="BS69" s="71">
        <f>IFERROR(up_RadSpec!$E$24*BS24,".")*$B$69</f>
        <v>47.557645631067956</v>
      </c>
      <c r="BT69" s="71">
        <f>IFERROR(up_RadSpec!$E$24*BT24,".")*$B$69</f>
        <v>48.984375</v>
      </c>
      <c r="BU69" s="71">
        <f>IFERROR(up_RadSpec!$E$24*BU24,".")*$B$69</f>
        <v>48.984375</v>
      </c>
      <c r="BV69" s="71">
        <f>IFERROR(up_RadSpec!$E$24*BV24,".")*$B$69</f>
        <v>48.984375</v>
      </c>
      <c r="BW69" s="71">
        <f>IFERROR(up_RadSpec!$E$24*BW24,".")*$B$69</f>
        <v>48.984375</v>
      </c>
      <c r="BX69" s="71">
        <f>IFERROR(up_RadSpec!$E$24*BX24,".")*$B$69</f>
        <v>47.557645631067956</v>
      </c>
      <c r="BY69" s="71">
        <f>IFERROR(up_RadSpec!$E$24*BY24,".")*$B$69</f>
        <v>48.984375</v>
      </c>
      <c r="BZ69" s="71">
        <f>IFERROR(up_RadSpec!$E$24*BZ24,".")*$B$69</f>
        <v>47.557645631067956</v>
      </c>
      <c r="CA69" s="49">
        <f t="shared" si="241"/>
        <v>2.7499999999999998E-5</v>
      </c>
      <c r="CB69" s="49">
        <f t="shared" si="242"/>
        <v>2.9420495991003874E-9</v>
      </c>
      <c r="CC69" s="49">
        <f t="shared" si="243"/>
        <v>4.7547256447539576E-8</v>
      </c>
      <c r="CD69" s="49">
        <f t="shared" si="244"/>
        <v>1</v>
      </c>
      <c r="CE69" s="49">
        <f t="shared" si="245"/>
        <v>1.3655900532955956E-2</v>
      </c>
      <c r="CF69" s="49">
        <f t="shared" si="246"/>
        <v>1</v>
      </c>
      <c r="CG69" s="49">
        <f t="shared" si="247"/>
        <v>1</v>
      </c>
      <c r="CH69" s="49">
        <f t="shared" si="248"/>
        <v>1</v>
      </c>
      <c r="CI69" s="49">
        <f t="shared" si="249"/>
        <v>1</v>
      </c>
      <c r="CJ69" s="49">
        <f t="shared" si="250"/>
        <v>1</v>
      </c>
      <c r="CK69" s="49">
        <f t="shared" si="251"/>
        <v>1</v>
      </c>
      <c r="CL69" s="49">
        <f t="shared" si="252"/>
        <v>1</v>
      </c>
      <c r="CM69" s="49">
        <f t="shared" si="253"/>
        <v>1</v>
      </c>
      <c r="CN69" s="49">
        <f t="shared" si="254"/>
        <v>1</v>
      </c>
      <c r="CO69" s="49">
        <f t="shared" si="255"/>
        <v>1</v>
      </c>
      <c r="CP69" s="60">
        <f t="shared" ref="CP69:DC69" si="279">IFERROR(CP24/$B55,0)</f>
        <v>2E-3</v>
      </c>
      <c r="CQ69" s="60">
        <f t="shared" si="279"/>
        <v>0</v>
      </c>
      <c r="CR69" s="60">
        <f t="shared" si="279"/>
        <v>21.900000000000002</v>
      </c>
      <c r="CS69" s="60">
        <f t="shared" si="279"/>
        <v>9.0438770323209169E-5</v>
      </c>
      <c r="CT69" s="60">
        <f>IFERROR(CT24/$B55,0)</f>
        <v>7.2727272727272724E-2</v>
      </c>
      <c r="CU69" s="60">
        <f>IFERROR(CU24/$B55,0)</f>
        <v>1.4545454545454544E-2</v>
      </c>
      <c r="CV69" s="60">
        <f>IFERROR(CV24/$B55,0)</f>
        <v>1.4981818181818179E-2</v>
      </c>
      <c r="CW69" s="60">
        <f>IFERROR(CW24/$B55,0)</f>
        <v>1.4545454545454544E-2</v>
      </c>
      <c r="CX69" s="60">
        <f t="shared" si="279"/>
        <v>1.4545454545454544E-2</v>
      </c>
      <c r="CY69" s="60">
        <f t="shared" si="279"/>
        <v>1.4545454545454544E-2</v>
      </c>
      <c r="CZ69" s="60">
        <f t="shared" si="279"/>
        <v>1.4545454545454544E-2</v>
      </c>
      <c r="DA69" s="60">
        <f>IFERROR(DA24/$B55,0)</f>
        <v>1.4981818181818179E-2</v>
      </c>
      <c r="DB69" s="60">
        <f t="shared" si="279"/>
        <v>1.4545454545454544E-2</v>
      </c>
      <c r="DC69" s="60">
        <f t="shared" si="279"/>
        <v>1.4981818181818179E-2</v>
      </c>
      <c r="DD69" s="15"/>
      <c r="DE69" s="15"/>
      <c r="DF69" s="15"/>
      <c r="DG69" s="15"/>
      <c r="DH69" s="15"/>
      <c r="DI69" s="15"/>
      <c r="DJ69" s="15"/>
      <c r="DK69" s="15"/>
      <c r="DL69" s="15"/>
      <c r="DM69" s="15"/>
      <c r="DN69" s="15"/>
      <c r="DO69" s="15"/>
      <c r="DP69" s="15"/>
      <c r="DQ69" s="15"/>
      <c r="DR69" s="60">
        <f>IFERROR(DR24/$B55,0)</f>
        <v>8.2076582706393369E-5</v>
      </c>
      <c r="DS69" s="71">
        <f>IFERROR(up_RadSpec!$H$24*DS24,".")*$B$69</f>
        <v>2.5000000000000001E-3</v>
      </c>
      <c r="DT69" s="71">
        <f>IFERROR(up_RadSpec!$G$24*DT24,".")*$B$69</f>
        <v>4.5572916666666657E-4</v>
      </c>
      <c r="DU69" s="71">
        <f>IFERROR(up_RadSpec!$L$24*DU24,".")*$B$69</f>
        <v>2.2831050228310497E-7</v>
      </c>
      <c r="DV69" s="71">
        <f>up_b2w!BZ69</f>
        <v>1382150592641.5879</v>
      </c>
      <c r="DW69" s="71">
        <f>IFERROR(up_RadSpec!$E$24*DW24,".")*$B$69</f>
        <v>6.8749999999999991E-5</v>
      </c>
      <c r="DX69" s="71">
        <f>IFERROR(up_RadSpec!$E$24*DX24,".")*$B$69</f>
        <v>3.4374999999999998E-4</v>
      </c>
      <c r="DY69" s="71">
        <f>IFERROR(up_RadSpec!$E$24*DY24,".")*$B$69</f>
        <v>3.3373786407766984E-4</v>
      </c>
      <c r="DZ69" s="71">
        <f>IFERROR(up_RadSpec!$E$24*DZ24,".")*$B$69</f>
        <v>3.4374999999999998E-4</v>
      </c>
      <c r="EA69" s="71">
        <f>IFERROR(up_RadSpec!$E$24*EA24,".")*$B$69</f>
        <v>3.4374999999999998E-4</v>
      </c>
      <c r="EB69" s="71">
        <f>IFERROR(up_RadSpec!$E$24*EB24,".")*$B$69</f>
        <v>3.4374999999999998E-4</v>
      </c>
      <c r="EC69" s="71">
        <f>IFERROR(up_RadSpec!$E$24*EC24,".")*$B$69</f>
        <v>3.4374999999999998E-4</v>
      </c>
      <c r="ED69" s="71">
        <f>IFERROR(up_RadSpec!$E$24*ED24,".")*$B$69</f>
        <v>3.3373786407766984E-4</v>
      </c>
      <c r="EE69" s="71">
        <f>IFERROR(up_RadSpec!$E$24*EE24,".")*$B$69</f>
        <v>3.4374999999999998E-4</v>
      </c>
      <c r="EF69" s="71">
        <f>IFERROR(up_RadSpec!$E$24*EF24,".")*$B$69</f>
        <v>3.3373786407766984E-4</v>
      </c>
      <c r="EG69" s="49">
        <f t="shared" si="257"/>
        <v>2.5000000000000001E-3</v>
      </c>
      <c r="EH69" s="49">
        <f t="shared" si="258"/>
        <v>4.5572916666666657E-4</v>
      </c>
      <c r="EI69" s="49">
        <f t="shared" si="259"/>
        <v>2.2831050228310497E-7</v>
      </c>
      <c r="EJ69" s="49">
        <f t="shared" si="260"/>
        <v>1</v>
      </c>
      <c r="EK69" s="49">
        <f t="shared" si="261"/>
        <v>6.8749999999999991E-5</v>
      </c>
      <c r="EL69" s="49">
        <f t="shared" si="261"/>
        <v>3.4374999999999998E-4</v>
      </c>
      <c r="EM69" s="49">
        <f t="shared" si="261"/>
        <v>3.3373786407766984E-4</v>
      </c>
      <c r="EN69" s="49">
        <f t="shared" si="261"/>
        <v>3.4374999999999998E-4</v>
      </c>
      <c r="EO69" s="49">
        <f t="shared" si="261"/>
        <v>3.4374999999999998E-4</v>
      </c>
      <c r="EP69" s="49">
        <f t="shared" si="261"/>
        <v>3.4374999999999998E-4</v>
      </c>
      <c r="EQ69" s="49">
        <f t="shared" si="261"/>
        <v>3.4374999999999998E-4</v>
      </c>
      <c r="ER69" s="49">
        <f t="shared" si="261"/>
        <v>3.3373786407766984E-4</v>
      </c>
      <c r="ES69" s="49">
        <f t="shared" si="261"/>
        <v>3.4374999999999998E-4</v>
      </c>
      <c r="ET69" s="49">
        <f t="shared" si="261"/>
        <v>3.3373786407766984E-4</v>
      </c>
      <c r="EU69" s="49">
        <f t="shared" si="262"/>
        <v>1</v>
      </c>
      <c r="EV69" s="60">
        <f>IFERROR(EV24/$B55,0)</f>
        <v>5.4857142857142865E-3</v>
      </c>
      <c r="EW69" s="60">
        <f>IFERROR(EW24/$B55,0)</f>
        <v>8.7600000000000016</v>
      </c>
      <c r="EX69" s="60">
        <f>IFERROR(EX24/$B55,0)</f>
        <v>5.4822811546585319E-3</v>
      </c>
      <c r="EY69" s="71">
        <f>IFERROR(up_RadSpec!$G$24*EY24,".")*$B$69</f>
        <v>9.1145833333333313E-4</v>
      </c>
      <c r="EZ69" s="71">
        <f>IFERROR(up_RadSpec!$J$24*EZ24,".")*$B$69</f>
        <v>5.7077625570776247E-7</v>
      </c>
      <c r="FA69" s="49">
        <f t="shared" si="263"/>
        <v>9.1145833333333313E-4</v>
      </c>
      <c r="FB69" s="49">
        <f t="shared" si="263"/>
        <v>5.7077625570776247E-7</v>
      </c>
      <c r="FC69" s="49">
        <f t="shared" si="264"/>
        <v>9.1202910958904093E-4</v>
      </c>
    </row>
    <row r="70" spans="1:159" x14ac:dyDescent="0.25">
      <c r="A70" s="83" t="s">
        <v>1094</v>
      </c>
      <c r="B70" s="42">
        <v>0.99979000004200003</v>
      </c>
      <c r="C70" s="60">
        <f t="shared" ref="C70:M70" si="280">IFERROR(C20/$B56,0)</f>
        <v>1.8185637164859005E-11</v>
      </c>
      <c r="D70" s="60">
        <f t="shared" si="280"/>
        <v>7.2742548659436019E-11</v>
      </c>
      <c r="E70" s="60">
        <f t="shared" si="280"/>
        <v>7.2742548659436019E-11</v>
      </c>
      <c r="F70" s="60">
        <f t="shared" si="280"/>
        <v>7.2742548659436019E-11</v>
      </c>
      <c r="G70" s="60">
        <f t="shared" si="280"/>
        <v>7.2742548659436019E-11</v>
      </c>
      <c r="H70" s="60">
        <f t="shared" si="280"/>
        <v>7.2742548659436019E-11</v>
      </c>
      <c r="I70" s="60">
        <f t="shared" si="280"/>
        <v>7.2742548659436019E-11</v>
      </c>
      <c r="J70" s="60">
        <f t="shared" si="280"/>
        <v>7.2742548659436019E-11</v>
      </c>
      <c r="K70" s="60">
        <f t="shared" si="280"/>
        <v>7.2742548659436019E-11</v>
      </c>
      <c r="L70" s="60">
        <f t="shared" si="280"/>
        <v>7.2742548659436019E-11</v>
      </c>
      <c r="M70" s="60">
        <f t="shared" si="280"/>
        <v>7.2742548659436019E-11</v>
      </c>
      <c r="N70" s="71">
        <f>up_dir!BA70</f>
        <v>275057.76211849245</v>
      </c>
      <c r="O70" s="71">
        <f>IFERROR(up_RadSpec!$E$20*O20,".")*$B$70</f>
        <v>68735.562502887507</v>
      </c>
      <c r="P70" s="71">
        <f>IFERROR(up_RadSpec!$E$20*P20,".")*$B$70</f>
        <v>68735.562502887507</v>
      </c>
      <c r="Q70" s="71">
        <f>IFERROR(up_RadSpec!$E$20*Q20,".")*$B$70</f>
        <v>68735.562502887507</v>
      </c>
      <c r="R70" s="71">
        <f>IFERROR(up_RadSpec!$E$20*R20,".")*$B$70</f>
        <v>68735.562502887507</v>
      </c>
      <c r="S70" s="71">
        <f>IFERROR(up_RadSpec!$E$20*S20,".")*$B$70</f>
        <v>68735.562502887507</v>
      </c>
      <c r="T70" s="71">
        <f>IFERROR(up_RadSpec!$E$20*T20,".")*$B$70</f>
        <v>68735.562502887507</v>
      </c>
      <c r="U70" s="71">
        <f>IFERROR(up_RadSpec!$E$20*U20,".")*$B$70</f>
        <v>68735.562502887507</v>
      </c>
      <c r="V70" s="71">
        <f>IFERROR(up_RadSpec!$E$20*V20,".")*$B$70</f>
        <v>68735.562502887507</v>
      </c>
      <c r="W70" s="71">
        <f>IFERROR(up_RadSpec!$E$20*W20,".")*$B$70</f>
        <v>68735.562502887507</v>
      </c>
      <c r="X70" s="71">
        <f>IFERROR(up_RadSpec!$E$20*X20,".")*$B$70</f>
        <v>68735.562502887507</v>
      </c>
      <c r="Y70" s="49">
        <f t="shared" si="239"/>
        <v>1</v>
      </c>
      <c r="Z70" s="49">
        <f t="shared" si="239"/>
        <v>1</v>
      </c>
      <c r="AA70" s="49">
        <f t="shared" si="239"/>
        <v>1</v>
      </c>
      <c r="AB70" s="49">
        <f t="shared" si="239"/>
        <v>1</v>
      </c>
      <c r="AC70" s="49">
        <f t="shared" si="239"/>
        <v>1</v>
      </c>
      <c r="AD70" s="49">
        <f t="shared" si="239"/>
        <v>1</v>
      </c>
      <c r="AE70" s="49">
        <f t="shared" si="239"/>
        <v>1</v>
      </c>
      <c r="AF70" s="49">
        <f t="shared" si="239"/>
        <v>1</v>
      </c>
      <c r="AG70" s="49">
        <f t="shared" si="239"/>
        <v>1</v>
      </c>
      <c r="AH70" s="49">
        <f t="shared" si="239"/>
        <v>1</v>
      </c>
      <c r="AI70" s="49">
        <f t="shared" si="239"/>
        <v>1</v>
      </c>
      <c r="AJ70" s="60">
        <f t="shared" ref="AJ70:AW70" si="281">IFERROR(AJ20/$B56,0)</f>
        <v>3.6371274329718007E-8</v>
      </c>
      <c r="AK70" s="60">
        <f t="shared" si="281"/>
        <v>3.3997049008728026E-4</v>
      </c>
      <c r="AL70" s="60">
        <f t="shared" si="281"/>
        <v>1.6475690193754373E-5</v>
      </c>
      <c r="AM70" s="60">
        <f t="shared" si="281"/>
        <v>3.6273336321649558E-12</v>
      </c>
      <c r="AN70" s="60">
        <f>IFERROR(AN20/$B56,0)</f>
        <v>7.2742548659436019E-11</v>
      </c>
      <c r="AO70" s="60">
        <f>IFERROR(AO20/$B56,0)</f>
        <v>2.041896102721011E-14</v>
      </c>
      <c r="AP70" s="60">
        <f>IFERROR(AP20/$B56,0)</f>
        <v>2.1031529858026411E-14</v>
      </c>
      <c r="AQ70" s="60">
        <f>IFERROR(AQ20/$B56,0)</f>
        <v>2.041896102721011E-14</v>
      </c>
      <c r="AR70" s="60">
        <f t="shared" si="281"/>
        <v>2.041896102721011E-14</v>
      </c>
      <c r="AS70" s="60">
        <f t="shared" si="281"/>
        <v>2.041896102721011E-14</v>
      </c>
      <c r="AT70" s="60">
        <f t="shared" si="281"/>
        <v>2.041896102721011E-14</v>
      </c>
      <c r="AU70" s="60">
        <f>IFERROR(AU20/$B56,0)</f>
        <v>2.1031529858026411E-14</v>
      </c>
      <c r="AV70" s="60">
        <f t="shared" si="281"/>
        <v>2.041896102721011E-14</v>
      </c>
      <c r="AW70" s="60">
        <f t="shared" si="281"/>
        <v>2.1031529858026411E-14</v>
      </c>
      <c r="AX70" s="42"/>
      <c r="AY70" s="42"/>
      <c r="AZ70" s="42"/>
      <c r="BA70" s="42"/>
      <c r="BB70" s="42"/>
      <c r="BC70" s="42"/>
      <c r="BD70" s="42"/>
      <c r="BE70" s="42"/>
      <c r="BF70" s="42"/>
      <c r="BG70" s="42"/>
      <c r="BH70" s="42"/>
      <c r="BI70" s="42"/>
      <c r="BJ70" s="42"/>
      <c r="BK70" s="42"/>
      <c r="BL70" s="60">
        <f>IFERROR(BL20/$B56,0)</f>
        <v>2.2894980302766971E-15</v>
      </c>
      <c r="BM70" s="71">
        <f>IFERROR(up_RadSpec!$D$20*BM20,".")*$B$70</f>
        <v>137.47112500577501</v>
      </c>
      <c r="BN70" s="71">
        <f>IFERROR(up_RadSpec!$G$20*BN20,".")*$B$70</f>
        <v>1.4707158844040712E-2</v>
      </c>
      <c r="BO70" s="71">
        <f>IFERROR(up_RadSpec!$F$20*BO20,".")*$B$70</f>
        <v>0.30347742286968993</v>
      </c>
      <c r="BP70" s="71">
        <f>up_b2s!BZ70</f>
        <v>1379002.0903810621</v>
      </c>
      <c r="BQ70" s="71">
        <f>IFERROR(up_RadSpec!$E$20*BQ20,".")*$B$70</f>
        <v>68735.562502887507</v>
      </c>
      <c r="BR70" s="71">
        <f>IFERROR(up_RadSpec!$E$20*BR20,".")*$B$70</f>
        <v>244870441.41653672</v>
      </c>
      <c r="BS70" s="71">
        <f>IFERROR(up_RadSpec!$E$20*BS20,".")*$B$70</f>
        <v>237738292.63741428</v>
      </c>
      <c r="BT70" s="71">
        <f>IFERROR(up_RadSpec!$E$20*BT20,".")*$B$70</f>
        <v>244870441.41653672</v>
      </c>
      <c r="BU70" s="71">
        <f>IFERROR(up_RadSpec!$E$20*BU20,".")*$B$70</f>
        <v>244870441.41653672</v>
      </c>
      <c r="BV70" s="71">
        <f>IFERROR(up_RadSpec!$E$20*BV20,".")*$B$70</f>
        <v>244870441.41653672</v>
      </c>
      <c r="BW70" s="71">
        <f>IFERROR(up_RadSpec!$E$20*BW20,".")*$B$70</f>
        <v>244870441.41653672</v>
      </c>
      <c r="BX70" s="71">
        <f>IFERROR(up_RadSpec!$E$20*BX20,".")*$B$70</f>
        <v>237738292.63741428</v>
      </c>
      <c r="BY70" s="71">
        <f>IFERROR(up_RadSpec!$E$20*BY20,".")*$B$70</f>
        <v>244870441.41653672</v>
      </c>
      <c r="BZ70" s="71">
        <f>IFERROR(up_RadSpec!$E$20*BZ20,".")*$B$70</f>
        <v>237738292.63741428</v>
      </c>
      <c r="CA70" s="49">
        <f t="shared" si="241"/>
        <v>1</v>
      </c>
      <c r="CB70" s="49">
        <f t="shared" si="242"/>
        <v>1.4599536834069782E-2</v>
      </c>
      <c r="CC70" s="49">
        <f t="shared" si="243"/>
        <v>0.26175344356764629</v>
      </c>
      <c r="CD70" s="49">
        <f t="shared" si="244"/>
        <v>1</v>
      </c>
      <c r="CE70" s="49">
        <f t="shared" si="245"/>
        <v>1</v>
      </c>
      <c r="CF70" s="49">
        <f t="shared" si="246"/>
        <v>1</v>
      </c>
      <c r="CG70" s="49">
        <f t="shared" si="247"/>
        <v>1</v>
      </c>
      <c r="CH70" s="49">
        <f t="shared" si="248"/>
        <v>1</v>
      </c>
      <c r="CI70" s="49">
        <f t="shared" si="249"/>
        <v>1</v>
      </c>
      <c r="CJ70" s="49">
        <f t="shared" si="250"/>
        <v>1</v>
      </c>
      <c r="CK70" s="49">
        <f t="shared" si="251"/>
        <v>1</v>
      </c>
      <c r="CL70" s="49">
        <f t="shared" si="252"/>
        <v>1</v>
      </c>
      <c r="CM70" s="49">
        <f t="shared" si="253"/>
        <v>1</v>
      </c>
      <c r="CN70" s="49">
        <f t="shared" si="254"/>
        <v>1</v>
      </c>
      <c r="CO70" s="49">
        <f t="shared" si="255"/>
        <v>1</v>
      </c>
      <c r="CP70" s="60">
        <f t="shared" ref="CP70:DC70" si="282">IFERROR(CP20/$B56,0)</f>
        <v>4.0008401762689807E-10</v>
      </c>
      <c r="CQ70" s="60">
        <f t="shared" si="282"/>
        <v>0</v>
      </c>
      <c r="CR70" s="60">
        <f t="shared" si="282"/>
        <v>4.3809199930145349E-6</v>
      </c>
      <c r="CS70" s="60">
        <f t="shared" si="282"/>
        <v>1.8091553290072903E-11</v>
      </c>
      <c r="CT70" s="60">
        <f>IFERROR(CT20/$B56,0)</f>
        <v>1.4548509731887203E-8</v>
      </c>
      <c r="CU70" s="60">
        <f>IFERROR(CU20/$B56,0)</f>
        <v>2.9097019463774405E-9</v>
      </c>
      <c r="CV70" s="60">
        <f>IFERROR(CV20/$B56,0)</f>
        <v>2.9969930047687634E-9</v>
      </c>
      <c r="CW70" s="60">
        <f>IFERROR(CW20/$B56,0)</f>
        <v>2.9097019463774405E-9</v>
      </c>
      <c r="CX70" s="60">
        <f t="shared" si="282"/>
        <v>2.9097019463774405E-9</v>
      </c>
      <c r="CY70" s="60">
        <f t="shared" si="282"/>
        <v>2.9097019463774405E-9</v>
      </c>
      <c r="CZ70" s="60">
        <f t="shared" si="282"/>
        <v>2.9097019463774405E-9</v>
      </c>
      <c r="DA70" s="60">
        <f>IFERROR(DA20/$B56,0)</f>
        <v>2.9969930047687634E-9</v>
      </c>
      <c r="DB70" s="60">
        <f t="shared" si="282"/>
        <v>2.9097019463774405E-9</v>
      </c>
      <c r="DC70" s="60">
        <f t="shared" si="282"/>
        <v>2.9969930047687634E-9</v>
      </c>
      <c r="DD70" s="15"/>
      <c r="DE70" s="15"/>
      <c r="DF70" s="15"/>
      <c r="DG70" s="15"/>
      <c r="DH70" s="15"/>
      <c r="DI70" s="15"/>
      <c r="DJ70" s="15"/>
      <c r="DK70" s="15"/>
      <c r="DL70" s="15"/>
      <c r="DM70" s="15"/>
      <c r="DN70" s="15"/>
      <c r="DO70" s="15"/>
      <c r="DP70" s="15"/>
      <c r="DQ70" s="15"/>
      <c r="DR70" s="60">
        <f>IFERROR(DR20/$B56,0)</f>
        <v>1.6418764481130121E-11</v>
      </c>
      <c r="DS70" s="71">
        <f>IFERROR(up_RadSpec!$H$20*DS20,".")*$B$70</f>
        <v>12497.375000525</v>
      </c>
      <c r="DT70" s="71">
        <f>IFERROR(up_RadSpec!$G$20*DT20,".")*$B$70</f>
        <v>2278.1673178040364</v>
      </c>
      <c r="DU70" s="71">
        <f>IFERROR(up_RadSpec!$L$20*DU20,".")*$B$70</f>
        <v>1.141312785436073</v>
      </c>
      <c r="DV70" s="71">
        <f>up_b2w!BZ70</f>
        <v>276488.18103472237</v>
      </c>
      <c r="DW70" s="71">
        <f>IFERROR(up_RadSpec!$E$20*DW20,".")*$B$70</f>
        <v>343.67781251443751</v>
      </c>
      <c r="DX70" s="71">
        <f>IFERROR(up_RadSpec!$E$20*DX20,".")*$B$70</f>
        <v>1718.3890625721876</v>
      </c>
      <c r="DY70" s="71">
        <f>IFERROR(up_RadSpec!$E$20*DY20,".")*$B$70</f>
        <v>1668.3388957011528</v>
      </c>
      <c r="DZ70" s="71">
        <f>IFERROR(up_RadSpec!$E$20*DZ20,".")*$B$70</f>
        <v>1718.3890625721876</v>
      </c>
      <c r="EA70" s="71">
        <f>IFERROR(up_RadSpec!$E$20*EA20,".")*$B$70</f>
        <v>1718.3890625721876</v>
      </c>
      <c r="EB70" s="71">
        <f>IFERROR(up_RadSpec!$E$20*EB20,".")*$B$70</f>
        <v>1718.3890625721876</v>
      </c>
      <c r="EC70" s="71">
        <f>IFERROR(up_RadSpec!$E$20*EC20,".")*$B$70</f>
        <v>1718.3890625721876</v>
      </c>
      <c r="ED70" s="71">
        <f>IFERROR(up_RadSpec!$E$20*ED20,".")*$B$70</f>
        <v>1668.3388957011528</v>
      </c>
      <c r="EE70" s="71">
        <f>IFERROR(up_RadSpec!$E$20*EE20,".")*$B$70</f>
        <v>1718.3890625721876</v>
      </c>
      <c r="EF70" s="71">
        <f>IFERROR(up_RadSpec!$E$20*EF20,".")*$B$70</f>
        <v>1668.3388957011528</v>
      </c>
      <c r="EG70" s="49">
        <f t="shared" si="257"/>
        <v>1</v>
      </c>
      <c r="EH70" s="49">
        <f t="shared" si="258"/>
        <v>1</v>
      </c>
      <c r="EI70" s="49">
        <f t="shared" si="259"/>
        <v>0.68060055646932571</v>
      </c>
      <c r="EJ70" s="49">
        <f t="shared" si="260"/>
        <v>1</v>
      </c>
      <c r="EK70" s="49">
        <f t="shared" si="261"/>
        <v>1</v>
      </c>
      <c r="EL70" s="49">
        <f t="shared" si="261"/>
        <v>1</v>
      </c>
      <c r="EM70" s="49">
        <f t="shared" si="261"/>
        <v>1</v>
      </c>
      <c r="EN70" s="49">
        <f t="shared" si="261"/>
        <v>1</v>
      </c>
      <c r="EO70" s="49">
        <f t="shared" si="261"/>
        <v>1</v>
      </c>
      <c r="EP70" s="49">
        <f t="shared" si="261"/>
        <v>1</v>
      </c>
      <c r="EQ70" s="49">
        <f t="shared" si="261"/>
        <v>1</v>
      </c>
      <c r="ER70" s="49">
        <f t="shared" si="261"/>
        <v>1</v>
      </c>
      <c r="ES70" s="49">
        <f t="shared" si="261"/>
        <v>1</v>
      </c>
      <c r="ET70" s="49">
        <f t="shared" si="261"/>
        <v>1</v>
      </c>
      <c r="EU70" s="49">
        <f t="shared" si="262"/>
        <v>1</v>
      </c>
      <c r="EV70" s="60">
        <f>IFERROR(EV20/$B56,0)</f>
        <v>1.0973733054909206E-9</v>
      </c>
      <c r="EW70" s="60">
        <f>IFERROR(EW20/$B56,0)</f>
        <v>1.7523679972058138E-6</v>
      </c>
      <c r="EX70" s="60">
        <f>IFERROR(EX20/$B56,0)</f>
        <v>1.0966865350580077E-9</v>
      </c>
      <c r="EY70" s="71">
        <f>IFERROR(up_RadSpec!$G$20*EY20,".")*$B$70</f>
        <v>4556.3346356080729</v>
      </c>
      <c r="EZ70" s="71">
        <f>IFERROR(up_RadSpec!$J$20*EZ20,".")*$B$70</f>
        <v>2.8532819635901823</v>
      </c>
      <c r="FA70" s="49">
        <f t="shared" si="263"/>
        <v>1</v>
      </c>
      <c r="FB70" s="49">
        <f t="shared" si="263"/>
        <v>0.94234521089186785</v>
      </c>
      <c r="FC70" s="49">
        <f t="shared" si="264"/>
        <v>1</v>
      </c>
    </row>
    <row r="71" spans="1:159" x14ac:dyDescent="0.25">
      <c r="A71" s="83" t="s">
        <v>1095</v>
      </c>
      <c r="B71" s="42">
        <v>2.0999995799999999E-4</v>
      </c>
      <c r="C71" s="60">
        <f t="shared" ref="C71:M71" si="283">IFERROR(C29/$B57,0)</f>
        <v>8.6580103896107364E-8</v>
      </c>
      <c r="D71" s="60">
        <f t="shared" si="283"/>
        <v>3.4632041558442946E-7</v>
      </c>
      <c r="E71" s="60">
        <f t="shared" si="283"/>
        <v>3.4632041558442946E-7</v>
      </c>
      <c r="F71" s="60">
        <f t="shared" si="283"/>
        <v>3.4632041558442946E-7</v>
      </c>
      <c r="G71" s="60">
        <f t="shared" si="283"/>
        <v>3.4632041558442946E-7</v>
      </c>
      <c r="H71" s="60">
        <f t="shared" si="283"/>
        <v>3.4632041558442946E-7</v>
      </c>
      <c r="I71" s="60">
        <f t="shared" si="283"/>
        <v>3.4632041558442946E-7</v>
      </c>
      <c r="J71" s="60">
        <f t="shared" si="283"/>
        <v>3.4632041558442946E-7</v>
      </c>
      <c r="K71" s="60">
        <f t="shared" si="283"/>
        <v>3.4632041558442946E-7</v>
      </c>
      <c r="L71" s="60">
        <f t="shared" si="283"/>
        <v>3.4632041558442946E-7</v>
      </c>
      <c r="M71" s="60">
        <f t="shared" si="283"/>
        <v>3.4632041558442946E-7</v>
      </c>
      <c r="N71" s="71">
        <f>up_dir!BA71</f>
        <v>1309524071.4286239</v>
      </c>
      <c r="O71" s="71">
        <f>IFERROR(up_RadSpec!$E$29*O29,".")*$B$71</f>
        <v>14.437497112499999</v>
      </c>
      <c r="P71" s="71">
        <f>IFERROR(up_RadSpec!$E$29*P29,".")*$B$71</f>
        <v>14.437497112499999</v>
      </c>
      <c r="Q71" s="71">
        <f>IFERROR(up_RadSpec!$E$29*Q29,".")*$B$71</f>
        <v>14.437497112499999</v>
      </c>
      <c r="R71" s="71">
        <f>IFERROR(up_RadSpec!$E$29*R29,".")*$B$71</f>
        <v>14.437497112499999</v>
      </c>
      <c r="S71" s="71">
        <f>IFERROR(up_RadSpec!$E$29*S29,".")*$B$71</f>
        <v>14.437497112499999</v>
      </c>
      <c r="T71" s="71">
        <f>IFERROR(up_RadSpec!$E$29*T29,".")*$B$71</f>
        <v>14.437497112499999</v>
      </c>
      <c r="U71" s="71">
        <f>IFERROR(up_RadSpec!$E$29*U29,".")*$B$71</f>
        <v>14.437497112499999</v>
      </c>
      <c r="V71" s="71">
        <f>IFERROR(up_RadSpec!$E$29*V29,".")*$B$71</f>
        <v>14.437497112499999</v>
      </c>
      <c r="W71" s="71">
        <f>IFERROR(up_RadSpec!$E$29*W29,".")*$B$71</f>
        <v>14.437497112499999</v>
      </c>
      <c r="X71" s="71">
        <f>IFERROR(up_RadSpec!$E$29*X29,".")*$B$71</f>
        <v>14.437497112499999</v>
      </c>
      <c r="Y71" s="49">
        <f t="shared" si="239"/>
        <v>1</v>
      </c>
      <c r="Z71" s="49">
        <f t="shared" si="239"/>
        <v>0.99999946312315757</v>
      </c>
      <c r="AA71" s="49">
        <f t="shared" si="239"/>
        <v>0.99999946312315757</v>
      </c>
      <c r="AB71" s="49">
        <f t="shared" si="239"/>
        <v>0.99999946312315757</v>
      </c>
      <c r="AC71" s="49">
        <f t="shared" si="239"/>
        <v>0.99999946312315757</v>
      </c>
      <c r="AD71" s="49">
        <f t="shared" si="239"/>
        <v>0.99999946312315757</v>
      </c>
      <c r="AE71" s="49">
        <f t="shared" si="239"/>
        <v>0.99999946312315757</v>
      </c>
      <c r="AF71" s="49">
        <f t="shared" si="239"/>
        <v>0.99999946312315757</v>
      </c>
      <c r="AG71" s="49">
        <f t="shared" si="239"/>
        <v>0.99999946312315757</v>
      </c>
      <c r="AH71" s="49">
        <f t="shared" si="239"/>
        <v>0.99999946312315757</v>
      </c>
      <c r="AI71" s="49">
        <f t="shared" si="239"/>
        <v>0.99999946312315757</v>
      </c>
      <c r="AJ71" s="60">
        <f t="shared" ref="AJ71:AW71" si="284">IFERROR(AJ29/$B57,0)</f>
        <v>1.7316020779221473E-4</v>
      </c>
      <c r="AK71" s="60">
        <f t="shared" si="284"/>
        <v>1.6185674489451123</v>
      </c>
      <c r="AL71" s="60">
        <f t="shared" si="284"/>
        <v>6.1735635558160189E-2</v>
      </c>
      <c r="AM71" s="60">
        <f t="shared" si="284"/>
        <v>1.7269393416995584E-8</v>
      </c>
      <c r="AN71" s="60">
        <f>IFERROR(AN29/$B57,0)</f>
        <v>3.4632041558442946E-7</v>
      </c>
      <c r="AO71" s="60">
        <f>IFERROR(AO29/$B57,0)</f>
        <v>9.7212748234225809E-11</v>
      </c>
      <c r="AP71" s="60">
        <f>IFERROR(AP29/$B57,0)</f>
        <v>1.0012913068125257E-10</v>
      </c>
      <c r="AQ71" s="60">
        <f>IFERROR(AQ29/$B57,0)</f>
        <v>9.7212748234225809E-11</v>
      </c>
      <c r="AR71" s="60">
        <f t="shared" si="284"/>
        <v>9.7212748234225809E-11</v>
      </c>
      <c r="AS71" s="60">
        <f t="shared" si="284"/>
        <v>9.7212748234225809E-11</v>
      </c>
      <c r="AT71" s="60">
        <f t="shared" si="284"/>
        <v>9.7212748234225809E-11</v>
      </c>
      <c r="AU71" s="60">
        <f>IFERROR(AU29/$B57,0)</f>
        <v>1.0012913068125257E-10</v>
      </c>
      <c r="AV71" s="60">
        <f t="shared" si="284"/>
        <v>9.7212748234225809E-11</v>
      </c>
      <c r="AW71" s="60">
        <f t="shared" si="284"/>
        <v>1.0012913068125257E-10</v>
      </c>
      <c r="AX71" s="42"/>
      <c r="AY71" s="42"/>
      <c r="AZ71" s="42"/>
      <c r="BA71" s="42"/>
      <c r="BB71" s="42"/>
      <c r="BC71" s="42"/>
      <c r="BD71" s="42"/>
      <c r="BE71" s="42"/>
      <c r="BF71" s="42"/>
      <c r="BG71" s="42"/>
      <c r="BH71" s="42"/>
      <c r="BI71" s="42"/>
      <c r="BJ71" s="42"/>
      <c r="BK71" s="42"/>
      <c r="BL71" s="60">
        <f>IFERROR(BL29/$B57,0)</f>
        <v>1.0900084254780822E-11</v>
      </c>
      <c r="BM71" s="71">
        <f>IFERROR(up_RadSpec!$D$29*BM29,".")*$B$71</f>
        <v>2.8874994224999999E-2</v>
      </c>
      <c r="BN71" s="71">
        <f>IFERROR(up_RadSpec!$G$29*BN29,".")*$B$71</f>
        <v>3.0891514612249906E-6</v>
      </c>
      <c r="BO71" s="71">
        <f>IFERROR(up_RadSpec!$F$29*BO29,".")*$B$71</f>
        <v>8.0990500134878779E-5</v>
      </c>
      <c r="BP71" s="71">
        <f>up_b2s!BZ71</f>
        <v>6565298932.1074057</v>
      </c>
      <c r="BQ71" s="71">
        <f>IFERROR(up_RadSpec!$E$29*BQ29,".")*$B$71</f>
        <v>14.437497112499999</v>
      </c>
      <c r="BR71" s="71">
        <f>IFERROR(up_RadSpec!$E$29*BR29,".")*$B$71</f>
        <v>51433.583463281248</v>
      </c>
      <c r="BS71" s="71">
        <f>IFERROR(up_RadSpec!$E$29*BS29,".")*$B$71</f>
        <v>49935.517925515771</v>
      </c>
      <c r="BT71" s="71">
        <f>IFERROR(up_RadSpec!$E$29*BT29,".")*$B$71</f>
        <v>51433.583463281248</v>
      </c>
      <c r="BU71" s="71">
        <f>IFERROR(up_RadSpec!$E$29*BU29,".")*$B$71</f>
        <v>51433.583463281248</v>
      </c>
      <c r="BV71" s="71">
        <f>IFERROR(up_RadSpec!$E$29*BV29,".")*$B$71</f>
        <v>51433.583463281248</v>
      </c>
      <c r="BW71" s="71">
        <f>IFERROR(up_RadSpec!$E$29*BW29,".")*$B$71</f>
        <v>51433.583463281248</v>
      </c>
      <c r="BX71" s="71">
        <f>IFERROR(up_RadSpec!$E$29*BX29,".")*$B$71</f>
        <v>49935.517925515771</v>
      </c>
      <c r="BY71" s="71">
        <f>IFERROR(up_RadSpec!$E$29*BY29,".")*$B$71</f>
        <v>51433.583463281248</v>
      </c>
      <c r="BZ71" s="71">
        <f>IFERROR(up_RadSpec!$E$29*BZ29,".")*$B$71</f>
        <v>49935.517925515771</v>
      </c>
      <c r="CA71" s="49">
        <f t="shared" si="241"/>
        <v>2.8462095275198163E-2</v>
      </c>
      <c r="CB71" s="49">
        <f t="shared" si="242"/>
        <v>3.0891514612249906E-6</v>
      </c>
      <c r="CC71" s="49">
        <f t="shared" si="243"/>
        <v>8.0990500134878779E-5</v>
      </c>
      <c r="CD71" s="49">
        <f t="shared" si="244"/>
        <v>1</v>
      </c>
      <c r="CE71" s="49">
        <f t="shared" si="245"/>
        <v>0.99999946312315757</v>
      </c>
      <c r="CF71" s="49">
        <f t="shared" si="246"/>
        <v>1</v>
      </c>
      <c r="CG71" s="49">
        <f t="shared" si="247"/>
        <v>1</v>
      </c>
      <c r="CH71" s="49">
        <f t="shared" si="248"/>
        <v>1</v>
      </c>
      <c r="CI71" s="49">
        <f t="shared" si="249"/>
        <v>1</v>
      </c>
      <c r="CJ71" s="49">
        <f t="shared" si="250"/>
        <v>1</v>
      </c>
      <c r="CK71" s="49">
        <f t="shared" si="251"/>
        <v>1</v>
      </c>
      <c r="CL71" s="49">
        <f t="shared" si="252"/>
        <v>1</v>
      </c>
      <c r="CM71" s="49">
        <f t="shared" si="253"/>
        <v>1</v>
      </c>
      <c r="CN71" s="49">
        <f t="shared" si="254"/>
        <v>1</v>
      </c>
      <c r="CO71" s="49">
        <f t="shared" si="255"/>
        <v>1</v>
      </c>
      <c r="CP71" s="60">
        <f t="shared" ref="CP71:DC71" si="285">IFERROR(CP29/$B57,0)</f>
        <v>1.9047622857143618E-6</v>
      </c>
      <c r="CQ71" s="60">
        <f t="shared" si="285"/>
        <v>0</v>
      </c>
      <c r="CR71" s="60">
        <f t="shared" si="285"/>
        <v>2.0857147028572266E-2</v>
      </c>
      <c r="CS71" s="60">
        <f t="shared" si="285"/>
        <v>8.6132179439016046E-8</v>
      </c>
      <c r="CT71" s="60">
        <f>IFERROR(CT29/$B57,0)</f>
        <v>6.9264083116885885E-5</v>
      </c>
      <c r="CU71" s="60">
        <f>IFERROR(CU29/$B57,0)</f>
        <v>1.3852816623377177E-5</v>
      </c>
      <c r="CV71" s="60">
        <f>IFERROR(CV29/$B57,0)</f>
        <v>1.4268401122078491E-5</v>
      </c>
      <c r="CW71" s="60">
        <f>IFERROR(CW29/$B57,0)</f>
        <v>1.3852816623377177E-5</v>
      </c>
      <c r="CX71" s="60">
        <f t="shared" si="285"/>
        <v>1.3852816623377177E-5</v>
      </c>
      <c r="CY71" s="60">
        <f t="shared" si="285"/>
        <v>1.3852816623377177E-5</v>
      </c>
      <c r="CZ71" s="60">
        <f t="shared" si="285"/>
        <v>1.3852816623377177E-5</v>
      </c>
      <c r="DA71" s="60">
        <f>IFERROR(DA29/$B57,0)</f>
        <v>1.4268401122078491E-5</v>
      </c>
      <c r="DB71" s="60">
        <f t="shared" si="285"/>
        <v>1.3852816623377177E-5</v>
      </c>
      <c r="DC71" s="60">
        <f t="shared" si="285"/>
        <v>1.4268401122078491E-5</v>
      </c>
      <c r="DD71" s="15"/>
      <c r="DE71" s="15"/>
      <c r="DF71" s="15"/>
      <c r="DG71" s="15"/>
      <c r="DH71" s="15"/>
      <c r="DI71" s="15"/>
      <c r="DJ71" s="15"/>
      <c r="DK71" s="15"/>
      <c r="DL71" s="15"/>
      <c r="DM71" s="15"/>
      <c r="DN71" s="15"/>
      <c r="DO71" s="15"/>
      <c r="DP71" s="15"/>
      <c r="DQ71" s="15"/>
      <c r="DR71" s="60">
        <f>IFERROR(DR29/$B57,0)</f>
        <v>7.8168189639726848E-8</v>
      </c>
      <c r="DS71" s="71">
        <f>IFERROR(up_RadSpec!$H$29*DS29,".")*$B$71</f>
        <v>2.6249994749999996</v>
      </c>
      <c r="DT71" s="71">
        <f>IFERROR(up_RadSpec!$G$29*DT29,".")*$B$71</f>
        <v>0.47851552929687491</v>
      </c>
      <c r="DU71" s="71">
        <f>IFERROR(up_RadSpec!$L$29*DU29,".")*$B$71</f>
        <v>2.3972597945205474E-4</v>
      </c>
      <c r="DV71" s="71">
        <f>up_b2w!BZ71</f>
        <v>1316334161.0207255</v>
      </c>
      <c r="DW71" s="71">
        <f>IFERROR(up_RadSpec!$E$29*DW29,".")*$B$71</f>
        <v>7.2187485562500001E-2</v>
      </c>
      <c r="DX71" s="71">
        <f>IFERROR(up_RadSpec!$E$29*DX29,".")*$B$71</f>
        <v>0.36093742781249999</v>
      </c>
      <c r="DY71" s="71">
        <f>IFERROR(up_RadSpec!$E$29*DY29,".")*$B$71</f>
        <v>0.35042468719660191</v>
      </c>
      <c r="DZ71" s="71">
        <f>IFERROR(up_RadSpec!$E$29*DZ29,".")*$B$71</f>
        <v>0.36093742781249999</v>
      </c>
      <c r="EA71" s="71">
        <f>IFERROR(up_RadSpec!$E$29*EA29,".")*$B$71</f>
        <v>0.36093742781249999</v>
      </c>
      <c r="EB71" s="71">
        <f>IFERROR(up_RadSpec!$E$29*EB29,".")*$B$71</f>
        <v>0.36093742781249999</v>
      </c>
      <c r="EC71" s="71">
        <f>IFERROR(up_RadSpec!$E$29*EC29,".")*$B$71</f>
        <v>0.36093742781249999</v>
      </c>
      <c r="ED71" s="71">
        <f>IFERROR(up_RadSpec!$E$29*ED29,".")*$B$71</f>
        <v>0.35042468719660191</v>
      </c>
      <c r="EE71" s="71">
        <f>IFERROR(up_RadSpec!$E$29*EE29,".")*$B$71</f>
        <v>0.36093742781249999</v>
      </c>
      <c r="EF71" s="71">
        <f>IFERROR(up_RadSpec!$E$29*EF29,".")*$B$71</f>
        <v>0.35042468719660191</v>
      </c>
      <c r="EG71" s="49">
        <f t="shared" si="257"/>
        <v>0.92756020493486613</v>
      </c>
      <c r="EH71" s="49">
        <f t="shared" si="258"/>
        <v>0.38029736024762861</v>
      </c>
      <c r="EI71" s="49">
        <f t="shared" si="259"/>
        <v>2.3972597945205474E-4</v>
      </c>
      <c r="EJ71" s="49">
        <f t="shared" si="260"/>
        <v>1</v>
      </c>
      <c r="EK71" s="49">
        <f t="shared" si="261"/>
        <v>6.964354894377156E-2</v>
      </c>
      <c r="EL71" s="49">
        <f t="shared" si="261"/>
        <v>0.30297738866808965</v>
      </c>
      <c r="EM71" s="49">
        <f t="shared" si="261"/>
        <v>0.29561111875108781</v>
      </c>
      <c r="EN71" s="49">
        <f t="shared" si="261"/>
        <v>0.30297738866808965</v>
      </c>
      <c r="EO71" s="49">
        <f t="shared" si="261"/>
        <v>0.30297738866808965</v>
      </c>
      <c r="EP71" s="49">
        <f t="shared" si="261"/>
        <v>0.30297738866808965</v>
      </c>
      <c r="EQ71" s="49">
        <f t="shared" si="261"/>
        <v>0.30297738866808965</v>
      </c>
      <c r="ER71" s="49">
        <f t="shared" si="261"/>
        <v>0.29561111875108781</v>
      </c>
      <c r="ES71" s="49">
        <f t="shared" si="261"/>
        <v>0.30297738866808965</v>
      </c>
      <c r="ET71" s="49">
        <f t="shared" si="261"/>
        <v>0.29561111875108781</v>
      </c>
      <c r="EU71" s="49">
        <f t="shared" si="262"/>
        <v>1</v>
      </c>
      <c r="EV71" s="60">
        <f>IFERROR(EV29/$B57,0)</f>
        <v>5.2244908408165367E-6</v>
      </c>
      <c r="EW71" s="60">
        <f>IFERROR(EW29/$B57,0)</f>
        <v>8.3428588114289066E-3</v>
      </c>
      <c r="EX71" s="60">
        <f>IFERROR(EX29/$B57,0)</f>
        <v>5.2212211915380789E-6</v>
      </c>
      <c r="EY71" s="71">
        <f>IFERROR(up_RadSpec!$G$29*EY29,".")*$B$71</f>
        <v>0.95703105859374982</v>
      </c>
      <c r="EZ71" s="71">
        <f>IFERROR(up_RadSpec!$J$29*EZ29,".")*$B$71</f>
        <v>5.9931494863013689E-4</v>
      </c>
      <c r="FA71" s="49">
        <f t="shared" si="263"/>
        <v>0.61596863828394266</v>
      </c>
      <c r="FB71" s="49">
        <f t="shared" si="263"/>
        <v>5.9931494863013689E-4</v>
      </c>
      <c r="FC71" s="49">
        <f t="shared" si="264"/>
        <v>0.6161987250656511</v>
      </c>
    </row>
    <row r="72" spans="1:159" x14ac:dyDescent="0.25">
      <c r="A72" s="83" t="s">
        <v>1096</v>
      </c>
      <c r="B72" s="42">
        <v>1</v>
      </c>
      <c r="C72" s="60">
        <f t="shared" ref="C72:M72" si="286">IFERROR(C16/$B58,0)</f>
        <v>1.8181818181818181E-11</v>
      </c>
      <c r="D72" s="60">
        <f t="shared" si="286"/>
        <v>7.2727272727272723E-11</v>
      </c>
      <c r="E72" s="60">
        <f t="shared" si="286"/>
        <v>7.2727272727272723E-11</v>
      </c>
      <c r="F72" s="60">
        <f t="shared" si="286"/>
        <v>7.2727272727272723E-11</v>
      </c>
      <c r="G72" s="60">
        <f t="shared" si="286"/>
        <v>7.2727272727272723E-11</v>
      </c>
      <c r="H72" s="60">
        <f t="shared" si="286"/>
        <v>7.2727272727272723E-11</v>
      </c>
      <c r="I72" s="60">
        <f t="shared" si="286"/>
        <v>7.2727272727272723E-11</v>
      </c>
      <c r="J72" s="60">
        <f t="shared" si="286"/>
        <v>7.2727272727272723E-11</v>
      </c>
      <c r="K72" s="60">
        <f t="shared" si="286"/>
        <v>7.2727272727272723E-11</v>
      </c>
      <c r="L72" s="60">
        <f t="shared" si="286"/>
        <v>7.2727272727272723E-11</v>
      </c>
      <c r="M72" s="60">
        <f t="shared" si="286"/>
        <v>7.2727272727272723E-11</v>
      </c>
      <c r="N72" s="71">
        <f>up_dir!BA72</f>
        <v>275000</v>
      </c>
      <c r="O72" s="71">
        <f>IFERROR(up_RadSpec!$E$16*O16,".")*$B$72</f>
        <v>68750</v>
      </c>
      <c r="P72" s="71">
        <f>IFERROR(up_RadSpec!$E$16*P16,".")*$B$72</f>
        <v>68750</v>
      </c>
      <c r="Q72" s="71">
        <f>IFERROR(up_RadSpec!$E$16*Q16,".")*$B$72</f>
        <v>68750</v>
      </c>
      <c r="R72" s="71">
        <f>IFERROR(up_RadSpec!$E$16*R16,".")*$B$72</f>
        <v>68750</v>
      </c>
      <c r="S72" s="71">
        <f>IFERROR(up_RadSpec!$E$16*S16,".")*$B$72</f>
        <v>68750</v>
      </c>
      <c r="T72" s="71">
        <f>IFERROR(up_RadSpec!$E$16*T16,".")*$B$72</f>
        <v>68750</v>
      </c>
      <c r="U72" s="71">
        <f>IFERROR(up_RadSpec!$E$16*U16,".")*$B$72</f>
        <v>68750</v>
      </c>
      <c r="V72" s="71">
        <f>IFERROR(up_RadSpec!$E$16*V16,".")*$B$72</f>
        <v>68750</v>
      </c>
      <c r="W72" s="71">
        <f>IFERROR(up_RadSpec!$E$16*W16,".")*$B$72</f>
        <v>68750</v>
      </c>
      <c r="X72" s="71">
        <f>IFERROR(up_RadSpec!$E$16*X16,".")*$B$72</f>
        <v>68750</v>
      </c>
      <c r="Y72" s="49">
        <f t="shared" si="239"/>
        <v>1</v>
      </c>
      <c r="Z72" s="49">
        <f t="shared" si="239"/>
        <v>1</v>
      </c>
      <c r="AA72" s="49">
        <f t="shared" si="239"/>
        <v>1</v>
      </c>
      <c r="AB72" s="49">
        <f t="shared" si="239"/>
        <v>1</v>
      </c>
      <c r="AC72" s="49">
        <f t="shared" si="239"/>
        <v>1</v>
      </c>
      <c r="AD72" s="49">
        <f t="shared" si="239"/>
        <v>1</v>
      </c>
      <c r="AE72" s="49">
        <f t="shared" si="239"/>
        <v>1</v>
      </c>
      <c r="AF72" s="49">
        <f t="shared" si="239"/>
        <v>1</v>
      </c>
      <c r="AG72" s="49">
        <f t="shared" si="239"/>
        <v>1</v>
      </c>
      <c r="AH72" s="49">
        <f t="shared" si="239"/>
        <v>1</v>
      </c>
      <c r="AI72" s="49">
        <f t="shared" si="239"/>
        <v>1</v>
      </c>
      <c r="AJ72" s="60">
        <f t="shared" ref="AJ72:AW72" si="287">IFERROR(AJ16/$B58,0)</f>
        <v>3.6363636363636363E-8</v>
      </c>
      <c r="AK72" s="60">
        <f t="shared" si="287"/>
        <v>3.3989909629864073E-4</v>
      </c>
      <c r="AL72" s="60">
        <f t="shared" si="287"/>
        <v>0.35060034305317339</v>
      </c>
      <c r="AM72" s="60">
        <f t="shared" si="287"/>
        <v>3.6265718922545492E-12</v>
      </c>
      <c r="AN72" s="60">
        <f>IFERROR(AN16/$B58,0)</f>
        <v>7.2727272727272723E-11</v>
      </c>
      <c r="AO72" s="60">
        <f>IFERROR(AO16/$B58,0)</f>
        <v>2.0414673046251994E-14</v>
      </c>
      <c r="AP72" s="60">
        <f>IFERROR(AP16/$B58,0)</f>
        <v>2.102711323763955E-14</v>
      </c>
      <c r="AQ72" s="60">
        <f>IFERROR(AQ16/$B58,0)</f>
        <v>2.0414673046251994E-14</v>
      </c>
      <c r="AR72" s="60">
        <f t="shared" si="287"/>
        <v>2.0414673046251994E-14</v>
      </c>
      <c r="AS72" s="60">
        <f t="shared" si="287"/>
        <v>2.0414673046251994E-14</v>
      </c>
      <c r="AT72" s="60">
        <f t="shared" si="287"/>
        <v>2.0414673046251994E-14</v>
      </c>
      <c r="AU72" s="60">
        <f>IFERROR(AU16/$B58,0)</f>
        <v>2.102711323763955E-14</v>
      </c>
      <c r="AV72" s="60">
        <f t="shared" si="287"/>
        <v>2.0414673046251994E-14</v>
      </c>
      <c r="AW72" s="60">
        <f t="shared" si="287"/>
        <v>2.102711323763955E-14</v>
      </c>
      <c r="AX72" s="42"/>
      <c r="AY72" s="42"/>
      <c r="AZ72" s="42"/>
      <c r="BA72" s="42"/>
      <c r="BB72" s="42"/>
      <c r="BC72" s="42"/>
      <c r="BD72" s="42"/>
      <c r="BE72" s="42"/>
      <c r="BF72" s="42"/>
      <c r="BG72" s="42"/>
      <c r="BH72" s="42"/>
      <c r="BI72" s="42"/>
      <c r="BJ72" s="42"/>
      <c r="BK72" s="42"/>
      <c r="BL72" s="60">
        <f>IFERROR(BL16/$B58,0)</f>
        <v>2.2890172361045697E-15</v>
      </c>
      <c r="BM72" s="71">
        <f>IFERROR(up_RadSpec!$D$16*BM16,".")*$B$72</f>
        <v>137.5</v>
      </c>
      <c r="BN72" s="71">
        <f>IFERROR(up_RadSpec!$G$16*BN16,".")*$B$72</f>
        <v>1.4710247995501937E-2</v>
      </c>
      <c r="BO72" s="71">
        <f>IFERROR(up_RadSpec!$F$16*BO16,".")*$B$72</f>
        <v>1.4261252446183947E-5</v>
      </c>
      <c r="BP72" s="71">
        <f>up_b2s!BZ72</f>
        <v>1378712.5</v>
      </c>
      <c r="BQ72" s="71">
        <f>IFERROR(up_RadSpec!$E$16*BQ16,".")*$B$72</f>
        <v>68750</v>
      </c>
      <c r="BR72" s="71">
        <f>IFERROR(up_RadSpec!$E$16*BR16,".")*$B$72</f>
        <v>244921875</v>
      </c>
      <c r="BS72" s="71">
        <f>IFERROR(up_RadSpec!$E$16*BS16,".")*$B$72</f>
        <v>237788228.15533978</v>
      </c>
      <c r="BT72" s="71">
        <f>IFERROR(up_RadSpec!$E$16*BT16,".")*$B$72</f>
        <v>244921875</v>
      </c>
      <c r="BU72" s="71">
        <f>IFERROR(up_RadSpec!$E$16*BU16,".")*$B$72</f>
        <v>244921875</v>
      </c>
      <c r="BV72" s="71">
        <f>IFERROR(up_RadSpec!$E$16*BV16,".")*$B$72</f>
        <v>244921875</v>
      </c>
      <c r="BW72" s="71">
        <f>IFERROR(up_RadSpec!$E$16*BW16,".")*$B$72</f>
        <v>244921875</v>
      </c>
      <c r="BX72" s="71">
        <f>IFERROR(up_RadSpec!$E$16*BX16,".")*$B$72</f>
        <v>237788228.15533978</v>
      </c>
      <c r="BY72" s="71">
        <f>IFERROR(up_RadSpec!$E$16*BY16,".")*$B$72</f>
        <v>244921875</v>
      </c>
      <c r="BZ72" s="71">
        <f>IFERROR(up_RadSpec!$E$16*BZ16,".")*$B$72</f>
        <v>237788228.15533978</v>
      </c>
      <c r="CA72" s="49">
        <f t="shared" si="241"/>
        <v>1</v>
      </c>
      <c r="CB72" s="49">
        <f t="shared" si="242"/>
        <v>1.4602580880648697E-2</v>
      </c>
      <c r="CC72" s="49">
        <f t="shared" si="243"/>
        <v>1.4261252446183947E-5</v>
      </c>
      <c r="CD72" s="49">
        <f t="shared" si="244"/>
        <v>1</v>
      </c>
      <c r="CE72" s="49">
        <f t="shared" si="245"/>
        <v>1</v>
      </c>
      <c r="CF72" s="49">
        <f t="shared" si="246"/>
        <v>1</v>
      </c>
      <c r="CG72" s="49">
        <f t="shared" si="247"/>
        <v>1</v>
      </c>
      <c r="CH72" s="49">
        <f t="shared" si="248"/>
        <v>1</v>
      </c>
      <c r="CI72" s="49">
        <f t="shared" si="249"/>
        <v>1</v>
      </c>
      <c r="CJ72" s="49">
        <f t="shared" si="250"/>
        <v>1</v>
      </c>
      <c r="CK72" s="49">
        <f t="shared" si="251"/>
        <v>1</v>
      </c>
      <c r="CL72" s="49">
        <f t="shared" si="252"/>
        <v>1</v>
      </c>
      <c r="CM72" s="49">
        <f t="shared" si="253"/>
        <v>1</v>
      </c>
      <c r="CN72" s="49">
        <f t="shared" si="254"/>
        <v>1</v>
      </c>
      <c r="CO72" s="49">
        <f t="shared" si="255"/>
        <v>1</v>
      </c>
      <c r="CP72" s="60">
        <f t="shared" ref="CP72:DC72" si="288">IFERROR(CP16/$B58,0)</f>
        <v>3.9999999999999996E-10</v>
      </c>
      <c r="CQ72" s="60">
        <f t="shared" si="288"/>
        <v>0</v>
      </c>
      <c r="CR72" s="60">
        <f t="shared" si="288"/>
        <v>4.3800000000000004E-6</v>
      </c>
      <c r="CS72" s="60">
        <f t="shared" si="288"/>
        <v>1.8087754064641833E-11</v>
      </c>
      <c r="CT72" s="60">
        <f>IFERROR(CT16/$B58,0)</f>
        <v>1.4545454545454544E-8</v>
      </c>
      <c r="CU72" s="60">
        <f>IFERROR(CU16/$B58,0)</f>
        <v>2.9090909090909087E-9</v>
      </c>
      <c r="CV72" s="60">
        <f>IFERROR(CV16/$B58,0)</f>
        <v>2.9963636363636357E-9</v>
      </c>
      <c r="CW72" s="60">
        <f>IFERROR(CW16/$B58,0)</f>
        <v>2.9090909090909087E-9</v>
      </c>
      <c r="CX72" s="60">
        <f t="shared" si="288"/>
        <v>2.9090909090909087E-9</v>
      </c>
      <c r="CY72" s="60">
        <f t="shared" si="288"/>
        <v>2.9090909090909087E-9</v>
      </c>
      <c r="CZ72" s="60">
        <f t="shared" si="288"/>
        <v>2.9090909090909087E-9</v>
      </c>
      <c r="DA72" s="60">
        <f>IFERROR(DA16/$B58,0)</f>
        <v>2.9963636363636357E-9</v>
      </c>
      <c r="DB72" s="60">
        <f t="shared" si="288"/>
        <v>2.9090909090909087E-9</v>
      </c>
      <c r="DC72" s="60">
        <f t="shared" si="288"/>
        <v>2.9963636363636357E-9</v>
      </c>
      <c r="DD72" s="15"/>
      <c r="DE72" s="15"/>
      <c r="DF72" s="15"/>
      <c r="DG72" s="15"/>
      <c r="DH72" s="15"/>
      <c r="DI72" s="15"/>
      <c r="DJ72" s="15"/>
      <c r="DK72" s="15"/>
      <c r="DL72" s="15"/>
      <c r="DM72" s="15"/>
      <c r="DN72" s="15"/>
      <c r="DO72" s="15"/>
      <c r="DP72" s="15"/>
      <c r="DQ72" s="15"/>
      <c r="DR72" s="60">
        <f>IFERROR(DR16/$B58,0)</f>
        <v>1.6415316541278672E-11</v>
      </c>
      <c r="DS72" s="71">
        <f>IFERROR(up_RadSpec!$H$16*DS16,".")*$B$72</f>
        <v>12500</v>
      </c>
      <c r="DT72" s="71">
        <f>IFERROR(up_RadSpec!$G$16*DT16,".")*$B$72</f>
        <v>2278.645833333333</v>
      </c>
      <c r="DU72" s="71">
        <f>IFERROR(up_RadSpec!$L$16*DU16,".")*$B$72</f>
        <v>1.1415525114155249</v>
      </c>
      <c r="DV72" s="71">
        <f>up_b2w!BZ72</f>
        <v>276430.1185283176</v>
      </c>
      <c r="DW72" s="71">
        <f>IFERROR(up_RadSpec!$E$16*DW16,".")*$B$72</f>
        <v>343.75</v>
      </c>
      <c r="DX72" s="71">
        <f>IFERROR(up_RadSpec!$E$16*DX16,".")*$B$72</f>
        <v>1718.75</v>
      </c>
      <c r="DY72" s="71">
        <f>IFERROR(up_RadSpec!$E$16*DY16,".")*$B$72</f>
        <v>1668.6893203883494</v>
      </c>
      <c r="DZ72" s="71">
        <f>IFERROR(up_RadSpec!$E$16*DZ16,".")*$B$72</f>
        <v>1718.75</v>
      </c>
      <c r="EA72" s="71">
        <f>IFERROR(up_RadSpec!$E$16*EA16,".")*$B$72</f>
        <v>1718.75</v>
      </c>
      <c r="EB72" s="71">
        <f>IFERROR(up_RadSpec!$E$16*EB16,".")*$B$72</f>
        <v>1718.75</v>
      </c>
      <c r="EC72" s="71">
        <f>IFERROR(up_RadSpec!$E$16*EC16,".")*$B$72</f>
        <v>1718.75</v>
      </c>
      <c r="ED72" s="71">
        <f>IFERROR(up_RadSpec!$E$16*ED16,".")*$B$72</f>
        <v>1668.6893203883494</v>
      </c>
      <c r="EE72" s="71">
        <f>IFERROR(up_RadSpec!$E$16*EE16,".")*$B$72</f>
        <v>1718.75</v>
      </c>
      <c r="EF72" s="71">
        <f>IFERROR(up_RadSpec!$E$16*EF16,".")*$B$72</f>
        <v>1668.6893203883494</v>
      </c>
      <c r="EG72" s="49">
        <f t="shared" si="257"/>
        <v>1</v>
      </c>
      <c r="EH72" s="49">
        <f t="shared" si="258"/>
        <v>1</v>
      </c>
      <c r="EI72" s="49">
        <f t="shared" si="259"/>
        <v>0.68067711563678512</v>
      </c>
      <c r="EJ72" s="49">
        <f t="shared" si="260"/>
        <v>1</v>
      </c>
      <c r="EK72" s="49">
        <f t="shared" si="261"/>
        <v>1</v>
      </c>
      <c r="EL72" s="49">
        <f t="shared" si="261"/>
        <v>1</v>
      </c>
      <c r="EM72" s="49">
        <f t="shared" si="261"/>
        <v>1</v>
      </c>
      <c r="EN72" s="49">
        <f t="shared" si="261"/>
        <v>1</v>
      </c>
      <c r="EO72" s="49">
        <f t="shared" si="261"/>
        <v>1</v>
      </c>
      <c r="EP72" s="49">
        <f t="shared" si="261"/>
        <v>1</v>
      </c>
      <c r="EQ72" s="49">
        <f t="shared" si="261"/>
        <v>1</v>
      </c>
      <c r="ER72" s="49">
        <f t="shared" si="261"/>
        <v>1</v>
      </c>
      <c r="ES72" s="49">
        <f t="shared" si="261"/>
        <v>1</v>
      </c>
      <c r="ET72" s="49">
        <f t="shared" si="261"/>
        <v>1</v>
      </c>
      <c r="EU72" s="49">
        <f t="shared" si="262"/>
        <v>1</v>
      </c>
      <c r="EV72" s="60">
        <f>IFERROR(EV16/$B58,0)</f>
        <v>1.0971428571428573E-9</v>
      </c>
      <c r="EW72" s="60">
        <f>IFERROR(EW16/$B58,0)</f>
        <v>1.7520000000000001E-6</v>
      </c>
      <c r="EX72" s="60">
        <f>IFERROR(EX16/$B58,0)</f>
        <v>1.0964562309317064E-9</v>
      </c>
      <c r="EY72" s="71">
        <f>IFERROR(up_RadSpec!$G$16*EY16,".")*$B$72</f>
        <v>4557.2916666666661</v>
      </c>
      <c r="EZ72" s="71">
        <f>IFERROR(up_RadSpec!$J$16*EZ16,".")*$B$72</f>
        <v>2.8538812785388123</v>
      </c>
      <c r="FA72" s="49">
        <f t="shared" si="263"/>
        <v>1</v>
      </c>
      <c r="FB72" s="49">
        <f t="shared" si="263"/>
        <v>0.9423797539167309</v>
      </c>
      <c r="FC72" s="49">
        <f t="shared" si="264"/>
        <v>1</v>
      </c>
    </row>
    <row r="73" spans="1:159" x14ac:dyDescent="0.25">
      <c r="A73" s="83" t="s">
        <v>1097</v>
      </c>
      <c r="B73" s="42">
        <v>1</v>
      </c>
      <c r="C73" s="60">
        <f t="shared" ref="C73:M73" si="289">IFERROR(C7/$B59,0)</f>
        <v>1.8181818181818181E-11</v>
      </c>
      <c r="D73" s="60">
        <f t="shared" si="289"/>
        <v>7.2727272727272723E-11</v>
      </c>
      <c r="E73" s="60">
        <f t="shared" si="289"/>
        <v>7.2727272727272723E-11</v>
      </c>
      <c r="F73" s="60">
        <f t="shared" si="289"/>
        <v>7.2727272727272723E-11</v>
      </c>
      <c r="G73" s="60">
        <f t="shared" si="289"/>
        <v>7.2727272727272723E-11</v>
      </c>
      <c r="H73" s="60">
        <f t="shared" si="289"/>
        <v>7.2727272727272723E-11</v>
      </c>
      <c r="I73" s="60">
        <f t="shared" si="289"/>
        <v>7.2727272727272723E-11</v>
      </c>
      <c r="J73" s="60">
        <f t="shared" si="289"/>
        <v>7.2727272727272723E-11</v>
      </c>
      <c r="K73" s="60">
        <f t="shared" si="289"/>
        <v>7.2727272727272723E-11</v>
      </c>
      <c r="L73" s="60">
        <f t="shared" si="289"/>
        <v>7.2727272727272723E-11</v>
      </c>
      <c r="M73" s="60">
        <f t="shared" si="289"/>
        <v>7.2727272727272723E-11</v>
      </c>
      <c r="N73" s="71">
        <f>up_dir!BA73</f>
        <v>275000</v>
      </c>
      <c r="O73" s="71">
        <f>IFERROR(up_RadSpec!$E$7*O7,".")*$B$73</f>
        <v>68750</v>
      </c>
      <c r="P73" s="71">
        <f>IFERROR(up_RadSpec!$E$7*P7,".")*$B$73</f>
        <v>68750</v>
      </c>
      <c r="Q73" s="71">
        <f>IFERROR(up_RadSpec!$E$7*Q7,".")*$B$73</f>
        <v>68750</v>
      </c>
      <c r="R73" s="71">
        <f>IFERROR(up_RadSpec!$E$7*R7,".")*$B$73</f>
        <v>68750</v>
      </c>
      <c r="S73" s="71">
        <f>IFERROR(up_RadSpec!$E$7*S7,".")*$B$73</f>
        <v>68750</v>
      </c>
      <c r="T73" s="71">
        <f>IFERROR(up_RadSpec!$E$7*T7,".")*$B$73</f>
        <v>68750</v>
      </c>
      <c r="U73" s="71">
        <f>IFERROR(up_RadSpec!$E$7*U7,".")*$B$73</f>
        <v>68750</v>
      </c>
      <c r="V73" s="71">
        <f>IFERROR(up_RadSpec!$E$7*V7,".")*$B$73</f>
        <v>68750</v>
      </c>
      <c r="W73" s="71">
        <f>IFERROR(up_RadSpec!$E$7*W7,".")*$B$73</f>
        <v>68750</v>
      </c>
      <c r="X73" s="71">
        <f>IFERROR(up_RadSpec!$E$7*X7,".")*$B$73</f>
        <v>68750</v>
      </c>
      <c r="Y73" s="49">
        <f t="shared" si="239"/>
        <v>1</v>
      </c>
      <c r="Z73" s="49">
        <f t="shared" si="239"/>
        <v>1</v>
      </c>
      <c r="AA73" s="49">
        <f t="shared" si="239"/>
        <v>1</v>
      </c>
      <c r="AB73" s="49">
        <f t="shared" si="239"/>
        <v>1</v>
      </c>
      <c r="AC73" s="49">
        <f t="shared" si="239"/>
        <v>1</v>
      </c>
      <c r="AD73" s="49">
        <f t="shared" si="239"/>
        <v>1</v>
      </c>
      <c r="AE73" s="49">
        <f t="shared" si="239"/>
        <v>1</v>
      </c>
      <c r="AF73" s="49">
        <f t="shared" si="239"/>
        <v>1</v>
      </c>
      <c r="AG73" s="49">
        <f t="shared" si="239"/>
        <v>1</v>
      </c>
      <c r="AH73" s="49">
        <f t="shared" si="239"/>
        <v>1</v>
      </c>
      <c r="AI73" s="49">
        <f t="shared" si="239"/>
        <v>1</v>
      </c>
      <c r="AJ73" s="60">
        <f t="shared" ref="AJ73:AW73" si="290">IFERROR(AJ7/$B59,0)</f>
        <v>3.6363636363636363E-8</v>
      </c>
      <c r="AK73" s="60">
        <f t="shared" si="290"/>
        <v>3.3989909629864073E-4</v>
      </c>
      <c r="AL73" s="60">
        <f t="shared" si="290"/>
        <v>4.209489051094889E-5</v>
      </c>
      <c r="AM73" s="60">
        <f t="shared" si="290"/>
        <v>3.6265718922545492E-12</v>
      </c>
      <c r="AN73" s="60">
        <f>IFERROR(AN7/$B59,0)</f>
        <v>7.2727272727272723E-11</v>
      </c>
      <c r="AO73" s="60">
        <f>IFERROR(AO7/$B59,0)</f>
        <v>2.0414673046251994E-14</v>
      </c>
      <c r="AP73" s="60">
        <f>IFERROR(AP7/$B59,0)</f>
        <v>2.102711323763955E-14</v>
      </c>
      <c r="AQ73" s="60">
        <f>IFERROR(AQ7/$B59,0)</f>
        <v>2.0414673046251994E-14</v>
      </c>
      <c r="AR73" s="60">
        <f t="shared" si="290"/>
        <v>2.0414673046251994E-14</v>
      </c>
      <c r="AS73" s="60">
        <f t="shared" si="290"/>
        <v>2.0414673046251994E-14</v>
      </c>
      <c r="AT73" s="60">
        <f t="shared" si="290"/>
        <v>2.0414673046251994E-14</v>
      </c>
      <c r="AU73" s="60">
        <f>IFERROR(AU7/$B59,0)</f>
        <v>2.102711323763955E-14</v>
      </c>
      <c r="AV73" s="60">
        <f t="shared" si="290"/>
        <v>2.0414673046251994E-14</v>
      </c>
      <c r="AW73" s="60">
        <f t="shared" si="290"/>
        <v>2.102711323763955E-14</v>
      </c>
      <c r="AX73" s="42"/>
      <c r="AY73" s="42"/>
      <c r="AZ73" s="42"/>
      <c r="BA73" s="42"/>
      <c r="BB73" s="42"/>
      <c r="BC73" s="42"/>
      <c r="BD73" s="42"/>
      <c r="BE73" s="42"/>
      <c r="BF73" s="42"/>
      <c r="BG73" s="42"/>
      <c r="BH73" s="42"/>
      <c r="BI73" s="42"/>
      <c r="BJ73" s="42"/>
      <c r="BK73" s="42"/>
      <c r="BL73" s="60">
        <f>IFERROR(BL7/$B59,0)</f>
        <v>2.2890172359801135E-15</v>
      </c>
      <c r="BM73" s="71">
        <f>IFERROR(up_RadSpec!$D$7*BM7,".")*$B$73</f>
        <v>137.5</v>
      </c>
      <c r="BN73" s="71">
        <f>IFERROR(up_RadSpec!$G$7*BN7,".")*$B$73</f>
        <v>1.4710247995501937E-2</v>
      </c>
      <c r="BO73" s="71">
        <f>IFERROR(up_RadSpec!$F$7*BO7,".")*$B$73</f>
        <v>0.11877926131437494</v>
      </c>
      <c r="BP73" s="71">
        <f>up_b2s!BZ73</f>
        <v>1378712.5</v>
      </c>
      <c r="BQ73" s="71">
        <f>IFERROR(up_RadSpec!$E$7*BQ7,".")*$B$73</f>
        <v>68750</v>
      </c>
      <c r="BR73" s="71">
        <f>IFERROR(up_RadSpec!$E$7*BR7,".")*$B$73</f>
        <v>244921875</v>
      </c>
      <c r="BS73" s="71">
        <f>IFERROR(up_RadSpec!$E$7*BS7,".")*$B$73</f>
        <v>237788228.15533978</v>
      </c>
      <c r="BT73" s="71">
        <f>IFERROR(up_RadSpec!$E$7*BT7,".")*$B$73</f>
        <v>244921875</v>
      </c>
      <c r="BU73" s="71">
        <f>IFERROR(up_RadSpec!$E$7*BU7,".")*$B$73</f>
        <v>244921875</v>
      </c>
      <c r="BV73" s="71">
        <f>IFERROR(up_RadSpec!$E$7*BV7,".")*$B$73</f>
        <v>244921875</v>
      </c>
      <c r="BW73" s="71">
        <f>IFERROR(up_RadSpec!$E$7*BW7,".")*$B$73</f>
        <v>244921875</v>
      </c>
      <c r="BX73" s="71">
        <f>IFERROR(up_RadSpec!$E$7*BX7,".")*$B$73</f>
        <v>237788228.15533978</v>
      </c>
      <c r="BY73" s="71">
        <f>IFERROR(up_RadSpec!$E$7*BY7,".")*$B$73</f>
        <v>244921875</v>
      </c>
      <c r="BZ73" s="71">
        <f>IFERROR(up_RadSpec!$E$7*BZ7,".")*$B$73</f>
        <v>237788228.15533978</v>
      </c>
      <c r="CA73" s="49">
        <f t="shared" si="241"/>
        <v>1</v>
      </c>
      <c r="CB73" s="49">
        <f t="shared" si="242"/>
        <v>1.4602580880648697E-2</v>
      </c>
      <c r="CC73" s="49">
        <f t="shared" si="243"/>
        <v>0.11199620407996114</v>
      </c>
      <c r="CD73" s="49">
        <f t="shared" si="244"/>
        <v>1</v>
      </c>
      <c r="CE73" s="49">
        <f t="shared" si="245"/>
        <v>1</v>
      </c>
      <c r="CF73" s="49">
        <f t="shared" si="246"/>
        <v>1</v>
      </c>
      <c r="CG73" s="49">
        <f t="shared" si="247"/>
        <v>1</v>
      </c>
      <c r="CH73" s="49">
        <f t="shared" si="248"/>
        <v>1</v>
      </c>
      <c r="CI73" s="49">
        <f t="shared" si="249"/>
        <v>1</v>
      </c>
      <c r="CJ73" s="49">
        <f t="shared" si="250"/>
        <v>1</v>
      </c>
      <c r="CK73" s="49">
        <f t="shared" si="251"/>
        <v>1</v>
      </c>
      <c r="CL73" s="49">
        <f t="shared" si="252"/>
        <v>1</v>
      </c>
      <c r="CM73" s="49">
        <f t="shared" si="253"/>
        <v>1</v>
      </c>
      <c r="CN73" s="49">
        <f t="shared" si="254"/>
        <v>1</v>
      </c>
      <c r="CO73" s="49">
        <f t="shared" si="255"/>
        <v>1</v>
      </c>
      <c r="CP73" s="60">
        <f t="shared" ref="CP73:DC73" si="291">IFERROR(CP7/$B59,0)</f>
        <v>3.9999999999999996E-10</v>
      </c>
      <c r="CQ73" s="60">
        <f t="shared" si="291"/>
        <v>0</v>
      </c>
      <c r="CR73" s="60">
        <f t="shared" si="291"/>
        <v>4.3800000000000004E-6</v>
      </c>
      <c r="CS73" s="60">
        <f t="shared" si="291"/>
        <v>1.8087754064641833E-11</v>
      </c>
      <c r="CT73" s="60">
        <f>IFERROR(CT7/$B59,0)</f>
        <v>1.4545454545454544E-8</v>
      </c>
      <c r="CU73" s="60">
        <f>IFERROR(CU7/$B59,0)</f>
        <v>2.9090909090909087E-9</v>
      </c>
      <c r="CV73" s="60">
        <f>IFERROR(CV7/$B59,0)</f>
        <v>2.9963636363636357E-9</v>
      </c>
      <c r="CW73" s="60">
        <f>IFERROR(CW7/$B59,0)</f>
        <v>2.9090909090909087E-9</v>
      </c>
      <c r="CX73" s="60">
        <f t="shared" si="291"/>
        <v>2.9090909090909087E-9</v>
      </c>
      <c r="CY73" s="60">
        <f t="shared" si="291"/>
        <v>2.9090909090909087E-9</v>
      </c>
      <c r="CZ73" s="60">
        <f t="shared" si="291"/>
        <v>2.9090909090909087E-9</v>
      </c>
      <c r="DA73" s="60">
        <f>IFERROR(DA7/$B59,0)</f>
        <v>2.9963636363636357E-9</v>
      </c>
      <c r="DB73" s="60">
        <f t="shared" si="291"/>
        <v>2.9090909090909087E-9</v>
      </c>
      <c r="DC73" s="60">
        <f t="shared" si="291"/>
        <v>2.9963636363636357E-9</v>
      </c>
      <c r="DD73" s="15"/>
      <c r="DE73" s="15"/>
      <c r="DF73" s="15"/>
      <c r="DG73" s="15"/>
      <c r="DH73" s="15"/>
      <c r="DI73" s="15"/>
      <c r="DJ73" s="15"/>
      <c r="DK73" s="15"/>
      <c r="DL73" s="15"/>
      <c r="DM73" s="15"/>
      <c r="DN73" s="15"/>
      <c r="DO73" s="15"/>
      <c r="DP73" s="15"/>
      <c r="DQ73" s="15"/>
      <c r="DR73" s="60">
        <f>IFERROR(DR7/$B59,0)</f>
        <v>1.6415316541278672E-11</v>
      </c>
      <c r="DS73" s="71">
        <f>IFERROR(up_RadSpec!$H$7*DS7,".")*$B$73</f>
        <v>12500</v>
      </c>
      <c r="DT73" s="71">
        <f>IFERROR(up_RadSpec!$G$7*DT7,".")*$B$73</f>
        <v>2278.645833333333</v>
      </c>
      <c r="DU73" s="71">
        <f>IFERROR(up_RadSpec!$L$7*DU7,".")*$B$73</f>
        <v>1.1415525114155249</v>
      </c>
      <c r="DV73" s="71">
        <f>up_b2w!BZ73</f>
        <v>276430.1185283176</v>
      </c>
      <c r="DW73" s="71">
        <f>IFERROR(up_RadSpec!$E$7*DW7,".")*$B$73</f>
        <v>343.75</v>
      </c>
      <c r="DX73" s="71">
        <f>IFERROR(up_RadSpec!$E$7*DX7,".")*$B$73</f>
        <v>1718.75</v>
      </c>
      <c r="DY73" s="71">
        <f>IFERROR(up_RadSpec!$E$7*DY7,".")*$B$73</f>
        <v>1668.6893203883494</v>
      </c>
      <c r="DZ73" s="71">
        <f>IFERROR(up_RadSpec!$E$7*DZ7,".")*$B$73</f>
        <v>1718.75</v>
      </c>
      <c r="EA73" s="71">
        <f>IFERROR(up_RadSpec!$E$7*EA7,".")*$B$73</f>
        <v>1718.75</v>
      </c>
      <c r="EB73" s="71">
        <f>IFERROR(up_RadSpec!$E$7*EB7,".")*$B$73</f>
        <v>1718.75</v>
      </c>
      <c r="EC73" s="71">
        <f>IFERROR(up_RadSpec!$E$7*EC7,".")*$B$73</f>
        <v>1718.75</v>
      </c>
      <c r="ED73" s="71">
        <f>IFERROR(up_RadSpec!$E$7*ED7,".")*$B$73</f>
        <v>1668.6893203883494</v>
      </c>
      <c r="EE73" s="71">
        <f>IFERROR(up_RadSpec!$E$7*EE7,".")*$B$73</f>
        <v>1718.75</v>
      </c>
      <c r="EF73" s="71">
        <f>IFERROR(up_RadSpec!$E$7*EF7,".")*$B$73</f>
        <v>1668.6893203883494</v>
      </c>
      <c r="EG73" s="49">
        <f t="shared" si="257"/>
        <v>1</v>
      </c>
      <c r="EH73" s="49">
        <f t="shared" si="258"/>
        <v>1</v>
      </c>
      <c r="EI73" s="49">
        <f t="shared" si="259"/>
        <v>0.68067711563678512</v>
      </c>
      <c r="EJ73" s="49">
        <f t="shared" si="260"/>
        <v>1</v>
      </c>
      <c r="EK73" s="49">
        <f t="shared" si="261"/>
        <v>1</v>
      </c>
      <c r="EL73" s="49">
        <f t="shared" si="261"/>
        <v>1</v>
      </c>
      <c r="EM73" s="49">
        <f t="shared" si="261"/>
        <v>1</v>
      </c>
      <c r="EN73" s="49">
        <f t="shared" si="261"/>
        <v>1</v>
      </c>
      <c r="EO73" s="49">
        <f t="shared" si="261"/>
        <v>1</v>
      </c>
      <c r="EP73" s="49">
        <f t="shared" si="261"/>
        <v>1</v>
      </c>
      <c r="EQ73" s="49">
        <f t="shared" si="261"/>
        <v>1</v>
      </c>
      <c r="ER73" s="49">
        <f t="shared" si="261"/>
        <v>1</v>
      </c>
      <c r="ES73" s="49">
        <f t="shared" si="261"/>
        <v>1</v>
      </c>
      <c r="ET73" s="49">
        <f t="shared" si="261"/>
        <v>1</v>
      </c>
      <c r="EU73" s="49">
        <f t="shared" si="262"/>
        <v>1</v>
      </c>
      <c r="EV73" s="60">
        <f>IFERROR(EV7/$B59,0)</f>
        <v>1.0971428571428573E-9</v>
      </c>
      <c r="EW73" s="60">
        <f>IFERROR(EW7/$B59,0)</f>
        <v>1.7520000000000001E-6</v>
      </c>
      <c r="EX73" s="60">
        <f>IFERROR(EX7/$B59,0)</f>
        <v>1.0964562309317064E-9</v>
      </c>
      <c r="EY73" s="71">
        <f>IFERROR(up_RadSpec!$G$7*EY7,".")*$B$73</f>
        <v>4557.2916666666661</v>
      </c>
      <c r="EZ73" s="71">
        <f>IFERROR(up_RadSpec!$J$7*EZ7,".")*$B$73</f>
        <v>2.8538812785388123</v>
      </c>
      <c r="FA73" s="49">
        <f t="shared" si="263"/>
        <v>1</v>
      </c>
      <c r="FB73" s="49">
        <f t="shared" si="263"/>
        <v>0.9423797539167309</v>
      </c>
      <c r="FC73" s="49">
        <f t="shared" si="264"/>
        <v>1</v>
      </c>
    </row>
    <row r="74" spans="1:159" x14ac:dyDescent="0.25">
      <c r="A74" s="83" t="s">
        <v>1098</v>
      </c>
      <c r="B74" s="86">
        <v>1.9000000000000001E-8</v>
      </c>
      <c r="C74" s="60">
        <f t="shared" ref="C74:M74" si="292">IFERROR(C12/$B60,0)</f>
        <v>9.5693779904306212E-4</v>
      </c>
      <c r="D74" s="60">
        <f t="shared" si="292"/>
        <v>3.8277511961722485E-3</v>
      </c>
      <c r="E74" s="60">
        <f t="shared" si="292"/>
        <v>3.8277511961722485E-3</v>
      </c>
      <c r="F74" s="60">
        <f t="shared" si="292"/>
        <v>3.8277511961722485E-3</v>
      </c>
      <c r="G74" s="60">
        <f t="shared" si="292"/>
        <v>3.8277511961722485E-3</v>
      </c>
      <c r="H74" s="60">
        <f t="shared" si="292"/>
        <v>3.8277511961722485E-3</v>
      </c>
      <c r="I74" s="60">
        <f t="shared" si="292"/>
        <v>3.8277511961722485E-3</v>
      </c>
      <c r="J74" s="60">
        <f t="shared" si="292"/>
        <v>3.8277511961722485E-3</v>
      </c>
      <c r="K74" s="60">
        <f t="shared" si="292"/>
        <v>3.8277511961722485E-3</v>
      </c>
      <c r="L74" s="60">
        <f t="shared" si="292"/>
        <v>3.8277511961722485E-3</v>
      </c>
      <c r="M74" s="60">
        <f t="shared" si="292"/>
        <v>3.8277511961722485E-3</v>
      </c>
      <c r="N74" s="71">
        <f>up_dir!BA74</f>
        <v>14473684210526.316</v>
      </c>
      <c r="O74" s="71">
        <f>IFERROR(up_RadSpec!$E$12*O12,".")*$B$74</f>
        <v>1.3062500000000001E-3</v>
      </c>
      <c r="P74" s="71">
        <f>IFERROR(up_RadSpec!$E$12*P12,".")*$B$74</f>
        <v>1.3062500000000001E-3</v>
      </c>
      <c r="Q74" s="71">
        <f>IFERROR(up_RadSpec!$E$12*Q12,".")*$B$74</f>
        <v>1.3062500000000001E-3</v>
      </c>
      <c r="R74" s="71">
        <f>IFERROR(up_RadSpec!$E$12*R12,".")*$B$74</f>
        <v>1.3062500000000001E-3</v>
      </c>
      <c r="S74" s="71">
        <f>IFERROR(up_RadSpec!$E$12*S12,".")*$B$74</f>
        <v>1.3062500000000001E-3</v>
      </c>
      <c r="T74" s="71">
        <f>IFERROR(up_RadSpec!$E$12*T12,".")*$B$74</f>
        <v>1.3062500000000001E-3</v>
      </c>
      <c r="U74" s="71">
        <f>IFERROR(up_RadSpec!$E$12*U12,".")*$B$74</f>
        <v>1.3062500000000001E-3</v>
      </c>
      <c r="V74" s="71">
        <f>IFERROR(up_RadSpec!$E$12*V12,".")*$B$74</f>
        <v>1.3062500000000001E-3</v>
      </c>
      <c r="W74" s="71">
        <f>IFERROR(up_RadSpec!$E$12*W12,".")*$B$74</f>
        <v>1.3062500000000001E-3</v>
      </c>
      <c r="X74" s="71">
        <f>IFERROR(up_RadSpec!$E$12*X12,".")*$B$74</f>
        <v>1.3062500000000001E-3</v>
      </c>
      <c r="Y74" s="49">
        <f t="shared" si="239"/>
        <v>1</v>
      </c>
      <c r="Z74" s="49">
        <f t="shared" si="239"/>
        <v>1.3062500000000001E-3</v>
      </c>
      <c r="AA74" s="49">
        <f t="shared" si="239"/>
        <v>1.3062500000000001E-3</v>
      </c>
      <c r="AB74" s="49">
        <f t="shared" si="239"/>
        <v>1.3062500000000001E-3</v>
      </c>
      <c r="AC74" s="49">
        <f t="shared" si="239"/>
        <v>1.3062500000000001E-3</v>
      </c>
      <c r="AD74" s="49">
        <f t="shared" si="239"/>
        <v>1.3062500000000001E-3</v>
      </c>
      <c r="AE74" s="49">
        <f t="shared" si="239"/>
        <v>1.3062500000000001E-3</v>
      </c>
      <c r="AF74" s="49">
        <f t="shared" si="239"/>
        <v>1.3062500000000001E-3</v>
      </c>
      <c r="AG74" s="49">
        <f t="shared" si="239"/>
        <v>1.3062500000000001E-3</v>
      </c>
      <c r="AH74" s="49">
        <f t="shared" si="239"/>
        <v>1.3062500000000001E-3</v>
      </c>
      <c r="AI74" s="49">
        <f t="shared" si="239"/>
        <v>1.3062500000000001E-3</v>
      </c>
      <c r="AJ74" s="60">
        <f t="shared" ref="AJ74:AW74" si="293">IFERROR(AJ12/$B60,0)</f>
        <v>1.9138755980861242</v>
      </c>
      <c r="AK74" s="60">
        <f t="shared" si="293"/>
        <v>17889.42612098109</v>
      </c>
      <c r="AL74" s="60">
        <f t="shared" si="293"/>
        <v>1719.5233366434952</v>
      </c>
      <c r="AM74" s="60">
        <f t="shared" si="293"/>
        <v>1.9087220485550257E-4</v>
      </c>
      <c r="AN74" s="60">
        <f>IFERROR(AN12/$B60,0)</f>
        <v>3.8277511961722485E-3</v>
      </c>
      <c r="AO74" s="60">
        <f>IFERROR(AO12/$B60,0)</f>
        <v>1.0744564761185259E-6</v>
      </c>
      <c r="AP74" s="60">
        <f>IFERROR(AP12/$B60,0)</f>
        <v>1.1066901704020815E-6</v>
      </c>
      <c r="AQ74" s="60">
        <f>IFERROR(AQ12/$B60,0)</f>
        <v>1.0744564761185259E-6</v>
      </c>
      <c r="AR74" s="60">
        <f t="shared" si="293"/>
        <v>1.0744564761185259E-6</v>
      </c>
      <c r="AS74" s="60">
        <f t="shared" si="293"/>
        <v>1.0744564761185259E-6</v>
      </c>
      <c r="AT74" s="60">
        <f t="shared" si="293"/>
        <v>1.0744564761185259E-6</v>
      </c>
      <c r="AU74" s="60">
        <f>IFERROR(AU12/$B60,0)</f>
        <v>1.1066901704020815E-6</v>
      </c>
      <c r="AV74" s="60">
        <f t="shared" si="293"/>
        <v>1.0744564761185259E-6</v>
      </c>
      <c r="AW74" s="60">
        <f t="shared" si="293"/>
        <v>1.1066901704020815E-6</v>
      </c>
      <c r="AX74" s="42"/>
      <c r="AY74" s="42"/>
      <c r="AZ74" s="42"/>
      <c r="BA74" s="42"/>
      <c r="BB74" s="42"/>
      <c r="BC74" s="42"/>
      <c r="BD74" s="42"/>
      <c r="BE74" s="42"/>
      <c r="BF74" s="42"/>
      <c r="BG74" s="42"/>
      <c r="BH74" s="42"/>
      <c r="BI74" s="42"/>
      <c r="BJ74" s="42"/>
      <c r="BK74" s="42"/>
      <c r="BL74" s="60">
        <f>IFERROR(BL12/$B60,0)</f>
        <v>1.2047459136548471E-7</v>
      </c>
      <c r="BM74" s="71">
        <f>IFERROR(up_RadSpec!$D$12*BM12,".")*$B$74</f>
        <v>2.6125000000000004E-6</v>
      </c>
      <c r="BN74" s="71">
        <f>IFERROR(up_RadSpec!$G$12*BN12,".")*$B$74</f>
        <v>2.794947119145368E-10</v>
      </c>
      <c r="BO74" s="71">
        <f>IFERROR(up_RadSpec!$F$12*BO12,".")*$B$74</f>
        <v>2.9077825775601195E-9</v>
      </c>
      <c r="BP74" s="71">
        <f>up_b2s!BZ74</f>
        <v>72563815789473.688</v>
      </c>
      <c r="BQ74" s="71">
        <f>IFERROR(up_RadSpec!$E$12*BQ12,".")*$B$74</f>
        <v>1.3062500000000001E-3</v>
      </c>
      <c r="BR74" s="71">
        <f>IFERROR(up_RadSpec!$E$12*BR12,".")*$B$74</f>
        <v>4.6535156250000007</v>
      </c>
      <c r="BS74" s="71">
        <f>IFERROR(up_RadSpec!$E$12*BS12,".")*$B$74</f>
        <v>4.5179763349514559</v>
      </c>
      <c r="BT74" s="71">
        <f>IFERROR(up_RadSpec!$E$12*BT12,".")*$B$74</f>
        <v>4.6535156250000007</v>
      </c>
      <c r="BU74" s="71">
        <f>IFERROR(up_RadSpec!$E$12*BU12,".")*$B$74</f>
        <v>4.6535156250000007</v>
      </c>
      <c r="BV74" s="71">
        <f>IFERROR(up_RadSpec!$E$12*BV12,".")*$B$74</f>
        <v>4.6535156250000007</v>
      </c>
      <c r="BW74" s="71">
        <f>IFERROR(up_RadSpec!$E$12*BW12,".")*$B$74</f>
        <v>4.6535156250000007</v>
      </c>
      <c r="BX74" s="71">
        <f>IFERROR(up_RadSpec!$E$12*BX12,".")*$B$74</f>
        <v>4.5179763349514559</v>
      </c>
      <c r="BY74" s="71">
        <f>IFERROR(up_RadSpec!$E$12*BY12,".")*$B$74</f>
        <v>4.6535156250000007</v>
      </c>
      <c r="BZ74" s="71">
        <f>IFERROR(up_RadSpec!$E$12*BZ12,".")*$B$74</f>
        <v>4.5179763349514559</v>
      </c>
      <c r="CA74" s="49">
        <f t="shared" si="241"/>
        <v>2.6125000000000004E-6</v>
      </c>
      <c r="CB74" s="49">
        <f t="shared" si="242"/>
        <v>2.794947119145368E-10</v>
      </c>
      <c r="CC74" s="49">
        <f t="shared" si="243"/>
        <v>2.9077825775601195E-9</v>
      </c>
      <c r="CD74" s="49">
        <f t="shared" si="244"/>
        <v>1</v>
      </c>
      <c r="CE74" s="49">
        <f t="shared" si="245"/>
        <v>1.3062500000000001E-3</v>
      </c>
      <c r="CF74" s="49">
        <f t="shared" si="246"/>
        <v>0.99047195405654842</v>
      </c>
      <c r="CG74" s="49">
        <f t="shared" si="247"/>
        <v>0.98908891828331191</v>
      </c>
      <c r="CH74" s="49">
        <f t="shared" si="248"/>
        <v>0.99047195405654842</v>
      </c>
      <c r="CI74" s="49">
        <f t="shared" si="249"/>
        <v>0.99047195405654842</v>
      </c>
      <c r="CJ74" s="49">
        <f t="shared" si="250"/>
        <v>0.99047195405654842</v>
      </c>
      <c r="CK74" s="49">
        <f t="shared" si="251"/>
        <v>0.99047195405654842</v>
      </c>
      <c r="CL74" s="49">
        <f t="shared" si="252"/>
        <v>0.98908891828331191</v>
      </c>
      <c r="CM74" s="49">
        <f t="shared" si="253"/>
        <v>0.99047195405654842</v>
      </c>
      <c r="CN74" s="49">
        <f t="shared" si="254"/>
        <v>0.98908891828331191</v>
      </c>
      <c r="CO74" s="49">
        <f t="shared" si="255"/>
        <v>1</v>
      </c>
      <c r="CP74" s="60">
        <f t="shared" ref="CP74:DC74" si="294">IFERROR(CP12/$B60,0)</f>
        <v>2.1052631578947364E-2</v>
      </c>
      <c r="CQ74" s="60">
        <f t="shared" si="294"/>
        <v>0</v>
      </c>
      <c r="CR74" s="60">
        <f t="shared" si="294"/>
        <v>230.5263157894737</v>
      </c>
      <c r="CS74" s="60">
        <f t="shared" si="294"/>
        <v>9.5198705603378065E-4</v>
      </c>
      <c r="CT74" s="60">
        <f>IFERROR(CT12/$B60,0)</f>
        <v>0.76555023923444965</v>
      </c>
      <c r="CU74" s="60">
        <f>IFERROR(CU12/$B60,0)</f>
        <v>0.15311004784688992</v>
      </c>
      <c r="CV74" s="60">
        <f>IFERROR(CV12/$B60,0)</f>
        <v>0.1577033492822966</v>
      </c>
      <c r="CW74" s="60">
        <f>IFERROR(CW12/$B60,0)</f>
        <v>0.15311004784688992</v>
      </c>
      <c r="CX74" s="60">
        <f t="shared" si="294"/>
        <v>0.15311004784688992</v>
      </c>
      <c r="CY74" s="60">
        <f t="shared" si="294"/>
        <v>0.15311004784688992</v>
      </c>
      <c r="CZ74" s="60">
        <f t="shared" si="294"/>
        <v>0.15311004784688992</v>
      </c>
      <c r="DA74" s="60">
        <f>IFERROR(DA12/$B60,0)</f>
        <v>0.1577033492822966</v>
      </c>
      <c r="DB74" s="60">
        <f t="shared" si="294"/>
        <v>0.15311004784688992</v>
      </c>
      <c r="DC74" s="60">
        <f t="shared" si="294"/>
        <v>0.1577033492822966</v>
      </c>
      <c r="DD74" s="15"/>
      <c r="DE74" s="15"/>
      <c r="DF74" s="15"/>
      <c r="DG74" s="15"/>
      <c r="DH74" s="15"/>
      <c r="DI74" s="15"/>
      <c r="DJ74" s="15"/>
      <c r="DK74" s="15"/>
      <c r="DL74" s="15"/>
      <c r="DM74" s="15"/>
      <c r="DN74" s="15"/>
      <c r="DO74" s="15"/>
      <c r="DP74" s="15"/>
      <c r="DQ74" s="15"/>
      <c r="DR74" s="60">
        <f>IFERROR(DR12/$B60,0)</f>
        <v>8.6396402848835105E-4</v>
      </c>
      <c r="DS74" s="71">
        <f>IFERROR(up_RadSpec!$H$12*DS12,".")*$B$74</f>
        <v>2.3750000000000003E-4</v>
      </c>
      <c r="DT74" s="71">
        <f>IFERROR(up_RadSpec!$G$12*DT12,".")*$B$74</f>
        <v>4.3294270833333329E-5</v>
      </c>
      <c r="DU74" s="71">
        <f>IFERROR(up_RadSpec!$L$12*DU12,".")*$B$74</f>
        <v>2.1689497716894977E-8</v>
      </c>
      <c r="DV74" s="71">
        <f>up_b2w!BZ74</f>
        <v>14548953606753.555</v>
      </c>
      <c r="DW74" s="71">
        <f>IFERROR(up_RadSpec!$E$12*DW12,".")*$B$74</f>
        <v>6.5312500000000004E-6</v>
      </c>
      <c r="DX74" s="71">
        <f>IFERROR(up_RadSpec!$E$12*DX12,".")*$B$74</f>
        <v>3.2656250000000004E-5</v>
      </c>
      <c r="DY74" s="71">
        <f>IFERROR(up_RadSpec!$E$12*DY12,".")*$B$74</f>
        <v>3.1705097087378639E-5</v>
      </c>
      <c r="DZ74" s="71">
        <f>IFERROR(up_RadSpec!$E$12*DZ12,".")*$B$74</f>
        <v>3.2656250000000004E-5</v>
      </c>
      <c r="EA74" s="71">
        <f>IFERROR(up_RadSpec!$E$12*EA12,".")*$B$74</f>
        <v>3.2656250000000004E-5</v>
      </c>
      <c r="EB74" s="71">
        <f>IFERROR(up_RadSpec!$E$12*EB12,".")*$B$74</f>
        <v>3.2656250000000004E-5</v>
      </c>
      <c r="EC74" s="71">
        <f>IFERROR(up_RadSpec!$E$12*EC12,".")*$B$74</f>
        <v>3.2656250000000004E-5</v>
      </c>
      <c r="ED74" s="71">
        <f>IFERROR(up_RadSpec!$E$12*ED12,".")*$B$74</f>
        <v>3.1705097087378639E-5</v>
      </c>
      <c r="EE74" s="71">
        <f>IFERROR(up_RadSpec!$E$12*EE12,".")*$B$74</f>
        <v>3.2656250000000004E-5</v>
      </c>
      <c r="EF74" s="71">
        <f>IFERROR(up_RadSpec!$E$12*EF12,".")*$B$74</f>
        <v>3.1705097087378639E-5</v>
      </c>
      <c r="EG74" s="49">
        <f t="shared" si="257"/>
        <v>2.3750000000000003E-4</v>
      </c>
      <c r="EH74" s="49">
        <f t="shared" si="258"/>
        <v>4.3294270833333329E-5</v>
      </c>
      <c r="EI74" s="49">
        <f t="shared" si="259"/>
        <v>2.1689497716894977E-8</v>
      </c>
      <c r="EJ74" s="49">
        <f t="shared" si="260"/>
        <v>1</v>
      </c>
      <c r="EK74" s="49">
        <f t="shared" si="261"/>
        <v>6.5312500000000004E-6</v>
      </c>
      <c r="EL74" s="49">
        <f t="shared" si="261"/>
        <v>3.2656250000000004E-5</v>
      </c>
      <c r="EM74" s="49">
        <f t="shared" si="261"/>
        <v>3.1705097087378639E-5</v>
      </c>
      <c r="EN74" s="49">
        <f t="shared" si="261"/>
        <v>3.2656250000000004E-5</v>
      </c>
      <c r="EO74" s="49">
        <f t="shared" si="261"/>
        <v>3.2656250000000004E-5</v>
      </c>
      <c r="EP74" s="49">
        <f t="shared" si="261"/>
        <v>3.2656250000000004E-5</v>
      </c>
      <c r="EQ74" s="49">
        <f t="shared" si="261"/>
        <v>3.2656250000000004E-5</v>
      </c>
      <c r="ER74" s="49">
        <f t="shared" si="261"/>
        <v>3.1705097087378639E-5</v>
      </c>
      <c r="ES74" s="49">
        <f t="shared" si="261"/>
        <v>3.2656250000000004E-5</v>
      </c>
      <c r="ET74" s="49">
        <f t="shared" si="261"/>
        <v>3.1705097087378639E-5</v>
      </c>
      <c r="EU74" s="49">
        <f t="shared" si="262"/>
        <v>1</v>
      </c>
      <c r="EV74" s="60">
        <f>IFERROR(EV12/$B60,0)</f>
        <v>5.774436090225564E-2</v>
      </c>
      <c r="EW74" s="60">
        <f>IFERROR(EW12/$B60,0)</f>
        <v>92.21052631578948</v>
      </c>
      <c r="EX74" s="60">
        <f>IFERROR(EX12/$B60,0)</f>
        <v>5.7708222680616122E-2</v>
      </c>
      <c r="EY74" s="71">
        <f>IFERROR(up_RadSpec!$G$12*EY12,".")*$B$74</f>
        <v>8.6588541666666658E-5</v>
      </c>
      <c r="EZ74" s="71">
        <f>IFERROR(up_RadSpec!$J$12*EZ12,".")*$B$74</f>
        <v>5.4223744292237439E-8</v>
      </c>
      <c r="FA74" s="49">
        <f t="shared" si="263"/>
        <v>8.6588541666666658E-5</v>
      </c>
      <c r="FB74" s="49">
        <f t="shared" si="263"/>
        <v>5.4223744292237439E-8</v>
      </c>
      <c r="FC74" s="49">
        <f t="shared" si="264"/>
        <v>8.6642765410958899E-5</v>
      </c>
    </row>
    <row r="75" spans="1:159" x14ac:dyDescent="0.25">
      <c r="A75" s="83" t="s">
        <v>1099</v>
      </c>
      <c r="B75" s="42">
        <v>1</v>
      </c>
      <c r="C75" s="60">
        <f t="shared" ref="C75:M75" si="295">IFERROR(C18/$B61,0)</f>
        <v>1.8181818181818181E-11</v>
      </c>
      <c r="D75" s="60">
        <f t="shared" si="295"/>
        <v>7.2727272727272723E-11</v>
      </c>
      <c r="E75" s="60">
        <f t="shared" si="295"/>
        <v>7.2727272727272723E-11</v>
      </c>
      <c r="F75" s="60">
        <f t="shared" si="295"/>
        <v>7.2727272727272723E-11</v>
      </c>
      <c r="G75" s="60">
        <f t="shared" si="295"/>
        <v>7.2727272727272723E-11</v>
      </c>
      <c r="H75" s="60">
        <f t="shared" si="295"/>
        <v>7.2727272727272723E-11</v>
      </c>
      <c r="I75" s="60">
        <f t="shared" si="295"/>
        <v>7.2727272727272723E-11</v>
      </c>
      <c r="J75" s="60">
        <f t="shared" si="295"/>
        <v>7.2727272727272723E-11</v>
      </c>
      <c r="K75" s="60">
        <f t="shared" si="295"/>
        <v>7.2727272727272723E-11</v>
      </c>
      <c r="L75" s="60">
        <f t="shared" si="295"/>
        <v>7.2727272727272723E-11</v>
      </c>
      <c r="M75" s="60">
        <f t="shared" si="295"/>
        <v>7.2727272727272723E-11</v>
      </c>
      <c r="N75" s="71">
        <f>up_dir!BA75</f>
        <v>275000</v>
      </c>
      <c r="O75" s="71">
        <f>IFERROR(up_RadSpec!$E$18*O18,".")*$B$75</f>
        <v>68750</v>
      </c>
      <c r="P75" s="71">
        <f>IFERROR(up_RadSpec!$E$18*P18,".")*$B$75</f>
        <v>68750</v>
      </c>
      <c r="Q75" s="71">
        <f>IFERROR(up_RadSpec!$E$18*Q18,".")*$B$75</f>
        <v>68750</v>
      </c>
      <c r="R75" s="71">
        <f>IFERROR(up_RadSpec!$E$18*R18,".")*$B$75</f>
        <v>68750</v>
      </c>
      <c r="S75" s="71">
        <f>IFERROR(up_RadSpec!$E$18*S18,".")*$B$75</f>
        <v>68750</v>
      </c>
      <c r="T75" s="71">
        <f>IFERROR(up_RadSpec!$E$18*T18,".")*$B$75</f>
        <v>68750</v>
      </c>
      <c r="U75" s="71">
        <f>IFERROR(up_RadSpec!$E$18*U18,".")*$B$75</f>
        <v>68750</v>
      </c>
      <c r="V75" s="71">
        <f>IFERROR(up_RadSpec!$E$18*V18,".")*$B$75</f>
        <v>68750</v>
      </c>
      <c r="W75" s="71">
        <f>IFERROR(up_RadSpec!$E$18*W18,".")*$B$75</f>
        <v>68750</v>
      </c>
      <c r="X75" s="71">
        <f>IFERROR(up_RadSpec!$E$18*X18,".")*$B$75</f>
        <v>68750</v>
      </c>
      <c r="Y75" s="49">
        <f t="shared" si="239"/>
        <v>1</v>
      </c>
      <c r="Z75" s="49">
        <f t="shared" si="239"/>
        <v>1</v>
      </c>
      <c r="AA75" s="49">
        <f t="shared" si="239"/>
        <v>1</v>
      </c>
      <c r="AB75" s="49">
        <f t="shared" si="239"/>
        <v>1</v>
      </c>
      <c r="AC75" s="49">
        <f t="shared" si="239"/>
        <v>1</v>
      </c>
      <c r="AD75" s="49">
        <f t="shared" si="239"/>
        <v>1</v>
      </c>
      <c r="AE75" s="49">
        <f t="shared" si="239"/>
        <v>1</v>
      </c>
      <c r="AF75" s="49">
        <f t="shared" si="239"/>
        <v>1</v>
      </c>
      <c r="AG75" s="49">
        <f t="shared" si="239"/>
        <v>1</v>
      </c>
      <c r="AH75" s="49">
        <f t="shared" si="239"/>
        <v>1</v>
      </c>
      <c r="AI75" s="49">
        <f t="shared" si="239"/>
        <v>1</v>
      </c>
      <c r="AJ75" s="60">
        <f t="shared" ref="AJ75:AW75" si="296">IFERROR(AJ18/$B61,0)</f>
        <v>3.6363636363636363E-8</v>
      </c>
      <c r="AK75" s="60">
        <f t="shared" si="296"/>
        <v>3.3989909629864073E-4</v>
      </c>
      <c r="AL75" s="60">
        <f t="shared" si="296"/>
        <v>1.6417089783281737E-5</v>
      </c>
      <c r="AM75" s="60">
        <f t="shared" si="296"/>
        <v>3.6265718922545492E-12</v>
      </c>
      <c r="AN75" s="60">
        <f>IFERROR(AN18/$B61,0)</f>
        <v>7.2727272727272723E-11</v>
      </c>
      <c r="AO75" s="60">
        <f>IFERROR(AO18/$B61,0)</f>
        <v>2.0414673046251994E-14</v>
      </c>
      <c r="AP75" s="60">
        <f>IFERROR(AP18/$B61,0)</f>
        <v>2.102711323763955E-14</v>
      </c>
      <c r="AQ75" s="60">
        <f>IFERROR(AQ18/$B61,0)</f>
        <v>2.0414673046251994E-14</v>
      </c>
      <c r="AR75" s="60">
        <f t="shared" si="296"/>
        <v>2.0414673046251994E-14</v>
      </c>
      <c r="AS75" s="60">
        <f t="shared" si="296"/>
        <v>2.0414673046251994E-14</v>
      </c>
      <c r="AT75" s="60">
        <f t="shared" si="296"/>
        <v>2.0414673046251994E-14</v>
      </c>
      <c r="AU75" s="60">
        <f>IFERROR(AU18/$B61,0)</f>
        <v>2.102711323763955E-14</v>
      </c>
      <c r="AV75" s="60">
        <f t="shared" si="296"/>
        <v>2.0414673046251994E-14</v>
      </c>
      <c r="AW75" s="60">
        <f t="shared" si="296"/>
        <v>2.102711323763955E-14</v>
      </c>
      <c r="AX75" s="42"/>
      <c r="AY75" s="42"/>
      <c r="AZ75" s="42"/>
      <c r="BA75" s="42"/>
      <c r="BB75" s="42"/>
      <c r="BC75" s="42"/>
      <c r="BD75" s="42"/>
      <c r="BE75" s="42"/>
      <c r="BF75" s="42"/>
      <c r="BG75" s="42"/>
      <c r="BH75" s="42"/>
      <c r="BI75" s="42"/>
      <c r="BJ75" s="42"/>
      <c r="BK75" s="42"/>
      <c r="BL75" s="60">
        <f>IFERROR(BL18/$B61,0)</f>
        <v>2.2890172357854293E-15</v>
      </c>
      <c r="BM75" s="71">
        <f>IFERROR(up_RadSpec!$D$18*BM18,".")*$B$75</f>
        <v>137.5</v>
      </c>
      <c r="BN75" s="71">
        <f>IFERROR(up_RadSpec!$G$18*BN18,".")*$B$75</f>
        <v>1.4710247995501937E-2</v>
      </c>
      <c r="BO75" s="71">
        <f>IFERROR(up_RadSpec!$F$18*BO18,".")*$B$75</f>
        <v>0.30456067829340405</v>
      </c>
      <c r="BP75" s="71">
        <f>up_b2s!BZ75</f>
        <v>1378712.5</v>
      </c>
      <c r="BQ75" s="71">
        <f>IFERROR(up_RadSpec!$E$18*BQ18,".")*$B$75</f>
        <v>68750</v>
      </c>
      <c r="BR75" s="71">
        <f>IFERROR(up_RadSpec!$E$18*BR18,".")*$B$75</f>
        <v>244921875</v>
      </c>
      <c r="BS75" s="71">
        <f>IFERROR(up_RadSpec!$E$18*BS18,".")*$B$75</f>
        <v>237788228.15533978</v>
      </c>
      <c r="BT75" s="71">
        <f>IFERROR(up_RadSpec!$E$18*BT18,".")*$B$75</f>
        <v>244921875</v>
      </c>
      <c r="BU75" s="71">
        <f>IFERROR(up_RadSpec!$E$18*BU18,".")*$B$75</f>
        <v>244921875</v>
      </c>
      <c r="BV75" s="71">
        <f>IFERROR(up_RadSpec!$E$18*BV18,".")*$B$75</f>
        <v>244921875</v>
      </c>
      <c r="BW75" s="71">
        <f>IFERROR(up_RadSpec!$E$18*BW18,".")*$B$75</f>
        <v>244921875</v>
      </c>
      <c r="BX75" s="71">
        <f>IFERROR(up_RadSpec!$E$18*BX18,".")*$B$75</f>
        <v>237788228.15533978</v>
      </c>
      <c r="BY75" s="71">
        <f>IFERROR(up_RadSpec!$E$18*BY18,".")*$B$75</f>
        <v>244921875</v>
      </c>
      <c r="BZ75" s="71">
        <f>IFERROR(up_RadSpec!$E$18*BZ18,".")*$B$75</f>
        <v>237788228.15533978</v>
      </c>
      <c r="CA75" s="49">
        <f t="shared" si="241"/>
        <v>1</v>
      </c>
      <c r="CB75" s="49">
        <f t="shared" si="242"/>
        <v>1.4602580880648697E-2</v>
      </c>
      <c r="CC75" s="49">
        <f t="shared" si="243"/>
        <v>0.26255272016542641</v>
      </c>
      <c r="CD75" s="49">
        <f t="shared" si="244"/>
        <v>1</v>
      </c>
      <c r="CE75" s="49">
        <f t="shared" si="245"/>
        <v>1</v>
      </c>
      <c r="CF75" s="49">
        <f t="shared" si="246"/>
        <v>1</v>
      </c>
      <c r="CG75" s="49">
        <f t="shared" si="247"/>
        <v>1</v>
      </c>
      <c r="CH75" s="49">
        <f t="shared" si="248"/>
        <v>1</v>
      </c>
      <c r="CI75" s="49">
        <f t="shared" si="249"/>
        <v>1</v>
      </c>
      <c r="CJ75" s="49">
        <f t="shared" si="250"/>
        <v>1</v>
      </c>
      <c r="CK75" s="49">
        <f t="shared" si="251"/>
        <v>1</v>
      </c>
      <c r="CL75" s="49">
        <f t="shared" si="252"/>
        <v>1</v>
      </c>
      <c r="CM75" s="49">
        <f t="shared" si="253"/>
        <v>1</v>
      </c>
      <c r="CN75" s="49">
        <f t="shared" si="254"/>
        <v>1</v>
      </c>
      <c r="CO75" s="49">
        <f t="shared" si="255"/>
        <v>1</v>
      </c>
      <c r="CP75" s="60">
        <f t="shared" ref="CP75:DC75" si="297">IFERROR(CP18/$B61,0)</f>
        <v>3.9999999999999996E-10</v>
      </c>
      <c r="CQ75" s="60">
        <f t="shared" si="297"/>
        <v>0</v>
      </c>
      <c r="CR75" s="60">
        <f t="shared" si="297"/>
        <v>4.3800000000000004E-6</v>
      </c>
      <c r="CS75" s="60">
        <f t="shared" si="297"/>
        <v>1.8087754064641833E-11</v>
      </c>
      <c r="CT75" s="60">
        <f>IFERROR(CT18/$B61,0)</f>
        <v>1.4545454545454544E-8</v>
      </c>
      <c r="CU75" s="60">
        <f>IFERROR(CU18/$B61,0)</f>
        <v>2.9090909090909087E-9</v>
      </c>
      <c r="CV75" s="60">
        <f>IFERROR(CV18/$B61,0)</f>
        <v>2.9963636363636357E-9</v>
      </c>
      <c r="CW75" s="60">
        <f>IFERROR(CW18/$B61,0)</f>
        <v>2.9090909090909087E-9</v>
      </c>
      <c r="CX75" s="60">
        <f t="shared" si="297"/>
        <v>2.9090909090909087E-9</v>
      </c>
      <c r="CY75" s="60">
        <f t="shared" si="297"/>
        <v>2.9090909090909087E-9</v>
      </c>
      <c r="CZ75" s="60">
        <f t="shared" si="297"/>
        <v>2.9090909090909087E-9</v>
      </c>
      <c r="DA75" s="60">
        <f>IFERROR(DA18/$B61,0)</f>
        <v>2.9963636363636357E-9</v>
      </c>
      <c r="DB75" s="60">
        <f t="shared" si="297"/>
        <v>2.9090909090909087E-9</v>
      </c>
      <c r="DC75" s="60">
        <f t="shared" si="297"/>
        <v>2.9963636363636357E-9</v>
      </c>
      <c r="DD75" s="15"/>
      <c r="DE75" s="15"/>
      <c r="DF75" s="15"/>
      <c r="DG75" s="15"/>
      <c r="DH75" s="15"/>
      <c r="DI75" s="15"/>
      <c r="DJ75" s="15"/>
      <c r="DK75" s="15"/>
      <c r="DL75" s="15"/>
      <c r="DM75" s="15"/>
      <c r="DN75" s="15"/>
      <c r="DO75" s="15"/>
      <c r="DP75" s="15"/>
      <c r="DQ75" s="15"/>
      <c r="DR75" s="60">
        <f>IFERROR(DR18/$B61,0)</f>
        <v>1.6415316541278672E-11</v>
      </c>
      <c r="DS75" s="71">
        <f>IFERROR(up_RadSpec!$H$18*DS18,".")*$B$75</f>
        <v>12500</v>
      </c>
      <c r="DT75" s="71">
        <f>IFERROR(up_RadSpec!$G$18*DT18,".")*$B$75</f>
        <v>2278.645833333333</v>
      </c>
      <c r="DU75" s="71">
        <f>IFERROR(up_RadSpec!$L$18*DU18,".")*$B$75</f>
        <v>1.1415525114155249</v>
      </c>
      <c r="DV75" s="71">
        <f>up_b2w!BZ75</f>
        <v>276430.1185283176</v>
      </c>
      <c r="DW75" s="71">
        <f>IFERROR(up_RadSpec!$E$18*DW18,".")*$B$75</f>
        <v>343.75</v>
      </c>
      <c r="DX75" s="71">
        <f>IFERROR(up_RadSpec!$E$18*DX18,".")*$B$75</f>
        <v>1718.75</v>
      </c>
      <c r="DY75" s="71">
        <f>IFERROR(up_RadSpec!$E$18*DY18,".")*$B$75</f>
        <v>1668.6893203883494</v>
      </c>
      <c r="DZ75" s="71">
        <f>IFERROR(up_RadSpec!$E$18*DZ18,".")*$B$75</f>
        <v>1718.75</v>
      </c>
      <c r="EA75" s="71">
        <f>IFERROR(up_RadSpec!$E$18*EA18,".")*$B$75</f>
        <v>1718.75</v>
      </c>
      <c r="EB75" s="71">
        <f>IFERROR(up_RadSpec!$E$18*EB18,".")*$B$75</f>
        <v>1718.75</v>
      </c>
      <c r="EC75" s="71">
        <f>IFERROR(up_RadSpec!$E$18*EC18,".")*$B$75</f>
        <v>1718.75</v>
      </c>
      <c r="ED75" s="71">
        <f>IFERROR(up_RadSpec!$E$18*ED18,".")*$B$75</f>
        <v>1668.6893203883494</v>
      </c>
      <c r="EE75" s="71">
        <f>IFERROR(up_RadSpec!$E$18*EE18,".")*$B$75</f>
        <v>1718.75</v>
      </c>
      <c r="EF75" s="71">
        <f>IFERROR(up_RadSpec!$E$18*EF18,".")*$B$75</f>
        <v>1668.6893203883494</v>
      </c>
      <c r="EG75" s="49">
        <f t="shared" si="257"/>
        <v>1</v>
      </c>
      <c r="EH75" s="49">
        <f t="shared" si="258"/>
        <v>1</v>
      </c>
      <c r="EI75" s="49">
        <f t="shared" si="259"/>
        <v>0.68067711563678512</v>
      </c>
      <c r="EJ75" s="49">
        <f t="shared" si="260"/>
        <v>1</v>
      </c>
      <c r="EK75" s="49">
        <f t="shared" si="261"/>
        <v>1</v>
      </c>
      <c r="EL75" s="49">
        <f t="shared" si="261"/>
        <v>1</v>
      </c>
      <c r="EM75" s="49">
        <f t="shared" si="261"/>
        <v>1</v>
      </c>
      <c r="EN75" s="49">
        <f t="shared" si="261"/>
        <v>1</v>
      </c>
      <c r="EO75" s="49">
        <f t="shared" si="261"/>
        <v>1</v>
      </c>
      <c r="EP75" s="49">
        <f t="shared" si="261"/>
        <v>1</v>
      </c>
      <c r="EQ75" s="49">
        <f t="shared" si="261"/>
        <v>1</v>
      </c>
      <c r="ER75" s="49">
        <f t="shared" si="261"/>
        <v>1</v>
      </c>
      <c r="ES75" s="49">
        <f t="shared" si="261"/>
        <v>1</v>
      </c>
      <c r="ET75" s="49">
        <f t="shared" si="261"/>
        <v>1</v>
      </c>
      <c r="EU75" s="49">
        <f t="shared" si="262"/>
        <v>1</v>
      </c>
      <c r="EV75" s="60">
        <f>IFERROR(EV18/$B61,0)</f>
        <v>1.0971428571428573E-9</v>
      </c>
      <c r="EW75" s="60">
        <f>IFERROR(EW18/$B61,0)</f>
        <v>1.7520000000000001E-6</v>
      </c>
      <c r="EX75" s="60">
        <f>IFERROR(EX18/$B61,0)</f>
        <v>1.0964562309317064E-9</v>
      </c>
      <c r="EY75" s="71">
        <f>IFERROR(up_RadSpec!$G$18*EY18,".")*$B$75</f>
        <v>4557.2916666666661</v>
      </c>
      <c r="EZ75" s="71">
        <f>IFERROR(up_RadSpec!$J$18*EZ18,".")*$B$75</f>
        <v>2.8538812785388123</v>
      </c>
      <c r="FA75" s="49">
        <f t="shared" si="263"/>
        <v>1</v>
      </c>
      <c r="FB75" s="49">
        <f t="shared" si="263"/>
        <v>0.9423797539167309</v>
      </c>
      <c r="FC75" s="49">
        <f t="shared" si="264"/>
        <v>1</v>
      </c>
    </row>
    <row r="76" spans="1:159" x14ac:dyDescent="0.25">
      <c r="A76" s="83" t="s">
        <v>1100</v>
      </c>
      <c r="B76" s="42">
        <v>1.339E-6</v>
      </c>
      <c r="C76" s="60">
        <f t="shared" ref="C76:M76" si="298">IFERROR(C27/$B62,0)</f>
        <v>1.3578654355353383E-5</v>
      </c>
      <c r="D76" s="60">
        <f t="shared" si="298"/>
        <v>5.4314617421413531E-5</v>
      </c>
      <c r="E76" s="60">
        <f t="shared" si="298"/>
        <v>5.4314617421413531E-5</v>
      </c>
      <c r="F76" s="60">
        <f t="shared" si="298"/>
        <v>5.4314617421413531E-5</v>
      </c>
      <c r="G76" s="60">
        <f t="shared" si="298"/>
        <v>5.4314617421413531E-5</v>
      </c>
      <c r="H76" s="60">
        <f t="shared" si="298"/>
        <v>5.4314617421413531E-5</v>
      </c>
      <c r="I76" s="60">
        <f t="shared" si="298"/>
        <v>5.4314617421413531E-5</v>
      </c>
      <c r="J76" s="60">
        <f t="shared" si="298"/>
        <v>5.4314617421413531E-5</v>
      </c>
      <c r="K76" s="60">
        <f t="shared" si="298"/>
        <v>5.4314617421413531E-5</v>
      </c>
      <c r="L76" s="60">
        <f t="shared" si="298"/>
        <v>5.4314617421413531E-5</v>
      </c>
      <c r="M76" s="60">
        <f t="shared" si="298"/>
        <v>5.4314617421413531E-5</v>
      </c>
      <c r="N76" s="71">
        <f>up_dir!BA76</f>
        <v>205377147124.71991</v>
      </c>
      <c r="O76" s="71">
        <f>IFERROR(up_RadSpec!$E$27*O27,".")*$B$76</f>
        <v>9.2056250000000006E-2</v>
      </c>
      <c r="P76" s="71">
        <f>IFERROR(up_RadSpec!$E$27*P27,".")*$B$76</f>
        <v>9.2056250000000006E-2</v>
      </c>
      <c r="Q76" s="71">
        <f>IFERROR(up_RadSpec!$E$27*Q27,".")*$B$76</f>
        <v>9.2056250000000006E-2</v>
      </c>
      <c r="R76" s="71">
        <f>IFERROR(up_RadSpec!$E$27*R27,".")*$B$76</f>
        <v>9.2056250000000006E-2</v>
      </c>
      <c r="S76" s="71">
        <f>IFERROR(up_RadSpec!$E$27*S27,".")*$B$76</f>
        <v>9.2056250000000006E-2</v>
      </c>
      <c r="T76" s="71">
        <f>IFERROR(up_RadSpec!$E$27*T27,".")*$B$76</f>
        <v>9.2056250000000006E-2</v>
      </c>
      <c r="U76" s="71">
        <f>IFERROR(up_RadSpec!$E$27*U27,".")*$B$76</f>
        <v>9.2056250000000006E-2</v>
      </c>
      <c r="V76" s="71">
        <f>IFERROR(up_RadSpec!$E$27*V27,".")*$B$76</f>
        <v>9.2056250000000006E-2</v>
      </c>
      <c r="W76" s="71">
        <f>IFERROR(up_RadSpec!$E$27*W27,".")*$B$76</f>
        <v>9.2056250000000006E-2</v>
      </c>
      <c r="X76" s="71">
        <f>IFERROR(up_RadSpec!$E$27*X27,".")*$B$76</f>
        <v>9.2056250000000006E-2</v>
      </c>
      <c r="Y76" s="49">
        <f t="shared" si="239"/>
        <v>1</v>
      </c>
      <c r="Z76" s="49">
        <f t="shared" si="239"/>
        <v>8.7946154926619724E-2</v>
      </c>
      <c r="AA76" s="49">
        <f t="shared" si="239"/>
        <v>8.7946154926619724E-2</v>
      </c>
      <c r="AB76" s="49">
        <f t="shared" si="239"/>
        <v>8.7946154926619724E-2</v>
      </c>
      <c r="AC76" s="49">
        <f t="shared" si="239"/>
        <v>8.7946154926619724E-2</v>
      </c>
      <c r="AD76" s="49">
        <f t="shared" si="239"/>
        <v>8.7946154926619724E-2</v>
      </c>
      <c r="AE76" s="49">
        <f t="shared" si="239"/>
        <v>8.7946154926619724E-2</v>
      </c>
      <c r="AF76" s="49">
        <f t="shared" si="239"/>
        <v>8.7946154926619724E-2</v>
      </c>
      <c r="AG76" s="49">
        <f t="shared" si="239"/>
        <v>8.7946154926619724E-2</v>
      </c>
      <c r="AH76" s="49">
        <f t="shared" si="239"/>
        <v>8.7946154926619724E-2</v>
      </c>
      <c r="AI76" s="49">
        <f t="shared" si="239"/>
        <v>8.7946154926619724E-2</v>
      </c>
      <c r="AJ76" s="60">
        <f t="shared" ref="AJ76:AW76" si="299">IFERROR(AJ27/$B62,0)</f>
        <v>2.7157308710706769E-2</v>
      </c>
      <c r="AK76" s="60">
        <f t="shared" si="299"/>
        <v>253.84547893849196</v>
      </c>
      <c r="AL76" s="60">
        <f t="shared" si="299"/>
        <v>20.121293284957968</v>
      </c>
      <c r="AM76" s="60">
        <f t="shared" si="299"/>
        <v>2.7084181420870421E-6</v>
      </c>
      <c r="AN76" s="60">
        <f>IFERROR(AN27/$B62,0)</f>
        <v>5.4314617421413531E-5</v>
      </c>
      <c r="AO76" s="60">
        <f>IFERROR(AO27/$B62,0)</f>
        <v>1.5246208398993275E-8</v>
      </c>
      <c r="AP76" s="60">
        <f>IFERROR(AP27/$B62,0)</f>
        <v>1.570359465096307E-8</v>
      </c>
      <c r="AQ76" s="60">
        <f>IFERROR(AQ27/$B62,0)</f>
        <v>1.5246208398993275E-8</v>
      </c>
      <c r="AR76" s="60">
        <f t="shared" si="299"/>
        <v>1.5246208398993275E-8</v>
      </c>
      <c r="AS76" s="60">
        <f t="shared" si="299"/>
        <v>1.5246208398993275E-8</v>
      </c>
      <c r="AT76" s="60">
        <f t="shared" si="299"/>
        <v>1.5246208398993275E-8</v>
      </c>
      <c r="AU76" s="60">
        <f>IFERROR(AU27/$B62,0)</f>
        <v>1.570359465096307E-8</v>
      </c>
      <c r="AV76" s="60">
        <f t="shared" si="299"/>
        <v>1.5246208398993275E-8</v>
      </c>
      <c r="AW76" s="60">
        <f t="shared" si="299"/>
        <v>1.570359465096307E-8</v>
      </c>
      <c r="AX76" s="42"/>
      <c r="AY76" s="42"/>
      <c r="AZ76" s="42"/>
      <c r="BA76" s="42"/>
      <c r="BB76" s="42"/>
      <c r="BC76" s="42"/>
      <c r="BD76" s="42"/>
      <c r="BE76" s="42"/>
      <c r="BF76" s="42"/>
      <c r="BG76" s="42"/>
      <c r="BH76" s="42"/>
      <c r="BI76" s="42"/>
      <c r="BJ76" s="42"/>
      <c r="BK76" s="42"/>
      <c r="BL76" s="60">
        <f>IFERROR(BL27/$B62,0)</f>
        <v>1.7094975622928382E-9</v>
      </c>
      <c r="BM76" s="71">
        <f>IFERROR(up_RadSpec!$D$27*BM27,".")*$B$76</f>
        <v>1.8411250000000001E-4</v>
      </c>
      <c r="BN76" s="71">
        <f>IFERROR(up_RadSpec!$G$27*BN27,".")*$B$76</f>
        <v>1.9697022065977095E-8</v>
      </c>
      <c r="BO76" s="71">
        <f>IFERROR(up_RadSpec!$F$27*BO27,".")*$B$76</f>
        <v>2.4849297354747271E-7</v>
      </c>
      <c r="BP76" s="71">
        <f>up_b2s!BZ76</f>
        <v>1029658327109.7834</v>
      </c>
      <c r="BQ76" s="71">
        <f>IFERROR(up_RadSpec!$E$27*BQ27,".")*$B$76</f>
        <v>9.2056250000000006E-2</v>
      </c>
      <c r="BR76" s="71">
        <f>IFERROR(up_RadSpec!$E$27*BR27,".")*$B$76</f>
        <v>327.95039062500001</v>
      </c>
      <c r="BS76" s="71">
        <f>IFERROR(up_RadSpec!$E$27*BS27,".")*$B$76</f>
        <v>318.39843749999994</v>
      </c>
      <c r="BT76" s="71">
        <f>IFERROR(up_RadSpec!$E$27*BT27,".")*$B$76</f>
        <v>327.95039062500001</v>
      </c>
      <c r="BU76" s="71">
        <f>IFERROR(up_RadSpec!$E$27*BU27,".")*$B$76</f>
        <v>327.95039062500001</v>
      </c>
      <c r="BV76" s="71">
        <f>IFERROR(up_RadSpec!$E$27*BV27,".")*$B$76</f>
        <v>327.95039062500001</v>
      </c>
      <c r="BW76" s="71">
        <f>IFERROR(up_RadSpec!$E$27*BW27,".")*$B$76</f>
        <v>327.95039062500001</v>
      </c>
      <c r="BX76" s="71">
        <f>IFERROR(up_RadSpec!$E$27*BX27,".")*$B$76</f>
        <v>318.39843749999994</v>
      </c>
      <c r="BY76" s="71">
        <f>IFERROR(up_RadSpec!$E$27*BY27,".")*$B$76</f>
        <v>327.95039062500001</v>
      </c>
      <c r="BZ76" s="71">
        <f>IFERROR(up_RadSpec!$E$27*BZ27,".")*$B$76</f>
        <v>318.39843749999994</v>
      </c>
      <c r="CA76" s="49">
        <f t="shared" si="241"/>
        <v>1.8411250000000001E-4</v>
      </c>
      <c r="CB76" s="49">
        <f t="shared" si="242"/>
        <v>1.9697022065977095E-8</v>
      </c>
      <c r="CC76" s="49">
        <f t="shared" si="243"/>
        <v>2.4849297354747271E-7</v>
      </c>
      <c r="CD76" s="49">
        <f t="shared" si="244"/>
        <v>1</v>
      </c>
      <c r="CE76" s="49">
        <f t="shared" si="245"/>
        <v>8.7946154926619724E-2</v>
      </c>
      <c r="CF76" s="49">
        <f t="shared" si="246"/>
        <v>1</v>
      </c>
      <c r="CG76" s="49">
        <f t="shared" si="247"/>
        <v>1</v>
      </c>
      <c r="CH76" s="49">
        <f t="shared" si="248"/>
        <v>1</v>
      </c>
      <c r="CI76" s="49">
        <f t="shared" si="249"/>
        <v>1</v>
      </c>
      <c r="CJ76" s="49">
        <f t="shared" si="250"/>
        <v>1</v>
      </c>
      <c r="CK76" s="49">
        <f t="shared" si="251"/>
        <v>1</v>
      </c>
      <c r="CL76" s="49">
        <f t="shared" si="252"/>
        <v>1</v>
      </c>
      <c r="CM76" s="49">
        <f t="shared" si="253"/>
        <v>1</v>
      </c>
      <c r="CN76" s="49">
        <f t="shared" si="254"/>
        <v>1</v>
      </c>
      <c r="CO76" s="49">
        <f t="shared" si="255"/>
        <v>1</v>
      </c>
      <c r="CP76" s="60">
        <f t="shared" ref="CP76:DC76" si="300">IFERROR(CP27/$B62,0)</f>
        <v>2.9873039581777443E-4</v>
      </c>
      <c r="CQ76" s="60">
        <f t="shared" si="300"/>
        <v>0</v>
      </c>
      <c r="CR76" s="60">
        <f t="shared" si="300"/>
        <v>3.2710978342046304</v>
      </c>
      <c r="CS76" s="60">
        <f t="shared" si="300"/>
        <v>1.3508404827962534E-5</v>
      </c>
      <c r="CT76" s="60">
        <f>IFERROR(CT27/$B62,0)</f>
        <v>1.0862923484282706E-2</v>
      </c>
      <c r="CU76" s="60">
        <f>IFERROR(CU27/$B62,0)</f>
        <v>2.1725846968565412E-3</v>
      </c>
      <c r="CV76" s="60">
        <f>IFERROR(CV27/$B62,0)</f>
        <v>2.2377622377622373E-3</v>
      </c>
      <c r="CW76" s="60">
        <f>IFERROR(CW27/$B62,0)</f>
        <v>2.1725846968565412E-3</v>
      </c>
      <c r="CX76" s="60">
        <f t="shared" si="300"/>
        <v>2.1725846968565412E-3</v>
      </c>
      <c r="CY76" s="60">
        <f t="shared" si="300"/>
        <v>2.1725846968565412E-3</v>
      </c>
      <c r="CZ76" s="60">
        <f t="shared" si="300"/>
        <v>2.1725846968565412E-3</v>
      </c>
      <c r="DA76" s="60">
        <f>IFERROR(DA27/$B62,0)</f>
        <v>2.2377622377622373E-3</v>
      </c>
      <c r="DB76" s="60">
        <f t="shared" si="300"/>
        <v>2.1725846968565412E-3</v>
      </c>
      <c r="DC76" s="60">
        <f t="shared" si="300"/>
        <v>2.2377622377622373E-3</v>
      </c>
      <c r="DD76" s="15"/>
      <c r="DE76" s="15"/>
      <c r="DF76" s="15"/>
      <c r="DG76" s="15"/>
      <c r="DH76" s="15"/>
      <c r="DI76" s="15"/>
      <c r="DJ76" s="15"/>
      <c r="DK76" s="15"/>
      <c r="DL76" s="15"/>
      <c r="DM76" s="15"/>
      <c r="DN76" s="15"/>
      <c r="DO76" s="15"/>
      <c r="DP76" s="15"/>
      <c r="DQ76" s="15"/>
      <c r="DR76" s="60">
        <f>IFERROR(DR27/$B62,0)</f>
        <v>1.2259385019625595E-5</v>
      </c>
      <c r="DS76" s="71">
        <f>IFERROR(up_RadSpec!$H$27*DS27,".")*$B$76</f>
        <v>1.6737499999999999E-2</v>
      </c>
      <c r="DT76" s="71">
        <f>IFERROR(up_RadSpec!$G$27*DT27,".")*$B$76</f>
        <v>3.051106770833333E-3</v>
      </c>
      <c r="DU76" s="71">
        <f>IFERROR(up_RadSpec!$L$27*DU27,".")*$B$76</f>
        <v>1.5285388127853878E-6</v>
      </c>
      <c r="DV76" s="71">
        <f>up_b2w!BZ76</f>
        <v>206445196809.79657</v>
      </c>
      <c r="DW76" s="71">
        <f>IFERROR(up_RadSpec!$E$27*DW27,".")*$B$76</f>
        <v>4.6028125000000002E-4</v>
      </c>
      <c r="DX76" s="71">
        <f>IFERROR(up_RadSpec!$E$27*DX27,".")*$B$76</f>
        <v>2.3014062500000001E-3</v>
      </c>
      <c r="DY76" s="71">
        <f>IFERROR(up_RadSpec!$E$27*DY27,".")*$B$76</f>
        <v>2.2343749999999998E-3</v>
      </c>
      <c r="DZ76" s="71">
        <f>IFERROR(up_RadSpec!$E$27*DZ27,".")*$B$76</f>
        <v>2.3014062500000001E-3</v>
      </c>
      <c r="EA76" s="71">
        <f>IFERROR(up_RadSpec!$E$27*EA27,".")*$B$76</f>
        <v>2.3014062500000001E-3</v>
      </c>
      <c r="EB76" s="71">
        <f>IFERROR(up_RadSpec!$E$27*EB27,".")*$B$76</f>
        <v>2.3014062500000001E-3</v>
      </c>
      <c r="EC76" s="71">
        <f>IFERROR(up_RadSpec!$E$27*EC27,".")*$B$76</f>
        <v>2.3014062500000001E-3</v>
      </c>
      <c r="ED76" s="71">
        <f>IFERROR(up_RadSpec!$E$27*ED27,".")*$B$76</f>
        <v>2.2343749999999998E-3</v>
      </c>
      <c r="EE76" s="71">
        <f>IFERROR(up_RadSpec!$E$27*EE27,".")*$B$76</f>
        <v>2.3014062500000001E-3</v>
      </c>
      <c r="EF76" s="71">
        <f>IFERROR(up_RadSpec!$E$27*EF27,".")*$B$76</f>
        <v>2.2343749999999998E-3</v>
      </c>
      <c r="EG76" s="49">
        <f t="shared" si="257"/>
        <v>1.6598206272537386E-2</v>
      </c>
      <c r="EH76" s="49">
        <f t="shared" si="258"/>
        <v>3.051106770833333E-3</v>
      </c>
      <c r="EI76" s="49">
        <f t="shared" si="259"/>
        <v>1.5285388127853878E-6</v>
      </c>
      <c r="EJ76" s="49">
        <f t="shared" si="260"/>
        <v>1</v>
      </c>
      <c r="EK76" s="49">
        <f t="shared" si="261"/>
        <v>4.6028125000000002E-4</v>
      </c>
      <c r="EL76" s="49">
        <f t="shared" si="261"/>
        <v>2.3014062500000001E-3</v>
      </c>
      <c r="EM76" s="49">
        <f t="shared" si="261"/>
        <v>2.2343749999999998E-3</v>
      </c>
      <c r="EN76" s="49">
        <f t="shared" si="261"/>
        <v>2.3014062500000001E-3</v>
      </c>
      <c r="EO76" s="49">
        <f t="shared" si="261"/>
        <v>2.3014062500000001E-3</v>
      </c>
      <c r="EP76" s="49">
        <f t="shared" si="261"/>
        <v>2.3014062500000001E-3</v>
      </c>
      <c r="EQ76" s="49">
        <f t="shared" si="261"/>
        <v>2.3014062500000001E-3</v>
      </c>
      <c r="ER76" s="49">
        <f t="shared" si="261"/>
        <v>2.2343749999999998E-3</v>
      </c>
      <c r="ES76" s="49">
        <f t="shared" si="261"/>
        <v>2.3014062500000001E-3</v>
      </c>
      <c r="ET76" s="49">
        <f t="shared" si="261"/>
        <v>2.2343749999999998E-3</v>
      </c>
      <c r="EU76" s="49">
        <f t="shared" si="262"/>
        <v>1</v>
      </c>
      <c r="EV76" s="60">
        <f>IFERROR(EV27/$B62,0)</f>
        <v>8.1937479995732433E-4</v>
      </c>
      <c r="EW76" s="60">
        <f>IFERROR(EW27/$B62,0)</f>
        <v>1.3084391336818522</v>
      </c>
      <c r="EX76" s="60">
        <f>IFERROR(EX27/$B62,0)</f>
        <v>8.1886200965773442E-4</v>
      </c>
      <c r="EY76" s="71">
        <f>IFERROR(up_RadSpec!$G$27*EY27,".")*$B$76</f>
        <v>6.1022135416666659E-3</v>
      </c>
      <c r="EZ76" s="71">
        <f>IFERROR(up_RadSpec!$J$27*EZ27,".")*$B$76</f>
        <v>3.8213470319634697E-6</v>
      </c>
      <c r="FA76" s="49">
        <f t="shared" si="263"/>
        <v>6.1022135416666659E-3</v>
      </c>
      <c r="FB76" s="49">
        <f t="shared" si="263"/>
        <v>3.8213470319634697E-6</v>
      </c>
      <c r="FC76" s="49">
        <f t="shared" si="264"/>
        <v>6.1060348886986292E-3</v>
      </c>
    </row>
  </sheetData>
  <sheetProtection algorithmName="SHA-512" hashValue="l1fd0Es+BTXmy1kAiJcbzrZNdlphWlrVEf7l6qc5JhyDQzLGpVU2VnSF/uBHOztWD9kP3h+XXdtRYbK4aBZ+pg==" saltValue="gNePwIxQ1/EfWY6OzWW+cw==" spinCount="100000" sheet="1" objects="1" scenarios="1" formatColumns="0" formatRows="0" autoFilter="0"/>
  <autoFilter ref="A1:FC76" xr:uid="{F6725207-36EA-4A5F-832C-7471C0763726}"/>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theme="9" tint="-0.499984740745262"/>
  </sheetPr>
  <dimension ref="A1:BJ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9.140625" defaultRowHeight="15" x14ac:dyDescent="0.25"/>
  <cols>
    <col min="1" max="1" width="14.5703125" style="15" bestFit="1" customWidth="1"/>
    <col min="2" max="2" width="10.7109375" style="15" bestFit="1" customWidth="1"/>
    <col min="3" max="3" width="12.85546875" style="15" bestFit="1" customWidth="1"/>
    <col min="4" max="4" width="13" style="15" bestFit="1" customWidth="1"/>
    <col min="5" max="5" width="12.85546875" style="15" bestFit="1" customWidth="1"/>
    <col min="6" max="6" width="12.85546875" style="3" bestFit="1" customWidth="1"/>
    <col min="7" max="7" width="12.5703125" style="15" bestFit="1" customWidth="1"/>
    <col min="8" max="8" width="12.7109375" style="15" bestFit="1" customWidth="1"/>
    <col min="9" max="9" width="12.5703125" style="15" bestFit="1" customWidth="1"/>
    <col min="10" max="13" width="13.5703125" style="15" bestFit="1" customWidth="1"/>
    <col min="14" max="14" width="12" style="15" bestFit="1" customWidth="1"/>
    <col min="15" max="16" width="13.85546875" style="15" bestFit="1" customWidth="1"/>
    <col min="17" max="17" width="14.7109375" style="15" bestFit="1" customWidth="1"/>
    <col min="18" max="19" width="12.28515625" style="15" bestFit="1" customWidth="1"/>
    <col min="20" max="21" width="14" style="15" bestFit="1" customWidth="1"/>
    <col min="22" max="22" width="15" style="15" bestFit="1" customWidth="1"/>
    <col min="23" max="23" width="12.7109375" style="15" bestFit="1" customWidth="1"/>
    <col min="24" max="24" width="12.85546875" style="15" bestFit="1" customWidth="1"/>
    <col min="25" max="26" width="14.5703125" style="15" bestFit="1" customWidth="1"/>
    <col min="27" max="27" width="15.5703125" style="15" bestFit="1" customWidth="1"/>
    <col min="28" max="28" width="13.140625" style="15" bestFit="1" customWidth="1"/>
    <col min="29" max="29" width="12.28515625" style="15" bestFit="1" customWidth="1"/>
    <col min="30" max="30" width="12.5703125" style="15" bestFit="1" customWidth="1"/>
    <col min="31" max="31" width="12.140625" style="15" bestFit="1" customWidth="1"/>
    <col min="32" max="32" width="12.5703125" style="15" bestFit="1" customWidth="1"/>
    <col min="33" max="33" width="12.85546875" style="15" bestFit="1" customWidth="1"/>
    <col min="34" max="34" width="13.140625" style="15" bestFit="1" customWidth="1"/>
    <col min="35" max="35" width="13.42578125" style="15" bestFit="1" customWidth="1"/>
    <col min="36" max="36" width="13" style="15" bestFit="1" customWidth="1"/>
    <col min="37" max="37" width="13.140625" style="15" bestFit="1" customWidth="1"/>
    <col min="38" max="38" width="14.28515625" style="15" bestFit="1" customWidth="1"/>
    <col min="39" max="39" width="13.140625" style="3" bestFit="1" customWidth="1"/>
    <col min="40" max="40" width="13.5703125" style="15" bestFit="1" customWidth="1"/>
    <col min="41" max="41" width="14.7109375" style="15" bestFit="1" customWidth="1"/>
    <col min="42" max="42" width="14" style="15" bestFit="1" customWidth="1"/>
    <col min="43" max="43" width="15.28515625" style="15" bestFit="1" customWidth="1"/>
    <col min="44" max="44" width="14" style="15" bestFit="1" customWidth="1"/>
    <col min="45" max="45" width="12" style="3" bestFit="1" customWidth="1"/>
    <col min="46" max="46" width="15.7109375" style="3" bestFit="1" customWidth="1"/>
    <col min="47" max="47" width="16" style="3" bestFit="1" customWidth="1"/>
    <col min="48" max="48" width="11.140625" style="3" bestFit="1" customWidth="1"/>
    <col min="49" max="49" width="14.85546875" style="3" bestFit="1" customWidth="1"/>
    <col min="50" max="50" width="15.140625" style="3" bestFit="1" customWidth="1"/>
    <col min="51" max="51" width="12.42578125" style="17" bestFit="1" customWidth="1"/>
    <col min="52" max="52" width="16.140625" style="17" bestFit="1" customWidth="1"/>
    <col min="53" max="53" width="16.5703125" style="17" bestFit="1" customWidth="1"/>
    <col min="54" max="54" width="11.42578125" style="17" bestFit="1" customWidth="1"/>
    <col min="55" max="55" width="15.140625" style="17" bestFit="1" customWidth="1"/>
    <col min="56" max="56" width="15.5703125" style="17" bestFit="1" customWidth="1"/>
    <col min="57" max="57" width="13" style="3" bestFit="1" customWidth="1"/>
    <col min="58" max="58" width="16.5703125" style="3" bestFit="1" customWidth="1"/>
    <col min="59" max="59" width="17.140625" style="3" bestFit="1" customWidth="1"/>
    <col min="60" max="60" width="12" style="3" bestFit="1" customWidth="1"/>
    <col min="61" max="61" width="15.5703125" style="3" bestFit="1" customWidth="1"/>
    <col min="62" max="62" width="16" style="3" bestFit="1" customWidth="1"/>
    <col min="63" max="16384" width="9.140625" style="3"/>
  </cols>
  <sheetData>
    <row r="1" spans="1:62" x14ac:dyDescent="0.25">
      <c r="A1" s="39" t="s">
        <v>51</v>
      </c>
      <c r="B1" s="39" t="s">
        <v>350</v>
      </c>
      <c r="C1" s="15" t="s">
        <v>1169</v>
      </c>
      <c r="D1" s="15" t="s">
        <v>1170</v>
      </c>
      <c r="E1" s="15" t="s">
        <v>1171</v>
      </c>
      <c r="F1" s="2" t="s">
        <v>1172</v>
      </c>
      <c r="G1" s="40" t="s">
        <v>1225</v>
      </c>
      <c r="H1" s="40" t="s">
        <v>1226</v>
      </c>
      <c r="I1" s="40" t="s">
        <v>1227</v>
      </c>
      <c r="J1" s="41" t="s">
        <v>1229</v>
      </c>
      <c r="K1" s="41" t="s">
        <v>1230</v>
      </c>
      <c r="L1" s="41" t="s">
        <v>1231</v>
      </c>
      <c r="M1" s="41" t="s">
        <v>1233</v>
      </c>
      <c r="N1" s="42" t="s">
        <v>1220</v>
      </c>
      <c r="O1" s="42" t="s">
        <v>1221</v>
      </c>
      <c r="P1" s="42" t="s">
        <v>1222</v>
      </c>
      <c r="Q1" s="42" t="s">
        <v>1223</v>
      </c>
      <c r="R1" s="42" t="s">
        <v>1224</v>
      </c>
      <c r="S1" s="43" t="s">
        <v>1239</v>
      </c>
      <c r="T1" s="43" t="s">
        <v>1240</v>
      </c>
      <c r="U1" s="43" t="s">
        <v>1241</v>
      </c>
      <c r="V1" s="43" t="s">
        <v>1242</v>
      </c>
      <c r="W1" s="43" t="s">
        <v>1243</v>
      </c>
      <c r="X1" s="41" t="s">
        <v>1234</v>
      </c>
      <c r="Y1" s="41" t="s">
        <v>1235</v>
      </c>
      <c r="Z1" s="41" t="s">
        <v>1236</v>
      </c>
      <c r="AA1" s="41" t="s">
        <v>1237</v>
      </c>
      <c r="AB1" s="41" t="s">
        <v>1238</v>
      </c>
      <c r="AC1" s="42" t="s">
        <v>1209</v>
      </c>
      <c r="AD1" s="42" t="s">
        <v>1210</v>
      </c>
      <c r="AE1" s="42" t="s">
        <v>1211</v>
      </c>
      <c r="AF1" s="43" t="s">
        <v>1244</v>
      </c>
      <c r="AG1" s="43" t="s">
        <v>1245</v>
      </c>
      <c r="AH1" s="41" t="s">
        <v>1246</v>
      </c>
      <c r="AI1" s="41" t="s">
        <v>1247</v>
      </c>
      <c r="AJ1" s="41" t="s">
        <v>1248</v>
      </c>
      <c r="AK1" s="15" t="s">
        <v>1173</v>
      </c>
      <c r="AL1" s="15" t="s">
        <v>1213</v>
      </c>
      <c r="AM1" s="2" t="s">
        <v>1202</v>
      </c>
      <c r="AN1" s="43" t="s">
        <v>1374</v>
      </c>
      <c r="AO1" s="43" t="s">
        <v>1375</v>
      </c>
      <c r="AP1" s="41" t="s">
        <v>1376</v>
      </c>
      <c r="AQ1" s="41" t="s">
        <v>1377</v>
      </c>
      <c r="AR1" s="41" t="s">
        <v>1378</v>
      </c>
      <c r="AS1" s="2" t="s">
        <v>1214</v>
      </c>
      <c r="AT1" s="2" t="s">
        <v>1219</v>
      </c>
      <c r="AU1" s="2" t="s">
        <v>1216</v>
      </c>
      <c r="AV1" s="2" t="s">
        <v>1215</v>
      </c>
      <c r="AW1" s="2" t="s">
        <v>1218</v>
      </c>
      <c r="AX1" s="2" t="s">
        <v>1217</v>
      </c>
      <c r="AY1" s="16" t="s">
        <v>1379</v>
      </c>
      <c r="AZ1" s="16" t="s">
        <v>1380</v>
      </c>
      <c r="BA1" s="16" t="s">
        <v>1381</v>
      </c>
      <c r="BB1" s="16" t="s">
        <v>1382</v>
      </c>
      <c r="BC1" s="16" t="s">
        <v>1383</v>
      </c>
      <c r="BD1" s="16" t="s">
        <v>1384</v>
      </c>
      <c r="BE1" s="69" t="s">
        <v>1385</v>
      </c>
      <c r="BF1" s="69" t="s">
        <v>1386</v>
      </c>
      <c r="BG1" s="69" t="s">
        <v>1387</v>
      </c>
      <c r="BH1" s="69" t="s">
        <v>1388</v>
      </c>
      <c r="BI1" s="69" t="s">
        <v>1389</v>
      </c>
      <c r="BJ1" s="69" t="s">
        <v>1390</v>
      </c>
    </row>
    <row r="2" spans="1:62" customFormat="1" x14ac:dyDescent="0.25">
      <c r="A2" s="44" t="s">
        <v>12</v>
      </c>
      <c r="B2" s="42" t="s">
        <v>1074</v>
      </c>
      <c r="C2" s="15">
        <f>IFERROR(((s_TR/(up_RadSpec!D2*s_IFS_rec_adj*(1/1000)))*1),".")</f>
        <v>3.6363636363636363E-8</v>
      </c>
      <c r="D2" s="15">
        <f>IFERROR(IF(A2="H-3",(s_TR/((up_RadSpec!G2*s_IFA_rec_adj*(1/17)*1000))*1),(s_TR/((up_RadSpec!G2*s_IFA_rec_adj*(1/s_PEF_wind)*1000))*1)),".")</f>
        <v>3.3989909629864073E-4</v>
      </c>
      <c r="E2" s="2">
        <f>IFERROR((s_TR/(up_RadSpec!F2*s_EF_rec*(1/365)*s_ED_rec*up_RadSpec!Q2*s_ET_rec*(1/24)*up_RadSpec!V2)),".")</f>
        <v>1.8600180451127824E-4</v>
      </c>
      <c r="F2" s="2">
        <f t="shared" ref="F2" si="0">(IF(AND(ISNUMBER(C2),ISNUMBER(D2),ISNUMBER(E2)),1/((1/C2)+(1/D2)+(1/E2)),IF(AND(ISNUMBER(C2),ISNUMBER(D2),NOT(ISNUMBER(E2))), 1/((1/C2)+(1/D2)),IF(AND(ISNUMBER(C2),NOT(ISNUMBER(D2)),ISNUMBER(E2)),1/((1/C2)+(1/E2)),IF(AND(NOT(ISNUMBER(C2)),ISNUMBER(D2),ISNUMBER(E2)),1/((1/D2)+(1/E2)),IF(AND(ISNUMBER(C2),NOT(ISNUMBER(D2)),NOT(ISNUMBER(E2))),1/((1/C2)),IF(AND(NOT(ISNUMBER(C2)),NOT(ISNUMBER(D2)),ISNUMBER(E2)),1/((1/E2)),IF(AND(NOT(ISNUMBER(C2)),ISNUMBER(D2),NOT(ISNUMBER(E2))),1/((1/D2)),IF(AND(NOT(ISNUMBER(C2)),NOT(ISNUMBER(D2)),NOT(ISNUMBER(E2))),".")))))))))</f>
        <v>3.6352640229934266E-8</v>
      </c>
      <c r="G2" s="40">
        <f t="shared" ref="G2:G30" si="1">s_C*s_IFS_rec_adj*(1/1000)</f>
        <v>27.5</v>
      </c>
      <c r="H2" s="40">
        <f t="shared" ref="H2:H30" si="2">s_C*s_IFA_rec_adj*(1/s_PEF_wind)*1000</f>
        <v>2.9420495991003873E-3</v>
      </c>
      <c r="I2" s="40">
        <f>IFERROR((s_C*s_EF_rec*(1/365)*s_ED_rec*up_RadSpec!Q2*s_ET_rec*(1/24)*up_RadSpec!V2),".")</f>
        <v>5.3762919269923796E-3</v>
      </c>
      <c r="J2" s="18"/>
      <c r="K2" s="18"/>
      <c r="L2" s="18"/>
      <c r="M2" s="5"/>
      <c r="N2" s="15">
        <f>IFERROR((s_TR/(up_RadSpec!F2*s_EF_rec*(1/365)*s_ED_rec*up_RadSpec!Q2*s_ET_rec*(1/24)*up_RadSpec!V2)),".")</f>
        <v>1.8600180451127824E-4</v>
      </c>
      <c r="O2" s="15">
        <f>IFERROR((s_TR/(up_RadSpec!M2*s_EF_rec*(1/365)*s_ED_rec*up_RadSpec!R2*s_ET_rec*(1/24)*up_RadSpec!W2)),".")</f>
        <v>3.7608376963350773E-4</v>
      </c>
      <c r="P2" s="15">
        <f>IFERROR((s_TR/(up_RadSpec!N2*s_EF_rec*(1/365)*s_ED_rec*up_RadSpec!S2*s_ET_rec*(1/24)*up_RadSpec!X2)),".")</f>
        <v>2.554317757009345E-4</v>
      </c>
      <c r="Q2" s="15">
        <f>IFERROR((s_TR/(up_RadSpec!O2*s_EF_rec*(1/365)*s_ED_rec*up_RadSpec!T2*s_ET_rec*(1/24)*up_RadSpec!Y2)),".")</f>
        <v>2.1232026143790843E-4</v>
      </c>
      <c r="R2" s="15">
        <f>IFERROR((s_TR/(up_RadSpec!K2*s_EF_rec*(1/365)*s_ED_rec*up_RadSpec!P2*s_ET_rec*(1/24)*up_RadSpec!U2)),".")</f>
        <v>2.9760709010339739E-3</v>
      </c>
      <c r="S2" s="40">
        <f>IFERROR((s_C*s_EF_rec*(1/365)*s_ED_rec*up_RadSpec!Q2*s_ET_rec*(1/24)*up_RadSpec!V2),".")</f>
        <v>5.3762919269923796E-3</v>
      </c>
      <c r="T2" s="40">
        <f>IFERROR((s_C*s_EF_rec*(1/365)*s_ED_rec*up_RadSpec!R2*s_ET_rec*(1/24)*up_RadSpec!W2),".")</f>
        <v>2.6589820692727484E-3</v>
      </c>
      <c r="U2" s="40">
        <f>IFERROR((s_C*s_EF_rec*(1/365)*s_ED_rec*up_RadSpec!S2*s_ET_rec*(1/24)*up_RadSpec!X2),".")</f>
        <v>3.9149397026109365E-3</v>
      </c>
      <c r="V2" s="40">
        <f>IFERROR((s_C*s_EF_rec*(1/365)*s_ED_rec*up_RadSpec!T2*s_ET_rec*(1/24)*up_RadSpec!Y2),".")</f>
        <v>4.7098660920424822E-3</v>
      </c>
      <c r="W2" s="40">
        <f>IFERROR((s_C*s_EF_rec*(1/365)*s_ED_rec*up_RadSpec!P2*s_ET_rec*(1/24)*up_RadSpec!U2),".")</f>
        <v>3.3601350009926535E-4</v>
      </c>
      <c r="X2" s="18"/>
      <c r="Y2" s="18"/>
      <c r="Z2" s="18"/>
      <c r="AA2" s="18"/>
      <c r="AB2" s="18"/>
      <c r="AC2" s="15">
        <f>IFERROR((s_TR/(up_RadSpec!G2*s_IFA_rec_adj)),".")</f>
        <v>1.0971428571428573E-9</v>
      </c>
      <c r="AD2" s="15">
        <f>IFERROR((s_TR/(up_RadSpec!J2*s_EF_rec*(1/365)*s_ED_rec*s_ET_rec*(1/24)*s_GSF_a)),".")</f>
        <v>1.7520000000000001E-6</v>
      </c>
      <c r="AE2" s="15">
        <f>IFERROR(IF(AND(AC2&lt;&gt;".",AD2&lt;&gt;"."),1/((1/AC2)+(1/AD2)),IF(AND(AC2&lt;&gt;".",AD2="."),1/((1/AC2)),IF(AND(AC2=".",AD2&lt;&gt;"."),1/((1/AD2)),IF(AND(AC2=".",AD2="."),".")))),".")</f>
        <v>1.0964562309317064E-9</v>
      </c>
      <c r="AF2" s="40">
        <f t="shared" ref="AF2:AF30" si="3">s_C*s_IFA_rec_adj</f>
        <v>911.45833333333326</v>
      </c>
      <c r="AG2" s="40">
        <f t="shared" ref="AG2:AG30" si="4">IFERROR((s_C*s_EF_rec*(1/365)*s_ED_rec*s_ET_rec*(1/24)*s_GSF_a),".")</f>
        <v>0.57077625570776247</v>
      </c>
      <c r="AH2" s="18"/>
      <c r="AI2" s="18"/>
      <c r="AJ2" s="18"/>
      <c r="AK2" s="15">
        <f>IFERROR((s_TR/(up_RadSpec!H2*s_IFW_rec_adj)),".")</f>
        <v>9.9999999999999991E-11</v>
      </c>
      <c r="AL2" s="15">
        <f>IFERROR((s_TR/(up_RadSpec!L2*(1/8760)*s_DFA_rec_adj)),".")</f>
        <v>4.3800000000000004E-6</v>
      </c>
      <c r="AM2" s="2">
        <f t="shared" ref="AM2:AM30" si="5">IFERROR(IF(AND(AK2&lt;&gt;0,AL2&lt;&gt;0),1/((1/AK2)+(1/AL2)),IF(AND(AK2&lt;&gt;0,AL2=0),1/((1/AK2)),IF(AND(AK2=0,AL2&lt;&gt;0),1/((1/AL2)),IF(AND(AK2=0,AL2=0),0)))),0)</f>
        <v>9.9997716947101668E-11</v>
      </c>
      <c r="AN2" s="40">
        <f t="shared" ref="AN2:AN30" si="6">s_C*s_IFW_rec_adj</f>
        <v>10000</v>
      </c>
      <c r="AO2" s="40">
        <f t="shared" ref="AO2:AO30" si="7">s_C*(1/8760)*s_DFA_rec_adj</f>
        <v>0.22831050228310501</v>
      </c>
      <c r="AP2" s="18"/>
      <c r="AQ2" s="18"/>
      <c r="AR2" s="18"/>
      <c r="AS2" s="2">
        <f>IFERROR(s_TR/(up_RadSpec!E2*s_EF_rec*s_ED_rec*s_IRGL_rec*s_CF_game),".")</f>
        <v>9.9999999999999986E-10</v>
      </c>
      <c r="AT2" s="2">
        <f>IFERROR((AS2/(up_RadSpec!AH2*((s_Q_p_game*s_f_p_game*s_f_s_game*(up_RadSpec!BB2+s_R_es_past))+(s_Q_s_game*s_f_p_game)))),".")</f>
        <v>4.166666666666666E-12</v>
      </c>
      <c r="AU2" s="2">
        <f>IFERROR(AS2/(up_RadSpec!AH2*s_Q_w_game*(1/1000)),".")</f>
        <v>9.9999999999999982E-8</v>
      </c>
      <c r="AV2" s="2">
        <f>IFERROR(s_TR/(up_RadSpec!E2*s_EF_rec*s_ED_rec*s_IRGF_rec*s_CF_fowl),".")</f>
        <v>9.9999999999999986E-10</v>
      </c>
      <c r="AW2" s="2">
        <f>IFERROR((AS2/(up_RadSpec!AJ2*((s_Q_p_fowl*s_f_p_fowl*s_f_s_fowl*(up_RadSpec!BB2+s_R_es_past))+(s_Q_s_fowl*s_f_p_fowl)))),".")</f>
        <v>4.166666666666666E-12</v>
      </c>
      <c r="AX2" s="2">
        <f>IFERROR(AS2/(up_RadSpec!AJ2*s_Q_w_fowl*(1/1000)),".")</f>
        <v>9.9999999999999982E-8</v>
      </c>
      <c r="AY2" s="19">
        <f t="shared" ref="AY2:AY30" si="8">IFERROR(s_C*s_EF_rec*s_ED_rec*s_IRGL_rec*s_CF_game,".")</f>
        <v>1000</v>
      </c>
      <c r="AZ2" s="19">
        <f>IFERROR((s_C*s_IRGL_rec*s_EF_rec*s_ED_rec*s_CF_game*up_RadSpec!AH2)*((s_Q_p_game*s_f_p_game*s_f_s_game*(up_RadSpec!BB2+s_R_es_past))+(s_Q_s_game*s_f_p_game)),".")</f>
        <v>240000</v>
      </c>
      <c r="BA2" s="19">
        <f>IFERROR(s_C*up_RadSpec!AH2*s_Q_w_game*(1/1000)*s_EF_rec*s_ED_rec*s_IRGL_rec*s_CF_game,".")</f>
        <v>10</v>
      </c>
      <c r="BB2" s="19">
        <f t="shared" ref="BB2:BB30" si="9">IFERROR(s_C*s_EF_rec*s_ED_rec*s_IRGF_rec*s_CF_fowl,".")</f>
        <v>1000</v>
      </c>
      <c r="BC2" s="19">
        <f>IFERROR((s_C*s_IRGF_rec*s_EF_rec*s_ED_rec*s_CF_fowl*up_RadSpec!AJ2)*((s_Q_p_fowl*s_f_p_fowl*s_f_s_fowl*(up_RadSpec!BB2+s_R_es_past))+(s_Q_s_fowl*s_f_p_fowl)),".")</f>
        <v>240000</v>
      </c>
      <c r="BD2" s="19">
        <f>IFERROR(s_C*up_RadSpec!AJ2*s_Q_w_fowl*(1/1000)*s_EF_rec*s_ED_rec*s_IRGL_rec*s_CF_fowl,".")</f>
        <v>10</v>
      </c>
      <c r="BE2" s="5"/>
      <c r="BF2" s="5"/>
      <c r="BG2" s="5"/>
      <c r="BH2" s="5"/>
      <c r="BI2" s="5"/>
      <c r="BJ2" s="5"/>
    </row>
    <row r="3" spans="1:62" x14ac:dyDescent="0.25">
      <c r="A3" s="46" t="s">
        <v>13</v>
      </c>
      <c r="B3" s="42" t="s">
        <v>351</v>
      </c>
      <c r="C3" s="15">
        <f>IFERROR(((s_TR/(up_RadSpec!D3*s_IFS_rec_adj*(1/1000)))*1),".")</f>
        <v>3.6363636363636363E-8</v>
      </c>
      <c r="D3" s="15">
        <f>IFERROR(IF(A3="H-3",(s_TR/((up_RadSpec!G3*s_IFA_rec_adj*(1/17)*1000))*1),(s_TR/((up_RadSpec!G3*s_IFA_rec_adj*(1/s_PEF_wind)*1000))*1)),".")</f>
        <v>3.3989909629864073E-4</v>
      </c>
      <c r="E3" s="2">
        <f>IFERROR((TR/(up_RadSpec!F3*s_EF_rec*(1/365)*s_ED_rec*up_RadSpec!Q3*s_ET_rec*(1/24)*up_RadSpec!V3)),".")</f>
        <v>2.440285714285715E-2</v>
      </c>
      <c r="F3" s="2">
        <f>IF(AND(C3&lt;&gt;".",D3&lt;&gt;".",E3&lt;&gt;"."),1/((1/C3)+(1/D3)+(1/E3)),IF(AND(C3&lt;&gt;".",D3&lt;&gt;".",E3="."), 1/((1/C3)+(1/D3)),IF(AND(C3&lt;&gt;".",D3=".",E3&lt;&gt;"."),1/((1/C3)+(1/E3)),IF(AND(C3=".",D3&lt;&gt;".",E3&lt;&gt;"."),1/((1/D3)+(1/E3)),IF(AND(C3&lt;&gt;".",D3=".",E3="."),1/((1/C3)),IF(AND(C3=".",D3&lt;&gt;".",E3="."),1/((1/D3)),IF(AND(C3=".",D3=".",E3&lt;&gt;"."),1/((1/E3)),IF(AND(C3=".",D3=".",E3="."),"."))))))))</f>
        <v>3.6359692291091585E-8</v>
      </c>
      <c r="G3" s="40">
        <f t="shared" si="1"/>
        <v>27.5</v>
      </c>
      <c r="H3" s="40">
        <f t="shared" si="2"/>
        <v>2.9420495991003873E-3</v>
      </c>
      <c r="I3" s="40">
        <f>IFERROR((s_C*s_EF_rec*(1/365)*s_ED_rec*up_RadSpec!Q3*s_ET_rec*(1/24)*up_RadSpec!V3),".")</f>
        <v>4.0978808102095758E-5</v>
      </c>
      <c r="J3" s="18"/>
      <c r="K3" s="18"/>
      <c r="L3" s="18"/>
      <c r="M3" s="18"/>
      <c r="N3" s="15">
        <f>IFERROR((s_TR/(up_RadSpec!F3*s_EF_rec*(1/365)*s_ED_rec*up_RadSpec!Q3*s_ET_rec*(1/24)*up_RadSpec!V3)),".")</f>
        <v>2.440285714285715E-2</v>
      </c>
      <c r="O3" s="15">
        <f>IFERROR((s_TR/(up_RadSpec!M3*s_EF_rec*(1/365)*s_ED_rec*up_RadSpec!R3*s_ET_rec*(1/24)*up_RadSpec!W3)),".")</f>
        <v>3.4216792645556701E-2</v>
      </c>
      <c r="P3" s="15">
        <f>IFERROR((s_TR/(up_RadSpec!N3*s_EF_rec*(1/365)*s_ED_rec*up_RadSpec!S3*s_ET_rec*(1/24)*up_RadSpec!X3)),".")</f>
        <v>2.5941215469613265E-2</v>
      </c>
      <c r="Q3" s="15">
        <f>IFERROR((s_TR/(up_RadSpec!O3*s_EF_rec*(1/365)*s_ED_rec*up_RadSpec!T3*s_ET_rec*(1/24)*up_RadSpec!Y3)),".")</f>
        <v>2.674065189048239E-2</v>
      </c>
      <c r="R3" s="15">
        <f>IFERROR((s_TR/(up_RadSpec!K3*s_EF_rec*(1/365)*s_ED_rec*up_RadSpec!P3*s_ET_rec*(1/24)*up_RadSpec!U3)),".")</f>
        <v>5.3051003972941074E-2</v>
      </c>
      <c r="S3" s="40">
        <f>IFERROR((s_C*s_EF_rec*(1/365)*s_ED_rec*up_RadSpec!Q3*s_ET_rec*(1/24)*up_RadSpec!V3),".")</f>
        <v>4.0978808102095758E-5</v>
      </c>
      <c r="T3" s="40">
        <f>IFERROR((s_C*s_EF_rec*(1/365)*s_ED_rec*up_RadSpec!R3*s_ET_rec*(1/24)*up_RadSpec!W3),".")</f>
        <v>2.9225416021856662E-5</v>
      </c>
      <c r="U3" s="40">
        <f>IFERROR((s_C*s_EF_rec*(1/365)*s_ED_rec*up_RadSpec!S3*s_ET_rec*(1/24)*up_RadSpec!X3),".")</f>
        <v>3.8548694881755595E-5</v>
      </c>
      <c r="V3" s="40">
        <f>IFERROR((s_C*s_EF_rec*(1/365)*s_ED_rec*up_RadSpec!T3*s_ET_rec*(1/24)*up_RadSpec!Y3),".")</f>
        <v>3.7396246138484112E-5</v>
      </c>
      <c r="W3" s="40">
        <f>IFERROR((s_C*s_EF_rec*(1/365)*s_ED_rec*up_RadSpec!P3*s_ET_rec*(1/24)*up_RadSpec!U3),".")</f>
        <v>1.884978464328507E-5</v>
      </c>
      <c r="X3" s="18"/>
      <c r="Y3" s="18"/>
      <c r="Z3" s="18"/>
      <c r="AA3" s="18"/>
      <c r="AB3" s="18"/>
      <c r="AC3" s="15">
        <f>IFERROR((s_TR/(up_RadSpec!G3*s_IFA_rec_adj)),".")</f>
        <v>1.0971428571428573E-9</v>
      </c>
      <c r="AD3" s="15">
        <f>IFERROR((s_TR/(up_RadSpec!J3*s_EF_rec*(1/365)*s_ED_rec*s_ET_rec*(1/24)*s_GSF_a)),".")</f>
        <v>1.7520000000000001E-6</v>
      </c>
      <c r="AE3" s="15">
        <f>IFERROR(IF(AND(AC3&lt;&gt;".",AD3&lt;&gt;"."),1/((1/AC3)+(1/AD3)),IF(AND(AC3&lt;&gt;".",AD3="."),1/((1/AC3)),IF(AND(AC3=".",AD3&lt;&gt;"."),1/((1/AD3)),IF(AND(AC3=".",AD3="."),".")))),".")</f>
        <v>1.0964562309317064E-9</v>
      </c>
      <c r="AF3" s="40">
        <f t="shared" si="3"/>
        <v>911.45833333333326</v>
      </c>
      <c r="AG3" s="40">
        <f t="shared" si="4"/>
        <v>0.57077625570776247</v>
      </c>
      <c r="AH3" s="18"/>
      <c r="AI3" s="18"/>
      <c r="AJ3" s="18"/>
      <c r="AK3" s="15">
        <f>IFERROR((s_TR/(up_RadSpec!H3*s_IFW_rec_adj)),".")</f>
        <v>9.9999999999999991E-11</v>
      </c>
      <c r="AL3" s="15">
        <f>IFERROR((s_TR/(up_RadSpec!L3*(1/8760)*s_DFA_rec_adj)),".")</f>
        <v>4.3800000000000004E-6</v>
      </c>
      <c r="AM3" s="2">
        <f t="shared" si="5"/>
        <v>9.9997716947101668E-11</v>
      </c>
      <c r="AN3" s="40">
        <f t="shared" si="6"/>
        <v>10000</v>
      </c>
      <c r="AO3" s="40">
        <f t="shared" si="7"/>
        <v>0.22831050228310501</v>
      </c>
      <c r="AP3" s="18"/>
      <c r="AQ3" s="18"/>
      <c r="AR3" s="18"/>
      <c r="AS3" s="2">
        <f>IFERROR(s_TR/(up_RadSpec!E3*s_EF_rec*s_ED_rec*s_IRGL_rec*s_CF_game),".")</f>
        <v>9.9999999999999986E-10</v>
      </c>
      <c r="AT3" s="2">
        <f>IFERROR((AS3/(up_RadSpec!AH3*((s_Q_p_game*s_f_p_game*s_f_s_game*(up_RadSpec!BB3+s_R_es_past))+(s_Q_s_game*s_f_p_game)))),".")</f>
        <v>4.166666666666666E-12</v>
      </c>
      <c r="AU3" s="2">
        <f>IFERROR(AS3/(up_RadSpec!AH3*s_Q_w_game*(1/1000)),".")</f>
        <v>9.9999999999999982E-8</v>
      </c>
      <c r="AV3" s="2">
        <f>IFERROR(s_TR/(up_RadSpec!E3*s_EF_rec*s_ED_rec*s_IRGF_rec*s_CF_fowl),".")</f>
        <v>9.9999999999999986E-10</v>
      </c>
      <c r="AW3" s="2">
        <f>IFERROR((AS3/(up_RadSpec!AJ3*((s_Q_p_fowl*s_f_p_fowl*s_f_s_fowl*(up_RadSpec!BB3+s_R_es_past))+(s_Q_s_fowl*s_f_p_fowl)))),".")</f>
        <v>4.166666666666666E-12</v>
      </c>
      <c r="AX3" s="2">
        <f>IFERROR(AS3/(up_RadSpec!AJ3*s_Q_w_fowl*(1/1000)),".")</f>
        <v>9.9999999999999982E-8</v>
      </c>
      <c r="AY3" s="19">
        <f t="shared" si="8"/>
        <v>1000</v>
      </c>
      <c r="AZ3" s="19">
        <f>IFERROR((s_C*s_IRGL_rec*s_EF_rec*s_ED_rec*s_CF_game*up_RadSpec!AH3)*((s_Q_p_game*s_f_p_game*s_f_s_game*(up_RadSpec!BB3+s_R_es_past))+(s_Q_s_game*s_f_p_game)),".")</f>
        <v>240000</v>
      </c>
      <c r="BA3" s="19">
        <f>IFERROR(s_C*up_RadSpec!AH3*s_Q_w_game*(1/1000)*s_EF_rec*s_ED_rec*s_IRGL_rec*s_CF_game,".")</f>
        <v>10</v>
      </c>
      <c r="BB3" s="19">
        <f t="shared" si="9"/>
        <v>1000</v>
      </c>
      <c r="BC3" s="19">
        <f>IFERROR((s_C*s_IRGF_rec*s_EF_rec*s_ED_rec*s_CF_fowl*up_RadSpec!AJ3)*((s_Q_p_fowl*s_f_p_fowl*s_f_s_fowl*(up_RadSpec!BB3+s_R_es_past))+(s_Q_s_fowl*s_f_p_fowl)),".")</f>
        <v>240000</v>
      </c>
      <c r="BD3" s="19">
        <f>IFERROR(s_C*up_RadSpec!AJ3*s_Q_w_fowl*(1/1000)*s_EF_rec*s_ED_rec*s_IRGL_rec*s_CF_fowl,".")</f>
        <v>10</v>
      </c>
      <c r="BE3" s="5"/>
      <c r="BF3" s="5"/>
      <c r="BG3" s="5"/>
      <c r="BH3" s="5"/>
      <c r="BI3" s="5"/>
      <c r="BJ3" s="5"/>
    </row>
    <row r="4" spans="1:62" customFormat="1" x14ac:dyDescent="0.25">
      <c r="A4" s="44" t="s">
        <v>14</v>
      </c>
      <c r="B4" s="42" t="s">
        <v>1074</v>
      </c>
      <c r="C4" s="15">
        <f>IFERROR(((s_TR/(up_RadSpec!D4*s_IFS_rec_adj*(1/1000)))*1),".")</f>
        <v>3.6363636363636363E-8</v>
      </c>
      <c r="D4" s="15">
        <f>IFERROR(IF(A4="H-3",(s_TR/((up_RadSpec!G4*s_IFA_rec_adj*(1/17)*1000))*1),(s_TR/((up_RadSpec!G4*s_IFA_rec_adj*(1/s_PEF_wind)*1000))*1)),".")</f>
        <v>3.3989909629864073E-4</v>
      </c>
      <c r="E4" s="2">
        <f>IFERROR((TR/(up_RadSpec!F4*s_EF_rec*(1/365)*s_ED_rec*up_RadSpec!Q4*s_ET_rec*(1/24)*up_RadSpec!V4)),".")</f>
        <v>9.0844444444444477E-5</v>
      </c>
      <c r="F4" s="2">
        <f t="shared" ref="F4:F5" si="10">IF(AND(C4&lt;&gt;".",D4&lt;&gt;".",E4&lt;&gt;"."),1/((1/C4)+(1/D4)+(1/E4)),IF(AND(C4&lt;&gt;".",D4&lt;&gt;".",E4="."), 1/((1/C4)+(1/D4)),IF(AND(C4&lt;&gt;".",D4=".",E4&lt;&gt;"."),1/((1/C4)+(1/E4)),IF(AND(C4=".",D4&lt;&gt;".",E4&lt;&gt;"."),1/((1/D4)+(1/E4)),IF(AND(C4&lt;&gt;".",D4=".",E4="."),1/((1/C4)),IF(AND(C4=".",D4&lt;&gt;".",E4="."),1/((1/D4)),IF(AND(C4=".",D4=".",E4&lt;&gt;"."),1/((1/E4)),IF(AND(C4=".",D4=".",E4="."),"."))))))))</f>
        <v>3.6345199597163137E-8</v>
      </c>
      <c r="G4" s="40">
        <f t="shared" si="1"/>
        <v>27.5</v>
      </c>
      <c r="H4" s="40">
        <f t="shared" si="2"/>
        <v>2.9420495991003873E-3</v>
      </c>
      <c r="I4" s="40">
        <f>IFERROR((s_C*s_EF_rec*(1/365)*s_ED_rec*up_RadSpec!Q4*s_ET_rec*(1/24)*up_RadSpec!V4),".")</f>
        <v>1.1007827788649702E-2</v>
      </c>
      <c r="J4" s="18"/>
      <c r="K4" s="18"/>
      <c r="L4" s="18"/>
      <c r="M4" s="18"/>
      <c r="N4" s="15">
        <f>IFERROR((s_TR/(up_RadSpec!F4*s_EF_rec*(1/365)*s_ED_rec*up_RadSpec!Q4*s_ET_rec*(1/24)*up_RadSpec!V4)),".")</f>
        <v>9.0844444444444477E-5</v>
      </c>
      <c r="O4" s="15">
        <f>IFERROR((s_TR/(up_RadSpec!M4*s_EF_rec*(1/365)*s_ED_rec*up_RadSpec!R4*s_ET_rec*(1/24)*up_RadSpec!W4)),".")</f>
        <v>1.4824615384615391E-4</v>
      </c>
      <c r="P4" s="15">
        <f>IFERROR((s_TR/(up_RadSpec!N4*s_EF_rec*(1/365)*s_ED_rec*up_RadSpec!S4*s_ET_rec*(1/24)*up_RadSpec!X4)),".")</f>
        <v>1.0664347826086956E-4</v>
      </c>
      <c r="Q4" s="15">
        <f>IFERROR((s_TR/(up_RadSpec!O4*s_EF_rec*(1/365)*s_ED_rec*up_RadSpec!T4*s_ET_rec*(1/24)*up_RadSpec!Y4)),".")</f>
        <v>9.2832758224062578E-5</v>
      </c>
      <c r="R4" s="15">
        <f>IFERROR((s_TR/(up_RadSpec!K4*s_EF_rec*(1/365)*s_ED_rec*up_RadSpec!P4*s_ET_rec*(1/24)*up_RadSpec!U4)),".")</f>
        <v>2.7377531206657411E-4</v>
      </c>
      <c r="S4" s="40">
        <f>IFERROR((s_C*s_EF_rec*(1/365)*s_ED_rec*up_RadSpec!Q4*s_ET_rec*(1/24)*up_RadSpec!V4),".")</f>
        <v>1.1007827788649702E-2</v>
      </c>
      <c r="T4" s="40">
        <f>IFERROR((s_C*s_EF_rec*(1/365)*s_ED_rec*up_RadSpec!R4*s_ET_rec*(1/24)*up_RadSpec!W4),".")</f>
        <v>6.7455375674553729E-3</v>
      </c>
      <c r="U4" s="40">
        <f>IFERROR((s_C*s_EF_rec*(1/365)*s_ED_rec*up_RadSpec!S4*s_ET_rec*(1/24)*up_RadSpec!X4),".")</f>
        <v>9.3770384866275272E-3</v>
      </c>
      <c r="V4" s="40">
        <f>IFERROR((s_C*s_EF_rec*(1/365)*s_ED_rec*up_RadSpec!T4*s_ET_rec*(1/24)*up_RadSpec!Y4),".")</f>
        <v>1.0772059552366035E-2</v>
      </c>
      <c r="W4" s="40">
        <f>IFERROR((s_C*s_EF_rec*(1/365)*s_ED_rec*up_RadSpec!P4*s_ET_rec*(1/24)*up_RadSpec!U4),".")</f>
        <v>3.6526302991002685E-3</v>
      </c>
      <c r="X4" s="18"/>
      <c r="Y4" s="18"/>
      <c r="Z4" s="18"/>
      <c r="AA4" s="18"/>
      <c r="AB4" s="18"/>
      <c r="AC4" s="15">
        <f>IFERROR((s_TR/(up_RadSpec!G4*s_IFA_rec_adj)),".")</f>
        <v>1.0971428571428573E-9</v>
      </c>
      <c r="AD4" s="15">
        <f>IFERROR((s_TR/(up_RadSpec!J4*s_EF_rec*(1/365)*s_ED_rec*s_ET_rec*(1/24)*s_GSF_a)),".")</f>
        <v>1.7520000000000001E-6</v>
      </c>
      <c r="AE4" s="15">
        <f t="shared" ref="AE4:AE16" si="11">IFERROR(IF(AND(AC4&lt;&gt;".",AD4&lt;&gt;"."),1/((1/AC4)+(1/AD4)),IF(AND(AC4&lt;&gt;".",AD4="."),1/((1/AC4)),IF(AND(AC4=".",AD4&lt;&gt;"."),1/((1/AD4)),IF(AND(AC4=".",AD4="."),".")))),".")</f>
        <v>1.0964562309317064E-9</v>
      </c>
      <c r="AF4" s="40">
        <f t="shared" si="3"/>
        <v>911.45833333333326</v>
      </c>
      <c r="AG4" s="40">
        <f t="shared" si="4"/>
        <v>0.57077625570776247</v>
      </c>
      <c r="AH4" s="18"/>
      <c r="AI4" s="18"/>
      <c r="AJ4" s="18"/>
      <c r="AK4" s="15">
        <f>IFERROR((s_TR/(up_RadSpec!H4*s_IFW_rec_adj)),".")</f>
        <v>9.9999999999999991E-11</v>
      </c>
      <c r="AL4" s="15">
        <f>IFERROR((s_TR/(up_RadSpec!L4*(1/8760)*s_DFA_rec_adj)),".")</f>
        <v>4.3800000000000004E-6</v>
      </c>
      <c r="AM4" s="2">
        <f t="shared" si="5"/>
        <v>9.9997716947101668E-11</v>
      </c>
      <c r="AN4" s="40">
        <f t="shared" si="6"/>
        <v>10000</v>
      </c>
      <c r="AO4" s="40">
        <f t="shared" si="7"/>
        <v>0.22831050228310501</v>
      </c>
      <c r="AP4" s="18"/>
      <c r="AQ4" s="18"/>
      <c r="AR4" s="18"/>
      <c r="AS4" s="2">
        <f>IFERROR(s_TR/(up_RadSpec!E4*s_EF_rec*s_ED_rec*s_IRGL_rec*s_CF_game),".")</f>
        <v>9.9999999999999986E-10</v>
      </c>
      <c r="AT4" s="2">
        <f>IFERROR((AS4/(up_RadSpec!AH4*((s_Q_p_game*s_f_p_game*s_f_s_game*(up_RadSpec!BB4+s_R_es_past))+(s_Q_s_game*s_f_p_game)))),".")</f>
        <v>4.166666666666666E-12</v>
      </c>
      <c r="AU4" s="2">
        <f>IFERROR(AS4/(up_RadSpec!AH4*s_Q_w_game*(1/1000)),".")</f>
        <v>9.9999999999999982E-8</v>
      </c>
      <c r="AV4" s="2">
        <f>IFERROR(s_TR/(up_RadSpec!E4*s_EF_rec*s_ED_rec*s_IRGF_rec*s_CF_fowl),".")</f>
        <v>9.9999999999999986E-10</v>
      </c>
      <c r="AW4" s="2">
        <f>IFERROR((AS4/(up_RadSpec!AJ4*((s_Q_p_fowl*s_f_p_fowl*s_f_s_fowl*(up_RadSpec!BB4+s_R_es_past))+(s_Q_s_fowl*s_f_p_fowl)))),".")</f>
        <v>4.166666666666666E-12</v>
      </c>
      <c r="AX4" s="2">
        <f>IFERROR(AS4/(up_RadSpec!AJ4*s_Q_w_fowl*(1/1000)),".")</f>
        <v>9.9999999999999982E-8</v>
      </c>
      <c r="AY4" s="19">
        <f t="shared" si="8"/>
        <v>1000</v>
      </c>
      <c r="AZ4" s="19">
        <f>IFERROR((s_C*s_IRGL_rec*s_EF_rec*s_ED_rec*s_CF_game*up_RadSpec!AH4)*((s_Q_p_game*s_f_p_game*s_f_s_game*(up_RadSpec!BB4+s_R_es_past))+(s_Q_s_game*s_f_p_game)),".")</f>
        <v>240000</v>
      </c>
      <c r="BA4" s="19">
        <f>IFERROR(s_C*up_RadSpec!AH4*s_Q_w_game*(1/1000)*s_EF_rec*s_ED_rec*s_IRGL_rec*s_CF_game,".")</f>
        <v>10</v>
      </c>
      <c r="BB4" s="19">
        <f t="shared" si="9"/>
        <v>1000</v>
      </c>
      <c r="BC4" s="19">
        <f>IFERROR((s_C*s_IRGF_rec*s_EF_rec*s_ED_rec*s_CF_fowl*up_RadSpec!AJ4)*((s_Q_p_fowl*s_f_p_fowl*s_f_s_fowl*(up_RadSpec!BB4+s_R_es_past))+(s_Q_s_fowl*s_f_p_fowl)),".")</f>
        <v>240000</v>
      </c>
      <c r="BD4" s="19">
        <f>IFERROR(s_C*up_RadSpec!AJ4*s_Q_w_fowl*(1/1000)*s_EF_rec*s_ED_rec*s_IRGL_rec*s_CF_fowl,".")</f>
        <v>10</v>
      </c>
      <c r="BE4" s="5"/>
      <c r="BF4" s="5"/>
      <c r="BG4" s="5"/>
      <c r="BH4" s="5"/>
      <c r="BI4" s="5"/>
      <c r="BJ4" s="5"/>
    </row>
    <row r="5" spans="1:62" customFormat="1" x14ac:dyDescent="0.25">
      <c r="A5" s="44" t="s">
        <v>15</v>
      </c>
      <c r="B5" s="42" t="s">
        <v>1074</v>
      </c>
      <c r="C5" s="15">
        <f>IFERROR(((s_TR/(up_RadSpec!D5*s_IFS_rec_adj*(1/1000)))*1),".")</f>
        <v>3.6363636363636363E-8</v>
      </c>
      <c r="D5" s="15">
        <f>IFERROR(IF(A5="H-3",(s_TR/((up_RadSpec!G5*s_IFA_rec_adj*(1/17)*1000))*1),(s_TR/((up_RadSpec!G5*s_IFA_rec_adj*(1/s_PEF_wind)*1000))*1)),".")</f>
        <v>3.3989909629864073E-4</v>
      </c>
      <c r="E5" s="2" t="str">
        <f>IFERROR((TR/(up_RadSpec!F5*s_EF_rec*(1/365)*s_ED_rec*up_RadSpec!Q5*s_ET_rec*(1/24)*up_RadSpec!V5)),".")</f>
        <v>.</v>
      </c>
      <c r="F5" s="2">
        <f t="shared" si="10"/>
        <v>3.6359746466272203E-8</v>
      </c>
      <c r="G5" s="40">
        <f t="shared" si="1"/>
        <v>27.5</v>
      </c>
      <c r="H5" s="40">
        <f t="shared" si="2"/>
        <v>2.9420495991003873E-3</v>
      </c>
      <c r="I5" s="40">
        <f>IFERROR((s_C*s_EF_rec*(1/365)*s_ED_rec*up_RadSpec!Q5*s_ET_rec*(1/24)*up_RadSpec!V5),".")</f>
        <v>0</v>
      </c>
      <c r="J5" s="18"/>
      <c r="K5" s="18"/>
      <c r="L5" s="18"/>
      <c r="M5" s="18"/>
      <c r="N5" s="15" t="str">
        <f>IFERROR((s_TR/(up_RadSpec!F5*s_EF_rec*(1/365)*s_ED_rec*up_RadSpec!Q5*s_ET_rec*(1/24)*up_RadSpec!V5)),".")</f>
        <v>.</v>
      </c>
      <c r="O5" s="15" t="str">
        <f>IFERROR((s_TR/(up_RadSpec!M5*s_EF_rec*(1/365)*s_ED_rec*up_RadSpec!R5*s_ET_rec*(1/24)*up_RadSpec!W5)),".")</f>
        <v>.</v>
      </c>
      <c r="P5" s="15" t="str">
        <f>IFERROR((s_TR/(up_RadSpec!N5*s_EF_rec*(1/365)*s_ED_rec*up_RadSpec!S5*s_ET_rec*(1/24)*up_RadSpec!X5)),".")</f>
        <v>.</v>
      </c>
      <c r="Q5" s="15" t="str">
        <f>IFERROR((s_TR/(up_RadSpec!O5*s_EF_rec*(1/365)*s_ED_rec*up_RadSpec!T5*s_ET_rec*(1/24)*up_RadSpec!Y5)),".")</f>
        <v>.</v>
      </c>
      <c r="R5" s="15" t="str">
        <f>IFERROR((s_TR/(up_RadSpec!K5*s_EF_rec*(1/365)*s_ED_rec*up_RadSpec!P5*s_ET_rec*(1/24)*up_RadSpec!U5)),".")</f>
        <v>.</v>
      </c>
      <c r="S5" s="40">
        <f>IFERROR((s_C*s_EF_rec*(1/365)*s_ED_rec*up_RadSpec!Q5*s_ET_rec*(1/24)*up_RadSpec!V5),".")</f>
        <v>0</v>
      </c>
      <c r="T5" s="40">
        <f>IFERROR((s_C*s_EF_rec*(1/365)*s_ED_rec*up_RadSpec!R5*s_ET_rec*(1/24)*up_RadSpec!W5),".")</f>
        <v>0</v>
      </c>
      <c r="U5" s="40">
        <f>IFERROR((s_C*s_EF_rec*(1/365)*s_ED_rec*up_RadSpec!S5*s_ET_rec*(1/24)*up_RadSpec!X5),".")</f>
        <v>0</v>
      </c>
      <c r="V5" s="40">
        <f>IFERROR((s_C*s_EF_rec*(1/365)*s_ED_rec*up_RadSpec!T5*s_ET_rec*(1/24)*up_RadSpec!Y5),".")</f>
        <v>0</v>
      </c>
      <c r="W5" s="40">
        <f>IFERROR((s_C*s_EF_rec*(1/365)*s_ED_rec*up_RadSpec!P5*s_ET_rec*(1/24)*up_RadSpec!U5),".")</f>
        <v>0</v>
      </c>
      <c r="X5" s="18"/>
      <c r="Y5" s="18"/>
      <c r="Z5" s="18"/>
      <c r="AA5" s="18"/>
      <c r="AB5" s="18"/>
      <c r="AC5" s="15">
        <f>IFERROR((s_TR/(up_RadSpec!G5*s_IFA_rec_adj)),".")</f>
        <v>1.0971428571428573E-9</v>
      </c>
      <c r="AD5" s="15">
        <f>IFERROR((s_TR/(up_RadSpec!J5*s_EF_rec*(1/365)*s_ED_rec*s_ET_rec*(1/24)*s_GSF_a)),".")</f>
        <v>1.7520000000000001E-6</v>
      </c>
      <c r="AE5" s="15">
        <f t="shared" si="11"/>
        <v>1.0964562309317064E-9</v>
      </c>
      <c r="AF5" s="40">
        <f t="shared" si="3"/>
        <v>911.45833333333326</v>
      </c>
      <c r="AG5" s="40">
        <f t="shared" si="4"/>
        <v>0.57077625570776247</v>
      </c>
      <c r="AH5" s="18"/>
      <c r="AI5" s="18"/>
      <c r="AJ5" s="18"/>
      <c r="AK5" s="15">
        <f>IFERROR((s_TR/(up_RadSpec!H5*s_IFW_rec_adj)),".")</f>
        <v>9.9999999999999991E-11</v>
      </c>
      <c r="AL5" s="15">
        <f>IFERROR((s_TR/(up_RadSpec!L5*(1/8760)*s_DFA_rec_adj)),".")</f>
        <v>4.3800000000000004E-6</v>
      </c>
      <c r="AM5" s="2">
        <f t="shared" si="5"/>
        <v>9.9997716947101668E-11</v>
      </c>
      <c r="AN5" s="40">
        <f t="shared" si="6"/>
        <v>10000</v>
      </c>
      <c r="AO5" s="40">
        <f t="shared" si="7"/>
        <v>0.22831050228310501</v>
      </c>
      <c r="AP5" s="18"/>
      <c r="AQ5" s="18"/>
      <c r="AR5" s="18"/>
      <c r="AS5" s="2">
        <f>IFERROR(s_TR/(up_RadSpec!E5*s_EF_rec*s_ED_rec*s_IRGL_rec*s_CF_game),".")</f>
        <v>9.9999999999999986E-10</v>
      </c>
      <c r="AT5" s="2">
        <f>IFERROR((AS5/(up_RadSpec!AH5*((s_Q_p_game*s_f_p_game*s_f_s_game*(up_RadSpec!BB5+s_R_es_past))+(s_Q_s_game*s_f_p_game)))),".")</f>
        <v>4.166666666666666E-12</v>
      </c>
      <c r="AU5" s="2">
        <f>IFERROR(AS5/(up_RadSpec!AH5*s_Q_w_game*(1/1000)),".")</f>
        <v>9.9999999999999982E-8</v>
      </c>
      <c r="AV5" s="2">
        <f>IFERROR(s_TR/(up_RadSpec!E5*s_EF_rec*s_ED_rec*s_IRGF_rec*s_CF_fowl),".")</f>
        <v>9.9999999999999986E-10</v>
      </c>
      <c r="AW5" s="2">
        <f>IFERROR((AS5/(up_RadSpec!AJ5*((s_Q_p_fowl*s_f_p_fowl*s_f_s_fowl*(up_RadSpec!BB5+s_R_es_past))+(s_Q_s_fowl*s_f_p_fowl)))),".")</f>
        <v>4.166666666666666E-12</v>
      </c>
      <c r="AX5" s="2">
        <f>IFERROR(AS5/(up_RadSpec!AJ5*s_Q_w_fowl*(1/1000)),".")</f>
        <v>9.9999999999999982E-8</v>
      </c>
      <c r="AY5" s="19">
        <f t="shared" si="8"/>
        <v>1000</v>
      </c>
      <c r="AZ5" s="19">
        <f>IFERROR((s_C*s_IRGL_rec*s_EF_rec*s_ED_rec*s_CF_game*up_RadSpec!AH5)*((s_Q_p_game*s_f_p_game*s_f_s_game*(up_RadSpec!BB5+s_R_es_past))+(s_Q_s_game*s_f_p_game)),".")</f>
        <v>240000</v>
      </c>
      <c r="BA5" s="19">
        <f>IFERROR(s_C*up_RadSpec!AH5*s_Q_w_game*(1/1000)*s_EF_rec*s_ED_rec*s_IRGL_rec*s_CF_game,".")</f>
        <v>10</v>
      </c>
      <c r="BB5" s="19">
        <f t="shared" si="9"/>
        <v>1000</v>
      </c>
      <c r="BC5" s="19">
        <f>IFERROR((s_C*s_IRGF_rec*s_EF_rec*s_ED_rec*s_CF_fowl*up_RadSpec!AJ5)*((s_Q_p_fowl*s_f_p_fowl*s_f_s_fowl*(up_RadSpec!BB5+s_R_es_past))+(s_Q_s_fowl*s_f_p_fowl)),".")</f>
        <v>240000</v>
      </c>
      <c r="BD5" s="19">
        <f>IFERROR(s_C*up_RadSpec!AJ5*s_Q_w_fowl*(1/1000)*s_EF_rec*s_ED_rec*s_IRGL_rec*s_CF_fowl,".")</f>
        <v>10</v>
      </c>
      <c r="BE5" s="5"/>
      <c r="BF5" s="5"/>
      <c r="BG5" s="5"/>
      <c r="BH5" s="5"/>
      <c r="BI5" s="5"/>
      <c r="BJ5" s="5"/>
    </row>
    <row r="6" spans="1:62" customFormat="1" x14ac:dyDescent="0.25">
      <c r="A6" s="44" t="s">
        <v>16</v>
      </c>
      <c r="B6" s="42" t="s">
        <v>1074</v>
      </c>
      <c r="C6" s="15">
        <f>IFERROR(((s_TR/(up_RadSpec!D6*s_IFS_rec_adj*(1/1000)))*1),".")</f>
        <v>3.6363636363636363E-8</v>
      </c>
      <c r="D6" s="15">
        <f>IFERROR(IF(A6="H-3",(s_TR/((up_RadSpec!G6*s_IFA_rec_adj*(1/17)*1000))*1),(s_TR/((up_RadSpec!G6*s_IFA_rec_adj*(1/s_PEF_wind)*1000))*1)),".")</f>
        <v>3.3989909629864073E-4</v>
      </c>
      <c r="E6" s="2">
        <f>IFERROR((TR/(up_RadSpec!F6*s_EF_rec*(1/365)*s_ED_rec*up_RadSpec!Q6*s_ET_rec*(1/24)*up_RadSpec!V6)),".")</f>
        <v>4.6691402203597302E-5</v>
      </c>
      <c r="F6" s="2">
        <f>IF(AND(C6&lt;&gt;".",D6&lt;&gt;".",E6&lt;&gt;"."),1/((1/C6)+(1/D6)+(1/E6)),IF(AND(C6&lt;&gt;".",D6&lt;&gt;".",E6="."), 1/((1/C6)+(1/D6)),IF(AND(C6&lt;&gt;".",D6=".",E6&lt;&gt;"."),1/((1/C6)+(1/E6)),IF(AND(C6=".",D6&lt;&gt;".",E6&lt;&gt;"."),1/((1/D6)+(1/E6)),IF(AND(C6&lt;&gt;".",D6=".",E6="."),1/((1/C6)),IF(AND(C6=".",D6&lt;&gt;".",E6="."),1/((1/D6)),IF(AND(C6=".",D6=".",E6&lt;&gt;"."),1/((1/E6)),IF(AND(C6=".",D6=".",E6="."),"."))))))))</f>
        <v>3.6331454266776225E-8</v>
      </c>
      <c r="G6" s="40">
        <f t="shared" si="1"/>
        <v>27.5</v>
      </c>
      <c r="H6" s="40">
        <f t="shared" si="2"/>
        <v>2.9420495991003873E-3</v>
      </c>
      <c r="I6" s="40">
        <f>IFERROR((s_C*s_EF_rec*(1/365)*s_ED_rec*up_RadSpec!Q6*s_ET_rec*(1/24)*up_RadSpec!V6),".")</f>
        <v>2.1417219291027325E-2</v>
      </c>
      <c r="J6" s="18"/>
      <c r="K6" s="18"/>
      <c r="L6" s="18"/>
      <c r="M6" s="18"/>
      <c r="N6" s="15">
        <f>IFERROR((s_TR/(up_RadSpec!F6*s_EF_rec*(1/365)*s_ED_rec*up_RadSpec!Q6*s_ET_rec*(1/24)*up_RadSpec!V6)),".")</f>
        <v>4.6691402203597302E-5</v>
      </c>
      <c r="O6" s="15">
        <f>IFERROR((s_TR/(up_RadSpec!M6*s_EF_rec*(1/365)*s_ED_rec*up_RadSpec!R6*s_ET_rec*(1/24)*up_RadSpec!W6)),".")</f>
        <v>8.7165090148941734E-5</v>
      </c>
      <c r="P6" s="15">
        <f>IFERROR((s_TR/(up_RadSpec!N6*s_EF_rec*(1/365)*s_ED_rec*up_RadSpec!S6*s_ET_rec*(1/24)*up_RadSpec!X6)),".")</f>
        <v>6.1596230518303757E-5</v>
      </c>
      <c r="Q6" s="15">
        <f>IFERROR((s_TR/(up_RadSpec!O6*s_EF_rec*(1/365)*s_ED_rec*up_RadSpec!T6*s_ET_rec*(1/24)*up_RadSpec!Y6)),".")</f>
        <v>5.0937777777777761E-5</v>
      </c>
      <c r="R6" s="15">
        <f>IFERROR((s_TR/(up_RadSpec!K6*s_EF_rec*(1/365)*s_ED_rec*up_RadSpec!P6*s_ET_rec*(1/24)*up_RadSpec!U6)),".")</f>
        <v>1.464159544159545E-4</v>
      </c>
      <c r="S6" s="40">
        <f>IFERROR((s_C*s_EF_rec*(1/365)*s_ED_rec*up_RadSpec!Q6*s_ET_rec*(1/24)*up_RadSpec!V6),".")</f>
        <v>2.1417219291027325E-2</v>
      </c>
      <c r="T6" s="40">
        <f>IFERROR((s_C*s_EF_rec*(1/365)*s_ED_rec*up_RadSpec!R6*s_ET_rec*(1/24)*up_RadSpec!W6),".")</f>
        <v>1.1472482828747936E-2</v>
      </c>
      <c r="U6" s="40">
        <f>IFERROR((s_C*s_EF_rec*(1/365)*s_ED_rec*up_RadSpec!S6*s_ET_rec*(1/24)*up_RadSpec!X6),".")</f>
        <v>1.6234759685543467E-2</v>
      </c>
      <c r="V6" s="40">
        <f>IFERROR((s_C*s_EF_rec*(1/365)*s_ED_rec*up_RadSpec!T6*s_ET_rec*(1/24)*up_RadSpec!Y6),".")</f>
        <v>1.9631794782305215E-2</v>
      </c>
      <c r="W6" s="40">
        <f>IFERROR((s_C*s_EF_rec*(1/365)*s_ED_rec*up_RadSpec!P6*s_ET_rec*(1/24)*up_RadSpec!U6),".")</f>
        <v>6.8298567870485639E-3</v>
      </c>
      <c r="X6" s="18"/>
      <c r="Y6" s="18"/>
      <c r="Z6" s="18"/>
      <c r="AA6" s="18"/>
      <c r="AB6" s="18"/>
      <c r="AC6" s="15">
        <f>IFERROR((s_TR/(up_RadSpec!G6*s_IFA_rec_adj)),".")</f>
        <v>1.0971428571428573E-9</v>
      </c>
      <c r="AD6" s="15">
        <f>IFERROR((s_TR/(up_RadSpec!J6*s_EF_rec*(1/365)*s_ED_rec*s_ET_rec*(1/24)*s_GSF_a)),".")</f>
        <v>1.7520000000000001E-6</v>
      </c>
      <c r="AE6" s="15">
        <f t="shared" si="11"/>
        <v>1.0964562309317064E-9</v>
      </c>
      <c r="AF6" s="40">
        <f t="shared" si="3"/>
        <v>911.45833333333326</v>
      </c>
      <c r="AG6" s="40">
        <f t="shared" si="4"/>
        <v>0.57077625570776247</v>
      </c>
      <c r="AH6" s="18"/>
      <c r="AI6" s="18"/>
      <c r="AJ6" s="18"/>
      <c r="AK6" s="15">
        <f>IFERROR((s_TR/(up_RadSpec!H6*s_IFW_rec_adj)),".")</f>
        <v>9.9999999999999991E-11</v>
      </c>
      <c r="AL6" s="15">
        <f>IFERROR((s_TR/(up_RadSpec!L6*(1/8760)*s_DFA_rec_adj)),".")</f>
        <v>4.3800000000000004E-6</v>
      </c>
      <c r="AM6" s="2">
        <f t="shared" si="5"/>
        <v>9.9997716947101668E-11</v>
      </c>
      <c r="AN6" s="40">
        <f t="shared" si="6"/>
        <v>10000</v>
      </c>
      <c r="AO6" s="40">
        <f t="shared" si="7"/>
        <v>0.22831050228310501</v>
      </c>
      <c r="AP6" s="18"/>
      <c r="AQ6" s="18"/>
      <c r="AR6" s="18"/>
      <c r="AS6" s="2">
        <f>IFERROR(s_TR/(up_RadSpec!E6*s_EF_rec*s_ED_rec*s_IRGL_rec*s_CF_game),".")</f>
        <v>9.9999999999999986E-10</v>
      </c>
      <c r="AT6" s="2">
        <f>IFERROR((AS6/(up_RadSpec!AH6*((s_Q_p_game*s_f_p_game*s_f_s_game*(up_RadSpec!BB6+s_R_es_past))+(s_Q_s_game*s_f_p_game)))),".")</f>
        <v>4.166666666666666E-12</v>
      </c>
      <c r="AU6" s="2">
        <f>IFERROR(AS6/(up_RadSpec!AH6*s_Q_w_game*(1/1000)),".")</f>
        <v>9.9999999999999982E-8</v>
      </c>
      <c r="AV6" s="2">
        <f>IFERROR(s_TR/(up_RadSpec!E6*s_EF_rec*s_ED_rec*s_IRGF_rec*s_CF_fowl),".")</f>
        <v>9.9999999999999986E-10</v>
      </c>
      <c r="AW6" s="2">
        <f>IFERROR((AS6/(up_RadSpec!AJ6*((s_Q_p_fowl*s_f_p_fowl*s_f_s_fowl*(up_RadSpec!BB6+s_R_es_past))+(s_Q_s_fowl*s_f_p_fowl)))),".")</f>
        <v>4.166666666666666E-12</v>
      </c>
      <c r="AX6" s="2">
        <f>IFERROR(AS6/(up_RadSpec!AJ6*s_Q_w_fowl*(1/1000)),".")</f>
        <v>9.9999999999999982E-8</v>
      </c>
      <c r="AY6" s="19">
        <f t="shared" si="8"/>
        <v>1000</v>
      </c>
      <c r="AZ6" s="19">
        <f>IFERROR((s_C*s_IRGL_rec*s_EF_rec*s_ED_rec*s_CF_game*up_RadSpec!AH6)*((s_Q_p_game*s_f_p_game*s_f_s_game*(up_RadSpec!BB6+s_R_es_past))+(s_Q_s_game*s_f_p_game)),".")</f>
        <v>240000</v>
      </c>
      <c r="BA6" s="19">
        <f>IFERROR(s_C*up_RadSpec!AH6*s_Q_w_game*(1/1000)*s_EF_rec*s_ED_rec*s_IRGL_rec*s_CF_game,".")</f>
        <v>10</v>
      </c>
      <c r="BB6" s="19">
        <f t="shared" si="9"/>
        <v>1000</v>
      </c>
      <c r="BC6" s="19">
        <f>IFERROR((s_C*s_IRGF_rec*s_EF_rec*s_ED_rec*s_CF_fowl*up_RadSpec!AJ6)*((s_Q_p_fowl*s_f_p_fowl*s_f_s_fowl*(up_RadSpec!BB6+s_R_es_past))+(s_Q_s_fowl*s_f_p_fowl)),".")</f>
        <v>240000</v>
      </c>
      <c r="BD6" s="19">
        <f>IFERROR(s_C*up_RadSpec!AJ6*s_Q_w_fowl*(1/1000)*s_EF_rec*s_ED_rec*s_IRGL_rec*s_CF_fowl,".")</f>
        <v>10</v>
      </c>
      <c r="BE6" s="5"/>
      <c r="BF6" s="5"/>
      <c r="BG6" s="5"/>
      <c r="BH6" s="5"/>
      <c r="BI6" s="5"/>
      <c r="BJ6" s="5"/>
    </row>
    <row r="7" spans="1:62" customFormat="1" x14ac:dyDescent="0.25">
      <c r="A7" s="44" t="s">
        <v>17</v>
      </c>
      <c r="B7" s="42" t="s">
        <v>1074</v>
      </c>
      <c r="C7" s="15">
        <f>IFERROR(((s_TR/(up_RadSpec!D7*s_IFS_rec_adj*(1/1000)))*1),".")</f>
        <v>3.6363636363636363E-8</v>
      </c>
      <c r="D7" s="15">
        <f>IFERROR(IF(A7="H-3",(s_TR/((up_RadSpec!G7*s_IFA_rec_adj*(1/17)*1000))*1),(s_TR/((up_RadSpec!G7*s_IFA_rec_adj*(1/s_PEF_wind)*1000))*1)),".")</f>
        <v>3.3989909629864073E-4</v>
      </c>
      <c r="E7" s="2">
        <f>IFERROR((TR/(up_RadSpec!F7*s_EF_rec*(1/365)*s_ED_rec*up_RadSpec!Q7*s_ET_rec*(1/24)*up_RadSpec!V7)),".")</f>
        <v>1.0102773722627735E-4</v>
      </c>
      <c r="F7" s="2">
        <f>IF(AND(C7&lt;&gt;".",D7&lt;&gt;".",E7&lt;&gt;"."),1/((1/C7)+(1/D7)+(1/E7)),IF(AND(C7&lt;&gt;".",D7&lt;&gt;".",E7="."), 1/((1/C7)+(1/D7)),IF(AND(C7&lt;&gt;".",D7=".",E7&lt;&gt;"."),1/((1/C7)+(1/E7)),IF(AND(C7=".",D7&lt;&gt;".",E7&lt;&gt;"."),1/((1/D7)+(1/E7)),IF(AND(C7&lt;&gt;".",D7=".",E7="."),1/((1/C7)),IF(AND(C7=".",D7&lt;&gt;".",E7="."),1/((1/D7)),IF(AND(C7=".",D7=".",E7&lt;&gt;"."),1/((1/E7)),IF(AND(C7=".",D7=".",E7="."),"."))))))))</f>
        <v>3.634666535039929E-8</v>
      </c>
      <c r="G7" s="40">
        <f t="shared" si="1"/>
        <v>27.5</v>
      </c>
      <c r="H7" s="40">
        <f t="shared" si="2"/>
        <v>2.9420495991003873E-3</v>
      </c>
      <c r="I7" s="40">
        <f>IFERROR((s_C*s_EF_rec*(1/365)*s_ED_rec*up_RadSpec!Q7*s_ET_rec*(1/24)*up_RadSpec!V7),".")</f>
        <v>9.8982717761979099E-3</v>
      </c>
      <c r="J7" s="18"/>
      <c r="K7" s="18"/>
      <c r="L7" s="18"/>
      <c r="M7" s="18"/>
      <c r="N7" s="15">
        <f>IFERROR((s_TR/(up_RadSpec!F7*s_EF_rec*(1/365)*s_ED_rec*up_RadSpec!Q7*s_ET_rec*(1/24)*up_RadSpec!V7)),".")</f>
        <v>1.0102773722627735E-4</v>
      </c>
      <c r="O7" s="15">
        <f>IFERROR((s_TR/(up_RadSpec!M7*s_EF_rec*(1/365)*s_ED_rec*up_RadSpec!R7*s_ET_rec*(1/24)*up_RadSpec!W7)),".")</f>
        <v>1.6072268907563037E-4</v>
      </c>
      <c r="P7" s="15">
        <f>IFERROR((s_TR/(up_RadSpec!N7*s_EF_rec*(1/365)*s_ED_rec*up_RadSpec!S7*s_ET_rec*(1/24)*up_RadSpec!X7)),".")</f>
        <v>1.1775000000000002E-4</v>
      </c>
      <c r="Q7" s="15">
        <f>IFERROR((s_TR/(up_RadSpec!O7*s_EF_rec*(1/365)*s_ED_rec*up_RadSpec!T7*s_ET_rec*(1/24)*up_RadSpec!Y7)),".")</f>
        <v>1.0831849564583835E-4</v>
      </c>
      <c r="R7" s="15">
        <f>IFERROR((s_TR/(up_RadSpec!K7*s_EF_rec*(1/365)*s_ED_rec*up_RadSpec!P7*s_ET_rec*(1/24)*up_RadSpec!U7)),".")</f>
        <v>2.7504660045836503E-4</v>
      </c>
      <c r="S7" s="40">
        <f>IFERROR((s_C*s_EF_rec*(1/365)*s_ED_rec*up_RadSpec!Q7*s_ET_rec*(1/24)*up_RadSpec!V7),".")</f>
        <v>9.8982717761979099E-3</v>
      </c>
      <c r="T7" s="40">
        <f>IFERROR((s_C*s_EF_rec*(1/365)*s_ED_rec*up_RadSpec!R7*s_ET_rec*(1/24)*up_RadSpec!W7),".")</f>
        <v>6.2218968942800322E-3</v>
      </c>
      <c r="U7" s="40">
        <f>IFERROR((s_C*s_EF_rec*(1/365)*s_ED_rec*up_RadSpec!S7*s_ET_rec*(1/24)*up_RadSpec!X7),".")</f>
        <v>8.4925690021231404E-3</v>
      </c>
      <c r="V7" s="40">
        <f>IFERROR((s_C*s_EF_rec*(1/365)*s_ED_rec*up_RadSpec!T7*s_ET_rec*(1/24)*up_RadSpec!Y7),".")</f>
        <v>9.2320336802833025E-3</v>
      </c>
      <c r="W7" s="40">
        <f>IFERROR((s_C*s_EF_rec*(1/365)*s_ED_rec*up_RadSpec!P7*s_ET_rec*(1/24)*up_RadSpec!U7),".")</f>
        <v>3.6357475363574766E-3</v>
      </c>
      <c r="X7" s="18"/>
      <c r="Y7" s="18"/>
      <c r="Z7" s="18"/>
      <c r="AA7" s="18"/>
      <c r="AB7" s="18"/>
      <c r="AC7" s="15">
        <f>IFERROR((s_TR/(up_RadSpec!G7*s_IFA_rec_adj)),".")</f>
        <v>1.0971428571428573E-9</v>
      </c>
      <c r="AD7" s="15">
        <f>IFERROR((s_TR/(up_RadSpec!J7*s_EF_rec*(1/365)*s_ED_rec*s_ET_rec*(1/24)*s_GSF_a)),".")</f>
        <v>1.7520000000000001E-6</v>
      </c>
      <c r="AE7" s="15">
        <f t="shared" si="11"/>
        <v>1.0964562309317064E-9</v>
      </c>
      <c r="AF7" s="40">
        <f t="shared" si="3"/>
        <v>911.45833333333326</v>
      </c>
      <c r="AG7" s="40">
        <f t="shared" si="4"/>
        <v>0.57077625570776247</v>
      </c>
      <c r="AH7" s="18"/>
      <c r="AI7" s="18"/>
      <c r="AJ7" s="18"/>
      <c r="AK7" s="15">
        <f>IFERROR((s_TR/(up_RadSpec!H7*s_IFW_rec_adj)),".")</f>
        <v>9.9999999999999991E-11</v>
      </c>
      <c r="AL7" s="15">
        <f>IFERROR((s_TR/(up_RadSpec!L7*(1/8760)*s_DFA_rec_adj)),".")</f>
        <v>4.3800000000000004E-6</v>
      </c>
      <c r="AM7" s="2">
        <f t="shared" si="5"/>
        <v>9.9997716947101668E-11</v>
      </c>
      <c r="AN7" s="40">
        <f t="shared" si="6"/>
        <v>10000</v>
      </c>
      <c r="AO7" s="40">
        <f t="shared" si="7"/>
        <v>0.22831050228310501</v>
      </c>
      <c r="AP7" s="18"/>
      <c r="AQ7" s="18"/>
      <c r="AR7" s="18"/>
      <c r="AS7" s="2">
        <f>IFERROR(s_TR/(up_RadSpec!E7*s_EF_rec*s_ED_rec*s_IRGL_rec*s_CF_game),".")</f>
        <v>9.9999999999999986E-10</v>
      </c>
      <c r="AT7" s="2">
        <f>IFERROR((AS7/(up_RadSpec!AH7*((s_Q_p_game*s_f_p_game*s_f_s_game*(up_RadSpec!BB7+s_R_es_past))+(s_Q_s_game*s_f_p_game)))),".")</f>
        <v>4.166666666666666E-12</v>
      </c>
      <c r="AU7" s="2">
        <f>IFERROR(AS7/(up_RadSpec!AH7*s_Q_w_game*(1/1000)),".")</f>
        <v>9.9999999999999982E-8</v>
      </c>
      <c r="AV7" s="2">
        <f>IFERROR(s_TR/(up_RadSpec!E7*s_EF_rec*s_ED_rec*s_IRGF_rec*s_CF_fowl),".")</f>
        <v>9.9999999999999986E-10</v>
      </c>
      <c r="AW7" s="2">
        <f>IFERROR((AS7/(up_RadSpec!AJ7*((s_Q_p_fowl*s_f_p_fowl*s_f_s_fowl*(up_RadSpec!BB7+s_R_es_past))+(s_Q_s_fowl*s_f_p_fowl)))),".")</f>
        <v>4.166666666666666E-12</v>
      </c>
      <c r="AX7" s="2">
        <f>IFERROR(AS7/(up_RadSpec!AJ7*s_Q_w_fowl*(1/1000)),".")</f>
        <v>9.9999999999999982E-8</v>
      </c>
      <c r="AY7" s="19">
        <f t="shared" si="8"/>
        <v>1000</v>
      </c>
      <c r="AZ7" s="19">
        <f>IFERROR((s_C*s_IRGL_rec*s_EF_rec*s_ED_rec*s_CF_game*up_RadSpec!AH7)*((s_Q_p_game*s_f_p_game*s_f_s_game*(up_RadSpec!BB7+s_R_es_past))+(s_Q_s_game*s_f_p_game)),".")</f>
        <v>240000</v>
      </c>
      <c r="BA7" s="19">
        <f>IFERROR(s_C*up_RadSpec!AH7*s_Q_w_game*(1/1000)*s_EF_rec*s_ED_rec*s_IRGL_rec*s_CF_game,".")</f>
        <v>10</v>
      </c>
      <c r="BB7" s="19">
        <f t="shared" si="9"/>
        <v>1000</v>
      </c>
      <c r="BC7" s="19">
        <f>IFERROR((s_C*s_IRGF_rec*s_EF_rec*s_ED_rec*s_CF_fowl*up_RadSpec!AJ7)*((s_Q_p_fowl*s_f_p_fowl*s_f_s_fowl*(up_RadSpec!BB7+s_R_es_past))+(s_Q_s_fowl*s_f_p_fowl)),".")</f>
        <v>240000</v>
      </c>
      <c r="BD7" s="19">
        <f>IFERROR(s_C*up_RadSpec!AJ7*s_Q_w_fowl*(1/1000)*s_EF_rec*s_ED_rec*s_IRGL_rec*s_CF_fowl,".")</f>
        <v>10</v>
      </c>
      <c r="BE7" s="5"/>
      <c r="BF7" s="5"/>
      <c r="BG7" s="5"/>
      <c r="BH7" s="5"/>
      <c r="BI7" s="5"/>
      <c r="BJ7" s="5"/>
    </row>
    <row r="8" spans="1:62" customFormat="1" x14ac:dyDescent="0.25">
      <c r="A8" s="44" t="s">
        <v>18</v>
      </c>
      <c r="B8" s="42" t="s">
        <v>1074</v>
      </c>
      <c r="C8" s="15">
        <f>IFERROR(((s_TR/(up_RadSpec!D8*s_IFS_rec_adj*(1/1000)))*1),".")</f>
        <v>3.6363636363636363E-8</v>
      </c>
      <c r="D8" s="15">
        <f>IFERROR(IF(A8="H-3",(s_TR/((up_RadSpec!G8*s_IFA_rec_adj*(1/17)*1000))*1),(s_TR/((up_RadSpec!G8*s_IFA_rec_adj*(1/s_PEF_wind)*1000))*1)),".")</f>
        <v>3.3989909629864073E-4</v>
      </c>
      <c r="E8" s="2">
        <f>IFERROR((TR/(up_RadSpec!F8*s_EF_rec*(1/365)*s_ED_rec*up_RadSpec!Q8*s_ET_rec*(1/24)*up_RadSpec!V8)),".")</f>
        <v>5.8077348066298378E-5</v>
      </c>
      <c r="F8" s="2">
        <f t="shared" ref="F8:F9" si="12">IF(AND(C8&lt;&gt;".",D8&lt;&gt;".",E8&lt;&gt;"."),1/((1/C8)+(1/D8)+(1/E8)),IF(AND(C8&lt;&gt;".",D8&lt;&gt;".",E8="."), 1/((1/C8)+(1/D8)),IF(AND(C8&lt;&gt;".",D8=".",E8&lt;&gt;"."),1/((1/C8)+(1/E8)),IF(AND(C8=".",D8&lt;&gt;".",E8&lt;&gt;"."),1/((1/D8)+(1/E8)),IF(AND(C8&lt;&gt;".",D8=".",E8="."),1/((1/C8)),IF(AND(C8=".",D8&lt;&gt;".",E8="."),1/((1/D8)),IF(AND(C8=".",D8=".",E8&lt;&gt;"."),1/((1/E8)),IF(AND(C8=".",D8=".",E8="."),"."))))))))</f>
        <v>3.6336997424559858E-8</v>
      </c>
      <c r="G8" s="40">
        <f t="shared" si="1"/>
        <v>27.5</v>
      </c>
      <c r="H8" s="40">
        <f t="shared" si="2"/>
        <v>2.9420495991003873E-3</v>
      </c>
      <c r="I8" s="40">
        <f>IFERROR((s_C*s_EF_rec*(1/365)*s_ED_rec*up_RadSpec!Q8*s_ET_rec*(1/24)*up_RadSpec!V8),".")</f>
        <v>1.7218417047184159E-2</v>
      </c>
      <c r="J8" s="18"/>
      <c r="K8" s="18"/>
      <c r="L8" s="18"/>
      <c r="M8" s="18"/>
      <c r="N8" s="15">
        <f>IFERROR((s_TR/(up_RadSpec!F8*s_EF_rec*(1/365)*s_ED_rec*up_RadSpec!Q8*s_ET_rec*(1/24)*up_RadSpec!V8)),".")</f>
        <v>5.8077348066298378E-5</v>
      </c>
      <c r="O8" s="15">
        <f>IFERROR((s_TR/(up_RadSpec!M8*s_EF_rec*(1/365)*s_ED_rec*up_RadSpec!R8*s_ET_rec*(1/24)*up_RadSpec!W8)),".")</f>
        <v>1.0661257606490872E-4</v>
      </c>
      <c r="P8" s="15">
        <f>IFERROR((s_TR/(up_RadSpec!N8*s_EF_rec*(1/365)*s_ED_rec*up_RadSpec!S8*s_ET_rec*(1/24)*up_RadSpec!X8)),".")</f>
        <v>7.7817258883248745E-5</v>
      </c>
      <c r="Q8" s="15">
        <f>IFERROR((s_TR/(up_RadSpec!O8*s_EF_rec*(1/365)*s_ED_rec*up_RadSpec!T8*s_ET_rec*(1/24)*up_RadSpec!Y8)),".")</f>
        <v>7.1346142816174378E-5</v>
      </c>
      <c r="R8" s="15">
        <f>IFERROR((s_TR/(up_RadSpec!K8*s_EF_rec*(1/365)*s_ED_rec*up_RadSpec!P8*s_ET_rec*(1/24)*up_RadSpec!U8)),".")</f>
        <v>1.9754093959731541E-4</v>
      </c>
      <c r="S8" s="40">
        <f>IFERROR((s_C*s_EF_rec*(1/365)*s_ED_rec*up_RadSpec!Q8*s_ET_rec*(1/24)*up_RadSpec!V8),".")</f>
        <v>1.7218417047184159E-2</v>
      </c>
      <c r="T8" s="40">
        <f>IFERROR((s_C*s_EF_rec*(1/365)*s_ED_rec*up_RadSpec!R8*s_ET_rec*(1/24)*up_RadSpec!W8),".")</f>
        <v>9.3797564687975645E-3</v>
      </c>
      <c r="U8" s="40">
        <f>IFERROR((s_C*s_EF_rec*(1/365)*s_ED_rec*up_RadSpec!S8*s_ET_rec*(1/24)*up_RadSpec!X8),".")</f>
        <v>1.2850619699934765E-2</v>
      </c>
      <c r="V8" s="40">
        <f>IFERROR((s_C*s_EF_rec*(1/365)*s_ED_rec*up_RadSpec!T8*s_ET_rec*(1/24)*up_RadSpec!Y8),".")</f>
        <v>1.4016174673612446E-2</v>
      </c>
      <c r="W8" s="40">
        <f>IFERROR((s_C*s_EF_rec*(1/365)*s_ED_rec*up_RadSpec!P8*s_ET_rec*(1/24)*up_RadSpec!U8),".")</f>
        <v>5.0622417916938471E-3</v>
      </c>
      <c r="X8" s="18"/>
      <c r="Y8" s="18"/>
      <c r="Z8" s="18"/>
      <c r="AA8" s="18"/>
      <c r="AB8" s="18"/>
      <c r="AC8" s="15">
        <f>IFERROR((s_TR/(up_RadSpec!G8*s_IFA_rec_adj)),".")</f>
        <v>1.0971428571428573E-9</v>
      </c>
      <c r="AD8" s="15">
        <f>IFERROR((s_TR/(up_RadSpec!J8*s_EF_rec*(1/365)*s_ED_rec*s_ET_rec*(1/24)*s_GSF_a)),".")</f>
        <v>1.7520000000000001E-6</v>
      </c>
      <c r="AE8" s="15">
        <f t="shared" si="11"/>
        <v>1.0964562309317064E-9</v>
      </c>
      <c r="AF8" s="40">
        <f t="shared" si="3"/>
        <v>911.45833333333326</v>
      </c>
      <c r="AG8" s="40">
        <f t="shared" si="4"/>
        <v>0.57077625570776247</v>
      </c>
      <c r="AH8" s="18"/>
      <c r="AI8" s="18"/>
      <c r="AJ8" s="18"/>
      <c r="AK8" s="15">
        <f>IFERROR((s_TR/(up_RadSpec!H8*s_IFW_rec_adj)),".")</f>
        <v>9.9999999999999991E-11</v>
      </c>
      <c r="AL8" s="15">
        <f>IFERROR((s_TR/(up_RadSpec!L8*(1/8760)*s_DFA_rec_adj)),".")</f>
        <v>4.3800000000000004E-6</v>
      </c>
      <c r="AM8" s="2">
        <f t="shared" si="5"/>
        <v>9.9997716947101668E-11</v>
      </c>
      <c r="AN8" s="40">
        <f t="shared" si="6"/>
        <v>10000</v>
      </c>
      <c r="AO8" s="40">
        <f t="shared" si="7"/>
        <v>0.22831050228310501</v>
      </c>
      <c r="AP8" s="18"/>
      <c r="AQ8" s="18"/>
      <c r="AR8" s="18"/>
      <c r="AS8" s="2">
        <f>IFERROR(s_TR/(up_RadSpec!E8*s_EF_rec*s_ED_rec*s_IRGL_rec*s_CF_game),".")</f>
        <v>9.9999999999999986E-10</v>
      </c>
      <c r="AT8" s="2">
        <f>IFERROR((AS8/(up_RadSpec!AH8*((s_Q_p_game*s_f_p_game*s_f_s_game*(up_RadSpec!BB8+s_R_es_past))+(s_Q_s_game*s_f_p_game)))),".")</f>
        <v>4.166666666666666E-12</v>
      </c>
      <c r="AU8" s="2">
        <f>IFERROR(AS8/(up_RadSpec!AH8*s_Q_w_game*(1/1000)),".")</f>
        <v>9.9999999999999982E-8</v>
      </c>
      <c r="AV8" s="2">
        <f>IFERROR(s_TR/(up_RadSpec!E8*s_EF_rec*s_ED_rec*s_IRGF_rec*s_CF_fowl),".")</f>
        <v>9.9999999999999986E-10</v>
      </c>
      <c r="AW8" s="2">
        <f>IFERROR((AS8/(up_RadSpec!AJ8*((s_Q_p_fowl*s_f_p_fowl*s_f_s_fowl*(up_RadSpec!BB8+s_R_es_past))+(s_Q_s_fowl*s_f_p_fowl)))),".")</f>
        <v>4.166666666666666E-12</v>
      </c>
      <c r="AX8" s="2">
        <f>IFERROR(AS8/(up_RadSpec!AJ8*s_Q_w_fowl*(1/1000)),".")</f>
        <v>9.9999999999999982E-8</v>
      </c>
      <c r="AY8" s="19">
        <f t="shared" si="8"/>
        <v>1000</v>
      </c>
      <c r="AZ8" s="19">
        <f>IFERROR((s_C*s_IRGL_rec*s_EF_rec*s_ED_rec*s_CF_game*up_RadSpec!AH8)*((s_Q_p_game*s_f_p_game*s_f_s_game*(up_RadSpec!BB8+s_R_es_past))+(s_Q_s_game*s_f_p_game)),".")</f>
        <v>240000</v>
      </c>
      <c r="BA8" s="19">
        <f>IFERROR(s_C*up_RadSpec!AH8*s_Q_w_game*(1/1000)*s_EF_rec*s_ED_rec*s_IRGL_rec*s_CF_game,".")</f>
        <v>10</v>
      </c>
      <c r="BB8" s="19">
        <f t="shared" si="9"/>
        <v>1000</v>
      </c>
      <c r="BC8" s="19">
        <f>IFERROR((s_C*s_IRGF_rec*s_EF_rec*s_ED_rec*s_CF_fowl*up_RadSpec!AJ8)*((s_Q_p_fowl*s_f_p_fowl*s_f_s_fowl*(up_RadSpec!BB8+s_R_es_past))+(s_Q_s_fowl*s_f_p_fowl)),".")</f>
        <v>240000</v>
      </c>
      <c r="BD8" s="19">
        <f>IFERROR(s_C*up_RadSpec!AJ8*s_Q_w_fowl*(1/1000)*s_EF_rec*s_ED_rec*s_IRGL_rec*s_CF_fowl,".")</f>
        <v>10</v>
      </c>
      <c r="BE8" s="5"/>
      <c r="BF8" s="5"/>
      <c r="BG8" s="5"/>
      <c r="BH8" s="5"/>
      <c r="BI8" s="5"/>
      <c r="BJ8" s="5"/>
    </row>
    <row r="9" spans="1:62" customFormat="1" x14ac:dyDescent="0.25">
      <c r="A9" s="44" t="s">
        <v>19</v>
      </c>
      <c r="B9" s="42" t="s">
        <v>1074</v>
      </c>
      <c r="C9" s="15">
        <f>IFERROR(((s_TR/(up_RadSpec!D9*s_IFS_rec_adj*(1/1000)))*1),".")</f>
        <v>3.6363636363636363E-8</v>
      </c>
      <c r="D9" s="15">
        <f>IFERROR(IF(A9="H-3",(s_TR/((up_RadSpec!G9*s_IFA_rec_adj*(1/17)*1000))*1),(s_TR/((up_RadSpec!G9*s_IFA_rec_adj*(1/s_PEF_wind)*1000))*1)),".")</f>
        <v>3.3989909629864073E-4</v>
      </c>
      <c r="E9" s="2">
        <f>IFERROR((TR/(up_RadSpec!F9*s_EF_rec*(1/365)*s_ED_rec*up_RadSpec!Q9*s_ET_rec*(1/24)*up_RadSpec!V9)),".")</f>
        <v>2.8602399435426953E-5</v>
      </c>
      <c r="F9" s="2">
        <f t="shared" si="12"/>
        <v>3.6313584160332375E-8</v>
      </c>
      <c r="G9" s="40">
        <f t="shared" si="1"/>
        <v>27.5</v>
      </c>
      <c r="H9" s="40">
        <f t="shared" si="2"/>
        <v>2.9420495991003873E-3</v>
      </c>
      <c r="I9" s="40">
        <f>IFERROR((s_C*s_EF_rec*(1/365)*s_ED_rec*up_RadSpec!Q9*s_ET_rec*(1/24)*up_RadSpec!V9),".")</f>
        <v>3.4962101772531687E-2</v>
      </c>
      <c r="J9" s="18"/>
      <c r="K9" s="18"/>
      <c r="L9" s="18"/>
      <c r="M9" s="18"/>
      <c r="N9" s="15">
        <f>IFERROR((s_TR/(up_RadSpec!F9*s_EF_rec*(1/365)*s_ED_rec*up_RadSpec!Q9*s_ET_rec*(1/24)*up_RadSpec!V9)),".")</f>
        <v>2.8602399435426953E-5</v>
      </c>
      <c r="O9" s="15">
        <f>IFERROR((s_TR/(up_RadSpec!M9*s_EF_rec*(1/365)*s_ED_rec*up_RadSpec!R9*s_ET_rec*(1/24)*up_RadSpec!W9)),".")</f>
        <v>5.8582500000000038E-5</v>
      </c>
      <c r="P9" s="15">
        <f>IFERROR((s_TR/(up_RadSpec!N9*s_EF_rec*(1/365)*s_ED_rec*up_RadSpec!S9*s_ET_rec*(1/24)*up_RadSpec!X9)),".")</f>
        <v>4.1219793365959787E-5</v>
      </c>
      <c r="Q9" s="15">
        <f>IFERROR((s_TR/(up_RadSpec!O9*s_EF_rec*(1/365)*s_ED_rec*up_RadSpec!T9*s_ET_rec*(1/24)*up_RadSpec!Y9)),".")</f>
        <v>3.3978181818181827E-5</v>
      </c>
      <c r="R9" s="15">
        <f>IFERROR((s_TR/(up_RadSpec!K9*s_EF_rec*(1/365)*s_ED_rec*up_RadSpec!P9*s_ET_rec*(1/24)*up_RadSpec!U9)),".")</f>
        <v>1.037659804983749E-4</v>
      </c>
      <c r="S9" s="40">
        <f>IFERROR((s_C*s_EF_rec*(1/365)*s_ED_rec*up_RadSpec!Q9*s_ET_rec*(1/24)*up_RadSpec!V9),".")</f>
        <v>3.4962101772531687E-2</v>
      </c>
      <c r="T9" s="40">
        <f>IFERROR((s_C*s_EF_rec*(1/365)*s_ED_rec*up_RadSpec!R9*s_ET_rec*(1/24)*up_RadSpec!W9),".")</f>
        <v>1.7069944095933074E-2</v>
      </c>
      <c r="U9" s="40">
        <f>IFERROR((s_C*s_EF_rec*(1/365)*s_ED_rec*up_RadSpec!S9*s_ET_rec*(1/24)*up_RadSpec!X9),".")</f>
        <v>2.4260189543449336E-2</v>
      </c>
      <c r="V9" s="40">
        <f>IFERROR((s_C*s_EF_rec*(1/365)*s_ED_rec*up_RadSpec!T9*s_ET_rec*(1/24)*up_RadSpec!Y9),".")</f>
        <v>2.94306506849315E-2</v>
      </c>
      <c r="W9" s="40">
        <f>IFERROR((s_C*s_EF_rec*(1/365)*s_ED_rec*up_RadSpec!P9*s_ET_rec*(1/24)*up_RadSpec!U9),".")</f>
        <v>9.6370698296024022E-3</v>
      </c>
      <c r="X9" s="18"/>
      <c r="Y9" s="18"/>
      <c r="Z9" s="18"/>
      <c r="AA9" s="18"/>
      <c r="AB9" s="18"/>
      <c r="AC9" s="15">
        <f>IFERROR((s_TR/(up_RadSpec!G9*s_IFA_rec_adj)),".")</f>
        <v>1.0971428571428573E-9</v>
      </c>
      <c r="AD9" s="15">
        <f>IFERROR((s_TR/(up_RadSpec!J9*s_EF_rec*(1/365)*s_ED_rec*s_ET_rec*(1/24)*s_GSF_a)),".")</f>
        <v>1.7520000000000001E-6</v>
      </c>
      <c r="AE9" s="15">
        <f t="shared" si="11"/>
        <v>1.0964562309317064E-9</v>
      </c>
      <c r="AF9" s="40">
        <f t="shared" si="3"/>
        <v>911.45833333333326</v>
      </c>
      <c r="AG9" s="40">
        <f t="shared" si="4"/>
        <v>0.57077625570776247</v>
      </c>
      <c r="AH9" s="18"/>
      <c r="AI9" s="18"/>
      <c r="AJ9" s="18"/>
      <c r="AK9" s="15">
        <f>IFERROR((s_TR/(up_RadSpec!H9*s_IFW_rec_adj)),".")</f>
        <v>9.9999999999999991E-11</v>
      </c>
      <c r="AL9" s="15">
        <f>IFERROR((s_TR/(up_RadSpec!L9*(1/8760)*s_DFA_rec_adj)),".")</f>
        <v>4.3800000000000004E-6</v>
      </c>
      <c r="AM9" s="2">
        <f t="shared" si="5"/>
        <v>9.9997716947101668E-11</v>
      </c>
      <c r="AN9" s="40">
        <f t="shared" si="6"/>
        <v>10000</v>
      </c>
      <c r="AO9" s="40">
        <f t="shared" si="7"/>
        <v>0.22831050228310501</v>
      </c>
      <c r="AP9" s="18"/>
      <c r="AQ9" s="18"/>
      <c r="AR9" s="18"/>
      <c r="AS9" s="2">
        <f>IFERROR(s_TR/(up_RadSpec!E9*s_EF_rec*s_ED_rec*s_IRGL_rec*s_CF_game),".")</f>
        <v>9.9999999999999986E-10</v>
      </c>
      <c r="AT9" s="2">
        <f>IFERROR((AS9/(up_RadSpec!AH9*((s_Q_p_game*s_f_p_game*s_f_s_game*(up_RadSpec!BB9+s_R_es_past))+(s_Q_s_game*s_f_p_game)))),".")</f>
        <v>4.166666666666666E-12</v>
      </c>
      <c r="AU9" s="2">
        <f>IFERROR(AS9/(up_RadSpec!AH9*s_Q_w_game*(1/1000)),".")</f>
        <v>9.9999999999999982E-8</v>
      </c>
      <c r="AV9" s="2">
        <f>IFERROR(s_TR/(up_RadSpec!E9*s_EF_rec*s_ED_rec*s_IRGF_rec*s_CF_fowl),".")</f>
        <v>9.9999999999999986E-10</v>
      </c>
      <c r="AW9" s="2">
        <f>IFERROR((AS9/(up_RadSpec!AJ9*((s_Q_p_fowl*s_f_p_fowl*s_f_s_fowl*(up_RadSpec!BB9+s_R_es_past))+(s_Q_s_fowl*s_f_p_fowl)))),".")</f>
        <v>4.166666666666666E-12</v>
      </c>
      <c r="AX9" s="2">
        <f>IFERROR(AS9/(up_RadSpec!AJ9*s_Q_w_fowl*(1/1000)),".")</f>
        <v>9.9999999999999982E-8</v>
      </c>
      <c r="AY9" s="19">
        <f t="shared" si="8"/>
        <v>1000</v>
      </c>
      <c r="AZ9" s="19">
        <f>IFERROR((s_C*s_IRGL_rec*s_EF_rec*s_ED_rec*s_CF_game*up_RadSpec!AH9)*((s_Q_p_game*s_f_p_game*s_f_s_game*(up_RadSpec!BB9+s_R_es_past))+(s_Q_s_game*s_f_p_game)),".")</f>
        <v>240000</v>
      </c>
      <c r="BA9" s="19">
        <f>IFERROR(s_C*up_RadSpec!AH9*s_Q_w_game*(1/1000)*s_EF_rec*s_ED_rec*s_IRGL_rec*s_CF_game,".")</f>
        <v>10</v>
      </c>
      <c r="BB9" s="19">
        <f t="shared" si="9"/>
        <v>1000</v>
      </c>
      <c r="BC9" s="19">
        <f>IFERROR((s_C*s_IRGF_rec*s_EF_rec*s_ED_rec*s_CF_fowl*up_RadSpec!AJ9)*((s_Q_p_fowl*s_f_p_fowl*s_f_s_fowl*(up_RadSpec!BB9+s_R_es_past))+(s_Q_s_fowl*s_f_p_fowl)),".")</f>
        <v>240000</v>
      </c>
      <c r="BD9" s="19">
        <f>IFERROR(s_C*up_RadSpec!AJ9*s_Q_w_fowl*(1/1000)*s_EF_rec*s_ED_rec*s_IRGL_rec*s_CF_fowl,".")</f>
        <v>10</v>
      </c>
      <c r="BE9" s="5"/>
      <c r="BF9" s="5"/>
      <c r="BG9" s="5"/>
      <c r="BH9" s="5"/>
      <c r="BI9" s="5"/>
      <c r="BJ9" s="5"/>
    </row>
    <row r="10" spans="1:62" customFormat="1" x14ac:dyDescent="0.25">
      <c r="A10" s="46" t="s">
        <v>20</v>
      </c>
      <c r="B10" s="42" t="s">
        <v>351</v>
      </c>
      <c r="C10" s="15">
        <f>IFERROR(((s_TR/(up_RadSpec!D10*s_IFS_rec_adj*(1/1000)))*1),".")</f>
        <v>3.6363636363636363E-8</v>
      </c>
      <c r="D10" s="15">
        <f>IFERROR(IF(A10="H-3",(s_TR/((up_RadSpec!G10*s_IFA_rec_adj*(1/17)*1000))*1),(s_TR/((up_RadSpec!G10*s_IFA_rec_adj*(1/s_PEF_wind)*1000))*1)),".")</f>
        <v>3.3989909629864073E-4</v>
      </c>
      <c r="E10" s="2">
        <f>IFERROR((TR/(up_RadSpec!F10*s_EF_rec*(1/365)*s_ED_rec*up_RadSpec!Q10*s_ET_rec*(1/24)*up_RadSpec!V10)),".")</f>
        <v>5.4729142857142854E-5</v>
      </c>
      <c r="F10" s="2">
        <f>IF(AND(C10&lt;&gt;".",D10&lt;&gt;".",E10&lt;&gt;"."),1/((1/C10)+(1/D10)+(1/E10)),IF(AND(C10&lt;&gt;".",D10&lt;&gt;".",E10="."), 1/((1/C10)+(1/D10)),IF(AND(C10&lt;&gt;".",D10=".",E10&lt;&gt;"."),1/((1/C10)+(1/E10)),IF(AND(C10=".",D10&lt;&gt;".",E10&lt;&gt;"."),1/((1/D10)+(1/E10)),IF(AND(C10&lt;&gt;".",D10=".",E10="."),1/((1/C10)),IF(AND(C10=".",D10&lt;&gt;".",E10="."),1/((1/D10)),IF(AND(C10=".",D10=".",E10&lt;&gt;"."),1/((1/E10)),IF(AND(C10=".",D10=".",E10="."),"."))))))))</f>
        <v>3.6335606613623346E-8</v>
      </c>
      <c r="G10" s="40">
        <f t="shared" si="1"/>
        <v>27.5</v>
      </c>
      <c r="H10" s="40">
        <f t="shared" si="2"/>
        <v>2.9420495991003873E-3</v>
      </c>
      <c r="I10" s="40">
        <f>IFERROR((s_C*s_EF_rec*(1/365)*s_ED_rec*up_RadSpec!Q10*s_ET_rec*(1/24)*up_RadSpec!V10),".")</f>
        <v>1.8271800868693618E-2</v>
      </c>
      <c r="J10" s="18"/>
      <c r="K10" s="18"/>
      <c r="L10" s="18"/>
      <c r="M10" s="18"/>
      <c r="N10" s="15">
        <f>IFERROR((s_TR/(up_RadSpec!F10*s_EF_rec*(1/365)*s_ED_rec*up_RadSpec!Q10*s_ET_rec*(1/24)*up_RadSpec!V10)),".")</f>
        <v>5.4729142857142854E-5</v>
      </c>
      <c r="O10" s="15">
        <f>IFERROR((s_TR/(up_RadSpec!M10*s_EF_rec*(1/365)*s_ED_rec*up_RadSpec!R10*s_ET_rec*(1/24)*up_RadSpec!W10)),".")</f>
        <v>8.5282539682539639E-5</v>
      </c>
      <c r="P10" s="15">
        <f>IFERROR((s_TR/(up_RadSpec!N10*s_EF_rec*(1/365)*s_ED_rec*up_RadSpec!S10*s_ET_rec*(1/24)*up_RadSpec!X10)),".")</f>
        <v>6.0902891958435938E-5</v>
      </c>
      <c r="Q10" s="15">
        <f>IFERROR((s_TR/(up_RadSpec!O10*s_EF_rec*(1/365)*s_ED_rec*up_RadSpec!T10*s_ET_rec*(1/24)*up_RadSpec!Y10)),".")</f>
        <v>5.5702811244979914E-5</v>
      </c>
      <c r="R10" s="15">
        <f>IFERROR((s_TR/(up_RadSpec!K10*s_EF_rec*(1/365)*s_ED_rec*up_RadSpec!P10*s_ET_rec*(1/24)*up_RadSpec!U10)),".")</f>
        <v>1.433670738801629E-4</v>
      </c>
      <c r="S10" s="40">
        <f>IFERROR((s_C*s_EF_rec*(1/365)*s_ED_rec*up_RadSpec!Q10*s_ET_rec*(1/24)*up_RadSpec!V10),".")</f>
        <v>1.8271800868693618E-2</v>
      </c>
      <c r="T10" s="40">
        <f>IFERROR((s_C*s_EF_rec*(1/365)*s_ED_rec*up_RadSpec!R10*s_ET_rec*(1/24)*up_RadSpec!W10),".")</f>
        <v>1.1725729600952953E-2</v>
      </c>
      <c r="U10" s="40">
        <f>IFERROR((s_C*s_EF_rec*(1/365)*s_ED_rec*up_RadSpec!S10*s_ET_rec*(1/24)*up_RadSpec!X10),".")</f>
        <v>1.6419581531242629E-2</v>
      </c>
      <c r="V10" s="40">
        <f>IFERROR((s_C*s_EF_rec*(1/365)*s_ED_rec*up_RadSpec!T10*s_ET_rec*(1/24)*up_RadSpec!Y10),".")</f>
        <v>1.7952415284787311E-2</v>
      </c>
      <c r="W10" s="40">
        <f>IFERROR((s_C*s_EF_rec*(1/365)*s_ED_rec*up_RadSpec!P10*s_ET_rec*(1/24)*up_RadSpec!U10),".")</f>
        <v>6.9751022528078931E-3</v>
      </c>
      <c r="X10" s="18"/>
      <c r="Y10" s="18"/>
      <c r="Z10" s="18"/>
      <c r="AA10" s="18"/>
      <c r="AB10" s="18"/>
      <c r="AC10" s="15">
        <f>IFERROR((s_TR/(up_RadSpec!G10*s_IFA_rec_adj)),".")</f>
        <v>1.0971428571428573E-9</v>
      </c>
      <c r="AD10" s="15">
        <f>IFERROR((s_TR/(up_RadSpec!J10*s_EF_rec*(1/365)*s_ED_rec*s_ET_rec*(1/24)*s_GSF_a)),".")</f>
        <v>1.7520000000000001E-6</v>
      </c>
      <c r="AE10" s="15">
        <f t="shared" si="11"/>
        <v>1.0964562309317064E-9</v>
      </c>
      <c r="AF10" s="40">
        <f t="shared" si="3"/>
        <v>911.45833333333326</v>
      </c>
      <c r="AG10" s="40">
        <f t="shared" si="4"/>
        <v>0.57077625570776247</v>
      </c>
      <c r="AH10" s="18"/>
      <c r="AI10" s="18"/>
      <c r="AJ10" s="18"/>
      <c r="AK10" s="15">
        <f>IFERROR((s_TR/(up_RadSpec!H10*s_IFW_rec_adj)),".")</f>
        <v>9.9999999999999991E-11</v>
      </c>
      <c r="AL10" s="15">
        <f>IFERROR((s_TR/(up_RadSpec!L10*(1/8760)*s_DFA_rec_adj)),".")</f>
        <v>4.3800000000000004E-6</v>
      </c>
      <c r="AM10" s="2">
        <f t="shared" si="5"/>
        <v>9.9997716947101668E-11</v>
      </c>
      <c r="AN10" s="40">
        <f t="shared" si="6"/>
        <v>10000</v>
      </c>
      <c r="AO10" s="40">
        <f t="shared" si="7"/>
        <v>0.22831050228310501</v>
      </c>
      <c r="AP10" s="18"/>
      <c r="AQ10" s="18"/>
      <c r="AR10" s="18"/>
      <c r="AS10" s="2">
        <f>IFERROR(s_TR/(up_RadSpec!E10*s_EF_rec*s_ED_rec*s_IRGL_rec*s_CF_game),".")</f>
        <v>9.9999999999999986E-10</v>
      </c>
      <c r="AT10" s="2">
        <f>IFERROR((AS10/(up_RadSpec!AH10*((s_Q_p_game*s_f_p_game*s_f_s_game*(up_RadSpec!BB10+s_R_es_past))+(s_Q_s_game*s_f_p_game)))),".")</f>
        <v>4.166666666666666E-12</v>
      </c>
      <c r="AU10" s="2">
        <f>IFERROR(AS10/(up_RadSpec!AH10*s_Q_w_game*(1/1000)),".")</f>
        <v>9.9999999999999982E-8</v>
      </c>
      <c r="AV10" s="2">
        <f>IFERROR(s_TR/(up_RadSpec!E10*s_EF_rec*s_ED_rec*s_IRGF_rec*s_CF_fowl),".")</f>
        <v>9.9999999999999986E-10</v>
      </c>
      <c r="AW10" s="2">
        <f>IFERROR((AS10/(up_RadSpec!AJ10*((s_Q_p_fowl*s_f_p_fowl*s_f_s_fowl*(up_RadSpec!BB10+s_R_es_past))+(s_Q_s_fowl*s_f_p_fowl)))),".")</f>
        <v>4.166666666666666E-12</v>
      </c>
      <c r="AX10" s="2">
        <f>IFERROR(AS10/(up_RadSpec!AJ10*s_Q_w_fowl*(1/1000)),".")</f>
        <v>9.9999999999999982E-8</v>
      </c>
      <c r="AY10" s="19">
        <f t="shared" si="8"/>
        <v>1000</v>
      </c>
      <c r="AZ10" s="19">
        <f>IFERROR((s_C*s_IRGL_rec*s_EF_rec*s_ED_rec*s_CF_game*up_RadSpec!AH10)*((s_Q_p_game*s_f_p_game*s_f_s_game*(up_RadSpec!BB10+s_R_es_past))+(s_Q_s_game*s_f_p_game)),".")</f>
        <v>240000</v>
      </c>
      <c r="BA10" s="19">
        <f>IFERROR(s_C*up_RadSpec!AH10*s_Q_w_game*(1/1000)*s_EF_rec*s_ED_rec*s_IRGL_rec*s_CF_game,".")</f>
        <v>10</v>
      </c>
      <c r="BB10" s="19">
        <f t="shared" si="9"/>
        <v>1000</v>
      </c>
      <c r="BC10" s="19">
        <f>IFERROR((s_C*s_IRGF_rec*s_EF_rec*s_ED_rec*s_CF_fowl*up_RadSpec!AJ10)*((s_Q_p_fowl*s_f_p_fowl*s_f_s_fowl*(up_RadSpec!BB10+s_R_es_past))+(s_Q_s_fowl*s_f_p_fowl)),".")</f>
        <v>240000</v>
      </c>
      <c r="BD10" s="19">
        <f>IFERROR(s_C*up_RadSpec!AJ10*s_Q_w_fowl*(1/1000)*s_EF_rec*s_ED_rec*s_IRGL_rec*s_CF_fowl,".")</f>
        <v>10</v>
      </c>
      <c r="BE10" s="5"/>
      <c r="BF10" s="5"/>
      <c r="BG10" s="5"/>
      <c r="BH10" s="5"/>
      <c r="BI10" s="5"/>
      <c r="BJ10" s="5"/>
    </row>
    <row r="11" spans="1:62" customFormat="1" x14ac:dyDescent="0.25">
      <c r="A11" s="44" t="s">
        <v>21</v>
      </c>
      <c r="B11" s="42" t="s">
        <v>1074</v>
      </c>
      <c r="C11" s="15">
        <f>IFERROR(((s_TR/(up_RadSpec!D11*s_IFS_rec_adj*(1/1000)))*1),".")</f>
        <v>3.6363636363636363E-8</v>
      </c>
      <c r="D11" s="15">
        <f>IFERROR(IF(A11="H-3",(s_TR/((up_RadSpec!G11*s_IFA_rec_adj*(1/17)*1000))*1),(s_TR/((up_RadSpec!G11*s_IFA_rec_adj*(1/s_PEF_wind)*1000))*1)),".")</f>
        <v>3.3989909629864073E-4</v>
      </c>
      <c r="E11" s="2">
        <f>IFERROR((TR/(up_RadSpec!F11*s_EF_rec*(1/365)*s_ED_rec*up_RadSpec!Q11*s_ET_rec*(1/24)*up_RadSpec!V11)),".")</f>
        <v>1.6364835164835165E-4</v>
      </c>
      <c r="F11" s="2">
        <f>IF(AND(C11&lt;&gt;".",D11&lt;&gt;".",E11&lt;&gt;"."),1/((1/C11)+(1/D11)+(1/E11)),IF(AND(C11&lt;&gt;".",D11&lt;&gt;".",E11="."), 1/((1/C11)+(1/D11)),IF(AND(C11&lt;&gt;".",D11=".",E11&lt;&gt;"."),1/((1/C11)+(1/E11)),IF(AND(C11=".",D11&lt;&gt;".",E11&lt;&gt;"."),1/((1/D11)+(1/E11)),IF(AND(C11&lt;&gt;".",D11=".",E11="."),1/((1/C11)),IF(AND(C11=".",D11&lt;&gt;".",E11="."),1/((1/D11)),IF(AND(C11=".",D11=".",E11&lt;&gt;"."),1/((1/E11)),IF(AND(C11=".",D11=".",E11="."),"."))))))))</f>
        <v>3.6351669773269987E-8</v>
      </c>
      <c r="G11" s="40">
        <f t="shared" si="1"/>
        <v>27.5</v>
      </c>
      <c r="H11" s="40">
        <f t="shared" si="2"/>
        <v>2.9420495991003873E-3</v>
      </c>
      <c r="I11" s="40">
        <f>IFERROR((s_C*s_EF_rec*(1/365)*s_ED_rec*up_RadSpec!Q11*s_ET_rec*(1/24)*up_RadSpec!V11),".")</f>
        <v>6.1106634434595752E-3</v>
      </c>
      <c r="J11" s="18"/>
      <c r="K11" s="18"/>
      <c r="L11" s="18"/>
      <c r="M11" s="18"/>
      <c r="N11" s="15">
        <f>IFERROR((s_TR/(up_RadSpec!F11*s_EF_rec*(1/365)*s_ED_rec*up_RadSpec!Q11*s_ET_rec*(1/24)*up_RadSpec!V11)),".")</f>
        <v>1.6364835164835165E-4</v>
      </c>
      <c r="O11" s="15">
        <f>IFERROR((s_TR/(up_RadSpec!M11*s_EF_rec*(1/365)*s_ED_rec*up_RadSpec!R11*s_ET_rec*(1/24)*up_RadSpec!W11)),".")</f>
        <v>2.0706925207756232E-4</v>
      </c>
      <c r="P11" s="15">
        <f>IFERROR((s_TR/(up_RadSpec!N11*s_EF_rec*(1/365)*s_ED_rec*up_RadSpec!S11*s_ET_rec*(1/24)*up_RadSpec!X11)),".")</f>
        <v>1.6070503597122299E-4</v>
      </c>
      <c r="Q11" s="15">
        <f>IFERROR((s_TR/(up_RadSpec!O11*s_EF_rec*(1/365)*s_ED_rec*up_RadSpec!T11*s_ET_rec*(1/24)*up_RadSpec!Y11)),".")</f>
        <v>1.5308026755852847E-4</v>
      </c>
      <c r="R11" s="15">
        <f>IFERROR((s_TR/(up_RadSpec!K11*s_EF_rec*(1/365)*s_ED_rec*up_RadSpec!P11*s_ET_rec*(1/24)*up_RadSpec!U11)),".")</f>
        <v>3.8548469387755102E-4</v>
      </c>
      <c r="S11" s="40">
        <f>IFERROR((s_C*s_EF_rec*(1/365)*s_ED_rec*up_RadSpec!Q11*s_ET_rec*(1/24)*up_RadSpec!V11),".")</f>
        <v>6.1106634434595752E-3</v>
      </c>
      <c r="T11" s="40">
        <f>IFERROR((s_C*s_EF_rec*(1/365)*s_ED_rec*up_RadSpec!R11*s_ET_rec*(1/24)*up_RadSpec!W11),".")</f>
        <v>4.829302226027397E-3</v>
      </c>
      <c r="U11" s="40">
        <f>IFERROR((s_C*s_EF_rec*(1/365)*s_ED_rec*up_RadSpec!S11*s_ET_rec*(1/24)*up_RadSpec!X11),".")</f>
        <v>6.2225803563434514E-3</v>
      </c>
      <c r="V11" s="40">
        <f>IFERROR((s_C*s_EF_rec*(1/365)*s_ED_rec*up_RadSpec!T11*s_ET_rec*(1/24)*up_RadSpec!Y11),".")</f>
        <v>6.5325205916409931E-3</v>
      </c>
      <c r="W11" s="40">
        <f>IFERROR((s_C*s_EF_rec*(1/365)*s_ED_rec*up_RadSpec!P11*s_ET_rec*(1/24)*up_RadSpec!U11),".")</f>
        <v>2.5941367215935409E-3</v>
      </c>
      <c r="X11" s="18"/>
      <c r="Y11" s="18"/>
      <c r="Z11" s="18"/>
      <c r="AA11" s="18"/>
      <c r="AB11" s="18"/>
      <c r="AC11" s="15">
        <f>IFERROR((s_TR/(up_RadSpec!G11*s_IFA_rec_adj)),".")</f>
        <v>1.0971428571428573E-9</v>
      </c>
      <c r="AD11" s="15">
        <f>IFERROR((s_TR/(up_RadSpec!J11*s_EF_rec*(1/365)*s_ED_rec*s_ET_rec*(1/24)*s_GSF_a)),".")</f>
        <v>1.7520000000000001E-6</v>
      </c>
      <c r="AE11" s="15">
        <f t="shared" si="11"/>
        <v>1.0964562309317064E-9</v>
      </c>
      <c r="AF11" s="40">
        <f t="shared" si="3"/>
        <v>911.45833333333326</v>
      </c>
      <c r="AG11" s="40">
        <f t="shared" si="4"/>
        <v>0.57077625570776247</v>
      </c>
      <c r="AH11" s="18"/>
      <c r="AI11" s="18"/>
      <c r="AJ11" s="18"/>
      <c r="AK11" s="15">
        <f>IFERROR((s_TR/(up_RadSpec!H11*s_IFW_rec_adj)),".")</f>
        <v>9.9999999999999991E-11</v>
      </c>
      <c r="AL11" s="15">
        <f>IFERROR((s_TR/(up_RadSpec!L11*(1/8760)*s_DFA_rec_adj)),".")</f>
        <v>4.3800000000000004E-6</v>
      </c>
      <c r="AM11" s="2">
        <f t="shared" si="5"/>
        <v>9.9997716947101668E-11</v>
      </c>
      <c r="AN11" s="40">
        <f t="shared" si="6"/>
        <v>10000</v>
      </c>
      <c r="AO11" s="40">
        <f t="shared" si="7"/>
        <v>0.22831050228310501</v>
      </c>
      <c r="AP11" s="18"/>
      <c r="AQ11" s="18"/>
      <c r="AR11" s="18"/>
      <c r="AS11" s="2">
        <f>IFERROR(s_TR/(up_RadSpec!E11*s_EF_rec*s_ED_rec*s_IRGL_rec*s_CF_game),".")</f>
        <v>9.9999999999999986E-10</v>
      </c>
      <c r="AT11" s="2">
        <f>IFERROR((AS11/(up_RadSpec!AH11*((s_Q_p_game*s_f_p_game*s_f_s_game*(up_RadSpec!BB11+s_R_es_past))+(s_Q_s_game*s_f_p_game)))),".")</f>
        <v>4.166666666666666E-12</v>
      </c>
      <c r="AU11" s="2">
        <f>IFERROR(AS11/(up_RadSpec!AH11*s_Q_w_game*(1/1000)),".")</f>
        <v>9.9999999999999982E-8</v>
      </c>
      <c r="AV11" s="2">
        <f>IFERROR(s_TR/(up_RadSpec!E11*s_EF_rec*s_ED_rec*s_IRGF_rec*s_CF_fowl),".")</f>
        <v>9.9999999999999986E-10</v>
      </c>
      <c r="AW11" s="2">
        <f>IFERROR((AS11/(up_RadSpec!AJ11*((s_Q_p_fowl*s_f_p_fowl*s_f_s_fowl*(up_RadSpec!BB11+s_R_es_past))+(s_Q_s_fowl*s_f_p_fowl)))),".")</f>
        <v>4.166666666666666E-12</v>
      </c>
      <c r="AX11" s="2">
        <f>IFERROR(AS11/(up_RadSpec!AJ11*s_Q_w_fowl*(1/1000)),".")</f>
        <v>9.9999999999999982E-8</v>
      </c>
      <c r="AY11" s="19">
        <f t="shared" si="8"/>
        <v>1000</v>
      </c>
      <c r="AZ11" s="19">
        <f>IFERROR((s_C*s_IRGL_rec*s_EF_rec*s_ED_rec*s_CF_game*up_RadSpec!AH11)*((s_Q_p_game*s_f_p_game*s_f_s_game*(up_RadSpec!BB11+s_R_es_past))+(s_Q_s_game*s_f_p_game)),".")</f>
        <v>240000</v>
      </c>
      <c r="BA11" s="19">
        <f>IFERROR(s_C*up_RadSpec!AH11*s_Q_w_game*(1/1000)*s_EF_rec*s_ED_rec*s_IRGL_rec*s_CF_game,".")</f>
        <v>10</v>
      </c>
      <c r="BB11" s="19">
        <f t="shared" si="9"/>
        <v>1000</v>
      </c>
      <c r="BC11" s="19">
        <f>IFERROR((s_C*s_IRGF_rec*s_EF_rec*s_ED_rec*s_CF_fowl*up_RadSpec!AJ11)*((s_Q_p_fowl*s_f_p_fowl*s_f_s_fowl*(up_RadSpec!BB11+s_R_es_past))+(s_Q_s_fowl*s_f_p_fowl)),".")</f>
        <v>240000</v>
      </c>
      <c r="BD11" s="19">
        <f>IFERROR(s_C*up_RadSpec!AJ11*s_Q_w_fowl*(1/1000)*s_EF_rec*s_ED_rec*s_IRGL_rec*s_CF_fowl,".")</f>
        <v>10</v>
      </c>
      <c r="BE11" s="5"/>
      <c r="BF11" s="5"/>
      <c r="BG11" s="5"/>
      <c r="BH11" s="5"/>
      <c r="BI11" s="5"/>
      <c r="BJ11" s="5"/>
    </row>
    <row r="12" spans="1:62" customFormat="1" x14ac:dyDescent="0.25">
      <c r="A12" s="44" t="s">
        <v>22</v>
      </c>
      <c r="B12" s="42" t="s">
        <v>1074</v>
      </c>
      <c r="C12" s="15">
        <f>IFERROR(((s_TR/(up_RadSpec!D12*s_IFS_rec_adj*(1/1000)))*1),".")</f>
        <v>3.6363636363636363E-8</v>
      </c>
      <c r="D12" s="15">
        <f>IFERROR(IF(A12="H-3",(s_TR/((up_RadSpec!G12*s_IFA_rec_adj*(1/17)*1000))*1),(s_TR/((up_RadSpec!G12*s_IFA_rec_adj*(1/s_PEF_wind)*1000))*1)),".")</f>
        <v>3.3989909629864073E-4</v>
      </c>
      <c r="E12" s="2">
        <f>IFERROR((TR/(up_RadSpec!F12*s_EF_rec*(1/365)*s_ED_rec*up_RadSpec!Q12*s_ET_rec*(1/24)*up_RadSpec!V12)),".")</f>
        <v>7.8410264150943391E-5</v>
      </c>
      <c r="F12" s="2">
        <f>IF(AND(C12&lt;&gt;".",D12&lt;&gt;".",E12&lt;&gt;"."),1/((1/C12)+(1/D12)+(1/E12)),IF(AND(C12&lt;&gt;".",D12&lt;&gt;".",E12="."), 1/((1/C12)+(1/D12)),IF(AND(C12&lt;&gt;".",D12=".",E12&lt;&gt;"."),1/((1/C12)+(1/E12)),IF(AND(C12=".",D12&lt;&gt;".",E12&lt;&gt;"."),1/((1/D12)+(1/E12)),IF(AND(C12&lt;&gt;".",D12=".",E12="."),1/((1/C12)),IF(AND(C12=".",D12&lt;&gt;".",E12="."),1/((1/D12)),IF(AND(C12=".",D12=".",E12&lt;&gt;"."),1/((1/E12)),IF(AND(C12=".",D12=".",E12="."),"."))))))))</f>
        <v>3.634289384601386E-8</v>
      </c>
      <c r="G12" s="40">
        <f t="shared" si="1"/>
        <v>27.5</v>
      </c>
      <c r="H12" s="40">
        <f t="shared" si="2"/>
        <v>2.9420495991003873E-3</v>
      </c>
      <c r="I12" s="40">
        <f>IFERROR((s_C*s_EF_rec*(1/365)*s_ED_rec*up_RadSpec!Q12*s_ET_rec*(1/24)*up_RadSpec!V12),".")</f>
        <v>1.2753432357719821E-2</v>
      </c>
      <c r="J12" s="18"/>
      <c r="K12" s="18"/>
      <c r="L12" s="18"/>
      <c r="M12" s="18"/>
      <c r="N12" s="15">
        <f>IFERROR((s_TR/(up_RadSpec!F12*s_EF_rec*(1/365)*s_ED_rec*up_RadSpec!Q12*s_ET_rec*(1/24)*up_RadSpec!V12)),".")</f>
        <v>7.8410264150943391E-5</v>
      </c>
      <c r="O12" s="15">
        <f>IFERROR((s_TR/(up_RadSpec!M12*s_EF_rec*(1/365)*s_ED_rec*up_RadSpec!R12*s_ET_rec*(1/24)*up_RadSpec!W12)),".")</f>
        <v>1.4067304286220336E-4</v>
      </c>
      <c r="P12" s="15">
        <f>IFERROR((s_TR/(up_RadSpec!N12*s_EF_rec*(1/365)*s_ED_rec*up_RadSpec!S12*s_ET_rec*(1/24)*up_RadSpec!X12)),".")</f>
        <v>1.0200028399678135E-4</v>
      </c>
      <c r="Q12" s="15">
        <f>IFERROR((s_TR/(up_RadSpec!O12*s_EF_rec*(1/365)*s_ED_rec*up_RadSpec!T12*s_ET_rec*(1/24)*up_RadSpec!Y12)),".")</f>
        <v>9.0080476900149028E-5</v>
      </c>
      <c r="R12" s="15">
        <f>IFERROR((s_TR/(up_RadSpec!K12*s_EF_rec*(1/365)*s_ED_rec*up_RadSpec!P12*s_ET_rec*(1/24)*up_RadSpec!U12)),".")</f>
        <v>2.4283673469387756E-4</v>
      </c>
      <c r="S12" s="40">
        <f>IFERROR((s_C*s_EF_rec*(1/365)*s_ED_rec*up_RadSpec!Q12*s_ET_rec*(1/24)*up_RadSpec!V12),".")</f>
        <v>1.2753432357719821E-2</v>
      </c>
      <c r="T12" s="40">
        <f>IFERROR((s_C*s_EF_rec*(1/365)*s_ED_rec*up_RadSpec!R12*s_ET_rec*(1/24)*up_RadSpec!W12),".")</f>
        <v>7.1086825141015294E-3</v>
      </c>
      <c r="U12" s="40">
        <f>IFERROR((s_C*s_EF_rec*(1/365)*s_ED_rec*up_RadSpec!S12*s_ET_rec*(1/24)*up_RadSpec!X12),".")</f>
        <v>9.803894271819432E-3</v>
      </c>
      <c r="V12" s="40">
        <f>IFERROR((s_C*s_EF_rec*(1/365)*s_ED_rec*up_RadSpec!T12*s_ET_rec*(1/24)*up_RadSpec!Y12),".")</f>
        <v>1.1101184567533584E-2</v>
      </c>
      <c r="W12" s="40">
        <f>IFERROR((s_C*s_EF_rec*(1/365)*s_ED_rec*up_RadSpec!P12*s_ET_rec*(1/24)*up_RadSpec!U12),".")</f>
        <v>4.1179931086645933E-3</v>
      </c>
      <c r="X12" s="18"/>
      <c r="Y12" s="18"/>
      <c r="Z12" s="18"/>
      <c r="AA12" s="18"/>
      <c r="AB12" s="18"/>
      <c r="AC12" s="15">
        <f>IFERROR((s_TR/(up_RadSpec!G12*s_IFA_rec_adj)),".")</f>
        <v>1.0971428571428573E-9</v>
      </c>
      <c r="AD12" s="15">
        <f>IFERROR((s_TR/(up_RadSpec!J12*s_EF_rec*(1/365)*s_ED_rec*s_ET_rec*(1/24)*s_GSF_a)),".")</f>
        <v>1.7520000000000001E-6</v>
      </c>
      <c r="AE12" s="15">
        <f t="shared" si="11"/>
        <v>1.0964562309317064E-9</v>
      </c>
      <c r="AF12" s="40">
        <f t="shared" si="3"/>
        <v>911.45833333333326</v>
      </c>
      <c r="AG12" s="40">
        <f t="shared" si="4"/>
        <v>0.57077625570776247</v>
      </c>
      <c r="AH12" s="18"/>
      <c r="AI12" s="18"/>
      <c r="AJ12" s="18"/>
      <c r="AK12" s="15">
        <f>IFERROR((s_TR/(up_RadSpec!H12*s_IFW_rec_adj)),".")</f>
        <v>9.9999999999999991E-11</v>
      </c>
      <c r="AL12" s="15">
        <f>IFERROR((s_TR/(up_RadSpec!L12*(1/8760)*s_DFA_rec_adj)),".")</f>
        <v>4.3800000000000004E-6</v>
      </c>
      <c r="AM12" s="2">
        <f t="shared" si="5"/>
        <v>9.9997716947101668E-11</v>
      </c>
      <c r="AN12" s="40">
        <f t="shared" si="6"/>
        <v>10000</v>
      </c>
      <c r="AO12" s="40">
        <f t="shared" si="7"/>
        <v>0.22831050228310501</v>
      </c>
      <c r="AP12" s="18"/>
      <c r="AQ12" s="18"/>
      <c r="AR12" s="18"/>
      <c r="AS12" s="2">
        <f>IFERROR(s_TR/(up_RadSpec!E12*s_EF_rec*s_ED_rec*s_IRGL_rec*s_CF_game),".")</f>
        <v>9.9999999999999986E-10</v>
      </c>
      <c r="AT12" s="2">
        <f>IFERROR((AS12/(up_RadSpec!AH12*((s_Q_p_game*s_f_p_game*s_f_s_game*(up_RadSpec!BB12+s_R_es_past))+(s_Q_s_game*s_f_p_game)))),".")</f>
        <v>4.166666666666666E-12</v>
      </c>
      <c r="AU12" s="2">
        <f>IFERROR(AS12/(up_RadSpec!AH12*s_Q_w_game*(1/1000)),".")</f>
        <v>9.9999999999999982E-8</v>
      </c>
      <c r="AV12" s="2">
        <f>IFERROR(s_TR/(up_RadSpec!E12*s_EF_rec*s_ED_rec*s_IRGF_rec*s_CF_fowl),".")</f>
        <v>9.9999999999999986E-10</v>
      </c>
      <c r="AW12" s="2">
        <f>IFERROR((AS12/(up_RadSpec!AJ12*((s_Q_p_fowl*s_f_p_fowl*s_f_s_fowl*(up_RadSpec!BB12+s_R_es_past))+(s_Q_s_fowl*s_f_p_fowl)))),".")</f>
        <v>4.166666666666666E-12</v>
      </c>
      <c r="AX12" s="2">
        <f>IFERROR(AS12/(up_RadSpec!AJ12*s_Q_w_fowl*(1/1000)),".")</f>
        <v>9.9999999999999982E-8</v>
      </c>
      <c r="AY12" s="19">
        <f t="shared" si="8"/>
        <v>1000</v>
      </c>
      <c r="AZ12" s="19">
        <f>IFERROR((s_C*s_IRGL_rec*s_EF_rec*s_ED_rec*s_CF_game*up_RadSpec!AH12)*((s_Q_p_game*s_f_p_game*s_f_s_game*(up_RadSpec!BB12+s_R_es_past))+(s_Q_s_game*s_f_p_game)),".")</f>
        <v>240000</v>
      </c>
      <c r="BA12" s="19">
        <f>IFERROR(s_C*up_RadSpec!AH12*s_Q_w_game*(1/1000)*s_EF_rec*s_ED_rec*s_IRGL_rec*s_CF_game,".")</f>
        <v>10</v>
      </c>
      <c r="BB12" s="19">
        <f t="shared" si="9"/>
        <v>1000</v>
      </c>
      <c r="BC12" s="19">
        <f>IFERROR((s_C*s_IRGF_rec*s_EF_rec*s_ED_rec*s_CF_fowl*up_RadSpec!AJ12)*((s_Q_p_fowl*s_f_p_fowl*s_f_s_fowl*(up_RadSpec!BB12+s_R_es_past))+(s_Q_s_fowl*s_f_p_fowl)),".")</f>
        <v>240000</v>
      </c>
      <c r="BD12" s="19">
        <f>IFERROR(s_C*up_RadSpec!AJ12*s_Q_w_fowl*(1/1000)*s_EF_rec*s_ED_rec*s_IRGL_rec*s_CF_fowl,".")</f>
        <v>10</v>
      </c>
      <c r="BE12" s="5"/>
      <c r="BF12" s="5"/>
      <c r="BG12" s="5"/>
      <c r="BH12" s="5"/>
      <c r="BI12" s="5"/>
      <c r="BJ12" s="5"/>
    </row>
    <row r="13" spans="1:62" customFormat="1" x14ac:dyDescent="0.25">
      <c r="A13" s="44" t="s">
        <v>23</v>
      </c>
      <c r="B13" s="42" t="s">
        <v>1074</v>
      </c>
      <c r="C13" s="15">
        <f>IFERROR(((s_TR/(up_RadSpec!D13*s_IFS_rec_adj*(1/1000)))*1),".")</f>
        <v>3.6363636363636363E-8</v>
      </c>
      <c r="D13" s="15">
        <f>IFERROR(IF(A13="H-3",(s_TR/((up_RadSpec!G13*s_IFA_rec_adj*(1/17)*1000))*1),(s_TR/((up_RadSpec!G13*s_IFA_rec_adj*(1/s_PEF_wind)*1000))*1)),".")</f>
        <v>3.3989909629864073E-4</v>
      </c>
      <c r="E13" s="2">
        <f>IFERROR((TR/(up_RadSpec!F13*s_EF_rec*(1/365)*s_ED_rec*up_RadSpec!Q13*s_ET_rec*(1/24)*up_RadSpec!V13)),".")</f>
        <v>6.026967984934092E-4</v>
      </c>
      <c r="F13" s="2">
        <f>IF(AND(C13&lt;&gt;".",D13&lt;&gt;".",E13&lt;&gt;"."),1/((1/C13)+(1/D13)+(1/E13)),IF(AND(C13&lt;&gt;".",D13&lt;&gt;".",E13="."), 1/((1/C13)+(1/D13)),IF(AND(C13&lt;&gt;".",D13=".",E13&lt;&gt;"."),1/((1/C13)+(1/E13)),IF(AND(C13=".",D13&lt;&gt;".",E13&lt;&gt;"."),1/((1/D13)+(1/E13)),IF(AND(C13&lt;&gt;".",D13=".",E13="."),1/((1/C13)),IF(AND(C13=".",D13&lt;&gt;".",E13="."),1/((1/D13)),IF(AND(C13=".",D13=".",E13&lt;&gt;"."),1/((1/E13)),IF(AND(C13=".",D13=".",E13="."),"."))))))))</f>
        <v>3.6357553072487545E-8</v>
      </c>
      <c r="G13" s="40">
        <f t="shared" si="1"/>
        <v>27.5</v>
      </c>
      <c r="H13" s="40">
        <f t="shared" si="2"/>
        <v>2.9420495991003873E-3</v>
      </c>
      <c r="I13" s="40">
        <f>IFERROR((s_C*s_EF_rec*(1/365)*s_ED_rec*up_RadSpec!Q13*s_ET_rec*(1/24)*up_RadSpec!V13),".")</f>
        <v>1.6592090790920892E-3</v>
      </c>
      <c r="J13" s="18"/>
      <c r="K13" s="18"/>
      <c r="L13" s="18"/>
      <c r="M13" s="18"/>
      <c r="N13" s="15">
        <f>IFERROR((s_TR/(up_RadSpec!F13*s_EF_rec*(1/365)*s_ED_rec*up_RadSpec!Q13*s_ET_rec*(1/24)*up_RadSpec!V13)),".")</f>
        <v>6.026967984934092E-4</v>
      </c>
      <c r="O13" s="15">
        <f>IFERROR((s_TR/(up_RadSpec!M13*s_EF_rec*(1/365)*s_ED_rec*up_RadSpec!R13*s_ET_rec*(1/24)*up_RadSpec!W13)),".")</f>
        <v>1.3143495610534719E-3</v>
      </c>
      <c r="P13" s="15">
        <f>IFERROR((s_TR/(up_RadSpec!N13*s_EF_rec*(1/365)*s_ED_rec*up_RadSpec!S13*s_ET_rec*(1/24)*up_RadSpec!X13)),".")</f>
        <v>7.8084577114427838E-4</v>
      </c>
      <c r="Q13" s="15">
        <f>IFERROR((s_TR/(up_RadSpec!O13*s_EF_rec*(1/365)*s_ED_rec*up_RadSpec!T13*s_ET_rec*(1/24)*up_RadSpec!Y13)),".")</f>
        <v>6.4460310385347898E-4</v>
      </c>
      <c r="R13" s="15">
        <f>IFERROR((s_TR/(up_RadSpec!K13*s_EF_rec*(1/365)*s_ED_rec*up_RadSpec!P13*s_ET_rec*(1/24)*up_RadSpec!U13)),".")</f>
        <v>1.2644642857142854E-2</v>
      </c>
      <c r="S13" s="40">
        <f>IFERROR((s_C*s_EF_rec*(1/365)*s_ED_rec*up_RadSpec!Q13*s_ET_rec*(1/24)*up_RadSpec!V13),".")</f>
        <v>1.6592090790920892E-3</v>
      </c>
      <c r="T13" s="40">
        <f>IFERROR((s_C*s_EF_rec*(1/365)*s_ED_rec*up_RadSpec!R13*s_ET_rec*(1/24)*up_RadSpec!W13),".")</f>
        <v>7.6083260468279399E-4</v>
      </c>
      <c r="U13" s="40">
        <f>IFERROR((s_C*s_EF_rec*(1/365)*s_ED_rec*up_RadSpec!S13*s_ET_rec*(1/24)*up_RadSpec!X13),".")</f>
        <v>1.2806626314112778E-3</v>
      </c>
      <c r="V13" s="40">
        <f>IFERROR((s_C*s_EF_rec*(1/365)*s_ED_rec*up_RadSpec!T13*s_ET_rec*(1/24)*up_RadSpec!Y13),".")</f>
        <v>1.551342204252408E-3</v>
      </c>
      <c r="W13" s="40">
        <f>IFERROR((s_C*s_EF_rec*(1/365)*s_ED_rec*up_RadSpec!P13*s_ET_rec*(1/24)*up_RadSpec!U13),".")</f>
        <v>7.9084875017652889E-5</v>
      </c>
      <c r="X13" s="18"/>
      <c r="Y13" s="18"/>
      <c r="Z13" s="18"/>
      <c r="AA13" s="18"/>
      <c r="AB13" s="18"/>
      <c r="AC13" s="15">
        <f>IFERROR((s_TR/(up_RadSpec!G13*s_IFA_rec_adj)),".")</f>
        <v>1.0971428571428573E-9</v>
      </c>
      <c r="AD13" s="15">
        <f>IFERROR((s_TR/(up_RadSpec!J13*s_EF_rec*(1/365)*s_ED_rec*s_ET_rec*(1/24)*s_GSF_a)),".")</f>
        <v>1.7520000000000001E-6</v>
      </c>
      <c r="AE13" s="15">
        <f t="shared" si="11"/>
        <v>1.0964562309317064E-9</v>
      </c>
      <c r="AF13" s="40">
        <f t="shared" si="3"/>
        <v>911.45833333333326</v>
      </c>
      <c r="AG13" s="40">
        <f t="shared" si="4"/>
        <v>0.57077625570776247</v>
      </c>
      <c r="AH13" s="18"/>
      <c r="AI13" s="18"/>
      <c r="AJ13" s="18"/>
      <c r="AK13" s="15">
        <f>IFERROR((s_TR/(up_RadSpec!H13*s_IFW_rec_adj)),".")</f>
        <v>9.9999999999999991E-11</v>
      </c>
      <c r="AL13" s="15">
        <f>IFERROR((s_TR/(up_RadSpec!L13*(1/8760)*s_DFA_rec_adj)),".")</f>
        <v>4.3800000000000004E-6</v>
      </c>
      <c r="AM13" s="2">
        <f t="shared" si="5"/>
        <v>9.9997716947101668E-11</v>
      </c>
      <c r="AN13" s="40">
        <f t="shared" si="6"/>
        <v>10000</v>
      </c>
      <c r="AO13" s="40">
        <f t="shared" si="7"/>
        <v>0.22831050228310501</v>
      </c>
      <c r="AP13" s="18"/>
      <c r="AQ13" s="18"/>
      <c r="AR13" s="18"/>
      <c r="AS13" s="2">
        <f>IFERROR(s_TR/(up_RadSpec!E13*s_EF_rec*s_ED_rec*s_IRGL_rec*s_CF_game),".")</f>
        <v>9.9999999999999986E-10</v>
      </c>
      <c r="AT13" s="2">
        <f>IFERROR((AS13/(up_RadSpec!AH13*((s_Q_p_game*s_f_p_game*s_f_s_game*(up_RadSpec!BB13+s_R_es_past))+(s_Q_s_game*s_f_p_game)))),".")</f>
        <v>4.166666666666666E-12</v>
      </c>
      <c r="AU13" s="2">
        <f>IFERROR(AS13/(up_RadSpec!AH13*s_Q_w_game*(1/1000)),".")</f>
        <v>9.9999999999999982E-8</v>
      </c>
      <c r="AV13" s="2">
        <f>IFERROR(s_TR/(up_RadSpec!E13*s_EF_rec*s_ED_rec*s_IRGF_rec*s_CF_fowl),".")</f>
        <v>9.9999999999999986E-10</v>
      </c>
      <c r="AW13" s="2">
        <f>IFERROR((AS13/(up_RadSpec!AJ13*((s_Q_p_fowl*s_f_p_fowl*s_f_s_fowl*(up_RadSpec!BB13+s_R_es_past))+(s_Q_s_fowl*s_f_p_fowl)))),".")</f>
        <v>4.166666666666666E-12</v>
      </c>
      <c r="AX13" s="2">
        <f>IFERROR(AS13/(up_RadSpec!AJ13*s_Q_w_fowl*(1/1000)),".")</f>
        <v>9.9999999999999982E-8</v>
      </c>
      <c r="AY13" s="19">
        <f t="shared" si="8"/>
        <v>1000</v>
      </c>
      <c r="AZ13" s="19">
        <f>IFERROR((s_C*s_IRGL_rec*s_EF_rec*s_ED_rec*s_CF_game*up_RadSpec!AH13)*((s_Q_p_game*s_f_p_game*s_f_s_game*(up_RadSpec!BB13+s_R_es_past))+(s_Q_s_game*s_f_p_game)),".")</f>
        <v>240000</v>
      </c>
      <c r="BA13" s="19">
        <f>IFERROR(s_C*up_RadSpec!AH13*s_Q_w_game*(1/1000)*s_EF_rec*s_ED_rec*s_IRGL_rec*s_CF_game,".")</f>
        <v>10</v>
      </c>
      <c r="BB13" s="19">
        <f t="shared" si="9"/>
        <v>1000</v>
      </c>
      <c r="BC13" s="19">
        <f>IFERROR((s_C*s_IRGF_rec*s_EF_rec*s_ED_rec*s_CF_fowl*up_RadSpec!AJ13)*((s_Q_p_fowl*s_f_p_fowl*s_f_s_fowl*(up_RadSpec!BB13+s_R_es_past))+(s_Q_s_fowl*s_f_p_fowl)),".")</f>
        <v>240000</v>
      </c>
      <c r="BD13" s="19">
        <f>IFERROR(s_C*up_RadSpec!AJ13*s_Q_w_fowl*(1/1000)*s_EF_rec*s_ED_rec*s_IRGL_rec*s_CF_fowl,".")</f>
        <v>10</v>
      </c>
      <c r="BE13" s="5"/>
      <c r="BF13" s="5"/>
      <c r="BG13" s="5"/>
      <c r="BH13" s="5"/>
      <c r="BI13" s="5"/>
      <c r="BJ13" s="5"/>
    </row>
    <row r="14" spans="1:62" customFormat="1" x14ac:dyDescent="0.25">
      <c r="A14" s="44" t="s">
        <v>24</v>
      </c>
      <c r="B14" s="42" t="s">
        <v>1074</v>
      </c>
      <c r="C14" s="15">
        <f>IFERROR(((s_TR/(up_RadSpec!D14*s_IFS_rec_adj*(1/1000)))*1),".")</f>
        <v>3.6363636363636363E-8</v>
      </c>
      <c r="D14" s="15">
        <f>IFERROR(IF(A14="H-3",(s_TR/((up_RadSpec!G14*s_IFA_rec_adj*(1/17)*1000))*1),(s_TR/((up_RadSpec!G14*s_IFA_rec_adj*(1/s_PEF_wind)*1000))*1)),".")</f>
        <v>3.3989909629864073E-4</v>
      </c>
      <c r="E14" s="2">
        <f>IFERROR((TR/(up_RadSpec!F14*s_EF_rec*(1/365)*s_ED_rec*up_RadSpec!Q14*s_ET_rec*(1/24)*up_RadSpec!V14)),".")</f>
        <v>9.0475197378221328E-5</v>
      </c>
      <c r="F14" s="2">
        <f>IF(AND(C14&lt;&gt;".",D14&lt;&gt;".",E14&lt;&gt;"."),1/((1/C14)+(1/D14)+(1/E14)),IF(AND(C14&lt;&gt;".",D14&lt;&gt;".",E14="."), 1/((1/C14)+(1/D14)),IF(AND(C14&lt;&gt;".",D14=".",E14&lt;&gt;"."),1/((1/C14)+(1/E14)),IF(AND(C14=".",D14&lt;&gt;".",E14&lt;&gt;"."),1/((1/D14)+(1/E14)),IF(AND(C14&lt;&gt;".",D14=".",E14="."),1/((1/C14)),IF(AND(C14=".",D14&lt;&gt;".",E14="."),1/((1/D14)),IF(AND(C14=".",D14=".",E14&lt;&gt;"."),1/((1/E14)),IF(AND(C14=".",D14=".",E14="."),"."))))))))</f>
        <v>3.6345140252379863E-8</v>
      </c>
      <c r="G14" s="40">
        <f t="shared" si="1"/>
        <v>27.5</v>
      </c>
      <c r="H14" s="40">
        <f t="shared" si="2"/>
        <v>2.9420495991003873E-3</v>
      </c>
      <c r="I14" s="40">
        <f>IFERROR((s_C*s_EF_rec*(1/365)*s_ED_rec*up_RadSpec!Q14*s_ET_rec*(1/24)*up_RadSpec!V14),".")</f>
        <v>1.1052752897787147E-2</v>
      </c>
      <c r="J14" s="18"/>
      <c r="K14" s="18"/>
      <c r="L14" s="18"/>
      <c r="M14" s="18"/>
      <c r="N14" s="15">
        <f>IFERROR((s_TR/(up_RadSpec!F14*s_EF_rec*(1/365)*s_ED_rec*up_RadSpec!Q14*s_ET_rec*(1/24)*up_RadSpec!V14)),".")</f>
        <v>9.0475197378221328E-5</v>
      </c>
      <c r="O14" s="15">
        <f>IFERROR((s_TR/(up_RadSpec!M14*s_EF_rec*(1/365)*s_ED_rec*up_RadSpec!R14*s_ET_rec*(1/24)*up_RadSpec!W14)),".")</f>
        <v>1.6431231504666528E-4</v>
      </c>
      <c r="P14" s="15">
        <f>IFERROR((s_TR/(up_RadSpec!N14*s_EF_rec*(1/365)*s_ED_rec*up_RadSpec!S14*s_ET_rec*(1/24)*up_RadSpec!X14)),".")</f>
        <v>1.2148326801326508E-4</v>
      </c>
      <c r="Q14" s="15">
        <f>IFERROR((s_TR/(up_RadSpec!O14*s_EF_rec*(1/365)*s_ED_rec*up_RadSpec!T14*s_ET_rec*(1/24)*up_RadSpec!Y14)),".")</f>
        <v>1.0645537623954891E-4</v>
      </c>
      <c r="R14" s="15">
        <f>IFERROR((s_TR/(up_RadSpec!K14*s_EF_rec*(1/365)*s_ED_rec*up_RadSpec!P14*s_ET_rec*(1/24)*up_RadSpec!U14)),".")</f>
        <v>4.5847560975609774E-4</v>
      </c>
      <c r="S14" s="40">
        <f>IFERROR((s_C*s_EF_rec*(1/365)*s_ED_rec*up_RadSpec!Q14*s_ET_rec*(1/24)*up_RadSpec!V14),".")</f>
        <v>1.1052752897787147E-2</v>
      </c>
      <c r="T14" s="40">
        <f>IFERROR((s_C*s_EF_rec*(1/365)*s_ED_rec*up_RadSpec!R14*s_ET_rec*(1/24)*up_RadSpec!W14),".")</f>
        <v>6.085971095447085E-3</v>
      </c>
      <c r="U14" s="40">
        <f>IFERROR((s_C*s_EF_rec*(1/365)*s_ED_rec*up_RadSpec!S14*s_ET_rec*(1/24)*up_RadSpec!X14),".")</f>
        <v>8.2315862616636828E-3</v>
      </c>
      <c r="V14" s="40">
        <f>IFERROR((s_C*s_EF_rec*(1/365)*s_ED_rec*up_RadSpec!T14*s_ET_rec*(1/24)*up_RadSpec!Y14),".")</f>
        <v>9.3936073059360716E-3</v>
      </c>
      <c r="W14" s="40">
        <f>IFERROR((s_C*s_EF_rec*(1/365)*s_ED_rec*up_RadSpec!P14*s_ET_rec*(1/24)*up_RadSpec!U14),".")</f>
        <v>2.1811411091900508E-3</v>
      </c>
      <c r="X14" s="18"/>
      <c r="Y14" s="18"/>
      <c r="Z14" s="18"/>
      <c r="AA14" s="18"/>
      <c r="AB14" s="18"/>
      <c r="AC14" s="15">
        <f>IFERROR((s_TR/(up_RadSpec!G14*s_IFA_rec_adj)),".")</f>
        <v>1.0971428571428573E-9</v>
      </c>
      <c r="AD14" s="15">
        <f>IFERROR((s_TR/(up_RadSpec!J14*s_EF_rec*(1/365)*s_ED_rec*s_ET_rec*(1/24)*s_GSF_a)),".")</f>
        <v>1.7520000000000001E-6</v>
      </c>
      <c r="AE14" s="15">
        <f t="shared" si="11"/>
        <v>1.0964562309317064E-9</v>
      </c>
      <c r="AF14" s="40">
        <f t="shared" si="3"/>
        <v>911.45833333333326</v>
      </c>
      <c r="AG14" s="40">
        <f t="shared" si="4"/>
        <v>0.57077625570776247</v>
      </c>
      <c r="AH14" s="18"/>
      <c r="AI14" s="18"/>
      <c r="AJ14" s="18"/>
      <c r="AK14" s="15">
        <f>IFERROR((s_TR/(up_RadSpec!H14*s_IFW_rec_adj)),".")</f>
        <v>9.9999999999999991E-11</v>
      </c>
      <c r="AL14" s="15">
        <f>IFERROR((s_TR/(up_RadSpec!L14*(1/8760)*s_DFA_rec_adj)),".")</f>
        <v>4.3800000000000004E-6</v>
      </c>
      <c r="AM14" s="2">
        <f t="shared" si="5"/>
        <v>9.9997716947101668E-11</v>
      </c>
      <c r="AN14" s="40">
        <f t="shared" si="6"/>
        <v>10000</v>
      </c>
      <c r="AO14" s="40">
        <f t="shared" si="7"/>
        <v>0.22831050228310501</v>
      </c>
      <c r="AP14" s="18"/>
      <c r="AQ14" s="18"/>
      <c r="AR14" s="18"/>
      <c r="AS14" s="2">
        <f>IFERROR(s_TR/(up_RadSpec!E14*s_EF_rec*s_ED_rec*s_IRGL_rec*s_CF_game),".")</f>
        <v>9.9999999999999986E-10</v>
      </c>
      <c r="AT14" s="2">
        <f>IFERROR((AS14/(up_RadSpec!AH14*((s_Q_p_game*s_f_p_game*s_f_s_game*(up_RadSpec!BB14+s_R_es_past))+(s_Q_s_game*s_f_p_game)))),".")</f>
        <v>4.166666666666666E-12</v>
      </c>
      <c r="AU14" s="2">
        <f>IFERROR(AS14/(up_RadSpec!AH14*s_Q_w_game*(1/1000)),".")</f>
        <v>9.9999999999999982E-8</v>
      </c>
      <c r="AV14" s="2">
        <f>IFERROR(s_TR/(up_RadSpec!E14*s_EF_rec*s_ED_rec*s_IRGF_rec*s_CF_fowl),".")</f>
        <v>9.9999999999999986E-10</v>
      </c>
      <c r="AW14" s="2">
        <f>IFERROR((AS14/(up_RadSpec!AJ14*((s_Q_p_fowl*s_f_p_fowl*s_f_s_fowl*(up_RadSpec!BB14+s_R_es_past))+(s_Q_s_fowl*s_f_p_fowl)))),".")</f>
        <v>4.166666666666666E-12</v>
      </c>
      <c r="AX14" s="2">
        <f>IFERROR(AS14/(up_RadSpec!AJ14*s_Q_w_fowl*(1/1000)),".")</f>
        <v>9.9999999999999982E-8</v>
      </c>
      <c r="AY14" s="19">
        <f t="shared" si="8"/>
        <v>1000</v>
      </c>
      <c r="AZ14" s="19">
        <f>IFERROR((s_C*s_IRGL_rec*s_EF_rec*s_ED_rec*s_CF_game*up_RadSpec!AH14)*((s_Q_p_game*s_f_p_game*s_f_s_game*(up_RadSpec!BB14+s_R_es_past))+(s_Q_s_game*s_f_p_game)),".")</f>
        <v>240000</v>
      </c>
      <c r="BA14" s="19">
        <f>IFERROR(s_C*up_RadSpec!AH14*s_Q_w_game*(1/1000)*s_EF_rec*s_ED_rec*s_IRGL_rec*s_CF_game,".")</f>
        <v>10</v>
      </c>
      <c r="BB14" s="19">
        <f t="shared" si="9"/>
        <v>1000</v>
      </c>
      <c r="BC14" s="19">
        <f>IFERROR((s_C*s_IRGF_rec*s_EF_rec*s_ED_rec*s_CF_fowl*up_RadSpec!AJ14)*((s_Q_p_fowl*s_f_p_fowl*s_f_s_fowl*(up_RadSpec!BB14+s_R_es_past))+(s_Q_s_fowl*s_f_p_fowl)),".")</f>
        <v>240000</v>
      </c>
      <c r="BD14" s="19">
        <f>IFERROR(s_C*up_RadSpec!AJ14*s_Q_w_fowl*(1/1000)*s_EF_rec*s_ED_rec*s_IRGL_rec*s_CF_fowl,".")</f>
        <v>10</v>
      </c>
      <c r="BE14" s="5"/>
      <c r="BF14" s="5"/>
      <c r="BG14" s="5"/>
      <c r="BH14" s="5"/>
      <c r="BI14" s="5"/>
      <c r="BJ14" s="5"/>
    </row>
    <row r="15" spans="1:62" customFormat="1" x14ac:dyDescent="0.25">
      <c r="A15" s="44" t="s">
        <v>25</v>
      </c>
      <c r="B15" s="42" t="s">
        <v>1074</v>
      </c>
      <c r="C15" s="15">
        <f>IFERROR(((s_TR/(up_RadSpec!D15*s_IFS_rec_adj*(1/1000)))*1),".")</f>
        <v>3.6363636363636363E-8</v>
      </c>
      <c r="D15" s="15">
        <f>IFERROR(IF(A15="H-3",(s_TR/((up_RadSpec!G15*s_IFA_rec_adj*(1/17)*1000))*1),(s_TR/((up_RadSpec!G15*s_IFA_rec_adj*(1/s_PEF_wind)*1000))*1)),".")</f>
        <v>3.3989909629864073E-4</v>
      </c>
      <c r="E15" s="2" t="str">
        <f>IFERROR((TR/(up_RadSpec!F15*s_EF_rec*(1/365)*s_ED_rec*up_RadSpec!Q15*s_ET_rec*(1/24)*up_RadSpec!V15)),".")</f>
        <v>.</v>
      </c>
      <c r="F15" s="2">
        <f t="shared" ref="F15:F16" si="13">IF(AND(C15&lt;&gt;".",D15&lt;&gt;".",E15&lt;&gt;"."),1/((1/C15)+(1/D15)+(1/E15)),IF(AND(C15&lt;&gt;".",D15&lt;&gt;".",E15="."), 1/((1/C15)+(1/D15)),IF(AND(C15&lt;&gt;".",D15=".",E15&lt;&gt;"."),1/((1/C15)+(1/E15)),IF(AND(C15=".",D15&lt;&gt;".",E15&lt;&gt;"."),1/((1/D15)+(1/E15)),IF(AND(C15&lt;&gt;".",D15=".",E15="."),1/((1/C15)),IF(AND(C15=".",D15&lt;&gt;".",E15="."),1/((1/D15)),IF(AND(C15=".",D15=".",E15&lt;&gt;"."),1/((1/E15)),IF(AND(C15=".",D15=".",E15="."),"."))))))))</f>
        <v>3.6359746466272203E-8</v>
      </c>
      <c r="G15" s="40">
        <f t="shared" si="1"/>
        <v>27.5</v>
      </c>
      <c r="H15" s="40">
        <f t="shared" si="2"/>
        <v>2.9420495991003873E-3</v>
      </c>
      <c r="I15" s="40">
        <f>IFERROR((s_C*s_EF_rec*(1/365)*s_ED_rec*up_RadSpec!Q15*s_ET_rec*(1/24)*up_RadSpec!V15),".")</f>
        <v>0</v>
      </c>
      <c r="J15" s="18"/>
      <c r="K15" s="18"/>
      <c r="L15" s="18"/>
      <c r="M15" s="18"/>
      <c r="N15" s="15" t="str">
        <f>IFERROR((s_TR/(up_RadSpec!F15*s_EF_rec*(1/365)*s_ED_rec*up_RadSpec!Q15*s_ET_rec*(1/24)*up_RadSpec!V15)),".")</f>
        <v>.</v>
      </c>
      <c r="O15" s="15" t="str">
        <f>IFERROR((s_TR/(up_RadSpec!M15*s_EF_rec*(1/365)*s_ED_rec*up_RadSpec!R15*s_ET_rec*(1/24)*up_RadSpec!W15)),".")</f>
        <v>.</v>
      </c>
      <c r="P15" s="15" t="str">
        <f>IFERROR((s_TR/(up_RadSpec!N15*s_EF_rec*(1/365)*s_ED_rec*up_RadSpec!S15*s_ET_rec*(1/24)*up_RadSpec!X15)),".")</f>
        <v>.</v>
      </c>
      <c r="Q15" s="15" t="str">
        <f>IFERROR((s_TR/(up_RadSpec!O15*s_EF_rec*(1/365)*s_ED_rec*up_RadSpec!T15*s_ET_rec*(1/24)*up_RadSpec!Y15)),".")</f>
        <v>.</v>
      </c>
      <c r="R15" s="15" t="str">
        <f>IFERROR((s_TR/(up_RadSpec!K15*s_EF_rec*(1/365)*s_ED_rec*up_RadSpec!P15*s_ET_rec*(1/24)*up_RadSpec!U15)),".")</f>
        <v>.</v>
      </c>
      <c r="S15" s="40">
        <f>IFERROR((s_C*s_EF_rec*(1/365)*s_ED_rec*up_RadSpec!Q15*s_ET_rec*(1/24)*up_RadSpec!V15),".")</f>
        <v>0</v>
      </c>
      <c r="T15" s="40">
        <f>IFERROR((s_C*s_EF_rec*(1/365)*s_ED_rec*up_RadSpec!R15*s_ET_rec*(1/24)*up_RadSpec!W15),".")</f>
        <v>0</v>
      </c>
      <c r="U15" s="40">
        <f>IFERROR((s_C*s_EF_rec*(1/365)*s_ED_rec*up_RadSpec!S15*s_ET_rec*(1/24)*up_RadSpec!X15),".")</f>
        <v>0</v>
      </c>
      <c r="V15" s="40">
        <f>IFERROR((s_C*s_EF_rec*(1/365)*s_ED_rec*up_RadSpec!T15*s_ET_rec*(1/24)*up_RadSpec!Y15),".")</f>
        <v>0</v>
      </c>
      <c r="W15" s="40">
        <f>IFERROR((s_C*s_EF_rec*(1/365)*s_ED_rec*up_RadSpec!P15*s_ET_rec*(1/24)*up_RadSpec!U15),".")</f>
        <v>0</v>
      </c>
      <c r="X15" s="18"/>
      <c r="Y15" s="18"/>
      <c r="Z15" s="18"/>
      <c r="AA15" s="18"/>
      <c r="AB15" s="18"/>
      <c r="AC15" s="15">
        <f>IFERROR((s_TR/(up_RadSpec!G15*s_IFA_rec_adj)),".")</f>
        <v>1.0971428571428573E-9</v>
      </c>
      <c r="AD15" s="15">
        <f>IFERROR((s_TR/(up_RadSpec!J15*s_EF_rec*(1/365)*s_ED_rec*s_ET_rec*(1/24)*s_GSF_a)),".")</f>
        <v>1.7520000000000001E-6</v>
      </c>
      <c r="AE15" s="15">
        <f t="shared" si="11"/>
        <v>1.0964562309317064E-9</v>
      </c>
      <c r="AF15" s="40">
        <f t="shared" si="3"/>
        <v>911.45833333333326</v>
      </c>
      <c r="AG15" s="40">
        <f t="shared" si="4"/>
        <v>0.57077625570776247</v>
      </c>
      <c r="AH15" s="18"/>
      <c r="AI15" s="18"/>
      <c r="AJ15" s="18"/>
      <c r="AK15" s="15">
        <f>IFERROR((s_TR/(up_RadSpec!H15*s_IFW_rec_adj)),".")</f>
        <v>9.9999999999999991E-11</v>
      </c>
      <c r="AL15" s="15">
        <f>IFERROR((s_TR/(up_RadSpec!L15*(1/8760)*s_DFA_rec_adj)),".")</f>
        <v>4.3800000000000004E-6</v>
      </c>
      <c r="AM15" s="2">
        <f t="shared" si="5"/>
        <v>9.9997716947101668E-11</v>
      </c>
      <c r="AN15" s="40">
        <f t="shared" si="6"/>
        <v>10000</v>
      </c>
      <c r="AO15" s="40">
        <f t="shared" si="7"/>
        <v>0.22831050228310501</v>
      </c>
      <c r="AP15" s="18"/>
      <c r="AQ15" s="18"/>
      <c r="AR15" s="18"/>
      <c r="AS15" s="2">
        <f>IFERROR(s_TR/(up_RadSpec!E15*s_EF_rec*s_ED_rec*s_IRGL_rec*s_CF_game),".")</f>
        <v>9.9999999999999986E-10</v>
      </c>
      <c r="AT15" s="2">
        <f>IFERROR((AS15/(up_RadSpec!AH15*((s_Q_p_game*s_f_p_game*s_f_s_game*(up_RadSpec!BB15+s_R_es_past))+(s_Q_s_game*s_f_p_game)))),".")</f>
        <v>4.166666666666666E-12</v>
      </c>
      <c r="AU15" s="2">
        <f>IFERROR(AS15/(up_RadSpec!AH15*s_Q_w_game*(1/1000)),".")</f>
        <v>9.9999999999999982E-8</v>
      </c>
      <c r="AV15" s="2">
        <f>IFERROR(s_TR/(up_RadSpec!E15*s_EF_rec*s_ED_rec*s_IRGF_rec*s_CF_fowl),".")</f>
        <v>9.9999999999999986E-10</v>
      </c>
      <c r="AW15" s="2">
        <f>IFERROR((AS15/(up_RadSpec!AJ15*((s_Q_p_fowl*s_f_p_fowl*s_f_s_fowl*(up_RadSpec!BB15+s_R_es_past))+(s_Q_s_fowl*s_f_p_fowl)))),".")</f>
        <v>4.166666666666666E-12</v>
      </c>
      <c r="AX15" s="2">
        <f>IFERROR(AS15/(up_RadSpec!AJ15*s_Q_w_fowl*(1/1000)),".")</f>
        <v>9.9999999999999982E-8</v>
      </c>
      <c r="AY15" s="19">
        <f t="shared" si="8"/>
        <v>1000</v>
      </c>
      <c r="AZ15" s="19">
        <f>IFERROR((s_C*s_IRGL_rec*s_EF_rec*s_ED_rec*s_CF_game*up_RadSpec!AH15)*((s_Q_p_game*s_f_p_game*s_f_s_game*(up_RadSpec!BB15+s_R_es_past))+(s_Q_s_game*s_f_p_game)),".")</f>
        <v>240000</v>
      </c>
      <c r="BA15" s="19">
        <f>IFERROR(s_C*up_RadSpec!AH15*s_Q_w_game*(1/1000)*s_EF_rec*s_ED_rec*s_IRGL_rec*s_CF_game,".")</f>
        <v>10</v>
      </c>
      <c r="BB15" s="19">
        <f t="shared" si="9"/>
        <v>1000</v>
      </c>
      <c r="BC15" s="19">
        <f>IFERROR((s_C*s_IRGF_rec*s_EF_rec*s_ED_rec*s_CF_fowl*up_RadSpec!AJ15)*((s_Q_p_fowl*s_f_p_fowl*s_f_s_fowl*(up_RadSpec!BB15+s_R_es_past))+(s_Q_s_fowl*s_f_p_fowl)),".")</f>
        <v>240000</v>
      </c>
      <c r="BD15" s="19">
        <f>IFERROR(s_C*up_RadSpec!AJ15*s_Q_w_fowl*(1/1000)*s_EF_rec*s_ED_rec*s_IRGL_rec*s_CF_fowl,".")</f>
        <v>10</v>
      </c>
      <c r="BE15" s="5"/>
      <c r="BF15" s="5"/>
      <c r="BG15" s="5"/>
      <c r="BH15" s="5"/>
      <c r="BI15" s="5"/>
      <c r="BJ15" s="5"/>
    </row>
    <row r="16" spans="1:62" customFormat="1" x14ac:dyDescent="0.25">
      <c r="A16" s="44" t="s">
        <v>26</v>
      </c>
      <c r="B16" s="42" t="s">
        <v>1074</v>
      </c>
      <c r="C16" s="15">
        <f>IFERROR(((s_TR/(up_RadSpec!D16*s_IFS_rec_adj*(1/1000)))*1),".")</f>
        <v>3.6363636363636363E-8</v>
      </c>
      <c r="D16" s="15">
        <f>IFERROR(IF(A16="H-3",(s_TR/((up_RadSpec!G16*s_IFA_rec_adj*(1/17)*1000))*1),(s_TR/((up_RadSpec!G16*s_IFA_rec_adj*(1/s_PEF_wind)*1000))*1)),".")</f>
        <v>3.3989909629864073E-4</v>
      </c>
      <c r="E16" s="2">
        <f>IFERROR((TR/(up_RadSpec!F16*s_EF_rec*(1/365)*s_ED_rec*up_RadSpec!Q16*s_ET_rec*(1/24)*up_RadSpec!V16)),".")</f>
        <v>0.84144082332761627</v>
      </c>
      <c r="F16" s="2">
        <f t="shared" si="13"/>
        <v>3.635974489512059E-8</v>
      </c>
      <c r="G16" s="40">
        <f t="shared" si="1"/>
        <v>27.5</v>
      </c>
      <c r="H16" s="40">
        <f t="shared" si="2"/>
        <v>2.9420495991003873E-3</v>
      </c>
      <c r="I16" s="40">
        <f>IFERROR((s_C*s_EF_rec*(1/365)*s_ED_rec*up_RadSpec!Q16*s_ET_rec*(1/24)*up_RadSpec!V16),".")</f>
        <v>1.188437703848662E-6</v>
      </c>
      <c r="J16" s="18"/>
      <c r="K16" s="18"/>
      <c r="L16" s="18"/>
      <c r="M16" s="18"/>
      <c r="N16" s="15">
        <f>IFERROR((s_TR/(up_RadSpec!F16*s_EF_rec*(1/365)*s_ED_rec*up_RadSpec!Q16*s_ET_rec*(1/24)*up_RadSpec!V16)),".")</f>
        <v>0.84144082332761627</v>
      </c>
      <c r="O16" s="15">
        <f>IFERROR((s_TR/(up_RadSpec!M16*s_EF_rec*(1/365)*s_ED_rec*up_RadSpec!R16*s_ET_rec*(1/24)*up_RadSpec!W16)),".")</f>
        <v>1.4985772357723584</v>
      </c>
      <c r="P16" s="15">
        <f>IFERROR((s_TR/(up_RadSpec!N16*s_EF_rec*(1/365)*s_ED_rec*up_RadSpec!S16*s_ET_rec*(1/24)*up_RadSpec!X16)),".")</f>
        <v>0.90025518618175537</v>
      </c>
      <c r="Q16" s="15">
        <f>IFERROR((s_TR/(up_RadSpec!O16*s_EF_rec*(1/365)*s_ED_rec*up_RadSpec!T16*s_ET_rec*(1/24)*up_RadSpec!Y16)),".")</f>
        <v>0.90490674318507935</v>
      </c>
      <c r="R16" s="15">
        <f>IFERROR((s_TR/(up_RadSpec!K16*s_EF_rec*(1/365)*s_ED_rec*up_RadSpec!P16*s_ET_rec*(1/24)*up_RadSpec!U16)),".")</f>
        <v>35.040000000000006</v>
      </c>
      <c r="S16" s="40">
        <f>IFERROR((s_C*s_EF_rec*(1/365)*s_ED_rec*up_RadSpec!Q16*s_ET_rec*(1/24)*up_RadSpec!V16),".")</f>
        <v>1.188437703848662E-6</v>
      </c>
      <c r="T16" s="40">
        <f>IFERROR((s_C*s_EF_rec*(1/365)*s_ED_rec*up_RadSpec!R16*s_ET_rec*(1/24)*up_RadSpec!W16),".")</f>
        <v>6.6729960667299573E-7</v>
      </c>
      <c r="U16" s="40">
        <f>IFERROR((s_C*s_EF_rec*(1/365)*s_ED_rec*up_RadSpec!S16*s_ET_rec*(1/24)*up_RadSpec!X16),".")</f>
        <v>1.1107961557447854E-6</v>
      </c>
      <c r="V16" s="40">
        <f>IFERROR((s_C*s_EF_rec*(1/365)*s_ED_rec*up_RadSpec!T16*s_ET_rec*(1/24)*up_RadSpec!Y16),".")</f>
        <v>1.1050862506341953E-6</v>
      </c>
      <c r="W16" s="40">
        <f>IFERROR((s_C*s_EF_rec*(1/365)*s_ED_rec*up_RadSpec!P16*s_ET_rec*(1/24)*up_RadSpec!U16),".")</f>
        <v>2.8538812785388121E-8</v>
      </c>
      <c r="X16" s="18"/>
      <c r="Y16" s="18"/>
      <c r="Z16" s="18"/>
      <c r="AA16" s="18"/>
      <c r="AB16" s="18"/>
      <c r="AC16" s="15">
        <f>IFERROR((s_TR/(up_RadSpec!G16*s_IFA_rec_adj)),".")</f>
        <v>1.0971428571428573E-9</v>
      </c>
      <c r="AD16" s="15">
        <f>IFERROR((s_TR/(up_RadSpec!J16*s_EF_rec*(1/365)*s_ED_rec*s_ET_rec*(1/24)*s_GSF_a)),".")</f>
        <v>1.7520000000000001E-6</v>
      </c>
      <c r="AE16" s="15">
        <f t="shared" si="11"/>
        <v>1.0964562309317064E-9</v>
      </c>
      <c r="AF16" s="40">
        <f t="shared" si="3"/>
        <v>911.45833333333326</v>
      </c>
      <c r="AG16" s="40">
        <f t="shared" si="4"/>
        <v>0.57077625570776247</v>
      </c>
      <c r="AH16" s="18"/>
      <c r="AI16" s="18"/>
      <c r="AJ16" s="18"/>
      <c r="AK16" s="15">
        <f>IFERROR((s_TR/(up_RadSpec!H16*s_IFW_rec_adj)),".")</f>
        <v>9.9999999999999991E-11</v>
      </c>
      <c r="AL16" s="15">
        <f>IFERROR((s_TR/(up_RadSpec!L16*(1/8760)*s_DFA_rec_adj)),".")</f>
        <v>4.3800000000000004E-6</v>
      </c>
      <c r="AM16" s="2">
        <f t="shared" si="5"/>
        <v>9.9997716947101668E-11</v>
      </c>
      <c r="AN16" s="40">
        <f t="shared" si="6"/>
        <v>10000</v>
      </c>
      <c r="AO16" s="40">
        <f t="shared" si="7"/>
        <v>0.22831050228310501</v>
      </c>
      <c r="AP16" s="18"/>
      <c r="AQ16" s="18"/>
      <c r="AR16" s="18"/>
      <c r="AS16" s="2">
        <f>IFERROR(s_TR/(up_RadSpec!E16*s_EF_rec*s_ED_rec*s_IRGL_rec*s_CF_game),".")</f>
        <v>9.9999999999999986E-10</v>
      </c>
      <c r="AT16" s="2">
        <f>IFERROR((AS16/(up_RadSpec!AH16*((s_Q_p_game*s_f_p_game*s_f_s_game*(up_RadSpec!BB16+s_R_es_past))+(s_Q_s_game*s_f_p_game)))),".")</f>
        <v>4.166666666666666E-12</v>
      </c>
      <c r="AU16" s="2">
        <f>IFERROR(AS16/(up_RadSpec!AH16*s_Q_w_game*(1/1000)),".")</f>
        <v>9.9999999999999982E-8</v>
      </c>
      <c r="AV16" s="2">
        <f>IFERROR(s_TR/(up_RadSpec!E16*s_EF_rec*s_ED_rec*s_IRGF_rec*s_CF_fowl),".")</f>
        <v>9.9999999999999986E-10</v>
      </c>
      <c r="AW16" s="2">
        <f>IFERROR((AS16/(up_RadSpec!AJ16*((s_Q_p_fowl*s_f_p_fowl*s_f_s_fowl*(up_RadSpec!BB16+s_R_es_past))+(s_Q_s_fowl*s_f_p_fowl)))),".")</f>
        <v>4.166666666666666E-12</v>
      </c>
      <c r="AX16" s="2">
        <f>IFERROR(AS16/(up_RadSpec!AJ16*s_Q_w_fowl*(1/1000)),".")</f>
        <v>9.9999999999999982E-8</v>
      </c>
      <c r="AY16" s="19">
        <f t="shared" si="8"/>
        <v>1000</v>
      </c>
      <c r="AZ16" s="19">
        <f>IFERROR((s_C*s_IRGL_rec*s_EF_rec*s_ED_rec*s_CF_game*up_RadSpec!AH16)*((s_Q_p_game*s_f_p_game*s_f_s_game*(up_RadSpec!BB16+s_R_es_past))+(s_Q_s_game*s_f_p_game)),".")</f>
        <v>240000</v>
      </c>
      <c r="BA16" s="19">
        <f>IFERROR(s_C*up_RadSpec!AH16*s_Q_w_game*(1/1000)*s_EF_rec*s_ED_rec*s_IRGL_rec*s_CF_game,".")</f>
        <v>10</v>
      </c>
      <c r="BB16" s="19">
        <f t="shared" si="9"/>
        <v>1000</v>
      </c>
      <c r="BC16" s="19">
        <f>IFERROR((s_C*s_IRGF_rec*s_EF_rec*s_ED_rec*s_CF_fowl*up_RadSpec!AJ16)*((s_Q_p_fowl*s_f_p_fowl*s_f_s_fowl*(up_RadSpec!BB16+s_R_es_past))+(s_Q_s_fowl*s_f_p_fowl)),".")</f>
        <v>240000</v>
      </c>
      <c r="BD16" s="19">
        <f>IFERROR(s_C*up_RadSpec!AJ16*s_Q_w_fowl*(1/1000)*s_EF_rec*s_ED_rec*s_IRGL_rec*s_CF_fowl,".")</f>
        <v>10</v>
      </c>
      <c r="BE16" s="5"/>
      <c r="BF16" s="5"/>
      <c r="BG16" s="5"/>
      <c r="BH16" s="5"/>
      <c r="BI16" s="5"/>
      <c r="BJ16" s="5"/>
    </row>
    <row r="17" spans="1:62" customFormat="1" x14ac:dyDescent="0.25">
      <c r="A17" s="44" t="s">
        <v>27</v>
      </c>
      <c r="B17" s="42" t="s">
        <v>1074</v>
      </c>
      <c r="C17" s="15">
        <f>IFERROR(((s_TR/(up_RadSpec!D17*s_IFS_rec_adj*(1/1000)))*1),".")</f>
        <v>3.6363636363636363E-8</v>
      </c>
      <c r="D17" s="15">
        <f>IFERROR(IF(A17="H-3",(s_TR/((up_RadSpec!G17*s_IFA_rec_adj*(1/17)*1000))*1),(s_TR/((up_RadSpec!G17*s_IFA_rec_adj*(1/s_PEF_wind)*1000))*1)),".")</f>
        <v>3.3989909629864073E-4</v>
      </c>
      <c r="E17" s="2">
        <f>IFERROR((TR/(up_RadSpec!F17*s_EF_rec*(1/365)*s_ED_rec*up_RadSpec!Q17*s_ET_rec*(1/24)*up_RadSpec!V17)),".")</f>
        <v>7.7361038961038924E-5</v>
      </c>
      <c r="F17" s="2">
        <f>IF(AND(C17&lt;&gt;".",D17&lt;&gt;".",E17&lt;&gt;"."),1/((1/C17)+(1/D17)+(1/E17)),IF(AND(C17&lt;&gt;".",D17&lt;&gt;".",E17="."), 1/((1/C17)+(1/D17)),IF(AND(C17&lt;&gt;".",D17=".",E17&lt;&gt;"."),1/((1/C17)+(1/E17)),IF(AND(C17=".",D17&lt;&gt;".",E17&lt;&gt;"."),1/((1/D17)+(1/E17)),IF(AND(C17&lt;&gt;".",D17=".",E17="."),1/((1/C17)),IF(AND(C17=".",D17&lt;&gt;".",E17="."),1/((1/D17)),IF(AND(C17=".",D17=".",E17&lt;&gt;"."),1/((1/E17)),IF(AND(C17=".",D17=".",E17="."),"."))))))))</f>
        <v>3.6342665386220818E-8</v>
      </c>
      <c r="G17" s="40">
        <f t="shared" si="1"/>
        <v>27.5</v>
      </c>
      <c r="H17" s="40">
        <f t="shared" si="2"/>
        <v>2.9420495991003873E-3</v>
      </c>
      <c r="I17" s="40">
        <f>IFERROR((s_C*s_EF_rec*(1/365)*s_ED_rec*up_RadSpec!Q17*s_ET_rec*(1/24)*up_RadSpec!V17),".")</f>
        <v>1.2926403438087569E-2</v>
      </c>
      <c r="J17" s="18"/>
      <c r="K17" s="18"/>
      <c r="L17" s="18"/>
      <c r="M17" s="18"/>
      <c r="N17" s="15">
        <f>IFERROR((s_TR/(up_RadSpec!F17*s_EF_rec*(1/365)*s_ED_rec*up_RadSpec!Q17*s_ET_rec*(1/24)*up_RadSpec!V17)),".")</f>
        <v>7.7361038961038924E-5</v>
      </c>
      <c r="O17" s="15">
        <f>IFERROR((s_TR/(up_RadSpec!M17*s_EF_rec*(1/365)*s_ED_rec*up_RadSpec!R17*s_ET_rec*(1/24)*up_RadSpec!W17)),".")</f>
        <v>1.3520459440057432E-4</v>
      </c>
      <c r="P17" s="15">
        <f>IFERROR((s_TR/(up_RadSpec!N17*s_EF_rec*(1/365)*s_ED_rec*up_RadSpec!S17*s_ET_rec*(1/24)*up_RadSpec!X17)),".")</f>
        <v>1.0186509198273905E-4</v>
      </c>
      <c r="Q17" s="15">
        <f>IFERROR((s_TR/(up_RadSpec!O17*s_EF_rec*(1/365)*s_ED_rec*up_RadSpec!T17*s_ET_rec*(1/24)*up_RadSpec!Y17)),".")</f>
        <v>9.0581645842309339E-5</v>
      </c>
      <c r="R17" s="15">
        <f>IFERROR((s_TR/(up_RadSpec!K17*s_EF_rec*(1/365)*s_ED_rec*up_RadSpec!P17*s_ET_rec*(1/24)*up_RadSpec!U17)),".")</f>
        <v>2.5907040498442373E-4</v>
      </c>
      <c r="S17" s="40">
        <f>IFERROR((s_C*s_EF_rec*(1/365)*s_ED_rec*up_RadSpec!Q17*s_ET_rec*(1/24)*up_RadSpec!V17),".")</f>
        <v>1.2926403438087569E-2</v>
      </c>
      <c r="T17" s="40">
        <f>IFERROR((s_C*s_EF_rec*(1/365)*s_ED_rec*up_RadSpec!R17*s_ET_rec*(1/24)*up_RadSpec!W17),".")</f>
        <v>7.3961983646596563E-3</v>
      </c>
      <c r="U17" s="40">
        <f>IFERROR((s_C*s_EF_rec*(1/365)*s_ED_rec*up_RadSpec!S17*s_ET_rec*(1/24)*up_RadSpec!X17),".")</f>
        <v>9.8169056792237423E-3</v>
      </c>
      <c r="V17" s="40">
        <f>IFERROR((s_C*s_EF_rec*(1/365)*s_ED_rec*up_RadSpec!T17*s_ET_rec*(1/24)*up_RadSpec!Y17),".")</f>
        <v>1.1039764079147642E-2</v>
      </c>
      <c r="W17" s="40">
        <f>IFERROR((s_C*s_EF_rec*(1/365)*s_ED_rec*up_RadSpec!P17*s_ET_rec*(1/24)*up_RadSpec!U17),".")</f>
        <v>3.8599545944281968E-3</v>
      </c>
      <c r="X17" s="18"/>
      <c r="Y17" s="18"/>
      <c r="Z17" s="18"/>
      <c r="AA17" s="18"/>
      <c r="AB17" s="18"/>
      <c r="AC17" s="15">
        <f>IFERROR((s_TR/(up_RadSpec!G17*s_IFA_rec_adj)),".")</f>
        <v>1.0971428571428573E-9</v>
      </c>
      <c r="AD17" s="15">
        <f>IFERROR((s_TR/(up_RadSpec!J17*s_EF_rec*(1/365)*s_ED_rec*s_ET_rec*(1/24)*s_GSF_a)),".")</f>
        <v>1.7520000000000001E-6</v>
      </c>
      <c r="AE17" s="15">
        <f>IFERROR(IF(AND(AC17&lt;&gt;".",AD17&lt;&gt;"."),1/((1/AC17)+(1/AD17)),IF(AND(AC17&lt;&gt;".",AD17="."),1/((1/AC17)),IF(AND(AC17=".",AD17&lt;&gt;"."),1/((1/AD17)),IF(AND(AC17=".",AD17="."),".")))),".")</f>
        <v>1.0964562309317064E-9</v>
      </c>
      <c r="AF17" s="40">
        <f t="shared" si="3"/>
        <v>911.45833333333326</v>
      </c>
      <c r="AG17" s="40">
        <f t="shared" si="4"/>
        <v>0.57077625570776247</v>
      </c>
      <c r="AH17" s="18"/>
      <c r="AI17" s="18"/>
      <c r="AJ17" s="18"/>
      <c r="AK17" s="15">
        <f>IFERROR((s_TR/(up_RadSpec!H17*s_IFW_rec_adj)),".")</f>
        <v>9.9999999999999991E-11</v>
      </c>
      <c r="AL17" s="15">
        <f>IFERROR((s_TR/(up_RadSpec!L17*(1/8760)*s_DFA_rec_adj)),".")</f>
        <v>4.3800000000000004E-6</v>
      </c>
      <c r="AM17" s="2">
        <f t="shared" si="5"/>
        <v>9.9997716947101668E-11</v>
      </c>
      <c r="AN17" s="40">
        <f t="shared" si="6"/>
        <v>10000</v>
      </c>
      <c r="AO17" s="40">
        <f t="shared" si="7"/>
        <v>0.22831050228310501</v>
      </c>
      <c r="AP17" s="18"/>
      <c r="AQ17" s="18"/>
      <c r="AR17" s="18"/>
      <c r="AS17" s="2">
        <f>IFERROR(s_TR/(up_RadSpec!E17*s_EF_rec*s_ED_rec*s_IRGL_rec*s_CF_game),".")</f>
        <v>9.9999999999999986E-10</v>
      </c>
      <c r="AT17" s="2">
        <f>IFERROR((AS17/(up_RadSpec!AH17*((s_Q_p_game*s_f_p_game*s_f_s_game*(up_RadSpec!BB17+s_R_es_past))+(s_Q_s_game*s_f_p_game)))),".")</f>
        <v>4.166666666666666E-12</v>
      </c>
      <c r="AU17" s="2">
        <f>IFERROR(AS17/(up_RadSpec!AH17*s_Q_w_game*(1/1000)),".")</f>
        <v>9.9999999999999982E-8</v>
      </c>
      <c r="AV17" s="2">
        <f>IFERROR(s_TR/(up_RadSpec!E17*s_EF_rec*s_ED_rec*s_IRGF_rec*s_CF_fowl),".")</f>
        <v>9.9999999999999986E-10</v>
      </c>
      <c r="AW17" s="2">
        <f>IFERROR((AS17/(up_RadSpec!AJ17*((s_Q_p_fowl*s_f_p_fowl*s_f_s_fowl*(up_RadSpec!BB17+s_R_es_past))+(s_Q_s_fowl*s_f_p_fowl)))),".")</f>
        <v>4.166666666666666E-12</v>
      </c>
      <c r="AX17" s="2">
        <f>IFERROR(AS17/(up_RadSpec!AJ17*s_Q_w_fowl*(1/1000)),".")</f>
        <v>9.9999999999999982E-8</v>
      </c>
      <c r="AY17" s="19">
        <f t="shared" si="8"/>
        <v>1000</v>
      </c>
      <c r="AZ17" s="19">
        <f>IFERROR((s_C*s_IRGL_rec*s_EF_rec*s_ED_rec*s_CF_game*up_RadSpec!AH17)*((s_Q_p_game*s_f_p_game*s_f_s_game*(up_RadSpec!BB17+s_R_es_past))+(s_Q_s_game*s_f_p_game)),".")</f>
        <v>240000</v>
      </c>
      <c r="BA17" s="19">
        <f>IFERROR(s_C*up_RadSpec!AH17*s_Q_w_game*(1/1000)*s_EF_rec*s_ED_rec*s_IRGL_rec*s_CF_game,".")</f>
        <v>10</v>
      </c>
      <c r="BB17" s="19">
        <f t="shared" si="9"/>
        <v>1000</v>
      </c>
      <c r="BC17" s="19">
        <f>IFERROR((s_C*s_IRGF_rec*s_EF_rec*s_ED_rec*s_CF_fowl*up_RadSpec!AJ17)*((s_Q_p_fowl*s_f_p_fowl*s_f_s_fowl*(up_RadSpec!BB17+s_R_es_past))+(s_Q_s_fowl*s_f_p_fowl)),".")</f>
        <v>240000</v>
      </c>
      <c r="BD17" s="19">
        <f>IFERROR(s_C*up_RadSpec!AJ17*s_Q_w_fowl*(1/1000)*s_EF_rec*s_ED_rec*s_IRGL_rec*s_CF_fowl,".")</f>
        <v>10</v>
      </c>
      <c r="BE17" s="5"/>
      <c r="BF17" s="5"/>
      <c r="BG17" s="5"/>
      <c r="BH17" s="5"/>
      <c r="BI17" s="5"/>
      <c r="BJ17" s="5"/>
    </row>
    <row r="18" spans="1:62" customFormat="1" x14ac:dyDescent="0.25">
      <c r="A18" s="44" t="s">
        <v>28</v>
      </c>
      <c r="B18" s="42" t="s">
        <v>1074</v>
      </c>
      <c r="C18" s="15">
        <f>IFERROR(((s_TR/(up_RadSpec!D18*s_IFS_rec_adj*(1/1000)))*1),".")</f>
        <v>3.6363636363636363E-8</v>
      </c>
      <c r="D18" s="15">
        <f>IFERROR(IF(A18="H-3",(s_TR/((up_RadSpec!G18*s_IFA_rec_adj*(1/17)*1000))*1),(s_TR/((up_RadSpec!G18*s_IFA_rec_adj*(1/s_PEF_wind)*1000))*1)),".")</f>
        <v>3.3989909629864073E-4</v>
      </c>
      <c r="E18" s="2">
        <f>IFERROR((TR/(up_RadSpec!F18*s_EF_rec*(1/365)*s_ED_rec*up_RadSpec!Q18*s_ET_rec*(1/24)*up_RadSpec!V18)),".")</f>
        <v>3.9401015479876174E-5</v>
      </c>
      <c r="F18" s="2">
        <f>IF(AND(C18&lt;&gt;".",D18&lt;&gt;".",E18&lt;&gt;"."),1/((1/C18)+(1/D18)+(1/E18)),IF(AND(C18&lt;&gt;".",D18&lt;&gt;".",E18="."), 1/((1/C18)+(1/D18)),IF(AND(C18&lt;&gt;".",D18=".",E18&lt;&gt;"."),1/((1/C18)+(1/E18)),IF(AND(C18=".",D18&lt;&gt;".",E18&lt;&gt;"."),1/((1/D18)+(1/E18)),IF(AND(C18&lt;&gt;".",D18=".",E18="."),1/((1/C18)),IF(AND(C18=".",D18&lt;&gt;".",E18="."),1/((1/D18)),IF(AND(C18=".",D18=".",E18&lt;&gt;"."),1/((1/E18)),IF(AND(C18=".",D18=".",E18="."),"."))))))))</f>
        <v>3.6326224175412221E-8</v>
      </c>
      <c r="G18" s="40">
        <f t="shared" si="1"/>
        <v>27.5</v>
      </c>
      <c r="H18" s="40">
        <f t="shared" si="2"/>
        <v>2.9420495991003873E-3</v>
      </c>
      <c r="I18" s="40">
        <f>IFERROR((s_C*s_EF_rec*(1/365)*s_ED_rec*up_RadSpec!Q18*s_ET_rec*(1/24)*up_RadSpec!V18),".")</f>
        <v>2.5380056524450335E-2</v>
      </c>
      <c r="J18" s="18"/>
      <c r="K18" s="18"/>
      <c r="L18" s="18"/>
      <c r="M18" s="18"/>
      <c r="N18" s="15">
        <f>IFERROR((s_TR/(up_RadSpec!F18*s_EF_rec*(1/365)*s_ED_rec*up_RadSpec!Q18*s_ET_rec*(1/24)*up_RadSpec!V18)),".")</f>
        <v>3.9401015479876174E-5</v>
      </c>
      <c r="O18" s="15">
        <f>IFERROR((s_TR/(up_RadSpec!M18*s_EF_rec*(1/365)*s_ED_rec*up_RadSpec!R18*s_ET_rec*(1/24)*up_RadSpec!W18)),".")</f>
        <v>7.7963172804532591E-5</v>
      </c>
      <c r="P18" s="15">
        <f>IFERROR((s_TR/(up_RadSpec!N18*s_EF_rec*(1/365)*s_ED_rec*up_RadSpec!S18*s_ET_rec*(1/24)*up_RadSpec!X18)),".")</f>
        <v>5.4597264747907746E-5</v>
      </c>
      <c r="Q18" s="15">
        <f>IFERROR((s_TR/(up_RadSpec!O18*s_EF_rec*(1/365)*s_ED_rec*up_RadSpec!T18*s_ET_rec*(1/24)*up_RadSpec!Y18)),".")</f>
        <v>4.5234819879579573E-5</v>
      </c>
      <c r="R18" s="15">
        <f>IFERROR((s_TR/(up_RadSpec!K18*s_EF_rec*(1/365)*s_ED_rec*up_RadSpec!P18*s_ET_rec*(1/24)*up_RadSpec!U18)),".")</f>
        <v>1.3252307692307691E-4</v>
      </c>
      <c r="S18" s="40">
        <f>IFERROR((s_C*s_EF_rec*(1/365)*s_ED_rec*up_RadSpec!Q18*s_ET_rec*(1/24)*up_RadSpec!V18),".")</f>
        <v>2.5380056524450335E-2</v>
      </c>
      <c r="T18" s="40">
        <f>IFERROR((s_C*s_EF_rec*(1/365)*s_ED_rec*up_RadSpec!R18*s_ET_rec*(1/24)*up_RadSpec!W18),".")</f>
        <v>1.2826568802005738E-2</v>
      </c>
      <c r="U18" s="40">
        <f>IFERROR((s_C*s_EF_rec*(1/365)*s_ED_rec*up_RadSpec!S18*s_ET_rec*(1/24)*up_RadSpec!X18),".")</f>
        <v>1.8315935873661537E-2</v>
      </c>
      <c r="V18" s="40">
        <f>IFERROR((s_C*s_EF_rec*(1/365)*s_ED_rec*up_RadSpec!T18*s_ET_rec*(1/24)*up_RadSpec!Y18),".")</f>
        <v>2.2106863753677319E-2</v>
      </c>
      <c r="W18" s="40">
        <f>IFERROR((s_C*s_EF_rec*(1/365)*s_ED_rec*up_RadSpec!P18*s_ET_rec*(1/24)*up_RadSpec!U18),".")</f>
        <v>7.5458555839331325E-3</v>
      </c>
      <c r="X18" s="18"/>
      <c r="Y18" s="18"/>
      <c r="Z18" s="18"/>
      <c r="AA18" s="18"/>
      <c r="AB18" s="18"/>
      <c r="AC18" s="15">
        <f>IFERROR((s_TR/(up_RadSpec!G18*s_IFA_rec_adj)),".")</f>
        <v>1.0971428571428573E-9</v>
      </c>
      <c r="AD18" s="15">
        <f>IFERROR((s_TR/(up_RadSpec!J18*s_EF_rec*(1/365)*s_ED_rec*s_ET_rec*(1/24)*s_GSF_a)),".")</f>
        <v>1.7520000000000001E-6</v>
      </c>
      <c r="AE18" s="15">
        <f t="shared" ref="AE18:AE20" si="14">IFERROR(IF(AND(AC18&lt;&gt;".",AD18&lt;&gt;"."),1/((1/AC18)+(1/AD18)),IF(AND(AC18&lt;&gt;".",AD18="."),1/((1/AC18)),IF(AND(AC18=".",AD18&lt;&gt;"."),1/((1/AD18)),IF(AND(AC18=".",AD18="."),".")))),".")</f>
        <v>1.0964562309317064E-9</v>
      </c>
      <c r="AF18" s="40">
        <f t="shared" si="3"/>
        <v>911.45833333333326</v>
      </c>
      <c r="AG18" s="40">
        <f t="shared" si="4"/>
        <v>0.57077625570776247</v>
      </c>
      <c r="AH18" s="18"/>
      <c r="AI18" s="18"/>
      <c r="AJ18" s="18"/>
      <c r="AK18" s="15">
        <f>IFERROR((s_TR/(up_RadSpec!H18*s_IFW_rec_adj)),".")</f>
        <v>9.9999999999999991E-11</v>
      </c>
      <c r="AL18" s="15">
        <f>IFERROR((s_TR/(up_RadSpec!L18*(1/8760)*s_DFA_rec_adj)),".")</f>
        <v>4.3800000000000004E-6</v>
      </c>
      <c r="AM18" s="2">
        <f t="shared" si="5"/>
        <v>9.9997716947101668E-11</v>
      </c>
      <c r="AN18" s="40">
        <f t="shared" si="6"/>
        <v>10000</v>
      </c>
      <c r="AO18" s="40">
        <f t="shared" si="7"/>
        <v>0.22831050228310501</v>
      </c>
      <c r="AP18" s="18"/>
      <c r="AQ18" s="18"/>
      <c r="AR18" s="18"/>
      <c r="AS18" s="2">
        <f>IFERROR(s_TR/(up_RadSpec!E18*s_EF_rec*s_ED_rec*s_IRGL_rec*s_CF_game),".")</f>
        <v>9.9999999999999986E-10</v>
      </c>
      <c r="AT18" s="2">
        <f>IFERROR((AS18/(up_RadSpec!AH18*((s_Q_p_game*s_f_p_game*s_f_s_game*(up_RadSpec!BB18+s_R_es_past))+(s_Q_s_game*s_f_p_game)))),".")</f>
        <v>4.166666666666666E-12</v>
      </c>
      <c r="AU18" s="2">
        <f>IFERROR(AS18/(up_RadSpec!AH18*s_Q_w_game*(1/1000)),".")</f>
        <v>9.9999999999999982E-8</v>
      </c>
      <c r="AV18" s="2">
        <f>IFERROR(s_TR/(up_RadSpec!E18*s_EF_rec*s_ED_rec*s_IRGF_rec*s_CF_fowl),".")</f>
        <v>9.9999999999999986E-10</v>
      </c>
      <c r="AW18" s="2">
        <f>IFERROR((AS18/(up_RadSpec!AJ18*((s_Q_p_fowl*s_f_p_fowl*s_f_s_fowl*(up_RadSpec!BB18+s_R_es_past))+(s_Q_s_fowl*s_f_p_fowl)))),".")</f>
        <v>4.166666666666666E-12</v>
      </c>
      <c r="AX18" s="2">
        <f>IFERROR(AS18/(up_RadSpec!AJ18*s_Q_w_fowl*(1/1000)),".")</f>
        <v>9.9999999999999982E-8</v>
      </c>
      <c r="AY18" s="19">
        <f t="shared" si="8"/>
        <v>1000</v>
      </c>
      <c r="AZ18" s="19">
        <f>IFERROR((s_C*s_IRGL_rec*s_EF_rec*s_ED_rec*s_CF_game*up_RadSpec!AH18)*((s_Q_p_game*s_f_p_game*s_f_s_game*(up_RadSpec!BB18+s_R_es_past))+(s_Q_s_game*s_f_p_game)),".")</f>
        <v>240000</v>
      </c>
      <c r="BA18" s="19">
        <f>IFERROR(s_C*up_RadSpec!AH18*s_Q_w_game*(1/1000)*s_EF_rec*s_ED_rec*s_IRGL_rec*s_CF_game,".")</f>
        <v>10</v>
      </c>
      <c r="BB18" s="19">
        <f t="shared" si="9"/>
        <v>1000</v>
      </c>
      <c r="BC18" s="19">
        <f>IFERROR((s_C*s_IRGF_rec*s_EF_rec*s_ED_rec*s_CF_fowl*up_RadSpec!AJ18)*((s_Q_p_fowl*s_f_p_fowl*s_f_s_fowl*(up_RadSpec!BB18+s_R_es_past))+(s_Q_s_fowl*s_f_p_fowl)),".")</f>
        <v>240000</v>
      </c>
      <c r="BD18" s="19">
        <f>IFERROR(s_C*up_RadSpec!AJ18*s_Q_w_fowl*(1/1000)*s_EF_rec*s_ED_rec*s_IRGL_rec*s_CF_fowl,".")</f>
        <v>10</v>
      </c>
      <c r="BE18" s="5"/>
      <c r="BF18" s="5"/>
      <c r="BG18" s="5"/>
      <c r="BH18" s="5"/>
      <c r="BI18" s="5"/>
      <c r="BJ18" s="5"/>
    </row>
    <row r="19" spans="1:62" customFormat="1" x14ac:dyDescent="0.25">
      <c r="A19" s="44" t="s">
        <v>29</v>
      </c>
      <c r="B19" s="42" t="s">
        <v>1074</v>
      </c>
      <c r="C19" s="15">
        <f>IFERROR(((s_TR/(up_RadSpec!D19*s_IFS_rec_adj*(1/1000)))*1),".")</f>
        <v>3.6363636363636363E-8</v>
      </c>
      <c r="D19" s="15">
        <f>IFERROR(IF(A19="H-3",(s_TR/((up_RadSpec!G19*s_IFA_rec_adj*(1/17)*1000))*1),(s_TR/((up_RadSpec!G19*s_IFA_rec_adj*(1/s_PEF_wind)*1000))*1)),".")</f>
        <v>3.3989909629864073E-4</v>
      </c>
      <c r="E19" s="2">
        <f>IFERROR((TR/(up_RadSpec!F19*s_EF_rec*(1/365)*s_ED_rec*up_RadSpec!Q19*s_ET_rec*(1/24)*up_RadSpec!V19)),".")</f>
        <v>4.0204563335955944E-5</v>
      </c>
      <c r="F19" s="2">
        <f t="shared" ref="F19:F20" si="15">IF(AND(C19&lt;&gt;".",D19&lt;&gt;".",E19&lt;&gt;"."),1/((1/C19)+(1/D19)+(1/E19)),IF(AND(C19&lt;&gt;".",D19&lt;&gt;".",E19="."), 1/((1/C19)+(1/D19)),IF(AND(C19&lt;&gt;".",D19=".",E19&lt;&gt;"."),1/((1/C19)+(1/E19)),IF(AND(C19=".",D19&lt;&gt;".",E19&lt;&gt;"."),1/((1/D19)+(1/E19)),IF(AND(C19&lt;&gt;".",D19=".",E19="."),1/((1/C19)),IF(AND(C19=".",D19&lt;&gt;".",E19="."),1/((1/D19)),IF(AND(C19=".",D19=".",E19&lt;&gt;"."),1/((1/E19)),IF(AND(C19=".",D19=".",E19="."),"."))))))))</f>
        <v>3.6326893562764403E-8</v>
      </c>
      <c r="G19" s="40">
        <f t="shared" si="1"/>
        <v>27.5</v>
      </c>
      <c r="H19" s="40">
        <f t="shared" si="2"/>
        <v>2.9420495991003873E-3</v>
      </c>
      <c r="I19" s="40">
        <f>IFERROR((s_C*s_EF_rec*(1/365)*s_ED_rec*up_RadSpec!Q19*s_ET_rec*(1/24)*up_RadSpec!V19),".")</f>
        <v>2.4872798434442265E-2</v>
      </c>
      <c r="J19" s="18"/>
      <c r="K19" s="18"/>
      <c r="L19" s="18"/>
      <c r="M19" s="18"/>
      <c r="N19" s="15">
        <f>IFERROR((s_TR/(up_RadSpec!F19*s_EF_rec*(1/365)*s_ED_rec*up_RadSpec!Q19*s_ET_rec*(1/24)*up_RadSpec!V19)),".")</f>
        <v>4.0204563335955944E-5</v>
      </c>
      <c r="O19" s="15">
        <f>IFERROR((s_TR/(up_RadSpec!M19*s_EF_rec*(1/365)*s_ED_rec*up_RadSpec!R19*s_ET_rec*(1/24)*up_RadSpec!W19)),".")</f>
        <v>7.9741875146130471E-5</v>
      </c>
      <c r="P19" s="15">
        <f>IFERROR((s_TR/(up_RadSpec!N19*s_EF_rec*(1/365)*s_ED_rec*up_RadSpec!S19*s_ET_rec*(1/24)*up_RadSpec!X19)),".")</f>
        <v>5.527700534759361E-5</v>
      </c>
      <c r="Q19" s="15">
        <f>IFERROR((s_TR/(up_RadSpec!O19*s_EF_rec*(1/365)*s_ED_rec*up_RadSpec!T19*s_ET_rec*(1/24)*up_RadSpec!Y19)),".")</f>
        <v>4.6167567567567557E-5</v>
      </c>
      <c r="R19" s="15">
        <f>IFERROR((s_TR/(up_RadSpec!K19*s_EF_rec*(1/365)*s_ED_rec*up_RadSpec!P19*s_ET_rec*(1/24)*up_RadSpec!U19)),".")</f>
        <v>1.3731770343116293E-4</v>
      </c>
      <c r="S19" s="40">
        <f>IFERROR((s_C*s_EF_rec*(1/365)*s_ED_rec*up_RadSpec!Q19*s_ET_rec*(1/24)*up_RadSpec!V19),".")</f>
        <v>2.4872798434442265E-2</v>
      </c>
      <c r="T19" s="40">
        <f>IFERROR((s_C*s_EF_rec*(1/365)*s_ED_rec*up_RadSpec!R19*s_ET_rec*(1/24)*up_RadSpec!W19),".")</f>
        <v>1.2540462563332706E-2</v>
      </c>
      <c r="U19" s="40">
        <f>IFERROR((s_C*s_EF_rec*(1/365)*s_ED_rec*up_RadSpec!S19*s_ET_rec*(1/24)*up_RadSpec!X19),".")</f>
        <v>1.8090705053788396E-2</v>
      </c>
      <c r="V19" s="40">
        <f>IFERROR((s_C*s_EF_rec*(1/365)*s_ED_rec*up_RadSpec!T19*s_ET_rec*(1/24)*up_RadSpec!Y19),".")</f>
        <v>2.1660227139679199E-2</v>
      </c>
      <c r="W19" s="40">
        <f>IFERROR((s_C*s_EF_rec*(1/365)*s_ED_rec*up_RadSpec!P19*s_ET_rec*(1/24)*up_RadSpec!U19),".")</f>
        <v>7.2823822057386635E-3</v>
      </c>
      <c r="X19" s="18"/>
      <c r="Y19" s="18"/>
      <c r="Z19" s="18"/>
      <c r="AA19" s="18"/>
      <c r="AB19" s="18"/>
      <c r="AC19" s="15">
        <f>IFERROR((s_TR/(up_RadSpec!G19*s_IFA_rec_adj)),".")</f>
        <v>1.0971428571428573E-9</v>
      </c>
      <c r="AD19" s="15">
        <f>IFERROR((s_TR/(up_RadSpec!J19*s_EF_rec*(1/365)*s_ED_rec*s_ET_rec*(1/24)*s_GSF_a)),".")</f>
        <v>1.7520000000000001E-6</v>
      </c>
      <c r="AE19" s="15">
        <f t="shared" si="14"/>
        <v>1.0964562309317064E-9</v>
      </c>
      <c r="AF19" s="40">
        <f t="shared" si="3"/>
        <v>911.45833333333326</v>
      </c>
      <c r="AG19" s="40">
        <f t="shared" si="4"/>
        <v>0.57077625570776247</v>
      </c>
      <c r="AH19" s="18"/>
      <c r="AI19" s="18"/>
      <c r="AJ19" s="18"/>
      <c r="AK19" s="15">
        <f>IFERROR((s_TR/(up_RadSpec!H19*s_IFW_rec_adj)),".")</f>
        <v>9.9999999999999991E-11</v>
      </c>
      <c r="AL19" s="15">
        <f>IFERROR((s_TR/(up_RadSpec!L19*(1/8760)*s_DFA_rec_adj)),".")</f>
        <v>4.3800000000000004E-6</v>
      </c>
      <c r="AM19" s="2">
        <f t="shared" si="5"/>
        <v>9.9997716947101668E-11</v>
      </c>
      <c r="AN19" s="40">
        <f t="shared" si="6"/>
        <v>10000</v>
      </c>
      <c r="AO19" s="40">
        <f t="shared" si="7"/>
        <v>0.22831050228310501</v>
      </c>
      <c r="AP19" s="18"/>
      <c r="AQ19" s="18"/>
      <c r="AR19" s="18"/>
      <c r="AS19" s="2">
        <f>IFERROR(s_TR/(up_RadSpec!E19*s_EF_rec*s_ED_rec*s_IRGL_rec*s_CF_game),".")</f>
        <v>9.9999999999999986E-10</v>
      </c>
      <c r="AT19" s="2">
        <f>IFERROR((AS19/(up_RadSpec!AH19*((s_Q_p_game*s_f_p_game*s_f_s_game*(up_RadSpec!BB19+s_R_es_past))+(s_Q_s_game*s_f_p_game)))),".")</f>
        <v>4.166666666666666E-12</v>
      </c>
      <c r="AU19" s="2">
        <f>IFERROR(AS19/(up_RadSpec!AH19*s_Q_w_game*(1/1000)),".")</f>
        <v>9.9999999999999982E-8</v>
      </c>
      <c r="AV19" s="2">
        <f>IFERROR(s_TR/(up_RadSpec!E19*s_EF_rec*s_ED_rec*s_IRGF_rec*s_CF_fowl),".")</f>
        <v>9.9999999999999986E-10</v>
      </c>
      <c r="AW19" s="2">
        <f>IFERROR((AS19/(up_RadSpec!AJ19*((s_Q_p_fowl*s_f_p_fowl*s_f_s_fowl*(up_RadSpec!BB19+s_R_es_past))+(s_Q_s_fowl*s_f_p_fowl)))),".")</f>
        <v>4.166666666666666E-12</v>
      </c>
      <c r="AX19" s="2">
        <f>IFERROR(AS19/(up_RadSpec!AJ19*s_Q_w_fowl*(1/1000)),".")</f>
        <v>9.9999999999999982E-8</v>
      </c>
      <c r="AY19" s="19">
        <f t="shared" si="8"/>
        <v>1000</v>
      </c>
      <c r="AZ19" s="19">
        <f>IFERROR((s_C*s_IRGL_rec*s_EF_rec*s_ED_rec*s_CF_game*up_RadSpec!AH19)*((s_Q_p_game*s_f_p_game*s_f_s_game*(up_RadSpec!BB19+s_R_es_past))+(s_Q_s_game*s_f_p_game)),".")</f>
        <v>240000</v>
      </c>
      <c r="BA19" s="19">
        <f>IFERROR(s_C*up_RadSpec!AH19*s_Q_w_game*(1/1000)*s_EF_rec*s_ED_rec*s_IRGL_rec*s_CF_game,".")</f>
        <v>10</v>
      </c>
      <c r="BB19" s="19">
        <f t="shared" si="9"/>
        <v>1000</v>
      </c>
      <c r="BC19" s="19">
        <f>IFERROR((s_C*s_IRGF_rec*s_EF_rec*s_ED_rec*s_CF_fowl*up_RadSpec!AJ19)*((s_Q_p_fowl*s_f_p_fowl*s_f_s_fowl*(up_RadSpec!BB19+s_R_es_past))+(s_Q_s_fowl*s_f_p_fowl)),".")</f>
        <v>240000</v>
      </c>
      <c r="BD19" s="19">
        <f>IFERROR(s_C*up_RadSpec!AJ19*s_Q_w_fowl*(1/1000)*s_EF_rec*s_ED_rec*s_IRGL_rec*s_CF_fowl,".")</f>
        <v>10</v>
      </c>
      <c r="BE19" s="5"/>
      <c r="BF19" s="5"/>
      <c r="BG19" s="5"/>
      <c r="BH19" s="5"/>
      <c r="BI19" s="5"/>
      <c r="BJ19" s="5"/>
    </row>
    <row r="20" spans="1:62" customFormat="1" x14ac:dyDescent="0.25">
      <c r="A20" s="44" t="s">
        <v>30</v>
      </c>
      <c r="B20" s="42" t="s">
        <v>1074</v>
      </c>
      <c r="C20" s="15">
        <f>IFERROR(((s_TR/(up_RadSpec!D20*s_IFS_rec_adj*(1/1000)))*1),".")</f>
        <v>3.6363636363636363E-8</v>
      </c>
      <c r="D20" s="15">
        <f>IFERROR(IF(A20="H-3",(s_TR/((up_RadSpec!G20*s_IFA_rec_adj*(1/17)*1000))*1),(s_TR/((up_RadSpec!G20*s_IFA_rec_adj*(1/s_PEF_wind)*1000))*1)),".")</f>
        <v>3.3989909629864073E-4</v>
      </c>
      <c r="E20" s="2">
        <f>IFERROR((TR/(up_RadSpec!F20*s_EF_rec*(1/365)*s_ED_rec*up_RadSpec!Q20*s_ET_rec*(1/24)*up_RadSpec!V20)),".")</f>
        <v>3.9533352718813598E-5</v>
      </c>
      <c r="F20" s="2">
        <f t="shared" si="15"/>
        <v>3.6326336287609632E-8</v>
      </c>
      <c r="G20" s="40">
        <f t="shared" si="1"/>
        <v>27.5</v>
      </c>
      <c r="H20" s="40">
        <f t="shared" si="2"/>
        <v>2.9420495991003873E-3</v>
      </c>
      <c r="I20" s="40">
        <f>IFERROR((s_C*s_EF_rec*(1/365)*s_ED_rec*up_RadSpec!Q20*s_ET_rec*(1/24)*up_RadSpec!V20),".")</f>
        <v>2.5295097208492216E-2</v>
      </c>
      <c r="J20" s="18"/>
      <c r="K20" s="18"/>
      <c r="L20" s="18"/>
      <c r="M20" s="18"/>
      <c r="N20" s="15">
        <f>IFERROR((s_TR/(up_RadSpec!F20*s_EF_rec*(1/365)*s_ED_rec*up_RadSpec!Q20*s_ET_rec*(1/24)*up_RadSpec!V20)),".")</f>
        <v>3.9533352718813598E-5</v>
      </c>
      <c r="O20" s="15">
        <f>IFERROR((s_TR/(up_RadSpec!M20*s_EF_rec*(1/365)*s_ED_rec*up_RadSpec!R20*s_ET_rec*(1/24)*up_RadSpec!W20)),".")</f>
        <v>7.7963515754560545E-5</v>
      </c>
      <c r="P20" s="15">
        <f>IFERROR((s_TR/(up_RadSpec!N20*s_EF_rec*(1/365)*s_ED_rec*up_RadSpec!S20*s_ET_rec*(1/24)*up_RadSpec!X20)),".")</f>
        <v>5.4549450549450567E-5</v>
      </c>
      <c r="Q20" s="15">
        <f>IFERROR((s_TR/(up_RadSpec!O20*s_EF_rec*(1/365)*s_ED_rec*up_RadSpec!T20*s_ET_rec*(1/24)*up_RadSpec!Y20)),".")</f>
        <v>4.5803921568627469E-5</v>
      </c>
      <c r="R20" s="15">
        <f>IFERROR((s_TR/(up_RadSpec!K20*s_EF_rec*(1/365)*s_ED_rec*up_RadSpec!P20*s_ET_rec*(1/24)*up_RadSpec!U20)),".")</f>
        <v>1.3284684684684687E-4</v>
      </c>
      <c r="S20" s="40">
        <f>IFERROR((s_C*s_EF_rec*(1/365)*s_ED_rec*up_RadSpec!Q20*s_ET_rec*(1/24)*up_RadSpec!V20),".")</f>
        <v>2.5295097208492216E-2</v>
      </c>
      <c r="T20" s="40">
        <f>IFERROR((s_C*s_EF_rec*(1/365)*s_ED_rec*up_RadSpec!R20*s_ET_rec*(1/24)*up_RadSpec!W20),".")</f>
        <v>1.2826512379817915E-2</v>
      </c>
      <c r="U20" s="40">
        <f>IFERROR((s_C*s_EF_rec*(1/365)*s_ED_rec*up_RadSpec!S20*s_ET_rec*(1/24)*up_RadSpec!X20),".")</f>
        <v>1.833199033037872E-2</v>
      </c>
      <c r="V20" s="40">
        <f>IFERROR((s_C*s_EF_rec*(1/365)*s_ED_rec*up_RadSpec!T20*s_ET_rec*(1/24)*up_RadSpec!Y20),".")</f>
        <v>2.1832191780821908E-2</v>
      </c>
      <c r="W20" s="40">
        <f>IFERROR((s_C*s_EF_rec*(1/365)*s_ED_rec*up_RadSpec!P20*s_ET_rec*(1/24)*up_RadSpec!U20),".")</f>
        <v>7.5274650752746482E-3</v>
      </c>
      <c r="X20" s="18"/>
      <c r="Y20" s="18"/>
      <c r="Z20" s="18"/>
      <c r="AA20" s="18"/>
      <c r="AB20" s="18"/>
      <c r="AC20" s="15">
        <f>IFERROR((s_TR/(up_RadSpec!G20*s_IFA_rec_adj)),".")</f>
        <v>1.0971428571428573E-9</v>
      </c>
      <c r="AD20" s="15">
        <f>IFERROR((s_TR/(up_RadSpec!J20*s_EF_rec*(1/365)*s_ED_rec*s_ET_rec*(1/24)*s_GSF_a)),".")</f>
        <v>1.7520000000000001E-6</v>
      </c>
      <c r="AE20" s="15">
        <f t="shared" si="14"/>
        <v>1.0964562309317064E-9</v>
      </c>
      <c r="AF20" s="40">
        <f t="shared" si="3"/>
        <v>911.45833333333326</v>
      </c>
      <c r="AG20" s="40">
        <f t="shared" si="4"/>
        <v>0.57077625570776247</v>
      </c>
      <c r="AH20" s="18"/>
      <c r="AI20" s="18"/>
      <c r="AJ20" s="18"/>
      <c r="AK20" s="15">
        <f>IFERROR((s_TR/(up_RadSpec!H20*s_IFW_rec_adj)),".")</f>
        <v>9.9999999999999991E-11</v>
      </c>
      <c r="AL20" s="15">
        <f>IFERROR((s_TR/(up_RadSpec!L20*(1/8760)*s_DFA_rec_adj)),".")</f>
        <v>4.3800000000000004E-6</v>
      </c>
      <c r="AM20" s="2">
        <f t="shared" si="5"/>
        <v>9.9997716947101668E-11</v>
      </c>
      <c r="AN20" s="40">
        <f t="shared" si="6"/>
        <v>10000</v>
      </c>
      <c r="AO20" s="40">
        <f t="shared" si="7"/>
        <v>0.22831050228310501</v>
      </c>
      <c r="AP20" s="18"/>
      <c r="AQ20" s="18"/>
      <c r="AR20" s="18"/>
      <c r="AS20" s="2">
        <f>IFERROR(s_TR/(up_RadSpec!E20*s_EF_rec*s_ED_rec*s_IRGL_rec*s_CF_game),".")</f>
        <v>9.9999999999999986E-10</v>
      </c>
      <c r="AT20" s="2">
        <f>IFERROR((AS20/(up_RadSpec!AH20*((s_Q_p_game*s_f_p_game*s_f_s_game*(up_RadSpec!BB20+s_R_es_past))+(s_Q_s_game*s_f_p_game)))),".")</f>
        <v>4.166666666666666E-12</v>
      </c>
      <c r="AU20" s="2">
        <f>IFERROR(AS20/(up_RadSpec!AH20*s_Q_w_game*(1/1000)),".")</f>
        <v>9.9999999999999982E-8</v>
      </c>
      <c r="AV20" s="2">
        <f>IFERROR(s_TR/(up_RadSpec!E20*s_EF_rec*s_ED_rec*s_IRGF_rec*s_CF_fowl),".")</f>
        <v>9.9999999999999986E-10</v>
      </c>
      <c r="AW20" s="2">
        <f>IFERROR((AS20/(up_RadSpec!AJ20*((s_Q_p_fowl*s_f_p_fowl*s_f_s_fowl*(up_RadSpec!BB20+s_R_es_past))+(s_Q_s_fowl*s_f_p_fowl)))),".")</f>
        <v>4.166666666666666E-12</v>
      </c>
      <c r="AX20" s="2">
        <f>IFERROR(AS20/(up_RadSpec!AJ20*s_Q_w_fowl*(1/1000)),".")</f>
        <v>9.9999999999999982E-8</v>
      </c>
      <c r="AY20" s="19">
        <f t="shared" si="8"/>
        <v>1000</v>
      </c>
      <c r="AZ20" s="19">
        <f>IFERROR((s_C*s_IRGL_rec*s_EF_rec*s_ED_rec*s_CF_game*up_RadSpec!AH20)*((s_Q_p_game*s_f_p_game*s_f_s_game*(up_RadSpec!BB20+s_R_es_past))+(s_Q_s_game*s_f_p_game)),".")</f>
        <v>240000</v>
      </c>
      <c r="BA20" s="19">
        <f>IFERROR(s_C*up_RadSpec!AH20*s_Q_w_game*(1/1000)*s_EF_rec*s_ED_rec*s_IRGL_rec*s_CF_game,".")</f>
        <v>10</v>
      </c>
      <c r="BB20" s="19">
        <f t="shared" si="9"/>
        <v>1000</v>
      </c>
      <c r="BC20" s="19">
        <f>IFERROR((s_C*s_IRGF_rec*s_EF_rec*s_ED_rec*s_CF_fowl*up_RadSpec!AJ20)*((s_Q_p_fowl*s_f_p_fowl*s_f_s_fowl*(up_RadSpec!BB20+s_R_es_past))+(s_Q_s_fowl*s_f_p_fowl)),".")</f>
        <v>240000</v>
      </c>
      <c r="BD20" s="19">
        <f>IFERROR(s_C*up_RadSpec!AJ20*s_Q_w_fowl*(1/1000)*s_EF_rec*s_ED_rec*s_IRGL_rec*s_CF_fowl,".")</f>
        <v>10</v>
      </c>
      <c r="BE20" s="5"/>
      <c r="BF20" s="5"/>
      <c r="BG20" s="5"/>
      <c r="BH20" s="5"/>
      <c r="BI20" s="5"/>
      <c r="BJ20" s="5"/>
    </row>
    <row r="21" spans="1:62" customFormat="1" x14ac:dyDescent="0.25">
      <c r="A21" s="44" t="s">
        <v>31</v>
      </c>
      <c r="B21" s="42" t="s">
        <v>1074</v>
      </c>
      <c r="C21" s="15">
        <f>IFERROR(((s_TR/(up_RadSpec!D21*s_IFS_rec_adj*(1/1000)))*1),".")</f>
        <v>3.6363636363636363E-8</v>
      </c>
      <c r="D21" s="15">
        <f>IFERROR(IF(A21="H-3",(s_TR/((up_RadSpec!G21*s_IFA_rec_adj*(1/17)*1000))*1),(s_TR/((up_RadSpec!G21*s_IFA_rec_adj*(1/s_PEF_wind)*1000))*1)),".")</f>
        <v>3.3989909629864073E-4</v>
      </c>
      <c r="E21" s="2" t="str">
        <f>IFERROR((TR/(up_RadSpec!F21*s_EF_rec*(1/365)*s_ED_rec*up_RadSpec!Q21*s_ET_rec*(1/24)*up_RadSpec!V21)),".")</f>
        <v>.</v>
      </c>
      <c r="F21" s="2">
        <f>IF(AND(C21&lt;&gt;".",D21&lt;&gt;".",E21&lt;&gt;"."),1/((1/C21)+(1/D21)+(1/E21)),IF(AND(C21&lt;&gt;".",D21&lt;&gt;".",E21="."), 1/((1/C21)+(1/D21)),IF(AND(C21&lt;&gt;".",D21=".",E21&lt;&gt;"."),1/((1/C21)+(1/E21)),IF(AND(C21=".",D21&lt;&gt;".",E21&lt;&gt;"."),1/((1/D21)+(1/E21)),IF(AND(C21&lt;&gt;".",D21=".",E21="."),1/((1/C21)),IF(AND(C21=".",D21&lt;&gt;".",E21="."),1/((1/D21)),IF(AND(C21=".",D21=".",E21&lt;&gt;"."),1/((1/E21)),IF(AND(C21=".",D21=".",E21="."),"."))))))))</f>
        <v>3.6359746466272203E-8</v>
      </c>
      <c r="G21" s="40">
        <f t="shared" si="1"/>
        <v>27.5</v>
      </c>
      <c r="H21" s="40">
        <f t="shared" si="2"/>
        <v>2.9420495991003873E-3</v>
      </c>
      <c r="I21" s="40">
        <f>IFERROR((s_C*s_EF_rec*(1/365)*s_ED_rec*up_RadSpec!Q21*s_ET_rec*(1/24)*up_RadSpec!V21),".")</f>
        <v>0</v>
      </c>
      <c r="J21" s="18"/>
      <c r="K21" s="18"/>
      <c r="L21" s="18"/>
      <c r="M21" s="18"/>
      <c r="N21" s="15" t="str">
        <f>IFERROR((s_TR/(up_RadSpec!F21*s_EF_rec*(1/365)*s_ED_rec*up_RadSpec!Q21*s_ET_rec*(1/24)*up_RadSpec!V21)),".")</f>
        <v>.</v>
      </c>
      <c r="O21" s="15" t="str">
        <f>IFERROR((s_TR/(up_RadSpec!M21*s_EF_rec*(1/365)*s_ED_rec*up_RadSpec!R21*s_ET_rec*(1/24)*up_RadSpec!W21)),".")</f>
        <v>.</v>
      </c>
      <c r="P21" s="15" t="str">
        <f>IFERROR((s_TR/(up_RadSpec!N21*s_EF_rec*(1/365)*s_ED_rec*up_RadSpec!S21*s_ET_rec*(1/24)*up_RadSpec!X21)),".")</f>
        <v>.</v>
      </c>
      <c r="Q21" s="15" t="str">
        <f>IFERROR((s_TR/(up_RadSpec!O21*s_EF_rec*(1/365)*s_ED_rec*up_RadSpec!T21*s_ET_rec*(1/24)*up_RadSpec!Y21)),".")</f>
        <v>.</v>
      </c>
      <c r="R21" s="15" t="str">
        <f>IFERROR((s_TR/(up_RadSpec!K21*s_EF_rec*(1/365)*s_ED_rec*up_RadSpec!P21*s_ET_rec*(1/24)*up_RadSpec!U21)),".")</f>
        <v>.</v>
      </c>
      <c r="S21" s="40">
        <f>IFERROR((s_C*s_EF_rec*(1/365)*s_ED_rec*up_RadSpec!Q21*s_ET_rec*(1/24)*up_RadSpec!V21),".")</f>
        <v>0</v>
      </c>
      <c r="T21" s="40">
        <f>IFERROR((s_C*s_EF_rec*(1/365)*s_ED_rec*up_RadSpec!R21*s_ET_rec*(1/24)*up_RadSpec!W21),".")</f>
        <v>0</v>
      </c>
      <c r="U21" s="40">
        <f>IFERROR((s_C*s_EF_rec*(1/365)*s_ED_rec*up_RadSpec!S21*s_ET_rec*(1/24)*up_RadSpec!X21),".")</f>
        <v>0</v>
      </c>
      <c r="V21" s="40">
        <f>IFERROR((s_C*s_EF_rec*(1/365)*s_ED_rec*up_RadSpec!T21*s_ET_rec*(1/24)*up_RadSpec!Y21),".")</f>
        <v>0</v>
      </c>
      <c r="W21" s="40">
        <f>IFERROR((s_C*s_EF_rec*(1/365)*s_ED_rec*up_RadSpec!P21*s_ET_rec*(1/24)*up_RadSpec!U21),".")</f>
        <v>0</v>
      </c>
      <c r="X21" s="18"/>
      <c r="Y21" s="18"/>
      <c r="Z21" s="18"/>
      <c r="AA21" s="18"/>
      <c r="AB21" s="18"/>
      <c r="AC21" s="15">
        <f>IFERROR((s_TR/(up_RadSpec!G21*s_IFA_rec_adj)),".")</f>
        <v>1.0971428571428573E-9</v>
      </c>
      <c r="AD21" s="15">
        <f>IFERROR((s_TR/(up_RadSpec!J21*s_EF_rec*(1/365)*s_ED_rec*s_ET_rec*(1/24)*s_GSF_a)),".")</f>
        <v>1.7520000000000001E-6</v>
      </c>
      <c r="AE21" s="15">
        <f>IFERROR(IF(AND(AC21&lt;&gt;".",AD21&lt;&gt;"."),1/((1/AC21)+(1/AD21)),IF(AND(AC21&lt;&gt;".",AD21="."),1/((1/AC21)),IF(AND(AC21=".",AD21&lt;&gt;"."),1/((1/AD21)),IF(AND(AC21=".",AD21="."),".")))),".")</f>
        <v>1.0964562309317064E-9</v>
      </c>
      <c r="AF21" s="40">
        <f t="shared" si="3"/>
        <v>911.45833333333326</v>
      </c>
      <c r="AG21" s="40">
        <f t="shared" si="4"/>
        <v>0.57077625570776247</v>
      </c>
      <c r="AH21" s="18"/>
      <c r="AI21" s="18"/>
      <c r="AJ21" s="18"/>
      <c r="AK21" s="15">
        <f>IFERROR((s_TR/(up_RadSpec!H21*s_IFW_rec_adj)),".")</f>
        <v>9.9999999999999991E-11</v>
      </c>
      <c r="AL21" s="15">
        <f>IFERROR((s_TR/(up_RadSpec!L21*(1/8760)*s_DFA_rec_adj)),".")</f>
        <v>4.3800000000000004E-6</v>
      </c>
      <c r="AM21" s="2">
        <f t="shared" si="5"/>
        <v>9.9997716947101668E-11</v>
      </c>
      <c r="AN21" s="40">
        <f t="shared" si="6"/>
        <v>10000</v>
      </c>
      <c r="AO21" s="40">
        <f t="shared" si="7"/>
        <v>0.22831050228310501</v>
      </c>
      <c r="AP21" s="18"/>
      <c r="AQ21" s="18"/>
      <c r="AR21" s="18"/>
      <c r="AS21" s="2">
        <f>IFERROR(s_TR/(up_RadSpec!E21*s_EF_rec*s_ED_rec*s_IRGL_rec*s_CF_game),".")</f>
        <v>9.9999999999999986E-10</v>
      </c>
      <c r="AT21" s="2">
        <f>IFERROR((AS21/(up_RadSpec!AH21*((s_Q_p_game*s_f_p_game*s_f_s_game*(up_RadSpec!BB21+s_R_es_past))+(s_Q_s_game*s_f_p_game)))),".")</f>
        <v>4.166666666666666E-12</v>
      </c>
      <c r="AU21" s="2">
        <f>IFERROR(AS21/(up_RadSpec!AH21*s_Q_w_game*(1/1000)),".")</f>
        <v>9.9999999999999982E-8</v>
      </c>
      <c r="AV21" s="2">
        <f>IFERROR(s_TR/(up_RadSpec!E21*s_EF_rec*s_ED_rec*s_IRGF_rec*s_CF_fowl),".")</f>
        <v>9.9999999999999986E-10</v>
      </c>
      <c r="AW21" s="2">
        <f>IFERROR((AS21/(up_RadSpec!AJ21*((s_Q_p_fowl*s_f_p_fowl*s_f_s_fowl*(up_RadSpec!BB21+s_R_es_past))+(s_Q_s_fowl*s_f_p_fowl)))),".")</f>
        <v>4.166666666666666E-12</v>
      </c>
      <c r="AX21" s="2">
        <f>IFERROR(AS21/(up_RadSpec!AJ21*s_Q_w_fowl*(1/1000)),".")</f>
        <v>9.9999999999999982E-8</v>
      </c>
      <c r="AY21" s="19">
        <f t="shared" si="8"/>
        <v>1000</v>
      </c>
      <c r="AZ21" s="19">
        <f>IFERROR((s_C*s_IRGL_rec*s_EF_rec*s_ED_rec*s_CF_game*up_RadSpec!AH21)*((s_Q_p_game*s_f_p_game*s_f_s_game*(up_RadSpec!BB21+s_R_es_past))+(s_Q_s_game*s_f_p_game)),".")</f>
        <v>240000</v>
      </c>
      <c r="BA21" s="19">
        <f>IFERROR(s_C*up_RadSpec!AH21*s_Q_w_game*(1/1000)*s_EF_rec*s_ED_rec*s_IRGL_rec*s_CF_game,".")</f>
        <v>10</v>
      </c>
      <c r="BB21" s="19">
        <f t="shared" si="9"/>
        <v>1000</v>
      </c>
      <c r="BC21" s="19">
        <f>IFERROR((s_C*s_IRGF_rec*s_EF_rec*s_ED_rec*s_CF_fowl*up_RadSpec!AJ21)*((s_Q_p_fowl*s_f_p_fowl*s_f_s_fowl*(up_RadSpec!BB21+s_R_es_past))+(s_Q_s_fowl*s_f_p_fowl)),".")</f>
        <v>240000</v>
      </c>
      <c r="BD21" s="19">
        <f>IFERROR(s_C*up_RadSpec!AJ21*s_Q_w_fowl*(1/1000)*s_EF_rec*s_ED_rec*s_IRGL_rec*s_CF_fowl,".")</f>
        <v>10</v>
      </c>
      <c r="BE21" s="5"/>
      <c r="BF21" s="5"/>
      <c r="BG21" s="5"/>
      <c r="BH21" s="5"/>
      <c r="BI21" s="5"/>
      <c r="BJ21" s="5"/>
    </row>
    <row r="22" spans="1:62" customFormat="1" x14ac:dyDescent="0.25">
      <c r="A22" s="44" t="s">
        <v>32</v>
      </c>
      <c r="B22" s="42" t="s">
        <v>1074</v>
      </c>
      <c r="C22" s="15">
        <f>IFERROR(((s_TR/(up_RadSpec!D22*s_IFS_rec_adj*(1/1000)))*1),".")</f>
        <v>3.6363636363636363E-8</v>
      </c>
      <c r="D22" s="15">
        <f>IFERROR(IF(A22="H-3",(s_TR/((up_RadSpec!G22*s_IFA_rec_adj*(1/17)*1000))*1),(s_TR/((up_RadSpec!G22*s_IFA_rec_adj*(1/s_PEF_wind)*1000))*1)),".")</f>
        <v>3.3989909629864073E-4</v>
      </c>
      <c r="E22" s="2">
        <f>IFERROR((TR/(up_RadSpec!F22*s_EF_rec*(1/365)*s_ED_rec*up_RadSpec!Q22*s_ET_rec*(1/24)*up_RadSpec!V22)),".")</f>
        <v>168.13548387096779</v>
      </c>
      <c r="F22" s="2">
        <f t="shared" ref="F22:F23" si="16">IF(AND(C22&lt;&gt;".",D22&lt;&gt;".",E22&lt;&gt;"."),1/((1/C22)+(1/D22)+(1/E22)),IF(AND(C22&lt;&gt;".",D22&lt;&gt;".",E22="."), 1/((1/C22)+(1/D22)),IF(AND(C22&lt;&gt;".",D22=".",E22&lt;&gt;"."),1/((1/C22)+(1/E22)),IF(AND(C22=".",D22&lt;&gt;".",E22&lt;&gt;"."),1/((1/D22)+(1/E22)),IF(AND(C22&lt;&gt;".",D22=".",E22="."),1/((1/C22)),IF(AND(C22=".",D22&lt;&gt;".",E22="."),1/((1/D22)),IF(AND(C22=".",D22=".",E22&lt;&gt;"."),1/((1/E22)),IF(AND(C22=".",D22=".",E22="."),"."))))))))</f>
        <v>3.6359746458409309E-8</v>
      </c>
      <c r="G22" s="40">
        <f t="shared" si="1"/>
        <v>27.5</v>
      </c>
      <c r="H22" s="40">
        <f t="shared" si="2"/>
        <v>2.9420495991003873E-3</v>
      </c>
      <c r="I22" s="40">
        <f>IFERROR((s_C*s_EF_rec*(1/365)*s_ED_rec*up_RadSpec!Q22*s_ET_rec*(1/24)*up_RadSpec!V22),".")</f>
        <v>5.9475845132573557E-9</v>
      </c>
      <c r="J22" s="18"/>
      <c r="K22" s="18"/>
      <c r="L22" s="18"/>
      <c r="M22" s="18"/>
      <c r="N22" s="15">
        <f>IFERROR((s_TR/(up_RadSpec!F22*s_EF_rec*(1/365)*s_ED_rec*up_RadSpec!Q22*s_ET_rec*(1/24)*up_RadSpec!V22)),".")</f>
        <v>168.13548387096779</v>
      </c>
      <c r="O22" s="15">
        <f>IFERROR((s_TR/(up_RadSpec!M22*s_EF_rec*(1/365)*s_ED_rec*up_RadSpec!R22*s_ET_rec*(1/24)*up_RadSpec!W22)),".")</f>
        <v>154.06603465184713</v>
      </c>
      <c r="P22" s="15">
        <f>IFERROR((s_TR/(up_RadSpec!N22*s_EF_rec*(1/365)*s_ED_rec*up_RadSpec!S22*s_ET_rec*(1/24)*up_RadSpec!X22)),".")</f>
        <v>118.36396835057823</v>
      </c>
      <c r="Q22" s="15">
        <f>IFERROR((s_TR/(up_RadSpec!O22*s_EF_rec*(1/365)*s_ED_rec*up_RadSpec!T22*s_ET_rec*(1/24)*up_RadSpec!Y22)),".")</f>
        <v>121.97083333333329</v>
      </c>
      <c r="R22" s="15">
        <f>IFERROR((s_TR/(up_RadSpec!K22*s_EF_rec*(1/365)*s_ED_rec*up_RadSpec!P22*s_ET_rec*(1/24)*up_RadSpec!U22)),".")</f>
        <v>865.46753692889047</v>
      </c>
      <c r="S22" s="40">
        <f>IFERROR((s_C*s_EF_rec*(1/365)*s_ED_rec*up_RadSpec!Q22*s_ET_rec*(1/24)*up_RadSpec!V22),".")</f>
        <v>5.9475845132573557E-9</v>
      </c>
      <c r="T22" s="40">
        <f>IFERROR((s_C*s_EF_rec*(1/365)*s_ED_rec*up_RadSpec!R22*s_ET_rec*(1/24)*up_RadSpec!W22),".")</f>
        <v>6.4907232944611303E-9</v>
      </c>
      <c r="U22" s="40">
        <f>IFERROR((s_C*s_EF_rec*(1/365)*s_ED_rec*up_RadSpec!S22*s_ET_rec*(1/24)*up_RadSpec!X22),".")</f>
        <v>8.4485170101608434E-9</v>
      </c>
      <c r="V22" s="40">
        <f>IFERROR((s_C*s_EF_rec*(1/365)*s_ED_rec*up_RadSpec!T22*s_ET_rec*(1/24)*up_RadSpec!Y22),".")</f>
        <v>8.1986813787449213E-9</v>
      </c>
      <c r="W22" s="40">
        <f>IFERROR((s_C*s_EF_rec*(1/365)*s_ED_rec*up_RadSpec!P22*s_ET_rec*(1/24)*up_RadSpec!U22),".")</f>
        <v>1.1554448403096639E-9</v>
      </c>
      <c r="X22" s="18"/>
      <c r="Y22" s="18"/>
      <c r="Z22" s="18"/>
      <c r="AA22" s="18"/>
      <c r="AB22" s="18"/>
      <c r="AC22" s="15">
        <f>IFERROR((s_TR/(up_RadSpec!G22*s_IFA_rec_adj)),".")</f>
        <v>1.0971428571428573E-9</v>
      </c>
      <c r="AD22" s="15">
        <f>IFERROR((s_TR/(up_RadSpec!J22*s_EF_rec*(1/365)*s_ED_rec*s_ET_rec*(1/24)*s_GSF_a)),".")</f>
        <v>1.7520000000000001E-6</v>
      </c>
      <c r="AE22" s="15">
        <f t="shared" ref="AE22:AE24" si="17">IFERROR(IF(AND(AC22&lt;&gt;".",AD22&lt;&gt;"."),1/((1/AC22)+(1/AD22)),IF(AND(AC22&lt;&gt;".",AD22="."),1/((1/AC22)),IF(AND(AC22=".",AD22&lt;&gt;"."),1/((1/AD22)),IF(AND(AC22=".",AD22="."),".")))),".")</f>
        <v>1.0964562309317064E-9</v>
      </c>
      <c r="AF22" s="40">
        <f t="shared" si="3"/>
        <v>911.45833333333326</v>
      </c>
      <c r="AG22" s="40">
        <f t="shared" si="4"/>
        <v>0.57077625570776247</v>
      </c>
      <c r="AH22" s="18"/>
      <c r="AI22" s="18"/>
      <c r="AJ22" s="18"/>
      <c r="AK22" s="15">
        <f>IFERROR((s_TR/(up_RadSpec!H22*s_IFW_rec_adj)),".")</f>
        <v>9.9999999999999991E-11</v>
      </c>
      <c r="AL22" s="15">
        <f>IFERROR((s_TR/(up_RadSpec!L22*(1/8760)*s_DFA_rec_adj)),".")</f>
        <v>4.3800000000000004E-6</v>
      </c>
      <c r="AM22" s="2">
        <f t="shared" si="5"/>
        <v>9.9997716947101668E-11</v>
      </c>
      <c r="AN22" s="40">
        <f t="shared" si="6"/>
        <v>10000</v>
      </c>
      <c r="AO22" s="40">
        <f t="shared" si="7"/>
        <v>0.22831050228310501</v>
      </c>
      <c r="AP22" s="18"/>
      <c r="AQ22" s="18"/>
      <c r="AR22" s="18"/>
      <c r="AS22" s="2">
        <f>IFERROR(s_TR/(up_RadSpec!E22*s_EF_rec*s_ED_rec*s_IRGL_rec*s_CF_game),".")</f>
        <v>9.9999999999999986E-10</v>
      </c>
      <c r="AT22" s="2">
        <f>IFERROR((AS22/(up_RadSpec!AH22*((s_Q_p_game*s_f_p_game*s_f_s_game*(up_RadSpec!BB22+s_R_es_past))+(s_Q_s_game*s_f_p_game)))),".")</f>
        <v>4.166666666666666E-12</v>
      </c>
      <c r="AU22" s="2">
        <f>IFERROR(AS22/(up_RadSpec!AH22*s_Q_w_game*(1/1000)),".")</f>
        <v>9.9999999999999982E-8</v>
      </c>
      <c r="AV22" s="2">
        <f>IFERROR(s_TR/(up_RadSpec!E22*s_EF_rec*s_ED_rec*s_IRGF_rec*s_CF_fowl),".")</f>
        <v>9.9999999999999986E-10</v>
      </c>
      <c r="AW22" s="2">
        <f>IFERROR((AS22/(up_RadSpec!AJ22*((s_Q_p_fowl*s_f_p_fowl*s_f_s_fowl*(up_RadSpec!BB22+s_R_es_past))+(s_Q_s_fowl*s_f_p_fowl)))),".")</f>
        <v>4.166666666666666E-12</v>
      </c>
      <c r="AX22" s="2">
        <f>IFERROR(AS22/(up_RadSpec!AJ22*s_Q_w_fowl*(1/1000)),".")</f>
        <v>9.9999999999999982E-8</v>
      </c>
      <c r="AY22" s="19">
        <f t="shared" si="8"/>
        <v>1000</v>
      </c>
      <c r="AZ22" s="19">
        <f>IFERROR((s_C*s_IRGL_rec*s_EF_rec*s_ED_rec*s_CF_game*up_RadSpec!AH22)*((s_Q_p_game*s_f_p_game*s_f_s_game*(up_RadSpec!BB22+s_R_es_past))+(s_Q_s_game*s_f_p_game)),".")</f>
        <v>240000</v>
      </c>
      <c r="BA22" s="19">
        <f>IFERROR(s_C*up_RadSpec!AH22*s_Q_w_game*(1/1000)*s_EF_rec*s_ED_rec*s_IRGL_rec*s_CF_game,".")</f>
        <v>10</v>
      </c>
      <c r="BB22" s="19">
        <f t="shared" si="9"/>
        <v>1000</v>
      </c>
      <c r="BC22" s="19">
        <f>IFERROR((s_C*s_IRGF_rec*s_EF_rec*s_ED_rec*s_CF_fowl*up_RadSpec!AJ22)*((s_Q_p_fowl*s_f_p_fowl*s_f_s_fowl*(up_RadSpec!BB22+s_R_es_past))+(s_Q_s_fowl*s_f_p_fowl)),".")</f>
        <v>240000</v>
      </c>
      <c r="BD22" s="19">
        <f>IFERROR(s_C*up_RadSpec!AJ22*s_Q_w_fowl*(1/1000)*s_EF_rec*s_ED_rec*s_IRGL_rec*s_CF_fowl,".")</f>
        <v>10</v>
      </c>
      <c r="BE22" s="5"/>
      <c r="BF22" s="5"/>
      <c r="BG22" s="5"/>
      <c r="BH22" s="5"/>
      <c r="BI22" s="5"/>
      <c r="BJ22" s="5"/>
    </row>
    <row r="23" spans="1:62" customFormat="1" x14ac:dyDescent="0.25">
      <c r="A23" s="46" t="s">
        <v>33</v>
      </c>
      <c r="B23" s="42" t="s">
        <v>351</v>
      </c>
      <c r="C23" s="15">
        <f>IFERROR(((s_TR/(up_RadSpec!D23*s_IFS_rec_adj*(1/1000)))*1),".")</f>
        <v>3.6363636363636363E-8</v>
      </c>
      <c r="D23" s="15">
        <f>IFERROR(IF(A23="H-3",(s_TR/((up_RadSpec!G23*s_IFA_rec_adj*(1/17)*1000))*1),(s_TR/((up_RadSpec!G23*s_IFA_rec_adj*(1/s_PEF_wind)*1000))*1)),".")</f>
        <v>3.3989909629864073E-4</v>
      </c>
      <c r="E23" s="2">
        <f>IFERROR((TR/(up_RadSpec!F23*s_EF_rec*(1/365)*s_ED_rec*up_RadSpec!Q23*s_ET_rec*(1/24)*up_RadSpec!V23)),".")</f>
        <v>3.8504315886134059E-5</v>
      </c>
      <c r="F23" s="2">
        <f t="shared" si="16"/>
        <v>3.6325444235151651E-8</v>
      </c>
      <c r="G23" s="40">
        <f t="shared" si="1"/>
        <v>27.5</v>
      </c>
      <c r="H23" s="40">
        <f t="shared" si="2"/>
        <v>2.9420495991003873E-3</v>
      </c>
      <c r="I23" s="40">
        <f>IFERROR((s_C*s_EF_rec*(1/365)*s_ED_rec*up_RadSpec!Q23*s_ET_rec*(1/24)*up_RadSpec!V23),".")</f>
        <v>2.5971114587705579E-2</v>
      </c>
      <c r="J23" s="18"/>
      <c r="K23" s="18"/>
      <c r="L23" s="18"/>
      <c r="M23" s="18"/>
      <c r="N23" s="15">
        <f>IFERROR((s_TR/(up_RadSpec!F23*s_EF_rec*(1/365)*s_ED_rec*up_RadSpec!Q23*s_ET_rec*(1/24)*up_RadSpec!V23)),".")</f>
        <v>3.8504315886134059E-5</v>
      </c>
      <c r="O23" s="15">
        <f>IFERROR((s_TR/(up_RadSpec!M23*s_EF_rec*(1/365)*s_ED_rec*up_RadSpec!R23*s_ET_rec*(1/24)*up_RadSpec!W23)),".")</f>
        <v>6.8538406658739655E-5</v>
      </c>
      <c r="P23" s="15">
        <f>IFERROR((s_TR/(up_RadSpec!N23*s_EF_rec*(1/365)*s_ED_rec*up_RadSpec!S23*s_ET_rec*(1/24)*up_RadSpec!X23)),".")</f>
        <v>4.8465244614241729E-5</v>
      </c>
      <c r="Q23" s="15">
        <f>IFERROR((s_TR/(up_RadSpec!O23*s_EF_rec*(1/365)*s_ED_rec*up_RadSpec!T23*s_ET_rec*(1/24)*up_RadSpec!Y23)),".")</f>
        <v>3.9660659340659344E-5</v>
      </c>
      <c r="R23" s="15">
        <f>IFERROR((s_TR/(up_RadSpec!K23*s_EF_rec*(1/365)*s_ED_rec*up_RadSpec!P23*s_ET_rec*(1/24)*up_RadSpec!U23)),".")</f>
        <v>1.0789015256588072E-4</v>
      </c>
      <c r="S23" s="40">
        <f>IFERROR((s_C*s_EF_rec*(1/365)*s_ED_rec*up_RadSpec!Q23*s_ET_rec*(1/24)*up_RadSpec!V23),".")</f>
        <v>2.5971114587705579E-2</v>
      </c>
      <c r="T23" s="40">
        <f>IFERROR((s_C*s_EF_rec*(1/365)*s_ED_rec*up_RadSpec!R23*s_ET_rec*(1/24)*up_RadSpec!W23),".")</f>
        <v>1.4590359606389906E-2</v>
      </c>
      <c r="U23" s="40">
        <f>IFERROR((s_C*s_EF_rec*(1/365)*s_ED_rec*up_RadSpec!S23*s_ET_rec*(1/24)*up_RadSpec!X23),".")</f>
        <v>2.063334267596259E-2</v>
      </c>
      <c r="V23" s="40">
        <f>IFERROR((s_C*s_EF_rec*(1/365)*s_ED_rec*up_RadSpec!T23*s_ET_rec*(1/24)*up_RadSpec!Y23),".")</f>
        <v>2.5213902557964265E-2</v>
      </c>
      <c r="W23" s="40">
        <f>IFERROR((s_C*s_EF_rec*(1/365)*s_ED_rec*up_RadSpec!P23*s_ET_rec*(1/24)*up_RadSpec!U23),".")</f>
        <v>9.2686864947138913E-3</v>
      </c>
      <c r="X23" s="18"/>
      <c r="Y23" s="18"/>
      <c r="Z23" s="18"/>
      <c r="AA23" s="18"/>
      <c r="AB23" s="18"/>
      <c r="AC23" s="15">
        <f>IFERROR((s_TR/(up_RadSpec!G23*s_IFA_rec_adj)),".")</f>
        <v>1.0971428571428573E-9</v>
      </c>
      <c r="AD23" s="15">
        <f>IFERROR((s_TR/(up_RadSpec!J23*s_EF_rec*(1/365)*s_ED_rec*s_ET_rec*(1/24)*s_GSF_a)),".")</f>
        <v>1.7520000000000001E-6</v>
      </c>
      <c r="AE23" s="15">
        <f t="shared" si="17"/>
        <v>1.0964562309317064E-9</v>
      </c>
      <c r="AF23" s="40">
        <f t="shared" si="3"/>
        <v>911.45833333333326</v>
      </c>
      <c r="AG23" s="40">
        <f t="shared" si="4"/>
        <v>0.57077625570776247</v>
      </c>
      <c r="AH23" s="18"/>
      <c r="AI23" s="18"/>
      <c r="AJ23" s="18"/>
      <c r="AK23" s="15">
        <f>IFERROR((s_TR/(up_RadSpec!H23*s_IFW_rec_adj)),".")</f>
        <v>9.9999999999999991E-11</v>
      </c>
      <c r="AL23" s="15">
        <f>IFERROR((s_TR/(up_RadSpec!L23*(1/8760)*s_DFA_rec_adj)),".")</f>
        <v>4.3800000000000004E-6</v>
      </c>
      <c r="AM23" s="2">
        <f t="shared" si="5"/>
        <v>9.9997716947101668E-11</v>
      </c>
      <c r="AN23" s="40">
        <f t="shared" si="6"/>
        <v>10000</v>
      </c>
      <c r="AO23" s="40">
        <f t="shared" si="7"/>
        <v>0.22831050228310501</v>
      </c>
      <c r="AP23" s="18"/>
      <c r="AQ23" s="18"/>
      <c r="AR23" s="18"/>
      <c r="AS23" s="2">
        <f>IFERROR(s_TR/(up_RadSpec!E23*s_EF_rec*s_ED_rec*s_IRGL_rec*s_CF_game),".")</f>
        <v>9.9999999999999986E-10</v>
      </c>
      <c r="AT23" s="2">
        <f>IFERROR((AS23/(up_RadSpec!AH23*((s_Q_p_game*s_f_p_game*s_f_s_game*(up_RadSpec!BB23+s_R_es_past))+(s_Q_s_game*s_f_p_game)))),".")</f>
        <v>4.166666666666666E-12</v>
      </c>
      <c r="AU23" s="2">
        <f>IFERROR(AS23/(up_RadSpec!AH23*s_Q_w_game*(1/1000)),".")</f>
        <v>9.9999999999999982E-8</v>
      </c>
      <c r="AV23" s="2">
        <f>IFERROR(s_TR/(up_RadSpec!E23*s_EF_rec*s_ED_rec*s_IRGF_rec*s_CF_fowl),".")</f>
        <v>9.9999999999999986E-10</v>
      </c>
      <c r="AW23" s="2">
        <f>IFERROR((AS23/(up_RadSpec!AJ23*((s_Q_p_fowl*s_f_p_fowl*s_f_s_fowl*(up_RadSpec!BB23+s_R_es_past))+(s_Q_s_fowl*s_f_p_fowl)))),".")</f>
        <v>4.166666666666666E-12</v>
      </c>
      <c r="AX23" s="2">
        <f>IFERROR(AS23/(up_RadSpec!AJ23*s_Q_w_fowl*(1/1000)),".")</f>
        <v>9.9999999999999982E-8</v>
      </c>
      <c r="AY23" s="19">
        <f t="shared" si="8"/>
        <v>1000</v>
      </c>
      <c r="AZ23" s="19">
        <f>IFERROR((s_C*s_IRGL_rec*s_EF_rec*s_ED_rec*s_CF_game*up_RadSpec!AH23)*((s_Q_p_game*s_f_p_game*s_f_s_game*(up_RadSpec!BB23+s_R_es_past))+(s_Q_s_game*s_f_p_game)),".")</f>
        <v>240000</v>
      </c>
      <c r="BA23" s="19">
        <f>IFERROR(s_C*up_RadSpec!AH23*s_Q_w_game*(1/1000)*s_EF_rec*s_ED_rec*s_IRGL_rec*s_CF_game,".")</f>
        <v>10</v>
      </c>
      <c r="BB23" s="19">
        <f t="shared" si="9"/>
        <v>1000</v>
      </c>
      <c r="BC23" s="19">
        <f>IFERROR((s_C*s_IRGF_rec*s_EF_rec*s_ED_rec*s_CF_fowl*up_RadSpec!AJ23)*((s_Q_p_fowl*s_f_p_fowl*s_f_s_fowl*(up_RadSpec!BB23+s_R_es_past))+(s_Q_s_fowl*s_f_p_fowl)),".")</f>
        <v>240000</v>
      </c>
      <c r="BD23" s="19">
        <f>IFERROR(s_C*up_RadSpec!AJ23*s_Q_w_fowl*(1/1000)*s_EF_rec*s_ED_rec*s_IRGL_rec*s_CF_fowl,".")</f>
        <v>10</v>
      </c>
      <c r="BE23" s="5"/>
      <c r="BF23" s="5"/>
      <c r="BG23" s="5"/>
      <c r="BH23" s="5"/>
      <c r="BI23" s="5"/>
      <c r="BJ23" s="5"/>
    </row>
    <row r="24" spans="1:62" customFormat="1" x14ac:dyDescent="0.25">
      <c r="A24" s="44" t="s">
        <v>34</v>
      </c>
      <c r="B24" s="42" t="s">
        <v>1074</v>
      </c>
      <c r="C24" s="15">
        <f>IFERROR(((s_TR/(up_RadSpec!D24*s_IFS_rec_adj*(1/1000)))*1),".")</f>
        <v>3.6363636363636363E-8</v>
      </c>
      <c r="D24" s="15">
        <f>IFERROR(IF(A24="H-3",(s_TR/((up_RadSpec!G24*s_IFA_rec_adj*(1/17)*1000))*1),(s_TR/((up_RadSpec!G24*s_IFA_rec_adj*(1/s_PEF_wind)*1000))*1)),".")</f>
        <v>3.3989909629864073E-4</v>
      </c>
      <c r="E24" s="2">
        <f>IFERROR((TR/(up_RadSpec!F24*s_EF_rec*(1/365)*s_ED_rec*up_RadSpec!Q24*s_ET_rec*(1/24)*up_RadSpec!V24)),".")</f>
        <v>5.0476098503138605E-5</v>
      </c>
      <c r="F24" s="2">
        <f>IF(AND(C24&lt;&gt;".",D24&lt;&gt;".",E24&lt;&gt;"."),1/((1/C24)+(1/D24)+(1/E24)),IF(AND(C24&lt;&gt;".",D24&lt;&gt;".",E24="."), 1/((1/C24)+(1/D24)),IF(AND(C24&lt;&gt;".",D24=".",E24&lt;&gt;"."),1/((1/C24)+(1/E24)),IF(AND(C24=".",D24&lt;&gt;".",E24&lt;&gt;"."),1/((1/D24)+(1/E24)),IF(AND(C24&lt;&gt;".",D24=".",E24="."),1/((1/C24)),IF(AND(C24=".",D24&lt;&gt;".",E24="."),1/((1/D24)),IF(AND(C24=".",D24=".",E24&lt;&gt;"."),1/((1/E24)),IF(AND(C24=".",D24=".",E24="."),"."))))))))</f>
        <v>3.6333574088033176E-8</v>
      </c>
      <c r="G24" s="40">
        <f t="shared" si="1"/>
        <v>27.5</v>
      </c>
      <c r="H24" s="40">
        <f t="shared" si="2"/>
        <v>2.9420495991003873E-3</v>
      </c>
      <c r="I24" s="40">
        <f>IFERROR((s_C*s_EF_rec*(1/365)*s_ED_rec*up_RadSpec!Q24*s_ET_rec*(1/24)*up_RadSpec!V24),".")</f>
        <v>1.981135685314149E-2</v>
      </c>
      <c r="J24" s="18"/>
      <c r="K24" s="18"/>
      <c r="L24" s="18"/>
      <c r="M24" s="18"/>
      <c r="N24" s="15">
        <f>IFERROR((s_TR/(up_RadSpec!F24*s_EF_rec*(1/365)*s_ED_rec*up_RadSpec!Q24*s_ET_rec*(1/24)*up_RadSpec!V24)),".")</f>
        <v>5.0476098503138605E-5</v>
      </c>
      <c r="O24" s="15">
        <f>IFERROR((s_TR/(up_RadSpec!M24*s_EF_rec*(1/365)*s_ED_rec*up_RadSpec!R24*s_ET_rec*(1/24)*up_RadSpec!W24)),".")</f>
        <v>9.151392186488238E-5</v>
      </c>
      <c r="P24" s="15">
        <f>IFERROR((s_TR/(up_RadSpec!N24*s_EF_rec*(1/365)*s_ED_rec*up_RadSpec!S24*s_ET_rec*(1/24)*up_RadSpec!X24)),".")</f>
        <v>6.4614742283413678E-5</v>
      </c>
      <c r="Q24" s="15">
        <f>IFERROR((s_TR/(up_RadSpec!O24*s_EF_rec*(1/365)*s_ED_rec*up_RadSpec!T24*s_ET_rec*(1/24)*up_RadSpec!Y24)),".")</f>
        <v>5.3957499230058509E-5</v>
      </c>
      <c r="R24" s="15">
        <f>IFERROR((s_TR/(up_RadSpec!K24*s_EF_rec*(1/365)*s_ED_rec*up_RadSpec!P24*s_ET_rec*(1/24)*up_RadSpec!U24)),".")</f>
        <v>1.5209670329670327E-4</v>
      </c>
      <c r="S24" s="40">
        <f>IFERROR((s_C*s_EF_rec*(1/365)*s_ED_rec*up_RadSpec!Q24*s_ET_rec*(1/24)*up_RadSpec!V24),".")</f>
        <v>1.981135685314149E-2</v>
      </c>
      <c r="T24" s="40">
        <f>IFERROR((s_C*s_EF_rec*(1/365)*s_ED_rec*up_RadSpec!R24*s_ET_rec*(1/24)*up_RadSpec!W24),".")</f>
        <v>1.0927299143363899E-2</v>
      </c>
      <c r="U24" s="40">
        <f>IFERROR((s_C*s_EF_rec*(1/365)*s_ED_rec*up_RadSpec!S24*s_ET_rec*(1/24)*up_RadSpec!X24),".")</f>
        <v>1.5476344324237839E-2</v>
      </c>
      <c r="V24" s="40">
        <f>IFERROR((s_C*s_EF_rec*(1/365)*s_ED_rec*up_RadSpec!T24*s_ET_rec*(1/24)*up_RadSpec!Y24),".")</f>
        <v>1.8533105022831051E-2</v>
      </c>
      <c r="W24" s="40">
        <f>IFERROR((s_C*s_EF_rec*(1/365)*s_ED_rec*up_RadSpec!P24*s_ET_rec*(1/24)*up_RadSpec!U24),".")</f>
        <v>6.5747644644818231E-3</v>
      </c>
      <c r="X24" s="18"/>
      <c r="Y24" s="18"/>
      <c r="Z24" s="18"/>
      <c r="AA24" s="18"/>
      <c r="AB24" s="18"/>
      <c r="AC24" s="15">
        <f>IFERROR((s_TR/(up_RadSpec!G24*s_IFA_rec_adj)),".")</f>
        <v>1.0971428571428573E-9</v>
      </c>
      <c r="AD24" s="15">
        <f>IFERROR((s_TR/(up_RadSpec!J24*s_EF_rec*(1/365)*s_ED_rec*s_ET_rec*(1/24)*s_GSF_a)),".")</f>
        <v>1.7520000000000001E-6</v>
      </c>
      <c r="AE24" s="15">
        <f t="shared" si="17"/>
        <v>1.0964562309317064E-9</v>
      </c>
      <c r="AF24" s="40">
        <f t="shared" si="3"/>
        <v>911.45833333333326</v>
      </c>
      <c r="AG24" s="40">
        <f t="shared" si="4"/>
        <v>0.57077625570776247</v>
      </c>
      <c r="AH24" s="18"/>
      <c r="AI24" s="18"/>
      <c r="AJ24" s="18"/>
      <c r="AK24" s="15">
        <f>IFERROR((s_TR/(up_RadSpec!H24*s_IFW_rec_adj)),".")</f>
        <v>9.9999999999999991E-11</v>
      </c>
      <c r="AL24" s="15">
        <f>IFERROR((s_TR/(up_RadSpec!L24*(1/8760)*s_DFA_rec_adj)),".")</f>
        <v>4.3800000000000004E-6</v>
      </c>
      <c r="AM24" s="2">
        <f t="shared" si="5"/>
        <v>9.9997716947101668E-11</v>
      </c>
      <c r="AN24" s="40">
        <f t="shared" si="6"/>
        <v>10000</v>
      </c>
      <c r="AO24" s="40">
        <f t="shared" si="7"/>
        <v>0.22831050228310501</v>
      </c>
      <c r="AP24" s="18"/>
      <c r="AQ24" s="18"/>
      <c r="AR24" s="18"/>
      <c r="AS24" s="2">
        <f>IFERROR(s_TR/(up_RadSpec!E24*s_EF_rec*s_ED_rec*s_IRGL_rec*s_CF_game),".")</f>
        <v>9.9999999999999986E-10</v>
      </c>
      <c r="AT24" s="2">
        <f>IFERROR((AS24/(up_RadSpec!AH24*((s_Q_p_game*s_f_p_game*s_f_s_game*(up_RadSpec!BB24+s_R_es_past))+(s_Q_s_game*s_f_p_game)))),".")</f>
        <v>4.166666666666666E-12</v>
      </c>
      <c r="AU24" s="2">
        <f>IFERROR(AS24/(up_RadSpec!AH24*s_Q_w_game*(1/1000)),".")</f>
        <v>9.9999999999999982E-8</v>
      </c>
      <c r="AV24" s="2">
        <f>IFERROR(s_TR/(up_RadSpec!E24*s_EF_rec*s_ED_rec*s_IRGF_rec*s_CF_fowl),".")</f>
        <v>9.9999999999999986E-10</v>
      </c>
      <c r="AW24" s="2">
        <f>IFERROR((AS24/(up_RadSpec!AJ24*((s_Q_p_fowl*s_f_p_fowl*s_f_s_fowl*(up_RadSpec!BB24+s_R_es_past))+(s_Q_s_fowl*s_f_p_fowl)))),".")</f>
        <v>4.166666666666666E-12</v>
      </c>
      <c r="AX24" s="2">
        <f>IFERROR(AS24/(up_RadSpec!AJ24*s_Q_w_fowl*(1/1000)),".")</f>
        <v>9.9999999999999982E-8</v>
      </c>
      <c r="AY24" s="19">
        <f t="shared" si="8"/>
        <v>1000</v>
      </c>
      <c r="AZ24" s="19">
        <f>IFERROR((s_C*s_IRGL_rec*s_EF_rec*s_ED_rec*s_CF_game*up_RadSpec!AH24)*((s_Q_p_game*s_f_p_game*s_f_s_game*(up_RadSpec!BB24+s_R_es_past))+(s_Q_s_game*s_f_p_game)),".")</f>
        <v>240000</v>
      </c>
      <c r="BA24" s="19">
        <f>IFERROR(s_C*up_RadSpec!AH24*s_Q_w_game*(1/1000)*s_EF_rec*s_ED_rec*s_IRGL_rec*s_CF_game,".")</f>
        <v>10</v>
      </c>
      <c r="BB24" s="19">
        <f t="shared" si="9"/>
        <v>1000</v>
      </c>
      <c r="BC24" s="19">
        <f>IFERROR((s_C*s_IRGF_rec*s_EF_rec*s_ED_rec*s_CF_fowl*up_RadSpec!AJ24)*((s_Q_p_fowl*s_f_p_fowl*s_f_s_fowl*(up_RadSpec!BB24+s_R_es_past))+(s_Q_s_fowl*s_f_p_fowl)),".")</f>
        <v>240000</v>
      </c>
      <c r="BD24" s="19">
        <f>IFERROR(s_C*up_RadSpec!AJ24*s_Q_w_fowl*(1/1000)*s_EF_rec*s_ED_rec*s_IRGL_rec*s_CF_fowl,".")</f>
        <v>10</v>
      </c>
      <c r="BE24" s="5"/>
      <c r="BF24" s="5"/>
      <c r="BG24" s="5"/>
      <c r="BH24" s="5"/>
      <c r="BI24" s="5"/>
      <c r="BJ24" s="5"/>
    </row>
    <row r="25" spans="1:62" customFormat="1" x14ac:dyDescent="0.25">
      <c r="A25" s="46" t="s">
        <v>35</v>
      </c>
      <c r="B25" s="42" t="s">
        <v>351</v>
      </c>
      <c r="C25" s="15">
        <f>IFERROR(((s_TR/(up_RadSpec!D25*s_IFS_rec_adj*(1/1000)))*1),".")</f>
        <v>3.6363636363636363E-8</v>
      </c>
      <c r="D25" s="15">
        <f>IFERROR(IF(A25="H-3",(s_TR/((up_RadSpec!G25*s_IFA_rec_adj*(1/17)*1000))*1),(s_TR/((up_RadSpec!G25*s_IFA_rec_adj*(1/s_PEF_wind)*1000))*1)),".")</f>
        <v>3.3989909629864073E-4</v>
      </c>
      <c r="E25" s="2">
        <f>IFERROR((TR/(up_RadSpec!F25*s_EF_rec*(1/365)*s_ED_rec*up_RadSpec!Q25*s_ET_rec*(1/24)*up_RadSpec!V25)),".")</f>
        <v>5.6289156626506038E-5</v>
      </c>
      <c r="F25" s="2">
        <f>IF(AND(C25&lt;&gt;".",D25&lt;&gt;".",E25&lt;&gt;"."),1/((1/C25)+(1/D25)+(1/E25)),IF(AND(C25&lt;&gt;".",D25&lt;&gt;".",E25="."), 1/((1/C25)+(1/D25)),IF(AND(C25&lt;&gt;".",D25=".",E25&lt;&gt;"."),1/((1/C25)+(1/E25)),IF(AND(C25=".",D25&lt;&gt;".",E25&lt;&gt;"."),1/((1/D25)+(1/E25)),IF(AND(C25&lt;&gt;".",D25=".",E25="."),1/((1/C25)),IF(AND(C25=".",D25&lt;&gt;".",E25="."),1/((1/D25)),IF(AND(C25=".",D25=".",E25&lt;&gt;"."),1/((1/E25)),IF(AND(C25=".",D25=".",E25="."),"."))))))))</f>
        <v>3.6336275200525832E-8</v>
      </c>
      <c r="G25" s="40">
        <f t="shared" si="1"/>
        <v>27.5</v>
      </c>
      <c r="H25" s="40">
        <f t="shared" si="2"/>
        <v>2.9420495991003873E-3</v>
      </c>
      <c r="I25" s="40">
        <f>IFERROR((s_C*s_EF_rec*(1/365)*s_ED_rec*up_RadSpec!Q25*s_ET_rec*(1/24)*up_RadSpec!V25),".")</f>
        <v>1.7765410958904104E-2</v>
      </c>
      <c r="J25" s="18"/>
      <c r="K25" s="18"/>
      <c r="L25" s="18"/>
      <c r="M25" s="18"/>
      <c r="N25" s="15">
        <f>IFERROR((s_TR/(up_RadSpec!F25*s_EF_rec*(1/365)*s_ED_rec*up_RadSpec!Q25*s_ET_rec*(1/24)*up_RadSpec!V25)),".")</f>
        <v>5.6289156626506038E-5</v>
      </c>
      <c r="O25" s="15">
        <f>IFERROR((s_TR/(up_RadSpec!M25*s_EF_rec*(1/365)*s_ED_rec*up_RadSpec!R25*s_ET_rec*(1/24)*up_RadSpec!W25)),".")</f>
        <v>1.0080219880897846E-4</v>
      </c>
      <c r="P25" s="15">
        <f>IFERROR((s_TR/(up_RadSpec!N25*s_EF_rec*(1/365)*s_ED_rec*up_RadSpec!S25*s_ET_rec*(1/24)*up_RadSpec!X25)),".")</f>
        <v>7.2305963699222141E-5</v>
      </c>
      <c r="Q25" s="15">
        <f>IFERROR((s_TR/(up_RadSpec!O25*s_EF_rec*(1/365)*s_ED_rec*up_RadSpec!T25*s_ET_rec*(1/24)*up_RadSpec!Y25)),".")</f>
        <v>6.4567405475880052E-5</v>
      </c>
      <c r="R25" s="15">
        <f>IFERROR((s_TR/(up_RadSpec!K25*s_EF_rec*(1/365)*s_ED_rec*up_RadSpec!P25*s_ET_rec*(1/24)*up_RadSpec!U25)),".")</f>
        <v>1.8072727272727275E-4</v>
      </c>
      <c r="S25" s="40">
        <f>IFERROR((s_C*s_EF_rec*(1/365)*s_ED_rec*up_RadSpec!Q25*s_ET_rec*(1/24)*up_RadSpec!V25),".")</f>
        <v>1.7765410958904104E-2</v>
      </c>
      <c r="T25" s="40">
        <f>IFERROR((s_C*s_EF_rec*(1/365)*s_ED_rec*up_RadSpec!R25*s_ET_rec*(1/24)*up_RadSpec!W25),".")</f>
        <v>9.9204185207806186E-3</v>
      </c>
      <c r="U25" s="40">
        <f>IFERROR((s_C*s_EF_rec*(1/365)*s_ED_rec*up_RadSpec!S25*s_ET_rec*(1/24)*up_RadSpec!X25),".")</f>
        <v>1.3830117860814263E-2</v>
      </c>
      <c r="V25" s="40">
        <f>IFERROR((s_C*s_EF_rec*(1/365)*s_ED_rec*up_RadSpec!T25*s_ET_rec*(1/24)*up_RadSpec!Y25),".")</f>
        <v>1.5487690617730679E-2</v>
      </c>
      <c r="W25" s="40">
        <f>IFERROR((s_C*s_EF_rec*(1/365)*s_ED_rec*up_RadSpec!P25*s_ET_rec*(1/24)*up_RadSpec!U25),".")</f>
        <v>5.5331991951710251E-3</v>
      </c>
      <c r="X25" s="18"/>
      <c r="Y25" s="18"/>
      <c r="Z25" s="18"/>
      <c r="AA25" s="18"/>
      <c r="AB25" s="18"/>
      <c r="AC25" s="15">
        <f>IFERROR((s_TR/(up_RadSpec!G25*s_IFA_rec_adj)),".")</f>
        <v>1.0971428571428573E-9</v>
      </c>
      <c r="AD25" s="15">
        <f>IFERROR((s_TR/(up_RadSpec!J25*s_EF_rec*(1/365)*s_ED_rec*s_ET_rec*(1/24)*s_GSF_a)),".")</f>
        <v>1.7520000000000001E-6</v>
      </c>
      <c r="AE25" s="15">
        <f>IFERROR(IF(AND(AC25&lt;&gt;".",AD25&lt;&gt;"."),1/((1/AC25)+(1/AD25)),IF(AND(AC25&lt;&gt;".",AD25="."),1/((1/AC25)),IF(AND(AC25=".",AD25&lt;&gt;"."),1/((1/AD25)),IF(AND(AC25=".",AD25="."),".")))),".")</f>
        <v>1.0964562309317064E-9</v>
      </c>
      <c r="AF25" s="40">
        <f t="shared" si="3"/>
        <v>911.45833333333326</v>
      </c>
      <c r="AG25" s="40">
        <f t="shared" si="4"/>
        <v>0.57077625570776247</v>
      </c>
      <c r="AH25" s="18"/>
      <c r="AI25" s="18"/>
      <c r="AJ25" s="18"/>
      <c r="AK25" s="15">
        <f>IFERROR((s_TR/(up_RadSpec!H25*s_IFW_rec_adj)),".")</f>
        <v>9.9999999999999991E-11</v>
      </c>
      <c r="AL25" s="15">
        <f>IFERROR((s_TR/(up_RadSpec!L25*(1/8760)*s_DFA_rec_adj)),".")</f>
        <v>4.3800000000000004E-6</v>
      </c>
      <c r="AM25" s="2">
        <f t="shared" si="5"/>
        <v>9.9997716947101668E-11</v>
      </c>
      <c r="AN25" s="40">
        <f t="shared" si="6"/>
        <v>10000</v>
      </c>
      <c r="AO25" s="40">
        <f t="shared" si="7"/>
        <v>0.22831050228310501</v>
      </c>
      <c r="AP25" s="18"/>
      <c r="AQ25" s="18"/>
      <c r="AR25" s="18"/>
      <c r="AS25" s="2">
        <f>IFERROR(s_TR/(up_RadSpec!E25*s_EF_rec*s_ED_rec*s_IRGL_rec*s_CF_game),".")</f>
        <v>9.9999999999999986E-10</v>
      </c>
      <c r="AT25" s="2">
        <f>IFERROR((AS25/(up_RadSpec!AH25*((s_Q_p_game*s_f_p_game*s_f_s_game*(up_RadSpec!BB25+s_R_es_past))+(s_Q_s_game*s_f_p_game)))),".")</f>
        <v>4.166666666666666E-12</v>
      </c>
      <c r="AU25" s="2">
        <f>IFERROR(AS25/(up_RadSpec!AH25*s_Q_w_game*(1/1000)),".")</f>
        <v>9.9999999999999982E-8</v>
      </c>
      <c r="AV25" s="2">
        <f>IFERROR(s_TR/(up_RadSpec!E25*s_EF_rec*s_ED_rec*s_IRGF_rec*s_CF_fowl),".")</f>
        <v>9.9999999999999986E-10</v>
      </c>
      <c r="AW25" s="2">
        <f>IFERROR((AS25/(up_RadSpec!AJ25*((s_Q_p_fowl*s_f_p_fowl*s_f_s_fowl*(up_RadSpec!BB25+s_R_es_past))+(s_Q_s_fowl*s_f_p_fowl)))),".")</f>
        <v>4.166666666666666E-12</v>
      </c>
      <c r="AX25" s="2">
        <f>IFERROR(AS25/(up_RadSpec!AJ25*s_Q_w_fowl*(1/1000)),".")</f>
        <v>9.9999999999999982E-8</v>
      </c>
      <c r="AY25" s="19">
        <f t="shared" si="8"/>
        <v>1000</v>
      </c>
      <c r="AZ25" s="19">
        <f>IFERROR((s_C*s_IRGL_rec*s_EF_rec*s_ED_rec*s_CF_game*up_RadSpec!AH25)*((s_Q_p_game*s_f_p_game*s_f_s_game*(up_RadSpec!BB25+s_R_es_past))+(s_Q_s_game*s_f_p_game)),".")</f>
        <v>240000</v>
      </c>
      <c r="BA25" s="19">
        <f>IFERROR(s_C*up_RadSpec!AH25*s_Q_w_game*(1/1000)*s_EF_rec*s_ED_rec*s_IRGL_rec*s_CF_game,".")</f>
        <v>10</v>
      </c>
      <c r="BB25" s="19">
        <f t="shared" si="9"/>
        <v>1000</v>
      </c>
      <c r="BC25" s="19">
        <f>IFERROR((s_C*s_IRGF_rec*s_EF_rec*s_ED_rec*s_CF_fowl*up_RadSpec!AJ25)*((s_Q_p_fowl*s_f_p_fowl*s_f_s_fowl*(up_RadSpec!BB25+s_R_es_past))+(s_Q_s_fowl*s_f_p_fowl)),".")</f>
        <v>240000</v>
      </c>
      <c r="BD25" s="19">
        <f>IFERROR(s_C*up_RadSpec!AJ25*s_Q_w_fowl*(1/1000)*s_EF_rec*s_ED_rec*s_IRGL_rec*s_CF_fowl,".")</f>
        <v>10</v>
      </c>
      <c r="BE25" s="5"/>
      <c r="BF25" s="5"/>
      <c r="BG25" s="5"/>
      <c r="BH25" s="5"/>
      <c r="BI25" s="5"/>
      <c r="BJ25" s="5"/>
    </row>
    <row r="26" spans="1:62" customFormat="1" x14ac:dyDescent="0.25">
      <c r="A26" s="44" t="s">
        <v>36</v>
      </c>
      <c r="B26" s="42" t="s">
        <v>1074</v>
      </c>
      <c r="C26" s="15">
        <f>IFERROR(((s_TR/(up_RadSpec!D26*s_IFS_rec_adj*(1/1000)))*1),".")</f>
        <v>3.6363636363636363E-8</v>
      </c>
      <c r="D26" s="15">
        <f>IFERROR(IF(A26="H-3",(s_TR/((up_RadSpec!G26*s_IFA_rec_adj*(1/17)*1000))*1),(s_TR/((up_RadSpec!G26*s_IFA_rec_adj*(1/s_PEF_wind)*1000))*1)),".")</f>
        <v>3.3989909629864073E-4</v>
      </c>
      <c r="E26" s="2">
        <f>IFERROR((TR/(up_RadSpec!F26*s_EF_rec*(1/365)*s_ED_rec*up_RadSpec!Q26*s_ET_rec*(1/24)*up_RadSpec!V26)),".")</f>
        <v>3.0689795918367339E-4</v>
      </c>
      <c r="F26" s="2">
        <f>IF(AND(C26&lt;&gt;".",D26&lt;&gt;".",E26&lt;&gt;"."),1/((1/C26)+(1/D26)+(1/E26)),IF(AND(C26&lt;&gt;".",D26&lt;&gt;".",E26="."), 1/((1/C26)+(1/D26)),IF(AND(C26&lt;&gt;".",D26=".",E26&lt;&gt;"."),1/((1/C26)+(1/E26)),IF(AND(C26=".",D26&lt;&gt;".",E26&lt;&gt;"."),1/((1/D26)+(1/E26)),IF(AND(C26&lt;&gt;".",D26=".",E26="."),1/((1/C26)),IF(AND(C26=".",D26&lt;&gt;".",E26="."),1/((1/D26)),IF(AND(C26=".",D26=".",E26&lt;&gt;"."),1/((1/E26)),IF(AND(C26=".",D26=".",E26="."),"."))))))))</f>
        <v>3.6355439254332854E-8</v>
      </c>
      <c r="G26" s="40">
        <f t="shared" si="1"/>
        <v>27.5</v>
      </c>
      <c r="H26" s="40">
        <f t="shared" si="2"/>
        <v>2.9420495991003873E-3</v>
      </c>
      <c r="I26" s="40">
        <f>IFERROR((s_C*s_EF_rec*(1/365)*s_ED_rec*up_RadSpec!Q26*s_ET_rec*(1/24)*up_RadSpec!V26),".")</f>
        <v>3.258412022875383E-3</v>
      </c>
      <c r="J26" s="18"/>
      <c r="K26" s="18"/>
      <c r="L26" s="18"/>
      <c r="M26" s="18"/>
      <c r="N26" s="15">
        <f>IFERROR((s_TR/(up_RadSpec!F26*s_EF_rec*(1/365)*s_ED_rec*up_RadSpec!Q26*s_ET_rec*(1/24)*up_RadSpec!V26)),".")</f>
        <v>3.0689795918367339E-4</v>
      </c>
      <c r="O26" s="15">
        <f>IFERROR((s_TR/(up_RadSpec!M26*s_EF_rec*(1/365)*s_ED_rec*up_RadSpec!R26*s_ET_rec*(1/24)*up_RadSpec!W26)),".")</f>
        <v>5.6031981724728741E-4</v>
      </c>
      <c r="P26" s="15">
        <f>IFERROR((s_TR/(up_RadSpec!N26*s_EF_rec*(1/365)*s_ED_rec*up_RadSpec!S26*s_ET_rec*(1/24)*up_RadSpec!X26)),".")</f>
        <v>4.0498863157894735E-4</v>
      </c>
      <c r="Q26" s="15">
        <f>IFERROR((s_TR/(up_RadSpec!O26*s_EF_rec*(1/365)*s_ED_rec*up_RadSpec!T26*s_ET_rec*(1/24)*up_RadSpec!Y26)),".")</f>
        <v>3.4641818181818169E-4</v>
      </c>
      <c r="R26" s="15">
        <f>IFERROR((s_TR/(up_RadSpec!K26*s_EF_rec*(1/365)*s_ED_rec*up_RadSpec!P26*s_ET_rec*(1/24)*up_RadSpec!U26)),".")</f>
        <v>3.2658445655291096E-3</v>
      </c>
      <c r="S26" s="40">
        <f>IFERROR((s_C*s_EF_rec*(1/365)*s_ED_rec*up_RadSpec!Q26*s_ET_rec*(1/24)*up_RadSpec!V26),".")</f>
        <v>3.258412022875383E-3</v>
      </c>
      <c r="T26" s="40">
        <f>IFERROR((s_C*s_EF_rec*(1/365)*s_ED_rec*up_RadSpec!R26*s_ET_rec*(1/24)*up_RadSpec!W26),".")</f>
        <v>1.7846950424005214E-3</v>
      </c>
      <c r="U26" s="40">
        <f>IFERROR((s_C*s_EF_rec*(1/365)*s_ED_rec*up_RadSpec!S26*s_ET_rec*(1/24)*up_RadSpec!X26),".")</f>
        <v>2.4692051134898654E-3</v>
      </c>
      <c r="V26" s="40">
        <f>IFERROR((s_C*s_EF_rec*(1/365)*s_ED_rec*up_RadSpec!T26*s_ET_rec*(1/24)*up_RadSpec!Y26),".")</f>
        <v>2.8866845116254669E-3</v>
      </c>
      <c r="W26" s="40">
        <f>IFERROR((s_C*s_EF_rec*(1/365)*s_ED_rec*up_RadSpec!P26*s_ET_rec*(1/24)*up_RadSpec!U26),".")</f>
        <v>3.0619950825430263E-4</v>
      </c>
      <c r="X26" s="18"/>
      <c r="Y26" s="18"/>
      <c r="Z26" s="18"/>
      <c r="AA26" s="18"/>
      <c r="AB26" s="18"/>
      <c r="AC26" s="15">
        <f>IFERROR((s_TR/(up_RadSpec!G26*s_IFA_rec_adj)),".")</f>
        <v>1.0971428571428573E-9</v>
      </c>
      <c r="AD26" s="15">
        <f>IFERROR((s_TR/(up_RadSpec!J26*s_EF_rec*(1/365)*s_ED_rec*s_ET_rec*(1/24)*s_GSF_a)),".")</f>
        <v>1.7520000000000001E-6</v>
      </c>
      <c r="AE26" s="15">
        <f>IFERROR(IF(AND(AC26&lt;&gt;".",AD26&lt;&gt;"."),1/((1/AC26)+(1/AD26)),IF(AND(AC26&lt;&gt;".",AD26="."),1/((1/AC26)),IF(AND(AC26=".",AD26&lt;&gt;"."),1/((1/AD26)),IF(AND(AC26=".",AD26="."),".")))),".")</f>
        <v>1.0964562309317064E-9</v>
      </c>
      <c r="AF26" s="40">
        <f t="shared" si="3"/>
        <v>911.45833333333326</v>
      </c>
      <c r="AG26" s="40">
        <f t="shared" si="4"/>
        <v>0.57077625570776247</v>
      </c>
      <c r="AH26" s="18"/>
      <c r="AI26" s="18"/>
      <c r="AJ26" s="18"/>
      <c r="AK26" s="15">
        <f>IFERROR((s_TR/(up_RadSpec!H26*s_IFW_rec_adj)),".")</f>
        <v>9.9999999999999991E-11</v>
      </c>
      <c r="AL26" s="15">
        <f>IFERROR((s_TR/(up_RadSpec!L26*(1/8760)*s_DFA_rec_adj)),".")</f>
        <v>4.3800000000000004E-6</v>
      </c>
      <c r="AM26" s="2">
        <f t="shared" si="5"/>
        <v>9.9997716947101668E-11</v>
      </c>
      <c r="AN26" s="40">
        <f t="shared" si="6"/>
        <v>10000</v>
      </c>
      <c r="AO26" s="40">
        <f t="shared" si="7"/>
        <v>0.22831050228310501</v>
      </c>
      <c r="AP26" s="18"/>
      <c r="AQ26" s="18"/>
      <c r="AR26" s="18"/>
      <c r="AS26" s="2">
        <f>IFERROR(s_TR/(up_RadSpec!E26*s_EF_rec*s_ED_rec*s_IRGL_rec*s_CF_game),".")</f>
        <v>9.9999999999999986E-10</v>
      </c>
      <c r="AT26" s="2">
        <f>IFERROR((AS26/(up_RadSpec!AH26*((s_Q_p_game*s_f_p_game*s_f_s_game*(up_RadSpec!BB26+s_R_es_past))+(s_Q_s_game*s_f_p_game)))),".")</f>
        <v>4.166666666666666E-12</v>
      </c>
      <c r="AU26" s="2">
        <f>IFERROR(AS26/(up_RadSpec!AH26*s_Q_w_game*(1/1000)),".")</f>
        <v>9.9999999999999982E-8</v>
      </c>
      <c r="AV26" s="2">
        <f>IFERROR(s_TR/(up_RadSpec!E26*s_EF_rec*s_ED_rec*s_IRGF_rec*s_CF_fowl),".")</f>
        <v>9.9999999999999986E-10</v>
      </c>
      <c r="AW26" s="2">
        <f>IFERROR((AS26/(up_RadSpec!AJ26*((s_Q_p_fowl*s_f_p_fowl*s_f_s_fowl*(up_RadSpec!BB26+s_R_es_past))+(s_Q_s_fowl*s_f_p_fowl)))),".")</f>
        <v>4.166666666666666E-12</v>
      </c>
      <c r="AX26" s="2">
        <f>IFERROR(AS26/(up_RadSpec!AJ26*s_Q_w_fowl*(1/1000)),".")</f>
        <v>9.9999999999999982E-8</v>
      </c>
      <c r="AY26" s="19">
        <f t="shared" si="8"/>
        <v>1000</v>
      </c>
      <c r="AZ26" s="19">
        <f>IFERROR((s_C*s_IRGL_rec*s_EF_rec*s_ED_rec*s_CF_game*up_RadSpec!AH26)*((s_Q_p_game*s_f_p_game*s_f_s_game*(up_RadSpec!BB26+s_R_es_past))+(s_Q_s_game*s_f_p_game)),".")</f>
        <v>240000</v>
      </c>
      <c r="BA26" s="19">
        <f>IFERROR(s_C*up_RadSpec!AH26*s_Q_w_game*(1/1000)*s_EF_rec*s_ED_rec*s_IRGL_rec*s_CF_game,".")</f>
        <v>10</v>
      </c>
      <c r="BB26" s="19">
        <f t="shared" si="9"/>
        <v>1000</v>
      </c>
      <c r="BC26" s="19">
        <f>IFERROR((s_C*s_IRGF_rec*s_EF_rec*s_ED_rec*s_CF_fowl*up_RadSpec!AJ26)*((s_Q_p_fowl*s_f_p_fowl*s_f_s_fowl*(up_RadSpec!BB26+s_R_es_past))+(s_Q_s_fowl*s_f_p_fowl)),".")</f>
        <v>240000</v>
      </c>
      <c r="BD26" s="19">
        <f>IFERROR(s_C*up_RadSpec!AJ26*s_Q_w_fowl*(1/1000)*s_EF_rec*s_ED_rec*s_IRGL_rec*s_CF_fowl,".")</f>
        <v>10</v>
      </c>
      <c r="BE26" s="5"/>
      <c r="BF26" s="5"/>
      <c r="BG26" s="5"/>
      <c r="BH26" s="5"/>
      <c r="BI26" s="5"/>
      <c r="BJ26" s="5"/>
    </row>
    <row r="27" spans="1:62" customFormat="1" x14ac:dyDescent="0.25">
      <c r="A27" s="44" t="s">
        <v>37</v>
      </c>
      <c r="B27" s="42" t="s">
        <v>1074</v>
      </c>
      <c r="C27" s="15">
        <f>IFERROR(((s_TR/(up_RadSpec!D27*s_IFS_rec_adj*(1/1000)))*1),".")</f>
        <v>3.6363636363636363E-8</v>
      </c>
      <c r="D27" s="15">
        <f>IFERROR(IF(A27="H-3",(s_TR/((up_RadSpec!G27*s_IFA_rec_adj*(1/17)*1000))*1),(s_TR/((up_RadSpec!G27*s_IFA_rec_adj*(1/s_PEF_wind)*1000))*1)),".")</f>
        <v>3.3989909629864073E-4</v>
      </c>
      <c r="E27" s="2">
        <f>IFERROR((TR/(up_RadSpec!F27*s_EF_rec*(1/365)*s_ED_rec*up_RadSpec!Q27*s_ET_rec*(1/24)*up_RadSpec!V27)),".")</f>
        <v>6.4661788100540919E-5</v>
      </c>
      <c r="F27" s="2">
        <f>IF(AND(C27&lt;&gt;".",D27&lt;&gt;".",E27&lt;&gt;"."),1/((1/C27)+(1/D27)+(1/E27)),IF(AND(C27&lt;&gt;".",D27&lt;&gt;".",E27="."), 1/((1/C27)+(1/D27)),IF(AND(C27&lt;&gt;".",D27=".",E27&lt;&gt;"."),1/((1/C27)+(1/E27)),IF(AND(C27=".",D27&lt;&gt;".",E27&lt;&gt;"."),1/((1/D27)+(1/E27)),IF(AND(C27&lt;&gt;".",D27=".",E27="."),1/((1/C27)),IF(AND(C27=".",D27&lt;&gt;".",E27="."),1/((1/D27)),IF(AND(C27=".",D27=".",E27&lt;&gt;"."),1/((1/E27)),IF(AND(C27=".",D27=".",E27="."),"."))))))))</f>
        <v>3.63393126330469E-8</v>
      </c>
      <c r="G27" s="40">
        <f t="shared" si="1"/>
        <v>27.5</v>
      </c>
      <c r="H27" s="40">
        <f t="shared" si="2"/>
        <v>2.9420495991003873E-3</v>
      </c>
      <c r="I27" s="40">
        <f>IFERROR((s_C*s_EF_rec*(1/365)*s_ED_rec*up_RadSpec!Q27*s_ET_rec*(1/24)*up_RadSpec!V27),".")</f>
        <v>1.5465084238702558E-2</v>
      </c>
      <c r="J27" s="18"/>
      <c r="K27" s="18"/>
      <c r="L27" s="18"/>
      <c r="M27" s="18"/>
      <c r="N27" s="15">
        <f>IFERROR((s_TR/(up_RadSpec!F27*s_EF_rec*(1/365)*s_ED_rec*up_RadSpec!Q27*s_ET_rec*(1/24)*up_RadSpec!V27)),".")</f>
        <v>6.4661788100540919E-5</v>
      </c>
      <c r="O27" s="15">
        <f>IFERROR((s_TR/(up_RadSpec!M27*s_EF_rec*(1/365)*s_ED_rec*up_RadSpec!R27*s_ET_rec*(1/24)*up_RadSpec!W27)),".")</f>
        <v>1.9179789473684221E-4</v>
      </c>
      <c r="P27" s="15">
        <f>IFERROR((s_TR/(up_RadSpec!N27*s_EF_rec*(1/365)*s_ED_rec*up_RadSpec!S27*s_ET_rec*(1/24)*up_RadSpec!X27)),".")</f>
        <v>1.1758653198653198E-4</v>
      </c>
      <c r="Q27" s="15">
        <f>IFERROR((s_TR/(up_RadSpec!O27*s_EF_rec*(1/365)*s_ED_rec*up_RadSpec!T27*s_ET_rec*(1/24)*up_RadSpec!Y27)),".")</f>
        <v>8.5539659367396602E-5</v>
      </c>
      <c r="R27" s="15">
        <f>IFERROR((s_TR/(up_RadSpec!K27*s_EF_rec*(1/365)*s_ED_rec*up_RadSpec!P27*s_ET_rec*(1/24)*up_RadSpec!U27)),".")</f>
        <v>5.9994044665012442E-4</v>
      </c>
      <c r="S27" s="40">
        <f>IFERROR((s_C*s_EF_rec*(1/365)*s_ED_rec*up_RadSpec!Q27*s_ET_rec*(1/24)*up_RadSpec!V27),".")</f>
        <v>1.5465084238702558E-2</v>
      </c>
      <c r="T27" s="40">
        <f>IFERROR((s_C*s_EF_rec*(1/365)*s_ED_rec*up_RadSpec!R27*s_ET_rec*(1/24)*up_RadSpec!W27),".")</f>
        <v>5.2138215665612896E-3</v>
      </c>
      <c r="U27" s="40">
        <f>IFERROR((s_C*s_EF_rec*(1/365)*s_ED_rec*up_RadSpec!S27*s_ET_rec*(1/24)*up_RadSpec!X27),".")</f>
        <v>8.5043753149768638E-3</v>
      </c>
      <c r="V27" s="40">
        <f>IFERROR((s_C*s_EF_rec*(1/365)*s_ED_rec*up_RadSpec!T27*s_ET_rec*(1/24)*up_RadSpec!Y27),".")</f>
        <v>1.169048377554271E-2</v>
      </c>
      <c r="W27" s="40">
        <f>IFERROR((s_C*s_EF_rec*(1/365)*s_ED_rec*up_RadSpec!P27*s_ET_rec*(1/24)*up_RadSpec!U27),".")</f>
        <v>1.6668321090596244E-3</v>
      </c>
      <c r="X27" s="18"/>
      <c r="Y27" s="18"/>
      <c r="Z27" s="18"/>
      <c r="AA27" s="18"/>
      <c r="AB27" s="18"/>
      <c r="AC27" s="15">
        <f>IFERROR((s_TR/(up_RadSpec!G27*s_IFA_rec_adj)),".")</f>
        <v>1.0971428571428573E-9</v>
      </c>
      <c r="AD27" s="15">
        <f>IFERROR((s_TR/(up_RadSpec!J27*s_EF_rec*(1/365)*s_ED_rec*s_ET_rec*(1/24)*s_GSF_a)),".")</f>
        <v>1.7520000000000001E-6</v>
      </c>
      <c r="AE27" s="15">
        <f>IFERROR(IF(AND(AC27&lt;&gt;".",AD27&lt;&gt;"."),1/((1/AC27)+(1/AD27)),IF(AND(AC27&lt;&gt;".",AD27="."),1/((1/AC27)),IF(AND(AC27=".",AD27&lt;&gt;"."),1/((1/AD27)),IF(AND(AC27=".",AD27="."),".")))),".")</f>
        <v>1.0964562309317064E-9</v>
      </c>
      <c r="AF27" s="40">
        <f t="shared" si="3"/>
        <v>911.45833333333326</v>
      </c>
      <c r="AG27" s="40">
        <f t="shared" si="4"/>
        <v>0.57077625570776247</v>
      </c>
      <c r="AH27" s="18"/>
      <c r="AI27" s="18"/>
      <c r="AJ27" s="18"/>
      <c r="AK27" s="15">
        <f>IFERROR((s_TR/(up_RadSpec!H27*s_IFW_rec_adj)),".")</f>
        <v>9.9999999999999991E-11</v>
      </c>
      <c r="AL27" s="15">
        <f>IFERROR((s_TR/(up_RadSpec!L27*(1/8760)*s_DFA_rec_adj)),".")</f>
        <v>4.3800000000000004E-6</v>
      </c>
      <c r="AM27" s="2">
        <f t="shared" si="5"/>
        <v>9.9997716947101668E-11</v>
      </c>
      <c r="AN27" s="40">
        <f t="shared" si="6"/>
        <v>10000</v>
      </c>
      <c r="AO27" s="40">
        <f t="shared" si="7"/>
        <v>0.22831050228310501</v>
      </c>
      <c r="AP27" s="18"/>
      <c r="AQ27" s="18"/>
      <c r="AR27" s="18"/>
      <c r="AS27" s="2">
        <f>IFERROR(s_TR/(up_RadSpec!E27*s_EF_rec*s_ED_rec*s_IRGL_rec*s_CF_game),".")</f>
        <v>9.9999999999999986E-10</v>
      </c>
      <c r="AT27" s="2">
        <f>IFERROR((AS27/(up_RadSpec!AH27*((s_Q_p_game*s_f_p_game*s_f_s_game*(up_RadSpec!BB27+s_R_es_past))+(s_Q_s_game*s_f_p_game)))),".")</f>
        <v>4.166666666666666E-12</v>
      </c>
      <c r="AU27" s="2">
        <f>IFERROR(AS27/(up_RadSpec!AH27*s_Q_w_game*(1/1000)),".")</f>
        <v>9.9999999999999982E-8</v>
      </c>
      <c r="AV27" s="2">
        <f>IFERROR(s_TR/(up_RadSpec!E27*s_EF_rec*s_ED_rec*s_IRGF_rec*s_CF_fowl),".")</f>
        <v>9.9999999999999986E-10</v>
      </c>
      <c r="AW27" s="2">
        <f>IFERROR((AS27/(up_RadSpec!AJ27*((s_Q_p_fowl*s_f_p_fowl*s_f_s_fowl*(up_RadSpec!BB27+s_R_es_past))+(s_Q_s_fowl*s_f_p_fowl)))),".")</f>
        <v>4.166666666666666E-12</v>
      </c>
      <c r="AX27" s="2">
        <f>IFERROR(AS27/(up_RadSpec!AJ27*s_Q_w_fowl*(1/1000)),".")</f>
        <v>9.9999999999999982E-8</v>
      </c>
      <c r="AY27" s="19">
        <f t="shared" si="8"/>
        <v>1000</v>
      </c>
      <c r="AZ27" s="19">
        <f>IFERROR((s_C*s_IRGL_rec*s_EF_rec*s_ED_rec*s_CF_game*up_RadSpec!AH27)*((s_Q_p_game*s_f_p_game*s_f_s_game*(up_RadSpec!BB27+s_R_es_past))+(s_Q_s_game*s_f_p_game)),".")</f>
        <v>240000</v>
      </c>
      <c r="BA27" s="19">
        <f>IFERROR(s_C*up_RadSpec!AH27*s_Q_w_game*(1/1000)*s_EF_rec*s_ED_rec*s_IRGL_rec*s_CF_game,".")</f>
        <v>10</v>
      </c>
      <c r="BB27" s="19">
        <f t="shared" si="9"/>
        <v>1000</v>
      </c>
      <c r="BC27" s="19">
        <f>IFERROR((s_C*s_IRGF_rec*s_EF_rec*s_ED_rec*s_CF_fowl*up_RadSpec!AJ27)*((s_Q_p_fowl*s_f_p_fowl*s_f_s_fowl*(up_RadSpec!BB27+s_R_es_past))+(s_Q_s_fowl*s_f_p_fowl)),".")</f>
        <v>240000</v>
      </c>
      <c r="BD27" s="19">
        <f>IFERROR(s_C*up_RadSpec!AJ27*s_Q_w_fowl*(1/1000)*s_EF_rec*s_ED_rec*s_IRGL_rec*s_CF_fowl,".")</f>
        <v>10</v>
      </c>
      <c r="BE27" s="5"/>
      <c r="BF27" s="5"/>
      <c r="BG27" s="5"/>
      <c r="BH27" s="5"/>
      <c r="BI27" s="5"/>
      <c r="BJ27" s="5"/>
    </row>
    <row r="28" spans="1:62" customFormat="1" x14ac:dyDescent="0.25">
      <c r="A28" s="44" t="s">
        <v>38</v>
      </c>
      <c r="B28" s="42" t="s">
        <v>1074</v>
      </c>
      <c r="C28" s="15">
        <f>IFERROR(((s_TR/(up_RadSpec!D28*s_IFS_rec_adj*(1/1000)))*1),".")</f>
        <v>3.6363636363636363E-8</v>
      </c>
      <c r="D28" s="15">
        <f>IFERROR(IF(A28="H-3",(s_TR/((up_RadSpec!G28*s_IFA_rec_adj*(1/17)*1000))*1),(s_TR/((up_RadSpec!G28*s_IFA_rec_adj*(1/s_PEF_wind)*1000))*1)),".")</f>
        <v>3.3989909629864073E-4</v>
      </c>
      <c r="E28" s="2">
        <f>IFERROR((TR/(up_RadSpec!F28*s_EF_rec*(1/365)*s_ED_rec*up_RadSpec!Q28*s_ET_rec*(1/24)*up_RadSpec!V28)),".")</f>
        <v>2.8613424791768742E-5</v>
      </c>
      <c r="F28" s="2">
        <f t="shared" ref="F28:F29" si="18">IF(AND(C28&lt;&gt;".",D28&lt;&gt;".",E28&lt;&gt;"."),1/((1/C28)+(1/D28)+(1/E28)),IF(AND(C28&lt;&gt;".",D28&lt;&gt;".",E28="."), 1/((1/C28)+(1/D28)),IF(AND(C28&lt;&gt;".",D28=".",E28&lt;&gt;"."),1/((1/C28)+(1/E28)),IF(AND(C28=".",D28&lt;&gt;".",E28&lt;&gt;"."),1/((1/D28)+(1/E28)),IF(AND(C28&lt;&gt;".",D28=".",E28="."),1/((1/C28)),IF(AND(C28=".",D28&lt;&gt;".",E28="."),1/((1/D28)),IF(AND(C28=".",D28=".",E28&lt;&gt;"."),1/((1/E28)),IF(AND(C28=".",D28=".",E28="."),"."))))))))</f>
        <v>3.6313601925068854E-8</v>
      </c>
      <c r="G28" s="40">
        <f t="shared" si="1"/>
        <v>27.5</v>
      </c>
      <c r="H28" s="40">
        <f t="shared" si="2"/>
        <v>2.9420495991003873E-3</v>
      </c>
      <c r="I28" s="40">
        <f>IFERROR((s_C*s_EF_rec*(1/365)*s_ED_rec*up_RadSpec!Q28*s_ET_rec*(1/24)*up_RadSpec!V28),".")</f>
        <v>3.4948630136986299E-2</v>
      </c>
      <c r="J28" s="18"/>
      <c r="K28" s="18"/>
      <c r="L28" s="18"/>
      <c r="M28" s="18"/>
      <c r="N28" s="15">
        <f>IFERROR((s_TR/(up_RadSpec!F28*s_EF_rec*(1/365)*s_ED_rec*up_RadSpec!Q28*s_ET_rec*(1/24)*up_RadSpec!V28)),".")</f>
        <v>2.8613424791768742E-5</v>
      </c>
      <c r="O28" s="15">
        <f>IFERROR((s_TR/(up_RadSpec!M28*s_EF_rec*(1/365)*s_ED_rec*up_RadSpec!R28*s_ET_rec*(1/24)*up_RadSpec!W28)),".")</f>
        <v>6.3803939532753123E-5</v>
      </c>
      <c r="P28" s="15">
        <f>IFERROR((s_TR/(up_RadSpec!N28*s_EF_rec*(1/365)*s_ED_rec*up_RadSpec!S28*s_ET_rec*(1/24)*up_RadSpec!X28)),".")</f>
        <v>4.4298356510745874E-5</v>
      </c>
      <c r="Q28" s="15">
        <f>IFERROR((s_TR/(up_RadSpec!O28*s_EF_rec*(1/365)*s_ED_rec*up_RadSpec!T28*s_ET_rec*(1/24)*up_RadSpec!Y28)),".")</f>
        <v>3.8353641851106624E-5</v>
      </c>
      <c r="R28" s="15">
        <f>IFERROR((s_TR/(up_RadSpec!K28*s_EF_rec*(1/365)*s_ED_rec*up_RadSpec!P28*s_ET_rec*(1/24)*up_RadSpec!U28)),".")</f>
        <v>1.1216507936507943E-4</v>
      </c>
      <c r="S28" s="40">
        <f>IFERROR((s_C*s_EF_rec*(1/365)*s_ED_rec*up_RadSpec!Q28*s_ET_rec*(1/24)*up_RadSpec!V28),".")</f>
        <v>3.4948630136986299E-2</v>
      </c>
      <c r="T28" s="40">
        <f>IFERROR((s_C*s_EF_rec*(1/365)*s_ED_rec*up_RadSpec!R28*s_ET_rec*(1/24)*up_RadSpec!W28),".")</f>
        <v>1.5673013411447109E-2</v>
      </c>
      <c r="U28" s="40">
        <f>IFERROR((s_C*s_EF_rec*(1/365)*s_ED_rec*up_RadSpec!S28*s_ET_rec*(1/24)*up_RadSpec!X28),".")</f>
        <v>2.2574200913242016E-2</v>
      </c>
      <c r="V28" s="40">
        <f>IFERROR((s_C*s_EF_rec*(1/365)*s_ED_rec*up_RadSpec!T28*s_ET_rec*(1/24)*up_RadSpec!Y28),".")</f>
        <v>2.6073143298415265E-2</v>
      </c>
      <c r="W28" s="40">
        <f>IFERROR((s_C*s_EF_rec*(1/365)*s_ED_rec*up_RadSpec!P28*s_ET_rec*(1/24)*up_RadSpec!U28),".")</f>
        <v>8.915430770972484E-3</v>
      </c>
      <c r="X28" s="18"/>
      <c r="Y28" s="18"/>
      <c r="Z28" s="18"/>
      <c r="AA28" s="18"/>
      <c r="AB28" s="18"/>
      <c r="AC28" s="15">
        <f>IFERROR((s_TR/(up_RadSpec!G28*s_IFA_rec_adj)),".")</f>
        <v>1.0971428571428573E-9</v>
      </c>
      <c r="AD28" s="15">
        <f>IFERROR((s_TR/(up_RadSpec!J28*s_EF_rec*(1/365)*s_ED_rec*s_ET_rec*(1/24)*s_GSF_a)),".")</f>
        <v>1.7520000000000001E-6</v>
      </c>
      <c r="AE28" s="15">
        <f t="shared" ref="AE28:AE29" si="19">IFERROR(IF(AND(AC28&lt;&gt;".",AD28&lt;&gt;"."),1/((1/AC28)+(1/AD28)),IF(AND(AC28&lt;&gt;".",AD28="."),1/((1/AC28)),IF(AND(AC28=".",AD28&lt;&gt;"."),1/((1/AD28)),IF(AND(AC28=".",AD28="."),".")))),".")</f>
        <v>1.0964562309317064E-9</v>
      </c>
      <c r="AF28" s="40">
        <f t="shared" si="3"/>
        <v>911.45833333333326</v>
      </c>
      <c r="AG28" s="40">
        <f t="shared" si="4"/>
        <v>0.57077625570776247</v>
      </c>
      <c r="AH28" s="18"/>
      <c r="AI28" s="18"/>
      <c r="AJ28" s="18"/>
      <c r="AK28" s="15">
        <f>IFERROR((s_TR/(up_RadSpec!H28*s_IFW_rec_adj)),".")</f>
        <v>9.9999999999999991E-11</v>
      </c>
      <c r="AL28" s="15">
        <f>IFERROR((s_TR/(up_RadSpec!L28*(1/8760)*s_DFA_rec_adj)),".")</f>
        <v>4.3800000000000004E-6</v>
      </c>
      <c r="AM28" s="2">
        <f t="shared" si="5"/>
        <v>9.9997716947101668E-11</v>
      </c>
      <c r="AN28" s="40">
        <f t="shared" si="6"/>
        <v>10000</v>
      </c>
      <c r="AO28" s="40">
        <f t="shared" si="7"/>
        <v>0.22831050228310501</v>
      </c>
      <c r="AP28" s="18"/>
      <c r="AQ28" s="18"/>
      <c r="AR28" s="18"/>
      <c r="AS28" s="2">
        <f>IFERROR(s_TR/(up_RadSpec!E28*s_EF_rec*s_ED_rec*s_IRGL_rec*s_CF_game),".")</f>
        <v>9.9999999999999986E-10</v>
      </c>
      <c r="AT28" s="2">
        <f>IFERROR((AS28/(up_RadSpec!AH28*((s_Q_p_game*s_f_p_game*s_f_s_game*(up_RadSpec!BB28+s_R_es_past))+(s_Q_s_game*s_f_p_game)))),".")</f>
        <v>4.166666666666666E-12</v>
      </c>
      <c r="AU28" s="2">
        <f>IFERROR(AS28/(up_RadSpec!AH28*s_Q_w_game*(1/1000)),".")</f>
        <v>9.9999999999999982E-8</v>
      </c>
      <c r="AV28" s="2">
        <f>IFERROR(s_TR/(up_RadSpec!E28*s_EF_rec*s_ED_rec*s_IRGF_rec*s_CF_fowl),".")</f>
        <v>9.9999999999999986E-10</v>
      </c>
      <c r="AW28" s="2">
        <f>IFERROR((AS28/(up_RadSpec!AJ28*((s_Q_p_fowl*s_f_p_fowl*s_f_s_fowl*(up_RadSpec!BB28+s_R_es_past))+(s_Q_s_fowl*s_f_p_fowl)))),".")</f>
        <v>4.166666666666666E-12</v>
      </c>
      <c r="AX28" s="2">
        <f>IFERROR(AS28/(up_RadSpec!AJ28*s_Q_w_fowl*(1/1000)),".")</f>
        <v>9.9999999999999982E-8</v>
      </c>
      <c r="AY28" s="19">
        <f t="shared" si="8"/>
        <v>1000</v>
      </c>
      <c r="AZ28" s="19">
        <f>IFERROR((s_C*s_IRGL_rec*s_EF_rec*s_ED_rec*s_CF_game*up_RadSpec!AH28)*((s_Q_p_game*s_f_p_game*s_f_s_game*(up_RadSpec!BB28+s_R_es_past))+(s_Q_s_game*s_f_p_game)),".")</f>
        <v>240000</v>
      </c>
      <c r="BA28" s="19">
        <f>IFERROR(s_C*up_RadSpec!AH28*s_Q_w_game*(1/1000)*s_EF_rec*s_ED_rec*s_IRGL_rec*s_CF_game,".")</f>
        <v>10</v>
      </c>
      <c r="BB28" s="19">
        <f t="shared" si="9"/>
        <v>1000</v>
      </c>
      <c r="BC28" s="19">
        <f>IFERROR((s_C*s_IRGF_rec*s_EF_rec*s_ED_rec*s_CF_fowl*up_RadSpec!AJ28)*((s_Q_p_fowl*s_f_p_fowl*s_f_s_fowl*(up_RadSpec!BB28+s_R_es_past))+(s_Q_s_fowl*s_f_p_fowl)),".")</f>
        <v>240000</v>
      </c>
      <c r="BD28" s="19">
        <f>IFERROR(s_C*up_RadSpec!AJ28*s_Q_w_fowl*(1/1000)*s_EF_rec*s_ED_rec*s_IRGL_rec*s_CF_fowl,".")</f>
        <v>10</v>
      </c>
      <c r="BE28" s="5"/>
      <c r="BF28" s="5"/>
      <c r="BG28" s="5"/>
      <c r="BH28" s="5"/>
      <c r="BI28" s="5"/>
      <c r="BJ28" s="5"/>
    </row>
    <row r="29" spans="1:62" customFormat="1" x14ac:dyDescent="0.25">
      <c r="A29" s="44" t="s">
        <v>39</v>
      </c>
      <c r="B29" s="42" t="s">
        <v>1074</v>
      </c>
      <c r="C29" s="15">
        <f>IFERROR(((s_TR/(up_RadSpec!D29*s_IFS_rec_adj*(1/1000)))*1),".")</f>
        <v>3.6363636363636363E-8</v>
      </c>
      <c r="D29" s="15">
        <f>IFERROR(IF(A29="H-3",(s_TR/((up_RadSpec!G29*s_IFA_rec_adj*(1/17)*1000))*1),(s_TR/((up_RadSpec!G29*s_IFA_rec_adj*(1/s_PEF_wind)*1000))*1)),".")</f>
        <v>3.3989909629864073E-4</v>
      </c>
      <c r="E29" s="2">
        <f>IFERROR((TR/(up_RadSpec!F29*s_EF_rec*(1/365)*s_ED_rec*up_RadSpec!Q29*s_ET_rec*(1/24)*up_RadSpec!V29)),".")</f>
        <v>3.1114754098360674E-5</v>
      </c>
      <c r="F29" s="2">
        <f t="shared" si="18"/>
        <v>3.6317307175989454E-8</v>
      </c>
      <c r="G29" s="40">
        <f t="shared" si="1"/>
        <v>27.5</v>
      </c>
      <c r="H29" s="40">
        <f t="shared" si="2"/>
        <v>2.9420495991003873E-3</v>
      </c>
      <c r="I29" s="40">
        <f>IFERROR((s_C*s_EF_rec*(1/365)*s_ED_rec*up_RadSpec!Q29*s_ET_rec*(1/24)*up_RadSpec!V29),".")</f>
        <v>3.2139093782929382E-2</v>
      </c>
      <c r="J29" s="18"/>
      <c r="K29" s="18"/>
      <c r="L29" s="18"/>
      <c r="M29" s="18"/>
      <c r="N29" s="15">
        <f>IFERROR((s_TR/(up_RadSpec!F29*s_EF_rec*(1/365)*s_ED_rec*up_RadSpec!Q29*s_ET_rec*(1/24)*up_RadSpec!V29)),".")</f>
        <v>3.1114754098360674E-5</v>
      </c>
      <c r="O29" s="15">
        <f>IFERROR((s_TR/(up_RadSpec!M29*s_EF_rec*(1/365)*s_ED_rec*up_RadSpec!R29*s_ET_rec*(1/24)*up_RadSpec!W29)),".")</f>
        <v>6.2088421052631555E-5</v>
      </c>
      <c r="P29" s="15">
        <f>IFERROR((s_TR/(up_RadSpec!N29*s_EF_rec*(1/365)*s_ED_rec*up_RadSpec!S29*s_ET_rec*(1/24)*up_RadSpec!X29)),".")</f>
        <v>4.4231527093596055E-5</v>
      </c>
      <c r="Q29" s="15">
        <f>IFERROR((s_TR/(up_RadSpec!O29*s_EF_rec*(1/365)*s_ED_rec*up_RadSpec!T29*s_ET_rec*(1/24)*up_RadSpec!Y29)),".")</f>
        <v>3.7519753846153819E-5</v>
      </c>
      <c r="R29" s="15">
        <f>IFERROR((s_TR/(up_RadSpec!K29*s_EF_rec*(1/365)*s_ED_rec*up_RadSpec!P29*s_ET_rec*(1/24)*up_RadSpec!U29)),".")</f>
        <v>1.114909090909091E-4</v>
      </c>
      <c r="S29" s="40">
        <f>IFERROR((s_C*s_EF_rec*(1/365)*s_ED_rec*up_RadSpec!Q29*s_ET_rec*(1/24)*up_RadSpec!V29),".")</f>
        <v>3.2139093782929382E-2</v>
      </c>
      <c r="T29" s="40">
        <f>IFERROR((s_C*s_EF_rec*(1/365)*s_ED_rec*up_RadSpec!R29*s_ET_rec*(1/24)*up_RadSpec!W29),".")</f>
        <v>1.6106062661060631E-2</v>
      </c>
      <c r="U29" s="40">
        <f>IFERROR((s_C*s_EF_rec*(1/365)*s_ED_rec*up_RadSpec!S29*s_ET_rec*(1/24)*up_RadSpec!X29),".")</f>
        <v>2.260830827486357E-2</v>
      </c>
      <c r="V29" s="40">
        <f>IFERROR((s_C*s_EF_rec*(1/365)*s_ED_rec*up_RadSpec!T29*s_ET_rec*(1/24)*up_RadSpec!Y29),".")</f>
        <v>2.6652626882905595E-2</v>
      </c>
      <c r="W29" s="40">
        <f>IFERROR((s_C*s_EF_rec*(1/365)*s_ED_rec*up_RadSpec!P29*s_ET_rec*(1/24)*up_RadSpec!U29),".")</f>
        <v>8.9693411611219825E-3</v>
      </c>
      <c r="X29" s="18"/>
      <c r="Y29" s="18"/>
      <c r="Z29" s="18"/>
      <c r="AA29" s="18"/>
      <c r="AB29" s="18"/>
      <c r="AC29" s="15">
        <f>IFERROR((s_TR/(up_RadSpec!G29*s_IFA_rec_adj)),".")</f>
        <v>1.0971428571428573E-9</v>
      </c>
      <c r="AD29" s="15">
        <f>IFERROR((s_TR/(up_RadSpec!J29*s_EF_rec*(1/365)*s_ED_rec*s_ET_rec*(1/24)*s_GSF_a)),".")</f>
        <v>1.7520000000000001E-6</v>
      </c>
      <c r="AE29" s="15">
        <f t="shared" si="19"/>
        <v>1.0964562309317064E-9</v>
      </c>
      <c r="AF29" s="40">
        <f t="shared" si="3"/>
        <v>911.45833333333326</v>
      </c>
      <c r="AG29" s="40">
        <f t="shared" si="4"/>
        <v>0.57077625570776247</v>
      </c>
      <c r="AH29" s="18"/>
      <c r="AI29" s="18"/>
      <c r="AJ29" s="18"/>
      <c r="AK29" s="15">
        <f>IFERROR((s_TR/(up_RadSpec!H29*s_IFW_rec_adj)),".")</f>
        <v>9.9999999999999991E-11</v>
      </c>
      <c r="AL29" s="15">
        <f>IFERROR((s_TR/(up_RadSpec!L29*(1/8760)*s_DFA_rec_adj)),".")</f>
        <v>4.3800000000000004E-6</v>
      </c>
      <c r="AM29" s="2">
        <f t="shared" si="5"/>
        <v>9.9997716947101668E-11</v>
      </c>
      <c r="AN29" s="40">
        <f t="shared" si="6"/>
        <v>10000</v>
      </c>
      <c r="AO29" s="40">
        <f t="shared" si="7"/>
        <v>0.22831050228310501</v>
      </c>
      <c r="AP29" s="18"/>
      <c r="AQ29" s="18"/>
      <c r="AR29" s="18"/>
      <c r="AS29" s="2">
        <f>IFERROR(s_TR/(up_RadSpec!E29*s_EF_rec*s_ED_rec*s_IRGL_rec*s_CF_game),".")</f>
        <v>9.9999999999999986E-10</v>
      </c>
      <c r="AT29" s="2">
        <f>IFERROR((AS29/(up_RadSpec!AH29*((s_Q_p_game*s_f_p_game*s_f_s_game*(up_RadSpec!BB29+s_R_es_past))+(s_Q_s_game*s_f_p_game)))),".")</f>
        <v>4.166666666666666E-12</v>
      </c>
      <c r="AU29" s="2">
        <f>IFERROR(AS29/(up_RadSpec!AH29*s_Q_w_game*(1/1000)),".")</f>
        <v>9.9999999999999982E-8</v>
      </c>
      <c r="AV29" s="2">
        <f>IFERROR(s_TR/(up_RadSpec!E29*s_EF_rec*s_ED_rec*s_IRGF_rec*s_CF_fowl),".")</f>
        <v>9.9999999999999986E-10</v>
      </c>
      <c r="AW29" s="2">
        <f>IFERROR((AS29/(up_RadSpec!AJ29*((s_Q_p_fowl*s_f_p_fowl*s_f_s_fowl*(up_RadSpec!BB29+s_R_es_past))+(s_Q_s_fowl*s_f_p_fowl)))),".")</f>
        <v>4.166666666666666E-12</v>
      </c>
      <c r="AX29" s="2">
        <f>IFERROR(AS29/(up_RadSpec!AJ29*s_Q_w_fowl*(1/1000)),".")</f>
        <v>9.9999999999999982E-8</v>
      </c>
      <c r="AY29" s="19">
        <f t="shared" si="8"/>
        <v>1000</v>
      </c>
      <c r="AZ29" s="19">
        <f>IFERROR((s_C*s_IRGL_rec*s_EF_rec*s_ED_rec*s_CF_game*up_RadSpec!AH29)*((s_Q_p_game*s_f_p_game*s_f_s_game*(up_RadSpec!BB29+s_R_es_past))+(s_Q_s_game*s_f_p_game)),".")</f>
        <v>240000</v>
      </c>
      <c r="BA29" s="19">
        <f>IFERROR(s_C*up_RadSpec!AH29*s_Q_w_game*(1/1000)*s_EF_rec*s_ED_rec*s_IRGL_rec*s_CF_game,".")</f>
        <v>10</v>
      </c>
      <c r="BB29" s="19">
        <f t="shared" si="9"/>
        <v>1000</v>
      </c>
      <c r="BC29" s="19">
        <f>IFERROR((s_C*s_IRGF_rec*s_EF_rec*s_ED_rec*s_CF_fowl*up_RadSpec!AJ29)*((s_Q_p_fowl*s_f_p_fowl*s_f_s_fowl*(up_RadSpec!BB29+s_R_es_past))+(s_Q_s_fowl*s_f_p_fowl)),".")</f>
        <v>240000</v>
      </c>
      <c r="BD29" s="19">
        <f>IFERROR(s_C*up_RadSpec!AJ29*s_Q_w_fowl*(1/1000)*s_EF_rec*s_ED_rec*s_IRGL_rec*s_CF_fowl,".")</f>
        <v>10</v>
      </c>
      <c r="BE29" s="5"/>
      <c r="BF29" s="5"/>
      <c r="BG29" s="5"/>
      <c r="BH29" s="5"/>
      <c r="BI29" s="5"/>
      <c r="BJ29" s="5"/>
    </row>
    <row r="30" spans="1:62" customFormat="1" x14ac:dyDescent="0.25">
      <c r="A30" s="44" t="s">
        <v>40</v>
      </c>
      <c r="B30" s="42" t="s">
        <v>1074</v>
      </c>
      <c r="C30" s="15">
        <f>IFERROR(((s_TR/(up_RadSpec!D30*s_IFS_rec_adj*(1/1000)))*1),".")</f>
        <v>3.6363636363636363E-8</v>
      </c>
      <c r="D30" s="15">
        <f>IFERROR(IF(A30="H-3",(s_TR/((up_RadSpec!G30*s_IFA_rec_adj*(1/17)*1000))*1),(s_TR/((up_RadSpec!G30*s_IFA_rec_adj*(1/s_PEF_wind)*1000))*1)),".")</f>
        <v>3.3989909629864073E-4</v>
      </c>
      <c r="E30" s="2">
        <f>IFERROR((TR/(up_RadSpec!F30*s_EF_rec*(1/365)*s_ED_rec*up_RadSpec!Q30*s_ET_rec*(1/24)*up_RadSpec!V30)),".")</f>
        <v>2.9200000000000005E-4</v>
      </c>
      <c r="F30" s="2">
        <f>IF(AND(C30&lt;&gt;".",D30&lt;&gt;".",E30&lt;&gt;"."),1/((1/C30)+(1/D30)+(1/E30)),IF(AND(C30&lt;&gt;".",D30&lt;&gt;".",E30="."), 1/((1/C30)+(1/D30)),IF(AND(C30&lt;&gt;".",D30=".",E30&lt;&gt;"."),1/((1/C30)+(1/E30)),IF(AND(C30=".",D30&lt;&gt;".",E30&lt;&gt;"."),1/((1/D30)+(1/E30)),IF(AND(C30&lt;&gt;".",D30=".",E30="."),1/((1/C30)),IF(AND(C30=".",D30&lt;&gt;".",E30="."),1/((1/D30)),IF(AND(C30=".",D30=".",E30&lt;&gt;"."),1/((1/E30)),IF(AND(C30=".",D30=".",E30="."),"."))))))))</f>
        <v>3.6355219525982166E-8</v>
      </c>
      <c r="G30" s="40">
        <f t="shared" si="1"/>
        <v>27.5</v>
      </c>
      <c r="H30" s="40">
        <f t="shared" si="2"/>
        <v>2.9420495991003873E-3</v>
      </c>
      <c r="I30" s="40">
        <f>IFERROR((s_C*s_EF_rec*(1/365)*s_ED_rec*up_RadSpec!Q30*s_ET_rec*(1/24)*up_RadSpec!V30),".")</f>
        <v>3.4246575342465747E-3</v>
      </c>
      <c r="J30" s="18"/>
      <c r="K30" s="18"/>
      <c r="L30" s="18"/>
      <c r="M30" s="18"/>
      <c r="N30" s="15">
        <f>IFERROR((s_TR/(up_RadSpec!F30*s_EF_rec*(1/365)*s_ED_rec*up_RadSpec!Q30*s_ET_rec*(1/24)*up_RadSpec!V30)),".")</f>
        <v>2.9200000000000005E-4</v>
      </c>
      <c r="O30" s="15">
        <f>IFERROR((s_TR/(up_RadSpec!M30*s_EF_rec*(1/365)*s_ED_rec*up_RadSpec!R30*s_ET_rec*(1/24)*up_RadSpec!W30)),".")</f>
        <v>1.4304989690721644E-3</v>
      </c>
      <c r="P30" s="15">
        <f>IFERROR((s_TR/(up_RadSpec!N30*s_EF_rec*(1/365)*s_ED_rec*up_RadSpec!S30*s_ET_rec*(1/24)*up_RadSpec!X30)),".")</f>
        <v>5.1550324675324647E-4</v>
      </c>
      <c r="Q30" s="15">
        <f>IFERROR((s_TR/(up_RadSpec!O30*s_EF_rec*(1/365)*s_ED_rec*up_RadSpec!T30*s_ET_rec*(1/24)*up_RadSpec!Y30)),".")</f>
        <v>3.8371477079796279E-4</v>
      </c>
      <c r="R30" s="15">
        <f>IFERROR((s_TR/(up_RadSpec!K30*s_EF_rec*(1/365)*s_ED_rec*up_RadSpec!P30*s_ET_rec*(1/24)*up_RadSpec!U30)),".")</f>
        <v>3.5040000000000002E-2</v>
      </c>
      <c r="S30" s="40">
        <f>IFERROR((s_C*s_EF_rec*(1/365)*s_ED_rec*up_RadSpec!Q30*s_ET_rec*(1/24)*up_RadSpec!V30),".")</f>
        <v>3.4246575342465747E-3</v>
      </c>
      <c r="T30" s="40">
        <f>IFERROR((s_C*s_EF_rec*(1/365)*s_ED_rec*up_RadSpec!R30*s_ET_rec*(1/24)*up_RadSpec!W30),".")</f>
        <v>6.990567778239013E-4</v>
      </c>
      <c r="U30" s="40">
        <f>IFERROR((s_C*s_EF_rec*(1/365)*s_ED_rec*up_RadSpec!S30*s_ET_rec*(1/24)*up_RadSpec!X30),".")</f>
        <v>1.9398519918123139E-3</v>
      </c>
      <c r="V30" s="40">
        <f>IFERROR((s_C*s_EF_rec*(1/365)*s_ED_rec*up_RadSpec!T30*s_ET_rec*(1/24)*up_RadSpec!Y30),".")</f>
        <v>2.6061024388517209E-3</v>
      </c>
      <c r="W30" s="40">
        <f>IFERROR((s_C*s_EF_rec*(1/365)*s_ED_rec*up_RadSpec!P30*s_ET_rec*(1/24)*up_RadSpec!U30),".")</f>
        <v>2.8538812785388124E-5</v>
      </c>
      <c r="X30" s="18"/>
      <c r="Y30" s="18"/>
      <c r="Z30" s="18"/>
      <c r="AA30" s="18"/>
      <c r="AB30" s="18"/>
      <c r="AC30" s="15">
        <f>IFERROR((s_TR/(up_RadSpec!G30*s_IFA_rec_adj)),".")</f>
        <v>1.0971428571428573E-9</v>
      </c>
      <c r="AD30" s="15">
        <f>IFERROR((s_TR/(up_RadSpec!J30*s_EF_rec*(1/365)*s_ED_rec*s_ET_rec*(1/24)*s_GSF_a)),".")</f>
        <v>1.7520000000000001E-6</v>
      </c>
      <c r="AE30" s="15">
        <f>IFERROR(IF(AND(AC30&lt;&gt;".",AD30&lt;&gt;"."),1/((1/AC30)+(1/AD30)),IF(AND(AC30&lt;&gt;".",AD30="."),1/((1/AC30)),IF(AND(AC30=".",AD30&lt;&gt;"."),1/((1/AD30)),IF(AND(AC30=".",AD30="."),".")))),".")</f>
        <v>1.0964562309317064E-9</v>
      </c>
      <c r="AF30" s="40">
        <f t="shared" si="3"/>
        <v>911.45833333333326</v>
      </c>
      <c r="AG30" s="40">
        <f t="shared" si="4"/>
        <v>0.57077625570776247</v>
      </c>
      <c r="AH30" s="18"/>
      <c r="AI30" s="18"/>
      <c r="AJ30" s="18"/>
      <c r="AK30" s="15">
        <f>IFERROR((s_TR/(up_RadSpec!H30*s_IFW_rec_adj)),".")</f>
        <v>9.9999999999999991E-11</v>
      </c>
      <c r="AL30" s="15">
        <f>IFERROR((s_TR/(up_RadSpec!L30*(1/8760)*s_DFA_rec_adj)),".")</f>
        <v>4.3800000000000004E-6</v>
      </c>
      <c r="AM30" s="2">
        <f t="shared" si="5"/>
        <v>9.9997716947101668E-11</v>
      </c>
      <c r="AN30" s="40">
        <f t="shared" si="6"/>
        <v>10000</v>
      </c>
      <c r="AO30" s="40">
        <f t="shared" si="7"/>
        <v>0.22831050228310501</v>
      </c>
      <c r="AP30" s="18"/>
      <c r="AQ30" s="18"/>
      <c r="AR30" s="18"/>
      <c r="AS30" s="2">
        <f>IFERROR(s_TR/(up_RadSpec!E30*s_EF_rec*s_ED_rec*s_IRGL_rec*s_CF_game),".")</f>
        <v>9.9999999999999986E-10</v>
      </c>
      <c r="AT30" s="2">
        <f>IFERROR((AS30/(up_RadSpec!AH30*((s_Q_p_game*s_f_p_game*s_f_s_game*(up_RadSpec!BB30+s_R_es_past))+(s_Q_s_game*s_f_p_game)))),".")</f>
        <v>4.166666666666666E-12</v>
      </c>
      <c r="AU30" s="2">
        <f>IFERROR(AS30/(up_RadSpec!AH30*s_Q_w_game*(1/1000)),".")</f>
        <v>9.9999999999999982E-8</v>
      </c>
      <c r="AV30" s="2">
        <f>IFERROR(s_TR/(up_RadSpec!E30*s_EF_rec*s_ED_rec*s_IRGF_rec*s_CF_fowl),".")</f>
        <v>9.9999999999999986E-10</v>
      </c>
      <c r="AW30" s="2">
        <f>IFERROR((AS30/(up_RadSpec!AJ30*((s_Q_p_fowl*s_f_p_fowl*s_f_s_fowl*(up_RadSpec!BB30+s_R_es_past))+(s_Q_s_fowl*s_f_p_fowl)))),".")</f>
        <v>4.166666666666666E-12</v>
      </c>
      <c r="AX30" s="2">
        <f>IFERROR(AS30/(up_RadSpec!AJ30*s_Q_w_fowl*(1/1000)),".")</f>
        <v>9.9999999999999982E-8</v>
      </c>
      <c r="AY30" s="19">
        <f t="shared" si="8"/>
        <v>1000</v>
      </c>
      <c r="AZ30" s="19">
        <f>IFERROR((s_C*s_IRGL_rec*s_EF_rec*s_ED_rec*s_CF_game*up_RadSpec!AH30)*((s_Q_p_game*s_f_p_game*s_f_s_game*(up_RadSpec!BB30+s_R_es_past))+(s_Q_s_game*s_f_p_game)),".")</f>
        <v>240000</v>
      </c>
      <c r="BA30" s="19">
        <f>IFERROR(s_C*up_RadSpec!AH30*s_Q_w_game*(1/1000)*s_EF_rec*s_ED_rec*s_IRGL_rec*s_CF_game,".")</f>
        <v>10</v>
      </c>
      <c r="BB30" s="19">
        <f t="shared" si="9"/>
        <v>1000</v>
      </c>
      <c r="BC30" s="19">
        <f>IFERROR((s_C*s_IRGF_rec*s_EF_rec*s_ED_rec*s_CF_fowl*up_RadSpec!AJ30)*((s_Q_p_fowl*s_f_p_fowl*s_f_s_fowl*(up_RadSpec!BB30+s_R_es_past))+(s_Q_s_fowl*s_f_p_fowl)),".")</f>
        <v>240000</v>
      </c>
      <c r="BD30" s="19">
        <f>IFERROR(s_C*up_RadSpec!AJ30*s_Q_w_fowl*(1/1000)*s_EF_rec*s_ED_rec*s_IRGL_rec*s_CF_fowl,".")</f>
        <v>10</v>
      </c>
      <c r="BE30" s="5"/>
      <c r="BF30" s="5"/>
      <c r="BG30" s="5"/>
      <c r="BH30" s="5"/>
      <c r="BI30" s="5"/>
      <c r="BJ30" s="5"/>
    </row>
    <row r="31" spans="1:62" x14ac:dyDescent="0.25">
      <c r="A31" s="57" t="s">
        <v>13</v>
      </c>
      <c r="B31" s="57" t="s">
        <v>1259</v>
      </c>
      <c r="C31" s="58">
        <f>1/SUM(1/C32,1/C33,1/C34,1/C35,1/C36,1/C37,1/C38,1/C41,1/C44)</f>
        <v>4.0405117873850377E-9</v>
      </c>
      <c r="D31" s="58">
        <f>1/SUM(1/D32,1/D33,1/D34,1/D35,1/D36,1/D37,1/D38,1/D41,1/D44)</f>
        <v>3.7767573390694943E-5</v>
      </c>
      <c r="E31" s="58">
        <f>1/SUM(1/E32,1/E33,1/E34,1/E35,1/E36,1/E37,1/E38,1/E39,1/E40,1/E41,1/E42,1/E43)</f>
        <v>1.1872603601468674E-5</v>
      </c>
      <c r="F31" s="62">
        <f>1/SUM(1/F32,1/F33,1/F34,1/F35,1/F36,1/F37,1/F38,1/F39,1/F40,1/F41,1/F42,1/F43,1/F44)</f>
        <v>3.0292966515094123E-9</v>
      </c>
      <c r="G31" s="70"/>
      <c r="H31" s="70"/>
      <c r="I31" s="70"/>
      <c r="J31" s="47">
        <f>IFERROR(IF(SUM(G32:G44)&gt;0.01,1-EXP(-SUM(G32:G44)),SUM(G32:G44)),".")</f>
        <v>1</v>
      </c>
      <c r="K31" s="47">
        <f>IFERROR(IF(SUM(H32:H44)&gt;0.01,1-EXP(-SUM(H32:H44)),SUM(H32:H44)),".")</f>
        <v>0.16181604028342822</v>
      </c>
      <c r="L31" s="47">
        <f>IFERROR(IF(SUM(I32:I44)&gt;0.01,1-EXP(-SUM(I32:I44)),SUM(I32:I44)),".")</f>
        <v>0.34370022345850648</v>
      </c>
      <c r="M31" s="47">
        <f>IFERROR(IF(SUM(G32:I44)&gt;0.01,1-EXP(-SUM(G32:I44)),SUM(G32:I44)),".")</f>
        <v>1</v>
      </c>
      <c r="N31" s="59">
        <f>1/SUM(1/N32,1/N33,1/N34,1/N35,1/N36,1/N37,1/N38,1/N39,1/N40,1/N41,1/N42,1/N43)</f>
        <v>1.1872603601468674E-5</v>
      </c>
      <c r="O31" s="59">
        <f>1/SUM(1/O32,1/O33,1/O34,1/O35,1/O36,1/O37,1/O38,1/O39,1/O40,1/O41,1/O42,1/O43)</f>
        <v>2.1941054747692794E-5</v>
      </c>
      <c r="P31" s="59">
        <f>1/SUM(1/P32,1/P33,1/P34,1/P35,1/P36,1/P37,1/P38,1/P39,1/P40,1/P41,1/P42,1/P43)</f>
        <v>1.5502499418916438E-5</v>
      </c>
      <c r="Q31" s="59">
        <f>1/SUM(1/Q32,1/Q33,1/Q34,1/Q35,1/Q36,1/Q37,1/Q38,1/Q39,1/Q40,1/Q41,1/Q42,1/Q43)</f>
        <v>1.3467301257860851E-5</v>
      </c>
      <c r="R31" s="59">
        <f>1/SUM(1/R32,1/R33,1/R34,1/R35,1/R36,1/R37,1/R38,1/R39,1/R40,1/R41,1/R42,1/R43)</f>
        <v>4.6352380470616471E-5</v>
      </c>
      <c r="S31" s="70"/>
      <c r="T31" s="73"/>
      <c r="U31" s="73"/>
      <c r="V31" s="73"/>
      <c r="W31" s="73"/>
      <c r="X31" s="47">
        <f>IFERROR(IF(SUM(S32:S44)&gt;0.01,1-EXP(-SUM(S32:S44)),SUM(S32:S44)),".")</f>
        <v>0.34370022345850648</v>
      </c>
      <c r="Y31" s="47">
        <f t="shared" ref="Y31:AB31" si="20">IFERROR(IF(SUM(T32:T44)&gt;0.01,1-EXP(-SUM(T32:T44)),SUM(T32:T44)),".")</f>
        <v>0.20378282844334838</v>
      </c>
      <c r="Z31" s="47">
        <f t="shared" si="20"/>
        <v>0.27568481034549941</v>
      </c>
      <c r="AA31" s="47">
        <f t="shared" si="20"/>
        <v>0.31014209220796918</v>
      </c>
      <c r="AB31" s="47">
        <f t="shared" si="20"/>
        <v>0.10225509854486792</v>
      </c>
      <c r="AC31" s="58">
        <f>1/SUM(1/AC32,1/AC33,1/AC34,1/AC35,1/AC36,1/AC37,1/AC38,1/AC41,1/AC44)</f>
        <v>1.2190801278510288E-10</v>
      </c>
      <c r="AD31" s="58">
        <f t="shared" ref="AD31" si="21">1/SUM(1/AD32,1/AD33,1/AD34,1/AD35,1/AD36,1/AD37,1/AD38,1/AD39,1/AD40,1/AD41,1/AD42,1/AD43,1/AD44)</f>
        <v>1.4600438013140397E-7</v>
      </c>
      <c r="AE31" s="59">
        <f>1/SUM(1/AE32,1/AE33,1/AE34,1/AE35,1/AE36,1/AE37,1/AE38,1/AE39,1/AE40,1/AE41,1/AE42,1/AE43,1/AE44)</f>
        <v>9.1374093800456211E-11</v>
      </c>
      <c r="AF31" s="70"/>
      <c r="AG31" s="70"/>
      <c r="AH31" s="47">
        <f>IFERROR(IF(SUM(AF32:AF44)&gt;0.01,1-EXP(-SUM(AF32:AF44)),SUM(AF32:AF44)),".")</f>
        <v>1</v>
      </c>
      <c r="AI31" s="47">
        <f>IFERROR(IF(SUM(AG32:AG44)&gt;0.01,1-EXP(-SUM(AG32:AG44)),SUM(AG32:AG44)),".")</f>
        <v>0.99999999999999867</v>
      </c>
      <c r="AJ31" s="47">
        <f>IFERROR(IF(SUM(AF32:AG44)&gt;0.01,1-EXP(-SUM(AF32:AG44)),SUM(AF32:AG44)),".")</f>
        <v>1</v>
      </c>
      <c r="AK31" s="58">
        <f>1/SUM(1/AK32,1/AK33,1/AK34,1/AK35,1/AK36,1/AK37,1/AK38,1/AK41,1/AK44)</f>
        <v>1.1111407415308852E-11</v>
      </c>
      <c r="AL31" s="58">
        <f t="shared" ref="AL31:AM31" si="22">1/SUM(1/AL32,1/AL33,1/AL34,1/AL35,1/AL36,1/AL37,1/AL38,1/AL39,1/AL40,1/AL41,1/AL42,1/AL43,1/AL44)</f>
        <v>3.6501095032850994E-7</v>
      </c>
      <c r="AM31" s="62">
        <f t="shared" si="22"/>
        <v>8.3333930807175597E-12</v>
      </c>
      <c r="AN31" s="70"/>
      <c r="AO31" s="70"/>
      <c r="AP31" s="47">
        <f>IFERROR(IF(SUM(AN32:AN44)&gt;0.01,1-EXP(-SUM(AN32:AN44)),SUM(AN32:AN44)),".")</f>
        <v>1</v>
      </c>
      <c r="AQ31" s="47">
        <f>IFERROR(IF(SUM(AO32:AO44)&gt;0.01,1-EXP(-SUM(AO32:AO44)),SUM(AO32:AO44)),".")</f>
        <v>0.99999887555297684</v>
      </c>
      <c r="AR31" s="47">
        <f>IFERROR(IF(SUM(AN32:AO44)&gt;0.01,1-EXP(-SUM(AN32:AO44)),SUM(AN32:AO44)),".")</f>
        <v>1</v>
      </c>
      <c r="AS31" s="61">
        <f>1/SUM(1/AS32,1/AS33,1/AS34,1/AS35,1/AS36,1/AS37,1/AS38,1/AS41,1/AS44)</f>
        <v>1.111140741530885E-10</v>
      </c>
      <c r="AT31" s="61">
        <f>1/SUM(1/AT32,1/AT33,1/AT34,1/AT35,1/AT36,1/AT37,1/AT38,1/AT41,1/AT44)</f>
        <v>4.629753089712021E-13</v>
      </c>
      <c r="AU31" s="61">
        <f>1/SUM(1/AU32,1/AU33,1/AU34,1/AU35,1/AU36,1/AU37,1/AU38,1/AU41,1/AU44)</f>
        <v>1.111140741530885E-8</v>
      </c>
      <c r="AV31" s="61">
        <f>1/SUM(1/AV32,1/AV33,1/AV34,1/AV35,1/AV36,1/AV37,1/AV38,1/AV41,1/AV44)</f>
        <v>1.111140741530885E-10</v>
      </c>
      <c r="AW31" s="61">
        <f>1/SUM(1/AW32,1/AW35)</f>
        <v>2.083333333333333E-12</v>
      </c>
      <c r="AX31" s="61">
        <f>1/SUM(1/AX32,1/AX35)</f>
        <v>4.9999999999999991E-8</v>
      </c>
      <c r="AY31" s="70"/>
      <c r="AZ31" s="70"/>
      <c r="BA31" s="70"/>
      <c r="BB31" s="70"/>
      <c r="BC31" s="70"/>
      <c r="BD31" s="70"/>
      <c r="BE31" s="47">
        <f>IFERROR(IF(SUM(AY32:AY44)&gt;0.01,1-EXP(-SUM(AY32:AY44)),SUM(AY32:AY44)),".")</f>
        <v>1</v>
      </c>
      <c r="BF31" s="47">
        <f t="shared" ref="BF31:BJ31" si="23">IFERROR(IF(SUM(AZ32:AZ44)&gt;0.01,1-EXP(-SUM(AZ32:AZ44)),SUM(AZ32:AZ44)),".")</f>
        <v>1</v>
      </c>
      <c r="BG31" s="47">
        <f t="shared" si="23"/>
        <v>1</v>
      </c>
      <c r="BH31" s="47">
        <f t="shared" si="23"/>
        <v>1</v>
      </c>
      <c r="BI31" s="47">
        <f t="shared" si="23"/>
        <v>1</v>
      </c>
      <c r="BJ31" s="47">
        <f t="shared" si="23"/>
        <v>1</v>
      </c>
    </row>
    <row r="32" spans="1:62" x14ac:dyDescent="0.25">
      <c r="A32" s="48" t="s">
        <v>1102</v>
      </c>
      <c r="B32" s="15">
        <v>1</v>
      </c>
      <c r="C32" s="60">
        <f>IFERROR(C3/$B32,0)</f>
        <v>3.6363636363636363E-8</v>
      </c>
      <c r="D32" s="60">
        <f>IFERROR(D3/$B32,0)</f>
        <v>3.3989909629864073E-4</v>
      </c>
      <c r="E32" s="60">
        <f>IFERROR(E3/$B32,0)</f>
        <v>2.440285714285715E-2</v>
      </c>
      <c r="F32" s="63">
        <f t="shared" ref="F32:F44" si="24">IF(AND(C32&lt;&gt;0,D32&lt;&gt;0,E32&lt;&gt;0),1/((1/C32)+(1/D32)+(1/E32)),IF(AND(C32&lt;&gt;0,D32&lt;&gt;0,E32=0), 1/((1/C32)+(1/D32)),IF(AND(C32&lt;&gt;0,D32=0,E32&lt;&gt;0),1/((1/C32)+(1/E32)),IF(AND(C32=0,D32&lt;&gt;0,E32&lt;&gt;0),1/((1/D32)+(1/E32)),IF(AND(C32&lt;&gt;0,D32=0,E32=0),1/((1/C32)),IF(AND(C32=0,D32&lt;&gt;0,E32=0),1/((1/D32)),IF(AND(C32=0,D32=0,E32&lt;&gt;0),1/((1/E32)),IF(AND(C32=0,D32=0,E32=0),0))))))))</f>
        <v>3.6359692291091585E-8</v>
      </c>
      <c r="G32" s="71">
        <f>IFERROR(up_RadSpec!$D$3*G3,".")*$B$32</f>
        <v>137.5</v>
      </c>
      <c r="H32" s="71">
        <f>IFERROR(up_RadSpec!$G$3*H3,".")*B32</f>
        <v>1.4710247995501937E-2</v>
      </c>
      <c r="I32" s="71">
        <f>IFERROR(up_RadSpec!$F$3*I3,".")*B32</f>
        <v>2.0489404051047879E-4</v>
      </c>
      <c r="J32" s="49">
        <f t="shared" ref="J32:J44" si="25">IFERROR(IF(G32&gt;0.01,1-EXP(-G32),G32),".")</f>
        <v>1</v>
      </c>
      <c r="K32" s="49">
        <f t="shared" ref="K32:K44" si="26">IFERROR(IF(H32&gt;0.01,1-EXP(-H32),H32),".")</f>
        <v>1.4602580880648697E-2</v>
      </c>
      <c r="L32" s="49">
        <f t="shared" ref="L32:L44" si="27">IFERROR(IF(I32&gt;0.01,1-EXP(-I32),I32),".")</f>
        <v>2.0489404051047879E-4</v>
      </c>
      <c r="M32" s="49">
        <f>IFERROR(IF(SUM(G32:I32)&gt;0.01,1-EXP(-SUM(G32:I32)),SUM(G32:I32)),".")</f>
        <v>1</v>
      </c>
      <c r="N32" s="60">
        <f>IFERROR(N3/$B32,0)</f>
        <v>2.440285714285715E-2</v>
      </c>
      <c r="O32" s="60">
        <f>IFERROR(O3/$B32,0)</f>
        <v>3.4216792645556701E-2</v>
      </c>
      <c r="P32" s="60">
        <f>IFERROR(P3/$B32,0)</f>
        <v>2.5941215469613265E-2</v>
      </c>
      <c r="Q32" s="60">
        <f>IFERROR(Q3/$B32,0)</f>
        <v>2.674065189048239E-2</v>
      </c>
      <c r="R32" s="60">
        <f>IFERROR(R3/$B32,0)</f>
        <v>5.3051003972941074E-2</v>
      </c>
      <c r="S32" s="71">
        <f>IFERROR(up_RadSpec!$F$3*S3,".")*$B$32</f>
        <v>2.0489404051047879E-4</v>
      </c>
      <c r="T32" s="71">
        <f>IFERROR(up_RadSpec!$M$3*T3,".")*$B$32</f>
        <v>1.4612708010928332E-4</v>
      </c>
      <c r="U32" s="71">
        <f>IFERROR(up_RadSpec!$N$3*U3,".")*$B$32</f>
        <v>1.9274347440877799E-4</v>
      </c>
      <c r="V32" s="71">
        <f>IFERROR(up_RadSpec!$O$3*V3,".")*$B$32</f>
        <v>1.8698123069242056E-4</v>
      </c>
      <c r="W32" s="71">
        <f>IFERROR(up_RadSpec!$K$3*W3,".")*$B$32</f>
        <v>9.4248923216425356E-5</v>
      </c>
      <c r="X32" s="49">
        <f>IFERROR(IF(S32&gt;0.01,1-EXP(-S32),S32),".")</f>
        <v>2.0489404051047879E-4</v>
      </c>
      <c r="Y32" s="49">
        <f t="shared" ref="Y32:AB44" si="28">IFERROR(IF(T32&gt;0.01,1-EXP(-T32),T32),".")</f>
        <v>1.4612708010928332E-4</v>
      </c>
      <c r="Z32" s="49">
        <f t="shared" si="28"/>
        <v>1.9274347440877799E-4</v>
      </c>
      <c r="AA32" s="49">
        <f t="shared" si="28"/>
        <v>1.8698123069242056E-4</v>
      </c>
      <c r="AB32" s="49">
        <f t="shared" si="28"/>
        <v>9.4248923216425356E-5</v>
      </c>
      <c r="AC32" s="60">
        <f>IFERROR(AC3/$B32,0)</f>
        <v>1.0971428571428573E-9</v>
      </c>
      <c r="AD32" s="60">
        <f>IFERROR(AD3/$B32,0)</f>
        <v>1.7520000000000001E-6</v>
      </c>
      <c r="AE32" s="60">
        <f t="shared" ref="AE32:AE38" si="29">IFERROR(IF(AND(AC32&lt;&gt;0,AD32&lt;&gt;0),1/((1/AC32)+(1/AD32)),IF(AND(AC32&lt;&gt;0,AD32=0),1/((1/AC32)),IF(AND(AC32=0,AD32&lt;&gt;0),1/((1/AD32)),IF(AND(AC32=".",AD32="."),".")))),".")</f>
        <v>1.0964562309317064E-9</v>
      </c>
      <c r="AF32" s="71">
        <f>IFERROR(up_RadSpec!$G$3*AF3,".")*$B$32</f>
        <v>4557.2916666666661</v>
      </c>
      <c r="AG32" s="71">
        <f>IFERROR(up_RadSpec!$J$3*AG3,".")*$B$32</f>
        <v>2.8538812785388123</v>
      </c>
      <c r="AH32" s="49">
        <f>IFERROR(IF(AF32&gt;0.01,1-EXP(-AF32),AF32),".")</f>
        <v>1</v>
      </c>
      <c r="AI32" s="49">
        <f>IFERROR(IF(AG32&gt;0.01,1-EXP(-AG32),AG32),".")</f>
        <v>0.9423797539167309</v>
      </c>
      <c r="AJ32" s="49">
        <f>IFERROR(IF(SUM(AF32:AG32)&gt;0.01,1-EXP(-SUM(AF32:AG32)),SUM(AF32:AG32)),".")</f>
        <v>1</v>
      </c>
      <c r="AK32" s="60">
        <f>IFERROR(AK3/$B32,0)</f>
        <v>9.9999999999999991E-11</v>
      </c>
      <c r="AL32" s="60">
        <f>IFERROR(AL3/$B32,0)</f>
        <v>4.3800000000000004E-6</v>
      </c>
      <c r="AM32" s="63">
        <f t="shared" ref="AM32:AM44" si="30">IFERROR(IF(AND(AK32&lt;&gt;0,AL32&lt;&gt;0),1/((1/AK32)+(1/AL32)),IF(AND(AK32&lt;&gt;0,AL32=0),1/((1/AK32)),IF(AND(AK32=0,AL32&lt;&gt;0),1/((1/AL32)),IF(AND(AK32=0,AL32=0),0)))),0)</f>
        <v>9.9997716947101668E-11</v>
      </c>
      <c r="AN32" s="71">
        <f>IFERROR(up_RadSpec!$H$3*AN3,".")*$B$32</f>
        <v>50000</v>
      </c>
      <c r="AO32" s="71">
        <f>IFERROR(up_RadSpec!$L$3*AO3,".")*$B$32</f>
        <v>1.1415525114155249</v>
      </c>
      <c r="AP32" s="49">
        <f t="shared" ref="AP32:AP44" si="31">IFERROR(IF(AN32&gt;0.01,1-EXP(-AN32),AN32),".")</f>
        <v>1</v>
      </c>
      <c r="AQ32" s="49">
        <f t="shared" ref="AQ32:AQ44" si="32">IFERROR(IF(AO32&gt;0.01,1-EXP(-AO32),AO32),".")</f>
        <v>0.68067711563678512</v>
      </c>
      <c r="AR32" s="49">
        <f t="shared" ref="AR32:AR44" si="33">IFERROR(IF(SUM(AN32:AO32)&gt;0.01,1-EXP(-SUM(AN32:AO32)),SUM(AN32:AO32)),".")</f>
        <v>1</v>
      </c>
      <c r="AS32" s="63">
        <f t="shared" ref="AS32:AX32" si="34">IFERROR(AS3/$B32,0)</f>
        <v>9.9999999999999986E-10</v>
      </c>
      <c r="AT32" s="63">
        <f t="shared" si="34"/>
        <v>4.166666666666666E-12</v>
      </c>
      <c r="AU32" s="63">
        <f t="shared" si="34"/>
        <v>9.9999999999999982E-8</v>
      </c>
      <c r="AV32" s="63">
        <f t="shared" si="34"/>
        <v>9.9999999999999986E-10</v>
      </c>
      <c r="AW32" s="63">
        <f t="shared" si="34"/>
        <v>4.166666666666666E-12</v>
      </c>
      <c r="AX32" s="63">
        <f t="shared" si="34"/>
        <v>9.9999999999999982E-8</v>
      </c>
      <c r="AY32" s="71">
        <f>IFERROR(up_RadSpec!$E$3*AY3,".")*$B$32</f>
        <v>5000</v>
      </c>
      <c r="AZ32" s="71">
        <f>IFERROR(up_RadSpec!$E$3*AZ3,".")*$B$32</f>
        <v>1200000</v>
      </c>
      <c r="BA32" s="71">
        <f>IFERROR(up_RadSpec!$E$3*BA3,".")*$B$32</f>
        <v>50</v>
      </c>
      <c r="BB32" s="71">
        <f>IFERROR(up_RadSpec!$E$3*BB3,".")*$B$32</f>
        <v>5000</v>
      </c>
      <c r="BC32" s="71">
        <f>IFERROR(up_RadSpec!$E$3*BC3,".")*$B$32</f>
        <v>1200000</v>
      </c>
      <c r="BD32" s="71">
        <f>IFERROR(up_RadSpec!$E$3*BD3,".")*$B$32</f>
        <v>50</v>
      </c>
      <c r="BE32" s="49">
        <f t="shared" ref="BE32:BE44" si="35">IFERROR(IF(AY32&gt;0.01,1-EXP(-AY32),AY32),".")</f>
        <v>1</v>
      </c>
      <c r="BF32" s="49">
        <f t="shared" ref="BF32:BJ44" si="36">IFERROR(IF(AZ32&gt;0.01,1-EXP(-AZ32),AZ32),".")</f>
        <v>1</v>
      </c>
      <c r="BG32" s="49">
        <f t="shared" si="36"/>
        <v>1</v>
      </c>
      <c r="BH32" s="49">
        <f t="shared" si="36"/>
        <v>1</v>
      </c>
      <c r="BI32" s="49">
        <f t="shared" si="36"/>
        <v>1</v>
      </c>
      <c r="BJ32" s="49">
        <f t="shared" si="36"/>
        <v>1</v>
      </c>
    </row>
    <row r="33" spans="1:62" x14ac:dyDescent="0.25">
      <c r="A33" s="48" t="s">
        <v>1078</v>
      </c>
      <c r="B33" s="15">
        <v>1</v>
      </c>
      <c r="C33" s="60">
        <f t="shared" ref="C33:E34" si="37">IFERROR(C13/$B33,0)</f>
        <v>3.6363636363636363E-8</v>
      </c>
      <c r="D33" s="60">
        <f t="shared" si="37"/>
        <v>3.3989909629864073E-4</v>
      </c>
      <c r="E33" s="60">
        <f t="shared" si="37"/>
        <v>6.026967984934092E-4</v>
      </c>
      <c r="F33" s="63">
        <f t="shared" si="24"/>
        <v>3.6357553072487545E-8</v>
      </c>
      <c r="G33" s="71">
        <f>IFERROR(up_RadSpec!$D$13*G13,".")*$B$33</f>
        <v>137.5</v>
      </c>
      <c r="H33" s="71">
        <f>IFERROR(up_RadSpec!$G$13*H13,".")*B33</f>
        <v>1.4710247995501937E-2</v>
      </c>
      <c r="I33" s="71">
        <f>IFERROR(up_RadSpec!$F$13*I13,".")*B33</f>
        <v>8.2960453954604458E-3</v>
      </c>
      <c r="J33" s="49">
        <f t="shared" si="25"/>
        <v>1</v>
      </c>
      <c r="K33" s="49">
        <f t="shared" si="26"/>
        <v>1.4602580880648697E-2</v>
      </c>
      <c r="L33" s="49">
        <f t="shared" si="27"/>
        <v>8.2960453954604458E-3</v>
      </c>
      <c r="M33" s="49">
        <f t="shared" ref="M33:M44" si="38">IFERROR(IF(SUM(G33:I33)&gt;0.01,1-EXP(-SUM(G33:I33)),SUM(G33:I33)),".")</f>
        <v>1</v>
      </c>
      <c r="N33" s="60">
        <f t="shared" ref="N33:R34" si="39">IFERROR(N13/$B33,0)</f>
        <v>6.026967984934092E-4</v>
      </c>
      <c r="O33" s="60">
        <f t="shared" si="39"/>
        <v>1.3143495610534719E-3</v>
      </c>
      <c r="P33" s="60">
        <f t="shared" si="39"/>
        <v>7.8084577114427838E-4</v>
      </c>
      <c r="Q33" s="60">
        <f t="shared" si="39"/>
        <v>6.4460310385347898E-4</v>
      </c>
      <c r="R33" s="60">
        <f t="shared" si="39"/>
        <v>1.2644642857142854E-2</v>
      </c>
      <c r="S33" s="71">
        <f>IFERROR(up_RadSpec!$F$13*S13,".")*$B$33</f>
        <v>8.2960453954604458E-3</v>
      </c>
      <c r="T33" s="71">
        <f>IFERROR(up_RadSpec!$M$13*T13,".")*$B$33</f>
        <v>3.8041630234139697E-3</v>
      </c>
      <c r="U33" s="71">
        <f>IFERROR(up_RadSpec!$N$13*U13,".")*$B$33</f>
        <v>6.4033131570563886E-3</v>
      </c>
      <c r="V33" s="71">
        <f>IFERROR(up_RadSpec!$O$13*V13,".")*$B$33</f>
        <v>7.7567110212620402E-3</v>
      </c>
      <c r="W33" s="71">
        <f>IFERROR(up_RadSpec!$K$13*W13,".")*$B$33</f>
        <v>3.9542437508826444E-4</v>
      </c>
      <c r="X33" s="49">
        <f t="shared" ref="X33:X44" si="40">IFERROR(IF(S33&gt;0.01,1-EXP(-S33),S33),".")</f>
        <v>8.2960453954604458E-3</v>
      </c>
      <c r="Y33" s="49">
        <f t="shared" si="28"/>
        <v>3.8041630234139697E-3</v>
      </c>
      <c r="Z33" s="49">
        <f t="shared" si="28"/>
        <v>6.4033131570563886E-3</v>
      </c>
      <c r="AA33" s="49">
        <f t="shared" si="28"/>
        <v>7.7567110212620402E-3</v>
      </c>
      <c r="AB33" s="49">
        <f t="shared" si="28"/>
        <v>3.9542437508826444E-4</v>
      </c>
      <c r="AC33" s="60">
        <f>IFERROR(AC13/$B33,0)</f>
        <v>1.0971428571428573E-9</v>
      </c>
      <c r="AD33" s="60">
        <f>IFERROR(AD13/$B33,0)</f>
        <v>1.7520000000000001E-6</v>
      </c>
      <c r="AE33" s="60">
        <f t="shared" si="29"/>
        <v>1.0964562309317064E-9</v>
      </c>
      <c r="AF33" s="71">
        <f>IFERROR(up_RadSpec!$G$13*AF13,".")*$B$33</f>
        <v>4557.2916666666661</v>
      </c>
      <c r="AG33" s="71">
        <f>IFERROR(up_RadSpec!$J$13*AG13,".")*$B$33</f>
        <v>2.8538812785388123</v>
      </c>
      <c r="AH33" s="49">
        <f t="shared" ref="AH33:AI44" si="41">IFERROR(IF(AF33&gt;0.01,1-EXP(-AF33),AF33),".")</f>
        <v>1</v>
      </c>
      <c r="AI33" s="49">
        <f t="shared" si="41"/>
        <v>0.9423797539167309</v>
      </c>
      <c r="AJ33" s="49">
        <f t="shared" ref="AJ33:AJ44" si="42">IFERROR(IF(SUM(AF33:AG33)&gt;0.01,1-EXP(-SUM(AF33:AG33)),SUM(AF33:AG33)),".")</f>
        <v>1</v>
      </c>
      <c r="AK33" s="60">
        <f t="shared" ref="AK33:AL34" si="43">IFERROR(AK13/$B33,0)</f>
        <v>9.9999999999999991E-11</v>
      </c>
      <c r="AL33" s="60">
        <f t="shared" si="43"/>
        <v>4.3800000000000004E-6</v>
      </c>
      <c r="AM33" s="63">
        <f t="shared" si="30"/>
        <v>9.9997716947101668E-11</v>
      </c>
      <c r="AN33" s="71">
        <f>IFERROR(up_RadSpec!$H$13*AN13,".")*$B$33</f>
        <v>50000</v>
      </c>
      <c r="AO33" s="71">
        <f>IFERROR(up_RadSpec!$L$13*AO13,".")*$B$33</f>
        <v>1.1415525114155249</v>
      </c>
      <c r="AP33" s="49">
        <f t="shared" si="31"/>
        <v>1</v>
      </c>
      <c r="AQ33" s="49">
        <f t="shared" si="32"/>
        <v>0.68067711563678512</v>
      </c>
      <c r="AR33" s="49">
        <f t="shared" si="33"/>
        <v>1</v>
      </c>
      <c r="AS33" s="63">
        <f t="shared" ref="AS33:AX34" si="44">IFERROR(AS13/$B33,0)</f>
        <v>9.9999999999999986E-10</v>
      </c>
      <c r="AT33" s="63">
        <f t="shared" si="44"/>
        <v>4.166666666666666E-12</v>
      </c>
      <c r="AU33" s="63">
        <f t="shared" si="44"/>
        <v>9.9999999999999982E-8</v>
      </c>
      <c r="AV33" s="63">
        <f t="shared" si="44"/>
        <v>9.9999999999999986E-10</v>
      </c>
      <c r="AW33" s="63">
        <f t="shared" si="44"/>
        <v>4.166666666666666E-12</v>
      </c>
      <c r="AX33" s="63">
        <f t="shared" si="44"/>
        <v>9.9999999999999982E-8</v>
      </c>
      <c r="AY33" s="71">
        <f>IFERROR(up_RadSpec!$E$13*AY13,".")*$B$33</f>
        <v>5000</v>
      </c>
      <c r="AZ33" s="71">
        <f>IFERROR(up_RadSpec!$E$13*AZ13,".")*$B$33</f>
        <v>1200000</v>
      </c>
      <c r="BA33" s="71">
        <f>IFERROR(up_RadSpec!$E$13*BA13,".")*$B$33</f>
        <v>50</v>
      </c>
      <c r="BB33" s="71">
        <f>IFERROR(up_RadSpec!$E$13*BB13,".")*$B$33</f>
        <v>5000</v>
      </c>
      <c r="BC33" s="71">
        <f>IFERROR(up_RadSpec!$E$13*BC13,".")*$B$33</f>
        <v>1200000</v>
      </c>
      <c r="BD33" s="71">
        <f>IFERROR(up_RadSpec!$E$13*BD13,".")*$B$33</f>
        <v>50</v>
      </c>
      <c r="BE33" s="49">
        <f t="shared" si="35"/>
        <v>1</v>
      </c>
      <c r="BF33" s="49">
        <f t="shared" si="36"/>
        <v>1</v>
      </c>
      <c r="BG33" s="49">
        <f t="shared" si="36"/>
        <v>1</v>
      </c>
      <c r="BH33" s="49">
        <f t="shared" si="36"/>
        <v>1</v>
      </c>
      <c r="BI33" s="49">
        <f t="shared" si="36"/>
        <v>1</v>
      </c>
      <c r="BJ33" s="49">
        <f t="shared" si="36"/>
        <v>1</v>
      </c>
    </row>
    <row r="34" spans="1:62" x14ac:dyDescent="0.25">
      <c r="A34" s="48" t="s">
        <v>1079</v>
      </c>
      <c r="B34" s="15">
        <v>1</v>
      </c>
      <c r="C34" s="60">
        <f t="shared" si="37"/>
        <v>3.6363636363636363E-8</v>
      </c>
      <c r="D34" s="60">
        <f t="shared" si="37"/>
        <v>3.3989909629864073E-4</v>
      </c>
      <c r="E34" s="60">
        <f t="shared" si="37"/>
        <v>9.0475197378221328E-5</v>
      </c>
      <c r="F34" s="63">
        <f t="shared" si="24"/>
        <v>3.6345140252379863E-8</v>
      </c>
      <c r="G34" s="71">
        <f>IFERROR(up_RadSpec!$D$14*G14,".")*$B$34</f>
        <v>137.5</v>
      </c>
      <c r="H34" s="71">
        <f>IFERROR(up_RadSpec!$G$14*H14,".")*B33</f>
        <v>1.4710247995501937E-2</v>
      </c>
      <c r="I34" s="71">
        <f>IFERROR(up_RadSpec!$F$14*I14,".")*B33</f>
        <v>5.5263764488935739E-2</v>
      </c>
      <c r="J34" s="49">
        <f t="shared" si="25"/>
        <v>1</v>
      </c>
      <c r="K34" s="49">
        <f t="shared" si="26"/>
        <v>1.4602580880648697E-2</v>
      </c>
      <c r="L34" s="49">
        <f t="shared" si="27"/>
        <v>5.3764468296452872E-2</v>
      </c>
      <c r="M34" s="49">
        <f t="shared" si="38"/>
        <v>1</v>
      </c>
      <c r="N34" s="60">
        <f t="shared" si="39"/>
        <v>9.0475197378221328E-5</v>
      </c>
      <c r="O34" s="60">
        <f t="shared" si="39"/>
        <v>1.6431231504666528E-4</v>
      </c>
      <c r="P34" s="60">
        <f t="shared" si="39"/>
        <v>1.2148326801326508E-4</v>
      </c>
      <c r="Q34" s="60">
        <f t="shared" si="39"/>
        <v>1.0645537623954891E-4</v>
      </c>
      <c r="R34" s="60">
        <f t="shared" si="39"/>
        <v>4.5847560975609774E-4</v>
      </c>
      <c r="S34" s="71">
        <f>IFERROR(up_RadSpec!$F$14*S14,".")*$B$33</f>
        <v>5.5263764488935739E-2</v>
      </c>
      <c r="T34" s="71">
        <f>IFERROR(up_RadSpec!$M$14*T14,".")*$B$33</f>
        <v>3.0429855477235423E-2</v>
      </c>
      <c r="U34" s="71">
        <f>IFERROR(up_RadSpec!$N$14*U14,".")*$B$33</f>
        <v>4.1157931308318414E-2</v>
      </c>
      <c r="V34" s="71">
        <f>IFERROR(up_RadSpec!$O$14*V14,".")*$B$33</f>
        <v>4.696803652968036E-2</v>
      </c>
      <c r="W34" s="71">
        <f>IFERROR(up_RadSpec!$K$14*W14,".")*$B$33</f>
        <v>1.0905705545950254E-2</v>
      </c>
      <c r="X34" s="49">
        <f t="shared" si="40"/>
        <v>5.3764468296452872E-2</v>
      </c>
      <c r="Y34" s="49">
        <f t="shared" si="28"/>
        <v>2.9971528134899894E-2</v>
      </c>
      <c r="Z34" s="49">
        <f t="shared" si="28"/>
        <v>4.0322445152913833E-2</v>
      </c>
      <c r="AA34" s="49">
        <f t="shared" si="28"/>
        <v>4.588210597803033E-2</v>
      </c>
      <c r="AB34" s="49">
        <f t="shared" si="28"/>
        <v>1.084645392839656E-2</v>
      </c>
      <c r="AC34" s="60">
        <f>IFERROR(AC14/$B34,0)</f>
        <v>1.0971428571428573E-9</v>
      </c>
      <c r="AD34" s="60">
        <f>IFERROR(AD14/$B34,0)</f>
        <v>1.7520000000000001E-6</v>
      </c>
      <c r="AE34" s="60">
        <f t="shared" si="29"/>
        <v>1.0964562309317064E-9</v>
      </c>
      <c r="AF34" s="71">
        <f>IFERROR(up_RadSpec!$G$14*AF14,".")*$B$33</f>
        <v>4557.2916666666661</v>
      </c>
      <c r="AG34" s="71">
        <f>IFERROR(up_RadSpec!$J$14*AG14,".")*$B$33</f>
        <v>2.8538812785388123</v>
      </c>
      <c r="AH34" s="49">
        <f t="shared" si="41"/>
        <v>1</v>
      </c>
      <c r="AI34" s="49">
        <f t="shared" si="41"/>
        <v>0.9423797539167309</v>
      </c>
      <c r="AJ34" s="49">
        <f t="shared" si="42"/>
        <v>1</v>
      </c>
      <c r="AK34" s="60">
        <f t="shared" si="43"/>
        <v>9.9999999999999991E-11</v>
      </c>
      <c r="AL34" s="60">
        <f t="shared" si="43"/>
        <v>4.3800000000000004E-6</v>
      </c>
      <c r="AM34" s="63">
        <f t="shared" si="30"/>
        <v>9.9997716947101668E-11</v>
      </c>
      <c r="AN34" s="71">
        <f>IFERROR(up_RadSpec!$H$14*AN14,".")*$B$34</f>
        <v>50000</v>
      </c>
      <c r="AO34" s="71">
        <f>IFERROR(up_RadSpec!$L$14*AO14,".")*$B$34</f>
        <v>1.1415525114155249</v>
      </c>
      <c r="AP34" s="49">
        <f t="shared" si="31"/>
        <v>1</v>
      </c>
      <c r="AQ34" s="49">
        <f t="shared" si="32"/>
        <v>0.68067711563678512</v>
      </c>
      <c r="AR34" s="49">
        <f t="shared" si="33"/>
        <v>1</v>
      </c>
      <c r="AS34" s="63">
        <f t="shared" si="44"/>
        <v>9.9999999999999986E-10</v>
      </c>
      <c r="AT34" s="63">
        <f t="shared" si="44"/>
        <v>4.166666666666666E-12</v>
      </c>
      <c r="AU34" s="63">
        <f t="shared" si="44"/>
        <v>9.9999999999999982E-8</v>
      </c>
      <c r="AV34" s="63">
        <f t="shared" si="44"/>
        <v>9.9999999999999986E-10</v>
      </c>
      <c r="AW34" s="63">
        <f t="shared" si="44"/>
        <v>4.166666666666666E-12</v>
      </c>
      <c r="AX34" s="63">
        <f t="shared" si="44"/>
        <v>9.9999999999999982E-8</v>
      </c>
      <c r="AY34" s="71">
        <f>IFERROR(up_RadSpec!$E$14*AY14,".")*$B$34</f>
        <v>5000</v>
      </c>
      <c r="AZ34" s="71">
        <f>IFERROR(up_RadSpec!$E$14*AZ14,".")*$B$34</f>
        <v>1200000</v>
      </c>
      <c r="BA34" s="71">
        <f>IFERROR(up_RadSpec!$E$14*BA14,".")*$B$34</f>
        <v>50</v>
      </c>
      <c r="BB34" s="71">
        <f>IFERROR(up_RadSpec!$E$14*BB14,".")*$B$34</f>
        <v>5000</v>
      </c>
      <c r="BC34" s="71">
        <f>IFERROR(up_RadSpec!$E$14*BC14,".")*$B$34</f>
        <v>1200000</v>
      </c>
      <c r="BD34" s="71">
        <f>IFERROR(up_RadSpec!$E$14*BD14,".")*$B$34</f>
        <v>50</v>
      </c>
      <c r="BE34" s="49">
        <f t="shared" si="35"/>
        <v>1</v>
      </c>
      <c r="BF34" s="49">
        <f t="shared" si="36"/>
        <v>1</v>
      </c>
      <c r="BG34" s="49">
        <f t="shared" si="36"/>
        <v>1</v>
      </c>
      <c r="BH34" s="49">
        <f t="shared" si="36"/>
        <v>1</v>
      </c>
      <c r="BI34" s="49">
        <f t="shared" si="36"/>
        <v>1</v>
      </c>
      <c r="BJ34" s="49">
        <f t="shared" si="36"/>
        <v>1</v>
      </c>
    </row>
    <row r="35" spans="1:62" x14ac:dyDescent="0.25">
      <c r="A35" s="48" t="s">
        <v>1080</v>
      </c>
      <c r="B35" s="15">
        <v>1</v>
      </c>
      <c r="C35" s="60">
        <f>IFERROR(C30/$B35,0)</f>
        <v>3.6363636363636363E-8</v>
      </c>
      <c r="D35" s="60">
        <f>IFERROR(D30/$B35,0)</f>
        <v>3.3989909629864073E-4</v>
      </c>
      <c r="E35" s="60">
        <f>IFERROR(E30/$B35,0)</f>
        <v>2.9200000000000005E-4</v>
      </c>
      <c r="F35" s="63">
        <f t="shared" si="24"/>
        <v>3.6355219525982166E-8</v>
      </c>
      <c r="G35" s="71">
        <f>IFERROR(up_RadSpec!$D$30*G30,".")*$B$35</f>
        <v>137.5</v>
      </c>
      <c r="H35" s="71">
        <f>IFERROR(up_RadSpec!$G$30*H30,".")*B35</f>
        <v>1.4710247995501937E-2</v>
      </c>
      <c r="I35" s="71">
        <f>IFERROR(up_RadSpec!$F$30*I30,".")*B35</f>
        <v>1.7123287671232872E-2</v>
      </c>
      <c r="J35" s="49">
        <f t="shared" si="25"/>
        <v>1</v>
      </c>
      <c r="K35" s="49">
        <f t="shared" si="26"/>
        <v>1.4602580880648697E-2</v>
      </c>
      <c r="L35" s="49">
        <f t="shared" si="27"/>
        <v>1.6977517388945151E-2</v>
      </c>
      <c r="M35" s="49">
        <f t="shared" si="38"/>
        <v>1</v>
      </c>
      <c r="N35" s="60">
        <f>IFERROR(N30/$B35,0)</f>
        <v>2.9200000000000005E-4</v>
      </c>
      <c r="O35" s="60">
        <f>IFERROR(O30/$B35,0)</f>
        <v>1.4304989690721644E-3</v>
      </c>
      <c r="P35" s="60">
        <f>IFERROR(P30/$B35,0)</f>
        <v>5.1550324675324647E-4</v>
      </c>
      <c r="Q35" s="60">
        <f>IFERROR(Q30/$B35,0)</f>
        <v>3.8371477079796279E-4</v>
      </c>
      <c r="R35" s="60">
        <f>IFERROR(R30/$B35,0)</f>
        <v>3.5040000000000002E-2</v>
      </c>
      <c r="S35" s="71">
        <f>IFERROR(up_RadSpec!$F$30*S30,".")*$B$35</f>
        <v>1.7123287671232872E-2</v>
      </c>
      <c r="T35" s="71">
        <f>IFERROR(up_RadSpec!$M$30*T30,".")*$B$35</f>
        <v>3.4952838891195064E-3</v>
      </c>
      <c r="U35" s="71">
        <f>IFERROR(up_RadSpec!$N$30*U30,".")*$B$35</f>
        <v>9.6992599590615697E-3</v>
      </c>
      <c r="V35" s="71">
        <f>IFERROR(up_RadSpec!$O$30*V30,".")*$B$35</f>
        <v>1.3030512194258605E-2</v>
      </c>
      <c r="W35" s="71">
        <f>IFERROR(up_RadSpec!$K$30*W30,".")*$B$35</f>
        <v>1.4269406392694063E-4</v>
      </c>
      <c r="X35" s="49">
        <f t="shared" si="40"/>
        <v>1.6977517388945151E-2</v>
      </c>
      <c r="Y35" s="49">
        <f t="shared" si="28"/>
        <v>3.4952838891195064E-3</v>
      </c>
      <c r="Z35" s="49">
        <f t="shared" si="28"/>
        <v>9.6992599590615697E-3</v>
      </c>
      <c r="AA35" s="49">
        <f t="shared" si="28"/>
        <v>1.2945982623109753E-2</v>
      </c>
      <c r="AB35" s="49">
        <f t="shared" si="28"/>
        <v>1.4269406392694063E-4</v>
      </c>
      <c r="AC35" s="60">
        <f>IFERROR(AC30/$B35,0)</f>
        <v>1.0971428571428573E-9</v>
      </c>
      <c r="AD35" s="60">
        <f>IFERROR(AD30/$B35,0)</f>
        <v>1.7520000000000001E-6</v>
      </c>
      <c r="AE35" s="60">
        <f t="shared" si="29"/>
        <v>1.0964562309317064E-9</v>
      </c>
      <c r="AF35" s="71">
        <f>IFERROR(up_RadSpec!$G$30*AF30,".")*$B$35</f>
        <v>4557.2916666666661</v>
      </c>
      <c r="AG35" s="71">
        <f>IFERROR(up_RadSpec!$J$30*AG30,".")*$B$35</f>
        <v>2.8538812785388123</v>
      </c>
      <c r="AH35" s="49">
        <f t="shared" si="41"/>
        <v>1</v>
      </c>
      <c r="AI35" s="49">
        <f t="shared" si="41"/>
        <v>0.9423797539167309</v>
      </c>
      <c r="AJ35" s="49">
        <f t="shared" si="42"/>
        <v>1</v>
      </c>
      <c r="AK35" s="60">
        <f>IFERROR(AK30/$B35,0)</f>
        <v>9.9999999999999991E-11</v>
      </c>
      <c r="AL35" s="60">
        <f>IFERROR(AL30/$B35,0)</f>
        <v>4.3800000000000004E-6</v>
      </c>
      <c r="AM35" s="63">
        <f t="shared" si="30"/>
        <v>9.9997716947101668E-11</v>
      </c>
      <c r="AN35" s="71">
        <f>IFERROR(up_RadSpec!$H$30*AN30,".")*$B$35</f>
        <v>50000</v>
      </c>
      <c r="AO35" s="71">
        <f>IFERROR(up_RadSpec!$L$30*AO30,".")*$B$35</f>
        <v>1.1415525114155249</v>
      </c>
      <c r="AP35" s="49">
        <f t="shared" si="31"/>
        <v>1</v>
      </c>
      <c r="AQ35" s="49">
        <f t="shared" si="32"/>
        <v>0.68067711563678512</v>
      </c>
      <c r="AR35" s="49">
        <f t="shared" si="33"/>
        <v>1</v>
      </c>
      <c r="AS35" s="63">
        <f t="shared" ref="AS35:AX35" si="45">IFERROR(AS30/$B35,0)</f>
        <v>9.9999999999999986E-10</v>
      </c>
      <c r="AT35" s="63">
        <f t="shared" si="45"/>
        <v>4.166666666666666E-12</v>
      </c>
      <c r="AU35" s="63">
        <f t="shared" si="45"/>
        <v>9.9999999999999982E-8</v>
      </c>
      <c r="AV35" s="63">
        <f t="shared" si="45"/>
        <v>9.9999999999999986E-10</v>
      </c>
      <c r="AW35" s="63">
        <f t="shared" si="45"/>
        <v>4.166666666666666E-12</v>
      </c>
      <c r="AX35" s="63">
        <f t="shared" si="45"/>
        <v>9.9999999999999982E-8</v>
      </c>
      <c r="AY35" s="71">
        <f>IFERROR(up_RadSpec!$E$30*AY30,".")*$B$35</f>
        <v>5000</v>
      </c>
      <c r="AZ35" s="71">
        <f>IFERROR(up_RadSpec!$E$30*AZ30,".")*$B$35</f>
        <v>1200000</v>
      </c>
      <c r="BA35" s="71">
        <f>IFERROR(up_RadSpec!$E$30*BA30,".")*$B$35</f>
        <v>50</v>
      </c>
      <c r="BB35" s="71">
        <f>IFERROR(up_RadSpec!$E$30*BB30,".")*$B$35</f>
        <v>5000</v>
      </c>
      <c r="BC35" s="71">
        <f>IFERROR(up_RadSpec!$E$30*BC30,".")*$B$35</f>
        <v>1200000</v>
      </c>
      <c r="BD35" s="71">
        <f>IFERROR(up_RadSpec!$E$30*BD30,".")*$B$35</f>
        <v>50</v>
      </c>
      <c r="BE35" s="49">
        <f t="shared" si="35"/>
        <v>1</v>
      </c>
      <c r="BF35" s="49">
        <f t="shared" si="36"/>
        <v>1</v>
      </c>
      <c r="BG35" s="49">
        <f t="shared" si="36"/>
        <v>1</v>
      </c>
      <c r="BH35" s="49">
        <f t="shared" si="36"/>
        <v>1</v>
      </c>
      <c r="BI35" s="49">
        <f t="shared" si="36"/>
        <v>1</v>
      </c>
      <c r="BJ35" s="49">
        <f t="shared" si="36"/>
        <v>1</v>
      </c>
    </row>
    <row r="36" spans="1:62" x14ac:dyDescent="0.25">
      <c r="A36" s="48" t="s">
        <v>1081</v>
      </c>
      <c r="B36" s="15">
        <v>1</v>
      </c>
      <c r="C36" s="60">
        <f>IFERROR(C26/$B36,0)</f>
        <v>3.6363636363636363E-8</v>
      </c>
      <c r="D36" s="60">
        <f>IFERROR(D26/$B36,0)</f>
        <v>3.3989909629864073E-4</v>
      </c>
      <c r="E36" s="60">
        <f>IFERROR(E26/$B36,0)</f>
        <v>3.0689795918367339E-4</v>
      </c>
      <c r="F36" s="63">
        <f t="shared" si="24"/>
        <v>3.6355439254332854E-8</v>
      </c>
      <c r="G36" s="71">
        <f>IFERROR(up_RadSpec!$D$26*G26,".")*$B$37</f>
        <v>137.5</v>
      </c>
      <c r="H36" s="71">
        <f>IFERROR(up_RadSpec!$G$26*H26,".")*B37</f>
        <v>1.4710247995501937E-2</v>
      </c>
      <c r="I36" s="71">
        <f>IFERROR(up_RadSpec!$F$26*I26,".")*B37</f>
        <v>1.6292060114376915E-2</v>
      </c>
      <c r="J36" s="49">
        <f t="shared" si="25"/>
        <v>1</v>
      </c>
      <c r="K36" s="49">
        <f t="shared" si="26"/>
        <v>1.4602580880648697E-2</v>
      </c>
      <c r="L36" s="49">
        <f t="shared" si="27"/>
        <v>1.6160062313865131E-2</v>
      </c>
      <c r="M36" s="49">
        <f t="shared" si="38"/>
        <v>1</v>
      </c>
      <c r="N36" s="60">
        <f>IFERROR(N26/$B36,0)</f>
        <v>3.0689795918367339E-4</v>
      </c>
      <c r="O36" s="60">
        <f>IFERROR(O26/$B36,0)</f>
        <v>5.6031981724728741E-4</v>
      </c>
      <c r="P36" s="60">
        <f>IFERROR(P26/$B36,0)</f>
        <v>4.0498863157894735E-4</v>
      </c>
      <c r="Q36" s="60">
        <f>IFERROR(Q26/$B36,0)</f>
        <v>3.4641818181818169E-4</v>
      </c>
      <c r="R36" s="60">
        <f>IFERROR(R26/$B36,0)</f>
        <v>3.2658445655291096E-3</v>
      </c>
      <c r="S36" s="71">
        <f>IFERROR(up_RadSpec!$F$26*S26,".")*$B$37</f>
        <v>1.6292060114376915E-2</v>
      </c>
      <c r="T36" s="71">
        <f>IFERROR(up_RadSpec!$M$26*T26,".")*$B$37</f>
        <v>8.9234752120026066E-3</v>
      </c>
      <c r="U36" s="71">
        <f>IFERROR(up_RadSpec!$N$26*U26,".")*$B$37</f>
        <v>1.2346025567449327E-2</v>
      </c>
      <c r="V36" s="71">
        <f>IFERROR(up_RadSpec!$O$26*V26,".")*$B$37</f>
        <v>1.4433422558127334E-2</v>
      </c>
      <c r="W36" s="71">
        <f>IFERROR(up_RadSpec!$K$26*W26,".")*$B$37</f>
        <v>1.5309975412715132E-3</v>
      </c>
      <c r="X36" s="49">
        <f t="shared" si="40"/>
        <v>1.6160062313865131E-2</v>
      </c>
      <c r="Y36" s="49">
        <f t="shared" si="28"/>
        <v>8.9234752120026066E-3</v>
      </c>
      <c r="Z36" s="49">
        <f t="shared" si="28"/>
        <v>1.227012606727762E-2</v>
      </c>
      <c r="AA36" s="49">
        <f t="shared" si="28"/>
        <v>1.4329760048982343E-2</v>
      </c>
      <c r="AB36" s="49">
        <f t="shared" si="28"/>
        <v>1.5309975412715132E-3</v>
      </c>
      <c r="AC36" s="60">
        <f>IFERROR(AC26/$B36,0)</f>
        <v>1.0971428571428573E-9</v>
      </c>
      <c r="AD36" s="60">
        <f>IFERROR(AD26/$B36,0)</f>
        <v>1.7520000000000001E-6</v>
      </c>
      <c r="AE36" s="60">
        <f t="shared" si="29"/>
        <v>1.0964562309317064E-9</v>
      </c>
      <c r="AF36" s="71">
        <f>IFERROR(up_RadSpec!$G$26*AF26,".")*$B$37</f>
        <v>4557.2916666666661</v>
      </c>
      <c r="AG36" s="71">
        <f>IFERROR(up_RadSpec!$J$26*AG26,".")*$B$37</f>
        <v>2.8538812785388123</v>
      </c>
      <c r="AH36" s="49">
        <f t="shared" si="41"/>
        <v>1</v>
      </c>
      <c r="AI36" s="49">
        <f t="shared" si="41"/>
        <v>0.9423797539167309</v>
      </c>
      <c r="AJ36" s="49">
        <f t="shared" si="42"/>
        <v>1</v>
      </c>
      <c r="AK36" s="60">
        <f>IFERROR(AK26/$B36,0)</f>
        <v>9.9999999999999991E-11</v>
      </c>
      <c r="AL36" s="60">
        <f>IFERROR(AL26/$B36,0)</f>
        <v>4.3800000000000004E-6</v>
      </c>
      <c r="AM36" s="63">
        <f t="shared" si="30"/>
        <v>9.9997716947101668E-11</v>
      </c>
      <c r="AN36" s="71">
        <f>IFERROR(up_RadSpec!$H$26*AN26,".")*$B$37</f>
        <v>50000</v>
      </c>
      <c r="AO36" s="71">
        <f>IFERROR(up_RadSpec!$L$26*AO26,".")*$B$37</f>
        <v>1.1415525114155249</v>
      </c>
      <c r="AP36" s="49">
        <f t="shared" si="31"/>
        <v>1</v>
      </c>
      <c r="AQ36" s="49">
        <f t="shared" si="32"/>
        <v>0.68067711563678512</v>
      </c>
      <c r="AR36" s="49">
        <f t="shared" si="33"/>
        <v>1</v>
      </c>
      <c r="AS36" s="63">
        <f t="shared" ref="AS36:AX36" si="46">IFERROR(AS26/$B36,0)</f>
        <v>9.9999999999999986E-10</v>
      </c>
      <c r="AT36" s="63">
        <f t="shared" si="46"/>
        <v>4.166666666666666E-12</v>
      </c>
      <c r="AU36" s="63">
        <f t="shared" si="46"/>
        <v>9.9999999999999982E-8</v>
      </c>
      <c r="AV36" s="63">
        <f t="shared" si="46"/>
        <v>9.9999999999999986E-10</v>
      </c>
      <c r="AW36" s="63">
        <f t="shared" si="46"/>
        <v>4.166666666666666E-12</v>
      </c>
      <c r="AX36" s="63">
        <f t="shared" si="46"/>
        <v>9.9999999999999982E-8</v>
      </c>
      <c r="AY36" s="71">
        <f>IFERROR(up_RadSpec!$E$26*AY26,".")*$B$37</f>
        <v>5000</v>
      </c>
      <c r="AZ36" s="71">
        <f>IFERROR(up_RadSpec!$E$26*AZ26,".")*$B$37</f>
        <v>1200000</v>
      </c>
      <c r="BA36" s="71">
        <f>IFERROR(up_RadSpec!$E$26*BA26,".")*$B$37</f>
        <v>50</v>
      </c>
      <c r="BB36" s="71">
        <f>IFERROR(up_RadSpec!$E$26*BB26,".")*$B$37</f>
        <v>5000</v>
      </c>
      <c r="BC36" s="71">
        <f>IFERROR(up_RadSpec!$E$26*BC26,".")*$B$37</f>
        <v>1200000</v>
      </c>
      <c r="BD36" s="71">
        <f>IFERROR(up_RadSpec!$E$26*BD26,".")*$B$37</f>
        <v>50</v>
      </c>
      <c r="BE36" s="49">
        <f t="shared" si="35"/>
        <v>1</v>
      </c>
      <c r="BF36" s="49">
        <f t="shared" si="36"/>
        <v>1</v>
      </c>
      <c r="BG36" s="49">
        <f t="shared" si="36"/>
        <v>1</v>
      </c>
      <c r="BH36" s="49">
        <f t="shared" si="36"/>
        <v>1</v>
      </c>
      <c r="BI36" s="49">
        <f t="shared" si="36"/>
        <v>1</v>
      </c>
      <c r="BJ36" s="49">
        <f t="shared" si="36"/>
        <v>1</v>
      </c>
    </row>
    <row r="37" spans="1:62" x14ac:dyDescent="0.25">
      <c r="A37" s="48" t="s">
        <v>1082</v>
      </c>
      <c r="B37" s="15">
        <v>1</v>
      </c>
      <c r="C37" s="60">
        <f>IFERROR(C22/$B37,0)</f>
        <v>3.6363636363636363E-8</v>
      </c>
      <c r="D37" s="60">
        <f>IFERROR(D22/$B37,0)</f>
        <v>3.3989909629864073E-4</v>
      </c>
      <c r="E37" s="60">
        <f>IFERROR(E22/$B37,0)</f>
        <v>168.13548387096779</v>
      </c>
      <c r="F37" s="63">
        <f t="shared" si="24"/>
        <v>3.6359746458409309E-8</v>
      </c>
      <c r="G37" s="71">
        <f>IFERROR(up_RadSpec!$D$22*G22,".")*$B$37</f>
        <v>137.5</v>
      </c>
      <c r="H37" s="71">
        <f>IFERROR(up_RadSpec!$G$22*H22,".")*B37</f>
        <v>1.4710247995501937E-2</v>
      </c>
      <c r="I37" s="71">
        <f>IFERROR(up_RadSpec!$F$22*I22,".")*B37</f>
        <v>2.9737922566286778E-8</v>
      </c>
      <c r="J37" s="49">
        <f t="shared" si="25"/>
        <v>1</v>
      </c>
      <c r="K37" s="49">
        <f t="shared" si="26"/>
        <v>1.4602580880648697E-2</v>
      </c>
      <c r="L37" s="49">
        <f t="shared" si="27"/>
        <v>2.9737922566286778E-8</v>
      </c>
      <c r="M37" s="49">
        <f t="shared" si="38"/>
        <v>1</v>
      </c>
      <c r="N37" s="60">
        <f>IFERROR(N22/$B37,0)</f>
        <v>168.13548387096779</v>
      </c>
      <c r="O37" s="60">
        <f>IFERROR(O22/$B37,0)</f>
        <v>154.06603465184713</v>
      </c>
      <c r="P37" s="60">
        <f>IFERROR(P22/$B37,0)</f>
        <v>118.36396835057823</v>
      </c>
      <c r="Q37" s="60">
        <f>IFERROR(Q22/$B37,0)</f>
        <v>121.97083333333329</v>
      </c>
      <c r="R37" s="60">
        <f>IFERROR(R22/$B37,0)</f>
        <v>865.46753692889047</v>
      </c>
      <c r="S37" s="71">
        <f>IFERROR(up_RadSpec!$F$22*S22,".")*$B$37</f>
        <v>2.9737922566286778E-8</v>
      </c>
      <c r="T37" s="71">
        <f>IFERROR(up_RadSpec!$M$22*T22,".")*$B$37</f>
        <v>3.2453616472305655E-8</v>
      </c>
      <c r="U37" s="71">
        <f>IFERROR(up_RadSpec!$N$22*U22,".")*$B$37</f>
        <v>4.2242585050804215E-8</v>
      </c>
      <c r="V37" s="71">
        <f>IFERROR(up_RadSpec!$O$22*V22,".")*$B$37</f>
        <v>4.0993406893724605E-8</v>
      </c>
      <c r="W37" s="71">
        <f>IFERROR(up_RadSpec!$K$22*W22,".")*$B$37</f>
        <v>5.7772242015483197E-9</v>
      </c>
      <c r="X37" s="49">
        <f t="shared" si="40"/>
        <v>2.9737922566286778E-8</v>
      </c>
      <c r="Y37" s="49">
        <f t="shared" si="28"/>
        <v>3.2453616472305655E-8</v>
      </c>
      <c r="Z37" s="49">
        <f t="shared" si="28"/>
        <v>4.2242585050804215E-8</v>
      </c>
      <c r="AA37" s="49">
        <f t="shared" si="28"/>
        <v>4.0993406893724605E-8</v>
      </c>
      <c r="AB37" s="49">
        <f t="shared" si="28"/>
        <v>5.7772242015483197E-9</v>
      </c>
      <c r="AC37" s="60">
        <f>IFERROR(AC22/$B37,0)</f>
        <v>1.0971428571428573E-9</v>
      </c>
      <c r="AD37" s="60">
        <f>IFERROR(AD22/$B37,0)</f>
        <v>1.7520000000000001E-6</v>
      </c>
      <c r="AE37" s="60">
        <f t="shared" si="29"/>
        <v>1.0964562309317064E-9</v>
      </c>
      <c r="AF37" s="71">
        <f>IFERROR(up_RadSpec!$G$22*AF22,".")*$B$37</f>
        <v>4557.2916666666661</v>
      </c>
      <c r="AG37" s="71">
        <f>IFERROR(up_RadSpec!$J$22*AG22,".")*$B$37</f>
        <v>2.8538812785388123</v>
      </c>
      <c r="AH37" s="49">
        <f t="shared" si="41"/>
        <v>1</v>
      </c>
      <c r="AI37" s="49">
        <f t="shared" si="41"/>
        <v>0.9423797539167309</v>
      </c>
      <c r="AJ37" s="49">
        <f t="shared" si="42"/>
        <v>1</v>
      </c>
      <c r="AK37" s="60">
        <f>IFERROR(AK22/$B37,0)</f>
        <v>9.9999999999999991E-11</v>
      </c>
      <c r="AL37" s="60">
        <f>IFERROR(AL22/$B37,0)</f>
        <v>4.3800000000000004E-6</v>
      </c>
      <c r="AM37" s="63">
        <f t="shared" si="30"/>
        <v>9.9997716947101668E-11</v>
      </c>
      <c r="AN37" s="71">
        <f>IFERROR(up_RadSpec!$H$22*AN22,".")*$B$37</f>
        <v>50000</v>
      </c>
      <c r="AO37" s="71">
        <f>IFERROR(up_RadSpec!$L$22*AO22,".")*$B$37</f>
        <v>1.1415525114155249</v>
      </c>
      <c r="AP37" s="49">
        <f t="shared" si="31"/>
        <v>1</v>
      </c>
      <c r="AQ37" s="49">
        <f t="shared" si="32"/>
        <v>0.68067711563678512</v>
      </c>
      <c r="AR37" s="49">
        <f t="shared" si="33"/>
        <v>1</v>
      </c>
      <c r="AS37" s="63">
        <f t="shared" ref="AS37:AX37" si="47">IFERROR(AS22/$B37,0)</f>
        <v>9.9999999999999986E-10</v>
      </c>
      <c r="AT37" s="63">
        <f t="shared" si="47"/>
        <v>4.166666666666666E-12</v>
      </c>
      <c r="AU37" s="63">
        <f t="shared" si="47"/>
        <v>9.9999999999999982E-8</v>
      </c>
      <c r="AV37" s="63">
        <f t="shared" si="47"/>
        <v>9.9999999999999986E-10</v>
      </c>
      <c r="AW37" s="63">
        <f t="shared" si="47"/>
        <v>4.166666666666666E-12</v>
      </c>
      <c r="AX37" s="63">
        <f t="shared" si="47"/>
        <v>9.9999999999999982E-8</v>
      </c>
      <c r="AY37" s="71">
        <f>IFERROR(up_RadSpec!$E$22*AY22,".")*$B$37</f>
        <v>5000</v>
      </c>
      <c r="AZ37" s="71">
        <f>IFERROR(up_RadSpec!$E$22*AZ22,".")*$B$37</f>
        <v>1200000</v>
      </c>
      <c r="BA37" s="71">
        <f>IFERROR(up_RadSpec!$E$22*BA22,".")*$B$37</f>
        <v>50</v>
      </c>
      <c r="BB37" s="71">
        <f>IFERROR(up_RadSpec!$E$22*BB22,".")*$B$37</f>
        <v>5000</v>
      </c>
      <c r="BC37" s="71">
        <f>IFERROR(up_RadSpec!$E$22*BC22,".")*$B$37</f>
        <v>1200000</v>
      </c>
      <c r="BD37" s="71">
        <f>IFERROR(up_RadSpec!$E$22*BD22,".")*$B$37</f>
        <v>50</v>
      </c>
      <c r="BE37" s="49">
        <f t="shared" si="35"/>
        <v>1</v>
      </c>
      <c r="BF37" s="49">
        <f t="shared" si="36"/>
        <v>1</v>
      </c>
      <c r="BG37" s="49">
        <f t="shared" si="36"/>
        <v>1</v>
      </c>
      <c r="BH37" s="49">
        <f t="shared" si="36"/>
        <v>1</v>
      </c>
      <c r="BI37" s="49">
        <f t="shared" si="36"/>
        <v>1</v>
      </c>
      <c r="BJ37" s="49">
        <f t="shared" si="36"/>
        <v>1</v>
      </c>
    </row>
    <row r="38" spans="1:62" x14ac:dyDescent="0.25">
      <c r="A38" s="48" t="s">
        <v>1083</v>
      </c>
      <c r="B38" s="15">
        <v>1</v>
      </c>
      <c r="C38" s="60">
        <f>IFERROR(C2/$B38,0)</f>
        <v>3.6363636363636363E-8</v>
      </c>
      <c r="D38" s="60">
        <f>IFERROR(D2/$B38,0)</f>
        <v>3.3989909629864073E-4</v>
      </c>
      <c r="E38" s="60">
        <f>IFERROR(E2/$B38,0)</f>
        <v>1.8600180451127824E-4</v>
      </c>
      <c r="F38" s="63">
        <f t="shared" si="24"/>
        <v>3.6352640229934266E-8</v>
      </c>
      <c r="G38" s="71">
        <f>IFERROR(up_RadSpec!$D$2*G2,".")*$B$38</f>
        <v>137.5</v>
      </c>
      <c r="H38" s="71">
        <f>IFERROR(up_RadSpec!$G$2*H2,".")*B38</f>
        <v>1.4710247995501937E-2</v>
      </c>
      <c r="I38" s="71">
        <f>IFERROR(up_RadSpec!$F$2*I2,".")*B38</f>
        <v>2.6881459634961899E-2</v>
      </c>
      <c r="J38" s="49">
        <f t="shared" si="25"/>
        <v>1</v>
      </c>
      <c r="K38" s="49">
        <f t="shared" si="26"/>
        <v>1.4602580880648697E-2</v>
      </c>
      <c r="L38" s="49">
        <f t="shared" si="27"/>
        <v>2.6523369039761158E-2</v>
      </c>
      <c r="M38" s="49">
        <f t="shared" si="38"/>
        <v>1</v>
      </c>
      <c r="N38" s="60">
        <f>IFERROR(N2/$B38,0)</f>
        <v>1.8600180451127824E-4</v>
      </c>
      <c r="O38" s="60">
        <f>IFERROR(O2/$B38,0)</f>
        <v>3.7608376963350773E-4</v>
      </c>
      <c r="P38" s="60">
        <f>IFERROR(P2/$B38,0)</f>
        <v>2.554317757009345E-4</v>
      </c>
      <c r="Q38" s="60">
        <f>IFERROR(Q2/$B38,0)</f>
        <v>2.1232026143790843E-4</v>
      </c>
      <c r="R38" s="60">
        <f>IFERROR(R2/$B38,0)</f>
        <v>2.9760709010339739E-3</v>
      </c>
      <c r="S38" s="71">
        <f>IFERROR(up_RadSpec!$F$2*S2,".")*$B$38</f>
        <v>2.6881459634961899E-2</v>
      </c>
      <c r="T38" s="71">
        <f>IFERROR(up_RadSpec!$M$2*T2,".")*$B$38</f>
        <v>1.3294910346363742E-2</v>
      </c>
      <c r="U38" s="71">
        <f>IFERROR(up_RadSpec!$N$2*U2,".")*$B$38</f>
        <v>1.9574698513054684E-2</v>
      </c>
      <c r="V38" s="71">
        <f>IFERROR(up_RadSpec!$O$2*V2,".")*$B$38</f>
        <v>2.354933046021241E-2</v>
      </c>
      <c r="W38" s="71">
        <f>IFERROR(up_RadSpec!$K$2*W2,".")*$B$38</f>
        <v>1.6800675004963268E-3</v>
      </c>
      <c r="X38" s="49">
        <f t="shared" si="40"/>
        <v>2.6523369039761158E-2</v>
      </c>
      <c r="Y38" s="49">
        <f t="shared" si="28"/>
        <v>1.3206923383684566E-2</v>
      </c>
      <c r="Z38" s="49">
        <f t="shared" si="28"/>
        <v>1.938435807758454E-2</v>
      </c>
      <c r="AA38" s="49">
        <f t="shared" si="28"/>
        <v>2.3274208852382738E-2</v>
      </c>
      <c r="AB38" s="49">
        <f t="shared" si="28"/>
        <v>1.6800675004963268E-3</v>
      </c>
      <c r="AC38" s="60">
        <f>IFERROR(AC2/$B38,0)</f>
        <v>1.0971428571428573E-9</v>
      </c>
      <c r="AD38" s="60">
        <f>IFERROR(AD2/$B38,0)</f>
        <v>1.7520000000000001E-6</v>
      </c>
      <c r="AE38" s="60">
        <f t="shared" si="29"/>
        <v>1.0964562309317064E-9</v>
      </c>
      <c r="AF38" s="71">
        <f>IFERROR(up_RadSpec!$G$2*AF2,".")*$B$38</f>
        <v>4557.2916666666661</v>
      </c>
      <c r="AG38" s="71">
        <f>IFERROR(up_RadSpec!$J$2*AG2,".")*$B$38</f>
        <v>2.8538812785388123</v>
      </c>
      <c r="AH38" s="49">
        <f t="shared" si="41"/>
        <v>1</v>
      </c>
      <c r="AI38" s="49">
        <f t="shared" si="41"/>
        <v>0.9423797539167309</v>
      </c>
      <c r="AJ38" s="49">
        <f t="shared" si="42"/>
        <v>1</v>
      </c>
      <c r="AK38" s="60">
        <f>IFERROR(AK2/$B38,0)</f>
        <v>9.9999999999999991E-11</v>
      </c>
      <c r="AL38" s="60">
        <f>IFERROR(AL2/$B38,0)</f>
        <v>4.3800000000000004E-6</v>
      </c>
      <c r="AM38" s="63">
        <f t="shared" si="30"/>
        <v>9.9997716947101668E-11</v>
      </c>
      <c r="AN38" s="71">
        <f>IFERROR(up_RadSpec!$H$2*AN2,".")*$B$38</f>
        <v>50000</v>
      </c>
      <c r="AO38" s="71">
        <f>IFERROR(up_RadSpec!$L$2*AO2,".")*$B$38</f>
        <v>1.1415525114155249</v>
      </c>
      <c r="AP38" s="49">
        <f t="shared" si="31"/>
        <v>1</v>
      </c>
      <c r="AQ38" s="49">
        <f t="shared" si="32"/>
        <v>0.68067711563678512</v>
      </c>
      <c r="AR38" s="49">
        <f t="shared" si="33"/>
        <v>1</v>
      </c>
      <c r="AS38" s="63">
        <f t="shared" ref="AS38:AX38" si="48">IFERROR(AS2/$B38,0)</f>
        <v>9.9999999999999986E-10</v>
      </c>
      <c r="AT38" s="63">
        <f t="shared" si="48"/>
        <v>4.166666666666666E-12</v>
      </c>
      <c r="AU38" s="63">
        <f t="shared" si="48"/>
        <v>9.9999999999999982E-8</v>
      </c>
      <c r="AV38" s="63">
        <f t="shared" si="48"/>
        <v>9.9999999999999986E-10</v>
      </c>
      <c r="AW38" s="63">
        <f t="shared" si="48"/>
        <v>4.166666666666666E-12</v>
      </c>
      <c r="AX38" s="63">
        <f t="shared" si="48"/>
        <v>9.9999999999999982E-8</v>
      </c>
      <c r="AY38" s="71">
        <f>IFERROR(up_RadSpec!$E$2*AY2,".")*$B$38</f>
        <v>5000</v>
      </c>
      <c r="AZ38" s="71">
        <f>IFERROR(up_RadSpec!$E$2*AZ2,".")*$B$38</f>
        <v>1200000</v>
      </c>
      <c r="BA38" s="71">
        <f>IFERROR(up_RadSpec!$E$2*BA2,".")*$B$38</f>
        <v>50</v>
      </c>
      <c r="BB38" s="71">
        <f>IFERROR(up_RadSpec!$E$2*BB2,".")*$B$38</f>
        <v>5000</v>
      </c>
      <c r="BC38" s="71">
        <f>IFERROR(up_RadSpec!$E$2*BC2,".")*$B$38</f>
        <v>1200000</v>
      </c>
      <c r="BD38" s="71">
        <f>IFERROR(up_RadSpec!$E$2*BD2,".")*$B$38</f>
        <v>50</v>
      </c>
      <c r="BE38" s="49">
        <f t="shared" si="35"/>
        <v>1</v>
      </c>
      <c r="BF38" s="49">
        <f t="shared" si="36"/>
        <v>1</v>
      </c>
      <c r="BG38" s="49">
        <f t="shared" si="36"/>
        <v>1</v>
      </c>
      <c r="BH38" s="49">
        <f t="shared" si="36"/>
        <v>1</v>
      </c>
      <c r="BI38" s="49">
        <f t="shared" si="36"/>
        <v>1</v>
      </c>
      <c r="BJ38" s="49">
        <f t="shared" si="36"/>
        <v>1</v>
      </c>
    </row>
    <row r="39" spans="1:62" x14ac:dyDescent="0.25">
      <c r="A39" s="48" t="s">
        <v>1084</v>
      </c>
      <c r="B39" s="15">
        <v>1</v>
      </c>
      <c r="C39" s="60">
        <f>IFERROR(C11/$B39,0)</f>
        <v>3.6363636363636363E-8</v>
      </c>
      <c r="D39" s="60">
        <f>IFERROR(D11/$B39,0)</f>
        <v>3.3989909629864073E-4</v>
      </c>
      <c r="E39" s="60">
        <f>IFERROR(E11/$B39,0)</f>
        <v>1.6364835164835165E-4</v>
      </c>
      <c r="F39" s="63">
        <f t="shared" si="24"/>
        <v>3.6351669773269987E-8</v>
      </c>
      <c r="G39" s="71">
        <f>IFERROR(up_RadSpec!$D$11*G11,".")*$B$39</f>
        <v>137.5</v>
      </c>
      <c r="H39" s="71">
        <f>IFERROR(up_RadSpec!$G$11*H11,".")*B39</f>
        <v>1.4710247995501937E-2</v>
      </c>
      <c r="I39" s="71">
        <f>IFERROR(up_RadSpec!$F$11*I11,".")*B39</f>
        <v>3.0553317217297878E-2</v>
      </c>
      <c r="J39" s="49">
        <f t="shared" si="25"/>
        <v>1</v>
      </c>
      <c r="K39" s="49">
        <f t="shared" si="26"/>
        <v>1.4602580880648697E-2</v>
      </c>
      <c r="L39" s="49">
        <f t="shared" si="27"/>
        <v>3.0091282145275122E-2</v>
      </c>
      <c r="M39" s="49">
        <f t="shared" si="38"/>
        <v>1</v>
      </c>
      <c r="N39" s="60">
        <f>IFERROR(N11/$B39,0)</f>
        <v>1.6364835164835165E-4</v>
      </c>
      <c r="O39" s="60">
        <f>IFERROR(O11/$B39,0)</f>
        <v>2.0706925207756232E-4</v>
      </c>
      <c r="P39" s="60">
        <f>IFERROR(P11/$B39,0)</f>
        <v>1.6070503597122299E-4</v>
      </c>
      <c r="Q39" s="60">
        <f>IFERROR(Q11/$B39,0)</f>
        <v>1.5308026755852847E-4</v>
      </c>
      <c r="R39" s="60">
        <f>IFERROR(R11/$B39,0)</f>
        <v>3.8548469387755102E-4</v>
      </c>
      <c r="S39" s="71">
        <f>IFERROR(up_RadSpec!$F$11*S11,".")*$B$39</f>
        <v>3.0553317217297878E-2</v>
      </c>
      <c r="T39" s="71">
        <f>IFERROR(up_RadSpec!$M$11*T11,".")*$B$39</f>
        <v>2.4146511130136987E-2</v>
      </c>
      <c r="U39" s="71">
        <f>IFERROR(up_RadSpec!$N$11*U11,".")*$B$39</f>
        <v>3.1112901781717259E-2</v>
      </c>
      <c r="V39" s="71">
        <f>IFERROR(up_RadSpec!$O$11*V11,".")*$B$39</f>
        <v>3.2662602958204966E-2</v>
      </c>
      <c r="W39" s="71">
        <f>IFERROR(up_RadSpec!$K$11*W11,".")*$B$39</f>
        <v>1.2970683607967704E-2</v>
      </c>
      <c r="X39" s="49">
        <f t="shared" si="40"/>
        <v>3.0091282145275122E-2</v>
      </c>
      <c r="Y39" s="49">
        <f t="shared" si="28"/>
        <v>2.3857316487039704E-2</v>
      </c>
      <c r="Z39" s="49">
        <f t="shared" si="28"/>
        <v>3.063387626487668E-2</v>
      </c>
      <c r="AA39" s="49">
        <f t="shared" si="28"/>
        <v>3.2134940686216695E-2</v>
      </c>
      <c r="AB39" s="49">
        <f t="shared" si="28"/>
        <v>1.2886926810061983E-2</v>
      </c>
      <c r="AC39" s="60">
        <f>IFERROR(AC11/$B39,0)</f>
        <v>1.0971428571428573E-9</v>
      </c>
      <c r="AD39" s="60">
        <f>IFERROR(AD11/$B39,0)</f>
        <v>1.7520000000000001E-6</v>
      </c>
      <c r="AE39" s="60">
        <f>IFERROR(IF(AND(AC39&lt;&gt;0,AD39&lt;&gt;0),1/((1/AC39)+(1/AD39)),IF(AND(AC39&lt;&gt;0,AD39=0),1/((1/AC39)),IF(AND(AC39=0,AD39&lt;&gt;0),1/((1/AD39)),IF(AND(AC39=".",AD39="."),".")))),".")</f>
        <v>1.0964562309317064E-9</v>
      </c>
      <c r="AF39" s="71">
        <f>IFERROR(up_RadSpec!$G$11*AF11,".")*$B$39</f>
        <v>4557.2916666666661</v>
      </c>
      <c r="AG39" s="71">
        <f>IFERROR(up_RadSpec!$J$11*AG11,".")*$B$39</f>
        <v>2.8538812785388123</v>
      </c>
      <c r="AH39" s="49">
        <f t="shared" si="41"/>
        <v>1</v>
      </c>
      <c r="AI39" s="49">
        <f t="shared" si="41"/>
        <v>0.9423797539167309</v>
      </c>
      <c r="AJ39" s="49">
        <f t="shared" si="42"/>
        <v>1</v>
      </c>
      <c r="AK39" s="60">
        <f>IFERROR(AK11/$B39,0)</f>
        <v>9.9999999999999991E-11</v>
      </c>
      <c r="AL39" s="60">
        <f>IFERROR(AL11/$B39,0)</f>
        <v>4.3800000000000004E-6</v>
      </c>
      <c r="AM39" s="63">
        <f t="shared" si="30"/>
        <v>9.9997716947101668E-11</v>
      </c>
      <c r="AN39" s="71">
        <f>IFERROR(up_RadSpec!$H$11*AN11,".")*$B$39</f>
        <v>50000</v>
      </c>
      <c r="AO39" s="71">
        <f>IFERROR(up_RadSpec!$L$11*AO11,".")*$B$39</f>
        <v>1.1415525114155249</v>
      </c>
      <c r="AP39" s="49">
        <f t="shared" si="31"/>
        <v>1</v>
      </c>
      <c r="AQ39" s="49">
        <f t="shared" si="32"/>
        <v>0.68067711563678512</v>
      </c>
      <c r="AR39" s="49">
        <f t="shared" si="33"/>
        <v>1</v>
      </c>
      <c r="AS39" s="63">
        <f t="shared" ref="AS39:AX39" si="49">IFERROR(AS11/$B39,0)</f>
        <v>9.9999999999999986E-10</v>
      </c>
      <c r="AT39" s="63">
        <f t="shared" si="49"/>
        <v>4.166666666666666E-12</v>
      </c>
      <c r="AU39" s="63">
        <f t="shared" si="49"/>
        <v>9.9999999999999982E-8</v>
      </c>
      <c r="AV39" s="63">
        <f t="shared" si="49"/>
        <v>9.9999999999999986E-10</v>
      </c>
      <c r="AW39" s="63">
        <f t="shared" si="49"/>
        <v>4.166666666666666E-12</v>
      </c>
      <c r="AX39" s="63">
        <f t="shared" si="49"/>
        <v>9.9999999999999982E-8</v>
      </c>
      <c r="AY39" s="71">
        <f>IFERROR(up_RadSpec!$E$11*AY11,".")*$B$39</f>
        <v>5000</v>
      </c>
      <c r="AZ39" s="71">
        <f>IFERROR(up_RadSpec!$E$11*AZ11,".")*$B$39</f>
        <v>1200000</v>
      </c>
      <c r="BA39" s="71">
        <f>IFERROR(up_RadSpec!$E$11*BA11,".")*$B$39</f>
        <v>50</v>
      </c>
      <c r="BB39" s="71">
        <f>IFERROR(up_RadSpec!$E$11*BB11,".")*$B$39</f>
        <v>5000</v>
      </c>
      <c r="BC39" s="71">
        <f>IFERROR(up_RadSpec!$E$11*BC11,".")*$B$39</f>
        <v>1200000</v>
      </c>
      <c r="BD39" s="71">
        <f>IFERROR(up_RadSpec!$E$11*BD11,".")*$B$39</f>
        <v>50</v>
      </c>
      <c r="BE39" s="49">
        <f t="shared" si="35"/>
        <v>1</v>
      </c>
      <c r="BF39" s="49">
        <f t="shared" si="36"/>
        <v>1</v>
      </c>
      <c r="BG39" s="49">
        <f t="shared" si="36"/>
        <v>1</v>
      </c>
      <c r="BH39" s="49">
        <f t="shared" si="36"/>
        <v>1</v>
      </c>
      <c r="BI39" s="49">
        <f t="shared" si="36"/>
        <v>1</v>
      </c>
      <c r="BJ39" s="49">
        <f t="shared" si="36"/>
        <v>1</v>
      </c>
    </row>
    <row r="40" spans="1:62" x14ac:dyDescent="0.25">
      <c r="A40" s="48" t="s">
        <v>1085</v>
      </c>
      <c r="B40" s="15">
        <v>1</v>
      </c>
      <c r="C40" s="60">
        <f>IFERROR(C4/$B40,0)</f>
        <v>3.6363636363636363E-8</v>
      </c>
      <c r="D40" s="60">
        <f>IFERROR(D4/$B40,0)</f>
        <v>3.3989909629864073E-4</v>
      </c>
      <c r="E40" s="60">
        <f>IFERROR(E4/$B40,0)</f>
        <v>9.0844444444444477E-5</v>
      </c>
      <c r="F40" s="63">
        <f t="shared" si="24"/>
        <v>3.6345199597163137E-8</v>
      </c>
      <c r="G40" s="71">
        <f>IFERROR(up_RadSpec!$D$4*G4,".")*$B$40</f>
        <v>137.5</v>
      </c>
      <c r="H40" s="71">
        <f>IFERROR(up_RadSpec!$G$4*H4,".")*B40</f>
        <v>1.4710247995501937E-2</v>
      </c>
      <c r="I40" s="71">
        <f>IFERROR(up_RadSpec!$F$4*I4,".")*B40</f>
        <v>5.5039138943248508E-2</v>
      </c>
      <c r="J40" s="49">
        <f t="shared" si="25"/>
        <v>1</v>
      </c>
      <c r="K40" s="49">
        <f t="shared" si="26"/>
        <v>1.4602580880648697E-2</v>
      </c>
      <c r="L40" s="49">
        <f t="shared" si="27"/>
        <v>5.3551895750077017E-2</v>
      </c>
      <c r="M40" s="49">
        <f t="shared" si="38"/>
        <v>1</v>
      </c>
      <c r="N40" s="60">
        <f>IFERROR(N4/$B40,0)</f>
        <v>9.0844444444444477E-5</v>
      </c>
      <c r="O40" s="60">
        <f>IFERROR(O4/$B40,0)</f>
        <v>1.4824615384615391E-4</v>
      </c>
      <c r="P40" s="60">
        <f>IFERROR(P4/$B40,0)</f>
        <v>1.0664347826086956E-4</v>
      </c>
      <c r="Q40" s="60">
        <f>IFERROR(Q4/$B40,0)</f>
        <v>9.2832758224062578E-5</v>
      </c>
      <c r="R40" s="60">
        <f>IFERROR(R4/$B40,0)</f>
        <v>2.7377531206657411E-4</v>
      </c>
      <c r="S40" s="71">
        <f>IFERROR(up_RadSpec!$F$4*S4,".")*$B$40</f>
        <v>5.5039138943248508E-2</v>
      </c>
      <c r="T40" s="71">
        <f>IFERROR(up_RadSpec!$M$4*T4,".")*$B$40</f>
        <v>3.3727687837276865E-2</v>
      </c>
      <c r="U40" s="71">
        <f>IFERROR(up_RadSpec!$N$4*U4,".")*$B$40</f>
        <v>4.6885192433137636E-2</v>
      </c>
      <c r="V40" s="71">
        <f>IFERROR(up_RadSpec!$O$4*V4,".")*$B$40</f>
        <v>5.3860297761830177E-2</v>
      </c>
      <c r="W40" s="71">
        <f>IFERROR(up_RadSpec!$K$4*W4,".")*$B$40</f>
        <v>1.8263151495501343E-2</v>
      </c>
      <c r="X40" s="49">
        <f t="shared" si="40"/>
        <v>5.3551895750077017E-2</v>
      </c>
      <c r="Y40" s="49">
        <f t="shared" si="28"/>
        <v>3.3165250344855624E-2</v>
      </c>
      <c r="Z40" s="49">
        <f t="shared" si="28"/>
        <v>4.5803059668889978E-2</v>
      </c>
      <c r="AA40" s="49">
        <f t="shared" si="28"/>
        <v>5.2435525866597499E-2</v>
      </c>
      <c r="AB40" s="49">
        <f t="shared" si="28"/>
        <v>1.8097390782478184E-2</v>
      </c>
      <c r="AC40" s="60">
        <f>IFERROR(AC4/$B40,0)</f>
        <v>1.0971428571428573E-9</v>
      </c>
      <c r="AD40" s="60">
        <f>IFERROR(AD4/$B40,0)</f>
        <v>1.7520000000000001E-6</v>
      </c>
      <c r="AE40" s="60">
        <f t="shared" ref="AE40:AE44" si="50">IFERROR(IF(AND(AC40&lt;&gt;0,AD40&lt;&gt;0),1/((1/AC40)+(1/AD40)),IF(AND(AC40&lt;&gt;0,AD40=0),1/((1/AC40)),IF(AND(AC40=0,AD40&lt;&gt;0),1/((1/AD40)),IF(AND(AC40=".",AD40="."),".")))),".")</f>
        <v>1.0964562309317064E-9</v>
      </c>
      <c r="AF40" s="71">
        <f>IFERROR(up_RadSpec!$G$4*AF4,".")*$B$40</f>
        <v>4557.2916666666661</v>
      </c>
      <c r="AG40" s="71">
        <f>IFERROR(up_RadSpec!$J$4*AG4,".")*$B$40</f>
        <v>2.8538812785388123</v>
      </c>
      <c r="AH40" s="49">
        <f t="shared" si="41"/>
        <v>1</v>
      </c>
      <c r="AI40" s="49">
        <f t="shared" si="41"/>
        <v>0.9423797539167309</v>
      </c>
      <c r="AJ40" s="49">
        <f t="shared" si="42"/>
        <v>1</v>
      </c>
      <c r="AK40" s="60">
        <f>IFERROR(AK4/$B40,0)</f>
        <v>9.9999999999999991E-11</v>
      </c>
      <c r="AL40" s="60">
        <f>IFERROR(AL4/$B40,0)</f>
        <v>4.3800000000000004E-6</v>
      </c>
      <c r="AM40" s="63">
        <f t="shared" si="30"/>
        <v>9.9997716947101668E-11</v>
      </c>
      <c r="AN40" s="71">
        <f>IFERROR(up_RadSpec!$H$4*AN4,".")*$B$40</f>
        <v>50000</v>
      </c>
      <c r="AO40" s="71">
        <f>IFERROR(up_RadSpec!$L$4*AO4,".")*$B$40</f>
        <v>1.1415525114155249</v>
      </c>
      <c r="AP40" s="49">
        <f t="shared" si="31"/>
        <v>1</v>
      </c>
      <c r="AQ40" s="49">
        <f t="shared" si="32"/>
        <v>0.68067711563678512</v>
      </c>
      <c r="AR40" s="49">
        <f t="shared" si="33"/>
        <v>1</v>
      </c>
      <c r="AS40" s="63">
        <f t="shared" ref="AS40:AX40" si="51">IFERROR(AS4/$B40,0)</f>
        <v>9.9999999999999986E-10</v>
      </c>
      <c r="AT40" s="63">
        <f t="shared" si="51"/>
        <v>4.166666666666666E-12</v>
      </c>
      <c r="AU40" s="63">
        <f t="shared" si="51"/>
        <v>9.9999999999999982E-8</v>
      </c>
      <c r="AV40" s="63">
        <f t="shared" si="51"/>
        <v>9.9999999999999986E-10</v>
      </c>
      <c r="AW40" s="63">
        <f t="shared" si="51"/>
        <v>4.166666666666666E-12</v>
      </c>
      <c r="AX40" s="63">
        <f t="shared" si="51"/>
        <v>9.9999999999999982E-8</v>
      </c>
      <c r="AY40" s="71">
        <f>IFERROR(up_RadSpec!$E$4*AY4,".")*$B$40</f>
        <v>5000</v>
      </c>
      <c r="AZ40" s="71">
        <f>IFERROR(up_RadSpec!$E$4*AZ4,".")*$B$40</f>
        <v>1200000</v>
      </c>
      <c r="BA40" s="71">
        <f>IFERROR(up_RadSpec!$E$4*BA4,".")*$B$40</f>
        <v>50</v>
      </c>
      <c r="BB40" s="71">
        <f>IFERROR(up_RadSpec!$E$4*BB4,".")*$B$40</f>
        <v>5000</v>
      </c>
      <c r="BC40" s="71">
        <f>IFERROR(up_RadSpec!$E$4*BC4,".")*$B$40</f>
        <v>1200000</v>
      </c>
      <c r="BD40" s="71">
        <f>IFERROR(up_RadSpec!$E$4*BD4,".")*$B$40</f>
        <v>50</v>
      </c>
      <c r="BE40" s="49">
        <f t="shared" si="35"/>
        <v>1</v>
      </c>
      <c r="BF40" s="49">
        <f t="shared" si="36"/>
        <v>1</v>
      </c>
      <c r="BG40" s="49">
        <f t="shared" si="36"/>
        <v>1</v>
      </c>
      <c r="BH40" s="49">
        <f t="shared" si="36"/>
        <v>1</v>
      </c>
      <c r="BI40" s="49">
        <f t="shared" si="36"/>
        <v>1</v>
      </c>
      <c r="BJ40" s="49">
        <f t="shared" si="36"/>
        <v>1</v>
      </c>
    </row>
    <row r="41" spans="1:62" x14ac:dyDescent="0.25">
      <c r="A41" s="48" t="s">
        <v>1086</v>
      </c>
      <c r="B41" s="50">
        <v>0.99987999999999999</v>
      </c>
      <c r="C41" s="60">
        <f>IFERROR(C8/$B41,0)</f>
        <v>3.6368000523699208E-8</v>
      </c>
      <c r="D41" s="60">
        <f>IFERROR(D8/$B41,0)</f>
        <v>3.3993988908533095E-4</v>
      </c>
      <c r="E41" s="60">
        <f>IFERROR(E8/$B41,0)</f>
        <v>5.8084318184480515E-5</v>
      </c>
      <c r="F41" s="63">
        <f t="shared" si="24"/>
        <v>3.6341358387566366E-8</v>
      </c>
      <c r="G41" s="71">
        <f>IFERROR(up_RadSpec!$D$8*G8,".")*$B$41</f>
        <v>137.48349999999999</v>
      </c>
      <c r="H41" s="71">
        <f>IFERROR(up_RadSpec!$G$8*H8,".")*B41</f>
        <v>1.4708482765742477E-2</v>
      </c>
      <c r="I41" s="71">
        <f>IFERROR(up_RadSpec!$F$8*I8,".")*B41</f>
        <v>8.6081754185692486E-2</v>
      </c>
      <c r="J41" s="49">
        <f t="shared" si="25"/>
        <v>1</v>
      </c>
      <c r="K41" s="49">
        <f t="shared" si="26"/>
        <v>1.4600841426264277E-2</v>
      </c>
      <c r="L41" s="49">
        <f t="shared" si="27"/>
        <v>8.2480782882618287E-2</v>
      </c>
      <c r="M41" s="49">
        <f t="shared" si="38"/>
        <v>1</v>
      </c>
      <c r="N41" s="60">
        <f>IFERROR(N8/$B41,0)</f>
        <v>5.8084318184480515E-5</v>
      </c>
      <c r="O41" s="60">
        <f>IFERROR(O8/$B41,0)</f>
        <v>1.0662537110944186E-4</v>
      </c>
      <c r="P41" s="60">
        <f>IFERROR(P8/$B41,0)</f>
        <v>7.7826598075017743E-5</v>
      </c>
      <c r="Q41" s="60">
        <f>IFERROR(Q8/$B41,0)</f>
        <v>7.1354705380820074E-5</v>
      </c>
      <c r="R41" s="60">
        <f>IFERROR(R8/$B41,0)</f>
        <v>1.9756464735499801E-4</v>
      </c>
      <c r="S41" s="71">
        <f>IFERROR(up_RadSpec!$F$8*S8,".")*$B$41</f>
        <v>8.6081754185692486E-2</v>
      </c>
      <c r="T41" s="71">
        <f>IFERROR(up_RadSpec!$M$8*T8,".")*$B$41</f>
        <v>4.6893154490106545E-2</v>
      </c>
      <c r="U41" s="71">
        <f>IFERROR(up_RadSpec!$N$8*U8,".")*$B$41</f>
        <v>6.4245388127853867E-2</v>
      </c>
      <c r="V41" s="71">
        <f>IFERROR(up_RadSpec!$O$8*V8,".")*$B$41</f>
        <v>7.0072463663258061E-2</v>
      </c>
      <c r="W41" s="71">
        <f>IFERROR(up_RadSpec!$K$8*W8,".")*$B$41</f>
        <v>2.5308171613394218E-2</v>
      </c>
      <c r="X41" s="49">
        <f t="shared" si="40"/>
        <v>8.2480782882618287E-2</v>
      </c>
      <c r="Y41" s="49">
        <f t="shared" si="28"/>
        <v>4.5810657009043187E-2</v>
      </c>
      <c r="Z41" s="49">
        <f t="shared" si="28"/>
        <v>6.2225147521190904E-2</v>
      </c>
      <c r="AA41" s="49">
        <f t="shared" si="28"/>
        <v>6.7673742317908681E-2</v>
      </c>
      <c r="AB41" s="49">
        <f t="shared" si="28"/>
        <v>2.4990604493107527E-2</v>
      </c>
      <c r="AC41" s="60">
        <f>IFERROR(AC8/$B41,0)</f>
        <v>1.0972745300864677E-9</v>
      </c>
      <c r="AD41" s="60">
        <f>IFERROR(AD8/$B41,0)</f>
        <v>1.752210265231828E-6</v>
      </c>
      <c r="AE41" s="60">
        <f t="shared" si="50"/>
        <v>1.0965878214702828E-9</v>
      </c>
      <c r="AF41" s="71">
        <f>IFERROR(up_RadSpec!$G$8*AF8,".")*$B$41</f>
        <v>4556.7447916666661</v>
      </c>
      <c r="AG41" s="71">
        <f>IFERROR(up_RadSpec!$J$8*AG8,".")*$B$41</f>
        <v>2.8535388127853878</v>
      </c>
      <c r="AH41" s="49">
        <f t="shared" si="41"/>
        <v>1</v>
      </c>
      <c r="AI41" s="49">
        <f t="shared" si="41"/>
        <v>0.94236001757642607</v>
      </c>
      <c r="AJ41" s="49">
        <f t="shared" si="42"/>
        <v>1</v>
      </c>
      <c r="AK41" s="60">
        <f>IFERROR(AK8/$B41,0)</f>
        <v>1.0001200144017281E-10</v>
      </c>
      <c r="AL41" s="60">
        <f>IFERROR(AL8/$B41,0)</f>
        <v>4.3805256630795697E-6</v>
      </c>
      <c r="AM41" s="63">
        <f t="shared" si="30"/>
        <v>1.0000971811327527E-10</v>
      </c>
      <c r="AN41" s="71">
        <f>IFERROR(up_RadSpec!$H$8*AN8,".")*$B$41</f>
        <v>49994</v>
      </c>
      <c r="AO41" s="71">
        <f>IFERROR(up_RadSpec!$L$8*AO8,".")*$B$41</f>
        <v>1.1414155251141551</v>
      </c>
      <c r="AP41" s="49">
        <f t="shared" si="31"/>
        <v>1</v>
      </c>
      <c r="AQ41" s="49">
        <f t="shared" si="32"/>
        <v>0.68063336977969024</v>
      </c>
      <c r="AR41" s="49">
        <f t="shared" si="33"/>
        <v>1</v>
      </c>
      <c r="AS41" s="63">
        <f t="shared" ref="AS41:AX41" si="52">IFERROR(AS8/$B41,0)</f>
        <v>1.000120014401728E-9</v>
      </c>
      <c r="AT41" s="63">
        <f t="shared" si="52"/>
        <v>4.1671667266738666E-12</v>
      </c>
      <c r="AU41" s="63">
        <f t="shared" si="52"/>
        <v>1.0001200144017281E-7</v>
      </c>
      <c r="AV41" s="63">
        <f t="shared" si="52"/>
        <v>1.000120014401728E-9</v>
      </c>
      <c r="AW41" s="63">
        <f t="shared" si="52"/>
        <v>4.1671667266738666E-12</v>
      </c>
      <c r="AX41" s="63">
        <f t="shared" si="52"/>
        <v>1.0001200144017281E-7</v>
      </c>
      <c r="AY41" s="71">
        <f>IFERROR(up_RadSpec!$E$8*AY8,".")*$B$41</f>
        <v>4999.3999999999996</v>
      </c>
      <c r="AZ41" s="71">
        <f>IFERROR(up_RadSpec!$E$8*AZ8,".")*$B$41</f>
        <v>1199856</v>
      </c>
      <c r="BA41" s="71">
        <f>IFERROR(up_RadSpec!$E$8*BA8,".")*$B$41</f>
        <v>49.994</v>
      </c>
      <c r="BB41" s="71">
        <f>IFERROR(up_RadSpec!$E$8*BB8,".")*$B$41</f>
        <v>4999.3999999999996</v>
      </c>
      <c r="BC41" s="71">
        <f>IFERROR(up_RadSpec!$E$8*BC8,".")*$B$41</f>
        <v>1199856</v>
      </c>
      <c r="BD41" s="71">
        <f>IFERROR(up_RadSpec!$E$8*BD8,".")*$B$41</f>
        <v>49.994</v>
      </c>
      <c r="BE41" s="49">
        <f t="shared" si="35"/>
        <v>1</v>
      </c>
      <c r="BF41" s="49">
        <f t="shared" si="36"/>
        <v>1</v>
      </c>
      <c r="BG41" s="49">
        <f t="shared" si="36"/>
        <v>1</v>
      </c>
      <c r="BH41" s="49">
        <f t="shared" si="36"/>
        <v>1</v>
      </c>
      <c r="BI41" s="49">
        <f t="shared" si="36"/>
        <v>1</v>
      </c>
      <c r="BJ41" s="49">
        <f t="shared" si="36"/>
        <v>1</v>
      </c>
    </row>
    <row r="42" spans="1:62" x14ac:dyDescent="0.25">
      <c r="A42" s="48" t="s">
        <v>1087</v>
      </c>
      <c r="B42" s="15">
        <v>0.97898250799999997</v>
      </c>
      <c r="C42" s="60">
        <f>IFERROR(C19/$B42,0)</f>
        <v>3.7144316743641313E-8</v>
      </c>
      <c r="D42" s="60">
        <f>IFERROR(D19/$B42,0)</f>
        <v>3.4719629157933915E-4</v>
      </c>
      <c r="E42" s="60">
        <f>IFERROR(E19/$B42,0)</f>
        <v>4.1067703464989736E-5</v>
      </c>
      <c r="F42" s="63">
        <f t="shared" si="24"/>
        <v>3.7106785122216296E-8</v>
      </c>
      <c r="G42" s="72">
        <f>IFERROR(up_RadSpec!$D$19*G19,".")*$B$42</f>
        <v>134.61009485</v>
      </c>
      <c r="H42" s="72">
        <f>IFERROR(up_RadSpec!$G$19*H19,".")*B42</f>
        <v>1.4401075475938458E-2</v>
      </c>
      <c r="I42" s="72">
        <f>IFERROR(up_RadSpec!$F$19*I19,".")*B42</f>
        <v>0.12175017296164381</v>
      </c>
      <c r="J42" s="49">
        <f t="shared" si="25"/>
        <v>1</v>
      </c>
      <c r="K42" s="49">
        <f t="shared" si="26"/>
        <v>1.4297875977043906E-2</v>
      </c>
      <c r="L42" s="49">
        <f t="shared" si="27"/>
        <v>0.11463046987703807</v>
      </c>
      <c r="M42" s="49">
        <f t="shared" si="38"/>
        <v>1</v>
      </c>
      <c r="N42" s="60">
        <f>IFERROR(N19/$B42,0)</f>
        <v>4.1067703464989736E-5</v>
      </c>
      <c r="O42" s="60">
        <f>IFERROR(O19/$B42,0)</f>
        <v>8.1453830374393643E-5</v>
      </c>
      <c r="P42" s="60">
        <f>IFERROR(P19/$B42,0)</f>
        <v>5.646373136995172E-5</v>
      </c>
      <c r="Q42" s="60">
        <f>IFERROR(Q19/$B42,0)</f>
        <v>4.7158725707862759E-5</v>
      </c>
      <c r="R42" s="60">
        <f>IFERROR(R19/$B42,0)</f>
        <v>1.4026573744580422E-4</v>
      </c>
      <c r="S42" s="72">
        <f>IFERROR(up_RadSpec!$F$19*S19,".")*$B$42</f>
        <v>0.12175017296164381</v>
      </c>
      <c r="T42" s="72">
        <f>IFERROR(up_RadSpec!$M$19*T19,".")*$B$42</f>
        <v>6.1384467458657797E-2</v>
      </c>
      <c r="U42" s="72">
        <f>IFERROR(up_RadSpec!$N$19*U19,".")*$B$42</f>
        <v>8.85524190252302E-2</v>
      </c>
      <c r="V42" s="72">
        <f>IFERROR(up_RadSpec!$O$19*V19,".")*$B$42</f>
        <v>0.10602491744526404</v>
      </c>
      <c r="W42" s="72">
        <f>IFERROR(up_RadSpec!$K$19*W19,".")*$B$42</f>
        <v>3.5646623979943046E-2</v>
      </c>
      <c r="X42" s="49">
        <f t="shared" si="40"/>
        <v>0.11463046987703807</v>
      </c>
      <c r="Y42" s="49">
        <f t="shared" si="28"/>
        <v>5.9538406618943163E-2</v>
      </c>
      <c r="Z42" s="49">
        <f t="shared" si="28"/>
        <v>8.474486730336539E-2</v>
      </c>
      <c r="AA42" s="49">
        <f t="shared" si="28"/>
        <v>0.1005977630092989</v>
      </c>
      <c r="AB42" s="49">
        <f t="shared" si="28"/>
        <v>3.5018765532543128E-2</v>
      </c>
      <c r="AC42" s="60">
        <f>IFERROR(AC19/$B42,0)</f>
        <v>1.1206970994652922E-9</v>
      </c>
      <c r="AD42" s="60">
        <f>IFERROR(AD19/$B42,0)</f>
        <v>1.7896131807086385E-6</v>
      </c>
      <c r="AE42" s="60">
        <f t="shared" si="50"/>
        <v>1.1199957322748266E-9</v>
      </c>
      <c r="AF42" s="72">
        <f>IFERROR(up_RadSpec!$G$19*AF19,".")*$B$42</f>
        <v>4461.5088255208329</v>
      </c>
      <c r="AG42" s="72">
        <f>IFERROR(up_RadSpec!$J$19*AG19,".")*$B$42</f>
        <v>2.793899851598173</v>
      </c>
      <c r="AH42" s="49">
        <f t="shared" si="41"/>
        <v>1</v>
      </c>
      <c r="AI42" s="49">
        <f t="shared" si="41"/>
        <v>0.93881785323804412</v>
      </c>
      <c r="AJ42" s="49">
        <f t="shared" si="42"/>
        <v>1</v>
      </c>
      <c r="AK42" s="60">
        <f>IFERROR(AK19/$B42,0)</f>
        <v>1.0214687104501359E-10</v>
      </c>
      <c r="AL42" s="60">
        <f>IFERROR(AL19/$B42,0)</f>
        <v>4.4740329517715967E-6</v>
      </c>
      <c r="AM42" s="63">
        <f t="shared" si="30"/>
        <v>1.0214453897791363E-10</v>
      </c>
      <c r="AN42" s="72">
        <f>IFERROR(up_RadSpec!$H$19*AN19,".")*$B$42</f>
        <v>48949.125399999997</v>
      </c>
      <c r="AO42" s="72">
        <f>IFERROR(up_RadSpec!$L$19*AO19,".")*$B$42</f>
        <v>1.1175599406392691</v>
      </c>
      <c r="AP42" s="49">
        <f t="shared" si="31"/>
        <v>1</v>
      </c>
      <c r="AQ42" s="49">
        <f t="shared" si="32"/>
        <v>0.67292309120241578</v>
      </c>
      <c r="AR42" s="49">
        <f t="shared" si="33"/>
        <v>1</v>
      </c>
      <c r="AS42" s="63">
        <f t="shared" ref="AS42:AX42" si="53">IFERROR(AS19/$B42,0)</f>
        <v>1.021468710450136E-9</v>
      </c>
      <c r="AT42" s="63">
        <f t="shared" si="53"/>
        <v>4.2561196268755666E-12</v>
      </c>
      <c r="AU42" s="63">
        <f t="shared" si="53"/>
        <v>1.0214687104501358E-7</v>
      </c>
      <c r="AV42" s="63">
        <f t="shared" si="53"/>
        <v>1.021468710450136E-9</v>
      </c>
      <c r="AW42" s="63">
        <f t="shared" si="53"/>
        <v>4.2561196268755666E-12</v>
      </c>
      <c r="AX42" s="63">
        <f t="shared" si="53"/>
        <v>1.0214687104501358E-7</v>
      </c>
      <c r="AY42" s="72">
        <f>IFERROR(up_RadSpec!$E$19*AY19,".")*$B$42</f>
        <v>4894.9125400000003</v>
      </c>
      <c r="AZ42" s="72">
        <f>IFERROR(up_RadSpec!$E$19*AZ19,".")*$B$42</f>
        <v>1174779.0096</v>
      </c>
      <c r="BA42" s="72">
        <f>IFERROR(up_RadSpec!$E$19*BA19,".")*$B$42</f>
        <v>48.9491254</v>
      </c>
      <c r="BB42" s="72">
        <f>IFERROR(up_RadSpec!$E$19*BB19,".")*$B$42</f>
        <v>4894.9125400000003</v>
      </c>
      <c r="BC42" s="72">
        <f>IFERROR(up_RadSpec!$E$19*BC19,".")*$B$42</f>
        <v>1174779.0096</v>
      </c>
      <c r="BD42" s="72">
        <f>IFERROR(up_RadSpec!$E$19*BD19,".")*$B$42</f>
        <v>48.9491254</v>
      </c>
      <c r="BE42" s="49">
        <f t="shared" si="35"/>
        <v>1</v>
      </c>
      <c r="BF42" s="49">
        <f t="shared" si="36"/>
        <v>1</v>
      </c>
      <c r="BG42" s="49">
        <f t="shared" si="36"/>
        <v>1</v>
      </c>
      <c r="BH42" s="49">
        <f t="shared" si="36"/>
        <v>1</v>
      </c>
      <c r="BI42" s="49">
        <f t="shared" si="36"/>
        <v>1</v>
      </c>
      <c r="BJ42" s="49">
        <f t="shared" si="36"/>
        <v>1</v>
      </c>
    </row>
    <row r="43" spans="1:62" x14ac:dyDescent="0.25">
      <c r="A43" s="48" t="s">
        <v>1088</v>
      </c>
      <c r="B43" s="15">
        <v>2.0897492E-2</v>
      </c>
      <c r="C43" s="60">
        <f>IFERROR(C28/$B43,0)</f>
        <v>1.7400957188372825E-6</v>
      </c>
      <c r="D43" s="60">
        <f>IFERROR(D28/$B43,0)</f>
        <v>1.6265066463412966E-2</v>
      </c>
      <c r="E43" s="60">
        <f>IFERROR(E28/$B43,0)</f>
        <v>1.3692276944893072E-3</v>
      </c>
      <c r="F43" s="63">
        <f t="shared" si="24"/>
        <v>1.7377014392477746E-6</v>
      </c>
      <c r="G43" s="72">
        <f>IFERROR(up_RadSpec!D28*G28,".")*$B$43</f>
        <v>2.87340515</v>
      </c>
      <c r="H43" s="72">
        <f>IFERROR(up_RadSpec!E28*H28,".")*B43</f>
        <v>3.0740728980401774E-4</v>
      </c>
      <c r="I43" s="72">
        <f>IFERROR(up_RadSpec!F28*I28,".")*B43</f>
        <v>3.6516935934931502E-3</v>
      </c>
      <c r="J43" s="49">
        <f t="shared" si="25"/>
        <v>0.94349381342943939</v>
      </c>
      <c r="K43" s="49">
        <f t="shared" si="26"/>
        <v>3.0740728980401774E-4</v>
      </c>
      <c r="L43" s="49">
        <f t="shared" si="27"/>
        <v>3.6516935934931502E-3</v>
      </c>
      <c r="M43" s="49">
        <f t="shared" si="38"/>
        <v>0.94371708485391714</v>
      </c>
      <c r="N43" s="60">
        <f>IFERROR(N28/$B43,0)</f>
        <v>1.3692276944893072E-3</v>
      </c>
      <c r="O43" s="60">
        <f>IFERROR(O28/$B43,0)</f>
        <v>3.0531864557121553E-3</v>
      </c>
      <c r="P43" s="60">
        <f>IFERROR(P28/$B43,0)</f>
        <v>2.1197929641866052E-3</v>
      </c>
      <c r="Q43" s="60">
        <f>IFERROR(Q28/$B43,0)</f>
        <v>1.8353227196405493E-3</v>
      </c>
      <c r="R43" s="60">
        <f>IFERROR(R28/$B43,0)</f>
        <v>5.3673942961710158E-3</v>
      </c>
      <c r="S43" s="72">
        <f>IFERROR(up_RadSpec!$F$28*S28,".")*$B$43</f>
        <v>3.6516935934931502E-3</v>
      </c>
      <c r="T43" s="72">
        <f>IFERROR(up_RadSpec!$M$28*T28,".")*$B$43</f>
        <v>1.6376333619080433E-3</v>
      </c>
      <c r="U43" s="72">
        <f>IFERROR(up_RadSpec!$N$28*U28,".")*$B$43</f>
        <v>2.3587209149543383E-3</v>
      </c>
      <c r="V43" s="72">
        <f>IFERROR(up_RadSpec!$O$28*V28,".")*$B$43</f>
        <v>2.7243165174674331E-3</v>
      </c>
      <c r="W43" s="72">
        <f>IFERROR(up_RadSpec!$K$28*W28,".")*$B$43</f>
        <v>9.315507160647566E-4</v>
      </c>
      <c r="X43" s="49">
        <f t="shared" si="40"/>
        <v>3.6516935934931502E-3</v>
      </c>
      <c r="Y43" s="49">
        <f t="shared" si="28"/>
        <v>1.6376333619080433E-3</v>
      </c>
      <c r="Z43" s="49">
        <f t="shared" si="28"/>
        <v>2.3587209149543383E-3</v>
      </c>
      <c r="AA43" s="49">
        <f t="shared" si="28"/>
        <v>2.7243165174674331E-3</v>
      </c>
      <c r="AB43" s="49">
        <f t="shared" si="28"/>
        <v>9.315507160647566E-4</v>
      </c>
      <c r="AC43" s="60">
        <f>IFERROR(AC28/$B43,0)</f>
        <v>5.2501173688347737E-8</v>
      </c>
      <c r="AD43" s="60">
        <f>IFERROR(AD28/$B43,0)</f>
        <v>8.3837811733580286E-5</v>
      </c>
      <c r="AE43" s="60">
        <f t="shared" si="50"/>
        <v>5.2468316816759942E-8</v>
      </c>
      <c r="AF43" s="72">
        <f>IFERROR(up_RadSpec!$G$28*AF28,".")*$B$43</f>
        <v>95.235966145833316</v>
      </c>
      <c r="AG43" s="72">
        <f>IFERROR(up_RadSpec!$J$28*AG28,".")*$B$43</f>
        <v>5.9638961187214602E-2</v>
      </c>
      <c r="AH43" s="49">
        <f t="shared" si="41"/>
        <v>1</v>
      </c>
      <c r="AI43" s="49">
        <f t="shared" si="41"/>
        <v>5.7895391480191183E-2</v>
      </c>
      <c r="AJ43" s="49">
        <f t="shared" si="42"/>
        <v>1</v>
      </c>
      <c r="AK43" s="60">
        <f>IFERROR(AK28/$B43,0)</f>
        <v>4.7852632268025269E-9</v>
      </c>
      <c r="AL43" s="60">
        <f>IFERROR(AL28/$B43,0)</f>
        <v>2.0959452933395071E-4</v>
      </c>
      <c r="AM43" s="63">
        <f t="shared" si="30"/>
        <v>4.7851539767117338E-9</v>
      </c>
      <c r="AN43" s="72">
        <f>IFERROR(up_RadSpec!$H$28*AN28,".")*$B$43</f>
        <v>1044.8746000000001</v>
      </c>
      <c r="AO43" s="72">
        <f>IFERROR(up_RadSpec!$L$28*AO28,".")*$B$43</f>
        <v>2.3855584474885842E-2</v>
      </c>
      <c r="AP43" s="49">
        <f t="shared" si="31"/>
        <v>1</v>
      </c>
      <c r="AQ43" s="49">
        <f t="shared" si="32"/>
        <v>2.3573289247533324E-2</v>
      </c>
      <c r="AR43" s="49">
        <f t="shared" si="33"/>
        <v>1</v>
      </c>
      <c r="AS43" s="63">
        <f t="shared" ref="AS43:AX43" si="54">IFERROR(AS28/$B43,0)</f>
        <v>4.7852632268025266E-8</v>
      </c>
      <c r="AT43" s="63">
        <f t="shared" si="54"/>
        <v>1.993859677834386E-10</v>
      </c>
      <c r="AU43" s="63">
        <f t="shared" si="54"/>
        <v>4.7852632268025264E-6</v>
      </c>
      <c r="AV43" s="63">
        <f t="shared" si="54"/>
        <v>4.7852632268025266E-8</v>
      </c>
      <c r="AW43" s="63">
        <f t="shared" si="54"/>
        <v>1.993859677834386E-10</v>
      </c>
      <c r="AX43" s="63">
        <f t="shared" si="54"/>
        <v>4.7852632268025264E-6</v>
      </c>
      <c r="AY43" s="72">
        <f>IFERROR(up_RadSpec!$E$28*AY28,".")*$B$43</f>
        <v>104.48746</v>
      </c>
      <c r="AZ43" s="72">
        <f>IFERROR(up_RadSpec!$E$28*AZ28,".")*$B$43</f>
        <v>25076.990399999999</v>
      </c>
      <c r="BA43" s="72">
        <f>IFERROR(up_RadSpec!$E$28*BA28,".")*$B$43</f>
        <v>1.0448746</v>
      </c>
      <c r="BB43" s="72">
        <f>IFERROR(up_RadSpec!$E$28*BB28,".")*$B$43</f>
        <v>104.48746</v>
      </c>
      <c r="BC43" s="72">
        <f>IFERROR(up_RadSpec!$E$28*BC28,".")*$B$43</f>
        <v>25076.990399999999</v>
      </c>
      <c r="BD43" s="72">
        <f>IFERROR(up_RadSpec!$E$28*BD28,".")*$B$43</f>
        <v>1.0448746</v>
      </c>
      <c r="BE43" s="49">
        <f t="shared" si="35"/>
        <v>1</v>
      </c>
      <c r="BF43" s="49">
        <f t="shared" si="36"/>
        <v>1</v>
      </c>
      <c r="BG43" s="49">
        <f t="shared" si="36"/>
        <v>0.64826407570246247</v>
      </c>
      <c r="BH43" s="49">
        <f t="shared" si="36"/>
        <v>1</v>
      </c>
      <c r="BI43" s="49">
        <f t="shared" si="36"/>
        <v>1</v>
      </c>
      <c r="BJ43" s="49">
        <f t="shared" si="36"/>
        <v>0.64826407570246247</v>
      </c>
    </row>
    <row r="44" spans="1:62" x14ac:dyDescent="0.25">
      <c r="A44" s="48" t="s">
        <v>1089</v>
      </c>
      <c r="B44" s="15">
        <v>0.99987999999999999</v>
      </c>
      <c r="C44" s="60">
        <f>IFERROR(C15/$B44,0)</f>
        <v>3.6368000523699208E-8</v>
      </c>
      <c r="D44" s="60">
        <f>IFERROR(D15/$B44,0)</f>
        <v>3.3993988908533095E-4</v>
      </c>
      <c r="E44" s="60">
        <f>IFERROR(E15/$B44,0)</f>
        <v>0</v>
      </c>
      <c r="F44" s="63">
        <f t="shared" si="24"/>
        <v>3.6364110159491337E-8</v>
      </c>
      <c r="G44" s="71">
        <f>IFERROR(up_RadSpec!$D$15*G15,".")*$B$44</f>
        <v>137.48349999999999</v>
      </c>
      <c r="H44" s="71">
        <f>IFERROR(up_RadSpec!$G$15*H15,".")*B44</f>
        <v>1.4708482765742477E-2</v>
      </c>
      <c r="I44" s="71">
        <f>IFERROR(up_RadSpec!$F$15*I15,".")*B44</f>
        <v>0</v>
      </c>
      <c r="J44" s="49">
        <f t="shared" si="25"/>
        <v>1</v>
      </c>
      <c r="K44" s="49">
        <f t="shared" si="26"/>
        <v>1.4600841426264277E-2</v>
      </c>
      <c r="L44" s="49">
        <f t="shared" si="27"/>
        <v>0</v>
      </c>
      <c r="M44" s="49">
        <f t="shared" si="38"/>
        <v>1</v>
      </c>
      <c r="N44" s="60">
        <f>IFERROR(N15/$B44,0)</f>
        <v>0</v>
      </c>
      <c r="O44" s="60">
        <f>IFERROR(O15/$B44,0)</f>
        <v>0</v>
      </c>
      <c r="P44" s="60">
        <f>IFERROR(P15/$B44,0)</f>
        <v>0</v>
      </c>
      <c r="Q44" s="60">
        <f>IFERROR(Q15/$B44,0)</f>
        <v>0</v>
      </c>
      <c r="R44" s="60">
        <f>IFERROR(R15/$B44,0)</f>
        <v>0</v>
      </c>
      <c r="S44" s="71">
        <f>IFERROR(up_RadSpec!$F$15*S15,".")*$B$44</f>
        <v>0</v>
      </c>
      <c r="T44" s="71">
        <f>IFERROR(up_RadSpec!$M$15*T15,".")*$B$44</f>
        <v>0</v>
      </c>
      <c r="U44" s="71">
        <f>IFERROR(up_RadSpec!$N$15*U15,".")*$B$44</f>
        <v>0</v>
      </c>
      <c r="V44" s="71">
        <f>IFERROR(up_RadSpec!$O$15*V15,".")*$B$44</f>
        <v>0</v>
      </c>
      <c r="W44" s="71">
        <f>IFERROR(up_RadSpec!$K$15*W15,".")*$B$44</f>
        <v>0</v>
      </c>
      <c r="X44" s="49">
        <f t="shared" si="40"/>
        <v>0</v>
      </c>
      <c r="Y44" s="49">
        <f t="shared" si="28"/>
        <v>0</v>
      </c>
      <c r="Z44" s="49">
        <f t="shared" si="28"/>
        <v>0</v>
      </c>
      <c r="AA44" s="49">
        <f t="shared" si="28"/>
        <v>0</v>
      </c>
      <c r="AB44" s="49">
        <f t="shared" si="28"/>
        <v>0</v>
      </c>
      <c r="AC44" s="60">
        <f>IFERROR(AC15/$B44,0)</f>
        <v>1.0972745300864677E-9</v>
      </c>
      <c r="AD44" s="60">
        <f>IFERROR(AD15/$B44,0)</f>
        <v>1.752210265231828E-6</v>
      </c>
      <c r="AE44" s="60">
        <f t="shared" si="50"/>
        <v>1.0965878214702828E-9</v>
      </c>
      <c r="AF44" s="71">
        <f>IFERROR(up_RadSpec!$G$15*AF15,".")*$B$44</f>
        <v>4556.7447916666661</v>
      </c>
      <c r="AG44" s="71">
        <f>IFERROR(up_RadSpec!$J$15*AG15,".")*$B$44</f>
        <v>2.8535388127853878</v>
      </c>
      <c r="AH44" s="49">
        <f t="shared" si="41"/>
        <v>1</v>
      </c>
      <c r="AI44" s="49">
        <f t="shared" si="41"/>
        <v>0.94236001757642607</v>
      </c>
      <c r="AJ44" s="49">
        <f t="shared" si="42"/>
        <v>1</v>
      </c>
      <c r="AK44" s="60">
        <f>IFERROR(AK15/$B44,0)</f>
        <v>1.0001200144017281E-10</v>
      </c>
      <c r="AL44" s="60">
        <f>IFERROR(AL15/$B44,0)</f>
        <v>4.3805256630795697E-6</v>
      </c>
      <c r="AM44" s="63">
        <f t="shared" si="30"/>
        <v>1.0000971811327527E-10</v>
      </c>
      <c r="AN44" s="71">
        <f>IFERROR(up_RadSpec!$H$15*AN15,".")*$B$44</f>
        <v>49994</v>
      </c>
      <c r="AO44" s="71">
        <f>IFERROR(up_RadSpec!$L$15*AO15,".")*$B$44</f>
        <v>1.1414155251141551</v>
      </c>
      <c r="AP44" s="49">
        <f t="shared" si="31"/>
        <v>1</v>
      </c>
      <c r="AQ44" s="49">
        <f t="shared" si="32"/>
        <v>0.68063336977969024</v>
      </c>
      <c r="AR44" s="49">
        <f t="shared" si="33"/>
        <v>1</v>
      </c>
      <c r="AS44" s="63">
        <f t="shared" ref="AS44:AX44" si="55">IFERROR(AS15/$B44,0)</f>
        <v>1.000120014401728E-9</v>
      </c>
      <c r="AT44" s="63">
        <f t="shared" si="55"/>
        <v>4.1671667266738666E-12</v>
      </c>
      <c r="AU44" s="63">
        <f t="shared" si="55"/>
        <v>1.0001200144017281E-7</v>
      </c>
      <c r="AV44" s="63">
        <f t="shared" si="55"/>
        <v>1.000120014401728E-9</v>
      </c>
      <c r="AW44" s="63">
        <f t="shared" si="55"/>
        <v>4.1671667266738666E-12</v>
      </c>
      <c r="AX44" s="63">
        <f t="shared" si="55"/>
        <v>1.0001200144017281E-7</v>
      </c>
      <c r="AY44" s="71">
        <f>IFERROR(up_RadSpec!$E$15*AY15,".")*$B$44</f>
        <v>4999.3999999999996</v>
      </c>
      <c r="AZ44" s="71">
        <f>IFERROR(up_RadSpec!$E$15*AZ15,".")*$B$44</f>
        <v>1199856</v>
      </c>
      <c r="BA44" s="71">
        <f>IFERROR(up_RadSpec!$E$15*BA15,".")*$B$44</f>
        <v>49.994</v>
      </c>
      <c r="BB44" s="71">
        <f>IFERROR(up_RadSpec!$E$15*BB15,".")*$B$44</f>
        <v>4999.3999999999996</v>
      </c>
      <c r="BC44" s="71">
        <f>IFERROR(up_RadSpec!$E$15*BC15,".")*$B$44</f>
        <v>1199856</v>
      </c>
      <c r="BD44" s="71">
        <f>IFERROR(up_RadSpec!$E$15*BD15,".")*$B$44</f>
        <v>49.994</v>
      </c>
      <c r="BE44" s="49">
        <f t="shared" si="35"/>
        <v>1</v>
      </c>
      <c r="BF44" s="49">
        <f t="shared" si="36"/>
        <v>1</v>
      </c>
      <c r="BG44" s="49">
        <f t="shared" si="36"/>
        <v>1</v>
      </c>
      <c r="BH44" s="49">
        <f t="shared" si="36"/>
        <v>1</v>
      </c>
      <c r="BI44" s="49">
        <f t="shared" si="36"/>
        <v>1</v>
      </c>
      <c r="BJ44" s="49">
        <f t="shared" si="36"/>
        <v>1</v>
      </c>
    </row>
    <row r="45" spans="1:62" x14ac:dyDescent="0.25">
      <c r="A45" s="57" t="s">
        <v>20</v>
      </c>
      <c r="B45" s="57" t="s">
        <v>1259</v>
      </c>
      <c r="C45" s="58">
        <f>IFERROR(IF(AND(C46&lt;&gt;0,C47&lt;&gt;0),1/SUM(1/C46,1/C47),IF(AND(C46&lt;&gt;0,C47=0),1/(1/C46),IF(AND(C46=0,C47&lt;&gt;0),1/(1/C47),IF(AND(C46=0,C47=0),".")))),".")</f>
        <v>1.8705670483714608E-8</v>
      </c>
      <c r="D45" s="58">
        <f t="shared" ref="D45:F45" si="56">IFERROR(IF(AND(D46&lt;&gt;0,D47&lt;&gt;0),1/SUM(1/D46,1/D47),IF(AND(D46&lt;&gt;0,D47=0),1/(1/D46),IF(AND(D46=0,D47&lt;&gt;0),1/(1/D47),IF(AND(D46=0,D47=0),".")))),".")</f>
        <v>1.7484611355955573E-4</v>
      </c>
      <c r="E45" s="58">
        <f t="shared" si="56"/>
        <v>2.5981151080508998E-5</v>
      </c>
      <c r="F45" s="62">
        <f t="shared" si="56"/>
        <v>1.8690214527910997E-8</v>
      </c>
      <c r="G45" s="70"/>
      <c r="H45" s="70"/>
      <c r="I45" s="70"/>
      <c r="J45" s="47">
        <f>IFERROR(IF(SUM(G46:G47)&gt;0.01,1-EXP(-SUM(G46:G47)),SUM(G46:G47)),".")</f>
        <v>1</v>
      </c>
      <c r="K45" s="47">
        <f>IFERROR(IF(SUM(H46:H47)&gt;0.01,1-EXP(-SUM(H46:H47)),SUM(H46:H47)),".")</f>
        <v>2.8191562786485047E-2</v>
      </c>
      <c r="L45" s="47">
        <f>IFERROR(IF(SUM(I46:I47)&gt;0.01,1-EXP(-SUM(I46:I47)),SUM(I46:I47)),".")</f>
        <v>0.17506213326833409</v>
      </c>
      <c r="M45" s="47">
        <f>IFERROR(IF(SUM(G46:I47)&gt;0.01,1-EXP(-SUM(G46:I47)),SUM(G46:I47)),".")</f>
        <v>1</v>
      </c>
      <c r="N45" s="59">
        <f t="shared" ref="N45:R45" si="57">IFERROR(IF(AND(N46&lt;&gt;0,N47&lt;&gt;0),1/SUM(1/N46,1/N47),IF(AND(N46&lt;&gt;0,N47=0),1/(1/N46),IF(AND(N46=0,N47&lt;&gt;0),1/(1/N47),IF(AND(N46=0,N47=0),".")))),".")</f>
        <v>2.5981151080508998E-5</v>
      </c>
      <c r="O45" s="59">
        <f t="shared" si="57"/>
        <v>4.4334812008088643E-5</v>
      </c>
      <c r="P45" s="59">
        <f t="shared" si="57"/>
        <v>3.150099170495445E-5</v>
      </c>
      <c r="Q45" s="59">
        <f t="shared" si="57"/>
        <v>2.7408799572830582E-5</v>
      </c>
      <c r="R45" s="59">
        <f t="shared" si="57"/>
        <v>7.4502220336743858E-5</v>
      </c>
      <c r="S45" s="70"/>
      <c r="T45" s="70"/>
      <c r="U45" s="70"/>
      <c r="V45" s="70"/>
      <c r="W45" s="70"/>
      <c r="X45" s="47">
        <f>IFERROR(IF(SUM(S46:S47)&gt;0.01,1-EXP(-SUM(S46:S47)),SUM(S46:S47)),".")</f>
        <v>0.17506213326833409</v>
      </c>
      <c r="Y45" s="47">
        <f t="shared" ref="Y45:AB45" si="58">IFERROR(IF(SUM(T46:T47)&gt;0.01,1-EXP(-SUM(T46:T47)),SUM(T46:T47)),".")</f>
        <v>0.10665121113999632</v>
      </c>
      <c r="Z45" s="47">
        <f t="shared" si="58"/>
        <v>0.14676917268638789</v>
      </c>
      <c r="AA45" s="47">
        <f t="shared" si="58"/>
        <v>0.16675133687555155</v>
      </c>
      <c r="AB45" s="47">
        <f t="shared" si="58"/>
        <v>6.4909622377604781E-2</v>
      </c>
      <c r="AC45" s="58">
        <f t="shared" ref="AC45:AE45" si="59">IFERROR(IF(AND(AC46&lt;&gt;0,AC47&lt;&gt;0),1/SUM(1/AC46,1/AC47),IF(AND(AC46&lt;&gt;0,AC47=0),1/(1/AC46),IF(AND(AC46=0,AC47&lt;&gt;0),1/(1/AC47),IF(AND(AC46=0,AC47=0),".")))),".")</f>
        <v>5.6437680088007518E-10</v>
      </c>
      <c r="AD45" s="58">
        <f t="shared" si="59"/>
        <v>9.0123920390536997E-7</v>
      </c>
      <c r="AE45" s="59">
        <f t="shared" si="59"/>
        <v>5.6402359627966523E-10</v>
      </c>
      <c r="AF45" s="70"/>
      <c r="AG45" s="70"/>
      <c r="AH45" s="47">
        <f>IFERROR(IF(SUM(AF46:AF47)&gt;0.01,1-EXP(-SUM(AF46:AF47)),SUM(AF46:AF47)),".")</f>
        <v>1</v>
      </c>
      <c r="AI45" s="47">
        <f>IFERROR(IF(SUM(AG46:AG47)&gt;0.01,1-EXP(-SUM(AG46:AG47)),SUM(AG46:AG47)),".")</f>
        <v>0.99610443544508287</v>
      </c>
      <c r="AJ45" s="47">
        <f t="shared" ref="AJ45" si="60">IFERROR(IF(SUM(AH46:AH47)&gt;0.01,1-EXP(-SUM(AH46:AH47)),SUM(AH46:AH47)),".")</f>
        <v>0.8646647167633873</v>
      </c>
      <c r="AK45" s="58">
        <f t="shared" ref="AK45:AM45" si="61">IFERROR(IF(AND(AK46&lt;&gt;0,AK47&lt;&gt;0),1/SUM(1/AK46,1/AK47),IF(AND(AK46&lt;&gt;0,AK47=0),1/(1/AK46),IF(AND(AK46=0,AK47&lt;&gt;0),1/(1/AK47),IF(AND(AK46=0,AK47=0),".")))),".")</f>
        <v>5.1440593830215175E-11</v>
      </c>
      <c r="AL45" s="58">
        <f t="shared" si="61"/>
        <v>2.2530980097634248E-6</v>
      </c>
      <c r="AM45" s="62">
        <f t="shared" si="61"/>
        <v>5.1439419414246809E-11</v>
      </c>
      <c r="AN45" s="70"/>
      <c r="AO45" s="70"/>
      <c r="AP45" s="47">
        <f>IFERROR(IF(SUM(AN46:AN47)&gt;0.01,1-EXP(-SUM(AN46:AN47)),SUM(AN46:AN47)),".")</f>
        <v>1</v>
      </c>
      <c r="AQ45" s="47">
        <f>IFERROR(IF(SUM(AO46:AO47)&gt;0.01,1-EXP(-SUM(AO46:AO47)),SUM(AO46:AO47)),".")</f>
        <v>0.89130034586238083</v>
      </c>
      <c r="AR45" s="47">
        <f>IFERROR(IF(SUM(AN46:AO47)&gt;0.01,1-EXP(-SUM(AN46:AO47)),SUM(AN46:AO47)),".")</f>
        <v>1</v>
      </c>
      <c r="AS45" s="61">
        <f t="shared" ref="AS45:AX45" si="62">IFERROR(IF(AND(AS46&lt;&gt;0,AS47&lt;&gt;0),1/SUM(1/AS46,1/AS47),IF(AND(AS46&lt;&gt;0,AS47=0),1/(1/AS46),IF(AND(AS46=0,AS47&lt;&gt;0),1/(1/AS47),IF(AND(AS46=0,AS47=0),".")))),".")</f>
        <v>5.1440593830215171E-10</v>
      </c>
      <c r="AT45" s="61">
        <f t="shared" si="62"/>
        <v>2.1433580762589652E-12</v>
      </c>
      <c r="AU45" s="61">
        <f t="shared" si="62"/>
        <v>5.1440593830215164E-8</v>
      </c>
      <c r="AV45" s="61">
        <f t="shared" si="62"/>
        <v>5.1440593830215171E-10</v>
      </c>
      <c r="AW45" s="61">
        <f t="shared" si="62"/>
        <v>2.1433580762589652E-12</v>
      </c>
      <c r="AX45" s="61">
        <f t="shared" si="62"/>
        <v>5.1440593830215164E-8</v>
      </c>
      <c r="AY45" s="70"/>
      <c r="AZ45" s="70"/>
      <c r="BA45" s="70"/>
      <c r="BB45" s="70"/>
      <c r="BC45" s="70"/>
      <c r="BD45" s="70"/>
      <c r="BE45" s="47">
        <f>IFERROR(IF(SUM(AY46:AY47)&gt;0.01,1-EXP(-SUM(AY46:AY47)),SUM(AY46:AY47)),".")</f>
        <v>1</v>
      </c>
      <c r="BF45" s="47">
        <f t="shared" ref="BF45:BJ45" si="63">IFERROR(IF(SUM(AZ46:AZ47)&gt;0.01,1-EXP(-SUM(AZ46:AZ47)),SUM(AZ46:AZ47)),".")</f>
        <v>1</v>
      </c>
      <c r="BG45" s="47">
        <f t="shared" si="63"/>
        <v>1</v>
      </c>
      <c r="BH45" s="47">
        <f t="shared" si="63"/>
        <v>1</v>
      </c>
      <c r="BI45" s="47">
        <f t="shared" si="63"/>
        <v>1</v>
      </c>
      <c r="BJ45" s="47">
        <f t="shared" si="63"/>
        <v>1</v>
      </c>
    </row>
    <row r="46" spans="1:62" x14ac:dyDescent="0.25">
      <c r="A46" s="48" t="s">
        <v>1101</v>
      </c>
      <c r="B46" s="15">
        <v>1</v>
      </c>
      <c r="C46" s="60">
        <f>IFERROR(C10/$B46,0)</f>
        <v>3.6363636363636363E-8</v>
      </c>
      <c r="D46" s="60">
        <f>IFERROR(D10/$B46,0)</f>
        <v>3.3989909629864073E-4</v>
      </c>
      <c r="E46" s="60">
        <f>IFERROR(E10/$B46,0)</f>
        <v>5.4729142857142854E-5</v>
      </c>
      <c r="F46" s="63">
        <f>IF(AND(C46&lt;&gt;0,D46&lt;&gt;0,E46&lt;&gt;0),1/((1/C46)+(1/D46)+(1/E46)),IF(AND(C46&lt;&gt;0,D46&lt;&gt;0,E46=0), 1/((1/C46)+(1/D46)),IF(AND(C46&lt;&gt;0,D46=0,E46&lt;&gt;0),1/((1/C46)+(1/E46)),IF(AND(C46=0,D46&lt;&gt;0,E46&lt;&gt;0),1/((1/D46)+(1/E46)),IF(AND(C46&lt;&gt;0,D46=0,E46=0),1/((1/C46)),IF(AND(C46=0,D46&lt;&gt;0,E46=0),1/((1/D46)),IF(AND(C46=0,D46=0,E46&lt;&gt;0),1/((1/E46)),IF(AND(C46=0,D46=0,E46=0),0))))))))</f>
        <v>3.6335606613623346E-8</v>
      </c>
      <c r="G46" s="71">
        <f>IFERROR(up_RadSpec!$D$10*G10,".")*$B$46</f>
        <v>137.5</v>
      </c>
      <c r="H46" s="71">
        <f>IFERROR(up_RadSpec!$G$10*H10,".")*B46</f>
        <v>1.4710247995501937E-2</v>
      </c>
      <c r="I46" s="71">
        <f>IFERROR(up_RadSpec!$F$10*I10,".")*B46</f>
        <v>9.1359004343468095E-2</v>
      </c>
      <c r="J46" s="49">
        <f t="shared" ref="J46:L47" si="64">IFERROR(IF(G46&gt;0.01,1-EXP(-G46),G46),".")</f>
        <v>1</v>
      </c>
      <c r="K46" s="49">
        <f t="shared" si="64"/>
        <v>1.4602580880648697E-2</v>
      </c>
      <c r="L46" s="49">
        <f t="shared" si="64"/>
        <v>8.7310007594909145E-2</v>
      </c>
      <c r="M46" s="49">
        <f t="shared" ref="M46:M47" si="65">IFERROR(IF(SUM(G46:I46)&gt;0.01,1-EXP(-SUM(G46:I46)),SUM(G46:I46)),".")</f>
        <v>1</v>
      </c>
      <c r="N46" s="60">
        <f>IFERROR(N10/$B46,0)</f>
        <v>5.4729142857142854E-5</v>
      </c>
      <c r="O46" s="60">
        <f>IFERROR(O10/$B46,0)</f>
        <v>8.5282539682539639E-5</v>
      </c>
      <c r="P46" s="60">
        <f>IFERROR(P10/$B46,0)</f>
        <v>6.0902891958435938E-5</v>
      </c>
      <c r="Q46" s="60">
        <f>IFERROR(Q10/$B46,0)</f>
        <v>5.5702811244979914E-5</v>
      </c>
      <c r="R46" s="60">
        <f>IFERROR(R10/$B46,0)</f>
        <v>1.433670738801629E-4</v>
      </c>
      <c r="S46" s="71">
        <f>IFERROR(up_RadSpec!$F$10*S10,".")*$B46</f>
        <v>9.1359004343468095E-2</v>
      </c>
      <c r="T46" s="71">
        <f>IFERROR(up_RadSpec!$M$10*T10,".")*$B46</f>
        <v>5.8628648004764763E-2</v>
      </c>
      <c r="U46" s="71">
        <f>IFERROR(up_RadSpec!$N$10*U10,".")*$B46</f>
        <v>8.2097907656213137E-2</v>
      </c>
      <c r="V46" s="71">
        <f>IFERROR(up_RadSpec!$O$10*V10,".")*$B46</f>
        <v>8.9762076423936549E-2</v>
      </c>
      <c r="W46" s="71">
        <f>IFERROR(up_RadSpec!$K$10*W10,".")*$B46</f>
        <v>3.4875511264039469E-2</v>
      </c>
      <c r="X46" s="49">
        <f t="shared" ref="X46:AB47" si="66">IFERROR(IF(S46&gt;0.01,1-EXP(-S46),S46),".")</f>
        <v>8.7310007594909145E-2</v>
      </c>
      <c r="Y46" s="49">
        <f t="shared" si="66"/>
        <v>5.6943089794487256E-2</v>
      </c>
      <c r="Z46" s="49">
        <f t="shared" si="66"/>
        <v>7.8818236466391633E-2</v>
      </c>
      <c r="AA46" s="49">
        <f t="shared" si="66"/>
        <v>8.5851343083106268E-2</v>
      </c>
      <c r="AB46" s="49">
        <f t="shared" si="66"/>
        <v>3.4274369262207838E-2</v>
      </c>
      <c r="AC46" s="60">
        <f>IFERROR(AC10/$B46,0)</f>
        <v>1.0971428571428573E-9</v>
      </c>
      <c r="AD46" s="60">
        <f>IFERROR(AD10/$B46,0)</f>
        <v>1.7520000000000001E-6</v>
      </c>
      <c r="AE46" s="60">
        <f t="shared" ref="AE46:AE47" si="67">IFERROR(IF(AND(AC46&lt;&gt;0,AD46&lt;&gt;0),1/((1/AC46)+(1/AD46)),IF(AND(AC46&lt;&gt;0,AD46=0),1/((1/AC46)),IF(AND(AC46=0,AD46&lt;&gt;0),1/((1/AD46)),IF(AND(AC46=".",AD46="."),".")))),".")</f>
        <v>1.0964562309317064E-9</v>
      </c>
      <c r="AF46" s="71">
        <f>IFERROR(up_RadSpec!$G$10*AF10,".")*$B$46</f>
        <v>4557.2916666666661</v>
      </c>
      <c r="AG46" s="71">
        <f>IFERROR(up_RadSpec!$J$10*AG10,".")*$B$46</f>
        <v>2.8538812785388123</v>
      </c>
      <c r="AH46" s="49">
        <f>IFERROR(IF(AF46&gt;0.01,1-EXP(-AF46),AF46),".")</f>
        <v>1</v>
      </c>
      <c r="AI46" s="49">
        <f>IFERROR(IF(AG46&gt;0.01,1-EXP(-AG46),AG46),".")</f>
        <v>0.9423797539167309</v>
      </c>
      <c r="AJ46" s="49">
        <f>IFERROR(IF(SUM(AF46:AG46)&gt;0.01,1-EXP(-SUM(AF46:AG46)),SUM(AF46:AG46)),".")</f>
        <v>1</v>
      </c>
      <c r="AK46" s="60">
        <f>IFERROR(AK10/$B46,0)</f>
        <v>9.9999999999999991E-11</v>
      </c>
      <c r="AL46" s="60">
        <f>IFERROR(AL10/$B46,0)</f>
        <v>4.3800000000000004E-6</v>
      </c>
      <c r="AM46" s="63">
        <f t="shared" ref="AM46:AM47" si="68">IFERROR(IF(AND(AK46&lt;&gt;0,AL46&lt;&gt;0),1/((1/AK46)+(1/AL46)),IF(AND(AK46&lt;&gt;0,AL46=0),1/((1/AK46)),IF(AND(AK46=0,AL46&lt;&gt;0),1/((1/AL46)),IF(AND(AK46=0,AL46=0),0)))),0)</f>
        <v>9.9997716947101668E-11</v>
      </c>
      <c r="AN46" s="71">
        <f>IFERROR(up_RadSpec!$H$10*AN10,".")*$B$46</f>
        <v>50000</v>
      </c>
      <c r="AO46" s="71">
        <f>IFERROR(up_RadSpec!$L$10*AO10,".")*$B$46</f>
        <v>1.1415525114155249</v>
      </c>
      <c r="AP46" s="49">
        <f>IFERROR(IF(AN46&gt;0.01,1-EXP(-AN46),AN46),".")</f>
        <v>1</v>
      </c>
      <c r="AQ46" s="49">
        <f>IFERROR(IF(AO46&gt;0.01,1-EXP(-AO46),AO46),".")</f>
        <v>0.68067711563678512</v>
      </c>
      <c r="AR46" s="49">
        <f>IFERROR(IF(SUM(AN46:AO46)&gt;0.01,1-EXP(-SUM(AN46:AO46)),SUM(AN46:AO46)),".")</f>
        <v>1</v>
      </c>
      <c r="AS46" s="63">
        <f t="shared" ref="AS46:AX46" si="69">IFERROR(AS10/$B46,0)</f>
        <v>9.9999999999999986E-10</v>
      </c>
      <c r="AT46" s="63">
        <f t="shared" si="69"/>
        <v>4.166666666666666E-12</v>
      </c>
      <c r="AU46" s="63">
        <f t="shared" si="69"/>
        <v>9.9999999999999982E-8</v>
      </c>
      <c r="AV46" s="63">
        <f t="shared" si="69"/>
        <v>9.9999999999999986E-10</v>
      </c>
      <c r="AW46" s="63">
        <f t="shared" si="69"/>
        <v>4.166666666666666E-12</v>
      </c>
      <c r="AX46" s="63">
        <f t="shared" si="69"/>
        <v>9.9999999999999982E-8</v>
      </c>
      <c r="AY46" s="71">
        <f>IFERROR(up_RadSpec!$E$10*AY10,".")*$B$46</f>
        <v>5000</v>
      </c>
      <c r="AZ46" s="71">
        <f>IFERROR(up_RadSpec!$E$10*AZ10,".")*$B$46</f>
        <v>1200000</v>
      </c>
      <c r="BA46" s="71">
        <f>IFERROR(up_RadSpec!$E$10*BA10,".")*$B$46</f>
        <v>50</v>
      </c>
      <c r="BB46" s="71">
        <f>IFERROR(up_RadSpec!$E$10*BB10,".")*$B$46</f>
        <v>5000</v>
      </c>
      <c r="BC46" s="71">
        <f>IFERROR(up_RadSpec!$E$10*BC10,".")*$B$46</f>
        <v>1200000</v>
      </c>
      <c r="BD46" s="71">
        <f>IFERROR(up_RadSpec!$E$10*BD10,".")*$B$46</f>
        <v>50</v>
      </c>
      <c r="BE46" s="49">
        <f>IFERROR(IF(AY46&gt;0.01,1-EXP(-AY46),AY46),".")</f>
        <v>1</v>
      </c>
      <c r="BF46" s="49">
        <f t="shared" ref="BF46:BJ47" si="70">IFERROR(IF(AZ46&gt;0.01,1-EXP(-AZ46),AZ46),".")</f>
        <v>1</v>
      </c>
      <c r="BG46" s="49">
        <f t="shared" si="70"/>
        <v>1</v>
      </c>
      <c r="BH46" s="49">
        <f t="shared" si="70"/>
        <v>1</v>
      </c>
      <c r="BI46" s="49">
        <f t="shared" si="70"/>
        <v>1</v>
      </c>
      <c r="BJ46" s="49">
        <f t="shared" si="70"/>
        <v>1</v>
      </c>
    </row>
    <row r="47" spans="1:62" x14ac:dyDescent="0.25">
      <c r="A47" s="48" t="s">
        <v>1075</v>
      </c>
      <c r="B47" s="51">
        <v>0.94399</v>
      </c>
      <c r="C47" s="60">
        <f>IFERROR(C6/$B$47,0)</f>
        <v>3.852120929632344E-8</v>
      </c>
      <c r="D47" s="60">
        <f>IFERROR(D6/$B$47,0)</f>
        <v>3.6006641627415624E-4</v>
      </c>
      <c r="E47" s="60">
        <f>IFERROR(E6/$B$47,0)</f>
        <v>4.9461755107148704E-5</v>
      </c>
      <c r="F47" s="63">
        <f>IF(AND(C47&lt;&gt;0,D47&lt;&gt;0,E47&lt;&gt;0),1/((1/C47)+(1/D47)+(1/E47)),IF(AND(C47&lt;&gt;0,D47&lt;&gt;0,E47=0), 1/((1/C47)+(1/D47)),IF(AND(C47&lt;&gt;0,D47=0,E47&lt;&gt;0),1/((1/C47)+(1/E47)),IF(AND(C47=0,D47&lt;&gt;0,E47&lt;&gt;0),1/((1/D47)+(1/E47)),IF(AND(C47&lt;&gt;0,D47=0,E47=0),1/((1/C47)),IF(AND(C47=0,D47&lt;&gt;0,E47=0),1/((1/D47)),IF(AND(C47=0,D47=0,E47&lt;&gt;0),1/((1/E47)),IF(AND(C47=0,D47=0,E47=0),0))))))))</f>
        <v>3.8487117730882985E-8</v>
      </c>
      <c r="G47" s="71">
        <f>IFERROR(up_RadSpec!$D$6*G6,".")*$B$47</f>
        <v>129.79862499999999</v>
      </c>
      <c r="H47" s="71">
        <f>IFERROR(up_RadSpec!$G$6*$H$6,".")*B47</f>
        <v>1.3886327005273874E-2</v>
      </c>
      <c r="I47" s="71">
        <f>IFERROR(up_RadSpec!$F$6*$I$6,".")*B47</f>
        <v>0.10108820419268442</v>
      </c>
      <c r="J47" s="49">
        <f t="shared" si="64"/>
        <v>1</v>
      </c>
      <c r="K47" s="49">
        <f t="shared" si="64"/>
        <v>1.3790356704994067E-2</v>
      </c>
      <c r="L47" s="49">
        <f t="shared" si="64"/>
        <v>9.6146694281355471E-2</v>
      </c>
      <c r="M47" s="49">
        <f t="shared" si="65"/>
        <v>1</v>
      </c>
      <c r="N47" s="60">
        <f>IFERROR(N6/$B$47,0)</f>
        <v>4.9461755107148704E-5</v>
      </c>
      <c r="O47" s="60">
        <f>IFERROR(O6/$B$47,0)</f>
        <v>9.2336878726407832E-5</v>
      </c>
      <c r="P47" s="60">
        <f>IFERROR(P6/$B$47,0)</f>
        <v>6.525093541065452E-5</v>
      </c>
      <c r="Q47" s="60">
        <f>IFERROR(Q6/$B$47,0)</f>
        <v>5.3960081968853232E-5</v>
      </c>
      <c r="R47" s="60">
        <f>IFERROR(R6/$B$47,0)</f>
        <v>1.5510328967039322E-4</v>
      </c>
      <c r="S47" s="71">
        <f>IFERROR(up_RadSpec!$F$6*S6,".")*$B47</f>
        <v>0.10108820419268442</v>
      </c>
      <c r="T47" s="71">
        <f>IFERROR(up_RadSpec!$M$6*T6,".")*$B47</f>
        <v>5.4149545327548822E-2</v>
      </c>
      <c r="U47" s="71">
        <f>IFERROR(up_RadSpec!$N$6*U6,".")*$B47</f>
        <v>7.662725397778089E-2</v>
      </c>
      <c r="V47" s="71">
        <f>IFERROR(up_RadSpec!$O$6*V6,".")*$B47</f>
        <v>9.2661089782741499E-2</v>
      </c>
      <c r="W47" s="71">
        <f>IFERROR(up_RadSpec!$K$6*W6,".")*$B47</f>
        <v>3.2236582542029865E-2</v>
      </c>
      <c r="X47" s="49">
        <f t="shared" si="66"/>
        <v>9.6146694281355471E-2</v>
      </c>
      <c r="Y47" s="49">
        <f t="shared" si="66"/>
        <v>5.2709566949333375E-2</v>
      </c>
      <c r="Z47" s="49">
        <f t="shared" si="66"/>
        <v>7.3764960304185556E-2</v>
      </c>
      <c r="AA47" s="49">
        <f t="shared" si="66"/>
        <v>8.8497634580892992E-2</v>
      </c>
      <c r="AB47" s="49">
        <f t="shared" si="66"/>
        <v>3.1722522567814826E-2</v>
      </c>
      <c r="AC47" s="60">
        <f>IFERROR(AC6/$B$47,0)</f>
        <v>1.1622399147690731E-9</v>
      </c>
      <c r="AD47" s="60">
        <f>IFERROR(AD6/$B$47,0)</f>
        <v>1.8559518638968636E-6</v>
      </c>
      <c r="AE47" s="60">
        <f t="shared" si="67"/>
        <v>1.1615125487894007E-9</v>
      </c>
      <c r="AF47" s="71">
        <f>IFERROR(up_RadSpec!$G$6*AF6,".")*$B$47</f>
        <v>4302.0377604166661</v>
      </c>
      <c r="AG47" s="71">
        <f>IFERROR(up_RadSpec!$J$6*AG6,".")*$B$47</f>
        <v>2.6940353881278534</v>
      </c>
      <c r="AH47" s="49">
        <f>IFERROR(IF(AF47&gt;0.01,1-EXP(-AF47),AF47),".")</f>
        <v>1</v>
      </c>
      <c r="AI47" s="49">
        <f>IFERROR(IF(AG47&gt;0.01,1-EXP(-AG47),AG47),".")</f>
        <v>0.93239243460905208</v>
      </c>
      <c r="AJ47" s="49">
        <f>IFERROR(IF(SUM(AF47:AG47)&gt;0.01,1-EXP(-SUM(AF47:AG47)),SUM(AF47:AG47)),".")</f>
        <v>1</v>
      </c>
      <c r="AK47" s="60">
        <f>IFERROR(AK6/$B$47,0)</f>
        <v>1.0593332556488945E-10</v>
      </c>
      <c r="AL47" s="60">
        <f>IFERROR(AL6/$B$47,0)</f>
        <v>4.6398796597421587E-6</v>
      </c>
      <c r="AM47" s="63">
        <f t="shared" si="68"/>
        <v>1.0593090705102983E-10</v>
      </c>
      <c r="AN47" s="71">
        <f>IFERROR(up_RadSpec!$H$6*AN6,".")*$B$47</f>
        <v>47199.5</v>
      </c>
      <c r="AO47" s="71">
        <f>IFERROR(up_RadSpec!$L$6*AO6,".")*$B$47</f>
        <v>1.0776141552511413</v>
      </c>
      <c r="AP47" s="49">
        <f>IFERROR(IF(AN47&gt;0.01,1-EXP(-AN47),AN47),".")</f>
        <v>1</v>
      </c>
      <c r="AQ47" s="49">
        <f>IFERROR(IF(AO47&gt;0.01,1-EXP(-AO47),AO47),".")</f>
        <v>0.65959328485214841</v>
      </c>
      <c r="AR47" s="49">
        <f>IFERROR(IF(SUM(AN47:AO47)&gt;0.01,1-EXP(-SUM(AN47:AO47)),SUM(AN47:AO47)),".")</f>
        <v>1</v>
      </c>
      <c r="AS47" s="63">
        <f t="shared" ref="AS47:AX47" si="71">IFERROR(AS6/$B$47,0)</f>
        <v>1.0593332556488945E-9</v>
      </c>
      <c r="AT47" s="63">
        <f t="shared" si="71"/>
        <v>4.4138885652037265E-12</v>
      </c>
      <c r="AU47" s="63">
        <f t="shared" si="71"/>
        <v>1.0593332556488944E-7</v>
      </c>
      <c r="AV47" s="63">
        <f t="shared" si="71"/>
        <v>1.0593332556488945E-9</v>
      </c>
      <c r="AW47" s="63">
        <f t="shared" si="71"/>
        <v>4.4138885652037265E-12</v>
      </c>
      <c r="AX47" s="63">
        <f t="shared" si="71"/>
        <v>1.0593332556488944E-7</v>
      </c>
      <c r="AY47" s="71">
        <f>IFERROR(up_RadSpec!$E$6*AY6,".")*$B$47</f>
        <v>4719.95</v>
      </c>
      <c r="AZ47" s="71">
        <f>IFERROR(up_RadSpec!$E$6*AZ6,".")*$B$47</f>
        <v>1132788</v>
      </c>
      <c r="BA47" s="71">
        <f>IFERROR(up_RadSpec!$E$6*BA6,".")*$B$47</f>
        <v>47.1995</v>
      </c>
      <c r="BB47" s="71">
        <f>IFERROR(up_RadSpec!$E$6*BB6,".")*$B$47</f>
        <v>4719.95</v>
      </c>
      <c r="BC47" s="71">
        <f>IFERROR(up_RadSpec!$E$6*BC6,".")*$B$47</f>
        <v>1132788</v>
      </c>
      <c r="BD47" s="71">
        <f>IFERROR(up_RadSpec!$E$6*BD6,".")*$B$47</f>
        <v>47.1995</v>
      </c>
      <c r="BE47" s="49">
        <f>IFERROR(IF(AY47&gt;0.01,1-EXP(-AY47),AY47),".")</f>
        <v>1</v>
      </c>
      <c r="BF47" s="49">
        <f t="shared" si="70"/>
        <v>1</v>
      </c>
      <c r="BG47" s="49">
        <f t="shared" si="70"/>
        <v>1</v>
      </c>
      <c r="BH47" s="49">
        <f t="shared" si="70"/>
        <v>1</v>
      </c>
      <c r="BI47" s="49">
        <f t="shared" si="70"/>
        <v>1</v>
      </c>
      <c r="BJ47" s="49">
        <f t="shared" si="70"/>
        <v>1</v>
      </c>
    </row>
    <row r="48" spans="1:62" x14ac:dyDescent="0.25">
      <c r="A48" s="57" t="s">
        <v>33</v>
      </c>
      <c r="B48" s="57" t="s">
        <v>1259</v>
      </c>
      <c r="C48" s="58">
        <f>1/SUM(1/C49,1/C52,1/C54,1/C58,1/C59,1/C61)</f>
        <v>6.0608082895759896E-9</v>
      </c>
      <c r="D48" s="58">
        <f>1/SUM(1/D49,1/D50,1/D51,1/D52,1/D54,1/D58,1/D59,1/D61)</f>
        <v>4.2488450310799124E-5</v>
      </c>
      <c r="E48" s="58">
        <f>1/SUM(1/E49,1/E50,1/E52,1/E54,1/E55,1/E56,1/E57,1/E58,1/E59,1/E60,1/E61,1/E62)</f>
        <v>6.5703663583346347E-6</v>
      </c>
      <c r="F48" s="62">
        <f>1/SUM(1/F49,1/F50,1/F52,1/F54,1/F55,1/F56,1/F57,1/F58,1/F59,1/F60,1/F61,1/F62)</f>
        <v>4.5419392564039495E-9</v>
      </c>
      <c r="G48" s="70"/>
      <c r="H48" s="70"/>
      <c r="I48" s="70"/>
      <c r="J48" s="47">
        <f>IFERROR(IF(SUM(G49:G62)&gt;0.01,1-EXP(-SUM(G49:G62)),SUM(G49:G62)),".")</f>
        <v>1</v>
      </c>
      <c r="K48" s="47">
        <f>IFERROR(IF(SUM(H49:H62)&gt;0.01,1-EXP(-SUM(H49:H62)),SUM(H49:H62)),".")</f>
        <v>0.12400268396378111</v>
      </c>
      <c r="L48" s="47">
        <f>IFERROR(IF(SUM(I49:I62)&gt;0.01,1-EXP(-SUM(I49:I62)),SUM(I49:I62)),".")</f>
        <v>0.5327975357206316</v>
      </c>
      <c r="M48" s="47">
        <f>IFERROR(IF(SUM(G49:I62)&gt;0.01,1-EXP(-SUM(G49:I62)),SUM(G49:I62)),".")</f>
        <v>1</v>
      </c>
      <c r="N48" s="59">
        <f t="shared" ref="N48:R48" si="72">1/SUM(1/N49,1/N50,1/N52,1/N54,1/N55,1/N56,1/N57,1/N58,1/N59,1/N60,1/N61,1/N62)</f>
        <v>6.5703663583346347E-6</v>
      </c>
      <c r="O48" s="59">
        <f t="shared" si="72"/>
        <v>1.2368311293952085E-5</v>
      </c>
      <c r="P48" s="59">
        <f t="shared" si="72"/>
        <v>8.7965364977081061E-6</v>
      </c>
      <c r="Q48" s="59">
        <f t="shared" si="72"/>
        <v>7.443631965649587E-6</v>
      </c>
      <c r="R48" s="59">
        <f t="shared" si="72"/>
        <v>2.1273183277611825E-5</v>
      </c>
      <c r="S48" s="70"/>
      <c r="T48" s="70"/>
      <c r="U48" s="70"/>
      <c r="V48" s="70"/>
      <c r="W48" s="70"/>
      <c r="X48" s="47">
        <f>IFERROR(IF(SUM(S49:S62)&gt;0.01,1-EXP(-SUM(S49:S62)),SUM(S49:S62)),".")</f>
        <v>0.5327975357206316</v>
      </c>
      <c r="Y48" s="47">
        <f t="shared" ref="Y48:AB48" si="73">IFERROR(IF(SUM(T49:T62)&gt;0.01,1-EXP(-SUM(T49:T62)),SUM(T49:T62)),".")</f>
        <v>0.33252871381568505</v>
      </c>
      <c r="Z48" s="47">
        <f t="shared" si="73"/>
        <v>0.43357212932919287</v>
      </c>
      <c r="AA48" s="47">
        <f t="shared" si="73"/>
        <v>0.4891683020871459</v>
      </c>
      <c r="AB48" s="47">
        <f t="shared" si="73"/>
        <v>0.20945895175712259</v>
      </c>
      <c r="AC48" s="58">
        <f>1/SUM(1/AC49,1/AC50,1/AC51,1/AC52,1/AC54,1/AC58,1/AC59,1/AC61)</f>
        <v>1.3714628922874512E-10</v>
      </c>
      <c r="AD48" s="58">
        <f t="shared" ref="AD48:AE48" si="74">1/SUM(1/AD49,1/AD50,1/AD51,1/AD52,1/AD53,1/AD54,1/AD55,1/AD56,1/AD57,1/AD58,1/AD59,1/AD60,1/AD61,1/AD62)</f>
        <v>1.9466663729363409E-7</v>
      </c>
      <c r="AE48" s="59">
        <f t="shared" si="74"/>
        <v>1.218284517209632E-10</v>
      </c>
      <c r="AF48" s="70"/>
      <c r="AG48" s="70"/>
      <c r="AH48" s="47">
        <f>IFERROR(IF(SUM(AF49:AF62)&gt;0.01,1-EXP(-SUM(AF49:AF62)),SUM(AF49:AF62)),".")</f>
        <v>1</v>
      </c>
      <c r="AI48" s="47">
        <f>IFERROR(IF(SUM(AG49:AG62)&gt;0.01,1-EXP(-SUM(AG49:AG62)),SUM(AG49:AG62)),".")</f>
        <v>0.99999999999299882</v>
      </c>
      <c r="AJ48" s="47">
        <f>IFERROR(IF(SUM(AF49:AG62)&gt;0.01,1-EXP(-SUM(AF49:AG62)),SUM(AF49:AG62)),".")</f>
        <v>1</v>
      </c>
      <c r="AK48" s="58">
        <f>1/SUM(1/AK49,1/AK52,1/AK54,1/AK58,1/AK59,1/AK61)</f>
        <v>1.666722279633397E-11</v>
      </c>
      <c r="AL48" s="58">
        <f t="shared" ref="AL48:AM48" si="75">1/SUM(1/AL49,1/AL50,1/AL51,1/AL52,1/AL53,1/AL54,1/AL55,1/AL56,1/AL57,1/AL58,1/AL59,1/AL60,1/AL61,1/AL62)</f>
        <v>4.8666659323408516E-7</v>
      </c>
      <c r="AM48" s="62">
        <f t="shared" si="75"/>
        <v>1.1110855762062171E-11</v>
      </c>
      <c r="AN48" s="70"/>
      <c r="AO48" s="70"/>
      <c r="AP48" s="47">
        <f>IFERROR(IF(SUM(AN49:AN62)&gt;0.01,1-EXP(-SUM(AN49:AN62)),SUM(AN49:AN62)),".")</f>
        <v>1</v>
      </c>
      <c r="AQ48" s="47">
        <f>IFERROR(IF(SUM(AO49:AO62)&gt;0.01,1-EXP(-SUM(AO49:AO62)),SUM(AO49:AO62)),".")</f>
        <v>0.99996548008496122</v>
      </c>
      <c r="AR48" s="47">
        <f>IFERROR(IF(SUM(AN49:AO62)&gt;0.01,1-EXP(-SUM(AN49:AO62)),SUM(AN49:AO62)),".")</f>
        <v>1</v>
      </c>
      <c r="AS48" s="61">
        <f>1/SUM(1/AS49,1/AS52,1/AS54,1/AS58,1/AS59,1/AS61)</f>
        <v>1.6667222796333969E-10</v>
      </c>
      <c r="AT48" s="61">
        <f>1/SUM(1/AT49,1/AT52,1/AT54,1/AT58,1/AT59,1/AT61)</f>
        <v>6.9446761651391533E-13</v>
      </c>
      <c r="AU48" s="61">
        <f>1/SUM(1/AU49,1/AU52,1/AU54,1/AU58,1/AU59,1/AU61)</f>
        <v>1.666722279633397E-8</v>
      </c>
      <c r="AV48" s="61">
        <f>1/SUM(1/AV49,1/AV52,1/AV54,1/AV58,1/AV59,1/AV61)</f>
        <v>1.6667222796333969E-10</v>
      </c>
      <c r="AW48" s="61">
        <f>1/SUM(1/AW61)</f>
        <v>4.166666666666666E-12</v>
      </c>
      <c r="AX48" s="61">
        <f>1/SUM(1/AX61)</f>
        <v>9.9999999999999982E-8</v>
      </c>
      <c r="AY48" s="70"/>
      <c r="AZ48" s="70"/>
      <c r="BA48" s="70"/>
      <c r="BB48" s="70"/>
      <c r="BC48" s="70"/>
      <c r="BD48" s="70"/>
      <c r="BE48" s="47">
        <f>IFERROR(IF(SUM(AY49:AY62)&gt;0.01,1-EXP(-SUM(AY49:AY62)),SUM(AY49:AY62)),".")</f>
        <v>1</v>
      </c>
      <c r="BF48" s="47">
        <f t="shared" ref="BF48:BJ48" si="76">IFERROR(IF(SUM(AZ49:AZ62)&gt;0.01,1-EXP(-SUM(AZ49:AZ62)),SUM(AZ49:AZ62)),".")</f>
        <v>1</v>
      </c>
      <c r="BG48" s="47">
        <f t="shared" si="76"/>
        <v>1</v>
      </c>
      <c r="BH48" s="47">
        <f t="shared" si="76"/>
        <v>1</v>
      </c>
      <c r="BI48" s="47">
        <f t="shared" si="76"/>
        <v>1</v>
      </c>
      <c r="BJ48" s="47">
        <f t="shared" si="76"/>
        <v>1</v>
      </c>
    </row>
    <row r="49" spans="1:62" x14ac:dyDescent="0.25">
      <c r="A49" s="48" t="s">
        <v>1103</v>
      </c>
      <c r="B49" s="15">
        <v>1</v>
      </c>
      <c r="C49" s="60">
        <f>IFERROR(C23/$B49,0)</f>
        <v>3.6363636363636363E-8</v>
      </c>
      <c r="D49" s="60">
        <f>IFERROR(D23/$B49,0)</f>
        <v>3.3989909629864073E-4</v>
      </c>
      <c r="E49" s="60">
        <f>IFERROR(E23/$B49,0)</f>
        <v>3.8504315886134059E-5</v>
      </c>
      <c r="F49" s="63">
        <f t="shared" ref="F49:F62" si="77">IF(AND(C49&lt;&gt;0,D49&lt;&gt;0,E49&lt;&gt;0),1/((1/C49)+(1/D49)+(1/E49)),IF(AND(C49&lt;&gt;0,D49&lt;&gt;0,E49=0), 1/((1/C49)+(1/D49)),IF(AND(C49&lt;&gt;0,D49=0,E49&lt;&gt;0),1/((1/C49)+(1/E49)),IF(AND(C49=0,D49&lt;&gt;0,E49&lt;&gt;0),1/((1/D49)+(1/E49)),IF(AND(C49&lt;&gt;0,D49=0,E49=0),1/((1/C49)),IF(AND(C49=0,D49&lt;&gt;0,E49=0),1/((1/D49)),IF(AND(C49=0,D49=0,E49&lt;&gt;0),1/((1/E49)),IF(AND(C49=0,D49=0,E49=0),0))))))))</f>
        <v>3.6325444235151651E-8</v>
      </c>
      <c r="G49" s="71">
        <f>IFERROR(up_RadSpec!$D$23*G23,".")*$B$49</f>
        <v>137.5</v>
      </c>
      <c r="H49" s="71">
        <f>IFERROR(up_RadSpec!$G$23*$H$23,".")*B49</f>
        <v>1.4710247995501937E-2</v>
      </c>
      <c r="I49" s="71">
        <f>IFERROR(up_RadSpec!$F$23*$I$23,".")*B49</f>
        <v>0.1298555729385279</v>
      </c>
      <c r="J49" s="49">
        <f t="shared" ref="J49:J62" si="78">IFERROR(IF(G49&gt;0.01,1-EXP(-G49),G49),".")</f>
        <v>1</v>
      </c>
      <c r="K49" s="49">
        <f t="shared" ref="K49:K62" si="79">IFERROR(IF(H49&gt;0.01,1-EXP(-H49),H49),".")</f>
        <v>1.4602580880648697E-2</v>
      </c>
      <c r="L49" s="49">
        <f t="shared" ref="L49:L62" si="80">IFERROR(IF(I49&gt;0.01,1-EXP(-I49),I49),".")</f>
        <v>0.12177773917804424</v>
      </c>
      <c r="M49" s="49">
        <f t="shared" ref="M49:M62" si="81">IFERROR(IF(SUM(G49:I49)&gt;0.01,1-EXP(-SUM(G49:I49)),SUM(G49:I49)),".")</f>
        <v>1</v>
      </c>
      <c r="N49" s="60">
        <f>IFERROR(N23/$B49,0)</f>
        <v>3.8504315886134059E-5</v>
      </c>
      <c r="O49" s="60">
        <f>IFERROR(O23/$B49,0)</f>
        <v>6.8538406658739655E-5</v>
      </c>
      <c r="P49" s="60">
        <f>IFERROR(P23/$B49,0)</f>
        <v>4.8465244614241729E-5</v>
      </c>
      <c r="Q49" s="60">
        <f>IFERROR(Q23/$B49,0)</f>
        <v>3.9660659340659344E-5</v>
      </c>
      <c r="R49" s="60">
        <f>IFERROR(R23/$B49,0)</f>
        <v>1.0789015256588072E-4</v>
      </c>
      <c r="S49" s="71">
        <f>IFERROR(up_RadSpec!$F$23*$S$23,".")*$B$49</f>
        <v>0.1298555729385279</v>
      </c>
      <c r="T49" s="71">
        <f>IFERROR(up_RadSpec!$M$23*$T$23,".")*$B$49</f>
        <v>7.2951798031949525E-2</v>
      </c>
      <c r="U49" s="71">
        <f>IFERROR(up_RadSpec!$N$23*$U$23,".")*$B$49</f>
        <v>0.10316671337981295</v>
      </c>
      <c r="V49" s="71">
        <f>IFERROR(up_RadSpec!$O$23*$V$23,".")*$B$49</f>
        <v>0.12606951278982131</v>
      </c>
      <c r="W49" s="71">
        <f>IFERROR(up_RadSpec!$K$23*$W$23,".")*$B$49</f>
        <v>4.6343432473569458E-2</v>
      </c>
      <c r="X49" s="49">
        <f t="shared" ref="X49:AB62" si="82">IFERROR(IF(S49&gt;0.01,1-EXP(-S49),S49),".")</f>
        <v>0.12177773917804424</v>
      </c>
      <c r="Y49" s="49">
        <f t="shared" si="82"/>
        <v>7.0354360304750285E-2</v>
      </c>
      <c r="Z49" s="49">
        <f t="shared" si="82"/>
        <v>9.8023410619383911E-2</v>
      </c>
      <c r="AA49" s="49">
        <f t="shared" si="82"/>
        <v>0.11844643459418736</v>
      </c>
      <c r="AB49" s="49">
        <f t="shared" si="82"/>
        <v>4.5285973917545519E-2</v>
      </c>
      <c r="AC49" s="60">
        <f>IFERROR(AC23/$B49,0)</f>
        <v>1.0971428571428573E-9</v>
      </c>
      <c r="AD49" s="60">
        <f>IFERROR(AD23/$B49,0)</f>
        <v>1.7520000000000001E-6</v>
      </c>
      <c r="AE49" s="60">
        <f t="shared" ref="AE49:AE62" si="83">IFERROR(IF(AND(AC49&lt;&gt;0,AD49&lt;&gt;0),1/((1/AC49)+(1/AD49)),IF(AND(AC49&lt;&gt;0,AD49=0),1/((1/AC49)),IF(AND(AC49=0,AD49&lt;&gt;0),1/((1/AD49)),IF(AND(AC49=".",AD49="."),".")))),".")</f>
        <v>1.0964562309317064E-9</v>
      </c>
      <c r="AF49" s="71">
        <f>IFERROR(up_RadSpec!$G$23*AF23,".")*$B$49</f>
        <v>4557.2916666666661</v>
      </c>
      <c r="AG49" s="71">
        <f>IFERROR(up_RadSpec!$J$23*AG23,".")*$B$49</f>
        <v>2.8538812785388123</v>
      </c>
      <c r="AH49" s="49">
        <f t="shared" ref="AH49:AI62" si="84">IFERROR(IF(AF49&gt;0.01,1-EXP(-AF49),AF49),".")</f>
        <v>1</v>
      </c>
      <c r="AI49" s="49">
        <f t="shared" si="84"/>
        <v>0.9423797539167309</v>
      </c>
      <c r="AJ49" s="49">
        <f t="shared" ref="AJ49:AJ62" si="85">IFERROR(IF(SUM(AF49:AG49)&gt;0.01,1-EXP(-SUM(AF49:AG49)),SUM(AF49:AG49)),".")</f>
        <v>1</v>
      </c>
      <c r="AK49" s="60">
        <f>IFERROR(AK23/$B49,0)</f>
        <v>9.9999999999999991E-11</v>
      </c>
      <c r="AL49" s="60">
        <f>IFERROR(AL23/$B49,0)</f>
        <v>4.3800000000000004E-6</v>
      </c>
      <c r="AM49" s="63">
        <f t="shared" ref="AM49:AM62" si="86">IFERROR(IF(AND(AK49&lt;&gt;0,AL49&lt;&gt;0),1/((1/AK49)+(1/AL49)),IF(AND(AK49&lt;&gt;0,AL49=0),1/((1/AK49)),IF(AND(AK49=0,AL49&lt;&gt;0),1/((1/AL49)),IF(AND(AK49=0,AL49=0),0)))),0)</f>
        <v>9.9997716947101668E-11</v>
      </c>
      <c r="AN49" s="71">
        <f>IFERROR(up_RadSpec!$H$23*AN23,".")*$B$49</f>
        <v>50000</v>
      </c>
      <c r="AO49" s="71">
        <f>IFERROR(up_RadSpec!$L$23*AO23,".")*$B$49</f>
        <v>1.1415525114155249</v>
      </c>
      <c r="AP49" s="49">
        <f t="shared" ref="AP49:AP62" si="87">IFERROR(IF(AN49&gt;0.01,1-EXP(-AN49),AN49),".")</f>
        <v>1</v>
      </c>
      <c r="AQ49" s="49">
        <f t="shared" ref="AQ49:AQ62" si="88">IFERROR(IF(AO49&gt;0.01,1-EXP(-AO49),AO49),".")</f>
        <v>0.68067711563678512</v>
      </c>
      <c r="AR49" s="49">
        <f t="shared" ref="AR49:AR62" si="89">IFERROR(IF(SUM(AN49:AO49)&gt;0.01,1-EXP(-SUM(AN49:AO49)),SUM(AN49:AO49)),".")</f>
        <v>1</v>
      </c>
      <c r="AS49" s="63">
        <f t="shared" ref="AS49:AX49" si="90">IFERROR(AS23/$B49,0)</f>
        <v>9.9999999999999986E-10</v>
      </c>
      <c r="AT49" s="63">
        <f t="shared" si="90"/>
        <v>4.166666666666666E-12</v>
      </c>
      <c r="AU49" s="63">
        <f t="shared" si="90"/>
        <v>9.9999999999999982E-8</v>
      </c>
      <c r="AV49" s="63">
        <f t="shared" si="90"/>
        <v>9.9999999999999986E-10</v>
      </c>
      <c r="AW49" s="63">
        <f t="shared" si="90"/>
        <v>4.166666666666666E-12</v>
      </c>
      <c r="AX49" s="63">
        <f t="shared" si="90"/>
        <v>9.9999999999999982E-8</v>
      </c>
      <c r="AY49" s="71">
        <f>IFERROR(up_RadSpec!$E$23*AY23,".")*$B$49</f>
        <v>5000</v>
      </c>
      <c r="AZ49" s="71">
        <f>IFERROR(up_RadSpec!$E$23*AZ23,".")*$B$49</f>
        <v>1200000</v>
      </c>
      <c r="BA49" s="71">
        <f>IFERROR(up_RadSpec!$E$23*BA23,".")*$B$49</f>
        <v>50</v>
      </c>
      <c r="BB49" s="71">
        <f>IFERROR(up_RadSpec!$E$23*BB23,".")*$B$49</f>
        <v>5000</v>
      </c>
      <c r="BC49" s="71">
        <f>IFERROR(up_RadSpec!$E$23*BC23,".")*$B$49</f>
        <v>1200000</v>
      </c>
      <c r="BD49" s="71">
        <f>IFERROR(up_RadSpec!$E$23*BD23,".")*$B$49</f>
        <v>50</v>
      </c>
      <c r="BE49" s="49">
        <f t="shared" ref="BE49:BE62" si="91">IFERROR(IF(AY49&gt;0.01,1-EXP(-AY49),AY49),".")</f>
        <v>1</v>
      </c>
      <c r="BF49" s="49">
        <f t="shared" ref="BF49:BJ62" si="92">IFERROR(IF(AZ49&gt;0.01,1-EXP(-AZ49),AZ49),".")</f>
        <v>1</v>
      </c>
      <c r="BG49" s="49">
        <f t="shared" si="92"/>
        <v>1</v>
      </c>
      <c r="BH49" s="49">
        <f t="shared" si="92"/>
        <v>1</v>
      </c>
      <c r="BI49" s="49">
        <f t="shared" si="92"/>
        <v>1</v>
      </c>
      <c r="BJ49" s="49">
        <f t="shared" si="92"/>
        <v>1</v>
      </c>
    </row>
    <row r="50" spans="1:62" x14ac:dyDescent="0.25">
      <c r="A50" s="48" t="s">
        <v>1090</v>
      </c>
      <c r="B50" s="15">
        <v>1</v>
      </c>
      <c r="C50" s="60">
        <f>IFERROR(C25/$B50,0)</f>
        <v>3.6363636363636363E-8</v>
      </c>
      <c r="D50" s="60">
        <f>IFERROR(D25/$B50,0)</f>
        <v>3.3989909629864073E-4</v>
      </c>
      <c r="E50" s="60">
        <f>IFERROR(E25/$B50,0)</f>
        <v>5.6289156626506038E-5</v>
      </c>
      <c r="F50" s="63">
        <f t="shared" si="77"/>
        <v>3.6336275200525832E-8</v>
      </c>
      <c r="G50" s="71">
        <f>IFERROR(up_RadSpec!$D$25*G25,".")*$B$50</f>
        <v>137.5</v>
      </c>
      <c r="H50" s="71">
        <f>IFERROR(up_RadSpec!$G$25*$H$25,".")*B50</f>
        <v>1.4710247995501937E-2</v>
      </c>
      <c r="I50" s="71">
        <f>IFERROR(up_RadSpec!$F$25*$I$25,".")*B50</f>
        <v>8.8827054794520521E-2</v>
      </c>
      <c r="J50" s="49">
        <f t="shared" si="78"/>
        <v>1</v>
      </c>
      <c r="K50" s="49">
        <f t="shared" si="79"/>
        <v>1.4602580880648697E-2</v>
      </c>
      <c r="L50" s="49">
        <f t="shared" si="80"/>
        <v>8.4996194587519724E-2</v>
      </c>
      <c r="M50" s="49">
        <f t="shared" si="81"/>
        <v>1</v>
      </c>
      <c r="N50" s="60">
        <f>IFERROR(N25/$B50,0)</f>
        <v>5.6289156626506038E-5</v>
      </c>
      <c r="O50" s="60">
        <f>IFERROR(O25/$B50,0)</f>
        <v>1.0080219880897846E-4</v>
      </c>
      <c r="P50" s="60">
        <f>IFERROR(P25/$B50,0)</f>
        <v>7.2305963699222141E-5</v>
      </c>
      <c r="Q50" s="60">
        <f>IFERROR(Q25/$B50,0)</f>
        <v>6.4567405475880052E-5</v>
      </c>
      <c r="R50" s="60">
        <f>IFERROR(R25/$B50,0)</f>
        <v>1.8072727272727275E-4</v>
      </c>
      <c r="S50" s="71">
        <f>IFERROR(up_RadSpec!$F$25*$S$25,".")*$B$50</f>
        <v>8.8827054794520521E-2</v>
      </c>
      <c r="T50" s="71">
        <f>IFERROR(up_RadSpec!$M$25*$T$25,".")*$B$50</f>
        <v>4.9602092603903095E-2</v>
      </c>
      <c r="U50" s="71">
        <f>IFERROR(up_RadSpec!$N$25*$U$25,".")*$B$50</f>
        <v>6.9150589304071308E-2</v>
      </c>
      <c r="V50" s="71">
        <f>IFERROR(up_RadSpec!$O$25*$V$25,".")*$B$50</f>
        <v>7.7438453088653394E-2</v>
      </c>
      <c r="W50" s="71">
        <f>IFERROR(up_RadSpec!$K$25*$W$25,".")*$B$50</f>
        <v>2.7665995975855125E-2</v>
      </c>
      <c r="X50" s="49">
        <f t="shared" si="82"/>
        <v>8.4996194587519724E-2</v>
      </c>
      <c r="Y50" s="49">
        <f t="shared" si="82"/>
        <v>4.8391998961685001E-2</v>
      </c>
      <c r="Z50" s="49">
        <f t="shared" si="82"/>
        <v>6.6813858354964228E-2</v>
      </c>
      <c r="AA50" s="49">
        <f t="shared" si="82"/>
        <v>7.4516016675529761E-2</v>
      </c>
      <c r="AB50" s="49">
        <f t="shared" si="82"/>
        <v>2.7286797325985379E-2</v>
      </c>
      <c r="AC50" s="60">
        <f>IFERROR(AC25/$B50,0)</f>
        <v>1.0971428571428573E-9</v>
      </c>
      <c r="AD50" s="60">
        <f>IFERROR(AD25/$B50,0)</f>
        <v>1.7520000000000001E-6</v>
      </c>
      <c r="AE50" s="60">
        <f t="shared" si="83"/>
        <v>1.0964562309317064E-9</v>
      </c>
      <c r="AF50" s="71">
        <f>IFERROR(up_RadSpec!$G$25*AF$25,".")*$B$50</f>
        <v>4557.2916666666661</v>
      </c>
      <c r="AG50" s="71">
        <f>IFERROR(up_RadSpec!$J$25*$AG$25,".")*$B$50</f>
        <v>2.8538812785388123</v>
      </c>
      <c r="AH50" s="49">
        <f t="shared" si="84"/>
        <v>1</v>
      </c>
      <c r="AI50" s="49">
        <f t="shared" si="84"/>
        <v>0.9423797539167309</v>
      </c>
      <c r="AJ50" s="49">
        <f t="shared" si="85"/>
        <v>1</v>
      </c>
      <c r="AK50" s="60">
        <f>IFERROR(AK25/$B50,0)</f>
        <v>9.9999999999999991E-11</v>
      </c>
      <c r="AL50" s="60">
        <f>IFERROR(AL25/$B50,0)</f>
        <v>4.3800000000000004E-6</v>
      </c>
      <c r="AM50" s="63">
        <f t="shared" si="86"/>
        <v>9.9997716947101668E-11</v>
      </c>
      <c r="AN50" s="71">
        <f>IFERROR(up_RadSpec!$H$25*AN25,".")*$B$50</f>
        <v>50000</v>
      </c>
      <c r="AO50" s="71">
        <f>IFERROR(up_RadSpec!$L$25*AO25,".")*$B$50</f>
        <v>1.1415525114155249</v>
      </c>
      <c r="AP50" s="49">
        <f t="shared" si="87"/>
        <v>1</v>
      </c>
      <c r="AQ50" s="49">
        <f t="shared" si="88"/>
        <v>0.68067711563678512</v>
      </c>
      <c r="AR50" s="49">
        <f t="shared" si="89"/>
        <v>1</v>
      </c>
      <c r="AS50" s="63">
        <f t="shared" ref="AS50:AX50" si="93">IFERROR(AS25/$B50,0)</f>
        <v>9.9999999999999986E-10</v>
      </c>
      <c r="AT50" s="63">
        <f t="shared" si="93"/>
        <v>4.166666666666666E-12</v>
      </c>
      <c r="AU50" s="63">
        <f t="shared" si="93"/>
        <v>9.9999999999999982E-8</v>
      </c>
      <c r="AV50" s="63">
        <f t="shared" si="93"/>
        <v>9.9999999999999986E-10</v>
      </c>
      <c r="AW50" s="63">
        <f t="shared" si="93"/>
        <v>4.166666666666666E-12</v>
      </c>
      <c r="AX50" s="63">
        <f t="shared" si="93"/>
        <v>9.9999999999999982E-8</v>
      </c>
      <c r="AY50" s="71">
        <f>IFERROR(up_RadSpec!$E$25*AY25,".")*$B$50</f>
        <v>5000</v>
      </c>
      <c r="AZ50" s="71">
        <f>IFERROR(up_RadSpec!$E$25*AZ25,".")*$B$50</f>
        <v>1200000</v>
      </c>
      <c r="BA50" s="71">
        <f>IFERROR(up_RadSpec!$E$25*BA25,".")*$B$50</f>
        <v>50</v>
      </c>
      <c r="BB50" s="71">
        <f>IFERROR(up_RadSpec!$E$25*BB25,".")*$B$50</f>
        <v>5000</v>
      </c>
      <c r="BC50" s="71">
        <f>IFERROR(up_RadSpec!$E$25*BC25,".")*$B$50</f>
        <v>1200000</v>
      </c>
      <c r="BD50" s="71">
        <f>IFERROR(up_RadSpec!$E$25*BD25,".")*$B$50</f>
        <v>50</v>
      </c>
      <c r="BE50" s="49">
        <f t="shared" si="91"/>
        <v>1</v>
      </c>
      <c r="BF50" s="49">
        <f t="shared" si="92"/>
        <v>1</v>
      </c>
      <c r="BG50" s="49">
        <f t="shared" si="92"/>
        <v>1</v>
      </c>
      <c r="BH50" s="49">
        <f t="shared" si="92"/>
        <v>1</v>
      </c>
      <c r="BI50" s="49">
        <f t="shared" si="92"/>
        <v>1</v>
      </c>
      <c r="BJ50" s="49">
        <f t="shared" si="92"/>
        <v>1</v>
      </c>
    </row>
    <row r="51" spans="1:62" x14ac:dyDescent="0.25">
      <c r="A51" s="48" t="s">
        <v>1076</v>
      </c>
      <c r="B51" s="15">
        <v>1</v>
      </c>
      <c r="C51" s="60">
        <f>IFERROR(C21/$B51,0)</f>
        <v>3.6363636363636363E-8</v>
      </c>
      <c r="D51" s="60">
        <f>IFERROR(D21/$B51,0)</f>
        <v>3.3989909629864073E-4</v>
      </c>
      <c r="E51" s="60">
        <f>IFERROR(E21/$B51,0)</f>
        <v>0</v>
      </c>
      <c r="F51" s="63">
        <f t="shared" si="77"/>
        <v>3.6359746466272203E-8</v>
      </c>
      <c r="G51" s="71">
        <f>IFERROR(up_RadSpec!$D$21*G21,".")*$B$51</f>
        <v>137.5</v>
      </c>
      <c r="H51" s="71">
        <f>IFERROR(up_RadSpec!$G$21*$H$21,".")*B51</f>
        <v>1.4710247995501937E-2</v>
      </c>
      <c r="I51" s="71">
        <f>IFERROR(up_RadSpec!$F$21*$I$21,".")*B51</f>
        <v>0</v>
      </c>
      <c r="J51" s="49">
        <f t="shared" si="78"/>
        <v>1</v>
      </c>
      <c r="K51" s="49">
        <f t="shared" si="79"/>
        <v>1.4602580880648697E-2</v>
      </c>
      <c r="L51" s="49">
        <f t="shared" si="80"/>
        <v>0</v>
      </c>
      <c r="M51" s="49">
        <f t="shared" si="81"/>
        <v>1</v>
      </c>
      <c r="N51" s="60">
        <f>IFERROR(N21/$B51,0)</f>
        <v>0</v>
      </c>
      <c r="O51" s="60">
        <f>IFERROR(O21/$B51,0)</f>
        <v>0</v>
      </c>
      <c r="P51" s="60">
        <f>IFERROR(P21/$B51,0)</f>
        <v>0</v>
      </c>
      <c r="Q51" s="60">
        <f>IFERROR(Q21/$B51,0)</f>
        <v>0</v>
      </c>
      <c r="R51" s="60">
        <f>IFERROR(R21/$B51,0)</f>
        <v>0</v>
      </c>
      <c r="S51" s="71">
        <f>IFERROR(up_RadSpec!$F$21*$S$21,".")*$B$51</f>
        <v>0</v>
      </c>
      <c r="T51" s="71">
        <f>IFERROR(up_RadSpec!$M$21*$T$21,".")*$B$51</f>
        <v>0</v>
      </c>
      <c r="U51" s="71">
        <f>IFERROR(up_RadSpec!$N$21*$U$21,".")*$B$51</f>
        <v>0</v>
      </c>
      <c r="V51" s="71">
        <f>IFERROR(up_RadSpec!$O$21*$V$21,".")*$B$51</f>
        <v>0</v>
      </c>
      <c r="W51" s="71">
        <f>IFERROR(up_RadSpec!$K$21*$W$21,".")*$B$51</f>
        <v>0</v>
      </c>
      <c r="X51" s="49">
        <f t="shared" si="82"/>
        <v>0</v>
      </c>
      <c r="Y51" s="49">
        <f t="shared" si="82"/>
        <v>0</v>
      </c>
      <c r="Z51" s="49">
        <f t="shared" si="82"/>
        <v>0</v>
      </c>
      <c r="AA51" s="49">
        <f t="shared" si="82"/>
        <v>0</v>
      </c>
      <c r="AB51" s="49">
        <f t="shared" si="82"/>
        <v>0</v>
      </c>
      <c r="AC51" s="60">
        <f>IFERROR(AC21/$B51,0)</f>
        <v>1.0971428571428573E-9</v>
      </c>
      <c r="AD51" s="60">
        <f>IFERROR(AD21/$B51,0)</f>
        <v>1.7520000000000001E-6</v>
      </c>
      <c r="AE51" s="60">
        <f t="shared" si="83"/>
        <v>1.0964562309317064E-9</v>
      </c>
      <c r="AF51" s="71">
        <f>IFERROR(up_RadSpec!$G$21*AF21,".")*$B$51</f>
        <v>4557.2916666666661</v>
      </c>
      <c r="AG51" s="71">
        <f>IFERROR(up_RadSpec!$J$21*$AG$21,".")*$B$51</f>
        <v>2.8538812785388123</v>
      </c>
      <c r="AH51" s="49">
        <f t="shared" si="84"/>
        <v>1</v>
      </c>
      <c r="AI51" s="49">
        <f t="shared" si="84"/>
        <v>0.9423797539167309</v>
      </c>
      <c r="AJ51" s="49">
        <f t="shared" si="85"/>
        <v>1</v>
      </c>
      <c r="AK51" s="60">
        <f>IFERROR(AK21/$B51,0)</f>
        <v>9.9999999999999991E-11</v>
      </c>
      <c r="AL51" s="60">
        <f>IFERROR(AL21/$B51,0)</f>
        <v>4.3800000000000004E-6</v>
      </c>
      <c r="AM51" s="63">
        <f t="shared" si="86"/>
        <v>9.9997716947101668E-11</v>
      </c>
      <c r="AN51" s="71">
        <f>IFERROR(up_RadSpec!$H$21*AN21,".")*$B$51</f>
        <v>50000</v>
      </c>
      <c r="AO51" s="71">
        <f>IFERROR(up_RadSpec!$L$21*AO21,".")*$B$51</f>
        <v>1.1415525114155249</v>
      </c>
      <c r="AP51" s="49">
        <f t="shared" si="87"/>
        <v>1</v>
      </c>
      <c r="AQ51" s="49">
        <f t="shared" si="88"/>
        <v>0.68067711563678512</v>
      </c>
      <c r="AR51" s="49">
        <f t="shared" si="89"/>
        <v>1</v>
      </c>
      <c r="AS51" s="63">
        <f t="shared" ref="AS51:AX51" si="94">IFERROR(AS21/$B51,0)</f>
        <v>9.9999999999999986E-10</v>
      </c>
      <c r="AT51" s="63">
        <f t="shared" si="94"/>
        <v>4.166666666666666E-12</v>
      </c>
      <c r="AU51" s="63">
        <f t="shared" si="94"/>
        <v>9.9999999999999982E-8</v>
      </c>
      <c r="AV51" s="63">
        <f t="shared" si="94"/>
        <v>9.9999999999999986E-10</v>
      </c>
      <c r="AW51" s="63">
        <f t="shared" si="94"/>
        <v>4.166666666666666E-12</v>
      </c>
      <c r="AX51" s="63">
        <f t="shared" si="94"/>
        <v>9.9999999999999982E-8</v>
      </c>
      <c r="AY51" s="71">
        <f>IFERROR(up_RadSpec!$E$21*AY21,".")*$B$51</f>
        <v>5000</v>
      </c>
      <c r="AZ51" s="71">
        <f>IFERROR(up_RadSpec!$E$21*AZ21,".")*$B$51</f>
        <v>1200000</v>
      </c>
      <c r="BA51" s="71">
        <f>IFERROR(up_RadSpec!$E$21*BA21,".")*$B$51</f>
        <v>50</v>
      </c>
      <c r="BB51" s="71">
        <f>IFERROR(up_RadSpec!$E$21*BB21,".")*$B$51</f>
        <v>5000</v>
      </c>
      <c r="BC51" s="71">
        <f>IFERROR(up_RadSpec!$E$21*BC21,".")*$B$51</f>
        <v>1200000</v>
      </c>
      <c r="BD51" s="71">
        <f>IFERROR(up_RadSpec!$E$21*BD21,".")*$B$51</f>
        <v>50</v>
      </c>
      <c r="BE51" s="49">
        <f t="shared" si="91"/>
        <v>1</v>
      </c>
      <c r="BF51" s="49">
        <f t="shared" si="92"/>
        <v>1</v>
      </c>
      <c r="BG51" s="49">
        <f t="shared" si="92"/>
        <v>1</v>
      </c>
      <c r="BH51" s="49">
        <f t="shared" si="92"/>
        <v>1</v>
      </c>
      <c r="BI51" s="49">
        <f t="shared" si="92"/>
        <v>1</v>
      </c>
      <c r="BJ51" s="49">
        <f t="shared" si="92"/>
        <v>1</v>
      </c>
    </row>
    <row r="52" spans="1:62" x14ac:dyDescent="0.25">
      <c r="A52" s="48" t="s">
        <v>1077</v>
      </c>
      <c r="B52" s="51">
        <v>0.99980000000000002</v>
      </c>
      <c r="C52" s="60">
        <f>IFERROR(C17/$B52,0)</f>
        <v>3.6370910545745511E-8</v>
      </c>
      <c r="D52" s="60">
        <f>IFERROR(D17/$B52,0)</f>
        <v>3.3996708971658404E-4</v>
      </c>
      <c r="E52" s="60">
        <f>IFERROR(E17/$B52,0)</f>
        <v>7.7376514263891697E-5</v>
      </c>
      <c r="F52" s="63">
        <f t="shared" si="77"/>
        <v>3.6349935373295474E-8</v>
      </c>
      <c r="G52" s="71">
        <f>IFERROR(up_RadSpec!$D$17*G17,".")*$B$52</f>
        <v>137.4725</v>
      </c>
      <c r="H52" s="71">
        <f>IFERROR(up_RadSpec!$G$17*$H$17,".")*B52</f>
        <v>1.4707305945902837E-2</v>
      </c>
      <c r="I52" s="71">
        <f>IFERROR(up_RadSpec!$F$17*$I$17,".")*B52</f>
        <v>6.4619090786999761E-2</v>
      </c>
      <c r="J52" s="49">
        <f t="shared" si="78"/>
        <v>1</v>
      </c>
      <c r="K52" s="49">
        <f t="shared" si="79"/>
        <v>1.4599681788302177E-2</v>
      </c>
      <c r="L52" s="49">
        <f t="shared" si="80"/>
        <v>6.2575531003545182E-2</v>
      </c>
      <c r="M52" s="49">
        <f t="shared" si="81"/>
        <v>1</v>
      </c>
      <c r="N52" s="60">
        <f>IFERROR(N17/$B52,0)</f>
        <v>7.7376514263891697E-5</v>
      </c>
      <c r="O52" s="60">
        <f>IFERROR(O17/$B52,0)</f>
        <v>1.3523164072872006E-4</v>
      </c>
      <c r="P52" s="60">
        <f>IFERROR(P17/$B52,0)</f>
        <v>1.0188546907655436E-4</v>
      </c>
      <c r="Q52" s="60">
        <f>IFERROR(Q17/$B52,0)</f>
        <v>9.0599765795468424E-5</v>
      </c>
      <c r="R52" s="60">
        <f>IFERROR(R17/$B52,0)</f>
        <v>2.591222294303098E-4</v>
      </c>
      <c r="S52" s="71">
        <f>IFERROR(up_RadSpec!$F$17*$S$17,".")*$B$52</f>
        <v>6.4619090786999761E-2</v>
      </c>
      <c r="T52" s="71">
        <f>IFERROR(up_RadSpec!$M$17*$T$17,".")*$B$52</f>
        <v>3.6973595624933624E-2</v>
      </c>
      <c r="U52" s="71">
        <f>IFERROR(up_RadSpec!$N$17*$U$17,".")*$B$52</f>
        <v>4.9074711490439488E-2</v>
      </c>
      <c r="V52" s="71">
        <f>IFERROR(up_RadSpec!$O$17*$V$17,".")*$B$52</f>
        <v>5.5187780631659064E-2</v>
      </c>
      <c r="W52" s="71">
        <f>IFERROR(up_RadSpec!$K$17*$W$17,".")*$B$52</f>
        <v>1.9295913017546559E-2</v>
      </c>
      <c r="X52" s="49">
        <f t="shared" si="82"/>
        <v>6.2575531003545182E-2</v>
      </c>
      <c r="Y52" s="49">
        <f t="shared" si="82"/>
        <v>3.6298419048890196E-2</v>
      </c>
      <c r="Z52" s="49">
        <f t="shared" si="82"/>
        <v>4.7890006515483918E-2</v>
      </c>
      <c r="AA52" s="49">
        <f t="shared" si="82"/>
        <v>5.3692566939225195E-2</v>
      </c>
      <c r="AB52" s="49">
        <f t="shared" si="82"/>
        <v>1.9110938549019685E-2</v>
      </c>
      <c r="AC52" s="60">
        <f>IFERROR(AC17/$B52,0)</f>
        <v>1.097362329608779E-9</v>
      </c>
      <c r="AD52" s="60">
        <f>IFERROR(AD17/$B52,0)</f>
        <v>1.7523504700940188E-6</v>
      </c>
      <c r="AE52" s="60">
        <f t="shared" si="83"/>
        <v>1.0966755660449152E-9</v>
      </c>
      <c r="AF52" s="71">
        <f>IFERROR(up_RadSpec!$G$17*AF17,".")*$B$52</f>
        <v>4556.380208333333</v>
      </c>
      <c r="AG52" s="71">
        <f>IFERROR(up_RadSpec!$J$17*$AG$17,".")*$B$52</f>
        <v>2.8533105022831045</v>
      </c>
      <c r="AH52" s="49">
        <f t="shared" si="84"/>
        <v>1</v>
      </c>
      <c r="AI52" s="49">
        <f t="shared" si="84"/>
        <v>0.94234685626071124</v>
      </c>
      <c r="AJ52" s="49">
        <f t="shared" si="85"/>
        <v>1</v>
      </c>
      <c r="AK52" s="60">
        <f>IFERROR(AK17/$B52,0)</f>
        <v>1.0002000400080015E-10</v>
      </c>
      <c r="AL52" s="60">
        <f>IFERROR(AL17/$B52,0)</f>
        <v>4.3808761752350469E-6</v>
      </c>
      <c r="AM52" s="63">
        <f t="shared" si="86"/>
        <v>1.000177204911999E-10</v>
      </c>
      <c r="AN52" s="71">
        <f>IFERROR(up_RadSpec!$H$17*AN17,".")*$B$52</f>
        <v>49990</v>
      </c>
      <c r="AO52" s="71">
        <f>IFERROR(up_RadSpec!$L$17*AO17,".")*$B$52</f>
        <v>1.1413242009132418</v>
      </c>
      <c r="AP52" s="49">
        <f t="shared" si="87"/>
        <v>1</v>
      </c>
      <c r="AQ52" s="49">
        <f t="shared" si="88"/>
        <v>0.68060420254557019</v>
      </c>
      <c r="AR52" s="49">
        <f t="shared" si="89"/>
        <v>1</v>
      </c>
      <c r="AS52" s="63">
        <f t="shared" ref="AS52:AX52" si="95">IFERROR(AS17/$B52,0)</f>
        <v>1.0002000400080014E-9</v>
      </c>
      <c r="AT52" s="63">
        <f t="shared" si="95"/>
        <v>4.1675001667000058E-12</v>
      </c>
      <c r="AU52" s="63">
        <f t="shared" si="95"/>
        <v>1.0002000400080013E-7</v>
      </c>
      <c r="AV52" s="63">
        <f t="shared" si="95"/>
        <v>1.0002000400080014E-9</v>
      </c>
      <c r="AW52" s="63">
        <f t="shared" si="95"/>
        <v>4.1675001667000058E-12</v>
      </c>
      <c r="AX52" s="63">
        <f t="shared" si="95"/>
        <v>1.0002000400080013E-7</v>
      </c>
      <c r="AY52" s="71">
        <f>IFERROR(up_RadSpec!$E$17*AY17,".")*$B$52</f>
        <v>4999</v>
      </c>
      <c r="AZ52" s="71">
        <f>IFERROR(up_RadSpec!$E$17*AZ17,".")*$B$52</f>
        <v>1199760</v>
      </c>
      <c r="BA52" s="71">
        <f>IFERROR(up_RadSpec!$E$17*BA17,".")*$B$52</f>
        <v>49.99</v>
      </c>
      <c r="BB52" s="71">
        <f>IFERROR(up_RadSpec!$E$17*BB17,".")*$B$52</f>
        <v>4999</v>
      </c>
      <c r="BC52" s="71">
        <f>IFERROR(up_RadSpec!$E$17*BC17,".")*$B$52</f>
        <v>1199760</v>
      </c>
      <c r="BD52" s="71">
        <f>IFERROR(up_RadSpec!$E$17*BD17,".")*$B$52</f>
        <v>49.99</v>
      </c>
      <c r="BE52" s="49">
        <f t="shared" si="91"/>
        <v>1</v>
      </c>
      <c r="BF52" s="49">
        <f t="shared" si="92"/>
        <v>1</v>
      </c>
      <c r="BG52" s="49">
        <f t="shared" si="92"/>
        <v>1</v>
      </c>
      <c r="BH52" s="49">
        <f t="shared" si="92"/>
        <v>1</v>
      </c>
      <c r="BI52" s="49">
        <f t="shared" si="92"/>
        <v>1</v>
      </c>
      <c r="BJ52" s="49">
        <f t="shared" si="92"/>
        <v>1</v>
      </c>
    </row>
    <row r="53" spans="1:62" x14ac:dyDescent="0.25">
      <c r="A53" s="48" t="s">
        <v>1091</v>
      </c>
      <c r="B53" s="15">
        <v>2.0000000000000001E-4</v>
      </c>
      <c r="C53" s="60">
        <f>IFERROR(C5/$B53,0)</f>
        <v>1.8181818181818181E-4</v>
      </c>
      <c r="D53" s="60">
        <f>IFERROR(D5/$B53,0)</f>
        <v>1.6994954814932035</v>
      </c>
      <c r="E53" s="60">
        <f>IFERROR(E5/$B53,0)</f>
        <v>0</v>
      </c>
      <c r="F53" s="63">
        <f t="shared" si="77"/>
        <v>1.81798732331361E-4</v>
      </c>
      <c r="G53" s="71">
        <f>IFERROR(up_RadSpec!$D$5*G5,".")*$B$53</f>
        <v>2.75E-2</v>
      </c>
      <c r="H53" s="71">
        <f>IFERROR(up_RadSpec!$G$5*$H$5,".")*B53</f>
        <v>2.9420495991003874E-6</v>
      </c>
      <c r="I53" s="71">
        <f>IFERROR(up_RadSpec!$F$5*$I$5,".")*B53</f>
        <v>0</v>
      </c>
      <c r="J53" s="49">
        <f t="shared" si="78"/>
        <v>2.7125317446546005E-2</v>
      </c>
      <c r="K53" s="49">
        <f t="shared" si="79"/>
        <v>2.9420495991003874E-6</v>
      </c>
      <c r="L53" s="49">
        <f t="shared" si="80"/>
        <v>0</v>
      </c>
      <c r="M53" s="49">
        <f t="shared" si="81"/>
        <v>2.7128179687905374E-2</v>
      </c>
      <c r="N53" s="60">
        <f>IFERROR(N5/$B53,0)</f>
        <v>0</v>
      </c>
      <c r="O53" s="60">
        <f>IFERROR(O5/$B53,0)</f>
        <v>0</v>
      </c>
      <c r="P53" s="60">
        <f>IFERROR(P5/$B53,0)</f>
        <v>0</v>
      </c>
      <c r="Q53" s="60">
        <f>IFERROR(Q5/$B53,0)</f>
        <v>0</v>
      </c>
      <c r="R53" s="60">
        <f>IFERROR(R5/$B53,0)</f>
        <v>0</v>
      </c>
      <c r="S53" s="71">
        <f>IFERROR(up_RadSpec!$F$5*$S$5,".")*$B$53</f>
        <v>0</v>
      </c>
      <c r="T53" s="71">
        <f>IFERROR(up_RadSpec!$M$5*$T$5,".")*$B$53</f>
        <v>0</v>
      </c>
      <c r="U53" s="71">
        <f>IFERROR(up_RadSpec!$N$5*$U$5,".")*$B$53</f>
        <v>0</v>
      </c>
      <c r="V53" s="71">
        <f>IFERROR(up_RadSpec!$O$5*$V$5,".")*$B$53</f>
        <v>0</v>
      </c>
      <c r="W53" s="71">
        <f>IFERROR(up_RadSpec!$K$5*$W$5,".")*$B$53</f>
        <v>0</v>
      </c>
      <c r="X53" s="49">
        <f t="shared" si="82"/>
        <v>0</v>
      </c>
      <c r="Y53" s="49">
        <f t="shared" si="82"/>
        <v>0</v>
      </c>
      <c r="Z53" s="49">
        <f t="shared" si="82"/>
        <v>0</v>
      </c>
      <c r="AA53" s="49">
        <f t="shared" si="82"/>
        <v>0</v>
      </c>
      <c r="AB53" s="49">
        <f t="shared" si="82"/>
        <v>0</v>
      </c>
      <c r="AC53" s="60">
        <f>IFERROR(AC5/$B53,0)</f>
        <v>5.4857142857142858E-6</v>
      </c>
      <c r="AD53" s="60">
        <f>IFERROR(AD5/$B53,0)</f>
        <v>8.7600000000000004E-3</v>
      </c>
      <c r="AE53" s="60">
        <f t="shared" si="83"/>
        <v>5.4822811546585309E-6</v>
      </c>
      <c r="AF53" s="71">
        <f>IFERROR(up_RadSpec!$G$5*AF5,".")*$B$53</f>
        <v>0.91145833333333326</v>
      </c>
      <c r="AG53" s="71">
        <f>IFERROR(up_RadSpec!$J$5*$AG$5,".")*$B$53</f>
        <v>5.7077625570776253E-4</v>
      </c>
      <c r="AH53" s="49">
        <f t="shared" si="84"/>
        <v>0.59806236263633994</v>
      </c>
      <c r="AI53" s="49">
        <f t="shared" si="84"/>
        <v>5.7077625570776253E-4</v>
      </c>
      <c r="AJ53" s="49">
        <f t="shared" si="85"/>
        <v>0.59829171363574352</v>
      </c>
      <c r="AK53" s="60">
        <f>IFERROR(AK5/$B53,0)</f>
        <v>4.9999999999999998E-7</v>
      </c>
      <c r="AL53" s="60">
        <f>IFERROR(AL5/$B53,0)</f>
        <v>2.1899999999999999E-2</v>
      </c>
      <c r="AM53" s="63">
        <f t="shared" si="86"/>
        <v>4.9998858473550832E-7</v>
      </c>
      <c r="AN53" s="71">
        <f>IFERROR(up_RadSpec!$H$5*AN5,".")*$B$53</f>
        <v>10</v>
      </c>
      <c r="AO53" s="71">
        <f>IFERROR(up_RadSpec!$L$5*AO5,".")*$B$53</f>
        <v>2.2831050228310499E-4</v>
      </c>
      <c r="AP53" s="49">
        <f t="shared" si="87"/>
        <v>0.99995460007023751</v>
      </c>
      <c r="AQ53" s="49">
        <f t="shared" si="88"/>
        <v>2.2831050228310499E-4</v>
      </c>
      <c r="AR53" s="49">
        <f t="shared" si="89"/>
        <v>0.99995461043433509</v>
      </c>
      <c r="AS53" s="63">
        <f t="shared" ref="AS53:AX53" si="96">IFERROR(AS5/$B53,0)</f>
        <v>4.9999999999999987E-6</v>
      </c>
      <c r="AT53" s="63">
        <f t="shared" si="96"/>
        <v>2.0833333333333328E-8</v>
      </c>
      <c r="AU53" s="63">
        <f t="shared" si="96"/>
        <v>4.999999999999999E-4</v>
      </c>
      <c r="AV53" s="63">
        <f t="shared" si="96"/>
        <v>4.9999999999999987E-6</v>
      </c>
      <c r="AW53" s="63">
        <f t="shared" si="96"/>
        <v>2.0833333333333328E-8</v>
      </c>
      <c r="AX53" s="63">
        <f t="shared" si="96"/>
        <v>4.999999999999999E-4</v>
      </c>
      <c r="AY53" s="71">
        <f>IFERROR(up_RadSpec!$E$5*AY5,".")*$B$53</f>
        <v>1</v>
      </c>
      <c r="AZ53" s="71">
        <f>IFERROR(up_RadSpec!$E$5*AZ5,".")*$B$53</f>
        <v>240</v>
      </c>
      <c r="BA53" s="71">
        <f>IFERROR(up_RadSpec!$E$5*BA5,".")*$B$53</f>
        <v>0.01</v>
      </c>
      <c r="BB53" s="71">
        <f>IFERROR(up_RadSpec!$E$5*BB5,".")*$B$53</f>
        <v>1</v>
      </c>
      <c r="BC53" s="71">
        <f>IFERROR(up_RadSpec!$E$5*BC5,".")*$B$53</f>
        <v>240</v>
      </c>
      <c r="BD53" s="71">
        <f>IFERROR(up_RadSpec!$E$5*BD5,".")*$B$53</f>
        <v>0.01</v>
      </c>
      <c r="BE53" s="49">
        <f t="shared" si="91"/>
        <v>0.63212055882855767</v>
      </c>
      <c r="BF53" s="49">
        <f t="shared" si="92"/>
        <v>1</v>
      </c>
      <c r="BG53" s="49">
        <f t="shared" si="92"/>
        <v>0.01</v>
      </c>
      <c r="BH53" s="49">
        <f t="shared" si="92"/>
        <v>0.63212055882855767</v>
      </c>
      <c r="BI53" s="49">
        <f t="shared" si="92"/>
        <v>1</v>
      </c>
      <c r="BJ53" s="49">
        <f t="shared" si="92"/>
        <v>0.01</v>
      </c>
    </row>
    <row r="54" spans="1:62" x14ac:dyDescent="0.25">
      <c r="A54" s="48" t="s">
        <v>1092</v>
      </c>
      <c r="B54" s="15">
        <v>0.99999979999999999</v>
      </c>
      <c r="C54" s="60">
        <f>IFERROR(C9/$B54,0)</f>
        <v>3.6363643636365089E-8</v>
      </c>
      <c r="D54" s="60">
        <f>IFERROR(D9/$B54,0)</f>
        <v>3.3989916427847359E-4</v>
      </c>
      <c r="E54" s="60">
        <f>IFERROR(E9/$B54,0)</f>
        <v>2.8602405155907984E-5</v>
      </c>
      <c r="F54" s="63">
        <f t="shared" si="77"/>
        <v>3.6313591423050661E-8</v>
      </c>
      <c r="G54" s="71">
        <f>IFERROR(up_RadSpec!$D$9*G9,".")*$B$54</f>
        <v>137.49997250000001</v>
      </c>
      <c r="H54" s="71">
        <f>IFERROR(up_RadSpec!$G$9*$H$9,".")*B54</f>
        <v>1.4710245053452338E-2</v>
      </c>
      <c r="I54" s="71">
        <f>IFERROR(up_RadSpec!$F$9*$I$9,".")*B54</f>
        <v>0.17481047390055665</v>
      </c>
      <c r="J54" s="49">
        <f t="shared" si="78"/>
        <v>1</v>
      </c>
      <c r="K54" s="49">
        <f t="shared" si="79"/>
        <v>1.4602577981560616E-2</v>
      </c>
      <c r="L54" s="49">
        <f t="shared" si="80"/>
        <v>0.16038386513833558</v>
      </c>
      <c r="M54" s="49">
        <f t="shared" si="81"/>
        <v>1</v>
      </c>
      <c r="N54" s="60">
        <f>IFERROR(N9/$B54,0)</f>
        <v>2.8602405155907984E-5</v>
      </c>
      <c r="O54" s="60">
        <f>IFERROR(O9/$B54,0)</f>
        <v>5.8582511716502379E-5</v>
      </c>
      <c r="P54" s="60">
        <f>IFERROR(P9/$B54,0)</f>
        <v>4.1219801609920111E-5</v>
      </c>
      <c r="Q54" s="60">
        <f>IFERROR(Q9/$B54,0)</f>
        <v>3.3978188613819549E-5</v>
      </c>
      <c r="R54" s="60">
        <f>IFERROR(R9/$B54,0)</f>
        <v>1.0376600125157515E-4</v>
      </c>
      <c r="S54" s="71">
        <f>IFERROR(up_RadSpec!$F$9*$S$9,".")*$B$54</f>
        <v>0.17481047390055665</v>
      </c>
      <c r="T54" s="71">
        <f>IFERROR(up_RadSpec!$M$9*$T$9,".")*$B$54</f>
        <v>8.534970340972127E-2</v>
      </c>
      <c r="U54" s="71">
        <f>IFERROR(up_RadSpec!$N$9*$U$9,".")*$B$54</f>
        <v>0.12130092345705713</v>
      </c>
      <c r="V54" s="71">
        <f>IFERROR(up_RadSpec!$O$9*$V$9,".")*$B$54</f>
        <v>0.14715322399400679</v>
      </c>
      <c r="W54" s="71">
        <f>IFERROR(up_RadSpec!$K$9*$W$9,".")*$B$54</f>
        <v>4.8185339510942178E-2</v>
      </c>
      <c r="X54" s="49">
        <f t="shared" si="82"/>
        <v>0.16038386513833558</v>
      </c>
      <c r="Y54" s="49">
        <f t="shared" si="82"/>
        <v>8.1808866319244777E-2</v>
      </c>
      <c r="Z54" s="49">
        <f t="shared" si="82"/>
        <v>0.11423262869596862</v>
      </c>
      <c r="AA54" s="49">
        <f t="shared" si="82"/>
        <v>0.1368382898013879</v>
      </c>
      <c r="AB54" s="49">
        <f t="shared" si="82"/>
        <v>4.7042849903043193E-2</v>
      </c>
      <c r="AC54" s="60">
        <f>IFERROR(AC9/$B54,0)</f>
        <v>1.0971430765714725E-9</v>
      </c>
      <c r="AD54" s="60">
        <f>IFERROR(AD9/$B54,0)</f>
        <v>1.7520003504000703E-6</v>
      </c>
      <c r="AE54" s="60">
        <f t="shared" si="83"/>
        <v>1.0964564502229962E-9</v>
      </c>
      <c r="AF54" s="71">
        <f>IFERROR(up_RadSpec!$G$9*AF9,".")*$B$54</f>
        <v>4557.2907552083325</v>
      </c>
      <c r="AG54" s="71">
        <f>IFERROR(up_RadSpec!$J$9*$AG$9,".")*$B$54</f>
        <v>2.8538807077625568</v>
      </c>
      <c r="AH54" s="49">
        <f t="shared" si="84"/>
        <v>1</v>
      </c>
      <c r="AI54" s="49">
        <f t="shared" si="84"/>
        <v>0.94237972102845324</v>
      </c>
      <c r="AJ54" s="49">
        <f t="shared" si="85"/>
        <v>1</v>
      </c>
      <c r="AK54" s="60">
        <f>IFERROR(AK9/$B54,0)</f>
        <v>1.00000020000004E-10</v>
      </c>
      <c r="AL54" s="60">
        <f>IFERROR(AL9/$B54,0)</f>
        <v>4.380000876000176E-6</v>
      </c>
      <c r="AM54" s="63">
        <f t="shared" si="86"/>
        <v>9.9997736946649057E-11</v>
      </c>
      <c r="AN54" s="71">
        <f>IFERROR(up_RadSpec!$H$9*AN9,".")*$B$54</f>
        <v>49999.99</v>
      </c>
      <c r="AO54" s="71">
        <f>IFERROR(up_RadSpec!$L$9*AO9,".")*$B$54</f>
        <v>1.1415522831050227</v>
      </c>
      <c r="AP54" s="49">
        <f t="shared" si="87"/>
        <v>1</v>
      </c>
      <c r="AQ54" s="49">
        <f t="shared" si="88"/>
        <v>0.68067704273200869</v>
      </c>
      <c r="AR54" s="49">
        <f t="shared" si="89"/>
        <v>1</v>
      </c>
      <c r="AS54" s="63">
        <f t="shared" ref="AS54:AX54" si="97">IFERROR(AS9/$B54,0)</f>
        <v>1.0000002000000398E-9</v>
      </c>
      <c r="AT54" s="63">
        <f t="shared" si="97"/>
        <v>4.1666675000001662E-12</v>
      </c>
      <c r="AU54" s="63">
        <f t="shared" si="97"/>
        <v>1.0000002000000399E-7</v>
      </c>
      <c r="AV54" s="63">
        <f t="shared" si="97"/>
        <v>1.0000002000000398E-9</v>
      </c>
      <c r="AW54" s="63">
        <f t="shared" si="97"/>
        <v>4.1666675000001662E-12</v>
      </c>
      <c r="AX54" s="63">
        <f t="shared" si="97"/>
        <v>1.0000002000000399E-7</v>
      </c>
      <c r="AY54" s="71">
        <f>IFERROR(up_RadSpec!$E$9*AY9,".")*$B$54</f>
        <v>4999.9989999999998</v>
      </c>
      <c r="AZ54" s="71">
        <f>IFERROR(up_RadSpec!$E$9*AZ9,".")*$B$54</f>
        <v>1199999.76</v>
      </c>
      <c r="BA54" s="71">
        <f>IFERROR(up_RadSpec!$E$9*BA9,".")*$B$54</f>
        <v>49.999989999999997</v>
      </c>
      <c r="BB54" s="71">
        <f>IFERROR(up_RadSpec!$E$9*BB9,".")*$B$54</f>
        <v>4999.9989999999998</v>
      </c>
      <c r="BC54" s="71">
        <f>IFERROR(up_RadSpec!$E$9*BC9,".")*$B$54</f>
        <v>1199999.76</v>
      </c>
      <c r="BD54" s="71">
        <f>IFERROR(up_RadSpec!$E$9*BD9,".")*$B$54</f>
        <v>49.999989999999997</v>
      </c>
      <c r="BE54" s="49">
        <f t="shared" si="91"/>
        <v>1</v>
      </c>
      <c r="BF54" s="49">
        <f t="shared" si="92"/>
        <v>1</v>
      </c>
      <c r="BG54" s="49">
        <f t="shared" si="92"/>
        <v>1</v>
      </c>
      <c r="BH54" s="49">
        <f t="shared" si="92"/>
        <v>1</v>
      </c>
      <c r="BI54" s="49">
        <f t="shared" si="92"/>
        <v>1</v>
      </c>
      <c r="BJ54" s="49">
        <f t="shared" si="92"/>
        <v>1</v>
      </c>
    </row>
    <row r="55" spans="1:62" x14ac:dyDescent="0.25">
      <c r="A55" s="48" t="s">
        <v>1093</v>
      </c>
      <c r="B55" s="15">
        <v>1.9999999999999999E-7</v>
      </c>
      <c r="C55" s="60">
        <f>IFERROR(C24/$B55,0)</f>
        <v>0.18181818181818182</v>
      </c>
      <c r="D55" s="60">
        <f>IFERROR(D24/$B55,0)</f>
        <v>1699.4954814932037</v>
      </c>
      <c r="E55" s="60">
        <f>IFERROR(E24/$B55,0)</f>
        <v>252.38049251569302</v>
      </c>
      <c r="F55" s="63">
        <f t="shared" si="77"/>
        <v>0.18166787044016586</v>
      </c>
      <c r="G55" s="71">
        <f>IFERROR(up_RadSpec!$D$24*G24,".")*$B$55</f>
        <v>2.7499999999999998E-5</v>
      </c>
      <c r="H55" s="71">
        <f>IFERROR(up_RadSpec!$G$24*$H$24,".")*B55</f>
        <v>2.9420495991003874E-9</v>
      </c>
      <c r="I55" s="71">
        <f>IFERROR(up_RadSpec!$F$24*$I$24,".")*B55</f>
        <v>1.981135685314149E-8</v>
      </c>
      <c r="J55" s="49">
        <f t="shared" si="78"/>
        <v>2.7499999999999998E-5</v>
      </c>
      <c r="K55" s="49">
        <f t="shared" si="79"/>
        <v>2.9420495991003874E-9</v>
      </c>
      <c r="L55" s="49">
        <f t="shared" si="80"/>
        <v>1.981135685314149E-8</v>
      </c>
      <c r="M55" s="49">
        <f t="shared" si="81"/>
        <v>2.7522753406452238E-5</v>
      </c>
      <c r="N55" s="60">
        <f>IFERROR(N24/$B55,0)</f>
        <v>252.38049251569302</v>
      </c>
      <c r="O55" s="60">
        <f>IFERROR(O24/$B55,0)</f>
        <v>457.56960932441194</v>
      </c>
      <c r="P55" s="60">
        <f>IFERROR(P24/$B55,0)</f>
        <v>323.07371141706841</v>
      </c>
      <c r="Q55" s="60">
        <f>IFERROR(Q24/$B55,0)</f>
        <v>269.78749615029255</v>
      </c>
      <c r="R55" s="60">
        <f>IFERROR(R24/$B55,0)</f>
        <v>760.48351648351638</v>
      </c>
      <c r="S55" s="71">
        <f>IFERROR(up_RadSpec!$F$24*$S$24,".")*$B$55</f>
        <v>1.981135685314149E-8</v>
      </c>
      <c r="T55" s="71">
        <f>IFERROR(up_RadSpec!$M$24*$T$24,".")*$B$55</f>
        <v>1.0927299143363898E-8</v>
      </c>
      <c r="U55" s="71">
        <f>IFERROR(up_RadSpec!$N$24*$U$24,".")*$B$55</f>
        <v>1.5476344324237839E-8</v>
      </c>
      <c r="V55" s="71">
        <f>IFERROR(up_RadSpec!$O$24*$V$24,".")*$B$55</f>
        <v>1.853310502283105E-8</v>
      </c>
      <c r="W55" s="71">
        <f>IFERROR(up_RadSpec!$K$24*$W$24,".")*$B$55</f>
        <v>6.5747644644818235E-9</v>
      </c>
      <c r="X55" s="49">
        <f t="shared" si="82"/>
        <v>1.981135685314149E-8</v>
      </c>
      <c r="Y55" s="49">
        <f t="shared" si="82"/>
        <v>1.0927299143363898E-8</v>
      </c>
      <c r="Z55" s="49">
        <f t="shared" si="82"/>
        <v>1.5476344324237839E-8</v>
      </c>
      <c r="AA55" s="49">
        <f t="shared" si="82"/>
        <v>1.853310502283105E-8</v>
      </c>
      <c r="AB55" s="49">
        <f t="shared" si="82"/>
        <v>6.5747644644818235E-9</v>
      </c>
      <c r="AC55" s="60">
        <f>IFERROR(AC24/$B55,0)</f>
        <v>5.4857142857142865E-3</v>
      </c>
      <c r="AD55" s="60">
        <f>IFERROR(AD24/$B55,0)</f>
        <v>8.7600000000000016</v>
      </c>
      <c r="AE55" s="60">
        <f t="shared" si="83"/>
        <v>5.4822811546585328E-3</v>
      </c>
      <c r="AF55" s="71">
        <f>IFERROR(up_RadSpec!$G$24*AF24,".")*$B$55</f>
        <v>9.1145833333333313E-4</v>
      </c>
      <c r="AG55" s="71">
        <f>IFERROR(up_RadSpec!$J$24*$AG$24,".")*$B$55</f>
        <v>5.7077625570776247E-7</v>
      </c>
      <c r="AH55" s="49">
        <f t="shared" si="84"/>
        <v>9.1145833333333313E-4</v>
      </c>
      <c r="AI55" s="49">
        <f t="shared" si="84"/>
        <v>5.7077625570776247E-7</v>
      </c>
      <c r="AJ55" s="49">
        <f t="shared" si="85"/>
        <v>9.1202910958904093E-4</v>
      </c>
      <c r="AK55" s="60">
        <f>IFERROR(AK24/$B55,0)</f>
        <v>5.0000000000000001E-4</v>
      </c>
      <c r="AL55" s="60">
        <f>IFERROR(AL24/$B55,0)</f>
        <v>21.900000000000002</v>
      </c>
      <c r="AM55" s="63">
        <f t="shared" si="86"/>
        <v>4.9998858473550832E-4</v>
      </c>
      <c r="AN55" s="71">
        <f>IFERROR(up_RadSpec!$H$24*AN24,".")*$B$55</f>
        <v>0.01</v>
      </c>
      <c r="AO55" s="71">
        <f>IFERROR(up_RadSpec!$L$24*AO24,".")*$B$55</f>
        <v>2.2831050228310497E-7</v>
      </c>
      <c r="AP55" s="49">
        <f t="shared" si="87"/>
        <v>0.01</v>
      </c>
      <c r="AQ55" s="49">
        <f t="shared" si="88"/>
        <v>2.2831050228310497E-7</v>
      </c>
      <c r="AR55" s="49">
        <f t="shared" si="89"/>
        <v>9.9503922895809449E-3</v>
      </c>
      <c r="AS55" s="63">
        <f t="shared" ref="AS55:AX55" si="98">IFERROR(AS24/$B55,0)</f>
        <v>4.9999999999999992E-3</v>
      </c>
      <c r="AT55" s="63">
        <f t="shared" si="98"/>
        <v>2.0833333333333333E-5</v>
      </c>
      <c r="AU55" s="63">
        <f t="shared" si="98"/>
        <v>0.49999999999999994</v>
      </c>
      <c r="AV55" s="63">
        <f t="shared" si="98"/>
        <v>4.9999999999999992E-3</v>
      </c>
      <c r="AW55" s="63">
        <f t="shared" si="98"/>
        <v>2.0833333333333333E-5</v>
      </c>
      <c r="AX55" s="63">
        <f t="shared" si="98"/>
        <v>0.49999999999999994</v>
      </c>
      <c r="AY55" s="71">
        <f>IFERROR(up_RadSpec!$E$24*AY24,".")*$B$55</f>
        <v>1E-3</v>
      </c>
      <c r="AZ55" s="71">
        <f>IFERROR(up_RadSpec!$E$24*AZ24,".")*$B$55</f>
        <v>0.24</v>
      </c>
      <c r="BA55" s="71">
        <f>IFERROR(up_RadSpec!$E$24*BA24,".")*$B$55</f>
        <v>9.9999999999999991E-6</v>
      </c>
      <c r="BB55" s="71">
        <f>IFERROR(up_RadSpec!$E$24*BB24,".")*$B$55</f>
        <v>1E-3</v>
      </c>
      <c r="BC55" s="71">
        <f>IFERROR(up_RadSpec!$E$24*BC24,".")*$B$55</f>
        <v>0.24</v>
      </c>
      <c r="BD55" s="71">
        <f>IFERROR(up_RadSpec!$E$24*BD24,".")*$B$55</f>
        <v>9.9999999999999991E-6</v>
      </c>
      <c r="BE55" s="49">
        <f t="shared" si="91"/>
        <v>1E-3</v>
      </c>
      <c r="BF55" s="49">
        <f t="shared" si="92"/>
        <v>0.21337213893344653</v>
      </c>
      <c r="BG55" s="49">
        <f t="shared" si="92"/>
        <v>9.9999999999999991E-6</v>
      </c>
      <c r="BH55" s="49">
        <f t="shared" si="92"/>
        <v>1E-3</v>
      </c>
      <c r="BI55" s="49">
        <f t="shared" si="92"/>
        <v>0.21337213893344653</v>
      </c>
      <c r="BJ55" s="49">
        <f t="shared" si="92"/>
        <v>9.9999999999999991E-6</v>
      </c>
    </row>
    <row r="56" spans="1:62" x14ac:dyDescent="0.25">
      <c r="A56" s="48" t="s">
        <v>1094</v>
      </c>
      <c r="B56" s="15">
        <v>0.99979000004200003</v>
      </c>
      <c r="C56" s="60">
        <f>IFERROR(C20/$B56,0)</f>
        <v>3.6371274329718007E-8</v>
      </c>
      <c r="D56" s="60">
        <f>IFERROR(D20/$B56,0)</f>
        <v>3.3997049008728026E-4</v>
      </c>
      <c r="E56" s="60">
        <f>IFERROR(E20/$B56,0)</f>
        <v>3.9541656465010498E-5</v>
      </c>
      <c r="F56" s="63">
        <f t="shared" si="77"/>
        <v>3.6333966419031595E-8</v>
      </c>
      <c r="G56" s="71">
        <f>IFERROR(up_RadSpec!$D$20*G20,".")*$B$56</f>
        <v>137.47112500577501</v>
      </c>
      <c r="H56" s="71">
        <f>IFERROR(up_RadSpec!$G$20*$H$20,".")*B56</f>
        <v>1.4707158844040712E-2</v>
      </c>
      <c r="I56" s="71">
        <f>IFERROR(up_RadSpec!$F$20*$I$20,".")*B56</f>
        <v>0.12644892619570414</v>
      </c>
      <c r="J56" s="49">
        <f t="shared" si="78"/>
        <v>1</v>
      </c>
      <c r="K56" s="49">
        <f t="shared" si="79"/>
        <v>1.4599536834069782E-2</v>
      </c>
      <c r="L56" s="49">
        <f t="shared" si="80"/>
        <v>0.11878084439111447</v>
      </c>
      <c r="M56" s="49">
        <f t="shared" si="81"/>
        <v>1</v>
      </c>
      <c r="N56" s="60">
        <f>IFERROR(N20/$B56,0)</f>
        <v>3.9541656465010498E-5</v>
      </c>
      <c r="O56" s="60">
        <f>IFERROR(O20/$B56,0)</f>
        <v>7.7979891528506381E-5</v>
      </c>
      <c r="P56" s="60">
        <f>IFERROR(P20/$B56,0)</f>
        <v>5.4560908337909967E-5</v>
      </c>
      <c r="Q56" s="60">
        <f>IFERROR(Q20/$B56,0)</f>
        <v>4.5813542410609527E-5</v>
      </c>
      <c r="R56" s="60">
        <f>IFERROR(R20/$B56,0)</f>
        <v>1.3287475053887928E-4</v>
      </c>
      <c r="S56" s="71">
        <f>IFERROR(up_RadSpec!$F$20*$S$20,".")*$B$56</f>
        <v>0.12644892619570414</v>
      </c>
      <c r="T56" s="71">
        <f>IFERROR(up_RadSpec!$M$20*$T$20,".")*$B$56</f>
        <v>6.4119094063784327E-2</v>
      </c>
      <c r="U56" s="71">
        <f>IFERROR(up_RadSpec!$N$20*$U$20,".")*$B$56</f>
        <v>9.1640703065896417E-2</v>
      </c>
      <c r="V56" s="71">
        <f>IFERROR(up_RadSpec!$O$20*$V$20,".")*$B$56</f>
        <v>0.10913803510732444</v>
      </c>
      <c r="W56" s="71">
        <f>IFERROR(up_RadSpec!$K$20*$W$20,".")*$B$56</f>
        <v>3.7629421539624966E-2</v>
      </c>
      <c r="X56" s="49">
        <f t="shared" si="82"/>
        <v>0.11878084439111447</v>
      </c>
      <c r="Y56" s="49">
        <f t="shared" si="82"/>
        <v>6.2106704644730559E-2</v>
      </c>
      <c r="Z56" s="49">
        <f t="shared" si="82"/>
        <v>8.7567074990264393E-2</v>
      </c>
      <c r="AA56" s="49">
        <f t="shared" si="82"/>
        <v>0.10339335423856599</v>
      </c>
      <c r="AB56" s="49">
        <f t="shared" si="82"/>
        <v>3.6930232317303968E-2</v>
      </c>
      <c r="AC56" s="60">
        <f>IFERROR(AC20/$B56,0)</f>
        <v>1.0973733054909206E-9</v>
      </c>
      <c r="AD56" s="60">
        <f>IFERROR(AD20/$B56,0)</f>
        <v>1.7523679972058138E-6</v>
      </c>
      <c r="AE56" s="60">
        <f t="shared" si="83"/>
        <v>1.0966865350580075E-9</v>
      </c>
      <c r="AF56" s="71">
        <f>IFERROR(up_RadSpec!$G$20*AF20,".")*$B$56</f>
        <v>4556.3346356080729</v>
      </c>
      <c r="AG56" s="71">
        <f>IFERROR(up_RadSpec!$J$20*$AG$20,".")*$B$56</f>
        <v>2.8532819635901823</v>
      </c>
      <c r="AH56" s="49">
        <f t="shared" si="84"/>
        <v>1</v>
      </c>
      <c r="AI56" s="49">
        <f t="shared" si="84"/>
        <v>0.94234521089186785</v>
      </c>
      <c r="AJ56" s="49">
        <f t="shared" si="85"/>
        <v>1</v>
      </c>
      <c r="AK56" s="60">
        <f>IFERROR(AK20/$B56,0)</f>
        <v>1.0002100440672452E-10</v>
      </c>
      <c r="AL56" s="60">
        <f>IFERROR(AL20/$B56,0)</f>
        <v>4.3809199930145349E-6</v>
      </c>
      <c r="AM56" s="63">
        <f t="shared" si="86"/>
        <v>1.0001872087428446E-10</v>
      </c>
      <c r="AN56" s="71">
        <f>IFERROR(up_RadSpec!$H$20*AN20,".")*$B$56</f>
        <v>49989.500002100001</v>
      </c>
      <c r="AO56" s="71">
        <f>IFERROR(up_RadSpec!$L$20*AO20,".")*$B$56</f>
        <v>1.141312785436073</v>
      </c>
      <c r="AP56" s="49">
        <f t="shared" si="87"/>
        <v>1</v>
      </c>
      <c r="AQ56" s="49">
        <f t="shared" si="88"/>
        <v>0.68060055646932571</v>
      </c>
      <c r="AR56" s="49">
        <f t="shared" si="89"/>
        <v>1</v>
      </c>
      <c r="AS56" s="63">
        <f t="shared" ref="AS56:AX56" si="99">IFERROR(AS20/$B56,0)</f>
        <v>1.0002100440672452E-9</v>
      </c>
      <c r="AT56" s="63">
        <f t="shared" si="99"/>
        <v>4.1675418502801877E-12</v>
      </c>
      <c r="AU56" s="63">
        <f t="shared" si="99"/>
        <v>1.0002100440672452E-7</v>
      </c>
      <c r="AV56" s="63">
        <f t="shared" si="99"/>
        <v>1.0002100440672452E-9</v>
      </c>
      <c r="AW56" s="63">
        <f t="shared" si="99"/>
        <v>4.1675418502801877E-12</v>
      </c>
      <c r="AX56" s="63">
        <f t="shared" si="99"/>
        <v>1.0002100440672452E-7</v>
      </c>
      <c r="AY56" s="71">
        <f>IFERROR(up_RadSpec!$E$20*AY20,".")*$B$56</f>
        <v>4998.9500002100003</v>
      </c>
      <c r="AZ56" s="71">
        <f>IFERROR(up_RadSpec!$E$20*AZ20,".")*$B$56</f>
        <v>1199748.0000503999</v>
      </c>
      <c r="BA56" s="71">
        <f>IFERROR(up_RadSpec!$E$20*BA20,".")*$B$56</f>
        <v>49.989500002100002</v>
      </c>
      <c r="BB56" s="71">
        <f>IFERROR(up_RadSpec!$E$20*BB20,".")*$B$56</f>
        <v>4998.9500002100003</v>
      </c>
      <c r="BC56" s="71">
        <f>IFERROR(up_RadSpec!$E$20*BC20,".")*$B$56</f>
        <v>1199748.0000503999</v>
      </c>
      <c r="BD56" s="71">
        <f>IFERROR(up_RadSpec!$E$20*BD20,".")*$B$56</f>
        <v>49.989500002100002</v>
      </c>
      <c r="BE56" s="49">
        <f t="shared" si="91"/>
        <v>1</v>
      </c>
      <c r="BF56" s="49">
        <f t="shared" si="92"/>
        <v>1</v>
      </c>
      <c r="BG56" s="49">
        <f t="shared" si="92"/>
        <v>1</v>
      </c>
      <c r="BH56" s="49">
        <f t="shared" si="92"/>
        <v>1</v>
      </c>
      <c r="BI56" s="49">
        <f t="shared" si="92"/>
        <v>1</v>
      </c>
      <c r="BJ56" s="49">
        <f t="shared" si="92"/>
        <v>1</v>
      </c>
    </row>
    <row r="57" spans="1:62" x14ac:dyDescent="0.25">
      <c r="A57" s="48" t="s">
        <v>1095</v>
      </c>
      <c r="B57" s="15">
        <v>2.0999995799999999E-4</v>
      </c>
      <c r="C57" s="60">
        <f>IFERROR(C29/$B57,0)</f>
        <v>1.7316020779221473E-4</v>
      </c>
      <c r="D57" s="60">
        <f>IFERROR(D29/$B57,0)</f>
        <v>1.6185674489451123</v>
      </c>
      <c r="E57" s="60">
        <f>IFERROR(E29/$B57,0)</f>
        <v>0.14816552533958449</v>
      </c>
      <c r="F57" s="63">
        <f t="shared" si="77"/>
        <v>1.7293959256882064E-4</v>
      </c>
      <c r="G57" s="71">
        <f>IFERROR(up_RadSpec!$D$29*G29,".")*$B$57</f>
        <v>2.8874994224999999E-2</v>
      </c>
      <c r="H57" s="71">
        <f>IFERROR(up_RadSpec!$G$29*$H$29,".")*B57</f>
        <v>3.0891514612249906E-6</v>
      </c>
      <c r="I57" s="71">
        <f>IFERROR(up_RadSpec!$F$29*$I$29,".")*B57</f>
        <v>3.3746041722866154E-5</v>
      </c>
      <c r="J57" s="49">
        <f t="shared" si="78"/>
        <v>2.8462095275198163E-2</v>
      </c>
      <c r="K57" s="49">
        <f t="shared" si="79"/>
        <v>3.0891514612249906E-6</v>
      </c>
      <c r="L57" s="49">
        <f t="shared" si="80"/>
        <v>3.3746041722866154E-5</v>
      </c>
      <c r="M57" s="49">
        <f t="shared" si="81"/>
        <v>2.8497881402505865E-2</v>
      </c>
      <c r="N57" s="60">
        <f>IFERROR(N29/$B57,0)</f>
        <v>0.14816552533958449</v>
      </c>
      <c r="O57" s="60">
        <f>IFERROR(O29/$B57,0)</f>
        <v>0.29565920700151549</v>
      </c>
      <c r="P57" s="60">
        <f>IFERROR(P29/$B57,0)</f>
        <v>0.21062636161858689</v>
      </c>
      <c r="Q57" s="60">
        <f>IFERROR(Q29/$B57,0)</f>
        <v>0.17866553023860043</v>
      </c>
      <c r="R57" s="60">
        <f>IFERROR(R29/$B57,0)</f>
        <v>0.53090919709093043</v>
      </c>
      <c r="S57" s="71">
        <f>IFERROR(up_RadSpec!$F$29*$S$29,".")*$B$57</f>
        <v>3.3746041722866154E-5</v>
      </c>
      <c r="T57" s="71">
        <f>IFERROR(up_RadSpec!$M$29*$T$29,".")*$B$57</f>
        <v>1.6911362411840502E-5</v>
      </c>
      <c r="U57" s="71">
        <f>IFERROR(up_RadSpec!$N$29*$U$29,".")*$B$57</f>
        <v>2.3738718940862008E-5</v>
      </c>
      <c r="V57" s="71">
        <f>IFERROR(up_RadSpec!$O$29*$V$29,".")*$B$57</f>
        <v>2.7985252629999227E-5</v>
      </c>
      <c r="W57" s="71">
        <f>IFERROR(up_RadSpec!$K$29*$W$29,".")*$B$57</f>
        <v>9.4178063356164372E-6</v>
      </c>
      <c r="X57" s="49">
        <f t="shared" si="82"/>
        <v>3.3746041722866154E-5</v>
      </c>
      <c r="Y57" s="49">
        <f t="shared" si="82"/>
        <v>1.6911362411840502E-5</v>
      </c>
      <c r="Z57" s="49">
        <f t="shared" si="82"/>
        <v>2.3738718940862008E-5</v>
      </c>
      <c r="AA57" s="49">
        <f t="shared" si="82"/>
        <v>2.7985252629999227E-5</v>
      </c>
      <c r="AB57" s="49">
        <f t="shared" si="82"/>
        <v>9.4178063356164372E-6</v>
      </c>
      <c r="AC57" s="60">
        <f>IFERROR(AC29/$B57,0)</f>
        <v>5.2244908408165367E-6</v>
      </c>
      <c r="AD57" s="60">
        <f>IFERROR(AD29/$B57,0)</f>
        <v>8.3428588114289066E-3</v>
      </c>
      <c r="AE57" s="60">
        <f t="shared" si="83"/>
        <v>5.2212211915380781E-6</v>
      </c>
      <c r="AF57" s="71">
        <f>IFERROR(up_RadSpec!$G$29*AF29,".")*$B$57</f>
        <v>0.95703105859374982</v>
      </c>
      <c r="AG57" s="71">
        <f>IFERROR(up_RadSpec!$J$29*$AG$29,".")*$B$57</f>
        <v>5.9931494863013689E-4</v>
      </c>
      <c r="AH57" s="49">
        <f t="shared" si="84"/>
        <v>0.61596863828394266</v>
      </c>
      <c r="AI57" s="49">
        <f t="shared" si="84"/>
        <v>5.9931494863013689E-4</v>
      </c>
      <c r="AJ57" s="49">
        <f t="shared" si="85"/>
        <v>0.6161987250656511</v>
      </c>
      <c r="AK57" s="60">
        <f>IFERROR(AK29/$B57,0)</f>
        <v>4.7619057142859045E-7</v>
      </c>
      <c r="AL57" s="60">
        <f>IFERROR(AL29/$B57,0)</f>
        <v>2.0857147028572266E-2</v>
      </c>
      <c r="AM57" s="63">
        <f t="shared" si="86"/>
        <v>4.7617969974594786E-7</v>
      </c>
      <c r="AN57" s="71">
        <f>IFERROR(up_RadSpec!$H$29*AN29,".")*$B$57</f>
        <v>10.499997899999999</v>
      </c>
      <c r="AO57" s="71">
        <f>IFERROR(up_RadSpec!$L$29*AO29,".")*$B$57</f>
        <v>2.3972597945205474E-4</v>
      </c>
      <c r="AP57" s="49">
        <f t="shared" si="87"/>
        <v>0.99997246349282365</v>
      </c>
      <c r="AQ57" s="49">
        <f t="shared" si="88"/>
        <v>2.3972597945205474E-4</v>
      </c>
      <c r="AR57" s="49">
        <f t="shared" si="89"/>
        <v>0.99997247009324863</v>
      </c>
      <c r="AS57" s="63">
        <f t="shared" ref="AS57:AX57" si="100">IFERROR(AS29/$B57,0)</f>
        <v>4.7619057142859044E-6</v>
      </c>
      <c r="AT57" s="63">
        <f t="shared" si="100"/>
        <v>1.9841273809524601E-8</v>
      </c>
      <c r="AU57" s="63">
        <f t="shared" si="100"/>
        <v>4.7619057142859041E-4</v>
      </c>
      <c r="AV57" s="63">
        <f t="shared" si="100"/>
        <v>4.7619057142859044E-6</v>
      </c>
      <c r="AW57" s="63">
        <f t="shared" si="100"/>
        <v>1.9841273809524601E-8</v>
      </c>
      <c r="AX57" s="63">
        <f t="shared" si="100"/>
        <v>4.7619057142859041E-4</v>
      </c>
      <c r="AY57" s="71">
        <f>IFERROR(up_RadSpec!$E$29*AY29,".")*$B$57</f>
        <v>1.04999979</v>
      </c>
      <c r="AZ57" s="71">
        <f>IFERROR(up_RadSpec!$E$29*AZ29,".")*$B$57</f>
        <v>251.99994959999998</v>
      </c>
      <c r="BA57" s="71">
        <f>IFERROR(up_RadSpec!$E$29*BA29,".")*$B$57</f>
        <v>1.0499997899999999E-2</v>
      </c>
      <c r="BB57" s="71">
        <f>IFERROR(up_RadSpec!$E$29*BB29,".")*$B$57</f>
        <v>1.04999979</v>
      </c>
      <c r="BC57" s="71">
        <f>IFERROR(up_RadSpec!$E$29*BC29,".")*$B$57</f>
        <v>251.99994959999998</v>
      </c>
      <c r="BD57" s="71">
        <f>IFERROR(up_RadSpec!$E$29*BD29,".")*$B$57</f>
        <v>1.0499997899999999E-2</v>
      </c>
      <c r="BE57" s="49">
        <f t="shared" si="91"/>
        <v>0.65006217740190964</v>
      </c>
      <c r="BF57" s="49">
        <f t="shared" si="92"/>
        <v>1</v>
      </c>
      <c r="BG57" s="49">
        <f t="shared" si="92"/>
        <v>1.0445065354035443E-2</v>
      </c>
      <c r="BH57" s="49">
        <f t="shared" si="92"/>
        <v>0.65006217740190964</v>
      </c>
      <c r="BI57" s="49">
        <f t="shared" si="92"/>
        <v>1</v>
      </c>
      <c r="BJ57" s="49">
        <f t="shared" si="92"/>
        <v>1.0445065354035443E-2</v>
      </c>
    </row>
    <row r="58" spans="1:62" x14ac:dyDescent="0.25">
      <c r="A58" s="48" t="s">
        <v>1096</v>
      </c>
      <c r="B58" s="15">
        <v>1</v>
      </c>
      <c r="C58" s="60">
        <f>IFERROR(C16/$B58,0)</f>
        <v>3.6363636363636363E-8</v>
      </c>
      <c r="D58" s="60">
        <f>IFERROR(D16/$B58,0)</f>
        <v>3.3989909629864073E-4</v>
      </c>
      <c r="E58" s="60">
        <f>IFERROR(E16/$B58,0)</f>
        <v>0.84144082332761627</v>
      </c>
      <c r="F58" s="63">
        <f t="shared" si="77"/>
        <v>3.635974489512059E-8</v>
      </c>
      <c r="G58" s="71">
        <f>IFERROR(up_RadSpec!$D$16*G16,".")*$B$58</f>
        <v>137.5</v>
      </c>
      <c r="H58" s="71">
        <f>IFERROR(up_RadSpec!$G$16*$H$16,".")*B58</f>
        <v>1.4710247995501937E-2</v>
      </c>
      <c r="I58" s="71">
        <f>IFERROR(up_RadSpec!$F$16*$I$16,".")*B58</f>
        <v>5.9421885192433102E-6</v>
      </c>
      <c r="J58" s="49">
        <f t="shared" si="78"/>
        <v>1</v>
      </c>
      <c r="K58" s="49">
        <f t="shared" si="79"/>
        <v>1.4602580880648697E-2</v>
      </c>
      <c r="L58" s="49">
        <f t="shared" si="80"/>
        <v>5.9421885192433102E-6</v>
      </c>
      <c r="M58" s="49">
        <f t="shared" si="81"/>
        <v>1</v>
      </c>
      <c r="N58" s="60">
        <f>IFERROR(N16/$B58,0)</f>
        <v>0.84144082332761627</v>
      </c>
      <c r="O58" s="60">
        <f>IFERROR(O16/$B58,0)</f>
        <v>1.4985772357723584</v>
      </c>
      <c r="P58" s="60">
        <f>IFERROR(P16/$B58,0)</f>
        <v>0.90025518618175537</v>
      </c>
      <c r="Q58" s="60">
        <f>IFERROR(Q16/$B58,0)</f>
        <v>0.90490674318507935</v>
      </c>
      <c r="R58" s="60">
        <f>IFERROR(R16/$B58,0)</f>
        <v>35.040000000000006</v>
      </c>
      <c r="S58" s="71">
        <f>IFERROR(up_RadSpec!$F$16*$S$16,".")*$B$58</f>
        <v>5.9421885192433102E-6</v>
      </c>
      <c r="T58" s="71">
        <f>IFERROR(up_RadSpec!$M$16*$T$16,".")*$B$58</f>
        <v>3.3364980333649786E-6</v>
      </c>
      <c r="U58" s="71">
        <f>IFERROR(up_RadSpec!$N$16*$U$16,".")*$B$58</f>
        <v>5.5539807787239269E-6</v>
      </c>
      <c r="V58" s="71">
        <f>IFERROR(up_RadSpec!$O$16*$V$16,".")*$B$58</f>
        <v>5.5254312531709764E-6</v>
      </c>
      <c r="W58" s="71">
        <f>IFERROR(up_RadSpec!$K$16*$W$16,".")*$B$58</f>
        <v>1.4269406392694059E-7</v>
      </c>
      <c r="X58" s="49">
        <f t="shared" si="82"/>
        <v>5.9421885192433102E-6</v>
      </c>
      <c r="Y58" s="49">
        <f t="shared" si="82"/>
        <v>3.3364980333649786E-6</v>
      </c>
      <c r="Z58" s="49">
        <f t="shared" si="82"/>
        <v>5.5539807787239269E-6</v>
      </c>
      <c r="AA58" s="49">
        <f t="shared" si="82"/>
        <v>5.5254312531709764E-6</v>
      </c>
      <c r="AB58" s="49">
        <f t="shared" si="82"/>
        <v>1.4269406392694059E-7</v>
      </c>
      <c r="AC58" s="60">
        <f>IFERROR(AC16/$B58,0)</f>
        <v>1.0971428571428573E-9</v>
      </c>
      <c r="AD58" s="60">
        <f>IFERROR(AD16/$B58,0)</f>
        <v>1.7520000000000001E-6</v>
      </c>
      <c r="AE58" s="60">
        <f t="shared" si="83"/>
        <v>1.0964562309317064E-9</v>
      </c>
      <c r="AF58" s="71">
        <f>IFERROR(up_RadSpec!$G$16*AF16,".")*$B$58</f>
        <v>4557.2916666666661</v>
      </c>
      <c r="AG58" s="71">
        <f>IFERROR(up_RadSpec!$J$16*$AG$16,".")*$B$58</f>
        <v>2.8538812785388123</v>
      </c>
      <c r="AH58" s="49">
        <f t="shared" si="84"/>
        <v>1</v>
      </c>
      <c r="AI58" s="49">
        <f t="shared" si="84"/>
        <v>0.9423797539167309</v>
      </c>
      <c r="AJ58" s="49">
        <f t="shared" si="85"/>
        <v>1</v>
      </c>
      <c r="AK58" s="60">
        <f>IFERROR(AK16/$B58,0)</f>
        <v>9.9999999999999991E-11</v>
      </c>
      <c r="AL58" s="60">
        <f>IFERROR(AL16/$B58,0)</f>
        <v>4.3800000000000004E-6</v>
      </c>
      <c r="AM58" s="63">
        <f t="shared" si="86"/>
        <v>9.9997716947101668E-11</v>
      </c>
      <c r="AN58" s="71">
        <f>IFERROR(up_RadSpec!$H$16*AN16,".")*$B$58</f>
        <v>50000</v>
      </c>
      <c r="AO58" s="71">
        <f>IFERROR(up_RadSpec!$L$16*AO16,".")*$B$58</f>
        <v>1.1415525114155249</v>
      </c>
      <c r="AP58" s="49">
        <f t="shared" si="87"/>
        <v>1</v>
      </c>
      <c r="AQ58" s="49">
        <f t="shared" si="88"/>
        <v>0.68067711563678512</v>
      </c>
      <c r="AR58" s="49">
        <f t="shared" si="89"/>
        <v>1</v>
      </c>
      <c r="AS58" s="63">
        <f t="shared" ref="AS58:AX58" si="101">IFERROR(AS16/$B58,0)</f>
        <v>9.9999999999999986E-10</v>
      </c>
      <c r="AT58" s="63">
        <f t="shared" si="101"/>
        <v>4.166666666666666E-12</v>
      </c>
      <c r="AU58" s="63">
        <f t="shared" si="101"/>
        <v>9.9999999999999982E-8</v>
      </c>
      <c r="AV58" s="63">
        <f t="shared" si="101"/>
        <v>9.9999999999999986E-10</v>
      </c>
      <c r="AW58" s="63">
        <f t="shared" si="101"/>
        <v>4.166666666666666E-12</v>
      </c>
      <c r="AX58" s="63">
        <f t="shared" si="101"/>
        <v>9.9999999999999982E-8</v>
      </c>
      <c r="AY58" s="71">
        <f>IFERROR(up_RadSpec!$E$16*AY16,".")*$B$58</f>
        <v>5000</v>
      </c>
      <c r="AZ58" s="71">
        <f>IFERROR(up_RadSpec!$E$16*AZ16,".")*$B$58</f>
        <v>1200000</v>
      </c>
      <c r="BA58" s="71">
        <f>IFERROR(up_RadSpec!$E$16*BA16,".")*$B$58</f>
        <v>50</v>
      </c>
      <c r="BB58" s="71">
        <f>IFERROR(up_RadSpec!$E$16*BB16,".")*$B$58</f>
        <v>5000</v>
      </c>
      <c r="BC58" s="71">
        <f>IFERROR(up_RadSpec!$E$16*BC16,".")*$B$58</f>
        <v>1200000</v>
      </c>
      <c r="BD58" s="71">
        <f>IFERROR(up_RadSpec!$E$16*BD16,".")*$B$58</f>
        <v>50</v>
      </c>
      <c r="BE58" s="49">
        <f t="shared" si="91"/>
        <v>1</v>
      </c>
      <c r="BF58" s="49">
        <f t="shared" si="92"/>
        <v>1</v>
      </c>
      <c r="BG58" s="49">
        <f t="shared" si="92"/>
        <v>1</v>
      </c>
      <c r="BH58" s="49">
        <f t="shared" si="92"/>
        <v>1</v>
      </c>
      <c r="BI58" s="49">
        <f t="shared" si="92"/>
        <v>1</v>
      </c>
      <c r="BJ58" s="49">
        <f t="shared" si="92"/>
        <v>1</v>
      </c>
    </row>
    <row r="59" spans="1:62" x14ac:dyDescent="0.25">
      <c r="A59" s="48" t="s">
        <v>1097</v>
      </c>
      <c r="B59" s="15">
        <v>1</v>
      </c>
      <c r="C59" s="60">
        <f>IFERROR(C7/$B59,0)</f>
        <v>3.6363636363636363E-8</v>
      </c>
      <c r="D59" s="60">
        <f>IFERROR(D7/$B59,0)</f>
        <v>3.3989909629864073E-4</v>
      </c>
      <c r="E59" s="60">
        <f>IFERROR(E7/$B59,0)</f>
        <v>1.0102773722627735E-4</v>
      </c>
      <c r="F59" s="63">
        <f t="shared" si="77"/>
        <v>3.634666535039929E-8</v>
      </c>
      <c r="G59" s="71">
        <f>IFERROR(up_RadSpec!$D$7*G7,".")*$B$59</f>
        <v>137.5</v>
      </c>
      <c r="H59" s="71">
        <f>IFERROR(up_RadSpec!$G$7*$H$7,".")*B59</f>
        <v>1.4710247995501937E-2</v>
      </c>
      <c r="I59" s="71">
        <f>IFERROR(up_RadSpec!$F$7*$I$7,".")*B59</f>
        <v>4.9491358880989551E-2</v>
      </c>
      <c r="J59" s="49">
        <f t="shared" si="78"/>
        <v>1</v>
      </c>
      <c r="K59" s="49">
        <f t="shared" si="79"/>
        <v>1.4602580880648697E-2</v>
      </c>
      <c r="L59" s="49">
        <f t="shared" si="80"/>
        <v>4.8286618030471962E-2</v>
      </c>
      <c r="M59" s="49">
        <f t="shared" si="81"/>
        <v>1</v>
      </c>
      <c r="N59" s="60">
        <f>IFERROR(N7/$B59,0)</f>
        <v>1.0102773722627735E-4</v>
      </c>
      <c r="O59" s="60">
        <f>IFERROR(O7/$B59,0)</f>
        <v>1.6072268907563037E-4</v>
      </c>
      <c r="P59" s="60">
        <f>IFERROR(P7/$B59,0)</f>
        <v>1.1775000000000002E-4</v>
      </c>
      <c r="Q59" s="60">
        <f>IFERROR(Q7/$B59,0)</f>
        <v>1.0831849564583835E-4</v>
      </c>
      <c r="R59" s="60">
        <f>IFERROR(R7/$B59,0)</f>
        <v>2.7504660045836503E-4</v>
      </c>
      <c r="S59" s="71">
        <f>IFERROR(up_RadSpec!$F$7*$S$7,".")*$B$59</f>
        <v>4.9491358880989551E-2</v>
      </c>
      <c r="T59" s="71">
        <f>IFERROR(up_RadSpec!$M$7*$T$7,".")*$B$59</f>
        <v>3.1109484471400162E-2</v>
      </c>
      <c r="U59" s="71">
        <f>IFERROR(up_RadSpec!$N$7*$U$7,".")*$B$59</f>
        <v>4.2462845010615702E-2</v>
      </c>
      <c r="V59" s="71">
        <f>IFERROR(up_RadSpec!$O$7*$V$7,".")*$B$59</f>
        <v>4.6160168401416513E-2</v>
      </c>
      <c r="W59" s="71">
        <f>IFERROR(up_RadSpec!$K$7*$W$7,".")*$B$59</f>
        <v>1.8178737681787384E-2</v>
      </c>
      <c r="X59" s="49">
        <f t="shared" si="82"/>
        <v>4.8286618030471962E-2</v>
      </c>
      <c r="Y59" s="49">
        <f t="shared" si="82"/>
        <v>3.0630563634360786E-2</v>
      </c>
      <c r="Z59" s="49">
        <f t="shared" si="82"/>
        <v>4.1573924829946707E-2</v>
      </c>
      <c r="AA59" s="49">
        <f t="shared" si="82"/>
        <v>4.5110993104025665E-2</v>
      </c>
      <c r="AB59" s="49">
        <f t="shared" si="82"/>
        <v>1.8014501140072303E-2</v>
      </c>
      <c r="AC59" s="60">
        <f>IFERROR(AC7/$B59,0)</f>
        <v>1.0971428571428573E-9</v>
      </c>
      <c r="AD59" s="60">
        <f>IFERROR(AD7/$B59,0)</f>
        <v>1.7520000000000001E-6</v>
      </c>
      <c r="AE59" s="60">
        <f t="shared" si="83"/>
        <v>1.0964562309317064E-9</v>
      </c>
      <c r="AF59" s="71">
        <f>IFERROR(up_RadSpec!$G$7*AF7,".")*$B$59</f>
        <v>4557.2916666666661</v>
      </c>
      <c r="AG59" s="71">
        <f>IFERROR(up_RadSpec!$J$7*$AG$7,".")*$B$59</f>
        <v>2.8538812785388123</v>
      </c>
      <c r="AH59" s="49">
        <f t="shared" si="84"/>
        <v>1</v>
      </c>
      <c r="AI59" s="49">
        <f t="shared" si="84"/>
        <v>0.9423797539167309</v>
      </c>
      <c r="AJ59" s="49">
        <f t="shared" si="85"/>
        <v>1</v>
      </c>
      <c r="AK59" s="60">
        <f>IFERROR(AK7/$B59,0)</f>
        <v>9.9999999999999991E-11</v>
      </c>
      <c r="AL59" s="60">
        <f>IFERROR(AL7/$B59,0)</f>
        <v>4.3800000000000004E-6</v>
      </c>
      <c r="AM59" s="63">
        <f t="shared" si="86"/>
        <v>9.9997716947101668E-11</v>
      </c>
      <c r="AN59" s="71">
        <f>IFERROR(up_RadSpec!$H$7*AN7,".")*$B$59</f>
        <v>50000</v>
      </c>
      <c r="AO59" s="71">
        <f>IFERROR(up_RadSpec!$L$7*AO7,".")*$B$59</f>
        <v>1.1415525114155249</v>
      </c>
      <c r="AP59" s="49">
        <f t="shared" si="87"/>
        <v>1</v>
      </c>
      <c r="AQ59" s="49">
        <f t="shared" si="88"/>
        <v>0.68067711563678512</v>
      </c>
      <c r="AR59" s="49">
        <f t="shared" si="89"/>
        <v>1</v>
      </c>
      <c r="AS59" s="63">
        <f t="shared" ref="AS59:AX59" si="102">IFERROR(AS7/$B59,0)</f>
        <v>9.9999999999999986E-10</v>
      </c>
      <c r="AT59" s="63">
        <f t="shared" si="102"/>
        <v>4.166666666666666E-12</v>
      </c>
      <c r="AU59" s="63">
        <f t="shared" si="102"/>
        <v>9.9999999999999982E-8</v>
      </c>
      <c r="AV59" s="63">
        <f t="shared" si="102"/>
        <v>9.9999999999999986E-10</v>
      </c>
      <c r="AW59" s="63">
        <f t="shared" si="102"/>
        <v>4.166666666666666E-12</v>
      </c>
      <c r="AX59" s="63">
        <f t="shared" si="102"/>
        <v>9.9999999999999982E-8</v>
      </c>
      <c r="AY59" s="71">
        <f>IFERROR(up_RadSpec!$E$7*AY7,".")*$B$59</f>
        <v>5000</v>
      </c>
      <c r="AZ59" s="71">
        <f>IFERROR(up_RadSpec!$E$7*AZ7,".")*$B$59</f>
        <v>1200000</v>
      </c>
      <c r="BA59" s="71">
        <f>IFERROR(up_RadSpec!$E$7*BA7,".")*$B$59</f>
        <v>50</v>
      </c>
      <c r="BB59" s="71">
        <f>IFERROR(up_RadSpec!$E$7*BB7,".")*$B$59</f>
        <v>5000</v>
      </c>
      <c r="BC59" s="71">
        <f>IFERROR(up_RadSpec!$E$7*BC7,".")*$B$59</f>
        <v>1200000</v>
      </c>
      <c r="BD59" s="71">
        <f>IFERROR(up_RadSpec!$E$7*BD7,".")*$B$59</f>
        <v>50</v>
      </c>
      <c r="BE59" s="49">
        <f t="shared" si="91"/>
        <v>1</v>
      </c>
      <c r="BF59" s="49">
        <f t="shared" si="92"/>
        <v>1</v>
      </c>
      <c r="BG59" s="49">
        <f t="shared" si="92"/>
        <v>1</v>
      </c>
      <c r="BH59" s="49">
        <f t="shared" si="92"/>
        <v>1</v>
      </c>
      <c r="BI59" s="49">
        <f t="shared" si="92"/>
        <v>1</v>
      </c>
      <c r="BJ59" s="49">
        <f t="shared" si="92"/>
        <v>1</v>
      </c>
    </row>
    <row r="60" spans="1:62" x14ac:dyDescent="0.25">
      <c r="A60" s="48" t="s">
        <v>1098</v>
      </c>
      <c r="B60" s="15">
        <v>1.9000000000000001E-8</v>
      </c>
      <c r="C60" s="60">
        <f>IFERROR(C12/$B60,0)</f>
        <v>1.9138755980861242</v>
      </c>
      <c r="D60" s="60">
        <f>IFERROR(D12/$B60,0)</f>
        <v>17889.42612098109</v>
      </c>
      <c r="E60" s="60">
        <f>IFERROR(E12/$B60,0)</f>
        <v>4126.8560079443887</v>
      </c>
      <c r="F60" s="63">
        <f t="shared" si="77"/>
        <v>1.9127838866323084</v>
      </c>
      <c r="G60" s="71">
        <f>IFERROR(up_RadSpec!$D$12*G12,".")*$B$60</f>
        <v>2.6125000000000004E-6</v>
      </c>
      <c r="H60" s="71">
        <f>IFERROR(up_RadSpec!$G$12*$H$12,".")*B60</f>
        <v>2.794947119145368E-10</v>
      </c>
      <c r="I60" s="71">
        <f>IFERROR(up_RadSpec!$F$12*$I$12,".")*B60</f>
        <v>1.2115760739833831E-9</v>
      </c>
      <c r="J60" s="49">
        <f t="shared" si="78"/>
        <v>2.6125000000000004E-6</v>
      </c>
      <c r="K60" s="49">
        <f t="shared" si="79"/>
        <v>2.794947119145368E-10</v>
      </c>
      <c r="L60" s="49">
        <f t="shared" si="80"/>
        <v>1.2115760739833831E-9</v>
      </c>
      <c r="M60" s="49">
        <f t="shared" si="81"/>
        <v>2.6139910707858982E-6</v>
      </c>
      <c r="N60" s="60">
        <f>IFERROR(N12/$B60,0)</f>
        <v>4126.8560079443887</v>
      </c>
      <c r="O60" s="60">
        <f>IFERROR(O12/$B60,0)</f>
        <v>7403.8443611685971</v>
      </c>
      <c r="P60" s="60">
        <f>IFERROR(P12/$B60,0)</f>
        <v>5368.4359998305963</v>
      </c>
      <c r="Q60" s="60">
        <f>IFERROR(Q12/$B60,0)</f>
        <v>4741.0777315867908</v>
      </c>
      <c r="R60" s="60">
        <f>IFERROR(R12/$B60,0)</f>
        <v>12780.880773361976</v>
      </c>
      <c r="S60" s="71">
        <f>IFERROR(up_RadSpec!$F$12*$S$12,".")*$B$60</f>
        <v>1.2115760739833831E-9</v>
      </c>
      <c r="T60" s="71">
        <f>IFERROR(up_RadSpec!$M$12*$T$12,".")*$B$60</f>
        <v>6.7532483883964526E-10</v>
      </c>
      <c r="U60" s="71">
        <f>IFERROR(up_RadSpec!$N$12*$U$12,".")*$B$60</f>
        <v>9.3136995582284615E-10</v>
      </c>
      <c r="V60" s="71">
        <f>IFERROR(up_RadSpec!$O$12*$V$12,".")*$B$60</f>
        <v>1.0546125339156905E-9</v>
      </c>
      <c r="W60" s="71">
        <f>IFERROR(up_RadSpec!$K$12*$W$12,".")*$B$60</f>
        <v>3.9120934532313636E-10</v>
      </c>
      <c r="X60" s="49">
        <f t="shared" si="82"/>
        <v>1.2115760739833831E-9</v>
      </c>
      <c r="Y60" s="49">
        <f t="shared" si="82"/>
        <v>6.7532483883964526E-10</v>
      </c>
      <c r="Z60" s="49">
        <f t="shared" si="82"/>
        <v>9.3136995582284615E-10</v>
      </c>
      <c r="AA60" s="49">
        <f t="shared" si="82"/>
        <v>1.0546125339156905E-9</v>
      </c>
      <c r="AB60" s="49">
        <f t="shared" si="82"/>
        <v>3.9120934532313636E-10</v>
      </c>
      <c r="AC60" s="60">
        <f>IFERROR(AC12/$B60,0)</f>
        <v>5.774436090225564E-2</v>
      </c>
      <c r="AD60" s="60">
        <f>IFERROR(AD12/$B60,0)</f>
        <v>92.21052631578948</v>
      </c>
      <c r="AE60" s="60">
        <f t="shared" si="83"/>
        <v>5.7708222680616122E-2</v>
      </c>
      <c r="AF60" s="71">
        <f>IFERROR(up_RadSpec!$G$12*AF12,".")*$B$60</f>
        <v>8.6588541666666658E-5</v>
      </c>
      <c r="AG60" s="71">
        <f>IFERROR(up_RadSpec!$J$12*$AG$12,".")*$B$60</f>
        <v>5.4223744292237439E-8</v>
      </c>
      <c r="AH60" s="49">
        <f t="shared" si="84"/>
        <v>8.6588541666666658E-5</v>
      </c>
      <c r="AI60" s="49">
        <f t="shared" si="84"/>
        <v>5.4223744292237439E-8</v>
      </c>
      <c r="AJ60" s="49">
        <f t="shared" si="85"/>
        <v>8.6642765410958899E-5</v>
      </c>
      <c r="AK60" s="60">
        <f>IFERROR(AK12/$B60,0)</f>
        <v>5.2631578947368411E-3</v>
      </c>
      <c r="AL60" s="60">
        <f>IFERROR(AL12/$B60,0)</f>
        <v>230.5263157894737</v>
      </c>
      <c r="AM60" s="63">
        <f t="shared" si="86"/>
        <v>5.2630377340579819E-3</v>
      </c>
      <c r="AN60" s="71">
        <f>IFERROR(up_RadSpec!$H$12*AN12,".")*$B$60</f>
        <v>9.5000000000000011E-4</v>
      </c>
      <c r="AO60" s="71">
        <f>IFERROR(up_RadSpec!$L$12*AO12,".")*$B$60</f>
        <v>2.1689497716894977E-8</v>
      </c>
      <c r="AP60" s="49">
        <f t="shared" si="87"/>
        <v>9.5000000000000011E-4</v>
      </c>
      <c r="AQ60" s="49">
        <f t="shared" si="88"/>
        <v>2.1689497716894977E-8</v>
      </c>
      <c r="AR60" s="49">
        <f t="shared" si="89"/>
        <v>9.5002168949771695E-4</v>
      </c>
      <c r="AS60" s="63">
        <f t="shared" ref="AS60:AX60" si="103">IFERROR(AS12/$B60,0)</f>
        <v>5.2631578947368411E-2</v>
      </c>
      <c r="AT60" s="63">
        <f t="shared" si="103"/>
        <v>2.1929824561403504E-4</v>
      </c>
      <c r="AU60" s="63">
        <f t="shared" si="103"/>
        <v>5.2631578947368407</v>
      </c>
      <c r="AV60" s="63">
        <f t="shared" si="103"/>
        <v>5.2631578947368411E-2</v>
      </c>
      <c r="AW60" s="63">
        <f t="shared" si="103"/>
        <v>2.1929824561403504E-4</v>
      </c>
      <c r="AX60" s="63">
        <f t="shared" si="103"/>
        <v>5.2631578947368407</v>
      </c>
      <c r="AY60" s="71">
        <f>IFERROR(up_RadSpec!$E$12*AY12,".")*$B$60</f>
        <v>9.5000000000000005E-5</v>
      </c>
      <c r="AZ60" s="71">
        <f>IFERROR(up_RadSpec!$E$12*AZ12,".")*$B$60</f>
        <v>2.2800000000000001E-2</v>
      </c>
      <c r="BA60" s="71">
        <f>IFERROR(up_RadSpec!$E$12*BA12,".")*$B$60</f>
        <v>9.5000000000000012E-7</v>
      </c>
      <c r="BB60" s="71">
        <f>IFERROR(up_RadSpec!$E$12*BB12,".")*$B$60</f>
        <v>9.5000000000000005E-5</v>
      </c>
      <c r="BC60" s="71">
        <f>IFERROR(up_RadSpec!$E$12*BC12,".")*$B$60</f>
        <v>2.2800000000000001E-2</v>
      </c>
      <c r="BD60" s="71">
        <f>IFERROR(up_RadSpec!$E$12*BD12,".")*$B$60</f>
        <v>9.5000000000000012E-7</v>
      </c>
      <c r="BE60" s="49">
        <f t="shared" si="91"/>
        <v>9.5000000000000005E-5</v>
      </c>
      <c r="BF60" s="49">
        <f t="shared" si="92"/>
        <v>2.2542044183415544E-2</v>
      </c>
      <c r="BG60" s="49">
        <f t="shared" si="92"/>
        <v>9.5000000000000012E-7</v>
      </c>
      <c r="BH60" s="49">
        <f t="shared" si="92"/>
        <v>9.5000000000000005E-5</v>
      </c>
      <c r="BI60" s="49">
        <f t="shared" si="92"/>
        <v>2.2542044183415544E-2</v>
      </c>
      <c r="BJ60" s="49">
        <f t="shared" si="92"/>
        <v>9.5000000000000012E-7</v>
      </c>
    </row>
    <row r="61" spans="1:62" x14ac:dyDescent="0.25">
      <c r="A61" s="48" t="s">
        <v>1099</v>
      </c>
      <c r="B61" s="15">
        <v>1</v>
      </c>
      <c r="C61" s="60">
        <f>IFERROR(C18/$B61,0)</f>
        <v>3.6363636363636363E-8</v>
      </c>
      <c r="D61" s="60">
        <f>IFERROR(D18/$B61,0)</f>
        <v>3.3989909629864073E-4</v>
      </c>
      <c r="E61" s="60">
        <f>IFERROR(E18/$B61,0)</f>
        <v>3.9401015479876174E-5</v>
      </c>
      <c r="F61" s="63">
        <f t="shared" si="77"/>
        <v>3.6326224175412221E-8</v>
      </c>
      <c r="G61" s="71">
        <f>IFERROR(up_RadSpec!$D$18*G18,".")*$B$61</f>
        <v>137.5</v>
      </c>
      <c r="H61" s="71">
        <f>IFERROR(up_RadSpec!$G$18*$H$18,".")*B61</f>
        <v>1.4710247995501937E-2</v>
      </c>
      <c r="I61" s="71">
        <f>IFERROR(up_RadSpec!$F$18*$I$18,".")*B61</f>
        <v>0.12690028262225167</v>
      </c>
      <c r="J61" s="49">
        <f t="shared" si="78"/>
        <v>1</v>
      </c>
      <c r="K61" s="49">
        <f t="shared" si="79"/>
        <v>1.4602580880648697E-2</v>
      </c>
      <c r="L61" s="49">
        <f t="shared" si="80"/>
        <v>0.11917849857155938</v>
      </c>
      <c r="M61" s="49">
        <f t="shared" si="81"/>
        <v>1</v>
      </c>
      <c r="N61" s="60">
        <f>IFERROR(N18/$B61,0)</f>
        <v>3.9401015479876174E-5</v>
      </c>
      <c r="O61" s="60">
        <f>IFERROR(O18/$B61,0)</f>
        <v>7.7963172804532591E-5</v>
      </c>
      <c r="P61" s="60">
        <f>IFERROR(P18/$B61,0)</f>
        <v>5.4597264747907746E-5</v>
      </c>
      <c r="Q61" s="60">
        <f>IFERROR(Q18/$B61,0)</f>
        <v>4.5234819879579573E-5</v>
      </c>
      <c r="R61" s="60">
        <f>IFERROR(R18/$B61,0)</f>
        <v>1.3252307692307691E-4</v>
      </c>
      <c r="S61" s="71">
        <f>IFERROR(up_RadSpec!$F$18*$S$18,".")*$B$61</f>
        <v>0.12690028262225167</v>
      </c>
      <c r="T61" s="71">
        <f>IFERROR(up_RadSpec!$M$18*$T$18,".")*$B$61</f>
        <v>6.4132844010028695E-2</v>
      </c>
      <c r="U61" s="71">
        <f>IFERROR(up_RadSpec!$N$18*$U$18,".")*$B$61</f>
        <v>9.1579679368307687E-2</v>
      </c>
      <c r="V61" s="71">
        <f>IFERROR(up_RadSpec!$O$18*$V$18,".")*$B$61</f>
        <v>0.1105343187683866</v>
      </c>
      <c r="W61" s="71">
        <f>IFERROR(up_RadSpec!$K$18*$W$18,".")*$B$61</f>
        <v>3.7729277919665662E-2</v>
      </c>
      <c r="X61" s="49">
        <f t="shared" si="82"/>
        <v>0.11917849857155938</v>
      </c>
      <c r="Y61" s="49">
        <f t="shared" si="82"/>
        <v>6.2119600538465436E-2</v>
      </c>
      <c r="Z61" s="49">
        <f t="shared" si="82"/>
        <v>8.7511393260443326E-2</v>
      </c>
      <c r="AA61" s="49">
        <f t="shared" si="82"/>
        <v>0.10464439783931923</v>
      </c>
      <c r="AB61" s="49">
        <f t="shared" si="82"/>
        <v>3.7026396176664034E-2</v>
      </c>
      <c r="AC61" s="60">
        <f>IFERROR(AC18/$B61,0)</f>
        <v>1.0971428571428573E-9</v>
      </c>
      <c r="AD61" s="60">
        <f>IFERROR(AD18/$B61,0)</f>
        <v>1.7520000000000001E-6</v>
      </c>
      <c r="AE61" s="60">
        <f t="shared" si="83"/>
        <v>1.0964562309317064E-9</v>
      </c>
      <c r="AF61" s="71">
        <f>IFERROR(up_RadSpec!$G$18*AF18,".")*$B$61</f>
        <v>4557.2916666666661</v>
      </c>
      <c r="AG61" s="71">
        <f>IFERROR(up_RadSpec!$J$18*$AG$18,".")*$B$61</f>
        <v>2.8538812785388123</v>
      </c>
      <c r="AH61" s="49">
        <f t="shared" si="84"/>
        <v>1</v>
      </c>
      <c r="AI61" s="49">
        <f t="shared" si="84"/>
        <v>0.9423797539167309</v>
      </c>
      <c r="AJ61" s="49">
        <f t="shared" si="85"/>
        <v>1</v>
      </c>
      <c r="AK61" s="60">
        <f>IFERROR(AK18/$B61,0)</f>
        <v>9.9999999999999991E-11</v>
      </c>
      <c r="AL61" s="60">
        <f>IFERROR(AL18/$B61,0)</f>
        <v>4.3800000000000004E-6</v>
      </c>
      <c r="AM61" s="63">
        <f t="shared" si="86"/>
        <v>9.9997716947101668E-11</v>
      </c>
      <c r="AN61" s="71">
        <f>IFERROR(up_RadSpec!$H$18*AN18,".")*$B$61</f>
        <v>50000</v>
      </c>
      <c r="AO61" s="71">
        <f>IFERROR(up_RadSpec!$L$18*AO18,".")*$B$61</f>
        <v>1.1415525114155249</v>
      </c>
      <c r="AP61" s="49">
        <f t="shared" si="87"/>
        <v>1</v>
      </c>
      <c r="AQ61" s="49">
        <f t="shared" si="88"/>
        <v>0.68067711563678512</v>
      </c>
      <c r="AR61" s="49">
        <f t="shared" si="89"/>
        <v>1</v>
      </c>
      <c r="AS61" s="63">
        <f t="shared" ref="AS61:AX61" si="104">IFERROR(AS18/$B61,0)</f>
        <v>9.9999999999999986E-10</v>
      </c>
      <c r="AT61" s="63">
        <f t="shared" si="104"/>
        <v>4.166666666666666E-12</v>
      </c>
      <c r="AU61" s="63">
        <f t="shared" si="104"/>
        <v>9.9999999999999982E-8</v>
      </c>
      <c r="AV61" s="63">
        <f t="shared" si="104"/>
        <v>9.9999999999999986E-10</v>
      </c>
      <c r="AW61" s="63">
        <f t="shared" si="104"/>
        <v>4.166666666666666E-12</v>
      </c>
      <c r="AX61" s="63">
        <f t="shared" si="104"/>
        <v>9.9999999999999982E-8</v>
      </c>
      <c r="AY61" s="71">
        <f>IFERROR(up_RadSpec!$E$18*AY18,".")*$B$61</f>
        <v>5000</v>
      </c>
      <c r="AZ61" s="71">
        <f>IFERROR(up_RadSpec!$E$18*AZ18,".")*$B$61</f>
        <v>1200000</v>
      </c>
      <c r="BA61" s="71">
        <f>IFERROR(up_RadSpec!$E$18*BA18,".")*$B$61</f>
        <v>50</v>
      </c>
      <c r="BB61" s="71">
        <f>IFERROR(up_RadSpec!$E$18*BB18,".")*$B$61</f>
        <v>5000</v>
      </c>
      <c r="BC61" s="71">
        <f>IFERROR(up_RadSpec!$E$18*BC18,".")*$B$61</f>
        <v>1200000</v>
      </c>
      <c r="BD61" s="71">
        <f>IFERROR(up_RadSpec!$E$18*BD18,".")*$B$61</f>
        <v>50</v>
      </c>
      <c r="BE61" s="49">
        <f t="shared" si="91"/>
        <v>1</v>
      </c>
      <c r="BF61" s="49">
        <f t="shared" si="92"/>
        <v>1</v>
      </c>
      <c r="BG61" s="49">
        <f t="shared" si="92"/>
        <v>1</v>
      </c>
      <c r="BH61" s="49">
        <f t="shared" si="92"/>
        <v>1</v>
      </c>
      <c r="BI61" s="49">
        <f t="shared" si="92"/>
        <v>1</v>
      </c>
      <c r="BJ61" s="49">
        <f t="shared" si="92"/>
        <v>1</v>
      </c>
    </row>
    <row r="62" spans="1:62" x14ac:dyDescent="0.25">
      <c r="A62" s="48" t="s">
        <v>1100</v>
      </c>
      <c r="B62" s="15">
        <v>1.339E-6</v>
      </c>
      <c r="C62" s="60">
        <f>IFERROR(C27/$B62,0)</f>
        <v>2.7157308710706769E-2</v>
      </c>
      <c r="D62" s="60">
        <f>IFERROR(D27/$B62,0)</f>
        <v>253.84547893849196</v>
      </c>
      <c r="E62" s="60">
        <f>IFERROR(E27/$B62,0)</f>
        <v>48.291103883899119</v>
      </c>
      <c r="F62" s="63">
        <f t="shared" si="77"/>
        <v>2.7139143116539879E-2</v>
      </c>
      <c r="G62" s="71">
        <f>IFERROR(up_RadSpec!$D$27*G27,".")*$B$62</f>
        <v>1.8411250000000001E-4</v>
      </c>
      <c r="H62" s="71">
        <f>IFERROR(up_RadSpec!$G$27*$H$27,".")*B62</f>
        <v>1.9697022065977095E-8</v>
      </c>
      <c r="I62" s="71">
        <f>IFERROR(up_RadSpec!$F$27*$I$27,".")*B62</f>
        <v>1.0353873897811364E-7</v>
      </c>
      <c r="J62" s="49">
        <f t="shared" si="78"/>
        <v>1.8411250000000001E-4</v>
      </c>
      <c r="K62" s="49">
        <f t="shared" si="79"/>
        <v>1.9697022065977095E-8</v>
      </c>
      <c r="L62" s="49">
        <f t="shared" si="80"/>
        <v>1.0353873897811364E-7</v>
      </c>
      <c r="M62" s="49">
        <f t="shared" si="81"/>
        <v>1.8423573576104412E-4</v>
      </c>
      <c r="N62" s="60">
        <f>IFERROR(N27/$B62,0)</f>
        <v>48.291103883899119</v>
      </c>
      <c r="O62" s="60">
        <f>IFERROR(O27/$B62,0)</f>
        <v>143.2396525293818</v>
      </c>
      <c r="P62" s="60">
        <f>IFERROR(P27/$B62,0)</f>
        <v>87.816678107940234</v>
      </c>
      <c r="Q62" s="60">
        <f>IFERROR(Q27/$B62,0)</f>
        <v>63.883240752349963</v>
      </c>
      <c r="R62" s="60">
        <f>IFERROR(R27/$B62,0)</f>
        <v>448.05111773721018</v>
      </c>
      <c r="S62" s="71">
        <f>IFERROR(up_RadSpec!$F$27*$S$27,".")*$B$62</f>
        <v>1.0353873897811364E-7</v>
      </c>
      <c r="T62" s="71">
        <f>IFERROR(up_RadSpec!$M$27*$T$27,".")*$B$62</f>
        <v>3.4906535388127838E-8</v>
      </c>
      <c r="U62" s="71">
        <f>IFERROR(up_RadSpec!$N$27*$U$27,".")*$B$62</f>
        <v>5.6936792733770106E-8</v>
      </c>
      <c r="V62" s="71">
        <f>IFERROR(up_RadSpec!$O$27*$V$27,".")*$B$62</f>
        <v>7.826778887725844E-8</v>
      </c>
      <c r="W62" s="71">
        <f>IFERROR(up_RadSpec!$K$27*$W$27,".")*$B$62</f>
        <v>1.1159440970154186E-8</v>
      </c>
      <c r="X62" s="49">
        <f t="shared" si="82"/>
        <v>1.0353873897811364E-7</v>
      </c>
      <c r="Y62" s="49">
        <f t="shared" si="82"/>
        <v>3.4906535388127838E-8</v>
      </c>
      <c r="Z62" s="49">
        <f t="shared" si="82"/>
        <v>5.6936792733770106E-8</v>
      </c>
      <c r="AA62" s="49">
        <f t="shared" si="82"/>
        <v>7.826778887725844E-8</v>
      </c>
      <c r="AB62" s="49">
        <f t="shared" si="82"/>
        <v>1.1159440970154186E-8</v>
      </c>
      <c r="AC62" s="60">
        <f>IFERROR(AC27/$B62,0)</f>
        <v>8.1937479995732433E-4</v>
      </c>
      <c r="AD62" s="60">
        <f>IFERROR(AD27/$B62,0)</f>
        <v>1.3084391336818522</v>
      </c>
      <c r="AE62" s="60">
        <f t="shared" si="83"/>
        <v>8.1886200965773431E-4</v>
      </c>
      <c r="AF62" s="71">
        <f>IFERROR(up_RadSpec!$G$27*AF27,".")*$B$62</f>
        <v>6.1022135416666659E-3</v>
      </c>
      <c r="AG62" s="71">
        <f>IFERROR(up_RadSpec!$J$27*$AG$27,".")*$B$62</f>
        <v>3.8213470319634697E-6</v>
      </c>
      <c r="AH62" s="49">
        <f t="shared" si="84"/>
        <v>6.1022135416666659E-3</v>
      </c>
      <c r="AI62" s="49">
        <f t="shared" si="84"/>
        <v>3.8213470319634697E-6</v>
      </c>
      <c r="AJ62" s="49">
        <f t="shared" si="85"/>
        <v>6.1060348886986292E-3</v>
      </c>
      <c r="AK62" s="60">
        <f>IFERROR(AK27/$B62,0)</f>
        <v>7.4682598954443606E-5</v>
      </c>
      <c r="AL62" s="60">
        <f>IFERROR(AL27/$B62,0)</f>
        <v>3.2710978342046304</v>
      </c>
      <c r="AM62" s="63">
        <f t="shared" si="86"/>
        <v>7.4680893911203627E-5</v>
      </c>
      <c r="AN62" s="71">
        <f>IFERROR(up_RadSpec!$H$27*AN27,".")*$B$62</f>
        <v>6.6949999999999996E-2</v>
      </c>
      <c r="AO62" s="71">
        <f>IFERROR(up_RadSpec!$L$27*AO27,".")*$B$62</f>
        <v>1.5285388127853878E-6</v>
      </c>
      <c r="AP62" s="49">
        <f t="shared" si="87"/>
        <v>6.4758037734143126E-2</v>
      </c>
      <c r="AQ62" s="49">
        <f t="shared" si="88"/>
        <v>1.5285388127853878E-6</v>
      </c>
      <c r="AR62" s="49">
        <f t="shared" si="89"/>
        <v>6.4759467286689243E-2</v>
      </c>
      <c r="AS62" s="63">
        <f t="shared" ref="AS62:AX62" si="105">IFERROR(AS27/$B62,0)</f>
        <v>7.4682598954443598E-4</v>
      </c>
      <c r="AT62" s="63">
        <f t="shared" si="105"/>
        <v>3.1117749564351503E-6</v>
      </c>
      <c r="AU62" s="63">
        <f t="shared" si="105"/>
        <v>7.4682598954443596E-2</v>
      </c>
      <c r="AV62" s="63">
        <f t="shared" si="105"/>
        <v>7.4682598954443598E-4</v>
      </c>
      <c r="AW62" s="63">
        <f t="shared" si="105"/>
        <v>3.1117749564351503E-6</v>
      </c>
      <c r="AX62" s="63">
        <f t="shared" si="105"/>
        <v>7.4682598954443596E-2</v>
      </c>
      <c r="AY62" s="71">
        <f>IFERROR(up_RadSpec!$E$27*AY27,".")*$B$62</f>
        <v>6.6950000000000004E-3</v>
      </c>
      <c r="AZ62" s="71">
        <f>IFERROR(up_RadSpec!$E$27*AZ27,".")*$B$62</f>
        <v>1.6068</v>
      </c>
      <c r="BA62" s="71">
        <f>IFERROR(up_RadSpec!$E$27*BA27,".")*$B$62</f>
        <v>6.6950000000000001E-5</v>
      </c>
      <c r="BB62" s="71">
        <f>IFERROR(up_RadSpec!$E$27*BB27,".")*$B$62</f>
        <v>6.6950000000000004E-3</v>
      </c>
      <c r="BC62" s="71">
        <f>IFERROR(up_RadSpec!$E$27*BC27,".")*$B$62</f>
        <v>1.6068</v>
      </c>
      <c r="BD62" s="71">
        <f>IFERROR(up_RadSpec!$E$27*BD27,".")*$B$62</f>
        <v>6.6950000000000001E-5</v>
      </c>
      <c r="BE62" s="49">
        <f t="shared" si="91"/>
        <v>6.6950000000000004E-3</v>
      </c>
      <c r="BF62" s="49">
        <f t="shared" si="92"/>
        <v>0.79947172104270425</v>
      </c>
      <c r="BG62" s="49">
        <f t="shared" si="92"/>
        <v>6.6950000000000001E-5</v>
      </c>
      <c r="BH62" s="49">
        <f t="shared" si="92"/>
        <v>6.6950000000000004E-3</v>
      </c>
      <c r="BI62" s="49">
        <f t="shared" si="92"/>
        <v>0.79947172104270425</v>
      </c>
      <c r="BJ62" s="49">
        <f t="shared" si="92"/>
        <v>6.6950000000000001E-5</v>
      </c>
    </row>
    <row r="63" spans="1:62" x14ac:dyDescent="0.25">
      <c r="A63" s="57" t="s">
        <v>35</v>
      </c>
      <c r="B63" s="57" t="s">
        <v>1259</v>
      </c>
      <c r="C63" s="58">
        <f>1/SUM(1/C66,1/C68,1/C72,1/C73,1/C75)</f>
        <v>7.2730184843873879E-9</v>
      </c>
      <c r="D63" s="58">
        <f>1/SUM(1/D64,1/D65,1/D66,1/D68,1/D72,1/D73,1/D75)</f>
        <v>4.8558402527260952E-5</v>
      </c>
      <c r="E63" s="58">
        <f>1/SUM(1/E64,1/E66,1/E68,1/E69,1/E70,1/E71,1/E72,1/E73,1/E74,1/E75,1/E76)</f>
        <v>7.9222102336171138E-6</v>
      </c>
      <c r="F63" s="62">
        <f>1/SUM(1/F64,1/F66,1/F68,1/F69,1/F70,1/F71,1/F72,1/F73,1/F74,1/F75,1/F76)</f>
        <v>5.190993293164753E-9</v>
      </c>
      <c r="G63" s="70"/>
      <c r="H63" s="70"/>
      <c r="I63" s="70"/>
      <c r="J63" s="47">
        <f>IFERROR(IF(SUM(G64:G76)&gt;0.01,1-EXP(-SUM(G64:G76)),SUM(G64:G76)),".")</f>
        <v>1</v>
      </c>
      <c r="K63" s="47">
        <f>IFERROR(IF(SUM(H64:H76)&gt;0.01,1-EXP(-SUM(H64:H76)),SUM(H64:H76)),".")</f>
        <v>0.11102130060468729</v>
      </c>
      <c r="L63" s="47">
        <f>IFERROR(IF(SUM(I64:I76)&gt;0.01,1-EXP(-SUM(I64:I76)),SUM(I64:I76)),".")</f>
        <v>0.4680134117278022</v>
      </c>
      <c r="M63" s="47">
        <f>IFERROR(IF(SUM(G64:I76)&gt;0.01,1-EXP(-SUM(G64:I76)),SUM(G64:I76)),".")</f>
        <v>1</v>
      </c>
      <c r="N63" s="59">
        <f t="shared" ref="N63:R63" si="106">1/SUM(1/N64,1/N66,1/N68,1/N69,1/N70,1/N71,1/N72,1/N73,1/N74,1/N75,1/N76)</f>
        <v>7.9222102336171138E-6</v>
      </c>
      <c r="O63" s="59">
        <f t="shared" si="106"/>
        <v>1.5091737759060084E-5</v>
      </c>
      <c r="P63" s="59">
        <f t="shared" si="106"/>
        <v>1.0747168570933092E-5</v>
      </c>
      <c r="Q63" s="59">
        <f t="shared" si="106"/>
        <v>9.1634572057342523E-6</v>
      </c>
      <c r="R63" s="59">
        <f t="shared" si="106"/>
        <v>2.6497890751002435E-5</v>
      </c>
      <c r="S63" s="70"/>
      <c r="T63" s="70"/>
      <c r="U63" s="70"/>
      <c r="V63" s="70"/>
      <c r="W63" s="70"/>
      <c r="X63" s="47">
        <f>IFERROR(IF(SUM(S64:S76)&gt;0.01,1-EXP(-SUM(S64:S76)),SUM(S64:S76)),".")</f>
        <v>0.4680134117278022</v>
      </c>
      <c r="Y63" s="47">
        <f t="shared" ref="Y63:AB63" si="107">IFERROR(IF(SUM(T64:T76)&gt;0.01,1-EXP(-SUM(T64:T76)),SUM(T64:T76)),".")</f>
        <v>0.28201536404438909</v>
      </c>
      <c r="Z63" s="47">
        <f t="shared" si="107"/>
        <v>0.37201488670590543</v>
      </c>
      <c r="AA63" s="47">
        <f t="shared" si="107"/>
        <v>0.42053243505662774</v>
      </c>
      <c r="AB63" s="47">
        <f t="shared" si="107"/>
        <v>0.17196037070204118</v>
      </c>
      <c r="AC63" s="58">
        <f>1/SUM(1/AC64,1/AC65,1/AC66,1/AC68,1/AC72,1/AC73,1/AC75)</f>
        <v>1.5673917661800231E-10</v>
      </c>
      <c r="AD63" s="58">
        <f t="shared" ref="AD63" si="108">1/SUM(1/AD64,1/AD65,1/AD66,1/AD67,1/AD68,1/AD69,1/AD70,1/AD71,1/AD72,1/AD73,1/AD74,1/AD75,1/AD76)</f>
        <v>2.1899996282475631E-7</v>
      </c>
      <c r="AE63" s="59">
        <f>1/SUM(1/AE64,1/AE65,1/AE66,1/AE67,1/AE68,1/AE69,1/AE70,1/AE71,1/AE72,1/AE73,1/AE74,1/AE75,1/AE76)</f>
        <v>1.3705700560103658E-10</v>
      </c>
      <c r="AF63" s="70"/>
      <c r="AG63" s="70"/>
      <c r="AH63" s="47">
        <f>IFERROR(IF(SUM(AF64:AF76)&gt;0.01,1-EXP(-SUM(AF64:AF76)),SUM(AF64:AF76)),".")</f>
        <v>1</v>
      </c>
      <c r="AI63" s="47">
        <f>IFERROR(IF(SUM(AG64:AG76)&gt;0.01,1-EXP(-SUM(AG64:AG76)),SUM(AG64:AG76)),".")</f>
        <v>0.99999999987849364</v>
      </c>
      <c r="AJ63" s="47">
        <f>IFERROR(IF(SUM(AF64:AG76)&gt;0.01,1-EXP(-SUM(AF64:AG76)),SUM(AF64:AG76)),".")</f>
        <v>1</v>
      </c>
      <c r="AK63" s="58">
        <f>1/SUM(1/AK66,1/AK68,1/AK72,1/AK73,1/AK75)</f>
        <v>2.0000800832065316E-11</v>
      </c>
      <c r="AL63" s="58">
        <f t="shared" ref="AL63:AM63" si="109">1/SUM(1/AL64,1/AL65,1/AL66,1/AL67,1/AL68,1/AL69,1/AL70,1/AL71,1/AL72,1/AL73,1/AL74,1/AL75,1/AL76)</f>
        <v>5.4749990706189082E-7</v>
      </c>
      <c r="AM63" s="62">
        <f t="shared" si="109"/>
        <v>1.2499712496561513E-11</v>
      </c>
      <c r="AN63" s="70"/>
      <c r="AO63" s="70"/>
      <c r="AP63" s="47">
        <f>IFERROR(IF(SUM(AN64:AN76)&gt;0.01,1-EXP(-SUM(AN64:AN76)),SUM(AN64:AN76)),".")</f>
        <v>1</v>
      </c>
      <c r="AQ63" s="47">
        <f>IFERROR(IF(SUM(AO64:AO76)&gt;0.01,1-EXP(-SUM(AO64:AO76)),SUM(AO64:AO76)),".")</f>
        <v>0.99989189652001398</v>
      </c>
      <c r="AR63" s="47">
        <f>IFERROR(IF(SUM(AN64:AO76)&gt;0.01,1-EXP(-SUM(AN64:AO76)),SUM(AN64:AO76)),".")</f>
        <v>1</v>
      </c>
      <c r="AS63" s="61">
        <f>1/SUM(1/AS66,1/AS68,1/AS72,1/AS73,1/AS75)</f>
        <v>2.0000800832065313E-10</v>
      </c>
      <c r="AT63" s="61">
        <f>1/SUM(1/AT66,1/AT68,1/AT72,1/AT73,1/AT75)</f>
        <v>8.3336670133605464E-13</v>
      </c>
      <c r="AU63" s="61">
        <f>1/SUM(1/AU66,1/AU68,1/AU72,1/AU73,1/AU75)</f>
        <v>2.0000800832065313E-8</v>
      </c>
      <c r="AV63" s="61">
        <f>1/SUM(1/AV66,1/AV68,1/AV72,1/AV73,1/AV75)</f>
        <v>2.0000800832065313E-10</v>
      </c>
      <c r="AW63" s="61">
        <f>1/SUM(1/AW75)</f>
        <v>4.166666666666666E-12</v>
      </c>
      <c r="AX63" s="61">
        <f>1/SUM(1/AX75)</f>
        <v>9.9999999999999982E-8</v>
      </c>
      <c r="AY63" s="70"/>
      <c r="AZ63" s="70"/>
      <c r="BA63" s="70"/>
      <c r="BB63" s="70"/>
      <c r="BC63" s="70"/>
      <c r="BD63" s="70"/>
      <c r="BE63" s="47">
        <f>IFERROR(IF(SUM(AY64:AY76)&gt;0.01,1-EXP(-SUM(AY64:AY76)),SUM(AY64:AY76)),".")</f>
        <v>1</v>
      </c>
      <c r="BF63" s="47">
        <f t="shared" ref="BF63:BJ63" si="110">IFERROR(IF(SUM(AZ64:AZ76)&gt;0.01,1-EXP(-SUM(AZ64:AZ76)),SUM(AZ64:AZ76)),".")</f>
        <v>1</v>
      </c>
      <c r="BG63" s="47">
        <f t="shared" si="110"/>
        <v>1</v>
      </c>
      <c r="BH63" s="47">
        <f t="shared" si="110"/>
        <v>1</v>
      </c>
      <c r="BI63" s="47">
        <f t="shared" si="110"/>
        <v>1</v>
      </c>
      <c r="BJ63" s="47">
        <f t="shared" si="110"/>
        <v>1</v>
      </c>
    </row>
    <row r="64" spans="1:62" x14ac:dyDescent="0.25">
      <c r="A64" s="48" t="s">
        <v>1090</v>
      </c>
      <c r="B64" s="45">
        <v>1</v>
      </c>
      <c r="C64" s="60">
        <f>IFERROR(C25/$B50,0)</f>
        <v>3.6363636363636363E-8</v>
      </c>
      <c r="D64" s="60">
        <f>IFERROR(D25/$B50,0)</f>
        <v>3.3989909629864073E-4</v>
      </c>
      <c r="E64" s="60">
        <f>IFERROR(E25/$B50,0)</f>
        <v>5.6289156626506038E-5</v>
      </c>
      <c r="F64" s="63">
        <f t="shared" ref="F64:F76" si="111">IF(AND(C64&lt;&gt;0,D64&lt;&gt;0,E64&lt;&gt;0),1/((1/C64)+(1/D64)+(1/E64)),IF(AND(C64&lt;&gt;0,D64&lt;&gt;0,E64=0), 1/((1/C64)+(1/D64)),IF(AND(C64&lt;&gt;0,D64=0,E64&lt;&gt;0),1/((1/C64)+(1/E64)),IF(AND(C64=0,D64&lt;&gt;0,E64&lt;&gt;0),1/((1/D64)+(1/E64)),IF(AND(C64&lt;&gt;0,D64=0,E64=0),1/((1/C64)),IF(AND(C64=0,D64&lt;&gt;0,E64=0),1/((1/D64)),IF(AND(C64=0,D64=0,E64&lt;&gt;0),1/((1/E64)),IF(AND(C64=0,D64=0,E64=0),0))))))))</f>
        <v>3.6336275200525832E-8</v>
      </c>
      <c r="G64" s="71">
        <f>IFERROR(up_RadSpec!$D$25*G25,".")*$B$64</f>
        <v>137.5</v>
      </c>
      <c r="H64" s="71">
        <f>IFERROR(up_RadSpec!$G$25*$H$25,".")*B64</f>
        <v>1.4710247995501937E-2</v>
      </c>
      <c r="I64" s="71">
        <f>IFERROR(up_RadSpec!$F$25*$I$25,".")*B64</f>
        <v>8.8827054794520521E-2</v>
      </c>
      <c r="J64" s="49">
        <f t="shared" ref="J64:J76" si="112">IFERROR(IF(G64&gt;0.01,1-EXP(-G64),G64),".")</f>
        <v>1</v>
      </c>
      <c r="K64" s="49">
        <f t="shared" ref="K64:K76" si="113">IFERROR(IF(H64&gt;0.01,1-EXP(-H64),H64),".")</f>
        <v>1.4602580880648697E-2</v>
      </c>
      <c r="L64" s="49">
        <f t="shared" ref="L64:L76" si="114">IFERROR(IF(I64&gt;0.01,1-EXP(-I64),I64),".")</f>
        <v>8.4996194587519724E-2</v>
      </c>
      <c r="M64" s="49">
        <f t="shared" ref="M64:M76" si="115">IFERROR(IF(SUM(G64:I64)&gt;0.01,1-EXP(-SUM(G64:I64)),SUM(G64:I64)),".")</f>
        <v>1</v>
      </c>
      <c r="N64" s="60">
        <f>IFERROR(N25/$B50,0)</f>
        <v>5.6289156626506038E-5</v>
      </c>
      <c r="O64" s="60">
        <f>IFERROR(O25/$B50,0)</f>
        <v>1.0080219880897846E-4</v>
      </c>
      <c r="P64" s="60">
        <f>IFERROR(P25/$B50,0)</f>
        <v>7.2305963699222141E-5</v>
      </c>
      <c r="Q64" s="60">
        <f>IFERROR(Q25/$B50,0)</f>
        <v>6.4567405475880052E-5</v>
      </c>
      <c r="R64" s="60">
        <f>IFERROR(R25/$B50,0)</f>
        <v>1.8072727272727275E-4</v>
      </c>
      <c r="S64" s="71">
        <f>IFERROR(up_RadSpec!$F$25*$S$25,".")*$B$64</f>
        <v>8.8827054794520521E-2</v>
      </c>
      <c r="T64" s="71">
        <f>IFERROR(up_RadSpec!$M$25*$T$25,".")*$B$64</f>
        <v>4.9602092603903095E-2</v>
      </c>
      <c r="U64" s="71">
        <f>IFERROR(up_RadSpec!$N$25*$U$25,".")*$B$64</f>
        <v>6.9150589304071308E-2</v>
      </c>
      <c r="V64" s="71">
        <f>IFERROR(up_RadSpec!$O$25*$V$25,".")*$B$64</f>
        <v>7.7438453088653394E-2</v>
      </c>
      <c r="W64" s="71">
        <f>IFERROR(up_RadSpec!$K$25*$W$25,".")*$B$64</f>
        <v>2.7665995975855125E-2</v>
      </c>
      <c r="X64" s="49">
        <f t="shared" ref="X64:AB76" si="116">IFERROR(IF(S64&gt;0.01,1-EXP(-S64),S64),".")</f>
        <v>8.4996194587519724E-2</v>
      </c>
      <c r="Y64" s="49">
        <f t="shared" si="116"/>
        <v>4.8391998961685001E-2</v>
      </c>
      <c r="Z64" s="49">
        <f t="shared" si="116"/>
        <v>6.6813858354964228E-2</v>
      </c>
      <c r="AA64" s="49">
        <f t="shared" si="116"/>
        <v>7.4516016675529761E-2</v>
      </c>
      <c r="AB64" s="49">
        <f t="shared" si="116"/>
        <v>2.7286797325985379E-2</v>
      </c>
      <c r="AC64" s="60">
        <f>IFERROR(AC25/$B50,0)</f>
        <v>1.0971428571428573E-9</v>
      </c>
      <c r="AD64" s="60">
        <f>IFERROR(AD25/$B50,0)</f>
        <v>1.7520000000000001E-6</v>
      </c>
      <c r="AE64" s="60">
        <f t="shared" ref="AE64:AE76" si="117">IFERROR(IF(AND(AC64&lt;&gt;0,AD64&lt;&gt;0),1/((1/AC64)+(1/AD64)),IF(AND(AC64&lt;&gt;0,AD64=0),1/((1/AC64)),IF(AND(AC64=0,AD64&lt;&gt;0),1/((1/AD64)),IF(AND(AC64=".",AD64="."),".")))),".")</f>
        <v>1.0964562309317064E-9</v>
      </c>
      <c r="AF64" s="71">
        <f>IFERROR(up_RadSpec!$G$25*AF25,".")*$B$64</f>
        <v>4557.2916666666661</v>
      </c>
      <c r="AG64" s="71">
        <f>IFERROR(up_RadSpec!$J$25*$AG$25,".")*$B$64</f>
        <v>2.8538812785388123</v>
      </c>
      <c r="AH64" s="49">
        <f t="shared" ref="AH64:AI76" si="118">IFERROR(IF(AF64&gt;0.01,1-EXP(-AF64),AF64),".")</f>
        <v>1</v>
      </c>
      <c r="AI64" s="49">
        <f t="shared" si="118"/>
        <v>0.9423797539167309</v>
      </c>
      <c r="AJ64" s="49">
        <f t="shared" ref="AJ64:AJ76" si="119">IFERROR(IF(SUM(AF64:AG64)&gt;0.01,1-EXP(-SUM(AF64:AG64)),SUM(AF64:AG64)),".")</f>
        <v>1</v>
      </c>
      <c r="AK64" s="60">
        <f>IFERROR(AK25/$B50,0)</f>
        <v>9.9999999999999991E-11</v>
      </c>
      <c r="AL64" s="60">
        <f>IFERROR(AL25/$B50,0)</f>
        <v>4.3800000000000004E-6</v>
      </c>
      <c r="AM64" s="63">
        <f t="shared" ref="AM64:AM76" si="120">IFERROR(IF(AND(AK64&lt;&gt;0,AL64&lt;&gt;0),1/((1/AK64)+(1/AL64)),IF(AND(AK64&lt;&gt;0,AL64=0),1/((1/AK64)),IF(AND(AK64=0,AL64&lt;&gt;0),1/((1/AL64)),IF(AND(AK64=0,AL64=0),0)))),0)</f>
        <v>9.9997716947101668E-11</v>
      </c>
      <c r="AN64" s="71">
        <f>IFERROR(up_RadSpec!$H$25*AN25,".")*$B$64</f>
        <v>50000</v>
      </c>
      <c r="AO64" s="71">
        <f>IFERROR(up_RadSpec!$L$25*AO25,".")*$B$64</f>
        <v>1.1415525114155249</v>
      </c>
      <c r="AP64" s="49">
        <f t="shared" ref="AP64:AP76" si="121">IFERROR(IF(AN64&gt;0.01,1-EXP(-AN64),AN64),".")</f>
        <v>1</v>
      </c>
      <c r="AQ64" s="49">
        <f t="shared" ref="AQ64:AQ76" si="122">IFERROR(IF(AO64&gt;0.01,1-EXP(-AO64),AO64),".")</f>
        <v>0.68067711563678512</v>
      </c>
      <c r="AR64" s="49">
        <f t="shared" ref="AR64:AR76" si="123">IFERROR(IF(SUM(AN64:AO64)&gt;0.01,1-EXP(-SUM(AN64:AO64)),SUM(AN64:AO64)),".")</f>
        <v>1</v>
      </c>
      <c r="AS64" s="63">
        <f t="shared" ref="AS64:AX64" si="124">IFERROR(AS25/$B50,0)</f>
        <v>9.9999999999999986E-10</v>
      </c>
      <c r="AT64" s="63">
        <f t="shared" si="124"/>
        <v>4.166666666666666E-12</v>
      </c>
      <c r="AU64" s="63">
        <f t="shared" si="124"/>
        <v>9.9999999999999982E-8</v>
      </c>
      <c r="AV64" s="63">
        <f t="shared" si="124"/>
        <v>9.9999999999999986E-10</v>
      </c>
      <c r="AW64" s="63">
        <f t="shared" si="124"/>
        <v>4.166666666666666E-12</v>
      </c>
      <c r="AX64" s="63">
        <f t="shared" si="124"/>
        <v>9.9999999999999982E-8</v>
      </c>
      <c r="AY64" s="71">
        <f>IFERROR(up_RadSpec!$E$25*AY25,".")*$B$64</f>
        <v>5000</v>
      </c>
      <c r="AZ64" s="71">
        <f>IFERROR(up_RadSpec!$E$25*AZ25,".")*$B$64</f>
        <v>1200000</v>
      </c>
      <c r="BA64" s="71">
        <f>IFERROR(up_RadSpec!$E$25*BA25,".")*$B$64</f>
        <v>50</v>
      </c>
      <c r="BB64" s="71">
        <f>IFERROR(up_RadSpec!$E$25*BB25,".")*$B$64</f>
        <v>5000</v>
      </c>
      <c r="BC64" s="71">
        <f>IFERROR(up_RadSpec!$E$25*BC25,".")*$B$64</f>
        <v>1200000</v>
      </c>
      <c r="BD64" s="71">
        <f>IFERROR(up_RadSpec!$E$25*BD25,".")*$B$64</f>
        <v>50</v>
      </c>
      <c r="BE64" s="49">
        <f t="shared" ref="BE64:BE76" si="125">IFERROR(IF(AY64&gt;0.01,1-EXP(-AY64),AY64),".")</f>
        <v>1</v>
      </c>
      <c r="BF64" s="49">
        <f t="shared" ref="BF64:BJ76" si="126">IFERROR(IF(AZ64&gt;0.01,1-EXP(-AZ64),AZ64),".")</f>
        <v>1</v>
      </c>
      <c r="BG64" s="49">
        <f t="shared" si="126"/>
        <v>1</v>
      </c>
      <c r="BH64" s="49">
        <f t="shared" si="126"/>
        <v>1</v>
      </c>
      <c r="BI64" s="49">
        <f t="shared" si="126"/>
        <v>1</v>
      </c>
      <c r="BJ64" s="49">
        <f t="shared" si="126"/>
        <v>1</v>
      </c>
    </row>
    <row r="65" spans="1:62" x14ac:dyDescent="0.25">
      <c r="A65" s="48" t="s">
        <v>1076</v>
      </c>
      <c r="B65" s="45">
        <v>1</v>
      </c>
      <c r="C65" s="60">
        <f>IFERROR(C21/$B51,0)</f>
        <v>3.6363636363636363E-8</v>
      </c>
      <c r="D65" s="60">
        <f>IFERROR(D21/$B51,0)</f>
        <v>3.3989909629864073E-4</v>
      </c>
      <c r="E65" s="60">
        <f>IFERROR(E21/$B51,0)</f>
        <v>0</v>
      </c>
      <c r="F65" s="63">
        <f t="shared" si="111"/>
        <v>3.6359746466272203E-8</v>
      </c>
      <c r="G65" s="71">
        <f>IFERROR(up_RadSpec!$D$21*G21,".")*$B$65</f>
        <v>137.5</v>
      </c>
      <c r="H65" s="71">
        <f>IFERROR(up_RadSpec!$G$21*$H$21,".")*B65</f>
        <v>1.4710247995501937E-2</v>
      </c>
      <c r="I65" s="71">
        <f>IFERROR(up_RadSpec!$F$21*$I$21,".")*B65</f>
        <v>0</v>
      </c>
      <c r="J65" s="49">
        <f t="shared" si="112"/>
        <v>1</v>
      </c>
      <c r="K65" s="49">
        <f t="shared" si="113"/>
        <v>1.4602580880648697E-2</v>
      </c>
      <c r="L65" s="49">
        <f t="shared" si="114"/>
        <v>0</v>
      </c>
      <c r="M65" s="49">
        <f t="shared" si="115"/>
        <v>1</v>
      </c>
      <c r="N65" s="60">
        <f>IFERROR(N21/$B51,0)</f>
        <v>0</v>
      </c>
      <c r="O65" s="60">
        <f>IFERROR(O21/$B51,0)</f>
        <v>0</v>
      </c>
      <c r="P65" s="60">
        <f>IFERROR(P21/$B51,0)</f>
        <v>0</v>
      </c>
      <c r="Q65" s="60">
        <f>IFERROR(Q21/$B51,0)</f>
        <v>0</v>
      </c>
      <c r="R65" s="60">
        <f>IFERROR(R21/$B51,0)</f>
        <v>0</v>
      </c>
      <c r="S65" s="71">
        <f>IFERROR(up_RadSpec!$F$21*$S$21,".")*$B$65</f>
        <v>0</v>
      </c>
      <c r="T65" s="71">
        <f>IFERROR(up_RadSpec!$M$21*$T$21,".")*$B$65</f>
        <v>0</v>
      </c>
      <c r="U65" s="71">
        <f>IFERROR(up_RadSpec!$N$21*$U$21,".")*$B$65</f>
        <v>0</v>
      </c>
      <c r="V65" s="71">
        <f>IFERROR(up_RadSpec!$O$21*$V$21,".")*$B$65</f>
        <v>0</v>
      </c>
      <c r="W65" s="71">
        <f>IFERROR(up_RadSpec!$K$21*$W$21,".")*$B$65</f>
        <v>0</v>
      </c>
      <c r="X65" s="49">
        <f t="shared" si="116"/>
        <v>0</v>
      </c>
      <c r="Y65" s="49">
        <f t="shared" si="116"/>
        <v>0</v>
      </c>
      <c r="Z65" s="49">
        <f t="shared" si="116"/>
        <v>0</v>
      </c>
      <c r="AA65" s="49">
        <f t="shared" si="116"/>
        <v>0</v>
      </c>
      <c r="AB65" s="49">
        <f t="shared" si="116"/>
        <v>0</v>
      </c>
      <c r="AC65" s="60">
        <f>IFERROR(AC21/$B51,0)</f>
        <v>1.0971428571428573E-9</v>
      </c>
      <c r="AD65" s="60">
        <f>IFERROR(AD21/$B51,0)</f>
        <v>1.7520000000000001E-6</v>
      </c>
      <c r="AE65" s="60">
        <f t="shared" si="117"/>
        <v>1.0964562309317064E-9</v>
      </c>
      <c r="AF65" s="71">
        <f>IFERROR(up_RadSpec!$G$21*AF21,".")*$B$65</f>
        <v>4557.2916666666661</v>
      </c>
      <c r="AG65" s="71">
        <f>IFERROR(up_RadSpec!$J$21*$AG$21,".")*$B$65</f>
        <v>2.8538812785388123</v>
      </c>
      <c r="AH65" s="49">
        <f t="shared" si="118"/>
        <v>1</v>
      </c>
      <c r="AI65" s="49">
        <f t="shared" si="118"/>
        <v>0.9423797539167309</v>
      </c>
      <c r="AJ65" s="49">
        <f t="shared" si="119"/>
        <v>1</v>
      </c>
      <c r="AK65" s="60">
        <f>IFERROR(AK21/$B51,0)</f>
        <v>9.9999999999999991E-11</v>
      </c>
      <c r="AL65" s="60">
        <f>IFERROR(AL21/$B51,0)</f>
        <v>4.3800000000000004E-6</v>
      </c>
      <c r="AM65" s="63">
        <f t="shared" si="120"/>
        <v>9.9997716947101668E-11</v>
      </c>
      <c r="AN65" s="71">
        <f>IFERROR(up_RadSpec!$H$21*AN21,".")*$B$65</f>
        <v>50000</v>
      </c>
      <c r="AO65" s="71">
        <f>IFERROR(up_RadSpec!$L$21*AO21,".")*$B$65</f>
        <v>1.1415525114155249</v>
      </c>
      <c r="AP65" s="49">
        <f t="shared" si="121"/>
        <v>1</v>
      </c>
      <c r="AQ65" s="49">
        <f t="shared" si="122"/>
        <v>0.68067711563678512</v>
      </c>
      <c r="AR65" s="49">
        <f t="shared" si="123"/>
        <v>1</v>
      </c>
      <c r="AS65" s="63">
        <f t="shared" ref="AS65:AX65" si="127">IFERROR(AS21/$B51,0)</f>
        <v>9.9999999999999986E-10</v>
      </c>
      <c r="AT65" s="63">
        <f t="shared" si="127"/>
        <v>4.166666666666666E-12</v>
      </c>
      <c r="AU65" s="63">
        <f t="shared" si="127"/>
        <v>9.9999999999999982E-8</v>
      </c>
      <c r="AV65" s="63">
        <f t="shared" si="127"/>
        <v>9.9999999999999986E-10</v>
      </c>
      <c r="AW65" s="63">
        <f t="shared" si="127"/>
        <v>4.166666666666666E-12</v>
      </c>
      <c r="AX65" s="63">
        <f t="shared" si="127"/>
        <v>9.9999999999999982E-8</v>
      </c>
      <c r="AY65" s="71">
        <f>IFERROR(up_RadSpec!$E$21*AY21,".")*$B$65</f>
        <v>5000</v>
      </c>
      <c r="AZ65" s="71">
        <f>IFERROR(up_RadSpec!$E$21*AZ21,".")*$B$65</f>
        <v>1200000</v>
      </c>
      <c r="BA65" s="71">
        <f>IFERROR(up_RadSpec!$E$21*BA21,".")*$B$65</f>
        <v>50</v>
      </c>
      <c r="BB65" s="71">
        <f>IFERROR(up_RadSpec!$E$21*BB21,".")*$B$65</f>
        <v>5000</v>
      </c>
      <c r="BC65" s="71">
        <f>IFERROR(up_RadSpec!$E$21*BC21,".")*$B$65</f>
        <v>1200000</v>
      </c>
      <c r="BD65" s="71">
        <f>IFERROR(up_RadSpec!$E$21*BD21,".")*$B$65</f>
        <v>50</v>
      </c>
      <c r="BE65" s="49">
        <f t="shared" si="125"/>
        <v>1</v>
      </c>
      <c r="BF65" s="49">
        <f t="shared" si="126"/>
        <v>1</v>
      </c>
      <c r="BG65" s="49">
        <f t="shared" si="126"/>
        <v>1</v>
      </c>
      <c r="BH65" s="49">
        <f t="shared" si="126"/>
        <v>1</v>
      </c>
      <c r="BI65" s="49">
        <f t="shared" si="126"/>
        <v>1</v>
      </c>
      <c r="BJ65" s="49">
        <f t="shared" si="126"/>
        <v>1</v>
      </c>
    </row>
    <row r="66" spans="1:62" x14ac:dyDescent="0.25">
      <c r="A66" s="48" t="s">
        <v>1077</v>
      </c>
      <c r="B66" s="52">
        <v>0.99980000000000002</v>
      </c>
      <c r="C66" s="60">
        <f>IFERROR(C17/$B52,0)</f>
        <v>3.6370910545745511E-8</v>
      </c>
      <c r="D66" s="60">
        <f>IFERROR(D17/$B52,0)</f>
        <v>3.3996708971658404E-4</v>
      </c>
      <c r="E66" s="60">
        <f>IFERROR(E17/$B52,0)</f>
        <v>7.7376514263891697E-5</v>
      </c>
      <c r="F66" s="63">
        <f t="shared" si="111"/>
        <v>3.6349935373295474E-8</v>
      </c>
      <c r="G66" s="71">
        <f>IFERROR(up_RadSpec!$D$17*G17,".")*$B$66</f>
        <v>137.4725</v>
      </c>
      <c r="H66" s="71">
        <f>IFERROR(up_RadSpec!$G$17*$H$17,".")*B66</f>
        <v>1.4707305945902837E-2</v>
      </c>
      <c r="I66" s="71">
        <f>IFERROR(up_RadSpec!$F$17*$I$17,".")*B66</f>
        <v>6.4619090786999761E-2</v>
      </c>
      <c r="J66" s="49">
        <f t="shared" si="112"/>
        <v>1</v>
      </c>
      <c r="K66" s="49">
        <f t="shared" si="113"/>
        <v>1.4599681788302177E-2</v>
      </c>
      <c r="L66" s="49">
        <f t="shared" si="114"/>
        <v>6.2575531003545182E-2</v>
      </c>
      <c r="M66" s="49">
        <f t="shared" si="115"/>
        <v>1</v>
      </c>
      <c r="N66" s="60">
        <f>IFERROR(N17/$B52,0)</f>
        <v>7.7376514263891697E-5</v>
      </c>
      <c r="O66" s="60">
        <f>IFERROR(O17/$B52,0)</f>
        <v>1.3523164072872006E-4</v>
      </c>
      <c r="P66" s="60">
        <f>IFERROR(P17/$B52,0)</f>
        <v>1.0188546907655436E-4</v>
      </c>
      <c r="Q66" s="60">
        <f>IFERROR(Q17/$B52,0)</f>
        <v>9.0599765795468424E-5</v>
      </c>
      <c r="R66" s="60">
        <f>IFERROR(R17/$B52,0)</f>
        <v>2.591222294303098E-4</v>
      </c>
      <c r="S66" s="71">
        <f>IFERROR(up_RadSpec!$F$17*$S$17,".")*$B$66</f>
        <v>6.4619090786999761E-2</v>
      </c>
      <c r="T66" s="71">
        <f>IFERROR(up_RadSpec!$M$17*$T$17,".")*$B$66</f>
        <v>3.6973595624933624E-2</v>
      </c>
      <c r="U66" s="71">
        <f>IFERROR(up_RadSpec!$N$17*$U$17,".")*$B$66</f>
        <v>4.9074711490439488E-2</v>
      </c>
      <c r="V66" s="71">
        <f>IFERROR(up_RadSpec!$O$17*$V$17,".")*$B$66</f>
        <v>5.5187780631659064E-2</v>
      </c>
      <c r="W66" s="71">
        <f>IFERROR(up_RadSpec!$K$17*$W$17,".")*$B$66</f>
        <v>1.9295913017546559E-2</v>
      </c>
      <c r="X66" s="49">
        <f t="shared" si="116"/>
        <v>6.2575531003545182E-2</v>
      </c>
      <c r="Y66" s="49">
        <f t="shared" si="116"/>
        <v>3.6298419048890196E-2</v>
      </c>
      <c r="Z66" s="49">
        <f t="shared" si="116"/>
        <v>4.7890006515483918E-2</v>
      </c>
      <c r="AA66" s="49">
        <f t="shared" si="116"/>
        <v>5.3692566939225195E-2</v>
      </c>
      <c r="AB66" s="49">
        <f t="shared" si="116"/>
        <v>1.9110938549019685E-2</v>
      </c>
      <c r="AC66" s="60">
        <f>IFERROR(AC17/$B52,0)</f>
        <v>1.097362329608779E-9</v>
      </c>
      <c r="AD66" s="60">
        <f>IFERROR(AD17/$B52,0)</f>
        <v>1.7523504700940188E-6</v>
      </c>
      <c r="AE66" s="60">
        <f t="shared" si="117"/>
        <v>1.0966755660449152E-9</v>
      </c>
      <c r="AF66" s="71">
        <f>IFERROR(up_RadSpec!$G$17*AF17,".")*$B$66</f>
        <v>4556.380208333333</v>
      </c>
      <c r="AG66" s="71">
        <f>IFERROR(up_RadSpec!$J$17*$AG$17,".")*$B$66</f>
        <v>2.8533105022831045</v>
      </c>
      <c r="AH66" s="49">
        <f t="shared" si="118"/>
        <v>1</v>
      </c>
      <c r="AI66" s="49">
        <f t="shared" si="118"/>
        <v>0.94234685626071124</v>
      </c>
      <c r="AJ66" s="49">
        <f t="shared" si="119"/>
        <v>1</v>
      </c>
      <c r="AK66" s="60">
        <f>IFERROR(AK17/$B52,0)</f>
        <v>1.0002000400080015E-10</v>
      </c>
      <c r="AL66" s="60">
        <f>IFERROR(AL17/$B52,0)</f>
        <v>4.3808761752350469E-6</v>
      </c>
      <c r="AM66" s="63">
        <f t="shared" si="120"/>
        <v>1.000177204911999E-10</v>
      </c>
      <c r="AN66" s="71">
        <f>IFERROR(up_RadSpec!$H$17*AN17,".")*$B$66</f>
        <v>49990</v>
      </c>
      <c r="AO66" s="71">
        <f>IFERROR(up_RadSpec!$L$17*AO17,".")*$B$66</f>
        <v>1.1413242009132418</v>
      </c>
      <c r="AP66" s="49">
        <f t="shared" si="121"/>
        <v>1</v>
      </c>
      <c r="AQ66" s="49">
        <f t="shared" si="122"/>
        <v>0.68060420254557019</v>
      </c>
      <c r="AR66" s="49">
        <f t="shared" si="123"/>
        <v>1</v>
      </c>
      <c r="AS66" s="63">
        <f t="shared" ref="AS66:AX66" si="128">IFERROR(AS17/$B52,0)</f>
        <v>1.0002000400080014E-9</v>
      </c>
      <c r="AT66" s="63">
        <f t="shared" si="128"/>
        <v>4.1675001667000058E-12</v>
      </c>
      <c r="AU66" s="63">
        <f t="shared" si="128"/>
        <v>1.0002000400080013E-7</v>
      </c>
      <c r="AV66" s="63">
        <f t="shared" si="128"/>
        <v>1.0002000400080014E-9</v>
      </c>
      <c r="AW66" s="63">
        <f t="shared" si="128"/>
        <v>4.1675001667000058E-12</v>
      </c>
      <c r="AX66" s="63">
        <f t="shared" si="128"/>
        <v>1.0002000400080013E-7</v>
      </c>
      <c r="AY66" s="71">
        <f>IFERROR(up_RadSpec!$E$17*AY17,".")*$B$66</f>
        <v>4999</v>
      </c>
      <c r="AZ66" s="71">
        <f>IFERROR(up_RadSpec!$E$17*AZ17,".")*$B$66</f>
        <v>1199760</v>
      </c>
      <c r="BA66" s="71">
        <f>IFERROR(up_RadSpec!$E$17*BA17,".")*$B$66</f>
        <v>49.99</v>
      </c>
      <c r="BB66" s="71">
        <f>IFERROR(up_RadSpec!$E$17*BB17,".")*$B$66</f>
        <v>4999</v>
      </c>
      <c r="BC66" s="71">
        <f>IFERROR(up_RadSpec!$E$17*BC17,".")*$B$66</f>
        <v>1199760</v>
      </c>
      <c r="BD66" s="71">
        <f>IFERROR(up_RadSpec!$E$17*BD17,".")*$B$66</f>
        <v>49.99</v>
      </c>
      <c r="BE66" s="49">
        <f t="shared" si="125"/>
        <v>1</v>
      </c>
      <c r="BF66" s="49">
        <f t="shared" si="126"/>
        <v>1</v>
      </c>
      <c r="BG66" s="49">
        <f t="shared" si="126"/>
        <v>1</v>
      </c>
      <c r="BH66" s="49">
        <f t="shared" si="126"/>
        <v>1</v>
      </c>
      <c r="BI66" s="49">
        <f t="shared" si="126"/>
        <v>1</v>
      </c>
      <c r="BJ66" s="49">
        <f t="shared" si="126"/>
        <v>1</v>
      </c>
    </row>
    <row r="67" spans="1:62" x14ac:dyDescent="0.25">
      <c r="A67" s="48" t="s">
        <v>1091</v>
      </c>
      <c r="B67" s="45">
        <v>2.0000000000000001E-4</v>
      </c>
      <c r="C67" s="60">
        <f>IFERROR(C5/$B53,0)</f>
        <v>1.8181818181818181E-4</v>
      </c>
      <c r="D67" s="60">
        <f>IFERROR(D5/$B53,0)</f>
        <v>1.6994954814932035</v>
      </c>
      <c r="E67" s="60">
        <f>IFERROR(E5/$B53,0)</f>
        <v>0</v>
      </c>
      <c r="F67" s="63">
        <f t="shared" si="111"/>
        <v>1.81798732331361E-4</v>
      </c>
      <c r="G67" s="71">
        <f>IFERROR(up_RadSpec!$D$5*G5,".")*$B$67</f>
        <v>2.75E-2</v>
      </c>
      <c r="H67" s="71">
        <f>IFERROR(up_RadSpec!$G$5*$H$5,".")*B67</f>
        <v>2.9420495991003874E-6</v>
      </c>
      <c r="I67" s="71">
        <f>IFERROR(up_RadSpec!$F$5*$I$5,".")*B67</f>
        <v>0</v>
      </c>
      <c r="J67" s="49">
        <f t="shared" si="112"/>
        <v>2.7125317446546005E-2</v>
      </c>
      <c r="K67" s="49">
        <f t="shared" si="113"/>
        <v>2.9420495991003874E-6</v>
      </c>
      <c r="L67" s="49">
        <f t="shared" si="114"/>
        <v>0</v>
      </c>
      <c r="M67" s="49">
        <f t="shared" si="115"/>
        <v>2.7128179687905374E-2</v>
      </c>
      <c r="N67" s="60">
        <f>IFERROR(N5/$B53,0)</f>
        <v>0</v>
      </c>
      <c r="O67" s="60">
        <f>IFERROR(O5/$B53,0)</f>
        <v>0</v>
      </c>
      <c r="P67" s="60">
        <f>IFERROR(P5/$B53,0)</f>
        <v>0</v>
      </c>
      <c r="Q67" s="60">
        <f>IFERROR(Q5/$B53,0)</f>
        <v>0</v>
      </c>
      <c r="R67" s="60">
        <f>IFERROR(R5/$B53,0)</f>
        <v>0</v>
      </c>
      <c r="S67" s="71">
        <f>IFERROR(up_RadSpec!$F$5*$S$5,".")*$B$67</f>
        <v>0</v>
      </c>
      <c r="T67" s="71">
        <f>IFERROR(up_RadSpec!$M$5*$T$5,".")*$B$67</f>
        <v>0</v>
      </c>
      <c r="U67" s="71">
        <f>IFERROR(up_RadSpec!$N$5*$U$5,".")*$B$67</f>
        <v>0</v>
      </c>
      <c r="V67" s="71">
        <f>IFERROR(up_RadSpec!$O$5*$V$5,".")*$B$67</f>
        <v>0</v>
      </c>
      <c r="W67" s="71">
        <f>IFERROR(up_RadSpec!$K$5*$W$5,".")*$B$67</f>
        <v>0</v>
      </c>
      <c r="X67" s="49">
        <f t="shared" si="116"/>
        <v>0</v>
      </c>
      <c r="Y67" s="49">
        <f t="shared" si="116"/>
        <v>0</v>
      </c>
      <c r="Z67" s="49">
        <f t="shared" si="116"/>
        <v>0</v>
      </c>
      <c r="AA67" s="49">
        <f t="shared" si="116"/>
        <v>0</v>
      </c>
      <c r="AB67" s="49">
        <f t="shared" si="116"/>
        <v>0</v>
      </c>
      <c r="AC67" s="60">
        <f>IFERROR(AC5/$B53,0)</f>
        <v>5.4857142857142858E-6</v>
      </c>
      <c r="AD67" s="60">
        <f>IFERROR(AD5/$B53,0)</f>
        <v>8.7600000000000004E-3</v>
      </c>
      <c r="AE67" s="60">
        <f t="shared" si="117"/>
        <v>5.4822811546585309E-6</v>
      </c>
      <c r="AF67" s="71">
        <f>IFERROR(up_RadSpec!$G$5*AF5,".")*$B$67</f>
        <v>0.91145833333333326</v>
      </c>
      <c r="AG67" s="71">
        <f>IFERROR(up_RadSpec!$J$5*$AG$5,".")*$B$67</f>
        <v>5.7077625570776253E-4</v>
      </c>
      <c r="AH67" s="49">
        <f t="shared" si="118"/>
        <v>0.59806236263633994</v>
      </c>
      <c r="AI67" s="49">
        <f t="shared" si="118"/>
        <v>5.7077625570776253E-4</v>
      </c>
      <c r="AJ67" s="49">
        <f t="shared" si="119"/>
        <v>0.59829171363574352</v>
      </c>
      <c r="AK67" s="60">
        <f>IFERROR(AK5/$B53,0)</f>
        <v>4.9999999999999998E-7</v>
      </c>
      <c r="AL67" s="60">
        <f>IFERROR(AL5/$B53,0)</f>
        <v>2.1899999999999999E-2</v>
      </c>
      <c r="AM67" s="63">
        <f t="shared" si="120"/>
        <v>4.9998858473550832E-7</v>
      </c>
      <c r="AN67" s="71">
        <f>IFERROR(up_RadSpec!$H$5*AN5,".")*$B$67</f>
        <v>10</v>
      </c>
      <c r="AO67" s="71">
        <f>IFERROR(up_RadSpec!$L$5*AO5,".")*$B$67</f>
        <v>2.2831050228310499E-4</v>
      </c>
      <c r="AP67" s="49">
        <f t="shared" si="121"/>
        <v>0.99995460007023751</v>
      </c>
      <c r="AQ67" s="49">
        <f t="shared" si="122"/>
        <v>2.2831050228310499E-4</v>
      </c>
      <c r="AR67" s="49">
        <f t="shared" si="123"/>
        <v>0.99995461043433509</v>
      </c>
      <c r="AS67" s="63">
        <f t="shared" ref="AS67:AX67" si="129">IFERROR(AS5/$B53,0)</f>
        <v>4.9999999999999987E-6</v>
      </c>
      <c r="AT67" s="63">
        <f t="shared" si="129"/>
        <v>2.0833333333333328E-8</v>
      </c>
      <c r="AU67" s="63">
        <f t="shared" si="129"/>
        <v>4.999999999999999E-4</v>
      </c>
      <c r="AV67" s="63">
        <f t="shared" si="129"/>
        <v>4.9999999999999987E-6</v>
      </c>
      <c r="AW67" s="63">
        <f t="shared" si="129"/>
        <v>2.0833333333333328E-8</v>
      </c>
      <c r="AX67" s="63">
        <f t="shared" si="129"/>
        <v>4.999999999999999E-4</v>
      </c>
      <c r="AY67" s="71">
        <f>IFERROR(up_RadSpec!$E$5*AY5,".")*$B$67</f>
        <v>1</v>
      </c>
      <c r="AZ67" s="71">
        <f>IFERROR(up_RadSpec!$E$5*AZ5,".")*$B$67</f>
        <v>240</v>
      </c>
      <c r="BA67" s="71">
        <f>IFERROR(up_RadSpec!$E$5*BA5,".")*$B$67</f>
        <v>0.01</v>
      </c>
      <c r="BB67" s="71">
        <f>IFERROR(up_RadSpec!$E$5*BB5,".")*$B$67</f>
        <v>1</v>
      </c>
      <c r="BC67" s="71">
        <f>IFERROR(up_RadSpec!$E$5*BC5,".")*$B$67</f>
        <v>240</v>
      </c>
      <c r="BD67" s="71">
        <f>IFERROR(up_RadSpec!$E$5*BD5,".")*$B$67</f>
        <v>0.01</v>
      </c>
      <c r="BE67" s="49">
        <f t="shared" si="125"/>
        <v>0.63212055882855767</v>
      </c>
      <c r="BF67" s="49">
        <f t="shared" si="126"/>
        <v>1</v>
      </c>
      <c r="BG67" s="49">
        <f t="shared" si="126"/>
        <v>0.01</v>
      </c>
      <c r="BH67" s="49">
        <f t="shared" si="126"/>
        <v>0.63212055882855767</v>
      </c>
      <c r="BI67" s="49">
        <f t="shared" si="126"/>
        <v>1</v>
      </c>
      <c r="BJ67" s="49">
        <f t="shared" si="126"/>
        <v>0.01</v>
      </c>
    </row>
    <row r="68" spans="1:62" x14ac:dyDescent="0.25">
      <c r="A68" s="48" t="s">
        <v>1092</v>
      </c>
      <c r="B68" s="45">
        <v>0.99999979999999999</v>
      </c>
      <c r="C68" s="60">
        <f>IFERROR(C9/$B54,0)</f>
        <v>3.6363643636365089E-8</v>
      </c>
      <c r="D68" s="60">
        <f>IFERROR(D9/$B54,0)</f>
        <v>3.3989916427847359E-4</v>
      </c>
      <c r="E68" s="60">
        <f>IFERROR(E9/$B54,0)</f>
        <v>2.8602405155907984E-5</v>
      </c>
      <c r="F68" s="63">
        <f t="shared" si="111"/>
        <v>3.6313591423050661E-8</v>
      </c>
      <c r="G68" s="71">
        <f>IFERROR(up_RadSpec!$D$9*G9,".")*$B$68</f>
        <v>137.49997250000001</v>
      </c>
      <c r="H68" s="71">
        <f>IFERROR(up_RadSpec!$G$9*$H$9,".")*B68</f>
        <v>1.4710245053452338E-2</v>
      </c>
      <c r="I68" s="71">
        <f>IFERROR(up_RadSpec!$F$9*$I$9,".")*B68</f>
        <v>0.17481047390055665</v>
      </c>
      <c r="J68" s="49">
        <f t="shared" si="112"/>
        <v>1</v>
      </c>
      <c r="K68" s="49">
        <f t="shared" si="113"/>
        <v>1.4602577981560616E-2</v>
      </c>
      <c r="L68" s="49">
        <f t="shared" si="114"/>
        <v>0.16038386513833558</v>
      </c>
      <c r="M68" s="49">
        <f t="shared" si="115"/>
        <v>1</v>
      </c>
      <c r="N68" s="60">
        <f>IFERROR(N9/$B54,0)</f>
        <v>2.8602405155907984E-5</v>
      </c>
      <c r="O68" s="60">
        <f>IFERROR(O9/$B54,0)</f>
        <v>5.8582511716502379E-5</v>
      </c>
      <c r="P68" s="60">
        <f>IFERROR(P9/$B54,0)</f>
        <v>4.1219801609920111E-5</v>
      </c>
      <c r="Q68" s="60">
        <f>IFERROR(Q9/$B54,0)</f>
        <v>3.3978188613819549E-5</v>
      </c>
      <c r="R68" s="60">
        <f>IFERROR(R9/$B54,0)</f>
        <v>1.0376600125157515E-4</v>
      </c>
      <c r="S68" s="71">
        <f>IFERROR(up_RadSpec!$F$9*$S$9,".")*$B$68</f>
        <v>0.17481047390055665</v>
      </c>
      <c r="T68" s="71">
        <f>IFERROR(up_RadSpec!$M$9*$T$9,".")*$B$68</f>
        <v>8.534970340972127E-2</v>
      </c>
      <c r="U68" s="71">
        <f>IFERROR(up_RadSpec!$N$9*$U$9,".")*$B$68</f>
        <v>0.12130092345705713</v>
      </c>
      <c r="V68" s="71">
        <f>IFERROR(up_RadSpec!$O$9*$V$9,".")*$B$68</f>
        <v>0.14715322399400679</v>
      </c>
      <c r="W68" s="71">
        <f>IFERROR(up_RadSpec!$K$9*$W$9,".")*$B$68</f>
        <v>4.8185339510942178E-2</v>
      </c>
      <c r="X68" s="49">
        <f t="shared" si="116"/>
        <v>0.16038386513833558</v>
      </c>
      <c r="Y68" s="49">
        <f t="shared" si="116"/>
        <v>8.1808866319244777E-2</v>
      </c>
      <c r="Z68" s="49">
        <f t="shared" si="116"/>
        <v>0.11423262869596862</v>
      </c>
      <c r="AA68" s="49">
        <f t="shared" si="116"/>
        <v>0.1368382898013879</v>
      </c>
      <c r="AB68" s="49">
        <f t="shared" si="116"/>
        <v>4.7042849903043193E-2</v>
      </c>
      <c r="AC68" s="60">
        <f>IFERROR(AC9/$B54,0)</f>
        <v>1.0971430765714725E-9</v>
      </c>
      <c r="AD68" s="60">
        <f>IFERROR(AD9/$B54,0)</f>
        <v>1.7520003504000703E-6</v>
      </c>
      <c r="AE68" s="60">
        <f t="shared" si="117"/>
        <v>1.0964564502229962E-9</v>
      </c>
      <c r="AF68" s="71">
        <f>IFERROR(up_RadSpec!$G$9*AF9,".")*$B$68</f>
        <v>4557.2907552083325</v>
      </c>
      <c r="AG68" s="71">
        <f>IFERROR(up_RadSpec!$J$9*$AG$9,".")*$B$68</f>
        <v>2.8538807077625568</v>
      </c>
      <c r="AH68" s="49">
        <f t="shared" si="118"/>
        <v>1</v>
      </c>
      <c r="AI68" s="49">
        <f t="shared" si="118"/>
        <v>0.94237972102845324</v>
      </c>
      <c r="AJ68" s="49">
        <f t="shared" si="119"/>
        <v>1</v>
      </c>
      <c r="AK68" s="60">
        <f>IFERROR(AK9/$B54,0)</f>
        <v>1.00000020000004E-10</v>
      </c>
      <c r="AL68" s="60">
        <f>IFERROR(AL9/$B54,0)</f>
        <v>4.380000876000176E-6</v>
      </c>
      <c r="AM68" s="63">
        <f t="shared" si="120"/>
        <v>9.9997736946649057E-11</v>
      </c>
      <c r="AN68" s="71">
        <f>IFERROR(up_RadSpec!$H$9*AN9,".")*$B$68</f>
        <v>49999.99</v>
      </c>
      <c r="AO68" s="71">
        <f>IFERROR(up_RadSpec!$L$9*AO9,".")*$B$68</f>
        <v>1.1415522831050227</v>
      </c>
      <c r="AP68" s="49">
        <f t="shared" si="121"/>
        <v>1</v>
      </c>
      <c r="AQ68" s="49">
        <f t="shared" si="122"/>
        <v>0.68067704273200869</v>
      </c>
      <c r="AR68" s="49">
        <f t="shared" si="123"/>
        <v>1</v>
      </c>
      <c r="AS68" s="63">
        <f t="shared" ref="AS68:AX68" si="130">IFERROR(AS9/$B54,0)</f>
        <v>1.0000002000000398E-9</v>
      </c>
      <c r="AT68" s="63">
        <f t="shared" si="130"/>
        <v>4.1666675000001662E-12</v>
      </c>
      <c r="AU68" s="63">
        <f t="shared" si="130"/>
        <v>1.0000002000000399E-7</v>
      </c>
      <c r="AV68" s="63">
        <f t="shared" si="130"/>
        <v>1.0000002000000398E-9</v>
      </c>
      <c r="AW68" s="63">
        <f t="shared" si="130"/>
        <v>4.1666675000001662E-12</v>
      </c>
      <c r="AX68" s="63">
        <f t="shared" si="130"/>
        <v>1.0000002000000399E-7</v>
      </c>
      <c r="AY68" s="71">
        <f>IFERROR(up_RadSpec!$E$9*AY9,".")*$B$68</f>
        <v>4999.9989999999998</v>
      </c>
      <c r="AZ68" s="71">
        <f>IFERROR(up_RadSpec!$E$9*AZ9,".")*$B$68</f>
        <v>1199999.76</v>
      </c>
      <c r="BA68" s="71">
        <f>IFERROR(up_RadSpec!$E$9*BA9,".")*$B$68</f>
        <v>49.999989999999997</v>
      </c>
      <c r="BB68" s="71">
        <f>IFERROR(up_RadSpec!$E$9*BB9,".")*$B$68</f>
        <v>4999.9989999999998</v>
      </c>
      <c r="BC68" s="71">
        <f>IFERROR(up_RadSpec!$E$9*BC9,".")*$B$68</f>
        <v>1199999.76</v>
      </c>
      <c r="BD68" s="71">
        <f>IFERROR(up_RadSpec!$E$9*BD9,".")*$B$68</f>
        <v>49.999989999999997</v>
      </c>
      <c r="BE68" s="49">
        <f t="shared" si="125"/>
        <v>1</v>
      </c>
      <c r="BF68" s="49">
        <f t="shared" si="126"/>
        <v>1</v>
      </c>
      <c r="BG68" s="49">
        <f t="shared" si="126"/>
        <v>1</v>
      </c>
      <c r="BH68" s="49">
        <f t="shared" si="126"/>
        <v>1</v>
      </c>
      <c r="BI68" s="49">
        <f t="shared" si="126"/>
        <v>1</v>
      </c>
      <c r="BJ68" s="49">
        <f t="shared" si="126"/>
        <v>1</v>
      </c>
    </row>
    <row r="69" spans="1:62" x14ac:dyDescent="0.25">
      <c r="A69" s="48" t="s">
        <v>1093</v>
      </c>
      <c r="B69" s="45">
        <v>1.9999999999999999E-7</v>
      </c>
      <c r="C69" s="60">
        <f>IFERROR(C24/$B55,0)</f>
        <v>0.18181818181818182</v>
      </c>
      <c r="D69" s="60">
        <f>IFERROR(D24/$B55,0)</f>
        <v>1699.4954814932037</v>
      </c>
      <c r="E69" s="60">
        <f>IFERROR(E24/$B55,0)</f>
        <v>252.38049251569302</v>
      </c>
      <c r="F69" s="63">
        <f t="shared" si="111"/>
        <v>0.18166787044016586</v>
      </c>
      <c r="G69" s="71">
        <f>IFERROR(up_RadSpec!$D$24*G24,".")*$B$69</f>
        <v>2.7499999999999998E-5</v>
      </c>
      <c r="H69" s="71">
        <f>IFERROR(up_RadSpec!$G$24*$H$24,".")*B69</f>
        <v>2.9420495991003874E-9</v>
      </c>
      <c r="I69" s="71">
        <f>IFERROR(up_RadSpec!$F$24*$I$24,".")*B69</f>
        <v>1.981135685314149E-8</v>
      </c>
      <c r="J69" s="49">
        <f t="shared" si="112"/>
        <v>2.7499999999999998E-5</v>
      </c>
      <c r="K69" s="49">
        <f t="shared" si="113"/>
        <v>2.9420495991003874E-9</v>
      </c>
      <c r="L69" s="49">
        <f t="shared" si="114"/>
        <v>1.981135685314149E-8</v>
      </c>
      <c r="M69" s="49">
        <f t="shared" si="115"/>
        <v>2.7522753406452238E-5</v>
      </c>
      <c r="N69" s="60">
        <f>IFERROR(N24/$B55,0)</f>
        <v>252.38049251569302</v>
      </c>
      <c r="O69" s="60">
        <f>IFERROR(O24/$B55,0)</f>
        <v>457.56960932441194</v>
      </c>
      <c r="P69" s="60">
        <f>IFERROR(P24/$B55,0)</f>
        <v>323.07371141706841</v>
      </c>
      <c r="Q69" s="60">
        <f>IFERROR(Q24/$B55,0)</f>
        <v>269.78749615029255</v>
      </c>
      <c r="R69" s="60">
        <f>IFERROR(R24/$B55,0)</f>
        <v>760.48351648351638</v>
      </c>
      <c r="S69" s="71">
        <f>IFERROR(up_RadSpec!$F$24*$S$24,".")*$B$69</f>
        <v>1.981135685314149E-8</v>
      </c>
      <c r="T69" s="71">
        <f>IFERROR(up_RadSpec!$M$24*$T$24,".")*$B$69</f>
        <v>1.0927299143363898E-8</v>
      </c>
      <c r="U69" s="71">
        <f>IFERROR(up_RadSpec!$N$24*$U$24,".")*$B$69</f>
        <v>1.5476344324237839E-8</v>
      </c>
      <c r="V69" s="71">
        <f>IFERROR(up_RadSpec!$O$24*$V$24,".")*$B$69</f>
        <v>1.853310502283105E-8</v>
      </c>
      <c r="W69" s="71">
        <f>IFERROR(up_RadSpec!$K$24*$W$24,".")*$B$69</f>
        <v>6.5747644644818235E-9</v>
      </c>
      <c r="X69" s="49">
        <f t="shared" si="116"/>
        <v>1.981135685314149E-8</v>
      </c>
      <c r="Y69" s="49">
        <f t="shared" si="116"/>
        <v>1.0927299143363898E-8</v>
      </c>
      <c r="Z69" s="49">
        <f t="shared" si="116"/>
        <v>1.5476344324237839E-8</v>
      </c>
      <c r="AA69" s="49">
        <f t="shared" si="116"/>
        <v>1.853310502283105E-8</v>
      </c>
      <c r="AB69" s="49">
        <f t="shared" si="116"/>
        <v>6.5747644644818235E-9</v>
      </c>
      <c r="AC69" s="60">
        <f>IFERROR(AC24/$B55,0)</f>
        <v>5.4857142857142865E-3</v>
      </c>
      <c r="AD69" s="60">
        <f>IFERROR(AD24/$B55,0)</f>
        <v>8.7600000000000016</v>
      </c>
      <c r="AE69" s="60">
        <f t="shared" si="117"/>
        <v>5.4822811546585328E-3</v>
      </c>
      <c r="AF69" s="71">
        <f>IFERROR(up_RadSpec!$G$24*AF24,".")*$B$69</f>
        <v>9.1145833333333313E-4</v>
      </c>
      <c r="AG69" s="71">
        <f>IFERROR(up_RadSpec!$J$24*$AG$24,".")*$B$69</f>
        <v>5.7077625570776247E-7</v>
      </c>
      <c r="AH69" s="49">
        <f t="shared" si="118"/>
        <v>9.1145833333333313E-4</v>
      </c>
      <c r="AI69" s="49">
        <f t="shared" si="118"/>
        <v>5.7077625570776247E-7</v>
      </c>
      <c r="AJ69" s="49">
        <f t="shared" si="119"/>
        <v>9.1202910958904093E-4</v>
      </c>
      <c r="AK69" s="60">
        <f>IFERROR(AK24/$B55,0)</f>
        <v>5.0000000000000001E-4</v>
      </c>
      <c r="AL69" s="60">
        <f>IFERROR(AL24/$B55,0)</f>
        <v>21.900000000000002</v>
      </c>
      <c r="AM69" s="63">
        <f t="shared" si="120"/>
        <v>4.9998858473550832E-4</v>
      </c>
      <c r="AN69" s="71">
        <f>IFERROR(up_RadSpec!$H$24*AN24,".")*$B$69</f>
        <v>0.01</v>
      </c>
      <c r="AO69" s="71">
        <f>IFERROR(up_RadSpec!$L$24*AO24,".")*$B$69</f>
        <v>2.2831050228310497E-7</v>
      </c>
      <c r="AP69" s="49">
        <f t="shared" si="121"/>
        <v>0.01</v>
      </c>
      <c r="AQ69" s="49">
        <f t="shared" si="122"/>
        <v>2.2831050228310497E-7</v>
      </c>
      <c r="AR69" s="49">
        <f t="shared" si="123"/>
        <v>9.9503922895809449E-3</v>
      </c>
      <c r="AS69" s="63">
        <f t="shared" ref="AS69:AX69" si="131">IFERROR(AS24/$B55,0)</f>
        <v>4.9999999999999992E-3</v>
      </c>
      <c r="AT69" s="63">
        <f t="shared" si="131"/>
        <v>2.0833333333333333E-5</v>
      </c>
      <c r="AU69" s="63">
        <f t="shared" si="131"/>
        <v>0.49999999999999994</v>
      </c>
      <c r="AV69" s="63">
        <f t="shared" si="131"/>
        <v>4.9999999999999992E-3</v>
      </c>
      <c r="AW69" s="63">
        <f t="shared" si="131"/>
        <v>2.0833333333333333E-5</v>
      </c>
      <c r="AX69" s="63">
        <f t="shared" si="131"/>
        <v>0.49999999999999994</v>
      </c>
      <c r="AY69" s="71">
        <f>IFERROR(up_RadSpec!$E$24*AY24,".")*$B$69</f>
        <v>1E-3</v>
      </c>
      <c r="AZ69" s="71">
        <f>IFERROR(up_RadSpec!$E$24*AZ24,".")*$B$69</f>
        <v>0.24</v>
      </c>
      <c r="BA69" s="71">
        <f>IFERROR(up_RadSpec!$E$24*BA24,".")*$B$69</f>
        <v>9.9999999999999991E-6</v>
      </c>
      <c r="BB69" s="71">
        <f>IFERROR(up_RadSpec!$E$24*BB24,".")*$B$69</f>
        <v>1E-3</v>
      </c>
      <c r="BC69" s="71">
        <f>IFERROR(up_RadSpec!$E$24*BC24,".")*$B$69</f>
        <v>0.24</v>
      </c>
      <c r="BD69" s="71">
        <f>IFERROR(up_RadSpec!$E$24*BD24,".")*$B$69</f>
        <v>9.9999999999999991E-6</v>
      </c>
      <c r="BE69" s="49">
        <f t="shared" si="125"/>
        <v>1E-3</v>
      </c>
      <c r="BF69" s="49">
        <f t="shared" si="126"/>
        <v>0.21337213893344653</v>
      </c>
      <c r="BG69" s="49">
        <f t="shared" si="126"/>
        <v>9.9999999999999991E-6</v>
      </c>
      <c r="BH69" s="49">
        <f t="shared" si="126"/>
        <v>1E-3</v>
      </c>
      <c r="BI69" s="49">
        <f t="shared" si="126"/>
        <v>0.21337213893344653</v>
      </c>
      <c r="BJ69" s="49">
        <f t="shared" si="126"/>
        <v>9.9999999999999991E-6</v>
      </c>
    </row>
    <row r="70" spans="1:62" x14ac:dyDescent="0.25">
      <c r="A70" s="48" t="s">
        <v>1094</v>
      </c>
      <c r="B70" s="45">
        <v>0.99979000004200003</v>
      </c>
      <c r="C70" s="60">
        <f>IFERROR(C20/$B56,0)</f>
        <v>3.6371274329718007E-8</v>
      </c>
      <c r="D70" s="60">
        <f>IFERROR(D20/$B56,0)</f>
        <v>3.3997049008728026E-4</v>
      </c>
      <c r="E70" s="60">
        <f>IFERROR(E20/$B56,0)</f>
        <v>3.9541656465010498E-5</v>
      </c>
      <c r="F70" s="63">
        <f t="shared" si="111"/>
        <v>3.6333966419031595E-8</v>
      </c>
      <c r="G70" s="71">
        <f>IFERROR(up_RadSpec!$D$20*G20,".")*$B$70</f>
        <v>137.47112500577501</v>
      </c>
      <c r="H70" s="71">
        <f>IFERROR(up_RadSpec!$G$20*$H$20,".")*B70</f>
        <v>1.4707158844040712E-2</v>
      </c>
      <c r="I70" s="71">
        <f>IFERROR(up_RadSpec!$F$20*$I$20,".")*B70</f>
        <v>0.12644892619570414</v>
      </c>
      <c r="J70" s="49">
        <f t="shared" si="112"/>
        <v>1</v>
      </c>
      <c r="K70" s="49">
        <f t="shared" si="113"/>
        <v>1.4599536834069782E-2</v>
      </c>
      <c r="L70" s="49">
        <f t="shared" si="114"/>
        <v>0.11878084439111447</v>
      </c>
      <c r="M70" s="49">
        <f t="shared" si="115"/>
        <v>1</v>
      </c>
      <c r="N70" s="60">
        <f>IFERROR(N20/$B56,0)</f>
        <v>3.9541656465010498E-5</v>
      </c>
      <c r="O70" s="60">
        <f>IFERROR(O20/$B56,0)</f>
        <v>7.7979891528506381E-5</v>
      </c>
      <c r="P70" s="60">
        <f>IFERROR(P20/$B56,0)</f>
        <v>5.4560908337909967E-5</v>
      </c>
      <c r="Q70" s="60">
        <f>IFERROR(Q20/$B56,0)</f>
        <v>4.5813542410609527E-5</v>
      </c>
      <c r="R70" s="60">
        <f>IFERROR(R20/$B56,0)</f>
        <v>1.3287475053887928E-4</v>
      </c>
      <c r="S70" s="71">
        <f>IFERROR(up_RadSpec!$F$20*$S$20,".")*$B$70</f>
        <v>0.12644892619570414</v>
      </c>
      <c r="T70" s="71">
        <f>IFERROR(up_RadSpec!$M$20*$T$20,".")*$B$70</f>
        <v>6.4119094063784327E-2</v>
      </c>
      <c r="U70" s="71">
        <f>IFERROR(up_RadSpec!$N$20*$U$20,".")*$B$70</f>
        <v>9.1640703065896417E-2</v>
      </c>
      <c r="V70" s="71">
        <f>IFERROR(up_RadSpec!$O$20*$V$20,".")*$B$70</f>
        <v>0.10913803510732444</v>
      </c>
      <c r="W70" s="71">
        <f>IFERROR(up_RadSpec!$K$20*$W$20,".")*$B$70</f>
        <v>3.7629421539624966E-2</v>
      </c>
      <c r="X70" s="49">
        <f t="shared" si="116"/>
        <v>0.11878084439111447</v>
      </c>
      <c r="Y70" s="49">
        <f t="shared" si="116"/>
        <v>6.2106704644730559E-2</v>
      </c>
      <c r="Z70" s="49">
        <f t="shared" si="116"/>
        <v>8.7567074990264393E-2</v>
      </c>
      <c r="AA70" s="49">
        <f t="shared" si="116"/>
        <v>0.10339335423856599</v>
      </c>
      <c r="AB70" s="49">
        <f t="shared" si="116"/>
        <v>3.6930232317303968E-2</v>
      </c>
      <c r="AC70" s="60">
        <f>IFERROR(AC20/$B56,0)</f>
        <v>1.0973733054909206E-9</v>
      </c>
      <c r="AD70" s="60">
        <f>IFERROR(AD20/$B56,0)</f>
        <v>1.7523679972058138E-6</v>
      </c>
      <c r="AE70" s="60">
        <f t="shared" si="117"/>
        <v>1.0966865350580075E-9</v>
      </c>
      <c r="AF70" s="71">
        <f>IFERROR(up_RadSpec!$G$20*AF20,".")*$B$70</f>
        <v>4556.3346356080729</v>
      </c>
      <c r="AG70" s="71">
        <f>IFERROR(up_RadSpec!$J$20*$AG$20,".")*$B$70</f>
        <v>2.8532819635901823</v>
      </c>
      <c r="AH70" s="49">
        <f t="shared" si="118"/>
        <v>1</v>
      </c>
      <c r="AI70" s="49">
        <f t="shared" si="118"/>
        <v>0.94234521089186785</v>
      </c>
      <c r="AJ70" s="49">
        <f t="shared" si="119"/>
        <v>1</v>
      </c>
      <c r="AK70" s="60">
        <f>IFERROR(AK20/$B56,0)</f>
        <v>1.0002100440672452E-10</v>
      </c>
      <c r="AL70" s="60">
        <f>IFERROR(AL20/$B56,0)</f>
        <v>4.3809199930145349E-6</v>
      </c>
      <c r="AM70" s="63">
        <f t="shared" si="120"/>
        <v>1.0001872087428446E-10</v>
      </c>
      <c r="AN70" s="71">
        <f>IFERROR(up_RadSpec!$H$20*AN20,".")*$B$70</f>
        <v>49989.500002100001</v>
      </c>
      <c r="AO70" s="71">
        <f>IFERROR(up_RadSpec!$L$20*AO20,".")*$B$70</f>
        <v>1.141312785436073</v>
      </c>
      <c r="AP70" s="49">
        <f t="shared" si="121"/>
        <v>1</v>
      </c>
      <c r="AQ70" s="49">
        <f t="shared" si="122"/>
        <v>0.68060055646932571</v>
      </c>
      <c r="AR70" s="49">
        <f t="shared" si="123"/>
        <v>1</v>
      </c>
      <c r="AS70" s="63">
        <f t="shared" ref="AS70:AX70" si="132">IFERROR(AS20/$B56,0)</f>
        <v>1.0002100440672452E-9</v>
      </c>
      <c r="AT70" s="63">
        <f t="shared" si="132"/>
        <v>4.1675418502801877E-12</v>
      </c>
      <c r="AU70" s="63">
        <f t="shared" si="132"/>
        <v>1.0002100440672452E-7</v>
      </c>
      <c r="AV70" s="63">
        <f t="shared" si="132"/>
        <v>1.0002100440672452E-9</v>
      </c>
      <c r="AW70" s="63">
        <f t="shared" si="132"/>
        <v>4.1675418502801877E-12</v>
      </c>
      <c r="AX70" s="63">
        <f t="shared" si="132"/>
        <v>1.0002100440672452E-7</v>
      </c>
      <c r="AY70" s="71">
        <f>IFERROR(up_RadSpec!$E$20*AY20,".")*$B$70</f>
        <v>4998.9500002100003</v>
      </c>
      <c r="AZ70" s="71">
        <f>IFERROR(up_RadSpec!$E$20*AZ20,".")*$B$70</f>
        <v>1199748.0000503999</v>
      </c>
      <c r="BA70" s="71">
        <f>IFERROR(up_RadSpec!$E$20*BA20,".")*$B$70</f>
        <v>49.989500002100002</v>
      </c>
      <c r="BB70" s="71">
        <f>IFERROR(up_RadSpec!$E$20*BB20,".")*$B$70</f>
        <v>4998.9500002100003</v>
      </c>
      <c r="BC70" s="71">
        <f>IFERROR(up_RadSpec!$E$20*BC20,".")*$B$70</f>
        <v>1199748.0000503999</v>
      </c>
      <c r="BD70" s="71">
        <f>IFERROR(up_RadSpec!$E$20*BD20,".")*$B$70</f>
        <v>49.989500002100002</v>
      </c>
      <c r="BE70" s="49">
        <f t="shared" si="125"/>
        <v>1</v>
      </c>
      <c r="BF70" s="49">
        <f t="shared" si="126"/>
        <v>1</v>
      </c>
      <c r="BG70" s="49">
        <f t="shared" si="126"/>
        <v>1</v>
      </c>
      <c r="BH70" s="49">
        <f t="shared" si="126"/>
        <v>1</v>
      </c>
      <c r="BI70" s="49">
        <f t="shared" si="126"/>
        <v>1</v>
      </c>
      <c r="BJ70" s="49">
        <f t="shared" si="126"/>
        <v>1</v>
      </c>
    </row>
    <row r="71" spans="1:62" x14ac:dyDescent="0.25">
      <c r="A71" s="48" t="s">
        <v>1095</v>
      </c>
      <c r="B71" s="45">
        <v>2.0999995799999999E-4</v>
      </c>
      <c r="C71" s="60">
        <f>IFERROR(C29/$B57,0)</f>
        <v>1.7316020779221473E-4</v>
      </c>
      <c r="D71" s="60">
        <f>IFERROR(D29/$B57,0)</f>
        <v>1.6185674489451123</v>
      </c>
      <c r="E71" s="60">
        <f>IFERROR(E29/$B57,0)</f>
        <v>0.14816552533958449</v>
      </c>
      <c r="F71" s="63">
        <f t="shared" si="111"/>
        <v>1.7293959256882064E-4</v>
      </c>
      <c r="G71" s="71">
        <f>IFERROR(up_RadSpec!$D$29*G29,".")*$B$71</f>
        <v>2.8874994224999999E-2</v>
      </c>
      <c r="H71" s="71">
        <f>IFERROR(up_RadSpec!$G$29*$H$29,".")*B71</f>
        <v>3.0891514612249906E-6</v>
      </c>
      <c r="I71" s="71">
        <f>IFERROR(up_RadSpec!$F$29*$I$29,".")*B71</f>
        <v>3.3746041722866154E-5</v>
      </c>
      <c r="J71" s="49">
        <f t="shared" si="112"/>
        <v>2.8462095275198163E-2</v>
      </c>
      <c r="K71" s="49">
        <f t="shared" si="113"/>
        <v>3.0891514612249906E-6</v>
      </c>
      <c r="L71" s="49">
        <f t="shared" si="114"/>
        <v>3.3746041722866154E-5</v>
      </c>
      <c r="M71" s="49">
        <f t="shared" si="115"/>
        <v>2.8497881402505865E-2</v>
      </c>
      <c r="N71" s="60">
        <f>IFERROR(N29/$B57,0)</f>
        <v>0.14816552533958449</v>
      </c>
      <c r="O71" s="60">
        <f>IFERROR(O29/$B57,0)</f>
        <v>0.29565920700151549</v>
      </c>
      <c r="P71" s="60">
        <f>IFERROR(P29/$B57,0)</f>
        <v>0.21062636161858689</v>
      </c>
      <c r="Q71" s="60">
        <f>IFERROR(Q29/$B57,0)</f>
        <v>0.17866553023860043</v>
      </c>
      <c r="R71" s="60">
        <f>IFERROR(R29/$B57,0)</f>
        <v>0.53090919709093043</v>
      </c>
      <c r="S71" s="71">
        <f>IFERROR(up_RadSpec!$F$29*$S$29,".")*$B$71</f>
        <v>3.3746041722866154E-5</v>
      </c>
      <c r="T71" s="71">
        <f>IFERROR(up_RadSpec!$M$29*$T$29,".")*$B$71</f>
        <v>1.6911362411840502E-5</v>
      </c>
      <c r="U71" s="71">
        <f>IFERROR(up_RadSpec!$N$29*$U$29,".")*$B$71</f>
        <v>2.3738718940862008E-5</v>
      </c>
      <c r="V71" s="71">
        <f>IFERROR(up_RadSpec!$O$29*$V$29,".")*$B$71</f>
        <v>2.7985252629999227E-5</v>
      </c>
      <c r="W71" s="71">
        <f>IFERROR(up_RadSpec!$K$29*$W$29,".")*$B$71</f>
        <v>9.4178063356164372E-6</v>
      </c>
      <c r="X71" s="49">
        <f t="shared" si="116"/>
        <v>3.3746041722866154E-5</v>
      </c>
      <c r="Y71" s="49">
        <f t="shared" si="116"/>
        <v>1.6911362411840502E-5</v>
      </c>
      <c r="Z71" s="49">
        <f t="shared" si="116"/>
        <v>2.3738718940862008E-5</v>
      </c>
      <c r="AA71" s="49">
        <f t="shared" si="116"/>
        <v>2.7985252629999227E-5</v>
      </c>
      <c r="AB71" s="49">
        <f t="shared" si="116"/>
        <v>9.4178063356164372E-6</v>
      </c>
      <c r="AC71" s="60">
        <f>IFERROR(AC29/$B57,0)</f>
        <v>5.2244908408165367E-6</v>
      </c>
      <c r="AD71" s="60">
        <f>IFERROR(AD29/$B57,0)</f>
        <v>8.3428588114289066E-3</v>
      </c>
      <c r="AE71" s="60">
        <f t="shared" si="117"/>
        <v>5.2212211915380781E-6</v>
      </c>
      <c r="AF71" s="71">
        <f>IFERROR(up_RadSpec!$G$29*AF29,".")*$B$71</f>
        <v>0.95703105859374982</v>
      </c>
      <c r="AG71" s="71">
        <f>IFERROR(up_RadSpec!$J$29*$AG$29,".")*$B$71</f>
        <v>5.9931494863013689E-4</v>
      </c>
      <c r="AH71" s="49">
        <f t="shared" si="118"/>
        <v>0.61596863828394266</v>
      </c>
      <c r="AI71" s="49">
        <f t="shared" si="118"/>
        <v>5.9931494863013689E-4</v>
      </c>
      <c r="AJ71" s="49">
        <f t="shared" si="119"/>
        <v>0.6161987250656511</v>
      </c>
      <c r="AK71" s="60">
        <f>IFERROR(AK29/$B57,0)</f>
        <v>4.7619057142859045E-7</v>
      </c>
      <c r="AL71" s="60">
        <f>IFERROR(AL29/$B57,0)</f>
        <v>2.0857147028572266E-2</v>
      </c>
      <c r="AM71" s="63">
        <f t="shared" si="120"/>
        <v>4.7617969974594786E-7</v>
      </c>
      <c r="AN71" s="71">
        <f>IFERROR(up_RadSpec!$H$29*AN29,".")*$B$71</f>
        <v>10.499997899999999</v>
      </c>
      <c r="AO71" s="71">
        <f>IFERROR(up_RadSpec!$L$29*AO29,".")*$B$71</f>
        <v>2.3972597945205474E-4</v>
      </c>
      <c r="AP71" s="49">
        <f t="shared" si="121"/>
        <v>0.99997246349282365</v>
      </c>
      <c r="AQ71" s="49">
        <f t="shared" si="122"/>
        <v>2.3972597945205474E-4</v>
      </c>
      <c r="AR71" s="49">
        <f t="shared" si="123"/>
        <v>0.99997247009324863</v>
      </c>
      <c r="AS71" s="63">
        <f t="shared" ref="AS71:AX71" si="133">IFERROR(AS29/$B57,0)</f>
        <v>4.7619057142859044E-6</v>
      </c>
      <c r="AT71" s="63">
        <f t="shared" si="133"/>
        <v>1.9841273809524601E-8</v>
      </c>
      <c r="AU71" s="63">
        <f t="shared" si="133"/>
        <v>4.7619057142859041E-4</v>
      </c>
      <c r="AV71" s="63">
        <f t="shared" si="133"/>
        <v>4.7619057142859044E-6</v>
      </c>
      <c r="AW71" s="63">
        <f t="shared" si="133"/>
        <v>1.9841273809524601E-8</v>
      </c>
      <c r="AX71" s="63">
        <f t="shared" si="133"/>
        <v>4.7619057142859041E-4</v>
      </c>
      <c r="AY71" s="71">
        <f>IFERROR(up_RadSpec!$E$29*AY29,".")*$B$71</f>
        <v>1.04999979</v>
      </c>
      <c r="AZ71" s="71">
        <f>IFERROR(up_RadSpec!$E$29*AZ29,".")*$B$71</f>
        <v>251.99994959999998</v>
      </c>
      <c r="BA71" s="71">
        <f>IFERROR(up_RadSpec!$E$29*BA29,".")*$B$71</f>
        <v>1.0499997899999999E-2</v>
      </c>
      <c r="BB71" s="71">
        <f>IFERROR(up_RadSpec!$E$29*BB29,".")*$B$71</f>
        <v>1.04999979</v>
      </c>
      <c r="BC71" s="71">
        <f>IFERROR(up_RadSpec!$E$29*BC29,".")*$B$71</f>
        <v>251.99994959999998</v>
      </c>
      <c r="BD71" s="71">
        <f>IFERROR(up_RadSpec!$E$29*BD29,".")*$B$71</f>
        <v>1.0499997899999999E-2</v>
      </c>
      <c r="BE71" s="49">
        <f t="shared" si="125"/>
        <v>0.65006217740190964</v>
      </c>
      <c r="BF71" s="49">
        <f t="shared" si="126"/>
        <v>1</v>
      </c>
      <c r="BG71" s="49">
        <f t="shared" si="126"/>
        <v>1.0445065354035443E-2</v>
      </c>
      <c r="BH71" s="49">
        <f t="shared" si="126"/>
        <v>0.65006217740190964</v>
      </c>
      <c r="BI71" s="49">
        <f t="shared" si="126"/>
        <v>1</v>
      </c>
      <c r="BJ71" s="49">
        <f t="shared" si="126"/>
        <v>1.0445065354035443E-2</v>
      </c>
    </row>
    <row r="72" spans="1:62" x14ac:dyDescent="0.25">
      <c r="A72" s="48" t="s">
        <v>1096</v>
      </c>
      <c r="B72" s="45">
        <v>1</v>
      </c>
      <c r="C72" s="60">
        <f>IFERROR(C16/$B58,0)</f>
        <v>3.6363636363636363E-8</v>
      </c>
      <c r="D72" s="60">
        <f>IFERROR(D16/$B58,0)</f>
        <v>3.3989909629864073E-4</v>
      </c>
      <c r="E72" s="60">
        <f>IFERROR(E16/$B58,0)</f>
        <v>0.84144082332761627</v>
      </c>
      <c r="F72" s="63">
        <f t="shared" si="111"/>
        <v>3.635974489512059E-8</v>
      </c>
      <c r="G72" s="71">
        <f>IFERROR(up_RadSpec!$D$16*G16,".")*$B$72</f>
        <v>137.5</v>
      </c>
      <c r="H72" s="71">
        <f>IFERROR(up_RadSpec!$G$16*$H$16,".")*B72</f>
        <v>1.4710247995501937E-2</v>
      </c>
      <c r="I72" s="71">
        <f>IFERROR(up_RadSpec!$F$16*$I$16,".")*B72</f>
        <v>5.9421885192433102E-6</v>
      </c>
      <c r="J72" s="49">
        <f t="shared" si="112"/>
        <v>1</v>
      </c>
      <c r="K72" s="49">
        <f t="shared" si="113"/>
        <v>1.4602580880648697E-2</v>
      </c>
      <c r="L72" s="49">
        <f t="shared" si="114"/>
        <v>5.9421885192433102E-6</v>
      </c>
      <c r="M72" s="49">
        <f t="shared" si="115"/>
        <v>1</v>
      </c>
      <c r="N72" s="60">
        <f>IFERROR(N16/$B58,0)</f>
        <v>0.84144082332761627</v>
      </c>
      <c r="O72" s="60">
        <f>IFERROR(O16/$B58,0)</f>
        <v>1.4985772357723584</v>
      </c>
      <c r="P72" s="60">
        <f>IFERROR(P16/$B58,0)</f>
        <v>0.90025518618175537</v>
      </c>
      <c r="Q72" s="60">
        <f>IFERROR(Q16/$B58,0)</f>
        <v>0.90490674318507935</v>
      </c>
      <c r="R72" s="60">
        <f>IFERROR(R16/$B58,0)</f>
        <v>35.040000000000006</v>
      </c>
      <c r="S72" s="71">
        <f>IFERROR(up_RadSpec!$F$16*$S$16,".")*$B$72</f>
        <v>5.9421885192433102E-6</v>
      </c>
      <c r="T72" s="71">
        <f>IFERROR(up_RadSpec!$M$16*$T$16,".")*$B$72</f>
        <v>3.3364980333649786E-6</v>
      </c>
      <c r="U72" s="71">
        <f>IFERROR(up_RadSpec!$N$16*$U$16,".")*$B$72</f>
        <v>5.5539807787239269E-6</v>
      </c>
      <c r="V72" s="71">
        <f>IFERROR(up_RadSpec!$O$16*$V$16,".")*$B$72</f>
        <v>5.5254312531709764E-6</v>
      </c>
      <c r="W72" s="71">
        <f>IFERROR(up_RadSpec!$K$16*$W$16,".")*$B$72</f>
        <v>1.4269406392694059E-7</v>
      </c>
      <c r="X72" s="49">
        <f t="shared" si="116"/>
        <v>5.9421885192433102E-6</v>
      </c>
      <c r="Y72" s="49">
        <f t="shared" si="116"/>
        <v>3.3364980333649786E-6</v>
      </c>
      <c r="Z72" s="49">
        <f t="shared" si="116"/>
        <v>5.5539807787239269E-6</v>
      </c>
      <c r="AA72" s="49">
        <f t="shared" si="116"/>
        <v>5.5254312531709764E-6</v>
      </c>
      <c r="AB72" s="49">
        <f t="shared" si="116"/>
        <v>1.4269406392694059E-7</v>
      </c>
      <c r="AC72" s="60">
        <f>IFERROR(AC16/$B58,0)</f>
        <v>1.0971428571428573E-9</v>
      </c>
      <c r="AD72" s="60">
        <f>IFERROR(AD16/$B58,0)</f>
        <v>1.7520000000000001E-6</v>
      </c>
      <c r="AE72" s="60">
        <f t="shared" si="117"/>
        <v>1.0964562309317064E-9</v>
      </c>
      <c r="AF72" s="71">
        <f>IFERROR(up_RadSpec!$G$16*AF16,".")*$B$72</f>
        <v>4557.2916666666661</v>
      </c>
      <c r="AG72" s="71">
        <f>IFERROR(up_RadSpec!$J$16*$AG$16,".")*$B$72</f>
        <v>2.8538812785388123</v>
      </c>
      <c r="AH72" s="49">
        <f t="shared" si="118"/>
        <v>1</v>
      </c>
      <c r="AI72" s="49">
        <f t="shared" si="118"/>
        <v>0.9423797539167309</v>
      </c>
      <c r="AJ72" s="49">
        <f t="shared" si="119"/>
        <v>1</v>
      </c>
      <c r="AK72" s="60">
        <f>IFERROR(AK16/$B58,0)</f>
        <v>9.9999999999999991E-11</v>
      </c>
      <c r="AL72" s="60">
        <f>IFERROR(AL16/$B58,0)</f>
        <v>4.3800000000000004E-6</v>
      </c>
      <c r="AM72" s="63">
        <f t="shared" si="120"/>
        <v>9.9997716947101668E-11</v>
      </c>
      <c r="AN72" s="71">
        <f>IFERROR(up_RadSpec!$H$16*AN16,".")*$B$72</f>
        <v>50000</v>
      </c>
      <c r="AO72" s="71">
        <f>IFERROR(up_RadSpec!$L$16*AO16,".")*$B$72</f>
        <v>1.1415525114155249</v>
      </c>
      <c r="AP72" s="49">
        <f t="shared" si="121"/>
        <v>1</v>
      </c>
      <c r="AQ72" s="49">
        <f t="shared" si="122"/>
        <v>0.68067711563678512</v>
      </c>
      <c r="AR72" s="49">
        <f t="shared" si="123"/>
        <v>1</v>
      </c>
      <c r="AS72" s="63">
        <f t="shared" ref="AS72:AX72" si="134">IFERROR(AS16/$B58,0)</f>
        <v>9.9999999999999986E-10</v>
      </c>
      <c r="AT72" s="63">
        <f t="shared" si="134"/>
        <v>4.166666666666666E-12</v>
      </c>
      <c r="AU72" s="63">
        <f t="shared" si="134"/>
        <v>9.9999999999999982E-8</v>
      </c>
      <c r="AV72" s="63">
        <f t="shared" si="134"/>
        <v>9.9999999999999986E-10</v>
      </c>
      <c r="AW72" s="63">
        <f t="shared" si="134"/>
        <v>4.166666666666666E-12</v>
      </c>
      <c r="AX72" s="63">
        <f t="shared" si="134"/>
        <v>9.9999999999999982E-8</v>
      </c>
      <c r="AY72" s="71">
        <f>IFERROR(up_RadSpec!$E$16*AY16,".")*$B$72</f>
        <v>5000</v>
      </c>
      <c r="AZ72" s="71">
        <f>IFERROR(up_RadSpec!$E$16*AZ16,".")*$B$72</f>
        <v>1200000</v>
      </c>
      <c r="BA72" s="71">
        <f>IFERROR(up_RadSpec!$E$16*BA16,".")*$B$72</f>
        <v>50</v>
      </c>
      <c r="BB72" s="71">
        <f>IFERROR(up_RadSpec!$E$16*BB16,".")*$B$72</f>
        <v>5000</v>
      </c>
      <c r="BC72" s="71">
        <f>IFERROR(up_RadSpec!$E$16*BC16,".")*$B$72</f>
        <v>1200000</v>
      </c>
      <c r="BD72" s="71">
        <f>IFERROR(up_RadSpec!$E$16*BD16,".")*$B$72</f>
        <v>50</v>
      </c>
      <c r="BE72" s="49">
        <f t="shared" si="125"/>
        <v>1</v>
      </c>
      <c r="BF72" s="49">
        <f t="shared" si="126"/>
        <v>1</v>
      </c>
      <c r="BG72" s="49">
        <f t="shared" si="126"/>
        <v>1</v>
      </c>
      <c r="BH72" s="49">
        <f t="shared" si="126"/>
        <v>1</v>
      </c>
      <c r="BI72" s="49">
        <f t="shared" si="126"/>
        <v>1</v>
      </c>
      <c r="BJ72" s="49">
        <f t="shared" si="126"/>
        <v>1</v>
      </c>
    </row>
    <row r="73" spans="1:62" x14ac:dyDescent="0.25">
      <c r="A73" s="48" t="s">
        <v>1097</v>
      </c>
      <c r="B73" s="45">
        <v>1</v>
      </c>
      <c r="C73" s="60">
        <f>IFERROR(C7/$B59,0)</f>
        <v>3.6363636363636363E-8</v>
      </c>
      <c r="D73" s="60">
        <f>IFERROR(D7/$B59,0)</f>
        <v>3.3989909629864073E-4</v>
      </c>
      <c r="E73" s="60">
        <f>IFERROR(E7/$B59,0)</f>
        <v>1.0102773722627735E-4</v>
      </c>
      <c r="F73" s="63">
        <f t="shared" si="111"/>
        <v>3.634666535039929E-8</v>
      </c>
      <c r="G73" s="71">
        <f>IFERROR(up_RadSpec!$D$7*G7,".")*$B$73</f>
        <v>137.5</v>
      </c>
      <c r="H73" s="71">
        <f>IFERROR(up_RadSpec!$G$7*$H$7,".")*B73</f>
        <v>1.4710247995501937E-2</v>
      </c>
      <c r="I73" s="71">
        <f>IFERROR(up_RadSpec!$F$7*$I$7,".")*B73</f>
        <v>4.9491358880989551E-2</v>
      </c>
      <c r="J73" s="49">
        <f t="shared" si="112"/>
        <v>1</v>
      </c>
      <c r="K73" s="49">
        <f t="shared" si="113"/>
        <v>1.4602580880648697E-2</v>
      </c>
      <c r="L73" s="49">
        <f t="shared" si="114"/>
        <v>4.8286618030471962E-2</v>
      </c>
      <c r="M73" s="49">
        <f t="shared" si="115"/>
        <v>1</v>
      </c>
      <c r="N73" s="60">
        <f>IFERROR(N7/$B59,0)</f>
        <v>1.0102773722627735E-4</v>
      </c>
      <c r="O73" s="60">
        <f>IFERROR(O7/$B59,0)</f>
        <v>1.6072268907563037E-4</v>
      </c>
      <c r="P73" s="60">
        <f>IFERROR(P7/$B59,0)</f>
        <v>1.1775000000000002E-4</v>
      </c>
      <c r="Q73" s="60">
        <f>IFERROR(Q7/$B59,0)</f>
        <v>1.0831849564583835E-4</v>
      </c>
      <c r="R73" s="60">
        <f>IFERROR(R7/$B59,0)</f>
        <v>2.7504660045836503E-4</v>
      </c>
      <c r="S73" s="71">
        <f>IFERROR(up_RadSpec!$F$7*$S$7,".")*$B$73</f>
        <v>4.9491358880989551E-2</v>
      </c>
      <c r="T73" s="71">
        <f>IFERROR(up_RadSpec!$M$7*$T$7,".")*$B$73</f>
        <v>3.1109484471400162E-2</v>
      </c>
      <c r="U73" s="71">
        <f>IFERROR(up_RadSpec!$N$7*$U$7,".")*$B$73</f>
        <v>4.2462845010615702E-2</v>
      </c>
      <c r="V73" s="71">
        <f>IFERROR(up_RadSpec!$O$7*$V$7,".")*$B$73</f>
        <v>4.6160168401416513E-2</v>
      </c>
      <c r="W73" s="71">
        <f>IFERROR(up_RadSpec!$K$7*$W$7,".")*$B$73</f>
        <v>1.8178737681787384E-2</v>
      </c>
      <c r="X73" s="49">
        <f t="shared" si="116"/>
        <v>4.8286618030471962E-2</v>
      </c>
      <c r="Y73" s="49">
        <f t="shared" si="116"/>
        <v>3.0630563634360786E-2</v>
      </c>
      <c r="Z73" s="49">
        <f t="shared" si="116"/>
        <v>4.1573924829946707E-2</v>
      </c>
      <c r="AA73" s="49">
        <f t="shared" si="116"/>
        <v>4.5110993104025665E-2</v>
      </c>
      <c r="AB73" s="49">
        <f t="shared" si="116"/>
        <v>1.8014501140072303E-2</v>
      </c>
      <c r="AC73" s="60">
        <f>IFERROR(AC7/$B59,0)</f>
        <v>1.0971428571428573E-9</v>
      </c>
      <c r="AD73" s="60">
        <f>IFERROR(AD7/$B59,0)</f>
        <v>1.7520000000000001E-6</v>
      </c>
      <c r="AE73" s="60">
        <f t="shared" si="117"/>
        <v>1.0964562309317064E-9</v>
      </c>
      <c r="AF73" s="71">
        <f>IFERROR(up_RadSpec!$G$7*AF7,".")*$B$73</f>
        <v>4557.2916666666661</v>
      </c>
      <c r="AG73" s="71">
        <f>IFERROR(up_RadSpec!$J$7*$AG$7,".")*$B$73</f>
        <v>2.8538812785388123</v>
      </c>
      <c r="AH73" s="49">
        <f t="shared" si="118"/>
        <v>1</v>
      </c>
      <c r="AI73" s="49">
        <f t="shared" si="118"/>
        <v>0.9423797539167309</v>
      </c>
      <c r="AJ73" s="49">
        <f t="shared" si="119"/>
        <v>1</v>
      </c>
      <c r="AK73" s="60">
        <f>IFERROR(AK7/$B59,0)</f>
        <v>9.9999999999999991E-11</v>
      </c>
      <c r="AL73" s="60">
        <f>IFERROR(AL7/$B59,0)</f>
        <v>4.3800000000000004E-6</v>
      </c>
      <c r="AM73" s="63">
        <f t="shared" si="120"/>
        <v>9.9997716947101668E-11</v>
      </c>
      <c r="AN73" s="71">
        <f>IFERROR(up_RadSpec!$H$7*AN7,".")*$B$73</f>
        <v>50000</v>
      </c>
      <c r="AO73" s="71">
        <f>IFERROR(up_RadSpec!$L$7*AO7,".")*$B$73</f>
        <v>1.1415525114155249</v>
      </c>
      <c r="AP73" s="49">
        <f t="shared" si="121"/>
        <v>1</v>
      </c>
      <c r="AQ73" s="49">
        <f t="shared" si="122"/>
        <v>0.68067711563678512</v>
      </c>
      <c r="AR73" s="49">
        <f t="shared" si="123"/>
        <v>1</v>
      </c>
      <c r="AS73" s="63">
        <f t="shared" ref="AS73:AX73" si="135">IFERROR(AS7/$B59,0)</f>
        <v>9.9999999999999986E-10</v>
      </c>
      <c r="AT73" s="63">
        <f t="shared" si="135"/>
        <v>4.166666666666666E-12</v>
      </c>
      <c r="AU73" s="63">
        <f t="shared" si="135"/>
        <v>9.9999999999999982E-8</v>
      </c>
      <c r="AV73" s="63">
        <f t="shared" si="135"/>
        <v>9.9999999999999986E-10</v>
      </c>
      <c r="AW73" s="63">
        <f t="shared" si="135"/>
        <v>4.166666666666666E-12</v>
      </c>
      <c r="AX73" s="63">
        <f t="shared" si="135"/>
        <v>9.9999999999999982E-8</v>
      </c>
      <c r="AY73" s="71">
        <f>IFERROR(up_RadSpec!$E$7*AY7,".")*$B$73</f>
        <v>5000</v>
      </c>
      <c r="AZ73" s="71">
        <f>IFERROR(up_RadSpec!$E$7*AZ7,".")*$B$73</f>
        <v>1200000</v>
      </c>
      <c r="BA73" s="71">
        <f>IFERROR(up_RadSpec!$E$7*BA7,".")*$B$73</f>
        <v>50</v>
      </c>
      <c r="BB73" s="71">
        <f>IFERROR(up_RadSpec!$E$7*BB7,".")*$B$73</f>
        <v>5000</v>
      </c>
      <c r="BC73" s="71">
        <f>IFERROR(up_RadSpec!$E$7*BC7,".")*$B$73</f>
        <v>1200000</v>
      </c>
      <c r="BD73" s="71">
        <f>IFERROR(up_RadSpec!$E$7*BD7,".")*$B$73</f>
        <v>50</v>
      </c>
      <c r="BE73" s="49">
        <f t="shared" si="125"/>
        <v>1</v>
      </c>
      <c r="BF73" s="49">
        <f t="shared" si="126"/>
        <v>1</v>
      </c>
      <c r="BG73" s="49">
        <f t="shared" si="126"/>
        <v>1</v>
      </c>
      <c r="BH73" s="49">
        <f t="shared" si="126"/>
        <v>1</v>
      </c>
      <c r="BI73" s="49">
        <f t="shared" si="126"/>
        <v>1</v>
      </c>
      <c r="BJ73" s="49">
        <f t="shared" si="126"/>
        <v>1</v>
      </c>
    </row>
    <row r="74" spans="1:62" x14ac:dyDescent="0.25">
      <c r="A74" s="48" t="s">
        <v>1098</v>
      </c>
      <c r="B74" s="45">
        <v>1.9000000000000001E-8</v>
      </c>
      <c r="C74" s="60">
        <f>IFERROR(C12/$B60,0)</f>
        <v>1.9138755980861242</v>
      </c>
      <c r="D74" s="60">
        <f>IFERROR(D12/$B60,0)</f>
        <v>17889.42612098109</v>
      </c>
      <c r="E74" s="60">
        <f>IFERROR(E12/$B60,0)</f>
        <v>4126.8560079443887</v>
      </c>
      <c r="F74" s="63">
        <f t="shared" si="111"/>
        <v>1.9127838866323084</v>
      </c>
      <c r="G74" s="71">
        <f>IFERROR(up_RadSpec!$D$12*G12,".")*$B$74</f>
        <v>2.6125000000000004E-6</v>
      </c>
      <c r="H74" s="71">
        <f>IFERROR(up_RadSpec!$G$12*$H$12,".")*B74</f>
        <v>2.794947119145368E-10</v>
      </c>
      <c r="I74" s="71">
        <f>IFERROR(up_RadSpec!$F$12*$I$12,".")*B74</f>
        <v>1.2115760739833831E-9</v>
      </c>
      <c r="J74" s="49">
        <f t="shared" si="112"/>
        <v>2.6125000000000004E-6</v>
      </c>
      <c r="K74" s="49">
        <f t="shared" si="113"/>
        <v>2.794947119145368E-10</v>
      </c>
      <c r="L74" s="49">
        <f t="shared" si="114"/>
        <v>1.2115760739833831E-9</v>
      </c>
      <c r="M74" s="49">
        <f t="shared" si="115"/>
        <v>2.6139910707858982E-6</v>
      </c>
      <c r="N74" s="60">
        <f>IFERROR(N12/$B60,0)</f>
        <v>4126.8560079443887</v>
      </c>
      <c r="O74" s="60">
        <f>IFERROR(O12/$B60,0)</f>
        <v>7403.8443611685971</v>
      </c>
      <c r="P74" s="60">
        <f>IFERROR(P12/$B60,0)</f>
        <v>5368.4359998305963</v>
      </c>
      <c r="Q74" s="60">
        <f>IFERROR(Q12/$B60,0)</f>
        <v>4741.0777315867908</v>
      </c>
      <c r="R74" s="60">
        <f>IFERROR(R12/$B60,0)</f>
        <v>12780.880773361976</v>
      </c>
      <c r="S74" s="71">
        <f>IFERROR(up_RadSpec!$F$12*$S$12,".")*$B$74</f>
        <v>1.2115760739833831E-9</v>
      </c>
      <c r="T74" s="71">
        <f>IFERROR(up_RadSpec!$M$12*$T$12,".")*$B$74</f>
        <v>6.7532483883964526E-10</v>
      </c>
      <c r="U74" s="71">
        <f>IFERROR(up_RadSpec!$N$12*$U$12,".")*$B$74</f>
        <v>9.3136995582284615E-10</v>
      </c>
      <c r="V74" s="71">
        <f>IFERROR(up_RadSpec!$O$12*$V$12,".")*$B$74</f>
        <v>1.0546125339156905E-9</v>
      </c>
      <c r="W74" s="71">
        <f>IFERROR(up_RadSpec!$K$12*$W$12,".")*$B$74</f>
        <v>3.9120934532313636E-10</v>
      </c>
      <c r="X74" s="49">
        <f t="shared" si="116"/>
        <v>1.2115760739833831E-9</v>
      </c>
      <c r="Y74" s="49">
        <f t="shared" si="116"/>
        <v>6.7532483883964526E-10</v>
      </c>
      <c r="Z74" s="49">
        <f t="shared" si="116"/>
        <v>9.3136995582284615E-10</v>
      </c>
      <c r="AA74" s="49">
        <f t="shared" si="116"/>
        <v>1.0546125339156905E-9</v>
      </c>
      <c r="AB74" s="49">
        <f t="shared" si="116"/>
        <v>3.9120934532313636E-10</v>
      </c>
      <c r="AC74" s="60">
        <f>IFERROR(AC12/$B60,0)</f>
        <v>5.774436090225564E-2</v>
      </c>
      <c r="AD74" s="60">
        <f>IFERROR(AD12/$B60,0)</f>
        <v>92.21052631578948</v>
      </c>
      <c r="AE74" s="60">
        <f t="shared" si="117"/>
        <v>5.7708222680616122E-2</v>
      </c>
      <c r="AF74" s="71">
        <f>IFERROR(up_RadSpec!$G$12*AF12,".")*$B$74</f>
        <v>8.6588541666666658E-5</v>
      </c>
      <c r="AG74" s="71">
        <f>IFERROR(up_RadSpec!$J$12*$AG$12,".")*$B$74</f>
        <v>5.4223744292237439E-8</v>
      </c>
      <c r="AH74" s="49">
        <f t="shared" si="118"/>
        <v>8.6588541666666658E-5</v>
      </c>
      <c r="AI74" s="49">
        <f t="shared" si="118"/>
        <v>5.4223744292237439E-8</v>
      </c>
      <c r="AJ74" s="49">
        <f t="shared" si="119"/>
        <v>8.6642765410958899E-5</v>
      </c>
      <c r="AK74" s="60">
        <f>IFERROR(AK12/$B60,0)</f>
        <v>5.2631578947368411E-3</v>
      </c>
      <c r="AL74" s="60">
        <f>IFERROR(AL12/$B60,0)</f>
        <v>230.5263157894737</v>
      </c>
      <c r="AM74" s="63">
        <f t="shared" si="120"/>
        <v>5.2630377340579819E-3</v>
      </c>
      <c r="AN74" s="71">
        <f>IFERROR(up_RadSpec!$H$12*AN12,".")*$B$74</f>
        <v>9.5000000000000011E-4</v>
      </c>
      <c r="AO74" s="71">
        <f>IFERROR(up_RadSpec!$L$12*AO12,".")*$B$74</f>
        <v>2.1689497716894977E-8</v>
      </c>
      <c r="AP74" s="49">
        <f t="shared" si="121"/>
        <v>9.5000000000000011E-4</v>
      </c>
      <c r="AQ74" s="49">
        <f t="shared" si="122"/>
        <v>2.1689497716894977E-8</v>
      </c>
      <c r="AR74" s="49">
        <f t="shared" si="123"/>
        <v>9.5002168949771695E-4</v>
      </c>
      <c r="AS74" s="63">
        <f t="shared" ref="AS74:AX74" si="136">IFERROR(AS12/$B60,0)</f>
        <v>5.2631578947368411E-2</v>
      </c>
      <c r="AT74" s="63">
        <f t="shared" si="136"/>
        <v>2.1929824561403504E-4</v>
      </c>
      <c r="AU74" s="63">
        <f t="shared" si="136"/>
        <v>5.2631578947368407</v>
      </c>
      <c r="AV74" s="63">
        <f t="shared" si="136"/>
        <v>5.2631578947368411E-2</v>
      </c>
      <c r="AW74" s="63">
        <f t="shared" si="136"/>
        <v>2.1929824561403504E-4</v>
      </c>
      <c r="AX74" s="63">
        <f t="shared" si="136"/>
        <v>5.2631578947368407</v>
      </c>
      <c r="AY74" s="71">
        <f>IFERROR(up_RadSpec!$E$12*AY12,".")*$B$74</f>
        <v>9.5000000000000005E-5</v>
      </c>
      <c r="AZ74" s="71">
        <f>IFERROR(up_RadSpec!$E$12*AZ12,".")*$B$74</f>
        <v>2.2800000000000001E-2</v>
      </c>
      <c r="BA74" s="71">
        <f>IFERROR(up_RadSpec!$E$12*BA12,".")*$B$74</f>
        <v>9.5000000000000012E-7</v>
      </c>
      <c r="BB74" s="71">
        <f>IFERROR(up_RadSpec!$E$12*BB12,".")*$B$74</f>
        <v>9.5000000000000005E-5</v>
      </c>
      <c r="BC74" s="71">
        <f>IFERROR(up_RadSpec!$E$12*BC12,".")*$B$74</f>
        <v>2.2800000000000001E-2</v>
      </c>
      <c r="BD74" s="71">
        <f>IFERROR(up_RadSpec!$E$12*BD12,".")*$B$74</f>
        <v>9.5000000000000012E-7</v>
      </c>
      <c r="BE74" s="49">
        <f t="shared" si="125"/>
        <v>9.5000000000000005E-5</v>
      </c>
      <c r="BF74" s="49">
        <f t="shared" si="126"/>
        <v>2.2542044183415544E-2</v>
      </c>
      <c r="BG74" s="49">
        <f t="shared" si="126"/>
        <v>9.5000000000000012E-7</v>
      </c>
      <c r="BH74" s="49">
        <f t="shared" si="126"/>
        <v>9.5000000000000005E-5</v>
      </c>
      <c r="BI74" s="49">
        <f t="shared" si="126"/>
        <v>2.2542044183415544E-2</v>
      </c>
      <c r="BJ74" s="49">
        <f t="shared" si="126"/>
        <v>9.5000000000000012E-7</v>
      </c>
    </row>
    <row r="75" spans="1:62" x14ac:dyDescent="0.25">
      <c r="A75" s="48" t="s">
        <v>1099</v>
      </c>
      <c r="B75" s="45">
        <v>1</v>
      </c>
      <c r="C75" s="60">
        <f>IFERROR(C18/$B61,0)</f>
        <v>3.6363636363636363E-8</v>
      </c>
      <c r="D75" s="60">
        <f>IFERROR(D18/$B61,0)</f>
        <v>3.3989909629864073E-4</v>
      </c>
      <c r="E75" s="60">
        <f>IFERROR(E18/$B61,0)</f>
        <v>3.9401015479876174E-5</v>
      </c>
      <c r="F75" s="63">
        <f t="shared" si="111"/>
        <v>3.6326224175412221E-8</v>
      </c>
      <c r="G75" s="71">
        <f>IFERROR(up_RadSpec!$D$18*G18,".")*$B$75</f>
        <v>137.5</v>
      </c>
      <c r="H75" s="71">
        <f>IFERROR(up_RadSpec!$G$18*$H$18,".")*B75</f>
        <v>1.4710247995501937E-2</v>
      </c>
      <c r="I75" s="71">
        <f>IFERROR(up_RadSpec!$F$18*$I$18,".")*B75</f>
        <v>0.12690028262225167</v>
      </c>
      <c r="J75" s="49">
        <f t="shared" si="112"/>
        <v>1</v>
      </c>
      <c r="K75" s="49">
        <f t="shared" si="113"/>
        <v>1.4602580880648697E-2</v>
      </c>
      <c r="L75" s="49">
        <f t="shared" si="114"/>
        <v>0.11917849857155938</v>
      </c>
      <c r="M75" s="49">
        <f t="shared" si="115"/>
        <v>1</v>
      </c>
      <c r="N75" s="60">
        <f>IFERROR(N18/$B61,0)</f>
        <v>3.9401015479876174E-5</v>
      </c>
      <c r="O75" s="60">
        <f>IFERROR(O18/$B61,0)</f>
        <v>7.7963172804532591E-5</v>
      </c>
      <c r="P75" s="60">
        <f>IFERROR(P18/$B61,0)</f>
        <v>5.4597264747907746E-5</v>
      </c>
      <c r="Q75" s="60">
        <f>IFERROR(Q18/$B61,0)</f>
        <v>4.5234819879579573E-5</v>
      </c>
      <c r="R75" s="60">
        <f>IFERROR(R18/$B61,0)</f>
        <v>1.3252307692307691E-4</v>
      </c>
      <c r="S75" s="71">
        <f>IFERROR(up_RadSpec!$F$18*$S$18,".")*$B$75</f>
        <v>0.12690028262225167</v>
      </c>
      <c r="T75" s="71">
        <f>IFERROR(up_RadSpec!$M$18*$T$18,".")*$B$75</f>
        <v>6.4132844010028695E-2</v>
      </c>
      <c r="U75" s="71">
        <f>IFERROR(up_RadSpec!$N$18*$U$18,".")*$B$75</f>
        <v>9.1579679368307687E-2</v>
      </c>
      <c r="V75" s="71">
        <f>IFERROR(up_RadSpec!$O$18*$V$18,".")*$B$75</f>
        <v>0.1105343187683866</v>
      </c>
      <c r="W75" s="71">
        <f>IFERROR(up_RadSpec!$K$18*$W$18,".")*$B$75</f>
        <v>3.7729277919665662E-2</v>
      </c>
      <c r="X75" s="49">
        <f t="shared" si="116"/>
        <v>0.11917849857155938</v>
      </c>
      <c r="Y75" s="49">
        <f t="shared" si="116"/>
        <v>6.2119600538465436E-2</v>
      </c>
      <c r="Z75" s="49">
        <f t="shared" si="116"/>
        <v>8.7511393260443326E-2</v>
      </c>
      <c r="AA75" s="49">
        <f t="shared" si="116"/>
        <v>0.10464439783931923</v>
      </c>
      <c r="AB75" s="49">
        <f t="shared" si="116"/>
        <v>3.7026396176664034E-2</v>
      </c>
      <c r="AC75" s="60">
        <f>IFERROR(AC18/$B61,0)</f>
        <v>1.0971428571428573E-9</v>
      </c>
      <c r="AD75" s="60">
        <f>IFERROR(AD18/$B61,0)</f>
        <v>1.7520000000000001E-6</v>
      </c>
      <c r="AE75" s="60">
        <f t="shared" si="117"/>
        <v>1.0964562309317064E-9</v>
      </c>
      <c r="AF75" s="71">
        <f>IFERROR(up_RadSpec!$G$18*AF18,".")*$B$75</f>
        <v>4557.2916666666661</v>
      </c>
      <c r="AG75" s="71">
        <f>IFERROR(up_RadSpec!$J$18*$AG$18,".")*$B$75</f>
        <v>2.8538812785388123</v>
      </c>
      <c r="AH75" s="49">
        <f t="shared" si="118"/>
        <v>1</v>
      </c>
      <c r="AI75" s="49">
        <f t="shared" si="118"/>
        <v>0.9423797539167309</v>
      </c>
      <c r="AJ75" s="49">
        <f t="shared" si="119"/>
        <v>1</v>
      </c>
      <c r="AK75" s="60">
        <f>IFERROR(AK18/$B61,0)</f>
        <v>9.9999999999999991E-11</v>
      </c>
      <c r="AL75" s="60">
        <f>IFERROR(AL18/$B61,0)</f>
        <v>4.3800000000000004E-6</v>
      </c>
      <c r="AM75" s="63">
        <f t="shared" si="120"/>
        <v>9.9997716947101668E-11</v>
      </c>
      <c r="AN75" s="71">
        <f>IFERROR(up_RadSpec!$H$18*AN18,".")*$B$75</f>
        <v>50000</v>
      </c>
      <c r="AO75" s="71">
        <f>IFERROR(up_RadSpec!$L$18*AO18,".")*$B$75</f>
        <v>1.1415525114155249</v>
      </c>
      <c r="AP75" s="49">
        <f t="shared" si="121"/>
        <v>1</v>
      </c>
      <c r="AQ75" s="49">
        <f t="shared" si="122"/>
        <v>0.68067711563678512</v>
      </c>
      <c r="AR75" s="49">
        <f t="shared" si="123"/>
        <v>1</v>
      </c>
      <c r="AS75" s="63">
        <f t="shared" ref="AS75:AX75" si="137">IFERROR(AS18/$B61,0)</f>
        <v>9.9999999999999986E-10</v>
      </c>
      <c r="AT75" s="63">
        <f t="shared" si="137"/>
        <v>4.166666666666666E-12</v>
      </c>
      <c r="AU75" s="63">
        <f t="shared" si="137"/>
        <v>9.9999999999999982E-8</v>
      </c>
      <c r="AV75" s="63">
        <f t="shared" si="137"/>
        <v>9.9999999999999986E-10</v>
      </c>
      <c r="AW75" s="63">
        <f t="shared" si="137"/>
        <v>4.166666666666666E-12</v>
      </c>
      <c r="AX75" s="63">
        <f t="shared" si="137"/>
        <v>9.9999999999999982E-8</v>
      </c>
      <c r="AY75" s="71">
        <f>IFERROR(up_RadSpec!$E$18*AY18,".")*$B$75</f>
        <v>5000</v>
      </c>
      <c r="AZ75" s="71">
        <f>IFERROR(up_RadSpec!$E$18*AZ18,".")*$B$75</f>
        <v>1200000</v>
      </c>
      <c r="BA75" s="71">
        <f>IFERROR(up_RadSpec!$E$18*BA18,".")*$B$75</f>
        <v>50</v>
      </c>
      <c r="BB75" s="71">
        <f>IFERROR(up_RadSpec!$E$18*BB18,".")*$B$75</f>
        <v>5000</v>
      </c>
      <c r="BC75" s="71">
        <f>IFERROR(up_RadSpec!$E$18*BC18,".")*$B$75</f>
        <v>1200000</v>
      </c>
      <c r="BD75" s="71">
        <f>IFERROR(up_RadSpec!$E$18*BD18,".")*$B$75</f>
        <v>50</v>
      </c>
      <c r="BE75" s="49">
        <f t="shared" si="125"/>
        <v>1</v>
      </c>
      <c r="BF75" s="49">
        <f t="shared" si="126"/>
        <v>1</v>
      </c>
      <c r="BG75" s="49">
        <f t="shared" si="126"/>
        <v>1</v>
      </c>
      <c r="BH75" s="49">
        <f t="shared" si="126"/>
        <v>1</v>
      </c>
      <c r="BI75" s="49">
        <f t="shared" si="126"/>
        <v>1</v>
      </c>
      <c r="BJ75" s="49">
        <f t="shared" si="126"/>
        <v>1</v>
      </c>
    </row>
    <row r="76" spans="1:62" x14ac:dyDescent="0.25">
      <c r="A76" s="48" t="s">
        <v>1100</v>
      </c>
      <c r="B76" s="45">
        <v>1.339E-6</v>
      </c>
      <c r="C76" s="60">
        <f>IFERROR(C27/$B62,0)</f>
        <v>2.7157308710706769E-2</v>
      </c>
      <c r="D76" s="60">
        <f>IFERROR(D27/$B62,0)</f>
        <v>253.84547893849196</v>
      </c>
      <c r="E76" s="60">
        <f>IFERROR(E27/$B62,0)</f>
        <v>48.291103883899119</v>
      </c>
      <c r="F76" s="63">
        <f t="shared" si="111"/>
        <v>2.7139143116539879E-2</v>
      </c>
      <c r="G76" s="71">
        <f>IFERROR(up_RadSpec!$D$27*G27,".")*$B$76</f>
        <v>1.8411250000000001E-4</v>
      </c>
      <c r="H76" s="71">
        <f>IFERROR(up_RadSpec!$G$27*$H$27,".")*B76</f>
        <v>1.9697022065977095E-8</v>
      </c>
      <c r="I76" s="71">
        <f>IFERROR(up_RadSpec!$F$27*$I$27,".")*B76</f>
        <v>1.0353873897811364E-7</v>
      </c>
      <c r="J76" s="49">
        <f t="shared" si="112"/>
        <v>1.8411250000000001E-4</v>
      </c>
      <c r="K76" s="49">
        <f t="shared" si="113"/>
        <v>1.9697022065977095E-8</v>
      </c>
      <c r="L76" s="49">
        <f t="shared" si="114"/>
        <v>1.0353873897811364E-7</v>
      </c>
      <c r="M76" s="49">
        <f t="shared" si="115"/>
        <v>1.8423573576104412E-4</v>
      </c>
      <c r="N76" s="60">
        <f>IFERROR(N27/$B62,0)</f>
        <v>48.291103883899119</v>
      </c>
      <c r="O76" s="60">
        <f>IFERROR(O27/$B62,0)</f>
        <v>143.2396525293818</v>
      </c>
      <c r="P76" s="60">
        <f>IFERROR(P27/$B62,0)</f>
        <v>87.816678107940234</v>
      </c>
      <c r="Q76" s="60">
        <f>IFERROR(Q27/$B62,0)</f>
        <v>63.883240752349963</v>
      </c>
      <c r="R76" s="60">
        <f>IFERROR(R27/$B62,0)</f>
        <v>448.05111773721018</v>
      </c>
      <c r="S76" s="71">
        <f>IFERROR(up_RadSpec!$F$27*$S$27,".")*$B$76</f>
        <v>1.0353873897811364E-7</v>
      </c>
      <c r="T76" s="71">
        <f>IFERROR(up_RadSpec!$M$27*$T$27,".")*$B$76</f>
        <v>3.4906535388127838E-8</v>
      </c>
      <c r="U76" s="71">
        <f>IFERROR(up_RadSpec!$N$27*$U$27,".")*$B$76</f>
        <v>5.6936792733770106E-8</v>
      </c>
      <c r="V76" s="71">
        <f>IFERROR(up_RadSpec!$O$27*$V$27,".")*$B$76</f>
        <v>7.826778887725844E-8</v>
      </c>
      <c r="W76" s="71">
        <f>IFERROR(up_RadSpec!$K$27*$W$27,".")*$B$76</f>
        <v>1.1159440970154186E-8</v>
      </c>
      <c r="X76" s="49">
        <f t="shared" si="116"/>
        <v>1.0353873897811364E-7</v>
      </c>
      <c r="Y76" s="49">
        <f t="shared" si="116"/>
        <v>3.4906535388127838E-8</v>
      </c>
      <c r="Z76" s="49">
        <f t="shared" si="116"/>
        <v>5.6936792733770106E-8</v>
      </c>
      <c r="AA76" s="49">
        <f t="shared" si="116"/>
        <v>7.826778887725844E-8</v>
      </c>
      <c r="AB76" s="49">
        <f t="shared" si="116"/>
        <v>1.1159440970154186E-8</v>
      </c>
      <c r="AC76" s="60">
        <f>IFERROR(AC27/$B62,0)</f>
        <v>8.1937479995732433E-4</v>
      </c>
      <c r="AD76" s="60">
        <f>IFERROR(AD27/$B62,0)</f>
        <v>1.3084391336818522</v>
      </c>
      <c r="AE76" s="60">
        <f t="shared" si="117"/>
        <v>8.1886200965773431E-4</v>
      </c>
      <c r="AF76" s="71">
        <f>IFERROR(up_RadSpec!$G$27*AF27,".")*$B$76</f>
        <v>6.1022135416666659E-3</v>
      </c>
      <c r="AG76" s="71">
        <f>IFERROR(up_RadSpec!$J$27*$AG$27,".")*$B$76</f>
        <v>3.8213470319634697E-6</v>
      </c>
      <c r="AH76" s="49">
        <f t="shared" si="118"/>
        <v>6.1022135416666659E-3</v>
      </c>
      <c r="AI76" s="49">
        <f t="shared" si="118"/>
        <v>3.8213470319634697E-6</v>
      </c>
      <c r="AJ76" s="49">
        <f t="shared" si="119"/>
        <v>6.1060348886986292E-3</v>
      </c>
      <c r="AK76" s="60">
        <f>IFERROR(AK27/$B62,0)</f>
        <v>7.4682598954443606E-5</v>
      </c>
      <c r="AL76" s="60">
        <f>IFERROR(AL27/$B62,0)</f>
        <v>3.2710978342046304</v>
      </c>
      <c r="AM76" s="63">
        <f t="shared" si="120"/>
        <v>7.4680893911203627E-5</v>
      </c>
      <c r="AN76" s="71">
        <f>IFERROR(up_RadSpec!$H$27*AN27,".")*$B$76</f>
        <v>6.6949999999999996E-2</v>
      </c>
      <c r="AO76" s="71">
        <f>IFERROR(up_RadSpec!$L$27*AO27,".")*$B$76</f>
        <v>1.5285388127853878E-6</v>
      </c>
      <c r="AP76" s="49">
        <f t="shared" si="121"/>
        <v>6.4758037734143126E-2</v>
      </c>
      <c r="AQ76" s="49">
        <f t="shared" si="122"/>
        <v>1.5285388127853878E-6</v>
      </c>
      <c r="AR76" s="49">
        <f t="shared" si="123"/>
        <v>6.4759467286689243E-2</v>
      </c>
      <c r="AS76" s="63">
        <f t="shared" ref="AS76:AX76" si="138">IFERROR(AS27/$B62,0)</f>
        <v>7.4682598954443598E-4</v>
      </c>
      <c r="AT76" s="63">
        <f t="shared" si="138"/>
        <v>3.1117749564351503E-6</v>
      </c>
      <c r="AU76" s="63">
        <f t="shared" si="138"/>
        <v>7.4682598954443596E-2</v>
      </c>
      <c r="AV76" s="63">
        <f t="shared" si="138"/>
        <v>7.4682598954443598E-4</v>
      </c>
      <c r="AW76" s="63">
        <f t="shared" si="138"/>
        <v>3.1117749564351503E-6</v>
      </c>
      <c r="AX76" s="63">
        <f t="shared" si="138"/>
        <v>7.4682598954443596E-2</v>
      </c>
      <c r="AY76" s="71">
        <f>IFERROR(up_RadSpec!$E$27*AY27,".")*$B$76</f>
        <v>6.6950000000000004E-3</v>
      </c>
      <c r="AZ76" s="71">
        <f>IFERROR(up_RadSpec!$E$27*AZ27,".")*$B$76</f>
        <v>1.6068</v>
      </c>
      <c r="BA76" s="71">
        <f>IFERROR(up_RadSpec!$E$27*BA27,".")*$B$76</f>
        <v>6.6950000000000001E-5</v>
      </c>
      <c r="BB76" s="71">
        <f>IFERROR(up_RadSpec!$E$27*BB27,".")*$B$76</f>
        <v>6.6950000000000004E-3</v>
      </c>
      <c r="BC76" s="71">
        <f>IFERROR(up_RadSpec!$E$27*BC27,".")*$B$76</f>
        <v>1.6068</v>
      </c>
      <c r="BD76" s="71">
        <f>IFERROR(up_RadSpec!$E$27*BD27,".")*$B$76</f>
        <v>6.6950000000000001E-5</v>
      </c>
      <c r="BE76" s="49">
        <f t="shared" si="125"/>
        <v>6.6950000000000004E-3</v>
      </c>
      <c r="BF76" s="49">
        <f t="shared" si="126"/>
        <v>0.79947172104270425</v>
      </c>
      <c r="BG76" s="49">
        <f t="shared" si="126"/>
        <v>6.6950000000000001E-5</v>
      </c>
      <c r="BH76" s="49">
        <f t="shared" si="126"/>
        <v>6.6950000000000004E-3</v>
      </c>
      <c r="BI76" s="49">
        <f t="shared" si="126"/>
        <v>0.79947172104270425</v>
      </c>
      <c r="BJ76" s="49">
        <f t="shared" si="126"/>
        <v>6.6950000000000001E-5</v>
      </c>
    </row>
  </sheetData>
  <sheetProtection algorithmName="SHA-512" hashValue="2Cr3jPfDbmjK8Z6uiUNBWIEJKel1WIozDv/AxLZErANFWXnlHblEduCSjdBpfkXmEi2IqqAvhWMdi5eOyVgtIQ==" saltValue="lg337nAMyyywmcpBkGDQLA==" spinCount="100000" sheet="1" objects="1" scenarios="1" formatColumns="0" formatRows="0" autoFilter="0"/>
  <autoFilter ref="A1:AR1299" xr:uid="{00000000-0009-0000-0000-000020000000}"/>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theme="9" tint="-0.499984740745262"/>
  </sheetPr>
  <dimension ref="A1:F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4.5703125" style="4" bestFit="1" customWidth="1"/>
    <col min="2" max="2" width="11.7109375" style="4" bestFit="1" customWidth="1"/>
    <col min="3" max="4" width="16.28515625" bestFit="1" customWidth="1"/>
    <col min="5" max="5" width="13.85546875" bestFit="1" customWidth="1"/>
    <col min="6" max="6" width="13.7109375" bestFit="1" customWidth="1"/>
  </cols>
  <sheetData>
    <row r="1" spans="1:6" x14ac:dyDescent="0.25">
      <c r="A1" s="78" t="s">
        <v>51</v>
      </c>
      <c r="B1" s="79" t="s">
        <v>350</v>
      </c>
      <c r="C1" s="112" t="s">
        <v>1391</v>
      </c>
      <c r="D1" s="112" t="s">
        <v>1392</v>
      </c>
      <c r="E1" s="112" t="s">
        <v>1393</v>
      </c>
      <c r="F1" s="112" t="s">
        <v>1394</v>
      </c>
    </row>
    <row r="2" spans="1:6" x14ac:dyDescent="0.25">
      <c r="A2" s="44" t="s">
        <v>12</v>
      </c>
      <c r="B2" s="42" t="s">
        <v>1074</v>
      </c>
      <c r="C2" s="123">
        <f>IF(up_RadSpec!AV2*s_DAF=0,".",up_RadSpec!AV2*s_DAF)</f>
        <v>36.407844783957088</v>
      </c>
      <c r="D2" s="123">
        <f>IFERROR(up_res!AS2*s_DAF,".")</f>
        <v>1.2600867339093713E-10</v>
      </c>
      <c r="E2" s="123">
        <f t="shared" ref="E2:F30" si="0">IFERROR((C2*s_ls2gw*s_ED_s2gw)/(s_ρb*s_d_s*1000),".")</f>
        <v>0.12742745674384981</v>
      </c>
      <c r="F2" s="123">
        <f t="shared" si="0"/>
        <v>4.4103035686827994E-13</v>
      </c>
    </row>
    <row r="3" spans="1:6" x14ac:dyDescent="0.25">
      <c r="A3" s="46" t="s">
        <v>13</v>
      </c>
      <c r="B3" s="42" t="s">
        <v>351</v>
      </c>
      <c r="C3" s="123">
        <f>IF(up_RadSpec!AV3*s_DAF=0,".",up_RadSpec!AV3*s_DAF)</f>
        <v>36.407844783957088</v>
      </c>
      <c r="D3" s="123">
        <f>IFERROR(up_res!AS3*s_DAF,".")</f>
        <v>1.2600867339093713E-10</v>
      </c>
      <c r="E3" s="123">
        <f t="shared" si="0"/>
        <v>0.12742745674384981</v>
      </c>
      <c r="F3" s="123">
        <f t="shared" si="0"/>
        <v>4.4103035686827994E-13</v>
      </c>
    </row>
    <row r="4" spans="1:6" x14ac:dyDescent="0.25">
      <c r="A4" s="44" t="s">
        <v>14</v>
      </c>
      <c r="B4" s="42" t="s">
        <v>1074</v>
      </c>
      <c r="C4" s="123">
        <f>IF(up_RadSpec!AV4*s_DAF=0,".",up_RadSpec!AV4*s_DAF)</f>
        <v>36.407844783957088</v>
      </c>
      <c r="D4" s="123">
        <f>IFERROR(up_res!AS4*s_DAF,".")</f>
        <v>1.2600867339093713E-10</v>
      </c>
      <c r="E4" s="123">
        <f t="shared" si="0"/>
        <v>0.12742745674384981</v>
      </c>
      <c r="F4" s="123">
        <f t="shared" si="0"/>
        <v>4.4103035686827994E-13</v>
      </c>
    </row>
    <row r="5" spans="1:6" x14ac:dyDescent="0.25">
      <c r="A5" s="44" t="s">
        <v>15</v>
      </c>
      <c r="B5" s="42" t="s">
        <v>1074</v>
      </c>
      <c r="C5" s="123">
        <f>IF(up_RadSpec!AV5*s_DAF=0,".",up_RadSpec!AV5*s_DAF)</f>
        <v>36.407844783957088</v>
      </c>
      <c r="D5" s="123">
        <f>IFERROR(up_res!AS5*s_DAF,".")</f>
        <v>1.2600867339093713E-10</v>
      </c>
      <c r="E5" s="123">
        <f t="shared" si="0"/>
        <v>0.12742745674384981</v>
      </c>
      <c r="F5" s="123">
        <f t="shared" si="0"/>
        <v>4.4103035686827994E-13</v>
      </c>
    </row>
    <row r="6" spans="1:6" x14ac:dyDescent="0.25">
      <c r="A6" s="44" t="s">
        <v>16</v>
      </c>
      <c r="B6" s="42" t="s">
        <v>1074</v>
      </c>
      <c r="C6" s="123">
        <f>IF(up_RadSpec!AV6*s_DAF=0,".",up_RadSpec!AV6*s_DAF)</f>
        <v>36.407844783957088</v>
      </c>
      <c r="D6" s="123">
        <f>IFERROR(up_res!AS6*s_DAF,".")</f>
        <v>1.2600867339093713E-10</v>
      </c>
      <c r="E6" s="123">
        <f t="shared" si="0"/>
        <v>0.12742745674384981</v>
      </c>
      <c r="F6" s="123">
        <f t="shared" si="0"/>
        <v>4.4103035686827994E-13</v>
      </c>
    </row>
    <row r="7" spans="1:6" x14ac:dyDescent="0.25">
      <c r="A7" s="44" t="s">
        <v>17</v>
      </c>
      <c r="B7" s="42" t="s">
        <v>1074</v>
      </c>
      <c r="C7" s="123">
        <f>IF(up_RadSpec!AV7*s_DAF=0,".",up_RadSpec!AV7*s_DAF)</f>
        <v>36.407844783957088</v>
      </c>
      <c r="D7" s="123">
        <f>IFERROR(up_res!AS7*s_DAF,".")</f>
        <v>1.2600867339093713E-10</v>
      </c>
      <c r="E7" s="123">
        <f t="shared" si="0"/>
        <v>0.12742745674384981</v>
      </c>
      <c r="F7" s="123">
        <f t="shared" si="0"/>
        <v>4.4103035686827994E-13</v>
      </c>
    </row>
    <row r="8" spans="1:6" x14ac:dyDescent="0.25">
      <c r="A8" s="44" t="s">
        <v>18</v>
      </c>
      <c r="B8" s="42" t="s">
        <v>1074</v>
      </c>
      <c r="C8" s="123">
        <f>IF(up_RadSpec!AV8*s_DAF=0,".",up_RadSpec!AV8*s_DAF)</f>
        <v>36.407844783957088</v>
      </c>
      <c r="D8" s="123">
        <f>IFERROR(up_res!AS8*s_DAF,".")</f>
        <v>1.2600867339093713E-10</v>
      </c>
      <c r="E8" s="123">
        <f t="shared" si="0"/>
        <v>0.12742745674384981</v>
      </c>
      <c r="F8" s="123">
        <f t="shared" si="0"/>
        <v>4.4103035686827994E-13</v>
      </c>
    </row>
    <row r="9" spans="1:6" x14ac:dyDescent="0.25">
      <c r="A9" s="44" t="s">
        <v>19</v>
      </c>
      <c r="B9" s="42" t="s">
        <v>1074</v>
      </c>
      <c r="C9" s="123">
        <f>IF(up_RadSpec!AV9*s_DAF=0,".",up_RadSpec!AV9*s_DAF)</f>
        <v>36.407844783957088</v>
      </c>
      <c r="D9" s="123">
        <f>IFERROR(up_res!AS9*s_DAF,".")</f>
        <v>1.2600867339093713E-10</v>
      </c>
      <c r="E9" s="123">
        <f t="shared" si="0"/>
        <v>0.12742745674384981</v>
      </c>
      <c r="F9" s="123">
        <f t="shared" si="0"/>
        <v>4.4103035686827994E-13</v>
      </c>
    </row>
    <row r="10" spans="1:6" x14ac:dyDescent="0.25">
      <c r="A10" s="46" t="s">
        <v>20</v>
      </c>
      <c r="B10" s="42" t="s">
        <v>351</v>
      </c>
      <c r="C10" s="123">
        <f>IF(up_RadSpec!AV10*s_DAF=0,".",up_RadSpec!AV10*s_DAF)</f>
        <v>36.407844783957088</v>
      </c>
      <c r="D10" s="123">
        <f>IFERROR(up_res!AS10*s_DAF,".")</f>
        <v>1.2600867339093713E-10</v>
      </c>
      <c r="E10" s="123">
        <f t="shared" si="0"/>
        <v>0.12742745674384981</v>
      </c>
      <c r="F10" s="123">
        <f t="shared" si="0"/>
        <v>4.4103035686827994E-13</v>
      </c>
    </row>
    <row r="11" spans="1:6" x14ac:dyDescent="0.25">
      <c r="A11" s="44" t="s">
        <v>21</v>
      </c>
      <c r="B11" s="42" t="s">
        <v>1074</v>
      </c>
      <c r="C11" s="123">
        <f>IF(up_RadSpec!AV11*s_DAF=0,".",up_RadSpec!AV11*s_DAF)</f>
        <v>36.407844783957088</v>
      </c>
      <c r="D11" s="123">
        <f>IFERROR(up_res!AS11*s_DAF,".")</f>
        <v>1.2600867339093713E-10</v>
      </c>
      <c r="E11" s="123">
        <f t="shared" si="0"/>
        <v>0.12742745674384981</v>
      </c>
      <c r="F11" s="123">
        <f t="shared" si="0"/>
        <v>4.4103035686827994E-13</v>
      </c>
    </row>
    <row r="12" spans="1:6" x14ac:dyDescent="0.25">
      <c r="A12" s="44" t="s">
        <v>22</v>
      </c>
      <c r="B12" s="42" t="s">
        <v>1074</v>
      </c>
      <c r="C12" s="123">
        <f>IF(up_RadSpec!AV12*s_DAF=0,".",up_RadSpec!AV12*s_DAF)</f>
        <v>36.407844783957088</v>
      </c>
      <c r="D12" s="123">
        <f>IFERROR(up_res!AS12*s_DAF,".")</f>
        <v>1.2600867339093713E-10</v>
      </c>
      <c r="E12" s="123">
        <f t="shared" si="0"/>
        <v>0.12742745674384981</v>
      </c>
      <c r="F12" s="123">
        <f t="shared" si="0"/>
        <v>4.4103035686827994E-13</v>
      </c>
    </row>
    <row r="13" spans="1:6" x14ac:dyDescent="0.25">
      <c r="A13" s="44" t="s">
        <v>23</v>
      </c>
      <c r="B13" s="42" t="s">
        <v>1074</v>
      </c>
      <c r="C13" s="123">
        <f>IF(up_RadSpec!AV13*s_DAF=0,".",up_RadSpec!AV13*s_DAF)</f>
        <v>36.407844783957088</v>
      </c>
      <c r="D13" s="123">
        <f>IFERROR(up_res!AS13*s_DAF,".")</f>
        <v>1.2600867339093713E-10</v>
      </c>
      <c r="E13" s="123">
        <f t="shared" si="0"/>
        <v>0.12742745674384981</v>
      </c>
      <c r="F13" s="123">
        <f t="shared" si="0"/>
        <v>4.4103035686827994E-13</v>
      </c>
    </row>
    <row r="14" spans="1:6" x14ac:dyDescent="0.25">
      <c r="A14" s="44" t="s">
        <v>24</v>
      </c>
      <c r="B14" s="42" t="s">
        <v>1074</v>
      </c>
      <c r="C14" s="123">
        <f>IF(up_RadSpec!AV14*s_DAF=0,".",up_RadSpec!AV14*s_DAF)</f>
        <v>36.407844783957088</v>
      </c>
      <c r="D14" s="123">
        <f>IFERROR(up_res!AS14*s_DAF,".")</f>
        <v>1.2600867339093713E-10</v>
      </c>
      <c r="E14" s="123">
        <f t="shared" si="0"/>
        <v>0.12742745674384981</v>
      </c>
      <c r="F14" s="123">
        <f t="shared" si="0"/>
        <v>4.4103035686827994E-13</v>
      </c>
    </row>
    <row r="15" spans="1:6" x14ac:dyDescent="0.25">
      <c r="A15" s="44" t="s">
        <v>25</v>
      </c>
      <c r="B15" s="42" t="s">
        <v>1074</v>
      </c>
      <c r="C15" s="123">
        <f>IF(up_RadSpec!AV15*s_DAF=0,".",up_RadSpec!AV15*s_DAF)</f>
        <v>36.407844783957088</v>
      </c>
      <c r="D15" s="123">
        <f>IFERROR(up_res!AS15*s_DAF,".")</f>
        <v>1.2600867339093713E-10</v>
      </c>
      <c r="E15" s="123">
        <f t="shared" si="0"/>
        <v>0.12742745674384981</v>
      </c>
      <c r="F15" s="123">
        <f t="shared" si="0"/>
        <v>4.4103035686827994E-13</v>
      </c>
    </row>
    <row r="16" spans="1:6" x14ac:dyDescent="0.25">
      <c r="A16" s="44" t="s">
        <v>26</v>
      </c>
      <c r="B16" s="42" t="s">
        <v>1074</v>
      </c>
      <c r="C16" s="123">
        <f>IF(up_RadSpec!AV16*s_DAF=0,".",up_RadSpec!AV16*s_DAF)</f>
        <v>36.407844783957088</v>
      </c>
      <c r="D16" s="123">
        <f>IFERROR(up_res!AS16*s_DAF,".")</f>
        <v>1.2600867339093713E-10</v>
      </c>
      <c r="E16" s="123">
        <f t="shared" si="0"/>
        <v>0.12742745674384981</v>
      </c>
      <c r="F16" s="123">
        <f t="shared" si="0"/>
        <v>4.4103035686827994E-13</v>
      </c>
    </row>
    <row r="17" spans="1:6" x14ac:dyDescent="0.25">
      <c r="A17" s="44" t="s">
        <v>27</v>
      </c>
      <c r="B17" s="42" t="s">
        <v>1074</v>
      </c>
      <c r="C17" s="123">
        <f>IF(up_RadSpec!AV17*s_DAF=0,".",up_RadSpec!AV17*s_DAF)</f>
        <v>36.407844783957088</v>
      </c>
      <c r="D17" s="123">
        <f>IFERROR(up_res!AS17*s_DAF,".")</f>
        <v>1.2600867339093713E-10</v>
      </c>
      <c r="E17" s="123">
        <f t="shared" si="0"/>
        <v>0.12742745674384981</v>
      </c>
      <c r="F17" s="123">
        <f t="shared" si="0"/>
        <v>4.4103035686827994E-13</v>
      </c>
    </row>
    <row r="18" spans="1:6" x14ac:dyDescent="0.25">
      <c r="A18" s="44" t="s">
        <v>28</v>
      </c>
      <c r="B18" s="42" t="s">
        <v>1074</v>
      </c>
      <c r="C18" s="123">
        <f>IF(up_RadSpec!AV18*s_DAF=0,".",up_RadSpec!AV18*s_DAF)</f>
        <v>36.407844783957088</v>
      </c>
      <c r="D18" s="123">
        <f>IFERROR(up_res!AS18*s_DAF,".")</f>
        <v>1.2600867339093713E-10</v>
      </c>
      <c r="E18" s="123">
        <f t="shared" si="0"/>
        <v>0.12742745674384981</v>
      </c>
      <c r="F18" s="123">
        <f t="shared" si="0"/>
        <v>4.4103035686827994E-13</v>
      </c>
    </row>
    <row r="19" spans="1:6" x14ac:dyDescent="0.25">
      <c r="A19" s="44" t="s">
        <v>29</v>
      </c>
      <c r="B19" s="42" t="s">
        <v>1074</v>
      </c>
      <c r="C19" s="123">
        <f>IF(up_RadSpec!AV19*s_DAF=0,".",up_RadSpec!AV19*s_DAF)</f>
        <v>36.407844783957088</v>
      </c>
      <c r="D19" s="123">
        <f>IFERROR(up_res!AS19*s_DAF,".")</f>
        <v>1.2600867339093713E-10</v>
      </c>
      <c r="E19" s="123">
        <f t="shared" si="0"/>
        <v>0.12742745674384981</v>
      </c>
      <c r="F19" s="123">
        <f t="shared" si="0"/>
        <v>4.4103035686827994E-13</v>
      </c>
    </row>
    <row r="20" spans="1:6" x14ac:dyDescent="0.25">
      <c r="A20" s="44" t="s">
        <v>30</v>
      </c>
      <c r="B20" s="42" t="s">
        <v>1074</v>
      </c>
      <c r="C20" s="123">
        <f>IF(up_RadSpec!AV20*s_DAF=0,".",up_RadSpec!AV20*s_DAF)</f>
        <v>36.407844783957088</v>
      </c>
      <c r="D20" s="123">
        <f>IFERROR(up_res!AS20*s_DAF,".")</f>
        <v>1.2600867339093713E-10</v>
      </c>
      <c r="E20" s="123">
        <f t="shared" si="0"/>
        <v>0.12742745674384981</v>
      </c>
      <c r="F20" s="123">
        <f t="shared" si="0"/>
        <v>4.4103035686827994E-13</v>
      </c>
    </row>
    <row r="21" spans="1:6" x14ac:dyDescent="0.25">
      <c r="A21" s="44" t="s">
        <v>31</v>
      </c>
      <c r="B21" s="42" t="s">
        <v>1074</v>
      </c>
      <c r="C21" s="123">
        <f>IF(up_RadSpec!AV21*s_DAF=0,".",up_RadSpec!AV21*s_DAF)</f>
        <v>36.407844783957088</v>
      </c>
      <c r="D21" s="123">
        <f>IFERROR(up_res!AS21*s_DAF,".")</f>
        <v>1.2600867339093713E-10</v>
      </c>
      <c r="E21" s="123">
        <f t="shared" si="0"/>
        <v>0.12742745674384981</v>
      </c>
      <c r="F21" s="123">
        <f t="shared" si="0"/>
        <v>4.4103035686827994E-13</v>
      </c>
    </row>
    <row r="22" spans="1:6" x14ac:dyDescent="0.25">
      <c r="A22" s="44" t="s">
        <v>32</v>
      </c>
      <c r="B22" s="42" t="s">
        <v>1074</v>
      </c>
      <c r="C22" s="123">
        <f>IF(up_RadSpec!AV22*s_DAF=0,".",up_RadSpec!AV22*s_DAF)</f>
        <v>36.407844783957088</v>
      </c>
      <c r="D22" s="123">
        <f>IFERROR(up_res!AS22*s_DAF,".")</f>
        <v>1.2600867339093713E-10</v>
      </c>
      <c r="E22" s="123">
        <f t="shared" si="0"/>
        <v>0.12742745674384981</v>
      </c>
      <c r="F22" s="123">
        <f t="shared" si="0"/>
        <v>4.4103035686827994E-13</v>
      </c>
    </row>
    <row r="23" spans="1:6" x14ac:dyDescent="0.25">
      <c r="A23" s="46" t="s">
        <v>33</v>
      </c>
      <c r="B23" s="42" t="s">
        <v>351</v>
      </c>
      <c r="C23" s="123">
        <f>IF(up_RadSpec!AV23*s_DAF=0,".",up_RadSpec!AV23*s_DAF)</f>
        <v>36.407844783957088</v>
      </c>
      <c r="D23" s="123">
        <f>IFERROR(up_res!AS23*s_DAF,".")</f>
        <v>1.2502268653831008E-10</v>
      </c>
      <c r="E23" s="123">
        <f t="shared" si="0"/>
        <v>0.12742745674384981</v>
      </c>
      <c r="F23" s="123">
        <f t="shared" si="0"/>
        <v>4.3757940288408526E-13</v>
      </c>
    </row>
    <row r="24" spans="1:6" x14ac:dyDescent="0.25">
      <c r="A24" s="44" t="s">
        <v>34</v>
      </c>
      <c r="B24" s="42" t="s">
        <v>1074</v>
      </c>
      <c r="C24" s="123">
        <f>IF(up_RadSpec!AV24*s_DAF=0,".",up_RadSpec!AV24*s_DAF)</f>
        <v>36.407844783957088</v>
      </c>
      <c r="D24" s="123">
        <f>IFERROR(up_res!AS24*s_DAF,".")</f>
        <v>1.2600867339093713E-10</v>
      </c>
      <c r="E24" s="123">
        <f t="shared" si="0"/>
        <v>0.12742745674384981</v>
      </c>
      <c r="F24" s="123">
        <f t="shared" si="0"/>
        <v>4.4103035686827994E-13</v>
      </c>
    </row>
    <row r="25" spans="1:6" x14ac:dyDescent="0.25">
      <c r="A25" s="46" t="s">
        <v>35</v>
      </c>
      <c r="B25" s="42" t="s">
        <v>351</v>
      </c>
      <c r="C25" s="123">
        <f>IF(up_RadSpec!AV25*s_DAF=0,".",up_RadSpec!AV25*s_DAF)</f>
        <v>36.407844783957088</v>
      </c>
      <c r="D25" s="123">
        <f>IFERROR(up_res!AS25*s_DAF,".")</f>
        <v>1.2502268653831008E-10</v>
      </c>
      <c r="E25" s="123">
        <f t="shared" si="0"/>
        <v>0.12742745674384981</v>
      </c>
      <c r="F25" s="123">
        <f t="shared" si="0"/>
        <v>4.3757940288408526E-13</v>
      </c>
    </row>
    <row r="26" spans="1:6" x14ac:dyDescent="0.25">
      <c r="A26" s="44" t="s">
        <v>36</v>
      </c>
      <c r="B26" s="42" t="s">
        <v>1074</v>
      </c>
      <c r="C26" s="123">
        <f>IF(up_RadSpec!AV26*s_DAF=0,".",up_RadSpec!AV26*s_DAF)</f>
        <v>36.407844783957088</v>
      </c>
      <c r="D26" s="123">
        <f>IFERROR(up_res!AS26*s_DAF,".")</f>
        <v>1.2600867339093713E-10</v>
      </c>
      <c r="E26" s="123">
        <f t="shared" si="0"/>
        <v>0.12742745674384981</v>
      </c>
      <c r="F26" s="123">
        <f t="shared" si="0"/>
        <v>4.4103035686827994E-13</v>
      </c>
    </row>
    <row r="27" spans="1:6" x14ac:dyDescent="0.25">
      <c r="A27" s="44" t="s">
        <v>37</v>
      </c>
      <c r="B27" s="42" t="s">
        <v>1074</v>
      </c>
      <c r="C27" s="123">
        <f>IF(up_RadSpec!AV27*s_DAF=0,".",up_RadSpec!AV27*s_DAF)</f>
        <v>36.407844783957088</v>
      </c>
      <c r="D27" s="123">
        <f>IFERROR(up_res!AS27*s_DAF,".")</f>
        <v>1.2600867339093713E-10</v>
      </c>
      <c r="E27" s="123">
        <f t="shared" si="0"/>
        <v>0.12742745674384981</v>
      </c>
      <c r="F27" s="123">
        <f t="shared" si="0"/>
        <v>4.4103035686827994E-13</v>
      </c>
    </row>
    <row r="28" spans="1:6" x14ac:dyDescent="0.25">
      <c r="A28" s="44" t="s">
        <v>38</v>
      </c>
      <c r="B28" s="42" t="s">
        <v>1074</v>
      </c>
      <c r="C28" s="123">
        <f>IF(up_RadSpec!AV28*s_DAF=0,".",up_RadSpec!AV28*s_DAF)</f>
        <v>36.407844783957088</v>
      </c>
      <c r="D28" s="123">
        <f>IFERROR(up_res!AS28*s_DAF,".")</f>
        <v>1.2600867339093713E-10</v>
      </c>
      <c r="E28" s="123">
        <f t="shared" si="0"/>
        <v>0.12742745674384981</v>
      </c>
      <c r="F28" s="123">
        <f t="shared" si="0"/>
        <v>4.4103035686827994E-13</v>
      </c>
    </row>
    <row r="29" spans="1:6" x14ac:dyDescent="0.25">
      <c r="A29" s="44" t="s">
        <v>39</v>
      </c>
      <c r="B29" s="42" t="s">
        <v>1074</v>
      </c>
      <c r="C29" s="123">
        <f>IF(up_RadSpec!AV29*s_DAF=0,".",up_RadSpec!AV29*s_DAF)</f>
        <v>36.407844783957088</v>
      </c>
      <c r="D29" s="123">
        <f>IFERROR(up_res!AS29*s_DAF,".")</f>
        <v>1.2600867339093713E-10</v>
      </c>
      <c r="E29" s="123">
        <f t="shared" si="0"/>
        <v>0.12742745674384981</v>
      </c>
      <c r="F29" s="123">
        <f t="shared" si="0"/>
        <v>4.4103035686827994E-13</v>
      </c>
    </row>
    <row r="30" spans="1:6" x14ac:dyDescent="0.25">
      <c r="A30" s="44" t="s">
        <v>40</v>
      </c>
      <c r="B30" s="42" t="s">
        <v>1074</v>
      </c>
      <c r="C30" s="123">
        <f>IF(up_RadSpec!AV30*s_DAF=0,".",up_RadSpec!AV30*s_DAF)</f>
        <v>36.407844783957088</v>
      </c>
      <c r="D30" s="123">
        <f>IFERROR(up_res!AS30*s_DAF,".")</f>
        <v>1.2600867339093713E-10</v>
      </c>
      <c r="E30" s="123">
        <f t="shared" si="0"/>
        <v>0.12742745674384981</v>
      </c>
      <c r="F30" s="123">
        <f t="shared" si="0"/>
        <v>4.4103035686827994E-13</v>
      </c>
    </row>
    <row r="31" spans="1:6" x14ac:dyDescent="0.25">
      <c r="A31" s="82" t="s">
        <v>13</v>
      </c>
      <c r="B31" s="82" t="s">
        <v>1074</v>
      </c>
      <c r="C31" s="58">
        <f>1/SUM(1/C32,1/C33,1/C34,1/C35,1/C36,1/C38,1/C39,1/C40,1/C41,1/C42)</f>
        <v>3.6484964849219148</v>
      </c>
      <c r="D31" s="58">
        <f>1/SUM(1/D32,1/D33,1/D34,1/D35,1/D36,1/D37,1/D38,1/D39,1/D40,1/D41,1/D42,1/D43,1/D44)</f>
        <v>1.0501037813712503E-11</v>
      </c>
      <c r="E31" s="58">
        <f>1/SUM(1/E32,1/E33,1/E34,1/E35,1/E36,1/E38,1/E39,1/E40,1/E41,1/E42)</f>
        <v>1.2769737697226703E-2</v>
      </c>
      <c r="F31" s="58">
        <f>1/SUM(1/F32,1/F33,1/F34,1/F35,1/F36,1/F37,1/F38,1/F39,1/F40,1/F41,1/F42,1/F43,1/F44)</f>
        <v>3.6753632347993768E-14</v>
      </c>
    </row>
    <row r="32" spans="1:6" x14ac:dyDescent="0.25">
      <c r="A32" s="83" t="s">
        <v>1102</v>
      </c>
      <c r="B32" s="42">
        <v>1</v>
      </c>
      <c r="C32" s="60">
        <f>IFERROR(C3/$B32,0)</f>
        <v>36.407844783957088</v>
      </c>
      <c r="D32" s="60">
        <f>IFERROR(D3/$B32,0)</f>
        <v>1.2600867339093713E-10</v>
      </c>
      <c r="E32" s="124">
        <f>IFERROR((C32*s_ls2gw*s_ED_s2gw)/(s_ρb*s_d_s*1000),".")</f>
        <v>0.12742745674384981</v>
      </c>
      <c r="F32" s="124">
        <f>IFERROR((D32*s_ls2gw*s_ED_s2gw)/(s_ρb*s_d_s*1000),".")</f>
        <v>4.4103035686827994E-13</v>
      </c>
    </row>
    <row r="33" spans="1:6" x14ac:dyDescent="0.25">
      <c r="A33" s="83" t="s">
        <v>1078</v>
      </c>
      <c r="B33" s="42">
        <v>1</v>
      </c>
      <c r="C33" s="60">
        <f>IFERROR(C13/$B33,0)</f>
        <v>36.407844783957088</v>
      </c>
      <c r="D33" s="60">
        <f>IFERROR(D13/$B33,0)</f>
        <v>1.2600867339093713E-10</v>
      </c>
      <c r="E33" s="124">
        <f t="shared" ref="E33:F44" si="1">IFERROR((C33*s_ls2gw*s_ED_s2gw)/(s_ρb*s_d_s*1000),".")</f>
        <v>0.12742745674384981</v>
      </c>
      <c r="F33" s="124">
        <f t="shared" si="1"/>
        <v>4.4103035686827994E-13</v>
      </c>
    </row>
    <row r="34" spans="1:6" x14ac:dyDescent="0.25">
      <c r="A34" s="83" t="s">
        <v>1079</v>
      </c>
      <c r="B34" s="42">
        <v>1</v>
      </c>
      <c r="C34" s="60">
        <f>IFERROR(C14/$B34,0)</f>
        <v>36.407844783957088</v>
      </c>
      <c r="D34" s="60">
        <f>IFERROR(D14/$B34,0)</f>
        <v>1.2600867339093713E-10</v>
      </c>
      <c r="E34" s="124">
        <f t="shared" si="1"/>
        <v>0.12742745674384981</v>
      </c>
      <c r="F34" s="124">
        <f t="shared" si="1"/>
        <v>4.4103035686827994E-13</v>
      </c>
    </row>
    <row r="35" spans="1:6" x14ac:dyDescent="0.25">
      <c r="A35" s="83" t="s">
        <v>1080</v>
      </c>
      <c r="B35" s="42">
        <v>1</v>
      </c>
      <c r="C35" s="60">
        <f>IFERROR(C30/$B35,0)</f>
        <v>36.407844783957088</v>
      </c>
      <c r="D35" s="60">
        <f>IFERROR(D30/$B35,0)</f>
        <v>1.2600867339093713E-10</v>
      </c>
      <c r="E35" s="124">
        <f t="shared" si="1"/>
        <v>0.12742745674384981</v>
      </c>
      <c r="F35" s="124">
        <f t="shared" si="1"/>
        <v>4.4103035686827994E-13</v>
      </c>
    </row>
    <row r="36" spans="1:6" x14ac:dyDescent="0.25">
      <c r="A36" s="83" t="s">
        <v>1081</v>
      </c>
      <c r="B36" s="42">
        <v>1</v>
      </c>
      <c r="C36" s="60">
        <f>IFERROR(C26/$B36,0)</f>
        <v>36.407844783957088</v>
      </c>
      <c r="D36" s="60">
        <f>IFERROR(D26/$B36,0)</f>
        <v>1.2600867339093713E-10</v>
      </c>
      <c r="E36" s="124">
        <f t="shared" si="1"/>
        <v>0.12742745674384981</v>
      </c>
      <c r="F36" s="124">
        <f t="shared" si="1"/>
        <v>4.4103035686827994E-13</v>
      </c>
    </row>
    <row r="37" spans="1:6" x14ac:dyDescent="0.25">
      <c r="A37" s="83" t="s">
        <v>1082</v>
      </c>
      <c r="B37" s="42">
        <v>1</v>
      </c>
      <c r="C37" s="60">
        <f>IFERROR(C22/$B37,0)</f>
        <v>36.407844783957088</v>
      </c>
      <c r="D37" s="60">
        <f>IFERROR(D22/$B37,0)</f>
        <v>1.2600867339093713E-10</v>
      </c>
      <c r="E37" s="124">
        <f t="shared" si="1"/>
        <v>0.12742745674384981</v>
      </c>
      <c r="F37" s="124">
        <f t="shared" si="1"/>
        <v>4.4103035686827994E-13</v>
      </c>
    </row>
    <row r="38" spans="1:6" x14ac:dyDescent="0.25">
      <c r="A38" s="83" t="s">
        <v>1083</v>
      </c>
      <c r="B38" s="42">
        <v>1</v>
      </c>
      <c r="C38" s="60">
        <f>IFERROR(C2/$B38,0)</f>
        <v>36.407844783957088</v>
      </c>
      <c r="D38" s="60">
        <f>IFERROR(D2/$B38,0)</f>
        <v>1.2600867339093713E-10</v>
      </c>
      <c r="E38" s="124">
        <f t="shared" si="1"/>
        <v>0.12742745674384981</v>
      </c>
      <c r="F38" s="124">
        <f t="shared" si="1"/>
        <v>4.4103035686827994E-13</v>
      </c>
    </row>
    <row r="39" spans="1:6" x14ac:dyDescent="0.25">
      <c r="A39" s="83" t="s">
        <v>1084</v>
      </c>
      <c r="B39" s="42">
        <v>1</v>
      </c>
      <c r="C39" s="60">
        <f>IFERROR(C11/$B39,0)</f>
        <v>36.407844783957088</v>
      </c>
      <c r="D39" s="60">
        <f>IFERROR(D11/$B39,0)</f>
        <v>1.2600867339093713E-10</v>
      </c>
      <c r="E39" s="124">
        <f t="shared" si="1"/>
        <v>0.12742745674384981</v>
      </c>
      <c r="F39" s="124">
        <f t="shared" si="1"/>
        <v>4.4103035686827994E-13</v>
      </c>
    </row>
    <row r="40" spans="1:6" x14ac:dyDescent="0.25">
      <c r="A40" s="83" t="s">
        <v>1085</v>
      </c>
      <c r="B40" s="42">
        <v>1</v>
      </c>
      <c r="C40" s="60">
        <f>IFERROR(C4/$B40,0)</f>
        <v>36.407844783957088</v>
      </c>
      <c r="D40" s="60">
        <f>IFERROR(D4/$B40,0)</f>
        <v>1.2600867339093713E-10</v>
      </c>
      <c r="E40" s="124">
        <f t="shared" si="1"/>
        <v>0.12742745674384981</v>
      </c>
      <c r="F40" s="124">
        <f t="shared" si="1"/>
        <v>4.4103035686827994E-13</v>
      </c>
    </row>
    <row r="41" spans="1:6" x14ac:dyDescent="0.25">
      <c r="A41" s="83" t="s">
        <v>1086</v>
      </c>
      <c r="B41" s="84">
        <v>0.99987999999999999</v>
      </c>
      <c r="C41" s="60">
        <f>IFERROR(C8/$B41,0)</f>
        <v>36.412214249667052</v>
      </c>
      <c r="D41" s="60">
        <f>IFERROR(D8/$B41,0)</f>
        <v>1.2602379624648671E-10</v>
      </c>
      <c r="E41" s="124">
        <f t="shared" si="1"/>
        <v>0.12744274987383469</v>
      </c>
      <c r="F41" s="124">
        <f t="shared" si="1"/>
        <v>4.4108328686270349E-13</v>
      </c>
    </row>
    <row r="42" spans="1:6" x14ac:dyDescent="0.25">
      <c r="A42" s="83" t="s">
        <v>1087</v>
      </c>
      <c r="B42" s="42">
        <v>0.97898250799999997</v>
      </c>
      <c r="C42" s="60">
        <f>IFERROR(C19/$B42,0)</f>
        <v>37.189474261737359</v>
      </c>
      <c r="D42" s="60">
        <f>IFERROR(D19/$B42,0)</f>
        <v>1.2871391711417292E-10</v>
      </c>
      <c r="E42" s="124">
        <f t="shared" si="1"/>
        <v>0.13016315991608077</v>
      </c>
      <c r="F42" s="124">
        <f t="shared" si="1"/>
        <v>4.5049870989960524E-13</v>
      </c>
    </row>
    <row r="43" spans="1:6" x14ac:dyDescent="0.25">
      <c r="A43" s="83" t="s">
        <v>1088</v>
      </c>
      <c r="B43" s="42">
        <v>2.0897492E-2</v>
      </c>
      <c r="C43" s="60">
        <f>IFERROR(C28/$B43,0)</f>
        <v>1742.2112081180405</v>
      </c>
      <c r="D43" s="60">
        <f>IFERROR(D28/$B43,0)</f>
        <v>6.0298467103582154E-9</v>
      </c>
      <c r="E43" s="124">
        <f t="shared" si="1"/>
        <v>6.0977392284131415</v>
      </c>
      <c r="F43" s="124">
        <f t="shared" si="1"/>
        <v>2.1104463486253753E-11</v>
      </c>
    </row>
    <row r="44" spans="1:6" x14ac:dyDescent="0.25">
      <c r="A44" s="83" t="s">
        <v>1089</v>
      </c>
      <c r="B44" s="42">
        <v>0.99987999999999999</v>
      </c>
      <c r="C44" s="60">
        <f>IFERROR(C15/$B44,0)</f>
        <v>36.412214249667052</v>
      </c>
      <c r="D44" s="60">
        <f>IFERROR(D15/$B44,0)</f>
        <v>1.2602379624648671E-10</v>
      </c>
      <c r="E44" s="124">
        <f t="shared" si="1"/>
        <v>0.12744274987383469</v>
      </c>
      <c r="F44" s="124">
        <f t="shared" si="1"/>
        <v>4.4108328686270349E-13</v>
      </c>
    </row>
    <row r="45" spans="1:6" x14ac:dyDescent="0.25">
      <c r="A45" s="82" t="s">
        <v>20</v>
      </c>
      <c r="B45" s="82" t="s">
        <v>1074</v>
      </c>
      <c r="C45" s="58">
        <f t="shared" ref="C45:E45" si="2">IFERROR(IF(AND(C46&lt;&gt;0,C47&lt;&gt;0),1/SUM(1/C46,1/C47),IF(AND(C46&lt;&gt;0,C47=0),1/(1/C46),IF(AND(C46=0,C47&lt;&gt;0),1/(1/C47),IF(AND(C46=0,C47=0),".")))),".")</f>
        <v>18.728411557650546</v>
      </c>
      <c r="D45" s="58">
        <f t="shared" si="2"/>
        <v>6.4819609869874392E-11</v>
      </c>
      <c r="E45" s="125">
        <f t="shared" si="2"/>
        <v>6.5549440451776908E-2</v>
      </c>
      <c r="F45" s="125">
        <f>IFERROR(IF(AND(F46&lt;&gt;0,F47&lt;&gt;0),1/SUM(1/F46,1/F47),IF(AND(F46&lt;&gt;0,F47=0),1/(1/F46),IF(AND(F46=0,F47&lt;&gt;0),1/(1/F47),IF(AND(F46=0,F47=0),".")))),".")</f>
        <v>2.2686863454456038E-13</v>
      </c>
    </row>
    <row r="46" spans="1:6" x14ac:dyDescent="0.25">
      <c r="A46" s="83" t="s">
        <v>1101</v>
      </c>
      <c r="B46" s="42">
        <v>1</v>
      </c>
      <c r="C46" s="60">
        <f>IFERROR(C10/$B46,0)</f>
        <v>36.407844783957088</v>
      </c>
      <c r="D46" s="60">
        <f>IFERROR(D10/$B46,0)</f>
        <v>1.2600867339093713E-10</v>
      </c>
      <c r="E46" s="124">
        <f>IFERROR((C46*s_ls2gw*s_ED_s2gw)/(s_ρb*s_d_s*1000),".")</f>
        <v>0.12742745674384981</v>
      </c>
      <c r="F46" s="124">
        <f>IFERROR((D46*s_ls2gw*s_ED_s2gw)/(s_ρb*s_d_s*1000),".")</f>
        <v>4.4103035686827994E-13</v>
      </c>
    </row>
    <row r="47" spans="1:6" x14ac:dyDescent="0.25">
      <c r="A47" s="83" t="s">
        <v>1075</v>
      </c>
      <c r="B47" s="85">
        <v>0.94399</v>
      </c>
      <c r="C47" s="60">
        <f>IFERROR(C6/$B$47,0)</f>
        <v>38.568040746148888</v>
      </c>
      <c r="D47" s="60">
        <f>IFERROR(D6/$B$47,0)</f>
        <v>1.3348517822321967E-10</v>
      </c>
      <c r="E47" s="124">
        <f>IFERROR((C47*s_ls2gw*s_ED_s2gw)/(s_ρb*s_d_s*1000),".")</f>
        <v>0.13498814261152112</v>
      </c>
      <c r="F47" s="124">
        <f>IFERROR((D47*s_ls2gw*s_ED_s2gw)/(s_ρb*s_d_s*1000),".")</f>
        <v>4.6719812378126882E-13</v>
      </c>
    </row>
    <row r="48" spans="1:6" x14ac:dyDescent="0.25">
      <c r="A48" s="82" t="s">
        <v>33</v>
      </c>
      <c r="B48" s="82" t="s">
        <v>1074</v>
      </c>
      <c r="C48" s="58">
        <f>1/SUM(1/C49,1/C51,1/C53,1/C54,1/C56,1/C59,1/C61)</f>
        <v>6.0679844461905974</v>
      </c>
      <c r="D48" s="58">
        <f>1/SUM(1/D49,1/D50,1/D51,1/D52,1/D53,1/D54,1/D55,1/D56,1/D57,1/D58,1/D59,1/D60,1/D61,1/D62)</f>
        <v>1.3976467179408395E-11</v>
      </c>
      <c r="E48" s="58">
        <f>1/SUM(1/E49,1/E51,1/E53,1/E54,1/E56,1/E59,1/E61)</f>
        <v>2.1237945561667089E-2</v>
      </c>
      <c r="F48" s="58">
        <f>1/SUM(1/F49,1/F50,1/F51,1/F52,1/F53,1/F54,1/F55,1/F56,1/F57,1/F58,1/F59,1/F60,1/F61,1/F62)</f>
        <v>4.8917635127929388E-14</v>
      </c>
    </row>
    <row r="49" spans="1:6" x14ac:dyDescent="0.25">
      <c r="A49" s="83" t="s">
        <v>1103</v>
      </c>
      <c r="B49" s="42">
        <v>1</v>
      </c>
      <c r="C49" s="60">
        <f>IFERROR(C23/$B49,0)</f>
        <v>36.407844783957088</v>
      </c>
      <c r="D49" s="60">
        <f>IFERROR(D23/$B49,0)</f>
        <v>1.2502268653831008E-10</v>
      </c>
      <c r="E49" s="124">
        <f t="shared" ref="E49:F62" si="3">IFERROR((C49*s_ls2gw*s_ED_s2gw)/(s_ρb*s_d_s*1000),".")</f>
        <v>0.12742745674384981</v>
      </c>
      <c r="F49" s="124">
        <f t="shared" si="3"/>
        <v>4.3757940288408526E-13</v>
      </c>
    </row>
    <row r="50" spans="1:6" x14ac:dyDescent="0.25">
      <c r="A50" s="83" t="s">
        <v>1090</v>
      </c>
      <c r="B50" s="42">
        <v>1</v>
      </c>
      <c r="C50" s="60">
        <f>IFERROR(C25/$B50,0)</f>
        <v>36.407844783957088</v>
      </c>
      <c r="D50" s="60">
        <f>IFERROR(D25/$B50,0)</f>
        <v>1.2502268653831008E-10</v>
      </c>
      <c r="E50" s="124">
        <f t="shared" si="3"/>
        <v>0.12742745674384981</v>
      </c>
      <c r="F50" s="124">
        <f t="shared" si="3"/>
        <v>4.3757940288408526E-13</v>
      </c>
    </row>
    <row r="51" spans="1:6" x14ac:dyDescent="0.25">
      <c r="A51" s="83" t="s">
        <v>1076</v>
      </c>
      <c r="B51" s="42">
        <v>1</v>
      </c>
      <c r="C51" s="60">
        <f>IFERROR(C21/$B51,0)</f>
        <v>36.407844783957088</v>
      </c>
      <c r="D51" s="60">
        <f>IFERROR(D21/$B51,0)</f>
        <v>1.2600867339093713E-10</v>
      </c>
      <c r="E51" s="124">
        <f t="shared" si="3"/>
        <v>0.12742745674384981</v>
      </c>
      <c r="F51" s="124">
        <f t="shared" si="3"/>
        <v>4.4103035686827994E-13</v>
      </c>
    </row>
    <row r="52" spans="1:6" x14ac:dyDescent="0.25">
      <c r="A52" s="83" t="s">
        <v>1077</v>
      </c>
      <c r="B52" s="85">
        <v>0.99980000000000002</v>
      </c>
      <c r="C52" s="60">
        <f>IFERROR(C17/$B52,0)</f>
        <v>36.415127809518992</v>
      </c>
      <c r="D52" s="60">
        <f>IFERROR(D17/$B52,0)</f>
        <v>1.2603388016697051E-10</v>
      </c>
      <c r="E52" s="124">
        <f t="shared" si="3"/>
        <v>0.12745294733331647</v>
      </c>
      <c r="F52" s="124">
        <f t="shared" si="3"/>
        <v>4.4111858058439676E-13</v>
      </c>
    </row>
    <row r="53" spans="1:6" x14ac:dyDescent="0.25">
      <c r="A53" s="83" t="s">
        <v>1091</v>
      </c>
      <c r="B53" s="42">
        <v>2.0000000000000001E-4</v>
      </c>
      <c r="C53" s="60">
        <f>IFERROR(C5/$B53,0)</f>
        <v>182039.22391978544</v>
      </c>
      <c r="D53" s="60">
        <f>IFERROR(D5/$B53,0)</f>
        <v>6.3004336695468562E-7</v>
      </c>
      <c r="E53" s="124">
        <f t="shared" si="3"/>
        <v>637.13728371924913</v>
      </c>
      <c r="F53" s="124">
        <f t="shared" si="3"/>
        <v>2.2051517843413996E-9</v>
      </c>
    </row>
    <row r="54" spans="1:6" x14ac:dyDescent="0.25">
      <c r="A54" s="83" t="s">
        <v>1092</v>
      </c>
      <c r="B54" s="42">
        <v>0.99999979999999999</v>
      </c>
      <c r="C54" s="60">
        <f>IFERROR(C9/$B54,0)</f>
        <v>36.4078520655275</v>
      </c>
      <c r="D54" s="60">
        <f>IFERROR(D9/$B54,0)</f>
        <v>1.2600869859267685E-10</v>
      </c>
      <c r="E54" s="124">
        <f t="shared" si="3"/>
        <v>0.12742748222934625</v>
      </c>
      <c r="F54" s="124">
        <f t="shared" si="3"/>
        <v>4.4103044507436896E-13</v>
      </c>
    </row>
    <row r="55" spans="1:6" x14ac:dyDescent="0.25">
      <c r="A55" s="83" t="s">
        <v>1093</v>
      </c>
      <c r="B55" s="42">
        <v>1.9999999999999999E-7</v>
      </c>
      <c r="C55" s="60">
        <f>IFERROR(C24/$B55,0)</f>
        <v>182039223.91978544</v>
      </c>
      <c r="D55" s="60">
        <f>IFERROR(D24/$B55,0)</f>
        <v>6.3004336695468566E-4</v>
      </c>
      <c r="E55" s="124">
        <f t="shared" si="3"/>
        <v>637137.28371924907</v>
      </c>
      <c r="F55" s="124">
        <f t="shared" si="3"/>
        <v>2.2051517843413997E-6</v>
      </c>
    </row>
    <row r="56" spans="1:6" x14ac:dyDescent="0.25">
      <c r="A56" s="83" t="s">
        <v>1094</v>
      </c>
      <c r="B56" s="42">
        <v>0.99979000004200003</v>
      </c>
      <c r="C56" s="60">
        <f>IFERROR(C20/$B56,0)</f>
        <v>36.415492035755143</v>
      </c>
      <c r="D56" s="60">
        <f>IFERROR(D20/$B56,0)</f>
        <v>1.2603514076520434E-10</v>
      </c>
      <c r="E56" s="124">
        <f t="shared" si="3"/>
        <v>0.12745422212514299</v>
      </c>
      <c r="F56" s="124">
        <f t="shared" si="3"/>
        <v>4.4112299267821516E-13</v>
      </c>
    </row>
    <row r="57" spans="1:6" x14ac:dyDescent="0.25">
      <c r="A57" s="83" t="s">
        <v>1095</v>
      </c>
      <c r="B57" s="42">
        <v>2.0999995799999999E-4</v>
      </c>
      <c r="C57" s="60">
        <f>IFERROR(C29/$B57,0)</f>
        <v>173370.72412155953</v>
      </c>
      <c r="D57" s="60">
        <f>IFERROR(D29/$B57,0)</f>
        <v>6.000414218698898E-7</v>
      </c>
      <c r="E57" s="124">
        <f t="shared" si="3"/>
        <v>606.79753442545837</v>
      </c>
      <c r="F57" s="124">
        <f t="shared" si="3"/>
        <v>2.1001449765446143E-9</v>
      </c>
    </row>
    <row r="58" spans="1:6" x14ac:dyDescent="0.25">
      <c r="A58" s="83" t="s">
        <v>1096</v>
      </c>
      <c r="B58" s="42">
        <v>1</v>
      </c>
      <c r="C58" s="60">
        <f>IFERROR(C16/$B58,0)</f>
        <v>36.407844783957088</v>
      </c>
      <c r="D58" s="60">
        <f>IFERROR(D16/$B58,0)</f>
        <v>1.2600867339093713E-10</v>
      </c>
      <c r="E58" s="124">
        <f t="shared" si="3"/>
        <v>0.12742745674384981</v>
      </c>
      <c r="F58" s="124">
        <f t="shared" si="3"/>
        <v>4.4103035686827994E-13</v>
      </c>
    </row>
    <row r="59" spans="1:6" x14ac:dyDescent="0.25">
      <c r="A59" s="83" t="s">
        <v>1097</v>
      </c>
      <c r="B59" s="42">
        <v>1</v>
      </c>
      <c r="C59" s="60">
        <f>IFERROR(C7/$B59,0)</f>
        <v>36.407844783957088</v>
      </c>
      <c r="D59" s="60">
        <f>IFERROR(D7/$B59,0)</f>
        <v>1.2600867339093713E-10</v>
      </c>
      <c r="E59" s="124">
        <f t="shared" si="3"/>
        <v>0.12742745674384981</v>
      </c>
      <c r="F59" s="124">
        <f t="shared" si="3"/>
        <v>4.4103035686827994E-13</v>
      </c>
    </row>
    <row r="60" spans="1:6" x14ac:dyDescent="0.25">
      <c r="A60" s="83" t="s">
        <v>1098</v>
      </c>
      <c r="B60" s="86">
        <v>1.9000000000000001E-8</v>
      </c>
      <c r="C60" s="60">
        <f>IFERROR(C12/$B60,0)</f>
        <v>1916202357.0503728</v>
      </c>
      <c r="D60" s="60">
        <f>IFERROR(D12/$B60,0)</f>
        <v>6.6320354416282692E-3</v>
      </c>
      <c r="E60" s="124">
        <f t="shared" si="3"/>
        <v>6706708.2496763049</v>
      </c>
      <c r="F60" s="124">
        <f t="shared" si="3"/>
        <v>2.3212124045698942E-5</v>
      </c>
    </row>
    <row r="61" spans="1:6" x14ac:dyDescent="0.25">
      <c r="A61" s="83" t="s">
        <v>1099</v>
      </c>
      <c r="B61" s="42">
        <v>1</v>
      </c>
      <c r="C61" s="60">
        <f>IFERROR(C18/$B61,0)</f>
        <v>36.407844783957088</v>
      </c>
      <c r="D61" s="60">
        <f>IFERROR(D18/$B61,0)</f>
        <v>1.2600867339093713E-10</v>
      </c>
      <c r="E61" s="124">
        <f t="shared" si="3"/>
        <v>0.12742745674384981</v>
      </c>
      <c r="F61" s="124">
        <f t="shared" si="3"/>
        <v>4.4103035686827994E-13</v>
      </c>
    </row>
    <row r="62" spans="1:6" x14ac:dyDescent="0.25">
      <c r="A62" s="83" t="s">
        <v>1100</v>
      </c>
      <c r="B62" s="42">
        <v>1.339E-6</v>
      </c>
      <c r="C62" s="60">
        <f>IFERROR(C27/$B62,0)</f>
        <v>27190324.707958989</v>
      </c>
      <c r="D62" s="60">
        <f>IFERROR(D27/$B62,0)</f>
        <v>9.4106552196368285E-5</v>
      </c>
      <c r="E62" s="124">
        <f t="shared" si="3"/>
        <v>95166.13647785646</v>
      </c>
      <c r="F62" s="124">
        <f t="shared" si="3"/>
        <v>3.2937293268728898E-7</v>
      </c>
    </row>
    <row r="63" spans="1:6" x14ac:dyDescent="0.25">
      <c r="A63" s="82" t="s">
        <v>35</v>
      </c>
      <c r="B63" s="82" t="s">
        <v>1074</v>
      </c>
      <c r="C63" s="58">
        <f>1/SUM(1/C65,1/C67,1/C68,1/C70,1/C73,1/C75)</f>
        <v>7.2815838111612274</v>
      </c>
      <c r="D63" s="58">
        <f>1/SUM(1/D64,1/D65,1/D66,1/D67,1/D68,1/D69,1/D70,1/D71,1/D72,1/D73,1/D74,1/D75,1/D76)</f>
        <v>1.5735569253705361E-11</v>
      </c>
      <c r="E63" s="58">
        <f>1/SUM(1/E65,1/E67,1/E68,1/E70,1/E73,1/E75)</f>
        <v>2.5485543339064293E-2</v>
      </c>
      <c r="F63" s="58">
        <f>1/SUM(1/F64,1/F65,1/F66,1/F67,1/F68,1/F69,1/F70,1/F71,1/F72,1/F73,1/F74,1/F75,1/F76)</f>
        <v>5.5074492387968771E-14</v>
      </c>
    </row>
    <row r="64" spans="1:6" x14ac:dyDescent="0.25">
      <c r="A64" s="83" t="s">
        <v>1090</v>
      </c>
      <c r="B64" s="42">
        <v>1</v>
      </c>
      <c r="C64" s="60">
        <f>IFERROR(C25/$B50,0)</f>
        <v>36.407844783957088</v>
      </c>
      <c r="D64" s="60">
        <f>IFERROR(D25/$B50,0)</f>
        <v>1.2502268653831008E-10</v>
      </c>
      <c r="E64" s="124">
        <f t="shared" ref="E64:F76" si="4">IFERROR((C64*s_ls2gw*s_ED_s2gw)/(s_ρb*s_d_s*1000),".")</f>
        <v>0.12742745674384981</v>
      </c>
      <c r="F64" s="124">
        <f t="shared" si="4"/>
        <v>4.3757940288408526E-13</v>
      </c>
    </row>
    <row r="65" spans="1:6" x14ac:dyDescent="0.25">
      <c r="A65" s="83" t="s">
        <v>1076</v>
      </c>
      <c r="B65" s="42">
        <v>1</v>
      </c>
      <c r="C65" s="60">
        <f>IFERROR(C21/$B51,0)</f>
        <v>36.407844783957088</v>
      </c>
      <c r="D65" s="60">
        <f>IFERROR(D21/$B51,0)</f>
        <v>1.2600867339093713E-10</v>
      </c>
      <c r="E65" s="124">
        <f t="shared" si="4"/>
        <v>0.12742745674384981</v>
      </c>
      <c r="F65" s="124">
        <f t="shared" si="4"/>
        <v>4.4103035686827994E-13</v>
      </c>
    </row>
    <row r="66" spans="1:6" x14ac:dyDescent="0.25">
      <c r="A66" s="83" t="s">
        <v>1077</v>
      </c>
      <c r="B66" s="85">
        <v>0.99980000000000002</v>
      </c>
      <c r="C66" s="60">
        <f>IFERROR(C17/$B52,0)</f>
        <v>36.415127809518992</v>
      </c>
      <c r="D66" s="60">
        <f>IFERROR(D17/$B52,0)</f>
        <v>1.2603388016697051E-10</v>
      </c>
      <c r="E66" s="124">
        <f t="shared" si="4"/>
        <v>0.12745294733331647</v>
      </c>
      <c r="F66" s="124">
        <f t="shared" si="4"/>
        <v>4.4111858058439676E-13</v>
      </c>
    </row>
    <row r="67" spans="1:6" x14ac:dyDescent="0.25">
      <c r="A67" s="83" t="s">
        <v>1091</v>
      </c>
      <c r="B67" s="42">
        <v>2.0000000000000001E-4</v>
      </c>
      <c r="C67" s="60">
        <f>IFERROR(C5/$B53,0)</f>
        <v>182039.22391978544</v>
      </c>
      <c r="D67" s="60">
        <f>IFERROR(D5/$B53,0)</f>
        <v>6.3004336695468562E-7</v>
      </c>
      <c r="E67" s="124">
        <f t="shared" si="4"/>
        <v>637.13728371924913</v>
      </c>
      <c r="F67" s="124">
        <f t="shared" si="4"/>
        <v>2.2051517843413996E-9</v>
      </c>
    </row>
    <row r="68" spans="1:6" x14ac:dyDescent="0.25">
      <c r="A68" s="83" t="s">
        <v>1092</v>
      </c>
      <c r="B68" s="42">
        <v>0.99999979999999999</v>
      </c>
      <c r="C68" s="60">
        <f>IFERROR(C9/$B54,0)</f>
        <v>36.4078520655275</v>
      </c>
      <c r="D68" s="60">
        <f>IFERROR(D9/$B54,0)</f>
        <v>1.2600869859267685E-10</v>
      </c>
      <c r="E68" s="124">
        <f t="shared" si="4"/>
        <v>0.12742748222934625</v>
      </c>
      <c r="F68" s="124">
        <f t="shared" si="4"/>
        <v>4.4103044507436896E-13</v>
      </c>
    </row>
    <row r="69" spans="1:6" x14ac:dyDescent="0.25">
      <c r="A69" s="83" t="s">
        <v>1093</v>
      </c>
      <c r="B69" s="42">
        <v>1.9999999999999999E-7</v>
      </c>
      <c r="C69" s="60">
        <f>IFERROR(C24/$B55,0)</f>
        <v>182039223.91978544</v>
      </c>
      <c r="D69" s="60">
        <f>IFERROR(D24/$B55,0)</f>
        <v>6.3004336695468566E-4</v>
      </c>
      <c r="E69" s="124">
        <f t="shared" si="4"/>
        <v>637137.28371924907</v>
      </c>
      <c r="F69" s="124">
        <f t="shared" si="4"/>
        <v>2.2051517843413997E-6</v>
      </c>
    </row>
    <row r="70" spans="1:6" x14ac:dyDescent="0.25">
      <c r="A70" s="83" t="s">
        <v>1094</v>
      </c>
      <c r="B70" s="42">
        <v>0.99979000004200003</v>
      </c>
      <c r="C70" s="60">
        <f>IFERROR(C20/$B56,0)</f>
        <v>36.415492035755143</v>
      </c>
      <c r="D70" s="60">
        <f>IFERROR(D20/$B56,0)</f>
        <v>1.2603514076520434E-10</v>
      </c>
      <c r="E70" s="124">
        <f t="shared" si="4"/>
        <v>0.12745422212514299</v>
      </c>
      <c r="F70" s="124">
        <f t="shared" si="4"/>
        <v>4.4112299267821516E-13</v>
      </c>
    </row>
    <row r="71" spans="1:6" x14ac:dyDescent="0.25">
      <c r="A71" s="83" t="s">
        <v>1095</v>
      </c>
      <c r="B71" s="42">
        <v>2.0999995799999999E-4</v>
      </c>
      <c r="C71" s="60">
        <f>IFERROR(C29/$B57,0)</f>
        <v>173370.72412155953</v>
      </c>
      <c r="D71" s="60">
        <f>IFERROR(D29/$B57,0)</f>
        <v>6.000414218698898E-7</v>
      </c>
      <c r="E71" s="124">
        <f t="shared" si="4"/>
        <v>606.79753442545837</v>
      </c>
      <c r="F71" s="124">
        <f t="shared" si="4"/>
        <v>2.1001449765446143E-9</v>
      </c>
    </row>
    <row r="72" spans="1:6" x14ac:dyDescent="0.25">
      <c r="A72" s="83" t="s">
        <v>1096</v>
      </c>
      <c r="B72" s="42">
        <v>1</v>
      </c>
      <c r="C72" s="60">
        <f>IFERROR(C16/$B58,0)</f>
        <v>36.407844783957088</v>
      </c>
      <c r="D72" s="60">
        <f>IFERROR(D16/$B58,0)</f>
        <v>1.2600867339093713E-10</v>
      </c>
      <c r="E72" s="124">
        <f t="shared" si="4"/>
        <v>0.12742745674384981</v>
      </c>
      <c r="F72" s="124">
        <f t="shared" si="4"/>
        <v>4.4103035686827994E-13</v>
      </c>
    </row>
    <row r="73" spans="1:6" x14ac:dyDescent="0.25">
      <c r="A73" s="83" t="s">
        <v>1097</v>
      </c>
      <c r="B73" s="42">
        <v>1</v>
      </c>
      <c r="C73" s="60">
        <f>IFERROR(C7/$B59,0)</f>
        <v>36.407844783957088</v>
      </c>
      <c r="D73" s="60">
        <f>IFERROR(D7/$B59,0)</f>
        <v>1.2600867339093713E-10</v>
      </c>
      <c r="E73" s="124">
        <f t="shared" si="4"/>
        <v>0.12742745674384981</v>
      </c>
      <c r="F73" s="124">
        <f t="shared" si="4"/>
        <v>4.4103035686827994E-13</v>
      </c>
    </row>
    <row r="74" spans="1:6" x14ac:dyDescent="0.25">
      <c r="A74" s="83" t="s">
        <v>1098</v>
      </c>
      <c r="B74" s="86">
        <v>1.9000000000000001E-8</v>
      </c>
      <c r="C74" s="60">
        <f>IFERROR(C12/$B60,0)</f>
        <v>1916202357.0503728</v>
      </c>
      <c r="D74" s="60">
        <f>IFERROR(D12/$B60,0)</f>
        <v>6.6320354416282692E-3</v>
      </c>
      <c r="E74" s="124">
        <f t="shared" si="4"/>
        <v>6706708.2496763049</v>
      </c>
      <c r="F74" s="124">
        <f t="shared" si="4"/>
        <v>2.3212124045698942E-5</v>
      </c>
    </row>
    <row r="75" spans="1:6" x14ac:dyDescent="0.25">
      <c r="A75" s="83" t="s">
        <v>1099</v>
      </c>
      <c r="B75" s="42">
        <v>1</v>
      </c>
      <c r="C75" s="60">
        <f>IFERROR(C18/$B61,0)</f>
        <v>36.407844783957088</v>
      </c>
      <c r="D75" s="60">
        <f>IFERROR(D18/$B61,0)</f>
        <v>1.2600867339093713E-10</v>
      </c>
      <c r="E75" s="124">
        <f t="shared" si="4"/>
        <v>0.12742745674384981</v>
      </c>
      <c r="F75" s="124">
        <f t="shared" si="4"/>
        <v>4.4103035686827994E-13</v>
      </c>
    </row>
    <row r="76" spans="1:6" x14ac:dyDescent="0.25">
      <c r="A76" s="83" t="s">
        <v>1100</v>
      </c>
      <c r="B76" s="42">
        <v>1.339E-6</v>
      </c>
      <c r="C76" s="60">
        <f>IFERROR(C27/$B62,0)</f>
        <v>27190324.707958989</v>
      </c>
      <c r="D76" s="60">
        <f>IFERROR(D27/$B62,0)</f>
        <v>9.4106552196368285E-5</v>
      </c>
      <c r="E76" s="124">
        <f t="shared" si="4"/>
        <v>95166.13647785646</v>
      </c>
      <c r="F76" s="124">
        <f t="shared" si="4"/>
        <v>3.2937293268728898E-7</v>
      </c>
    </row>
  </sheetData>
  <sheetProtection algorithmName="SHA-512" hashValue="OonQvrK+sNKXdtpV6jz2OUVb9dIAiUYiJvxMUcZnW50VHxmuoKPexC0EH/1x7cersTQPla+Bd1b5akrZKWUfMg==" saltValue="UnuAvvISp5AeOokeGA9Ojg==" spinCount="100000" sheet="1" objects="1" scenarios="1" formatColumns="0" formatRows="0" autoFilter="0"/>
  <autoFilter ref="A1:F1299" xr:uid="{00000000-0009-0000-0000-000021000000}"/>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V30"/>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4.5703125" style="4" bestFit="1" customWidth="1"/>
    <col min="2" max="2" width="10.7109375" style="4" bestFit="1" customWidth="1"/>
    <col min="3" max="3" width="14" style="1" bestFit="1" customWidth="1"/>
    <col min="4" max="4" width="13.85546875" style="1" bestFit="1" customWidth="1"/>
    <col min="5" max="5" width="13.140625" style="1" bestFit="1" customWidth="1"/>
    <col min="6" max="6" width="13.85546875" style="1" bestFit="1" customWidth="1"/>
    <col min="7" max="7" width="13.140625" style="1" bestFit="1" customWidth="1"/>
    <col min="8" max="8" width="13.28515625" style="1" bestFit="1" customWidth="1"/>
    <col min="9" max="9" width="12.5703125" style="1" bestFit="1" customWidth="1"/>
    <col min="10" max="10" width="14" style="1" bestFit="1" customWidth="1"/>
    <col min="11" max="11" width="13.140625" style="1" bestFit="1" customWidth="1"/>
    <col min="12" max="12" width="14.85546875" style="1" bestFit="1" customWidth="1"/>
    <col min="13" max="13" width="12.28515625" style="1" bestFit="1" customWidth="1"/>
    <col min="14" max="14" width="12.85546875" style="1" bestFit="1" customWidth="1"/>
    <col min="15" max="15" width="13" style="1" bestFit="1" customWidth="1"/>
    <col min="16" max="16" width="14.140625" style="1" bestFit="1" customWidth="1"/>
    <col min="17" max="17" width="14.28515625" style="1" bestFit="1" customWidth="1"/>
    <col min="18" max="18" width="13.140625" style="1" bestFit="1" customWidth="1"/>
    <col min="19" max="19" width="12.42578125" style="1" bestFit="1" customWidth="1"/>
    <col min="20" max="20" width="13.85546875" style="1" bestFit="1" customWidth="1"/>
    <col min="21" max="21" width="14.140625" style="1" bestFit="1" customWidth="1"/>
    <col min="22" max="22" width="13.28515625" style="1" bestFit="1" customWidth="1"/>
    <col min="23" max="23" width="14" style="1" bestFit="1" customWidth="1"/>
    <col min="24" max="24" width="12.85546875" style="1" bestFit="1" customWidth="1"/>
    <col min="25" max="25" width="12.42578125" style="1" bestFit="1" customWidth="1"/>
    <col min="26" max="26" width="14.28515625" style="1" bestFit="1" customWidth="1"/>
    <col min="27" max="27" width="13.5703125" style="1" bestFit="1" customWidth="1"/>
    <col min="28" max="28" width="13.42578125" style="1" bestFit="1" customWidth="1"/>
    <col min="29" max="29" width="12.85546875" style="1" bestFit="1" customWidth="1"/>
    <col min="30" max="30" width="13.42578125" style="1" bestFit="1" customWidth="1"/>
    <col min="31" max="31" width="12.7109375" style="1" bestFit="1" customWidth="1"/>
    <col min="32" max="32" width="13" style="1" bestFit="1" customWidth="1"/>
    <col min="33" max="33" width="12.140625" style="1" bestFit="1" customWidth="1"/>
    <col min="34" max="34" width="13.5703125" style="1" bestFit="1" customWidth="1"/>
    <col min="35" max="35" width="12.7109375" style="1" bestFit="1" customWidth="1"/>
    <col min="36" max="36" width="14.42578125" style="1" bestFit="1" customWidth="1"/>
    <col min="37" max="37" width="12" style="1" bestFit="1" customWidth="1"/>
    <col min="38" max="38" width="12.5703125" style="1" bestFit="1" customWidth="1"/>
    <col min="39" max="39" width="12.7109375" style="1" bestFit="1" customWidth="1"/>
    <col min="40" max="40" width="13.85546875" style="1" bestFit="1" customWidth="1"/>
    <col min="41" max="41" width="14" style="1" bestFit="1" customWidth="1"/>
    <col min="42" max="42" width="12.7109375" style="1" bestFit="1" customWidth="1"/>
    <col min="43" max="43" width="12" style="1" bestFit="1" customWidth="1"/>
    <col min="44" max="44" width="13.42578125" style="1" bestFit="1" customWidth="1"/>
    <col min="45" max="45" width="13.85546875" style="1" bestFit="1" customWidth="1"/>
    <col min="46" max="46" width="12.85546875" style="1" bestFit="1" customWidth="1"/>
    <col min="47" max="47" width="13.5703125" style="1" bestFit="1" customWidth="1"/>
    <col min="48" max="48" width="12.42578125" style="1" bestFit="1" customWidth="1"/>
    <col min="49" max="49" width="12" style="1" bestFit="1" customWidth="1"/>
    <col min="50" max="50" width="14" style="1" bestFit="1" customWidth="1"/>
    <col min="51" max="51" width="14.140625" style="1" bestFit="1" customWidth="1"/>
    <col min="52" max="52" width="14" style="1" bestFit="1" customWidth="1"/>
    <col min="53" max="53" width="13.42578125" style="1" bestFit="1" customWidth="1"/>
    <col min="54" max="54" width="14" style="1" bestFit="1" customWidth="1"/>
    <col min="55" max="55" width="13.42578125" style="1" bestFit="1" customWidth="1"/>
    <col min="56" max="56" width="13.5703125" style="1" bestFit="1" customWidth="1"/>
    <col min="57" max="57" width="12.85546875" style="1" bestFit="1" customWidth="1"/>
    <col min="58" max="58" width="14.140625" style="1" bestFit="1" customWidth="1"/>
    <col min="59" max="59" width="13.42578125" style="1" bestFit="1" customWidth="1"/>
    <col min="60" max="60" width="15.140625" style="1" bestFit="1" customWidth="1"/>
    <col min="61" max="61" width="12.5703125" style="1" bestFit="1" customWidth="1"/>
    <col min="62" max="62" width="13.140625" style="1" bestFit="1" customWidth="1"/>
    <col min="63" max="63" width="13.28515625" style="1" bestFit="1" customWidth="1"/>
    <col min="64" max="64" width="14.42578125" style="1" bestFit="1" customWidth="1"/>
    <col min="65" max="65" width="14.5703125" style="1" bestFit="1" customWidth="1"/>
    <col min="66" max="66" width="13.42578125" style="1" bestFit="1" customWidth="1"/>
    <col min="67" max="67" width="12.7109375" style="1" bestFit="1" customWidth="1"/>
    <col min="68" max="68" width="14.140625" style="1" bestFit="1" customWidth="1"/>
    <col min="69" max="69" width="14.5703125" style="1" bestFit="1" customWidth="1"/>
    <col min="70" max="70" width="13.5703125" style="1" bestFit="1" customWidth="1"/>
    <col min="71" max="71" width="14.140625" style="1" bestFit="1" customWidth="1"/>
    <col min="72" max="72" width="13.140625" style="1" bestFit="1" customWidth="1"/>
    <col min="73" max="73" width="12.7109375" style="1" bestFit="1" customWidth="1"/>
    <col min="74" max="74" width="14.5703125" style="1" bestFit="1" customWidth="1"/>
  </cols>
  <sheetData>
    <row r="1" spans="1:74" x14ac:dyDescent="0.25">
      <c r="A1" s="78" t="s">
        <v>51</v>
      </c>
      <c r="B1" s="78" t="s">
        <v>350</v>
      </c>
      <c r="C1" s="113" t="s">
        <v>666</v>
      </c>
      <c r="D1" s="113" t="s">
        <v>667</v>
      </c>
      <c r="E1" s="113" t="s">
        <v>668</v>
      </c>
      <c r="F1" s="113" t="s">
        <v>669</v>
      </c>
      <c r="G1" s="113" t="s">
        <v>670</v>
      </c>
      <c r="H1" s="113" t="s">
        <v>671</v>
      </c>
      <c r="I1" s="113" t="s">
        <v>672</v>
      </c>
      <c r="J1" s="113" t="s">
        <v>673</v>
      </c>
      <c r="K1" s="113" t="s">
        <v>674</v>
      </c>
      <c r="L1" s="113" t="s">
        <v>675</v>
      </c>
      <c r="M1" s="113" t="s">
        <v>676</v>
      </c>
      <c r="N1" s="113" t="s">
        <v>677</v>
      </c>
      <c r="O1" s="113" t="s">
        <v>678</v>
      </c>
      <c r="P1" s="113" t="s">
        <v>679</v>
      </c>
      <c r="Q1" s="113" t="s">
        <v>680</v>
      </c>
      <c r="R1" s="113" t="s">
        <v>681</v>
      </c>
      <c r="S1" s="113" t="s">
        <v>682</v>
      </c>
      <c r="T1" s="113" t="s">
        <v>683</v>
      </c>
      <c r="U1" s="113" t="s">
        <v>684</v>
      </c>
      <c r="V1" s="113" t="s">
        <v>685</v>
      </c>
      <c r="W1" s="113" t="s">
        <v>686</v>
      </c>
      <c r="X1" s="113" t="s">
        <v>687</v>
      </c>
      <c r="Y1" s="113" t="s">
        <v>688</v>
      </c>
      <c r="Z1" s="113" t="s">
        <v>736</v>
      </c>
      <c r="AA1" s="113" t="s">
        <v>689</v>
      </c>
      <c r="AB1" s="113" t="s">
        <v>690</v>
      </c>
      <c r="AC1" s="113" t="s">
        <v>691</v>
      </c>
      <c r="AD1" s="113" t="s">
        <v>692</v>
      </c>
      <c r="AE1" s="113" t="s">
        <v>693</v>
      </c>
      <c r="AF1" s="113" t="s">
        <v>694</v>
      </c>
      <c r="AG1" s="113" t="s">
        <v>695</v>
      </c>
      <c r="AH1" s="113" t="s">
        <v>696</v>
      </c>
      <c r="AI1" s="113" t="s">
        <v>697</v>
      </c>
      <c r="AJ1" s="113" t="s">
        <v>698</v>
      </c>
      <c r="AK1" s="113" t="s">
        <v>699</v>
      </c>
      <c r="AL1" s="113" t="s">
        <v>700</v>
      </c>
      <c r="AM1" s="113" t="s">
        <v>701</v>
      </c>
      <c r="AN1" s="113" t="s">
        <v>702</v>
      </c>
      <c r="AO1" s="113" t="s">
        <v>703</v>
      </c>
      <c r="AP1" s="113" t="s">
        <v>704</v>
      </c>
      <c r="AQ1" s="113" t="s">
        <v>705</v>
      </c>
      <c r="AR1" s="113" t="s">
        <v>706</v>
      </c>
      <c r="AS1" s="113" t="s">
        <v>707</v>
      </c>
      <c r="AT1" s="113" t="s">
        <v>708</v>
      </c>
      <c r="AU1" s="113" t="s">
        <v>709</v>
      </c>
      <c r="AV1" s="113" t="s">
        <v>710</v>
      </c>
      <c r="AW1" s="113" t="s">
        <v>711</v>
      </c>
      <c r="AX1" s="113" t="s">
        <v>737</v>
      </c>
      <c r="AY1" s="113" t="s">
        <v>712</v>
      </c>
      <c r="AZ1" s="113" t="s">
        <v>713</v>
      </c>
      <c r="BA1" s="113" t="s">
        <v>714</v>
      </c>
      <c r="BB1" s="113" t="s">
        <v>715</v>
      </c>
      <c r="BC1" s="113" t="s">
        <v>716</v>
      </c>
      <c r="BD1" s="113" t="s">
        <v>717</v>
      </c>
      <c r="BE1" s="113" t="s">
        <v>718</v>
      </c>
      <c r="BF1" s="113" t="s">
        <v>719</v>
      </c>
      <c r="BG1" s="113" t="s">
        <v>720</v>
      </c>
      <c r="BH1" s="113" t="s">
        <v>721</v>
      </c>
      <c r="BI1" s="113" t="s">
        <v>722</v>
      </c>
      <c r="BJ1" s="113" t="s">
        <v>723</v>
      </c>
      <c r="BK1" s="113" t="s">
        <v>724</v>
      </c>
      <c r="BL1" s="113" t="s">
        <v>725</v>
      </c>
      <c r="BM1" s="113" t="s">
        <v>726</v>
      </c>
      <c r="BN1" s="113" t="s">
        <v>727</v>
      </c>
      <c r="BO1" s="113" t="s">
        <v>728</v>
      </c>
      <c r="BP1" s="113" t="s">
        <v>729</v>
      </c>
      <c r="BQ1" s="113" t="s">
        <v>730</v>
      </c>
      <c r="BR1" s="113" t="s">
        <v>731</v>
      </c>
      <c r="BS1" s="113" t="s">
        <v>732</v>
      </c>
      <c r="BT1" s="113" t="s">
        <v>733</v>
      </c>
      <c r="BU1" s="113" t="s">
        <v>734</v>
      </c>
      <c r="BV1" s="113" t="s">
        <v>738</v>
      </c>
    </row>
    <row r="2" spans="1:74" x14ac:dyDescent="0.25">
      <c r="A2" s="44" t="s">
        <v>12</v>
      </c>
      <c r="B2" s="42" t="s">
        <v>1074</v>
      </c>
      <c r="C2" s="116">
        <f>IFERROR(IF(d_ss_Bv!C2=0,".",((Ir*F*d_ss_Bv!C2*(1-EXP(-RadSpec!AX2*t_b)))/(P*RadSpec!AX2))),".")</f>
        <v>3.5746410762351036E-2</v>
      </c>
      <c r="D2" s="116">
        <f>IFERROR(IF(d_ss_Bv!D2=0,".",((Ir*F*d_ss_Bv!D2*(1-EXP(-RadSpec!AX2*t_b)))/(P*RadSpec!AX2))),".")</f>
        <v>3.5746410762351036E-2</v>
      </c>
      <c r="E2" s="116">
        <f>IFERROR(IF(d_ss_Bv!E2=0,".",((Ir*F*d_ss_Bv!E2*(1-EXP(-RadSpec!AX2*t_b)))/(P*RadSpec!AX2))),".")</f>
        <v>3.5746410762351036E-2</v>
      </c>
      <c r="F2" s="116">
        <f>IFERROR(IF(d_ss_Bv!F2=0,".",((Ir*F*d_ss_Bv!F2*(1-EXP(-RadSpec!AX2*t_b)))/(P*RadSpec!AX2))),".")</f>
        <v>3.5746410762351036E-2</v>
      </c>
      <c r="G2" s="116">
        <f>IFERROR(IF(d_ss_Bv!G2=0,".",((Ir*F*d_ss_Bv!G2*(1-EXP(-RadSpec!AX2*t_b)))/(P*RadSpec!AX2))),".")</f>
        <v>3.5746410762351036E-2</v>
      </c>
      <c r="H2" s="116">
        <f>IFERROR(IF(d_ss_Bv!H2=0,".",((Ir*F*d_ss_Bv!H2*(1-EXP(-RadSpec!AX2*t_b)))/(P*RadSpec!AX2))),".")</f>
        <v>3.5746410762351036E-2</v>
      </c>
      <c r="I2" s="116">
        <f>IFERROR(IF(d_ss_Bv!I2=0,".",((Ir*F*d_ss_Bv!I2*(1-EXP(-RadSpec!AX2*t_b)))/(P*RadSpec!AX2))),".")</f>
        <v>3.5746410762351036E-2</v>
      </c>
      <c r="J2" s="116">
        <f>IFERROR(IF(d_ss_Bv!J2=0,".",((Ir*F*d_ss_Bv!J2*(1-EXP(-RadSpec!AX2*t_b)))/(P*RadSpec!AX2))),".")</f>
        <v>3.5746410762351036E-2</v>
      </c>
      <c r="K2" s="116">
        <f>IFERROR(IF(d_ss_Bv!K2=0,".",((Ir*F*d_ss_Bv!K2*(1-EXP(-RadSpec!AX2*t_b)))/(P*RadSpec!AX2))),".")</f>
        <v>3.5746410762351036E-2</v>
      </c>
      <c r="L2" s="116">
        <f>IFERROR(IF(d_ss_Bv!L2=0,".",((Ir*F*d_ss_Bv!L2*(1-EXP(-RadSpec!AX2*t_b)))/(P*RadSpec!AX2))),".")</f>
        <v>3.5746410762351036E-2</v>
      </c>
      <c r="M2" s="116">
        <f>IFERROR(IF(d_ss_Bv!M2=0,".",((Ir*F*d_ss_Bv!M2*(1-EXP(-RadSpec!AX2*t_b)))/(P*RadSpec!AX2))),".")</f>
        <v>3.5746410762351036E-2</v>
      </c>
      <c r="N2" s="116">
        <f>IFERROR(IF(d_ss_Bv!N2=0,".",((Ir*F*d_ss_Bv!N2*(1-EXP(-RadSpec!AX2*t_b)))/(P*RadSpec!AX2))),".")</f>
        <v>3.5746410762351036E-2</v>
      </c>
      <c r="O2" s="116">
        <f>IFERROR(IF(d_ss_Bv!O2=0,".",((Ir*F*d_ss_Bv!O2*(1-EXP(-RadSpec!AX2*t_b)))/(P*RadSpec!AX2))),".")</f>
        <v>3.5746410762351036E-2</v>
      </c>
      <c r="P2" s="116">
        <f>IFERROR(IF(d_ss_Bv!P2=0,".",((Ir*F*d_ss_Bv!P2*(1-EXP(-RadSpec!AX2*t_b)))/(P*RadSpec!AX2))),".")</f>
        <v>3.5746410762351036E-2</v>
      </c>
      <c r="Q2" s="116">
        <f>IFERROR(IF(d_ss_Bv!Q2=0,".",((Ir*F*d_ss_Bv!Q2*(1-EXP(-RadSpec!AX2*t_b)))/(P*RadSpec!AX2))),".")</f>
        <v>3.5746410762351036E-2</v>
      </c>
      <c r="R2" s="116">
        <f>IFERROR(IF(d_ss_Bv!R2=0,".",((Ir*F*d_ss_Bv!R2*(1-EXP(-RadSpec!AX2*t_b)))/(P*RadSpec!AX2))),".")</f>
        <v>3.5746410762351036E-2</v>
      </c>
      <c r="S2" s="116">
        <f>IFERROR(IF(d_ss_Bv!S2=0,".",((Ir*F*d_ss_Bv!S2*(1-EXP(-RadSpec!AX2*t_b)))/(P*RadSpec!AX2))),".")</f>
        <v>3.5746410762351036E-2</v>
      </c>
      <c r="T2" s="116">
        <f>IFERROR(IF(d_ss_Bv!T2=0,".",((Ir*F*d_ss_Bv!T2*(1-EXP(-RadSpec!AX2*t_b)))/(P*RadSpec!AX2))),".")</f>
        <v>3.5746410762351036E-2</v>
      </c>
      <c r="U2" s="116">
        <f>IFERROR(IF(d_ss_Bv!U2=0,".",((Ir*F*d_ss_Bv!U2*(1-EXP(-RadSpec!AX2*t_b)))/(P*RadSpec!AX2))),".")</f>
        <v>3.5746410762351036E-2</v>
      </c>
      <c r="V2" s="116">
        <f>IFERROR(IF(d_ss_Bv!V2=0,".",((Ir*F*d_ss_Bv!V2*(1-EXP(-RadSpec!AX2*t_b)))/(P*RadSpec!AX2))),".")</f>
        <v>3.5746410762351036E-2</v>
      </c>
      <c r="W2" s="116">
        <f>IFERROR(IF(d_ss_Bv!W2=0,".",((Ir*F*d_ss_Bv!W2*(1-EXP(-RadSpec!AX2*t_b)))/(P*RadSpec!AX2))),".")</f>
        <v>3.5746410762351036E-2</v>
      </c>
      <c r="X2" s="116">
        <f>IFERROR(IF(d_ss_Bv!X2=0,".",((Ir*F*d_ss_Bv!X2*(1-EXP(-RadSpec!AX2*t_b)))/(P*RadSpec!AX2))),".")</f>
        <v>3.5746410762351036E-2</v>
      </c>
      <c r="Y2" s="116">
        <f>IFERROR(IF(d_ss_Bv!Y2=0,".",((Ir*F*d_ss_Bv!Y2*(1-EXP(-RadSpec!AX2*t_b)))/(P*RadSpec!AX2))),".")</f>
        <v>3.5746410762351036E-2</v>
      </c>
      <c r="Z2" s="116">
        <f>IFERROR(IF(d_ss_Bv!Z2=0,".",((Ir*F*d_ss_Bv!Z2*(1-EXP(-RadSpec!AX2*t_b)))/(P*RadSpec!AX2))),".")</f>
        <v>3.5746410762351036E-2</v>
      </c>
      <c r="AA2" s="116">
        <f>IFERROR(IF(d_ss_Bv!C2=0,".",((Ir*F*MLF_apple*(1-EXP(-RadSpec!AX2*t_b)))/(P*RadSpec!AX2))),".")</f>
        <v>5.7194257219761657E-3</v>
      </c>
      <c r="AB2" s="116">
        <f>IFERROR(IF(d_ss_Bv!D2=0,".",((Ir*F*MLF_asparagus*(1-EXP(-RadSpec!AX2*t_b)))/(P*RadSpec!AX2))),".")</f>
        <v>2.8239664502257315E-3</v>
      </c>
      <c r="AC2" s="116">
        <f>IFERROR(IF(d_ss_Bv!E2=0,".",((Ir*F*MLF_beet*(1-EXP(-RadSpec!AX2*t_b)))/(P*RadSpec!AX2))),".")</f>
        <v>4.9330046852044422E-3</v>
      </c>
      <c r="AD2" s="116">
        <f>IFERROR(IF(d_ss_Bv!F2=0,".",((Ir*F*MLF_berries*(1-EXP(-RadSpec!AX2*t_b)))/(P*RadSpec!AX2))),".")</f>
        <v>5.9339041865502712E-3</v>
      </c>
      <c r="AE2" s="116">
        <f>IFERROR(IF(d_ss_Bv!G2=0,".",((Ir*F*MLF_broccoli*(1-EXP(-RadSpec!AX2*t_b)))/(P*RadSpec!AX2))),".")</f>
        <v>3.6103874869974538E-2</v>
      </c>
      <c r="AF2" s="116">
        <f>IFERROR(IF(d_ss_Bv!H2=0,".",((Ir*F*MLF_cabbage*(1-EXP(-RadSpec!AX2*t_b)))/(P*RadSpec!AX2))),".")</f>
        <v>3.7533731300468582E-3</v>
      </c>
      <c r="AG2" s="116">
        <f>IFERROR(IF(d_ss_Bv!I2=0,".",((Ir*F*MLF_carrot*(1-EXP(-RadSpec!AX2*t_b)))/(P*RadSpec!AX2))),".")</f>
        <v>3.4674018439480501E-3</v>
      </c>
      <c r="AH2" s="116">
        <f>IFERROR(IF(d_ss_Bv!J2=0,".",((Ir*F*MLF_citrus*(1-EXP(-RadSpec!AX2*t_b)))/(P*RadSpec!AX2))),".")</f>
        <v>5.6121864896891112E-3</v>
      </c>
      <c r="AI2" s="116">
        <f>IFERROR(IF(d_ss_Bv!K2=0,".",((Ir*F*MLF_corn*(1-EXP(-RadSpec!AX2*t_b)))/(P*RadSpec!AX2))),".")</f>
        <v>5.1832295605408994E-3</v>
      </c>
      <c r="AJ2" s="116">
        <f>IFERROR(IF(d_ss_Bv!L2=0,".",((Ir*F*MLF_cucumber*(1-EXP(-RadSpec!AX2*t_b)))/(P*RadSpec!AX2))),".")</f>
        <v>1.4298564304940414E-3</v>
      </c>
      <c r="AK2" s="116">
        <f>IFERROR(IF(d_ss_Bv!M2=0,".",((Ir*F*MLF_lettuce*(1-EXP(-RadSpec!AX2*t_b)))/(P*RadSpec!AX2))),".")</f>
        <v>0.48257654529173893</v>
      </c>
      <c r="AL2" s="116">
        <f>IFERROR(IF(d_ss_Bv!N2=0,".",((Ir*F*MLF_lima_bean*(1-EXP(-RadSpec!AX2*t_b)))/(P*RadSpec!AX2))),".")</f>
        <v>0.13690875321980447</v>
      </c>
      <c r="AM2" s="116">
        <f>IFERROR(IF(d_ss_Bv!O2=0,".",((Ir*F*MLF_okra*(1-EXP(-RadSpec!AX2*t_b)))/(P*RadSpec!AX2))),".")</f>
        <v>2.8597128609880828E-3</v>
      </c>
      <c r="AN2" s="116">
        <f>IFERROR(IF(d_ss_Bv!P2=0,".",((Ir*F*MLF_onion*(1-EXP(-RadSpec!AX2*t_b)))/(P*RadSpec!AX2))),".")</f>
        <v>3.4674018439480501E-3</v>
      </c>
      <c r="AO2" s="116">
        <f>IFERROR(IF(d_ss_Bv!Q2=0,".",((Ir*F*MLF_peach*(1-EXP(-RadSpec!AX2*t_b)))/(P*RadSpec!AX2))),".")</f>
        <v>5.361961614352654E-3</v>
      </c>
      <c r="AP2" s="116" t="str">
        <f>IFERROR(IF(d_ss_Bv!OI2=0,".",((Ir*F*MLF_pear*(1-EXP(-RadSpec!AX2*t_b)))/(P*RadSpec!AX2))),".")</f>
        <v>.</v>
      </c>
      <c r="AQ2" s="116">
        <f>IFERROR(IF(d_ss_Bv!S2=0,".",((Ir*F*MLF_peas*(1-EXP(-RadSpec!AX2*t_b)))/(P*RadSpec!AX2))),".")</f>
        <v>6.3628611156984829E-3</v>
      </c>
      <c r="AR2" s="116">
        <f>IFERROR(IF(d_ss_Bv!T2=0,".",((Ir*F*MLF_potato*(1-EXP(-RadSpec!AX2*t_b)))/(P*RadSpec!AX2))),".")</f>
        <v>7.5067462600937164E-3</v>
      </c>
      <c r="AS2" s="116">
        <f>IFERROR(IF(d_ss_Bv!U2=0,".",((Ir*F*MLF_pumpkin*(1-EXP(-RadSpec!AX2*t_b)))/(P*RadSpec!AX2))),".")</f>
        <v>2.0732918242163598E-3</v>
      </c>
      <c r="AT2" s="116">
        <f>IFERROR(IF(d_ss_Bv!V2=0,".",((Ir*F*MLF_snap_bean*(1-EXP(-RadSpec!AX2*t_b)))/(P*RadSpec!AX2))),".")</f>
        <v>0.17873205381175516</v>
      </c>
      <c r="AU2" s="116">
        <f>IFERROR(IF(d_ss_Bv!W2=0,".",((Ir*F*MLF_strawberry*(1-EXP(-RadSpec!AX2*t_b)))/(P*RadSpec!AX2))),".")</f>
        <v>2.8597128609880828E-3</v>
      </c>
      <c r="AV2" s="116">
        <f>IFERROR(IF(d_ss_Bv!X2=0,".",((Ir*F*MLF_tomato*(1-EXP(-RadSpec!AX2*t_b)))/(P*RadSpec!AX2))),".")</f>
        <v>5.6836793112138136E-2</v>
      </c>
      <c r="AW2" s="116">
        <f>IFERROR(IF(d_ss_Bv!Y2=0,".",((Ir*F*MLF_rice*(1-EXP(-RadSpec!AX2*t_b)))/(P*RadSpec!AX2))),".")</f>
        <v>8.9366026905877582</v>
      </c>
      <c r="AX2" s="116">
        <f>IFERROR(IF(d_ss_Bv!Z2=0,".",((Ir*F*MLF_cereal*(1-EXP(-RadSpec!AX2*t_b)))/(P*RadSpec!AX2))),".")</f>
        <v>8.9366026905877582</v>
      </c>
      <c r="AY2" s="116">
        <f>IFERROR(IF(d_ss_Bv!C2=0,".",((Ir*F*I_f*T*(1-EXP(-RadSpec!AY2*t_v)))/(Y_v*RadSpec!AY2))),".")</f>
        <v>3.6424203206347228</v>
      </c>
      <c r="AZ2" s="116">
        <f>IFERROR(IF(d_ss_Bv!D2=0,".",((Ir*F*I_f*T*(1-EXP(-RadSpec!AY2*t_v)))/(Y_v*RadSpec!AY2))),".")</f>
        <v>3.6424203206347228</v>
      </c>
      <c r="BA2" s="116">
        <f>IFERROR(IF(d_ss_Bv!E2=0,".",((Ir*F*I_f*T*(1-EXP(-RadSpec!AY2*t_v)))/(Y_v*RadSpec!AY2))),".")</f>
        <v>3.6424203206347228</v>
      </c>
      <c r="BB2" s="116">
        <f>IFERROR(IF(d_ss_Bv!F2=0,".",((Ir*F*I_f*T*(1-EXP(-RadSpec!AY2*t_v)))/(Y_v*RadSpec!AY2))),".")</f>
        <v>3.6424203206347228</v>
      </c>
      <c r="BC2" s="116">
        <f>IFERROR(IF(d_ss_Bv!G2=0,".",((Ir*F*I_f*T*(1-EXP(-RadSpec!AY2*t_v)))/(Y_v*RadSpec!AY2))),".")</f>
        <v>3.6424203206347228</v>
      </c>
      <c r="BD2" s="116">
        <f>IFERROR(IF(d_ss_Bv!H2=0,".",((Ir*F*I_f*T*(1-EXP(-RadSpec!AY2*t_v)))/(Y_v*RadSpec!AY2))),".")</f>
        <v>3.6424203206347228</v>
      </c>
      <c r="BE2" s="116">
        <f>IFERROR(IF(d_ss_Bv!I2=0,".",((Ir*F*I_f*T*(1-EXP(-RadSpec!AY2*t_v)))/(Y_v*RadSpec!AY2))),".")</f>
        <v>3.6424203206347228</v>
      </c>
      <c r="BF2" s="116">
        <f>IFERROR(IF(d_ss_Bv!J2=0,".",((Ir*F*I_f*T*(1-EXP(-RadSpec!AY2*t_v)))/(Y_v*RadSpec!AY2))),".")</f>
        <v>3.6424203206347228</v>
      </c>
      <c r="BG2" s="116">
        <f>IFERROR(IF(d_ss_Bv!K2=0,".",((Ir*F*I_f*T*(1-EXP(-RadSpec!AY2*t_v)))/(Y_v*RadSpec!AY2))),".")</f>
        <v>3.6424203206347228</v>
      </c>
      <c r="BH2" s="116">
        <f>IFERROR(IF(d_ss_Bv!L2=0,".",((Ir*F*I_f*T*(1-EXP(-RadSpec!AY2*t_v)))/(Y_v*RadSpec!AY2))),".")</f>
        <v>3.6424203206347228</v>
      </c>
      <c r="BI2" s="116">
        <f>IFERROR(IF(d_ss_Bv!M2=0,".",((Ir*F*I_f*T*(1-EXP(-RadSpec!AY2*t_v)))/(Y_v*RadSpec!AY2))),".")</f>
        <v>3.6424203206347228</v>
      </c>
      <c r="BJ2" s="116">
        <f>IFERROR(IF(d_ss_Bv!N2=0,".",((Ir*F*I_f*T*(1-EXP(-RadSpec!AY2*t_v)))/(Y_v*RadSpec!AY2))),".")</f>
        <v>3.6424203206347228</v>
      </c>
      <c r="BK2" s="116">
        <f>IFERROR(IF(d_ss_Bv!O2=0,".",((Ir*F*I_f*T*(1-EXP(-RadSpec!AY2*t_v)))/(Y_v*RadSpec!AY2))),".")</f>
        <v>3.6424203206347228</v>
      </c>
      <c r="BL2" s="116">
        <f>IFERROR(IF(d_ss_Bv!P2=0,".",((Ir*F*I_f*T*(1-EXP(-RadSpec!AY2*t_v)))/(Y_v*RadSpec!AY2))),".")</f>
        <v>3.6424203206347228</v>
      </c>
      <c r="BM2" s="116">
        <f>IFERROR(IF(d_ss_Bv!Q2=0,".",((Ir*F*I_f*T*(1-EXP(-RadSpec!AY2*t_v)))/(Y_v*RadSpec!AY2))),".")</f>
        <v>3.6424203206347228</v>
      </c>
      <c r="BN2" s="116">
        <f>IFERROR(IF(d_ss_Bv!R2=0,".",((Ir*F*I_f*T*(1-EXP(-RadSpec!AY2*t_v)))/(Y_v*RadSpec!AY2))),".")</f>
        <v>3.6424203206347228</v>
      </c>
      <c r="BO2" s="116">
        <f>IFERROR(IF(d_ss_Bv!S2=0,".",((Ir*F*I_f*T*(1-EXP(-RadSpec!AY2*t_v)))/(Y_v*RadSpec!AY2))),".")</f>
        <v>3.6424203206347228</v>
      </c>
      <c r="BP2" s="116">
        <f>IFERROR(IF(d_ss_Bv!T2=0,".",((Ir*F*I_f*T*(1-EXP(-RadSpec!AY2*t_v)))/(Y_v*RadSpec!AY2))),".")</f>
        <v>3.6424203206347228</v>
      </c>
      <c r="BQ2" s="116">
        <f>IFERROR(IF(d_ss_Bv!U2=0,".",((Ir*F*I_f*T*(1-EXP(-RadSpec!AY2*t_v)))/(Y_v*RadSpec!AY2))),".")</f>
        <v>3.6424203206347228</v>
      </c>
      <c r="BR2" s="116">
        <f>IFERROR(IF(d_ss_Bv!V2=0,".",((Ir*F*I_f*T*(1-EXP(-RadSpec!AY2*t_v)))/(Y_v*RadSpec!AY2))),".")</f>
        <v>3.6424203206347228</v>
      </c>
      <c r="BS2" s="116">
        <f>IFERROR(IF(d_ss_Bv!W2=0,".",((Ir*F*I_f*T*(1-EXP(-RadSpec!AY2*t_v)))/(Y_v*RadSpec!AY2))),".")</f>
        <v>3.6424203206347228</v>
      </c>
      <c r="BT2" s="116">
        <f>IFERROR(IF(d_ss_Bv!X2=0,".",((Ir*F*I_f*T*(1-EXP(-RadSpec!AY2*t_v)))/(Y_v*RadSpec!AY2))),".")</f>
        <v>3.6424203206347228</v>
      </c>
      <c r="BU2" s="116">
        <f>IFERROR(IF(d_ss_Bv!Y2=0,".",((Ir*F*I_f*T*(1-EXP(-RadSpec!AY2*t_v)))/(Y_v*RadSpec!AY2))),".")</f>
        <v>3.6424203206347228</v>
      </c>
      <c r="BV2" s="116">
        <f>IFERROR(IF(d_ss_Bv!Z2=0,".",((Ir*F*I_f*T*(1-EXP(-RadSpec!AY2*t_v)))/(Y_v*RadSpec!AY2))),".")</f>
        <v>3.6424203206347228</v>
      </c>
    </row>
    <row r="3" spans="1:74" x14ac:dyDescent="0.25">
      <c r="A3" s="46" t="s">
        <v>13</v>
      </c>
      <c r="B3" s="42" t="s">
        <v>351</v>
      </c>
      <c r="C3" s="116">
        <f>IFERROR(IF(d_ss_Bv!C3=0,".",((Ir*F*d_ss_Bv!C3*(1-EXP(-RadSpec!AX3*t_b)))/(P*RadSpec!AX3))),".")</f>
        <v>1.1081387336328819E-3</v>
      </c>
      <c r="D3" s="116">
        <f>IFERROR(IF(d_ss_Bv!D3=0,".",((Ir*F*d_ss_Bv!D3*(1-EXP(-RadSpec!AX3*t_b)))/(P*RadSpec!AX3))),".")</f>
        <v>9.6515309058347772E-3</v>
      </c>
      <c r="E3" s="116">
        <f>IFERROR(IF(d_ss_Bv!E3=0,".",((Ir*F*d_ss_Bv!E3*(1-EXP(-RadSpec!AX3*t_b)))/(P*RadSpec!AX3))),".")</f>
        <v>2.395009521077519E-2</v>
      </c>
      <c r="F3" s="116">
        <f>IFERROR(IF(d_ss_Bv!F3=0,".",((Ir*F*d_ss_Bv!F3*(1-EXP(-RadSpec!AX3*t_b)))/(P*RadSpec!AX3))),".")</f>
        <v>2.8597128609880826E-2</v>
      </c>
      <c r="G3" s="116">
        <f>IFERROR(IF(d_ss_Bv!G3=0,".",((Ir*F*d_ss_Bv!G3*(1-EXP(-RadSpec!AX3*t_b)))/(P*RadSpec!AX3))),".")</f>
        <v>1.2868707874446371E-2</v>
      </c>
      <c r="H3" s="116">
        <f>IFERROR(IF(d_ss_Bv!H3=0,".",((Ir*F*d_ss_Bv!H3*(1-EXP(-RadSpec!AX3*t_b)))/(P*RadSpec!AX3))),".")</f>
        <v>9.6515309058347772E-3</v>
      </c>
      <c r="I3" s="116">
        <f>IFERROR(IF(d_ss_Bv!I3=0,".",((Ir*F*d_ss_Bv!I3*(1-EXP(-RadSpec!AX3*t_b)))/(P*RadSpec!AX3))),".")</f>
        <v>2.395009521077519E-2</v>
      </c>
      <c r="J3" s="116">
        <f>IFERROR(IF(d_ss_Bv!J3=0,".",((Ir*F*d_ss_Bv!J3*(1-EXP(-RadSpec!AX3*t_b)))/(P*RadSpec!AX3))),".")</f>
        <v>1.1081387336328819E-3</v>
      </c>
      <c r="K3" s="116">
        <f>IFERROR(IF(d_ss_Bv!K3=0,".",((Ir*F*d_ss_Bv!K3*(1-EXP(-RadSpec!AX3*t_b)))/(P*RadSpec!AX3))),".")</f>
        <v>1.7873205381175516E-3</v>
      </c>
      <c r="L3" s="116">
        <f>IFERROR(IF(d_ss_Bv!L3=0,".",((Ir*F*d_ss_Bv!L3*(1-EXP(-RadSpec!AX3*t_b)))/(P*RadSpec!AX3))),".")</f>
        <v>1.2868707874446371E-2</v>
      </c>
      <c r="M3" s="116">
        <f>IFERROR(IF(d_ss_Bv!M3=0,".",((Ir*F*d_ss_Bv!M3*(1-EXP(-RadSpec!AX3*t_b)))/(P*RadSpec!AX3))),".")</f>
        <v>9.6515309058347772E-3</v>
      </c>
      <c r="N3" s="116">
        <f>IFERROR(IF(d_ss_Bv!N3=0,".",((Ir*F*d_ss_Bv!N3*(1-EXP(-RadSpec!AX3*t_b)))/(P*RadSpec!AX3))),".")</f>
        <v>1.3583636089693391E-2</v>
      </c>
      <c r="O3" s="116">
        <f>IFERROR(IF(d_ss_Bv!O3=0,".",((Ir*F*d_ss_Bv!O3*(1-EXP(-RadSpec!AX3*t_b)))/(P*RadSpec!AX3))),".")</f>
        <v>1.2868707874446371E-2</v>
      </c>
      <c r="P3" s="116">
        <f>IFERROR(IF(d_ss_Bv!P3=0,".",((Ir*F*d_ss_Bv!P3*(1-EXP(-RadSpec!AX3*t_b)))/(P*RadSpec!AX3))),".")</f>
        <v>1.2868707874446371E-2</v>
      </c>
      <c r="Q3" s="116">
        <f>IFERROR(IF(d_ss_Bv!Q3=0,".",((Ir*F*d_ss_Bv!Q3*(1-EXP(-RadSpec!AX3*t_b)))/(P*RadSpec!AX3))),".")</f>
        <v>1.1081387336328819E-3</v>
      </c>
      <c r="R3" s="116">
        <f>IFERROR(IF(d_ss_Bv!R3=0,".",((Ir*F*d_ss_Bv!R3*(1-EXP(-RadSpec!AX3*t_b)))/(P*RadSpec!AX3))),".")</f>
        <v>1.1081387336328819E-3</v>
      </c>
      <c r="S3" s="116">
        <f>IFERROR(IF(d_ss_Bv!S3=0,".",((Ir*F*d_ss_Bv!S3*(1-EXP(-RadSpec!AX3*t_b)))/(P*RadSpec!AX3))),".")</f>
        <v>1.3583636089693391E-2</v>
      </c>
      <c r="T3" s="116">
        <f>IFERROR(IF(d_ss_Bv!T3=0,".",((Ir*F*d_ss_Bv!T3*(1-EXP(-RadSpec!AX3*t_b)))/(P*RadSpec!AX3))),".")</f>
        <v>7.5067462600937164E-3</v>
      </c>
      <c r="U3" s="116">
        <f>IFERROR(IF(d_ss_Bv!U3=0,".",((Ir*F*d_ss_Bv!U3*(1-EXP(-RadSpec!AX3*t_b)))/(P*RadSpec!AX3))),".")</f>
        <v>1.2868707874446371E-2</v>
      </c>
      <c r="V3" s="116">
        <f>IFERROR(IF(d_ss_Bv!V3=0,".",((Ir*F*d_ss_Bv!V3*(1-EXP(-RadSpec!AX3*t_b)))/(P*RadSpec!AX3))),".")</f>
        <v>1.3583636089693391E-2</v>
      </c>
      <c r="W3" s="116">
        <f>IFERROR(IF(d_ss_Bv!W3=0,".",((Ir*F*d_ss_Bv!W3*(1-EXP(-RadSpec!AX3*t_b)))/(P*RadSpec!AX3))),".")</f>
        <v>3.9321051838586132E-3</v>
      </c>
      <c r="X3" s="116">
        <f>IFERROR(IF(d_ss_Bv!X3=0,".",((Ir*F*d_ss_Bv!X3*(1-EXP(-RadSpec!AX3*t_b)))/(P*RadSpec!AX3))),".")</f>
        <v>1.2868707874446371E-2</v>
      </c>
      <c r="Y3" s="116">
        <f>IFERROR(IF(d_ss_Bv!Y3=0,".",((Ir*F*d_ss_Bv!Y3*(1-EXP(-RadSpec!AX3*t_b)))/(P*RadSpec!AX3))),".")</f>
        <v>3.5746410762351036E-2</v>
      </c>
      <c r="Z3" s="116">
        <f>IFERROR(IF(d_ss_Bv!Z3=0,".",((Ir*F*d_ss_Bv!Z3*(1-EXP(-RadSpec!AX3*t_b)))/(P*RadSpec!AX3))),".")</f>
        <v>7.8642103677172264E-4</v>
      </c>
      <c r="AA3" s="116">
        <f>IFERROR(IF(d_ss_Bv!C3=0,".",((Ir*F*MLF_apple*(1-EXP(-RadSpec!AX3*t_b)))/(P*RadSpec!AX3))),".")</f>
        <v>5.7194257219761657E-3</v>
      </c>
      <c r="AB3" s="116">
        <f>IFERROR(IF(d_ss_Bv!D3=0,".",((Ir*F*MLF_asparagus*(1-EXP(-RadSpec!AX3*t_b)))/(P*RadSpec!AX3))),".")</f>
        <v>2.8239664502257315E-3</v>
      </c>
      <c r="AC3" s="116">
        <f>IFERROR(IF(d_ss_Bv!E3=0,".",((Ir*F*MLF_beet*(1-EXP(-RadSpec!AX3*t_b)))/(P*RadSpec!AX3))),".")</f>
        <v>4.9330046852044422E-3</v>
      </c>
      <c r="AD3" s="116">
        <f>IFERROR(IF(d_ss_Bv!F3=0,".",((Ir*F*MLF_berries*(1-EXP(-RadSpec!AX3*t_b)))/(P*RadSpec!AX3))),".")</f>
        <v>5.9339041865502712E-3</v>
      </c>
      <c r="AE3" s="116">
        <f>IFERROR(IF(d_ss_Bv!G3=0,".",((Ir*F*MLF_broccoli*(1-EXP(-RadSpec!AX3*t_b)))/(P*RadSpec!AX3))),".")</f>
        <v>3.6103874869974538E-2</v>
      </c>
      <c r="AF3" s="116">
        <f>IFERROR(IF(d_ss_Bv!H3=0,".",((Ir*F*MLF_cabbage*(1-EXP(-RadSpec!AX3*t_b)))/(P*RadSpec!AX3))),".")</f>
        <v>3.7533731300468582E-3</v>
      </c>
      <c r="AG3" s="116">
        <f>IFERROR(IF(d_ss_Bv!I3=0,".",((Ir*F*MLF_carrot*(1-EXP(-RadSpec!AX3*t_b)))/(P*RadSpec!AX3))),".")</f>
        <v>3.4674018439480501E-3</v>
      </c>
      <c r="AH3" s="116">
        <f>IFERROR(IF(d_ss_Bv!J3=0,".",((Ir*F*MLF_citrus*(1-EXP(-RadSpec!AX3*t_b)))/(P*RadSpec!AX3))),".")</f>
        <v>5.6121864896891112E-3</v>
      </c>
      <c r="AI3" s="116">
        <f>IFERROR(IF(d_ss_Bv!K3=0,".",((Ir*F*MLF_corn*(1-EXP(-RadSpec!AX3*t_b)))/(P*RadSpec!AX3))),".")</f>
        <v>5.1832295605408994E-3</v>
      </c>
      <c r="AJ3" s="116">
        <f>IFERROR(IF(d_ss_Bv!L3=0,".",((Ir*F*MLF_cucumber*(1-EXP(-RadSpec!AX3*t_b)))/(P*RadSpec!AX3))),".")</f>
        <v>1.4298564304940414E-3</v>
      </c>
      <c r="AK3" s="116">
        <f>IFERROR(IF(d_ss_Bv!M3=0,".",((Ir*F*MLF_lettuce*(1-EXP(-RadSpec!AX3*t_b)))/(P*RadSpec!AX3))),".")</f>
        <v>0.48257654529173893</v>
      </c>
      <c r="AL3" s="116">
        <f>IFERROR(IF(d_ss_Bv!N3=0,".",((Ir*F*MLF_lima_bean*(1-EXP(-RadSpec!AX3*t_b)))/(P*RadSpec!AX3))),".")</f>
        <v>0.13690875321980447</v>
      </c>
      <c r="AM3" s="116">
        <f>IFERROR(IF(d_ss_Bv!O3=0,".",((Ir*F*MLF_okra*(1-EXP(-RadSpec!AX3*t_b)))/(P*RadSpec!AX3))),".")</f>
        <v>2.8597128609880828E-3</v>
      </c>
      <c r="AN3" s="116">
        <f>IFERROR(IF(d_ss_Bv!P3=0,".",((Ir*F*MLF_onion*(1-EXP(-RadSpec!AX3*t_b)))/(P*RadSpec!AX3))),".")</f>
        <v>3.4674018439480501E-3</v>
      </c>
      <c r="AO3" s="116">
        <f>IFERROR(IF(d_ss_Bv!Q3=0,".",((Ir*F*MLF_peach*(1-EXP(-RadSpec!AX3*t_b)))/(P*RadSpec!AX3))),".")</f>
        <v>5.361961614352654E-3</v>
      </c>
      <c r="AP3" s="116">
        <f>IFERROR(IF(d_ss_Bv!R3=0,".",((Ir*F*MLF_pear*(1-EXP(-RadSpec!AX3*t_b)))/(P*RadSpec!AX3))),".")</f>
        <v>5.7194257219761657E-3</v>
      </c>
      <c r="AQ3" s="116">
        <f>IFERROR(IF(d_ss_Bv!S3=0,".",((Ir*F*MLF_peas*(1-EXP(-RadSpec!AX3*t_b)))/(P*RadSpec!AX3))),".")</f>
        <v>6.3628611156984829E-3</v>
      </c>
      <c r="AR3" s="116">
        <f>IFERROR(IF(d_ss_Bv!T3=0,".",((Ir*F*MLF_potato*(1-EXP(-RadSpec!AX3*t_b)))/(P*RadSpec!AX3))),".")</f>
        <v>7.5067462600937164E-3</v>
      </c>
      <c r="AS3" s="116">
        <f>IFERROR(IF(d_ss_Bv!U3=0,".",((Ir*F*MLF_pumpkin*(1-EXP(-RadSpec!AX3*t_b)))/(P*RadSpec!AX3))),".")</f>
        <v>2.0732918242163598E-3</v>
      </c>
      <c r="AT3" s="116">
        <f>IFERROR(IF(d_ss_Bv!V3=0,".",((Ir*F*MLF_snap_bean*(1-EXP(-RadSpec!AX3*t_b)))/(P*RadSpec!AX3))),".")</f>
        <v>0.17873205381175516</v>
      </c>
      <c r="AU3" s="116">
        <f>IFERROR(IF(d_ss_Bv!W3=0,".",((Ir*F*MLF_strawberry*(1-EXP(-RadSpec!AX3*t_b)))/(P*RadSpec!AX3))),".")</f>
        <v>2.8597128609880828E-3</v>
      </c>
      <c r="AV3" s="116">
        <f>IFERROR(IF(d_ss_Bv!X3=0,".",((Ir*F*MLF_tomato*(1-EXP(-RadSpec!AX3*t_b)))/(P*RadSpec!AX3))),".")</f>
        <v>5.6836793112138136E-2</v>
      </c>
      <c r="AW3" s="116">
        <f>IFERROR(IF(d_ss_Bv!Y3=0,".",((Ir*F*MLF_rice*(1-EXP(-RadSpec!AX3*t_b)))/(P*RadSpec!AX3))),".")</f>
        <v>8.9366026905877582</v>
      </c>
      <c r="AX3" s="116">
        <f>IFERROR(IF(d_ss_Bv!Z3=0,".",((Ir*F*MLF_cereal*(1-EXP(-RadSpec!AX3*t_b)))/(P*RadSpec!AX3))),".")</f>
        <v>8.9366026905877582</v>
      </c>
      <c r="AY3" s="116">
        <f>IFERROR(IF(d_ss_Bv!C3=0,".",((Ir*F*I_f*T*(1-EXP(-RadSpec!AY3*t_v)))/(Y_v*RadSpec!AY3))),".")</f>
        <v>3.6424203206347228</v>
      </c>
      <c r="AZ3" s="116">
        <f>IFERROR(IF(d_ss_Bv!D3=0,".",((Ir*F*I_f*T*(1-EXP(-RadSpec!AY3*t_v)))/(Y_v*RadSpec!AY3))),".")</f>
        <v>3.6424203206347228</v>
      </c>
      <c r="BA3" s="116">
        <f>IFERROR(IF(d_ss_Bv!E3=0,".",((Ir*F*I_f*T*(1-EXP(-RadSpec!AY3*t_v)))/(Y_v*RadSpec!AY3))),".")</f>
        <v>3.6424203206347228</v>
      </c>
      <c r="BB3" s="116">
        <f>IFERROR(IF(d_ss_Bv!F3=0,".",((Ir*F*I_f*T*(1-EXP(-RadSpec!AY3*t_v)))/(Y_v*RadSpec!AY3))),".")</f>
        <v>3.6424203206347228</v>
      </c>
      <c r="BC3" s="116">
        <f>IFERROR(IF(d_ss_Bv!G3=0,".",((Ir*F*I_f*T*(1-EXP(-RadSpec!AY3*t_v)))/(Y_v*RadSpec!AY3))),".")</f>
        <v>3.6424203206347228</v>
      </c>
      <c r="BD3" s="116">
        <f>IFERROR(IF(d_ss_Bv!H3=0,".",((Ir*F*I_f*T*(1-EXP(-RadSpec!AY3*t_v)))/(Y_v*RadSpec!AY3))),".")</f>
        <v>3.6424203206347228</v>
      </c>
      <c r="BE3" s="116">
        <f>IFERROR(IF(d_ss_Bv!I3=0,".",((Ir*F*I_f*T*(1-EXP(-RadSpec!AY3*t_v)))/(Y_v*RadSpec!AY3))),".")</f>
        <v>3.6424203206347228</v>
      </c>
      <c r="BF3" s="116">
        <f>IFERROR(IF(d_ss_Bv!J3=0,".",((Ir*F*I_f*T*(1-EXP(-RadSpec!AY3*t_v)))/(Y_v*RadSpec!AY3))),".")</f>
        <v>3.6424203206347228</v>
      </c>
      <c r="BG3" s="116">
        <f>IFERROR(IF(d_ss_Bv!K3=0,".",((Ir*F*I_f*T*(1-EXP(-RadSpec!AY3*t_v)))/(Y_v*RadSpec!AY3))),".")</f>
        <v>3.6424203206347228</v>
      </c>
      <c r="BH3" s="116">
        <f>IFERROR(IF(d_ss_Bv!L3=0,".",((Ir*F*I_f*T*(1-EXP(-RadSpec!AY3*t_v)))/(Y_v*RadSpec!AY3))),".")</f>
        <v>3.6424203206347228</v>
      </c>
      <c r="BI3" s="116">
        <f>IFERROR(IF(d_ss_Bv!M3=0,".",((Ir*F*I_f*T*(1-EXP(-RadSpec!AY3*t_v)))/(Y_v*RadSpec!AY3))),".")</f>
        <v>3.6424203206347228</v>
      </c>
      <c r="BJ3" s="116">
        <f>IFERROR(IF(d_ss_Bv!N3=0,".",((Ir*F*I_f*T*(1-EXP(-RadSpec!AY3*t_v)))/(Y_v*RadSpec!AY3))),".")</f>
        <v>3.6424203206347228</v>
      </c>
      <c r="BK3" s="116">
        <f>IFERROR(IF(d_ss_Bv!O3=0,".",((Ir*F*I_f*T*(1-EXP(-RadSpec!AY3*t_v)))/(Y_v*RadSpec!AY3))),".")</f>
        <v>3.6424203206347228</v>
      </c>
      <c r="BL3" s="116">
        <f>IFERROR(IF(d_ss_Bv!P3=0,".",((Ir*F*I_f*T*(1-EXP(-RadSpec!AY3*t_v)))/(Y_v*RadSpec!AY3))),".")</f>
        <v>3.6424203206347228</v>
      </c>
      <c r="BM3" s="116">
        <f>IFERROR(IF(d_ss_Bv!Q3=0,".",((Ir*F*I_f*T*(1-EXP(-RadSpec!AY3*t_v)))/(Y_v*RadSpec!AY3))),".")</f>
        <v>3.6424203206347228</v>
      </c>
      <c r="BN3" s="116">
        <f>IFERROR(IF(d_ss_Bv!R3=0,".",((Ir*F*I_f*T*(1-EXP(-RadSpec!AY3*t_v)))/(Y_v*RadSpec!AY3))),".")</f>
        <v>3.6424203206347228</v>
      </c>
      <c r="BO3" s="116">
        <f>IFERROR(IF(d_ss_Bv!S3=0,".",((Ir*F*I_f*T*(1-EXP(-RadSpec!AY3*t_v)))/(Y_v*RadSpec!AY3))),".")</f>
        <v>3.6424203206347228</v>
      </c>
      <c r="BP3" s="116">
        <f>IFERROR(IF(d_ss_Bv!T3=0,".",((Ir*F*I_f*T*(1-EXP(-RadSpec!AY3*t_v)))/(Y_v*RadSpec!AY3))),".")</f>
        <v>3.6424203206347228</v>
      </c>
      <c r="BQ3" s="116">
        <f>IFERROR(IF(d_ss_Bv!U3=0,".",((Ir*F*I_f*T*(1-EXP(-RadSpec!AY3*t_v)))/(Y_v*RadSpec!AY3))),".")</f>
        <v>3.6424203206347228</v>
      </c>
      <c r="BR3" s="116">
        <f>IFERROR(IF(d_ss_Bv!V3=0,".",((Ir*F*I_f*T*(1-EXP(-RadSpec!AY3*t_v)))/(Y_v*RadSpec!AY3))),".")</f>
        <v>3.6424203206347228</v>
      </c>
      <c r="BS3" s="116">
        <f>IFERROR(IF(d_ss_Bv!W3=0,".",((Ir*F*I_f*T*(1-EXP(-RadSpec!AY3*t_v)))/(Y_v*RadSpec!AY3))),".")</f>
        <v>3.6424203206347228</v>
      </c>
      <c r="BT3" s="116">
        <f>IFERROR(IF(d_ss_Bv!X3=0,".",((Ir*F*I_f*T*(1-EXP(-RadSpec!AY3*t_v)))/(Y_v*RadSpec!AY3))),".")</f>
        <v>3.6424203206347228</v>
      </c>
      <c r="BU3" s="116">
        <f>IFERROR(IF(d_ss_Bv!Y3=0,".",((Ir*F*I_f*T*(1-EXP(-RadSpec!AY3*t_v)))/(Y_v*RadSpec!AY3))),".")</f>
        <v>3.6424203206347228</v>
      </c>
      <c r="BV3" s="116">
        <f>IFERROR(IF(d_ss_Bv!Z3=0,".",((Ir*F*I_f*T*(1-EXP(-RadSpec!AY3*t_v)))/(Y_v*RadSpec!AY3))),".")</f>
        <v>3.6424203206347228</v>
      </c>
    </row>
    <row r="4" spans="1:74" x14ac:dyDescent="0.25">
      <c r="A4" s="44" t="s">
        <v>14</v>
      </c>
      <c r="B4" s="42" t="s">
        <v>1074</v>
      </c>
      <c r="C4" s="116">
        <f>IFERROR(IF(d_ss_Bv!C4=0,".",((Ir*F*d_ss_Bv!C4*(1-EXP(-RadSpec!AX4*t_b)))/(P*RadSpec!AX4))),".")</f>
        <v>7.1492821524702075</v>
      </c>
      <c r="D4" s="116">
        <f>IFERROR(IF(d_ss_Bv!D4=0,".",((Ir*F*d_ss_Bv!D4*(1-EXP(-RadSpec!AX4*t_b)))/(P*RadSpec!AX4))),".")</f>
        <v>7.1492821524702075</v>
      </c>
      <c r="E4" s="116">
        <f>IFERROR(IF(d_ss_Bv!E4=0,".",((Ir*F*d_ss_Bv!E4*(1-EXP(-RadSpec!AX4*t_b)))/(P*RadSpec!AX4))),".")</f>
        <v>7.1492821524702075</v>
      </c>
      <c r="F4" s="116">
        <f>IFERROR(IF(d_ss_Bv!F4=0,".",((Ir*F*d_ss_Bv!F4*(1-EXP(-RadSpec!AX4*t_b)))/(P*RadSpec!AX4))),".")</f>
        <v>7.1492821524702075</v>
      </c>
      <c r="G4" s="116">
        <f>IFERROR(IF(d_ss_Bv!G4=0,".",((Ir*F*d_ss_Bv!G4*(1-EXP(-RadSpec!AX4*t_b)))/(P*RadSpec!AX4))),".")</f>
        <v>7.1492821524702075</v>
      </c>
      <c r="H4" s="116">
        <f>IFERROR(IF(d_ss_Bv!H4=0,".",((Ir*F*d_ss_Bv!H4*(1-EXP(-RadSpec!AX4*t_b)))/(P*RadSpec!AX4))),".")</f>
        <v>7.1492821524702075</v>
      </c>
      <c r="I4" s="116">
        <f>IFERROR(IF(d_ss_Bv!I4=0,".",((Ir*F*d_ss_Bv!I4*(1-EXP(-RadSpec!AX4*t_b)))/(P*RadSpec!AX4))),".")</f>
        <v>7.1492821524702075</v>
      </c>
      <c r="J4" s="116">
        <f>IFERROR(IF(d_ss_Bv!J4=0,".",((Ir*F*d_ss_Bv!J4*(1-EXP(-RadSpec!AX4*t_b)))/(P*RadSpec!AX4))),".")</f>
        <v>7.1492821524702075</v>
      </c>
      <c r="K4" s="116">
        <f>IFERROR(IF(d_ss_Bv!K4=0,".",((Ir*F*d_ss_Bv!K4*(1-EXP(-RadSpec!AX4*t_b)))/(P*RadSpec!AX4))),".")</f>
        <v>7.1492821524702075</v>
      </c>
      <c r="L4" s="116">
        <f>IFERROR(IF(d_ss_Bv!L4=0,".",((Ir*F*d_ss_Bv!L4*(1-EXP(-RadSpec!AX4*t_b)))/(P*RadSpec!AX4))),".")</f>
        <v>7.1492821524702075</v>
      </c>
      <c r="M4" s="116">
        <f>IFERROR(IF(d_ss_Bv!M4=0,".",((Ir*F*d_ss_Bv!M4*(1-EXP(-RadSpec!AX4*t_b)))/(P*RadSpec!AX4))),".")</f>
        <v>7.1492821524702075</v>
      </c>
      <c r="N4" s="116">
        <f>IFERROR(IF(d_ss_Bv!N4=0,".",((Ir*F*d_ss_Bv!N4*(1-EXP(-RadSpec!AX4*t_b)))/(P*RadSpec!AX4))),".")</f>
        <v>7.1492821524702075</v>
      </c>
      <c r="O4" s="116">
        <f>IFERROR(IF(d_ss_Bv!O4=0,".",((Ir*F*d_ss_Bv!O4*(1-EXP(-RadSpec!AX4*t_b)))/(P*RadSpec!AX4))),".")</f>
        <v>7.1492821524702075</v>
      </c>
      <c r="P4" s="116">
        <f>IFERROR(IF(d_ss_Bv!P4=0,".",((Ir*F*d_ss_Bv!P4*(1-EXP(-RadSpec!AX4*t_b)))/(P*RadSpec!AX4))),".")</f>
        <v>7.1492821524702075</v>
      </c>
      <c r="Q4" s="116">
        <f>IFERROR(IF(d_ss_Bv!Q4=0,".",((Ir*F*d_ss_Bv!Q4*(1-EXP(-RadSpec!AX4*t_b)))/(P*RadSpec!AX4))),".")</f>
        <v>7.1492821524702075</v>
      </c>
      <c r="R4" s="116">
        <f>IFERROR(IF(d_ss_Bv!R4=0,".",((Ir*F*d_ss_Bv!R4*(1-EXP(-RadSpec!AX4*t_b)))/(P*RadSpec!AX4))),".")</f>
        <v>7.1492821524702075</v>
      </c>
      <c r="S4" s="116">
        <f>IFERROR(IF(d_ss_Bv!S4=0,".",((Ir*F*d_ss_Bv!S4*(1-EXP(-RadSpec!AX4*t_b)))/(P*RadSpec!AX4))),".")</f>
        <v>7.1492821524702075</v>
      </c>
      <c r="T4" s="116">
        <f>IFERROR(IF(d_ss_Bv!T4=0,".",((Ir*F*d_ss_Bv!T4*(1-EXP(-RadSpec!AX4*t_b)))/(P*RadSpec!AX4))),".")</f>
        <v>7.1492821524702075</v>
      </c>
      <c r="U4" s="116">
        <f>IFERROR(IF(d_ss_Bv!U4=0,".",((Ir*F*d_ss_Bv!U4*(1-EXP(-RadSpec!AX4*t_b)))/(P*RadSpec!AX4))),".")</f>
        <v>7.1492821524702075</v>
      </c>
      <c r="V4" s="116">
        <f>IFERROR(IF(d_ss_Bv!V4=0,".",((Ir*F*d_ss_Bv!V4*(1-EXP(-RadSpec!AX4*t_b)))/(P*RadSpec!AX4))),".")</f>
        <v>7.1492821524702075</v>
      </c>
      <c r="W4" s="116">
        <f>IFERROR(IF(d_ss_Bv!W4=0,".",((Ir*F*d_ss_Bv!W4*(1-EXP(-RadSpec!AX4*t_b)))/(P*RadSpec!AX4))),".")</f>
        <v>7.1492821524702075</v>
      </c>
      <c r="X4" s="116">
        <f>IFERROR(IF(d_ss_Bv!X4=0,".",((Ir*F*d_ss_Bv!X4*(1-EXP(-RadSpec!AX4*t_b)))/(P*RadSpec!AX4))),".")</f>
        <v>7.1492821524702075</v>
      </c>
      <c r="Y4" s="116">
        <f>IFERROR(IF(d_ss_Bv!Y4=0,".",((Ir*F*d_ss_Bv!Y4*(1-EXP(-RadSpec!AX4*t_b)))/(P*RadSpec!AX4))),".")</f>
        <v>7.1492821524702075</v>
      </c>
      <c r="Z4" s="116">
        <f>IFERROR(IF(d_ss_Bv!Z4=0,".",((Ir*F*d_ss_Bv!Z4*(1-EXP(-RadSpec!AX4*t_b)))/(P*RadSpec!AX4))),".")</f>
        <v>7.1492821524702075</v>
      </c>
      <c r="AA4" s="116">
        <f>IFERROR(IF(d_ss_Bv!C4=0,".",((Ir*F*MLF_apple*(1-EXP(-RadSpec!AX4*t_b)))/(P*RadSpec!AX4))),".")</f>
        <v>5.7194257219761657E-3</v>
      </c>
      <c r="AB4" s="116">
        <f>IFERROR(IF(d_ss_Bv!D4=0,".",((Ir*F*MLF_asparagus*(1-EXP(-RadSpec!AX4*t_b)))/(P*RadSpec!AX4))),".")</f>
        <v>2.8239664502257315E-3</v>
      </c>
      <c r="AC4" s="116">
        <f>IFERROR(IF(d_ss_Bv!E4=0,".",((Ir*F*MLF_beet*(1-EXP(-RadSpec!AX4*t_b)))/(P*RadSpec!AX4))),".")</f>
        <v>4.9330046852044422E-3</v>
      </c>
      <c r="AD4" s="116">
        <f>IFERROR(IF(d_ss_Bv!F4=0,".",((Ir*F*MLF_berries*(1-EXP(-RadSpec!AX4*t_b)))/(P*RadSpec!AX4))),".")</f>
        <v>5.9339041865502712E-3</v>
      </c>
      <c r="AE4" s="116">
        <f>IFERROR(IF(d_ss_Bv!G4=0,".",((Ir*F*MLF_broccoli*(1-EXP(-RadSpec!AX4*t_b)))/(P*RadSpec!AX4))),".")</f>
        <v>3.6103874869974538E-2</v>
      </c>
      <c r="AF4" s="116">
        <f>IFERROR(IF(d_ss_Bv!H4=0,".",((Ir*F*MLF_cabbage*(1-EXP(-RadSpec!AX4*t_b)))/(P*RadSpec!AX4))),".")</f>
        <v>3.7533731300468582E-3</v>
      </c>
      <c r="AG4" s="116">
        <f>IFERROR(IF(d_ss_Bv!I4=0,".",((Ir*F*MLF_carrot*(1-EXP(-RadSpec!AX4*t_b)))/(P*RadSpec!AX4))),".")</f>
        <v>3.4674018439480501E-3</v>
      </c>
      <c r="AH4" s="116">
        <f>IFERROR(IF(d_ss_Bv!J4=0,".",((Ir*F*MLF_citrus*(1-EXP(-RadSpec!AX4*t_b)))/(P*RadSpec!AX4))),".")</f>
        <v>5.6121864896891112E-3</v>
      </c>
      <c r="AI4" s="116">
        <f>IFERROR(IF(d_ss_Bv!K4=0,".",((Ir*F*MLF_corn*(1-EXP(-RadSpec!AX4*t_b)))/(P*RadSpec!AX4))),".")</f>
        <v>5.1832295605408994E-3</v>
      </c>
      <c r="AJ4" s="116">
        <f>IFERROR(IF(d_ss_Bv!L4=0,".",((Ir*F*MLF_cucumber*(1-EXP(-RadSpec!AX4*t_b)))/(P*RadSpec!AX4))),".")</f>
        <v>1.4298564304940414E-3</v>
      </c>
      <c r="AK4" s="116">
        <f>IFERROR(IF(d_ss_Bv!M4=0,".",((Ir*F*MLF_lettuce*(1-EXP(-RadSpec!AX4*t_b)))/(P*RadSpec!AX4))),".")</f>
        <v>0.48257654529173893</v>
      </c>
      <c r="AL4" s="116">
        <f>IFERROR(IF(d_ss_Bv!N4=0,".",((Ir*F*MLF_lima_bean*(1-EXP(-RadSpec!AX4*t_b)))/(P*RadSpec!AX4))),".")</f>
        <v>0.13690875321980447</v>
      </c>
      <c r="AM4" s="116">
        <f>IFERROR(IF(d_ss_Bv!O4=0,".",((Ir*F*MLF_okra*(1-EXP(-RadSpec!AX4*t_b)))/(P*RadSpec!AX4))),".")</f>
        <v>2.8597128609880828E-3</v>
      </c>
      <c r="AN4" s="116">
        <f>IFERROR(IF(d_ss_Bv!P4=0,".",((Ir*F*MLF_onion*(1-EXP(-RadSpec!AX4*t_b)))/(P*RadSpec!AX4))),".")</f>
        <v>3.4674018439480501E-3</v>
      </c>
      <c r="AO4" s="116">
        <f>IFERROR(IF(d_ss_Bv!Q4=0,".",((Ir*F*MLF_peach*(1-EXP(-RadSpec!AX4*t_b)))/(P*RadSpec!AX4))),".")</f>
        <v>5.361961614352654E-3</v>
      </c>
      <c r="AP4" s="116" t="str">
        <f>IFERROR(IF(d_ss_Bv!OI4=0,".",((Ir*F*MLF_pear*(1-EXP(-RadSpec!AX4*t_b)))/(P*RadSpec!AX4))),".")</f>
        <v>.</v>
      </c>
      <c r="AQ4" s="116">
        <f>IFERROR(IF(d_ss_Bv!S4=0,".",((Ir*F*MLF_peas*(1-EXP(-RadSpec!AX4*t_b)))/(P*RadSpec!AX4))),".")</f>
        <v>6.3628611156984829E-3</v>
      </c>
      <c r="AR4" s="116">
        <f>IFERROR(IF(d_ss_Bv!T4=0,".",((Ir*F*MLF_potato*(1-EXP(-RadSpec!AX4*t_b)))/(P*RadSpec!AX4))),".")</f>
        <v>7.5067462600937164E-3</v>
      </c>
      <c r="AS4" s="116">
        <f>IFERROR(IF(d_ss_Bv!U4=0,".",((Ir*F*MLF_pumpkin*(1-EXP(-RadSpec!AX4*t_b)))/(P*RadSpec!AX4))),".")</f>
        <v>2.0732918242163598E-3</v>
      </c>
      <c r="AT4" s="116">
        <f>IFERROR(IF(d_ss_Bv!V4=0,".",((Ir*F*MLF_snap_bean*(1-EXP(-RadSpec!AX4*t_b)))/(P*RadSpec!AX4))),".")</f>
        <v>0.17873205381175516</v>
      </c>
      <c r="AU4" s="116">
        <f>IFERROR(IF(d_ss_Bv!W4=0,".",((Ir*F*MLF_strawberry*(1-EXP(-RadSpec!AX4*t_b)))/(P*RadSpec!AX4))),".")</f>
        <v>2.8597128609880828E-3</v>
      </c>
      <c r="AV4" s="116">
        <f>IFERROR(IF(d_ss_Bv!X4=0,".",((Ir*F*MLF_tomato*(1-EXP(-RadSpec!AX4*t_b)))/(P*RadSpec!AX4))),".")</f>
        <v>5.6836793112138136E-2</v>
      </c>
      <c r="AW4" s="116">
        <f>IFERROR(IF(d_ss_Bv!Y4=0,".",((Ir*F*MLF_rice*(1-EXP(-RadSpec!AX4*t_b)))/(P*RadSpec!AX4))),".")</f>
        <v>8.9366026905877582</v>
      </c>
      <c r="AX4" s="116">
        <f>IFERROR(IF(d_ss_Bv!Z4=0,".",((Ir*F*MLF_cereal*(1-EXP(-RadSpec!AX4*t_b)))/(P*RadSpec!AX4))),".")</f>
        <v>8.9366026905877582</v>
      </c>
      <c r="AY4" s="116">
        <f>IFERROR(IF(d_ss_Bv!C4=0,".",((Ir*F*I_f*T*(1-EXP(-RadSpec!AY4*t_v)))/(Y_v*RadSpec!AY4))),".")</f>
        <v>3.6424203206347228</v>
      </c>
      <c r="AZ4" s="116">
        <f>IFERROR(IF(d_ss_Bv!D4=0,".",((Ir*F*I_f*T*(1-EXP(-RadSpec!AY4*t_v)))/(Y_v*RadSpec!AY4))),".")</f>
        <v>3.6424203206347228</v>
      </c>
      <c r="BA4" s="116">
        <f>IFERROR(IF(d_ss_Bv!E4=0,".",((Ir*F*I_f*T*(1-EXP(-RadSpec!AY4*t_v)))/(Y_v*RadSpec!AY4))),".")</f>
        <v>3.6424203206347228</v>
      </c>
      <c r="BB4" s="116">
        <f>IFERROR(IF(d_ss_Bv!F4=0,".",((Ir*F*I_f*T*(1-EXP(-RadSpec!AY4*t_v)))/(Y_v*RadSpec!AY4))),".")</f>
        <v>3.6424203206347228</v>
      </c>
      <c r="BC4" s="116">
        <f>IFERROR(IF(d_ss_Bv!G4=0,".",((Ir*F*I_f*T*(1-EXP(-RadSpec!AY4*t_v)))/(Y_v*RadSpec!AY4))),".")</f>
        <v>3.6424203206347228</v>
      </c>
      <c r="BD4" s="116">
        <f>IFERROR(IF(d_ss_Bv!H4=0,".",((Ir*F*I_f*T*(1-EXP(-RadSpec!AY4*t_v)))/(Y_v*RadSpec!AY4))),".")</f>
        <v>3.6424203206347228</v>
      </c>
      <c r="BE4" s="116">
        <f>IFERROR(IF(d_ss_Bv!I4=0,".",((Ir*F*I_f*T*(1-EXP(-RadSpec!AY4*t_v)))/(Y_v*RadSpec!AY4))),".")</f>
        <v>3.6424203206347228</v>
      </c>
      <c r="BF4" s="116">
        <f>IFERROR(IF(d_ss_Bv!J4=0,".",((Ir*F*I_f*T*(1-EXP(-RadSpec!AY4*t_v)))/(Y_v*RadSpec!AY4))),".")</f>
        <v>3.6424203206347228</v>
      </c>
      <c r="BG4" s="116">
        <f>IFERROR(IF(d_ss_Bv!K4=0,".",((Ir*F*I_f*T*(1-EXP(-RadSpec!AY4*t_v)))/(Y_v*RadSpec!AY4))),".")</f>
        <v>3.6424203206347228</v>
      </c>
      <c r="BH4" s="116">
        <f>IFERROR(IF(d_ss_Bv!L4=0,".",((Ir*F*I_f*T*(1-EXP(-RadSpec!AY4*t_v)))/(Y_v*RadSpec!AY4))),".")</f>
        <v>3.6424203206347228</v>
      </c>
      <c r="BI4" s="116">
        <f>IFERROR(IF(d_ss_Bv!M4=0,".",((Ir*F*I_f*T*(1-EXP(-RadSpec!AY4*t_v)))/(Y_v*RadSpec!AY4))),".")</f>
        <v>3.6424203206347228</v>
      </c>
      <c r="BJ4" s="116">
        <f>IFERROR(IF(d_ss_Bv!N4=0,".",((Ir*F*I_f*T*(1-EXP(-RadSpec!AY4*t_v)))/(Y_v*RadSpec!AY4))),".")</f>
        <v>3.6424203206347228</v>
      </c>
      <c r="BK4" s="116">
        <f>IFERROR(IF(d_ss_Bv!O4=0,".",((Ir*F*I_f*T*(1-EXP(-RadSpec!AY4*t_v)))/(Y_v*RadSpec!AY4))),".")</f>
        <v>3.6424203206347228</v>
      </c>
      <c r="BL4" s="116">
        <f>IFERROR(IF(d_ss_Bv!P4=0,".",((Ir*F*I_f*T*(1-EXP(-RadSpec!AY4*t_v)))/(Y_v*RadSpec!AY4))),".")</f>
        <v>3.6424203206347228</v>
      </c>
      <c r="BM4" s="116">
        <f>IFERROR(IF(d_ss_Bv!Q4=0,".",((Ir*F*I_f*T*(1-EXP(-RadSpec!AY4*t_v)))/(Y_v*RadSpec!AY4))),".")</f>
        <v>3.6424203206347228</v>
      </c>
      <c r="BN4" s="116">
        <f>IFERROR(IF(d_ss_Bv!R4=0,".",((Ir*F*I_f*T*(1-EXP(-RadSpec!AY4*t_v)))/(Y_v*RadSpec!AY4))),".")</f>
        <v>3.6424203206347228</v>
      </c>
      <c r="BO4" s="116">
        <f>IFERROR(IF(d_ss_Bv!S4=0,".",((Ir*F*I_f*T*(1-EXP(-RadSpec!AY4*t_v)))/(Y_v*RadSpec!AY4))),".")</f>
        <v>3.6424203206347228</v>
      </c>
      <c r="BP4" s="116">
        <f>IFERROR(IF(d_ss_Bv!T4=0,".",((Ir*F*I_f*T*(1-EXP(-RadSpec!AY4*t_v)))/(Y_v*RadSpec!AY4))),".")</f>
        <v>3.6424203206347228</v>
      </c>
      <c r="BQ4" s="116">
        <f>IFERROR(IF(d_ss_Bv!U4=0,".",((Ir*F*I_f*T*(1-EXP(-RadSpec!AY4*t_v)))/(Y_v*RadSpec!AY4))),".")</f>
        <v>3.6424203206347228</v>
      </c>
      <c r="BR4" s="116">
        <f>IFERROR(IF(d_ss_Bv!V4=0,".",((Ir*F*I_f*T*(1-EXP(-RadSpec!AY4*t_v)))/(Y_v*RadSpec!AY4))),".")</f>
        <v>3.6424203206347228</v>
      </c>
      <c r="BS4" s="116">
        <f>IFERROR(IF(d_ss_Bv!W4=0,".",((Ir*F*I_f*T*(1-EXP(-RadSpec!AY4*t_v)))/(Y_v*RadSpec!AY4))),".")</f>
        <v>3.6424203206347228</v>
      </c>
      <c r="BT4" s="116">
        <f>IFERROR(IF(d_ss_Bv!X4=0,".",((Ir*F*I_f*T*(1-EXP(-RadSpec!AY4*t_v)))/(Y_v*RadSpec!AY4))),".")</f>
        <v>3.6424203206347228</v>
      </c>
      <c r="BU4" s="116">
        <f>IFERROR(IF(d_ss_Bv!Y4=0,".",((Ir*F*I_f*T*(1-EXP(-RadSpec!AY4*t_v)))/(Y_v*RadSpec!AY4))),".")</f>
        <v>3.6424203206347228</v>
      </c>
      <c r="BV4" s="116">
        <f>IFERROR(IF(d_ss_Bv!Z4=0,".",((Ir*F*I_f*T*(1-EXP(-RadSpec!AY4*t_v)))/(Y_v*RadSpec!AY4))),".")</f>
        <v>3.6424203206347228</v>
      </c>
    </row>
    <row r="5" spans="1:74" x14ac:dyDescent="0.25">
      <c r="A5" s="44" t="s">
        <v>15</v>
      </c>
      <c r="B5" s="42" t="s">
        <v>1074</v>
      </c>
      <c r="C5" s="116">
        <f>IFERROR(IF(d_ss_Bv!C5=0,".",((Ir*F*d_ss_Bv!C5*(1-EXP(-RadSpec!AX5*t_b)))/(P*RadSpec!AX5))),".")</f>
        <v>7.1492821524702075</v>
      </c>
      <c r="D5" s="116">
        <f>IFERROR(IF(d_ss_Bv!D5=0,".",((Ir*F*d_ss_Bv!D5*(1-EXP(-RadSpec!AX5*t_b)))/(P*RadSpec!AX5))),".")</f>
        <v>7.1492821524702075</v>
      </c>
      <c r="E5" s="116">
        <f>IFERROR(IF(d_ss_Bv!E5=0,".",((Ir*F*d_ss_Bv!E5*(1-EXP(-RadSpec!AX5*t_b)))/(P*RadSpec!AX5))),".")</f>
        <v>7.1492821524702075</v>
      </c>
      <c r="F5" s="116">
        <f>IFERROR(IF(d_ss_Bv!F5=0,".",((Ir*F*d_ss_Bv!F5*(1-EXP(-RadSpec!AX5*t_b)))/(P*RadSpec!AX5))),".")</f>
        <v>7.1492821524702075</v>
      </c>
      <c r="G5" s="116">
        <f>IFERROR(IF(d_ss_Bv!G5=0,".",((Ir*F*d_ss_Bv!G5*(1-EXP(-RadSpec!AX5*t_b)))/(P*RadSpec!AX5))),".")</f>
        <v>7.1492821524702075</v>
      </c>
      <c r="H5" s="116">
        <f>IFERROR(IF(d_ss_Bv!H5=0,".",((Ir*F*d_ss_Bv!H5*(1-EXP(-RadSpec!AX5*t_b)))/(P*RadSpec!AX5))),".")</f>
        <v>7.1492821524702075</v>
      </c>
      <c r="I5" s="116">
        <f>IFERROR(IF(d_ss_Bv!I5=0,".",((Ir*F*d_ss_Bv!I5*(1-EXP(-RadSpec!AX5*t_b)))/(P*RadSpec!AX5))),".")</f>
        <v>7.1492821524702075</v>
      </c>
      <c r="J5" s="116">
        <f>IFERROR(IF(d_ss_Bv!J5=0,".",((Ir*F*d_ss_Bv!J5*(1-EXP(-RadSpec!AX5*t_b)))/(P*RadSpec!AX5))),".")</f>
        <v>7.1492821524702075</v>
      </c>
      <c r="K5" s="116">
        <f>IFERROR(IF(d_ss_Bv!K5=0,".",((Ir*F*d_ss_Bv!K5*(1-EXP(-RadSpec!AX5*t_b)))/(P*RadSpec!AX5))),".")</f>
        <v>7.1492821524702075</v>
      </c>
      <c r="L5" s="116">
        <f>IFERROR(IF(d_ss_Bv!L5=0,".",((Ir*F*d_ss_Bv!L5*(1-EXP(-RadSpec!AX5*t_b)))/(P*RadSpec!AX5))),".")</f>
        <v>7.1492821524702075</v>
      </c>
      <c r="M5" s="116">
        <f>IFERROR(IF(d_ss_Bv!M5=0,".",((Ir*F*d_ss_Bv!M5*(1-EXP(-RadSpec!AX5*t_b)))/(P*RadSpec!AX5))),".")</f>
        <v>7.1492821524702075</v>
      </c>
      <c r="N5" s="116">
        <f>IFERROR(IF(d_ss_Bv!N5=0,".",((Ir*F*d_ss_Bv!N5*(1-EXP(-RadSpec!AX5*t_b)))/(P*RadSpec!AX5))),".")</f>
        <v>7.1492821524702075</v>
      </c>
      <c r="O5" s="116">
        <f>IFERROR(IF(d_ss_Bv!O5=0,".",((Ir*F*d_ss_Bv!O5*(1-EXP(-RadSpec!AX5*t_b)))/(P*RadSpec!AX5))),".")</f>
        <v>7.1492821524702075</v>
      </c>
      <c r="P5" s="116">
        <f>IFERROR(IF(d_ss_Bv!P5=0,".",((Ir*F*d_ss_Bv!P5*(1-EXP(-RadSpec!AX5*t_b)))/(P*RadSpec!AX5))),".")</f>
        <v>7.1492821524702075</v>
      </c>
      <c r="Q5" s="116">
        <f>IFERROR(IF(d_ss_Bv!Q5=0,".",((Ir*F*d_ss_Bv!Q5*(1-EXP(-RadSpec!AX5*t_b)))/(P*RadSpec!AX5))),".")</f>
        <v>7.1492821524702075</v>
      </c>
      <c r="R5" s="116">
        <f>IFERROR(IF(d_ss_Bv!R5=0,".",((Ir*F*d_ss_Bv!R5*(1-EXP(-RadSpec!AX5*t_b)))/(P*RadSpec!AX5))),".")</f>
        <v>7.1492821524702075</v>
      </c>
      <c r="S5" s="116">
        <f>IFERROR(IF(d_ss_Bv!S5=0,".",((Ir*F*d_ss_Bv!S5*(1-EXP(-RadSpec!AX5*t_b)))/(P*RadSpec!AX5))),".")</f>
        <v>7.1492821524702075</v>
      </c>
      <c r="T5" s="116">
        <f>IFERROR(IF(d_ss_Bv!T5=0,".",((Ir*F*d_ss_Bv!T5*(1-EXP(-RadSpec!AX5*t_b)))/(P*RadSpec!AX5))),".")</f>
        <v>7.1492821524702075</v>
      </c>
      <c r="U5" s="116">
        <f>IFERROR(IF(d_ss_Bv!U5=0,".",((Ir*F*d_ss_Bv!U5*(1-EXP(-RadSpec!AX5*t_b)))/(P*RadSpec!AX5))),".")</f>
        <v>7.1492821524702075</v>
      </c>
      <c r="V5" s="116">
        <f>IFERROR(IF(d_ss_Bv!V5=0,".",((Ir*F*d_ss_Bv!V5*(1-EXP(-RadSpec!AX5*t_b)))/(P*RadSpec!AX5))),".")</f>
        <v>7.1492821524702075</v>
      </c>
      <c r="W5" s="116">
        <f>IFERROR(IF(d_ss_Bv!W5=0,".",((Ir*F*d_ss_Bv!W5*(1-EXP(-RadSpec!AX5*t_b)))/(P*RadSpec!AX5))),".")</f>
        <v>7.1492821524702075</v>
      </c>
      <c r="X5" s="116">
        <f>IFERROR(IF(d_ss_Bv!X5=0,".",((Ir*F*d_ss_Bv!X5*(1-EXP(-RadSpec!AX5*t_b)))/(P*RadSpec!AX5))),".")</f>
        <v>7.1492821524702075</v>
      </c>
      <c r="Y5" s="116">
        <f>IFERROR(IF(d_ss_Bv!Y5=0,".",((Ir*F*d_ss_Bv!Y5*(1-EXP(-RadSpec!AX5*t_b)))/(P*RadSpec!AX5))),".")</f>
        <v>7.1492821524702075</v>
      </c>
      <c r="Z5" s="116">
        <f>IFERROR(IF(d_ss_Bv!Z5=0,".",((Ir*F*d_ss_Bv!Z5*(1-EXP(-RadSpec!AX5*t_b)))/(P*RadSpec!AX5))),".")</f>
        <v>7.1492821524702075</v>
      </c>
      <c r="AA5" s="116">
        <f>IFERROR(IF(d_ss_Bv!C5=0,".",((Ir*F*MLF_apple*(1-EXP(-RadSpec!AX5*t_b)))/(P*RadSpec!AX5))),".")</f>
        <v>5.7194257219761657E-3</v>
      </c>
      <c r="AB5" s="116">
        <f>IFERROR(IF(d_ss_Bv!D5=0,".",((Ir*F*MLF_asparagus*(1-EXP(-RadSpec!AX5*t_b)))/(P*RadSpec!AX5))),".")</f>
        <v>2.8239664502257315E-3</v>
      </c>
      <c r="AC5" s="116">
        <f>IFERROR(IF(d_ss_Bv!E5=0,".",((Ir*F*MLF_beet*(1-EXP(-RadSpec!AX5*t_b)))/(P*RadSpec!AX5))),".")</f>
        <v>4.9330046852044422E-3</v>
      </c>
      <c r="AD5" s="116">
        <f>IFERROR(IF(d_ss_Bv!F5=0,".",((Ir*F*MLF_berries*(1-EXP(-RadSpec!AX5*t_b)))/(P*RadSpec!AX5))),".")</f>
        <v>5.9339041865502712E-3</v>
      </c>
      <c r="AE5" s="116">
        <f>IFERROR(IF(d_ss_Bv!G5=0,".",((Ir*F*MLF_broccoli*(1-EXP(-RadSpec!AX5*t_b)))/(P*RadSpec!AX5))),".")</f>
        <v>3.6103874869974538E-2</v>
      </c>
      <c r="AF5" s="116">
        <f>IFERROR(IF(d_ss_Bv!H5=0,".",((Ir*F*MLF_cabbage*(1-EXP(-RadSpec!AX5*t_b)))/(P*RadSpec!AX5))),".")</f>
        <v>3.7533731300468582E-3</v>
      </c>
      <c r="AG5" s="116">
        <f>IFERROR(IF(d_ss_Bv!I5=0,".",((Ir*F*MLF_carrot*(1-EXP(-RadSpec!AX5*t_b)))/(P*RadSpec!AX5))),".")</f>
        <v>3.4674018439480501E-3</v>
      </c>
      <c r="AH5" s="116">
        <f>IFERROR(IF(d_ss_Bv!J5=0,".",((Ir*F*MLF_citrus*(1-EXP(-RadSpec!AX5*t_b)))/(P*RadSpec!AX5))),".")</f>
        <v>5.6121864896891112E-3</v>
      </c>
      <c r="AI5" s="116">
        <f>IFERROR(IF(d_ss_Bv!K5=0,".",((Ir*F*MLF_corn*(1-EXP(-RadSpec!AX5*t_b)))/(P*RadSpec!AX5))),".")</f>
        <v>5.1832295605408994E-3</v>
      </c>
      <c r="AJ5" s="116">
        <f>IFERROR(IF(d_ss_Bv!L5=0,".",((Ir*F*MLF_cucumber*(1-EXP(-RadSpec!AX5*t_b)))/(P*RadSpec!AX5))),".")</f>
        <v>1.4298564304940414E-3</v>
      </c>
      <c r="AK5" s="116">
        <f>IFERROR(IF(d_ss_Bv!M5=0,".",((Ir*F*MLF_lettuce*(1-EXP(-RadSpec!AX5*t_b)))/(P*RadSpec!AX5))),".")</f>
        <v>0.48257654529173893</v>
      </c>
      <c r="AL5" s="116">
        <f>IFERROR(IF(d_ss_Bv!N5=0,".",((Ir*F*MLF_lima_bean*(1-EXP(-RadSpec!AX5*t_b)))/(P*RadSpec!AX5))),".")</f>
        <v>0.13690875321980447</v>
      </c>
      <c r="AM5" s="116">
        <f>IFERROR(IF(d_ss_Bv!O5=0,".",((Ir*F*MLF_okra*(1-EXP(-RadSpec!AX5*t_b)))/(P*RadSpec!AX5))),".")</f>
        <v>2.8597128609880828E-3</v>
      </c>
      <c r="AN5" s="116">
        <f>IFERROR(IF(d_ss_Bv!P5=0,".",((Ir*F*MLF_onion*(1-EXP(-RadSpec!AX5*t_b)))/(P*RadSpec!AX5))),".")</f>
        <v>3.4674018439480501E-3</v>
      </c>
      <c r="AO5" s="116">
        <f>IFERROR(IF(d_ss_Bv!Q5=0,".",((Ir*F*MLF_peach*(1-EXP(-RadSpec!AX5*t_b)))/(P*RadSpec!AX5))),".")</f>
        <v>5.361961614352654E-3</v>
      </c>
      <c r="AP5" s="116" t="str">
        <f>IFERROR(IF(d_ss_Bv!OI5=0,".",((Ir*F*MLF_pear*(1-EXP(-RadSpec!AX5*t_b)))/(P*RadSpec!AX5))),".")</f>
        <v>.</v>
      </c>
      <c r="AQ5" s="116">
        <f>IFERROR(IF(d_ss_Bv!S5=0,".",((Ir*F*MLF_peas*(1-EXP(-RadSpec!AX5*t_b)))/(P*RadSpec!AX5))),".")</f>
        <v>6.3628611156984829E-3</v>
      </c>
      <c r="AR5" s="116">
        <f>IFERROR(IF(d_ss_Bv!T5=0,".",((Ir*F*MLF_potato*(1-EXP(-RadSpec!AX5*t_b)))/(P*RadSpec!AX5))),".")</f>
        <v>7.5067462600937164E-3</v>
      </c>
      <c r="AS5" s="116">
        <f>IFERROR(IF(d_ss_Bv!U5=0,".",((Ir*F*MLF_pumpkin*(1-EXP(-RadSpec!AX5*t_b)))/(P*RadSpec!AX5))),".")</f>
        <v>2.0732918242163598E-3</v>
      </c>
      <c r="AT5" s="116">
        <f>IFERROR(IF(d_ss_Bv!V5=0,".",((Ir*F*MLF_snap_bean*(1-EXP(-RadSpec!AX5*t_b)))/(P*RadSpec!AX5))),".")</f>
        <v>0.17873205381175516</v>
      </c>
      <c r="AU5" s="116">
        <f>IFERROR(IF(d_ss_Bv!W5=0,".",((Ir*F*MLF_strawberry*(1-EXP(-RadSpec!AX5*t_b)))/(P*RadSpec!AX5))),".")</f>
        <v>2.8597128609880828E-3</v>
      </c>
      <c r="AV5" s="116">
        <f>IFERROR(IF(d_ss_Bv!X5=0,".",((Ir*F*MLF_tomato*(1-EXP(-RadSpec!AX5*t_b)))/(P*RadSpec!AX5))),".")</f>
        <v>5.6836793112138136E-2</v>
      </c>
      <c r="AW5" s="116">
        <f>IFERROR(IF(d_ss_Bv!Y5=0,".",((Ir*F*MLF_rice*(1-EXP(-RadSpec!AX5*t_b)))/(P*RadSpec!AX5))),".")</f>
        <v>8.9366026905877582</v>
      </c>
      <c r="AX5" s="116">
        <f>IFERROR(IF(d_ss_Bv!Z5=0,".",((Ir*F*MLF_cereal*(1-EXP(-RadSpec!AX5*t_b)))/(P*RadSpec!AX5))),".")</f>
        <v>8.9366026905877582</v>
      </c>
      <c r="AY5" s="116">
        <f>IFERROR(IF(d_ss_Bv!C5=0,".",((Ir*F*I_f*T*(1-EXP(-RadSpec!AY5*t_v)))/(Y_v*RadSpec!AY5))),".")</f>
        <v>3.6424203206347228</v>
      </c>
      <c r="AZ5" s="116">
        <f>IFERROR(IF(d_ss_Bv!D5=0,".",((Ir*F*I_f*T*(1-EXP(-RadSpec!AY5*t_v)))/(Y_v*RadSpec!AY5))),".")</f>
        <v>3.6424203206347228</v>
      </c>
      <c r="BA5" s="116">
        <f>IFERROR(IF(d_ss_Bv!E5=0,".",((Ir*F*I_f*T*(1-EXP(-RadSpec!AY5*t_v)))/(Y_v*RadSpec!AY5))),".")</f>
        <v>3.6424203206347228</v>
      </c>
      <c r="BB5" s="116">
        <f>IFERROR(IF(d_ss_Bv!F5=0,".",((Ir*F*I_f*T*(1-EXP(-RadSpec!AY5*t_v)))/(Y_v*RadSpec!AY5))),".")</f>
        <v>3.6424203206347228</v>
      </c>
      <c r="BC5" s="116">
        <f>IFERROR(IF(d_ss_Bv!G5=0,".",((Ir*F*I_f*T*(1-EXP(-RadSpec!AY5*t_v)))/(Y_v*RadSpec!AY5))),".")</f>
        <v>3.6424203206347228</v>
      </c>
      <c r="BD5" s="116">
        <f>IFERROR(IF(d_ss_Bv!H5=0,".",((Ir*F*I_f*T*(1-EXP(-RadSpec!AY5*t_v)))/(Y_v*RadSpec!AY5))),".")</f>
        <v>3.6424203206347228</v>
      </c>
      <c r="BE5" s="116">
        <f>IFERROR(IF(d_ss_Bv!I5=0,".",((Ir*F*I_f*T*(1-EXP(-RadSpec!AY5*t_v)))/(Y_v*RadSpec!AY5))),".")</f>
        <v>3.6424203206347228</v>
      </c>
      <c r="BF5" s="116">
        <f>IFERROR(IF(d_ss_Bv!J5=0,".",((Ir*F*I_f*T*(1-EXP(-RadSpec!AY5*t_v)))/(Y_v*RadSpec!AY5))),".")</f>
        <v>3.6424203206347228</v>
      </c>
      <c r="BG5" s="116">
        <f>IFERROR(IF(d_ss_Bv!K5=0,".",((Ir*F*I_f*T*(1-EXP(-RadSpec!AY5*t_v)))/(Y_v*RadSpec!AY5))),".")</f>
        <v>3.6424203206347228</v>
      </c>
      <c r="BH5" s="116">
        <f>IFERROR(IF(d_ss_Bv!L5=0,".",((Ir*F*I_f*T*(1-EXP(-RadSpec!AY5*t_v)))/(Y_v*RadSpec!AY5))),".")</f>
        <v>3.6424203206347228</v>
      </c>
      <c r="BI5" s="116">
        <f>IFERROR(IF(d_ss_Bv!M5=0,".",((Ir*F*I_f*T*(1-EXP(-RadSpec!AY5*t_v)))/(Y_v*RadSpec!AY5))),".")</f>
        <v>3.6424203206347228</v>
      </c>
      <c r="BJ5" s="116">
        <f>IFERROR(IF(d_ss_Bv!N5=0,".",((Ir*F*I_f*T*(1-EXP(-RadSpec!AY5*t_v)))/(Y_v*RadSpec!AY5))),".")</f>
        <v>3.6424203206347228</v>
      </c>
      <c r="BK5" s="116">
        <f>IFERROR(IF(d_ss_Bv!O5=0,".",((Ir*F*I_f*T*(1-EXP(-RadSpec!AY5*t_v)))/(Y_v*RadSpec!AY5))),".")</f>
        <v>3.6424203206347228</v>
      </c>
      <c r="BL5" s="116">
        <f>IFERROR(IF(d_ss_Bv!P5=0,".",((Ir*F*I_f*T*(1-EXP(-RadSpec!AY5*t_v)))/(Y_v*RadSpec!AY5))),".")</f>
        <v>3.6424203206347228</v>
      </c>
      <c r="BM5" s="116">
        <f>IFERROR(IF(d_ss_Bv!Q5=0,".",((Ir*F*I_f*T*(1-EXP(-RadSpec!AY5*t_v)))/(Y_v*RadSpec!AY5))),".")</f>
        <v>3.6424203206347228</v>
      </c>
      <c r="BN5" s="116">
        <f>IFERROR(IF(d_ss_Bv!R5=0,".",((Ir*F*I_f*T*(1-EXP(-RadSpec!AY5*t_v)))/(Y_v*RadSpec!AY5))),".")</f>
        <v>3.6424203206347228</v>
      </c>
      <c r="BO5" s="116">
        <f>IFERROR(IF(d_ss_Bv!S5=0,".",((Ir*F*I_f*T*(1-EXP(-RadSpec!AY5*t_v)))/(Y_v*RadSpec!AY5))),".")</f>
        <v>3.6424203206347228</v>
      </c>
      <c r="BP5" s="116">
        <f>IFERROR(IF(d_ss_Bv!T5=0,".",((Ir*F*I_f*T*(1-EXP(-RadSpec!AY5*t_v)))/(Y_v*RadSpec!AY5))),".")</f>
        <v>3.6424203206347228</v>
      </c>
      <c r="BQ5" s="116">
        <f>IFERROR(IF(d_ss_Bv!U5=0,".",((Ir*F*I_f*T*(1-EXP(-RadSpec!AY5*t_v)))/(Y_v*RadSpec!AY5))),".")</f>
        <v>3.6424203206347228</v>
      </c>
      <c r="BR5" s="116">
        <f>IFERROR(IF(d_ss_Bv!V5=0,".",((Ir*F*I_f*T*(1-EXP(-RadSpec!AY5*t_v)))/(Y_v*RadSpec!AY5))),".")</f>
        <v>3.6424203206347228</v>
      </c>
      <c r="BS5" s="116">
        <f>IFERROR(IF(d_ss_Bv!W5=0,".",((Ir*F*I_f*T*(1-EXP(-RadSpec!AY5*t_v)))/(Y_v*RadSpec!AY5))),".")</f>
        <v>3.6424203206347228</v>
      </c>
      <c r="BT5" s="116">
        <f>IFERROR(IF(d_ss_Bv!X5=0,".",((Ir*F*I_f*T*(1-EXP(-RadSpec!AY5*t_v)))/(Y_v*RadSpec!AY5))),".")</f>
        <v>3.6424203206347228</v>
      </c>
      <c r="BU5" s="116">
        <f>IFERROR(IF(d_ss_Bv!Y5=0,".",((Ir*F*I_f*T*(1-EXP(-RadSpec!AY5*t_v)))/(Y_v*RadSpec!AY5))),".")</f>
        <v>3.6424203206347228</v>
      </c>
      <c r="BV5" s="116">
        <f>IFERROR(IF(d_ss_Bv!Z5=0,".",((Ir*F*I_f*T*(1-EXP(-RadSpec!AY5*t_v)))/(Y_v*RadSpec!AY5))),".")</f>
        <v>3.6424203206347228</v>
      </c>
    </row>
    <row r="6" spans="1:74" x14ac:dyDescent="0.25">
      <c r="A6" s="44" t="s">
        <v>16</v>
      </c>
      <c r="B6" s="42" t="s">
        <v>1074</v>
      </c>
      <c r="C6" s="116">
        <f>IFERROR(IF(d_ss_Bv!C6=0,".",((Ir*F*d_ss_Bv!C6*(1-EXP(-RadSpec!AX6*t_b)))/(P*RadSpec!AX6))),".")</f>
        <v>0.35746410762351033</v>
      </c>
      <c r="D6" s="116">
        <f>IFERROR(IF(d_ss_Bv!D6=0,".",((Ir*F*d_ss_Bv!D6*(1-EXP(-RadSpec!AX6*t_b)))/(P*RadSpec!AX6))),".")</f>
        <v>0.17873205381175516</v>
      </c>
      <c r="E6" s="116">
        <f>IFERROR(IF(d_ss_Bv!E6=0,".",((Ir*F*d_ss_Bv!E6*(1-EXP(-RadSpec!AX6*t_b)))/(P*RadSpec!AX6))),".")</f>
        <v>0.17873205381175516</v>
      </c>
      <c r="F6" s="116">
        <f>IFERROR(IF(d_ss_Bv!F6=0,".",((Ir*F*d_ss_Bv!F6*(1-EXP(-RadSpec!AX6*t_b)))/(P*RadSpec!AX6))),".")</f>
        <v>0.35746410762351033</v>
      </c>
      <c r="G6" s="116">
        <f>IFERROR(IF(d_ss_Bv!G6=0,".",((Ir*F*d_ss_Bv!G6*(1-EXP(-RadSpec!AX6*t_b)))/(P*RadSpec!AX6))),".")</f>
        <v>0.35746410762351033</v>
      </c>
      <c r="H6" s="116">
        <f>IFERROR(IF(d_ss_Bv!H6=0,".",((Ir*F*d_ss_Bv!H6*(1-EXP(-RadSpec!AX6*t_b)))/(P*RadSpec!AX6))),".")</f>
        <v>0.17873205381175516</v>
      </c>
      <c r="I6" s="116">
        <f>IFERROR(IF(d_ss_Bv!I6=0,".",((Ir*F*d_ss_Bv!I6*(1-EXP(-RadSpec!AX6*t_b)))/(P*RadSpec!AX6))),".")</f>
        <v>0.17873205381175516</v>
      </c>
      <c r="J6" s="116">
        <f>IFERROR(IF(d_ss_Bv!J6=0,".",((Ir*F*d_ss_Bv!J6*(1-EXP(-RadSpec!AX6*t_b)))/(P*RadSpec!AX6))),".")</f>
        <v>0.35746410762351033</v>
      </c>
      <c r="K6" s="116">
        <f>IFERROR(IF(d_ss_Bv!K6=0,".",((Ir*F*d_ss_Bv!K6*(1-EXP(-RadSpec!AX6*t_b)))/(P*RadSpec!AX6))),".")</f>
        <v>0.35746410762351033</v>
      </c>
      <c r="L6" s="116">
        <f>IFERROR(IF(d_ss_Bv!L6=0,".",((Ir*F*d_ss_Bv!L6*(1-EXP(-RadSpec!AX6*t_b)))/(P*RadSpec!AX6))),".")</f>
        <v>0.35746410762351033</v>
      </c>
      <c r="M6" s="116">
        <f>IFERROR(IF(d_ss_Bv!M6=0,".",((Ir*F*d_ss_Bv!M6*(1-EXP(-RadSpec!AX6*t_b)))/(P*RadSpec!AX6))),".")</f>
        <v>0.17873205381175516</v>
      </c>
      <c r="N6" s="116">
        <f>IFERROR(IF(d_ss_Bv!N6=0,".",((Ir*F*d_ss_Bv!N6*(1-EXP(-RadSpec!AX6*t_b)))/(P*RadSpec!AX6))),".")</f>
        <v>0.35746410762351033</v>
      </c>
      <c r="O6" s="116">
        <f>IFERROR(IF(d_ss_Bv!O6=0,".",((Ir*F*d_ss_Bv!O6*(1-EXP(-RadSpec!AX6*t_b)))/(P*RadSpec!AX6))),".")</f>
        <v>0.35746410762351033</v>
      </c>
      <c r="P6" s="116">
        <f>IFERROR(IF(d_ss_Bv!P6=0,".",((Ir*F*d_ss_Bv!P6*(1-EXP(-RadSpec!AX6*t_b)))/(P*RadSpec!AX6))),".")</f>
        <v>0.35746410762351033</v>
      </c>
      <c r="Q6" s="116">
        <f>IFERROR(IF(d_ss_Bv!Q6=0,".",((Ir*F*d_ss_Bv!Q6*(1-EXP(-RadSpec!AX6*t_b)))/(P*RadSpec!AX6))),".")</f>
        <v>0.35746410762351033</v>
      </c>
      <c r="R6" s="116">
        <f>IFERROR(IF(d_ss_Bv!R6=0,".",((Ir*F*d_ss_Bv!R6*(1-EXP(-RadSpec!AX6*t_b)))/(P*RadSpec!AX6))),".")</f>
        <v>0.35746410762351033</v>
      </c>
      <c r="S6" s="116">
        <f>IFERROR(IF(d_ss_Bv!S6=0,".",((Ir*F*d_ss_Bv!S6*(1-EXP(-RadSpec!AX6*t_b)))/(P*RadSpec!AX6))),".")</f>
        <v>0.35746410762351033</v>
      </c>
      <c r="T6" s="116">
        <f>IFERROR(IF(d_ss_Bv!T6=0,".",((Ir*F*d_ss_Bv!T6*(1-EXP(-RadSpec!AX6*t_b)))/(P*RadSpec!AX6))),".")</f>
        <v>0.17873205381175516</v>
      </c>
      <c r="U6" s="116">
        <f>IFERROR(IF(d_ss_Bv!U6=0,".",((Ir*F*d_ss_Bv!U6*(1-EXP(-RadSpec!AX6*t_b)))/(P*RadSpec!AX6))),".")</f>
        <v>0.35746410762351033</v>
      </c>
      <c r="V6" s="116">
        <f>IFERROR(IF(d_ss_Bv!V6=0,".",((Ir*F*d_ss_Bv!V6*(1-EXP(-RadSpec!AX6*t_b)))/(P*RadSpec!AX6))),".")</f>
        <v>0.35746410762351033</v>
      </c>
      <c r="W6" s="116">
        <f>IFERROR(IF(d_ss_Bv!W6=0,".",((Ir*F*d_ss_Bv!W6*(1-EXP(-RadSpec!AX6*t_b)))/(P*RadSpec!AX6))),".")</f>
        <v>0.35746410762351033</v>
      </c>
      <c r="X6" s="116">
        <f>IFERROR(IF(d_ss_Bv!X6=0,".",((Ir*F*d_ss_Bv!X6*(1-EXP(-RadSpec!AX6*t_b)))/(P*RadSpec!AX6))),".")</f>
        <v>0.35746410762351033</v>
      </c>
      <c r="Y6" s="116">
        <f>IFERROR(IF(d_ss_Bv!Y6=0,".",((Ir*F*d_ss_Bv!Y6*(1-EXP(-RadSpec!AX6*t_b)))/(P*RadSpec!AX6))),".")</f>
        <v>3.3601626116609967E-2</v>
      </c>
      <c r="Z6" s="116">
        <f>IFERROR(IF(d_ss_Bv!Z6=0,".",((Ir*F*d_ss_Bv!Z6*(1-EXP(-RadSpec!AX6*t_b)))/(P*RadSpec!AX6))),".")</f>
        <v>3.5746410762351036E-2</v>
      </c>
      <c r="AA6" s="116">
        <f>IFERROR(IF(d_ss_Bv!C6=0,".",((Ir*F*MLF_apple*(1-EXP(-RadSpec!AX6*t_b)))/(P*RadSpec!AX6))),".")</f>
        <v>5.7194257219761657E-3</v>
      </c>
      <c r="AB6" s="116">
        <f>IFERROR(IF(d_ss_Bv!D6=0,".",((Ir*F*MLF_asparagus*(1-EXP(-RadSpec!AX6*t_b)))/(P*RadSpec!AX6))),".")</f>
        <v>2.8239664502257315E-3</v>
      </c>
      <c r="AC6" s="116">
        <f>IFERROR(IF(d_ss_Bv!E6=0,".",((Ir*F*MLF_beet*(1-EXP(-RadSpec!AX6*t_b)))/(P*RadSpec!AX6))),".")</f>
        <v>4.9330046852044422E-3</v>
      </c>
      <c r="AD6" s="116">
        <f>IFERROR(IF(d_ss_Bv!F6=0,".",((Ir*F*MLF_berries*(1-EXP(-RadSpec!AX6*t_b)))/(P*RadSpec!AX6))),".")</f>
        <v>5.9339041865502712E-3</v>
      </c>
      <c r="AE6" s="116">
        <f>IFERROR(IF(d_ss_Bv!G6=0,".",((Ir*F*MLF_broccoli*(1-EXP(-RadSpec!AX6*t_b)))/(P*RadSpec!AX6))),".")</f>
        <v>3.6103874869974538E-2</v>
      </c>
      <c r="AF6" s="116">
        <f>IFERROR(IF(d_ss_Bv!H6=0,".",((Ir*F*MLF_cabbage*(1-EXP(-RadSpec!AX6*t_b)))/(P*RadSpec!AX6))),".")</f>
        <v>3.7533731300468582E-3</v>
      </c>
      <c r="AG6" s="116">
        <f>IFERROR(IF(d_ss_Bv!I6=0,".",((Ir*F*MLF_carrot*(1-EXP(-RadSpec!AX6*t_b)))/(P*RadSpec!AX6))),".")</f>
        <v>3.4674018439480501E-3</v>
      </c>
      <c r="AH6" s="116">
        <f>IFERROR(IF(d_ss_Bv!J6=0,".",((Ir*F*MLF_citrus*(1-EXP(-RadSpec!AX6*t_b)))/(P*RadSpec!AX6))),".")</f>
        <v>5.6121864896891112E-3</v>
      </c>
      <c r="AI6" s="116">
        <f>IFERROR(IF(d_ss_Bv!K6=0,".",((Ir*F*MLF_corn*(1-EXP(-RadSpec!AX6*t_b)))/(P*RadSpec!AX6))),".")</f>
        <v>5.1832295605408994E-3</v>
      </c>
      <c r="AJ6" s="116">
        <f>IFERROR(IF(d_ss_Bv!L6=0,".",((Ir*F*MLF_cucumber*(1-EXP(-RadSpec!AX6*t_b)))/(P*RadSpec!AX6))),".")</f>
        <v>1.4298564304940414E-3</v>
      </c>
      <c r="AK6" s="116">
        <f>IFERROR(IF(d_ss_Bv!M6=0,".",((Ir*F*MLF_lettuce*(1-EXP(-RadSpec!AX6*t_b)))/(P*RadSpec!AX6))),".")</f>
        <v>0.48257654529173893</v>
      </c>
      <c r="AL6" s="116">
        <f>IFERROR(IF(d_ss_Bv!N6=0,".",((Ir*F*MLF_lima_bean*(1-EXP(-RadSpec!AX6*t_b)))/(P*RadSpec!AX6))),".")</f>
        <v>0.13690875321980447</v>
      </c>
      <c r="AM6" s="116">
        <f>IFERROR(IF(d_ss_Bv!O6=0,".",((Ir*F*MLF_okra*(1-EXP(-RadSpec!AX6*t_b)))/(P*RadSpec!AX6))),".")</f>
        <v>2.8597128609880828E-3</v>
      </c>
      <c r="AN6" s="116">
        <f>IFERROR(IF(d_ss_Bv!P6=0,".",((Ir*F*MLF_onion*(1-EXP(-RadSpec!AX6*t_b)))/(P*RadSpec!AX6))),".")</f>
        <v>3.4674018439480501E-3</v>
      </c>
      <c r="AO6" s="116">
        <f>IFERROR(IF(d_ss_Bv!Q6=0,".",((Ir*F*MLF_peach*(1-EXP(-RadSpec!AX6*t_b)))/(P*RadSpec!AX6))),".")</f>
        <v>5.361961614352654E-3</v>
      </c>
      <c r="AP6" s="116" t="str">
        <f>IFERROR(IF(d_ss_Bv!OI6=0,".",((Ir*F*MLF_pear*(1-EXP(-RadSpec!AX6*t_b)))/(P*RadSpec!AX6))),".")</f>
        <v>.</v>
      </c>
      <c r="AQ6" s="116">
        <f>IFERROR(IF(d_ss_Bv!S6=0,".",((Ir*F*MLF_peas*(1-EXP(-RadSpec!AX6*t_b)))/(P*RadSpec!AX6))),".")</f>
        <v>6.3628611156984829E-3</v>
      </c>
      <c r="AR6" s="116">
        <f>IFERROR(IF(d_ss_Bv!T6=0,".",((Ir*F*MLF_potato*(1-EXP(-RadSpec!AX6*t_b)))/(P*RadSpec!AX6))),".")</f>
        <v>7.5067462600937164E-3</v>
      </c>
      <c r="AS6" s="116">
        <f>IFERROR(IF(d_ss_Bv!U6=0,".",((Ir*F*MLF_pumpkin*(1-EXP(-RadSpec!AX6*t_b)))/(P*RadSpec!AX6))),".")</f>
        <v>2.0732918242163598E-3</v>
      </c>
      <c r="AT6" s="116">
        <f>IFERROR(IF(d_ss_Bv!V6=0,".",((Ir*F*MLF_snap_bean*(1-EXP(-RadSpec!AX6*t_b)))/(P*RadSpec!AX6))),".")</f>
        <v>0.17873205381175516</v>
      </c>
      <c r="AU6" s="116">
        <f>IFERROR(IF(d_ss_Bv!W6=0,".",((Ir*F*MLF_strawberry*(1-EXP(-RadSpec!AX6*t_b)))/(P*RadSpec!AX6))),".")</f>
        <v>2.8597128609880828E-3</v>
      </c>
      <c r="AV6" s="116">
        <f>IFERROR(IF(d_ss_Bv!X6=0,".",((Ir*F*MLF_tomato*(1-EXP(-RadSpec!AX6*t_b)))/(P*RadSpec!AX6))),".")</f>
        <v>5.6836793112138136E-2</v>
      </c>
      <c r="AW6" s="116">
        <f>IFERROR(IF(d_ss_Bv!Y6=0,".",((Ir*F*MLF_rice*(1-EXP(-RadSpec!AX6*t_b)))/(P*RadSpec!AX6))),".")</f>
        <v>8.9366026905877582</v>
      </c>
      <c r="AX6" s="116">
        <f>IFERROR(IF(d_ss_Bv!Z6=0,".",((Ir*F*MLF_cereal*(1-EXP(-RadSpec!AX6*t_b)))/(P*RadSpec!AX6))),".")</f>
        <v>8.9366026905877582</v>
      </c>
      <c r="AY6" s="116">
        <f>IFERROR(IF(d_ss_Bv!C6=0,".",((Ir*F*I_f*T*(1-EXP(-RadSpec!AY6*t_v)))/(Y_v*RadSpec!AY6))),".")</f>
        <v>3.6424203206347228</v>
      </c>
      <c r="AZ6" s="116">
        <f>IFERROR(IF(d_ss_Bv!D6=0,".",((Ir*F*I_f*T*(1-EXP(-RadSpec!AY6*t_v)))/(Y_v*RadSpec!AY6))),".")</f>
        <v>3.6424203206347228</v>
      </c>
      <c r="BA6" s="116">
        <f>IFERROR(IF(d_ss_Bv!E6=0,".",((Ir*F*I_f*T*(1-EXP(-RadSpec!AY6*t_v)))/(Y_v*RadSpec!AY6))),".")</f>
        <v>3.6424203206347228</v>
      </c>
      <c r="BB6" s="116">
        <f>IFERROR(IF(d_ss_Bv!F6=0,".",((Ir*F*I_f*T*(1-EXP(-RadSpec!AY6*t_v)))/(Y_v*RadSpec!AY6))),".")</f>
        <v>3.6424203206347228</v>
      </c>
      <c r="BC6" s="116">
        <f>IFERROR(IF(d_ss_Bv!G6=0,".",((Ir*F*I_f*T*(1-EXP(-RadSpec!AY6*t_v)))/(Y_v*RadSpec!AY6))),".")</f>
        <v>3.6424203206347228</v>
      </c>
      <c r="BD6" s="116">
        <f>IFERROR(IF(d_ss_Bv!H6=0,".",((Ir*F*I_f*T*(1-EXP(-RadSpec!AY6*t_v)))/(Y_v*RadSpec!AY6))),".")</f>
        <v>3.6424203206347228</v>
      </c>
      <c r="BE6" s="116">
        <f>IFERROR(IF(d_ss_Bv!I6=0,".",((Ir*F*I_f*T*(1-EXP(-RadSpec!AY6*t_v)))/(Y_v*RadSpec!AY6))),".")</f>
        <v>3.6424203206347228</v>
      </c>
      <c r="BF6" s="116">
        <f>IFERROR(IF(d_ss_Bv!J6=0,".",((Ir*F*I_f*T*(1-EXP(-RadSpec!AY6*t_v)))/(Y_v*RadSpec!AY6))),".")</f>
        <v>3.6424203206347228</v>
      </c>
      <c r="BG6" s="116">
        <f>IFERROR(IF(d_ss_Bv!K6=0,".",((Ir*F*I_f*T*(1-EXP(-RadSpec!AY6*t_v)))/(Y_v*RadSpec!AY6))),".")</f>
        <v>3.6424203206347228</v>
      </c>
      <c r="BH6" s="116">
        <f>IFERROR(IF(d_ss_Bv!L6=0,".",((Ir*F*I_f*T*(1-EXP(-RadSpec!AY6*t_v)))/(Y_v*RadSpec!AY6))),".")</f>
        <v>3.6424203206347228</v>
      </c>
      <c r="BI6" s="116">
        <f>IFERROR(IF(d_ss_Bv!M6=0,".",((Ir*F*I_f*T*(1-EXP(-RadSpec!AY6*t_v)))/(Y_v*RadSpec!AY6))),".")</f>
        <v>3.6424203206347228</v>
      </c>
      <c r="BJ6" s="116">
        <f>IFERROR(IF(d_ss_Bv!N6=0,".",((Ir*F*I_f*T*(1-EXP(-RadSpec!AY6*t_v)))/(Y_v*RadSpec!AY6))),".")</f>
        <v>3.6424203206347228</v>
      </c>
      <c r="BK6" s="116">
        <f>IFERROR(IF(d_ss_Bv!O6=0,".",((Ir*F*I_f*T*(1-EXP(-RadSpec!AY6*t_v)))/(Y_v*RadSpec!AY6))),".")</f>
        <v>3.6424203206347228</v>
      </c>
      <c r="BL6" s="116">
        <f>IFERROR(IF(d_ss_Bv!P6=0,".",((Ir*F*I_f*T*(1-EXP(-RadSpec!AY6*t_v)))/(Y_v*RadSpec!AY6))),".")</f>
        <v>3.6424203206347228</v>
      </c>
      <c r="BM6" s="116">
        <f>IFERROR(IF(d_ss_Bv!Q6=0,".",((Ir*F*I_f*T*(1-EXP(-RadSpec!AY6*t_v)))/(Y_v*RadSpec!AY6))),".")</f>
        <v>3.6424203206347228</v>
      </c>
      <c r="BN6" s="116">
        <f>IFERROR(IF(d_ss_Bv!R6=0,".",((Ir*F*I_f*T*(1-EXP(-RadSpec!AY6*t_v)))/(Y_v*RadSpec!AY6))),".")</f>
        <v>3.6424203206347228</v>
      </c>
      <c r="BO6" s="116">
        <f>IFERROR(IF(d_ss_Bv!S6=0,".",((Ir*F*I_f*T*(1-EXP(-RadSpec!AY6*t_v)))/(Y_v*RadSpec!AY6))),".")</f>
        <v>3.6424203206347228</v>
      </c>
      <c r="BP6" s="116">
        <f>IFERROR(IF(d_ss_Bv!T6=0,".",((Ir*F*I_f*T*(1-EXP(-RadSpec!AY6*t_v)))/(Y_v*RadSpec!AY6))),".")</f>
        <v>3.6424203206347228</v>
      </c>
      <c r="BQ6" s="116">
        <f>IFERROR(IF(d_ss_Bv!U6=0,".",((Ir*F*I_f*T*(1-EXP(-RadSpec!AY6*t_v)))/(Y_v*RadSpec!AY6))),".")</f>
        <v>3.6424203206347228</v>
      </c>
      <c r="BR6" s="116">
        <f>IFERROR(IF(d_ss_Bv!V6=0,".",((Ir*F*I_f*T*(1-EXP(-RadSpec!AY6*t_v)))/(Y_v*RadSpec!AY6))),".")</f>
        <v>3.6424203206347228</v>
      </c>
      <c r="BS6" s="116">
        <f>IFERROR(IF(d_ss_Bv!W6=0,".",((Ir*F*I_f*T*(1-EXP(-RadSpec!AY6*t_v)))/(Y_v*RadSpec!AY6))),".")</f>
        <v>3.6424203206347228</v>
      </c>
      <c r="BT6" s="116">
        <f>IFERROR(IF(d_ss_Bv!X6=0,".",((Ir*F*I_f*T*(1-EXP(-RadSpec!AY6*t_v)))/(Y_v*RadSpec!AY6))),".")</f>
        <v>3.6424203206347228</v>
      </c>
      <c r="BU6" s="116">
        <f>IFERROR(IF(d_ss_Bv!Y6=0,".",((Ir*F*I_f*T*(1-EXP(-RadSpec!AY6*t_v)))/(Y_v*RadSpec!AY6))),".")</f>
        <v>3.6424203206347228</v>
      </c>
      <c r="BV6" s="116">
        <f>IFERROR(IF(d_ss_Bv!Z6=0,".",((Ir*F*I_f*T*(1-EXP(-RadSpec!AY6*t_v)))/(Y_v*RadSpec!AY6))),".")</f>
        <v>3.6424203206347228</v>
      </c>
    </row>
    <row r="7" spans="1:74" x14ac:dyDescent="0.25">
      <c r="A7" s="44" t="s">
        <v>17</v>
      </c>
      <c r="B7" s="42" t="s">
        <v>1074</v>
      </c>
      <c r="C7" s="116">
        <f>IFERROR(IF(d_ss_Bv!C7=0,".",((Ir*F*d_ss_Bv!C7*(1-EXP(-RadSpec!AX7*t_b)))/(P*RadSpec!AX7))),".")</f>
        <v>3.5746410762351037</v>
      </c>
      <c r="D7" s="116">
        <f>IFERROR(IF(d_ss_Bv!D7=0,".",((Ir*F*d_ss_Bv!D7*(1-EXP(-RadSpec!AX7*t_b)))/(P*RadSpec!AX7))),".")</f>
        <v>3.5746410762351037</v>
      </c>
      <c r="E7" s="116">
        <f>IFERROR(IF(d_ss_Bv!E7=0,".",((Ir*F*d_ss_Bv!E7*(1-EXP(-RadSpec!AX7*t_b)))/(P*RadSpec!AX7))),".")</f>
        <v>3.5746410762351037</v>
      </c>
      <c r="F7" s="116">
        <f>IFERROR(IF(d_ss_Bv!F7=0,".",((Ir*F*d_ss_Bv!F7*(1-EXP(-RadSpec!AX7*t_b)))/(P*RadSpec!AX7))),".")</f>
        <v>3.5746410762351037</v>
      </c>
      <c r="G7" s="116">
        <f>IFERROR(IF(d_ss_Bv!G7=0,".",((Ir*F*d_ss_Bv!G7*(1-EXP(-RadSpec!AX7*t_b)))/(P*RadSpec!AX7))),".")</f>
        <v>3.5746410762351037</v>
      </c>
      <c r="H7" s="116">
        <f>IFERROR(IF(d_ss_Bv!H7=0,".",((Ir*F*d_ss_Bv!H7*(1-EXP(-RadSpec!AX7*t_b)))/(P*RadSpec!AX7))),".")</f>
        <v>3.5746410762351037</v>
      </c>
      <c r="I7" s="116">
        <f>IFERROR(IF(d_ss_Bv!I7=0,".",((Ir*F*d_ss_Bv!I7*(1-EXP(-RadSpec!AX7*t_b)))/(P*RadSpec!AX7))),".")</f>
        <v>3.5746410762351037</v>
      </c>
      <c r="J7" s="116">
        <f>IFERROR(IF(d_ss_Bv!J7=0,".",((Ir*F*d_ss_Bv!J7*(1-EXP(-RadSpec!AX7*t_b)))/(P*RadSpec!AX7))),".")</f>
        <v>3.5746410762351037</v>
      </c>
      <c r="K7" s="116">
        <f>IFERROR(IF(d_ss_Bv!K7=0,".",((Ir*F*d_ss_Bv!K7*(1-EXP(-RadSpec!AX7*t_b)))/(P*RadSpec!AX7))),".")</f>
        <v>3.5746410762351037</v>
      </c>
      <c r="L7" s="116">
        <f>IFERROR(IF(d_ss_Bv!L7=0,".",((Ir*F*d_ss_Bv!L7*(1-EXP(-RadSpec!AX7*t_b)))/(P*RadSpec!AX7))),".")</f>
        <v>3.5746410762351037</v>
      </c>
      <c r="M7" s="116">
        <f>IFERROR(IF(d_ss_Bv!M7=0,".",((Ir*F*d_ss_Bv!M7*(1-EXP(-RadSpec!AX7*t_b)))/(P*RadSpec!AX7))),".")</f>
        <v>3.5746410762351037</v>
      </c>
      <c r="N7" s="116">
        <f>IFERROR(IF(d_ss_Bv!N7=0,".",((Ir*F*d_ss_Bv!N7*(1-EXP(-RadSpec!AX7*t_b)))/(P*RadSpec!AX7))),".")</f>
        <v>3.5746410762351037</v>
      </c>
      <c r="O7" s="116">
        <f>IFERROR(IF(d_ss_Bv!O7=0,".",((Ir*F*d_ss_Bv!O7*(1-EXP(-RadSpec!AX7*t_b)))/(P*RadSpec!AX7))),".")</f>
        <v>3.5746410762351037</v>
      </c>
      <c r="P7" s="116">
        <f>IFERROR(IF(d_ss_Bv!P7=0,".",((Ir*F*d_ss_Bv!P7*(1-EXP(-RadSpec!AX7*t_b)))/(P*RadSpec!AX7))),".")</f>
        <v>3.5746410762351037</v>
      </c>
      <c r="Q7" s="116">
        <f>IFERROR(IF(d_ss_Bv!Q7=0,".",((Ir*F*d_ss_Bv!Q7*(1-EXP(-RadSpec!AX7*t_b)))/(P*RadSpec!AX7))),".")</f>
        <v>3.5746410762351037</v>
      </c>
      <c r="R7" s="116">
        <f>IFERROR(IF(d_ss_Bv!R7=0,".",((Ir*F*d_ss_Bv!R7*(1-EXP(-RadSpec!AX7*t_b)))/(P*RadSpec!AX7))),".")</f>
        <v>3.5746410762351037</v>
      </c>
      <c r="S7" s="116">
        <f>IFERROR(IF(d_ss_Bv!S7=0,".",((Ir*F*d_ss_Bv!S7*(1-EXP(-RadSpec!AX7*t_b)))/(P*RadSpec!AX7))),".")</f>
        <v>3.5746410762351037</v>
      </c>
      <c r="T7" s="116">
        <f>IFERROR(IF(d_ss_Bv!T7=0,".",((Ir*F*d_ss_Bv!T7*(1-EXP(-RadSpec!AX7*t_b)))/(P*RadSpec!AX7))),".")</f>
        <v>3.5746410762351037</v>
      </c>
      <c r="U7" s="116">
        <f>IFERROR(IF(d_ss_Bv!U7=0,".",((Ir*F*d_ss_Bv!U7*(1-EXP(-RadSpec!AX7*t_b)))/(P*RadSpec!AX7))),".")</f>
        <v>3.5746410762351037</v>
      </c>
      <c r="V7" s="116">
        <f>IFERROR(IF(d_ss_Bv!V7=0,".",((Ir*F*d_ss_Bv!V7*(1-EXP(-RadSpec!AX7*t_b)))/(P*RadSpec!AX7))),".")</f>
        <v>3.5746410762351037</v>
      </c>
      <c r="W7" s="116">
        <f>IFERROR(IF(d_ss_Bv!W7=0,".",((Ir*F*d_ss_Bv!W7*(1-EXP(-RadSpec!AX7*t_b)))/(P*RadSpec!AX7))),".")</f>
        <v>3.5746410762351037</v>
      </c>
      <c r="X7" s="116">
        <f>IFERROR(IF(d_ss_Bv!X7=0,".",((Ir*F*d_ss_Bv!X7*(1-EXP(-RadSpec!AX7*t_b)))/(P*RadSpec!AX7))),".")</f>
        <v>3.5746410762351037</v>
      </c>
      <c r="Y7" s="116">
        <f>IFERROR(IF(d_ss_Bv!Y7=0,".",((Ir*F*d_ss_Bv!Y7*(1-EXP(-RadSpec!AX7*t_b)))/(P*RadSpec!AX7))),".")</f>
        <v>3.5746410762351037</v>
      </c>
      <c r="Z7" s="116">
        <f>IFERROR(IF(d_ss_Bv!Z7=0,".",((Ir*F*d_ss_Bv!Z7*(1-EXP(-RadSpec!AX7*t_b)))/(P*RadSpec!AX7))),".")</f>
        <v>3.5746410762351037</v>
      </c>
      <c r="AA7" s="116">
        <f>IFERROR(IF(d_ss_Bv!C7=0,".",((Ir*F*MLF_apple*(1-EXP(-RadSpec!AX7*t_b)))/(P*RadSpec!AX7))),".")</f>
        <v>5.7194257219761657E-3</v>
      </c>
      <c r="AB7" s="116">
        <f>IFERROR(IF(d_ss_Bv!D7=0,".",((Ir*F*MLF_asparagus*(1-EXP(-RadSpec!AX7*t_b)))/(P*RadSpec!AX7))),".")</f>
        <v>2.8239664502257315E-3</v>
      </c>
      <c r="AC7" s="116">
        <f>IFERROR(IF(d_ss_Bv!E7=0,".",((Ir*F*MLF_beet*(1-EXP(-RadSpec!AX7*t_b)))/(P*RadSpec!AX7))),".")</f>
        <v>4.9330046852044422E-3</v>
      </c>
      <c r="AD7" s="116">
        <f>IFERROR(IF(d_ss_Bv!F7=0,".",((Ir*F*MLF_berries*(1-EXP(-RadSpec!AX7*t_b)))/(P*RadSpec!AX7))),".")</f>
        <v>5.9339041865502712E-3</v>
      </c>
      <c r="AE7" s="116">
        <f>IFERROR(IF(d_ss_Bv!G7=0,".",((Ir*F*MLF_broccoli*(1-EXP(-RadSpec!AX7*t_b)))/(P*RadSpec!AX7))),".")</f>
        <v>3.6103874869974538E-2</v>
      </c>
      <c r="AF7" s="116">
        <f>IFERROR(IF(d_ss_Bv!H7=0,".",((Ir*F*MLF_cabbage*(1-EXP(-RadSpec!AX7*t_b)))/(P*RadSpec!AX7))),".")</f>
        <v>3.7533731300468582E-3</v>
      </c>
      <c r="AG7" s="116">
        <f>IFERROR(IF(d_ss_Bv!I7=0,".",((Ir*F*MLF_carrot*(1-EXP(-RadSpec!AX7*t_b)))/(P*RadSpec!AX7))),".")</f>
        <v>3.4674018439480501E-3</v>
      </c>
      <c r="AH7" s="116">
        <f>IFERROR(IF(d_ss_Bv!J7=0,".",((Ir*F*MLF_citrus*(1-EXP(-RadSpec!AX7*t_b)))/(P*RadSpec!AX7))),".")</f>
        <v>5.6121864896891112E-3</v>
      </c>
      <c r="AI7" s="116">
        <f>IFERROR(IF(d_ss_Bv!K7=0,".",((Ir*F*MLF_corn*(1-EXP(-RadSpec!AX7*t_b)))/(P*RadSpec!AX7))),".")</f>
        <v>5.1832295605408994E-3</v>
      </c>
      <c r="AJ7" s="116">
        <f>IFERROR(IF(d_ss_Bv!L7=0,".",((Ir*F*MLF_cucumber*(1-EXP(-RadSpec!AX7*t_b)))/(P*RadSpec!AX7))),".")</f>
        <v>1.4298564304940414E-3</v>
      </c>
      <c r="AK7" s="116">
        <f>IFERROR(IF(d_ss_Bv!M7=0,".",((Ir*F*MLF_lettuce*(1-EXP(-RadSpec!AX7*t_b)))/(P*RadSpec!AX7))),".")</f>
        <v>0.48257654529173893</v>
      </c>
      <c r="AL7" s="116">
        <f>IFERROR(IF(d_ss_Bv!N7=0,".",((Ir*F*MLF_lima_bean*(1-EXP(-RadSpec!AX7*t_b)))/(P*RadSpec!AX7))),".")</f>
        <v>0.13690875321980447</v>
      </c>
      <c r="AM7" s="116">
        <f>IFERROR(IF(d_ss_Bv!O7=0,".",((Ir*F*MLF_okra*(1-EXP(-RadSpec!AX7*t_b)))/(P*RadSpec!AX7))),".")</f>
        <v>2.8597128609880828E-3</v>
      </c>
      <c r="AN7" s="116">
        <f>IFERROR(IF(d_ss_Bv!P7=0,".",((Ir*F*MLF_onion*(1-EXP(-RadSpec!AX7*t_b)))/(P*RadSpec!AX7))),".")</f>
        <v>3.4674018439480501E-3</v>
      </c>
      <c r="AO7" s="116">
        <f>IFERROR(IF(d_ss_Bv!Q7=0,".",((Ir*F*MLF_peach*(1-EXP(-RadSpec!AX7*t_b)))/(P*RadSpec!AX7))),".")</f>
        <v>5.361961614352654E-3</v>
      </c>
      <c r="AP7" s="116" t="str">
        <f>IFERROR(IF(d_ss_Bv!OI7=0,".",((Ir*F*MLF_pear*(1-EXP(-RadSpec!AX7*t_b)))/(P*RadSpec!AX7))),".")</f>
        <v>.</v>
      </c>
      <c r="AQ7" s="116">
        <f>IFERROR(IF(d_ss_Bv!S7=0,".",((Ir*F*MLF_peas*(1-EXP(-RadSpec!AX7*t_b)))/(P*RadSpec!AX7))),".")</f>
        <v>6.3628611156984829E-3</v>
      </c>
      <c r="AR7" s="116">
        <f>IFERROR(IF(d_ss_Bv!T7=0,".",((Ir*F*MLF_potato*(1-EXP(-RadSpec!AX7*t_b)))/(P*RadSpec!AX7))),".")</f>
        <v>7.5067462600937164E-3</v>
      </c>
      <c r="AS7" s="116">
        <f>IFERROR(IF(d_ss_Bv!U7=0,".",((Ir*F*MLF_pumpkin*(1-EXP(-RadSpec!AX7*t_b)))/(P*RadSpec!AX7))),".")</f>
        <v>2.0732918242163598E-3</v>
      </c>
      <c r="AT7" s="116">
        <f>IFERROR(IF(d_ss_Bv!V7=0,".",((Ir*F*MLF_snap_bean*(1-EXP(-RadSpec!AX7*t_b)))/(P*RadSpec!AX7))),".")</f>
        <v>0.17873205381175516</v>
      </c>
      <c r="AU7" s="116">
        <f>IFERROR(IF(d_ss_Bv!W7=0,".",((Ir*F*MLF_strawberry*(1-EXP(-RadSpec!AX7*t_b)))/(P*RadSpec!AX7))),".")</f>
        <v>2.8597128609880828E-3</v>
      </c>
      <c r="AV7" s="116">
        <f>IFERROR(IF(d_ss_Bv!X7=0,".",((Ir*F*MLF_tomato*(1-EXP(-RadSpec!AX7*t_b)))/(P*RadSpec!AX7))),".")</f>
        <v>5.6836793112138136E-2</v>
      </c>
      <c r="AW7" s="116">
        <f>IFERROR(IF(d_ss_Bv!Y7=0,".",((Ir*F*MLF_rice*(1-EXP(-RadSpec!AX7*t_b)))/(P*RadSpec!AX7))),".")</f>
        <v>8.9366026905877582</v>
      </c>
      <c r="AX7" s="116">
        <f>IFERROR(IF(d_ss_Bv!Z7=0,".",((Ir*F*MLF_cereal*(1-EXP(-RadSpec!AX7*t_b)))/(P*RadSpec!AX7))),".")</f>
        <v>8.9366026905877582</v>
      </c>
      <c r="AY7" s="116">
        <f>IFERROR(IF(d_ss_Bv!C7=0,".",((Ir*F*I_f*T*(1-EXP(-RadSpec!AY7*t_v)))/(Y_v*RadSpec!AY7))),".")</f>
        <v>3.6424203206347228</v>
      </c>
      <c r="AZ7" s="116">
        <f>IFERROR(IF(d_ss_Bv!D7=0,".",((Ir*F*I_f*T*(1-EXP(-RadSpec!AY7*t_v)))/(Y_v*RadSpec!AY7))),".")</f>
        <v>3.6424203206347228</v>
      </c>
      <c r="BA7" s="116">
        <f>IFERROR(IF(d_ss_Bv!E7=0,".",((Ir*F*I_f*T*(1-EXP(-RadSpec!AY7*t_v)))/(Y_v*RadSpec!AY7))),".")</f>
        <v>3.6424203206347228</v>
      </c>
      <c r="BB7" s="116">
        <f>IFERROR(IF(d_ss_Bv!F7=0,".",((Ir*F*I_f*T*(1-EXP(-RadSpec!AY7*t_v)))/(Y_v*RadSpec!AY7))),".")</f>
        <v>3.6424203206347228</v>
      </c>
      <c r="BC7" s="116">
        <f>IFERROR(IF(d_ss_Bv!G7=0,".",((Ir*F*I_f*T*(1-EXP(-RadSpec!AY7*t_v)))/(Y_v*RadSpec!AY7))),".")</f>
        <v>3.6424203206347228</v>
      </c>
      <c r="BD7" s="116">
        <f>IFERROR(IF(d_ss_Bv!H7=0,".",((Ir*F*I_f*T*(1-EXP(-RadSpec!AY7*t_v)))/(Y_v*RadSpec!AY7))),".")</f>
        <v>3.6424203206347228</v>
      </c>
      <c r="BE7" s="116">
        <f>IFERROR(IF(d_ss_Bv!I7=0,".",((Ir*F*I_f*T*(1-EXP(-RadSpec!AY7*t_v)))/(Y_v*RadSpec!AY7))),".")</f>
        <v>3.6424203206347228</v>
      </c>
      <c r="BF7" s="116">
        <f>IFERROR(IF(d_ss_Bv!J7=0,".",((Ir*F*I_f*T*(1-EXP(-RadSpec!AY7*t_v)))/(Y_v*RadSpec!AY7))),".")</f>
        <v>3.6424203206347228</v>
      </c>
      <c r="BG7" s="116">
        <f>IFERROR(IF(d_ss_Bv!K7=0,".",((Ir*F*I_f*T*(1-EXP(-RadSpec!AY7*t_v)))/(Y_v*RadSpec!AY7))),".")</f>
        <v>3.6424203206347228</v>
      </c>
      <c r="BH7" s="116">
        <f>IFERROR(IF(d_ss_Bv!L7=0,".",((Ir*F*I_f*T*(1-EXP(-RadSpec!AY7*t_v)))/(Y_v*RadSpec!AY7))),".")</f>
        <v>3.6424203206347228</v>
      </c>
      <c r="BI7" s="116">
        <f>IFERROR(IF(d_ss_Bv!M7=0,".",((Ir*F*I_f*T*(1-EXP(-RadSpec!AY7*t_v)))/(Y_v*RadSpec!AY7))),".")</f>
        <v>3.6424203206347228</v>
      </c>
      <c r="BJ7" s="116">
        <f>IFERROR(IF(d_ss_Bv!N7=0,".",((Ir*F*I_f*T*(1-EXP(-RadSpec!AY7*t_v)))/(Y_v*RadSpec!AY7))),".")</f>
        <v>3.6424203206347228</v>
      </c>
      <c r="BK7" s="116">
        <f>IFERROR(IF(d_ss_Bv!O7=0,".",((Ir*F*I_f*T*(1-EXP(-RadSpec!AY7*t_v)))/(Y_v*RadSpec!AY7))),".")</f>
        <v>3.6424203206347228</v>
      </c>
      <c r="BL7" s="116">
        <f>IFERROR(IF(d_ss_Bv!P7=0,".",((Ir*F*I_f*T*(1-EXP(-RadSpec!AY7*t_v)))/(Y_v*RadSpec!AY7))),".")</f>
        <v>3.6424203206347228</v>
      </c>
      <c r="BM7" s="116">
        <f>IFERROR(IF(d_ss_Bv!Q7=0,".",((Ir*F*I_f*T*(1-EXP(-RadSpec!AY7*t_v)))/(Y_v*RadSpec!AY7))),".")</f>
        <v>3.6424203206347228</v>
      </c>
      <c r="BN7" s="116">
        <f>IFERROR(IF(d_ss_Bv!R7=0,".",((Ir*F*I_f*T*(1-EXP(-RadSpec!AY7*t_v)))/(Y_v*RadSpec!AY7))),".")</f>
        <v>3.6424203206347228</v>
      </c>
      <c r="BO7" s="116">
        <f>IFERROR(IF(d_ss_Bv!S7=0,".",((Ir*F*I_f*T*(1-EXP(-RadSpec!AY7*t_v)))/(Y_v*RadSpec!AY7))),".")</f>
        <v>3.6424203206347228</v>
      </c>
      <c r="BP7" s="116">
        <f>IFERROR(IF(d_ss_Bv!T7=0,".",((Ir*F*I_f*T*(1-EXP(-RadSpec!AY7*t_v)))/(Y_v*RadSpec!AY7))),".")</f>
        <v>3.6424203206347228</v>
      </c>
      <c r="BQ7" s="116">
        <f>IFERROR(IF(d_ss_Bv!U7=0,".",((Ir*F*I_f*T*(1-EXP(-RadSpec!AY7*t_v)))/(Y_v*RadSpec!AY7))),".")</f>
        <v>3.6424203206347228</v>
      </c>
      <c r="BR7" s="116">
        <f>IFERROR(IF(d_ss_Bv!V7=0,".",((Ir*F*I_f*T*(1-EXP(-RadSpec!AY7*t_v)))/(Y_v*RadSpec!AY7))),".")</f>
        <v>3.6424203206347228</v>
      </c>
      <c r="BS7" s="116">
        <f>IFERROR(IF(d_ss_Bv!W7=0,".",((Ir*F*I_f*T*(1-EXP(-RadSpec!AY7*t_v)))/(Y_v*RadSpec!AY7))),".")</f>
        <v>3.6424203206347228</v>
      </c>
      <c r="BT7" s="116">
        <f>IFERROR(IF(d_ss_Bv!X7=0,".",((Ir*F*I_f*T*(1-EXP(-RadSpec!AY7*t_v)))/(Y_v*RadSpec!AY7))),".")</f>
        <v>3.6424203206347228</v>
      </c>
      <c r="BU7" s="116">
        <f>IFERROR(IF(d_ss_Bv!Y7=0,".",((Ir*F*I_f*T*(1-EXP(-RadSpec!AY7*t_v)))/(Y_v*RadSpec!AY7))),".")</f>
        <v>3.6424203206347228</v>
      </c>
      <c r="BV7" s="116">
        <f>IFERROR(IF(d_ss_Bv!Z7=0,".",((Ir*F*I_f*T*(1-EXP(-RadSpec!AY7*t_v)))/(Y_v*RadSpec!AY7))),".")</f>
        <v>3.6424203206347228</v>
      </c>
    </row>
    <row r="8" spans="1:74" x14ac:dyDescent="0.25">
      <c r="A8" s="44" t="s">
        <v>18</v>
      </c>
      <c r="B8" s="42" t="s">
        <v>1074</v>
      </c>
      <c r="C8" s="116">
        <f>IFERROR(IF(d_ss_Bv!C8=0,".",((Ir*F*d_ss_Bv!C8*(1-EXP(-RadSpec!AX8*t_b)))/(P*RadSpec!AX8))),".")</f>
        <v>3.5746410762351037</v>
      </c>
      <c r="D8" s="116">
        <f>IFERROR(IF(d_ss_Bv!D8=0,".",((Ir*F*d_ss_Bv!D8*(1-EXP(-RadSpec!AX8*t_b)))/(P*RadSpec!AX8))),".")</f>
        <v>3.5746410762351037</v>
      </c>
      <c r="E8" s="116">
        <f>IFERROR(IF(d_ss_Bv!E8=0,".",((Ir*F*d_ss_Bv!E8*(1-EXP(-RadSpec!AX8*t_b)))/(P*RadSpec!AX8))),".")</f>
        <v>3.5746410762351037</v>
      </c>
      <c r="F8" s="116">
        <f>IFERROR(IF(d_ss_Bv!F8=0,".",((Ir*F*d_ss_Bv!F8*(1-EXP(-RadSpec!AX8*t_b)))/(P*RadSpec!AX8))),".")</f>
        <v>3.5746410762351037</v>
      </c>
      <c r="G8" s="116">
        <f>IFERROR(IF(d_ss_Bv!G8=0,".",((Ir*F*d_ss_Bv!G8*(1-EXP(-RadSpec!AX8*t_b)))/(P*RadSpec!AX8))),".")</f>
        <v>3.5746410762351037</v>
      </c>
      <c r="H8" s="116">
        <f>IFERROR(IF(d_ss_Bv!H8=0,".",((Ir*F*d_ss_Bv!H8*(1-EXP(-RadSpec!AX8*t_b)))/(P*RadSpec!AX8))),".")</f>
        <v>3.5746410762351037</v>
      </c>
      <c r="I8" s="116">
        <f>IFERROR(IF(d_ss_Bv!I8=0,".",((Ir*F*d_ss_Bv!I8*(1-EXP(-RadSpec!AX8*t_b)))/(P*RadSpec!AX8))),".")</f>
        <v>3.5746410762351037</v>
      </c>
      <c r="J8" s="116">
        <f>IFERROR(IF(d_ss_Bv!J8=0,".",((Ir*F*d_ss_Bv!J8*(1-EXP(-RadSpec!AX8*t_b)))/(P*RadSpec!AX8))),".")</f>
        <v>3.5746410762351037</v>
      </c>
      <c r="K8" s="116">
        <f>IFERROR(IF(d_ss_Bv!K8=0,".",((Ir*F*d_ss_Bv!K8*(1-EXP(-RadSpec!AX8*t_b)))/(P*RadSpec!AX8))),".")</f>
        <v>3.5746410762351037</v>
      </c>
      <c r="L8" s="116">
        <f>IFERROR(IF(d_ss_Bv!L8=0,".",((Ir*F*d_ss_Bv!L8*(1-EXP(-RadSpec!AX8*t_b)))/(P*RadSpec!AX8))),".")</f>
        <v>3.5746410762351037</v>
      </c>
      <c r="M8" s="116">
        <f>IFERROR(IF(d_ss_Bv!M8=0,".",((Ir*F*d_ss_Bv!M8*(1-EXP(-RadSpec!AX8*t_b)))/(P*RadSpec!AX8))),".")</f>
        <v>3.5746410762351037</v>
      </c>
      <c r="N8" s="116">
        <f>IFERROR(IF(d_ss_Bv!N8=0,".",((Ir*F*d_ss_Bv!N8*(1-EXP(-RadSpec!AX8*t_b)))/(P*RadSpec!AX8))),".")</f>
        <v>3.5746410762351037</v>
      </c>
      <c r="O8" s="116">
        <f>IFERROR(IF(d_ss_Bv!O8=0,".",((Ir*F*d_ss_Bv!O8*(1-EXP(-RadSpec!AX8*t_b)))/(P*RadSpec!AX8))),".")</f>
        <v>3.5746410762351037</v>
      </c>
      <c r="P8" s="116">
        <f>IFERROR(IF(d_ss_Bv!P8=0,".",((Ir*F*d_ss_Bv!P8*(1-EXP(-RadSpec!AX8*t_b)))/(P*RadSpec!AX8))),".")</f>
        <v>3.5746410762351037</v>
      </c>
      <c r="Q8" s="116">
        <f>IFERROR(IF(d_ss_Bv!Q8=0,".",((Ir*F*d_ss_Bv!Q8*(1-EXP(-RadSpec!AX8*t_b)))/(P*RadSpec!AX8))),".")</f>
        <v>3.5746410762351037</v>
      </c>
      <c r="R8" s="116">
        <f>IFERROR(IF(d_ss_Bv!R8=0,".",((Ir*F*d_ss_Bv!R8*(1-EXP(-RadSpec!AX8*t_b)))/(P*RadSpec!AX8))),".")</f>
        <v>3.5746410762351037</v>
      </c>
      <c r="S8" s="116">
        <f>IFERROR(IF(d_ss_Bv!S8=0,".",((Ir*F*d_ss_Bv!S8*(1-EXP(-RadSpec!AX8*t_b)))/(P*RadSpec!AX8))),".")</f>
        <v>3.5746410762351037</v>
      </c>
      <c r="T8" s="116">
        <f>IFERROR(IF(d_ss_Bv!T8=0,".",((Ir*F*d_ss_Bv!T8*(1-EXP(-RadSpec!AX8*t_b)))/(P*RadSpec!AX8))),".")</f>
        <v>3.5746410762351037</v>
      </c>
      <c r="U8" s="116">
        <f>IFERROR(IF(d_ss_Bv!U8=0,".",((Ir*F*d_ss_Bv!U8*(1-EXP(-RadSpec!AX8*t_b)))/(P*RadSpec!AX8))),".")</f>
        <v>3.5746410762351037</v>
      </c>
      <c r="V8" s="116">
        <f>IFERROR(IF(d_ss_Bv!V8=0,".",((Ir*F*d_ss_Bv!V8*(1-EXP(-RadSpec!AX8*t_b)))/(P*RadSpec!AX8))),".")</f>
        <v>3.5746410762351037</v>
      </c>
      <c r="W8" s="116">
        <f>IFERROR(IF(d_ss_Bv!W8=0,".",((Ir*F*d_ss_Bv!W8*(1-EXP(-RadSpec!AX8*t_b)))/(P*RadSpec!AX8))),".")</f>
        <v>3.5746410762351037</v>
      </c>
      <c r="X8" s="116">
        <f>IFERROR(IF(d_ss_Bv!X8=0,".",((Ir*F*d_ss_Bv!X8*(1-EXP(-RadSpec!AX8*t_b)))/(P*RadSpec!AX8))),".")</f>
        <v>3.5746410762351037</v>
      </c>
      <c r="Y8" s="116">
        <f>IFERROR(IF(d_ss_Bv!Y8=0,".",((Ir*F*d_ss_Bv!Y8*(1-EXP(-RadSpec!AX8*t_b)))/(P*RadSpec!AX8))),".")</f>
        <v>3.5746410762351037</v>
      </c>
      <c r="Z8" s="116">
        <f>IFERROR(IF(d_ss_Bv!Z8=0,".",((Ir*F*d_ss_Bv!Z8*(1-EXP(-RadSpec!AX8*t_b)))/(P*RadSpec!AX8))),".")</f>
        <v>3.5746410762351037</v>
      </c>
      <c r="AA8" s="116">
        <f>IFERROR(IF(d_ss_Bv!C8=0,".",((Ir*F*MLF_apple*(1-EXP(-RadSpec!AX8*t_b)))/(P*RadSpec!AX8))),".")</f>
        <v>5.7194257219761657E-3</v>
      </c>
      <c r="AB8" s="116">
        <f>IFERROR(IF(d_ss_Bv!D8=0,".",((Ir*F*MLF_asparagus*(1-EXP(-RadSpec!AX8*t_b)))/(P*RadSpec!AX8))),".")</f>
        <v>2.8239664502257315E-3</v>
      </c>
      <c r="AC8" s="116">
        <f>IFERROR(IF(d_ss_Bv!E8=0,".",((Ir*F*MLF_beet*(1-EXP(-RadSpec!AX8*t_b)))/(P*RadSpec!AX8))),".")</f>
        <v>4.9330046852044422E-3</v>
      </c>
      <c r="AD8" s="116">
        <f>IFERROR(IF(d_ss_Bv!F8=0,".",((Ir*F*MLF_berries*(1-EXP(-RadSpec!AX8*t_b)))/(P*RadSpec!AX8))),".")</f>
        <v>5.9339041865502712E-3</v>
      </c>
      <c r="AE8" s="116">
        <f>IFERROR(IF(d_ss_Bv!G8=0,".",((Ir*F*MLF_broccoli*(1-EXP(-RadSpec!AX8*t_b)))/(P*RadSpec!AX8))),".")</f>
        <v>3.6103874869974538E-2</v>
      </c>
      <c r="AF8" s="116">
        <f>IFERROR(IF(d_ss_Bv!H8=0,".",((Ir*F*MLF_cabbage*(1-EXP(-RadSpec!AX8*t_b)))/(P*RadSpec!AX8))),".")</f>
        <v>3.7533731300468582E-3</v>
      </c>
      <c r="AG8" s="116">
        <f>IFERROR(IF(d_ss_Bv!I8=0,".",((Ir*F*MLF_carrot*(1-EXP(-RadSpec!AX8*t_b)))/(P*RadSpec!AX8))),".")</f>
        <v>3.4674018439480501E-3</v>
      </c>
      <c r="AH8" s="116">
        <f>IFERROR(IF(d_ss_Bv!J8=0,".",((Ir*F*MLF_citrus*(1-EXP(-RadSpec!AX8*t_b)))/(P*RadSpec!AX8))),".")</f>
        <v>5.6121864896891112E-3</v>
      </c>
      <c r="AI8" s="116">
        <f>IFERROR(IF(d_ss_Bv!K8=0,".",((Ir*F*MLF_corn*(1-EXP(-RadSpec!AX8*t_b)))/(P*RadSpec!AX8))),".")</f>
        <v>5.1832295605408994E-3</v>
      </c>
      <c r="AJ8" s="116">
        <f>IFERROR(IF(d_ss_Bv!L8=0,".",((Ir*F*MLF_cucumber*(1-EXP(-RadSpec!AX8*t_b)))/(P*RadSpec!AX8))),".")</f>
        <v>1.4298564304940414E-3</v>
      </c>
      <c r="AK8" s="116">
        <f>IFERROR(IF(d_ss_Bv!M8=0,".",((Ir*F*MLF_lettuce*(1-EXP(-RadSpec!AX8*t_b)))/(P*RadSpec!AX8))),".")</f>
        <v>0.48257654529173893</v>
      </c>
      <c r="AL8" s="116">
        <f>IFERROR(IF(d_ss_Bv!N8=0,".",((Ir*F*MLF_lima_bean*(1-EXP(-RadSpec!AX8*t_b)))/(P*RadSpec!AX8))),".")</f>
        <v>0.13690875321980447</v>
      </c>
      <c r="AM8" s="116">
        <f>IFERROR(IF(d_ss_Bv!O8=0,".",((Ir*F*MLF_okra*(1-EXP(-RadSpec!AX8*t_b)))/(P*RadSpec!AX8))),".")</f>
        <v>2.8597128609880828E-3</v>
      </c>
      <c r="AN8" s="116">
        <f>IFERROR(IF(d_ss_Bv!P8=0,".",((Ir*F*MLF_onion*(1-EXP(-RadSpec!AX8*t_b)))/(P*RadSpec!AX8))),".")</f>
        <v>3.4674018439480501E-3</v>
      </c>
      <c r="AO8" s="116">
        <f>IFERROR(IF(d_ss_Bv!Q8=0,".",((Ir*F*MLF_peach*(1-EXP(-RadSpec!AX8*t_b)))/(P*RadSpec!AX8))),".")</f>
        <v>5.361961614352654E-3</v>
      </c>
      <c r="AP8" s="116" t="str">
        <f>IFERROR(IF(d_ss_Bv!OI8=0,".",((Ir*F*MLF_pear*(1-EXP(-RadSpec!AX8*t_b)))/(P*RadSpec!AX8))),".")</f>
        <v>.</v>
      </c>
      <c r="AQ8" s="116">
        <f>IFERROR(IF(d_ss_Bv!S8=0,".",((Ir*F*MLF_peas*(1-EXP(-RadSpec!AX8*t_b)))/(P*RadSpec!AX8))),".")</f>
        <v>6.3628611156984829E-3</v>
      </c>
      <c r="AR8" s="116">
        <f>IFERROR(IF(d_ss_Bv!T8=0,".",((Ir*F*MLF_potato*(1-EXP(-RadSpec!AX8*t_b)))/(P*RadSpec!AX8))),".")</f>
        <v>7.5067462600937164E-3</v>
      </c>
      <c r="AS8" s="116">
        <f>IFERROR(IF(d_ss_Bv!U8=0,".",((Ir*F*MLF_pumpkin*(1-EXP(-RadSpec!AX8*t_b)))/(P*RadSpec!AX8))),".")</f>
        <v>2.0732918242163598E-3</v>
      </c>
      <c r="AT8" s="116">
        <f>IFERROR(IF(d_ss_Bv!V8=0,".",((Ir*F*MLF_snap_bean*(1-EXP(-RadSpec!AX8*t_b)))/(P*RadSpec!AX8))),".")</f>
        <v>0.17873205381175516</v>
      </c>
      <c r="AU8" s="116">
        <f>IFERROR(IF(d_ss_Bv!W8=0,".",((Ir*F*MLF_strawberry*(1-EXP(-RadSpec!AX8*t_b)))/(P*RadSpec!AX8))),".")</f>
        <v>2.8597128609880828E-3</v>
      </c>
      <c r="AV8" s="116">
        <f>IFERROR(IF(d_ss_Bv!X8=0,".",((Ir*F*MLF_tomato*(1-EXP(-RadSpec!AX8*t_b)))/(P*RadSpec!AX8))),".")</f>
        <v>5.6836793112138136E-2</v>
      </c>
      <c r="AW8" s="116">
        <f>IFERROR(IF(d_ss_Bv!Y8=0,".",((Ir*F*MLF_rice*(1-EXP(-RadSpec!AX8*t_b)))/(P*RadSpec!AX8))),".")</f>
        <v>8.9366026905877582</v>
      </c>
      <c r="AX8" s="116">
        <f>IFERROR(IF(d_ss_Bv!Z8=0,".",((Ir*F*MLF_cereal*(1-EXP(-RadSpec!AX8*t_b)))/(P*RadSpec!AX8))),".")</f>
        <v>8.9366026905877582</v>
      </c>
      <c r="AY8" s="116">
        <f>IFERROR(IF(d_ss_Bv!C8=0,".",((Ir*F*I_f*T*(1-EXP(-RadSpec!AY8*t_v)))/(Y_v*RadSpec!AY8))),".")</f>
        <v>3.6424203206347228</v>
      </c>
      <c r="AZ8" s="116">
        <f>IFERROR(IF(d_ss_Bv!D8=0,".",((Ir*F*I_f*T*(1-EXP(-RadSpec!AY8*t_v)))/(Y_v*RadSpec!AY8))),".")</f>
        <v>3.6424203206347228</v>
      </c>
      <c r="BA8" s="116">
        <f>IFERROR(IF(d_ss_Bv!E8=0,".",((Ir*F*I_f*T*(1-EXP(-RadSpec!AY8*t_v)))/(Y_v*RadSpec!AY8))),".")</f>
        <v>3.6424203206347228</v>
      </c>
      <c r="BB8" s="116">
        <f>IFERROR(IF(d_ss_Bv!F8=0,".",((Ir*F*I_f*T*(1-EXP(-RadSpec!AY8*t_v)))/(Y_v*RadSpec!AY8))),".")</f>
        <v>3.6424203206347228</v>
      </c>
      <c r="BC8" s="116">
        <f>IFERROR(IF(d_ss_Bv!G8=0,".",((Ir*F*I_f*T*(1-EXP(-RadSpec!AY8*t_v)))/(Y_v*RadSpec!AY8))),".")</f>
        <v>3.6424203206347228</v>
      </c>
      <c r="BD8" s="116">
        <f>IFERROR(IF(d_ss_Bv!H8=0,".",((Ir*F*I_f*T*(1-EXP(-RadSpec!AY8*t_v)))/(Y_v*RadSpec!AY8))),".")</f>
        <v>3.6424203206347228</v>
      </c>
      <c r="BE8" s="116">
        <f>IFERROR(IF(d_ss_Bv!I8=0,".",((Ir*F*I_f*T*(1-EXP(-RadSpec!AY8*t_v)))/(Y_v*RadSpec!AY8))),".")</f>
        <v>3.6424203206347228</v>
      </c>
      <c r="BF8" s="116">
        <f>IFERROR(IF(d_ss_Bv!J8=0,".",((Ir*F*I_f*T*(1-EXP(-RadSpec!AY8*t_v)))/(Y_v*RadSpec!AY8))),".")</f>
        <v>3.6424203206347228</v>
      </c>
      <c r="BG8" s="116">
        <f>IFERROR(IF(d_ss_Bv!K8=0,".",((Ir*F*I_f*T*(1-EXP(-RadSpec!AY8*t_v)))/(Y_v*RadSpec!AY8))),".")</f>
        <v>3.6424203206347228</v>
      </c>
      <c r="BH8" s="116">
        <f>IFERROR(IF(d_ss_Bv!L8=0,".",((Ir*F*I_f*T*(1-EXP(-RadSpec!AY8*t_v)))/(Y_v*RadSpec!AY8))),".")</f>
        <v>3.6424203206347228</v>
      </c>
      <c r="BI8" s="116">
        <f>IFERROR(IF(d_ss_Bv!M8=0,".",((Ir*F*I_f*T*(1-EXP(-RadSpec!AY8*t_v)))/(Y_v*RadSpec!AY8))),".")</f>
        <v>3.6424203206347228</v>
      </c>
      <c r="BJ8" s="116">
        <f>IFERROR(IF(d_ss_Bv!N8=0,".",((Ir*F*I_f*T*(1-EXP(-RadSpec!AY8*t_v)))/(Y_v*RadSpec!AY8))),".")</f>
        <v>3.6424203206347228</v>
      </c>
      <c r="BK8" s="116">
        <f>IFERROR(IF(d_ss_Bv!O8=0,".",((Ir*F*I_f*T*(1-EXP(-RadSpec!AY8*t_v)))/(Y_v*RadSpec!AY8))),".")</f>
        <v>3.6424203206347228</v>
      </c>
      <c r="BL8" s="116">
        <f>IFERROR(IF(d_ss_Bv!P8=0,".",((Ir*F*I_f*T*(1-EXP(-RadSpec!AY8*t_v)))/(Y_v*RadSpec!AY8))),".")</f>
        <v>3.6424203206347228</v>
      </c>
      <c r="BM8" s="116">
        <f>IFERROR(IF(d_ss_Bv!Q8=0,".",((Ir*F*I_f*T*(1-EXP(-RadSpec!AY8*t_v)))/(Y_v*RadSpec!AY8))),".")</f>
        <v>3.6424203206347228</v>
      </c>
      <c r="BN8" s="116">
        <f>IFERROR(IF(d_ss_Bv!R8=0,".",((Ir*F*I_f*T*(1-EXP(-RadSpec!AY8*t_v)))/(Y_v*RadSpec!AY8))),".")</f>
        <v>3.6424203206347228</v>
      </c>
      <c r="BO8" s="116">
        <f>IFERROR(IF(d_ss_Bv!S8=0,".",((Ir*F*I_f*T*(1-EXP(-RadSpec!AY8*t_v)))/(Y_v*RadSpec!AY8))),".")</f>
        <v>3.6424203206347228</v>
      </c>
      <c r="BP8" s="116">
        <f>IFERROR(IF(d_ss_Bv!T8=0,".",((Ir*F*I_f*T*(1-EXP(-RadSpec!AY8*t_v)))/(Y_v*RadSpec!AY8))),".")</f>
        <v>3.6424203206347228</v>
      </c>
      <c r="BQ8" s="116">
        <f>IFERROR(IF(d_ss_Bv!U8=0,".",((Ir*F*I_f*T*(1-EXP(-RadSpec!AY8*t_v)))/(Y_v*RadSpec!AY8))),".")</f>
        <v>3.6424203206347228</v>
      </c>
      <c r="BR8" s="116">
        <f>IFERROR(IF(d_ss_Bv!V8=0,".",((Ir*F*I_f*T*(1-EXP(-RadSpec!AY8*t_v)))/(Y_v*RadSpec!AY8))),".")</f>
        <v>3.6424203206347228</v>
      </c>
      <c r="BS8" s="116">
        <f>IFERROR(IF(d_ss_Bv!W8=0,".",((Ir*F*I_f*T*(1-EXP(-RadSpec!AY8*t_v)))/(Y_v*RadSpec!AY8))),".")</f>
        <v>3.6424203206347228</v>
      </c>
      <c r="BT8" s="116">
        <f>IFERROR(IF(d_ss_Bv!X8=0,".",((Ir*F*I_f*T*(1-EXP(-RadSpec!AY8*t_v)))/(Y_v*RadSpec!AY8))),".")</f>
        <v>3.6424203206347228</v>
      </c>
      <c r="BU8" s="116">
        <f>IFERROR(IF(d_ss_Bv!Y8=0,".",((Ir*F*I_f*T*(1-EXP(-RadSpec!AY8*t_v)))/(Y_v*RadSpec!AY8))),".")</f>
        <v>3.6424203206347228</v>
      </c>
      <c r="BV8" s="116">
        <f>IFERROR(IF(d_ss_Bv!Z8=0,".",((Ir*F*I_f*T*(1-EXP(-RadSpec!AY8*t_v)))/(Y_v*RadSpec!AY8))),".")</f>
        <v>3.6424203206347228</v>
      </c>
    </row>
    <row r="9" spans="1:74" x14ac:dyDescent="0.25">
      <c r="A9" s="44" t="s">
        <v>19</v>
      </c>
      <c r="B9" s="42" t="s">
        <v>1074</v>
      </c>
      <c r="C9" s="116">
        <f>IFERROR(IF(d_ss_Bv!C9=0,".",((Ir*F*d_ss_Bv!C9*(1-EXP(-RadSpec!AX9*t_b)))/(P*RadSpec!AX9))),".")</f>
        <v>3.5746410762351037</v>
      </c>
      <c r="D9" s="116">
        <f>IFERROR(IF(d_ss_Bv!D9=0,".",((Ir*F*d_ss_Bv!D9*(1-EXP(-RadSpec!AX9*t_b)))/(P*RadSpec!AX9))),".")</f>
        <v>3.5746410762351037</v>
      </c>
      <c r="E9" s="116">
        <f>IFERROR(IF(d_ss_Bv!E9=0,".",((Ir*F*d_ss_Bv!E9*(1-EXP(-RadSpec!AX9*t_b)))/(P*RadSpec!AX9))),".")</f>
        <v>3.5746410762351037</v>
      </c>
      <c r="F9" s="116">
        <f>IFERROR(IF(d_ss_Bv!F9=0,".",((Ir*F*d_ss_Bv!F9*(1-EXP(-RadSpec!AX9*t_b)))/(P*RadSpec!AX9))),".")</f>
        <v>3.5746410762351037</v>
      </c>
      <c r="G9" s="116">
        <f>IFERROR(IF(d_ss_Bv!G9=0,".",((Ir*F*d_ss_Bv!G9*(1-EXP(-RadSpec!AX9*t_b)))/(P*RadSpec!AX9))),".")</f>
        <v>3.5746410762351037</v>
      </c>
      <c r="H9" s="116">
        <f>IFERROR(IF(d_ss_Bv!H9=0,".",((Ir*F*d_ss_Bv!H9*(1-EXP(-RadSpec!AX9*t_b)))/(P*RadSpec!AX9))),".")</f>
        <v>3.5746410762351037</v>
      </c>
      <c r="I9" s="116">
        <f>IFERROR(IF(d_ss_Bv!I9=0,".",((Ir*F*d_ss_Bv!I9*(1-EXP(-RadSpec!AX9*t_b)))/(P*RadSpec!AX9))),".")</f>
        <v>3.5746410762351037</v>
      </c>
      <c r="J9" s="116">
        <f>IFERROR(IF(d_ss_Bv!J9=0,".",((Ir*F*d_ss_Bv!J9*(1-EXP(-RadSpec!AX9*t_b)))/(P*RadSpec!AX9))),".")</f>
        <v>3.5746410762351037</v>
      </c>
      <c r="K9" s="116">
        <f>IFERROR(IF(d_ss_Bv!K9=0,".",((Ir*F*d_ss_Bv!K9*(1-EXP(-RadSpec!AX9*t_b)))/(P*RadSpec!AX9))),".")</f>
        <v>3.5746410762351037</v>
      </c>
      <c r="L9" s="116">
        <f>IFERROR(IF(d_ss_Bv!L9=0,".",((Ir*F*d_ss_Bv!L9*(1-EXP(-RadSpec!AX9*t_b)))/(P*RadSpec!AX9))),".")</f>
        <v>3.5746410762351037</v>
      </c>
      <c r="M9" s="116">
        <f>IFERROR(IF(d_ss_Bv!M9=0,".",((Ir*F*d_ss_Bv!M9*(1-EXP(-RadSpec!AX9*t_b)))/(P*RadSpec!AX9))),".")</f>
        <v>3.5746410762351037</v>
      </c>
      <c r="N9" s="116">
        <f>IFERROR(IF(d_ss_Bv!N9=0,".",((Ir*F*d_ss_Bv!N9*(1-EXP(-RadSpec!AX9*t_b)))/(P*RadSpec!AX9))),".")</f>
        <v>3.5746410762351037</v>
      </c>
      <c r="O9" s="116">
        <f>IFERROR(IF(d_ss_Bv!O9=0,".",((Ir*F*d_ss_Bv!O9*(1-EXP(-RadSpec!AX9*t_b)))/(P*RadSpec!AX9))),".")</f>
        <v>3.5746410762351037</v>
      </c>
      <c r="P9" s="116">
        <f>IFERROR(IF(d_ss_Bv!P9=0,".",((Ir*F*d_ss_Bv!P9*(1-EXP(-RadSpec!AX9*t_b)))/(P*RadSpec!AX9))),".")</f>
        <v>3.5746410762351037</v>
      </c>
      <c r="Q9" s="116">
        <f>IFERROR(IF(d_ss_Bv!Q9=0,".",((Ir*F*d_ss_Bv!Q9*(1-EXP(-RadSpec!AX9*t_b)))/(P*RadSpec!AX9))),".")</f>
        <v>3.5746410762351037</v>
      </c>
      <c r="R9" s="116">
        <f>IFERROR(IF(d_ss_Bv!R9=0,".",((Ir*F*d_ss_Bv!R9*(1-EXP(-RadSpec!AX9*t_b)))/(P*RadSpec!AX9))),".")</f>
        <v>3.5746410762351037</v>
      </c>
      <c r="S9" s="116">
        <f>IFERROR(IF(d_ss_Bv!S9=0,".",((Ir*F*d_ss_Bv!S9*(1-EXP(-RadSpec!AX9*t_b)))/(P*RadSpec!AX9))),".")</f>
        <v>3.5746410762351037</v>
      </c>
      <c r="T9" s="116">
        <f>IFERROR(IF(d_ss_Bv!T9=0,".",((Ir*F*d_ss_Bv!T9*(1-EXP(-RadSpec!AX9*t_b)))/(P*RadSpec!AX9))),".")</f>
        <v>3.5746410762351037</v>
      </c>
      <c r="U9" s="116">
        <f>IFERROR(IF(d_ss_Bv!U9=0,".",((Ir*F*d_ss_Bv!U9*(1-EXP(-RadSpec!AX9*t_b)))/(P*RadSpec!AX9))),".")</f>
        <v>3.5746410762351037</v>
      </c>
      <c r="V9" s="116">
        <f>IFERROR(IF(d_ss_Bv!V9=0,".",((Ir*F*d_ss_Bv!V9*(1-EXP(-RadSpec!AX9*t_b)))/(P*RadSpec!AX9))),".")</f>
        <v>3.5746410762351037</v>
      </c>
      <c r="W9" s="116">
        <f>IFERROR(IF(d_ss_Bv!W9=0,".",((Ir*F*d_ss_Bv!W9*(1-EXP(-RadSpec!AX9*t_b)))/(P*RadSpec!AX9))),".")</f>
        <v>3.5746410762351037</v>
      </c>
      <c r="X9" s="116">
        <f>IFERROR(IF(d_ss_Bv!X9=0,".",((Ir*F*d_ss_Bv!X9*(1-EXP(-RadSpec!AX9*t_b)))/(P*RadSpec!AX9))),".")</f>
        <v>3.5746410762351037</v>
      </c>
      <c r="Y9" s="116">
        <f>IFERROR(IF(d_ss_Bv!Y9=0,".",((Ir*F*d_ss_Bv!Y9*(1-EXP(-RadSpec!AX9*t_b)))/(P*RadSpec!AX9))),".")</f>
        <v>3.5746410762351037</v>
      </c>
      <c r="Z9" s="116">
        <f>IFERROR(IF(d_ss_Bv!Z9=0,".",((Ir*F*d_ss_Bv!Z9*(1-EXP(-RadSpec!AX9*t_b)))/(P*RadSpec!AX9))),".")</f>
        <v>3.5746410762351037</v>
      </c>
      <c r="AA9" s="116">
        <f>IFERROR(IF(d_ss_Bv!C9=0,".",((Ir*F*MLF_apple*(1-EXP(-RadSpec!AX9*t_b)))/(P*RadSpec!AX9))),".")</f>
        <v>5.7194257219761657E-3</v>
      </c>
      <c r="AB9" s="116">
        <f>IFERROR(IF(d_ss_Bv!D9=0,".",((Ir*F*MLF_asparagus*(1-EXP(-RadSpec!AX9*t_b)))/(P*RadSpec!AX9))),".")</f>
        <v>2.8239664502257315E-3</v>
      </c>
      <c r="AC9" s="116">
        <f>IFERROR(IF(d_ss_Bv!E9=0,".",((Ir*F*MLF_beet*(1-EXP(-RadSpec!AX9*t_b)))/(P*RadSpec!AX9))),".")</f>
        <v>4.9330046852044422E-3</v>
      </c>
      <c r="AD9" s="116">
        <f>IFERROR(IF(d_ss_Bv!F9=0,".",((Ir*F*MLF_berries*(1-EXP(-RadSpec!AX9*t_b)))/(P*RadSpec!AX9))),".")</f>
        <v>5.9339041865502712E-3</v>
      </c>
      <c r="AE9" s="116">
        <f>IFERROR(IF(d_ss_Bv!G9=0,".",((Ir*F*MLF_broccoli*(1-EXP(-RadSpec!AX9*t_b)))/(P*RadSpec!AX9))),".")</f>
        <v>3.6103874869974538E-2</v>
      </c>
      <c r="AF9" s="116">
        <f>IFERROR(IF(d_ss_Bv!H9=0,".",((Ir*F*MLF_cabbage*(1-EXP(-RadSpec!AX9*t_b)))/(P*RadSpec!AX9))),".")</f>
        <v>3.7533731300468582E-3</v>
      </c>
      <c r="AG9" s="116">
        <f>IFERROR(IF(d_ss_Bv!I9=0,".",((Ir*F*MLF_carrot*(1-EXP(-RadSpec!AX9*t_b)))/(P*RadSpec!AX9))),".")</f>
        <v>3.4674018439480501E-3</v>
      </c>
      <c r="AH9" s="116">
        <f>IFERROR(IF(d_ss_Bv!J9=0,".",((Ir*F*MLF_citrus*(1-EXP(-RadSpec!AX9*t_b)))/(P*RadSpec!AX9))),".")</f>
        <v>5.6121864896891112E-3</v>
      </c>
      <c r="AI9" s="116">
        <f>IFERROR(IF(d_ss_Bv!K9=0,".",((Ir*F*MLF_corn*(1-EXP(-RadSpec!AX9*t_b)))/(P*RadSpec!AX9))),".")</f>
        <v>5.1832295605408994E-3</v>
      </c>
      <c r="AJ9" s="116">
        <f>IFERROR(IF(d_ss_Bv!L9=0,".",((Ir*F*MLF_cucumber*(1-EXP(-RadSpec!AX9*t_b)))/(P*RadSpec!AX9))),".")</f>
        <v>1.4298564304940414E-3</v>
      </c>
      <c r="AK9" s="116">
        <f>IFERROR(IF(d_ss_Bv!M9=0,".",((Ir*F*MLF_lettuce*(1-EXP(-RadSpec!AX9*t_b)))/(P*RadSpec!AX9))),".")</f>
        <v>0.48257654529173893</v>
      </c>
      <c r="AL9" s="116">
        <f>IFERROR(IF(d_ss_Bv!N9=0,".",((Ir*F*MLF_lima_bean*(1-EXP(-RadSpec!AX9*t_b)))/(P*RadSpec!AX9))),".")</f>
        <v>0.13690875321980447</v>
      </c>
      <c r="AM9" s="116">
        <f>IFERROR(IF(d_ss_Bv!O9=0,".",((Ir*F*MLF_okra*(1-EXP(-RadSpec!AX9*t_b)))/(P*RadSpec!AX9))),".")</f>
        <v>2.8597128609880828E-3</v>
      </c>
      <c r="AN9" s="116">
        <f>IFERROR(IF(d_ss_Bv!P9=0,".",((Ir*F*MLF_onion*(1-EXP(-RadSpec!AX9*t_b)))/(P*RadSpec!AX9))),".")</f>
        <v>3.4674018439480501E-3</v>
      </c>
      <c r="AO9" s="116">
        <f>IFERROR(IF(d_ss_Bv!Q9=0,".",((Ir*F*MLF_peach*(1-EXP(-RadSpec!AX9*t_b)))/(P*RadSpec!AX9))),".")</f>
        <v>5.361961614352654E-3</v>
      </c>
      <c r="AP9" s="116" t="str">
        <f>IFERROR(IF(d_ss_Bv!OI9=0,".",((Ir*F*MLF_pear*(1-EXP(-RadSpec!AX9*t_b)))/(P*RadSpec!AX9))),".")</f>
        <v>.</v>
      </c>
      <c r="AQ9" s="116">
        <f>IFERROR(IF(d_ss_Bv!S9=0,".",((Ir*F*MLF_peas*(1-EXP(-RadSpec!AX9*t_b)))/(P*RadSpec!AX9))),".")</f>
        <v>6.3628611156984829E-3</v>
      </c>
      <c r="AR9" s="116">
        <f>IFERROR(IF(d_ss_Bv!T9=0,".",((Ir*F*MLF_potato*(1-EXP(-RadSpec!AX9*t_b)))/(P*RadSpec!AX9))),".")</f>
        <v>7.5067462600937164E-3</v>
      </c>
      <c r="AS9" s="116">
        <f>IFERROR(IF(d_ss_Bv!U9=0,".",((Ir*F*MLF_pumpkin*(1-EXP(-RadSpec!AX9*t_b)))/(P*RadSpec!AX9))),".")</f>
        <v>2.0732918242163598E-3</v>
      </c>
      <c r="AT9" s="116">
        <f>IFERROR(IF(d_ss_Bv!V9=0,".",((Ir*F*MLF_snap_bean*(1-EXP(-RadSpec!AX9*t_b)))/(P*RadSpec!AX9))),".")</f>
        <v>0.17873205381175516</v>
      </c>
      <c r="AU9" s="116">
        <f>IFERROR(IF(d_ss_Bv!W9=0,".",((Ir*F*MLF_strawberry*(1-EXP(-RadSpec!AX9*t_b)))/(P*RadSpec!AX9))),".")</f>
        <v>2.8597128609880828E-3</v>
      </c>
      <c r="AV9" s="116">
        <f>IFERROR(IF(d_ss_Bv!X9=0,".",((Ir*F*MLF_tomato*(1-EXP(-RadSpec!AX9*t_b)))/(P*RadSpec!AX9))),".")</f>
        <v>5.6836793112138136E-2</v>
      </c>
      <c r="AW9" s="116">
        <f>IFERROR(IF(d_ss_Bv!Y9=0,".",((Ir*F*MLF_rice*(1-EXP(-RadSpec!AX9*t_b)))/(P*RadSpec!AX9))),".")</f>
        <v>8.9366026905877582</v>
      </c>
      <c r="AX9" s="116">
        <f>IFERROR(IF(d_ss_Bv!Z9=0,".",((Ir*F*MLF_cereal*(1-EXP(-RadSpec!AX9*t_b)))/(P*RadSpec!AX9))),".")</f>
        <v>8.9366026905877582</v>
      </c>
      <c r="AY9" s="116">
        <f>IFERROR(IF(d_ss_Bv!C9=0,".",((Ir*F*I_f*T*(1-EXP(-RadSpec!AY9*t_v)))/(Y_v*RadSpec!AY9))),".")</f>
        <v>3.6424203206347228</v>
      </c>
      <c r="AZ9" s="116">
        <f>IFERROR(IF(d_ss_Bv!D9=0,".",((Ir*F*I_f*T*(1-EXP(-RadSpec!AY9*t_v)))/(Y_v*RadSpec!AY9))),".")</f>
        <v>3.6424203206347228</v>
      </c>
      <c r="BA9" s="116">
        <f>IFERROR(IF(d_ss_Bv!E9=0,".",((Ir*F*I_f*T*(1-EXP(-RadSpec!AY9*t_v)))/(Y_v*RadSpec!AY9))),".")</f>
        <v>3.6424203206347228</v>
      </c>
      <c r="BB9" s="116">
        <f>IFERROR(IF(d_ss_Bv!F9=0,".",((Ir*F*I_f*T*(1-EXP(-RadSpec!AY9*t_v)))/(Y_v*RadSpec!AY9))),".")</f>
        <v>3.6424203206347228</v>
      </c>
      <c r="BC9" s="116">
        <f>IFERROR(IF(d_ss_Bv!G9=0,".",((Ir*F*I_f*T*(1-EXP(-RadSpec!AY9*t_v)))/(Y_v*RadSpec!AY9))),".")</f>
        <v>3.6424203206347228</v>
      </c>
      <c r="BD9" s="116">
        <f>IFERROR(IF(d_ss_Bv!H9=0,".",((Ir*F*I_f*T*(1-EXP(-RadSpec!AY9*t_v)))/(Y_v*RadSpec!AY9))),".")</f>
        <v>3.6424203206347228</v>
      </c>
      <c r="BE9" s="116">
        <f>IFERROR(IF(d_ss_Bv!I9=0,".",((Ir*F*I_f*T*(1-EXP(-RadSpec!AY9*t_v)))/(Y_v*RadSpec!AY9))),".")</f>
        <v>3.6424203206347228</v>
      </c>
      <c r="BF9" s="116">
        <f>IFERROR(IF(d_ss_Bv!J9=0,".",((Ir*F*I_f*T*(1-EXP(-RadSpec!AY9*t_v)))/(Y_v*RadSpec!AY9))),".")</f>
        <v>3.6424203206347228</v>
      </c>
      <c r="BG9" s="116">
        <f>IFERROR(IF(d_ss_Bv!K9=0,".",((Ir*F*I_f*T*(1-EXP(-RadSpec!AY9*t_v)))/(Y_v*RadSpec!AY9))),".")</f>
        <v>3.6424203206347228</v>
      </c>
      <c r="BH9" s="116">
        <f>IFERROR(IF(d_ss_Bv!L9=0,".",((Ir*F*I_f*T*(1-EXP(-RadSpec!AY9*t_v)))/(Y_v*RadSpec!AY9))),".")</f>
        <v>3.6424203206347228</v>
      </c>
      <c r="BI9" s="116">
        <f>IFERROR(IF(d_ss_Bv!M9=0,".",((Ir*F*I_f*T*(1-EXP(-RadSpec!AY9*t_v)))/(Y_v*RadSpec!AY9))),".")</f>
        <v>3.6424203206347228</v>
      </c>
      <c r="BJ9" s="116">
        <f>IFERROR(IF(d_ss_Bv!N9=0,".",((Ir*F*I_f*T*(1-EXP(-RadSpec!AY9*t_v)))/(Y_v*RadSpec!AY9))),".")</f>
        <v>3.6424203206347228</v>
      </c>
      <c r="BK9" s="116">
        <f>IFERROR(IF(d_ss_Bv!O9=0,".",((Ir*F*I_f*T*(1-EXP(-RadSpec!AY9*t_v)))/(Y_v*RadSpec!AY9))),".")</f>
        <v>3.6424203206347228</v>
      </c>
      <c r="BL9" s="116">
        <f>IFERROR(IF(d_ss_Bv!P9=0,".",((Ir*F*I_f*T*(1-EXP(-RadSpec!AY9*t_v)))/(Y_v*RadSpec!AY9))),".")</f>
        <v>3.6424203206347228</v>
      </c>
      <c r="BM9" s="116">
        <f>IFERROR(IF(d_ss_Bv!Q9=0,".",((Ir*F*I_f*T*(1-EXP(-RadSpec!AY9*t_v)))/(Y_v*RadSpec!AY9))),".")</f>
        <v>3.6424203206347228</v>
      </c>
      <c r="BN9" s="116">
        <f>IFERROR(IF(d_ss_Bv!R9=0,".",((Ir*F*I_f*T*(1-EXP(-RadSpec!AY9*t_v)))/(Y_v*RadSpec!AY9))),".")</f>
        <v>3.6424203206347228</v>
      </c>
      <c r="BO9" s="116">
        <f>IFERROR(IF(d_ss_Bv!S9=0,".",((Ir*F*I_f*T*(1-EXP(-RadSpec!AY9*t_v)))/(Y_v*RadSpec!AY9))),".")</f>
        <v>3.6424203206347228</v>
      </c>
      <c r="BP9" s="116">
        <f>IFERROR(IF(d_ss_Bv!T9=0,".",((Ir*F*I_f*T*(1-EXP(-RadSpec!AY9*t_v)))/(Y_v*RadSpec!AY9))),".")</f>
        <v>3.6424203206347228</v>
      </c>
      <c r="BQ9" s="116">
        <f>IFERROR(IF(d_ss_Bv!U9=0,".",((Ir*F*I_f*T*(1-EXP(-RadSpec!AY9*t_v)))/(Y_v*RadSpec!AY9))),".")</f>
        <v>3.6424203206347228</v>
      </c>
      <c r="BR9" s="116">
        <f>IFERROR(IF(d_ss_Bv!V9=0,".",((Ir*F*I_f*T*(1-EXP(-RadSpec!AY9*t_v)))/(Y_v*RadSpec!AY9))),".")</f>
        <v>3.6424203206347228</v>
      </c>
      <c r="BS9" s="116">
        <f>IFERROR(IF(d_ss_Bv!W9=0,".",((Ir*F*I_f*T*(1-EXP(-RadSpec!AY9*t_v)))/(Y_v*RadSpec!AY9))),".")</f>
        <v>3.6424203206347228</v>
      </c>
      <c r="BT9" s="116">
        <f>IFERROR(IF(d_ss_Bv!X9=0,".",((Ir*F*I_f*T*(1-EXP(-RadSpec!AY9*t_v)))/(Y_v*RadSpec!AY9))),".")</f>
        <v>3.6424203206347228</v>
      </c>
      <c r="BU9" s="116">
        <f>IFERROR(IF(d_ss_Bv!Y9=0,".",((Ir*F*I_f*T*(1-EXP(-RadSpec!AY9*t_v)))/(Y_v*RadSpec!AY9))),".")</f>
        <v>3.6424203206347228</v>
      </c>
      <c r="BV9" s="116">
        <f>IFERROR(IF(d_ss_Bv!Z9=0,".",((Ir*F*I_f*T*(1-EXP(-RadSpec!AY9*t_v)))/(Y_v*RadSpec!AY9))),".")</f>
        <v>3.6424203206347228</v>
      </c>
    </row>
    <row r="10" spans="1:74" x14ac:dyDescent="0.25">
      <c r="A10" s="46" t="s">
        <v>20</v>
      </c>
      <c r="B10" s="42" t="s">
        <v>351</v>
      </c>
      <c r="C10" s="116">
        <f>IFERROR(IF(d_ss_Bv!C10=0,".",((Ir*F*d_ss_Bv!C10*(1-EXP(-RadSpec!AX10*t_b)))/(P*RadSpec!AX10))),".")</f>
        <v>0.20732918242163598</v>
      </c>
      <c r="D10" s="116">
        <f>IFERROR(IF(d_ss_Bv!D10=0,".",((Ir*F*d_ss_Bv!D10*(1-EXP(-RadSpec!AX10*t_b)))/(P*RadSpec!AX10))),".")</f>
        <v>2.144784645741062</v>
      </c>
      <c r="E10" s="116">
        <f>IFERROR(IF(d_ss_Bv!E10=0,".",((Ir*F*d_ss_Bv!E10*(1-EXP(-RadSpec!AX10*t_b)))/(P*RadSpec!AX10))),".")</f>
        <v>1.5013492520187435</v>
      </c>
      <c r="F10" s="116">
        <f>IFERROR(IF(d_ss_Bv!F10=0,".",((Ir*F*d_ss_Bv!F10*(1-EXP(-RadSpec!AX10*t_b)))/(P*RadSpec!AX10))),".")</f>
        <v>7.5067462600937149E-2</v>
      </c>
      <c r="G10" s="116">
        <f>IFERROR(IF(d_ss_Bv!G10=0,".",((Ir*F*d_ss_Bv!G10*(1-EXP(-RadSpec!AX10*t_b)))/(P*RadSpec!AX10))),".")</f>
        <v>0.75067462600937174</v>
      </c>
      <c r="H10" s="116">
        <f>IFERROR(IF(d_ss_Bv!H10=0,".",((Ir*F*d_ss_Bv!H10*(1-EXP(-RadSpec!AX10*t_b)))/(P*RadSpec!AX10))),".")</f>
        <v>2.144784645741062</v>
      </c>
      <c r="I10" s="116">
        <f>IFERROR(IF(d_ss_Bv!I10=0,".",((Ir*F*d_ss_Bv!I10*(1-EXP(-RadSpec!AX10*t_b)))/(P*RadSpec!AX10))),".")</f>
        <v>1.5013492520187435</v>
      </c>
      <c r="J10" s="116">
        <f>IFERROR(IF(d_ss_Bv!J10=0,".",((Ir*F*d_ss_Bv!J10*(1-EXP(-RadSpec!AX10*t_b)))/(P*RadSpec!AX10))),".")</f>
        <v>0.20732918242163598</v>
      </c>
      <c r="K10" s="116">
        <f>IFERROR(IF(d_ss_Bv!K10=0,".",((Ir*F*d_ss_Bv!K10*(1-EXP(-RadSpec!AX10*t_b)))/(P*RadSpec!AX10))),".")</f>
        <v>1.1796315551575842</v>
      </c>
      <c r="L10" s="116">
        <f>IFERROR(IF(d_ss_Bv!L10=0,".",((Ir*F*d_ss_Bv!L10*(1-EXP(-RadSpec!AX10*t_b)))/(P*RadSpec!AX10))),".")</f>
        <v>0.75067462600937174</v>
      </c>
      <c r="M10" s="116">
        <f>IFERROR(IF(d_ss_Bv!M10=0,".",((Ir*F*d_ss_Bv!M10*(1-EXP(-RadSpec!AX10*t_b)))/(P*RadSpec!AX10))),".")</f>
        <v>2.144784645741062</v>
      </c>
      <c r="N10" s="116">
        <f>IFERROR(IF(d_ss_Bv!N10=0,".",((Ir*F*d_ss_Bv!N10*(1-EXP(-RadSpec!AX10*t_b)))/(P*RadSpec!AX10))),".")</f>
        <v>1.4298564304940413</v>
      </c>
      <c r="O10" s="116">
        <f>IFERROR(IF(d_ss_Bv!O10=0,".",((Ir*F*d_ss_Bv!O10*(1-EXP(-RadSpec!AX10*t_b)))/(P*RadSpec!AX10))),".")</f>
        <v>0.75067462600937174</v>
      </c>
      <c r="P10" s="116">
        <f>IFERROR(IF(d_ss_Bv!P10=0,".",((Ir*F*d_ss_Bv!P10*(1-EXP(-RadSpec!AX10*t_b)))/(P*RadSpec!AX10))),".")</f>
        <v>0.75067462600937174</v>
      </c>
      <c r="Q10" s="116">
        <f>IFERROR(IF(d_ss_Bv!Q10=0,".",((Ir*F*d_ss_Bv!Q10*(1-EXP(-RadSpec!AX10*t_b)))/(P*RadSpec!AX10))),".")</f>
        <v>0.20732918242163598</v>
      </c>
      <c r="R10" s="116">
        <f>IFERROR(IF(d_ss_Bv!R10=0,".",((Ir*F*d_ss_Bv!R10*(1-EXP(-RadSpec!AX10*t_b)))/(P*RadSpec!AX10))),".")</f>
        <v>0.20732918242163598</v>
      </c>
      <c r="S10" s="116">
        <f>IFERROR(IF(d_ss_Bv!S10=0,".",((Ir*F*d_ss_Bv!S10*(1-EXP(-RadSpec!AX10*t_b)))/(P*RadSpec!AX10))),".")</f>
        <v>1.4298564304940413</v>
      </c>
      <c r="T10" s="116">
        <f>IFERROR(IF(d_ss_Bv!T10=0,".",((Ir*F*d_ss_Bv!T10*(1-EXP(-RadSpec!AX10*t_b)))/(P*RadSpec!AX10))),".")</f>
        <v>2.0017990026916577</v>
      </c>
      <c r="U10" s="116">
        <f>IFERROR(IF(d_ss_Bv!U10=0,".",((Ir*F*d_ss_Bv!U10*(1-EXP(-RadSpec!AX10*t_b)))/(P*RadSpec!AX10))),".")</f>
        <v>0.75067462600937174</v>
      </c>
      <c r="V10" s="116">
        <f>IFERROR(IF(d_ss_Bv!V10=0,".",((Ir*F*d_ss_Bv!V10*(1-EXP(-RadSpec!AX10*t_b)))/(P*RadSpec!AX10))),".")</f>
        <v>1.4298564304940413</v>
      </c>
      <c r="W10" s="116">
        <f>IFERROR(IF(d_ss_Bv!W10=0,".",((Ir*F*d_ss_Bv!W10*(1-EXP(-RadSpec!AX10*t_b)))/(P*RadSpec!AX10))),".")</f>
        <v>0.10366459121081799</v>
      </c>
      <c r="X10" s="116">
        <f>IFERROR(IF(d_ss_Bv!X10=0,".",((Ir*F*d_ss_Bv!X10*(1-EXP(-RadSpec!AX10*t_b)))/(P*RadSpec!AX10))),".")</f>
        <v>0.75067462600937174</v>
      </c>
      <c r="Y10" s="116">
        <f>IFERROR(IF(d_ss_Bv!Y10=0,".",((Ir*F*d_ss_Bv!Y10*(1-EXP(-RadSpec!AX10*t_b)))/(P*RadSpec!AX10))),".")</f>
        <v>2.6094879856516255E-2</v>
      </c>
      <c r="Z10" s="116">
        <f>IFERROR(IF(d_ss_Bv!Z10=0,".",((Ir*F*d_ss_Bv!Z10*(1-EXP(-RadSpec!AX10*t_b)))/(P*RadSpec!AX10))),".")</f>
        <v>1.0366459121081799</v>
      </c>
      <c r="AA10" s="116">
        <f>IFERROR(IF(d_ss_Bv!C10=0,".",((Ir*F*MLF_apple*(1-EXP(-RadSpec!AX10*t_b)))/(P*RadSpec!AX10))),".")</f>
        <v>5.7194257219761657E-3</v>
      </c>
      <c r="AB10" s="116">
        <f>IFERROR(IF(d_ss_Bv!D10=0,".",((Ir*F*MLF_asparagus*(1-EXP(-RadSpec!AX10*t_b)))/(P*RadSpec!AX10))),".")</f>
        <v>2.8239664502257315E-3</v>
      </c>
      <c r="AC10" s="116">
        <f>IFERROR(IF(d_ss_Bv!E10=0,".",((Ir*F*MLF_beet*(1-EXP(-RadSpec!AX10*t_b)))/(P*RadSpec!AX10))),".")</f>
        <v>4.9330046852044422E-3</v>
      </c>
      <c r="AD10" s="116">
        <f>IFERROR(IF(d_ss_Bv!F10=0,".",((Ir*F*MLF_berries*(1-EXP(-RadSpec!AX10*t_b)))/(P*RadSpec!AX10))),".")</f>
        <v>5.9339041865502712E-3</v>
      </c>
      <c r="AE10" s="116">
        <f>IFERROR(IF(d_ss_Bv!G10=0,".",((Ir*F*MLF_broccoli*(1-EXP(-RadSpec!AX10*t_b)))/(P*RadSpec!AX10))),".")</f>
        <v>3.6103874869974538E-2</v>
      </c>
      <c r="AF10" s="116">
        <f>IFERROR(IF(d_ss_Bv!H10=0,".",((Ir*F*MLF_cabbage*(1-EXP(-RadSpec!AX10*t_b)))/(P*RadSpec!AX10))),".")</f>
        <v>3.7533731300468582E-3</v>
      </c>
      <c r="AG10" s="116">
        <f>IFERROR(IF(d_ss_Bv!I10=0,".",((Ir*F*MLF_carrot*(1-EXP(-RadSpec!AX10*t_b)))/(P*RadSpec!AX10))),".")</f>
        <v>3.4674018439480501E-3</v>
      </c>
      <c r="AH10" s="116">
        <f>IFERROR(IF(d_ss_Bv!J10=0,".",((Ir*F*MLF_citrus*(1-EXP(-RadSpec!AX10*t_b)))/(P*RadSpec!AX10))),".")</f>
        <v>5.6121864896891112E-3</v>
      </c>
      <c r="AI10" s="116">
        <f>IFERROR(IF(d_ss_Bv!K10=0,".",((Ir*F*MLF_corn*(1-EXP(-RadSpec!AX10*t_b)))/(P*RadSpec!AX10))),".")</f>
        <v>5.1832295605408994E-3</v>
      </c>
      <c r="AJ10" s="116">
        <f>IFERROR(IF(d_ss_Bv!L10=0,".",((Ir*F*MLF_cucumber*(1-EXP(-RadSpec!AX10*t_b)))/(P*RadSpec!AX10))),".")</f>
        <v>1.4298564304940414E-3</v>
      </c>
      <c r="AK10" s="116">
        <f>IFERROR(IF(d_ss_Bv!M10=0,".",((Ir*F*MLF_lettuce*(1-EXP(-RadSpec!AX10*t_b)))/(P*RadSpec!AX10))),".")</f>
        <v>0.48257654529173893</v>
      </c>
      <c r="AL10" s="116">
        <f>IFERROR(IF(d_ss_Bv!N10=0,".",((Ir*F*MLF_lima_bean*(1-EXP(-RadSpec!AX10*t_b)))/(P*RadSpec!AX10))),".")</f>
        <v>0.13690875321980447</v>
      </c>
      <c r="AM10" s="116">
        <f>IFERROR(IF(d_ss_Bv!O10=0,".",((Ir*F*MLF_okra*(1-EXP(-RadSpec!AX10*t_b)))/(P*RadSpec!AX10))),".")</f>
        <v>2.8597128609880828E-3</v>
      </c>
      <c r="AN10" s="116">
        <f>IFERROR(IF(d_ss_Bv!P10=0,".",((Ir*F*MLF_onion*(1-EXP(-RadSpec!AX10*t_b)))/(P*RadSpec!AX10))),".")</f>
        <v>3.4674018439480501E-3</v>
      </c>
      <c r="AO10" s="116">
        <f>IFERROR(IF(d_ss_Bv!Q10=0,".",((Ir*F*MLF_peach*(1-EXP(-RadSpec!AX10*t_b)))/(P*RadSpec!AX10))),".")</f>
        <v>5.361961614352654E-3</v>
      </c>
      <c r="AP10" s="116" t="str">
        <f>IFERROR(IF(d_ss_Bv!OI10=0,".",((Ir*F*MLF_pear*(1-EXP(-RadSpec!AX10*t_b)))/(P*RadSpec!AX10))),".")</f>
        <v>.</v>
      </c>
      <c r="AQ10" s="116">
        <f>IFERROR(IF(d_ss_Bv!S10=0,".",((Ir*F*MLF_peas*(1-EXP(-RadSpec!AX10*t_b)))/(P*RadSpec!AX10))),".")</f>
        <v>6.3628611156984829E-3</v>
      </c>
      <c r="AR10" s="116">
        <f>IFERROR(IF(d_ss_Bv!T10=0,".",((Ir*F*MLF_potato*(1-EXP(-RadSpec!AX10*t_b)))/(P*RadSpec!AX10))),".")</f>
        <v>7.5067462600937164E-3</v>
      </c>
      <c r="AS10" s="116">
        <f>IFERROR(IF(d_ss_Bv!U10=0,".",((Ir*F*MLF_pumpkin*(1-EXP(-RadSpec!AX10*t_b)))/(P*RadSpec!AX10))),".")</f>
        <v>2.0732918242163598E-3</v>
      </c>
      <c r="AT10" s="116">
        <f>IFERROR(IF(d_ss_Bv!V10=0,".",((Ir*F*MLF_snap_bean*(1-EXP(-RadSpec!AX10*t_b)))/(P*RadSpec!AX10))),".")</f>
        <v>0.17873205381175516</v>
      </c>
      <c r="AU10" s="116">
        <f>IFERROR(IF(d_ss_Bv!W10=0,".",((Ir*F*MLF_strawberry*(1-EXP(-RadSpec!AX10*t_b)))/(P*RadSpec!AX10))),".")</f>
        <v>2.8597128609880828E-3</v>
      </c>
      <c r="AV10" s="116">
        <f>IFERROR(IF(d_ss_Bv!X10=0,".",((Ir*F*MLF_tomato*(1-EXP(-RadSpec!AX10*t_b)))/(P*RadSpec!AX10))),".")</f>
        <v>5.6836793112138136E-2</v>
      </c>
      <c r="AW10" s="116">
        <f>IFERROR(IF(d_ss_Bv!Y10=0,".",((Ir*F*MLF_rice*(1-EXP(-RadSpec!AX10*t_b)))/(P*RadSpec!AX10))),".")</f>
        <v>8.9366026905877582</v>
      </c>
      <c r="AX10" s="116">
        <f>IFERROR(IF(d_ss_Bv!Z10=0,".",((Ir*F*MLF_cereal*(1-EXP(-RadSpec!AX10*t_b)))/(P*RadSpec!AX10))),".")</f>
        <v>8.9366026905877582</v>
      </c>
      <c r="AY10" s="116">
        <f>IFERROR(IF(d_ss_Bv!C10=0,".",((Ir*F*I_f*T*(1-EXP(-RadSpec!AY10*t_v)))/(Y_v*RadSpec!AY10))),".")</f>
        <v>3.6424203206347228</v>
      </c>
      <c r="AZ10" s="116">
        <f>IFERROR(IF(d_ss_Bv!D10=0,".",((Ir*F*I_f*T*(1-EXP(-RadSpec!AY10*t_v)))/(Y_v*RadSpec!AY10))),".")</f>
        <v>3.6424203206347228</v>
      </c>
      <c r="BA10" s="116">
        <f>IFERROR(IF(d_ss_Bv!E10=0,".",((Ir*F*I_f*T*(1-EXP(-RadSpec!AY10*t_v)))/(Y_v*RadSpec!AY10))),".")</f>
        <v>3.6424203206347228</v>
      </c>
      <c r="BB10" s="116">
        <f>IFERROR(IF(d_ss_Bv!F10=0,".",((Ir*F*I_f*T*(1-EXP(-RadSpec!AY10*t_v)))/(Y_v*RadSpec!AY10))),".")</f>
        <v>3.6424203206347228</v>
      </c>
      <c r="BC10" s="116">
        <f>IFERROR(IF(d_ss_Bv!G10=0,".",((Ir*F*I_f*T*(1-EXP(-RadSpec!AY10*t_v)))/(Y_v*RadSpec!AY10))),".")</f>
        <v>3.6424203206347228</v>
      </c>
      <c r="BD10" s="116">
        <f>IFERROR(IF(d_ss_Bv!H10=0,".",((Ir*F*I_f*T*(1-EXP(-RadSpec!AY10*t_v)))/(Y_v*RadSpec!AY10))),".")</f>
        <v>3.6424203206347228</v>
      </c>
      <c r="BE10" s="116">
        <f>IFERROR(IF(d_ss_Bv!I10=0,".",((Ir*F*I_f*T*(1-EXP(-RadSpec!AY10*t_v)))/(Y_v*RadSpec!AY10))),".")</f>
        <v>3.6424203206347228</v>
      </c>
      <c r="BF10" s="116">
        <f>IFERROR(IF(d_ss_Bv!J10=0,".",((Ir*F*I_f*T*(1-EXP(-RadSpec!AY10*t_v)))/(Y_v*RadSpec!AY10))),".")</f>
        <v>3.6424203206347228</v>
      </c>
      <c r="BG10" s="116">
        <f>IFERROR(IF(d_ss_Bv!K10=0,".",((Ir*F*I_f*T*(1-EXP(-RadSpec!AY10*t_v)))/(Y_v*RadSpec!AY10))),".")</f>
        <v>3.6424203206347228</v>
      </c>
      <c r="BH10" s="116">
        <f>IFERROR(IF(d_ss_Bv!L10=0,".",((Ir*F*I_f*T*(1-EXP(-RadSpec!AY10*t_v)))/(Y_v*RadSpec!AY10))),".")</f>
        <v>3.6424203206347228</v>
      </c>
      <c r="BI10" s="116">
        <f>IFERROR(IF(d_ss_Bv!M10=0,".",((Ir*F*I_f*T*(1-EXP(-RadSpec!AY10*t_v)))/(Y_v*RadSpec!AY10))),".")</f>
        <v>3.6424203206347228</v>
      </c>
      <c r="BJ10" s="116">
        <f>IFERROR(IF(d_ss_Bv!N10=0,".",((Ir*F*I_f*T*(1-EXP(-RadSpec!AY10*t_v)))/(Y_v*RadSpec!AY10))),".")</f>
        <v>3.6424203206347228</v>
      </c>
      <c r="BK10" s="116">
        <f>IFERROR(IF(d_ss_Bv!O10=0,".",((Ir*F*I_f*T*(1-EXP(-RadSpec!AY10*t_v)))/(Y_v*RadSpec!AY10))),".")</f>
        <v>3.6424203206347228</v>
      </c>
      <c r="BL10" s="116">
        <f>IFERROR(IF(d_ss_Bv!P10=0,".",((Ir*F*I_f*T*(1-EXP(-RadSpec!AY10*t_v)))/(Y_v*RadSpec!AY10))),".")</f>
        <v>3.6424203206347228</v>
      </c>
      <c r="BM10" s="116">
        <f>IFERROR(IF(d_ss_Bv!Q10=0,".",((Ir*F*I_f*T*(1-EXP(-RadSpec!AY10*t_v)))/(Y_v*RadSpec!AY10))),".")</f>
        <v>3.6424203206347228</v>
      </c>
      <c r="BN10" s="116">
        <f>IFERROR(IF(d_ss_Bv!R10=0,".",((Ir*F*I_f*T*(1-EXP(-RadSpec!AY10*t_v)))/(Y_v*RadSpec!AY10))),".")</f>
        <v>3.6424203206347228</v>
      </c>
      <c r="BO10" s="116">
        <f>IFERROR(IF(d_ss_Bv!S10=0,".",((Ir*F*I_f*T*(1-EXP(-RadSpec!AY10*t_v)))/(Y_v*RadSpec!AY10))),".")</f>
        <v>3.6424203206347228</v>
      </c>
      <c r="BP10" s="116">
        <f>IFERROR(IF(d_ss_Bv!T10=0,".",((Ir*F*I_f*T*(1-EXP(-RadSpec!AY10*t_v)))/(Y_v*RadSpec!AY10))),".")</f>
        <v>3.6424203206347228</v>
      </c>
      <c r="BQ10" s="116">
        <f>IFERROR(IF(d_ss_Bv!U10=0,".",((Ir*F*I_f*T*(1-EXP(-RadSpec!AY10*t_v)))/(Y_v*RadSpec!AY10))),".")</f>
        <v>3.6424203206347228</v>
      </c>
      <c r="BR10" s="116">
        <f>IFERROR(IF(d_ss_Bv!V10=0,".",((Ir*F*I_f*T*(1-EXP(-RadSpec!AY10*t_v)))/(Y_v*RadSpec!AY10))),".")</f>
        <v>3.6424203206347228</v>
      </c>
      <c r="BS10" s="116">
        <f>IFERROR(IF(d_ss_Bv!W10=0,".",((Ir*F*I_f*T*(1-EXP(-RadSpec!AY10*t_v)))/(Y_v*RadSpec!AY10))),".")</f>
        <v>3.6424203206347228</v>
      </c>
      <c r="BT10" s="116">
        <f>IFERROR(IF(d_ss_Bv!X10=0,".",((Ir*F*I_f*T*(1-EXP(-RadSpec!AY10*t_v)))/(Y_v*RadSpec!AY10))),".")</f>
        <v>3.6424203206347228</v>
      </c>
      <c r="BU10" s="116">
        <f>IFERROR(IF(d_ss_Bv!Y10=0,".",((Ir*F*I_f*T*(1-EXP(-RadSpec!AY10*t_v)))/(Y_v*RadSpec!AY10))),".")</f>
        <v>3.6424203206347228</v>
      </c>
      <c r="BV10" s="116">
        <f>IFERROR(IF(d_ss_Bv!Z10=0,".",((Ir*F*I_f*T*(1-EXP(-RadSpec!AY10*t_v)))/(Y_v*RadSpec!AY10))),".")</f>
        <v>3.6424203206347228</v>
      </c>
    </row>
    <row r="11" spans="1:74" x14ac:dyDescent="0.25">
      <c r="A11" s="44" t="s">
        <v>21</v>
      </c>
      <c r="B11" s="42" t="s">
        <v>1074</v>
      </c>
      <c r="C11" s="116">
        <f>IFERROR(IF(d_ss_Bv!C11=0,".",((Ir*F*d_ss_Bv!C11*(1-EXP(-RadSpec!AX11*t_b)))/(P*RadSpec!AX11))),".")</f>
        <v>1.072392322870531</v>
      </c>
      <c r="D11" s="116">
        <f>IFERROR(IF(d_ss_Bv!D11=0,".",((Ir*F*d_ss_Bv!D11*(1-EXP(-RadSpec!AX11*t_b)))/(P*RadSpec!AX11))),".")</f>
        <v>1.072392322870531</v>
      </c>
      <c r="E11" s="116">
        <f>IFERROR(IF(d_ss_Bv!E11=0,".",((Ir*F*d_ss_Bv!E11*(1-EXP(-RadSpec!AX11*t_b)))/(P*RadSpec!AX11))),".")</f>
        <v>1.072392322870531</v>
      </c>
      <c r="F11" s="116">
        <f>IFERROR(IF(d_ss_Bv!F11=0,".",((Ir*F*d_ss_Bv!F11*(1-EXP(-RadSpec!AX11*t_b)))/(P*RadSpec!AX11))),".")</f>
        <v>1.072392322870531</v>
      </c>
      <c r="G11" s="116">
        <f>IFERROR(IF(d_ss_Bv!G11=0,".",((Ir*F*d_ss_Bv!G11*(1-EXP(-RadSpec!AX11*t_b)))/(P*RadSpec!AX11))),".")</f>
        <v>1.072392322870531</v>
      </c>
      <c r="H11" s="116">
        <f>IFERROR(IF(d_ss_Bv!H11=0,".",((Ir*F*d_ss_Bv!H11*(1-EXP(-RadSpec!AX11*t_b)))/(P*RadSpec!AX11))),".")</f>
        <v>1.072392322870531</v>
      </c>
      <c r="I11" s="116">
        <f>IFERROR(IF(d_ss_Bv!I11=0,".",((Ir*F*d_ss_Bv!I11*(1-EXP(-RadSpec!AX11*t_b)))/(P*RadSpec!AX11))),".")</f>
        <v>1.072392322870531</v>
      </c>
      <c r="J11" s="116">
        <f>IFERROR(IF(d_ss_Bv!J11=0,".",((Ir*F*d_ss_Bv!J11*(1-EXP(-RadSpec!AX11*t_b)))/(P*RadSpec!AX11))),".")</f>
        <v>1.072392322870531</v>
      </c>
      <c r="K11" s="116">
        <f>IFERROR(IF(d_ss_Bv!K11=0,".",((Ir*F*d_ss_Bv!K11*(1-EXP(-RadSpec!AX11*t_b)))/(P*RadSpec!AX11))),".")</f>
        <v>1.072392322870531</v>
      </c>
      <c r="L11" s="116">
        <f>IFERROR(IF(d_ss_Bv!L11=0,".",((Ir*F*d_ss_Bv!L11*(1-EXP(-RadSpec!AX11*t_b)))/(P*RadSpec!AX11))),".")</f>
        <v>1.072392322870531</v>
      </c>
      <c r="M11" s="116">
        <f>IFERROR(IF(d_ss_Bv!M11=0,".",((Ir*F*d_ss_Bv!M11*(1-EXP(-RadSpec!AX11*t_b)))/(P*RadSpec!AX11))),".")</f>
        <v>1.072392322870531</v>
      </c>
      <c r="N11" s="116">
        <f>IFERROR(IF(d_ss_Bv!N11=0,".",((Ir*F*d_ss_Bv!N11*(1-EXP(-RadSpec!AX11*t_b)))/(P*RadSpec!AX11))),".")</f>
        <v>1.072392322870531</v>
      </c>
      <c r="O11" s="116">
        <f>IFERROR(IF(d_ss_Bv!O11=0,".",((Ir*F*d_ss_Bv!O11*(1-EXP(-RadSpec!AX11*t_b)))/(P*RadSpec!AX11))),".")</f>
        <v>1.072392322870531</v>
      </c>
      <c r="P11" s="116">
        <f>IFERROR(IF(d_ss_Bv!P11=0,".",((Ir*F*d_ss_Bv!P11*(1-EXP(-RadSpec!AX11*t_b)))/(P*RadSpec!AX11))),".")</f>
        <v>1.072392322870531</v>
      </c>
      <c r="Q11" s="116">
        <f>IFERROR(IF(d_ss_Bv!Q11=0,".",((Ir*F*d_ss_Bv!Q11*(1-EXP(-RadSpec!AX11*t_b)))/(P*RadSpec!AX11))),".")</f>
        <v>1.072392322870531</v>
      </c>
      <c r="R11" s="116">
        <f>IFERROR(IF(d_ss_Bv!R11=0,".",((Ir*F*d_ss_Bv!R11*(1-EXP(-RadSpec!AX11*t_b)))/(P*RadSpec!AX11))),".")</f>
        <v>1.072392322870531</v>
      </c>
      <c r="S11" s="116">
        <f>IFERROR(IF(d_ss_Bv!S11=0,".",((Ir*F*d_ss_Bv!S11*(1-EXP(-RadSpec!AX11*t_b)))/(P*RadSpec!AX11))),".")</f>
        <v>1.072392322870531</v>
      </c>
      <c r="T11" s="116">
        <f>IFERROR(IF(d_ss_Bv!T11=0,".",((Ir*F*d_ss_Bv!T11*(1-EXP(-RadSpec!AX11*t_b)))/(P*RadSpec!AX11))),".")</f>
        <v>1.072392322870531</v>
      </c>
      <c r="U11" s="116">
        <f>IFERROR(IF(d_ss_Bv!U11=0,".",((Ir*F*d_ss_Bv!U11*(1-EXP(-RadSpec!AX11*t_b)))/(P*RadSpec!AX11))),".")</f>
        <v>1.072392322870531</v>
      </c>
      <c r="V11" s="116">
        <f>IFERROR(IF(d_ss_Bv!V11=0,".",((Ir*F*d_ss_Bv!V11*(1-EXP(-RadSpec!AX11*t_b)))/(P*RadSpec!AX11))),".")</f>
        <v>1.072392322870531</v>
      </c>
      <c r="W11" s="116">
        <f>IFERROR(IF(d_ss_Bv!W11=0,".",((Ir*F*d_ss_Bv!W11*(1-EXP(-RadSpec!AX11*t_b)))/(P*RadSpec!AX11))),".")</f>
        <v>1.072392322870531</v>
      </c>
      <c r="X11" s="116">
        <f>IFERROR(IF(d_ss_Bv!X11=0,".",((Ir*F*d_ss_Bv!X11*(1-EXP(-RadSpec!AX11*t_b)))/(P*RadSpec!AX11))),".")</f>
        <v>1.072392322870531</v>
      </c>
      <c r="Y11" s="116">
        <f>IFERROR(IF(d_ss_Bv!Y11=0,".",((Ir*F*d_ss_Bv!Y11*(1-EXP(-RadSpec!AX11*t_b)))/(P*RadSpec!AX11))),".")</f>
        <v>1.072392322870531</v>
      </c>
      <c r="Z11" s="116">
        <f>IFERROR(IF(d_ss_Bv!Z11=0,".",((Ir*F*d_ss_Bv!Z11*(1-EXP(-RadSpec!AX11*t_b)))/(P*RadSpec!AX11))),".")</f>
        <v>1.072392322870531</v>
      </c>
      <c r="AA11" s="116">
        <f>IFERROR(IF(d_ss_Bv!C11=0,".",((Ir*F*MLF_apple*(1-EXP(-RadSpec!AX11*t_b)))/(P*RadSpec!AX11))),".")</f>
        <v>5.7194257219761657E-3</v>
      </c>
      <c r="AB11" s="116">
        <f>IFERROR(IF(d_ss_Bv!D11=0,".",((Ir*F*MLF_asparagus*(1-EXP(-RadSpec!AX11*t_b)))/(P*RadSpec!AX11))),".")</f>
        <v>2.8239664502257315E-3</v>
      </c>
      <c r="AC11" s="116">
        <f>IFERROR(IF(d_ss_Bv!E11=0,".",((Ir*F*MLF_beet*(1-EXP(-RadSpec!AX11*t_b)))/(P*RadSpec!AX11))),".")</f>
        <v>4.9330046852044422E-3</v>
      </c>
      <c r="AD11" s="116">
        <f>IFERROR(IF(d_ss_Bv!F11=0,".",((Ir*F*MLF_berries*(1-EXP(-RadSpec!AX11*t_b)))/(P*RadSpec!AX11))),".")</f>
        <v>5.9339041865502712E-3</v>
      </c>
      <c r="AE11" s="116">
        <f>IFERROR(IF(d_ss_Bv!G11=0,".",((Ir*F*MLF_broccoli*(1-EXP(-RadSpec!AX11*t_b)))/(P*RadSpec!AX11))),".")</f>
        <v>3.6103874869974538E-2</v>
      </c>
      <c r="AF11" s="116">
        <f>IFERROR(IF(d_ss_Bv!H11=0,".",((Ir*F*MLF_cabbage*(1-EXP(-RadSpec!AX11*t_b)))/(P*RadSpec!AX11))),".")</f>
        <v>3.7533731300468582E-3</v>
      </c>
      <c r="AG11" s="116">
        <f>IFERROR(IF(d_ss_Bv!I11=0,".",((Ir*F*MLF_carrot*(1-EXP(-RadSpec!AX11*t_b)))/(P*RadSpec!AX11))),".")</f>
        <v>3.4674018439480501E-3</v>
      </c>
      <c r="AH11" s="116">
        <f>IFERROR(IF(d_ss_Bv!J11=0,".",((Ir*F*MLF_citrus*(1-EXP(-RadSpec!AX11*t_b)))/(P*RadSpec!AX11))),".")</f>
        <v>5.6121864896891112E-3</v>
      </c>
      <c r="AI11" s="116">
        <f>IFERROR(IF(d_ss_Bv!K11=0,".",((Ir*F*MLF_corn*(1-EXP(-RadSpec!AX11*t_b)))/(P*RadSpec!AX11))),".")</f>
        <v>5.1832295605408994E-3</v>
      </c>
      <c r="AJ11" s="116">
        <f>IFERROR(IF(d_ss_Bv!L11=0,".",((Ir*F*MLF_cucumber*(1-EXP(-RadSpec!AX11*t_b)))/(P*RadSpec!AX11))),".")</f>
        <v>1.4298564304940414E-3</v>
      </c>
      <c r="AK11" s="116">
        <f>IFERROR(IF(d_ss_Bv!M11=0,".",((Ir*F*MLF_lettuce*(1-EXP(-RadSpec!AX11*t_b)))/(P*RadSpec!AX11))),".")</f>
        <v>0.48257654529173893</v>
      </c>
      <c r="AL11" s="116">
        <f>IFERROR(IF(d_ss_Bv!N11=0,".",((Ir*F*MLF_lima_bean*(1-EXP(-RadSpec!AX11*t_b)))/(P*RadSpec!AX11))),".")</f>
        <v>0.13690875321980447</v>
      </c>
      <c r="AM11" s="116">
        <f>IFERROR(IF(d_ss_Bv!O11=0,".",((Ir*F*MLF_okra*(1-EXP(-RadSpec!AX11*t_b)))/(P*RadSpec!AX11))),".")</f>
        <v>2.8597128609880828E-3</v>
      </c>
      <c r="AN11" s="116">
        <f>IFERROR(IF(d_ss_Bv!P11=0,".",((Ir*F*MLF_onion*(1-EXP(-RadSpec!AX11*t_b)))/(P*RadSpec!AX11))),".")</f>
        <v>3.4674018439480501E-3</v>
      </c>
      <c r="AO11" s="116">
        <f>IFERROR(IF(d_ss_Bv!Q11=0,".",((Ir*F*MLF_peach*(1-EXP(-RadSpec!AX11*t_b)))/(P*RadSpec!AX11))),".")</f>
        <v>5.361961614352654E-3</v>
      </c>
      <c r="AP11" s="116" t="str">
        <f>IFERROR(IF(d_ss_Bv!OI11=0,".",((Ir*F*MLF_pear*(1-EXP(-RadSpec!AX11*t_b)))/(P*RadSpec!AX11))),".")</f>
        <v>.</v>
      </c>
      <c r="AQ11" s="116">
        <f>IFERROR(IF(d_ss_Bv!S11=0,".",((Ir*F*MLF_peas*(1-EXP(-RadSpec!AX11*t_b)))/(P*RadSpec!AX11))),".")</f>
        <v>6.3628611156984829E-3</v>
      </c>
      <c r="AR11" s="116">
        <f>IFERROR(IF(d_ss_Bv!T11=0,".",((Ir*F*MLF_potato*(1-EXP(-RadSpec!AX11*t_b)))/(P*RadSpec!AX11))),".")</f>
        <v>7.5067462600937164E-3</v>
      </c>
      <c r="AS11" s="116">
        <f>IFERROR(IF(d_ss_Bv!U11=0,".",((Ir*F*MLF_pumpkin*(1-EXP(-RadSpec!AX11*t_b)))/(P*RadSpec!AX11))),".")</f>
        <v>2.0732918242163598E-3</v>
      </c>
      <c r="AT11" s="116">
        <f>IFERROR(IF(d_ss_Bv!V11=0,".",((Ir*F*MLF_snap_bean*(1-EXP(-RadSpec!AX11*t_b)))/(P*RadSpec!AX11))),".")</f>
        <v>0.17873205381175516</v>
      </c>
      <c r="AU11" s="116">
        <f>IFERROR(IF(d_ss_Bv!W11=0,".",((Ir*F*MLF_strawberry*(1-EXP(-RadSpec!AX11*t_b)))/(P*RadSpec!AX11))),".")</f>
        <v>2.8597128609880828E-3</v>
      </c>
      <c r="AV11" s="116">
        <f>IFERROR(IF(d_ss_Bv!X11=0,".",((Ir*F*MLF_tomato*(1-EXP(-RadSpec!AX11*t_b)))/(P*RadSpec!AX11))),".")</f>
        <v>5.6836793112138136E-2</v>
      </c>
      <c r="AW11" s="116">
        <f>IFERROR(IF(d_ss_Bv!Y11=0,".",((Ir*F*MLF_rice*(1-EXP(-RadSpec!AX11*t_b)))/(P*RadSpec!AX11))),".")</f>
        <v>8.9366026905877582</v>
      </c>
      <c r="AX11" s="116">
        <f>IFERROR(IF(d_ss_Bv!Z11=0,".",((Ir*F*MLF_cereal*(1-EXP(-RadSpec!AX11*t_b)))/(P*RadSpec!AX11))),".")</f>
        <v>8.9366026905877582</v>
      </c>
      <c r="AY11" s="116">
        <f>IFERROR(IF(d_ss_Bv!C11=0,".",((Ir*F*I_f*T*(1-EXP(-RadSpec!AY11*t_v)))/(Y_v*RadSpec!AY11))),".")</f>
        <v>3.6424203206347228</v>
      </c>
      <c r="AZ11" s="116">
        <f>IFERROR(IF(d_ss_Bv!D11=0,".",((Ir*F*I_f*T*(1-EXP(-RadSpec!AY11*t_v)))/(Y_v*RadSpec!AY11))),".")</f>
        <v>3.6424203206347228</v>
      </c>
      <c r="BA11" s="116">
        <f>IFERROR(IF(d_ss_Bv!E11=0,".",((Ir*F*I_f*T*(1-EXP(-RadSpec!AY11*t_v)))/(Y_v*RadSpec!AY11))),".")</f>
        <v>3.6424203206347228</v>
      </c>
      <c r="BB11" s="116">
        <f>IFERROR(IF(d_ss_Bv!F11=0,".",((Ir*F*I_f*T*(1-EXP(-RadSpec!AY11*t_v)))/(Y_v*RadSpec!AY11))),".")</f>
        <v>3.6424203206347228</v>
      </c>
      <c r="BC11" s="116">
        <f>IFERROR(IF(d_ss_Bv!G11=0,".",((Ir*F*I_f*T*(1-EXP(-RadSpec!AY11*t_v)))/(Y_v*RadSpec!AY11))),".")</f>
        <v>3.6424203206347228</v>
      </c>
      <c r="BD11" s="116">
        <f>IFERROR(IF(d_ss_Bv!H11=0,".",((Ir*F*I_f*T*(1-EXP(-RadSpec!AY11*t_v)))/(Y_v*RadSpec!AY11))),".")</f>
        <v>3.6424203206347228</v>
      </c>
      <c r="BE11" s="116">
        <f>IFERROR(IF(d_ss_Bv!I11=0,".",((Ir*F*I_f*T*(1-EXP(-RadSpec!AY11*t_v)))/(Y_v*RadSpec!AY11))),".")</f>
        <v>3.6424203206347228</v>
      </c>
      <c r="BF11" s="116">
        <f>IFERROR(IF(d_ss_Bv!J11=0,".",((Ir*F*I_f*T*(1-EXP(-RadSpec!AY11*t_v)))/(Y_v*RadSpec!AY11))),".")</f>
        <v>3.6424203206347228</v>
      </c>
      <c r="BG11" s="116">
        <f>IFERROR(IF(d_ss_Bv!K11=0,".",((Ir*F*I_f*T*(1-EXP(-RadSpec!AY11*t_v)))/(Y_v*RadSpec!AY11))),".")</f>
        <v>3.6424203206347228</v>
      </c>
      <c r="BH11" s="116">
        <f>IFERROR(IF(d_ss_Bv!L11=0,".",((Ir*F*I_f*T*(1-EXP(-RadSpec!AY11*t_v)))/(Y_v*RadSpec!AY11))),".")</f>
        <v>3.6424203206347228</v>
      </c>
      <c r="BI11" s="116">
        <f>IFERROR(IF(d_ss_Bv!M11=0,".",((Ir*F*I_f*T*(1-EXP(-RadSpec!AY11*t_v)))/(Y_v*RadSpec!AY11))),".")</f>
        <v>3.6424203206347228</v>
      </c>
      <c r="BJ11" s="116">
        <f>IFERROR(IF(d_ss_Bv!N11=0,".",((Ir*F*I_f*T*(1-EXP(-RadSpec!AY11*t_v)))/(Y_v*RadSpec!AY11))),".")</f>
        <v>3.6424203206347228</v>
      </c>
      <c r="BK11" s="116">
        <f>IFERROR(IF(d_ss_Bv!O11=0,".",((Ir*F*I_f*T*(1-EXP(-RadSpec!AY11*t_v)))/(Y_v*RadSpec!AY11))),".")</f>
        <v>3.6424203206347228</v>
      </c>
      <c r="BL11" s="116">
        <f>IFERROR(IF(d_ss_Bv!P11=0,".",((Ir*F*I_f*T*(1-EXP(-RadSpec!AY11*t_v)))/(Y_v*RadSpec!AY11))),".")</f>
        <v>3.6424203206347228</v>
      </c>
      <c r="BM11" s="116">
        <f>IFERROR(IF(d_ss_Bv!Q11=0,".",((Ir*F*I_f*T*(1-EXP(-RadSpec!AY11*t_v)))/(Y_v*RadSpec!AY11))),".")</f>
        <v>3.6424203206347228</v>
      </c>
      <c r="BN11" s="116">
        <f>IFERROR(IF(d_ss_Bv!R11=0,".",((Ir*F*I_f*T*(1-EXP(-RadSpec!AY11*t_v)))/(Y_v*RadSpec!AY11))),".")</f>
        <v>3.6424203206347228</v>
      </c>
      <c r="BO11" s="116">
        <f>IFERROR(IF(d_ss_Bv!S11=0,".",((Ir*F*I_f*T*(1-EXP(-RadSpec!AY11*t_v)))/(Y_v*RadSpec!AY11))),".")</f>
        <v>3.6424203206347228</v>
      </c>
      <c r="BP11" s="116">
        <f>IFERROR(IF(d_ss_Bv!T11=0,".",((Ir*F*I_f*T*(1-EXP(-RadSpec!AY11*t_v)))/(Y_v*RadSpec!AY11))),".")</f>
        <v>3.6424203206347228</v>
      </c>
      <c r="BQ11" s="116">
        <f>IFERROR(IF(d_ss_Bv!U11=0,".",((Ir*F*I_f*T*(1-EXP(-RadSpec!AY11*t_v)))/(Y_v*RadSpec!AY11))),".")</f>
        <v>3.6424203206347228</v>
      </c>
      <c r="BR11" s="116">
        <f>IFERROR(IF(d_ss_Bv!V11=0,".",((Ir*F*I_f*T*(1-EXP(-RadSpec!AY11*t_v)))/(Y_v*RadSpec!AY11))),".")</f>
        <v>3.6424203206347228</v>
      </c>
      <c r="BS11" s="116">
        <f>IFERROR(IF(d_ss_Bv!W11=0,".",((Ir*F*I_f*T*(1-EXP(-RadSpec!AY11*t_v)))/(Y_v*RadSpec!AY11))),".")</f>
        <v>3.6424203206347228</v>
      </c>
      <c r="BT11" s="116">
        <f>IFERROR(IF(d_ss_Bv!X11=0,".",((Ir*F*I_f*T*(1-EXP(-RadSpec!AY11*t_v)))/(Y_v*RadSpec!AY11))),".")</f>
        <v>3.6424203206347228</v>
      </c>
      <c r="BU11" s="116">
        <f>IFERROR(IF(d_ss_Bv!Y11=0,".",((Ir*F*I_f*T*(1-EXP(-RadSpec!AY11*t_v)))/(Y_v*RadSpec!AY11))),".")</f>
        <v>3.6424203206347228</v>
      </c>
      <c r="BV11" s="116">
        <f>IFERROR(IF(d_ss_Bv!Z11=0,".",((Ir*F*I_f*T*(1-EXP(-RadSpec!AY11*t_v)))/(Y_v*RadSpec!AY11))),".")</f>
        <v>3.6424203206347228</v>
      </c>
    </row>
    <row r="12" spans="1:74" x14ac:dyDescent="0.25">
      <c r="A12" s="44" t="s">
        <v>22</v>
      </c>
      <c r="B12" s="42" t="s">
        <v>1074</v>
      </c>
      <c r="C12" s="116">
        <f>IFERROR(IF(d_ss_Bv!C12=0,".",((Ir*F*d_ss_Bv!C12*(1-EXP(-RadSpec!AX12*t_b)))/(P*RadSpec!AX12))),".")</f>
        <v>10.72392322870531</v>
      </c>
      <c r="D12" s="116">
        <f>IFERROR(IF(d_ss_Bv!D12=0,".",((Ir*F*d_ss_Bv!D12*(1-EXP(-RadSpec!AX12*t_b)))/(P*RadSpec!AX12))),".")</f>
        <v>10.72392322870531</v>
      </c>
      <c r="E12" s="116">
        <f>IFERROR(IF(d_ss_Bv!E12=0,".",((Ir*F*d_ss_Bv!E12*(1-EXP(-RadSpec!AX12*t_b)))/(P*RadSpec!AX12))),".")</f>
        <v>10.72392322870531</v>
      </c>
      <c r="F12" s="116">
        <f>IFERROR(IF(d_ss_Bv!F12=0,".",((Ir*F*d_ss_Bv!F12*(1-EXP(-RadSpec!AX12*t_b)))/(P*RadSpec!AX12))),".")</f>
        <v>10.72392322870531</v>
      </c>
      <c r="G12" s="116">
        <f>IFERROR(IF(d_ss_Bv!G12=0,".",((Ir*F*d_ss_Bv!G12*(1-EXP(-RadSpec!AX12*t_b)))/(P*RadSpec!AX12))),".")</f>
        <v>10.72392322870531</v>
      </c>
      <c r="H12" s="116">
        <f>IFERROR(IF(d_ss_Bv!H12=0,".",((Ir*F*d_ss_Bv!H12*(1-EXP(-RadSpec!AX12*t_b)))/(P*RadSpec!AX12))),".")</f>
        <v>10.72392322870531</v>
      </c>
      <c r="I12" s="116">
        <f>IFERROR(IF(d_ss_Bv!I12=0,".",((Ir*F*d_ss_Bv!I12*(1-EXP(-RadSpec!AX12*t_b)))/(P*RadSpec!AX12))),".")</f>
        <v>10.72392322870531</v>
      </c>
      <c r="J12" s="116">
        <f>IFERROR(IF(d_ss_Bv!J12=0,".",((Ir*F*d_ss_Bv!J12*(1-EXP(-RadSpec!AX12*t_b)))/(P*RadSpec!AX12))),".")</f>
        <v>10.72392322870531</v>
      </c>
      <c r="K12" s="116">
        <f>IFERROR(IF(d_ss_Bv!K12=0,".",((Ir*F*d_ss_Bv!K12*(1-EXP(-RadSpec!AX12*t_b)))/(P*RadSpec!AX12))),".")</f>
        <v>10.72392322870531</v>
      </c>
      <c r="L12" s="116">
        <f>IFERROR(IF(d_ss_Bv!L12=0,".",((Ir*F*d_ss_Bv!L12*(1-EXP(-RadSpec!AX12*t_b)))/(P*RadSpec!AX12))),".")</f>
        <v>10.72392322870531</v>
      </c>
      <c r="M12" s="116">
        <f>IFERROR(IF(d_ss_Bv!M12=0,".",((Ir*F*d_ss_Bv!M12*(1-EXP(-RadSpec!AX12*t_b)))/(P*RadSpec!AX12))),".")</f>
        <v>10.72392322870531</v>
      </c>
      <c r="N12" s="116">
        <f>IFERROR(IF(d_ss_Bv!N12=0,".",((Ir*F*d_ss_Bv!N12*(1-EXP(-RadSpec!AX12*t_b)))/(P*RadSpec!AX12))),".")</f>
        <v>10.72392322870531</v>
      </c>
      <c r="O12" s="116">
        <f>IFERROR(IF(d_ss_Bv!O12=0,".",((Ir*F*d_ss_Bv!O12*(1-EXP(-RadSpec!AX12*t_b)))/(P*RadSpec!AX12))),".")</f>
        <v>10.72392322870531</v>
      </c>
      <c r="P12" s="116">
        <f>IFERROR(IF(d_ss_Bv!P12=0,".",((Ir*F*d_ss_Bv!P12*(1-EXP(-RadSpec!AX12*t_b)))/(P*RadSpec!AX12))),".")</f>
        <v>10.72392322870531</v>
      </c>
      <c r="Q12" s="116">
        <f>IFERROR(IF(d_ss_Bv!Q12=0,".",((Ir*F*d_ss_Bv!Q12*(1-EXP(-RadSpec!AX12*t_b)))/(P*RadSpec!AX12))),".")</f>
        <v>10.72392322870531</v>
      </c>
      <c r="R12" s="116">
        <f>IFERROR(IF(d_ss_Bv!R12=0,".",((Ir*F*d_ss_Bv!R12*(1-EXP(-RadSpec!AX12*t_b)))/(P*RadSpec!AX12))),".")</f>
        <v>10.72392322870531</v>
      </c>
      <c r="S12" s="116">
        <f>IFERROR(IF(d_ss_Bv!S12=0,".",((Ir*F*d_ss_Bv!S12*(1-EXP(-RadSpec!AX12*t_b)))/(P*RadSpec!AX12))),".")</f>
        <v>10.72392322870531</v>
      </c>
      <c r="T12" s="116">
        <f>IFERROR(IF(d_ss_Bv!T12=0,".",((Ir*F*d_ss_Bv!T12*(1-EXP(-RadSpec!AX12*t_b)))/(P*RadSpec!AX12))),".")</f>
        <v>10.72392322870531</v>
      </c>
      <c r="U12" s="116">
        <f>IFERROR(IF(d_ss_Bv!U12=0,".",((Ir*F*d_ss_Bv!U12*(1-EXP(-RadSpec!AX12*t_b)))/(P*RadSpec!AX12))),".")</f>
        <v>10.72392322870531</v>
      </c>
      <c r="V12" s="116">
        <f>IFERROR(IF(d_ss_Bv!V12=0,".",((Ir*F*d_ss_Bv!V12*(1-EXP(-RadSpec!AX12*t_b)))/(P*RadSpec!AX12))),".")</f>
        <v>10.72392322870531</v>
      </c>
      <c r="W12" s="116">
        <f>IFERROR(IF(d_ss_Bv!W12=0,".",((Ir*F*d_ss_Bv!W12*(1-EXP(-RadSpec!AX12*t_b)))/(P*RadSpec!AX12))),".")</f>
        <v>10.72392322870531</v>
      </c>
      <c r="X12" s="116">
        <f>IFERROR(IF(d_ss_Bv!X12=0,".",((Ir*F*d_ss_Bv!X12*(1-EXP(-RadSpec!AX12*t_b)))/(P*RadSpec!AX12))),".")</f>
        <v>10.72392322870531</v>
      </c>
      <c r="Y12" s="116">
        <f>IFERROR(IF(d_ss_Bv!Y12=0,".",((Ir*F*d_ss_Bv!Y12*(1-EXP(-RadSpec!AX12*t_b)))/(P*RadSpec!AX12))),".")</f>
        <v>10.72392322870531</v>
      </c>
      <c r="Z12" s="116">
        <f>IFERROR(IF(d_ss_Bv!Z12=0,".",((Ir*F*d_ss_Bv!Z12*(1-EXP(-RadSpec!AX12*t_b)))/(P*RadSpec!AX12))),".")</f>
        <v>10.72392322870531</v>
      </c>
      <c r="AA12" s="116">
        <f>IFERROR(IF(d_ss_Bv!C12=0,".",((Ir*F*MLF_apple*(1-EXP(-RadSpec!AX12*t_b)))/(P*RadSpec!AX12))),".")</f>
        <v>5.7194257219761657E-3</v>
      </c>
      <c r="AB12" s="116">
        <f>IFERROR(IF(d_ss_Bv!D12=0,".",((Ir*F*MLF_asparagus*(1-EXP(-RadSpec!AX12*t_b)))/(P*RadSpec!AX12))),".")</f>
        <v>2.8239664502257315E-3</v>
      </c>
      <c r="AC12" s="116">
        <f>IFERROR(IF(d_ss_Bv!E12=0,".",((Ir*F*MLF_beet*(1-EXP(-RadSpec!AX12*t_b)))/(P*RadSpec!AX12))),".")</f>
        <v>4.9330046852044422E-3</v>
      </c>
      <c r="AD12" s="116">
        <f>IFERROR(IF(d_ss_Bv!F12=0,".",((Ir*F*MLF_berries*(1-EXP(-RadSpec!AX12*t_b)))/(P*RadSpec!AX12))),".")</f>
        <v>5.9339041865502712E-3</v>
      </c>
      <c r="AE12" s="116">
        <f>IFERROR(IF(d_ss_Bv!G12=0,".",((Ir*F*MLF_broccoli*(1-EXP(-RadSpec!AX12*t_b)))/(P*RadSpec!AX12))),".")</f>
        <v>3.6103874869974538E-2</v>
      </c>
      <c r="AF12" s="116">
        <f>IFERROR(IF(d_ss_Bv!H12=0,".",((Ir*F*MLF_cabbage*(1-EXP(-RadSpec!AX12*t_b)))/(P*RadSpec!AX12))),".")</f>
        <v>3.7533731300468582E-3</v>
      </c>
      <c r="AG12" s="116">
        <f>IFERROR(IF(d_ss_Bv!I12=0,".",((Ir*F*MLF_carrot*(1-EXP(-RadSpec!AX12*t_b)))/(P*RadSpec!AX12))),".")</f>
        <v>3.4674018439480501E-3</v>
      </c>
      <c r="AH12" s="116">
        <f>IFERROR(IF(d_ss_Bv!J12=0,".",((Ir*F*MLF_citrus*(1-EXP(-RadSpec!AX12*t_b)))/(P*RadSpec!AX12))),".")</f>
        <v>5.6121864896891112E-3</v>
      </c>
      <c r="AI12" s="116">
        <f>IFERROR(IF(d_ss_Bv!K12=0,".",((Ir*F*MLF_corn*(1-EXP(-RadSpec!AX12*t_b)))/(P*RadSpec!AX12))),".")</f>
        <v>5.1832295605408994E-3</v>
      </c>
      <c r="AJ12" s="116">
        <f>IFERROR(IF(d_ss_Bv!L12=0,".",((Ir*F*MLF_cucumber*(1-EXP(-RadSpec!AX12*t_b)))/(P*RadSpec!AX12))),".")</f>
        <v>1.4298564304940414E-3</v>
      </c>
      <c r="AK12" s="116">
        <f>IFERROR(IF(d_ss_Bv!M12=0,".",((Ir*F*MLF_lettuce*(1-EXP(-RadSpec!AX12*t_b)))/(P*RadSpec!AX12))),".")</f>
        <v>0.48257654529173893</v>
      </c>
      <c r="AL12" s="116">
        <f>IFERROR(IF(d_ss_Bv!N12=0,".",((Ir*F*MLF_lima_bean*(1-EXP(-RadSpec!AX12*t_b)))/(P*RadSpec!AX12))),".")</f>
        <v>0.13690875321980447</v>
      </c>
      <c r="AM12" s="116">
        <f>IFERROR(IF(d_ss_Bv!O12=0,".",((Ir*F*MLF_okra*(1-EXP(-RadSpec!AX12*t_b)))/(P*RadSpec!AX12))),".")</f>
        <v>2.8597128609880828E-3</v>
      </c>
      <c r="AN12" s="116">
        <f>IFERROR(IF(d_ss_Bv!P12=0,".",((Ir*F*MLF_onion*(1-EXP(-RadSpec!AX12*t_b)))/(P*RadSpec!AX12))),".")</f>
        <v>3.4674018439480501E-3</v>
      </c>
      <c r="AO12" s="116">
        <f>IFERROR(IF(d_ss_Bv!Q12=0,".",((Ir*F*MLF_peach*(1-EXP(-RadSpec!AX12*t_b)))/(P*RadSpec!AX12))),".")</f>
        <v>5.361961614352654E-3</v>
      </c>
      <c r="AP12" s="116" t="str">
        <f>IFERROR(IF(d_ss_Bv!OI12=0,".",((Ir*F*MLF_pear*(1-EXP(-RadSpec!AX12*t_b)))/(P*RadSpec!AX12))),".")</f>
        <v>.</v>
      </c>
      <c r="AQ12" s="116">
        <f>IFERROR(IF(d_ss_Bv!S12=0,".",((Ir*F*MLF_peas*(1-EXP(-RadSpec!AX12*t_b)))/(P*RadSpec!AX12))),".")</f>
        <v>6.3628611156984829E-3</v>
      </c>
      <c r="AR12" s="116">
        <f>IFERROR(IF(d_ss_Bv!T12=0,".",((Ir*F*MLF_potato*(1-EXP(-RadSpec!AX12*t_b)))/(P*RadSpec!AX12))),".")</f>
        <v>7.5067462600937164E-3</v>
      </c>
      <c r="AS12" s="116">
        <f>IFERROR(IF(d_ss_Bv!U12=0,".",((Ir*F*MLF_pumpkin*(1-EXP(-RadSpec!AX12*t_b)))/(P*RadSpec!AX12))),".")</f>
        <v>2.0732918242163598E-3</v>
      </c>
      <c r="AT12" s="116">
        <f>IFERROR(IF(d_ss_Bv!V12=0,".",((Ir*F*MLF_snap_bean*(1-EXP(-RadSpec!AX12*t_b)))/(P*RadSpec!AX12))),".")</f>
        <v>0.17873205381175516</v>
      </c>
      <c r="AU12" s="116">
        <f>IFERROR(IF(d_ss_Bv!W12=0,".",((Ir*F*MLF_strawberry*(1-EXP(-RadSpec!AX12*t_b)))/(P*RadSpec!AX12))),".")</f>
        <v>2.8597128609880828E-3</v>
      </c>
      <c r="AV12" s="116">
        <f>IFERROR(IF(d_ss_Bv!X12=0,".",((Ir*F*MLF_tomato*(1-EXP(-RadSpec!AX12*t_b)))/(P*RadSpec!AX12))),".")</f>
        <v>5.6836793112138136E-2</v>
      </c>
      <c r="AW12" s="116">
        <f>IFERROR(IF(d_ss_Bv!Y12=0,".",((Ir*F*MLF_rice*(1-EXP(-RadSpec!AX12*t_b)))/(P*RadSpec!AX12))),".")</f>
        <v>8.9366026905877582</v>
      </c>
      <c r="AX12" s="116">
        <f>IFERROR(IF(d_ss_Bv!Z12=0,".",((Ir*F*MLF_cereal*(1-EXP(-RadSpec!AX12*t_b)))/(P*RadSpec!AX12))),".")</f>
        <v>8.9366026905877582</v>
      </c>
      <c r="AY12" s="116">
        <f>IFERROR(IF(d_ss_Bv!C12=0,".",((Ir*F*I_f*T*(1-EXP(-RadSpec!AY12*t_v)))/(Y_v*RadSpec!AY12))),".")</f>
        <v>3.6424203206347228</v>
      </c>
      <c r="AZ12" s="116">
        <f>IFERROR(IF(d_ss_Bv!D12=0,".",((Ir*F*I_f*T*(1-EXP(-RadSpec!AY12*t_v)))/(Y_v*RadSpec!AY12))),".")</f>
        <v>3.6424203206347228</v>
      </c>
      <c r="BA12" s="116">
        <f>IFERROR(IF(d_ss_Bv!E12=0,".",((Ir*F*I_f*T*(1-EXP(-RadSpec!AY12*t_v)))/(Y_v*RadSpec!AY12))),".")</f>
        <v>3.6424203206347228</v>
      </c>
      <c r="BB12" s="116">
        <f>IFERROR(IF(d_ss_Bv!F12=0,".",((Ir*F*I_f*T*(1-EXP(-RadSpec!AY12*t_v)))/(Y_v*RadSpec!AY12))),".")</f>
        <v>3.6424203206347228</v>
      </c>
      <c r="BC12" s="116">
        <f>IFERROR(IF(d_ss_Bv!G12=0,".",((Ir*F*I_f*T*(1-EXP(-RadSpec!AY12*t_v)))/(Y_v*RadSpec!AY12))),".")</f>
        <v>3.6424203206347228</v>
      </c>
      <c r="BD12" s="116">
        <f>IFERROR(IF(d_ss_Bv!H12=0,".",((Ir*F*I_f*T*(1-EXP(-RadSpec!AY12*t_v)))/(Y_v*RadSpec!AY12))),".")</f>
        <v>3.6424203206347228</v>
      </c>
      <c r="BE12" s="116">
        <f>IFERROR(IF(d_ss_Bv!I12=0,".",((Ir*F*I_f*T*(1-EXP(-RadSpec!AY12*t_v)))/(Y_v*RadSpec!AY12))),".")</f>
        <v>3.6424203206347228</v>
      </c>
      <c r="BF12" s="116">
        <f>IFERROR(IF(d_ss_Bv!J12=0,".",((Ir*F*I_f*T*(1-EXP(-RadSpec!AY12*t_v)))/(Y_v*RadSpec!AY12))),".")</f>
        <v>3.6424203206347228</v>
      </c>
      <c r="BG12" s="116">
        <f>IFERROR(IF(d_ss_Bv!K12=0,".",((Ir*F*I_f*T*(1-EXP(-RadSpec!AY12*t_v)))/(Y_v*RadSpec!AY12))),".")</f>
        <v>3.6424203206347228</v>
      </c>
      <c r="BH12" s="116">
        <f>IFERROR(IF(d_ss_Bv!L12=0,".",((Ir*F*I_f*T*(1-EXP(-RadSpec!AY12*t_v)))/(Y_v*RadSpec!AY12))),".")</f>
        <v>3.6424203206347228</v>
      </c>
      <c r="BI12" s="116">
        <f>IFERROR(IF(d_ss_Bv!M12=0,".",((Ir*F*I_f*T*(1-EXP(-RadSpec!AY12*t_v)))/(Y_v*RadSpec!AY12))),".")</f>
        <v>3.6424203206347228</v>
      </c>
      <c r="BJ12" s="116">
        <f>IFERROR(IF(d_ss_Bv!N12=0,".",((Ir*F*I_f*T*(1-EXP(-RadSpec!AY12*t_v)))/(Y_v*RadSpec!AY12))),".")</f>
        <v>3.6424203206347228</v>
      </c>
      <c r="BK12" s="116">
        <f>IFERROR(IF(d_ss_Bv!O12=0,".",((Ir*F*I_f*T*(1-EXP(-RadSpec!AY12*t_v)))/(Y_v*RadSpec!AY12))),".")</f>
        <v>3.6424203206347228</v>
      </c>
      <c r="BL12" s="116">
        <f>IFERROR(IF(d_ss_Bv!P12=0,".",((Ir*F*I_f*T*(1-EXP(-RadSpec!AY12*t_v)))/(Y_v*RadSpec!AY12))),".")</f>
        <v>3.6424203206347228</v>
      </c>
      <c r="BM12" s="116">
        <f>IFERROR(IF(d_ss_Bv!Q12=0,".",((Ir*F*I_f*T*(1-EXP(-RadSpec!AY12*t_v)))/(Y_v*RadSpec!AY12))),".")</f>
        <v>3.6424203206347228</v>
      </c>
      <c r="BN12" s="116">
        <f>IFERROR(IF(d_ss_Bv!R12=0,".",((Ir*F*I_f*T*(1-EXP(-RadSpec!AY12*t_v)))/(Y_v*RadSpec!AY12))),".")</f>
        <v>3.6424203206347228</v>
      </c>
      <c r="BO12" s="116">
        <f>IFERROR(IF(d_ss_Bv!S12=0,".",((Ir*F*I_f*T*(1-EXP(-RadSpec!AY12*t_v)))/(Y_v*RadSpec!AY12))),".")</f>
        <v>3.6424203206347228</v>
      </c>
      <c r="BP12" s="116">
        <f>IFERROR(IF(d_ss_Bv!T12=0,".",((Ir*F*I_f*T*(1-EXP(-RadSpec!AY12*t_v)))/(Y_v*RadSpec!AY12))),".")</f>
        <v>3.6424203206347228</v>
      </c>
      <c r="BQ12" s="116">
        <f>IFERROR(IF(d_ss_Bv!U12=0,".",((Ir*F*I_f*T*(1-EXP(-RadSpec!AY12*t_v)))/(Y_v*RadSpec!AY12))),".")</f>
        <v>3.6424203206347228</v>
      </c>
      <c r="BR12" s="116">
        <f>IFERROR(IF(d_ss_Bv!V12=0,".",((Ir*F*I_f*T*(1-EXP(-RadSpec!AY12*t_v)))/(Y_v*RadSpec!AY12))),".")</f>
        <v>3.6424203206347228</v>
      </c>
      <c r="BS12" s="116">
        <f>IFERROR(IF(d_ss_Bv!W12=0,".",((Ir*F*I_f*T*(1-EXP(-RadSpec!AY12*t_v)))/(Y_v*RadSpec!AY12))),".")</f>
        <v>3.6424203206347228</v>
      </c>
      <c r="BT12" s="116">
        <f>IFERROR(IF(d_ss_Bv!X12=0,".",((Ir*F*I_f*T*(1-EXP(-RadSpec!AY12*t_v)))/(Y_v*RadSpec!AY12))),".")</f>
        <v>3.6424203206347228</v>
      </c>
      <c r="BU12" s="116">
        <f>IFERROR(IF(d_ss_Bv!Y12=0,".",((Ir*F*I_f*T*(1-EXP(-RadSpec!AY12*t_v)))/(Y_v*RadSpec!AY12))),".")</f>
        <v>3.6424203206347228</v>
      </c>
      <c r="BV12" s="116">
        <f>IFERROR(IF(d_ss_Bv!Z12=0,".",((Ir*F*I_f*T*(1-EXP(-RadSpec!AY12*t_v)))/(Y_v*RadSpec!AY12))),".")</f>
        <v>3.6424203206347228</v>
      </c>
    </row>
    <row r="13" spans="1:74" x14ac:dyDescent="0.25">
      <c r="A13" s="44" t="s">
        <v>23</v>
      </c>
      <c r="B13" s="42" t="s">
        <v>1074</v>
      </c>
      <c r="C13" s="116">
        <f>IFERROR(IF(d_ss_Bv!C13=0,".",((Ir*F*d_ss_Bv!C13*(1-EXP(-RadSpec!AX13*t_b)))/(P*RadSpec!AX13))),".")</f>
        <v>1.0723923228705308E-2</v>
      </c>
      <c r="D13" s="116">
        <f>IFERROR(IF(d_ss_Bv!D13=0,".",((Ir*F*d_ss_Bv!D13*(1-EXP(-RadSpec!AX13*t_b)))/(P*RadSpec!AX13))),".")</f>
        <v>0.96515309058347787</v>
      </c>
      <c r="E13" s="116">
        <f>IFERROR(IF(d_ss_Bv!E13=0,".",((Ir*F*d_ss_Bv!E13*(1-EXP(-RadSpec!AX13*t_b)))/(P*RadSpec!AX13))),".")</f>
        <v>0.7864210367717227</v>
      </c>
      <c r="F13" s="116">
        <f>IFERROR(IF(d_ss_Bv!F13=0,".",((Ir*F*d_ss_Bv!F13*(1-EXP(-RadSpec!AX13*t_b)))/(P*RadSpec!AX13))),".")</f>
        <v>1.0723923228705308E-2</v>
      </c>
      <c r="G13" s="116">
        <f>IFERROR(IF(d_ss_Bv!G13=0,".",((Ir*F*d_ss_Bv!G13*(1-EXP(-RadSpec!AX13*t_b)))/(P*RadSpec!AX13))),".")</f>
        <v>0.6434353937223185</v>
      </c>
      <c r="H13" s="116">
        <f>IFERROR(IF(d_ss_Bv!H13=0,".",((Ir*F*d_ss_Bv!H13*(1-EXP(-RadSpec!AX13*t_b)))/(P*RadSpec!AX13))),".")</f>
        <v>0.96515309058347787</v>
      </c>
      <c r="I13" s="116">
        <f>IFERROR(IF(d_ss_Bv!I13=0,".",((Ir*F*d_ss_Bv!I13*(1-EXP(-RadSpec!AX13*t_b)))/(P*RadSpec!AX13))),".")</f>
        <v>0.7864210367717227</v>
      </c>
      <c r="J13" s="116">
        <f>IFERROR(IF(d_ss_Bv!J13=0,".",((Ir*F*d_ss_Bv!J13*(1-EXP(-RadSpec!AX13*t_b)))/(P*RadSpec!AX13))),".")</f>
        <v>1.0723923228705308E-2</v>
      </c>
      <c r="K13" s="116">
        <f>IFERROR(IF(d_ss_Bv!K13=0,".",((Ir*F*d_ss_Bv!K13*(1-EXP(-RadSpec!AX13*t_b)))/(P*RadSpec!AX13))),".")</f>
        <v>0.17158277165928493</v>
      </c>
      <c r="L13" s="116">
        <f>IFERROR(IF(d_ss_Bv!L13=0,".",((Ir*F*d_ss_Bv!L13*(1-EXP(-RadSpec!AX13*t_b)))/(P*RadSpec!AX13))),".")</f>
        <v>0.6434353937223185</v>
      </c>
      <c r="M13" s="116">
        <f>IFERROR(IF(d_ss_Bv!M13=0,".",((Ir*F*d_ss_Bv!M13*(1-EXP(-RadSpec!AX13*t_b)))/(P*RadSpec!AX13))),".")</f>
        <v>0.96515309058347787</v>
      </c>
      <c r="N13" s="116">
        <f>IFERROR(IF(d_ss_Bv!N13=0,".",((Ir*F*d_ss_Bv!N13*(1-EXP(-RadSpec!AX13*t_b)))/(P*RadSpec!AX13))),".")</f>
        <v>0.60768898295996754</v>
      </c>
      <c r="O13" s="116">
        <f>IFERROR(IF(d_ss_Bv!O13=0,".",((Ir*F*d_ss_Bv!O13*(1-EXP(-RadSpec!AX13*t_b)))/(P*RadSpec!AX13))),".")</f>
        <v>0.6434353937223185</v>
      </c>
      <c r="P13" s="116">
        <f>IFERROR(IF(d_ss_Bv!P13=0,".",((Ir*F*d_ss_Bv!P13*(1-EXP(-RadSpec!AX13*t_b)))/(P*RadSpec!AX13))),".")</f>
        <v>0.6434353937223185</v>
      </c>
      <c r="Q13" s="116">
        <f>IFERROR(IF(d_ss_Bv!Q13=0,".",((Ir*F*d_ss_Bv!Q13*(1-EXP(-RadSpec!AX13*t_b)))/(P*RadSpec!AX13))),".")</f>
        <v>1.0723923228705308E-2</v>
      </c>
      <c r="R13" s="116">
        <f>IFERROR(IF(d_ss_Bv!R13=0,".",((Ir*F*d_ss_Bv!R13*(1-EXP(-RadSpec!AX13*t_b)))/(P*RadSpec!AX13))),".")</f>
        <v>1.0723923228705308E-2</v>
      </c>
      <c r="S13" s="116">
        <f>IFERROR(IF(d_ss_Bv!S13=0,".",((Ir*F*d_ss_Bv!S13*(1-EXP(-RadSpec!AX13*t_b)))/(P*RadSpec!AX13))),".")</f>
        <v>0.60768898295996754</v>
      </c>
      <c r="T13" s="116">
        <f>IFERROR(IF(d_ss_Bv!T13=0,".",((Ir*F*d_ss_Bv!T13*(1-EXP(-RadSpec!AX13*t_b)))/(P*RadSpec!AX13))),".")</f>
        <v>0.20375454134540089</v>
      </c>
      <c r="U13" s="116">
        <f>IFERROR(IF(d_ss_Bv!U13=0,".",((Ir*F*d_ss_Bv!U13*(1-EXP(-RadSpec!AX13*t_b)))/(P*RadSpec!AX13))),".")</f>
        <v>0.6434353937223185</v>
      </c>
      <c r="V13" s="116">
        <f>IFERROR(IF(d_ss_Bv!V13=0,".",((Ir*F*d_ss_Bv!V13*(1-EXP(-RadSpec!AX13*t_b)))/(P*RadSpec!AX13))),".")</f>
        <v>0.60768898295996754</v>
      </c>
      <c r="W13" s="116">
        <f>IFERROR(IF(d_ss_Bv!W13=0,".",((Ir*F*d_ss_Bv!W13*(1-EXP(-RadSpec!AX13*t_b)))/(P*RadSpec!AX13))),".")</f>
        <v>1.0723923228705308E-2</v>
      </c>
      <c r="X13" s="116">
        <f>IFERROR(IF(d_ss_Bv!X13=0,".",((Ir*F*d_ss_Bv!X13*(1-EXP(-RadSpec!AX13*t_b)))/(P*RadSpec!AX13))),".")</f>
        <v>0.6434353937223185</v>
      </c>
      <c r="Y13" s="116">
        <f>IFERROR(IF(d_ss_Bv!Y13=0,".",((Ir*F*d_ss_Bv!Y13*(1-EXP(-RadSpec!AX13*t_b)))/(P*RadSpec!AX13))),".")</f>
        <v>0.71492821524702066</v>
      </c>
      <c r="Z13" s="116">
        <f>IFERROR(IF(d_ss_Bv!Z13=0,".",((Ir*F*d_ss_Bv!Z13*(1-EXP(-RadSpec!AX13*t_b)))/(P*RadSpec!AX13))),".")</f>
        <v>0.10366459121081799</v>
      </c>
      <c r="AA13" s="116">
        <f>IFERROR(IF(d_ss_Bv!C13=0,".",((Ir*F*MLF_apple*(1-EXP(-RadSpec!AX13*t_b)))/(P*RadSpec!AX13))),".")</f>
        <v>5.7194257219761657E-3</v>
      </c>
      <c r="AB13" s="116">
        <f>IFERROR(IF(d_ss_Bv!D13=0,".",((Ir*F*MLF_asparagus*(1-EXP(-RadSpec!AX13*t_b)))/(P*RadSpec!AX13))),".")</f>
        <v>2.8239664502257315E-3</v>
      </c>
      <c r="AC13" s="116">
        <f>IFERROR(IF(d_ss_Bv!E13=0,".",((Ir*F*MLF_beet*(1-EXP(-RadSpec!AX13*t_b)))/(P*RadSpec!AX13))),".")</f>
        <v>4.9330046852044422E-3</v>
      </c>
      <c r="AD13" s="116">
        <f>IFERROR(IF(d_ss_Bv!F13=0,".",((Ir*F*MLF_berries*(1-EXP(-RadSpec!AX13*t_b)))/(P*RadSpec!AX13))),".")</f>
        <v>5.9339041865502712E-3</v>
      </c>
      <c r="AE13" s="116">
        <f>IFERROR(IF(d_ss_Bv!G13=0,".",((Ir*F*MLF_broccoli*(1-EXP(-RadSpec!AX13*t_b)))/(P*RadSpec!AX13))),".")</f>
        <v>3.6103874869974538E-2</v>
      </c>
      <c r="AF13" s="116">
        <f>IFERROR(IF(d_ss_Bv!H13=0,".",((Ir*F*MLF_cabbage*(1-EXP(-RadSpec!AX13*t_b)))/(P*RadSpec!AX13))),".")</f>
        <v>3.7533731300468582E-3</v>
      </c>
      <c r="AG13" s="116">
        <f>IFERROR(IF(d_ss_Bv!I13=0,".",((Ir*F*MLF_carrot*(1-EXP(-RadSpec!AX13*t_b)))/(P*RadSpec!AX13))),".")</f>
        <v>3.4674018439480501E-3</v>
      </c>
      <c r="AH13" s="116">
        <f>IFERROR(IF(d_ss_Bv!J13=0,".",((Ir*F*MLF_citrus*(1-EXP(-RadSpec!AX13*t_b)))/(P*RadSpec!AX13))),".")</f>
        <v>5.6121864896891112E-3</v>
      </c>
      <c r="AI13" s="116">
        <f>IFERROR(IF(d_ss_Bv!K13=0,".",((Ir*F*MLF_corn*(1-EXP(-RadSpec!AX13*t_b)))/(P*RadSpec!AX13))),".")</f>
        <v>5.1832295605408994E-3</v>
      </c>
      <c r="AJ13" s="116">
        <f>IFERROR(IF(d_ss_Bv!L13=0,".",((Ir*F*MLF_cucumber*(1-EXP(-RadSpec!AX13*t_b)))/(P*RadSpec!AX13))),".")</f>
        <v>1.4298564304940414E-3</v>
      </c>
      <c r="AK13" s="116">
        <f>IFERROR(IF(d_ss_Bv!M13=0,".",((Ir*F*MLF_lettuce*(1-EXP(-RadSpec!AX13*t_b)))/(P*RadSpec!AX13))),".")</f>
        <v>0.48257654529173893</v>
      </c>
      <c r="AL13" s="116">
        <f>IFERROR(IF(d_ss_Bv!N13=0,".",((Ir*F*MLF_lima_bean*(1-EXP(-RadSpec!AX13*t_b)))/(P*RadSpec!AX13))),".")</f>
        <v>0.13690875321980447</v>
      </c>
      <c r="AM13" s="116">
        <f>IFERROR(IF(d_ss_Bv!O13=0,".",((Ir*F*MLF_okra*(1-EXP(-RadSpec!AX13*t_b)))/(P*RadSpec!AX13))),".")</f>
        <v>2.8597128609880828E-3</v>
      </c>
      <c r="AN13" s="116">
        <f>IFERROR(IF(d_ss_Bv!P13=0,".",((Ir*F*MLF_onion*(1-EXP(-RadSpec!AX13*t_b)))/(P*RadSpec!AX13))),".")</f>
        <v>3.4674018439480501E-3</v>
      </c>
      <c r="AO13" s="116">
        <f>IFERROR(IF(d_ss_Bv!Q13=0,".",((Ir*F*MLF_peach*(1-EXP(-RadSpec!AX13*t_b)))/(P*RadSpec!AX13))),".")</f>
        <v>5.361961614352654E-3</v>
      </c>
      <c r="AP13" s="116" t="str">
        <f>IFERROR(IF(d_ss_Bv!OI13=0,".",((Ir*F*MLF_pear*(1-EXP(-RadSpec!AX13*t_b)))/(P*RadSpec!AX13))),".")</f>
        <v>.</v>
      </c>
      <c r="AQ13" s="116">
        <f>IFERROR(IF(d_ss_Bv!S13=0,".",((Ir*F*MLF_peas*(1-EXP(-RadSpec!AX13*t_b)))/(P*RadSpec!AX13))),".")</f>
        <v>6.3628611156984829E-3</v>
      </c>
      <c r="AR13" s="116">
        <f>IFERROR(IF(d_ss_Bv!T13=0,".",((Ir*F*MLF_potato*(1-EXP(-RadSpec!AX13*t_b)))/(P*RadSpec!AX13))),".")</f>
        <v>7.5067462600937164E-3</v>
      </c>
      <c r="AS13" s="116">
        <f>IFERROR(IF(d_ss_Bv!U13=0,".",((Ir*F*MLF_pumpkin*(1-EXP(-RadSpec!AX13*t_b)))/(P*RadSpec!AX13))),".")</f>
        <v>2.0732918242163598E-3</v>
      </c>
      <c r="AT13" s="116">
        <f>IFERROR(IF(d_ss_Bv!V13=0,".",((Ir*F*MLF_snap_bean*(1-EXP(-RadSpec!AX13*t_b)))/(P*RadSpec!AX13))),".")</f>
        <v>0.17873205381175516</v>
      </c>
      <c r="AU13" s="116">
        <f>IFERROR(IF(d_ss_Bv!W13=0,".",((Ir*F*MLF_strawberry*(1-EXP(-RadSpec!AX13*t_b)))/(P*RadSpec!AX13))),".")</f>
        <v>2.8597128609880828E-3</v>
      </c>
      <c r="AV13" s="116">
        <f>IFERROR(IF(d_ss_Bv!X13=0,".",((Ir*F*MLF_tomato*(1-EXP(-RadSpec!AX13*t_b)))/(P*RadSpec!AX13))),".")</f>
        <v>5.6836793112138136E-2</v>
      </c>
      <c r="AW13" s="116">
        <f>IFERROR(IF(d_ss_Bv!Y13=0,".",((Ir*F*MLF_rice*(1-EXP(-RadSpec!AX13*t_b)))/(P*RadSpec!AX13))),".")</f>
        <v>8.9366026905877582</v>
      </c>
      <c r="AX13" s="116">
        <f>IFERROR(IF(d_ss_Bv!Z13=0,".",((Ir*F*MLF_cereal*(1-EXP(-RadSpec!AX13*t_b)))/(P*RadSpec!AX13))),".")</f>
        <v>8.9366026905877582</v>
      </c>
      <c r="AY13" s="116">
        <f>IFERROR(IF(d_ss_Bv!C13=0,".",((Ir*F*I_f*T*(1-EXP(-RadSpec!AY13*t_v)))/(Y_v*RadSpec!AY13))),".")</f>
        <v>3.6424203206347228</v>
      </c>
      <c r="AZ13" s="116">
        <f>IFERROR(IF(d_ss_Bv!D13=0,".",((Ir*F*I_f*T*(1-EXP(-RadSpec!AY13*t_v)))/(Y_v*RadSpec!AY13))),".")</f>
        <v>3.6424203206347228</v>
      </c>
      <c r="BA13" s="116">
        <f>IFERROR(IF(d_ss_Bv!E13=0,".",((Ir*F*I_f*T*(1-EXP(-RadSpec!AY13*t_v)))/(Y_v*RadSpec!AY13))),".")</f>
        <v>3.6424203206347228</v>
      </c>
      <c r="BB13" s="116">
        <f>IFERROR(IF(d_ss_Bv!F13=0,".",((Ir*F*I_f*T*(1-EXP(-RadSpec!AY13*t_v)))/(Y_v*RadSpec!AY13))),".")</f>
        <v>3.6424203206347228</v>
      </c>
      <c r="BC13" s="116">
        <f>IFERROR(IF(d_ss_Bv!G13=0,".",((Ir*F*I_f*T*(1-EXP(-RadSpec!AY13*t_v)))/(Y_v*RadSpec!AY13))),".")</f>
        <v>3.6424203206347228</v>
      </c>
      <c r="BD13" s="116">
        <f>IFERROR(IF(d_ss_Bv!H13=0,".",((Ir*F*I_f*T*(1-EXP(-RadSpec!AY13*t_v)))/(Y_v*RadSpec!AY13))),".")</f>
        <v>3.6424203206347228</v>
      </c>
      <c r="BE13" s="116">
        <f>IFERROR(IF(d_ss_Bv!I13=0,".",((Ir*F*I_f*T*(1-EXP(-RadSpec!AY13*t_v)))/(Y_v*RadSpec!AY13))),".")</f>
        <v>3.6424203206347228</v>
      </c>
      <c r="BF13" s="116">
        <f>IFERROR(IF(d_ss_Bv!J13=0,".",((Ir*F*I_f*T*(1-EXP(-RadSpec!AY13*t_v)))/(Y_v*RadSpec!AY13))),".")</f>
        <v>3.6424203206347228</v>
      </c>
      <c r="BG13" s="116">
        <f>IFERROR(IF(d_ss_Bv!K13=0,".",((Ir*F*I_f*T*(1-EXP(-RadSpec!AY13*t_v)))/(Y_v*RadSpec!AY13))),".")</f>
        <v>3.6424203206347228</v>
      </c>
      <c r="BH13" s="116">
        <f>IFERROR(IF(d_ss_Bv!L13=0,".",((Ir*F*I_f*T*(1-EXP(-RadSpec!AY13*t_v)))/(Y_v*RadSpec!AY13))),".")</f>
        <v>3.6424203206347228</v>
      </c>
      <c r="BI13" s="116">
        <f>IFERROR(IF(d_ss_Bv!M13=0,".",((Ir*F*I_f*T*(1-EXP(-RadSpec!AY13*t_v)))/(Y_v*RadSpec!AY13))),".")</f>
        <v>3.6424203206347228</v>
      </c>
      <c r="BJ13" s="116">
        <f>IFERROR(IF(d_ss_Bv!N13=0,".",((Ir*F*I_f*T*(1-EXP(-RadSpec!AY13*t_v)))/(Y_v*RadSpec!AY13))),".")</f>
        <v>3.6424203206347228</v>
      </c>
      <c r="BK13" s="116">
        <f>IFERROR(IF(d_ss_Bv!O13=0,".",((Ir*F*I_f*T*(1-EXP(-RadSpec!AY13*t_v)))/(Y_v*RadSpec!AY13))),".")</f>
        <v>3.6424203206347228</v>
      </c>
      <c r="BL13" s="116">
        <f>IFERROR(IF(d_ss_Bv!P13=0,".",((Ir*F*I_f*T*(1-EXP(-RadSpec!AY13*t_v)))/(Y_v*RadSpec!AY13))),".")</f>
        <v>3.6424203206347228</v>
      </c>
      <c r="BM13" s="116">
        <f>IFERROR(IF(d_ss_Bv!Q13=0,".",((Ir*F*I_f*T*(1-EXP(-RadSpec!AY13*t_v)))/(Y_v*RadSpec!AY13))),".")</f>
        <v>3.6424203206347228</v>
      </c>
      <c r="BN13" s="116">
        <f>IFERROR(IF(d_ss_Bv!R13=0,".",((Ir*F*I_f*T*(1-EXP(-RadSpec!AY13*t_v)))/(Y_v*RadSpec!AY13))),".")</f>
        <v>3.6424203206347228</v>
      </c>
      <c r="BO13" s="116">
        <f>IFERROR(IF(d_ss_Bv!S13=0,".",((Ir*F*I_f*T*(1-EXP(-RadSpec!AY13*t_v)))/(Y_v*RadSpec!AY13))),".")</f>
        <v>3.6424203206347228</v>
      </c>
      <c r="BP13" s="116">
        <f>IFERROR(IF(d_ss_Bv!T13=0,".",((Ir*F*I_f*T*(1-EXP(-RadSpec!AY13*t_v)))/(Y_v*RadSpec!AY13))),".")</f>
        <v>3.6424203206347228</v>
      </c>
      <c r="BQ13" s="116">
        <f>IFERROR(IF(d_ss_Bv!U13=0,".",((Ir*F*I_f*T*(1-EXP(-RadSpec!AY13*t_v)))/(Y_v*RadSpec!AY13))),".")</f>
        <v>3.6424203206347228</v>
      </c>
      <c r="BR13" s="116">
        <f>IFERROR(IF(d_ss_Bv!V13=0,".",((Ir*F*I_f*T*(1-EXP(-RadSpec!AY13*t_v)))/(Y_v*RadSpec!AY13))),".")</f>
        <v>3.6424203206347228</v>
      </c>
      <c r="BS13" s="116">
        <f>IFERROR(IF(d_ss_Bv!W13=0,".",((Ir*F*I_f*T*(1-EXP(-RadSpec!AY13*t_v)))/(Y_v*RadSpec!AY13))),".")</f>
        <v>3.6424203206347228</v>
      </c>
      <c r="BT13" s="116">
        <f>IFERROR(IF(d_ss_Bv!X13=0,".",((Ir*F*I_f*T*(1-EXP(-RadSpec!AY13*t_v)))/(Y_v*RadSpec!AY13))),".")</f>
        <v>3.6424203206347228</v>
      </c>
      <c r="BU13" s="116">
        <f>IFERROR(IF(d_ss_Bv!Y13=0,".",((Ir*F*I_f*T*(1-EXP(-RadSpec!AY13*t_v)))/(Y_v*RadSpec!AY13))),".")</f>
        <v>3.6424203206347228</v>
      </c>
      <c r="BV13" s="116">
        <f>IFERROR(IF(d_ss_Bv!Z13=0,".",((Ir*F*I_f*T*(1-EXP(-RadSpec!AY13*t_v)))/(Y_v*RadSpec!AY13))),".")</f>
        <v>3.6424203206347228</v>
      </c>
    </row>
    <row r="14" spans="1:74" x14ac:dyDescent="0.25">
      <c r="A14" s="44" t="s">
        <v>24</v>
      </c>
      <c r="B14" s="42" t="s">
        <v>1074</v>
      </c>
      <c r="C14" s="116">
        <f>IFERROR(IF(d_ss_Bv!C14=0,".",((Ir*F*d_ss_Bv!C14*(1-EXP(-RadSpec!AX14*t_b)))/(P*RadSpec!AX14))),".")</f>
        <v>0.35746410762351033</v>
      </c>
      <c r="D14" s="116">
        <f>IFERROR(IF(d_ss_Bv!D14=0,".",((Ir*F*d_ss_Bv!D14*(1-EXP(-RadSpec!AX14*t_b)))/(P*RadSpec!AX14))),".")</f>
        <v>0.35746410762351033</v>
      </c>
      <c r="E14" s="116">
        <f>IFERROR(IF(d_ss_Bv!E14=0,".",((Ir*F*d_ss_Bv!E14*(1-EXP(-RadSpec!AX14*t_b)))/(P*RadSpec!AX14))),".")</f>
        <v>0.35746410762351033</v>
      </c>
      <c r="F14" s="116">
        <f>IFERROR(IF(d_ss_Bv!F14=0,".",((Ir*F*d_ss_Bv!F14*(1-EXP(-RadSpec!AX14*t_b)))/(P*RadSpec!AX14))),".")</f>
        <v>0.35746410762351033</v>
      </c>
      <c r="G14" s="116">
        <f>IFERROR(IF(d_ss_Bv!G14=0,".",((Ir*F*d_ss_Bv!G14*(1-EXP(-RadSpec!AX14*t_b)))/(P*RadSpec!AX14))),".")</f>
        <v>0.35746410762351033</v>
      </c>
      <c r="H14" s="116">
        <f>IFERROR(IF(d_ss_Bv!H14=0,".",((Ir*F*d_ss_Bv!H14*(1-EXP(-RadSpec!AX14*t_b)))/(P*RadSpec!AX14))),".")</f>
        <v>0.35746410762351033</v>
      </c>
      <c r="I14" s="116">
        <f>IFERROR(IF(d_ss_Bv!I14=0,".",((Ir*F*d_ss_Bv!I14*(1-EXP(-RadSpec!AX14*t_b)))/(P*RadSpec!AX14))),".")</f>
        <v>0.35746410762351033</v>
      </c>
      <c r="J14" s="116">
        <f>IFERROR(IF(d_ss_Bv!J14=0,".",((Ir*F*d_ss_Bv!J14*(1-EXP(-RadSpec!AX14*t_b)))/(P*RadSpec!AX14))),".")</f>
        <v>0.35746410762351033</v>
      </c>
      <c r="K14" s="116">
        <f>IFERROR(IF(d_ss_Bv!K14=0,".",((Ir*F*d_ss_Bv!K14*(1-EXP(-RadSpec!AX14*t_b)))/(P*RadSpec!AX14))),".")</f>
        <v>0.35746410762351033</v>
      </c>
      <c r="L14" s="116">
        <f>IFERROR(IF(d_ss_Bv!L14=0,".",((Ir*F*d_ss_Bv!L14*(1-EXP(-RadSpec!AX14*t_b)))/(P*RadSpec!AX14))),".")</f>
        <v>0.35746410762351033</v>
      </c>
      <c r="M14" s="116">
        <f>IFERROR(IF(d_ss_Bv!M14=0,".",((Ir*F*d_ss_Bv!M14*(1-EXP(-RadSpec!AX14*t_b)))/(P*RadSpec!AX14))),".")</f>
        <v>0.35746410762351033</v>
      </c>
      <c r="N14" s="116">
        <f>IFERROR(IF(d_ss_Bv!N14=0,".",((Ir*F*d_ss_Bv!N14*(1-EXP(-RadSpec!AX14*t_b)))/(P*RadSpec!AX14))),".")</f>
        <v>0.35746410762351033</v>
      </c>
      <c r="O14" s="116">
        <f>IFERROR(IF(d_ss_Bv!O14=0,".",((Ir*F*d_ss_Bv!O14*(1-EXP(-RadSpec!AX14*t_b)))/(P*RadSpec!AX14))),".")</f>
        <v>0.35746410762351033</v>
      </c>
      <c r="P14" s="116">
        <f>IFERROR(IF(d_ss_Bv!P14=0,".",((Ir*F*d_ss_Bv!P14*(1-EXP(-RadSpec!AX14*t_b)))/(P*RadSpec!AX14))),".")</f>
        <v>0.35746410762351033</v>
      </c>
      <c r="Q14" s="116">
        <f>IFERROR(IF(d_ss_Bv!Q14=0,".",((Ir*F*d_ss_Bv!Q14*(1-EXP(-RadSpec!AX14*t_b)))/(P*RadSpec!AX14))),".")</f>
        <v>0.35746410762351033</v>
      </c>
      <c r="R14" s="116">
        <f>IFERROR(IF(d_ss_Bv!R14=0,".",((Ir*F*d_ss_Bv!R14*(1-EXP(-RadSpec!AX14*t_b)))/(P*RadSpec!AX14))),".")</f>
        <v>0.35746410762351033</v>
      </c>
      <c r="S14" s="116">
        <f>IFERROR(IF(d_ss_Bv!S14=0,".",((Ir*F*d_ss_Bv!S14*(1-EXP(-RadSpec!AX14*t_b)))/(P*RadSpec!AX14))),".")</f>
        <v>0.35746410762351033</v>
      </c>
      <c r="T14" s="116">
        <f>IFERROR(IF(d_ss_Bv!T14=0,".",((Ir*F*d_ss_Bv!T14*(1-EXP(-RadSpec!AX14*t_b)))/(P*RadSpec!AX14))),".")</f>
        <v>0.35746410762351033</v>
      </c>
      <c r="U14" s="116">
        <f>IFERROR(IF(d_ss_Bv!U14=0,".",((Ir*F*d_ss_Bv!U14*(1-EXP(-RadSpec!AX14*t_b)))/(P*RadSpec!AX14))),".")</f>
        <v>0.35746410762351033</v>
      </c>
      <c r="V14" s="116">
        <f>IFERROR(IF(d_ss_Bv!V14=0,".",((Ir*F*d_ss_Bv!V14*(1-EXP(-RadSpec!AX14*t_b)))/(P*RadSpec!AX14))),".")</f>
        <v>0.35746410762351033</v>
      </c>
      <c r="W14" s="116">
        <f>IFERROR(IF(d_ss_Bv!W14=0,".",((Ir*F*d_ss_Bv!W14*(1-EXP(-RadSpec!AX14*t_b)))/(P*RadSpec!AX14))),".")</f>
        <v>0.35746410762351033</v>
      </c>
      <c r="X14" s="116">
        <f>IFERROR(IF(d_ss_Bv!X14=0,".",((Ir*F*d_ss_Bv!X14*(1-EXP(-RadSpec!AX14*t_b)))/(P*RadSpec!AX14))),".")</f>
        <v>0.35746410762351033</v>
      </c>
      <c r="Y14" s="116">
        <f>IFERROR(IF(d_ss_Bv!Y14=0,".",((Ir*F*d_ss_Bv!Y14*(1-EXP(-RadSpec!AX14*t_b)))/(P*RadSpec!AX14))),".")</f>
        <v>0.35746410762351033</v>
      </c>
      <c r="Z14" s="116">
        <f>IFERROR(IF(d_ss_Bv!Z14=0,".",((Ir*F*d_ss_Bv!Z14*(1-EXP(-RadSpec!AX14*t_b)))/(P*RadSpec!AX14))),".")</f>
        <v>0.35746410762351033</v>
      </c>
      <c r="AA14" s="116">
        <f>IFERROR(IF(d_ss_Bv!C14=0,".",((Ir*F*MLF_apple*(1-EXP(-RadSpec!AX14*t_b)))/(P*RadSpec!AX14))),".")</f>
        <v>5.7194257219761657E-3</v>
      </c>
      <c r="AB14" s="116">
        <f>IFERROR(IF(d_ss_Bv!D14=0,".",((Ir*F*MLF_asparagus*(1-EXP(-RadSpec!AX14*t_b)))/(P*RadSpec!AX14))),".")</f>
        <v>2.8239664502257315E-3</v>
      </c>
      <c r="AC14" s="116">
        <f>IFERROR(IF(d_ss_Bv!E14=0,".",((Ir*F*MLF_beet*(1-EXP(-RadSpec!AX14*t_b)))/(P*RadSpec!AX14))),".")</f>
        <v>4.9330046852044422E-3</v>
      </c>
      <c r="AD14" s="116">
        <f>IFERROR(IF(d_ss_Bv!F14=0,".",((Ir*F*MLF_berries*(1-EXP(-RadSpec!AX14*t_b)))/(P*RadSpec!AX14))),".")</f>
        <v>5.9339041865502712E-3</v>
      </c>
      <c r="AE14" s="116">
        <f>IFERROR(IF(d_ss_Bv!G14=0,".",((Ir*F*MLF_broccoli*(1-EXP(-RadSpec!AX14*t_b)))/(P*RadSpec!AX14))),".")</f>
        <v>3.6103874869974538E-2</v>
      </c>
      <c r="AF14" s="116">
        <f>IFERROR(IF(d_ss_Bv!H14=0,".",((Ir*F*MLF_cabbage*(1-EXP(-RadSpec!AX14*t_b)))/(P*RadSpec!AX14))),".")</f>
        <v>3.7533731300468582E-3</v>
      </c>
      <c r="AG14" s="116">
        <f>IFERROR(IF(d_ss_Bv!I14=0,".",((Ir*F*MLF_carrot*(1-EXP(-RadSpec!AX14*t_b)))/(P*RadSpec!AX14))),".")</f>
        <v>3.4674018439480501E-3</v>
      </c>
      <c r="AH14" s="116">
        <f>IFERROR(IF(d_ss_Bv!J14=0,".",((Ir*F*MLF_citrus*(1-EXP(-RadSpec!AX14*t_b)))/(P*RadSpec!AX14))),".")</f>
        <v>5.6121864896891112E-3</v>
      </c>
      <c r="AI14" s="116">
        <f>IFERROR(IF(d_ss_Bv!K14=0,".",((Ir*F*MLF_corn*(1-EXP(-RadSpec!AX14*t_b)))/(P*RadSpec!AX14))),".")</f>
        <v>5.1832295605408994E-3</v>
      </c>
      <c r="AJ14" s="116">
        <f>IFERROR(IF(d_ss_Bv!L14=0,".",((Ir*F*MLF_cucumber*(1-EXP(-RadSpec!AX14*t_b)))/(P*RadSpec!AX14))),".")</f>
        <v>1.4298564304940414E-3</v>
      </c>
      <c r="AK14" s="116">
        <f>IFERROR(IF(d_ss_Bv!M14=0,".",((Ir*F*MLF_lettuce*(1-EXP(-RadSpec!AX14*t_b)))/(P*RadSpec!AX14))),".")</f>
        <v>0.48257654529173893</v>
      </c>
      <c r="AL14" s="116">
        <f>IFERROR(IF(d_ss_Bv!N14=0,".",((Ir*F*MLF_lima_bean*(1-EXP(-RadSpec!AX14*t_b)))/(P*RadSpec!AX14))),".")</f>
        <v>0.13690875321980447</v>
      </c>
      <c r="AM14" s="116">
        <f>IFERROR(IF(d_ss_Bv!O14=0,".",((Ir*F*MLF_okra*(1-EXP(-RadSpec!AX14*t_b)))/(P*RadSpec!AX14))),".")</f>
        <v>2.8597128609880828E-3</v>
      </c>
      <c r="AN14" s="116">
        <f>IFERROR(IF(d_ss_Bv!P14=0,".",((Ir*F*MLF_onion*(1-EXP(-RadSpec!AX14*t_b)))/(P*RadSpec!AX14))),".")</f>
        <v>3.4674018439480501E-3</v>
      </c>
      <c r="AO14" s="116">
        <f>IFERROR(IF(d_ss_Bv!Q14=0,".",((Ir*F*MLF_peach*(1-EXP(-RadSpec!AX14*t_b)))/(P*RadSpec!AX14))),".")</f>
        <v>5.361961614352654E-3</v>
      </c>
      <c r="AP14" s="116" t="str">
        <f>IFERROR(IF(d_ss_Bv!OI14=0,".",((Ir*F*MLF_pear*(1-EXP(-RadSpec!AX14*t_b)))/(P*RadSpec!AX14))),".")</f>
        <v>.</v>
      </c>
      <c r="AQ14" s="116">
        <f>IFERROR(IF(d_ss_Bv!S14=0,".",((Ir*F*MLF_peas*(1-EXP(-RadSpec!AX14*t_b)))/(P*RadSpec!AX14))),".")</f>
        <v>6.3628611156984829E-3</v>
      </c>
      <c r="AR14" s="116">
        <f>IFERROR(IF(d_ss_Bv!T14=0,".",((Ir*F*MLF_potato*(1-EXP(-RadSpec!AX14*t_b)))/(P*RadSpec!AX14))),".")</f>
        <v>7.5067462600937164E-3</v>
      </c>
      <c r="AS14" s="116">
        <f>IFERROR(IF(d_ss_Bv!U14=0,".",((Ir*F*MLF_pumpkin*(1-EXP(-RadSpec!AX14*t_b)))/(P*RadSpec!AX14))),".")</f>
        <v>2.0732918242163598E-3</v>
      </c>
      <c r="AT14" s="116">
        <f>IFERROR(IF(d_ss_Bv!V14=0,".",((Ir*F*MLF_snap_bean*(1-EXP(-RadSpec!AX14*t_b)))/(P*RadSpec!AX14))),".")</f>
        <v>0.17873205381175516</v>
      </c>
      <c r="AU14" s="116">
        <f>IFERROR(IF(d_ss_Bv!W14=0,".",((Ir*F*MLF_strawberry*(1-EXP(-RadSpec!AX14*t_b)))/(P*RadSpec!AX14))),".")</f>
        <v>2.8597128609880828E-3</v>
      </c>
      <c r="AV14" s="116">
        <f>IFERROR(IF(d_ss_Bv!X14=0,".",((Ir*F*MLF_tomato*(1-EXP(-RadSpec!AX14*t_b)))/(P*RadSpec!AX14))),".")</f>
        <v>5.6836793112138136E-2</v>
      </c>
      <c r="AW14" s="116">
        <f>IFERROR(IF(d_ss_Bv!Y14=0,".",((Ir*F*MLF_rice*(1-EXP(-RadSpec!AX14*t_b)))/(P*RadSpec!AX14))),".")</f>
        <v>8.9366026905877582</v>
      </c>
      <c r="AX14" s="116">
        <f>IFERROR(IF(d_ss_Bv!Z14=0,".",((Ir*F*MLF_cereal*(1-EXP(-RadSpec!AX14*t_b)))/(P*RadSpec!AX14))),".")</f>
        <v>8.9366026905877582</v>
      </c>
      <c r="AY14" s="116">
        <f>IFERROR(IF(d_ss_Bv!C14=0,".",((Ir*F*I_f*T*(1-EXP(-RadSpec!AY14*t_v)))/(Y_v*RadSpec!AY14))),".")</f>
        <v>3.6424203206347228</v>
      </c>
      <c r="AZ14" s="116">
        <f>IFERROR(IF(d_ss_Bv!D14=0,".",((Ir*F*I_f*T*(1-EXP(-RadSpec!AY14*t_v)))/(Y_v*RadSpec!AY14))),".")</f>
        <v>3.6424203206347228</v>
      </c>
      <c r="BA14" s="116">
        <f>IFERROR(IF(d_ss_Bv!E14=0,".",((Ir*F*I_f*T*(1-EXP(-RadSpec!AY14*t_v)))/(Y_v*RadSpec!AY14))),".")</f>
        <v>3.6424203206347228</v>
      </c>
      <c r="BB14" s="116">
        <f>IFERROR(IF(d_ss_Bv!F14=0,".",((Ir*F*I_f*T*(1-EXP(-RadSpec!AY14*t_v)))/(Y_v*RadSpec!AY14))),".")</f>
        <v>3.6424203206347228</v>
      </c>
      <c r="BC14" s="116">
        <f>IFERROR(IF(d_ss_Bv!G14=0,".",((Ir*F*I_f*T*(1-EXP(-RadSpec!AY14*t_v)))/(Y_v*RadSpec!AY14))),".")</f>
        <v>3.6424203206347228</v>
      </c>
      <c r="BD14" s="116">
        <f>IFERROR(IF(d_ss_Bv!H14=0,".",((Ir*F*I_f*T*(1-EXP(-RadSpec!AY14*t_v)))/(Y_v*RadSpec!AY14))),".")</f>
        <v>3.6424203206347228</v>
      </c>
      <c r="BE14" s="116">
        <f>IFERROR(IF(d_ss_Bv!I14=0,".",((Ir*F*I_f*T*(1-EXP(-RadSpec!AY14*t_v)))/(Y_v*RadSpec!AY14))),".")</f>
        <v>3.6424203206347228</v>
      </c>
      <c r="BF14" s="116">
        <f>IFERROR(IF(d_ss_Bv!J14=0,".",((Ir*F*I_f*T*(1-EXP(-RadSpec!AY14*t_v)))/(Y_v*RadSpec!AY14))),".")</f>
        <v>3.6424203206347228</v>
      </c>
      <c r="BG14" s="116">
        <f>IFERROR(IF(d_ss_Bv!K14=0,".",((Ir*F*I_f*T*(1-EXP(-RadSpec!AY14*t_v)))/(Y_v*RadSpec!AY14))),".")</f>
        <v>3.6424203206347228</v>
      </c>
      <c r="BH14" s="116">
        <f>IFERROR(IF(d_ss_Bv!L14=0,".",((Ir*F*I_f*T*(1-EXP(-RadSpec!AY14*t_v)))/(Y_v*RadSpec!AY14))),".")</f>
        <v>3.6424203206347228</v>
      </c>
      <c r="BI14" s="116">
        <f>IFERROR(IF(d_ss_Bv!M14=0,".",((Ir*F*I_f*T*(1-EXP(-RadSpec!AY14*t_v)))/(Y_v*RadSpec!AY14))),".")</f>
        <v>3.6424203206347228</v>
      </c>
      <c r="BJ14" s="116">
        <f>IFERROR(IF(d_ss_Bv!N14=0,".",((Ir*F*I_f*T*(1-EXP(-RadSpec!AY14*t_v)))/(Y_v*RadSpec!AY14))),".")</f>
        <v>3.6424203206347228</v>
      </c>
      <c r="BK14" s="116">
        <f>IFERROR(IF(d_ss_Bv!O14=0,".",((Ir*F*I_f*T*(1-EXP(-RadSpec!AY14*t_v)))/(Y_v*RadSpec!AY14))),".")</f>
        <v>3.6424203206347228</v>
      </c>
      <c r="BL14" s="116">
        <f>IFERROR(IF(d_ss_Bv!P14=0,".",((Ir*F*I_f*T*(1-EXP(-RadSpec!AY14*t_v)))/(Y_v*RadSpec!AY14))),".")</f>
        <v>3.6424203206347228</v>
      </c>
      <c r="BM14" s="116">
        <f>IFERROR(IF(d_ss_Bv!Q14=0,".",((Ir*F*I_f*T*(1-EXP(-RadSpec!AY14*t_v)))/(Y_v*RadSpec!AY14))),".")</f>
        <v>3.6424203206347228</v>
      </c>
      <c r="BN14" s="116">
        <f>IFERROR(IF(d_ss_Bv!R14=0,".",((Ir*F*I_f*T*(1-EXP(-RadSpec!AY14*t_v)))/(Y_v*RadSpec!AY14))),".")</f>
        <v>3.6424203206347228</v>
      </c>
      <c r="BO14" s="116">
        <f>IFERROR(IF(d_ss_Bv!S14=0,".",((Ir*F*I_f*T*(1-EXP(-RadSpec!AY14*t_v)))/(Y_v*RadSpec!AY14))),".")</f>
        <v>3.6424203206347228</v>
      </c>
      <c r="BP14" s="116">
        <f>IFERROR(IF(d_ss_Bv!T14=0,".",((Ir*F*I_f*T*(1-EXP(-RadSpec!AY14*t_v)))/(Y_v*RadSpec!AY14))),".")</f>
        <v>3.6424203206347228</v>
      </c>
      <c r="BQ14" s="116">
        <f>IFERROR(IF(d_ss_Bv!U14=0,".",((Ir*F*I_f*T*(1-EXP(-RadSpec!AY14*t_v)))/(Y_v*RadSpec!AY14))),".")</f>
        <v>3.6424203206347228</v>
      </c>
      <c r="BR14" s="116">
        <f>IFERROR(IF(d_ss_Bv!V14=0,".",((Ir*F*I_f*T*(1-EXP(-RadSpec!AY14*t_v)))/(Y_v*RadSpec!AY14))),".")</f>
        <v>3.6424203206347228</v>
      </c>
      <c r="BS14" s="116">
        <f>IFERROR(IF(d_ss_Bv!W14=0,".",((Ir*F*I_f*T*(1-EXP(-RadSpec!AY14*t_v)))/(Y_v*RadSpec!AY14))),".")</f>
        <v>3.6424203206347228</v>
      </c>
      <c r="BT14" s="116">
        <f>IFERROR(IF(d_ss_Bv!X14=0,".",((Ir*F*I_f*T*(1-EXP(-RadSpec!AY14*t_v)))/(Y_v*RadSpec!AY14))),".")</f>
        <v>3.6424203206347228</v>
      </c>
      <c r="BU14" s="116">
        <f>IFERROR(IF(d_ss_Bv!Y14=0,".",((Ir*F*I_f*T*(1-EXP(-RadSpec!AY14*t_v)))/(Y_v*RadSpec!AY14))),".")</f>
        <v>3.6424203206347228</v>
      </c>
      <c r="BV14" s="116">
        <f>IFERROR(IF(d_ss_Bv!Z14=0,".",((Ir*F*I_f*T*(1-EXP(-RadSpec!AY14*t_v)))/(Y_v*RadSpec!AY14))),".")</f>
        <v>3.6424203206347228</v>
      </c>
    </row>
    <row r="15" spans="1:74" x14ac:dyDescent="0.25">
      <c r="A15" s="44" t="s">
        <v>25</v>
      </c>
      <c r="B15" s="42" t="s">
        <v>1074</v>
      </c>
      <c r="C15" s="116">
        <f>IFERROR(IF(d_ss_Bv!C15=0,".",((Ir*F*d_ss_Bv!C15*(1-EXP(-RadSpec!AX15*t_b)))/(P*RadSpec!AX15))),".")</f>
        <v>0.35746410762351033</v>
      </c>
      <c r="D15" s="116">
        <f>IFERROR(IF(d_ss_Bv!D15=0,".",((Ir*F*d_ss_Bv!D15*(1-EXP(-RadSpec!AX15*t_b)))/(P*RadSpec!AX15))),".")</f>
        <v>2.8597128609880826</v>
      </c>
      <c r="E15" s="116">
        <f>IFERROR(IF(d_ss_Bv!E15=0,".",((Ir*F*d_ss_Bv!E15*(1-EXP(-RadSpec!AX15*t_b)))/(P*RadSpec!AX15))),".")</f>
        <v>0.53619616143526549</v>
      </c>
      <c r="F15" s="116">
        <f>IFERROR(IF(d_ss_Bv!F15=0,".",((Ir*F*d_ss_Bv!F15*(1-EXP(-RadSpec!AX15*t_b)))/(P*RadSpec!AX15))),".")</f>
        <v>0.35746410762351033</v>
      </c>
      <c r="G15" s="116">
        <f>IFERROR(IF(d_ss_Bv!G15=0,".",((Ir*F*d_ss_Bv!G15*(1-EXP(-RadSpec!AX15*t_b)))/(P*RadSpec!AX15))),".")</f>
        <v>0.53619616143526549</v>
      </c>
      <c r="H15" s="116">
        <f>IFERROR(IF(d_ss_Bv!H15=0,".",((Ir*F*d_ss_Bv!H15*(1-EXP(-RadSpec!AX15*t_b)))/(P*RadSpec!AX15))),".")</f>
        <v>2.8597128609880826</v>
      </c>
      <c r="I15" s="116">
        <f>IFERROR(IF(d_ss_Bv!I15=0,".",((Ir*F*d_ss_Bv!I15*(1-EXP(-RadSpec!AX15*t_b)))/(P*RadSpec!AX15))),".")</f>
        <v>0.53619616143526549</v>
      </c>
      <c r="J15" s="116">
        <f>IFERROR(IF(d_ss_Bv!J15=0,".",((Ir*F*d_ss_Bv!J15*(1-EXP(-RadSpec!AX15*t_b)))/(P*RadSpec!AX15))),".")</f>
        <v>0.35746410762351033</v>
      </c>
      <c r="K15" s="116">
        <f>IFERROR(IF(d_ss_Bv!K15=0,".",((Ir*F*d_ss_Bv!K15*(1-EXP(-RadSpec!AX15*t_b)))/(P*RadSpec!AX15))),".")</f>
        <v>4.2895692914821232E-2</v>
      </c>
      <c r="L15" s="116">
        <f>IFERROR(IF(d_ss_Bv!L15=0,".",((Ir*F*d_ss_Bv!L15*(1-EXP(-RadSpec!AX15*t_b)))/(P*RadSpec!AX15))),".")</f>
        <v>0.53619616143526549</v>
      </c>
      <c r="M15" s="116">
        <f>IFERROR(IF(d_ss_Bv!M15=0,".",((Ir*F*d_ss_Bv!M15*(1-EXP(-RadSpec!AX15*t_b)))/(P*RadSpec!AX15))),".")</f>
        <v>2.8597128609880826</v>
      </c>
      <c r="N15" s="116">
        <f>IFERROR(IF(d_ss_Bv!N15=0,".",((Ir*F*d_ss_Bv!N15*(1-EXP(-RadSpec!AX15*t_b)))/(P*RadSpec!AX15))),".")</f>
        <v>0.18945597704046047</v>
      </c>
      <c r="O15" s="116">
        <f>IFERROR(IF(d_ss_Bv!O15=0,".",((Ir*F*d_ss_Bv!O15*(1-EXP(-RadSpec!AX15*t_b)))/(P*RadSpec!AX15))),".")</f>
        <v>0.53619616143526549</v>
      </c>
      <c r="P15" s="116">
        <f>IFERROR(IF(d_ss_Bv!P15=0,".",((Ir*F*d_ss_Bv!P15*(1-EXP(-RadSpec!AX15*t_b)))/(P*RadSpec!AX15))),".")</f>
        <v>0.53619616143526549</v>
      </c>
      <c r="Q15" s="116">
        <f>IFERROR(IF(d_ss_Bv!Q15=0,".",((Ir*F*d_ss_Bv!Q15*(1-EXP(-RadSpec!AX15*t_b)))/(P*RadSpec!AX15))),".")</f>
        <v>0.35746410762351033</v>
      </c>
      <c r="R15" s="116">
        <f>IFERROR(IF(d_ss_Bv!R15=0,".",((Ir*F*d_ss_Bv!R15*(1-EXP(-RadSpec!AX15*t_b)))/(P*RadSpec!AX15))),".")</f>
        <v>0.35746410762351033</v>
      </c>
      <c r="S15" s="116">
        <f>IFERROR(IF(d_ss_Bv!S15=0,".",((Ir*F*d_ss_Bv!S15*(1-EXP(-RadSpec!AX15*t_b)))/(P*RadSpec!AX15))),".")</f>
        <v>0.18945597704046047</v>
      </c>
      <c r="T15" s="116">
        <f>IFERROR(IF(d_ss_Bv!T15=0,".",((Ir*F*d_ss_Bv!T15*(1-EXP(-RadSpec!AX15*t_b)))/(P*RadSpec!AX15))),".")</f>
        <v>5.361961614352654E-2</v>
      </c>
      <c r="U15" s="116">
        <f>IFERROR(IF(d_ss_Bv!U15=0,".",((Ir*F*d_ss_Bv!U15*(1-EXP(-RadSpec!AX15*t_b)))/(P*RadSpec!AX15))),".")</f>
        <v>0.53619616143526549</v>
      </c>
      <c r="V15" s="116">
        <f>IFERROR(IF(d_ss_Bv!V15=0,".",((Ir*F*d_ss_Bv!V15*(1-EXP(-RadSpec!AX15*t_b)))/(P*RadSpec!AX15))),".")</f>
        <v>0.18945597704046047</v>
      </c>
      <c r="W15" s="116">
        <f>IFERROR(IF(d_ss_Bv!W15=0,".",((Ir*F*d_ss_Bv!W15*(1-EXP(-RadSpec!AX15*t_b)))/(P*RadSpec!AX15))),".")</f>
        <v>0.35746410762351033</v>
      </c>
      <c r="X15" s="116">
        <f>IFERROR(IF(d_ss_Bv!X15=0,".",((Ir*F*d_ss_Bv!X15*(1-EXP(-RadSpec!AX15*t_b)))/(P*RadSpec!AX15))),".")</f>
        <v>0.53619616143526549</v>
      </c>
      <c r="Y15" s="116">
        <f>IFERROR(IF(d_ss_Bv!Y15=0,".",((Ir*F*d_ss_Bv!Y15*(1-EXP(-RadSpec!AX15*t_b)))/(P*RadSpec!AX15))),".")</f>
        <v>1.0366459121081799E-2</v>
      </c>
      <c r="Z15" s="116">
        <f>IFERROR(IF(d_ss_Bv!Z15=0,".",((Ir*F*d_ss_Bv!Z15*(1-EXP(-RadSpec!AX15*t_b)))/(P*RadSpec!AX15))),".")</f>
        <v>0.39321051838586135</v>
      </c>
      <c r="AA15" s="116">
        <f>IFERROR(IF(d_ss_Bv!C15=0,".",((Ir*F*MLF_apple*(1-EXP(-RadSpec!AX15*t_b)))/(P*RadSpec!AX15))),".")</f>
        <v>5.7194257219761657E-3</v>
      </c>
      <c r="AB15" s="116">
        <f>IFERROR(IF(d_ss_Bv!D15=0,".",((Ir*F*MLF_asparagus*(1-EXP(-RadSpec!AX15*t_b)))/(P*RadSpec!AX15))),".")</f>
        <v>2.8239664502257315E-3</v>
      </c>
      <c r="AC15" s="116">
        <f>IFERROR(IF(d_ss_Bv!E15=0,".",((Ir*F*MLF_beet*(1-EXP(-RadSpec!AX15*t_b)))/(P*RadSpec!AX15))),".")</f>
        <v>4.9330046852044422E-3</v>
      </c>
      <c r="AD15" s="116">
        <f>IFERROR(IF(d_ss_Bv!F15=0,".",((Ir*F*MLF_berries*(1-EXP(-RadSpec!AX15*t_b)))/(P*RadSpec!AX15))),".")</f>
        <v>5.9339041865502712E-3</v>
      </c>
      <c r="AE15" s="116">
        <f>IFERROR(IF(d_ss_Bv!G15=0,".",((Ir*F*MLF_broccoli*(1-EXP(-RadSpec!AX15*t_b)))/(P*RadSpec!AX15))),".")</f>
        <v>3.6103874869974538E-2</v>
      </c>
      <c r="AF15" s="116">
        <f>IFERROR(IF(d_ss_Bv!H15=0,".",((Ir*F*MLF_cabbage*(1-EXP(-RadSpec!AX15*t_b)))/(P*RadSpec!AX15))),".")</f>
        <v>3.7533731300468582E-3</v>
      </c>
      <c r="AG15" s="116">
        <f>IFERROR(IF(d_ss_Bv!I15=0,".",((Ir*F*MLF_carrot*(1-EXP(-RadSpec!AX15*t_b)))/(P*RadSpec!AX15))),".")</f>
        <v>3.4674018439480501E-3</v>
      </c>
      <c r="AH15" s="116">
        <f>IFERROR(IF(d_ss_Bv!J15=0,".",((Ir*F*MLF_citrus*(1-EXP(-RadSpec!AX15*t_b)))/(P*RadSpec!AX15))),".")</f>
        <v>5.6121864896891112E-3</v>
      </c>
      <c r="AI15" s="116">
        <f>IFERROR(IF(d_ss_Bv!K15=0,".",((Ir*F*MLF_corn*(1-EXP(-RadSpec!AX15*t_b)))/(P*RadSpec!AX15))),".")</f>
        <v>5.1832295605408994E-3</v>
      </c>
      <c r="AJ15" s="116">
        <f>IFERROR(IF(d_ss_Bv!L15=0,".",((Ir*F*MLF_cucumber*(1-EXP(-RadSpec!AX15*t_b)))/(P*RadSpec!AX15))),".")</f>
        <v>1.4298564304940414E-3</v>
      </c>
      <c r="AK15" s="116">
        <f>IFERROR(IF(d_ss_Bv!M15=0,".",((Ir*F*MLF_lettuce*(1-EXP(-RadSpec!AX15*t_b)))/(P*RadSpec!AX15))),".")</f>
        <v>0.48257654529173893</v>
      </c>
      <c r="AL15" s="116">
        <f>IFERROR(IF(d_ss_Bv!N15=0,".",((Ir*F*MLF_lima_bean*(1-EXP(-RadSpec!AX15*t_b)))/(P*RadSpec!AX15))),".")</f>
        <v>0.13690875321980447</v>
      </c>
      <c r="AM15" s="116">
        <f>IFERROR(IF(d_ss_Bv!O15=0,".",((Ir*F*MLF_okra*(1-EXP(-RadSpec!AX15*t_b)))/(P*RadSpec!AX15))),".")</f>
        <v>2.8597128609880828E-3</v>
      </c>
      <c r="AN15" s="116">
        <f>IFERROR(IF(d_ss_Bv!P15=0,".",((Ir*F*MLF_onion*(1-EXP(-RadSpec!AX15*t_b)))/(P*RadSpec!AX15))),".")</f>
        <v>3.4674018439480501E-3</v>
      </c>
      <c r="AO15" s="116">
        <f>IFERROR(IF(d_ss_Bv!Q15=0,".",((Ir*F*MLF_peach*(1-EXP(-RadSpec!AX15*t_b)))/(P*RadSpec!AX15))),".")</f>
        <v>5.361961614352654E-3</v>
      </c>
      <c r="AP15" s="116" t="str">
        <f>IFERROR(IF(d_ss_Bv!OI15=0,".",((Ir*F*MLF_pear*(1-EXP(-RadSpec!AX15*t_b)))/(P*RadSpec!AX15))),".")</f>
        <v>.</v>
      </c>
      <c r="AQ15" s="116">
        <f>IFERROR(IF(d_ss_Bv!S15=0,".",((Ir*F*MLF_peas*(1-EXP(-RadSpec!AX15*t_b)))/(P*RadSpec!AX15))),".")</f>
        <v>6.3628611156984829E-3</v>
      </c>
      <c r="AR15" s="116">
        <f>IFERROR(IF(d_ss_Bv!T15=0,".",((Ir*F*MLF_potato*(1-EXP(-RadSpec!AX15*t_b)))/(P*RadSpec!AX15))),".")</f>
        <v>7.5067462600937164E-3</v>
      </c>
      <c r="AS15" s="116">
        <f>IFERROR(IF(d_ss_Bv!U15=0,".",((Ir*F*MLF_pumpkin*(1-EXP(-RadSpec!AX15*t_b)))/(P*RadSpec!AX15))),".")</f>
        <v>2.0732918242163598E-3</v>
      </c>
      <c r="AT15" s="116">
        <f>IFERROR(IF(d_ss_Bv!V15=0,".",((Ir*F*MLF_snap_bean*(1-EXP(-RadSpec!AX15*t_b)))/(P*RadSpec!AX15))),".")</f>
        <v>0.17873205381175516</v>
      </c>
      <c r="AU15" s="116">
        <f>IFERROR(IF(d_ss_Bv!W15=0,".",((Ir*F*MLF_strawberry*(1-EXP(-RadSpec!AX15*t_b)))/(P*RadSpec!AX15))),".")</f>
        <v>2.8597128609880828E-3</v>
      </c>
      <c r="AV15" s="116">
        <f>IFERROR(IF(d_ss_Bv!X15=0,".",((Ir*F*MLF_tomato*(1-EXP(-RadSpec!AX15*t_b)))/(P*RadSpec!AX15))),".")</f>
        <v>5.6836793112138136E-2</v>
      </c>
      <c r="AW15" s="116">
        <f>IFERROR(IF(d_ss_Bv!Y15=0,".",((Ir*F*MLF_rice*(1-EXP(-RadSpec!AX15*t_b)))/(P*RadSpec!AX15))),".")</f>
        <v>8.9366026905877582</v>
      </c>
      <c r="AX15" s="116">
        <f>IFERROR(IF(d_ss_Bv!Z15=0,".",((Ir*F*MLF_cereal*(1-EXP(-RadSpec!AX15*t_b)))/(P*RadSpec!AX15))),".")</f>
        <v>8.9366026905877582</v>
      </c>
      <c r="AY15" s="116">
        <f>IFERROR(IF(d_ss_Bv!C15=0,".",((Ir*F*I_f*T*(1-EXP(-RadSpec!AY15*t_v)))/(Y_v*RadSpec!AY15))),".")</f>
        <v>3.6424203206347228</v>
      </c>
      <c r="AZ15" s="116">
        <f>IFERROR(IF(d_ss_Bv!D15=0,".",((Ir*F*I_f*T*(1-EXP(-RadSpec!AY15*t_v)))/(Y_v*RadSpec!AY15))),".")</f>
        <v>3.6424203206347228</v>
      </c>
      <c r="BA15" s="116">
        <f>IFERROR(IF(d_ss_Bv!E15=0,".",((Ir*F*I_f*T*(1-EXP(-RadSpec!AY15*t_v)))/(Y_v*RadSpec!AY15))),".")</f>
        <v>3.6424203206347228</v>
      </c>
      <c r="BB15" s="116">
        <f>IFERROR(IF(d_ss_Bv!F15=0,".",((Ir*F*I_f*T*(1-EXP(-RadSpec!AY15*t_v)))/(Y_v*RadSpec!AY15))),".")</f>
        <v>3.6424203206347228</v>
      </c>
      <c r="BC15" s="116">
        <f>IFERROR(IF(d_ss_Bv!G15=0,".",((Ir*F*I_f*T*(1-EXP(-RadSpec!AY15*t_v)))/(Y_v*RadSpec!AY15))),".")</f>
        <v>3.6424203206347228</v>
      </c>
      <c r="BD15" s="116">
        <f>IFERROR(IF(d_ss_Bv!H15=0,".",((Ir*F*I_f*T*(1-EXP(-RadSpec!AY15*t_v)))/(Y_v*RadSpec!AY15))),".")</f>
        <v>3.6424203206347228</v>
      </c>
      <c r="BE15" s="116">
        <f>IFERROR(IF(d_ss_Bv!I15=0,".",((Ir*F*I_f*T*(1-EXP(-RadSpec!AY15*t_v)))/(Y_v*RadSpec!AY15))),".")</f>
        <v>3.6424203206347228</v>
      </c>
      <c r="BF15" s="116">
        <f>IFERROR(IF(d_ss_Bv!J15=0,".",((Ir*F*I_f*T*(1-EXP(-RadSpec!AY15*t_v)))/(Y_v*RadSpec!AY15))),".")</f>
        <v>3.6424203206347228</v>
      </c>
      <c r="BG15" s="116">
        <f>IFERROR(IF(d_ss_Bv!K15=0,".",((Ir*F*I_f*T*(1-EXP(-RadSpec!AY15*t_v)))/(Y_v*RadSpec!AY15))),".")</f>
        <v>3.6424203206347228</v>
      </c>
      <c r="BH15" s="116">
        <f>IFERROR(IF(d_ss_Bv!L15=0,".",((Ir*F*I_f*T*(1-EXP(-RadSpec!AY15*t_v)))/(Y_v*RadSpec!AY15))),".")</f>
        <v>3.6424203206347228</v>
      </c>
      <c r="BI15" s="116">
        <f>IFERROR(IF(d_ss_Bv!M15=0,".",((Ir*F*I_f*T*(1-EXP(-RadSpec!AY15*t_v)))/(Y_v*RadSpec!AY15))),".")</f>
        <v>3.6424203206347228</v>
      </c>
      <c r="BJ15" s="116">
        <f>IFERROR(IF(d_ss_Bv!N15=0,".",((Ir*F*I_f*T*(1-EXP(-RadSpec!AY15*t_v)))/(Y_v*RadSpec!AY15))),".")</f>
        <v>3.6424203206347228</v>
      </c>
      <c r="BK15" s="116">
        <f>IFERROR(IF(d_ss_Bv!O15=0,".",((Ir*F*I_f*T*(1-EXP(-RadSpec!AY15*t_v)))/(Y_v*RadSpec!AY15))),".")</f>
        <v>3.6424203206347228</v>
      </c>
      <c r="BL15" s="116">
        <f>IFERROR(IF(d_ss_Bv!P15=0,".",((Ir*F*I_f*T*(1-EXP(-RadSpec!AY15*t_v)))/(Y_v*RadSpec!AY15))),".")</f>
        <v>3.6424203206347228</v>
      </c>
      <c r="BM15" s="116">
        <f>IFERROR(IF(d_ss_Bv!Q15=0,".",((Ir*F*I_f*T*(1-EXP(-RadSpec!AY15*t_v)))/(Y_v*RadSpec!AY15))),".")</f>
        <v>3.6424203206347228</v>
      </c>
      <c r="BN15" s="116">
        <f>IFERROR(IF(d_ss_Bv!R15=0,".",((Ir*F*I_f*T*(1-EXP(-RadSpec!AY15*t_v)))/(Y_v*RadSpec!AY15))),".")</f>
        <v>3.6424203206347228</v>
      </c>
      <c r="BO15" s="116">
        <f>IFERROR(IF(d_ss_Bv!S15=0,".",((Ir*F*I_f*T*(1-EXP(-RadSpec!AY15*t_v)))/(Y_v*RadSpec!AY15))),".")</f>
        <v>3.6424203206347228</v>
      </c>
      <c r="BP15" s="116">
        <f>IFERROR(IF(d_ss_Bv!T15=0,".",((Ir*F*I_f*T*(1-EXP(-RadSpec!AY15*t_v)))/(Y_v*RadSpec!AY15))),".")</f>
        <v>3.6424203206347228</v>
      </c>
      <c r="BQ15" s="116">
        <f>IFERROR(IF(d_ss_Bv!U15=0,".",((Ir*F*I_f*T*(1-EXP(-RadSpec!AY15*t_v)))/(Y_v*RadSpec!AY15))),".")</f>
        <v>3.6424203206347228</v>
      </c>
      <c r="BR15" s="116">
        <f>IFERROR(IF(d_ss_Bv!V15=0,".",((Ir*F*I_f*T*(1-EXP(-RadSpec!AY15*t_v)))/(Y_v*RadSpec!AY15))),".")</f>
        <v>3.6424203206347228</v>
      </c>
      <c r="BS15" s="116">
        <f>IFERROR(IF(d_ss_Bv!W15=0,".",((Ir*F*I_f*T*(1-EXP(-RadSpec!AY15*t_v)))/(Y_v*RadSpec!AY15))),".")</f>
        <v>3.6424203206347228</v>
      </c>
      <c r="BT15" s="116">
        <f>IFERROR(IF(d_ss_Bv!X15=0,".",((Ir*F*I_f*T*(1-EXP(-RadSpec!AY15*t_v)))/(Y_v*RadSpec!AY15))),".")</f>
        <v>3.6424203206347228</v>
      </c>
      <c r="BU15" s="116">
        <f>IFERROR(IF(d_ss_Bv!Y15=0,".",((Ir*F*I_f*T*(1-EXP(-RadSpec!AY15*t_v)))/(Y_v*RadSpec!AY15))),".")</f>
        <v>3.6424203206347228</v>
      </c>
      <c r="BV15" s="116">
        <f>IFERROR(IF(d_ss_Bv!Z15=0,".",((Ir*F*I_f*T*(1-EXP(-RadSpec!AY15*t_v)))/(Y_v*RadSpec!AY15))),".")</f>
        <v>3.6424203206347228</v>
      </c>
    </row>
    <row r="16" spans="1:74" x14ac:dyDescent="0.25">
      <c r="A16" s="44" t="s">
        <v>26</v>
      </c>
      <c r="B16" s="42" t="s">
        <v>1074</v>
      </c>
      <c r="C16" s="116">
        <f>IFERROR(IF(d_ss_Bv!C16=0,".",((Ir*F*d_ss_Bv!C16*(1-EXP(-RadSpec!AX16*t_b)))/(P*RadSpec!AX16))),".")</f>
        <v>0.35746410762351033</v>
      </c>
      <c r="D16" s="116">
        <f>IFERROR(IF(d_ss_Bv!D16=0,".",((Ir*F*d_ss_Bv!D16*(1-EXP(-RadSpec!AX16*t_b)))/(P*RadSpec!AX16))),".")</f>
        <v>2.8597128609880826</v>
      </c>
      <c r="E16" s="116">
        <f>IFERROR(IF(d_ss_Bv!E16=0,".",((Ir*F*d_ss_Bv!E16*(1-EXP(-RadSpec!AX16*t_b)))/(P*RadSpec!AX16))),".")</f>
        <v>0.53619616143526549</v>
      </c>
      <c r="F16" s="116">
        <f>IFERROR(IF(d_ss_Bv!F16=0,".",((Ir*F*d_ss_Bv!F16*(1-EXP(-RadSpec!AX16*t_b)))/(P*RadSpec!AX16))),".")</f>
        <v>0.35746410762351033</v>
      </c>
      <c r="G16" s="116">
        <f>IFERROR(IF(d_ss_Bv!G16=0,".",((Ir*F*d_ss_Bv!G16*(1-EXP(-RadSpec!AX16*t_b)))/(P*RadSpec!AX16))),".")</f>
        <v>0.53619616143526549</v>
      </c>
      <c r="H16" s="116">
        <f>IFERROR(IF(d_ss_Bv!H16=0,".",((Ir*F*d_ss_Bv!H16*(1-EXP(-RadSpec!AX16*t_b)))/(P*RadSpec!AX16))),".")</f>
        <v>2.8597128609880826</v>
      </c>
      <c r="I16" s="116">
        <f>IFERROR(IF(d_ss_Bv!I16=0,".",((Ir*F*d_ss_Bv!I16*(1-EXP(-RadSpec!AX16*t_b)))/(P*RadSpec!AX16))),".")</f>
        <v>0.53619616143526549</v>
      </c>
      <c r="J16" s="116">
        <f>IFERROR(IF(d_ss_Bv!J16=0,".",((Ir*F*d_ss_Bv!J16*(1-EXP(-RadSpec!AX16*t_b)))/(P*RadSpec!AX16))),".")</f>
        <v>0.35746410762351033</v>
      </c>
      <c r="K16" s="116">
        <f>IFERROR(IF(d_ss_Bv!K16=0,".",((Ir*F*d_ss_Bv!K16*(1-EXP(-RadSpec!AX16*t_b)))/(P*RadSpec!AX16))),".")</f>
        <v>4.2895692914821232E-2</v>
      </c>
      <c r="L16" s="116">
        <f>IFERROR(IF(d_ss_Bv!L16=0,".",((Ir*F*d_ss_Bv!L16*(1-EXP(-RadSpec!AX16*t_b)))/(P*RadSpec!AX16))),".")</f>
        <v>0.53619616143526549</v>
      </c>
      <c r="M16" s="116">
        <f>IFERROR(IF(d_ss_Bv!M16=0,".",((Ir*F*d_ss_Bv!M16*(1-EXP(-RadSpec!AX16*t_b)))/(P*RadSpec!AX16))),".")</f>
        <v>2.8597128609880826</v>
      </c>
      <c r="N16" s="116">
        <f>IFERROR(IF(d_ss_Bv!N16=0,".",((Ir*F*d_ss_Bv!N16*(1-EXP(-RadSpec!AX16*t_b)))/(P*RadSpec!AX16))),".")</f>
        <v>0.18945597704046047</v>
      </c>
      <c r="O16" s="116">
        <f>IFERROR(IF(d_ss_Bv!O16=0,".",((Ir*F*d_ss_Bv!O16*(1-EXP(-RadSpec!AX16*t_b)))/(P*RadSpec!AX16))),".")</f>
        <v>0.53619616143526549</v>
      </c>
      <c r="P16" s="116">
        <f>IFERROR(IF(d_ss_Bv!P16=0,".",((Ir*F*d_ss_Bv!P16*(1-EXP(-RadSpec!AX16*t_b)))/(P*RadSpec!AX16))),".")</f>
        <v>0.53619616143526549</v>
      </c>
      <c r="Q16" s="116">
        <f>IFERROR(IF(d_ss_Bv!Q16=0,".",((Ir*F*d_ss_Bv!Q16*(1-EXP(-RadSpec!AX16*t_b)))/(P*RadSpec!AX16))),".")</f>
        <v>0.35746410762351033</v>
      </c>
      <c r="R16" s="116">
        <f>IFERROR(IF(d_ss_Bv!R16=0,".",((Ir*F*d_ss_Bv!R16*(1-EXP(-RadSpec!AX16*t_b)))/(P*RadSpec!AX16))),".")</f>
        <v>0.35746410762351033</v>
      </c>
      <c r="S16" s="116">
        <f>IFERROR(IF(d_ss_Bv!S16=0,".",((Ir*F*d_ss_Bv!S16*(1-EXP(-RadSpec!AX16*t_b)))/(P*RadSpec!AX16))),".")</f>
        <v>0.18945597704046047</v>
      </c>
      <c r="T16" s="116">
        <f>IFERROR(IF(d_ss_Bv!T16=0,".",((Ir*F*d_ss_Bv!T16*(1-EXP(-RadSpec!AX16*t_b)))/(P*RadSpec!AX16))),".")</f>
        <v>5.361961614352654E-2</v>
      </c>
      <c r="U16" s="116">
        <f>IFERROR(IF(d_ss_Bv!U16=0,".",((Ir*F*d_ss_Bv!U16*(1-EXP(-RadSpec!AX16*t_b)))/(P*RadSpec!AX16))),".")</f>
        <v>0.53619616143526549</v>
      </c>
      <c r="V16" s="116">
        <f>IFERROR(IF(d_ss_Bv!V16=0,".",((Ir*F*d_ss_Bv!V16*(1-EXP(-RadSpec!AX16*t_b)))/(P*RadSpec!AX16))),".")</f>
        <v>0.18945597704046047</v>
      </c>
      <c r="W16" s="116">
        <f>IFERROR(IF(d_ss_Bv!W16=0,".",((Ir*F*d_ss_Bv!W16*(1-EXP(-RadSpec!AX16*t_b)))/(P*RadSpec!AX16))),".")</f>
        <v>0.35746410762351033</v>
      </c>
      <c r="X16" s="116">
        <f>IFERROR(IF(d_ss_Bv!X16=0,".",((Ir*F*d_ss_Bv!X16*(1-EXP(-RadSpec!AX16*t_b)))/(P*RadSpec!AX16))),".")</f>
        <v>0.53619616143526549</v>
      </c>
      <c r="Y16" s="116">
        <f>IFERROR(IF(d_ss_Bv!Y16=0,".",((Ir*F*d_ss_Bv!Y16*(1-EXP(-RadSpec!AX16*t_b)))/(P*RadSpec!AX16))),".")</f>
        <v>1.0366459121081799E-2</v>
      </c>
      <c r="Z16" s="116">
        <f>IFERROR(IF(d_ss_Bv!Z16=0,".",((Ir*F*d_ss_Bv!Z16*(1-EXP(-RadSpec!AX16*t_b)))/(P*RadSpec!AX16))),".")</f>
        <v>0.39321051838586135</v>
      </c>
      <c r="AA16" s="116">
        <f>IFERROR(IF(d_ss_Bv!C16=0,".",((Ir*F*MLF_apple*(1-EXP(-RadSpec!AX16*t_b)))/(P*RadSpec!AX16))),".")</f>
        <v>5.7194257219761657E-3</v>
      </c>
      <c r="AB16" s="116">
        <f>IFERROR(IF(d_ss_Bv!D16=0,".",((Ir*F*MLF_asparagus*(1-EXP(-RadSpec!AX16*t_b)))/(P*RadSpec!AX16))),".")</f>
        <v>2.8239664502257315E-3</v>
      </c>
      <c r="AC16" s="116">
        <f>IFERROR(IF(d_ss_Bv!E16=0,".",((Ir*F*MLF_beet*(1-EXP(-RadSpec!AX16*t_b)))/(P*RadSpec!AX16))),".")</f>
        <v>4.9330046852044422E-3</v>
      </c>
      <c r="AD16" s="116">
        <f>IFERROR(IF(d_ss_Bv!F16=0,".",((Ir*F*MLF_berries*(1-EXP(-RadSpec!AX16*t_b)))/(P*RadSpec!AX16))),".")</f>
        <v>5.9339041865502712E-3</v>
      </c>
      <c r="AE16" s="116">
        <f>IFERROR(IF(d_ss_Bv!G16=0,".",((Ir*F*MLF_broccoli*(1-EXP(-RadSpec!AX16*t_b)))/(P*RadSpec!AX16))),".")</f>
        <v>3.6103874869974538E-2</v>
      </c>
      <c r="AF16" s="116">
        <f>IFERROR(IF(d_ss_Bv!H16=0,".",((Ir*F*MLF_cabbage*(1-EXP(-RadSpec!AX16*t_b)))/(P*RadSpec!AX16))),".")</f>
        <v>3.7533731300468582E-3</v>
      </c>
      <c r="AG16" s="116">
        <f>IFERROR(IF(d_ss_Bv!I16=0,".",((Ir*F*MLF_carrot*(1-EXP(-RadSpec!AX16*t_b)))/(P*RadSpec!AX16))),".")</f>
        <v>3.4674018439480501E-3</v>
      </c>
      <c r="AH16" s="116">
        <f>IFERROR(IF(d_ss_Bv!J16=0,".",((Ir*F*MLF_citrus*(1-EXP(-RadSpec!AX16*t_b)))/(P*RadSpec!AX16))),".")</f>
        <v>5.6121864896891112E-3</v>
      </c>
      <c r="AI16" s="116">
        <f>IFERROR(IF(d_ss_Bv!K16=0,".",((Ir*F*MLF_corn*(1-EXP(-RadSpec!AX16*t_b)))/(P*RadSpec!AX16))),".")</f>
        <v>5.1832295605408994E-3</v>
      </c>
      <c r="AJ16" s="116">
        <f>IFERROR(IF(d_ss_Bv!L16=0,".",((Ir*F*MLF_cucumber*(1-EXP(-RadSpec!AX16*t_b)))/(P*RadSpec!AX16))),".")</f>
        <v>1.4298564304940414E-3</v>
      </c>
      <c r="AK16" s="116">
        <f>IFERROR(IF(d_ss_Bv!M16=0,".",((Ir*F*MLF_lettuce*(1-EXP(-RadSpec!AX16*t_b)))/(P*RadSpec!AX16))),".")</f>
        <v>0.48257654529173893</v>
      </c>
      <c r="AL16" s="116">
        <f>IFERROR(IF(d_ss_Bv!N16=0,".",((Ir*F*MLF_lima_bean*(1-EXP(-RadSpec!AX16*t_b)))/(P*RadSpec!AX16))),".")</f>
        <v>0.13690875321980447</v>
      </c>
      <c r="AM16" s="116">
        <f>IFERROR(IF(d_ss_Bv!O16=0,".",((Ir*F*MLF_okra*(1-EXP(-RadSpec!AX16*t_b)))/(P*RadSpec!AX16))),".")</f>
        <v>2.8597128609880828E-3</v>
      </c>
      <c r="AN16" s="116">
        <f>IFERROR(IF(d_ss_Bv!P16=0,".",((Ir*F*MLF_onion*(1-EXP(-RadSpec!AX16*t_b)))/(P*RadSpec!AX16))),".")</f>
        <v>3.4674018439480501E-3</v>
      </c>
      <c r="AO16" s="116">
        <f>IFERROR(IF(d_ss_Bv!Q16=0,".",((Ir*F*MLF_peach*(1-EXP(-RadSpec!AX16*t_b)))/(P*RadSpec!AX16))),".")</f>
        <v>5.361961614352654E-3</v>
      </c>
      <c r="AP16" s="116" t="str">
        <f>IFERROR(IF(d_ss_Bv!OI16=0,".",((Ir*F*MLF_pear*(1-EXP(-RadSpec!AX16*t_b)))/(P*RadSpec!AX16))),".")</f>
        <v>.</v>
      </c>
      <c r="AQ16" s="116">
        <f>IFERROR(IF(d_ss_Bv!S16=0,".",((Ir*F*MLF_peas*(1-EXP(-RadSpec!AX16*t_b)))/(P*RadSpec!AX16))),".")</f>
        <v>6.3628611156984829E-3</v>
      </c>
      <c r="AR16" s="116">
        <f>IFERROR(IF(d_ss_Bv!T16=0,".",((Ir*F*MLF_potato*(1-EXP(-RadSpec!AX16*t_b)))/(P*RadSpec!AX16))),".")</f>
        <v>7.5067462600937164E-3</v>
      </c>
      <c r="AS16" s="116">
        <f>IFERROR(IF(d_ss_Bv!U16=0,".",((Ir*F*MLF_pumpkin*(1-EXP(-RadSpec!AX16*t_b)))/(P*RadSpec!AX16))),".")</f>
        <v>2.0732918242163598E-3</v>
      </c>
      <c r="AT16" s="116">
        <f>IFERROR(IF(d_ss_Bv!V16=0,".",((Ir*F*MLF_snap_bean*(1-EXP(-RadSpec!AX16*t_b)))/(P*RadSpec!AX16))),".")</f>
        <v>0.17873205381175516</v>
      </c>
      <c r="AU16" s="116">
        <f>IFERROR(IF(d_ss_Bv!W16=0,".",((Ir*F*MLF_strawberry*(1-EXP(-RadSpec!AX16*t_b)))/(P*RadSpec!AX16))),".")</f>
        <v>2.8597128609880828E-3</v>
      </c>
      <c r="AV16" s="116">
        <f>IFERROR(IF(d_ss_Bv!X16=0,".",((Ir*F*MLF_tomato*(1-EXP(-RadSpec!AX16*t_b)))/(P*RadSpec!AX16))),".")</f>
        <v>5.6836793112138136E-2</v>
      </c>
      <c r="AW16" s="116">
        <f>IFERROR(IF(d_ss_Bv!Y16=0,".",((Ir*F*MLF_rice*(1-EXP(-RadSpec!AX16*t_b)))/(P*RadSpec!AX16))),".")</f>
        <v>8.9366026905877582</v>
      </c>
      <c r="AX16" s="116">
        <f>IFERROR(IF(d_ss_Bv!Z16=0,".",((Ir*F*MLF_cereal*(1-EXP(-RadSpec!AX16*t_b)))/(P*RadSpec!AX16))),".")</f>
        <v>8.9366026905877582</v>
      </c>
      <c r="AY16" s="116">
        <f>IFERROR(IF(d_ss_Bv!C16=0,".",((Ir*F*I_f*T*(1-EXP(-RadSpec!AY16*t_v)))/(Y_v*RadSpec!AY16))),".")</f>
        <v>3.6424203206347228</v>
      </c>
      <c r="AZ16" s="116">
        <f>IFERROR(IF(d_ss_Bv!D16=0,".",((Ir*F*I_f*T*(1-EXP(-RadSpec!AY16*t_v)))/(Y_v*RadSpec!AY16))),".")</f>
        <v>3.6424203206347228</v>
      </c>
      <c r="BA16" s="116">
        <f>IFERROR(IF(d_ss_Bv!E16=0,".",((Ir*F*I_f*T*(1-EXP(-RadSpec!AY16*t_v)))/(Y_v*RadSpec!AY16))),".")</f>
        <v>3.6424203206347228</v>
      </c>
      <c r="BB16" s="116">
        <f>IFERROR(IF(d_ss_Bv!F16=0,".",((Ir*F*I_f*T*(1-EXP(-RadSpec!AY16*t_v)))/(Y_v*RadSpec!AY16))),".")</f>
        <v>3.6424203206347228</v>
      </c>
      <c r="BC16" s="116">
        <f>IFERROR(IF(d_ss_Bv!G16=0,".",((Ir*F*I_f*T*(1-EXP(-RadSpec!AY16*t_v)))/(Y_v*RadSpec!AY16))),".")</f>
        <v>3.6424203206347228</v>
      </c>
      <c r="BD16" s="116">
        <f>IFERROR(IF(d_ss_Bv!H16=0,".",((Ir*F*I_f*T*(1-EXP(-RadSpec!AY16*t_v)))/(Y_v*RadSpec!AY16))),".")</f>
        <v>3.6424203206347228</v>
      </c>
      <c r="BE16" s="116">
        <f>IFERROR(IF(d_ss_Bv!I16=0,".",((Ir*F*I_f*T*(1-EXP(-RadSpec!AY16*t_v)))/(Y_v*RadSpec!AY16))),".")</f>
        <v>3.6424203206347228</v>
      </c>
      <c r="BF16" s="116">
        <f>IFERROR(IF(d_ss_Bv!J16=0,".",((Ir*F*I_f*T*(1-EXP(-RadSpec!AY16*t_v)))/(Y_v*RadSpec!AY16))),".")</f>
        <v>3.6424203206347228</v>
      </c>
      <c r="BG16" s="116">
        <f>IFERROR(IF(d_ss_Bv!K16=0,".",((Ir*F*I_f*T*(1-EXP(-RadSpec!AY16*t_v)))/(Y_v*RadSpec!AY16))),".")</f>
        <v>3.6424203206347228</v>
      </c>
      <c r="BH16" s="116">
        <f>IFERROR(IF(d_ss_Bv!L16=0,".",((Ir*F*I_f*T*(1-EXP(-RadSpec!AY16*t_v)))/(Y_v*RadSpec!AY16))),".")</f>
        <v>3.6424203206347228</v>
      </c>
      <c r="BI16" s="116">
        <f>IFERROR(IF(d_ss_Bv!M16=0,".",((Ir*F*I_f*T*(1-EXP(-RadSpec!AY16*t_v)))/(Y_v*RadSpec!AY16))),".")</f>
        <v>3.6424203206347228</v>
      </c>
      <c r="BJ16" s="116">
        <f>IFERROR(IF(d_ss_Bv!N16=0,".",((Ir*F*I_f*T*(1-EXP(-RadSpec!AY16*t_v)))/(Y_v*RadSpec!AY16))),".")</f>
        <v>3.6424203206347228</v>
      </c>
      <c r="BK16" s="116">
        <f>IFERROR(IF(d_ss_Bv!O16=0,".",((Ir*F*I_f*T*(1-EXP(-RadSpec!AY16*t_v)))/(Y_v*RadSpec!AY16))),".")</f>
        <v>3.6424203206347228</v>
      </c>
      <c r="BL16" s="116">
        <f>IFERROR(IF(d_ss_Bv!P16=0,".",((Ir*F*I_f*T*(1-EXP(-RadSpec!AY16*t_v)))/(Y_v*RadSpec!AY16))),".")</f>
        <v>3.6424203206347228</v>
      </c>
      <c r="BM16" s="116">
        <f>IFERROR(IF(d_ss_Bv!Q16=0,".",((Ir*F*I_f*T*(1-EXP(-RadSpec!AY16*t_v)))/(Y_v*RadSpec!AY16))),".")</f>
        <v>3.6424203206347228</v>
      </c>
      <c r="BN16" s="116">
        <f>IFERROR(IF(d_ss_Bv!R16=0,".",((Ir*F*I_f*T*(1-EXP(-RadSpec!AY16*t_v)))/(Y_v*RadSpec!AY16))),".")</f>
        <v>3.6424203206347228</v>
      </c>
      <c r="BO16" s="116">
        <f>IFERROR(IF(d_ss_Bv!S16=0,".",((Ir*F*I_f*T*(1-EXP(-RadSpec!AY16*t_v)))/(Y_v*RadSpec!AY16))),".")</f>
        <v>3.6424203206347228</v>
      </c>
      <c r="BP16" s="116">
        <f>IFERROR(IF(d_ss_Bv!T16=0,".",((Ir*F*I_f*T*(1-EXP(-RadSpec!AY16*t_v)))/(Y_v*RadSpec!AY16))),".")</f>
        <v>3.6424203206347228</v>
      </c>
      <c r="BQ16" s="116">
        <f>IFERROR(IF(d_ss_Bv!U16=0,".",((Ir*F*I_f*T*(1-EXP(-RadSpec!AY16*t_v)))/(Y_v*RadSpec!AY16))),".")</f>
        <v>3.6424203206347228</v>
      </c>
      <c r="BR16" s="116">
        <f>IFERROR(IF(d_ss_Bv!V16=0,".",((Ir*F*I_f*T*(1-EXP(-RadSpec!AY16*t_v)))/(Y_v*RadSpec!AY16))),".")</f>
        <v>3.6424203206347228</v>
      </c>
      <c r="BS16" s="116">
        <f>IFERROR(IF(d_ss_Bv!W16=0,".",((Ir*F*I_f*T*(1-EXP(-RadSpec!AY16*t_v)))/(Y_v*RadSpec!AY16))),".")</f>
        <v>3.6424203206347228</v>
      </c>
      <c r="BT16" s="116">
        <f>IFERROR(IF(d_ss_Bv!X16=0,".",((Ir*F*I_f*T*(1-EXP(-RadSpec!AY16*t_v)))/(Y_v*RadSpec!AY16))),".")</f>
        <v>3.6424203206347228</v>
      </c>
      <c r="BU16" s="116">
        <f>IFERROR(IF(d_ss_Bv!Y16=0,".",((Ir*F*I_f*T*(1-EXP(-RadSpec!AY16*t_v)))/(Y_v*RadSpec!AY16))),".")</f>
        <v>3.6424203206347228</v>
      </c>
      <c r="BV16" s="116">
        <f>IFERROR(IF(d_ss_Bv!Z16=0,".",((Ir*F*I_f*T*(1-EXP(-RadSpec!AY16*t_v)))/(Y_v*RadSpec!AY16))),".")</f>
        <v>3.6424203206347228</v>
      </c>
    </row>
    <row r="17" spans="1:74" x14ac:dyDescent="0.25">
      <c r="A17" s="44" t="s">
        <v>27</v>
      </c>
      <c r="B17" s="42" t="s">
        <v>1074</v>
      </c>
      <c r="C17" s="116">
        <f>IFERROR(IF(d_ss_Bv!C17=0,".",((Ir*F*d_ss_Bv!C17*(1-EXP(-RadSpec!AX17*t_b)))/(P*RadSpec!AX17))),".")</f>
        <v>0.35746410762351033</v>
      </c>
      <c r="D17" s="116">
        <f>IFERROR(IF(d_ss_Bv!D17=0,".",((Ir*F*d_ss_Bv!D17*(1-EXP(-RadSpec!AX17*t_b)))/(P*RadSpec!AX17))),".")</f>
        <v>2.8597128609880826</v>
      </c>
      <c r="E17" s="116">
        <f>IFERROR(IF(d_ss_Bv!E17=0,".",((Ir*F*d_ss_Bv!E17*(1-EXP(-RadSpec!AX17*t_b)))/(P*RadSpec!AX17))),".")</f>
        <v>0.53619616143526549</v>
      </c>
      <c r="F17" s="116">
        <f>IFERROR(IF(d_ss_Bv!F17=0,".",((Ir*F*d_ss_Bv!F17*(1-EXP(-RadSpec!AX17*t_b)))/(P*RadSpec!AX17))),".")</f>
        <v>0.35746410762351033</v>
      </c>
      <c r="G17" s="116">
        <f>IFERROR(IF(d_ss_Bv!G17=0,".",((Ir*F*d_ss_Bv!G17*(1-EXP(-RadSpec!AX17*t_b)))/(P*RadSpec!AX17))),".")</f>
        <v>0.53619616143526549</v>
      </c>
      <c r="H17" s="116">
        <f>IFERROR(IF(d_ss_Bv!H17=0,".",((Ir*F*d_ss_Bv!H17*(1-EXP(-RadSpec!AX17*t_b)))/(P*RadSpec!AX17))),".")</f>
        <v>2.8597128609880826</v>
      </c>
      <c r="I17" s="116">
        <f>IFERROR(IF(d_ss_Bv!I17=0,".",((Ir*F*d_ss_Bv!I17*(1-EXP(-RadSpec!AX17*t_b)))/(P*RadSpec!AX17))),".")</f>
        <v>0.53619616143526549</v>
      </c>
      <c r="J17" s="116">
        <f>IFERROR(IF(d_ss_Bv!J17=0,".",((Ir*F*d_ss_Bv!J17*(1-EXP(-RadSpec!AX17*t_b)))/(P*RadSpec!AX17))),".")</f>
        <v>0.35746410762351033</v>
      </c>
      <c r="K17" s="116">
        <f>IFERROR(IF(d_ss_Bv!K17=0,".",((Ir*F*d_ss_Bv!K17*(1-EXP(-RadSpec!AX17*t_b)))/(P*RadSpec!AX17))),".")</f>
        <v>4.2895692914821232E-2</v>
      </c>
      <c r="L17" s="116">
        <f>IFERROR(IF(d_ss_Bv!L17=0,".",((Ir*F*d_ss_Bv!L17*(1-EXP(-RadSpec!AX17*t_b)))/(P*RadSpec!AX17))),".")</f>
        <v>0.53619616143526549</v>
      </c>
      <c r="M17" s="116">
        <f>IFERROR(IF(d_ss_Bv!M17=0,".",((Ir*F*d_ss_Bv!M17*(1-EXP(-RadSpec!AX17*t_b)))/(P*RadSpec!AX17))),".")</f>
        <v>2.8597128609880826</v>
      </c>
      <c r="N17" s="116">
        <f>IFERROR(IF(d_ss_Bv!N17=0,".",((Ir*F*d_ss_Bv!N17*(1-EXP(-RadSpec!AX17*t_b)))/(P*RadSpec!AX17))),".")</f>
        <v>0.18945597704046047</v>
      </c>
      <c r="O17" s="116">
        <f>IFERROR(IF(d_ss_Bv!O17=0,".",((Ir*F*d_ss_Bv!O17*(1-EXP(-RadSpec!AX17*t_b)))/(P*RadSpec!AX17))),".")</f>
        <v>0.53619616143526549</v>
      </c>
      <c r="P17" s="116">
        <f>IFERROR(IF(d_ss_Bv!P17=0,".",((Ir*F*d_ss_Bv!P17*(1-EXP(-RadSpec!AX17*t_b)))/(P*RadSpec!AX17))),".")</f>
        <v>0.53619616143526549</v>
      </c>
      <c r="Q17" s="116">
        <f>IFERROR(IF(d_ss_Bv!Q17=0,".",((Ir*F*d_ss_Bv!Q17*(1-EXP(-RadSpec!AX17*t_b)))/(P*RadSpec!AX17))),".")</f>
        <v>0.35746410762351033</v>
      </c>
      <c r="R17" s="116">
        <f>IFERROR(IF(d_ss_Bv!R17=0,".",((Ir*F*d_ss_Bv!R17*(1-EXP(-RadSpec!AX17*t_b)))/(P*RadSpec!AX17))),".")</f>
        <v>0.35746410762351033</v>
      </c>
      <c r="S17" s="116">
        <f>IFERROR(IF(d_ss_Bv!S17=0,".",((Ir*F*d_ss_Bv!S17*(1-EXP(-RadSpec!AX17*t_b)))/(P*RadSpec!AX17))),".")</f>
        <v>0.18945597704046047</v>
      </c>
      <c r="T17" s="116">
        <f>IFERROR(IF(d_ss_Bv!T17=0,".",((Ir*F*d_ss_Bv!T17*(1-EXP(-RadSpec!AX17*t_b)))/(P*RadSpec!AX17))),".")</f>
        <v>5.361961614352654E-2</v>
      </c>
      <c r="U17" s="116">
        <f>IFERROR(IF(d_ss_Bv!U17=0,".",((Ir*F*d_ss_Bv!U17*(1-EXP(-RadSpec!AX17*t_b)))/(P*RadSpec!AX17))),".")</f>
        <v>0.53619616143526549</v>
      </c>
      <c r="V17" s="116">
        <f>IFERROR(IF(d_ss_Bv!V17=0,".",((Ir*F*d_ss_Bv!V17*(1-EXP(-RadSpec!AX17*t_b)))/(P*RadSpec!AX17))),".")</f>
        <v>0.18945597704046047</v>
      </c>
      <c r="W17" s="116">
        <f>IFERROR(IF(d_ss_Bv!W17=0,".",((Ir*F*d_ss_Bv!W17*(1-EXP(-RadSpec!AX17*t_b)))/(P*RadSpec!AX17))),".")</f>
        <v>0.35746410762351033</v>
      </c>
      <c r="X17" s="116">
        <f>IFERROR(IF(d_ss_Bv!X17=0,".",((Ir*F*d_ss_Bv!X17*(1-EXP(-RadSpec!AX17*t_b)))/(P*RadSpec!AX17))),".")</f>
        <v>0.53619616143526549</v>
      </c>
      <c r="Y17" s="116">
        <f>IFERROR(IF(d_ss_Bv!Y17=0,".",((Ir*F*d_ss_Bv!Y17*(1-EXP(-RadSpec!AX17*t_b)))/(P*RadSpec!AX17))),".")</f>
        <v>1.0366459121081799E-2</v>
      </c>
      <c r="Z17" s="116">
        <f>IFERROR(IF(d_ss_Bv!Z17=0,".",((Ir*F*d_ss_Bv!Z17*(1-EXP(-RadSpec!AX17*t_b)))/(P*RadSpec!AX17))),".")</f>
        <v>0.39321051838586135</v>
      </c>
      <c r="AA17" s="116">
        <f>IFERROR(IF(d_ss_Bv!C17=0,".",((Ir*F*MLF_apple*(1-EXP(-RadSpec!AX17*t_b)))/(P*RadSpec!AX17))),".")</f>
        <v>5.7194257219761657E-3</v>
      </c>
      <c r="AB17" s="116">
        <f>IFERROR(IF(d_ss_Bv!D17=0,".",((Ir*F*MLF_asparagus*(1-EXP(-RadSpec!AX17*t_b)))/(P*RadSpec!AX17))),".")</f>
        <v>2.8239664502257315E-3</v>
      </c>
      <c r="AC17" s="116">
        <f>IFERROR(IF(d_ss_Bv!E17=0,".",((Ir*F*MLF_beet*(1-EXP(-RadSpec!AX17*t_b)))/(P*RadSpec!AX17))),".")</f>
        <v>4.9330046852044422E-3</v>
      </c>
      <c r="AD17" s="116">
        <f>IFERROR(IF(d_ss_Bv!F17=0,".",((Ir*F*MLF_berries*(1-EXP(-RadSpec!AX17*t_b)))/(P*RadSpec!AX17))),".")</f>
        <v>5.9339041865502712E-3</v>
      </c>
      <c r="AE17" s="116">
        <f>IFERROR(IF(d_ss_Bv!G17=0,".",((Ir*F*MLF_broccoli*(1-EXP(-RadSpec!AX17*t_b)))/(P*RadSpec!AX17))),".")</f>
        <v>3.6103874869974538E-2</v>
      </c>
      <c r="AF17" s="116">
        <f>IFERROR(IF(d_ss_Bv!H17=0,".",((Ir*F*MLF_cabbage*(1-EXP(-RadSpec!AX17*t_b)))/(P*RadSpec!AX17))),".")</f>
        <v>3.7533731300468582E-3</v>
      </c>
      <c r="AG17" s="116">
        <f>IFERROR(IF(d_ss_Bv!I17=0,".",((Ir*F*MLF_carrot*(1-EXP(-RadSpec!AX17*t_b)))/(P*RadSpec!AX17))),".")</f>
        <v>3.4674018439480501E-3</v>
      </c>
      <c r="AH17" s="116">
        <f>IFERROR(IF(d_ss_Bv!J17=0,".",((Ir*F*MLF_citrus*(1-EXP(-RadSpec!AX17*t_b)))/(P*RadSpec!AX17))),".")</f>
        <v>5.6121864896891112E-3</v>
      </c>
      <c r="AI17" s="116">
        <f>IFERROR(IF(d_ss_Bv!K17=0,".",((Ir*F*MLF_corn*(1-EXP(-RadSpec!AX17*t_b)))/(P*RadSpec!AX17))),".")</f>
        <v>5.1832295605408994E-3</v>
      </c>
      <c r="AJ17" s="116">
        <f>IFERROR(IF(d_ss_Bv!L17=0,".",((Ir*F*MLF_cucumber*(1-EXP(-RadSpec!AX17*t_b)))/(P*RadSpec!AX17))),".")</f>
        <v>1.4298564304940414E-3</v>
      </c>
      <c r="AK17" s="116">
        <f>IFERROR(IF(d_ss_Bv!M17=0,".",((Ir*F*MLF_lettuce*(1-EXP(-RadSpec!AX17*t_b)))/(P*RadSpec!AX17))),".")</f>
        <v>0.48257654529173893</v>
      </c>
      <c r="AL17" s="116">
        <f>IFERROR(IF(d_ss_Bv!N17=0,".",((Ir*F*MLF_lima_bean*(1-EXP(-RadSpec!AX17*t_b)))/(P*RadSpec!AX17))),".")</f>
        <v>0.13690875321980447</v>
      </c>
      <c r="AM17" s="116">
        <f>IFERROR(IF(d_ss_Bv!O17=0,".",((Ir*F*MLF_okra*(1-EXP(-RadSpec!AX17*t_b)))/(P*RadSpec!AX17))),".")</f>
        <v>2.8597128609880828E-3</v>
      </c>
      <c r="AN17" s="116">
        <f>IFERROR(IF(d_ss_Bv!P17=0,".",((Ir*F*MLF_onion*(1-EXP(-RadSpec!AX17*t_b)))/(P*RadSpec!AX17))),".")</f>
        <v>3.4674018439480501E-3</v>
      </c>
      <c r="AO17" s="116">
        <f>IFERROR(IF(d_ss_Bv!Q17=0,".",((Ir*F*MLF_peach*(1-EXP(-RadSpec!AX17*t_b)))/(P*RadSpec!AX17))),".")</f>
        <v>5.361961614352654E-3</v>
      </c>
      <c r="AP17" s="116" t="str">
        <f>IFERROR(IF(d_ss_Bv!OI17=0,".",((Ir*F*MLF_pear*(1-EXP(-RadSpec!AX17*t_b)))/(P*RadSpec!AX17))),".")</f>
        <v>.</v>
      </c>
      <c r="AQ17" s="116">
        <f>IFERROR(IF(d_ss_Bv!S17=0,".",((Ir*F*MLF_peas*(1-EXP(-RadSpec!AX17*t_b)))/(P*RadSpec!AX17))),".")</f>
        <v>6.3628611156984829E-3</v>
      </c>
      <c r="AR17" s="116">
        <f>IFERROR(IF(d_ss_Bv!T17=0,".",((Ir*F*MLF_potato*(1-EXP(-RadSpec!AX17*t_b)))/(P*RadSpec!AX17))),".")</f>
        <v>7.5067462600937164E-3</v>
      </c>
      <c r="AS17" s="116">
        <f>IFERROR(IF(d_ss_Bv!U17=0,".",((Ir*F*MLF_pumpkin*(1-EXP(-RadSpec!AX17*t_b)))/(P*RadSpec!AX17))),".")</f>
        <v>2.0732918242163598E-3</v>
      </c>
      <c r="AT17" s="116">
        <f>IFERROR(IF(d_ss_Bv!V17=0,".",((Ir*F*MLF_snap_bean*(1-EXP(-RadSpec!AX17*t_b)))/(P*RadSpec!AX17))),".")</f>
        <v>0.17873205381175516</v>
      </c>
      <c r="AU17" s="116">
        <f>IFERROR(IF(d_ss_Bv!W17=0,".",((Ir*F*MLF_strawberry*(1-EXP(-RadSpec!AX17*t_b)))/(P*RadSpec!AX17))),".")</f>
        <v>2.8597128609880828E-3</v>
      </c>
      <c r="AV17" s="116">
        <f>IFERROR(IF(d_ss_Bv!X17=0,".",((Ir*F*MLF_tomato*(1-EXP(-RadSpec!AX17*t_b)))/(P*RadSpec!AX17))),".")</f>
        <v>5.6836793112138136E-2</v>
      </c>
      <c r="AW17" s="116">
        <f>IFERROR(IF(d_ss_Bv!Y17=0,".",((Ir*F*MLF_rice*(1-EXP(-RadSpec!AX17*t_b)))/(P*RadSpec!AX17))),".")</f>
        <v>8.9366026905877582</v>
      </c>
      <c r="AX17" s="116">
        <f>IFERROR(IF(d_ss_Bv!Z17=0,".",((Ir*F*MLF_cereal*(1-EXP(-RadSpec!AX17*t_b)))/(P*RadSpec!AX17))),".")</f>
        <v>8.9366026905877582</v>
      </c>
      <c r="AY17" s="116">
        <f>IFERROR(IF(d_ss_Bv!C17=0,".",((Ir*F*I_f*T*(1-EXP(-RadSpec!AY17*t_v)))/(Y_v*RadSpec!AY17))),".")</f>
        <v>3.6424203206347228</v>
      </c>
      <c r="AZ17" s="116">
        <f>IFERROR(IF(d_ss_Bv!D17=0,".",((Ir*F*I_f*T*(1-EXP(-RadSpec!AY17*t_v)))/(Y_v*RadSpec!AY17))),".")</f>
        <v>3.6424203206347228</v>
      </c>
      <c r="BA17" s="116">
        <f>IFERROR(IF(d_ss_Bv!E17=0,".",((Ir*F*I_f*T*(1-EXP(-RadSpec!AY17*t_v)))/(Y_v*RadSpec!AY17))),".")</f>
        <v>3.6424203206347228</v>
      </c>
      <c r="BB17" s="116">
        <f>IFERROR(IF(d_ss_Bv!F17=0,".",((Ir*F*I_f*T*(1-EXP(-RadSpec!AY17*t_v)))/(Y_v*RadSpec!AY17))),".")</f>
        <v>3.6424203206347228</v>
      </c>
      <c r="BC17" s="116">
        <f>IFERROR(IF(d_ss_Bv!G17=0,".",((Ir*F*I_f*T*(1-EXP(-RadSpec!AY17*t_v)))/(Y_v*RadSpec!AY17))),".")</f>
        <v>3.6424203206347228</v>
      </c>
      <c r="BD17" s="116">
        <f>IFERROR(IF(d_ss_Bv!H17=0,".",((Ir*F*I_f*T*(1-EXP(-RadSpec!AY17*t_v)))/(Y_v*RadSpec!AY17))),".")</f>
        <v>3.6424203206347228</v>
      </c>
      <c r="BE17" s="116">
        <f>IFERROR(IF(d_ss_Bv!I17=0,".",((Ir*F*I_f*T*(1-EXP(-RadSpec!AY17*t_v)))/(Y_v*RadSpec!AY17))),".")</f>
        <v>3.6424203206347228</v>
      </c>
      <c r="BF17" s="116">
        <f>IFERROR(IF(d_ss_Bv!J17=0,".",((Ir*F*I_f*T*(1-EXP(-RadSpec!AY17*t_v)))/(Y_v*RadSpec!AY17))),".")</f>
        <v>3.6424203206347228</v>
      </c>
      <c r="BG17" s="116">
        <f>IFERROR(IF(d_ss_Bv!K17=0,".",((Ir*F*I_f*T*(1-EXP(-RadSpec!AY17*t_v)))/(Y_v*RadSpec!AY17))),".")</f>
        <v>3.6424203206347228</v>
      </c>
      <c r="BH17" s="116">
        <f>IFERROR(IF(d_ss_Bv!L17=0,".",((Ir*F*I_f*T*(1-EXP(-RadSpec!AY17*t_v)))/(Y_v*RadSpec!AY17))),".")</f>
        <v>3.6424203206347228</v>
      </c>
      <c r="BI17" s="116">
        <f>IFERROR(IF(d_ss_Bv!M17=0,".",((Ir*F*I_f*T*(1-EXP(-RadSpec!AY17*t_v)))/(Y_v*RadSpec!AY17))),".")</f>
        <v>3.6424203206347228</v>
      </c>
      <c r="BJ17" s="116">
        <f>IFERROR(IF(d_ss_Bv!N17=0,".",((Ir*F*I_f*T*(1-EXP(-RadSpec!AY17*t_v)))/(Y_v*RadSpec!AY17))),".")</f>
        <v>3.6424203206347228</v>
      </c>
      <c r="BK17" s="116">
        <f>IFERROR(IF(d_ss_Bv!O17=0,".",((Ir*F*I_f*T*(1-EXP(-RadSpec!AY17*t_v)))/(Y_v*RadSpec!AY17))),".")</f>
        <v>3.6424203206347228</v>
      </c>
      <c r="BL17" s="116">
        <f>IFERROR(IF(d_ss_Bv!P17=0,".",((Ir*F*I_f*T*(1-EXP(-RadSpec!AY17*t_v)))/(Y_v*RadSpec!AY17))),".")</f>
        <v>3.6424203206347228</v>
      </c>
      <c r="BM17" s="116">
        <f>IFERROR(IF(d_ss_Bv!Q17=0,".",((Ir*F*I_f*T*(1-EXP(-RadSpec!AY17*t_v)))/(Y_v*RadSpec!AY17))),".")</f>
        <v>3.6424203206347228</v>
      </c>
      <c r="BN17" s="116">
        <f>IFERROR(IF(d_ss_Bv!R17=0,".",((Ir*F*I_f*T*(1-EXP(-RadSpec!AY17*t_v)))/(Y_v*RadSpec!AY17))),".")</f>
        <v>3.6424203206347228</v>
      </c>
      <c r="BO17" s="116">
        <f>IFERROR(IF(d_ss_Bv!S17=0,".",((Ir*F*I_f*T*(1-EXP(-RadSpec!AY17*t_v)))/(Y_v*RadSpec!AY17))),".")</f>
        <v>3.6424203206347228</v>
      </c>
      <c r="BP17" s="116">
        <f>IFERROR(IF(d_ss_Bv!T17=0,".",((Ir*F*I_f*T*(1-EXP(-RadSpec!AY17*t_v)))/(Y_v*RadSpec!AY17))),".")</f>
        <v>3.6424203206347228</v>
      </c>
      <c r="BQ17" s="116">
        <f>IFERROR(IF(d_ss_Bv!U17=0,".",((Ir*F*I_f*T*(1-EXP(-RadSpec!AY17*t_v)))/(Y_v*RadSpec!AY17))),".")</f>
        <v>3.6424203206347228</v>
      </c>
      <c r="BR17" s="116">
        <f>IFERROR(IF(d_ss_Bv!V17=0,".",((Ir*F*I_f*T*(1-EXP(-RadSpec!AY17*t_v)))/(Y_v*RadSpec!AY17))),".")</f>
        <v>3.6424203206347228</v>
      </c>
      <c r="BS17" s="116">
        <f>IFERROR(IF(d_ss_Bv!W17=0,".",((Ir*F*I_f*T*(1-EXP(-RadSpec!AY17*t_v)))/(Y_v*RadSpec!AY17))),".")</f>
        <v>3.6424203206347228</v>
      </c>
      <c r="BT17" s="116">
        <f>IFERROR(IF(d_ss_Bv!X17=0,".",((Ir*F*I_f*T*(1-EXP(-RadSpec!AY17*t_v)))/(Y_v*RadSpec!AY17))),".")</f>
        <v>3.6424203206347228</v>
      </c>
      <c r="BU17" s="116">
        <f>IFERROR(IF(d_ss_Bv!Y17=0,".",((Ir*F*I_f*T*(1-EXP(-RadSpec!AY17*t_v)))/(Y_v*RadSpec!AY17))),".")</f>
        <v>3.6424203206347228</v>
      </c>
      <c r="BV17" s="116">
        <f>IFERROR(IF(d_ss_Bv!Z17=0,".",((Ir*F*I_f*T*(1-EXP(-RadSpec!AY17*t_v)))/(Y_v*RadSpec!AY17))),".")</f>
        <v>3.6424203206347228</v>
      </c>
    </row>
    <row r="18" spans="1:74" x14ac:dyDescent="0.25">
      <c r="A18" s="44" t="s">
        <v>28</v>
      </c>
      <c r="B18" s="42" t="s">
        <v>1074</v>
      </c>
      <c r="C18" s="116">
        <f>IFERROR(IF(d_ss_Bv!C18=0,".",((Ir*F*d_ss_Bv!C18*(1-EXP(-RadSpec!AX18*t_b)))/(P*RadSpec!AX18))),".")</f>
        <v>7.1492821524702065E-3</v>
      </c>
      <c r="D18" s="116">
        <f>IFERROR(IF(d_ss_Bv!D18=0,".",((Ir*F*d_ss_Bv!D18*(1-EXP(-RadSpec!AX18*t_b)))/(P*RadSpec!AX18))),".")</f>
        <v>0.26452343964139763</v>
      </c>
      <c r="E18" s="116">
        <f>IFERROR(IF(d_ss_Bv!E18=0,".",((Ir*F*d_ss_Bv!E18*(1-EXP(-RadSpec!AX18*t_b)))/(P*RadSpec!AX18))),".")</f>
        <v>0.20732918242163598</v>
      </c>
      <c r="F18" s="116">
        <f>IFERROR(IF(d_ss_Bv!F18=0,".",((Ir*F*d_ss_Bv!F18*(1-EXP(-RadSpec!AX18*t_b)))/(P*RadSpec!AX18))),".")</f>
        <v>7.1492821524702065E-3</v>
      </c>
      <c r="G18" s="116">
        <f>IFERROR(IF(d_ss_Bv!G18=0,".",((Ir*F*d_ss_Bv!G18*(1-EXP(-RadSpec!AX18*t_b)))/(P*RadSpec!AX18))),".")</f>
        <v>7.1492821524702065E-3</v>
      </c>
      <c r="H18" s="116">
        <f>IFERROR(IF(d_ss_Bv!H18=0,".",((Ir*F*d_ss_Bv!H18*(1-EXP(-RadSpec!AX18*t_b)))/(P*RadSpec!AX18))),".")</f>
        <v>0.26452343964139763</v>
      </c>
      <c r="I18" s="116">
        <f>IFERROR(IF(d_ss_Bv!I18=0,".",((Ir*F*d_ss_Bv!I18*(1-EXP(-RadSpec!AX18*t_b)))/(P*RadSpec!AX18))),".")</f>
        <v>0.20732918242163598</v>
      </c>
      <c r="J18" s="116">
        <f>IFERROR(IF(d_ss_Bv!J18=0,".",((Ir*F*d_ss_Bv!J18*(1-EXP(-RadSpec!AX18*t_b)))/(P*RadSpec!AX18))),".")</f>
        <v>7.1492821524702065E-3</v>
      </c>
      <c r="K18" s="116">
        <f>IFERROR(IF(d_ss_Bv!K18=0,".",((Ir*F*d_ss_Bv!K18*(1-EXP(-RadSpec!AX18*t_b)))/(P*RadSpec!AX18))),".")</f>
        <v>8.5791385829642481E-3</v>
      </c>
      <c r="L18" s="116">
        <f>IFERROR(IF(d_ss_Bv!L18=0,".",((Ir*F*d_ss_Bv!L18*(1-EXP(-RadSpec!AX18*t_b)))/(P*RadSpec!AX18))),".")</f>
        <v>7.1492821524702065E-3</v>
      </c>
      <c r="M18" s="116">
        <f>IFERROR(IF(d_ss_Bv!M18=0,".",((Ir*F*d_ss_Bv!M18*(1-EXP(-RadSpec!AX18*t_b)))/(P*RadSpec!AX18))),".")</f>
        <v>0.26452343964139763</v>
      </c>
      <c r="N18" s="116">
        <f>IFERROR(IF(d_ss_Bv!N18=0,".",((Ir*F*d_ss_Bv!N18*(1-EXP(-RadSpec!AX18*t_b)))/(P*RadSpec!AX18))),".")</f>
        <v>9.6515309058347772E-3</v>
      </c>
      <c r="O18" s="116">
        <f>IFERROR(IF(d_ss_Bv!O18=0,".",((Ir*F*d_ss_Bv!O18*(1-EXP(-RadSpec!AX18*t_b)))/(P*RadSpec!AX18))),".")</f>
        <v>7.1492821524702065E-3</v>
      </c>
      <c r="P18" s="116">
        <f>IFERROR(IF(d_ss_Bv!P18=0,".",((Ir*F*d_ss_Bv!P18*(1-EXP(-RadSpec!AX18*t_b)))/(P*RadSpec!AX18))),".")</f>
        <v>7.1492821524702065E-3</v>
      </c>
      <c r="Q18" s="116">
        <f>IFERROR(IF(d_ss_Bv!Q18=0,".",((Ir*F*d_ss_Bv!Q18*(1-EXP(-RadSpec!AX18*t_b)))/(P*RadSpec!AX18))),".")</f>
        <v>7.1492821524702065E-3</v>
      </c>
      <c r="R18" s="116">
        <f>IFERROR(IF(d_ss_Bv!R18=0,".",((Ir*F*d_ss_Bv!R18*(1-EXP(-RadSpec!AX18*t_b)))/(P*RadSpec!AX18))),".")</f>
        <v>7.1492821524702065E-3</v>
      </c>
      <c r="S18" s="116">
        <f>IFERROR(IF(d_ss_Bv!S18=0,".",((Ir*F*d_ss_Bv!S18*(1-EXP(-RadSpec!AX18*t_b)))/(P*RadSpec!AX18))),".")</f>
        <v>9.6515309058347772E-3</v>
      </c>
      <c r="T18" s="116">
        <f>IFERROR(IF(d_ss_Bv!T18=0,".",((Ir*F*d_ss_Bv!T18*(1-EXP(-RadSpec!AX18*t_b)))/(P*RadSpec!AX18))),".")</f>
        <v>9.6515309058347792E-2</v>
      </c>
      <c r="U18" s="116">
        <f>IFERROR(IF(d_ss_Bv!U18=0,".",((Ir*F*d_ss_Bv!U18*(1-EXP(-RadSpec!AX18*t_b)))/(P*RadSpec!AX18))),".")</f>
        <v>7.1492821524702065E-3</v>
      </c>
      <c r="V18" s="116">
        <f>IFERROR(IF(d_ss_Bv!V18=0,".",((Ir*F*d_ss_Bv!V18*(1-EXP(-RadSpec!AX18*t_b)))/(P*RadSpec!AX18))),".")</f>
        <v>9.6515309058347772E-3</v>
      </c>
      <c r="W18" s="116">
        <f>IFERROR(IF(d_ss_Bv!W18=0,".",((Ir*F*d_ss_Bv!W18*(1-EXP(-RadSpec!AX18*t_b)))/(P*RadSpec!AX18))),".")</f>
        <v>7.1492821524702065E-3</v>
      </c>
      <c r="X18" s="116">
        <f>IFERROR(IF(d_ss_Bv!X18=0,".",((Ir*F*d_ss_Bv!X18*(1-EXP(-RadSpec!AX18*t_b)))/(P*RadSpec!AX18))),".")</f>
        <v>7.1492821524702065E-3</v>
      </c>
      <c r="Y18" s="116">
        <f>IFERROR(IF(d_ss_Bv!Y18=0,".",((Ir*F*d_ss_Bv!Y18*(1-EXP(-RadSpec!AX18*t_b)))/(P*RadSpec!AX18))),".")</f>
        <v>0.4647033399105634</v>
      </c>
      <c r="Z18" s="116">
        <f>IFERROR(IF(d_ss_Bv!Z18=0,".",((Ir*F*d_ss_Bv!Z18*(1-EXP(-RadSpec!AX18*t_b)))/(P*RadSpec!AX18))),".")</f>
        <v>8.5791385829642481E-3</v>
      </c>
      <c r="AA18" s="116">
        <f>IFERROR(IF(d_ss_Bv!C18=0,".",((Ir*F*MLF_apple*(1-EXP(-RadSpec!AX18*t_b)))/(P*RadSpec!AX18))),".")</f>
        <v>5.7194257219761657E-3</v>
      </c>
      <c r="AB18" s="116">
        <f>IFERROR(IF(d_ss_Bv!D18=0,".",((Ir*F*MLF_asparagus*(1-EXP(-RadSpec!AX18*t_b)))/(P*RadSpec!AX18))),".")</f>
        <v>2.8239664502257315E-3</v>
      </c>
      <c r="AC18" s="116">
        <f>IFERROR(IF(d_ss_Bv!E18=0,".",((Ir*F*MLF_beet*(1-EXP(-RadSpec!AX18*t_b)))/(P*RadSpec!AX18))),".")</f>
        <v>4.9330046852044422E-3</v>
      </c>
      <c r="AD18" s="116">
        <f>IFERROR(IF(d_ss_Bv!F18=0,".",((Ir*F*MLF_berries*(1-EXP(-RadSpec!AX18*t_b)))/(P*RadSpec!AX18))),".")</f>
        <v>5.9339041865502712E-3</v>
      </c>
      <c r="AE18" s="116">
        <f>IFERROR(IF(d_ss_Bv!G18=0,".",((Ir*F*MLF_broccoli*(1-EXP(-RadSpec!AX18*t_b)))/(P*RadSpec!AX18))),".")</f>
        <v>3.6103874869974538E-2</v>
      </c>
      <c r="AF18" s="116">
        <f>IFERROR(IF(d_ss_Bv!H18=0,".",((Ir*F*MLF_cabbage*(1-EXP(-RadSpec!AX18*t_b)))/(P*RadSpec!AX18))),".")</f>
        <v>3.7533731300468582E-3</v>
      </c>
      <c r="AG18" s="116">
        <f>IFERROR(IF(d_ss_Bv!I18=0,".",((Ir*F*MLF_carrot*(1-EXP(-RadSpec!AX18*t_b)))/(P*RadSpec!AX18))),".")</f>
        <v>3.4674018439480501E-3</v>
      </c>
      <c r="AH18" s="116">
        <f>IFERROR(IF(d_ss_Bv!J18=0,".",((Ir*F*MLF_citrus*(1-EXP(-RadSpec!AX18*t_b)))/(P*RadSpec!AX18))),".")</f>
        <v>5.6121864896891112E-3</v>
      </c>
      <c r="AI18" s="116">
        <f>IFERROR(IF(d_ss_Bv!K18=0,".",((Ir*F*MLF_corn*(1-EXP(-RadSpec!AX18*t_b)))/(P*RadSpec!AX18))),".")</f>
        <v>5.1832295605408994E-3</v>
      </c>
      <c r="AJ18" s="116">
        <f>IFERROR(IF(d_ss_Bv!L18=0,".",((Ir*F*MLF_cucumber*(1-EXP(-RadSpec!AX18*t_b)))/(P*RadSpec!AX18))),".")</f>
        <v>1.4298564304940414E-3</v>
      </c>
      <c r="AK18" s="116">
        <f>IFERROR(IF(d_ss_Bv!M18=0,".",((Ir*F*MLF_lettuce*(1-EXP(-RadSpec!AX18*t_b)))/(P*RadSpec!AX18))),".")</f>
        <v>0.48257654529173893</v>
      </c>
      <c r="AL18" s="116">
        <f>IFERROR(IF(d_ss_Bv!N18=0,".",((Ir*F*MLF_lima_bean*(1-EXP(-RadSpec!AX18*t_b)))/(P*RadSpec!AX18))),".")</f>
        <v>0.13690875321980447</v>
      </c>
      <c r="AM18" s="116">
        <f>IFERROR(IF(d_ss_Bv!O18=0,".",((Ir*F*MLF_okra*(1-EXP(-RadSpec!AX18*t_b)))/(P*RadSpec!AX18))),".")</f>
        <v>2.8597128609880828E-3</v>
      </c>
      <c r="AN18" s="116">
        <f>IFERROR(IF(d_ss_Bv!P18=0,".",((Ir*F*MLF_onion*(1-EXP(-RadSpec!AX18*t_b)))/(P*RadSpec!AX18))),".")</f>
        <v>3.4674018439480501E-3</v>
      </c>
      <c r="AO18" s="116">
        <f>IFERROR(IF(d_ss_Bv!Q18=0,".",((Ir*F*MLF_peach*(1-EXP(-RadSpec!AX18*t_b)))/(P*RadSpec!AX18))),".")</f>
        <v>5.361961614352654E-3</v>
      </c>
      <c r="AP18" s="116" t="str">
        <f>IFERROR(IF(d_ss_Bv!OI18=0,".",((Ir*F*MLF_pear*(1-EXP(-RadSpec!AX18*t_b)))/(P*RadSpec!AX18))),".")</f>
        <v>.</v>
      </c>
      <c r="AQ18" s="116">
        <f>IFERROR(IF(d_ss_Bv!S18=0,".",((Ir*F*MLF_peas*(1-EXP(-RadSpec!AX18*t_b)))/(P*RadSpec!AX18))),".")</f>
        <v>6.3628611156984829E-3</v>
      </c>
      <c r="AR18" s="116">
        <f>IFERROR(IF(d_ss_Bv!T18=0,".",((Ir*F*MLF_potato*(1-EXP(-RadSpec!AX18*t_b)))/(P*RadSpec!AX18))),".")</f>
        <v>7.5067462600937164E-3</v>
      </c>
      <c r="AS18" s="116">
        <f>IFERROR(IF(d_ss_Bv!U18=0,".",((Ir*F*MLF_pumpkin*(1-EXP(-RadSpec!AX18*t_b)))/(P*RadSpec!AX18))),".")</f>
        <v>2.0732918242163598E-3</v>
      </c>
      <c r="AT18" s="116">
        <f>IFERROR(IF(d_ss_Bv!V18=0,".",((Ir*F*MLF_snap_bean*(1-EXP(-RadSpec!AX18*t_b)))/(P*RadSpec!AX18))),".")</f>
        <v>0.17873205381175516</v>
      </c>
      <c r="AU18" s="116">
        <f>IFERROR(IF(d_ss_Bv!W18=0,".",((Ir*F*MLF_strawberry*(1-EXP(-RadSpec!AX18*t_b)))/(P*RadSpec!AX18))),".")</f>
        <v>2.8597128609880828E-3</v>
      </c>
      <c r="AV18" s="116">
        <f>IFERROR(IF(d_ss_Bv!X18=0,".",((Ir*F*MLF_tomato*(1-EXP(-RadSpec!AX18*t_b)))/(P*RadSpec!AX18))),".")</f>
        <v>5.6836793112138136E-2</v>
      </c>
      <c r="AW18" s="116">
        <f>IFERROR(IF(d_ss_Bv!Y18=0,".",((Ir*F*MLF_rice*(1-EXP(-RadSpec!AX18*t_b)))/(P*RadSpec!AX18))),".")</f>
        <v>8.9366026905877582</v>
      </c>
      <c r="AX18" s="116">
        <f>IFERROR(IF(d_ss_Bv!Z18=0,".",((Ir*F*MLF_cereal*(1-EXP(-RadSpec!AX18*t_b)))/(P*RadSpec!AX18))),".")</f>
        <v>8.9366026905877582</v>
      </c>
      <c r="AY18" s="116">
        <f>IFERROR(IF(d_ss_Bv!C18=0,".",((Ir*F*I_f*T*(1-EXP(-RadSpec!AY18*t_v)))/(Y_v*RadSpec!AY18))),".")</f>
        <v>3.6424203206347228</v>
      </c>
      <c r="AZ18" s="116">
        <f>IFERROR(IF(d_ss_Bv!D18=0,".",((Ir*F*I_f*T*(1-EXP(-RadSpec!AY18*t_v)))/(Y_v*RadSpec!AY18))),".")</f>
        <v>3.6424203206347228</v>
      </c>
      <c r="BA18" s="116">
        <f>IFERROR(IF(d_ss_Bv!E18=0,".",((Ir*F*I_f*T*(1-EXP(-RadSpec!AY18*t_v)))/(Y_v*RadSpec!AY18))),".")</f>
        <v>3.6424203206347228</v>
      </c>
      <c r="BB18" s="116">
        <f>IFERROR(IF(d_ss_Bv!F18=0,".",((Ir*F*I_f*T*(1-EXP(-RadSpec!AY18*t_v)))/(Y_v*RadSpec!AY18))),".")</f>
        <v>3.6424203206347228</v>
      </c>
      <c r="BC18" s="116">
        <f>IFERROR(IF(d_ss_Bv!G18=0,".",((Ir*F*I_f*T*(1-EXP(-RadSpec!AY18*t_v)))/(Y_v*RadSpec!AY18))),".")</f>
        <v>3.6424203206347228</v>
      </c>
      <c r="BD18" s="116">
        <f>IFERROR(IF(d_ss_Bv!H18=0,".",((Ir*F*I_f*T*(1-EXP(-RadSpec!AY18*t_v)))/(Y_v*RadSpec!AY18))),".")</f>
        <v>3.6424203206347228</v>
      </c>
      <c r="BE18" s="116">
        <f>IFERROR(IF(d_ss_Bv!I18=0,".",((Ir*F*I_f*T*(1-EXP(-RadSpec!AY18*t_v)))/(Y_v*RadSpec!AY18))),".")</f>
        <v>3.6424203206347228</v>
      </c>
      <c r="BF18" s="116">
        <f>IFERROR(IF(d_ss_Bv!J18=0,".",((Ir*F*I_f*T*(1-EXP(-RadSpec!AY18*t_v)))/(Y_v*RadSpec!AY18))),".")</f>
        <v>3.6424203206347228</v>
      </c>
      <c r="BG18" s="116">
        <f>IFERROR(IF(d_ss_Bv!K18=0,".",((Ir*F*I_f*T*(1-EXP(-RadSpec!AY18*t_v)))/(Y_v*RadSpec!AY18))),".")</f>
        <v>3.6424203206347228</v>
      </c>
      <c r="BH18" s="116">
        <f>IFERROR(IF(d_ss_Bv!L18=0,".",((Ir*F*I_f*T*(1-EXP(-RadSpec!AY18*t_v)))/(Y_v*RadSpec!AY18))),".")</f>
        <v>3.6424203206347228</v>
      </c>
      <c r="BI18" s="116">
        <f>IFERROR(IF(d_ss_Bv!M18=0,".",((Ir*F*I_f*T*(1-EXP(-RadSpec!AY18*t_v)))/(Y_v*RadSpec!AY18))),".")</f>
        <v>3.6424203206347228</v>
      </c>
      <c r="BJ18" s="116">
        <f>IFERROR(IF(d_ss_Bv!N18=0,".",((Ir*F*I_f*T*(1-EXP(-RadSpec!AY18*t_v)))/(Y_v*RadSpec!AY18))),".")</f>
        <v>3.6424203206347228</v>
      </c>
      <c r="BK18" s="116">
        <f>IFERROR(IF(d_ss_Bv!O18=0,".",((Ir*F*I_f*T*(1-EXP(-RadSpec!AY18*t_v)))/(Y_v*RadSpec!AY18))),".")</f>
        <v>3.6424203206347228</v>
      </c>
      <c r="BL18" s="116">
        <f>IFERROR(IF(d_ss_Bv!P18=0,".",((Ir*F*I_f*T*(1-EXP(-RadSpec!AY18*t_v)))/(Y_v*RadSpec!AY18))),".")</f>
        <v>3.6424203206347228</v>
      </c>
      <c r="BM18" s="116">
        <f>IFERROR(IF(d_ss_Bv!Q18=0,".",((Ir*F*I_f*T*(1-EXP(-RadSpec!AY18*t_v)))/(Y_v*RadSpec!AY18))),".")</f>
        <v>3.6424203206347228</v>
      </c>
      <c r="BN18" s="116">
        <f>IFERROR(IF(d_ss_Bv!R18=0,".",((Ir*F*I_f*T*(1-EXP(-RadSpec!AY18*t_v)))/(Y_v*RadSpec!AY18))),".")</f>
        <v>3.6424203206347228</v>
      </c>
      <c r="BO18" s="116">
        <f>IFERROR(IF(d_ss_Bv!S18=0,".",((Ir*F*I_f*T*(1-EXP(-RadSpec!AY18*t_v)))/(Y_v*RadSpec!AY18))),".")</f>
        <v>3.6424203206347228</v>
      </c>
      <c r="BP18" s="116">
        <f>IFERROR(IF(d_ss_Bv!T18=0,".",((Ir*F*I_f*T*(1-EXP(-RadSpec!AY18*t_v)))/(Y_v*RadSpec!AY18))),".")</f>
        <v>3.6424203206347228</v>
      </c>
      <c r="BQ18" s="116">
        <f>IFERROR(IF(d_ss_Bv!U18=0,".",((Ir*F*I_f*T*(1-EXP(-RadSpec!AY18*t_v)))/(Y_v*RadSpec!AY18))),".")</f>
        <v>3.6424203206347228</v>
      </c>
      <c r="BR18" s="116">
        <f>IFERROR(IF(d_ss_Bv!V18=0,".",((Ir*F*I_f*T*(1-EXP(-RadSpec!AY18*t_v)))/(Y_v*RadSpec!AY18))),".")</f>
        <v>3.6424203206347228</v>
      </c>
      <c r="BS18" s="116">
        <f>IFERROR(IF(d_ss_Bv!W18=0,".",((Ir*F*I_f*T*(1-EXP(-RadSpec!AY18*t_v)))/(Y_v*RadSpec!AY18))),".")</f>
        <v>3.6424203206347228</v>
      </c>
      <c r="BT18" s="116">
        <f>IFERROR(IF(d_ss_Bv!X18=0,".",((Ir*F*I_f*T*(1-EXP(-RadSpec!AY18*t_v)))/(Y_v*RadSpec!AY18))),".")</f>
        <v>3.6424203206347228</v>
      </c>
      <c r="BU18" s="116">
        <f>IFERROR(IF(d_ss_Bv!Y18=0,".",((Ir*F*I_f*T*(1-EXP(-RadSpec!AY18*t_v)))/(Y_v*RadSpec!AY18))),".")</f>
        <v>3.6424203206347228</v>
      </c>
      <c r="BV18" s="116">
        <f>IFERROR(IF(d_ss_Bv!Z18=0,".",((Ir*F*I_f*T*(1-EXP(-RadSpec!AY18*t_v)))/(Y_v*RadSpec!AY18))),".")</f>
        <v>3.6424203206347228</v>
      </c>
    </row>
    <row r="19" spans="1:74" x14ac:dyDescent="0.25">
      <c r="A19" s="44" t="s">
        <v>29</v>
      </c>
      <c r="B19" s="42" t="s">
        <v>1074</v>
      </c>
      <c r="C19" s="116">
        <f>IFERROR(IF(d_ss_Bv!C19=0,".",((Ir*F*d_ss_Bv!C19*(1-EXP(-RadSpec!AX19*t_b)))/(P*RadSpec!AX19))),".")</f>
        <v>7.1492821524702065E-3</v>
      </c>
      <c r="D19" s="116">
        <f>IFERROR(IF(d_ss_Bv!D19=0,".",((Ir*F*d_ss_Bv!D19*(1-EXP(-RadSpec!AX19*t_b)))/(P*RadSpec!AX19))),".")</f>
        <v>0.26452343964139763</v>
      </c>
      <c r="E19" s="116">
        <f>IFERROR(IF(d_ss_Bv!E19=0,".",((Ir*F*d_ss_Bv!E19*(1-EXP(-RadSpec!AX19*t_b)))/(P*RadSpec!AX19))),".")</f>
        <v>0.20732918242163598</v>
      </c>
      <c r="F19" s="116">
        <f>IFERROR(IF(d_ss_Bv!F19=0,".",((Ir*F*d_ss_Bv!F19*(1-EXP(-RadSpec!AX19*t_b)))/(P*RadSpec!AX19))),".")</f>
        <v>7.1492821524702065E-3</v>
      </c>
      <c r="G19" s="116">
        <f>IFERROR(IF(d_ss_Bv!G19=0,".",((Ir*F*d_ss_Bv!G19*(1-EXP(-RadSpec!AX19*t_b)))/(P*RadSpec!AX19))),".")</f>
        <v>7.1492821524702065E-3</v>
      </c>
      <c r="H19" s="116">
        <f>IFERROR(IF(d_ss_Bv!H19=0,".",((Ir*F*d_ss_Bv!H19*(1-EXP(-RadSpec!AX19*t_b)))/(P*RadSpec!AX19))),".")</f>
        <v>0.26452343964139763</v>
      </c>
      <c r="I19" s="116">
        <f>IFERROR(IF(d_ss_Bv!I19=0,".",((Ir*F*d_ss_Bv!I19*(1-EXP(-RadSpec!AX19*t_b)))/(P*RadSpec!AX19))),".")</f>
        <v>0.20732918242163598</v>
      </c>
      <c r="J19" s="116">
        <f>IFERROR(IF(d_ss_Bv!J19=0,".",((Ir*F*d_ss_Bv!J19*(1-EXP(-RadSpec!AX19*t_b)))/(P*RadSpec!AX19))),".")</f>
        <v>7.1492821524702065E-3</v>
      </c>
      <c r="K19" s="116">
        <f>IFERROR(IF(d_ss_Bv!K19=0,".",((Ir*F*d_ss_Bv!K19*(1-EXP(-RadSpec!AX19*t_b)))/(P*RadSpec!AX19))),".")</f>
        <v>8.5791385829642481E-3</v>
      </c>
      <c r="L19" s="116">
        <f>IFERROR(IF(d_ss_Bv!L19=0,".",((Ir*F*d_ss_Bv!L19*(1-EXP(-RadSpec!AX19*t_b)))/(P*RadSpec!AX19))),".")</f>
        <v>7.1492821524702065E-3</v>
      </c>
      <c r="M19" s="116">
        <f>IFERROR(IF(d_ss_Bv!M19=0,".",((Ir*F*d_ss_Bv!M19*(1-EXP(-RadSpec!AX19*t_b)))/(P*RadSpec!AX19))),".")</f>
        <v>0.26452343964139763</v>
      </c>
      <c r="N19" s="116">
        <f>IFERROR(IF(d_ss_Bv!N19=0,".",((Ir*F*d_ss_Bv!N19*(1-EXP(-RadSpec!AX19*t_b)))/(P*RadSpec!AX19))),".")</f>
        <v>9.6515309058347772E-3</v>
      </c>
      <c r="O19" s="116">
        <f>IFERROR(IF(d_ss_Bv!O19=0,".",((Ir*F*d_ss_Bv!O19*(1-EXP(-RadSpec!AX19*t_b)))/(P*RadSpec!AX19))),".")</f>
        <v>7.1492821524702065E-3</v>
      </c>
      <c r="P19" s="116">
        <f>IFERROR(IF(d_ss_Bv!P19=0,".",((Ir*F*d_ss_Bv!P19*(1-EXP(-RadSpec!AX19*t_b)))/(P*RadSpec!AX19))),".")</f>
        <v>7.1492821524702065E-3</v>
      </c>
      <c r="Q19" s="116">
        <f>IFERROR(IF(d_ss_Bv!Q19=0,".",((Ir*F*d_ss_Bv!Q19*(1-EXP(-RadSpec!AX19*t_b)))/(P*RadSpec!AX19))),".")</f>
        <v>7.1492821524702065E-3</v>
      </c>
      <c r="R19" s="116">
        <f>IFERROR(IF(d_ss_Bv!R19=0,".",((Ir*F*d_ss_Bv!R19*(1-EXP(-RadSpec!AX19*t_b)))/(P*RadSpec!AX19))),".")</f>
        <v>7.1492821524702065E-3</v>
      </c>
      <c r="S19" s="116">
        <f>IFERROR(IF(d_ss_Bv!S19=0,".",((Ir*F*d_ss_Bv!S19*(1-EXP(-RadSpec!AX19*t_b)))/(P*RadSpec!AX19))),".")</f>
        <v>9.6515309058347772E-3</v>
      </c>
      <c r="T19" s="116">
        <f>IFERROR(IF(d_ss_Bv!T19=0,".",((Ir*F*d_ss_Bv!T19*(1-EXP(-RadSpec!AX19*t_b)))/(P*RadSpec!AX19))),".")</f>
        <v>9.6515309058347792E-2</v>
      </c>
      <c r="U19" s="116">
        <f>IFERROR(IF(d_ss_Bv!U19=0,".",((Ir*F*d_ss_Bv!U19*(1-EXP(-RadSpec!AX19*t_b)))/(P*RadSpec!AX19))),".")</f>
        <v>7.1492821524702065E-3</v>
      </c>
      <c r="V19" s="116">
        <f>IFERROR(IF(d_ss_Bv!V19=0,".",((Ir*F*d_ss_Bv!V19*(1-EXP(-RadSpec!AX19*t_b)))/(P*RadSpec!AX19))),".")</f>
        <v>9.6515309058347772E-3</v>
      </c>
      <c r="W19" s="116">
        <f>IFERROR(IF(d_ss_Bv!W19=0,".",((Ir*F*d_ss_Bv!W19*(1-EXP(-RadSpec!AX19*t_b)))/(P*RadSpec!AX19))),".")</f>
        <v>7.1492821524702065E-3</v>
      </c>
      <c r="X19" s="116">
        <f>IFERROR(IF(d_ss_Bv!X19=0,".",((Ir*F*d_ss_Bv!X19*(1-EXP(-RadSpec!AX19*t_b)))/(P*RadSpec!AX19))),".")</f>
        <v>7.1492821524702065E-3</v>
      </c>
      <c r="Y19" s="116">
        <f>IFERROR(IF(d_ss_Bv!Y19=0,".",((Ir*F*d_ss_Bv!Y19*(1-EXP(-RadSpec!AX19*t_b)))/(P*RadSpec!AX19))),".")</f>
        <v>0.4647033399105634</v>
      </c>
      <c r="Z19" s="116">
        <f>IFERROR(IF(d_ss_Bv!Z19=0,".",((Ir*F*d_ss_Bv!Z19*(1-EXP(-RadSpec!AX19*t_b)))/(P*RadSpec!AX19))),".")</f>
        <v>8.5791385829642481E-3</v>
      </c>
      <c r="AA19" s="116">
        <f>IFERROR(IF(d_ss_Bv!C19=0,".",((Ir*F*MLF_apple*(1-EXP(-RadSpec!AX19*t_b)))/(P*RadSpec!AX19))),".")</f>
        <v>5.7194257219761657E-3</v>
      </c>
      <c r="AB19" s="116">
        <f>IFERROR(IF(d_ss_Bv!D19=0,".",((Ir*F*MLF_asparagus*(1-EXP(-RadSpec!AX19*t_b)))/(P*RadSpec!AX19))),".")</f>
        <v>2.8239664502257315E-3</v>
      </c>
      <c r="AC19" s="116">
        <f>IFERROR(IF(d_ss_Bv!E19=0,".",((Ir*F*MLF_beet*(1-EXP(-RadSpec!AX19*t_b)))/(P*RadSpec!AX19))),".")</f>
        <v>4.9330046852044422E-3</v>
      </c>
      <c r="AD19" s="116">
        <f>IFERROR(IF(d_ss_Bv!F19=0,".",((Ir*F*MLF_berries*(1-EXP(-RadSpec!AX19*t_b)))/(P*RadSpec!AX19))),".")</f>
        <v>5.9339041865502712E-3</v>
      </c>
      <c r="AE19" s="116">
        <f>IFERROR(IF(d_ss_Bv!G19=0,".",((Ir*F*MLF_broccoli*(1-EXP(-RadSpec!AX19*t_b)))/(P*RadSpec!AX19))),".")</f>
        <v>3.6103874869974538E-2</v>
      </c>
      <c r="AF19" s="116">
        <f>IFERROR(IF(d_ss_Bv!H19=0,".",((Ir*F*MLF_cabbage*(1-EXP(-RadSpec!AX19*t_b)))/(P*RadSpec!AX19))),".")</f>
        <v>3.7533731300468582E-3</v>
      </c>
      <c r="AG19" s="116">
        <f>IFERROR(IF(d_ss_Bv!I19=0,".",((Ir*F*MLF_carrot*(1-EXP(-RadSpec!AX19*t_b)))/(P*RadSpec!AX19))),".")</f>
        <v>3.4674018439480501E-3</v>
      </c>
      <c r="AH19" s="116">
        <f>IFERROR(IF(d_ss_Bv!J19=0,".",((Ir*F*MLF_citrus*(1-EXP(-RadSpec!AX19*t_b)))/(P*RadSpec!AX19))),".")</f>
        <v>5.6121864896891112E-3</v>
      </c>
      <c r="AI19" s="116">
        <f>IFERROR(IF(d_ss_Bv!K19=0,".",((Ir*F*MLF_corn*(1-EXP(-RadSpec!AX19*t_b)))/(P*RadSpec!AX19))),".")</f>
        <v>5.1832295605408994E-3</v>
      </c>
      <c r="AJ19" s="116">
        <f>IFERROR(IF(d_ss_Bv!L19=0,".",((Ir*F*MLF_cucumber*(1-EXP(-RadSpec!AX19*t_b)))/(P*RadSpec!AX19))),".")</f>
        <v>1.4298564304940414E-3</v>
      </c>
      <c r="AK19" s="116">
        <f>IFERROR(IF(d_ss_Bv!M19=0,".",((Ir*F*MLF_lettuce*(1-EXP(-RadSpec!AX19*t_b)))/(P*RadSpec!AX19))),".")</f>
        <v>0.48257654529173893</v>
      </c>
      <c r="AL19" s="116">
        <f>IFERROR(IF(d_ss_Bv!N19=0,".",((Ir*F*MLF_lima_bean*(1-EXP(-RadSpec!AX19*t_b)))/(P*RadSpec!AX19))),".")</f>
        <v>0.13690875321980447</v>
      </c>
      <c r="AM19" s="116">
        <f>IFERROR(IF(d_ss_Bv!O19=0,".",((Ir*F*MLF_okra*(1-EXP(-RadSpec!AX19*t_b)))/(P*RadSpec!AX19))),".")</f>
        <v>2.8597128609880828E-3</v>
      </c>
      <c r="AN19" s="116">
        <f>IFERROR(IF(d_ss_Bv!P19=0,".",((Ir*F*MLF_onion*(1-EXP(-RadSpec!AX19*t_b)))/(P*RadSpec!AX19))),".")</f>
        <v>3.4674018439480501E-3</v>
      </c>
      <c r="AO19" s="116">
        <f>IFERROR(IF(d_ss_Bv!Q19=0,".",((Ir*F*MLF_peach*(1-EXP(-RadSpec!AX19*t_b)))/(P*RadSpec!AX19))),".")</f>
        <v>5.361961614352654E-3</v>
      </c>
      <c r="AP19" s="116" t="str">
        <f>IFERROR(IF(d_ss_Bv!OI19=0,".",((Ir*F*MLF_pear*(1-EXP(-RadSpec!AX19*t_b)))/(P*RadSpec!AX19))),".")</f>
        <v>.</v>
      </c>
      <c r="AQ19" s="116">
        <f>IFERROR(IF(d_ss_Bv!S19=0,".",((Ir*F*MLF_peas*(1-EXP(-RadSpec!AX19*t_b)))/(P*RadSpec!AX19))),".")</f>
        <v>6.3628611156984829E-3</v>
      </c>
      <c r="AR19" s="116">
        <f>IFERROR(IF(d_ss_Bv!T19=0,".",((Ir*F*MLF_potato*(1-EXP(-RadSpec!AX19*t_b)))/(P*RadSpec!AX19))),".")</f>
        <v>7.5067462600937164E-3</v>
      </c>
      <c r="AS19" s="116">
        <f>IFERROR(IF(d_ss_Bv!U19=0,".",((Ir*F*MLF_pumpkin*(1-EXP(-RadSpec!AX19*t_b)))/(P*RadSpec!AX19))),".")</f>
        <v>2.0732918242163598E-3</v>
      </c>
      <c r="AT19" s="116">
        <f>IFERROR(IF(d_ss_Bv!V19=0,".",((Ir*F*MLF_snap_bean*(1-EXP(-RadSpec!AX19*t_b)))/(P*RadSpec!AX19))),".")</f>
        <v>0.17873205381175516</v>
      </c>
      <c r="AU19" s="116">
        <f>IFERROR(IF(d_ss_Bv!W19=0,".",((Ir*F*MLF_strawberry*(1-EXP(-RadSpec!AX19*t_b)))/(P*RadSpec!AX19))),".")</f>
        <v>2.8597128609880828E-3</v>
      </c>
      <c r="AV19" s="116">
        <f>IFERROR(IF(d_ss_Bv!X19=0,".",((Ir*F*MLF_tomato*(1-EXP(-RadSpec!AX19*t_b)))/(P*RadSpec!AX19))),".")</f>
        <v>5.6836793112138136E-2</v>
      </c>
      <c r="AW19" s="116">
        <f>IFERROR(IF(d_ss_Bv!Y19=0,".",((Ir*F*MLF_rice*(1-EXP(-RadSpec!AX19*t_b)))/(P*RadSpec!AX19))),".")</f>
        <v>8.9366026905877582</v>
      </c>
      <c r="AX19" s="116">
        <f>IFERROR(IF(d_ss_Bv!Z19=0,".",((Ir*F*MLF_cereal*(1-EXP(-RadSpec!AX19*t_b)))/(P*RadSpec!AX19))),".")</f>
        <v>8.9366026905877582</v>
      </c>
      <c r="AY19" s="116">
        <f>IFERROR(IF(d_ss_Bv!C19=0,".",((Ir*F*I_f*T*(1-EXP(-RadSpec!AY19*t_v)))/(Y_v*RadSpec!AY19))),".")</f>
        <v>3.6424203206347228</v>
      </c>
      <c r="AZ19" s="116">
        <f>IFERROR(IF(d_ss_Bv!D19=0,".",((Ir*F*I_f*T*(1-EXP(-RadSpec!AY19*t_v)))/(Y_v*RadSpec!AY19))),".")</f>
        <v>3.6424203206347228</v>
      </c>
      <c r="BA19" s="116">
        <f>IFERROR(IF(d_ss_Bv!E19=0,".",((Ir*F*I_f*T*(1-EXP(-RadSpec!AY19*t_v)))/(Y_v*RadSpec!AY19))),".")</f>
        <v>3.6424203206347228</v>
      </c>
      <c r="BB19" s="116">
        <f>IFERROR(IF(d_ss_Bv!F19=0,".",((Ir*F*I_f*T*(1-EXP(-RadSpec!AY19*t_v)))/(Y_v*RadSpec!AY19))),".")</f>
        <v>3.6424203206347228</v>
      </c>
      <c r="BC19" s="116">
        <f>IFERROR(IF(d_ss_Bv!G19=0,".",((Ir*F*I_f*T*(1-EXP(-RadSpec!AY19*t_v)))/(Y_v*RadSpec!AY19))),".")</f>
        <v>3.6424203206347228</v>
      </c>
      <c r="BD19" s="116">
        <f>IFERROR(IF(d_ss_Bv!H19=0,".",((Ir*F*I_f*T*(1-EXP(-RadSpec!AY19*t_v)))/(Y_v*RadSpec!AY19))),".")</f>
        <v>3.6424203206347228</v>
      </c>
      <c r="BE19" s="116">
        <f>IFERROR(IF(d_ss_Bv!I19=0,".",((Ir*F*I_f*T*(1-EXP(-RadSpec!AY19*t_v)))/(Y_v*RadSpec!AY19))),".")</f>
        <v>3.6424203206347228</v>
      </c>
      <c r="BF19" s="116">
        <f>IFERROR(IF(d_ss_Bv!J19=0,".",((Ir*F*I_f*T*(1-EXP(-RadSpec!AY19*t_v)))/(Y_v*RadSpec!AY19))),".")</f>
        <v>3.6424203206347228</v>
      </c>
      <c r="BG19" s="116">
        <f>IFERROR(IF(d_ss_Bv!K19=0,".",((Ir*F*I_f*T*(1-EXP(-RadSpec!AY19*t_v)))/(Y_v*RadSpec!AY19))),".")</f>
        <v>3.6424203206347228</v>
      </c>
      <c r="BH19" s="116">
        <f>IFERROR(IF(d_ss_Bv!L19=0,".",((Ir*F*I_f*T*(1-EXP(-RadSpec!AY19*t_v)))/(Y_v*RadSpec!AY19))),".")</f>
        <v>3.6424203206347228</v>
      </c>
      <c r="BI19" s="116">
        <f>IFERROR(IF(d_ss_Bv!M19=0,".",((Ir*F*I_f*T*(1-EXP(-RadSpec!AY19*t_v)))/(Y_v*RadSpec!AY19))),".")</f>
        <v>3.6424203206347228</v>
      </c>
      <c r="BJ19" s="116">
        <f>IFERROR(IF(d_ss_Bv!N19=0,".",((Ir*F*I_f*T*(1-EXP(-RadSpec!AY19*t_v)))/(Y_v*RadSpec!AY19))),".")</f>
        <v>3.6424203206347228</v>
      </c>
      <c r="BK19" s="116">
        <f>IFERROR(IF(d_ss_Bv!O19=0,".",((Ir*F*I_f*T*(1-EXP(-RadSpec!AY19*t_v)))/(Y_v*RadSpec!AY19))),".")</f>
        <v>3.6424203206347228</v>
      </c>
      <c r="BL19" s="116">
        <f>IFERROR(IF(d_ss_Bv!P19=0,".",((Ir*F*I_f*T*(1-EXP(-RadSpec!AY19*t_v)))/(Y_v*RadSpec!AY19))),".")</f>
        <v>3.6424203206347228</v>
      </c>
      <c r="BM19" s="116">
        <f>IFERROR(IF(d_ss_Bv!Q19=0,".",((Ir*F*I_f*T*(1-EXP(-RadSpec!AY19*t_v)))/(Y_v*RadSpec!AY19))),".")</f>
        <v>3.6424203206347228</v>
      </c>
      <c r="BN19" s="116">
        <f>IFERROR(IF(d_ss_Bv!R19=0,".",((Ir*F*I_f*T*(1-EXP(-RadSpec!AY19*t_v)))/(Y_v*RadSpec!AY19))),".")</f>
        <v>3.6424203206347228</v>
      </c>
      <c r="BO19" s="116">
        <f>IFERROR(IF(d_ss_Bv!S19=0,".",((Ir*F*I_f*T*(1-EXP(-RadSpec!AY19*t_v)))/(Y_v*RadSpec!AY19))),".")</f>
        <v>3.6424203206347228</v>
      </c>
      <c r="BP19" s="116">
        <f>IFERROR(IF(d_ss_Bv!T19=0,".",((Ir*F*I_f*T*(1-EXP(-RadSpec!AY19*t_v)))/(Y_v*RadSpec!AY19))),".")</f>
        <v>3.6424203206347228</v>
      </c>
      <c r="BQ19" s="116">
        <f>IFERROR(IF(d_ss_Bv!U19=0,".",((Ir*F*I_f*T*(1-EXP(-RadSpec!AY19*t_v)))/(Y_v*RadSpec!AY19))),".")</f>
        <v>3.6424203206347228</v>
      </c>
      <c r="BR19" s="116">
        <f>IFERROR(IF(d_ss_Bv!V19=0,".",((Ir*F*I_f*T*(1-EXP(-RadSpec!AY19*t_v)))/(Y_v*RadSpec!AY19))),".")</f>
        <v>3.6424203206347228</v>
      </c>
      <c r="BS19" s="116">
        <f>IFERROR(IF(d_ss_Bv!W19=0,".",((Ir*F*I_f*T*(1-EXP(-RadSpec!AY19*t_v)))/(Y_v*RadSpec!AY19))),".")</f>
        <v>3.6424203206347228</v>
      </c>
      <c r="BT19" s="116">
        <f>IFERROR(IF(d_ss_Bv!X19=0,".",((Ir*F*I_f*T*(1-EXP(-RadSpec!AY19*t_v)))/(Y_v*RadSpec!AY19))),".")</f>
        <v>3.6424203206347228</v>
      </c>
      <c r="BU19" s="116">
        <f>IFERROR(IF(d_ss_Bv!Y19=0,".",((Ir*F*I_f*T*(1-EXP(-RadSpec!AY19*t_v)))/(Y_v*RadSpec!AY19))),".")</f>
        <v>3.6424203206347228</v>
      </c>
      <c r="BV19" s="116">
        <f>IFERROR(IF(d_ss_Bv!Z19=0,".",((Ir*F*I_f*T*(1-EXP(-RadSpec!AY19*t_v)))/(Y_v*RadSpec!AY19))),".")</f>
        <v>3.6424203206347228</v>
      </c>
    </row>
    <row r="20" spans="1:74" x14ac:dyDescent="0.25">
      <c r="A20" s="44" t="s">
        <v>30</v>
      </c>
      <c r="B20" s="42" t="s">
        <v>1074</v>
      </c>
      <c r="C20" s="116">
        <f>IFERROR(IF(d_ss_Bv!C20=0,".",((Ir*F*d_ss_Bv!C20*(1-EXP(-RadSpec!AX20*t_b)))/(P*RadSpec!AX20))),".")</f>
        <v>7.1492821524702065E-3</v>
      </c>
      <c r="D20" s="116">
        <f>IFERROR(IF(d_ss_Bv!D20=0,".",((Ir*F*d_ss_Bv!D20*(1-EXP(-RadSpec!AX20*t_b)))/(P*RadSpec!AX20))),".")</f>
        <v>0.26452343964139763</v>
      </c>
      <c r="E20" s="116">
        <f>IFERROR(IF(d_ss_Bv!E20=0,".",((Ir*F*d_ss_Bv!E20*(1-EXP(-RadSpec!AX20*t_b)))/(P*RadSpec!AX20))),".")</f>
        <v>0.20732918242163598</v>
      </c>
      <c r="F20" s="116">
        <f>IFERROR(IF(d_ss_Bv!F20=0,".",((Ir*F*d_ss_Bv!F20*(1-EXP(-RadSpec!AX20*t_b)))/(P*RadSpec!AX20))),".")</f>
        <v>7.1492821524702065E-3</v>
      </c>
      <c r="G20" s="116">
        <f>IFERROR(IF(d_ss_Bv!G20=0,".",((Ir*F*d_ss_Bv!G20*(1-EXP(-RadSpec!AX20*t_b)))/(P*RadSpec!AX20))),".")</f>
        <v>7.1492821524702065E-3</v>
      </c>
      <c r="H20" s="116">
        <f>IFERROR(IF(d_ss_Bv!H20=0,".",((Ir*F*d_ss_Bv!H20*(1-EXP(-RadSpec!AX20*t_b)))/(P*RadSpec!AX20))),".")</f>
        <v>0.26452343964139763</v>
      </c>
      <c r="I20" s="116">
        <f>IFERROR(IF(d_ss_Bv!I20=0,".",((Ir*F*d_ss_Bv!I20*(1-EXP(-RadSpec!AX20*t_b)))/(P*RadSpec!AX20))),".")</f>
        <v>0.20732918242163598</v>
      </c>
      <c r="J20" s="116">
        <f>IFERROR(IF(d_ss_Bv!J20=0,".",((Ir*F*d_ss_Bv!J20*(1-EXP(-RadSpec!AX20*t_b)))/(P*RadSpec!AX20))),".")</f>
        <v>7.1492821524702065E-3</v>
      </c>
      <c r="K20" s="116">
        <f>IFERROR(IF(d_ss_Bv!K20=0,".",((Ir*F*d_ss_Bv!K20*(1-EXP(-RadSpec!AX20*t_b)))/(P*RadSpec!AX20))),".")</f>
        <v>8.5791385829642481E-3</v>
      </c>
      <c r="L20" s="116">
        <f>IFERROR(IF(d_ss_Bv!L20=0,".",((Ir*F*d_ss_Bv!L20*(1-EXP(-RadSpec!AX20*t_b)))/(P*RadSpec!AX20))),".")</f>
        <v>7.1492821524702065E-3</v>
      </c>
      <c r="M20" s="116">
        <f>IFERROR(IF(d_ss_Bv!M20=0,".",((Ir*F*d_ss_Bv!M20*(1-EXP(-RadSpec!AX20*t_b)))/(P*RadSpec!AX20))),".")</f>
        <v>0.26452343964139763</v>
      </c>
      <c r="N20" s="116">
        <f>IFERROR(IF(d_ss_Bv!N20=0,".",((Ir*F*d_ss_Bv!N20*(1-EXP(-RadSpec!AX20*t_b)))/(P*RadSpec!AX20))),".")</f>
        <v>9.6515309058347772E-3</v>
      </c>
      <c r="O20" s="116">
        <f>IFERROR(IF(d_ss_Bv!O20=0,".",((Ir*F*d_ss_Bv!O20*(1-EXP(-RadSpec!AX20*t_b)))/(P*RadSpec!AX20))),".")</f>
        <v>7.1492821524702065E-3</v>
      </c>
      <c r="P20" s="116">
        <f>IFERROR(IF(d_ss_Bv!P20=0,".",((Ir*F*d_ss_Bv!P20*(1-EXP(-RadSpec!AX20*t_b)))/(P*RadSpec!AX20))),".")</f>
        <v>7.1492821524702065E-3</v>
      </c>
      <c r="Q20" s="116">
        <f>IFERROR(IF(d_ss_Bv!Q20=0,".",((Ir*F*d_ss_Bv!Q20*(1-EXP(-RadSpec!AX20*t_b)))/(P*RadSpec!AX20))),".")</f>
        <v>7.1492821524702065E-3</v>
      </c>
      <c r="R20" s="116">
        <f>IFERROR(IF(d_ss_Bv!R20=0,".",((Ir*F*d_ss_Bv!R20*(1-EXP(-RadSpec!AX20*t_b)))/(P*RadSpec!AX20))),".")</f>
        <v>7.1492821524702065E-3</v>
      </c>
      <c r="S20" s="116">
        <f>IFERROR(IF(d_ss_Bv!S20=0,".",((Ir*F*d_ss_Bv!S20*(1-EXP(-RadSpec!AX20*t_b)))/(P*RadSpec!AX20))),".")</f>
        <v>9.6515309058347772E-3</v>
      </c>
      <c r="T20" s="116">
        <f>IFERROR(IF(d_ss_Bv!T20=0,".",((Ir*F*d_ss_Bv!T20*(1-EXP(-RadSpec!AX20*t_b)))/(P*RadSpec!AX20))),".")</f>
        <v>9.6515309058347792E-2</v>
      </c>
      <c r="U20" s="116">
        <f>IFERROR(IF(d_ss_Bv!U20=0,".",((Ir*F*d_ss_Bv!U20*(1-EXP(-RadSpec!AX20*t_b)))/(P*RadSpec!AX20))),".")</f>
        <v>7.1492821524702065E-3</v>
      </c>
      <c r="V20" s="116">
        <f>IFERROR(IF(d_ss_Bv!V20=0,".",((Ir*F*d_ss_Bv!V20*(1-EXP(-RadSpec!AX20*t_b)))/(P*RadSpec!AX20))),".")</f>
        <v>9.6515309058347772E-3</v>
      </c>
      <c r="W20" s="116">
        <f>IFERROR(IF(d_ss_Bv!W20=0,".",((Ir*F*d_ss_Bv!W20*(1-EXP(-RadSpec!AX20*t_b)))/(P*RadSpec!AX20))),".")</f>
        <v>7.1492821524702065E-3</v>
      </c>
      <c r="X20" s="116">
        <f>IFERROR(IF(d_ss_Bv!X20=0,".",((Ir*F*d_ss_Bv!X20*(1-EXP(-RadSpec!AX20*t_b)))/(P*RadSpec!AX20))),".")</f>
        <v>7.1492821524702065E-3</v>
      </c>
      <c r="Y20" s="116">
        <f>IFERROR(IF(d_ss_Bv!Y20=0,".",((Ir*F*d_ss_Bv!Y20*(1-EXP(-RadSpec!AX20*t_b)))/(P*RadSpec!AX20))),".")</f>
        <v>0.4647033399105634</v>
      </c>
      <c r="Z20" s="116">
        <f>IFERROR(IF(d_ss_Bv!Z20=0,".",((Ir*F*d_ss_Bv!Z20*(1-EXP(-RadSpec!AX20*t_b)))/(P*RadSpec!AX20))),".")</f>
        <v>8.5791385829642481E-3</v>
      </c>
      <c r="AA20" s="116">
        <f>IFERROR(IF(d_ss_Bv!C20=0,".",((Ir*F*MLF_apple*(1-EXP(-RadSpec!AX20*t_b)))/(P*RadSpec!AX20))),".")</f>
        <v>5.7194257219761657E-3</v>
      </c>
      <c r="AB20" s="116">
        <f>IFERROR(IF(d_ss_Bv!D20=0,".",((Ir*F*MLF_asparagus*(1-EXP(-RadSpec!AX20*t_b)))/(P*RadSpec!AX20))),".")</f>
        <v>2.8239664502257315E-3</v>
      </c>
      <c r="AC20" s="116">
        <f>IFERROR(IF(d_ss_Bv!E20=0,".",((Ir*F*MLF_beet*(1-EXP(-RadSpec!AX20*t_b)))/(P*RadSpec!AX20))),".")</f>
        <v>4.9330046852044422E-3</v>
      </c>
      <c r="AD20" s="116">
        <f>IFERROR(IF(d_ss_Bv!F20=0,".",((Ir*F*MLF_berries*(1-EXP(-RadSpec!AX20*t_b)))/(P*RadSpec!AX20))),".")</f>
        <v>5.9339041865502712E-3</v>
      </c>
      <c r="AE20" s="116">
        <f>IFERROR(IF(d_ss_Bv!G20=0,".",((Ir*F*MLF_broccoli*(1-EXP(-RadSpec!AX20*t_b)))/(P*RadSpec!AX20))),".")</f>
        <v>3.6103874869974538E-2</v>
      </c>
      <c r="AF20" s="116">
        <f>IFERROR(IF(d_ss_Bv!H20=0,".",((Ir*F*MLF_cabbage*(1-EXP(-RadSpec!AX20*t_b)))/(P*RadSpec!AX20))),".")</f>
        <v>3.7533731300468582E-3</v>
      </c>
      <c r="AG20" s="116">
        <f>IFERROR(IF(d_ss_Bv!I20=0,".",((Ir*F*MLF_carrot*(1-EXP(-RadSpec!AX20*t_b)))/(P*RadSpec!AX20))),".")</f>
        <v>3.4674018439480501E-3</v>
      </c>
      <c r="AH20" s="116">
        <f>IFERROR(IF(d_ss_Bv!J20=0,".",((Ir*F*MLF_citrus*(1-EXP(-RadSpec!AX20*t_b)))/(P*RadSpec!AX20))),".")</f>
        <v>5.6121864896891112E-3</v>
      </c>
      <c r="AI20" s="116">
        <f>IFERROR(IF(d_ss_Bv!K20=0,".",((Ir*F*MLF_corn*(1-EXP(-RadSpec!AX20*t_b)))/(P*RadSpec!AX20))),".")</f>
        <v>5.1832295605408994E-3</v>
      </c>
      <c r="AJ20" s="116">
        <f>IFERROR(IF(d_ss_Bv!L20=0,".",((Ir*F*MLF_cucumber*(1-EXP(-RadSpec!AX20*t_b)))/(P*RadSpec!AX20))),".")</f>
        <v>1.4298564304940414E-3</v>
      </c>
      <c r="AK20" s="116">
        <f>IFERROR(IF(d_ss_Bv!M20=0,".",((Ir*F*MLF_lettuce*(1-EXP(-RadSpec!AX20*t_b)))/(P*RadSpec!AX20))),".")</f>
        <v>0.48257654529173893</v>
      </c>
      <c r="AL20" s="116">
        <f>IFERROR(IF(d_ss_Bv!N20=0,".",((Ir*F*MLF_lima_bean*(1-EXP(-RadSpec!AX20*t_b)))/(P*RadSpec!AX20))),".")</f>
        <v>0.13690875321980447</v>
      </c>
      <c r="AM20" s="116">
        <f>IFERROR(IF(d_ss_Bv!O20=0,".",((Ir*F*MLF_okra*(1-EXP(-RadSpec!AX20*t_b)))/(P*RadSpec!AX20))),".")</f>
        <v>2.8597128609880828E-3</v>
      </c>
      <c r="AN20" s="116">
        <f>IFERROR(IF(d_ss_Bv!P20=0,".",((Ir*F*MLF_onion*(1-EXP(-RadSpec!AX20*t_b)))/(P*RadSpec!AX20))),".")</f>
        <v>3.4674018439480501E-3</v>
      </c>
      <c r="AO20" s="116">
        <f>IFERROR(IF(d_ss_Bv!Q20=0,".",((Ir*F*MLF_peach*(1-EXP(-RadSpec!AX20*t_b)))/(P*RadSpec!AX20))),".")</f>
        <v>5.361961614352654E-3</v>
      </c>
      <c r="AP20" s="116" t="str">
        <f>IFERROR(IF(d_ss_Bv!OI20=0,".",((Ir*F*MLF_pear*(1-EXP(-RadSpec!AX20*t_b)))/(P*RadSpec!AX20))),".")</f>
        <v>.</v>
      </c>
      <c r="AQ20" s="116">
        <f>IFERROR(IF(d_ss_Bv!S20=0,".",((Ir*F*MLF_peas*(1-EXP(-RadSpec!AX20*t_b)))/(P*RadSpec!AX20))),".")</f>
        <v>6.3628611156984829E-3</v>
      </c>
      <c r="AR20" s="116">
        <f>IFERROR(IF(d_ss_Bv!T20=0,".",((Ir*F*MLF_potato*(1-EXP(-RadSpec!AX20*t_b)))/(P*RadSpec!AX20))),".")</f>
        <v>7.5067462600937164E-3</v>
      </c>
      <c r="AS20" s="116">
        <f>IFERROR(IF(d_ss_Bv!U20=0,".",((Ir*F*MLF_pumpkin*(1-EXP(-RadSpec!AX20*t_b)))/(P*RadSpec!AX20))),".")</f>
        <v>2.0732918242163598E-3</v>
      </c>
      <c r="AT20" s="116">
        <f>IFERROR(IF(d_ss_Bv!V20=0,".",((Ir*F*MLF_snap_bean*(1-EXP(-RadSpec!AX20*t_b)))/(P*RadSpec!AX20))),".")</f>
        <v>0.17873205381175516</v>
      </c>
      <c r="AU20" s="116">
        <f>IFERROR(IF(d_ss_Bv!W20=0,".",((Ir*F*MLF_strawberry*(1-EXP(-RadSpec!AX20*t_b)))/(P*RadSpec!AX20))),".")</f>
        <v>2.8597128609880828E-3</v>
      </c>
      <c r="AV20" s="116">
        <f>IFERROR(IF(d_ss_Bv!X20=0,".",((Ir*F*MLF_tomato*(1-EXP(-RadSpec!AX20*t_b)))/(P*RadSpec!AX20))),".")</f>
        <v>5.6836793112138136E-2</v>
      </c>
      <c r="AW20" s="116">
        <f>IFERROR(IF(d_ss_Bv!Y20=0,".",((Ir*F*MLF_rice*(1-EXP(-RadSpec!AX20*t_b)))/(P*RadSpec!AX20))),".")</f>
        <v>8.9366026905877582</v>
      </c>
      <c r="AX20" s="116">
        <f>IFERROR(IF(d_ss_Bv!Z20=0,".",((Ir*F*MLF_cereal*(1-EXP(-RadSpec!AX20*t_b)))/(P*RadSpec!AX20))),".")</f>
        <v>8.9366026905877582</v>
      </c>
      <c r="AY20" s="116">
        <f>IFERROR(IF(d_ss_Bv!C20=0,".",((Ir*F*I_f*T*(1-EXP(-RadSpec!AY20*t_v)))/(Y_v*RadSpec!AY20))),".")</f>
        <v>3.6424203206347228</v>
      </c>
      <c r="AZ20" s="116">
        <f>IFERROR(IF(d_ss_Bv!D20=0,".",((Ir*F*I_f*T*(1-EXP(-RadSpec!AY20*t_v)))/(Y_v*RadSpec!AY20))),".")</f>
        <v>3.6424203206347228</v>
      </c>
      <c r="BA20" s="116">
        <f>IFERROR(IF(d_ss_Bv!E20=0,".",((Ir*F*I_f*T*(1-EXP(-RadSpec!AY20*t_v)))/(Y_v*RadSpec!AY20))),".")</f>
        <v>3.6424203206347228</v>
      </c>
      <c r="BB20" s="116">
        <f>IFERROR(IF(d_ss_Bv!F20=0,".",((Ir*F*I_f*T*(1-EXP(-RadSpec!AY20*t_v)))/(Y_v*RadSpec!AY20))),".")</f>
        <v>3.6424203206347228</v>
      </c>
      <c r="BC20" s="116">
        <f>IFERROR(IF(d_ss_Bv!G20=0,".",((Ir*F*I_f*T*(1-EXP(-RadSpec!AY20*t_v)))/(Y_v*RadSpec!AY20))),".")</f>
        <v>3.6424203206347228</v>
      </c>
      <c r="BD20" s="116">
        <f>IFERROR(IF(d_ss_Bv!H20=0,".",((Ir*F*I_f*T*(1-EXP(-RadSpec!AY20*t_v)))/(Y_v*RadSpec!AY20))),".")</f>
        <v>3.6424203206347228</v>
      </c>
      <c r="BE20" s="116">
        <f>IFERROR(IF(d_ss_Bv!I20=0,".",((Ir*F*I_f*T*(1-EXP(-RadSpec!AY20*t_v)))/(Y_v*RadSpec!AY20))),".")</f>
        <v>3.6424203206347228</v>
      </c>
      <c r="BF20" s="116">
        <f>IFERROR(IF(d_ss_Bv!J20=0,".",((Ir*F*I_f*T*(1-EXP(-RadSpec!AY20*t_v)))/(Y_v*RadSpec!AY20))),".")</f>
        <v>3.6424203206347228</v>
      </c>
      <c r="BG20" s="116">
        <f>IFERROR(IF(d_ss_Bv!K20=0,".",((Ir*F*I_f*T*(1-EXP(-RadSpec!AY20*t_v)))/(Y_v*RadSpec!AY20))),".")</f>
        <v>3.6424203206347228</v>
      </c>
      <c r="BH20" s="116">
        <f>IFERROR(IF(d_ss_Bv!L20=0,".",((Ir*F*I_f*T*(1-EXP(-RadSpec!AY20*t_v)))/(Y_v*RadSpec!AY20))),".")</f>
        <v>3.6424203206347228</v>
      </c>
      <c r="BI20" s="116">
        <f>IFERROR(IF(d_ss_Bv!M20=0,".",((Ir*F*I_f*T*(1-EXP(-RadSpec!AY20*t_v)))/(Y_v*RadSpec!AY20))),".")</f>
        <v>3.6424203206347228</v>
      </c>
      <c r="BJ20" s="116">
        <f>IFERROR(IF(d_ss_Bv!N20=0,".",((Ir*F*I_f*T*(1-EXP(-RadSpec!AY20*t_v)))/(Y_v*RadSpec!AY20))),".")</f>
        <v>3.6424203206347228</v>
      </c>
      <c r="BK20" s="116">
        <f>IFERROR(IF(d_ss_Bv!O20=0,".",((Ir*F*I_f*T*(1-EXP(-RadSpec!AY20*t_v)))/(Y_v*RadSpec!AY20))),".")</f>
        <v>3.6424203206347228</v>
      </c>
      <c r="BL20" s="116">
        <f>IFERROR(IF(d_ss_Bv!P20=0,".",((Ir*F*I_f*T*(1-EXP(-RadSpec!AY20*t_v)))/(Y_v*RadSpec!AY20))),".")</f>
        <v>3.6424203206347228</v>
      </c>
      <c r="BM20" s="116">
        <f>IFERROR(IF(d_ss_Bv!Q20=0,".",((Ir*F*I_f*T*(1-EXP(-RadSpec!AY20*t_v)))/(Y_v*RadSpec!AY20))),".")</f>
        <v>3.6424203206347228</v>
      </c>
      <c r="BN20" s="116">
        <f>IFERROR(IF(d_ss_Bv!R20=0,".",((Ir*F*I_f*T*(1-EXP(-RadSpec!AY20*t_v)))/(Y_v*RadSpec!AY20))),".")</f>
        <v>3.6424203206347228</v>
      </c>
      <c r="BO20" s="116">
        <f>IFERROR(IF(d_ss_Bv!S20=0,".",((Ir*F*I_f*T*(1-EXP(-RadSpec!AY20*t_v)))/(Y_v*RadSpec!AY20))),".")</f>
        <v>3.6424203206347228</v>
      </c>
      <c r="BP20" s="116">
        <f>IFERROR(IF(d_ss_Bv!T20=0,".",((Ir*F*I_f*T*(1-EXP(-RadSpec!AY20*t_v)))/(Y_v*RadSpec!AY20))),".")</f>
        <v>3.6424203206347228</v>
      </c>
      <c r="BQ20" s="116">
        <f>IFERROR(IF(d_ss_Bv!U20=0,".",((Ir*F*I_f*T*(1-EXP(-RadSpec!AY20*t_v)))/(Y_v*RadSpec!AY20))),".")</f>
        <v>3.6424203206347228</v>
      </c>
      <c r="BR20" s="116">
        <f>IFERROR(IF(d_ss_Bv!V20=0,".",((Ir*F*I_f*T*(1-EXP(-RadSpec!AY20*t_v)))/(Y_v*RadSpec!AY20))),".")</f>
        <v>3.6424203206347228</v>
      </c>
      <c r="BS20" s="116">
        <f>IFERROR(IF(d_ss_Bv!W20=0,".",((Ir*F*I_f*T*(1-EXP(-RadSpec!AY20*t_v)))/(Y_v*RadSpec!AY20))),".")</f>
        <v>3.6424203206347228</v>
      </c>
      <c r="BT20" s="116">
        <f>IFERROR(IF(d_ss_Bv!X20=0,".",((Ir*F*I_f*T*(1-EXP(-RadSpec!AY20*t_v)))/(Y_v*RadSpec!AY20))),".")</f>
        <v>3.6424203206347228</v>
      </c>
      <c r="BU20" s="116">
        <f>IFERROR(IF(d_ss_Bv!Y20=0,".",((Ir*F*I_f*T*(1-EXP(-RadSpec!AY20*t_v)))/(Y_v*RadSpec!AY20))),".")</f>
        <v>3.6424203206347228</v>
      </c>
      <c r="BV20" s="116">
        <f>IFERROR(IF(d_ss_Bv!Z20=0,".",((Ir*F*I_f*T*(1-EXP(-RadSpec!AY20*t_v)))/(Y_v*RadSpec!AY20))),".")</f>
        <v>3.6424203206347228</v>
      </c>
    </row>
    <row r="21" spans="1:74" x14ac:dyDescent="0.25">
      <c r="A21" s="44" t="s">
        <v>31</v>
      </c>
      <c r="B21" s="42" t="s">
        <v>1074</v>
      </c>
      <c r="C21" s="116">
        <f>IFERROR(IF(d_ss_Bv!C21=0,".",((Ir*F*d_ss_Bv!C21*(1-EXP(-RadSpec!AX21*t_b)))/(P*RadSpec!AX21))),".")</f>
        <v>7.1492821524702065E-3</v>
      </c>
      <c r="D21" s="116">
        <f>IFERROR(IF(d_ss_Bv!D21=0,".",((Ir*F*d_ss_Bv!D21*(1-EXP(-RadSpec!AX21*t_b)))/(P*RadSpec!AX21))),".")</f>
        <v>0.26452343964139763</v>
      </c>
      <c r="E21" s="116">
        <f>IFERROR(IF(d_ss_Bv!E21=0,".",((Ir*F*d_ss_Bv!E21*(1-EXP(-RadSpec!AX21*t_b)))/(P*RadSpec!AX21))),".")</f>
        <v>0.20732918242163598</v>
      </c>
      <c r="F21" s="116">
        <f>IFERROR(IF(d_ss_Bv!F21=0,".",((Ir*F*d_ss_Bv!F21*(1-EXP(-RadSpec!AX21*t_b)))/(P*RadSpec!AX21))),".")</f>
        <v>7.1492821524702065E-3</v>
      </c>
      <c r="G21" s="116">
        <f>IFERROR(IF(d_ss_Bv!G21=0,".",((Ir*F*d_ss_Bv!G21*(1-EXP(-RadSpec!AX21*t_b)))/(P*RadSpec!AX21))),".")</f>
        <v>7.1492821524702065E-3</v>
      </c>
      <c r="H21" s="116">
        <f>IFERROR(IF(d_ss_Bv!H21=0,".",((Ir*F*d_ss_Bv!H21*(1-EXP(-RadSpec!AX21*t_b)))/(P*RadSpec!AX21))),".")</f>
        <v>0.26452343964139763</v>
      </c>
      <c r="I21" s="116">
        <f>IFERROR(IF(d_ss_Bv!I21=0,".",((Ir*F*d_ss_Bv!I21*(1-EXP(-RadSpec!AX21*t_b)))/(P*RadSpec!AX21))),".")</f>
        <v>0.20732918242163598</v>
      </c>
      <c r="J21" s="116">
        <f>IFERROR(IF(d_ss_Bv!J21=0,".",((Ir*F*d_ss_Bv!J21*(1-EXP(-RadSpec!AX21*t_b)))/(P*RadSpec!AX21))),".")</f>
        <v>7.1492821524702065E-3</v>
      </c>
      <c r="K21" s="116">
        <f>IFERROR(IF(d_ss_Bv!K21=0,".",((Ir*F*d_ss_Bv!K21*(1-EXP(-RadSpec!AX21*t_b)))/(P*RadSpec!AX21))),".")</f>
        <v>8.5791385829642481E-3</v>
      </c>
      <c r="L21" s="116">
        <f>IFERROR(IF(d_ss_Bv!L21=0,".",((Ir*F*d_ss_Bv!L21*(1-EXP(-RadSpec!AX21*t_b)))/(P*RadSpec!AX21))),".")</f>
        <v>7.1492821524702065E-3</v>
      </c>
      <c r="M21" s="116">
        <f>IFERROR(IF(d_ss_Bv!M21=0,".",((Ir*F*d_ss_Bv!M21*(1-EXP(-RadSpec!AX21*t_b)))/(P*RadSpec!AX21))),".")</f>
        <v>0.26452343964139763</v>
      </c>
      <c r="N21" s="116">
        <f>IFERROR(IF(d_ss_Bv!N21=0,".",((Ir*F*d_ss_Bv!N21*(1-EXP(-RadSpec!AX21*t_b)))/(P*RadSpec!AX21))),".")</f>
        <v>9.6515309058347772E-3</v>
      </c>
      <c r="O21" s="116">
        <f>IFERROR(IF(d_ss_Bv!O21=0,".",((Ir*F*d_ss_Bv!O21*(1-EXP(-RadSpec!AX21*t_b)))/(P*RadSpec!AX21))),".")</f>
        <v>7.1492821524702065E-3</v>
      </c>
      <c r="P21" s="116">
        <f>IFERROR(IF(d_ss_Bv!P21=0,".",((Ir*F*d_ss_Bv!P21*(1-EXP(-RadSpec!AX21*t_b)))/(P*RadSpec!AX21))),".")</f>
        <v>7.1492821524702065E-3</v>
      </c>
      <c r="Q21" s="116">
        <f>IFERROR(IF(d_ss_Bv!Q21=0,".",((Ir*F*d_ss_Bv!Q21*(1-EXP(-RadSpec!AX21*t_b)))/(P*RadSpec!AX21))),".")</f>
        <v>7.1492821524702065E-3</v>
      </c>
      <c r="R21" s="116">
        <f>IFERROR(IF(d_ss_Bv!R21=0,".",((Ir*F*d_ss_Bv!R21*(1-EXP(-RadSpec!AX21*t_b)))/(P*RadSpec!AX21))),".")</f>
        <v>7.1492821524702065E-3</v>
      </c>
      <c r="S21" s="116">
        <f>IFERROR(IF(d_ss_Bv!S21=0,".",((Ir*F*d_ss_Bv!S21*(1-EXP(-RadSpec!AX21*t_b)))/(P*RadSpec!AX21))),".")</f>
        <v>9.6515309058347772E-3</v>
      </c>
      <c r="T21" s="116">
        <f>IFERROR(IF(d_ss_Bv!T21=0,".",((Ir*F*d_ss_Bv!T21*(1-EXP(-RadSpec!AX21*t_b)))/(P*RadSpec!AX21))),".")</f>
        <v>9.6515309058347792E-2</v>
      </c>
      <c r="U21" s="116">
        <f>IFERROR(IF(d_ss_Bv!U21=0,".",((Ir*F*d_ss_Bv!U21*(1-EXP(-RadSpec!AX21*t_b)))/(P*RadSpec!AX21))),".")</f>
        <v>7.1492821524702065E-3</v>
      </c>
      <c r="V21" s="116">
        <f>IFERROR(IF(d_ss_Bv!V21=0,".",((Ir*F*d_ss_Bv!V21*(1-EXP(-RadSpec!AX21*t_b)))/(P*RadSpec!AX21))),".")</f>
        <v>9.6515309058347772E-3</v>
      </c>
      <c r="W21" s="116">
        <f>IFERROR(IF(d_ss_Bv!W21=0,".",((Ir*F*d_ss_Bv!W21*(1-EXP(-RadSpec!AX21*t_b)))/(P*RadSpec!AX21))),".")</f>
        <v>7.1492821524702065E-3</v>
      </c>
      <c r="X21" s="116">
        <f>IFERROR(IF(d_ss_Bv!X21=0,".",((Ir*F*d_ss_Bv!X21*(1-EXP(-RadSpec!AX21*t_b)))/(P*RadSpec!AX21))),".")</f>
        <v>7.1492821524702065E-3</v>
      </c>
      <c r="Y21" s="116">
        <f>IFERROR(IF(d_ss_Bv!Y21=0,".",((Ir*F*d_ss_Bv!Y21*(1-EXP(-RadSpec!AX21*t_b)))/(P*RadSpec!AX21))),".")</f>
        <v>0.4647033399105634</v>
      </c>
      <c r="Z21" s="116">
        <f>IFERROR(IF(d_ss_Bv!Z21=0,".",((Ir*F*d_ss_Bv!Z21*(1-EXP(-RadSpec!AX21*t_b)))/(P*RadSpec!AX21))),".")</f>
        <v>8.5791385829642481E-3</v>
      </c>
      <c r="AA21" s="116">
        <f>IFERROR(IF(d_ss_Bv!C21=0,".",((Ir*F*MLF_apple*(1-EXP(-RadSpec!AX21*t_b)))/(P*RadSpec!AX21))),".")</f>
        <v>5.7194257219761657E-3</v>
      </c>
      <c r="AB21" s="116">
        <f>IFERROR(IF(d_ss_Bv!D21=0,".",((Ir*F*MLF_asparagus*(1-EXP(-RadSpec!AX21*t_b)))/(P*RadSpec!AX21))),".")</f>
        <v>2.8239664502257315E-3</v>
      </c>
      <c r="AC21" s="116">
        <f>IFERROR(IF(d_ss_Bv!E21=0,".",((Ir*F*MLF_beet*(1-EXP(-RadSpec!AX21*t_b)))/(P*RadSpec!AX21))),".")</f>
        <v>4.9330046852044422E-3</v>
      </c>
      <c r="AD21" s="116">
        <f>IFERROR(IF(d_ss_Bv!F21=0,".",((Ir*F*MLF_berries*(1-EXP(-RadSpec!AX21*t_b)))/(P*RadSpec!AX21))),".")</f>
        <v>5.9339041865502712E-3</v>
      </c>
      <c r="AE21" s="116">
        <f>IFERROR(IF(d_ss_Bv!G21=0,".",((Ir*F*MLF_broccoli*(1-EXP(-RadSpec!AX21*t_b)))/(P*RadSpec!AX21))),".")</f>
        <v>3.6103874869974538E-2</v>
      </c>
      <c r="AF21" s="116">
        <f>IFERROR(IF(d_ss_Bv!H21=0,".",((Ir*F*MLF_cabbage*(1-EXP(-RadSpec!AX21*t_b)))/(P*RadSpec!AX21))),".")</f>
        <v>3.7533731300468582E-3</v>
      </c>
      <c r="AG21" s="116">
        <f>IFERROR(IF(d_ss_Bv!I21=0,".",((Ir*F*MLF_carrot*(1-EXP(-RadSpec!AX21*t_b)))/(P*RadSpec!AX21))),".")</f>
        <v>3.4674018439480501E-3</v>
      </c>
      <c r="AH21" s="116">
        <f>IFERROR(IF(d_ss_Bv!J21=0,".",((Ir*F*MLF_citrus*(1-EXP(-RadSpec!AX21*t_b)))/(P*RadSpec!AX21))),".")</f>
        <v>5.6121864896891112E-3</v>
      </c>
      <c r="AI21" s="116">
        <f>IFERROR(IF(d_ss_Bv!K21=0,".",((Ir*F*MLF_corn*(1-EXP(-RadSpec!AX21*t_b)))/(P*RadSpec!AX21))),".")</f>
        <v>5.1832295605408994E-3</v>
      </c>
      <c r="AJ21" s="116">
        <f>IFERROR(IF(d_ss_Bv!L21=0,".",((Ir*F*MLF_cucumber*(1-EXP(-RadSpec!AX21*t_b)))/(P*RadSpec!AX21))),".")</f>
        <v>1.4298564304940414E-3</v>
      </c>
      <c r="AK21" s="116">
        <f>IFERROR(IF(d_ss_Bv!M21=0,".",((Ir*F*MLF_lettuce*(1-EXP(-RadSpec!AX21*t_b)))/(P*RadSpec!AX21))),".")</f>
        <v>0.48257654529173893</v>
      </c>
      <c r="AL21" s="116">
        <f>IFERROR(IF(d_ss_Bv!N21=0,".",((Ir*F*MLF_lima_bean*(1-EXP(-RadSpec!AX21*t_b)))/(P*RadSpec!AX21))),".")</f>
        <v>0.13690875321980447</v>
      </c>
      <c r="AM21" s="116">
        <f>IFERROR(IF(d_ss_Bv!O21=0,".",((Ir*F*MLF_okra*(1-EXP(-RadSpec!AX21*t_b)))/(P*RadSpec!AX21))),".")</f>
        <v>2.8597128609880828E-3</v>
      </c>
      <c r="AN21" s="116">
        <f>IFERROR(IF(d_ss_Bv!P21=0,".",((Ir*F*MLF_onion*(1-EXP(-RadSpec!AX21*t_b)))/(P*RadSpec!AX21))),".")</f>
        <v>3.4674018439480501E-3</v>
      </c>
      <c r="AO21" s="116">
        <f>IFERROR(IF(d_ss_Bv!Q21=0,".",((Ir*F*MLF_peach*(1-EXP(-RadSpec!AX21*t_b)))/(P*RadSpec!AX21))),".")</f>
        <v>5.361961614352654E-3</v>
      </c>
      <c r="AP21" s="116" t="str">
        <f>IFERROR(IF(d_ss_Bv!OI21=0,".",((Ir*F*MLF_pear*(1-EXP(-RadSpec!AX21*t_b)))/(P*RadSpec!AX21))),".")</f>
        <v>.</v>
      </c>
      <c r="AQ21" s="116">
        <f>IFERROR(IF(d_ss_Bv!S21=0,".",((Ir*F*MLF_peas*(1-EXP(-RadSpec!AX21*t_b)))/(P*RadSpec!AX21))),".")</f>
        <v>6.3628611156984829E-3</v>
      </c>
      <c r="AR21" s="116">
        <f>IFERROR(IF(d_ss_Bv!T21=0,".",((Ir*F*MLF_potato*(1-EXP(-RadSpec!AX21*t_b)))/(P*RadSpec!AX21))),".")</f>
        <v>7.5067462600937164E-3</v>
      </c>
      <c r="AS21" s="116">
        <f>IFERROR(IF(d_ss_Bv!U21=0,".",((Ir*F*MLF_pumpkin*(1-EXP(-RadSpec!AX21*t_b)))/(P*RadSpec!AX21))),".")</f>
        <v>2.0732918242163598E-3</v>
      </c>
      <c r="AT21" s="116">
        <f>IFERROR(IF(d_ss_Bv!V21=0,".",((Ir*F*MLF_snap_bean*(1-EXP(-RadSpec!AX21*t_b)))/(P*RadSpec!AX21))),".")</f>
        <v>0.17873205381175516</v>
      </c>
      <c r="AU21" s="116">
        <f>IFERROR(IF(d_ss_Bv!W21=0,".",((Ir*F*MLF_strawberry*(1-EXP(-RadSpec!AX21*t_b)))/(P*RadSpec!AX21))),".")</f>
        <v>2.8597128609880828E-3</v>
      </c>
      <c r="AV21" s="116">
        <f>IFERROR(IF(d_ss_Bv!X21=0,".",((Ir*F*MLF_tomato*(1-EXP(-RadSpec!AX21*t_b)))/(P*RadSpec!AX21))),".")</f>
        <v>5.6836793112138136E-2</v>
      </c>
      <c r="AW21" s="116">
        <f>IFERROR(IF(d_ss_Bv!Y21=0,".",((Ir*F*MLF_rice*(1-EXP(-RadSpec!AX21*t_b)))/(P*RadSpec!AX21))),".")</f>
        <v>8.9366026905877582</v>
      </c>
      <c r="AX21" s="116">
        <f>IFERROR(IF(d_ss_Bv!Z21=0,".",((Ir*F*MLF_cereal*(1-EXP(-RadSpec!AX21*t_b)))/(P*RadSpec!AX21))),".")</f>
        <v>8.9366026905877582</v>
      </c>
      <c r="AY21" s="116">
        <f>IFERROR(IF(d_ss_Bv!C21=0,".",((Ir*F*I_f*T*(1-EXP(-RadSpec!AY21*t_v)))/(Y_v*RadSpec!AY21))),".")</f>
        <v>3.6424203206347228</v>
      </c>
      <c r="AZ21" s="116">
        <f>IFERROR(IF(d_ss_Bv!D21=0,".",((Ir*F*I_f*T*(1-EXP(-RadSpec!AY21*t_v)))/(Y_v*RadSpec!AY21))),".")</f>
        <v>3.6424203206347228</v>
      </c>
      <c r="BA21" s="116">
        <f>IFERROR(IF(d_ss_Bv!E21=0,".",((Ir*F*I_f*T*(1-EXP(-RadSpec!AY21*t_v)))/(Y_v*RadSpec!AY21))),".")</f>
        <v>3.6424203206347228</v>
      </c>
      <c r="BB21" s="116">
        <f>IFERROR(IF(d_ss_Bv!F21=0,".",((Ir*F*I_f*T*(1-EXP(-RadSpec!AY21*t_v)))/(Y_v*RadSpec!AY21))),".")</f>
        <v>3.6424203206347228</v>
      </c>
      <c r="BC21" s="116">
        <f>IFERROR(IF(d_ss_Bv!G21=0,".",((Ir*F*I_f*T*(1-EXP(-RadSpec!AY21*t_v)))/(Y_v*RadSpec!AY21))),".")</f>
        <v>3.6424203206347228</v>
      </c>
      <c r="BD21" s="116">
        <f>IFERROR(IF(d_ss_Bv!H21=0,".",((Ir*F*I_f*T*(1-EXP(-RadSpec!AY21*t_v)))/(Y_v*RadSpec!AY21))),".")</f>
        <v>3.6424203206347228</v>
      </c>
      <c r="BE21" s="116">
        <f>IFERROR(IF(d_ss_Bv!I21=0,".",((Ir*F*I_f*T*(1-EXP(-RadSpec!AY21*t_v)))/(Y_v*RadSpec!AY21))),".")</f>
        <v>3.6424203206347228</v>
      </c>
      <c r="BF21" s="116">
        <f>IFERROR(IF(d_ss_Bv!J21=0,".",((Ir*F*I_f*T*(1-EXP(-RadSpec!AY21*t_v)))/(Y_v*RadSpec!AY21))),".")</f>
        <v>3.6424203206347228</v>
      </c>
      <c r="BG21" s="116">
        <f>IFERROR(IF(d_ss_Bv!K21=0,".",((Ir*F*I_f*T*(1-EXP(-RadSpec!AY21*t_v)))/(Y_v*RadSpec!AY21))),".")</f>
        <v>3.6424203206347228</v>
      </c>
      <c r="BH21" s="116">
        <f>IFERROR(IF(d_ss_Bv!L21=0,".",((Ir*F*I_f*T*(1-EXP(-RadSpec!AY21*t_v)))/(Y_v*RadSpec!AY21))),".")</f>
        <v>3.6424203206347228</v>
      </c>
      <c r="BI21" s="116">
        <f>IFERROR(IF(d_ss_Bv!M21=0,".",((Ir*F*I_f*T*(1-EXP(-RadSpec!AY21*t_v)))/(Y_v*RadSpec!AY21))),".")</f>
        <v>3.6424203206347228</v>
      </c>
      <c r="BJ21" s="116">
        <f>IFERROR(IF(d_ss_Bv!N21=0,".",((Ir*F*I_f*T*(1-EXP(-RadSpec!AY21*t_v)))/(Y_v*RadSpec!AY21))),".")</f>
        <v>3.6424203206347228</v>
      </c>
      <c r="BK21" s="116">
        <f>IFERROR(IF(d_ss_Bv!O21=0,".",((Ir*F*I_f*T*(1-EXP(-RadSpec!AY21*t_v)))/(Y_v*RadSpec!AY21))),".")</f>
        <v>3.6424203206347228</v>
      </c>
      <c r="BL21" s="116">
        <f>IFERROR(IF(d_ss_Bv!P21=0,".",((Ir*F*I_f*T*(1-EXP(-RadSpec!AY21*t_v)))/(Y_v*RadSpec!AY21))),".")</f>
        <v>3.6424203206347228</v>
      </c>
      <c r="BM21" s="116">
        <f>IFERROR(IF(d_ss_Bv!Q21=0,".",((Ir*F*I_f*T*(1-EXP(-RadSpec!AY21*t_v)))/(Y_v*RadSpec!AY21))),".")</f>
        <v>3.6424203206347228</v>
      </c>
      <c r="BN21" s="116">
        <f>IFERROR(IF(d_ss_Bv!R21=0,".",((Ir*F*I_f*T*(1-EXP(-RadSpec!AY21*t_v)))/(Y_v*RadSpec!AY21))),".")</f>
        <v>3.6424203206347228</v>
      </c>
      <c r="BO21" s="116">
        <f>IFERROR(IF(d_ss_Bv!S21=0,".",((Ir*F*I_f*T*(1-EXP(-RadSpec!AY21*t_v)))/(Y_v*RadSpec!AY21))),".")</f>
        <v>3.6424203206347228</v>
      </c>
      <c r="BP21" s="116">
        <f>IFERROR(IF(d_ss_Bv!T21=0,".",((Ir*F*I_f*T*(1-EXP(-RadSpec!AY21*t_v)))/(Y_v*RadSpec!AY21))),".")</f>
        <v>3.6424203206347228</v>
      </c>
      <c r="BQ21" s="116">
        <f>IFERROR(IF(d_ss_Bv!U21=0,".",((Ir*F*I_f*T*(1-EXP(-RadSpec!AY21*t_v)))/(Y_v*RadSpec!AY21))),".")</f>
        <v>3.6424203206347228</v>
      </c>
      <c r="BR21" s="116">
        <f>IFERROR(IF(d_ss_Bv!V21=0,".",((Ir*F*I_f*T*(1-EXP(-RadSpec!AY21*t_v)))/(Y_v*RadSpec!AY21))),".")</f>
        <v>3.6424203206347228</v>
      </c>
      <c r="BS21" s="116">
        <f>IFERROR(IF(d_ss_Bv!W21=0,".",((Ir*F*I_f*T*(1-EXP(-RadSpec!AY21*t_v)))/(Y_v*RadSpec!AY21))),".")</f>
        <v>3.6424203206347228</v>
      </c>
      <c r="BT21" s="116">
        <f>IFERROR(IF(d_ss_Bv!X21=0,".",((Ir*F*I_f*T*(1-EXP(-RadSpec!AY21*t_v)))/(Y_v*RadSpec!AY21))),".")</f>
        <v>3.6424203206347228</v>
      </c>
      <c r="BU21" s="116">
        <f>IFERROR(IF(d_ss_Bv!Y21=0,".",((Ir*F*I_f*T*(1-EXP(-RadSpec!AY21*t_v)))/(Y_v*RadSpec!AY21))),".")</f>
        <v>3.6424203206347228</v>
      </c>
      <c r="BV21" s="116">
        <f>IFERROR(IF(d_ss_Bv!Z21=0,".",((Ir*F*I_f*T*(1-EXP(-RadSpec!AY21*t_v)))/(Y_v*RadSpec!AY21))),".")</f>
        <v>3.6424203206347228</v>
      </c>
    </row>
    <row r="22" spans="1:74" x14ac:dyDescent="0.25">
      <c r="A22" s="44" t="s">
        <v>32</v>
      </c>
      <c r="B22" s="42" t="s">
        <v>1074</v>
      </c>
      <c r="C22" s="116">
        <f>IFERROR(IF(d_ss_Bv!C22=0,".",((Ir*F*d_ss_Bv!C22*(1-EXP(-RadSpec!AX22*t_b)))/(P*RadSpec!AX22))),".")</f>
        <v>0.35746410762351033</v>
      </c>
      <c r="D22" s="116">
        <f>IFERROR(IF(d_ss_Bv!D22=0,".",((Ir*F*d_ss_Bv!D22*(1-EXP(-RadSpec!AX22*t_b)))/(P*RadSpec!AX22))),".")</f>
        <v>3.2529233793739438</v>
      </c>
      <c r="E22" s="116">
        <f>IFERROR(IF(d_ss_Bv!E22=0,".",((Ir*F*d_ss_Bv!E22*(1-EXP(-RadSpec!AX22*t_b)))/(P*RadSpec!AX22))),".")</f>
        <v>2.5022487533645723</v>
      </c>
      <c r="F22" s="116">
        <f>IFERROR(IF(d_ss_Bv!F22=0,".",((Ir*F*d_ss_Bv!F22*(1-EXP(-RadSpec!AX22*t_b)))/(P*RadSpec!AX22))),".")</f>
        <v>0.35746410762351033</v>
      </c>
      <c r="G22" s="116">
        <f>IFERROR(IF(d_ss_Bv!G22=0,".",((Ir*F*d_ss_Bv!G22*(1-EXP(-RadSpec!AX22*t_b)))/(P*RadSpec!AX22))),".")</f>
        <v>0.60768898295996754</v>
      </c>
      <c r="H22" s="116">
        <f>IFERROR(IF(d_ss_Bv!H22=0,".",((Ir*F*d_ss_Bv!H22*(1-EXP(-RadSpec!AX22*t_b)))/(P*RadSpec!AX22))),".")</f>
        <v>3.2529233793739438</v>
      </c>
      <c r="I22" s="116">
        <f>IFERROR(IF(d_ss_Bv!I22=0,".",((Ir*F*d_ss_Bv!I22*(1-EXP(-RadSpec!AX22*t_b)))/(P*RadSpec!AX22))),".")</f>
        <v>2.5022487533645723</v>
      </c>
      <c r="J22" s="116">
        <f>IFERROR(IF(d_ss_Bv!J22=0,".",((Ir*F*d_ss_Bv!J22*(1-EXP(-RadSpec!AX22*t_b)))/(P*RadSpec!AX22))),".")</f>
        <v>0.35746410762351033</v>
      </c>
      <c r="K22" s="116">
        <f>IFERROR(IF(d_ss_Bv!K22=0,".",((Ir*F*d_ss_Bv!K22*(1-EXP(-RadSpec!AX22*t_b)))/(P*RadSpec!AX22))),".")</f>
        <v>8.5791385829642464E-2</v>
      </c>
      <c r="L22" s="116">
        <f>IFERROR(IF(d_ss_Bv!L22=0,".",((Ir*F*d_ss_Bv!L22*(1-EXP(-RadSpec!AX22*t_b)))/(P*RadSpec!AX22))),".")</f>
        <v>0.60768898295996754</v>
      </c>
      <c r="M22" s="116">
        <f>IFERROR(IF(d_ss_Bv!M22=0,".",((Ir*F*d_ss_Bv!M22*(1-EXP(-RadSpec!AX22*t_b)))/(P*RadSpec!AX22))),".")</f>
        <v>3.2529233793739438</v>
      </c>
      <c r="N22" s="116">
        <f>IFERROR(IF(d_ss_Bv!N22=0,".",((Ir*F*d_ss_Bv!N22*(1-EXP(-RadSpec!AX22*t_b)))/(P*RadSpec!AX22))),".")</f>
        <v>0.50044975067291442</v>
      </c>
      <c r="O22" s="116">
        <f>IFERROR(IF(d_ss_Bv!O22=0,".",((Ir*F*d_ss_Bv!O22*(1-EXP(-RadSpec!AX22*t_b)))/(P*RadSpec!AX22))),".")</f>
        <v>0.60768898295996754</v>
      </c>
      <c r="P22" s="116">
        <f>IFERROR(IF(d_ss_Bv!P22=0,".",((Ir*F*d_ss_Bv!P22*(1-EXP(-RadSpec!AX22*t_b)))/(P*RadSpec!AX22))),".")</f>
        <v>0.60768898295996754</v>
      </c>
      <c r="Q22" s="116">
        <f>IFERROR(IF(d_ss_Bv!Q22=0,".",((Ir*F*d_ss_Bv!Q22*(1-EXP(-RadSpec!AX22*t_b)))/(P*RadSpec!AX22))),".")</f>
        <v>0.35746410762351033</v>
      </c>
      <c r="R22" s="116">
        <f>IFERROR(IF(d_ss_Bv!R22=0,".",((Ir*F*d_ss_Bv!R22*(1-EXP(-RadSpec!AX22*t_b)))/(P*RadSpec!AX22))),".")</f>
        <v>0.35746410762351033</v>
      </c>
      <c r="S22" s="116">
        <f>IFERROR(IF(d_ss_Bv!S22=0,".",((Ir*F*d_ss_Bv!S22*(1-EXP(-RadSpec!AX22*t_b)))/(P*RadSpec!AX22))),".")</f>
        <v>0.50044975067291442</v>
      </c>
      <c r="T22" s="116">
        <f>IFERROR(IF(d_ss_Bv!T22=0,".",((Ir*F*d_ss_Bv!T22*(1-EXP(-RadSpec!AX22*t_b)))/(P*RadSpec!AX22))),".")</f>
        <v>0.39321051838586135</v>
      </c>
      <c r="U22" s="116">
        <f>IFERROR(IF(d_ss_Bv!U22=0,".",((Ir*F*d_ss_Bv!U22*(1-EXP(-RadSpec!AX22*t_b)))/(P*RadSpec!AX22))),".")</f>
        <v>0.60768898295996754</v>
      </c>
      <c r="V22" s="116">
        <f>IFERROR(IF(d_ss_Bv!V22=0,".",((Ir*F*d_ss_Bv!V22*(1-EXP(-RadSpec!AX22*t_b)))/(P*RadSpec!AX22))),".")</f>
        <v>0.50044975067291442</v>
      </c>
      <c r="W22" s="116">
        <f>IFERROR(IF(d_ss_Bv!W22=0,".",((Ir*F*d_ss_Bv!W22*(1-EXP(-RadSpec!AX22*t_b)))/(P*RadSpec!AX22))),".")</f>
        <v>0.35746410762351033</v>
      </c>
      <c r="X22" s="116">
        <f>IFERROR(IF(d_ss_Bv!X22=0,".",((Ir*F*d_ss_Bv!X22*(1-EXP(-RadSpec!AX22*t_b)))/(P*RadSpec!AX22))),".")</f>
        <v>0.60768898295996754</v>
      </c>
      <c r="Y22" s="116">
        <f>IFERROR(IF(d_ss_Bv!Y22=0,".",((Ir*F*d_ss_Bv!Y22*(1-EXP(-RadSpec!AX22*t_b)))/(P*RadSpec!AX22))),".")</f>
        <v>3.10993773632454E-2</v>
      </c>
      <c r="Z22" s="116">
        <f>IFERROR(IF(d_ss_Bv!Z22=0,".",((Ir*F*d_ss_Bv!Z22*(1-EXP(-RadSpec!AX22*t_b)))/(P*RadSpec!AX22))),".")</f>
        <v>0.60768898295996754</v>
      </c>
      <c r="AA22" s="116">
        <f>IFERROR(IF(d_ss_Bv!C22=0,".",((Ir*F*MLF_apple*(1-EXP(-RadSpec!AX22*t_b)))/(P*RadSpec!AX22))),".")</f>
        <v>5.7194257219761657E-3</v>
      </c>
      <c r="AB22" s="116">
        <f>IFERROR(IF(d_ss_Bv!D22=0,".",((Ir*F*MLF_asparagus*(1-EXP(-RadSpec!AX22*t_b)))/(P*RadSpec!AX22))),".")</f>
        <v>2.8239664502257315E-3</v>
      </c>
      <c r="AC22" s="116">
        <f>IFERROR(IF(d_ss_Bv!E22=0,".",((Ir*F*MLF_beet*(1-EXP(-RadSpec!AX22*t_b)))/(P*RadSpec!AX22))),".")</f>
        <v>4.9330046852044422E-3</v>
      </c>
      <c r="AD22" s="116">
        <f>IFERROR(IF(d_ss_Bv!F22=0,".",((Ir*F*MLF_berries*(1-EXP(-RadSpec!AX22*t_b)))/(P*RadSpec!AX22))),".")</f>
        <v>5.9339041865502712E-3</v>
      </c>
      <c r="AE22" s="116">
        <f>IFERROR(IF(d_ss_Bv!G22=0,".",((Ir*F*MLF_broccoli*(1-EXP(-RadSpec!AX22*t_b)))/(P*RadSpec!AX22))),".")</f>
        <v>3.6103874869974538E-2</v>
      </c>
      <c r="AF22" s="116">
        <f>IFERROR(IF(d_ss_Bv!H22=0,".",((Ir*F*MLF_cabbage*(1-EXP(-RadSpec!AX22*t_b)))/(P*RadSpec!AX22))),".")</f>
        <v>3.7533731300468582E-3</v>
      </c>
      <c r="AG22" s="116">
        <f>IFERROR(IF(d_ss_Bv!I22=0,".",((Ir*F*MLF_carrot*(1-EXP(-RadSpec!AX22*t_b)))/(P*RadSpec!AX22))),".")</f>
        <v>3.4674018439480501E-3</v>
      </c>
      <c r="AH22" s="116">
        <f>IFERROR(IF(d_ss_Bv!J22=0,".",((Ir*F*MLF_citrus*(1-EXP(-RadSpec!AX22*t_b)))/(P*RadSpec!AX22))),".")</f>
        <v>5.6121864896891112E-3</v>
      </c>
      <c r="AI22" s="116">
        <f>IFERROR(IF(d_ss_Bv!K22=0,".",((Ir*F*MLF_corn*(1-EXP(-RadSpec!AX22*t_b)))/(P*RadSpec!AX22))),".")</f>
        <v>5.1832295605408994E-3</v>
      </c>
      <c r="AJ22" s="116">
        <f>IFERROR(IF(d_ss_Bv!L22=0,".",((Ir*F*MLF_cucumber*(1-EXP(-RadSpec!AX22*t_b)))/(P*RadSpec!AX22))),".")</f>
        <v>1.4298564304940414E-3</v>
      </c>
      <c r="AK22" s="116">
        <f>IFERROR(IF(d_ss_Bv!M22=0,".",((Ir*F*MLF_lettuce*(1-EXP(-RadSpec!AX22*t_b)))/(P*RadSpec!AX22))),".")</f>
        <v>0.48257654529173893</v>
      </c>
      <c r="AL22" s="116">
        <f>IFERROR(IF(d_ss_Bv!N22=0,".",((Ir*F*MLF_lima_bean*(1-EXP(-RadSpec!AX22*t_b)))/(P*RadSpec!AX22))),".")</f>
        <v>0.13690875321980447</v>
      </c>
      <c r="AM22" s="116">
        <f>IFERROR(IF(d_ss_Bv!O22=0,".",((Ir*F*MLF_okra*(1-EXP(-RadSpec!AX22*t_b)))/(P*RadSpec!AX22))),".")</f>
        <v>2.8597128609880828E-3</v>
      </c>
      <c r="AN22" s="116">
        <f>IFERROR(IF(d_ss_Bv!P22=0,".",((Ir*F*MLF_onion*(1-EXP(-RadSpec!AX22*t_b)))/(P*RadSpec!AX22))),".")</f>
        <v>3.4674018439480501E-3</v>
      </c>
      <c r="AO22" s="116">
        <f>IFERROR(IF(d_ss_Bv!Q22=0,".",((Ir*F*MLF_peach*(1-EXP(-RadSpec!AX22*t_b)))/(P*RadSpec!AX22))),".")</f>
        <v>5.361961614352654E-3</v>
      </c>
      <c r="AP22" s="116" t="str">
        <f>IFERROR(IF(d_ss_Bv!OI22=0,".",((Ir*F*MLF_pear*(1-EXP(-RadSpec!AX22*t_b)))/(P*RadSpec!AX22))),".")</f>
        <v>.</v>
      </c>
      <c r="AQ22" s="116">
        <f>IFERROR(IF(d_ss_Bv!S22=0,".",((Ir*F*MLF_peas*(1-EXP(-RadSpec!AX22*t_b)))/(P*RadSpec!AX22))),".")</f>
        <v>6.3628611156984829E-3</v>
      </c>
      <c r="AR22" s="116">
        <f>IFERROR(IF(d_ss_Bv!T22=0,".",((Ir*F*MLF_potato*(1-EXP(-RadSpec!AX22*t_b)))/(P*RadSpec!AX22))),".")</f>
        <v>7.5067462600937164E-3</v>
      </c>
      <c r="AS22" s="116">
        <f>IFERROR(IF(d_ss_Bv!U22=0,".",((Ir*F*MLF_pumpkin*(1-EXP(-RadSpec!AX22*t_b)))/(P*RadSpec!AX22))),".")</f>
        <v>2.0732918242163598E-3</v>
      </c>
      <c r="AT22" s="116">
        <f>IFERROR(IF(d_ss_Bv!V22=0,".",((Ir*F*MLF_snap_bean*(1-EXP(-RadSpec!AX22*t_b)))/(P*RadSpec!AX22))),".")</f>
        <v>0.17873205381175516</v>
      </c>
      <c r="AU22" s="116">
        <f>IFERROR(IF(d_ss_Bv!W22=0,".",((Ir*F*MLF_strawberry*(1-EXP(-RadSpec!AX22*t_b)))/(P*RadSpec!AX22))),".")</f>
        <v>2.8597128609880828E-3</v>
      </c>
      <c r="AV22" s="116">
        <f>IFERROR(IF(d_ss_Bv!X22=0,".",((Ir*F*MLF_tomato*(1-EXP(-RadSpec!AX22*t_b)))/(P*RadSpec!AX22))),".")</f>
        <v>5.6836793112138136E-2</v>
      </c>
      <c r="AW22" s="116">
        <f>IFERROR(IF(d_ss_Bv!Y22=0,".",((Ir*F*MLF_rice*(1-EXP(-RadSpec!AX22*t_b)))/(P*RadSpec!AX22))),".")</f>
        <v>8.9366026905877582</v>
      </c>
      <c r="AX22" s="116">
        <f>IFERROR(IF(d_ss_Bv!Z22=0,".",((Ir*F*MLF_cereal*(1-EXP(-RadSpec!AX22*t_b)))/(P*RadSpec!AX22))),".")</f>
        <v>8.9366026905877582</v>
      </c>
      <c r="AY22" s="116">
        <f>IFERROR(IF(d_ss_Bv!C22=0,".",((Ir*F*I_f*T*(1-EXP(-RadSpec!AY22*t_v)))/(Y_v*RadSpec!AY22))),".")</f>
        <v>3.6424203206347228</v>
      </c>
      <c r="AZ22" s="116">
        <f>IFERROR(IF(d_ss_Bv!D22=0,".",((Ir*F*I_f*T*(1-EXP(-RadSpec!AY22*t_v)))/(Y_v*RadSpec!AY22))),".")</f>
        <v>3.6424203206347228</v>
      </c>
      <c r="BA22" s="116">
        <f>IFERROR(IF(d_ss_Bv!E22=0,".",((Ir*F*I_f*T*(1-EXP(-RadSpec!AY22*t_v)))/(Y_v*RadSpec!AY22))),".")</f>
        <v>3.6424203206347228</v>
      </c>
      <c r="BB22" s="116">
        <f>IFERROR(IF(d_ss_Bv!F22=0,".",((Ir*F*I_f*T*(1-EXP(-RadSpec!AY22*t_v)))/(Y_v*RadSpec!AY22))),".")</f>
        <v>3.6424203206347228</v>
      </c>
      <c r="BC22" s="116">
        <f>IFERROR(IF(d_ss_Bv!G22=0,".",((Ir*F*I_f*T*(1-EXP(-RadSpec!AY22*t_v)))/(Y_v*RadSpec!AY22))),".")</f>
        <v>3.6424203206347228</v>
      </c>
      <c r="BD22" s="116">
        <f>IFERROR(IF(d_ss_Bv!H22=0,".",((Ir*F*I_f*T*(1-EXP(-RadSpec!AY22*t_v)))/(Y_v*RadSpec!AY22))),".")</f>
        <v>3.6424203206347228</v>
      </c>
      <c r="BE22" s="116">
        <f>IFERROR(IF(d_ss_Bv!I22=0,".",((Ir*F*I_f*T*(1-EXP(-RadSpec!AY22*t_v)))/(Y_v*RadSpec!AY22))),".")</f>
        <v>3.6424203206347228</v>
      </c>
      <c r="BF22" s="116">
        <f>IFERROR(IF(d_ss_Bv!J22=0,".",((Ir*F*I_f*T*(1-EXP(-RadSpec!AY22*t_v)))/(Y_v*RadSpec!AY22))),".")</f>
        <v>3.6424203206347228</v>
      </c>
      <c r="BG22" s="116">
        <f>IFERROR(IF(d_ss_Bv!K22=0,".",((Ir*F*I_f*T*(1-EXP(-RadSpec!AY22*t_v)))/(Y_v*RadSpec!AY22))),".")</f>
        <v>3.6424203206347228</v>
      </c>
      <c r="BH22" s="116">
        <f>IFERROR(IF(d_ss_Bv!L22=0,".",((Ir*F*I_f*T*(1-EXP(-RadSpec!AY22*t_v)))/(Y_v*RadSpec!AY22))),".")</f>
        <v>3.6424203206347228</v>
      </c>
      <c r="BI22" s="116">
        <f>IFERROR(IF(d_ss_Bv!M22=0,".",((Ir*F*I_f*T*(1-EXP(-RadSpec!AY22*t_v)))/(Y_v*RadSpec!AY22))),".")</f>
        <v>3.6424203206347228</v>
      </c>
      <c r="BJ22" s="116">
        <f>IFERROR(IF(d_ss_Bv!N22=0,".",((Ir*F*I_f*T*(1-EXP(-RadSpec!AY22*t_v)))/(Y_v*RadSpec!AY22))),".")</f>
        <v>3.6424203206347228</v>
      </c>
      <c r="BK22" s="116">
        <f>IFERROR(IF(d_ss_Bv!O22=0,".",((Ir*F*I_f*T*(1-EXP(-RadSpec!AY22*t_v)))/(Y_v*RadSpec!AY22))),".")</f>
        <v>3.6424203206347228</v>
      </c>
      <c r="BL22" s="116">
        <f>IFERROR(IF(d_ss_Bv!P22=0,".",((Ir*F*I_f*T*(1-EXP(-RadSpec!AY22*t_v)))/(Y_v*RadSpec!AY22))),".")</f>
        <v>3.6424203206347228</v>
      </c>
      <c r="BM22" s="116">
        <f>IFERROR(IF(d_ss_Bv!Q22=0,".",((Ir*F*I_f*T*(1-EXP(-RadSpec!AY22*t_v)))/(Y_v*RadSpec!AY22))),".")</f>
        <v>3.6424203206347228</v>
      </c>
      <c r="BN22" s="116">
        <f>IFERROR(IF(d_ss_Bv!R22=0,".",((Ir*F*I_f*T*(1-EXP(-RadSpec!AY22*t_v)))/(Y_v*RadSpec!AY22))),".")</f>
        <v>3.6424203206347228</v>
      </c>
      <c r="BO22" s="116">
        <f>IFERROR(IF(d_ss_Bv!S22=0,".",((Ir*F*I_f*T*(1-EXP(-RadSpec!AY22*t_v)))/(Y_v*RadSpec!AY22))),".")</f>
        <v>3.6424203206347228</v>
      </c>
      <c r="BP22" s="116">
        <f>IFERROR(IF(d_ss_Bv!T22=0,".",((Ir*F*I_f*T*(1-EXP(-RadSpec!AY22*t_v)))/(Y_v*RadSpec!AY22))),".")</f>
        <v>3.6424203206347228</v>
      </c>
      <c r="BQ22" s="116">
        <f>IFERROR(IF(d_ss_Bv!U22=0,".",((Ir*F*I_f*T*(1-EXP(-RadSpec!AY22*t_v)))/(Y_v*RadSpec!AY22))),".")</f>
        <v>3.6424203206347228</v>
      </c>
      <c r="BR22" s="116">
        <f>IFERROR(IF(d_ss_Bv!V22=0,".",((Ir*F*I_f*T*(1-EXP(-RadSpec!AY22*t_v)))/(Y_v*RadSpec!AY22))),".")</f>
        <v>3.6424203206347228</v>
      </c>
      <c r="BS22" s="116">
        <f>IFERROR(IF(d_ss_Bv!W22=0,".",((Ir*F*I_f*T*(1-EXP(-RadSpec!AY22*t_v)))/(Y_v*RadSpec!AY22))),".")</f>
        <v>3.6424203206347228</v>
      </c>
      <c r="BT22" s="116">
        <f>IFERROR(IF(d_ss_Bv!X22=0,".",((Ir*F*I_f*T*(1-EXP(-RadSpec!AY22*t_v)))/(Y_v*RadSpec!AY22))),".")</f>
        <v>3.6424203206347228</v>
      </c>
      <c r="BU22" s="116">
        <f>IFERROR(IF(d_ss_Bv!Y22=0,".",((Ir*F*I_f*T*(1-EXP(-RadSpec!AY22*t_v)))/(Y_v*RadSpec!AY22))),".")</f>
        <v>3.6424203206347228</v>
      </c>
      <c r="BV22" s="116">
        <f>IFERROR(IF(d_ss_Bv!Z22=0,".",((Ir*F*I_f*T*(1-EXP(-RadSpec!AY22*t_v)))/(Y_v*RadSpec!AY22))),".")</f>
        <v>3.6424203206347228</v>
      </c>
    </row>
    <row r="23" spans="1:74" x14ac:dyDescent="0.25">
      <c r="A23" s="46" t="s">
        <v>33</v>
      </c>
      <c r="B23" s="42" t="s">
        <v>351</v>
      </c>
      <c r="C23" s="116">
        <f>IFERROR(IF(d_ss_Bv!C23=0,".",((Ir*F*d_ss_Bv!C23*(1-EXP(-RadSpec!AX23*t_b)))/(P*RadSpec!AX23))),".")</f>
        <v>0.35746410762351033</v>
      </c>
      <c r="D23" s="116">
        <f>IFERROR(IF(d_ss_Bv!D23=0,".",((Ir*F*d_ss_Bv!D23*(1-EXP(-RadSpec!AX23*t_b)))/(P*RadSpec!AX23))),".")</f>
        <v>3.2529233793739438</v>
      </c>
      <c r="E23" s="116">
        <f>IFERROR(IF(d_ss_Bv!E23=0,".",((Ir*F*d_ss_Bv!E23*(1-EXP(-RadSpec!AX23*t_b)))/(P*RadSpec!AX23))),".")</f>
        <v>2.5022487533645723</v>
      </c>
      <c r="F23" s="116">
        <f>IFERROR(IF(d_ss_Bv!F23=0,".",((Ir*F*d_ss_Bv!F23*(1-EXP(-RadSpec!AX23*t_b)))/(P*RadSpec!AX23))),".")</f>
        <v>0.35746410762351033</v>
      </c>
      <c r="G23" s="116">
        <f>IFERROR(IF(d_ss_Bv!G23=0,".",((Ir*F*d_ss_Bv!G23*(1-EXP(-RadSpec!AX23*t_b)))/(P*RadSpec!AX23))),".")</f>
        <v>0.60768898295996754</v>
      </c>
      <c r="H23" s="116">
        <f>IFERROR(IF(d_ss_Bv!H23=0,".",((Ir*F*d_ss_Bv!H23*(1-EXP(-RadSpec!AX23*t_b)))/(P*RadSpec!AX23))),".")</f>
        <v>3.2529233793739438</v>
      </c>
      <c r="I23" s="116">
        <f>IFERROR(IF(d_ss_Bv!I23=0,".",((Ir*F*d_ss_Bv!I23*(1-EXP(-RadSpec!AX23*t_b)))/(P*RadSpec!AX23))),".")</f>
        <v>2.5022487533645723</v>
      </c>
      <c r="J23" s="116">
        <f>IFERROR(IF(d_ss_Bv!J23=0,".",((Ir*F*d_ss_Bv!J23*(1-EXP(-RadSpec!AX23*t_b)))/(P*RadSpec!AX23))),".")</f>
        <v>0.35746410762351033</v>
      </c>
      <c r="K23" s="116">
        <f>IFERROR(IF(d_ss_Bv!K23=0,".",((Ir*F*d_ss_Bv!K23*(1-EXP(-RadSpec!AX23*t_b)))/(P*RadSpec!AX23))),".")</f>
        <v>8.5791385829642464E-2</v>
      </c>
      <c r="L23" s="116">
        <f>IFERROR(IF(d_ss_Bv!L23=0,".",((Ir*F*d_ss_Bv!L23*(1-EXP(-RadSpec!AX23*t_b)))/(P*RadSpec!AX23))),".")</f>
        <v>0.60768898295996754</v>
      </c>
      <c r="M23" s="116">
        <f>IFERROR(IF(d_ss_Bv!M23=0,".",((Ir*F*d_ss_Bv!M23*(1-EXP(-RadSpec!AX23*t_b)))/(P*RadSpec!AX23))),".")</f>
        <v>3.2529233793739438</v>
      </c>
      <c r="N23" s="116">
        <f>IFERROR(IF(d_ss_Bv!N23=0,".",((Ir*F*d_ss_Bv!N23*(1-EXP(-RadSpec!AX23*t_b)))/(P*RadSpec!AX23))),".")</f>
        <v>0.50044975067291442</v>
      </c>
      <c r="O23" s="116">
        <f>IFERROR(IF(d_ss_Bv!O23=0,".",((Ir*F*d_ss_Bv!O23*(1-EXP(-RadSpec!AX23*t_b)))/(P*RadSpec!AX23))),".")</f>
        <v>0.60768898295996754</v>
      </c>
      <c r="P23" s="116">
        <f>IFERROR(IF(d_ss_Bv!P23=0,".",((Ir*F*d_ss_Bv!P23*(1-EXP(-RadSpec!AX23*t_b)))/(P*RadSpec!AX23))),".")</f>
        <v>0.60768898295996754</v>
      </c>
      <c r="Q23" s="116">
        <f>IFERROR(IF(d_ss_Bv!Q23=0,".",((Ir*F*d_ss_Bv!Q23*(1-EXP(-RadSpec!AX23*t_b)))/(P*RadSpec!AX23))),".")</f>
        <v>0.35746410762351033</v>
      </c>
      <c r="R23" s="116">
        <f>IFERROR(IF(d_ss_Bv!R23=0,".",((Ir*F*d_ss_Bv!R23*(1-EXP(-RadSpec!AX23*t_b)))/(P*RadSpec!AX23))),".")</f>
        <v>0.35746410762351033</v>
      </c>
      <c r="S23" s="116">
        <f>IFERROR(IF(d_ss_Bv!S23=0,".",((Ir*F*d_ss_Bv!S23*(1-EXP(-RadSpec!AX23*t_b)))/(P*RadSpec!AX23))),".")</f>
        <v>0.50044975067291442</v>
      </c>
      <c r="T23" s="116">
        <f>IFERROR(IF(d_ss_Bv!T23=0,".",((Ir*F*d_ss_Bv!T23*(1-EXP(-RadSpec!AX23*t_b)))/(P*RadSpec!AX23))),".")</f>
        <v>0.39321051838586135</v>
      </c>
      <c r="U23" s="116">
        <f>IFERROR(IF(d_ss_Bv!U23=0,".",((Ir*F*d_ss_Bv!U23*(1-EXP(-RadSpec!AX23*t_b)))/(P*RadSpec!AX23))),".")</f>
        <v>0.60768898295996754</v>
      </c>
      <c r="V23" s="116">
        <f>IFERROR(IF(d_ss_Bv!V23=0,".",((Ir*F*d_ss_Bv!V23*(1-EXP(-RadSpec!AX23*t_b)))/(P*RadSpec!AX23))),".")</f>
        <v>0.50044975067291442</v>
      </c>
      <c r="W23" s="116">
        <f>IFERROR(IF(d_ss_Bv!W23=0,".",((Ir*F*d_ss_Bv!W23*(1-EXP(-RadSpec!AX23*t_b)))/(P*RadSpec!AX23))),".")</f>
        <v>0.35746410762351033</v>
      </c>
      <c r="X23" s="116">
        <f>IFERROR(IF(d_ss_Bv!X23=0,".",((Ir*F*d_ss_Bv!X23*(1-EXP(-RadSpec!AX23*t_b)))/(P*RadSpec!AX23))),".")</f>
        <v>0.60768898295996754</v>
      </c>
      <c r="Y23" s="116">
        <f>IFERROR(IF(d_ss_Bv!Y23=0,".",((Ir*F*d_ss_Bv!Y23*(1-EXP(-RadSpec!AX23*t_b)))/(P*RadSpec!AX23))),".")</f>
        <v>3.10993773632454E-2</v>
      </c>
      <c r="Z23" s="116">
        <f>IFERROR(IF(d_ss_Bv!Z23=0,".",((Ir*F*d_ss_Bv!Z23*(1-EXP(-RadSpec!AX23*t_b)))/(P*RadSpec!AX23))),".")</f>
        <v>0.60768898295996754</v>
      </c>
      <c r="AA23" s="116">
        <f>IFERROR(IF(d_ss_Bv!C23=0,".",((Ir*F*MLF_apple*(1-EXP(-RadSpec!AX23*t_b)))/(P*RadSpec!AX23))),".")</f>
        <v>5.7194257219761657E-3</v>
      </c>
      <c r="AB23" s="116">
        <f>IFERROR(IF(d_ss_Bv!D23=0,".",((Ir*F*MLF_asparagus*(1-EXP(-RadSpec!AX23*t_b)))/(P*RadSpec!AX23))),".")</f>
        <v>2.8239664502257315E-3</v>
      </c>
      <c r="AC23" s="116">
        <f>IFERROR(IF(d_ss_Bv!E23=0,".",((Ir*F*MLF_beet*(1-EXP(-RadSpec!AX23*t_b)))/(P*RadSpec!AX23))),".")</f>
        <v>4.9330046852044422E-3</v>
      </c>
      <c r="AD23" s="116">
        <f>IFERROR(IF(d_ss_Bv!F23=0,".",((Ir*F*MLF_berries*(1-EXP(-RadSpec!AX23*t_b)))/(P*RadSpec!AX23))),".")</f>
        <v>5.9339041865502712E-3</v>
      </c>
      <c r="AE23" s="116">
        <f>IFERROR(IF(d_ss_Bv!G23=0,".",((Ir*F*MLF_broccoli*(1-EXP(-RadSpec!AX23*t_b)))/(P*RadSpec!AX23))),".")</f>
        <v>3.6103874869974538E-2</v>
      </c>
      <c r="AF23" s="116">
        <f>IFERROR(IF(d_ss_Bv!H23=0,".",((Ir*F*MLF_cabbage*(1-EXP(-RadSpec!AX23*t_b)))/(P*RadSpec!AX23))),".")</f>
        <v>3.7533731300468582E-3</v>
      </c>
      <c r="AG23" s="116">
        <f>IFERROR(IF(d_ss_Bv!I23=0,".",((Ir*F*MLF_carrot*(1-EXP(-RadSpec!AX23*t_b)))/(P*RadSpec!AX23))),".")</f>
        <v>3.4674018439480501E-3</v>
      </c>
      <c r="AH23" s="116">
        <f>IFERROR(IF(d_ss_Bv!J23=0,".",((Ir*F*MLF_citrus*(1-EXP(-RadSpec!AX23*t_b)))/(P*RadSpec!AX23))),".")</f>
        <v>5.6121864896891112E-3</v>
      </c>
      <c r="AI23" s="116">
        <f>IFERROR(IF(d_ss_Bv!K23=0,".",((Ir*F*MLF_corn*(1-EXP(-RadSpec!AX23*t_b)))/(P*RadSpec!AX23))),".")</f>
        <v>5.1832295605408994E-3</v>
      </c>
      <c r="AJ23" s="116">
        <f>IFERROR(IF(d_ss_Bv!L23=0,".",((Ir*F*MLF_cucumber*(1-EXP(-RadSpec!AX23*t_b)))/(P*RadSpec!AX23))),".")</f>
        <v>1.4298564304940414E-3</v>
      </c>
      <c r="AK23" s="116">
        <f>IFERROR(IF(d_ss_Bv!M23=0,".",((Ir*F*MLF_lettuce*(1-EXP(-RadSpec!AX23*t_b)))/(P*RadSpec!AX23))),".")</f>
        <v>0.48257654529173893</v>
      </c>
      <c r="AL23" s="116">
        <f>IFERROR(IF(d_ss_Bv!N23=0,".",((Ir*F*MLF_lima_bean*(1-EXP(-RadSpec!AX23*t_b)))/(P*RadSpec!AX23))),".")</f>
        <v>0.13690875321980447</v>
      </c>
      <c r="AM23" s="116">
        <f>IFERROR(IF(d_ss_Bv!O23=0,".",((Ir*F*MLF_okra*(1-EXP(-RadSpec!AX23*t_b)))/(P*RadSpec!AX23))),".")</f>
        <v>2.8597128609880828E-3</v>
      </c>
      <c r="AN23" s="116">
        <f>IFERROR(IF(d_ss_Bv!P23=0,".",((Ir*F*MLF_onion*(1-EXP(-RadSpec!AX23*t_b)))/(P*RadSpec!AX23))),".")</f>
        <v>3.4674018439480501E-3</v>
      </c>
      <c r="AO23" s="116">
        <f>IFERROR(IF(d_ss_Bv!Q23=0,".",((Ir*F*MLF_peach*(1-EXP(-RadSpec!AX23*t_b)))/(P*RadSpec!AX23))),".")</f>
        <v>5.361961614352654E-3</v>
      </c>
      <c r="AP23" s="116">
        <f>IFERROR(IF(d_ss_Bv!R23=0,".",((Ir*F*MLF_pear*(1-EXP(-RadSpec!AX23*t_b)))/(P*RadSpec!AX23))),".")</f>
        <v>5.7194257219761657E-3</v>
      </c>
      <c r="AQ23" s="116">
        <f>IFERROR(IF(d_ss_Bv!S23=0,".",((Ir*F*MLF_peas*(1-EXP(-RadSpec!AX23*t_b)))/(P*RadSpec!AX23))),".")</f>
        <v>6.3628611156984829E-3</v>
      </c>
      <c r="AR23" s="116">
        <f>IFERROR(IF(d_ss_Bv!T23=0,".",((Ir*F*MLF_potato*(1-EXP(-RadSpec!AX23*t_b)))/(P*RadSpec!AX23))),".")</f>
        <v>7.5067462600937164E-3</v>
      </c>
      <c r="AS23" s="116">
        <f>IFERROR(IF(d_ss_Bv!U23=0,".",((Ir*F*MLF_pumpkin*(1-EXP(-RadSpec!AX23*t_b)))/(P*RadSpec!AX23))),".")</f>
        <v>2.0732918242163598E-3</v>
      </c>
      <c r="AT23" s="116">
        <f>IFERROR(IF(d_ss_Bv!V23=0,".",((Ir*F*MLF_snap_bean*(1-EXP(-RadSpec!AX23*t_b)))/(P*RadSpec!AX23))),".")</f>
        <v>0.17873205381175516</v>
      </c>
      <c r="AU23" s="116">
        <f>IFERROR(IF(d_ss_Bv!W23=0,".",((Ir*F*MLF_strawberry*(1-EXP(-RadSpec!AX23*t_b)))/(P*RadSpec!AX23))),".")</f>
        <v>2.8597128609880828E-3</v>
      </c>
      <c r="AV23" s="116">
        <f>IFERROR(IF(d_ss_Bv!X23=0,".",((Ir*F*MLF_tomato*(1-EXP(-RadSpec!AX23*t_b)))/(P*RadSpec!AX23))),".")</f>
        <v>5.6836793112138136E-2</v>
      </c>
      <c r="AW23" s="116">
        <f>IFERROR(IF(d_ss_Bv!Y23=0,".",((Ir*F*MLF_rice*(1-EXP(-RadSpec!AX23*t_b)))/(P*RadSpec!AX23))),".")</f>
        <v>8.9366026905877582</v>
      </c>
      <c r="AX23" s="116">
        <f>IFERROR(IF(d_ss_Bv!Z23=0,".",((Ir*F*MLF_cereal*(1-EXP(-RadSpec!AX23*t_b)))/(P*RadSpec!AX23))),".")</f>
        <v>8.9366026905877582</v>
      </c>
      <c r="AY23" s="116">
        <f>IFERROR(IF(d_ss_Bv!C23=0,".",((Ir*F*I_f*T*(1-EXP(-RadSpec!AY23*t_v)))/(Y_v*RadSpec!AY23))),".")</f>
        <v>3.6424203206347228</v>
      </c>
      <c r="AZ23" s="116">
        <f>IFERROR(IF(d_ss_Bv!D23=0,".",((Ir*F*I_f*T*(1-EXP(-RadSpec!AY23*t_v)))/(Y_v*RadSpec!AY23))),".")</f>
        <v>3.6424203206347228</v>
      </c>
      <c r="BA23" s="116">
        <f>IFERROR(IF(d_ss_Bv!E23=0,".",((Ir*F*I_f*T*(1-EXP(-RadSpec!AY23*t_v)))/(Y_v*RadSpec!AY23))),".")</f>
        <v>3.6424203206347228</v>
      </c>
      <c r="BB23" s="116">
        <f>IFERROR(IF(d_ss_Bv!F23=0,".",((Ir*F*I_f*T*(1-EXP(-RadSpec!AY23*t_v)))/(Y_v*RadSpec!AY23))),".")</f>
        <v>3.6424203206347228</v>
      </c>
      <c r="BC23" s="116">
        <f>IFERROR(IF(d_ss_Bv!G23=0,".",((Ir*F*I_f*T*(1-EXP(-RadSpec!AY23*t_v)))/(Y_v*RadSpec!AY23))),".")</f>
        <v>3.6424203206347228</v>
      </c>
      <c r="BD23" s="116">
        <f>IFERROR(IF(d_ss_Bv!H23=0,".",((Ir*F*I_f*T*(1-EXP(-RadSpec!AY23*t_v)))/(Y_v*RadSpec!AY23))),".")</f>
        <v>3.6424203206347228</v>
      </c>
      <c r="BE23" s="116">
        <f>IFERROR(IF(d_ss_Bv!I23=0,".",((Ir*F*I_f*T*(1-EXP(-RadSpec!AY23*t_v)))/(Y_v*RadSpec!AY23))),".")</f>
        <v>3.6424203206347228</v>
      </c>
      <c r="BF23" s="116">
        <f>IFERROR(IF(d_ss_Bv!J23=0,".",((Ir*F*I_f*T*(1-EXP(-RadSpec!AY23*t_v)))/(Y_v*RadSpec!AY23))),".")</f>
        <v>3.6424203206347228</v>
      </c>
      <c r="BG23" s="116">
        <f>IFERROR(IF(d_ss_Bv!K23=0,".",((Ir*F*I_f*T*(1-EXP(-RadSpec!AY23*t_v)))/(Y_v*RadSpec!AY23))),".")</f>
        <v>3.6424203206347228</v>
      </c>
      <c r="BH23" s="116">
        <f>IFERROR(IF(d_ss_Bv!L23=0,".",((Ir*F*I_f*T*(1-EXP(-RadSpec!AY23*t_v)))/(Y_v*RadSpec!AY23))),".")</f>
        <v>3.6424203206347228</v>
      </c>
      <c r="BI23" s="116">
        <f>IFERROR(IF(d_ss_Bv!M23=0,".",((Ir*F*I_f*T*(1-EXP(-RadSpec!AY23*t_v)))/(Y_v*RadSpec!AY23))),".")</f>
        <v>3.6424203206347228</v>
      </c>
      <c r="BJ23" s="116">
        <f>IFERROR(IF(d_ss_Bv!N23=0,".",((Ir*F*I_f*T*(1-EXP(-RadSpec!AY23*t_v)))/(Y_v*RadSpec!AY23))),".")</f>
        <v>3.6424203206347228</v>
      </c>
      <c r="BK23" s="116">
        <f>IFERROR(IF(d_ss_Bv!O23=0,".",((Ir*F*I_f*T*(1-EXP(-RadSpec!AY23*t_v)))/(Y_v*RadSpec!AY23))),".")</f>
        <v>3.6424203206347228</v>
      </c>
      <c r="BL23" s="116">
        <f>IFERROR(IF(d_ss_Bv!P23=0,".",((Ir*F*I_f*T*(1-EXP(-RadSpec!AY23*t_v)))/(Y_v*RadSpec!AY23))),".")</f>
        <v>3.6424203206347228</v>
      </c>
      <c r="BM23" s="116">
        <f>IFERROR(IF(d_ss_Bv!Q23=0,".",((Ir*F*I_f*T*(1-EXP(-RadSpec!AY23*t_v)))/(Y_v*RadSpec!AY23))),".")</f>
        <v>3.6424203206347228</v>
      </c>
      <c r="BN23" s="116">
        <f>IFERROR(IF(d_ss_Bv!R23=0,".",((Ir*F*I_f*T*(1-EXP(-RadSpec!AY23*t_v)))/(Y_v*RadSpec!AY23))),".")</f>
        <v>3.6424203206347228</v>
      </c>
      <c r="BO23" s="116">
        <f>IFERROR(IF(d_ss_Bv!S23=0,".",((Ir*F*I_f*T*(1-EXP(-RadSpec!AY23*t_v)))/(Y_v*RadSpec!AY23))),".")</f>
        <v>3.6424203206347228</v>
      </c>
      <c r="BP23" s="116">
        <f>IFERROR(IF(d_ss_Bv!T23=0,".",((Ir*F*I_f*T*(1-EXP(-RadSpec!AY23*t_v)))/(Y_v*RadSpec!AY23))),".")</f>
        <v>3.6424203206347228</v>
      </c>
      <c r="BQ23" s="116">
        <f>IFERROR(IF(d_ss_Bv!U23=0,".",((Ir*F*I_f*T*(1-EXP(-RadSpec!AY23*t_v)))/(Y_v*RadSpec!AY23))),".")</f>
        <v>3.6424203206347228</v>
      </c>
      <c r="BR23" s="116">
        <f>IFERROR(IF(d_ss_Bv!V23=0,".",((Ir*F*I_f*T*(1-EXP(-RadSpec!AY23*t_v)))/(Y_v*RadSpec!AY23))),".")</f>
        <v>3.6424203206347228</v>
      </c>
      <c r="BS23" s="116">
        <f>IFERROR(IF(d_ss_Bv!W23=0,".",((Ir*F*I_f*T*(1-EXP(-RadSpec!AY23*t_v)))/(Y_v*RadSpec!AY23))),".")</f>
        <v>3.6424203206347228</v>
      </c>
      <c r="BT23" s="116">
        <f>IFERROR(IF(d_ss_Bv!X23=0,".",((Ir*F*I_f*T*(1-EXP(-RadSpec!AY23*t_v)))/(Y_v*RadSpec!AY23))),".")</f>
        <v>3.6424203206347228</v>
      </c>
      <c r="BU23" s="116">
        <f>IFERROR(IF(d_ss_Bv!Y23=0,".",((Ir*F*I_f*T*(1-EXP(-RadSpec!AY23*t_v)))/(Y_v*RadSpec!AY23))),".")</f>
        <v>3.6424203206347228</v>
      </c>
      <c r="BV23" s="116">
        <f>IFERROR(IF(d_ss_Bv!Z23=0,".",((Ir*F*I_f*T*(1-EXP(-RadSpec!AY23*t_v)))/(Y_v*RadSpec!AY23))),".")</f>
        <v>3.6424203206347228</v>
      </c>
    </row>
    <row r="24" spans="1:74" x14ac:dyDescent="0.25">
      <c r="A24" s="44" t="s">
        <v>34</v>
      </c>
      <c r="B24" s="42" t="s">
        <v>1074</v>
      </c>
      <c r="C24" s="116" t="str">
        <f>IFERROR(IF(d_ss_Bv!C24=0,".",((Ir*F*d_ss_Bv!C24*(1-EXP(-RadSpec!AX24*t_b)))/(P*RadSpec!AX24))),".")</f>
        <v>.</v>
      </c>
      <c r="D24" s="116" t="str">
        <f>IFERROR(IF(d_ss_Bv!D24=0,".",((Ir*F*d_ss_Bv!D24*(1-EXP(-RadSpec!AX24*t_b)))/(P*RadSpec!AX24))),".")</f>
        <v>.</v>
      </c>
      <c r="E24" s="116" t="str">
        <f>IFERROR(IF(d_ss_Bv!E24=0,".",((Ir*F*d_ss_Bv!E24*(1-EXP(-RadSpec!AX24*t_b)))/(P*RadSpec!AX24))),".")</f>
        <v>.</v>
      </c>
      <c r="F24" s="116" t="str">
        <f>IFERROR(IF(d_ss_Bv!F24=0,".",((Ir*F*d_ss_Bv!F24*(1-EXP(-RadSpec!AX24*t_b)))/(P*RadSpec!AX24))),".")</f>
        <v>.</v>
      </c>
      <c r="G24" s="116" t="str">
        <f>IFERROR(IF(d_ss_Bv!G24=0,".",((Ir*F*d_ss_Bv!G24*(1-EXP(-RadSpec!AX24*t_b)))/(P*RadSpec!AX24))),".")</f>
        <v>.</v>
      </c>
      <c r="H24" s="116" t="str">
        <f>IFERROR(IF(d_ss_Bv!H24=0,".",((Ir*F*d_ss_Bv!H24*(1-EXP(-RadSpec!AX24*t_b)))/(P*RadSpec!AX24))),".")</f>
        <v>.</v>
      </c>
      <c r="I24" s="116" t="str">
        <f>IFERROR(IF(d_ss_Bv!I24=0,".",((Ir*F*d_ss_Bv!I24*(1-EXP(-RadSpec!AX24*t_b)))/(P*RadSpec!AX24))),".")</f>
        <v>.</v>
      </c>
      <c r="J24" s="116" t="str">
        <f>IFERROR(IF(d_ss_Bv!J24=0,".",((Ir*F*d_ss_Bv!J24*(1-EXP(-RadSpec!AX24*t_b)))/(P*RadSpec!AX24))),".")</f>
        <v>.</v>
      </c>
      <c r="K24" s="116" t="str">
        <f>IFERROR(IF(d_ss_Bv!K24=0,".",((Ir*F*d_ss_Bv!K24*(1-EXP(-RadSpec!AX24*t_b)))/(P*RadSpec!AX24))),".")</f>
        <v>.</v>
      </c>
      <c r="L24" s="116" t="str">
        <f>IFERROR(IF(d_ss_Bv!L24=0,".",((Ir*F*d_ss_Bv!L24*(1-EXP(-RadSpec!AX24*t_b)))/(P*RadSpec!AX24))),".")</f>
        <v>.</v>
      </c>
      <c r="M24" s="116" t="str">
        <f>IFERROR(IF(d_ss_Bv!M24=0,".",((Ir*F*d_ss_Bv!M24*(1-EXP(-RadSpec!AX24*t_b)))/(P*RadSpec!AX24))),".")</f>
        <v>.</v>
      </c>
      <c r="N24" s="116" t="str">
        <f>IFERROR(IF(d_ss_Bv!N24=0,".",((Ir*F*d_ss_Bv!N24*(1-EXP(-RadSpec!AX24*t_b)))/(P*RadSpec!AX24))),".")</f>
        <v>.</v>
      </c>
      <c r="O24" s="116" t="str">
        <f>IFERROR(IF(d_ss_Bv!O24=0,".",((Ir*F*d_ss_Bv!O24*(1-EXP(-RadSpec!AX24*t_b)))/(P*RadSpec!AX24))),".")</f>
        <v>.</v>
      </c>
      <c r="P24" s="116" t="str">
        <f>IFERROR(IF(d_ss_Bv!P24=0,".",((Ir*F*d_ss_Bv!P24*(1-EXP(-RadSpec!AX24*t_b)))/(P*RadSpec!AX24))),".")</f>
        <v>.</v>
      </c>
      <c r="Q24" s="116" t="str">
        <f>IFERROR(IF(d_ss_Bv!Q24=0,".",((Ir*F*d_ss_Bv!Q24*(1-EXP(-RadSpec!AX24*t_b)))/(P*RadSpec!AX24))),".")</f>
        <v>.</v>
      </c>
      <c r="R24" s="116" t="str">
        <f>IFERROR(IF(d_ss_Bv!R24=0,".",((Ir*F*d_ss_Bv!R24*(1-EXP(-RadSpec!AX24*t_b)))/(P*RadSpec!AX24))),".")</f>
        <v>.</v>
      </c>
      <c r="S24" s="116" t="str">
        <f>IFERROR(IF(d_ss_Bv!S24=0,".",((Ir*F*d_ss_Bv!S24*(1-EXP(-RadSpec!AX24*t_b)))/(P*RadSpec!AX24))),".")</f>
        <v>.</v>
      </c>
      <c r="T24" s="116" t="str">
        <f>IFERROR(IF(d_ss_Bv!T24=0,".",((Ir*F*d_ss_Bv!T24*(1-EXP(-RadSpec!AX24*t_b)))/(P*RadSpec!AX24))),".")</f>
        <v>.</v>
      </c>
      <c r="U24" s="116" t="str">
        <f>IFERROR(IF(d_ss_Bv!U24=0,".",((Ir*F*d_ss_Bv!U24*(1-EXP(-RadSpec!AX24*t_b)))/(P*RadSpec!AX24))),".")</f>
        <v>.</v>
      </c>
      <c r="V24" s="116" t="str">
        <f>IFERROR(IF(d_ss_Bv!V24=0,".",((Ir*F*d_ss_Bv!V24*(1-EXP(-RadSpec!AX24*t_b)))/(P*RadSpec!AX24))),".")</f>
        <v>.</v>
      </c>
      <c r="W24" s="116" t="str">
        <f>IFERROR(IF(d_ss_Bv!W24=0,".",((Ir*F*d_ss_Bv!W24*(1-EXP(-RadSpec!AX24*t_b)))/(P*RadSpec!AX24))),".")</f>
        <v>.</v>
      </c>
      <c r="X24" s="116" t="str">
        <f>IFERROR(IF(d_ss_Bv!X24=0,".",((Ir*F*d_ss_Bv!X24*(1-EXP(-RadSpec!AX24*t_b)))/(P*RadSpec!AX24))),".")</f>
        <v>.</v>
      </c>
      <c r="Y24" s="116" t="str">
        <f>IFERROR(IF(d_ss_Bv!Y24=0,".",((Ir*F*d_ss_Bv!Y24*(1-EXP(-RadSpec!AX24*t_b)))/(P*RadSpec!AX24))),".")</f>
        <v>.</v>
      </c>
      <c r="Z24" s="116" t="str">
        <f>IFERROR(IF(d_ss_Bv!Z24=0,".",((Ir*F*d_ss_Bv!Z24*(1-EXP(-RadSpec!AX24*t_b)))/(P*RadSpec!AX24))),".")</f>
        <v>.</v>
      </c>
      <c r="AA24" s="116" t="str">
        <f>IFERROR(IF(d_ss_Bv!C24=0,".",((Ir*F*MLF_apple*(1-EXP(-RadSpec!AX24*t_b)))/(P*RadSpec!AX24))),".")</f>
        <v>.</v>
      </c>
      <c r="AB24" s="116" t="str">
        <f>IFERROR(IF(d_ss_Bv!D24=0,".",((Ir*F*MLF_asparagus*(1-EXP(-RadSpec!AX24*t_b)))/(P*RadSpec!AX24))),".")</f>
        <v>.</v>
      </c>
      <c r="AC24" s="116" t="str">
        <f>IFERROR(IF(d_ss_Bv!E24=0,".",((Ir*F*MLF_beet*(1-EXP(-RadSpec!AX24*t_b)))/(P*RadSpec!AX24))),".")</f>
        <v>.</v>
      </c>
      <c r="AD24" s="116" t="str">
        <f>IFERROR(IF(d_ss_Bv!F24=0,".",((Ir*F*MLF_berries*(1-EXP(-RadSpec!AX24*t_b)))/(P*RadSpec!AX24))),".")</f>
        <v>.</v>
      </c>
      <c r="AE24" s="116" t="str">
        <f>IFERROR(IF(d_ss_Bv!G24=0,".",((Ir*F*MLF_broccoli*(1-EXP(-RadSpec!AX24*t_b)))/(P*RadSpec!AX24))),".")</f>
        <v>.</v>
      </c>
      <c r="AF24" s="116" t="str">
        <f>IFERROR(IF(d_ss_Bv!H24=0,".",((Ir*F*MLF_cabbage*(1-EXP(-RadSpec!AX24*t_b)))/(P*RadSpec!AX24))),".")</f>
        <v>.</v>
      </c>
      <c r="AG24" s="116" t="str">
        <f>IFERROR(IF(d_ss_Bv!I24=0,".",((Ir*F*MLF_carrot*(1-EXP(-RadSpec!AX24*t_b)))/(P*RadSpec!AX24))),".")</f>
        <v>.</v>
      </c>
      <c r="AH24" s="116" t="str">
        <f>IFERROR(IF(d_ss_Bv!J24=0,".",((Ir*F*MLF_citrus*(1-EXP(-RadSpec!AX24*t_b)))/(P*RadSpec!AX24))),".")</f>
        <v>.</v>
      </c>
      <c r="AI24" s="116" t="str">
        <f>IFERROR(IF(d_ss_Bv!K24=0,".",((Ir*F*MLF_corn*(1-EXP(-RadSpec!AX24*t_b)))/(P*RadSpec!AX24))),".")</f>
        <v>.</v>
      </c>
      <c r="AJ24" s="116" t="str">
        <f>IFERROR(IF(d_ss_Bv!L24=0,".",((Ir*F*MLF_cucumber*(1-EXP(-RadSpec!AX24*t_b)))/(P*RadSpec!AX24))),".")</f>
        <v>.</v>
      </c>
      <c r="AK24" s="116" t="str">
        <f>IFERROR(IF(d_ss_Bv!M24=0,".",((Ir*F*MLF_lettuce*(1-EXP(-RadSpec!AX24*t_b)))/(P*RadSpec!AX24))),".")</f>
        <v>.</v>
      </c>
      <c r="AL24" s="116" t="str">
        <f>IFERROR(IF(d_ss_Bv!N24=0,".",((Ir*F*MLF_lima_bean*(1-EXP(-RadSpec!AX24*t_b)))/(P*RadSpec!AX24))),".")</f>
        <v>.</v>
      </c>
      <c r="AM24" s="116" t="str">
        <f>IFERROR(IF(d_ss_Bv!O24=0,".",((Ir*F*MLF_okra*(1-EXP(-RadSpec!AX24*t_b)))/(P*RadSpec!AX24))),".")</f>
        <v>.</v>
      </c>
      <c r="AN24" s="116" t="str">
        <f>IFERROR(IF(d_ss_Bv!P24=0,".",((Ir*F*MLF_onion*(1-EXP(-RadSpec!AX24*t_b)))/(P*RadSpec!AX24))),".")</f>
        <v>.</v>
      </c>
      <c r="AO24" s="116" t="str">
        <f>IFERROR(IF(d_ss_Bv!Q24=0,".",((Ir*F*MLF_peach*(1-EXP(-RadSpec!AX24*t_b)))/(P*RadSpec!AX24))),".")</f>
        <v>.</v>
      </c>
      <c r="AP24" s="116" t="str">
        <f>IFERROR(IF(d_ss_Bv!OI24=0,".",((Ir*F*MLF_pear*(1-EXP(-RadSpec!AX24*t_b)))/(P*RadSpec!AX24))),".")</f>
        <v>.</v>
      </c>
      <c r="AQ24" s="116" t="str">
        <f>IFERROR(IF(d_ss_Bv!S24=0,".",((Ir*F*MLF_peas*(1-EXP(-RadSpec!AX24*t_b)))/(P*RadSpec!AX24))),".")</f>
        <v>.</v>
      </c>
      <c r="AR24" s="116" t="str">
        <f>IFERROR(IF(d_ss_Bv!T24=0,".",((Ir*F*MLF_potato*(1-EXP(-RadSpec!AX24*t_b)))/(P*RadSpec!AX24))),".")</f>
        <v>.</v>
      </c>
      <c r="AS24" s="116" t="str">
        <f>IFERROR(IF(d_ss_Bv!U24=0,".",((Ir*F*MLF_pumpkin*(1-EXP(-RadSpec!AX24*t_b)))/(P*RadSpec!AX24))),".")</f>
        <v>.</v>
      </c>
      <c r="AT24" s="116" t="str">
        <f>IFERROR(IF(d_ss_Bv!V24=0,".",((Ir*F*MLF_snap_bean*(1-EXP(-RadSpec!AX24*t_b)))/(P*RadSpec!AX24))),".")</f>
        <v>.</v>
      </c>
      <c r="AU24" s="116" t="str">
        <f>IFERROR(IF(d_ss_Bv!W24=0,".",((Ir*F*MLF_strawberry*(1-EXP(-RadSpec!AX24*t_b)))/(P*RadSpec!AX24))),".")</f>
        <v>.</v>
      </c>
      <c r="AV24" s="116" t="str">
        <f>IFERROR(IF(d_ss_Bv!X24=0,".",((Ir*F*MLF_tomato*(1-EXP(-RadSpec!AX24*t_b)))/(P*RadSpec!AX24))),".")</f>
        <v>.</v>
      </c>
      <c r="AW24" s="116" t="str">
        <f>IFERROR(IF(d_ss_Bv!Y24=0,".",((Ir*F*MLF_rice*(1-EXP(-RadSpec!AX24*t_b)))/(P*RadSpec!AX24))),".")</f>
        <v>.</v>
      </c>
      <c r="AX24" s="116" t="str">
        <f>IFERROR(IF(d_ss_Bv!Z24=0,".",((Ir*F*MLF_cereal*(1-EXP(-RadSpec!AX24*t_b)))/(P*RadSpec!AX24))),".")</f>
        <v>.</v>
      </c>
      <c r="AY24" s="116" t="str">
        <f>IFERROR(IF(d_ss_Bv!C24=0,".",((Ir*F*I_f*T*(1-EXP(-RadSpec!AY24*t_v)))/(Y_v*RadSpec!AY24))),".")</f>
        <v>.</v>
      </c>
      <c r="AZ24" s="116" t="str">
        <f>IFERROR(IF(d_ss_Bv!D24=0,".",((Ir*F*I_f*T*(1-EXP(-RadSpec!AY24*t_v)))/(Y_v*RadSpec!AY24))),".")</f>
        <v>.</v>
      </c>
      <c r="BA24" s="116" t="str">
        <f>IFERROR(IF(d_ss_Bv!E24=0,".",((Ir*F*I_f*T*(1-EXP(-RadSpec!AY24*t_v)))/(Y_v*RadSpec!AY24))),".")</f>
        <v>.</v>
      </c>
      <c r="BB24" s="116" t="str">
        <f>IFERROR(IF(d_ss_Bv!F24=0,".",((Ir*F*I_f*T*(1-EXP(-RadSpec!AY24*t_v)))/(Y_v*RadSpec!AY24))),".")</f>
        <v>.</v>
      </c>
      <c r="BC24" s="116" t="str">
        <f>IFERROR(IF(d_ss_Bv!G24=0,".",((Ir*F*I_f*T*(1-EXP(-RadSpec!AY24*t_v)))/(Y_v*RadSpec!AY24))),".")</f>
        <v>.</v>
      </c>
      <c r="BD24" s="116" t="str">
        <f>IFERROR(IF(d_ss_Bv!H24=0,".",((Ir*F*I_f*T*(1-EXP(-RadSpec!AY24*t_v)))/(Y_v*RadSpec!AY24))),".")</f>
        <v>.</v>
      </c>
      <c r="BE24" s="116" t="str">
        <f>IFERROR(IF(d_ss_Bv!I24=0,".",((Ir*F*I_f*T*(1-EXP(-RadSpec!AY24*t_v)))/(Y_v*RadSpec!AY24))),".")</f>
        <v>.</v>
      </c>
      <c r="BF24" s="116" t="str">
        <f>IFERROR(IF(d_ss_Bv!J24=0,".",((Ir*F*I_f*T*(1-EXP(-RadSpec!AY24*t_v)))/(Y_v*RadSpec!AY24))),".")</f>
        <v>.</v>
      </c>
      <c r="BG24" s="116" t="str">
        <f>IFERROR(IF(d_ss_Bv!K24=0,".",((Ir*F*I_f*T*(1-EXP(-RadSpec!AY24*t_v)))/(Y_v*RadSpec!AY24))),".")</f>
        <v>.</v>
      </c>
      <c r="BH24" s="116" t="str">
        <f>IFERROR(IF(d_ss_Bv!L24=0,".",((Ir*F*I_f*T*(1-EXP(-RadSpec!AY24*t_v)))/(Y_v*RadSpec!AY24))),".")</f>
        <v>.</v>
      </c>
      <c r="BI24" s="116" t="str">
        <f>IFERROR(IF(d_ss_Bv!M24=0,".",((Ir*F*I_f*T*(1-EXP(-RadSpec!AY24*t_v)))/(Y_v*RadSpec!AY24))),".")</f>
        <v>.</v>
      </c>
      <c r="BJ24" s="116" t="str">
        <f>IFERROR(IF(d_ss_Bv!N24=0,".",((Ir*F*I_f*T*(1-EXP(-RadSpec!AY24*t_v)))/(Y_v*RadSpec!AY24))),".")</f>
        <v>.</v>
      </c>
      <c r="BK24" s="116" t="str">
        <f>IFERROR(IF(d_ss_Bv!O24=0,".",((Ir*F*I_f*T*(1-EXP(-RadSpec!AY24*t_v)))/(Y_v*RadSpec!AY24))),".")</f>
        <v>.</v>
      </c>
      <c r="BL24" s="116" t="str">
        <f>IFERROR(IF(d_ss_Bv!P24=0,".",((Ir*F*I_f*T*(1-EXP(-RadSpec!AY24*t_v)))/(Y_v*RadSpec!AY24))),".")</f>
        <v>.</v>
      </c>
      <c r="BM24" s="116" t="str">
        <f>IFERROR(IF(d_ss_Bv!Q24=0,".",((Ir*F*I_f*T*(1-EXP(-RadSpec!AY24*t_v)))/(Y_v*RadSpec!AY24))),".")</f>
        <v>.</v>
      </c>
      <c r="BN24" s="116" t="str">
        <f>IFERROR(IF(d_ss_Bv!R24=0,".",((Ir*F*I_f*T*(1-EXP(-RadSpec!AY24*t_v)))/(Y_v*RadSpec!AY24))),".")</f>
        <v>.</v>
      </c>
      <c r="BO24" s="116" t="str">
        <f>IFERROR(IF(d_ss_Bv!S24=0,".",((Ir*F*I_f*T*(1-EXP(-RadSpec!AY24*t_v)))/(Y_v*RadSpec!AY24))),".")</f>
        <v>.</v>
      </c>
      <c r="BP24" s="116" t="str">
        <f>IFERROR(IF(d_ss_Bv!T24=0,".",((Ir*F*I_f*T*(1-EXP(-RadSpec!AY24*t_v)))/(Y_v*RadSpec!AY24))),".")</f>
        <v>.</v>
      </c>
      <c r="BQ24" s="116" t="str">
        <f>IFERROR(IF(d_ss_Bv!U24=0,".",((Ir*F*I_f*T*(1-EXP(-RadSpec!AY24*t_v)))/(Y_v*RadSpec!AY24))),".")</f>
        <v>.</v>
      </c>
      <c r="BR24" s="116" t="str">
        <f>IFERROR(IF(d_ss_Bv!V24=0,".",((Ir*F*I_f*T*(1-EXP(-RadSpec!AY24*t_v)))/(Y_v*RadSpec!AY24))),".")</f>
        <v>.</v>
      </c>
      <c r="BS24" s="116" t="str">
        <f>IFERROR(IF(d_ss_Bv!W24=0,".",((Ir*F*I_f*T*(1-EXP(-RadSpec!AY24*t_v)))/(Y_v*RadSpec!AY24))),".")</f>
        <v>.</v>
      </c>
      <c r="BT24" s="116" t="str">
        <f>IFERROR(IF(d_ss_Bv!X24=0,".",((Ir*F*I_f*T*(1-EXP(-RadSpec!AY24*t_v)))/(Y_v*RadSpec!AY24))),".")</f>
        <v>.</v>
      </c>
      <c r="BU24" s="116" t="str">
        <f>IFERROR(IF(d_ss_Bv!Y24=0,".",((Ir*F*I_f*T*(1-EXP(-RadSpec!AY24*t_v)))/(Y_v*RadSpec!AY24))),".")</f>
        <v>.</v>
      </c>
      <c r="BV24" s="116" t="str">
        <f>IFERROR(IF(d_ss_Bv!Z24=0,".",((Ir*F*I_f*T*(1-EXP(-RadSpec!AY24*t_v)))/(Y_v*RadSpec!AY24))),".")</f>
        <v>.</v>
      </c>
    </row>
    <row r="25" spans="1:74" x14ac:dyDescent="0.25">
      <c r="A25" s="46" t="s">
        <v>35</v>
      </c>
      <c r="B25" s="42" t="s">
        <v>351</v>
      </c>
      <c r="C25" s="116" t="str">
        <f>IFERROR(IF(d_ss_Bv!C25=0,".",((Ir*F*d_ss_Bv!C25*(1-EXP(-RadSpec!AX25*t_b)))/(P*RadSpec!AX25))),".")</f>
        <v>.</v>
      </c>
      <c r="D25" s="116" t="str">
        <f>IFERROR(IF(d_ss_Bv!D25=0,".",((Ir*F*d_ss_Bv!D25*(1-EXP(-RadSpec!AX25*t_b)))/(P*RadSpec!AX25))),".")</f>
        <v>.</v>
      </c>
      <c r="E25" s="116" t="str">
        <f>IFERROR(IF(d_ss_Bv!E25=0,".",((Ir*F*d_ss_Bv!E25*(1-EXP(-RadSpec!AX25*t_b)))/(P*RadSpec!AX25))),".")</f>
        <v>.</v>
      </c>
      <c r="F25" s="116" t="str">
        <f>IFERROR(IF(d_ss_Bv!F25=0,".",((Ir*F*d_ss_Bv!F25*(1-EXP(-RadSpec!AX25*t_b)))/(P*RadSpec!AX25))),".")</f>
        <v>.</v>
      </c>
      <c r="G25" s="116" t="str">
        <f>IFERROR(IF(d_ss_Bv!G25=0,".",((Ir*F*d_ss_Bv!G25*(1-EXP(-RadSpec!AX25*t_b)))/(P*RadSpec!AX25))),".")</f>
        <v>.</v>
      </c>
      <c r="H25" s="116" t="str">
        <f>IFERROR(IF(d_ss_Bv!H25=0,".",((Ir*F*d_ss_Bv!H25*(1-EXP(-RadSpec!AX25*t_b)))/(P*RadSpec!AX25))),".")</f>
        <v>.</v>
      </c>
      <c r="I25" s="116" t="str">
        <f>IFERROR(IF(d_ss_Bv!I25=0,".",((Ir*F*d_ss_Bv!I25*(1-EXP(-RadSpec!AX25*t_b)))/(P*RadSpec!AX25))),".")</f>
        <v>.</v>
      </c>
      <c r="J25" s="116" t="str">
        <f>IFERROR(IF(d_ss_Bv!J25=0,".",((Ir*F*d_ss_Bv!J25*(1-EXP(-RadSpec!AX25*t_b)))/(P*RadSpec!AX25))),".")</f>
        <v>.</v>
      </c>
      <c r="K25" s="116" t="str">
        <f>IFERROR(IF(d_ss_Bv!K25=0,".",((Ir*F*d_ss_Bv!K25*(1-EXP(-RadSpec!AX25*t_b)))/(P*RadSpec!AX25))),".")</f>
        <v>.</v>
      </c>
      <c r="L25" s="116" t="str">
        <f>IFERROR(IF(d_ss_Bv!L25=0,".",((Ir*F*d_ss_Bv!L25*(1-EXP(-RadSpec!AX25*t_b)))/(P*RadSpec!AX25))),".")</f>
        <v>.</v>
      </c>
      <c r="M25" s="116" t="str">
        <f>IFERROR(IF(d_ss_Bv!M25=0,".",((Ir*F*d_ss_Bv!M25*(1-EXP(-RadSpec!AX25*t_b)))/(P*RadSpec!AX25))),".")</f>
        <v>.</v>
      </c>
      <c r="N25" s="116" t="str">
        <f>IFERROR(IF(d_ss_Bv!N25=0,".",((Ir*F*d_ss_Bv!N25*(1-EXP(-RadSpec!AX25*t_b)))/(P*RadSpec!AX25))),".")</f>
        <v>.</v>
      </c>
      <c r="O25" s="116" t="str">
        <f>IFERROR(IF(d_ss_Bv!O25=0,".",((Ir*F*d_ss_Bv!O25*(1-EXP(-RadSpec!AX25*t_b)))/(P*RadSpec!AX25))),".")</f>
        <v>.</v>
      </c>
      <c r="P25" s="116" t="str">
        <f>IFERROR(IF(d_ss_Bv!P25=0,".",((Ir*F*d_ss_Bv!P25*(1-EXP(-RadSpec!AX25*t_b)))/(P*RadSpec!AX25))),".")</f>
        <v>.</v>
      </c>
      <c r="Q25" s="116" t="str">
        <f>IFERROR(IF(d_ss_Bv!Q25=0,".",((Ir*F*d_ss_Bv!Q25*(1-EXP(-RadSpec!AX25*t_b)))/(P*RadSpec!AX25))),".")</f>
        <v>.</v>
      </c>
      <c r="R25" s="116" t="str">
        <f>IFERROR(IF(d_ss_Bv!R25=0,".",((Ir*F*d_ss_Bv!R25*(1-EXP(-RadSpec!AX25*t_b)))/(P*RadSpec!AX25))),".")</f>
        <v>.</v>
      </c>
      <c r="S25" s="116" t="str">
        <f>IFERROR(IF(d_ss_Bv!S25=0,".",((Ir*F*d_ss_Bv!S25*(1-EXP(-RadSpec!AX25*t_b)))/(P*RadSpec!AX25))),".")</f>
        <v>.</v>
      </c>
      <c r="T25" s="116" t="str">
        <f>IFERROR(IF(d_ss_Bv!T25=0,".",((Ir*F*d_ss_Bv!T25*(1-EXP(-RadSpec!AX25*t_b)))/(P*RadSpec!AX25))),".")</f>
        <v>.</v>
      </c>
      <c r="U25" s="116" t="str">
        <f>IFERROR(IF(d_ss_Bv!U25=0,".",((Ir*F*d_ss_Bv!U25*(1-EXP(-RadSpec!AX25*t_b)))/(P*RadSpec!AX25))),".")</f>
        <v>.</v>
      </c>
      <c r="V25" s="116" t="str">
        <f>IFERROR(IF(d_ss_Bv!V25=0,".",((Ir*F*d_ss_Bv!V25*(1-EXP(-RadSpec!AX25*t_b)))/(P*RadSpec!AX25))),".")</f>
        <v>.</v>
      </c>
      <c r="W25" s="116" t="str">
        <f>IFERROR(IF(d_ss_Bv!W25=0,".",((Ir*F*d_ss_Bv!W25*(1-EXP(-RadSpec!AX25*t_b)))/(P*RadSpec!AX25))),".")</f>
        <v>.</v>
      </c>
      <c r="X25" s="116" t="str">
        <f>IFERROR(IF(d_ss_Bv!X25=0,".",((Ir*F*d_ss_Bv!X25*(1-EXP(-RadSpec!AX25*t_b)))/(P*RadSpec!AX25))),".")</f>
        <v>.</v>
      </c>
      <c r="Y25" s="116" t="str">
        <f>IFERROR(IF(d_ss_Bv!Y25=0,".",((Ir*F*d_ss_Bv!Y25*(1-EXP(-RadSpec!AX25*t_b)))/(P*RadSpec!AX25))),".")</f>
        <v>.</v>
      </c>
      <c r="Z25" s="116" t="str">
        <f>IFERROR(IF(d_ss_Bv!Z25=0,".",((Ir*F*d_ss_Bv!Z25*(1-EXP(-RadSpec!AX25*t_b)))/(P*RadSpec!AX25))),".")</f>
        <v>.</v>
      </c>
      <c r="AA25" s="116" t="str">
        <f>IFERROR(IF(d_ss_Bv!C25=0,".",((Ir*F*MLF_apple*(1-EXP(-RadSpec!AX25*t_b)))/(P*RadSpec!AX25))),".")</f>
        <v>.</v>
      </c>
      <c r="AB25" s="116" t="str">
        <f>IFERROR(IF(d_ss_Bv!D25=0,".",((Ir*F*MLF_asparagus*(1-EXP(-RadSpec!AX25*t_b)))/(P*RadSpec!AX25))),".")</f>
        <v>.</v>
      </c>
      <c r="AC25" s="116" t="str">
        <f>IFERROR(IF(d_ss_Bv!E25=0,".",((Ir*F*MLF_beet*(1-EXP(-RadSpec!AX25*t_b)))/(P*RadSpec!AX25))),".")</f>
        <v>.</v>
      </c>
      <c r="AD25" s="116" t="str">
        <f>IFERROR(IF(d_ss_Bv!F25=0,".",((Ir*F*MLF_berries*(1-EXP(-RadSpec!AX25*t_b)))/(P*RadSpec!AX25))),".")</f>
        <v>.</v>
      </c>
      <c r="AE25" s="116" t="str">
        <f>IFERROR(IF(d_ss_Bv!G25=0,".",((Ir*F*MLF_broccoli*(1-EXP(-RadSpec!AX25*t_b)))/(P*RadSpec!AX25))),".")</f>
        <v>.</v>
      </c>
      <c r="AF25" s="116" t="str">
        <f>IFERROR(IF(d_ss_Bv!H25=0,".",((Ir*F*MLF_cabbage*(1-EXP(-RadSpec!AX25*t_b)))/(P*RadSpec!AX25))),".")</f>
        <v>.</v>
      </c>
      <c r="AG25" s="116" t="str">
        <f>IFERROR(IF(d_ss_Bv!I25=0,".",((Ir*F*MLF_carrot*(1-EXP(-RadSpec!AX25*t_b)))/(P*RadSpec!AX25))),".")</f>
        <v>.</v>
      </c>
      <c r="AH25" s="116" t="str">
        <f>IFERROR(IF(d_ss_Bv!J25=0,".",((Ir*F*MLF_citrus*(1-EXP(-RadSpec!AX25*t_b)))/(P*RadSpec!AX25))),".")</f>
        <v>.</v>
      </c>
      <c r="AI25" s="116" t="str">
        <f>IFERROR(IF(d_ss_Bv!K25=0,".",((Ir*F*MLF_corn*(1-EXP(-RadSpec!AX25*t_b)))/(P*RadSpec!AX25))),".")</f>
        <v>.</v>
      </c>
      <c r="AJ25" s="116" t="str">
        <f>IFERROR(IF(d_ss_Bv!L25=0,".",((Ir*F*MLF_cucumber*(1-EXP(-RadSpec!AX25*t_b)))/(P*RadSpec!AX25))),".")</f>
        <v>.</v>
      </c>
      <c r="AK25" s="116" t="str">
        <f>IFERROR(IF(d_ss_Bv!M25=0,".",((Ir*F*MLF_lettuce*(1-EXP(-RadSpec!AX25*t_b)))/(P*RadSpec!AX25))),".")</f>
        <v>.</v>
      </c>
      <c r="AL25" s="116" t="str">
        <f>IFERROR(IF(d_ss_Bv!N25=0,".",((Ir*F*MLF_lima_bean*(1-EXP(-RadSpec!AX25*t_b)))/(P*RadSpec!AX25))),".")</f>
        <v>.</v>
      </c>
      <c r="AM25" s="116" t="str">
        <f>IFERROR(IF(d_ss_Bv!O25=0,".",((Ir*F*MLF_okra*(1-EXP(-RadSpec!AX25*t_b)))/(P*RadSpec!AX25))),".")</f>
        <v>.</v>
      </c>
      <c r="AN25" s="116" t="str">
        <f>IFERROR(IF(d_ss_Bv!P25=0,".",((Ir*F*MLF_onion*(1-EXP(-RadSpec!AX25*t_b)))/(P*RadSpec!AX25))),".")</f>
        <v>.</v>
      </c>
      <c r="AO25" s="116" t="str">
        <f>IFERROR(IF(d_ss_Bv!Q25=0,".",((Ir*F*MLF_peach*(1-EXP(-RadSpec!AX25*t_b)))/(P*RadSpec!AX25))),".")</f>
        <v>.</v>
      </c>
      <c r="AP25" s="116" t="str">
        <f>IFERROR(IF(d_ss_Bv!OI25=0,".",((Ir*F*MLF_pear*(1-EXP(-RadSpec!AX25*t_b)))/(P*RadSpec!AX25))),".")</f>
        <v>.</v>
      </c>
      <c r="AQ25" s="116" t="str">
        <f>IFERROR(IF(d_ss_Bv!S25=0,".",((Ir*F*MLF_peas*(1-EXP(-RadSpec!AX25*t_b)))/(P*RadSpec!AX25))),".")</f>
        <v>.</v>
      </c>
      <c r="AR25" s="116" t="str">
        <f>IFERROR(IF(d_ss_Bv!T25=0,".",((Ir*F*MLF_potato*(1-EXP(-RadSpec!AX25*t_b)))/(P*RadSpec!AX25))),".")</f>
        <v>.</v>
      </c>
      <c r="AS25" s="116" t="str">
        <f>IFERROR(IF(d_ss_Bv!U25=0,".",((Ir*F*MLF_pumpkin*(1-EXP(-RadSpec!AX25*t_b)))/(P*RadSpec!AX25))),".")</f>
        <v>.</v>
      </c>
      <c r="AT25" s="116" t="str">
        <f>IFERROR(IF(d_ss_Bv!V25=0,".",((Ir*F*MLF_snap_bean*(1-EXP(-RadSpec!AX25*t_b)))/(P*RadSpec!AX25))),".")</f>
        <v>.</v>
      </c>
      <c r="AU25" s="116" t="str">
        <f>IFERROR(IF(d_ss_Bv!W25=0,".",((Ir*F*MLF_strawberry*(1-EXP(-RadSpec!AX25*t_b)))/(P*RadSpec!AX25))),".")</f>
        <v>.</v>
      </c>
      <c r="AV25" s="116" t="str">
        <f>IFERROR(IF(d_ss_Bv!X25=0,".",((Ir*F*MLF_tomato*(1-EXP(-RadSpec!AX25*t_b)))/(P*RadSpec!AX25))),".")</f>
        <v>.</v>
      </c>
      <c r="AW25" s="116" t="str">
        <f>IFERROR(IF(d_ss_Bv!Y25=0,".",((Ir*F*MLF_rice*(1-EXP(-RadSpec!AX25*t_b)))/(P*RadSpec!AX25))),".")</f>
        <v>.</v>
      </c>
      <c r="AX25" s="116" t="str">
        <f>IFERROR(IF(d_ss_Bv!Z25=0,".",((Ir*F*MLF_cereal*(1-EXP(-RadSpec!AX25*t_b)))/(P*RadSpec!AX25))),".")</f>
        <v>.</v>
      </c>
      <c r="AY25" s="116" t="str">
        <f>IFERROR(IF(d_ss_Bv!C25=0,".",((Ir*F*I_f*T*(1-EXP(-RadSpec!AY25*t_v)))/(Y_v*RadSpec!AY25))),".")</f>
        <v>.</v>
      </c>
      <c r="AZ25" s="116" t="str">
        <f>IFERROR(IF(d_ss_Bv!D25=0,".",((Ir*F*I_f*T*(1-EXP(-RadSpec!AY25*t_v)))/(Y_v*RadSpec!AY25))),".")</f>
        <v>.</v>
      </c>
      <c r="BA25" s="116" t="str">
        <f>IFERROR(IF(d_ss_Bv!E25=0,".",((Ir*F*I_f*T*(1-EXP(-RadSpec!AY25*t_v)))/(Y_v*RadSpec!AY25))),".")</f>
        <v>.</v>
      </c>
      <c r="BB25" s="116" t="str">
        <f>IFERROR(IF(d_ss_Bv!F25=0,".",((Ir*F*I_f*T*(1-EXP(-RadSpec!AY25*t_v)))/(Y_v*RadSpec!AY25))),".")</f>
        <v>.</v>
      </c>
      <c r="BC25" s="116" t="str">
        <f>IFERROR(IF(d_ss_Bv!G25=0,".",((Ir*F*I_f*T*(1-EXP(-RadSpec!AY25*t_v)))/(Y_v*RadSpec!AY25))),".")</f>
        <v>.</v>
      </c>
      <c r="BD25" s="116" t="str">
        <f>IFERROR(IF(d_ss_Bv!H25=0,".",((Ir*F*I_f*T*(1-EXP(-RadSpec!AY25*t_v)))/(Y_v*RadSpec!AY25))),".")</f>
        <v>.</v>
      </c>
      <c r="BE25" s="116" t="str">
        <f>IFERROR(IF(d_ss_Bv!I25=0,".",((Ir*F*I_f*T*(1-EXP(-RadSpec!AY25*t_v)))/(Y_v*RadSpec!AY25))),".")</f>
        <v>.</v>
      </c>
      <c r="BF25" s="116" t="str">
        <f>IFERROR(IF(d_ss_Bv!J25=0,".",((Ir*F*I_f*T*(1-EXP(-RadSpec!AY25*t_v)))/(Y_v*RadSpec!AY25))),".")</f>
        <v>.</v>
      </c>
      <c r="BG25" s="116" t="str">
        <f>IFERROR(IF(d_ss_Bv!K25=0,".",((Ir*F*I_f*T*(1-EXP(-RadSpec!AY25*t_v)))/(Y_v*RadSpec!AY25))),".")</f>
        <v>.</v>
      </c>
      <c r="BH25" s="116" t="str">
        <f>IFERROR(IF(d_ss_Bv!L25=0,".",((Ir*F*I_f*T*(1-EXP(-RadSpec!AY25*t_v)))/(Y_v*RadSpec!AY25))),".")</f>
        <v>.</v>
      </c>
      <c r="BI25" s="116" t="str">
        <f>IFERROR(IF(d_ss_Bv!M25=0,".",((Ir*F*I_f*T*(1-EXP(-RadSpec!AY25*t_v)))/(Y_v*RadSpec!AY25))),".")</f>
        <v>.</v>
      </c>
      <c r="BJ25" s="116" t="str">
        <f>IFERROR(IF(d_ss_Bv!N25=0,".",((Ir*F*I_f*T*(1-EXP(-RadSpec!AY25*t_v)))/(Y_v*RadSpec!AY25))),".")</f>
        <v>.</v>
      </c>
      <c r="BK25" s="116" t="str">
        <f>IFERROR(IF(d_ss_Bv!O25=0,".",((Ir*F*I_f*T*(1-EXP(-RadSpec!AY25*t_v)))/(Y_v*RadSpec!AY25))),".")</f>
        <v>.</v>
      </c>
      <c r="BL25" s="116" t="str">
        <f>IFERROR(IF(d_ss_Bv!P25=0,".",((Ir*F*I_f*T*(1-EXP(-RadSpec!AY25*t_v)))/(Y_v*RadSpec!AY25))),".")</f>
        <v>.</v>
      </c>
      <c r="BM25" s="116" t="str">
        <f>IFERROR(IF(d_ss_Bv!Q25=0,".",((Ir*F*I_f*T*(1-EXP(-RadSpec!AY25*t_v)))/(Y_v*RadSpec!AY25))),".")</f>
        <v>.</v>
      </c>
      <c r="BN25" s="116" t="str">
        <f>IFERROR(IF(d_ss_Bv!R25=0,".",((Ir*F*I_f*T*(1-EXP(-RadSpec!AY25*t_v)))/(Y_v*RadSpec!AY25))),".")</f>
        <v>.</v>
      </c>
      <c r="BO25" s="116" t="str">
        <f>IFERROR(IF(d_ss_Bv!S25=0,".",((Ir*F*I_f*T*(1-EXP(-RadSpec!AY25*t_v)))/(Y_v*RadSpec!AY25))),".")</f>
        <v>.</v>
      </c>
      <c r="BP25" s="116" t="str">
        <f>IFERROR(IF(d_ss_Bv!T25=0,".",((Ir*F*I_f*T*(1-EXP(-RadSpec!AY25*t_v)))/(Y_v*RadSpec!AY25))),".")</f>
        <v>.</v>
      </c>
      <c r="BQ25" s="116" t="str">
        <f>IFERROR(IF(d_ss_Bv!U25=0,".",((Ir*F*I_f*T*(1-EXP(-RadSpec!AY25*t_v)))/(Y_v*RadSpec!AY25))),".")</f>
        <v>.</v>
      </c>
      <c r="BR25" s="116" t="str">
        <f>IFERROR(IF(d_ss_Bv!V25=0,".",((Ir*F*I_f*T*(1-EXP(-RadSpec!AY25*t_v)))/(Y_v*RadSpec!AY25))),".")</f>
        <v>.</v>
      </c>
      <c r="BS25" s="116" t="str">
        <f>IFERROR(IF(d_ss_Bv!W25=0,".",((Ir*F*I_f*T*(1-EXP(-RadSpec!AY25*t_v)))/(Y_v*RadSpec!AY25))),".")</f>
        <v>.</v>
      </c>
      <c r="BT25" s="116" t="str">
        <f>IFERROR(IF(d_ss_Bv!X25=0,".",((Ir*F*I_f*T*(1-EXP(-RadSpec!AY25*t_v)))/(Y_v*RadSpec!AY25))),".")</f>
        <v>.</v>
      </c>
      <c r="BU25" s="116" t="str">
        <f>IFERROR(IF(d_ss_Bv!Y25=0,".",((Ir*F*I_f*T*(1-EXP(-RadSpec!AY25*t_v)))/(Y_v*RadSpec!AY25))),".")</f>
        <v>.</v>
      </c>
      <c r="BV25" s="116" t="str">
        <f>IFERROR(IF(d_ss_Bv!Z25=0,".",((Ir*F*I_f*T*(1-EXP(-RadSpec!AY25*t_v)))/(Y_v*RadSpec!AY25))),".")</f>
        <v>.</v>
      </c>
    </row>
    <row r="26" spans="1:74" x14ac:dyDescent="0.25">
      <c r="A26" s="44" t="s">
        <v>36</v>
      </c>
      <c r="B26" s="42" t="s">
        <v>1074</v>
      </c>
      <c r="C26" s="116">
        <f>IFERROR(IF(d_ss_Bv!C26=0,".",((Ir*F*d_ss_Bv!C26*(1-EXP(-RadSpec!AX26*t_b)))/(P*RadSpec!AX26))),".")</f>
        <v>1.7873205381175518E-2</v>
      </c>
      <c r="D26" s="116">
        <f>IFERROR(IF(d_ss_Bv!D26=0,".",((Ir*F*d_ss_Bv!D26*(1-EXP(-RadSpec!AX26*t_b)))/(P*RadSpec!AX26))),".")</f>
        <v>4.2895692914821232E-2</v>
      </c>
      <c r="E26" s="116">
        <f>IFERROR(IF(d_ss_Bv!E26=0,".",((Ir*F*d_ss_Bv!E26*(1-EXP(-RadSpec!AX26*t_b)))/(P*RadSpec!AX26))),".")</f>
        <v>2.8597128609880826E-2</v>
      </c>
      <c r="F26" s="116">
        <f>IFERROR(IF(d_ss_Bv!F26=0,".",((Ir*F*d_ss_Bv!F26*(1-EXP(-RadSpec!AX26*t_b)))/(P*RadSpec!AX26))),".")</f>
        <v>1.7873205381175518E-2</v>
      </c>
      <c r="G26" s="116">
        <f>IFERROR(IF(d_ss_Bv!G26=0,".",((Ir*F*d_ss_Bv!G26*(1-EXP(-RadSpec!AX26*t_b)))/(P*RadSpec!AX26))),".")</f>
        <v>2.7882200394633804E-2</v>
      </c>
      <c r="H26" s="116">
        <f>IFERROR(IF(d_ss_Bv!H26=0,".",((Ir*F*d_ss_Bv!H26*(1-EXP(-RadSpec!AX26*t_b)))/(P*RadSpec!AX26))),".")</f>
        <v>4.2895692914821232E-2</v>
      </c>
      <c r="I26" s="116">
        <f>IFERROR(IF(d_ss_Bv!I26=0,".",((Ir*F*d_ss_Bv!I26*(1-EXP(-RadSpec!AX26*t_b)))/(P*RadSpec!AX26))),".")</f>
        <v>2.8597128609880826E-2</v>
      </c>
      <c r="J26" s="116">
        <f>IFERROR(IF(d_ss_Bv!J26=0,".",((Ir*F*d_ss_Bv!J26*(1-EXP(-RadSpec!AX26*t_b)))/(P*RadSpec!AX26))),".")</f>
        <v>1.7873205381175518E-2</v>
      </c>
      <c r="K26" s="116">
        <f>IFERROR(IF(d_ss_Bv!K26=0,".",((Ir*F*d_ss_Bv!K26*(1-EXP(-RadSpec!AX26*t_b)))/(P*RadSpec!AX26))),".")</f>
        <v>2.2877702887904663E-2</v>
      </c>
      <c r="L26" s="116">
        <f>IFERROR(IF(d_ss_Bv!L26=0,".",((Ir*F*d_ss_Bv!L26*(1-EXP(-RadSpec!AX26*t_b)))/(P*RadSpec!AX26))),".")</f>
        <v>2.7882200394633804E-2</v>
      </c>
      <c r="M26" s="116">
        <f>IFERROR(IF(d_ss_Bv!M26=0,".",((Ir*F*d_ss_Bv!M26*(1-EXP(-RadSpec!AX26*t_b)))/(P*RadSpec!AX26))),".")</f>
        <v>4.2895692914821232E-2</v>
      </c>
      <c r="N26" s="116">
        <f>IFERROR(IF(d_ss_Bv!N26=0,".",((Ir*F*d_ss_Bv!N26*(1-EXP(-RadSpec!AX26*t_b)))/(P*RadSpec!AX26))),".")</f>
        <v>1.8945597704046045E-2</v>
      </c>
      <c r="O26" s="116">
        <f>IFERROR(IF(d_ss_Bv!O26=0,".",((Ir*F*d_ss_Bv!O26*(1-EXP(-RadSpec!AX26*t_b)))/(P*RadSpec!AX26))),".")</f>
        <v>2.7882200394633804E-2</v>
      </c>
      <c r="P26" s="116">
        <f>IFERROR(IF(d_ss_Bv!P26=0,".",((Ir*F*d_ss_Bv!P26*(1-EXP(-RadSpec!AX26*t_b)))/(P*RadSpec!AX26))),".")</f>
        <v>2.7882200394633804E-2</v>
      </c>
      <c r="Q26" s="116">
        <f>IFERROR(IF(d_ss_Bv!Q26=0,".",((Ir*F*d_ss_Bv!Q26*(1-EXP(-RadSpec!AX26*t_b)))/(P*RadSpec!AX26))),".")</f>
        <v>1.7873205381175518E-2</v>
      </c>
      <c r="R26" s="116">
        <f>IFERROR(IF(d_ss_Bv!R26=0,".",((Ir*F*d_ss_Bv!R26*(1-EXP(-RadSpec!AX26*t_b)))/(P*RadSpec!AX26))),".")</f>
        <v>1.7873205381175518E-2</v>
      </c>
      <c r="S26" s="116">
        <f>IFERROR(IF(d_ss_Bv!S26=0,".",((Ir*F*d_ss_Bv!S26*(1-EXP(-RadSpec!AX26*t_b)))/(P*RadSpec!AX26))),".")</f>
        <v>1.8945597704046045E-2</v>
      </c>
      <c r="T26" s="116">
        <f>IFERROR(IF(d_ss_Bv!T26=0,".",((Ir*F*d_ss_Bv!T26*(1-EXP(-RadSpec!AX26*t_b)))/(P*RadSpec!AX26))),".")</f>
        <v>7.1492821524702065E-3</v>
      </c>
      <c r="U26" s="116">
        <f>IFERROR(IF(d_ss_Bv!U26=0,".",((Ir*F*d_ss_Bv!U26*(1-EXP(-RadSpec!AX26*t_b)))/(P*RadSpec!AX26))),".")</f>
        <v>2.7882200394633804E-2</v>
      </c>
      <c r="V26" s="116">
        <f>IFERROR(IF(d_ss_Bv!V26=0,".",((Ir*F*d_ss_Bv!V26*(1-EXP(-RadSpec!AX26*t_b)))/(P*RadSpec!AX26))),".")</f>
        <v>1.8945597704046045E-2</v>
      </c>
      <c r="W26" s="116">
        <f>IFERROR(IF(d_ss_Bv!W26=0,".",((Ir*F*d_ss_Bv!W26*(1-EXP(-RadSpec!AX26*t_b)))/(P*RadSpec!AX26))),".")</f>
        <v>1.7873205381175518E-2</v>
      </c>
      <c r="X26" s="116">
        <f>IFERROR(IF(d_ss_Bv!X26=0,".",((Ir*F*d_ss_Bv!X26*(1-EXP(-RadSpec!AX26*t_b)))/(P*RadSpec!AX26))),".")</f>
        <v>2.7882200394633804E-2</v>
      </c>
      <c r="Y26" s="116">
        <f>IFERROR(IF(d_ss_Bv!Y26=0,".",((Ir*F*d_ss_Bv!Y26*(1-EXP(-RadSpec!AX26*t_b)))/(P*RadSpec!AX26))),".")</f>
        <v>5.7194257219761657E-3</v>
      </c>
      <c r="Z26" s="116">
        <f>IFERROR(IF(d_ss_Bv!Z26=0,".",((Ir*F*d_ss_Bv!Z26*(1-EXP(-RadSpec!AX26*t_b)))/(P*RadSpec!AX26))),".")</f>
        <v>7.5067462600937149E-2</v>
      </c>
      <c r="AA26" s="116">
        <f>IFERROR(IF(d_ss_Bv!C26=0,".",((Ir*F*MLF_apple*(1-EXP(-RadSpec!AX26*t_b)))/(P*RadSpec!AX26))),".")</f>
        <v>5.7194257219761657E-3</v>
      </c>
      <c r="AB26" s="116">
        <f>IFERROR(IF(d_ss_Bv!D26=0,".",((Ir*F*MLF_asparagus*(1-EXP(-RadSpec!AX26*t_b)))/(P*RadSpec!AX26))),".")</f>
        <v>2.8239664502257315E-3</v>
      </c>
      <c r="AC26" s="116">
        <f>IFERROR(IF(d_ss_Bv!E26=0,".",((Ir*F*MLF_beet*(1-EXP(-RadSpec!AX26*t_b)))/(P*RadSpec!AX26))),".")</f>
        <v>4.9330046852044422E-3</v>
      </c>
      <c r="AD26" s="116">
        <f>IFERROR(IF(d_ss_Bv!F26=0,".",((Ir*F*MLF_berries*(1-EXP(-RadSpec!AX26*t_b)))/(P*RadSpec!AX26))),".")</f>
        <v>5.9339041865502712E-3</v>
      </c>
      <c r="AE26" s="116">
        <f>IFERROR(IF(d_ss_Bv!G26=0,".",((Ir*F*MLF_broccoli*(1-EXP(-RadSpec!AX26*t_b)))/(P*RadSpec!AX26))),".")</f>
        <v>3.6103874869974538E-2</v>
      </c>
      <c r="AF26" s="116">
        <f>IFERROR(IF(d_ss_Bv!H26=0,".",((Ir*F*MLF_cabbage*(1-EXP(-RadSpec!AX26*t_b)))/(P*RadSpec!AX26))),".")</f>
        <v>3.7533731300468582E-3</v>
      </c>
      <c r="AG26" s="116">
        <f>IFERROR(IF(d_ss_Bv!I26=0,".",((Ir*F*MLF_carrot*(1-EXP(-RadSpec!AX26*t_b)))/(P*RadSpec!AX26))),".")</f>
        <v>3.4674018439480501E-3</v>
      </c>
      <c r="AH26" s="116">
        <f>IFERROR(IF(d_ss_Bv!J26=0,".",((Ir*F*MLF_citrus*(1-EXP(-RadSpec!AX26*t_b)))/(P*RadSpec!AX26))),".")</f>
        <v>5.6121864896891112E-3</v>
      </c>
      <c r="AI26" s="116">
        <f>IFERROR(IF(d_ss_Bv!K26=0,".",((Ir*F*MLF_corn*(1-EXP(-RadSpec!AX26*t_b)))/(P*RadSpec!AX26))),".")</f>
        <v>5.1832295605408994E-3</v>
      </c>
      <c r="AJ26" s="116">
        <f>IFERROR(IF(d_ss_Bv!L26=0,".",((Ir*F*MLF_cucumber*(1-EXP(-RadSpec!AX26*t_b)))/(P*RadSpec!AX26))),".")</f>
        <v>1.4298564304940414E-3</v>
      </c>
      <c r="AK26" s="116">
        <f>IFERROR(IF(d_ss_Bv!M26=0,".",((Ir*F*MLF_lettuce*(1-EXP(-RadSpec!AX26*t_b)))/(P*RadSpec!AX26))),".")</f>
        <v>0.48257654529173893</v>
      </c>
      <c r="AL26" s="116">
        <f>IFERROR(IF(d_ss_Bv!N26=0,".",((Ir*F*MLF_lima_bean*(1-EXP(-RadSpec!AX26*t_b)))/(P*RadSpec!AX26))),".")</f>
        <v>0.13690875321980447</v>
      </c>
      <c r="AM26" s="116">
        <f>IFERROR(IF(d_ss_Bv!O26=0,".",((Ir*F*MLF_okra*(1-EXP(-RadSpec!AX26*t_b)))/(P*RadSpec!AX26))),".")</f>
        <v>2.8597128609880828E-3</v>
      </c>
      <c r="AN26" s="116">
        <f>IFERROR(IF(d_ss_Bv!P26=0,".",((Ir*F*MLF_onion*(1-EXP(-RadSpec!AX26*t_b)))/(P*RadSpec!AX26))),".")</f>
        <v>3.4674018439480501E-3</v>
      </c>
      <c r="AO26" s="116">
        <f>IFERROR(IF(d_ss_Bv!Q26=0,".",((Ir*F*MLF_peach*(1-EXP(-RadSpec!AX26*t_b)))/(P*RadSpec!AX26))),".")</f>
        <v>5.361961614352654E-3</v>
      </c>
      <c r="AP26" s="116" t="str">
        <f>IFERROR(IF(d_ss_Bv!OI26=0,".",((Ir*F*MLF_pear*(1-EXP(-RadSpec!AX26*t_b)))/(P*RadSpec!AX26))),".")</f>
        <v>.</v>
      </c>
      <c r="AQ26" s="116">
        <f>IFERROR(IF(d_ss_Bv!S26=0,".",((Ir*F*MLF_peas*(1-EXP(-RadSpec!AX26*t_b)))/(P*RadSpec!AX26))),".")</f>
        <v>6.3628611156984829E-3</v>
      </c>
      <c r="AR26" s="116">
        <f>IFERROR(IF(d_ss_Bv!T26=0,".",((Ir*F*MLF_potato*(1-EXP(-RadSpec!AX26*t_b)))/(P*RadSpec!AX26))),".")</f>
        <v>7.5067462600937164E-3</v>
      </c>
      <c r="AS26" s="116">
        <f>IFERROR(IF(d_ss_Bv!U26=0,".",((Ir*F*MLF_pumpkin*(1-EXP(-RadSpec!AX26*t_b)))/(P*RadSpec!AX26))),".")</f>
        <v>2.0732918242163598E-3</v>
      </c>
      <c r="AT26" s="116">
        <f>IFERROR(IF(d_ss_Bv!V26=0,".",((Ir*F*MLF_snap_bean*(1-EXP(-RadSpec!AX26*t_b)))/(P*RadSpec!AX26))),".")</f>
        <v>0.17873205381175516</v>
      </c>
      <c r="AU26" s="116">
        <f>IFERROR(IF(d_ss_Bv!W26=0,".",((Ir*F*MLF_strawberry*(1-EXP(-RadSpec!AX26*t_b)))/(P*RadSpec!AX26))),".")</f>
        <v>2.8597128609880828E-3</v>
      </c>
      <c r="AV26" s="116">
        <f>IFERROR(IF(d_ss_Bv!X26=0,".",((Ir*F*MLF_tomato*(1-EXP(-RadSpec!AX26*t_b)))/(P*RadSpec!AX26))),".")</f>
        <v>5.6836793112138136E-2</v>
      </c>
      <c r="AW26" s="116">
        <f>IFERROR(IF(d_ss_Bv!Y26=0,".",((Ir*F*MLF_rice*(1-EXP(-RadSpec!AX26*t_b)))/(P*RadSpec!AX26))),".")</f>
        <v>8.9366026905877582</v>
      </c>
      <c r="AX26" s="116">
        <f>IFERROR(IF(d_ss_Bv!Z26=0,".",((Ir*F*MLF_cereal*(1-EXP(-RadSpec!AX26*t_b)))/(P*RadSpec!AX26))),".")</f>
        <v>8.9366026905877582</v>
      </c>
      <c r="AY26" s="116">
        <f>IFERROR(IF(d_ss_Bv!C26=0,".",((Ir*F*I_f*T*(1-EXP(-RadSpec!AY26*t_v)))/(Y_v*RadSpec!AY26))),".")</f>
        <v>3.6424203206347228</v>
      </c>
      <c r="AZ26" s="116">
        <f>IFERROR(IF(d_ss_Bv!D26=0,".",((Ir*F*I_f*T*(1-EXP(-RadSpec!AY26*t_v)))/(Y_v*RadSpec!AY26))),".")</f>
        <v>3.6424203206347228</v>
      </c>
      <c r="BA26" s="116">
        <f>IFERROR(IF(d_ss_Bv!E26=0,".",((Ir*F*I_f*T*(1-EXP(-RadSpec!AY26*t_v)))/(Y_v*RadSpec!AY26))),".")</f>
        <v>3.6424203206347228</v>
      </c>
      <c r="BB26" s="116">
        <f>IFERROR(IF(d_ss_Bv!F26=0,".",((Ir*F*I_f*T*(1-EXP(-RadSpec!AY26*t_v)))/(Y_v*RadSpec!AY26))),".")</f>
        <v>3.6424203206347228</v>
      </c>
      <c r="BC26" s="116">
        <f>IFERROR(IF(d_ss_Bv!G26=0,".",((Ir*F*I_f*T*(1-EXP(-RadSpec!AY26*t_v)))/(Y_v*RadSpec!AY26))),".")</f>
        <v>3.6424203206347228</v>
      </c>
      <c r="BD26" s="116">
        <f>IFERROR(IF(d_ss_Bv!H26=0,".",((Ir*F*I_f*T*(1-EXP(-RadSpec!AY26*t_v)))/(Y_v*RadSpec!AY26))),".")</f>
        <v>3.6424203206347228</v>
      </c>
      <c r="BE26" s="116">
        <f>IFERROR(IF(d_ss_Bv!I26=0,".",((Ir*F*I_f*T*(1-EXP(-RadSpec!AY26*t_v)))/(Y_v*RadSpec!AY26))),".")</f>
        <v>3.6424203206347228</v>
      </c>
      <c r="BF26" s="116">
        <f>IFERROR(IF(d_ss_Bv!J26=0,".",((Ir*F*I_f*T*(1-EXP(-RadSpec!AY26*t_v)))/(Y_v*RadSpec!AY26))),".")</f>
        <v>3.6424203206347228</v>
      </c>
      <c r="BG26" s="116">
        <f>IFERROR(IF(d_ss_Bv!K26=0,".",((Ir*F*I_f*T*(1-EXP(-RadSpec!AY26*t_v)))/(Y_v*RadSpec!AY26))),".")</f>
        <v>3.6424203206347228</v>
      </c>
      <c r="BH26" s="116">
        <f>IFERROR(IF(d_ss_Bv!L26=0,".",((Ir*F*I_f*T*(1-EXP(-RadSpec!AY26*t_v)))/(Y_v*RadSpec!AY26))),".")</f>
        <v>3.6424203206347228</v>
      </c>
      <c r="BI26" s="116">
        <f>IFERROR(IF(d_ss_Bv!M26=0,".",((Ir*F*I_f*T*(1-EXP(-RadSpec!AY26*t_v)))/(Y_v*RadSpec!AY26))),".")</f>
        <v>3.6424203206347228</v>
      </c>
      <c r="BJ26" s="116">
        <f>IFERROR(IF(d_ss_Bv!N26=0,".",((Ir*F*I_f*T*(1-EXP(-RadSpec!AY26*t_v)))/(Y_v*RadSpec!AY26))),".")</f>
        <v>3.6424203206347228</v>
      </c>
      <c r="BK26" s="116">
        <f>IFERROR(IF(d_ss_Bv!O26=0,".",((Ir*F*I_f*T*(1-EXP(-RadSpec!AY26*t_v)))/(Y_v*RadSpec!AY26))),".")</f>
        <v>3.6424203206347228</v>
      </c>
      <c r="BL26" s="116">
        <f>IFERROR(IF(d_ss_Bv!P26=0,".",((Ir*F*I_f*T*(1-EXP(-RadSpec!AY26*t_v)))/(Y_v*RadSpec!AY26))),".")</f>
        <v>3.6424203206347228</v>
      </c>
      <c r="BM26" s="116">
        <f>IFERROR(IF(d_ss_Bv!Q26=0,".",((Ir*F*I_f*T*(1-EXP(-RadSpec!AY26*t_v)))/(Y_v*RadSpec!AY26))),".")</f>
        <v>3.6424203206347228</v>
      </c>
      <c r="BN26" s="116">
        <f>IFERROR(IF(d_ss_Bv!R26=0,".",((Ir*F*I_f*T*(1-EXP(-RadSpec!AY26*t_v)))/(Y_v*RadSpec!AY26))),".")</f>
        <v>3.6424203206347228</v>
      </c>
      <c r="BO26" s="116">
        <f>IFERROR(IF(d_ss_Bv!S26=0,".",((Ir*F*I_f*T*(1-EXP(-RadSpec!AY26*t_v)))/(Y_v*RadSpec!AY26))),".")</f>
        <v>3.6424203206347228</v>
      </c>
      <c r="BP26" s="116">
        <f>IFERROR(IF(d_ss_Bv!T26=0,".",((Ir*F*I_f*T*(1-EXP(-RadSpec!AY26*t_v)))/(Y_v*RadSpec!AY26))),".")</f>
        <v>3.6424203206347228</v>
      </c>
      <c r="BQ26" s="116">
        <f>IFERROR(IF(d_ss_Bv!U26=0,".",((Ir*F*I_f*T*(1-EXP(-RadSpec!AY26*t_v)))/(Y_v*RadSpec!AY26))),".")</f>
        <v>3.6424203206347228</v>
      </c>
      <c r="BR26" s="116">
        <f>IFERROR(IF(d_ss_Bv!V26=0,".",((Ir*F*I_f*T*(1-EXP(-RadSpec!AY26*t_v)))/(Y_v*RadSpec!AY26))),".")</f>
        <v>3.6424203206347228</v>
      </c>
      <c r="BS26" s="116">
        <f>IFERROR(IF(d_ss_Bv!W26=0,".",((Ir*F*I_f*T*(1-EXP(-RadSpec!AY26*t_v)))/(Y_v*RadSpec!AY26))),".")</f>
        <v>3.6424203206347228</v>
      </c>
      <c r="BT26" s="116">
        <f>IFERROR(IF(d_ss_Bv!X26=0,".",((Ir*F*I_f*T*(1-EXP(-RadSpec!AY26*t_v)))/(Y_v*RadSpec!AY26))),".")</f>
        <v>3.6424203206347228</v>
      </c>
      <c r="BU26" s="116">
        <f>IFERROR(IF(d_ss_Bv!Y26=0,".",((Ir*F*I_f*T*(1-EXP(-RadSpec!AY26*t_v)))/(Y_v*RadSpec!AY26))),".")</f>
        <v>3.6424203206347228</v>
      </c>
      <c r="BV26" s="116">
        <f>IFERROR(IF(d_ss_Bv!Z26=0,".",((Ir*F*I_f*T*(1-EXP(-RadSpec!AY26*t_v)))/(Y_v*RadSpec!AY26))),".")</f>
        <v>3.6424203206347228</v>
      </c>
    </row>
    <row r="27" spans="1:74" x14ac:dyDescent="0.25">
      <c r="A27" s="44" t="s">
        <v>37</v>
      </c>
      <c r="B27" s="42" t="s">
        <v>1074</v>
      </c>
      <c r="C27" s="116">
        <f>IFERROR(IF(d_ss_Bv!C27=0,".",((Ir*F*d_ss_Bv!C27*(1-EXP(-RadSpec!AX27*t_b)))/(P*RadSpec!AX27))),".")</f>
        <v>2.8597128609880828E-3</v>
      </c>
      <c r="D27" s="116">
        <f>IFERROR(IF(d_ss_Bv!D27=0,".",((Ir*F*d_ss_Bv!D27*(1-EXP(-RadSpec!AX27*t_b)))/(P*RadSpec!AX27))),".")</f>
        <v>2.8597128609880826E-2</v>
      </c>
      <c r="E27" s="116">
        <f>IFERROR(IF(d_ss_Bv!E27=0,".",((Ir*F*d_ss_Bv!E27*(1-EXP(-RadSpec!AX27*t_b)))/(P*RadSpec!AX27))),".")</f>
        <v>2.8597128609880828E-3</v>
      </c>
      <c r="F27" s="116">
        <f>IFERROR(IF(d_ss_Bv!F27=0,".",((Ir*F*d_ss_Bv!F27*(1-EXP(-RadSpec!AX27*t_b)))/(P*RadSpec!AX27))),".")</f>
        <v>2.8597128609880828E-3</v>
      </c>
      <c r="G27" s="116">
        <f>IFERROR(IF(d_ss_Bv!G27=0,".",((Ir*F*d_ss_Bv!G27*(1-EXP(-RadSpec!AX27*t_b)))/(P*RadSpec!AX27))),".")</f>
        <v>2.8597128609880828E-3</v>
      </c>
      <c r="H27" s="116">
        <f>IFERROR(IF(d_ss_Bv!H27=0,".",((Ir*F*d_ss_Bv!H27*(1-EXP(-RadSpec!AX27*t_b)))/(P*RadSpec!AX27))),".")</f>
        <v>2.8597128609880826E-2</v>
      </c>
      <c r="I27" s="116">
        <f>IFERROR(IF(d_ss_Bv!I27=0,".",((Ir*F*d_ss_Bv!I27*(1-EXP(-RadSpec!AX27*t_b)))/(P*RadSpec!AX27))),".")</f>
        <v>2.8597128609880828E-3</v>
      </c>
      <c r="J27" s="116">
        <f>IFERROR(IF(d_ss_Bv!J27=0,".",((Ir*F*d_ss_Bv!J27*(1-EXP(-RadSpec!AX27*t_b)))/(P*RadSpec!AX27))),".")</f>
        <v>2.8597128609880828E-3</v>
      </c>
      <c r="K27" s="116">
        <f>IFERROR(IF(d_ss_Bv!K27=0,".",((Ir*F*d_ss_Bv!K27*(1-EXP(-RadSpec!AX27*t_b)))/(P*RadSpec!AX27))),".")</f>
        <v>2.8597128609880828E-3</v>
      </c>
      <c r="L27" s="116">
        <f>IFERROR(IF(d_ss_Bv!L27=0,".",((Ir*F*d_ss_Bv!L27*(1-EXP(-RadSpec!AX27*t_b)))/(P*RadSpec!AX27))),".")</f>
        <v>2.8597128609880828E-3</v>
      </c>
      <c r="M27" s="116">
        <f>IFERROR(IF(d_ss_Bv!M27=0,".",((Ir*F*d_ss_Bv!M27*(1-EXP(-RadSpec!AX27*t_b)))/(P*RadSpec!AX27))),".")</f>
        <v>2.8597128609880826E-2</v>
      </c>
      <c r="N27" s="116">
        <f>IFERROR(IF(d_ss_Bv!N27=0,".",((Ir*F*d_ss_Bv!N27*(1-EXP(-RadSpec!AX27*t_b)))/(P*RadSpec!AX27))),".")</f>
        <v>2.8597128609880828E-3</v>
      </c>
      <c r="O27" s="116">
        <f>IFERROR(IF(d_ss_Bv!O27=0,".",((Ir*F*d_ss_Bv!O27*(1-EXP(-RadSpec!AX27*t_b)))/(P*RadSpec!AX27))),".")</f>
        <v>2.8597128609880828E-3</v>
      </c>
      <c r="P27" s="116">
        <f>IFERROR(IF(d_ss_Bv!P27=0,".",((Ir*F*d_ss_Bv!P27*(1-EXP(-RadSpec!AX27*t_b)))/(P*RadSpec!AX27))),".")</f>
        <v>2.8597128609880828E-3</v>
      </c>
      <c r="Q27" s="116">
        <f>IFERROR(IF(d_ss_Bv!Q27=0,".",((Ir*F*d_ss_Bv!Q27*(1-EXP(-RadSpec!AX27*t_b)))/(P*RadSpec!AX27))),".")</f>
        <v>2.8597128609880828E-3</v>
      </c>
      <c r="R27" s="116">
        <f>IFERROR(IF(d_ss_Bv!R27=0,".",((Ir*F*d_ss_Bv!R27*(1-EXP(-RadSpec!AX27*t_b)))/(P*RadSpec!AX27))),".")</f>
        <v>2.8597128609880828E-3</v>
      </c>
      <c r="S27" s="116">
        <f>IFERROR(IF(d_ss_Bv!S27=0,".",((Ir*F*d_ss_Bv!S27*(1-EXP(-RadSpec!AX27*t_b)))/(P*RadSpec!AX27))),".")</f>
        <v>2.8597128609880828E-3</v>
      </c>
      <c r="T27" s="116">
        <f>IFERROR(IF(d_ss_Bv!T27=0,".",((Ir*F*d_ss_Bv!T27*(1-EXP(-RadSpec!AX27*t_b)))/(P*RadSpec!AX27))),".")</f>
        <v>2.8597128609880828E-3</v>
      </c>
      <c r="U27" s="116">
        <f>IFERROR(IF(d_ss_Bv!U27=0,".",((Ir*F*d_ss_Bv!U27*(1-EXP(-RadSpec!AX27*t_b)))/(P*RadSpec!AX27))),".")</f>
        <v>2.8597128609880828E-3</v>
      </c>
      <c r="V27" s="116">
        <f>IFERROR(IF(d_ss_Bv!V27=0,".",((Ir*F*d_ss_Bv!V27*(1-EXP(-RadSpec!AX27*t_b)))/(P*RadSpec!AX27))),".")</f>
        <v>2.8597128609880828E-3</v>
      </c>
      <c r="W27" s="116">
        <f>IFERROR(IF(d_ss_Bv!W27=0,".",((Ir*F*d_ss_Bv!W27*(1-EXP(-RadSpec!AX27*t_b)))/(P*RadSpec!AX27))),".")</f>
        <v>2.8597128609880828E-3</v>
      </c>
      <c r="X27" s="116">
        <f>IFERROR(IF(d_ss_Bv!X27=0,".",((Ir*F*d_ss_Bv!X27*(1-EXP(-RadSpec!AX27*t_b)))/(P*RadSpec!AX27))),".")</f>
        <v>2.8597128609880828E-3</v>
      </c>
      <c r="Y27" s="116">
        <f>IFERROR(IF(d_ss_Bv!Y27=0,".",((Ir*F*d_ss_Bv!Y27*(1-EXP(-RadSpec!AX27*t_b)))/(P*RadSpec!AX27))),".")</f>
        <v>7.1492821524702075</v>
      </c>
      <c r="Z27" s="116">
        <f>IFERROR(IF(d_ss_Bv!Z27=0,".",((Ir*F*d_ss_Bv!Z27*(1-EXP(-RadSpec!AX27*t_b)))/(P*RadSpec!AX27))),".")</f>
        <v>7.1492821524702075</v>
      </c>
      <c r="AA27" s="116">
        <f>IFERROR(IF(d_ss_Bv!C27=0,".",((Ir*F*MLF_apple*(1-EXP(-RadSpec!AX27*t_b)))/(P*RadSpec!AX27))),".")</f>
        <v>5.7194257219761657E-3</v>
      </c>
      <c r="AB27" s="116">
        <f>IFERROR(IF(d_ss_Bv!D27=0,".",((Ir*F*MLF_asparagus*(1-EXP(-RadSpec!AX27*t_b)))/(P*RadSpec!AX27))),".")</f>
        <v>2.8239664502257315E-3</v>
      </c>
      <c r="AC27" s="116">
        <f>IFERROR(IF(d_ss_Bv!E27=0,".",((Ir*F*MLF_beet*(1-EXP(-RadSpec!AX27*t_b)))/(P*RadSpec!AX27))),".")</f>
        <v>4.9330046852044422E-3</v>
      </c>
      <c r="AD27" s="116">
        <f>IFERROR(IF(d_ss_Bv!F27=0,".",((Ir*F*MLF_berries*(1-EXP(-RadSpec!AX27*t_b)))/(P*RadSpec!AX27))),".")</f>
        <v>5.9339041865502712E-3</v>
      </c>
      <c r="AE27" s="116">
        <f>IFERROR(IF(d_ss_Bv!G27=0,".",((Ir*F*MLF_broccoli*(1-EXP(-RadSpec!AX27*t_b)))/(P*RadSpec!AX27))),".")</f>
        <v>3.6103874869974538E-2</v>
      </c>
      <c r="AF27" s="116">
        <f>IFERROR(IF(d_ss_Bv!H27=0,".",((Ir*F*MLF_cabbage*(1-EXP(-RadSpec!AX27*t_b)))/(P*RadSpec!AX27))),".")</f>
        <v>3.7533731300468582E-3</v>
      </c>
      <c r="AG27" s="116">
        <f>IFERROR(IF(d_ss_Bv!I27=0,".",((Ir*F*MLF_carrot*(1-EXP(-RadSpec!AX27*t_b)))/(P*RadSpec!AX27))),".")</f>
        <v>3.4674018439480501E-3</v>
      </c>
      <c r="AH27" s="116">
        <f>IFERROR(IF(d_ss_Bv!J27=0,".",((Ir*F*MLF_citrus*(1-EXP(-RadSpec!AX27*t_b)))/(P*RadSpec!AX27))),".")</f>
        <v>5.6121864896891112E-3</v>
      </c>
      <c r="AI27" s="116">
        <f>IFERROR(IF(d_ss_Bv!K27=0,".",((Ir*F*MLF_corn*(1-EXP(-RadSpec!AX27*t_b)))/(P*RadSpec!AX27))),".")</f>
        <v>5.1832295605408994E-3</v>
      </c>
      <c r="AJ27" s="116">
        <f>IFERROR(IF(d_ss_Bv!L27=0,".",((Ir*F*MLF_cucumber*(1-EXP(-RadSpec!AX27*t_b)))/(P*RadSpec!AX27))),".")</f>
        <v>1.4298564304940414E-3</v>
      </c>
      <c r="AK27" s="116">
        <f>IFERROR(IF(d_ss_Bv!M27=0,".",((Ir*F*MLF_lettuce*(1-EXP(-RadSpec!AX27*t_b)))/(P*RadSpec!AX27))),".")</f>
        <v>0.48257654529173893</v>
      </c>
      <c r="AL27" s="116">
        <f>IFERROR(IF(d_ss_Bv!N27=0,".",((Ir*F*MLF_lima_bean*(1-EXP(-RadSpec!AX27*t_b)))/(P*RadSpec!AX27))),".")</f>
        <v>0.13690875321980447</v>
      </c>
      <c r="AM27" s="116">
        <f>IFERROR(IF(d_ss_Bv!O27=0,".",((Ir*F*MLF_okra*(1-EXP(-RadSpec!AX27*t_b)))/(P*RadSpec!AX27))),".")</f>
        <v>2.8597128609880828E-3</v>
      </c>
      <c r="AN27" s="116">
        <f>IFERROR(IF(d_ss_Bv!P27=0,".",((Ir*F*MLF_onion*(1-EXP(-RadSpec!AX27*t_b)))/(P*RadSpec!AX27))),".")</f>
        <v>3.4674018439480501E-3</v>
      </c>
      <c r="AO27" s="116">
        <f>IFERROR(IF(d_ss_Bv!Q27=0,".",((Ir*F*MLF_peach*(1-EXP(-RadSpec!AX27*t_b)))/(P*RadSpec!AX27))),".")</f>
        <v>5.361961614352654E-3</v>
      </c>
      <c r="AP27" s="116" t="str">
        <f>IFERROR(IF(d_ss_Bv!OI27=0,".",((Ir*F*MLF_pear*(1-EXP(-RadSpec!AX27*t_b)))/(P*RadSpec!AX27))),".")</f>
        <v>.</v>
      </c>
      <c r="AQ27" s="116">
        <f>IFERROR(IF(d_ss_Bv!S27=0,".",((Ir*F*MLF_peas*(1-EXP(-RadSpec!AX27*t_b)))/(P*RadSpec!AX27))),".")</f>
        <v>6.3628611156984829E-3</v>
      </c>
      <c r="AR27" s="116">
        <f>IFERROR(IF(d_ss_Bv!T27=0,".",((Ir*F*MLF_potato*(1-EXP(-RadSpec!AX27*t_b)))/(P*RadSpec!AX27))),".")</f>
        <v>7.5067462600937164E-3</v>
      </c>
      <c r="AS27" s="116">
        <f>IFERROR(IF(d_ss_Bv!U27=0,".",((Ir*F*MLF_pumpkin*(1-EXP(-RadSpec!AX27*t_b)))/(P*RadSpec!AX27))),".")</f>
        <v>2.0732918242163598E-3</v>
      </c>
      <c r="AT27" s="116">
        <f>IFERROR(IF(d_ss_Bv!V27=0,".",((Ir*F*MLF_snap_bean*(1-EXP(-RadSpec!AX27*t_b)))/(P*RadSpec!AX27))),".")</f>
        <v>0.17873205381175516</v>
      </c>
      <c r="AU27" s="116">
        <f>IFERROR(IF(d_ss_Bv!W27=0,".",((Ir*F*MLF_strawberry*(1-EXP(-RadSpec!AX27*t_b)))/(P*RadSpec!AX27))),".")</f>
        <v>2.8597128609880828E-3</v>
      </c>
      <c r="AV27" s="116">
        <f>IFERROR(IF(d_ss_Bv!X27=0,".",((Ir*F*MLF_tomato*(1-EXP(-RadSpec!AX27*t_b)))/(P*RadSpec!AX27))),".")</f>
        <v>5.6836793112138136E-2</v>
      </c>
      <c r="AW27" s="116">
        <f>IFERROR(IF(d_ss_Bv!Y27=0,".",((Ir*F*MLF_rice*(1-EXP(-RadSpec!AX27*t_b)))/(P*RadSpec!AX27))),".")</f>
        <v>8.9366026905877582</v>
      </c>
      <c r="AX27" s="116">
        <f>IFERROR(IF(d_ss_Bv!Z27=0,".",((Ir*F*MLF_cereal*(1-EXP(-RadSpec!AX27*t_b)))/(P*RadSpec!AX27))),".")</f>
        <v>8.9366026905877582</v>
      </c>
      <c r="AY27" s="116">
        <f>IFERROR(IF(d_ss_Bv!C27=0,".",((Ir*F*I_f*T*(1-EXP(-RadSpec!AY27*t_v)))/(Y_v*RadSpec!AY27))),".")</f>
        <v>3.6424203206347228</v>
      </c>
      <c r="AZ27" s="116">
        <f>IFERROR(IF(d_ss_Bv!D27=0,".",((Ir*F*I_f*T*(1-EXP(-RadSpec!AY27*t_v)))/(Y_v*RadSpec!AY27))),".")</f>
        <v>3.6424203206347228</v>
      </c>
      <c r="BA27" s="116">
        <f>IFERROR(IF(d_ss_Bv!E27=0,".",((Ir*F*I_f*T*(1-EXP(-RadSpec!AY27*t_v)))/(Y_v*RadSpec!AY27))),".")</f>
        <v>3.6424203206347228</v>
      </c>
      <c r="BB27" s="116">
        <f>IFERROR(IF(d_ss_Bv!F27=0,".",((Ir*F*I_f*T*(1-EXP(-RadSpec!AY27*t_v)))/(Y_v*RadSpec!AY27))),".")</f>
        <v>3.6424203206347228</v>
      </c>
      <c r="BC27" s="116">
        <f>IFERROR(IF(d_ss_Bv!G27=0,".",((Ir*F*I_f*T*(1-EXP(-RadSpec!AY27*t_v)))/(Y_v*RadSpec!AY27))),".")</f>
        <v>3.6424203206347228</v>
      </c>
      <c r="BD27" s="116">
        <f>IFERROR(IF(d_ss_Bv!H27=0,".",((Ir*F*I_f*T*(1-EXP(-RadSpec!AY27*t_v)))/(Y_v*RadSpec!AY27))),".")</f>
        <v>3.6424203206347228</v>
      </c>
      <c r="BE27" s="116">
        <f>IFERROR(IF(d_ss_Bv!I27=0,".",((Ir*F*I_f*T*(1-EXP(-RadSpec!AY27*t_v)))/(Y_v*RadSpec!AY27))),".")</f>
        <v>3.6424203206347228</v>
      </c>
      <c r="BF27" s="116">
        <f>IFERROR(IF(d_ss_Bv!J27=0,".",((Ir*F*I_f*T*(1-EXP(-RadSpec!AY27*t_v)))/(Y_v*RadSpec!AY27))),".")</f>
        <v>3.6424203206347228</v>
      </c>
      <c r="BG27" s="116">
        <f>IFERROR(IF(d_ss_Bv!K27=0,".",((Ir*F*I_f*T*(1-EXP(-RadSpec!AY27*t_v)))/(Y_v*RadSpec!AY27))),".")</f>
        <v>3.6424203206347228</v>
      </c>
      <c r="BH27" s="116">
        <f>IFERROR(IF(d_ss_Bv!L27=0,".",((Ir*F*I_f*T*(1-EXP(-RadSpec!AY27*t_v)))/(Y_v*RadSpec!AY27))),".")</f>
        <v>3.6424203206347228</v>
      </c>
      <c r="BI27" s="116">
        <f>IFERROR(IF(d_ss_Bv!M27=0,".",((Ir*F*I_f*T*(1-EXP(-RadSpec!AY27*t_v)))/(Y_v*RadSpec!AY27))),".")</f>
        <v>3.6424203206347228</v>
      </c>
      <c r="BJ27" s="116">
        <f>IFERROR(IF(d_ss_Bv!N27=0,".",((Ir*F*I_f*T*(1-EXP(-RadSpec!AY27*t_v)))/(Y_v*RadSpec!AY27))),".")</f>
        <v>3.6424203206347228</v>
      </c>
      <c r="BK27" s="116">
        <f>IFERROR(IF(d_ss_Bv!O27=0,".",((Ir*F*I_f*T*(1-EXP(-RadSpec!AY27*t_v)))/(Y_v*RadSpec!AY27))),".")</f>
        <v>3.6424203206347228</v>
      </c>
      <c r="BL27" s="116">
        <f>IFERROR(IF(d_ss_Bv!P27=0,".",((Ir*F*I_f*T*(1-EXP(-RadSpec!AY27*t_v)))/(Y_v*RadSpec!AY27))),".")</f>
        <v>3.6424203206347228</v>
      </c>
      <c r="BM27" s="116">
        <f>IFERROR(IF(d_ss_Bv!Q27=0,".",((Ir*F*I_f*T*(1-EXP(-RadSpec!AY27*t_v)))/(Y_v*RadSpec!AY27))),".")</f>
        <v>3.6424203206347228</v>
      </c>
      <c r="BN27" s="116">
        <f>IFERROR(IF(d_ss_Bv!R27=0,".",((Ir*F*I_f*T*(1-EXP(-RadSpec!AY27*t_v)))/(Y_v*RadSpec!AY27))),".")</f>
        <v>3.6424203206347228</v>
      </c>
      <c r="BO27" s="116">
        <f>IFERROR(IF(d_ss_Bv!S27=0,".",((Ir*F*I_f*T*(1-EXP(-RadSpec!AY27*t_v)))/(Y_v*RadSpec!AY27))),".")</f>
        <v>3.6424203206347228</v>
      </c>
      <c r="BP27" s="116">
        <f>IFERROR(IF(d_ss_Bv!T27=0,".",((Ir*F*I_f*T*(1-EXP(-RadSpec!AY27*t_v)))/(Y_v*RadSpec!AY27))),".")</f>
        <v>3.6424203206347228</v>
      </c>
      <c r="BQ27" s="116">
        <f>IFERROR(IF(d_ss_Bv!U27=0,".",((Ir*F*I_f*T*(1-EXP(-RadSpec!AY27*t_v)))/(Y_v*RadSpec!AY27))),".")</f>
        <v>3.6424203206347228</v>
      </c>
      <c r="BR27" s="116">
        <f>IFERROR(IF(d_ss_Bv!V27=0,".",((Ir*F*I_f*T*(1-EXP(-RadSpec!AY27*t_v)))/(Y_v*RadSpec!AY27))),".")</f>
        <v>3.6424203206347228</v>
      </c>
      <c r="BS27" s="116">
        <f>IFERROR(IF(d_ss_Bv!W27=0,".",((Ir*F*I_f*T*(1-EXP(-RadSpec!AY27*t_v)))/(Y_v*RadSpec!AY27))),".")</f>
        <v>3.6424203206347228</v>
      </c>
      <c r="BT27" s="116">
        <f>IFERROR(IF(d_ss_Bv!X27=0,".",((Ir*F*I_f*T*(1-EXP(-RadSpec!AY27*t_v)))/(Y_v*RadSpec!AY27))),".")</f>
        <v>3.6424203206347228</v>
      </c>
      <c r="BU27" s="116">
        <f>IFERROR(IF(d_ss_Bv!Y27=0,".",((Ir*F*I_f*T*(1-EXP(-RadSpec!AY27*t_v)))/(Y_v*RadSpec!AY27))),".")</f>
        <v>3.6424203206347228</v>
      </c>
      <c r="BV27" s="116">
        <f>IFERROR(IF(d_ss_Bv!Z27=0,".",((Ir*F*I_f*T*(1-EXP(-RadSpec!AY27*t_v)))/(Y_v*RadSpec!AY27))),".")</f>
        <v>3.6424203206347228</v>
      </c>
    </row>
    <row r="28" spans="1:74" x14ac:dyDescent="0.25">
      <c r="A28" s="44" t="s">
        <v>38</v>
      </c>
      <c r="B28" s="42" t="s">
        <v>1074</v>
      </c>
      <c r="C28" s="116">
        <f>IFERROR(IF(d_ss_Bv!C28=0,".",((Ir*F*d_ss_Bv!C28*(1-EXP(-RadSpec!AX28*t_b)))/(P*RadSpec!AX28))),".")</f>
        <v>2.8597128609880828E-3</v>
      </c>
      <c r="D28" s="116">
        <f>IFERROR(IF(d_ss_Bv!D28=0,".",((Ir*F*d_ss_Bv!D28*(1-EXP(-RadSpec!AX28*t_b)))/(P*RadSpec!AX28))),".")</f>
        <v>2.8597128609880826E-2</v>
      </c>
      <c r="E28" s="116">
        <f>IFERROR(IF(d_ss_Bv!E28=0,".",((Ir*F*d_ss_Bv!E28*(1-EXP(-RadSpec!AX28*t_b)))/(P*RadSpec!AX28))),".")</f>
        <v>2.8597128609880828E-3</v>
      </c>
      <c r="F28" s="116">
        <f>IFERROR(IF(d_ss_Bv!F28=0,".",((Ir*F*d_ss_Bv!F28*(1-EXP(-RadSpec!AX28*t_b)))/(P*RadSpec!AX28))),".")</f>
        <v>2.8597128609880828E-3</v>
      </c>
      <c r="G28" s="116">
        <f>IFERROR(IF(d_ss_Bv!G28=0,".",((Ir*F*d_ss_Bv!G28*(1-EXP(-RadSpec!AX28*t_b)))/(P*RadSpec!AX28))),".")</f>
        <v>2.8597128609880828E-3</v>
      </c>
      <c r="H28" s="116">
        <f>IFERROR(IF(d_ss_Bv!H28=0,".",((Ir*F*d_ss_Bv!H28*(1-EXP(-RadSpec!AX28*t_b)))/(P*RadSpec!AX28))),".")</f>
        <v>2.8597128609880826E-2</v>
      </c>
      <c r="I28" s="116">
        <f>IFERROR(IF(d_ss_Bv!I28=0,".",((Ir*F*d_ss_Bv!I28*(1-EXP(-RadSpec!AX28*t_b)))/(P*RadSpec!AX28))),".")</f>
        <v>2.8597128609880828E-3</v>
      </c>
      <c r="J28" s="116">
        <f>IFERROR(IF(d_ss_Bv!J28=0,".",((Ir*F*d_ss_Bv!J28*(1-EXP(-RadSpec!AX28*t_b)))/(P*RadSpec!AX28))),".")</f>
        <v>2.8597128609880828E-3</v>
      </c>
      <c r="K28" s="116">
        <f>IFERROR(IF(d_ss_Bv!K28=0,".",((Ir*F*d_ss_Bv!K28*(1-EXP(-RadSpec!AX28*t_b)))/(P*RadSpec!AX28))),".")</f>
        <v>2.8597128609880828E-3</v>
      </c>
      <c r="L28" s="116">
        <f>IFERROR(IF(d_ss_Bv!L28=0,".",((Ir*F*d_ss_Bv!L28*(1-EXP(-RadSpec!AX28*t_b)))/(P*RadSpec!AX28))),".")</f>
        <v>2.8597128609880828E-3</v>
      </c>
      <c r="M28" s="116">
        <f>IFERROR(IF(d_ss_Bv!M28=0,".",((Ir*F*d_ss_Bv!M28*(1-EXP(-RadSpec!AX28*t_b)))/(P*RadSpec!AX28))),".")</f>
        <v>2.8597128609880826E-2</v>
      </c>
      <c r="N28" s="116">
        <f>IFERROR(IF(d_ss_Bv!N28=0,".",((Ir*F*d_ss_Bv!N28*(1-EXP(-RadSpec!AX28*t_b)))/(P*RadSpec!AX28))),".")</f>
        <v>2.8597128609880828E-3</v>
      </c>
      <c r="O28" s="116">
        <f>IFERROR(IF(d_ss_Bv!O28=0,".",((Ir*F*d_ss_Bv!O28*(1-EXP(-RadSpec!AX28*t_b)))/(P*RadSpec!AX28))),".")</f>
        <v>2.8597128609880828E-3</v>
      </c>
      <c r="P28" s="116">
        <f>IFERROR(IF(d_ss_Bv!P28=0,".",((Ir*F*d_ss_Bv!P28*(1-EXP(-RadSpec!AX28*t_b)))/(P*RadSpec!AX28))),".")</f>
        <v>2.8597128609880828E-3</v>
      </c>
      <c r="Q28" s="116">
        <f>IFERROR(IF(d_ss_Bv!Q28=0,".",((Ir*F*d_ss_Bv!Q28*(1-EXP(-RadSpec!AX28*t_b)))/(P*RadSpec!AX28))),".")</f>
        <v>2.8597128609880828E-3</v>
      </c>
      <c r="R28" s="116">
        <f>IFERROR(IF(d_ss_Bv!R28=0,".",((Ir*F*d_ss_Bv!R28*(1-EXP(-RadSpec!AX28*t_b)))/(P*RadSpec!AX28))),".")</f>
        <v>2.8597128609880828E-3</v>
      </c>
      <c r="S28" s="116">
        <f>IFERROR(IF(d_ss_Bv!S28=0,".",((Ir*F*d_ss_Bv!S28*(1-EXP(-RadSpec!AX28*t_b)))/(P*RadSpec!AX28))),".")</f>
        <v>2.8597128609880828E-3</v>
      </c>
      <c r="T28" s="116">
        <f>IFERROR(IF(d_ss_Bv!T28=0,".",((Ir*F*d_ss_Bv!T28*(1-EXP(-RadSpec!AX28*t_b)))/(P*RadSpec!AX28))),".")</f>
        <v>2.8597128609880828E-3</v>
      </c>
      <c r="U28" s="116">
        <f>IFERROR(IF(d_ss_Bv!U28=0,".",((Ir*F*d_ss_Bv!U28*(1-EXP(-RadSpec!AX28*t_b)))/(P*RadSpec!AX28))),".")</f>
        <v>2.8597128609880828E-3</v>
      </c>
      <c r="V28" s="116">
        <f>IFERROR(IF(d_ss_Bv!V28=0,".",((Ir*F*d_ss_Bv!V28*(1-EXP(-RadSpec!AX28*t_b)))/(P*RadSpec!AX28))),".")</f>
        <v>2.8597128609880828E-3</v>
      </c>
      <c r="W28" s="116">
        <f>IFERROR(IF(d_ss_Bv!W28=0,".",((Ir*F*d_ss_Bv!W28*(1-EXP(-RadSpec!AX28*t_b)))/(P*RadSpec!AX28))),".")</f>
        <v>2.8597128609880828E-3</v>
      </c>
      <c r="X28" s="116">
        <f>IFERROR(IF(d_ss_Bv!X28=0,".",((Ir*F*d_ss_Bv!X28*(1-EXP(-RadSpec!AX28*t_b)))/(P*RadSpec!AX28))),".")</f>
        <v>2.8597128609880828E-3</v>
      </c>
      <c r="Y28" s="116">
        <f>IFERROR(IF(d_ss_Bv!Y28=0,".",((Ir*F*d_ss_Bv!Y28*(1-EXP(-RadSpec!AX28*t_b)))/(P*RadSpec!AX28))),".")</f>
        <v>7.1492821524702075</v>
      </c>
      <c r="Z28" s="116">
        <f>IFERROR(IF(d_ss_Bv!Z28=0,".",((Ir*F*d_ss_Bv!Z28*(1-EXP(-RadSpec!AX28*t_b)))/(P*RadSpec!AX28))),".")</f>
        <v>7.1492821524702075</v>
      </c>
      <c r="AA28" s="116">
        <f>IFERROR(IF(d_ss_Bv!C28=0,".",((Ir*F*MLF_apple*(1-EXP(-RadSpec!AX28*t_b)))/(P*RadSpec!AX28))),".")</f>
        <v>5.7194257219761657E-3</v>
      </c>
      <c r="AB28" s="116">
        <f>IFERROR(IF(d_ss_Bv!D28=0,".",((Ir*F*MLF_asparagus*(1-EXP(-RadSpec!AX28*t_b)))/(P*RadSpec!AX28))),".")</f>
        <v>2.8239664502257315E-3</v>
      </c>
      <c r="AC28" s="116">
        <f>IFERROR(IF(d_ss_Bv!E28=0,".",((Ir*F*MLF_beet*(1-EXP(-RadSpec!AX28*t_b)))/(P*RadSpec!AX28))),".")</f>
        <v>4.9330046852044422E-3</v>
      </c>
      <c r="AD28" s="116">
        <f>IFERROR(IF(d_ss_Bv!F28=0,".",((Ir*F*MLF_berries*(1-EXP(-RadSpec!AX28*t_b)))/(P*RadSpec!AX28))),".")</f>
        <v>5.9339041865502712E-3</v>
      </c>
      <c r="AE28" s="116">
        <f>IFERROR(IF(d_ss_Bv!G28=0,".",((Ir*F*MLF_broccoli*(1-EXP(-RadSpec!AX28*t_b)))/(P*RadSpec!AX28))),".")</f>
        <v>3.6103874869974538E-2</v>
      </c>
      <c r="AF28" s="116">
        <f>IFERROR(IF(d_ss_Bv!H28=0,".",((Ir*F*MLF_cabbage*(1-EXP(-RadSpec!AX28*t_b)))/(P*RadSpec!AX28))),".")</f>
        <v>3.7533731300468582E-3</v>
      </c>
      <c r="AG28" s="116">
        <f>IFERROR(IF(d_ss_Bv!I28=0,".",((Ir*F*MLF_carrot*(1-EXP(-RadSpec!AX28*t_b)))/(P*RadSpec!AX28))),".")</f>
        <v>3.4674018439480501E-3</v>
      </c>
      <c r="AH28" s="116">
        <f>IFERROR(IF(d_ss_Bv!J28=0,".",((Ir*F*MLF_citrus*(1-EXP(-RadSpec!AX28*t_b)))/(P*RadSpec!AX28))),".")</f>
        <v>5.6121864896891112E-3</v>
      </c>
      <c r="AI28" s="116">
        <f>IFERROR(IF(d_ss_Bv!K28=0,".",((Ir*F*MLF_corn*(1-EXP(-RadSpec!AX28*t_b)))/(P*RadSpec!AX28))),".")</f>
        <v>5.1832295605408994E-3</v>
      </c>
      <c r="AJ28" s="116">
        <f>IFERROR(IF(d_ss_Bv!L28=0,".",((Ir*F*MLF_cucumber*(1-EXP(-RadSpec!AX28*t_b)))/(P*RadSpec!AX28))),".")</f>
        <v>1.4298564304940414E-3</v>
      </c>
      <c r="AK28" s="116">
        <f>IFERROR(IF(d_ss_Bv!M28=0,".",((Ir*F*MLF_lettuce*(1-EXP(-RadSpec!AX28*t_b)))/(P*RadSpec!AX28))),".")</f>
        <v>0.48257654529173893</v>
      </c>
      <c r="AL28" s="116">
        <f>IFERROR(IF(d_ss_Bv!N28=0,".",((Ir*F*MLF_lima_bean*(1-EXP(-RadSpec!AX28*t_b)))/(P*RadSpec!AX28))),".")</f>
        <v>0.13690875321980447</v>
      </c>
      <c r="AM28" s="116">
        <f>IFERROR(IF(d_ss_Bv!O28=0,".",((Ir*F*MLF_okra*(1-EXP(-RadSpec!AX28*t_b)))/(P*RadSpec!AX28))),".")</f>
        <v>2.8597128609880828E-3</v>
      </c>
      <c r="AN28" s="116">
        <f>IFERROR(IF(d_ss_Bv!P28=0,".",((Ir*F*MLF_onion*(1-EXP(-RadSpec!AX28*t_b)))/(P*RadSpec!AX28))),".")</f>
        <v>3.4674018439480501E-3</v>
      </c>
      <c r="AO28" s="116">
        <f>IFERROR(IF(d_ss_Bv!Q28=0,".",((Ir*F*MLF_peach*(1-EXP(-RadSpec!AX28*t_b)))/(P*RadSpec!AX28))),".")</f>
        <v>5.361961614352654E-3</v>
      </c>
      <c r="AP28" s="116" t="str">
        <f>IFERROR(IF(d_ss_Bv!OI28=0,".",((Ir*F*MLF_pear*(1-EXP(-RadSpec!AX28*t_b)))/(P*RadSpec!AX28))),".")</f>
        <v>.</v>
      </c>
      <c r="AQ28" s="116">
        <f>IFERROR(IF(d_ss_Bv!S28=0,".",((Ir*F*MLF_peas*(1-EXP(-RadSpec!AX28*t_b)))/(P*RadSpec!AX28))),".")</f>
        <v>6.3628611156984829E-3</v>
      </c>
      <c r="AR28" s="116">
        <f>IFERROR(IF(d_ss_Bv!T28=0,".",((Ir*F*MLF_potato*(1-EXP(-RadSpec!AX28*t_b)))/(P*RadSpec!AX28))),".")</f>
        <v>7.5067462600937164E-3</v>
      </c>
      <c r="AS28" s="116">
        <f>IFERROR(IF(d_ss_Bv!U28=0,".",((Ir*F*MLF_pumpkin*(1-EXP(-RadSpec!AX28*t_b)))/(P*RadSpec!AX28))),".")</f>
        <v>2.0732918242163598E-3</v>
      </c>
      <c r="AT28" s="116">
        <f>IFERROR(IF(d_ss_Bv!V28=0,".",((Ir*F*MLF_snap_bean*(1-EXP(-RadSpec!AX28*t_b)))/(P*RadSpec!AX28))),".")</f>
        <v>0.17873205381175516</v>
      </c>
      <c r="AU28" s="116">
        <f>IFERROR(IF(d_ss_Bv!W28=0,".",((Ir*F*MLF_strawberry*(1-EXP(-RadSpec!AX28*t_b)))/(P*RadSpec!AX28))),".")</f>
        <v>2.8597128609880828E-3</v>
      </c>
      <c r="AV28" s="116">
        <f>IFERROR(IF(d_ss_Bv!X28=0,".",((Ir*F*MLF_tomato*(1-EXP(-RadSpec!AX28*t_b)))/(P*RadSpec!AX28))),".")</f>
        <v>5.6836793112138136E-2</v>
      </c>
      <c r="AW28" s="116">
        <f>IFERROR(IF(d_ss_Bv!Y28=0,".",((Ir*F*MLF_rice*(1-EXP(-RadSpec!AX28*t_b)))/(P*RadSpec!AX28))),".")</f>
        <v>8.9366026905877582</v>
      </c>
      <c r="AX28" s="116">
        <f>IFERROR(IF(d_ss_Bv!Z28=0,".",((Ir*F*MLF_cereal*(1-EXP(-RadSpec!AX28*t_b)))/(P*RadSpec!AX28))),".")</f>
        <v>8.9366026905877582</v>
      </c>
      <c r="AY28" s="116">
        <f>IFERROR(IF(d_ss_Bv!C28=0,".",((Ir*F*I_f*T*(1-EXP(-RadSpec!AY28*t_v)))/(Y_v*RadSpec!AY28))),".")</f>
        <v>3.6424203206347228</v>
      </c>
      <c r="AZ28" s="116">
        <f>IFERROR(IF(d_ss_Bv!D28=0,".",((Ir*F*I_f*T*(1-EXP(-RadSpec!AY28*t_v)))/(Y_v*RadSpec!AY28))),".")</f>
        <v>3.6424203206347228</v>
      </c>
      <c r="BA28" s="116">
        <f>IFERROR(IF(d_ss_Bv!E28=0,".",((Ir*F*I_f*T*(1-EXP(-RadSpec!AY28*t_v)))/(Y_v*RadSpec!AY28))),".")</f>
        <v>3.6424203206347228</v>
      </c>
      <c r="BB28" s="116">
        <f>IFERROR(IF(d_ss_Bv!F28=0,".",((Ir*F*I_f*T*(1-EXP(-RadSpec!AY28*t_v)))/(Y_v*RadSpec!AY28))),".")</f>
        <v>3.6424203206347228</v>
      </c>
      <c r="BC28" s="116">
        <f>IFERROR(IF(d_ss_Bv!G28=0,".",((Ir*F*I_f*T*(1-EXP(-RadSpec!AY28*t_v)))/(Y_v*RadSpec!AY28))),".")</f>
        <v>3.6424203206347228</v>
      </c>
      <c r="BD28" s="116">
        <f>IFERROR(IF(d_ss_Bv!H28=0,".",((Ir*F*I_f*T*(1-EXP(-RadSpec!AY28*t_v)))/(Y_v*RadSpec!AY28))),".")</f>
        <v>3.6424203206347228</v>
      </c>
      <c r="BE28" s="116">
        <f>IFERROR(IF(d_ss_Bv!I28=0,".",((Ir*F*I_f*T*(1-EXP(-RadSpec!AY28*t_v)))/(Y_v*RadSpec!AY28))),".")</f>
        <v>3.6424203206347228</v>
      </c>
      <c r="BF28" s="116">
        <f>IFERROR(IF(d_ss_Bv!J28=0,".",((Ir*F*I_f*T*(1-EXP(-RadSpec!AY28*t_v)))/(Y_v*RadSpec!AY28))),".")</f>
        <v>3.6424203206347228</v>
      </c>
      <c r="BG28" s="116">
        <f>IFERROR(IF(d_ss_Bv!K28=0,".",((Ir*F*I_f*T*(1-EXP(-RadSpec!AY28*t_v)))/(Y_v*RadSpec!AY28))),".")</f>
        <v>3.6424203206347228</v>
      </c>
      <c r="BH28" s="116">
        <f>IFERROR(IF(d_ss_Bv!L28=0,".",((Ir*F*I_f*T*(1-EXP(-RadSpec!AY28*t_v)))/(Y_v*RadSpec!AY28))),".")</f>
        <v>3.6424203206347228</v>
      </c>
      <c r="BI28" s="116">
        <f>IFERROR(IF(d_ss_Bv!M28=0,".",((Ir*F*I_f*T*(1-EXP(-RadSpec!AY28*t_v)))/(Y_v*RadSpec!AY28))),".")</f>
        <v>3.6424203206347228</v>
      </c>
      <c r="BJ28" s="116">
        <f>IFERROR(IF(d_ss_Bv!N28=0,".",((Ir*F*I_f*T*(1-EXP(-RadSpec!AY28*t_v)))/(Y_v*RadSpec!AY28))),".")</f>
        <v>3.6424203206347228</v>
      </c>
      <c r="BK28" s="116">
        <f>IFERROR(IF(d_ss_Bv!O28=0,".",((Ir*F*I_f*T*(1-EXP(-RadSpec!AY28*t_v)))/(Y_v*RadSpec!AY28))),".")</f>
        <v>3.6424203206347228</v>
      </c>
      <c r="BL28" s="116">
        <f>IFERROR(IF(d_ss_Bv!P28=0,".",((Ir*F*I_f*T*(1-EXP(-RadSpec!AY28*t_v)))/(Y_v*RadSpec!AY28))),".")</f>
        <v>3.6424203206347228</v>
      </c>
      <c r="BM28" s="116">
        <f>IFERROR(IF(d_ss_Bv!Q28=0,".",((Ir*F*I_f*T*(1-EXP(-RadSpec!AY28*t_v)))/(Y_v*RadSpec!AY28))),".")</f>
        <v>3.6424203206347228</v>
      </c>
      <c r="BN28" s="116">
        <f>IFERROR(IF(d_ss_Bv!R28=0,".",((Ir*F*I_f*T*(1-EXP(-RadSpec!AY28*t_v)))/(Y_v*RadSpec!AY28))),".")</f>
        <v>3.6424203206347228</v>
      </c>
      <c r="BO28" s="116">
        <f>IFERROR(IF(d_ss_Bv!S28=0,".",((Ir*F*I_f*T*(1-EXP(-RadSpec!AY28*t_v)))/(Y_v*RadSpec!AY28))),".")</f>
        <v>3.6424203206347228</v>
      </c>
      <c r="BP28" s="116">
        <f>IFERROR(IF(d_ss_Bv!T28=0,".",((Ir*F*I_f*T*(1-EXP(-RadSpec!AY28*t_v)))/(Y_v*RadSpec!AY28))),".")</f>
        <v>3.6424203206347228</v>
      </c>
      <c r="BQ28" s="116">
        <f>IFERROR(IF(d_ss_Bv!U28=0,".",((Ir*F*I_f*T*(1-EXP(-RadSpec!AY28*t_v)))/(Y_v*RadSpec!AY28))),".")</f>
        <v>3.6424203206347228</v>
      </c>
      <c r="BR28" s="116">
        <f>IFERROR(IF(d_ss_Bv!V28=0,".",((Ir*F*I_f*T*(1-EXP(-RadSpec!AY28*t_v)))/(Y_v*RadSpec!AY28))),".")</f>
        <v>3.6424203206347228</v>
      </c>
      <c r="BS28" s="116">
        <f>IFERROR(IF(d_ss_Bv!W28=0,".",((Ir*F*I_f*T*(1-EXP(-RadSpec!AY28*t_v)))/(Y_v*RadSpec!AY28))),".")</f>
        <v>3.6424203206347228</v>
      </c>
      <c r="BT28" s="116">
        <f>IFERROR(IF(d_ss_Bv!X28=0,".",((Ir*F*I_f*T*(1-EXP(-RadSpec!AY28*t_v)))/(Y_v*RadSpec!AY28))),".")</f>
        <v>3.6424203206347228</v>
      </c>
      <c r="BU28" s="116">
        <f>IFERROR(IF(d_ss_Bv!Y28=0,".",((Ir*F*I_f*T*(1-EXP(-RadSpec!AY28*t_v)))/(Y_v*RadSpec!AY28))),".")</f>
        <v>3.6424203206347228</v>
      </c>
      <c r="BV28" s="116">
        <f>IFERROR(IF(d_ss_Bv!Z28=0,".",((Ir*F*I_f*T*(1-EXP(-RadSpec!AY28*t_v)))/(Y_v*RadSpec!AY28))),".")</f>
        <v>3.6424203206347228</v>
      </c>
    </row>
    <row r="29" spans="1:74" x14ac:dyDescent="0.25">
      <c r="A29" s="44" t="s">
        <v>39</v>
      </c>
      <c r="B29" s="42" t="s">
        <v>1074</v>
      </c>
      <c r="C29" s="116">
        <f>IFERROR(IF(d_ss_Bv!C29=0,".",((Ir*F*d_ss_Bv!C29*(1-EXP(-RadSpec!AX29*t_b)))/(P*RadSpec!AX29))),".")</f>
        <v>2.8597128609880828E-3</v>
      </c>
      <c r="D29" s="116">
        <f>IFERROR(IF(d_ss_Bv!D29=0,".",((Ir*F*d_ss_Bv!D29*(1-EXP(-RadSpec!AX29*t_b)))/(P*RadSpec!AX29))),".")</f>
        <v>2.8597128609880826E-2</v>
      </c>
      <c r="E29" s="116">
        <f>IFERROR(IF(d_ss_Bv!E29=0,".",((Ir*F*d_ss_Bv!E29*(1-EXP(-RadSpec!AX29*t_b)))/(P*RadSpec!AX29))),".")</f>
        <v>2.8597128609880828E-3</v>
      </c>
      <c r="F29" s="116">
        <f>IFERROR(IF(d_ss_Bv!F29=0,".",((Ir*F*d_ss_Bv!F29*(1-EXP(-RadSpec!AX29*t_b)))/(P*RadSpec!AX29))),".")</f>
        <v>2.8597128609880828E-3</v>
      </c>
      <c r="G29" s="116">
        <f>IFERROR(IF(d_ss_Bv!G29=0,".",((Ir*F*d_ss_Bv!G29*(1-EXP(-RadSpec!AX29*t_b)))/(P*RadSpec!AX29))),".")</f>
        <v>2.8597128609880828E-3</v>
      </c>
      <c r="H29" s="116">
        <f>IFERROR(IF(d_ss_Bv!H29=0,".",((Ir*F*d_ss_Bv!H29*(1-EXP(-RadSpec!AX29*t_b)))/(P*RadSpec!AX29))),".")</f>
        <v>2.8597128609880826E-2</v>
      </c>
      <c r="I29" s="116">
        <f>IFERROR(IF(d_ss_Bv!I29=0,".",((Ir*F*d_ss_Bv!I29*(1-EXP(-RadSpec!AX29*t_b)))/(P*RadSpec!AX29))),".")</f>
        <v>2.8597128609880828E-3</v>
      </c>
      <c r="J29" s="116">
        <f>IFERROR(IF(d_ss_Bv!J29=0,".",((Ir*F*d_ss_Bv!J29*(1-EXP(-RadSpec!AX29*t_b)))/(P*RadSpec!AX29))),".")</f>
        <v>2.8597128609880828E-3</v>
      </c>
      <c r="K29" s="116">
        <f>IFERROR(IF(d_ss_Bv!K29=0,".",((Ir*F*d_ss_Bv!K29*(1-EXP(-RadSpec!AX29*t_b)))/(P*RadSpec!AX29))),".")</f>
        <v>2.8597128609880828E-3</v>
      </c>
      <c r="L29" s="116">
        <f>IFERROR(IF(d_ss_Bv!L29=0,".",((Ir*F*d_ss_Bv!L29*(1-EXP(-RadSpec!AX29*t_b)))/(P*RadSpec!AX29))),".")</f>
        <v>2.8597128609880828E-3</v>
      </c>
      <c r="M29" s="116">
        <f>IFERROR(IF(d_ss_Bv!M29=0,".",((Ir*F*d_ss_Bv!M29*(1-EXP(-RadSpec!AX29*t_b)))/(P*RadSpec!AX29))),".")</f>
        <v>2.8597128609880826E-2</v>
      </c>
      <c r="N29" s="116">
        <f>IFERROR(IF(d_ss_Bv!N29=0,".",((Ir*F*d_ss_Bv!N29*(1-EXP(-RadSpec!AX29*t_b)))/(P*RadSpec!AX29))),".")</f>
        <v>2.8597128609880828E-3</v>
      </c>
      <c r="O29" s="116">
        <f>IFERROR(IF(d_ss_Bv!O29=0,".",((Ir*F*d_ss_Bv!O29*(1-EXP(-RadSpec!AX29*t_b)))/(P*RadSpec!AX29))),".")</f>
        <v>2.8597128609880828E-3</v>
      </c>
      <c r="P29" s="116">
        <f>IFERROR(IF(d_ss_Bv!P29=0,".",((Ir*F*d_ss_Bv!P29*(1-EXP(-RadSpec!AX29*t_b)))/(P*RadSpec!AX29))),".")</f>
        <v>2.8597128609880828E-3</v>
      </c>
      <c r="Q29" s="116">
        <f>IFERROR(IF(d_ss_Bv!Q29=0,".",((Ir*F*d_ss_Bv!Q29*(1-EXP(-RadSpec!AX29*t_b)))/(P*RadSpec!AX29))),".")</f>
        <v>2.8597128609880828E-3</v>
      </c>
      <c r="R29" s="116">
        <f>IFERROR(IF(d_ss_Bv!R29=0,".",((Ir*F*d_ss_Bv!R29*(1-EXP(-RadSpec!AX29*t_b)))/(P*RadSpec!AX29))),".")</f>
        <v>2.8597128609880828E-3</v>
      </c>
      <c r="S29" s="116">
        <f>IFERROR(IF(d_ss_Bv!S29=0,".",((Ir*F*d_ss_Bv!S29*(1-EXP(-RadSpec!AX29*t_b)))/(P*RadSpec!AX29))),".")</f>
        <v>2.8597128609880828E-3</v>
      </c>
      <c r="T29" s="116">
        <f>IFERROR(IF(d_ss_Bv!T29=0,".",((Ir*F*d_ss_Bv!T29*(1-EXP(-RadSpec!AX29*t_b)))/(P*RadSpec!AX29))),".")</f>
        <v>2.8597128609880828E-3</v>
      </c>
      <c r="U29" s="116">
        <f>IFERROR(IF(d_ss_Bv!U29=0,".",((Ir*F*d_ss_Bv!U29*(1-EXP(-RadSpec!AX29*t_b)))/(P*RadSpec!AX29))),".")</f>
        <v>2.8597128609880828E-3</v>
      </c>
      <c r="V29" s="116">
        <f>IFERROR(IF(d_ss_Bv!V29=0,".",((Ir*F*d_ss_Bv!V29*(1-EXP(-RadSpec!AX29*t_b)))/(P*RadSpec!AX29))),".")</f>
        <v>2.8597128609880828E-3</v>
      </c>
      <c r="W29" s="116">
        <f>IFERROR(IF(d_ss_Bv!W29=0,".",((Ir*F*d_ss_Bv!W29*(1-EXP(-RadSpec!AX29*t_b)))/(P*RadSpec!AX29))),".")</f>
        <v>2.8597128609880828E-3</v>
      </c>
      <c r="X29" s="116">
        <f>IFERROR(IF(d_ss_Bv!X29=0,".",((Ir*F*d_ss_Bv!X29*(1-EXP(-RadSpec!AX29*t_b)))/(P*RadSpec!AX29))),".")</f>
        <v>2.8597128609880828E-3</v>
      </c>
      <c r="Y29" s="116">
        <f>IFERROR(IF(d_ss_Bv!Y29=0,".",((Ir*F*d_ss_Bv!Y29*(1-EXP(-RadSpec!AX29*t_b)))/(P*RadSpec!AX29))),".")</f>
        <v>7.1492821524702075</v>
      </c>
      <c r="Z29" s="116">
        <f>IFERROR(IF(d_ss_Bv!Z29=0,".",((Ir*F*d_ss_Bv!Z29*(1-EXP(-RadSpec!AX29*t_b)))/(P*RadSpec!AX29))),".")</f>
        <v>7.1492821524702075</v>
      </c>
      <c r="AA29" s="116">
        <f>IFERROR(IF(d_ss_Bv!C29=0,".",((Ir*F*MLF_apple*(1-EXP(-RadSpec!AX29*t_b)))/(P*RadSpec!AX29))),".")</f>
        <v>5.7194257219761657E-3</v>
      </c>
      <c r="AB29" s="116">
        <f>IFERROR(IF(d_ss_Bv!D29=0,".",((Ir*F*MLF_asparagus*(1-EXP(-RadSpec!AX29*t_b)))/(P*RadSpec!AX29))),".")</f>
        <v>2.8239664502257315E-3</v>
      </c>
      <c r="AC29" s="116">
        <f>IFERROR(IF(d_ss_Bv!E29=0,".",((Ir*F*MLF_beet*(1-EXP(-RadSpec!AX29*t_b)))/(P*RadSpec!AX29))),".")</f>
        <v>4.9330046852044422E-3</v>
      </c>
      <c r="AD29" s="116">
        <f>IFERROR(IF(d_ss_Bv!F29=0,".",((Ir*F*MLF_berries*(1-EXP(-RadSpec!AX29*t_b)))/(P*RadSpec!AX29))),".")</f>
        <v>5.9339041865502712E-3</v>
      </c>
      <c r="AE29" s="116">
        <f>IFERROR(IF(d_ss_Bv!G29=0,".",((Ir*F*MLF_broccoli*(1-EXP(-RadSpec!AX29*t_b)))/(P*RadSpec!AX29))),".")</f>
        <v>3.6103874869974538E-2</v>
      </c>
      <c r="AF29" s="116">
        <f>IFERROR(IF(d_ss_Bv!H29=0,".",((Ir*F*MLF_cabbage*(1-EXP(-RadSpec!AX29*t_b)))/(P*RadSpec!AX29))),".")</f>
        <v>3.7533731300468582E-3</v>
      </c>
      <c r="AG29" s="116">
        <f>IFERROR(IF(d_ss_Bv!I29=0,".",((Ir*F*MLF_carrot*(1-EXP(-RadSpec!AX29*t_b)))/(P*RadSpec!AX29))),".")</f>
        <v>3.4674018439480501E-3</v>
      </c>
      <c r="AH29" s="116">
        <f>IFERROR(IF(d_ss_Bv!J29=0,".",((Ir*F*MLF_citrus*(1-EXP(-RadSpec!AX29*t_b)))/(P*RadSpec!AX29))),".")</f>
        <v>5.6121864896891112E-3</v>
      </c>
      <c r="AI29" s="116">
        <f>IFERROR(IF(d_ss_Bv!K29=0,".",((Ir*F*MLF_corn*(1-EXP(-RadSpec!AX29*t_b)))/(P*RadSpec!AX29))),".")</f>
        <v>5.1832295605408994E-3</v>
      </c>
      <c r="AJ29" s="116">
        <f>IFERROR(IF(d_ss_Bv!L29=0,".",((Ir*F*MLF_cucumber*(1-EXP(-RadSpec!AX29*t_b)))/(P*RadSpec!AX29))),".")</f>
        <v>1.4298564304940414E-3</v>
      </c>
      <c r="AK29" s="116">
        <f>IFERROR(IF(d_ss_Bv!M29=0,".",((Ir*F*MLF_lettuce*(1-EXP(-RadSpec!AX29*t_b)))/(P*RadSpec!AX29))),".")</f>
        <v>0.48257654529173893</v>
      </c>
      <c r="AL29" s="116">
        <f>IFERROR(IF(d_ss_Bv!N29=0,".",((Ir*F*MLF_lima_bean*(1-EXP(-RadSpec!AX29*t_b)))/(P*RadSpec!AX29))),".")</f>
        <v>0.13690875321980447</v>
      </c>
      <c r="AM29" s="116">
        <f>IFERROR(IF(d_ss_Bv!O29=0,".",((Ir*F*MLF_okra*(1-EXP(-RadSpec!AX29*t_b)))/(P*RadSpec!AX29))),".")</f>
        <v>2.8597128609880828E-3</v>
      </c>
      <c r="AN29" s="116">
        <f>IFERROR(IF(d_ss_Bv!P29=0,".",((Ir*F*MLF_onion*(1-EXP(-RadSpec!AX29*t_b)))/(P*RadSpec!AX29))),".")</f>
        <v>3.4674018439480501E-3</v>
      </c>
      <c r="AO29" s="116">
        <f>IFERROR(IF(d_ss_Bv!Q29=0,".",((Ir*F*MLF_peach*(1-EXP(-RadSpec!AX29*t_b)))/(P*RadSpec!AX29))),".")</f>
        <v>5.361961614352654E-3</v>
      </c>
      <c r="AP29" s="116" t="str">
        <f>IFERROR(IF(d_ss_Bv!OI29=0,".",((Ir*F*MLF_pear*(1-EXP(-RadSpec!AX29*t_b)))/(P*RadSpec!AX29))),".")</f>
        <v>.</v>
      </c>
      <c r="AQ29" s="116">
        <f>IFERROR(IF(d_ss_Bv!S29=0,".",((Ir*F*MLF_peas*(1-EXP(-RadSpec!AX29*t_b)))/(P*RadSpec!AX29))),".")</f>
        <v>6.3628611156984829E-3</v>
      </c>
      <c r="AR29" s="116">
        <f>IFERROR(IF(d_ss_Bv!T29=0,".",((Ir*F*MLF_potato*(1-EXP(-RadSpec!AX29*t_b)))/(P*RadSpec!AX29))),".")</f>
        <v>7.5067462600937164E-3</v>
      </c>
      <c r="AS29" s="116">
        <f>IFERROR(IF(d_ss_Bv!U29=0,".",((Ir*F*MLF_pumpkin*(1-EXP(-RadSpec!AX29*t_b)))/(P*RadSpec!AX29))),".")</f>
        <v>2.0732918242163598E-3</v>
      </c>
      <c r="AT29" s="116">
        <f>IFERROR(IF(d_ss_Bv!V29=0,".",((Ir*F*MLF_snap_bean*(1-EXP(-RadSpec!AX29*t_b)))/(P*RadSpec!AX29))),".")</f>
        <v>0.17873205381175516</v>
      </c>
      <c r="AU29" s="116">
        <f>IFERROR(IF(d_ss_Bv!W29=0,".",((Ir*F*MLF_strawberry*(1-EXP(-RadSpec!AX29*t_b)))/(P*RadSpec!AX29))),".")</f>
        <v>2.8597128609880828E-3</v>
      </c>
      <c r="AV29" s="116">
        <f>IFERROR(IF(d_ss_Bv!X29=0,".",((Ir*F*MLF_tomato*(1-EXP(-RadSpec!AX29*t_b)))/(P*RadSpec!AX29))),".")</f>
        <v>5.6836793112138136E-2</v>
      </c>
      <c r="AW29" s="116">
        <f>IFERROR(IF(d_ss_Bv!Y29=0,".",((Ir*F*MLF_rice*(1-EXP(-RadSpec!AX29*t_b)))/(P*RadSpec!AX29))),".")</f>
        <v>8.9366026905877582</v>
      </c>
      <c r="AX29" s="116">
        <f>IFERROR(IF(d_ss_Bv!Z29=0,".",((Ir*F*MLF_cereal*(1-EXP(-RadSpec!AX29*t_b)))/(P*RadSpec!AX29))),".")</f>
        <v>8.9366026905877582</v>
      </c>
      <c r="AY29" s="116">
        <f>IFERROR(IF(d_ss_Bv!C29=0,".",((Ir*F*I_f*T*(1-EXP(-RadSpec!AY29*t_v)))/(Y_v*RadSpec!AY29))),".")</f>
        <v>3.6424203206347228</v>
      </c>
      <c r="AZ29" s="116">
        <f>IFERROR(IF(d_ss_Bv!D29=0,".",((Ir*F*I_f*T*(1-EXP(-RadSpec!AY29*t_v)))/(Y_v*RadSpec!AY29))),".")</f>
        <v>3.6424203206347228</v>
      </c>
      <c r="BA29" s="116">
        <f>IFERROR(IF(d_ss_Bv!E29=0,".",((Ir*F*I_f*T*(1-EXP(-RadSpec!AY29*t_v)))/(Y_v*RadSpec!AY29))),".")</f>
        <v>3.6424203206347228</v>
      </c>
      <c r="BB29" s="116">
        <f>IFERROR(IF(d_ss_Bv!F29=0,".",((Ir*F*I_f*T*(1-EXP(-RadSpec!AY29*t_v)))/(Y_v*RadSpec!AY29))),".")</f>
        <v>3.6424203206347228</v>
      </c>
      <c r="BC29" s="116">
        <f>IFERROR(IF(d_ss_Bv!G29=0,".",((Ir*F*I_f*T*(1-EXP(-RadSpec!AY29*t_v)))/(Y_v*RadSpec!AY29))),".")</f>
        <v>3.6424203206347228</v>
      </c>
      <c r="BD29" s="116">
        <f>IFERROR(IF(d_ss_Bv!H29=0,".",((Ir*F*I_f*T*(1-EXP(-RadSpec!AY29*t_v)))/(Y_v*RadSpec!AY29))),".")</f>
        <v>3.6424203206347228</v>
      </c>
      <c r="BE29" s="116">
        <f>IFERROR(IF(d_ss_Bv!I29=0,".",((Ir*F*I_f*T*(1-EXP(-RadSpec!AY29*t_v)))/(Y_v*RadSpec!AY29))),".")</f>
        <v>3.6424203206347228</v>
      </c>
      <c r="BF29" s="116">
        <f>IFERROR(IF(d_ss_Bv!J29=0,".",((Ir*F*I_f*T*(1-EXP(-RadSpec!AY29*t_v)))/(Y_v*RadSpec!AY29))),".")</f>
        <v>3.6424203206347228</v>
      </c>
      <c r="BG29" s="116">
        <f>IFERROR(IF(d_ss_Bv!K29=0,".",((Ir*F*I_f*T*(1-EXP(-RadSpec!AY29*t_v)))/(Y_v*RadSpec!AY29))),".")</f>
        <v>3.6424203206347228</v>
      </c>
      <c r="BH29" s="116">
        <f>IFERROR(IF(d_ss_Bv!L29=0,".",((Ir*F*I_f*T*(1-EXP(-RadSpec!AY29*t_v)))/(Y_v*RadSpec!AY29))),".")</f>
        <v>3.6424203206347228</v>
      </c>
      <c r="BI29" s="116">
        <f>IFERROR(IF(d_ss_Bv!M29=0,".",((Ir*F*I_f*T*(1-EXP(-RadSpec!AY29*t_v)))/(Y_v*RadSpec!AY29))),".")</f>
        <v>3.6424203206347228</v>
      </c>
      <c r="BJ29" s="116">
        <f>IFERROR(IF(d_ss_Bv!N29=0,".",((Ir*F*I_f*T*(1-EXP(-RadSpec!AY29*t_v)))/(Y_v*RadSpec!AY29))),".")</f>
        <v>3.6424203206347228</v>
      </c>
      <c r="BK29" s="116">
        <f>IFERROR(IF(d_ss_Bv!O29=0,".",((Ir*F*I_f*T*(1-EXP(-RadSpec!AY29*t_v)))/(Y_v*RadSpec!AY29))),".")</f>
        <v>3.6424203206347228</v>
      </c>
      <c r="BL29" s="116">
        <f>IFERROR(IF(d_ss_Bv!P29=0,".",((Ir*F*I_f*T*(1-EXP(-RadSpec!AY29*t_v)))/(Y_v*RadSpec!AY29))),".")</f>
        <v>3.6424203206347228</v>
      </c>
      <c r="BM29" s="116">
        <f>IFERROR(IF(d_ss_Bv!Q29=0,".",((Ir*F*I_f*T*(1-EXP(-RadSpec!AY29*t_v)))/(Y_v*RadSpec!AY29))),".")</f>
        <v>3.6424203206347228</v>
      </c>
      <c r="BN29" s="116">
        <f>IFERROR(IF(d_ss_Bv!R29=0,".",((Ir*F*I_f*T*(1-EXP(-RadSpec!AY29*t_v)))/(Y_v*RadSpec!AY29))),".")</f>
        <v>3.6424203206347228</v>
      </c>
      <c r="BO29" s="116">
        <f>IFERROR(IF(d_ss_Bv!S29=0,".",((Ir*F*I_f*T*(1-EXP(-RadSpec!AY29*t_v)))/(Y_v*RadSpec!AY29))),".")</f>
        <v>3.6424203206347228</v>
      </c>
      <c r="BP29" s="116">
        <f>IFERROR(IF(d_ss_Bv!T29=0,".",((Ir*F*I_f*T*(1-EXP(-RadSpec!AY29*t_v)))/(Y_v*RadSpec!AY29))),".")</f>
        <v>3.6424203206347228</v>
      </c>
      <c r="BQ29" s="116">
        <f>IFERROR(IF(d_ss_Bv!U29=0,".",((Ir*F*I_f*T*(1-EXP(-RadSpec!AY29*t_v)))/(Y_v*RadSpec!AY29))),".")</f>
        <v>3.6424203206347228</v>
      </c>
      <c r="BR29" s="116">
        <f>IFERROR(IF(d_ss_Bv!V29=0,".",((Ir*F*I_f*T*(1-EXP(-RadSpec!AY29*t_v)))/(Y_v*RadSpec!AY29))),".")</f>
        <v>3.6424203206347228</v>
      </c>
      <c r="BS29" s="116">
        <f>IFERROR(IF(d_ss_Bv!W29=0,".",((Ir*F*I_f*T*(1-EXP(-RadSpec!AY29*t_v)))/(Y_v*RadSpec!AY29))),".")</f>
        <v>3.6424203206347228</v>
      </c>
      <c r="BT29" s="116">
        <f>IFERROR(IF(d_ss_Bv!X29=0,".",((Ir*F*I_f*T*(1-EXP(-RadSpec!AY29*t_v)))/(Y_v*RadSpec!AY29))),".")</f>
        <v>3.6424203206347228</v>
      </c>
      <c r="BU29" s="116">
        <f>IFERROR(IF(d_ss_Bv!Y29=0,".",((Ir*F*I_f*T*(1-EXP(-RadSpec!AY29*t_v)))/(Y_v*RadSpec!AY29))),".")</f>
        <v>3.6424203206347228</v>
      </c>
      <c r="BV29" s="116">
        <f>IFERROR(IF(d_ss_Bv!Z29=0,".",((Ir*F*I_f*T*(1-EXP(-RadSpec!AY29*t_v)))/(Y_v*RadSpec!AY29))),".")</f>
        <v>3.6424203206347228</v>
      </c>
    </row>
    <row r="30" spans="1:74" x14ac:dyDescent="0.25">
      <c r="A30" s="44" t="s">
        <v>40</v>
      </c>
      <c r="B30" s="42" t="s">
        <v>1074</v>
      </c>
      <c r="C30" s="116">
        <f>IFERROR(IF(d_ss_Bv!C30=0,".",((Ir*F*d_ss_Bv!C30*(1-EXP(-RadSpec!AX30*t_b)))/(P*RadSpec!AX30))),".")</f>
        <v>3.5746410762351036E-2</v>
      </c>
      <c r="D30" s="116">
        <f>IFERROR(IF(d_ss_Bv!D30=0,".",((Ir*F*d_ss_Bv!D30*(1-EXP(-RadSpec!AX30*t_b)))/(P*RadSpec!AX30))),".")</f>
        <v>0.71492821524702066</v>
      </c>
      <c r="E30" s="116">
        <f>IFERROR(IF(d_ss_Bv!E30=0,".",((Ir*F*d_ss_Bv!E30*(1-EXP(-RadSpec!AX30*t_b)))/(P*RadSpec!AX30))),".")</f>
        <v>0.30026985040374859</v>
      </c>
      <c r="F30" s="116">
        <f>IFERROR(IF(d_ss_Bv!F30=0,".",((Ir*F*d_ss_Bv!F30*(1-EXP(-RadSpec!AX30*t_b)))/(P*RadSpec!AX30))),".")</f>
        <v>3.5746410762351036E-2</v>
      </c>
      <c r="G30" s="116">
        <f>IFERROR(IF(d_ss_Bv!G30=0,".",((Ir*F*d_ss_Bv!G30*(1-EXP(-RadSpec!AX30*t_b)))/(P*RadSpec!AX30))),".")</f>
        <v>0.53619616143526549</v>
      </c>
      <c r="H30" s="116">
        <f>IFERROR(IF(d_ss_Bv!H30=0,".",((Ir*F*d_ss_Bv!H30*(1-EXP(-RadSpec!AX30*t_b)))/(P*RadSpec!AX30))),".")</f>
        <v>0.71492821524702066</v>
      </c>
      <c r="I30" s="116">
        <f>IFERROR(IF(d_ss_Bv!I30=0,".",((Ir*F*d_ss_Bv!I30*(1-EXP(-RadSpec!AX30*t_b)))/(P*RadSpec!AX30))),".")</f>
        <v>0.30026985040374859</v>
      </c>
      <c r="J30" s="116">
        <f>IFERROR(IF(d_ss_Bv!J30=0,".",((Ir*F*d_ss_Bv!J30*(1-EXP(-RadSpec!AX30*t_b)))/(P*RadSpec!AX30))),".")</f>
        <v>3.5746410762351036E-2</v>
      </c>
      <c r="K30" s="116">
        <f>IFERROR(IF(d_ss_Bv!K30=0,".",((Ir*F*d_ss_Bv!K30*(1-EXP(-RadSpec!AX30*t_b)))/(P*RadSpec!AX30))),".")</f>
        <v>0.53619616143526549</v>
      </c>
      <c r="L30" s="116">
        <f>IFERROR(IF(d_ss_Bv!L30=0,".",((Ir*F*d_ss_Bv!L30*(1-EXP(-RadSpec!AX30*t_b)))/(P*RadSpec!AX30))),".")</f>
        <v>0.53619616143526549</v>
      </c>
      <c r="M30" s="116">
        <f>IFERROR(IF(d_ss_Bv!M30=0,".",((Ir*F*d_ss_Bv!M30*(1-EXP(-RadSpec!AX30*t_b)))/(P*RadSpec!AX30))),".")</f>
        <v>0.71492821524702066</v>
      </c>
      <c r="N30" s="116">
        <f>IFERROR(IF(d_ss_Bv!N30=0,".",((Ir*F*d_ss_Bv!N30*(1-EXP(-RadSpec!AX30*t_b)))/(P*RadSpec!AX30))),".")</f>
        <v>7.8642103677172268E-2</v>
      </c>
      <c r="O30" s="116">
        <f>IFERROR(IF(d_ss_Bv!O30=0,".",((Ir*F*d_ss_Bv!O30*(1-EXP(-RadSpec!AX30*t_b)))/(P*RadSpec!AX30))),".")</f>
        <v>0.53619616143526549</v>
      </c>
      <c r="P30" s="116">
        <f>IFERROR(IF(d_ss_Bv!P30=0,".",((Ir*F*d_ss_Bv!P30*(1-EXP(-RadSpec!AX30*t_b)))/(P*RadSpec!AX30))),".")</f>
        <v>0.53619616143526549</v>
      </c>
      <c r="Q30" s="116">
        <f>IFERROR(IF(d_ss_Bv!Q30=0,".",((Ir*F*d_ss_Bv!Q30*(1-EXP(-RadSpec!AX30*t_b)))/(P*RadSpec!AX30))),".")</f>
        <v>3.5746410762351036E-2</v>
      </c>
      <c r="R30" s="116">
        <f>IFERROR(IF(d_ss_Bv!R30=0,".",((Ir*F*d_ss_Bv!R30*(1-EXP(-RadSpec!AX30*t_b)))/(P*RadSpec!AX30))),".")</f>
        <v>3.5746410762351036E-2</v>
      </c>
      <c r="S30" s="116">
        <f>IFERROR(IF(d_ss_Bv!S30=0,".",((Ir*F*d_ss_Bv!S30*(1-EXP(-RadSpec!AX30*t_b)))/(P*RadSpec!AX30))),".")</f>
        <v>7.8642103677172268E-2</v>
      </c>
      <c r="T30" s="116">
        <f>IFERROR(IF(d_ss_Bv!T30=0,".",((Ir*F*d_ss_Bv!T30*(1-EXP(-RadSpec!AX30*t_b)))/(P*RadSpec!AX30))),".")</f>
        <v>0.17873205381175516</v>
      </c>
      <c r="U30" s="116">
        <f>IFERROR(IF(d_ss_Bv!U30=0,".",((Ir*F*d_ss_Bv!U30*(1-EXP(-RadSpec!AX30*t_b)))/(P*RadSpec!AX30))),".")</f>
        <v>0.53619616143526549</v>
      </c>
      <c r="V30" s="116">
        <f>IFERROR(IF(d_ss_Bv!V30=0,".",((Ir*F*d_ss_Bv!V30*(1-EXP(-RadSpec!AX30*t_b)))/(P*RadSpec!AX30))),".")</f>
        <v>7.8642103677172268E-2</v>
      </c>
      <c r="W30" s="116">
        <f>IFERROR(IF(d_ss_Bv!W30=0,".",((Ir*F*d_ss_Bv!W30*(1-EXP(-RadSpec!AX30*t_b)))/(P*RadSpec!AX30))),".")</f>
        <v>3.5746410762351036E-2</v>
      </c>
      <c r="X30" s="116">
        <f>IFERROR(IF(d_ss_Bv!X30=0,".",((Ir*F*d_ss_Bv!X30*(1-EXP(-RadSpec!AX30*t_b)))/(P*RadSpec!AX30))),".")</f>
        <v>0.53619616143526549</v>
      </c>
      <c r="Y30" s="116">
        <f>IFERROR(IF(d_ss_Bv!Y30=0,".",((Ir*F*d_ss_Bv!Y30*(1-EXP(-RadSpec!AX30*t_b)))/(P*RadSpec!AX30))),".")</f>
        <v>8.6863778152513008E-3</v>
      </c>
      <c r="Z30" s="116">
        <f>IFERROR(IF(d_ss_Bv!Z30=0,".",((Ir*F*d_ss_Bv!Z30*(1-EXP(-RadSpec!AX30*t_b)))/(P*RadSpec!AX30))),".")</f>
        <v>0.22162774672657637</v>
      </c>
      <c r="AA30" s="116">
        <f>IFERROR(IF(d_ss_Bv!C30=0,".",((Ir*F*MLF_apple*(1-EXP(-RadSpec!AX30*t_b)))/(P*RadSpec!AX30))),".")</f>
        <v>5.7194257219761657E-3</v>
      </c>
      <c r="AB30" s="116">
        <f>IFERROR(IF(d_ss_Bv!D30=0,".",((Ir*F*MLF_asparagus*(1-EXP(-RadSpec!AX30*t_b)))/(P*RadSpec!AX30))),".")</f>
        <v>2.8239664502257315E-3</v>
      </c>
      <c r="AC30" s="116">
        <f>IFERROR(IF(d_ss_Bv!E30=0,".",((Ir*F*MLF_beet*(1-EXP(-RadSpec!AX30*t_b)))/(P*RadSpec!AX30))),".")</f>
        <v>4.9330046852044422E-3</v>
      </c>
      <c r="AD30" s="116">
        <f>IFERROR(IF(d_ss_Bv!F30=0,".",((Ir*F*MLF_berries*(1-EXP(-RadSpec!AX30*t_b)))/(P*RadSpec!AX30))),".")</f>
        <v>5.9339041865502712E-3</v>
      </c>
      <c r="AE30" s="116">
        <f>IFERROR(IF(d_ss_Bv!G30=0,".",((Ir*F*MLF_broccoli*(1-EXP(-RadSpec!AX30*t_b)))/(P*RadSpec!AX30))),".")</f>
        <v>3.6103874869974538E-2</v>
      </c>
      <c r="AF30" s="116">
        <f>IFERROR(IF(d_ss_Bv!H30=0,".",((Ir*F*MLF_cabbage*(1-EXP(-RadSpec!AX30*t_b)))/(P*RadSpec!AX30))),".")</f>
        <v>3.7533731300468582E-3</v>
      </c>
      <c r="AG30" s="116">
        <f>IFERROR(IF(d_ss_Bv!I30=0,".",((Ir*F*MLF_carrot*(1-EXP(-RadSpec!AX30*t_b)))/(P*RadSpec!AX30))),".")</f>
        <v>3.4674018439480501E-3</v>
      </c>
      <c r="AH30" s="116">
        <f>IFERROR(IF(d_ss_Bv!J30=0,".",((Ir*F*MLF_citrus*(1-EXP(-RadSpec!AX30*t_b)))/(P*RadSpec!AX30))),".")</f>
        <v>5.6121864896891112E-3</v>
      </c>
      <c r="AI30" s="116">
        <f>IFERROR(IF(d_ss_Bv!K30=0,".",((Ir*F*MLF_corn*(1-EXP(-RadSpec!AX30*t_b)))/(P*RadSpec!AX30))),".")</f>
        <v>5.1832295605408994E-3</v>
      </c>
      <c r="AJ30" s="116">
        <f>IFERROR(IF(d_ss_Bv!L30=0,".",((Ir*F*MLF_cucumber*(1-EXP(-RadSpec!AX30*t_b)))/(P*RadSpec!AX30))),".")</f>
        <v>1.4298564304940414E-3</v>
      </c>
      <c r="AK30" s="116">
        <f>IFERROR(IF(d_ss_Bv!M30=0,".",((Ir*F*MLF_lettuce*(1-EXP(-RadSpec!AX30*t_b)))/(P*RadSpec!AX30))),".")</f>
        <v>0.48257654529173893</v>
      </c>
      <c r="AL30" s="116">
        <f>IFERROR(IF(d_ss_Bv!N30=0,".",((Ir*F*MLF_lima_bean*(1-EXP(-RadSpec!AX30*t_b)))/(P*RadSpec!AX30))),".")</f>
        <v>0.13690875321980447</v>
      </c>
      <c r="AM30" s="116">
        <f>IFERROR(IF(d_ss_Bv!O30=0,".",((Ir*F*MLF_okra*(1-EXP(-RadSpec!AX30*t_b)))/(P*RadSpec!AX30))),".")</f>
        <v>2.8597128609880828E-3</v>
      </c>
      <c r="AN30" s="116">
        <f>IFERROR(IF(d_ss_Bv!P30=0,".",((Ir*F*MLF_onion*(1-EXP(-RadSpec!AX30*t_b)))/(P*RadSpec!AX30))),".")</f>
        <v>3.4674018439480501E-3</v>
      </c>
      <c r="AO30" s="116">
        <f>IFERROR(IF(d_ss_Bv!Q30=0,".",((Ir*F*MLF_peach*(1-EXP(-RadSpec!AX30*t_b)))/(P*RadSpec!AX30))),".")</f>
        <v>5.361961614352654E-3</v>
      </c>
      <c r="AP30" s="116" t="str">
        <f>IFERROR(IF(d_ss_Bv!OI30=0,".",((Ir*F*MLF_pear*(1-EXP(-RadSpec!AX30*t_b)))/(P*RadSpec!AX30))),".")</f>
        <v>.</v>
      </c>
      <c r="AQ30" s="116">
        <f>IFERROR(IF(d_ss_Bv!S30=0,".",((Ir*F*MLF_peas*(1-EXP(-RadSpec!AX30*t_b)))/(P*RadSpec!AX30))),".")</f>
        <v>6.3628611156984829E-3</v>
      </c>
      <c r="AR30" s="116">
        <f>IFERROR(IF(d_ss_Bv!T30=0,".",((Ir*F*MLF_potato*(1-EXP(-RadSpec!AX30*t_b)))/(P*RadSpec!AX30))),".")</f>
        <v>7.5067462600937164E-3</v>
      </c>
      <c r="AS30" s="116">
        <f>IFERROR(IF(d_ss_Bv!U30=0,".",((Ir*F*MLF_pumpkin*(1-EXP(-RadSpec!AX30*t_b)))/(P*RadSpec!AX30))),".")</f>
        <v>2.0732918242163598E-3</v>
      </c>
      <c r="AT30" s="116">
        <f>IFERROR(IF(d_ss_Bv!V30=0,".",((Ir*F*MLF_snap_bean*(1-EXP(-RadSpec!AX30*t_b)))/(P*RadSpec!AX30))),".")</f>
        <v>0.17873205381175516</v>
      </c>
      <c r="AU30" s="116">
        <f>IFERROR(IF(d_ss_Bv!W30=0,".",((Ir*F*MLF_strawberry*(1-EXP(-RadSpec!AX30*t_b)))/(P*RadSpec!AX30))),".")</f>
        <v>2.8597128609880828E-3</v>
      </c>
      <c r="AV30" s="116">
        <f>IFERROR(IF(d_ss_Bv!X30=0,".",((Ir*F*MLF_tomato*(1-EXP(-RadSpec!AX30*t_b)))/(P*RadSpec!AX30))),".")</f>
        <v>5.6836793112138136E-2</v>
      </c>
      <c r="AW30" s="116">
        <f>IFERROR(IF(d_ss_Bv!Y30=0,".",((Ir*F*MLF_rice*(1-EXP(-RadSpec!AX30*t_b)))/(P*RadSpec!AX30))),".")</f>
        <v>8.9366026905877582</v>
      </c>
      <c r="AX30" s="116">
        <f>IFERROR(IF(d_ss_Bv!Z30=0,".",((Ir*F*MLF_cereal*(1-EXP(-RadSpec!AX30*t_b)))/(P*RadSpec!AX30))),".")</f>
        <v>8.9366026905877582</v>
      </c>
      <c r="AY30" s="116">
        <f>IFERROR(IF(d_ss_Bv!C30=0,".",((Ir*F*I_f*T*(1-EXP(-RadSpec!AY30*t_v)))/(Y_v*RadSpec!AY30))),".")</f>
        <v>3.6424203206347228</v>
      </c>
      <c r="AZ30" s="116">
        <f>IFERROR(IF(d_ss_Bv!D30=0,".",((Ir*F*I_f*T*(1-EXP(-RadSpec!AY30*t_v)))/(Y_v*RadSpec!AY30))),".")</f>
        <v>3.6424203206347228</v>
      </c>
      <c r="BA30" s="116">
        <f>IFERROR(IF(d_ss_Bv!E30=0,".",((Ir*F*I_f*T*(1-EXP(-RadSpec!AY30*t_v)))/(Y_v*RadSpec!AY30))),".")</f>
        <v>3.6424203206347228</v>
      </c>
      <c r="BB30" s="116">
        <f>IFERROR(IF(d_ss_Bv!F30=0,".",((Ir*F*I_f*T*(1-EXP(-RadSpec!AY30*t_v)))/(Y_v*RadSpec!AY30))),".")</f>
        <v>3.6424203206347228</v>
      </c>
      <c r="BC30" s="116">
        <f>IFERROR(IF(d_ss_Bv!G30=0,".",((Ir*F*I_f*T*(1-EXP(-RadSpec!AY30*t_v)))/(Y_v*RadSpec!AY30))),".")</f>
        <v>3.6424203206347228</v>
      </c>
      <c r="BD30" s="116">
        <f>IFERROR(IF(d_ss_Bv!H30=0,".",((Ir*F*I_f*T*(1-EXP(-RadSpec!AY30*t_v)))/(Y_v*RadSpec!AY30))),".")</f>
        <v>3.6424203206347228</v>
      </c>
      <c r="BE30" s="116">
        <f>IFERROR(IF(d_ss_Bv!I30=0,".",((Ir*F*I_f*T*(1-EXP(-RadSpec!AY30*t_v)))/(Y_v*RadSpec!AY30))),".")</f>
        <v>3.6424203206347228</v>
      </c>
      <c r="BF30" s="116">
        <f>IFERROR(IF(d_ss_Bv!J30=0,".",((Ir*F*I_f*T*(1-EXP(-RadSpec!AY30*t_v)))/(Y_v*RadSpec!AY30))),".")</f>
        <v>3.6424203206347228</v>
      </c>
      <c r="BG30" s="116">
        <f>IFERROR(IF(d_ss_Bv!K30=0,".",((Ir*F*I_f*T*(1-EXP(-RadSpec!AY30*t_v)))/(Y_v*RadSpec!AY30))),".")</f>
        <v>3.6424203206347228</v>
      </c>
      <c r="BH30" s="116">
        <f>IFERROR(IF(d_ss_Bv!L30=0,".",((Ir*F*I_f*T*(1-EXP(-RadSpec!AY30*t_v)))/(Y_v*RadSpec!AY30))),".")</f>
        <v>3.6424203206347228</v>
      </c>
      <c r="BI30" s="116">
        <f>IFERROR(IF(d_ss_Bv!M30=0,".",((Ir*F*I_f*T*(1-EXP(-RadSpec!AY30*t_v)))/(Y_v*RadSpec!AY30))),".")</f>
        <v>3.6424203206347228</v>
      </c>
      <c r="BJ30" s="116">
        <f>IFERROR(IF(d_ss_Bv!N30=0,".",((Ir*F*I_f*T*(1-EXP(-RadSpec!AY30*t_v)))/(Y_v*RadSpec!AY30))),".")</f>
        <v>3.6424203206347228</v>
      </c>
      <c r="BK30" s="116">
        <f>IFERROR(IF(d_ss_Bv!O30=0,".",((Ir*F*I_f*T*(1-EXP(-RadSpec!AY30*t_v)))/(Y_v*RadSpec!AY30))),".")</f>
        <v>3.6424203206347228</v>
      </c>
      <c r="BL30" s="116">
        <f>IFERROR(IF(d_ss_Bv!P30=0,".",((Ir*F*I_f*T*(1-EXP(-RadSpec!AY30*t_v)))/(Y_v*RadSpec!AY30))),".")</f>
        <v>3.6424203206347228</v>
      </c>
      <c r="BM30" s="116">
        <f>IFERROR(IF(d_ss_Bv!Q30=0,".",((Ir*F*I_f*T*(1-EXP(-RadSpec!AY30*t_v)))/(Y_v*RadSpec!AY30))),".")</f>
        <v>3.6424203206347228</v>
      </c>
      <c r="BN30" s="116">
        <f>IFERROR(IF(d_ss_Bv!R30=0,".",((Ir*F*I_f*T*(1-EXP(-RadSpec!AY30*t_v)))/(Y_v*RadSpec!AY30))),".")</f>
        <v>3.6424203206347228</v>
      </c>
      <c r="BO30" s="116">
        <f>IFERROR(IF(d_ss_Bv!S30=0,".",((Ir*F*I_f*T*(1-EXP(-RadSpec!AY30*t_v)))/(Y_v*RadSpec!AY30))),".")</f>
        <v>3.6424203206347228</v>
      </c>
      <c r="BP30" s="116">
        <f>IFERROR(IF(d_ss_Bv!T30=0,".",((Ir*F*I_f*T*(1-EXP(-RadSpec!AY30*t_v)))/(Y_v*RadSpec!AY30))),".")</f>
        <v>3.6424203206347228</v>
      </c>
      <c r="BQ30" s="116">
        <f>IFERROR(IF(d_ss_Bv!U30=0,".",((Ir*F*I_f*T*(1-EXP(-RadSpec!AY30*t_v)))/(Y_v*RadSpec!AY30))),".")</f>
        <v>3.6424203206347228</v>
      </c>
      <c r="BR30" s="116">
        <f>IFERROR(IF(d_ss_Bv!V30=0,".",((Ir*F*I_f*T*(1-EXP(-RadSpec!AY30*t_v)))/(Y_v*RadSpec!AY30))),".")</f>
        <v>3.6424203206347228</v>
      </c>
      <c r="BS30" s="116">
        <f>IFERROR(IF(d_ss_Bv!W30=0,".",((Ir*F*I_f*T*(1-EXP(-RadSpec!AY30*t_v)))/(Y_v*RadSpec!AY30))),".")</f>
        <v>3.6424203206347228</v>
      </c>
      <c r="BT30" s="116">
        <f>IFERROR(IF(d_ss_Bv!X30=0,".",((Ir*F*I_f*T*(1-EXP(-RadSpec!AY30*t_v)))/(Y_v*RadSpec!AY30))),".")</f>
        <v>3.6424203206347228</v>
      </c>
      <c r="BU30" s="116">
        <f>IFERROR(IF(d_ss_Bv!Y30=0,".",((Ir*F*I_f*T*(1-EXP(-RadSpec!AY30*t_v)))/(Y_v*RadSpec!AY30))),".")</f>
        <v>3.6424203206347228</v>
      </c>
      <c r="BV30" s="116">
        <f>IFERROR(IF(d_ss_Bv!Z30=0,".",((Ir*F*I_f*T*(1-EXP(-RadSpec!AY30*t_v)))/(Y_v*RadSpec!AY30))),".")</f>
        <v>3.6424203206347228</v>
      </c>
    </row>
  </sheetData>
  <sheetProtection algorithmName="SHA-512" hashValue="fmh6hWCF1rqjE1+vC+fnTQ2rz6YzRQOY9FoeYYkL7C00oE2BntJXldczrGAnpP7fPI6CW3QE0pkv3/eKBun/9w==" saltValue="7GrKbP752BRHeRIliwbWiA==" spinCount="100000" sheet="1" objects="1" scenarios="1" formatColumns="0" formatRows="0" autoFilter="0"/>
  <autoFilter ref="A1:BV30" xr:uid="{BCB2813E-7C2A-4EA1-A4A1-27D0CB95114D}"/>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Z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 defaultRowHeight="15" x14ac:dyDescent="0.25"/>
  <cols>
    <col min="1" max="1" width="14.5703125" style="75" bestFit="1" customWidth="1"/>
    <col min="2" max="2" width="11.7109375" style="75" bestFit="1" customWidth="1"/>
    <col min="3" max="3" width="17.140625" style="75" bestFit="1" customWidth="1"/>
    <col min="4" max="4" width="11" style="77" bestFit="1" customWidth="1"/>
    <col min="5" max="5" width="10.85546875" style="77" bestFit="1" customWidth="1"/>
    <col min="6" max="6" width="10.140625" style="77" bestFit="1" customWidth="1"/>
    <col min="7" max="7" width="10.85546875" style="77" bestFit="1" customWidth="1"/>
    <col min="8" max="8" width="10.140625" style="77" bestFit="1" customWidth="1"/>
    <col min="9" max="9" width="10.28515625" style="77" bestFit="1" customWidth="1"/>
    <col min="10" max="10" width="9.5703125" style="77" bestFit="1" customWidth="1"/>
    <col min="11" max="11" width="11" style="77" bestFit="1" customWidth="1"/>
    <col min="12" max="12" width="10.140625" style="77" bestFit="1" customWidth="1"/>
    <col min="13" max="13" width="11.85546875" style="77" bestFit="1" customWidth="1"/>
    <col min="14" max="14" width="9.28515625" style="77" bestFit="1" customWidth="1"/>
    <col min="15" max="16" width="10" style="77" bestFit="1" customWidth="1"/>
    <col min="17" max="17" width="11.140625" style="77" bestFit="1" customWidth="1"/>
    <col min="18" max="18" width="11.28515625" style="77" bestFit="1" customWidth="1"/>
    <col min="19" max="19" width="10.140625" style="77" bestFit="1" customWidth="1"/>
    <col min="20" max="20" width="9.42578125" style="77" bestFit="1" customWidth="1"/>
    <col min="21" max="21" width="10.85546875" style="77" bestFit="1" customWidth="1"/>
    <col min="22" max="22" width="11.28515625" style="77" bestFit="1" customWidth="1"/>
    <col min="23" max="23" width="10.28515625" style="77" bestFit="1" customWidth="1"/>
    <col min="24" max="24" width="11" style="77" bestFit="1" customWidth="1"/>
    <col min="25" max="25" width="9.85546875" style="77" bestFit="1" customWidth="1"/>
    <col min="26" max="26" width="9.42578125" style="77" bestFit="1" customWidth="1"/>
    <col min="27" max="27" width="11.28515625" style="77" bestFit="1" customWidth="1"/>
    <col min="28" max="28" width="16.85546875" style="77" bestFit="1" customWidth="1"/>
    <col min="29" max="29" width="10.7109375" style="77" bestFit="1" customWidth="1"/>
    <col min="30" max="30" width="10.5703125" style="77" bestFit="1" customWidth="1"/>
    <col min="31" max="31" width="10" style="77" bestFit="1" customWidth="1"/>
    <col min="32" max="32" width="10.5703125" style="77" bestFit="1" customWidth="1"/>
    <col min="33" max="33" width="10" style="77" bestFit="1" customWidth="1"/>
    <col min="34" max="34" width="10.140625" style="77" bestFit="1" customWidth="1"/>
    <col min="35" max="35" width="9.42578125" style="77" bestFit="1" customWidth="1"/>
    <col min="36" max="36" width="10.7109375" style="77" bestFit="1" customWidth="1"/>
    <col min="37" max="37" width="10" style="77" bestFit="1" customWidth="1"/>
    <col min="38" max="38" width="11.5703125" style="77" bestFit="1" customWidth="1"/>
    <col min="39" max="39" width="9.140625" style="77" bestFit="1" customWidth="1"/>
    <col min="40" max="40" width="9.7109375" style="77" bestFit="1" customWidth="1"/>
    <col min="41" max="41" width="9.85546875" style="77" bestFit="1" customWidth="1"/>
    <col min="42" max="42" width="11" style="77" bestFit="1" customWidth="1"/>
    <col min="43" max="43" width="11.140625" style="77" bestFit="1" customWidth="1"/>
    <col min="44" max="44" width="10" style="77" bestFit="1" customWidth="1"/>
    <col min="45" max="45" width="9.28515625" style="77" bestFit="1" customWidth="1"/>
    <col min="46" max="46" width="10.7109375" style="77" bestFit="1" customWidth="1"/>
    <col min="47" max="47" width="11" style="77" bestFit="1" customWidth="1"/>
    <col min="48" max="48" width="10" style="77" bestFit="1" customWidth="1"/>
    <col min="49" max="49" width="10.7109375" style="77" bestFit="1" customWidth="1"/>
    <col min="50" max="50" width="9.5703125" style="77" bestFit="1" customWidth="1"/>
    <col min="51" max="51" width="9.28515625" style="77" bestFit="1" customWidth="1"/>
    <col min="52" max="52" width="10.28515625" style="77" bestFit="1" customWidth="1"/>
    <col min="53" max="16384" width="9" style="77"/>
  </cols>
  <sheetData>
    <row r="1" spans="1:52" x14ac:dyDescent="0.25">
      <c r="A1" s="87" t="s">
        <v>51</v>
      </c>
      <c r="B1" s="88" t="s">
        <v>350</v>
      </c>
      <c r="C1" s="90" t="s">
        <v>568</v>
      </c>
      <c r="D1" s="90" t="s">
        <v>569</v>
      </c>
      <c r="E1" s="90" t="s">
        <v>573</v>
      </c>
      <c r="F1" s="90" t="s">
        <v>570</v>
      </c>
      <c r="G1" s="90" t="s">
        <v>571</v>
      </c>
      <c r="H1" s="90" t="s">
        <v>572</v>
      </c>
      <c r="I1" s="90" t="s">
        <v>574</v>
      </c>
      <c r="J1" s="90" t="s">
        <v>575</v>
      </c>
      <c r="K1" s="90" t="s">
        <v>576</v>
      </c>
      <c r="L1" s="90" t="s">
        <v>577</v>
      </c>
      <c r="M1" s="90" t="s">
        <v>578</v>
      </c>
      <c r="N1" s="90" t="s">
        <v>579</v>
      </c>
      <c r="O1" s="90" t="s">
        <v>580</v>
      </c>
      <c r="P1" s="90" t="s">
        <v>581</v>
      </c>
      <c r="Q1" s="90" t="s">
        <v>582</v>
      </c>
      <c r="R1" s="90" t="s">
        <v>583</v>
      </c>
      <c r="S1" s="90" t="s">
        <v>584</v>
      </c>
      <c r="T1" s="90" t="s">
        <v>585</v>
      </c>
      <c r="U1" s="90" t="s">
        <v>586</v>
      </c>
      <c r="V1" s="90" t="s">
        <v>587</v>
      </c>
      <c r="W1" s="90" t="s">
        <v>588</v>
      </c>
      <c r="X1" s="90" t="s">
        <v>589</v>
      </c>
      <c r="Y1" s="90" t="s">
        <v>590</v>
      </c>
      <c r="Z1" s="90" t="s">
        <v>591</v>
      </c>
      <c r="AA1" s="90" t="s">
        <v>640</v>
      </c>
      <c r="AB1" s="90" t="s">
        <v>567</v>
      </c>
      <c r="AC1" s="90" t="s">
        <v>592</v>
      </c>
      <c r="AD1" s="90" t="s">
        <v>593</v>
      </c>
      <c r="AE1" s="90" t="s">
        <v>594</v>
      </c>
      <c r="AF1" s="90" t="s">
        <v>595</v>
      </c>
      <c r="AG1" s="90" t="s">
        <v>596</v>
      </c>
      <c r="AH1" s="90" t="s">
        <v>597</v>
      </c>
      <c r="AI1" s="90" t="s">
        <v>598</v>
      </c>
      <c r="AJ1" s="90" t="s">
        <v>599</v>
      </c>
      <c r="AK1" s="90" t="s">
        <v>600</v>
      </c>
      <c r="AL1" s="90" t="s">
        <v>601</v>
      </c>
      <c r="AM1" s="90" t="s">
        <v>602</v>
      </c>
      <c r="AN1" s="90" t="s">
        <v>603</v>
      </c>
      <c r="AO1" s="90" t="s">
        <v>604</v>
      </c>
      <c r="AP1" s="90" t="s">
        <v>605</v>
      </c>
      <c r="AQ1" s="90" t="s">
        <v>606</v>
      </c>
      <c r="AR1" s="90" t="s">
        <v>607</v>
      </c>
      <c r="AS1" s="90" t="s">
        <v>608</v>
      </c>
      <c r="AT1" s="90" t="s">
        <v>609</v>
      </c>
      <c r="AU1" s="90" t="s">
        <v>610</v>
      </c>
      <c r="AV1" s="90" t="s">
        <v>611</v>
      </c>
      <c r="AW1" s="90" t="s">
        <v>612</v>
      </c>
      <c r="AX1" s="90" t="s">
        <v>613</v>
      </c>
      <c r="AY1" s="90" t="s">
        <v>614</v>
      </c>
      <c r="AZ1" s="90" t="s">
        <v>615</v>
      </c>
    </row>
    <row r="2" spans="1:52" x14ac:dyDescent="0.25">
      <c r="A2" s="92" t="s">
        <v>12</v>
      </c>
      <c r="B2" s="90" t="s">
        <v>1074</v>
      </c>
      <c r="C2" s="76">
        <f t="shared" ref="C2" si="0">IFERROR(1/SUM(1/D2,1/E2,1/F2,1/G2,1/H2,1/I2,1/J2,1/K2,1/L2,1/M2,1/N2,1/O2,1/P2,1/Q2,1/R2,1/S2,1/T2,1/U2,1/V2,1/W2,1/X2,1/Y2),".")</f>
        <v>3.0565988610146028E-4</v>
      </c>
      <c r="D2" s="76">
        <f>IFERROR(TR/(RadSpec!E2*IFAP_res_adj*CF_apple),".")</f>
        <v>5.5161737037274219E-3</v>
      </c>
      <c r="E2" s="76">
        <f>IFERROR(TR/(RadSpec!E2*IFAS_res_adj*CF_asparagus),".")</f>
        <v>1.2261592643064031E-2</v>
      </c>
      <c r="F2" s="76">
        <f>IFERROR(TR/(RadSpec!E2*IFBT_res_adj*CF_beet),".")</f>
        <v>1.499921084651973E-2</v>
      </c>
      <c r="G2" s="76">
        <f>IFERROR(TR/(RadSpec!E2*IFBE_res_adj*CF_berries),".")</f>
        <v>1.2356643748824218E-2</v>
      </c>
      <c r="H2" s="76">
        <f>IFERROR(TR/(RadSpec!E2*IFBR_res_adj*CF_broccoli),".")</f>
        <v>1.4640198285205871E-2</v>
      </c>
      <c r="I2" s="76">
        <f>IFERROR(TR/(RadSpec!E2*IFCB_res_adj*CF_cabbage),".")</f>
        <v>5.4914116754091972E-3</v>
      </c>
      <c r="J2" s="76">
        <f>IFERROR(TR/(RadSpec!E2*IFCR_res_adj*CF_carrot),".")</f>
        <v>1.6557202530294208E-2</v>
      </c>
      <c r="K2" s="76">
        <f>IFERROR(TR/(RadSpec!E2*IFCI_res_adj*CF_citrus),".")</f>
        <v>1.4308471136399287E-3</v>
      </c>
      <c r="L2" s="76">
        <f>IFERROR(TR/(RadSpec!E2*IFCO_res_adj*CF_corn),".")</f>
        <v>7.8581165878017171E-3</v>
      </c>
      <c r="M2" s="76">
        <f>IFERROR(TR/(RadSpec!E2*IFCU_res_adj*CF_cucumber),".")</f>
        <v>5.8433939612024767E-3</v>
      </c>
      <c r="N2" s="76">
        <f>IFERROR(TR/(RadSpec!E2*IFLE_res_adj*CF_lettuce),".")</f>
        <v>1.357126739905694E-2</v>
      </c>
      <c r="O2" s="76">
        <f>IFERROR(TR/(RadSpec!E2*IFLI_res_adj*CF_lima_bean),".")</f>
        <v>1.4713911171676839E-2</v>
      </c>
      <c r="P2" s="76">
        <f>IFERROR(TR/(RadSpec!E2*IFOK_res_adj*CF_okra),".")</f>
        <v>1.6546785919705785E-2</v>
      </c>
      <c r="Q2" s="76">
        <f>IFERROR(TR/(RadSpec!E2*IFON_res_adj*CF_onion),".")</f>
        <v>2.2345893134555945E-2</v>
      </c>
      <c r="R2" s="76">
        <f>IFERROR(TR/(RadSpec!E2*IFPC_res_adj*CF_peach),".")</f>
        <v>3.5275102225553042E-3</v>
      </c>
      <c r="S2" s="76">
        <f>IFERROR(TR/(RadSpec!E2*IFPR_res_adj*CF_pear),".")</f>
        <v>7.3150093782150868E-3</v>
      </c>
      <c r="T2" s="76">
        <f>IFERROR(TR/(RadSpec!E2*IFPE_res_adj*CF_peas),".")</f>
        <v>1.1681597254884454E-2</v>
      </c>
      <c r="U2" s="76">
        <f>IFERROR(TR/(RadSpec!E2*IFPT_res_adj*CF_potato),".")</f>
        <v>3.6705207200296345E-3</v>
      </c>
      <c r="V2" s="76">
        <f>IFERROR(TR/(RadSpec!E2*IFPU_res_adj*CF_pumpkin),".")</f>
        <v>6.7128933689056527E-3</v>
      </c>
      <c r="W2" s="76">
        <f>IFERROR(TR/(RadSpec!E2*IFSN_res_adj*CF_snap_bean),".")</f>
        <v>8.4719330711458679E-3</v>
      </c>
      <c r="X2" s="76">
        <f>IFERROR(TR/(RadSpec!E2*IFST_res_adj*CF_strawberry),".")</f>
        <v>1.0938289132614826E-2</v>
      </c>
      <c r="Y2" s="76">
        <f>IFERROR(TR/(RadSpec!E2*IFTO_res_adj*CF_tomato),".")</f>
        <v>5.8964502229284493E-3</v>
      </c>
      <c r="Z2" s="76">
        <f>IFERROR(TR/(RadSpec!E2*IFRI_res_adj*CF_rice),".")</f>
        <v>6.4274477564448549E-3</v>
      </c>
      <c r="AA2" s="76">
        <f>IFERROR(TR/(RadSpec!E2*IFCG_res_adj*CF_cereal),".")</f>
        <v>4.9765593603353546E-3</v>
      </c>
      <c r="AB2" s="76">
        <f t="shared" ref="AB2" si="1">IFERROR(1/SUM(1/AC2,1/AD2,1/AE2,1/AF2,1/AG2,1/AH2,1/AI2,1/AJ2,1/AK2,1/AL2,1/AM2,1/AN2,1/AO2,1/AP2,1/AQ2,1/AR2,1/AS2,1/AT2,1/AU2,1/AV2,1/AW2,1/AX2),".")</f>
        <v>1.8760447962917482E-4</v>
      </c>
      <c r="AC2" s="76">
        <f>IFERROR(TR/(RadSpec!E2*IFAP_far_adj*CF_apple),".")</f>
        <v>3.1151387207594872E-3</v>
      </c>
      <c r="AD2" s="76">
        <f>IFERROR(TR/(RadSpec!E2*IFAS_far_adj*CF_asparagus),".")</f>
        <v>7.4708468170351806E-3</v>
      </c>
      <c r="AE2" s="76">
        <f>IFERROR(TR/(RadSpec!E2*IFBT_far_adj*CF_beet),".")</f>
        <v>8.9459578977456964E-3</v>
      </c>
      <c r="AF2" s="76">
        <f>IFERROR(TR/(RadSpec!E2*IFBE_far_adj*CF_berries),".")</f>
        <v>7.8102795009272006E-3</v>
      </c>
      <c r="AG2" s="76">
        <f>IFERROR(TR/(RadSpec!E2*IFBR_far_adj*CF_broccoli),".")</f>
        <v>8.1769364897784393E-3</v>
      </c>
      <c r="AH2" s="76">
        <f>IFERROR(TR/(RadSpec!E2*IFCB_far_adj*CF_cabbage),".")</f>
        <v>3.5270371757237964E-3</v>
      </c>
      <c r="AI2" s="76">
        <f>IFERROR(TR/(RadSpec!E2*IFCR_far_adj*CF_carrot),".")</f>
        <v>1.15685578268627E-2</v>
      </c>
      <c r="AJ2" s="76">
        <f>IFERROR(TR/(RadSpec!E2*IFCI_far_adj*CF_citrus),".")</f>
        <v>9.0026069551163272E-4</v>
      </c>
      <c r="AK2" s="76">
        <f>IFERROR(TR/(RadSpec!E2*IFCO_far_adj*CF_corn),".")</f>
        <v>3.5253825104714625E-3</v>
      </c>
      <c r="AL2" s="76">
        <f>IFERROR(TR/(RadSpec!E2*IFCU_far_adj*CF_cucumber),".")</f>
        <v>5.3457553291407214E-3</v>
      </c>
      <c r="AM2" s="76">
        <f>IFERROR(TR/(RadSpec!E2*IFLE_far_adj*CF_lettuce),".")</f>
        <v>8.0914063126818481E-3</v>
      </c>
      <c r="AN2" s="76">
        <f>IFERROR(TR/(RadSpec!E2*IFLI_far_adj*CF_lima_bean),".")</f>
        <v>8.8541040967420812E-3</v>
      </c>
      <c r="AO2" s="76">
        <f>IFERROR(TR/(RadSpec!E2*IFOK_far_adj*CF_okra),".")</f>
        <v>9.9380752765434906E-3</v>
      </c>
      <c r="AP2" s="76">
        <f>IFERROR(TR/(RadSpec!E2*IFON_far_adj*CF_onion),".")</f>
        <v>1.0868229842715847E-2</v>
      </c>
      <c r="AQ2" s="76">
        <f>IFERROR(TR/(RadSpec!E2*IFPC_far_adj*CF_peach),".")</f>
        <v>2.5652117643004337E-3</v>
      </c>
      <c r="AR2" s="76">
        <f>IFERROR(TR/(RadSpec!E2*IFPR_far_adj*CF_pear),".")</f>
        <v>4.2115478333662687E-3</v>
      </c>
      <c r="AS2" s="76">
        <f>IFERROR(TR/(RadSpec!E2*IFPE_far_adj*CF_peas),".")</f>
        <v>8.4163571901991509E-3</v>
      </c>
      <c r="AT2" s="76">
        <f>IFERROR(TR/(RadSpec!E2*IFPT_far_adj*CF_potato),".")</f>
        <v>2.0368725048884682E-3</v>
      </c>
      <c r="AU2" s="76">
        <f>IFERROR(TR/(RadSpec!E2*IFPU_far_adj*CF_pumpkin),".")</f>
        <v>4.251716168666723E-3</v>
      </c>
      <c r="AV2" s="76">
        <f>IFERROR(TR/(RadSpec!E2*IFSN_far_adj*CF_snap_bean),".")</f>
        <v>5.2397880703999103E-3</v>
      </c>
      <c r="AW2" s="76">
        <f>IFERROR(TR/(RadSpec!E2*IFST_far_adj*CF_strawberry),".")</f>
        <v>6.8815060751889973E-3</v>
      </c>
      <c r="AX2" s="76">
        <f>IFERROR(TR/(RadSpec!E2*IFTO_far_adj*CF_tomato),".")</f>
        <v>3.0831857709832191E-3</v>
      </c>
      <c r="AY2" s="76">
        <f>IFERROR(TR/(RadSpec!E2*IFRI_far_adj*CF_rice),".")</f>
        <v>3.2694531940297531E-3</v>
      </c>
      <c r="AZ2" s="76">
        <f>IFERROR(TR/(RadSpec!E2*IFCG_far_adj*CF_cereal),".")</f>
        <v>3.0937030193933244E-3</v>
      </c>
    </row>
    <row r="3" spans="1:52" x14ac:dyDescent="0.25">
      <c r="A3" s="94" t="s">
        <v>13</v>
      </c>
      <c r="B3" s="90" t="s">
        <v>351</v>
      </c>
      <c r="C3" s="76">
        <f>IFERROR(1/SUM(1/D3,1/E3,1/F3,1/G3,1/H3,1/I3,1/J3,1/K3,1/L3,1/M3,1/N3,1/O3,1/P3,1/Q3,1/R3,1/S3,1/T3,1/U3,1/V3,1/W3,1/X3,1/Y3),".")</f>
        <v>6.2148021163011577E-4</v>
      </c>
      <c r="D3" s="76">
        <f>IFERROR(TR/(RadSpec!E3*IFAP_res_adj*CF_apple),".")</f>
        <v>1.1215710522260187E-2</v>
      </c>
      <c r="E3" s="76">
        <f>IFERROR(TR/(RadSpec!E3*IFAS_res_adj*CF_asparagus),".")</f>
        <v>2.4930772853210523E-2</v>
      </c>
      <c r="F3" s="76">
        <f>IFERROR(TR/(RadSpec!E3*IFBT_res_adj*CF_beet),".")</f>
        <v>3.0497010419239565E-2</v>
      </c>
      <c r="G3" s="76">
        <f>IFERROR(TR/(RadSpec!E3*IFBE_res_adj*CF_berries),".")</f>
        <v>2.5124034658274171E-2</v>
      </c>
      <c r="H3" s="76">
        <f>IFERROR(TR/(RadSpec!E3*IFBR_res_adj*CF_broccoli),".")</f>
        <v>2.9767051361055702E-2</v>
      </c>
      <c r="I3" s="76">
        <f>IFERROR(TR/(RadSpec!E3*IFCB_res_adj*CF_cabbage),".")</f>
        <v>1.1165363351109002E-2</v>
      </c>
      <c r="J3" s="76">
        <f>IFERROR(TR/(RadSpec!E3*IFCR_res_adj*CF_carrot),".")</f>
        <v>3.3664782984033095E-2</v>
      </c>
      <c r="K3" s="76">
        <f>IFERROR(TR/(RadSpec!E3*IFCI_res_adj*CF_citrus),".")</f>
        <v>2.9092570122207966E-3</v>
      </c>
      <c r="L3" s="76">
        <f>IFERROR(TR/(RadSpec!E3*IFCO_res_adj*CF_corn),".")</f>
        <v>1.5977444807330914E-2</v>
      </c>
      <c r="M3" s="76">
        <f>IFERROR(TR/(RadSpec!E3*IFCU_res_adj*CF_cucumber),".")</f>
        <v>1.1881028164882599E-2</v>
      </c>
      <c r="N3" s="76">
        <f>IFERROR(TR/(RadSpec!E3*IFLE_res_adj*CF_lettuce),".")</f>
        <v>2.7593657260132388E-2</v>
      </c>
      <c r="O3" s="76">
        <f>IFERROR(TR/(RadSpec!E3*IFLI_res_adj*CF_lima_bean),".")</f>
        <v>2.9916927423852633E-2</v>
      </c>
      <c r="P3" s="76">
        <f>IFERROR(TR/(RadSpec!E3*IFOK_res_adj*CF_okra),".")</f>
        <v>3.3643603504332542E-2</v>
      </c>
      <c r="Q3" s="76">
        <f>IFERROR(TR/(RadSpec!E3*IFON_res_adj*CF_onion),".")</f>
        <v>4.543458604089768E-2</v>
      </c>
      <c r="R3" s="76">
        <f>IFERROR(TR/(RadSpec!E3*IFPC_res_adj*CF_peach),".")</f>
        <v>7.1722784026470717E-3</v>
      </c>
      <c r="S3" s="76">
        <f>IFERROR(TR/(RadSpec!E3*IFPR_res_adj*CF_pear),".")</f>
        <v>1.4873176962908239E-2</v>
      </c>
      <c r="T3" s="76">
        <f>IFERROR(TR/(RadSpec!E3*IFPE_res_adj*CF_peas),".")</f>
        <v>2.3751502451759526E-2</v>
      </c>
      <c r="U3" s="76">
        <f>IFERROR(TR/(RadSpec!E3*IFPT_res_adj*CF_potato),".")</f>
        <v>7.4630532091461265E-3</v>
      </c>
      <c r="V3" s="76">
        <f>IFERROR(TR/(RadSpec!E3*IFPU_res_adj*CF_pumpkin),".")</f>
        <v>1.3648930007691825E-2</v>
      </c>
      <c r="W3" s="76">
        <f>IFERROR(TR/(RadSpec!E3*IFSN_res_adj*CF_snap_bean),".")</f>
        <v>1.7225481646041735E-2</v>
      </c>
      <c r="X3" s="76">
        <f>IFERROR(TR/(RadSpec!E3*IFST_res_adj*CF_strawberry),".")</f>
        <v>2.224017790398693E-2</v>
      </c>
      <c r="Y3" s="76">
        <f>IFERROR(TR/(RadSpec!E3*IFTO_res_adj*CF_tomato),".")</f>
        <v>1.1988904331383604E-2</v>
      </c>
      <c r="Z3" s="76">
        <f>IFERROR(TR/(RadSpec!E3*IFRI_res_adj*CF_rice),".")</f>
        <v>1.3068550285957129E-2</v>
      </c>
      <c r="AA3" s="76">
        <f>IFERROR(TR/(RadSpec!E3*IFCG_res_adj*CF_cereal),".")</f>
        <v>1.0118544516582133E-2</v>
      </c>
      <c r="AB3" s="76">
        <f>IFERROR(1/SUM(1/AC3,1/AD3,1/AE3,1/AF3,1/AG3,1/AH3,1/AI3,1/AJ3,1/AK3,1/AL3,1/AM3,1/AN3,1/AO3,1/AP3,1/AQ3,1/AR3,1/AS3,1/AT3,1/AU3,1/AV3,1/AW3,1/AX3),".")</f>
        <v>3.8144511924602289E-4</v>
      </c>
      <c r="AC3" s="76">
        <f>IFERROR(TR/(RadSpec!E3*IFAP_far_adj*CF_apple),".")</f>
        <v>6.3338277591065469E-3</v>
      </c>
      <c r="AD3" s="76">
        <f>IFERROR(TR/(RadSpec!E3*IFAS_far_adj*CF_asparagus),".")</f>
        <v>1.519003203242056E-2</v>
      </c>
      <c r="AE3" s="76">
        <f>IFERROR(TR/(RadSpec!E3*IFBT_far_adj*CF_beet),".")</f>
        <v>1.8189288357189311E-2</v>
      </c>
      <c r="AF3" s="76">
        <f>IFERROR(TR/(RadSpec!E3*IFBE_far_adj*CF_berries),".")</f>
        <v>1.5880180481109597E-2</v>
      </c>
      <c r="AG3" s="76">
        <f>IFERROR(TR/(RadSpec!E3*IFBR_far_adj*CF_broccoli),".")</f>
        <v>1.662568250276281E-2</v>
      </c>
      <c r="AH3" s="76">
        <f>IFERROR(TR/(RadSpec!E3*IFCB_far_adj*CF_cabbage),".")</f>
        <v>7.1713165844356401E-3</v>
      </c>
      <c r="AI3" s="76">
        <f>IFERROR(TR/(RadSpec!E3*IFCR_far_adj*CF_carrot),".")</f>
        <v>2.3521666052402277E-2</v>
      </c>
      <c r="AJ3" s="76">
        <f>IFERROR(TR/(RadSpec!E3*IFCI_far_adj*CF_citrus),".")</f>
        <v>1.8304469543089707E-3</v>
      </c>
      <c r="AK3" s="76">
        <f>IFERROR(TR/(RadSpec!E3*IFCO_far_adj*CF_corn),".")</f>
        <v>7.1679522512079043E-3</v>
      </c>
      <c r="AL3" s="76">
        <f>IFERROR(TR/(RadSpec!E3*IFCU_far_adj*CF_cucumber),".")</f>
        <v>1.0869208896369222E-2</v>
      </c>
      <c r="AM3" s="76">
        <f>IFERROR(TR/(RadSpec!E3*IFLE_far_adj*CF_lettuce),".")</f>
        <v>1.6451779040189685E-2</v>
      </c>
      <c r="AN3" s="76">
        <f>IFERROR(TR/(RadSpec!E3*IFLI_far_adj*CF_lima_bean),".")</f>
        <v>1.8002527443237361E-2</v>
      </c>
      <c r="AO3" s="76">
        <f>IFERROR(TR/(RadSpec!E3*IFOK_far_adj*CF_okra),".")</f>
        <v>2.0206502085825268E-2</v>
      </c>
      <c r="AP3" s="76">
        <f>IFERROR(TR/(RadSpec!E3*IFON_far_adj*CF_onion),".")</f>
        <v>2.2097730483527513E-2</v>
      </c>
      <c r="AQ3" s="76">
        <f>IFERROR(TR/(RadSpec!E3*IFPC_far_adj*CF_peach),".")</f>
        <v>5.2156937257521289E-3</v>
      </c>
      <c r="AR3" s="76">
        <f>IFERROR(TR/(RadSpec!E3*IFPR_far_adj*CF_pear),".")</f>
        <v>8.5630917165951288E-3</v>
      </c>
      <c r="AS3" s="76">
        <f>IFERROR(TR/(RadSpec!E3*IFPE_far_adj*CF_peas),".")</f>
        <v>1.7112482486443703E-2</v>
      </c>
      <c r="AT3" s="76">
        <f>IFERROR(TR/(RadSpec!E3*IFPT_far_adj*CF_potato),".")</f>
        <v>4.1414526830696272E-3</v>
      </c>
      <c r="AU3" s="76">
        <f>IFERROR(TR/(RadSpec!E3*IFPU_far_adj*CF_pumpkin),".")</f>
        <v>8.6447636227184894E-3</v>
      </c>
      <c r="AV3" s="76">
        <f>IFERROR(TR/(RadSpec!E3*IFSN_far_adj*CF_snap_bean),".")</f>
        <v>1.0653751921533335E-2</v>
      </c>
      <c r="AW3" s="76">
        <f>IFERROR(TR/(RadSpec!E3*IFST_far_adj*CF_strawberry),".")</f>
        <v>1.3991760274761008E-2</v>
      </c>
      <c r="AX3" s="76">
        <f>IFERROR(TR/(RadSpec!E3*IFTO_far_adj*CF_tomato),".")</f>
        <v>6.2688597116390098E-3</v>
      </c>
      <c r="AY3" s="76">
        <f>IFERROR(TR/(RadSpec!E3*IFRI_far_adj*CF_rice),".")</f>
        <v>6.647586272625591E-3</v>
      </c>
      <c r="AZ3" s="76">
        <f>IFERROR(TR/(RadSpec!E3*IFCG_far_adj*CF_cereal),".")</f>
        <v>6.290243812284488E-3</v>
      </c>
    </row>
    <row r="4" spans="1:52" x14ac:dyDescent="0.25">
      <c r="A4" s="92" t="s">
        <v>14</v>
      </c>
      <c r="B4" s="90" t="s">
        <v>1074</v>
      </c>
      <c r="C4" s="76" t="str">
        <f t="shared" ref="C4:C5" si="2">IFERROR(1/SUM(1/D4,1/E4,1/F4,1/G4,1/H4,1/I4,1/J4,1/K4,1/L4,1/M4,1/N4,1/O4,1/P4,1/Q4,1/R4,1/S4,1/T4,1/U4,1/V4,1/W4,1/X4,1/Y4),".")</f>
        <v>.</v>
      </c>
      <c r="D4" s="76" t="str">
        <f>IFERROR(TR/(RadSpec!E4*IFAP_res_adj*CF_apple),".")</f>
        <v>.</v>
      </c>
      <c r="E4" s="76" t="str">
        <f>IFERROR(TR/(RadSpec!E4*IFAS_res_adj*CF_asparagus),".")</f>
        <v>.</v>
      </c>
      <c r="F4" s="76" t="str">
        <f>IFERROR(TR/(RadSpec!E4*IFBT_res_adj*CF_beet),".")</f>
        <v>.</v>
      </c>
      <c r="G4" s="76" t="str">
        <f>IFERROR(TR/(RadSpec!E4*IFBE_res_adj*CF_berries),".")</f>
        <v>.</v>
      </c>
      <c r="H4" s="76" t="str">
        <f>IFERROR(TR/(RadSpec!E4*IFBR_res_adj*CF_broccoli),".")</f>
        <v>.</v>
      </c>
      <c r="I4" s="76" t="str">
        <f>IFERROR(TR/(RadSpec!E4*IFCB_res_adj*CF_cabbage),".")</f>
        <v>.</v>
      </c>
      <c r="J4" s="76" t="str">
        <f>IFERROR(TR/(RadSpec!E4*IFCR_res_adj*CF_carrot),".")</f>
        <v>.</v>
      </c>
      <c r="K4" s="76" t="str">
        <f>IFERROR(TR/(RadSpec!E4*IFCI_res_adj*CF_citrus),".")</f>
        <v>.</v>
      </c>
      <c r="L4" s="76" t="str">
        <f>IFERROR(TR/(RadSpec!E4*IFCO_res_adj*CF_corn),".")</f>
        <v>.</v>
      </c>
      <c r="M4" s="76" t="str">
        <f>IFERROR(TR/(RadSpec!E4*IFCU_res_adj*CF_cucumber),".")</f>
        <v>.</v>
      </c>
      <c r="N4" s="76" t="str">
        <f>IFERROR(TR/(RadSpec!E4*IFLE_res_adj*CF_lettuce),".")</f>
        <v>.</v>
      </c>
      <c r="O4" s="76" t="str">
        <f>IFERROR(TR/(RadSpec!E4*IFLI_res_adj*CF_lima_bean),".")</f>
        <v>.</v>
      </c>
      <c r="P4" s="76" t="str">
        <f>IFERROR(TR/(RadSpec!E4*IFOK_res_adj*CF_okra),".")</f>
        <v>.</v>
      </c>
      <c r="Q4" s="76" t="str">
        <f>IFERROR(TR/(RadSpec!E4*IFON_res_adj*CF_onion),".")</f>
        <v>.</v>
      </c>
      <c r="R4" s="76" t="str">
        <f>IFERROR(TR/(RadSpec!E4*IFPC_res_adj*CF_peach),".")</f>
        <v>.</v>
      </c>
      <c r="S4" s="76" t="str">
        <f>IFERROR(TR/(RadSpec!E4*IFPR_res_adj*CF_pear),".")</f>
        <v>.</v>
      </c>
      <c r="T4" s="76" t="str">
        <f>IFERROR(TR/(RadSpec!E4*IFPE_res_adj*CF_peas),".")</f>
        <v>.</v>
      </c>
      <c r="U4" s="76" t="str">
        <f>IFERROR(TR/(RadSpec!E4*IFPT_res_adj*CF_potato),".")</f>
        <v>.</v>
      </c>
      <c r="V4" s="76" t="str">
        <f>IFERROR(TR/(RadSpec!E4*IFPU_res_adj*CF_pumpkin),".")</f>
        <v>.</v>
      </c>
      <c r="W4" s="76" t="str">
        <f>IFERROR(TR/(RadSpec!E4*IFSN_res_adj*CF_snap_bean),".")</f>
        <v>.</v>
      </c>
      <c r="X4" s="76" t="str">
        <f>IFERROR(TR/(RadSpec!E4*IFST_res_adj*CF_strawberry),".")</f>
        <v>.</v>
      </c>
      <c r="Y4" s="76" t="str">
        <f>IFERROR(TR/(RadSpec!E4*IFTO_res_adj*CF_tomato),".")</f>
        <v>.</v>
      </c>
      <c r="Z4" s="76" t="str">
        <f>IFERROR(TR/(RadSpec!E4*IFRI_res_adj*CF_rice),".")</f>
        <v>.</v>
      </c>
      <c r="AA4" s="76" t="str">
        <f>IFERROR(TR/(RadSpec!E4*IFCG_res_adj*CF_cereal),".")</f>
        <v>.</v>
      </c>
      <c r="AB4" s="76" t="str">
        <f t="shared" ref="AB4:AB5" si="3">IFERROR(1/SUM(1/AC4,1/AD4,1/AE4,1/AF4,1/AG4,1/AH4,1/AI4,1/AJ4,1/AK4,1/AL4,1/AM4,1/AN4,1/AO4,1/AP4,1/AQ4,1/AR4,1/AS4,1/AT4,1/AU4,1/AV4,1/AW4,1/AX4),".")</f>
        <v>.</v>
      </c>
      <c r="AC4" s="76" t="str">
        <f>IFERROR(TR/(RadSpec!E4*IFAP_far_adj*CF_apple),".")</f>
        <v>.</v>
      </c>
      <c r="AD4" s="76" t="str">
        <f>IFERROR(TR/(RadSpec!E4*IFAS_far_adj*CF_asparagus),".")</f>
        <v>.</v>
      </c>
      <c r="AE4" s="76" t="str">
        <f>IFERROR(TR/(RadSpec!E4*IFBT_far_adj*CF_beet),".")</f>
        <v>.</v>
      </c>
      <c r="AF4" s="76" t="str">
        <f>IFERROR(TR/(RadSpec!E4*IFBE_far_adj*CF_berries),".")</f>
        <v>.</v>
      </c>
      <c r="AG4" s="76" t="str">
        <f>IFERROR(TR/(RadSpec!E4*IFBR_far_adj*CF_broccoli),".")</f>
        <v>.</v>
      </c>
      <c r="AH4" s="76" t="str">
        <f>IFERROR(TR/(RadSpec!E4*IFCB_far_adj*CF_cabbage),".")</f>
        <v>.</v>
      </c>
      <c r="AI4" s="76" t="str">
        <f>IFERROR(TR/(RadSpec!E4*IFCR_far_adj*CF_carrot),".")</f>
        <v>.</v>
      </c>
      <c r="AJ4" s="76" t="str">
        <f>IFERROR(TR/(RadSpec!E4*IFCI_far_adj*CF_citrus),".")</f>
        <v>.</v>
      </c>
      <c r="AK4" s="76" t="str">
        <f>IFERROR(TR/(RadSpec!E4*IFCO_far_adj*CF_corn),".")</f>
        <v>.</v>
      </c>
      <c r="AL4" s="76" t="str">
        <f>IFERROR(TR/(RadSpec!E4*IFCU_far_adj*CF_cucumber),".")</f>
        <v>.</v>
      </c>
      <c r="AM4" s="76" t="str">
        <f>IFERROR(TR/(RadSpec!E4*IFLE_far_adj*CF_lettuce),".")</f>
        <v>.</v>
      </c>
      <c r="AN4" s="76" t="str">
        <f>IFERROR(TR/(RadSpec!E4*IFLI_far_adj*CF_lima_bean),".")</f>
        <v>.</v>
      </c>
      <c r="AO4" s="76" t="str">
        <f>IFERROR(TR/(RadSpec!E4*IFOK_far_adj*CF_okra),".")</f>
        <v>.</v>
      </c>
      <c r="AP4" s="76" t="str">
        <f>IFERROR(TR/(RadSpec!E4*IFON_far_adj*CF_onion),".")</f>
        <v>.</v>
      </c>
      <c r="AQ4" s="76" t="str">
        <f>IFERROR(TR/(RadSpec!E4*IFPC_far_adj*CF_peach),".")</f>
        <v>.</v>
      </c>
      <c r="AR4" s="76" t="str">
        <f>IFERROR(TR/(RadSpec!E4*IFPR_far_adj*CF_pear),".")</f>
        <v>.</v>
      </c>
      <c r="AS4" s="76" t="str">
        <f>IFERROR(TR/(RadSpec!E4*IFPE_far_adj*CF_peas),".")</f>
        <v>.</v>
      </c>
      <c r="AT4" s="76" t="str">
        <f>IFERROR(TR/(RadSpec!E4*IFPT_far_adj*CF_potato),".")</f>
        <v>.</v>
      </c>
      <c r="AU4" s="76" t="str">
        <f>IFERROR(TR/(RadSpec!E4*IFPU_far_adj*CF_pumpkin),".")</f>
        <v>.</v>
      </c>
      <c r="AV4" s="76" t="str">
        <f>IFERROR(TR/(RadSpec!E4*IFSN_far_adj*CF_snap_bean),".")</f>
        <v>.</v>
      </c>
      <c r="AW4" s="76" t="str">
        <f>IFERROR(TR/(RadSpec!E4*IFST_far_adj*CF_strawberry),".")</f>
        <v>.</v>
      </c>
      <c r="AX4" s="76" t="str">
        <f>IFERROR(TR/(RadSpec!E4*IFTO_far_adj*CF_tomato),".")</f>
        <v>.</v>
      </c>
      <c r="AY4" s="76" t="str">
        <f>IFERROR(TR/(RadSpec!E4*IFRI_far_adj*CF_rice),".")</f>
        <v>.</v>
      </c>
      <c r="AZ4" s="76" t="str">
        <f>IFERROR(TR/(RadSpec!E4*IFCG_far_adj*CF_cereal),".")</f>
        <v>.</v>
      </c>
    </row>
    <row r="5" spans="1:52" x14ac:dyDescent="0.25">
      <c r="A5" s="92" t="s">
        <v>15</v>
      </c>
      <c r="B5" s="90" t="s">
        <v>1074</v>
      </c>
      <c r="C5" s="76" t="str">
        <f t="shared" si="2"/>
        <v>.</v>
      </c>
      <c r="D5" s="76" t="str">
        <f>IFERROR(TR/(RadSpec!E5*IFAP_res_adj*CF_apple),".")</f>
        <v>.</v>
      </c>
      <c r="E5" s="76" t="str">
        <f>IFERROR(TR/(RadSpec!E5*IFAS_res_adj*CF_asparagus),".")</f>
        <v>.</v>
      </c>
      <c r="F5" s="76" t="str">
        <f>IFERROR(TR/(RadSpec!E5*IFBT_res_adj*CF_beet),".")</f>
        <v>.</v>
      </c>
      <c r="G5" s="76" t="str">
        <f>IFERROR(TR/(RadSpec!E5*IFBE_res_adj*CF_berries),".")</f>
        <v>.</v>
      </c>
      <c r="H5" s="76" t="str">
        <f>IFERROR(TR/(RadSpec!E5*IFBR_res_adj*CF_broccoli),".")</f>
        <v>.</v>
      </c>
      <c r="I5" s="76" t="str">
        <f>IFERROR(TR/(RadSpec!E5*IFCB_res_adj*CF_cabbage),".")</f>
        <v>.</v>
      </c>
      <c r="J5" s="76" t="str">
        <f>IFERROR(TR/(RadSpec!E5*IFCR_res_adj*CF_carrot),".")</f>
        <v>.</v>
      </c>
      <c r="K5" s="76" t="str">
        <f>IFERROR(TR/(RadSpec!E5*IFCI_res_adj*CF_citrus),".")</f>
        <v>.</v>
      </c>
      <c r="L5" s="76" t="str">
        <f>IFERROR(TR/(RadSpec!E5*IFCO_res_adj*CF_corn),".")</f>
        <v>.</v>
      </c>
      <c r="M5" s="76" t="str">
        <f>IFERROR(TR/(RadSpec!E5*IFCU_res_adj*CF_cucumber),".")</f>
        <v>.</v>
      </c>
      <c r="N5" s="76" t="str">
        <f>IFERROR(TR/(RadSpec!E5*IFLE_res_adj*CF_lettuce),".")</f>
        <v>.</v>
      </c>
      <c r="O5" s="76" t="str">
        <f>IFERROR(TR/(RadSpec!E5*IFLI_res_adj*CF_lima_bean),".")</f>
        <v>.</v>
      </c>
      <c r="P5" s="76" t="str">
        <f>IFERROR(TR/(RadSpec!E5*IFOK_res_adj*CF_okra),".")</f>
        <v>.</v>
      </c>
      <c r="Q5" s="76" t="str">
        <f>IFERROR(TR/(RadSpec!E5*IFON_res_adj*CF_onion),".")</f>
        <v>.</v>
      </c>
      <c r="R5" s="76" t="str">
        <f>IFERROR(TR/(RadSpec!E5*IFPC_res_adj*CF_peach),".")</f>
        <v>.</v>
      </c>
      <c r="S5" s="76" t="str">
        <f>IFERROR(TR/(RadSpec!E5*IFPR_res_adj*CF_pear),".")</f>
        <v>.</v>
      </c>
      <c r="T5" s="76" t="str">
        <f>IFERROR(TR/(RadSpec!E5*IFPE_res_adj*CF_peas),".")</f>
        <v>.</v>
      </c>
      <c r="U5" s="76" t="str">
        <f>IFERROR(TR/(RadSpec!E5*IFPT_res_adj*CF_potato),".")</f>
        <v>.</v>
      </c>
      <c r="V5" s="76" t="str">
        <f>IFERROR(TR/(RadSpec!E5*IFPU_res_adj*CF_pumpkin),".")</f>
        <v>.</v>
      </c>
      <c r="W5" s="76" t="str">
        <f>IFERROR(TR/(RadSpec!E5*IFSN_res_adj*CF_snap_bean),".")</f>
        <v>.</v>
      </c>
      <c r="X5" s="76" t="str">
        <f>IFERROR(TR/(RadSpec!E5*IFST_res_adj*CF_strawberry),".")</f>
        <v>.</v>
      </c>
      <c r="Y5" s="76" t="str">
        <f>IFERROR(TR/(RadSpec!E5*IFTO_res_adj*CF_tomato),".")</f>
        <v>.</v>
      </c>
      <c r="Z5" s="76" t="str">
        <f>IFERROR(TR/(RadSpec!E5*IFRI_res_adj*CF_rice),".")</f>
        <v>.</v>
      </c>
      <c r="AA5" s="76" t="str">
        <f>IFERROR(TR/(RadSpec!E5*IFCG_res_adj*CF_cereal),".")</f>
        <v>.</v>
      </c>
      <c r="AB5" s="76" t="str">
        <f t="shared" si="3"/>
        <v>.</v>
      </c>
      <c r="AC5" s="76" t="str">
        <f>IFERROR(TR/(RadSpec!E5*IFAP_far_adj*CF_apple),".")</f>
        <v>.</v>
      </c>
      <c r="AD5" s="76" t="str">
        <f>IFERROR(TR/(RadSpec!E5*IFAS_far_adj*CF_asparagus),".")</f>
        <v>.</v>
      </c>
      <c r="AE5" s="76" t="str">
        <f>IFERROR(TR/(RadSpec!E5*IFBT_far_adj*CF_beet),".")</f>
        <v>.</v>
      </c>
      <c r="AF5" s="76" t="str">
        <f>IFERROR(TR/(RadSpec!E5*IFBE_far_adj*CF_berries),".")</f>
        <v>.</v>
      </c>
      <c r="AG5" s="76" t="str">
        <f>IFERROR(TR/(RadSpec!E5*IFBR_far_adj*CF_broccoli),".")</f>
        <v>.</v>
      </c>
      <c r="AH5" s="76" t="str">
        <f>IFERROR(TR/(RadSpec!E5*IFCB_far_adj*CF_cabbage),".")</f>
        <v>.</v>
      </c>
      <c r="AI5" s="76" t="str">
        <f>IFERROR(TR/(RadSpec!E5*IFCR_far_adj*CF_carrot),".")</f>
        <v>.</v>
      </c>
      <c r="AJ5" s="76" t="str">
        <f>IFERROR(TR/(RadSpec!E5*IFCI_far_adj*CF_citrus),".")</f>
        <v>.</v>
      </c>
      <c r="AK5" s="76" t="str">
        <f>IFERROR(TR/(RadSpec!E5*IFCO_far_adj*CF_corn),".")</f>
        <v>.</v>
      </c>
      <c r="AL5" s="76" t="str">
        <f>IFERROR(TR/(RadSpec!E5*IFCU_far_adj*CF_cucumber),".")</f>
        <v>.</v>
      </c>
      <c r="AM5" s="76" t="str">
        <f>IFERROR(TR/(RadSpec!E5*IFLE_far_adj*CF_lettuce),".")</f>
        <v>.</v>
      </c>
      <c r="AN5" s="76" t="str">
        <f>IFERROR(TR/(RadSpec!E5*IFLI_far_adj*CF_lima_bean),".")</f>
        <v>.</v>
      </c>
      <c r="AO5" s="76" t="str">
        <f>IFERROR(TR/(RadSpec!E5*IFOK_far_adj*CF_okra),".")</f>
        <v>.</v>
      </c>
      <c r="AP5" s="76" t="str">
        <f>IFERROR(TR/(RadSpec!E5*IFON_far_adj*CF_onion),".")</f>
        <v>.</v>
      </c>
      <c r="AQ5" s="76" t="str">
        <f>IFERROR(TR/(RadSpec!E5*IFPC_far_adj*CF_peach),".")</f>
        <v>.</v>
      </c>
      <c r="AR5" s="76" t="str">
        <f>IFERROR(TR/(RadSpec!E5*IFPR_far_adj*CF_pear),".")</f>
        <v>.</v>
      </c>
      <c r="AS5" s="76" t="str">
        <f>IFERROR(TR/(RadSpec!E5*IFPE_far_adj*CF_peas),".")</f>
        <v>.</v>
      </c>
      <c r="AT5" s="76" t="str">
        <f>IFERROR(TR/(RadSpec!E5*IFPT_far_adj*CF_potato),".")</f>
        <v>.</v>
      </c>
      <c r="AU5" s="76" t="str">
        <f>IFERROR(TR/(RadSpec!E5*IFPU_far_adj*CF_pumpkin),".")</f>
        <v>.</v>
      </c>
      <c r="AV5" s="76" t="str">
        <f>IFERROR(TR/(RadSpec!E5*IFSN_far_adj*CF_snap_bean),".")</f>
        <v>.</v>
      </c>
      <c r="AW5" s="76" t="str">
        <f>IFERROR(TR/(RadSpec!E5*IFST_far_adj*CF_strawberry),".")</f>
        <v>.</v>
      </c>
      <c r="AX5" s="76" t="str">
        <f>IFERROR(TR/(RadSpec!E5*IFTO_far_adj*CF_tomato),".")</f>
        <v>.</v>
      </c>
      <c r="AY5" s="76" t="str">
        <f>IFERROR(TR/(RadSpec!E5*IFRI_far_adj*CF_rice),".")</f>
        <v>.</v>
      </c>
      <c r="AZ5" s="76" t="str">
        <f>IFERROR(TR/(RadSpec!E5*IFCG_far_adj*CF_cereal),".")</f>
        <v>.</v>
      </c>
    </row>
    <row r="6" spans="1:52" x14ac:dyDescent="0.25">
      <c r="A6" s="92" t="s">
        <v>16</v>
      </c>
      <c r="B6" s="90" t="s">
        <v>1074</v>
      </c>
      <c r="C6" s="76" t="str">
        <f t="shared" ref="C6:C9" si="4">IFERROR(1/SUM(1/D6,1/E6,1/F6,1/G6,1/H6,1/I6,1/J6,1/K6,1/L6,1/M6,1/N6,1/O6,1/P6,1/Q6,1/R6,1/S6,1/T6,1/U6,1/V6,1/W6,1/X6,1/Y6),".")</f>
        <v>.</v>
      </c>
      <c r="D6" s="76" t="str">
        <f>IFERROR(TR/(RadSpec!E6*IFAP_res_adj*CF_apple),".")</f>
        <v>.</v>
      </c>
      <c r="E6" s="76" t="str">
        <f>IFERROR(TR/(RadSpec!E6*IFAS_res_adj*CF_asparagus),".")</f>
        <v>.</v>
      </c>
      <c r="F6" s="76" t="str">
        <f>IFERROR(TR/(RadSpec!E6*IFBT_res_adj*CF_beet),".")</f>
        <v>.</v>
      </c>
      <c r="G6" s="76" t="str">
        <f>IFERROR(TR/(RadSpec!E6*IFBE_res_adj*CF_berries),".")</f>
        <v>.</v>
      </c>
      <c r="H6" s="76" t="str">
        <f>IFERROR(TR/(RadSpec!E6*IFBR_res_adj*CF_broccoli),".")</f>
        <v>.</v>
      </c>
      <c r="I6" s="76" t="str">
        <f>IFERROR(TR/(RadSpec!E6*IFCB_res_adj*CF_cabbage),".")</f>
        <v>.</v>
      </c>
      <c r="J6" s="76" t="str">
        <f>IFERROR(TR/(RadSpec!E6*IFCR_res_adj*CF_carrot),".")</f>
        <v>.</v>
      </c>
      <c r="K6" s="76" t="str">
        <f>IFERROR(TR/(RadSpec!E6*IFCI_res_adj*CF_citrus),".")</f>
        <v>.</v>
      </c>
      <c r="L6" s="76" t="str">
        <f>IFERROR(TR/(RadSpec!E6*IFCO_res_adj*CF_corn),".")</f>
        <v>.</v>
      </c>
      <c r="M6" s="76" t="str">
        <f>IFERROR(TR/(RadSpec!E6*IFCU_res_adj*CF_cucumber),".")</f>
        <v>.</v>
      </c>
      <c r="N6" s="76" t="str">
        <f>IFERROR(TR/(RadSpec!E6*IFLE_res_adj*CF_lettuce),".")</f>
        <v>.</v>
      </c>
      <c r="O6" s="76" t="str">
        <f>IFERROR(TR/(RadSpec!E6*IFLI_res_adj*CF_lima_bean),".")</f>
        <v>.</v>
      </c>
      <c r="P6" s="76" t="str">
        <f>IFERROR(TR/(RadSpec!E6*IFOK_res_adj*CF_okra),".")</f>
        <v>.</v>
      </c>
      <c r="Q6" s="76" t="str">
        <f>IFERROR(TR/(RadSpec!E6*IFON_res_adj*CF_onion),".")</f>
        <v>.</v>
      </c>
      <c r="R6" s="76" t="str">
        <f>IFERROR(TR/(RadSpec!E6*IFPC_res_adj*CF_peach),".")</f>
        <v>.</v>
      </c>
      <c r="S6" s="76" t="str">
        <f>IFERROR(TR/(RadSpec!E6*IFPR_res_adj*CF_pear),".")</f>
        <v>.</v>
      </c>
      <c r="T6" s="76" t="str">
        <f>IFERROR(TR/(RadSpec!E6*IFPE_res_adj*CF_peas),".")</f>
        <v>.</v>
      </c>
      <c r="U6" s="76" t="str">
        <f>IFERROR(TR/(RadSpec!E6*IFPT_res_adj*CF_potato),".")</f>
        <v>.</v>
      </c>
      <c r="V6" s="76" t="str">
        <f>IFERROR(TR/(RadSpec!E6*IFPU_res_adj*CF_pumpkin),".")</f>
        <v>.</v>
      </c>
      <c r="W6" s="76" t="str">
        <f>IFERROR(TR/(RadSpec!E6*IFSN_res_adj*CF_snap_bean),".")</f>
        <v>.</v>
      </c>
      <c r="X6" s="76" t="str">
        <f>IFERROR(TR/(RadSpec!E6*IFST_res_adj*CF_strawberry),".")</f>
        <v>.</v>
      </c>
      <c r="Y6" s="76" t="str">
        <f>IFERROR(TR/(RadSpec!E6*IFTO_res_adj*CF_tomato),".")</f>
        <v>.</v>
      </c>
      <c r="Z6" s="76" t="str">
        <f>IFERROR(TR/(RadSpec!E6*IFRI_res_adj*CF_rice),".")</f>
        <v>.</v>
      </c>
      <c r="AA6" s="76" t="str">
        <f>IFERROR(TR/(RadSpec!E6*IFCG_res_adj*CF_cereal),".")</f>
        <v>.</v>
      </c>
      <c r="AB6" s="76" t="str">
        <f t="shared" ref="AB6:AB9" si="5">IFERROR(1/SUM(1/AC6,1/AD6,1/AE6,1/AF6,1/AG6,1/AH6,1/AI6,1/AJ6,1/AK6,1/AL6,1/AM6,1/AN6,1/AO6,1/AP6,1/AQ6,1/AR6,1/AS6,1/AT6,1/AU6,1/AV6,1/AW6,1/AX6),".")</f>
        <v>.</v>
      </c>
      <c r="AC6" s="76" t="str">
        <f>IFERROR(TR/(RadSpec!E6*IFAP_far_adj*CF_apple),".")</f>
        <v>.</v>
      </c>
      <c r="AD6" s="76" t="str">
        <f>IFERROR(TR/(RadSpec!E6*IFAS_far_adj*CF_asparagus),".")</f>
        <v>.</v>
      </c>
      <c r="AE6" s="76" t="str">
        <f>IFERROR(TR/(RadSpec!E6*IFBT_far_adj*CF_beet),".")</f>
        <v>.</v>
      </c>
      <c r="AF6" s="76" t="str">
        <f>IFERROR(TR/(RadSpec!E6*IFBE_far_adj*CF_berries),".")</f>
        <v>.</v>
      </c>
      <c r="AG6" s="76" t="str">
        <f>IFERROR(TR/(RadSpec!E6*IFBR_far_adj*CF_broccoli),".")</f>
        <v>.</v>
      </c>
      <c r="AH6" s="76" t="str">
        <f>IFERROR(TR/(RadSpec!E6*IFCB_far_adj*CF_cabbage),".")</f>
        <v>.</v>
      </c>
      <c r="AI6" s="76" t="str">
        <f>IFERROR(TR/(RadSpec!E6*IFCR_far_adj*CF_carrot),".")</f>
        <v>.</v>
      </c>
      <c r="AJ6" s="76" t="str">
        <f>IFERROR(TR/(RadSpec!E6*IFCI_far_adj*CF_citrus),".")</f>
        <v>.</v>
      </c>
      <c r="AK6" s="76" t="str">
        <f>IFERROR(TR/(RadSpec!E6*IFCO_far_adj*CF_corn),".")</f>
        <v>.</v>
      </c>
      <c r="AL6" s="76" t="str">
        <f>IFERROR(TR/(RadSpec!E6*IFCU_far_adj*CF_cucumber),".")</f>
        <v>.</v>
      </c>
      <c r="AM6" s="76" t="str">
        <f>IFERROR(TR/(RadSpec!E6*IFLE_far_adj*CF_lettuce),".")</f>
        <v>.</v>
      </c>
      <c r="AN6" s="76" t="str">
        <f>IFERROR(TR/(RadSpec!E6*IFLI_far_adj*CF_lima_bean),".")</f>
        <v>.</v>
      </c>
      <c r="AO6" s="76" t="str">
        <f>IFERROR(TR/(RadSpec!E6*IFOK_far_adj*CF_okra),".")</f>
        <v>.</v>
      </c>
      <c r="AP6" s="76" t="str">
        <f>IFERROR(TR/(RadSpec!E6*IFON_far_adj*CF_onion),".")</f>
        <v>.</v>
      </c>
      <c r="AQ6" s="76" t="str">
        <f>IFERROR(TR/(RadSpec!E6*IFPC_far_adj*CF_peach),".")</f>
        <v>.</v>
      </c>
      <c r="AR6" s="76" t="str">
        <f>IFERROR(TR/(RadSpec!E6*IFPR_far_adj*CF_pear),".")</f>
        <v>.</v>
      </c>
      <c r="AS6" s="76" t="str">
        <f>IFERROR(TR/(RadSpec!E6*IFPE_far_adj*CF_peas),".")</f>
        <v>.</v>
      </c>
      <c r="AT6" s="76" t="str">
        <f>IFERROR(TR/(RadSpec!E6*IFPT_far_adj*CF_potato),".")</f>
        <v>.</v>
      </c>
      <c r="AU6" s="76" t="str">
        <f>IFERROR(TR/(RadSpec!E6*IFPU_far_adj*CF_pumpkin),".")</f>
        <v>.</v>
      </c>
      <c r="AV6" s="76" t="str">
        <f>IFERROR(TR/(RadSpec!E6*IFSN_far_adj*CF_snap_bean),".")</f>
        <v>.</v>
      </c>
      <c r="AW6" s="76" t="str">
        <f>IFERROR(TR/(RadSpec!E6*IFST_far_adj*CF_strawberry),".")</f>
        <v>.</v>
      </c>
      <c r="AX6" s="76" t="str">
        <f>IFERROR(TR/(RadSpec!E6*IFTO_far_adj*CF_tomato),".")</f>
        <v>.</v>
      </c>
      <c r="AY6" s="76" t="str">
        <f>IFERROR(TR/(RadSpec!E6*IFRI_far_adj*CF_rice),".")</f>
        <v>.</v>
      </c>
      <c r="AZ6" s="76" t="str">
        <f>IFERROR(TR/(RadSpec!E6*IFCG_far_adj*CF_cereal),".")</f>
        <v>.</v>
      </c>
    </row>
    <row r="7" spans="1:52" x14ac:dyDescent="0.25">
      <c r="A7" s="92" t="s">
        <v>17</v>
      </c>
      <c r="B7" s="90" t="s">
        <v>1074</v>
      </c>
      <c r="C7" s="76">
        <f t="shared" si="4"/>
        <v>6.3737033067747684E-3</v>
      </c>
      <c r="D7" s="76">
        <f>IFERROR(TR/(RadSpec!E7*IFAP_res_adj*CF_apple),".")</f>
        <v>0.11502475848113432</v>
      </c>
      <c r="E7" s="76">
        <f>IFERROR(TR/(RadSpec!E7*IFAS_res_adj*CF_asparagus),".")</f>
        <v>0.25568207386389208</v>
      </c>
      <c r="F7" s="76">
        <f>IFERROR(TR/(RadSpec!E7*IFBT_res_adj*CF_beet),".")</f>
        <v>0.31276763526549667</v>
      </c>
      <c r="G7" s="76">
        <f>IFERROR(TR/(RadSpec!E7*IFBE_res_adj*CF_berries),".")</f>
        <v>0.25766410544423229</v>
      </c>
      <c r="H7" s="76">
        <f>IFERROR(TR/(RadSpec!E7*IFBR_res_adj*CF_broccoli),".")</f>
        <v>0.30528140742446336</v>
      </c>
      <c r="I7" s="76">
        <f>IFERROR(TR/(RadSpec!E7*IFCB_res_adj*CF_cabbage),".")</f>
        <v>0.11450841391336224</v>
      </c>
      <c r="J7" s="76">
        <f>IFERROR(TR/(RadSpec!E7*IFCR_res_adj*CF_carrot),".")</f>
        <v>0.34525530276238492</v>
      </c>
      <c r="K7" s="76">
        <f>IFERROR(TR/(RadSpec!E7*IFCI_res_adj*CF_citrus),".")</f>
        <v>2.9836414244650788E-2</v>
      </c>
      <c r="L7" s="76">
        <f>IFERROR(TR/(RadSpec!E7*IFCO_res_adj*CF_corn),".")</f>
        <v>0.16385959021154717</v>
      </c>
      <c r="M7" s="76">
        <f>IFERROR(TR/(RadSpec!E7*IFCU_res_adj*CF_cucumber),".")</f>
        <v>0.12184804453189257</v>
      </c>
      <c r="N7" s="76">
        <f>IFERROR(TR/(RadSpec!E7*IFLE_res_adj*CF_lettuce),".")</f>
        <v>0.28299176905988049</v>
      </c>
      <c r="O7" s="76">
        <f>IFERROR(TR/(RadSpec!E7*IFLI_res_adj*CF_lima_bean),".")</f>
        <v>0.30681848863667049</v>
      </c>
      <c r="P7" s="76">
        <f>IFERROR(TR/(RadSpec!E7*IFOK_res_adj*CF_okra),".")</f>
        <v>0.34503809275750141</v>
      </c>
      <c r="Q7" s="76">
        <f>IFERROR(TR/(RadSpec!E7*IFON_res_adj*CF_onion),".")</f>
        <v>0.46596265797625186</v>
      </c>
      <c r="R7" s="76">
        <f>IFERROR(TR/(RadSpec!E7*IFPC_res_adj*CF_peach),".")</f>
        <v>7.3556605208965717E-2</v>
      </c>
      <c r="S7" s="76">
        <f>IFERROR(TR/(RadSpec!E7*IFPR_res_adj*CF_pear),".")</f>
        <v>0.15253457055709874</v>
      </c>
      <c r="T7" s="76">
        <f>IFERROR(TR/(RadSpec!E7*IFPE_res_adj*CF_peas),".")</f>
        <v>0.24358785184901105</v>
      </c>
      <c r="U7" s="76">
        <f>IFERROR(TR/(RadSpec!E7*IFPT_res_adj*CF_potato),".")</f>
        <v>7.6538699105163421E-2</v>
      </c>
      <c r="V7" s="76">
        <f>IFERROR(TR/(RadSpec!E7*IFPU_res_adj*CF_pumpkin),".")</f>
        <v>0.13997908331752129</v>
      </c>
      <c r="W7" s="76">
        <f>IFERROR(TR/(RadSpec!E7*IFSN_res_adj*CF_snap_bean),".")</f>
        <v>0.17665905892673486</v>
      </c>
      <c r="X7" s="76">
        <f>IFERROR(TR/(RadSpec!E7*IFST_res_adj*CF_strawberry),".")</f>
        <v>0.22808818816304782</v>
      </c>
      <c r="Y7" s="76">
        <f>IFERROR(TR/(RadSpec!E7*IFTO_res_adj*CF_tomato),".")</f>
        <v>0.12295438817129209</v>
      </c>
      <c r="Z7" s="76">
        <f>IFERROR(TR/(RadSpec!E7*IFRI_res_adj*CF_rice),".")</f>
        <v>0.13402689355768535</v>
      </c>
      <c r="AA7" s="76">
        <f>IFERROR(TR/(RadSpec!E7*IFCG_res_adj*CF_cereal),".")</f>
        <v>0.10377257302517472</v>
      </c>
      <c r="AB7" s="76">
        <f t="shared" si="5"/>
        <v>3.9119797740856345E-3</v>
      </c>
      <c r="AC7" s="76">
        <f>IFERROR(TR/(RadSpec!E7*IFAP_far_adj*CF_apple),".")</f>
        <v>6.4957722188564312E-2</v>
      </c>
      <c r="AD7" s="76">
        <f>IFERROR(TR/(RadSpec!E7*IFAS_far_adj*CF_asparagus),".")</f>
        <v>0.15578413533249497</v>
      </c>
      <c r="AE7" s="76">
        <f>IFERROR(TR/(RadSpec!E7*IFBT_far_adj*CF_beet),".")</f>
        <v>0.18654355389049265</v>
      </c>
      <c r="AF7" s="76">
        <f>IFERROR(TR/(RadSpec!E7*IFBE_far_adj*CF_berries),".")</f>
        <v>0.16286207822956153</v>
      </c>
      <c r="AG7" s="76">
        <f>IFERROR(TR/(RadSpec!E7*IFBR_far_adj*CF_broccoli),".")</f>
        <v>0.17050770975844817</v>
      </c>
      <c r="AH7" s="76">
        <f>IFERROR(TR/(RadSpec!E7*IFCB_far_adj*CF_cabbage),".")</f>
        <v>7.3546741107422348E-2</v>
      </c>
      <c r="AI7" s="76">
        <f>IFERROR(TR/(RadSpec!E7*IFCR_far_adj*CF_carrot),".")</f>
        <v>0.24123072286696656</v>
      </c>
      <c r="AJ7" s="76">
        <f>IFERROR(TR/(RadSpec!E7*IFCI_far_adj*CF_citrus),".")</f>
        <v>1.8772481548452798E-2</v>
      </c>
      <c r="AK7" s="76">
        <f>IFERROR(TR/(RadSpec!E7*IFCO_far_adj*CF_corn),".")</f>
        <v>7.3512237576308342E-2</v>
      </c>
      <c r="AL7" s="76">
        <f>IFERROR(TR/(RadSpec!E7*IFCU_far_adj*CF_cucumber),".")</f>
        <v>0.11147114805651392</v>
      </c>
      <c r="AM7" s="76">
        <f>IFERROR(TR/(RadSpec!E7*IFLE_far_adj*CF_lettuce),".")</f>
        <v>0.1687242111792181</v>
      </c>
      <c r="AN7" s="76">
        <f>IFERROR(TR/(RadSpec!E7*IFLI_far_adj*CF_lima_bean),".")</f>
        <v>0.18462819338092862</v>
      </c>
      <c r="AO7" s="76">
        <f>IFERROR(TR/(RadSpec!E7*IFOK_far_adj*CF_okra),".")</f>
        <v>0.20723145605065121</v>
      </c>
      <c r="AP7" s="76">
        <f>IFERROR(TR/(RadSpec!E7*IFON_far_adj*CF_onion),".")</f>
        <v>0.2266272927429952</v>
      </c>
      <c r="AQ7" s="76">
        <f>IFERROR(TR/(RadSpec!E7*IFPC_far_adj*CF_peach),".")</f>
        <v>5.3490495312401097E-2</v>
      </c>
      <c r="AR7" s="76">
        <f>IFERROR(TR/(RadSpec!E7*IFPR_far_adj*CF_pear),".")</f>
        <v>8.7820344025308E-2</v>
      </c>
      <c r="AS7" s="76">
        <f>IFERROR(TR/(RadSpec!E7*IFPE_far_adj*CF_peas),".")</f>
        <v>0.17550017550017552</v>
      </c>
      <c r="AT7" s="76">
        <f>IFERROR(TR/(RadSpec!E7*IFPT_far_adj*CF_potato),".")</f>
        <v>4.2473420982617492E-2</v>
      </c>
      <c r="AU7" s="76">
        <f>IFERROR(TR/(RadSpec!E7*IFPU_far_adj*CF_pumpkin),".")</f>
        <v>8.8657945107993602E-2</v>
      </c>
      <c r="AV7" s="76">
        <f>IFERROR(TR/(RadSpec!E7*IFSN_far_adj*CF_snap_bean),".")</f>
        <v>0.10926148987708903</v>
      </c>
      <c r="AW7" s="76">
        <f>IFERROR(TR/(RadSpec!E7*IFST_far_adj*CF_strawberry),".")</f>
        <v>0.14349504145422512</v>
      </c>
      <c r="AX7" s="76">
        <f>IFERROR(TR/(RadSpec!E7*IFTO_far_adj*CF_tomato),".")</f>
        <v>6.4291430565388719E-2</v>
      </c>
      <c r="AY7" s="76">
        <f>IFERROR(TR/(RadSpec!E7*IFRI_far_adj*CF_rice),".")</f>
        <v>6.8175529670961341E-2</v>
      </c>
      <c r="AZ7" s="76">
        <f>IFERROR(TR/(RadSpec!E7*IFCG_far_adj*CF_cereal),".")</f>
        <v>6.4510739097576722E-2</v>
      </c>
    </row>
    <row r="8" spans="1:52" x14ac:dyDescent="0.25">
      <c r="A8" s="92" t="s">
        <v>18</v>
      </c>
      <c r="B8" s="90" t="s">
        <v>1074</v>
      </c>
      <c r="C8" s="76">
        <f t="shared" si="4"/>
        <v>0.11564657546312977</v>
      </c>
      <c r="D8" s="76">
        <f>IFERROR(TR/(RadSpec!E8*IFAP_res_adj*CF_apple),".")</f>
        <v>2.0870471641937773</v>
      </c>
      <c r="E8" s="76">
        <f>IFERROR(TR/(RadSpec!E8*IFAS_res_adj*CF_asparagus),".")</f>
        <v>4.6391798969118554</v>
      </c>
      <c r="F8" s="76">
        <f>IFERROR(TR/(RadSpec!E8*IFBT_res_adj*CF_beet),".")</f>
        <v>5.674959155332723</v>
      </c>
      <c r="G8" s="76">
        <f>IFERROR(TR/(RadSpec!E8*IFBE_res_adj*CF_berries),".")</f>
        <v>4.6751425317716366</v>
      </c>
      <c r="H8" s="76">
        <f>IFERROR(TR/(RadSpec!E8*IFBR_res_adj*CF_broccoli),".")</f>
        <v>5.5391265677016035</v>
      </c>
      <c r="I8" s="76">
        <f>IFERROR(TR/(RadSpec!E8*IFCB_res_adj*CF_cabbage),".")</f>
        <v>2.0776784380156448</v>
      </c>
      <c r="J8" s="76">
        <f>IFERROR(TR/(RadSpec!E8*IFCR_res_adj*CF_carrot),".")</f>
        <v>6.2644261119772926</v>
      </c>
      <c r="K8" s="76">
        <f>IFERROR(TR/(RadSpec!E8*IFCI_res_adj*CF_citrus),".")</f>
        <v>0.54136174299572559</v>
      </c>
      <c r="L8" s="76">
        <f>IFERROR(TR/(RadSpec!E8*IFCO_res_adj*CF_corn),".")</f>
        <v>2.9731224615703407</v>
      </c>
      <c r="M8" s="76">
        <f>IFERROR(TR/(RadSpec!E8*IFCU_res_adj*CF_cucumber),".")</f>
        <v>2.2108511172797001</v>
      </c>
      <c r="N8" s="76">
        <f>IFERROR(TR/(RadSpec!E8*IFLE_res_adj*CF_lettuce),".")</f>
        <v>5.1346960159318522</v>
      </c>
      <c r="O8" s="76">
        <f>IFERROR(TR/(RadSpec!E8*IFLI_res_adj*CF_lima_bean),".")</f>
        <v>5.567015876294227</v>
      </c>
      <c r="P8" s="76">
        <f>IFERROR(TR/(RadSpec!E8*IFOK_res_adj*CF_okra),".")</f>
        <v>6.2604849819917767</v>
      </c>
      <c r="Q8" s="76">
        <f>IFERROR(TR/(RadSpec!E8*IFON_res_adj*CF_onion),".")</f>
        <v>8.4545801859608574</v>
      </c>
      <c r="R8" s="76">
        <f>IFERROR(TR/(RadSpec!E8*IFPC_res_adj*CF_peach),".")</f>
        <v>1.3346353110080378</v>
      </c>
      <c r="S8" s="76">
        <f>IFERROR(TR/(RadSpec!E8*IFPR_res_adj*CF_pear),".")</f>
        <v>2.767637568871069</v>
      </c>
      <c r="T8" s="76">
        <f>IFERROR(TR/(RadSpec!E8*IFPE_res_adj*CF_peas),".")</f>
        <v>4.4197383428274168</v>
      </c>
      <c r="U8" s="76">
        <f>IFERROR(TR/(RadSpec!E8*IFPT_res_adj*CF_potato),".")</f>
        <v>1.3887434064442021</v>
      </c>
      <c r="V8" s="76">
        <f>IFERROR(TR/(RadSpec!E8*IFPU_res_adj*CF_pumpkin),".")</f>
        <v>2.5398266663797675</v>
      </c>
      <c r="W8" s="76">
        <f>IFERROR(TR/(RadSpec!E8*IFSN_res_adj*CF_snap_bean),".")</f>
        <v>3.2053602444438494</v>
      </c>
      <c r="X8" s="76">
        <f>IFERROR(TR/(RadSpec!E8*IFST_res_adj*CF_strawberry),".")</f>
        <v>4.1385073316181868</v>
      </c>
      <c r="Y8" s="76">
        <f>IFERROR(TR/(RadSpec!E8*IFTO_res_adj*CF_tomato),".")</f>
        <v>2.23092498125231</v>
      </c>
      <c r="Z8" s="76">
        <f>IFERROR(TR/(RadSpec!E8*IFRI_res_adj*CF_rice),".")</f>
        <v>2.431828171768311</v>
      </c>
      <c r="AA8" s="76">
        <f>IFERROR(TR/(RadSpec!E8*IFCG_res_adj*CF_cereal),".")</f>
        <v>1.882883799219665</v>
      </c>
      <c r="AB8" s="76">
        <f t="shared" si="5"/>
        <v>7.0980251571038308E-2</v>
      </c>
      <c r="AC8" s="76">
        <f>IFERROR(TR/(RadSpec!E8*IFAP_far_adj*CF_apple),".")</f>
        <v>1.1786143407409604</v>
      </c>
      <c r="AD8" s="76">
        <f>IFERROR(TR/(RadSpec!E8*IFAS_far_adj*CF_asparagus),".")</f>
        <v>2.826598744177228</v>
      </c>
      <c r="AE8" s="76">
        <f>IFERROR(TR/(RadSpec!E8*IFBT_far_adj*CF_beet),".")</f>
        <v>3.3847077819305884</v>
      </c>
      <c r="AF8" s="76">
        <f>IFERROR(TR/(RadSpec!E8*IFBE_far_adj*CF_berries),".")</f>
        <v>2.9550232750930752</v>
      </c>
      <c r="AG8" s="76">
        <f>IFERROR(TR/(RadSpec!E8*IFBR_far_adj*CF_broccoli),".")</f>
        <v>3.0937481358233887</v>
      </c>
      <c r="AH8" s="76">
        <f>IFERROR(TR/(RadSpec!E8*IFCB_far_adj*CF_cabbage),".")</f>
        <v>1.3344563334954982</v>
      </c>
      <c r="AI8" s="76">
        <f>IFERROR(TR/(RadSpec!E8*IFCR_far_adj*CF_carrot),".")</f>
        <v>4.3769698169676401</v>
      </c>
      <c r="AJ8" s="76">
        <f>IFERROR(TR/(RadSpec!E8*IFCI_far_adj*CF_citrus),".")</f>
        <v>0.34061409819873112</v>
      </c>
      <c r="AK8" s="76">
        <f>IFERROR(TR/(RadSpec!E8*IFCO_far_adj*CF_corn),".")</f>
        <v>1.3338302900443575</v>
      </c>
      <c r="AL8" s="76">
        <f>IFERROR(TR/(RadSpec!E8*IFCU_far_adj*CF_cucumber),".")</f>
        <v>2.0225692843243759</v>
      </c>
      <c r="AM8" s="76">
        <f>IFERROR(TR/(RadSpec!E8*IFLE_far_adj*CF_lettuce),".")</f>
        <v>3.0613877492311738</v>
      </c>
      <c r="AN8" s="76">
        <f>IFERROR(TR/(RadSpec!E8*IFLI_far_adj*CF_lima_bean),".")</f>
        <v>3.34995484897355</v>
      </c>
      <c r="AO8" s="76">
        <f>IFERROR(TR/(RadSpec!E8*IFOK_far_adj*CF_okra),".")</f>
        <v>3.7600759035994447</v>
      </c>
      <c r="AP8" s="76">
        <f>IFERROR(TR/(RadSpec!E8*IFON_far_adj*CF_onion),".")</f>
        <v>4.1120003631718722</v>
      </c>
      <c r="AQ8" s="76">
        <f>IFERROR(TR/(RadSpec!E8*IFPC_far_adj*CF_peach),".")</f>
        <v>0.97054919329717437</v>
      </c>
      <c r="AR8" s="76">
        <f>IFERROR(TR/(RadSpec!E8*IFPR_far_adj*CF_pear),".")</f>
        <v>1.5934412936550728</v>
      </c>
      <c r="AS8" s="76">
        <f>IFERROR(TR/(RadSpec!E8*IFPE_far_adj*CF_peas),".")</f>
        <v>3.1843330812402977</v>
      </c>
      <c r="AT8" s="76">
        <f>IFERROR(TR/(RadSpec!E8*IFPT_far_adj*CF_potato),".")</f>
        <v>0.7706517621588328</v>
      </c>
      <c r="AU8" s="76">
        <f>IFERROR(TR/(RadSpec!E8*IFPU_far_adj*CF_pumpkin),".")</f>
        <v>1.6086390040213272</v>
      </c>
      <c r="AV8" s="76">
        <f>IFERROR(TR/(RadSpec!E8*IFSN_far_adj*CF_snap_bean),".")</f>
        <v>1.9824765173574916</v>
      </c>
      <c r="AW8" s="76">
        <f>IFERROR(TR/(RadSpec!E8*IFST_far_adj*CF_strawberry),".")</f>
        <v>2.6036213707158371</v>
      </c>
      <c r="AX8" s="76">
        <f>IFERROR(TR/(RadSpec!E8*IFTO_far_adj*CF_tomato),".")</f>
        <v>1.1665249257225168</v>
      </c>
      <c r="AY8" s="76">
        <f>IFERROR(TR/(RadSpec!E8*IFRI_far_adj*CF_rice),".")</f>
        <v>1.2369993012463087</v>
      </c>
      <c r="AZ8" s="76">
        <f>IFERROR(TR/(RadSpec!E8*IFCG_far_adj*CF_cereal),".")</f>
        <v>1.1705041320797422</v>
      </c>
    </row>
    <row r="9" spans="1:52" x14ac:dyDescent="0.25">
      <c r="A9" s="92" t="s">
        <v>19</v>
      </c>
      <c r="B9" s="90" t="s">
        <v>1074</v>
      </c>
      <c r="C9" s="76">
        <f t="shared" si="4"/>
        <v>0.31290705215965381</v>
      </c>
      <c r="D9" s="76">
        <f>IFERROR(TR/(RadSpec!E9*IFAP_res_adj*CF_apple),".")</f>
        <v>5.6469616437042225</v>
      </c>
      <c r="E9" s="76">
        <f>IFERROR(TR/(RadSpec!E9*IFAS_res_adj*CF_asparagus),".")</f>
        <v>12.552313807543932</v>
      </c>
      <c r="F9" s="76">
        <f>IFERROR(TR/(RadSpec!E9*IFBT_res_adj*CF_beet),".")</f>
        <v>15.354840671332608</v>
      </c>
      <c r="G9" s="76">
        <f>IFERROR(TR/(RadSpec!E9*IFBE_res_adj*CF_berries),".")</f>
        <v>12.649618565741946</v>
      </c>
      <c r="H9" s="76">
        <f>IFERROR(TR/(RadSpec!E9*IFBR_res_adj*CF_broccoli),".")</f>
        <v>14.987315957240041</v>
      </c>
      <c r="I9" s="76">
        <f>IFERROR(TR/(RadSpec!E9*IFCB_res_adj*CF_cabbage),".")</f>
        <v>5.6216125101120644</v>
      </c>
      <c r="J9" s="76">
        <f>IFERROR(TR/(RadSpec!E9*IFCR_res_adj*CF_carrot),".")</f>
        <v>16.949772185824195</v>
      </c>
      <c r="K9" s="76">
        <f>IFERROR(TR/(RadSpec!E9*IFCI_res_adj*CF_citrus),".")</f>
        <v>1.4647723590121444</v>
      </c>
      <c r="L9" s="76">
        <f>IFERROR(TR/(RadSpec!E9*IFCO_res_adj*CF_corn),".")</f>
        <v>8.0444317649183539</v>
      </c>
      <c r="M9" s="76">
        <f>IFERROR(TR/(RadSpec!E9*IFCU_res_adj*CF_cucumber),".")</f>
        <v>5.9819402615378214</v>
      </c>
      <c r="N9" s="76">
        <f>IFERROR(TR/(RadSpec!E9*IFLE_res_adj*CF_lettuce),".")</f>
        <v>13.893040824139179</v>
      </c>
      <c r="O9" s="76">
        <f>IFERROR(TR/(RadSpec!E9*IFLI_res_adj*CF_lima_bean),".")</f>
        <v>15.062776569052717</v>
      </c>
      <c r="P9" s="76">
        <f>IFERROR(TR/(RadSpec!E9*IFOK_res_adj*CF_okra),".")</f>
        <v>16.939108598415686</v>
      </c>
      <c r="Q9" s="76">
        <f>IFERROR(TR/(RadSpec!E9*IFON_res_adj*CF_onion),".")</f>
        <v>22.875712079168846</v>
      </c>
      <c r="R9" s="76">
        <f>IFERROR(TR/(RadSpec!E9*IFPC_res_adj*CF_peach),".")</f>
        <v>3.6111471455447606</v>
      </c>
      <c r="S9" s="76">
        <f>IFERROR(TR/(RadSpec!E9*IFPR_res_adj*CF_pear),".")</f>
        <v>7.4884475364154444</v>
      </c>
      <c r="T9" s="76">
        <f>IFERROR(TR/(RadSpec!E9*IFPE_res_adj*CF_peas),".")</f>
        <v>11.958566785334991</v>
      </c>
      <c r="U9" s="76">
        <f>IFERROR(TR/(RadSpec!E9*IFPT_res_adj*CF_potato),".")</f>
        <v>3.7575484079522337</v>
      </c>
      <c r="V9" s="76">
        <f>IFERROR(TR/(RadSpec!E9*IFPU_res_adj*CF_pumpkin),".")</f>
        <v>6.8720554153092737</v>
      </c>
      <c r="W9" s="76">
        <f>IFERROR(TR/(RadSpec!E9*IFSN_res_adj*CF_snap_bean),".")</f>
        <v>8.6728017771563</v>
      </c>
      <c r="X9" s="76">
        <f>IFERROR(TR/(RadSpec!E9*IFST_res_adj*CF_strawberry),".")</f>
        <v>11.197634900054787</v>
      </c>
      <c r="Y9" s="76">
        <f>IFERROR(TR/(RadSpec!E9*IFTO_res_adj*CF_tomato),".")</f>
        <v>6.0362544820494861</v>
      </c>
      <c r="Z9" s="76">
        <f>IFERROR(TR/(RadSpec!E9*IFRI_res_adj*CF_rice),".")</f>
        <v>6.5798419152448036</v>
      </c>
      <c r="AA9" s="76">
        <f>IFERROR(TR/(RadSpec!E9*IFCG_res_adj*CF_cereal),".")</f>
        <v>5.0945530969123434</v>
      </c>
      <c r="AB9" s="76">
        <f t="shared" si="5"/>
        <v>0.19205256352554298</v>
      </c>
      <c r="AC9" s="76">
        <f>IFERROR(TR/(RadSpec!E9*IFAP_far_adj*CF_apple),".")</f>
        <v>3.1889983557007855</v>
      </c>
      <c r="AD9" s="76">
        <f>IFERROR(TR/(RadSpec!E9*IFAS_far_adj*CF_asparagus),".")</f>
        <v>7.6479798656957074</v>
      </c>
      <c r="AE9" s="76">
        <f>IFERROR(TR/(RadSpec!E9*IFBT_far_adj*CF_beet),".")</f>
        <v>9.1580656861162346</v>
      </c>
      <c r="AF9" s="76">
        <f>IFERROR(TR/(RadSpec!E9*IFBE_far_adj*CF_berries),".")</f>
        <v>7.9954604653843298</v>
      </c>
      <c r="AG9" s="76">
        <f>IFERROR(TR/(RadSpec!E9*IFBR_far_adj*CF_broccoli),".")</f>
        <v>8.3708108556448728</v>
      </c>
      <c r="AH9" s="76">
        <f>IFERROR(TR/(RadSpec!E9*IFCB_far_adj*CF_cabbage),".")</f>
        <v>3.6106628828190601</v>
      </c>
      <c r="AI9" s="76">
        <f>IFERROR(TR/(RadSpec!E9*IFCR_far_adj*CF_carrot),".")</f>
        <v>11.84284720351077</v>
      </c>
      <c r="AJ9" s="76">
        <f>IFERROR(TR/(RadSpec!E9*IFCI_far_adj*CF_citrus),".")</f>
        <v>0.92160578871065324</v>
      </c>
      <c r="AK9" s="76">
        <f>IFERROR(TR/(RadSpec!E9*IFCO_far_adj*CF_corn),".")</f>
        <v>3.6089689856151375</v>
      </c>
      <c r="AL9" s="76">
        <f>IFERROR(TR/(RadSpec!E9*IFCU_far_adj*CF_cucumber),".")</f>
        <v>5.4725026660938481</v>
      </c>
      <c r="AM9" s="76">
        <f>IFERROR(TR/(RadSpec!E9*IFLE_far_adj*CF_lettuce),".")</f>
        <v>8.2832527663995492</v>
      </c>
      <c r="AN9" s="76">
        <f>IFERROR(TR/(RadSpec!E9*IFLI_far_adj*CF_lima_bean),".")</f>
        <v>9.0640340404584201</v>
      </c>
      <c r="AO9" s="76">
        <f>IFERROR(TR/(RadSpec!E9*IFOK_far_adj*CF_okra),".")</f>
        <v>10.173706071105888</v>
      </c>
      <c r="AP9" s="76">
        <f>IFERROR(TR/(RadSpec!E9*IFON_far_adj*CF_onion),".")</f>
        <v>11.125914511232121</v>
      </c>
      <c r="AQ9" s="76">
        <f>IFERROR(TR/(RadSpec!E9*IFPC_far_adj*CF_peach),".")</f>
        <v>2.6260326847929125</v>
      </c>
      <c r="AR9" s="76">
        <f>IFERROR(TR/(RadSpec!E9*IFPR_far_adj*CF_pear),".")</f>
        <v>4.3114032213261382</v>
      </c>
      <c r="AS9" s="76">
        <f>IFERROR(TR/(RadSpec!E9*IFPE_far_adj*CF_peas),".")</f>
        <v>8.615908197498154</v>
      </c>
      <c r="AT9" s="76">
        <f>IFERROR(TR/(RadSpec!E9*IFPT_far_adj*CF_potato),".")</f>
        <v>2.0851665531215278</v>
      </c>
      <c r="AU9" s="76">
        <f>IFERROR(TR/(RadSpec!E9*IFPU_far_adj*CF_pumpkin),".")</f>
        <v>4.3525239439349717</v>
      </c>
      <c r="AV9" s="76">
        <f>IFERROR(TR/(RadSpec!E9*IFSN_far_adj*CF_snap_bean),".")</f>
        <v>5.3640229339937706</v>
      </c>
      <c r="AW9" s="76">
        <f>IFERROR(TR/(RadSpec!E9*IFST_far_adj*CF_strawberry),".")</f>
        <v>7.0446659123971038</v>
      </c>
      <c r="AX9" s="76">
        <f>IFERROR(TR/(RadSpec!E9*IFTO_far_adj*CF_tomato),".")</f>
        <v>3.1562878046048568</v>
      </c>
      <c r="AY9" s="76">
        <f>IFERROR(TR/(RadSpec!E9*IFRI_far_adj*CF_rice),".")</f>
        <v>3.3469716100667202</v>
      </c>
      <c r="AZ9" s="76">
        <f>IFERROR(TR/(RadSpec!E9*IFCG_far_adj*CF_cereal),".")</f>
        <v>3.1670544159479781</v>
      </c>
    </row>
    <row r="10" spans="1:52" x14ac:dyDescent="0.25">
      <c r="A10" s="94" t="s">
        <v>20</v>
      </c>
      <c r="B10" s="90" t="s">
        <v>351</v>
      </c>
      <c r="C10" s="76">
        <f t="shared" ref="C10" si="6">IFERROR(1/SUM(1/D10,1/E10,1/F10,1/G10,1/H10,1/I10,1/J10,1/K10,1/L10,1/M10,1/N10,1/O10,1/P10,1/Q10,1/R10,1/S10,1/T10,1/U10,1/V10,1/W10,1/X10,1/Y10),".")</f>
        <v>2.2213302613710074E-3</v>
      </c>
      <c r="D10" s="76">
        <f>IFERROR(TR/(RadSpec!E10*IFAP_res_adj*CF_apple),".")</f>
        <v>4.0087836619167601E-2</v>
      </c>
      <c r="E10" s="76">
        <f>IFERROR(TR/(RadSpec!E10*IFAS_res_adj*CF_asparagus),".")</f>
        <v>8.9109000000089103E-2</v>
      </c>
      <c r="F10" s="76">
        <f>IFERROR(TR/(RadSpec!E10*IFBT_res_adj*CF_beet),".")</f>
        <v>0.10900416595391567</v>
      </c>
      <c r="G10" s="76">
        <f>IFERROR(TR/(RadSpec!E10*IFBE_res_adj*CF_berries),".")</f>
        <v>8.9799767441950257E-2</v>
      </c>
      <c r="H10" s="76">
        <f>IFERROR(TR/(RadSpec!E10*IFBR_res_adj*CF_broccoli),".")</f>
        <v>0.10639510436971396</v>
      </c>
      <c r="I10" s="76">
        <f>IFERROR(TR/(RadSpec!E10*IFCB_res_adj*CF_cabbage),".")</f>
        <v>3.9907882868815352E-2</v>
      </c>
      <c r="J10" s="76">
        <f>IFERROR(TR/(RadSpec!E10*IFCR_res_adj*CF_carrot),".")</f>
        <v>0.12032660056669255</v>
      </c>
      <c r="K10" s="76">
        <f>IFERROR(TR/(RadSpec!E10*IFCI_res_adj*CF_citrus),".")</f>
        <v>1.0398433479323838E-2</v>
      </c>
      <c r="L10" s="76">
        <f>IFERROR(TR/(RadSpec!E10*IFCO_res_adj*CF_corn),".")</f>
        <v>5.7107500746994659E-2</v>
      </c>
      <c r="M10" s="76">
        <f>IFERROR(TR/(RadSpec!E10*IFCU_res_adj*CF_cucumber),".")</f>
        <v>4.2465853143788299E-2</v>
      </c>
      <c r="N10" s="76">
        <f>IFERROR(TR/(RadSpec!E10*IFLE_res_adj*CF_lettuce),".")</f>
        <v>9.8626834365423688E-2</v>
      </c>
      <c r="O10" s="76">
        <f>IFERROR(TR/(RadSpec!E10*IFLI_res_adj*CF_lima_bean),".")</f>
        <v>0.10693080000010693</v>
      </c>
      <c r="P10" s="76">
        <f>IFERROR(TR/(RadSpec!E10*IFOK_res_adj*CF_okra),".")</f>
        <v>0.12025089965409948</v>
      </c>
      <c r="Q10" s="76">
        <f>IFERROR(TR/(RadSpec!E10*IFON_res_adj*CF_onion),".")</f>
        <v>0.16239490654221847</v>
      </c>
      <c r="R10" s="76">
        <f>IFERROR(TR/(RadSpec!E10*IFPC_res_adj*CF_peach),".")</f>
        <v>2.5635569340154388E-2</v>
      </c>
      <c r="S10" s="76">
        <f>IFERROR(TR/(RadSpec!E10*IFPR_res_adj*CF_pear),".")</f>
        <v>5.3160563204058153E-2</v>
      </c>
      <c r="T10" s="76">
        <f>IFERROR(TR/(RadSpec!E10*IFPE_res_adj*CF_peas),".")</f>
        <v>8.4893984010744439E-2</v>
      </c>
      <c r="U10" s="76">
        <f>IFERROR(TR/(RadSpec!E10*IFPT_res_adj*CF_potato),".")</f>
        <v>2.6674873351502492E-2</v>
      </c>
      <c r="V10" s="76">
        <f>IFERROR(TR/(RadSpec!E10*IFPU_res_adj*CF_pumpkin),".")</f>
        <v>4.8784789433433159E-2</v>
      </c>
      <c r="W10" s="76">
        <f>IFERROR(TR/(RadSpec!E10*IFSN_res_adj*CF_snap_bean),".")</f>
        <v>6.1568305685357108E-2</v>
      </c>
      <c r="X10" s="76">
        <f>IFERROR(TR/(RadSpec!E10*IFST_res_adj*CF_strawberry),".")</f>
        <v>7.9492121023161208E-2</v>
      </c>
      <c r="Y10" s="76">
        <f>IFERROR(TR/(RadSpec!E10*IFTO_res_adj*CF_tomato),".")</f>
        <v>4.2851430332965165E-2</v>
      </c>
      <c r="Z10" s="76">
        <f>IFERROR(TR/(RadSpec!E10*IFRI_res_adj*CF_rice),".")</f>
        <v>4.6710362903272511E-2</v>
      </c>
      <c r="AA10" s="76">
        <f>IFERROR(TR/(RadSpec!E10*IFCG_res_adj*CF_cereal),".")</f>
        <v>3.6166282876100499E-2</v>
      </c>
      <c r="AB10" s="76">
        <f t="shared" ref="AB10" si="7">IFERROR(1/SUM(1/AC10,1/AD10,1/AE10,1/AF10,1/AG10,1/AH10,1/AI10,1/AJ10,1/AK10,1/AL10,1/AM10,1/AN10,1/AO10,1/AP10,1/AQ10,1/AR10,1/AS10,1/AT10,1/AU10,1/AV10,1/AW10,1/AX10),".")</f>
        <v>1.3633830499783597E-3</v>
      </c>
      <c r="AC10" s="76">
        <f>IFERROR(TR/(RadSpec!E10*IFAP_far_adj*CF_apple),".")</f>
        <v>2.2638730901361023E-2</v>
      </c>
      <c r="AD10" s="76">
        <f>IFERROR(TR/(RadSpec!E10*IFAS_far_adj*CF_asparagus),".")</f>
        <v>5.4293084789146746E-2</v>
      </c>
      <c r="AE10" s="76">
        <f>IFERROR(TR/(RadSpec!E10*IFBT_far_adj*CF_beet),".")</f>
        <v>6.501319897965685E-2</v>
      </c>
      <c r="AF10" s="76">
        <f>IFERROR(TR/(RadSpec!E10*IFBE_far_adj*CF_berries),".")</f>
        <v>5.6759853006738276E-2</v>
      </c>
      <c r="AG10" s="76">
        <f>IFERROR(TR/(RadSpec!E10*IFBR_far_adj*CF_broccoli),".")</f>
        <v>5.9424469143538362E-2</v>
      </c>
      <c r="AH10" s="76">
        <f>IFERROR(TR/(RadSpec!E10*IFCB_far_adj*CF_cabbage),".")</f>
        <v>2.5632131554269962E-2</v>
      </c>
      <c r="AI10" s="76">
        <f>IFERROR(TR/(RadSpec!E10*IFCR_far_adj*CF_carrot),".")</f>
        <v>8.407248955363586E-2</v>
      </c>
      <c r="AJ10" s="76">
        <f>IFERROR(TR/(RadSpec!E10*IFCI_far_adj*CF_citrus),".")</f>
        <v>6.5424886188667165E-3</v>
      </c>
      <c r="AK10" s="76">
        <f>IFERROR(TR/(RadSpec!E10*IFCO_far_adj*CF_corn),".")</f>
        <v>2.5620106561248055E-2</v>
      </c>
      <c r="AL10" s="76">
        <f>IFERROR(TR/(RadSpec!E10*IFCU_far_adj*CF_cucumber),".")</f>
        <v>3.8849350609794941E-2</v>
      </c>
      <c r="AM10" s="76">
        <f>IFERROR(TR/(RadSpec!E10*IFLE_far_adj*CF_lettuce),".")</f>
        <v>5.8802893401074023E-2</v>
      </c>
      <c r="AN10" s="76">
        <f>IFERROR(TR/(RadSpec!E10*IFLI_far_adj*CF_lima_bean),".")</f>
        <v>6.4345667396125614E-2</v>
      </c>
      <c r="AO10" s="76">
        <f>IFERROR(TR/(RadSpec!E10*IFOK_far_adj*CF_okra),".")</f>
        <v>7.2223240128543781E-2</v>
      </c>
      <c r="AP10" s="76">
        <f>IFERROR(TR/(RadSpec!E10*IFON_far_adj*CF_onion),".")</f>
        <v>7.8982977272806246E-2</v>
      </c>
      <c r="AQ10" s="76">
        <f>IFERROR(TR/(RadSpec!E10*IFPC_far_adj*CF_peach),".")</f>
        <v>1.8642232029668498E-2</v>
      </c>
      <c r="AR10" s="76">
        <f>IFERROR(TR/(RadSpec!E10*IFPR_far_adj*CF_pear),".")</f>
        <v>3.0606694155354861E-2</v>
      </c>
      <c r="AS10" s="76">
        <f>IFERROR(TR/(RadSpec!E10*IFPE_far_adj*CF_peas),".")</f>
        <v>6.1164417600061159E-2</v>
      </c>
      <c r="AT10" s="76">
        <f>IFERROR(TR/(RadSpec!E10*IFPT_far_adj*CF_potato),".")</f>
        <v>1.4802618005823125E-2</v>
      </c>
      <c r="AU10" s="76">
        <f>IFERROR(TR/(RadSpec!E10*IFPU_far_adj*CF_pumpkin),".")</f>
        <v>3.0898610572290836E-2</v>
      </c>
      <c r="AV10" s="76">
        <f>IFERROR(TR/(RadSpec!E10*IFSN_far_adj*CF_snap_bean),".")</f>
        <v>3.8079251917559738E-2</v>
      </c>
      <c r="AW10" s="76">
        <f>IFERROR(TR/(RadSpec!E10*IFST_far_adj*CF_strawberry),".")</f>
        <v>5.0010153061274494E-2</v>
      </c>
      <c r="AX10" s="76">
        <f>IFERROR(TR/(RadSpec!E10*IFTO_far_adj*CF_tomato),".")</f>
        <v>2.2406518375264185E-2</v>
      </c>
      <c r="AY10" s="76">
        <f>IFERROR(TR/(RadSpec!E10*IFRI_far_adj*CF_rice),".")</f>
        <v>2.376018459819642E-2</v>
      </c>
      <c r="AZ10" s="76">
        <f>IFERROR(TR/(RadSpec!E10*IFCG_far_adj*CF_cereal),".")</f>
        <v>2.2482950655789112E-2</v>
      </c>
    </row>
    <row r="11" spans="1:52" x14ac:dyDescent="0.25">
      <c r="A11" s="92" t="s">
        <v>21</v>
      </c>
      <c r="B11" s="90" t="s">
        <v>1074</v>
      </c>
      <c r="C11" s="76" t="str">
        <f t="shared" ref="C11" si="8">IFERROR(1/SUM(1/D11,1/E11,1/F11,1/G11,1/H11,1/I11,1/J11,1/K11,1/L11,1/M11,1/N11,1/O11,1/P11,1/Q11,1/R11,1/S11,1/T11,1/U11,1/V11,1/W11,1/X11,1/Y11),".")</f>
        <v>.</v>
      </c>
      <c r="D11" s="76" t="str">
        <f>IFERROR(TR/(RadSpec!E11*IFAP_res_adj*CF_apple),".")</f>
        <v>.</v>
      </c>
      <c r="E11" s="76" t="str">
        <f>IFERROR(TR/(RadSpec!E11*IFAS_res_adj*CF_asparagus),".")</f>
        <v>.</v>
      </c>
      <c r="F11" s="76" t="str">
        <f>IFERROR(TR/(RadSpec!E11*IFBT_res_adj*CF_beet),".")</f>
        <v>.</v>
      </c>
      <c r="G11" s="76" t="str">
        <f>IFERROR(TR/(RadSpec!E11*IFBE_res_adj*CF_berries),".")</f>
        <v>.</v>
      </c>
      <c r="H11" s="76" t="str">
        <f>IFERROR(TR/(RadSpec!E11*IFBR_res_adj*CF_broccoli),".")</f>
        <v>.</v>
      </c>
      <c r="I11" s="76" t="str">
        <f>IFERROR(TR/(RadSpec!E11*IFCB_res_adj*CF_cabbage),".")</f>
        <v>.</v>
      </c>
      <c r="J11" s="76" t="str">
        <f>IFERROR(TR/(RadSpec!E11*IFCR_res_adj*CF_carrot),".")</f>
        <v>.</v>
      </c>
      <c r="K11" s="76" t="str">
        <f>IFERROR(TR/(RadSpec!E11*IFCI_res_adj*CF_citrus),".")</f>
        <v>.</v>
      </c>
      <c r="L11" s="76" t="str">
        <f>IFERROR(TR/(RadSpec!E11*IFCO_res_adj*CF_corn),".")</f>
        <v>.</v>
      </c>
      <c r="M11" s="76" t="str">
        <f>IFERROR(TR/(RadSpec!E11*IFCU_res_adj*CF_cucumber),".")</f>
        <v>.</v>
      </c>
      <c r="N11" s="76" t="str">
        <f>IFERROR(TR/(RadSpec!E11*IFLE_res_adj*CF_lettuce),".")</f>
        <v>.</v>
      </c>
      <c r="O11" s="76" t="str">
        <f>IFERROR(TR/(RadSpec!E11*IFLI_res_adj*CF_lima_bean),".")</f>
        <v>.</v>
      </c>
      <c r="P11" s="76" t="str">
        <f>IFERROR(TR/(RadSpec!E11*IFOK_res_adj*CF_okra),".")</f>
        <v>.</v>
      </c>
      <c r="Q11" s="76" t="str">
        <f>IFERROR(TR/(RadSpec!E11*IFON_res_adj*CF_onion),".")</f>
        <v>.</v>
      </c>
      <c r="R11" s="76" t="str">
        <f>IFERROR(TR/(RadSpec!E11*IFPC_res_adj*CF_peach),".")</f>
        <v>.</v>
      </c>
      <c r="S11" s="76" t="str">
        <f>IFERROR(TR/(RadSpec!E11*IFPR_res_adj*CF_pear),".")</f>
        <v>.</v>
      </c>
      <c r="T11" s="76" t="str">
        <f>IFERROR(TR/(RadSpec!E11*IFPE_res_adj*CF_peas),".")</f>
        <v>.</v>
      </c>
      <c r="U11" s="76" t="str">
        <f>IFERROR(TR/(RadSpec!E11*IFPT_res_adj*CF_potato),".")</f>
        <v>.</v>
      </c>
      <c r="V11" s="76" t="str">
        <f>IFERROR(TR/(RadSpec!E11*IFPU_res_adj*CF_pumpkin),".")</f>
        <v>.</v>
      </c>
      <c r="W11" s="76" t="str">
        <f>IFERROR(TR/(RadSpec!E11*IFSN_res_adj*CF_snap_bean),".")</f>
        <v>.</v>
      </c>
      <c r="X11" s="76" t="str">
        <f>IFERROR(TR/(RadSpec!E11*IFST_res_adj*CF_strawberry),".")</f>
        <v>.</v>
      </c>
      <c r="Y11" s="76" t="str">
        <f>IFERROR(TR/(RadSpec!E11*IFTO_res_adj*CF_tomato),".")</f>
        <v>.</v>
      </c>
      <c r="Z11" s="76" t="str">
        <f>IFERROR(TR/(RadSpec!E11*IFRI_res_adj*CF_rice),".")</f>
        <v>.</v>
      </c>
      <c r="AA11" s="76" t="str">
        <f>IFERROR(TR/(RadSpec!E11*IFCG_res_adj*CF_cereal),".")</f>
        <v>.</v>
      </c>
      <c r="AB11" s="76" t="str">
        <f t="shared" ref="AB11" si="9">IFERROR(1/SUM(1/AC11,1/AD11,1/AE11,1/AF11,1/AG11,1/AH11,1/AI11,1/AJ11,1/AK11,1/AL11,1/AM11,1/AN11,1/AO11,1/AP11,1/AQ11,1/AR11,1/AS11,1/AT11,1/AU11,1/AV11,1/AW11,1/AX11),".")</f>
        <v>.</v>
      </c>
      <c r="AC11" s="76" t="str">
        <f>IFERROR(TR/(RadSpec!E11*IFAP_far_adj*CF_apple),".")</f>
        <v>.</v>
      </c>
      <c r="AD11" s="76" t="str">
        <f>IFERROR(TR/(RadSpec!E11*IFAS_far_adj*CF_asparagus),".")</f>
        <v>.</v>
      </c>
      <c r="AE11" s="76" t="str">
        <f>IFERROR(TR/(RadSpec!E11*IFBT_far_adj*CF_beet),".")</f>
        <v>.</v>
      </c>
      <c r="AF11" s="76" t="str">
        <f>IFERROR(TR/(RadSpec!E11*IFBE_far_adj*CF_berries),".")</f>
        <v>.</v>
      </c>
      <c r="AG11" s="76" t="str">
        <f>IFERROR(TR/(RadSpec!E11*IFBR_far_adj*CF_broccoli),".")</f>
        <v>.</v>
      </c>
      <c r="AH11" s="76" t="str">
        <f>IFERROR(TR/(RadSpec!E11*IFCB_far_adj*CF_cabbage),".")</f>
        <v>.</v>
      </c>
      <c r="AI11" s="76" t="str">
        <f>IFERROR(TR/(RadSpec!E11*IFCR_far_adj*CF_carrot),".")</f>
        <v>.</v>
      </c>
      <c r="AJ11" s="76" t="str">
        <f>IFERROR(TR/(RadSpec!E11*IFCI_far_adj*CF_citrus),".")</f>
        <v>.</v>
      </c>
      <c r="AK11" s="76" t="str">
        <f>IFERROR(TR/(RadSpec!E11*IFCO_far_adj*CF_corn),".")</f>
        <v>.</v>
      </c>
      <c r="AL11" s="76" t="str">
        <f>IFERROR(TR/(RadSpec!E11*IFCU_far_adj*CF_cucumber),".")</f>
        <v>.</v>
      </c>
      <c r="AM11" s="76" t="str">
        <f>IFERROR(TR/(RadSpec!E11*IFLE_far_adj*CF_lettuce),".")</f>
        <v>.</v>
      </c>
      <c r="AN11" s="76" t="str">
        <f>IFERROR(TR/(RadSpec!E11*IFLI_far_adj*CF_lima_bean),".")</f>
        <v>.</v>
      </c>
      <c r="AO11" s="76" t="str">
        <f>IFERROR(TR/(RadSpec!E11*IFOK_far_adj*CF_okra),".")</f>
        <v>.</v>
      </c>
      <c r="AP11" s="76" t="str">
        <f>IFERROR(TR/(RadSpec!E11*IFON_far_adj*CF_onion),".")</f>
        <v>.</v>
      </c>
      <c r="AQ11" s="76" t="str">
        <f>IFERROR(TR/(RadSpec!E11*IFPC_far_adj*CF_peach),".")</f>
        <v>.</v>
      </c>
      <c r="AR11" s="76" t="str">
        <f>IFERROR(TR/(RadSpec!E11*IFPR_far_adj*CF_pear),".")</f>
        <v>.</v>
      </c>
      <c r="AS11" s="76" t="str">
        <f>IFERROR(TR/(RadSpec!E11*IFPE_far_adj*CF_peas),".")</f>
        <v>.</v>
      </c>
      <c r="AT11" s="76" t="str">
        <f>IFERROR(TR/(RadSpec!E11*IFPT_far_adj*CF_potato),".")</f>
        <v>.</v>
      </c>
      <c r="AU11" s="76" t="str">
        <f>IFERROR(TR/(RadSpec!E11*IFPU_far_adj*CF_pumpkin),".")</f>
        <v>.</v>
      </c>
      <c r="AV11" s="76" t="str">
        <f>IFERROR(TR/(RadSpec!E11*IFSN_far_adj*CF_snap_bean),".")</f>
        <v>.</v>
      </c>
      <c r="AW11" s="76" t="str">
        <f>IFERROR(TR/(RadSpec!E11*IFST_far_adj*CF_strawberry),".")</f>
        <v>.</v>
      </c>
      <c r="AX11" s="76" t="str">
        <f>IFERROR(TR/(RadSpec!E11*IFTO_far_adj*CF_tomato),".")</f>
        <v>.</v>
      </c>
      <c r="AY11" s="76" t="str">
        <f>IFERROR(TR/(RadSpec!E11*IFRI_far_adj*CF_rice),".")</f>
        <v>.</v>
      </c>
      <c r="AZ11" s="76" t="str">
        <f>IFERROR(TR/(RadSpec!E11*IFCG_far_adj*CF_cereal),".")</f>
        <v>.</v>
      </c>
    </row>
    <row r="12" spans="1:52" x14ac:dyDescent="0.25">
      <c r="A12" s="92" t="s">
        <v>22</v>
      </c>
      <c r="B12" s="90" t="s">
        <v>1074</v>
      </c>
      <c r="C12" s="76" t="str">
        <f t="shared" ref="C12" si="10">IFERROR(1/SUM(1/D12,1/E12,1/F12,1/G12,1/H12,1/I12,1/J12,1/K12,1/L12,1/M12,1/N12,1/O12,1/P12,1/Q12,1/R12,1/S12,1/T12,1/U12,1/V12,1/W12,1/X12,1/Y12),".")</f>
        <v>.</v>
      </c>
      <c r="D12" s="76" t="str">
        <f>IFERROR(TR/(RadSpec!E12*IFAP_res_adj*CF_apple),".")</f>
        <v>.</v>
      </c>
      <c r="E12" s="76" t="str">
        <f>IFERROR(TR/(RadSpec!E12*IFAS_res_adj*CF_asparagus),".")</f>
        <v>.</v>
      </c>
      <c r="F12" s="76" t="str">
        <f>IFERROR(TR/(RadSpec!E12*IFBT_res_adj*CF_beet),".")</f>
        <v>.</v>
      </c>
      <c r="G12" s="76" t="str">
        <f>IFERROR(TR/(RadSpec!E12*IFBE_res_adj*CF_berries),".")</f>
        <v>.</v>
      </c>
      <c r="H12" s="76" t="str">
        <f>IFERROR(TR/(RadSpec!E12*IFBR_res_adj*CF_broccoli),".")</f>
        <v>.</v>
      </c>
      <c r="I12" s="76" t="str">
        <f>IFERROR(TR/(RadSpec!E12*IFCB_res_adj*CF_cabbage),".")</f>
        <v>.</v>
      </c>
      <c r="J12" s="76" t="str">
        <f>IFERROR(TR/(RadSpec!E12*IFCR_res_adj*CF_carrot),".")</f>
        <v>.</v>
      </c>
      <c r="K12" s="76" t="str">
        <f>IFERROR(TR/(RadSpec!E12*IFCI_res_adj*CF_citrus),".")</f>
        <v>.</v>
      </c>
      <c r="L12" s="76" t="str">
        <f>IFERROR(TR/(RadSpec!E12*IFCO_res_adj*CF_corn),".")</f>
        <v>.</v>
      </c>
      <c r="M12" s="76" t="str">
        <f>IFERROR(TR/(RadSpec!E12*IFCU_res_adj*CF_cucumber),".")</f>
        <v>.</v>
      </c>
      <c r="N12" s="76" t="str">
        <f>IFERROR(TR/(RadSpec!E12*IFLE_res_adj*CF_lettuce),".")</f>
        <v>.</v>
      </c>
      <c r="O12" s="76" t="str">
        <f>IFERROR(TR/(RadSpec!E12*IFLI_res_adj*CF_lima_bean),".")</f>
        <v>.</v>
      </c>
      <c r="P12" s="76" t="str">
        <f>IFERROR(TR/(RadSpec!E12*IFOK_res_adj*CF_okra),".")</f>
        <v>.</v>
      </c>
      <c r="Q12" s="76" t="str">
        <f>IFERROR(TR/(RadSpec!E12*IFON_res_adj*CF_onion),".")</f>
        <v>.</v>
      </c>
      <c r="R12" s="76" t="str">
        <f>IFERROR(TR/(RadSpec!E12*IFPC_res_adj*CF_peach),".")</f>
        <v>.</v>
      </c>
      <c r="S12" s="76" t="str">
        <f>IFERROR(TR/(RadSpec!E12*IFPR_res_adj*CF_pear),".")</f>
        <v>.</v>
      </c>
      <c r="T12" s="76" t="str">
        <f>IFERROR(TR/(RadSpec!E12*IFPE_res_adj*CF_peas),".")</f>
        <v>.</v>
      </c>
      <c r="U12" s="76" t="str">
        <f>IFERROR(TR/(RadSpec!E12*IFPT_res_adj*CF_potato),".")</f>
        <v>.</v>
      </c>
      <c r="V12" s="76" t="str">
        <f>IFERROR(TR/(RadSpec!E12*IFPU_res_adj*CF_pumpkin),".")</f>
        <v>.</v>
      </c>
      <c r="W12" s="76" t="str">
        <f>IFERROR(TR/(RadSpec!E12*IFSN_res_adj*CF_snap_bean),".")</f>
        <v>.</v>
      </c>
      <c r="X12" s="76" t="str">
        <f>IFERROR(TR/(RadSpec!E12*IFST_res_adj*CF_strawberry),".")</f>
        <v>.</v>
      </c>
      <c r="Y12" s="76" t="str">
        <f>IFERROR(TR/(RadSpec!E12*IFTO_res_adj*CF_tomato),".")</f>
        <v>.</v>
      </c>
      <c r="Z12" s="76" t="str">
        <f>IFERROR(TR/(RadSpec!E12*IFRI_res_adj*CF_rice),".")</f>
        <v>.</v>
      </c>
      <c r="AA12" s="76" t="str">
        <f>IFERROR(TR/(RadSpec!E12*IFCG_res_adj*CF_cereal),".")</f>
        <v>.</v>
      </c>
      <c r="AB12" s="76" t="str">
        <f t="shared" ref="AB12" si="11">IFERROR(1/SUM(1/AC12,1/AD12,1/AE12,1/AF12,1/AG12,1/AH12,1/AI12,1/AJ12,1/AK12,1/AL12,1/AM12,1/AN12,1/AO12,1/AP12,1/AQ12,1/AR12,1/AS12,1/AT12,1/AU12,1/AV12,1/AW12,1/AX12),".")</f>
        <v>.</v>
      </c>
      <c r="AC12" s="76" t="str">
        <f>IFERROR(TR/(RadSpec!E12*IFAP_far_adj*CF_apple),".")</f>
        <v>.</v>
      </c>
      <c r="AD12" s="76" t="str">
        <f>IFERROR(TR/(RadSpec!E12*IFAS_far_adj*CF_asparagus),".")</f>
        <v>.</v>
      </c>
      <c r="AE12" s="76" t="str">
        <f>IFERROR(TR/(RadSpec!E12*IFBT_far_adj*CF_beet),".")</f>
        <v>.</v>
      </c>
      <c r="AF12" s="76" t="str">
        <f>IFERROR(TR/(RadSpec!E12*IFBE_far_adj*CF_berries),".")</f>
        <v>.</v>
      </c>
      <c r="AG12" s="76" t="str">
        <f>IFERROR(TR/(RadSpec!E12*IFBR_far_adj*CF_broccoli),".")</f>
        <v>.</v>
      </c>
      <c r="AH12" s="76" t="str">
        <f>IFERROR(TR/(RadSpec!E12*IFCB_far_adj*CF_cabbage),".")</f>
        <v>.</v>
      </c>
      <c r="AI12" s="76" t="str">
        <f>IFERROR(TR/(RadSpec!E12*IFCR_far_adj*CF_carrot),".")</f>
        <v>.</v>
      </c>
      <c r="AJ12" s="76" t="str">
        <f>IFERROR(TR/(RadSpec!E12*IFCI_far_adj*CF_citrus),".")</f>
        <v>.</v>
      </c>
      <c r="AK12" s="76" t="str">
        <f>IFERROR(TR/(RadSpec!E12*IFCO_far_adj*CF_corn),".")</f>
        <v>.</v>
      </c>
      <c r="AL12" s="76" t="str">
        <f>IFERROR(TR/(RadSpec!E12*IFCU_far_adj*CF_cucumber),".")</f>
        <v>.</v>
      </c>
      <c r="AM12" s="76" t="str">
        <f>IFERROR(TR/(RadSpec!E12*IFLE_far_adj*CF_lettuce),".")</f>
        <v>.</v>
      </c>
      <c r="AN12" s="76" t="str">
        <f>IFERROR(TR/(RadSpec!E12*IFLI_far_adj*CF_lima_bean),".")</f>
        <v>.</v>
      </c>
      <c r="AO12" s="76" t="str">
        <f>IFERROR(TR/(RadSpec!E12*IFOK_far_adj*CF_okra),".")</f>
        <v>.</v>
      </c>
      <c r="AP12" s="76" t="str">
        <f>IFERROR(TR/(RadSpec!E12*IFON_far_adj*CF_onion),".")</f>
        <v>.</v>
      </c>
      <c r="AQ12" s="76" t="str">
        <f>IFERROR(TR/(RadSpec!E12*IFPC_far_adj*CF_peach),".")</f>
        <v>.</v>
      </c>
      <c r="AR12" s="76" t="str">
        <f>IFERROR(TR/(RadSpec!E12*IFPR_far_adj*CF_pear),".")</f>
        <v>.</v>
      </c>
      <c r="AS12" s="76" t="str">
        <f>IFERROR(TR/(RadSpec!E12*IFPE_far_adj*CF_peas),".")</f>
        <v>.</v>
      </c>
      <c r="AT12" s="76" t="str">
        <f>IFERROR(TR/(RadSpec!E12*IFPT_far_adj*CF_potato),".")</f>
        <v>.</v>
      </c>
      <c r="AU12" s="76" t="str">
        <f>IFERROR(TR/(RadSpec!E12*IFPU_far_adj*CF_pumpkin),".")</f>
        <v>.</v>
      </c>
      <c r="AV12" s="76" t="str">
        <f>IFERROR(TR/(RadSpec!E12*IFSN_far_adj*CF_snap_bean),".")</f>
        <v>.</v>
      </c>
      <c r="AW12" s="76" t="str">
        <f>IFERROR(TR/(RadSpec!E12*IFST_far_adj*CF_strawberry),".")</f>
        <v>.</v>
      </c>
      <c r="AX12" s="76" t="str">
        <f>IFERROR(TR/(RadSpec!E12*IFTO_far_adj*CF_tomato),".")</f>
        <v>.</v>
      </c>
      <c r="AY12" s="76" t="str">
        <f>IFERROR(TR/(RadSpec!E12*IFRI_far_adj*CF_rice),".")</f>
        <v>.</v>
      </c>
      <c r="AZ12" s="76" t="str">
        <f>IFERROR(TR/(RadSpec!E12*IFCG_far_adj*CF_cereal),".")</f>
        <v>.</v>
      </c>
    </row>
    <row r="13" spans="1:52" x14ac:dyDescent="0.25">
      <c r="A13" s="92" t="s">
        <v>23</v>
      </c>
      <c r="B13" s="90" t="s">
        <v>1074</v>
      </c>
      <c r="C13" s="76">
        <f t="shared" ref="C13:C14" si="12">IFERROR(1/SUM(1/D13,1/E13,1/F13,1/G13,1/H13,1/I13,1/J13,1/K13,1/L13,1/M13,1/N13,1/O13,1/P13,1/Q13,1/R13,1/S13,1/T13,1/U13,1/V13,1/W13,1/X13,1/Y13),".")</f>
        <v>1.0015819482074632E-3</v>
      </c>
      <c r="D13" s="76">
        <f>IFERROR(TR/(RadSpec!E13*IFAP_res_adj*CF_apple),".")</f>
        <v>1.8075319189892535E-2</v>
      </c>
      <c r="E13" s="76">
        <f>IFERROR(TR/(RadSpec!E13*IFAS_res_adj*CF_asparagus),".")</f>
        <v>4.0178611607183036E-2</v>
      </c>
      <c r="F13" s="76">
        <f>IFERROR(TR/(RadSpec!E13*IFBT_res_adj*CF_beet),".")</f>
        <v>4.9149199827435187E-2</v>
      </c>
      <c r="G13" s="76">
        <f>IFERROR(TR/(RadSpec!E13*IFBE_res_adj*CF_berries),".")</f>
        <v>4.0490073712665067E-2</v>
      </c>
      <c r="H13" s="76">
        <f>IFERROR(TR/(RadSpec!E13*IFBR_res_adj*CF_broccoli),".")</f>
        <v>4.797279259527281E-2</v>
      </c>
      <c r="I13" s="76">
        <f>IFERROR(TR/(RadSpec!E13*IFCB_res_adj*CF_cabbage),".")</f>
        <v>1.7994179329242636E-2</v>
      </c>
      <c r="J13" s="76">
        <f>IFERROR(TR/(RadSpec!E13*IFCR_res_adj*CF_carrot),".")</f>
        <v>5.4254404719803334E-2</v>
      </c>
      <c r="K13" s="76">
        <f>IFERROR(TR/(RadSpec!E13*IFCI_res_adj*CF_citrus),".")</f>
        <v>4.6885793813022667E-3</v>
      </c>
      <c r="L13" s="76">
        <f>IFERROR(TR/(RadSpec!E13*IFCO_res_adj*CF_corn),".")</f>
        <v>2.5749364176100274E-2</v>
      </c>
      <c r="M13" s="76">
        <f>IFERROR(TR/(RadSpec!E13*IFCU_res_adj*CF_cucumber),".")</f>
        <v>1.9147549855011686E-2</v>
      </c>
      <c r="N13" s="76">
        <f>IFERROR(TR/(RadSpec!E13*IFLE_res_adj*CF_lettuce),".")</f>
        <v>4.4470135137981225E-2</v>
      </c>
      <c r="O13" s="76">
        <f>IFERROR(TR/(RadSpec!E13*IFLI_res_adj*CF_lima_bean),".")</f>
        <v>4.8214333928619645E-2</v>
      </c>
      <c r="P13" s="76">
        <f>IFERROR(TR/(RadSpec!E13*IFOK_res_adj*CF_okra),".")</f>
        <v>5.4220271719035922E-2</v>
      </c>
      <c r="Q13" s="76">
        <f>IFERROR(TR/(RadSpec!E13*IFON_res_adj*CF_onion),".")</f>
        <v>7.3222703396268143E-2</v>
      </c>
      <c r="R13" s="76">
        <f>IFERROR(TR/(RadSpec!E13*IFPC_res_adj*CF_peach),".")</f>
        <v>1.155889510426604E-2</v>
      </c>
      <c r="S13" s="76">
        <f>IFERROR(TR/(RadSpec!E13*IFPR_res_adj*CF_pear),".")</f>
        <v>2.3969718230401223E-2</v>
      </c>
      <c r="T13" s="76">
        <f>IFERROR(TR/(RadSpec!E13*IFPE_res_adj*CF_peas),".")</f>
        <v>3.8278091004844597E-2</v>
      </c>
      <c r="U13" s="76">
        <f>IFERROR(TR/(RadSpec!E13*IFPT_res_adj*CF_potato),".")</f>
        <v>1.2027509859382821E-2</v>
      </c>
      <c r="V13" s="76">
        <f>IFERROR(TR/(RadSpec!E13*IFPU_res_adj*CF_pumpkin),".")</f>
        <v>2.1996713092753344E-2</v>
      </c>
      <c r="W13" s="76">
        <f>IFERROR(TR/(RadSpec!E13*IFSN_res_adj*CF_snap_bean),".")</f>
        <v>2.7760709259915479E-2</v>
      </c>
      <c r="X13" s="76">
        <f>IFERROR(TR/(RadSpec!E13*IFST_res_adj*CF_strawberry),".")</f>
        <v>3.584242956847894E-2</v>
      </c>
      <c r="Y13" s="76">
        <f>IFERROR(TR/(RadSpec!E13*IFTO_res_adj*CF_tomato),".")</f>
        <v>1.9321403855488757E-2</v>
      </c>
      <c r="Z13" s="76">
        <f>IFERROR(TR/(RadSpec!E13*IFRI_res_adj*CF_rice),".")</f>
        <v>2.1061368987636265E-2</v>
      </c>
      <c r="AA13" s="76">
        <f>IFERROR(TR/(RadSpec!E13*IFCG_res_adj*CF_cereal),".")</f>
        <v>1.6307118618241741E-2</v>
      </c>
      <c r="AB13" s="76">
        <f t="shared" ref="AB13:AB14" si="13">IFERROR(1/SUM(1/AC13,1/AD13,1/AE13,1/AF13,1/AG13,1/AH13,1/AI13,1/AJ13,1/AK13,1/AL13,1/AM13,1/AN13,1/AO13,1/AP13,1/AQ13,1/AR13,1/AS13,1/AT13,1/AU13,1/AV13,1/AW13,1/AX13),".")</f>
        <v>6.1473967878488539E-4</v>
      </c>
      <c r="AC13" s="76">
        <f>IFERROR(TR/(RadSpec!E13*IFAP_far_adj*CF_apple),".")</f>
        <v>1.0207642058202961E-2</v>
      </c>
      <c r="AD13" s="76">
        <f>IFERROR(TR/(RadSpec!E13*IFAS_far_adj*CF_asparagus),".")</f>
        <v>2.4480364123677777E-2</v>
      </c>
      <c r="AE13" s="76">
        <f>IFERROR(TR/(RadSpec!E13*IFBT_far_adj*CF_beet),".")</f>
        <v>2.9313987039934562E-2</v>
      </c>
      <c r="AF13" s="76">
        <f>IFERROR(TR/(RadSpec!E13*IFBE_far_adj*CF_berries),".")</f>
        <v>2.5592612293216809E-2</v>
      </c>
      <c r="AG13" s="76">
        <f>IFERROR(TR/(RadSpec!E13*IFBR_far_adj*CF_broccoli),".")</f>
        <v>2.6794068676327568E-2</v>
      </c>
      <c r="AH13" s="76">
        <f>IFERROR(TR/(RadSpec!E13*IFCB_far_adj*CF_cabbage),".")</f>
        <v>1.1557345031166368E-2</v>
      </c>
      <c r="AI13" s="76">
        <f>IFERROR(TR/(RadSpec!E13*IFCR_far_adj*CF_carrot),".")</f>
        <v>3.7907685021951881E-2</v>
      </c>
      <c r="AJ13" s="76">
        <f>IFERROR(TR/(RadSpec!E13*IFCI_far_adj*CF_citrus),".")</f>
        <v>2.9499613861854396E-3</v>
      </c>
      <c r="AK13" s="76">
        <f>IFERROR(TR/(RadSpec!E13*IFCO_far_adj*CF_corn),".")</f>
        <v>1.1551923047705597E-2</v>
      </c>
      <c r="AL13" s="76">
        <f>IFERROR(TR/(RadSpec!E13*IFCU_far_adj*CF_cucumber),".")</f>
        <v>1.7516894694595043E-2</v>
      </c>
      <c r="AM13" s="76">
        <f>IFERROR(TR/(RadSpec!E13*IFLE_far_adj*CF_lettuce),".")</f>
        <v>2.6513804613877128E-2</v>
      </c>
      <c r="AN13" s="76">
        <f>IFERROR(TR/(RadSpec!E13*IFLI_far_adj*CF_lima_bean),".")</f>
        <v>2.9013001817003069E-2</v>
      </c>
      <c r="AO13" s="76">
        <f>IFERROR(TR/(RadSpec!E13*IFOK_far_adj*CF_okra),".")</f>
        <v>3.2564943093673755E-2</v>
      </c>
      <c r="AP13" s="76">
        <f>IFERROR(TR/(RadSpec!E13*IFON_far_adj*CF_onion),".")</f>
        <v>3.5612860288184958E-2</v>
      </c>
      <c r="AQ13" s="76">
        <f>IFERROR(TR/(RadSpec!E13*IFPC_far_adj*CF_peach),".")</f>
        <v>8.4056492633773142E-3</v>
      </c>
      <c r="AR13" s="76">
        <f>IFERROR(TR/(RadSpec!E13*IFPR_far_adj*CF_pear),".")</f>
        <v>1.380033977540554E-2</v>
      </c>
      <c r="AS13" s="76">
        <f>IFERROR(TR/(RadSpec!E13*IFPE_far_adj*CF_peas),".")</f>
        <v>2.7578599007170433E-2</v>
      </c>
      <c r="AT13" s="76">
        <f>IFERROR(TR/(RadSpec!E13*IFPT_far_adj*CF_potato),".")</f>
        <v>6.674394725839891E-3</v>
      </c>
      <c r="AU13" s="76">
        <f>IFERROR(TR/(RadSpec!E13*IFPU_far_adj*CF_pumpkin),".")</f>
        <v>1.3931962802684708E-2</v>
      </c>
      <c r="AV13" s="76">
        <f>IFERROR(TR/(RadSpec!E13*IFSN_far_adj*CF_snap_bean),".")</f>
        <v>1.7169662694971135E-2</v>
      </c>
      <c r="AW13" s="76">
        <f>IFERROR(TR/(RadSpec!E13*IFST_far_adj*CF_strawberry),".")</f>
        <v>2.254922079994966E-2</v>
      </c>
      <c r="AX13" s="76">
        <f>IFERROR(TR/(RadSpec!E13*IFTO_far_adj*CF_tomato),".")</f>
        <v>1.0102939088846798E-2</v>
      </c>
      <c r="AY13" s="76">
        <f>IFERROR(TR/(RadSpec!E13*IFRI_far_adj*CF_rice),".")</f>
        <v>1.0713297519722494E-2</v>
      </c>
      <c r="AZ13" s="76">
        <f>IFERROR(TR/(RadSpec!E13*IFCG_far_adj*CF_cereal),".")</f>
        <v>1.0137401858190627E-2</v>
      </c>
    </row>
    <row r="14" spans="1:52" x14ac:dyDescent="0.25">
      <c r="A14" s="92" t="s">
        <v>24</v>
      </c>
      <c r="B14" s="90" t="s">
        <v>1074</v>
      </c>
      <c r="C14" s="76">
        <f t="shared" si="12"/>
        <v>9.270841173490571E-3</v>
      </c>
      <c r="D14" s="76">
        <f>IFERROR(TR/(RadSpec!E14*IFAP_res_adj*CF_apple),".")</f>
        <v>0.16730873960892265</v>
      </c>
      <c r="E14" s="76">
        <f>IFERROR(TR/(RadSpec!E14*IFAS_res_adj*CF_asparagus),".")</f>
        <v>0.37190119834747937</v>
      </c>
      <c r="F14" s="76">
        <f>IFERROR(TR/(RadSpec!E14*IFBT_res_adj*CF_beet),".")</f>
        <v>0.45493474220435881</v>
      </c>
      <c r="G14" s="76">
        <f>IFERROR(TR/(RadSpec!E14*IFBE_res_adj*CF_berries),".")</f>
        <v>0.3747841533734288</v>
      </c>
      <c r="H14" s="76">
        <f>IFERROR(TR/(RadSpec!E14*IFBR_res_adj*CF_broccoli),".")</f>
        <v>0.44404568352649221</v>
      </c>
      <c r="I14" s="76">
        <f>IFERROR(TR/(RadSpec!E14*IFCB_res_adj*CF_cabbage),".")</f>
        <v>0.16655769296489054</v>
      </c>
      <c r="J14" s="76">
        <f>IFERROR(TR/(RadSpec!E14*IFCR_res_adj*CF_carrot),".")</f>
        <v>0.50218953129074173</v>
      </c>
      <c r="K14" s="76">
        <f>IFERROR(TR/(RadSpec!E14*IFCI_res_adj*CF_citrus),".")</f>
        <v>4.3398420719492056E-2</v>
      </c>
      <c r="L14" s="76">
        <f>IFERROR(TR/(RadSpec!E14*IFCO_res_adj*CF_corn),".")</f>
        <v>0.23834122212588682</v>
      </c>
      <c r="M14" s="76">
        <f>IFERROR(TR/(RadSpec!E14*IFCU_res_adj*CF_cucumber),".")</f>
        <v>0.17723351931911649</v>
      </c>
      <c r="N14" s="76">
        <f>IFERROR(TR/(RadSpec!E14*IFLE_res_adj*CF_lettuce),".")</f>
        <v>0.4116243913598262</v>
      </c>
      <c r="O14" s="76">
        <f>IFERROR(TR/(RadSpec!E14*IFLI_res_adj*CF_lima_bean),".")</f>
        <v>0.44628143801697528</v>
      </c>
      <c r="P14" s="76">
        <f>IFERROR(TR/(RadSpec!E14*IFOK_res_adj*CF_okra),".")</f>
        <v>0.50187358946545657</v>
      </c>
      <c r="Q14" s="76">
        <f>IFERROR(TR/(RadSpec!E14*IFON_res_adj*CF_onion),".")</f>
        <v>0.67776386614727546</v>
      </c>
      <c r="R14" s="76">
        <f>IFERROR(TR/(RadSpec!E14*IFPC_res_adj*CF_peach),".")</f>
        <v>0.1069914257584956</v>
      </c>
      <c r="S14" s="76">
        <f>IFERROR(TR/(RadSpec!E14*IFPR_res_adj*CF_pear),".")</f>
        <v>0.22186846626487089</v>
      </c>
      <c r="T14" s="76">
        <f>IFERROR(TR/(RadSpec!E14*IFPE_res_adj*CF_peas),".")</f>
        <v>0.3543096026894707</v>
      </c>
      <c r="U14" s="76">
        <f>IFERROR(TR/(RadSpec!E14*IFPT_res_adj*CF_potato),".")</f>
        <v>0.11132901688023771</v>
      </c>
      <c r="V14" s="76">
        <f>IFERROR(TR/(RadSpec!E14*IFPU_res_adj*CF_pumpkin),".")</f>
        <v>0.2036059393709401</v>
      </c>
      <c r="W14" s="76">
        <f>IFERROR(TR/(RadSpec!E14*IFSN_res_adj*CF_snap_bean),".")</f>
        <v>0.25695863116615986</v>
      </c>
      <c r="X14" s="76">
        <f>IFERROR(TR/(RadSpec!E14*IFST_res_adj*CF_strawberry),".")</f>
        <v>0.33176463732806954</v>
      </c>
      <c r="Y14" s="76">
        <f>IFERROR(TR/(RadSpec!E14*IFTO_res_adj*CF_tomato),".")</f>
        <v>0.17884274643097037</v>
      </c>
      <c r="Z14" s="76">
        <f>IFERROR(TR/(RadSpec!E14*IFRI_res_adj*CF_rice),".")</f>
        <v>0.19494820881117869</v>
      </c>
      <c r="AA14" s="76">
        <f>IFERROR(TR/(RadSpec!E14*IFCG_res_adj*CF_cereal),".")</f>
        <v>0.15094192440025414</v>
      </c>
      <c r="AB14" s="76">
        <f t="shared" si="13"/>
        <v>5.6901523986700149E-3</v>
      </c>
      <c r="AC14" s="76">
        <f>IFERROR(TR/(RadSpec!E14*IFAP_far_adj*CF_apple),".")</f>
        <v>9.448395954700263E-2</v>
      </c>
      <c r="AD14" s="76">
        <f>IFERROR(TR/(RadSpec!E14*IFAS_far_adj*CF_asparagus),".")</f>
        <v>0.2265951059381745</v>
      </c>
      <c r="AE14" s="76">
        <f>IFERROR(TR/(RadSpec!E14*IFBT_far_adj*CF_beet),".")</f>
        <v>0.27133607838617113</v>
      </c>
      <c r="AF14" s="76">
        <f>IFERROR(TR/(RadSpec!E14*IFBE_far_adj*CF_berries),".")</f>
        <v>0.23689029560663497</v>
      </c>
      <c r="AG14" s="76">
        <f>IFERROR(TR/(RadSpec!E14*IFBR_far_adj*CF_broccoli),".")</f>
        <v>0.24801121419410646</v>
      </c>
      <c r="AH14" s="76">
        <f>IFERROR(TR/(RadSpec!E14*IFCB_far_adj*CF_cabbage),".")</f>
        <v>0.10697707797443251</v>
      </c>
      <c r="AI14" s="76">
        <f>IFERROR(TR/(RadSpec!E14*IFCR_far_adj*CF_carrot),".")</f>
        <v>0.35088105144286047</v>
      </c>
      <c r="AJ14" s="76">
        <f>IFERROR(TR/(RadSpec!E14*IFCI_far_adj*CF_citrus),".")</f>
        <v>2.7305427706840434E-2</v>
      </c>
      <c r="AK14" s="76">
        <f>IFERROR(TR/(RadSpec!E14*IFCO_far_adj*CF_corn),".")</f>
        <v>0.10692689102008487</v>
      </c>
      <c r="AL14" s="76">
        <f>IFERROR(TR/(RadSpec!E14*IFCU_far_adj*CF_cucumber),".")</f>
        <v>0.16213985171856571</v>
      </c>
      <c r="AM14" s="76">
        <f>IFERROR(TR/(RadSpec!E14*IFLE_far_adj*CF_lettuce),".")</f>
        <v>0.24541703444249904</v>
      </c>
      <c r="AN14" s="76">
        <f>IFERROR(TR/(RadSpec!E14*IFLI_far_adj*CF_lima_bean),".")</f>
        <v>0.26855009946316893</v>
      </c>
      <c r="AO14" s="76">
        <f>IFERROR(TR/(RadSpec!E14*IFOK_far_adj*CF_okra),".")</f>
        <v>0.30142757243731083</v>
      </c>
      <c r="AP14" s="76">
        <f>IFERROR(TR/(RadSpec!E14*IFON_far_adj*CF_onion),".")</f>
        <v>0.32963969853526581</v>
      </c>
      <c r="AQ14" s="76">
        <f>IFERROR(TR/(RadSpec!E14*IFPC_far_adj*CF_peach),".")</f>
        <v>7.7804356818037962E-2</v>
      </c>
      <c r="AR14" s="76">
        <f>IFERROR(TR/(RadSpec!E14*IFPR_far_adj*CF_pear),".")</f>
        <v>0.12773868221862983</v>
      </c>
      <c r="AS14" s="76">
        <f>IFERROR(TR/(RadSpec!E14*IFPE_far_adj*CF_peas),".")</f>
        <v>0.25527298254570979</v>
      </c>
      <c r="AT14" s="76">
        <f>IFERROR(TR/(RadSpec!E14*IFPT_far_adj*CF_potato),".")</f>
        <v>6.1779521429261811E-2</v>
      </c>
      <c r="AU14" s="76">
        <f>IFERROR(TR/(RadSpec!E14*IFPU_far_adj*CF_pumpkin),".")</f>
        <v>0.12895701106617252</v>
      </c>
      <c r="AV14" s="76">
        <f>IFERROR(TR/(RadSpec!E14*IFSN_far_adj*CF_snap_bean),".")</f>
        <v>0.15892580345758406</v>
      </c>
      <c r="AW14" s="76">
        <f>IFERROR(TR/(RadSpec!E14*IFST_far_adj*CF_strawberry),".")</f>
        <v>0.20872006029705473</v>
      </c>
      <c r="AX14" s="76">
        <f>IFERROR(TR/(RadSpec!E14*IFTO_far_adj*CF_tomato),".")</f>
        <v>9.3514808095110855E-2</v>
      </c>
      <c r="AY14" s="76">
        <f>IFERROR(TR/(RadSpec!E14*IFRI_far_adj*CF_rice),".")</f>
        <v>9.9164406794125581E-2</v>
      </c>
      <c r="AZ14" s="76">
        <f>IFERROR(TR/(RadSpec!E14*IFCG_far_adj*CF_cereal),".")</f>
        <v>9.3833802323747953E-2</v>
      </c>
    </row>
    <row r="15" spans="1:52" x14ac:dyDescent="0.25">
      <c r="A15" s="92" t="s">
        <v>25</v>
      </c>
      <c r="B15" s="90" t="s">
        <v>1074</v>
      </c>
      <c r="C15" s="76">
        <f t="shared" ref="C15:C17" si="14">IFERROR(1/SUM(1/D15,1/E15,1/F15,1/G15,1/H15,1/I15,1/J15,1/K15,1/L15,1/M15,1/N15,1/O15,1/P15,1/Q15,1/R15,1/S15,1/T15,1/U15,1/V15,1/W15,1/X15,1/Y15),".")</f>
        <v>0.23816810658011864</v>
      </c>
      <c r="D15" s="76">
        <f>IFERROR(TR/(RadSpec!E15*IFAP_res_adj*CF_apple),".")</f>
        <v>4.2981650727557623</v>
      </c>
      <c r="E15" s="76">
        <f>IFERROR(TR/(RadSpec!E15*IFAS_res_adj*CF_asparagus),".")</f>
        <v>9.5541496815382168</v>
      </c>
      <c r="F15" s="76">
        <f>IFERROR(TR/(RadSpec!E15*IFBT_res_adj*CF_beet),".")</f>
        <v>11.687283186141702</v>
      </c>
      <c r="G15" s="76">
        <f>IFERROR(TR/(RadSpec!E15*IFBE_res_adj*CF_berries),".")</f>
        <v>9.6282128573640939</v>
      </c>
      <c r="H15" s="76">
        <f>IFERROR(TR/(RadSpec!E15*IFBR_res_adj*CF_broccoli),".")</f>
        <v>11.407543037517103</v>
      </c>
      <c r="I15" s="76">
        <f>IFERROR(TR/(RadSpec!E15*IFCB_res_adj*CF_cabbage),".")</f>
        <v>4.2788706685247879</v>
      </c>
      <c r="J15" s="76">
        <f>IFERROR(TR/(RadSpec!E15*IFCR_res_adj*CF_carrot),".")</f>
        <v>12.90125972105727</v>
      </c>
      <c r="K15" s="76">
        <f>IFERROR(TR/(RadSpec!E15*IFCI_res_adj*CF_citrus),".")</f>
        <v>1.1149063496939573</v>
      </c>
      <c r="L15" s="76">
        <f>IFERROR(TR/(RadSpec!E15*IFCO_res_adj*CF_corn),".")</f>
        <v>6.1229910567372201</v>
      </c>
      <c r="M15" s="76">
        <f>IFERROR(TR/(RadSpec!E15*IFCU_res_adj*CF_cucumber),".")</f>
        <v>4.553132874227833</v>
      </c>
      <c r="N15" s="76">
        <f>IFERROR(TR/(RadSpec!E15*IFLE_res_adj*CF_lettuce),".")</f>
        <v>10.574639353405301</v>
      </c>
      <c r="O15" s="76">
        <f>IFERROR(TR/(RadSpec!E15*IFLI_res_adj*CF_lima_bean),".")</f>
        <v>11.464979617845861</v>
      </c>
      <c r="P15" s="76">
        <f>IFERROR(TR/(RadSpec!E15*IFOK_res_adj*CF_okra),".")</f>
        <v>12.893143168857799</v>
      </c>
      <c r="Q15" s="76">
        <f>IFERROR(TR/(RadSpec!E15*IFON_res_adj*CF_onion),".")</f>
        <v>17.411768111214506</v>
      </c>
      <c r="R15" s="76">
        <f>IFERROR(TR/(RadSpec!E15*IFPC_res_adj*CF_peach),".")</f>
        <v>2.7486119993159166</v>
      </c>
      <c r="S15" s="76">
        <f>IFERROR(TR/(RadSpec!E15*IFPR_res_adj*CF_pear),".")</f>
        <v>5.6998056089276803</v>
      </c>
      <c r="T15" s="76">
        <f>IFERROR(TR/(RadSpec!E15*IFPE_res_adj*CF_peas),".")</f>
        <v>9.102221215589374</v>
      </c>
      <c r="U15" s="76">
        <f>IFERROR(TR/(RadSpec!E15*IFPT_res_adj*CF_potato),".")</f>
        <v>2.8600448073267009</v>
      </c>
      <c r="V15" s="76">
        <f>IFERROR(TR/(RadSpec!E15*IFPU_res_adj*CF_pumpkin),".")</f>
        <v>5.230640905283173</v>
      </c>
      <c r="W15" s="76">
        <f>IFERROR(TR/(RadSpec!E15*IFSN_res_adj*CF_snap_bean),".")</f>
        <v>6.6012726902559109</v>
      </c>
      <c r="X15" s="76">
        <f>IFERROR(TR/(RadSpec!E15*IFST_res_adj*CF_strawberry),".")</f>
        <v>8.523040576793294</v>
      </c>
      <c r="Y15" s="76">
        <f>IFERROR(TR/(RadSpec!E15*IFTO_res_adj*CF_tomato),".")</f>
        <v>4.5944739528975393</v>
      </c>
      <c r="Z15" s="76">
        <f>IFERROR(TR/(RadSpec!E15*IFRI_res_adj*CF_rice),".")</f>
        <v>5.0082236233869679</v>
      </c>
      <c r="AA15" s="76">
        <f>IFERROR(TR/(RadSpec!E15*IFCG_res_adj*CF_cereal),".")</f>
        <v>3.8777012425542998</v>
      </c>
      <c r="AB15" s="76">
        <f t="shared" ref="AB15:AB17" si="15">IFERROR(1/SUM(1/AC15,1/AD15,1/AE15,1/AF15,1/AG15,1/AH15,1/AI15,1/AJ15,1/AK15,1/AL15,1/AM15,1/AN15,1/AO15,1/AP15,1/AQ15,1/AR15,1/AS15,1/AT15,1/AU15,1/AV15,1/AW15,1/AX15),".")</f>
        <v>0.14618013593186235</v>
      </c>
      <c r="AC15" s="76">
        <f>IFERROR(TR/(RadSpec!E15*IFAP_far_adj*CF_apple),".")</f>
        <v>2.4272949267913626</v>
      </c>
      <c r="AD15" s="76">
        <f>IFERROR(TR/(RadSpec!E15*IFAS_far_adj*CF_asparagus),".")</f>
        <v>5.821233082488134</v>
      </c>
      <c r="AE15" s="76">
        <f>IFERROR(TR/(RadSpec!E15*IFBT_far_adj*CF_beet),".")</f>
        <v>6.9706296145916573</v>
      </c>
      <c r="AF15" s="76">
        <f>IFERROR(TR/(RadSpec!E15*IFBE_far_adj*CF_berries),".")</f>
        <v>6.0857167236524043</v>
      </c>
      <c r="AG15" s="76">
        <f>IFERROR(TR/(RadSpec!E15*IFBR_far_adj*CF_broccoli),".")</f>
        <v>6.3714133582774686</v>
      </c>
      <c r="AH15" s="76">
        <f>IFERROR(TR/(RadSpec!E15*IFCB_far_adj*CF_cabbage),".")</f>
        <v>2.7482434044387118</v>
      </c>
      <c r="AI15" s="76">
        <f>IFERROR(TR/(RadSpec!E15*IFCR_far_adj*CF_carrot),".")</f>
        <v>9.0141416612709371</v>
      </c>
      <c r="AJ15" s="76">
        <f>IFERROR(TR/(RadSpec!E15*IFCI_far_adj*CF_citrus),".")</f>
        <v>0.70147701752180314</v>
      </c>
      <c r="AK15" s="76">
        <f>IFERROR(TR/(RadSpec!E15*IFCO_far_adj*CF_corn),".")</f>
        <v>2.7469541005159805</v>
      </c>
      <c r="AL15" s="76">
        <f>IFERROR(TR/(RadSpec!E15*IFCU_far_adj*CF_cucumber),".")</f>
        <v>4.1653762331096491</v>
      </c>
      <c r="AM15" s="76">
        <f>IFERROR(TR/(RadSpec!E15*IFLE_far_adj*CF_lettuce),".")</f>
        <v>6.3047688253805481</v>
      </c>
      <c r="AN15" s="76">
        <f>IFERROR(TR/(RadSpec!E15*IFLI_far_adj*CF_lima_bean),".")</f>
        <v>6.8990577569094356</v>
      </c>
      <c r="AO15" s="76">
        <f>IFERROR(TR/(RadSpec!E15*IFOK_far_adj*CF_okra),".")</f>
        <v>7.7436807356506598</v>
      </c>
      <c r="AP15" s="76">
        <f>IFERROR(TR/(RadSpec!E15*IFON_far_adj*CF_onion),".")</f>
        <v>8.4684508540906922</v>
      </c>
      <c r="AQ15" s="76">
        <f>IFERROR(TR/(RadSpec!E15*IFPC_far_adj*CF_peach),".")</f>
        <v>1.9987955785525675</v>
      </c>
      <c r="AR15" s="76">
        <f>IFERROR(TR/(RadSpec!E15*IFPR_far_adj*CF_pear),".")</f>
        <v>3.2816094582705322</v>
      </c>
      <c r="AS15" s="76">
        <f>IFERROR(TR/(RadSpec!E15*IFPE_far_adj*CF_peas),".")</f>
        <v>6.5579683414078325</v>
      </c>
      <c r="AT15" s="76">
        <f>IFERROR(TR/(RadSpec!E15*IFPT_far_adj*CF_potato),".")</f>
        <v>1.5871172171848575</v>
      </c>
      <c r="AU15" s="76">
        <f>IFERROR(TR/(RadSpec!E15*IFPU_far_adj*CF_pumpkin),".")</f>
        <v>3.3129083522307585</v>
      </c>
      <c r="AV15" s="76">
        <f>IFERROR(TR/(RadSpec!E15*IFSN_far_adj*CF_snap_bean),".")</f>
        <v>4.0828072650462151</v>
      </c>
      <c r="AW15" s="76">
        <f>IFERROR(TR/(RadSpec!E15*IFST_far_adj*CF_strawberry),".")</f>
        <v>5.3620227804551215</v>
      </c>
      <c r="AX15" s="76">
        <f>IFERROR(TR/(RadSpec!E15*IFTO_far_adj*CF_tomato),".")</f>
        <v>2.4023974054157988</v>
      </c>
      <c r="AY15" s="76">
        <f>IFERROR(TR/(RadSpec!E15*IFRI_far_adj*CF_rice),".")</f>
        <v>2.5475357159425043</v>
      </c>
      <c r="AZ15" s="76">
        <f>IFERROR(TR/(RadSpec!E15*IFCG_far_adj*CF_cereal),".")</f>
        <v>2.4105923739221873</v>
      </c>
    </row>
    <row r="16" spans="1:52" x14ac:dyDescent="0.25">
      <c r="A16" s="92" t="s">
        <v>26</v>
      </c>
      <c r="B16" s="90" t="s">
        <v>1074</v>
      </c>
      <c r="C16" s="76">
        <f t="shared" si="14"/>
        <v>7.0551684402035163E-5</v>
      </c>
      <c r="D16" s="76">
        <f>IFERROR(TR/(RadSpec!E16*IFAP_res_adj*CF_apple),".")</f>
        <v>1.2732300309861407E-3</v>
      </c>
      <c r="E16" s="76">
        <f>IFERROR(TR/(RadSpec!E16*IFAS_res_adj*CF_asparagus),".")</f>
        <v>2.8301915094367919E-3</v>
      </c>
      <c r="F16" s="76">
        <f>IFERROR(TR/(RadSpec!E16*IFBT_res_adj*CF_beet),".")</f>
        <v>3.4620820004231073E-3</v>
      </c>
      <c r="G16" s="76">
        <f>IFERROR(TR/(RadSpec!E16*IFBE_res_adj*CF_berries),".")</f>
        <v>2.8521309785021938E-3</v>
      </c>
      <c r="H16" s="76">
        <f>IFERROR(TR/(RadSpec!E16*IFBR_res_adj*CF_broccoli),".")</f>
        <v>3.3792155790380849E-3</v>
      </c>
      <c r="I16" s="76">
        <f>IFERROR(TR/(RadSpec!E16*IFCB_res_adj*CF_cabbage),".")</f>
        <v>1.2675145187894185E-3</v>
      </c>
      <c r="J16" s="76">
        <f>IFERROR(TR/(RadSpec!E16*IFCR_res_adj*CF_carrot),".")</f>
        <v>3.8216939173697949E-3</v>
      </c>
      <c r="K16" s="76">
        <f>IFERROR(TR/(RadSpec!E16*IFCI_res_adj*CF_citrus),".")</f>
        <v>3.3026471113575709E-4</v>
      </c>
      <c r="L16" s="76">
        <f>IFERROR(TR/(RadSpec!E16*IFCO_res_adj*CF_corn),".")</f>
        <v>1.8137916903919688E-3</v>
      </c>
      <c r="M16" s="76">
        <f>IFERROR(TR/(RadSpec!E16*IFCU_res_adj*CF_cucumber),".")</f>
        <v>1.3487582287806973E-3</v>
      </c>
      <c r="N16" s="76">
        <f>IFERROR(TR/(RadSpec!E16*IFLE_res_adj*CF_lettuce),".")</f>
        <v>3.132487506574778E-3</v>
      </c>
      <c r="O16" s="76">
        <f>IFERROR(TR/(RadSpec!E16*IFLI_res_adj*CF_lima_bean),".")</f>
        <v>3.3962298113241508E-3</v>
      </c>
      <c r="P16" s="76">
        <f>IFERROR(TR/(RadSpec!E16*IFOK_res_adj*CF_okra),".")</f>
        <v>3.8192895802088194E-3</v>
      </c>
      <c r="Q16" s="76">
        <f>IFERROR(TR/(RadSpec!E16*IFON_res_adj*CF_onion),".")</f>
        <v>5.1578256480390135E-3</v>
      </c>
      <c r="R16" s="76">
        <f>IFERROR(TR/(RadSpec!E16*IFPC_res_adj*CF_peach),".")</f>
        <v>8.1421147904263945E-4</v>
      </c>
      <c r="S16" s="76">
        <f>IFERROR(TR/(RadSpec!E16*IFPR_res_adj*CF_pear),".")</f>
        <v>1.6884329822672562E-3</v>
      </c>
      <c r="T16" s="76">
        <f>IFERROR(TR/(RadSpec!E16*IFPE_res_adj*CF_peas),".")</f>
        <v>2.6963183600896821E-3</v>
      </c>
      <c r="U16" s="76">
        <f>IFERROR(TR/(RadSpec!E16*IFPT_res_adj*CF_potato),".")</f>
        <v>8.4722082028356978E-4</v>
      </c>
      <c r="V16" s="76">
        <f>IFERROR(TR/(RadSpec!E16*IFPU_res_adj*CF_pumpkin),".")</f>
        <v>1.5494540040178455E-3</v>
      </c>
      <c r="W16" s="76">
        <f>IFERROR(TR/(RadSpec!E16*IFSN_res_adj*CF_snap_bean),".")</f>
        <v>1.9554713440946754E-3</v>
      </c>
      <c r="X16" s="76">
        <f>IFERROR(TR/(RadSpec!E16*IFST_res_adj*CF_strawberry),".")</f>
        <v>2.5247497557670698E-3</v>
      </c>
      <c r="Y16" s="76">
        <f>IFERROR(TR/(RadSpec!E16*IFTO_res_adj*CF_tomato),".")</f>
        <v>1.3610045483111578E-3</v>
      </c>
      <c r="Z16" s="76">
        <f>IFERROR(TR/(RadSpec!E16*IFRI_res_adj*CF_rice),".")</f>
        <v>1.4835681299467057E-3</v>
      </c>
      <c r="AA16" s="76">
        <f>IFERROR(TR/(RadSpec!E16*IFCG_res_adj*CF_cereal),".")</f>
        <v>1.1486775378887265E-3</v>
      </c>
      <c r="AB16" s="76">
        <f t="shared" si="15"/>
        <v>4.3302417625098843E-5</v>
      </c>
      <c r="AC16" s="76">
        <f>IFERROR(TR/(RadSpec!E16*IFAP_far_adj*CF_apple),".")</f>
        <v>7.1902887454008285E-4</v>
      </c>
      <c r="AD16" s="76">
        <f>IFERROR(TR/(RadSpec!E16*IFAS_far_adj*CF_asparagus),".")</f>
        <v>1.724403007454032E-3</v>
      </c>
      <c r="AE16" s="76">
        <f>IFERROR(TR/(RadSpec!E16*IFBT_far_adj*CF_beet),".")</f>
        <v>2.064884621680925E-3</v>
      </c>
      <c r="AF16" s="76">
        <f>IFERROR(TR/(RadSpec!E16*IFBE_far_adj*CF_berries),".")</f>
        <v>1.8027500483272217E-3</v>
      </c>
      <c r="AG16" s="76">
        <f>IFERROR(TR/(RadSpec!E16*IFBR_far_adj*CF_broccoli),".")</f>
        <v>1.8873809382067216E-3</v>
      </c>
      <c r="AH16" s="76">
        <f>IFERROR(TR/(RadSpec!E16*IFCB_far_adj*CF_cabbage),".")</f>
        <v>8.1410229150354291E-4</v>
      </c>
      <c r="AI16" s="76">
        <f>IFERROR(TR/(RadSpec!E16*IFCR_far_adj*CF_carrot),".")</f>
        <v>2.6702268694708247E-3</v>
      </c>
      <c r="AJ16" s="76">
        <f>IFERROR(TR/(RadSpec!E16*IFCI_far_adj*CF_citrus),".")</f>
        <v>2.0779602217155295E-4</v>
      </c>
      <c r="AK16" s="76">
        <f>IFERROR(TR/(RadSpec!E16*IFCO_far_adj*CF_corn),".")</f>
        <v>8.1372036562454527E-4</v>
      </c>
      <c r="AL16" s="76">
        <f>IFERROR(TR/(RadSpec!E16*IFCU_far_adj*CF_cucumber),".")</f>
        <v>1.2338944690532356E-3</v>
      </c>
      <c r="AM16" s="76">
        <f>IFERROR(TR/(RadSpec!E16*IFLE_far_adj*CF_lettuce),".")</f>
        <v>1.8676390671410305E-3</v>
      </c>
      <c r="AN16" s="76">
        <f>IFERROR(TR/(RadSpec!E16*IFLI_far_adj*CF_lima_bean),".")</f>
        <v>2.0436831468580779E-3</v>
      </c>
      <c r="AO16" s="76">
        <f>IFERROR(TR/(RadSpec!E16*IFOK_far_adj*CF_okra),".")</f>
        <v>2.2938827839568935E-3</v>
      </c>
      <c r="AP16" s="76">
        <f>IFERROR(TR/(RadSpec!E16*IFON_far_adj*CF_onion),".")</f>
        <v>2.5085788379098839E-3</v>
      </c>
      <c r="AQ16" s="76">
        <f>IFERROR(TR/(RadSpec!E16*IFPC_far_adj*CF_peach),".")</f>
        <v>5.920960487410435E-4</v>
      </c>
      <c r="AR16" s="76">
        <f>IFERROR(TR/(RadSpec!E16*IFPR_far_adj*CF_pear),".")</f>
        <v>9.7209940556315752E-4</v>
      </c>
      <c r="AS16" s="76">
        <f>IFERROR(TR/(RadSpec!E16*IFPE_far_adj*CF_peas),".")</f>
        <v>1.9426434520774141E-3</v>
      </c>
      <c r="AT16" s="76">
        <f>IFERROR(TR/(RadSpec!E16*IFPT_far_adj*CF_potato),".")</f>
        <v>4.7014604358117476E-4</v>
      </c>
      <c r="AU16" s="76">
        <f>IFERROR(TR/(RadSpec!E16*IFPU_far_adj*CF_pumpkin),".")</f>
        <v>9.8137096471741345E-4</v>
      </c>
      <c r="AV16" s="76">
        <f>IFERROR(TR/(RadSpec!E16*IFSN_far_adj*CF_snap_bean),".")</f>
        <v>1.2094353596457652E-3</v>
      </c>
      <c r="AW16" s="76">
        <f>IFERROR(TR/(RadSpec!E16*IFST_far_adj*CF_strawberry),".")</f>
        <v>1.5883727859084039E-3</v>
      </c>
      <c r="AX16" s="76">
        <f>IFERROR(TR/(RadSpec!E16*IFTO_far_adj*CF_tomato),".")</f>
        <v>7.1165357103826498E-4</v>
      </c>
      <c r="AY16" s="76">
        <f>IFERROR(TR/(RadSpec!E16*IFRI_far_adj*CF_rice),".")</f>
        <v>7.5464737245843985E-4</v>
      </c>
      <c r="AZ16" s="76">
        <f>IFERROR(TR/(RadSpec!E16*IFCG_far_adj*CF_cereal),".")</f>
        <v>7.1408113718072336E-4</v>
      </c>
    </row>
    <row r="17" spans="1:52" x14ac:dyDescent="0.25">
      <c r="A17" s="92" t="s">
        <v>27</v>
      </c>
      <c r="B17" s="90" t="s">
        <v>1074</v>
      </c>
      <c r="C17" s="76">
        <f t="shared" si="14"/>
        <v>0.17126286747974945</v>
      </c>
      <c r="D17" s="76">
        <f>IFERROR(TR/(RadSpec!E17*IFAP_res_adj*CF_apple),".")</f>
        <v>3.0907416019358225</v>
      </c>
      <c r="E17" s="76">
        <f>IFERROR(TR/(RadSpec!E17*IFAS_res_adj*CF_asparagus),".")</f>
        <v>6.8702358778694643</v>
      </c>
      <c r="F17" s="76">
        <f>IFERROR(TR/(RadSpec!E17*IFBT_res_adj*CF_beet),".")</f>
        <v>8.4041379857599097</v>
      </c>
      <c r="G17" s="76">
        <f>IFERROR(TR/(RadSpec!E17*IFBE_res_adj*CF_berries),".")</f>
        <v>6.9234935203335688</v>
      </c>
      <c r="H17" s="76">
        <f>IFERROR(TR/(RadSpec!E17*IFBR_res_adj*CF_broccoli),".")</f>
        <v>8.202981329268022</v>
      </c>
      <c r="I17" s="76">
        <f>IFERROR(TR/(RadSpec!E17*IFCB_res_adj*CF_cabbage),".")</f>
        <v>3.0768673051529389</v>
      </c>
      <c r="J17" s="76">
        <f>IFERROR(TR/(RadSpec!E17*IFCR_res_adj*CF_carrot),".")</f>
        <v>9.2770890513251505</v>
      </c>
      <c r="K17" s="76">
        <f>IFERROR(TR/(RadSpec!E17*IFCI_res_adj*CF_citrus),".")</f>
        <v>0.80171128352038745</v>
      </c>
      <c r="L17" s="76">
        <f>IFERROR(TR/(RadSpec!E17*IFCO_res_adj*CF_corn),".")</f>
        <v>4.4029447140812676</v>
      </c>
      <c r="M17" s="76">
        <f>IFERROR(TR/(RadSpec!E17*IFCU_res_adj*CF_cucumber),".")</f>
        <v>3.2740848607042881</v>
      </c>
      <c r="N17" s="76">
        <f>IFERROR(TR/(RadSpec!E17*IFLE_res_adj*CF_lettuce),".")</f>
        <v>7.6040536419143452</v>
      </c>
      <c r="O17" s="76">
        <f>IFERROR(TR/(RadSpec!E17*IFLI_res_adj*CF_lima_bean),".")</f>
        <v>8.2442830534433575</v>
      </c>
      <c r="P17" s="76">
        <f>IFERROR(TR/(RadSpec!E17*IFOK_res_adj*CF_okra),".")</f>
        <v>9.27125256875118</v>
      </c>
      <c r="Q17" s="76">
        <f>IFERROR(TR/(RadSpec!E17*IFON_res_adj*CF_onion),".")</f>
        <v>12.520523328827529</v>
      </c>
      <c r="R17" s="76">
        <f>IFERROR(TR/(RadSpec!E17*IFPC_res_adj*CF_peach),".")</f>
        <v>1.9764828269890025</v>
      </c>
      <c r="S17" s="76">
        <f>IFERROR(TR/(RadSpec!E17*IFPR_res_adj*CF_pear),".")</f>
        <v>4.0986388424502858</v>
      </c>
      <c r="T17" s="76">
        <f>IFERROR(TR/(RadSpec!E17*IFPE_res_adj*CF_peas),".")</f>
        <v>6.5452613626604501</v>
      </c>
      <c r="U17" s="76">
        <f>IFERROR(TR/(RadSpec!E17*IFPT_res_adj*CF_potato),".")</f>
        <v>2.0566123729021006</v>
      </c>
      <c r="V17" s="76">
        <f>IFERROR(TR/(RadSpec!E17*IFPU_res_adj*CF_pumpkin),".")</f>
        <v>3.7612700250204192</v>
      </c>
      <c r="W17" s="76">
        <f>IFERROR(TR/(RadSpec!E17*IFSN_res_adj*CF_snap_bean),".")</f>
        <v>4.7468693696344024</v>
      </c>
      <c r="X17" s="76">
        <f>IFERROR(TR/(RadSpec!E17*IFST_res_adj*CF_strawberry),".")</f>
        <v>6.1287818498773143</v>
      </c>
      <c r="Y17" s="76">
        <f>IFERROR(TR/(RadSpec!E17*IFTO_res_adj*CF_tomato),".")</f>
        <v>3.3038125676560925</v>
      </c>
      <c r="Z17" s="76">
        <f>IFERROR(TR/(RadSpec!E17*IFRI_res_adj*CF_rice),".")</f>
        <v>3.6013333230767355</v>
      </c>
      <c r="AA17" s="76">
        <f>IFERROR(TR/(RadSpec!E17*IFCG_res_adj*CF_cereal),".")</f>
        <v>2.7883928018978246</v>
      </c>
      <c r="AB17" s="76">
        <f t="shared" si="15"/>
        <v>0.10511579240291168</v>
      </c>
      <c r="AC17" s="76">
        <f>IFERROR(TR/(RadSpec!E17*IFAP_far_adj*CF_apple),".")</f>
        <v>1.7454288710209644</v>
      </c>
      <c r="AD17" s="76">
        <f>IFERROR(TR/(RadSpec!E17*IFAS_far_adj*CF_asparagus),".")</f>
        <v>4.1859553921403219</v>
      </c>
      <c r="AE17" s="76">
        <f>IFERROR(TR/(RadSpec!E17*IFBT_far_adj*CF_beet),".")</f>
        <v>5.0124680129353747</v>
      </c>
      <c r="AF17" s="76">
        <f>IFERROR(TR/(RadSpec!E17*IFBE_far_adj*CF_berries),".")</f>
        <v>4.3761413386874546</v>
      </c>
      <c r="AG17" s="76">
        <f>IFERROR(TR/(RadSpec!E17*IFBR_far_adj*CF_broccoli),".")</f>
        <v>4.5815812087766217</v>
      </c>
      <c r="AH17" s="76">
        <f>IFERROR(TR/(RadSpec!E17*IFCB_far_adj*CF_cabbage),".")</f>
        <v>1.9762177763215774</v>
      </c>
      <c r="AI17" s="76">
        <f>IFERROR(TR/(RadSpec!E17*IFCR_far_adj*CF_carrot),".")</f>
        <v>6.4819247671123827</v>
      </c>
      <c r="AJ17" s="76">
        <f>IFERROR(TR/(RadSpec!E17*IFCI_far_adj*CF_citrus),".")</f>
        <v>0.50442087824850257</v>
      </c>
      <c r="AK17" s="76">
        <f>IFERROR(TR/(RadSpec!E17*IFCO_far_adj*CF_corn),".")</f>
        <v>1.9752906585389722</v>
      </c>
      <c r="AL17" s="76">
        <f>IFERROR(TR/(RadSpec!E17*IFCU_far_adj*CF_cucumber),".")</f>
        <v>2.9952552760223581</v>
      </c>
      <c r="AM17" s="76">
        <f>IFERROR(TR/(RadSpec!E17*IFLE_far_adj*CF_lettuce),".")</f>
        <v>4.5336581935179208</v>
      </c>
      <c r="AN17" s="76">
        <f>IFERROR(TR/(RadSpec!E17*IFLI_far_adj*CF_lima_bean),".")</f>
        <v>4.961001837411211</v>
      </c>
      <c r="AO17" s="76">
        <f>IFERROR(TR/(RadSpec!E17*IFOK_far_adj*CF_okra),".")</f>
        <v>5.5683566816663532</v>
      </c>
      <c r="AP17" s="76">
        <f>IFERROR(TR/(RadSpec!E17*IFON_far_adj*CF_onion),".")</f>
        <v>6.0895272553842981</v>
      </c>
      <c r="AQ17" s="76">
        <f>IFERROR(TR/(RadSpec!E17*IFPC_far_adj*CF_peach),".")</f>
        <v>1.4373018587759681</v>
      </c>
      <c r="AR17" s="76">
        <f>IFERROR(TR/(RadSpec!E17*IFPR_far_adj*CF_pear),".")</f>
        <v>2.3597527554891915</v>
      </c>
      <c r="AS17" s="76">
        <f>IFERROR(TR/(RadSpec!E17*IFPE_far_adj*CF_peas),".")</f>
        <v>4.7157299065696012</v>
      </c>
      <c r="AT17" s="76">
        <f>IFERROR(TR/(RadSpec!E17*IFPT_far_adj*CF_potato),".")</f>
        <v>1.1412705485405614</v>
      </c>
      <c r="AU17" s="76">
        <f>IFERROR(TR/(RadSpec!E17*IFPU_far_adj*CF_pumpkin),".")</f>
        <v>2.3822592883979956</v>
      </c>
      <c r="AV17" s="76">
        <f>IFERROR(TR/(RadSpec!E17*IFSN_far_adj*CF_snap_bean),".")</f>
        <v>2.935881254712621</v>
      </c>
      <c r="AW17" s="76">
        <f>IFERROR(TR/(RadSpec!E17*IFST_far_adj*CF_strawberry),".")</f>
        <v>3.8557446253349035</v>
      </c>
      <c r="AX17" s="76">
        <f>IFERROR(TR/(RadSpec!E17*IFTO_far_adj*CF_tomato),".")</f>
        <v>1.7275254625203682</v>
      </c>
      <c r="AY17" s="76">
        <f>IFERROR(TR/(RadSpec!E17*IFRI_far_adj*CF_rice),".")</f>
        <v>1.8318920949754494</v>
      </c>
      <c r="AZ17" s="76">
        <f>IFERROR(TR/(RadSpec!E17*IFCG_far_adj*CF_cereal),".")</f>
        <v>1.7334183330035877</v>
      </c>
    </row>
    <row r="18" spans="1:52" x14ac:dyDescent="0.25">
      <c r="A18" s="92" t="s">
        <v>28</v>
      </c>
      <c r="B18" s="90" t="s">
        <v>1074</v>
      </c>
      <c r="C18" s="76">
        <f t="shared" ref="C18:C21" si="16">IFERROR(1/SUM(1/D18,1/E18,1/F18,1/G18,1/H18,1/I18,1/J18,1/K18,1/L18,1/M18,1/N18,1/O18,1/P18,1/Q18,1/R18,1/S18,1/T18,1/U18,1/V18,1/W18,1/X18,1/Y18),".")</f>
        <v>3.6839795796136586E-5</v>
      </c>
      <c r="D18" s="76">
        <f>IFERROR(TR/(RadSpec!E18*IFAP_res_adj*CF_apple),".")</f>
        <v>6.6483932652478287E-4</v>
      </c>
      <c r="E18" s="76">
        <f>IFERROR(TR/(RadSpec!E18*IFAS_res_adj*CF_asparagus),".")</f>
        <v>1.4778339901492608E-3</v>
      </c>
      <c r="F18" s="76">
        <f>IFERROR(TR/(RadSpec!E18*IFBT_res_adj*CF_beet),".")</f>
        <v>1.8077866603194554E-3</v>
      </c>
      <c r="G18" s="76">
        <f>IFERROR(TR/(RadSpec!E18*IFBE_res_adj*CF_berries),".")</f>
        <v>1.4892900675922784E-3</v>
      </c>
      <c r="H18" s="76">
        <f>IFERROR(TR/(RadSpec!E18*IFBR_res_adj*CF_broccoli),".")</f>
        <v>1.7645165092514139E-3</v>
      </c>
      <c r="I18" s="76">
        <f>IFERROR(TR/(RadSpec!E18*IFCB_res_adj*CF_cabbage),".")</f>
        <v>6.6185487188018895E-4</v>
      </c>
      <c r="J18" s="76">
        <f>IFERROR(TR/(RadSpec!E18*IFCR_res_adj*CF_carrot),".")</f>
        <v>1.9955643115329965E-3</v>
      </c>
      <c r="K18" s="76">
        <f>IFERROR(TR/(RadSpec!E18*IFCI_res_adj*CF_citrus),".")</f>
        <v>1.7245349448468105E-4</v>
      </c>
      <c r="L18" s="76">
        <f>IFERROR(TR/(RadSpec!E18*IFCO_res_adj*CF_corn),".")</f>
        <v>9.4710305015541219E-4</v>
      </c>
      <c r="M18" s="76">
        <f>IFERROR(TR/(RadSpec!E18*IFCU_res_adj*CF_cucumber),".")</f>
        <v>7.0427769581652181E-4</v>
      </c>
      <c r="N18" s="76">
        <f>IFERROR(TR/(RadSpec!E18*IFLE_res_adj*CF_lettuce),".")</f>
        <v>1.635683131511953E-3</v>
      </c>
      <c r="O18" s="76">
        <f>IFERROR(TR/(RadSpec!E18*IFLI_res_adj*CF_lima_bean),".")</f>
        <v>1.7734007881791134E-3</v>
      </c>
      <c r="P18" s="76">
        <f>IFERROR(TR/(RadSpec!E18*IFOK_res_adj*CF_okra),".")</f>
        <v>1.9943088448381033E-3</v>
      </c>
      <c r="Q18" s="76">
        <f>IFERROR(TR/(RadSpec!E18*IFON_res_adj*CF_onion),".")</f>
        <v>2.6932488605523916E-3</v>
      </c>
      <c r="R18" s="76">
        <f>IFERROR(TR/(RadSpec!E18*IFPC_res_adj*CF_peach),".")</f>
        <v>4.251547624557625E-4</v>
      </c>
      <c r="S18" s="76">
        <f>IFERROR(TR/(RadSpec!E18*IFPR_res_adj*CF_pear),".")</f>
        <v>8.8164480847452789E-4</v>
      </c>
      <c r="T18" s="76">
        <f>IFERROR(TR/(RadSpec!E18*IFPE_res_adj*CF_peas),".")</f>
        <v>1.4079297840862378E-3</v>
      </c>
      <c r="U18" s="76">
        <f>IFERROR(TR/(RadSpec!E18*IFPT_res_adj*CF_potato),".")</f>
        <v>4.4239116724166695E-4</v>
      </c>
      <c r="V18" s="76">
        <f>IFERROR(TR/(RadSpec!E18*IFPU_res_adj*CF_pumpkin),".")</f>
        <v>8.0907450456104259E-4</v>
      </c>
      <c r="W18" s="76">
        <f>IFERROR(TR/(RadSpec!E18*IFSN_res_adj*CF_snap_bean),".")</f>
        <v>1.0210835589853969E-3</v>
      </c>
      <c r="X18" s="76">
        <f>IFERROR(TR/(RadSpec!E18*IFST_res_adj*CF_strawberry),".")</f>
        <v>1.318342237001524E-3</v>
      </c>
      <c r="Y18" s="76">
        <f>IFERROR(TR/(RadSpec!E18*IFTO_res_adj*CF_tomato),".")</f>
        <v>7.1067232571912678E-4</v>
      </c>
      <c r="Z18" s="76">
        <f>IFERROR(TR/(RadSpec!E18*IFRI_res_adj*CF_rice),".")</f>
        <v>7.7467104322340294E-4</v>
      </c>
      <c r="AA18" s="76">
        <f>IFERROR(TR/(RadSpec!E18*IFCG_res_adj*CF_cereal),".")</f>
        <v>5.9980206411923648E-4</v>
      </c>
      <c r="AB18" s="76">
        <f t="shared" ref="AB18:AB21" si="17">IFERROR(1/SUM(1/AC18,1/AD18,1/AE18,1/AF18,1/AG18,1/AH18,1/AI18,1/AJ18,1/AK18,1/AL18,1/AM18,1/AN18,1/AO18,1/AP18,1/AQ18,1/AR18,1/AS18,1/AT18,1/AU18,1/AV18,1/AW18,1/AX18),".")</f>
        <v>2.2611114621972793E-5</v>
      </c>
      <c r="AC18" s="76">
        <f>IFERROR(TR/(RadSpec!E18*IFAP_far_adj*CF_apple),".")</f>
        <v>3.7545350099137332E-4</v>
      </c>
      <c r="AD18" s="76">
        <f>IFERROR(TR/(RadSpec!E18*IFAS_far_adj*CF_asparagus),".")</f>
        <v>9.0042718615826315E-4</v>
      </c>
      <c r="AE18" s="76">
        <f>IFERROR(TR/(RadSpec!E18*IFBT_far_adj*CF_beet),".")</f>
        <v>1.0782156152619609E-3</v>
      </c>
      <c r="AF18" s="76">
        <f>IFERROR(TR/(RadSpec!E18*IFBE_far_adj*CF_berries),".")</f>
        <v>9.4133746365854937E-4</v>
      </c>
      <c r="AG18" s="76">
        <f>IFERROR(TR/(RadSpec!E18*IFBR_far_adj*CF_broccoli),".")</f>
        <v>9.8552896280745079E-4</v>
      </c>
      <c r="AH18" s="76">
        <f>IFERROR(TR/(RadSpec!E18*IFCB_far_adj*CF_cabbage),".")</f>
        <v>4.2509774827278595E-4</v>
      </c>
      <c r="AI18" s="76">
        <f>IFERROR(TR/(RadSpec!E18*IFCR_far_adj*CF_carrot),".")</f>
        <v>1.3943056559798392E-3</v>
      </c>
      <c r="AJ18" s="76">
        <f>IFERROR(TR/(RadSpec!E18*IFCI_far_adj*CF_citrus),".")</f>
        <v>1.0850432684820008E-4</v>
      </c>
      <c r="AK18" s="76">
        <f>IFERROR(TR/(RadSpec!E18*IFCO_far_adj*CF_corn),".")</f>
        <v>4.2489831899606795E-4</v>
      </c>
      <c r="AL18" s="76">
        <f>IFERROR(TR/(RadSpec!E18*IFCU_far_adj*CF_cucumber),".")</f>
        <v>6.4429957497361069E-4</v>
      </c>
      <c r="AM18" s="76">
        <f>IFERROR(TR/(RadSpec!E18*IFLE_far_adj*CF_lettuce),".")</f>
        <v>9.7522039959088279E-4</v>
      </c>
      <c r="AN18" s="76">
        <f>IFERROR(TR/(RadSpec!E18*IFLI_far_adj*CF_lima_bean),".")</f>
        <v>1.0671448944185036E-3</v>
      </c>
      <c r="AO18" s="76">
        <f>IFERROR(TR/(RadSpec!E18*IFOK_far_adj*CF_okra),".")</f>
        <v>1.1977910103420234E-3</v>
      </c>
      <c r="AP18" s="76">
        <f>IFERROR(TR/(RadSpec!E18*IFON_far_adj*CF_onion),".")</f>
        <v>1.3098983094504814E-3</v>
      </c>
      <c r="AQ18" s="76">
        <f>IFERROR(TR/(RadSpec!E18*IFPC_far_adj*CF_peach),".")</f>
        <v>3.0917330623916558E-4</v>
      </c>
      <c r="AR18" s="76">
        <f>IFERROR(TR/(RadSpec!E18*IFPR_far_adj*CF_pear),".")</f>
        <v>5.0759870438273254E-4</v>
      </c>
      <c r="AS18" s="76">
        <f>IFERROR(TR/(RadSpec!E18*IFPE_far_adj*CF_peas),".")</f>
        <v>1.0143852508384527E-3</v>
      </c>
      <c r="AT18" s="76">
        <f>IFERROR(TR/(RadSpec!E18*IFPT_far_adj*CF_potato),".")</f>
        <v>2.4549497842169714E-4</v>
      </c>
      <c r="AU18" s="76">
        <f>IFERROR(TR/(RadSpec!E18*IFPU_far_adj*CF_pumpkin),".")</f>
        <v>5.124400111332307E-4</v>
      </c>
      <c r="AV18" s="76">
        <f>IFERROR(TR/(RadSpec!E18*IFSN_far_adj*CF_snap_bean),".")</f>
        <v>6.3152782326330605E-4</v>
      </c>
      <c r="AW18" s="76">
        <f>IFERROR(TR/(RadSpec!E18*IFST_far_adj*CF_strawberry),".")</f>
        <v>8.2939662712458516E-4</v>
      </c>
      <c r="AX18" s="76">
        <f>IFERROR(TR/(RadSpec!E18*IFTO_far_adj*CF_tomato),".")</f>
        <v>3.716023572909167E-4</v>
      </c>
      <c r="AY18" s="76">
        <f>IFERROR(TR/(RadSpec!E18*IFRI_far_adj*CF_rice),".")</f>
        <v>3.9405232256450553E-4</v>
      </c>
      <c r="AZ18" s="76">
        <f>IFERROR(TR/(RadSpec!E18*IFCG_far_adj*CF_cereal),".")</f>
        <v>3.7286995340471266E-4</v>
      </c>
    </row>
    <row r="19" spans="1:52" x14ac:dyDescent="0.25">
      <c r="A19" s="92" t="s">
        <v>29</v>
      </c>
      <c r="B19" s="90" t="s">
        <v>1074</v>
      </c>
      <c r="C19" s="76" t="str">
        <f t="shared" si="16"/>
        <v>.</v>
      </c>
      <c r="D19" s="76" t="str">
        <f>IFERROR(TR/(RadSpec!E19*IFAP_res_adj*CF_apple),".")</f>
        <v>.</v>
      </c>
      <c r="E19" s="76" t="str">
        <f>IFERROR(TR/(RadSpec!E19*IFAS_res_adj*CF_asparagus),".")</f>
        <v>.</v>
      </c>
      <c r="F19" s="76" t="str">
        <f>IFERROR(TR/(RadSpec!E19*IFBT_res_adj*CF_beet),".")</f>
        <v>.</v>
      </c>
      <c r="G19" s="76" t="str">
        <f>IFERROR(TR/(RadSpec!E19*IFBE_res_adj*CF_berries),".")</f>
        <v>.</v>
      </c>
      <c r="H19" s="76" t="str">
        <f>IFERROR(TR/(RadSpec!E19*IFBR_res_adj*CF_broccoli),".")</f>
        <v>.</v>
      </c>
      <c r="I19" s="76" t="str">
        <f>IFERROR(TR/(RadSpec!E19*IFCB_res_adj*CF_cabbage),".")</f>
        <v>.</v>
      </c>
      <c r="J19" s="76" t="str">
        <f>IFERROR(TR/(RadSpec!E19*IFCR_res_adj*CF_carrot),".")</f>
        <v>.</v>
      </c>
      <c r="K19" s="76" t="str">
        <f>IFERROR(TR/(RadSpec!E19*IFCI_res_adj*CF_citrus),".")</f>
        <v>.</v>
      </c>
      <c r="L19" s="76" t="str">
        <f>IFERROR(TR/(RadSpec!E19*IFCO_res_adj*CF_corn),".")</f>
        <v>.</v>
      </c>
      <c r="M19" s="76" t="str">
        <f>IFERROR(TR/(RadSpec!E19*IFCU_res_adj*CF_cucumber),".")</f>
        <v>.</v>
      </c>
      <c r="N19" s="76" t="str">
        <f>IFERROR(TR/(RadSpec!E19*IFLE_res_adj*CF_lettuce),".")</f>
        <v>.</v>
      </c>
      <c r="O19" s="76" t="str">
        <f>IFERROR(TR/(RadSpec!E19*IFLI_res_adj*CF_lima_bean),".")</f>
        <v>.</v>
      </c>
      <c r="P19" s="76" t="str">
        <f>IFERROR(TR/(RadSpec!E19*IFOK_res_adj*CF_okra),".")</f>
        <v>.</v>
      </c>
      <c r="Q19" s="76" t="str">
        <f>IFERROR(TR/(RadSpec!E19*IFON_res_adj*CF_onion),".")</f>
        <v>.</v>
      </c>
      <c r="R19" s="76" t="str">
        <f>IFERROR(TR/(RadSpec!E19*IFPC_res_adj*CF_peach),".")</f>
        <v>.</v>
      </c>
      <c r="S19" s="76" t="str">
        <f>IFERROR(TR/(RadSpec!E19*IFPR_res_adj*CF_pear),".")</f>
        <v>.</v>
      </c>
      <c r="T19" s="76" t="str">
        <f>IFERROR(TR/(RadSpec!E19*IFPE_res_adj*CF_peas),".")</f>
        <v>.</v>
      </c>
      <c r="U19" s="76" t="str">
        <f>IFERROR(TR/(RadSpec!E19*IFPT_res_adj*CF_potato),".")</f>
        <v>.</v>
      </c>
      <c r="V19" s="76" t="str">
        <f>IFERROR(TR/(RadSpec!E19*IFPU_res_adj*CF_pumpkin),".")</f>
        <v>.</v>
      </c>
      <c r="W19" s="76" t="str">
        <f>IFERROR(TR/(RadSpec!E19*IFSN_res_adj*CF_snap_bean),".")</f>
        <v>.</v>
      </c>
      <c r="X19" s="76" t="str">
        <f>IFERROR(TR/(RadSpec!E19*IFST_res_adj*CF_strawberry),".")</f>
        <v>.</v>
      </c>
      <c r="Y19" s="76" t="str">
        <f>IFERROR(TR/(RadSpec!E19*IFTO_res_adj*CF_tomato),".")</f>
        <v>.</v>
      </c>
      <c r="Z19" s="76" t="str">
        <f>IFERROR(TR/(RadSpec!E19*IFRI_res_adj*CF_rice),".")</f>
        <v>.</v>
      </c>
      <c r="AA19" s="76" t="str">
        <f>IFERROR(TR/(RadSpec!E19*IFCG_res_adj*CF_cereal),".")</f>
        <v>.</v>
      </c>
      <c r="AB19" s="76" t="str">
        <f t="shared" si="17"/>
        <v>.</v>
      </c>
      <c r="AC19" s="76" t="str">
        <f>IFERROR(TR/(RadSpec!E19*IFAP_far_adj*CF_apple),".")</f>
        <v>.</v>
      </c>
      <c r="AD19" s="76" t="str">
        <f>IFERROR(TR/(RadSpec!E19*IFAS_far_adj*CF_asparagus),".")</f>
        <v>.</v>
      </c>
      <c r="AE19" s="76" t="str">
        <f>IFERROR(TR/(RadSpec!E19*IFBT_far_adj*CF_beet),".")</f>
        <v>.</v>
      </c>
      <c r="AF19" s="76" t="str">
        <f>IFERROR(TR/(RadSpec!E19*IFBE_far_adj*CF_berries),".")</f>
        <v>.</v>
      </c>
      <c r="AG19" s="76" t="str">
        <f>IFERROR(TR/(RadSpec!E19*IFBR_far_adj*CF_broccoli),".")</f>
        <v>.</v>
      </c>
      <c r="AH19" s="76" t="str">
        <f>IFERROR(TR/(RadSpec!E19*IFCB_far_adj*CF_cabbage),".")</f>
        <v>.</v>
      </c>
      <c r="AI19" s="76" t="str">
        <f>IFERROR(TR/(RadSpec!E19*IFCR_far_adj*CF_carrot),".")</f>
        <v>.</v>
      </c>
      <c r="AJ19" s="76" t="str">
        <f>IFERROR(TR/(RadSpec!E19*IFCI_far_adj*CF_citrus),".")</f>
        <v>.</v>
      </c>
      <c r="AK19" s="76" t="str">
        <f>IFERROR(TR/(RadSpec!E19*IFCO_far_adj*CF_corn),".")</f>
        <v>.</v>
      </c>
      <c r="AL19" s="76" t="str">
        <f>IFERROR(TR/(RadSpec!E19*IFCU_far_adj*CF_cucumber),".")</f>
        <v>.</v>
      </c>
      <c r="AM19" s="76" t="str">
        <f>IFERROR(TR/(RadSpec!E19*IFLE_far_adj*CF_lettuce),".")</f>
        <v>.</v>
      </c>
      <c r="AN19" s="76" t="str">
        <f>IFERROR(TR/(RadSpec!E19*IFLI_far_adj*CF_lima_bean),".")</f>
        <v>.</v>
      </c>
      <c r="AO19" s="76" t="str">
        <f>IFERROR(TR/(RadSpec!E19*IFOK_far_adj*CF_okra),".")</f>
        <v>.</v>
      </c>
      <c r="AP19" s="76" t="str">
        <f>IFERROR(TR/(RadSpec!E19*IFON_far_adj*CF_onion),".")</f>
        <v>.</v>
      </c>
      <c r="AQ19" s="76" t="str">
        <f>IFERROR(TR/(RadSpec!E19*IFPC_far_adj*CF_peach),".")</f>
        <v>.</v>
      </c>
      <c r="AR19" s="76" t="str">
        <f>IFERROR(TR/(RadSpec!E19*IFPR_far_adj*CF_pear),".")</f>
        <v>.</v>
      </c>
      <c r="AS19" s="76" t="str">
        <f>IFERROR(TR/(RadSpec!E19*IFPE_far_adj*CF_peas),".")</f>
        <v>.</v>
      </c>
      <c r="AT19" s="76" t="str">
        <f>IFERROR(TR/(RadSpec!E19*IFPT_far_adj*CF_potato),".")</f>
        <v>.</v>
      </c>
      <c r="AU19" s="76" t="str">
        <f>IFERROR(TR/(RadSpec!E19*IFPU_far_adj*CF_pumpkin),".")</f>
        <v>.</v>
      </c>
      <c r="AV19" s="76" t="str">
        <f>IFERROR(TR/(RadSpec!E19*IFSN_far_adj*CF_snap_bean),".")</f>
        <v>.</v>
      </c>
      <c r="AW19" s="76" t="str">
        <f>IFERROR(TR/(RadSpec!E19*IFST_far_adj*CF_strawberry),".")</f>
        <v>.</v>
      </c>
      <c r="AX19" s="76" t="str">
        <f>IFERROR(TR/(RadSpec!E19*IFTO_far_adj*CF_tomato),".")</f>
        <v>.</v>
      </c>
      <c r="AY19" s="76" t="str">
        <f>IFERROR(TR/(RadSpec!E19*IFRI_far_adj*CF_rice),".")</f>
        <v>.</v>
      </c>
      <c r="AZ19" s="76" t="str">
        <f>IFERROR(TR/(RadSpec!E19*IFCG_far_adj*CF_cereal),".")</f>
        <v>.</v>
      </c>
    </row>
    <row r="20" spans="1:52" x14ac:dyDescent="0.25">
      <c r="A20" s="92" t="s">
        <v>30</v>
      </c>
      <c r="B20" s="90" t="s">
        <v>1074</v>
      </c>
      <c r="C20" s="76" t="str">
        <f t="shared" si="16"/>
        <v>.</v>
      </c>
      <c r="D20" s="76" t="str">
        <f>IFERROR(TR/(RadSpec!E20*IFAP_res_adj*CF_apple),".")</f>
        <v>.</v>
      </c>
      <c r="E20" s="76" t="str">
        <f>IFERROR(TR/(RadSpec!E20*IFAS_res_adj*CF_asparagus),".")</f>
        <v>.</v>
      </c>
      <c r="F20" s="76" t="str">
        <f>IFERROR(TR/(RadSpec!E20*IFBT_res_adj*CF_beet),".")</f>
        <v>.</v>
      </c>
      <c r="G20" s="76" t="str">
        <f>IFERROR(TR/(RadSpec!E20*IFBE_res_adj*CF_berries),".")</f>
        <v>.</v>
      </c>
      <c r="H20" s="76" t="str">
        <f>IFERROR(TR/(RadSpec!E20*IFBR_res_adj*CF_broccoli),".")</f>
        <v>.</v>
      </c>
      <c r="I20" s="76" t="str">
        <f>IFERROR(TR/(RadSpec!E20*IFCB_res_adj*CF_cabbage),".")</f>
        <v>.</v>
      </c>
      <c r="J20" s="76" t="str">
        <f>IFERROR(TR/(RadSpec!E20*IFCR_res_adj*CF_carrot),".")</f>
        <v>.</v>
      </c>
      <c r="K20" s="76" t="str">
        <f>IFERROR(TR/(RadSpec!E20*IFCI_res_adj*CF_citrus),".")</f>
        <v>.</v>
      </c>
      <c r="L20" s="76" t="str">
        <f>IFERROR(TR/(RadSpec!E20*IFCO_res_adj*CF_corn),".")</f>
        <v>.</v>
      </c>
      <c r="M20" s="76" t="str">
        <f>IFERROR(TR/(RadSpec!E20*IFCU_res_adj*CF_cucumber),".")</f>
        <v>.</v>
      </c>
      <c r="N20" s="76" t="str">
        <f>IFERROR(TR/(RadSpec!E20*IFLE_res_adj*CF_lettuce),".")</f>
        <v>.</v>
      </c>
      <c r="O20" s="76" t="str">
        <f>IFERROR(TR/(RadSpec!E20*IFLI_res_adj*CF_lima_bean),".")</f>
        <v>.</v>
      </c>
      <c r="P20" s="76" t="str">
        <f>IFERROR(TR/(RadSpec!E20*IFOK_res_adj*CF_okra),".")</f>
        <v>.</v>
      </c>
      <c r="Q20" s="76" t="str">
        <f>IFERROR(TR/(RadSpec!E20*IFON_res_adj*CF_onion),".")</f>
        <v>.</v>
      </c>
      <c r="R20" s="76" t="str">
        <f>IFERROR(TR/(RadSpec!E20*IFPC_res_adj*CF_peach),".")</f>
        <v>.</v>
      </c>
      <c r="S20" s="76" t="str">
        <f>IFERROR(TR/(RadSpec!E20*IFPR_res_adj*CF_pear),".")</f>
        <v>.</v>
      </c>
      <c r="T20" s="76" t="str">
        <f>IFERROR(TR/(RadSpec!E20*IFPE_res_adj*CF_peas),".")</f>
        <v>.</v>
      </c>
      <c r="U20" s="76" t="str">
        <f>IFERROR(TR/(RadSpec!E20*IFPT_res_adj*CF_potato),".")</f>
        <v>.</v>
      </c>
      <c r="V20" s="76" t="str">
        <f>IFERROR(TR/(RadSpec!E20*IFPU_res_adj*CF_pumpkin),".")</f>
        <v>.</v>
      </c>
      <c r="W20" s="76" t="str">
        <f>IFERROR(TR/(RadSpec!E20*IFSN_res_adj*CF_snap_bean),".")</f>
        <v>.</v>
      </c>
      <c r="X20" s="76" t="str">
        <f>IFERROR(TR/(RadSpec!E20*IFST_res_adj*CF_strawberry),".")</f>
        <v>.</v>
      </c>
      <c r="Y20" s="76" t="str">
        <f>IFERROR(TR/(RadSpec!E20*IFTO_res_adj*CF_tomato),".")</f>
        <v>.</v>
      </c>
      <c r="Z20" s="76" t="str">
        <f>IFERROR(TR/(RadSpec!E20*IFRI_res_adj*CF_rice),".")</f>
        <v>.</v>
      </c>
      <c r="AA20" s="76" t="str">
        <f>IFERROR(TR/(RadSpec!E20*IFCG_res_adj*CF_cereal),".")</f>
        <v>.</v>
      </c>
      <c r="AB20" s="76" t="str">
        <f t="shared" si="17"/>
        <v>.</v>
      </c>
      <c r="AC20" s="76" t="str">
        <f>IFERROR(TR/(RadSpec!E20*IFAP_far_adj*CF_apple),".")</f>
        <v>.</v>
      </c>
      <c r="AD20" s="76" t="str">
        <f>IFERROR(TR/(RadSpec!E20*IFAS_far_adj*CF_asparagus),".")</f>
        <v>.</v>
      </c>
      <c r="AE20" s="76" t="str">
        <f>IFERROR(TR/(RadSpec!E20*IFBT_far_adj*CF_beet),".")</f>
        <v>.</v>
      </c>
      <c r="AF20" s="76" t="str">
        <f>IFERROR(TR/(RadSpec!E20*IFBE_far_adj*CF_berries),".")</f>
        <v>.</v>
      </c>
      <c r="AG20" s="76" t="str">
        <f>IFERROR(TR/(RadSpec!E20*IFBR_far_adj*CF_broccoli),".")</f>
        <v>.</v>
      </c>
      <c r="AH20" s="76" t="str">
        <f>IFERROR(TR/(RadSpec!E20*IFCB_far_adj*CF_cabbage),".")</f>
        <v>.</v>
      </c>
      <c r="AI20" s="76" t="str">
        <f>IFERROR(TR/(RadSpec!E20*IFCR_far_adj*CF_carrot),".")</f>
        <v>.</v>
      </c>
      <c r="AJ20" s="76" t="str">
        <f>IFERROR(TR/(RadSpec!E20*IFCI_far_adj*CF_citrus),".")</f>
        <v>.</v>
      </c>
      <c r="AK20" s="76" t="str">
        <f>IFERROR(TR/(RadSpec!E20*IFCO_far_adj*CF_corn),".")</f>
        <v>.</v>
      </c>
      <c r="AL20" s="76" t="str">
        <f>IFERROR(TR/(RadSpec!E20*IFCU_far_adj*CF_cucumber),".")</f>
        <v>.</v>
      </c>
      <c r="AM20" s="76" t="str">
        <f>IFERROR(TR/(RadSpec!E20*IFLE_far_adj*CF_lettuce),".")</f>
        <v>.</v>
      </c>
      <c r="AN20" s="76" t="str">
        <f>IFERROR(TR/(RadSpec!E20*IFLI_far_adj*CF_lima_bean),".")</f>
        <v>.</v>
      </c>
      <c r="AO20" s="76" t="str">
        <f>IFERROR(TR/(RadSpec!E20*IFOK_far_adj*CF_okra),".")</f>
        <v>.</v>
      </c>
      <c r="AP20" s="76" t="str">
        <f>IFERROR(TR/(RadSpec!E20*IFON_far_adj*CF_onion),".")</f>
        <v>.</v>
      </c>
      <c r="AQ20" s="76" t="str">
        <f>IFERROR(TR/(RadSpec!E20*IFPC_far_adj*CF_peach),".")</f>
        <v>.</v>
      </c>
      <c r="AR20" s="76" t="str">
        <f>IFERROR(TR/(RadSpec!E20*IFPR_far_adj*CF_pear),".")</f>
        <v>.</v>
      </c>
      <c r="AS20" s="76" t="str">
        <f>IFERROR(TR/(RadSpec!E20*IFPE_far_adj*CF_peas),".")</f>
        <v>.</v>
      </c>
      <c r="AT20" s="76" t="str">
        <f>IFERROR(TR/(RadSpec!E20*IFPT_far_adj*CF_potato),".")</f>
        <v>.</v>
      </c>
      <c r="AU20" s="76" t="str">
        <f>IFERROR(TR/(RadSpec!E20*IFPU_far_adj*CF_pumpkin),".")</f>
        <v>.</v>
      </c>
      <c r="AV20" s="76" t="str">
        <f>IFERROR(TR/(RadSpec!E20*IFSN_far_adj*CF_snap_bean),".")</f>
        <v>.</v>
      </c>
      <c r="AW20" s="76" t="str">
        <f>IFERROR(TR/(RadSpec!E20*IFST_far_adj*CF_strawberry),".")</f>
        <v>.</v>
      </c>
      <c r="AX20" s="76" t="str">
        <f>IFERROR(TR/(RadSpec!E20*IFTO_far_adj*CF_tomato),".")</f>
        <v>.</v>
      </c>
      <c r="AY20" s="76" t="str">
        <f>IFERROR(TR/(RadSpec!E20*IFRI_far_adj*CF_rice),".")</f>
        <v>.</v>
      </c>
      <c r="AZ20" s="76" t="str">
        <f>IFERROR(TR/(RadSpec!E20*IFCG_far_adj*CF_cereal),".")</f>
        <v>.</v>
      </c>
    </row>
    <row r="21" spans="1:52" x14ac:dyDescent="0.25">
      <c r="A21" s="92" t="s">
        <v>31</v>
      </c>
      <c r="B21" s="90" t="s">
        <v>1074</v>
      </c>
      <c r="C21" s="76" t="str">
        <f t="shared" si="16"/>
        <v>.</v>
      </c>
      <c r="D21" s="76" t="str">
        <f>IFERROR(TR/(RadSpec!E21*IFAP_res_adj*CF_apple),".")</f>
        <v>.</v>
      </c>
      <c r="E21" s="76" t="str">
        <f>IFERROR(TR/(RadSpec!E21*IFAS_res_adj*CF_asparagus),".")</f>
        <v>.</v>
      </c>
      <c r="F21" s="76" t="str">
        <f>IFERROR(TR/(RadSpec!E21*IFBT_res_adj*CF_beet),".")</f>
        <v>.</v>
      </c>
      <c r="G21" s="76" t="str">
        <f>IFERROR(TR/(RadSpec!E21*IFBE_res_adj*CF_berries),".")</f>
        <v>.</v>
      </c>
      <c r="H21" s="76" t="str">
        <f>IFERROR(TR/(RadSpec!E21*IFBR_res_adj*CF_broccoli),".")</f>
        <v>.</v>
      </c>
      <c r="I21" s="76" t="str">
        <f>IFERROR(TR/(RadSpec!E21*IFCB_res_adj*CF_cabbage),".")</f>
        <v>.</v>
      </c>
      <c r="J21" s="76" t="str">
        <f>IFERROR(TR/(RadSpec!E21*IFCR_res_adj*CF_carrot),".")</f>
        <v>.</v>
      </c>
      <c r="K21" s="76" t="str">
        <f>IFERROR(TR/(RadSpec!E21*IFCI_res_adj*CF_citrus),".")</f>
        <v>.</v>
      </c>
      <c r="L21" s="76" t="str">
        <f>IFERROR(TR/(RadSpec!E21*IFCO_res_adj*CF_corn),".")</f>
        <v>.</v>
      </c>
      <c r="M21" s="76" t="str">
        <f>IFERROR(TR/(RadSpec!E21*IFCU_res_adj*CF_cucumber),".")</f>
        <v>.</v>
      </c>
      <c r="N21" s="76" t="str">
        <f>IFERROR(TR/(RadSpec!E21*IFLE_res_adj*CF_lettuce),".")</f>
        <v>.</v>
      </c>
      <c r="O21" s="76" t="str">
        <f>IFERROR(TR/(RadSpec!E21*IFLI_res_adj*CF_lima_bean),".")</f>
        <v>.</v>
      </c>
      <c r="P21" s="76" t="str">
        <f>IFERROR(TR/(RadSpec!E21*IFOK_res_adj*CF_okra),".")</f>
        <v>.</v>
      </c>
      <c r="Q21" s="76" t="str">
        <f>IFERROR(TR/(RadSpec!E21*IFON_res_adj*CF_onion),".")</f>
        <v>.</v>
      </c>
      <c r="R21" s="76" t="str">
        <f>IFERROR(TR/(RadSpec!E21*IFPC_res_adj*CF_peach),".")</f>
        <v>.</v>
      </c>
      <c r="S21" s="76" t="str">
        <f>IFERROR(TR/(RadSpec!E21*IFPR_res_adj*CF_pear),".")</f>
        <v>.</v>
      </c>
      <c r="T21" s="76" t="str">
        <f>IFERROR(TR/(RadSpec!E21*IFPE_res_adj*CF_peas),".")</f>
        <v>.</v>
      </c>
      <c r="U21" s="76" t="str">
        <f>IFERROR(TR/(RadSpec!E21*IFPT_res_adj*CF_potato),".")</f>
        <v>.</v>
      </c>
      <c r="V21" s="76" t="str">
        <f>IFERROR(TR/(RadSpec!E21*IFPU_res_adj*CF_pumpkin),".")</f>
        <v>.</v>
      </c>
      <c r="W21" s="76" t="str">
        <f>IFERROR(TR/(RadSpec!E21*IFSN_res_adj*CF_snap_bean),".")</f>
        <v>.</v>
      </c>
      <c r="X21" s="76" t="str">
        <f>IFERROR(TR/(RadSpec!E21*IFST_res_adj*CF_strawberry),".")</f>
        <v>.</v>
      </c>
      <c r="Y21" s="76" t="str">
        <f>IFERROR(TR/(RadSpec!E21*IFTO_res_adj*CF_tomato),".")</f>
        <v>.</v>
      </c>
      <c r="Z21" s="76" t="str">
        <f>IFERROR(TR/(RadSpec!E21*IFRI_res_adj*CF_rice),".")</f>
        <v>.</v>
      </c>
      <c r="AA21" s="76" t="str">
        <f>IFERROR(TR/(RadSpec!E21*IFCG_res_adj*CF_cereal),".")</f>
        <v>.</v>
      </c>
      <c r="AB21" s="76" t="str">
        <f t="shared" si="17"/>
        <v>.</v>
      </c>
      <c r="AC21" s="76" t="str">
        <f>IFERROR(TR/(RadSpec!E21*IFAP_far_adj*CF_apple),".")</f>
        <v>.</v>
      </c>
      <c r="AD21" s="76" t="str">
        <f>IFERROR(TR/(RadSpec!E21*IFAS_far_adj*CF_asparagus),".")</f>
        <v>.</v>
      </c>
      <c r="AE21" s="76" t="str">
        <f>IFERROR(TR/(RadSpec!E21*IFBT_far_adj*CF_beet),".")</f>
        <v>.</v>
      </c>
      <c r="AF21" s="76" t="str">
        <f>IFERROR(TR/(RadSpec!E21*IFBE_far_adj*CF_berries),".")</f>
        <v>.</v>
      </c>
      <c r="AG21" s="76" t="str">
        <f>IFERROR(TR/(RadSpec!E21*IFBR_far_adj*CF_broccoli),".")</f>
        <v>.</v>
      </c>
      <c r="AH21" s="76" t="str">
        <f>IFERROR(TR/(RadSpec!E21*IFCB_far_adj*CF_cabbage),".")</f>
        <v>.</v>
      </c>
      <c r="AI21" s="76" t="str">
        <f>IFERROR(TR/(RadSpec!E21*IFCR_far_adj*CF_carrot),".")</f>
        <v>.</v>
      </c>
      <c r="AJ21" s="76" t="str">
        <f>IFERROR(TR/(RadSpec!E21*IFCI_far_adj*CF_citrus),".")</f>
        <v>.</v>
      </c>
      <c r="AK21" s="76" t="str">
        <f>IFERROR(TR/(RadSpec!E21*IFCO_far_adj*CF_corn),".")</f>
        <v>.</v>
      </c>
      <c r="AL21" s="76" t="str">
        <f>IFERROR(TR/(RadSpec!E21*IFCU_far_adj*CF_cucumber),".")</f>
        <v>.</v>
      </c>
      <c r="AM21" s="76" t="str">
        <f>IFERROR(TR/(RadSpec!E21*IFLE_far_adj*CF_lettuce),".")</f>
        <v>.</v>
      </c>
      <c r="AN21" s="76" t="str">
        <f>IFERROR(TR/(RadSpec!E21*IFLI_far_adj*CF_lima_bean),".")</f>
        <v>.</v>
      </c>
      <c r="AO21" s="76" t="str">
        <f>IFERROR(TR/(RadSpec!E21*IFOK_far_adj*CF_okra),".")</f>
        <v>.</v>
      </c>
      <c r="AP21" s="76" t="str">
        <f>IFERROR(TR/(RadSpec!E21*IFON_far_adj*CF_onion),".")</f>
        <v>.</v>
      </c>
      <c r="AQ21" s="76" t="str">
        <f>IFERROR(TR/(RadSpec!E21*IFPC_far_adj*CF_peach),".")</f>
        <v>.</v>
      </c>
      <c r="AR21" s="76" t="str">
        <f>IFERROR(TR/(RadSpec!E21*IFPR_far_adj*CF_pear),".")</f>
        <v>.</v>
      </c>
      <c r="AS21" s="76" t="str">
        <f>IFERROR(TR/(RadSpec!E21*IFPE_far_adj*CF_peas),".")</f>
        <v>.</v>
      </c>
      <c r="AT21" s="76" t="str">
        <f>IFERROR(TR/(RadSpec!E21*IFPT_far_adj*CF_potato),".")</f>
        <v>.</v>
      </c>
      <c r="AU21" s="76" t="str">
        <f>IFERROR(TR/(RadSpec!E21*IFPU_far_adj*CF_pumpkin),".")</f>
        <v>.</v>
      </c>
      <c r="AV21" s="76" t="str">
        <f>IFERROR(TR/(RadSpec!E21*IFSN_far_adj*CF_snap_bean),".")</f>
        <v>.</v>
      </c>
      <c r="AW21" s="76" t="str">
        <f>IFERROR(TR/(RadSpec!E21*IFST_far_adj*CF_strawberry),".")</f>
        <v>.</v>
      </c>
      <c r="AX21" s="76" t="str">
        <f>IFERROR(TR/(RadSpec!E21*IFTO_far_adj*CF_tomato),".")</f>
        <v>.</v>
      </c>
      <c r="AY21" s="76" t="str">
        <f>IFERROR(TR/(RadSpec!E21*IFRI_far_adj*CF_rice),".")</f>
        <v>.</v>
      </c>
      <c r="AZ21" s="76" t="str">
        <f>IFERROR(TR/(RadSpec!E21*IFCG_far_adj*CF_cereal),".")</f>
        <v>.</v>
      </c>
    </row>
    <row r="22" spans="1:52" x14ac:dyDescent="0.25">
      <c r="A22" s="92" t="s">
        <v>32</v>
      </c>
      <c r="B22" s="90" t="s">
        <v>1074</v>
      </c>
      <c r="C22" s="76">
        <f t="shared" ref="C22:C23" si="18">IFERROR(1/SUM(1/D22,1/E22,1/F22,1/G22,1/H22,1/I22,1/J22,1/K22,1/L22,1/M22,1/N22,1/O22,1/P22,1/Q22,1/R22,1/S22,1/T22,1/U22,1/V22,1/W22,1/X22,1/Y22),".")</f>
        <v>5.4061290698426926E-4</v>
      </c>
      <c r="D22" s="76">
        <f>IFERROR(TR/(RadSpec!E22*IFAP_res_adj*CF_apple),".")</f>
        <v>9.7563168639419953E-3</v>
      </c>
      <c r="E22" s="76">
        <f>IFERROR(TR/(RadSpec!E22*IFAS_res_adj*CF_asparagus),".")</f>
        <v>2.168676867472048E-2</v>
      </c>
      <c r="F22" s="76">
        <f>IFERROR(TR/(RadSpec!E22*IFBT_res_adj*CF_beet),".")</f>
        <v>2.6528724726133695E-2</v>
      </c>
      <c r="G22" s="76">
        <f>IFERROR(TR/(RadSpec!E22*IFBE_res_adj*CF_berries),".")</f>
        <v>2.1854883160571027E-2</v>
      </c>
      <c r="H22" s="76">
        <f>IFERROR(TR/(RadSpec!E22*IFBR_res_adj*CF_broccoli),".")</f>
        <v>2.5893748292388215E-2</v>
      </c>
      <c r="I22" s="76">
        <f>IFERROR(TR/(RadSpec!E22*IFCB_res_adj*CF_cabbage),".")</f>
        <v>9.7125208909647001E-3</v>
      </c>
      <c r="J22" s="76">
        <f>IFERROR(TR/(RadSpec!E22*IFCR_res_adj*CF_carrot),".")</f>
        <v>2.9284305198158913E-2</v>
      </c>
      <c r="K22" s="76">
        <f>IFERROR(TR/(RadSpec!E22*IFCI_res_adj*CF_citrus),".")</f>
        <v>2.5307030877390548E-3</v>
      </c>
      <c r="L22" s="76">
        <f>IFERROR(TR/(RadSpec!E22*IFCO_res_adj*CF_corn),".")</f>
        <v>1.3898451989027618E-2</v>
      </c>
      <c r="M22" s="76">
        <f>IFERROR(TR/(RadSpec!E22*IFCU_res_adj*CF_cucumber),".")</f>
        <v>1.0335063054271369E-2</v>
      </c>
      <c r="N22" s="76">
        <f>IFERROR(TR/(RadSpec!E22*IFLE_res_adj*CF_lettuce),".")</f>
        <v>2.4003157279295886E-2</v>
      </c>
      <c r="O22" s="76">
        <f>IFERROR(TR/(RadSpec!E22*IFLI_res_adj*CF_lima_bean),".")</f>
        <v>2.602412240966458E-2</v>
      </c>
      <c r="P22" s="76">
        <f>IFERROR(TR/(RadSpec!E22*IFOK_res_adj*CF_okra),".")</f>
        <v>2.9265881602563971E-2</v>
      </c>
      <c r="Q22" s="76">
        <f>IFERROR(TR/(RadSpec!E22*IFON_res_adj*CF_onion),".")</f>
        <v>3.952261580907003E-2</v>
      </c>
      <c r="R22" s="76">
        <f>IFERROR(TR/(RadSpec!E22*IFPC_res_adj*CF_peach),".")</f>
        <v>6.2390180803749236E-3</v>
      </c>
      <c r="S22" s="76">
        <f>IFERROR(TR/(RadSpec!E22*IFPR_res_adj*CF_pear),".")</f>
        <v>1.2937872008698493E-2</v>
      </c>
      <c r="T22" s="76">
        <f>IFERROR(TR/(RadSpec!E22*IFPE_res_adj*CF_peas),".")</f>
        <v>2.0660945506229371E-2</v>
      </c>
      <c r="U22" s="76">
        <f>IFERROR(TR/(RadSpec!E22*IFPT_res_adj*CF_potato),".")</f>
        <v>6.4919571289198848E-3</v>
      </c>
      <c r="V22" s="76">
        <f>IFERROR(TR/(RadSpec!E22*IFPU_res_adj*CF_pumpkin),".")</f>
        <v>1.1872924657293371E-2</v>
      </c>
      <c r="W22" s="76">
        <f>IFERROR(TR/(RadSpec!E22*IFSN_res_adj*CF_snap_bean),".")</f>
        <v>1.4984093672821849E-2</v>
      </c>
      <c r="X22" s="76">
        <f>IFERROR(TR/(RadSpec!E22*IFST_res_adj*CF_strawberry),".")</f>
        <v>1.9346275236962123E-2</v>
      </c>
      <c r="Y22" s="76">
        <f>IFERROR(TR/(RadSpec!E22*IFTO_res_adj*CF_tomato),".")</f>
        <v>1.0428902321998751E-2</v>
      </c>
      <c r="Z22" s="76">
        <f>IFERROR(TR/(RadSpec!E22*IFRI_res_adj*CF_rice),".")</f>
        <v>1.1368064224651865E-2</v>
      </c>
      <c r="AA22" s="76">
        <f>IFERROR(TR/(RadSpec!E22*IFCG_res_adj*CF_cereal),".")</f>
        <v>8.80191462767747E-3</v>
      </c>
      <c r="AB22" s="76">
        <f t="shared" ref="AB22:AB23" si="19">IFERROR(1/SUM(1/AC22,1/AD22,1/AE22,1/AF22,1/AG22,1/AH22,1/AI22,1/AJ22,1/AK22,1/AL22,1/AM22,1/AN22,1/AO22,1/AP22,1/AQ22,1/AR22,1/AS22,1/AT22,1/AU22,1/AV22,1/AW22,1/AX22),".")</f>
        <v>3.3181129650075743E-4</v>
      </c>
      <c r="AC22" s="76">
        <f>IFERROR(TR/(RadSpec!E22*IFAP_far_adj*CF_apple),".")</f>
        <v>5.5096670386444906E-3</v>
      </c>
      <c r="AD22" s="76">
        <f>IFERROR(TR/(RadSpec!E22*IFAS_far_adj*CF_asparagus),".")</f>
        <v>1.3213497743864632E-2</v>
      </c>
      <c r="AE22" s="76">
        <f>IFERROR(TR/(RadSpec!E22*IFBT_far_adj*CF_beet),".")</f>
        <v>1.5822489390229736E-2</v>
      </c>
      <c r="AF22" s="76">
        <f>IFERROR(TR/(RadSpec!E22*IFBE_far_adj*CF_berries),".")</f>
        <v>1.3813843743808592E-2</v>
      </c>
      <c r="AG22" s="76">
        <f>IFERROR(TR/(RadSpec!E22*IFBR_far_adj*CF_broccoli),".")</f>
        <v>1.4462340683126204E-2</v>
      </c>
      <c r="AH22" s="76">
        <f>IFERROR(TR/(RadSpec!E22*IFCB_far_adj*CF_cabbage),".")</f>
        <v>6.2381814144126897E-3</v>
      </c>
      <c r="AI22" s="76">
        <f>IFERROR(TR/(RadSpec!E22*IFCR_far_adj*CF_carrot),".")</f>
        <v>2.0461015529921016E-2</v>
      </c>
      <c r="AJ22" s="76">
        <f>IFERROR(TR/(RadSpec!E22*IFCI_far_adj*CF_citrus),".")</f>
        <v>1.5922683144711772E-3</v>
      </c>
      <c r="AK22" s="76">
        <f>IFERROR(TR/(RadSpec!E22*IFCO_far_adj*CF_corn),".")</f>
        <v>6.2352548498459132E-3</v>
      </c>
      <c r="AL22" s="76">
        <f>IFERROR(TR/(RadSpec!E22*IFCU_far_adj*CF_cucumber),".")</f>
        <v>9.4549021966006969E-3</v>
      </c>
      <c r="AM22" s="76">
        <f>IFERROR(TR/(RadSpec!E22*IFLE_far_adj*CF_lettuce),".")</f>
        <v>1.4311065622911992E-2</v>
      </c>
      <c r="AN22" s="76">
        <f>IFERROR(TR/(RadSpec!E22*IFLI_far_adj*CF_lima_bean),".")</f>
        <v>1.5660029896406476E-2</v>
      </c>
      <c r="AO22" s="76">
        <f>IFERROR(TR/(RadSpec!E22*IFOK_far_adj*CF_okra),".")</f>
        <v>1.757722229634439E-2</v>
      </c>
      <c r="AP22" s="76">
        <f>IFERROR(TR/(RadSpec!E22*IFON_far_adj*CF_onion),".")</f>
        <v>1.9222363143502244E-2</v>
      </c>
      <c r="AQ22" s="76">
        <f>IFERROR(TR/(RadSpec!E22*IFPC_far_adj*CF_peach),".")</f>
        <v>4.5370251445699238E-3</v>
      </c>
      <c r="AR22" s="76">
        <f>IFERROR(TR/(RadSpec!E22*IFPR_far_adj*CF_pear),".")</f>
        <v>7.4488580956405806E-3</v>
      </c>
      <c r="AS22" s="76">
        <f>IFERROR(TR/(RadSpec!E22*IFPE_far_adj*CF_peas),".")</f>
        <v>1.4885798018328138E-2</v>
      </c>
      <c r="AT22" s="76">
        <f>IFERROR(TR/(RadSpec!E22*IFPT_far_adj*CF_potato),".")</f>
        <v>3.6025648640677969E-3</v>
      </c>
      <c r="AU22" s="76">
        <f>IFERROR(TR/(RadSpec!E22*IFPU_far_adj*CF_pumpkin),".")</f>
        <v>7.5199028139792158E-3</v>
      </c>
      <c r="AV22" s="76">
        <f>IFERROR(TR/(RadSpec!E22*IFSN_far_adj*CF_snap_bean),".")</f>
        <v>9.2674805871651427E-3</v>
      </c>
      <c r="AW22" s="76">
        <f>IFERROR(TR/(RadSpec!E22*IFST_far_adj*CF_strawberry),".")</f>
        <v>1.2171145684792108E-2</v>
      </c>
      <c r="AX22" s="76">
        <f>IFERROR(TR/(RadSpec!E22*IFTO_far_adj*CF_tomato),".")</f>
        <v>5.4531526648233311E-3</v>
      </c>
      <c r="AY22" s="76">
        <f>IFERROR(TR/(RadSpec!E22*IFRI_far_adj*CF_rice),".")</f>
        <v>5.7825991431755151E-3</v>
      </c>
      <c r="AZ22" s="76">
        <f>IFERROR(TR/(RadSpec!E22*IFCG_far_adj*CF_cereal),".")</f>
        <v>5.4717542559872294E-3</v>
      </c>
    </row>
    <row r="23" spans="1:52" x14ac:dyDescent="0.25">
      <c r="A23" s="94" t="s">
        <v>33</v>
      </c>
      <c r="B23" s="90" t="s">
        <v>351</v>
      </c>
      <c r="C23" s="76">
        <f t="shared" si="18"/>
        <v>1.6140601179746175E-4</v>
      </c>
      <c r="D23" s="76">
        <f>IFERROR(TR/(RadSpec!E23*IFAP_res_adj*CF_apple),".")</f>
        <v>2.912857193191315E-3</v>
      </c>
      <c r="E23" s="76">
        <f>IFERROR(TR/(RadSpec!E23*IFAS_res_adj*CF_asparagus),".")</f>
        <v>6.4748266187115112E-3</v>
      </c>
      <c r="F23" s="76">
        <f>IFERROR(TR/(RadSpec!E23*IFBT_res_adj*CF_beet),".")</f>
        <v>7.9204465908960311E-3</v>
      </c>
      <c r="G23" s="76">
        <f>IFERROR(TR/(RadSpec!E23*IFBE_res_adj*CF_berries),".")</f>
        <v>6.5250190731201271E-3</v>
      </c>
      <c r="H23" s="76">
        <f>IFERROR(TR/(RadSpec!E23*IFBR_res_adj*CF_broccoli),".")</f>
        <v>7.7308672959288558E-3</v>
      </c>
      <c r="I23" s="76">
        <f>IFERROR(TR/(RadSpec!E23*IFCB_res_adj*CF_cabbage),".")</f>
        <v>2.8997814170865833E-3</v>
      </c>
      <c r="J23" s="76">
        <f>IFERROR(TR/(RadSpec!E23*IFCR_res_adj*CF_carrot),".")</f>
        <v>8.7431558685150713E-3</v>
      </c>
      <c r="K23" s="76">
        <f>IFERROR(TR/(RadSpec!E23*IFCI_res_adj*CF_citrus),".")</f>
        <v>7.555696269148977E-4</v>
      </c>
      <c r="L23" s="76">
        <f>IFERROR(TR/(RadSpec!E23*IFCO_res_adj*CF_corn),".")</f>
        <v>4.1495378240622022E-3</v>
      </c>
      <c r="M23" s="76">
        <f>IFERROR(TR/(RadSpec!E23*IFCU_res_adj*CF_cucumber),".")</f>
        <v>3.0856483219587182E-3</v>
      </c>
      <c r="N23" s="76">
        <f>IFERROR(TR/(RadSpec!E23*IFLE_res_adj*CF_lettuce),".")</f>
        <v>7.1664102668401401E-3</v>
      </c>
      <c r="O23" s="76">
        <f>IFERROR(TR/(RadSpec!E23*IFLI_res_adj*CF_lima_bean),".")</f>
        <v>7.7697919424538136E-3</v>
      </c>
      <c r="P23" s="76">
        <f>IFERROR(TR/(RadSpec!E23*IFOK_res_adj*CF_okra),".")</f>
        <v>8.7376552986072279E-3</v>
      </c>
      <c r="Q23" s="76">
        <f>IFERROR(TR/(RadSpec!E23*IFON_res_adj*CF_onion),".")</f>
        <v>1.1799917669614435E-2</v>
      </c>
      <c r="R23" s="76">
        <f>IFERROR(TR/(RadSpec!E23*IFPC_res_adj*CF_peach),".")</f>
        <v>1.8627284196802833E-3</v>
      </c>
      <c r="S23" s="76">
        <f>IFERROR(TR/(RadSpec!E23*IFPR_res_adj*CF_pear),".")</f>
        <v>3.8627459594315645E-3</v>
      </c>
      <c r="T23" s="76">
        <f>IFERROR(TR/(RadSpec!E23*IFPE_res_adj*CF_peas),".")</f>
        <v>6.1685556727231585E-3</v>
      </c>
      <c r="U23" s="76">
        <f>IFERROR(TR/(RadSpec!E23*IFPT_res_adj*CF_potato),".")</f>
        <v>1.9382461931667283E-3</v>
      </c>
      <c r="V23" s="76">
        <f>IFERROR(TR/(RadSpec!E23*IFPU_res_adj*CF_pumpkin),".")</f>
        <v>3.5447940523573741E-3</v>
      </c>
      <c r="W23" s="76">
        <f>IFERROR(TR/(RadSpec!E23*IFSN_res_adj*CF_snap_bean),".")</f>
        <v>4.4736682548353005E-3</v>
      </c>
      <c r="X23" s="76">
        <f>IFERROR(TR/(RadSpec!E23*IFST_res_adj*CF_strawberry),".")</f>
        <v>5.7760462038412112E-3</v>
      </c>
      <c r="Y23" s="76">
        <f>IFERROR(TR/(RadSpec!E23*IFTO_res_adj*CF_tomato),".")</f>
        <v>3.1136650817478288E-3</v>
      </c>
      <c r="Z23" s="76">
        <f>IFERROR(TR/(RadSpec!E23*IFRI_res_adj*CF_rice),".")</f>
        <v>3.3940623404536143E-3</v>
      </c>
      <c r="AA23" s="76">
        <f>IFERROR(TR/(RadSpec!E23*IFCG_res_adj*CF_cereal),".")</f>
        <v>2.6279097629396766E-3</v>
      </c>
      <c r="AB23" s="76">
        <f t="shared" si="19"/>
        <v>9.9065962624326849E-5</v>
      </c>
      <c r="AC23" s="76">
        <f>IFERROR(TR/(RadSpec!E23*IFAP_far_adj*CF_apple),".")</f>
        <v>1.6449725331204774E-3</v>
      </c>
      <c r="AD23" s="76">
        <f>IFERROR(TR/(RadSpec!E23*IFAS_far_adj*CF_asparagus),".")</f>
        <v>3.9450370961898011E-3</v>
      </c>
      <c r="AE23" s="76">
        <f>IFERROR(TR/(RadSpec!E23*IFBT_far_adj*CF_beet),".")</f>
        <v>4.7239806452844188E-3</v>
      </c>
      <c r="AF23" s="76">
        <f>IFERROR(TR/(RadSpec!E23*IFBE_far_adj*CF_berries),".")</f>
        <v>4.1242770889788243E-3</v>
      </c>
      <c r="AG23" s="76">
        <f>IFERROR(TR/(RadSpec!E23*IFBR_far_adj*CF_broccoli),".")</f>
        <v>4.3178930816527884E-3</v>
      </c>
      <c r="AH23" s="76">
        <f>IFERROR(TR/(RadSpec!E23*IFCB_far_adj*CF_cabbage),".")</f>
        <v>1.86247862372753E-3</v>
      </c>
      <c r="AI23" s="76">
        <f>IFERROR(TR/(RadSpec!E23*IFCR_far_adj*CF_carrot),".")</f>
        <v>6.1088643488613108E-3</v>
      </c>
      <c r="AJ23" s="76">
        <f>IFERROR(TR/(RadSpec!E23*IFCI_far_adj*CF_citrus),".")</f>
        <v>4.7538946079535147E-4</v>
      </c>
      <c r="AK23" s="76">
        <f>IFERROR(TR/(RadSpec!E23*IFCO_far_adj*CF_corn),".")</f>
        <v>1.8616048652417652E-3</v>
      </c>
      <c r="AL23" s="76">
        <f>IFERROR(TR/(RadSpec!E23*IFCU_far_adj*CF_cucumber),".")</f>
        <v>2.8228664831577623E-3</v>
      </c>
      <c r="AM23" s="76">
        <f>IFERROR(TR/(RadSpec!E23*IFLE_far_adj*CF_lettuce),".")</f>
        <v>4.2727282255456672E-3</v>
      </c>
      <c r="AN23" s="76">
        <f>IFERROR(TR/(RadSpec!E23*IFLI_far_adj*CF_lima_bean),".")</f>
        <v>4.6754765518048115E-3</v>
      </c>
      <c r="AO23" s="76">
        <f>IFERROR(TR/(RadSpec!E23*IFOK_far_adj*CF_okra),".")</f>
        <v>5.2478757215704483E-3</v>
      </c>
      <c r="AP23" s="76">
        <f>IFERROR(TR/(RadSpec!E23*IFON_far_adj*CF_onion),".")</f>
        <v>5.7390508665852028E-3</v>
      </c>
      <c r="AQ23" s="76">
        <f>IFERROR(TR/(RadSpec!E23*IFPC_far_adj*CF_peach),".")</f>
        <v>1.354579449637783E-3</v>
      </c>
      <c r="AR23" s="76">
        <f>IFERROR(TR/(RadSpec!E23*IFPR_far_adj*CF_pear),".")</f>
        <v>2.2239396472595982E-3</v>
      </c>
      <c r="AS23" s="76">
        <f>IFERROR(TR/(RadSpec!E23*IFPE_far_adj*CF_peas),".")</f>
        <v>4.4443209910835814E-3</v>
      </c>
      <c r="AT23" s="76">
        <f>IFERROR(TR/(RadSpec!E23*IFPT_far_adj*CF_potato),".")</f>
        <v>1.0755859126533351E-3</v>
      </c>
      <c r="AU23" s="76">
        <f>IFERROR(TR/(RadSpec!E23*IFPU_far_adj*CF_pumpkin),".")</f>
        <v>2.2451508401448743E-3</v>
      </c>
      <c r="AV23" s="76">
        <f>IFERROR(TR/(RadSpec!E23*IFSN_far_adj*CF_snap_bean),".")</f>
        <v>2.7669096717075786E-3</v>
      </c>
      <c r="AW23" s="76">
        <f>IFERROR(TR/(RadSpec!E23*IFST_far_adj*CF_strawberry),".")</f>
        <v>3.6338312656033992E-3</v>
      </c>
      <c r="AX23" s="76">
        <f>IFERROR(TR/(RadSpec!E23*IFTO_far_adj*CF_tomato),".")</f>
        <v>1.6280995366199159E-3</v>
      </c>
      <c r="AY23" s="76">
        <f>IFERROR(TR/(RadSpec!E23*IFRI_far_adj*CF_rice),".")</f>
        <v>1.7264594564157115E-3</v>
      </c>
      <c r="AZ23" s="76">
        <f>IFERROR(TR/(RadSpec!E23*IFCG_far_adj*CF_cereal),".")</f>
        <v>1.6336532490897127E-3</v>
      </c>
    </row>
    <row r="24" spans="1:52" x14ac:dyDescent="0.25">
      <c r="A24" s="92" t="s">
        <v>34</v>
      </c>
      <c r="B24" s="90" t="s">
        <v>1074</v>
      </c>
      <c r="C24" s="76" t="str">
        <f t="shared" ref="C24:C25" si="20">IFERROR(1/SUM(1/D24,1/E24,1/F24,1/G24,1/H24,1/I24,1/J24,1/K24,1/L24,1/M24,1/N24,1/O24,1/P24,1/Q24,1/R24,1/S24,1/T24,1/U24,1/V24,1/W24,1/X24,1/Y24),".")</f>
        <v>.</v>
      </c>
      <c r="D24" s="76" t="str">
        <f>IFERROR(TR/(RadSpec!E24*IFAP_res_adj*CF_apple),".")</f>
        <v>.</v>
      </c>
      <c r="E24" s="76" t="str">
        <f>IFERROR(TR/(RadSpec!E24*IFAS_res_adj*CF_asparagus),".")</f>
        <v>.</v>
      </c>
      <c r="F24" s="76" t="str">
        <f>IFERROR(TR/(RadSpec!E24*IFBT_res_adj*CF_beet),".")</f>
        <v>.</v>
      </c>
      <c r="G24" s="76" t="str">
        <f>IFERROR(TR/(RadSpec!E24*IFBE_res_adj*CF_berries),".")</f>
        <v>.</v>
      </c>
      <c r="H24" s="76" t="str">
        <f>IFERROR(TR/(RadSpec!E24*IFBR_res_adj*CF_broccoli),".")</f>
        <v>.</v>
      </c>
      <c r="I24" s="76" t="str">
        <f>IFERROR(TR/(RadSpec!E24*IFCB_res_adj*CF_cabbage),".")</f>
        <v>.</v>
      </c>
      <c r="J24" s="76" t="str">
        <f>IFERROR(TR/(RadSpec!E24*IFCR_res_adj*CF_carrot),".")</f>
        <v>.</v>
      </c>
      <c r="K24" s="76" t="str">
        <f>IFERROR(TR/(RadSpec!E24*IFCI_res_adj*CF_citrus),".")</f>
        <v>.</v>
      </c>
      <c r="L24" s="76" t="str">
        <f>IFERROR(TR/(RadSpec!E24*IFCO_res_adj*CF_corn),".")</f>
        <v>.</v>
      </c>
      <c r="M24" s="76" t="str">
        <f>IFERROR(TR/(RadSpec!E24*IFCU_res_adj*CF_cucumber),".")</f>
        <v>.</v>
      </c>
      <c r="N24" s="76" t="str">
        <f>IFERROR(TR/(RadSpec!E24*IFLE_res_adj*CF_lettuce),".")</f>
        <v>.</v>
      </c>
      <c r="O24" s="76" t="str">
        <f>IFERROR(TR/(RadSpec!E24*IFLI_res_adj*CF_lima_bean),".")</f>
        <v>.</v>
      </c>
      <c r="P24" s="76" t="str">
        <f>IFERROR(TR/(RadSpec!E24*IFOK_res_adj*CF_okra),".")</f>
        <v>.</v>
      </c>
      <c r="Q24" s="76" t="str">
        <f>IFERROR(TR/(RadSpec!E24*IFON_res_adj*CF_onion),".")</f>
        <v>.</v>
      </c>
      <c r="R24" s="76" t="str">
        <f>IFERROR(TR/(RadSpec!E24*IFPC_res_adj*CF_peach),".")</f>
        <v>.</v>
      </c>
      <c r="S24" s="76" t="str">
        <f>IFERROR(TR/(RadSpec!E24*IFPR_res_adj*CF_pear),".")</f>
        <v>.</v>
      </c>
      <c r="T24" s="76" t="str">
        <f>IFERROR(TR/(RadSpec!E24*IFPE_res_adj*CF_peas),".")</f>
        <v>.</v>
      </c>
      <c r="U24" s="76" t="str">
        <f>IFERROR(TR/(RadSpec!E24*IFPT_res_adj*CF_potato),".")</f>
        <v>.</v>
      </c>
      <c r="V24" s="76" t="str">
        <f>IFERROR(TR/(RadSpec!E24*IFPU_res_adj*CF_pumpkin),".")</f>
        <v>.</v>
      </c>
      <c r="W24" s="76" t="str">
        <f>IFERROR(TR/(RadSpec!E24*IFSN_res_adj*CF_snap_bean),".")</f>
        <v>.</v>
      </c>
      <c r="X24" s="76" t="str">
        <f>IFERROR(TR/(RadSpec!E24*IFST_res_adj*CF_strawberry),".")</f>
        <v>.</v>
      </c>
      <c r="Y24" s="76" t="str">
        <f>IFERROR(TR/(RadSpec!E24*IFTO_res_adj*CF_tomato),".")</f>
        <v>.</v>
      </c>
      <c r="Z24" s="76" t="str">
        <f>IFERROR(TR/(RadSpec!E24*IFRI_res_adj*CF_rice),".")</f>
        <v>.</v>
      </c>
      <c r="AA24" s="76" t="str">
        <f>IFERROR(TR/(RadSpec!E24*IFCG_res_adj*CF_cereal),".")</f>
        <v>.</v>
      </c>
      <c r="AB24" s="76" t="str">
        <f t="shared" ref="AB24:AB25" si="21">IFERROR(1/SUM(1/AC24,1/AD24,1/AE24,1/AF24,1/AG24,1/AH24,1/AI24,1/AJ24,1/AK24,1/AL24,1/AM24,1/AN24,1/AO24,1/AP24,1/AQ24,1/AR24,1/AS24,1/AT24,1/AU24,1/AV24,1/AW24,1/AX24),".")</f>
        <v>.</v>
      </c>
      <c r="AC24" s="76" t="str">
        <f>IFERROR(TR/(RadSpec!E24*IFAP_far_adj*CF_apple),".")</f>
        <v>.</v>
      </c>
      <c r="AD24" s="76" t="str">
        <f>IFERROR(TR/(RadSpec!E24*IFAS_far_adj*CF_asparagus),".")</f>
        <v>.</v>
      </c>
      <c r="AE24" s="76" t="str">
        <f>IFERROR(TR/(RadSpec!E24*IFBT_far_adj*CF_beet),".")</f>
        <v>.</v>
      </c>
      <c r="AF24" s="76" t="str">
        <f>IFERROR(TR/(RadSpec!E24*IFBE_far_adj*CF_berries),".")</f>
        <v>.</v>
      </c>
      <c r="AG24" s="76" t="str">
        <f>IFERROR(TR/(RadSpec!E24*IFBR_far_adj*CF_broccoli),".")</f>
        <v>.</v>
      </c>
      <c r="AH24" s="76" t="str">
        <f>IFERROR(TR/(RadSpec!E24*IFCB_far_adj*CF_cabbage),".")</f>
        <v>.</v>
      </c>
      <c r="AI24" s="76" t="str">
        <f>IFERROR(TR/(RadSpec!E24*IFCR_far_adj*CF_carrot),".")</f>
        <v>.</v>
      </c>
      <c r="AJ24" s="76" t="str">
        <f>IFERROR(TR/(RadSpec!E24*IFCI_far_adj*CF_citrus),".")</f>
        <v>.</v>
      </c>
      <c r="AK24" s="76" t="str">
        <f>IFERROR(TR/(RadSpec!E24*IFCO_far_adj*CF_corn),".")</f>
        <v>.</v>
      </c>
      <c r="AL24" s="76" t="str">
        <f>IFERROR(TR/(RadSpec!E24*IFCU_far_adj*CF_cucumber),".")</f>
        <v>.</v>
      </c>
      <c r="AM24" s="76" t="str">
        <f>IFERROR(TR/(RadSpec!E24*IFLE_far_adj*CF_lettuce),".")</f>
        <v>.</v>
      </c>
      <c r="AN24" s="76" t="str">
        <f>IFERROR(TR/(RadSpec!E24*IFLI_far_adj*CF_lima_bean),".")</f>
        <v>.</v>
      </c>
      <c r="AO24" s="76" t="str">
        <f>IFERROR(TR/(RadSpec!E24*IFOK_far_adj*CF_okra),".")</f>
        <v>.</v>
      </c>
      <c r="AP24" s="76" t="str">
        <f>IFERROR(TR/(RadSpec!E24*IFON_far_adj*CF_onion),".")</f>
        <v>.</v>
      </c>
      <c r="AQ24" s="76" t="str">
        <f>IFERROR(TR/(RadSpec!E24*IFPC_far_adj*CF_peach),".")</f>
        <v>.</v>
      </c>
      <c r="AR24" s="76" t="str">
        <f>IFERROR(TR/(RadSpec!E24*IFPR_far_adj*CF_pear),".")</f>
        <v>.</v>
      </c>
      <c r="AS24" s="76" t="str">
        <f>IFERROR(TR/(RadSpec!E24*IFPE_far_adj*CF_peas),".")</f>
        <v>.</v>
      </c>
      <c r="AT24" s="76" t="str">
        <f>IFERROR(TR/(RadSpec!E24*IFPT_far_adj*CF_potato),".")</f>
        <v>.</v>
      </c>
      <c r="AU24" s="76" t="str">
        <f>IFERROR(TR/(RadSpec!E24*IFPU_far_adj*CF_pumpkin),".")</f>
        <v>.</v>
      </c>
      <c r="AV24" s="76" t="str">
        <f>IFERROR(TR/(RadSpec!E24*IFSN_far_adj*CF_snap_bean),".")</f>
        <v>.</v>
      </c>
      <c r="AW24" s="76" t="str">
        <f>IFERROR(TR/(RadSpec!E24*IFST_far_adj*CF_strawberry),".")</f>
        <v>.</v>
      </c>
      <c r="AX24" s="76" t="str">
        <f>IFERROR(TR/(RadSpec!E24*IFTO_far_adj*CF_tomato),".")</f>
        <v>.</v>
      </c>
      <c r="AY24" s="76" t="str">
        <f>IFERROR(TR/(RadSpec!E24*IFRI_far_adj*CF_rice),".")</f>
        <v>.</v>
      </c>
      <c r="AZ24" s="76" t="str">
        <f>IFERROR(TR/(RadSpec!E24*IFCG_far_adj*CF_cereal),".")</f>
        <v>.</v>
      </c>
    </row>
    <row r="25" spans="1:52" x14ac:dyDescent="0.25">
      <c r="A25" s="94" t="s">
        <v>35</v>
      </c>
      <c r="B25" s="90" t="s">
        <v>351</v>
      </c>
      <c r="C25" s="76" t="str">
        <f t="shared" si="20"/>
        <v>.</v>
      </c>
      <c r="D25" s="76" t="str">
        <f>IFERROR(TR/(RadSpec!E25*IFAP_res_adj*CF_apple),".")</f>
        <v>.</v>
      </c>
      <c r="E25" s="76" t="str">
        <f>IFERROR(TR/(RadSpec!E25*IFAS_res_adj*CF_asparagus),".")</f>
        <v>.</v>
      </c>
      <c r="F25" s="76" t="str">
        <f>IFERROR(TR/(RadSpec!E25*IFBT_res_adj*CF_beet),".")</f>
        <v>.</v>
      </c>
      <c r="G25" s="76" t="str">
        <f>IFERROR(TR/(RadSpec!E25*IFBE_res_adj*CF_berries),".")</f>
        <v>.</v>
      </c>
      <c r="H25" s="76" t="str">
        <f>IFERROR(TR/(RadSpec!E25*IFBR_res_adj*CF_broccoli),".")</f>
        <v>.</v>
      </c>
      <c r="I25" s="76" t="str">
        <f>IFERROR(TR/(RadSpec!E25*IFCB_res_adj*CF_cabbage),".")</f>
        <v>.</v>
      </c>
      <c r="J25" s="76" t="str">
        <f>IFERROR(TR/(RadSpec!E25*IFCR_res_adj*CF_carrot),".")</f>
        <v>.</v>
      </c>
      <c r="K25" s="76" t="str">
        <f>IFERROR(TR/(RadSpec!E25*IFCI_res_adj*CF_citrus),".")</f>
        <v>.</v>
      </c>
      <c r="L25" s="76" t="str">
        <f>IFERROR(TR/(RadSpec!E25*IFCO_res_adj*CF_corn),".")</f>
        <v>.</v>
      </c>
      <c r="M25" s="76" t="str">
        <f>IFERROR(TR/(RadSpec!E25*IFCU_res_adj*CF_cucumber),".")</f>
        <v>.</v>
      </c>
      <c r="N25" s="76" t="str">
        <f>IFERROR(TR/(RadSpec!E25*IFLE_res_adj*CF_lettuce),".")</f>
        <v>.</v>
      </c>
      <c r="O25" s="76" t="str">
        <f>IFERROR(TR/(RadSpec!E25*IFLI_res_adj*CF_lima_bean),".")</f>
        <v>.</v>
      </c>
      <c r="P25" s="76" t="str">
        <f>IFERROR(TR/(RadSpec!E25*IFOK_res_adj*CF_okra),".")</f>
        <v>.</v>
      </c>
      <c r="Q25" s="76" t="str">
        <f>IFERROR(TR/(RadSpec!E25*IFON_res_adj*CF_onion),".")</f>
        <v>.</v>
      </c>
      <c r="R25" s="76" t="str">
        <f>IFERROR(TR/(RadSpec!E25*IFPC_res_adj*CF_peach),".")</f>
        <v>.</v>
      </c>
      <c r="S25" s="76" t="str">
        <f>IFERROR(TR/(RadSpec!E25*IFPR_res_adj*CF_pear),".")</f>
        <v>.</v>
      </c>
      <c r="T25" s="76" t="str">
        <f>IFERROR(TR/(RadSpec!E25*IFPE_res_adj*CF_peas),".")</f>
        <v>.</v>
      </c>
      <c r="U25" s="76" t="str">
        <f>IFERROR(TR/(RadSpec!E25*IFPT_res_adj*CF_potato),".")</f>
        <v>.</v>
      </c>
      <c r="V25" s="76" t="str">
        <f>IFERROR(TR/(RadSpec!E25*IFPU_res_adj*CF_pumpkin),".")</f>
        <v>.</v>
      </c>
      <c r="W25" s="76" t="str">
        <f>IFERROR(TR/(RadSpec!E25*IFSN_res_adj*CF_snap_bean),".")</f>
        <v>.</v>
      </c>
      <c r="X25" s="76" t="str">
        <f>IFERROR(TR/(RadSpec!E25*IFST_res_adj*CF_strawberry),".")</f>
        <v>.</v>
      </c>
      <c r="Y25" s="76" t="str">
        <f>IFERROR(TR/(RadSpec!E25*IFTO_res_adj*CF_tomato),".")</f>
        <v>.</v>
      </c>
      <c r="Z25" s="76" t="str">
        <f>IFERROR(TR/(RadSpec!E25*IFRI_res_adj*CF_rice),".")</f>
        <v>.</v>
      </c>
      <c r="AA25" s="76" t="str">
        <f>IFERROR(TR/(RadSpec!E25*IFCG_res_adj*CF_cereal),".")</f>
        <v>.</v>
      </c>
      <c r="AB25" s="76" t="str">
        <f t="shared" si="21"/>
        <v>.</v>
      </c>
      <c r="AC25" s="76" t="str">
        <f>IFERROR(TR/(RadSpec!E25*IFAP_far_adj*CF_apple),".")</f>
        <v>.</v>
      </c>
      <c r="AD25" s="76" t="str">
        <f>IFERROR(TR/(RadSpec!E25*IFAS_far_adj*CF_asparagus),".")</f>
        <v>.</v>
      </c>
      <c r="AE25" s="76" t="str">
        <f>IFERROR(TR/(RadSpec!E25*IFBT_far_adj*CF_beet),".")</f>
        <v>.</v>
      </c>
      <c r="AF25" s="76" t="str">
        <f>IFERROR(TR/(RadSpec!E25*IFBE_far_adj*CF_berries),".")</f>
        <v>.</v>
      </c>
      <c r="AG25" s="76" t="str">
        <f>IFERROR(TR/(RadSpec!E25*IFBR_far_adj*CF_broccoli),".")</f>
        <v>.</v>
      </c>
      <c r="AH25" s="76" t="str">
        <f>IFERROR(TR/(RadSpec!E25*IFCB_far_adj*CF_cabbage),".")</f>
        <v>.</v>
      </c>
      <c r="AI25" s="76" t="str">
        <f>IFERROR(TR/(RadSpec!E25*IFCR_far_adj*CF_carrot),".")</f>
        <v>.</v>
      </c>
      <c r="AJ25" s="76" t="str">
        <f>IFERROR(TR/(RadSpec!E25*IFCI_far_adj*CF_citrus),".")</f>
        <v>.</v>
      </c>
      <c r="AK25" s="76" t="str">
        <f>IFERROR(TR/(RadSpec!E25*IFCO_far_adj*CF_corn),".")</f>
        <v>.</v>
      </c>
      <c r="AL25" s="76" t="str">
        <f>IFERROR(TR/(RadSpec!E25*IFCU_far_adj*CF_cucumber),".")</f>
        <v>.</v>
      </c>
      <c r="AM25" s="76" t="str">
        <f>IFERROR(TR/(RadSpec!E25*IFLE_far_adj*CF_lettuce),".")</f>
        <v>.</v>
      </c>
      <c r="AN25" s="76" t="str">
        <f>IFERROR(TR/(RadSpec!E25*IFLI_far_adj*CF_lima_bean),".")</f>
        <v>.</v>
      </c>
      <c r="AO25" s="76" t="str">
        <f>IFERROR(TR/(RadSpec!E25*IFOK_far_adj*CF_okra),".")</f>
        <v>.</v>
      </c>
      <c r="AP25" s="76" t="str">
        <f>IFERROR(TR/(RadSpec!E25*IFON_far_adj*CF_onion),".")</f>
        <v>.</v>
      </c>
      <c r="AQ25" s="76" t="str">
        <f>IFERROR(TR/(RadSpec!E25*IFPC_far_adj*CF_peach),".")</f>
        <v>.</v>
      </c>
      <c r="AR25" s="76" t="str">
        <f>IFERROR(TR/(RadSpec!E25*IFPR_far_adj*CF_pear),".")</f>
        <v>.</v>
      </c>
      <c r="AS25" s="76" t="str">
        <f>IFERROR(TR/(RadSpec!E25*IFPE_far_adj*CF_peas),".")</f>
        <v>.</v>
      </c>
      <c r="AT25" s="76" t="str">
        <f>IFERROR(TR/(RadSpec!E25*IFPT_far_adj*CF_potato),".")</f>
        <v>.</v>
      </c>
      <c r="AU25" s="76" t="str">
        <f>IFERROR(TR/(RadSpec!E25*IFPU_far_adj*CF_pumpkin),".")</f>
        <v>.</v>
      </c>
      <c r="AV25" s="76" t="str">
        <f>IFERROR(TR/(RadSpec!E25*IFSN_far_adj*CF_snap_bean),".")</f>
        <v>.</v>
      </c>
      <c r="AW25" s="76" t="str">
        <f>IFERROR(TR/(RadSpec!E25*IFST_far_adj*CF_strawberry),".")</f>
        <v>.</v>
      </c>
      <c r="AX25" s="76" t="str">
        <f>IFERROR(TR/(RadSpec!E25*IFTO_far_adj*CF_tomato),".")</f>
        <v>.</v>
      </c>
      <c r="AY25" s="76" t="str">
        <f>IFERROR(TR/(RadSpec!E25*IFRI_far_adj*CF_rice),".")</f>
        <v>.</v>
      </c>
      <c r="AZ25" s="76" t="str">
        <f>IFERROR(TR/(RadSpec!E25*IFCG_far_adj*CF_cereal),".")</f>
        <v>.</v>
      </c>
    </row>
    <row r="26" spans="1:52" x14ac:dyDescent="0.25">
      <c r="A26" s="92" t="s">
        <v>36</v>
      </c>
      <c r="B26" s="90" t="s">
        <v>1074</v>
      </c>
      <c r="C26" s="76">
        <f t="shared" ref="C26:C29" si="22">IFERROR(1/SUM(1/D26,1/E26,1/F26,1/G26,1/H26,1/I26,1/J26,1/K26,1/L26,1/M26,1/N26,1/O26,1/P26,1/Q26,1/R26,1/S26,1/T26,1/U26,1/V26,1/W26,1/X26,1/Y26),".")</f>
        <v>2.8580172789614247E-4</v>
      </c>
      <c r="D26" s="76">
        <f>IFERROR(TR/(RadSpec!E26*IFAP_res_adj*CF_apple),".")</f>
        <v>5.1577980873069142E-3</v>
      </c>
      <c r="E26" s="76">
        <f>IFERROR(TR/(RadSpec!E26*IFAS_res_adj*CF_asparagus),".")</f>
        <v>1.146497961784586E-2</v>
      </c>
      <c r="F26" s="76">
        <f>IFERROR(TR/(RadSpec!E26*IFBT_res_adj*CF_beet),".")</f>
        <v>1.4024739823370042E-2</v>
      </c>
      <c r="G26" s="76">
        <f>IFERROR(TR/(RadSpec!E26*IFBE_res_adj*CF_berries),".")</f>
        <v>1.155385542883691E-2</v>
      </c>
      <c r="H26" s="76">
        <f>IFERROR(TR/(RadSpec!E26*IFBR_res_adj*CF_broccoli),".")</f>
        <v>1.368905164502052E-2</v>
      </c>
      <c r="I26" s="76">
        <f>IFERROR(TR/(RadSpec!E26*IFCB_res_adj*CF_cabbage),".")</f>
        <v>5.134644802229746E-3</v>
      </c>
      <c r="J26" s="76">
        <f>IFERROR(TR/(RadSpec!E26*IFCR_res_adj*CF_carrot),".")</f>
        <v>1.5481511665268724E-2</v>
      </c>
      <c r="K26" s="76">
        <f>IFERROR(TR/(RadSpec!E26*IFCI_res_adj*CF_citrus),".")</f>
        <v>1.3378876196327484E-3</v>
      </c>
      <c r="L26" s="76">
        <f>IFERROR(TR/(RadSpec!E26*IFCO_res_adj*CF_corn),".")</f>
        <v>7.3475892680846628E-3</v>
      </c>
      <c r="M26" s="76">
        <f>IFERROR(TR/(RadSpec!E26*IFCU_res_adj*CF_cucumber),".")</f>
        <v>5.4637594490733986E-3</v>
      </c>
      <c r="N26" s="76">
        <f>IFERROR(TR/(RadSpec!E26*IFLE_res_adj*CF_lettuce),".")</f>
        <v>1.2689567224086361E-2</v>
      </c>
      <c r="O26" s="76">
        <f>IFERROR(TR/(RadSpec!E26*IFLI_res_adj*CF_lima_bean),".")</f>
        <v>1.3757975541415031E-2</v>
      </c>
      <c r="P26" s="76">
        <f>IFERROR(TR/(RadSpec!E26*IFOK_res_adj*CF_okra),".")</f>
        <v>1.5471771802629361E-2</v>
      </c>
      <c r="Q26" s="76">
        <f>IFERROR(TR/(RadSpec!E26*IFON_res_adj*CF_onion),".")</f>
        <v>2.0894121733457408E-2</v>
      </c>
      <c r="R26" s="76">
        <f>IFERROR(TR/(RadSpec!E26*IFPC_res_adj*CF_peach),".")</f>
        <v>3.2983343991790999E-3</v>
      </c>
      <c r="S26" s="76">
        <f>IFERROR(TR/(RadSpec!E26*IFPR_res_adj*CF_pear),".")</f>
        <v>6.8397667307132154E-3</v>
      </c>
      <c r="T26" s="76">
        <f>IFERROR(TR/(RadSpec!E26*IFPE_res_adj*CF_peas),".")</f>
        <v>1.0922665458707247E-2</v>
      </c>
      <c r="U26" s="76">
        <f>IFERROR(TR/(RadSpec!E26*IFPT_res_adj*CF_potato),".")</f>
        <v>3.4320537687920405E-3</v>
      </c>
      <c r="V26" s="76">
        <f>IFERROR(TR/(RadSpec!E26*IFPU_res_adj*CF_pumpkin),".")</f>
        <v>6.2767690863398075E-3</v>
      </c>
      <c r="W26" s="76">
        <f>IFERROR(TR/(RadSpec!E26*IFSN_res_adj*CF_snap_bean),".")</f>
        <v>7.9215272283070914E-3</v>
      </c>
      <c r="X26" s="76">
        <f>IFERROR(TR/(RadSpec!E26*IFST_res_adj*CF_strawberry),".")</f>
        <v>1.0227648692151951E-2</v>
      </c>
      <c r="Y26" s="76">
        <f>IFERROR(TR/(RadSpec!E26*IFTO_res_adj*CF_tomato),".")</f>
        <v>5.5133687434770467E-3</v>
      </c>
      <c r="Z26" s="76">
        <f>IFERROR(TR/(RadSpec!E26*IFRI_res_adj*CF_rice),".")</f>
        <v>6.009868348064361E-3</v>
      </c>
      <c r="AA26" s="76">
        <f>IFERROR(TR/(RadSpec!E26*IFCG_res_adj*CF_cereal),".")</f>
        <v>4.6532414910651588E-3</v>
      </c>
      <c r="AB26" s="76">
        <f t="shared" ref="AB26:AB29" si="23">IFERROR(1/SUM(1/AC26,1/AD26,1/AE26,1/AF26,1/AG26,1/AH26,1/AI26,1/AJ26,1/AK26,1/AL26,1/AM26,1/AN26,1/AO26,1/AP26,1/AQ26,1/AR26,1/AS26,1/AT26,1/AU26,1/AV26,1/AW26,1/AX26),".")</f>
        <v>1.7541616311823484E-4</v>
      </c>
      <c r="AC26" s="76">
        <f>IFERROR(TR/(RadSpec!E26*IFAP_far_adj*CF_apple),".")</f>
        <v>2.9127539121496346E-3</v>
      </c>
      <c r="AD26" s="76">
        <f>IFERROR(TR/(RadSpec!E26*IFAS_far_adj*CF_asparagus),".")</f>
        <v>6.9854796989857609E-3</v>
      </c>
      <c r="AE26" s="76">
        <f>IFERROR(TR/(RadSpec!E26*IFBT_far_adj*CF_beet),".")</f>
        <v>8.3647555375099894E-3</v>
      </c>
      <c r="AF26" s="76">
        <f>IFERROR(TR/(RadSpec!E26*IFBE_far_adj*CF_berries),".")</f>
        <v>7.3028600683828857E-3</v>
      </c>
      <c r="AG26" s="76">
        <f>IFERROR(TR/(RadSpec!E26*IFBR_far_adj*CF_broccoli),".")</f>
        <v>7.6456960299329602E-3</v>
      </c>
      <c r="AH26" s="76">
        <f>IFERROR(TR/(RadSpec!E26*IFCB_far_adj*CF_cabbage),".")</f>
        <v>3.297892085326454E-3</v>
      </c>
      <c r="AI26" s="76">
        <f>IFERROR(TR/(RadSpec!E26*IFCR_far_adj*CF_carrot),".")</f>
        <v>1.0816969993525124E-2</v>
      </c>
      <c r="AJ26" s="76">
        <f>IFERROR(TR/(RadSpec!E26*IFCI_far_adj*CF_citrus),".")</f>
        <v>8.4177242102616366E-4</v>
      </c>
      <c r="AK26" s="76">
        <f>IFERROR(TR/(RadSpec!E26*IFCO_far_adj*CF_corn),".")</f>
        <v>3.2963449206191765E-3</v>
      </c>
      <c r="AL26" s="76">
        <f>IFERROR(TR/(RadSpec!E26*IFCU_far_adj*CF_cucumber),".")</f>
        <v>4.9984514797315784E-3</v>
      </c>
      <c r="AM26" s="76">
        <f>IFERROR(TR/(RadSpec!E26*IFLE_far_adj*CF_lettuce),".")</f>
        <v>7.5657225904566588E-3</v>
      </c>
      <c r="AN26" s="76">
        <f>IFERROR(TR/(RadSpec!E26*IFLI_far_adj*CF_lima_bean),".")</f>
        <v>8.2788693082913208E-3</v>
      </c>
      <c r="AO26" s="76">
        <f>IFERROR(TR/(RadSpec!E26*IFOK_far_adj*CF_okra),".")</f>
        <v>9.2924168827807924E-3</v>
      </c>
      <c r="AP26" s="76">
        <f>IFERROR(TR/(RadSpec!E26*IFON_far_adj*CF_onion),".")</f>
        <v>1.016214102490883E-2</v>
      </c>
      <c r="AQ26" s="76">
        <f>IFERROR(TR/(RadSpec!E26*IFPC_far_adj*CF_peach),".")</f>
        <v>2.3985546942630808E-3</v>
      </c>
      <c r="AR26" s="76">
        <f>IFERROR(TR/(RadSpec!E26*IFPR_far_adj*CF_pear),".")</f>
        <v>3.9379313499246383E-3</v>
      </c>
      <c r="AS26" s="76">
        <f>IFERROR(TR/(RadSpec!E26*IFPE_far_adj*CF_peas),".")</f>
        <v>7.8695620096893969E-3</v>
      </c>
      <c r="AT26" s="76">
        <f>IFERROR(TR/(RadSpec!E26*IFPT_far_adj*CF_potato),".")</f>
        <v>1.9045406606218286E-3</v>
      </c>
      <c r="AU26" s="76">
        <f>IFERROR(TR/(RadSpec!E26*IFPU_far_adj*CF_pumpkin),".")</f>
        <v>3.9754900226769106E-3</v>
      </c>
      <c r="AV26" s="76">
        <f>IFERROR(TR/(RadSpec!E26*IFSN_far_adj*CF_snap_bean),".")</f>
        <v>4.8993687180554574E-3</v>
      </c>
      <c r="AW26" s="76">
        <f>IFERROR(TR/(RadSpec!E26*IFST_far_adj*CF_strawberry),".")</f>
        <v>6.4344273365461446E-3</v>
      </c>
      <c r="AX26" s="76">
        <f>IFERROR(TR/(RadSpec!E26*IFTO_far_adj*CF_tomato),".")</f>
        <v>2.8828768864989588E-3</v>
      </c>
      <c r="AY26" s="76">
        <f>IFERROR(TR/(RadSpec!E26*IFRI_far_adj*CF_rice),".")</f>
        <v>3.0570428591310045E-3</v>
      </c>
      <c r="AZ26" s="76">
        <f>IFERROR(TR/(RadSpec!E26*IFCG_far_adj*CF_cereal),".")</f>
        <v>2.8927108487066242E-3</v>
      </c>
    </row>
    <row r="27" spans="1:52" x14ac:dyDescent="0.25">
      <c r="A27" s="92" t="s">
        <v>37</v>
      </c>
      <c r="B27" s="90" t="s">
        <v>1074</v>
      </c>
      <c r="C27" s="76" t="str">
        <f t="shared" si="22"/>
        <v>.</v>
      </c>
      <c r="D27" s="76" t="str">
        <f>IFERROR(TR/(RadSpec!E27*IFAP_res_adj*CF_apple),".")</f>
        <v>.</v>
      </c>
      <c r="E27" s="76" t="str">
        <f>IFERROR(TR/(RadSpec!E27*IFAS_res_adj*CF_asparagus),".")</f>
        <v>.</v>
      </c>
      <c r="F27" s="76" t="str">
        <f>IFERROR(TR/(RadSpec!E27*IFBT_res_adj*CF_beet),".")</f>
        <v>.</v>
      </c>
      <c r="G27" s="76" t="str">
        <f>IFERROR(TR/(RadSpec!E27*IFBE_res_adj*CF_berries),".")</f>
        <v>.</v>
      </c>
      <c r="H27" s="76" t="str">
        <f>IFERROR(TR/(RadSpec!E27*IFBR_res_adj*CF_broccoli),".")</f>
        <v>.</v>
      </c>
      <c r="I27" s="76" t="str">
        <f>IFERROR(TR/(RadSpec!E27*IFCB_res_adj*CF_cabbage),".")</f>
        <v>.</v>
      </c>
      <c r="J27" s="76" t="str">
        <f>IFERROR(TR/(RadSpec!E27*IFCR_res_adj*CF_carrot),".")</f>
        <v>.</v>
      </c>
      <c r="K27" s="76" t="str">
        <f>IFERROR(TR/(RadSpec!E27*IFCI_res_adj*CF_citrus),".")</f>
        <v>.</v>
      </c>
      <c r="L27" s="76" t="str">
        <f>IFERROR(TR/(RadSpec!E27*IFCO_res_adj*CF_corn),".")</f>
        <v>.</v>
      </c>
      <c r="M27" s="76" t="str">
        <f>IFERROR(TR/(RadSpec!E27*IFCU_res_adj*CF_cucumber),".")</f>
        <v>.</v>
      </c>
      <c r="N27" s="76" t="str">
        <f>IFERROR(TR/(RadSpec!E27*IFLE_res_adj*CF_lettuce),".")</f>
        <v>.</v>
      </c>
      <c r="O27" s="76" t="str">
        <f>IFERROR(TR/(RadSpec!E27*IFLI_res_adj*CF_lima_bean),".")</f>
        <v>.</v>
      </c>
      <c r="P27" s="76" t="str">
        <f>IFERROR(TR/(RadSpec!E27*IFOK_res_adj*CF_okra),".")</f>
        <v>.</v>
      </c>
      <c r="Q27" s="76" t="str">
        <f>IFERROR(TR/(RadSpec!E27*IFON_res_adj*CF_onion),".")</f>
        <v>.</v>
      </c>
      <c r="R27" s="76" t="str">
        <f>IFERROR(TR/(RadSpec!E27*IFPC_res_adj*CF_peach),".")</f>
        <v>.</v>
      </c>
      <c r="S27" s="76" t="str">
        <f>IFERROR(TR/(RadSpec!E27*IFPR_res_adj*CF_pear),".")</f>
        <v>.</v>
      </c>
      <c r="T27" s="76" t="str">
        <f>IFERROR(TR/(RadSpec!E27*IFPE_res_adj*CF_peas),".")</f>
        <v>.</v>
      </c>
      <c r="U27" s="76" t="str">
        <f>IFERROR(TR/(RadSpec!E27*IFPT_res_adj*CF_potato),".")</f>
        <v>.</v>
      </c>
      <c r="V27" s="76" t="str">
        <f>IFERROR(TR/(RadSpec!E27*IFPU_res_adj*CF_pumpkin),".")</f>
        <v>.</v>
      </c>
      <c r="W27" s="76" t="str">
        <f>IFERROR(TR/(RadSpec!E27*IFSN_res_adj*CF_snap_bean),".")</f>
        <v>.</v>
      </c>
      <c r="X27" s="76" t="str">
        <f>IFERROR(TR/(RadSpec!E27*IFST_res_adj*CF_strawberry),".")</f>
        <v>.</v>
      </c>
      <c r="Y27" s="76" t="str">
        <f>IFERROR(TR/(RadSpec!E27*IFTO_res_adj*CF_tomato),".")</f>
        <v>.</v>
      </c>
      <c r="Z27" s="76" t="str">
        <f>IFERROR(TR/(RadSpec!E27*IFRI_res_adj*CF_rice),".")</f>
        <v>.</v>
      </c>
      <c r="AA27" s="76" t="str">
        <f>IFERROR(TR/(RadSpec!E27*IFCG_res_adj*CF_cereal),".")</f>
        <v>.</v>
      </c>
      <c r="AB27" s="76" t="str">
        <f t="shared" si="23"/>
        <v>.</v>
      </c>
      <c r="AC27" s="76" t="str">
        <f>IFERROR(TR/(RadSpec!E27*IFAP_far_adj*CF_apple),".")</f>
        <v>.</v>
      </c>
      <c r="AD27" s="76" t="str">
        <f>IFERROR(TR/(RadSpec!E27*IFAS_far_adj*CF_asparagus),".")</f>
        <v>.</v>
      </c>
      <c r="AE27" s="76" t="str">
        <f>IFERROR(TR/(RadSpec!E27*IFBT_far_adj*CF_beet),".")</f>
        <v>.</v>
      </c>
      <c r="AF27" s="76" t="str">
        <f>IFERROR(TR/(RadSpec!E27*IFBE_far_adj*CF_berries),".")</f>
        <v>.</v>
      </c>
      <c r="AG27" s="76" t="str">
        <f>IFERROR(TR/(RadSpec!E27*IFBR_far_adj*CF_broccoli),".")</f>
        <v>.</v>
      </c>
      <c r="AH27" s="76" t="str">
        <f>IFERROR(TR/(RadSpec!E27*IFCB_far_adj*CF_cabbage),".")</f>
        <v>.</v>
      </c>
      <c r="AI27" s="76" t="str">
        <f>IFERROR(TR/(RadSpec!E27*IFCR_far_adj*CF_carrot),".")</f>
        <v>.</v>
      </c>
      <c r="AJ27" s="76" t="str">
        <f>IFERROR(TR/(RadSpec!E27*IFCI_far_adj*CF_citrus),".")</f>
        <v>.</v>
      </c>
      <c r="AK27" s="76" t="str">
        <f>IFERROR(TR/(RadSpec!E27*IFCO_far_adj*CF_corn),".")</f>
        <v>.</v>
      </c>
      <c r="AL27" s="76" t="str">
        <f>IFERROR(TR/(RadSpec!E27*IFCU_far_adj*CF_cucumber),".")</f>
        <v>.</v>
      </c>
      <c r="AM27" s="76" t="str">
        <f>IFERROR(TR/(RadSpec!E27*IFLE_far_adj*CF_lettuce),".")</f>
        <v>.</v>
      </c>
      <c r="AN27" s="76" t="str">
        <f>IFERROR(TR/(RadSpec!E27*IFLI_far_adj*CF_lima_bean),".")</f>
        <v>.</v>
      </c>
      <c r="AO27" s="76" t="str">
        <f>IFERROR(TR/(RadSpec!E27*IFOK_far_adj*CF_okra),".")</f>
        <v>.</v>
      </c>
      <c r="AP27" s="76" t="str">
        <f>IFERROR(TR/(RadSpec!E27*IFON_far_adj*CF_onion),".")</f>
        <v>.</v>
      </c>
      <c r="AQ27" s="76" t="str">
        <f>IFERROR(TR/(RadSpec!E27*IFPC_far_adj*CF_peach),".")</f>
        <v>.</v>
      </c>
      <c r="AR27" s="76" t="str">
        <f>IFERROR(TR/(RadSpec!E27*IFPR_far_adj*CF_pear),".")</f>
        <v>.</v>
      </c>
      <c r="AS27" s="76" t="str">
        <f>IFERROR(TR/(RadSpec!E27*IFPE_far_adj*CF_peas),".")</f>
        <v>.</v>
      </c>
      <c r="AT27" s="76" t="str">
        <f>IFERROR(TR/(RadSpec!E27*IFPT_far_adj*CF_potato),".")</f>
        <v>.</v>
      </c>
      <c r="AU27" s="76" t="str">
        <f>IFERROR(TR/(RadSpec!E27*IFPU_far_adj*CF_pumpkin),".")</f>
        <v>.</v>
      </c>
      <c r="AV27" s="76" t="str">
        <f>IFERROR(TR/(RadSpec!E27*IFSN_far_adj*CF_snap_bean),".")</f>
        <v>.</v>
      </c>
      <c r="AW27" s="76" t="str">
        <f>IFERROR(TR/(RadSpec!E27*IFST_far_adj*CF_strawberry),".")</f>
        <v>.</v>
      </c>
      <c r="AX27" s="76" t="str">
        <f>IFERROR(TR/(RadSpec!E27*IFTO_far_adj*CF_tomato),".")</f>
        <v>.</v>
      </c>
      <c r="AY27" s="76" t="str">
        <f>IFERROR(TR/(RadSpec!E27*IFRI_far_adj*CF_rice),".")</f>
        <v>.</v>
      </c>
      <c r="AZ27" s="76" t="str">
        <f>IFERROR(TR/(RadSpec!E27*IFCG_far_adj*CF_cereal),".")</f>
        <v>.</v>
      </c>
    </row>
    <row r="28" spans="1:52" x14ac:dyDescent="0.25">
      <c r="A28" s="92" t="s">
        <v>38</v>
      </c>
      <c r="B28" s="90" t="s">
        <v>1074</v>
      </c>
      <c r="C28" s="76" t="str">
        <f t="shared" si="22"/>
        <v>.</v>
      </c>
      <c r="D28" s="76" t="str">
        <f>IFERROR(TR/(RadSpec!E28*IFAP_res_adj*CF_apple),".")</f>
        <v>.</v>
      </c>
      <c r="E28" s="76" t="str">
        <f>IFERROR(TR/(RadSpec!E28*IFAS_res_adj*CF_asparagus),".")</f>
        <v>.</v>
      </c>
      <c r="F28" s="76" t="str">
        <f>IFERROR(TR/(RadSpec!E28*IFBT_res_adj*CF_beet),".")</f>
        <v>.</v>
      </c>
      <c r="G28" s="76" t="str">
        <f>IFERROR(TR/(RadSpec!E28*IFBE_res_adj*CF_berries),".")</f>
        <v>.</v>
      </c>
      <c r="H28" s="76" t="str">
        <f>IFERROR(TR/(RadSpec!E28*IFBR_res_adj*CF_broccoli),".")</f>
        <v>.</v>
      </c>
      <c r="I28" s="76" t="str">
        <f>IFERROR(TR/(RadSpec!E28*IFCB_res_adj*CF_cabbage),".")</f>
        <v>.</v>
      </c>
      <c r="J28" s="76" t="str">
        <f>IFERROR(TR/(RadSpec!E28*IFCR_res_adj*CF_carrot),".")</f>
        <v>.</v>
      </c>
      <c r="K28" s="76" t="str">
        <f>IFERROR(TR/(RadSpec!E28*IFCI_res_adj*CF_citrus),".")</f>
        <v>.</v>
      </c>
      <c r="L28" s="76" t="str">
        <f>IFERROR(TR/(RadSpec!E28*IFCO_res_adj*CF_corn),".")</f>
        <v>.</v>
      </c>
      <c r="M28" s="76" t="str">
        <f>IFERROR(TR/(RadSpec!E28*IFCU_res_adj*CF_cucumber),".")</f>
        <v>.</v>
      </c>
      <c r="N28" s="76" t="str">
        <f>IFERROR(TR/(RadSpec!E28*IFLE_res_adj*CF_lettuce),".")</f>
        <v>.</v>
      </c>
      <c r="O28" s="76" t="str">
        <f>IFERROR(TR/(RadSpec!E28*IFLI_res_adj*CF_lima_bean),".")</f>
        <v>.</v>
      </c>
      <c r="P28" s="76" t="str">
        <f>IFERROR(TR/(RadSpec!E28*IFOK_res_adj*CF_okra),".")</f>
        <v>.</v>
      </c>
      <c r="Q28" s="76" t="str">
        <f>IFERROR(TR/(RadSpec!E28*IFON_res_adj*CF_onion),".")</f>
        <v>.</v>
      </c>
      <c r="R28" s="76" t="str">
        <f>IFERROR(TR/(RadSpec!E28*IFPC_res_adj*CF_peach),".")</f>
        <v>.</v>
      </c>
      <c r="S28" s="76" t="str">
        <f>IFERROR(TR/(RadSpec!E28*IFPR_res_adj*CF_pear),".")</f>
        <v>.</v>
      </c>
      <c r="T28" s="76" t="str">
        <f>IFERROR(TR/(RadSpec!E28*IFPE_res_adj*CF_peas),".")</f>
        <v>.</v>
      </c>
      <c r="U28" s="76" t="str">
        <f>IFERROR(TR/(RadSpec!E28*IFPT_res_adj*CF_potato),".")</f>
        <v>.</v>
      </c>
      <c r="V28" s="76" t="str">
        <f>IFERROR(TR/(RadSpec!E28*IFPU_res_adj*CF_pumpkin),".")</f>
        <v>.</v>
      </c>
      <c r="W28" s="76" t="str">
        <f>IFERROR(TR/(RadSpec!E28*IFSN_res_adj*CF_snap_bean),".")</f>
        <v>.</v>
      </c>
      <c r="X28" s="76" t="str">
        <f>IFERROR(TR/(RadSpec!E28*IFST_res_adj*CF_strawberry),".")</f>
        <v>.</v>
      </c>
      <c r="Y28" s="76" t="str">
        <f>IFERROR(TR/(RadSpec!E28*IFTO_res_adj*CF_tomato),".")</f>
        <v>.</v>
      </c>
      <c r="Z28" s="76" t="str">
        <f>IFERROR(TR/(RadSpec!E28*IFRI_res_adj*CF_rice),".")</f>
        <v>.</v>
      </c>
      <c r="AA28" s="76" t="str">
        <f>IFERROR(TR/(RadSpec!E28*IFCG_res_adj*CF_cereal),".")</f>
        <v>.</v>
      </c>
      <c r="AB28" s="76" t="str">
        <f t="shared" si="23"/>
        <v>.</v>
      </c>
      <c r="AC28" s="76" t="str">
        <f>IFERROR(TR/(RadSpec!E28*IFAP_far_adj*CF_apple),".")</f>
        <v>.</v>
      </c>
      <c r="AD28" s="76" t="str">
        <f>IFERROR(TR/(RadSpec!E28*IFAS_far_adj*CF_asparagus),".")</f>
        <v>.</v>
      </c>
      <c r="AE28" s="76" t="str">
        <f>IFERROR(TR/(RadSpec!E28*IFBT_far_adj*CF_beet),".")</f>
        <v>.</v>
      </c>
      <c r="AF28" s="76" t="str">
        <f>IFERROR(TR/(RadSpec!E28*IFBE_far_adj*CF_berries),".")</f>
        <v>.</v>
      </c>
      <c r="AG28" s="76" t="str">
        <f>IFERROR(TR/(RadSpec!E28*IFBR_far_adj*CF_broccoli),".")</f>
        <v>.</v>
      </c>
      <c r="AH28" s="76" t="str">
        <f>IFERROR(TR/(RadSpec!E28*IFCB_far_adj*CF_cabbage),".")</f>
        <v>.</v>
      </c>
      <c r="AI28" s="76" t="str">
        <f>IFERROR(TR/(RadSpec!E28*IFCR_far_adj*CF_carrot),".")</f>
        <v>.</v>
      </c>
      <c r="AJ28" s="76" t="str">
        <f>IFERROR(TR/(RadSpec!E28*IFCI_far_adj*CF_citrus),".")</f>
        <v>.</v>
      </c>
      <c r="AK28" s="76" t="str">
        <f>IFERROR(TR/(RadSpec!E28*IFCO_far_adj*CF_corn),".")</f>
        <v>.</v>
      </c>
      <c r="AL28" s="76" t="str">
        <f>IFERROR(TR/(RadSpec!E28*IFCU_far_adj*CF_cucumber),".")</f>
        <v>.</v>
      </c>
      <c r="AM28" s="76" t="str">
        <f>IFERROR(TR/(RadSpec!E28*IFLE_far_adj*CF_lettuce),".")</f>
        <v>.</v>
      </c>
      <c r="AN28" s="76" t="str">
        <f>IFERROR(TR/(RadSpec!E28*IFLI_far_adj*CF_lima_bean),".")</f>
        <v>.</v>
      </c>
      <c r="AO28" s="76" t="str">
        <f>IFERROR(TR/(RadSpec!E28*IFOK_far_adj*CF_okra),".")</f>
        <v>.</v>
      </c>
      <c r="AP28" s="76" t="str">
        <f>IFERROR(TR/(RadSpec!E28*IFON_far_adj*CF_onion),".")</f>
        <v>.</v>
      </c>
      <c r="AQ28" s="76" t="str">
        <f>IFERROR(TR/(RadSpec!E28*IFPC_far_adj*CF_peach),".")</f>
        <v>.</v>
      </c>
      <c r="AR28" s="76" t="str">
        <f>IFERROR(TR/(RadSpec!E28*IFPR_far_adj*CF_pear),".")</f>
        <v>.</v>
      </c>
      <c r="AS28" s="76" t="str">
        <f>IFERROR(TR/(RadSpec!E28*IFPE_far_adj*CF_peas),".")</f>
        <v>.</v>
      </c>
      <c r="AT28" s="76" t="str">
        <f>IFERROR(TR/(RadSpec!E28*IFPT_far_adj*CF_potato),".")</f>
        <v>.</v>
      </c>
      <c r="AU28" s="76" t="str">
        <f>IFERROR(TR/(RadSpec!E28*IFPU_far_adj*CF_pumpkin),".")</f>
        <v>.</v>
      </c>
      <c r="AV28" s="76" t="str">
        <f>IFERROR(TR/(RadSpec!E28*IFSN_far_adj*CF_snap_bean),".")</f>
        <v>.</v>
      </c>
      <c r="AW28" s="76" t="str">
        <f>IFERROR(TR/(RadSpec!E28*IFST_far_adj*CF_strawberry),".")</f>
        <v>.</v>
      </c>
      <c r="AX28" s="76" t="str">
        <f>IFERROR(TR/(RadSpec!E28*IFTO_far_adj*CF_tomato),".")</f>
        <v>.</v>
      </c>
      <c r="AY28" s="76" t="str">
        <f>IFERROR(TR/(RadSpec!E28*IFRI_far_adj*CF_rice),".")</f>
        <v>.</v>
      </c>
      <c r="AZ28" s="76" t="str">
        <f>IFERROR(TR/(RadSpec!E28*IFCG_far_adj*CF_cereal),".")</f>
        <v>.</v>
      </c>
    </row>
    <row r="29" spans="1:52" x14ac:dyDescent="0.25">
      <c r="A29" s="92" t="s">
        <v>39</v>
      </c>
      <c r="B29" s="90" t="s">
        <v>1074</v>
      </c>
      <c r="C29" s="76" t="str">
        <f t="shared" si="22"/>
        <v>.</v>
      </c>
      <c r="D29" s="76" t="str">
        <f>IFERROR(TR/(RadSpec!E29*IFAP_res_adj*CF_apple),".")</f>
        <v>.</v>
      </c>
      <c r="E29" s="76" t="str">
        <f>IFERROR(TR/(RadSpec!E29*IFAS_res_adj*CF_asparagus),".")</f>
        <v>.</v>
      </c>
      <c r="F29" s="76" t="str">
        <f>IFERROR(TR/(RadSpec!E29*IFBT_res_adj*CF_beet),".")</f>
        <v>.</v>
      </c>
      <c r="G29" s="76" t="str">
        <f>IFERROR(TR/(RadSpec!E29*IFBE_res_adj*CF_berries),".")</f>
        <v>.</v>
      </c>
      <c r="H29" s="76" t="str">
        <f>IFERROR(TR/(RadSpec!E29*IFBR_res_adj*CF_broccoli),".")</f>
        <v>.</v>
      </c>
      <c r="I29" s="76" t="str">
        <f>IFERROR(TR/(RadSpec!E29*IFCB_res_adj*CF_cabbage),".")</f>
        <v>.</v>
      </c>
      <c r="J29" s="76" t="str">
        <f>IFERROR(TR/(RadSpec!E29*IFCR_res_adj*CF_carrot),".")</f>
        <v>.</v>
      </c>
      <c r="K29" s="76" t="str">
        <f>IFERROR(TR/(RadSpec!E29*IFCI_res_adj*CF_citrus),".")</f>
        <v>.</v>
      </c>
      <c r="L29" s="76" t="str">
        <f>IFERROR(TR/(RadSpec!E29*IFCO_res_adj*CF_corn),".")</f>
        <v>.</v>
      </c>
      <c r="M29" s="76" t="str">
        <f>IFERROR(TR/(RadSpec!E29*IFCU_res_adj*CF_cucumber),".")</f>
        <v>.</v>
      </c>
      <c r="N29" s="76" t="str">
        <f>IFERROR(TR/(RadSpec!E29*IFLE_res_adj*CF_lettuce),".")</f>
        <v>.</v>
      </c>
      <c r="O29" s="76" t="str">
        <f>IFERROR(TR/(RadSpec!E29*IFLI_res_adj*CF_lima_bean),".")</f>
        <v>.</v>
      </c>
      <c r="P29" s="76" t="str">
        <f>IFERROR(TR/(RadSpec!E29*IFOK_res_adj*CF_okra),".")</f>
        <v>.</v>
      </c>
      <c r="Q29" s="76" t="str">
        <f>IFERROR(TR/(RadSpec!E29*IFON_res_adj*CF_onion),".")</f>
        <v>.</v>
      </c>
      <c r="R29" s="76" t="str">
        <f>IFERROR(TR/(RadSpec!E29*IFPC_res_adj*CF_peach),".")</f>
        <v>.</v>
      </c>
      <c r="S29" s="76" t="str">
        <f>IFERROR(TR/(RadSpec!E29*IFPR_res_adj*CF_pear),".")</f>
        <v>.</v>
      </c>
      <c r="T29" s="76" t="str">
        <f>IFERROR(TR/(RadSpec!E29*IFPE_res_adj*CF_peas),".")</f>
        <v>.</v>
      </c>
      <c r="U29" s="76" t="str">
        <f>IFERROR(TR/(RadSpec!E29*IFPT_res_adj*CF_potato),".")</f>
        <v>.</v>
      </c>
      <c r="V29" s="76" t="str">
        <f>IFERROR(TR/(RadSpec!E29*IFPU_res_adj*CF_pumpkin),".")</f>
        <v>.</v>
      </c>
      <c r="W29" s="76" t="str">
        <f>IFERROR(TR/(RadSpec!E29*IFSN_res_adj*CF_snap_bean),".")</f>
        <v>.</v>
      </c>
      <c r="X29" s="76" t="str">
        <f>IFERROR(TR/(RadSpec!E29*IFST_res_adj*CF_strawberry),".")</f>
        <v>.</v>
      </c>
      <c r="Y29" s="76" t="str">
        <f>IFERROR(TR/(RadSpec!E29*IFTO_res_adj*CF_tomato),".")</f>
        <v>.</v>
      </c>
      <c r="Z29" s="76" t="str">
        <f>IFERROR(TR/(RadSpec!E29*IFRI_res_adj*CF_rice),".")</f>
        <v>.</v>
      </c>
      <c r="AA29" s="76" t="str">
        <f>IFERROR(TR/(RadSpec!E29*IFCG_res_adj*CF_cereal),".")</f>
        <v>.</v>
      </c>
      <c r="AB29" s="76" t="str">
        <f t="shared" si="23"/>
        <v>.</v>
      </c>
      <c r="AC29" s="76" t="str">
        <f>IFERROR(TR/(RadSpec!E29*IFAP_far_adj*CF_apple),".")</f>
        <v>.</v>
      </c>
      <c r="AD29" s="76" t="str">
        <f>IFERROR(TR/(RadSpec!E29*IFAS_far_adj*CF_asparagus),".")</f>
        <v>.</v>
      </c>
      <c r="AE29" s="76" t="str">
        <f>IFERROR(TR/(RadSpec!E29*IFBT_far_adj*CF_beet),".")</f>
        <v>.</v>
      </c>
      <c r="AF29" s="76" t="str">
        <f>IFERROR(TR/(RadSpec!E29*IFBE_far_adj*CF_berries),".")</f>
        <v>.</v>
      </c>
      <c r="AG29" s="76" t="str">
        <f>IFERROR(TR/(RadSpec!E29*IFBR_far_adj*CF_broccoli),".")</f>
        <v>.</v>
      </c>
      <c r="AH29" s="76" t="str">
        <f>IFERROR(TR/(RadSpec!E29*IFCB_far_adj*CF_cabbage),".")</f>
        <v>.</v>
      </c>
      <c r="AI29" s="76" t="str">
        <f>IFERROR(TR/(RadSpec!E29*IFCR_far_adj*CF_carrot),".")</f>
        <v>.</v>
      </c>
      <c r="AJ29" s="76" t="str">
        <f>IFERROR(TR/(RadSpec!E29*IFCI_far_adj*CF_citrus),".")</f>
        <v>.</v>
      </c>
      <c r="AK29" s="76" t="str">
        <f>IFERROR(TR/(RadSpec!E29*IFCO_far_adj*CF_corn),".")</f>
        <v>.</v>
      </c>
      <c r="AL29" s="76" t="str">
        <f>IFERROR(TR/(RadSpec!E29*IFCU_far_adj*CF_cucumber),".")</f>
        <v>.</v>
      </c>
      <c r="AM29" s="76" t="str">
        <f>IFERROR(TR/(RadSpec!E29*IFLE_far_adj*CF_lettuce),".")</f>
        <v>.</v>
      </c>
      <c r="AN29" s="76" t="str">
        <f>IFERROR(TR/(RadSpec!E29*IFLI_far_adj*CF_lima_bean),".")</f>
        <v>.</v>
      </c>
      <c r="AO29" s="76" t="str">
        <f>IFERROR(TR/(RadSpec!E29*IFOK_far_adj*CF_okra),".")</f>
        <v>.</v>
      </c>
      <c r="AP29" s="76" t="str">
        <f>IFERROR(TR/(RadSpec!E29*IFON_far_adj*CF_onion),".")</f>
        <v>.</v>
      </c>
      <c r="AQ29" s="76" t="str">
        <f>IFERROR(TR/(RadSpec!E29*IFPC_far_adj*CF_peach),".")</f>
        <v>.</v>
      </c>
      <c r="AR29" s="76" t="str">
        <f>IFERROR(TR/(RadSpec!E29*IFPR_far_adj*CF_pear),".")</f>
        <v>.</v>
      </c>
      <c r="AS29" s="76" t="str">
        <f>IFERROR(TR/(RadSpec!E29*IFPE_far_adj*CF_peas),".")</f>
        <v>.</v>
      </c>
      <c r="AT29" s="76" t="str">
        <f>IFERROR(TR/(RadSpec!E29*IFPT_far_adj*CF_potato),".")</f>
        <v>.</v>
      </c>
      <c r="AU29" s="76" t="str">
        <f>IFERROR(TR/(RadSpec!E29*IFPU_far_adj*CF_pumpkin),".")</f>
        <v>.</v>
      </c>
      <c r="AV29" s="76" t="str">
        <f>IFERROR(TR/(RadSpec!E29*IFSN_far_adj*CF_snap_bean),".")</f>
        <v>.</v>
      </c>
      <c r="AW29" s="76" t="str">
        <f>IFERROR(TR/(RadSpec!E29*IFST_far_adj*CF_strawberry),".")</f>
        <v>.</v>
      </c>
      <c r="AX29" s="76" t="str">
        <f>IFERROR(TR/(RadSpec!E29*IFTO_far_adj*CF_tomato),".")</f>
        <v>.</v>
      </c>
      <c r="AY29" s="76" t="str">
        <f>IFERROR(TR/(RadSpec!E29*IFRI_far_adj*CF_rice),".")</f>
        <v>.</v>
      </c>
      <c r="AZ29" s="76" t="str">
        <f>IFERROR(TR/(RadSpec!E29*IFCG_far_adj*CF_cereal),".")</f>
        <v>.</v>
      </c>
    </row>
    <row r="30" spans="1:52" x14ac:dyDescent="0.25">
      <c r="A30" s="92" t="s">
        <v>40</v>
      </c>
      <c r="B30" s="90" t="s">
        <v>1074</v>
      </c>
      <c r="C30" s="76">
        <f t="shared" ref="C30:C31" si="24">IFERROR(1/SUM(1/D30,1/E30,1/F30,1/G30,1/H30,1/I30,1/J30,1/K30,1/L30,1/M30,1/N30,1/O30,1/P30,1/Q30,1/R30,1/S30,1/T30,1/U30,1/V30,1/W30,1/X30,1/Y30),".")</f>
        <v>8.5631433739874723E-4</v>
      </c>
      <c r="D30" s="76">
        <f>IFERROR(TR/(RadSpec!E30*IFAP_res_adj*CF_apple),".")</f>
        <v>1.5453708009679113E-2</v>
      </c>
      <c r="E30" s="76">
        <f>IFERROR(TR/(RadSpec!E30*IFAS_res_adj*CF_asparagus),".")</f>
        <v>3.4351179389347328E-2</v>
      </c>
      <c r="F30" s="76">
        <f>IFERROR(TR/(RadSpec!E30*IFBT_res_adj*CF_beet),".")</f>
        <v>4.2020689928799551E-2</v>
      </c>
      <c r="G30" s="76">
        <f>IFERROR(TR/(RadSpec!E30*IFBE_res_adj*CF_berries),".")</f>
        <v>3.4617467601667846E-2</v>
      </c>
      <c r="H30" s="76">
        <f>IFERROR(TR/(RadSpec!E30*IFBR_res_adj*CF_broccoli),".")</f>
        <v>4.101490664634011E-2</v>
      </c>
      <c r="I30" s="76">
        <f>IFERROR(TR/(RadSpec!E30*IFCB_res_adj*CF_cabbage),".")</f>
        <v>1.5384336525764698E-2</v>
      </c>
      <c r="J30" s="76">
        <f>IFERROR(TR/(RadSpec!E30*IFCR_res_adj*CF_carrot),".")</f>
        <v>4.6385445256625753E-2</v>
      </c>
      <c r="K30" s="76">
        <f>IFERROR(TR/(RadSpec!E30*IFCI_res_adj*CF_citrus),".")</f>
        <v>4.0085564176019373E-3</v>
      </c>
      <c r="L30" s="76">
        <f>IFERROR(TR/(RadSpec!E30*IFCO_res_adj*CF_corn),".")</f>
        <v>2.2014723570406337E-2</v>
      </c>
      <c r="M30" s="76">
        <f>IFERROR(TR/(RadSpec!E30*IFCU_res_adj*CF_cucumber),".")</f>
        <v>1.6370424303521442E-2</v>
      </c>
      <c r="N30" s="76">
        <f>IFERROR(TR/(RadSpec!E30*IFLE_res_adj*CF_lettuce),".")</f>
        <v>3.8020268209571731E-2</v>
      </c>
      <c r="O30" s="76">
        <f>IFERROR(TR/(RadSpec!E30*IFLI_res_adj*CF_lima_bean),".")</f>
        <v>4.1221415267216795E-2</v>
      </c>
      <c r="P30" s="76">
        <f>IFERROR(TR/(RadSpec!E30*IFOK_res_adj*CF_okra),".")</f>
        <v>4.6356262843755908E-2</v>
      </c>
      <c r="Q30" s="76">
        <f>IFERROR(TR/(RadSpec!E30*IFON_res_adj*CF_onion),".")</f>
        <v>6.2602616644137646E-2</v>
      </c>
      <c r="R30" s="76">
        <f>IFERROR(TR/(RadSpec!E30*IFPC_res_adj*CF_peach),".")</f>
        <v>9.8824141349450126E-3</v>
      </c>
      <c r="S30" s="76">
        <f>IFERROR(TR/(RadSpec!E30*IFPR_res_adj*CF_pear),".")</f>
        <v>2.0493194212251428E-2</v>
      </c>
      <c r="T30" s="76">
        <f>IFERROR(TR/(RadSpec!E30*IFPE_res_adj*CF_peas),".")</f>
        <v>3.2726306813302249E-2</v>
      </c>
      <c r="U30" s="76">
        <f>IFERROR(TR/(RadSpec!E30*IFPT_res_adj*CF_potato),".")</f>
        <v>1.0283061864510503E-2</v>
      </c>
      <c r="V30" s="76">
        <f>IFERROR(TR/(RadSpec!E30*IFPU_res_adj*CF_pumpkin),".")</f>
        <v>1.8806350125102095E-2</v>
      </c>
      <c r="W30" s="76">
        <f>IFERROR(TR/(RadSpec!E30*IFSN_res_adj*CF_snap_bean),".")</f>
        <v>2.3734346848172012E-2</v>
      </c>
      <c r="X30" s="76">
        <f>IFERROR(TR/(RadSpec!E30*IFST_res_adj*CF_strawberry),".")</f>
        <v>3.0643909249386574E-2</v>
      </c>
      <c r="Y30" s="76">
        <f>IFERROR(TR/(RadSpec!E30*IFTO_res_adj*CF_tomato),".")</f>
        <v>1.6519062838280463E-2</v>
      </c>
      <c r="Z30" s="76">
        <f>IFERROR(TR/(RadSpec!E30*IFRI_res_adj*CF_rice),".")</f>
        <v>1.8006666615383679E-2</v>
      </c>
      <c r="AA30" s="76">
        <f>IFERROR(TR/(RadSpec!E30*IFCG_res_adj*CF_cereal),".")</f>
        <v>1.3941964009489122E-2</v>
      </c>
      <c r="AB30" s="76">
        <f t="shared" ref="AB30" si="25">IFERROR(1/SUM(1/AC30,1/AD30,1/AE30,1/AF30,1/AG30,1/AH30,1/AI30,1/AJ30,1/AK30,1/AL30,1/AM30,1/AN30,1/AO30,1/AP30,1/AQ30,1/AR30,1/AS30,1/AT30,1/AU30,1/AV30,1/AW30,1/AX30),".")</f>
        <v>5.2557896201455836E-4</v>
      </c>
      <c r="AC30" s="76">
        <f>IFERROR(TR/(RadSpec!E30*IFAP_far_adj*CF_apple),".")</f>
        <v>8.7271443551048215E-3</v>
      </c>
      <c r="AD30" s="76">
        <f>IFERROR(TR/(RadSpec!E30*IFAS_far_adj*CF_asparagus),".")</f>
        <v>2.0929776960701609E-2</v>
      </c>
      <c r="AE30" s="76">
        <f>IFERROR(TR/(RadSpec!E30*IFBT_far_adj*CF_beet),".")</f>
        <v>2.5062340064676877E-2</v>
      </c>
      <c r="AF30" s="76">
        <f>IFERROR(TR/(RadSpec!E30*IFBE_far_adj*CF_berries),".")</f>
        <v>2.1880706693437273E-2</v>
      </c>
      <c r="AG30" s="76">
        <f>IFERROR(TR/(RadSpec!E30*IFBR_far_adj*CF_broccoli),".")</f>
        <v>2.2907906043883111E-2</v>
      </c>
      <c r="AH30" s="76">
        <f>IFERROR(TR/(RadSpec!E30*IFCB_far_adj*CF_cabbage),".")</f>
        <v>9.8810888816078871E-3</v>
      </c>
      <c r="AI30" s="76">
        <f>IFERROR(TR/(RadSpec!E30*IFCR_far_adj*CF_carrot),".")</f>
        <v>3.2409623835561917E-2</v>
      </c>
      <c r="AJ30" s="76">
        <f>IFERROR(TR/(RadSpec!E30*IFCI_far_adj*CF_citrus),".")</f>
        <v>2.5221043912425131E-3</v>
      </c>
      <c r="AK30" s="76">
        <f>IFERROR(TR/(RadSpec!E30*IFCO_far_adj*CF_corn),".")</f>
        <v>9.8764532926948617E-3</v>
      </c>
      <c r="AL30" s="76">
        <f>IFERROR(TR/(RadSpec!E30*IFCU_far_adj*CF_cucumber),".")</f>
        <v>1.4976276380111791E-2</v>
      </c>
      <c r="AM30" s="76">
        <f>IFERROR(TR/(RadSpec!E30*IFLE_far_adj*CF_lettuce),".")</f>
        <v>2.2668290967589603E-2</v>
      </c>
      <c r="AN30" s="76">
        <f>IFERROR(TR/(RadSpec!E30*IFLI_far_adj*CF_lima_bean),".")</f>
        <v>2.4805009187056061E-2</v>
      </c>
      <c r="AO30" s="76">
        <f>IFERROR(TR/(RadSpec!E30*IFOK_far_adj*CF_okra),".")</f>
        <v>2.7841783408331763E-2</v>
      </c>
      <c r="AP30" s="76">
        <f>IFERROR(TR/(RadSpec!E30*IFON_far_adj*CF_onion),".")</f>
        <v>3.0447636276921493E-2</v>
      </c>
      <c r="AQ30" s="76">
        <f>IFERROR(TR/(RadSpec!E30*IFPC_far_adj*CF_peach),".")</f>
        <v>7.1865092938798412E-3</v>
      </c>
      <c r="AR30" s="76">
        <f>IFERROR(TR/(RadSpec!E30*IFPR_far_adj*CF_pear),".")</f>
        <v>1.1798763777445959E-2</v>
      </c>
      <c r="AS30" s="76">
        <f>IFERROR(TR/(RadSpec!E30*IFPE_far_adj*CF_peas),".")</f>
        <v>2.3578649532848005E-2</v>
      </c>
      <c r="AT30" s="76">
        <f>IFERROR(TR/(RadSpec!E30*IFPT_far_adj*CF_potato),".")</f>
        <v>5.7063527427028077E-3</v>
      </c>
      <c r="AU30" s="76">
        <f>IFERROR(TR/(RadSpec!E30*IFPU_far_adj*CF_pumpkin),".")</f>
        <v>1.1911296441989979E-2</v>
      </c>
      <c r="AV30" s="76">
        <f>IFERROR(TR/(RadSpec!E30*IFSN_far_adj*CF_snap_bean),".")</f>
        <v>1.4679406273563107E-2</v>
      </c>
      <c r="AW30" s="76">
        <f>IFERROR(TR/(RadSpec!E30*IFST_far_adj*CF_strawberry),".")</f>
        <v>1.9278723126674519E-2</v>
      </c>
      <c r="AX30" s="76">
        <f>IFERROR(TR/(RadSpec!E30*IFTO_far_adj*CF_tomato),".")</f>
        <v>8.6376273126018421E-3</v>
      </c>
      <c r="AY30" s="76">
        <f>IFERROR(TR/(RadSpec!E30*IFRI_far_adj*CF_rice),".")</f>
        <v>9.1594604748772464E-3</v>
      </c>
      <c r="AZ30" s="76">
        <f>IFERROR(TR/(RadSpec!E30*IFCG_far_adj*CF_cereal),".")</f>
        <v>8.6670916650179383E-3</v>
      </c>
    </row>
    <row r="31" spans="1:52" x14ac:dyDescent="0.25">
      <c r="A31" s="95" t="s">
        <v>13</v>
      </c>
      <c r="B31" s="95" t="s">
        <v>1074</v>
      </c>
      <c r="C31" s="96">
        <f t="shared" si="24"/>
        <v>7.9895951766966814E-5</v>
      </c>
      <c r="D31" s="96">
        <f>IFERROR(1/SUM(D32:D44),0)</f>
        <v>1.4418638761938328E-3</v>
      </c>
      <c r="E31" s="96">
        <f>IFERROR(1/SUM(E32:E44),0)</f>
        <v>3.2050382105791122E-3</v>
      </c>
      <c r="F31" s="96">
        <f t="shared" ref="F31:AA31" si="26">IFERROR(1/SUM(F32:F44),0)</f>
        <v>3.9206198812045592E-3</v>
      </c>
      <c r="G31" s="96">
        <f t="shared" si="26"/>
        <v>3.2298834680254611E-3</v>
      </c>
      <c r="H31" s="96">
        <f t="shared" si="26"/>
        <v>3.8267781584704675E-3</v>
      </c>
      <c r="I31" s="96">
        <f t="shared" si="26"/>
        <v>1.4353913689721673E-3</v>
      </c>
      <c r="J31" s="96">
        <f t="shared" si="26"/>
        <v>4.3278608509236356E-3</v>
      </c>
      <c r="K31" s="96">
        <f t="shared" si="26"/>
        <v>3.7400685263401767E-4</v>
      </c>
      <c r="L31" s="96">
        <f t="shared" si="26"/>
        <v>2.0540206040311308E-3</v>
      </c>
      <c r="M31" s="96">
        <f t="shared" si="26"/>
        <v>1.527395459162896E-3</v>
      </c>
      <c r="N31" s="96">
        <f t="shared" si="26"/>
        <v>3.5473720132570669E-3</v>
      </c>
      <c r="O31" s="96">
        <f t="shared" si="26"/>
        <v>3.8460458526949348E-3</v>
      </c>
      <c r="P31" s="96">
        <f t="shared" si="26"/>
        <v>4.3251380696396327E-3</v>
      </c>
      <c r="Q31" s="96">
        <f t="shared" si="26"/>
        <v>5.8409574865694097E-3</v>
      </c>
      <c r="R31" s="96">
        <f t="shared" si="26"/>
        <v>9.2205028992652842E-4</v>
      </c>
      <c r="S31" s="96">
        <f t="shared" si="26"/>
        <v>1.9120586738123194E-3</v>
      </c>
      <c r="T31" s="96">
        <f t="shared" si="26"/>
        <v>3.0534341379934251E-3</v>
      </c>
      <c r="U31" s="96">
        <f t="shared" si="26"/>
        <v>9.5943157653927775E-4</v>
      </c>
      <c r="V31" s="96">
        <f t="shared" si="26"/>
        <v>1.7546725272312902E-3</v>
      </c>
      <c r="W31" s="96">
        <f t="shared" si="26"/>
        <v>2.2144651189216279E-3</v>
      </c>
      <c r="X31" s="96">
        <f t="shared" si="26"/>
        <v>2.859142009437386E-3</v>
      </c>
      <c r="Y31" s="96">
        <f t="shared" si="26"/>
        <v>1.5412637510799677E-3</v>
      </c>
      <c r="Z31" s="96">
        <f t="shared" si="26"/>
        <v>1.6800603523196957E-3</v>
      </c>
      <c r="AA31" s="96">
        <f t="shared" si="26"/>
        <v>1.3008149407175392E-3</v>
      </c>
      <c r="AB31" s="96">
        <f>IFERROR(1/SUM(1/AC31,1/AD31,1/AE31,1/AF31,1/AG31,1/AH31,1/AI31,1/AJ31,1/AK31,1/AL31,1/AM31,1/AN31,1/AO31,1/AP31,1/AQ31,1/AR31,1/AS31,1/AT31,1/AU31,1/AV31,1/AW31,1/AX31),".")</f>
        <v>4.9037636723924228E-5</v>
      </c>
      <c r="AC31" s="96">
        <f>IFERROR(1/SUM(AC32:AC44),0)</f>
        <v>8.1426115855646043E-4</v>
      </c>
      <c r="AD31" s="96">
        <f>IFERROR(1/SUM(AD32:AD44),0)</f>
        <v>1.9527927742343974E-3</v>
      </c>
      <c r="AE31" s="96">
        <f t="shared" ref="AE31:AZ31" si="27">IFERROR(1/SUM(AE32:AE44),0)</f>
        <v>2.3383697148612907E-3</v>
      </c>
      <c r="AF31" s="96">
        <f t="shared" si="27"/>
        <v>2.041516543932352E-3</v>
      </c>
      <c r="AG31" s="96">
        <f t="shared" si="27"/>
        <v>2.1373564314292538E-3</v>
      </c>
      <c r="AH31" s="96">
        <f t="shared" si="27"/>
        <v>9.2192664096717094E-4</v>
      </c>
      <c r="AI31" s="96">
        <f t="shared" si="27"/>
        <v>3.0238869415844271E-3</v>
      </c>
      <c r="AJ31" s="96">
        <f t="shared" si="27"/>
        <v>2.3531771219209983E-4</v>
      </c>
      <c r="AK31" s="96">
        <f t="shared" si="27"/>
        <v>9.2149413064703369E-4</v>
      </c>
      <c r="AL31" s="96">
        <f t="shared" si="27"/>
        <v>1.3973184881488205E-3</v>
      </c>
      <c r="AM31" s="96">
        <f t="shared" si="27"/>
        <v>2.1149998343923072E-3</v>
      </c>
      <c r="AN31" s="96">
        <f t="shared" si="27"/>
        <v>2.3143601958229916E-3</v>
      </c>
      <c r="AO31" s="96">
        <f t="shared" si="27"/>
        <v>2.5976976994869427E-3</v>
      </c>
      <c r="AP31" s="96">
        <f t="shared" si="27"/>
        <v>2.8408293230133036E-3</v>
      </c>
      <c r="AQ31" s="96">
        <f t="shared" si="27"/>
        <v>6.7051662554298201E-4</v>
      </c>
      <c r="AR31" s="96">
        <f t="shared" si="27"/>
        <v>1.1008497937057156E-3</v>
      </c>
      <c r="AS31" s="96">
        <f t="shared" si="27"/>
        <v>2.1999382277415021E-3</v>
      </c>
      <c r="AT31" s="96">
        <f t="shared" si="27"/>
        <v>5.3241486634595877E-4</v>
      </c>
      <c r="AU31" s="96">
        <f t="shared" si="27"/>
        <v>1.1113493310204003E-3</v>
      </c>
      <c r="AV31" s="96">
        <f t="shared" si="27"/>
        <v>1.3696198748266153E-3</v>
      </c>
      <c r="AW31" s="96">
        <f t="shared" si="27"/>
        <v>1.7987459345086851E-3</v>
      </c>
      <c r="AX31" s="96">
        <f t="shared" si="27"/>
        <v>8.0590902780519255E-4</v>
      </c>
      <c r="AY31" s="96">
        <f t="shared" si="27"/>
        <v>8.5459717343429602E-4</v>
      </c>
      <c r="AZ31" s="96">
        <f t="shared" si="27"/>
        <v>8.086581146494377E-4</v>
      </c>
    </row>
    <row r="32" spans="1:52" x14ac:dyDescent="0.25">
      <c r="A32" s="195" t="s">
        <v>1102</v>
      </c>
      <c r="B32" s="196">
        <v>1</v>
      </c>
      <c r="C32" s="100">
        <f t="shared" ref="C32:AZ32" si="28">IFERROR($B32/C3,0)</f>
        <v>1609.0616906000002</v>
      </c>
      <c r="D32" s="100">
        <f t="shared" si="28"/>
        <v>89.160646400000019</v>
      </c>
      <c r="E32" s="100">
        <f t="shared" si="28"/>
        <v>40.111071000000003</v>
      </c>
      <c r="F32" s="100">
        <f t="shared" si="28"/>
        <v>32.790099300000001</v>
      </c>
      <c r="G32" s="100">
        <f t="shared" si="28"/>
        <v>39.802524300000002</v>
      </c>
      <c r="H32" s="100">
        <f t="shared" si="28"/>
        <v>33.594190700000006</v>
      </c>
      <c r="I32" s="100">
        <f t="shared" si="28"/>
        <v>89.562692100000021</v>
      </c>
      <c r="J32" s="100">
        <f t="shared" si="28"/>
        <v>29.704632300000004</v>
      </c>
      <c r="K32" s="100">
        <f t="shared" si="28"/>
        <v>343.73037370000003</v>
      </c>
      <c r="L32" s="100">
        <f t="shared" si="28"/>
        <v>62.58823060000001</v>
      </c>
      <c r="M32" s="100">
        <f t="shared" si="28"/>
        <v>84.167799799999997</v>
      </c>
      <c r="N32" s="100">
        <f t="shared" si="28"/>
        <v>36.240212400000004</v>
      </c>
      <c r="O32" s="100">
        <f t="shared" si="28"/>
        <v>33.425892499999996</v>
      </c>
      <c r="P32" s="100">
        <f t="shared" si="28"/>
        <v>29.7233321</v>
      </c>
      <c r="Q32" s="100">
        <f t="shared" si="28"/>
        <v>22.009664600000004</v>
      </c>
      <c r="R32" s="100">
        <f t="shared" si="28"/>
        <v>139.42570880000002</v>
      </c>
      <c r="S32" s="100">
        <f t="shared" si="28"/>
        <v>67.235130900000001</v>
      </c>
      <c r="T32" s="100">
        <f t="shared" si="28"/>
        <v>42.102599700000006</v>
      </c>
      <c r="U32" s="100">
        <f t="shared" si="28"/>
        <v>133.99341690000003</v>
      </c>
      <c r="V32" s="100">
        <f t="shared" si="28"/>
        <v>73.26581640000002</v>
      </c>
      <c r="W32" s="100">
        <f t="shared" si="28"/>
        <v>58.053529100000013</v>
      </c>
      <c r="X32" s="100">
        <f t="shared" si="28"/>
        <v>44.963669100000004</v>
      </c>
      <c r="Y32" s="100">
        <f t="shared" si="28"/>
        <v>83.410457900000011</v>
      </c>
      <c r="Z32" s="100">
        <f t="shared" si="28"/>
        <v>76.519581600000009</v>
      </c>
      <c r="AA32" s="100">
        <f t="shared" si="28"/>
        <v>98.828443000000007</v>
      </c>
      <c r="AB32" s="100">
        <f t="shared" si="28"/>
        <v>2621.609111100001</v>
      </c>
      <c r="AC32" s="100">
        <f t="shared" si="28"/>
        <v>157.88241140000002</v>
      </c>
      <c r="AD32" s="100">
        <f t="shared" si="28"/>
        <v>65.832645900000003</v>
      </c>
      <c r="AE32" s="100">
        <f t="shared" si="28"/>
        <v>54.977412000000008</v>
      </c>
      <c r="AF32" s="100">
        <f t="shared" si="28"/>
        <v>62.971576500000012</v>
      </c>
      <c r="AG32" s="100">
        <f t="shared" si="28"/>
        <v>60.1479067</v>
      </c>
      <c r="AH32" s="100">
        <f t="shared" si="28"/>
        <v>139.44440860000003</v>
      </c>
      <c r="AI32" s="100">
        <f t="shared" si="28"/>
        <v>42.513995300000005</v>
      </c>
      <c r="AJ32" s="100">
        <f t="shared" si="28"/>
        <v>546.31465700000001</v>
      </c>
      <c r="AK32" s="100">
        <f t="shared" si="28"/>
        <v>139.50985790000001</v>
      </c>
      <c r="AL32" s="100">
        <f t="shared" si="28"/>
        <v>92.003016000000017</v>
      </c>
      <c r="AM32" s="100">
        <f t="shared" si="28"/>
        <v>60.783699900000009</v>
      </c>
      <c r="AN32" s="100">
        <f t="shared" si="28"/>
        <v>55.547755899999999</v>
      </c>
      <c r="AO32" s="100">
        <f t="shared" si="28"/>
        <v>49.489020700000005</v>
      </c>
      <c r="AP32" s="100">
        <f t="shared" si="28"/>
        <v>45.253515999999998</v>
      </c>
      <c r="AQ32" s="100">
        <f t="shared" si="28"/>
        <v>191.72904940000001</v>
      </c>
      <c r="AR32" s="100">
        <f t="shared" si="28"/>
        <v>116.78025099999999</v>
      </c>
      <c r="AS32" s="100">
        <f t="shared" si="28"/>
        <v>58.436875000000008</v>
      </c>
      <c r="AT32" s="100">
        <f t="shared" si="28"/>
        <v>241.46116750000007</v>
      </c>
      <c r="AU32" s="100">
        <f t="shared" si="28"/>
        <v>115.67696280000001</v>
      </c>
      <c r="AV32" s="100">
        <f t="shared" si="28"/>
        <v>93.863646100000011</v>
      </c>
      <c r="AW32" s="100">
        <f t="shared" si="28"/>
        <v>71.470635600000008</v>
      </c>
      <c r="AX32" s="100">
        <f t="shared" si="28"/>
        <v>159.51864390000003</v>
      </c>
      <c r="AY32" s="100">
        <f t="shared" si="28"/>
        <v>150.43054110000003</v>
      </c>
      <c r="AZ32" s="100">
        <f t="shared" si="28"/>
        <v>158.97634970000001</v>
      </c>
    </row>
    <row r="33" spans="1:52" x14ac:dyDescent="0.25">
      <c r="A33" s="195" t="s">
        <v>1078</v>
      </c>
      <c r="B33" s="196">
        <v>1</v>
      </c>
      <c r="C33" s="100">
        <f t="shared" ref="C33:AZ34" si="29">IFERROR($B33/C13,0)</f>
        <v>998.42055040000037</v>
      </c>
      <c r="D33" s="100">
        <f t="shared" si="29"/>
        <v>55.324057600000003</v>
      </c>
      <c r="E33" s="100">
        <f t="shared" si="29"/>
        <v>24.888863999999998</v>
      </c>
      <c r="F33" s="100">
        <f t="shared" si="29"/>
        <v>20.346211200000003</v>
      </c>
      <c r="G33" s="100">
        <f t="shared" si="29"/>
        <v>24.697411200000005</v>
      </c>
      <c r="H33" s="100">
        <f t="shared" si="29"/>
        <v>20.8451488</v>
      </c>
      <c r="I33" s="100">
        <f t="shared" si="29"/>
        <v>55.573526400000006</v>
      </c>
      <c r="J33" s="100">
        <f t="shared" si="29"/>
        <v>18.431683200000002</v>
      </c>
      <c r="K33" s="100">
        <f t="shared" si="29"/>
        <v>213.28422079999999</v>
      </c>
      <c r="L33" s="100">
        <f t="shared" si="29"/>
        <v>38.835910399999996</v>
      </c>
      <c r="M33" s="100">
        <f t="shared" si="29"/>
        <v>52.226003200000008</v>
      </c>
      <c r="N33" s="100">
        <f t="shared" si="29"/>
        <v>22.487001599999999</v>
      </c>
      <c r="O33" s="100">
        <f t="shared" si="29"/>
        <v>20.74072</v>
      </c>
      <c r="P33" s="100">
        <f t="shared" si="29"/>
        <v>18.443286400000002</v>
      </c>
      <c r="Q33" s="100">
        <f t="shared" si="29"/>
        <v>13.656966400000002</v>
      </c>
      <c r="R33" s="100">
        <f t="shared" si="29"/>
        <v>86.513459200000014</v>
      </c>
      <c r="S33" s="100">
        <f t="shared" si="29"/>
        <v>41.719305600000006</v>
      </c>
      <c r="T33" s="100">
        <f t="shared" si="29"/>
        <v>26.1246048</v>
      </c>
      <c r="U33" s="100">
        <f t="shared" si="29"/>
        <v>83.14272960000001</v>
      </c>
      <c r="V33" s="100">
        <f t="shared" si="29"/>
        <v>45.461337600000007</v>
      </c>
      <c r="W33" s="100">
        <f t="shared" si="29"/>
        <v>36.022134400000006</v>
      </c>
      <c r="X33" s="100">
        <f t="shared" si="29"/>
        <v>27.899894400000001</v>
      </c>
      <c r="Y33" s="100">
        <f t="shared" si="29"/>
        <v>51.756073600000008</v>
      </c>
      <c r="Z33" s="100">
        <f t="shared" si="29"/>
        <v>47.480294400000005</v>
      </c>
      <c r="AA33" s="100">
        <f t="shared" si="29"/>
        <v>61.322912000000002</v>
      </c>
      <c r="AB33" s="100">
        <f t="shared" si="29"/>
        <v>1626.7048224</v>
      </c>
      <c r="AC33" s="100">
        <f t="shared" si="29"/>
        <v>97.965817600000008</v>
      </c>
      <c r="AD33" s="100">
        <f t="shared" si="29"/>
        <v>40.849065599999996</v>
      </c>
      <c r="AE33" s="100">
        <f t="shared" si="29"/>
        <v>34.113408</v>
      </c>
      <c r="AF33" s="100">
        <f t="shared" si="29"/>
        <v>39.073776000000002</v>
      </c>
      <c r="AG33" s="100">
        <f t="shared" si="29"/>
        <v>37.321692799999994</v>
      </c>
      <c r="AH33" s="100">
        <f t="shared" si="29"/>
        <v>86.52506240000001</v>
      </c>
      <c r="AI33" s="100">
        <f t="shared" si="29"/>
        <v>26.379875200000004</v>
      </c>
      <c r="AJ33" s="100">
        <f t="shared" si="29"/>
        <v>338.98748799999998</v>
      </c>
      <c r="AK33" s="100">
        <f t="shared" si="29"/>
        <v>86.565673600000011</v>
      </c>
      <c r="AL33" s="100">
        <f t="shared" si="29"/>
        <v>57.087744000000001</v>
      </c>
      <c r="AM33" s="100">
        <f t="shared" si="29"/>
        <v>37.716201600000005</v>
      </c>
      <c r="AN33" s="100">
        <f t="shared" si="29"/>
        <v>34.467305599999996</v>
      </c>
      <c r="AO33" s="100">
        <f t="shared" si="29"/>
        <v>30.707868800000007</v>
      </c>
      <c r="AP33" s="100">
        <f t="shared" si="29"/>
        <v>28.079744000000005</v>
      </c>
      <c r="AQ33" s="100">
        <f t="shared" si="29"/>
        <v>118.96760960000002</v>
      </c>
      <c r="AR33" s="100">
        <f t="shared" si="29"/>
        <v>72.461984000000015</v>
      </c>
      <c r="AS33" s="100">
        <f t="shared" si="29"/>
        <v>36.260000000000005</v>
      </c>
      <c r="AT33" s="100">
        <f t="shared" si="29"/>
        <v>149.82632000000004</v>
      </c>
      <c r="AU33" s="100">
        <f t="shared" si="29"/>
        <v>71.777395200000001</v>
      </c>
      <c r="AV33" s="100">
        <f t="shared" si="29"/>
        <v>58.242262400000001</v>
      </c>
      <c r="AW33" s="100">
        <f t="shared" si="29"/>
        <v>44.347430400000007</v>
      </c>
      <c r="AX33" s="100">
        <f t="shared" si="29"/>
        <v>98.981097599999998</v>
      </c>
      <c r="AY33" s="100">
        <f t="shared" si="29"/>
        <v>93.341942400000008</v>
      </c>
      <c r="AZ33" s="100">
        <f t="shared" si="29"/>
        <v>98.644604799999996</v>
      </c>
    </row>
    <row r="34" spans="1:52" x14ac:dyDescent="0.25">
      <c r="A34" s="195" t="s">
        <v>1079</v>
      </c>
      <c r="B34" s="196">
        <v>1</v>
      </c>
      <c r="C34" s="100">
        <f t="shared" si="29"/>
        <v>107.86507732</v>
      </c>
      <c r="D34" s="100">
        <f t="shared" si="29"/>
        <v>5.9769740799999997</v>
      </c>
      <c r="E34" s="100">
        <f t="shared" si="29"/>
        <v>2.6888861999999998</v>
      </c>
      <c r="F34" s="100">
        <f t="shared" si="29"/>
        <v>2.1981174600000002</v>
      </c>
      <c r="G34" s="100">
        <f t="shared" si="29"/>
        <v>2.6682024599999998</v>
      </c>
      <c r="H34" s="100">
        <f t="shared" si="29"/>
        <v>2.2520205399999997</v>
      </c>
      <c r="I34" s="100">
        <f t="shared" si="29"/>
        <v>6.0039256199999995</v>
      </c>
      <c r="J34" s="100">
        <f t="shared" si="29"/>
        <v>1.9912800599999998</v>
      </c>
      <c r="K34" s="100">
        <f t="shared" si="29"/>
        <v>23.042313139999997</v>
      </c>
      <c r="L34" s="100">
        <f t="shared" si="29"/>
        <v>4.1956653199999998</v>
      </c>
      <c r="M34" s="100">
        <f t="shared" si="29"/>
        <v>5.6422735599999987</v>
      </c>
      <c r="N34" s="100">
        <f t="shared" si="29"/>
        <v>2.4293992800000002</v>
      </c>
      <c r="O34" s="100">
        <f t="shared" si="29"/>
        <v>2.2407384999999995</v>
      </c>
      <c r="P34" s="100">
        <f t="shared" si="29"/>
        <v>1.9925336199999999</v>
      </c>
      <c r="Q34" s="100">
        <f t="shared" si="29"/>
        <v>1.47544012</v>
      </c>
      <c r="R34" s="100">
        <f t="shared" si="29"/>
        <v>9.3465433600000001</v>
      </c>
      <c r="S34" s="100">
        <f t="shared" si="29"/>
        <v>4.5071749799999994</v>
      </c>
      <c r="T34" s="100">
        <f t="shared" si="29"/>
        <v>2.8223903399999997</v>
      </c>
      <c r="U34" s="100">
        <f t="shared" si="29"/>
        <v>8.9823841799999986</v>
      </c>
      <c r="V34" s="100">
        <f t="shared" si="29"/>
        <v>4.9114480799999995</v>
      </c>
      <c r="W34" s="100">
        <f t="shared" si="29"/>
        <v>3.8916770199999995</v>
      </c>
      <c r="X34" s="100">
        <f t="shared" si="29"/>
        <v>3.0141850199999998</v>
      </c>
      <c r="Y34" s="100">
        <f t="shared" si="29"/>
        <v>5.5915043799999991</v>
      </c>
      <c r="Z34" s="100">
        <f t="shared" si="29"/>
        <v>5.1295675200000002</v>
      </c>
      <c r="AA34" s="100">
        <f t="shared" si="29"/>
        <v>6.6250646000000009</v>
      </c>
      <c r="AB34" s="100">
        <f t="shared" si="29"/>
        <v>175.74221741999995</v>
      </c>
      <c r="AC34" s="100">
        <f t="shared" si="29"/>
        <v>10.58380708</v>
      </c>
      <c r="AD34" s="100">
        <f t="shared" si="29"/>
        <v>4.4131579799999994</v>
      </c>
      <c r="AE34" s="100">
        <f t="shared" si="29"/>
        <v>3.6854664000000001</v>
      </c>
      <c r="AF34" s="100">
        <f t="shared" si="29"/>
        <v>4.2213632999999993</v>
      </c>
      <c r="AG34" s="100">
        <f t="shared" si="29"/>
        <v>4.0320757399999989</v>
      </c>
      <c r="AH34" s="100">
        <f t="shared" si="29"/>
        <v>9.3477969199999986</v>
      </c>
      <c r="AI34" s="100">
        <f t="shared" si="29"/>
        <v>2.8499686599999996</v>
      </c>
      <c r="AJ34" s="100">
        <f t="shared" si="29"/>
        <v>36.622755399999996</v>
      </c>
      <c r="AK34" s="100">
        <f t="shared" si="29"/>
        <v>9.3521843799999989</v>
      </c>
      <c r="AL34" s="100">
        <f t="shared" si="29"/>
        <v>6.1675151999999995</v>
      </c>
      <c r="AM34" s="100">
        <f t="shared" si="29"/>
        <v>4.07469678</v>
      </c>
      <c r="AN34" s="100">
        <f t="shared" si="29"/>
        <v>3.7236999799999992</v>
      </c>
      <c r="AO34" s="100">
        <f t="shared" si="29"/>
        <v>3.3175465400000004</v>
      </c>
      <c r="AP34" s="100">
        <f t="shared" si="29"/>
        <v>3.0336151999999998</v>
      </c>
      <c r="AQ34" s="100">
        <f t="shared" si="29"/>
        <v>12.85275068</v>
      </c>
      <c r="AR34" s="100">
        <f t="shared" si="29"/>
        <v>7.8284821999999989</v>
      </c>
      <c r="AS34" s="100">
        <f t="shared" si="29"/>
        <v>3.9173750000000003</v>
      </c>
      <c r="AT34" s="100">
        <f t="shared" si="29"/>
        <v>16.186593500000001</v>
      </c>
      <c r="AU34" s="100">
        <f t="shared" si="29"/>
        <v>7.7545221599999996</v>
      </c>
      <c r="AV34" s="100">
        <f t="shared" si="29"/>
        <v>6.2922444200000003</v>
      </c>
      <c r="AW34" s="100">
        <f t="shared" si="29"/>
        <v>4.7911063199999999</v>
      </c>
      <c r="AX34" s="100">
        <f t="shared" si="29"/>
        <v>10.69349358</v>
      </c>
      <c r="AY34" s="100">
        <f t="shared" si="29"/>
        <v>10.084263419999999</v>
      </c>
      <c r="AZ34" s="100">
        <f t="shared" si="29"/>
        <v>10.65714034</v>
      </c>
    </row>
    <row r="35" spans="1:52" x14ac:dyDescent="0.25">
      <c r="A35" s="195" t="s">
        <v>1080</v>
      </c>
      <c r="B35" s="196">
        <v>1</v>
      </c>
      <c r="C35" s="100">
        <f t="shared" ref="C35:AZ35" si="30">IFERROR($B35/C30,0)</f>
        <v>1167.7954652000003</v>
      </c>
      <c r="D35" s="100">
        <f t="shared" si="30"/>
        <v>64.709388799999999</v>
      </c>
      <c r="E35" s="100">
        <f t="shared" si="30"/>
        <v>29.111082</v>
      </c>
      <c r="F35" s="100">
        <f t="shared" si="30"/>
        <v>23.797800600000002</v>
      </c>
      <c r="G35" s="100">
        <f t="shared" si="30"/>
        <v>28.887150600000002</v>
      </c>
      <c r="H35" s="100">
        <f t="shared" si="30"/>
        <v>24.381379400000004</v>
      </c>
      <c r="I35" s="100">
        <f t="shared" si="30"/>
        <v>65.001178199999998</v>
      </c>
      <c r="J35" s="100">
        <f t="shared" si="30"/>
        <v>21.558486600000002</v>
      </c>
      <c r="K35" s="100">
        <f t="shared" si="30"/>
        <v>249.46636540000003</v>
      </c>
      <c r="L35" s="100">
        <f t="shared" si="30"/>
        <v>45.424145200000005</v>
      </c>
      <c r="M35" s="100">
        <f t="shared" si="30"/>
        <v>61.085771600000008</v>
      </c>
      <c r="N35" s="100">
        <f t="shared" si="30"/>
        <v>26.3017608</v>
      </c>
      <c r="O35" s="100">
        <f t="shared" si="30"/>
        <v>24.259235</v>
      </c>
      <c r="P35" s="100">
        <f t="shared" si="30"/>
        <v>21.572058200000001</v>
      </c>
      <c r="Q35" s="100">
        <f t="shared" si="30"/>
        <v>15.973773200000002</v>
      </c>
      <c r="R35" s="100">
        <f t="shared" si="30"/>
        <v>101.1898496</v>
      </c>
      <c r="S35" s="100">
        <f t="shared" si="30"/>
        <v>48.796687800000008</v>
      </c>
      <c r="T35" s="100">
        <f t="shared" si="30"/>
        <v>30.556457400000003</v>
      </c>
      <c r="U35" s="100">
        <f t="shared" si="30"/>
        <v>97.247299800000022</v>
      </c>
      <c r="V35" s="100">
        <f t="shared" si="30"/>
        <v>53.173528800000007</v>
      </c>
      <c r="W35" s="100">
        <f t="shared" si="30"/>
        <v>42.133032200000002</v>
      </c>
      <c r="X35" s="100">
        <f t="shared" si="30"/>
        <v>32.6329122</v>
      </c>
      <c r="Y35" s="100">
        <f t="shared" si="30"/>
        <v>60.536121800000011</v>
      </c>
      <c r="Z35" s="100">
        <f t="shared" si="30"/>
        <v>55.534987200000003</v>
      </c>
      <c r="AA35" s="100">
        <f t="shared" si="30"/>
        <v>71.725906000000009</v>
      </c>
      <c r="AB35" s="100">
        <f t="shared" si="30"/>
        <v>1902.6636762000005</v>
      </c>
      <c r="AC35" s="100">
        <f t="shared" si="30"/>
        <v>114.58501880000001</v>
      </c>
      <c r="AD35" s="100">
        <f t="shared" si="30"/>
        <v>47.778817800000006</v>
      </c>
      <c r="AE35" s="100">
        <f t="shared" si="30"/>
        <v>39.900503999999998</v>
      </c>
      <c r="AF35" s="100">
        <f t="shared" si="30"/>
        <v>45.702363000000005</v>
      </c>
      <c r="AG35" s="100">
        <f t="shared" si="30"/>
        <v>43.653051399999995</v>
      </c>
      <c r="AH35" s="100">
        <f t="shared" si="30"/>
        <v>101.20342120000001</v>
      </c>
      <c r="AI35" s="100">
        <f t="shared" si="30"/>
        <v>30.855032600000001</v>
      </c>
      <c r="AJ35" s="100">
        <f t="shared" si="30"/>
        <v>396.49429400000002</v>
      </c>
      <c r="AK35" s="100">
        <f t="shared" si="30"/>
        <v>101.2509218</v>
      </c>
      <c r="AL35" s="100">
        <f t="shared" si="30"/>
        <v>66.772272000000001</v>
      </c>
      <c r="AM35" s="100">
        <f t="shared" si="30"/>
        <v>44.114485800000011</v>
      </c>
      <c r="AN35" s="100">
        <f t="shared" si="30"/>
        <v>40.314437799999993</v>
      </c>
      <c r="AO35" s="100">
        <f t="shared" si="30"/>
        <v>35.917239400000007</v>
      </c>
      <c r="AP35" s="100">
        <f t="shared" si="30"/>
        <v>32.843272000000006</v>
      </c>
      <c r="AQ35" s="100">
        <f t="shared" si="30"/>
        <v>139.14961480000002</v>
      </c>
      <c r="AR35" s="100">
        <f t="shared" si="30"/>
        <v>84.754642000000004</v>
      </c>
      <c r="AS35" s="100">
        <f t="shared" si="30"/>
        <v>42.411250000000003</v>
      </c>
      <c r="AT35" s="100">
        <f t="shared" si="30"/>
        <v>175.24328500000004</v>
      </c>
      <c r="AU35" s="100">
        <f t="shared" si="30"/>
        <v>83.953917600000011</v>
      </c>
      <c r="AV35" s="100">
        <f t="shared" si="30"/>
        <v>68.122646200000005</v>
      </c>
      <c r="AW35" s="100">
        <f t="shared" si="30"/>
        <v>51.870655200000002</v>
      </c>
      <c r="AX35" s="100">
        <f t="shared" si="30"/>
        <v>115.77253380000001</v>
      </c>
      <c r="AY35" s="100">
        <f t="shared" si="30"/>
        <v>109.17673620000002</v>
      </c>
      <c r="AZ35" s="100">
        <f t="shared" si="30"/>
        <v>115.37895740000003</v>
      </c>
    </row>
    <row r="36" spans="1:52" x14ac:dyDescent="0.25">
      <c r="A36" s="195" t="s">
        <v>1081</v>
      </c>
      <c r="B36" s="196">
        <v>1</v>
      </c>
      <c r="C36" s="100">
        <f t="shared" ref="C36:AZ36" si="31">IFERROR($B36/C26,0)</f>
        <v>3498.9291609999996</v>
      </c>
      <c r="D36" s="100">
        <f t="shared" si="31"/>
        <v>193.88118400000002</v>
      </c>
      <c r="E36" s="100">
        <f t="shared" si="31"/>
        <v>87.222134999999994</v>
      </c>
      <c r="F36" s="100">
        <f t="shared" si="31"/>
        <v>71.302570500000002</v>
      </c>
      <c r="G36" s="100">
        <f t="shared" si="31"/>
        <v>86.55119550000002</v>
      </c>
      <c r="H36" s="100">
        <f t="shared" si="31"/>
        <v>73.051079500000014</v>
      </c>
      <c r="I36" s="100">
        <f t="shared" si="31"/>
        <v>194.7554385</v>
      </c>
      <c r="J36" s="100">
        <f t="shared" si="31"/>
        <v>64.593175500000001</v>
      </c>
      <c r="K36" s="100">
        <f t="shared" si="31"/>
        <v>747.44693450000011</v>
      </c>
      <c r="L36" s="100">
        <f t="shared" si="31"/>
        <v>136.09906100000001</v>
      </c>
      <c r="M36" s="100">
        <f t="shared" si="31"/>
        <v>183.02416300000002</v>
      </c>
      <c r="N36" s="100">
        <f t="shared" si="31"/>
        <v>78.804894000000004</v>
      </c>
      <c r="O36" s="100">
        <f t="shared" si="31"/>
        <v>72.685112500000002</v>
      </c>
      <c r="P36" s="100">
        <f t="shared" si="31"/>
        <v>64.633838499999996</v>
      </c>
      <c r="Q36" s="100">
        <f t="shared" si="31"/>
        <v>47.860351000000001</v>
      </c>
      <c r="R36" s="100">
        <f t="shared" si="31"/>
        <v>303.18332800000002</v>
      </c>
      <c r="S36" s="100">
        <f t="shared" si="31"/>
        <v>146.20381650000002</v>
      </c>
      <c r="T36" s="100">
        <f t="shared" si="31"/>
        <v>91.552744500000003</v>
      </c>
      <c r="U36" s="100">
        <f t="shared" si="31"/>
        <v>291.37072650000005</v>
      </c>
      <c r="V36" s="100">
        <f t="shared" si="31"/>
        <v>159.31763400000003</v>
      </c>
      <c r="W36" s="100">
        <f t="shared" si="31"/>
        <v>126.23828350000002</v>
      </c>
      <c r="X36" s="100">
        <f t="shared" si="31"/>
        <v>97.774183500000007</v>
      </c>
      <c r="Y36" s="100">
        <f t="shared" si="31"/>
        <v>181.37731150000002</v>
      </c>
      <c r="Z36" s="100">
        <f t="shared" si="31"/>
        <v>166.39299600000004</v>
      </c>
      <c r="AA36" s="100">
        <f t="shared" si="31"/>
        <v>214.90395500000005</v>
      </c>
      <c r="AB36" s="100">
        <f t="shared" si="31"/>
        <v>5700.7289534999991</v>
      </c>
      <c r="AC36" s="100">
        <f t="shared" si="31"/>
        <v>343.31770900000004</v>
      </c>
      <c r="AD36" s="100">
        <f t="shared" si="31"/>
        <v>143.15409149999999</v>
      </c>
      <c r="AE36" s="100">
        <f t="shared" si="31"/>
        <v>119.54922000000001</v>
      </c>
      <c r="AF36" s="100">
        <f t="shared" si="31"/>
        <v>136.93265250000002</v>
      </c>
      <c r="AG36" s="100">
        <f t="shared" si="31"/>
        <v>130.7925395</v>
      </c>
      <c r="AH36" s="100">
        <f t="shared" si="31"/>
        <v>303.22399100000001</v>
      </c>
      <c r="AI36" s="100">
        <f t="shared" si="31"/>
        <v>92.447330499999993</v>
      </c>
      <c r="AJ36" s="100">
        <f t="shared" si="31"/>
        <v>1187.9695449999999</v>
      </c>
      <c r="AK36" s="100">
        <f t="shared" si="31"/>
        <v>303.36631150000005</v>
      </c>
      <c r="AL36" s="100">
        <f t="shared" si="31"/>
        <v>200.06196000000003</v>
      </c>
      <c r="AM36" s="100">
        <f t="shared" si="31"/>
        <v>132.1750815</v>
      </c>
      <c r="AN36" s="100">
        <f t="shared" si="31"/>
        <v>120.78944150000001</v>
      </c>
      <c r="AO36" s="100">
        <f t="shared" si="31"/>
        <v>107.61462950000001</v>
      </c>
      <c r="AP36" s="100">
        <f t="shared" si="31"/>
        <v>98.40446</v>
      </c>
      <c r="AQ36" s="100">
        <f t="shared" si="31"/>
        <v>416.91773900000004</v>
      </c>
      <c r="AR36" s="100">
        <f t="shared" si="31"/>
        <v>253.94043500000004</v>
      </c>
      <c r="AS36" s="100">
        <f t="shared" si="31"/>
        <v>127.07187500000002</v>
      </c>
      <c r="AT36" s="100">
        <f t="shared" si="31"/>
        <v>525.06098750000012</v>
      </c>
      <c r="AU36" s="100">
        <f t="shared" si="31"/>
        <v>251.54131799999999</v>
      </c>
      <c r="AV36" s="100">
        <f t="shared" si="31"/>
        <v>204.10792850000001</v>
      </c>
      <c r="AW36" s="100">
        <f t="shared" si="31"/>
        <v>155.41398600000002</v>
      </c>
      <c r="AX36" s="100">
        <f t="shared" si="31"/>
        <v>346.8757215</v>
      </c>
      <c r="AY36" s="100">
        <f t="shared" si="31"/>
        <v>327.11350350000004</v>
      </c>
      <c r="AZ36" s="100">
        <f t="shared" si="31"/>
        <v>345.69649450000003</v>
      </c>
    </row>
    <row r="37" spans="1:52" x14ac:dyDescent="0.25">
      <c r="A37" s="195" t="s">
        <v>1082</v>
      </c>
      <c r="B37" s="196">
        <v>1</v>
      </c>
      <c r="C37" s="100">
        <f t="shared" ref="C37:AZ37" si="32">IFERROR($B37/C22,0)</f>
        <v>1849.7523590000008</v>
      </c>
      <c r="D37" s="100">
        <f t="shared" si="32"/>
        <v>102.497696</v>
      </c>
      <c r="E37" s="100">
        <f t="shared" si="32"/>
        <v>46.111065000000004</v>
      </c>
      <c r="F37" s="100">
        <f t="shared" si="32"/>
        <v>37.694989499999998</v>
      </c>
      <c r="G37" s="100">
        <f t="shared" si="32"/>
        <v>45.756364500000004</v>
      </c>
      <c r="H37" s="100">
        <f t="shared" si="32"/>
        <v>38.619360500000006</v>
      </c>
      <c r="I37" s="100">
        <f t="shared" si="32"/>
        <v>102.95988150000001</v>
      </c>
      <c r="J37" s="100">
        <f t="shared" si="32"/>
        <v>34.1479845</v>
      </c>
      <c r="K37" s="100">
        <f t="shared" si="32"/>
        <v>395.14710550000001</v>
      </c>
      <c r="L37" s="100">
        <f t="shared" si="32"/>
        <v>71.950458999999995</v>
      </c>
      <c r="M37" s="100">
        <f t="shared" si="32"/>
        <v>96.757997000000003</v>
      </c>
      <c r="N37" s="100">
        <f t="shared" si="32"/>
        <v>41.661186000000008</v>
      </c>
      <c r="O37" s="100">
        <f t="shared" si="32"/>
        <v>38.425887499999995</v>
      </c>
      <c r="P37" s="100">
        <f t="shared" si="32"/>
        <v>34.169481500000003</v>
      </c>
      <c r="Q37" s="100">
        <f t="shared" si="32"/>
        <v>25.301969000000003</v>
      </c>
      <c r="R37" s="100">
        <f t="shared" si="32"/>
        <v>160.281632</v>
      </c>
      <c r="S37" s="100">
        <f t="shared" si="32"/>
        <v>77.292463500000011</v>
      </c>
      <c r="T37" s="100">
        <f t="shared" si="32"/>
        <v>48.400495500000005</v>
      </c>
      <c r="U37" s="100">
        <f t="shared" si="32"/>
        <v>154.0367535</v>
      </c>
      <c r="V37" s="100">
        <f t="shared" si="32"/>
        <v>84.225246000000013</v>
      </c>
      <c r="W37" s="100">
        <f t="shared" si="32"/>
        <v>66.737436500000001</v>
      </c>
      <c r="X37" s="100">
        <f t="shared" si="32"/>
        <v>51.68953650000001</v>
      </c>
      <c r="Y37" s="100">
        <f t="shared" si="32"/>
        <v>95.887368500000008</v>
      </c>
      <c r="Z37" s="100">
        <f t="shared" si="32"/>
        <v>87.965723999999994</v>
      </c>
      <c r="AA37" s="100">
        <f t="shared" si="32"/>
        <v>113.61164500000001</v>
      </c>
      <c r="AB37" s="100">
        <f t="shared" si="32"/>
        <v>3013.7611664999999</v>
      </c>
      <c r="AC37" s="100">
        <f t="shared" si="32"/>
        <v>181.49917099999999</v>
      </c>
      <c r="AD37" s="100">
        <f t="shared" si="32"/>
        <v>75.680188499999986</v>
      </c>
      <c r="AE37" s="100">
        <f t="shared" si="32"/>
        <v>63.201180000000015</v>
      </c>
      <c r="AF37" s="100">
        <f t="shared" si="32"/>
        <v>72.391147500000002</v>
      </c>
      <c r="AG37" s="100">
        <f t="shared" si="32"/>
        <v>69.145100499999998</v>
      </c>
      <c r="AH37" s="100">
        <f t="shared" si="32"/>
        <v>160.30312900000001</v>
      </c>
      <c r="AI37" s="100">
        <f t="shared" si="32"/>
        <v>48.873429500000007</v>
      </c>
      <c r="AJ37" s="100">
        <f t="shared" si="32"/>
        <v>628.03485499999988</v>
      </c>
      <c r="AK37" s="100">
        <f t="shared" si="32"/>
        <v>160.37836849999999</v>
      </c>
      <c r="AL37" s="100">
        <f t="shared" si="32"/>
        <v>105.76524000000001</v>
      </c>
      <c r="AM37" s="100">
        <f t="shared" si="32"/>
        <v>69.875998500000009</v>
      </c>
      <c r="AN37" s="100">
        <f t="shared" si="32"/>
        <v>63.856838499999995</v>
      </c>
      <c r="AO37" s="100">
        <f t="shared" si="32"/>
        <v>56.891810500000005</v>
      </c>
      <c r="AP37" s="100">
        <f t="shared" si="32"/>
        <v>52.022740000000006</v>
      </c>
      <c r="AQ37" s="100">
        <f t="shared" si="32"/>
        <v>220.40874100000002</v>
      </c>
      <c r="AR37" s="100">
        <f t="shared" si="32"/>
        <v>134.24876500000002</v>
      </c>
      <c r="AS37" s="100">
        <f t="shared" si="32"/>
        <v>67.178125000000009</v>
      </c>
      <c r="AT37" s="100">
        <f t="shared" si="32"/>
        <v>277.58001250000007</v>
      </c>
      <c r="AU37" s="100">
        <f t="shared" si="32"/>
        <v>132.98044200000001</v>
      </c>
      <c r="AV37" s="100">
        <f t="shared" si="32"/>
        <v>107.9041915</v>
      </c>
      <c r="AW37" s="100">
        <f t="shared" si="32"/>
        <v>82.161533999999989</v>
      </c>
      <c r="AX37" s="100">
        <f t="shared" si="32"/>
        <v>183.38015850000002</v>
      </c>
      <c r="AY37" s="100">
        <f t="shared" si="32"/>
        <v>172.93261650000002</v>
      </c>
      <c r="AZ37" s="100">
        <f t="shared" si="32"/>
        <v>182.75674550000002</v>
      </c>
    </row>
    <row r="38" spans="1:52" x14ac:dyDescent="0.25">
      <c r="A38" s="195" t="s">
        <v>1083</v>
      </c>
      <c r="B38" s="196">
        <v>1</v>
      </c>
      <c r="C38" s="100">
        <f t="shared" ref="C38:AZ38" si="33">IFERROR($B38/C2,0)</f>
        <v>3271.6101963999995</v>
      </c>
      <c r="D38" s="100">
        <f t="shared" si="33"/>
        <v>181.28508160000001</v>
      </c>
      <c r="E38" s="100">
        <f t="shared" si="33"/>
        <v>81.555474000000018</v>
      </c>
      <c r="F38" s="100">
        <f t="shared" si="33"/>
        <v>66.670174200000005</v>
      </c>
      <c r="G38" s="100">
        <f t="shared" si="33"/>
        <v>80.928124199999999</v>
      </c>
      <c r="H38" s="100">
        <f t="shared" si="33"/>
        <v>68.305085800000001</v>
      </c>
      <c r="I38" s="100">
        <f t="shared" si="33"/>
        <v>182.10253739999999</v>
      </c>
      <c r="J38" s="100">
        <f t="shared" si="33"/>
        <v>60.396676200000002</v>
      </c>
      <c r="K38" s="100">
        <f t="shared" si="33"/>
        <v>698.8866878</v>
      </c>
      <c r="L38" s="100">
        <f t="shared" si="33"/>
        <v>127.25695640000002</v>
      </c>
      <c r="M38" s="100">
        <f t="shared" si="33"/>
        <v>171.13342120000002</v>
      </c>
      <c r="N38" s="100">
        <f t="shared" si="33"/>
        <v>73.685085600000008</v>
      </c>
      <c r="O38" s="100">
        <f t="shared" si="33"/>
        <v>67.962895000000003</v>
      </c>
      <c r="P38" s="100">
        <f t="shared" si="33"/>
        <v>60.434697400000012</v>
      </c>
      <c r="Q38" s="100">
        <f t="shared" si="33"/>
        <v>44.750952400000003</v>
      </c>
      <c r="R38" s="100">
        <f t="shared" si="33"/>
        <v>283.48606720000004</v>
      </c>
      <c r="S38" s="100">
        <f t="shared" si="33"/>
        <v>136.70522460000004</v>
      </c>
      <c r="T38" s="100">
        <f t="shared" si="33"/>
        <v>85.60473180000001</v>
      </c>
      <c r="U38" s="100">
        <f t="shared" si="33"/>
        <v>272.44090860000006</v>
      </c>
      <c r="V38" s="100">
        <f t="shared" si="33"/>
        <v>148.96706160000002</v>
      </c>
      <c r="W38" s="100">
        <f t="shared" si="33"/>
        <v>118.03681540000001</v>
      </c>
      <c r="X38" s="100">
        <f t="shared" si="33"/>
        <v>91.421975400000008</v>
      </c>
      <c r="Y38" s="100">
        <f t="shared" si="33"/>
        <v>169.59356260000001</v>
      </c>
      <c r="Z38" s="100">
        <f t="shared" si="33"/>
        <v>155.58275040000004</v>
      </c>
      <c r="AA38" s="100">
        <f t="shared" si="33"/>
        <v>200.94204200000001</v>
      </c>
      <c r="AB38" s="100">
        <f t="shared" si="33"/>
        <v>5330.3631234000004</v>
      </c>
      <c r="AC38" s="100">
        <f t="shared" si="33"/>
        <v>321.01299160000002</v>
      </c>
      <c r="AD38" s="100">
        <f t="shared" si="33"/>
        <v>133.85363459999999</v>
      </c>
      <c r="AE38" s="100">
        <f t="shared" si="33"/>
        <v>111.78232800000001</v>
      </c>
      <c r="AF38" s="100">
        <f t="shared" si="33"/>
        <v>128.03639100000001</v>
      </c>
      <c r="AG38" s="100">
        <f t="shared" si="33"/>
        <v>122.2951898</v>
      </c>
      <c r="AH38" s="100">
        <f t="shared" si="33"/>
        <v>283.52408839999998</v>
      </c>
      <c r="AI38" s="100">
        <f t="shared" si="33"/>
        <v>86.441198200000002</v>
      </c>
      <c r="AJ38" s="100">
        <f t="shared" si="33"/>
        <v>1110.789358</v>
      </c>
      <c r="AK38" s="100">
        <f t="shared" si="33"/>
        <v>283.65716260000005</v>
      </c>
      <c r="AL38" s="100">
        <f t="shared" si="33"/>
        <v>187.06430399999999</v>
      </c>
      <c r="AM38" s="100">
        <f t="shared" si="33"/>
        <v>123.58791060000001</v>
      </c>
      <c r="AN38" s="100">
        <f t="shared" si="33"/>
        <v>112.94197459999999</v>
      </c>
      <c r="AO38" s="100">
        <f t="shared" si="33"/>
        <v>100.6231058</v>
      </c>
      <c r="AP38" s="100">
        <f t="shared" si="33"/>
        <v>92.01130400000001</v>
      </c>
      <c r="AQ38" s="100">
        <f t="shared" si="33"/>
        <v>389.83136360000003</v>
      </c>
      <c r="AR38" s="100">
        <f t="shared" si="33"/>
        <v>237.44239400000001</v>
      </c>
      <c r="AS38" s="100">
        <f t="shared" si="33"/>
        <v>118.81625000000001</v>
      </c>
      <c r="AT38" s="100">
        <f t="shared" si="33"/>
        <v>490.94874500000009</v>
      </c>
      <c r="AU38" s="100">
        <f t="shared" si="33"/>
        <v>235.19914320000001</v>
      </c>
      <c r="AV38" s="100">
        <f t="shared" si="33"/>
        <v>190.84741339999999</v>
      </c>
      <c r="AW38" s="100">
        <f t="shared" si="33"/>
        <v>145.3170264</v>
      </c>
      <c r="AX38" s="100">
        <f t="shared" si="33"/>
        <v>324.33984659999999</v>
      </c>
      <c r="AY38" s="100">
        <f t="shared" si="33"/>
        <v>305.86154340000002</v>
      </c>
      <c r="AZ38" s="100">
        <f t="shared" si="33"/>
        <v>323.23723180000002</v>
      </c>
    </row>
    <row r="39" spans="1:52" x14ac:dyDescent="0.25">
      <c r="A39" s="195" t="s">
        <v>1084</v>
      </c>
      <c r="B39" s="196">
        <v>1</v>
      </c>
      <c r="C39" s="100">
        <f t="shared" ref="C39:AZ39" si="34">IFERROR($B39/C11,0)</f>
        <v>0</v>
      </c>
      <c r="D39" s="100">
        <f t="shared" si="34"/>
        <v>0</v>
      </c>
      <c r="E39" s="100">
        <f t="shared" si="34"/>
        <v>0</v>
      </c>
      <c r="F39" s="100">
        <f t="shared" si="34"/>
        <v>0</v>
      </c>
      <c r="G39" s="100">
        <f t="shared" si="34"/>
        <v>0</v>
      </c>
      <c r="H39" s="100">
        <f t="shared" si="34"/>
        <v>0</v>
      </c>
      <c r="I39" s="100">
        <f t="shared" si="34"/>
        <v>0</v>
      </c>
      <c r="J39" s="100">
        <f t="shared" si="34"/>
        <v>0</v>
      </c>
      <c r="K39" s="100">
        <f t="shared" si="34"/>
        <v>0</v>
      </c>
      <c r="L39" s="100">
        <f t="shared" si="34"/>
        <v>0</v>
      </c>
      <c r="M39" s="100">
        <f t="shared" si="34"/>
        <v>0</v>
      </c>
      <c r="N39" s="100">
        <f t="shared" si="34"/>
        <v>0</v>
      </c>
      <c r="O39" s="100">
        <f t="shared" si="34"/>
        <v>0</v>
      </c>
      <c r="P39" s="100">
        <f t="shared" si="34"/>
        <v>0</v>
      </c>
      <c r="Q39" s="100">
        <f t="shared" si="34"/>
        <v>0</v>
      </c>
      <c r="R39" s="100">
        <f t="shared" si="34"/>
        <v>0</v>
      </c>
      <c r="S39" s="100">
        <f t="shared" si="34"/>
        <v>0</v>
      </c>
      <c r="T39" s="100">
        <f t="shared" si="34"/>
        <v>0</v>
      </c>
      <c r="U39" s="100">
        <f t="shared" si="34"/>
        <v>0</v>
      </c>
      <c r="V39" s="100">
        <f t="shared" si="34"/>
        <v>0</v>
      </c>
      <c r="W39" s="100">
        <f t="shared" si="34"/>
        <v>0</v>
      </c>
      <c r="X39" s="100">
        <f t="shared" si="34"/>
        <v>0</v>
      </c>
      <c r="Y39" s="100">
        <f t="shared" si="34"/>
        <v>0</v>
      </c>
      <c r="Z39" s="100">
        <f t="shared" si="34"/>
        <v>0</v>
      </c>
      <c r="AA39" s="100">
        <f t="shared" si="34"/>
        <v>0</v>
      </c>
      <c r="AB39" s="100">
        <f t="shared" si="34"/>
        <v>0</v>
      </c>
      <c r="AC39" s="100">
        <f t="shared" si="34"/>
        <v>0</v>
      </c>
      <c r="AD39" s="100">
        <f t="shared" si="34"/>
        <v>0</v>
      </c>
      <c r="AE39" s="100">
        <f t="shared" si="34"/>
        <v>0</v>
      </c>
      <c r="AF39" s="100">
        <f t="shared" si="34"/>
        <v>0</v>
      </c>
      <c r="AG39" s="100">
        <f t="shared" si="34"/>
        <v>0</v>
      </c>
      <c r="AH39" s="100">
        <f t="shared" si="34"/>
        <v>0</v>
      </c>
      <c r="AI39" s="100">
        <f t="shared" si="34"/>
        <v>0</v>
      </c>
      <c r="AJ39" s="100">
        <f t="shared" si="34"/>
        <v>0</v>
      </c>
      <c r="AK39" s="100">
        <f t="shared" si="34"/>
        <v>0</v>
      </c>
      <c r="AL39" s="100">
        <f t="shared" si="34"/>
        <v>0</v>
      </c>
      <c r="AM39" s="100">
        <f t="shared" si="34"/>
        <v>0</v>
      </c>
      <c r="AN39" s="100">
        <f t="shared" si="34"/>
        <v>0</v>
      </c>
      <c r="AO39" s="100">
        <f t="shared" si="34"/>
        <v>0</v>
      </c>
      <c r="AP39" s="100">
        <f t="shared" si="34"/>
        <v>0</v>
      </c>
      <c r="AQ39" s="100">
        <f t="shared" si="34"/>
        <v>0</v>
      </c>
      <c r="AR39" s="100">
        <f t="shared" si="34"/>
        <v>0</v>
      </c>
      <c r="AS39" s="100">
        <f t="shared" si="34"/>
        <v>0</v>
      </c>
      <c r="AT39" s="100">
        <f t="shared" si="34"/>
        <v>0</v>
      </c>
      <c r="AU39" s="100">
        <f t="shared" si="34"/>
        <v>0</v>
      </c>
      <c r="AV39" s="100">
        <f t="shared" si="34"/>
        <v>0</v>
      </c>
      <c r="AW39" s="100">
        <f t="shared" si="34"/>
        <v>0</v>
      </c>
      <c r="AX39" s="100">
        <f t="shared" si="34"/>
        <v>0</v>
      </c>
      <c r="AY39" s="100">
        <f t="shared" si="34"/>
        <v>0</v>
      </c>
      <c r="AZ39" s="100">
        <f t="shared" si="34"/>
        <v>0</v>
      </c>
    </row>
    <row r="40" spans="1:52" x14ac:dyDescent="0.25">
      <c r="A40" s="195" t="s">
        <v>1085</v>
      </c>
      <c r="B40" s="196">
        <v>1</v>
      </c>
      <c r="C40" s="100">
        <f t="shared" ref="C40:AZ40" si="35">IFERROR($B40/C4,0)</f>
        <v>0</v>
      </c>
      <c r="D40" s="100">
        <f t="shared" si="35"/>
        <v>0</v>
      </c>
      <c r="E40" s="100">
        <f t="shared" si="35"/>
        <v>0</v>
      </c>
      <c r="F40" s="100">
        <f t="shared" si="35"/>
        <v>0</v>
      </c>
      <c r="G40" s="100">
        <f t="shared" si="35"/>
        <v>0</v>
      </c>
      <c r="H40" s="100">
        <f t="shared" si="35"/>
        <v>0</v>
      </c>
      <c r="I40" s="100">
        <f t="shared" si="35"/>
        <v>0</v>
      </c>
      <c r="J40" s="100">
        <f t="shared" si="35"/>
        <v>0</v>
      </c>
      <c r="K40" s="100">
        <f t="shared" si="35"/>
        <v>0</v>
      </c>
      <c r="L40" s="100">
        <f t="shared" si="35"/>
        <v>0</v>
      </c>
      <c r="M40" s="100">
        <f t="shared" si="35"/>
        <v>0</v>
      </c>
      <c r="N40" s="100">
        <f t="shared" si="35"/>
        <v>0</v>
      </c>
      <c r="O40" s="100">
        <f t="shared" si="35"/>
        <v>0</v>
      </c>
      <c r="P40" s="100">
        <f t="shared" si="35"/>
        <v>0</v>
      </c>
      <c r="Q40" s="100">
        <f t="shared" si="35"/>
        <v>0</v>
      </c>
      <c r="R40" s="100">
        <f t="shared" si="35"/>
        <v>0</v>
      </c>
      <c r="S40" s="100">
        <f t="shared" si="35"/>
        <v>0</v>
      </c>
      <c r="T40" s="100">
        <f t="shared" si="35"/>
        <v>0</v>
      </c>
      <c r="U40" s="100">
        <f t="shared" si="35"/>
        <v>0</v>
      </c>
      <c r="V40" s="100">
        <f t="shared" si="35"/>
        <v>0</v>
      </c>
      <c r="W40" s="100">
        <f t="shared" si="35"/>
        <v>0</v>
      </c>
      <c r="X40" s="100">
        <f t="shared" si="35"/>
        <v>0</v>
      </c>
      <c r="Y40" s="100">
        <f t="shared" si="35"/>
        <v>0</v>
      </c>
      <c r="Z40" s="100">
        <f t="shared" si="35"/>
        <v>0</v>
      </c>
      <c r="AA40" s="100">
        <f t="shared" si="35"/>
        <v>0</v>
      </c>
      <c r="AB40" s="100">
        <f t="shared" si="35"/>
        <v>0</v>
      </c>
      <c r="AC40" s="100">
        <f t="shared" si="35"/>
        <v>0</v>
      </c>
      <c r="AD40" s="100">
        <f t="shared" si="35"/>
        <v>0</v>
      </c>
      <c r="AE40" s="100">
        <f t="shared" si="35"/>
        <v>0</v>
      </c>
      <c r="AF40" s="100">
        <f t="shared" si="35"/>
        <v>0</v>
      </c>
      <c r="AG40" s="100">
        <f t="shared" si="35"/>
        <v>0</v>
      </c>
      <c r="AH40" s="100">
        <f t="shared" si="35"/>
        <v>0</v>
      </c>
      <c r="AI40" s="100">
        <f t="shared" si="35"/>
        <v>0</v>
      </c>
      <c r="AJ40" s="100">
        <f t="shared" si="35"/>
        <v>0</v>
      </c>
      <c r="AK40" s="100">
        <f t="shared" si="35"/>
        <v>0</v>
      </c>
      <c r="AL40" s="100">
        <f t="shared" si="35"/>
        <v>0</v>
      </c>
      <c r="AM40" s="100">
        <f t="shared" si="35"/>
        <v>0</v>
      </c>
      <c r="AN40" s="100">
        <f t="shared" si="35"/>
        <v>0</v>
      </c>
      <c r="AO40" s="100">
        <f t="shared" si="35"/>
        <v>0</v>
      </c>
      <c r="AP40" s="100">
        <f t="shared" si="35"/>
        <v>0</v>
      </c>
      <c r="AQ40" s="100">
        <f t="shared" si="35"/>
        <v>0</v>
      </c>
      <c r="AR40" s="100">
        <f t="shared" si="35"/>
        <v>0</v>
      </c>
      <c r="AS40" s="100">
        <f t="shared" si="35"/>
        <v>0</v>
      </c>
      <c r="AT40" s="100">
        <f t="shared" si="35"/>
        <v>0</v>
      </c>
      <c r="AU40" s="100">
        <f t="shared" si="35"/>
        <v>0</v>
      </c>
      <c r="AV40" s="100">
        <f t="shared" si="35"/>
        <v>0</v>
      </c>
      <c r="AW40" s="100">
        <f t="shared" si="35"/>
        <v>0</v>
      </c>
      <c r="AX40" s="100">
        <f t="shared" si="35"/>
        <v>0</v>
      </c>
      <c r="AY40" s="100">
        <f t="shared" si="35"/>
        <v>0</v>
      </c>
      <c r="AZ40" s="100">
        <f t="shared" si="35"/>
        <v>0</v>
      </c>
    </row>
    <row r="41" spans="1:52" x14ac:dyDescent="0.25">
      <c r="A41" s="195" t="s">
        <v>1086</v>
      </c>
      <c r="B41" s="197">
        <v>0.99987999999999999</v>
      </c>
      <c r="C41" s="100">
        <f t="shared" ref="C41:AZ41" si="36">IFERROR($B41/C8,0)</f>
        <v>8.6459974797851231</v>
      </c>
      <c r="D41" s="100">
        <f t="shared" si="36"/>
        <v>0.47908835849727999</v>
      </c>
      <c r="E41" s="100">
        <f t="shared" si="36"/>
        <v>0.2155294733592</v>
      </c>
      <c r="F41" s="100">
        <f t="shared" si="36"/>
        <v>0.17619157647336001</v>
      </c>
      <c r="G41" s="100">
        <f t="shared" si="36"/>
        <v>0.21387155433336003</v>
      </c>
      <c r="H41" s="100">
        <f t="shared" si="36"/>
        <v>0.18051221393463998</v>
      </c>
      <c r="I41" s="100">
        <f t="shared" si="36"/>
        <v>0.48124867722791997</v>
      </c>
      <c r="J41" s="100">
        <f t="shared" si="36"/>
        <v>0.15961238621496002</v>
      </c>
      <c r="K41" s="100">
        <f t="shared" si="36"/>
        <v>1.8469720347562402</v>
      </c>
      <c r="L41" s="100">
        <f t="shared" si="36"/>
        <v>0.33630636239312001</v>
      </c>
      <c r="M41" s="100">
        <f t="shared" si="36"/>
        <v>0.45226021426096003</v>
      </c>
      <c r="N41" s="100">
        <f t="shared" si="36"/>
        <v>0.19473012558048</v>
      </c>
      <c r="O41" s="100">
        <f t="shared" si="36"/>
        <v>0.17960789446599998</v>
      </c>
      <c r="P41" s="100">
        <f t="shared" si="36"/>
        <v>0.15971286615592001</v>
      </c>
      <c r="Q41" s="100">
        <f t="shared" si="36"/>
        <v>0.11826489050992002</v>
      </c>
      <c r="R41" s="100">
        <f t="shared" si="36"/>
        <v>0.74917843979776</v>
      </c>
      <c r="S41" s="100">
        <f t="shared" si="36"/>
        <v>0.36127562772168004</v>
      </c>
      <c r="T41" s="100">
        <f t="shared" si="36"/>
        <v>0.22623058707144003</v>
      </c>
      <c r="U41" s="100">
        <f t="shared" si="36"/>
        <v>0.71998901694887996</v>
      </c>
      <c r="V41" s="100">
        <f t="shared" si="36"/>
        <v>0.39368040868128007</v>
      </c>
      <c r="W41" s="100">
        <f t="shared" si="36"/>
        <v>0.31193997671031998</v>
      </c>
      <c r="X41" s="100">
        <f t="shared" si="36"/>
        <v>0.24160401803831999</v>
      </c>
      <c r="Y41" s="100">
        <f t="shared" si="36"/>
        <v>0.44819077665208007</v>
      </c>
      <c r="Z41" s="100">
        <f t="shared" si="36"/>
        <v>0.41116391840832006</v>
      </c>
      <c r="AA41" s="100">
        <f t="shared" si="36"/>
        <v>0.53103648797360004</v>
      </c>
      <c r="AB41" s="100">
        <f t="shared" si="36"/>
        <v>14.08673508291672</v>
      </c>
      <c r="AC41" s="100">
        <f t="shared" si="36"/>
        <v>0.84835214152528016</v>
      </c>
      <c r="AD41" s="100">
        <f t="shared" si="36"/>
        <v>0.35373963214967996</v>
      </c>
      <c r="AE41" s="100">
        <f t="shared" si="36"/>
        <v>0.29541102642240002</v>
      </c>
      <c r="AF41" s="100">
        <f t="shared" si="36"/>
        <v>0.33836620118279997</v>
      </c>
      <c r="AG41" s="100">
        <f t="shared" si="36"/>
        <v>0.32319373009784003</v>
      </c>
      <c r="AH41" s="100">
        <f t="shared" si="36"/>
        <v>0.74927891973872007</v>
      </c>
      <c r="AI41" s="100">
        <f t="shared" si="36"/>
        <v>0.22844114577256</v>
      </c>
      <c r="AJ41" s="100">
        <f t="shared" si="36"/>
        <v>2.9355214751464</v>
      </c>
      <c r="AK41" s="100">
        <f t="shared" si="36"/>
        <v>0.74963059953208011</v>
      </c>
      <c r="AL41" s="100">
        <f t="shared" si="36"/>
        <v>0.49436130952320007</v>
      </c>
      <c r="AM41" s="100">
        <f t="shared" si="36"/>
        <v>0.32661004809048</v>
      </c>
      <c r="AN41" s="100">
        <f t="shared" si="36"/>
        <v>0.29847566462168001</v>
      </c>
      <c r="AO41" s="100">
        <f t="shared" si="36"/>
        <v>0.26592016375063998</v>
      </c>
      <c r="AP41" s="100">
        <f t="shared" si="36"/>
        <v>0.24316145712319998</v>
      </c>
      <c r="AQ41" s="100">
        <f t="shared" si="36"/>
        <v>1.0302208346628801</v>
      </c>
      <c r="AR41" s="100">
        <f t="shared" si="36"/>
        <v>0.62749723129520008</v>
      </c>
      <c r="AS41" s="100">
        <f t="shared" si="36"/>
        <v>0.3139998155</v>
      </c>
      <c r="AT41" s="100">
        <f t="shared" si="36"/>
        <v>1.2974472376460002</v>
      </c>
      <c r="AU41" s="100">
        <f t="shared" si="36"/>
        <v>0.62156891477856002</v>
      </c>
      <c r="AV41" s="100">
        <f t="shared" si="36"/>
        <v>0.50435906364872007</v>
      </c>
      <c r="AW41" s="100">
        <f t="shared" si="36"/>
        <v>0.38403433434912004</v>
      </c>
      <c r="AX41" s="100">
        <f t="shared" si="36"/>
        <v>0.85714413635928011</v>
      </c>
      <c r="AY41" s="100">
        <f t="shared" si="36"/>
        <v>0.80831088505271997</v>
      </c>
      <c r="AZ41" s="100">
        <f t="shared" si="36"/>
        <v>0.85423021807144017</v>
      </c>
    </row>
    <row r="42" spans="1:52" x14ac:dyDescent="0.25">
      <c r="A42" s="195" t="s">
        <v>1087</v>
      </c>
      <c r="B42" s="196">
        <v>0.97898250799999997</v>
      </c>
      <c r="C42" s="100">
        <f t="shared" ref="C42:AZ42" si="37">IFERROR($B42/C19,0)</f>
        <v>0</v>
      </c>
      <c r="D42" s="100">
        <f t="shared" si="37"/>
        <v>0</v>
      </c>
      <c r="E42" s="100">
        <f t="shared" si="37"/>
        <v>0</v>
      </c>
      <c r="F42" s="100">
        <f t="shared" si="37"/>
        <v>0</v>
      </c>
      <c r="G42" s="100">
        <f t="shared" si="37"/>
        <v>0</v>
      </c>
      <c r="H42" s="100">
        <f t="shared" si="37"/>
        <v>0</v>
      </c>
      <c r="I42" s="100">
        <f t="shared" si="37"/>
        <v>0</v>
      </c>
      <c r="J42" s="100">
        <f t="shared" si="37"/>
        <v>0</v>
      </c>
      <c r="K42" s="100">
        <f t="shared" si="37"/>
        <v>0</v>
      </c>
      <c r="L42" s="100">
        <f t="shared" si="37"/>
        <v>0</v>
      </c>
      <c r="M42" s="100">
        <f t="shared" si="37"/>
        <v>0</v>
      </c>
      <c r="N42" s="100">
        <f t="shared" si="37"/>
        <v>0</v>
      </c>
      <c r="O42" s="100">
        <f t="shared" si="37"/>
        <v>0</v>
      </c>
      <c r="P42" s="100">
        <f t="shared" si="37"/>
        <v>0</v>
      </c>
      <c r="Q42" s="100">
        <f t="shared" si="37"/>
        <v>0</v>
      </c>
      <c r="R42" s="100">
        <f t="shared" si="37"/>
        <v>0</v>
      </c>
      <c r="S42" s="100">
        <f t="shared" si="37"/>
        <v>0</v>
      </c>
      <c r="T42" s="100">
        <f t="shared" si="37"/>
        <v>0</v>
      </c>
      <c r="U42" s="100">
        <f t="shared" si="37"/>
        <v>0</v>
      </c>
      <c r="V42" s="100">
        <f t="shared" si="37"/>
        <v>0</v>
      </c>
      <c r="W42" s="100">
        <f t="shared" si="37"/>
        <v>0</v>
      </c>
      <c r="X42" s="100">
        <f t="shared" si="37"/>
        <v>0</v>
      </c>
      <c r="Y42" s="100">
        <f t="shared" si="37"/>
        <v>0</v>
      </c>
      <c r="Z42" s="100">
        <f t="shared" si="37"/>
        <v>0</v>
      </c>
      <c r="AA42" s="100">
        <f t="shared" si="37"/>
        <v>0</v>
      </c>
      <c r="AB42" s="100">
        <f t="shared" si="37"/>
        <v>0</v>
      </c>
      <c r="AC42" s="100">
        <f t="shared" si="37"/>
        <v>0</v>
      </c>
      <c r="AD42" s="100">
        <f t="shared" si="37"/>
        <v>0</v>
      </c>
      <c r="AE42" s="100">
        <f t="shared" si="37"/>
        <v>0</v>
      </c>
      <c r="AF42" s="100">
        <f t="shared" si="37"/>
        <v>0</v>
      </c>
      <c r="AG42" s="100">
        <f t="shared" si="37"/>
        <v>0</v>
      </c>
      <c r="AH42" s="100">
        <f t="shared" si="37"/>
        <v>0</v>
      </c>
      <c r="AI42" s="100">
        <f t="shared" si="37"/>
        <v>0</v>
      </c>
      <c r="AJ42" s="100">
        <f t="shared" si="37"/>
        <v>0</v>
      </c>
      <c r="AK42" s="100">
        <f t="shared" si="37"/>
        <v>0</v>
      </c>
      <c r="AL42" s="100">
        <f t="shared" si="37"/>
        <v>0</v>
      </c>
      <c r="AM42" s="100">
        <f t="shared" si="37"/>
        <v>0</v>
      </c>
      <c r="AN42" s="100">
        <f t="shared" si="37"/>
        <v>0</v>
      </c>
      <c r="AO42" s="100">
        <f t="shared" si="37"/>
        <v>0</v>
      </c>
      <c r="AP42" s="100">
        <f t="shared" si="37"/>
        <v>0</v>
      </c>
      <c r="AQ42" s="100">
        <f t="shared" si="37"/>
        <v>0</v>
      </c>
      <c r="AR42" s="100">
        <f t="shared" si="37"/>
        <v>0</v>
      </c>
      <c r="AS42" s="100">
        <f t="shared" si="37"/>
        <v>0</v>
      </c>
      <c r="AT42" s="100">
        <f t="shared" si="37"/>
        <v>0</v>
      </c>
      <c r="AU42" s="100">
        <f t="shared" si="37"/>
        <v>0</v>
      </c>
      <c r="AV42" s="100">
        <f t="shared" si="37"/>
        <v>0</v>
      </c>
      <c r="AW42" s="100">
        <f t="shared" si="37"/>
        <v>0</v>
      </c>
      <c r="AX42" s="100">
        <f t="shared" si="37"/>
        <v>0</v>
      </c>
      <c r="AY42" s="100">
        <f t="shared" si="37"/>
        <v>0</v>
      </c>
      <c r="AZ42" s="100">
        <f t="shared" si="37"/>
        <v>0</v>
      </c>
    </row>
    <row r="43" spans="1:52" x14ac:dyDescent="0.25">
      <c r="A43" s="195" t="s">
        <v>1088</v>
      </c>
      <c r="B43" s="196">
        <v>2.0897492E-2</v>
      </c>
      <c r="C43" s="100">
        <f t="shared" ref="C43:AZ43" si="38">IFERROR($B43/C28,0)</f>
        <v>0</v>
      </c>
      <c r="D43" s="100">
        <f t="shared" si="38"/>
        <v>0</v>
      </c>
      <c r="E43" s="100">
        <f t="shared" si="38"/>
        <v>0</v>
      </c>
      <c r="F43" s="100">
        <f t="shared" si="38"/>
        <v>0</v>
      </c>
      <c r="G43" s="100">
        <f t="shared" si="38"/>
        <v>0</v>
      </c>
      <c r="H43" s="100">
        <f t="shared" si="38"/>
        <v>0</v>
      </c>
      <c r="I43" s="100">
        <f t="shared" si="38"/>
        <v>0</v>
      </c>
      <c r="J43" s="100">
        <f t="shared" si="38"/>
        <v>0</v>
      </c>
      <c r="K43" s="100">
        <f t="shared" si="38"/>
        <v>0</v>
      </c>
      <c r="L43" s="100">
        <f t="shared" si="38"/>
        <v>0</v>
      </c>
      <c r="M43" s="100">
        <f t="shared" si="38"/>
        <v>0</v>
      </c>
      <c r="N43" s="100">
        <f t="shared" si="38"/>
        <v>0</v>
      </c>
      <c r="O43" s="100">
        <f t="shared" si="38"/>
        <v>0</v>
      </c>
      <c r="P43" s="100">
        <f t="shared" si="38"/>
        <v>0</v>
      </c>
      <c r="Q43" s="100">
        <f t="shared" si="38"/>
        <v>0</v>
      </c>
      <c r="R43" s="100">
        <f t="shared" si="38"/>
        <v>0</v>
      </c>
      <c r="S43" s="100">
        <f t="shared" si="38"/>
        <v>0</v>
      </c>
      <c r="T43" s="100">
        <f t="shared" si="38"/>
        <v>0</v>
      </c>
      <c r="U43" s="100">
        <f t="shared" si="38"/>
        <v>0</v>
      </c>
      <c r="V43" s="100">
        <f t="shared" si="38"/>
        <v>0</v>
      </c>
      <c r="W43" s="100">
        <f t="shared" si="38"/>
        <v>0</v>
      </c>
      <c r="X43" s="100">
        <f t="shared" si="38"/>
        <v>0</v>
      </c>
      <c r="Y43" s="100">
        <f t="shared" si="38"/>
        <v>0</v>
      </c>
      <c r="Z43" s="100">
        <f t="shared" si="38"/>
        <v>0</v>
      </c>
      <c r="AA43" s="100">
        <f t="shared" si="38"/>
        <v>0</v>
      </c>
      <c r="AB43" s="100">
        <f t="shared" si="38"/>
        <v>0</v>
      </c>
      <c r="AC43" s="100">
        <f t="shared" si="38"/>
        <v>0</v>
      </c>
      <c r="AD43" s="100">
        <f t="shared" si="38"/>
        <v>0</v>
      </c>
      <c r="AE43" s="100">
        <f t="shared" si="38"/>
        <v>0</v>
      </c>
      <c r="AF43" s="100">
        <f t="shared" si="38"/>
        <v>0</v>
      </c>
      <c r="AG43" s="100">
        <f t="shared" si="38"/>
        <v>0</v>
      </c>
      <c r="AH43" s="100">
        <f t="shared" si="38"/>
        <v>0</v>
      </c>
      <c r="AI43" s="100">
        <f t="shared" si="38"/>
        <v>0</v>
      </c>
      <c r="AJ43" s="100">
        <f t="shared" si="38"/>
        <v>0</v>
      </c>
      <c r="AK43" s="100">
        <f t="shared" si="38"/>
        <v>0</v>
      </c>
      <c r="AL43" s="100">
        <f t="shared" si="38"/>
        <v>0</v>
      </c>
      <c r="AM43" s="100">
        <f t="shared" si="38"/>
        <v>0</v>
      </c>
      <c r="AN43" s="100">
        <f t="shared" si="38"/>
        <v>0</v>
      </c>
      <c r="AO43" s="100">
        <f t="shared" si="38"/>
        <v>0</v>
      </c>
      <c r="AP43" s="100">
        <f t="shared" si="38"/>
        <v>0</v>
      </c>
      <c r="AQ43" s="100">
        <f t="shared" si="38"/>
        <v>0</v>
      </c>
      <c r="AR43" s="100">
        <f t="shared" si="38"/>
        <v>0</v>
      </c>
      <c r="AS43" s="100">
        <f t="shared" si="38"/>
        <v>0</v>
      </c>
      <c r="AT43" s="100">
        <f t="shared" si="38"/>
        <v>0</v>
      </c>
      <c r="AU43" s="100">
        <f t="shared" si="38"/>
        <v>0</v>
      </c>
      <c r="AV43" s="100">
        <f t="shared" si="38"/>
        <v>0</v>
      </c>
      <c r="AW43" s="100">
        <f t="shared" si="38"/>
        <v>0</v>
      </c>
      <c r="AX43" s="100">
        <f t="shared" si="38"/>
        <v>0</v>
      </c>
      <c r="AY43" s="100">
        <f t="shared" si="38"/>
        <v>0</v>
      </c>
      <c r="AZ43" s="100">
        <f t="shared" si="38"/>
        <v>0</v>
      </c>
    </row>
    <row r="44" spans="1:52" x14ac:dyDescent="0.25">
      <c r="A44" s="195" t="s">
        <v>1089</v>
      </c>
      <c r="B44" s="196">
        <v>0.99987999999999999</v>
      </c>
      <c r="C44" s="100">
        <f t="shared" ref="C44:AZ44" si="39">IFERROR($B44/C15,0)</f>
        <v>4.1982111474008175</v>
      </c>
      <c r="D44" s="100">
        <f t="shared" si="39"/>
        <v>0.23262950190950399</v>
      </c>
      <c r="E44" s="100">
        <f t="shared" si="39"/>
        <v>0.10465400201255999</v>
      </c>
      <c r="F44" s="100">
        <f t="shared" si="39"/>
        <v>8.5552817029848002E-2</v>
      </c>
      <c r="G44" s="100">
        <f t="shared" si="39"/>
        <v>0.103848971227848</v>
      </c>
      <c r="H44" s="100">
        <f t="shared" si="39"/>
        <v>8.7650776044552001E-2</v>
      </c>
      <c r="I44" s="100">
        <f t="shared" si="39"/>
        <v>0.23367848141685604</v>
      </c>
      <c r="J44" s="100">
        <f t="shared" si="39"/>
        <v>7.7502509182727997E-2</v>
      </c>
      <c r="K44" s="100">
        <f t="shared" si="39"/>
        <v>0.89682868904143187</v>
      </c>
      <c r="L44" s="100">
        <f t="shared" si="39"/>
        <v>0.16329927493521598</v>
      </c>
      <c r="M44" s="100">
        <f t="shared" si="39"/>
        <v>0.21960264012052799</v>
      </c>
      <c r="N44" s="100">
        <f t="shared" si="39"/>
        <v>9.4554524895264003E-2</v>
      </c>
      <c r="O44" s="100">
        <f t="shared" si="39"/>
        <v>8.7211668343799995E-2</v>
      </c>
      <c r="P44" s="100">
        <f t="shared" si="39"/>
        <v>7.7551298927256013E-2</v>
      </c>
      <c r="Q44" s="100">
        <f t="shared" si="39"/>
        <v>5.7425529309455998E-2</v>
      </c>
      <c r="R44" s="100">
        <f t="shared" si="39"/>
        <v>0.36377633520076802</v>
      </c>
      <c r="S44" s="100">
        <f t="shared" si="39"/>
        <v>0.175423526450424</v>
      </c>
      <c r="T44" s="100">
        <f t="shared" si="39"/>
        <v>0.109850109804792</v>
      </c>
      <c r="U44" s="100">
        <f t="shared" si="39"/>
        <v>0.34960291441538399</v>
      </c>
      <c r="V44" s="100">
        <f t="shared" si="39"/>
        <v>0.19115821906070402</v>
      </c>
      <c r="W44" s="100">
        <f t="shared" si="39"/>
        <v>0.15146776188717601</v>
      </c>
      <c r="X44" s="100">
        <f t="shared" si="39"/>
        <v>0.11731494071757599</v>
      </c>
      <c r="Y44" s="100">
        <f t="shared" si="39"/>
        <v>0.21762665546714399</v>
      </c>
      <c r="Z44" s="100">
        <f t="shared" si="39"/>
        <v>0.19964763460857601</v>
      </c>
      <c r="AA44" s="100">
        <f t="shared" si="39"/>
        <v>0.25785379983048001</v>
      </c>
      <c r="AB44" s="100">
        <f t="shared" si="39"/>
        <v>6.8400538392306949</v>
      </c>
      <c r="AC44" s="100">
        <f t="shared" si="39"/>
        <v>0.41193181304990401</v>
      </c>
      <c r="AD44" s="100">
        <f t="shared" si="39"/>
        <v>0.17176429561082399</v>
      </c>
      <c r="AE44" s="100">
        <f t="shared" si="39"/>
        <v>0.14344184891232001</v>
      </c>
      <c r="AF44" s="100">
        <f t="shared" si="39"/>
        <v>0.16429946469804002</v>
      </c>
      <c r="AG44" s="100">
        <f t="shared" si="39"/>
        <v>0.15693221327431198</v>
      </c>
      <c r="AH44" s="100">
        <f t="shared" si="39"/>
        <v>0.36382512494529601</v>
      </c>
      <c r="AI44" s="100">
        <f t="shared" si="39"/>
        <v>0.11092348418440799</v>
      </c>
      <c r="AJ44" s="100">
        <f t="shared" si="39"/>
        <v>1.4253923863855198</v>
      </c>
      <c r="AK44" s="100">
        <f t="shared" si="39"/>
        <v>0.36399588905114405</v>
      </c>
      <c r="AL44" s="100">
        <f t="shared" si="39"/>
        <v>0.24004554307776002</v>
      </c>
      <c r="AM44" s="100">
        <f t="shared" si="39"/>
        <v>0.15859106458826402</v>
      </c>
      <c r="AN44" s="100">
        <f t="shared" si="39"/>
        <v>0.14492993612042399</v>
      </c>
      <c r="AO44" s="100">
        <f t="shared" si="39"/>
        <v>0.12912205889335202</v>
      </c>
      <c r="AP44" s="100">
        <f t="shared" si="39"/>
        <v>0.11807118175775999</v>
      </c>
      <c r="AQ44" s="100">
        <f t="shared" si="39"/>
        <v>0.500241250645584</v>
      </c>
      <c r="AR44" s="100">
        <f t="shared" si="39"/>
        <v>0.30469195457736004</v>
      </c>
      <c r="AS44" s="100">
        <f t="shared" si="39"/>
        <v>0.15246795164999999</v>
      </c>
      <c r="AT44" s="100">
        <f t="shared" si="39"/>
        <v>0.62999757621780006</v>
      </c>
      <c r="AU44" s="100">
        <f t="shared" si="39"/>
        <v>0.30181335965020806</v>
      </c>
      <c r="AV44" s="100">
        <f t="shared" si="39"/>
        <v>0.24490012265829597</v>
      </c>
      <c r="AW44" s="100">
        <f t="shared" si="39"/>
        <v>0.186474403586016</v>
      </c>
      <c r="AX44" s="100">
        <f t="shared" si="39"/>
        <v>0.41620091569610407</v>
      </c>
      <c r="AY44" s="100">
        <f t="shared" si="39"/>
        <v>0.39248909985549596</v>
      </c>
      <c r="AZ44" s="100">
        <f t="shared" si="39"/>
        <v>0.41478601310479196</v>
      </c>
    </row>
    <row r="45" spans="1:52" x14ac:dyDescent="0.25">
      <c r="A45" s="95" t="s">
        <v>20</v>
      </c>
      <c r="B45" s="95" t="s">
        <v>1074</v>
      </c>
      <c r="C45" s="96">
        <f t="shared" ref="C45" si="40">IFERROR(1/SUM(1/D45,1/E45,1/F45,1/G45,1/H45,1/I45,1/J45,1/K45,1/L45,1/M45,1/N45,1/O45,1/P45,1/Q45,1/R45,1/S45,1/T45,1/U45,1/V45,1/W45,1/X45,1/Y45),".")</f>
        <v>2.2213302613710074E-3</v>
      </c>
      <c r="D45" s="96">
        <f>IFERROR(1/SUM(D46:D47),".")</f>
        <v>4.0087836619167601E-2</v>
      </c>
      <c r="E45" s="96">
        <f t="shared" ref="E45:AA45" si="41">IFERROR(1/SUM(E46:E47),".")</f>
        <v>8.9109000000089103E-2</v>
      </c>
      <c r="F45" s="96">
        <f t="shared" si="41"/>
        <v>0.10900416595391567</v>
      </c>
      <c r="G45" s="96">
        <f t="shared" si="41"/>
        <v>8.9799767441950257E-2</v>
      </c>
      <c r="H45" s="96">
        <f t="shared" si="41"/>
        <v>0.10639510436971396</v>
      </c>
      <c r="I45" s="96">
        <f t="shared" si="41"/>
        <v>3.9907882868815352E-2</v>
      </c>
      <c r="J45" s="96">
        <f t="shared" si="41"/>
        <v>0.12032660056669256</v>
      </c>
      <c r="K45" s="96">
        <f t="shared" si="41"/>
        <v>1.0398433479323838E-2</v>
      </c>
      <c r="L45" s="96">
        <f t="shared" si="41"/>
        <v>5.7107500746994652E-2</v>
      </c>
      <c r="M45" s="96">
        <f t="shared" si="41"/>
        <v>4.2465853143788299E-2</v>
      </c>
      <c r="N45" s="96">
        <f t="shared" si="41"/>
        <v>9.8626834365423688E-2</v>
      </c>
      <c r="O45" s="96">
        <f t="shared" si="41"/>
        <v>0.10693080000010693</v>
      </c>
      <c r="P45" s="96">
        <f t="shared" si="41"/>
        <v>0.12025089965409946</v>
      </c>
      <c r="Q45" s="96">
        <f t="shared" si="41"/>
        <v>0.16239490654221847</v>
      </c>
      <c r="R45" s="96">
        <f t="shared" si="41"/>
        <v>2.5635569340154384E-2</v>
      </c>
      <c r="S45" s="96">
        <f t="shared" si="41"/>
        <v>5.3160563204058153E-2</v>
      </c>
      <c r="T45" s="96">
        <f t="shared" si="41"/>
        <v>8.4893984010744439E-2</v>
      </c>
      <c r="U45" s="96">
        <f t="shared" si="41"/>
        <v>2.6674873351502489E-2</v>
      </c>
      <c r="V45" s="96">
        <f t="shared" si="41"/>
        <v>4.8784789433433166E-2</v>
      </c>
      <c r="W45" s="96">
        <f t="shared" si="41"/>
        <v>6.1568305685357108E-2</v>
      </c>
      <c r="X45" s="96">
        <f t="shared" si="41"/>
        <v>7.9492121023161208E-2</v>
      </c>
      <c r="Y45" s="96">
        <f t="shared" si="41"/>
        <v>4.2851430332965165E-2</v>
      </c>
      <c r="Z45" s="96">
        <f t="shared" si="41"/>
        <v>4.6710362903272511E-2</v>
      </c>
      <c r="AA45" s="96">
        <f t="shared" si="41"/>
        <v>3.6166282876100499E-2</v>
      </c>
      <c r="AB45" s="96">
        <f t="shared" ref="AB45" si="42">IFERROR(1/SUM(1/AC45,1/AD45,1/AE45,1/AF45,1/AG45,1/AH45,1/AI45,1/AJ45,1/AK45,1/AL45,1/AM45,1/AN45,1/AO45,1/AP45,1/AQ45,1/AR45,1/AS45,1/AT45,1/AU45,1/AV45,1/AW45,1/AX45),".")</f>
        <v>1.3633830499783597E-3</v>
      </c>
      <c r="AC45" s="96">
        <f>IFERROR(1/SUM(AC46:AC47),".")</f>
        <v>2.2638730901361023E-2</v>
      </c>
      <c r="AD45" s="96">
        <f t="shared" ref="AD45:AZ45" si="43">IFERROR(1/SUM(AD46:AD47),".")</f>
        <v>5.4293084789146746E-2</v>
      </c>
      <c r="AE45" s="96">
        <f t="shared" si="43"/>
        <v>6.501319897965685E-2</v>
      </c>
      <c r="AF45" s="96">
        <f t="shared" si="43"/>
        <v>5.6759853006738276E-2</v>
      </c>
      <c r="AG45" s="96">
        <f t="shared" si="43"/>
        <v>5.9424469143538369E-2</v>
      </c>
      <c r="AH45" s="96">
        <f t="shared" si="43"/>
        <v>2.5632131554269962E-2</v>
      </c>
      <c r="AI45" s="96">
        <f t="shared" si="43"/>
        <v>8.407248955363586E-2</v>
      </c>
      <c r="AJ45" s="96">
        <f t="shared" si="43"/>
        <v>6.5424886188667174E-3</v>
      </c>
      <c r="AK45" s="96">
        <f t="shared" si="43"/>
        <v>2.5620106561248055E-2</v>
      </c>
      <c r="AL45" s="96">
        <f t="shared" si="43"/>
        <v>3.8849350609794941E-2</v>
      </c>
      <c r="AM45" s="96">
        <f t="shared" si="43"/>
        <v>5.8802893401074023E-2</v>
      </c>
      <c r="AN45" s="96">
        <f t="shared" si="43"/>
        <v>6.4345667396125614E-2</v>
      </c>
      <c r="AO45" s="96">
        <f t="shared" si="43"/>
        <v>7.2223240128543781E-2</v>
      </c>
      <c r="AP45" s="96">
        <f t="shared" si="43"/>
        <v>7.8982977272806246E-2</v>
      </c>
      <c r="AQ45" s="96">
        <f t="shared" si="43"/>
        <v>1.8642232029668498E-2</v>
      </c>
      <c r="AR45" s="96">
        <f t="shared" si="43"/>
        <v>3.0606694155354861E-2</v>
      </c>
      <c r="AS45" s="96">
        <f t="shared" si="43"/>
        <v>6.1164417600061159E-2</v>
      </c>
      <c r="AT45" s="96">
        <f t="shared" si="43"/>
        <v>1.4802618005823125E-2</v>
      </c>
      <c r="AU45" s="96">
        <f t="shared" si="43"/>
        <v>3.0898610572290836E-2</v>
      </c>
      <c r="AV45" s="96">
        <f t="shared" si="43"/>
        <v>3.8079251917559738E-2</v>
      </c>
      <c r="AW45" s="96">
        <f t="shared" si="43"/>
        <v>5.0010153061274494E-2</v>
      </c>
      <c r="AX45" s="96">
        <f t="shared" si="43"/>
        <v>2.2406518375264185E-2</v>
      </c>
      <c r="AY45" s="96">
        <f t="shared" si="43"/>
        <v>2.376018459819642E-2</v>
      </c>
      <c r="AZ45" s="96">
        <f t="shared" si="43"/>
        <v>2.2482950655789112E-2</v>
      </c>
    </row>
    <row r="46" spans="1:52" x14ac:dyDescent="0.25">
      <c r="A46" s="195" t="s">
        <v>1101</v>
      </c>
      <c r="B46" s="196">
        <v>1</v>
      </c>
      <c r="C46" s="100">
        <f t="shared" ref="C46:AZ46" si="44">IFERROR($B46/C10,0)</f>
        <v>450.18069460000015</v>
      </c>
      <c r="D46" s="100">
        <f t="shared" si="44"/>
        <v>24.945222400000002</v>
      </c>
      <c r="E46" s="100">
        <f t="shared" si="44"/>
        <v>11.222211000000001</v>
      </c>
      <c r="F46" s="100">
        <f t="shared" si="44"/>
        <v>9.1739613000000002</v>
      </c>
      <c r="G46" s="100">
        <f t="shared" si="44"/>
        <v>11.135886300000001</v>
      </c>
      <c r="H46" s="100">
        <f t="shared" si="44"/>
        <v>9.3989287000000008</v>
      </c>
      <c r="I46" s="100">
        <f t="shared" si="44"/>
        <v>25.057706100000001</v>
      </c>
      <c r="J46" s="100">
        <f t="shared" si="44"/>
        <v>8.3107143000000008</v>
      </c>
      <c r="K46" s="100">
        <f t="shared" si="44"/>
        <v>96.16833170000001</v>
      </c>
      <c r="L46" s="100">
        <f t="shared" si="44"/>
        <v>17.510834600000003</v>
      </c>
      <c r="M46" s="100">
        <f t="shared" si="44"/>
        <v>23.5483318</v>
      </c>
      <c r="N46" s="100">
        <f t="shared" si="44"/>
        <v>10.139228400000002</v>
      </c>
      <c r="O46" s="100">
        <f t="shared" si="44"/>
        <v>9.3518425000000001</v>
      </c>
      <c r="P46" s="100">
        <f t="shared" si="44"/>
        <v>8.3159461000000015</v>
      </c>
      <c r="Q46" s="100">
        <f t="shared" si="44"/>
        <v>6.1578286000000002</v>
      </c>
      <c r="R46" s="100">
        <f t="shared" si="44"/>
        <v>39.008300800000008</v>
      </c>
      <c r="S46" s="100">
        <f t="shared" si="44"/>
        <v>18.810936900000005</v>
      </c>
      <c r="T46" s="100">
        <f t="shared" si="44"/>
        <v>11.779397700000002</v>
      </c>
      <c r="U46" s="100">
        <f t="shared" si="44"/>
        <v>37.488462900000009</v>
      </c>
      <c r="V46" s="100">
        <f t="shared" si="44"/>
        <v>20.498192400000001</v>
      </c>
      <c r="W46" s="100">
        <f t="shared" si="44"/>
        <v>16.242123100000001</v>
      </c>
      <c r="X46" s="100">
        <f t="shared" si="44"/>
        <v>12.579863100000001</v>
      </c>
      <c r="Y46" s="100">
        <f t="shared" si="44"/>
        <v>23.336443900000003</v>
      </c>
      <c r="Z46" s="100">
        <f t="shared" si="44"/>
        <v>21.408525600000004</v>
      </c>
      <c r="AA46" s="100">
        <f t="shared" si="44"/>
        <v>27.650062999999999</v>
      </c>
      <c r="AB46" s="100">
        <f t="shared" si="44"/>
        <v>733.46958510000002</v>
      </c>
      <c r="AC46" s="100">
        <f t="shared" si="44"/>
        <v>44.172087400000002</v>
      </c>
      <c r="AD46" s="100">
        <f t="shared" si="44"/>
        <v>18.418551900000001</v>
      </c>
      <c r="AE46" s="100">
        <f t="shared" si="44"/>
        <v>15.381492</v>
      </c>
      <c r="AF46" s="100">
        <f t="shared" si="44"/>
        <v>17.6180865</v>
      </c>
      <c r="AG46" s="100">
        <f t="shared" si="44"/>
        <v>16.828084699999998</v>
      </c>
      <c r="AH46" s="100">
        <f t="shared" si="44"/>
        <v>39.013532600000005</v>
      </c>
      <c r="AI46" s="100">
        <f t="shared" si="44"/>
        <v>11.894497300000001</v>
      </c>
      <c r="AJ46" s="100">
        <f t="shared" si="44"/>
        <v>152.847037</v>
      </c>
      <c r="AK46" s="100">
        <f t="shared" si="44"/>
        <v>39.031843900000005</v>
      </c>
      <c r="AL46" s="100">
        <f t="shared" si="44"/>
        <v>25.740456000000005</v>
      </c>
      <c r="AM46" s="100">
        <f t="shared" si="44"/>
        <v>17.005965900000003</v>
      </c>
      <c r="AN46" s="100">
        <f t="shared" si="44"/>
        <v>15.541061900000001</v>
      </c>
      <c r="AO46" s="100">
        <f t="shared" si="44"/>
        <v>13.845958700000002</v>
      </c>
      <c r="AP46" s="100">
        <f t="shared" si="44"/>
        <v>12.660956000000002</v>
      </c>
      <c r="AQ46" s="100">
        <f t="shared" si="44"/>
        <v>53.641645400000009</v>
      </c>
      <c r="AR46" s="100">
        <f t="shared" si="44"/>
        <v>32.672591000000004</v>
      </c>
      <c r="AS46" s="100">
        <f t="shared" si="44"/>
        <v>16.349375000000002</v>
      </c>
      <c r="AT46" s="100">
        <f t="shared" si="44"/>
        <v>67.555617500000011</v>
      </c>
      <c r="AU46" s="100">
        <f t="shared" si="44"/>
        <v>32.363914800000003</v>
      </c>
      <c r="AV46" s="100">
        <f t="shared" si="44"/>
        <v>26.261020100000003</v>
      </c>
      <c r="AW46" s="100">
        <f t="shared" si="44"/>
        <v>19.995939600000003</v>
      </c>
      <c r="AX46" s="100">
        <f t="shared" si="44"/>
        <v>44.629869900000003</v>
      </c>
      <c r="AY46" s="100">
        <f t="shared" si="44"/>
        <v>42.087215100000009</v>
      </c>
      <c r="AZ46" s="100">
        <f t="shared" si="44"/>
        <v>44.478147700000001</v>
      </c>
    </row>
    <row r="47" spans="1:52" x14ac:dyDescent="0.25">
      <c r="A47" s="195" t="s">
        <v>1075</v>
      </c>
      <c r="B47" s="198">
        <v>0.94399</v>
      </c>
      <c r="C47" s="100">
        <f t="shared" ref="C47:AZ47" si="45">IFERROR($B47/C6,0)</f>
        <v>0</v>
      </c>
      <c r="D47" s="100">
        <f t="shared" si="45"/>
        <v>0</v>
      </c>
      <c r="E47" s="100">
        <f t="shared" si="45"/>
        <v>0</v>
      </c>
      <c r="F47" s="100">
        <f t="shared" si="45"/>
        <v>0</v>
      </c>
      <c r="G47" s="100">
        <f t="shared" si="45"/>
        <v>0</v>
      </c>
      <c r="H47" s="100">
        <f t="shared" si="45"/>
        <v>0</v>
      </c>
      <c r="I47" s="100">
        <f t="shared" si="45"/>
        <v>0</v>
      </c>
      <c r="J47" s="100">
        <f t="shared" si="45"/>
        <v>0</v>
      </c>
      <c r="K47" s="100">
        <f t="shared" si="45"/>
        <v>0</v>
      </c>
      <c r="L47" s="100">
        <f t="shared" si="45"/>
        <v>0</v>
      </c>
      <c r="M47" s="100">
        <f t="shared" si="45"/>
        <v>0</v>
      </c>
      <c r="N47" s="100">
        <f t="shared" si="45"/>
        <v>0</v>
      </c>
      <c r="O47" s="100">
        <f t="shared" si="45"/>
        <v>0</v>
      </c>
      <c r="P47" s="100">
        <f t="shared" si="45"/>
        <v>0</v>
      </c>
      <c r="Q47" s="100">
        <f t="shared" si="45"/>
        <v>0</v>
      </c>
      <c r="R47" s="100">
        <f t="shared" si="45"/>
        <v>0</v>
      </c>
      <c r="S47" s="100">
        <f t="shared" si="45"/>
        <v>0</v>
      </c>
      <c r="T47" s="100">
        <f t="shared" si="45"/>
        <v>0</v>
      </c>
      <c r="U47" s="100">
        <f t="shared" si="45"/>
        <v>0</v>
      </c>
      <c r="V47" s="100">
        <f t="shared" si="45"/>
        <v>0</v>
      </c>
      <c r="W47" s="100">
        <f t="shared" si="45"/>
        <v>0</v>
      </c>
      <c r="X47" s="100">
        <f t="shared" si="45"/>
        <v>0</v>
      </c>
      <c r="Y47" s="100">
        <f t="shared" si="45"/>
        <v>0</v>
      </c>
      <c r="Z47" s="100">
        <f t="shared" si="45"/>
        <v>0</v>
      </c>
      <c r="AA47" s="100">
        <f t="shared" si="45"/>
        <v>0</v>
      </c>
      <c r="AB47" s="100">
        <f t="shared" si="45"/>
        <v>0</v>
      </c>
      <c r="AC47" s="100">
        <f t="shared" si="45"/>
        <v>0</v>
      </c>
      <c r="AD47" s="100">
        <f t="shared" si="45"/>
        <v>0</v>
      </c>
      <c r="AE47" s="100">
        <f t="shared" si="45"/>
        <v>0</v>
      </c>
      <c r="AF47" s="100">
        <f t="shared" si="45"/>
        <v>0</v>
      </c>
      <c r="AG47" s="100">
        <f t="shared" si="45"/>
        <v>0</v>
      </c>
      <c r="AH47" s="100">
        <f t="shared" si="45"/>
        <v>0</v>
      </c>
      <c r="AI47" s="100">
        <f t="shared" si="45"/>
        <v>0</v>
      </c>
      <c r="AJ47" s="100">
        <f t="shared" si="45"/>
        <v>0</v>
      </c>
      <c r="AK47" s="100">
        <f t="shared" si="45"/>
        <v>0</v>
      </c>
      <c r="AL47" s="100">
        <f t="shared" si="45"/>
        <v>0</v>
      </c>
      <c r="AM47" s="100">
        <f t="shared" si="45"/>
        <v>0</v>
      </c>
      <c r="AN47" s="100">
        <f t="shared" si="45"/>
        <v>0</v>
      </c>
      <c r="AO47" s="100">
        <f t="shared" si="45"/>
        <v>0</v>
      </c>
      <c r="AP47" s="100">
        <f t="shared" si="45"/>
        <v>0</v>
      </c>
      <c r="AQ47" s="100">
        <f t="shared" si="45"/>
        <v>0</v>
      </c>
      <c r="AR47" s="100">
        <f t="shared" si="45"/>
        <v>0</v>
      </c>
      <c r="AS47" s="100">
        <f t="shared" si="45"/>
        <v>0</v>
      </c>
      <c r="AT47" s="100">
        <f t="shared" si="45"/>
        <v>0</v>
      </c>
      <c r="AU47" s="100">
        <f t="shared" si="45"/>
        <v>0</v>
      </c>
      <c r="AV47" s="100">
        <f t="shared" si="45"/>
        <v>0</v>
      </c>
      <c r="AW47" s="100">
        <f t="shared" si="45"/>
        <v>0</v>
      </c>
      <c r="AX47" s="100">
        <f t="shared" si="45"/>
        <v>0</v>
      </c>
      <c r="AY47" s="100">
        <f t="shared" si="45"/>
        <v>0</v>
      </c>
      <c r="AZ47" s="100">
        <f t="shared" si="45"/>
        <v>0</v>
      </c>
    </row>
    <row r="48" spans="1:52" x14ac:dyDescent="0.25">
      <c r="A48" s="95" t="s">
        <v>33</v>
      </c>
      <c r="B48" s="95" t="s">
        <v>1074</v>
      </c>
      <c r="C48" s="96">
        <f t="shared" ref="C48" si="46">IFERROR(1/SUM(1/D48,1/E48,1/F48,1/G48,1/H48,1/I48,1/J48,1/K48,1/L48,1/M48,1/N48,1/O48,1/P48,1/Q48,1/R48,1/S48,1/T48,1/U48,1/V48,1/W48,1/X48,1/Y48),".")</f>
        <v>2.097313274706054E-5</v>
      </c>
      <c r="D48" s="96">
        <f t="shared" ref="D48:AA48" si="47">IFERROR(1/SUM(D49:D62),0)</f>
        <v>3.7849730568085529E-4</v>
      </c>
      <c r="E48" s="96">
        <f t="shared" si="47"/>
        <v>8.4134039789571908E-4</v>
      </c>
      <c r="F48" s="96">
        <f t="shared" si="47"/>
        <v>1.0291845756979288E-3</v>
      </c>
      <c r="G48" s="96">
        <f t="shared" si="47"/>
        <v>8.4786241648405829E-4</v>
      </c>
      <c r="H48" s="96">
        <f t="shared" si="47"/>
        <v>1.0045506003263668E-3</v>
      </c>
      <c r="I48" s="96">
        <f t="shared" si="47"/>
        <v>3.7679823645188809E-4</v>
      </c>
      <c r="J48" s="96">
        <f t="shared" si="47"/>
        <v>1.1360876005579589E-3</v>
      </c>
      <c r="K48" s="96">
        <f t="shared" si="47"/>
        <v>9.8178883849866323E-5</v>
      </c>
      <c r="L48" s="96">
        <f t="shared" si="47"/>
        <v>5.3919185942226399E-4</v>
      </c>
      <c r="M48" s="96">
        <f t="shared" si="47"/>
        <v>4.0094982303628479E-4</v>
      </c>
      <c r="N48" s="96">
        <f t="shared" si="47"/>
        <v>9.3120492955950363E-4</v>
      </c>
      <c r="O48" s="96">
        <f t="shared" si="47"/>
        <v>1.0096084774748632E-3</v>
      </c>
      <c r="P48" s="96">
        <f t="shared" si="47"/>
        <v>1.1353728552918011E-3</v>
      </c>
      <c r="Q48" s="96">
        <f t="shared" si="47"/>
        <v>1.533283902707152E-3</v>
      </c>
      <c r="R48" s="96">
        <f t="shared" si="47"/>
        <v>2.4204334140106199E-4</v>
      </c>
      <c r="S48" s="96">
        <f t="shared" si="47"/>
        <v>5.0192606132285302E-4</v>
      </c>
      <c r="T48" s="96">
        <f t="shared" si="47"/>
        <v>8.0154348367147141E-4</v>
      </c>
      <c r="U48" s="96">
        <f t="shared" si="47"/>
        <v>2.5185613753210773E-4</v>
      </c>
      <c r="V48" s="96">
        <f t="shared" si="47"/>
        <v>4.6061132044061202E-4</v>
      </c>
      <c r="W48" s="96">
        <f t="shared" si="47"/>
        <v>5.8130943903569583E-4</v>
      </c>
      <c r="X48" s="96">
        <f t="shared" si="47"/>
        <v>7.505407167753453E-4</v>
      </c>
      <c r="Y48" s="96">
        <f t="shared" si="47"/>
        <v>4.0459032697821271E-4</v>
      </c>
      <c r="Z48" s="96">
        <f t="shared" si="47"/>
        <v>4.4102520857436904E-4</v>
      </c>
      <c r="AA48" s="96">
        <f t="shared" si="47"/>
        <v>3.4147117379116704E-4</v>
      </c>
      <c r="AB48" s="96">
        <f t="shared" ref="AB48" si="48">IFERROR(1/SUM(1/AC48,1/AD48,1/AE48,1/AF48,1/AG48,1/AH48,1/AI48,1/AJ48,1/AK48,1/AL48,1/AM48,1/AN48,1/AO48,1/AP48,1/AQ48,1/AR48,1/AS48,1/AT48,1/AU48,1/AV48,1/AW48,1/AX48),".")</f>
        <v>1.2872653017674146E-5</v>
      </c>
      <c r="AC48" s="96">
        <f t="shared" ref="AC48:AZ48" si="49">IFERROR(1/SUM(AC49:AC62),0)</f>
        <v>2.1374809350779557E-4</v>
      </c>
      <c r="AD48" s="96">
        <f t="shared" si="49"/>
        <v>5.1261898977029356E-4</v>
      </c>
      <c r="AE48" s="96">
        <f t="shared" si="49"/>
        <v>6.1383508621983603E-4</v>
      </c>
      <c r="AF48" s="96">
        <f t="shared" si="49"/>
        <v>5.3590947393803053E-4</v>
      </c>
      <c r="AG48" s="96">
        <f t="shared" si="49"/>
        <v>5.6106797869930622E-4</v>
      </c>
      <c r="AH48" s="96">
        <f t="shared" si="49"/>
        <v>2.4201088285990584E-4</v>
      </c>
      <c r="AI48" s="96">
        <f t="shared" si="49"/>
        <v>7.9378717989281636E-4</v>
      </c>
      <c r="AJ48" s="96">
        <f t="shared" si="49"/>
        <v>6.1772211312213527E-5</v>
      </c>
      <c r="AK48" s="96">
        <f t="shared" si="49"/>
        <v>2.418973464896881E-4</v>
      </c>
      <c r="AL48" s="96">
        <f t="shared" si="49"/>
        <v>3.6680389298502394E-4</v>
      </c>
      <c r="AM48" s="96">
        <f t="shared" si="49"/>
        <v>5.5519924734235291E-4</v>
      </c>
      <c r="AN48" s="96">
        <f t="shared" si="49"/>
        <v>6.0753245362272959E-4</v>
      </c>
      <c r="AO48" s="96">
        <f t="shared" si="49"/>
        <v>6.8191012789961005E-4</v>
      </c>
      <c r="AP48" s="96">
        <f t="shared" si="49"/>
        <v>7.4573353449847841E-4</v>
      </c>
      <c r="AQ48" s="96">
        <f t="shared" si="49"/>
        <v>1.7601435223703481E-4</v>
      </c>
      <c r="AR48" s="96">
        <f t="shared" si="49"/>
        <v>2.8897920792415015E-4</v>
      </c>
      <c r="AS48" s="96">
        <f t="shared" si="49"/>
        <v>5.7749604911562177E-4</v>
      </c>
      <c r="AT48" s="96">
        <f t="shared" si="49"/>
        <v>1.3976187055073127E-4</v>
      </c>
      <c r="AU48" s="96">
        <f t="shared" si="49"/>
        <v>2.9173539500263786E-4</v>
      </c>
      <c r="AV48" s="96">
        <f t="shared" si="49"/>
        <v>3.5953285257223186E-4</v>
      </c>
      <c r="AW48" s="96">
        <f t="shared" si="49"/>
        <v>4.7218083555372007E-4</v>
      </c>
      <c r="AX48" s="96">
        <f t="shared" si="49"/>
        <v>2.1155561262368186E-4</v>
      </c>
      <c r="AY48" s="96">
        <f t="shared" si="49"/>
        <v>2.2433652228060386E-4</v>
      </c>
      <c r="AZ48" s="96">
        <f t="shared" si="49"/>
        <v>2.1227726324605281E-4</v>
      </c>
    </row>
    <row r="49" spans="1:52" x14ac:dyDescent="0.25">
      <c r="A49" s="195" t="s">
        <v>1103</v>
      </c>
      <c r="B49" s="196">
        <v>1</v>
      </c>
      <c r="C49" s="100">
        <f t="shared" ref="C49:AZ49" si="50">IFERROR($B49/C23,0)</f>
        <v>6195.5560939999996</v>
      </c>
      <c r="D49" s="100">
        <f t="shared" si="50"/>
        <v>343.30553600000002</v>
      </c>
      <c r="E49" s="100">
        <f t="shared" si="50"/>
        <v>154.44429</v>
      </c>
      <c r="F49" s="100">
        <f t="shared" si="50"/>
        <v>126.25550699999999</v>
      </c>
      <c r="G49" s="100">
        <f t="shared" si="50"/>
        <v>153.25625700000001</v>
      </c>
      <c r="H49" s="100">
        <f t="shared" si="50"/>
        <v>129.35159300000001</v>
      </c>
      <c r="I49" s="100">
        <f t="shared" si="50"/>
        <v>344.85357900000002</v>
      </c>
      <c r="J49" s="100">
        <f t="shared" si="50"/>
        <v>114.37517699999999</v>
      </c>
      <c r="K49" s="100">
        <f t="shared" si="50"/>
        <v>1323.5047629999999</v>
      </c>
      <c r="L49" s="100">
        <f t="shared" si="50"/>
        <v>240.99069399999999</v>
      </c>
      <c r="M49" s="100">
        <f t="shared" si="50"/>
        <v>324.08100200000001</v>
      </c>
      <c r="N49" s="100">
        <f t="shared" si="50"/>
        <v>139.53987599999999</v>
      </c>
      <c r="O49" s="100">
        <f t="shared" si="50"/>
        <v>128.703575</v>
      </c>
      <c r="P49" s="100">
        <f t="shared" si="50"/>
        <v>114.44717900000002</v>
      </c>
      <c r="Q49" s="100">
        <f t="shared" si="50"/>
        <v>84.746353999999997</v>
      </c>
      <c r="R49" s="100">
        <f t="shared" si="50"/>
        <v>536.84691199999997</v>
      </c>
      <c r="S49" s="100">
        <f t="shared" si="50"/>
        <v>258.88319100000001</v>
      </c>
      <c r="T49" s="100">
        <f t="shared" si="50"/>
        <v>162.112503</v>
      </c>
      <c r="U49" s="100">
        <f t="shared" si="50"/>
        <v>515.93033099999991</v>
      </c>
      <c r="V49" s="100">
        <f t="shared" si="50"/>
        <v>282.103836</v>
      </c>
      <c r="W49" s="100">
        <f t="shared" si="50"/>
        <v>223.53020900000001</v>
      </c>
      <c r="X49" s="100">
        <f t="shared" si="50"/>
        <v>173.12880899999999</v>
      </c>
      <c r="Y49" s="100">
        <f t="shared" si="50"/>
        <v>321.16492099999999</v>
      </c>
      <c r="Z49" s="100">
        <f t="shared" si="50"/>
        <v>294.632184</v>
      </c>
      <c r="AA49" s="100">
        <f t="shared" si="50"/>
        <v>380.53057000000001</v>
      </c>
      <c r="AB49" s="100">
        <f t="shared" si="50"/>
        <v>10094.284389</v>
      </c>
      <c r="AC49" s="100">
        <f t="shared" si="50"/>
        <v>607.91288599999996</v>
      </c>
      <c r="AD49" s="100">
        <f t="shared" si="50"/>
        <v>253.48304099999993</v>
      </c>
      <c r="AE49" s="100">
        <f t="shared" si="50"/>
        <v>211.68588</v>
      </c>
      <c r="AF49" s="100">
        <f t="shared" si="50"/>
        <v>242.466735</v>
      </c>
      <c r="AG49" s="100">
        <f t="shared" si="50"/>
        <v>231.59443299999995</v>
      </c>
      <c r="AH49" s="100">
        <f t="shared" si="50"/>
        <v>536.91891399999997</v>
      </c>
      <c r="AI49" s="100">
        <f t="shared" si="50"/>
        <v>163.69654700000001</v>
      </c>
      <c r="AJ49" s="100">
        <f t="shared" si="50"/>
        <v>2103.5384299999996</v>
      </c>
      <c r="AK49" s="100">
        <f t="shared" si="50"/>
        <v>537.17092100000002</v>
      </c>
      <c r="AL49" s="100">
        <f t="shared" si="50"/>
        <v>354.24984000000001</v>
      </c>
      <c r="AM49" s="100">
        <f t="shared" si="50"/>
        <v>234.04250099999999</v>
      </c>
      <c r="AN49" s="100">
        <f t="shared" si="50"/>
        <v>213.88194099999998</v>
      </c>
      <c r="AO49" s="100">
        <f t="shared" si="50"/>
        <v>190.553293</v>
      </c>
      <c r="AP49" s="100">
        <f t="shared" si="50"/>
        <v>174.24484000000001</v>
      </c>
      <c r="AQ49" s="100">
        <f t="shared" si="50"/>
        <v>738.23650600000008</v>
      </c>
      <c r="AR49" s="100">
        <f t="shared" si="50"/>
        <v>449.65249</v>
      </c>
      <c r="AS49" s="100">
        <f t="shared" si="50"/>
        <v>225.00624999999999</v>
      </c>
      <c r="AT49" s="100">
        <f t="shared" si="50"/>
        <v>929.7258250000001</v>
      </c>
      <c r="AU49" s="100">
        <f t="shared" si="50"/>
        <v>445.40437199999997</v>
      </c>
      <c r="AV49" s="100">
        <f t="shared" si="50"/>
        <v>361.414039</v>
      </c>
      <c r="AW49" s="100">
        <f t="shared" si="50"/>
        <v>275.191644</v>
      </c>
      <c r="AX49" s="100">
        <f t="shared" si="50"/>
        <v>614.21306099999993</v>
      </c>
      <c r="AY49" s="100">
        <f t="shared" si="50"/>
        <v>579.22008900000003</v>
      </c>
      <c r="AZ49" s="100">
        <f t="shared" si="50"/>
        <v>612.12500299999988</v>
      </c>
    </row>
    <row r="50" spans="1:52" x14ac:dyDescent="0.25">
      <c r="A50" s="195" t="s">
        <v>1090</v>
      </c>
      <c r="B50" s="196">
        <v>1</v>
      </c>
      <c r="C50" s="100">
        <f t="shared" ref="C50:AZ50" si="51">IFERROR($B50/C25,0)</f>
        <v>0</v>
      </c>
      <c r="D50" s="100">
        <f t="shared" si="51"/>
        <v>0</v>
      </c>
      <c r="E50" s="100">
        <f t="shared" si="51"/>
        <v>0</v>
      </c>
      <c r="F50" s="100">
        <f t="shared" si="51"/>
        <v>0</v>
      </c>
      <c r="G50" s="100">
        <f t="shared" si="51"/>
        <v>0</v>
      </c>
      <c r="H50" s="100">
        <f t="shared" si="51"/>
        <v>0</v>
      </c>
      <c r="I50" s="100">
        <f t="shared" si="51"/>
        <v>0</v>
      </c>
      <c r="J50" s="100">
        <f t="shared" si="51"/>
        <v>0</v>
      </c>
      <c r="K50" s="100">
        <f t="shared" si="51"/>
        <v>0</v>
      </c>
      <c r="L50" s="100">
        <f t="shared" si="51"/>
        <v>0</v>
      </c>
      <c r="M50" s="100">
        <f t="shared" si="51"/>
        <v>0</v>
      </c>
      <c r="N50" s="100">
        <f t="shared" si="51"/>
        <v>0</v>
      </c>
      <c r="O50" s="100">
        <f t="shared" si="51"/>
        <v>0</v>
      </c>
      <c r="P50" s="100">
        <f t="shared" si="51"/>
        <v>0</v>
      </c>
      <c r="Q50" s="100">
        <f t="shared" si="51"/>
        <v>0</v>
      </c>
      <c r="R50" s="100">
        <f t="shared" si="51"/>
        <v>0</v>
      </c>
      <c r="S50" s="100">
        <f t="shared" si="51"/>
        <v>0</v>
      </c>
      <c r="T50" s="100">
        <f t="shared" si="51"/>
        <v>0</v>
      </c>
      <c r="U50" s="100">
        <f t="shared" si="51"/>
        <v>0</v>
      </c>
      <c r="V50" s="100">
        <f t="shared" si="51"/>
        <v>0</v>
      </c>
      <c r="W50" s="100">
        <f t="shared" si="51"/>
        <v>0</v>
      </c>
      <c r="X50" s="100">
        <f t="shared" si="51"/>
        <v>0</v>
      </c>
      <c r="Y50" s="100">
        <f t="shared" si="51"/>
        <v>0</v>
      </c>
      <c r="Z50" s="100">
        <f t="shared" si="51"/>
        <v>0</v>
      </c>
      <c r="AA50" s="100">
        <f t="shared" si="51"/>
        <v>0</v>
      </c>
      <c r="AB50" s="100">
        <f t="shared" si="51"/>
        <v>0</v>
      </c>
      <c r="AC50" s="100">
        <f t="shared" si="51"/>
        <v>0</v>
      </c>
      <c r="AD50" s="100">
        <f t="shared" si="51"/>
        <v>0</v>
      </c>
      <c r="AE50" s="100">
        <f t="shared" si="51"/>
        <v>0</v>
      </c>
      <c r="AF50" s="100">
        <f t="shared" si="51"/>
        <v>0</v>
      </c>
      <c r="AG50" s="100">
        <f t="shared" si="51"/>
        <v>0</v>
      </c>
      <c r="AH50" s="100">
        <f t="shared" si="51"/>
        <v>0</v>
      </c>
      <c r="AI50" s="100">
        <f t="shared" si="51"/>
        <v>0</v>
      </c>
      <c r="AJ50" s="100">
        <f t="shared" si="51"/>
        <v>0</v>
      </c>
      <c r="AK50" s="100">
        <f t="shared" si="51"/>
        <v>0</v>
      </c>
      <c r="AL50" s="100">
        <f t="shared" si="51"/>
        <v>0</v>
      </c>
      <c r="AM50" s="100">
        <f t="shared" si="51"/>
        <v>0</v>
      </c>
      <c r="AN50" s="100">
        <f t="shared" si="51"/>
        <v>0</v>
      </c>
      <c r="AO50" s="100">
        <f t="shared" si="51"/>
        <v>0</v>
      </c>
      <c r="AP50" s="100">
        <f t="shared" si="51"/>
        <v>0</v>
      </c>
      <c r="AQ50" s="100">
        <f t="shared" si="51"/>
        <v>0</v>
      </c>
      <c r="AR50" s="100">
        <f t="shared" si="51"/>
        <v>0</v>
      </c>
      <c r="AS50" s="100">
        <f t="shared" si="51"/>
        <v>0</v>
      </c>
      <c r="AT50" s="100">
        <f t="shared" si="51"/>
        <v>0</v>
      </c>
      <c r="AU50" s="100">
        <f t="shared" si="51"/>
        <v>0</v>
      </c>
      <c r="AV50" s="100">
        <f t="shared" si="51"/>
        <v>0</v>
      </c>
      <c r="AW50" s="100">
        <f t="shared" si="51"/>
        <v>0</v>
      </c>
      <c r="AX50" s="100">
        <f t="shared" si="51"/>
        <v>0</v>
      </c>
      <c r="AY50" s="100">
        <f t="shared" si="51"/>
        <v>0</v>
      </c>
      <c r="AZ50" s="100">
        <f t="shared" si="51"/>
        <v>0</v>
      </c>
    </row>
    <row r="51" spans="1:52" x14ac:dyDescent="0.25">
      <c r="A51" s="195" t="s">
        <v>1076</v>
      </c>
      <c r="B51" s="196">
        <v>1</v>
      </c>
      <c r="C51" s="100">
        <f t="shared" ref="C51:AZ51" si="52">IFERROR($B51/C21,0)</f>
        <v>0</v>
      </c>
      <c r="D51" s="100">
        <f t="shared" si="52"/>
        <v>0</v>
      </c>
      <c r="E51" s="100">
        <f t="shared" si="52"/>
        <v>0</v>
      </c>
      <c r="F51" s="100">
        <f t="shared" si="52"/>
        <v>0</v>
      </c>
      <c r="G51" s="100">
        <f t="shared" si="52"/>
        <v>0</v>
      </c>
      <c r="H51" s="100">
        <f t="shared" si="52"/>
        <v>0</v>
      </c>
      <c r="I51" s="100">
        <f t="shared" si="52"/>
        <v>0</v>
      </c>
      <c r="J51" s="100">
        <f t="shared" si="52"/>
        <v>0</v>
      </c>
      <c r="K51" s="100">
        <f t="shared" si="52"/>
        <v>0</v>
      </c>
      <c r="L51" s="100">
        <f t="shared" si="52"/>
        <v>0</v>
      </c>
      <c r="M51" s="100">
        <f t="shared" si="52"/>
        <v>0</v>
      </c>
      <c r="N51" s="100">
        <f t="shared" si="52"/>
        <v>0</v>
      </c>
      <c r="O51" s="100">
        <f t="shared" si="52"/>
        <v>0</v>
      </c>
      <c r="P51" s="100">
        <f t="shared" si="52"/>
        <v>0</v>
      </c>
      <c r="Q51" s="100">
        <f t="shared" si="52"/>
        <v>0</v>
      </c>
      <c r="R51" s="100">
        <f t="shared" si="52"/>
        <v>0</v>
      </c>
      <c r="S51" s="100">
        <f t="shared" si="52"/>
        <v>0</v>
      </c>
      <c r="T51" s="100">
        <f t="shared" si="52"/>
        <v>0</v>
      </c>
      <c r="U51" s="100">
        <f t="shared" si="52"/>
        <v>0</v>
      </c>
      <c r="V51" s="100">
        <f t="shared" si="52"/>
        <v>0</v>
      </c>
      <c r="W51" s="100">
        <f t="shared" si="52"/>
        <v>0</v>
      </c>
      <c r="X51" s="100">
        <f t="shared" si="52"/>
        <v>0</v>
      </c>
      <c r="Y51" s="100">
        <f t="shared" si="52"/>
        <v>0</v>
      </c>
      <c r="Z51" s="100">
        <f t="shared" si="52"/>
        <v>0</v>
      </c>
      <c r="AA51" s="100">
        <f t="shared" si="52"/>
        <v>0</v>
      </c>
      <c r="AB51" s="100">
        <f t="shared" si="52"/>
        <v>0</v>
      </c>
      <c r="AC51" s="100">
        <f t="shared" si="52"/>
        <v>0</v>
      </c>
      <c r="AD51" s="100">
        <f t="shared" si="52"/>
        <v>0</v>
      </c>
      <c r="AE51" s="100">
        <f t="shared" si="52"/>
        <v>0</v>
      </c>
      <c r="AF51" s="100">
        <f t="shared" si="52"/>
        <v>0</v>
      </c>
      <c r="AG51" s="100">
        <f t="shared" si="52"/>
        <v>0</v>
      </c>
      <c r="AH51" s="100">
        <f t="shared" si="52"/>
        <v>0</v>
      </c>
      <c r="AI51" s="100">
        <f t="shared" si="52"/>
        <v>0</v>
      </c>
      <c r="AJ51" s="100">
        <f t="shared" si="52"/>
        <v>0</v>
      </c>
      <c r="AK51" s="100">
        <f t="shared" si="52"/>
        <v>0</v>
      </c>
      <c r="AL51" s="100">
        <f t="shared" si="52"/>
        <v>0</v>
      </c>
      <c r="AM51" s="100">
        <f t="shared" si="52"/>
        <v>0</v>
      </c>
      <c r="AN51" s="100">
        <f t="shared" si="52"/>
        <v>0</v>
      </c>
      <c r="AO51" s="100">
        <f t="shared" si="52"/>
        <v>0</v>
      </c>
      <c r="AP51" s="100">
        <f t="shared" si="52"/>
        <v>0</v>
      </c>
      <c r="AQ51" s="100">
        <f t="shared" si="52"/>
        <v>0</v>
      </c>
      <c r="AR51" s="100">
        <f t="shared" si="52"/>
        <v>0</v>
      </c>
      <c r="AS51" s="100">
        <f t="shared" si="52"/>
        <v>0</v>
      </c>
      <c r="AT51" s="100">
        <f t="shared" si="52"/>
        <v>0</v>
      </c>
      <c r="AU51" s="100">
        <f t="shared" si="52"/>
        <v>0</v>
      </c>
      <c r="AV51" s="100">
        <f t="shared" si="52"/>
        <v>0</v>
      </c>
      <c r="AW51" s="100">
        <f t="shared" si="52"/>
        <v>0</v>
      </c>
      <c r="AX51" s="100">
        <f t="shared" si="52"/>
        <v>0</v>
      </c>
      <c r="AY51" s="100">
        <f t="shared" si="52"/>
        <v>0</v>
      </c>
      <c r="AZ51" s="100">
        <f t="shared" si="52"/>
        <v>0</v>
      </c>
    </row>
    <row r="52" spans="1:52" x14ac:dyDescent="0.25">
      <c r="A52" s="195" t="s">
        <v>1077</v>
      </c>
      <c r="B52" s="198">
        <v>0.99980000000000002</v>
      </c>
      <c r="C52" s="100">
        <f t="shared" ref="C52:AZ52" si="53">IFERROR($B52/C17,0)</f>
        <v>5.837809530534801</v>
      </c>
      <c r="D52" s="100">
        <f t="shared" si="53"/>
        <v>0.32348223461120007</v>
      </c>
      <c r="E52" s="100">
        <f t="shared" si="53"/>
        <v>0.14552629891800004</v>
      </c>
      <c r="F52" s="100">
        <f t="shared" si="53"/>
        <v>0.11896520519940001</v>
      </c>
      <c r="G52" s="100">
        <f t="shared" si="53"/>
        <v>0.14440686584940002</v>
      </c>
      <c r="H52" s="100">
        <f t="shared" si="53"/>
        <v>0.12188251562060003</v>
      </c>
      <c r="I52" s="100">
        <f t="shared" si="53"/>
        <v>0.32494088982180008</v>
      </c>
      <c r="J52" s="100">
        <f t="shared" si="53"/>
        <v>0.10777087451340002</v>
      </c>
      <c r="K52" s="100">
        <f t="shared" si="53"/>
        <v>1.2470823606346002</v>
      </c>
      <c r="L52" s="100">
        <f t="shared" si="53"/>
        <v>0.22707530185480002</v>
      </c>
      <c r="M52" s="100">
        <f t="shared" si="53"/>
        <v>0.30536777222840006</v>
      </c>
      <c r="N52" s="100">
        <f t="shared" si="53"/>
        <v>0.13148250223920002</v>
      </c>
      <c r="O52" s="100">
        <f t="shared" si="53"/>
        <v>0.12127191576500002</v>
      </c>
      <c r="P52" s="100">
        <f t="shared" si="53"/>
        <v>0.10783871894180003</v>
      </c>
      <c r="Q52" s="100">
        <f t="shared" si="53"/>
        <v>7.9852892226800004E-2</v>
      </c>
      <c r="R52" s="100">
        <f t="shared" si="53"/>
        <v>0.50584805815040002</v>
      </c>
      <c r="S52" s="100">
        <f t="shared" si="53"/>
        <v>0.24393464231220002</v>
      </c>
      <c r="T52" s="100">
        <f t="shared" si="53"/>
        <v>0.15275173054259999</v>
      </c>
      <c r="U52" s="100">
        <f t="shared" si="53"/>
        <v>0.48613925170020006</v>
      </c>
      <c r="V52" s="100">
        <f t="shared" si="53"/>
        <v>0.26581447047120005</v>
      </c>
      <c r="W52" s="100">
        <f t="shared" si="53"/>
        <v>0.21062302796780003</v>
      </c>
      <c r="X52" s="100">
        <f t="shared" si="53"/>
        <v>0.16313192808780003</v>
      </c>
      <c r="Y52" s="100">
        <f t="shared" si="53"/>
        <v>0.30262007287820009</v>
      </c>
      <c r="Z52" s="100">
        <f t="shared" si="53"/>
        <v>0.27761940101280003</v>
      </c>
      <c r="AA52" s="100">
        <f t="shared" si="53"/>
        <v>0.35855780409400001</v>
      </c>
      <c r="AB52" s="100">
        <f t="shared" si="53"/>
        <v>9.5114157173238016</v>
      </c>
      <c r="AC52" s="100">
        <f t="shared" si="53"/>
        <v>0.57281050898120001</v>
      </c>
      <c r="AD52" s="100">
        <f t="shared" si="53"/>
        <v>0.23884631018220001</v>
      </c>
      <c r="AE52" s="100">
        <f t="shared" si="53"/>
        <v>0.19946261949600003</v>
      </c>
      <c r="AF52" s="100">
        <f t="shared" si="53"/>
        <v>0.22846611263700001</v>
      </c>
      <c r="AG52" s="100">
        <f t="shared" si="53"/>
        <v>0.21822160394860002</v>
      </c>
      <c r="AH52" s="100">
        <f t="shared" si="53"/>
        <v>0.50591590257880004</v>
      </c>
      <c r="AI52" s="100">
        <f t="shared" si="53"/>
        <v>0.15424430796740002</v>
      </c>
      <c r="AJ52" s="100">
        <f t="shared" si="53"/>
        <v>1.9820749757060001</v>
      </c>
      <c r="AK52" s="100">
        <f t="shared" si="53"/>
        <v>0.50615335807820006</v>
      </c>
      <c r="AL52" s="100">
        <f t="shared" si="53"/>
        <v>0.33379458772800008</v>
      </c>
      <c r="AM52" s="100">
        <f t="shared" si="53"/>
        <v>0.22052831451420005</v>
      </c>
      <c r="AN52" s="100">
        <f t="shared" si="53"/>
        <v>0.20153187456220004</v>
      </c>
      <c r="AO52" s="100">
        <f t="shared" si="53"/>
        <v>0.17955027976060001</v>
      </c>
      <c r="AP52" s="100">
        <f t="shared" si="53"/>
        <v>0.16418351672800002</v>
      </c>
      <c r="AQ52" s="100">
        <f t="shared" si="53"/>
        <v>0.69560892438520017</v>
      </c>
      <c r="AR52" s="100">
        <f t="shared" si="53"/>
        <v>0.42368845535800009</v>
      </c>
      <c r="AS52" s="100">
        <f t="shared" si="53"/>
        <v>0.21201383875000002</v>
      </c>
      <c r="AT52" s="100">
        <f t="shared" si="53"/>
        <v>0.87604118171500023</v>
      </c>
      <c r="AU52" s="100">
        <f t="shared" si="53"/>
        <v>0.41968563408240012</v>
      </c>
      <c r="AV52" s="100">
        <f t="shared" si="53"/>
        <v>0.34054510835380009</v>
      </c>
      <c r="AW52" s="100">
        <f t="shared" si="53"/>
        <v>0.25930140534480006</v>
      </c>
      <c r="AX52" s="100">
        <f t="shared" si="53"/>
        <v>0.57874689646620014</v>
      </c>
      <c r="AY52" s="100">
        <f t="shared" si="53"/>
        <v>0.54577450426380003</v>
      </c>
      <c r="AZ52" s="100">
        <f t="shared" si="53"/>
        <v>0.57677940804260008</v>
      </c>
    </row>
    <row r="53" spans="1:52" x14ac:dyDescent="0.25">
      <c r="A53" s="195" t="s">
        <v>1091</v>
      </c>
      <c r="B53" s="196">
        <v>2.0000000000000001E-4</v>
      </c>
      <c r="C53" s="100">
        <f t="shared" ref="C53:AZ53" si="54">IFERROR($B53/C5,0)</f>
        <v>0</v>
      </c>
      <c r="D53" s="100">
        <f t="shared" si="54"/>
        <v>0</v>
      </c>
      <c r="E53" s="100">
        <f t="shared" si="54"/>
        <v>0</v>
      </c>
      <c r="F53" s="100">
        <f t="shared" si="54"/>
        <v>0</v>
      </c>
      <c r="G53" s="100">
        <f t="shared" si="54"/>
        <v>0</v>
      </c>
      <c r="H53" s="100">
        <f t="shared" si="54"/>
        <v>0</v>
      </c>
      <c r="I53" s="100">
        <f t="shared" si="54"/>
        <v>0</v>
      </c>
      <c r="J53" s="100">
        <f t="shared" si="54"/>
        <v>0</v>
      </c>
      <c r="K53" s="100">
        <f t="shared" si="54"/>
        <v>0</v>
      </c>
      <c r="L53" s="100">
        <f t="shared" si="54"/>
        <v>0</v>
      </c>
      <c r="M53" s="100">
        <f t="shared" si="54"/>
        <v>0</v>
      </c>
      <c r="N53" s="100">
        <f t="shared" si="54"/>
        <v>0</v>
      </c>
      <c r="O53" s="100">
        <f t="shared" si="54"/>
        <v>0</v>
      </c>
      <c r="P53" s="100">
        <f t="shared" si="54"/>
        <v>0</v>
      </c>
      <c r="Q53" s="100">
        <f t="shared" si="54"/>
        <v>0</v>
      </c>
      <c r="R53" s="100">
        <f t="shared" si="54"/>
        <v>0</v>
      </c>
      <c r="S53" s="100">
        <f t="shared" si="54"/>
        <v>0</v>
      </c>
      <c r="T53" s="100">
        <f t="shared" si="54"/>
        <v>0</v>
      </c>
      <c r="U53" s="100">
        <f t="shared" si="54"/>
        <v>0</v>
      </c>
      <c r="V53" s="100">
        <f t="shared" si="54"/>
        <v>0</v>
      </c>
      <c r="W53" s="100">
        <f t="shared" si="54"/>
        <v>0</v>
      </c>
      <c r="X53" s="100">
        <f t="shared" si="54"/>
        <v>0</v>
      </c>
      <c r="Y53" s="100">
        <f t="shared" si="54"/>
        <v>0</v>
      </c>
      <c r="Z53" s="100">
        <f t="shared" si="54"/>
        <v>0</v>
      </c>
      <c r="AA53" s="100">
        <f t="shared" si="54"/>
        <v>0</v>
      </c>
      <c r="AB53" s="100">
        <f t="shared" si="54"/>
        <v>0</v>
      </c>
      <c r="AC53" s="100">
        <f t="shared" si="54"/>
        <v>0</v>
      </c>
      <c r="AD53" s="100">
        <f t="shared" si="54"/>
        <v>0</v>
      </c>
      <c r="AE53" s="100">
        <f t="shared" si="54"/>
        <v>0</v>
      </c>
      <c r="AF53" s="100">
        <f t="shared" si="54"/>
        <v>0</v>
      </c>
      <c r="AG53" s="100">
        <f t="shared" si="54"/>
        <v>0</v>
      </c>
      <c r="AH53" s="100">
        <f t="shared" si="54"/>
        <v>0</v>
      </c>
      <c r="AI53" s="100">
        <f t="shared" si="54"/>
        <v>0</v>
      </c>
      <c r="AJ53" s="100">
        <f t="shared" si="54"/>
        <v>0</v>
      </c>
      <c r="AK53" s="100">
        <f t="shared" si="54"/>
        <v>0</v>
      </c>
      <c r="AL53" s="100">
        <f t="shared" si="54"/>
        <v>0</v>
      </c>
      <c r="AM53" s="100">
        <f t="shared" si="54"/>
        <v>0</v>
      </c>
      <c r="AN53" s="100">
        <f t="shared" si="54"/>
        <v>0</v>
      </c>
      <c r="AO53" s="100">
        <f t="shared" si="54"/>
        <v>0</v>
      </c>
      <c r="AP53" s="100">
        <f t="shared" si="54"/>
        <v>0</v>
      </c>
      <c r="AQ53" s="100">
        <f t="shared" si="54"/>
        <v>0</v>
      </c>
      <c r="AR53" s="100">
        <f t="shared" si="54"/>
        <v>0</v>
      </c>
      <c r="AS53" s="100">
        <f t="shared" si="54"/>
        <v>0</v>
      </c>
      <c r="AT53" s="100">
        <f t="shared" si="54"/>
        <v>0</v>
      </c>
      <c r="AU53" s="100">
        <f t="shared" si="54"/>
        <v>0</v>
      </c>
      <c r="AV53" s="100">
        <f t="shared" si="54"/>
        <v>0</v>
      </c>
      <c r="AW53" s="100">
        <f t="shared" si="54"/>
        <v>0</v>
      </c>
      <c r="AX53" s="100">
        <f t="shared" si="54"/>
        <v>0</v>
      </c>
      <c r="AY53" s="100">
        <f t="shared" si="54"/>
        <v>0</v>
      </c>
      <c r="AZ53" s="100">
        <f t="shared" si="54"/>
        <v>0</v>
      </c>
    </row>
    <row r="54" spans="1:52" x14ac:dyDescent="0.25">
      <c r="A54" s="195" t="s">
        <v>1092</v>
      </c>
      <c r="B54" s="196">
        <v>0.99999979999999999</v>
      </c>
      <c r="C54" s="100">
        <f t="shared" ref="C54:AZ54" si="55">IFERROR($B54/C9,0)</f>
        <v>3.1958365690325587</v>
      </c>
      <c r="D54" s="100">
        <f t="shared" si="55"/>
        <v>0.17708634538272386</v>
      </c>
      <c r="E54" s="100">
        <f t="shared" si="55"/>
        <v>7.9666571066682609E-2</v>
      </c>
      <c r="F54" s="100">
        <f t="shared" si="55"/>
        <v>6.5126029074791592E-2</v>
      </c>
      <c r="G54" s="100">
        <f t="shared" si="55"/>
        <v>7.905375128924659E-2</v>
      </c>
      <c r="H54" s="100">
        <f t="shared" si="55"/>
        <v>6.6723074555382428E-2</v>
      </c>
      <c r="I54" s="100">
        <f t="shared" si="55"/>
        <v>0.17788486812301929</v>
      </c>
      <c r="J54" s="100">
        <f t="shared" si="55"/>
        <v>5.8997831300431389E-2</v>
      </c>
      <c r="K54" s="100">
        <f t="shared" si="55"/>
        <v>0.68269980236001226</v>
      </c>
      <c r="L54" s="100">
        <f t="shared" si="55"/>
        <v>0.12430956333808239</v>
      </c>
      <c r="M54" s="100">
        <f t="shared" si="55"/>
        <v>0.16716980716603189</v>
      </c>
      <c r="N54" s="100">
        <f t="shared" si="55"/>
        <v>7.1978468404303456E-2</v>
      </c>
      <c r="O54" s="100">
        <f t="shared" si="55"/>
        <v>6.6388809222235515E-2</v>
      </c>
      <c r="P54" s="100">
        <f t="shared" si="55"/>
        <v>5.9034971893003267E-2</v>
      </c>
      <c r="Q54" s="100">
        <f t="shared" si="55"/>
        <v>4.3714477457102767E-2</v>
      </c>
      <c r="R54" s="100">
        <f t="shared" si="55"/>
        <v>0.2769202582159373</v>
      </c>
      <c r="S54" s="100">
        <f t="shared" si="55"/>
        <v>0.13353900059219456</v>
      </c>
      <c r="T54" s="100">
        <f t="shared" si="55"/>
        <v>8.3622044175587829E-2</v>
      </c>
      <c r="U54" s="100">
        <f t="shared" si="55"/>
        <v>0.26613091607380618</v>
      </c>
      <c r="V54" s="100">
        <f t="shared" si="55"/>
        <v>0.14551684169662585</v>
      </c>
      <c r="W54" s="100">
        <f t="shared" si="55"/>
        <v>0.11530296963940147</v>
      </c>
      <c r="X54" s="100">
        <f t="shared" si="55"/>
        <v>8.9304554839085462E-2</v>
      </c>
      <c r="Y54" s="100">
        <f t="shared" si="55"/>
        <v>0.16566561316687076</v>
      </c>
      <c r="Z54" s="100">
        <f t="shared" si="55"/>
        <v>0.15197930480413296</v>
      </c>
      <c r="AA54" s="100">
        <f t="shared" si="55"/>
        <v>0.19628803174238582</v>
      </c>
      <c r="AB54" s="100">
        <f t="shared" si="55"/>
        <v>5.2069068053184306</v>
      </c>
      <c r="AC54" s="100">
        <f t="shared" si="55"/>
        <v>0.31357802308438287</v>
      </c>
      <c r="AD54" s="100">
        <f t="shared" si="55"/>
        <v>0.13075345614930353</v>
      </c>
      <c r="AE54" s="100">
        <f t="shared" si="55"/>
        <v>0.10919334216132723</v>
      </c>
      <c r="AF54" s="100">
        <f t="shared" si="55"/>
        <v>0.12507094548580594</v>
      </c>
      <c r="AG54" s="100">
        <f t="shared" si="55"/>
        <v>0.11946271600745204</v>
      </c>
      <c r="AH54" s="100">
        <f t="shared" si="55"/>
        <v>0.27695739880850923</v>
      </c>
      <c r="AI54" s="100">
        <f t="shared" si="55"/>
        <v>8.4439137212169182E-2</v>
      </c>
      <c r="AJ54" s="100">
        <f t="shared" si="55"/>
        <v>1.0850624119874743</v>
      </c>
      <c r="AK54" s="100">
        <f t="shared" si="55"/>
        <v>0.27708739088251078</v>
      </c>
      <c r="AL54" s="100">
        <f t="shared" si="55"/>
        <v>0.18273171545364963</v>
      </c>
      <c r="AM54" s="100">
        <f t="shared" si="55"/>
        <v>0.12072549615489594</v>
      </c>
      <c r="AN54" s="100">
        <f t="shared" si="55"/>
        <v>0.11032613023476953</v>
      </c>
      <c r="AO54" s="100">
        <f t="shared" si="55"/>
        <v>9.8292578241480424E-2</v>
      </c>
      <c r="AP54" s="100">
        <f t="shared" si="55"/>
        <v>8.9880234023949609E-2</v>
      </c>
      <c r="AQ54" s="100">
        <f t="shared" si="55"/>
        <v>0.38080249563948571</v>
      </c>
      <c r="AR54" s="100">
        <f t="shared" si="55"/>
        <v>0.23194300061139062</v>
      </c>
      <c r="AS54" s="100">
        <f t="shared" si="55"/>
        <v>0.11606435178712503</v>
      </c>
      <c r="AT54" s="100">
        <f t="shared" si="55"/>
        <v>0.47957790158440067</v>
      </c>
      <c r="AU54" s="100">
        <f t="shared" si="55"/>
        <v>0.2297517056496497</v>
      </c>
      <c r="AV54" s="100">
        <f t="shared" si="55"/>
        <v>0.18642720441455168</v>
      </c>
      <c r="AW54" s="100">
        <f t="shared" si="55"/>
        <v>0.14195134480972538</v>
      </c>
      <c r="AX54" s="100">
        <f t="shared" si="55"/>
        <v>0.31682782493442241</v>
      </c>
      <c r="AY54" s="100">
        <f t="shared" si="55"/>
        <v>0.29877749694448874</v>
      </c>
      <c r="AZ54" s="100">
        <f t="shared" si="55"/>
        <v>0.3157507477498378</v>
      </c>
    </row>
    <row r="55" spans="1:52" x14ac:dyDescent="0.25">
      <c r="A55" s="195" t="s">
        <v>1093</v>
      </c>
      <c r="B55" s="196">
        <v>1.9999999999999999E-7</v>
      </c>
      <c r="C55" s="100">
        <f t="shared" ref="C55:AZ55" si="56">IFERROR($B55/C24,0)</f>
        <v>0</v>
      </c>
      <c r="D55" s="100">
        <f t="shared" si="56"/>
        <v>0</v>
      </c>
      <c r="E55" s="100">
        <f t="shared" si="56"/>
        <v>0</v>
      </c>
      <c r="F55" s="100">
        <f t="shared" si="56"/>
        <v>0</v>
      </c>
      <c r="G55" s="100">
        <f t="shared" si="56"/>
        <v>0</v>
      </c>
      <c r="H55" s="100">
        <f t="shared" si="56"/>
        <v>0</v>
      </c>
      <c r="I55" s="100">
        <f t="shared" si="56"/>
        <v>0</v>
      </c>
      <c r="J55" s="100">
        <f t="shared" si="56"/>
        <v>0</v>
      </c>
      <c r="K55" s="100">
        <f t="shared" si="56"/>
        <v>0</v>
      </c>
      <c r="L55" s="100">
        <f t="shared" si="56"/>
        <v>0</v>
      </c>
      <c r="M55" s="100">
        <f t="shared" si="56"/>
        <v>0</v>
      </c>
      <c r="N55" s="100">
        <f t="shared" si="56"/>
        <v>0</v>
      </c>
      <c r="O55" s="100">
        <f t="shared" si="56"/>
        <v>0</v>
      </c>
      <c r="P55" s="100">
        <f t="shared" si="56"/>
        <v>0</v>
      </c>
      <c r="Q55" s="100">
        <f t="shared" si="56"/>
        <v>0</v>
      </c>
      <c r="R55" s="100">
        <f t="shared" si="56"/>
        <v>0</v>
      </c>
      <c r="S55" s="100">
        <f t="shared" si="56"/>
        <v>0</v>
      </c>
      <c r="T55" s="100">
        <f t="shared" si="56"/>
        <v>0</v>
      </c>
      <c r="U55" s="100">
        <f t="shared" si="56"/>
        <v>0</v>
      </c>
      <c r="V55" s="100">
        <f t="shared" si="56"/>
        <v>0</v>
      </c>
      <c r="W55" s="100">
        <f t="shared" si="56"/>
        <v>0</v>
      </c>
      <c r="X55" s="100">
        <f t="shared" si="56"/>
        <v>0</v>
      </c>
      <c r="Y55" s="100">
        <f t="shared" si="56"/>
        <v>0</v>
      </c>
      <c r="Z55" s="100">
        <f t="shared" si="56"/>
        <v>0</v>
      </c>
      <c r="AA55" s="100">
        <f t="shared" si="56"/>
        <v>0</v>
      </c>
      <c r="AB55" s="100">
        <f t="shared" si="56"/>
        <v>0</v>
      </c>
      <c r="AC55" s="100">
        <f t="shared" si="56"/>
        <v>0</v>
      </c>
      <c r="AD55" s="100">
        <f t="shared" si="56"/>
        <v>0</v>
      </c>
      <c r="AE55" s="100">
        <f t="shared" si="56"/>
        <v>0</v>
      </c>
      <c r="AF55" s="100">
        <f t="shared" si="56"/>
        <v>0</v>
      </c>
      <c r="AG55" s="100">
        <f t="shared" si="56"/>
        <v>0</v>
      </c>
      <c r="AH55" s="100">
        <f t="shared" si="56"/>
        <v>0</v>
      </c>
      <c r="AI55" s="100">
        <f t="shared" si="56"/>
        <v>0</v>
      </c>
      <c r="AJ55" s="100">
        <f t="shared" si="56"/>
        <v>0</v>
      </c>
      <c r="AK55" s="100">
        <f t="shared" si="56"/>
        <v>0</v>
      </c>
      <c r="AL55" s="100">
        <f t="shared" si="56"/>
        <v>0</v>
      </c>
      <c r="AM55" s="100">
        <f t="shared" si="56"/>
        <v>0</v>
      </c>
      <c r="AN55" s="100">
        <f t="shared" si="56"/>
        <v>0</v>
      </c>
      <c r="AO55" s="100">
        <f t="shared" si="56"/>
        <v>0</v>
      </c>
      <c r="AP55" s="100">
        <f t="shared" si="56"/>
        <v>0</v>
      </c>
      <c r="AQ55" s="100">
        <f t="shared" si="56"/>
        <v>0</v>
      </c>
      <c r="AR55" s="100">
        <f t="shared" si="56"/>
        <v>0</v>
      </c>
      <c r="AS55" s="100">
        <f t="shared" si="56"/>
        <v>0</v>
      </c>
      <c r="AT55" s="100">
        <f t="shared" si="56"/>
        <v>0</v>
      </c>
      <c r="AU55" s="100">
        <f t="shared" si="56"/>
        <v>0</v>
      </c>
      <c r="AV55" s="100">
        <f t="shared" si="56"/>
        <v>0</v>
      </c>
      <c r="AW55" s="100">
        <f t="shared" si="56"/>
        <v>0</v>
      </c>
      <c r="AX55" s="100">
        <f t="shared" si="56"/>
        <v>0</v>
      </c>
      <c r="AY55" s="100">
        <f t="shared" si="56"/>
        <v>0</v>
      </c>
      <c r="AZ55" s="100">
        <f t="shared" si="56"/>
        <v>0</v>
      </c>
    </row>
    <row r="56" spans="1:52" x14ac:dyDescent="0.25">
      <c r="A56" s="195" t="s">
        <v>1094</v>
      </c>
      <c r="B56" s="196">
        <v>0.99979000004200003</v>
      </c>
      <c r="C56" s="100">
        <f t="shared" ref="C56:AZ56" si="57">IFERROR($B56/C20,0)</f>
        <v>0</v>
      </c>
      <c r="D56" s="100">
        <f t="shared" si="57"/>
        <v>0</v>
      </c>
      <c r="E56" s="100">
        <f t="shared" si="57"/>
        <v>0</v>
      </c>
      <c r="F56" s="100">
        <f t="shared" si="57"/>
        <v>0</v>
      </c>
      <c r="G56" s="100">
        <f t="shared" si="57"/>
        <v>0</v>
      </c>
      <c r="H56" s="100">
        <f t="shared" si="57"/>
        <v>0</v>
      </c>
      <c r="I56" s="100">
        <f t="shared" si="57"/>
        <v>0</v>
      </c>
      <c r="J56" s="100">
        <f t="shared" si="57"/>
        <v>0</v>
      </c>
      <c r="K56" s="100">
        <f t="shared" si="57"/>
        <v>0</v>
      </c>
      <c r="L56" s="100">
        <f t="shared" si="57"/>
        <v>0</v>
      </c>
      <c r="M56" s="100">
        <f t="shared" si="57"/>
        <v>0</v>
      </c>
      <c r="N56" s="100">
        <f t="shared" si="57"/>
        <v>0</v>
      </c>
      <c r="O56" s="100">
        <f t="shared" si="57"/>
        <v>0</v>
      </c>
      <c r="P56" s="100">
        <f t="shared" si="57"/>
        <v>0</v>
      </c>
      <c r="Q56" s="100">
        <f t="shared" si="57"/>
        <v>0</v>
      </c>
      <c r="R56" s="100">
        <f t="shared" si="57"/>
        <v>0</v>
      </c>
      <c r="S56" s="100">
        <f t="shared" si="57"/>
        <v>0</v>
      </c>
      <c r="T56" s="100">
        <f t="shared" si="57"/>
        <v>0</v>
      </c>
      <c r="U56" s="100">
        <f t="shared" si="57"/>
        <v>0</v>
      </c>
      <c r="V56" s="100">
        <f t="shared" si="57"/>
        <v>0</v>
      </c>
      <c r="W56" s="100">
        <f t="shared" si="57"/>
        <v>0</v>
      </c>
      <c r="X56" s="100">
        <f t="shared" si="57"/>
        <v>0</v>
      </c>
      <c r="Y56" s="100">
        <f t="shared" si="57"/>
        <v>0</v>
      </c>
      <c r="Z56" s="100">
        <f t="shared" si="57"/>
        <v>0</v>
      </c>
      <c r="AA56" s="100">
        <f t="shared" si="57"/>
        <v>0</v>
      </c>
      <c r="AB56" s="100">
        <f t="shared" si="57"/>
        <v>0</v>
      </c>
      <c r="AC56" s="100">
        <f t="shared" si="57"/>
        <v>0</v>
      </c>
      <c r="AD56" s="100">
        <f t="shared" si="57"/>
        <v>0</v>
      </c>
      <c r="AE56" s="100">
        <f t="shared" si="57"/>
        <v>0</v>
      </c>
      <c r="AF56" s="100">
        <f t="shared" si="57"/>
        <v>0</v>
      </c>
      <c r="AG56" s="100">
        <f t="shared" si="57"/>
        <v>0</v>
      </c>
      <c r="AH56" s="100">
        <f t="shared" si="57"/>
        <v>0</v>
      </c>
      <c r="AI56" s="100">
        <f t="shared" si="57"/>
        <v>0</v>
      </c>
      <c r="AJ56" s="100">
        <f t="shared" si="57"/>
        <v>0</v>
      </c>
      <c r="AK56" s="100">
        <f t="shared" si="57"/>
        <v>0</v>
      </c>
      <c r="AL56" s="100">
        <f t="shared" si="57"/>
        <v>0</v>
      </c>
      <c r="AM56" s="100">
        <f t="shared" si="57"/>
        <v>0</v>
      </c>
      <c r="AN56" s="100">
        <f t="shared" si="57"/>
        <v>0</v>
      </c>
      <c r="AO56" s="100">
        <f t="shared" si="57"/>
        <v>0</v>
      </c>
      <c r="AP56" s="100">
        <f t="shared" si="57"/>
        <v>0</v>
      </c>
      <c r="AQ56" s="100">
        <f t="shared" si="57"/>
        <v>0</v>
      </c>
      <c r="AR56" s="100">
        <f t="shared" si="57"/>
        <v>0</v>
      </c>
      <c r="AS56" s="100">
        <f t="shared" si="57"/>
        <v>0</v>
      </c>
      <c r="AT56" s="100">
        <f t="shared" si="57"/>
        <v>0</v>
      </c>
      <c r="AU56" s="100">
        <f t="shared" si="57"/>
        <v>0</v>
      </c>
      <c r="AV56" s="100">
        <f t="shared" si="57"/>
        <v>0</v>
      </c>
      <c r="AW56" s="100">
        <f t="shared" si="57"/>
        <v>0</v>
      </c>
      <c r="AX56" s="100">
        <f t="shared" si="57"/>
        <v>0</v>
      </c>
      <c r="AY56" s="100">
        <f t="shared" si="57"/>
        <v>0</v>
      </c>
      <c r="AZ56" s="100">
        <f t="shared" si="57"/>
        <v>0</v>
      </c>
    </row>
    <row r="57" spans="1:52" x14ac:dyDescent="0.25">
      <c r="A57" s="195" t="s">
        <v>1095</v>
      </c>
      <c r="B57" s="196">
        <v>2.0999995799999999E-4</v>
      </c>
      <c r="C57" s="100">
        <f t="shared" ref="C57:AZ57" si="58">IFERROR($B57/C29,0)</f>
        <v>0</v>
      </c>
      <c r="D57" s="100">
        <f t="shared" si="58"/>
        <v>0</v>
      </c>
      <c r="E57" s="100">
        <f t="shared" si="58"/>
        <v>0</v>
      </c>
      <c r="F57" s="100">
        <f t="shared" si="58"/>
        <v>0</v>
      </c>
      <c r="G57" s="100">
        <f t="shared" si="58"/>
        <v>0</v>
      </c>
      <c r="H57" s="100">
        <f t="shared" si="58"/>
        <v>0</v>
      </c>
      <c r="I57" s="100">
        <f t="shared" si="58"/>
        <v>0</v>
      </c>
      <c r="J57" s="100">
        <f t="shared" si="58"/>
        <v>0</v>
      </c>
      <c r="K57" s="100">
        <f t="shared" si="58"/>
        <v>0</v>
      </c>
      <c r="L57" s="100">
        <f t="shared" si="58"/>
        <v>0</v>
      </c>
      <c r="M57" s="100">
        <f t="shared" si="58"/>
        <v>0</v>
      </c>
      <c r="N57" s="100">
        <f t="shared" si="58"/>
        <v>0</v>
      </c>
      <c r="O57" s="100">
        <f t="shared" si="58"/>
        <v>0</v>
      </c>
      <c r="P57" s="100">
        <f t="shared" si="58"/>
        <v>0</v>
      </c>
      <c r="Q57" s="100">
        <f t="shared" si="58"/>
        <v>0</v>
      </c>
      <c r="R57" s="100">
        <f t="shared" si="58"/>
        <v>0</v>
      </c>
      <c r="S57" s="100">
        <f t="shared" si="58"/>
        <v>0</v>
      </c>
      <c r="T57" s="100">
        <f t="shared" si="58"/>
        <v>0</v>
      </c>
      <c r="U57" s="100">
        <f t="shared" si="58"/>
        <v>0</v>
      </c>
      <c r="V57" s="100">
        <f t="shared" si="58"/>
        <v>0</v>
      </c>
      <c r="W57" s="100">
        <f t="shared" si="58"/>
        <v>0</v>
      </c>
      <c r="X57" s="100">
        <f t="shared" si="58"/>
        <v>0</v>
      </c>
      <c r="Y57" s="100">
        <f t="shared" si="58"/>
        <v>0</v>
      </c>
      <c r="Z57" s="100">
        <f t="shared" si="58"/>
        <v>0</v>
      </c>
      <c r="AA57" s="100">
        <f t="shared" si="58"/>
        <v>0</v>
      </c>
      <c r="AB57" s="100">
        <f t="shared" si="58"/>
        <v>0</v>
      </c>
      <c r="AC57" s="100">
        <f t="shared" si="58"/>
        <v>0</v>
      </c>
      <c r="AD57" s="100">
        <f t="shared" si="58"/>
        <v>0</v>
      </c>
      <c r="AE57" s="100">
        <f t="shared" si="58"/>
        <v>0</v>
      </c>
      <c r="AF57" s="100">
        <f t="shared" si="58"/>
        <v>0</v>
      </c>
      <c r="AG57" s="100">
        <f t="shared" si="58"/>
        <v>0</v>
      </c>
      <c r="AH57" s="100">
        <f t="shared" si="58"/>
        <v>0</v>
      </c>
      <c r="AI57" s="100">
        <f t="shared" si="58"/>
        <v>0</v>
      </c>
      <c r="AJ57" s="100">
        <f t="shared" si="58"/>
        <v>0</v>
      </c>
      <c r="AK57" s="100">
        <f t="shared" si="58"/>
        <v>0</v>
      </c>
      <c r="AL57" s="100">
        <f t="shared" si="58"/>
        <v>0</v>
      </c>
      <c r="AM57" s="100">
        <f t="shared" si="58"/>
        <v>0</v>
      </c>
      <c r="AN57" s="100">
        <f t="shared" si="58"/>
        <v>0</v>
      </c>
      <c r="AO57" s="100">
        <f t="shared" si="58"/>
        <v>0</v>
      </c>
      <c r="AP57" s="100">
        <f t="shared" si="58"/>
        <v>0</v>
      </c>
      <c r="AQ57" s="100">
        <f t="shared" si="58"/>
        <v>0</v>
      </c>
      <c r="AR57" s="100">
        <f t="shared" si="58"/>
        <v>0</v>
      </c>
      <c r="AS57" s="100">
        <f t="shared" si="58"/>
        <v>0</v>
      </c>
      <c r="AT57" s="100">
        <f t="shared" si="58"/>
        <v>0</v>
      </c>
      <c r="AU57" s="100">
        <f t="shared" si="58"/>
        <v>0</v>
      </c>
      <c r="AV57" s="100">
        <f t="shared" si="58"/>
        <v>0</v>
      </c>
      <c r="AW57" s="100">
        <f t="shared" si="58"/>
        <v>0</v>
      </c>
      <c r="AX57" s="100">
        <f t="shared" si="58"/>
        <v>0</v>
      </c>
      <c r="AY57" s="100">
        <f t="shared" si="58"/>
        <v>0</v>
      </c>
      <c r="AZ57" s="100">
        <f t="shared" si="58"/>
        <v>0</v>
      </c>
    </row>
    <row r="58" spans="1:52" x14ac:dyDescent="0.25">
      <c r="A58" s="195" t="s">
        <v>1096</v>
      </c>
      <c r="B58" s="196">
        <v>1</v>
      </c>
      <c r="C58" s="100">
        <f t="shared" ref="C58:AZ58" si="59">IFERROR($B58/C16,0)</f>
        <v>14174.006028</v>
      </c>
      <c r="D58" s="100">
        <f t="shared" si="59"/>
        <v>785.40403200000014</v>
      </c>
      <c r="E58" s="100">
        <f t="shared" si="59"/>
        <v>353.33298000000008</v>
      </c>
      <c r="F58" s="100">
        <f t="shared" si="59"/>
        <v>288.84353400000003</v>
      </c>
      <c r="G58" s="100">
        <f t="shared" si="59"/>
        <v>350.61503400000004</v>
      </c>
      <c r="H58" s="100">
        <f t="shared" si="59"/>
        <v>295.92666600000001</v>
      </c>
      <c r="I58" s="100">
        <f t="shared" si="59"/>
        <v>788.94559800000002</v>
      </c>
      <c r="J58" s="100">
        <f t="shared" si="59"/>
        <v>261.66407400000003</v>
      </c>
      <c r="K58" s="100">
        <f t="shared" si="59"/>
        <v>3027.8742060000004</v>
      </c>
      <c r="L58" s="100">
        <f t="shared" si="59"/>
        <v>551.33122800000001</v>
      </c>
      <c r="M58" s="100">
        <f t="shared" si="59"/>
        <v>741.42272400000013</v>
      </c>
      <c r="N58" s="100">
        <f t="shared" si="59"/>
        <v>319.23511200000002</v>
      </c>
      <c r="O58" s="100">
        <f t="shared" si="59"/>
        <v>294.44415000000004</v>
      </c>
      <c r="P58" s="100">
        <f t="shared" si="59"/>
        <v>261.82879800000006</v>
      </c>
      <c r="Q58" s="100">
        <f t="shared" si="59"/>
        <v>193.88014800000002</v>
      </c>
      <c r="R58" s="100">
        <f t="shared" si="59"/>
        <v>1228.1821440000001</v>
      </c>
      <c r="S58" s="100">
        <f t="shared" si="59"/>
        <v>592.26514200000008</v>
      </c>
      <c r="T58" s="100">
        <f t="shared" si="59"/>
        <v>370.87608600000004</v>
      </c>
      <c r="U58" s="100">
        <f t="shared" si="59"/>
        <v>1180.3298220000001</v>
      </c>
      <c r="V58" s="100">
        <f t="shared" si="59"/>
        <v>645.38863200000014</v>
      </c>
      <c r="W58" s="100">
        <f t="shared" si="59"/>
        <v>511.38565800000003</v>
      </c>
      <c r="X58" s="100">
        <f t="shared" si="59"/>
        <v>396.07885800000003</v>
      </c>
      <c r="Y58" s="100">
        <f t="shared" si="59"/>
        <v>734.75140199999998</v>
      </c>
      <c r="Z58" s="100">
        <f t="shared" si="59"/>
        <v>674.05060800000001</v>
      </c>
      <c r="AA58" s="100">
        <f t="shared" si="59"/>
        <v>870.56634000000008</v>
      </c>
      <c r="AB58" s="100">
        <f t="shared" si="59"/>
        <v>23093.398818000001</v>
      </c>
      <c r="AC58" s="100">
        <f t="shared" si="59"/>
        <v>1390.7647320000001</v>
      </c>
      <c r="AD58" s="100">
        <f t="shared" si="59"/>
        <v>579.910842</v>
      </c>
      <c r="AE58" s="100">
        <f t="shared" si="59"/>
        <v>484.28856000000002</v>
      </c>
      <c r="AF58" s="100">
        <f t="shared" si="59"/>
        <v>554.70807000000013</v>
      </c>
      <c r="AG58" s="100">
        <f t="shared" si="59"/>
        <v>529.834746</v>
      </c>
      <c r="AH58" s="100">
        <f t="shared" si="59"/>
        <v>1228.3468680000001</v>
      </c>
      <c r="AI58" s="100">
        <f t="shared" si="59"/>
        <v>374.50001399999996</v>
      </c>
      <c r="AJ58" s="100">
        <f t="shared" si="59"/>
        <v>4812.4116600000007</v>
      </c>
      <c r="AK58" s="100">
        <f t="shared" si="59"/>
        <v>1228.9234019999999</v>
      </c>
      <c r="AL58" s="100">
        <f t="shared" si="59"/>
        <v>810.44208000000003</v>
      </c>
      <c r="AM58" s="100">
        <f t="shared" si="59"/>
        <v>535.43536200000005</v>
      </c>
      <c r="AN58" s="100">
        <f t="shared" si="59"/>
        <v>489.31264199999993</v>
      </c>
      <c r="AO58" s="100">
        <f t="shared" si="59"/>
        <v>435.94206600000007</v>
      </c>
      <c r="AP58" s="100">
        <f t="shared" si="59"/>
        <v>398.63208000000003</v>
      </c>
      <c r="AQ58" s="100">
        <f t="shared" si="59"/>
        <v>1688.9151720000002</v>
      </c>
      <c r="AR58" s="100">
        <f t="shared" si="59"/>
        <v>1028.7013800000002</v>
      </c>
      <c r="AS58" s="100">
        <f t="shared" si="59"/>
        <v>514.76250000000005</v>
      </c>
      <c r="AT58" s="100">
        <f t="shared" si="59"/>
        <v>2126.9986500000005</v>
      </c>
      <c r="AU58" s="100">
        <f t="shared" si="59"/>
        <v>1018.982664</v>
      </c>
      <c r="AV58" s="100">
        <f t="shared" si="59"/>
        <v>826.83211800000015</v>
      </c>
      <c r="AW58" s="100">
        <f t="shared" si="59"/>
        <v>629.57512800000006</v>
      </c>
      <c r="AX58" s="100">
        <f t="shared" si="59"/>
        <v>1405.1780820000001</v>
      </c>
      <c r="AY58" s="100">
        <f t="shared" si="59"/>
        <v>1325.1222180000002</v>
      </c>
      <c r="AZ58" s="100">
        <f t="shared" si="59"/>
        <v>1400.4010860000001</v>
      </c>
    </row>
    <row r="59" spans="1:52" x14ac:dyDescent="0.25">
      <c r="A59" s="195" t="s">
        <v>1097</v>
      </c>
      <c r="B59" s="196">
        <v>1</v>
      </c>
      <c r="C59" s="100">
        <f t="shared" ref="C59:AZ59" si="60">IFERROR($B59/C7,0)</f>
        <v>156.89465791999999</v>
      </c>
      <c r="D59" s="100">
        <f t="shared" si="60"/>
        <v>8.6937804800000009</v>
      </c>
      <c r="E59" s="100">
        <f t="shared" si="60"/>
        <v>3.9111071999999996</v>
      </c>
      <c r="F59" s="100">
        <f t="shared" si="60"/>
        <v>3.19726176</v>
      </c>
      <c r="G59" s="100">
        <f t="shared" si="60"/>
        <v>3.8810217599999999</v>
      </c>
      <c r="H59" s="100">
        <f t="shared" si="60"/>
        <v>3.2756662400000001</v>
      </c>
      <c r="I59" s="100">
        <f t="shared" si="60"/>
        <v>8.7329827200000008</v>
      </c>
      <c r="J59" s="100">
        <f t="shared" si="60"/>
        <v>2.89640736</v>
      </c>
      <c r="K59" s="100">
        <f t="shared" si="60"/>
        <v>33.516091840000001</v>
      </c>
      <c r="L59" s="100">
        <f t="shared" si="60"/>
        <v>6.1027859200000005</v>
      </c>
      <c r="M59" s="100">
        <f t="shared" si="60"/>
        <v>8.2069433599999986</v>
      </c>
      <c r="N59" s="100">
        <f t="shared" si="60"/>
        <v>3.5336716800000003</v>
      </c>
      <c r="O59" s="100">
        <f t="shared" si="60"/>
        <v>3.2592559999999997</v>
      </c>
      <c r="P59" s="100">
        <f t="shared" si="60"/>
        <v>2.8982307199999995</v>
      </c>
      <c r="Q59" s="100">
        <f t="shared" si="60"/>
        <v>2.1460947199999998</v>
      </c>
      <c r="R59" s="100">
        <f t="shared" si="60"/>
        <v>13.594972160000001</v>
      </c>
      <c r="S59" s="100">
        <f t="shared" si="60"/>
        <v>6.5558908799999989</v>
      </c>
      <c r="T59" s="100">
        <f t="shared" si="60"/>
        <v>4.1052950400000006</v>
      </c>
      <c r="U59" s="100">
        <f t="shared" si="60"/>
        <v>13.065286079999998</v>
      </c>
      <c r="V59" s="100">
        <f t="shared" si="60"/>
        <v>7.1439244799999999</v>
      </c>
      <c r="W59" s="100">
        <f t="shared" si="60"/>
        <v>5.6606211200000009</v>
      </c>
      <c r="X59" s="100">
        <f t="shared" si="60"/>
        <v>4.3842691199999999</v>
      </c>
      <c r="Y59" s="100">
        <f t="shared" si="60"/>
        <v>8.1330972800000012</v>
      </c>
      <c r="Z59" s="100">
        <f t="shared" si="60"/>
        <v>7.4611891199999993</v>
      </c>
      <c r="AA59" s="100">
        <f t="shared" si="60"/>
        <v>9.6364576000000017</v>
      </c>
      <c r="AB59" s="100">
        <f t="shared" si="60"/>
        <v>255.62504351999999</v>
      </c>
      <c r="AC59" s="100">
        <f t="shared" si="60"/>
        <v>15.394628479999998</v>
      </c>
      <c r="AD59" s="100">
        <f t="shared" si="60"/>
        <v>6.4191388799999993</v>
      </c>
      <c r="AE59" s="100">
        <f t="shared" si="60"/>
        <v>5.3606784000000003</v>
      </c>
      <c r="AF59" s="100">
        <f t="shared" si="60"/>
        <v>6.1401648</v>
      </c>
      <c r="AG59" s="100">
        <f t="shared" si="60"/>
        <v>5.8648374399999987</v>
      </c>
      <c r="AH59" s="100">
        <f t="shared" si="60"/>
        <v>13.596795520000001</v>
      </c>
      <c r="AI59" s="100">
        <f t="shared" si="60"/>
        <v>4.1454089599999993</v>
      </c>
      <c r="AJ59" s="100">
        <f t="shared" si="60"/>
        <v>53.269462399999995</v>
      </c>
      <c r="AK59" s="100">
        <f t="shared" si="60"/>
        <v>13.603177280000001</v>
      </c>
      <c r="AL59" s="100">
        <f t="shared" si="60"/>
        <v>8.970931199999999</v>
      </c>
      <c r="AM59" s="100">
        <f t="shared" si="60"/>
        <v>5.9268316800000003</v>
      </c>
      <c r="AN59" s="100">
        <f t="shared" si="60"/>
        <v>5.41629088</v>
      </c>
      <c r="AO59" s="100">
        <f t="shared" si="60"/>
        <v>4.8255222399999997</v>
      </c>
      <c r="AP59" s="100">
        <f t="shared" si="60"/>
        <v>4.4125312000000001</v>
      </c>
      <c r="AQ59" s="100">
        <f t="shared" si="60"/>
        <v>18.69491008</v>
      </c>
      <c r="AR59" s="100">
        <f t="shared" si="60"/>
        <v>11.3868832</v>
      </c>
      <c r="AS59" s="100">
        <f t="shared" si="60"/>
        <v>5.6979999999999995</v>
      </c>
      <c r="AT59" s="100">
        <f t="shared" si="60"/>
        <v>23.544136000000002</v>
      </c>
      <c r="AU59" s="100">
        <f t="shared" si="60"/>
        <v>11.279304960000001</v>
      </c>
      <c r="AV59" s="100">
        <f t="shared" si="60"/>
        <v>9.1523555200000004</v>
      </c>
      <c r="AW59" s="100">
        <f t="shared" si="60"/>
        <v>6.9688819200000003</v>
      </c>
      <c r="AX59" s="100">
        <f t="shared" si="60"/>
        <v>15.55417248</v>
      </c>
      <c r="AY59" s="100">
        <f t="shared" si="60"/>
        <v>14.668019519999998</v>
      </c>
      <c r="AZ59" s="100">
        <f t="shared" si="60"/>
        <v>15.501295039999999</v>
      </c>
    </row>
    <row r="60" spans="1:52" x14ac:dyDescent="0.25">
      <c r="A60" s="195" t="s">
        <v>1098</v>
      </c>
      <c r="B60" s="199">
        <v>1.9000000000000001E-8</v>
      </c>
      <c r="C60" s="100">
        <f t="shared" ref="C60:AZ60" si="61">IFERROR($B60/C12,0)</f>
        <v>0</v>
      </c>
      <c r="D60" s="100">
        <f t="shared" si="61"/>
        <v>0</v>
      </c>
      <c r="E60" s="100">
        <f t="shared" si="61"/>
        <v>0</v>
      </c>
      <c r="F60" s="100">
        <f t="shared" si="61"/>
        <v>0</v>
      </c>
      <c r="G60" s="100">
        <f t="shared" si="61"/>
        <v>0</v>
      </c>
      <c r="H60" s="100">
        <f t="shared" si="61"/>
        <v>0</v>
      </c>
      <c r="I60" s="100">
        <f t="shared" si="61"/>
        <v>0</v>
      </c>
      <c r="J60" s="100">
        <f t="shared" si="61"/>
        <v>0</v>
      </c>
      <c r="K60" s="100">
        <f t="shared" si="61"/>
        <v>0</v>
      </c>
      <c r="L60" s="100">
        <f t="shared" si="61"/>
        <v>0</v>
      </c>
      <c r="M60" s="100">
        <f t="shared" si="61"/>
        <v>0</v>
      </c>
      <c r="N60" s="100">
        <f t="shared" si="61"/>
        <v>0</v>
      </c>
      <c r="O60" s="100">
        <f t="shared" si="61"/>
        <v>0</v>
      </c>
      <c r="P60" s="100">
        <f t="shared" si="61"/>
        <v>0</v>
      </c>
      <c r="Q60" s="100">
        <f t="shared" si="61"/>
        <v>0</v>
      </c>
      <c r="R60" s="100">
        <f t="shared" si="61"/>
        <v>0</v>
      </c>
      <c r="S60" s="100">
        <f t="shared" si="61"/>
        <v>0</v>
      </c>
      <c r="T60" s="100">
        <f t="shared" si="61"/>
        <v>0</v>
      </c>
      <c r="U60" s="100">
        <f t="shared" si="61"/>
        <v>0</v>
      </c>
      <c r="V60" s="100">
        <f t="shared" si="61"/>
        <v>0</v>
      </c>
      <c r="W60" s="100">
        <f t="shared" si="61"/>
        <v>0</v>
      </c>
      <c r="X60" s="100">
        <f t="shared" si="61"/>
        <v>0</v>
      </c>
      <c r="Y60" s="100">
        <f t="shared" si="61"/>
        <v>0</v>
      </c>
      <c r="Z60" s="100">
        <f t="shared" si="61"/>
        <v>0</v>
      </c>
      <c r="AA60" s="100">
        <f t="shared" si="61"/>
        <v>0</v>
      </c>
      <c r="AB60" s="100">
        <f t="shared" si="61"/>
        <v>0</v>
      </c>
      <c r="AC60" s="100">
        <f t="shared" si="61"/>
        <v>0</v>
      </c>
      <c r="AD60" s="100">
        <f t="shared" si="61"/>
        <v>0</v>
      </c>
      <c r="AE60" s="100">
        <f t="shared" si="61"/>
        <v>0</v>
      </c>
      <c r="AF60" s="100">
        <f t="shared" si="61"/>
        <v>0</v>
      </c>
      <c r="AG60" s="100">
        <f t="shared" si="61"/>
        <v>0</v>
      </c>
      <c r="AH60" s="100">
        <f t="shared" si="61"/>
        <v>0</v>
      </c>
      <c r="AI60" s="100">
        <f t="shared" si="61"/>
        <v>0</v>
      </c>
      <c r="AJ60" s="100">
        <f t="shared" si="61"/>
        <v>0</v>
      </c>
      <c r="AK60" s="100">
        <f t="shared" si="61"/>
        <v>0</v>
      </c>
      <c r="AL60" s="100">
        <f t="shared" si="61"/>
        <v>0</v>
      </c>
      <c r="AM60" s="100">
        <f t="shared" si="61"/>
        <v>0</v>
      </c>
      <c r="AN60" s="100">
        <f t="shared" si="61"/>
        <v>0</v>
      </c>
      <c r="AO60" s="100">
        <f t="shared" si="61"/>
        <v>0</v>
      </c>
      <c r="AP60" s="100">
        <f t="shared" si="61"/>
        <v>0</v>
      </c>
      <c r="AQ60" s="100">
        <f t="shared" si="61"/>
        <v>0</v>
      </c>
      <c r="AR60" s="100">
        <f t="shared" si="61"/>
        <v>0</v>
      </c>
      <c r="AS60" s="100">
        <f t="shared" si="61"/>
        <v>0</v>
      </c>
      <c r="AT60" s="100">
        <f t="shared" si="61"/>
        <v>0</v>
      </c>
      <c r="AU60" s="100">
        <f t="shared" si="61"/>
        <v>0</v>
      </c>
      <c r="AV60" s="100">
        <f t="shared" si="61"/>
        <v>0</v>
      </c>
      <c r="AW60" s="100">
        <f t="shared" si="61"/>
        <v>0</v>
      </c>
      <c r="AX60" s="100">
        <f t="shared" si="61"/>
        <v>0</v>
      </c>
      <c r="AY60" s="100">
        <f t="shared" si="61"/>
        <v>0</v>
      </c>
      <c r="AZ60" s="100">
        <f t="shared" si="61"/>
        <v>0</v>
      </c>
    </row>
    <row r="61" spans="1:52" x14ac:dyDescent="0.25">
      <c r="A61" s="195" t="s">
        <v>1099</v>
      </c>
      <c r="B61" s="196">
        <v>1</v>
      </c>
      <c r="C61" s="100">
        <f t="shared" ref="C61:AZ61" si="62">IFERROR($B61/C18,0)</f>
        <v>27144.558714000003</v>
      </c>
      <c r="D61" s="100">
        <f t="shared" si="62"/>
        <v>1504.1228160000001</v>
      </c>
      <c r="E61" s="100">
        <f t="shared" si="62"/>
        <v>676.66599000000019</v>
      </c>
      <c r="F61" s="100">
        <f t="shared" si="62"/>
        <v>553.16261699999995</v>
      </c>
      <c r="G61" s="100">
        <f t="shared" si="62"/>
        <v>671.46086700000012</v>
      </c>
      <c r="H61" s="100">
        <f t="shared" si="62"/>
        <v>566.72748300000001</v>
      </c>
      <c r="I61" s="100">
        <f t="shared" si="62"/>
        <v>1510.9052490000001</v>
      </c>
      <c r="J61" s="100">
        <f t="shared" si="62"/>
        <v>501.11138700000004</v>
      </c>
      <c r="K61" s="100">
        <f t="shared" si="62"/>
        <v>5798.6647530000009</v>
      </c>
      <c r="L61" s="100">
        <f t="shared" si="62"/>
        <v>1055.8513140000002</v>
      </c>
      <c r="M61" s="100">
        <f t="shared" si="62"/>
        <v>1419.8944620000002</v>
      </c>
      <c r="N61" s="100">
        <f t="shared" si="62"/>
        <v>611.36535600000002</v>
      </c>
      <c r="O61" s="100">
        <f t="shared" si="62"/>
        <v>563.88832500000001</v>
      </c>
      <c r="P61" s="100">
        <f t="shared" si="62"/>
        <v>501.42684899999995</v>
      </c>
      <c r="Q61" s="100">
        <f t="shared" si="62"/>
        <v>371.29877400000004</v>
      </c>
      <c r="R61" s="100">
        <f t="shared" si="62"/>
        <v>2352.084672</v>
      </c>
      <c r="S61" s="100">
        <f t="shared" si="62"/>
        <v>1134.2436210000001</v>
      </c>
      <c r="T61" s="100">
        <f t="shared" si="62"/>
        <v>710.26269300000013</v>
      </c>
      <c r="U61" s="100">
        <f t="shared" si="62"/>
        <v>2260.4429610000002</v>
      </c>
      <c r="V61" s="100">
        <f t="shared" si="62"/>
        <v>1235.980116</v>
      </c>
      <c r="W61" s="100">
        <f t="shared" si="62"/>
        <v>979.35177900000008</v>
      </c>
      <c r="X61" s="100">
        <f t="shared" si="62"/>
        <v>758.52837900000009</v>
      </c>
      <c r="Y61" s="100">
        <f t="shared" si="62"/>
        <v>1407.1182510000001</v>
      </c>
      <c r="Z61" s="100">
        <f t="shared" si="62"/>
        <v>1290.870504</v>
      </c>
      <c r="AA61" s="100">
        <f t="shared" si="62"/>
        <v>1667.21667</v>
      </c>
      <c r="AB61" s="100">
        <f t="shared" si="62"/>
        <v>44226.037359000002</v>
      </c>
      <c r="AC61" s="100">
        <f t="shared" si="62"/>
        <v>2663.4456660000001</v>
      </c>
      <c r="AD61" s="100">
        <f t="shared" si="62"/>
        <v>1110.5839709999998</v>
      </c>
      <c r="AE61" s="100">
        <f t="shared" si="62"/>
        <v>927.45827999999995</v>
      </c>
      <c r="AF61" s="100">
        <f t="shared" si="62"/>
        <v>1062.3182850000001</v>
      </c>
      <c r="AG61" s="100">
        <f t="shared" si="62"/>
        <v>1014.6835229999998</v>
      </c>
      <c r="AH61" s="100">
        <f t="shared" si="62"/>
        <v>2352.400134</v>
      </c>
      <c r="AI61" s="100">
        <f t="shared" si="62"/>
        <v>717.20285700000011</v>
      </c>
      <c r="AJ61" s="100">
        <f t="shared" si="62"/>
        <v>9216.2223299999987</v>
      </c>
      <c r="AK61" s="100">
        <f t="shared" si="62"/>
        <v>2353.5042510000003</v>
      </c>
      <c r="AL61" s="100">
        <f t="shared" si="62"/>
        <v>1552.0730400000002</v>
      </c>
      <c r="AM61" s="100">
        <f t="shared" si="62"/>
        <v>1025.4092310000001</v>
      </c>
      <c r="AN61" s="100">
        <f t="shared" si="62"/>
        <v>937.07987100000003</v>
      </c>
      <c r="AO61" s="100">
        <f t="shared" si="62"/>
        <v>834.870183</v>
      </c>
      <c r="AP61" s="100">
        <f t="shared" si="62"/>
        <v>763.41804000000002</v>
      </c>
      <c r="AQ61" s="100">
        <f t="shared" si="62"/>
        <v>3234.4318860000003</v>
      </c>
      <c r="AR61" s="100">
        <f t="shared" si="62"/>
        <v>1970.0601900000001</v>
      </c>
      <c r="AS61" s="100">
        <f t="shared" si="62"/>
        <v>985.81875000000014</v>
      </c>
      <c r="AT61" s="100">
        <f t="shared" si="62"/>
        <v>4073.4030750000011</v>
      </c>
      <c r="AU61" s="100">
        <f t="shared" si="62"/>
        <v>1951.447932</v>
      </c>
      <c r="AV61" s="100">
        <f t="shared" si="62"/>
        <v>1583.4615090000002</v>
      </c>
      <c r="AW61" s="100">
        <f t="shared" si="62"/>
        <v>1205.6957640000003</v>
      </c>
      <c r="AX61" s="100">
        <f t="shared" si="62"/>
        <v>2691.0485910000002</v>
      </c>
      <c r="AY61" s="100">
        <f t="shared" si="62"/>
        <v>2537.7340590000003</v>
      </c>
      <c r="AZ61" s="100">
        <f t="shared" si="62"/>
        <v>2681.9001930000004</v>
      </c>
    </row>
    <row r="62" spans="1:52" x14ac:dyDescent="0.25">
      <c r="A62" s="195" t="s">
        <v>1100</v>
      </c>
      <c r="B62" s="196">
        <v>1.339E-6</v>
      </c>
      <c r="C62" s="100">
        <f t="shared" ref="C62:AZ62" si="63">IFERROR($B62/C27,0)</f>
        <v>0</v>
      </c>
      <c r="D62" s="100">
        <f t="shared" si="63"/>
        <v>0</v>
      </c>
      <c r="E62" s="100">
        <f t="shared" si="63"/>
        <v>0</v>
      </c>
      <c r="F62" s="100">
        <f t="shared" si="63"/>
        <v>0</v>
      </c>
      <c r="G62" s="100">
        <f t="shared" si="63"/>
        <v>0</v>
      </c>
      <c r="H62" s="100">
        <f t="shared" si="63"/>
        <v>0</v>
      </c>
      <c r="I62" s="100">
        <f t="shared" si="63"/>
        <v>0</v>
      </c>
      <c r="J62" s="100">
        <f t="shared" si="63"/>
        <v>0</v>
      </c>
      <c r="K62" s="100">
        <f t="shared" si="63"/>
        <v>0</v>
      </c>
      <c r="L62" s="100">
        <f t="shared" si="63"/>
        <v>0</v>
      </c>
      <c r="M62" s="100">
        <f t="shared" si="63"/>
        <v>0</v>
      </c>
      <c r="N62" s="100">
        <f t="shared" si="63"/>
        <v>0</v>
      </c>
      <c r="O62" s="100">
        <f t="shared" si="63"/>
        <v>0</v>
      </c>
      <c r="P62" s="100">
        <f t="shared" si="63"/>
        <v>0</v>
      </c>
      <c r="Q62" s="100">
        <f t="shared" si="63"/>
        <v>0</v>
      </c>
      <c r="R62" s="100">
        <f t="shared" si="63"/>
        <v>0</v>
      </c>
      <c r="S62" s="100">
        <f t="shared" si="63"/>
        <v>0</v>
      </c>
      <c r="T62" s="100">
        <f t="shared" si="63"/>
        <v>0</v>
      </c>
      <c r="U62" s="100">
        <f t="shared" si="63"/>
        <v>0</v>
      </c>
      <c r="V62" s="100">
        <f t="shared" si="63"/>
        <v>0</v>
      </c>
      <c r="W62" s="100">
        <f t="shared" si="63"/>
        <v>0</v>
      </c>
      <c r="X62" s="100">
        <f t="shared" si="63"/>
        <v>0</v>
      </c>
      <c r="Y62" s="100">
        <f t="shared" si="63"/>
        <v>0</v>
      </c>
      <c r="Z62" s="100">
        <f t="shared" si="63"/>
        <v>0</v>
      </c>
      <c r="AA62" s="100">
        <f t="shared" si="63"/>
        <v>0</v>
      </c>
      <c r="AB62" s="100">
        <f t="shared" si="63"/>
        <v>0</v>
      </c>
      <c r="AC62" s="100">
        <f t="shared" si="63"/>
        <v>0</v>
      </c>
      <c r="AD62" s="100">
        <f t="shared" si="63"/>
        <v>0</v>
      </c>
      <c r="AE62" s="100">
        <f t="shared" si="63"/>
        <v>0</v>
      </c>
      <c r="AF62" s="100">
        <f t="shared" si="63"/>
        <v>0</v>
      </c>
      <c r="AG62" s="100">
        <f t="shared" si="63"/>
        <v>0</v>
      </c>
      <c r="AH62" s="100">
        <f t="shared" si="63"/>
        <v>0</v>
      </c>
      <c r="AI62" s="100">
        <f t="shared" si="63"/>
        <v>0</v>
      </c>
      <c r="AJ62" s="100">
        <f t="shared" si="63"/>
        <v>0</v>
      </c>
      <c r="AK62" s="100">
        <f t="shared" si="63"/>
        <v>0</v>
      </c>
      <c r="AL62" s="100">
        <f t="shared" si="63"/>
        <v>0</v>
      </c>
      <c r="AM62" s="100">
        <f t="shared" si="63"/>
        <v>0</v>
      </c>
      <c r="AN62" s="100">
        <f t="shared" si="63"/>
        <v>0</v>
      </c>
      <c r="AO62" s="100">
        <f t="shared" si="63"/>
        <v>0</v>
      </c>
      <c r="AP62" s="100">
        <f t="shared" si="63"/>
        <v>0</v>
      </c>
      <c r="AQ62" s="100">
        <f t="shared" si="63"/>
        <v>0</v>
      </c>
      <c r="AR62" s="100">
        <f t="shared" si="63"/>
        <v>0</v>
      </c>
      <c r="AS62" s="100">
        <f t="shared" si="63"/>
        <v>0</v>
      </c>
      <c r="AT62" s="100">
        <f t="shared" si="63"/>
        <v>0</v>
      </c>
      <c r="AU62" s="100">
        <f t="shared" si="63"/>
        <v>0</v>
      </c>
      <c r="AV62" s="100">
        <f t="shared" si="63"/>
        <v>0</v>
      </c>
      <c r="AW62" s="100">
        <f t="shared" si="63"/>
        <v>0</v>
      </c>
      <c r="AX62" s="100">
        <f t="shared" si="63"/>
        <v>0</v>
      </c>
      <c r="AY62" s="100">
        <f t="shared" si="63"/>
        <v>0</v>
      </c>
      <c r="AZ62" s="100">
        <f t="shared" si="63"/>
        <v>0</v>
      </c>
    </row>
    <row r="63" spans="1:52" x14ac:dyDescent="0.25">
      <c r="A63" s="95" t="s">
        <v>35</v>
      </c>
      <c r="B63" s="95" t="s">
        <v>1074</v>
      </c>
      <c r="C63" s="96">
        <f t="shared" ref="C63" si="64">IFERROR(1/SUM(1/D63,1/E63,1/F63,1/G63,1/H63,1/I63,1/J63,1/K63,1/L63,1/M63,1/N63,1/O63,1/P63,1/Q63,1/R63,1/S63,1/T63,1/U63,1/V63,1/W63,1/X63,1/Y63),".")</f>
        <v>2.4105392800405687E-5</v>
      </c>
      <c r="D63" s="96">
        <f t="shared" ref="D63:AA63" si="65">IFERROR(1/SUM(D64:D76),0)</f>
        <v>4.3502448286420056E-4</v>
      </c>
      <c r="E63" s="96">
        <f t="shared" si="65"/>
        <v>9.6699148452051653E-4</v>
      </c>
      <c r="F63" s="96">
        <f t="shared" si="65"/>
        <v>1.1828894977453713E-3</v>
      </c>
      <c r="G63" s="96">
        <f t="shared" si="65"/>
        <v>9.7448754254005564E-4</v>
      </c>
      <c r="H63" s="96">
        <f t="shared" si="65"/>
        <v>1.1545765289710593E-3</v>
      </c>
      <c r="I63" s="96">
        <f t="shared" si="65"/>
        <v>4.3307166390990881E-4</v>
      </c>
      <c r="J63" s="96">
        <f t="shared" si="65"/>
        <v>1.3057580952448905E-3</v>
      </c>
      <c r="K63" s="96">
        <f t="shared" si="65"/>
        <v>1.128415381931022E-4</v>
      </c>
      <c r="L63" s="96">
        <f t="shared" si="65"/>
        <v>6.1971817576830237E-4</v>
      </c>
      <c r="M63" s="96">
        <f t="shared" si="65"/>
        <v>4.6083020091013289E-4</v>
      </c>
      <c r="N63" s="96">
        <f t="shared" si="65"/>
        <v>1.0702769526813769E-3</v>
      </c>
      <c r="O63" s="96">
        <f t="shared" si="65"/>
        <v>1.1603897814246201E-3</v>
      </c>
      <c r="P63" s="96">
        <f t="shared" si="65"/>
        <v>1.3049366054083097E-3</v>
      </c>
      <c r="Q63" s="96">
        <f t="shared" si="65"/>
        <v>1.762274200761689E-3</v>
      </c>
      <c r="R63" s="96">
        <f t="shared" si="65"/>
        <v>2.7819162208912398E-4</v>
      </c>
      <c r="S63" s="96">
        <f t="shared" si="65"/>
        <v>5.7688686811194776E-4</v>
      </c>
      <c r="T63" s="96">
        <f t="shared" si="65"/>
        <v>9.2125104787764065E-4</v>
      </c>
      <c r="U63" s="96">
        <f t="shared" si="65"/>
        <v>2.8946992314514105E-4</v>
      </c>
      <c r="V63" s="96">
        <f t="shared" si="65"/>
        <v>5.2940192299553556E-4</v>
      </c>
      <c r="W63" s="96">
        <f t="shared" si="65"/>
        <v>6.6812586062055344E-4</v>
      </c>
      <c r="X63" s="96">
        <f t="shared" si="65"/>
        <v>8.6263120577937541E-4</v>
      </c>
      <c r="Y63" s="96">
        <f t="shared" si="65"/>
        <v>4.6501440069420652E-4</v>
      </c>
      <c r="Z63" s="96">
        <f t="shared" si="65"/>
        <v>5.0689069753091602E-4</v>
      </c>
      <c r="AA63" s="96">
        <f t="shared" si="65"/>
        <v>3.924686346824046E-4</v>
      </c>
      <c r="AB63" s="96">
        <f t="shared" ref="AB63" si="66">IFERROR(1/SUM(1/AC63,1/AD63,1/AE63,1/AF63,1/AG63,1/AH63,1/AI63,1/AJ63,1/AK63,1/AL63,1/AM63,1/AN63,1/AO63,1/AP63,1/AQ63,1/AR63,1/AS63,1/AT63,1/AU63,1/AV63,1/AW63,1/AX63),".")</f>
        <v>1.479513628777526E-5</v>
      </c>
      <c r="AC63" s="96">
        <f t="shared" ref="AC63:AZ63" si="67">IFERROR(1/SUM(AC64:AC76),0)</f>
        <v>2.4567058324014072E-4</v>
      </c>
      <c r="AD63" s="96">
        <f t="shared" si="67"/>
        <v>5.8917674600099661E-4</v>
      </c>
      <c r="AE63" s="96">
        <f t="shared" si="67"/>
        <v>7.0550909329813213E-4</v>
      </c>
      <c r="AF63" s="96">
        <f t="shared" si="67"/>
        <v>6.1594557811329119E-4</v>
      </c>
      <c r="AG63" s="96">
        <f t="shared" si="67"/>
        <v>6.4486141280786834E-4</v>
      </c>
      <c r="AH63" s="96">
        <f t="shared" si="67"/>
        <v>2.7815431598451229E-4</v>
      </c>
      <c r="AI63" s="96">
        <f t="shared" si="67"/>
        <v>9.1233636872509714E-4</v>
      </c>
      <c r="AJ63" s="96">
        <f t="shared" si="67"/>
        <v>7.0997663333784316E-5</v>
      </c>
      <c r="AK63" s="96">
        <f t="shared" si="67"/>
        <v>2.7802382337598129E-4</v>
      </c>
      <c r="AL63" s="96">
        <f t="shared" si="67"/>
        <v>4.2158470209278622E-4</v>
      </c>
      <c r="AM63" s="96">
        <f t="shared" si="67"/>
        <v>6.3811620805922424E-4</v>
      </c>
      <c r="AN63" s="96">
        <f t="shared" si="67"/>
        <v>6.9826518575879766E-4</v>
      </c>
      <c r="AO63" s="96">
        <f t="shared" si="67"/>
        <v>7.8375089147799293E-4</v>
      </c>
      <c r="AP63" s="96">
        <f t="shared" si="67"/>
        <v>8.5710608855227614E-4</v>
      </c>
      <c r="AQ63" s="96">
        <f t="shared" si="67"/>
        <v>2.0230144682497885E-4</v>
      </c>
      <c r="AR63" s="96">
        <f t="shared" si="67"/>
        <v>3.3213718723723107E-4</v>
      </c>
      <c r="AS63" s="96">
        <f t="shared" si="67"/>
        <v>6.6374295497488264E-4</v>
      </c>
      <c r="AT63" s="96">
        <f t="shared" si="67"/>
        <v>1.6063479065219811E-4</v>
      </c>
      <c r="AU63" s="96">
        <f t="shared" si="67"/>
        <v>3.3530500069455356E-4</v>
      </c>
      <c r="AV63" s="96">
        <f t="shared" si="67"/>
        <v>4.1322775860075866E-4</v>
      </c>
      <c r="AW63" s="96">
        <f t="shared" si="67"/>
        <v>5.4269930253702462E-4</v>
      </c>
      <c r="AX63" s="96">
        <f t="shared" si="67"/>
        <v>2.4315066341908543E-4</v>
      </c>
      <c r="AY63" s="96">
        <f t="shared" si="67"/>
        <v>2.578403548134139E-4</v>
      </c>
      <c r="AZ63" s="96">
        <f t="shared" si="67"/>
        <v>2.4398008990137132E-4</v>
      </c>
    </row>
    <row r="64" spans="1:52" x14ac:dyDescent="0.25">
      <c r="A64" s="195" t="s">
        <v>1090</v>
      </c>
      <c r="B64" s="196">
        <v>1</v>
      </c>
      <c r="C64" s="100">
        <f t="shared" ref="C64:AZ64" si="68">IFERROR($B64/C25,0)</f>
        <v>0</v>
      </c>
      <c r="D64" s="100">
        <f t="shared" si="68"/>
        <v>0</v>
      </c>
      <c r="E64" s="100">
        <f t="shared" si="68"/>
        <v>0</v>
      </c>
      <c r="F64" s="100">
        <f t="shared" si="68"/>
        <v>0</v>
      </c>
      <c r="G64" s="100">
        <f t="shared" si="68"/>
        <v>0</v>
      </c>
      <c r="H64" s="100">
        <f t="shared" si="68"/>
        <v>0</v>
      </c>
      <c r="I64" s="100">
        <f t="shared" si="68"/>
        <v>0</v>
      </c>
      <c r="J64" s="100">
        <f t="shared" si="68"/>
        <v>0</v>
      </c>
      <c r="K64" s="100">
        <f t="shared" si="68"/>
        <v>0</v>
      </c>
      <c r="L64" s="100">
        <f t="shared" si="68"/>
        <v>0</v>
      </c>
      <c r="M64" s="100">
        <f t="shared" si="68"/>
        <v>0</v>
      </c>
      <c r="N64" s="100">
        <f t="shared" si="68"/>
        <v>0</v>
      </c>
      <c r="O64" s="100">
        <f t="shared" si="68"/>
        <v>0</v>
      </c>
      <c r="P64" s="100">
        <f t="shared" si="68"/>
        <v>0</v>
      </c>
      <c r="Q64" s="100">
        <f t="shared" si="68"/>
        <v>0</v>
      </c>
      <c r="R64" s="100">
        <f t="shared" si="68"/>
        <v>0</v>
      </c>
      <c r="S64" s="100">
        <f t="shared" si="68"/>
        <v>0</v>
      </c>
      <c r="T64" s="100">
        <f t="shared" si="68"/>
        <v>0</v>
      </c>
      <c r="U64" s="100">
        <f t="shared" si="68"/>
        <v>0</v>
      </c>
      <c r="V64" s="100">
        <f t="shared" si="68"/>
        <v>0</v>
      </c>
      <c r="W64" s="100">
        <f t="shared" si="68"/>
        <v>0</v>
      </c>
      <c r="X64" s="100">
        <f t="shared" si="68"/>
        <v>0</v>
      </c>
      <c r="Y64" s="100">
        <f t="shared" si="68"/>
        <v>0</v>
      </c>
      <c r="Z64" s="100">
        <f t="shared" si="68"/>
        <v>0</v>
      </c>
      <c r="AA64" s="100">
        <f t="shared" si="68"/>
        <v>0</v>
      </c>
      <c r="AB64" s="100">
        <f t="shared" si="68"/>
        <v>0</v>
      </c>
      <c r="AC64" s="100">
        <f t="shared" si="68"/>
        <v>0</v>
      </c>
      <c r="AD64" s="100">
        <f t="shared" si="68"/>
        <v>0</v>
      </c>
      <c r="AE64" s="100">
        <f t="shared" si="68"/>
        <v>0</v>
      </c>
      <c r="AF64" s="100">
        <f t="shared" si="68"/>
        <v>0</v>
      </c>
      <c r="AG64" s="100">
        <f t="shared" si="68"/>
        <v>0</v>
      </c>
      <c r="AH64" s="100">
        <f t="shared" si="68"/>
        <v>0</v>
      </c>
      <c r="AI64" s="100">
        <f t="shared" si="68"/>
        <v>0</v>
      </c>
      <c r="AJ64" s="100">
        <f t="shared" si="68"/>
        <v>0</v>
      </c>
      <c r="AK64" s="100">
        <f t="shared" si="68"/>
        <v>0</v>
      </c>
      <c r="AL64" s="100">
        <f t="shared" si="68"/>
        <v>0</v>
      </c>
      <c r="AM64" s="100">
        <f t="shared" si="68"/>
        <v>0</v>
      </c>
      <c r="AN64" s="100">
        <f t="shared" si="68"/>
        <v>0</v>
      </c>
      <c r="AO64" s="100">
        <f t="shared" si="68"/>
        <v>0</v>
      </c>
      <c r="AP64" s="100">
        <f t="shared" si="68"/>
        <v>0</v>
      </c>
      <c r="AQ64" s="100">
        <f t="shared" si="68"/>
        <v>0</v>
      </c>
      <c r="AR64" s="100">
        <f t="shared" si="68"/>
        <v>0</v>
      </c>
      <c r="AS64" s="100">
        <f t="shared" si="68"/>
        <v>0</v>
      </c>
      <c r="AT64" s="100">
        <f t="shared" si="68"/>
        <v>0</v>
      </c>
      <c r="AU64" s="100">
        <f t="shared" si="68"/>
        <v>0</v>
      </c>
      <c r="AV64" s="100">
        <f t="shared" si="68"/>
        <v>0</v>
      </c>
      <c r="AW64" s="100">
        <f t="shared" si="68"/>
        <v>0</v>
      </c>
      <c r="AX64" s="100">
        <f t="shared" si="68"/>
        <v>0</v>
      </c>
      <c r="AY64" s="100">
        <f t="shared" si="68"/>
        <v>0</v>
      </c>
      <c r="AZ64" s="100">
        <f t="shared" si="68"/>
        <v>0</v>
      </c>
    </row>
    <row r="65" spans="1:52" x14ac:dyDescent="0.25">
      <c r="A65" s="195" t="s">
        <v>1076</v>
      </c>
      <c r="B65" s="196">
        <v>1</v>
      </c>
      <c r="C65" s="100">
        <f t="shared" ref="C65:AZ65" si="69">IFERROR($B65/C21,0)</f>
        <v>0</v>
      </c>
      <c r="D65" s="100">
        <f t="shared" si="69"/>
        <v>0</v>
      </c>
      <c r="E65" s="100">
        <f t="shared" si="69"/>
        <v>0</v>
      </c>
      <c r="F65" s="100">
        <f t="shared" si="69"/>
        <v>0</v>
      </c>
      <c r="G65" s="100">
        <f t="shared" si="69"/>
        <v>0</v>
      </c>
      <c r="H65" s="100">
        <f t="shared" si="69"/>
        <v>0</v>
      </c>
      <c r="I65" s="100">
        <f t="shared" si="69"/>
        <v>0</v>
      </c>
      <c r="J65" s="100">
        <f t="shared" si="69"/>
        <v>0</v>
      </c>
      <c r="K65" s="100">
        <f t="shared" si="69"/>
        <v>0</v>
      </c>
      <c r="L65" s="100">
        <f t="shared" si="69"/>
        <v>0</v>
      </c>
      <c r="M65" s="100">
        <f t="shared" si="69"/>
        <v>0</v>
      </c>
      <c r="N65" s="100">
        <f t="shared" si="69"/>
        <v>0</v>
      </c>
      <c r="O65" s="100">
        <f t="shared" si="69"/>
        <v>0</v>
      </c>
      <c r="P65" s="100">
        <f t="shared" si="69"/>
        <v>0</v>
      </c>
      <c r="Q65" s="100">
        <f t="shared" si="69"/>
        <v>0</v>
      </c>
      <c r="R65" s="100">
        <f t="shared" si="69"/>
        <v>0</v>
      </c>
      <c r="S65" s="100">
        <f t="shared" si="69"/>
        <v>0</v>
      </c>
      <c r="T65" s="100">
        <f t="shared" si="69"/>
        <v>0</v>
      </c>
      <c r="U65" s="100">
        <f t="shared" si="69"/>
        <v>0</v>
      </c>
      <c r="V65" s="100">
        <f t="shared" si="69"/>
        <v>0</v>
      </c>
      <c r="W65" s="100">
        <f t="shared" si="69"/>
        <v>0</v>
      </c>
      <c r="X65" s="100">
        <f t="shared" si="69"/>
        <v>0</v>
      </c>
      <c r="Y65" s="100">
        <f t="shared" si="69"/>
        <v>0</v>
      </c>
      <c r="Z65" s="100">
        <f t="shared" si="69"/>
        <v>0</v>
      </c>
      <c r="AA65" s="100">
        <f t="shared" si="69"/>
        <v>0</v>
      </c>
      <c r="AB65" s="100">
        <f t="shared" si="69"/>
        <v>0</v>
      </c>
      <c r="AC65" s="100">
        <f t="shared" si="69"/>
        <v>0</v>
      </c>
      <c r="AD65" s="100">
        <f t="shared" si="69"/>
        <v>0</v>
      </c>
      <c r="AE65" s="100">
        <f t="shared" si="69"/>
        <v>0</v>
      </c>
      <c r="AF65" s="100">
        <f t="shared" si="69"/>
        <v>0</v>
      </c>
      <c r="AG65" s="100">
        <f t="shared" si="69"/>
        <v>0</v>
      </c>
      <c r="AH65" s="100">
        <f t="shared" si="69"/>
        <v>0</v>
      </c>
      <c r="AI65" s="100">
        <f t="shared" si="69"/>
        <v>0</v>
      </c>
      <c r="AJ65" s="100">
        <f t="shared" si="69"/>
        <v>0</v>
      </c>
      <c r="AK65" s="100">
        <f t="shared" si="69"/>
        <v>0</v>
      </c>
      <c r="AL65" s="100">
        <f t="shared" si="69"/>
        <v>0</v>
      </c>
      <c r="AM65" s="100">
        <f t="shared" si="69"/>
        <v>0</v>
      </c>
      <c r="AN65" s="100">
        <f t="shared" si="69"/>
        <v>0</v>
      </c>
      <c r="AO65" s="100">
        <f t="shared" si="69"/>
        <v>0</v>
      </c>
      <c r="AP65" s="100">
        <f t="shared" si="69"/>
        <v>0</v>
      </c>
      <c r="AQ65" s="100">
        <f t="shared" si="69"/>
        <v>0</v>
      </c>
      <c r="AR65" s="100">
        <f t="shared" si="69"/>
        <v>0</v>
      </c>
      <c r="AS65" s="100">
        <f t="shared" si="69"/>
        <v>0</v>
      </c>
      <c r="AT65" s="100">
        <f t="shared" si="69"/>
        <v>0</v>
      </c>
      <c r="AU65" s="100">
        <f t="shared" si="69"/>
        <v>0</v>
      </c>
      <c r="AV65" s="100">
        <f t="shared" si="69"/>
        <v>0</v>
      </c>
      <c r="AW65" s="100">
        <f t="shared" si="69"/>
        <v>0</v>
      </c>
      <c r="AX65" s="100">
        <f t="shared" si="69"/>
        <v>0</v>
      </c>
      <c r="AY65" s="100">
        <f t="shared" si="69"/>
        <v>0</v>
      </c>
      <c r="AZ65" s="100">
        <f t="shared" si="69"/>
        <v>0</v>
      </c>
    </row>
    <row r="66" spans="1:52" x14ac:dyDescent="0.25">
      <c r="A66" s="195" t="s">
        <v>1077</v>
      </c>
      <c r="B66" s="198">
        <v>0.99980000000000002</v>
      </c>
      <c r="C66" s="100">
        <f t="shared" ref="C66:AZ66" si="70">IFERROR($B66/C17,0)</f>
        <v>5.837809530534801</v>
      </c>
      <c r="D66" s="100">
        <f t="shared" si="70"/>
        <v>0.32348223461120007</v>
      </c>
      <c r="E66" s="100">
        <f t="shared" si="70"/>
        <v>0.14552629891800004</v>
      </c>
      <c r="F66" s="100">
        <f t="shared" si="70"/>
        <v>0.11896520519940001</v>
      </c>
      <c r="G66" s="100">
        <f t="shared" si="70"/>
        <v>0.14440686584940002</v>
      </c>
      <c r="H66" s="100">
        <f t="shared" si="70"/>
        <v>0.12188251562060003</v>
      </c>
      <c r="I66" s="100">
        <f t="shared" si="70"/>
        <v>0.32494088982180008</v>
      </c>
      <c r="J66" s="100">
        <f t="shared" si="70"/>
        <v>0.10777087451340002</v>
      </c>
      <c r="K66" s="100">
        <f t="shared" si="70"/>
        <v>1.2470823606346002</v>
      </c>
      <c r="L66" s="100">
        <f t="shared" si="70"/>
        <v>0.22707530185480002</v>
      </c>
      <c r="M66" s="100">
        <f t="shared" si="70"/>
        <v>0.30536777222840006</v>
      </c>
      <c r="N66" s="100">
        <f t="shared" si="70"/>
        <v>0.13148250223920002</v>
      </c>
      <c r="O66" s="100">
        <f t="shared" si="70"/>
        <v>0.12127191576500002</v>
      </c>
      <c r="P66" s="100">
        <f t="shared" si="70"/>
        <v>0.10783871894180003</v>
      </c>
      <c r="Q66" s="100">
        <f t="shared" si="70"/>
        <v>7.9852892226800004E-2</v>
      </c>
      <c r="R66" s="100">
        <f t="shared" si="70"/>
        <v>0.50584805815040002</v>
      </c>
      <c r="S66" s="100">
        <f t="shared" si="70"/>
        <v>0.24393464231220002</v>
      </c>
      <c r="T66" s="100">
        <f t="shared" si="70"/>
        <v>0.15275173054259999</v>
      </c>
      <c r="U66" s="100">
        <f t="shared" si="70"/>
        <v>0.48613925170020006</v>
      </c>
      <c r="V66" s="100">
        <f t="shared" si="70"/>
        <v>0.26581447047120005</v>
      </c>
      <c r="W66" s="100">
        <f t="shared" si="70"/>
        <v>0.21062302796780003</v>
      </c>
      <c r="X66" s="100">
        <f t="shared" si="70"/>
        <v>0.16313192808780003</v>
      </c>
      <c r="Y66" s="100">
        <f t="shared" si="70"/>
        <v>0.30262007287820009</v>
      </c>
      <c r="Z66" s="100">
        <f t="shared" si="70"/>
        <v>0.27761940101280003</v>
      </c>
      <c r="AA66" s="100">
        <f t="shared" si="70"/>
        <v>0.35855780409400001</v>
      </c>
      <c r="AB66" s="100">
        <f t="shared" si="70"/>
        <v>9.5114157173238016</v>
      </c>
      <c r="AC66" s="100">
        <f t="shared" si="70"/>
        <v>0.57281050898120001</v>
      </c>
      <c r="AD66" s="100">
        <f t="shared" si="70"/>
        <v>0.23884631018220001</v>
      </c>
      <c r="AE66" s="100">
        <f t="shared" si="70"/>
        <v>0.19946261949600003</v>
      </c>
      <c r="AF66" s="100">
        <f t="shared" si="70"/>
        <v>0.22846611263700001</v>
      </c>
      <c r="AG66" s="100">
        <f t="shared" si="70"/>
        <v>0.21822160394860002</v>
      </c>
      <c r="AH66" s="100">
        <f t="shared" si="70"/>
        <v>0.50591590257880004</v>
      </c>
      <c r="AI66" s="100">
        <f t="shared" si="70"/>
        <v>0.15424430796740002</v>
      </c>
      <c r="AJ66" s="100">
        <f t="shared" si="70"/>
        <v>1.9820749757060001</v>
      </c>
      <c r="AK66" s="100">
        <f t="shared" si="70"/>
        <v>0.50615335807820006</v>
      </c>
      <c r="AL66" s="100">
        <f t="shared" si="70"/>
        <v>0.33379458772800008</v>
      </c>
      <c r="AM66" s="100">
        <f t="shared" si="70"/>
        <v>0.22052831451420005</v>
      </c>
      <c r="AN66" s="100">
        <f t="shared" si="70"/>
        <v>0.20153187456220004</v>
      </c>
      <c r="AO66" s="100">
        <f t="shared" si="70"/>
        <v>0.17955027976060001</v>
      </c>
      <c r="AP66" s="100">
        <f t="shared" si="70"/>
        <v>0.16418351672800002</v>
      </c>
      <c r="AQ66" s="100">
        <f t="shared" si="70"/>
        <v>0.69560892438520017</v>
      </c>
      <c r="AR66" s="100">
        <f t="shared" si="70"/>
        <v>0.42368845535800009</v>
      </c>
      <c r="AS66" s="100">
        <f t="shared" si="70"/>
        <v>0.21201383875000002</v>
      </c>
      <c r="AT66" s="100">
        <f t="shared" si="70"/>
        <v>0.87604118171500023</v>
      </c>
      <c r="AU66" s="100">
        <f t="shared" si="70"/>
        <v>0.41968563408240012</v>
      </c>
      <c r="AV66" s="100">
        <f t="shared" si="70"/>
        <v>0.34054510835380009</v>
      </c>
      <c r="AW66" s="100">
        <f t="shared" si="70"/>
        <v>0.25930140534480006</v>
      </c>
      <c r="AX66" s="100">
        <f t="shared" si="70"/>
        <v>0.57874689646620014</v>
      </c>
      <c r="AY66" s="100">
        <f t="shared" si="70"/>
        <v>0.54577450426380003</v>
      </c>
      <c r="AZ66" s="100">
        <f t="shared" si="70"/>
        <v>0.57677940804260008</v>
      </c>
    </row>
    <row r="67" spans="1:52" x14ac:dyDescent="0.25">
      <c r="A67" s="195" t="s">
        <v>1091</v>
      </c>
      <c r="B67" s="196">
        <v>2.0000000000000001E-4</v>
      </c>
      <c r="C67" s="100">
        <f t="shared" ref="C67:AZ67" si="71">IFERROR($B67/C5,0)</f>
        <v>0</v>
      </c>
      <c r="D67" s="100">
        <f t="shared" si="71"/>
        <v>0</v>
      </c>
      <c r="E67" s="100">
        <f t="shared" si="71"/>
        <v>0</v>
      </c>
      <c r="F67" s="100">
        <f t="shared" si="71"/>
        <v>0</v>
      </c>
      <c r="G67" s="100">
        <f t="shared" si="71"/>
        <v>0</v>
      </c>
      <c r="H67" s="100">
        <f t="shared" si="71"/>
        <v>0</v>
      </c>
      <c r="I67" s="100">
        <f t="shared" si="71"/>
        <v>0</v>
      </c>
      <c r="J67" s="100">
        <f t="shared" si="71"/>
        <v>0</v>
      </c>
      <c r="K67" s="100">
        <f t="shared" si="71"/>
        <v>0</v>
      </c>
      <c r="L67" s="100">
        <f t="shared" si="71"/>
        <v>0</v>
      </c>
      <c r="M67" s="100">
        <f t="shared" si="71"/>
        <v>0</v>
      </c>
      <c r="N67" s="100">
        <f t="shared" si="71"/>
        <v>0</v>
      </c>
      <c r="O67" s="100">
        <f t="shared" si="71"/>
        <v>0</v>
      </c>
      <c r="P67" s="100">
        <f t="shared" si="71"/>
        <v>0</v>
      </c>
      <c r="Q67" s="100">
        <f t="shared" si="71"/>
        <v>0</v>
      </c>
      <c r="R67" s="100">
        <f t="shared" si="71"/>
        <v>0</v>
      </c>
      <c r="S67" s="100">
        <f t="shared" si="71"/>
        <v>0</v>
      </c>
      <c r="T67" s="100">
        <f t="shared" si="71"/>
        <v>0</v>
      </c>
      <c r="U67" s="100">
        <f t="shared" si="71"/>
        <v>0</v>
      </c>
      <c r="V67" s="100">
        <f t="shared" si="71"/>
        <v>0</v>
      </c>
      <c r="W67" s="100">
        <f t="shared" si="71"/>
        <v>0</v>
      </c>
      <c r="X67" s="100">
        <f t="shared" si="71"/>
        <v>0</v>
      </c>
      <c r="Y67" s="100">
        <f t="shared" si="71"/>
        <v>0</v>
      </c>
      <c r="Z67" s="100">
        <f t="shared" si="71"/>
        <v>0</v>
      </c>
      <c r="AA67" s="100">
        <f t="shared" si="71"/>
        <v>0</v>
      </c>
      <c r="AB67" s="100">
        <f t="shared" si="71"/>
        <v>0</v>
      </c>
      <c r="AC67" s="100">
        <f t="shared" si="71"/>
        <v>0</v>
      </c>
      <c r="AD67" s="100">
        <f t="shared" si="71"/>
        <v>0</v>
      </c>
      <c r="AE67" s="100">
        <f t="shared" si="71"/>
        <v>0</v>
      </c>
      <c r="AF67" s="100">
        <f t="shared" si="71"/>
        <v>0</v>
      </c>
      <c r="AG67" s="100">
        <f t="shared" si="71"/>
        <v>0</v>
      </c>
      <c r="AH67" s="100">
        <f t="shared" si="71"/>
        <v>0</v>
      </c>
      <c r="AI67" s="100">
        <f t="shared" si="71"/>
        <v>0</v>
      </c>
      <c r="AJ67" s="100">
        <f t="shared" si="71"/>
        <v>0</v>
      </c>
      <c r="AK67" s="100">
        <f t="shared" si="71"/>
        <v>0</v>
      </c>
      <c r="AL67" s="100">
        <f t="shared" si="71"/>
        <v>0</v>
      </c>
      <c r="AM67" s="100">
        <f t="shared" si="71"/>
        <v>0</v>
      </c>
      <c r="AN67" s="100">
        <f t="shared" si="71"/>
        <v>0</v>
      </c>
      <c r="AO67" s="100">
        <f t="shared" si="71"/>
        <v>0</v>
      </c>
      <c r="AP67" s="100">
        <f t="shared" si="71"/>
        <v>0</v>
      </c>
      <c r="AQ67" s="100">
        <f t="shared" si="71"/>
        <v>0</v>
      </c>
      <c r="AR67" s="100">
        <f t="shared" si="71"/>
        <v>0</v>
      </c>
      <c r="AS67" s="100">
        <f t="shared" si="71"/>
        <v>0</v>
      </c>
      <c r="AT67" s="100">
        <f t="shared" si="71"/>
        <v>0</v>
      </c>
      <c r="AU67" s="100">
        <f t="shared" si="71"/>
        <v>0</v>
      </c>
      <c r="AV67" s="100">
        <f t="shared" si="71"/>
        <v>0</v>
      </c>
      <c r="AW67" s="100">
        <f t="shared" si="71"/>
        <v>0</v>
      </c>
      <c r="AX67" s="100">
        <f t="shared" si="71"/>
        <v>0</v>
      </c>
      <c r="AY67" s="100">
        <f t="shared" si="71"/>
        <v>0</v>
      </c>
      <c r="AZ67" s="100">
        <f t="shared" si="71"/>
        <v>0</v>
      </c>
    </row>
    <row r="68" spans="1:52" x14ac:dyDescent="0.25">
      <c r="A68" s="195" t="s">
        <v>1092</v>
      </c>
      <c r="B68" s="196">
        <v>0.99999979999999999</v>
      </c>
      <c r="C68" s="100">
        <f t="shared" ref="C68:AZ68" si="72">IFERROR($B68/C9,0)</f>
        <v>3.1958365690325587</v>
      </c>
      <c r="D68" s="100">
        <f t="shared" si="72"/>
        <v>0.17708634538272386</v>
      </c>
      <c r="E68" s="100">
        <f t="shared" si="72"/>
        <v>7.9666571066682609E-2</v>
      </c>
      <c r="F68" s="100">
        <f t="shared" si="72"/>
        <v>6.5126029074791592E-2</v>
      </c>
      <c r="G68" s="100">
        <f t="shared" si="72"/>
        <v>7.905375128924659E-2</v>
      </c>
      <c r="H68" s="100">
        <f t="shared" si="72"/>
        <v>6.6723074555382428E-2</v>
      </c>
      <c r="I68" s="100">
        <f t="shared" si="72"/>
        <v>0.17788486812301929</v>
      </c>
      <c r="J68" s="100">
        <f t="shared" si="72"/>
        <v>5.8997831300431389E-2</v>
      </c>
      <c r="K68" s="100">
        <f t="shared" si="72"/>
        <v>0.68269980236001226</v>
      </c>
      <c r="L68" s="100">
        <f t="shared" si="72"/>
        <v>0.12430956333808239</v>
      </c>
      <c r="M68" s="100">
        <f t="shared" si="72"/>
        <v>0.16716980716603189</v>
      </c>
      <c r="N68" s="100">
        <f t="shared" si="72"/>
        <v>7.1978468404303456E-2</v>
      </c>
      <c r="O68" s="100">
        <f t="shared" si="72"/>
        <v>6.6388809222235515E-2</v>
      </c>
      <c r="P68" s="100">
        <f t="shared" si="72"/>
        <v>5.9034971893003267E-2</v>
      </c>
      <c r="Q68" s="100">
        <f t="shared" si="72"/>
        <v>4.3714477457102767E-2</v>
      </c>
      <c r="R68" s="100">
        <f t="shared" si="72"/>
        <v>0.2769202582159373</v>
      </c>
      <c r="S68" s="100">
        <f t="shared" si="72"/>
        <v>0.13353900059219456</v>
      </c>
      <c r="T68" s="100">
        <f t="shared" si="72"/>
        <v>8.3622044175587829E-2</v>
      </c>
      <c r="U68" s="100">
        <f t="shared" si="72"/>
        <v>0.26613091607380618</v>
      </c>
      <c r="V68" s="100">
        <f t="shared" si="72"/>
        <v>0.14551684169662585</v>
      </c>
      <c r="W68" s="100">
        <f t="shared" si="72"/>
        <v>0.11530296963940147</v>
      </c>
      <c r="X68" s="100">
        <f t="shared" si="72"/>
        <v>8.9304554839085462E-2</v>
      </c>
      <c r="Y68" s="100">
        <f t="shared" si="72"/>
        <v>0.16566561316687076</v>
      </c>
      <c r="Z68" s="100">
        <f t="shared" si="72"/>
        <v>0.15197930480413296</v>
      </c>
      <c r="AA68" s="100">
        <f t="shared" si="72"/>
        <v>0.19628803174238582</v>
      </c>
      <c r="AB68" s="100">
        <f t="shared" si="72"/>
        <v>5.2069068053184306</v>
      </c>
      <c r="AC68" s="100">
        <f t="shared" si="72"/>
        <v>0.31357802308438287</v>
      </c>
      <c r="AD68" s="100">
        <f t="shared" si="72"/>
        <v>0.13075345614930353</v>
      </c>
      <c r="AE68" s="100">
        <f t="shared" si="72"/>
        <v>0.10919334216132723</v>
      </c>
      <c r="AF68" s="100">
        <f t="shared" si="72"/>
        <v>0.12507094548580594</v>
      </c>
      <c r="AG68" s="100">
        <f t="shared" si="72"/>
        <v>0.11946271600745204</v>
      </c>
      <c r="AH68" s="100">
        <f t="shared" si="72"/>
        <v>0.27695739880850923</v>
      </c>
      <c r="AI68" s="100">
        <f t="shared" si="72"/>
        <v>8.4439137212169182E-2</v>
      </c>
      <c r="AJ68" s="100">
        <f t="shared" si="72"/>
        <v>1.0850624119874743</v>
      </c>
      <c r="AK68" s="100">
        <f t="shared" si="72"/>
        <v>0.27708739088251078</v>
      </c>
      <c r="AL68" s="100">
        <f t="shared" si="72"/>
        <v>0.18273171545364963</v>
      </c>
      <c r="AM68" s="100">
        <f t="shared" si="72"/>
        <v>0.12072549615489594</v>
      </c>
      <c r="AN68" s="100">
        <f t="shared" si="72"/>
        <v>0.11032613023476953</v>
      </c>
      <c r="AO68" s="100">
        <f t="shared" si="72"/>
        <v>9.8292578241480424E-2</v>
      </c>
      <c r="AP68" s="100">
        <f t="shared" si="72"/>
        <v>8.9880234023949609E-2</v>
      </c>
      <c r="AQ68" s="100">
        <f t="shared" si="72"/>
        <v>0.38080249563948571</v>
      </c>
      <c r="AR68" s="100">
        <f t="shared" si="72"/>
        <v>0.23194300061139062</v>
      </c>
      <c r="AS68" s="100">
        <f t="shared" si="72"/>
        <v>0.11606435178712503</v>
      </c>
      <c r="AT68" s="100">
        <f t="shared" si="72"/>
        <v>0.47957790158440067</v>
      </c>
      <c r="AU68" s="100">
        <f t="shared" si="72"/>
        <v>0.2297517056496497</v>
      </c>
      <c r="AV68" s="100">
        <f t="shared" si="72"/>
        <v>0.18642720441455168</v>
      </c>
      <c r="AW68" s="100">
        <f t="shared" si="72"/>
        <v>0.14195134480972538</v>
      </c>
      <c r="AX68" s="100">
        <f t="shared" si="72"/>
        <v>0.31682782493442241</v>
      </c>
      <c r="AY68" s="100">
        <f t="shared" si="72"/>
        <v>0.29877749694448874</v>
      </c>
      <c r="AZ68" s="100">
        <f t="shared" si="72"/>
        <v>0.3157507477498378</v>
      </c>
    </row>
    <row r="69" spans="1:52" x14ac:dyDescent="0.25">
      <c r="A69" s="195" t="s">
        <v>1093</v>
      </c>
      <c r="B69" s="196">
        <v>1.9999999999999999E-7</v>
      </c>
      <c r="C69" s="100">
        <f t="shared" ref="C69:AZ69" si="73">IFERROR($B69/C24,0)</f>
        <v>0</v>
      </c>
      <c r="D69" s="100">
        <f t="shared" si="73"/>
        <v>0</v>
      </c>
      <c r="E69" s="100">
        <f t="shared" si="73"/>
        <v>0</v>
      </c>
      <c r="F69" s="100">
        <f t="shared" si="73"/>
        <v>0</v>
      </c>
      <c r="G69" s="100">
        <f t="shared" si="73"/>
        <v>0</v>
      </c>
      <c r="H69" s="100">
        <f t="shared" si="73"/>
        <v>0</v>
      </c>
      <c r="I69" s="100">
        <f t="shared" si="73"/>
        <v>0</v>
      </c>
      <c r="J69" s="100">
        <f t="shared" si="73"/>
        <v>0</v>
      </c>
      <c r="K69" s="100">
        <f t="shared" si="73"/>
        <v>0</v>
      </c>
      <c r="L69" s="100">
        <f t="shared" si="73"/>
        <v>0</v>
      </c>
      <c r="M69" s="100">
        <f t="shared" si="73"/>
        <v>0</v>
      </c>
      <c r="N69" s="100">
        <f t="shared" si="73"/>
        <v>0</v>
      </c>
      <c r="O69" s="100">
        <f t="shared" si="73"/>
        <v>0</v>
      </c>
      <c r="P69" s="100">
        <f t="shared" si="73"/>
        <v>0</v>
      </c>
      <c r="Q69" s="100">
        <f t="shared" si="73"/>
        <v>0</v>
      </c>
      <c r="R69" s="100">
        <f t="shared" si="73"/>
        <v>0</v>
      </c>
      <c r="S69" s="100">
        <f t="shared" si="73"/>
        <v>0</v>
      </c>
      <c r="T69" s="100">
        <f t="shared" si="73"/>
        <v>0</v>
      </c>
      <c r="U69" s="100">
        <f t="shared" si="73"/>
        <v>0</v>
      </c>
      <c r="V69" s="100">
        <f t="shared" si="73"/>
        <v>0</v>
      </c>
      <c r="W69" s="100">
        <f t="shared" si="73"/>
        <v>0</v>
      </c>
      <c r="X69" s="100">
        <f t="shared" si="73"/>
        <v>0</v>
      </c>
      <c r="Y69" s="100">
        <f t="shared" si="73"/>
        <v>0</v>
      </c>
      <c r="Z69" s="100">
        <f t="shared" si="73"/>
        <v>0</v>
      </c>
      <c r="AA69" s="100">
        <f t="shared" si="73"/>
        <v>0</v>
      </c>
      <c r="AB69" s="100">
        <f t="shared" si="73"/>
        <v>0</v>
      </c>
      <c r="AC69" s="100">
        <f t="shared" si="73"/>
        <v>0</v>
      </c>
      <c r="AD69" s="100">
        <f t="shared" si="73"/>
        <v>0</v>
      </c>
      <c r="AE69" s="100">
        <f t="shared" si="73"/>
        <v>0</v>
      </c>
      <c r="AF69" s="100">
        <f t="shared" si="73"/>
        <v>0</v>
      </c>
      <c r="AG69" s="100">
        <f t="shared" si="73"/>
        <v>0</v>
      </c>
      <c r="AH69" s="100">
        <f t="shared" si="73"/>
        <v>0</v>
      </c>
      <c r="AI69" s="100">
        <f t="shared" si="73"/>
        <v>0</v>
      </c>
      <c r="AJ69" s="100">
        <f t="shared" si="73"/>
        <v>0</v>
      </c>
      <c r="AK69" s="100">
        <f t="shared" si="73"/>
        <v>0</v>
      </c>
      <c r="AL69" s="100">
        <f t="shared" si="73"/>
        <v>0</v>
      </c>
      <c r="AM69" s="100">
        <f t="shared" si="73"/>
        <v>0</v>
      </c>
      <c r="AN69" s="100">
        <f t="shared" si="73"/>
        <v>0</v>
      </c>
      <c r="AO69" s="100">
        <f t="shared" si="73"/>
        <v>0</v>
      </c>
      <c r="AP69" s="100">
        <f t="shared" si="73"/>
        <v>0</v>
      </c>
      <c r="AQ69" s="100">
        <f t="shared" si="73"/>
        <v>0</v>
      </c>
      <c r="AR69" s="100">
        <f t="shared" si="73"/>
        <v>0</v>
      </c>
      <c r="AS69" s="100">
        <f t="shared" si="73"/>
        <v>0</v>
      </c>
      <c r="AT69" s="100">
        <f t="shared" si="73"/>
        <v>0</v>
      </c>
      <c r="AU69" s="100">
        <f t="shared" si="73"/>
        <v>0</v>
      </c>
      <c r="AV69" s="100">
        <f t="shared" si="73"/>
        <v>0</v>
      </c>
      <c r="AW69" s="100">
        <f t="shared" si="73"/>
        <v>0</v>
      </c>
      <c r="AX69" s="100">
        <f t="shared" si="73"/>
        <v>0</v>
      </c>
      <c r="AY69" s="100">
        <f t="shared" si="73"/>
        <v>0</v>
      </c>
      <c r="AZ69" s="100">
        <f t="shared" si="73"/>
        <v>0</v>
      </c>
    </row>
    <row r="70" spans="1:52" x14ac:dyDescent="0.25">
      <c r="A70" s="195" t="s">
        <v>1094</v>
      </c>
      <c r="B70" s="196">
        <v>0.99979000004200003</v>
      </c>
      <c r="C70" s="100">
        <f t="shared" ref="C70:AZ70" si="74">IFERROR($B70/C20,0)</f>
        <v>0</v>
      </c>
      <c r="D70" s="100">
        <f t="shared" si="74"/>
        <v>0</v>
      </c>
      <c r="E70" s="100">
        <f t="shared" si="74"/>
        <v>0</v>
      </c>
      <c r="F70" s="100">
        <f t="shared" si="74"/>
        <v>0</v>
      </c>
      <c r="G70" s="100">
        <f t="shared" si="74"/>
        <v>0</v>
      </c>
      <c r="H70" s="100">
        <f t="shared" si="74"/>
        <v>0</v>
      </c>
      <c r="I70" s="100">
        <f t="shared" si="74"/>
        <v>0</v>
      </c>
      <c r="J70" s="100">
        <f t="shared" si="74"/>
        <v>0</v>
      </c>
      <c r="K70" s="100">
        <f t="shared" si="74"/>
        <v>0</v>
      </c>
      <c r="L70" s="100">
        <f t="shared" si="74"/>
        <v>0</v>
      </c>
      <c r="M70" s="100">
        <f t="shared" si="74"/>
        <v>0</v>
      </c>
      <c r="N70" s="100">
        <f t="shared" si="74"/>
        <v>0</v>
      </c>
      <c r="O70" s="100">
        <f t="shared" si="74"/>
        <v>0</v>
      </c>
      <c r="P70" s="100">
        <f t="shared" si="74"/>
        <v>0</v>
      </c>
      <c r="Q70" s="100">
        <f t="shared" si="74"/>
        <v>0</v>
      </c>
      <c r="R70" s="100">
        <f t="shared" si="74"/>
        <v>0</v>
      </c>
      <c r="S70" s="100">
        <f t="shared" si="74"/>
        <v>0</v>
      </c>
      <c r="T70" s="100">
        <f t="shared" si="74"/>
        <v>0</v>
      </c>
      <c r="U70" s="100">
        <f t="shared" si="74"/>
        <v>0</v>
      </c>
      <c r="V70" s="100">
        <f t="shared" si="74"/>
        <v>0</v>
      </c>
      <c r="W70" s="100">
        <f t="shared" si="74"/>
        <v>0</v>
      </c>
      <c r="X70" s="100">
        <f t="shared" si="74"/>
        <v>0</v>
      </c>
      <c r="Y70" s="100">
        <f t="shared" si="74"/>
        <v>0</v>
      </c>
      <c r="Z70" s="100">
        <f t="shared" si="74"/>
        <v>0</v>
      </c>
      <c r="AA70" s="100">
        <f t="shared" si="74"/>
        <v>0</v>
      </c>
      <c r="AB70" s="100">
        <f t="shared" si="74"/>
        <v>0</v>
      </c>
      <c r="AC70" s="100">
        <f t="shared" si="74"/>
        <v>0</v>
      </c>
      <c r="AD70" s="100">
        <f t="shared" si="74"/>
        <v>0</v>
      </c>
      <c r="AE70" s="100">
        <f t="shared" si="74"/>
        <v>0</v>
      </c>
      <c r="AF70" s="100">
        <f t="shared" si="74"/>
        <v>0</v>
      </c>
      <c r="AG70" s="100">
        <f t="shared" si="74"/>
        <v>0</v>
      </c>
      <c r="AH70" s="100">
        <f t="shared" si="74"/>
        <v>0</v>
      </c>
      <c r="AI70" s="100">
        <f t="shared" si="74"/>
        <v>0</v>
      </c>
      <c r="AJ70" s="100">
        <f t="shared" si="74"/>
        <v>0</v>
      </c>
      <c r="AK70" s="100">
        <f t="shared" si="74"/>
        <v>0</v>
      </c>
      <c r="AL70" s="100">
        <f t="shared" si="74"/>
        <v>0</v>
      </c>
      <c r="AM70" s="100">
        <f t="shared" si="74"/>
        <v>0</v>
      </c>
      <c r="AN70" s="100">
        <f t="shared" si="74"/>
        <v>0</v>
      </c>
      <c r="AO70" s="100">
        <f t="shared" si="74"/>
        <v>0</v>
      </c>
      <c r="AP70" s="100">
        <f t="shared" si="74"/>
        <v>0</v>
      </c>
      <c r="AQ70" s="100">
        <f t="shared" si="74"/>
        <v>0</v>
      </c>
      <c r="AR70" s="100">
        <f t="shared" si="74"/>
        <v>0</v>
      </c>
      <c r="AS70" s="100">
        <f t="shared" si="74"/>
        <v>0</v>
      </c>
      <c r="AT70" s="100">
        <f t="shared" si="74"/>
        <v>0</v>
      </c>
      <c r="AU70" s="100">
        <f t="shared" si="74"/>
        <v>0</v>
      </c>
      <c r="AV70" s="100">
        <f t="shared" si="74"/>
        <v>0</v>
      </c>
      <c r="AW70" s="100">
        <f t="shared" si="74"/>
        <v>0</v>
      </c>
      <c r="AX70" s="100">
        <f t="shared" si="74"/>
        <v>0</v>
      </c>
      <c r="AY70" s="100">
        <f t="shared" si="74"/>
        <v>0</v>
      </c>
      <c r="AZ70" s="100">
        <f t="shared" si="74"/>
        <v>0</v>
      </c>
    </row>
    <row r="71" spans="1:52" x14ac:dyDescent="0.25">
      <c r="A71" s="195" t="s">
        <v>1095</v>
      </c>
      <c r="B71" s="196">
        <v>2.0999995799999999E-4</v>
      </c>
      <c r="C71" s="100">
        <f t="shared" ref="C71:AZ71" si="75">IFERROR($B71/C29,0)</f>
        <v>0</v>
      </c>
      <c r="D71" s="100">
        <f t="shared" si="75"/>
        <v>0</v>
      </c>
      <c r="E71" s="100">
        <f t="shared" si="75"/>
        <v>0</v>
      </c>
      <c r="F71" s="100">
        <f t="shared" si="75"/>
        <v>0</v>
      </c>
      <c r="G71" s="100">
        <f t="shared" si="75"/>
        <v>0</v>
      </c>
      <c r="H71" s="100">
        <f t="shared" si="75"/>
        <v>0</v>
      </c>
      <c r="I71" s="100">
        <f t="shared" si="75"/>
        <v>0</v>
      </c>
      <c r="J71" s="100">
        <f t="shared" si="75"/>
        <v>0</v>
      </c>
      <c r="K71" s="100">
        <f t="shared" si="75"/>
        <v>0</v>
      </c>
      <c r="L71" s="100">
        <f t="shared" si="75"/>
        <v>0</v>
      </c>
      <c r="M71" s="100">
        <f t="shared" si="75"/>
        <v>0</v>
      </c>
      <c r="N71" s="100">
        <f t="shared" si="75"/>
        <v>0</v>
      </c>
      <c r="O71" s="100">
        <f t="shared" si="75"/>
        <v>0</v>
      </c>
      <c r="P71" s="100">
        <f t="shared" si="75"/>
        <v>0</v>
      </c>
      <c r="Q71" s="100">
        <f t="shared" si="75"/>
        <v>0</v>
      </c>
      <c r="R71" s="100">
        <f t="shared" si="75"/>
        <v>0</v>
      </c>
      <c r="S71" s="100">
        <f t="shared" si="75"/>
        <v>0</v>
      </c>
      <c r="T71" s="100">
        <f t="shared" si="75"/>
        <v>0</v>
      </c>
      <c r="U71" s="100">
        <f t="shared" si="75"/>
        <v>0</v>
      </c>
      <c r="V71" s="100">
        <f t="shared" si="75"/>
        <v>0</v>
      </c>
      <c r="W71" s="100">
        <f t="shared" si="75"/>
        <v>0</v>
      </c>
      <c r="X71" s="100">
        <f t="shared" si="75"/>
        <v>0</v>
      </c>
      <c r="Y71" s="100">
        <f t="shared" si="75"/>
        <v>0</v>
      </c>
      <c r="Z71" s="100">
        <f t="shared" si="75"/>
        <v>0</v>
      </c>
      <c r="AA71" s="100">
        <f t="shared" si="75"/>
        <v>0</v>
      </c>
      <c r="AB71" s="100">
        <f t="shared" si="75"/>
        <v>0</v>
      </c>
      <c r="AC71" s="100">
        <f t="shared" si="75"/>
        <v>0</v>
      </c>
      <c r="AD71" s="100">
        <f t="shared" si="75"/>
        <v>0</v>
      </c>
      <c r="AE71" s="100">
        <f t="shared" si="75"/>
        <v>0</v>
      </c>
      <c r="AF71" s="100">
        <f t="shared" si="75"/>
        <v>0</v>
      </c>
      <c r="AG71" s="100">
        <f t="shared" si="75"/>
        <v>0</v>
      </c>
      <c r="AH71" s="100">
        <f t="shared" si="75"/>
        <v>0</v>
      </c>
      <c r="AI71" s="100">
        <f t="shared" si="75"/>
        <v>0</v>
      </c>
      <c r="AJ71" s="100">
        <f t="shared" si="75"/>
        <v>0</v>
      </c>
      <c r="AK71" s="100">
        <f t="shared" si="75"/>
        <v>0</v>
      </c>
      <c r="AL71" s="100">
        <f t="shared" si="75"/>
        <v>0</v>
      </c>
      <c r="AM71" s="100">
        <f t="shared" si="75"/>
        <v>0</v>
      </c>
      <c r="AN71" s="100">
        <f t="shared" si="75"/>
        <v>0</v>
      </c>
      <c r="AO71" s="100">
        <f t="shared" si="75"/>
        <v>0</v>
      </c>
      <c r="AP71" s="100">
        <f t="shared" si="75"/>
        <v>0</v>
      </c>
      <c r="AQ71" s="100">
        <f t="shared" si="75"/>
        <v>0</v>
      </c>
      <c r="AR71" s="100">
        <f t="shared" si="75"/>
        <v>0</v>
      </c>
      <c r="AS71" s="100">
        <f t="shared" si="75"/>
        <v>0</v>
      </c>
      <c r="AT71" s="100">
        <f t="shared" si="75"/>
        <v>0</v>
      </c>
      <c r="AU71" s="100">
        <f t="shared" si="75"/>
        <v>0</v>
      </c>
      <c r="AV71" s="100">
        <f t="shared" si="75"/>
        <v>0</v>
      </c>
      <c r="AW71" s="100">
        <f t="shared" si="75"/>
        <v>0</v>
      </c>
      <c r="AX71" s="100">
        <f t="shared" si="75"/>
        <v>0</v>
      </c>
      <c r="AY71" s="100">
        <f t="shared" si="75"/>
        <v>0</v>
      </c>
      <c r="AZ71" s="100">
        <f t="shared" si="75"/>
        <v>0</v>
      </c>
    </row>
    <row r="72" spans="1:52" x14ac:dyDescent="0.25">
      <c r="A72" s="195" t="s">
        <v>1096</v>
      </c>
      <c r="B72" s="196">
        <v>1</v>
      </c>
      <c r="C72" s="100">
        <f t="shared" ref="C72:AZ72" si="76">IFERROR($B72/C16,0)</f>
        <v>14174.006028</v>
      </c>
      <c r="D72" s="100">
        <f t="shared" si="76"/>
        <v>785.40403200000014</v>
      </c>
      <c r="E72" s="100">
        <f t="shared" si="76"/>
        <v>353.33298000000008</v>
      </c>
      <c r="F72" s="100">
        <f t="shared" si="76"/>
        <v>288.84353400000003</v>
      </c>
      <c r="G72" s="100">
        <f t="shared" si="76"/>
        <v>350.61503400000004</v>
      </c>
      <c r="H72" s="100">
        <f t="shared" si="76"/>
        <v>295.92666600000001</v>
      </c>
      <c r="I72" s="100">
        <f t="shared" si="76"/>
        <v>788.94559800000002</v>
      </c>
      <c r="J72" s="100">
        <f t="shared" si="76"/>
        <v>261.66407400000003</v>
      </c>
      <c r="K72" s="100">
        <f t="shared" si="76"/>
        <v>3027.8742060000004</v>
      </c>
      <c r="L72" s="100">
        <f t="shared" si="76"/>
        <v>551.33122800000001</v>
      </c>
      <c r="M72" s="100">
        <f t="shared" si="76"/>
        <v>741.42272400000013</v>
      </c>
      <c r="N72" s="100">
        <f t="shared" si="76"/>
        <v>319.23511200000002</v>
      </c>
      <c r="O72" s="100">
        <f t="shared" si="76"/>
        <v>294.44415000000004</v>
      </c>
      <c r="P72" s="100">
        <f t="shared" si="76"/>
        <v>261.82879800000006</v>
      </c>
      <c r="Q72" s="100">
        <f t="shared" si="76"/>
        <v>193.88014800000002</v>
      </c>
      <c r="R72" s="100">
        <f t="shared" si="76"/>
        <v>1228.1821440000001</v>
      </c>
      <c r="S72" s="100">
        <f t="shared" si="76"/>
        <v>592.26514200000008</v>
      </c>
      <c r="T72" s="100">
        <f t="shared" si="76"/>
        <v>370.87608600000004</v>
      </c>
      <c r="U72" s="100">
        <f t="shared" si="76"/>
        <v>1180.3298220000001</v>
      </c>
      <c r="V72" s="100">
        <f t="shared" si="76"/>
        <v>645.38863200000014</v>
      </c>
      <c r="W72" s="100">
        <f t="shared" si="76"/>
        <v>511.38565800000003</v>
      </c>
      <c r="X72" s="100">
        <f t="shared" si="76"/>
        <v>396.07885800000003</v>
      </c>
      <c r="Y72" s="100">
        <f t="shared" si="76"/>
        <v>734.75140199999998</v>
      </c>
      <c r="Z72" s="100">
        <f t="shared" si="76"/>
        <v>674.05060800000001</v>
      </c>
      <c r="AA72" s="100">
        <f t="shared" si="76"/>
        <v>870.56634000000008</v>
      </c>
      <c r="AB72" s="100">
        <f t="shared" si="76"/>
        <v>23093.398818000001</v>
      </c>
      <c r="AC72" s="100">
        <f t="shared" si="76"/>
        <v>1390.7647320000001</v>
      </c>
      <c r="AD72" s="100">
        <f t="shared" si="76"/>
        <v>579.910842</v>
      </c>
      <c r="AE72" s="100">
        <f t="shared" si="76"/>
        <v>484.28856000000002</v>
      </c>
      <c r="AF72" s="100">
        <f t="shared" si="76"/>
        <v>554.70807000000013</v>
      </c>
      <c r="AG72" s="100">
        <f t="shared" si="76"/>
        <v>529.834746</v>
      </c>
      <c r="AH72" s="100">
        <f t="shared" si="76"/>
        <v>1228.3468680000001</v>
      </c>
      <c r="AI72" s="100">
        <f t="shared" si="76"/>
        <v>374.50001399999996</v>
      </c>
      <c r="AJ72" s="100">
        <f t="shared" si="76"/>
        <v>4812.4116600000007</v>
      </c>
      <c r="AK72" s="100">
        <f t="shared" si="76"/>
        <v>1228.9234019999999</v>
      </c>
      <c r="AL72" s="100">
        <f t="shared" si="76"/>
        <v>810.44208000000003</v>
      </c>
      <c r="AM72" s="100">
        <f t="shared" si="76"/>
        <v>535.43536200000005</v>
      </c>
      <c r="AN72" s="100">
        <f t="shared" si="76"/>
        <v>489.31264199999993</v>
      </c>
      <c r="AO72" s="100">
        <f t="shared" si="76"/>
        <v>435.94206600000007</v>
      </c>
      <c r="AP72" s="100">
        <f t="shared" si="76"/>
        <v>398.63208000000003</v>
      </c>
      <c r="AQ72" s="100">
        <f t="shared" si="76"/>
        <v>1688.9151720000002</v>
      </c>
      <c r="AR72" s="100">
        <f t="shared" si="76"/>
        <v>1028.7013800000002</v>
      </c>
      <c r="AS72" s="100">
        <f t="shared" si="76"/>
        <v>514.76250000000005</v>
      </c>
      <c r="AT72" s="100">
        <f t="shared" si="76"/>
        <v>2126.9986500000005</v>
      </c>
      <c r="AU72" s="100">
        <f t="shared" si="76"/>
        <v>1018.982664</v>
      </c>
      <c r="AV72" s="100">
        <f t="shared" si="76"/>
        <v>826.83211800000015</v>
      </c>
      <c r="AW72" s="100">
        <f t="shared" si="76"/>
        <v>629.57512800000006</v>
      </c>
      <c r="AX72" s="100">
        <f t="shared" si="76"/>
        <v>1405.1780820000001</v>
      </c>
      <c r="AY72" s="100">
        <f t="shared" si="76"/>
        <v>1325.1222180000002</v>
      </c>
      <c r="AZ72" s="100">
        <f t="shared" si="76"/>
        <v>1400.4010860000001</v>
      </c>
    </row>
    <row r="73" spans="1:52" x14ac:dyDescent="0.25">
      <c r="A73" s="195" t="s">
        <v>1097</v>
      </c>
      <c r="B73" s="196">
        <v>1</v>
      </c>
      <c r="C73" s="100">
        <f t="shared" ref="C73:AZ73" si="77">IFERROR($B73/C7,0)</f>
        <v>156.89465791999999</v>
      </c>
      <c r="D73" s="100">
        <f t="shared" si="77"/>
        <v>8.6937804800000009</v>
      </c>
      <c r="E73" s="100">
        <f t="shared" si="77"/>
        <v>3.9111071999999996</v>
      </c>
      <c r="F73" s="100">
        <f t="shared" si="77"/>
        <v>3.19726176</v>
      </c>
      <c r="G73" s="100">
        <f t="shared" si="77"/>
        <v>3.8810217599999999</v>
      </c>
      <c r="H73" s="100">
        <f t="shared" si="77"/>
        <v>3.2756662400000001</v>
      </c>
      <c r="I73" s="100">
        <f t="shared" si="77"/>
        <v>8.7329827200000008</v>
      </c>
      <c r="J73" s="100">
        <f t="shared" si="77"/>
        <v>2.89640736</v>
      </c>
      <c r="K73" s="100">
        <f t="shared" si="77"/>
        <v>33.516091840000001</v>
      </c>
      <c r="L73" s="100">
        <f t="shared" si="77"/>
        <v>6.1027859200000005</v>
      </c>
      <c r="M73" s="100">
        <f t="shared" si="77"/>
        <v>8.2069433599999986</v>
      </c>
      <c r="N73" s="100">
        <f t="shared" si="77"/>
        <v>3.5336716800000003</v>
      </c>
      <c r="O73" s="100">
        <f t="shared" si="77"/>
        <v>3.2592559999999997</v>
      </c>
      <c r="P73" s="100">
        <f t="shared" si="77"/>
        <v>2.8982307199999995</v>
      </c>
      <c r="Q73" s="100">
        <f t="shared" si="77"/>
        <v>2.1460947199999998</v>
      </c>
      <c r="R73" s="100">
        <f t="shared" si="77"/>
        <v>13.594972160000001</v>
      </c>
      <c r="S73" s="100">
        <f t="shared" si="77"/>
        <v>6.5558908799999989</v>
      </c>
      <c r="T73" s="100">
        <f t="shared" si="77"/>
        <v>4.1052950400000006</v>
      </c>
      <c r="U73" s="100">
        <f t="shared" si="77"/>
        <v>13.065286079999998</v>
      </c>
      <c r="V73" s="100">
        <f t="shared" si="77"/>
        <v>7.1439244799999999</v>
      </c>
      <c r="W73" s="100">
        <f t="shared" si="77"/>
        <v>5.6606211200000009</v>
      </c>
      <c r="X73" s="100">
        <f t="shared" si="77"/>
        <v>4.3842691199999999</v>
      </c>
      <c r="Y73" s="100">
        <f t="shared" si="77"/>
        <v>8.1330972800000012</v>
      </c>
      <c r="Z73" s="100">
        <f t="shared" si="77"/>
        <v>7.4611891199999993</v>
      </c>
      <c r="AA73" s="100">
        <f t="shared" si="77"/>
        <v>9.6364576000000017</v>
      </c>
      <c r="AB73" s="100">
        <f t="shared" si="77"/>
        <v>255.62504351999999</v>
      </c>
      <c r="AC73" s="100">
        <f t="shared" si="77"/>
        <v>15.394628479999998</v>
      </c>
      <c r="AD73" s="100">
        <f t="shared" si="77"/>
        <v>6.4191388799999993</v>
      </c>
      <c r="AE73" s="100">
        <f t="shared" si="77"/>
        <v>5.3606784000000003</v>
      </c>
      <c r="AF73" s="100">
        <f t="shared" si="77"/>
        <v>6.1401648</v>
      </c>
      <c r="AG73" s="100">
        <f t="shared" si="77"/>
        <v>5.8648374399999987</v>
      </c>
      <c r="AH73" s="100">
        <f t="shared" si="77"/>
        <v>13.596795520000001</v>
      </c>
      <c r="AI73" s="100">
        <f t="shared" si="77"/>
        <v>4.1454089599999993</v>
      </c>
      <c r="AJ73" s="100">
        <f t="shared" si="77"/>
        <v>53.269462399999995</v>
      </c>
      <c r="AK73" s="100">
        <f t="shared" si="77"/>
        <v>13.603177280000001</v>
      </c>
      <c r="AL73" s="100">
        <f t="shared" si="77"/>
        <v>8.970931199999999</v>
      </c>
      <c r="AM73" s="100">
        <f t="shared" si="77"/>
        <v>5.9268316800000003</v>
      </c>
      <c r="AN73" s="100">
        <f t="shared" si="77"/>
        <v>5.41629088</v>
      </c>
      <c r="AO73" s="100">
        <f t="shared" si="77"/>
        <v>4.8255222399999997</v>
      </c>
      <c r="AP73" s="100">
        <f t="shared" si="77"/>
        <v>4.4125312000000001</v>
      </c>
      <c r="AQ73" s="100">
        <f t="shared" si="77"/>
        <v>18.69491008</v>
      </c>
      <c r="AR73" s="100">
        <f t="shared" si="77"/>
        <v>11.3868832</v>
      </c>
      <c r="AS73" s="100">
        <f t="shared" si="77"/>
        <v>5.6979999999999995</v>
      </c>
      <c r="AT73" s="100">
        <f t="shared" si="77"/>
        <v>23.544136000000002</v>
      </c>
      <c r="AU73" s="100">
        <f t="shared" si="77"/>
        <v>11.279304960000001</v>
      </c>
      <c r="AV73" s="100">
        <f t="shared" si="77"/>
        <v>9.1523555200000004</v>
      </c>
      <c r="AW73" s="100">
        <f t="shared" si="77"/>
        <v>6.9688819200000003</v>
      </c>
      <c r="AX73" s="100">
        <f t="shared" si="77"/>
        <v>15.55417248</v>
      </c>
      <c r="AY73" s="100">
        <f t="shared" si="77"/>
        <v>14.668019519999998</v>
      </c>
      <c r="AZ73" s="100">
        <f t="shared" si="77"/>
        <v>15.501295039999999</v>
      </c>
    </row>
    <row r="74" spans="1:52" x14ac:dyDescent="0.25">
      <c r="A74" s="195" t="s">
        <v>1098</v>
      </c>
      <c r="B74" s="199">
        <v>1.9000000000000001E-8</v>
      </c>
      <c r="C74" s="100">
        <f t="shared" ref="C74:AZ74" si="78">IFERROR($B74/C12,0)</f>
        <v>0</v>
      </c>
      <c r="D74" s="100">
        <f t="shared" si="78"/>
        <v>0</v>
      </c>
      <c r="E74" s="100">
        <f t="shared" si="78"/>
        <v>0</v>
      </c>
      <c r="F74" s="100">
        <f t="shared" si="78"/>
        <v>0</v>
      </c>
      <c r="G74" s="100">
        <f t="shared" si="78"/>
        <v>0</v>
      </c>
      <c r="H74" s="100">
        <f t="shared" si="78"/>
        <v>0</v>
      </c>
      <c r="I74" s="100">
        <f t="shared" si="78"/>
        <v>0</v>
      </c>
      <c r="J74" s="100">
        <f t="shared" si="78"/>
        <v>0</v>
      </c>
      <c r="K74" s="100">
        <f t="shared" si="78"/>
        <v>0</v>
      </c>
      <c r="L74" s="100">
        <f t="shared" si="78"/>
        <v>0</v>
      </c>
      <c r="M74" s="100">
        <f t="shared" si="78"/>
        <v>0</v>
      </c>
      <c r="N74" s="100">
        <f t="shared" si="78"/>
        <v>0</v>
      </c>
      <c r="O74" s="100">
        <f t="shared" si="78"/>
        <v>0</v>
      </c>
      <c r="P74" s="100">
        <f t="shared" si="78"/>
        <v>0</v>
      </c>
      <c r="Q74" s="100">
        <f t="shared" si="78"/>
        <v>0</v>
      </c>
      <c r="R74" s="100">
        <f t="shared" si="78"/>
        <v>0</v>
      </c>
      <c r="S74" s="100">
        <f t="shared" si="78"/>
        <v>0</v>
      </c>
      <c r="T74" s="100">
        <f t="shared" si="78"/>
        <v>0</v>
      </c>
      <c r="U74" s="100">
        <f t="shared" si="78"/>
        <v>0</v>
      </c>
      <c r="V74" s="100">
        <f t="shared" si="78"/>
        <v>0</v>
      </c>
      <c r="W74" s="100">
        <f t="shared" si="78"/>
        <v>0</v>
      </c>
      <c r="X74" s="100">
        <f t="shared" si="78"/>
        <v>0</v>
      </c>
      <c r="Y74" s="100">
        <f t="shared" si="78"/>
        <v>0</v>
      </c>
      <c r="Z74" s="100">
        <f t="shared" si="78"/>
        <v>0</v>
      </c>
      <c r="AA74" s="100">
        <f t="shared" si="78"/>
        <v>0</v>
      </c>
      <c r="AB74" s="100">
        <f t="shared" si="78"/>
        <v>0</v>
      </c>
      <c r="AC74" s="100">
        <f t="shared" si="78"/>
        <v>0</v>
      </c>
      <c r="AD74" s="100">
        <f t="shared" si="78"/>
        <v>0</v>
      </c>
      <c r="AE74" s="100">
        <f t="shared" si="78"/>
        <v>0</v>
      </c>
      <c r="AF74" s="100">
        <f t="shared" si="78"/>
        <v>0</v>
      </c>
      <c r="AG74" s="100">
        <f t="shared" si="78"/>
        <v>0</v>
      </c>
      <c r="AH74" s="100">
        <f t="shared" si="78"/>
        <v>0</v>
      </c>
      <c r="AI74" s="100">
        <f t="shared" si="78"/>
        <v>0</v>
      </c>
      <c r="AJ74" s="100">
        <f t="shared" si="78"/>
        <v>0</v>
      </c>
      <c r="AK74" s="100">
        <f t="shared" si="78"/>
        <v>0</v>
      </c>
      <c r="AL74" s="100">
        <f t="shared" si="78"/>
        <v>0</v>
      </c>
      <c r="AM74" s="100">
        <f t="shared" si="78"/>
        <v>0</v>
      </c>
      <c r="AN74" s="100">
        <f t="shared" si="78"/>
        <v>0</v>
      </c>
      <c r="AO74" s="100">
        <f t="shared" si="78"/>
        <v>0</v>
      </c>
      <c r="AP74" s="100">
        <f t="shared" si="78"/>
        <v>0</v>
      </c>
      <c r="AQ74" s="100">
        <f t="shared" si="78"/>
        <v>0</v>
      </c>
      <c r="AR74" s="100">
        <f t="shared" si="78"/>
        <v>0</v>
      </c>
      <c r="AS74" s="100">
        <f t="shared" si="78"/>
        <v>0</v>
      </c>
      <c r="AT74" s="100">
        <f t="shared" si="78"/>
        <v>0</v>
      </c>
      <c r="AU74" s="100">
        <f t="shared" si="78"/>
        <v>0</v>
      </c>
      <c r="AV74" s="100">
        <f t="shared" si="78"/>
        <v>0</v>
      </c>
      <c r="AW74" s="100">
        <f t="shared" si="78"/>
        <v>0</v>
      </c>
      <c r="AX74" s="100">
        <f t="shared" si="78"/>
        <v>0</v>
      </c>
      <c r="AY74" s="100">
        <f t="shared" si="78"/>
        <v>0</v>
      </c>
      <c r="AZ74" s="100">
        <f t="shared" si="78"/>
        <v>0</v>
      </c>
    </row>
    <row r="75" spans="1:52" x14ac:dyDescent="0.25">
      <c r="A75" s="195" t="s">
        <v>1099</v>
      </c>
      <c r="B75" s="196">
        <v>1</v>
      </c>
      <c r="C75" s="100">
        <f t="shared" ref="C75:AZ75" si="79">IFERROR($B75/C18,0)</f>
        <v>27144.558714000003</v>
      </c>
      <c r="D75" s="100">
        <f t="shared" si="79"/>
        <v>1504.1228160000001</v>
      </c>
      <c r="E75" s="100">
        <f t="shared" si="79"/>
        <v>676.66599000000019</v>
      </c>
      <c r="F75" s="100">
        <f t="shared" si="79"/>
        <v>553.16261699999995</v>
      </c>
      <c r="G75" s="100">
        <f t="shared" si="79"/>
        <v>671.46086700000012</v>
      </c>
      <c r="H75" s="100">
        <f t="shared" si="79"/>
        <v>566.72748300000001</v>
      </c>
      <c r="I75" s="100">
        <f t="shared" si="79"/>
        <v>1510.9052490000001</v>
      </c>
      <c r="J75" s="100">
        <f t="shared" si="79"/>
        <v>501.11138700000004</v>
      </c>
      <c r="K75" s="100">
        <f t="shared" si="79"/>
        <v>5798.6647530000009</v>
      </c>
      <c r="L75" s="100">
        <f t="shared" si="79"/>
        <v>1055.8513140000002</v>
      </c>
      <c r="M75" s="100">
        <f t="shared" si="79"/>
        <v>1419.8944620000002</v>
      </c>
      <c r="N75" s="100">
        <f t="shared" si="79"/>
        <v>611.36535600000002</v>
      </c>
      <c r="O75" s="100">
        <f t="shared" si="79"/>
        <v>563.88832500000001</v>
      </c>
      <c r="P75" s="100">
        <f t="shared" si="79"/>
        <v>501.42684899999995</v>
      </c>
      <c r="Q75" s="100">
        <f t="shared" si="79"/>
        <v>371.29877400000004</v>
      </c>
      <c r="R75" s="100">
        <f t="shared" si="79"/>
        <v>2352.084672</v>
      </c>
      <c r="S75" s="100">
        <f t="shared" si="79"/>
        <v>1134.2436210000001</v>
      </c>
      <c r="T75" s="100">
        <f t="shared" si="79"/>
        <v>710.26269300000013</v>
      </c>
      <c r="U75" s="100">
        <f t="shared" si="79"/>
        <v>2260.4429610000002</v>
      </c>
      <c r="V75" s="100">
        <f t="shared" si="79"/>
        <v>1235.980116</v>
      </c>
      <c r="W75" s="100">
        <f t="shared" si="79"/>
        <v>979.35177900000008</v>
      </c>
      <c r="X75" s="100">
        <f t="shared" si="79"/>
        <v>758.52837900000009</v>
      </c>
      <c r="Y75" s="100">
        <f t="shared" si="79"/>
        <v>1407.1182510000001</v>
      </c>
      <c r="Z75" s="100">
        <f t="shared" si="79"/>
        <v>1290.870504</v>
      </c>
      <c r="AA75" s="100">
        <f t="shared" si="79"/>
        <v>1667.21667</v>
      </c>
      <c r="AB75" s="100">
        <f t="shared" si="79"/>
        <v>44226.037359000002</v>
      </c>
      <c r="AC75" s="100">
        <f t="shared" si="79"/>
        <v>2663.4456660000001</v>
      </c>
      <c r="AD75" s="100">
        <f t="shared" si="79"/>
        <v>1110.5839709999998</v>
      </c>
      <c r="AE75" s="100">
        <f t="shared" si="79"/>
        <v>927.45827999999995</v>
      </c>
      <c r="AF75" s="100">
        <f t="shared" si="79"/>
        <v>1062.3182850000001</v>
      </c>
      <c r="AG75" s="100">
        <f t="shared" si="79"/>
        <v>1014.6835229999998</v>
      </c>
      <c r="AH75" s="100">
        <f t="shared" si="79"/>
        <v>2352.400134</v>
      </c>
      <c r="AI75" s="100">
        <f t="shared" si="79"/>
        <v>717.20285700000011</v>
      </c>
      <c r="AJ75" s="100">
        <f t="shared" si="79"/>
        <v>9216.2223299999987</v>
      </c>
      <c r="AK75" s="100">
        <f t="shared" si="79"/>
        <v>2353.5042510000003</v>
      </c>
      <c r="AL75" s="100">
        <f t="shared" si="79"/>
        <v>1552.0730400000002</v>
      </c>
      <c r="AM75" s="100">
        <f t="shared" si="79"/>
        <v>1025.4092310000001</v>
      </c>
      <c r="AN75" s="100">
        <f t="shared" si="79"/>
        <v>937.07987100000003</v>
      </c>
      <c r="AO75" s="100">
        <f t="shared" si="79"/>
        <v>834.870183</v>
      </c>
      <c r="AP75" s="100">
        <f t="shared" si="79"/>
        <v>763.41804000000002</v>
      </c>
      <c r="AQ75" s="100">
        <f t="shared" si="79"/>
        <v>3234.4318860000003</v>
      </c>
      <c r="AR75" s="100">
        <f t="shared" si="79"/>
        <v>1970.0601900000001</v>
      </c>
      <c r="AS75" s="100">
        <f t="shared" si="79"/>
        <v>985.81875000000014</v>
      </c>
      <c r="AT75" s="100">
        <f t="shared" si="79"/>
        <v>4073.4030750000011</v>
      </c>
      <c r="AU75" s="100">
        <f t="shared" si="79"/>
        <v>1951.447932</v>
      </c>
      <c r="AV75" s="100">
        <f t="shared" si="79"/>
        <v>1583.4615090000002</v>
      </c>
      <c r="AW75" s="100">
        <f t="shared" si="79"/>
        <v>1205.6957640000003</v>
      </c>
      <c r="AX75" s="100">
        <f t="shared" si="79"/>
        <v>2691.0485910000002</v>
      </c>
      <c r="AY75" s="100">
        <f t="shared" si="79"/>
        <v>2537.7340590000003</v>
      </c>
      <c r="AZ75" s="100">
        <f t="shared" si="79"/>
        <v>2681.9001930000004</v>
      </c>
    </row>
    <row r="76" spans="1:52" x14ac:dyDescent="0.25">
      <c r="A76" s="195" t="s">
        <v>1100</v>
      </c>
      <c r="B76" s="196">
        <v>1.339E-6</v>
      </c>
      <c r="C76" s="100">
        <f t="shared" ref="C76:AZ76" si="80">IFERROR($B76/C27,0)</f>
        <v>0</v>
      </c>
      <c r="D76" s="100">
        <f t="shared" si="80"/>
        <v>0</v>
      </c>
      <c r="E76" s="100">
        <f t="shared" si="80"/>
        <v>0</v>
      </c>
      <c r="F76" s="100">
        <f t="shared" si="80"/>
        <v>0</v>
      </c>
      <c r="G76" s="100">
        <f t="shared" si="80"/>
        <v>0</v>
      </c>
      <c r="H76" s="100">
        <f t="shared" si="80"/>
        <v>0</v>
      </c>
      <c r="I76" s="100">
        <f t="shared" si="80"/>
        <v>0</v>
      </c>
      <c r="J76" s="100">
        <f t="shared" si="80"/>
        <v>0</v>
      </c>
      <c r="K76" s="100">
        <f t="shared" si="80"/>
        <v>0</v>
      </c>
      <c r="L76" s="100">
        <f t="shared" si="80"/>
        <v>0</v>
      </c>
      <c r="M76" s="100">
        <f t="shared" si="80"/>
        <v>0</v>
      </c>
      <c r="N76" s="100">
        <f t="shared" si="80"/>
        <v>0</v>
      </c>
      <c r="O76" s="100">
        <f t="shared" si="80"/>
        <v>0</v>
      </c>
      <c r="P76" s="100">
        <f t="shared" si="80"/>
        <v>0</v>
      </c>
      <c r="Q76" s="100">
        <f t="shared" si="80"/>
        <v>0</v>
      </c>
      <c r="R76" s="100">
        <f t="shared" si="80"/>
        <v>0</v>
      </c>
      <c r="S76" s="100">
        <f t="shared" si="80"/>
        <v>0</v>
      </c>
      <c r="T76" s="100">
        <f t="shared" si="80"/>
        <v>0</v>
      </c>
      <c r="U76" s="100">
        <f t="shared" si="80"/>
        <v>0</v>
      </c>
      <c r="V76" s="100">
        <f t="shared" si="80"/>
        <v>0</v>
      </c>
      <c r="W76" s="100">
        <f t="shared" si="80"/>
        <v>0</v>
      </c>
      <c r="X76" s="100">
        <f t="shared" si="80"/>
        <v>0</v>
      </c>
      <c r="Y76" s="100">
        <f t="shared" si="80"/>
        <v>0</v>
      </c>
      <c r="Z76" s="100">
        <f t="shared" si="80"/>
        <v>0</v>
      </c>
      <c r="AA76" s="100">
        <f t="shared" si="80"/>
        <v>0</v>
      </c>
      <c r="AB76" s="100">
        <f t="shared" si="80"/>
        <v>0</v>
      </c>
      <c r="AC76" s="100">
        <f t="shared" si="80"/>
        <v>0</v>
      </c>
      <c r="AD76" s="100">
        <f t="shared" si="80"/>
        <v>0</v>
      </c>
      <c r="AE76" s="100">
        <f t="shared" si="80"/>
        <v>0</v>
      </c>
      <c r="AF76" s="100">
        <f t="shared" si="80"/>
        <v>0</v>
      </c>
      <c r="AG76" s="100">
        <f t="shared" si="80"/>
        <v>0</v>
      </c>
      <c r="AH76" s="100">
        <f t="shared" si="80"/>
        <v>0</v>
      </c>
      <c r="AI76" s="100">
        <f t="shared" si="80"/>
        <v>0</v>
      </c>
      <c r="AJ76" s="100">
        <f t="shared" si="80"/>
        <v>0</v>
      </c>
      <c r="AK76" s="100">
        <f t="shared" si="80"/>
        <v>0</v>
      </c>
      <c r="AL76" s="100">
        <f t="shared" si="80"/>
        <v>0</v>
      </c>
      <c r="AM76" s="100">
        <f t="shared" si="80"/>
        <v>0</v>
      </c>
      <c r="AN76" s="100">
        <f t="shared" si="80"/>
        <v>0</v>
      </c>
      <c r="AO76" s="100">
        <f t="shared" si="80"/>
        <v>0</v>
      </c>
      <c r="AP76" s="100">
        <f t="shared" si="80"/>
        <v>0</v>
      </c>
      <c r="AQ76" s="100">
        <f t="shared" si="80"/>
        <v>0</v>
      </c>
      <c r="AR76" s="100">
        <f t="shared" si="80"/>
        <v>0</v>
      </c>
      <c r="AS76" s="100">
        <f t="shared" si="80"/>
        <v>0</v>
      </c>
      <c r="AT76" s="100">
        <f t="shared" si="80"/>
        <v>0</v>
      </c>
      <c r="AU76" s="100">
        <f t="shared" si="80"/>
        <v>0</v>
      </c>
      <c r="AV76" s="100">
        <f t="shared" si="80"/>
        <v>0</v>
      </c>
      <c r="AW76" s="100">
        <f t="shared" si="80"/>
        <v>0</v>
      </c>
      <c r="AX76" s="100">
        <f t="shared" si="80"/>
        <v>0</v>
      </c>
      <c r="AY76" s="100">
        <f t="shared" si="80"/>
        <v>0</v>
      </c>
      <c r="AZ76" s="100">
        <f t="shared" si="80"/>
        <v>0</v>
      </c>
    </row>
  </sheetData>
  <sheetProtection algorithmName="SHA-512" hashValue="9m0h0YrrTXlRtXN+YFlK0zHaBRF1j+x0M1OYU73NPx1RQYdbhSJ+u0MvFQ+nx8waFlFleTphWsvtOsCOW2+q2w==" saltValue="QH4E4lAIrfR+tlGOsEpnxw==" spinCount="100000" sheet="1" objects="1" scenarios="1" formatColumns="0" formatRows="0" autoFilter="0"/>
  <autoFilter ref="A1:AZ76" xr:uid="{00000000-0009-0000-0000-00000300000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Z76"/>
  <sheetViews>
    <sheetView zoomScale="90" zoomScaleNormal="90" workbookViewId="0">
      <pane xSplit="2" ySplit="1" topLeftCell="C2" activePane="bottomRight" state="frozen"/>
      <selection activeCell="AC53" sqref="AC53"/>
      <selection pane="topRight" activeCell="AC53" sqref="AC53"/>
      <selection pane="bottomLeft" activeCell="AC53" sqref="AC53"/>
      <selection pane="bottomRight" activeCell="C2" sqref="C2"/>
    </sheetView>
  </sheetViews>
  <sheetFormatPr defaultColWidth="9" defaultRowHeight="15" x14ac:dyDescent="0.25"/>
  <cols>
    <col min="1" max="1" width="14.5703125" style="75" bestFit="1" customWidth="1"/>
    <col min="2" max="2" width="11.7109375" style="75" bestFit="1" customWidth="1"/>
    <col min="3" max="3" width="20.85546875" style="77" bestFit="1" customWidth="1"/>
    <col min="4" max="4" width="11" style="77" bestFit="1" customWidth="1"/>
    <col min="5" max="5" width="10.85546875" style="77" bestFit="1" customWidth="1"/>
    <col min="6" max="6" width="10.140625" style="77" bestFit="1" customWidth="1"/>
    <col min="7" max="7" width="10.85546875" style="77" bestFit="1" customWidth="1"/>
    <col min="8" max="8" width="10.140625" style="77" bestFit="1" customWidth="1"/>
    <col min="9" max="9" width="10.28515625" style="77" bestFit="1" customWidth="1"/>
    <col min="10" max="10" width="9.5703125" style="77" bestFit="1" customWidth="1"/>
    <col min="11" max="11" width="11" style="77" bestFit="1" customWidth="1"/>
    <col min="12" max="12" width="10.140625" style="77" bestFit="1" customWidth="1"/>
    <col min="13" max="13" width="11.85546875" style="77" bestFit="1" customWidth="1"/>
    <col min="14" max="14" width="9.28515625" style="77" bestFit="1" customWidth="1"/>
    <col min="15" max="16" width="10" style="77" bestFit="1" customWidth="1"/>
    <col min="17" max="17" width="11.140625" style="77" bestFit="1" customWidth="1"/>
    <col min="18" max="18" width="11.28515625" style="77" bestFit="1" customWidth="1"/>
    <col min="19" max="19" width="10.140625" style="77" bestFit="1" customWidth="1"/>
    <col min="20" max="20" width="9.42578125" style="77" bestFit="1" customWidth="1"/>
    <col min="21" max="21" width="10.85546875" style="77" bestFit="1" customWidth="1"/>
    <col min="22" max="22" width="11.28515625" style="77" bestFit="1" customWidth="1"/>
    <col min="23" max="23" width="10.28515625" style="77" bestFit="1" customWidth="1"/>
    <col min="24" max="24" width="11" style="77" bestFit="1" customWidth="1"/>
    <col min="25" max="25" width="9.85546875" style="77" bestFit="1" customWidth="1"/>
    <col min="26" max="26" width="9.42578125" style="77" bestFit="1" customWidth="1"/>
    <col min="27" max="27" width="11.28515625" style="77" bestFit="1" customWidth="1"/>
    <col min="28" max="28" width="20.5703125" style="77" bestFit="1" customWidth="1"/>
    <col min="29" max="29" width="10.7109375" style="77" bestFit="1" customWidth="1"/>
    <col min="30" max="30" width="10.5703125" style="77" bestFit="1" customWidth="1"/>
    <col min="31" max="31" width="10" style="77" bestFit="1" customWidth="1"/>
    <col min="32" max="32" width="10.5703125" style="77" bestFit="1" customWidth="1"/>
    <col min="33" max="33" width="10" style="77" bestFit="1" customWidth="1"/>
    <col min="34" max="34" width="10.140625" style="77" bestFit="1" customWidth="1"/>
    <col min="35" max="35" width="9.42578125" style="77" bestFit="1" customWidth="1"/>
    <col min="36" max="36" width="10.7109375" style="77" bestFit="1" customWidth="1"/>
    <col min="37" max="37" width="10" style="77" bestFit="1" customWidth="1"/>
    <col min="38" max="38" width="11.5703125" style="77" bestFit="1" customWidth="1"/>
    <col min="39" max="39" width="9.140625" style="77" bestFit="1" customWidth="1"/>
    <col min="40" max="40" width="9.7109375" style="77" bestFit="1" customWidth="1"/>
    <col min="41" max="41" width="9.85546875" style="77" bestFit="1" customWidth="1"/>
    <col min="42" max="42" width="11" style="77" bestFit="1" customWidth="1"/>
    <col min="43" max="43" width="11.140625" style="77" bestFit="1" customWidth="1"/>
    <col min="44" max="44" width="10" style="77" bestFit="1" customWidth="1"/>
    <col min="45" max="45" width="9.28515625" style="77" bestFit="1" customWidth="1"/>
    <col min="46" max="46" width="10.7109375" style="77" bestFit="1" customWidth="1"/>
    <col min="47" max="47" width="11" style="77" bestFit="1" customWidth="1"/>
    <col min="48" max="48" width="10" style="77" bestFit="1" customWidth="1"/>
    <col min="49" max="49" width="10.7109375" style="77" bestFit="1" customWidth="1"/>
    <col min="50" max="50" width="9.5703125" style="77" bestFit="1" customWidth="1"/>
    <col min="51" max="51" width="9.28515625" style="77" bestFit="1" customWidth="1"/>
    <col min="52" max="52" width="10.28515625" style="77" bestFit="1" customWidth="1"/>
    <col min="53" max="16384" width="9" style="77"/>
  </cols>
  <sheetData>
    <row r="1" spans="1:52" x14ac:dyDescent="0.25">
      <c r="A1" s="87" t="s">
        <v>51</v>
      </c>
      <c r="B1" s="88" t="s">
        <v>350</v>
      </c>
      <c r="C1" s="89" t="s">
        <v>641</v>
      </c>
      <c r="D1" s="90" t="s">
        <v>569</v>
      </c>
      <c r="E1" s="90" t="s">
        <v>573</v>
      </c>
      <c r="F1" s="90" t="s">
        <v>570</v>
      </c>
      <c r="G1" s="90" t="s">
        <v>571</v>
      </c>
      <c r="H1" s="90" t="s">
        <v>572</v>
      </c>
      <c r="I1" s="90" t="s">
        <v>574</v>
      </c>
      <c r="J1" s="90" t="s">
        <v>575</v>
      </c>
      <c r="K1" s="90" t="s">
        <v>576</v>
      </c>
      <c r="L1" s="90" t="s">
        <v>577</v>
      </c>
      <c r="M1" s="90" t="s">
        <v>578</v>
      </c>
      <c r="N1" s="90" t="s">
        <v>579</v>
      </c>
      <c r="O1" s="90" t="s">
        <v>580</v>
      </c>
      <c r="P1" s="90" t="s">
        <v>581</v>
      </c>
      <c r="Q1" s="90" t="s">
        <v>582</v>
      </c>
      <c r="R1" s="90" t="s">
        <v>583</v>
      </c>
      <c r="S1" s="90" t="s">
        <v>584</v>
      </c>
      <c r="T1" s="90" t="s">
        <v>585</v>
      </c>
      <c r="U1" s="90" t="s">
        <v>586</v>
      </c>
      <c r="V1" s="90" t="s">
        <v>587</v>
      </c>
      <c r="W1" s="90" t="s">
        <v>588</v>
      </c>
      <c r="X1" s="90" t="s">
        <v>589</v>
      </c>
      <c r="Y1" s="90" t="s">
        <v>590</v>
      </c>
      <c r="Z1" s="90" t="s">
        <v>591</v>
      </c>
      <c r="AA1" s="90" t="s">
        <v>640</v>
      </c>
      <c r="AB1" s="90" t="s">
        <v>642</v>
      </c>
      <c r="AC1" s="90" t="s">
        <v>592</v>
      </c>
      <c r="AD1" s="90" t="s">
        <v>593</v>
      </c>
      <c r="AE1" s="90" t="s">
        <v>594</v>
      </c>
      <c r="AF1" s="90" t="s">
        <v>595</v>
      </c>
      <c r="AG1" s="90" t="s">
        <v>596</v>
      </c>
      <c r="AH1" s="90" t="s">
        <v>597</v>
      </c>
      <c r="AI1" s="90" t="s">
        <v>598</v>
      </c>
      <c r="AJ1" s="90" t="s">
        <v>599</v>
      </c>
      <c r="AK1" s="90" t="s">
        <v>600</v>
      </c>
      <c r="AL1" s="90" t="s">
        <v>601</v>
      </c>
      <c r="AM1" s="90" t="s">
        <v>602</v>
      </c>
      <c r="AN1" s="90" t="s">
        <v>603</v>
      </c>
      <c r="AO1" s="90" t="s">
        <v>604</v>
      </c>
      <c r="AP1" s="90" t="s">
        <v>605</v>
      </c>
      <c r="AQ1" s="90" t="s">
        <v>606</v>
      </c>
      <c r="AR1" s="90" t="s">
        <v>607</v>
      </c>
      <c r="AS1" s="90" t="s">
        <v>608</v>
      </c>
      <c r="AT1" s="90" t="s">
        <v>609</v>
      </c>
      <c r="AU1" s="90" t="s">
        <v>610</v>
      </c>
      <c r="AV1" s="90" t="s">
        <v>611</v>
      </c>
      <c r="AW1" s="90" t="s">
        <v>612</v>
      </c>
      <c r="AX1" s="90" t="s">
        <v>613</v>
      </c>
      <c r="AY1" s="90" t="s">
        <v>614</v>
      </c>
      <c r="AZ1" s="90" t="s">
        <v>615</v>
      </c>
    </row>
    <row r="2" spans="1:52" ht="15" customHeight="1" x14ac:dyDescent="0.25">
      <c r="A2" s="92" t="s">
        <v>12</v>
      </c>
      <c r="B2" s="90" t="s">
        <v>1074</v>
      </c>
      <c r="C2" s="76">
        <f t="shared" ref="C2" si="0">IFERROR(1/SUM(1/D2,1/E2,1/F2,1/G2,1/H2,1/I2,1/J2,1/K2,1/L2,1/M2,1/N2,1/O2,1/P2,1/Q2,1/R2,1/S2,1/T2,1/U2,1/V2,1/W2,1/X2,1/Y2),".")</f>
        <v>0.17136365122218064</v>
      </c>
      <c r="D2" s="76">
        <f>IFERROR((dir!D2/(d_ss_Bv!C2+MLF_apple)),".")</f>
        <v>4.7553221583857086</v>
      </c>
      <c r="E2" s="76">
        <f>IFERROR((dir!E2/(d_ss_Bv!D2+MLF_asparagus)),".")</f>
        <v>11.363848603395764</v>
      </c>
      <c r="F2" s="76">
        <f>IFERROR((dir!F2/(d_ss_Bv!E2+MLF_beet)),".")</f>
        <v>13.180325875676386</v>
      </c>
      <c r="G2" s="76">
        <f>IFERROR((dir!G2/(d_ss_Bv!F2+MLF_berries)),".")</f>
        <v>10.597464621633121</v>
      </c>
      <c r="H2" s="76">
        <f>IFERROR((dir!H2/(d_ss_Bv!G2+MLF_broccoli)),".")</f>
        <v>7.2836807389083935</v>
      </c>
      <c r="I2" s="76">
        <f>IFERROR((dir!I2/(d_ss_Bv!H2+MLF_cabbage)),".")</f>
        <v>4.9696033261621686</v>
      </c>
      <c r="J2" s="76">
        <f>IFERROR((dir!J2/(d_ss_Bv!I2+MLF_carrot)),".")</f>
        <v>15.093165478846132</v>
      </c>
      <c r="K2" s="76">
        <f>IFERROR((dir!K2/(d_ss_Bv!J2+MLF_citrus)),".")</f>
        <v>1.2366872200863688</v>
      </c>
      <c r="L2" s="76">
        <f>IFERROR((dir!L2/(d_ss_Bv!K2+MLF_corn)),".")</f>
        <v>6.8629839194774824</v>
      </c>
      <c r="M2" s="76">
        <f>IFERROR((dir!M2/(d_ss_Bv!L2+MLF_cucumber)),".")</f>
        <v>5.6186480396177654</v>
      </c>
      <c r="N2" s="76">
        <f>IFERROR((dir!N2/(d_ss_Bv!M2+MLF_lettuce)),".")</f>
        <v>0.93594947579703036</v>
      </c>
      <c r="O2" s="76">
        <f>IFERROR((dir!O2/(d_ss_Bv!N2+MLF_lima_bean)),".")</f>
        <v>3.0463584206370267</v>
      </c>
      <c r="P2" s="76">
        <f>IFERROR((dir!P2/(d_ss_Bv!O2+MLF_okra)),".")</f>
        <v>15.321098073801652</v>
      </c>
      <c r="Q2" s="76">
        <f>IFERROR((dir!Q2/(d_ss_Bv!P2+MLF_onion)),".")</f>
        <v>20.370002857389192</v>
      </c>
      <c r="R2" s="76">
        <f>IFERROR((dir!R2/(d_ss_Bv!Q2+MLF_peach)),".")</f>
        <v>3.0674001935263515</v>
      </c>
      <c r="S2" s="76">
        <f>IFERROR((dir!S2/(d_ss_Bv!R2+MLF_pear)),".")</f>
        <v>6.3060425674267986</v>
      </c>
      <c r="T2" s="76">
        <f>IFERROR((dir!T2/(d_ss_Bv!S2+MLF_peas)),".")</f>
        <v>9.9164662605131184</v>
      </c>
      <c r="U2" s="76">
        <f>IFERROR((dir!U2/(d_ss_Bv!T2+MLF_potato)),".")</f>
        <v>3.0334881983715984</v>
      </c>
      <c r="V2" s="76">
        <f>IFERROR((dir!V2/(d_ss_Bv!U2+MLF_pumpkin)),".")</f>
        <v>6.3448897626707499</v>
      </c>
      <c r="W2" s="76">
        <f>IFERROR((dir!W2/(d_ss_Bv!V2+MLF_snap_bean)),".")</f>
        <v>1.4119888451909779</v>
      </c>
      <c r="X2" s="76">
        <f>IFERROR((dir!X2/(d_ss_Bv!W2+MLF_strawberry)),".")</f>
        <v>10.128045493161876</v>
      </c>
      <c r="Y2" s="76">
        <f>IFERROR((dir!Y2/(d_ss_Bv!X2+MLF_tomato)),".")</f>
        <v>2.2766217076943818</v>
      </c>
      <c r="Z2" s="76">
        <f>IFERROR((dir!Z2/(d_ss_Bv!D2+MLF_rice)),".")</f>
        <v>2.5607361579461575E-2</v>
      </c>
      <c r="AA2" s="76">
        <f>IFERROR((dir!AA2/(d_ss_Bv!Z2+MLF_cereal)),".")</f>
        <v>1.9826929722451613E-2</v>
      </c>
      <c r="AB2" s="76">
        <f t="shared" ref="AB2:AB3" si="1">IFERROR(1/SUM(1/AC2,1/AD2,1/AE2,1/AF2,1/AG2,1/AH2,1/AI2,1/AJ2,1/AK2,1/AL2,1/AM2,1/AN2,1/AO2,1/AP2,1/AQ2,1/AR2,1/AS2,1/AT2,1/AU2,1/AV2,1/AW2,1/AX2),".")</f>
        <v>0.10365318120949632</v>
      </c>
      <c r="AC2" s="76">
        <f>IFERROR((dir!AC2/(d_ss_Bv!C2+MLF_apple))*1,".")</f>
        <v>2.6854644144478339</v>
      </c>
      <c r="AD2" s="76">
        <f>IFERROR((dir!AD2/(d_ss_Bv!D2+MLF_asparagus))*1,".")</f>
        <v>6.9238617396062834</v>
      </c>
      <c r="AE2" s="76">
        <f>IFERROR((dir!AE2/(d_ss_Bv!E2+MLF_beet))*1,".")</f>
        <v>7.8611229329927026</v>
      </c>
      <c r="AF2" s="76">
        <f>IFERROR((dir!AF2/(d_ss_Bv!F2+MLF_berries))*1,".")</f>
        <v>6.6983529167471705</v>
      </c>
      <c r="AG2" s="76">
        <f>IFERROR((dir!AG2/(d_ss_Bv!G2+MLF_broccoli))*1,".")</f>
        <v>4.0681276068549446</v>
      </c>
      <c r="AH2" s="76">
        <f>IFERROR((dir!AH2/(d_ss_Bv!H2+MLF_cabbage))*1,".")</f>
        <v>3.1918888468088653</v>
      </c>
      <c r="AI2" s="76">
        <f>IFERROR((dir!AI2/(d_ss_Bv!I2+MLF_carrot))*1,".")</f>
        <v>10.545631565052597</v>
      </c>
      <c r="AJ2" s="76">
        <f>IFERROR((dir!AJ2/(d_ss_Bv!J2+MLF_citrus))*1,".")</f>
        <v>0.77809913181645007</v>
      </c>
      <c r="AK2" s="76">
        <f>IFERROR((dir!AK2/(d_ss_Bv!K2+MLF_corn))*1,".")</f>
        <v>3.0789366903680895</v>
      </c>
      <c r="AL2" s="76">
        <f>IFERROR((dir!AL2/(d_ss_Bv!L2+MLF_cucumber))*1,".")</f>
        <v>5.1401493549430004</v>
      </c>
      <c r="AM2" s="76">
        <f>IFERROR((dir!AM2/(d_ss_Bv!M2+MLF_lettuce))*1,".")</f>
        <v>0.55802802156426545</v>
      </c>
      <c r="AN2" s="76">
        <f>IFERROR((dir!AN2/(d_ss_Bv!N2+MLF_lima_bean))*1,".")</f>
        <v>1.8331478461163728</v>
      </c>
      <c r="AO2" s="76">
        <f>IFERROR((dir!AO2/(d_ss_Bv!O2+MLF_okra))*1,".")</f>
        <v>9.201921552355083</v>
      </c>
      <c r="AP2" s="76">
        <f>IFERROR((dir!AP2/(d_ss_Bv!P2+MLF_onion))*1,".")</f>
        <v>9.9072286624574719</v>
      </c>
      <c r="AQ2" s="76">
        <f>IFERROR((dir!AQ2/(d_ss_Bv!Q2+MLF_peach))*1,".")</f>
        <v>2.2306189254786379</v>
      </c>
      <c r="AR2" s="76">
        <f>IFERROR((dir!AR2/(d_ss_Bv!R2+MLF_pear))*1,".")</f>
        <v>3.6306446839364384</v>
      </c>
      <c r="AS2" s="76">
        <f>IFERROR((dir!AS2/(d_ss_Bv!S2+MLF_peas))*1,".")</f>
        <v>7.1446156113744914</v>
      </c>
      <c r="AT2" s="76">
        <f>IFERROR((dir!AT2/(d_ss_Bv!T2+MLF_potato))*1,".")</f>
        <v>1.683365706519395</v>
      </c>
      <c r="AU2" s="76">
        <f>IFERROR((dir!AU2/(d_ss_Bv!U2+MLF_pumpkin))*1,".")</f>
        <v>4.0186353201008727</v>
      </c>
      <c r="AV2" s="76">
        <f>IFERROR((dir!AV2/(d_ss_Bv!V2+MLF_snap_bean))*1,".")</f>
        <v>0.87329801173331834</v>
      </c>
      <c r="AW2" s="76">
        <f>IFERROR((dir!AW2/(d_ss_Bv!W2+MLF_strawberry))*1,".")</f>
        <v>6.3717648844342563</v>
      </c>
      <c r="AX2" s="76">
        <f>IFERROR((dir!AX2/(d_ss_Bv!X2+MLF_tomato))*1,".")</f>
        <v>1.1904192165958374</v>
      </c>
      <c r="AY2" s="76">
        <f>IFERROR((dir!AY2/(d_ss_Bv!Y2+MLF_rice))*1,".")</f>
        <v>1.3025709936373519E-2</v>
      </c>
      <c r="AZ2" s="76">
        <f>IFERROR((dir!AZ2/(d_ss_Bv!Z2+MLF_cereal))*1,".")</f>
        <v>1.2325510037423604E-2</v>
      </c>
    </row>
    <row r="3" spans="1:52" x14ac:dyDescent="0.25">
      <c r="A3" s="94" t="s">
        <v>13</v>
      </c>
      <c r="B3" s="90" t="s">
        <v>351</v>
      </c>
      <c r="C3" s="76">
        <f>IFERROR(1/SUM(1/D3,1/E3,1/F3,1/G3,1/H3,1/I3,1/J3,1/K3,1/L3,1/M3,1/N3,1/O3,1/P3,1/Q3,1/R3,1/S3,1/T3,1/U3,1/V3,1/W3,1/X3,1/Y3),".")</f>
        <v>0.62354201194964987</v>
      </c>
      <c r="D3" s="76">
        <f>IFERROR((dir!D3/(d_ss_Bv!C3+MLF_apple)),".")</f>
        <v>58.720997498744431</v>
      </c>
      <c r="E3" s="76">
        <f>IFERROR((dir!E3/(d_ss_Bv!D3+MLF_asparagus)),".")</f>
        <v>71.434879235560231</v>
      </c>
      <c r="F3" s="76">
        <f>IFERROR((dir!F3/(d_ss_Bv!E3+MLF_beet)),".")</f>
        <v>37.743824776286587</v>
      </c>
      <c r="G3" s="76">
        <f>IFERROR((dir!G3/(d_ss_Bv!F3+MLF_berries)),".")</f>
        <v>26.008317451629576</v>
      </c>
      <c r="H3" s="76">
        <f>IFERROR((dir!H3/(d_ss_Bv!G3+MLF_broccoli)),".")</f>
        <v>21.727774716099052</v>
      </c>
      <c r="I3" s="76">
        <f>IFERROR((dir!I3/(d_ss_Bv!H3+MLF_cabbage)),".")</f>
        <v>29.774302269624005</v>
      </c>
      <c r="J3" s="76">
        <f>IFERROR((dir!J3/(d_ss_Bv!I3+MLF_carrot)),".")</f>
        <v>43.891503238635067</v>
      </c>
      <c r="K3" s="76">
        <f>IFERROR((dir!K3/(d_ss_Bv!J3+MLF_citrus)),".")</f>
        <v>15.474771341599983</v>
      </c>
      <c r="L3" s="76">
        <f>IFERROR((dir!L3/(d_ss_Bv!K3+MLF_corn)),".")</f>
        <v>81.935614396568795</v>
      </c>
      <c r="M3" s="76">
        <f>IFERROR((dir!M3/(d_ss_Bv!L3+MLF_cucumber)),".")</f>
        <v>29.702570412206494</v>
      </c>
      <c r="N3" s="76">
        <f>IFERROR((dir!N3/(d_ss_Bv!M3+MLF_lettuce)),".")</f>
        <v>2.0038966782957437</v>
      </c>
      <c r="O3" s="76">
        <f>IFERROR((dir!O3/(d_ss_Bv!N3+MLF_lima_bean)),".")</f>
        <v>7.106158532981623</v>
      </c>
      <c r="P3" s="76">
        <f>IFERROR((dir!P3/(d_ss_Bv!O3+MLF_okra)),".")</f>
        <v>76.462735237119418</v>
      </c>
      <c r="Q3" s="76">
        <f>IFERROR((dir!Q3/(d_ss_Bv!P3+MLF_onion)),".")</f>
        <v>99.41922547242379</v>
      </c>
      <c r="R3" s="76">
        <f>IFERROR((dir!R3/(d_ss_Bv!Q3+MLF_peach)),".")</f>
        <v>39.625847528436864</v>
      </c>
      <c r="S3" s="76">
        <f>IFERROR((dir!S3/(d_ss_Bv!R3+MLF_pear)),".")</f>
        <v>77.870036455016958</v>
      </c>
      <c r="T3" s="76">
        <f>IFERROR((dir!T3/(d_ss_Bv!S3+MLF_peas)),".")</f>
        <v>42.565416580214205</v>
      </c>
      <c r="U3" s="76">
        <f>IFERROR((dir!U3/(d_ss_Bv!T3+MLF_potato)),".")</f>
        <v>17.769174307490776</v>
      </c>
      <c r="V3" s="76">
        <f>IFERROR((dir!V3/(d_ss_Bv!U3+MLF_pumpkin)),".")</f>
        <v>32.65294260213355</v>
      </c>
      <c r="W3" s="76">
        <f>IFERROR((dir!W3/(d_ss_Bv!V3+MLF_snap_bean)),".")</f>
        <v>3.2017623877400991</v>
      </c>
      <c r="X3" s="76">
        <f>IFERROR((dir!X3/(d_ss_Bv!W3+MLF_strawberry)),".")</f>
        <v>117.05356791572068</v>
      </c>
      <c r="Y3" s="76">
        <f>IFERROR((dir!Y3/(d_ss_Bv!X3+MLF_tomato)),".")</f>
        <v>6.148156067376207</v>
      </c>
      <c r="Z3" s="76">
        <f>IFERROR((dir!Z3/(d_ss_Bv!D3+MLF_rice)),".")</f>
        <v>5.2217805913442002E-2</v>
      </c>
      <c r="AA3" s="76">
        <f>IFERROR((dir!AA3/(d_ss_Bv!Z3+MLF_cereal)),".")</f>
        <v>4.0470616652063147E-2</v>
      </c>
      <c r="AB3" s="76">
        <f t="shared" si="1"/>
        <v>0.3738720321450309</v>
      </c>
      <c r="AC3" s="76">
        <f>IFERROR((dir!AC3/(d_ss_Bv!C3+MLF_apple))*1,".")</f>
        <v>33.161401880138989</v>
      </c>
      <c r="AD3" s="76">
        <f>IFERROR((dir!AD3/(d_ss_Bv!D3+MLF_asparagus))*1,".")</f>
        <v>43.524447084299595</v>
      </c>
      <c r="AE3" s="76">
        <f>IFERROR((dir!AE3/(d_ss_Bv!E3+MLF_beet))*1,".")</f>
        <v>22.51149549157093</v>
      </c>
      <c r="AF3" s="76">
        <f>IFERROR((dir!AF3/(d_ss_Bv!F3+MLF_berries))*1,".")</f>
        <v>16.43911022889192</v>
      </c>
      <c r="AG3" s="76">
        <f>IFERROR((dir!AG3/(d_ss_Bv!G3+MLF_broccoli))*1,".")</f>
        <v>12.135534673549495</v>
      </c>
      <c r="AH3" s="76">
        <f>IFERROR((dir!AH3/(d_ss_Bv!H3+MLF_cabbage))*1,".")</f>
        <v>19.123510891828374</v>
      </c>
      <c r="AI3" s="76">
        <f>IFERROR((dir!AI3/(d_ss_Bv!I3+MLF_carrot))*1,".")</f>
        <v>30.66710045945538</v>
      </c>
      <c r="AJ3" s="76">
        <f>IFERROR((dir!AJ3/(d_ss_Bv!J3+MLF_citrus))*1,".")</f>
        <v>9.7364199697285674</v>
      </c>
      <c r="AK3" s="76">
        <f>IFERROR((dir!AK3/(d_ss_Bv!K3+MLF_corn))*1,".")</f>
        <v>36.75872949337387</v>
      </c>
      <c r="AL3" s="76">
        <f>IFERROR((dir!AL3/(d_ss_Bv!L3+MLF_cucumber))*1,".")</f>
        <v>27.173022240923054</v>
      </c>
      <c r="AM3" s="76">
        <f>IFERROR((dir!AM3/(d_ss_Bv!M3+MLF_lettuce))*1,".")</f>
        <v>1.1947551953659903</v>
      </c>
      <c r="AN3" s="76">
        <f>IFERROR((dir!AN3/(d_ss_Bv!N3+MLF_lima_bean))*1,".")</f>
        <v>4.27613478461695</v>
      </c>
      <c r="AO3" s="76">
        <f>IFERROR((dir!AO3/(d_ss_Bv!O3+MLF_okra))*1,".")</f>
        <v>45.92386837687561</v>
      </c>
      <c r="AP3" s="76">
        <f>IFERROR((dir!AP3/(d_ss_Bv!P3+MLF_onion))*1,".")</f>
        <v>48.353896025224309</v>
      </c>
      <c r="AQ3" s="76">
        <f>IFERROR((dir!AQ3/(d_ss_Bv!Q3+MLF_peach))*1,".")</f>
        <v>28.815987435094637</v>
      </c>
      <c r="AR3" s="76">
        <f>IFERROR((dir!AR3/(d_ss_Bv!R3+MLF_pear))*1,".")</f>
        <v>44.832940924581827</v>
      </c>
      <c r="AS3" s="76">
        <f>IFERROR((dir!AS3/(d_ss_Bv!S3+MLF_peas))*1,".")</f>
        <v>30.667531337712727</v>
      </c>
      <c r="AT3" s="76">
        <f>IFERROR((dir!AT3/(d_ss_Bv!T3+MLF_potato))*1,".")</f>
        <v>9.8606016263562548</v>
      </c>
      <c r="AU3" s="76">
        <f>IFERROR((dir!AU3/(d_ss_Bv!U3+MLF_pumpkin))*1,".")</f>
        <v>20.681252685929401</v>
      </c>
      <c r="AV3" s="76">
        <f>IFERROR((dir!AV3/(d_ss_Bv!V3+MLF_snap_bean))*1,".")</f>
        <v>1.9802512865303596</v>
      </c>
      <c r="AW3" s="76">
        <f>IFERROR((dir!AW3/(d_ss_Bv!W3+MLF_strawberry))*1,".")</f>
        <v>73.64084355137372</v>
      </c>
      <c r="AX3" s="76">
        <f>IFERROR((dir!AX3/(d_ss_Bv!X3+MLF_tomato))*1,".")</f>
        <v>3.2147998521225687</v>
      </c>
      <c r="AY3" s="76">
        <f>IFERROR((dir!AY3/(d_ss_Bv!Y3+MLF_rice))*1,".")</f>
        <v>2.6484407460659724E-2</v>
      </c>
      <c r="AZ3" s="76">
        <f>IFERROR((dir!AZ3/(d_ss_Bv!Z3+MLF_cereal))*1,".")</f>
        <v>2.5158761278145474E-2</v>
      </c>
    </row>
    <row r="4" spans="1:52" ht="15" customHeight="1" x14ac:dyDescent="0.25">
      <c r="A4" s="92" t="s">
        <v>14</v>
      </c>
      <c r="B4" s="90" t="s">
        <v>1074</v>
      </c>
      <c r="C4" s="76" t="str">
        <f t="shared" ref="C4:C5" si="2">IFERROR(1/SUM(1/D4,1/E4,1/F4,1/G4,1/H4,1/I4,1/J4,1/K4,1/L4,1/M4,1/N4,1/O4,1/P4,1/Q4,1/R4,1/S4,1/T4,1/U4,1/V4,1/W4,1/X4,1/Y4),".")</f>
        <v>.</v>
      </c>
      <c r="D4" s="76" t="str">
        <f>IFERROR((dir!D4/(d_ss_Bv!C4+MLF_apple)),".")</f>
        <v>.</v>
      </c>
      <c r="E4" s="76" t="str">
        <f>IFERROR((dir!E4/(d_ss_Bv!D4+MLF_asparagus)),".")</f>
        <v>.</v>
      </c>
      <c r="F4" s="76" t="str">
        <f>IFERROR((dir!F4/(d_ss_Bv!E4+MLF_beet)),".")</f>
        <v>.</v>
      </c>
      <c r="G4" s="76" t="str">
        <f>IFERROR((dir!G4/(d_ss_Bv!F4+MLF_berries)),".")</f>
        <v>.</v>
      </c>
      <c r="H4" s="76" t="str">
        <f>IFERROR((dir!H4/(d_ss_Bv!G4+MLF_broccoli)),".")</f>
        <v>.</v>
      </c>
      <c r="I4" s="76" t="str">
        <f>IFERROR((dir!I4/(d_ss_Bv!H4+MLF_cabbage)),".")</f>
        <v>.</v>
      </c>
      <c r="J4" s="76" t="str">
        <f>IFERROR((dir!J4/(d_ss_Bv!I4+MLF_carrot)),".")</f>
        <v>.</v>
      </c>
      <c r="K4" s="76" t="str">
        <f>IFERROR((dir!K4/(d_ss_Bv!J4+MLF_citrus)),".")</f>
        <v>.</v>
      </c>
      <c r="L4" s="76" t="str">
        <f>IFERROR((dir!L4/(d_ss_Bv!K4+MLF_corn)),".")</f>
        <v>.</v>
      </c>
      <c r="M4" s="76" t="str">
        <f>IFERROR((dir!M4/(d_ss_Bv!L4+MLF_cucumber)),".")</f>
        <v>.</v>
      </c>
      <c r="N4" s="76" t="str">
        <f>IFERROR((dir!N4/(d_ss_Bv!M4+MLF_lettuce)),".")</f>
        <v>.</v>
      </c>
      <c r="O4" s="76" t="str">
        <f>IFERROR((dir!O4/(d_ss_Bv!N4+MLF_lima_bean)),".")</f>
        <v>.</v>
      </c>
      <c r="P4" s="76" t="str">
        <f>IFERROR((dir!P4/(d_ss_Bv!O4+MLF_okra)),".")</f>
        <v>.</v>
      </c>
      <c r="Q4" s="76" t="str">
        <f>IFERROR((dir!Q4/(d_ss_Bv!P4+MLF_onion)),".")</f>
        <v>.</v>
      </c>
      <c r="R4" s="76" t="str">
        <f>IFERROR((dir!R4/(d_ss_Bv!Q4+MLF_peach)),".")</f>
        <v>.</v>
      </c>
      <c r="S4" s="76" t="str">
        <f>IFERROR((dir!S4/(d_ss_Bv!R4+MLF_pear)),".")</f>
        <v>.</v>
      </c>
      <c r="T4" s="76" t="str">
        <f>IFERROR((dir!T4/(d_ss_Bv!S4+MLF_peas)),".")</f>
        <v>.</v>
      </c>
      <c r="U4" s="76" t="str">
        <f>IFERROR((dir!U4/(d_ss_Bv!T4+MLF_potato)),".")</f>
        <v>.</v>
      </c>
      <c r="V4" s="76" t="str">
        <f>IFERROR((dir!V4/(d_ss_Bv!U4+MLF_pumpkin)),".")</f>
        <v>.</v>
      </c>
      <c r="W4" s="76" t="str">
        <f>IFERROR((dir!W4/(d_ss_Bv!V4+MLF_snap_bean)),".")</f>
        <v>.</v>
      </c>
      <c r="X4" s="76" t="str">
        <f>IFERROR((dir!X4/(d_ss_Bv!W4+MLF_strawberry)),".")</f>
        <v>.</v>
      </c>
      <c r="Y4" s="76" t="str">
        <f>IFERROR((dir!Y4/(d_ss_Bv!X4+MLF_tomato)),".")</f>
        <v>.</v>
      </c>
      <c r="Z4" s="76" t="str">
        <f>IFERROR((dir!Z4/(d_ss_Bv!D4+MLF_rice)),".")</f>
        <v>.</v>
      </c>
      <c r="AA4" s="76" t="str">
        <f>IFERROR((dir!AA4/(d_ss_Bv!Z4+MLF_cereal)),".")</f>
        <v>.</v>
      </c>
      <c r="AB4" s="76" t="str">
        <f t="shared" ref="AB4:AB5" si="3">IFERROR(1/SUM(1/AC4,1/AD4,1/AE4,1/AF4,1/AG4,1/AH4,1/AI4,1/AJ4,1/AK4,1/AL4,1/AM4,1/AN4,1/AO4,1/AP4,1/AQ4,1/AR4,1/AS4,1/AT4,1/AU4,1/AV4,1/AW4,1/AX4),".")</f>
        <v>.</v>
      </c>
      <c r="AC4" s="76" t="str">
        <f>IFERROR((dir!AC4/(d_ss_Bv!C4+MLF_apple))*1,".")</f>
        <v>.</v>
      </c>
      <c r="AD4" s="76" t="str">
        <f>IFERROR((dir!AD4/(d_ss_Bv!D4+MLF_asparagus))*1,".")</f>
        <v>.</v>
      </c>
      <c r="AE4" s="76" t="str">
        <f>IFERROR((dir!AE4/(d_ss_Bv!E4+MLF_beet))*1,".")</f>
        <v>.</v>
      </c>
      <c r="AF4" s="76" t="str">
        <f>IFERROR((dir!AF4/(d_ss_Bv!F4+MLF_berries))*1,".")</f>
        <v>.</v>
      </c>
      <c r="AG4" s="76" t="str">
        <f>IFERROR((dir!AG4/(d_ss_Bv!G4+MLF_broccoli))*1,".")</f>
        <v>.</v>
      </c>
      <c r="AH4" s="76" t="str">
        <f>IFERROR((dir!AH4/(d_ss_Bv!H4+MLF_cabbage))*1,".")</f>
        <v>.</v>
      </c>
      <c r="AI4" s="76" t="str">
        <f>IFERROR((dir!AI4/(d_ss_Bv!I4+MLF_carrot))*1,".")</f>
        <v>.</v>
      </c>
      <c r="AJ4" s="76" t="str">
        <f>IFERROR((dir!AJ4/(d_ss_Bv!J4+MLF_citrus))*1,".")</f>
        <v>.</v>
      </c>
      <c r="AK4" s="76" t="str">
        <f>IFERROR((dir!AK4/(d_ss_Bv!K4+MLF_corn))*1,".")</f>
        <v>.</v>
      </c>
      <c r="AL4" s="76" t="str">
        <f>IFERROR((dir!AL4/(d_ss_Bv!L4+MLF_cucumber))*1,".")</f>
        <v>.</v>
      </c>
      <c r="AM4" s="76" t="str">
        <f>IFERROR((dir!AM4/(d_ss_Bv!M4+MLF_lettuce))*1,".")</f>
        <v>.</v>
      </c>
      <c r="AN4" s="76" t="str">
        <f>IFERROR((dir!AN4/(d_ss_Bv!N4+MLF_lima_bean))*1,".")</f>
        <v>.</v>
      </c>
      <c r="AO4" s="76" t="str">
        <f>IFERROR((dir!AO4/(d_ss_Bv!O4+MLF_okra))*1,".")</f>
        <v>.</v>
      </c>
      <c r="AP4" s="76" t="str">
        <f>IFERROR((dir!AP4/(d_ss_Bv!P4+MLF_onion))*1,".")</f>
        <v>.</v>
      </c>
      <c r="AQ4" s="76" t="str">
        <f>IFERROR((dir!AQ4/(d_ss_Bv!Q4+MLF_peach))*1,".")</f>
        <v>.</v>
      </c>
      <c r="AR4" s="76" t="str">
        <f>IFERROR((dir!AR4/(d_ss_Bv!R4+MLF_pear))*1,".")</f>
        <v>.</v>
      </c>
      <c r="AS4" s="76" t="str">
        <f>IFERROR((dir!AS4/(d_ss_Bv!S4+MLF_peas))*1,".")</f>
        <v>.</v>
      </c>
      <c r="AT4" s="76" t="str">
        <f>IFERROR((dir!AT4/(d_ss_Bv!T4+MLF_potato))*1,".")</f>
        <v>.</v>
      </c>
      <c r="AU4" s="76" t="str">
        <f>IFERROR((dir!AU4/(d_ss_Bv!U4+MLF_pumpkin))*1,".")</f>
        <v>.</v>
      </c>
      <c r="AV4" s="76" t="str">
        <f>IFERROR((dir!AV4/(d_ss_Bv!V4+MLF_snap_bean))*1,".")</f>
        <v>.</v>
      </c>
      <c r="AW4" s="76" t="str">
        <f>IFERROR((dir!AW4/(d_ss_Bv!W4+MLF_strawberry))*1,".")</f>
        <v>.</v>
      </c>
      <c r="AX4" s="76" t="str">
        <f>IFERROR((dir!AX4/(d_ss_Bv!X4+MLF_tomato))*1,".")</f>
        <v>.</v>
      </c>
      <c r="AY4" s="76" t="str">
        <f>IFERROR((dir!AY4/(d_ss_Bv!Y4+MLF_rice))*1,".")</f>
        <v>.</v>
      </c>
      <c r="AZ4" s="76" t="str">
        <f>IFERROR((dir!AZ4/(d_ss_Bv!Z4+MLF_cereal))*1,".")</f>
        <v>.</v>
      </c>
    </row>
    <row r="5" spans="1:52" ht="15" customHeight="1" x14ac:dyDescent="0.25">
      <c r="A5" s="92" t="s">
        <v>15</v>
      </c>
      <c r="B5" s="90" t="s">
        <v>1074</v>
      </c>
      <c r="C5" s="76" t="str">
        <f t="shared" si="2"/>
        <v>.</v>
      </c>
      <c r="D5" s="76" t="str">
        <f>IFERROR((dir!D5/(d_ss_Bv!C5+MLF_apple)),".")</f>
        <v>.</v>
      </c>
      <c r="E5" s="76" t="str">
        <f>IFERROR((dir!E5/(d_ss_Bv!D5+MLF_asparagus)),".")</f>
        <v>.</v>
      </c>
      <c r="F5" s="76" t="str">
        <f>IFERROR((dir!F5/(d_ss_Bv!E5+MLF_beet)),".")</f>
        <v>.</v>
      </c>
      <c r="G5" s="76" t="str">
        <f>IFERROR((dir!G5/(d_ss_Bv!F5+MLF_berries)),".")</f>
        <v>.</v>
      </c>
      <c r="H5" s="76" t="str">
        <f>IFERROR((dir!H5/(d_ss_Bv!G5+MLF_broccoli)),".")</f>
        <v>.</v>
      </c>
      <c r="I5" s="76" t="str">
        <f>IFERROR((dir!I5/(d_ss_Bv!H5+MLF_cabbage)),".")</f>
        <v>.</v>
      </c>
      <c r="J5" s="76" t="str">
        <f>IFERROR((dir!J5/(d_ss_Bv!I5+MLF_carrot)),".")</f>
        <v>.</v>
      </c>
      <c r="K5" s="76" t="str">
        <f>IFERROR((dir!K5/(d_ss_Bv!J5+MLF_citrus)),".")</f>
        <v>.</v>
      </c>
      <c r="L5" s="76" t="str">
        <f>IFERROR((dir!L5/(d_ss_Bv!K5+MLF_corn)),".")</f>
        <v>.</v>
      </c>
      <c r="M5" s="76" t="str">
        <f>IFERROR((dir!M5/(d_ss_Bv!L5+MLF_cucumber)),".")</f>
        <v>.</v>
      </c>
      <c r="N5" s="76" t="str">
        <f>IFERROR((dir!N5/(d_ss_Bv!M5+MLF_lettuce)),".")</f>
        <v>.</v>
      </c>
      <c r="O5" s="76" t="str">
        <f>IFERROR((dir!O5/(d_ss_Bv!N5+MLF_lima_bean)),".")</f>
        <v>.</v>
      </c>
      <c r="P5" s="76" t="str">
        <f>IFERROR((dir!P5/(d_ss_Bv!O5+MLF_okra)),".")</f>
        <v>.</v>
      </c>
      <c r="Q5" s="76" t="str">
        <f>IFERROR((dir!Q5/(d_ss_Bv!P5+MLF_onion)),".")</f>
        <v>.</v>
      </c>
      <c r="R5" s="76" t="str">
        <f>IFERROR((dir!R5/(d_ss_Bv!Q5+MLF_peach)),".")</f>
        <v>.</v>
      </c>
      <c r="S5" s="76" t="str">
        <f>IFERROR((dir!S5/(d_ss_Bv!R5+MLF_pear)),".")</f>
        <v>.</v>
      </c>
      <c r="T5" s="76" t="str">
        <f>IFERROR((dir!T5/(d_ss_Bv!S5+MLF_peas)),".")</f>
        <v>.</v>
      </c>
      <c r="U5" s="76" t="str">
        <f>IFERROR((dir!U5/(d_ss_Bv!T5+MLF_potato)),".")</f>
        <v>.</v>
      </c>
      <c r="V5" s="76" t="str">
        <f>IFERROR((dir!V5/(d_ss_Bv!U5+MLF_pumpkin)),".")</f>
        <v>.</v>
      </c>
      <c r="W5" s="76" t="str">
        <f>IFERROR((dir!W5/(d_ss_Bv!V5+MLF_snap_bean)),".")</f>
        <v>.</v>
      </c>
      <c r="X5" s="76" t="str">
        <f>IFERROR((dir!X5/(d_ss_Bv!W5+MLF_strawberry)),".")</f>
        <v>.</v>
      </c>
      <c r="Y5" s="76" t="str">
        <f>IFERROR((dir!Y5/(d_ss_Bv!X5+MLF_tomato)),".")</f>
        <v>.</v>
      </c>
      <c r="Z5" s="76" t="str">
        <f>IFERROR((dir!Z5/(d_ss_Bv!D5+MLF_rice)),".")</f>
        <v>.</v>
      </c>
      <c r="AA5" s="76" t="str">
        <f>IFERROR((dir!AA5/(d_ss_Bv!Z5+MLF_cereal)),".")</f>
        <v>.</v>
      </c>
      <c r="AB5" s="76" t="str">
        <f t="shared" si="3"/>
        <v>.</v>
      </c>
      <c r="AC5" s="76" t="str">
        <f>IFERROR((dir!AC5/(d_ss_Bv!C5+MLF_apple))*1,".")</f>
        <v>.</v>
      </c>
      <c r="AD5" s="76" t="str">
        <f>IFERROR((dir!AD5/(d_ss_Bv!D5+MLF_asparagus))*1,".")</f>
        <v>.</v>
      </c>
      <c r="AE5" s="76" t="str">
        <f>IFERROR((dir!AE5/(d_ss_Bv!E5+MLF_beet))*1,".")</f>
        <v>.</v>
      </c>
      <c r="AF5" s="76" t="str">
        <f>IFERROR((dir!AF5/(d_ss_Bv!F5+MLF_berries))*1,".")</f>
        <v>.</v>
      </c>
      <c r="AG5" s="76" t="str">
        <f>IFERROR((dir!AG5/(d_ss_Bv!G5+MLF_broccoli))*1,".")</f>
        <v>.</v>
      </c>
      <c r="AH5" s="76" t="str">
        <f>IFERROR((dir!AH5/(d_ss_Bv!H5+MLF_cabbage))*1,".")</f>
        <v>.</v>
      </c>
      <c r="AI5" s="76" t="str">
        <f>IFERROR((dir!AI5/(d_ss_Bv!I5+MLF_carrot))*1,".")</f>
        <v>.</v>
      </c>
      <c r="AJ5" s="76" t="str">
        <f>IFERROR((dir!AJ5/(d_ss_Bv!J5+MLF_citrus))*1,".")</f>
        <v>.</v>
      </c>
      <c r="AK5" s="76" t="str">
        <f>IFERROR((dir!AK5/(d_ss_Bv!K5+MLF_corn))*1,".")</f>
        <v>.</v>
      </c>
      <c r="AL5" s="76" t="str">
        <f>IFERROR((dir!AL5/(d_ss_Bv!L5+MLF_cucumber))*1,".")</f>
        <v>.</v>
      </c>
      <c r="AM5" s="76" t="str">
        <f>IFERROR((dir!AM5/(d_ss_Bv!M5+MLF_lettuce))*1,".")</f>
        <v>.</v>
      </c>
      <c r="AN5" s="76" t="str">
        <f>IFERROR((dir!AN5/(d_ss_Bv!N5+MLF_lima_bean))*1,".")</f>
        <v>.</v>
      </c>
      <c r="AO5" s="76" t="str">
        <f>IFERROR((dir!AO5/(d_ss_Bv!O5+MLF_okra))*1,".")</f>
        <v>.</v>
      </c>
      <c r="AP5" s="76" t="str">
        <f>IFERROR((dir!AP5/(d_ss_Bv!P5+MLF_onion))*1,".")</f>
        <v>.</v>
      </c>
      <c r="AQ5" s="76" t="str">
        <f>IFERROR((dir!AQ5/(d_ss_Bv!Q5+MLF_peach))*1,".")</f>
        <v>.</v>
      </c>
      <c r="AR5" s="76" t="str">
        <f>IFERROR((dir!AR5/(d_ss_Bv!R5+MLF_pear))*1,".")</f>
        <v>.</v>
      </c>
      <c r="AS5" s="76" t="str">
        <f>IFERROR((dir!AS5/(d_ss_Bv!S5+MLF_peas))*1,".")</f>
        <v>.</v>
      </c>
      <c r="AT5" s="76" t="str">
        <f>IFERROR((dir!AT5/(d_ss_Bv!T5+MLF_potato))*1,".")</f>
        <v>.</v>
      </c>
      <c r="AU5" s="76" t="str">
        <f>IFERROR((dir!AU5/(d_ss_Bv!U5+MLF_pumpkin))*1,".")</f>
        <v>.</v>
      </c>
      <c r="AV5" s="76" t="str">
        <f>IFERROR((dir!AV5/(d_ss_Bv!V5+MLF_snap_bean))*1,".")</f>
        <v>.</v>
      </c>
      <c r="AW5" s="76" t="str">
        <f>IFERROR((dir!AW5/(d_ss_Bv!W5+MLF_strawberry))*1,".")</f>
        <v>.</v>
      </c>
      <c r="AX5" s="76" t="str">
        <f>IFERROR((dir!AX5/(d_ss_Bv!X5+MLF_tomato))*1,".")</f>
        <v>.</v>
      </c>
      <c r="AY5" s="76" t="str">
        <f>IFERROR((dir!AY5/(d_ss_Bv!Y5+MLF_rice))*1,".")</f>
        <v>.</v>
      </c>
      <c r="AZ5" s="76" t="str">
        <f>IFERROR((dir!AZ5/(d_ss_Bv!Z5+MLF_cereal))*1,".")</f>
        <v>.</v>
      </c>
    </row>
    <row r="6" spans="1:52" ht="15" customHeight="1" x14ac:dyDescent="0.25">
      <c r="A6" s="92" t="s">
        <v>16</v>
      </c>
      <c r="B6" s="90" t="s">
        <v>1074</v>
      </c>
      <c r="C6" s="76" t="str">
        <f t="shared" ref="C6:C9" si="4">IFERROR(1/SUM(1/D6,1/E6,1/F6,1/G6,1/H6,1/I6,1/J6,1/K6,1/L6,1/M6,1/N6,1/O6,1/P6,1/Q6,1/R6,1/S6,1/T6,1/U6,1/V6,1/W6,1/X6,1/Y6),".")</f>
        <v>.</v>
      </c>
      <c r="D6" s="76" t="str">
        <f>IFERROR((dir!D6/(d_ss_Bv!C6+MLF_apple)),".")</f>
        <v>.</v>
      </c>
      <c r="E6" s="76" t="str">
        <f>IFERROR((dir!E6/(d_ss_Bv!D6+MLF_asparagus)),".")</f>
        <v>.</v>
      </c>
      <c r="F6" s="76" t="str">
        <f>IFERROR((dir!F6/(d_ss_Bv!E6+MLF_beet)),".")</f>
        <v>.</v>
      </c>
      <c r="G6" s="76" t="str">
        <f>IFERROR((dir!G6/(d_ss_Bv!F6+MLF_berries)),".")</f>
        <v>.</v>
      </c>
      <c r="H6" s="76" t="str">
        <f>IFERROR((dir!H6/(d_ss_Bv!G6+MLF_broccoli)),".")</f>
        <v>.</v>
      </c>
      <c r="I6" s="76" t="str">
        <f>IFERROR((dir!I6/(d_ss_Bv!H6+MLF_cabbage)),".")</f>
        <v>.</v>
      </c>
      <c r="J6" s="76" t="str">
        <f>IFERROR((dir!J6/(d_ss_Bv!I6+MLF_carrot)),".")</f>
        <v>.</v>
      </c>
      <c r="K6" s="76" t="str">
        <f>IFERROR((dir!K6/(d_ss_Bv!J6+MLF_citrus)),".")</f>
        <v>.</v>
      </c>
      <c r="L6" s="76" t="str">
        <f>IFERROR((dir!L6/(d_ss_Bv!K6+MLF_corn)),".")</f>
        <v>.</v>
      </c>
      <c r="M6" s="76" t="str">
        <f>IFERROR((dir!M6/(d_ss_Bv!L6+MLF_cucumber)),".")</f>
        <v>.</v>
      </c>
      <c r="N6" s="76" t="str">
        <f>IFERROR((dir!N6/(d_ss_Bv!M6+MLF_lettuce)),".")</f>
        <v>.</v>
      </c>
      <c r="O6" s="76" t="str">
        <f>IFERROR((dir!O6/(d_ss_Bv!N6+MLF_lima_bean)),".")</f>
        <v>.</v>
      </c>
      <c r="P6" s="76" t="str">
        <f>IFERROR((dir!P6/(d_ss_Bv!O6+MLF_okra)),".")</f>
        <v>.</v>
      </c>
      <c r="Q6" s="76" t="str">
        <f>IFERROR((dir!Q6/(d_ss_Bv!P6+MLF_onion)),".")</f>
        <v>.</v>
      </c>
      <c r="R6" s="76" t="str">
        <f>IFERROR((dir!R6/(d_ss_Bv!Q6+MLF_peach)),".")</f>
        <v>.</v>
      </c>
      <c r="S6" s="76" t="str">
        <f>IFERROR((dir!S6/(d_ss_Bv!R6+MLF_pear)),".")</f>
        <v>.</v>
      </c>
      <c r="T6" s="76" t="str">
        <f>IFERROR((dir!T6/(d_ss_Bv!S6+MLF_peas)),".")</f>
        <v>.</v>
      </c>
      <c r="U6" s="76" t="str">
        <f>IFERROR((dir!U6/(d_ss_Bv!T6+MLF_potato)),".")</f>
        <v>.</v>
      </c>
      <c r="V6" s="76" t="str">
        <f>IFERROR((dir!V6/(d_ss_Bv!U6+MLF_pumpkin)),".")</f>
        <v>.</v>
      </c>
      <c r="W6" s="76" t="str">
        <f>IFERROR((dir!W6/(d_ss_Bv!V6+MLF_snap_bean)),".")</f>
        <v>.</v>
      </c>
      <c r="X6" s="76" t="str">
        <f>IFERROR((dir!X6/(d_ss_Bv!W6+MLF_strawberry)),".")</f>
        <v>.</v>
      </c>
      <c r="Y6" s="76" t="str">
        <f>IFERROR((dir!Y6/(d_ss_Bv!X6+MLF_tomato)),".")</f>
        <v>.</v>
      </c>
      <c r="Z6" s="76" t="str">
        <f>IFERROR((dir!Z6/(d_ss_Bv!D6+MLF_rice)),".")</f>
        <v>.</v>
      </c>
      <c r="AA6" s="76" t="str">
        <f>IFERROR((dir!AA6/(d_ss_Bv!Z6+MLF_cereal)),".")</f>
        <v>.</v>
      </c>
      <c r="AB6" s="76" t="str">
        <f t="shared" ref="AB6:AB9" si="5">IFERROR(1/SUM(1/AC6,1/AD6,1/AE6,1/AF6,1/AG6,1/AH6,1/AI6,1/AJ6,1/AK6,1/AL6,1/AM6,1/AN6,1/AO6,1/AP6,1/AQ6,1/AR6,1/AS6,1/AT6,1/AU6,1/AV6,1/AW6,1/AX6),".")</f>
        <v>.</v>
      </c>
      <c r="AC6" s="76" t="str">
        <f>IFERROR((dir!AC6/(d_ss_Bv!C6+MLF_apple))*1,".")</f>
        <v>.</v>
      </c>
      <c r="AD6" s="76" t="str">
        <f>IFERROR((dir!AD6/(d_ss_Bv!D6+MLF_asparagus))*1,".")</f>
        <v>.</v>
      </c>
      <c r="AE6" s="76" t="str">
        <f>IFERROR((dir!AE6/(d_ss_Bv!E6+MLF_beet))*1,".")</f>
        <v>.</v>
      </c>
      <c r="AF6" s="76" t="str">
        <f>IFERROR((dir!AF6/(d_ss_Bv!F6+MLF_berries))*1,".")</f>
        <v>.</v>
      </c>
      <c r="AG6" s="76" t="str">
        <f>IFERROR((dir!AG6/(d_ss_Bv!G6+MLF_broccoli))*1,".")</f>
        <v>.</v>
      </c>
      <c r="AH6" s="76" t="str">
        <f>IFERROR((dir!AH6/(d_ss_Bv!H6+MLF_cabbage))*1,".")</f>
        <v>.</v>
      </c>
      <c r="AI6" s="76" t="str">
        <f>IFERROR((dir!AI6/(d_ss_Bv!I6+MLF_carrot))*1,".")</f>
        <v>.</v>
      </c>
      <c r="AJ6" s="76" t="str">
        <f>IFERROR((dir!AJ6/(d_ss_Bv!J6+MLF_citrus))*1,".")</f>
        <v>.</v>
      </c>
      <c r="AK6" s="76" t="str">
        <f>IFERROR((dir!AK6/(d_ss_Bv!K6+MLF_corn))*1,".")</f>
        <v>.</v>
      </c>
      <c r="AL6" s="76" t="str">
        <f>IFERROR((dir!AL6/(d_ss_Bv!L6+MLF_cucumber))*1,".")</f>
        <v>.</v>
      </c>
      <c r="AM6" s="76" t="str">
        <f>IFERROR((dir!AM6/(d_ss_Bv!M6+MLF_lettuce))*1,".")</f>
        <v>.</v>
      </c>
      <c r="AN6" s="76" t="str">
        <f>IFERROR((dir!AN6/(d_ss_Bv!N6+MLF_lima_bean))*1,".")</f>
        <v>.</v>
      </c>
      <c r="AO6" s="76" t="str">
        <f>IFERROR((dir!AO6/(d_ss_Bv!O6+MLF_okra))*1,".")</f>
        <v>.</v>
      </c>
      <c r="AP6" s="76" t="str">
        <f>IFERROR((dir!AP6/(d_ss_Bv!P6+MLF_onion))*1,".")</f>
        <v>.</v>
      </c>
      <c r="AQ6" s="76" t="str">
        <f>IFERROR((dir!AQ6/(d_ss_Bv!Q6+MLF_peach))*1,".")</f>
        <v>.</v>
      </c>
      <c r="AR6" s="76" t="str">
        <f>IFERROR((dir!AR6/(d_ss_Bv!R6+MLF_pear))*1,".")</f>
        <v>.</v>
      </c>
      <c r="AS6" s="76" t="str">
        <f>IFERROR((dir!AS6/(d_ss_Bv!S6+MLF_peas))*1,".")</f>
        <v>.</v>
      </c>
      <c r="AT6" s="76" t="str">
        <f>IFERROR((dir!AT6/(d_ss_Bv!T6+MLF_potato))*1,".")</f>
        <v>.</v>
      </c>
      <c r="AU6" s="76" t="str">
        <f>IFERROR((dir!AU6/(d_ss_Bv!U6+MLF_pumpkin))*1,".")</f>
        <v>.</v>
      </c>
      <c r="AV6" s="76" t="str">
        <f>IFERROR((dir!AV6/(d_ss_Bv!V6+MLF_snap_bean))*1,".")</f>
        <v>.</v>
      </c>
      <c r="AW6" s="76" t="str">
        <f>IFERROR((dir!AW6/(d_ss_Bv!W6+MLF_strawberry))*1,".")</f>
        <v>.</v>
      </c>
      <c r="AX6" s="76" t="str">
        <f>IFERROR((dir!AX6/(d_ss_Bv!X6+MLF_tomato))*1,".")</f>
        <v>.</v>
      </c>
      <c r="AY6" s="76" t="str">
        <f>IFERROR((dir!AY6/(d_ss_Bv!Y6+MLF_rice))*1,".")</f>
        <v>.</v>
      </c>
      <c r="AZ6" s="76" t="str">
        <f>IFERROR((dir!AZ6/(d_ss_Bv!Z6+MLF_cereal))*1,".")</f>
        <v>.</v>
      </c>
    </row>
    <row r="7" spans="1:52" ht="15" customHeight="1" x14ac:dyDescent="0.25">
      <c r="A7" s="92" t="s">
        <v>17</v>
      </c>
      <c r="B7" s="90" t="s">
        <v>1074</v>
      </c>
      <c r="C7" s="76">
        <f>IFERROR(1/SUM(1/D7,1/E7,1/F7,1/G7,1/H7,1/I7,1/J7,1/K7,1/L7,1/M7,1/N7,1/O7,1/P7,1/Q7,1/R7,1/S7,1/T7,1/U7,1/V7,1/W7,1/X7,1/Y7),".")</f>
        <v>6.3241415477523932E-2</v>
      </c>
      <c r="D7" s="76">
        <f>IFERROR((dir!D7/(d_ss_Bv!C7+MLF_apple)),".")</f>
        <v>1.1484101286055743</v>
      </c>
      <c r="E7" s="76">
        <f>IFERROR((dir!E7/(d_ss_Bv!D7+MLF_asparagus)),".")</f>
        <v>2.5548024447076019</v>
      </c>
      <c r="F7" s="76">
        <f>IFERROR((dir!F7/(d_ss_Bv!E7+MLF_beet)),".")</f>
        <v>3.1233661074267176</v>
      </c>
      <c r="G7" s="76">
        <f>IFERROR((dir!G7/(d_ss_Bv!F7+MLF_berries)),".")</f>
        <v>2.5723709187172523</v>
      </c>
      <c r="H7" s="76">
        <f>IFERROR((dir!H7/(d_ss_Bv!G7+MLF_broccoli)),".")</f>
        <v>3.0222889557911428</v>
      </c>
      <c r="I7" s="76">
        <f>IFERROR((dir!I7/(d_ss_Bv!H7+MLF_cabbage)),".")</f>
        <v>1.1438830619186078</v>
      </c>
      <c r="J7" s="76">
        <f>IFERROR((dir!J7/(d_ss_Bv!I7+MLF_carrot)),".")</f>
        <v>3.4492072965461991</v>
      </c>
      <c r="K7" s="76">
        <f>IFERROR((dir!K7/(d_ss_Bv!J7+MLF_citrus)),".")</f>
        <v>0.29789644502781421</v>
      </c>
      <c r="L7" s="76">
        <f>IFERROR((dir!L7/(d_ss_Bv!K7+MLF_corn)),".")</f>
        <v>1.6362233782170568</v>
      </c>
      <c r="M7" s="76">
        <f>IFERROR((dir!M7/(d_ss_Bv!L7+MLF_cucumber)),".")</f>
        <v>1.2179932480197178</v>
      </c>
      <c r="N7" s="76">
        <f>IFERROR((dir!N7/(d_ss_Bv!M7+MLF_lettuce)),".")</f>
        <v>2.4933195511883741</v>
      </c>
      <c r="O7" s="76">
        <f>IFERROR((dir!O7/(d_ss_Bv!N7+MLF_lima_bean)),".")</f>
        <v>2.9550080770169553</v>
      </c>
      <c r="P7" s="76">
        <f>IFERROR((dir!P7/(d_ss_Bv!O7+MLF_okra)),".")</f>
        <v>3.4476228293115647</v>
      </c>
      <c r="Q7" s="76">
        <f>IFERROR((dir!Q7/(d_ss_Bv!P7+MLF_onion)),".")</f>
        <v>4.655111121974203</v>
      </c>
      <c r="R7" s="76">
        <f>IFERROR((dir!R7/(d_ss_Bv!Q7+MLF_peach)),".")</f>
        <v>0.73446435555632261</v>
      </c>
      <c r="S7" s="76">
        <f>IFERROR((dir!S7/(d_ss_Bv!R7+MLF_pear)),".")</f>
        <v>1.5229090510892447</v>
      </c>
      <c r="T7" s="76">
        <f>IFERROR((dir!T7/(d_ss_Bv!S7+MLF_peas)),".")</f>
        <v>2.431550358851355</v>
      </c>
      <c r="U7" s="76">
        <f>IFERROR((dir!U7/(d_ss_Bv!T7+MLF_potato)),".")</f>
        <v>0.76378304665366148</v>
      </c>
      <c r="V7" s="76">
        <f>IFERROR((dir!V7/(d_ss_Bv!U7+MLF_pumpkin)),".")</f>
        <v>1.3989794251086498</v>
      </c>
      <c r="W7" s="76">
        <f>IFERROR((dir!W7/(d_ss_Bv!V7+MLF_snap_bean)),".")</f>
        <v>1.6824672278736652</v>
      </c>
      <c r="X7" s="76">
        <f>IFERROR((dir!X7/(d_ss_Bv!W7+MLF_strawberry)),".")</f>
        <v>2.2790586347227002</v>
      </c>
      <c r="Y7" s="76">
        <f>IFERROR((dir!Y7/(d_ss_Bv!X7+MLF_tomato)),".")</f>
        <v>1.2103001099644857</v>
      </c>
      <c r="Z7" s="76">
        <f>IFERROR((dir!Z7/(d_ss_Bv!D7+MLF_rice)),".")</f>
        <v>0.38293398159338676</v>
      </c>
      <c r="AA7" s="76">
        <f>IFERROR((dir!AA7/(d_ss_Bv!Z7+MLF_cereal)),".")</f>
        <v>0.29649306578621348</v>
      </c>
      <c r="AB7" s="76">
        <f>IFERROR(1/SUM(1/AC7,1/AD7,1/AE7,1/AF7,1/AG7,1/AH7,1/AI7,1/AJ7,1/AK7,1/AL7,1/AM7,1/AN7,1/AO7,1/AP7,1/AQ7,1/AR7,1/AS7,1/AT7,1/AU7,1/AV7,1/AW7,1/AX7),".")</f>
        <v>3.8805502292777211E-2</v>
      </c>
      <c r="AC7" s="76">
        <f>IFERROR((dir!AC7/(d_ss_Bv!C7+MLF_apple))*1,".")</f>
        <v>0.64853955859189605</v>
      </c>
      <c r="AD7" s="76">
        <f>IFERROR((dir!AD7/(d_ss_Bv!D7+MLF_asparagus))*1,".")</f>
        <v>1.5566116301371413</v>
      </c>
      <c r="AE7" s="76">
        <f>IFERROR((dir!AE7/(d_ss_Bv!E7+MLF_beet))*1,".")</f>
        <v>1.862864785500935</v>
      </c>
      <c r="AF7" s="76">
        <f>IFERROR((dir!AF7/(d_ss_Bv!F7+MLF_berries))*1,".")</f>
        <v>1.6259217521869849</v>
      </c>
      <c r="AG7" s="76">
        <f>IFERROR((dir!AG7/(d_ss_Bv!G7+MLF_broccoli))*1,".")</f>
        <v>1.6880280146366515</v>
      </c>
      <c r="AH7" s="76">
        <f>IFERROR((dir!AH7/(d_ss_Bv!H7+MLF_cabbage))*1,".")</f>
        <v>0.73469598029491379</v>
      </c>
      <c r="AI7" s="76">
        <f>IFERROR((dir!AI7/(d_ss_Bv!I7+MLF_carrot))*1,".")</f>
        <v>2.4099695581982132</v>
      </c>
      <c r="AJ7" s="76">
        <f>IFERROR((dir!AJ7/(d_ss_Bv!J7+MLF_citrus))*1,".")</f>
        <v>0.18743054952177876</v>
      </c>
      <c r="AK7" s="76">
        <f>IFERROR((dir!AK7/(d_ss_Bv!K7+MLF_corn))*1,".")</f>
        <v>0.7340579916751544</v>
      </c>
      <c r="AL7" s="76">
        <f>IFERROR((dir!AL7/(d_ss_Bv!L7+MLF_cucumber))*1,".")</f>
        <v>1.1142657742554369</v>
      </c>
      <c r="AM7" s="76">
        <f>IFERROR((dir!AM7/(d_ss_Bv!M7+MLF_lettuce))*1,".")</f>
        <v>1.4865569266891463</v>
      </c>
      <c r="AN7" s="76">
        <f>IFERROR((dir!AN7/(d_ss_Bv!N7+MLF_lima_bean))*1,".")</f>
        <v>1.7781777268701591</v>
      </c>
      <c r="AO7" s="76">
        <f>IFERROR((dir!AO7/(d_ss_Bv!O7+MLF_okra))*1,".")</f>
        <v>2.0706580340792486</v>
      </c>
      <c r="AP7" s="76">
        <f>IFERROR((dir!AP7/(d_ss_Bv!P7+MLF_onion))*1,".")</f>
        <v>2.2640767729601805</v>
      </c>
      <c r="AQ7" s="76">
        <f>IFERROR((dir!AQ7/(d_ss_Bv!Q7+MLF_peach))*1,".")</f>
        <v>0.53410379742786918</v>
      </c>
      <c r="AR7" s="76">
        <f>IFERROR((dir!AR7/(d_ss_Bv!R7+MLF_pear))*1,".")</f>
        <v>0.87680055935810708</v>
      </c>
      <c r="AS7" s="76">
        <f>IFERROR((dir!AS7/(d_ss_Bv!S7+MLF_peas))*1,".")</f>
        <v>1.7518834025452246</v>
      </c>
      <c r="AT7" s="76">
        <f>IFERROR((dir!AT7/(d_ss_Bv!T7+MLF_potato))*1,".")</f>
        <v>0.4238441371381847</v>
      </c>
      <c r="AU7" s="76">
        <f>IFERROR((dir!AU7/(d_ss_Bv!U7+MLF_pumpkin))*1,".")</f>
        <v>0.88606553307075486</v>
      </c>
      <c r="AV7" s="76">
        <f>IFERROR((dir!AV7/(d_ss_Bv!V7+MLF_snap_bean))*1,".")</f>
        <v>1.0405856178770383</v>
      </c>
      <c r="AW7" s="76">
        <f>IFERROR((dir!AW7/(d_ss_Bv!W7+MLF_strawberry))*1,".")</f>
        <v>1.4338033718447754</v>
      </c>
      <c r="AX7" s="76">
        <f>IFERROR((dir!AX7/(d_ss_Bv!X7+MLF_tomato))*1,".")</f>
        <v>0.63285195949787099</v>
      </c>
      <c r="AY7" s="76">
        <f>IFERROR((dir!AY7/(d_ss_Bv!Y7+MLF_rice))*1,".")</f>
        <v>0.19478722763131812</v>
      </c>
      <c r="AZ7" s="76">
        <f>IFERROR((dir!AZ7/(d_ss_Bv!Z7+MLF_cereal))*1,".")</f>
        <v>0.18431639742164779</v>
      </c>
    </row>
    <row r="8" spans="1:52" ht="15" customHeight="1" x14ac:dyDescent="0.25">
      <c r="A8" s="92" t="s">
        <v>18</v>
      </c>
      <c r="B8" s="90" t="s">
        <v>1074</v>
      </c>
      <c r="C8" s="76">
        <f t="shared" si="4"/>
        <v>1.1474731055715681</v>
      </c>
      <c r="D8" s="76">
        <f>IFERROR((dir!D8/(d_ss_Bv!C8+MLF_apple)),".")</f>
        <v>20.837132230369182</v>
      </c>
      <c r="E8" s="76">
        <f>IFERROR((dir!E8/(d_ss_Bv!D8+MLF_asparagus)),".")</f>
        <v>46.355178378199774</v>
      </c>
      <c r="F8" s="76">
        <f>IFERROR((dir!F8/(d_ss_Bv!E8+MLF_beet)),".")</f>
        <v>56.671385041969309</v>
      </c>
      <c r="G8" s="76">
        <f>IFERROR((dir!G8/(d_ss_Bv!F8+MLF_berries)),".")</f>
        <v>46.673946566416113</v>
      </c>
      <c r="H8" s="76">
        <f>IFERROR((dir!H8/(d_ss_Bv!G8+MLF_broccoli)),".")</f>
        <v>54.83740785765373</v>
      </c>
      <c r="I8" s="76">
        <f>IFERROR((dir!I8/(d_ss_Bv!H8+MLF_cabbage)),".")</f>
        <v>20.754991638935564</v>
      </c>
      <c r="J8" s="76">
        <f>IFERROR((dir!J8/(d_ss_Bv!I8+MLF_carrot)),".")</f>
        <v>62.583555071353707</v>
      </c>
      <c r="K8" s="76">
        <f>IFERROR((dir!K8/(d_ss_Bv!J8+MLF_citrus)),".")</f>
        <v>5.405131373700546</v>
      </c>
      <c r="L8" s="76">
        <f>IFERROR((dir!L8/(d_ss_Bv!K8+MLF_corn)),".")</f>
        <v>29.688176759402271</v>
      </c>
      <c r="M8" s="76">
        <f>IFERROR((dir!M8/(d_ss_Bv!L8+MLF_cucumber)),".")</f>
        <v>22.09967130427529</v>
      </c>
      <c r="N8" s="76">
        <f>IFERROR((dir!N8/(d_ss_Bv!M8+MLF_lettuce)),".")</f>
        <v>45.239612475170503</v>
      </c>
      <c r="O8" s="76">
        <f>IFERROR((dir!O8/(d_ss_Bv!N8+MLF_lima_bean)),".")</f>
        <v>53.616641397421041</v>
      </c>
      <c r="P8" s="76">
        <f>IFERROR((dir!P8/(d_ss_Bv!O8+MLF_okra)),".")</f>
        <v>62.554805975137654</v>
      </c>
      <c r="Q8" s="76">
        <f>IFERROR((dir!Q8/(d_ss_Bv!P8+MLF_onion)),".")</f>
        <v>84.463871903861829</v>
      </c>
      <c r="R8" s="76">
        <f>IFERROR((dir!R8/(d_ss_Bv!Q8+MLF_peach)),".")</f>
        <v>13.326363564733278</v>
      </c>
      <c r="S8" s="76">
        <f>IFERROR((dir!S8/(d_ss_Bv!R8+MLF_pear)),".")</f>
        <v>27.632164225949172</v>
      </c>
      <c r="T8" s="76">
        <f>IFERROR((dir!T8/(d_ss_Bv!S8+MLF_peas)),".")</f>
        <v>44.118851871942113</v>
      </c>
      <c r="U8" s="76">
        <f>IFERROR((dir!U8/(d_ss_Bv!T8+MLF_potato)),".")</f>
        <v>13.858331568148907</v>
      </c>
      <c r="V8" s="76">
        <f>IFERROR((dir!V8/(d_ss_Bv!U8+MLF_pumpkin)),".")</f>
        <v>25.383544208156941</v>
      </c>
      <c r="W8" s="76">
        <f>IFERROR((dir!W8/(d_ss_Bv!V8+MLF_snap_bean)),".")</f>
        <v>30.527240423274755</v>
      </c>
      <c r="X8" s="76">
        <f>IFERROR((dir!X8/(d_ss_Bv!W8+MLF_strawberry)),".")</f>
        <v>41.351991722803625</v>
      </c>
      <c r="Y8" s="76">
        <f>IFERROR((dir!Y8/(d_ss_Bv!X8+MLF_tomato)),".")</f>
        <v>21.960084469458707</v>
      </c>
      <c r="Z8" s="76">
        <f>IFERROR((dir!Z8/(d_ss_Bv!D8+MLF_rice)),".")</f>
        <v>6.9480804907666034</v>
      </c>
      <c r="AA8" s="76">
        <f>IFERROR((dir!AA8/(d_ss_Bv!Z8+MLF_cereal)),".")</f>
        <v>5.379667997770472</v>
      </c>
      <c r="AB8" s="76">
        <f t="shared" si="5"/>
        <v>0.70409983541533905</v>
      </c>
      <c r="AC8" s="76">
        <f>IFERROR((dir!AC8/(d_ss_Bv!C8+MLF_apple))*1,".")</f>
        <v>11.767315702285947</v>
      </c>
      <c r="AD8" s="76">
        <f>IFERROR((dir!AD8/(d_ss_Bv!D8+MLF_asparagus))*1,".")</f>
        <v>28.243674938570809</v>
      </c>
      <c r="AE8" s="76">
        <f>IFERROR((dir!AE8/(d_ss_Bv!E8+MLF_beet))*1,".")</f>
        <v>33.800433221460267</v>
      </c>
      <c r="AF8" s="76">
        <f>IFERROR((dir!AF8/(d_ss_Bv!F8+MLF_berries))*1,".")</f>
        <v>29.501260658238074</v>
      </c>
      <c r="AG8" s="76">
        <f>IFERROR((dir!AG8/(d_ss_Bv!G8+MLF_broccoli))*1,".")</f>
        <v>30.628137172788719</v>
      </c>
      <c r="AH8" s="76">
        <f>IFERROR((dir!AH8/(d_ss_Bv!H8+MLF_cabbage))*1,".")</f>
        <v>13.330566240402559</v>
      </c>
      <c r="AI8" s="76">
        <f>IFERROR((dir!AI8/(d_ss_Bv!I8+MLF_carrot))*1,".")</f>
        <v>43.727282705452112</v>
      </c>
      <c r="AJ8" s="76">
        <f>IFERROR((dir!AJ8/(d_ss_Bv!J8+MLF_citrus))*1,".")</f>
        <v>3.4008017232817584</v>
      </c>
      <c r="AK8" s="76">
        <f>IFERROR((dir!AK8/(d_ss_Bv!K8+MLF_corn))*1,".")</f>
        <v>13.318990364415171</v>
      </c>
      <c r="AL8" s="76">
        <f>IFERROR((dir!AL8/(d_ss_Bv!L8+MLF_cucumber))*1,".")</f>
        <v>20.217605800923387</v>
      </c>
      <c r="AM8" s="76">
        <f>IFERROR((dir!AM8/(d_ss_Bv!M8+MLF_lettuce))*1,".")</f>
        <v>26.972579288380384</v>
      </c>
      <c r="AN8" s="76">
        <f>IFERROR((dir!AN8/(d_ss_Bv!N8+MLF_lima_bean))*1,".")</f>
        <v>32.263843291664742</v>
      </c>
      <c r="AO8" s="76">
        <f>IFERROR((dir!AO8/(d_ss_Bv!O8+MLF_okra))*1,".")</f>
        <v>37.570702474015235</v>
      </c>
      <c r="AP8" s="76">
        <f>IFERROR((dir!AP8/(d_ss_Bv!P8+MLF_onion))*1,".")</f>
        <v>41.080155880514624</v>
      </c>
      <c r="AQ8" s="76">
        <f>IFERROR((dir!AQ8/(d_ss_Bv!Q8+MLF_peach))*1,".")</f>
        <v>9.6909554997221594</v>
      </c>
      <c r="AR8" s="76">
        <f>IFERROR((dir!AR8/(d_ss_Bv!R8+MLF_pear))*1,".")</f>
        <v>15.908958602786271</v>
      </c>
      <c r="AS8" s="76">
        <f>IFERROR((dir!AS8/(d_ss_Bv!S8+MLF_peas))*1,".")</f>
        <v>31.786750396696856</v>
      </c>
      <c r="AT8" s="76">
        <f>IFERROR((dir!AT8/(d_ss_Bv!T8+MLF_potato))*1,".")</f>
        <v>7.6903678491052068</v>
      </c>
      <c r="AU8" s="76">
        <f>IFERROR((dir!AU8/(d_ss_Bv!U8+MLF_pumpkin))*1,".")</f>
        <v>16.077065342314729</v>
      </c>
      <c r="AV8" s="76">
        <f>IFERROR((dir!AV8/(d_ss_Bv!V8+MLF_snap_bean))*1,".")</f>
        <v>18.880728736738014</v>
      </c>
      <c r="AW8" s="76">
        <f>IFERROR((dir!AW8/(d_ss_Bv!W8+MLF_strawberry))*1,".")</f>
        <v>26.015401386049533</v>
      </c>
      <c r="AX8" s="76">
        <f>IFERROR((dir!AX8/(d_ss_Bv!X8+MLF_tomato))*1,".")</f>
        <v>11.482674729033535</v>
      </c>
      <c r="AY8" s="76">
        <f>IFERROR((dir!AY8/(d_ss_Bv!Y8+MLF_rice))*1,".")</f>
        <v>3.5342837178465967</v>
      </c>
      <c r="AZ8" s="76">
        <f>IFERROR((dir!AZ8/(d_ss_Bv!Z8+MLF_cereal))*1,".")</f>
        <v>3.3442975202278351</v>
      </c>
    </row>
    <row r="9" spans="1:52" ht="15" customHeight="1" x14ac:dyDescent="0.25">
      <c r="A9" s="92" t="s">
        <v>19</v>
      </c>
      <c r="B9" s="90" t="s">
        <v>1074</v>
      </c>
      <c r="C9" s="76">
        <f t="shared" si="4"/>
        <v>3.1047389467347872</v>
      </c>
      <c r="D9" s="76">
        <f>IFERROR((dir!D9/(d_ss_Bv!C9+MLF_apple)),".")</f>
        <v>56.379409382030978</v>
      </c>
      <c r="E9" s="76">
        <f>IFERROR((dir!E9/(d_ss_Bv!D9+MLF_asparagus)),".")</f>
        <v>125.42405307351125</v>
      </c>
      <c r="F9" s="76">
        <f>IFERROR((dir!F9/(d_ss_Bv!E9+MLF_beet)),".")</f>
        <v>153.33680192666728</v>
      </c>
      <c r="G9" s="76">
        <f>IFERROR((dir!G9/(d_ss_Bv!F9+MLF_berries)),".")</f>
        <v>126.28654998444527</v>
      </c>
      <c r="H9" s="76">
        <f>IFERROR((dir!H9/(d_ss_Bv!G9+MLF_broccoli)),".")</f>
        <v>148.37457635125276</v>
      </c>
      <c r="I9" s="76">
        <f>IFERROR((dir!I9/(d_ss_Bv!H9+MLF_cabbage)),".")</f>
        <v>56.15716008303346</v>
      </c>
      <c r="J9" s="76">
        <f>IFERROR((dir!J9/(d_ss_Bv!I9+MLF_carrot)),".")</f>
        <v>169.33346839389986</v>
      </c>
      <c r="K9" s="76">
        <f>IFERROR((dir!K9/(d_ss_Bv!J9+MLF_citrus)),".")</f>
        <v>14.624762712662562</v>
      </c>
      <c r="L9" s="76">
        <f>IFERROR((dir!L9/(d_ss_Bv!K9+MLF_corn)),".")</f>
        <v>80.327842277880606</v>
      </c>
      <c r="M9" s="76">
        <f>IFERROR((dir!M9/(d_ss_Bv!L9+MLF_cucumber)),".")</f>
        <v>59.795484421609565</v>
      </c>
      <c r="N9" s="76">
        <f>IFERROR((dir!N9/(d_ss_Bv!M9+MLF_lettuce)),".")</f>
        <v>122.40564602765797</v>
      </c>
      <c r="O9" s="76">
        <f>IFERROR((dir!O9/(d_ss_Bv!N9+MLF_lima_bean)),".")</f>
        <v>145.07152623569985</v>
      </c>
      <c r="P9" s="76">
        <f>IFERROR((dir!P9/(d_ss_Bv!O9+MLF_okra)),".")</f>
        <v>169.25568143900566</v>
      </c>
      <c r="Q9" s="76">
        <f>IFERROR((dir!Q9/(d_ss_Bv!P9+MLF_onion)),".")</f>
        <v>228.53544141351733</v>
      </c>
      <c r="R9" s="76">
        <f>IFERROR((dir!R9/(d_ss_Bv!Q9+MLF_peach)),".")</f>
        <v>36.057385377381536</v>
      </c>
      <c r="S9" s="76">
        <f>IFERROR((dir!S9/(d_ss_Bv!R9+MLF_pear)),".")</f>
        <v>74.7648516015919</v>
      </c>
      <c r="T9" s="76">
        <f>IFERROR((dir!T9/(d_ss_Bv!S9+MLF_peas)),".")</f>
        <v>119.37318358656582</v>
      </c>
      <c r="U9" s="76">
        <f>IFERROR((dir!U9/(d_ss_Bv!T9+MLF_potato)),".")</f>
        <v>37.496740923582813</v>
      </c>
      <c r="V9" s="76">
        <f>IFERROR((dir!V9/(d_ss_Bv!U9+MLF_pumpkin)),".")</f>
        <v>68.680719335877924</v>
      </c>
      <c r="W9" s="76">
        <f>IFERROR((dir!W9/(d_ss_Bv!V9+MLF_snap_bean)),".")</f>
        <v>82.598112163393324</v>
      </c>
      <c r="X9" s="76">
        <f>IFERROR((dir!X9/(d_ss_Bv!W9+MLF_strawberry)),".")</f>
        <v>111.88683952892472</v>
      </c>
      <c r="Y9" s="76">
        <f>IFERROR((dir!Y9/(d_ss_Bv!X9+MLF_tomato)),".")</f>
        <v>59.417801772315052</v>
      </c>
      <c r="Z9" s="76">
        <f>IFERROR((dir!Z9/(d_ss_Bv!D9+MLF_rice)),".")</f>
        <v>18.79954832927087</v>
      </c>
      <c r="AA9" s="76">
        <f>IFERROR((dir!AA9/(d_ss_Bv!Z9+MLF_cereal)),".")</f>
        <v>14.555865991178125</v>
      </c>
      <c r="AB9" s="76">
        <f t="shared" si="5"/>
        <v>1.9050957889898994</v>
      </c>
      <c r="AC9" s="76">
        <f>IFERROR((dir!AC9/(d_ss_Bv!C9+MLF_apple))*1,".")</f>
        <v>31.839041091261837</v>
      </c>
      <c r="AD9" s="76">
        <f>IFERROR((dir!AD9/(d_ss_Bv!D9+MLF_asparagus))*1,".")</f>
        <v>76.419427309382655</v>
      </c>
      <c r="AE9" s="76">
        <f>IFERROR((dir!AE9/(d_ss_Bv!E9+MLF_beet))*1,".")</f>
        <v>91.454449720547984</v>
      </c>
      <c r="AF9" s="76">
        <f>IFERROR((dir!AF9/(d_ss_Bv!F9+MLF_berries))*1,".")</f>
        <v>79.822099967896591</v>
      </c>
      <c r="AG9" s="76">
        <f>IFERROR((dir!AG9/(d_ss_Bv!G9+MLF_broccoli))*1,".")</f>
        <v>82.87111034199458</v>
      </c>
      <c r="AH9" s="76">
        <f>IFERROR((dir!AH9/(d_ss_Bv!H9+MLF_cabbage))*1,".")</f>
        <v>36.068756633725187</v>
      </c>
      <c r="AI9" s="76">
        <f>IFERROR((dir!AI9/(d_ss_Bv!I9+MLF_carrot))*1,".")</f>
        <v>118.31370773860125</v>
      </c>
      <c r="AJ9" s="76">
        <f>IFERROR((dir!AJ9/(d_ss_Bv!J9+MLF_citrus))*1,".")</f>
        <v>9.201611357275608</v>
      </c>
      <c r="AK9" s="76">
        <f>IFERROR((dir!AK9/(d_ss_Bv!K9+MLF_corn))*1,".")</f>
        <v>36.037435574568249</v>
      </c>
      <c r="AL9" s="76">
        <f>IFERROR((dir!AL9/(d_ss_Bv!L9+MLF_cucumber))*1,".")</f>
        <v>54.703145402777366</v>
      </c>
      <c r="AM9" s="76">
        <f>IFERROR((dir!AM9/(d_ss_Bv!M9+MLF_lettuce))*1,".")</f>
        <v>72.980200585018054</v>
      </c>
      <c r="AN9" s="76">
        <f>IFERROR((dir!AN9/(d_ss_Bv!N9+MLF_lima_bean))*1,".")</f>
        <v>87.29687027312356</v>
      </c>
      <c r="AO9" s="76">
        <f>IFERROR((dir!AO9/(d_ss_Bv!O9+MLF_okra))*1,".")</f>
        <v>101.65573612216116</v>
      </c>
      <c r="AP9" s="76">
        <f>IFERROR((dir!AP9/(d_ss_Bv!P9+MLF_onion))*1,".")</f>
        <v>111.15132832384708</v>
      </c>
      <c r="AQ9" s="76">
        <f>IFERROR((dir!AQ9/(d_ss_Bv!Q9+MLF_peach))*1,".")</f>
        <v>26.220995354896779</v>
      </c>
      <c r="AR9" s="76">
        <f>IFERROR((dir!AR9/(d_ss_Bv!R9+MLF_pear))*1,".")</f>
        <v>43.045159957329652</v>
      </c>
      <c r="AS9" s="76">
        <f>IFERROR((dir!AS9/(d_ss_Bv!S9+MLF_peas))*1,".")</f>
        <v>86.005991310448934</v>
      </c>
      <c r="AT9" s="76">
        <f>IFERROR((dir!AT9/(d_ss_Bv!T9+MLF_potato))*1,".")</f>
        <v>20.807968796742117</v>
      </c>
      <c r="AU9" s="76">
        <f>IFERROR((dir!AU9/(d_ss_Bv!U9+MLF_pumpkin))*1,".")</f>
        <v>43.500009433878063</v>
      </c>
      <c r="AV9" s="76">
        <f>IFERROR((dir!AV9/(d_ss_Bv!V9+MLF_snap_bean))*1,".")</f>
        <v>51.085932704702572</v>
      </c>
      <c r="AW9" s="76">
        <f>IFERROR((dir!AW9/(d_ss_Bv!W9+MLF_strawberry))*1,".")</f>
        <v>70.390346846493841</v>
      </c>
      <c r="AX9" s="76">
        <f>IFERROR((dir!AX9/(d_ss_Bv!X9+MLF_tomato))*1,".")</f>
        <v>31.068882809379435</v>
      </c>
      <c r="AY9" s="76">
        <f>IFERROR((dir!AY9/(d_ss_Bv!Y9+MLF_rice))*1,".")</f>
        <v>9.5627760287620589</v>
      </c>
      <c r="AZ9" s="76">
        <f>IFERROR((dir!AZ9/(d_ss_Bv!Z9+MLF_cereal))*1,".")</f>
        <v>9.0487269027085091</v>
      </c>
    </row>
    <row r="10" spans="1:52" x14ac:dyDescent="0.25">
      <c r="A10" s="94" t="s">
        <v>20</v>
      </c>
      <c r="B10" s="90" t="s">
        <v>351</v>
      </c>
      <c r="C10" s="76">
        <f>IFERROR(1/SUM(1/D10,1/E10,1/F10,1/G10,1/H10,1/I10,1/J10,1/K10,1/L10,1/M10,1/N10,1/O10,1/P10,1/Q10,1/R10,1/S10,1/T10,1/U10,1/V10,1/W10,1/X10,1/Y10),".")</f>
        <v>9.042817629041508E-2</v>
      </c>
      <c r="D10" s="76">
        <f>IFERROR((dir!D10/(d_ss_Bv!C10+MLF_apple)),".")</f>
        <v>6.7261470837529531</v>
      </c>
      <c r="E10" s="76">
        <f>IFERROR((dir!E10/(d_ss_Bv!D10+MLF_asparagus)),".")</f>
        <v>1.4831971237884969</v>
      </c>
      <c r="F10" s="76">
        <f>IFERROR((dir!F10/(d_ss_Bv!E10+MLF_beet)),".")</f>
        <v>2.5868376751130966</v>
      </c>
      <c r="G10" s="76">
        <f>IFERROR((dir!G10/(d_ss_Bv!F10+MLF_berries)),".")</f>
        <v>39.629200106774171</v>
      </c>
      <c r="H10" s="76">
        <f>IFERROR((dir!H10/(d_ss_Bv!G10+MLF_broccoli)),".")</f>
        <v>4.8339438605049496</v>
      </c>
      <c r="I10" s="76">
        <f>IFERROR((dir!I10/(d_ss_Bv!H10+MLF_cabbage)),".")</f>
        <v>0.66396943463630897</v>
      </c>
      <c r="J10" s="76">
        <f>IFERROR((dir!J10/(d_ss_Bv!I10+MLF_carrot)),".")</f>
        <v>2.8583177083092033</v>
      </c>
      <c r="K10" s="76">
        <f>IFERROR((dir!K10/(d_ss_Bv!J10+MLF_citrus)),".")</f>
        <v>1.7455822526983109</v>
      </c>
      <c r="L10" s="76">
        <f>IFERROR((dir!L10/(d_ss_Bv!K10+MLF_corn)),".")</f>
        <v>1.722959744968914</v>
      </c>
      <c r="M10" s="76">
        <f>IFERROR((dir!M10/(d_ss_Bv!L10+MLF_cucumber)),".")</f>
        <v>2.0183390277465922</v>
      </c>
      <c r="N10" s="76">
        <f>IFERROR((dir!N10/(d_ss_Bv!M10+MLF_lettuce)),".")</f>
        <v>1.3418616920465809</v>
      </c>
      <c r="O10" s="76">
        <f>IFERROR((dir!O10/(d_ss_Bv!N10+MLF_lima_bean)),".")</f>
        <v>2.4396714579079837</v>
      </c>
      <c r="P10" s="76">
        <f>IFERROR((dir!P10/(d_ss_Bv!O10+MLF_okra)),".")</f>
        <v>5.7045018811242629</v>
      </c>
      <c r="Q10" s="76">
        <f>IFERROR((dir!Q10/(d_ss_Bv!P10+MLF_onion)),".")</f>
        <v>7.6975355046792657</v>
      </c>
      <c r="R10" s="76">
        <f>IFERROR((dir!R10/(d_ss_Bv!Q10+MLF_peach)),".")</f>
        <v>4.3084990487654435</v>
      </c>
      <c r="S10" s="76">
        <f>IFERROR((dir!S10/(d_ss_Bv!R10+MLF_pear)),".")</f>
        <v>8.919557584573516</v>
      </c>
      <c r="T10" s="76">
        <f>IFERROR((dir!T10/(d_ss_Bv!S10+MLF_peas)),".")</f>
        <v>2.1129469861801096</v>
      </c>
      <c r="U10" s="76">
        <f>IFERROR((dir!U10/(d_ss_Bv!T10+MLF_potato)),".")</f>
        <v>0.47455743375738285</v>
      </c>
      <c r="V10" s="76">
        <f>IFERROR((dir!V10/(d_ss_Bv!U10+MLF_pumpkin)),".")</f>
        <v>2.316686742968618</v>
      </c>
      <c r="W10" s="76">
        <f>IFERROR((dir!W10/(d_ss_Bv!V10+MLF_snap_bean)),".")</f>
        <v>1.3681845707857136</v>
      </c>
      <c r="X10" s="76">
        <f>IFERROR((dir!X10/(d_ss_Bv!W10+MLF_strawberry)),".")</f>
        <v>26.675208397033963</v>
      </c>
      <c r="Y10" s="76">
        <f>IFERROR((dir!Y10/(d_ss_Bv!X10+MLF_tomato)),".")</f>
        <v>1.8969203334645932</v>
      </c>
      <c r="Z10" s="76">
        <f>IFERROR((dir!Z10/(d_ss_Bv!D10+MLF_rice)),".")</f>
        <v>0.15067859001055647</v>
      </c>
      <c r="AA10" s="76">
        <f>IFERROR((dir!AA10/(d_ss_Bv!Z10+MLF_cereal)),".")</f>
        <v>0.12962825403620248</v>
      </c>
      <c r="AB10" s="76">
        <f t="shared" ref="AB10" si="6">IFERROR(1/SUM(1/AC10,1/AD10,1/AE10,1/AF10,1/AG10,1/AH10,1/AI10,1/AJ10,1/AK10,1/AL10,1/AM10,1/AN10,1/AO10,1/AP10,1/AQ10,1/AR10,1/AS10,1/AT10,1/AU10,1/AV10,1/AW10,1/AX10),".")</f>
        <v>5.4321470291758933E-2</v>
      </c>
      <c r="AC10" s="76">
        <f>IFERROR((dir!AC10/(d_ss_Bv!C10+MLF_apple))*1,".")</f>
        <v>3.7984447821075542</v>
      </c>
      <c r="AD10" s="76">
        <f>IFERROR((dir!AD10/(d_ss_Bv!D10+MLF_asparagus))*1,".")</f>
        <v>0.90369488155839384</v>
      </c>
      <c r="AE10" s="76">
        <f>IFERROR((dir!AE10/(d_ss_Bv!E10+MLF_beet))*1,".")</f>
        <v>1.5428638990853112</v>
      </c>
      <c r="AF10" s="76">
        <f>IFERROR((dir!AF10/(d_ss_Bv!F10+MLF_berries))*1,".")</f>
        <v>25.048478820272852</v>
      </c>
      <c r="AG10" s="76">
        <f>IFERROR((dir!AG10/(d_ss_Bv!G10+MLF_broccoli))*1,".")</f>
        <v>2.6998850133365906</v>
      </c>
      <c r="AH10" s="76">
        <f>IFERROR((dir!AH10/(d_ss_Bv!H10+MLF_cabbage))*1,".")</f>
        <v>0.42645589475534418</v>
      </c>
      <c r="AI10" s="76">
        <f>IFERROR((dir!AI10/(d_ss_Bv!I10+MLF_carrot))*1,".")</f>
        <v>1.9971135604350869</v>
      </c>
      <c r="AJ10" s="76">
        <f>IFERROR((dir!AJ10/(d_ss_Bv!J10+MLF_citrus))*1,".")</f>
        <v>1.0982858181747048</v>
      </c>
      <c r="AK10" s="76">
        <f>IFERROR((dir!AK10/(d_ss_Bv!K10+MLF_corn))*1,".")</f>
        <v>0.77297048004972257</v>
      </c>
      <c r="AL10" s="76">
        <f>IFERROR((dir!AL10/(d_ss_Bv!L10+MLF_cucumber))*1,".")</f>
        <v>1.846452025180368</v>
      </c>
      <c r="AM10" s="76">
        <f>IFERROR((dir!AM10/(d_ss_Bv!M10+MLF_lettuce))*1,".")</f>
        <v>0.80003936600100711</v>
      </c>
      <c r="AN10" s="76">
        <f>IFERROR((dir!AN10/(d_ss_Bv!N10+MLF_lima_bean))*1,".")</f>
        <v>1.4680736344085241</v>
      </c>
      <c r="AO10" s="76">
        <f>IFERROR((dir!AO10/(d_ss_Bv!O10+MLF_okra))*1,".")</f>
        <v>3.4261499112212417</v>
      </c>
      <c r="AP10" s="76">
        <f>IFERROR((dir!AP10/(d_ss_Bv!P10+MLF_onion))*1,".")</f>
        <v>3.743801359094006</v>
      </c>
      <c r="AQ10" s="76">
        <f>IFERROR((dir!AQ10/(d_ss_Bv!Q10+MLF_peach))*1,".")</f>
        <v>3.1331482402804203</v>
      </c>
      <c r="AR10" s="76">
        <f>IFERROR((dir!AR10/(d_ss_Bv!R10+MLF_pear))*1,".")</f>
        <v>5.1353513683481307</v>
      </c>
      <c r="AS10" s="76">
        <f>IFERROR((dir!AS10/(d_ss_Bv!S10+MLF_peas))*1,".")</f>
        <v>1.5223360446030454</v>
      </c>
      <c r="AT10" s="76">
        <f>IFERROR((dir!AT10/(d_ss_Bv!T10+MLF_potato))*1,".")</f>
        <v>0.26334492093618794</v>
      </c>
      <c r="AU10" s="76">
        <f>IFERROR((dir!AU10/(d_ss_Bv!U10+MLF_pumpkin))*1,".")</f>
        <v>1.46730983817508</v>
      </c>
      <c r="AV10" s="76">
        <f>IFERROR((dir!AV10/(d_ss_Bv!V10+MLF_snap_bean))*1,".")</f>
        <v>0.84620559816799423</v>
      </c>
      <c r="AW10" s="76">
        <f>IFERROR((dir!AW10/(d_ss_Bv!W10+MLF_strawberry))*1,".")</f>
        <v>16.781930557474663</v>
      </c>
      <c r="AX10" s="76">
        <f>IFERROR((dir!AX10/(d_ss_Bv!X10+MLF_tomato))*1,".")</f>
        <v>0.99187775012236312</v>
      </c>
      <c r="AY10" s="76">
        <f>IFERROR((dir!AY10/(d_ss_Bv!Y10+MLF_rice))*1,".")</f>
        <v>9.4764027432682238E-2</v>
      </c>
      <c r="AZ10" s="76">
        <f>IFERROR((dir!AZ10/(d_ss_Bv!Z10+MLF_cereal))*1,".")</f>
        <v>8.0584052529710071E-2</v>
      </c>
    </row>
    <row r="11" spans="1:52" ht="15" customHeight="1" x14ac:dyDescent="0.25">
      <c r="A11" s="92" t="s">
        <v>21</v>
      </c>
      <c r="B11" s="90" t="s">
        <v>1074</v>
      </c>
      <c r="C11" s="76" t="str">
        <f t="shared" ref="C11" si="7">IFERROR(1/SUM(1/D11,1/E11,1/F11,1/G11,1/H11,1/I11,1/J11,1/K11,1/L11,1/M11,1/N11,1/O11,1/P11,1/Q11,1/R11,1/S11,1/T11,1/U11,1/V11,1/W11,1/X11,1/Y11),".")</f>
        <v>.</v>
      </c>
      <c r="D11" s="76" t="str">
        <f>IFERROR((dir!D11/(d_ss_Bv!C11+MLF_apple)),".")</f>
        <v>.</v>
      </c>
      <c r="E11" s="76" t="str">
        <f>IFERROR((dir!E11/(d_ss_Bv!D11+MLF_asparagus)),".")</f>
        <v>.</v>
      </c>
      <c r="F11" s="76" t="str">
        <f>IFERROR((dir!F11/(d_ss_Bv!E11+MLF_beet)),".")</f>
        <v>.</v>
      </c>
      <c r="G11" s="76" t="str">
        <f>IFERROR((dir!G11/(d_ss_Bv!F11+MLF_berries)),".")</f>
        <v>.</v>
      </c>
      <c r="H11" s="76" t="str">
        <f>IFERROR((dir!H11/(d_ss_Bv!G11+MLF_broccoli)),".")</f>
        <v>.</v>
      </c>
      <c r="I11" s="76" t="str">
        <f>IFERROR((dir!I11/(d_ss_Bv!H11+MLF_cabbage)),".")</f>
        <v>.</v>
      </c>
      <c r="J11" s="76" t="str">
        <f>IFERROR((dir!J11/(d_ss_Bv!I11+MLF_carrot)),".")</f>
        <v>.</v>
      </c>
      <c r="K11" s="76" t="str">
        <f>IFERROR((dir!K11/(d_ss_Bv!J11+MLF_citrus)),".")</f>
        <v>.</v>
      </c>
      <c r="L11" s="76" t="str">
        <f>IFERROR((dir!L11/(d_ss_Bv!K11+MLF_corn)),".")</f>
        <v>.</v>
      </c>
      <c r="M11" s="76" t="str">
        <f>IFERROR((dir!M11/(d_ss_Bv!L11+MLF_cucumber)),".")</f>
        <v>.</v>
      </c>
      <c r="N11" s="76" t="str">
        <f>IFERROR((dir!N11/(d_ss_Bv!M11+MLF_lettuce)),".")</f>
        <v>.</v>
      </c>
      <c r="O11" s="76" t="str">
        <f>IFERROR((dir!O11/(d_ss_Bv!N11+MLF_lima_bean)),".")</f>
        <v>.</v>
      </c>
      <c r="P11" s="76" t="str">
        <f>IFERROR((dir!P11/(d_ss_Bv!O11+MLF_okra)),".")</f>
        <v>.</v>
      </c>
      <c r="Q11" s="76" t="str">
        <f>IFERROR((dir!Q11/(d_ss_Bv!P11+MLF_onion)),".")</f>
        <v>.</v>
      </c>
      <c r="R11" s="76" t="str">
        <f>IFERROR((dir!R11/(d_ss_Bv!Q11+MLF_peach)),".")</f>
        <v>.</v>
      </c>
      <c r="S11" s="76" t="str">
        <f>IFERROR((dir!S11/(d_ss_Bv!R11+MLF_pear)),".")</f>
        <v>.</v>
      </c>
      <c r="T11" s="76" t="str">
        <f>IFERROR((dir!T11/(d_ss_Bv!S11+MLF_peas)),".")</f>
        <v>.</v>
      </c>
      <c r="U11" s="76" t="str">
        <f>IFERROR((dir!U11/(d_ss_Bv!T11+MLF_potato)),".")</f>
        <v>.</v>
      </c>
      <c r="V11" s="76" t="str">
        <f>IFERROR((dir!V11/(d_ss_Bv!U11+MLF_pumpkin)),".")</f>
        <v>.</v>
      </c>
      <c r="W11" s="76" t="str">
        <f>IFERROR((dir!W11/(d_ss_Bv!V11+MLF_snap_bean)),".")</f>
        <v>.</v>
      </c>
      <c r="X11" s="76" t="str">
        <f>IFERROR((dir!X11/(d_ss_Bv!W11+MLF_strawberry)),".")</f>
        <v>.</v>
      </c>
      <c r="Y11" s="76" t="str">
        <f>IFERROR((dir!Y11/(d_ss_Bv!X11+MLF_tomato)),".")</f>
        <v>.</v>
      </c>
      <c r="Z11" s="76" t="str">
        <f>IFERROR((dir!Z11/(d_ss_Bv!D11+MLF_rice)),".")</f>
        <v>.</v>
      </c>
      <c r="AA11" s="76" t="str">
        <f>IFERROR((dir!AA11/(d_ss_Bv!Z11+MLF_cereal)),".")</f>
        <v>.</v>
      </c>
      <c r="AB11" s="76" t="str">
        <f t="shared" ref="AB11" si="8">IFERROR(1/SUM(1/AC11,1/AD11,1/AE11,1/AF11,1/AG11,1/AH11,1/AI11,1/AJ11,1/AK11,1/AL11,1/AM11,1/AN11,1/AO11,1/AP11,1/AQ11,1/AR11,1/AS11,1/AT11,1/AU11,1/AV11,1/AW11,1/AX11),".")</f>
        <v>.</v>
      </c>
      <c r="AC11" s="76" t="str">
        <f>IFERROR((dir!AC11/(d_ss_Bv!C11+MLF_apple))*1,".")</f>
        <v>.</v>
      </c>
      <c r="AD11" s="76" t="str">
        <f>IFERROR((dir!AD11/(d_ss_Bv!D11+MLF_asparagus))*1,".")</f>
        <v>.</v>
      </c>
      <c r="AE11" s="76" t="str">
        <f>IFERROR((dir!AE11/(d_ss_Bv!E11+MLF_beet))*1,".")</f>
        <v>.</v>
      </c>
      <c r="AF11" s="76" t="str">
        <f>IFERROR((dir!AF11/(d_ss_Bv!F11+MLF_berries))*1,".")</f>
        <v>.</v>
      </c>
      <c r="AG11" s="76" t="str">
        <f>IFERROR((dir!AG11/(d_ss_Bv!G11+MLF_broccoli))*1,".")</f>
        <v>.</v>
      </c>
      <c r="AH11" s="76" t="str">
        <f>IFERROR((dir!AH11/(d_ss_Bv!H11+MLF_cabbage))*1,".")</f>
        <v>.</v>
      </c>
      <c r="AI11" s="76" t="str">
        <f>IFERROR((dir!AI11/(d_ss_Bv!I11+MLF_carrot))*1,".")</f>
        <v>.</v>
      </c>
      <c r="AJ11" s="76" t="str">
        <f>IFERROR((dir!AJ11/(d_ss_Bv!J11+MLF_citrus))*1,".")</f>
        <v>.</v>
      </c>
      <c r="AK11" s="76" t="str">
        <f>IFERROR((dir!AK11/(d_ss_Bv!K11+MLF_corn))*1,".")</f>
        <v>.</v>
      </c>
      <c r="AL11" s="76" t="str">
        <f>IFERROR((dir!AL11/(d_ss_Bv!L11+MLF_cucumber))*1,".")</f>
        <v>.</v>
      </c>
      <c r="AM11" s="76" t="str">
        <f>IFERROR((dir!AM11/(d_ss_Bv!M11+MLF_lettuce))*1,".")</f>
        <v>.</v>
      </c>
      <c r="AN11" s="76" t="str">
        <f>IFERROR((dir!AN11/(d_ss_Bv!N11+MLF_lima_bean))*1,".")</f>
        <v>.</v>
      </c>
      <c r="AO11" s="76" t="str">
        <f>IFERROR((dir!AO11/(d_ss_Bv!O11+MLF_okra))*1,".")</f>
        <v>.</v>
      </c>
      <c r="AP11" s="76" t="str">
        <f>IFERROR((dir!AP11/(d_ss_Bv!P11+MLF_onion))*1,".")</f>
        <v>.</v>
      </c>
      <c r="AQ11" s="76" t="str">
        <f>IFERROR((dir!AQ11/(d_ss_Bv!Q11+MLF_peach))*1,".")</f>
        <v>.</v>
      </c>
      <c r="AR11" s="76" t="str">
        <f>IFERROR((dir!AR11/(d_ss_Bv!R11+MLF_pear))*1,".")</f>
        <v>.</v>
      </c>
      <c r="AS11" s="76" t="str">
        <f>IFERROR((dir!AS11/(d_ss_Bv!S11+MLF_peas))*1,".")</f>
        <v>.</v>
      </c>
      <c r="AT11" s="76" t="str">
        <f>IFERROR((dir!AT11/(d_ss_Bv!T11+MLF_potato))*1,".")</f>
        <v>.</v>
      </c>
      <c r="AU11" s="76" t="str">
        <f>IFERROR((dir!AU11/(d_ss_Bv!U11+MLF_pumpkin))*1,".")</f>
        <v>.</v>
      </c>
      <c r="AV11" s="76" t="str">
        <f>IFERROR((dir!AV11/(d_ss_Bv!V11+MLF_snap_bean))*1,".")</f>
        <v>.</v>
      </c>
      <c r="AW11" s="76" t="str">
        <f>IFERROR((dir!AW11/(d_ss_Bv!W11+MLF_strawberry))*1,".")</f>
        <v>.</v>
      </c>
      <c r="AX11" s="76" t="str">
        <f>IFERROR((dir!AX11/(d_ss_Bv!X11+MLF_tomato))*1,".")</f>
        <v>.</v>
      </c>
      <c r="AY11" s="76" t="str">
        <f>IFERROR((dir!AY11/(d_ss_Bv!Y11+MLF_rice))*1,".")</f>
        <v>.</v>
      </c>
      <c r="AZ11" s="76" t="str">
        <f>IFERROR((dir!AZ11/(d_ss_Bv!Z11+MLF_cereal))*1,".")</f>
        <v>.</v>
      </c>
    </row>
    <row r="12" spans="1:52" ht="15" customHeight="1" x14ac:dyDescent="0.25">
      <c r="A12" s="92" t="s">
        <v>22</v>
      </c>
      <c r="B12" s="90" t="s">
        <v>1074</v>
      </c>
      <c r="C12" s="76" t="str">
        <f t="shared" ref="C12" si="9">IFERROR(1/SUM(1/D12,1/E12,1/F12,1/G12,1/H12,1/I12,1/J12,1/K12,1/L12,1/M12,1/N12,1/O12,1/P12,1/Q12,1/R12,1/S12,1/T12,1/U12,1/V12,1/W12,1/X12,1/Y12),".")</f>
        <v>.</v>
      </c>
      <c r="D12" s="76" t="str">
        <f>IFERROR((dir!D12/(d_ss_Bv!C12+MLF_apple)),".")</f>
        <v>.</v>
      </c>
      <c r="E12" s="76" t="str">
        <f>IFERROR((dir!E12/(d_ss_Bv!D12+MLF_asparagus)),".")</f>
        <v>.</v>
      </c>
      <c r="F12" s="76" t="str">
        <f>IFERROR((dir!F12/(d_ss_Bv!E12+MLF_beet)),".")</f>
        <v>.</v>
      </c>
      <c r="G12" s="76" t="str">
        <f>IFERROR((dir!G12/(d_ss_Bv!F12+MLF_berries)),".")</f>
        <v>.</v>
      </c>
      <c r="H12" s="76" t="str">
        <f>IFERROR((dir!H12/(d_ss_Bv!G12+MLF_broccoli)),".")</f>
        <v>.</v>
      </c>
      <c r="I12" s="76" t="str">
        <f>IFERROR((dir!I12/(d_ss_Bv!H12+MLF_cabbage)),".")</f>
        <v>.</v>
      </c>
      <c r="J12" s="76" t="str">
        <f>IFERROR((dir!J12/(d_ss_Bv!I12+MLF_carrot)),".")</f>
        <v>.</v>
      </c>
      <c r="K12" s="76" t="str">
        <f>IFERROR((dir!K12/(d_ss_Bv!J12+MLF_citrus)),".")</f>
        <v>.</v>
      </c>
      <c r="L12" s="76" t="str">
        <f>IFERROR((dir!L12/(d_ss_Bv!K12+MLF_corn)),".")</f>
        <v>.</v>
      </c>
      <c r="M12" s="76" t="str">
        <f>IFERROR((dir!M12/(d_ss_Bv!L12+MLF_cucumber)),".")</f>
        <v>.</v>
      </c>
      <c r="N12" s="76" t="str">
        <f>IFERROR((dir!N12/(d_ss_Bv!M12+MLF_lettuce)),".")</f>
        <v>.</v>
      </c>
      <c r="O12" s="76" t="str">
        <f>IFERROR((dir!O12/(d_ss_Bv!N12+MLF_lima_bean)),".")</f>
        <v>.</v>
      </c>
      <c r="P12" s="76" t="str">
        <f>IFERROR((dir!P12/(d_ss_Bv!O12+MLF_okra)),".")</f>
        <v>.</v>
      </c>
      <c r="Q12" s="76" t="str">
        <f>IFERROR((dir!Q12/(d_ss_Bv!P12+MLF_onion)),".")</f>
        <v>.</v>
      </c>
      <c r="R12" s="76" t="str">
        <f>IFERROR((dir!R12/(d_ss_Bv!Q12+MLF_peach)),".")</f>
        <v>.</v>
      </c>
      <c r="S12" s="76" t="str">
        <f>IFERROR((dir!S12/(d_ss_Bv!R12+MLF_pear)),".")</f>
        <v>.</v>
      </c>
      <c r="T12" s="76" t="str">
        <f>IFERROR((dir!T12/(d_ss_Bv!S12+MLF_peas)),".")</f>
        <v>.</v>
      </c>
      <c r="U12" s="76" t="str">
        <f>IFERROR((dir!U12/(d_ss_Bv!T12+MLF_potato)),".")</f>
        <v>.</v>
      </c>
      <c r="V12" s="76" t="str">
        <f>IFERROR((dir!V12/(d_ss_Bv!U12+MLF_pumpkin)),".")</f>
        <v>.</v>
      </c>
      <c r="W12" s="76" t="str">
        <f>IFERROR((dir!W12/(d_ss_Bv!V12+MLF_snap_bean)),".")</f>
        <v>.</v>
      </c>
      <c r="X12" s="76" t="str">
        <f>IFERROR((dir!X12/(d_ss_Bv!W12+MLF_strawberry)),".")</f>
        <v>.</v>
      </c>
      <c r="Y12" s="76" t="str">
        <f>IFERROR((dir!Y12/(d_ss_Bv!X12+MLF_tomato)),".")</f>
        <v>.</v>
      </c>
      <c r="Z12" s="76" t="str">
        <f>IFERROR((dir!Z12/(d_ss_Bv!D12+MLF_rice)),".")</f>
        <v>.</v>
      </c>
      <c r="AA12" s="76" t="str">
        <f>IFERROR((dir!AA12/(d_ss_Bv!Z12+MLF_cereal)),".")</f>
        <v>.</v>
      </c>
      <c r="AB12" s="76" t="str">
        <f t="shared" ref="AB12" si="10">IFERROR(1/SUM(1/AC12,1/AD12,1/AE12,1/AF12,1/AG12,1/AH12,1/AI12,1/AJ12,1/AK12,1/AL12,1/AM12,1/AN12,1/AO12,1/AP12,1/AQ12,1/AR12,1/AS12,1/AT12,1/AU12,1/AV12,1/AW12,1/AX12),".")</f>
        <v>.</v>
      </c>
      <c r="AC12" s="76" t="str">
        <f>IFERROR((dir!AC12/(d_ss_Bv!C12+MLF_apple))*1,".")</f>
        <v>.</v>
      </c>
      <c r="AD12" s="76" t="str">
        <f>IFERROR((dir!AD12/(d_ss_Bv!D12+MLF_asparagus))*1,".")</f>
        <v>.</v>
      </c>
      <c r="AE12" s="76" t="str">
        <f>IFERROR((dir!AE12/(d_ss_Bv!E12+MLF_beet))*1,".")</f>
        <v>.</v>
      </c>
      <c r="AF12" s="76" t="str">
        <f>IFERROR((dir!AF12/(d_ss_Bv!F12+MLF_berries))*1,".")</f>
        <v>.</v>
      </c>
      <c r="AG12" s="76" t="str">
        <f>IFERROR((dir!AG12/(d_ss_Bv!G12+MLF_broccoli))*1,".")</f>
        <v>.</v>
      </c>
      <c r="AH12" s="76" t="str">
        <f>IFERROR((dir!AH12/(d_ss_Bv!H12+MLF_cabbage))*1,".")</f>
        <v>.</v>
      </c>
      <c r="AI12" s="76" t="str">
        <f>IFERROR((dir!AI12/(d_ss_Bv!I12+MLF_carrot))*1,".")</f>
        <v>.</v>
      </c>
      <c r="AJ12" s="76" t="str">
        <f>IFERROR((dir!AJ12/(d_ss_Bv!J12+MLF_citrus))*1,".")</f>
        <v>.</v>
      </c>
      <c r="AK12" s="76" t="str">
        <f>IFERROR((dir!AK12/(d_ss_Bv!K12+MLF_corn))*1,".")</f>
        <v>.</v>
      </c>
      <c r="AL12" s="76" t="str">
        <f>IFERROR((dir!AL12/(d_ss_Bv!L12+MLF_cucumber))*1,".")</f>
        <v>.</v>
      </c>
      <c r="AM12" s="76" t="str">
        <f>IFERROR((dir!AM12/(d_ss_Bv!M12+MLF_lettuce))*1,".")</f>
        <v>.</v>
      </c>
      <c r="AN12" s="76" t="str">
        <f>IFERROR((dir!AN12/(d_ss_Bv!N12+MLF_lima_bean))*1,".")</f>
        <v>.</v>
      </c>
      <c r="AO12" s="76" t="str">
        <f>IFERROR((dir!AO12/(d_ss_Bv!O12+MLF_okra))*1,".")</f>
        <v>.</v>
      </c>
      <c r="AP12" s="76" t="str">
        <f>IFERROR((dir!AP12/(d_ss_Bv!P12+MLF_onion))*1,".")</f>
        <v>.</v>
      </c>
      <c r="AQ12" s="76" t="str">
        <f>IFERROR((dir!AQ12/(d_ss_Bv!Q12+MLF_peach))*1,".")</f>
        <v>.</v>
      </c>
      <c r="AR12" s="76" t="str">
        <f>IFERROR((dir!AR12/(d_ss_Bv!R12+MLF_pear))*1,".")</f>
        <v>.</v>
      </c>
      <c r="AS12" s="76" t="str">
        <f>IFERROR((dir!AS12/(d_ss_Bv!S12+MLF_peas))*1,".")</f>
        <v>.</v>
      </c>
      <c r="AT12" s="76" t="str">
        <f>IFERROR((dir!AT12/(d_ss_Bv!T12+MLF_potato))*1,".")</f>
        <v>.</v>
      </c>
      <c r="AU12" s="76" t="str">
        <f>IFERROR((dir!AU12/(d_ss_Bv!U12+MLF_pumpkin))*1,".")</f>
        <v>.</v>
      </c>
      <c r="AV12" s="76" t="str">
        <f>IFERROR((dir!AV12/(d_ss_Bv!V12+MLF_snap_bean))*1,".")</f>
        <v>.</v>
      </c>
      <c r="AW12" s="76" t="str">
        <f>IFERROR((dir!AW12/(d_ss_Bv!W12+MLF_strawberry))*1,".")</f>
        <v>.</v>
      </c>
      <c r="AX12" s="76" t="str">
        <f>IFERROR((dir!AX12/(d_ss_Bv!X12+MLF_tomato))*1,".")</f>
        <v>.</v>
      </c>
      <c r="AY12" s="76" t="str">
        <f>IFERROR((dir!AY12/(d_ss_Bv!Y12+MLF_rice))*1,".")</f>
        <v>.</v>
      </c>
      <c r="AZ12" s="76" t="str">
        <f>IFERROR((dir!AZ12/(d_ss_Bv!Z12+MLF_cereal))*1,".")</f>
        <v>.</v>
      </c>
    </row>
    <row r="13" spans="1:52" ht="15" customHeight="1" x14ac:dyDescent="0.25">
      <c r="A13" s="92" t="s">
        <v>23</v>
      </c>
      <c r="B13" s="90" t="s">
        <v>1074</v>
      </c>
      <c r="C13" s="76">
        <f t="shared" ref="C13:C14" si="11">IFERROR(1/SUM(1/D13,1/E13,1/F13,1/G13,1/H13,1/I13,1/J13,1/K13,1/L13,1/M13,1/N13,1/O13,1/P13,1/Q13,1/R13,1/S13,1/T13,1/U13,1/V13,1/W13,1/X13,1/Y13),".")</f>
        <v>9.7442676629222388E-2</v>
      </c>
      <c r="D13" s="76">
        <f>IFERROR((dir!D13/(d_ss_Bv!C13+MLF_apple)),".")</f>
        <v>39.294172151940295</v>
      </c>
      <c r="E13" s="76">
        <f>IFERROR((dir!E13/(d_ss_Bv!D13+MLF_asparagus)),".")</f>
        <v>1.4837553678933135</v>
      </c>
      <c r="F13" s="76">
        <f>IFERROR((dir!F13/(d_ss_Bv!E13+MLF_beet)),".")</f>
        <v>2.2201282784097565</v>
      </c>
      <c r="G13" s="76">
        <f>IFERROR((dir!G13/(d_ss_Bv!F13+MLF_berries)),".")</f>
        <v>86.888570198852079</v>
      </c>
      <c r="H13" s="76">
        <f>IFERROR((dir!H13/(d_ss_Bv!G13+MLF_broccoli)),".")</f>
        <v>2.5235556336282383</v>
      </c>
      <c r="I13" s="76">
        <f>IFERROR((dir!I13/(d_ss_Bv!H13+MLF_cabbage)),".")</f>
        <v>0.66386937204363161</v>
      </c>
      <c r="J13" s="76">
        <f>IFERROR((dir!J13/(d_ss_Bv!I13+MLF_carrot)),".")</f>
        <v>2.45528373624489</v>
      </c>
      <c r="K13" s="76">
        <f>IFERROR((dir!K13/(d_ss_Bv!J13+MLF_citrus)),".")</f>
        <v>10.259473482061853</v>
      </c>
      <c r="L13" s="76">
        <f>IFERROR((dir!L13/(d_ss_Bv!K13+MLF_corn)),".")</f>
        <v>5.2071515017391858</v>
      </c>
      <c r="M13" s="76">
        <f>IFERROR((dir!M13/(d_ss_Bv!L13+MLF_cucumber)),".")</f>
        <v>1.0613941161314684</v>
      </c>
      <c r="N13" s="76">
        <f>IFERROR((dir!N13/(d_ss_Bv!M13+MLF_lettuce)),".")</f>
        <v>1.0980280280983019</v>
      </c>
      <c r="O13" s="76">
        <f>IFERROR((dir!O13/(d_ss_Bv!N13+MLF_lima_bean)),".")</f>
        <v>2.3146583739135691</v>
      </c>
      <c r="P13" s="76">
        <f>IFERROR((dir!P13/(d_ss_Bv!O13+MLF_okra)),".")</f>
        <v>2.9989088340174739</v>
      </c>
      <c r="Q13" s="76">
        <f>IFERROR((dir!Q13/(d_ss_Bv!P13+MLF_onion)),".")</f>
        <v>4.0461238545763472</v>
      </c>
      <c r="R13" s="76">
        <f>IFERROR((dir!R13/(d_ss_Bv!Q13+MLF_peach)),".")</f>
        <v>25.686433565035646</v>
      </c>
      <c r="S13" s="76">
        <f>IFERROR((dir!S13/(d_ss_Bv!R13+MLF_pear)),".")</f>
        <v>52.108083109567872</v>
      </c>
      <c r="T13" s="76">
        <f>IFERROR((dir!T13/(d_ss_Bv!S13+MLF_peas)),".")</f>
        <v>2.2283205847505294</v>
      </c>
      <c r="U13" s="76">
        <f>IFERROR((dir!U13/(d_ss_Bv!T13+MLF_potato)),".")</f>
        <v>2.0351116513338106</v>
      </c>
      <c r="V13" s="76">
        <f>IFERROR((dir!V13/(d_ss_Bv!U13+MLF_pumpkin)),".")</f>
        <v>1.2181145803939166</v>
      </c>
      <c r="W13" s="76">
        <f>IFERROR((dir!W13/(d_ss_Bv!V13+MLF_snap_bean)),".")</f>
        <v>1.261850420905249</v>
      </c>
      <c r="X13" s="76">
        <f>IFERROR((dir!X13/(d_ss_Bv!W13+MLF_strawberry)),".")</f>
        <v>94.32218307494459</v>
      </c>
      <c r="Y13" s="76">
        <f>IFERROR((dir!Y13/(d_ss_Bv!X13+MLF_tomato)),".")</f>
        <v>0.98628911972887989</v>
      </c>
      <c r="Z13" s="76">
        <f>IFERROR((dir!Z13/(d_ss_Bv!D13+MLF_rice)),".")</f>
        <v>7.6033823060058708E-2</v>
      </c>
      <c r="AA13" s="76">
        <f>IFERROR((dir!AA13/(d_ss_Bv!Z13+MLF_cereal)),".")</f>
        <v>6.448050066525006E-2</v>
      </c>
      <c r="AB13" s="76">
        <f t="shared" ref="AB13:AB14" si="12">IFERROR(1/SUM(1/AC13,1/AD13,1/AE13,1/AF13,1/AG13,1/AH13,1/AI13,1/AJ13,1/AK13,1/AL13,1/AM13,1/AN13,1/AO13,1/AP13,1/AQ13,1/AR13,1/AS13,1/AT13,1/AU13,1/AV13,1/AW13,1/AX13),".")</f>
        <v>6.0195458726931626E-2</v>
      </c>
      <c r="AC13" s="76">
        <f>IFERROR((dir!AC13/(d_ss_Bv!C13+MLF_apple))*1,".")</f>
        <v>22.190526213484699</v>
      </c>
      <c r="AD13" s="76">
        <f>IFERROR((dir!AD13/(d_ss_Bv!D13+MLF_asparagus))*1,".")</f>
        <v>0.90403501324560653</v>
      </c>
      <c r="AE13" s="76">
        <f>IFERROR((dir!AE13/(d_ss_Bv!E13+MLF_beet))*1,".")</f>
        <v>1.3241479374801051</v>
      </c>
      <c r="AF13" s="76">
        <f>IFERROR((dir!AF13/(d_ss_Bv!F13+MLF_berries))*1,".")</f>
        <v>54.919768869563974</v>
      </c>
      <c r="AG13" s="76">
        <f>IFERROR((dir!AG13/(d_ss_Bv!G13+MLF_broccoli))*1,".")</f>
        <v>1.4094723133260163</v>
      </c>
      <c r="AH13" s="76">
        <f>IFERROR((dir!AH13/(d_ss_Bv!H13+MLF_cabbage))*1,".")</f>
        <v>0.42639162631124766</v>
      </c>
      <c r="AI13" s="76">
        <f>IFERROR((dir!AI13/(d_ss_Bv!I13+MLF_carrot))*1,".")</f>
        <v>1.7155127402793087</v>
      </c>
      <c r="AJ13" s="76">
        <f>IFERROR((dir!AJ13/(d_ss_Bv!J13+MLF_citrus))*1,".")</f>
        <v>6.4550577378237195</v>
      </c>
      <c r="AK13" s="76">
        <f>IFERROR((dir!AK13/(d_ss_Bv!K13+MLF_corn))*1,".")</f>
        <v>2.3360815061083109</v>
      </c>
      <c r="AL13" s="76">
        <f>IFERROR((dir!AL13/(d_ss_Bv!L13+MLF_cucumber))*1,".")</f>
        <v>0.97100303185116665</v>
      </c>
      <c r="AM13" s="76">
        <f>IFERROR((dir!AM13/(d_ss_Bv!M13+MLF_lettuce))*1,".")</f>
        <v>0.65466184231795377</v>
      </c>
      <c r="AN13" s="76">
        <f>IFERROR((dir!AN13/(d_ss_Bv!N13+MLF_lima_bean))*1,".")</f>
        <v>1.3928469427269836</v>
      </c>
      <c r="AO13" s="76">
        <f>IFERROR((dir!AO13/(d_ss_Bv!O13+MLF_okra))*1,".")</f>
        <v>1.8011583569509821</v>
      </c>
      <c r="AP13" s="76">
        <f>IFERROR((dir!AP13/(d_ss_Bv!P13+MLF_onion))*1,".")</f>
        <v>1.967887511089405</v>
      </c>
      <c r="AQ13" s="76">
        <f>IFERROR((dir!AQ13/(d_ss_Bv!Q13+MLF_peach))*1,".")</f>
        <v>18.67922058528292</v>
      </c>
      <c r="AR13" s="76">
        <f>IFERROR((dir!AR13/(d_ss_Bv!R13+MLF_pear))*1,".")</f>
        <v>30.000738642185954</v>
      </c>
      <c r="AS13" s="76">
        <f>IFERROR((dir!AS13/(d_ss_Bv!S13+MLF_peas))*1,".")</f>
        <v>1.6054604149010612</v>
      </c>
      <c r="AT13" s="76">
        <f>IFERROR((dir!AT13/(d_ss_Bv!T13+MLF_potato))*1,".")</f>
        <v>1.1293392091099645</v>
      </c>
      <c r="AU13" s="76">
        <f>IFERROR((dir!AU13/(d_ss_Bv!U13+MLF_pumpkin))*1,".")</f>
        <v>0.77151195053077359</v>
      </c>
      <c r="AV13" s="76">
        <f>IFERROR((dir!AV13/(d_ss_Bv!V13+MLF_snap_bean))*1,".")</f>
        <v>0.78043921340777878</v>
      </c>
      <c r="AW13" s="76">
        <f>IFERROR((dir!AW13/(d_ss_Bv!W13+MLF_strawberry))*1,".")</f>
        <v>59.340054736709639</v>
      </c>
      <c r="AX13" s="76">
        <f>IFERROR((dir!AX13/(d_ss_Bv!X13+MLF_tomato))*1,".")</f>
        <v>0.5157191980013679</v>
      </c>
      <c r="AY13" s="76">
        <f>IFERROR((dir!AY13/(d_ss_Bv!Y13+MLF_rice))*1,".")</f>
        <v>3.9678879702675904E-2</v>
      </c>
      <c r="AZ13" s="76">
        <f>IFERROR((dir!AZ13/(d_ss_Bv!Z13+MLF_cereal))*1,".")</f>
        <v>4.0084625773786582E-2</v>
      </c>
    </row>
    <row r="14" spans="1:52" ht="15" customHeight="1" x14ac:dyDescent="0.25">
      <c r="A14" s="92" t="s">
        <v>24</v>
      </c>
      <c r="B14" s="90" t="s">
        <v>1074</v>
      </c>
      <c r="C14" s="76">
        <f t="shared" si="11"/>
        <v>0.8597094217213771</v>
      </c>
      <c r="D14" s="76">
        <f>IFERROR((dir!D14/(d_ss_Bv!C14+MLF_apple)),".")</f>
        <v>16.467395630799473</v>
      </c>
      <c r="E14" s="76">
        <f>IFERROR((dir!E14/(d_ss_Bv!D14+MLF_asparagus)),".")</f>
        <v>36.898620730973249</v>
      </c>
      <c r="F14" s="76">
        <f>IFERROR((dir!F14/(d_ss_Bv!E14+MLF_beet)),".")</f>
        <v>44.87421012076927</v>
      </c>
      <c r="G14" s="76">
        <f>IFERROR((dir!G14/(d_ss_Bv!F14+MLF_berries)),".")</f>
        <v>36.866432556898367</v>
      </c>
      <c r="H14" s="76">
        <f>IFERROR((dir!H14/(d_ss_Bv!G14+MLF_broccoli)),".")</f>
        <v>40.331124752633258</v>
      </c>
      <c r="I14" s="76">
        <f>IFERROR((dir!I14/(d_ss_Bv!H14+MLF_cabbage)),".")</f>
        <v>16.482700936654187</v>
      </c>
      <c r="J14" s="76">
        <f>IFERROR((dir!J14/(d_ss_Bv!I14+MLF_carrot)),".")</f>
        <v>49.736508991853199</v>
      </c>
      <c r="K14" s="76">
        <f>IFERROR((dir!K14/(d_ss_Bv!J14+MLF_citrus)),".")</f>
        <v>4.2727597439688942</v>
      </c>
      <c r="L14" s="76">
        <f>IFERROR((dir!L14/(d_ss_Bv!K14+MLF_corn)),".")</f>
        <v>23.493466941930688</v>
      </c>
      <c r="M14" s="76">
        <f>IFERROR((dir!M14/(d_ss_Bv!L14+MLF_cucumber)),".")</f>
        <v>17.652740968039492</v>
      </c>
      <c r="N14" s="76">
        <f>IFERROR((dir!N14/(d_ss_Bv!M14+MLF_lettuce)),".")</f>
        <v>17.515931547226646</v>
      </c>
      <c r="O14" s="76">
        <f>IFERROR((dir!O14/(d_ss_Bv!N14+MLF_lima_bean)),".")</f>
        <v>32.269084455312743</v>
      </c>
      <c r="P14" s="76">
        <f>IFERROR((dir!P14/(d_ss_Bv!O14+MLF_okra)),".")</f>
        <v>49.789046573954025</v>
      </c>
      <c r="Q14" s="76">
        <f>IFERROR((dir!Q14/(d_ss_Bv!P14+MLF_onion)),".")</f>
        <v>67.125271481358368</v>
      </c>
      <c r="R14" s="76">
        <f>IFERROR((dir!R14/(d_ss_Bv!Q14+MLF_peach)),".")</f>
        <v>10.541027168324689</v>
      </c>
      <c r="S14" s="76">
        <f>IFERROR((dir!S14/(d_ss_Bv!R14+MLF_pear)),".")</f>
        <v>21.837447467014851</v>
      </c>
      <c r="T14" s="76">
        <f>IFERROR((dir!T14/(d_ss_Bv!S14+MLF_peas)),".")</f>
        <v>34.811318794406631</v>
      </c>
      <c r="U14" s="76">
        <f>IFERROR((dir!U14/(d_ss_Bv!T14+MLF_potato)),".")</f>
        <v>10.903919381022302</v>
      </c>
      <c r="V14" s="76">
        <f>IFERROR((dir!V14/(d_ss_Bv!U14+MLF_pumpkin)),".")</f>
        <v>20.243183472950893</v>
      </c>
      <c r="W14" s="76">
        <f>IFERROR((dir!W14/(d_ss_Bv!V14+MLF_snap_bean)),".")</f>
        <v>17.130575411077324</v>
      </c>
      <c r="X14" s="76">
        <f>IFERROR((dir!X14/(d_ss_Bv!W14+MLF_strawberry)),".")</f>
        <v>32.913158465086262</v>
      </c>
      <c r="Y14" s="76">
        <f>IFERROR((dir!Y14/(d_ss_Bv!X14+MLF_tomato)),".")</f>
        <v>15.43078053761608</v>
      </c>
      <c r="Z14" s="76">
        <f>IFERROR((dir!Z14/(d_ss_Bv!D14+MLF_rice)),".")</f>
        <v>0.74980080311991804</v>
      </c>
      <c r="AA14" s="76">
        <f>IFERROR((dir!AA14/(d_ss_Bv!Z14+MLF_cereal)),".")</f>
        <v>0.58054586307790057</v>
      </c>
      <c r="AB14" s="76">
        <f t="shared" si="12"/>
        <v>0.52638222937434087</v>
      </c>
      <c r="AC14" s="76">
        <f>IFERROR((dir!AC14/(d_ss_Bv!C14+MLF_apple))*1,".")</f>
        <v>9.2996023176183691</v>
      </c>
      <c r="AD14" s="76">
        <f>IFERROR((dir!AD14/(d_ss_Bv!D14+MLF_asparagus))*1,".")</f>
        <v>22.481903555727207</v>
      </c>
      <c r="AE14" s="76">
        <f>IFERROR((dir!AE14/(d_ss_Bv!E14+MLF_beet))*1,".")</f>
        <v>26.764261036315954</v>
      </c>
      <c r="AF14" s="76">
        <f>IFERROR((dir!AF14/(d_ss_Bv!F14+MLF_berries))*1,".")</f>
        <v>23.302212827723292</v>
      </c>
      <c r="AG14" s="76">
        <f>IFERROR((dir!AG14/(d_ss_Bv!G14+MLF_broccoli))*1,".")</f>
        <v>22.525995839610033</v>
      </c>
      <c r="AH14" s="76">
        <f>IFERROR((dir!AH14/(d_ss_Bv!H14+MLF_cabbage))*1,".")</f>
        <v>10.586549032600942</v>
      </c>
      <c r="AI14" s="76">
        <f>IFERROR((dir!AI14/(d_ss_Bv!I14+MLF_carrot))*1,".")</f>
        <v>34.751020247881598</v>
      </c>
      <c r="AJ14" s="76">
        <f>IFERROR((dir!AJ14/(d_ss_Bv!J14+MLF_citrus))*1,".")</f>
        <v>2.6883358970995803</v>
      </c>
      <c r="AK14" s="76">
        <f>IFERROR((dir!AK14/(d_ss_Bv!K14+MLF_corn))*1,".")</f>
        <v>10.539861115828968</v>
      </c>
      <c r="AL14" s="76">
        <f>IFERROR((dir!AL14/(d_ss_Bv!L14+MLF_cucumber))*1,".")</f>
        <v>16.149387621371087</v>
      </c>
      <c r="AM14" s="76">
        <f>IFERROR((dir!AM14/(d_ss_Bv!M14+MLF_lettuce))*1,".")</f>
        <v>10.443278061382937</v>
      </c>
      <c r="AN14" s="76">
        <f>IFERROR((dir!AN14/(d_ss_Bv!N14+MLF_lima_bean))*1,".")</f>
        <v>19.417939223656465</v>
      </c>
      <c r="AO14" s="76">
        <f>IFERROR((dir!AO14/(d_ss_Bv!O14+MLF_okra))*1,".")</f>
        <v>29.903529011637978</v>
      </c>
      <c r="AP14" s="76">
        <f>IFERROR((dir!AP14/(d_ss_Bv!P14+MLF_onion))*1,".")</f>
        <v>32.647291129569751</v>
      </c>
      <c r="AQ14" s="76">
        <f>IFERROR((dir!AQ14/(d_ss_Bv!Q14+MLF_peach))*1,".")</f>
        <v>7.6654538736983202</v>
      </c>
      <c r="AR14" s="76">
        <f>IFERROR((dir!AR14/(d_ss_Bv!R14+MLF_pear))*1,".")</f>
        <v>12.572704942778525</v>
      </c>
      <c r="AS14" s="76">
        <f>IFERROR((dir!AS14/(d_ss_Bv!S14+MLF_peas))*1,".")</f>
        <v>25.080858964994086</v>
      </c>
      <c r="AT14" s="76">
        <f>IFERROR((dir!AT14/(d_ss_Bv!T14+MLF_potato))*1,".")</f>
        <v>6.0508835875868572</v>
      </c>
      <c r="AU14" s="76">
        <f>IFERROR((dir!AU14/(d_ss_Bv!U14+MLF_pumpkin))*1,".")</f>
        <v>12.821337349987324</v>
      </c>
      <c r="AV14" s="76">
        <f>IFERROR((dir!AV14/(d_ss_Bv!V14+MLF_snap_bean))*1,".")</f>
        <v>10.595053563838938</v>
      </c>
      <c r="AW14" s="76">
        <f>IFERROR((dir!AW14/(d_ss_Bv!W14+MLF_strawberry))*1,".")</f>
        <v>20.706355188199872</v>
      </c>
      <c r="AX14" s="76">
        <f>IFERROR((dir!AX14/(d_ss_Bv!X14+MLF_tomato))*1,".")</f>
        <v>8.068577057386614</v>
      </c>
      <c r="AY14" s="76">
        <f>IFERROR((dir!AY14/(d_ss_Bv!Y14+MLF_rice))*1,".")</f>
        <v>0.38140156459279068</v>
      </c>
      <c r="AZ14" s="76">
        <f>IFERROR((dir!AZ14/(d_ss_Bv!Z14+MLF_cereal))*1,".")</f>
        <v>0.36089923970672289</v>
      </c>
    </row>
    <row r="15" spans="1:52" ht="15" customHeight="1" x14ac:dyDescent="0.25">
      <c r="A15" s="92" t="s">
        <v>25</v>
      </c>
      <c r="B15" s="90" t="s">
        <v>1074</v>
      </c>
      <c r="C15" s="76">
        <f t="shared" ref="C15:C17" si="13">IFERROR(1/SUM(1/D15,1/E15,1/F15,1/G15,1/H15,1/I15,1/J15,1/K15,1/L15,1/M15,1/N15,1/O15,1/P15,1/Q15,1/R15,1/S15,1/T15,1/U15,1/V15,1/W15,1/X15,1/Y15),".")</f>
        <v>13.403592783097398</v>
      </c>
      <c r="D15" s="76">
        <f>IFERROR((dir!D15/(d_ss_Bv!C15+MLF_apple)),".")</f>
        <v>423.04774338147263</v>
      </c>
      <c r="E15" s="76">
        <f>IFERROR((dir!E15/(d_ss_Bv!D15+MLF_asparagus)),".")</f>
        <v>119.30905332906526</v>
      </c>
      <c r="F15" s="76">
        <f>IFERROR((dir!F15/(d_ss_Bv!E15+MLF_beet)),".")</f>
        <v>772.04935831296757</v>
      </c>
      <c r="G15" s="76">
        <f>IFERROR((dir!G15/(d_ss_Bv!F15+MLF_berries)),".")</f>
        <v>947.09943511352492</v>
      </c>
      <c r="H15" s="76">
        <f>IFERROR((dir!H15/(d_ss_Bv!G15+MLF_broccoli)),".")</f>
        <v>712.52611102542801</v>
      </c>
      <c r="I15" s="76">
        <f>IFERROR((dir!I15/(d_ss_Bv!H15+MLF_cabbage)),".")</f>
        <v>53.41577515167328</v>
      </c>
      <c r="J15" s="76">
        <f>IFERROR((dir!J15/(d_ss_Bv!I15+MLF_carrot)),".")</f>
        <v>854.55784070062077</v>
      </c>
      <c r="K15" s="76">
        <f>IFERROR((dir!K15/(d_ss_Bv!J15+MLF_citrus)),".")</f>
        <v>109.76728853932828</v>
      </c>
      <c r="L15" s="76">
        <f>IFERROR((dir!L15/(d_ss_Bv!K15+MLF_corn)),".")</f>
        <v>4552.4097076113167</v>
      </c>
      <c r="M15" s="76">
        <f>IFERROR((dir!M15/(d_ss_Bv!L15+MLF_cucumber)),".")</f>
        <v>302.7348985523825</v>
      </c>
      <c r="N15" s="76">
        <f>IFERROR((dir!N15/(d_ss_Bv!M15+MLF_lettuce)),".")</f>
        <v>113.09774709524386</v>
      </c>
      <c r="O15" s="76">
        <f>IFERROR((dir!O15/(d_ss_Bv!N15+MLF_lima_bean)),".")</f>
        <v>1255.748041385089</v>
      </c>
      <c r="P15" s="76">
        <f>IFERROR((dir!P15/(d_ss_Bv!O15+MLF_okra)),".")</f>
        <v>854.98296875714846</v>
      </c>
      <c r="Q15" s="76">
        <f>IFERROR((dir!Q15/(d_ss_Bv!P15+MLF_onion)),".")</f>
        <v>1153.3263635963772</v>
      </c>
      <c r="R15" s="76">
        <f>IFERROR((dir!R15/(d_ss_Bv!Q15+MLF_peach)),".")</f>
        <v>270.79921175526272</v>
      </c>
      <c r="S15" s="76">
        <f>IFERROR((dir!S15/(d_ss_Bv!R15+MLF_pear)),".")</f>
        <v>561.00448906768509</v>
      </c>
      <c r="T15" s="76">
        <f>IFERROR((dir!T15/(d_ss_Bv!S15+MLF_peas)),".")</f>
        <v>1661.5956947041573</v>
      </c>
      <c r="U15" s="76">
        <f>IFERROR((dir!U15/(d_ss_Bv!T15+MLF_potato)),".")</f>
        <v>1672.5408229980706</v>
      </c>
      <c r="V15" s="76">
        <f>IFERROR((dir!V15/(d_ss_Bv!U15+MLF_pumpkin)),".")</f>
        <v>347.36624420794084</v>
      </c>
      <c r="W15" s="76">
        <f>IFERROR((dir!W15/(d_ss_Bv!V15+MLF_snap_bean)),".")</f>
        <v>640.90026118989431</v>
      </c>
      <c r="X15" s="76">
        <f>IFERROR((dir!X15/(d_ss_Bv!W15+MLF_strawberry)),".")</f>
        <v>845.53973976123939</v>
      </c>
      <c r="Y15" s="76">
        <f>IFERROR((dir!Y15/(d_ss_Bv!X15+MLF_tomato)),".")</f>
        <v>276.94237208544541</v>
      </c>
      <c r="Z15" s="76">
        <f>IFERROR((dir!Z15/(d_ss_Bv!D15+MLF_rice)),".")</f>
        <v>15.17643522238475</v>
      </c>
      <c r="AA15" s="76">
        <f>IFERROR((dir!AA15/(d_ss_Bv!Z15+MLF_cereal)),".")</f>
        <v>14.857092883349807</v>
      </c>
      <c r="AB15" s="76">
        <f t="shared" ref="AB15:AB21" si="14">IFERROR(1/SUM(1/AC15,1/AD15,1/AE15,1/AF15,1/AG15,1/AH15,1/AI15,1/AJ15,1/AK15,1/AL15,1/AM15,1/AN15,1/AO15,1/AP15,1/AQ15,1/AR15,1/AS15,1/AT15,1/AU15,1/AV15,1/AW15,1/AX15),".")</f>
        <v>8.3665727075856235</v>
      </c>
      <c r="AC15" s="76">
        <f>IFERROR((dir!AC15/(d_ss_Bv!C15+MLF_apple))*1,".")</f>
        <v>238.90698098340181</v>
      </c>
      <c r="AD15" s="76">
        <f>IFERROR((dir!AD15/(d_ss_Bv!D15+MLF_asparagus))*1,".")</f>
        <v>72.693628572885956</v>
      </c>
      <c r="AE15" s="76">
        <f>IFERROR((dir!AE15/(d_ss_Bv!E15+MLF_beet))*1,".")</f>
        <v>460.47229585094846</v>
      </c>
      <c r="AF15" s="76">
        <f>IFERROR((dir!AF15/(d_ss_Bv!F15+MLF_berries))*1,".")</f>
        <v>598.63434228333711</v>
      </c>
      <c r="AG15" s="76">
        <f>IFERROR((dir!AG15/(d_ss_Bv!G15+MLF_broccoli))*1,".")</f>
        <v>397.96460701295871</v>
      </c>
      <c r="AH15" s="76">
        <f>IFERROR((dir!AH15/(d_ss_Bv!H15+MLF_cabbage))*1,".")</f>
        <v>34.308013288043341</v>
      </c>
      <c r="AI15" s="76">
        <f>IFERROR((dir!AI15/(d_ss_Bv!I15+MLF_carrot))*1,".")</f>
        <v>597.08164941848963</v>
      </c>
      <c r="AJ15" s="76">
        <f>IFERROR((dir!AJ15/(d_ss_Bv!J15+MLF_citrus))*1,".")</f>
        <v>69.063406273683484</v>
      </c>
      <c r="AK15" s="76">
        <f>IFERROR((dir!AK15/(d_ss_Bv!K15+MLF_corn))*1,".")</f>
        <v>2042.3450561457107</v>
      </c>
      <c r="AL15" s="76">
        <f>IFERROR((dir!AL15/(d_ss_Bv!L15+MLF_cucumber))*1,".")</f>
        <v>276.95320698867351</v>
      </c>
      <c r="AM15" s="76">
        <f>IFERROR((dir!AM15/(d_ss_Bv!M15+MLF_lettuce))*1,".")</f>
        <v>67.430682624390883</v>
      </c>
      <c r="AN15" s="76">
        <f>IFERROR((dir!AN15/(d_ss_Bv!N15+MLF_lima_bean))*1,".")</f>
        <v>755.64707085535997</v>
      </c>
      <c r="AO15" s="76">
        <f>IFERROR((dir!AO15/(d_ss_Bv!O15+MLF_okra))*1,".")</f>
        <v>513.50668008293496</v>
      </c>
      <c r="AP15" s="76">
        <f>IFERROR((dir!AP15/(d_ss_Bv!P15+MLF_onion))*1,".")</f>
        <v>560.93600411278351</v>
      </c>
      <c r="AQ15" s="76">
        <f>IFERROR((dir!AQ15/(d_ss_Bv!Q15+MLF_peach))*1,".")</f>
        <v>196.92567276379972</v>
      </c>
      <c r="AR15" s="76">
        <f>IFERROR((dir!AR15/(d_ss_Bv!R15+MLF_pear))*1,".")</f>
        <v>322.99305691639097</v>
      </c>
      <c r="AS15" s="76">
        <f>IFERROR((dir!AS15/(d_ss_Bv!S15+MLF_peas))*1,".")</f>
        <v>1197.1464661204514</v>
      </c>
      <c r="AT15" s="76">
        <f>IFERROR((dir!AT15/(d_ss_Bv!T15+MLF_potato))*1,".")</f>
        <v>928.13872349991664</v>
      </c>
      <c r="AU15" s="76">
        <f>IFERROR((dir!AU15/(d_ss_Bv!U15+MLF_pumpkin))*1,".")</f>
        <v>220.00985205410802</v>
      </c>
      <c r="AV15" s="76">
        <f>IFERROR((dir!AV15/(d_ss_Bv!V15+MLF_snap_bean))*1,".")</f>
        <v>396.38905485885584</v>
      </c>
      <c r="AW15" s="76">
        <f>IFERROR((dir!AW15/(d_ss_Bv!W15+MLF_strawberry))*1,".")</f>
        <v>531.94670441023027</v>
      </c>
      <c r="AX15" s="76">
        <f>IFERROR((dir!AX15/(d_ss_Bv!X15+MLF_tomato))*1,".")</f>
        <v>144.80997018781187</v>
      </c>
      <c r="AY15" s="76">
        <f>IFERROR((dir!AY15/(d_ss_Bv!Y15+MLF_rice))*1,".")</f>
        <v>10.178335994016956</v>
      </c>
      <c r="AZ15" s="76">
        <f>IFERROR((dir!AZ15/(d_ss_Bv!Z15+MLF_cereal))*1,".")</f>
        <v>9.2359861069815601</v>
      </c>
    </row>
    <row r="16" spans="1:52" ht="15" customHeight="1" x14ac:dyDescent="0.25">
      <c r="A16" s="92" t="s">
        <v>26</v>
      </c>
      <c r="B16" s="90" t="s">
        <v>1074</v>
      </c>
      <c r="C16" s="76">
        <f t="shared" si="13"/>
        <v>3.970498239521305E-3</v>
      </c>
      <c r="D16" s="76">
        <f>IFERROR((dir!D16/(d_ss_Bv!C16+MLF_apple)),".")</f>
        <v>0.12531791643564377</v>
      </c>
      <c r="E16" s="76">
        <f>IFERROR((dir!E16/(d_ss_Bv!D16+MLF_asparagus)),".")</f>
        <v>3.534249315596838E-2</v>
      </c>
      <c r="F16" s="76">
        <f>IFERROR((dir!F16/(d_ss_Bv!E16+MLF_beet)),".")</f>
        <v>0.22870141368893562</v>
      </c>
      <c r="G16" s="76">
        <f>IFERROR((dir!G16/(d_ss_Bv!F16+MLF_berries)),".")</f>
        <v>0.28055587040155361</v>
      </c>
      <c r="H16" s="76">
        <f>IFERROR((dir!H16/(d_ss_Bv!G16+MLF_broccoli)),".")</f>
        <v>0.21106905553017394</v>
      </c>
      <c r="I16" s="76">
        <f>IFERROR((dir!I16/(d_ss_Bv!H16+MLF_cabbage)),".")</f>
        <v>1.5823163582665483E-2</v>
      </c>
      <c r="J16" s="76">
        <f>IFERROR((dir!J16/(d_ss_Bv!I16+MLF_carrot)),".")</f>
        <v>0.25314260564150459</v>
      </c>
      <c r="K16" s="76">
        <f>IFERROR((dir!K16/(d_ss_Bv!J16+MLF_citrus)),".")</f>
        <v>3.2515970378631201E-2</v>
      </c>
      <c r="L16" s="76">
        <f>IFERROR((dir!L16/(d_ss_Bv!K16+MLF_corn)),".")</f>
        <v>1.3485440077263711</v>
      </c>
      <c r="M16" s="76">
        <f>IFERROR((dir!M16/(d_ss_Bv!L16+MLF_cucumber)),".")</f>
        <v>8.9678073722120832E-2</v>
      </c>
      <c r="N16" s="76">
        <f>IFERROR((dir!N16/(d_ss_Bv!M16+MLF_lettuce)),".")</f>
        <v>3.3502540177270355E-2</v>
      </c>
      <c r="O16" s="76">
        <f>IFERROR((dir!O16/(d_ss_Bv!N16+MLF_lima_bean)),".")</f>
        <v>0.37198574056124328</v>
      </c>
      <c r="P16" s="76">
        <f>IFERROR((dir!P16/(d_ss_Bv!O16+MLF_okra)),".")</f>
        <v>0.25326853980164588</v>
      </c>
      <c r="Q16" s="76">
        <f>IFERROR((dir!Q16/(d_ss_Bv!P16+MLF_onion)),".")</f>
        <v>0.34164573412194565</v>
      </c>
      <c r="R16" s="76">
        <f>IFERROR((dir!R16/(d_ss_Bv!Q16+MLF_peach)),".")</f>
        <v>8.0217879708634421E-2</v>
      </c>
      <c r="S16" s="76">
        <f>IFERROR((dir!S16/(d_ss_Bv!R16+MLF_pear)),".")</f>
        <v>0.16618434864835196</v>
      </c>
      <c r="T16" s="76">
        <f>IFERROR((dir!T16/(d_ss_Bv!S16+MLF_peas)),".")</f>
        <v>0.49220853597840125</v>
      </c>
      <c r="U16" s="76">
        <f>IFERROR((dir!U16/(d_ss_Bv!T16+MLF_potato)),".")</f>
        <v>0.4954507720956548</v>
      </c>
      <c r="V16" s="76">
        <f>IFERROR((dir!V16/(d_ss_Bv!U16+MLF_pumpkin)),".")</f>
        <v>0.10289905724650322</v>
      </c>
      <c r="W16" s="76">
        <f>IFERROR((dir!W16/(d_ss_Bv!V16+MLF_snap_bean)),".")</f>
        <v>0.18985158680530828</v>
      </c>
      <c r="X16" s="76">
        <f>IFERROR((dir!X16/(d_ss_Bv!W16+MLF_strawberry)),".")</f>
        <v>0.2504712059292728</v>
      </c>
      <c r="Y16" s="76">
        <f>IFERROR((dir!Y16/(d_ss_Bv!X16+MLF_tomato)),".")</f>
        <v>8.2037646070594203E-2</v>
      </c>
      <c r="Z16" s="76">
        <f>IFERROR((dir!Z16/(d_ss_Bv!D16+MLF_rice)),".")</f>
        <v>4.4956609998385022E-3</v>
      </c>
      <c r="AA16" s="76">
        <f>IFERROR((dir!AA16/(d_ss_Bv!Z16+MLF_cereal)),".")</f>
        <v>4.401063363558339E-3</v>
      </c>
      <c r="AB16" s="76">
        <f t="shared" si="14"/>
        <v>2.4783998397942325E-3</v>
      </c>
      <c r="AC16" s="76">
        <f>IFERROR((dir!AC16/(d_ss_Bv!C16+MLF_apple))*1,".")</f>
        <v>7.077055851772468E-2</v>
      </c>
      <c r="AD16" s="76">
        <f>IFERROR((dir!AD16/(d_ss_Bv!D16+MLF_asparagus))*1,".")</f>
        <v>2.1533772992345459E-2</v>
      </c>
      <c r="AE16" s="76">
        <f>IFERROR((dir!AE16/(d_ss_Bv!E16+MLF_beet))*1,".")</f>
        <v>0.13640405745018663</v>
      </c>
      <c r="AF16" s="76">
        <f>IFERROR((dir!AF16/(d_ss_Bv!F16+MLF_berries))*1,".")</f>
        <v>0.17733130516695078</v>
      </c>
      <c r="AG16" s="76">
        <f>IFERROR((dir!AG16/(d_ss_Bv!G16+MLF_broccoli))*1,".")</f>
        <v>0.11788762886987643</v>
      </c>
      <c r="AH16" s="76">
        <f>IFERROR((dir!AH16/(d_ss_Bv!H16+MLF_cabbage))*1,".")</f>
        <v>1.0162939785326047E-2</v>
      </c>
      <c r="AI16" s="76">
        <f>IFERROR((dir!AI16/(d_ss_Bv!I16+MLF_carrot))*1,".")</f>
        <v>0.17687135652585445</v>
      </c>
      <c r="AJ16" s="76">
        <f>IFERROR((dir!AJ16/(d_ss_Bv!J16+MLF_citrus))*1,".")</f>
        <v>2.045840525465718E-2</v>
      </c>
      <c r="AK16" s="76">
        <f>IFERROR((dir!AK16/(d_ss_Bv!K16+MLF_corn))*1,".")</f>
        <v>0.60499655436769173</v>
      </c>
      <c r="AL16" s="76">
        <f>IFERROR((dir!AL16/(d_ss_Bv!L16+MLF_cucumber))*1,".")</f>
        <v>8.2040855655135345E-2</v>
      </c>
      <c r="AM16" s="76">
        <f>IFERROR((dir!AM16/(d_ss_Bv!M16+MLF_lettuce))*1,".")</f>
        <v>1.9974749381187491E-2</v>
      </c>
      <c r="AN16" s="76">
        <f>IFERROR((dir!AN16/(d_ss_Bv!N16+MLF_lima_bean))*1,".")</f>
        <v>0.22384262287602169</v>
      </c>
      <c r="AO16" s="76">
        <f>IFERROR((dir!AO16/(d_ss_Bv!O16+MLF_okra))*1,".")</f>
        <v>0.15211424296796375</v>
      </c>
      <c r="AP16" s="76">
        <f>IFERROR((dir!AP16/(d_ss_Bv!P16+MLF_onion))*1,".")</f>
        <v>0.16616406159567357</v>
      </c>
      <c r="AQ16" s="76">
        <f>IFERROR((dir!AQ16/(d_ss_Bv!Q16+MLF_peach))*1,".")</f>
        <v>5.833458608286142E-2</v>
      </c>
      <c r="AR16" s="76">
        <f>IFERROR((dir!AR16/(d_ss_Bv!R16+MLF_pear))*1,".")</f>
        <v>9.5679075350704482E-2</v>
      </c>
      <c r="AS16" s="76">
        <f>IFERROR((dir!AS16/(d_ss_Bv!S16+MLF_peas))*1,".")</f>
        <v>0.35462640600171852</v>
      </c>
      <c r="AT16" s="76">
        <f>IFERROR((dir!AT16/(d_ss_Bv!T16+MLF_potato))*1,".")</f>
        <v>0.2749392067726168</v>
      </c>
      <c r="AU16" s="76">
        <f>IFERROR((dir!AU16/(d_ss_Bv!U16+MLF_pumpkin))*1,".")</f>
        <v>6.5172729759424453E-2</v>
      </c>
      <c r="AV16" s="76">
        <f>IFERROR((dir!AV16/(d_ss_Bv!V16+MLF_snap_bean))*1,".")</f>
        <v>0.11742090870347235</v>
      </c>
      <c r="AW16" s="76">
        <f>IFERROR((dir!AW16/(d_ss_Bv!W16+MLF_strawberry))*1,".")</f>
        <v>0.15757666526869085</v>
      </c>
      <c r="AX16" s="76">
        <f>IFERROR((dir!AX16/(d_ss_Bv!X16+MLF_tomato))*1,".")</f>
        <v>4.2896538338653707E-2</v>
      </c>
      <c r="AY16" s="76">
        <f>IFERROR((dir!AY16/(d_ss_Bv!Y16+MLF_rice))*1,".")</f>
        <v>3.0150919831333244E-3</v>
      </c>
      <c r="AZ16" s="76">
        <f>IFERROR((dir!AZ16/(d_ss_Bv!Z16+MLF_cereal))*1,".")</f>
        <v>2.7359430543322733E-3</v>
      </c>
    </row>
    <row r="17" spans="1:52" ht="15" customHeight="1" x14ac:dyDescent="0.25">
      <c r="A17" s="92" t="s">
        <v>27</v>
      </c>
      <c r="B17" s="90" t="s">
        <v>1074</v>
      </c>
      <c r="C17" s="76">
        <f t="shared" si="13"/>
        <v>9.6383087035708019</v>
      </c>
      <c r="D17" s="76">
        <f>IFERROR((dir!D17/(d_ss_Bv!C17+MLF_apple)),".")</f>
        <v>304.20685058423447</v>
      </c>
      <c r="E17" s="76">
        <f>IFERROR((dir!E17/(d_ss_Bv!D17+MLF_asparagus)),".")</f>
        <v>85.793227661053024</v>
      </c>
      <c r="F17" s="76">
        <f>IFERROR((dir!F17/(d_ss_Bv!E17+MLF_beet)),".")</f>
        <v>555.16831719909567</v>
      </c>
      <c r="G17" s="76">
        <f>IFERROR((dir!G17/(d_ss_Bv!F17+MLF_berries)),".")</f>
        <v>681.04402128010713</v>
      </c>
      <c r="H17" s="76">
        <f>IFERROR((dir!H17/(d_ss_Bv!G17+MLF_broccoli)),".")</f>
        <v>512.36610426408629</v>
      </c>
      <c r="I17" s="76">
        <f>IFERROR((dir!I17/(d_ss_Bv!H17+MLF_cabbage)),".")</f>
        <v>38.41042762814979</v>
      </c>
      <c r="J17" s="76">
        <f>IFERROR((dir!J17/(d_ss_Bv!I17+MLF_carrot)),".")</f>
        <v>614.49884422899584</v>
      </c>
      <c r="K17" s="76">
        <f>IFERROR((dir!K17/(d_ss_Bv!J17+MLF_citrus)),".")</f>
        <v>78.931897560341397</v>
      </c>
      <c r="L17" s="76">
        <f>IFERROR((dir!L17/(d_ss_Bv!K17+MLF_corn)),".")</f>
        <v>3273.5648431830991</v>
      </c>
      <c r="M17" s="76">
        <f>IFERROR((dir!M17/(d_ss_Bv!L17+MLF_cucumber)),".")</f>
        <v>217.69181254682766</v>
      </c>
      <c r="N17" s="76">
        <f>IFERROR((dir!N17/(d_ss_Bv!M17+MLF_lettuce)),".")</f>
        <v>81.326776918869996</v>
      </c>
      <c r="O17" s="76">
        <f>IFERROR((dir!O17/(d_ss_Bv!N17+MLF_lima_bean)),".")</f>
        <v>902.98828624790337</v>
      </c>
      <c r="P17" s="76">
        <f>IFERROR((dir!P17/(d_ss_Bv!O17+MLF_okra)),".")</f>
        <v>614.80454699941515</v>
      </c>
      <c r="Q17" s="76">
        <f>IFERROR((dir!Q17/(d_ss_Bv!P17+MLF_onion)),".")</f>
        <v>829.33849962426507</v>
      </c>
      <c r="R17" s="76">
        <f>IFERROR((dir!R17/(d_ss_Bv!Q17+MLF_peach)),".")</f>
        <v>194.72737211714309</v>
      </c>
      <c r="S17" s="76">
        <f>IFERROR((dir!S17/(d_ss_Bv!R17+MLF_pear)),".")</f>
        <v>403.40933488683913</v>
      </c>
      <c r="T17" s="76">
        <f>IFERROR((dir!T17/(d_ss_Bv!S17+MLF_peas)),".")</f>
        <v>1194.8268277948978</v>
      </c>
      <c r="U17" s="76">
        <f>IFERROR((dir!U17/(d_ss_Bv!T17+MLF_potato)),".")</f>
        <v>1202.6972940947956</v>
      </c>
      <c r="V17" s="76">
        <f>IFERROR((dir!V17/(d_ss_Bv!U17+MLF_pumpkin)),".")</f>
        <v>249.78549774342005</v>
      </c>
      <c r="W17" s="76">
        <f>IFERROR((dir!W17/(d_ss_Bv!V17+MLF_snap_bean)),".")</f>
        <v>460.86110384800025</v>
      </c>
      <c r="X17" s="76">
        <f>IFERROR((dir!X17/(d_ss_Bv!W17+MLF_strawberry)),".")</f>
        <v>608.01407240846368</v>
      </c>
      <c r="Y17" s="76">
        <f>IFERROR((dir!Y17/(d_ss_Bv!X17+MLF_tomato)),".")</f>
        <v>199.14482023243474</v>
      </c>
      <c r="Z17" s="76">
        <f>IFERROR((dir!Z17/(d_ss_Bv!D17+MLF_rice)),".")</f>
        <v>10.913131282050713</v>
      </c>
      <c r="AA17" s="76">
        <f>IFERROR((dir!AA17/(d_ss_Bv!Z17+MLF_cereal)),".")</f>
        <v>10.683497325279021</v>
      </c>
      <c r="AB17" s="76">
        <f t="shared" si="14"/>
        <v>6.0162683133936348</v>
      </c>
      <c r="AC17" s="76">
        <f>IFERROR((dir!AC17/(d_ss_Bv!C17+MLF_apple))*1,".")</f>
        <v>171.79418021859885</v>
      </c>
      <c r="AD17" s="76">
        <f>IFERROR((dir!AD17/(d_ss_Bv!D17+MLF_asparagus))*1,".")</f>
        <v>52.272822989052337</v>
      </c>
      <c r="AE17" s="76">
        <f>IFERROR((dir!AE17/(d_ss_Bv!E17+MLF_beet))*1,".")</f>
        <v>331.11824632946065</v>
      </c>
      <c r="AF17" s="76">
        <f>IFERROR((dir!AF17/(d_ss_Bv!F17+MLF_berries))*1,".")</f>
        <v>430.46835910755999</v>
      </c>
      <c r="AG17" s="76">
        <f>IFERROR((dir!AG17/(d_ss_Bv!G17+MLF_broccoli))*1,".")</f>
        <v>286.1699693177153</v>
      </c>
      <c r="AH17" s="76">
        <f>IFERROR((dir!AH17/(d_ss_Bv!H17+MLF_cabbage))*1,".")</f>
        <v>24.670342379646431</v>
      </c>
      <c r="AI17" s="76">
        <f>IFERROR((dir!AI17/(d_ss_Bv!I17+MLF_carrot))*1,".")</f>
        <v>429.35184255894438</v>
      </c>
      <c r="AJ17" s="76">
        <f>IFERROR((dir!AJ17/(d_ss_Bv!J17+MLF_citrus))*1,".")</f>
        <v>49.662388328099105</v>
      </c>
      <c r="AK17" s="76">
        <f>IFERROR((dir!AK17/(d_ss_Bv!K17+MLF_corn))*1,".")</f>
        <v>1468.6175899918012</v>
      </c>
      <c r="AL17" s="76">
        <f>IFERROR((dir!AL17/(d_ss_Bv!L17+MLF_cucumber))*1,".")</f>
        <v>199.15261143765679</v>
      </c>
      <c r="AM17" s="76">
        <f>IFERROR((dir!AM17/(d_ss_Bv!M17+MLF_lettuce))*1,".")</f>
        <v>48.488322925325356</v>
      </c>
      <c r="AN17" s="76">
        <f>IFERROR((dir!AN17/(d_ss_Bv!N17+MLF_lima_bean))*1,".")</f>
        <v>543.3736952257625</v>
      </c>
      <c r="AO17" s="76">
        <f>IFERROR((dir!AO17/(d_ss_Bv!O17+MLF_okra))*1,".")</f>
        <v>369.25442186116402</v>
      </c>
      <c r="AP17" s="76">
        <f>IFERROR((dir!AP17/(d_ss_Bv!P17+MLF_onion))*1,".")</f>
        <v>403.36008845361982</v>
      </c>
      <c r="AQ17" s="76">
        <f>IFERROR((dir!AQ17/(d_ss_Bv!Q17+MLF_peach))*1,".")</f>
        <v>141.60609446068651</v>
      </c>
      <c r="AR17" s="76">
        <f>IFERROR((dir!AR17/(d_ss_Bv!R17+MLF_pear))*1,".")</f>
        <v>232.25912947728261</v>
      </c>
      <c r="AS17" s="76">
        <f>IFERROR((dir!AS17/(d_ss_Bv!S17+MLF_peas))*1,".")</f>
        <v>860.84883288966796</v>
      </c>
      <c r="AT17" s="76">
        <f>IFERROR((dir!AT17/(d_ss_Bv!T17+MLF_potato))*1,".")</f>
        <v>667.40967750910022</v>
      </c>
      <c r="AU17" s="76">
        <f>IFERROR((dir!AU17/(d_ss_Bv!U17+MLF_pumpkin))*1,".")</f>
        <v>158.20555773661812</v>
      </c>
      <c r="AV17" s="76">
        <f>IFERROR((dir!AV17/(d_ss_Bv!V17+MLF_snap_bean))*1,".")</f>
        <v>285.0370150206428</v>
      </c>
      <c r="AW17" s="76">
        <f>IFERROR((dir!AW17/(d_ss_Bv!W17+MLF_strawberry))*1,".")</f>
        <v>382.51434775147851</v>
      </c>
      <c r="AX17" s="76">
        <f>IFERROR((dir!AX17/(d_ss_Bv!X17+MLF_tomato))*1,".")</f>
        <v>104.13052818085401</v>
      </c>
      <c r="AY17" s="76">
        <f>IFERROR((dir!AY17/(d_ss_Bv!Y17+MLF_rice))*1,".")</f>
        <v>7.3190782491328026</v>
      </c>
      <c r="AZ17" s="76">
        <f>IFERROR((dir!AZ17/(d_ss_Bv!Z17+MLF_cereal))*1,".")</f>
        <v>6.6414495517378835</v>
      </c>
    </row>
    <row r="18" spans="1:52" ht="15" customHeight="1" x14ac:dyDescent="0.25">
      <c r="A18" s="92" t="s">
        <v>28</v>
      </c>
      <c r="B18" s="90" t="s">
        <v>1074</v>
      </c>
      <c r="C18" s="76">
        <f t="shared" ref="C18:C21" si="15">IFERROR(1/SUM(1/D18,1/E18,1/F18,1/G18,1/H18,1/I18,1/J18,1/K18,1/L18,1/M18,1/N18,1/O18,1/P18,1/Q18,1/R18,1/S18,1/T18,1/U18,1/V18,1/W18,1/X18,1/Y18),".")</f>
        <v>1.7062157257392869E-2</v>
      </c>
      <c r="D18" s="76">
        <f>IFERROR((dir!D18/(d_ss_Bv!C18+MLF_apple)),".")</f>
        <v>1.8467759070132856</v>
      </c>
      <c r="E18" s="76">
        <f>IFERROR((dir!E18/(d_ss_Bv!D18+MLF_asparagus)),".")</f>
        <v>0.19759780587635523</v>
      </c>
      <c r="F18" s="76">
        <f>IFERROR((dir!F18/(d_ss_Bv!E18+MLF_beet)),".")</f>
        <v>0.30444369490054823</v>
      </c>
      <c r="G18" s="76">
        <f>IFERROR((dir!G18/(d_ss_Bv!F18+MLF_berries)),".")</f>
        <v>4.0690985453340938</v>
      </c>
      <c r="H18" s="76">
        <f>IFERROR((dir!H18/(d_ss_Bv!G18+MLF_broccoli)),".")</f>
        <v>1.4582781068193502</v>
      </c>
      <c r="I18" s="76">
        <f>IFERROR((dir!I18/(d_ss_Bv!H18+MLF_cabbage)),".")</f>
        <v>8.8188523901424246E-2</v>
      </c>
      <c r="J18" s="76">
        <f>IFERROR((dir!J18/(d_ss_Bv!I18+MLF_carrot)),".")</f>
        <v>0.33840330872189189</v>
      </c>
      <c r="K18" s="76">
        <f>IFERROR((dir!K18/(d_ss_Bv!J18+MLF_citrus)),".")</f>
        <v>0.48306300976101135</v>
      </c>
      <c r="L18" s="76">
        <f>IFERROR((dir!L18/(d_ss_Bv!K18+MLF_corn)),".")</f>
        <v>2.4600079224815898</v>
      </c>
      <c r="M18" s="76">
        <f>IFERROR((dir!M18/(d_ss_Bv!L18+MLF_cucumber)),".")</f>
        <v>2.9344903992355076</v>
      </c>
      <c r="N18" s="76">
        <f>IFERROR((dir!N18/(d_ss_Bv!M18+MLF_lettuce)),".")</f>
        <v>7.8262350790045593E-2</v>
      </c>
      <c r="O18" s="76">
        <f>IFERROR((dir!O18/(d_ss_Bv!N18+MLF_lima_bean)),".")</f>
        <v>0.43253677760466175</v>
      </c>
      <c r="P18" s="76">
        <f>IFERROR((dir!P18/(d_ss_Bv!O18+MLF_okra)),".")</f>
        <v>7.1225315887075107</v>
      </c>
      <c r="Q18" s="76">
        <f>IFERROR((dir!Q18/(d_ss_Bv!P18+MLF_onion)),".")</f>
        <v>9.0681779816578842</v>
      </c>
      <c r="R18" s="76">
        <f>IFERROR((dir!R18/(d_ss_Bv!Q18+MLF_peach)),".")</f>
        <v>1.2147278927307501</v>
      </c>
      <c r="S18" s="76">
        <f>IFERROR((dir!S18/(d_ss_Bv!R18+MLF_pear)),".")</f>
        <v>2.4490133568736883</v>
      </c>
      <c r="T18" s="76">
        <f>IFERROR((dir!T18/(d_ss_Bv!S18+MLF_peas)),".")</f>
        <v>3.1427004109067811</v>
      </c>
      <c r="U18" s="76">
        <f>IFERROR((dir!U18/(d_ss_Bv!T18+MLF_potato)),".")</f>
        <v>0.15202445609679274</v>
      </c>
      <c r="V18" s="76">
        <f>IFERROR((dir!V18/(d_ss_Bv!U18+MLF_pumpkin)),".")</f>
        <v>3.1359476920970644</v>
      </c>
      <c r="W18" s="76">
        <f>IFERROR((dir!W18/(d_ss_Bv!V18+MLF_snap_bean)),".")</f>
        <v>0.19375399601240928</v>
      </c>
      <c r="X18" s="76">
        <f>IFERROR((dir!X18/(d_ss_Bv!W18+MLF_strawberry)),".")</f>
        <v>4.7083651321482991</v>
      </c>
      <c r="Y18" s="76">
        <f>IFERROR((dir!Y18/(d_ss_Bv!X18+MLF_tomato)),".")</f>
        <v>0.39702364565314341</v>
      </c>
      <c r="Z18" s="76">
        <f>IFERROR((dir!Z18/(d_ss_Bv!D18+MLF_rice)),".")</f>
        <v>3.0096000125229326E-3</v>
      </c>
      <c r="AA18" s="76">
        <f>IFERROR((dir!AA18/(d_ss_Bv!Z18+MLF_cereal)),".")</f>
        <v>2.3969072255404268E-3</v>
      </c>
      <c r="AB18" s="76">
        <f t="shared" si="14"/>
        <v>1.033969984015151E-2</v>
      </c>
      <c r="AC18" s="76">
        <f>IFERROR((dir!AC18/(d_ss_Bv!C18+MLF_apple))*1,".")</f>
        <v>1.0429263916427036</v>
      </c>
      <c r="AD18" s="76">
        <f>IFERROR((dir!AD18/(d_ss_Bv!D18+MLF_asparagus))*1,".")</f>
        <v>0.12039406152670987</v>
      </c>
      <c r="AE18" s="76">
        <f>IFERROR((dir!AE18/(d_ss_Bv!E18+MLF_beet))*1,".")</f>
        <v>0.18157891802996987</v>
      </c>
      <c r="AF18" s="76">
        <f>IFERROR((dir!AF18/(d_ss_Bv!F18+MLF_berries))*1,".")</f>
        <v>2.5719602832200801</v>
      </c>
      <c r="AG18" s="76">
        <f>IFERROR((dir!AG18/(d_ss_Bv!G18+MLF_broccoli))*1,".")</f>
        <v>0.81448674612186012</v>
      </c>
      <c r="AH18" s="76">
        <f>IFERROR((dir!AH18/(d_ss_Bv!H18+MLF_cabbage))*1,".")</f>
        <v>5.6641938477386536E-2</v>
      </c>
      <c r="AI18" s="76">
        <f>IFERROR((dir!AI18/(d_ss_Bv!I18+MLF_carrot))*1,".")</f>
        <v>0.23644321790399175</v>
      </c>
      <c r="AJ18" s="76">
        <f>IFERROR((dir!AJ18/(d_ss_Bv!J18+MLF_citrus))*1,".")</f>
        <v>0.30393368865042036</v>
      </c>
      <c r="AK18" s="76">
        <f>IFERROR((dir!AK18/(d_ss_Bv!K18+MLF_corn))*1,".")</f>
        <v>1.1036319973923843</v>
      </c>
      <c r="AL18" s="76">
        <f>IFERROR((dir!AL18/(d_ss_Bv!L18+MLF_cucumber))*1,".")</f>
        <v>2.6845815623900444</v>
      </c>
      <c r="AM18" s="76">
        <f>IFERROR((dir!AM18/(d_ss_Bv!M18+MLF_lettuce))*1,".")</f>
        <v>4.6661263138319746E-2</v>
      </c>
      <c r="AN18" s="76">
        <f>IFERROR((dir!AN18/(d_ss_Bv!N18+MLF_lima_bean))*1,".")</f>
        <v>0.26027924254109841</v>
      </c>
      <c r="AO18" s="76">
        <f>IFERROR((dir!AO18/(d_ss_Bv!O18+MLF_okra))*1,".")</f>
        <v>4.2778250369357975</v>
      </c>
      <c r="AP18" s="76">
        <f>IFERROR((dir!AP18/(d_ss_Bv!P18+MLF_onion))*1,".")</f>
        <v>4.4104320183517887</v>
      </c>
      <c r="AQ18" s="76">
        <f>IFERROR((dir!AQ18/(d_ss_Bv!Q18+MLF_peach))*1,".")</f>
        <v>0.88335230354047312</v>
      </c>
      <c r="AR18" s="76">
        <f>IFERROR((dir!AR18/(d_ss_Bv!R18+MLF_pear))*1,".")</f>
        <v>1.4099964010631458</v>
      </c>
      <c r="AS18" s="76">
        <f>IFERROR((dir!AS18/(d_ss_Bv!S18+MLF_peas))*1,".")</f>
        <v>2.2642527920501174</v>
      </c>
      <c r="AT18" s="76">
        <f>IFERROR((dir!AT18/(d_ss_Bv!T18+MLF_potato))*1,".")</f>
        <v>8.4362535540102104E-2</v>
      </c>
      <c r="AU18" s="76">
        <f>IFERROR((dir!AU18/(d_ss_Bv!U18+MLF_pumpkin))*1,".")</f>
        <v>1.986201593539654</v>
      </c>
      <c r="AV18" s="76">
        <f>IFERROR((dir!AV18/(d_ss_Bv!V18+MLF_snap_bean))*1,".")</f>
        <v>0.11983450156798975</v>
      </c>
      <c r="AW18" s="76">
        <f>IFERROR((dir!AW18/(d_ss_Bv!W18+MLF_strawberry))*1,".")</f>
        <v>2.9621308111592324</v>
      </c>
      <c r="AX18" s="76">
        <f>IFERROR((dir!AX18/(d_ss_Bv!X18+MLF_tomato))*1,".")</f>
        <v>0.20759908228542831</v>
      </c>
      <c r="AY18" s="76">
        <f>IFERROR((dir!AY18/(d_ss_Bv!Y18+MLF_rice))*1,".")</f>
        <v>1.4982978044277776E-3</v>
      </c>
      <c r="AZ18" s="76">
        <f>IFERROR((dir!AZ18/(d_ss_Bv!Z18+MLF_cereal))*1,".")</f>
        <v>1.4900493662272723E-3</v>
      </c>
    </row>
    <row r="19" spans="1:52" ht="15" customHeight="1" x14ac:dyDescent="0.25">
      <c r="A19" s="92" t="s">
        <v>29</v>
      </c>
      <c r="B19" s="90" t="s">
        <v>1074</v>
      </c>
      <c r="C19" s="76" t="str">
        <f t="shared" si="15"/>
        <v>.</v>
      </c>
      <c r="D19" s="76" t="str">
        <f>IFERROR((dir!D19/(d_ss_Bv!C19+MLF_apple)),".")</f>
        <v>.</v>
      </c>
      <c r="E19" s="76" t="str">
        <f>IFERROR((dir!E19/(d_ss_Bv!D19+MLF_asparagus)),".")</f>
        <v>.</v>
      </c>
      <c r="F19" s="76" t="str">
        <f>IFERROR((dir!F19/(d_ss_Bv!E19+MLF_beet)),".")</f>
        <v>.</v>
      </c>
      <c r="G19" s="76" t="str">
        <f>IFERROR((dir!G19/(d_ss_Bv!F19+MLF_berries)),".")</f>
        <v>.</v>
      </c>
      <c r="H19" s="76" t="str">
        <f>IFERROR((dir!H19/(d_ss_Bv!G19+MLF_broccoli)),".")</f>
        <v>.</v>
      </c>
      <c r="I19" s="76" t="str">
        <f>IFERROR((dir!I19/(d_ss_Bv!H19+MLF_cabbage)),".")</f>
        <v>.</v>
      </c>
      <c r="J19" s="76" t="str">
        <f>IFERROR((dir!J19/(d_ss_Bv!I19+MLF_carrot)),".")</f>
        <v>.</v>
      </c>
      <c r="K19" s="76" t="str">
        <f>IFERROR((dir!K19/(d_ss_Bv!J19+MLF_citrus)),".")</f>
        <v>.</v>
      </c>
      <c r="L19" s="76" t="str">
        <f>IFERROR((dir!L19/(d_ss_Bv!K19+MLF_corn)),".")</f>
        <v>.</v>
      </c>
      <c r="M19" s="76" t="str">
        <f>IFERROR((dir!M19/(d_ss_Bv!L19+MLF_cucumber)),".")</f>
        <v>.</v>
      </c>
      <c r="N19" s="76" t="str">
        <f>IFERROR((dir!N19/(d_ss_Bv!M19+MLF_lettuce)),".")</f>
        <v>.</v>
      </c>
      <c r="O19" s="76" t="str">
        <f>IFERROR((dir!O19/(d_ss_Bv!N19+MLF_lima_bean)),".")</f>
        <v>.</v>
      </c>
      <c r="P19" s="76" t="str">
        <f>IFERROR((dir!P19/(d_ss_Bv!O19+MLF_okra)),".")</f>
        <v>.</v>
      </c>
      <c r="Q19" s="76" t="str">
        <f>IFERROR((dir!Q19/(d_ss_Bv!P19+MLF_onion)),".")</f>
        <v>.</v>
      </c>
      <c r="R19" s="76" t="str">
        <f>IFERROR((dir!R19/(d_ss_Bv!Q19+MLF_peach)),".")</f>
        <v>.</v>
      </c>
      <c r="S19" s="76" t="str">
        <f>IFERROR((dir!S19/(d_ss_Bv!R19+MLF_pear)),".")</f>
        <v>.</v>
      </c>
      <c r="T19" s="76" t="str">
        <f>IFERROR((dir!T19/(d_ss_Bv!S19+MLF_peas)),".")</f>
        <v>.</v>
      </c>
      <c r="U19" s="76" t="str">
        <f>IFERROR((dir!U19/(d_ss_Bv!T19+MLF_potato)),".")</f>
        <v>.</v>
      </c>
      <c r="V19" s="76" t="str">
        <f>IFERROR((dir!V19/(d_ss_Bv!U19+MLF_pumpkin)),".")</f>
        <v>.</v>
      </c>
      <c r="W19" s="76" t="str">
        <f>IFERROR((dir!W19/(d_ss_Bv!V19+MLF_snap_bean)),".")</f>
        <v>.</v>
      </c>
      <c r="X19" s="76" t="str">
        <f>IFERROR((dir!X19/(d_ss_Bv!W19+MLF_strawberry)),".")</f>
        <v>.</v>
      </c>
      <c r="Y19" s="76" t="str">
        <f>IFERROR((dir!Y19/(d_ss_Bv!X19+MLF_tomato)),".")</f>
        <v>.</v>
      </c>
      <c r="Z19" s="76" t="str">
        <f>IFERROR((dir!Z19/(d_ss_Bv!D19+MLF_rice)),".")</f>
        <v>.</v>
      </c>
      <c r="AA19" s="76" t="str">
        <f>IFERROR((dir!AA19/(d_ss_Bv!Z19+MLF_cereal)),".")</f>
        <v>.</v>
      </c>
      <c r="AB19" s="76" t="str">
        <f t="shared" si="14"/>
        <v>.</v>
      </c>
      <c r="AC19" s="76" t="str">
        <f>IFERROR((dir!AC19/(d_ss_Bv!C19+MLF_apple))*1,".")</f>
        <v>.</v>
      </c>
      <c r="AD19" s="76" t="str">
        <f>IFERROR((dir!AD19/(d_ss_Bv!D19+MLF_asparagus))*1,".")</f>
        <v>.</v>
      </c>
      <c r="AE19" s="76" t="str">
        <f>IFERROR((dir!AE19/(d_ss_Bv!E19+MLF_beet))*1,".")</f>
        <v>.</v>
      </c>
      <c r="AF19" s="76" t="str">
        <f>IFERROR((dir!AF19/(d_ss_Bv!F19+MLF_berries))*1,".")</f>
        <v>.</v>
      </c>
      <c r="AG19" s="76" t="str">
        <f>IFERROR((dir!AG19/(d_ss_Bv!G19+MLF_broccoli))*1,".")</f>
        <v>.</v>
      </c>
      <c r="AH19" s="76" t="str">
        <f>IFERROR((dir!AH19/(d_ss_Bv!H19+MLF_cabbage))*1,".")</f>
        <v>.</v>
      </c>
      <c r="AI19" s="76" t="str">
        <f>IFERROR((dir!AI19/(d_ss_Bv!I19+MLF_carrot))*1,".")</f>
        <v>.</v>
      </c>
      <c r="AJ19" s="76" t="str">
        <f>IFERROR((dir!AJ19/(d_ss_Bv!J19+MLF_citrus))*1,".")</f>
        <v>.</v>
      </c>
      <c r="AK19" s="76" t="str">
        <f>IFERROR((dir!AK19/(d_ss_Bv!K19+MLF_corn))*1,".")</f>
        <v>.</v>
      </c>
      <c r="AL19" s="76" t="str">
        <f>IFERROR((dir!AL19/(d_ss_Bv!L19+MLF_cucumber))*1,".")</f>
        <v>.</v>
      </c>
      <c r="AM19" s="76" t="str">
        <f>IFERROR((dir!AM19/(d_ss_Bv!M19+MLF_lettuce))*1,".")</f>
        <v>.</v>
      </c>
      <c r="AN19" s="76" t="str">
        <f>IFERROR((dir!AN19/(d_ss_Bv!N19+MLF_lima_bean))*1,".")</f>
        <v>.</v>
      </c>
      <c r="AO19" s="76" t="str">
        <f>IFERROR((dir!AO19/(d_ss_Bv!O19+MLF_okra))*1,".")</f>
        <v>.</v>
      </c>
      <c r="AP19" s="76" t="str">
        <f>IFERROR((dir!AP19/(d_ss_Bv!P19+MLF_onion))*1,".")</f>
        <v>.</v>
      </c>
      <c r="AQ19" s="76" t="str">
        <f>IFERROR((dir!AQ19/(d_ss_Bv!Q19+MLF_peach))*1,".")</f>
        <v>.</v>
      </c>
      <c r="AR19" s="76" t="str">
        <f>IFERROR((dir!AR19/(d_ss_Bv!R19+MLF_pear))*1,".")</f>
        <v>.</v>
      </c>
      <c r="AS19" s="76" t="str">
        <f>IFERROR((dir!AS19/(d_ss_Bv!S19+MLF_peas))*1,".")</f>
        <v>.</v>
      </c>
      <c r="AT19" s="76" t="str">
        <f>IFERROR((dir!AT19/(d_ss_Bv!T19+MLF_potato))*1,".")</f>
        <v>.</v>
      </c>
      <c r="AU19" s="76" t="str">
        <f>IFERROR((dir!AU19/(d_ss_Bv!U19+MLF_pumpkin))*1,".")</f>
        <v>.</v>
      </c>
      <c r="AV19" s="76" t="str">
        <f>IFERROR((dir!AV19/(d_ss_Bv!V19+MLF_snap_bean))*1,".")</f>
        <v>.</v>
      </c>
      <c r="AW19" s="76" t="str">
        <f>IFERROR((dir!AW19/(d_ss_Bv!W19+MLF_strawberry))*1,".")</f>
        <v>.</v>
      </c>
      <c r="AX19" s="76" t="str">
        <f>IFERROR((dir!AX19/(d_ss_Bv!X19+MLF_tomato))*1,".")</f>
        <v>.</v>
      </c>
      <c r="AY19" s="76" t="str">
        <f>IFERROR((dir!AY19/(d_ss_Bv!Y19+MLF_rice))*1,".")</f>
        <v>.</v>
      </c>
      <c r="AZ19" s="76" t="str">
        <f>IFERROR((dir!AZ19/(d_ss_Bv!Z19+MLF_cereal))*1,".")</f>
        <v>.</v>
      </c>
    </row>
    <row r="20" spans="1:52" ht="15" customHeight="1" x14ac:dyDescent="0.25">
      <c r="A20" s="92" t="s">
        <v>30</v>
      </c>
      <c r="B20" s="90" t="s">
        <v>1074</v>
      </c>
      <c r="C20" s="76" t="str">
        <f t="shared" si="15"/>
        <v>.</v>
      </c>
      <c r="D20" s="76" t="str">
        <f>IFERROR((dir!D20/(d_ss_Bv!C20+MLF_apple)),".")</f>
        <v>.</v>
      </c>
      <c r="E20" s="76" t="str">
        <f>IFERROR((dir!E20/(d_ss_Bv!D20+MLF_asparagus)),".")</f>
        <v>.</v>
      </c>
      <c r="F20" s="76" t="str">
        <f>IFERROR((dir!F20/(d_ss_Bv!E20+MLF_beet)),".")</f>
        <v>.</v>
      </c>
      <c r="G20" s="76" t="str">
        <f>IFERROR((dir!G20/(d_ss_Bv!F20+MLF_berries)),".")</f>
        <v>.</v>
      </c>
      <c r="H20" s="76" t="str">
        <f>IFERROR((dir!H20/(d_ss_Bv!G20+MLF_broccoli)),".")</f>
        <v>.</v>
      </c>
      <c r="I20" s="76" t="str">
        <f>IFERROR((dir!I20/(d_ss_Bv!H20+MLF_cabbage)),".")</f>
        <v>.</v>
      </c>
      <c r="J20" s="76" t="str">
        <f>IFERROR((dir!J20/(d_ss_Bv!I20+MLF_carrot)),".")</f>
        <v>.</v>
      </c>
      <c r="K20" s="76" t="str">
        <f>IFERROR((dir!K20/(d_ss_Bv!J20+MLF_citrus)),".")</f>
        <v>.</v>
      </c>
      <c r="L20" s="76" t="str">
        <f>IFERROR((dir!L20/(d_ss_Bv!K20+MLF_corn)),".")</f>
        <v>.</v>
      </c>
      <c r="M20" s="76" t="str">
        <f>IFERROR((dir!M20/(d_ss_Bv!L20+MLF_cucumber)),".")</f>
        <v>.</v>
      </c>
      <c r="N20" s="76" t="str">
        <f>IFERROR((dir!N20/(d_ss_Bv!M20+MLF_lettuce)),".")</f>
        <v>.</v>
      </c>
      <c r="O20" s="76" t="str">
        <f>IFERROR((dir!O20/(d_ss_Bv!N20+MLF_lima_bean)),".")</f>
        <v>.</v>
      </c>
      <c r="P20" s="76" t="str">
        <f>IFERROR((dir!P20/(d_ss_Bv!O20+MLF_okra)),".")</f>
        <v>.</v>
      </c>
      <c r="Q20" s="76" t="str">
        <f>IFERROR((dir!Q20/(d_ss_Bv!P20+MLF_onion)),".")</f>
        <v>.</v>
      </c>
      <c r="R20" s="76" t="str">
        <f>IFERROR((dir!R20/(d_ss_Bv!Q20+MLF_peach)),".")</f>
        <v>.</v>
      </c>
      <c r="S20" s="76" t="str">
        <f>IFERROR((dir!S20/(d_ss_Bv!R20+MLF_pear)),".")</f>
        <v>.</v>
      </c>
      <c r="T20" s="76" t="str">
        <f>IFERROR((dir!T20/(d_ss_Bv!S20+MLF_peas)),".")</f>
        <v>.</v>
      </c>
      <c r="U20" s="76" t="str">
        <f>IFERROR((dir!U20/(d_ss_Bv!T20+MLF_potato)),".")</f>
        <v>.</v>
      </c>
      <c r="V20" s="76" t="str">
        <f>IFERROR((dir!V20/(d_ss_Bv!U20+MLF_pumpkin)),".")</f>
        <v>.</v>
      </c>
      <c r="W20" s="76" t="str">
        <f>IFERROR((dir!W20/(d_ss_Bv!V20+MLF_snap_bean)),".")</f>
        <v>.</v>
      </c>
      <c r="X20" s="76" t="str">
        <f>IFERROR((dir!X20/(d_ss_Bv!W20+MLF_strawberry)),".")</f>
        <v>.</v>
      </c>
      <c r="Y20" s="76" t="str">
        <f>IFERROR((dir!Y20/(d_ss_Bv!X20+MLF_tomato)),".")</f>
        <v>.</v>
      </c>
      <c r="Z20" s="76" t="str">
        <f>IFERROR((dir!Z20/(d_ss_Bv!D20+MLF_rice)),".")</f>
        <v>.</v>
      </c>
      <c r="AA20" s="76" t="str">
        <f>IFERROR((dir!AA20/(d_ss_Bv!Z20+MLF_cereal)),".")</f>
        <v>.</v>
      </c>
      <c r="AB20" s="76" t="str">
        <f t="shared" si="14"/>
        <v>.</v>
      </c>
      <c r="AC20" s="76" t="str">
        <f>IFERROR((dir!AC20/(d_ss_Bv!C20+MLF_apple))*1,".")</f>
        <v>.</v>
      </c>
      <c r="AD20" s="76" t="str">
        <f>IFERROR((dir!AD20/(d_ss_Bv!D20+MLF_asparagus))*1,".")</f>
        <v>.</v>
      </c>
      <c r="AE20" s="76" t="str">
        <f>IFERROR((dir!AE20/(d_ss_Bv!E20+MLF_beet))*1,".")</f>
        <v>.</v>
      </c>
      <c r="AF20" s="76" t="str">
        <f>IFERROR((dir!AF20/(d_ss_Bv!F20+MLF_berries))*1,".")</f>
        <v>.</v>
      </c>
      <c r="AG20" s="76" t="str">
        <f>IFERROR((dir!AG20/(d_ss_Bv!G20+MLF_broccoli))*1,".")</f>
        <v>.</v>
      </c>
      <c r="AH20" s="76" t="str">
        <f>IFERROR((dir!AH20/(d_ss_Bv!H20+MLF_cabbage))*1,".")</f>
        <v>.</v>
      </c>
      <c r="AI20" s="76" t="str">
        <f>IFERROR((dir!AI20/(d_ss_Bv!I20+MLF_carrot))*1,".")</f>
        <v>.</v>
      </c>
      <c r="AJ20" s="76" t="str">
        <f>IFERROR((dir!AJ20/(d_ss_Bv!J20+MLF_citrus))*1,".")</f>
        <v>.</v>
      </c>
      <c r="AK20" s="76" t="str">
        <f>IFERROR((dir!AK20/(d_ss_Bv!K20+MLF_corn))*1,".")</f>
        <v>.</v>
      </c>
      <c r="AL20" s="76" t="str">
        <f>IFERROR((dir!AL20/(d_ss_Bv!L20+MLF_cucumber))*1,".")</f>
        <v>.</v>
      </c>
      <c r="AM20" s="76" t="str">
        <f>IFERROR((dir!AM20/(d_ss_Bv!M20+MLF_lettuce))*1,".")</f>
        <v>.</v>
      </c>
      <c r="AN20" s="76" t="str">
        <f>IFERROR((dir!AN20/(d_ss_Bv!N20+MLF_lima_bean))*1,".")</f>
        <v>.</v>
      </c>
      <c r="AO20" s="76" t="str">
        <f>IFERROR((dir!AO20/(d_ss_Bv!O20+MLF_okra))*1,".")</f>
        <v>.</v>
      </c>
      <c r="AP20" s="76" t="str">
        <f>IFERROR((dir!AP20/(d_ss_Bv!P20+MLF_onion))*1,".")</f>
        <v>.</v>
      </c>
      <c r="AQ20" s="76" t="str">
        <f>IFERROR((dir!AQ20/(d_ss_Bv!Q20+MLF_peach))*1,".")</f>
        <v>.</v>
      </c>
      <c r="AR20" s="76" t="str">
        <f>IFERROR((dir!AR20/(d_ss_Bv!R20+MLF_pear))*1,".")</f>
        <v>.</v>
      </c>
      <c r="AS20" s="76" t="str">
        <f>IFERROR((dir!AS20/(d_ss_Bv!S20+MLF_peas))*1,".")</f>
        <v>.</v>
      </c>
      <c r="AT20" s="76" t="str">
        <f>IFERROR((dir!AT20/(d_ss_Bv!T20+MLF_potato))*1,".")</f>
        <v>.</v>
      </c>
      <c r="AU20" s="76" t="str">
        <f>IFERROR((dir!AU20/(d_ss_Bv!U20+MLF_pumpkin))*1,".")</f>
        <v>.</v>
      </c>
      <c r="AV20" s="76" t="str">
        <f>IFERROR((dir!AV20/(d_ss_Bv!V20+MLF_snap_bean))*1,".")</f>
        <v>.</v>
      </c>
      <c r="AW20" s="76" t="str">
        <f>IFERROR((dir!AW20/(d_ss_Bv!W20+MLF_strawberry))*1,".")</f>
        <v>.</v>
      </c>
      <c r="AX20" s="76" t="str">
        <f>IFERROR((dir!AX20/(d_ss_Bv!X20+MLF_tomato))*1,".")</f>
        <v>.</v>
      </c>
      <c r="AY20" s="76" t="str">
        <f>IFERROR((dir!AY20/(d_ss_Bv!Y20+MLF_rice))*1,".")</f>
        <v>.</v>
      </c>
      <c r="AZ20" s="76" t="str">
        <f>IFERROR((dir!AZ20/(d_ss_Bv!Z20+MLF_cereal))*1,".")</f>
        <v>.</v>
      </c>
    </row>
    <row r="21" spans="1:52" ht="15" customHeight="1" x14ac:dyDescent="0.25">
      <c r="A21" s="92" t="s">
        <v>31</v>
      </c>
      <c r="B21" s="90" t="s">
        <v>1074</v>
      </c>
      <c r="C21" s="76" t="str">
        <f t="shared" si="15"/>
        <v>.</v>
      </c>
      <c r="D21" s="76" t="str">
        <f>IFERROR((dir!D21/(d_ss_Bv!C21+MLF_apple)),".")</f>
        <v>.</v>
      </c>
      <c r="E21" s="76" t="str">
        <f>IFERROR((dir!E21/(d_ss_Bv!D21+MLF_asparagus)),".")</f>
        <v>.</v>
      </c>
      <c r="F21" s="76" t="str">
        <f>IFERROR((dir!F21/(d_ss_Bv!E21+MLF_beet)),".")</f>
        <v>.</v>
      </c>
      <c r="G21" s="76" t="str">
        <f>IFERROR((dir!G21/(d_ss_Bv!F21+MLF_berries)),".")</f>
        <v>.</v>
      </c>
      <c r="H21" s="76" t="str">
        <f>IFERROR((dir!H21/(d_ss_Bv!G21+MLF_broccoli)),".")</f>
        <v>.</v>
      </c>
      <c r="I21" s="76" t="str">
        <f>IFERROR((dir!I21/(d_ss_Bv!H21+MLF_cabbage)),".")</f>
        <v>.</v>
      </c>
      <c r="J21" s="76" t="str">
        <f>IFERROR((dir!J21/(d_ss_Bv!I21+MLF_carrot)),".")</f>
        <v>.</v>
      </c>
      <c r="K21" s="76" t="str">
        <f>IFERROR((dir!K21/(d_ss_Bv!J21+MLF_citrus)),".")</f>
        <v>.</v>
      </c>
      <c r="L21" s="76" t="str">
        <f>IFERROR((dir!L21/(d_ss_Bv!K21+MLF_corn)),".")</f>
        <v>.</v>
      </c>
      <c r="M21" s="76" t="str">
        <f>IFERROR((dir!M21/(d_ss_Bv!L21+MLF_cucumber)),".")</f>
        <v>.</v>
      </c>
      <c r="N21" s="76" t="str">
        <f>IFERROR((dir!N21/(d_ss_Bv!M21+MLF_lettuce)),".")</f>
        <v>.</v>
      </c>
      <c r="O21" s="76" t="str">
        <f>IFERROR((dir!O21/(d_ss_Bv!N21+MLF_lima_bean)),".")</f>
        <v>.</v>
      </c>
      <c r="P21" s="76" t="str">
        <f>IFERROR((dir!P21/(d_ss_Bv!O21+MLF_okra)),".")</f>
        <v>.</v>
      </c>
      <c r="Q21" s="76" t="str">
        <f>IFERROR((dir!Q21/(d_ss_Bv!P21+MLF_onion)),".")</f>
        <v>.</v>
      </c>
      <c r="R21" s="76" t="str">
        <f>IFERROR((dir!R21/(d_ss_Bv!Q21+MLF_peach)),".")</f>
        <v>.</v>
      </c>
      <c r="S21" s="76" t="str">
        <f>IFERROR((dir!S21/(d_ss_Bv!R21+MLF_pear)),".")</f>
        <v>.</v>
      </c>
      <c r="T21" s="76" t="str">
        <f>IFERROR((dir!T21/(d_ss_Bv!S21+MLF_peas)),".")</f>
        <v>.</v>
      </c>
      <c r="U21" s="76" t="str">
        <f>IFERROR((dir!U21/(d_ss_Bv!T21+MLF_potato)),".")</f>
        <v>.</v>
      </c>
      <c r="V21" s="76" t="str">
        <f>IFERROR((dir!V21/(d_ss_Bv!U21+MLF_pumpkin)),".")</f>
        <v>.</v>
      </c>
      <c r="W21" s="76" t="str">
        <f>IFERROR((dir!W21/(d_ss_Bv!V21+MLF_snap_bean)),".")</f>
        <v>.</v>
      </c>
      <c r="X21" s="76" t="str">
        <f>IFERROR((dir!X21/(d_ss_Bv!W21+MLF_strawberry)),".")</f>
        <v>.</v>
      </c>
      <c r="Y21" s="76" t="str">
        <f>IFERROR((dir!Y21/(d_ss_Bv!X21+MLF_tomato)),".")</f>
        <v>.</v>
      </c>
      <c r="Z21" s="76" t="str">
        <f>IFERROR((dir!Z21/(d_ss_Bv!D21+MLF_rice)),".")</f>
        <v>.</v>
      </c>
      <c r="AA21" s="76" t="str">
        <f>IFERROR((dir!AA21/(d_ss_Bv!Z21+MLF_cereal)),".")</f>
        <v>.</v>
      </c>
      <c r="AB21" s="76" t="str">
        <f t="shared" si="14"/>
        <v>.</v>
      </c>
      <c r="AC21" s="76" t="str">
        <f>IFERROR((dir!AC21/(d_ss_Bv!C21+MLF_apple))*1,".")</f>
        <v>.</v>
      </c>
      <c r="AD21" s="76" t="str">
        <f>IFERROR((dir!AD21/(d_ss_Bv!D21+MLF_asparagus))*1,".")</f>
        <v>.</v>
      </c>
      <c r="AE21" s="76" t="str">
        <f>IFERROR((dir!AE21/(d_ss_Bv!E21+MLF_beet))*1,".")</f>
        <v>.</v>
      </c>
      <c r="AF21" s="76" t="str">
        <f>IFERROR((dir!AF21/(d_ss_Bv!F21+MLF_berries))*1,".")</f>
        <v>.</v>
      </c>
      <c r="AG21" s="76" t="str">
        <f>IFERROR((dir!AG21/(d_ss_Bv!G21+MLF_broccoli))*1,".")</f>
        <v>.</v>
      </c>
      <c r="AH21" s="76" t="str">
        <f>IFERROR((dir!AH21/(d_ss_Bv!H21+MLF_cabbage))*1,".")</f>
        <v>.</v>
      </c>
      <c r="AI21" s="76" t="str">
        <f>IFERROR((dir!AI21/(d_ss_Bv!I21+MLF_carrot))*1,".")</f>
        <v>.</v>
      </c>
      <c r="AJ21" s="76" t="str">
        <f>IFERROR((dir!AJ21/(d_ss_Bv!J21+MLF_citrus))*1,".")</f>
        <v>.</v>
      </c>
      <c r="AK21" s="76" t="str">
        <f>IFERROR((dir!AK21/(d_ss_Bv!K21+MLF_corn))*1,".")</f>
        <v>.</v>
      </c>
      <c r="AL21" s="76" t="str">
        <f>IFERROR((dir!AL21/(d_ss_Bv!L21+MLF_cucumber))*1,".")</f>
        <v>.</v>
      </c>
      <c r="AM21" s="76" t="str">
        <f>IFERROR((dir!AM21/(d_ss_Bv!M21+MLF_lettuce))*1,".")</f>
        <v>.</v>
      </c>
      <c r="AN21" s="76" t="str">
        <f>IFERROR((dir!AN21/(d_ss_Bv!N21+MLF_lima_bean))*1,".")</f>
        <v>.</v>
      </c>
      <c r="AO21" s="76" t="str">
        <f>IFERROR((dir!AO21/(d_ss_Bv!O21+MLF_okra))*1,".")</f>
        <v>.</v>
      </c>
      <c r="AP21" s="76" t="str">
        <f>IFERROR((dir!AP21/(d_ss_Bv!P21+MLF_onion))*1,".")</f>
        <v>.</v>
      </c>
      <c r="AQ21" s="76" t="str">
        <f>IFERROR((dir!AQ21/(d_ss_Bv!Q21+MLF_peach))*1,".")</f>
        <v>.</v>
      </c>
      <c r="AR21" s="76" t="str">
        <f>IFERROR((dir!AR21/(d_ss_Bv!R21+MLF_pear))*1,".")</f>
        <v>.</v>
      </c>
      <c r="AS21" s="76" t="str">
        <f>IFERROR((dir!AS21/(d_ss_Bv!S21+MLF_peas))*1,".")</f>
        <v>.</v>
      </c>
      <c r="AT21" s="76" t="str">
        <f>IFERROR((dir!AT21/(d_ss_Bv!T21+MLF_potato))*1,".")</f>
        <v>.</v>
      </c>
      <c r="AU21" s="76" t="str">
        <f>IFERROR((dir!AU21/(d_ss_Bv!U21+MLF_pumpkin))*1,".")</f>
        <v>.</v>
      </c>
      <c r="AV21" s="76" t="str">
        <f>IFERROR((dir!AV21/(d_ss_Bv!V21+MLF_snap_bean))*1,".")</f>
        <v>.</v>
      </c>
      <c r="AW21" s="76" t="str">
        <f>IFERROR((dir!AW21/(d_ss_Bv!W21+MLF_strawberry))*1,".")</f>
        <v>.</v>
      </c>
      <c r="AX21" s="76" t="str">
        <f>IFERROR((dir!AX21/(d_ss_Bv!X21+MLF_tomato))*1,".")</f>
        <v>.</v>
      </c>
      <c r="AY21" s="76" t="str">
        <f>IFERROR((dir!AY21/(d_ss_Bv!Y21+MLF_rice))*1,".")</f>
        <v>.</v>
      </c>
      <c r="AZ21" s="76" t="str">
        <f>IFERROR((dir!AZ21/(d_ss_Bv!Z21+MLF_cereal))*1,".")</f>
        <v>.</v>
      </c>
    </row>
    <row r="22" spans="1:52" ht="15" customHeight="1" x14ac:dyDescent="0.25">
      <c r="A22" s="92" t="s">
        <v>32</v>
      </c>
      <c r="B22" s="90" t="s">
        <v>1074</v>
      </c>
      <c r="C22" s="76">
        <f t="shared" ref="C22:C23" si="16">IFERROR(1/SUM(1/D22,1/E22,1/F22,1/G22,1/H22,1/I22,1/J22,1/K22,1/L22,1/M22,1/N22,1/O22,1/P22,1/Q22,1/R22,1/S22,1/T22,1/U22,1/V22,1/W22,1/X22,1/Y22),".")</f>
        <v>2.3499974070188077E-2</v>
      </c>
      <c r="D22" s="76">
        <f>IFERROR((dir!D22/(d_ss_Bv!C22+MLF_apple)),".")</f>
        <v>0.96026740786830656</v>
      </c>
      <c r="E22" s="76">
        <f>IFERROR((dir!E22/(d_ss_Bv!D22+MLF_asparagus)),".")</f>
        <v>0.23810942889931247</v>
      </c>
      <c r="F22" s="76">
        <f>IFERROR((dir!F22/(d_ss_Bv!E22+MLF_beet)),".")</f>
        <v>0.37823611631545939</v>
      </c>
      <c r="G22" s="76">
        <f>IFERROR((dir!G22/(d_ss_Bv!F22+MLF_berries)),".")</f>
        <v>2.1498016093420254</v>
      </c>
      <c r="H22" s="76">
        <f>IFERROR((dir!H22/(d_ss_Bv!G22+MLF_broccoli)),".")</f>
        <v>1.4377428257850202</v>
      </c>
      <c r="I22" s="76">
        <f>IFERROR((dir!I22/(d_ss_Bv!H22+MLF_cabbage)),".")</f>
        <v>0.10660798958306021</v>
      </c>
      <c r="J22" s="76">
        <f>IFERROR((dir!J22/(d_ss_Bv!I22+MLF_carrot)),".")</f>
        <v>0.41776830960182193</v>
      </c>
      <c r="K22" s="76">
        <f>IFERROR((dir!K22/(d_ss_Bv!J22+MLF_citrus)),".")</f>
        <v>0.24915852000975239</v>
      </c>
      <c r="L22" s="76">
        <f>IFERROR((dir!L22/(d_ss_Bv!K22+MLF_corn)),".")</f>
        <v>5.4610813316415001</v>
      </c>
      <c r="M22" s="76">
        <f>IFERROR((dir!M22/(d_ss_Bv!L22+MLF_cucumber)),".")</f>
        <v>0.60651778487508035</v>
      </c>
      <c r="N22" s="76">
        <f>IFERROR((dir!N22/(d_ss_Bv!M22+MLF_lettuce)),".")</f>
        <v>0.22969528496933864</v>
      </c>
      <c r="O22" s="76">
        <f>IFERROR((dir!O22/(d_ss_Bv!N22+MLF_lima_bean)),".")</f>
        <v>1.45956940042987</v>
      </c>
      <c r="P22" s="76">
        <f>IFERROR((dir!P22/(d_ss_Bv!O22+MLF_okra)),".")</f>
        <v>1.7134591102203729</v>
      </c>
      <c r="Q22" s="76">
        <f>IFERROR((dir!Q22/(d_ss_Bv!P22+MLF_onion)),".")</f>
        <v>2.3116696384786821</v>
      </c>
      <c r="R22" s="76">
        <f>IFERROR((dir!R22/(d_ss_Bv!Q22+MLF_peach)),".")</f>
        <v>0.61468158427339137</v>
      </c>
      <c r="S22" s="76">
        <f>IFERROR((dir!S22/(d_ss_Bv!R22+MLF_pear)),".")</f>
        <v>1.2734125992813476</v>
      </c>
      <c r="T22" s="76">
        <f>IFERROR((dir!T22/(d_ss_Bv!S22+MLF_peas)),".")</f>
        <v>1.4572538796889103</v>
      </c>
      <c r="U22" s="76">
        <f>IFERROR((dir!U22/(d_ss_Bv!T22+MLF_potato)),".")</f>
        <v>0.57912195619267481</v>
      </c>
      <c r="V22" s="76">
        <f>IFERROR((dir!V22/(d_ss_Bv!U22+MLF_pumpkin)),".")</f>
        <v>0.69603263320983533</v>
      </c>
      <c r="W22" s="76">
        <f>IFERROR((dir!W22/(d_ss_Bv!V22+MLF_snap_bean)),".")</f>
        <v>0.78863650909588678</v>
      </c>
      <c r="X22" s="76">
        <f>IFERROR((dir!X22/(d_ss_Bv!W22+MLF_strawberry)),".")</f>
        <v>1.9192733370002106</v>
      </c>
      <c r="Y22" s="76">
        <f>IFERROR((dir!Y22/(d_ss_Bv!X22+MLF_tomato)),".")</f>
        <v>0.56099528359326245</v>
      </c>
      <c r="Z22" s="76">
        <f>IFERROR((dir!Z22/(d_ss_Bv!D22+MLF_rice)),".")</f>
        <v>3.3337431743847117E-2</v>
      </c>
      <c r="AA22" s="76">
        <f>IFERROR((dir!AA22/(d_ss_Bv!Z22+MLF_cereal)),".")</f>
        <v>3.2965972388305127E-2</v>
      </c>
      <c r="AB22" s="76">
        <f t="shared" ref="AB22:AB23" si="17">IFERROR(1/SUM(1/AC22,1/AD22,1/AE22,1/AF22,1/AG22,1/AH22,1/AI22,1/AJ22,1/AK22,1/AL22,1/AM22,1/AN22,1/AO22,1/AP22,1/AQ22,1/AR22,1/AS22,1/AT22,1/AU22,1/AV22,1/AW22,1/AX22),".")</f>
        <v>1.4642709250175157E-2</v>
      </c>
      <c r="AC22" s="76">
        <f>IFERROR((dir!AC22/(d_ss_Bv!C22+MLF_apple))*1,".")</f>
        <v>0.54229006285870962</v>
      </c>
      <c r="AD22" s="76">
        <f>IFERROR((dir!AD22/(d_ss_Bv!D22+MLF_asparagus))*1,".")</f>
        <v>0.14507732566085083</v>
      </c>
      <c r="AE22" s="76">
        <f>IFERROR((dir!AE22/(d_ss_Bv!E22+MLF_beet))*1,".")</f>
        <v>0.22559082651672038</v>
      </c>
      <c r="AF22" s="76">
        <f>IFERROR((dir!AF22/(d_ss_Bv!F22+MLF_berries))*1,".")</f>
        <v>1.3588278323636231</v>
      </c>
      <c r="AG22" s="76">
        <f>IFERROR((dir!AG22/(d_ss_Bv!G22+MLF_broccoli))*1,".")</f>
        <v>0.80301725059001683</v>
      </c>
      <c r="AH22" s="76">
        <f>IFERROR((dir!AH22/(d_ss_Bv!H22+MLF_cabbage))*1,".")</f>
        <v>6.8472437455822294E-2</v>
      </c>
      <c r="AI22" s="76">
        <f>IFERROR((dir!AI22/(d_ss_Bv!I22+MLF_carrot))*1,".")</f>
        <v>0.29189573776225819</v>
      </c>
      <c r="AJ22" s="76">
        <f>IFERROR((dir!AJ22/(d_ss_Bv!J22+MLF_citrus))*1,".")</f>
        <v>0.15676561134893938</v>
      </c>
      <c r="AK22" s="76">
        <f>IFERROR((dir!AK22/(d_ss_Bv!K22+MLF_corn))*1,".")</f>
        <v>2.4500019056369009</v>
      </c>
      <c r="AL22" s="76">
        <f>IFERROR((dir!AL22/(d_ss_Bv!L22+MLF_cucumber))*1,".")</f>
        <v>0.55486515238266998</v>
      </c>
      <c r="AM22" s="76">
        <f>IFERROR((dir!AM22/(d_ss_Bv!M22+MLF_lettuce))*1,".")</f>
        <v>0.13694799639150232</v>
      </c>
      <c r="AN22" s="76">
        <f>IFERROR((dir!AN22/(d_ss_Bv!N22+MLF_lima_bean))*1,".")</f>
        <v>0.8782966851602062</v>
      </c>
      <c r="AO22" s="76">
        <f>IFERROR((dir!AO22/(d_ss_Bv!O22+MLF_okra))*1,".")</f>
        <v>1.0291113756641914</v>
      </c>
      <c r="AP22" s="76">
        <f>IFERROR((dir!AP22/(d_ss_Bv!P22+MLF_onion))*1,".")</f>
        <v>1.1243120514419045</v>
      </c>
      <c r="AQ22" s="76">
        <f>IFERROR((dir!AQ22/(d_ss_Bv!Q22+MLF_peach))*1,".")</f>
        <v>0.44699755118915502</v>
      </c>
      <c r="AR22" s="76">
        <f>IFERROR((dir!AR22/(d_ss_Bv!R22+MLF_pear))*1,".")</f>
        <v>0.73315532437407283</v>
      </c>
      <c r="AS22" s="76">
        <f>IFERROR((dir!AS22/(d_ss_Bv!S22+MLF_peas))*1,".")</f>
        <v>1.0499222752382662</v>
      </c>
      <c r="AT22" s="76">
        <f>IFERROR((dir!AT22/(d_ss_Bv!T22+MLF_potato))*1,".")</f>
        <v>0.32137063907830482</v>
      </c>
      <c r="AU22" s="76">
        <f>IFERROR((dir!AU22/(d_ss_Bv!U22+MLF_pumpkin))*1,".")</f>
        <v>0.44084317117945926</v>
      </c>
      <c r="AV22" s="76">
        <f>IFERROR((dir!AV22/(d_ss_Bv!V22+MLF_snap_bean))*1,".")</f>
        <v>0.48776213616658648</v>
      </c>
      <c r="AW22" s="76">
        <f>IFERROR((dir!AW22/(d_ss_Bv!W22+MLF_strawberry))*1,".")</f>
        <v>1.2074549290468362</v>
      </c>
      <c r="AX22" s="76">
        <f>IFERROR((dir!AX22/(d_ss_Bv!X22+MLF_tomato))*1,".")</f>
        <v>0.29333795937726359</v>
      </c>
      <c r="AY22" s="76">
        <f>IFERROR((dir!AY22/(d_ss_Bv!Y22+MLF_rice))*1,".")</f>
        <v>2.3050181939552418E-2</v>
      </c>
      <c r="AZ22" s="76">
        <f>IFERROR((dir!AZ22/(d_ss_Bv!Z22+MLF_cereal))*1,".")</f>
        <v>2.0493461632910971E-2</v>
      </c>
    </row>
    <row r="23" spans="1:52" x14ac:dyDescent="0.25">
      <c r="A23" s="94" t="s">
        <v>33</v>
      </c>
      <c r="B23" s="90" t="s">
        <v>351</v>
      </c>
      <c r="C23" s="76">
        <f t="shared" si="16"/>
        <v>7.0161793087252207E-3</v>
      </c>
      <c r="D23" s="76">
        <f>IFERROR((dir!D23/(d_ss_Bv!C23+MLF_apple)),".")</f>
        <v>0.28669854263694045</v>
      </c>
      <c r="E23" s="76">
        <f>IFERROR((dir!E23/(d_ss_Bv!D23+MLF_asparagus)),".")</f>
        <v>7.1090225174974597E-2</v>
      </c>
      <c r="F23" s="76">
        <f>IFERROR((dir!F23/(d_ss_Bv!E23+MLF_beet)),".")</f>
        <v>0.11292661026684579</v>
      </c>
      <c r="G23" s="76">
        <f>IFERROR((dir!G23/(d_ss_Bv!F23+MLF_berries)),".")</f>
        <v>0.64184724307693564</v>
      </c>
      <c r="H23" s="76">
        <f>IFERROR((dir!H23/(d_ss_Bv!G23+MLF_broccoli)),".")</f>
        <v>0.42925415302214631</v>
      </c>
      <c r="I23" s="76">
        <f>IFERROR((dir!I23/(d_ss_Bv!H23+MLF_cabbage)),".")</f>
        <v>3.1829004084151076E-2</v>
      </c>
      <c r="J23" s="76">
        <f>IFERROR((dir!J23/(d_ss_Bv!I23+MLF_carrot)),".")</f>
        <v>0.12472938739910511</v>
      </c>
      <c r="K23" s="76">
        <f>IFERROR((dir!K23/(d_ss_Bv!J23+MLF_citrus)),".")</f>
        <v>7.4389054535285784E-2</v>
      </c>
      <c r="L23" s="76">
        <f>IFERROR((dir!L23/(d_ss_Bv!K23+MLF_corn)),".")</f>
        <v>1.6304667285116707</v>
      </c>
      <c r="M23" s="76">
        <f>IFERROR((dir!M23/(d_ss_Bv!L23+MLF_cucumber)),".")</f>
        <v>0.1810826480022722</v>
      </c>
      <c r="N23" s="76">
        <f>IFERROR((dir!N23/(d_ss_Bv!M23+MLF_lettuce)),".")</f>
        <v>6.8578088677896082E-2</v>
      </c>
      <c r="O23" s="76">
        <f>IFERROR((dir!O23/(d_ss_Bv!N23+MLF_lima_bean)),".")</f>
        <v>0.43577072027222741</v>
      </c>
      <c r="P23" s="76">
        <f>IFERROR((dir!P23/(d_ss_Bv!O23+MLF_okra)),".")</f>
        <v>0.51157232427442778</v>
      </c>
      <c r="Q23" s="76">
        <f>IFERROR((dir!Q23/(d_ss_Bv!P23+MLF_onion)),".")</f>
        <v>0.69017474817888724</v>
      </c>
      <c r="R23" s="76">
        <f>IFERROR((dir!R23/(d_ss_Bv!Q23+MLF_peach)),".")</f>
        <v>0.18352004134781114</v>
      </c>
      <c r="S23" s="76">
        <f>IFERROR((dir!S23/(d_ss_Bv!R23+MLF_pear)),".")</f>
        <v>0.38019153144011458</v>
      </c>
      <c r="T23" s="76">
        <f>IFERROR((dir!T23/(d_ss_Bv!S23+MLF_peas)),".")</f>
        <v>0.43507939573445892</v>
      </c>
      <c r="U23" s="76">
        <f>IFERROR((dir!U23/(d_ss_Bv!T23+MLF_potato)),".")</f>
        <v>0.1729033178560864</v>
      </c>
      <c r="V23" s="76">
        <f>IFERROR((dir!V23/(d_ss_Bv!U23+MLF_pumpkin)),".")</f>
        <v>0.20780830415977103</v>
      </c>
      <c r="W23" s="76">
        <f>IFERROR((dir!W23/(d_ss_Bv!V23+MLF_snap_bean)),".")</f>
        <v>0.23545622393870003</v>
      </c>
      <c r="X23" s="76">
        <f>IFERROR((dir!X23/(d_ss_Bv!W23+MLF_strawberry)),".")</f>
        <v>0.5730204567302789</v>
      </c>
      <c r="Y23" s="76">
        <f>IFERROR((dir!Y23/(d_ss_Bv!X23+MLF_tomato)),".")</f>
        <v>0.16749139761957119</v>
      </c>
      <c r="Z23" s="76">
        <f>IFERROR((dir!Z23/(d_ss_Bv!D23+MLF_rice)),".")</f>
        <v>9.9532619954651458E-3</v>
      </c>
      <c r="AA23" s="76">
        <f>IFERROR((dir!AA23/(d_ss_Bv!Z23+MLF_cereal)),".")</f>
        <v>9.8423586626954166E-3</v>
      </c>
      <c r="AB23" s="76">
        <f t="shared" si="17"/>
        <v>4.371744128649417E-3</v>
      </c>
      <c r="AC23" s="76">
        <f>IFERROR((dir!AC23/(d_ss_Bv!C23+MLF_apple))*1,".")</f>
        <v>0.16190674538587374</v>
      </c>
      <c r="AD23" s="76">
        <f>IFERROR((dir!AD23/(d_ss_Bv!D23+MLF_asparagus))*1,".")</f>
        <v>4.3314453344786411E-2</v>
      </c>
      <c r="AE23" s="76">
        <f>IFERROR((dir!AE23/(d_ss_Bv!E23+MLF_beet))*1,".")</f>
        <v>6.7352656837725886E-2</v>
      </c>
      <c r="AF23" s="76">
        <f>IFERROR((dir!AF23/(d_ss_Bv!F23+MLF_berries))*1,".")</f>
        <v>0.40569320174885148</v>
      </c>
      <c r="AG23" s="76">
        <f>IFERROR((dir!AG23/(d_ss_Bv!G23+MLF_broccoli))*1,".")</f>
        <v>0.23974975467255902</v>
      </c>
      <c r="AH23" s="76">
        <f>IFERROR((dir!AH23/(d_ss_Bv!H23+MLF_cabbage))*1,".")</f>
        <v>2.0443209744004501E-2</v>
      </c>
      <c r="AI23" s="76">
        <f>IFERROR((dir!AI23/(d_ss_Bv!I23+MLF_carrot))*1,".")</f>
        <v>8.7148727461393641E-2</v>
      </c>
      <c r="AJ23" s="76">
        <f>IFERROR((dir!AJ23/(d_ss_Bv!J23+MLF_citrus))*1,".")</f>
        <v>4.6804121373963919E-2</v>
      </c>
      <c r="AK23" s="76">
        <f>IFERROR((dir!AK23/(d_ss_Bv!K23+MLF_corn))*1,".")</f>
        <v>0.73147538909303156</v>
      </c>
      <c r="AL23" s="76">
        <f>IFERROR((dir!AL23/(d_ss_Bv!L23+MLF_cucumber))*1,".")</f>
        <v>0.16566117858907056</v>
      </c>
      <c r="AM23" s="76">
        <f>IFERROR((dir!AM23/(d_ss_Bv!M23+MLF_lettuce))*1,".")</f>
        <v>4.0887351440628397E-2</v>
      </c>
      <c r="AN23" s="76">
        <f>IFERROR((dir!AN23/(d_ss_Bv!N23+MLF_lima_bean))*1,".")</f>
        <v>0.26222526931042128</v>
      </c>
      <c r="AO23" s="76">
        <f>IFERROR((dir!AO23/(d_ss_Bv!O23+MLF_okra))*1,".")</f>
        <v>0.30725267690693486</v>
      </c>
      <c r="AP23" s="76">
        <f>IFERROR((dir!AP23/(d_ss_Bv!P23+MLF_onion))*1,".")</f>
        <v>0.33567590025064059</v>
      </c>
      <c r="AQ23" s="76">
        <f>IFERROR((dir!AQ23/(d_ss_Bv!Q23+MLF_peach))*1,".")</f>
        <v>0.13345610341258946</v>
      </c>
      <c r="AR23" s="76">
        <f>IFERROR((dir!AR23/(d_ss_Bv!R23+MLF_pear))*1,".")</f>
        <v>0.21889169756492108</v>
      </c>
      <c r="AS23" s="76">
        <f>IFERROR((dir!AS23/(d_ss_Bv!S23+MLF_peas))*1,".")</f>
        <v>0.31346600303876299</v>
      </c>
      <c r="AT23" s="76">
        <f>IFERROR((dir!AT23/(d_ss_Bv!T23+MLF_potato))*1,".")</f>
        <v>9.5948787926256482E-2</v>
      </c>
      <c r="AU23" s="76">
        <f>IFERROR((dir!AU23/(d_ss_Bv!U23+MLF_pumpkin))*1,".")</f>
        <v>0.13161864463271628</v>
      </c>
      <c r="AV23" s="76">
        <f>IFERROR((dir!AV23/(d_ss_Bv!V23+MLF_snap_bean))*1,".")</f>
        <v>0.14562682482671466</v>
      </c>
      <c r="AW23" s="76">
        <f>IFERROR((dir!AW23/(d_ss_Bv!W23+MLF_strawberry))*1,".")</f>
        <v>0.3604991334924007</v>
      </c>
      <c r="AX23" s="76">
        <f>IFERROR((dir!AX23/(d_ss_Bv!X23+MLF_tomato))*1,".")</f>
        <v>8.7579318806880885E-2</v>
      </c>
      <c r="AY23" s="76">
        <f>IFERROR((dir!AY23/(d_ss_Bv!Y23+MLF_rice))*1,".")</f>
        <v>6.8818888524562983E-3</v>
      </c>
      <c r="AZ23" s="76">
        <f>IFERROR((dir!AZ23/(d_ss_Bv!Z23+MLF_cereal))*1,".")</f>
        <v>6.1185514947180251E-3</v>
      </c>
    </row>
    <row r="24" spans="1:52" ht="15" customHeight="1" x14ac:dyDescent="0.25">
      <c r="A24" s="92" t="s">
        <v>34</v>
      </c>
      <c r="B24" s="90" t="s">
        <v>1074</v>
      </c>
      <c r="C24" s="76" t="str">
        <f t="shared" ref="C24:C25" si="18">IFERROR(1/SUM(1/D24,1/E24,1/F24,1/G24,1/H24,1/I24,1/J24,1/K24,1/L24,1/M24,1/N24,1/O24,1/P24,1/Q24,1/R24,1/S24,1/T24,1/U24,1/V24,1/W24,1/X24,1/Y24),".")</f>
        <v>.</v>
      </c>
      <c r="D24" s="76" t="str">
        <f>IFERROR((dir!D24/(d_ss_Bv!C24+MLF_apple)),".")</f>
        <v>.</v>
      </c>
      <c r="E24" s="76" t="str">
        <f>IFERROR((dir!E24/(d_ss_Bv!D24+MLF_asparagus)),".")</f>
        <v>.</v>
      </c>
      <c r="F24" s="76" t="str">
        <f>IFERROR((dir!F24/(d_ss_Bv!E24+MLF_beet)),".")</f>
        <v>.</v>
      </c>
      <c r="G24" s="76" t="str">
        <f>IFERROR((dir!G24/(d_ss_Bv!F24+MLF_berries)),".")</f>
        <v>.</v>
      </c>
      <c r="H24" s="76" t="str">
        <f>IFERROR((dir!H24/(d_ss_Bv!G24+MLF_broccoli)),".")</f>
        <v>.</v>
      </c>
      <c r="I24" s="76" t="str">
        <f>IFERROR((dir!I24/(d_ss_Bv!H24+MLF_cabbage)),".")</f>
        <v>.</v>
      </c>
      <c r="J24" s="76" t="str">
        <f>IFERROR((dir!J24/(d_ss_Bv!I24+MLF_carrot)),".")</f>
        <v>.</v>
      </c>
      <c r="K24" s="76" t="str">
        <f>IFERROR((dir!K24/(d_ss_Bv!J24+MLF_citrus)),".")</f>
        <v>.</v>
      </c>
      <c r="L24" s="76" t="str">
        <f>IFERROR((dir!L24/(d_ss_Bv!K24+MLF_corn)),".")</f>
        <v>.</v>
      </c>
      <c r="M24" s="76" t="str">
        <f>IFERROR((dir!M24/(d_ss_Bv!L24+MLF_cucumber)),".")</f>
        <v>.</v>
      </c>
      <c r="N24" s="76" t="str">
        <f>IFERROR((dir!N24/(d_ss_Bv!M24+MLF_lettuce)),".")</f>
        <v>.</v>
      </c>
      <c r="O24" s="76" t="str">
        <f>IFERROR((dir!O24/(d_ss_Bv!N24+MLF_lima_bean)),".")</f>
        <v>.</v>
      </c>
      <c r="P24" s="76" t="str">
        <f>IFERROR((dir!P24/(d_ss_Bv!O24+MLF_okra)),".")</f>
        <v>.</v>
      </c>
      <c r="Q24" s="76" t="str">
        <f>IFERROR((dir!Q24/(d_ss_Bv!P24+MLF_onion)),".")</f>
        <v>.</v>
      </c>
      <c r="R24" s="76" t="str">
        <f>IFERROR((dir!R24/(d_ss_Bv!Q24+MLF_peach)),".")</f>
        <v>.</v>
      </c>
      <c r="S24" s="76" t="str">
        <f>IFERROR((dir!S24/(d_ss_Bv!R24+MLF_pear)),".")</f>
        <v>.</v>
      </c>
      <c r="T24" s="76" t="str">
        <f>IFERROR((dir!T24/(d_ss_Bv!S24+MLF_peas)),".")</f>
        <v>.</v>
      </c>
      <c r="U24" s="76" t="str">
        <f>IFERROR((dir!U24/(d_ss_Bv!T24+MLF_potato)),".")</f>
        <v>.</v>
      </c>
      <c r="V24" s="76" t="str">
        <f>IFERROR((dir!V24/(d_ss_Bv!U24+MLF_pumpkin)),".")</f>
        <v>.</v>
      </c>
      <c r="W24" s="76" t="str">
        <f>IFERROR((dir!W24/(d_ss_Bv!V24+MLF_snap_bean)),".")</f>
        <v>.</v>
      </c>
      <c r="X24" s="76" t="str">
        <f>IFERROR((dir!X24/(d_ss_Bv!W24+MLF_strawberry)),".")</f>
        <v>.</v>
      </c>
      <c r="Y24" s="76" t="str">
        <f>IFERROR((dir!Y24/(d_ss_Bv!X24+MLF_tomato)),".")</f>
        <v>.</v>
      </c>
      <c r="Z24" s="76" t="str">
        <f>IFERROR((dir!Z24/(d_ss_Bv!D24+MLF_rice)),".")</f>
        <v>.</v>
      </c>
      <c r="AA24" s="76" t="str">
        <f>IFERROR((dir!AA24/(d_ss_Bv!Z24+MLF_cereal)),".")</f>
        <v>.</v>
      </c>
      <c r="AB24" s="76" t="str">
        <f t="shared" ref="AB24:AB25" si="19">IFERROR(1/SUM(1/AC24,1/AD24,1/AE24,1/AF24,1/AG24,1/AH24,1/AI24,1/AJ24,1/AK24,1/AL24,1/AM24,1/AN24,1/AO24,1/AP24,1/AQ24,1/AR24,1/AS24,1/AT24,1/AU24,1/AV24,1/AW24,1/AX24),".")</f>
        <v>.</v>
      </c>
      <c r="AC24" s="76" t="str">
        <f>IFERROR((dir!AC24/(d_ss_Bv!C24+MLF_apple))*1,".")</f>
        <v>.</v>
      </c>
      <c r="AD24" s="76" t="str">
        <f>IFERROR((dir!AD24/(d_ss_Bv!D24+MLF_asparagus))*1,".")</f>
        <v>.</v>
      </c>
      <c r="AE24" s="76" t="str">
        <f>IFERROR((dir!AE24/(d_ss_Bv!E24+MLF_beet))*1,".")</f>
        <v>.</v>
      </c>
      <c r="AF24" s="76" t="str">
        <f>IFERROR((dir!AF24/(d_ss_Bv!F24+MLF_berries))*1,".")</f>
        <v>.</v>
      </c>
      <c r="AG24" s="76" t="str">
        <f>IFERROR((dir!AG24/(d_ss_Bv!G24+MLF_broccoli))*1,".")</f>
        <v>.</v>
      </c>
      <c r="AH24" s="76" t="str">
        <f>IFERROR((dir!AH24/(d_ss_Bv!H24+MLF_cabbage))*1,".")</f>
        <v>.</v>
      </c>
      <c r="AI24" s="76" t="str">
        <f>IFERROR((dir!AI24/(d_ss_Bv!I24+MLF_carrot))*1,".")</f>
        <v>.</v>
      </c>
      <c r="AJ24" s="76" t="str">
        <f>IFERROR((dir!AJ24/(d_ss_Bv!J24+MLF_citrus))*1,".")</f>
        <v>.</v>
      </c>
      <c r="AK24" s="76" t="str">
        <f>IFERROR((dir!AK24/(d_ss_Bv!K24+MLF_corn))*1,".")</f>
        <v>.</v>
      </c>
      <c r="AL24" s="76" t="str">
        <f>IFERROR((dir!AL24/(d_ss_Bv!L24+MLF_cucumber))*1,".")</f>
        <v>.</v>
      </c>
      <c r="AM24" s="76" t="str">
        <f>IFERROR((dir!AM24/(d_ss_Bv!M24+MLF_lettuce))*1,".")</f>
        <v>.</v>
      </c>
      <c r="AN24" s="76" t="str">
        <f>IFERROR((dir!AN24/(d_ss_Bv!N24+MLF_lima_bean))*1,".")</f>
        <v>.</v>
      </c>
      <c r="AO24" s="76" t="str">
        <f>IFERROR((dir!AO24/(d_ss_Bv!O24+MLF_okra))*1,".")</f>
        <v>.</v>
      </c>
      <c r="AP24" s="76" t="str">
        <f>IFERROR((dir!AP24/(d_ss_Bv!P24+MLF_onion))*1,".")</f>
        <v>.</v>
      </c>
      <c r="AQ24" s="76" t="str">
        <f>IFERROR((dir!AQ24/(d_ss_Bv!Q24+MLF_peach))*1,".")</f>
        <v>.</v>
      </c>
      <c r="AR24" s="76" t="str">
        <f>IFERROR((dir!AR24/(d_ss_Bv!R24+MLF_pear))*1,".")</f>
        <v>.</v>
      </c>
      <c r="AS24" s="76" t="str">
        <f>IFERROR((dir!AS24/(d_ss_Bv!S24+MLF_peas))*1,".")</f>
        <v>.</v>
      </c>
      <c r="AT24" s="76" t="str">
        <f>IFERROR((dir!AT24/(d_ss_Bv!T24+MLF_potato))*1,".")</f>
        <v>.</v>
      </c>
      <c r="AU24" s="76" t="str">
        <f>IFERROR((dir!AU24/(d_ss_Bv!U24+MLF_pumpkin))*1,".")</f>
        <v>.</v>
      </c>
      <c r="AV24" s="76" t="str">
        <f>IFERROR((dir!AV24/(d_ss_Bv!V24+MLF_snap_bean))*1,".")</f>
        <v>.</v>
      </c>
      <c r="AW24" s="76" t="str">
        <f>IFERROR((dir!AW24/(d_ss_Bv!W24+MLF_strawberry))*1,".")</f>
        <v>.</v>
      </c>
      <c r="AX24" s="76" t="str">
        <f>IFERROR((dir!AX24/(d_ss_Bv!X24+MLF_tomato))*1,".")</f>
        <v>.</v>
      </c>
      <c r="AY24" s="76" t="str">
        <f>IFERROR((dir!AY24/(d_ss_Bv!Y24+MLF_rice))*1,".")</f>
        <v>.</v>
      </c>
      <c r="AZ24" s="76" t="str">
        <f>IFERROR((dir!AZ24/(d_ss_Bv!Z24+MLF_cereal))*1,".")</f>
        <v>.</v>
      </c>
    </row>
    <row r="25" spans="1:52" x14ac:dyDescent="0.25">
      <c r="A25" s="94" t="s">
        <v>35</v>
      </c>
      <c r="B25" s="90" t="s">
        <v>351</v>
      </c>
      <c r="C25" s="76" t="str">
        <f t="shared" si="18"/>
        <v>.</v>
      </c>
      <c r="D25" s="76" t="str">
        <f>IFERROR((dir!D25/(d_ss_Bv!C25+MLF_apple)),".")</f>
        <v>.</v>
      </c>
      <c r="E25" s="76" t="str">
        <f>IFERROR((dir!E25/(d_ss_Bv!D25+MLF_asparagus)),".")</f>
        <v>.</v>
      </c>
      <c r="F25" s="76" t="str">
        <f>IFERROR((dir!F25/(d_ss_Bv!E25+MLF_beet)),".")</f>
        <v>.</v>
      </c>
      <c r="G25" s="76" t="str">
        <f>IFERROR((dir!G25/(d_ss_Bv!F25+MLF_berries)),".")</f>
        <v>.</v>
      </c>
      <c r="H25" s="76" t="str">
        <f>IFERROR((dir!H25/(d_ss_Bv!G25+MLF_broccoli)),".")</f>
        <v>.</v>
      </c>
      <c r="I25" s="76" t="str">
        <f>IFERROR((dir!I25/(d_ss_Bv!H25+MLF_cabbage)),".")</f>
        <v>.</v>
      </c>
      <c r="J25" s="76" t="str">
        <f>IFERROR((dir!J25/(d_ss_Bv!I25+MLF_carrot)),".")</f>
        <v>.</v>
      </c>
      <c r="K25" s="76" t="str">
        <f>IFERROR((dir!K25/(d_ss_Bv!J25+MLF_citrus)),".")</f>
        <v>.</v>
      </c>
      <c r="L25" s="76" t="str">
        <f>IFERROR((dir!L25/(d_ss_Bv!K25+MLF_corn)),".")</f>
        <v>.</v>
      </c>
      <c r="M25" s="76" t="str">
        <f>IFERROR((dir!M25/(d_ss_Bv!L25+MLF_cucumber)),".")</f>
        <v>.</v>
      </c>
      <c r="N25" s="76" t="str">
        <f>IFERROR((dir!N25/(d_ss_Bv!M25+MLF_lettuce)),".")</f>
        <v>.</v>
      </c>
      <c r="O25" s="76" t="str">
        <f>IFERROR((dir!O25/(d_ss_Bv!N25+MLF_lima_bean)),".")</f>
        <v>.</v>
      </c>
      <c r="P25" s="76" t="str">
        <f>IFERROR((dir!P25/(d_ss_Bv!O25+MLF_okra)),".")</f>
        <v>.</v>
      </c>
      <c r="Q25" s="76" t="str">
        <f>IFERROR((dir!Q25/(d_ss_Bv!P25+MLF_onion)),".")</f>
        <v>.</v>
      </c>
      <c r="R25" s="76" t="str">
        <f>IFERROR((dir!R25/(d_ss_Bv!Q25+MLF_peach)),".")</f>
        <v>.</v>
      </c>
      <c r="S25" s="76" t="str">
        <f>IFERROR((dir!S25/(d_ss_Bv!R25+MLF_pear)),".")</f>
        <v>.</v>
      </c>
      <c r="T25" s="76" t="str">
        <f>IFERROR((dir!T25/(d_ss_Bv!S25+MLF_peas)),".")</f>
        <v>.</v>
      </c>
      <c r="U25" s="76" t="str">
        <f>IFERROR((dir!U25/(d_ss_Bv!T25+MLF_potato)),".")</f>
        <v>.</v>
      </c>
      <c r="V25" s="76" t="str">
        <f>IFERROR((dir!V25/(d_ss_Bv!U25+MLF_pumpkin)),".")</f>
        <v>.</v>
      </c>
      <c r="W25" s="76" t="str">
        <f>IFERROR((dir!W25/(d_ss_Bv!V25+MLF_snap_bean)),".")</f>
        <v>.</v>
      </c>
      <c r="X25" s="76" t="str">
        <f>IFERROR((dir!X25/(d_ss_Bv!W25+MLF_strawberry)),".")</f>
        <v>.</v>
      </c>
      <c r="Y25" s="76" t="str">
        <f>IFERROR((dir!Y25/(d_ss_Bv!X25+MLF_tomato)),".")</f>
        <v>.</v>
      </c>
      <c r="Z25" s="76" t="str">
        <f>IFERROR((dir!Z25/(d_ss_Bv!D25+MLF_rice)),".")</f>
        <v>.</v>
      </c>
      <c r="AA25" s="76" t="str">
        <f>IFERROR((dir!AA25/(d_ss_Bv!Z25+MLF_cereal)),".")</f>
        <v>.</v>
      </c>
      <c r="AB25" s="76" t="str">
        <f t="shared" si="19"/>
        <v>.</v>
      </c>
      <c r="AC25" s="76" t="str">
        <f>IFERROR((dir!AC25/(d_ss_Bv!C25+MLF_apple))*1,".")</f>
        <v>.</v>
      </c>
      <c r="AD25" s="76" t="str">
        <f>IFERROR((dir!AD25/(d_ss_Bv!D25+MLF_asparagus))*1,".")</f>
        <v>.</v>
      </c>
      <c r="AE25" s="76" t="str">
        <f>IFERROR((dir!AE25/(d_ss_Bv!E25+MLF_beet))*1,".")</f>
        <v>.</v>
      </c>
      <c r="AF25" s="76" t="str">
        <f>IFERROR((dir!AF25/(d_ss_Bv!F25+MLF_berries))*1,".")</f>
        <v>.</v>
      </c>
      <c r="AG25" s="76" t="str">
        <f>IFERROR((dir!AG25/(d_ss_Bv!G25+MLF_broccoli))*1,".")</f>
        <v>.</v>
      </c>
      <c r="AH25" s="76" t="str">
        <f>IFERROR((dir!AH25/(d_ss_Bv!H25+MLF_cabbage))*1,".")</f>
        <v>.</v>
      </c>
      <c r="AI25" s="76" t="str">
        <f>IFERROR((dir!AI25/(d_ss_Bv!I25+MLF_carrot))*1,".")</f>
        <v>.</v>
      </c>
      <c r="AJ25" s="76" t="str">
        <f>IFERROR((dir!AJ25/(d_ss_Bv!J25+MLF_citrus))*1,".")</f>
        <v>.</v>
      </c>
      <c r="AK25" s="76" t="str">
        <f>IFERROR((dir!AK25/(d_ss_Bv!K25+MLF_corn))*1,".")</f>
        <v>.</v>
      </c>
      <c r="AL25" s="76" t="str">
        <f>IFERROR((dir!AL25/(d_ss_Bv!L25+MLF_cucumber))*1,".")</f>
        <v>.</v>
      </c>
      <c r="AM25" s="76" t="str">
        <f>IFERROR((dir!AM25/(d_ss_Bv!M25+MLF_lettuce))*1,".")</f>
        <v>.</v>
      </c>
      <c r="AN25" s="76" t="str">
        <f>IFERROR((dir!AN25/(d_ss_Bv!N25+MLF_lima_bean))*1,".")</f>
        <v>.</v>
      </c>
      <c r="AO25" s="76" t="str">
        <f>IFERROR((dir!AO25/(d_ss_Bv!O25+MLF_okra))*1,".")</f>
        <v>.</v>
      </c>
      <c r="AP25" s="76" t="str">
        <f>IFERROR((dir!AP25/(d_ss_Bv!P25+MLF_onion))*1,".")</f>
        <v>.</v>
      </c>
      <c r="AQ25" s="76" t="str">
        <f>IFERROR((dir!AQ25/(d_ss_Bv!Q25+MLF_peach))*1,".")</f>
        <v>.</v>
      </c>
      <c r="AR25" s="76" t="str">
        <f>IFERROR((dir!AR25/(d_ss_Bv!R25+MLF_pear))*1,".")</f>
        <v>.</v>
      </c>
      <c r="AS25" s="76" t="str">
        <f>IFERROR((dir!AS25/(d_ss_Bv!S25+MLF_peas))*1,".")</f>
        <v>.</v>
      </c>
      <c r="AT25" s="76" t="str">
        <f>IFERROR((dir!AT25/(d_ss_Bv!T25+MLF_potato))*1,".")</f>
        <v>.</v>
      </c>
      <c r="AU25" s="76" t="str">
        <f>IFERROR((dir!AU25/(d_ss_Bv!U25+MLF_pumpkin))*1,".")</f>
        <v>.</v>
      </c>
      <c r="AV25" s="76" t="str">
        <f>IFERROR((dir!AV25/(d_ss_Bv!V25+MLF_snap_bean))*1,".")</f>
        <v>.</v>
      </c>
      <c r="AW25" s="76" t="str">
        <f>IFERROR((dir!AW25/(d_ss_Bv!W25+MLF_strawberry))*1,".")</f>
        <v>.</v>
      </c>
      <c r="AX25" s="76" t="str">
        <f>IFERROR((dir!AX25/(d_ss_Bv!X25+MLF_tomato))*1,".")</f>
        <v>.</v>
      </c>
      <c r="AY25" s="76" t="str">
        <f>IFERROR((dir!AY25/(d_ss_Bv!Y25+MLF_rice))*1,".")</f>
        <v>.</v>
      </c>
      <c r="AZ25" s="76" t="str">
        <f>IFERROR((dir!AZ25/(d_ss_Bv!Z25+MLF_cereal))*1,".")</f>
        <v>.</v>
      </c>
    </row>
    <row r="26" spans="1:52" ht="15" customHeight="1" x14ac:dyDescent="0.25">
      <c r="A26" s="92" t="s">
        <v>36</v>
      </c>
      <c r="B26" s="90" t="s">
        <v>1074</v>
      </c>
      <c r="C26" s="76">
        <f t="shared" ref="C26:C29" si="20">IFERROR(1/SUM(1/D26,1/E26,1/F26,1/G26,1/H26,1/I26,1/J26,1/K26,1/L26,1/M26,1/N26,1/O26,1/P26,1/Q26,1/R26,1/S26,1/T26,1/U26,1/V26,1/W26,1/X26,1/Y26),".")</f>
        <v>0.20309463442840414</v>
      </c>
      <c r="D26" s="76">
        <f>IFERROR((dir!D26/(d_ss_Bv!C26+MLF_apple)),".")</f>
        <v>7.8148455868286577</v>
      </c>
      <c r="E26" s="76">
        <f>IFERROR((dir!E26/(d_ss_Bv!D26+MLF_asparagus)),".")</f>
        <v>8.9640184658685378</v>
      </c>
      <c r="F26" s="76">
        <f>IFERROR((dir!F26/(d_ss_Bv!E26+MLF_beet)),".")</f>
        <v>14.951748212548019</v>
      </c>
      <c r="G26" s="76">
        <f>IFERROR((dir!G26/(d_ss_Bv!F26+MLF_berries)),".")</f>
        <v>17.348131274529894</v>
      </c>
      <c r="H26" s="76">
        <f>IFERROR((dir!H26/(d_ss_Bv!G26+MLF_broccoli)),".")</f>
        <v>7.6475148854863244</v>
      </c>
      <c r="I26" s="76">
        <f>IFERROR((dir!I26/(d_ss_Bv!H26+MLF_cabbage)),".")</f>
        <v>3.9345937181837134</v>
      </c>
      <c r="J26" s="76">
        <f>IFERROR((dir!J26/(d_ss_Bv!I26+MLF_carrot)),".")</f>
        <v>17.259210329173605</v>
      </c>
      <c r="K26" s="76">
        <f>IFERROR((dir!K26/(d_ss_Bv!J26+MLF_citrus)),".")</f>
        <v>2.0363586295780034</v>
      </c>
      <c r="L26" s="76">
        <f>IFERROR((dir!L26/(d_ss_Bv!K26+MLF_corn)),".")</f>
        <v>9.3599863287702707</v>
      </c>
      <c r="M26" s="76">
        <f>IFERROR((dir!M26/(d_ss_Bv!L26+MLF_cucumber)),".")</f>
        <v>6.663121279357803</v>
      </c>
      <c r="N26" s="76">
        <f>IFERROR((dir!N26/(d_ss_Bv!M26+MLF_lettuce)),".")</f>
        <v>0.86323586558410625</v>
      </c>
      <c r="O26" s="76">
        <f>IFERROR((dir!O26/(d_ss_Bv!N26+MLF_lima_bean)),".")</f>
        <v>3.1554989773887687</v>
      </c>
      <c r="P26" s="76">
        <f>IFERROR((dir!P26/(d_ss_Bv!O26+MLF_okra)),".")</f>
        <v>17.990432328638793</v>
      </c>
      <c r="Q26" s="76">
        <f>IFERROR((dir!Q26/(d_ss_Bv!P26+MLF_onion)),".")</f>
        <v>23.824540174979941</v>
      </c>
      <c r="R26" s="76">
        <f>IFERROR((dir!R26/(d_ss_Bv!Q26+MLF_peach)),".")</f>
        <v>5.0743606141216926</v>
      </c>
      <c r="S26" s="76">
        <f>IFERROR((dir!S26/(d_ss_Bv!R26+MLF_pear)),".")</f>
        <v>10.363282925323054</v>
      </c>
      <c r="T26" s="76">
        <f>IFERROR((dir!T26/(d_ss_Bv!S26+MLF_peas)),".")</f>
        <v>15.427493585744701</v>
      </c>
      <c r="U26" s="76">
        <f>IFERROR((dir!U26/(d_ss_Bv!T26+MLF_potato)),".")</f>
        <v>8.3708628507122942</v>
      </c>
      <c r="V26" s="76">
        <f>IFERROR((dir!V26/(d_ss_Bv!U26+MLF_pumpkin)),".")</f>
        <v>7.4901779073267392</v>
      </c>
      <c r="W26" s="76">
        <f>IFERROR((dir!W26/(d_ss_Bv!V26+MLF_snap_bean)),".")</f>
        <v>1.4324642365835607</v>
      </c>
      <c r="X26" s="76">
        <f>IFERROR((dir!X26/(d_ss_Bv!W26+MLF_strawberry)),".")</f>
        <v>17.633877055434397</v>
      </c>
      <c r="Y26" s="76">
        <f>IFERROR((dir!Y26/(d_ss_Bv!X26+MLF_tomato)),".")</f>
        <v>2.3263159255177412</v>
      </c>
      <c r="Z26" s="76">
        <f>IFERROR((dir!Z26/(d_ss_Bv!D26+MLF_rice)),".")</f>
        <v>2.3924635143568317E-2</v>
      </c>
      <c r="AA26" s="76">
        <f>IFERROR((dir!AA26/(d_ss_Bv!Z26+MLF_cereal)),".")</f>
        <v>1.8457919440956601E-2</v>
      </c>
      <c r="AB26" s="76">
        <f t="shared" ref="AB26" si="21">IFERROR(1/SUM(1/AC26,1/AD26,1/AE26,1/AF26,1/AG26,1/AH26,1/AI26,1/AJ26,1/AK26,1/AL26,1/AM26,1/AN26,1/AO26,1/AP26,1/AQ26,1/AR26,1/AS26,1/AT26,1/AU26,1/AV26,1/AW26,1/AX26),".")</f>
        <v>0.12266165856675273</v>
      </c>
      <c r="AC26" s="76">
        <f>IFERROR((dir!AC26/(d_ss_Bv!C26+MLF_apple))*1,".")</f>
        <v>4.4132635032570224</v>
      </c>
      <c r="AD26" s="76">
        <f>IFERROR((dir!AD26/(d_ss_Bv!D26+MLF_asparagus))*1,".")</f>
        <v>5.4616729468223308</v>
      </c>
      <c r="AE26" s="76">
        <f>IFERROR((dir!AE26/(d_ss_Bv!E26+MLF_beet))*1,".")</f>
        <v>8.9176498267697113</v>
      </c>
      <c r="AF26" s="76">
        <f>IFERROR((dir!AF26/(d_ss_Bv!F26+MLF_berries))*1,".")</f>
        <v>10.965255357932261</v>
      </c>
      <c r="AG26" s="76">
        <f>IFERROR((dir!AG26/(d_ss_Bv!G26+MLF_broccoli))*1,".")</f>
        <v>4.2713385642083574</v>
      </c>
      <c r="AH26" s="76">
        <f>IFERROR((dir!AH26/(d_ss_Bv!H26+MLF_cabbage))*1,".")</f>
        <v>2.527120371897666</v>
      </c>
      <c r="AI26" s="76">
        <f>IFERROR((dir!AI26/(d_ss_Bv!I26+MLF_carrot))*1,".")</f>
        <v>12.059052389660115</v>
      </c>
      <c r="AJ26" s="76">
        <f>IFERROR((dir!AJ26/(d_ss_Bv!J26+MLF_citrus))*1,".")</f>
        <v>1.2812365616836585</v>
      </c>
      <c r="AK26" s="76">
        <f>IFERROR((dir!AK26/(d_ss_Bv!K26+MLF_corn))*1,".")</f>
        <v>4.1991655039734725</v>
      </c>
      <c r="AL26" s="76">
        <f>IFERROR((dir!AL26/(d_ss_Bv!L26+MLF_cucumber))*1,".")</f>
        <v>6.0956725362580224</v>
      </c>
      <c r="AM26" s="76">
        <f>IFERROR((dir!AM26/(d_ss_Bv!M26+MLF_lettuce))*1,".")</f>
        <v>0.51467500615351425</v>
      </c>
      <c r="AN26" s="76">
        <f>IFERROR((dir!AN26/(d_ss_Bv!N26+MLF_lima_bean))*1,".")</f>
        <v>1.898823235846633</v>
      </c>
      <c r="AO26" s="76">
        <f>IFERROR((dir!AO26/(d_ss_Bv!O26+MLF_okra))*1,".")</f>
        <v>10.805135910210224</v>
      </c>
      <c r="AP26" s="76">
        <f>IFERROR((dir!AP26/(d_ss_Bv!P26+MLF_onion))*1,".")</f>
        <v>11.587389994194789</v>
      </c>
      <c r="AQ26" s="76">
        <f>IFERROR((dir!AQ26/(d_ss_Bv!Q26+MLF_peach))*1,".")</f>
        <v>3.6900841450201245</v>
      </c>
      <c r="AR26" s="76">
        <f>IFERROR((dir!AR26/(d_ss_Bv!R26+MLF_pear))*1,".")</f>
        <v>5.9665626514009675</v>
      </c>
      <c r="AS26" s="76">
        <f>IFERROR((dir!AS26/(d_ss_Bv!S26+MLF_peas))*1,".")</f>
        <v>11.11520057865734</v>
      </c>
      <c r="AT26" s="76">
        <f>IFERROR((dir!AT26/(d_ss_Bv!T26+MLF_potato))*1,".")</f>
        <v>4.6452211234678744</v>
      </c>
      <c r="AU26" s="76">
        <f>IFERROR((dir!AU26/(d_ss_Bv!U26+MLF_pumpkin))*1,".")</f>
        <v>4.7440215067743567</v>
      </c>
      <c r="AV26" s="76">
        <f>IFERROR((dir!AV26/(d_ss_Bv!V26+MLF_snap_bean))*1,".")</f>
        <v>0.88596179350008264</v>
      </c>
      <c r="AW26" s="76">
        <f>IFERROR((dir!AW26/(d_ss_Bv!W26+MLF_strawberry))*1,".")</f>
        <v>11.093840235424388</v>
      </c>
      <c r="AX26" s="76">
        <f>IFERROR((dir!AX26/(d_ss_Bv!X26+MLF_tomato))*1,".")</f>
        <v>1.2164037495776197</v>
      </c>
      <c r="AY26" s="76">
        <f>IFERROR((dir!AY26/(d_ss_Bv!Y26+MLF_rice))*1,".")</f>
        <v>1.2220350412260172E-2</v>
      </c>
      <c r="AZ26" s="76">
        <f>IFERROR((dir!AZ26/(d_ss_Bv!Z26+MLF_cereal))*1,".")</f>
        <v>1.1474457948062769E-2</v>
      </c>
    </row>
    <row r="27" spans="1:52" ht="15" customHeight="1" x14ac:dyDescent="0.25">
      <c r="A27" s="92" t="s">
        <v>37</v>
      </c>
      <c r="B27" s="90" t="s">
        <v>1074</v>
      </c>
      <c r="C27" s="76" t="str">
        <f t="shared" si="20"/>
        <v>.</v>
      </c>
      <c r="D27" s="76" t="str">
        <f>IFERROR((dir!D27/(d_ss_Bv!C27+MLF_apple)),".")</f>
        <v>.</v>
      </c>
      <c r="E27" s="76" t="str">
        <f>IFERROR((dir!E27/(d_ss_Bv!D27+MLF_asparagus)),".")</f>
        <v>.</v>
      </c>
      <c r="F27" s="76" t="str">
        <f>IFERROR((dir!F27/(d_ss_Bv!E27+MLF_beet)),".")</f>
        <v>.</v>
      </c>
      <c r="G27" s="76" t="str">
        <f>IFERROR((dir!G27/(d_ss_Bv!F27+MLF_berries)),".")</f>
        <v>.</v>
      </c>
      <c r="H27" s="76" t="str">
        <f>IFERROR((dir!H27/(d_ss_Bv!G27+MLF_broccoli)),".")</f>
        <v>.</v>
      </c>
      <c r="I27" s="76" t="str">
        <f>IFERROR((dir!I27/(d_ss_Bv!H27+MLF_cabbage)),".")</f>
        <v>.</v>
      </c>
      <c r="J27" s="76" t="str">
        <f>IFERROR((dir!J27/(d_ss_Bv!I27+MLF_carrot)),".")</f>
        <v>.</v>
      </c>
      <c r="K27" s="76" t="str">
        <f>IFERROR((dir!K27/(d_ss_Bv!J27+MLF_citrus)),".")</f>
        <v>.</v>
      </c>
      <c r="L27" s="76" t="str">
        <f>IFERROR((dir!L27/(d_ss_Bv!K27+MLF_corn)),".")</f>
        <v>.</v>
      </c>
      <c r="M27" s="76" t="str">
        <f>IFERROR((dir!M27/(d_ss_Bv!L27+MLF_cucumber)),".")</f>
        <v>.</v>
      </c>
      <c r="N27" s="76" t="str">
        <f>IFERROR((dir!N27/(d_ss_Bv!M27+MLF_lettuce)),".")</f>
        <v>.</v>
      </c>
      <c r="O27" s="76" t="str">
        <f>IFERROR((dir!O27/(d_ss_Bv!N27+MLF_lima_bean)),".")</f>
        <v>.</v>
      </c>
      <c r="P27" s="76" t="str">
        <f>IFERROR((dir!P27/(d_ss_Bv!O27+MLF_okra)),".")</f>
        <v>.</v>
      </c>
      <c r="Q27" s="76" t="str">
        <f>IFERROR((dir!Q27/(d_ss_Bv!P27+MLF_onion)),".")</f>
        <v>.</v>
      </c>
      <c r="R27" s="76" t="str">
        <f>IFERROR((dir!R27/(d_ss_Bv!Q27+MLF_peach)),".")</f>
        <v>.</v>
      </c>
      <c r="S27" s="76" t="str">
        <f>IFERROR((dir!S27/(d_ss_Bv!R27+MLF_pear)),".")</f>
        <v>.</v>
      </c>
      <c r="T27" s="76" t="str">
        <f>IFERROR((dir!T27/(d_ss_Bv!S27+MLF_peas)),".")</f>
        <v>.</v>
      </c>
      <c r="U27" s="76" t="str">
        <f>IFERROR((dir!U27/(d_ss_Bv!T27+MLF_potato)),".")</f>
        <v>.</v>
      </c>
      <c r="V27" s="76" t="str">
        <f>IFERROR((dir!V27/(d_ss_Bv!U27+MLF_pumpkin)),".")</f>
        <v>.</v>
      </c>
      <c r="W27" s="76" t="str">
        <f>IFERROR((dir!W27/(d_ss_Bv!V27+MLF_snap_bean)),".")</f>
        <v>.</v>
      </c>
      <c r="X27" s="76" t="str">
        <f>IFERROR((dir!X27/(d_ss_Bv!W27+MLF_strawberry)),".")</f>
        <v>.</v>
      </c>
      <c r="Y27" s="76" t="str">
        <f>IFERROR((dir!Y27/(d_ss_Bv!X27+MLF_tomato)),".")</f>
        <v>.</v>
      </c>
      <c r="Z27" s="76" t="str">
        <f>IFERROR((dir!Z27/(d_ss_Bv!D27+MLF_rice)),".")</f>
        <v>.</v>
      </c>
      <c r="AA27" s="76" t="str">
        <f>IFERROR((dir!AA27/(d_ss_Bv!Z27+MLF_cereal)),".")</f>
        <v>.</v>
      </c>
      <c r="AB27" s="76" t="str">
        <f t="shared" ref="AB27:AB30" si="22">IFERROR(1/SUM(1/AC27,1/AD27,1/AE27,1/AF27,1/AG27,1/AH27,1/AI27,1/AJ27,1/AK27,1/AL27,1/AM27,1/AN27,1/AO27,1/AP27,1/AQ27,1/AR27,1/AS27,1/AT27,1/AU27,1/AV27,1/AW27,1/AX27),".")</f>
        <v>.</v>
      </c>
      <c r="AC27" s="76" t="str">
        <f>IFERROR((dir!AC27/(d_ss_Bv!C27+MLF_apple))*1,".")</f>
        <v>.</v>
      </c>
      <c r="AD27" s="76" t="str">
        <f>IFERROR((dir!AD27/(d_ss_Bv!D27+MLF_asparagus))*1,".")</f>
        <v>.</v>
      </c>
      <c r="AE27" s="76" t="str">
        <f>IFERROR((dir!AE27/(d_ss_Bv!E27+MLF_beet))*1,".")</f>
        <v>.</v>
      </c>
      <c r="AF27" s="76" t="str">
        <f>IFERROR((dir!AF27/(d_ss_Bv!F27+MLF_berries))*1,".")</f>
        <v>.</v>
      </c>
      <c r="AG27" s="76" t="str">
        <f>IFERROR((dir!AG27/(d_ss_Bv!G27+MLF_broccoli))*1,".")</f>
        <v>.</v>
      </c>
      <c r="AH27" s="76" t="str">
        <f>IFERROR((dir!AH27/(d_ss_Bv!H27+MLF_cabbage))*1,".")</f>
        <v>.</v>
      </c>
      <c r="AI27" s="76" t="str">
        <f>IFERROR((dir!AI27/(d_ss_Bv!I27+MLF_carrot))*1,".")</f>
        <v>.</v>
      </c>
      <c r="AJ27" s="76" t="str">
        <f>IFERROR((dir!AJ27/(d_ss_Bv!J27+MLF_citrus))*1,".")</f>
        <v>.</v>
      </c>
      <c r="AK27" s="76" t="str">
        <f>IFERROR((dir!AK27/(d_ss_Bv!K27+MLF_corn))*1,".")</f>
        <v>.</v>
      </c>
      <c r="AL27" s="76" t="str">
        <f>IFERROR((dir!AL27/(d_ss_Bv!L27+MLF_cucumber))*1,".")</f>
        <v>.</v>
      </c>
      <c r="AM27" s="76" t="str">
        <f>IFERROR((dir!AM27/(d_ss_Bv!M27+MLF_lettuce))*1,".")</f>
        <v>.</v>
      </c>
      <c r="AN27" s="76" t="str">
        <f>IFERROR((dir!AN27/(d_ss_Bv!N27+MLF_lima_bean))*1,".")</f>
        <v>.</v>
      </c>
      <c r="AO27" s="76" t="str">
        <f>IFERROR((dir!AO27/(d_ss_Bv!O27+MLF_okra))*1,".")</f>
        <v>.</v>
      </c>
      <c r="AP27" s="76" t="str">
        <f>IFERROR((dir!AP27/(d_ss_Bv!P27+MLF_onion))*1,".")</f>
        <v>.</v>
      </c>
      <c r="AQ27" s="76" t="str">
        <f>IFERROR((dir!AQ27/(d_ss_Bv!Q27+MLF_peach))*1,".")</f>
        <v>.</v>
      </c>
      <c r="AR27" s="76" t="str">
        <f>IFERROR((dir!AR27/(d_ss_Bv!R27+MLF_pear))*1,".")</f>
        <v>.</v>
      </c>
      <c r="AS27" s="76" t="str">
        <f>IFERROR((dir!AS27/(d_ss_Bv!S27+MLF_peas))*1,".")</f>
        <v>.</v>
      </c>
      <c r="AT27" s="76" t="str">
        <f>IFERROR((dir!AT27/(d_ss_Bv!T27+MLF_potato))*1,".")</f>
        <v>.</v>
      </c>
      <c r="AU27" s="76" t="str">
        <f>IFERROR((dir!AU27/(d_ss_Bv!U27+MLF_pumpkin))*1,".")</f>
        <v>.</v>
      </c>
      <c r="AV27" s="76" t="str">
        <f>IFERROR((dir!AV27/(d_ss_Bv!V27+MLF_snap_bean))*1,".")</f>
        <v>.</v>
      </c>
      <c r="AW27" s="76" t="str">
        <f>IFERROR((dir!AW27/(d_ss_Bv!W27+MLF_strawberry))*1,".")</f>
        <v>.</v>
      </c>
      <c r="AX27" s="76" t="str">
        <f>IFERROR((dir!AX27/(d_ss_Bv!X27+MLF_tomato))*1,".")</f>
        <v>.</v>
      </c>
      <c r="AY27" s="76" t="str">
        <f>IFERROR((dir!AY27/(d_ss_Bv!Y27+MLF_rice))*1,".")</f>
        <v>.</v>
      </c>
      <c r="AZ27" s="76" t="str">
        <f>IFERROR((dir!AZ27/(d_ss_Bv!Z27+MLF_cereal))*1,".")</f>
        <v>.</v>
      </c>
    </row>
    <row r="28" spans="1:52" ht="15" customHeight="1" x14ac:dyDescent="0.25">
      <c r="A28" s="92" t="s">
        <v>38</v>
      </c>
      <c r="B28" s="90" t="s">
        <v>1074</v>
      </c>
      <c r="C28" s="76" t="str">
        <f t="shared" si="20"/>
        <v>.</v>
      </c>
      <c r="D28" s="76" t="str">
        <f>IFERROR((dir!D28/(d_ss_Bv!C28+MLF_apple)),".")</f>
        <v>.</v>
      </c>
      <c r="E28" s="76" t="str">
        <f>IFERROR((dir!E28/(d_ss_Bv!D28+MLF_asparagus)),".")</f>
        <v>.</v>
      </c>
      <c r="F28" s="76" t="str">
        <f>IFERROR((dir!F28/(d_ss_Bv!E28+MLF_beet)),".")</f>
        <v>.</v>
      </c>
      <c r="G28" s="76" t="str">
        <f>IFERROR((dir!G28/(d_ss_Bv!F28+MLF_berries)),".")</f>
        <v>.</v>
      </c>
      <c r="H28" s="76" t="str">
        <f>IFERROR((dir!H28/(d_ss_Bv!G28+MLF_broccoli)),".")</f>
        <v>.</v>
      </c>
      <c r="I28" s="76" t="str">
        <f>IFERROR((dir!I28/(d_ss_Bv!H28+MLF_cabbage)),".")</f>
        <v>.</v>
      </c>
      <c r="J28" s="76" t="str">
        <f>IFERROR((dir!J28/(d_ss_Bv!I28+MLF_carrot)),".")</f>
        <v>.</v>
      </c>
      <c r="K28" s="76" t="str">
        <f>IFERROR((dir!K28/(d_ss_Bv!J28+MLF_citrus)),".")</f>
        <v>.</v>
      </c>
      <c r="L28" s="76" t="str">
        <f>IFERROR((dir!L28/(d_ss_Bv!K28+MLF_corn)),".")</f>
        <v>.</v>
      </c>
      <c r="M28" s="76" t="str">
        <f>IFERROR((dir!M28/(d_ss_Bv!L28+MLF_cucumber)),".")</f>
        <v>.</v>
      </c>
      <c r="N28" s="76" t="str">
        <f>IFERROR((dir!N28/(d_ss_Bv!M28+MLF_lettuce)),".")</f>
        <v>.</v>
      </c>
      <c r="O28" s="76" t="str">
        <f>IFERROR((dir!O28/(d_ss_Bv!N28+MLF_lima_bean)),".")</f>
        <v>.</v>
      </c>
      <c r="P28" s="76" t="str">
        <f>IFERROR((dir!P28/(d_ss_Bv!O28+MLF_okra)),".")</f>
        <v>.</v>
      </c>
      <c r="Q28" s="76" t="str">
        <f>IFERROR((dir!Q28/(d_ss_Bv!P28+MLF_onion)),".")</f>
        <v>.</v>
      </c>
      <c r="R28" s="76" t="str">
        <f>IFERROR((dir!R28/(d_ss_Bv!Q28+MLF_peach)),".")</f>
        <v>.</v>
      </c>
      <c r="S28" s="76" t="str">
        <f>IFERROR((dir!S28/(d_ss_Bv!R28+MLF_pear)),".")</f>
        <v>.</v>
      </c>
      <c r="T28" s="76" t="str">
        <f>IFERROR((dir!T28/(d_ss_Bv!S28+MLF_peas)),".")</f>
        <v>.</v>
      </c>
      <c r="U28" s="76" t="str">
        <f>IFERROR((dir!U28/(d_ss_Bv!T28+MLF_potato)),".")</f>
        <v>.</v>
      </c>
      <c r="V28" s="76" t="str">
        <f>IFERROR((dir!V28/(d_ss_Bv!U28+MLF_pumpkin)),".")</f>
        <v>.</v>
      </c>
      <c r="W28" s="76" t="str">
        <f>IFERROR((dir!W28/(d_ss_Bv!V28+MLF_snap_bean)),".")</f>
        <v>.</v>
      </c>
      <c r="X28" s="76" t="str">
        <f>IFERROR((dir!X28/(d_ss_Bv!W28+MLF_strawberry)),".")</f>
        <v>.</v>
      </c>
      <c r="Y28" s="76" t="str">
        <f>IFERROR((dir!Y28/(d_ss_Bv!X28+MLF_tomato)),".")</f>
        <v>.</v>
      </c>
      <c r="Z28" s="76" t="str">
        <f>IFERROR((dir!Z28/(d_ss_Bv!D28+MLF_rice)),".")</f>
        <v>.</v>
      </c>
      <c r="AA28" s="76" t="str">
        <f>IFERROR((dir!AA28/(d_ss_Bv!Z28+MLF_cereal)),".")</f>
        <v>.</v>
      </c>
      <c r="AB28" s="76" t="str">
        <f t="shared" si="22"/>
        <v>.</v>
      </c>
      <c r="AC28" s="76" t="str">
        <f>IFERROR((dir!AC28/(d_ss_Bv!C28+MLF_apple))*1,".")</f>
        <v>.</v>
      </c>
      <c r="AD28" s="76" t="str">
        <f>IFERROR((dir!AD28/(d_ss_Bv!D28+MLF_asparagus))*1,".")</f>
        <v>.</v>
      </c>
      <c r="AE28" s="76" t="str">
        <f>IFERROR((dir!AE28/(d_ss_Bv!E28+MLF_beet))*1,".")</f>
        <v>.</v>
      </c>
      <c r="AF28" s="76" t="str">
        <f>IFERROR((dir!AF28/(d_ss_Bv!F28+MLF_berries))*1,".")</f>
        <v>.</v>
      </c>
      <c r="AG28" s="76" t="str">
        <f>IFERROR((dir!AG28/(d_ss_Bv!G28+MLF_broccoli))*1,".")</f>
        <v>.</v>
      </c>
      <c r="AH28" s="76" t="str">
        <f>IFERROR((dir!AH28/(d_ss_Bv!H28+MLF_cabbage))*1,".")</f>
        <v>.</v>
      </c>
      <c r="AI28" s="76" t="str">
        <f>IFERROR((dir!AI28/(d_ss_Bv!I28+MLF_carrot))*1,".")</f>
        <v>.</v>
      </c>
      <c r="AJ28" s="76" t="str">
        <f>IFERROR((dir!AJ28/(d_ss_Bv!J28+MLF_citrus))*1,".")</f>
        <v>.</v>
      </c>
      <c r="AK28" s="76" t="str">
        <f>IFERROR((dir!AK28/(d_ss_Bv!K28+MLF_corn))*1,".")</f>
        <v>.</v>
      </c>
      <c r="AL28" s="76" t="str">
        <f>IFERROR((dir!AL28/(d_ss_Bv!L28+MLF_cucumber))*1,".")</f>
        <v>.</v>
      </c>
      <c r="AM28" s="76" t="str">
        <f>IFERROR((dir!AM28/(d_ss_Bv!M28+MLF_lettuce))*1,".")</f>
        <v>.</v>
      </c>
      <c r="AN28" s="76" t="str">
        <f>IFERROR((dir!AN28/(d_ss_Bv!N28+MLF_lima_bean))*1,".")</f>
        <v>.</v>
      </c>
      <c r="AO28" s="76" t="str">
        <f>IFERROR((dir!AO28/(d_ss_Bv!O28+MLF_okra))*1,".")</f>
        <v>.</v>
      </c>
      <c r="AP28" s="76" t="str">
        <f>IFERROR((dir!AP28/(d_ss_Bv!P28+MLF_onion))*1,".")</f>
        <v>.</v>
      </c>
      <c r="AQ28" s="76" t="str">
        <f>IFERROR((dir!AQ28/(d_ss_Bv!Q28+MLF_peach))*1,".")</f>
        <v>.</v>
      </c>
      <c r="AR28" s="76" t="str">
        <f>IFERROR((dir!AR28/(d_ss_Bv!R28+MLF_pear))*1,".")</f>
        <v>.</v>
      </c>
      <c r="AS28" s="76" t="str">
        <f>IFERROR((dir!AS28/(d_ss_Bv!S28+MLF_peas))*1,".")</f>
        <v>.</v>
      </c>
      <c r="AT28" s="76" t="str">
        <f>IFERROR((dir!AT28/(d_ss_Bv!T28+MLF_potato))*1,".")</f>
        <v>.</v>
      </c>
      <c r="AU28" s="76" t="str">
        <f>IFERROR((dir!AU28/(d_ss_Bv!U28+MLF_pumpkin))*1,".")</f>
        <v>.</v>
      </c>
      <c r="AV28" s="76" t="str">
        <f>IFERROR((dir!AV28/(d_ss_Bv!V28+MLF_snap_bean))*1,".")</f>
        <v>.</v>
      </c>
      <c r="AW28" s="76" t="str">
        <f>IFERROR((dir!AW28/(d_ss_Bv!W28+MLF_strawberry))*1,".")</f>
        <v>.</v>
      </c>
      <c r="AX28" s="76" t="str">
        <f>IFERROR((dir!AX28/(d_ss_Bv!X28+MLF_tomato))*1,".")</f>
        <v>.</v>
      </c>
      <c r="AY28" s="76" t="str">
        <f>IFERROR((dir!AY28/(d_ss_Bv!Y28+MLF_rice))*1,".")</f>
        <v>.</v>
      </c>
      <c r="AZ28" s="76" t="str">
        <f>IFERROR((dir!AZ28/(d_ss_Bv!Z28+MLF_cereal))*1,".")</f>
        <v>.</v>
      </c>
    </row>
    <row r="29" spans="1:52" ht="15" customHeight="1" x14ac:dyDescent="0.25">
      <c r="A29" s="92" t="s">
        <v>39</v>
      </c>
      <c r="B29" s="90" t="s">
        <v>1074</v>
      </c>
      <c r="C29" s="76" t="str">
        <f t="shared" si="20"/>
        <v>.</v>
      </c>
      <c r="D29" s="76" t="str">
        <f>IFERROR((dir!D29/(d_ss_Bv!C29+MLF_apple)),".")</f>
        <v>.</v>
      </c>
      <c r="E29" s="76" t="str">
        <f>IFERROR((dir!E29/(d_ss_Bv!D29+MLF_asparagus)),".")</f>
        <v>.</v>
      </c>
      <c r="F29" s="76" t="str">
        <f>IFERROR((dir!F29/(d_ss_Bv!E29+MLF_beet)),".")</f>
        <v>.</v>
      </c>
      <c r="G29" s="76" t="str">
        <f>IFERROR((dir!G29/(d_ss_Bv!F29+MLF_berries)),".")</f>
        <v>.</v>
      </c>
      <c r="H29" s="76" t="str">
        <f>IFERROR((dir!H29/(d_ss_Bv!G29+MLF_broccoli)),".")</f>
        <v>.</v>
      </c>
      <c r="I29" s="76" t="str">
        <f>IFERROR((dir!I29/(d_ss_Bv!H29+MLF_cabbage)),".")</f>
        <v>.</v>
      </c>
      <c r="J29" s="76" t="str">
        <f>IFERROR((dir!J29/(d_ss_Bv!I29+MLF_carrot)),".")</f>
        <v>.</v>
      </c>
      <c r="K29" s="76" t="str">
        <f>IFERROR((dir!K29/(d_ss_Bv!J29+MLF_citrus)),".")</f>
        <v>.</v>
      </c>
      <c r="L29" s="76" t="str">
        <f>IFERROR((dir!L29/(d_ss_Bv!K29+MLF_corn)),".")</f>
        <v>.</v>
      </c>
      <c r="M29" s="76" t="str">
        <f>IFERROR((dir!M29/(d_ss_Bv!L29+MLF_cucumber)),".")</f>
        <v>.</v>
      </c>
      <c r="N29" s="76" t="str">
        <f>IFERROR((dir!N29/(d_ss_Bv!M29+MLF_lettuce)),".")</f>
        <v>.</v>
      </c>
      <c r="O29" s="76" t="str">
        <f>IFERROR((dir!O29/(d_ss_Bv!N29+MLF_lima_bean)),".")</f>
        <v>.</v>
      </c>
      <c r="P29" s="76" t="str">
        <f>IFERROR((dir!P29/(d_ss_Bv!O29+MLF_okra)),".")</f>
        <v>.</v>
      </c>
      <c r="Q29" s="76" t="str">
        <f>IFERROR((dir!Q29/(d_ss_Bv!P29+MLF_onion)),".")</f>
        <v>.</v>
      </c>
      <c r="R29" s="76" t="str">
        <f>IFERROR((dir!R29/(d_ss_Bv!Q29+MLF_peach)),".")</f>
        <v>.</v>
      </c>
      <c r="S29" s="76" t="str">
        <f>IFERROR((dir!S29/(d_ss_Bv!R29+MLF_pear)),".")</f>
        <v>.</v>
      </c>
      <c r="T29" s="76" t="str">
        <f>IFERROR((dir!T29/(d_ss_Bv!S29+MLF_peas)),".")</f>
        <v>.</v>
      </c>
      <c r="U29" s="76" t="str">
        <f>IFERROR((dir!U29/(d_ss_Bv!T29+MLF_potato)),".")</f>
        <v>.</v>
      </c>
      <c r="V29" s="76" t="str">
        <f>IFERROR((dir!V29/(d_ss_Bv!U29+MLF_pumpkin)),".")</f>
        <v>.</v>
      </c>
      <c r="W29" s="76" t="str">
        <f>IFERROR((dir!W29/(d_ss_Bv!V29+MLF_snap_bean)),".")</f>
        <v>.</v>
      </c>
      <c r="X29" s="76" t="str">
        <f>IFERROR((dir!X29/(d_ss_Bv!W29+MLF_strawberry)),".")</f>
        <v>.</v>
      </c>
      <c r="Y29" s="76" t="str">
        <f>IFERROR((dir!Y29/(d_ss_Bv!X29+MLF_tomato)),".")</f>
        <v>.</v>
      </c>
      <c r="Z29" s="76" t="str">
        <f>IFERROR((dir!Z29/(d_ss_Bv!D29+MLF_rice)),".")</f>
        <v>.</v>
      </c>
      <c r="AA29" s="76" t="str">
        <f>IFERROR((dir!AA29/(d_ss_Bv!Z29+MLF_cereal)),".")</f>
        <v>.</v>
      </c>
      <c r="AB29" s="76" t="str">
        <f t="shared" si="22"/>
        <v>.</v>
      </c>
      <c r="AC29" s="76" t="str">
        <f>IFERROR((dir!AC29/(d_ss_Bv!C29+MLF_apple))*1,".")</f>
        <v>.</v>
      </c>
      <c r="AD29" s="76" t="str">
        <f>IFERROR((dir!AD29/(d_ss_Bv!D29+MLF_asparagus))*1,".")</f>
        <v>.</v>
      </c>
      <c r="AE29" s="76" t="str">
        <f>IFERROR((dir!AE29/(d_ss_Bv!E29+MLF_beet))*1,".")</f>
        <v>.</v>
      </c>
      <c r="AF29" s="76" t="str">
        <f>IFERROR((dir!AF29/(d_ss_Bv!F29+MLF_berries))*1,".")</f>
        <v>.</v>
      </c>
      <c r="AG29" s="76" t="str">
        <f>IFERROR((dir!AG29/(d_ss_Bv!G29+MLF_broccoli))*1,".")</f>
        <v>.</v>
      </c>
      <c r="AH29" s="76" t="str">
        <f>IFERROR((dir!AH29/(d_ss_Bv!H29+MLF_cabbage))*1,".")</f>
        <v>.</v>
      </c>
      <c r="AI29" s="76" t="str">
        <f>IFERROR((dir!AI29/(d_ss_Bv!I29+MLF_carrot))*1,".")</f>
        <v>.</v>
      </c>
      <c r="AJ29" s="76" t="str">
        <f>IFERROR((dir!AJ29/(d_ss_Bv!J29+MLF_citrus))*1,".")</f>
        <v>.</v>
      </c>
      <c r="AK29" s="76" t="str">
        <f>IFERROR((dir!AK29/(d_ss_Bv!K29+MLF_corn))*1,".")</f>
        <v>.</v>
      </c>
      <c r="AL29" s="76" t="str">
        <f>IFERROR((dir!AL29/(d_ss_Bv!L29+MLF_cucumber))*1,".")</f>
        <v>.</v>
      </c>
      <c r="AM29" s="76" t="str">
        <f>IFERROR((dir!AM29/(d_ss_Bv!M29+MLF_lettuce))*1,".")</f>
        <v>.</v>
      </c>
      <c r="AN29" s="76" t="str">
        <f>IFERROR((dir!AN29/(d_ss_Bv!N29+MLF_lima_bean))*1,".")</f>
        <v>.</v>
      </c>
      <c r="AO29" s="76" t="str">
        <f>IFERROR((dir!AO29/(d_ss_Bv!O29+MLF_okra))*1,".")</f>
        <v>.</v>
      </c>
      <c r="AP29" s="76" t="str">
        <f>IFERROR((dir!AP29/(d_ss_Bv!P29+MLF_onion))*1,".")</f>
        <v>.</v>
      </c>
      <c r="AQ29" s="76" t="str">
        <f>IFERROR((dir!AQ29/(d_ss_Bv!Q29+MLF_peach))*1,".")</f>
        <v>.</v>
      </c>
      <c r="AR29" s="76" t="str">
        <f>IFERROR((dir!AR29/(d_ss_Bv!R29+MLF_pear))*1,".")</f>
        <v>.</v>
      </c>
      <c r="AS29" s="76" t="str">
        <f>IFERROR((dir!AS29/(d_ss_Bv!S29+MLF_peas))*1,".")</f>
        <v>.</v>
      </c>
      <c r="AT29" s="76" t="str">
        <f>IFERROR((dir!AT29/(d_ss_Bv!T29+MLF_potato))*1,".")</f>
        <v>.</v>
      </c>
      <c r="AU29" s="76" t="str">
        <f>IFERROR((dir!AU29/(d_ss_Bv!U29+MLF_pumpkin))*1,".")</f>
        <v>.</v>
      </c>
      <c r="AV29" s="76" t="str">
        <f>IFERROR((dir!AV29/(d_ss_Bv!V29+MLF_snap_bean))*1,".")</f>
        <v>.</v>
      </c>
      <c r="AW29" s="76" t="str">
        <f>IFERROR((dir!AW29/(d_ss_Bv!W29+MLF_strawberry))*1,".")</f>
        <v>.</v>
      </c>
      <c r="AX29" s="76" t="str">
        <f>IFERROR((dir!AX29/(d_ss_Bv!X29+MLF_tomato))*1,".")</f>
        <v>.</v>
      </c>
      <c r="AY29" s="76" t="str">
        <f>IFERROR((dir!AY29/(d_ss_Bv!Y29+MLF_rice))*1,".")</f>
        <v>.</v>
      </c>
      <c r="AZ29" s="76" t="str">
        <f>IFERROR((dir!AZ29/(d_ss_Bv!Z29+MLF_cereal))*1,".")</f>
        <v>.</v>
      </c>
    </row>
    <row r="30" spans="1:52" ht="15" customHeight="1" x14ac:dyDescent="0.25">
      <c r="A30" s="92" t="s">
        <v>40</v>
      </c>
      <c r="B30" s="90" t="s">
        <v>1074</v>
      </c>
      <c r="C30" s="76">
        <f t="shared" ref="C30:C31" si="23">IFERROR(1/SUM(1/D30,1/E30,1/F30,1/G30,1/H30,1/I30,1/J30,1/K30,1/L30,1/M30,1/N30,1/O30,1/P30,1/Q30,1/R30,1/S30,1/T30,1/U30,1/V30,1/W30,1/X30,1/Y30),".")</f>
        <v>0.10914799564498147</v>
      </c>
      <c r="D30" s="76">
        <f>IFERROR((dir!D30/(d_ss_Bv!C30+MLF_apple)),".")</f>
        <v>13.32216207730958</v>
      </c>
      <c r="E30" s="76">
        <f>IFERROR((dir!E30/(d_ss_Bv!D30+MLF_asparagus)),".")</f>
        <v>1.710801304315321</v>
      </c>
      <c r="F30" s="76">
        <f>IFERROR((dir!F30/(d_ss_Bv!E30+MLF_beet)),".")</f>
        <v>4.921608096603368</v>
      </c>
      <c r="G30" s="76">
        <f>IFERROR((dir!G30/(d_ss_Bv!F30+MLF_berries)),".")</f>
        <v>29.689080275872939</v>
      </c>
      <c r="H30" s="76">
        <f>IFERROR((dir!H30/(d_ss_Bv!G30+MLF_broccoli)),".")</f>
        <v>2.5618305213204318</v>
      </c>
      <c r="I30" s="76">
        <f>IFERROR((dir!I30/(d_ss_Bv!H30+MLF_cabbage)),".")</f>
        <v>0.76519952876223307</v>
      </c>
      <c r="J30" s="76">
        <f>IFERROR((dir!J30/(d_ss_Bv!I30+MLF_carrot)),".")</f>
        <v>5.4590379259298292</v>
      </c>
      <c r="K30" s="76">
        <f>IFERROR((dir!K30/(d_ss_Bv!J30+MLF_citrus)),".")</f>
        <v>3.464612288333567</v>
      </c>
      <c r="L30" s="76">
        <f>IFERROR((dir!L30/(d_ss_Bv!K30+MLF_corn)),".")</f>
        <v>1.4535968022717951</v>
      </c>
      <c r="M30" s="76">
        <f>IFERROR((dir!M30/(d_ss_Bv!L30+MLF_cucumber)),".")</f>
        <v>1.0884590627341384</v>
      </c>
      <c r="N30" s="76">
        <f>IFERROR((dir!N30/(d_ss_Bv!M30+MLF_lettuce)),".")</f>
        <v>1.1349333793902008</v>
      </c>
      <c r="O30" s="76">
        <f>IFERROR((dir!O30/(d_ss_Bv!N30+MLF_lima_bean)),".")</f>
        <v>6.8360555998701145</v>
      </c>
      <c r="P30" s="76">
        <f>IFERROR((dir!P30/(d_ss_Bv!O30+MLF_okra)),".")</f>
        <v>3.0740227349970763</v>
      </c>
      <c r="Q30" s="76">
        <f>IFERROR((dir!Q30/(d_ss_Bv!P30+MLF_onion)),".")</f>
        <v>4.1466924981213253</v>
      </c>
      <c r="R30" s="76">
        <f>IFERROR((dir!R30/(d_ss_Bv!Q30+MLF_peach)),".")</f>
        <v>8.5934035956043591</v>
      </c>
      <c r="S30" s="76">
        <f>IFERROR((dir!S30/(d_ss_Bv!R30+MLF_pear)),".")</f>
        <v>17.666546734699505</v>
      </c>
      <c r="T30" s="76">
        <f>IFERROR((dir!T30/(d_ss_Bv!S30+MLF_peas)),".")</f>
        <v>13.76211388280162</v>
      </c>
      <c r="U30" s="76">
        <f>IFERROR((dir!U30/(d_ss_Bv!T30+MLF_potato)),".")</f>
        <v>1.9737162887736088</v>
      </c>
      <c r="V30" s="76">
        <f>IFERROR((dir!V30/(d_ss_Bv!U30+MLF_pumpkin)),".")</f>
        <v>1.2489274887171002</v>
      </c>
      <c r="W30" s="76">
        <f>IFERROR((dir!W30/(d_ss_Bv!V30+MLF_snap_bean)),".")</f>
        <v>3.2964370622461128</v>
      </c>
      <c r="X30" s="76">
        <f>IFERROR((dir!X30/(d_ss_Bv!W30+MLF_strawberry)),".")</f>
        <v>28.373990045728309</v>
      </c>
      <c r="Y30" s="76">
        <f>IFERROR((dir!Y30/(d_ss_Bv!X30+MLF_tomato)),".")</f>
        <v>0.9957241011621738</v>
      </c>
      <c r="Z30" s="76">
        <f>IFERROR((dir!Z30/(d_ss_Bv!D30+MLF_rice)),".")</f>
        <v>6.6691357834754356E-2</v>
      </c>
      <c r="AA30" s="76">
        <f>IFERROR((dir!AA30/(d_ss_Bv!Z30+MLF_cereal)),".")</f>
        <v>5.4418282628763165E-2</v>
      </c>
      <c r="AB30" s="76">
        <f t="shared" si="22"/>
        <v>6.561514775359055E-2</v>
      </c>
      <c r="AC30" s="76">
        <f>IFERROR((dir!AC30/(d_ss_Bv!C30+MLF_apple))*1,".")</f>
        <v>7.523400306124846</v>
      </c>
      <c r="AD30" s="76">
        <f>IFERROR((dir!AD30/(d_ss_Bv!D30+MLF_asparagus))*1,".")</f>
        <v>1.0423714806863693</v>
      </c>
      <c r="AE30" s="76">
        <f>IFERROR((dir!AE30/(d_ss_Bv!E30+MLF_beet))*1,".")</f>
        <v>2.9353876861884376</v>
      </c>
      <c r="AF30" s="76">
        <f>IFERROR((dir!AF30/(d_ss_Bv!F30+MLF_berries))*1,".")</f>
        <v>18.765614659894744</v>
      </c>
      <c r="AG30" s="76">
        <f>IFERROR((dir!AG30/(d_ss_Bv!G30+MLF_broccoli))*1,".")</f>
        <v>1.4308498465885766</v>
      </c>
      <c r="AH30" s="76">
        <f>IFERROR((dir!AH30/(d_ss_Bv!H30+MLF_cabbage))*1,".")</f>
        <v>0.49147420450673396</v>
      </c>
      <c r="AI30" s="76">
        <f>IFERROR((dir!AI30/(d_ss_Bv!I30+MLF_carrot))*1,".")</f>
        <v>3.8142431252867977</v>
      </c>
      <c r="AJ30" s="76">
        <f>IFERROR((dir!AJ30/(d_ss_Bv!J30+MLF_citrus))*1,".")</f>
        <v>2.1798655066918866</v>
      </c>
      <c r="AK30" s="76">
        <f>IFERROR((dir!AK30/(d_ss_Bv!K30+MLF_corn))*1,".")</f>
        <v>0.65212633164046629</v>
      </c>
      <c r="AL30" s="76">
        <f>IFERROR((dir!AL30/(d_ss_Bv!L30+MLF_cucumber))*1,".")</f>
        <v>0.99576305718828406</v>
      </c>
      <c r="AM30" s="76">
        <f>IFERROR((dir!AM30/(d_ss_Bv!M30+MLF_lettuce))*1,".")</f>
        <v>0.67666540201760006</v>
      </c>
      <c r="AN30" s="76">
        <f>IFERROR((dir!AN30/(d_ss_Bv!N30+MLF_lima_bean))*1,".")</f>
        <v>4.1136001968583846</v>
      </c>
      <c r="AO30" s="76">
        <f>IFERROR((dir!AO30/(d_ss_Bv!O30+MLF_okra))*1,".")</f>
        <v>1.8462721093058199</v>
      </c>
      <c r="AP30" s="76">
        <f>IFERROR((dir!AP30/(d_ss_Bv!P30+MLF_onion))*1,".")</f>
        <v>2.0168004422680994</v>
      </c>
      <c r="AQ30" s="76">
        <f>IFERROR((dir!AQ30/(d_ss_Bv!Q30+MLF_peach))*1,".")</f>
        <v>6.2491385164172533</v>
      </c>
      <c r="AR30" s="76">
        <f>IFERROR((dir!AR30/(d_ss_Bv!R30+MLF_pear))*1,".")</f>
        <v>10.171348084005137</v>
      </c>
      <c r="AS30" s="76">
        <f>IFERROR((dir!AS30/(d_ss_Bv!S30+MLF_peas))*1,".")</f>
        <v>9.9153278102809104</v>
      </c>
      <c r="AT30" s="76">
        <f>IFERROR((dir!AT30/(d_ss_Bv!T30+MLF_potato))*1,".")</f>
        <v>1.0952692404419977</v>
      </c>
      <c r="AU30" s="76">
        <f>IFERROR((dir!AU30/(d_ss_Bv!U30+MLF_pumpkin))*1,".")</f>
        <v>0.79102778868309065</v>
      </c>
      <c r="AV30" s="76">
        <f>IFERROR((dir!AV30/(d_ss_Bv!V30+MLF_snap_bean))*1,".")</f>
        <v>2.0388064268837649</v>
      </c>
      <c r="AW30" s="76">
        <f>IFERROR((dir!AW30/(d_ss_Bv!W30+MLF_strawberry))*1,".")</f>
        <v>17.850669561735664</v>
      </c>
      <c r="AX30" s="76">
        <f>IFERROR((dir!AX30/(d_ss_Bv!X30+MLF_tomato))*1,".")</f>
        <v>0.5206526409042701</v>
      </c>
      <c r="AY30" s="76">
        <f>IFERROR((dir!AY30/(d_ss_Bv!Y30+MLF_rice))*1,".")</f>
        <v>3.6602264498416526E-2</v>
      </c>
      <c r="AZ30" s="76">
        <f>IFERROR((dir!AZ30/(d_ss_Bv!Z30+MLF_cereal))*1,".")</f>
        <v>3.3829397599601636E-2</v>
      </c>
    </row>
    <row r="31" spans="1:52" x14ac:dyDescent="0.25">
      <c r="A31" s="95" t="s">
        <v>13</v>
      </c>
      <c r="B31" s="95" t="s">
        <v>1074</v>
      </c>
      <c r="C31" s="96">
        <f t="shared" si="23"/>
        <v>1.3080477374407809E-2</v>
      </c>
      <c r="D31" s="96">
        <f>IFERROR(1/SUM(D32:D44),0)</f>
        <v>0.62179558778546096</v>
      </c>
      <c r="E31" s="96">
        <f>IFERROR(1/SUM(E32:E44),0)</f>
        <v>0.17455532420277223</v>
      </c>
      <c r="F31" s="96">
        <f t="shared" ref="F31:AA31" si="24">IFERROR(1/SUM(F32:F44),0)</f>
        <v>0.28506830678675321</v>
      </c>
      <c r="G31" s="96">
        <f t="shared" si="24"/>
        <v>1.3326075540711206</v>
      </c>
      <c r="H31" s="96">
        <f t="shared" si="24"/>
        <v>0.54328423891836308</v>
      </c>
      <c r="I31" s="96">
        <f t="shared" si="24"/>
        <v>7.8064876826109769E-2</v>
      </c>
      <c r="J31" s="96">
        <f t="shared" si="24"/>
        <v>0.31561969850952343</v>
      </c>
      <c r="K31" s="96">
        <f t="shared" si="24"/>
        <v>0.16149726022374913</v>
      </c>
      <c r="L31" s="96">
        <f t="shared" si="24"/>
        <v>0.71208743936245977</v>
      </c>
      <c r="M31" s="96">
        <f t="shared" si="24"/>
        <v>0.25147335566017104</v>
      </c>
      <c r="N31" s="96">
        <f t="shared" si="24"/>
        <v>0.11161519638238791</v>
      </c>
      <c r="O31" s="96">
        <f t="shared" si="24"/>
        <v>0.47624236773589457</v>
      </c>
      <c r="P31" s="96">
        <f t="shared" si="24"/>
        <v>0.70744016130982834</v>
      </c>
      <c r="Q31" s="96">
        <f t="shared" si="24"/>
        <v>0.95272564750470812</v>
      </c>
      <c r="R31" s="96">
        <f t="shared" si="24"/>
        <v>0.39935111706822118</v>
      </c>
      <c r="S31" s="96">
        <f t="shared" si="24"/>
        <v>0.82456441734420183</v>
      </c>
      <c r="T31" s="96">
        <f t="shared" si="24"/>
        <v>0.69022625824955008</v>
      </c>
      <c r="U31" s="96">
        <f t="shared" si="24"/>
        <v>0.29458250120472801</v>
      </c>
      <c r="V31" s="96">
        <f t="shared" si="24"/>
        <v>0.28803907404796553</v>
      </c>
      <c r="W31" s="96">
        <f t="shared" si="24"/>
        <v>0.23950996416601025</v>
      </c>
      <c r="X31" s="96">
        <f t="shared" si="24"/>
        <v>1.2712794061816359</v>
      </c>
      <c r="Y31" s="96">
        <f t="shared" si="24"/>
        <v>0.20216512647325319</v>
      </c>
      <c r="Z31" s="96">
        <f t="shared" si="24"/>
        <v>6.2622887531956035E-3</v>
      </c>
      <c r="AA31" s="96">
        <f t="shared" si="24"/>
        <v>5.1146250182428988E-3</v>
      </c>
      <c r="AB31" s="96">
        <f>IFERROR(1/SUM(1/AC31,1/AD31,1/AE31,1/AF31,1/AG31,1/AH31,1/AI31,1/AJ31,1/AK31,1/AL31,1/AM31,1/AN31,1/AO31,1/AP31,1/AQ31,1/AR31,1/AS31,1/AT31,1/AU31,1/AV31,1/AW31,1/AX31),".")</f>
        <v>8.060587723087544E-3</v>
      </c>
      <c r="AC31" s="96">
        <f>IFERROR(1/SUM(AC32:AC44),0)</f>
        <v>0.3511454888737508</v>
      </c>
      <c r="AD31" s="96">
        <f>IFERROR(1/SUM(AD32:AD44),0)</f>
        <v>0.10635454350658896</v>
      </c>
      <c r="AE31" s="96">
        <f t="shared" ref="AE31:AZ31" si="25">IFERROR(1/SUM(AE32:AE44),0)</f>
        <v>0.17002288297638496</v>
      </c>
      <c r="AF31" s="96">
        <f t="shared" si="25"/>
        <v>0.84230294843069942</v>
      </c>
      <c r="AG31" s="96">
        <f t="shared" si="25"/>
        <v>0.303438562169078</v>
      </c>
      <c r="AH31" s="96">
        <f t="shared" si="25"/>
        <v>5.0139697942691797E-2</v>
      </c>
      <c r="AI31" s="96">
        <f t="shared" si="25"/>
        <v>0.22052425382994414</v>
      </c>
      <c r="AJ31" s="96">
        <f t="shared" si="25"/>
        <v>0.10161088101327555</v>
      </c>
      <c r="AK31" s="96">
        <f t="shared" si="25"/>
        <v>0.31946339515396466</v>
      </c>
      <c r="AL31" s="96">
        <f t="shared" si="25"/>
        <v>0.23005723045252632</v>
      </c>
      <c r="AM31" s="96">
        <f t="shared" si="25"/>
        <v>6.6546762217833511E-2</v>
      </c>
      <c r="AN31" s="96">
        <f t="shared" si="25"/>
        <v>0.28657910531153391</v>
      </c>
      <c r="AO31" s="96">
        <f t="shared" si="25"/>
        <v>0.42489179535309729</v>
      </c>
      <c r="AP31" s="96">
        <f t="shared" si="25"/>
        <v>0.46337111037728973</v>
      </c>
      <c r="AQ31" s="96">
        <f t="shared" si="25"/>
        <v>0.29040884900620861</v>
      </c>
      <c r="AR31" s="96">
        <f t="shared" si="25"/>
        <v>0.47473520617471221</v>
      </c>
      <c r="AS31" s="96">
        <f t="shared" si="25"/>
        <v>0.49729421454363593</v>
      </c>
      <c r="AT31" s="96">
        <f t="shared" si="25"/>
        <v>0.16347190028131489</v>
      </c>
      <c r="AU31" s="96">
        <f t="shared" si="25"/>
        <v>0.18243405950855623</v>
      </c>
      <c r="AV31" s="96">
        <f t="shared" si="25"/>
        <v>0.14813401409570257</v>
      </c>
      <c r="AW31" s="96">
        <f t="shared" si="25"/>
        <v>0.79978841762525987</v>
      </c>
      <c r="AX31" s="96">
        <f t="shared" si="25"/>
        <v>0.10570981145700087</v>
      </c>
      <c r="AY31" s="96">
        <f t="shared" si="25"/>
        <v>3.3867339477436785E-3</v>
      </c>
      <c r="AZ31" s="96">
        <f t="shared" si="25"/>
        <v>3.1795322262440418E-3</v>
      </c>
    </row>
    <row r="32" spans="1:52" x14ac:dyDescent="0.25">
      <c r="A32" s="195" t="s">
        <v>1102</v>
      </c>
      <c r="B32" s="196">
        <v>1</v>
      </c>
      <c r="C32" s="100">
        <f t="shared" ref="C32:AZ32" si="26">IFERROR($B32/C3,0)</f>
        <v>1.6037411767545</v>
      </c>
      <c r="D32" s="100">
        <f t="shared" si="26"/>
        <v>1.7029683462400004E-2</v>
      </c>
      <c r="E32" s="100">
        <f t="shared" si="26"/>
        <v>1.3998763779000003E-2</v>
      </c>
      <c r="F32" s="100">
        <f t="shared" si="26"/>
        <v>2.6494400234400004E-2</v>
      </c>
      <c r="G32" s="100">
        <f t="shared" si="26"/>
        <v>3.8449238473800003E-2</v>
      </c>
      <c r="H32" s="100">
        <f t="shared" si="26"/>
        <v>4.6024041259000011E-2</v>
      </c>
      <c r="I32" s="100">
        <f t="shared" si="26"/>
        <v>3.358600953750001E-2</v>
      </c>
      <c r="J32" s="100">
        <f t="shared" si="26"/>
        <v>2.2783452974100001E-2</v>
      </c>
      <c r="K32" s="100">
        <f t="shared" si="26"/>
        <v>6.4621310255600001E-2</v>
      </c>
      <c r="L32" s="100">
        <f t="shared" si="26"/>
        <v>1.2204704967000001E-2</v>
      </c>
      <c r="M32" s="100">
        <f t="shared" si="26"/>
        <v>3.3667119920000002E-2</v>
      </c>
      <c r="N32" s="100">
        <f t="shared" si="26"/>
        <v>0.49902772474800006</v>
      </c>
      <c r="O32" s="100">
        <f t="shared" si="26"/>
        <v>0.14072300742499999</v>
      </c>
      <c r="P32" s="100">
        <f t="shared" si="26"/>
        <v>1.3078266123999999E-2</v>
      </c>
      <c r="Q32" s="100">
        <f t="shared" si="26"/>
        <v>1.0058416722200004E-2</v>
      </c>
      <c r="R32" s="100">
        <f t="shared" si="26"/>
        <v>2.5236053292800004E-2</v>
      </c>
      <c r="S32" s="100">
        <f t="shared" si="26"/>
        <v>1.2841910001900001E-2</v>
      </c>
      <c r="T32" s="100">
        <f t="shared" si="26"/>
        <v>2.3493250632600004E-2</v>
      </c>
      <c r="U32" s="100">
        <f t="shared" si="26"/>
        <v>5.6277235098000013E-2</v>
      </c>
      <c r="V32" s="100">
        <f t="shared" si="26"/>
        <v>3.0625111255200007E-2</v>
      </c>
      <c r="W32" s="100">
        <f t="shared" si="26"/>
        <v>0.31232798655800009</v>
      </c>
      <c r="X32" s="100">
        <f t="shared" si="26"/>
        <v>8.5430971290000011E-3</v>
      </c>
      <c r="Y32" s="100">
        <f t="shared" si="26"/>
        <v>0.16265039290500005</v>
      </c>
      <c r="Z32" s="100">
        <f t="shared" si="26"/>
        <v>19.150555687032</v>
      </c>
      <c r="AA32" s="100">
        <f t="shared" si="26"/>
        <v>24.709284975746005</v>
      </c>
      <c r="AB32" s="100">
        <f t="shared" si="26"/>
        <v>2.6747119709989007</v>
      </c>
      <c r="AC32" s="100">
        <f t="shared" si="26"/>
        <v>3.0155540577400001E-2</v>
      </c>
      <c r="AD32" s="100">
        <f t="shared" si="26"/>
        <v>2.29755934191E-2</v>
      </c>
      <c r="AE32" s="100">
        <f t="shared" si="26"/>
        <v>4.4421748896E-2</v>
      </c>
      <c r="AF32" s="100">
        <f t="shared" si="26"/>
        <v>6.0830542899000022E-2</v>
      </c>
      <c r="AG32" s="100">
        <f t="shared" si="26"/>
        <v>8.2402632179000013E-2</v>
      </c>
      <c r="AH32" s="100">
        <f t="shared" si="26"/>
        <v>5.2291653225000012E-2</v>
      </c>
      <c r="AI32" s="100">
        <f t="shared" si="26"/>
        <v>3.2608234395100001E-2</v>
      </c>
      <c r="AJ32" s="100">
        <f t="shared" si="26"/>
        <v>0.102707155516</v>
      </c>
      <c r="AK32" s="100">
        <f t="shared" si="26"/>
        <v>2.7204422290500001E-2</v>
      </c>
      <c r="AL32" s="100">
        <f t="shared" si="26"/>
        <v>3.6801206400000008E-2</v>
      </c>
      <c r="AM32" s="100">
        <f t="shared" si="26"/>
        <v>0.8369915476230001</v>
      </c>
      <c r="AN32" s="100">
        <f t="shared" si="26"/>
        <v>0.233856052339</v>
      </c>
      <c r="AO32" s="100">
        <f t="shared" si="26"/>
        <v>2.1775169108000002E-2</v>
      </c>
      <c r="AP32" s="100">
        <f t="shared" si="26"/>
        <v>2.0680856812000003E-2</v>
      </c>
      <c r="AQ32" s="100">
        <f t="shared" si="26"/>
        <v>3.4702957941399999E-2</v>
      </c>
      <c r="AR32" s="100">
        <f t="shared" si="26"/>
        <v>2.2305027940999998E-2</v>
      </c>
      <c r="AS32" s="100">
        <f t="shared" si="26"/>
        <v>3.2607776250000005E-2</v>
      </c>
      <c r="AT32" s="100">
        <f t="shared" si="26"/>
        <v>0.10141369035000004</v>
      </c>
      <c r="AU32" s="100">
        <f t="shared" si="26"/>
        <v>4.8352970450400004E-2</v>
      </c>
      <c r="AV32" s="100">
        <f t="shared" si="26"/>
        <v>0.50498641601800009</v>
      </c>
      <c r="AW32" s="100">
        <f t="shared" si="26"/>
        <v>1.3579420764000002E-2</v>
      </c>
      <c r="AX32" s="100">
        <f t="shared" si="26"/>
        <v>0.31106135560500009</v>
      </c>
      <c r="AY32" s="100">
        <f t="shared" si="26"/>
        <v>37.758065816100007</v>
      </c>
      <c r="AZ32" s="100">
        <f t="shared" si="26"/>
        <v>39.747584904693404</v>
      </c>
    </row>
    <row r="33" spans="1:52" x14ac:dyDescent="0.25">
      <c r="A33" s="195" t="s">
        <v>1078</v>
      </c>
      <c r="B33" s="196">
        <v>1</v>
      </c>
      <c r="C33" s="100">
        <f t="shared" ref="C33:AZ34" si="27">IFERROR($B33/C13,0)</f>
        <v>10.2624438756448</v>
      </c>
      <c r="D33" s="100">
        <f t="shared" si="27"/>
        <v>2.5449066496000001E-2</v>
      </c>
      <c r="E33" s="100">
        <f t="shared" si="27"/>
        <v>0.67396554825599997</v>
      </c>
      <c r="F33" s="100">
        <f t="shared" si="27"/>
        <v>0.45042442354560003</v>
      </c>
      <c r="G33" s="100">
        <f t="shared" si="27"/>
        <v>1.1508993619200002E-2</v>
      </c>
      <c r="H33" s="100">
        <f t="shared" si="27"/>
        <v>0.39626627868800002</v>
      </c>
      <c r="I33" s="100">
        <f t="shared" si="27"/>
        <v>1.5063204330720001</v>
      </c>
      <c r="J33" s="100">
        <f t="shared" si="27"/>
        <v>0.40728490367040004</v>
      </c>
      <c r="K33" s="100">
        <f t="shared" si="27"/>
        <v>9.7470888905599989E-2</v>
      </c>
      <c r="L33" s="100">
        <f t="shared" si="27"/>
        <v>0.19204357692799998</v>
      </c>
      <c r="M33" s="100">
        <f t="shared" si="27"/>
        <v>0.94215709772799994</v>
      </c>
      <c r="N33" s="100">
        <f t="shared" si="27"/>
        <v>0.91072356479999994</v>
      </c>
      <c r="O33" s="100">
        <f t="shared" si="27"/>
        <v>0.43202919759999997</v>
      </c>
      <c r="P33" s="100">
        <f t="shared" si="27"/>
        <v>0.333454618112</v>
      </c>
      <c r="Q33" s="100">
        <f t="shared" si="27"/>
        <v>0.24715012094079999</v>
      </c>
      <c r="R33" s="100">
        <f t="shared" si="27"/>
        <v>3.8931056640000003E-2</v>
      </c>
      <c r="S33" s="100">
        <f t="shared" si="27"/>
        <v>1.9190880576000005E-2</v>
      </c>
      <c r="T33" s="100">
        <f t="shared" si="27"/>
        <v>0.44876846125440006</v>
      </c>
      <c r="U33" s="100">
        <f t="shared" si="27"/>
        <v>0.49137353193600009</v>
      </c>
      <c r="V33" s="100">
        <f t="shared" si="27"/>
        <v>0.82094083438080001</v>
      </c>
      <c r="W33" s="100">
        <f t="shared" si="27"/>
        <v>0.79248695680000003</v>
      </c>
      <c r="X33" s="100">
        <f t="shared" si="27"/>
        <v>1.0601959871999999E-2</v>
      </c>
      <c r="Y33" s="100">
        <f t="shared" si="27"/>
        <v>1.0139014818240002</v>
      </c>
      <c r="Z33" s="100">
        <f t="shared" si="27"/>
        <v>13.152041548800003</v>
      </c>
      <c r="AA33" s="100">
        <f t="shared" si="27"/>
        <v>15.508564444800003</v>
      </c>
      <c r="AB33" s="100">
        <f t="shared" si="27"/>
        <v>16.612548872438396</v>
      </c>
      <c r="AC33" s="100">
        <f t="shared" si="27"/>
        <v>4.5064276096000007E-2</v>
      </c>
      <c r="AD33" s="100">
        <f t="shared" si="27"/>
        <v>1.1061518473823999</v>
      </c>
      <c r="AE33" s="100">
        <f t="shared" si="27"/>
        <v>0.75520262630399992</v>
      </c>
      <c r="AF33" s="100">
        <f t="shared" si="27"/>
        <v>1.8208379615999998E-2</v>
      </c>
      <c r="AG33" s="100">
        <f t="shared" si="27"/>
        <v>0.70948538012799989</v>
      </c>
      <c r="AH33" s="100">
        <f t="shared" si="27"/>
        <v>2.345261816352</v>
      </c>
      <c r="AI33" s="100">
        <f t="shared" si="27"/>
        <v>0.58291610229440005</v>
      </c>
      <c r="AJ33" s="100">
        <f t="shared" si="27"/>
        <v>0.15491728201599997</v>
      </c>
      <c r="AK33" s="100">
        <f t="shared" si="27"/>
        <v>0.42806725595200001</v>
      </c>
      <c r="AL33" s="100">
        <f t="shared" si="27"/>
        <v>1.0298629017599998</v>
      </c>
      <c r="AM33" s="100">
        <f t="shared" si="27"/>
        <v>1.5275061648000001</v>
      </c>
      <c r="AN33" s="100">
        <f t="shared" si="27"/>
        <v>0.71795397564800001</v>
      </c>
      <c r="AO33" s="100">
        <f t="shared" si="27"/>
        <v>0.55519826790400006</v>
      </c>
      <c r="AP33" s="100">
        <f t="shared" si="27"/>
        <v>0.50815912716800005</v>
      </c>
      <c r="AQ33" s="100">
        <f t="shared" si="27"/>
        <v>5.3535424320000011E-2</v>
      </c>
      <c r="AR33" s="100">
        <f t="shared" si="27"/>
        <v>3.3332512640000006E-2</v>
      </c>
      <c r="AS33" s="100">
        <f t="shared" si="27"/>
        <v>0.62287428000000011</v>
      </c>
      <c r="AT33" s="100">
        <f t="shared" si="27"/>
        <v>0.88547355120000026</v>
      </c>
      <c r="AU33" s="100">
        <f t="shared" si="27"/>
        <v>1.2961562025216</v>
      </c>
      <c r="AV33" s="100">
        <f t="shared" si="27"/>
        <v>1.2813297728000002</v>
      </c>
      <c r="AW33" s="100">
        <f t="shared" si="27"/>
        <v>1.6852023551999998E-2</v>
      </c>
      <c r="AX33" s="100">
        <f t="shared" si="27"/>
        <v>1.9390397019840002</v>
      </c>
      <c r="AY33" s="100">
        <f t="shared" si="27"/>
        <v>25.202324448000002</v>
      </c>
      <c r="AZ33" s="100">
        <f t="shared" si="27"/>
        <v>24.947220553920001</v>
      </c>
    </row>
    <row r="34" spans="1:52" x14ac:dyDescent="0.25">
      <c r="A34" s="195" t="s">
        <v>1079</v>
      </c>
      <c r="B34" s="196">
        <v>1</v>
      </c>
      <c r="C34" s="100">
        <f t="shared" si="27"/>
        <v>1.1631837161883398</v>
      </c>
      <c r="D34" s="100">
        <f t="shared" si="27"/>
        <v>6.0726056652800002E-2</v>
      </c>
      <c r="E34" s="100">
        <f t="shared" si="27"/>
        <v>2.7101284009799997E-2</v>
      </c>
      <c r="F34" s="100">
        <f t="shared" si="27"/>
        <v>2.2284514809479999E-2</v>
      </c>
      <c r="G34" s="100">
        <f t="shared" si="27"/>
        <v>2.712494620836E-2</v>
      </c>
      <c r="H34" s="100">
        <f t="shared" si="27"/>
        <v>2.4794746145400001E-2</v>
      </c>
      <c r="I34" s="100">
        <f t="shared" si="27"/>
        <v>6.066966839009999E-2</v>
      </c>
      <c r="J34" s="100">
        <f t="shared" si="27"/>
        <v>2.0105954765819996E-2</v>
      </c>
      <c r="K34" s="100">
        <f t="shared" si="27"/>
        <v>0.23404077456297998</v>
      </c>
      <c r="L34" s="100">
        <f t="shared" si="27"/>
        <v>4.2565024671399998E-2</v>
      </c>
      <c r="M34" s="100">
        <f t="shared" si="27"/>
        <v>5.6648426542399988E-2</v>
      </c>
      <c r="N34" s="100">
        <f t="shared" si="27"/>
        <v>5.7090883080000002E-2</v>
      </c>
      <c r="O34" s="100">
        <f t="shared" si="27"/>
        <v>3.0989413454999996E-2</v>
      </c>
      <c r="P34" s="100">
        <f t="shared" si="27"/>
        <v>2.0084738889599999E-2</v>
      </c>
      <c r="Q34" s="100">
        <f t="shared" si="27"/>
        <v>1.489751889164E-2</v>
      </c>
      <c r="R34" s="100">
        <f t="shared" si="27"/>
        <v>9.4867415104E-2</v>
      </c>
      <c r="S34" s="100">
        <f t="shared" si="27"/>
        <v>4.5792897796799993E-2</v>
      </c>
      <c r="T34" s="100">
        <f t="shared" si="27"/>
        <v>2.8726288880519996E-2</v>
      </c>
      <c r="U34" s="100">
        <f t="shared" si="27"/>
        <v>9.1710142477799989E-2</v>
      </c>
      <c r="V34" s="100">
        <f t="shared" si="27"/>
        <v>4.9399344788639998E-2</v>
      </c>
      <c r="W34" s="100">
        <f t="shared" si="27"/>
        <v>5.8375155299999995E-2</v>
      </c>
      <c r="X34" s="100">
        <f t="shared" si="27"/>
        <v>3.0382985001599999E-2</v>
      </c>
      <c r="Y34" s="100">
        <f t="shared" si="27"/>
        <v>6.4805535764199992E-2</v>
      </c>
      <c r="Z34" s="100">
        <f t="shared" si="27"/>
        <v>1.3336875552</v>
      </c>
      <c r="AA34" s="100">
        <f t="shared" si="27"/>
        <v>1.7225167960000001</v>
      </c>
      <c r="AB34" s="100">
        <f t="shared" si="27"/>
        <v>1.8997601822322199</v>
      </c>
      <c r="AC34" s="100">
        <f t="shared" si="27"/>
        <v>0.1075314799328</v>
      </c>
      <c r="AD34" s="100">
        <f t="shared" si="27"/>
        <v>4.4480219280419987E-2</v>
      </c>
      <c r="AE34" s="100">
        <f t="shared" si="27"/>
        <v>3.7363258363200001E-2</v>
      </c>
      <c r="AF34" s="100">
        <f t="shared" si="27"/>
        <v>4.2914379307799996E-2</v>
      </c>
      <c r="AG34" s="100">
        <f t="shared" si="27"/>
        <v>4.4393153897399985E-2</v>
      </c>
      <c r="AH34" s="100">
        <f t="shared" si="27"/>
        <v>9.4459487876599982E-2</v>
      </c>
      <c r="AI34" s="100">
        <f t="shared" si="27"/>
        <v>2.8776133560019995E-2</v>
      </c>
      <c r="AJ34" s="100">
        <f t="shared" si="27"/>
        <v>0.37197732659779992</v>
      </c>
      <c r="AK34" s="100">
        <f t="shared" si="27"/>
        <v>9.4877910535099988E-2</v>
      </c>
      <c r="AL34" s="100">
        <f t="shared" si="27"/>
        <v>6.192185260799999E-2</v>
      </c>
      <c r="AM34" s="100">
        <f t="shared" si="27"/>
        <v>9.5755374330000018E-2</v>
      </c>
      <c r="AN34" s="100">
        <f t="shared" si="27"/>
        <v>5.1498770723399999E-2</v>
      </c>
      <c r="AO34" s="100">
        <f t="shared" si="27"/>
        <v>3.3440869123200004E-2</v>
      </c>
      <c r="AP34" s="100">
        <f t="shared" si="27"/>
        <v>3.06304126744E-2</v>
      </c>
      <c r="AQ34" s="100">
        <f t="shared" si="27"/>
        <v>0.13045541940200001</v>
      </c>
      <c r="AR34" s="100">
        <f t="shared" si="27"/>
        <v>7.9537379152000001E-2</v>
      </c>
      <c r="AS34" s="100">
        <f t="shared" si="27"/>
        <v>3.9871042750000002E-2</v>
      </c>
      <c r="AT34" s="100">
        <f t="shared" si="27"/>
        <v>0.16526511963500001</v>
      </c>
      <c r="AU34" s="100">
        <f t="shared" si="27"/>
        <v>7.7994983885280006E-2</v>
      </c>
      <c r="AV34" s="100">
        <f t="shared" si="27"/>
        <v>9.4383666299999988E-2</v>
      </c>
      <c r="AW34" s="100">
        <f t="shared" si="27"/>
        <v>4.8294351705600008E-2</v>
      </c>
      <c r="AX34" s="100">
        <f t="shared" si="27"/>
        <v>0.1239375905922</v>
      </c>
      <c r="AY34" s="100">
        <f t="shared" si="27"/>
        <v>2.6219084892</v>
      </c>
      <c r="AZ34" s="100">
        <f t="shared" si="27"/>
        <v>2.7708564883999998</v>
      </c>
    </row>
    <row r="35" spans="1:52" x14ac:dyDescent="0.25">
      <c r="A35" s="195" t="s">
        <v>1080</v>
      </c>
      <c r="B35" s="196">
        <v>1</v>
      </c>
      <c r="C35" s="100">
        <f t="shared" ref="C35:AZ35" si="28">IFERROR($B35/C30,0)</f>
        <v>9.1618723192373999</v>
      </c>
      <c r="D35" s="100">
        <f t="shared" si="28"/>
        <v>7.506289100800001E-2</v>
      </c>
      <c r="E35" s="100">
        <f t="shared" si="28"/>
        <v>0.58452141547799996</v>
      </c>
      <c r="F35" s="100">
        <f t="shared" si="28"/>
        <v>0.20318562152280001</v>
      </c>
      <c r="G35" s="100">
        <f t="shared" si="28"/>
        <v>3.3682417599600001E-2</v>
      </c>
      <c r="H35" s="100">
        <f t="shared" si="28"/>
        <v>0.39034588419400001</v>
      </c>
      <c r="I35" s="100">
        <f t="shared" si="28"/>
        <v>1.3068486877110002</v>
      </c>
      <c r="J35" s="100">
        <f t="shared" si="28"/>
        <v>0.1831824606402</v>
      </c>
      <c r="K35" s="100">
        <f t="shared" si="28"/>
        <v>0.28863258476780007</v>
      </c>
      <c r="L35" s="100">
        <f t="shared" si="28"/>
        <v>0.68794867905400003</v>
      </c>
      <c r="M35" s="100">
        <f t="shared" si="28"/>
        <v>0.91873000486400014</v>
      </c>
      <c r="N35" s="100">
        <f t="shared" si="28"/>
        <v>0.88110898680000016</v>
      </c>
      <c r="O35" s="100">
        <f t="shared" si="28"/>
        <v>0.14628318705000001</v>
      </c>
      <c r="P35" s="100">
        <f t="shared" si="28"/>
        <v>0.32530663765599999</v>
      </c>
      <c r="Q35" s="100">
        <f t="shared" si="28"/>
        <v>0.24115605400040002</v>
      </c>
      <c r="R35" s="100">
        <f t="shared" si="28"/>
        <v>0.11636832704000001</v>
      </c>
      <c r="S35" s="100">
        <f t="shared" si="28"/>
        <v>5.6604157848000013E-2</v>
      </c>
      <c r="T35" s="100">
        <f t="shared" si="28"/>
        <v>7.2663255697200002E-2</v>
      </c>
      <c r="U35" s="100">
        <f t="shared" si="28"/>
        <v>0.50665843195800009</v>
      </c>
      <c r="V35" s="100">
        <f t="shared" si="28"/>
        <v>0.80068699667040011</v>
      </c>
      <c r="W35" s="100">
        <f t="shared" si="28"/>
        <v>0.30335783184000004</v>
      </c>
      <c r="X35" s="100">
        <f t="shared" si="28"/>
        <v>3.5243545176E-2</v>
      </c>
      <c r="Y35" s="100">
        <f t="shared" si="28"/>
        <v>1.0042942606620002</v>
      </c>
      <c r="Z35" s="100">
        <f t="shared" si="28"/>
        <v>14.994446544000004</v>
      </c>
      <c r="AA35" s="100">
        <f t="shared" si="28"/>
        <v>18.376177117200001</v>
      </c>
      <c r="AB35" s="100">
        <f t="shared" si="28"/>
        <v>15.2403832687442</v>
      </c>
      <c r="AC35" s="100">
        <f t="shared" si="28"/>
        <v>0.13291862180800001</v>
      </c>
      <c r="AD35" s="100">
        <f t="shared" si="28"/>
        <v>0.95935088260620005</v>
      </c>
      <c r="AE35" s="100">
        <f t="shared" si="28"/>
        <v>0.34067050315199998</v>
      </c>
      <c r="AF35" s="100">
        <f t="shared" si="28"/>
        <v>5.3288955258000002E-2</v>
      </c>
      <c r="AG35" s="100">
        <f t="shared" si="28"/>
        <v>0.69888535291399989</v>
      </c>
      <c r="AH35" s="100">
        <f t="shared" si="28"/>
        <v>2.0346947832260005</v>
      </c>
      <c r="AI35" s="100">
        <f t="shared" si="28"/>
        <v>0.26217521200220001</v>
      </c>
      <c r="AJ35" s="100">
        <f t="shared" si="28"/>
        <v>0.45874389815800004</v>
      </c>
      <c r="AK35" s="100">
        <f t="shared" si="28"/>
        <v>1.5334452106609999</v>
      </c>
      <c r="AL35" s="100">
        <f t="shared" si="28"/>
        <v>1.0042549708799999</v>
      </c>
      <c r="AM35" s="100">
        <f t="shared" si="28"/>
        <v>1.4778352743000003</v>
      </c>
      <c r="AN35" s="100">
        <f t="shared" si="28"/>
        <v>0.24309605993399999</v>
      </c>
      <c r="AO35" s="100">
        <f t="shared" si="28"/>
        <v>0.54163197015200004</v>
      </c>
      <c r="AP35" s="100">
        <f t="shared" si="28"/>
        <v>0.49583487738400001</v>
      </c>
      <c r="AQ35" s="100">
        <f t="shared" si="28"/>
        <v>0.16002205702000002</v>
      </c>
      <c r="AR35" s="100">
        <f t="shared" si="28"/>
        <v>9.831538472000001E-2</v>
      </c>
      <c r="AS35" s="100">
        <f t="shared" si="28"/>
        <v>0.10085395250000001</v>
      </c>
      <c r="AT35" s="100">
        <f t="shared" si="28"/>
        <v>0.91301751485000016</v>
      </c>
      <c r="AU35" s="100">
        <f t="shared" si="28"/>
        <v>1.2641780912208</v>
      </c>
      <c r="AV35" s="100">
        <f t="shared" si="28"/>
        <v>0.49048305264000003</v>
      </c>
      <c r="AW35" s="100">
        <f t="shared" si="28"/>
        <v>5.6020307616000013E-2</v>
      </c>
      <c r="AX35" s="100">
        <f t="shared" si="28"/>
        <v>1.9206663357420004</v>
      </c>
      <c r="AY35" s="100">
        <f t="shared" si="28"/>
        <v>27.320713996896604</v>
      </c>
      <c r="AZ35" s="100">
        <f t="shared" si="28"/>
        <v>29.560088885880003</v>
      </c>
    </row>
    <row r="36" spans="1:52" x14ac:dyDescent="0.25">
      <c r="A36" s="195" t="s">
        <v>1081</v>
      </c>
      <c r="B36" s="196">
        <v>1</v>
      </c>
      <c r="C36" s="100">
        <f t="shared" ref="C36:AZ36" si="29">IFERROR($B36/C26,0)</f>
        <v>4.9238129939495012</v>
      </c>
      <c r="D36" s="100">
        <f t="shared" si="29"/>
        <v>0.12796158144000003</v>
      </c>
      <c r="E36" s="100">
        <f t="shared" si="29"/>
        <v>0.111557110665</v>
      </c>
      <c r="F36" s="100">
        <f t="shared" si="29"/>
        <v>6.6881811129000004E-2</v>
      </c>
      <c r="G36" s="100">
        <f t="shared" si="29"/>
        <v>5.7643096203000017E-2</v>
      </c>
      <c r="H36" s="100">
        <f t="shared" si="29"/>
        <v>0.13076143230500001</v>
      </c>
      <c r="I36" s="100">
        <f t="shared" si="29"/>
        <v>0.25415584724250001</v>
      </c>
      <c r="J36" s="100">
        <f t="shared" si="29"/>
        <v>5.7940078423500005E-2</v>
      </c>
      <c r="K36" s="100">
        <f t="shared" si="29"/>
        <v>0.49107263596650014</v>
      </c>
      <c r="L36" s="100">
        <f t="shared" si="29"/>
        <v>0.10683776288500002</v>
      </c>
      <c r="M36" s="100">
        <f t="shared" si="29"/>
        <v>0.15007981366000001</v>
      </c>
      <c r="N36" s="100">
        <f t="shared" si="29"/>
        <v>1.1584319418</v>
      </c>
      <c r="O36" s="100">
        <f t="shared" si="29"/>
        <v>0.31690709049999999</v>
      </c>
      <c r="P36" s="100">
        <f t="shared" si="29"/>
        <v>5.558510111E-2</v>
      </c>
      <c r="Q36" s="100">
        <f t="shared" si="29"/>
        <v>4.1973527827E-2</v>
      </c>
      <c r="R36" s="100">
        <f t="shared" si="29"/>
        <v>0.19706916319999998</v>
      </c>
      <c r="S36" s="100">
        <f t="shared" si="29"/>
        <v>9.6494518890000019E-2</v>
      </c>
      <c r="T36" s="100">
        <f t="shared" si="29"/>
        <v>6.4819343106000002E-2</v>
      </c>
      <c r="U36" s="100">
        <f t="shared" si="29"/>
        <v>0.11946199786500002</v>
      </c>
      <c r="V36" s="100">
        <f t="shared" si="29"/>
        <v>0.13350817729200001</v>
      </c>
      <c r="W36" s="100">
        <f t="shared" si="29"/>
        <v>0.69809770775500013</v>
      </c>
      <c r="X36" s="100">
        <f t="shared" si="29"/>
        <v>5.670902643000001E-2</v>
      </c>
      <c r="Y36" s="100">
        <f t="shared" si="29"/>
        <v>0.42986422825500004</v>
      </c>
      <c r="Z36" s="100">
        <f t="shared" si="29"/>
        <v>41.797920595200004</v>
      </c>
      <c r="AA36" s="100">
        <f t="shared" si="29"/>
        <v>54.17728705550001</v>
      </c>
      <c r="AB36" s="100">
        <f t="shared" si="29"/>
        <v>8.1525067546335013</v>
      </c>
      <c r="AC36" s="100">
        <f t="shared" si="29"/>
        <v>0.22658968794000003</v>
      </c>
      <c r="AD36" s="100">
        <f t="shared" si="29"/>
        <v>0.18309408302849997</v>
      </c>
      <c r="AE36" s="100">
        <f t="shared" si="29"/>
        <v>0.11213716836000001</v>
      </c>
      <c r="AF36" s="100">
        <f t="shared" si="29"/>
        <v>9.1197146565000012E-2</v>
      </c>
      <c r="AG36" s="100">
        <f t="shared" si="29"/>
        <v>0.23411864570500004</v>
      </c>
      <c r="AH36" s="100">
        <f t="shared" si="29"/>
        <v>0.395707308255</v>
      </c>
      <c r="AI36" s="100">
        <f t="shared" si="29"/>
        <v>8.2925255458500005E-2</v>
      </c>
      <c r="AJ36" s="100">
        <f t="shared" si="29"/>
        <v>0.78049599106500001</v>
      </c>
      <c r="AK36" s="100">
        <f t="shared" si="29"/>
        <v>0.23814255452750008</v>
      </c>
      <c r="AL36" s="100">
        <f t="shared" si="29"/>
        <v>0.16405080720000004</v>
      </c>
      <c r="AM36" s="100">
        <f t="shared" si="29"/>
        <v>1.9429736980499999</v>
      </c>
      <c r="AN36" s="100">
        <f t="shared" si="29"/>
        <v>0.52664196494000004</v>
      </c>
      <c r="AO36" s="100">
        <f t="shared" si="29"/>
        <v>9.2548581370000008E-2</v>
      </c>
      <c r="AP36" s="100">
        <f t="shared" si="29"/>
        <v>8.6300711420000009E-2</v>
      </c>
      <c r="AQ36" s="100">
        <f t="shared" si="29"/>
        <v>0.27099653034999999</v>
      </c>
      <c r="AR36" s="100">
        <f t="shared" si="29"/>
        <v>0.16760068710000001</v>
      </c>
      <c r="AS36" s="100">
        <f t="shared" si="29"/>
        <v>8.9966887500000009E-2</v>
      </c>
      <c r="AT36" s="100">
        <f t="shared" si="29"/>
        <v>0.21527500487500006</v>
      </c>
      <c r="AU36" s="100">
        <f t="shared" si="29"/>
        <v>0.21079162448399999</v>
      </c>
      <c r="AV36" s="100">
        <f t="shared" si="29"/>
        <v>1.1287168446050002</v>
      </c>
      <c r="AW36" s="100">
        <f t="shared" si="29"/>
        <v>9.0140111880000012E-2</v>
      </c>
      <c r="AX36" s="100">
        <f t="shared" si="29"/>
        <v>0.82209545995500011</v>
      </c>
      <c r="AY36" s="100">
        <f t="shared" si="29"/>
        <v>81.830714035560007</v>
      </c>
      <c r="AZ36" s="100">
        <f t="shared" si="29"/>
        <v>87.150086263450021</v>
      </c>
    </row>
    <row r="37" spans="1:52" x14ac:dyDescent="0.25">
      <c r="A37" s="195" t="s">
        <v>1082</v>
      </c>
      <c r="B37" s="196">
        <v>1</v>
      </c>
      <c r="C37" s="100">
        <f t="shared" ref="C37:AZ37" si="30">IFERROR($B37/C22,0)</f>
        <v>42.553238442445512</v>
      </c>
      <c r="D37" s="100">
        <f t="shared" si="30"/>
        <v>1.0413765913600002</v>
      </c>
      <c r="E37" s="100">
        <f t="shared" si="30"/>
        <v>4.1997496891350004</v>
      </c>
      <c r="F37" s="100">
        <f t="shared" si="30"/>
        <v>2.6438511735510004</v>
      </c>
      <c r="G37" s="100">
        <f t="shared" si="30"/>
        <v>0.46515920150699996</v>
      </c>
      <c r="H37" s="100">
        <f t="shared" si="30"/>
        <v>0.69553468260500007</v>
      </c>
      <c r="I37" s="100">
        <f t="shared" si="30"/>
        <v>9.3801600040574993</v>
      </c>
      <c r="J37" s="100">
        <f t="shared" si="30"/>
        <v>2.3936712694965001</v>
      </c>
      <c r="K37" s="100">
        <f t="shared" si="30"/>
        <v>4.0135091505634994</v>
      </c>
      <c r="L37" s="100">
        <f t="shared" si="30"/>
        <v>0.183113918155</v>
      </c>
      <c r="M37" s="100">
        <f t="shared" si="30"/>
        <v>1.6487562688800002</v>
      </c>
      <c r="N37" s="100">
        <f t="shared" si="30"/>
        <v>4.3535939370000003</v>
      </c>
      <c r="O37" s="100">
        <f t="shared" si="30"/>
        <v>0.68513357412499987</v>
      </c>
      <c r="P37" s="100">
        <f t="shared" si="30"/>
        <v>0.58361474402000002</v>
      </c>
      <c r="Q37" s="100">
        <f t="shared" si="30"/>
        <v>0.43258776399300009</v>
      </c>
      <c r="R37" s="100">
        <f t="shared" si="30"/>
        <v>1.6268585648000005</v>
      </c>
      <c r="S37" s="100">
        <f t="shared" si="30"/>
        <v>0.78529142916000005</v>
      </c>
      <c r="T37" s="100">
        <f t="shared" si="30"/>
        <v>0.68622222519900011</v>
      </c>
      <c r="U37" s="100">
        <f t="shared" si="30"/>
        <v>1.726752006735</v>
      </c>
      <c r="V37" s="100">
        <f t="shared" si="30"/>
        <v>1.4367142462680003</v>
      </c>
      <c r="W37" s="100">
        <f t="shared" si="30"/>
        <v>1.2680112935000001</v>
      </c>
      <c r="X37" s="100">
        <f t="shared" si="30"/>
        <v>0.52103052792000004</v>
      </c>
      <c r="Y37" s="100">
        <f t="shared" si="30"/>
        <v>1.7825461804150005</v>
      </c>
      <c r="Z37" s="100">
        <f t="shared" si="30"/>
        <v>29.996311883999997</v>
      </c>
      <c r="AA37" s="100">
        <f t="shared" si="30"/>
        <v>30.334309215000008</v>
      </c>
      <c r="AB37" s="100">
        <f t="shared" si="30"/>
        <v>68.293372689076506</v>
      </c>
      <c r="AC37" s="100">
        <f t="shared" si="30"/>
        <v>1.8440315773600002</v>
      </c>
      <c r="AD37" s="100">
        <f t="shared" si="30"/>
        <v>6.8928758883914991</v>
      </c>
      <c r="AE37" s="100">
        <f t="shared" si="30"/>
        <v>4.4328043628400016</v>
      </c>
      <c r="AF37" s="100">
        <f t="shared" si="30"/>
        <v>0.73592840548499994</v>
      </c>
      <c r="AG37" s="100">
        <f t="shared" si="30"/>
        <v>1.245303260005</v>
      </c>
      <c r="AH37" s="100">
        <f t="shared" si="30"/>
        <v>14.604416567545002</v>
      </c>
      <c r="AI37" s="100">
        <f t="shared" si="30"/>
        <v>3.4258807876615007</v>
      </c>
      <c r="AJ37" s="100">
        <f t="shared" si="30"/>
        <v>6.3789500222349984</v>
      </c>
      <c r="AK37" s="100">
        <f t="shared" si="30"/>
        <v>0.40816294783250001</v>
      </c>
      <c r="AL37" s="100">
        <f t="shared" si="30"/>
        <v>1.8022396896000004</v>
      </c>
      <c r="AM37" s="100">
        <f t="shared" si="30"/>
        <v>7.3020418432500005</v>
      </c>
      <c r="AN37" s="100">
        <f t="shared" si="30"/>
        <v>1.138567430455</v>
      </c>
      <c r="AO37" s="100">
        <f t="shared" si="30"/>
        <v>0.97171212334000012</v>
      </c>
      <c r="AP37" s="100">
        <f t="shared" si="30"/>
        <v>0.88943278578000018</v>
      </c>
      <c r="AQ37" s="100">
        <f t="shared" si="30"/>
        <v>2.2371487211500005</v>
      </c>
      <c r="AR37" s="100">
        <f t="shared" si="30"/>
        <v>1.3639674524000003</v>
      </c>
      <c r="AS37" s="100">
        <f t="shared" si="30"/>
        <v>0.95245145625000005</v>
      </c>
      <c r="AT37" s="100">
        <f t="shared" si="30"/>
        <v>3.1116719401250004</v>
      </c>
      <c r="AU37" s="100">
        <f t="shared" si="30"/>
        <v>2.268380379636</v>
      </c>
      <c r="AV37" s="100">
        <f t="shared" si="30"/>
        <v>2.0501796385</v>
      </c>
      <c r="AW37" s="100">
        <f t="shared" si="30"/>
        <v>0.8281882627199999</v>
      </c>
      <c r="AX37" s="100">
        <f t="shared" si="30"/>
        <v>3.4090371465150011</v>
      </c>
      <c r="AY37" s="100">
        <f t="shared" si="30"/>
        <v>43.383605501354999</v>
      </c>
      <c r="AZ37" s="100">
        <f t="shared" si="30"/>
        <v>48.796051048500004</v>
      </c>
    </row>
    <row r="38" spans="1:52" x14ac:dyDescent="0.25">
      <c r="A38" s="195" t="s">
        <v>1083</v>
      </c>
      <c r="B38" s="196">
        <v>1</v>
      </c>
      <c r="C38" s="100">
        <f t="shared" ref="C38:AZ38" si="31">IFERROR($B38/C2,0)</f>
        <v>5.8355432605918001</v>
      </c>
      <c r="D38" s="100">
        <f t="shared" si="31"/>
        <v>0.210290694656</v>
      </c>
      <c r="E38" s="100">
        <f t="shared" si="31"/>
        <v>8.7998356446000014E-2</v>
      </c>
      <c r="F38" s="100">
        <f t="shared" si="31"/>
        <v>7.5870658239600028E-2</v>
      </c>
      <c r="G38" s="100">
        <f t="shared" si="31"/>
        <v>9.43621928172E-2</v>
      </c>
      <c r="H38" s="100">
        <f t="shared" si="31"/>
        <v>0.13729322245800002</v>
      </c>
      <c r="I38" s="100">
        <f t="shared" si="31"/>
        <v>0.20122330382700004</v>
      </c>
      <c r="J38" s="100">
        <f t="shared" si="31"/>
        <v>6.6255153791400012E-2</v>
      </c>
      <c r="K38" s="100">
        <f t="shared" si="31"/>
        <v>0.80861189778460008</v>
      </c>
      <c r="L38" s="100">
        <f t="shared" si="31"/>
        <v>0.145709215078</v>
      </c>
      <c r="M38" s="100">
        <f t="shared" si="31"/>
        <v>0.17797875804800004</v>
      </c>
      <c r="N38" s="100">
        <f t="shared" si="31"/>
        <v>1.0684337412</v>
      </c>
      <c r="O38" s="100">
        <f t="shared" si="31"/>
        <v>0.32826078284999999</v>
      </c>
      <c r="P38" s="100">
        <f t="shared" si="31"/>
        <v>6.5269473192000022E-2</v>
      </c>
      <c r="Q38" s="100">
        <f t="shared" si="31"/>
        <v>4.9091794782800006E-2</v>
      </c>
      <c r="R38" s="100">
        <f t="shared" si="31"/>
        <v>0.32600897728</v>
      </c>
      <c r="S38" s="100">
        <f t="shared" si="31"/>
        <v>0.15857806053600004</v>
      </c>
      <c r="T38" s="100">
        <f t="shared" si="31"/>
        <v>0.10084237406040002</v>
      </c>
      <c r="U38" s="100">
        <f t="shared" si="31"/>
        <v>0.32965349940600008</v>
      </c>
      <c r="V38" s="100">
        <f t="shared" si="31"/>
        <v>0.1576071511728</v>
      </c>
      <c r="W38" s="100">
        <f t="shared" si="31"/>
        <v>0.70822089240000008</v>
      </c>
      <c r="X38" s="100">
        <f t="shared" si="31"/>
        <v>9.8735733431999997E-2</v>
      </c>
      <c r="Y38" s="100">
        <f t="shared" si="31"/>
        <v>0.43924732713400005</v>
      </c>
      <c r="Z38" s="100">
        <f t="shared" si="31"/>
        <v>39.051270350400003</v>
      </c>
      <c r="AA38" s="100">
        <f t="shared" si="31"/>
        <v>50.436452541999998</v>
      </c>
      <c r="AB38" s="100">
        <f t="shared" si="31"/>
        <v>9.6475572513193999</v>
      </c>
      <c r="AC38" s="100">
        <f t="shared" si="31"/>
        <v>0.37237507025599997</v>
      </c>
      <c r="AD38" s="100">
        <f t="shared" si="31"/>
        <v>0.1444280717334</v>
      </c>
      <c r="AE38" s="100">
        <f t="shared" si="31"/>
        <v>0.12720828926400002</v>
      </c>
      <c r="AF38" s="100">
        <f t="shared" si="31"/>
        <v>0.149290431906</v>
      </c>
      <c r="AG38" s="100">
        <f t="shared" si="31"/>
        <v>0.24581333149800003</v>
      </c>
      <c r="AH38" s="100">
        <f t="shared" si="31"/>
        <v>0.31329411768200005</v>
      </c>
      <c r="AI38" s="100">
        <f t="shared" si="31"/>
        <v>9.4825994425400018E-2</v>
      </c>
      <c r="AJ38" s="100">
        <f t="shared" si="31"/>
        <v>1.2851832872060001</v>
      </c>
      <c r="AK38" s="100">
        <f t="shared" si="31"/>
        <v>0.32478745117700003</v>
      </c>
      <c r="AL38" s="100">
        <f t="shared" si="31"/>
        <v>0.19454687616000005</v>
      </c>
      <c r="AM38" s="100">
        <f t="shared" si="31"/>
        <v>1.7920247036999999</v>
      </c>
      <c r="AN38" s="100">
        <f t="shared" si="31"/>
        <v>0.54550973731800001</v>
      </c>
      <c r="AO38" s="100">
        <f t="shared" si="31"/>
        <v>0.10867295426400002</v>
      </c>
      <c r="AP38" s="100">
        <f t="shared" si="31"/>
        <v>0.10093640048800001</v>
      </c>
      <c r="AQ38" s="100">
        <f t="shared" si="31"/>
        <v>0.44830606814000007</v>
      </c>
      <c r="AR38" s="100">
        <f t="shared" si="31"/>
        <v>0.27543317704000003</v>
      </c>
      <c r="AS38" s="100">
        <f t="shared" si="31"/>
        <v>0.13996554250000001</v>
      </c>
      <c r="AT38" s="100">
        <f t="shared" si="31"/>
        <v>0.59404798145000015</v>
      </c>
      <c r="AU38" s="100">
        <f t="shared" si="31"/>
        <v>0.24884069350560001</v>
      </c>
      <c r="AV38" s="100">
        <f t="shared" si="31"/>
        <v>1.1450844804</v>
      </c>
      <c r="AW38" s="100">
        <f t="shared" si="31"/>
        <v>0.15694238851200001</v>
      </c>
      <c r="AX38" s="100">
        <f t="shared" si="31"/>
        <v>0.84004020269400004</v>
      </c>
      <c r="AY38" s="100">
        <f t="shared" si="31"/>
        <v>76.771247393400003</v>
      </c>
      <c r="AZ38" s="100">
        <f t="shared" si="31"/>
        <v>81.132545181800012</v>
      </c>
    </row>
    <row r="39" spans="1:52" x14ac:dyDescent="0.25">
      <c r="A39" s="195" t="s">
        <v>1084</v>
      </c>
      <c r="B39" s="196">
        <v>1</v>
      </c>
      <c r="C39" s="100">
        <f t="shared" ref="C39:AZ39" si="32">IFERROR($B39/C11,0)</f>
        <v>0</v>
      </c>
      <c r="D39" s="100">
        <f t="shared" si="32"/>
        <v>0</v>
      </c>
      <c r="E39" s="100">
        <f t="shared" si="32"/>
        <v>0</v>
      </c>
      <c r="F39" s="100">
        <f t="shared" si="32"/>
        <v>0</v>
      </c>
      <c r="G39" s="100">
        <f t="shared" si="32"/>
        <v>0</v>
      </c>
      <c r="H39" s="100">
        <f t="shared" si="32"/>
        <v>0</v>
      </c>
      <c r="I39" s="100">
        <f t="shared" si="32"/>
        <v>0</v>
      </c>
      <c r="J39" s="100">
        <f t="shared" si="32"/>
        <v>0</v>
      </c>
      <c r="K39" s="100">
        <f t="shared" si="32"/>
        <v>0</v>
      </c>
      <c r="L39" s="100">
        <f t="shared" si="32"/>
        <v>0</v>
      </c>
      <c r="M39" s="100">
        <f t="shared" si="32"/>
        <v>0</v>
      </c>
      <c r="N39" s="100">
        <f t="shared" si="32"/>
        <v>0</v>
      </c>
      <c r="O39" s="100">
        <f t="shared" si="32"/>
        <v>0</v>
      </c>
      <c r="P39" s="100">
        <f t="shared" si="32"/>
        <v>0</v>
      </c>
      <c r="Q39" s="100">
        <f t="shared" si="32"/>
        <v>0</v>
      </c>
      <c r="R39" s="100">
        <f t="shared" si="32"/>
        <v>0</v>
      </c>
      <c r="S39" s="100">
        <f t="shared" si="32"/>
        <v>0</v>
      </c>
      <c r="T39" s="100">
        <f t="shared" si="32"/>
        <v>0</v>
      </c>
      <c r="U39" s="100">
        <f t="shared" si="32"/>
        <v>0</v>
      </c>
      <c r="V39" s="100">
        <f t="shared" si="32"/>
        <v>0</v>
      </c>
      <c r="W39" s="100">
        <f t="shared" si="32"/>
        <v>0</v>
      </c>
      <c r="X39" s="100">
        <f t="shared" si="32"/>
        <v>0</v>
      </c>
      <c r="Y39" s="100">
        <f t="shared" si="32"/>
        <v>0</v>
      </c>
      <c r="Z39" s="100">
        <f t="shared" si="32"/>
        <v>0</v>
      </c>
      <c r="AA39" s="100">
        <f t="shared" si="32"/>
        <v>0</v>
      </c>
      <c r="AB39" s="100">
        <f t="shared" si="32"/>
        <v>0</v>
      </c>
      <c r="AC39" s="100">
        <f t="shared" si="32"/>
        <v>0</v>
      </c>
      <c r="AD39" s="100">
        <f t="shared" si="32"/>
        <v>0</v>
      </c>
      <c r="AE39" s="100">
        <f t="shared" si="32"/>
        <v>0</v>
      </c>
      <c r="AF39" s="100">
        <f t="shared" si="32"/>
        <v>0</v>
      </c>
      <c r="AG39" s="100">
        <f t="shared" si="32"/>
        <v>0</v>
      </c>
      <c r="AH39" s="100">
        <f t="shared" si="32"/>
        <v>0</v>
      </c>
      <c r="AI39" s="100">
        <f t="shared" si="32"/>
        <v>0</v>
      </c>
      <c r="AJ39" s="100">
        <f t="shared" si="32"/>
        <v>0</v>
      </c>
      <c r="AK39" s="100">
        <f t="shared" si="32"/>
        <v>0</v>
      </c>
      <c r="AL39" s="100">
        <f t="shared" si="32"/>
        <v>0</v>
      </c>
      <c r="AM39" s="100">
        <f t="shared" si="32"/>
        <v>0</v>
      </c>
      <c r="AN39" s="100">
        <f t="shared" si="32"/>
        <v>0</v>
      </c>
      <c r="AO39" s="100">
        <f t="shared" si="32"/>
        <v>0</v>
      </c>
      <c r="AP39" s="100">
        <f t="shared" si="32"/>
        <v>0</v>
      </c>
      <c r="AQ39" s="100">
        <f t="shared" si="32"/>
        <v>0</v>
      </c>
      <c r="AR39" s="100">
        <f t="shared" si="32"/>
        <v>0</v>
      </c>
      <c r="AS39" s="100">
        <f t="shared" si="32"/>
        <v>0</v>
      </c>
      <c r="AT39" s="100">
        <f t="shared" si="32"/>
        <v>0</v>
      </c>
      <c r="AU39" s="100">
        <f t="shared" si="32"/>
        <v>0</v>
      </c>
      <c r="AV39" s="100">
        <f t="shared" si="32"/>
        <v>0</v>
      </c>
      <c r="AW39" s="100">
        <f t="shared" si="32"/>
        <v>0</v>
      </c>
      <c r="AX39" s="100">
        <f t="shared" si="32"/>
        <v>0</v>
      </c>
      <c r="AY39" s="100">
        <f t="shared" si="32"/>
        <v>0</v>
      </c>
      <c r="AZ39" s="100">
        <f t="shared" si="32"/>
        <v>0</v>
      </c>
    </row>
    <row r="40" spans="1:52" x14ac:dyDescent="0.25">
      <c r="A40" s="195" t="s">
        <v>1085</v>
      </c>
      <c r="B40" s="196">
        <v>1</v>
      </c>
      <c r="C40" s="100">
        <f t="shared" ref="C40:AZ40" si="33">IFERROR($B40/C4,0)</f>
        <v>0</v>
      </c>
      <c r="D40" s="100">
        <f t="shared" si="33"/>
        <v>0</v>
      </c>
      <c r="E40" s="100">
        <f t="shared" si="33"/>
        <v>0</v>
      </c>
      <c r="F40" s="100">
        <f t="shared" si="33"/>
        <v>0</v>
      </c>
      <c r="G40" s="100">
        <f t="shared" si="33"/>
        <v>0</v>
      </c>
      <c r="H40" s="100">
        <f t="shared" si="33"/>
        <v>0</v>
      </c>
      <c r="I40" s="100">
        <f t="shared" si="33"/>
        <v>0</v>
      </c>
      <c r="J40" s="100">
        <f t="shared" si="33"/>
        <v>0</v>
      </c>
      <c r="K40" s="100">
        <f t="shared" si="33"/>
        <v>0</v>
      </c>
      <c r="L40" s="100">
        <f t="shared" si="33"/>
        <v>0</v>
      </c>
      <c r="M40" s="100">
        <f t="shared" si="33"/>
        <v>0</v>
      </c>
      <c r="N40" s="100">
        <f t="shared" si="33"/>
        <v>0</v>
      </c>
      <c r="O40" s="100">
        <f t="shared" si="33"/>
        <v>0</v>
      </c>
      <c r="P40" s="100">
        <f t="shared" si="33"/>
        <v>0</v>
      </c>
      <c r="Q40" s="100">
        <f t="shared" si="33"/>
        <v>0</v>
      </c>
      <c r="R40" s="100">
        <f t="shared" si="33"/>
        <v>0</v>
      </c>
      <c r="S40" s="100">
        <f t="shared" si="33"/>
        <v>0</v>
      </c>
      <c r="T40" s="100">
        <f t="shared" si="33"/>
        <v>0</v>
      </c>
      <c r="U40" s="100">
        <f t="shared" si="33"/>
        <v>0</v>
      </c>
      <c r="V40" s="100">
        <f t="shared" si="33"/>
        <v>0</v>
      </c>
      <c r="W40" s="100">
        <f t="shared" si="33"/>
        <v>0</v>
      </c>
      <c r="X40" s="100">
        <f t="shared" si="33"/>
        <v>0</v>
      </c>
      <c r="Y40" s="100">
        <f t="shared" si="33"/>
        <v>0</v>
      </c>
      <c r="Z40" s="100">
        <f t="shared" si="33"/>
        <v>0</v>
      </c>
      <c r="AA40" s="100">
        <f t="shared" si="33"/>
        <v>0</v>
      </c>
      <c r="AB40" s="100">
        <f t="shared" si="33"/>
        <v>0</v>
      </c>
      <c r="AC40" s="100">
        <f t="shared" si="33"/>
        <v>0</v>
      </c>
      <c r="AD40" s="100">
        <f t="shared" si="33"/>
        <v>0</v>
      </c>
      <c r="AE40" s="100">
        <f t="shared" si="33"/>
        <v>0</v>
      </c>
      <c r="AF40" s="100">
        <f t="shared" si="33"/>
        <v>0</v>
      </c>
      <c r="AG40" s="100">
        <f t="shared" si="33"/>
        <v>0</v>
      </c>
      <c r="AH40" s="100">
        <f t="shared" si="33"/>
        <v>0</v>
      </c>
      <c r="AI40" s="100">
        <f t="shared" si="33"/>
        <v>0</v>
      </c>
      <c r="AJ40" s="100">
        <f t="shared" si="33"/>
        <v>0</v>
      </c>
      <c r="AK40" s="100">
        <f t="shared" si="33"/>
        <v>0</v>
      </c>
      <c r="AL40" s="100">
        <f t="shared" si="33"/>
        <v>0</v>
      </c>
      <c r="AM40" s="100">
        <f t="shared" si="33"/>
        <v>0</v>
      </c>
      <c r="AN40" s="100">
        <f t="shared" si="33"/>
        <v>0</v>
      </c>
      <c r="AO40" s="100">
        <f t="shared" si="33"/>
        <v>0</v>
      </c>
      <c r="AP40" s="100">
        <f t="shared" si="33"/>
        <v>0</v>
      </c>
      <c r="AQ40" s="100">
        <f t="shared" si="33"/>
        <v>0</v>
      </c>
      <c r="AR40" s="100">
        <f t="shared" si="33"/>
        <v>0</v>
      </c>
      <c r="AS40" s="100">
        <f t="shared" si="33"/>
        <v>0</v>
      </c>
      <c r="AT40" s="100">
        <f t="shared" si="33"/>
        <v>0</v>
      </c>
      <c r="AU40" s="100">
        <f t="shared" si="33"/>
        <v>0</v>
      </c>
      <c r="AV40" s="100">
        <f t="shared" si="33"/>
        <v>0</v>
      </c>
      <c r="AW40" s="100">
        <f t="shared" si="33"/>
        <v>0</v>
      </c>
      <c r="AX40" s="100">
        <f t="shared" si="33"/>
        <v>0</v>
      </c>
      <c r="AY40" s="100">
        <f t="shared" si="33"/>
        <v>0</v>
      </c>
      <c r="AZ40" s="100">
        <f t="shared" si="33"/>
        <v>0</v>
      </c>
    </row>
    <row r="41" spans="1:52" x14ac:dyDescent="0.25">
      <c r="A41" s="195" t="s">
        <v>1086</v>
      </c>
      <c r="B41" s="197">
        <v>0.99987999999999999</v>
      </c>
      <c r="C41" s="100">
        <f t="shared" ref="C41:AZ41" si="34">IFERROR($B41/C8,0)</f>
        <v>0.87137554261191119</v>
      </c>
      <c r="D41" s="100">
        <f t="shared" si="34"/>
        <v>4.7985489987087564E-2</v>
      </c>
      <c r="E41" s="100">
        <f t="shared" si="34"/>
        <v>2.1569974164315379E-2</v>
      </c>
      <c r="F41" s="100">
        <f t="shared" si="34"/>
        <v>1.7643472084889325E-2</v>
      </c>
      <c r="G41" s="100">
        <f t="shared" si="34"/>
        <v>2.1422658111355342E-2</v>
      </c>
      <c r="H41" s="100">
        <f t="shared" si="34"/>
        <v>1.8233538729537986E-2</v>
      </c>
      <c r="I41" s="100">
        <f t="shared" si="34"/>
        <v>4.8175398833900936E-2</v>
      </c>
      <c r="J41" s="100">
        <f t="shared" si="34"/>
        <v>1.5976721022958853E-2</v>
      </c>
      <c r="K41" s="100">
        <f t="shared" si="34"/>
        <v>0.18498717808508075</v>
      </c>
      <c r="L41" s="100">
        <f t="shared" si="34"/>
        <v>3.3679400661859003E-2</v>
      </c>
      <c r="M41" s="100">
        <f t="shared" si="34"/>
        <v>4.5244111834666444E-2</v>
      </c>
      <c r="N41" s="100">
        <f t="shared" si="34"/>
        <v>2.2101869253384483E-2</v>
      </c>
      <c r="O41" s="100">
        <f t="shared" si="34"/>
        <v>1.8648687682404779E-2</v>
      </c>
      <c r="P41" s="100">
        <f t="shared" si="34"/>
        <v>1.5984063644884475E-2</v>
      </c>
      <c r="Q41" s="100">
        <f t="shared" si="34"/>
        <v>1.1837960745371464E-2</v>
      </c>
      <c r="R41" s="100">
        <f t="shared" si="34"/>
        <v>7.5030220745745668E-2</v>
      </c>
      <c r="S41" s="100">
        <f t="shared" si="34"/>
        <v>3.6185366872603472E-2</v>
      </c>
      <c r="T41" s="100">
        <f t="shared" si="34"/>
        <v>2.2663327751642717E-2</v>
      </c>
      <c r="U41" s="100">
        <f t="shared" si="34"/>
        <v>7.215009938844727E-2</v>
      </c>
      <c r="V41" s="100">
        <f t="shared" si="34"/>
        <v>3.9390874331831527E-2</v>
      </c>
      <c r="W41" s="100">
        <f t="shared" si="34"/>
        <v>3.27536975545836E-2</v>
      </c>
      <c r="X41" s="100">
        <f t="shared" si="34"/>
        <v>2.4179730125275065E-2</v>
      </c>
      <c r="Y41" s="100">
        <f t="shared" si="34"/>
        <v>4.5531701000084815E-2</v>
      </c>
      <c r="Z41" s="100">
        <f t="shared" si="34"/>
        <v>0.14390737144291202</v>
      </c>
      <c r="AA41" s="100">
        <f t="shared" si="34"/>
        <v>0.18586277079076</v>
      </c>
      <c r="AB41" s="100">
        <f t="shared" si="34"/>
        <v>1.4200827066096162</v>
      </c>
      <c r="AC41" s="100">
        <f t="shared" si="34"/>
        <v>8.497095049517206E-2</v>
      </c>
      <c r="AD41" s="100">
        <f t="shared" si="34"/>
        <v>3.5401908645907823E-2</v>
      </c>
      <c r="AE41" s="100">
        <f t="shared" si="34"/>
        <v>2.9581869363886293E-2</v>
      </c>
      <c r="AF41" s="100">
        <f t="shared" si="34"/>
        <v>3.3892788907676344E-2</v>
      </c>
      <c r="AG41" s="100">
        <f t="shared" si="34"/>
        <v>3.264579867718282E-2</v>
      </c>
      <c r="AH41" s="100">
        <f t="shared" si="34"/>
        <v>7.5006566260444565E-2</v>
      </c>
      <c r="AI41" s="100">
        <f t="shared" si="34"/>
        <v>2.2866273368395942E-2</v>
      </c>
      <c r="AJ41" s="100">
        <f t="shared" si="34"/>
        <v>0.29401302438623805</v>
      </c>
      <c r="AK41" s="100">
        <f t="shared" si="34"/>
        <v>7.5071756390140174E-2</v>
      </c>
      <c r="AL41" s="100">
        <f t="shared" si="34"/>
        <v>4.9455905404700941E-2</v>
      </c>
      <c r="AM41" s="100">
        <f t="shared" si="34"/>
        <v>3.7070240458269482E-2</v>
      </c>
      <c r="AN41" s="100">
        <f t="shared" si="34"/>
        <v>3.0990728257669034E-2</v>
      </c>
      <c r="AO41" s="100">
        <f t="shared" si="34"/>
        <v>2.6613289988164052E-2</v>
      </c>
      <c r="AP41" s="100">
        <f t="shared" si="34"/>
        <v>2.4339732373660949E-2</v>
      </c>
      <c r="AQ41" s="100">
        <f t="shared" si="34"/>
        <v>0.10317661659148746</v>
      </c>
      <c r="AR41" s="100">
        <f t="shared" si="34"/>
        <v>6.2850122686527232E-2</v>
      </c>
      <c r="AS41" s="100">
        <f t="shared" si="34"/>
        <v>3.1455873517158998E-2</v>
      </c>
      <c r="AT41" s="100">
        <f t="shared" si="34"/>
        <v>0.13001718768450568</v>
      </c>
      <c r="AU41" s="100">
        <f t="shared" si="34"/>
        <v>6.2192942474913158E-2</v>
      </c>
      <c r="AV41" s="100">
        <f t="shared" si="34"/>
        <v>5.2957701683115609E-2</v>
      </c>
      <c r="AW41" s="100">
        <f t="shared" si="34"/>
        <v>3.8434156181659934E-2</v>
      </c>
      <c r="AX41" s="100">
        <f t="shared" si="34"/>
        <v>8.7077272812739262E-2</v>
      </c>
      <c r="AY41" s="100">
        <f t="shared" si="34"/>
        <v>0.28290880976845195</v>
      </c>
      <c r="AZ41" s="100">
        <f t="shared" si="34"/>
        <v>0.29898057632500402</v>
      </c>
    </row>
    <row r="42" spans="1:52" x14ac:dyDescent="0.25">
      <c r="A42" s="195" t="s">
        <v>1087</v>
      </c>
      <c r="B42" s="196">
        <v>0.97898250799999997</v>
      </c>
      <c r="C42" s="100">
        <f t="shared" ref="C42:AZ42" si="35">IFERROR($B42/C19,0)</f>
        <v>0</v>
      </c>
      <c r="D42" s="100">
        <f t="shared" si="35"/>
        <v>0</v>
      </c>
      <c r="E42" s="100">
        <f t="shared" si="35"/>
        <v>0</v>
      </c>
      <c r="F42" s="100">
        <f t="shared" si="35"/>
        <v>0</v>
      </c>
      <c r="G42" s="100">
        <f t="shared" si="35"/>
        <v>0</v>
      </c>
      <c r="H42" s="100">
        <f t="shared" si="35"/>
        <v>0</v>
      </c>
      <c r="I42" s="100">
        <f t="shared" si="35"/>
        <v>0</v>
      </c>
      <c r="J42" s="100">
        <f t="shared" si="35"/>
        <v>0</v>
      </c>
      <c r="K42" s="100">
        <f t="shared" si="35"/>
        <v>0</v>
      </c>
      <c r="L42" s="100">
        <f t="shared" si="35"/>
        <v>0</v>
      </c>
      <c r="M42" s="100">
        <f t="shared" si="35"/>
        <v>0</v>
      </c>
      <c r="N42" s="100">
        <f t="shared" si="35"/>
        <v>0</v>
      </c>
      <c r="O42" s="100">
        <f t="shared" si="35"/>
        <v>0</v>
      </c>
      <c r="P42" s="100">
        <f t="shared" si="35"/>
        <v>0</v>
      </c>
      <c r="Q42" s="100">
        <f t="shared" si="35"/>
        <v>0</v>
      </c>
      <c r="R42" s="100">
        <f t="shared" si="35"/>
        <v>0</v>
      </c>
      <c r="S42" s="100">
        <f t="shared" si="35"/>
        <v>0</v>
      </c>
      <c r="T42" s="100">
        <f t="shared" si="35"/>
        <v>0</v>
      </c>
      <c r="U42" s="100">
        <f t="shared" si="35"/>
        <v>0</v>
      </c>
      <c r="V42" s="100">
        <f t="shared" si="35"/>
        <v>0</v>
      </c>
      <c r="W42" s="100">
        <f t="shared" si="35"/>
        <v>0</v>
      </c>
      <c r="X42" s="100">
        <f t="shared" si="35"/>
        <v>0</v>
      </c>
      <c r="Y42" s="100">
        <f t="shared" si="35"/>
        <v>0</v>
      </c>
      <c r="Z42" s="100">
        <f t="shared" si="35"/>
        <v>0</v>
      </c>
      <c r="AA42" s="100">
        <f t="shared" si="35"/>
        <v>0</v>
      </c>
      <c r="AB42" s="100">
        <f t="shared" si="35"/>
        <v>0</v>
      </c>
      <c r="AC42" s="100">
        <f t="shared" si="35"/>
        <v>0</v>
      </c>
      <c r="AD42" s="100">
        <f t="shared" si="35"/>
        <v>0</v>
      </c>
      <c r="AE42" s="100">
        <f t="shared" si="35"/>
        <v>0</v>
      </c>
      <c r="AF42" s="100">
        <f t="shared" si="35"/>
        <v>0</v>
      </c>
      <c r="AG42" s="100">
        <f t="shared" si="35"/>
        <v>0</v>
      </c>
      <c r="AH42" s="100">
        <f t="shared" si="35"/>
        <v>0</v>
      </c>
      <c r="AI42" s="100">
        <f t="shared" si="35"/>
        <v>0</v>
      </c>
      <c r="AJ42" s="100">
        <f t="shared" si="35"/>
        <v>0</v>
      </c>
      <c r="AK42" s="100">
        <f t="shared" si="35"/>
        <v>0</v>
      </c>
      <c r="AL42" s="100">
        <f t="shared" si="35"/>
        <v>0</v>
      </c>
      <c r="AM42" s="100">
        <f t="shared" si="35"/>
        <v>0</v>
      </c>
      <c r="AN42" s="100">
        <f t="shared" si="35"/>
        <v>0</v>
      </c>
      <c r="AO42" s="100">
        <f t="shared" si="35"/>
        <v>0</v>
      </c>
      <c r="AP42" s="100">
        <f t="shared" si="35"/>
        <v>0</v>
      </c>
      <c r="AQ42" s="100">
        <f t="shared" si="35"/>
        <v>0</v>
      </c>
      <c r="AR42" s="100">
        <f t="shared" si="35"/>
        <v>0</v>
      </c>
      <c r="AS42" s="100">
        <f t="shared" si="35"/>
        <v>0</v>
      </c>
      <c r="AT42" s="100">
        <f t="shared" si="35"/>
        <v>0</v>
      </c>
      <c r="AU42" s="100">
        <f t="shared" si="35"/>
        <v>0</v>
      </c>
      <c r="AV42" s="100">
        <f t="shared" si="35"/>
        <v>0</v>
      </c>
      <c r="AW42" s="100">
        <f t="shared" si="35"/>
        <v>0</v>
      </c>
      <c r="AX42" s="100">
        <f t="shared" si="35"/>
        <v>0</v>
      </c>
      <c r="AY42" s="100">
        <f t="shared" si="35"/>
        <v>0</v>
      </c>
      <c r="AZ42" s="100">
        <f t="shared" si="35"/>
        <v>0</v>
      </c>
    </row>
    <row r="43" spans="1:52" x14ac:dyDescent="0.25">
      <c r="A43" s="195" t="s">
        <v>1088</v>
      </c>
      <c r="B43" s="196">
        <v>2.0897492E-2</v>
      </c>
      <c r="C43" s="100">
        <f t="shared" ref="C43:AZ43" si="36">IFERROR($B43/C28,0)</f>
        <v>0</v>
      </c>
      <c r="D43" s="100">
        <f t="shared" si="36"/>
        <v>0</v>
      </c>
      <c r="E43" s="100">
        <f t="shared" si="36"/>
        <v>0</v>
      </c>
      <c r="F43" s="100">
        <f t="shared" si="36"/>
        <v>0</v>
      </c>
      <c r="G43" s="100">
        <f t="shared" si="36"/>
        <v>0</v>
      </c>
      <c r="H43" s="100">
        <f t="shared" si="36"/>
        <v>0</v>
      </c>
      <c r="I43" s="100">
        <f t="shared" si="36"/>
        <v>0</v>
      </c>
      <c r="J43" s="100">
        <f t="shared" si="36"/>
        <v>0</v>
      </c>
      <c r="K43" s="100">
        <f t="shared" si="36"/>
        <v>0</v>
      </c>
      <c r="L43" s="100">
        <f t="shared" si="36"/>
        <v>0</v>
      </c>
      <c r="M43" s="100">
        <f t="shared" si="36"/>
        <v>0</v>
      </c>
      <c r="N43" s="100">
        <f t="shared" si="36"/>
        <v>0</v>
      </c>
      <c r="O43" s="100">
        <f t="shared" si="36"/>
        <v>0</v>
      </c>
      <c r="P43" s="100">
        <f t="shared" si="36"/>
        <v>0</v>
      </c>
      <c r="Q43" s="100">
        <f t="shared" si="36"/>
        <v>0</v>
      </c>
      <c r="R43" s="100">
        <f t="shared" si="36"/>
        <v>0</v>
      </c>
      <c r="S43" s="100">
        <f t="shared" si="36"/>
        <v>0</v>
      </c>
      <c r="T43" s="100">
        <f t="shared" si="36"/>
        <v>0</v>
      </c>
      <c r="U43" s="100">
        <f t="shared" si="36"/>
        <v>0</v>
      </c>
      <c r="V43" s="100">
        <f t="shared" si="36"/>
        <v>0</v>
      </c>
      <c r="W43" s="100">
        <f t="shared" si="36"/>
        <v>0</v>
      </c>
      <c r="X43" s="100">
        <f t="shared" si="36"/>
        <v>0</v>
      </c>
      <c r="Y43" s="100">
        <f t="shared" si="36"/>
        <v>0</v>
      </c>
      <c r="Z43" s="100">
        <f t="shared" si="36"/>
        <v>0</v>
      </c>
      <c r="AA43" s="100">
        <f t="shared" si="36"/>
        <v>0</v>
      </c>
      <c r="AB43" s="100">
        <f t="shared" si="36"/>
        <v>0</v>
      </c>
      <c r="AC43" s="100">
        <f t="shared" si="36"/>
        <v>0</v>
      </c>
      <c r="AD43" s="100">
        <f t="shared" si="36"/>
        <v>0</v>
      </c>
      <c r="AE43" s="100">
        <f t="shared" si="36"/>
        <v>0</v>
      </c>
      <c r="AF43" s="100">
        <f t="shared" si="36"/>
        <v>0</v>
      </c>
      <c r="AG43" s="100">
        <f t="shared" si="36"/>
        <v>0</v>
      </c>
      <c r="AH43" s="100">
        <f t="shared" si="36"/>
        <v>0</v>
      </c>
      <c r="AI43" s="100">
        <f t="shared" si="36"/>
        <v>0</v>
      </c>
      <c r="AJ43" s="100">
        <f t="shared" si="36"/>
        <v>0</v>
      </c>
      <c r="AK43" s="100">
        <f t="shared" si="36"/>
        <v>0</v>
      </c>
      <c r="AL43" s="100">
        <f t="shared" si="36"/>
        <v>0</v>
      </c>
      <c r="AM43" s="100">
        <f t="shared" si="36"/>
        <v>0</v>
      </c>
      <c r="AN43" s="100">
        <f t="shared" si="36"/>
        <v>0</v>
      </c>
      <c r="AO43" s="100">
        <f t="shared" si="36"/>
        <v>0</v>
      </c>
      <c r="AP43" s="100">
        <f t="shared" si="36"/>
        <v>0</v>
      </c>
      <c r="AQ43" s="100">
        <f t="shared" si="36"/>
        <v>0</v>
      </c>
      <c r="AR43" s="100">
        <f t="shared" si="36"/>
        <v>0</v>
      </c>
      <c r="AS43" s="100">
        <f t="shared" si="36"/>
        <v>0</v>
      </c>
      <c r="AT43" s="100">
        <f t="shared" si="36"/>
        <v>0</v>
      </c>
      <c r="AU43" s="100">
        <f t="shared" si="36"/>
        <v>0</v>
      </c>
      <c r="AV43" s="100">
        <f t="shared" si="36"/>
        <v>0</v>
      </c>
      <c r="AW43" s="100">
        <f t="shared" si="36"/>
        <v>0</v>
      </c>
      <c r="AX43" s="100">
        <f t="shared" si="36"/>
        <v>0</v>
      </c>
      <c r="AY43" s="100">
        <f t="shared" si="36"/>
        <v>0</v>
      </c>
      <c r="AZ43" s="100">
        <f t="shared" si="36"/>
        <v>0</v>
      </c>
    </row>
    <row r="44" spans="1:52" x14ac:dyDescent="0.25">
      <c r="A44" s="195" t="s">
        <v>1089</v>
      </c>
      <c r="B44" s="196">
        <v>0.99987999999999999</v>
      </c>
      <c r="C44" s="100">
        <f t="shared" ref="C44:AZ44" si="37">IFERROR($B44/C15,0)</f>
        <v>7.459790939492722E-2</v>
      </c>
      <c r="D44" s="100">
        <f t="shared" si="37"/>
        <v>2.3635157394005608E-3</v>
      </c>
      <c r="E44" s="100">
        <f t="shared" si="37"/>
        <v>8.3805878271637907E-3</v>
      </c>
      <c r="F44" s="100">
        <f t="shared" si="37"/>
        <v>1.2950985441978389E-3</v>
      </c>
      <c r="G44" s="100">
        <f t="shared" si="37"/>
        <v>1.0557286415023028E-3</v>
      </c>
      <c r="H44" s="100">
        <f t="shared" si="37"/>
        <v>1.4032889244732776E-3</v>
      </c>
      <c r="I44" s="100">
        <f t="shared" si="37"/>
        <v>1.871881475389725E-2</v>
      </c>
      <c r="J44" s="100">
        <f t="shared" si="37"/>
        <v>1.1700553811316446E-3</v>
      </c>
      <c r="K44" s="100">
        <f t="shared" si="37"/>
        <v>9.1090889945938235E-3</v>
      </c>
      <c r="L44" s="100">
        <f t="shared" si="37"/>
        <v>2.1963752478786546E-4</v>
      </c>
      <c r="M44" s="100">
        <f t="shared" si="37"/>
        <v>3.3028237074127411E-3</v>
      </c>
      <c r="N44" s="100">
        <f t="shared" si="37"/>
        <v>8.8408480777071845E-3</v>
      </c>
      <c r="O44" s="100">
        <f t="shared" si="37"/>
        <v>7.9624253197889384E-4</v>
      </c>
      <c r="P44" s="100">
        <f t="shared" si="37"/>
        <v>1.1694735878230206E-3</v>
      </c>
      <c r="Q44" s="100">
        <f t="shared" si="37"/>
        <v>8.6695321598485723E-4</v>
      </c>
      <c r="R44" s="100">
        <f t="shared" si="37"/>
        <v>3.6923298022877951E-3</v>
      </c>
      <c r="S44" s="100">
        <f t="shared" si="37"/>
        <v>1.7823030287363079E-3</v>
      </c>
      <c r="T44" s="100">
        <f t="shared" si="37"/>
        <v>6.0175890151065062E-4</v>
      </c>
      <c r="U44" s="100">
        <f t="shared" si="37"/>
        <v>5.9782098365030671E-4</v>
      </c>
      <c r="V44" s="100">
        <f t="shared" si="37"/>
        <v>2.8784604626160811E-3</v>
      </c>
      <c r="W44" s="100">
        <f t="shared" si="37"/>
        <v>1.5601179474379126E-3</v>
      </c>
      <c r="X44" s="100">
        <f t="shared" si="37"/>
        <v>1.1825346024331661E-3</v>
      </c>
      <c r="Y44" s="100">
        <f t="shared" si="37"/>
        <v>3.610426214199919E-3</v>
      </c>
      <c r="Z44" s="100">
        <f t="shared" si="37"/>
        <v>6.5883719420830086E-2</v>
      </c>
      <c r="AA44" s="100">
        <f t="shared" si="37"/>
        <v>6.7299841755755277E-2</v>
      </c>
      <c r="AB44" s="100">
        <f t="shared" si="37"/>
        <v>0.11950891182639821</v>
      </c>
      <c r="AC44" s="100">
        <f t="shared" si="37"/>
        <v>4.1852272205870249E-3</v>
      </c>
      <c r="AD44" s="100">
        <f t="shared" si="37"/>
        <v>1.3754713028219174E-2</v>
      </c>
      <c r="AE44" s="100">
        <f t="shared" si="37"/>
        <v>2.1714227088347002E-3</v>
      </c>
      <c r="AF44" s="100">
        <f t="shared" si="37"/>
        <v>1.6702683581202747E-3</v>
      </c>
      <c r="AG44" s="100">
        <f t="shared" si="37"/>
        <v>2.5124847345217344E-3</v>
      </c>
      <c r="AH44" s="100">
        <f t="shared" si="37"/>
        <v>2.9144211633742936E-2</v>
      </c>
      <c r="AI44" s="100">
        <f t="shared" si="37"/>
        <v>1.6746118407320073E-3</v>
      </c>
      <c r="AJ44" s="100">
        <f t="shared" si="37"/>
        <v>1.4477710468517724E-2</v>
      </c>
      <c r="AK44" s="100">
        <f t="shared" si="37"/>
        <v>4.8957447077378866E-4</v>
      </c>
      <c r="AL44" s="100">
        <f t="shared" si="37"/>
        <v>3.6102849678895099E-3</v>
      </c>
      <c r="AM44" s="100">
        <f t="shared" si="37"/>
        <v>1.4828264539002687E-2</v>
      </c>
      <c r="AN44" s="100">
        <f t="shared" si="37"/>
        <v>1.3232103167794707E-3</v>
      </c>
      <c r="AO44" s="100">
        <f t="shared" si="37"/>
        <v>1.9471606481117486E-3</v>
      </c>
      <c r="AP44" s="100">
        <f t="shared" si="37"/>
        <v>1.7825206309969026E-3</v>
      </c>
      <c r="AQ44" s="100">
        <f t="shared" si="37"/>
        <v>5.0774486940526782E-3</v>
      </c>
      <c r="AR44" s="100">
        <f t="shared" si="37"/>
        <v>3.0956702585059775E-3</v>
      </c>
      <c r="AS44" s="100">
        <f t="shared" si="37"/>
        <v>8.352194391386999E-4</v>
      </c>
      <c r="AT44" s="100">
        <f t="shared" si="37"/>
        <v>1.0772958553324382E-3</v>
      </c>
      <c r="AU44" s="100">
        <f t="shared" si="37"/>
        <v>4.5447055696128322E-3</v>
      </c>
      <c r="AV44" s="100">
        <f t="shared" si="37"/>
        <v>2.5224712633804486E-3</v>
      </c>
      <c r="AW44" s="100">
        <f t="shared" si="37"/>
        <v>1.8796619881470413E-3</v>
      </c>
      <c r="AX44" s="100">
        <f t="shared" si="37"/>
        <v>6.9047731913983662E-3</v>
      </c>
      <c r="AY44" s="100">
        <f t="shared" si="37"/>
        <v>9.8236096802832101E-2</v>
      </c>
      <c r="AZ44" s="100">
        <f t="shared" si="37"/>
        <v>0.10825914942035071</v>
      </c>
    </row>
    <row r="45" spans="1:52" x14ac:dyDescent="0.25">
      <c r="A45" s="95" t="s">
        <v>20</v>
      </c>
      <c r="B45" s="95" t="s">
        <v>1074</v>
      </c>
      <c r="C45" s="96">
        <f t="shared" ref="C45" si="38">IFERROR(1/SUM(1/D45,1/E45,1/F45,1/G45,1/H45,1/I45,1/J45,1/K45,1/L45,1/M45,1/N45,1/O45,1/P45,1/Q45,1/R45,1/S45,1/T45,1/U45,1/V45,1/W45,1/X45,1/Y45),".")</f>
        <v>9.042817629041508E-2</v>
      </c>
      <c r="D45" s="96">
        <f>IFERROR(1/SUM(D46:D47),".")</f>
        <v>6.7261470837529531</v>
      </c>
      <c r="E45" s="96">
        <f t="shared" ref="E45:AA45" si="39">IFERROR(1/SUM(E46:E47),".")</f>
        <v>1.4831971237884969</v>
      </c>
      <c r="F45" s="96">
        <f t="shared" si="39"/>
        <v>2.5868376751130966</v>
      </c>
      <c r="G45" s="96">
        <f t="shared" si="39"/>
        <v>39.629200106774171</v>
      </c>
      <c r="H45" s="96">
        <f t="shared" si="39"/>
        <v>4.8339438605049496</v>
      </c>
      <c r="I45" s="96">
        <f t="shared" si="39"/>
        <v>0.66396943463630897</v>
      </c>
      <c r="J45" s="96">
        <f t="shared" si="39"/>
        <v>2.8583177083092028</v>
      </c>
      <c r="K45" s="96">
        <f t="shared" si="39"/>
        <v>1.7455822526983107</v>
      </c>
      <c r="L45" s="96">
        <f t="shared" si="39"/>
        <v>1.722959744968914</v>
      </c>
      <c r="M45" s="96">
        <f t="shared" si="39"/>
        <v>2.0183390277465922</v>
      </c>
      <c r="N45" s="96">
        <f t="shared" si="39"/>
        <v>1.3418616920465809</v>
      </c>
      <c r="O45" s="96">
        <f t="shared" si="39"/>
        <v>2.4396714579079837</v>
      </c>
      <c r="P45" s="96">
        <f t="shared" si="39"/>
        <v>5.7045018811242629</v>
      </c>
      <c r="Q45" s="96">
        <f t="shared" si="39"/>
        <v>7.6975355046792648</v>
      </c>
      <c r="R45" s="96">
        <f t="shared" si="39"/>
        <v>4.3084990487654435</v>
      </c>
      <c r="S45" s="96">
        <f t="shared" si="39"/>
        <v>8.919557584573516</v>
      </c>
      <c r="T45" s="96">
        <f t="shared" si="39"/>
        <v>2.1129469861801096</v>
      </c>
      <c r="U45" s="96">
        <f t="shared" si="39"/>
        <v>0.4745574337573828</v>
      </c>
      <c r="V45" s="96">
        <f t="shared" si="39"/>
        <v>2.316686742968618</v>
      </c>
      <c r="W45" s="96">
        <f t="shared" si="39"/>
        <v>1.3681845707857136</v>
      </c>
      <c r="X45" s="96">
        <f t="shared" si="39"/>
        <v>26.675208397033963</v>
      </c>
      <c r="Y45" s="96">
        <f t="shared" si="39"/>
        <v>1.8969203334645934</v>
      </c>
      <c r="Z45" s="96">
        <f t="shared" si="39"/>
        <v>0.15067859001055647</v>
      </c>
      <c r="AA45" s="96">
        <f t="shared" si="39"/>
        <v>0.12962825403620248</v>
      </c>
      <c r="AB45" s="96">
        <f t="shared" ref="AB45" si="40">IFERROR(1/SUM(1/AC45,1/AD45,1/AE45,1/AF45,1/AG45,1/AH45,1/AI45,1/AJ45,1/AK45,1/AL45,1/AM45,1/AN45,1/AO45,1/AP45,1/AQ45,1/AR45,1/AS45,1/AT45,1/AU45,1/AV45,1/AW45,1/AX45),".")</f>
        <v>5.4321470291758933E-2</v>
      </c>
      <c r="AC45" s="96">
        <f>IFERROR(1/SUM(AC46:AC47),".")</f>
        <v>3.7984447821075547</v>
      </c>
      <c r="AD45" s="96">
        <f t="shared" ref="AD45:AZ45" si="41">IFERROR(1/SUM(AD46:AD47),".")</f>
        <v>0.90369488155839384</v>
      </c>
      <c r="AE45" s="96">
        <f t="shared" si="41"/>
        <v>1.5428638990853112</v>
      </c>
      <c r="AF45" s="96">
        <f t="shared" si="41"/>
        <v>25.048478820272852</v>
      </c>
      <c r="AG45" s="96">
        <f t="shared" si="41"/>
        <v>2.6998850133365906</v>
      </c>
      <c r="AH45" s="96">
        <f t="shared" si="41"/>
        <v>0.42645589475534412</v>
      </c>
      <c r="AI45" s="96">
        <f t="shared" si="41"/>
        <v>1.9971135604350871</v>
      </c>
      <c r="AJ45" s="96">
        <f t="shared" si="41"/>
        <v>1.0982858181747048</v>
      </c>
      <c r="AK45" s="96">
        <f t="shared" si="41"/>
        <v>0.77297048004972257</v>
      </c>
      <c r="AL45" s="96">
        <f t="shared" si="41"/>
        <v>1.8464520251803682</v>
      </c>
      <c r="AM45" s="96">
        <f t="shared" si="41"/>
        <v>0.80003936600100711</v>
      </c>
      <c r="AN45" s="96">
        <f t="shared" si="41"/>
        <v>1.4680736344085241</v>
      </c>
      <c r="AO45" s="96">
        <f t="shared" si="41"/>
        <v>3.4261499112212417</v>
      </c>
      <c r="AP45" s="96">
        <f t="shared" si="41"/>
        <v>3.743801359094006</v>
      </c>
      <c r="AQ45" s="96">
        <f t="shared" si="41"/>
        <v>3.1331482402804203</v>
      </c>
      <c r="AR45" s="96">
        <f t="shared" si="41"/>
        <v>5.1353513683481307</v>
      </c>
      <c r="AS45" s="96">
        <f t="shared" si="41"/>
        <v>1.5223360446030452</v>
      </c>
      <c r="AT45" s="96">
        <f t="shared" si="41"/>
        <v>0.26334492093618794</v>
      </c>
      <c r="AU45" s="96">
        <f t="shared" si="41"/>
        <v>1.46730983817508</v>
      </c>
      <c r="AV45" s="96">
        <f t="shared" si="41"/>
        <v>0.84620559816799434</v>
      </c>
      <c r="AW45" s="96">
        <f t="shared" si="41"/>
        <v>16.781930557474663</v>
      </c>
      <c r="AX45" s="96">
        <f t="shared" si="41"/>
        <v>0.99187775012236323</v>
      </c>
      <c r="AY45" s="96">
        <f t="shared" si="41"/>
        <v>9.4764027432682238E-2</v>
      </c>
      <c r="AZ45" s="96">
        <f t="shared" si="41"/>
        <v>8.0584052529710071E-2</v>
      </c>
    </row>
    <row r="46" spans="1:52" x14ac:dyDescent="0.25">
      <c r="A46" s="195" t="s">
        <v>1101</v>
      </c>
      <c r="B46" s="196">
        <v>1</v>
      </c>
      <c r="C46" s="100">
        <f t="shared" ref="C46:AZ46" si="42">IFERROR($B46/C10,0)</f>
        <v>11.058500138147703</v>
      </c>
      <c r="D46" s="100">
        <f t="shared" si="42"/>
        <v>0.14867352550400001</v>
      </c>
      <c r="E46" s="100">
        <f t="shared" si="42"/>
        <v>0.67421921466900003</v>
      </c>
      <c r="F46" s="100">
        <f t="shared" si="42"/>
        <v>0.38657238125940002</v>
      </c>
      <c r="G46" s="100">
        <f t="shared" si="42"/>
        <v>2.5233918355799998E-2</v>
      </c>
      <c r="H46" s="100">
        <f t="shared" si="42"/>
        <v>0.20687042068700004</v>
      </c>
      <c r="I46" s="100">
        <f t="shared" si="42"/>
        <v>1.5060934251405</v>
      </c>
      <c r="J46" s="100">
        <f t="shared" si="42"/>
        <v>0.34985613988710013</v>
      </c>
      <c r="K46" s="100">
        <f t="shared" si="42"/>
        <v>0.57287475193690007</v>
      </c>
      <c r="L46" s="100">
        <f t="shared" si="42"/>
        <v>0.58039661281700006</v>
      </c>
      <c r="M46" s="100">
        <f t="shared" si="42"/>
        <v>0.49545690107199997</v>
      </c>
      <c r="N46" s="100">
        <f t="shared" si="42"/>
        <v>0.74523328740000006</v>
      </c>
      <c r="O46" s="100">
        <f t="shared" si="42"/>
        <v>0.40989125677500005</v>
      </c>
      <c r="P46" s="100">
        <f t="shared" si="42"/>
        <v>0.17530014378800005</v>
      </c>
      <c r="Q46" s="100">
        <f t="shared" si="42"/>
        <v>0.12991170997420001</v>
      </c>
      <c r="R46" s="100">
        <f t="shared" si="42"/>
        <v>0.23209938976000002</v>
      </c>
      <c r="S46" s="100">
        <f t="shared" si="42"/>
        <v>0.11211318392400002</v>
      </c>
      <c r="T46" s="100">
        <f t="shared" si="42"/>
        <v>0.47327264079060005</v>
      </c>
      <c r="U46" s="100">
        <f t="shared" si="42"/>
        <v>2.1072264996090007</v>
      </c>
      <c r="V46" s="100">
        <f t="shared" si="42"/>
        <v>0.43165093555920009</v>
      </c>
      <c r="W46" s="100">
        <f t="shared" si="42"/>
        <v>0.73089553949999997</v>
      </c>
      <c r="X46" s="100">
        <f t="shared" si="42"/>
        <v>3.7487992038000004E-2</v>
      </c>
      <c r="Y46" s="100">
        <f t="shared" si="42"/>
        <v>0.52717026770100006</v>
      </c>
      <c r="Z46" s="100">
        <f t="shared" si="42"/>
        <v>6.6366429360000012</v>
      </c>
      <c r="AA46" s="100">
        <f t="shared" si="42"/>
        <v>7.7143675770000018</v>
      </c>
      <c r="AB46" s="100">
        <f t="shared" si="42"/>
        <v>18.408927347309103</v>
      </c>
      <c r="AC46" s="100">
        <f t="shared" si="42"/>
        <v>0.26326564090400001</v>
      </c>
      <c r="AD46" s="100">
        <f t="shared" si="42"/>
        <v>1.1065681796001001</v>
      </c>
      <c r="AE46" s="100">
        <f t="shared" si="42"/>
        <v>0.64814530989600005</v>
      </c>
      <c r="AF46" s="100">
        <f t="shared" si="42"/>
        <v>3.9922584008999992E-2</v>
      </c>
      <c r="AG46" s="100">
        <f t="shared" si="42"/>
        <v>0.370386144247</v>
      </c>
      <c r="AH46" s="100">
        <f t="shared" si="42"/>
        <v>2.3449083769230006</v>
      </c>
      <c r="AI46" s="100">
        <f t="shared" si="42"/>
        <v>0.50072265283810002</v>
      </c>
      <c r="AJ46" s="100">
        <f t="shared" si="42"/>
        <v>0.91050979940900001</v>
      </c>
      <c r="AK46" s="100">
        <f t="shared" si="42"/>
        <v>1.2937104660655001</v>
      </c>
      <c r="AL46" s="100">
        <f t="shared" si="42"/>
        <v>0.54157919424000001</v>
      </c>
      <c r="AM46" s="100">
        <f t="shared" si="42"/>
        <v>1.2499384936500002</v>
      </c>
      <c r="AN46" s="100">
        <f t="shared" si="42"/>
        <v>0.68116474307700003</v>
      </c>
      <c r="AO46" s="100">
        <f t="shared" si="42"/>
        <v>0.29187280939600008</v>
      </c>
      <c r="AP46" s="100">
        <f t="shared" si="42"/>
        <v>0.26710818873200004</v>
      </c>
      <c r="AQ46" s="100">
        <f t="shared" si="42"/>
        <v>0.31916779013000002</v>
      </c>
      <c r="AR46" s="100">
        <f t="shared" si="42"/>
        <v>0.19472864236000004</v>
      </c>
      <c r="AS46" s="100">
        <f t="shared" si="42"/>
        <v>0.65688518875000013</v>
      </c>
      <c r="AT46" s="100">
        <f t="shared" si="42"/>
        <v>3.7973012596750011</v>
      </c>
      <c r="AU46" s="100">
        <f t="shared" si="42"/>
        <v>0.68151931785840014</v>
      </c>
      <c r="AV46" s="100">
        <f t="shared" si="42"/>
        <v>1.1817459045000001</v>
      </c>
      <c r="AW46" s="100">
        <f t="shared" si="42"/>
        <v>5.9587900008000003E-2</v>
      </c>
      <c r="AX46" s="100">
        <f t="shared" si="42"/>
        <v>1.0081887610410001</v>
      </c>
      <c r="AY46" s="100">
        <f t="shared" si="42"/>
        <v>10.552527442023003</v>
      </c>
      <c r="AZ46" s="100">
        <f t="shared" si="42"/>
        <v>12.409403208300002</v>
      </c>
    </row>
    <row r="47" spans="1:52" x14ac:dyDescent="0.25">
      <c r="A47" s="195" t="s">
        <v>1075</v>
      </c>
      <c r="B47" s="198">
        <v>0.94399</v>
      </c>
      <c r="C47" s="100">
        <f t="shared" ref="C47:AZ47" si="43">IFERROR($B47/C6,0)</f>
        <v>0</v>
      </c>
      <c r="D47" s="100">
        <f t="shared" si="43"/>
        <v>0</v>
      </c>
      <c r="E47" s="100">
        <f t="shared" si="43"/>
        <v>0</v>
      </c>
      <c r="F47" s="100">
        <f t="shared" si="43"/>
        <v>0</v>
      </c>
      <c r="G47" s="100">
        <f t="shared" si="43"/>
        <v>0</v>
      </c>
      <c r="H47" s="100">
        <f t="shared" si="43"/>
        <v>0</v>
      </c>
      <c r="I47" s="100">
        <f t="shared" si="43"/>
        <v>0</v>
      </c>
      <c r="J47" s="100">
        <f t="shared" si="43"/>
        <v>0</v>
      </c>
      <c r="K47" s="100">
        <f t="shared" si="43"/>
        <v>0</v>
      </c>
      <c r="L47" s="100">
        <f t="shared" si="43"/>
        <v>0</v>
      </c>
      <c r="M47" s="100">
        <f t="shared" si="43"/>
        <v>0</v>
      </c>
      <c r="N47" s="100">
        <f t="shared" si="43"/>
        <v>0</v>
      </c>
      <c r="O47" s="100">
        <f t="shared" si="43"/>
        <v>0</v>
      </c>
      <c r="P47" s="100">
        <f t="shared" si="43"/>
        <v>0</v>
      </c>
      <c r="Q47" s="100">
        <f t="shared" si="43"/>
        <v>0</v>
      </c>
      <c r="R47" s="100">
        <f t="shared" si="43"/>
        <v>0</v>
      </c>
      <c r="S47" s="100">
        <f t="shared" si="43"/>
        <v>0</v>
      </c>
      <c r="T47" s="100">
        <f t="shared" si="43"/>
        <v>0</v>
      </c>
      <c r="U47" s="100">
        <f t="shared" si="43"/>
        <v>0</v>
      </c>
      <c r="V47" s="100">
        <f t="shared" si="43"/>
        <v>0</v>
      </c>
      <c r="W47" s="100">
        <f t="shared" si="43"/>
        <v>0</v>
      </c>
      <c r="X47" s="100">
        <f t="shared" si="43"/>
        <v>0</v>
      </c>
      <c r="Y47" s="100">
        <f t="shared" si="43"/>
        <v>0</v>
      </c>
      <c r="Z47" s="100">
        <f t="shared" si="43"/>
        <v>0</v>
      </c>
      <c r="AA47" s="100">
        <f t="shared" si="43"/>
        <v>0</v>
      </c>
      <c r="AB47" s="100">
        <f t="shared" si="43"/>
        <v>0</v>
      </c>
      <c r="AC47" s="100">
        <f t="shared" si="43"/>
        <v>0</v>
      </c>
      <c r="AD47" s="100">
        <f t="shared" si="43"/>
        <v>0</v>
      </c>
      <c r="AE47" s="100">
        <f t="shared" si="43"/>
        <v>0</v>
      </c>
      <c r="AF47" s="100">
        <f t="shared" si="43"/>
        <v>0</v>
      </c>
      <c r="AG47" s="100">
        <f t="shared" si="43"/>
        <v>0</v>
      </c>
      <c r="AH47" s="100">
        <f t="shared" si="43"/>
        <v>0</v>
      </c>
      <c r="AI47" s="100">
        <f t="shared" si="43"/>
        <v>0</v>
      </c>
      <c r="AJ47" s="100">
        <f t="shared" si="43"/>
        <v>0</v>
      </c>
      <c r="AK47" s="100">
        <f t="shared" si="43"/>
        <v>0</v>
      </c>
      <c r="AL47" s="100">
        <f t="shared" si="43"/>
        <v>0</v>
      </c>
      <c r="AM47" s="100">
        <f t="shared" si="43"/>
        <v>0</v>
      </c>
      <c r="AN47" s="100">
        <f t="shared" si="43"/>
        <v>0</v>
      </c>
      <c r="AO47" s="100">
        <f t="shared" si="43"/>
        <v>0</v>
      </c>
      <c r="AP47" s="100">
        <f t="shared" si="43"/>
        <v>0</v>
      </c>
      <c r="AQ47" s="100">
        <f t="shared" si="43"/>
        <v>0</v>
      </c>
      <c r="AR47" s="100">
        <f t="shared" si="43"/>
        <v>0</v>
      </c>
      <c r="AS47" s="100">
        <f t="shared" si="43"/>
        <v>0</v>
      </c>
      <c r="AT47" s="100">
        <f t="shared" si="43"/>
        <v>0</v>
      </c>
      <c r="AU47" s="100">
        <f t="shared" si="43"/>
        <v>0</v>
      </c>
      <c r="AV47" s="100">
        <f t="shared" si="43"/>
        <v>0</v>
      </c>
      <c r="AW47" s="100">
        <f t="shared" si="43"/>
        <v>0</v>
      </c>
      <c r="AX47" s="100">
        <f t="shared" si="43"/>
        <v>0</v>
      </c>
      <c r="AY47" s="100">
        <f t="shared" si="43"/>
        <v>0</v>
      </c>
      <c r="AZ47" s="100">
        <f t="shared" si="43"/>
        <v>0</v>
      </c>
    </row>
    <row r="48" spans="1:52" x14ac:dyDescent="0.25">
      <c r="A48" s="95" t="s">
        <v>33</v>
      </c>
      <c r="B48" s="95" t="s">
        <v>1074</v>
      </c>
      <c r="C48" s="96">
        <f t="shared" ref="C48" si="44">IFERROR(1/SUM(1/D48,1/E48,1/F48,1/G48,1/H48,1/I48,1/J48,1/K48,1/L48,1/M48,1/N48,1/O48,1/P48,1/Q48,1/R48,1/S48,1/T48,1/U48,1/V48,1/W48,1/X48,1/Y48),".")</f>
        <v>2.1311385290005403E-3</v>
      </c>
      <c r="D48" s="96">
        <f t="shared" ref="D48:AA48" si="45">IFERROR(1/SUM(D49:D62),0)</f>
        <v>7.7513575187561273E-2</v>
      </c>
      <c r="E48" s="96">
        <f t="shared" si="45"/>
        <v>2.0906062745875274E-2</v>
      </c>
      <c r="F48" s="96">
        <f t="shared" si="45"/>
        <v>5.9378926106583824E-2</v>
      </c>
      <c r="G48" s="96">
        <f t="shared" si="45"/>
        <v>0.17342314013331342</v>
      </c>
      <c r="H48" s="96">
        <f t="shared" si="45"/>
        <v>0.1235679333658307</v>
      </c>
      <c r="I48" s="96">
        <f t="shared" si="45"/>
        <v>9.3568329959040769E-3</v>
      </c>
      <c r="J48" s="96">
        <f t="shared" si="45"/>
        <v>6.5702127172098432E-2</v>
      </c>
      <c r="K48" s="96">
        <f t="shared" si="45"/>
        <v>2.0118702560168181E-2</v>
      </c>
      <c r="L48" s="96">
        <f t="shared" si="45"/>
        <v>0.41923755938102503</v>
      </c>
      <c r="M48" s="96">
        <f t="shared" si="45"/>
        <v>5.6002167469717229E-2</v>
      </c>
      <c r="N48" s="96">
        <f t="shared" si="45"/>
        <v>1.735223289531472E-2</v>
      </c>
      <c r="O48" s="96">
        <f t="shared" si="45"/>
        <v>0.13086588537724911</v>
      </c>
      <c r="P48" s="96">
        <f t="shared" si="45"/>
        <v>0.15770072426763249</v>
      </c>
      <c r="Q48" s="96">
        <f t="shared" si="45"/>
        <v>0.2124679772150122</v>
      </c>
      <c r="R48" s="96">
        <f t="shared" si="45"/>
        <v>4.967048861830746E-2</v>
      </c>
      <c r="S48" s="96">
        <f t="shared" si="45"/>
        <v>0.10279091266702609</v>
      </c>
      <c r="T48" s="96">
        <f t="shared" si="45"/>
        <v>0.19728683012170337</v>
      </c>
      <c r="U48" s="96">
        <f t="shared" si="45"/>
        <v>6.3626974420335367E-2</v>
      </c>
      <c r="V48" s="96">
        <f t="shared" si="45"/>
        <v>6.4173971306740019E-2</v>
      </c>
      <c r="W48" s="96">
        <f t="shared" si="45"/>
        <v>6.5427164004178709E-2</v>
      </c>
      <c r="X48" s="96">
        <f t="shared" si="45"/>
        <v>0.15626560574079418</v>
      </c>
      <c r="Y48" s="96">
        <f t="shared" si="45"/>
        <v>4.6453690218104728E-2</v>
      </c>
      <c r="Z48" s="96">
        <f t="shared" si="45"/>
        <v>1.5199126034655421E-3</v>
      </c>
      <c r="AA48" s="96">
        <f t="shared" si="45"/>
        <v>1.3341181132133868E-3</v>
      </c>
      <c r="AB48" s="96">
        <f t="shared" ref="AB48" si="46">IFERROR(1/SUM(1/AC48,1/AD48,1/AE48,1/AF48,1/AG48,1/AH48,1/AI48,1/AJ48,1/AK48,1/AL48,1/AM48,1/AN48,1/AO48,1/AP48,1/AQ48,1/AR48,1/AS48,1/AT48,1/AU48,1/AV48,1/AW48,1/AX48),".")</f>
        <v>1.3237966273512557E-3</v>
      </c>
      <c r="AC48" s="96">
        <f t="shared" ref="AC48:AZ48" si="47">IFERROR(1/SUM(AC49:AC62),0)</f>
        <v>4.377410002301222E-2</v>
      </c>
      <c r="AD48" s="96">
        <f t="shared" si="47"/>
        <v>1.2737822635961503E-2</v>
      </c>
      <c r="AE48" s="96">
        <f t="shared" si="47"/>
        <v>3.5415288070712501E-2</v>
      </c>
      <c r="AF48" s="96">
        <f t="shared" si="47"/>
        <v>0.10961578434261549</v>
      </c>
      <c r="AG48" s="96">
        <f t="shared" si="47"/>
        <v>6.9015946616419993E-2</v>
      </c>
      <c r="AH48" s="96">
        <f t="shared" si="47"/>
        <v>6.0097293326917744E-3</v>
      </c>
      <c r="AI48" s="96">
        <f t="shared" si="47"/>
        <v>4.5906236645207106E-2</v>
      </c>
      <c r="AJ48" s="96">
        <f t="shared" si="47"/>
        <v>1.2658289615256939E-2</v>
      </c>
      <c r="AK48" s="96">
        <f t="shared" si="47"/>
        <v>0.18808231502557343</v>
      </c>
      <c r="AL48" s="96">
        <f t="shared" si="47"/>
        <v>5.123287719130025E-2</v>
      </c>
      <c r="AM48" s="96">
        <f t="shared" si="47"/>
        <v>1.0345678311373611E-2</v>
      </c>
      <c r="AN48" s="96">
        <f t="shared" si="47"/>
        <v>7.8748618115412464E-2</v>
      </c>
      <c r="AO48" s="96">
        <f t="shared" si="47"/>
        <v>9.4715776014888273E-2</v>
      </c>
      <c r="AP48" s="96">
        <f t="shared" si="47"/>
        <v>0.10333669800911958</v>
      </c>
      <c r="AQ48" s="96">
        <f t="shared" si="47"/>
        <v>3.6120468461728311E-2</v>
      </c>
      <c r="AR48" s="96">
        <f t="shared" si="47"/>
        <v>5.9180900959854635E-2</v>
      </c>
      <c r="AS48" s="96">
        <f t="shared" si="47"/>
        <v>0.14214121536608484</v>
      </c>
      <c r="AT48" s="96">
        <f t="shared" si="47"/>
        <v>3.5308351226246898E-2</v>
      </c>
      <c r="AU48" s="96">
        <f t="shared" si="47"/>
        <v>4.0645589974104016E-2</v>
      </c>
      <c r="AV48" s="96">
        <f t="shared" si="47"/>
        <v>4.0465909084763975E-2</v>
      </c>
      <c r="AW48" s="96">
        <f t="shared" si="47"/>
        <v>9.8309955260005105E-2</v>
      </c>
      <c r="AX48" s="96">
        <f t="shared" si="47"/>
        <v>2.4290098495733679E-2</v>
      </c>
      <c r="AY48" s="96">
        <f t="shared" si="47"/>
        <v>8.6973703050489373E-4</v>
      </c>
      <c r="AZ48" s="96">
        <f t="shared" si="47"/>
        <v>8.2936119841589724E-4</v>
      </c>
    </row>
    <row r="49" spans="1:52" x14ac:dyDescent="0.25">
      <c r="A49" s="195" t="s">
        <v>1103</v>
      </c>
      <c r="B49" s="196">
        <v>1</v>
      </c>
      <c r="C49" s="100">
        <f t="shared" ref="C49:AZ49" si="48">IFERROR($B49/C23,0)</f>
        <v>142.52771430120296</v>
      </c>
      <c r="D49" s="100">
        <f t="shared" si="48"/>
        <v>3.4879842457600003</v>
      </c>
      <c r="E49" s="100">
        <f t="shared" si="48"/>
        <v>14.066631488909998</v>
      </c>
      <c r="F49" s="100">
        <f t="shared" si="48"/>
        <v>8.8553087499660013</v>
      </c>
      <c r="G49" s="100">
        <f t="shared" si="48"/>
        <v>1.5580031086619999</v>
      </c>
      <c r="H49" s="100">
        <f t="shared" si="48"/>
        <v>2.3296221899300003</v>
      </c>
      <c r="I49" s="100">
        <f t="shared" si="48"/>
        <v>31.417885314794994</v>
      </c>
      <c r="J49" s="100">
        <f t="shared" si="48"/>
        <v>8.0173567821690011</v>
      </c>
      <c r="K49" s="100">
        <f t="shared" si="48"/>
        <v>13.442837877790998</v>
      </c>
      <c r="L49" s="100">
        <f t="shared" si="48"/>
        <v>0.61332131622999997</v>
      </c>
      <c r="M49" s="100">
        <f t="shared" si="48"/>
        <v>5.5223402740800003</v>
      </c>
      <c r="N49" s="100">
        <f t="shared" si="48"/>
        <v>14.581917041999999</v>
      </c>
      <c r="O49" s="100">
        <f t="shared" si="48"/>
        <v>2.2947847422499996</v>
      </c>
      <c r="P49" s="100">
        <f t="shared" si="48"/>
        <v>1.9547578173200006</v>
      </c>
      <c r="Q49" s="100">
        <f t="shared" si="48"/>
        <v>1.448908414338</v>
      </c>
      <c r="R49" s="100">
        <f t="shared" si="48"/>
        <v>5.4489961567999998</v>
      </c>
      <c r="S49" s="100">
        <f t="shared" si="48"/>
        <v>2.6302532205600002</v>
      </c>
      <c r="T49" s="100">
        <f t="shared" si="48"/>
        <v>2.2984310675340001</v>
      </c>
      <c r="U49" s="100">
        <f t="shared" si="48"/>
        <v>5.7835790105099987</v>
      </c>
      <c r="V49" s="100">
        <f t="shared" si="48"/>
        <v>4.8121272344879991</v>
      </c>
      <c r="W49" s="100">
        <f t="shared" si="48"/>
        <v>4.2470739709999998</v>
      </c>
      <c r="X49" s="100">
        <f t="shared" si="48"/>
        <v>1.7451383947199997</v>
      </c>
      <c r="Y49" s="100">
        <f t="shared" si="48"/>
        <v>5.9704558813900013</v>
      </c>
      <c r="Z49" s="100">
        <f t="shared" si="48"/>
        <v>100.469574744</v>
      </c>
      <c r="AA49" s="100">
        <f t="shared" si="48"/>
        <v>101.60166219000001</v>
      </c>
      <c r="AB49" s="100">
        <f t="shared" si="48"/>
        <v>228.74165792244904</v>
      </c>
      <c r="AC49" s="100">
        <f t="shared" si="48"/>
        <v>6.1763949217600009</v>
      </c>
      <c r="AD49" s="100">
        <f t="shared" si="48"/>
        <v>23.086981891238992</v>
      </c>
      <c r="AE49" s="100">
        <f t="shared" si="48"/>
        <v>14.847224251440002</v>
      </c>
      <c r="AF49" s="100">
        <f t="shared" si="48"/>
        <v>2.4649168280100002</v>
      </c>
      <c r="AG49" s="100">
        <f t="shared" si="48"/>
        <v>4.1710157383299995</v>
      </c>
      <c r="AH49" s="100">
        <f t="shared" si="48"/>
        <v>48.915997659969996</v>
      </c>
      <c r="AI49" s="100">
        <f t="shared" si="48"/>
        <v>11.474636855059002</v>
      </c>
      <c r="AJ49" s="100">
        <f t="shared" si="48"/>
        <v>21.365639833509995</v>
      </c>
      <c r="AK49" s="100">
        <f t="shared" si="48"/>
        <v>1.3670999939450001</v>
      </c>
      <c r="AL49" s="100">
        <f t="shared" si="48"/>
        <v>6.0364172735999997</v>
      </c>
      <c r="AM49" s="100">
        <f t="shared" si="48"/>
        <v>24.457441354499998</v>
      </c>
      <c r="AN49" s="100">
        <f t="shared" si="48"/>
        <v>3.8135150080299995</v>
      </c>
      <c r="AO49" s="100">
        <f t="shared" si="48"/>
        <v>3.2546502444400005</v>
      </c>
      <c r="AP49" s="100">
        <f t="shared" si="48"/>
        <v>2.9790640294800004</v>
      </c>
      <c r="AQ49" s="100">
        <f t="shared" si="48"/>
        <v>7.4931005359000009</v>
      </c>
      <c r="AR49" s="100">
        <f t="shared" si="48"/>
        <v>4.5684692984000002</v>
      </c>
      <c r="AS49" s="100">
        <f t="shared" si="48"/>
        <v>3.1901386124999997</v>
      </c>
      <c r="AT49" s="100">
        <f t="shared" si="48"/>
        <v>10.42222649825</v>
      </c>
      <c r="AU49" s="100">
        <f t="shared" si="48"/>
        <v>7.5977077775759989</v>
      </c>
      <c r="AV49" s="100">
        <f t="shared" si="48"/>
        <v>6.8668667409999999</v>
      </c>
      <c r="AW49" s="100">
        <f t="shared" si="48"/>
        <v>2.77393177152</v>
      </c>
      <c r="AX49" s="100">
        <f t="shared" si="48"/>
        <v>11.41822080399</v>
      </c>
      <c r="AY49" s="100">
        <f t="shared" si="48"/>
        <v>145.30894372742998</v>
      </c>
      <c r="AZ49" s="100">
        <f t="shared" si="48"/>
        <v>163.43737580099997</v>
      </c>
    </row>
    <row r="50" spans="1:52" x14ac:dyDescent="0.25">
      <c r="A50" s="195" t="s">
        <v>1090</v>
      </c>
      <c r="B50" s="196">
        <v>1</v>
      </c>
      <c r="C50" s="100">
        <f t="shared" ref="C50:AZ50" si="49">IFERROR($B50/C25,0)</f>
        <v>0</v>
      </c>
      <c r="D50" s="100">
        <f t="shared" si="49"/>
        <v>0</v>
      </c>
      <c r="E50" s="100">
        <f t="shared" si="49"/>
        <v>0</v>
      </c>
      <c r="F50" s="100">
        <f t="shared" si="49"/>
        <v>0</v>
      </c>
      <c r="G50" s="100">
        <f t="shared" si="49"/>
        <v>0</v>
      </c>
      <c r="H50" s="100">
        <f t="shared" si="49"/>
        <v>0</v>
      </c>
      <c r="I50" s="100">
        <f t="shared" si="49"/>
        <v>0</v>
      </c>
      <c r="J50" s="100">
        <f t="shared" si="49"/>
        <v>0</v>
      </c>
      <c r="K50" s="100">
        <f t="shared" si="49"/>
        <v>0</v>
      </c>
      <c r="L50" s="100">
        <f t="shared" si="49"/>
        <v>0</v>
      </c>
      <c r="M50" s="100">
        <f t="shared" si="49"/>
        <v>0</v>
      </c>
      <c r="N50" s="100">
        <f t="shared" si="49"/>
        <v>0</v>
      </c>
      <c r="O50" s="100">
        <f t="shared" si="49"/>
        <v>0</v>
      </c>
      <c r="P50" s="100">
        <f t="shared" si="49"/>
        <v>0</v>
      </c>
      <c r="Q50" s="100">
        <f t="shared" si="49"/>
        <v>0</v>
      </c>
      <c r="R50" s="100">
        <f t="shared" si="49"/>
        <v>0</v>
      </c>
      <c r="S50" s="100">
        <f t="shared" si="49"/>
        <v>0</v>
      </c>
      <c r="T50" s="100">
        <f t="shared" si="49"/>
        <v>0</v>
      </c>
      <c r="U50" s="100">
        <f t="shared" si="49"/>
        <v>0</v>
      </c>
      <c r="V50" s="100">
        <f t="shared" si="49"/>
        <v>0</v>
      </c>
      <c r="W50" s="100">
        <f t="shared" si="49"/>
        <v>0</v>
      </c>
      <c r="X50" s="100">
        <f t="shared" si="49"/>
        <v>0</v>
      </c>
      <c r="Y50" s="100">
        <f t="shared" si="49"/>
        <v>0</v>
      </c>
      <c r="Z50" s="100">
        <f t="shared" si="49"/>
        <v>0</v>
      </c>
      <c r="AA50" s="100">
        <f t="shared" si="49"/>
        <v>0</v>
      </c>
      <c r="AB50" s="100">
        <f t="shared" si="49"/>
        <v>0</v>
      </c>
      <c r="AC50" s="100">
        <f t="shared" si="49"/>
        <v>0</v>
      </c>
      <c r="AD50" s="100">
        <f t="shared" si="49"/>
        <v>0</v>
      </c>
      <c r="AE50" s="100">
        <f t="shared" si="49"/>
        <v>0</v>
      </c>
      <c r="AF50" s="100">
        <f t="shared" si="49"/>
        <v>0</v>
      </c>
      <c r="AG50" s="100">
        <f t="shared" si="49"/>
        <v>0</v>
      </c>
      <c r="AH50" s="100">
        <f t="shared" si="49"/>
        <v>0</v>
      </c>
      <c r="AI50" s="100">
        <f t="shared" si="49"/>
        <v>0</v>
      </c>
      <c r="AJ50" s="100">
        <f t="shared" si="49"/>
        <v>0</v>
      </c>
      <c r="AK50" s="100">
        <f t="shared" si="49"/>
        <v>0</v>
      </c>
      <c r="AL50" s="100">
        <f t="shared" si="49"/>
        <v>0</v>
      </c>
      <c r="AM50" s="100">
        <f t="shared" si="49"/>
        <v>0</v>
      </c>
      <c r="AN50" s="100">
        <f t="shared" si="49"/>
        <v>0</v>
      </c>
      <c r="AO50" s="100">
        <f t="shared" si="49"/>
        <v>0</v>
      </c>
      <c r="AP50" s="100">
        <f t="shared" si="49"/>
        <v>0</v>
      </c>
      <c r="AQ50" s="100">
        <f t="shared" si="49"/>
        <v>0</v>
      </c>
      <c r="AR50" s="100">
        <f t="shared" si="49"/>
        <v>0</v>
      </c>
      <c r="AS50" s="100">
        <f t="shared" si="49"/>
        <v>0</v>
      </c>
      <c r="AT50" s="100">
        <f t="shared" si="49"/>
        <v>0</v>
      </c>
      <c r="AU50" s="100">
        <f t="shared" si="49"/>
        <v>0</v>
      </c>
      <c r="AV50" s="100">
        <f t="shared" si="49"/>
        <v>0</v>
      </c>
      <c r="AW50" s="100">
        <f t="shared" si="49"/>
        <v>0</v>
      </c>
      <c r="AX50" s="100">
        <f t="shared" si="49"/>
        <v>0</v>
      </c>
      <c r="AY50" s="100">
        <f t="shared" si="49"/>
        <v>0</v>
      </c>
      <c r="AZ50" s="100">
        <f t="shared" si="49"/>
        <v>0</v>
      </c>
    </row>
    <row r="51" spans="1:52" x14ac:dyDescent="0.25">
      <c r="A51" s="195" t="s">
        <v>1076</v>
      </c>
      <c r="B51" s="196">
        <v>1</v>
      </c>
      <c r="C51" s="100">
        <f t="shared" ref="C51:AZ51" si="50">IFERROR($B51/C21,0)</f>
        <v>0</v>
      </c>
      <c r="D51" s="100">
        <f t="shared" si="50"/>
        <v>0</v>
      </c>
      <c r="E51" s="100">
        <f t="shared" si="50"/>
        <v>0</v>
      </c>
      <c r="F51" s="100">
        <f t="shared" si="50"/>
        <v>0</v>
      </c>
      <c r="G51" s="100">
        <f t="shared" si="50"/>
        <v>0</v>
      </c>
      <c r="H51" s="100">
        <f t="shared" si="50"/>
        <v>0</v>
      </c>
      <c r="I51" s="100">
        <f t="shared" si="50"/>
        <v>0</v>
      </c>
      <c r="J51" s="100">
        <f t="shared" si="50"/>
        <v>0</v>
      </c>
      <c r="K51" s="100">
        <f t="shared" si="50"/>
        <v>0</v>
      </c>
      <c r="L51" s="100">
        <f t="shared" si="50"/>
        <v>0</v>
      </c>
      <c r="M51" s="100">
        <f t="shared" si="50"/>
        <v>0</v>
      </c>
      <c r="N51" s="100">
        <f t="shared" si="50"/>
        <v>0</v>
      </c>
      <c r="O51" s="100">
        <f t="shared" si="50"/>
        <v>0</v>
      </c>
      <c r="P51" s="100">
        <f t="shared" si="50"/>
        <v>0</v>
      </c>
      <c r="Q51" s="100">
        <f t="shared" si="50"/>
        <v>0</v>
      </c>
      <c r="R51" s="100">
        <f t="shared" si="50"/>
        <v>0</v>
      </c>
      <c r="S51" s="100">
        <f t="shared" si="50"/>
        <v>0</v>
      </c>
      <c r="T51" s="100">
        <f t="shared" si="50"/>
        <v>0</v>
      </c>
      <c r="U51" s="100">
        <f t="shared" si="50"/>
        <v>0</v>
      </c>
      <c r="V51" s="100">
        <f t="shared" si="50"/>
        <v>0</v>
      </c>
      <c r="W51" s="100">
        <f t="shared" si="50"/>
        <v>0</v>
      </c>
      <c r="X51" s="100">
        <f t="shared" si="50"/>
        <v>0</v>
      </c>
      <c r="Y51" s="100">
        <f t="shared" si="50"/>
        <v>0</v>
      </c>
      <c r="Z51" s="100">
        <f t="shared" si="50"/>
        <v>0</v>
      </c>
      <c r="AA51" s="100">
        <f t="shared" si="50"/>
        <v>0</v>
      </c>
      <c r="AB51" s="100">
        <f t="shared" si="50"/>
        <v>0</v>
      </c>
      <c r="AC51" s="100">
        <f t="shared" si="50"/>
        <v>0</v>
      </c>
      <c r="AD51" s="100">
        <f t="shared" si="50"/>
        <v>0</v>
      </c>
      <c r="AE51" s="100">
        <f t="shared" si="50"/>
        <v>0</v>
      </c>
      <c r="AF51" s="100">
        <f t="shared" si="50"/>
        <v>0</v>
      </c>
      <c r="AG51" s="100">
        <f t="shared" si="50"/>
        <v>0</v>
      </c>
      <c r="AH51" s="100">
        <f t="shared" si="50"/>
        <v>0</v>
      </c>
      <c r="AI51" s="100">
        <f t="shared" si="50"/>
        <v>0</v>
      </c>
      <c r="AJ51" s="100">
        <f t="shared" si="50"/>
        <v>0</v>
      </c>
      <c r="AK51" s="100">
        <f t="shared" si="50"/>
        <v>0</v>
      </c>
      <c r="AL51" s="100">
        <f t="shared" si="50"/>
        <v>0</v>
      </c>
      <c r="AM51" s="100">
        <f t="shared" si="50"/>
        <v>0</v>
      </c>
      <c r="AN51" s="100">
        <f t="shared" si="50"/>
        <v>0</v>
      </c>
      <c r="AO51" s="100">
        <f t="shared" si="50"/>
        <v>0</v>
      </c>
      <c r="AP51" s="100">
        <f t="shared" si="50"/>
        <v>0</v>
      </c>
      <c r="AQ51" s="100">
        <f t="shared" si="50"/>
        <v>0</v>
      </c>
      <c r="AR51" s="100">
        <f t="shared" si="50"/>
        <v>0</v>
      </c>
      <c r="AS51" s="100">
        <f t="shared" si="50"/>
        <v>0</v>
      </c>
      <c r="AT51" s="100">
        <f t="shared" si="50"/>
        <v>0</v>
      </c>
      <c r="AU51" s="100">
        <f t="shared" si="50"/>
        <v>0</v>
      </c>
      <c r="AV51" s="100">
        <f t="shared" si="50"/>
        <v>0</v>
      </c>
      <c r="AW51" s="100">
        <f t="shared" si="50"/>
        <v>0</v>
      </c>
      <c r="AX51" s="100">
        <f t="shared" si="50"/>
        <v>0</v>
      </c>
      <c r="AY51" s="100">
        <f t="shared" si="50"/>
        <v>0</v>
      </c>
      <c r="AZ51" s="100">
        <f t="shared" si="50"/>
        <v>0</v>
      </c>
    </row>
    <row r="52" spans="1:52" x14ac:dyDescent="0.25">
      <c r="A52" s="195" t="s">
        <v>1077</v>
      </c>
      <c r="B52" s="198">
        <v>0.99980000000000002</v>
      </c>
      <c r="C52" s="100">
        <f t="shared" ref="C52:AZ52" si="51">IFERROR($B52/C17,0)</f>
        <v>0.10373189225922946</v>
      </c>
      <c r="D52" s="100">
        <f t="shared" si="51"/>
        <v>3.2865795036497929E-3</v>
      </c>
      <c r="E52" s="100">
        <f t="shared" si="51"/>
        <v>1.1653600491054524E-2</v>
      </c>
      <c r="F52" s="100">
        <f t="shared" si="51"/>
        <v>1.8008952763085174E-3</v>
      </c>
      <c r="G52" s="100">
        <f t="shared" si="51"/>
        <v>1.4680401982250005E-3</v>
      </c>
      <c r="H52" s="100">
        <f t="shared" si="51"/>
        <v>1.9513390750858066E-3</v>
      </c>
      <c r="I52" s="100">
        <f t="shared" si="51"/>
        <v>2.6029389979175293E-2</v>
      </c>
      <c r="J52" s="100">
        <f t="shared" si="51"/>
        <v>1.6270168925288002E-3</v>
      </c>
      <c r="K52" s="100">
        <f t="shared" si="51"/>
        <v>1.2666615536965633E-2</v>
      </c>
      <c r="L52" s="100">
        <f t="shared" si="51"/>
        <v>3.05416280994706E-4</v>
      </c>
      <c r="M52" s="100">
        <f t="shared" si="51"/>
        <v>4.5927312943151374E-3</v>
      </c>
      <c r="N52" s="100">
        <f t="shared" si="51"/>
        <v>1.2293613959365204E-2</v>
      </c>
      <c r="O52" s="100">
        <f t="shared" si="51"/>
        <v>1.1072125909344502E-3</v>
      </c>
      <c r="P52" s="100">
        <f t="shared" si="51"/>
        <v>1.6262078816423444E-3</v>
      </c>
      <c r="Q52" s="100">
        <f t="shared" si="51"/>
        <v>1.2055391139479997E-3</v>
      </c>
      <c r="R52" s="100">
        <f t="shared" si="51"/>
        <v>5.1343577902265613E-3</v>
      </c>
      <c r="S52" s="100">
        <f t="shared" si="51"/>
        <v>2.4783759658919525E-3</v>
      </c>
      <c r="T52" s="100">
        <f t="shared" si="51"/>
        <v>8.3677397991236281E-4</v>
      </c>
      <c r="U52" s="100">
        <f t="shared" si="51"/>
        <v>8.3129812040734225E-4</v>
      </c>
      <c r="V52" s="100">
        <f t="shared" si="51"/>
        <v>4.0026342963553297E-3</v>
      </c>
      <c r="W52" s="100">
        <f t="shared" si="51"/>
        <v>2.1694171880683403E-3</v>
      </c>
      <c r="X52" s="100">
        <f t="shared" si="51"/>
        <v>1.6443698351250244E-3</v>
      </c>
      <c r="Y52" s="100">
        <f t="shared" si="51"/>
        <v>5.0204670090493392E-3</v>
      </c>
      <c r="Z52" s="100">
        <f t="shared" si="51"/>
        <v>9.1614402334224021E-2</v>
      </c>
      <c r="AA52" s="100">
        <f t="shared" si="51"/>
        <v>9.3583586868534019E-2</v>
      </c>
      <c r="AB52" s="100">
        <f t="shared" si="51"/>
        <v>0.16618274782961542</v>
      </c>
      <c r="AC52" s="100">
        <f t="shared" si="51"/>
        <v>5.8197547712489925E-3</v>
      </c>
      <c r="AD52" s="100">
        <f t="shared" si="51"/>
        <v>1.9126573673080394E-2</v>
      </c>
      <c r="AE52" s="100">
        <f t="shared" si="51"/>
        <v>3.0194651339304482E-3</v>
      </c>
      <c r="AF52" s="100">
        <f t="shared" si="51"/>
        <v>2.3225865010677422E-3</v>
      </c>
      <c r="AG52" s="100">
        <f t="shared" si="51"/>
        <v>3.4937278792170857E-3</v>
      </c>
      <c r="AH52" s="100">
        <f t="shared" si="51"/>
        <v>4.0526393376074776E-2</v>
      </c>
      <c r="AI52" s="100">
        <f t="shared" si="51"/>
        <v>2.3286263173838378E-3</v>
      </c>
      <c r="AJ52" s="100">
        <f t="shared" si="51"/>
        <v>2.0131935528245843E-2</v>
      </c>
      <c r="AK52" s="100">
        <f t="shared" si="51"/>
        <v>6.8077626661517895E-4</v>
      </c>
      <c r="AL52" s="100">
        <f t="shared" si="51"/>
        <v>5.0202705994291212E-3</v>
      </c>
      <c r="AM52" s="100">
        <f t="shared" si="51"/>
        <v>2.0619397407077703E-2</v>
      </c>
      <c r="AN52" s="100">
        <f t="shared" si="51"/>
        <v>1.839986014752886E-3</v>
      </c>
      <c r="AO52" s="100">
        <f t="shared" si="51"/>
        <v>2.707618218789848E-3</v>
      </c>
      <c r="AP52" s="100">
        <f t="shared" si="51"/>
        <v>2.4786785520426163E-3</v>
      </c>
      <c r="AQ52" s="100">
        <f t="shared" si="51"/>
        <v>7.0604305825097821E-3</v>
      </c>
      <c r="AR52" s="100">
        <f t="shared" si="51"/>
        <v>4.3046747064372816E-3</v>
      </c>
      <c r="AS52" s="100">
        <f t="shared" si="51"/>
        <v>1.1614118086725001E-3</v>
      </c>
      <c r="AT52" s="100">
        <f t="shared" si="51"/>
        <v>1.4980304207326506E-3</v>
      </c>
      <c r="AU52" s="100">
        <f t="shared" si="51"/>
        <v>6.3196262780127804E-3</v>
      </c>
      <c r="AV52" s="100">
        <f t="shared" si="51"/>
        <v>3.5076146160441411E-3</v>
      </c>
      <c r="AW52" s="100">
        <f t="shared" si="51"/>
        <v>2.6137581658755844E-3</v>
      </c>
      <c r="AX52" s="100">
        <f t="shared" si="51"/>
        <v>9.6014110123742603E-3</v>
      </c>
      <c r="AY52" s="100">
        <f t="shared" si="51"/>
        <v>0.13660190067218653</v>
      </c>
      <c r="AZ52" s="100">
        <f t="shared" si="51"/>
        <v>0.15053942549911864</v>
      </c>
    </row>
    <row r="53" spans="1:52" x14ac:dyDescent="0.25">
      <c r="A53" s="195" t="s">
        <v>1091</v>
      </c>
      <c r="B53" s="196">
        <v>2.0000000000000001E-4</v>
      </c>
      <c r="C53" s="100">
        <f t="shared" ref="C53:AZ53" si="52">IFERROR($B53/C5,0)</f>
        <v>0</v>
      </c>
      <c r="D53" s="100">
        <f t="shared" si="52"/>
        <v>0</v>
      </c>
      <c r="E53" s="100">
        <f t="shared" si="52"/>
        <v>0</v>
      </c>
      <c r="F53" s="100">
        <f t="shared" si="52"/>
        <v>0</v>
      </c>
      <c r="G53" s="100">
        <f t="shared" si="52"/>
        <v>0</v>
      </c>
      <c r="H53" s="100">
        <f t="shared" si="52"/>
        <v>0</v>
      </c>
      <c r="I53" s="100">
        <f t="shared" si="52"/>
        <v>0</v>
      </c>
      <c r="J53" s="100">
        <f t="shared" si="52"/>
        <v>0</v>
      </c>
      <c r="K53" s="100">
        <f t="shared" si="52"/>
        <v>0</v>
      </c>
      <c r="L53" s="100">
        <f t="shared" si="52"/>
        <v>0</v>
      </c>
      <c r="M53" s="100">
        <f t="shared" si="52"/>
        <v>0</v>
      </c>
      <c r="N53" s="100">
        <f t="shared" si="52"/>
        <v>0</v>
      </c>
      <c r="O53" s="100">
        <f t="shared" si="52"/>
        <v>0</v>
      </c>
      <c r="P53" s="100">
        <f t="shared" si="52"/>
        <v>0</v>
      </c>
      <c r="Q53" s="100">
        <f t="shared" si="52"/>
        <v>0</v>
      </c>
      <c r="R53" s="100">
        <f t="shared" si="52"/>
        <v>0</v>
      </c>
      <c r="S53" s="100">
        <f t="shared" si="52"/>
        <v>0</v>
      </c>
      <c r="T53" s="100">
        <f t="shared" si="52"/>
        <v>0</v>
      </c>
      <c r="U53" s="100">
        <f t="shared" si="52"/>
        <v>0</v>
      </c>
      <c r="V53" s="100">
        <f t="shared" si="52"/>
        <v>0</v>
      </c>
      <c r="W53" s="100">
        <f t="shared" si="52"/>
        <v>0</v>
      </c>
      <c r="X53" s="100">
        <f t="shared" si="52"/>
        <v>0</v>
      </c>
      <c r="Y53" s="100">
        <f t="shared" si="52"/>
        <v>0</v>
      </c>
      <c r="Z53" s="100">
        <f t="shared" si="52"/>
        <v>0</v>
      </c>
      <c r="AA53" s="100">
        <f t="shared" si="52"/>
        <v>0</v>
      </c>
      <c r="AB53" s="100">
        <f t="shared" si="52"/>
        <v>0</v>
      </c>
      <c r="AC53" s="100">
        <f t="shared" si="52"/>
        <v>0</v>
      </c>
      <c r="AD53" s="100">
        <f t="shared" si="52"/>
        <v>0</v>
      </c>
      <c r="AE53" s="100">
        <f t="shared" si="52"/>
        <v>0</v>
      </c>
      <c r="AF53" s="100">
        <f t="shared" si="52"/>
        <v>0</v>
      </c>
      <c r="AG53" s="100">
        <f t="shared" si="52"/>
        <v>0</v>
      </c>
      <c r="AH53" s="100">
        <f t="shared" si="52"/>
        <v>0</v>
      </c>
      <c r="AI53" s="100">
        <f t="shared" si="52"/>
        <v>0</v>
      </c>
      <c r="AJ53" s="100">
        <f t="shared" si="52"/>
        <v>0</v>
      </c>
      <c r="AK53" s="100">
        <f t="shared" si="52"/>
        <v>0</v>
      </c>
      <c r="AL53" s="100">
        <f t="shared" si="52"/>
        <v>0</v>
      </c>
      <c r="AM53" s="100">
        <f t="shared" si="52"/>
        <v>0</v>
      </c>
      <c r="AN53" s="100">
        <f t="shared" si="52"/>
        <v>0</v>
      </c>
      <c r="AO53" s="100">
        <f t="shared" si="52"/>
        <v>0</v>
      </c>
      <c r="AP53" s="100">
        <f t="shared" si="52"/>
        <v>0</v>
      </c>
      <c r="AQ53" s="100">
        <f t="shared" si="52"/>
        <v>0</v>
      </c>
      <c r="AR53" s="100">
        <f t="shared" si="52"/>
        <v>0</v>
      </c>
      <c r="AS53" s="100">
        <f t="shared" si="52"/>
        <v>0</v>
      </c>
      <c r="AT53" s="100">
        <f t="shared" si="52"/>
        <v>0</v>
      </c>
      <c r="AU53" s="100">
        <f t="shared" si="52"/>
        <v>0</v>
      </c>
      <c r="AV53" s="100">
        <f t="shared" si="52"/>
        <v>0</v>
      </c>
      <c r="AW53" s="100">
        <f t="shared" si="52"/>
        <v>0</v>
      </c>
      <c r="AX53" s="100">
        <f t="shared" si="52"/>
        <v>0</v>
      </c>
      <c r="AY53" s="100">
        <f t="shared" si="52"/>
        <v>0</v>
      </c>
      <c r="AZ53" s="100">
        <f t="shared" si="52"/>
        <v>0</v>
      </c>
    </row>
    <row r="54" spans="1:52" x14ac:dyDescent="0.25">
      <c r="A54" s="195" t="s">
        <v>1092</v>
      </c>
      <c r="B54" s="196">
        <v>0.99999979999999999</v>
      </c>
      <c r="C54" s="100">
        <f t="shared" ref="C54:AZ54" si="53">IFERROR($B54/C9,0)</f>
        <v>0.32208820682063671</v>
      </c>
      <c r="D54" s="100">
        <f t="shared" si="53"/>
        <v>1.7736968353533621E-2</v>
      </c>
      <c r="E54" s="100">
        <f t="shared" si="53"/>
        <v>7.9729507657825289E-3</v>
      </c>
      <c r="F54" s="100">
        <f t="shared" si="53"/>
        <v>6.5215902994914809E-3</v>
      </c>
      <c r="G54" s="100">
        <f t="shared" si="53"/>
        <v>7.9184980516386755E-3</v>
      </c>
      <c r="H54" s="100">
        <f t="shared" si="53"/>
        <v>6.7396977608391792E-3</v>
      </c>
      <c r="I54" s="100">
        <f t="shared" si="53"/>
        <v>1.7807164723454845E-2</v>
      </c>
      <c r="J54" s="100">
        <f t="shared" si="53"/>
        <v>5.9055059196792808E-3</v>
      </c>
      <c r="K54" s="100">
        <f t="shared" si="53"/>
        <v>6.8377164104971758E-2</v>
      </c>
      <c r="L54" s="100">
        <f t="shared" si="53"/>
        <v>1.2448981220492261E-2</v>
      </c>
      <c r="M54" s="100">
        <f t="shared" si="53"/>
        <v>1.6723667508889831E-2</v>
      </c>
      <c r="N54" s="100">
        <f t="shared" si="53"/>
        <v>8.1695561638884424E-3</v>
      </c>
      <c r="O54" s="100">
        <f t="shared" si="53"/>
        <v>6.8931500615447136E-3</v>
      </c>
      <c r="P54" s="100">
        <f t="shared" si="53"/>
        <v>5.9082199870517669E-3</v>
      </c>
      <c r="Q54" s="100">
        <f t="shared" si="53"/>
        <v>4.3756880500236163E-3</v>
      </c>
      <c r="R54" s="100">
        <f t="shared" si="53"/>
        <v>2.7733563860326119E-2</v>
      </c>
      <c r="S54" s="100">
        <f t="shared" si="53"/>
        <v>1.3375266299314207E-2</v>
      </c>
      <c r="T54" s="100">
        <f t="shared" si="53"/>
        <v>8.377089141422038E-3</v>
      </c>
      <c r="U54" s="100">
        <f t="shared" si="53"/>
        <v>2.6668979099756119E-2</v>
      </c>
      <c r="V54" s="100">
        <f t="shared" si="53"/>
        <v>1.4560124146480989E-2</v>
      </c>
      <c r="W54" s="100">
        <f t="shared" si="53"/>
        <v>1.2106811812137156E-2</v>
      </c>
      <c r="X54" s="100">
        <f t="shared" si="53"/>
        <v>8.9375998482956742E-3</v>
      </c>
      <c r="Y54" s="100">
        <f t="shared" si="53"/>
        <v>1.6829969641622401E-2</v>
      </c>
      <c r="Z54" s="100">
        <f t="shared" si="53"/>
        <v>5.3192756681446532E-2</v>
      </c>
      <c r="AA54" s="100">
        <f t="shared" si="53"/>
        <v>6.870081110983503E-2</v>
      </c>
      <c r="AB54" s="100">
        <f t="shared" si="53"/>
        <v>0.524907884306547</v>
      </c>
      <c r="AC54" s="100">
        <f t="shared" si="53"/>
        <v>3.1407974792131789E-2</v>
      </c>
      <c r="AD54" s="100">
        <f t="shared" si="53"/>
        <v>1.3085675137966149E-2</v>
      </c>
      <c r="AE54" s="100">
        <f t="shared" si="53"/>
        <v>1.0934402897350986E-2</v>
      </c>
      <c r="AF54" s="100">
        <f t="shared" si="53"/>
        <v>1.2527856325531236E-2</v>
      </c>
      <c r="AG54" s="100">
        <f t="shared" si="53"/>
        <v>1.206692894391273E-2</v>
      </c>
      <c r="AH54" s="100">
        <f t="shared" si="53"/>
        <v>2.7724820407725816E-2</v>
      </c>
      <c r="AI54" s="100">
        <f t="shared" si="53"/>
        <v>8.4521043175264984E-3</v>
      </c>
      <c r="AJ54" s="100">
        <f t="shared" si="53"/>
        <v>0.10867659599742949</v>
      </c>
      <c r="AK54" s="100">
        <f t="shared" si="53"/>
        <v>2.7748916759929042E-2</v>
      </c>
      <c r="AL54" s="100">
        <f t="shared" si="53"/>
        <v>1.8280480813983108E-2</v>
      </c>
      <c r="AM54" s="100">
        <f t="shared" si="53"/>
        <v>1.3702343813580689E-2</v>
      </c>
      <c r="AN54" s="100">
        <f t="shared" si="53"/>
        <v>1.1455162102276123E-2</v>
      </c>
      <c r="AO54" s="100">
        <f t="shared" si="53"/>
        <v>9.8371212304073606E-3</v>
      </c>
      <c r="AP54" s="100">
        <f t="shared" si="53"/>
        <v>8.9967417850952847E-3</v>
      </c>
      <c r="AQ54" s="100">
        <f t="shared" si="53"/>
        <v>3.8137369938294495E-2</v>
      </c>
      <c r="AR54" s="100">
        <f t="shared" si="53"/>
        <v>2.3231410941236888E-2</v>
      </c>
      <c r="AS54" s="100">
        <f t="shared" si="53"/>
        <v>1.1627094633330611E-2</v>
      </c>
      <c r="AT54" s="100">
        <f t="shared" si="53"/>
        <v>4.8058501517772793E-2</v>
      </c>
      <c r="AU54" s="100">
        <f t="shared" si="53"/>
        <v>2.298849616389265E-2</v>
      </c>
      <c r="AV54" s="100">
        <f t="shared" si="53"/>
        <v>1.9574856463527929E-2</v>
      </c>
      <c r="AW54" s="100">
        <f t="shared" si="53"/>
        <v>1.4206490588557318E-2</v>
      </c>
      <c r="AX54" s="100">
        <f t="shared" si="53"/>
        <v>3.218653873508797E-2</v>
      </c>
      <c r="AY54" s="100">
        <f t="shared" si="53"/>
        <v>0.10457212393057104</v>
      </c>
      <c r="AZ54" s="100">
        <f t="shared" si="53"/>
        <v>0.11051276171244323</v>
      </c>
    </row>
    <row r="55" spans="1:52" x14ac:dyDescent="0.25">
      <c r="A55" s="195" t="s">
        <v>1093</v>
      </c>
      <c r="B55" s="196">
        <v>1.9999999999999999E-7</v>
      </c>
      <c r="C55" s="100">
        <f t="shared" ref="C55:AZ55" si="54">IFERROR($B55/C24,0)</f>
        <v>0</v>
      </c>
      <c r="D55" s="100">
        <f t="shared" si="54"/>
        <v>0</v>
      </c>
      <c r="E55" s="100">
        <f t="shared" si="54"/>
        <v>0</v>
      </c>
      <c r="F55" s="100">
        <f t="shared" si="54"/>
        <v>0</v>
      </c>
      <c r="G55" s="100">
        <f t="shared" si="54"/>
        <v>0</v>
      </c>
      <c r="H55" s="100">
        <f t="shared" si="54"/>
        <v>0</v>
      </c>
      <c r="I55" s="100">
        <f t="shared" si="54"/>
        <v>0</v>
      </c>
      <c r="J55" s="100">
        <f t="shared" si="54"/>
        <v>0</v>
      </c>
      <c r="K55" s="100">
        <f t="shared" si="54"/>
        <v>0</v>
      </c>
      <c r="L55" s="100">
        <f t="shared" si="54"/>
        <v>0</v>
      </c>
      <c r="M55" s="100">
        <f t="shared" si="54"/>
        <v>0</v>
      </c>
      <c r="N55" s="100">
        <f t="shared" si="54"/>
        <v>0</v>
      </c>
      <c r="O55" s="100">
        <f t="shared" si="54"/>
        <v>0</v>
      </c>
      <c r="P55" s="100">
        <f t="shared" si="54"/>
        <v>0</v>
      </c>
      <c r="Q55" s="100">
        <f t="shared" si="54"/>
        <v>0</v>
      </c>
      <c r="R55" s="100">
        <f t="shared" si="54"/>
        <v>0</v>
      </c>
      <c r="S55" s="100">
        <f t="shared" si="54"/>
        <v>0</v>
      </c>
      <c r="T55" s="100">
        <f t="shared" si="54"/>
        <v>0</v>
      </c>
      <c r="U55" s="100">
        <f t="shared" si="54"/>
        <v>0</v>
      </c>
      <c r="V55" s="100">
        <f t="shared" si="54"/>
        <v>0</v>
      </c>
      <c r="W55" s="100">
        <f t="shared" si="54"/>
        <v>0</v>
      </c>
      <c r="X55" s="100">
        <f t="shared" si="54"/>
        <v>0</v>
      </c>
      <c r="Y55" s="100">
        <f t="shared" si="54"/>
        <v>0</v>
      </c>
      <c r="Z55" s="100">
        <f t="shared" si="54"/>
        <v>0</v>
      </c>
      <c r="AA55" s="100">
        <f t="shared" si="54"/>
        <v>0</v>
      </c>
      <c r="AB55" s="100">
        <f t="shared" si="54"/>
        <v>0</v>
      </c>
      <c r="AC55" s="100">
        <f t="shared" si="54"/>
        <v>0</v>
      </c>
      <c r="AD55" s="100">
        <f t="shared" si="54"/>
        <v>0</v>
      </c>
      <c r="AE55" s="100">
        <f t="shared" si="54"/>
        <v>0</v>
      </c>
      <c r="AF55" s="100">
        <f t="shared" si="54"/>
        <v>0</v>
      </c>
      <c r="AG55" s="100">
        <f t="shared" si="54"/>
        <v>0</v>
      </c>
      <c r="AH55" s="100">
        <f t="shared" si="54"/>
        <v>0</v>
      </c>
      <c r="AI55" s="100">
        <f t="shared" si="54"/>
        <v>0</v>
      </c>
      <c r="AJ55" s="100">
        <f t="shared" si="54"/>
        <v>0</v>
      </c>
      <c r="AK55" s="100">
        <f t="shared" si="54"/>
        <v>0</v>
      </c>
      <c r="AL55" s="100">
        <f t="shared" si="54"/>
        <v>0</v>
      </c>
      <c r="AM55" s="100">
        <f t="shared" si="54"/>
        <v>0</v>
      </c>
      <c r="AN55" s="100">
        <f t="shared" si="54"/>
        <v>0</v>
      </c>
      <c r="AO55" s="100">
        <f t="shared" si="54"/>
        <v>0</v>
      </c>
      <c r="AP55" s="100">
        <f t="shared" si="54"/>
        <v>0</v>
      </c>
      <c r="AQ55" s="100">
        <f t="shared" si="54"/>
        <v>0</v>
      </c>
      <c r="AR55" s="100">
        <f t="shared" si="54"/>
        <v>0</v>
      </c>
      <c r="AS55" s="100">
        <f t="shared" si="54"/>
        <v>0</v>
      </c>
      <c r="AT55" s="100">
        <f t="shared" si="54"/>
        <v>0</v>
      </c>
      <c r="AU55" s="100">
        <f t="shared" si="54"/>
        <v>0</v>
      </c>
      <c r="AV55" s="100">
        <f t="shared" si="54"/>
        <v>0</v>
      </c>
      <c r="AW55" s="100">
        <f t="shared" si="54"/>
        <v>0</v>
      </c>
      <c r="AX55" s="100">
        <f t="shared" si="54"/>
        <v>0</v>
      </c>
      <c r="AY55" s="100">
        <f t="shared" si="54"/>
        <v>0</v>
      </c>
      <c r="AZ55" s="100">
        <f t="shared" si="54"/>
        <v>0</v>
      </c>
    </row>
    <row r="56" spans="1:52" x14ac:dyDescent="0.25">
      <c r="A56" s="195" t="s">
        <v>1094</v>
      </c>
      <c r="B56" s="196">
        <v>0.99979000004200003</v>
      </c>
      <c r="C56" s="100">
        <f t="shared" ref="C56:AZ56" si="55">IFERROR($B56/C20,0)</f>
        <v>0</v>
      </c>
      <c r="D56" s="100">
        <f t="shared" si="55"/>
        <v>0</v>
      </c>
      <c r="E56" s="100">
        <f t="shared" si="55"/>
        <v>0</v>
      </c>
      <c r="F56" s="100">
        <f t="shared" si="55"/>
        <v>0</v>
      </c>
      <c r="G56" s="100">
        <f t="shared" si="55"/>
        <v>0</v>
      </c>
      <c r="H56" s="100">
        <f t="shared" si="55"/>
        <v>0</v>
      </c>
      <c r="I56" s="100">
        <f t="shared" si="55"/>
        <v>0</v>
      </c>
      <c r="J56" s="100">
        <f t="shared" si="55"/>
        <v>0</v>
      </c>
      <c r="K56" s="100">
        <f t="shared" si="55"/>
        <v>0</v>
      </c>
      <c r="L56" s="100">
        <f t="shared" si="55"/>
        <v>0</v>
      </c>
      <c r="M56" s="100">
        <f t="shared" si="55"/>
        <v>0</v>
      </c>
      <c r="N56" s="100">
        <f t="shared" si="55"/>
        <v>0</v>
      </c>
      <c r="O56" s="100">
        <f t="shared" si="55"/>
        <v>0</v>
      </c>
      <c r="P56" s="100">
        <f t="shared" si="55"/>
        <v>0</v>
      </c>
      <c r="Q56" s="100">
        <f t="shared" si="55"/>
        <v>0</v>
      </c>
      <c r="R56" s="100">
        <f t="shared" si="55"/>
        <v>0</v>
      </c>
      <c r="S56" s="100">
        <f t="shared" si="55"/>
        <v>0</v>
      </c>
      <c r="T56" s="100">
        <f t="shared" si="55"/>
        <v>0</v>
      </c>
      <c r="U56" s="100">
        <f t="shared" si="55"/>
        <v>0</v>
      </c>
      <c r="V56" s="100">
        <f t="shared" si="55"/>
        <v>0</v>
      </c>
      <c r="W56" s="100">
        <f t="shared" si="55"/>
        <v>0</v>
      </c>
      <c r="X56" s="100">
        <f t="shared" si="55"/>
        <v>0</v>
      </c>
      <c r="Y56" s="100">
        <f t="shared" si="55"/>
        <v>0</v>
      </c>
      <c r="Z56" s="100">
        <f t="shared" si="55"/>
        <v>0</v>
      </c>
      <c r="AA56" s="100">
        <f t="shared" si="55"/>
        <v>0</v>
      </c>
      <c r="AB56" s="100">
        <f t="shared" si="55"/>
        <v>0</v>
      </c>
      <c r="AC56" s="100">
        <f t="shared" si="55"/>
        <v>0</v>
      </c>
      <c r="AD56" s="100">
        <f t="shared" si="55"/>
        <v>0</v>
      </c>
      <c r="AE56" s="100">
        <f t="shared" si="55"/>
        <v>0</v>
      </c>
      <c r="AF56" s="100">
        <f t="shared" si="55"/>
        <v>0</v>
      </c>
      <c r="AG56" s="100">
        <f t="shared" si="55"/>
        <v>0</v>
      </c>
      <c r="AH56" s="100">
        <f t="shared" si="55"/>
        <v>0</v>
      </c>
      <c r="AI56" s="100">
        <f t="shared" si="55"/>
        <v>0</v>
      </c>
      <c r="AJ56" s="100">
        <f t="shared" si="55"/>
        <v>0</v>
      </c>
      <c r="AK56" s="100">
        <f t="shared" si="55"/>
        <v>0</v>
      </c>
      <c r="AL56" s="100">
        <f t="shared" si="55"/>
        <v>0</v>
      </c>
      <c r="AM56" s="100">
        <f t="shared" si="55"/>
        <v>0</v>
      </c>
      <c r="AN56" s="100">
        <f t="shared" si="55"/>
        <v>0</v>
      </c>
      <c r="AO56" s="100">
        <f t="shared" si="55"/>
        <v>0</v>
      </c>
      <c r="AP56" s="100">
        <f t="shared" si="55"/>
        <v>0</v>
      </c>
      <c r="AQ56" s="100">
        <f t="shared" si="55"/>
        <v>0</v>
      </c>
      <c r="AR56" s="100">
        <f t="shared" si="55"/>
        <v>0</v>
      </c>
      <c r="AS56" s="100">
        <f t="shared" si="55"/>
        <v>0</v>
      </c>
      <c r="AT56" s="100">
        <f t="shared" si="55"/>
        <v>0</v>
      </c>
      <c r="AU56" s="100">
        <f t="shared" si="55"/>
        <v>0</v>
      </c>
      <c r="AV56" s="100">
        <f t="shared" si="55"/>
        <v>0</v>
      </c>
      <c r="AW56" s="100">
        <f t="shared" si="55"/>
        <v>0</v>
      </c>
      <c r="AX56" s="100">
        <f t="shared" si="55"/>
        <v>0</v>
      </c>
      <c r="AY56" s="100">
        <f t="shared" si="55"/>
        <v>0</v>
      </c>
      <c r="AZ56" s="100">
        <f t="shared" si="55"/>
        <v>0</v>
      </c>
    </row>
    <row r="57" spans="1:52" x14ac:dyDescent="0.25">
      <c r="A57" s="195" t="s">
        <v>1095</v>
      </c>
      <c r="B57" s="196">
        <v>2.0999995799999999E-4</v>
      </c>
      <c r="C57" s="100">
        <f t="shared" ref="C57:AZ57" si="56">IFERROR($B57/C29,0)</f>
        <v>0</v>
      </c>
      <c r="D57" s="100">
        <f t="shared" si="56"/>
        <v>0</v>
      </c>
      <c r="E57" s="100">
        <f t="shared" si="56"/>
        <v>0</v>
      </c>
      <c r="F57" s="100">
        <f t="shared" si="56"/>
        <v>0</v>
      </c>
      <c r="G57" s="100">
        <f t="shared" si="56"/>
        <v>0</v>
      </c>
      <c r="H57" s="100">
        <f t="shared" si="56"/>
        <v>0</v>
      </c>
      <c r="I57" s="100">
        <f t="shared" si="56"/>
        <v>0</v>
      </c>
      <c r="J57" s="100">
        <f t="shared" si="56"/>
        <v>0</v>
      </c>
      <c r="K57" s="100">
        <f t="shared" si="56"/>
        <v>0</v>
      </c>
      <c r="L57" s="100">
        <f t="shared" si="56"/>
        <v>0</v>
      </c>
      <c r="M57" s="100">
        <f t="shared" si="56"/>
        <v>0</v>
      </c>
      <c r="N57" s="100">
        <f t="shared" si="56"/>
        <v>0</v>
      </c>
      <c r="O57" s="100">
        <f t="shared" si="56"/>
        <v>0</v>
      </c>
      <c r="P57" s="100">
        <f t="shared" si="56"/>
        <v>0</v>
      </c>
      <c r="Q57" s="100">
        <f t="shared" si="56"/>
        <v>0</v>
      </c>
      <c r="R57" s="100">
        <f t="shared" si="56"/>
        <v>0</v>
      </c>
      <c r="S57" s="100">
        <f t="shared" si="56"/>
        <v>0</v>
      </c>
      <c r="T57" s="100">
        <f t="shared" si="56"/>
        <v>0</v>
      </c>
      <c r="U57" s="100">
        <f t="shared" si="56"/>
        <v>0</v>
      </c>
      <c r="V57" s="100">
        <f t="shared" si="56"/>
        <v>0</v>
      </c>
      <c r="W57" s="100">
        <f t="shared" si="56"/>
        <v>0</v>
      </c>
      <c r="X57" s="100">
        <f t="shared" si="56"/>
        <v>0</v>
      </c>
      <c r="Y57" s="100">
        <f t="shared" si="56"/>
        <v>0</v>
      </c>
      <c r="Z57" s="100">
        <f t="shared" si="56"/>
        <v>0</v>
      </c>
      <c r="AA57" s="100">
        <f t="shared" si="56"/>
        <v>0</v>
      </c>
      <c r="AB57" s="100">
        <f t="shared" si="56"/>
        <v>0</v>
      </c>
      <c r="AC57" s="100">
        <f t="shared" si="56"/>
        <v>0</v>
      </c>
      <c r="AD57" s="100">
        <f t="shared" si="56"/>
        <v>0</v>
      </c>
      <c r="AE57" s="100">
        <f t="shared" si="56"/>
        <v>0</v>
      </c>
      <c r="AF57" s="100">
        <f t="shared" si="56"/>
        <v>0</v>
      </c>
      <c r="AG57" s="100">
        <f t="shared" si="56"/>
        <v>0</v>
      </c>
      <c r="AH57" s="100">
        <f t="shared" si="56"/>
        <v>0</v>
      </c>
      <c r="AI57" s="100">
        <f t="shared" si="56"/>
        <v>0</v>
      </c>
      <c r="AJ57" s="100">
        <f t="shared" si="56"/>
        <v>0</v>
      </c>
      <c r="AK57" s="100">
        <f t="shared" si="56"/>
        <v>0</v>
      </c>
      <c r="AL57" s="100">
        <f t="shared" si="56"/>
        <v>0</v>
      </c>
      <c r="AM57" s="100">
        <f t="shared" si="56"/>
        <v>0</v>
      </c>
      <c r="AN57" s="100">
        <f t="shared" si="56"/>
        <v>0</v>
      </c>
      <c r="AO57" s="100">
        <f t="shared" si="56"/>
        <v>0</v>
      </c>
      <c r="AP57" s="100">
        <f t="shared" si="56"/>
        <v>0</v>
      </c>
      <c r="AQ57" s="100">
        <f t="shared" si="56"/>
        <v>0</v>
      </c>
      <c r="AR57" s="100">
        <f t="shared" si="56"/>
        <v>0</v>
      </c>
      <c r="AS57" s="100">
        <f t="shared" si="56"/>
        <v>0</v>
      </c>
      <c r="AT57" s="100">
        <f t="shared" si="56"/>
        <v>0</v>
      </c>
      <c r="AU57" s="100">
        <f t="shared" si="56"/>
        <v>0</v>
      </c>
      <c r="AV57" s="100">
        <f t="shared" si="56"/>
        <v>0</v>
      </c>
      <c r="AW57" s="100">
        <f t="shared" si="56"/>
        <v>0</v>
      </c>
      <c r="AX57" s="100">
        <f t="shared" si="56"/>
        <v>0</v>
      </c>
      <c r="AY57" s="100">
        <f t="shared" si="56"/>
        <v>0</v>
      </c>
      <c r="AZ57" s="100">
        <f t="shared" si="56"/>
        <v>0</v>
      </c>
    </row>
    <row r="58" spans="1:52" x14ac:dyDescent="0.25">
      <c r="A58" s="195" t="s">
        <v>1096</v>
      </c>
      <c r="B58" s="196">
        <v>1</v>
      </c>
      <c r="C58" s="100">
        <f t="shared" ref="C58:AZ58" si="57">IFERROR($B58/C16,0)</f>
        <v>251.85756035508606</v>
      </c>
      <c r="D58" s="100">
        <f t="shared" si="57"/>
        <v>7.9797049651200007</v>
      </c>
      <c r="E58" s="100">
        <f t="shared" si="57"/>
        <v>28.294551705420005</v>
      </c>
      <c r="F58" s="100">
        <f t="shared" si="57"/>
        <v>4.3725134176920006</v>
      </c>
      <c r="G58" s="100">
        <f t="shared" si="57"/>
        <v>3.564352435644</v>
      </c>
      <c r="H58" s="100">
        <f t="shared" si="57"/>
        <v>4.7377859226600005</v>
      </c>
      <c r="I58" s="100">
        <f t="shared" si="57"/>
        <v>63.198487127789996</v>
      </c>
      <c r="J58" s="100">
        <f t="shared" si="57"/>
        <v>3.9503425251780007</v>
      </c>
      <c r="K58" s="100">
        <f t="shared" si="57"/>
        <v>30.754118310342001</v>
      </c>
      <c r="L58" s="100">
        <f t="shared" si="57"/>
        <v>0.74154050165999996</v>
      </c>
      <c r="M58" s="100">
        <f t="shared" si="57"/>
        <v>11.150997768960002</v>
      </c>
      <c r="N58" s="100">
        <f t="shared" si="57"/>
        <v>29.848482971999999</v>
      </c>
      <c r="O58" s="100">
        <f t="shared" si="57"/>
        <v>2.6882750894999998</v>
      </c>
      <c r="P58" s="100">
        <f t="shared" si="57"/>
        <v>3.9483782738400004</v>
      </c>
      <c r="Q58" s="100">
        <f t="shared" si="57"/>
        <v>2.9270085943560002</v>
      </c>
      <c r="R58" s="100">
        <f t="shared" si="57"/>
        <v>12.466048761600002</v>
      </c>
      <c r="S58" s="100">
        <f t="shared" si="57"/>
        <v>6.0174138427200008</v>
      </c>
      <c r="T58" s="100">
        <f t="shared" si="57"/>
        <v>2.0316591991080002</v>
      </c>
      <c r="U58" s="100">
        <f t="shared" si="57"/>
        <v>2.0183639956200006</v>
      </c>
      <c r="V58" s="100">
        <f t="shared" si="57"/>
        <v>9.7182620206560024</v>
      </c>
      <c r="W58" s="100">
        <f t="shared" si="57"/>
        <v>5.2672722774</v>
      </c>
      <c r="X58" s="100">
        <f t="shared" si="57"/>
        <v>3.9924748886400003</v>
      </c>
      <c r="Y58" s="100">
        <f t="shared" si="57"/>
        <v>12.18952575918</v>
      </c>
      <c r="Z58" s="100">
        <f t="shared" si="57"/>
        <v>222.43670064</v>
      </c>
      <c r="AA58" s="100">
        <f t="shared" si="57"/>
        <v>227.21781474000002</v>
      </c>
      <c r="AB58" s="100">
        <f t="shared" si="57"/>
        <v>403.48614615913806</v>
      </c>
      <c r="AC58" s="100">
        <f t="shared" si="57"/>
        <v>14.130169677120003</v>
      </c>
      <c r="AD58" s="100">
        <f t="shared" si="57"/>
        <v>46.438680316518003</v>
      </c>
      <c r="AE58" s="100">
        <f t="shared" si="57"/>
        <v>7.3311602212799993</v>
      </c>
      <c r="AF58" s="100">
        <f t="shared" si="57"/>
        <v>5.639162239620001</v>
      </c>
      <c r="AG58" s="100">
        <f t="shared" si="57"/>
        <v>8.4826542834599987</v>
      </c>
      <c r="AH58" s="100">
        <f t="shared" si="57"/>
        <v>98.396725861139998</v>
      </c>
      <c r="AI58" s="100">
        <f t="shared" si="57"/>
        <v>5.6538267113579996</v>
      </c>
      <c r="AJ58" s="100">
        <f t="shared" si="57"/>
        <v>48.879665230619999</v>
      </c>
      <c r="AK58" s="100">
        <f t="shared" si="57"/>
        <v>1.6529019756899996</v>
      </c>
      <c r="AL58" s="100">
        <f t="shared" si="57"/>
        <v>12.189048883200002</v>
      </c>
      <c r="AM58" s="100">
        <f t="shared" si="57"/>
        <v>50.063206347000005</v>
      </c>
      <c r="AN58" s="100">
        <f t="shared" si="57"/>
        <v>4.4674244214599996</v>
      </c>
      <c r="AO58" s="100">
        <f t="shared" si="57"/>
        <v>6.5740063552800017</v>
      </c>
      <c r="AP58" s="100">
        <f t="shared" si="57"/>
        <v>6.0181485117600007</v>
      </c>
      <c r="AQ58" s="100">
        <f t="shared" si="57"/>
        <v>17.142488995800004</v>
      </c>
      <c r="AR58" s="100">
        <f t="shared" si="57"/>
        <v>10.451606020800002</v>
      </c>
      <c r="AS58" s="100">
        <f t="shared" si="57"/>
        <v>2.8198689750000003</v>
      </c>
      <c r="AT58" s="100">
        <f t="shared" si="57"/>
        <v>3.6371676915000006</v>
      </c>
      <c r="AU58" s="100">
        <f t="shared" si="57"/>
        <v>15.343840954512002</v>
      </c>
      <c r="AV58" s="100">
        <f t="shared" si="57"/>
        <v>8.516370815400002</v>
      </c>
      <c r="AW58" s="100">
        <f t="shared" si="57"/>
        <v>6.3461172902400005</v>
      </c>
      <c r="AX58" s="100">
        <f t="shared" si="57"/>
        <v>23.31190438038</v>
      </c>
      <c r="AY58" s="100">
        <f t="shared" si="57"/>
        <v>331.66483994322004</v>
      </c>
      <c r="AZ58" s="100">
        <f t="shared" si="57"/>
        <v>365.504683446</v>
      </c>
    </row>
    <row r="59" spans="1:52" x14ac:dyDescent="0.25">
      <c r="A59" s="195" t="s">
        <v>1097</v>
      </c>
      <c r="B59" s="196">
        <v>1</v>
      </c>
      <c r="C59" s="100">
        <f t="shared" ref="C59:AZ59" si="58">IFERROR($B59/C7,0)</f>
        <v>15.812422799983045</v>
      </c>
      <c r="D59" s="100">
        <f t="shared" si="58"/>
        <v>0.87076905287679995</v>
      </c>
      <c r="E59" s="100">
        <f t="shared" si="58"/>
        <v>0.39141969746879995</v>
      </c>
      <c r="F59" s="100">
        <f t="shared" si="58"/>
        <v>0.32016739812288003</v>
      </c>
      <c r="G59" s="100">
        <f t="shared" si="58"/>
        <v>0.38874642561216</v>
      </c>
      <c r="H59" s="100">
        <f t="shared" si="58"/>
        <v>0.33087504690240005</v>
      </c>
      <c r="I59" s="100">
        <f t="shared" si="58"/>
        <v>0.87421523518560007</v>
      </c>
      <c r="J59" s="100">
        <f t="shared" si="58"/>
        <v>0.28992168751392</v>
      </c>
      <c r="K59" s="100">
        <f t="shared" si="58"/>
        <v>3.35687121041888</v>
      </c>
      <c r="L59" s="100">
        <f t="shared" si="58"/>
        <v>0.61116349595840014</v>
      </c>
      <c r="M59" s="100">
        <f t="shared" si="58"/>
        <v>0.8210226137344</v>
      </c>
      <c r="N59" s="100">
        <f t="shared" si="58"/>
        <v>0.4010717356800001</v>
      </c>
      <c r="O59" s="100">
        <f t="shared" si="58"/>
        <v>0.33840855047999996</v>
      </c>
      <c r="P59" s="100">
        <f t="shared" si="58"/>
        <v>0.2900549304576</v>
      </c>
      <c r="Q59" s="100">
        <f t="shared" si="58"/>
        <v>0.21481764318784002</v>
      </c>
      <c r="R59" s="100">
        <f t="shared" si="58"/>
        <v>1.3615364618240002</v>
      </c>
      <c r="S59" s="100">
        <f t="shared" si="58"/>
        <v>0.65663803054079983</v>
      </c>
      <c r="T59" s="100">
        <f t="shared" si="58"/>
        <v>0.41126024651712006</v>
      </c>
      <c r="U59" s="100">
        <f t="shared" si="58"/>
        <v>1.3092723180768</v>
      </c>
      <c r="V59" s="100">
        <f t="shared" si="58"/>
        <v>0.71480679561984006</v>
      </c>
      <c r="W59" s="100">
        <f t="shared" si="58"/>
        <v>0.59436521760000016</v>
      </c>
      <c r="X59" s="100">
        <f t="shared" si="58"/>
        <v>0.43877765352959991</v>
      </c>
      <c r="Y59" s="100">
        <f t="shared" si="58"/>
        <v>0.82624135267520005</v>
      </c>
      <c r="Z59" s="100">
        <f t="shared" si="58"/>
        <v>2.6114161919999996</v>
      </c>
      <c r="AA59" s="100">
        <f t="shared" si="58"/>
        <v>3.3727601600000003</v>
      </c>
      <c r="AB59" s="100">
        <f t="shared" si="58"/>
        <v>25.769541454592328</v>
      </c>
      <c r="AC59" s="100">
        <f t="shared" si="58"/>
        <v>1.5419259885568</v>
      </c>
      <c r="AD59" s="100">
        <f t="shared" si="58"/>
        <v>0.64242099997151991</v>
      </c>
      <c r="AE59" s="100">
        <f t="shared" si="58"/>
        <v>0.53680761361920004</v>
      </c>
      <c r="AF59" s="100">
        <f t="shared" si="58"/>
        <v>0.6150357473568</v>
      </c>
      <c r="AG59" s="100">
        <f t="shared" si="58"/>
        <v>0.59240722981439986</v>
      </c>
      <c r="AH59" s="100">
        <f t="shared" si="58"/>
        <v>1.3611072155296</v>
      </c>
      <c r="AI59" s="100">
        <f t="shared" si="58"/>
        <v>0.41494300066911999</v>
      </c>
      <c r="AJ59" s="100">
        <f t="shared" si="58"/>
        <v>5.3353095455968003</v>
      </c>
      <c r="AK59" s="100">
        <f t="shared" si="58"/>
        <v>1.3622901887056003</v>
      </c>
      <c r="AL59" s="100">
        <f t="shared" si="58"/>
        <v>0.89745195724799998</v>
      </c>
      <c r="AM59" s="100">
        <f t="shared" si="58"/>
        <v>0.67269539568000003</v>
      </c>
      <c r="AN59" s="100">
        <f t="shared" si="58"/>
        <v>0.56237348207039994</v>
      </c>
      <c r="AO59" s="100">
        <f t="shared" si="58"/>
        <v>0.48293826577920002</v>
      </c>
      <c r="AP59" s="100">
        <f t="shared" si="58"/>
        <v>0.44168113552640009</v>
      </c>
      <c r="AQ59" s="100">
        <f t="shared" si="58"/>
        <v>1.872295244512</v>
      </c>
      <c r="AR59" s="100">
        <f t="shared" si="58"/>
        <v>1.140510221312</v>
      </c>
      <c r="AS59" s="100">
        <f t="shared" si="58"/>
        <v>0.57081424400000003</v>
      </c>
      <c r="AT59" s="100">
        <f t="shared" si="58"/>
        <v>2.3593578685600005</v>
      </c>
      <c r="AU59" s="100">
        <f t="shared" si="58"/>
        <v>1.1285846956876802</v>
      </c>
      <c r="AV59" s="100">
        <f t="shared" si="58"/>
        <v>0.96099732960000017</v>
      </c>
      <c r="AW59" s="100">
        <f t="shared" si="58"/>
        <v>0.69744570255360006</v>
      </c>
      <c r="AX59" s="100">
        <f t="shared" si="58"/>
        <v>1.5801483822432001</v>
      </c>
      <c r="AY59" s="100">
        <f t="shared" si="58"/>
        <v>5.1338068319999994</v>
      </c>
      <c r="AZ59" s="100">
        <f t="shared" si="58"/>
        <v>5.4254532639999988</v>
      </c>
    </row>
    <row r="60" spans="1:52" x14ac:dyDescent="0.25">
      <c r="A60" s="195" t="s">
        <v>1098</v>
      </c>
      <c r="B60" s="199">
        <v>1.9000000000000001E-8</v>
      </c>
      <c r="C60" s="100">
        <f t="shared" ref="C60:AZ60" si="59">IFERROR($B60/C12,0)</f>
        <v>0</v>
      </c>
      <c r="D60" s="100">
        <f t="shared" si="59"/>
        <v>0</v>
      </c>
      <c r="E60" s="100">
        <f t="shared" si="59"/>
        <v>0</v>
      </c>
      <c r="F60" s="100">
        <f t="shared" si="59"/>
        <v>0</v>
      </c>
      <c r="G60" s="100">
        <f t="shared" si="59"/>
        <v>0</v>
      </c>
      <c r="H60" s="100">
        <f t="shared" si="59"/>
        <v>0</v>
      </c>
      <c r="I60" s="100">
        <f t="shared" si="59"/>
        <v>0</v>
      </c>
      <c r="J60" s="100">
        <f t="shared" si="59"/>
        <v>0</v>
      </c>
      <c r="K60" s="100">
        <f t="shared" si="59"/>
        <v>0</v>
      </c>
      <c r="L60" s="100">
        <f t="shared" si="59"/>
        <v>0</v>
      </c>
      <c r="M60" s="100">
        <f t="shared" si="59"/>
        <v>0</v>
      </c>
      <c r="N60" s="100">
        <f t="shared" si="59"/>
        <v>0</v>
      </c>
      <c r="O60" s="100">
        <f t="shared" si="59"/>
        <v>0</v>
      </c>
      <c r="P60" s="100">
        <f t="shared" si="59"/>
        <v>0</v>
      </c>
      <c r="Q60" s="100">
        <f t="shared" si="59"/>
        <v>0</v>
      </c>
      <c r="R60" s="100">
        <f t="shared" si="59"/>
        <v>0</v>
      </c>
      <c r="S60" s="100">
        <f t="shared" si="59"/>
        <v>0</v>
      </c>
      <c r="T60" s="100">
        <f t="shared" si="59"/>
        <v>0</v>
      </c>
      <c r="U60" s="100">
        <f t="shared" si="59"/>
        <v>0</v>
      </c>
      <c r="V60" s="100">
        <f t="shared" si="59"/>
        <v>0</v>
      </c>
      <c r="W60" s="100">
        <f t="shared" si="59"/>
        <v>0</v>
      </c>
      <c r="X60" s="100">
        <f t="shared" si="59"/>
        <v>0</v>
      </c>
      <c r="Y60" s="100">
        <f t="shared" si="59"/>
        <v>0</v>
      </c>
      <c r="Z60" s="100">
        <f t="shared" si="59"/>
        <v>0</v>
      </c>
      <c r="AA60" s="100">
        <f t="shared" si="59"/>
        <v>0</v>
      </c>
      <c r="AB60" s="100">
        <f t="shared" si="59"/>
        <v>0</v>
      </c>
      <c r="AC60" s="100">
        <f t="shared" si="59"/>
        <v>0</v>
      </c>
      <c r="AD60" s="100">
        <f t="shared" si="59"/>
        <v>0</v>
      </c>
      <c r="AE60" s="100">
        <f t="shared" si="59"/>
        <v>0</v>
      </c>
      <c r="AF60" s="100">
        <f t="shared" si="59"/>
        <v>0</v>
      </c>
      <c r="AG60" s="100">
        <f t="shared" si="59"/>
        <v>0</v>
      </c>
      <c r="AH60" s="100">
        <f t="shared" si="59"/>
        <v>0</v>
      </c>
      <c r="AI60" s="100">
        <f t="shared" si="59"/>
        <v>0</v>
      </c>
      <c r="AJ60" s="100">
        <f t="shared" si="59"/>
        <v>0</v>
      </c>
      <c r="AK60" s="100">
        <f t="shared" si="59"/>
        <v>0</v>
      </c>
      <c r="AL60" s="100">
        <f t="shared" si="59"/>
        <v>0</v>
      </c>
      <c r="AM60" s="100">
        <f t="shared" si="59"/>
        <v>0</v>
      </c>
      <c r="AN60" s="100">
        <f t="shared" si="59"/>
        <v>0</v>
      </c>
      <c r="AO60" s="100">
        <f t="shared" si="59"/>
        <v>0</v>
      </c>
      <c r="AP60" s="100">
        <f t="shared" si="59"/>
        <v>0</v>
      </c>
      <c r="AQ60" s="100">
        <f t="shared" si="59"/>
        <v>0</v>
      </c>
      <c r="AR60" s="100">
        <f t="shared" si="59"/>
        <v>0</v>
      </c>
      <c r="AS60" s="100">
        <f t="shared" si="59"/>
        <v>0</v>
      </c>
      <c r="AT60" s="100">
        <f t="shared" si="59"/>
        <v>0</v>
      </c>
      <c r="AU60" s="100">
        <f t="shared" si="59"/>
        <v>0</v>
      </c>
      <c r="AV60" s="100">
        <f t="shared" si="59"/>
        <v>0</v>
      </c>
      <c r="AW60" s="100">
        <f t="shared" si="59"/>
        <v>0</v>
      </c>
      <c r="AX60" s="100">
        <f t="shared" si="59"/>
        <v>0</v>
      </c>
      <c r="AY60" s="100">
        <f t="shared" si="59"/>
        <v>0</v>
      </c>
      <c r="AZ60" s="100">
        <f t="shared" si="59"/>
        <v>0</v>
      </c>
    </row>
    <row r="61" spans="1:52" x14ac:dyDescent="0.25">
      <c r="A61" s="195" t="s">
        <v>1099</v>
      </c>
      <c r="B61" s="196">
        <v>1</v>
      </c>
      <c r="C61" s="100">
        <f t="shared" ref="C61:AZ61" si="60">IFERROR($B61/C18,0)</f>
        <v>58.609235919842995</v>
      </c>
      <c r="D61" s="100">
        <f t="shared" si="60"/>
        <v>0.54148421376000011</v>
      </c>
      <c r="E61" s="100">
        <f t="shared" si="60"/>
        <v>5.0607849392100013</v>
      </c>
      <c r="F61" s="100">
        <f t="shared" si="60"/>
        <v>3.284679619746</v>
      </c>
      <c r="G61" s="100">
        <f t="shared" si="60"/>
        <v>0.24575467732200004</v>
      </c>
      <c r="H61" s="100">
        <f t="shared" si="60"/>
        <v>0.68574025443000008</v>
      </c>
      <c r="I61" s="100">
        <f t="shared" si="60"/>
        <v>11.339343893744999</v>
      </c>
      <c r="J61" s="100">
        <f t="shared" si="60"/>
        <v>2.9550538491389999</v>
      </c>
      <c r="K61" s="100">
        <f t="shared" si="60"/>
        <v>2.0701233168210003</v>
      </c>
      <c r="L61" s="100">
        <f t="shared" si="60"/>
        <v>0.40650275589000012</v>
      </c>
      <c r="M61" s="100">
        <f t="shared" si="60"/>
        <v>0.34077467088000002</v>
      </c>
      <c r="N61" s="100">
        <f t="shared" si="60"/>
        <v>12.777535940400002</v>
      </c>
      <c r="O61" s="100">
        <f t="shared" si="60"/>
        <v>2.3119421325</v>
      </c>
      <c r="P61" s="100">
        <f t="shared" si="60"/>
        <v>0.14039951772000001</v>
      </c>
      <c r="Q61" s="100">
        <f t="shared" si="60"/>
        <v>0.11027573587800001</v>
      </c>
      <c r="R61" s="100">
        <f t="shared" si="60"/>
        <v>0.82322963519999992</v>
      </c>
      <c r="S61" s="100">
        <f t="shared" si="60"/>
        <v>0.40832770356000003</v>
      </c>
      <c r="T61" s="100">
        <f t="shared" si="60"/>
        <v>0.31819768646400004</v>
      </c>
      <c r="U61" s="100">
        <f t="shared" si="60"/>
        <v>6.5778890165100021</v>
      </c>
      <c r="V61" s="100">
        <f t="shared" si="60"/>
        <v>0.31888286992800002</v>
      </c>
      <c r="W61" s="100">
        <f t="shared" si="60"/>
        <v>5.1611838753300008</v>
      </c>
      <c r="X61" s="100">
        <f t="shared" si="60"/>
        <v>0.21238794612000009</v>
      </c>
      <c r="Y61" s="100">
        <f t="shared" si="60"/>
        <v>2.5187416692900002</v>
      </c>
      <c r="Z61" s="100">
        <f t="shared" si="60"/>
        <v>332.27006772960004</v>
      </c>
      <c r="AA61" s="100">
        <f t="shared" si="60"/>
        <v>417.20429950080006</v>
      </c>
      <c r="AB61" s="100">
        <f t="shared" si="60"/>
        <v>96.714606367659002</v>
      </c>
      <c r="AC61" s="100">
        <f t="shared" si="60"/>
        <v>0.95884043976000011</v>
      </c>
      <c r="AD61" s="100">
        <f t="shared" si="60"/>
        <v>8.3060575191090003</v>
      </c>
      <c r="AE61" s="100">
        <f t="shared" si="60"/>
        <v>5.5072472666399994</v>
      </c>
      <c r="AF61" s="100">
        <f t="shared" si="60"/>
        <v>0.38880849231000003</v>
      </c>
      <c r="AG61" s="100">
        <f t="shared" si="60"/>
        <v>1.2277670628299999</v>
      </c>
      <c r="AH61" s="100">
        <f t="shared" si="60"/>
        <v>17.654763005670002</v>
      </c>
      <c r="AI61" s="100">
        <f t="shared" si="60"/>
        <v>4.2293452477290003</v>
      </c>
      <c r="AJ61" s="100">
        <f t="shared" si="60"/>
        <v>3.2901913718099998</v>
      </c>
      <c r="AK61" s="100">
        <f t="shared" si="60"/>
        <v>0.90609913663500008</v>
      </c>
      <c r="AL61" s="100">
        <f t="shared" si="60"/>
        <v>0.37249752960000004</v>
      </c>
      <c r="AM61" s="100">
        <f t="shared" si="60"/>
        <v>21.431052927900005</v>
      </c>
      <c r="AN61" s="100">
        <f t="shared" si="60"/>
        <v>3.8420274711000006</v>
      </c>
      <c r="AO61" s="100">
        <f t="shared" si="60"/>
        <v>0.23376365124000004</v>
      </c>
      <c r="AP61" s="100">
        <f t="shared" si="60"/>
        <v>0.22673515788000004</v>
      </c>
      <c r="AQ61" s="100">
        <f t="shared" si="60"/>
        <v>1.1320511601000001</v>
      </c>
      <c r="AR61" s="100">
        <f t="shared" si="60"/>
        <v>0.70922166840000012</v>
      </c>
      <c r="AS61" s="100">
        <f t="shared" si="60"/>
        <v>0.44164680000000006</v>
      </c>
      <c r="AT61" s="100">
        <f t="shared" si="60"/>
        <v>11.853602948250003</v>
      </c>
      <c r="AU61" s="100">
        <f t="shared" si="60"/>
        <v>0.50347356645599994</v>
      </c>
      <c r="AV61" s="100">
        <f t="shared" si="60"/>
        <v>8.3448421524300009</v>
      </c>
      <c r="AW61" s="100">
        <f t="shared" si="60"/>
        <v>0.33759481392000007</v>
      </c>
      <c r="AX61" s="100">
        <f t="shared" si="60"/>
        <v>4.8169769778900005</v>
      </c>
      <c r="AY61" s="100">
        <f t="shared" si="60"/>
        <v>667.42405751700005</v>
      </c>
      <c r="AZ61" s="100">
        <f t="shared" si="60"/>
        <v>671.11870429632017</v>
      </c>
    </row>
    <row r="62" spans="1:52" x14ac:dyDescent="0.25">
      <c r="A62" s="195" t="s">
        <v>1100</v>
      </c>
      <c r="B62" s="196">
        <v>1.339E-6</v>
      </c>
      <c r="C62" s="100">
        <f t="shared" ref="C62:AZ62" si="61">IFERROR($B62/C27,0)</f>
        <v>0</v>
      </c>
      <c r="D62" s="100">
        <f t="shared" si="61"/>
        <v>0</v>
      </c>
      <c r="E62" s="100">
        <f t="shared" si="61"/>
        <v>0</v>
      </c>
      <c r="F62" s="100">
        <f t="shared" si="61"/>
        <v>0</v>
      </c>
      <c r="G62" s="100">
        <f t="shared" si="61"/>
        <v>0</v>
      </c>
      <c r="H62" s="100">
        <f t="shared" si="61"/>
        <v>0</v>
      </c>
      <c r="I62" s="100">
        <f t="shared" si="61"/>
        <v>0</v>
      </c>
      <c r="J62" s="100">
        <f t="shared" si="61"/>
        <v>0</v>
      </c>
      <c r="K62" s="100">
        <f t="shared" si="61"/>
        <v>0</v>
      </c>
      <c r="L62" s="100">
        <f t="shared" si="61"/>
        <v>0</v>
      </c>
      <c r="M62" s="100">
        <f t="shared" si="61"/>
        <v>0</v>
      </c>
      <c r="N62" s="100">
        <f t="shared" si="61"/>
        <v>0</v>
      </c>
      <c r="O62" s="100">
        <f t="shared" si="61"/>
        <v>0</v>
      </c>
      <c r="P62" s="100">
        <f t="shared" si="61"/>
        <v>0</v>
      </c>
      <c r="Q62" s="100">
        <f t="shared" si="61"/>
        <v>0</v>
      </c>
      <c r="R62" s="100">
        <f t="shared" si="61"/>
        <v>0</v>
      </c>
      <c r="S62" s="100">
        <f t="shared" si="61"/>
        <v>0</v>
      </c>
      <c r="T62" s="100">
        <f t="shared" si="61"/>
        <v>0</v>
      </c>
      <c r="U62" s="100">
        <f t="shared" si="61"/>
        <v>0</v>
      </c>
      <c r="V62" s="100">
        <f t="shared" si="61"/>
        <v>0</v>
      </c>
      <c r="W62" s="100">
        <f t="shared" si="61"/>
        <v>0</v>
      </c>
      <c r="X62" s="100">
        <f t="shared" si="61"/>
        <v>0</v>
      </c>
      <c r="Y62" s="100">
        <f t="shared" si="61"/>
        <v>0</v>
      </c>
      <c r="Z62" s="100">
        <f t="shared" si="61"/>
        <v>0</v>
      </c>
      <c r="AA62" s="100">
        <f t="shared" si="61"/>
        <v>0</v>
      </c>
      <c r="AB62" s="100">
        <f t="shared" si="61"/>
        <v>0</v>
      </c>
      <c r="AC62" s="100">
        <f t="shared" si="61"/>
        <v>0</v>
      </c>
      <c r="AD62" s="100">
        <f t="shared" si="61"/>
        <v>0</v>
      </c>
      <c r="AE62" s="100">
        <f t="shared" si="61"/>
        <v>0</v>
      </c>
      <c r="AF62" s="100">
        <f t="shared" si="61"/>
        <v>0</v>
      </c>
      <c r="AG62" s="100">
        <f t="shared" si="61"/>
        <v>0</v>
      </c>
      <c r="AH62" s="100">
        <f t="shared" si="61"/>
        <v>0</v>
      </c>
      <c r="AI62" s="100">
        <f t="shared" si="61"/>
        <v>0</v>
      </c>
      <c r="AJ62" s="100">
        <f t="shared" si="61"/>
        <v>0</v>
      </c>
      <c r="AK62" s="100">
        <f t="shared" si="61"/>
        <v>0</v>
      </c>
      <c r="AL62" s="100">
        <f t="shared" si="61"/>
        <v>0</v>
      </c>
      <c r="AM62" s="100">
        <f t="shared" si="61"/>
        <v>0</v>
      </c>
      <c r="AN62" s="100">
        <f t="shared" si="61"/>
        <v>0</v>
      </c>
      <c r="AO62" s="100">
        <f t="shared" si="61"/>
        <v>0</v>
      </c>
      <c r="AP62" s="100">
        <f t="shared" si="61"/>
        <v>0</v>
      </c>
      <c r="AQ62" s="100">
        <f t="shared" si="61"/>
        <v>0</v>
      </c>
      <c r="AR62" s="100">
        <f t="shared" si="61"/>
        <v>0</v>
      </c>
      <c r="AS62" s="100">
        <f t="shared" si="61"/>
        <v>0</v>
      </c>
      <c r="AT62" s="100">
        <f t="shared" si="61"/>
        <v>0</v>
      </c>
      <c r="AU62" s="100">
        <f t="shared" si="61"/>
        <v>0</v>
      </c>
      <c r="AV62" s="100">
        <f t="shared" si="61"/>
        <v>0</v>
      </c>
      <c r="AW62" s="100">
        <f t="shared" si="61"/>
        <v>0</v>
      </c>
      <c r="AX62" s="100">
        <f t="shared" si="61"/>
        <v>0</v>
      </c>
      <c r="AY62" s="100">
        <f t="shared" si="61"/>
        <v>0</v>
      </c>
      <c r="AZ62" s="100">
        <f t="shared" si="61"/>
        <v>0</v>
      </c>
    </row>
    <row r="63" spans="1:52" x14ac:dyDescent="0.25">
      <c r="A63" s="95" t="s">
        <v>35</v>
      </c>
      <c r="B63" s="95" t="s">
        <v>1074</v>
      </c>
      <c r="C63" s="96">
        <f t="shared" ref="C63" si="62">IFERROR(1/SUM(1/D63,1/E63,1/F63,1/G63,1/H63,1/I63,1/J63,1/K63,1/L63,1/M63,1/N63,1/O63,1/P63,1/Q63,1/R63,1/S63,1/T63,1/U63,1/V63,1/W63,1/X63,1/Y63),".")</f>
        <v>3.0608649396051532E-3</v>
      </c>
      <c r="D63" s="96">
        <f t="shared" ref="D63:AA63" si="63">IFERROR(1/SUM(D64:D76),0)</f>
        <v>0.10623626215507331</v>
      </c>
      <c r="E63" s="96">
        <f t="shared" si="63"/>
        <v>2.9615253820887474E-2</v>
      </c>
      <c r="F63" s="96">
        <f t="shared" si="63"/>
        <v>0.12522410542411821</v>
      </c>
      <c r="G63" s="96">
        <f t="shared" si="63"/>
        <v>0.23762902822639193</v>
      </c>
      <c r="H63" s="96">
        <f t="shared" si="63"/>
        <v>0.17351795784998775</v>
      </c>
      <c r="I63" s="96">
        <f t="shared" si="63"/>
        <v>1.3252777155880158E-2</v>
      </c>
      <c r="J63" s="96">
        <f t="shared" si="63"/>
        <v>0.13883392252118276</v>
      </c>
      <c r="K63" s="96">
        <f t="shared" si="63"/>
        <v>2.7576958826685431E-2</v>
      </c>
      <c r="L63" s="96">
        <f t="shared" si="63"/>
        <v>0.56434645840292474</v>
      </c>
      <c r="M63" s="96">
        <f t="shared" si="63"/>
        <v>8.1075965938935415E-2</v>
      </c>
      <c r="N63" s="96">
        <f t="shared" si="63"/>
        <v>2.3230123695835561E-2</v>
      </c>
      <c r="O63" s="96">
        <f t="shared" si="63"/>
        <v>0.18703383680206059</v>
      </c>
      <c r="P63" s="96">
        <f t="shared" si="63"/>
        <v>0.2279790919977874</v>
      </c>
      <c r="Q63" s="96">
        <f t="shared" si="63"/>
        <v>0.30696661965785238</v>
      </c>
      <c r="R63" s="96">
        <f t="shared" si="63"/>
        <v>6.8102806016986289E-2</v>
      </c>
      <c r="S63" s="96">
        <f t="shared" si="63"/>
        <v>0.14088012736904176</v>
      </c>
      <c r="T63" s="96">
        <f t="shared" si="63"/>
        <v>0.36096769726392669</v>
      </c>
      <c r="U63" s="96">
        <f t="shared" si="63"/>
        <v>0.10067425973937846</v>
      </c>
      <c r="V63" s="96">
        <f t="shared" si="63"/>
        <v>9.2846075750544571E-2</v>
      </c>
      <c r="W63" s="96">
        <f t="shared" si="63"/>
        <v>9.0603529687069695E-2</v>
      </c>
      <c r="X63" s="96">
        <f t="shared" si="63"/>
        <v>0.21485865985776578</v>
      </c>
      <c r="Y63" s="96">
        <f t="shared" si="63"/>
        <v>6.4282393200077226E-2</v>
      </c>
      <c r="Z63" s="96">
        <f t="shared" si="63"/>
        <v>1.7938410528625208E-3</v>
      </c>
      <c r="AA63" s="96">
        <f t="shared" si="63"/>
        <v>1.5433119094692303E-3</v>
      </c>
      <c r="AB63" s="96">
        <f t="shared" ref="AB63" si="64">IFERROR(1/SUM(1/AC63,1/AD63,1/AE63,1/AF63,1/AG63,1/AH63,1/AI63,1/AJ63,1/AK63,1/AL63,1/AM63,1/AN63,1/AO63,1/AP63,1/AQ63,1/AR63,1/AS63,1/AT63,1/AU63,1/AV63,1/AW63,1/AX63),".")</f>
        <v>1.8987532202191348E-3</v>
      </c>
      <c r="AC63" s="96">
        <f t="shared" ref="AC63:AZ63" si="65">IFERROR(1/SUM(AC64:AC76),0)</f>
        <v>5.9994610678122666E-2</v>
      </c>
      <c r="AD63" s="96">
        <f t="shared" si="65"/>
        <v>1.8044232195939106E-2</v>
      </c>
      <c r="AE63" s="96">
        <f t="shared" si="65"/>
        <v>7.4687234306527656E-2</v>
      </c>
      <c r="AF63" s="96">
        <f t="shared" si="65"/>
        <v>0.15019848153819598</v>
      </c>
      <c r="AG63" s="96">
        <f t="shared" si="65"/>
        <v>9.69143513998144E-2</v>
      </c>
      <c r="AH63" s="96">
        <f t="shared" si="65"/>
        <v>8.5120257728427007E-3</v>
      </c>
      <c r="AI63" s="96">
        <f t="shared" si="65"/>
        <v>9.7003600582757352E-2</v>
      </c>
      <c r="AJ63" s="96">
        <f t="shared" si="65"/>
        <v>1.7350876901342401E-2</v>
      </c>
      <c r="AK63" s="96">
        <f t="shared" si="65"/>
        <v>0.25318244035581927</v>
      </c>
      <c r="AL63" s="96">
        <f t="shared" si="65"/>
        <v>7.4171325750233386E-2</v>
      </c>
      <c r="AM63" s="96">
        <f t="shared" si="65"/>
        <v>1.3850170657600155E-2</v>
      </c>
      <c r="AN63" s="96">
        <f t="shared" si="65"/>
        <v>0.11254771361174325</v>
      </c>
      <c r="AO63" s="96">
        <f t="shared" si="65"/>
        <v>0.13692528499168069</v>
      </c>
      <c r="AP63" s="96">
        <f t="shared" si="65"/>
        <v>0.14929740137904635</v>
      </c>
      <c r="AQ63" s="96">
        <f t="shared" si="65"/>
        <v>4.9524482752623604E-2</v>
      </c>
      <c r="AR63" s="96">
        <f t="shared" si="65"/>
        <v>8.1110407999261752E-2</v>
      </c>
      <c r="AS63" s="96">
        <f t="shared" si="65"/>
        <v>0.26007000652471385</v>
      </c>
      <c r="AT63" s="96">
        <f t="shared" si="65"/>
        <v>5.5866904794773783E-2</v>
      </c>
      <c r="AU63" s="96">
        <f t="shared" si="65"/>
        <v>5.8805516455000588E-2</v>
      </c>
      <c r="AV63" s="96">
        <f t="shared" si="65"/>
        <v>5.6037186555136544E-2</v>
      </c>
      <c r="AW63" s="96">
        <f t="shared" si="65"/>
        <v>0.13517206897645156</v>
      </c>
      <c r="AX63" s="96">
        <f t="shared" si="65"/>
        <v>3.3612521524992028E-2</v>
      </c>
      <c r="AY63" s="96">
        <f t="shared" si="65"/>
        <v>9.9555595933991867E-4</v>
      </c>
      <c r="AZ63" s="96">
        <f t="shared" si="65"/>
        <v>9.5940756825794061E-4</v>
      </c>
    </row>
    <row r="64" spans="1:52" x14ac:dyDescent="0.25">
      <c r="A64" s="195" t="s">
        <v>1090</v>
      </c>
      <c r="B64" s="196">
        <v>1</v>
      </c>
      <c r="C64" s="100">
        <f t="shared" ref="C64:AZ64" si="66">IFERROR($B64/C25,0)</f>
        <v>0</v>
      </c>
      <c r="D64" s="100">
        <f t="shared" si="66"/>
        <v>0</v>
      </c>
      <c r="E64" s="100">
        <f t="shared" si="66"/>
        <v>0</v>
      </c>
      <c r="F64" s="100">
        <f t="shared" si="66"/>
        <v>0</v>
      </c>
      <c r="G64" s="100">
        <f t="shared" si="66"/>
        <v>0</v>
      </c>
      <c r="H64" s="100">
        <f t="shared" si="66"/>
        <v>0</v>
      </c>
      <c r="I64" s="100">
        <f t="shared" si="66"/>
        <v>0</v>
      </c>
      <c r="J64" s="100">
        <f t="shared" si="66"/>
        <v>0</v>
      </c>
      <c r="K64" s="100">
        <f t="shared" si="66"/>
        <v>0</v>
      </c>
      <c r="L64" s="100">
        <f t="shared" si="66"/>
        <v>0</v>
      </c>
      <c r="M64" s="100">
        <f t="shared" si="66"/>
        <v>0</v>
      </c>
      <c r="N64" s="100">
        <f t="shared" si="66"/>
        <v>0</v>
      </c>
      <c r="O64" s="100">
        <f t="shared" si="66"/>
        <v>0</v>
      </c>
      <c r="P64" s="100">
        <f t="shared" si="66"/>
        <v>0</v>
      </c>
      <c r="Q64" s="100">
        <f t="shared" si="66"/>
        <v>0</v>
      </c>
      <c r="R64" s="100">
        <f t="shared" si="66"/>
        <v>0</v>
      </c>
      <c r="S64" s="100">
        <f t="shared" si="66"/>
        <v>0</v>
      </c>
      <c r="T64" s="100">
        <f t="shared" si="66"/>
        <v>0</v>
      </c>
      <c r="U64" s="100">
        <f t="shared" si="66"/>
        <v>0</v>
      </c>
      <c r="V64" s="100">
        <f t="shared" si="66"/>
        <v>0</v>
      </c>
      <c r="W64" s="100">
        <f t="shared" si="66"/>
        <v>0</v>
      </c>
      <c r="X64" s="100">
        <f t="shared" si="66"/>
        <v>0</v>
      </c>
      <c r="Y64" s="100">
        <f t="shared" si="66"/>
        <v>0</v>
      </c>
      <c r="Z64" s="100">
        <f t="shared" si="66"/>
        <v>0</v>
      </c>
      <c r="AA64" s="100">
        <f t="shared" si="66"/>
        <v>0</v>
      </c>
      <c r="AB64" s="100">
        <f t="shared" si="66"/>
        <v>0</v>
      </c>
      <c r="AC64" s="100">
        <f t="shared" si="66"/>
        <v>0</v>
      </c>
      <c r="AD64" s="100">
        <f t="shared" si="66"/>
        <v>0</v>
      </c>
      <c r="AE64" s="100">
        <f t="shared" si="66"/>
        <v>0</v>
      </c>
      <c r="AF64" s="100">
        <f t="shared" si="66"/>
        <v>0</v>
      </c>
      <c r="AG64" s="100">
        <f t="shared" si="66"/>
        <v>0</v>
      </c>
      <c r="AH64" s="100">
        <f t="shared" si="66"/>
        <v>0</v>
      </c>
      <c r="AI64" s="100">
        <f t="shared" si="66"/>
        <v>0</v>
      </c>
      <c r="AJ64" s="100">
        <f t="shared" si="66"/>
        <v>0</v>
      </c>
      <c r="AK64" s="100">
        <f t="shared" si="66"/>
        <v>0</v>
      </c>
      <c r="AL64" s="100">
        <f t="shared" si="66"/>
        <v>0</v>
      </c>
      <c r="AM64" s="100">
        <f t="shared" si="66"/>
        <v>0</v>
      </c>
      <c r="AN64" s="100">
        <f t="shared" si="66"/>
        <v>0</v>
      </c>
      <c r="AO64" s="100">
        <f t="shared" si="66"/>
        <v>0</v>
      </c>
      <c r="AP64" s="100">
        <f t="shared" si="66"/>
        <v>0</v>
      </c>
      <c r="AQ64" s="100">
        <f t="shared" si="66"/>
        <v>0</v>
      </c>
      <c r="AR64" s="100">
        <f t="shared" si="66"/>
        <v>0</v>
      </c>
      <c r="AS64" s="100">
        <f t="shared" si="66"/>
        <v>0</v>
      </c>
      <c r="AT64" s="100">
        <f t="shared" si="66"/>
        <v>0</v>
      </c>
      <c r="AU64" s="100">
        <f t="shared" si="66"/>
        <v>0</v>
      </c>
      <c r="AV64" s="100">
        <f t="shared" si="66"/>
        <v>0</v>
      </c>
      <c r="AW64" s="100">
        <f t="shared" si="66"/>
        <v>0</v>
      </c>
      <c r="AX64" s="100">
        <f t="shared" si="66"/>
        <v>0</v>
      </c>
      <c r="AY64" s="100">
        <f t="shared" si="66"/>
        <v>0</v>
      </c>
      <c r="AZ64" s="100">
        <f t="shared" si="66"/>
        <v>0</v>
      </c>
    </row>
    <row r="65" spans="1:52" x14ac:dyDescent="0.25">
      <c r="A65" s="195" t="s">
        <v>1076</v>
      </c>
      <c r="B65" s="196">
        <v>1</v>
      </c>
      <c r="C65" s="100">
        <f t="shared" ref="C65:AZ65" si="67">IFERROR($B65/C21,0)</f>
        <v>0</v>
      </c>
      <c r="D65" s="100">
        <f t="shared" si="67"/>
        <v>0</v>
      </c>
      <c r="E65" s="100">
        <f t="shared" si="67"/>
        <v>0</v>
      </c>
      <c r="F65" s="100">
        <f t="shared" si="67"/>
        <v>0</v>
      </c>
      <c r="G65" s="100">
        <f t="shared" si="67"/>
        <v>0</v>
      </c>
      <c r="H65" s="100">
        <f t="shared" si="67"/>
        <v>0</v>
      </c>
      <c r="I65" s="100">
        <f t="shared" si="67"/>
        <v>0</v>
      </c>
      <c r="J65" s="100">
        <f t="shared" si="67"/>
        <v>0</v>
      </c>
      <c r="K65" s="100">
        <f t="shared" si="67"/>
        <v>0</v>
      </c>
      <c r="L65" s="100">
        <f t="shared" si="67"/>
        <v>0</v>
      </c>
      <c r="M65" s="100">
        <f t="shared" si="67"/>
        <v>0</v>
      </c>
      <c r="N65" s="100">
        <f t="shared" si="67"/>
        <v>0</v>
      </c>
      <c r="O65" s="100">
        <f t="shared" si="67"/>
        <v>0</v>
      </c>
      <c r="P65" s="100">
        <f t="shared" si="67"/>
        <v>0</v>
      </c>
      <c r="Q65" s="100">
        <f t="shared" si="67"/>
        <v>0</v>
      </c>
      <c r="R65" s="100">
        <f t="shared" si="67"/>
        <v>0</v>
      </c>
      <c r="S65" s="100">
        <f t="shared" si="67"/>
        <v>0</v>
      </c>
      <c r="T65" s="100">
        <f t="shared" si="67"/>
        <v>0</v>
      </c>
      <c r="U65" s="100">
        <f t="shared" si="67"/>
        <v>0</v>
      </c>
      <c r="V65" s="100">
        <f t="shared" si="67"/>
        <v>0</v>
      </c>
      <c r="W65" s="100">
        <f t="shared" si="67"/>
        <v>0</v>
      </c>
      <c r="X65" s="100">
        <f t="shared" si="67"/>
        <v>0</v>
      </c>
      <c r="Y65" s="100">
        <f t="shared" si="67"/>
        <v>0</v>
      </c>
      <c r="Z65" s="100">
        <f t="shared" si="67"/>
        <v>0</v>
      </c>
      <c r="AA65" s="100">
        <f t="shared" si="67"/>
        <v>0</v>
      </c>
      <c r="AB65" s="100">
        <f t="shared" si="67"/>
        <v>0</v>
      </c>
      <c r="AC65" s="100">
        <f t="shared" si="67"/>
        <v>0</v>
      </c>
      <c r="AD65" s="100">
        <f t="shared" si="67"/>
        <v>0</v>
      </c>
      <c r="AE65" s="100">
        <f t="shared" si="67"/>
        <v>0</v>
      </c>
      <c r="AF65" s="100">
        <f t="shared" si="67"/>
        <v>0</v>
      </c>
      <c r="AG65" s="100">
        <f t="shared" si="67"/>
        <v>0</v>
      </c>
      <c r="AH65" s="100">
        <f t="shared" si="67"/>
        <v>0</v>
      </c>
      <c r="AI65" s="100">
        <f t="shared" si="67"/>
        <v>0</v>
      </c>
      <c r="AJ65" s="100">
        <f t="shared" si="67"/>
        <v>0</v>
      </c>
      <c r="AK65" s="100">
        <f t="shared" si="67"/>
        <v>0</v>
      </c>
      <c r="AL65" s="100">
        <f t="shared" si="67"/>
        <v>0</v>
      </c>
      <c r="AM65" s="100">
        <f t="shared" si="67"/>
        <v>0</v>
      </c>
      <c r="AN65" s="100">
        <f t="shared" si="67"/>
        <v>0</v>
      </c>
      <c r="AO65" s="100">
        <f t="shared" si="67"/>
        <v>0</v>
      </c>
      <c r="AP65" s="100">
        <f t="shared" si="67"/>
        <v>0</v>
      </c>
      <c r="AQ65" s="100">
        <f t="shared" si="67"/>
        <v>0</v>
      </c>
      <c r="AR65" s="100">
        <f t="shared" si="67"/>
        <v>0</v>
      </c>
      <c r="AS65" s="100">
        <f t="shared" si="67"/>
        <v>0</v>
      </c>
      <c r="AT65" s="100">
        <f t="shared" si="67"/>
        <v>0</v>
      </c>
      <c r="AU65" s="100">
        <f t="shared" si="67"/>
        <v>0</v>
      </c>
      <c r="AV65" s="100">
        <f t="shared" si="67"/>
        <v>0</v>
      </c>
      <c r="AW65" s="100">
        <f t="shared" si="67"/>
        <v>0</v>
      </c>
      <c r="AX65" s="100">
        <f t="shared" si="67"/>
        <v>0</v>
      </c>
      <c r="AY65" s="100">
        <f t="shared" si="67"/>
        <v>0</v>
      </c>
      <c r="AZ65" s="100">
        <f t="shared" si="67"/>
        <v>0</v>
      </c>
    </row>
    <row r="66" spans="1:52" x14ac:dyDescent="0.25">
      <c r="A66" s="195" t="s">
        <v>1077</v>
      </c>
      <c r="B66" s="198">
        <v>0.99980000000000002</v>
      </c>
      <c r="C66" s="100">
        <f t="shared" ref="C66:AZ66" si="68">IFERROR($B66/C17,0)</f>
        <v>0.10373189225922946</v>
      </c>
      <c r="D66" s="100">
        <f t="shared" si="68"/>
        <v>3.2865795036497929E-3</v>
      </c>
      <c r="E66" s="100">
        <f t="shared" si="68"/>
        <v>1.1653600491054524E-2</v>
      </c>
      <c r="F66" s="100">
        <f t="shared" si="68"/>
        <v>1.8008952763085174E-3</v>
      </c>
      <c r="G66" s="100">
        <f t="shared" si="68"/>
        <v>1.4680401982250005E-3</v>
      </c>
      <c r="H66" s="100">
        <f t="shared" si="68"/>
        <v>1.9513390750858066E-3</v>
      </c>
      <c r="I66" s="100">
        <f t="shared" si="68"/>
        <v>2.6029389979175293E-2</v>
      </c>
      <c r="J66" s="100">
        <f t="shared" si="68"/>
        <v>1.6270168925288002E-3</v>
      </c>
      <c r="K66" s="100">
        <f t="shared" si="68"/>
        <v>1.2666615536965633E-2</v>
      </c>
      <c r="L66" s="100">
        <f t="shared" si="68"/>
        <v>3.05416280994706E-4</v>
      </c>
      <c r="M66" s="100">
        <f t="shared" si="68"/>
        <v>4.5927312943151374E-3</v>
      </c>
      <c r="N66" s="100">
        <f t="shared" si="68"/>
        <v>1.2293613959365204E-2</v>
      </c>
      <c r="O66" s="100">
        <f t="shared" si="68"/>
        <v>1.1072125909344502E-3</v>
      </c>
      <c r="P66" s="100">
        <f t="shared" si="68"/>
        <v>1.6262078816423444E-3</v>
      </c>
      <c r="Q66" s="100">
        <f t="shared" si="68"/>
        <v>1.2055391139479997E-3</v>
      </c>
      <c r="R66" s="100">
        <f t="shared" si="68"/>
        <v>5.1343577902265613E-3</v>
      </c>
      <c r="S66" s="100">
        <f t="shared" si="68"/>
        <v>2.4783759658919525E-3</v>
      </c>
      <c r="T66" s="100">
        <f t="shared" si="68"/>
        <v>8.3677397991236281E-4</v>
      </c>
      <c r="U66" s="100">
        <f t="shared" si="68"/>
        <v>8.3129812040734225E-4</v>
      </c>
      <c r="V66" s="100">
        <f t="shared" si="68"/>
        <v>4.0026342963553297E-3</v>
      </c>
      <c r="W66" s="100">
        <f t="shared" si="68"/>
        <v>2.1694171880683403E-3</v>
      </c>
      <c r="X66" s="100">
        <f t="shared" si="68"/>
        <v>1.6443698351250244E-3</v>
      </c>
      <c r="Y66" s="100">
        <f t="shared" si="68"/>
        <v>5.0204670090493392E-3</v>
      </c>
      <c r="Z66" s="100">
        <f t="shared" si="68"/>
        <v>9.1614402334224021E-2</v>
      </c>
      <c r="AA66" s="100">
        <f t="shared" si="68"/>
        <v>9.3583586868534019E-2</v>
      </c>
      <c r="AB66" s="100">
        <f t="shared" si="68"/>
        <v>0.16618274782961542</v>
      </c>
      <c r="AC66" s="100">
        <f t="shared" si="68"/>
        <v>5.8197547712489925E-3</v>
      </c>
      <c r="AD66" s="100">
        <f t="shared" si="68"/>
        <v>1.9126573673080394E-2</v>
      </c>
      <c r="AE66" s="100">
        <f t="shared" si="68"/>
        <v>3.0194651339304482E-3</v>
      </c>
      <c r="AF66" s="100">
        <f t="shared" si="68"/>
        <v>2.3225865010677422E-3</v>
      </c>
      <c r="AG66" s="100">
        <f t="shared" si="68"/>
        <v>3.4937278792170857E-3</v>
      </c>
      <c r="AH66" s="100">
        <f t="shared" si="68"/>
        <v>4.0526393376074776E-2</v>
      </c>
      <c r="AI66" s="100">
        <f t="shared" si="68"/>
        <v>2.3286263173838378E-3</v>
      </c>
      <c r="AJ66" s="100">
        <f t="shared" si="68"/>
        <v>2.0131935528245843E-2</v>
      </c>
      <c r="AK66" s="100">
        <f t="shared" si="68"/>
        <v>6.8077626661517895E-4</v>
      </c>
      <c r="AL66" s="100">
        <f t="shared" si="68"/>
        <v>5.0202705994291212E-3</v>
      </c>
      <c r="AM66" s="100">
        <f t="shared" si="68"/>
        <v>2.0619397407077703E-2</v>
      </c>
      <c r="AN66" s="100">
        <f t="shared" si="68"/>
        <v>1.839986014752886E-3</v>
      </c>
      <c r="AO66" s="100">
        <f t="shared" si="68"/>
        <v>2.707618218789848E-3</v>
      </c>
      <c r="AP66" s="100">
        <f t="shared" si="68"/>
        <v>2.4786785520426163E-3</v>
      </c>
      <c r="AQ66" s="100">
        <f t="shared" si="68"/>
        <v>7.0604305825097821E-3</v>
      </c>
      <c r="AR66" s="100">
        <f t="shared" si="68"/>
        <v>4.3046747064372816E-3</v>
      </c>
      <c r="AS66" s="100">
        <f t="shared" si="68"/>
        <v>1.1614118086725001E-3</v>
      </c>
      <c r="AT66" s="100">
        <f t="shared" si="68"/>
        <v>1.4980304207326506E-3</v>
      </c>
      <c r="AU66" s="100">
        <f t="shared" si="68"/>
        <v>6.3196262780127804E-3</v>
      </c>
      <c r="AV66" s="100">
        <f t="shared" si="68"/>
        <v>3.5076146160441411E-3</v>
      </c>
      <c r="AW66" s="100">
        <f t="shared" si="68"/>
        <v>2.6137581658755844E-3</v>
      </c>
      <c r="AX66" s="100">
        <f t="shared" si="68"/>
        <v>9.6014110123742603E-3</v>
      </c>
      <c r="AY66" s="100">
        <f t="shared" si="68"/>
        <v>0.13660190067218653</v>
      </c>
      <c r="AZ66" s="100">
        <f t="shared" si="68"/>
        <v>0.15053942549911864</v>
      </c>
    </row>
    <row r="67" spans="1:52" x14ac:dyDescent="0.25">
      <c r="A67" s="195" t="s">
        <v>1091</v>
      </c>
      <c r="B67" s="196">
        <v>2.0000000000000001E-4</v>
      </c>
      <c r="C67" s="100">
        <f t="shared" ref="C67:AZ67" si="69">IFERROR($B67/C5,0)</f>
        <v>0</v>
      </c>
      <c r="D67" s="100">
        <f t="shared" si="69"/>
        <v>0</v>
      </c>
      <c r="E67" s="100">
        <f t="shared" si="69"/>
        <v>0</v>
      </c>
      <c r="F67" s="100">
        <f t="shared" si="69"/>
        <v>0</v>
      </c>
      <c r="G67" s="100">
        <f t="shared" si="69"/>
        <v>0</v>
      </c>
      <c r="H67" s="100">
        <f t="shared" si="69"/>
        <v>0</v>
      </c>
      <c r="I67" s="100">
        <f t="shared" si="69"/>
        <v>0</v>
      </c>
      <c r="J67" s="100">
        <f t="shared" si="69"/>
        <v>0</v>
      </c>
      <c r="K67" s="100">
        <f t="shared" si="69"/>
        <v>0</v>
      </c>
      <c r="L67" s="100">
        <f t="shared" si="69"/>
        <v>0</v>
      </c>
      <c r="M67" s="100">
        <f t="shared" si="69"/>
        <v>0</v>
      </c>
      <c r="N67" s="100">
        <f t="shared" si="69"/>
        <v>0</v>
      </c>
      <c r="O67" s="100">
        <f t="shared" si="69"/>
        <v>0</v>
      </c>
      <c r="P67" s="100">
        <f t="shared" si="69"/>
        <v>0</v>
      </c>
      <c r="Q67" s="100">
        <f t="shared" si="69"/>
        <v>0</v>
      </c>
      <c r="R67" s="100">
        <f t="shared" si="69"/>
        <v>0</v>
      </c>
      <c r="S67" s="100">
        <f t="shared" si="69"/>
        <v>0</v>
      </c>
      <c r="T67" s="100">
        <f t="shared" si="69"/>
        <v>0</v>
      </c>
      <c r="U67" s="100">
        <f t="shared" si="69"/>
        <v>0</v>
      </c>
      <c r="V67" s="100">
        <f t="shared" si="69"/>
        <v>0</v>
      </c>
      <c r="W67" s="100">
        <f t="shared" si="69"/>
        <v>0</v>
      </c>
      <c r="X67" s="100">
        <f t="shared" si="69"/>
        <v>0</v>
      </c>
      <c r="Y67" s="100">
        <f t="shared" si="69"/>
        <v>0</v>
      </c>
      <c r="Z67" s="100">
        <f t="shared" si="69"/>
        <v>0</v>
      </c>
      <c r="AA67" s="100">
        <f t="shared" si="69"/>
        <v>0</v>
      </c>
      <c r="AB67" s="100">
        <f t="shared" si="69"/>
        <v>0</v>
      </c>
      <c r="AC67" s="100">
        <f t="shared" si="69"/>
        <v>0</v>
      </c>
      <c r="AD67" s="100">
        <f t="shared" si="69"/>
        <v>0</v>
      </c>
      <c r="AE67" s="100">
        <f t="shared" si="69"/>
        <v>0</v>
      </c>
      <c r="AF67" s="100">
        <f t="shared" si="69"/>
        <v>0</v>
      </c>
      <c r="AG67" s="100">
        <f t="shared" si="69"/>
        <v>0</v>
      </c>
      <c r="AH67" s="100">
        <f t="shared" si="69"/>
        <v>0</v>
      </c>
      <c r="AI67" s="100">
        <f t="shared" si="69"/>
        <v>0</v>
      </c>
      <c r="AJ67" s="100">
        <f t="shared" si="69"/>
        <v>0</v>
      </c>
      <c r="AK67" s="100">
        <f t="shared" si="69"/>
        <v>0</v>
      </c>
      <c r="AL67" s="100">
        <f t="shared" si="69"/>
        <v>0</v>
      </c>
      <c r="AM67" s="100">
        <f t="shared" si="69"/>
        <v>0</v>
      </c>
      <c r="AN67" s="100">
        <f t="shared" si="69"/>
        <v>0</v>
      </c>
      <c r="AO67" s="100">
        <f t="shared" si="69"/>
        <v>0</v>
      </c>
      <c r="AP67" s="100">
        <f t="shared" si="69"/>
        <v>0</v>
      </c>
      <c r="AQ67" s="100">
        <f t="shared" si="69"/>
        <v>0</v>
      </c>
      <c r="AR67" s="100">
        <f t="shared" si="69"/>
        <v>0</v>
      </c>
      <c r="AS67" s="100">
        <f t="shared" si="69"/>
        <v>0</v>
      </c>
      <c r="AT67" s="100">
        <f t="shared" si="69"/>
        <v>0</v>
      </c>
      <c r="AU67" s="100">
        <f t="shared" si="69"/>
        <v>0</v>
      </c>
      <c r="AV67" s="100">
        <f t="shared" si="69"/>
        <v>0</v>
      </c>
      <c r="AW67" s="100">
        <f t="shared" si="69"/>
        <v>0</v>
      </c>
      <c r="AX67" s="100">
        <f t="shared" si="69"/>
        <v>0</v>
      </c>
      <c r="AY67" s="100">
        <f t="shared" si="69"/>
        <v>0</v>
      </c>
      <c r="AZ67" s="100">
        <f t="shared" si="69"/>
        <v>0</v>
      </c>
    </row>
    <row r="68" spans="1:52" x14ac:dyDescent="0.25">
      <c r="A68" s="195" t="s">
        <v>1092</v>
      </c>
      <c r="B68" s="196">
        <v>0.99999979999999999</v>
      </c>
      <c r="C68" s="100">
        <f t="shared" ref="C68:AZ68" si="70">IFERROR($B68/C9,0)</f>
        <v>0.32208820682063671</v>
      </c>
      <c r="D68" s="100">
        <f t="shared" si="70"/>
        <v>1.7736968353533621E-2</v>
      </c>
      <c r="E68" s="100">
        <f t="shared" si="70"/>
        <v>7.9729507657825289E-3</v>
      </c>
      <c r="F68" s="100">
        <f t="shared" si="70"/>
        <v>6.5215902994914809E-3</v>
      </c>
      <c r="G68" s="100">
        <f t="shared" si="70"/>
        <v>7.9184980516386755E-3</v>
      </c>
      <c r="H68" s="100">
        <f t="shared" si="70"/>
        <v>6.7396977608391792E-3</v>
      </c>
      <c r="I68" s="100">
        <f t="shared" si="70"/>
        <v>1.7807164723454845E-2</v>
      </c>
      <c r="J68" s="100">
        <f t="shared" si="70"/>
        <v>5.9055059196792808E-3</v>
      </c>
      <c r="K68" s="100">
        <f t="shared" si="70"/>
        <v>6.8377164104971758E-2</v>
      </c>
      <c r="L68" s="100">
        <f t="shared" si="70"/>
        <v>1.2448981220492261E-2</v>
      </c>
      <c r="M68" s="100">
        <f t="shared" si="70"/>
        <v>1.6723667508889831E-2</v>
      </c>
      <c r="N68" s="100">
        <f t="shared" si="70"/>
        <v>8.1695561638884424E-3</v>
      </c>
      <c r="O68" s="100">
        <f t="shared" si="70"/>
        <v>6.8931500615447136E-3</v>
      </c>
      <c r="P68" s="100">
        <f t="shared" si="70"/>
        <v>5.9082199870517669E-3</v>
      </c>
      <c r="Q68" s="100">
        <f t="shared" si="70"/>
        <v>4.3756880500236163E-3</v>
      </c>
      <c r="R68" s="100">
        <f t="shared" si="70"/>
        <v>2.7733563860326119E-2</v>
      </c>
      <c r="S68" s="100">
        <f t="shared" si="70"/>
        <v>1.3375266299314207E-2</v>
      </c>
      <c r="T68" s="100">
        <f t="shared" si="70"/>
        <v>8.377089141422038E-3</v>
      </c>
      <c r="U68" s="100">
        <f t="shared" si="70"/>
        <v>2.6668979099756119E-2</v>
      </c>
      <c r="V68" s="100">
        <f t="shared" si="70"/>
        <v>1.4560124146480989E-2</v>
      </c>
      <c r="W68" s="100">
        <f t="shared" si="70"/>
        <v>1.2106811812137156E-2</v>
      </c>
      <c r="X68" s="100">
        <f t="shared" si="70"/>
        <v>8.9375998482956742E-3</v>
      </c>
      <c r="Y68" s="100">
        <f t="shared" si="70"/>
        <v>1.6829969641622401E-2</v>
      </c>
      <c r="Z68" s="100">
        <f t="shared" si="70"/>
        <v>5.3192756681446532E-2</v>
      </c>
      <c r="AA68" s="100">
        <f t="shared" si="70"/>
        <v>6.870081110983503E-2</v>
      </c>
      <c r="AB68" s="100">
        <f t="shared" si="70"/>
        <v>0.524907884306547</v>
      </c>
      <c r="AC68" s="100">
        <f t="shared" si="70"/>
        <v>3.1407974792131789E-2</v>
      </c>
      <c r="AD68" s="100">
        <f t="shared" si="70"/>
        <v>1.3085675137966149E-2</v>
      </c>
      <c r="AE68" s="100">
        <f t="shared" si="70"/>
        <v>1.0934402897350986E-2</v>
      </c>
      <c r="AF68" s="100">
        <f t="shared" si="70"/>
        <v>1.2527856325531236E-2</v>
      </c>
      <c r="AG68" s="100">
        <f t="shared" si="70"/>
        <v>1.206692894391273E-2</v>
      </c>
      <c r="AH68" s="100">
        <f t="shared" si="70"/>
        <v>2.7724820407725816E-2</v>
      </c>
      <c r="AI68" s="100">
        <f t="shared" si="70"/>
        <v>8.4521043175264984E-3</v>
      </c>
      <c r="AJ68" s="100">
        <f t="shared" si="70"/>
        <v>0.10867659599742949</v>
      </c>
      <c r="AK68" s="100">
        <f t="shared" si="70"/>
        <v>2.7748916759929042E-2</v>
      </c>
      <c r="AL68" s="100">
        <f t="shared" si="70"/>
        <v>1.8280480813983108E-2</v>
      </c>
      <c r="AM68" s="100">
        <f t="shared" si="70"/>
        <v>1.3702343813580689E-2</v>
      </c>
      <c r="AN68" s="100">
        <f t="shared" si="70"/>
        <v>1.1455162102276123E-2</v>
      </c>
      <c r="AO68" s="100">
        <f t="shared" si="70"/>
        <v>9.8371212304073606E-3</v>
      </c>
      <c r="AP68" s="100">
        <f t="shared" si="70"/>
        <v>8.9967417850952847E-3</v>
      </c>
      <c r="AQ68" s="100">
        <f t="shared" si="70"/>
        <v>3.8137369938294495E-2</v>
      </c>
      <c r="AR68" s="100">
        <f t="shared" si="70"/>
        <v>2.3231410941236888E-2</v>
      </c>
      <c r="AS68" s="100">
        <f t="shared" si="70"/>
        <v>1.1627094633330611E-2</v>
      </c>
      <c r="AT68" s="100">
        <f t="shared" si="70"/>
        <v>4.8058501517772793E-2</v>
      </c>
      <c r="AU68" s="100">
        <f t="shared" si="70"/>
        <v>2.298849616389265E-2</v>
      </c>
      <c r="AV68" s="100">
        <f t="shared" si="70"/>
        <v>1.9574856463527929E-2</v>
      </c>
      <c r="AW68" s="100">
        <f t="shared" si="70"/>
        <v>1.4206490588557318E-2</v>
      </c>
      <c r="AX68" s="100">
        <f t="shared" si="70"/>
        <v>3.218653873508797E-2</v>
      </c>
      <c r="AY68" s="100">
        <f t="shared" si="70"/>
        <v>0.10457212393057104</v>
      </c>
      <c r="AZ68" s="100">
        <f t="shared" si="70"/>
        <v>0.11051276171244323</v>
      </c>
    </row>
    <row r="69" spans="1:52" x14ac:dyDescent="0.25">
      <c r="A69" s="195" t="s">
        <v>1093</v>
      </c>
      <c r="B69" s="196">
        <v>1.9999999999999999E-7</v>
      </c>
      <c r="C69" s="100">
        <f t="shared" ref="C69:AZ69" si="71">IFERROR($B69/C24,0)</f>
        <v>0</v>
      </c>
      <c r="D69" s="100">
        <f t="shared" si="71"/>
        <v>0</v>
      </c>
      <c r="E69" s="100">
        <f t="shared" si="71"/>
        <v>0</v>
      </c>
      <c r="F69" s="100">
        <f t="shared" si="71"/>
        <v>0</v>
      </c>
      <c r="G69" s="100">
        <f t="shared" si="71"/>
        <v>0</v>
      </c>
      <c r="H69" s="100">
        <f t="shared" si="71"/>
        <v>0</v>
      </c>
      <c r="I69" s="100">
        <f t="shared" si="71"/>
        <v>0</v>
      </c>
      <c r="J69" s="100">
        <f t="shared" si="71"/>
        <v>0</v>
      </c>
      <c r="K69" s="100">
        <f t="shared" si="71"/>
        <v>0</v>
      </c>
      <c r="L69" s="100">
        <f t="shared" si="71"/>
        <v>0</v>
      </c>
      <c r="M69" s="100">
        <f t="shared" si="71"/>
        <v>0</v>
      </c>
      <c r="N69" s="100">
        <f t="shared" si="71"/>
        <v>0</v>
      </c>
      <c r="O69" s="100">
        <f t="shared" si="71"/>
        <v>0</v>
      </c>
      <c r="P69" s="100">
        <f t="shared" si="71"/>
        <v>0</v>
      </c>
      <c r="Q69" s="100">
        <f t="shared" si="71"/>
        <v>0</v>
      </c>
      <c r="R69" s="100">
        <f t="shared" si="71"/>
        <v>0</v>
      </c>
      <c r="S69" s="100">
        <f t="shared" si="71"/>
        <v>0</v>
      </c>
      <c r="T69" s="100">
        <f t="shared" si="71"/>
        <v>0</v>
      </c>
      <c r="U69" s="100">
        <f t="shared" si="71"/>
        <v>0</v>
      </c>
      <c r="V69" s="100">
        <f t="shared" si="71"/>
        <v>0</v>
      </c>
      <c r="W69" s="100">
        <f t="shared" si="71"/>
        <v>0</v>
      </c>
      <c r="X69" s="100">
        <f t="shared" si="71"/>
        <v>0</v>
      </c>
      <c r="Y69" s="100">
        <f t="shared" si="71"/>
        <v>0</v>
      </c>
      <c r="Z69" s="100">
        <f t="shared" si="71"/>
        <v>0</v>
      </c>
      <c r="AA69" s="100">
        <f t="shared" si="71"/>
        <v>0</v>
      </c>
      <c r="AB69" s="100">
        <f t="shared" si="71"/>
        <v>0</v>
      </c>
      <c r="AC69" s="100">
        <f t="shared" si="71"/>
        <v>0</v>
      </c>
      <c r="AD69" s="100">
        <f t="shared" si="71"/>
        <v>0</v>
      </c>
      <c r="AE69" s="100">
        <f t="shared" si="71"/>
        <v>0</v>
      </c>
      <c r="AF69" s="100">
        <f t="shared" si="71"/>
        <v>0</v>
      </c>
      <c r="AG69" s="100">
        <f t="shared" si="71"/>
        <v>0</v>
      </c>
      <c r="AH69" s="100">
        <f t="shared" si="71"/>
        <v>0</v>
      </c>
      <c r="AI69" s="100">
        <f t="shared" si="71"/>
        <v>0</v>
      </c>
      <c r="AJ69" s="100">
        <f t="shared" si="71"/>
        <v>0</v>
      </c>
      <c r="AK69" s="100">
        <f t="shared" si="71"/>
        <v>0</v>
      </c>
      <c r="AL69" s="100">
        <f t="shared" si="71"/>
        <v>0</v>
      </c>
      <c r="AM69" s="100">
        <f t="shared" si="71"/>
        <v>0</v>
      </c>
      <c r="AN69" s="100">
        <f t="shared" si="71"/>
        <v>0</v>
      </c>
      <c r="AO69" s="100">
        <f t="shared" si="71"/>
        <v>0</v>
      </c>
      <c r="AP69" s="100">
        <f t="shared" si="71"/>
        <v>0</v>
      </c>
      <c r="AQ69" s="100">
        <f t="shared" si="71"/>
        <v>0</v>
      </c>
      <c r="AR69" s="100">
        <f t="shared" si="71"/>
        <v>0</v>
      </c>
      <c r="AS69" s="100">
        <f t="shared" si="71"/>
        <v>0</v>
      </c>
      <c r="AT69" s="100">
        <f t="shared" si="71"/>
        <v>0</v>
      </c>
      <c r="AU69" s="100">
        <f t="shared" si="71"/>
        <v>0</v>
      </c>
      <c r="AV69" s="100">
        <f t="shared" si="71"/>
        <v>0</v>
      </c>
      <c r="AW69" s="100">
        <f t="shared" si="71"/>
        <v>0</v>
      </c>
      <c r="AX69" s="100">
        <f t="shared" si="71"/>
        <v>0</v>
      </c>
      <c r="AY69" s="100">
        <f t="shared" si="71"/>
        <v>0</v>
      </c>
      <c r="AZ69" s="100">
        <f t="shared" si="71"/>
        <v>0</v>
      </c>
    </row>
    <row r="70" spans="1:52" x14ac:dyDescent="0.25">
      <c r="A70" s="195" t="s">
        <v>1094</v>
      </c>
      <c r="B70" s="196">
        <v>0.99979000004200003</v>
      </c>
      <c r="C70" s="100">
        <f t="shared" ref="C70:AZ70" si="72">IFERROR($B70/C20,0)</f>
        <v>0</v>
      </c>
      <c r="D70" s="100">
        <f t="shared" si="72"/>
        <v>0</v>
      </c>
      <c r="E70" s="100">
        <f t="shared" si="72"/>
        <v>0</v>
      </c>
      <c r="F70" s="100">
        <f t="shared" si="72"/>
        <v>0</v>
      </c>
      <c r="G70" s="100">
        <f t="shared" si="72"/>
        <v>0</v>
      </c>
      <c r="H70" s="100">
        <f t="shared" si="72"/>
        <v>0</v>
      </c>
      <c r="I70" s="100">
        <f t="shared" si="72"/>
        <v>0</v>
      </c>
      <c r="J70" s="100">
        <f t="shared" si="72"/>
        <v>0</v>
      </c>
      <c r="K70" s="100">
        <f t="shared" si="72"/>
        <v>0</v>
      </c>
      <c r="L70" s="100">
        <f t="shared" si="72"/>
        <v>0</v>
      </c>
      <c r="M70" s="100">
        <f t="shared" si="72"/>
        <v>0</v>
      </c>
      <c r="N70" s="100">
        <f t="shared" si="72"/>
        <v>0</v>
      </c>
      <c r="O70" s="100">
        <f t="shared" si="72"/>
        <v>0</v>
      </c>
      <c r="P70" s="100">
        <f t="shared" si="72"/>
        <v>0</v>
      </c>
      <c r="Q70" s="100">
        <f t="shared" si="72"/>
        <v>0</v>
      </c>
      <c r="R70" s="100">
        <f t="shared" si="72"/>
        <v>0</v>
      </c>
      <c r="S70" s="100">
        <f t="shared" si="72"/>
        <v>0</v>
      </c>
      <c r="T70" s="100">
        <f t="shared" si="72"/>
        <v>0</v>
      </c>
      <c r="U70" s="100">
        <f t="shared" si="72"/>
        <v>0</v>
      </c>
      <c r="V70" s="100">
        <f t="shared" si="72"/>
        <v>0</v>
      </c>
      <c r="W70" s="100">
        <f t="shared" si="72"/>
        <v>0</v>
      </c>
      <c r="X70" s="100">
        <f t="shared" si="72"/>
        <v>0</v>
      </c>
      <c r="Y70" s="100">
        <f t="shared" si="72"/>
        <v>0</v>
      </c>
      <c r="Z70" s="100">
        <f t="shared" si="72"/>
        <v>0</v>
      </c>
      <c r="AA70" s="100">
        <f t="shared" si="72"/>
        <v>0</v>
      </c>
      <c r="AB70" s="100">
        <f t="shared" si="72"/>
        <v>0</v>
      </c>
      <c r="AC70" s="100">
        <f t="shared" si="72"/>
        <v>0</v>
      </c>
      <c r="AD70" s="100">
        <f t="shared" si="72"/>
        <v>0</v>
      </c>
      <c r="AE70" s="100">
        <f t="shared" si="72"/>
        <v>0</v>
      </c>
      <c r="AF70" s="100">
        <f t="shared" si="72"/>
        <v>0</v>
      </c>
      <c r="AG70" s="100">
        <f t="shared" si="72"/>
        <v>0</v>
      </c>
      <c r="AH70" s="100">
        <f t="shared" si="72"/>
        <v>0</v>
      </c>
      <c r="AI70" s="100">
        <f t="shared" si="72"/>
        <v>0</v>
      </c>
      <c r="AJ70" s="100">
        <f t="shared" si="72"/>
        <v>0</v>
      </c>
      <c r="AK70" s="100">
        <f t="shared" si="72"/>
        <v>0</v>
      </c>
      <c r="AL70" s="100">
        <f t="shared" si="72"/>
        <v>0</v>
      </c>
      <c r="AM70" s="100">
        <f t="shared" si="72"/>
        <v>0</v>
      </c>
      <c r="AN70" s="100">
        <f t="shared" si="72"/>
        <v>0</v>
      </c>
      <c r="AO70" s="100">
        <f t="shared" si="72"/>
        <v>0</v>
      </c>
      <c r="AP70" s="100">
        <f t="shared" si="72"/>
        <v>0</v>
      </c>
      <c r="AQ70" s="100">
        <f t="shared" si="72"/>
        <v>0</v>
      </c>
      <c r="AR70" s="100">
        <f t="shared" si="72"/>
        <v>0</v>
      </c>
      <c r="AS70" s="100">
        <f t="shared" si="72"/>
        <v>0</v>
      </c>
      <c r="AT70" s="100">
        <f t="shared" si="72"/>
        <v>0</v>
      </c>
      <c r="AU70" s="100">
        <f t="shared" si="72"/>
        <v>0</v>
      </c>
      <c r="AV70" s="100">
        <f t="shared" si="72"/>
        <v>0</v>
      </c>
      <c r="AW70" s="100">
        <f t="shared" si="72"/>
        <v>0</v>
      </c>
      <c r="AX70" s="100">
        <f t="shared" si="72"/>
        <v>0</v>
      </c>
      <c r="AY70" s="100">
        <f t="shared" si="72"/>
        <v>0</v>
      </c>
      <c r="AZ70" s="100">
        <f t="shared" si="72"/>
        <v>0</v>
      </c>
    </row>
    <row r="71" spans="1:52" x14ac:dyDescent="0.25">
      <c r="A71" s="195" t="s">
        <v>1095</v>
      </c>
      <c r="B71" s="196">
        <v>2.0999995799999999E-4</v>
      </c>
      <c r="C71" s="100">
        <f t="shared" ref="C71:AZ71" si="73">IFERROR($B71/C29,0)</f>
        <v>0</v>
      </c>
      <c r="D71" s="100">
        <f t="shared" si="73"/>
        <v>0</v>
      </c>
      <c r="E71" s="100">
        <f t="shared" si="73"/>
        <v>0</v>
      </c>
      <c r="F71" s="100">
        <f t="shared" si="73"/>
        <v>0</v>
      </c>
      <c r="G71" s="100">
        <f t="shared" si="73"/>
        <v>0</v>
      </c>
      <c r="H71" s="100">
        <f t="shared" si="73"/>
        <v>0</v>
      </c>
      <c r="I71" s="100">
        <f t="shared" si="73"/>
        <v>0</v>
      </c>
      <c r="J71" s="100">
        <f t="shared" si="73"/>
        <v>0</v>
      </c>
      <c r="K71" s="100">
        <f t="shared" si="73"/>
        <v>0</v>
      </c>
      <c r="L71" s="100">
        <f t="shared" si="73"/>
        <v>0</v>
      </c>
      <c r="M71" s="100">
        <f t="shared" si="73"/>
        <v>0</v>
      </c>
      <c r="N71" s="100">
        <f t="shared" si="73"/>
        <v>0</v>
      </c>
      <c r="O71" s="100">
        <f t="shared" si="73"/>
        <v>0</v>
      </c>
      <c r="P71" s="100">
        <f t="shared" si="73"/>
        <v>0</v>
      </c>
      <c r="Q71" s="100">
        <f t="shared" si="73"/>
        <v>0</v>
      </c>
      <c r="R71" s="100">
        <f t="shared" si="73"/>
        <v>0</v>
      </c>
      <c r="S71" s="100">
        <f t="shared" si="73"/>
        <v>0</v>
      </c>
      <c r="T71" s="100">
        <f t="shared" si="73"/>
        <v>0</v>
      </c>
      <c r="U71" s="100">
        <f t="shared" si="73"/>
        <v>0</v>
      </c>
      <c r="V71" s="100">
        <f t="shared" si="73"/>
        <v>0</v>
      </c>
      <c r="W71" s="100">
        <f t="shared" si="73"/>
        <v>0</v>
      </c>
      <c r="X71" s="100">
        <f t="shared" si="73"/>
        <v>0</v>
      </c>
      <c r="Y71" s="100">
        <f t="shared" si="73"/>
        <v>0</v>
      </c>
      <c r="Z71" s="100">
        <f t="shared" si="73"/>
        <v>0</v>
      </c>
      <c r="AA71" s="100">
        <f t="shared" si="73"/>
        <v>0</v>
      </c>
      <c r="AB71" s="100">
        <f t="shared" si="73"/>
        <v>0</v>
      </c>
      <c r="AC71" s="100">
        <f t="shared" si="73"/>
        <v>0</v>
      </c>
      <c r="AD71" s="100">
        <f t="shared" si="73"/>
        <v>0</v>
      </c>
      <c r="AE71" s="100">
        <f t="shared" si="73"/>
        <v>0</v>
      </c>
      <c r="AF71" s="100">
        <f t="shared" si="73"/>
        <v>0</v>
      </c>
      <c r="AG71" s="100">
        <f t="shared" si="73"/>
        <v>0</v>
      </c>
      <c r="AH71" s="100">
        <f t="shared" si="73"/>
        <v>0</v>
      </c>
      <c r="AI71" s="100">
        <f t="shared" si="73"/>
        <v>0</v>
      </c>
      <c r="AJ71" s="100">
        <f t="shared" si="73"/>
        <v>0</v>
      </c>
      <c r="AK71" s="100">
        <f t="shared" si="73"/>
        <v>0</v>
      </c>
      <c r="AL71" s="100">
        <f t="shared" si="73"/>
        <v>0</v>
      </c>
      <c r="AM71" s="100">
        <f t="shared" si="73"/>
        <v>0</v>
      </c>
      <c r="AN71" s="100">
        <f t="shared" si="73"/>
        <v>0</v>
      </c>
      <c r="AO71" s="100">
        <f t="shared" si="73"/>
        <v>0</v>
      </c>
      <c r="AP71" s="100">
        <f t="shared" si="73"/>
        <v>0</v>
      </c>
      <c r="AQ71" s="100">
        <f t="shared" si="73"/>
        <v>0</v>
      </c>
      <c r="AR71" s="100">
        <f t="shared" si="73"/>
        <v>0</v>
      </c>
      <c r="AS71" s="100">
        <f t="shared" si="73"/>
        <v>0</v>
      </c>
      <c r="AT71" s="100">
        <f t="shared" si="73"/>
        <v>0</v>
      </c>
      <c r="AU71" s="100">
        <f t="shared" si="73"/>
        <v>0</v>
      </c>
      <c r="AV71" s="100">
        <f t="shared" si="73"/>
        <v>0</v>
      </c>
      <c r="AW71" s="100">
        <f t="shared" si="73"/>
        <v>0</v>
      </c>
      <c r="AX71" s="100">
        <f t="shared" si="73"/>
        <v>0</v>
      </c>
      <c r="AY71" s="100">
        <f t="shared" si="73"/>
        <v>0</v>
      </c>
      <c r="AZ71" s="100">
        <f t="shared" si="73"/>
        <v>0</v>
      </c>
    </row>
    <row r="72" spans="1:52" x14ac:dyDescent="0.25">
      <c r="A72" s="195" t="s">
        <v>1096</v>
      </c>
      <c r="B72" s="196">
        <v>1</v>
      </c>
      <c r="C72" s="100">
        <f t="shared" ref="C72:AZ72" si="74">IFERROR($B72/C16,0)</f>
        <v>251.85756035508606</v>
      </c>
      <c r="D72" s="100">
        <f t="shared" si="74"/>
        <v>7.9797049651200007</v>
      </c>
      <c r="E72" s="100">
        <f t="shared" si="74"/>
        <v>28.294551705420005</v>
      </c>
      <c r="F72" s="100">
        <f t="shared" si="74"/>
        <v>4.3725134176920006</v>
      </c>
      <c r="G72" s="100">
        <f t="shared" si="74"/>
        <v>3.564352435644</v>
      </c>
      <c r="H72" s="100">
        <f t="shared" si="74"/>
        <v>4.7377859226600005</v>
      </c>
      <c r="I72" s="100">
        <f t="shared" si="74"/>
        <v>63.198487127789996</v>
      </c>
      <c r="J72" s="100">
        <f t="shared" si="74"/>
        <v>3.9503425251780007</v>
      </c>
      <c r="K72" s="100">
        <f t="shared" si="74"/>
        <v>30.754118310342001</v>
      </c>
      <c r="L72" s="100">
        <f t="shared" si="74"/>
        <v>0.74154050165999996</v>
      </c>
      <c r="M72" s="100">
        <f t="shared" si="74"/>
        <v>11.150997768960002</v>
      </c>
      <c r="N72" s="100">
        <f t="shared" si="74"/>
        <v>29.848482971999999</v>
      </c>
      <c r="O72" s="100">
        <f t="shared" si="74"/>
        <v>2.6882750894999998</v>
      </c>
      <c r="P72" s="100">
        <f t="shared" si="74"/>
        <v>3.9483782738400004</v>
      </c>
      <c r="Q72" s="100">
        <f t="shared" si="74"/>
        <v>2.9270085943560002</v>
      </c>
      <c r="R72" s="100">
        <f t="shared" si="74"/>
        <v>12.466048761600002</v>
      </c>
      <c r="S72" s="100">
        <f t="shared" si="74"/>
        <v>6.0174138427200008</v>
      </c>
      <c r="T72" s="100">
        <f t="shared" si="74"/>
        <v>2.0316591991080002</v>
      </c>
      <c r="U72" s="100">
        <f t="shared" si="74"/>
        <v>2.0183639956200006</v>
      </c>
      <c r="V72" s="100">
        <f t="shared" si="74"/>
        <v>9.7182620206560024</v>
      </c>
      <c r="W72" s="100">
        <f t="shared" si="74"/>
        <v>5.2672722774</v>
      </c>
      <c r="X72" s="100">
        <f t="shared" si="74"/>
        <v>3.9924748886400003</v>
      </c>
      <c r="Y72" s="100">
        <f t="shared" si="74"/>
        <v>12.18952575918</v>
      </c>
      <c r="Z72" s="100">
        <f t="shared" si="74"/>
        <v>222.43670064</v>
      </c>
      <c r="AA72" s="100">
        <f t="shared" si="74"/>
        <v>227.21781474000002</v>
      </c>
      <c r="AB72" s="100">
        <f t="shared" si="74"/>
        <v>403.48614615913806</v>
      </c>
      <c r="AC72" s="100">
        <f t="shared" si="74"/>
        <v>14.130169677120003</v>
      </c>
      <c r="AD72" s="100">
        <f t="shared" si="74"/>
        <v>46.438680316518003</v>
      </c>
      <c r="AE72" s="100">
        <f t="shared" si="74"/>
        <v>7.3311602212799993</v>
      </c>
      <c r="AF72" s="100">
        <f t="shared" si="74"/>
        <v>5.639162239620001</v>
      </c>
      <c r="AG72" s="100">
        <f t="shared" si="74"/>
        <v>8.4826542834599987</v>
      </c>
      <c r="AH72" s="100">
        <f t="shared" si="74"/>
        <v>98.396725861139998</v>
      </c>
      <c r="AI72" s="100">
        <f t="shared" si="74"/>
        <v>5.6538267113579996</v>
      </c>
      <c r="AJ72" s="100">
        <f t="shared" si="74"/>
        <v>48.879665230619999</v>
      </c>
      <c r="AK72" s="100">
        <f t="shared" si="74"/>
        <v>1.6529019756899996</v>
      </c>
      <c r="AL72" s="100">
        <f t="shared" si="74"/>
        <v>12.189048883200002</v>
      </c>
      <c r="AM72" s="100">
        <f t="shared" si="74"/>
        <v>50.063206347000005</v>
      </c>
      <c r="AN72" s="100">
        <f t="shared" si="74"/>
        <v>4.4674244214599996</v>
      </c>
      <c r="AO72" s="100">
        <f t="shared" si="74"/>
        <v>6.5740063552800017</v>
      </c>
      <c r="AP72" s="100">
        <f t="shared" si="74"/>
        <v>6.0181485117600007</v>
      </c>
      <c r="AQ72" s="100">
        <f t="shared" si="74"/>
        <v>17.142488995800004</v>
      </c>
      <c r="AR72" s="100">
        <f t="shared" si="74"/>
        <v>10.451606020800002</v>
      </c>
      <c r="AS72" s="100">
        <f t="shared" si="74"/>
        <v>2.8198689750000003</v>
      </c>
      <c r="AT72" s="100">
        <f t="shared" si="74"/>
        <v>3.6371676915000006</v>
      </c>
      <c r="AU72" s="100">
        <f t="shared" si="74"/>
        <v>15.343840954512002</v>
      </c>
      <c r="AV72" s="100">
        <f t="shared" si="74"/>
        <v>8.516370815400002</v>
      </c>
      <c r="AW72" s="100">
        <f t="shared" si="74"/>
        <v>6.3461172902400005</v>
      </c>
      <c r="AX72" s="100">
        <f t="shared" si="74"/>
        <v>23.31190438038</v>
      </c>
      <c r="AY72" s="100">
        <f t="shared" si="74"/>
        <v>331.66483994322004</v>
      </c>
      <c r="AZ72" s="100">
        <f t="shared" si="74"/>
        <v>365.504683446</v>
      </c>
    </row>
    <row r="73" spans="1:52" x14ac:dyDescent="0.25">
      <c r="A73" s="195" t="s">
        <v>1097</v>
      </c>
      <c r="B73" s="196">
        <v>1</v>
      </c>
      <c r="C73" s="100">
        <f t="shared" ref="C73:AZ73" si="75">IFERROR($B73/C7,0)</f>
        <v>15.812422799983045</v>
      </c>
      <c r="D73" s="100">
        <f t="shared" si="75"/>
        <v>0.87076905287679995</v>
      </c>
      <c r="E73" s="100">
        <f t="shared" si="75"/>
        <v>0.39141969746879995</v>
      </c>
      <c r="F73" s="100">
        <f t="shared" si="75"/>
        <v>0.32016739812288003</v>
      </c>
      <c r="G73" s="100">
        <f t="shared" si="75"/>
        <v>0.38874642561216</v>
      </c>
      <c r="H73" s="100">
        <f t="shared" si="75"/>
        <v>0.33087504690240005</v>
      </c>
      <c r="I73" s="100">
        <f t="shared" si="75"/>
        <v>0.87421523518560007</v>
      </c>
      <c r="J73" s="100">
        <f t="shared" si="75"/>
        <v>0.28992168751392</v>
      </c>
      <c r="K73" s="100">
        <f t="shared" si="75"/>
        <v>3.35687121041888</v>
      </c>
      <c r="L73" s="100">
        <f t="shared" si="75"/>
        <v>0.61116349595840014</v>
      </c>
      <c r="M73" s="100">
        <f t="shared" si="75"/>
        <v>0.8210226137344</v>
      </c>
      <c r="N73" s="100">
        <f t="shared" si="75"/>
        <v>0.4010717356800001</v>
      </c>
      <c r="O73" s="100">
        <f t="shared" si="75"/>
        <v>0.33840855047999996</v>
      </c>
      <c r="P73" s="100">
        <f t="shared" si="75"/>
        <v>0.2900549304576</v>
      </c>
      <c r="Q73" s="100">
        <f t="shared" si="75"/>
        <v>0.21481764318784002</v>
      </c>
      <c r="R73" s="100">
        <f t="shared" si="75"/>
        <v>1.3615364618240002</v>
      </c>
      <c r="S73" s="100">
        <f t="shared" si="75"/>
        <v>0.65663803054079983</v>
      </c>
      <c r="T73" s="100">
        <f t="shared" si="75"/>
        <v>0.41126024651712006</v>
      </c>
      <c r="U73" s="100">
        <f t="shared" si="75"/>
        <v>1.3092723180768</v>
      </c>
      <c r="V73" s="100">
        <f t="shared" si="75"/>
        <v>0.71480679561984006</v>
      </c>
      <c r="W73" s="100">
        <f t="shared" si="75"/>
        <v>0.59436521760000016</v>
      </c>
      <c r="X73" s="100">
        <f t="shared" si="75"/>
        <v>0.43877765352959991</v>
      </c>
      <c r="Y73" s="100">
        <f t="shared" si="75"/>
        <v>0.82624135267520005</v>
      </c>
      <c r="Z73" s="100">
        <f t="shared" si="75"/>
        <v>2.6114161919999996</v>
      </c>
      <c r="AA73" s="100">
        <f t="shared" si="75"/>
        <v>3.3727601600000003</v>
      </c>
      <c r="AB73" s="100">
        <f t="shared" si="75"/>
        <v>25.769541454592328</v>
      </c>
      <c r="AC73" s="100">
        <f t="shared" si="75"/>
        <v>1.5419259885568</v>
      </c>
      <c r="AD73" s="100">
        <f t="shared" si="75"/>
        <v>0.64242099997151991</v>
      </c>
      <c r="AE73" s="100">
        <f t="shared" si="75"/>
        <v>0.53680761361920004</v>
      </c>
      <c r="AF73" s="100">
        <f t="shared" si="75"/>
        <v>0.6150357473568</v>
      </c>
      <c r="AG73" s="100">
        <f t="shared" si="75"/>
        <v>0.59240722981439986</v>
      </c>
      <c r="AH73" s="100">
        <f t="shared" si="75"/>
        <v>1.3611072155296</v>
      </c>
      <c r="AI73" s="100">
        <f t="shared" si="75"/>
        <v>0.41494300066911999</v>
      </c>
      <c r="AJ73" s="100">
        <f t="shared" si="75"/>
        <v>5.3353095455968003</v>
      </c>
      <c r="AK73" s="100">
        <f t="shared" si="75"/>
        <v>1.3622901887056003</v>
      </c>
      <c r="AL73" s="100">
        <f t="shared" si="75"/>
        <v>0.89745195724799998</v>
      </c>
      <c r="AM73" s="100">
        <f t="shared" si="75"/>
        <v>0.67269539568000003</v>
      </c>
      <c r="AN73" s="100">
        <f t="shared" si="75"/>
        <v>0.56237348207039994</v>
      </c>
      <c r="AO73" s="100">
        <f t="shared" si="75"/>
        <v>0.48293826577920002</v>
      </c>
      <c r="AP73" s="100">
        <f t="shared" si="75"/>
        <v>0.44168113552640009</v>
      </c>
      <c r="AQ73" s="100">
        <f t="shared" si="75"/>
        <v>1.872295244512</v>
      </c>
      <c r="AR73" s="100">
        <f t="shared" si="75"/>
        <v>1.140510221312</v>
      </c>
      <c r="AS73" s="100">
        <f t="shared" si="75"/>
        <v>0.57081424400000003</v>
      </c>
      <c r="AT73" s="100">
        <f t="shared" si="75"/>
        <v>2.3593578685600005</v>
      </c>
      <c r="AU73" s="100">
        <f t="shared" si="75"/>
        <v>1.1285846956876802</v>
      </c>
      <c r="AV73" s="100">
        <f t="shared" si="75"/>
        <v>0.96099732960000017</v>
      </c>
      <c r="AW73" s="100">
        <f t="shared" si="75"/>
        <v>0.69744570255360006</v>
      </c>
      <c r="AX73" s="100">
        <f t="shared" si="75"/>
        <v>1.5801483822432001</v>
      </c>
      <c r="AY73" s="100">
        <f t="shared" si="75"/>
        <v>5.1338068319999994</v>
      </c>
      <c r="AZ73" s="100">
        <f t="shared" si="75"/>
        <v>5.4254532639999988</v>
      </c>
    </row>
    <row r="74" spans="1:52" x14ac:dyDescent="0.25">
      <c r="A74" s="195" t="s">
        <v>1098</v>
      </c>
      <c r="B74" s="199">
        <v>1.9000000000000001E-8</v>
      </c>
      <c r="C74" s="100">
        <f t="shared" ref="C74:AZ74" si="76">IFERROR($B74/C12,0)</f>
        <v>0</v>
      </c>
      <c r="D74" s="100">
        <f t="shared" si="76"/>
        <v>0</v>
      </c>
      <c r="E74" s="100">
        <f t="shared" si="76"/>
        <v>0</v>
      </c>
      <c r="F74" s="100">
        <f t="shared" si="76"/>
        <v>0</v>
      </c>
      <c r="G74" s="100">
        <f t="shared" si="76"/>
        <v>0</v>
      </c>
      <c r="H74" s="100">
        <f t="shared" si="76"/>
        <v>0</v>
      </c>
      <c r="I74" s="100">
        <f t="shared" si="76"/>
        <v>0</v>
      </c>
      <c r="J74" s="100">
        <f t="shared" si="76"/>
        <v>0</v>
      </c>
      <c r="K74" s="100">
        <f t="shared" si="76"/>
        <v>0</v>
      </c>
      <c r="L74" s="100">
        <f t="shared" si="76"/>
        <v>0</v>
      </c>
      <c r="M74" s="100">
        <f t="shared" si="76"/>
        <v>0</v>
      </c>
      <c r="N74" s="100">
        <f t="shared" si="76"/>
        <v>0</v>
      </c>
      <c r="O74" s="100">
        <f t="shared" si="76"/>
        <v>0</v>
      </c>
      <c r="P74" s="100">
        <f t="shared" si="76"/>
        <v>0</v>
      </c>
      <c r="Q74" s="100">
        <f t="shared" si="76"/>
        <v>0</v>
      </c>
      <c r="R74" s="100">
        <f t="shared" si="76"/>
        <v>0</v>
      </c>
      <c r="S74" s="100">
        <f t="shared" si="76"/>
        <v>0</v>
      </c>
      <c r="T74" s="100">
        <f t="shared" si="76"/>
        <v>0</v>
      </c>
      <c r="U74" s="100">
        <f t="shared" si="76"/>
        <v>0</v>
      </c>
      <c r="V74" s="100">
        <f t="shared" si="76"/>
        <v>0</v>
      </c>
      <c r="W74" s="100">
        <f t="shared" si="76"/>
        <v>0</v>
      </c>
      <c r="X74" s="100">
        <f t="shared" si="76"/>
        <v>0</v>
      </c>
      <c r="Y74" s="100">
        <f t="shared" si="76"/>
        <v>0</v>
      </c>
      <c r="Z74" s="100">
        <f t="shared" si="76"/>
        <v>0</v>
      </c>
      <c r="AA74" s="100">
        <f t="shared" si="76"/>
        <v>0</v>
      </c>
      <c r="AB74" s="100">
        <f t="shared" si="76"/>
        <v>0</v>
      </c>
      <c r="AC74" s="100">
        <f t="shared" si="76"/>
        <v>0</v>
      </c>
      <c r="AD74" s="100">
        <f t="shared" si="76"/>
        <v>0</v>
      </c>
      <c r="AE74" s="100">
        <f t="shared" si="76"/>
        <v>0</v>
      </c>
      <c r="AF74" s="100">
        <f t="shared" si="76"/>
        <v>0</v>
      </c>
      <c r="AG74" s="100">
        <f t="shared" si="76"/>
        <v>0</v>
      </c>
      <c r="AH74" s="100">
        <f t="shared" si="76"/>
        <v>0</v>
      </c>
      <c r="AI74" s="100">
        <f t="shared" si="76"/>
        <v>0</v>
      </c>
      <c r="AJ74" s="100">
        <f t="shared" si="76"/>
        <v>0</v>
      </c>
      <c r="AK74" s="100">
        <f t="shared" si="76"/>
        <v>0</v>
      </c>
      <c r="AL74" s="100">
        <f t="shared" si="76"/>
        <v>0</v>
      </c>
      <c r="AM74" s="100">
        <f t="shared" si="76"/>
        <v>0</v>
      </c>
      <c r="AN74" s="100">
        <f t="shared" si="76"/>
        <v>0</v>
      </c>
      <c r="AO74" s="100">
        <f t="shared" si="76"/>
        <v>0</v>
      </c>
      <c r="AP74" s="100">
        <f t="shared" si="76"/>
        <v>0</v>
      </c>
      <c r="AQ74" s="100">
        <f t="shared" si="76"/>
        <v>0</v>
      </c>
      <c r="AR74" s="100">
        <f t="shared" si="76"/>
        <v>0</v>
      </c>
      <c r="AS74" s="100">
        <f t="shared" si="76"/>
        <v>0</v>
      </c>
      <c r="AT74" s="100">
        <f t="shared" si="76"/>
        <v>0</v>
      </c>
      <c r="AU74" s="100">
        <f t="shared" si="76"/>
        <v>0</v>
      </c>
      <c r="AV74" s="100">
        <f t="shared" si="76"/>
        <v>0</v>
      </c>
      <c r="AW74" s="100">
        <f t="shared" si="76"/>
        <v>0</v>
      </c>
      <c r="AX74" s="100">
        <f t="shared" si="76"/>
        <v>0</v>
      </c>
      <c r="AY74" s="100">
        <f t="shared" si="76"/>
        <v>0</v>
      </c>
      <c r="AZ74" s="100">
        <f t="shared" si="76"/>
        <v>0</v>
      </c>
    </row>
    <row r="75" spans="1:52" x14ac:dyDescent="0.25">
      <c r="A75" s="195" t="s">
        <v>1099</v>
      </c>
      <c r="B75" s="196">
        <v>1</v>
      </c>
      <c r="C75" s="100">
        <f t="shared" ref="C75:AZ75" si="77">IFERROR($B75/C18,0)</f>
        <v>58.609235919842995</v>
      </c>
      <c r="D75" s="100">
        <f t="shared" si="77"/>
        <v>0.54148421376000011</v>
      </c>
      <c r="E75" s="100">
        <f t="shared" si="77"/>
        <v>5.0607849392100013</v>
      </c>
      <c r="F75" s="100">
        <f t="shared" si="77"/>
        <v>3.284679619746</v>
      </c>
      <c r="G75" s="100">
        <f t="shared" si="77"/>
        <v>0.24575467732200004</v>
      </c>
      <c r="H75" s="100">
        <f t="shared" si="77"/>
        <v>0.68574025443000008</v>
      </c>
      <c r="I75" s="100">
        <f t="shared" si="77"/>
        <v>11.339343893744999</v>
      </c>
      <c r="J75" s="100">
        <f t="shared" si="77"/>
        <v>2.9550538491389999</v>
      </c>
      <c r="K75" s="100">
        <f t="shared" si="77"/>
        <v>2.0701233168210003</v>
      </c>
      <c r="L75" s="100">
        <f t="shared" si="77"/>
        <v>0.40650275589000012</v>
      </c>
      <c r="M75" s="100">
        <f t="shared" si="77"/>
        <v>0.34077467088000002</v>
      </c>
      <c r="N75" s="100">
        <f t="shared" si="77"/>
        <v>12.777535940400002</v>
      </c>
      <c r="O75" s="100">
        <f t="shared" si="77"/>
        <v>2.3119421325</v>
      </c>
      <c r="P75" s="100">
        <f t="shared" si="77"/>
        <v>0.14039951772000001</v>
      </c>
      <c r="Q75" s="100">
        <f t="shared" si="77"/>
        <v>0.11027573587800001</v>
      </c>
      <c r="R75" s="100">
        <f t="shared" si="77"/>
        <v>0.82322963519999992</v>
      </c>
      <c r="S75" s="100">
        <f t="shared" si="77"/>
        <v>0.40832770356000003</v>
      </c>
      <c r="T75" s="100">
        <f t="shared" si="77"/>
        <v>0.31819768646400004</v>
      </c>
      <c r="U75" s="100">
        <f t="shared" si="77"/>
        <v>6.5778890165100021</v>
      </c>
      <c r="V75" s="100">
        <f t="shared" si="77"/>
        <v>0.31888286992800002</v>
      </c>
      <c r="W75" s="100">
        <f t="shared" si="77"/>
        <v>5.1611838753300008</v>
      </c>
      <c r="X75" s="100">
        <f t="shared" si="77"/>
        <v>0.21238794612000009</v>
      </c>
      <c r="Y75" s="100">
        <f t="shared" si="77"/>
        <v>2.5187416692900002</v>
      </c>
      <c r="Z75" s="100">
        <f t="shared" si="77"/>
        <v>332.27006772960004</v>
      </c>
      <c r="AA75" s="100">
        <f t="shared" si="77"/>
        <v>417.20429950080006</v>
      </c>
      <c r="AB75" s="100">
        <f t="shared" si="77"/>
        <v>96.714606367659002</v>
      </c>
      <c r="AC75" s="100">
        <f t="shared" si="77"/>
        <v>0.95884043976000011</v>
      </c>
      <c r="AD75" s="100">
        <f t="shared" si="77"/>
        <v>8.3060575191090003</v>
      </c>
      <c r="AE75" s="100">
        <f t="shared" si="77"/>
        <v>5.5072472666399994</v>
      </c>
      <c r="AF75" s="100">
        <f t="shared" si="77"/>
        <v>0.38880849231000003</v>
      </c>
      <c r="AG75" s="100">
        <f t="shared" si="77"/>
        <v>1.2277670628299999</v>
      </c>
      <c r="AH75" s="100">
        <f t="shared" si="77"/>
        <v>17.654763005670002</v>
      </c>
      <c r="AI75" s="100">
        <f t="shared" si="77"/>
        <v>4.2293452477290003</v>
      </c>
      <c r="AJ75" s="100">
        <f t="shared" si="77"/>
        <v>3.2901913718099998</v>
      </c>
      <c r="AK75" s="100">
        <f t="shared" si="77"/>
        <v>0.90609913663500008</v>
      </c>
      <c r="AL75" s="100">
        <f t="shared" si="77"/>
        <v>0.37249752960000004</v>
      </c>
      <c r="AM75" s="100">
        <f t="shared" si="77"/>
        <v>21.431052927900005</v>
      </c>
      <c r="AN75" s="100">
        <f t="shared" si="77"/>
        <v>3.8420274711000006</v>
      </c>
      <c r="AO75" s="100">
        <f t="shared" si="77"/>
        <v>0.23376365124000004</v>
      </c>
      <c r="AP75" s="100">
        <f t="shared" si="77"/>
        <v>0.22673515788000004</v>
      </c>
      <c r="AQ75" s="100">
        <f t="shared" si="77"/>
        <v>1.1320511601000001</v>
      </c>
      <c r="AR75" s="100">
        <f t="shared" si="77"/>
        <v>0.70922166840000012</v>
      </c>
      <c r="AS75" s="100">
        <f t="shared" si="77"/>
        <v>0.44164680000000006</v>
      </c>
      <c r="AT75" s="100">
        <f t="shared" si="77"/>
        <v>11.853602948250003</v>
      </c>
      <c r="AU75" s="100">
        <f t="shared" si="77"/>
        <v>0.50347356645599994</v>
      </c>
      <c r="AV75" s="100">
        <f t="shared" si="77"/>
        <v>8.3448421524300009</v>
      </c>
      <c r="AW75" s="100">
        <f t="shared" si="77"/>
        <v>0.33759481392000007</v>
      </c>
      <c r="AX75" s="100">
        <f t="shared" si="77"/>
        <v>4.8169769778900005</v>
      </c>
      <c r="AY75" s="100">
        <f t="shared" si="77"/>
        <v>667.42405751700005</v>
      </c>
      <c r="AZ75" s="100">
        <f t="shared" si="77"/>
        <v>671.11870429632017</v>
      </c>
    </row>
    <row r="76" spans="1:52" x14ac:dyDescent="0.25">
      <c r="A76" s="195" t="s">
        <v>1100</v>
      </c>
      <c r="B76" s="196">
        <v>1.339E-6</v>
      </c>
      <c r="C76" s="100">
        <f t="shared" ref="C76:AZ76" si="78">IFERROR($B76/C27,0)</f>
        <v>0</v>
      </c>
      <c r="D76" s="100">
        <f t="shared" si="78"/>
        <v>0</v>
      </c>
      <c r="E76" s="100">
        <f t="shared" si="78"/>
        <v>0</v>
      </c>
      <c r="F76" s="100">
        <f t="shared" si="78"/>
        <v>0</v>
      </c>
      <c r="G76" s="100">
        <f t="shared" si="78"/>
        <v>0</v>
      </c>
      <c r="H76" s="100">
        <f t="shared" si="78"/>
        <v>0</v>
      </c>
      <c r="I76" s="100">
        <f t="shared" si="78"/>
        <v>0</v>
      </c>
      <c r="J76" s="100">
        <f t="shared" si="78"/>
        <v>0</v>
      </c>
      <c r="K76" s="100">
        <f t="shared" si="78"/>
        <v>0</v>
      </c>
      <c r="L76" s="100">
        <f t="shared" si="78"/>
        <v>0</v>
      </c>
      <c r="M76" s="100">
        <f t="shared" si="78"/>
        <v>0</v>
      </c>
      <c r="N76" s="100">
        <f t="shared" si="78"/>
        <v>0</v>
      </c>
      <c r="O76" s="100">
        <f t="shared" si="78"/>
        <v>0</v>
      </c>
      <c r="P76" s="100">
        <f t="shared" si="78"/>
        <v>0</v>
      </c>
      <c r="Q76" s="100">
        <f t="shared" si="78"/>
        <v>0</v>
      </c>
      <c r="R76" s="100">
        <f t="shared" si="78"/>
        <v>0</v>
      </c>
      <c r="S76" s="100">
        <f t="shared" si="78"/>
        <v>0</v>
      </c>
      <c r="T76" s="100">
        <f t="shared" si="78"/>
        <v>0</v>
      </c>
      <c r="U76" s="100">
        <f t="shared" si="78"/>
        <v>0</v>
      </c>
      <c r="V76" s="100">
        <f t="shared" si="78"/>
        <v>0</v>
      </c>
      <c r="W76" s="100">
        <f t="shared" si="78"/>
        <v>0</v>
      </c>
      <c r="X76" s="100">
        <f t="shared" si="78"/>
        <v>0</v>
      </c>
      <c r="Y76" s="100">
        <f t="shared" si="78"/>
        <v>0</v>
      </c>
      <c r="Z76" s="100">
        <f t="shared" si="78"/>
        <v>0</v>
      </c>
      <c r="AA76" s="100">
        <f t="shared" si="78"/>
        <v>0</v>
      </c>
      <c r="AB76" s="100">
        <f t="shared" si="78"/>
        <v>0</v>
      </c>
      <c r="AC76" s="100">
        <f t="shared" si="78"/>
        <v>0</v>
      </c>
      <c r="AD76" s="100">
        <f t="shared" si="78"/>
        <v>0</v>
      </c>
      <c r="AE76" s="100">
        <f t="shared" si="78"/>
        <v>0</v>
      </c>
      <c r="AF76" s="100">
        <f t="shared" si="78"/>
        <v>0</v>
      </c>
      <c r="AG76" s="100">
        <f t="shared" si="78"/>
        <v>0</v>
      </c>
      <c r="AH76" s="100">
        <f t="shared" si="78"/>
        <v>0</v>
      </c>
      <c r="AI76" s="100">
        <f t="shared" si="78"/>
        <v>0</v>
      </c>
      <c r="AJ76" s="100">
        <f t="shared" si="78"/>
        <v>0</v>
      </c>
      <c r="AK76" s="100">
        <f t="shared" si="78"/>
        <v>0</v>
      </c>
      <c r="AL76" s="100">
        <f t="shared" si="78"/>
        <v>0</v>
      </c>
      <c r="AM76" s="100">
        <f t="shared" si="78"/>
        <v>0</v>
      </c>
      <c r="AN76" s="100">
        <f t="shared" si="78"/>
        <v>0</v>
      </c>
      <c r="AO76" s="100">
        <f t="shared" si="78"/>
        <v>0</v>
      </c>
      <c r="AP76" s="100">
        <f t="shared" si="78"/>
        <v>0</v>
      </c>
      <c r="AQ76" s="100">
        <f t="shared" si="78"/>
        <v>0</v>
      </c>
      <c r="AR76" s="100">
        <f t="shared" si="78"/>
        <v>0</v>
      </c>
      <c r="AS76" s="100">
        <f t="shared" si="78"/>
        <v>0</v>
      </c>
      <c r="AT76" s="100">
        <f t="shared" si="78"/>
        <v>0</v>
      </c>
      <c r="AU76" s="100">
        <f t="shared" si="78"/>
        <v>0</v>
      </c>
      <c r="AV76" s="100">
        <f t="shared" si="78"/>
        <v>0</v>
      </c>
      <c r="AW76" s="100">
        <f t="shared" si="78"/>
        <v>0</v>
      </c>
      <c r="AX76" s="100">
        <f t="shared" si="78"/>
        <v>0</v>
      </c>
      <c r="AY76" s="100">
        <f t="shared" si="78"/>
        <v>0</v>
      </c>
      <c r="AZ76" s="100">
        <f t="shared" si="78"/>
        <v>0</v>
      </c>
    </row>
  </sheetData>
  <sheetProtection algorithmName="SHA-512" hashValue="UEW2XE4cS7j86gB0l1c5uxcAfHEXNwG3jLUZKMByddivk+Jm5nVwkOEMtqt2UqbO0bhIL9QivMW6P+oA5giLWQ==" saltValue="L1RxhEzu1sDJU6FjR3nsOw==" spinCount="100000" sheet="1" objects="1" scenarios="1" formatColumns="0" formatRows="0" autoFilter="0"/>
  <autoFilter ref="A1:AZ76" xr:uid="{00000000-0009-0000-0000-000004000000}"/>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Z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 defaultRowHeight="15" x14ac:dyDescent="0.25"/>
  <cols>
    <col min="1" max="1" width="14.5703125" style="75" bestFit="1" customWidth="1"/>
    <col min="2" max="2" width="11.7109375" style="75" bestFit="1" customWidth="1"/>
    <col min="3" max="3" width="21.140625" style="77" bestFit="1" customWidth="1"/>
    <col min="4" max="4" width="11" style="77" bestFit="1" customWidth="1"/>
    <col min="5" max="5" width="10.85546875" style="77" bestFit="1" customWidth="1"/>
    <col min="6" max="6" width="10.140625" style="77" bestFit="1" customWidth="1"/>
    <col min="7" max="7" width="10.85546875" style="77" bestFit="1" customWidth="1"/>
    <col min="8" max="8" width="10.140625" style="77" bestFit="1" customWidth="1"/>
    <col min="9" max="9" width="10.28515625" style="77" bestFit="1" customWidth="1"/>
    <col min="10" max="10" width="9.5703125" style="77" bestFit="1" customWidth="1"/>
    <col min="11" max="11" width="11" style="77" bestFit="1" customWidth="1"/>
    <col min="12" max="12" width="10.140625" style="77" bestFit="1" customWidth="1"/>
    <col min="13" max="13" width="11.85546875" style="77" bestFit="1" customWidth="1"/>
    <col min="14" max="14" width="9.28515625" style="77" bestFit="1" customWidth="1"/>
    <col min="15" max="16" width="10" style="77" bestFit="1" customWidth="1"/>
    <col min="17" max="17" width="11.140625" style="77" bestFit="1" customWidth="1"/>
    <col min="18" max="18" width="11.28515625" style="77" bestFit="1" customWidth="1"/>
    <col min="19" max="19" width="10.140625" style="77" bestFit="1" customWidth="1"/>
    <col min="20" max="20" width="9.42578125" style="77" bestFit="1" customWidth="1"/>
    <col min="21" max="21" width="10.85546875" style="77" bestFit="1" customWidth="1"/>
    <col min="22" max="22" width="11.28515625" style="77" bestFit="1" customWidth="1"/>
    <col min="23" max="23" width="10.28515625" style="77" bestFit="1" customWidth="1"/>
    <col min="24" max="24" width="11" style="77" bestFit="1" customWidth="1"/>
    <col min="25" max="25" width="9.85546875" style="77" bestFit="1" customWidth="1"/>
    <col min="26" max="26" width="9.42578125" style="77" bestFit="1" customWidth="1"/>
    <col min="27" max="27" width="11.28515625" style="77" bestFit="1" customWidth="1"/>
    <col min="28" max="28" width="20.85546875" style="77" bestFit="1" customWidth="1"/>
    <col min="29" max="29" width="10.7109375" style="77" bestFit="1" customWidth="1"/>
    <col min="30" max="30" width="10.5703125" style="77" bestFit="1" customWidth="1"/>
    <col min="31" max="31" width="10" style="77" bestFit="1" customWidth="1"/>
    <col min="32" max="32" width="10.5703125" style="77" bestFit="1" customWidth="1"/>
    <col min="33" max="33" width="10" style="77" bestFit="1" customWidth="1"/>
    <col min="34" max="34" width="10.140625" style="77" bestFit="1" customWidth="1"/>
    <col min="35" max="35" width="9.42578125" style="77" bestFit="1" customWidth="1"/>
    <col min="36" max="36" width="10.7109375" style="77" bestFit="1" customWidth="1"/>
    <col min="37" max="37" width="10" style="77" bestFit="1" customWidth="1"/>
    <col min="38" max="38" width="11.5703125" style="77" bestFit="1" customWidth="1"/>
    <col min="39" max="39" width="9.140625" style="77" bestFit="1" customWidth="1"/>
    <col min="40" max="40" width="9.7109375" style="77" bestFit="1" customWidth="1"/>
    <col min="41" max="41" width="9.85546875" style="77" bestFit="1" customWidth="1"/>
    <col min="42" max="42" width="11" style="77" bestFit="1" customWidth="1"/>
    <col min="43" max="43" width="11.140625" style="77" bestFit="1" customWidth="1"/>
    <col min="44" max="44" width="10" style="77" bestFit="1" customWidth="1"/>
    <col min="45" max="45" width="9.28515625" style="77" bestFit="1" customWidth="1"/>
    <col min="46" max="46" width="10.7109375" style="77" bestFit="1" customWidth="1"/>
    <col min="47" max="47" width="11" style="77" bestFit="1" customWidth="1"/>
    <col min="48" max="48" width="10" style="77" bestFit="1" customWidth="1"/>
    <col min="49" max="49" width="10.7109375" style="77" bestFit="1" customWidth="1"/>
    <col min="50" max="50" width="9.5703125" style="77" bestFit="1" customWidth="1"/>
    <col min="51" max="51" width="9.28515625" style="77" bestFit="1" customWidth="1"/>
    <col min="52" max="52" width="10.28515625" style="77" bestFit="1" customWidth="1"/>
    <col min="53" max="16384" width="9" style="77"/>
  </cols>
  <sheetData>
    <row r="1" spans="1:52" x14ac:dyDescent="0.25">
      <c r="A1" s="87" t="s">
        <v>51</v>
      </c>
      <c r="B1" s="88" t="s">
        <v>350</v>
      </c>
      <c r="C1" s="89" t="s">
        <v>739</v>
      </c>
      <c r="D1" s="90" t="s">
        <v>569</v>
      </c>
      <c r="E1" s="90" t="s">
        <v>573</v>
      </c>
      <c r="F1" s="90" t="s">
        <v>570</v>
      </c>
      <c r="G1" s="90" t="s">
        <v>571</v>
      </c>
      <c r="H1" s="90" t="s">
        <v>572</v>
      </c>
      <c r="I1" s="90" t="s">
        <v>574</v>
      </c>
      <c r="J1" s="90" t="s">
        <v>575</v>
      </c>
      <c r="K1" s="90" t="s">
        <v>576</v>
      </c>
      <c r="L1" s="90" t="s">
        <v>577</v>
      </c>
      <c r="M1" s="90" t="s">
        <v>578</v>
      </c>
      <c r="N1" s="90" t="s">
        <v>579</v>
      </c>
      <c r="O1" s="90" t="s">
        <v>580</v>
      </c>
      <c r="P1" s="90" t="s">
        <v>581</v>
      </c>
      <c r="Q1" s="90" t="s">
        <v>582</v>
      </c>
      <c r="R1" s="90" t="s">
        <v>583</v>
      </c>
      <c r="S1" s="90" t="s">
        <v>584</v>
      </c>
      <c r="T1" s="90" t="s">
        <v>585</v>
      </c>
      <c r="U1" s="90" t="s">
        <v>586</v>
      </c>
      <c r="V1" s="90" t="s">
        <v>587</v>
      </c>
      <c r="W1" s="90" t="s">
        <v>588</v>
      </c>
      <c r="X1" s="90" t="s">
        <v>589</v>
      </c>
      <c r="Y1" s="90" t="s">
        <v>590</v>
      </c>
      <c r="Z1" s="90" t="s">
        <v>591</v>
      </c>
      <c r="AA1" s="90" t="s">
        <v>640</v>
      </c>
      <c r="AB1" s="90" t="s">
        <v>740</v>
      </c>
      <c r="AC1" s="90" t="s">
        <v>592</v>
      </c>
      <c r="AD1" s="90" t="s">
        <v>593</v>
      </c>
      <c r="AE1" s="90" t="s">
        <v>594</v>
      </c>
      <c r="AF1" s="90" t="s">
        <v>595</v>
      </c>
      <c r="AG1" s="90" t="s">
        <v>596</v>
      </c>
      <c r="AH1" s="90" t="s">
        <v>597</v>
      </c>
      <c r="AI1" s="90" t="s">
        <v>598</v>
      </c>
      <c r="AJ1" s="90" t="s">
        <v>599</v>
      </c>
      <c r="AK1" s="90" t="s">
        <v>600</v>
      </c>
      <c r="AL1" s="90" t="s">
        <v>601</v>
      </c>
      <c r="AM1" s="90" t="s">
        <v>602</v>
      </c>
      <c r="AN1" s="90" t="s">
        <v>603</v>
      </c>
      <c r="AO1" s="90" t="s">
        <v>604</v>
      </c>
      <c r="AP1" s="90" t="s">
        <v>605</v>
      </c>
      <c r="AQ1" s="90" t="s">
        <v>606</v>
      </c>
      <c r="AR1" s="90" t="s">
        <v>607</v>
      </c>
      <c r="AS1" s="90" t="s">
        <v>608</v>
      </c>
      <c r="AT1" s="90" t="s">
        <v>609</v>
      </c>
      <c r="AU1" s="90" t="s">
        <v>610</v>
      </c>
      <c r="AV1" s="90" t="s">
        <v>611</v>
      </c>
      <c r="AW1" s="90" t="s">
        <v>612</v>
      </c>
      <c r="AX1" s="90" t="s">
        <v>613</v>
      </c>
      <c r="AY1" s="90" t="s">
        <v>614</v>
      </c>
      <c r="AZ1" s="90" t="s">
        <v>615</v>
      </c>
    </row>
    <row r="2" spans="1:52" ht="15" customHeight="1" x14ac:dyDescent="0.25">
      <c r="A2" s="92" t="s">
        <v>12</v>
      </c>
      <c r="B2" s="90" t="s">
        <v>1074</v>
      </c>
      <c r="C2" s="76">
        <f t="shared" ref="C2" si="0">IFERROR(1/SUM(1/D2,1/E2,1/F2,1/G2,1/H2,1/I2,1/J2,1/K2,1/L2,1/M2,1/N2,1/O2,1/P2,1/Q2,1/R2,1/S2,1/T2,1/U2,1/V2,1/W2,1/X2,1/Y2),".")</f>
        <v>8.2478326493249141E-2</v>
      </c>
      <c r="D2" s="76">
        <f>IFERROR(IF(AND(Irr!C2&lt;&gt;".",Irr!AA2&lt;&gt;".",Irr!AY2&lt;&gt;"."),dir!D2/((1/1000)*(Irr!C2+Irr!AA2+Irr!AY2)),IF(AND(Irr!C2&lt;&gt;".",Irr!AA2&lt;&gt;".",Irr!AY2="."),dir!D2/((1/1000)*(Irr!C2+Irr!AA2)),IF(AND(Irr!C2&lt;&gt;".",Irr!AA2=".",Irr!AY2&lt;&gt;"."),dir!D2/((1/1000)*(Irr!C2+Irr!AY2)),IF(AND(Irr!C2=".",Irr!AA2&lt;&gt;".",Irr!AY2&lt;&gt;"."),dir!D2/((1/1000)*(Irr!AA2+Irr!AY2)),IF(AND(Irr!C2=".",Irr!AA2=".",Irr!AY2&lt;&gt;"."),dir!D2/((1/1000)*(Irr!AY2)),IF(AND(Irr!C2=".",Irr!AA2&lt;&gt;".",Irr!AY2="."),dir!D2/((1/1000)*(Irr!AA2)),IF(AND(Irr!C2&lt;&gt;".",Irr!AA2=".",Irr!AY2="."),dir!D2/((1/1000)*(Irr!C2)),IF(AND(Irr!C2=".",Irr!AA2=".",Irr!AY2="."),dir!D2*1000)))))))),".")</f>
        <v>1.4973789819936498</v>
      </c>
      <c r="E2" s="76">
        <f>IFERROR(IF(AND(Irr!D2&lt;&gt;".",Irr!AB2&lt;&gt;".",Irr!AZ2&lt;&gt;"."),dir!E2/((1/1000)*(Irr!D2+Irr!AB2+Irr!AZ2)),IF(AND(Irr!D2&lt;&gt;".",Irr!AB2&lt;&gt;".",Irr!AZ2="."),dir!E2/((1/1000)*(Irr!D2+Irr!AB2)),IF(AND(Irr!D2&lt;&gt;".",Irr!AB2=".",Irr!AZ2&lt;&gt;"."),dir!E2/((1/1000)*(Irr!D2+Irr!AZ2)),IF(AND(Irr!D2=".",Irr!AB2&lt;&gt;".",Irr!AZ2&lt;&gt;"."),dir!E2/((1/1000)*(Irr!AB2+Irr!AZ2)),IF(AND(Irr!D2=".",Irr!AB2=".",Irr!AZ2&lt;&gt;"."),dir!E2/((1/1000)*(Irr!AZ2)),IF(AND(Irr!D2=".",Irr!AB2&lt;&gt;".",Irr!AZ2="."),dir!E2/((1/1000)*(Irr!AB2)),IF(AND(Irr!D2&lt;&gt;".",Irr!AB2=".",Irr!AZ2="."),dir!E2/((1/1000)*(Irr!D2)),IF(AND(Irr!D2=".",Irr!AB2=".",Irr!AZ2="."),dir!E2*1000)))))))),".")</f>
        <v>3.3310577639424084</v>
      </c>
      <c r="F2" s="76">
        <f>IFERROR(IF(AND(Irr!E2&lt;&gt;".",Irr!AC2&lt;&gt;".",Irr!BA2&lt;&gt;"."),dir!F2/((1/1000)*(Irr!E2+Irr!AC2+Irr!BA2)),IF(AND(Irr!E2&lt;&gt;".",Irr!AC2&lt;&gt;".",Irr!BA2="."),dir!F2/((1/1000)*(Irr!E2+Irr!AC2)),IF(AND(Irr!E2&lt;&gt;".",Irr!AC2=".",Irr!BA2&lt;&gt;"."),dir!F2/((1/1000)*(Irr!E2+Irr!BA2)),IF(AND(Irr!E2=".",Irr!AC2&lt;&gt;".",Irr!BA2&lt;&gt;"."),dir!F2/((1/1000)*(Irr!AC2+Irr!BA2)),IF(AND(Irr!E2=".",Irr!AC2=".",Irr!BA2&lt;&gt;"."),dir!F2/((1/1000)*(Irr!BA2)),IF(AND(Irr!E2=".",Irr!AC2&lt;&gt;".",Irr!BA2="."),dir!F2/((1/1000)*(Irr!AC2)),IF(AND(Irr!E2&lt;&gt;".",Irr!AC2=".",Irr!BA2="."),dir!F2/((1/1000)*(Irr!E2)),IF(AND(Irr!E2=".",Irr!AC2=".",Irr!BA2="."),dir!F2*1000)))))))),".")</f>
        <v>4.0724422147944397</v>
      </c>
      <c r="G2" s="76">
        <f>IFERROR(IF(AND(Irr!F2&lt;&gt;".",Irr!AD2&lt;&gt;".",Irr!BB2&lt;&gt;"."),dir!G2/((1/1000)*(Irr!F2+Irr!AD2+Irr!BB2)),IF(AND(Irr!F2&lt;&gt;".",Irr!AD2&lt;&gt;".",Irr!BB2="."),dir!G2/((1/1000)*(Irr!F2+Irr!AD2)),IF(AND(Irr!F2&lt;&gt;".",Irr!AD2=".",Irr!BB2&lt;&gt;"."),dir!G2/((1/1000)*(Irr!F2+Irr!BB2)),IF(AND(Irr!F2=".",Irr!AD2&lt;&gt;".",Irr!BB2&lt;&gt;"."),dir!G2/((1/1000)*(Irr!AD2+Irr!BB2)),IF(AND(Irr!F2=".",Irr!AD2=".",Irr!BB2&lt;&gt;"."),dir!G2/((1/1000)*(Irr!BB2)),IF(AND(Irr!F2=".",Irr!AD2&lt;&gt;".",Irr!BB2="."),dir!G2/((1/1000)*(Irr!AD2)),IF(AND(Irr!F2&lt;&gt;".",Irr!AD2=".",Irr!BB2="."),dir!G2/((1/1000)*(Irr!F2)),IF(AND(Irr!F2=".",Irr!AD2=".",Irr!BB2="."),dir!G2*1000)))))))),".")</f>
        <v>3.3540462031560971</v>
      </c>
      <c r="H2" s="76">
        <f>IFERROR(IF(AND(Irr!G2&lt;&gt;".",Irr!AE2&lt;&gt;".",Irr!BC2&lt;&gt;"."),dir!H2/((1/1000)*(Irr!G2+Irr!AE2+Irr!BC2)),IF(AND(Irr!G2&lt;&gt;".",Irr!AE2&lt;&gt;".",Irr!BC2="."),dir!H2/((1/1000)*(Irr!G2+Irr!AE2)),IF(AND(Irr!G2&lt;&gt;".",Irr!AE2=".",Irr!BC2&lt;&gt;"."),dir!H2/((1/1000)*(Irr!G2+Irr!BC2)),IF(AND(Irr!G2=".",Irr!AE2&lt;&gt;".",Irr!BC2&lt;&gt;"."),dir!H2/((1/1000)*(Irr!AE2+Irr!BC2)),IF(AND(Irr!G2=".",Irr!AE2=".",Irr!BC2&lt;&gt;"."),dir!H2/((1/1000)*(Irr!BC2)),IF(AND(Irr!G2=".",Irr!AE2&lt;&gt;".",Irr!BC2="."),dir!H2/((1/1000)*(Irr!AE2)),IF(AND(Irr!G2&lt;&gt;".",Irr!AE2=".",Irr!BC2="."),dir!H2/((1/1000)*(Irr!G2)),IF(AND(Irr!G2=".",Irr!AE2=".",Irr!BC2="."),dir!H2*1000)))))))),".")</f>
        <v>3.9416078786784201</v>
      </c>
      <c r="I2" s="76">
        <f>IFERROR(IF(AND(Irr!H2&lt;&gt;".",Irr!AF2&lt;&gt;".",Irr!BD2&lt;&gt;"."),dir!I2/((1/1000)*(Irr!H2+Irr!AF2+Irr!BD2)),IF(AND(Irr!H2&lt;&gt;".",Irr!AF2&lt;&gt;".",Irr!BD2="."),dir!I2/((1/1000)*(Irr!H2+Irr!AF2)),IF(AND(Irr!H2&lt;&gt;".",Irr!AF2=".",Irr!BD2&lt;&gt;"."),dir!I2/((1/1000)*(Irr!H2+Irr!BD2)),IF(AND(Irr!H2=".",Irr!AF2&lt;&gt;".",Irr!BD2&lt;&gt;"."),dir!I2/((1/1000)*(Irr!AF2+Irr!BD2)),IF(AND(Irr!H2=".",Irr!AF2=".",Irr!BD2&lt;&gt;"."),dir!I2/((1/1000)*(Irr!BD2)),IF(AND(Irr!H2=".",Irr!AF2&lt;&gt;".",Irr!BD2="."),dir!I2/((1/1000)*(Irr!AF2)),IF(AND(Irr!H2&lt;&gt;".",Irr!AF2=".",Irr!BD2="."),dir!I2/((1/1000)*(Irr!H2)),IF(AND(Irr!H2=".",Irr!AF2=".",Irr!BD2="."),dir!I2*1000)))))))),".")</f>
        <v>1.4914532416543227</v>
      </c>
      <c r="J2" s="76">
        <f>IFERROR(IF(AND(Irr!I2&lt;&gt;".",Irr!AG2&lt;&gt;".",Irr!BE2&lt;&gt;"."),dir!J2/((1/1000)*(Irr!I2+Irr!AG2+Irr!BE2)),IF(AND(Irr!I2&lt;&gt;".",Irr!AG2&lt;&gt;".",Irr!BE2="."),dir!J2/((1/1000)*(Irr!I2+Irr!AG2)),IF(AND(Irr!I2&lt;&gt;".",Irr!AG2=".",Irr!BE2&lt;&gt;"."),dir!J2/((1/1000)*(Irr!I2+Irr!BE2)),IF(AND(Irr!I2=".",Irr!AG2&lt;&gt;".",Irr!BE2&lt;&gt;"."),dir!J2/((1/1000)*(Irr!AG2+Irr!BE2)),IF(AND(Irr!I2=".",Irr!AG2=".",Irr!BE2&lt;&gt;"."),dir!J2/((1/1000)*(Irr!BE2)),IF(AND(Irr!I2=".",Irr!AG2&lt;&gt;".",Irr!BE2="."),dir!J2/((1/1000)*(Irr!AG2)),IF(AND(Irr!I2&lt;&gt;".",Irr!AG2=".",Irr!BE2="."),dir!J2/((1/1000)*(Irr!I2)),IF(AND(Irr!I2=".",Irr!AG2=".",Irr!BE2="."),dir!J2*1000)))))))),".")</f>
        <v>4.4972427816227754</v>
      </c>
      <c r="K2" s="76">
        <f>IFERROR(IF(AND(Irr!J2&lt;&gt;".",Irr!AH2&lt;&gt;".",Irr!BF2&lt;&gt;"."),dir!K2/((1/1000)*(Irr!J2+Irr!AH2+Irr!BF2)),IF(AND(Irr!J2&lt;&gt;".",Irr!AH2&lt;&gt;".",Irr!BF2="."),dir!K2/((1/1000)*(Irr!J2+Irr!AH2)),IF(AND(Irr!J2&lt;&gt;".",Irr!AH2=".",Irr!BF2&lt;&gt;"."),dir!K2/((1/1000)*(Irr!J2+Irr!BF2)),IF(AND(Irr!J2=".",Irr!AH2&lt;&gt;".",Irr!BF2&lt;&gt;"."),dir!K2/((1/1000)*(Irr!AH2+Irr!BF2)),IF(AND(Irr!J2=".",Irr!AH2=".",Irr!BF2&lt;&gt;"."),dir!K2/((1/1000)*(Irr!BF2)),IF(AND(Irr!J2=".",Irr!AH2&lt;&gt;".",Irr!BF2="."),dir!K2/((1/1000)*(Irr!AH2)),IF(AND(Irr!J2&lt;&gt;".",Irr!AH2=".",Irr!BF2="."),dir!K2/((1/1000)*(Irr!J2)),IF(AND(Irr!J2=".",Irr!AH2=".",Irr!BF2="."),dir!K2*1000)))))))),".")</f>
        <v>0.38841829152460339</v>
      </c>
      <c r="L2" s="76">
        <f>IFERROR(IF(AND(Irr!K2&lt;&gt;".",Irr!AI2&lt;&gt;".",Irr!BG2&lt;&gt;"."),dir!L2/((1/1000)*(Irr!K2+Irr!AI2+Irr!BG2)),IF(AND(Irr!K2&lt;&gt;".",Irr!AI2&lt;&gt;".",Irr!BG2="."),dir!L2/((1/1000)*(Irr!K2+Irr!AI2)),IF(AND(Irr!K2&lt;&gt;".",Irr!AI2=".",Irr!BG2&lt;&gt;"."),dir!L2/((1/1000)*(Irr!K2+Irr!BG2)),IF(AND(Irr!K2=".",Irr!AI2&lt;&gt;".",Irr!BG2&lt;&gt;"."),dir!L2/((1/1000)*(Irr!AI2+Irr!BG2)),IF(AND(Irr!K2=".",Irr!AI2=".",Irr!BG2&lt;&gt;"."),dir!L2/((1/1000)*(Irr!BG2)),IF(AND(Irr!K2=".",Irr!AI2&lt;&gt;".",Irr!BG2="."),dir!L2/((1/1000)*(Irr!AI2)),IF(AND(Irr!K2&lt;&gt;".",Irr!AI2=".",Irr!BG2="."),dir!L2/((1/1000)*(Irr!K2)),IF(AND(Irr!K2=".",Irr!AI2=".",Irr!BG2="."),dir!L2*1000)))))))),".")</f>
        <v>2.1334156871042271</v>
      </c>
      <c r="M2" s="76">
        <f>IFERROR(IF(AND(Irr!L2&lt;&gt;".",Irr!AJ2&lt;&gt;".",Irr!BH2&lt;&gt;"."),dir!M2/((1/1000)*(Irr!L2+Irr!AJ2+Irr!BH2)),IF(AND(Irr!L2&lt;&gt;".",Irr!AJ2&lt;&gt;".",Irr!BH2="."),dir!M2/((1/1000)*(Irr!L2+Irr!AJ2)),IF(AND(Irr!L2&lt;&gt;".",Irr!AJ2=".",Irr!BH2&lt;&gt;"."),dir!M2/((1/1000)*(Irr!L2+Irr!BH2)),IF(AND(Irr!L2=".",Irr!AJ2&lt;&gt;".",Irr!BH2&lt;&gt;"."),dir!M2/((1/1000)*(Irr!AJ2+Irr!BH2)),IF(AND(Irr!L2=".",Irr!AJ2=".",Irr!BH2&lt;&gt;"."),dir!M2/((1/1000)*(Irr!BH2)),IF(AND(Irr!L2=".",Irr!AJ2&lt;&gt;".",Irr!BH2="."),dir!M2/((1/1000)*(Irr!AJ2)),IF(AND(Irr!L2&lt;&gt;".",Irr!AJ2=".",Irr!BH2="."),dir!M2/((1/1000)*(Irr!L2)),IF(AND(Irr!L2=".",Irr!AJ2=".",Irr!BH2="."),dir!M2*1000)))))))),".")</f>
        <v>1.588052880724192</v>
      </c>
      <c r="N2" s="76">
        <f>IFERROR(IF(AND(Irr!M2&lt;&gt;".",Irr!AK2&lt;&gt;".",Irr!BI2&lt;&gt;"."),dir!N2/((1/1000)*(Irr!M2+Irr!AK2+Irr!BI2)),IF(AND(Irr!M2&lt;&gt;".",Irr!AK2&lt;&gt;".",Irr!BI2="."),dir!N2/((1/1000)*(Irr!M2+Irr!AK2)),IF(AND(Irr!M2&lt;&gt;".",Irr!AK2=".",Irr!BI2&lt;&gt;"."),dir!N2/((1/1000)*(Irr!M2+Irr!BI2)),IF(AND(Irr!M2=".",Irr!AK2&lt;&gt;".",Irr!BI2&lt;&gt;"."),dir!N2/((1/1000)*(Irr!AK2+Irr!BI2)),IF(AND(Irr!M2=".",Irr!AK2=".",Irr!BI2&lt;&gt;"."),dir!N2/((1/1000)*(Irr!BI2)),IF(AND(Irr!M2=".",Irr!AK2&lt;&gt;".",Irr!BI2="."),dir!N2/((1/1000)*(Irr!AK2)),IF(AND(Irr!M2&lt;&gt;".",Irr!AK2=".",Irr!BI2="."),dir!N2/((1/1000)*(Irr!M2)),IF(AND(Irr!M2=".",Irr!AK2=".",Irr!BI2="."),dir!N2*1000)))))))),".")</f>
        <v>3.2617411112798043</v>
      </c>
      <c r="O2" s="76">
        <f>IFERROR(IF(AND(Irr!N2&lt;&gt;".",Irr!AL2&lt;&gt;".",Irr!BJ2&lt;&gt;"."),dir!O2/((1/1000)*(Irr!N2+Irr!AL2+Irr!BJ2)),IF(AND(Irr!N2&lt;&gt;".",Irr!AL2&lt;&gt;".",Irr!BJ2="."),dir!O2/((1/1000)*(Irr!N2+Irr!AL2)),IF(AND(Irr!N2&lt;&gt;".",Irr!AL2=".",Irr!BJ2&lt;&gt;"."),dir!O2/((1/1000)*(Irr!N2+Irr!BJ2)),IF(AND(Irr!N2=".",Irr!AL2&lt;&gt;".",Irr!BJ2&lt;&gt;"."),dir!O2/((1/1000)*(Irr!AL2+Irr!BJ2)),IF(AND(Irr!N2=".",Irr!AL2=".",Irr!BJ2&lt;&gt;"."),dir!O2/((1/1000)*(Irr!BJ2)),IF(AND(Irr!N2=".",Irr!AL2&lt;&gt;".",Irr!BJ2="."),dir!O2/((1/1000)*(Irr!AL2)),IF(AND(Irr!N2&lt;&gt;".",Irr!AL2=".",Irr!BJ2="."),dir!O2/((1/1000)*(Irr!N2)),IF(AND(Irr!N2=".",Irr!AL2=".",Irr!BJ2="."),dir!O2*1000)))))))),".")</f>
        <v>3.8567811386710882</v>
      </c>
      <c r="P2" s="76">
        <f>IFERROR(IF(AND(Irr!O2&lt;&gt;".",Irr!AM2&lt;&gt;".",Irr!BK2&lt;&gt;"."),dir!P2/((1/1000)*(Irr!O2+Irr!AM2+Irr!BK2)),IF(AND(Irr!O2&lt;&gt;".",Irr!AM2&lt;&gt;".",Irr!BK2="."),dir!P2/((1/1000)*(Irr!O2+Irr!AM2)),IF(AND(Irr!O2&lt;&gt;".",Irr!AM2=".",Irr!BK2&lt;&gt;"."),dir!P2/((1/1000)*(Irr!O2+Irr!BK2)),IF(AND(Irr!O2=".",Irr!AM2&lt;&gt;".",Irr!BK2&lt;&gt;"."),dir!P2/((1/1000)*(Irr!AM2+Irr!BK2)),IF(AND(Irr!O2=".",Irr!AM2=".",Irr!BK2&lt;&gt;"."),dir!P2/((1/1000)*(Irr!BK2)),IF(AND(Irr!O2=".",Irr!AM2&lt;&gt;".",Irr!BK2="."),dir!P2/((1/1000)*(Irr!AM2)),IF(AND(Irr!O2&lt;&gt;".",Irr!AM2=".",Irr!BK2="."),dir!P2/((1/1000)*(Irr!O2)),IF(AND(Irr!O2=".",Irr!AM2=".",Irr!BK2="."),dir!P2*1000)))))))),".")</f>
        <v>4.4951554057745735</v>
      </c>
      <c r="Q2" s="76">
        <f>IFERROR(IF(AND(Irr!P2&lt;&gt;".",Irr!AN2&lt;&gt;".",Irr!BL2&lt;&gt;"."),dir!Q2/((1/1000)*(Irr!P2+Irr!AN2+Irr!BL2)),IF(AND(Irr!P2&lt;&gt;".",Irr!AN2&lt;&gt;".",Irr!BL2="."),dir!Q2/((1/1000)*(Irr!P2+Irr!AN2)),IF(AND(Irr!P2&lt;&gt;".",Irr!AN2=".",Irr!BL2&lt;&gt;"."),dir!Q2/((1/1000)*(Irr!P2+Irr!BL2)),IF(AND(Irr!P2=".",Irr!AN2&lt;&gt;".",Irr!BL2&lt;&gt;"."),dir!Q2/((1/1000)*(Irr!AN2+Irr!BL2)),IF(AND(Irr!P2=".",Irr!AN2=".",Irr!BL2&lt;&gt;"."),dir!Q2/((1/1000)*(Irr!BL2)),IF(AND(Irr!P2=".",Irr!AN2&lt;&gt;".",Irr!BL2="."),dir!Q2/((1/1000)*(Irr!AN2)),IF(AND(Irr!P2&lt;&gt;".",Irr!AN2=".",Irr!BL2="."),dir!Q2/((1/1000)*(Irr!P2)),IF(AND(Irr!P2=".",Irr!AN2=".",Irr!BL2="."),dir!Q2*1000)))))))),".")</f>
        <v>6.0695583335665058</v>
      </c>
      <c r="R2" s="76">
        <f>IFERROR(IF(AND(Irr!Q2&lt;&gt;".",Irr!AO2&lt;&gt;".",Irr!BM2&lt;&gt;"."),dir!R2/((1/1000)*(Irr!Q2+Irr!AO2+Irr!BM2)),IF(AND(Irr!Q2&lt;&gt;".",Irr!AO2&lt;&gt;".",Irr!BM2="."),dir!R2/((1/1000)*(Irr!Q2+Irr!AO2)),IF(AND(Irr!Q2&lt;&gt;".",Irr!AO2=".",Irr!BM2&lt;&gt;"."),dir!R2/((1/1000)*(Irr!Q2+Irr!BM2)),IF(AND(Irr!Q2=".",Irr!AO2&lt;&gt;".",Irr!BM2&lt;&gt;"."),dir!R2/((1/1000)*(Irr!AO2+Irr!BM2)),IF(AND(Irr!Q2=".",Irr!AO2=".",Irr!BM2&lt;&gt;"."),dir!R2/((1/1000)*(Irr!BM2)),IF(AND(Irr!Q2=".",Irr!AO2&lt;&gt;".",Irr!BM2="."),dir!R2/((1/1000)*(Irr!AO2)),IF(AND(Irr!Q2&lt;&gt;".",Irr!AO2=".",Irr!BM2="."),dir!R2/((1/1000)*(Irr!Q2)),IF(AND(Irr!Q2=".",Irr!AO2=".",Irr!BM2="."),dir!R2*1000)))))))),".")</f>
        <v>0.95764429071717883</v>
      </c>
      <c r="S2" s="76">
        <f>IFERROR(IF(AND(Irr!R2&lt;&gt;".",Irr!AP2&lt;&gt;".",Irr!BN2&lt;&gt;"."),dir!S2/((1/1000)*(Irr!R2+Irr!AP2+Irr!BN2)),IF(AND(Irr!R2&lt;&gt;".",Irr!AP2&lt;&gt;".",Irr!BN2="."),dir!S2/((1/1000)*(Irr!R2+Irr!AP2)),IF(AND(Irr!R2&lt;&gt;".",Irr!AP2=".",Irr!BN2&lt;&gt;"."),dir!S2/((1/1000)*(Irr!R2+Irr!BN2)),IF(AND(Irr!R2=".",Irr!AP2&lt;&gt;".",Irr!BN2&lt;&gt;"."),dir!S2/((1/1000)*(Irr!AP2+Irr!BN2)),IF(AND(Irr!R2=".",Irr!AP2=".",Irr!BN2&lt;&gt;"."),dir!S2/((1/1000)*(Irr!BN2)),IF(AND(Irr!R2=".",Irr!AP2&lt;&gt;".",Irr!BN2="."),dir!S2/((1/1000)*(Irr!AP2)),IF(AND(Irr!R2&lt;&gt;".",Irr!AP2=".",Irr!BN2="."),dir!S2/((1/1000)*(Irr!R2)),IF(AND(Irr!R2=".",Irr!AP2=".",Irr!BN2="."),dir!S2*1000)))))))),".")</f>
        <v>1.9887650322574244</v>
      </c>
      <c r="T2" s="76">
        <f>IFERROR(IF(AND(Irr!S2&lt;&gt;".",Irr!AQ2&lt;&gt;".",Irr!BO2&lt;&gt;"."),dir!T2/((1/1000)*(Irr!S2+Irr!AQ2+Irr!BO2)),IF(AND(Irr!S2&lt;&gt;".",Irr!AQ2&lt;&gt;".",Irr!BO2="."),dir!T2/((1/1000)*(Irr!S2+Irr!AQ2)),IF(AND(Irr!S2&lt;&gt;".",Irr!AQ2=".",Irr!BO2&lt;&gt;"."),dir!T2/((1/1000)*(Irr!S2+Irr!BO2)),IF(AND(Irr!S2=".",Irr!AQ2&lt;&gt;".",Irr!BO2&lt;&gt;"."),dir!T2/((1/1000)*(Irr!AQ2+Irr!BO2)),IF(AND(Irr!S2=".",Irr!AQ2=".",Irr!BO2&lt;&gt;"."),dir!T2/((1/1000)*(Irr!BO2)),IF(AND(Irr!S2=".",Irr!AQ2&lt;&gt;".",Irr!BO2="."),dir!T2/((1/1000)*(Irr!AQ2)),IF(AND(Irr!S2&lt;&gt;".",Irr!AQ2=".",Irr!BO2="."),dir!T2/((1/1000)*(Irr!S2)),IF(AND(Irr!S2=".",Irr!AQ2=".",Irr!BO2="."),dir!T2*1000)))))))),".")</f>
        <v>3.1704446827139878</v>
      </c>
      <c r="U2" s="76">
        <f>IFERROR(IF(AND(Irr!T2&lt;&gt;".",Irr!AR2&lt;&gt;".",Irr!BP2&lt;&gt;"."),dir!U2/((1/1000)*(Irr!T2+Irr!AR2+Irr!BP2)),IF(AND(Irr!T2&lt;&gt;".",Irr!AR2&lt;&gt;".",Irr!BP2="."),dir!U2/((1/1000)*(Irr!T2+Irr!AR2)),IF(AND(Irr!T2&lt;&gt;".",Irr!AR2=".",Irr!BP2&lt;&gt;"."),dir!U2/((1/1000)*(Irr!T2+Irr!BP2)),IF(AND(Irr!T2=".",Irr!AR2&lt;&gt;".",Irr!BP2&lt;&gt;"."),dir!U2/((1/1000)*(Irr!AR2+Irr!BP2)),IF(AND(Irr!T2=".",Irr!AR2=".",Irr!BP2&lt;&gt;"."),dir!U2/((1/1000)*(Irr!BP2)),IF(AND(Irr!T2=".",Irr!AR2&lt;&gt;".",Irr!BP2="."),dir!U2/((1/1000)*(Irr!AR2)),IF(AND(Irr!T2&lt;&gt;".",Irr!AR2=".",Irr!BP2="."),dir!U2/((1/1000)*(Irr!T2)),IF(AND(Irr!T2=".",Irr!AR2=".",Irr!BP2="."),dir!U2*1000)))))))),".")</f>
        <v>0.99588874117053761</v>
      </c>
      <c r="V2" s="76">
        <f>IFERROR(IF(AND(Irr!U2&lt;&gt;".",Irr!AS2&lt;&gt;".",Irr!BQ2&lt;&gt;"."),dir!V2/((1/1000)*(Irr!U2+Irr!AS2+Irr!BQ2)),IF(AND(Irr!U2&lt;&gt;".",Irr!AS2&lt;&gt;".",Irr!BQ2="."),dir!V2/((1/1000)*(Irr!U2+Irr!AS2)),IF(AND(Irr!U2&lt;&gt;".",Irr!AS2=".",Irr!BQ2&lt;&gt;"."),dir!V2/((1/1000)*(Irr!U2+Irr!BQ2)),IF(AND(Irr!U2=".",Irr!AS2&lt;&gt;".",Irr!BQ2&lt;&gt;"."),dir!V2/((1/1000)*(Irr!AS2+Irr!BQ2)),IF(AND(Irr!U2=".",Irr!AS2=".",Irr!BQ2&lt;&gt;"."),dir!V2/((1/1000)*(Irr!BQ2)),IF(AND(Irr!U2=".",Irr!AS2&lt;&gt;".",Irr!BQ2="."),dir!V2/((1/1000)*(Irr!AS2)),IF(AND(Irr!U2&lt;&gt;".",Irr!AS2=".",Irr!BQ2="."),dir!V2/((1/1000)*(Irr!U2)),IF(AND(Irr!U2=".",Irr!AS2=".",Irr!BQ2="."),dir!V2*1000)))))))),".")</f>
        <v>1.8240368363338162</v>
      </c>
      <c r="W2" s="76">
        <f>IFERROR(IF(AND(Irr!V2&lt;&gt;".",Irr!AT2&lt;&gt;".",Irr!BR2&lt;&gt;"."),dir!W2/((1/1000)*(Irr!V2+Irr!AT2+Irr!BR2)),IF(AND(Irr!V2&lt;&gt;".",Irr!AT2&lt;&gt;".",Irr!BR2="."),dir!W2/((1/1000)*(Irr!V2+Irr!AT2)),IF(AND(Irr!V2&lt;&gt;".",Irr!AT2=".",Irr!BR2&lt;&gt;"."),dir!W2/((1/1000)*(Irr!V2+Irr!BR2)),IF(AND(Irr!V2=".",Irr!AT2&lt;&gt;".",Irr!BR2&lt;&gt;"."),dir!W2/((1/1000)*(Irr!AT2+Irr!BR2)),IF(AND(Irr!V2=".",Irr!AT2=".",Irr!BR2&lt;&gt;"."),dir!W2/((1/1000)*(Irr!BR2)),IF(AND(Irr!V2=".",Irr!AT2&lt;&gt;".",Irr!BR2="."),dir!W2/((1/1000)*(Irr!AT2)),IF(AND(Irr!V2&lt;&gt;".",Irr!AT2=".",Irr!BR2="."),dir!W2/((1/1000)*(Irr!V2)),IF(AND(Irr!V2=".",Irr!AT2=".",Irr!BR2="."),dir!W2*1000)))))))),".")</f>
        <v>2.1965660866278505</v>
      </c>
      <c r="X2" s="76">
        <f>IFERROR(IF(AND(Irr!W2&lt;&gt;".",Irr!AU2&lt;&gt;".",Irr!BS2&lt;&gt;"."),dir!X2/((1/1000)*(Irr!W2+Irr!AU2+Irr!BS2)),IF(AND(Irr!W2&lt;&gt;".",Irr!AU2&lt;&gt;".",Irr!BS2="."),dir!X2/((1/1000)*(Irr!W2+Irr!AU2)),IF(AND(Irr!W2&lt;&gt;".",Irr!AU2=".",Irr!BS2&lt;&gt;"."),dir!X2/((1/1000)*(Irr!W2+Irr!BS2)),IF(AND(Irr!W2=".",Irr!AU2&lt;&gt;".",Irr!BS2&lt;&gt;"."),dir!X2/((1/1000)*(Irr!AU2+Irr!BS2)),IF(AND(Irr!W2=".",Irr!AU2=".",Irr!BS2&lt;&gt;"."),dir!X2/((1/1000)*(Irr!BS2)),IF(AND(Irr!W2=".",Irr!AU2&lt;&gt;".",Irr!BS2="."),dir!X2/((1/1000)*(Irr!AU2)),IF(AND(Irr!W2&lt;&gt;".",Irr!AU2=".",Irr!BS2="."),dir!X2/((1/1000)*(Irr!W2)),IF(AND(Irr!W2=".",Irr!AU2=".",Irr!BS2="."),dir!X2*1000)))))))),".")</f>
        <v>2.9715323424739801</v>
      </c>
      <c r="Y2" s="76">
        <f>IFERROR(IF(AND(Irr!X2&lt;&gt;".",Irr!AV2&lt;&gt;".",Irr!BT2&lt;&gt;"."),dir!Y2/((1/1000)*(Irr!X2+Irr!AV2+Irr!BT2)),IF(AND(Irr!X2&lt;&gt;".",Irr!AV2&lt;&gt;".",Irr!BT2="."),dir!Y2/((1/1000)*(Irr!X2+Irr!AV2)),IF(AND(Irr!X2&lt;&gt;".",Irr!AV2=".",Irr!BT2&lt;&gt;"."),dir!Y2/((1/1000)*(Irr!X2+Irr!BT2)),IF(AND(Irr!X2=".",Irr!AV2&lt;&gt;".",Irr!BT2&lt;&gt;"."),dir!Y2/((1/1000)*(Irr!AV2+Irr!BT2)),IF(AND(Irr!X2=".",Irr!AV2=".",Irr!BT2&lt;&gt;"."),dir!Y2/((1/1000)*(Irr!BT2)),IF(AND(Irr!X2=".",Irr!AV2&lt;&gt;".",Irr!BT2="."),dir!Y2/((1/1000)*(Irr!AV2)),IF(AND(Irr!X2&lt;&gt;".",Irr!AV2=".",Irr!BT2="."),dir!Y2/((1/1000)*(Irr!X2)),IF(AND(Irr!X2=".",Irr!AV2=".",Irr!BT2="."),dir!Y2*1000)))))))),".")</f>
        <v>1.5787000425128799</v>
      </c>
      <c r="Z2" s="76">
        <f>IFERROR(IF(AND(Irr!Y2&lt;&gt;".",Irr!AW2&lt;&gt;".",Irr!BU2&lt;&gt;"."),dir!Z2/((1/1000)*(Irr!Y2+Irr!AW2+Irr!BU2)),IF(AND(Irr!Y2&lt;&gt;".",Irr!AW2&lt;&gt;".",Irr!BU2="."),dir!Z2/((1/1000)*(Irr!Y2+Irr!AW2)),IF(AND(Irr!Y2&lt;&gt;".",Irr!AW2=".",Irr!BU2&lt;&gt;"."),dir!Z2/((1/1000)*(Irr!Y2+Irr!BU2)),IF(AND(Irr!Y2=".",Irr!AW2&lt;&gt;".",Irr!BU2&lt;&gt;"."),dir!Z2/((1/1000)*(Irr!AW2+Irr!BU2)),IF(AND(Irr!Y2=".",Irr!AW2=".",Irr!BU2&lt;&gt;"."),dir!Z2/((1/1000)*(Irr!BU2)),IF(AND(Irr!Y2=".",Irr!AW2&lt;&gt;".",Irr!BU2="."),dir!Z2/((1/1000)*(Irr!AW2)),IF(AND(Irr!Y2&lt;&gt;".",Irr!AW2=".",Irr!BU2="."),dir!Z2/((1/1000)*(Irr!Y2)),IF(AND(Irr!Y2=".",Irr!AW2=".",Irr!BU2="."),dir!Z2*1000)))))))),".")</f>
        <v>0.50951765675900462</v>
      </c>
      <c r="AA2" s="76">
        <f>IFERROR(IF(AND(Irr!Z2&lt;&gt;".",Irr!AX2&lt;&gt;".",Irr!BV2&lt;&gt;"."),dir!AA2/((1/1000)*(Irr!Z2+Irr!AX2+Irr!BV2)),IF(AND(Irr!Z2&lt;&gt;".",Irr!AX2&lt;&gt;".",Irr!BV2="."),dir!AA2/((1/1000)*(Irr!Z2+Irr!AX2)),IF(AND(Irr!Z2&lt;&gt;".",Irr!AX2=".",Irr!BV2&lt;&gt;"."),dir!AA2/((1/1000)*(Irr!Z2+Irr!BV2)),IF(AND(Irr!Z2=".",Irr!AX2&lt;&gt;".",Irr!BV2&lt;&gt;"."),dir!AA2/((1/1000)*(Irr!AX2+Irr!BV2)),IF(AND(Irr!Z2=".",Irr!AX2=".",Irr!BV2&lt;&gt;"."),dir!AA2/((1/1000)*(Irr!BV2)),IF(AND(Irr!Z2=".",Irr!AX2&lt;&gt;".",Irr!BV2="."),dir!AA2/((1/1000)*(Irr!AX2)),IF(AND(Irr!Z2&lt;&gt;".",Irr!AX2=".",Irr!BV2="."),dir!AA2/((1/1000)*(Irr!Z2)),IF(AND(Irr!Z2=".",Irr!AX2=".",Irr!BV2="."),dir!AA2*1000)))))))),".")</f>
        <v>0.39450260197877901</v>
      </c>
      <c r="AB2" s="76">
        <f t="shared" ref="AB2:AB3" si="1">IFERROR(1/SUM(1/AC2,1/AD2,1/AE2,1/AF2,1/AG2,1/AH2,1/AI2,1/AJ2,1/AK2,1/AL2,1/AM2,1/AN2,1/AO2,1/AP2,1/AQ2,1/AR2,1/AS2,1/AT2,1/AU2,1/AV2,1/AW2,1/AX2),".")</f>
        <v>5.0610026775341196E-2</v>
      </c>
      <c r="AC2" s="76">
        <f>IFERROR(IF(AND(Irr!C2&lt;&gt;".",Irr!AA2&lt;&gt;".",Irr!AY2&lt;&gt;"."),dir!AC2/((1/1000)*(Irr!C2+Irr!AA2+Irr!AY2)),IF(AND(Irr!C2&lt;&gt;".",Irr!AA2&lt;&gt;".",Irr!AY2="."),dir!AC2/((1/1000)*(Irr!C2+Irr!AA2)),IF(AND(Irr!C2&lt;&gt;".",Irr!AA2=".",Irr!AY2&lt;&gt;"."),dir!AC2/((1/1000)*(Irr!C2+Irr!AY2)),IF(AND(Irr!C2=".",Irr!AA2&lt;&gt;".",Irr!AY2&lt;&gt;"."),dir!AC2/((1/1000)*(Irr!AA2+Irr!AY2)),IF(AND(Irr!C2=".",Irr!AA2=".",Irr!AY2&lt;&gt;"."),dir!AC2/((1/1000)*(Irr!AY2)),IF(AND(Irr!C2=".",Irr!AA2&lt;&gt;".",Irr!AY2="."),dir!AC2/((1/1000)*(Irr!AA2)),IF(AND(Irr!C2&lt;&gt;".",Irr!AA2=".",Irr!AY2="."),dir!AC2/((1/1000)*(Irr!C2)),IF(AND(Irr!C2=".",Irr!AA2=".",Irr!AY2="."),dir!AC2*1000)))))))),".")</f>
        <v>0.84561210306120138</v>
      </c>
      <c r="AD2" s="76">
        <f>IFERROR(IF(AND(Irr!D2&lt;&gt;".",Irr!AB2&lt;&gt;".",Irr!AZ2&lt;&gt;"."),dir!AD2/((1/1000)*(Irr!D2+Irr!AB2+Irr!AZ2)),IF(AND(Irr!D2&lt;&gt;".",Irr!AB2&lt;&gt;".",Irr!AZ2="."),dir!AD2/((1/1000)*(Irr!D2+Irr!AB2)),IF(AND(Irr!D2&lt;&gt;".",Irr!AB2=".",Irr!AZ2&lt;&gt;"."),dir!AD2/((1/1000)*(Irr!D2+Irr!AZ2)),IF(AND(Irr!D2=".",Irr!AB2&lt;&gt;".",Irr!AZ2&lt;&gt;"."),dir!AD2/((1/1000)*(Irr!AB2+Irr!AZ2)),IF(AND(Irr!D2=".",Irr!AB2=".",Irr!AZ2&lt;&gt;"."),dir!AD2/((1/1000)*(Irr!AZ2)),IF(AND(Irr!D2=".",Irr!AB2&lt;&gt;".",Irr!AZ2="."),dir!AD2/((1/1000)*(Irr!AB2)),IF(AND(Irr!D2&lt;&gt;".",Irr!AB2=".",Irr!AZ2="."),dir!AD2/((1/1000)*(Irr!D2)),IF(AND(Irr!D2=".",Irr!AB2=".",Irr!AZ2="."),dir!AD2*1000)))))))),".")</f>
        <v>2.0295750329943099</v>
      </c>
      <c r="AE2" s="76">
        <f>IFERROR(IF(AND(Irr!E2&lt;&gt;".",Irr!AC2&lt;&gt;".",Irr!BA2&lt;&gt;"."),dir!AE2/((1/1000)*(Irr!E2+Irr!AC2+Irr!BA2)),IF(AND(Irr!E2&lt;&gt;".",Irr!AC2&lt;&gt;".",Irr!BA2="."),dir!AE2/((1/1000)*(Irr!E2+Irr!AC2)),IF(AND(Irr!E2&lt;&gt;".",Irr!AC2=".",Irr!BA2&lt;&gt;"."),dir!AE2/((1/1000)*(Irr!E2+Irr!BA2)),IF(AND(Irr!E2=".",Irr!AC2&lt;&gt;".",Irr!BA2&lt;&gt;"."),dir!AE2/((1/1000)*(Irr!AC2+Irr!BA2)),IF(AND(Irr!E2=".",Irr!AC2=".",Irr!BA2&lt;&gt;"."),dir!AE2/((1/1000)*(Irr!BA2)),IF(AND(Irr!E2=".",Irr!AC2&lt;&gt;".",Irr!BA2="."),dir!AE2/((1/1000)*(Irr!AC2)),IF(AND(Irr!E2&lt;&gt;".",Irr!AC2=".",Irr!BA2="."),dir!AE2/((1/1000)*(Irr!E2)),IF(AND(Irr!E2=".",Irr!AC2=".",Irr!BA2="."),dir!AE2*1000)))))))),".")</f>
        <v>2.4289208923952552</v>
      </c>
      <c r="AF2" s="76">
        <f>IFERROR(IF(AND(Irr!F2&lt;&gt;".",Irr!AD2&lt;&gt;".",Irr!BB2&lt;&gt;"."),dir!AF2/((1/1000)*(Irr!F2+Irr!AD2+Irr!BB2)),IF(AND(Irr!F2&lt;&gt;".",Irr!AD2&lt;&gt;".",Irr!BB2="."),dir!AF2/((1/1000)*(Irr!F2+Irr!AD2)),IF(AND(Irr!F2&lt;&gt;".",Irr!AD2=".",Irr!BB2&lt;&gt;"."),dir!AF2/((1/1000)*(Irr!F2+Irr!BB2)),IF(AND(Irr!F2=".",Irr!AD2&lt;&gt;".",Irr!BB2&lt;&gt;"."),dir!AF2/((1/1000)*(Irr!AD2+Irr!BB2)),IF(AND(Irr!F2=".",Irr!AD2=".",Irr!BB2&lt;&gt;"."),dir!AF2/((1/1000)*(Irr!BB2)),IF(AND(Irr!F2=".",Irr!AD2&lt;&gt;".",Irr!BB2="."),dir!AF2/((1/1000)*(Irr!AD2)),IF(AND(Irr!F2&lt;&gt;".",Irr!AD2=".",Irr!BB2="."),dir!AF2/((1/1000)*(Irr!F2)),IF(AND(Irr!F2=".",Irr!AD2=".",Irr!BB2="."),dir!AF2*1000)))))))),".")</f>
        <v>2.119996241549444</v>
      </c>
      <c r="AG2" s="76">
        <f>IFERROR(IF(AND(Irr!G2&lt;&gt;".",Irr!AE2&lt;&gt;".",Irr!BC2&lt;&gt;"."),dir!AG2/((1/1000)*(Irr!G2+Irr!AE2+Irr!BC2)),IF(AND(Irr!G2&lt;&gt;".",Irr!AE2&lt;&gt;".",Irr!BC2="."),dir!AG2/((1/1000)*(Irr!G2+Irr!AE2)),IF(AND(Irr!G2&lt;&gt;".",Irr!AE2=".",Irr!BC2&lt;&gt;"."),dir!AG2/((1/1000)*(Irr!G2+Irr!BC2)),IF(AND(Irr!G2=".",Irr!AE2&lt;&gt;".",Irr!BC2&lt;&gt;"."),dir!AG2/((1/1000)*(Irr!AE2+Irr!BC2)),IF(AND(Irr!G2=".",Irr!AE2=".",Irr!BC2&lt;&gt;"."),dir!AG2/((1/1000)*(Irr!BC2)),IF(AND(Irr!G2=".",Irr!AE2&lt;&gt;".",Irr!BC2="."),dir!AG2/((1/1000)*(Irr!AE2)),IF(AND(Irr!G2&lt;&gt;".",Irr!AE2=".",Irr!BC2="."),dir!AG2/((1/1000)*(Irr!G2)),IF(AND(Irr!G2=".",Irr!AE2=".",Irr!BC2="."),dir!AG2*1000)))))))),".")</f>
        <v>2.2014918557580545</v>
      </c>
      <c r="AH2" s="76">
        <f>IFERROR(IF(AND(Irr!H2&lt;&gt;".",Irr!AF2&lt;&gt;".",Irr!BD2&lt;&gt;"."),dir!AH2/((1/1000)*(Irr!H2+Irr!AF2+Irr!BD2)),IF(AND(Irr!H2&lt;&gt;".",Irr!AF2&lt;&gt;".",Irr!BD2="."),dir!AH2/((1/1000)*(Irr!H2+Irr!AF2)),IF(AND(Irr!H2&lt;&gt;".",Irr!AF2=".",Irr!BD2&lt;&gt;"."),dir!AH2/((1/1000)*(Irr!H2+Irr!BD2)),IF(AND(Irr!H2=".",Irr!AF2&lt;&gt;".",Irr!BD2&lt;&gt;"."),dir!AH2/((1/1000)*(Irr!AF2+Irr!BD2)),IF(AND(Irr!H2=".",Irr!AF2=".",Irr!BD2&lt;&gt;"."),dir!AH2/((1/1000)*(Irr!BD2)),IF(AND(Irr!H2=".",Irr!AF2&lt;&gt;".",Irr!BD2="."),dir!AH2/((1/1000)*(Irr!AF2)),IF(AND(Irr!H2&lt;&gt;".",Irr!AF2=".",Irr!BD2="."),dir!AH2/((1/1000)*(Irr!H2)),IF(AND(Irr!H2=".",Irr!AF2=".",Irr!BD2="."),dir!AH2*1000)))))))),".")</f>
        <v>0.95793419617854081</v>
      </c>
      <c r="AI2" s="76">
        <f>IFERROR(IF(AND(Irr!I2&lt;&gt;".",Irr!AG2&lt;&gt;".",Irr!BE2&lt;&gt;"."),dir!AI2/((1/1000)*(Irr!I2+Irr!AG2+Irr!BE2)),IF(AND(Irr!I2&lt;&gt;".",Irr!AG2&lt;&gt;".",Irr!BE2="."),dir!AI2/((1/1000)*(Irr!I2+Irr!AG2)),IF(AND(Irr!I2&lt;&gt;".",Irr!AG2=".",Irr!BE2&lt;&gt;"."),dir!AI2/((1/1000)*(Irr!I2+Irr!BE2)),IF(AND(Irr!I2=".",Irr!AG2&lt;&gt;".",Irr!BE2&lt;&gt;"."),dir!AI2/((1/1000)*(Irr!AG2+Irr!BE2)),IF(AND(Irr!I2=".",Irr!AG2=".",Irr!BE2&lt;&gt;"."),dir!AI2/((1/1000)*(Irr!BE2)),IF(AND(Irr!I2=".",Irr!AG2&lt;&gt;".",Irr!BE2="."),dir!AI2/((1/1000)*(Irr!AG2)),IF(AND(Irr!I2&lt;&gt;".",Irr!AG2=".",Irr!BE2="."),dir!AI2/((1/1000)*(Irr!I2)),IF(AND(Irr!I2=".",Irr!AG2=".",Irr!BE2="."),dir!AI2*1000)))))))),".")</f>
        <v>3.1422345100540037</v>
      </c>
      <c r="AJ2" s="76">
        <f>IFERROR(IF(AND(Irr!J2&lt;&gt;".",Irr!AH2&lt;&gt;".",Irr!BF2&lt;&gt;"."),dir!AJ2/((1/1000)*(Irr!J2+Irr!AH2+Irr!BF2)),IF(AND(Irr!J2&lt;&gt;".",Irr!AH2&lt;&gt;".",Irr!BF2="."),dir!AJ2/((1/1000)*(Irr!J2+Irr!AH2)),IF(AND(Irr!J2&lt;&gt;".",Irr!AH2=".",Irr!BF2&lt;&gt;"."),dir!AJ2/((1/1000)*(Irr!J2+Irr!BF2)),IF(AND(Irr!J2=".",Irr!AH2&lt;&gt;".",Irr!BF2&lt;&gt;"."),dir!AJ2/((1/1000)*(Irr!AH2+Irr!BF2)),IF(AND(Irr!J2=".",Irr!AH2=".",Irr!BF2&lt;&gt;"."),dir!AJ2/((1/1000)*(Irr!BF2)),IF(AND(Irr!J2=".",Irr!AH2&lt;&gt;".",Irr!BF2="."),dir!AJ2/((1/1000)*(Irr!AH2)),IF(AND(Irr!J2&lt;&gt;".",Irr!AH2=".",Irr!BF2="."),dir!AJ2/((1/1000)*(Irr!J2)),IF(AND(Irr!J2=".",Irr!AH2=".",Irr!BF2="."),dir!AJ2*1000)))))))),".")</f>
        <v>0.24438510442099939</v>
      </c>
      <c r="AK2" s="76">
        <f>IFERROR(IF(AND(Irr!K2&lt;&gt;".",Irr!AI2&lt;&gt;".",Irr!BG2&lt;&gt;"."),dir!AK2/((1/1000)*(Irr!K2+Irr!AI2+Irr!BG2)),IF(AND(Irr!K2&lt;&gt;".",Irr!AI2&lt;&gt;".",Irr!BG2="."),dir!AK2/((1/1000)*(Irr!K2+Irr!AI2)),IF(AND(Irr!K2&lt;&gt;".",Irr!AI2=".",Irr!BG2&lt;&gt;"."),dir!AK2/((1/1000)*(Irr!K2+Irr!BG2)),IF(AND(Irr!K2=".",Irr!AI2&lt;&gt;".",Irr!BG2&lt;&gt;"."),dir!AK2/((1/1000)*(Irr!AI2+Irr!BG2)),IF(AND(Irr!K2=".",Irr!AI2=".",Irr!BG2&lt;&gt;"."),dir!AK2/((1/1000)*(Irr!BG2)),IF(AND(Irr!K2=".",Irr!AI2&lt;&gt;".",Irr!BG2="."),dir!AK2/((1/1000)*(Irr!AI2)),IF(AND(Irr!K2&lt;&gt;".",Irr!AI2=".",Irr!BG2="."),dir!AK2/((1/1000)*(Irr!K2)),IF(AND(Irr!K2=".",Irr!AI2=".",Irr!BG2="."),dir!AK2*1000)))))))),".")</f>
        <v>0.95711310297404295</v>
      </c>
      <c r="AL2" s="76">
        <f>IFERROR(IF(AND(Irr!L2&lt;&gt;".",Irr!AJ2&lt;&gt;".",Irr!BH2&lt;&gt;"."),dir!AL2/((1/1000)*(Irr!L2+Irr!AJ2+Irr!BH2)),IF(AND(Irr!L2&lt;&gt;".",Irr!AJ2&lt;&gt;".",Irr!BH2="."),dir!AL2/((1/1000)*(Irr!L2+Irr!AJ2)),IF(AND(Irr!L2&lt;&gt;".",Irr!AJ2=".",Irr!BH2&lt;&gt;"."),dir!AL2/((1/1000)*(Irr!L2+Irr!BH2)),IF(AND(Irr!L2=".",Irr!AJ2&lt;&gt;".",Irr!BH2&lt;&gt;"."),dir!AL2/((1/1000)*(Irr!AJ2+Irr!BH2)),IF(AND(Irr!L2=".",Irr!AJ2=".",Irr!BH2&lt;&gt;"."),dir!AL2/((1/1000)*(Irr!BH2)),IF(AND(Irr!L2=".",Irr!AJ2&lt;&gt;".",Irr!BH2="."),dir!AL2/((1/1000)*(Irr!AJ2)),IF(AND(Irr!L2&lt;&gt;".",Irr!AJ2=".",Irr!BH2="."),dir!AL2/((1/1000)*(Irr!L2)),IF(AND(Irr!L2=".",Irr!AJ2=".",Irr!BH2="."),dir!AL2*1000)))))))),".")</f>
        <v>1.45281016588203</v>
      </c>
      <c r="AM2" s="76">
        <f>IFERROR(IF(AND(Irr!M2&lt;&gt;".",Irr!AK2&lt;&gt;".",Irr!BI2&lt;&gt;"."),dir!AM2/((1/1000)*(Irr!M2+Irr!AK2+Irr!BI2)),IF(AND(Irr!M2&lt;&gt;".",Irr!AK2&lt;&gt;".",Irr!BI2="."),dir!AM2/((1/1000)*(Irr!M2+Irr!AK2)),IF(AND(Irr!M2&lt;&gt;".",Irr!AK2=".",Irr!BI2&lt;&gt;"."),dir!AM2/((1/1000)*(Irr!M2+Irr!BI2)),IF(AND(Irr!M2=".",Irr!AK2&lt;&gt;".",Irr!BI2&lt;&gt;"."),dir!AM2/((1/1000)*(Irr!AK2+Irr!BI2)),IF(AND(Irr!M2=".",Irr!AK2=".",Irr!BI2&lt;&gt;"."),dir!AM2/((1/1000)*(Irr!BI2)),IF(AND(Irr!M2=".",Irr!AK2&lt;&gt;".",Irr!BI2="."),dir!AM2/((1/1000)*(Irr!AK2)),IF(AND(Irr!M2&lt;&gt;".",Irr!AK2=".",Irr!BI2="."),dir!AM2/((1/1000)*(Irr!M2)),IF(AND(Irr!M2=".",Irr!AK2=".",Irr!BI2="."),dir!AM2*1000)))))))),".")</f>
        <v>1.9447021300293061</v>
      </c>
      <c r="AN2" s="76">
        <f>IFERROR(IF(AND(Irr!N2&lt;&gt;".",Irr!AL2&lt;&gt;".",Irr!BJ2&lt;&gt;"."),dir!AN2/((1/1000)*(Irr!N2+Irr!AL2+Irr!BJ2)),IF(AND(Irr!N2&lt;&gt;".",Irr!AL2&lt;&gt;".",Irr!BJ2="."),dir!AN2/((1/1000)*(Irr!N2+Irr!AL2)),IF(AND(Irr!N2&lt;&gt;".",Irr!AL2=".",Irr!BJ2&lt;&gt;"."),dir!AN2/((1/1000)*(Irr!N2+Irr!BJ2)),IF(AND(Irr!N2=".",Irr!AL2&lt;&gt;".",Irr!BJ2&lt;&gt;"."),dir!AN2/((1/1000)*(Irr!AL2+Irr!BJ2)),IF(AND(Irr!N2=".",Irr!AL2=".",Irr!BJ2&lt;&gt;"."),dir!AN2/((1/1000)*(Irr!BJ2)),IF(AND(Irr!N2=".",Irr!AL2&lt;&gt;".",Irr!BJ2="."),dir!AN2/((1/1000)*(Irr!AL2)),IF(AND(Irr!N2&lt;&gt;".",Irr!AL2=".",Irr!BJ2="."),dir!AN2/((1/1000)*(Irr!N2)),IF(AND(Irr!N2=".",Irr!AL2=".",Irr!BJ2="."),dir!AN2*1000)))))))),".")</f>
        <v>2.3208201600318366</v>
      </c>
      <c r="AO2" s="76">
        <f>IFERROR(IF(AND(Irr!O2&lt;&gt;".",Irr!AM2&lt;&gt;".",Irr!BK2&lt;&gt;"."),dir!AO2/((1/1000)*(Irr!O2+Irr!AM2+Irr!BK2)),IF(AND(Irr!O2&lt;&gt;".",Irr!AM2&lt;&gt;".",Irr!BK2="."),dir!AO2/((1/1000)*(Irr!O2+Irr!AM2)),IF(AND(Irr!O2&lt;&gt;".",Irr!AM2=".",Irr!BK2&lt;&gt;"."),dir!AO2/((1/1000)*(Irr!O2+Irr!BK2)),IF(AND(Irr!O2=".",Irr!AM2&lt;&gt;".",Irr!BK2&lt;&gt;"."),dir!AO2/((1/1000)*(Irr!AM2+Irr!BK2)),IF(AND(Irr!O2=".",Irr!AM2=".",Irr!BK2&lt;&gt;"."),dir!AO2/((1/1000)*(Irr!BK2)),IF(AND(Irr!O2=".",Irr!AM2&lt;&gt;".",Irr!BK2="."),dir!AO2/((1/1000)*(Irr!AM2)),IF(AND(Irr!O2&lt;&gt;".",Irr!AM2=".",Irr!BK2="."),dir!AO2/((1/1000)*(Irr!O2)),IF(AND(Irr!O2=".",Irr!AM2=".",Irr!BK2="."),dir!AO2*1000)))))))),".")</f>
        <v>2.6998108889018271</v>
      </c>
      <c r="AP2" s="76">
        <f>IFERROR(IF(AND(Irr!P2&lt;&gt;".",Irr!AN2&lt;&gt;".",Irr!BL2&lt;&gt;"."),dir!AP2/((1/1000)*(Irr!P2+Irr!AN2+Irr!BL2)),IF(AND(Irr!P2&lt;&gt;".",Irr!AN2&lt;&gt;".",Irr!BL2="."),dir!AP2/((1/1000)*(Irr!P2+Irr!AN2)),IF(AND(Irr!P2&lt;&gt;".",Irr!AN2=".",Irr!BL2&lt;&gt;"."),dir!AP2/((1/1000)*(Irr!P2+Irr!BL2)),IF(AND(Irr!P2=".",Irr!AN2&lt;&gt;".",Irr!BL2&lt;&gt;"."),dir!AP2/((1/1000)*(Irr!AN2+Irr!BL2)),IF(AND(Irr!P2=".",Irr!AN2=".",Irr!BL2&lt;&gt;"."),dir!AP2/((1/1000)*(Irr!BL2)),IF(AND(Irr!P2=".",Irr!AN2&lt;&gt;".",Irr!BL2="."),dir!AP2/((1/1000)*(Irr!AN2)),IF(AND(Irr!P2&lt;&gt;".",Irr!AN2=".",Irr!BL2="."),dir!AP2/((1/1000)*(Irr!P2)),IF(AND(Irr!P2=".",Irr!AN2=".",Irr!BL2="."),dir!AP2*1000)))))))),".")</f>
        <v>2.9520124622346189</v>
      </c>
      <c r="AQ2" s="76">
        <f>IFERROR(IF(AND(Irr!Q2&lt;&gt;".",Irr!AO2&lt;&gt;".",Irr!BM2&lt;&gt;"."),dir!AQ2/((1/1000)*(Irr!Q2+Irr!AO2+Irr!BM2)),IF(AND(Irr!Q2&lt;&gt;".",Irr!AO2&lt;&gt;".",Irr!BM2="."),dir!AQ2/((1/1000)*(Irr!Q2+Irr!AO2)),IF(AND(Irr!Q2&lt;&gt;".",Irr!AO2=".",Irr!BM2&lt;&gt;"."),dir!AQ2/((1/1000)*(Irr!Q2+Irr!BM2)),IF(AND(Irr!Q2=".",Irr!AO2&lt;&gt;".",Irr!BM2&lt;&gt;"."),dir!AQ2/((1/1000)*(Irr!AO2+Irr!BM2)),IF(AND(Irr!Q2=".",Irr!AO2=".",Irr!BM2&lt;&gt;"."),dir!AQ2/((1/1000)*(Irr!BM2)),IF(AND(Irr!Q2=".",Irr!AO2&lt;&gt;".",Irr!BM2="."),dir!AQ2/((1/1000)*(Irr!AO2)),IF(AND(Irr!Q2&lt;&gt;".",Irr!AO2=".",Irr!BM2="."),dir!AQ2/((1/1000)*(Irr!Q2)),IF(AND(Irr!Q2=".",Irr!AO2=".",Irr!BM2="."),dir!AQ2*1000)))))))),".")</f>
        <v>0.6964006467948195</v>
      </c>
      <c r="AR2" s="76">
        <f>IFERROR(IF(AND(Irr!R2&lt;&gt;".",Irr!AP2&lt;&gt;".",Irr!BN2&lt;&gt;"."),dir!AR2/((1/1000)*(Irr!R2+Irr!AP2+Irr!BN2)),IF(AND(Irr!R2&lt;&gt;".",Irr!AP2&lt;&gt;".",Irr!BN2="."),dir!AR2/((1/1000)*(Irr!R2+Irr!AP2)),IF(AND(Irr!R2&lt;&gt;".",Irr!AP2=".",Irr!BN2&lt;&gt;"."),dir!AR2/((1/1000)*(Irr!R2+Irr!BN2)),IF(AND(Irr!R2=".",Irr!AP2&lt;&gt;".",Irr!BN2&lt;&gt;"."),dir!AR2/((1/1000)*(Irr!AP2+Irr!BN2)),IF(AND(Irr!R2=".",Irr!AP2=".",Irr!BN2&lt;&gt;"."),dir!AR2/((1/1000)*(Irr!BN2)),IF(AND(Irr!R2=".",Irr!AP2&lt;&gt;".",Irr!BN2="."),dir!AR2/((1/1000)*(Irr!AP2)),IF(AND(Irr!R2&lt;&gt;".",Irr!AP2=".",Irr!BN2="."),dir!AR2/((1/1000)*(Irr!R2)),IF(AND(Irr!R2=".",Irr!AP2=".",Irr!BN2="."),dir!AR2*1000)))))))),".")</f>
        <v>1.1450127579634222</v>
      </c>
      <c r="AS2" s="76">
        <f>IFERROR(IF(AND(Irr!S2&lt;&gt;".",Irr!AQ2&lt;&gt;".",Irr!BO2&lt;&gt;"."),dir!AS2/((1/1000)*(Irr!S2+Irr!AQ2+Irr!BO2)),IF(AND(Irr!S2&lt;&gt;".",Irr!AQ2&lt;&gt;".",Irr!BO2="."),dir!AS2/((1/1000)*(Irr!S2+Irr!AQ2)),IF(AND(Irr!S2&lt;&gt;".",Irr!AQ2=".",Irr!BO2&lt;&gt;"."),dir!AS2/((1/1000)*(Irr!S2+Irr!BO2)),IF(AND(Irr!S2=".",Irr!AQ2&lt;&gt;".",Irr!BO2&lt;&gt;"."),dir!AS2/((1/1000)*(Irr!AQ2+Irr!BO2)),IF(AND(Irr!S2=".",Irr!AQ2=".",Irr!BO2&lt;&gt;"."),dir!AS2/((1/1000)*(Irr!BO2)),IF(AND(Irr!S2=".",Irr!AQ2&lt;&gt;".",Irr!BO2="."),dir!AS2/((1/1000)*(Irr!AQ2)),IF(AND(Irr!S2&lt;&gt;".",Irr!AQ2=".",Irr!BO2="."),dir!AS2/((1/1000)*(Irr!S2)),IF(AND(Irr!S2=".",Irr!AQ2=".",Irr!BO2="."),dir!AS2*1000)))))))),".")</f>
        <v>2.2842419850017737</v>
      </c>
      <c r="AT2" s="76">
        <f>IFERROR(IF(AND(Irr!T2&lt;&gt;".",Irr!AR2&lt;&gt;".",Irr!BP2&lt;&gt;"."),dir!AT2/((1/1000)*(Irr!T2+Irr!AR2+Irr!BP2)),IF(AND(Irr!T2&lt;&gt;".",Irr!AR2&lt;&gt;".",Irr!BP2="."),dir!AT2/((1/1000)*(Irr!T2+Irr!AR2)),IF(AND(Irr!T2&lt;&gt;".",Irr!AR2=".",Irr!BP2&lt;&gt;"."),dir!AT2/((1/1000)*(Irr!T2+Irr!BP2)),IF(AND(Irr!T2=".",Irr!AR2&lt;&gt;".",Irr!BP2&lt;&gt;"."),dir!AT2/((1/1000)*(Irr!AR2+Irr!BP2)),IF(AND(Irr!T2=".",Irr!AR2=".",Irr!BP2&lt;&gt;"."),dir!AT2/((1/1000)*(Irr!BP2)),IF(AND(Irr!T2=".",Irr!AR2&lt;&gt;".",Irr!BP2="."),dir!AT2/((1/1000)*(Irr!AR2)),IF(AND(Irr!T2&lt;&gt;".",Irr!AR2=".",Irr!BP2="."),dir!AT2/((1/1000)*(Irr!T2)),IF(AND(Irr!T2=".",Irr!AR2=".",Irr!BP2="."),dir!AT2*1000)))))))),".")</f>
        <v>0.55264594577792736</v>
      </c>
      <c r="AU2" s="76">
        <f>IFERROR(IF(AND(Irr!U2&lt;&gt;".",Irr!AS2&lt;&gt;".",Irr!BQ2&lt;&gt;"."),dir!AU2/((1/1000)*(Irr!U2+Irr!AS2+Irr!BQ2)),IF(AND(Irr!U2&lt;&gt;".",Irr!AS2&lt;&gt;".",Irr!BQ2="."),dir!AU2/((1/1000)*(Irr!U2+Irr!AS2)),IF(AND(Irr!U2&lt;&gt;".",Irr!AS2=".",Irr!BQ2&lt;&gt;"."),dir!AU2/((1/1000)*(Irr!U2+Irr!BQ2)),IF(AND(Irr!U2=".",Irr!AS2&lt;&gt;".",Irr!BQ2&lt;&gt;"."),dir!AU2/((1/1000)*(Irr!AS2+Irr!BQ2)),IF(AND(Irr!U2=".",Irr!AS2=".",Irr!BQ2&lt;&gt;"."),dir!AU2/((1/1000)*(Irr!BQ2)),IF(AND(Irr!U2=".",Irr!AS2&lt;&gt;".",Irr!BQ2="."),dir!AU2/((1/1000)*(Irr!AS2)),IF(AND(Irr!U2&lt;&gt;".",Irr!AS2=".",Irr!BQ2="."),dir!AU2/((1/1000)*(Irr!U2)),IF(AND(Irr!U2=".",Irr!AS2=".",Irr!BQ2="."),dir!AU2*1000)))))))),".")</f>
        <v>1.1552823027410106</v>
      </c>
      <c r="AV2" s="76">
        <f>IFERROR(IF(AND(Irr!V2&lt;&gt;".",Irr!AT2&lt;&gt;".",Irr!BR2&lt;&gt;"."),dir!AV2/((1/1000)*(Irr!V2+Irr!AT2+Irr!BR2)),IF(AND(Irr!V2&lt;&gt;".",Irr!AT2&lt;&gt;".",Irr!BR2="."),dir!AV2/((1/1000)*(Irr!V2+Irr!AT2)),IF(AND(Irr!V2&lt;&gt;".",Irr!AT2=".",Irr!BR2&lt;&gt;"."),dir!AV2/((1/1000)*(Irr!V2+Irr!BR2)),IF(AND(Irr!V2=".",Irr!AT2&lt;&gt;".",Irr!BR2&lt;&gt;"."),dir!AV2/((1/1000)*(Irr!AT2+Irr!BR2)),IF(AND(Irr!V2=".",Irr!AT2=".",Irr!BR2&lt;&gt;"."),dir!AV2/((1/1000)*(Irr!BR2)),IF(AND(Irr!V2=".",Irr!AT2&lt;&gt;".",Irr!BR2="."),dir!AV2/((1/1000)*(Irr!AT2)),IF(AND(Irr!V2&lt;&gt;".",Irr!AT2=".",Irr!BR2="."),dir!AV2/((1/1000)*(Irr!V2)),IF(AND(Irr!V2=".",Irr!AT2=".",Irr!BR2="."),dir!AV2*1000)))))))),".")</f>
        <v>1.3585495399813055</v>
      </c>
      <c r="AW2" s="76">
        <f>IFERROR(IF(AND(Irr!W2&lt;&gt;".",Irr!AU2&lt;&gt;".",Irr!BS2&lt;&gt;"."),dir!AW2/((1/1000)*(Irr!W2+Irr!AU2+Irr!BS2)),IF(AND(Irr!W2&lt;&gt;".",Irr!AU2&lt;&gt;".",Irr!BS2="."),dir!AW2/((1/1000)*(Irr!W2+Irr!AU2)),IF(AND(Irr!W2&lt;&gt;".",Irr!AU2=".",Irr!BS2&lt;&gt;"."),dir!AW2/((1/1000)*(Irr!W2+Irr!BS2)),IF(AND(Irr!W2=".",Irr!AU2&lt;&gt;".",Irr!BS2&lt;&gt;"."),dir!AW2/((1/1000)*(Irr!AU2+Irr!BS2)),IF(AND(Irr!W2=".",Irr!AU2=".",Irr!BS2&lt;&gt;"."),dir!AW2/((1/1000)*(Irr!BS2)),IF(AND(Irr!W2=".",Irr!AU2&lt;&gt;".",Irr!BS2="."),dir!AW2/((1/1000)*(Irr!AU2)),IF(AND(Irr!W2&lt;&gt;".",Irr!AU2=".",Irr!BS2="."),dir!AW2/((1/1000)*(Irr!W2)),IF(AND(Irr!W2=".",Irr!AU2=".",Irr!BS2="."),dir!AW2*1000)))))))),".")</f>
        <v>1.8694530396333557</v>
      </c>
      <c r="AX2" s="76">
        <f>IFERROR(IF(AND(Irr!X2&lt;&gt;".",Irr!AV2&lt;&gt;".",Irr!BT2&lt;&gt;"."),dir!AX2/((1/1000)*(Irr!X2+Irr!AV2+Irr!BT2)),IF(AND(Irr!X2&lt;&gt;".",Irr!AV2&lt;&gt;".",Irr!BT2="."),dir!AX2/((1/1000)*(Irr!X2+Irr!AV2)),IF(AND(Irr!X2&lt;&gt;".",Irr!AV2=".",Irr!BT2&lt;&gt;"."),dir!AX2/((1/1000)*(Irr!X2+Irr!BT2)),IF(AND(Irr!X2=".",Irr!AV2&lt;&gt;".",Irr!BT2&lt;&gt;"."),dir!AX2/((1/1000)*(Irr!AV2+Irr!BT2)),IF(AND(Irr!X2=".",Irr!AV2=".",Irr!BT2&lt;&gt;"."),dir!AX2/((1/1000)*(Irr!BT2)),IF(AND(Irr!X2=".",Irr!AV2&lt;&gt;".",Irr!BT2="."),dir!AX2/((1/1000)*(Irr!AV2)),IF(AND(Irr!X2&lt;&gt;".",Irr!AV2=".",Irr!BT2="."),dir!AX2/((1/1000)*(Irr!X2)),IF(AND(Irr!X2=".",Irr!AV2=".",Irr!BT2="."),dir!AX2*1000)))))))),".")</f>
        <v>0.82548403254541958</v>
      </c>
      <c r="AY2" s="76">
        <f>IFERROR(IF(AND(Irr!Y2&lt;&gt;".",Irr!AW2&lt;&gt;".",Irr!BU2&lt;&gt;"."),dir!AY2/((1/1000)*(Irr!Y2+Irr!AW2+Irr!BU2)),IF(AND(Irr!Y2&lt;&gt;".",Irr!AW2&lt;&gt;".",Irr!BU2="."),dir!AY2/((1/1000)*(Irr!Y2+Irr!AW2)),IF(AND(Irr!Y2&lt;&gt;".",Irr!AW2=".",Irr!BU2&lt;&gt;"."),dir!AY2/((1/1000)*(Irr!Y2+Irr!BU2)),IF(AND(Irr!Y2=".",Irr!AW2&lt;&gt;".",Irr!BU2&lt;&gt;"."),dir!AY2/((1/1000)*(Irr!AW2+Irr!BU2)),IF(AND(Irr!Y2=".",Irr!AW2=".",Irr!BU2&lt;&gt;"."),dir!AY2/((1/1000)*(Irr!BU2)),IF(AND(Irr!Y2=".",Irr!AW2&lt;&gt;".",Irr!BU2="."),dir!AY2/((1/1000)*(Irr!AW2)),IF(AND(Irr!Y2&lt;&gt;".",Irr!AW2=".",Irr!BU2="."),dir!AY2/((1/1000)*(Irr!Y2)),IF(AND(Irr!Y2=".",Irr!AW2=".",Irr!BU2="."),dir!AY2*1000)))))))),".")</f>
        <v>0.25917661153059196</v>
      </c>
      <c r="AZ2" s="76">
        <f>IFERROR(IF(AND(Irr!Z2&lt;&gt;".",Irr!AX2&lt;&gt;".",Irr!BV2&lt;&gt;"."),dir!AZ2/((1/1000)*(Irr!Z2+Irr!AX2+Irr!BV2)),IF(AND(Irr!Z2&lt;&gt;".",Irr!AX2&lt;&gt;".",Irr!BV2="."),dir!AZ2/((1/1000)*(Irr!Z2+Irr!AX2)),IF(AND(Irr!Z2&lt;&gt;".",Irr!AX2=".",Irr!BV2&lt;&gt;"."),dir!AZ2/((1/1000)*(Irr!Z2+Irr!BV2)),IF(AND(Irr!Z2=".",Irr!AX2&lt;&gt;".",Irr!BV2&lt;&gt;"."),dir!AZ2/((1/1000)*(Irr!AX2+Irr!BV2)),IF(AND(Irr!Z2=".",Irr!AX2=".",Irr!BV2&lt;&gt;"."),dir!AZ2/((1/1000)*(Irr!BV2)),IF(AND(Irr!Z2=".",Irr!AX2&lt;&gt;".",Irr!BV2="."),dir!AZ2/((1/1000)*(Irr!AX2)),IF(AND(Irr!Z2&lt;&gt;".",Irr!AX2=".",Irr!BV2="."),dir!AZ2/((1/1000)*(Irr!Z2)),IF(AND(Irr!Z2=".",Irr!AX2=".",Irr!BV2="."),dir!AZ2*1000)))))))),".")</f>
        <v>0.24524451584518578</v>
      </c>
    </row>
    <row r="3" spans="1:52" x14ac:dyDescent="0.25">
      <c r="A3" s="94" t="s">
        <v>13</v>
      </c>
      <c r="B3" s="90" t="s">
        <v>351</v>
      </c>
      <c r="C3" s="76">
        <f>IFERROR(1/SUM(1/D3,1/E3,1/F3,1/G3,1/H3,1/I3,1/J3,1/K3,1/L3,1/M3,1/N3,1/O3,1/P3,1/Q3,1/R3,1/S3,1/T3,1/U3,1/V3,1/W3,1/X3,1/Y3),".")</f>
        <v>0.16897009545523717</v>
      </c>
      <c r="D3" s="76">
        <f>IFERROR(IF(AND(Irr!C3&lt;&gt;".",Irr!AA3&lt;&gt;".",Irr!AY3&lt;&gt;"."),dir!D3/((1/1000)*(Irr!C3+Irr!AA3+Irr!AY3)),IF(AND(Irr!C3&lt;&gt;".",Irr!AA3&lt;&gt;".",Irr!AY3="."),dir!D3/((1/1000)*(Irr!C3+Irr!AA3)),IF(AND(Irr!C3&lt;&gt;".",Irr!AA3=".",Irr!AY3&lt;&gt;"."),dir!D3/((1/1000)*(Irr!C3+Irr!AY3)),IF(AND(Irr!C3=".",Irr!AA3&lt;&gt;".",Irr!AY3&lt;&gt;"."),dir!D3/((1/1000)*(Irr!AA3+Irr!AY3)),IF(AND(Irr!C3=".",Irr!AA3=".",Irr!AY3&lt;&gt;"."),dir!D3/((1/1000)*(Irr!AY3)),IF(AND(Irr!C3=".",Irr!AA3&lt;&gt;".",Irr!AY3="."),dir!D3/((1/1000)*(Irr!AA3)),IF(AND(Irr!C3&lt;&gt;".",Irr!AA3=".",Irr!AY3="."),dir!D3/((1/1000)*(Irr!C3)),IF(AND(Irr!C3=".",Irr!AA3=".",Irr!AY3="."),dir!D3*1000)))))))),".")</f>
        <v>3.073430711047068</v>
      </c>
      <c r="E3" s="76">
        <f>IFERROR(IF(AND(Irr!D3&lt;&gt;".",Irr!AB3&lt;&gt;".",Irr!AZ3&lt;&gt;"."),dir!E3/((1/1000)*(Irr!D3+Irr!AB3+Irr!AZ3)),IF(AND(Irr!D3&lt;&gt;".",Irr!AB3&lt;&gt;".",Irr!AZ3="."),dir!E3/((1/1000)*(Irr!D3+Irr!AB3)),IF(AND(Irr!D3&lt;&gt;".",Irr!AB3=".",Irr!AZ3&lt;&gt;"."),dir!E3/((1/1000)*(Irr!D3+Irr!AZ3)),IF(AND(Irr!D3=".",Irr!AB3&lt;&gt;".",Irr!AZ3&lt;&gt;"."),dir!E3/((1/1000)*(Irr!AB3+Irr!AZ3)),IF(AND(Irr!D3=".",Irr!AB3=".",Irr!AZ3&lt;&gt;"."),dir!E3/((1/1000)*(Irr!AZ3)),IF(AND(Irr!D3=".",Irr!AB3&lt;&gt;".",Irr!AZ3="."),dir!E3/((1/1000)*(Irr!AB3)),IF(AND(Irr!D3&lt;&gt;".",Irr!AB3=".",Irr!AZ3="."),dir!E3/((1/1000)*(Irr!D3)),IF(AND(Irr!D3=".",Irr!AB3=".",Irr!AZ3="."),dir!E3*1000)))))))),".")</f>
        <v>6.8211993158578705</v>
      </c>
      <c r="F3" s="76">
        <f>IFERROR(IF(AND(Irr!E3&lt;&gt;".",Irr!AC3&lt;&gt;".",Irr!BA3&lt;&gt;"."),dir!F3/((1/1000)*(Irr!E3+Irr!AC3+Irr!BA3)),IF(AND(Irr!E3&lt;&gt;".",Irr!AC3&lt;&gt;".",Irr!BA3="."),dir!F3/((1/1000)*(Irr!E3+Irr!AC3)),IF(AND(Irr!E3&lt;&gt;".",Irr!AC3=".",Irr!BA3&lt;&gt;"."),dir!F3/((1/1000)*(Irr!E3+Irr!BA3)),IF(AND(Irr!E3=".",Irr!AC3&lt;&gt;".",Irr!BA3&lt;&gt;"."),dir!F3/((1/1000)*(Irr!AC3+Irr!BA3)),IF(AND(Irr!E3=".",Irr!AC3=".",Irr!BA3&lt;&gt;"."),dir!F3/((1/1000)*(Irr!BA3)),IF(AND(Irr!E3=".",Irr!AC3&lt;&gt;".",Irr!BA3="."),dir!F3/((1/1000)*(Irr!AC3)),IF(AND(Irr!E3&lt;&gt;".",Irr!AC3=".",Irr!BA3="."),dir!F3/((1/1000)*(Irr!E3)),IF(AND(Irr!E3=".",Irr!AC3=".",Irr!BA3="."),dir!F3*1000)))))))),".")</f>
        <v>8.3068618760012747</v>
      </c>
      <c r="G3" s="76">
        <f>IFERROR(IF(AND(Irr!F3&lt;&gt;".",Irr!AD3&lt;&gt;".",Irr!BB3&lt;&gt;"."),dir!G3/((1/1000)*(Irr!F3+Irr!AD3+Irr!BB3)),IF(AND(Irr!F3&lt;&gt;".",Irr!AD3&lt;&gt;".",Irr!BB3="."),dir!G3/((1/1000)*(Irr!F3+Irr!AD3)),IF(AND(Irr!F3&lt;&gt;".",Irr!AD3=".",Irr!BB3&lt;&gt;"."),dir!G3/((1/1000)*(Irr!F3+Irr!BB3)),IF(AND(Irr!F3=".",Irr!AD3&lt;&gt;".",Irr!BB3&lt;&gt;"."),dir!G3/((1/1000)*(Irr!AD3+Irr!BB3)),IF(AND(Irr!F3=".",Irr!AD3=".",Irr!BB3&lt;&gt;"."),dir!G3/((1/1000)*(Irr!BB3)),IF(AND(Irr!F3=".",Irr!AD3&lt;&gt;".",Irr!BB3="."),dir!G3/((1/1000)*(Irr!AD3)),IF(AND(Irr!F3&lt;&gt;".",Irr!AD3=".",Irr!BB3="."),dir!G3/((1/1000)*(Irr!F3)),IF(AND(Irr!F3=".",Irr!AD3=".",Irr!BB3="."),dir!G3*1000)))))))),".")</f>
        <v>6.8328439088076678</v>
      </c>
      <c r="H3" s="76">
        <f>IFERROR(IF(AND(Irr!G3&lt;&gt;".",Irr!AE3&lt;&gt;".",Irr!BC3&lt;&gt;"."),dir!H3/((1/1000)*(Irr!G3+Irr!AE3+Irr!BC3)),IF(AND(Irr!G3&lt;&gt;".",Irr!AE3&lt;&gt;".",Irr!BC3="."),dir!H3/((1/1000)*(Irr!G3+Irr!AE3)),IF(AND(Irr!G3&lt;&gt;".",Irr!AE3=".",Irr!BC3&lt;&gt;"."),dir!H3/((1/1000)*(Irr!G3+Irr!BC3)),IF(AND(Irr!G3=".",Irr!AE3&lt;&gt;".",Irr!BC3&lt;&gt;"."),dir!H3/((1/1000)*(Irr!AE3+Irr!BC3)),IF(AND(Irr!G3=".",Irr!AE3=".",Irr!BC3&lt;&gt;"."),dir!H3/((1/1000)*(Irr!BC3)),IF(AND(Irr!G3=".",Irr!AE3&lt;&gt;".",Irr!BC3="."),dir!H3/((1/1000)*(Irr!AE3)),IF(AND(Irr!G3&lt;&gt;".",Irr!AE3=".",Irr!BC3="."),dir!H3/((1/1000)*(Irr!G3)),IF(AND(Irr!G3=".",Irr!AE3=".",Irr!BC3="."),dir!H3*1000)))))))),".")</f>
        <v>8.0639076197515038</v>
      </c>
      <c r="I3" s="76">
        <f>IFERROR(IF(AND(Irr!H3&lt;&gt;".",Irr!AF3&lt;&gt;".",Irr!BD3&lt;&gt;"."),dir!I3/((1/1000)*(Irr!H3+Irr!AF3+Irr!BD3)),IF(AND(Irr!H3&lt;&gt;".",Irr!AF3&lt;&gt;".",Irr!BD3="."),dir!I3/((1/1000)*(Irr!H3+Irr!AF3)),IF(AND(Irr!H3&lt;&gt;".",Irr!AF3=".",Irr!BD3&lt;&gt;"."),dir!I3/((1/1000)*(Irr!H3+Irr!BD3)),IF(AND(Irr!H3=".",Irr!AF3&lt;&gt;".",Irr!BD3&lt;&gt;"."),dir!I3/((1/1000)*(Irr!AF3+Irr!BD3)),IF(AND(Irr!H3=".",Irr!AF3=".",Irr!BD3&lt;&gt;"."),dir!I3/((1/1000)*(Irr!BD3)),IF(AND(Irr!H3=".",Irr!AF3&lt;&gt;".",Irr!BD3="."),dir!I3/((1/1000)*(Irr!AF3)),IF(AND(Irr!H3&lt;&gt;".",Irr!AF3=".",Irr!BD3="."),dir!I3/((1/1000)*(Irr!H3)),IF(AND(Irr!H3=".",Irr!AF3=".",Irr!BD3="."),dir!I3*1000)))))))),".")</f>
        <v>3.0541294139998221</v>
      </c>
      <c r="J3" s="76">
        <f>IFERROR(IF(AND(Irr!I3&lt;&gt;".",Irr!AG3&lt;&gt;".",Irr!BE3&lt;&gt;"."),dir!J3/((1/1000)*(Irr!I3+Irr!AG3+Irr!BE3)),IF(AND(Irr!I3&lt;&gt;".",Irr!AG3&lt;&gt;".",Irr!BE3="."),dir!J3/((1/1000)*(Irr!I3+Irr!AG3)),IF(AND(Irr!I3&lt;&gt;".",Irr!AG3=".",Irr!BE3&lt;&gt;"."),dir!J3/((1/1000)*(Irr!I3+Irr!BE3)),IF(AND(Irr!I3=".",Irr!AG3&lt;&gt;".",Irr!BE3&lt;&gt;"."),dir!J3/((1/1000)*(Irr!AG3+Irr!BE3)),IF(AND(Irr!I3=".",Irr!AG3=".",Irr!BE3&lt;&gt;"."),dir!J3/((1/1000)*(Irr!BE3)),IF(AND(Irr!I3=".",Irr!AG3&lt;&gt;".",Irr!BE3="."),dir!J3/((1/1000)*(Irr!AG3)),IF(AND(Irr!I3&lt;&gt;".",Irr!AG3=".",Irr!BE3="."),dir!J3/((1/1000)*(Irr!I3)),IF(AND(Irr!I3=".",Irr!AG3=".",Irr!BE3="."),dir!J3*1000)))))))),".")</f>
        <v>9.1733707745233986</v>
      </c>
      <c r="K3" s="76">
        <f>IFERROR(IF(AND(Irr!J3&lt;&gt;".",Irr!AH3&lt;&gt;".",Irr!BF3&lt;&gt;"."),dir!K3/((1/1000)*(Irr!J3+Irr!AH3+Irr!BF3)),IF(AND(Irr!J3&lt;&gt;".",Irr!AH3&lt;&gt;".",Irr!BF3="."),dir!K3/((1/1000)*(Irr!J3+Irr!AH3)),IF(AND(Irr!J3&lt;&gt;".",Irr!AH3=".",Irr!BF3&lt;&gt;"."),dir!K3/((1/1000)*(Irr!J3+Irr!BF3)),IF(AND(Irr!J3=".",Irr!AH3&lt;&gt;".",Irr!BF3&lt;&gt;"."),dir!K3/((1/1000)*(Irr!AH3+Irr!BF3)),IF(AND(Irr!J3=".",Irr!AH3=".",Irr!BF3&lt;&gt;"."),dir!K3/((1/1000)*(Irr!BF3)),IF(AND(Irr!J3=".",Irr!AH3&lt;&gt;".",Irr!BF3="."),dir!K3/((1/1000)*(Irr!AH3)),IF(AND(Irr!J3&lt;&gt;".",Irr!AH3=".",Irr!BF3="."),dir!K3/((1/1000)*(Irr!J3)),IF(AND(Irr!J3=".",Irr!AH3=".",Irr!BF3="."),dir!K3*1000)))))))),".")</f>
        <v>0.79724441849698147</v>
      </c>
      <c r="L3" s="76">
        <f>IFERROR(IF(AND(Irr!K3&lt;&gt;".",Irr!AI3&lt;&gt;".",Irr!BG3&lt;&gt;"."),dir!L3/((1/1000)*(Irr!K3+Irr!AI3+Irr!BG3)),IF(AND(Irr!K3&lt;&gt;".",Irr!AI3&lt;&gt;".",Irr!BG3="."),dir!L3/((1/1000)*(Irr!K3+Irr!AI3)),IF(AND(Irr!K3&lt;&gt;".",Irr!AI3=".",Irr!BG3&lt;&gt;"."),dir!L3/((1/1000)*(Irr!K3+Irr!BG3)),IF(AND(Irr!K3=".",Irr!AI3&lt;&gt;".",Irr!BG3&lt;&gt;"."),dir!L3/((1/1000)*(Irr!AI3+Irr!BG3)),IF(AND(Irr!K3=".",Irr!AI3=".",Irr!BG3&lt;&gt;"."),dir!L3/((1/1000)*(Irr!BG3)),IF(AND(Irr!K3=".",Irr!AI3&lt;&gt;".",Irr!BG3="."),dir!L3/((1/1000)*(Irr!AI3)),IF(AND(Irr!K3&lt;&gt;".",Irr!AI3=".",Irr!BG3="."),dir!L3/((1/1000)*(Irr!K3)),IF(AND(Irr!K3=".",Irr!AI3=".",Irr!BG3="."),dir!L3*1000)))))))),".")</f>
        <v>4.378112779166373</v>
      </c>
      <c r="M3" s="76">
        <f>IFERROR(IF(AND(Irr!L3&lt;&gt;".",Irr!AJ3&lt;&gt;".",Irr!BH3&lt;&gt;"."),dir!M3/((1/1000)*(Irr!L3+Irr!AJ3+Irr!BH3)),IF(AND(Irr!L3&lt;&gt;".",Irr!AJ3&lt;&gt;".",Irr!BH3="."),dir!M3/((1/1000)*(Irr!L3+Irr!AJ3)),IF(AND(Irr!L3&lt;&gt;".",Irr!AJ3=".",Irr!BH3&lt;&gt;"."),dir!M3/((1/1000)*(Irr!L3+Irr!BH3)),IF(AND(Irr!L3=".",Irr!AJ3&lt;&gt;".",Irr!BH3&lt;&gt;"."),dir!M3/((1/1000)*(Irr!AJ3+Irr!BH3)),IF(AND(Irr!L3=".",Irr!AJ3=".",Irr!BH3&lt;&gt;"."),dir!M3/((1/1000)*(Irr!BH3)),IF(AND(Irr!L3=".",Irr!AJ3&lt;&gt;".",Irr!BH3="."),dir!M3/((1/1000)*(Irr!AJ3)),IF(AND(Irr!L3&lt;&gt;".",Irr!AJ3=".",Irr!BH3="."),dir!M3/((1/1000)*(Irr!L3)),IF(AND(Irr!L3=".",Irr!AJ3=".",Irr!BH3="."),dir!M3*1000)))))))),".")</f>
        <v>3.2490953061267764</v>
      </c>
      <c r="N3" s="76">
        <f>IFERROR(IF(AND(Irr!M3&lt;&gt;".",Irr!AK3&lt;&gt;".",Irr!BI3&lt;&gt;"."),dir!N3/((1/1000)*(Irr!M3+Irr!AK3+Irr!BI3)),IF(AND(Irr!M3&lt;&gt;".",Irr!AK3&lt;&gt;".",Irr!BI3="."),dir!N3/((1/1000)*(Irr!M3+Irr!AK3)),IF(AND(Irr!M3&lt;&gt;".",Irr!AK3=".",Irr!BI3&lt;&gt;"."),dir!N3/((1/1000)*(Irr!M3+Irr!BI3)),IF(AND(Irr!M3=".",Irr!AK3&lt;&gt;".",Irr!BI3&lt;&gt;"."),dir!N3/((1/1000)*(Irr!AK3+Irr!BI3)),IF(AND(Irr!M3=".",Irr!AK3=".",Irr!BI3&lt;&gt;"."),dir!N3/((1/1000)*(Irr!BI3)),IF(AND(Irr!M3=".",Irr!AK3&lt;&gt;".",Irr!BI3="."),dir!N3/((1/1000)*(Irr!AK3)),IF(AND(Irr!M3&lt;&gt;".",Irr!AK3=".",Irr!BI3="."),dir!N3/((1/1000)*(Irr!M3)),IF(AND(Irr!M3=".",Irr!AK3=".",Irr!BI3="."),dir!N3*1000)))))))),".")</f>
        <v>6.6737614935463156</v>
      </c>
      <c r="O3" s="76">
        <f>IFERROR(IF(AND(Irr!N3&lt;&gt;".",Irr!AL3&lt;&gt;".",Irr!BJ3&lt;&gt;"."),dir!O3/((1/1000)*(Irr!N3+Irr!AL3+Irr!BJ3)),IF(AND(Irr!N3&lt;&gt;".",Irr!AL3&lt;&gt;".",Irr!BJ3="."),dir!O3/((1/1000)*(Irr!N3+Irr!AL3)),IF(AND(Irr!N3&lt;&gt;".",Irr!AL3=".",Irr!BJ3&lt;&gt;"."),dir!O3/((1/1000)*(Irr!N3+Irr!BJ3)),IF(AND(Irr!N3=".",Irr!AL3&lt;&gt;".",Irr!BJ3&lt;&gt;"."),dir!O3/((1/1000)*(Irr!AL3+Irr!BJ3)),IF(AND(Irr!N3=".",Irr!AL3=".",Irr!BJ3&lt;&gt;"."),dir!O3/((1/1000)*(Irr!BJ3)),IF(AND(Irr!N3=".",Irr!AL3&lt;&gt;".",Irr!BJ3="."),dir!O3/((1/1000)*(Irr!AL3)),IF(AND(Irr!N3&lt;&gt;".",Irr!AL3=".",Irr!BJ3="."),dir!O3/((1/1000)*(Irr!N3)),IF(AND(Irr!N3=".",Irr!AL3=".",Irr!BJ3="."),dir!O3*1000)))))))),".")</f>
        <v>7.8875865889074452</v>
      </c>
      <c r="P3" s="76">
        <f>IFERROR(IF(AND(Irr!O3&lt;&gt;".",Irr!AM3&lt;&gt;".",Irr!BK3&lt;&gt;"."),dir!P3/((1/1000)*(Irr!O3+Irr!AM3+Irr!BK3)),IF(AND(Irr!O3&lt;&gt;".",Irr!AM3&lt;&gt;".",Irr!BK3="."),dir!P3/((1/1000)*(Irr!O3+Irr!AM3)),IF(AND(Irr!O3&lt;&gt;".",Irr!AM3=".",Irr!BK3&lt;&gt;"."),dir!P3/((1/1000)*(Irr!O3+Irr!BK3)),IF(AND(Irr!O3=".",Irr!AM3&lt;&gt;".",Irr!BK3&lt;&gt;"."),dir!P3/((1/1000)*(Irr!AM3+Irr!BK3)),IF(AND(Irr!O3=".",Irr!AM3=".",Irr!BK3&lt;&gt;"."),dir!P3/((1/1000)*(Irr!BK3)),IF(AND(Irr!O3=".",Irr!AM3&lt;&gt;".",Irr!BK3="."),dir!P3/((1/1000)*(Irr!AM3)),IF(AND(Irr!O3&lt;&gt;".",Irr!AM3=".",Irr!BK3="."),dir!P3/((1/1000)*(Irr!O3)),IF(AND(Irr!O3=".",Irr!AM3=".",Irr!BK3="."),dir!P3*1000)))))))),".")</f>
        <v>9.1968932602044369</v>
      </c>
      <c r="Q3" s="76">
        <f>IFERROR(IF(AND(Irr!P3&lt;&gt;".",Irr!AN3&lt;&gt;".",Irr!BL3&lt;&gt;"."),dir!Q3/((1/1000)*(Irr!P3+Irr!AN3+Irr!BL3)),IF(AND(Irr!P3&lt;&gt;".",Irr!AN3&lt;&gt;".",Irr!BL3="."),dir!Q3/((1/1000)*(Irr!P3+Irr!AN3)),IF(AND(Irr!P3&lt;&gt;".",Irr!AN3=".",Irr!BL3&lt;&gt;"."),dir!Q3/((1/1000)*(Irr!P3+Irr!BL3)),IF(AND(Irr!P3=".",Irr!AN3&lt;&gt;".",Irr!BL3&lt;&gt;"."),dir!Q3/((1/1000)*(Irr!AN3+Irr!BL3)),IF(AND(Irr!P3=".",Irr!AN3=".",Irr!BL3&lt;&gt;"."),dir!Q3/((1/1000)*(Irr!BL3)),IF(AND(Irr!P3=".",Irr!AN3&lt;&gt;".",Irr!BL3="."),dir!Q3/((1/1000)*(Irr!AN3)),IF(AND(Irr!P3&lt;&gt;".",Irr!AN3=".",Irr!BL3="."),dir!Q3/((1/1000)*(Irr!P3)),IF(AND(Irr!P3=".",Irr!AN3=".",Irr!BL3="."),dir!Q3*1000)))))))),".")</f>
        <v>12.418040639155818</v>
      </c>
      <c r="R3" s="76">
        <f>IFERROR(IF(AND(Irr!Q3&lt;&gt;".",Irr!AO3&lt;&gt;".",Irr!BM3&lt;&gt;"."),dir!R3/((1/1000)*(Irr!Q3+Irr!AO3+Irr!BM3)),IF(AND(Irr!Q3&lt;&gt;".",Irr!AO3&lt;&gt;".",Irr!BM3="."),dir!R3/((1/1000)*(Irr!Q3+Irr!AO3)),IF(AND(Irr!Q3&lt;&gt;".",Irr!AO3=".",Irr!BM3&lt;&gt;"."),dir!R3/((1/1000)*(Irr!Q3+Irr!BM3)),IF(AND(Irr!Q3=".",Irr!AO3&lt;&gt;".",Irr!BM3&lt;&gt;"."),dir!R3/((1/1000)*(Irr!AO3+Irr!BM3)),IF(AND(Irr!Q3=".",Irr!AO3=".",Irr!BM3&lt;&gt;"."),dir!R3/((1/1000)*(Irr!BM3)),IF(AND(Irr!Q3=".",Irr!AO3&lt;&gt;".",Irr!BM3="."),dir!R3/((1/1000)*(Irr!AO3)),IF(AND(Irr!Q3&lt;&gt;".",Irr!AO3=".",Irr!BM3="."),dir!R3/((1/1000)*(Irr!Q3)),IF(AND(Irr!Q3=".",Irr!AO3=".",Irr!BM3="."),dir!R3*1000)))))))),".")</f>
        <v>1.9656053142630288</v>
      </c>
      <c r="S3" s="76">
        <f>IFERROR(IF(AND(Irr!R3&lt;&gt;".",Irr!AP3&lt;&gt;".",Irr!BN3&lt;&gt;"."),dir!S3/((1/1000)*(Irr!R3+Irr!AP3+Irr!BN3)),IF(AND(Irr!R3&lt;&gt;".",Irr!AP3&lt;&gt;".",Irr!BN3="."),dir!S3/((1/1000)*(Irr!R3+Irr!AP3)),IF(AND(Irr!R3&lt;&gt;".",Irr!AP3=".",Irr!BN3&lt;&gt;"."),dir!S3/((1/1000)*(Irr!R3+Irr!BN3)),IF(AND(Irr!R3=".",Irr!AP3&lt;&gt;".",Irr!BN3&lt;&gt;"."),dir!S3/((1/1000)*(Irr!AP3+Irr!BN3)),IF(AND(Irr!R3=".",Irr!AP3=".",Irr!BN3&lt;&gt;"."),dir!S3/((1/1000)*(Irr!BN3)),IF(AND(Irr!R3=".",Irr!AP3&lt;&gt;".",Irr!BN3="."),dir!S3/((1/1000)*(Irr!AP3)),IF(AND(Irr!R3&lt;&gt;".",Irr!AP3=".",Irr!BN3="."),dir!S3/((1/1000)*(Irr!R3)),IF(AND(Irr!R3=".",Irr!AP3=".",Irr!BN3="."),dir!S3*1000)))))))),".")</f>
        <v>4.0756828341739455</v>
      </c>
      <c r="T3" s="76">
        <f>IFERROR(IF(AND(Irr!S3&lt;&gt;".",Irr!AQ3&lt;&gt;".",Irr!BO3&lt;&gt;"."),dir!T3/((1/1000)*(Irr!S3+Irr!AQ3+Irr!BO3)),IF(AND(Irr!S3&lt;&gt;".",Irr!AQ3&lt;&gt;".",Irr!BO3="."),dir!T3/((1/1000)*(Irr!S3+Irr!AQ3)),IF(AND(Irr!S3&lt;&gt;".",Irr!AQ3=".",Irr!BO3&lt;&gt;"."),dir!T3/((1/1000)*(Irr!S3+Irr!BO3)),IF(AND(Irr!S3=".",Irr!AQ3&lt;&gt;".",Irr!BO3&lt;&gt;"."),dir!T3/((1/1000)*(Irr!AQ3+Irr!BO3)),IF(AND(Irr!S3=".",Irr!AQ3=".",Irr!BO3&lt;&gt;"."),dir!T3/((1/1000)*(Irr!BO3)),IF(AND(Irr!S3=".",Irr!AQ3&lt;&gt;".",Irr!BO3="."),dir!T3/((1/1000)*(Irr!AQ3)),IF(AND(Irr!S3&lt;&gt;".",Irr!AQ3=".",Irr!BO3="."),dir!T3/((1/1000)*(Irr!S3)),IF(AND(Irr!S3=".",Irr!AQ3=".",Irr!BO3="."),dir!T3*1000)))))))),".")</f>
        <v>6.4852876932100978</v>
      </c>
      <c r="U3" s="76">
        <f>IFERROR(IF(AND(Irr!T3&lt;&gt;".",Irr!AR3&lt;&gt;".",Irr!BP3&lt;&gt;"."),dir!U3/((1/1000)*(Irr!T3+Irr!AR3+Irr!BP3)),IF(AND(Irr!T3&lt;&gt;".",Irr!AR3&lt;&gt;".",Irr!BP3="."),dir!U3/((1/1000)*(Irr!T3+Irr!AR3)),IF(AND(Irr!T3&lt;&gt;".",Irr!AR3=".",Irr!BP3&lt;&gt;"."),dir!U3/((1/1000)*(Irr!T3+Irr!BP3)),IF(AND(Irr!T3=".",Irr!AR3&lt;&gt;".",Irr!BP3&lt;&gt;"."),dir!U3/((1/1000)*(Irr!AR3+Irr!BP3)),IF(AND(Irr!T3=".",Irr!AR3=".",Irr!BP3&lt;&gt;"."),dir!U3/((1/1000)*(Irr!BP3)),IF(AND(Irr!T3=".",Irr!AR3&lt;&gt;".",Irr!BP3="."),dir!U3/((1/1000)*(Irr!AR3)),IF(AND(Irr!T3&lt;&gt;".",Irr!AR3=".",Irr!BP3="."),dir!U3/((1/1000)*(Irr!T3)),IF(AND(Irr!T3=".",Irr!AR3=".",Irr!BP3="."),dir!U3*1000)))))))),".")</f>
        <v>2.0405162719017138</v>
      </c>
      <c r="V3" s="76">
        <f>IFERROR(IF(AND(Irr!U3&lt;&gt;".",Irr!AS3&lt;&gt;".",Irr!BQ3&lt;&gt;"."),dir!V3/((1/1000)*(Irr!U3+Irr!AS3+Irr!BQ3)),IF(AND(Irr!U3&lt;&gt;".",Irr!AS3&lt;&gt;".",Irr!BQ3="."),dir!V3/((1/1000)*(Irr!U3+Irr!AS3)),IF(AND(Irr!U3&lt;&gt;".",Irr!AS3=".",Irr!BQ3&lt;&gt;"."),dir!V3/((1/1000)*(Irr!U3+Irr!BQ3)),IF(AND(Irr!U3=".",Irr!AS3&lt;&gt;".",Irr!BQ3&lt;&gt;"."),dir!V3/((1/1000)*(Irr!AS3+Irr!BQ3)),IF(AND(Irr!U3=".",Irr!AS3=".",Irr!BQ3&lt;&gt;"."),dir!V3/((1/1000)*(Irr!BQ3)),IF(AND(Irr!U3=".",Irr!AS3&lt;&gt;".",Irr!BQ3="."),dir!V3/((1/1000)*(Irr!AS3)),IF(AND(Irr!U3&lt;&gt;".",Irr!AS3=".",Irr!BQ3="."),dir!V3/((1/1000)*(Irr!U3)),IF(AND(Irr!U3=".",Irr!AS3=".",Irr!BQ3="."),dir!V3*1000)))))))),".")</f>
        <v>3.7319053493304599</v>
      </c>
      <c r="W3" s="76">
        <f>IFERROR(IF(AND(Irr!V3&lt;&gt;".",Irr!AT3&lt;&gt;".",Irr!BR3&lt;&gt;"."),dir!W3/((1/1000)*(Irr!V3+Irr!AT3+Irr!BR3)),IF(AND(Irr!V3&lt;&gt;".",Irr!AT3&lt;&gt;".",Irr!BR3="."),dir!W3/((1/1000)*(Irr!V3+Irr!AT3)),IF(AND(Irr!V3&lt;&gt;".",Irr!AT3=".",Irr!BR3&lt;&gt;"."),dir!W3/((1/1000)*(Irr!V3+Irr!BR3)),IF(AND(Irr!V3=".",Irr!AT3&lt;&gt;".",Irr!BR3&lt;&gt;"."),dir!W3/((1/1000)*(Irr!AT3+Irr!BR3)),IF(AND(Irr!V3=".",Irr!AT3=".",Irr!BR3&lt;&gt;"."),dir!W3/((1/1000)*(Irr!BR3)),IF(AND(Irr!V3=".",Irr!AT3&lt;&gt;".",Irr!BR3="."),dir!W3/((1/1000)*(Irr!AT3)),IF(AND(Irr!V3&lt;&gt;".",Irr!AT3=".",Irr!BR3="."),dir!W3/((1/1000)*(Irr!V3)),IF(AND(Irr!V3=".",Irr!AT3=".",Irr!BR3="."),dir!W3*1000)))))))),".")</f>
        <v>4.4919602284782245</v>
      </c>
      <c r="X3" s="76">
        <f>IFERROR(IF(AND(Irr!W3&lt;&gt;".",Irr!AU3&lt;&gt;".",Irr!BS3&lt;&gt;"."),dir!X3/((1/1000)*(Irr!W3+Irr!AU3+Irr!BS3)),IF(AND(Irr!W3&lt;&gt;".",Irr!AU3&lt;&gt;".",Irr!BS3="."),dir!X3/((1/1000)*(Irr!W3+Irr!AU3)),IF(AND(Irr!W3&lt;&gt;".",Irr!AU3=".",Irr!BS3&lt;&gt;"."),dir!X3/((1/1000)*(Irr!W3+Irr!BS3)),IF(AND(Irr!W3=".",Irr!AU3&lt;&gt;".",Irr!BS3&lt;&gt;"."),dir!X3/((1/1000)*(Irr!AU3+Irr!BS3)),IF(AND(Irr!W3=".",Irr!AU3=".",Irr!BS3&lt;&gt;"."),dir!X3/((1/1000)*(Irr!BS3)),IF(AND(Irr!W3=".",Irr!AU3&lt;&gt;".",Irr!BS3="."),dir!X3/((1/1000)*(Irr!AU3)),IF(AND(Irr!W3&lt;&gt;".",Irr!AU3=".",Irr!BS3="."),dir!X3/((1/1000)*(Irr!W3)),IF(AND(Irr!W3=".",Irr!AU3=".",Irr!BS3="."),dir!X3*1000)))))))),".")</f>
        <v>6.0945149415277111</v>
      </c>
      <c r="Y3" s="76">
        <f>IFERROR(IF(AND(Irr!X3&lt;&gt;".",Irr!AV3&lt;&gt;".",Irr!BT3&lt;&gt;"."),dir!Y3/((1/1000)*(Irr!X3+Irr!AV3+Irr!BT3)),IF(AND(Irr!X3&lt;&gt;".",Irr!AV3&lt;&gt;".",Irr!BT3="."),dir!Y3/((1/1000)*(Irr!X3+Irr!AV3)),IF(AND(Irr!X3&lt;&gt;".",Irr!AV3=".",Irr!BT3&lt;&gt;"."),dir!Y3/((1/1000)*(Irr!X3+Irr!BT3)),IF(AND(Irr!X3=".",Irr!AV3&lt;&gt;".",Irr!BT3&lt;&gt;"."),dir!Y3/((1/1000)*(Irr!AV3+Irr!BT3)),IF(AND(Irr!X3=".",Irr!AV3=".",Irr!BT3&lt;&gt;"."),dir!Y3/((1/1000)*(Irr!BT3)),IF(AND(Irr!X3=".",Irr!AV3&lt;&gt;".",Irr!BT3="."),dir!Y3/((1/1000)*(Irr!AV3)),IF(AND(Irr!X3&lt;&gt;".",Irr!AV3=".",Irr!BT3="."),dir!Y3/((1/1000)*(Irr!X3)),IF(AND(Irr!X3=".",Irr!AV3=".",Irr!BT3="."),dir!Y3*1000)))))))),".")</f>
        <v>3.2296600135572269</v>
      </c>
      <c r="Z3" s="76">
        <f>IFERROR(IF(AND(Irr!Y3&lt;&gt;".",Irr!AW3&lt;&gt;".",Irr!BU3&lt;&gt;"."),dir!Z3/((1/1000)*(Irr!Y3+Irr!AW3+Irr!BU3)),IF(AND(Irr!Y3&lt;&gt;".",Irr!AW3&lt;&gt;".",Irr!BU3="."),dir!Z3/((1/1000)*(Irr!Y3+Irr!AW3)),IF(AND(Irr!Y3&lt;&gt;".",Irr!AW3=".",Irr!BU3&lt;&gt;"."),dir!Z3/((1/1000)*(Irr!Y3+Irr!BU3)),IF(AND(Irr!Y3=".",Irr!AW3&lt;&gt;".",Irr!BU3&lt;&gt;"."),dir!Z3/((1/1000)*(Irr!AW3+Irr!BU3)),IF(AND(Irr!Y3=".",Irr!AW3=".",Irr!BU3&lt;&gt;"."),dir!Z3/((1/1000)*(Irr!BU3)),IF(AND(Irr!Y3=".",Irr!AW3&lt;&gt;".",Irr!BU3="."),dir!Z3/((1/1000)*(Irr!AW3)),IF(AND(Irr!Y3&lt;&gt;".",Irr!AW3=".",Irr!BU3="."),dir!Z3/((1/1000)*(Irr!Y3)),IF(AND(Irr!Y3=".",Irr!AW3=".",Irr!BU3="."),dir!Z3*1000)))))))),".")</f>
        <v>1.0359721885349291</v>
      </c>
      <c r="AA3" s="76">
        <f>IFERROR(IF(AND(Irr!Z3&lt;&gt;".",Irr!AX3&lt;&gt;".",Irr!BV3&lt;&gt;"."),dir!AA3/((1/1000)*(Irr!Z3+Irr!AX3+Irr!BV3)),IF(AND(Irr!Z3&lt;&gt;".",Irr!AX3&lt;&gt;".",Irr!BV3="."),dir!AA3/((1/1000)*(Irr!Z3+Irr!AX3)),IF(AND(Irr!Z3&lt;&gt;".",Irr!AX3=".",Irr!BV3&lt;&gt;"."),dir!AA3/((1/1000)*(Irr!Z3+Irr!BV3)),IF(AND(Irr!Z3=".",Irr!AX3&lt;&gt;".",Irr!BV3&lt;&gt;"."),dir!AA3/((1/1000)*(Irr!AX3+Irr!BV3)),IF(AND(Irr!Z3=".",Irr!AX3=".",Irr!BV3&lt;&gt;"."),dir!AA3/((1/1000)*(Irr!BV3)),IF(AND(Irr!Z3=".",Irr!AX3&lt;&gt;".",Irr!BV3="."),dir!AA3/((1/1000)*(Irr!AX3)),IF(AND(Irr!Z3&lt;&gt;".",Irr!AX3=".",Irr!BV3="."),dir!AA3/((1/1000)*(Irr!Z3)),IF(AND(Irr!Z3=".",Irr!AX3=".",Irr!BV3="."),dir!AA3*1000)))))))),".")</f>
        <v>0.80434799676968616</v>
      </c>
      <c r="AB3" s="76">
        <f t="shared" si="1"/>
        <v>0.10368481684193676</v>
      </c>
      <c r="AC3" s="76">
        <f>IFERROR(IF(AND(Irr!C3&lt;&gt;".",Irr!AA3&lt;&gt;".",Irr!AY3&lt;&gt;"."),dir!AC3/((1/1000)*(Irr!C3+Irr!AA3+Irr!AY3)),IF(AND(Irr!C3&lt;&gt;".",Irr!AA3&lt;&gt;".",Irr!AY3="."),dir!AC3/((1/1000)*(Irr!C3+Irr!AA3)),IF(AND(Irr!C3&lt;&gt;".",Irr!AA3=".",Irr!AY3&lt;&gt;"."),dir!AC3/((1/1000)*(Irr!C3+Irr!AY3)),IF(AND(Irr!C3=".",Irr!AA3&lt;&gt;".",Irr!AY3&lt;&gt;"."),dir!AC3/((1/1000)*(Irr!AA3+Irr!AY3)),IF(AND(Irr!C3=".",Irr!AA3=".",Irr!AY3&lt;&gt;"."),dir!AC3/((1/1000)*(Irr!AY3)),IF(AND(Irr!C3=".",Irr!AA3&lt;&gt;".",Irr!AY3="."),dir!AC3/((1/1000)*(Irr!AA3)),IF(AND(Irr!C3&lt;&gt;".",Irr!AA3=".",Irr!AY3="."),dir!AC3/((1/1000)*(Irr!C3)),IF(AND(Irr!C3=".",Irr!AA3=".",Irr!AY3="."),dir!AC3*1000)))))))),".")</f>
        <v>1.7356529231638542</v>
      </c>
      <c r="AD3" s="76">
        <f>IFERROR(IF(AND(Irr!D3&lt;&gt;".",Irr!AB3&lt;&gt;".",Irr!AZ3&lt;&gt;"."),dir!AD3/((1/1000)*(Irr!D3+Irr!AB3+Irr!AZ3)),IF(AND(Irr!D3&lt;&gt;".",Irr!AB3&lt;&gt;".",Irr!AZ3="."),dir!AD3/((1/1000)*(Irr!D3+Irr!AB3)),IF(AND(Irr!D3&lt;&gt;".",Irr!AB3=".",Irr!AZ3&lt;&gt;"."),dir!AD3/((1/1000)*(Irr!D3+Irr!AZ3)),IF(AND(Irr!D3=".",Irr!AB3&lt;&gt;".",Irr!AZ3&lt;&gt;"."),dir!AD3/((1/1000)*(Irr!AB3+Irr!AZ3)),IF(AND(Irr!D3=".",Irr!AB3=".",Irr!AZ3&lt;&gt;"."),dir!AD3/((1/1000)*(Irr!AZ3)),IF(AND(Irr!D3=".",Irr!AB3&lt;&gt;".",Irr!AZ3="."),dir!AD3/((1/1000)*(Irr!AB3)),IF(AND(Irr!D3&lt;&gt;".",Irr!AB3=".",Irr!AZ3="."),dir!AD3/((1/1000)*(Irr!D3)),IF(AND(Irr!D3=".",Irr!AB3=".",Irr!AZ3="."),dir!AD3*1000)))))))),".")</f>
        <v>4.1560779811149366</v>
      </c>
      <c r="AE3" s="76">
        <f>IFERROR(IF(AND(Irr!E3&lt;&gt;".",Irr!AC3&lt;&gt;".",Irr!BA3&lt;&gt;"."),dir!AE3/((1/1000)*(Irr!E3+Irr!AC3+Irr!BA3)),IF(AND(Irr!E3&lt;&gt;".",Irr!AC3&lt;&gt;".",Irr!BA3="."),dir!AE3/((1/1000)*(Irr!E3+Irr!AC3)),IF(AND(Irr!E3&lt;&gt;".",Irr!AC3=".",Irr!BA3&lt;&gt;"."),dir!AE3/((1/1000)*(Irr!E3+Irr!BA3)),IF(AND(Irr!E3=".",Irr!AC3&lt;&gt;".",Irr!BA3&lt;&gt;"."),dir!AE3/((1/1000)*(Irr!AC3+Irr!BA3)),IF(AND(Irr!E3=".",Irr!AC3=".",Irr!BA3&lt;&gt;"."),dir!AE3/((1/1000)*(Irr!BA3)),IF(AND(Irr!E3=".",Irr!AC3&lt;&gt;".",Irr!BA3="."),dir!AE3/((1/1000)*(Irr!AC3)),IF(AND(Irr!E3&lt;&gt;".",Irr!AC3=".",Irr!BA3="."),dir!AE3/((1/1000)*(Irr!E3)),IF(AND(Irr!E3=".",Irr!AC3=".",Irr!BA3="."),dir!AE3*1000)))))))),".")</f>
        <v>4.9544497617579024</v>
      </c>
      <c r="AF3" s="76">
        <f>IFERROR(IF(AND(Irr!F3&lt;&gt;".",Irr!AD3&lt;&gt;".",Irr!BB3&lt;&gt;"."),dir!AF3/((1/1000)*(Irr!F3+Irr!AD3+Irr!BB3)),IF(AND(Irr!F3&lt;&gt;".",Irr!AD3&lt;&gt;".",Irr!BB3="."),dir!AF3/((1/1000)*(Irr!F3+Irr!AD3)),IF(AND(Irr!F3&lt;&gt;".",Irr!AD3=".",Irr!BB3&lt;&gt;"."),dir!AF3/((1/1000)*(Irr!F3+Irr!BB3)),IF(AND(Irr!F3=".",Irr!AD3&lt;&gt;".",Irr!BB3&lt;&gt;"."),dir!AF3/((1/1000)*(Irr!AD3+Irr!BB3)),IF(AND(Irr!F3=".",Irr!AD3=".",Irr!BB3&lt;&gt;"."),dir!AF3/((1/1000)*(Irr!BB3)),IF(AND(Irr!F3=".",Irr!AD3&lt;&gt;".",Irr!BB3="."),dir!AF3/((1/1000)*(Irr!AD3)),IF(AND(Irr!F3&lt;&gt;".",Irr!AD3=".",Irr!BB3="."),dir!AF3/((1/1000)*(Irr!F3)),IF(AND(Irr!F3=".",Irr!AD3=".",Irr!BB3="."),dir!AF3*1000)))))))),".")</f>
        <v>4.3188443236517058</v>
      </c>
      <c r="AG3" s="76">
        <f>IFERROR(IF(AND(Irr!G3&lt;&gt;".",Irr!AE3&lt;&gt;".",Irr!BC3&lt;&gt;"."),dir!AG3/((1/1000)*(Irr!G3+Irr!AE3+Irr!BC3)),IF(AND(Irr!G3&lt;&gt;".",Irr!AE3&lt;&gt;".",Irr!BC3="."),dir!AG3/((1/1000)*(Irr!G3+Irr!AE3)),IF(AND(Irr!G3&lt;&gt;".",Irr!AE3=".",Irr!BC3&lt;&gt;"."),dir!AG3/((1/1000)*(Irr!G3+Irr!BC3)),IF(AND(Irr!G3=".",Irr!AE3&lt;&gt;".",Irr!BC3&lt;&gt;"."),dir!AG3/((1/1000)*(Irr!AE3+Irr!BC3)),IF(AND(Irr!G3=".",Irr!AE3=".",Irr!BC3&lt;&gt;"."),dir!AG3/((1/1000)*(Irr!BC3)),IF(AND(Irr!G3=".",Irr!AE3&lt;&gt;".",Irr!BC3="."),dir!AG3/((1/1000)*(Irr!AE3)),IF(AND(Irr!G3&lt;&gt;".",Irr!AE3=".",Irr!BC3="."),dir!AG3/((1/1000)*(Irr!G3)),IF(AND(Irr!G3=".",Irr!AE3=".",Irr!BC3="."),dir!AG3*1000)))))))),".")</f>
        <v>4.5039048776258603</v>
      </c>
      <c r="AH3" s="76">
        <f>IFERROR(IF(AND(Irr!H3&lt;&gt;".",Irr!AF3&lt;&gt;".",Irr!BD3&lt;&gt;"."),dir!AH3/((1/1000)*(Irr!H3+Irr!AF3+Irr!BD3)),IF(AND(Irr!H3&lt;&gt;".",Irr!AF3&lt;&gt;".",Irr!BD3="."),dir!AH3/((1/1000)*(Irr!H3+Irr!AF3)),IF(AND(Irr!H3&lt;&gt;".",Irr!AF3=".",Irr!BD3&lt;&gt;"."),dir!AH3/((1/1000)*(Irr!H3+Irr!BD3)),IF(AND(Irr!H3=".",Irr!AF3&lt;&gt;".",Irr!BD3&lt;&gt;"."),dir!AH3/((1/1000)*(Irr!AF3+Irr!BD3)),IF(AND(Irr!H3=".",Irr!AF3=".",Irr!BD3&lt;&gt;"."),dir!AH3/((1/1000)*(Irr!BD3)),IF(AND(Irr!H3=".",Irr!AF3&lt;&gt;".",Irr!BD3="."),dir!AH3/((1/1000)*(Irr!AF3)),IF(AND(Irr!H3&lt;&gt;".",Irr!AF3=".",Irr!BD3="."),dir!AH3/((1/1000)*(Irr!H3)),IF(AND(Irr!H3=".",Irr!AF3=".",Irr!BD3="."),dir!AH3*1000)))))))),".")</f>
        <v>1.961613628584169</v>
      </c>
      <c r="AI3" s="76">
        <f>IFERROR(IF(AND(Irr!I3&lt;&gt;".",Irr!AG3&lt;&gt;".",Irr!BE3&lt;&gt;"."),dir!AI3/((1/1000)*(Irr!I3+Irr!AG3+Irr!BE3)),IF(AND(Irr!I3&lt;&gt;".",Irr!AG3&lt;&gt;".",Irr!BE3="."),dir!AI3/((1/1000)*(Irr!I3+Irr!AG3)),IF(AND(Irr!I3&lt;&gt;".",Irr!AG3=".",Irr!BE3&lt;&gt;"."),dir!AI3/((1/1000)*(Irr!I3+Irr!BE3)),IF(AND(Irr!I3=".",Irr!AG3&lt;&gt;".",Irr!BE3&lt;&gt;"."),dir!AI3/((1/1000)*(Irr!AG3+Irr!BE3)),IF(AND(Irr!I3=".",Irr!AG3=".",Irr!BE3&lt;&gt;"."),dir!AI3/((1/1000)*(Irr!BE3)),IF(AND(Irr!I3=".",Irr!AG3&lt;&gt;".",Irr!BE3="."),dir!AI3/((1/1000)*(Irr!AG3)),IF(AND(Irr!I3&lt;&gt;".",Irr!AG3=".",Irr!BE3="."),dir!AI3/((1/1000)*(Irr!I3)),IF(AND(Irr!I3=".",Irr!AG3=".",Irr!BE3="."),dir!AI3*1000)))))))),".")</f>
        <v>6.4094565539170532</v>
      </c>
      <c r="AJ3" s="76">
        <f>IFERROR(IF(AND(Irr!J3&lt;&gt;".",Irr!AH3&lt;&gt;".",Irr!BF3&lt;&gt;"."),dir!AJ3/((1/1000)*(Irr!J3+Irr!AH3+Irr!BF3)),IF(AND(Irr!J3&lt;&gt;".",Irr!AH3&lt;&gt;".",Irr!BF3="."),dir!AJ3/((1/1000)*(Irr!J3+Irr!AH3)),IF(AND(Irr!J3&lt;&gt;".",Irr!AH3=".",Irr!BF3&lt;&gt;"."),dir!AJ3/((1/1000)*(Irr!J3+Irr!BF3)),IF(AND(Irr!J3=".",Irr!AH3&lt;&gt;".",Irr!BF3&lt;&gt;"."),dir!AJ3/((1/1000)*(Irr!AH3+Irr!BF3)),IF(AND(Irr!J3=".",Irr!AH3=".",Irr!BF3&lt;&gt;"."),dir!AJ3/((1/1000)*(Irr!BF3)),IF(AND(Irr!J3=".",Irr!AH3&lt;&gt;".",Irr!BF3="."),dir!AJ3/((1/1000)*(Irr!AH3)),IF(AND(Irr!J3&lt;&gt;".",Irr!AH3=".",Irr!BF3="."),dir!AJ3/((1/1000)*(Irr!J3)),IF(AND(Irr!J3=".",Irr!AH3=".",Irr!BF3="."),dir!AJ3*1000)))))))),".")</f>
        <v>0.50161041514982951</v>
      </c>
      <c r="AK3" s="76">
        <f>IFERROR(IF(AND(Irr!K3&lt;&gt;".",Irr!AI3&lt;&gt;".",Irr!BG3&lt;&gt;"."),dir!AK3/((1/1000)*(Irr!K3+Irr!AI3+Irr!BG3)),IF(AND(Irr!K3&lt;&gt;".",Irr!AI3&lt;&gt;".",Irr!BG3="."),dir!AK3/((1/1000)*(Irr!K3+Irr!AI3)),IF(AND(Irr!K3&lt;&gt;".",Irr!AI3=".",Irr!BG3&lt;&gt;"."),dir!AK3/((1/1000)*(Irr!K3+Irr!BG3)),IF(AND(Irr!K3=".",Irr!AI3&lt;&gt;".",Irr!BG3&lt;&gt;"."),dir!AK3/((1/1000)*(Irr!AI3+Irr!BG3)),IF(AND(Irr!K3=".",Irr!AI3=".",Irr!BG3&lt;&gt;"."),dir!AK3/((1/1000)*(Irr!BG3)),IF(AND(Irr!K3=".",Irr!AI3&lt;&gt;".",Irr!BG3="."),dir!AK3/((1/1000)*(Irr!AI3)),IF(AND(Irr!K3&lt;&gt;".",Irr!AI3=".",Irr!BG3="."),dir!AK3/((1/1000)*(Irr!K3)),IF(AND(Irr!K3=".",Irr!AI3=".",Irr!BG3="."),dir!AK3*1000)))))))),".")</f>
        <v>1.9641503212746934</v>
      </c>
      <c r="AL3" s="76">
        <f>IFERROR(IF(AND(Irr!L3&lt;&gt;".",Irr!AJ3&lt;&gt;".",Irr!BH3&lt;&gt;"."),dir!AL3/((1/1000)*(Irr!L3+Irr!AJ3+Irr!BH3)),IF(AND(Irr!L3&lt;&gt;".",Irr!AJ3&lt;&gt;".",Irr!BH3="."),dir!AL3/((1/1000)*(Irr!L3+Irr!AJ3)),IF(AND(Irr!L3&lt;&gt;".",Irr!AJ3=".",Irr!BH3&lt;&gt;"."),dir!AL3/((1/1000)*(Irr!L3+Irr!BH3)),IF(AND(Irr!L3=".",Irr!AJ3&lt;&gt;".",Irr!BH3&lt;&gt;"."),dir!AL3/((1/1000)*(Irr!AJ3+Irr!BH3)),IF(AND(Irr!L3=".",Irr!AJ3=".",Irr!BH3&lt;&gt;"."),dir!AL3/((1/1000)*(Irr!BH3)),IF(AND(Irr!L3=".",Irr!AJ3&lt;&gt;".",Irr!BH3="."),dir!AL3/((1/1000)*(Irr!AJ3)),IF(AND(Irr!L3&lt;&gt;".",Irr!AJ3=".",Irr!BH3="."),dir!AL3/((1/1000)*(Irr!L3)),IF(AND(Irr!L3=".",Irr!AJ3=".",Irr!BH3="."),dir!AL3*1000)))))))),".")</f>
        <v>2.9723938969261421</v>
      </c>
      <c r="AM3" s="76">
        <f>IFERROR(IF(AND(Irr!M3&lt;&gt;".",Irr!AK3&lt;&gt;".",Irr!BI3&lt;&gt;"."),dir!AM3/((1/1000)*(Irr!M3+Irr!AK3+Irr!BI3)),IF(AND(Irr!M3&lt;&gt;".",Irr!AK3&lt;&gt;".",Irr!BI3="."),dir!AM3/((1/1000)*(Irr!M3+Irr!AK3)),IF(AND(Irr!M3&lt;&gt;".",Irr!AK3=".",Irr!BI3&lt;&gt;"."),dir!AM3/((1/1000)*(Irr!M3+Irr!BI3)),IF(AND(Irr!M3=".",Irr!AK3&lt;&gt;".",Irr!BI3&lt;&gt;"."),dir!AM3/((1/1000)*(Irr!AK3+Irr!BI3)),IF(AND(Irr!M3=".",Irr!AK3=".",Irr!BI3&lt;&gt;"."),dir!AM3/((1/1000)*(Irr!BI3)),IF(AND(Irr!M3=".",Irr!AK3&lt;&gt;".",Irr!BI3="."),dir!AM3/((1/1000)*(Irr!AK3)),IF(AND(Irr!M3&lt;&gt;".",Irr!AK3=".",Irr!BI3="."),dir!AM3/((1/1000)*(Irr!M3)),IF(AND(Irr!M3=".",Irr!AK3=".",Irr!BI3="."),dir!AM3*1000)))))))),".")</f>
        <v>3.9790031608960961</v>
      </c>
      <c r="AN3" s="76">
        <f>IFERROR(IF(AND(Irr!N3&lt;&gt;".",Irr!AL3&lt;&gt;".",Irr!BJ3&lt;&gt;"."),dir!AN3/((1/1000)*(Irr!N3+Irr!AL3+Irr!BJ3)),IF(AND(Irr!N3&lt;&gt;".",Irr!AL3&lt;&gt;".",Irr!BJ3="."),dir!AN3/((1/1000)*(Irr!N3+Irr!AL3)),IF(AND(Irr!N3&lt;&gt;".",Irr!AL3=".",Irr!BJ3&lt;&gt;"."),dir!AN3/((1/1000)*(Irr!N3+Irr!BJ3)),IF(AND(Irr!N3=".",Irr!AL3&lt;&gt;".",Irr!BJ3&lt;&gt;"."),dir!AN3/((1/1000)*(Irr!AL3+Irr!BJ3)),IF(AND(Irr!N3=".",Irr!AL3=".",Irr!BJ3&lt;&gt;"."),dir!AN3/((1/1000)*(Irr!BJ3)),IF(AND(Irr!N3=".",Irr!AL3&lt;&gt;".",Irr!BJ3="."),dir!AN3/((1/1000)*(Irr!AL3)),IF(AND(Irr!N3&lt;&gt;".",Irr!AL3=".",Irr!BJ3="."),dir!AN3/((1/1000)*(Irr!N3)),IF(AND(Irr!N3=".",Irr!AL3=".",Irr!BJ3="."),dir!AN3*1000)))))))),".")</f>
        <v>4.746359544747369</v>
      </c>
      <c r="AO3" s="76">
        <f>IFERROR(IF(AND(Irr!O3&lt;&gt;".",Irr!AM3&lt;&gt;".",Irr!BK3&lt;&gt;"."),dir!AO3/((1/1000)*(Irr!O3+Irr!AM3+Irr!BK3)),IF(AND(Irr!O3&lt;&gt;".",Irr!AM3&lt;&gt;".",Irr!BK3="."),dir!AO3/((1/1000)*(Irr!O3+Irr!AM3)),IF(AND(Irr!O3&lt;&gt;".",Irr!AM3=".",Irr!BK3&lt;&gt;"."),dir!AO3/((1/1000)*(Irr!O3+Irr!BK3)),IF(AND(Irr!O3=".",Irr!AM3&lt;&gt;".",Irr!BK3&lt;&gt;"."),dir!AO3/((1/1000)*(Irr!AM3+Irr!BK3)),IF(AND(Irr!O3=".",Irr!AM3=".",Irr!BK3&lt;&gt;"."),dir!AO3/((1/1000)*(Irr!BK3)),IF(AND(Irr!O3=".",Irr!AM3&lt;&gt;".",Irr!BK3="."),dir!AO3/((1/1000)*(Irr!AM3)),IF(AND(Irr!O3&lt;&gt;".",Irr!AM3=".",Irr!BK3="."),dir!AO3/((1/1000)*(Irr!O3)),IF(AND(Irr!O3=".",Irr!AM3=".",Irr!BK3="."),dir!AO3*1000)))))))),".")</f>
        <v>5.5236961409767433</v>
      </c>
      <c r="AP3" s="76">
        <f>IFERROR(IF(AND(Irr!P3&lt;&gt;".",Irr!AN3&lt;&gt;".",Irr!BL3&lt;&gt;"."),dir!AP3/((1/1000)*(Irr!P3+Irr!AN3+Irr!BL3)),IF(AND(Irr!P3&lt;&gt;".",Irr!AN3&lt;&gt;".",Irr!BL3="."),dir!AP3/((1/1000)*(Irr!P3+Irr!AN3)),IF(AND(Irr!P3&lt;&gt;".",Irr!AN3=".",Irr!BL3&lt;&gt;"."),dir!AP3/((1/1000)*(Irr!P3+Irr!BL3)),IF(AND(Irr!P3=".",Irr!AN3&lt;&gt;".",Irr!BL3&lt;&gt;"."),dir!AP3/((1/1000)*(Irr!AN3+Irr!BL3)),IF(AND(Irr!P3=".",Irr!AN3=".",Irr!BL3&lt;&gt;"."),dir!AP3/((1/1000)*(Irr!BL3)),IF(AND(Irr!P3=".",Irr!AN3&lt;&gt;".",Irr!BL3="."),dir!AP3/((1/1000)*(Irr!AN3)),IF(AND(Irr!P3&lt;&gt;".",Irr!AN3=".",Irr!BL3="."),dir!AP3/((1/1000)*(Irr!P3)),IF(AND(Irr!P3=".",Irr!AN3=".",Irr!BL3="."),dir!AP3*1000)))))))),".")</f>
        <v>6.0396834017712395</v>
      </c>
      <c r="AQ3" s="76">
        <f>IFERROR(IF(AND(Irr!Q3&lt;&gt;".",Irr!AO3&lt;&gt;".",Irr!BM3&lt;&gt;"."),dir!AQ3/((1/1000)*(Irr!Q3+Irr!AO3+Irr!BM3)),IF(AND(Irr!Q3&lt;&gt;".",Irr!AO3&lt;&gt;".",Irr!BM3="."),dir!AQ3/((1/1000)*(Irr!Q3+Irr!AO3)),IF(AND(Irr!Q3&lt;&gt;".",Irr!AO3=".",Irr!BM3&lt;&gt;"."),dir!AQ3/((1/1000)*(Irr!Q3+Irr!BM3)),IF(AND(Irr!Q3=".",Irr!AO3&lt;&gt;".",Irr!BM3&lt;&gt;"."),dir!AQ3/((1/1000)*(Irr!AO3+Irr!BM3)),IF(AND(Irr!Q3=".",Irr!AO3=".",Irr!BM3&lt;&gt;"."),dir!AQ3/((1/1000)*(Irr!BM3)),IF(AND(Irr!Q3=".",Irr!AO3&lt;&gt;".",Irr!BM3="."),dir!AQ3/((1/1000)*(Irr!AO3)),IF(AND(Irr!Q3&lt;&gt;".",Irr!AO3=".",Irr!BM3="."),dir!AQ3/((1/1000)*(Irr!Q3)),IF(AND(Irr!Q3=".",Irr!AO3=".",Irr!BM3="."),dir!AQ3*1000)))))))),".")</f>
        <v>1.4293917120008919</v>
      </c>
      <c r="AR3" s="76">
        <f>IFERROR(IF(AND(Irr!R3&lt;&gt;".",Irr!AP3&lt;&gt;".",Irr!BN3&lt;&gt;"."),dir!AR3/((1/1000)*(Irr!R3+Irr!AP3+Irr!BN3)),IF(AND(Irr!R3&lt;&gt;".",Irr!AP3&lt;&gt;".",Irr!BN3="."),dir!AR3/((1/1000)*(Irr!R3+Irr!AP3)),IF(AND(Irr!R3&lt;&gt;".",Irr!AP3=".",Irr!BN3&lt;&gt;"."),dir!AR3/((1/1000)*(Irr!R3+Irr!BN3)),IF(AND(Irr!R3=".",Irr!AP3&lt;&gt;".",Irr!BN3&lt;&gt;"."),dir!AR3/((1/1000)*(Irr!AP3+Irr!BN3)),IF(AND(Irr!R3=".",Irr!AP3=".",Irr!BN3&lt;&gt;"."),dir!AR3/((1/1000)*(Irr!BN3)),IF(AND(Irr!R3=".",Irr!AP3&lt;&gt;".",Irr!BN3="."),dir!AR3/((1/1000)*(Irr!AP3)),IF(AND(Irr!R3&lt;&gt;".",Irr!AP3=".",Irr!BN3="."),dir!AR3/((1/1000)*(Irr!R3)),IF(AND(Irr!R3=".",Irr!AP3=".",Irr!BN3="."),dir!AR3*1000)))))))),".")</f>
        <v>2.3465360496833343</v>
      </c>
      <c r="AS3" s="76">
        <f>IFERROR(IF(AND(Irr!S3&lt;&gt;".",Irr!AQ3&lt;&gt;".",Irr!BO3&lt;&gt;"."),dir!AS3/((1/1000)*(Irr!S3+Irr!AQ3+Irr!BO3)),IF(AND(Irr!S3&lt;&gt;".",Irr!AQ3&lt;&gt;".",Irr!BO3="."),dir!AS3/((1/1000)*(Irr!S3+Irr!AQ3)),IF(AND(Irr!S3&lt;&gt;".",Irr!AQ3=".",Irr!BO3&lt;&gt;"."),dir!AS3/((1/1000)*(Irr!S3+Irr!BO3)),IF(AND(Irr!S3=".",Irr!AQ3&lt;&gt;".",Irr!BO3&lt;&gt;"."),dir!AS3/((1/1000)*(Irr!AQ3+Irr!BO3)),IF(AND(Irr!S3=".",Irr!AQ3=".",Irr!BO3&lt;&gt;"."),dir!AS3/((1/1000)*(Irr!BO3)),IF(AND(Irr!S3=".",Irr!AQ3&lt;&gt;".",Irr!BO3="."),dir!AS3/((1/1000)*(Irr!AQ3)),IF(AND(Irr!S3&lt;&gt;".",Irr!AQ3=".",Irr!BO3="."),dir!AS3/((1/1000)*(Irr!S3)),IF(AND(Irr!S3=".",Irr!AQ3=".",Irr!BO3="."),dir!AS3*1000)))))))),".")</f>
        <v>4.6725200772040116</v>
      </c>
      <c r="AT3" s="76">
        <f>IFERROR(IF(AND(Irr!T3&lt;&gt;".",Irr!AR3&lt;&gt;".",Irr!BP3&lt;&gt;"."),dir!AT3/((1/1000)*(Irr!T3+Irr!AR3+Irr!BP3)),IF(AND(Irr!T3&lt;&gt;".",Irr!AR3&lt;&gt;".",Irr!BP3="."),dir!AT3/((1/1000)*(Irr!T3+Irr!AR3)),IF(AND(Irr!T3&lt;&gt;".",Irr!AR3=".",Irr!BP3&lt;&gt;"."),dir!AT3/((1/1000)*(Irr!T3+Irr!BP3)),IF(AND(Irr!T3=".",Irr!AR3&lt;&gt;".",Irr!BP3&lt;&gt;"."),dir!AT3/((1/1000)*(Irr!AR3+Irr!BP3)),IF(AND(Irr!T3=".",Irr!AR3=".",Irr!BP3&lt;&gt;"."),dir!AT3/((1/1000)*(Irr!BP3)),IF(AND(Irr!T3=".",Irr!AR3&lt;&gt;".",Irr!BP3="."),dir!AT3/((1/1000)*(Irr!AR3)),IF(AND(Irr!T3&lt;&gt;".",Irr!AR3=".",Irr!BP3="."),dir!AT3/((1/1000)*(Irr!T3)),IF(AND(Irr!T3=".",Irr!AR3=".",Irr!BP3="."),dir!AT3*1000)))))))),".")</f>
        <v>1.1323383811277232</v>
      </c>
      <c r="AU3" s="76">
        <f>IFERROR(IF(AND(Irr!U3&lt;&gt;".",Irr!AS3&lt;&gt;".",Irr!BQ3&lt;&gt;"."),dir!AU3/((1/1000)*(Irr!U3+Irr!AS3+Irr!BQ3)),IF(AND(Irr!U3&lt;&gt;".",Irr!AS3&lt;&gt;".",Irr!BQ3="."),dir!AU3/((1/1000)*(Irr!U3+Irr!AS3)),IF(AND(Irr!U3&lt;&gt;".",Irr!AS3=".",Irr!BQ3&lt;&gt;"."),dir!AU3/((1/1000)*(Irr!U3+Irr!BQ3)),IF(AND(Irr!U3=".",Irr!AS3&lt;&gt;".",Irr!BQ3&lt;&gt;"."),dir!AU3/((1/1000)*(Irr!AS3+Irr!BQ3)),IF(AND(Irr!U3=".",Irr!AS3=".",Irr!BQ3&lt;&gt;"."),dir!AU3/((1/1000)*(Irr!BQ3)),IF(AND(Irr!U3=".",Irr!AS3&lt;&gt;".",Irr!BQ3="."),dir!AU3/((1/1000)*(Irr!AS3)),IF(AND(Irr!U3&lt;&gt;".",Irr!AS3=".",Irr!BQ3="."),dir!AU3/((1/1000)*(Irr!U3)),IF(AND(Irr!U3=".",Irr!AS3=".",Irr!BQ3="."),dir!AU3*1000)))))))),".")</f>
        <v>2.3636607110696319</v>
      </c>
      <c r="AV3" s="76">
        <f>IFERROR(IF(AND(Irr!V3&lt;&gt;".",Irr!AT3&lt;&gt;".",Irr!BR3&lt;&gt;"."),dir!AV3/((1/1000)*(Irr!V3+Irr!AT3+Irr!BR3)),IF(AND(Irr!V3&lt;&gt;".",Irr!AT3&lt;&gt;".",Irr!BR3="."),dir!AV3/((1/1000)*(Irr!V3+Irr!AT3)),IF(AND(Irr!V3&lt;&gt;".",Irr!AT3=".",Irr!BR3&lt;&gt;"."),dir!AV3/((1/1000)*(Irr!V3+Irr!BR3)),IF(AND(Irr!V3=".",Irr!AT3&lt;&gt;".",Irr!BR3&lt;&gt;"."),dir!AV3/((1/1000)*(Irr!AT3+Irr!BR3)),IF(AND(Irr!V3=".",Irr!AT3=".",Irr!BR3&lt;&gt;"."),dir!AV3/((1/1000)*(Irr!BR3)),IF(AND(Irr!V3=".",Irr!AT3&lt;&gt;".",Irr!BR3="."),dir!AV3/((1/1000)*(Irr!AT3)),IF(AND(Irr!V3&lt;&gt;".",Irr!AT3=".",Irr!BR3="."),dir!AV3/((1/1000)*(Irr!V3)),IF(AND(Irr!V3=".",Irr!AT3=".",Irr!BR3="."),dir!AV3*1000)))))))),".")</f>
        <v>2.7782230360216458</v>
      </c>
      <c r="AW3" s="76">
        <f>IFERROR(IF(AND(Irr!W3&lt;&gt;".",Irr!AU3&lt;&gt;".",Irr!BS3&lt;&gt;"."),dir!AW3/((1/1000)*(Irr!W3+Irr!AU3+Irr!BS3)),IF(AND(Irr!W3&lt;&gt;".",Irr!AU3&lt;&gt;".",Irr!BS3="."),dir!AW3/((1/1000)*(Irr!W3+Irr!AU3)),IF(AND(Irr!W3&lt;&gt;".",Irr!AU3=".",Irr!BS3&lt;&gt;"."),dir!AW3/((1/1000)*(Irr!W3+Irr!BS3)),IF(AND(Irr!W3=".",Irr!AU3&lt;&gt;".",Irr!BS3&lt;&gt;"."),dir!AW3/((1/1000)*(Irr!AU3+Irr!BS3)),IF(AND(Irr!W3=".",Irr!AU3=".",Irr!BS3&lt;&gt;"."),dir!AW3/((1/1000)*(Irr!BS3)),IF(AND(Irr!W3=".",Irr!AU3&lt;&gt;".",Irr!BS3="."),dir!AW3/((1/1000)*(Irr!AU3)),IF(AND(Irr!W3&lt;&gt;".",Irr!AU3=".",Irr!BS3="."),dir!AW3/((1/1000)*(Irr!W3)),IF(AND(Irr!W3=".",Irr!AU3=".",Irr!BS3="."),dir!AW3*1000)))))))),".")</f>
        <v>3.8341865978292464</v>
      </c>
      <c r="AX3" s="76">
        <f>IFERROR(IF(AND(Irr!X3&lt;&gt;".",Irr!AV3&lt;&gt;".",Irr!BT3&lt;&gt;"."),dir!AX3/((1/1000)*(Irr!X3+Irr!AV3+Irr!BT3)),IF(AND(Irr!X3&lt;&gt;".",Irr!AV3&lt;&gt;".",Irr!BT3="."),dir!AX3/((1/1000)*(Irr!X3+Irr!AV3)),IF(AND(Irr!X3&lt;&gt;".",Irr!AV3=".",Irr!BT3&lt;&gt;"."),dir!AX3/((1/1000)*(Irr!X3+Irr!BT3)),IF(AND(Irr!X3=".",Irr!AV3&lt;&gt;".",Irr!BT3&lt;&gt;"."),dir!AX3/((1/1000)*(Irr!AV3+Irr!BT3)),IF(AND(Irr!X3=".",Irr!AV3=".",Irr!BT3&lt;&gt;"."),dir!AX3/((1/1000)*(Irr!BT3)),IF(AND(Irr!X3=".",Irr!AV3&lt;&gt;".",Irr!BT3="."),dir!AX3/((1/1000)*(Irr!AV3)),IF(AND(Irr!X3&lt;&gt;".",Irr!AV3=".",Irr!BT3="."),dir!AX3/((1/1000)*(Irr!X3)),IF(AND(Irr!X3=".",Irr!AV3=".",Irr!BT3="."),dir!AX3*1000)))))))),".")</f>
        <v>1.6887519477723476</v>
      </c>
      <c r="AY3" s="76">
        <f>IFERROR(IF(AND(Irr!Y3&lt;&gt;".",Irr!AW3&lt;&gt;".",Irr!BU3&lt;&gt;"."),dir!AY3/((1/1000)*(Irr!Y3+Irr!AW3+Irr!BU3)),IF(AND(Irr!Y3&lt;&gt;".",Irr!AW3&lt;&gt;".",Irr!BU3="."),dir!AY3/((1/1000)*(Irr!Y3+Irr!AW3)),IF(AND(Irr!Y3&lt;&gt;".",Irr!AW3=".",Irr!BU3&lt;&gt;"."),dir!AY3/((1/1000)*(Irr!Y3+Irr!BU3)),IF(AND(Irr!Y3=".",Irr!AW3&lt;&gt;".",Irr!BU3&lt;&gt;"."),dir!AY3/((1/1000)*(Irr!AW3+Irr!BU3)),IF(AND(Irr!Y3=".",Irr!AW3=".",Irr!BU3&lt;&gt;"."),dir!AY3/((1/1000)*(Irr!BU3)),IF(AND(Irr!Y3=".",Irr!AW3&lt;&gt;".",Irr!BU3="."),dir!AY3/((1/1000)*(Irr!AW3)),IF(AND(Irr!Y3&lt;&gt;".",Irr!AW3=".",Irr!BU3="."),dir!AY3/((1/1000)*(Irr!Y3)),IF(AND(Irr!Y3=".",Irr!AW3=".",Irr!BU3="."),dir!AY3*1000)))))))),".")</f>
        <v>0.52696851208713147</v>
      </c>
      <c r="AZ3" s="76">
        <f>IFERROR(IF(AND(Irr!Z3&lt;&gt;".",Irr!AX3&lt;&gt;".",Irr!BV3&lt;&gt;"."),dir!AZ3/((1/1000)*(Irr!Z3+Irr!AX3+Irr!BV3)),IF(AND(Irr!Z3&lt;&gt;".",Irr!AX3&lt;&gt;".",Irr!BV3="."),dir!AZ3/((1/1000)*(Irr!Z3+Irr!AX3)),IF(AND(Irr!Z3&lt;&gt;".",Irr!AX3=".",Irr!BV3&lt;&gt;"."),dir!AZ3/((1/1000)*(Irr!Z3+Irr!BV3)),IF(AND(Irr!Z3=".",Irr!AX3&lt;&gt;".",Irr!BV3&lt;&gt;"."),dir!AZ3/((1/1000)*(Irr!AX3+Irr!BV3)),IF(AND(Irr!Z3=".",Irr!AX3=".",Irr!BV3&lt;&gt;"."),dir!AZ3/((1/1000)*(Irr!BV3)),IF(AND(Irr!Z3=".",Irr!AX3&lt;&gt;".",Irr!BV3="."),dir!AZ3/((1/1000)*(Irr!AX3)),IF(AND(Irr!Z3&lt;&gt;".",Irr!AX3=".",Irr!BV3="."),dir!AZ3/((1/1000)*(Irr!Z3)),IF(AND(Irr!Z3=".",Irr!AX3=".",Irr!BV3="."),dir!AZ3*1000)))))))),".")</f>
        <v>0.50002695558757759</v>
      </c>
    </row>
    <row r="4" spans="1:52" ht="15" customHeight="1" x14ac:dyDescent="0.25">
      <c r="A4" s="92" t="s">
        <v>14</v>
      </c>
      <c r="B4" s="90" t="s">
        <v>1074</v>
      </c>
      <c r="C4" s="76" t="str">
        <f t="shared" ref="C4:C5" si="2">IFERROR(1/SUM(1/D4,1/E4,1/F4,1/G4,1/H4,1/I4,1/J4,1/K4,1/L4,1/M4,1/N4,1/O4,1/P4,1/Q4,1/R4,1/S4,1/T4,1/U4,1/V4,1/W4,1/X4,1/Y4),".")</f>
        <v>.</v>
      </c>
      <c r="D4" s="76" t="str">
        <f>IFERROR(IF(AND(Irr!C4&lt;&gt;".",Irr!AA4&lt;&gt;".",Irr!AY4&lt;&gt;"."),dir!D4/((1/1000)*(Irr!C4+Irr!AA4+Irr!AY4)),IF(AND(Irr!C4&lt;&gt;".",Irr!AA4&lt;&gt;".",Irr!AY4="."),dir!D4/((1/1000)*(Irr!C4+Irr!AA4)),IF(AND(Irr!C4&lt;&gt;".",Irr!AA4=".",Irr!AY4&lt;&gt;"."),dir!D4/((1/1000)*(Irr!C4+Irr!AY4)),IF(AND(Irr!C4=".",Irr!AA4&lt;&gt;".",Irr!AY4&lt;&gt;"."),dir!D4/((1/1000)*(Irr!AA4+Irr!AY4)),IF(AND(Irr!C4=".",Irr!AA4=".",Irr!AY4&lt;&gt;"."),dir!D4/((1/1000)*(Irr!AY4)),IF(AND(Irr!C4=".",Irr!AA4&lt;&gt;".",Irr!AY4="."),dir!D4/((1/1000)*(Irr!AA4)),IF(AND(Irr!C4&lt;&gt;".",Irr!AA4=".",Irr!AY4="."),dir!D4/((1/1000)*(Irr!C4)),IF(AND(Irr!C4=".",Irr!AA4=".",Irr!AY4="."),dir!D4*1000)))))))),".")</f>
        <v>.</v>
      </c>
      <c r="E4" s="76" t="str">
        <f>IFERROR(IF(AND(Irr!D4&lt;&gt;".",Irr!AB4&lt;&gt;".",Irr!AZ4&lt;&gt;"."),dir!E4/((1/1000)*(Irr!D4+Irr!AB4+Irr!AZ4)),IF(AND(Irr!D4&lt;&gt;".",Irr!AB4&lt;&gt;".",Irr!AZ4="."),dir!E4/((1/1000)*(Irr!D4+Irr!AB4)),IF(AND(Irr!D4&lt;&gt;".",Irr!AB4=".",Irr!AZ4&lt;&gt;"."),dir!E4/((1/1000)*(Irr!D4+Irr!AZ4)),IF(AND(Irr!D4=".",Irr!AB4&lt;&gt;".",Irr!AZ4&lt;&gt;"."),dir!E4/((1/1000)*(Irr!AB4+Irr!AZ4)),IF(AND(Irr!D4=".",Irr!AB4=".",Irr!AZ4&lt;&gt;"."),dir!E4/((1/1000)*(Irr!AZ4)),IF(AND(Irr!D4=".",Irr!AB4&lt;&gt;".",Irr!AZ4="."),dir!E4/((1/1000)*(Irr!AB4)),IF(AND(Irr!D4&lt;&gt;".",Irr!AB4=".",Irr!AZ4="."),dir!E4/((1/1000)*(Irr!D4)),IF(AND(Irr!D4=".",Irr!AB4=".",Irr!AZ4="."),dir!E4*1000)))))))),".")</f>
        <v>.</v>
      </c>
      <c r="F4" s="76" t="str">
        <f>IFERROR(IF(AND(Irr!E4&lt;&gt;".",Irr!AC4&lt;&gt;".",Irr!BA4&lt;&gt;"."),dir!F4/((1/1000)*(Irr!E4+Irr!AC4+Irr!BA4)),IF(AND(Irr!E4&lt;&gt;".",Irr!AC4&lt;&gt;".",Irr!BA4="."),dir!F4/((1/1000)*(Irr!E4+Irr!AC4)),IF(AND(Irr!E4&lt;&gt;".",Irr!AC4=".",Irr!BA4&lt;&gt;"."),dir!F4/((1/1000)*(Irr!E4+Irr!BA4)),IF(AND(Irr!E4=".",Irr!AC4&lt;&gt;".",Irr!BA4&lt;&gt;"."),dir!F4/((1/1000)*(Irr!AC4+Irr!BA4)),IF(AND(Irr!E4=".",Irr!AC4=".",Irr!BA4&lt;&gt;"."),dir!F4/((1/1000)*(Irr!BA4)),IF(AND(Irr!E4=".",Irr!AC4&lt;&gt;".",Irr!BA4="."),dir!F4/((1/1000)*(Irr!AC4)),IF(AND(Irr!E4&lt;&gt;".",Irr!AC4=".",Irr!BA4="."),dir!F4/((1/1000)*(Irr!E4)),IF(AND(Irr!E4=".",Irr!AC4=".",Irr!BA4="."),dir!F4*1000)))))))),".")</f>
        <v>.</v>
      </c>
      <c r="G4" s="76" t="str">
        <f>IFERROR(IF(AND(Irr!F4&lt;&gt;".",Irr!AD4&lt;&gt;".",Irr!BB4&lt;&gt;"."),dir!G4/((1/1000)*(Irr!F4+Irr!AD4+Irr!BB4)),IF(AND(Irr!F4&lt;&gt;".",Irr!AD4&lt;&gt;".",Irr!BB4="."),dir!G4/((1/1000)*(Irr!F4+Irr!AD4)),IF(AND(Irr!F4&lt;&gt;".",Irr!AD4=".",Irr!BB4&lt;&gt;"."),dir!G4/((1/1000)*(Irr!F4+Irr!BB4)),IF(AND(Irr!F4=".",Irr!AD4&lt;&gt;".",Irr!BB4&lt;&gt;"."),dir!G4/((1/1000)*(Irr!AD4+Irr!BB4)),IF(AND(Irr!F4=".",Irr!AD4=".",Irr!BB4&lt;&gt;"."),dir!G4/((1/1000)*(Irr!BB4)),IF(AND(Irr!F4=".",Irr!AD4&lt;&gt;".",Irr!BB4="."),dir!G4/((1/1000)*(Irr!AD4)),IF(AND(Irr!F4&lt;&gt;".",Irr!AD4=".",Irr!BB4="."),dir!G4/((1/1000)*(Irr!F4)),IF(AND(Irr!F4=".",Irr!AD4=".",Irr!BB4="."),dir!G4*1000)))))))),".")</f>
        <v>.</v>
      </c>
      <c r="H4" s="76" t="str">
        <f>IFERROR(IF(AND(Irr!G4&lt;&gt;".",Irr!AE4&lt;&gt;".",Irr!BC4&lt;&gt;"."),dir!H4/((1/1000)*(Irr!G4+Irr!AE4+Irr!BC4)),IF(AND(Irr!G4&lt;&gt;".",Irr!AE4&lt;&gt;".",Irr!BC4="."),dir!H4/((1/1000)*(Irr!G4+Irr!AE4)),IF(AND(Irr!G4&lt;&gt;".",Irr!AE4=".",Irr!BC4&lt;&gt;"."),dir!H4/((1/1000)*(Irr!G4+Irr!BC4)),IF(AND(Irr!G4=".",Irr!AE4&lt;&gt;".",Irr!BC4&lt;&gt;"."),dir!H4/((1/1000)*(Irr!AE4+Irr!BC4)),IF(AND(Irr!G4=".",Irr!AE4=".",Irr!BC4&lt;&gt;"."),dir!H4/((1/1000)*(Irr!BC4)),IF(AND(Irr!G4=".",Irr!AE4&lt;&gt;".",Irr!BC4="."),dir!H4/((1/1000)*(Irr!AE4)),IF(AND(Irr!G4&lt;&gt;".",Irr!AE4=".",Irr!BC4="."),dir!H4/((1/1000)*(Irr!G4)),IF(AND(Irr!G4=".",Irr!AE4=".",Irr!BC4="."),dir!H4*1000)))))))),".")</f>
        <v>.</v>
      </c>
      <c r="I4" s="76" t="str">
        <f>IFERROR(IF(AND(Irr!H4&lt;&gt;".",Irr!AF4&lt;&gt;".",Irr!BD4&lt;&gt;"."),dir!I4/((1/1000)*(Irr!H4+Irr!AF4+Irr!BD4)),IF(AND(Irr!H4&lt;&gt;".",Irr!AF4&lt;&gt;".",Irr!BD4="."),dir!I4/((1/1000)*(Irr!H4+Irr!AF4)),IF(AND(Irr!H4&lt;&gt;".",Irr!AF4=".",Irr!BD4&lt;&gt;"."),dir!I4/((1/1000)*(Irr!H4+Irr!BD4)),IF(AND(Irr!H4=".",Irr!AF4&lt;&gt;".",Irr!BD4&lt;&gt;"."),dir!I4/((1/1000)*(Irr!AF4+Irr!BD4)),IF(AND(Irr!H4=".",Irr!AF4=".",Irr!BD4&lt;&gt;"."),dir!I4/((1/1000)*(Irr!BD4)),IF(AND(Irr!H4=".",Irr!AF4&lt;&gt;".",Irr!BD4="."),dir!I4/((1/1000)*(Irr!AF4)),IF(AND(Irr!H4&lt;&gt;".",Irr!AF4=".",Irr!BD4="."),dir!I4/((1/1000)*(Irr!H4)),IF(AND(Irr!H4=".",Irr!AF4=".",Irr!BD4="."),dir!I4*1000)))))))),".")</f>
        <v>.</v>
      </c>
      <c r="J4" s="76" t="str">
        <f>IFERROR(IF(AND(Irr!I4&lt;&gt;".",Irr!AG4&lt;&gt;".",Irr!BE4&lt;&gt;"."),dir!J4/((1/1000)*(Irr!I4+Irr!AG4+Irr!BE4)),IF(AND(Irr!I4&lt;&gt;".",Irr!AG4&lt;&gt;".",Irr!BE4="."),dir!J4/((1/1000)*(Irr!I4+Irr!AG4)),IF(AND(Irr!I4&lt;&gt;".",Irr!AG4=".",Irr!BE4&lt;&gt;"."),dir!J4/((1/1000)*(Irr!I4+Irr!BE4)),IF(AND(Irr!I4=".",Irr!AG4&lt;&gt;".",Irr!BE4&lt;&gt;"."),dir!J4/((1/1000)*(Irr!AG4+Irr!BE4)),IF(AND(Irr!I4=".",Irr!AG4=".",Irr!BE4&lt;&gt;"."),dir!J4/((1/1000)*(Irr!BE4)),IF(AND(Irr!I4=".",Irr!AG4&lt;&gt;".",Irr!BE4="."),dir!J4/((1/1000)*(Irr!AG4)),IF(AND(Irr!I4&lt;&gt;".",Irr!AG4=".",Irr!BE4="."),dir!J4/((1/1000)*(Irr!I4)),IF(AND(Irr!I4=".",Irr!AG4=".",Irr!BE4="."),dir!J4*1000)))))))),".")</f>
        <v>.</v>
      </c>
      <c r="K4" s="76" t="str">
        <f>IFERROR(IF(AND(Irr!J4&lt;&gt;".",Irr!AH4&lt;&gt;".",Irr!BF4&lt;&gt;"."),dir!K4/((1/1000)*(Irr!J4+Irr!AH4+Irr!BF4)),IF(AND(Irr!J4&lt;&gt;".",Irr!AH4&lt;&gt;".",Irr!BF4="."),dir!K4/((1/1000)*(Irr!J4+Irr!AH4)),IF(AND(Irr!J4&lt;&gt;".",Irr!AH4=".",Irr!BF4&lt;&gt;"."),dir!K4/((1/1000)*(Irr!J4+Irr!BF4)),IF(AND(Irr!J4=".",Irr!AH4&lt;&gt;".",Irr!BF4&lt;&gt;"."),dir!K4/((1/1000)*(Irr!AH4+Irr!BF4)),IF(AND(Irr!J4=".",Irr!AH4=".",Irr!BF4&lt;&gt;"."),dir!K4/((1/1000)*(Irr!BF4)),IF(AND(Irr!J4=".",Irr!AH4&lt;&gt;".",Irr!BF4="."),dir!K4/((1/1000)*(Irr!AH4)),IF(AND(Irr!J4&lt;&gt;".",Irr!AH4=".",Irr!BF4="."),dir!K4/((1/1000)*(Irr!J4)),IF(AND(Irr!J4=".",Irr!AH4=".",Irr!BF4="."),dir!K4*1000)))))))),".")</f>
        <v>.</v>
      </c>
      <c r="L4" s="76" t="str">
        <f>IFERROR(IF(AND(Irr!K4&lt;&gt;".",Irr!AI4&lt;&gt;".",Irr!BG4&lt;&gt;"."),dir!L4/((1/1000)*(Irr!K4+Irr!AI4+Irr!BG4)),IF(AND(Irr!K4&lt;&gt;".",Irr!AI4&lt;&gt;".",Irr!BG4="."),dir!L4/((1/1000)*(Irr!K4+Irr!AI4)),IF(AND(Irr!K4&lt;&gt;".",Irr!AI4=".",Irr!BG4&lt;&gt;"."),dir!L4/((1/1000)*(Irr!K4+Irr!BG4)),IF(AND(Irr!K4=".",Irr!AI4&lt;&gt;".",Irr!BG4&lt;&gt;"."),dir!L4/((1/1000)*(Irr!AI4+Irr!BG4)),IF(AND(Irr!K4=".",Irr!AI4=".",Irr!BG4&lt;&gt;"."),dir!L4/((1/1000)*(Irr!BG4)),IF(AND(Irr!K4=".",Irr!AI4&lt;&gt;".",Irr!BG4="."),dir!L4/((1/1000)*(Irr!AI4)),IF(AND(Irr!K4&lt;&gt;".",Irr!AI4=".",Irr!BG4="."),dir!L4/((1/1000)*(Irr!K4)),IF(AND(Irr!K4=".",Irr!AI4=".",Irr!BG4="."),dir!L4*1000)))))))),".")</f>
        <v>.</v>
      </c>
      <c r="M4" s="76" t="str">
        <f>IFERROR(IF(AND(Irr!L4&lt;&gt;".",Irr!AJ4&lt;&gt;".",Irr!BH4&lt;&gt;"."),dir!M4/((1/1000)*(Irr!L4+Irr!AJ4+Irr!BH4)),IF(AND(Irr!L4&lt;&gt;".",Irr!AJ4&lt;&gt;".",Irr!BH4="."),dir!M4/((1/1000)*(Irr!L4+Irr!AJ4)),IF(AND(Irr!L4&lt;&gt;".",Irr!AJ4=".",Irr!BH4&lt;&gt;"."),dir!M4/((1/1000)*(Irr!L4+Irr!BH4)),IF(AND(Irr!L4=".",Irr!AJ4&lt;&gt;".",Irr!BH4&lt;&gt;"."),dir!M4/((1/1000)*(Irr!AJ4+Irr!BH4)),IF(AND(Irr!L4=".",Irr!AJ4=".",Irr!BH4&lt;&gt;"."),dir!M4/((1/1000)*(Irr!BH4)),IF(AND(Irr!L4=".",Irr!AJ4&lt;&gt;".",Irr!BH4="."),dir!M4/((1/1000)*(Irr!AJ4)),IF(AND(Irr!L4&lt;&gt;".",Irr!AJ4=".",Irr!BH4="."),dir!M4/((1/1000)*(Irr!L4)),IF(AND(Irr!L4=".",Irr!AJ4=".",Irr!BH4="."),dir!M4*1000)))))))),".")</f>
        <v>.</v>
      </c>
      <c r="N4" s="76" t="str">
        <f>IFERROR(IF(AND(Irr!M4&lt;&gt;".",Irr!AK4&lt;&gt;".",Irr!BI4&lt;&gt;"."),dir!N4/((1/1000)*(Irr!M4+Irr!AK4+Irr!BI4)),IF(AND(Irr!M4&lt;&gt;".",Irr!AK4&lt;&gt;".",Irr!BI4="."),dir!N4/((1/1000)*(Irr!M4+Irr!AK4)),IF(AND(Irr!M4&lt;&gt;".",Irr!AK4=".",Irr!BI4&lt;&gt;"."),dir!N4/((1/1000)*(Irr!M4+Irr!BI4)),IF(AND(Irr!M4=".",Irr!AK4&lt;&gt;".",Irr!BI4&lt;&gt;"."),dir!N4/((1/1000)*(Irr!AK4+Irr!BI4)),IF(AND(Irr!M4=".",Irr!AK4=".",Irr!BI4&lt;&gt;"."),dir!N4/((1/1000)*(Irr!BI4)),IF(AND(Irr!M4=".",Irr!AK4&lt;&gt;".",Irr!BI4="."),dir!N4/((1/1000)*(Irr!AK4)),IF(AND(Irr!M4&lt;&gt;".",Irr!AK4=".",Irr!BI4="."),dir!N4/((1/1000)*(Irr!M4)),IF(AND(Irr!M4=".",Irr!AK4=".",Irr!BI4="."),dir!N4*1000)))))))),".")</f>
        <v>.</v>
      </c>
      <c r="O4" s="76" t="str">
        <f>IFERROR(IF(AND(Irr!N4&lt;&gt;".",Irr!AL4&lt;&gt;".",Irr!BJ4&lt;&gt;"."),dir!O4/((1/1000)*(Irr!N4+Irr!AL4+Irr!BJ4)),IF(AND(Irr!N4&lt;&gt;".",Irr!AL4&lt;&gt;".",Irr!BJ4="."),dir!O4/((1/1000)*(Irr!N4+Irr!AL4)),IF(AND(Irr!N4&lt;&gt;".",Irr!AL4=".",Irr!BJ4&lt;&gt;"."),dir!O4/((1/1000)*(Irr!N4+Irr!BJ4)),IF(AND(Irr!N4=".",Irr!AL4&lt;&gt;".",Irr!BJ4&lt;&gt;"."),dir!O4/((1/1000)*(Irr!AL4+Irr!BJ4)),IF(AND(Irr!N4=".",Irr!AL4=".",Irr!BJ4&lt;&gt;"."),dir!O4/((1/1000)*(Irr!BJ4)),IF(AND(Irr!N4=".",Irr!AL4&lt;&gt;".",Irr!BJ4="."),dir!O4/((1/1000)*(Irr!AL4)),IF(AND(Irr!N4&lt;&gt;".",Irr!AL4=".",Irr!BJ4="."),dir!O4/((1/1000)*(Irr!N4)),IF(AND(Irr!N4=".",Irr!AL4=".",Irr!BJ4="."),dir!O4*1000)))))))),".")</f>
        <v>.</v>
      </c>
      <c r="P4" s="76" t="str">
        <f>IFERROR(IF(AND(Irr!O4&lt;&gt;".",Irr!AM4&lt;&gt;".",Irr!BK4&lt;&gt;"."),dir!P4/((1/1000)*(Irr!O4+Irr!AM4+Irr!BK4)),IF(AND(Irr!O4&lt;&gt;".",Irr!AM4&lt;&gt;".",Irr!BK4="."),dir!P4/((1/1000)*(Irr!O4+Irr!AM4)),IF(AND(Irr!O4&lt;&gt;".",Irr!AM4=".",Irr!BK4&lt;&gt;"."),dir!P4/((1/1000)*(Irr!O4+Irr!BK4)),IF(AND(Irr!O4=".",Irr!AM4&lt;&gt;".",Irr!BK4&lt;&gt;"."),dir!P4/((1/1000)*(Irr!AM4+Irr!BK4)),IF(AND(Irr!O4=".",Irr!AM4=".",Irr!BK4&lt;&gt;"."),dir!P4/((1/1000)*(Irr!BK4)),IF(AND(Irr!O4=".",Irr!AM4&lt;&gt;".",Irr!BK4="."),dir!P4/((1/1000)*(Irr!AM4)),IF(AND(Irr!O4&lt;&gt;".",Irr!AM4=".",Irr!BK4="."),dir!P4/((1/1000)*(Irr!O4)),IF(AND(Irr!O4=".",Irr!AM4=".",Irr!BK4="."),dir!P4*1000)))))))),".")</f>
        <v>.</v>
      </c>
      <c r="Q4" s="76" t="str">
        <f>IFERROR(IF(AND(Irr!P4&lt;&gt;".",Irr!AN4&lt;&gt;".",Irr!BL4&lt;&gt;"."),dir!Q4/((1/1000)*(Irr!P4+Irr!AN4+Irr!BL4)),IF(AND(Irr!P4&lt;&gt;".",Irr!AN4&lt;&gt;".",Irr!BL4="."),dir!Q4/((1/1000)*(Irr!P4+Irr!AN4)),IF(AND(Irr!P4&lt;&gt;".",Irr!AN4=".",Irr!BL4&lt;&gt;"."),dir!Q4/((1/1000)*(Irr!P4+Irr!BL4)),IF(AND(Irr!P4=".",Irr!AN4&lt;&gt;".",Irr!BL4&lt;&gt;"."),dir!Q4/((1/1000)*(Irr!AN4+Irr!BL4)),IF(AND(Irr!P4=".",Irr!AN4=".",Irr!BL4&lt;&gt;"."),dir!Q4/((1/1000)*(Irr!BL4)),IF(AND(Irr!P4=".",Irr!AN4&lt;&gt;".",Irr!BL4="."),dir!Q4/((1/1000)*(Irr!AN4)),IF(AND(Irr!P4&lt;&gt;".",Irr!AN4=".",Irr!BL4="."),dir!Q4/((1/1000)*(Irr!P4)),IF(AND(Irr!P4=".",Irr!AN4=".",Irr!BL4="."),dir!Q4*1000)))))))),".")</f>
        <v>.</v>
      </c>
      <c r="R4" s="76" t="str">
        <f>IFERROR(IF(AND(Irr!Q4&lt;&gt;".",Irr!AO4&lt;&gt;".",Irr!BM4&lt;&gt;"."),dir!R4/((1/1000)*(Irr!Q4+Irr!AO4+Irr!BM4)),IF(AND(Irr!Q4&lt;&gt;".",Irr!AO4&lt;&gt;".",Irr!BM4="."),dir!R4/((1/1000)*(Irr!Q4+Irr!AO4)),IF(AND(Irr!Q4&lt;&gt;".",Irr!AO4=".",Irr!BM4&lt;&gt;"."),dir!R4/((1/1000)*(Irr!Q4+Irr!BM4)),IF(AND(Irr!Q4=".",Irr!AO4&lt;&gt;".",Irr!BM4&lt;&gt;"."),dir!R4/((1/1000)*(Irr!AO4+Irr!BM4)),IF(AND(Irr!Q4=".",Irr!AO4=".",Irr!BM4&lt;&gt;"."),dir!R4/((1/1000)*(Irr!BM4)),IF(AND(Irr!Q4=".",Irr!AO4&lt;&gt;".",Irr!BM4="."),dir!R4/((1/1000)*(Irr!AO4)),IF(AND(Irr!Q4&lt;&gt;".",Irr!AO4=".",Irr!BM4="."),dir!R4/((1/1000)*(Irr!Q4)),IF(AND(Irr!Q4=".",Irr!AO4=".",Irr!BM4="."),dir!R4*1000)))))))),".")</f>
        <v>.</v>
      </c>
      <c r="S4" s="76" t="str">
        <f>IFERROR(IF(AND(Irr!R4&lt;&gt;".",Irr!AP4&lt;&gt;".",Irr!BN4&lt;&gt;"."),dir!S4/((1/1000)*(Irr!R4+Irr!AP4+Irr!BN4)),IF(AND(Irr!R4&lt;&gt;".",Irr!AP4&lt;&gt;".",Irr!BN4="."),dir!S4/((1/1000)*(Irr!R4+Irr!AP4)),IF(AND(Irr!R4&lt;&gt;".",Irr!AP4=".",Irr!BN4&lt;&gt;"."),dir!S4/((1/1000)*(Irr!R4+Irr!BN4)),IF(AND(Irr!R4=".",Irr!AP4&lt;&gt;".",Irr!BN4&lt;&gt;"."),dir!S4/((1/1000)*(Irr!AP4+Irr!BN4)),IF(AND(Irr!R4=".",Irr!AP4=".",Irr!BN4&lt;&gt;"."),dir!S4/((1/1000)*(Irr!BN4)),IF(AND(Irr!R4=".",Irr!AP4&lt;&gt;".",Irr!BN4="."),dir!S4/((1/1000)*(Irr!AP4)),IF(AND(Irr!R4&lt;&gt;".",Irr!AP4=".",Irr!BN4="."),dir!S4/((1/1000)*(Irr!R4)),IF(AND(Irr!R4=".",Irr!AP4=".",Irr!BN4="."),dir!S4*1000)))))))),".")</f>
        <v>.</v>
      </c>
      <c r="T4" s="76" t="str">
        <f>IFERROR(IF(AND(Irr!S4&lt;&gt;".",Irr!AQ4&lt;&gt;".",Irr!BO4&lt;&gt;"."),dir!T4/((1/1000)*(Irr!S4+Irr!AQ4+Irr!BO4)),IF(AND(Irr!S4&lt;&gt;".",Irr!AQ4&lt;&gt;".",Irr!BO4="."),dir!T4/((1/1000)*(Irr!S4+Irr!AQ4)),IF(AND(Irr!S4&lt;&gt;".",Irr!AQ4=".",Irr!BO4&lt;&gt;"."),dir!T4/((1/1000)*(Irr!S4+Irr!BO4)),IF(AND(Irr!S4=".",Irr!AQ4&lt;&gt;".",Irr!BO4&lt;&gt;"."),dir!T4/((1/1000)*(Irr!AQ4+Irr!BO4)),IF(AND(Irr!S4=".",Irr!AQ4=".",Irr!BO4&lt;&gt;"."),dir!T4/((1/1000)*(Irr!BO4)),IF(AND(Irr!S4=".",Irr!AQ4&lt;&gt;".",Irr!BO4="."),dir!T4/((1/1000)*(Irr!AQ4)),IF(AND(Irr!S4&lt;&gt;".",Irr!AQ4=".",Irr!BO4="."),dir!T4/((1/1000)*(Irr!S4)),IF(AND(Irr!S4=".",Irr!AQ4=".",Irr!BO4="."),dir!T4*1000)))))))),".")</f>
        <v>.</v>
      </c>
      <c r="U4" s="76" t="str">
        <f>IFERROR(IF(AND(Irr!T4&lt;&gt;".",Irr!AR4&lt;&gt;".",Irr!BP4&lt;&gt;"."),dir!U4/((1/1000)*(Irr!T4+Irr!AR4+Irr!BP4)),IF(AND(Irr!T4&lt;&gt;".",Irr!AR4&lt;&gt;".",Irr!BP4="."),dir!U4/((1/1000)*(Irr!T4+Irr!AR4)),IF(AND(Irr!T4&lt;&gt;".",Irr!AR4=".",Irr!BP4&lt;&gt;"."),dir!U4/((1/1000)*(Irr!T4+Irr!BP4)),IF(AND(Irr!T4=".",Irr!AR4&lt;&gt;".",Irr!BP4&lt;&gt;"."),dir!U4/((1/1000)*(Irr!AR4+Irr!BP4)),IF(AND(Irr!T4=".",Irr!AR4=".",Irr!BP4&lt;&gt;"."),dir!U4/((1/1000)*(Irr!BP4)),IF(AND(Irr!T4=".",Irr!AR4&lt;&gt;".",Irr!BP4="."),dir!U4/((1/1000)*(Irr!AR4)),IF(AND(Irr!T4&lt;&gt;".",Irr!AR4=".",Irr!BP4="."),dir!U4/((1/1000)*(Irr!T4)),IF(AND(Irr!T4=".",Irr!AR4=".",Irr!BP4="."),dir!U4*1000)))))))),".")</f>
        <v>.</v>
      </c>
      <c r="V4" s="76" t="str">
        <f>IFERROR(IF(AND(Irr!U4&lt;&gt;".",Irr!AS4&lt;&gt;".",Irr!BQ4&lt;&gt;"."),dir!V4/((1/1000)*(Irr!U4+Irr!AS4+Irr!BQ4)),IF(AND(Irr!U4&lt;&gt;".",Irr!AS4&lt;&gt;".",Irr!BQ4="."),dir!V4/((1/1000)*(Irr!U4+Irr!AS4)),IF(AND(Irr!U4&lt;&gt;".",Irr!AS4=".",Irr!BQ4&lt;&gt;"."),dir!V4/((1/1000)*(Irr!U4+Irr!BQ4)),IF(AND(Irr!U4=".",Irr!AS4&lt;&gt;".",Irr!BQ4&lt;&gt;"."),dir!V4/((1/1000)*(Irr!AS4+Irr!BQ4)),IF(AND(Irr!U4=".",Irr!AS4=".",Irr!BQ4&lt;&gt;"."),dir!V4/((1/1000)*(Irr!BQ4)),IF(AND(Irr!U4=".",Irr!AS4&lt;&gt;".",Irr!BQ4="."),dir!V4/((1/1000)*(Irr!AS4)),IF(AND(Irr!U4&lt;&gt;".",Irr!AS4=".",Irr!BQ4="."),dir!V4/((1/1000)*(Irr!U4)),IF(AND(Irr!U4=".",Irr!AS4=".",Irr!BQ4="."),dir!V4*1000)))))))),".")</f>
        <v>.</v>
      </c>
      <c r="W4" s="76" t="str">
        <f>IFERROR(IF(AND(Irr!V4&lt;&gt;".",Irr!AT4&lt;&gt;".",Irr!BR4&lt;&gt;"."),dir!W4/((1/1000)*(Irr!V4+Irr!AT4+Irr!BR4)),IF(AND(Irr!V4&lt;&gt;".",Irr!AT4&lt;&gt;".",Irr!BR4="."),dir!W4/((1/1000)*(Irr!V4+Irr!AT4)),IF(AND(Irr!V4&lt;&gt;".",Irr!AT4=".",Irr!BR4&lt;&gt;"."),dir!W4/((1/1000)*(Irr!V4+Irr!BR4)),IF(AND(Irr!V4=".",Irr!AT4&lt;&gt;".",Irr!BR4&lt;&gt;"."),dir!W4/((1/1000)*(Irr!AT4+Irr!BR4)),IF(AND(Irr!V4=".",Irr!AT4=".",Irr!BR4&lt;&gt;"."),dir!W4/((1/1000)*(Irr!BR4)),IF(AND(Irr!V4=".",Irr!AT4&lt;&gt;".",Irr!BR4="."),dir!W4/((1/1000)*(Irr!AT4)),IF(AND(Irr!V4&lt;&gt;".",Irr!AT4=".",Irr!BR4="."),dir!W4/((1/1000)*(Irr!V4)),IF(AND(Irr!V4=".",Irr!AT4=".",Irr!BR4="."),dir!W4*1000)))))))),".")</f>
        <v>.</v>
      </c>
      <c r="X4" s="76" t="str">
        <f>IFERROR(IF(AND(Irr!W4&lt;&gt;".",Irr!AU4&lt;&gt;".",Irr!BS4&lt;&gt;"."),dir!X4/((1/1000)*(Irr!W4+Irr!AU4+Irr!BS4)),IF(AND(Irr!W4&lt;&gt;".",Irr!AU4&lt;&gt;".",Irr!BS4="."),dir!X4/((1/1000)*(Irr!W4+Irr!AU4)),IF(AND(Irr!W4&lt;&gt;".",Irr!AU4=".",Irr!BS4&lt;&gt;"."),dir!X4/((1/1000)*(Irr!W4+Irr!BS4)),IF(AND(Irr!W4=".",Irr!AU4&lt;&gt;".",Irr!BS4&lt;&gt;"."),dir!X4/((1/1000)*(Irr!AU4+Irr!BS4)),IF(AND(Irr!W4=".",Irr!AU4=".",Irr!BS4&lt;&gt;"."),dir!X4/((1/1000)*(Irr!BS4)),IF(AND(Irr!W4=".",Irr!AU4&lt;&gt;".",Irr!BS4="."),dir!X4/((1/1000)*(Irr!AU4)),IF(AND(Irr!W4&lt;&gt;".",Irr!AU4=".",Irr!BS4="."),dir!X4/((1/1000)*(Irr!W4)),IF(AND(Irr!W4=".",Irr!AU4=".",Irr!BS4="."),dir!X4*1000)))))))),".")</f>
        <v>.</v>
      </c>
      <c r="Y4" s="76" t="str">
        <f>IFERROR(IF(AND(Irr!X4&lt;&gt;".",Irr!AV4&lt;&gt;".",Irr!BT4&lt;&gt;"."),dir!Y4/((1/1000)*(Irr!X4+Irr!AV4+Irr!BT4)),IF(AND(Irr!X4&lt;&gt;".",Irr!AV4&lt;&gt;".",Irr!BT4="."),dir!Y4/((1/1000)*(Irr!X4+Irr!AV4)),IF(AND(Irr!X4&lt;&gt;".",Irr!AV4=".",Irr!BT4&lt;&gt;"."),dir!Y4/((1/1000)*(Irr!X4+Irr!BT4)),IF(AND(Irr!X4=".",Irr!AV4&lt;&gt;".",Irr!BT4&lt;&gt;"."),dir!Y4/((1/1000)*(Irr!AV4+Irr!BT4)),IF(AND(Irr!X4=".",Irr!AV4=".",Irr!BT4&lt;&gt;"."),dir!Y4/((1/1000)*(Irr!BT4)),IF(AND(Irr!X4=".",Irr!AV4&lt;&gt;".",Irr!BT4="."),dir!Y4/((1/1000)*(Irr!AV4)),IF(AND(Irr!X4&lt;&gt;".",Irr!AV4=".",Irr!BT4="."),dir!Y4/((1/1000)*(Irr!X4)),IF(AND(Irr!X4=".",Irr!AV4=".",Irr!BT4="."),dir!Y4*1000)))))))),".")</f>
        <v>.</v>
      </c>
      <c r="Z4" s="76" t="str">
        <f>IFERROR(IF(AND(Irr!Y4&lt;&gt;".",Irr!AW4&lt;&gt;".",Irr!BU4&lt;&gt;"."),dir!Z4/((1/1000)*(Irr!Y4+Irr!AW4+Irr!BU4)),IF(AND(Irr!Y4&lt;&gt;".",Irr!AW4&lt;&gt;".",Irr!BU4="."),dir!Z4/((1/1000)*(Irr!Y4+Irr!AW4)),IF(AND(Irr!Y4&lt;&gt;".",Irr!AW4=".",Irr!BU4&lt;&gt;"."),dir!Z4/((1/1000)*(Irr!Y4+Irr!BU4)),IF(AND(Irr!Y4=".",Irr!AW4&lt;&gt;".",Irr!BU4&lt;&gt;"."),dir!Z4/((1/1000)*(Irr!AW4+Irr!BU4)),IF(AND(Irr!Y4=".",Irr!AW4=".",Irr!BU4&lt;&gt;"."),dir!Z4/((1/1000)*(Irr!BU4)),IF(AND(Irr!Y4=".",Irr!AW4&lt;&gt;".",Irr!BU4="."),dir!Z4/((1/1000)*(Irr!AW4)),IF(AND(Irr!Y4&lt;&gt;".",Irr!AW4=".",Irr!BU4="."),dir!Z4/((1/1000)*(Irr!Y4)),IF(AND(Irr!Y4=".",Irr!AW4=".",Irr!BU4="."),dir!Z4*1000)))))))),".")</f>
        <v>.</v>
      </c>
      <c r="AA4" s="76" t="str">
        <f>IFERROR(IF(AND(Irr!Z4&lt;&gt;".",Irr!AX4&lt;&gt;".",Irr!BV4&lt;&gt;"."),dir!AA4/((1/1000)*(Irr!Z4+Irr!AX4+Irr!BV4)),IF(AND(Irr!Z4&lt;&gt;".",Irr!AX4&lt;&gt;".",Irr!BV4="."),dir!AA4/((1/1000)*(Irr!Z4+Irr!AX4)),IF(AND(Irr!Z4&lt;&gt;".",Irr!AX4=".",Irr!BV4&lt;&gt;"."),dir!AA4/((1/1000)*(Irr!Z4+Irr!BV4)),IF(AND(Irr!Z4=".",Irr!AX4&lt;&gt;".",Irr!BV4&lt;&gt;"."),dir!AA4/((1/1000)*(Irr!AX4+Irr!BV4)),IF(AND(Irr!Z4=".",Irr!AX4=".",Irr!BV4&lt;&gt;"."),dir!AA4/((1/1000)*(Irr!BV4)),IF(AND(Irr!Z4=".",Irr!AX4&lt;&gt;".",Irr!BV4="."),dir!AA4/((1/1000)*(Irr!AX4)),IF(AND(Irr!Z4&lt;&gt;".",Irr!AX4=".",Irr!BV4="."),dir!AA4/((1/1000)*(Irr!Z4)),IF(AND(Irr!Z4=".",Irr!AX4=".",Irr!BV4="."),dir!AA4*1000)))))))),".")</f>
        <v>.</v>
      </c>
      <c r="AB4" s="76" t="str">
        <f t="shared" ref="AB4:AB5" si="3">IFERROR(1/SUM(1/AC4,1/AD4,1/AE4,1/AF4,1/AG4,1/AH4,1/AI4,1/AJ4,1/AK4,1/AL4,1/AM4,1/AN4,1/AO4,1/AP4,1/AQ4,1/AR4,1/AS4,1/AT4,1/AU4,1/AV4,1/AW4,1/AX4),".")</f>
        <v>.</v>
      </c>
      <c r="AC4" s="76" t="str">
        <f>IFERROR(IF(AND(Irr!C4&lt;&gt;".",Irr!AA4&lt;&gt;".",Irr!AY4&lt;&gt;"."),dir!AC4/((1/1000)*(Irr!C4+Irr!AA4+Irr!AY4)),IF(AND(Irr!C4&lt;&gt;".",Irr!AA4&lt;&gt;".",Irr!AY4="."),dir!AC4/((1/1000)*(Irr!C4+Irr!AA4)),IF(AND(Irr!C4&lt;&gt;".",Irr!AA4=".",Irr!AY4&lt;&gt;"."),dir!AC4/((1/1000)*(Irr!C4+Irr!AY4)),IF(AND(Irr!C4=".",Irr!AA4&lt;&gt;".",Irr!AY4&lt;&gt;"."),dir!AC4/((1/1000)*(Irr!AA4+Irr!AY4)),IF(AND(Irr!C4=".",Irr!AA4=".",Irr!AY4&lt;&gt;"."),dir!AC4/((1/1000)*(Irr!AY4)),IF(AND(Irr!C4=".",Irr!AA4&lt;&gt;".",Irr!AY4="."),dir!AC4/((1/1000)*(Irr!AA4)),IF(AND(Irr!C4&lt;&gt;".",Irr!AA4=".",Irr!AY4="."),dir!AC4/((1/1000)*(Irr!C4)),IF(AND(Irr!C4=".",Irr!AA4=".",Irr!AY4="."),dir!AC4*1000)))))))),".")</f>
        <v>.</v>
      </c>
      <c r="AD4" s="76" t="str">
        <f>IFERROR(IF(AND(Irr!D4&lt;&gt;".",Irr!AB4&lt;&gt;".",Irr!AZ4&lt;&gt;"."),dir!AD4/((1/1000)*(Irr!D4+Irr!AB4+Irr!AZ4)),IF(AND(Irr!D4&lt;&gt;".",Irr!AB4&lt;&gt;".",Irr!AZ4="."),dir!AD4/((1/1000)*(Irr!D4+Irr!AB4)),IF(AND(Irr!D4&lt;&gt;".",Irr!AB4=".",Irr!AZ4&lt;&gt;"."),dir!AD4/((1/1000)*(Irr!D4+Irr!AZ4)),IF(AND(Irr!D4=".",Irr!AB4&lt;&gt;".",Irr!AZ4&lt;&gt;"."),dir!AD4/((1/1000)*(Irr!AB4+Irr!AZ4)),IF(AND(Irr!D4=".",Irr!AB4=".",Irr!AZ4&lt;&gt;"."),dir!AD4/((1/1000)*(Irr!AZ4)),IF(AND(Irr!D4=".",Irr!AB4&lt;&gt;".",Irr!AZ4="."),dir!AD4/((1/1000)*(Irr!AB4)),IF(AND(Irr!D4&lt;&gt;".",Irr!AB4=".",Irr!AZ4="."),dir!AD4/((1/1000)*(Irr!D4)),IF(AND(Irr!D4=".",Irr!AB4=".",Irr!AZ4="."),dir!AD4*1000)))))))),".")</f>
        <v>.</v>
      </c>
      <c r="AE4" s="76" t="str">
        <f>IFERROR(IF(AND(Irr!E4&lt;&gt;".",Irr!AC4&lt;&gt;".",Irr!BA4&lt;&gt;"."),dir!AE4/((1/1000)*(Irr!E4+Irr!AC4+Irr!BA4)),IF(AND(Irr!E4&lt;&gt;".",Irr!AC4&lt;&gt;".",Irr!BA4="."),dir!AE4/((1/1000)*(Irr!E4+Irr!AC4)),IF(AND(Irr!E4&lt;&gt;".",Irr!AC4=".",Irr!BA4&lt;&gt;"."),dir!AE4/((1/1000)*(Irr!E4+Irr!BA4)),IF(AND(Irr!E4=".",Irr!AC4&lt;&gt;".",Irr!BA4&lt;&gt;"."),dir!AE4/((1/1000)*(Irr!AC4+Irr!BA4)),IF(AND(Irr!E4=".",Irr!AC4=".",Irr!BA4&lt;&gt;"."),dir!AE4/((1/1000)*(Irr!BA4)),IF(AND(Irr!E4=".",Irr!AC4&lt;&gt;".",Irr!BA4="."),dir!AE4/((1/1000)*(Irr!AC4)),IF(AND(Irr!E4&lt;&gt;".",Irr!AC4=".",Irr!BA4="."),dir!AE4/((1/1000)*(Irr!E4)),IF(AND(Irr!E4=".",Irr!AC4=".",Irr!BA4="."),dir!AE4*1000)))))))),".")</f>
        <v>.</v>
      </c>
      <c r="AF4" s="76" t="str">
        <f>IFERROR(IF(AND(Irr!F4&lt;&gt;".",Irr!AD4&lt;&gt;".",Irr!BB4&lt;&gt;"."),dir!AF4/((1/1000)*(Irr!F4+Irr!AD4+Irr!BB4)),IF(AND(Irr!F4&lt;&gt;".",Irr!AD4&lt;&gt;".",Irr!BB4="."),dir!AF4/((1/1000)*(Irr!F4+Irr!AD4)),IF(AND(Irr!F4&lt;&gt;".",Irr!AD4=".",Irr!BB4&lt;&gt;"."),dir!AF4/((1/1000)*(Irr!F4+Irr!BB4)),IF(AND(Irr!F4=".",Irr!AD4&lt;&gt;".",Irr!BB4&lt;&gt;"."),dir!AF4/((1/1000)*(Irr!AD4+Irr!BB4)),IF(AND(Irr!F4=".",Irr!AD4=".",Irr!BB4&lt;&gt;"."),dir!AF4/((1/1000)*(Irr!BB4)),IF(AND(Irr!F4=".",Irr!AD4&lt;&gt;".",Irr!BB4="."),dir!AF4/((1/1000)*(Irr!AD4)),IF(AND(Irr!F4&lt;&gt;".",Irr!AD4=".",Irr!BB4="."),dir!AF4/((1/1000)*(Irr!F4)),IF(AND(Irr!F4=".",Irr!AD4=".",Irr!BB4="."),dir!AF4*1000)))))))),".")</f>
        <v>.</v>
      </c>
      <c r="AG4" s="76" t="str">
        <f>IFERROR(IF(AND(Irr!G4&lt;&gt;".",Irr!AE4&lt;&gt;".",Irr!BC4&lt;&gt;"."),dir!AG4/((1/1000)*(Irr!G4+Irr!AE4+Irr!BC4)),IF(AND(Irr!G4&lt;&gt;".",Irr!AE4&lt;&gt;".",Irr!BC4="."),dir!AG4/((1/1000)*(Irr!G4+Irr!AE4)),IF(AND(Irr!G4&lt;&gt;".",Irr!AE4=".",Irr!BC4&lt;&gt;"."),dir!AG4/((1/1000)*(Irr!G4+Irr!BC4)),IF(AND(Irr!G4=".",Irr!AE4&lt;&gt;".",Irr!BC4&lt;&gt;"."),dir!AG4/((1/1000)*(Irr!AE4+Irr!BC4)),IF(AND(Irr!G4=".",Irr!AE4=".",Irr!BC4&lt;&gt;"."),dir!AG4/((1/1000)*(Irr!BC4)),IF(AND(Irr!G4=".",Irr!AE4&lt;&gt;".",Irr!BC4="."),dir!AG4/((1/1000)*(Irr!AE4)),IF(AND(Irr!G4&lt;&gt;".",Irr!AE4=".",Irr!BC4="."),dir!AG4/((1/1000)*(Irr!G4)),IF(AND(Irr!G4=".",Irr!AE4=".",Irr!BC4="."),dir!AG4*1000)))))))),".")</f>
        <v>.</v>
      </c>
      <c r="AH4" s="76" t="str">
        <f>IFERROR(IF(AND(Irr!H4&lt;&gt;".",Irr!AF4&lt;&gt;".",Irr!BD4&lt;&gt;"."),dir!AH4/((1/1000)*(Irr!H4+Irr!AF4+Irr!BD4)),IF(AND(Irr!H4&lt;&gt;".",Irr!AF4&lt;&gt;".",Irr!BD4="."),dir!AH4/((1/1000)*(Irr!H4+Irr!AF4)),IF(AND(Irr!H4&lt;&gt;".",Irr!AF4=".",Irr!BD4&lt;&gt;"."),dir!AH4/((1/1000)*(Irr!H4+Irr!BD4)),IF(AND(Irr!H4=".",Irr!AF4&lt;&gt;".",Irr!BD4&lt;&gt;"."),dir!AH4/((1/1000)*(Irr!AF4+Irr!BD4)),IF(AND(Irr!H4=".",Irr!AF4=".",Irr!BD4&lt;&gt;"."),dir!AH4/((1/1000)*(Irr!BD4)),IF(AND(Irr!H4=".",Irr!AF4&lt;&gt;".",Irr!BD4="."),dir!AH4/((1/1000)*(Irr!AF4)),IF(AND(Irr!H4&lt;&gt;".",Irr!AF4=".",Irr!BD4="."),dir!AH4/((1/1000)*(Irr!H4)),IF(AND(Irr!H4=".",Irr!AF4=".",Irr!BD4="."),dir!AH4*1000)))))))),".")</f>
        <v>.</v>
      </c>
      <c r="AI4" s="76" t="str">
        <f>IFERROR(IF(AND(Irr!I4&lt;&gt;".",Irr!AG4&lt;&gt;".",Irr!BE4&lt;&gt;"."),dir!AI4/((1/1000)*(Irr!I4+Irr!AG4+Irr!BE4)),IF(AND(Irr!I4&lt;&gt;".",Irr!AG4&lt;&gt;".",Irr!BE4="."),dir!AI4/((1/1000)*(Irr!I4+Irr!AG4)),IF(AND(Irr!I4&lt;&gt;".",Irr!AG4=".",Irr!BE4&lt;&gt;"."),dir!AI4/((1/1000)*(Irr!I4+Irr!BE4)),IF(AND(Irr!I4=".",Irr!AG4&lt;&gt;".",Irr!BE4&lt;&gt;"."),dir!AI4/((1/1000)*(Irr!AG4+Irr!BE4)),IF(AND(Irr!I4=".",Irr!AG4=".",Irr!BE4&lt;&gt;"."),dir!AI4/((1/1000)*(Irr!BE4)),IF(AND(Irr!I4=".",Irr!AG4&lt;&gt;".",Irr!BE4="."),dir!AI4/((1/1000)*(Irr!AG4)),IF(AND(Irr!I4&lt;&gt;".",Irr!AG4=".",Irr!BE4="."),dir!AI4/((1/1000)*(Irr!I4)),IF(AND(Irr!I4=".",Irr!AG4=".",Irr!BE4="."),dir!AI4*1000)))))))),".")</f>
        <v>.</v>
      </c>
      <c r="AJ4" s="76" t="str">
        <f>IFERROR(IF(AND(Irr!J4&lt;&gt;".",Irr!AH4&lt;&gt;".",Irr!BF4&lt;&gt;"."),dir!AJ4/((1/1000)*(Irr!J4+Irr!AH4+Irr!BF4)),IF(AND(Irr!J4&lt;&gt;".",Irr!AH4&lt;&gt;".",Irr!BF4="."),dir!AJ4/((1/1000)*(Irr!J4+Irr!AH4)),IF(AND(Irr!J4&lt;&gt;".",Irr!AH4=".",Irr!BF4&lt;&gt;"."),dir!AJ4/((1/1000)*(Irr!J4+Irr!BF4)),IF(AND(Irr!J4=".",Irr!AH4&lt;&gt;".",Irr!BF4&lt;&gt;"."),dir!AJ4/((1/1000)*(Irr!AH4+Irr!BF4)),IF(AND(Irr!J4=".",Irr!AH4=".",Irr!BF4&lt;&gt;"."),dir!AJ4/((1/1000)*(Irr!BF4)),IF(AND(Irr!J4=".",Irr!AH4&lt;&gt;".",Irr!BF4="."),dir!AJ4/((1/1000)*(Irr!AH4)),IF(AND(Irr!J4&lt;&gt;".",Irr!AH4=".",Irr!BF4="."),dir!AJ4/((1/1000)*(Irr!J4)),IF(AND(Irr!J4=".",Irr!AH4=".",Irr!BF4="."),dir!AJ4*1000)))))))),".")</f>
        <v>.</v>
      </c>
      <c r="AK4" s="76" t="str">
        <f>IFERROR(IF(AND(Irr!K4&lt;&gt;".",Irr!AI4&lt;&gt;".",Irr!BG4&lt;&gt;"."),dir!AK4/((1/1000)*(Irr!K4+Irr!AI4+Irr!BG4)),IF(AND(Irr!K4&lt;&gt;".",Irr!AI4&lt;&gt;".",Irr!BG4="."),dir!AK4/((1/1000)*(Irr!K4+Irr!AI4)),IF(AND(Irr!K4&lt;&gt;".",Irr!AI4=".",Irr!BG4&lt;&gt;"."),dir!AK4/((1/1000)*(Irr!K4+Irr!BG4)),IF(AND(Irr!K4=".",Irr!AI4&lt;&gt;".",Irr!BG4&lt;&gt;"."),dir!AK4/((1/1000)*(Irr!AI4+Irr!BG4)),IF(AND(Irr!K4=".",Irr!AI4=".",Irr!BG4&lt;&gt;"."),dir!AK4/((1/1000)*(Irr!BG4)),IF(AND(Irr!K4=".",Irr!AI4&lt;&gt;".",Irr!BG4="."),dir!AK4/((1/1000)*(Irr!AI4)),IF(AND(Irr!K4&lt;&gt;".",Irr!AI4=".",Irr!BG4="."),dir!AK4/((1/1000)*(Irr!K4)),IF(AND(Irr!K4=".",Irr!AI4=".",Irr!BG4="."),dir!AK4*1000)))))))),".")</f>
        <v>.</v>
      </c>
      <c r="AL4" s="76" t="str">
        <f>IFERROR(IF(AND(Irr!L4&lt;&gt;".",Irr!AJ4&lt;&gt;".",Irr!BH4&lt;&gt;"."),dir!AL4/((1/1000)*(Irr!L4+Irr!AJ4+Irr!BH4)),IF(AND(Irr!L4&lt;&gt;".",Irr!AJ4&lt;&gt;".",Irr!BH4="."),dir!AL4/((1/1000)*(Irr!L4+Irr!AJ4)),IF(AND(Irr!L4&lt;&gt;".",Irr!AJ4=".",Irr!BH4&lt;&gt;"."),dir!AL4/((1/1000)*(Irr!L4+Irr!BH4)),IF(AND(Irr!L4=".",Irr!AJ4&lt;&gt;".",Irr!BH4&lt;&gt;"."),dir!AL4/((1/1000)*(Irr!AJ4+Irr!BH4)),IF(AND(Irr!L4=".",Irr!AJ4=".",Irr!BH4&lt;&gt;"."),dir!AL4/((1/1000)*(Irr!BH4)),IF(AND(Irr!L4=".",Irr!AJ4&lt;&gt;".",Irr!BH4="."),dir!AL4/((1/1000)*(Irr!AJ4)),IF(AND(Irr!L4&lt;&gt;".",Irr!AJ4=".",Irr!BH4="."),dir!AL4/((1/1000)*(Irr!L4)),IF(AND(Irr!L4=".",Irr!AJ4=".",Irr!BH4="."),dir!AL4*1000)))))))),".")</f>
        <v>.</v>
      </c>
      <c r="AM4" s="76" t="str">
        <f>IFERROR(IF(AND(Irr!M4&lt;&gt;".",Irr!AK4&lt;&gt;".",Irr!BI4&lt;&gt;"."),dir!AM4/((1/1000)*(Irr!M4+Irr!AK4+Irr!BI4)),IF(AND(Irr!M4&lt;&gt;".",Irr!AK4&lt;&gt;".",Irr!BI4="."),dir!AM4/((1/1000)*(Irr!M4+Irr!AK4)),IF(AND(Irr!M4&lt;&gt;".",Irr!AK4=".",Irr!BI4&lt;&gt;"."),dir!AM4/((1/1000)*(Irr!M4+Irr!BI4)),IF(AND(Irr!M4=".",Irr!AK4&lt;&gt;".",Irr!BI4&lt;&gt;"."),dir!AM4/((1/1000)*(Irr!AK4+Irr!BI4)),IF(AND(Irr!M4=".",Irr!AK4=".",Irr!BI4&lt;&gt;"."),dir!AM4/((1/1000)*(Irr!BI4)),IF(AND(Irr!M4=".",Irr!AK4&lt;&gt;".",Irr!BI4="."),dir!AM4/((1/1000)*(Irr!AK4)),IF(AND(Irr!M4&lt;&gt;".",Irr!AK4=".",Irr!BI4="."),dir!AM4/((1/1000)*(Irr!M4)),IF(AND(Irr!M4=".",Irr!AK4=".",Irr!BI4="."),dir!AM4*1000)))))))),".")</f>
        <v>.</v>
      </c>
      <c r="AN4" s="76" t="str">
        <f>IFERROR(IF(AND(Irr!N4&lt;&gt;".",Irr!AL4&lt;&gt;".",Irr!BJ4&lt;&gt;"."),dir!AN4/((1/1000)*(Irr!N4+Irr!AL4+Irr!BJ4)),IF(AND(Irr!N4&lt;&gt;".",Irr!AL4&lt;&gt;".",Irr!BJ4="."),dir!AN4/((1/1000)*(Irr!N4+Irr!AL4)),IF(AND(Irr!N4&lt;&gt;".",Irr!AL4=".",Irr!BJ4&lt;&gt;"."),dir!AN4/((1/1000)*(Irr!N4+Irr!BJ4)),IF(AND(Irr!N4=".",Irr!AL4&lt;&gt;".",Irr!BJ4&lt;&gt;"."),dir!AN4/((1/1000)*(Irr!AL4+Irr!BJ4)),IF(AND(Irr!N4=".",Irr!AL4=".",Irr!BJ4&lt;&gt;"."),dir!AN4/((1/1000)*(Irr!BJ4)),IF(AND(Irr!N4=".",Irr!AL4&lt;&gt;".",Irr!BJ4="."),dir!AN4/((1/1000)*(Irr!AL4)),IF(AND(Irr!N4&lt;&gt;".",Irr!AL4=".",Irr!BJ4="."),dir!AN4/((1/1000)*(Irr!N4)),IF(AND(Irr!N4=".",Irr!AL4=".",Irr!BJ4="."),dir!AN4*1000)))))))),".")</f>
        <v>.</v>
      </c>
      <c r="AO4" s="76" t="str">
        <f>IFERROR(IF(AND(Irr!O4&lt;&gt;".",Irr!AM4&lt;&gt;".",Irr!BK4&lt;&gt;"."),dir!AO4/((1/1000)*(Irr!O4+Irr!AM4+Irr!BK4)),IF(AND(Irr!O4&lt;&gt;".",Irr!AM4&lt;&gt;".",Irr!BK4="."),dir!AO4/((1/1000)*(Irr!O4+Irr!AM4)),IF(AND(Irr!O4&lt;&gt;".",Irr!AM4=".",Irr!BK4&lt;&gt;"."),dir!AO4/((1/1000)*(Irr!O4+Irr!BK4)),IF(AND(Irr!O4=".",Irr!AM4&lt;&gt;".",Irr!BK4&lt;&gt;"."),dir!AO4/((1/1000)*(Irr!AM4+Irr!BK4)),IF(AND(Irr!O4=".",Irr!AM4=".",Irr!BK4&lt;&gt;"."),dir!AO4/((1/1000)*(Irr!BK4)),IF(AND(Irr!O4=".",Irr!AM4&lt;&gt;".",Irr!BK4="."),dir!AO4/((1/1000)*(Irr!AM4)),IF(AND(Irr!O4&lt;&gt;".",Irr!AM4=".",Irr!BK4="."),dir!AO4/((1/1000)*(Irr!O4)),IF(AND(Irr!O4=".",Irr!AM4=".",Irr!BK4="."),dir!AO4*1000)))))))),".")</f>
        <v>.</v>
      </c>
      <c r="AP4" s="76" t="str">
        <f>IFERROR(IF(AND(Irr!P4&lt;&gt;".",Irr!AN4&lt;&gt;".",Irr!BL4&lt;&gt;"."),dir!AP4/((1/1000)*(Irr!P4+Irr!AN4+Irr!BL4)),IF(AND(Irr!P4&lt;&gt;".",Irr!AN4&lt;&gt;".",Irr!BL4="."),dir!AP4/((1/1000)*(Irr!P4+Irr!AN4)),IF(AND(Irr!P4&lt;&gt;".",Irr!AN4=".",Irr!BL4&lt;&gt;"."),dir!AP4/((1/1000)*(Irr!P4+Irr!BL4)),IF(AND(Irr!P4=".",Irr!AN4&lt;&gt;".",Irr!BL4&lt;&gt;"."),dir!AP4/((1/1000)*(Irr!AN4+Irr!BL4)),IF(AND(Irr!P4=".",Irr!AN4=".",Irr!BL4&lt;&gt;"."),dir!AP4/((1/1000)*(Irr!BL4)),IF(AND(Irr!P4=".",Irr!AN4&lt;&gt;".",Irr!BL4="."),dir!AP4/((1/1000)*(Irr!AN4)),IF(AND(Irr!P4&lt;&gt;".",Irr!AN4=".",Irr!BL4="."),dir!AP4/((1/1000)*(Irr!P4)),IF(AND(Irr!P4=".",Irr!AN4=".",Irr!BL4="."),dir!AP4*1000)))))))),".")</f>
        <v>.</v>
      </c>
      <c r="AQ4" s="76" t="str">
        <f>IFERROR(IF(AND(Irr!Q4&lt;&gt;".",Irr!AO4&lt;&gt;".",Irr!BM4&lt;&gt;"."),dir!AQ4/((1/1000)*(Irr!Q4+Irr!AO4+Irr!BM4)),IF(AND(Irr!Q4&lt;&gt;".",Irr!AO4&lt;&gt;".",Irr!BM4="."),dir!AQ4/((1/1000)*(Irr!Q4+Irr!AO4)),IF(AND(Irr!Q4&lt;&gt;".",Irr!AO4=".",Irr!BM4&lt;&gt;"."),dir!AQ4/((1/1000)*(Irr!Q4+Irr!BM4)),IF(AND(Irr!Q4=".",Irr!AO4&lt;&gt;".",Irr!BM4&lt;&gt;"."),dir!AQ4/((1/1000)*(Irr!AO4+Irr!BM4)),IF(AND(Irr!Q4=".",Irr!AO4=".",Irr!BM4&lt;&gt;"."),dir!AQ4/((1/1000)*(Irr!BM4)),IF(AND(Irr!Q4=".",Irr!AO4&lt;&gt;".",Irr!BM4="."),dir!AQ4/((1/1000)*(Irr!AO4)),IF(AND(Irr!Q4&lt;&gt;".",Irr!AO4=".",Irr!BM4="."),dir!AQ4/((1/1000)*(Irr!Q4)),IF(AND(Irr!Q4=".",Irr!AO4=".",Irr!BM4="."),dir!AQ4*1000)))))))),".")</f>
        <v>.</v>
      </c>
      <c r="AR4" s="76" t="str">
        <f>IFERROR(IF(AND(Irr!R4&lt;&gt;".",Irr!AP4&lt;&gt;".",Irr!BN4&lt;&gt;"."),dir!AR4/((1/1000)*(Irr!R4+Irr!AP4+Irr!BN4)),IF(AND(Irr!R4&lt;&gt;".",Irr!AP4&lt;&gt;".",Irr!BN4="."),dir!AR4/((1/1000)*(Irr!R4+Irr!AP4)),IF(AND(Irr!R4&lt;&gt;".",Irr!AP4=".",Irr!BN4&lt;&gt;"."),dir!AR4/((1/1000)*(Irr!R4+Irr!BN4)),IF(AND(Irr!R4=".",Irr!AP4&lt;&gt;".",Irr!BN4&lt;&gt;"."),dir!AR4/((1/1000)*(Irr!AP4+Irr!BN4)),IF(AND(Irr!R4=".",Irr!AP4=".",Irr!BN4&lt;&gt;"."),dir!AR4/((1/1000)*(Irr!BN4)),IF(AND(Irr!R4=".",Irr!AP4&lt;&gt;".",Irr!BN4="."),dir!AR4/((1/1000)*(Irr!AP4)),IF(AND(Irr!R4&lt;&gt;".",Irr!AP4=".",Irr!BN4="."),dir!AR4/((1/1000)*(Irr!R4)),IF(AND(Irr!R4=".",Irr!AP4=".",Irr!BN4="."),dir!AR4*1000)))))))),".")</f>
        <v>.</v>
      </c>
      <c r="AS4" s="76" t="str">
        <f>IFERROR(IF(AND(Irr!S4&lt;&gt;".",Irr!AQ4&lt;&gt;".",Irr!BO4&lt;&gt;"."),dir!AS4/((1/1000)*(Irr!S4+Irr!AQ4+Irr!BO4)),IF(AND(Irr!S4&lt;&gt;".",Irr!AQ4&lt;&gt;".",Irr!BO4="."),dir!AS4/((1/1000)*(Irr!S4+Irr!AQ4)),IF(AND(Irr!S4&lt;&gt;".",Irr!AQ4=".",Irr!BO4&lt;&gt;"."),dir!AS4/((1/1000)*(Irr!S4+Irr!BO4)),IF(AND(Irr!S4=".",Irr!AQ4&lt;&gt;".",Irr!BO4&lt;&gt;"."),dir!AS4/((1/1000)*(Irr!AQ4+Irr!BO4)),IF(AND(Irr!S4=".",Irr!AQ4=".",Irr!BO4&lt;&gt;"."),dir!AS4/((1/1000)*(Irr!BO4)),IF(AND(Irr!S4=".",Irr!AQ4&lt;&gt;".",Irr!BO4="."),dir!AS4/((1/1000)*(Irr!AQ4)),IF(AND(Irr!S4&lt;&gt;".",Irr!AQ4=".",Irr!BO4="."),dir!AS4/((1/1000)*(Irr!S4)),IF(AND(Irr!S4=".",Irr!AQ4=".",Irr!BO4="."),dir!AS4*1000)))))))),".")</f>
        <v>.</v>
      </c>
      <c r="AT4" s="76" t="str">
        <f>IFERROR(IF(AND(Irr!T4&lt;&gt;".",Irr!AR4&lt;&gt;".",Irr!BP4&lt;&gt;"."),dir!AT4/((1/1000)*(Irr!T4+Irr!AR4+Irr!BP4)),IF(AND(Irr!T4&lt;&gt;".",Irr!AR4&lt;&gt;".",Irr!BP4="."),dir!AT4/((1/1000)*(Irr!T4+Irr!AR4)),IF(AND(Irr!T4&lt;&gt;".",Irr!AR4=".",Irr!BP4&lt;&gt;"."),dir!AT4/((1/1000)*(Irr!T4+Irr!BP4)),IF(AND(Irr!T4=".",Irr!AR4&lt;&gt;".",Irr!BP4&lt;&gt;"."),dir!AT4/((1/1000)*(Irr!AR4+Irr!BP4)),IF(AND(Irr!T4=".",Irr!AR4=".",Irr!BP4&lt;&gt;"."),dir!AT4/((1/1000)*(Irr!BP4)),IF(AND(Irr!T4=".",Irr!AR4&lt;&gt;".",Irr!BP4="."),dir!AT4/((1/1000)*(Irr!AR4)),IF(AND(Irr!T4&lt;&gt;".",Irr!AR4=".",Irr!BP4="."),dir!AT4/((1/1000)*(Irr!T4)),IF(AND(Irr!T4=".",Irr!AR4=".",Irr!BP4="."),dir!AT4*1000)))))))),".")</f>
        <v>.</v>
      </c>
      <c r="AU4" s="76" t="str">
        <f>IFERROR(IF(AND(Irr!U4&lt;&gt;".",Irr!AS4&lt;&gt;".",Irr!BQ4&lt;&gt;"."),dir!AU4/((1/1000)*(Irr!U4+Irr!AS4+Irr!BQ4)),IF(AND(Irr!U4&lt;&gt;".",Irr!AS4&lt;&gt;".",Irr!BQ4="."),dir!AU4/((1/1000)*(Irr!U4+Irr!AS4)),IF(AND(Irr!U4&lt;&gt;".",Irr!AS4=".",Irr!BQ4&lt;&gt;"."),dir!AU4/((1/1000)*(Irr!U4+Irr!BQ4)),IF(AND(Irr!U4=".",Irr!AS4&lt;&gt;".",Irr!BQ4&lt;&gt;"."),dir!AU4/((1/1000)*(Irr!AS4+Irr!BQ4)),IF(AND(Irr!U4=".",Irr!AS4=".",Irr!BQ4&lt;&gt;"."),dir!AU4/((1/1000)*(Irr!BQ4)),IF(AND(Irr!U4=".",Irr!AS4&lt;&gt;".",Irr!BQ4="."),dir!AU4/((1/1000)*(Irr!AS4)),IF(AND(Irr!U4&lt;&gt;".",Irr!AS4=".",Irr!BQ4="."),dir!AU4/((1/1000)*(Irr!U4)),IF(AND(Irr!U4=".",Irr!AS4=".",Irr!BQ4="."),dir!AU4*1000)))))))),".")</f>
        <v>.</v>
      </c>
      <c r="AV4" s="76" t="str">
        <f>IFERROR(IF(AND(Irr!V4&lt;&gt;".",Irr!AT4&lt;&gt;".",Irr!BR4&lt;&gt;"."),dir!AV4/((1/1000)*(Irr!V4+Irr!AT4+Irr!BR4)),IF(AND(Irr!V4&lt;&gt;".",Irr!AT4&lt;&gt;".",Irr!BR4="."),dir!AV4/((1/1000)*(Irr!V4+Irr!AT4)),IF(AND(Irr!V4&lt;&gt;".",Irr!AT4=".",Irr!BR4&lt;&gt;"."),dir!AV4/((1/1000)*(Irr!V4+Irr!BR4)),IF(AND(Irr!V4=".",Irr!AT4&lt;&gt;".",Irr!BR4&lt;&gt;"."),dir!AV4/((1/1000)*(Irr!AT4+Irr!BR4)),IF(AND(Irr!V4=".",Irr!AT4=".",Irr!BR4&lt;&gt;"."),dir!AV4/((1/1000)*(Irr!BR4)),IF(AND(Irr!V4=".",Irr!AT4&lt;&gt;".",Irr!BR4="."),dir!AV4/((1/1000)*(Irr!AT4)),IF(AND(Irr!V4&lt;&gt;".",Irr!AT4=".",Irr!BR4="."),dir!AV4/((1/1000)*(Irr!V4)),IF(AND(Irr!V4=".",Irr!AT4=".",Irr!BR4="."),dir!AV4*1000)))))))),".")</f>
        <v>.</v>
      </c>
      <c r="AW4" s="76" t="str">
        <f>IFERROR(IF(AND(Irr!W4&lt;&gt;".",Irr!AU4&lt;&gt;".",Irr!BS4&lt;&gt;"."),dir!AW4/((1/1000)*(Irr!W4+Irr!AU4+Irr!BS4)),IF(AND(Irr!W4&lt;&gt;".",Irr!AU4&lt;&gt;".",Irr!BS4="."),dir!AW4/((1/1000)*(Irr!W4+Irr!AU4)),IF(AND(Irr!W4&lt;&gt;".",Irr!AU4=".",Irr!BS4&lt;&gt;"."),dir!AW4/((1/1000)*(Irr!W4+Irr!BS4)),IF(AND(Irr!W4=".",Irr!AU4&lt;&gt;".",Irr!BS4&lt;&gt;"."),dir!AW4/((1/1000)*(Irr!AU4+Irr!BS4)),IF(AND(Irr!W4=".",Irr!AU4=".",Irr!BS4&lt;&gt;"."),dir!AW4/((1/1000)*(Irr!BS4)),IF(AND(Irr!W4=".",Irr!AU4&lt;&gt;".",Irr!BS4="."),dir!AW4/((1/1000)*(Irr!AU4)),IF(AND(Irr!W4&lt;&gt;".",Irr!AU4=".",Irr!BS4="."),dir!AW4/((1/1000)*(Irr!W4)),IF(AND(Irr!W4=".",Irr!AU4=".",Irr!BS4="."),dir!AW4*1000)))))))),".")</f>
        <v>.</v>
      </c>
      <c r="AX4" s="76" t="str">
        <f>IFERROR(IF(AND(Irr!X4&lt;&gt;".",Irr!AV4&lt;&gt;".",Irr!BT4&lt;&gt;"."),dir!AX4/((1/1000)*(Irr!X4+Irr!AV4+Irr!BT4)),IF(AND(Irr!X4&lt;&gt;".",Irr!AV4&lt;&gt;".",Irr!BT4="."),dir!AX4/((1/1000)*(Irr!X4+Irr!AV4)),IF(AND(Irr!X4&lt;&gt;".",Irr!AV4=".",Irr!BT4&lt;&gt;"."),dir!AX4/((1/1000)*(Irr!X4+Irr!BT4)),IF(AND(Irr!X4=".",Irr!AV4&lt;&gt;".",Irr!BT4&lt;&gt;"."),dir!AX4/((1/1000)*(Irr!AV4+Irr!BT4)),IF(AND(Irr!X4=".",Irr!AV4=".",Irr!BT4&lt;&gt;"."),dir!AX4/((1/1000)*(Irr!BT4)),IF(AND(Irr!X4=".",Irr!AV4&lt;&gt;".",Irr!BT4="."),dir!AX4/((1/1000)*(Irr!AV4)),IF(AND(Irr!X4&lt;&gt;".",Irr!AV4=".",Irr!BT4="."),dir!AX4/((1/1000)*(Irr!X4)),IF(AND(Irr!X4=".",Irr!AV4=".",Irr!BT4="."),dir!AX4*1000)))))))),".")</f>
        <v>.</v>
      </c>
      <c r="AY4" s="76" t="str">
        <f>IFERROR(IF(AND(Irr!Y4&lt;&gt;".",Irr!AW4&lt;&gt;".",Irr!BU4&lt;&gt;"."),dir!AY4/((1/1000)*(Irr!Y4+Irr!AW4+Irr!BU4)),IF(AND(Irr!Y4&lt;&gt;".",Irr!AW4&lt;&gt;".",Irr!BU4="."),dir!AY4/((1/1000)*(Irr!Y4+Irr!AW4)),IF(AND(Irr!Y4&lt;&gt;".",Irr!AW4=".",Irr!BU4&lt;&gt;"."),dir!AY4/((1/1000)*(Irr!Y4+Irr!BU4)),IF(AND(Irr!Y4=".",Irr!AW4&lt;&gt;".",Irr!BU4&lt;&gt;"."),dir!AY4/((1/1000)*(Irr!AW4+Irr!BU4)),IF(AND(Irr!Y4=".",Irr!AW4=".",Irr!BU4&lt;&gt;"."),dir!AY4/((1/1000)*(Irr!BU4)),IF(AND(Irr!Y4=".",Irr!AW4&lt;&gt;".",Irr!BU4="."),dir!AY4/((1/1000)*(Irr!AW4)),IF(AND(Irr!Y4&lt;&gt;".",Irr!AW4=".",Irr!BU4="."),dir!AY4/((1/1000)*(Irr!Y4)),IF(AND(Irr!Y4=".",Irr!AW4=".",Irr!BU4="."),dir!AY4*1000)))))))),".")</f>
        <v>.</v>
      </c>
      <c r="AZ4" s="76" t="str">
        <f>IFERROR(IF(AND(Irr!Z4&lt;&gt;".",Irr!AX4&lt;&gt;".",Irr!BV4&lt;&gt;"."),dir!AZ4/((1/1000)*(Irr!Z4+Irr!AX4+Irr!BV4)),IF(AND(Irr!Z4&lt;&gt;".",Irr!AX4&lt;&gt;".",Irr!BV4="."),dir!AZ4/((1/1000)*(Irr!Z4+Irr!AX4)),IF(AND(Irr!Z4&lt;&gt;".",Irr!AX4=".",Irr!BV4&lt;&gt;"."),dir!AZ4/((1/1000)*(Irr!Z4+Irr!BV4)),IF(AND(Irr!Z4=".",Irr!AX4&lt;&gt;".",Irr!BV4&lt;&gt;"."),dir!AZ4/((1/1000)*(Irr!AX4+Irr!BV4)),IF(AND(Irr!Z4=".",Irr!AX4=".",Irr!BV4&lt;&gt;"."),dir!AZ4/((1/1000)*(Irr!BV4)),IF(AND(Irr!Z4=".",Irr!AX4&lt;&gt;".",Irr!BV4="."),dir!AZ4/((1/1000)*(Irr!AX4)),IF(AND(Irr!Z4&lt;&gt;".",Irr!AX4=".",Irr!BV4="."),dir!AZ4/((1/1000)*(Irr!Z4)),IF(AND(Irr!Z4=".",Irr!AX4=".",Irr!BV4="."),dir!AZ4*1000)))))))),".")</f>
        <v>.</v>
      </c>
    </row>
    <row r="5" spans="1:52" ht="15" customHeight="1" x14ac:dyDescent="0.25">
      <c r="A5" s="92" t="s">
        <v>15</v>
      </c>
      <c r="B5" s="90" t="s">
        <v>1074</v>
      </c>
      <c r="C5" s="76" t="str">
        <f t="shared" si="2"/>
        <v>.</v>
      </c>
      <c r="D5" s="76" t="str">
        <f>IFERROR(IF(AND(Irr!C5&lt;&gt;".",Irr!AA5&lt;&gt;".",Irr!AY5&lt;&gt;"."),dir!D5/((1/1000)*(Irr!C5+Irr!AA5+Irr!AY5)),IF(AND(Irr!C5&lt;&gt;".",Irr!AA5&lt;&gt;".",Irr!AY5="."),dir!D5/((1/1000)*(Irr!C5+Irr!AA5)),IF(AND(Irr!C5&lt;&gt;".",Irr!AA5=".",Irr!AY5&lt;&gt;"."),dir!D5/((1/1000)*(Irr!C5+Irr!AY5)),IF(AND(Irr!C5=".",Irr!AA5&lt;&gt;".",Irr!AY5&lt;&gt;"."),dir!D5/((1/1000)*(Irr!AA5+Irr!AY5)),IF(AND(Irr!C5=".",Irr!AA5=".",Irr!AY5&lt;&gt;"."),dir!D5/((1/1000)*(Irr!AY5)),IF(AND(Irr!C5=".",Irr!AA5&lt;&gt;".",Irr!AY5="."),dir!D5/((1/1000)*(Irr!AA5)),IF(AND(Irr!C5&lt;&gt;".",Irr!AA5=".",Irr!AY5="."),dir!D5/((1/1000)*(Irr!C5)),IF(AND(Irr!C5=".",Irr!AA5=".",Irr!AY5="."),dir!D5*1000)))))))),".")</f>
        <v>.</v>
      </c>
      <c r="E5" s="76" t="str">
        <f>IFERROR(IF(AND(Irr!D5&lt;&gt;".",Irr!AB5&lt;&gt;".",Irr!AZ5&lt;&gt;"."),dir!E5/((1/1000)*(Irr!D5+Irr!AB5+Irr!AZ5)),IF(AND(Irr!D5&lt;&gt;".",Irr!AB5&lt;&gt;".",Irr!AZ5="."),dir!E5/((1/1000)*(Irr!D5+Irr!AB5)),IF(AND(Irr!D5&lt;&gt;".",Irr!AB5=".",Irr!AZ5&lt;&gt;"."),dir!E5/((1/1000)*(Irr!D5+Irr!AZ5)),IF(AND(Irr!D5=".",Irr!AB5&lt;&gt;".",Irr!AZ5&lt;&gt;"."),dir!E5/((1/1000)*(Irr!AB5+Irr!AZ5)),IF(AND(Irr!D5=".",Irr!AB5=".",Irr!AZ5&lt;&gt;"."),dir!E5/((1/1000)*(Irr!AZ5)),IF(AND(Irr!D5=".",Irr!AB5&lt;&gt;".",Irr!AZ5="."),dir!E5/((1/1000)*(Irr!AB5)),IF(AND(Irr!D5&lt;&gt;".",Irr!AB5=".",Irr!AZ5="."),dir!E5/((1/1000)*(Irr!D5)),IF(AND(Irr!D5=".",Irr!AB5=".",Irr!AZ5="."),dir!E5*1000)))))))),".")</f>
        <v>.</v>
      </c>
      <c r="F5" s="76" t="str">
        <f>IFERROR(IF(AND(Irr!E5&lt;&gt;".",Irr!AC5&lt;&gt;".",Irr!BA5&lt;&gt;"."),dir!F5/((1/1000)*(Irr!E5+Irr!AC5+Irr!BA5)),IF(AND(Irr!E5&lt;&gt;".",Irr!AC5&lt;&gt;".",Irr!BA5="."),dir!F5/((1/1000)*(Irr!E5+Irr!AC5)),IF(AND(Irr!E5&lt;&gt;".",Irr!AC5=".",Irr!BA5&lt;&gt;"."),dir!F5/((1/1000)*(Irr!E5+Irr!BA5)),IF(AND(Irr!E5=".",Irr!AC5&lt;&gt;".",Irr!BA5&lt;&gt;"."),dir!F5/((1/1000)*(Irr!AC5+Irr!BA5)),IF(AND(Irr!E5=".",Irr!AC5=".",Irr!BA5&lt;&gt;"."),dir!F5/((1/1000)*(Irr!BA5)),IF(AND(Irr!E5=".",Irr!AC5&lt;&gt;".",Irr!BA5="."),dir!F5/((1/1000)*(Irr!AC5)),IF(AND(Irr!E5&lt;&gt;".",Irr!AC5=".",Irr!BA5="."),dir!F5/((1/1000)*(Irr!E5)),IF(AND(Irr!E5=".",Irr!AC5=".",Irr!BA5="."),dir!F5*1000)))))))),".")</f>
        <v>.</v>
      </c>
      <c r="G5" s="76" t="str">
        <f>IFERROR(IF(AND(Irr!F5&lt;&gt;".",Irr!AD5&lt;&gt;".",Irr!BB5&lt;&gt;"."),dir!G5/((1/1000)*(Irr!F5+Irr!AD5+Irr!BB5)),IF(AND(Irr!F5&lt;&gt;".",Irr!AD5&lt;&gt;".",Irr!BB5="."),dir!G5/((1/1000)*(Irr!F5+Irr!AD5)),IF(AND(Irr!F5&lt;&gt;".",Irr!AD5=".",Irr!BB5&lt;&gt;"."),dir!G5/((1/1000)*(Irr!F5+Irr!BB5)),IF(AND(Irr!F5=".",Irr!AD5&lt;&gt;".",Irr!BB5&lt;&gt;"."),dir!G5/((1/1000)*(Irr!AD5+Irr!BB5)),IF(AND(Irr!F5=".",Irr!AD5=".",Irr!BB5&lt;&gt;"."),dir!G5/((1/1000)*(Irr!BB5)),IF(AND(Irr!F5=".",Irr!AD5&lt;&gt;".",Irr!BB5="."),dir!G5/((1/1000)*(Irr!AD5)),IF(AND(Irr!F5&lt;&gt;".",Irr!AD5=".",Irr!BB5="."),dir!G5/((1/1000)*(Irr!F5)),IF(AND(Irr!F5=".",Irr!AD5=".",Irr!BB5="."),dir!G5*1000)))))))),".")</f>
        <v>.</v>
      </c>
      <c r="H5" s="76" t="str">
        <f>IFERROR(IF(AND(Irr!G5&lt;&gt;".",Irr!AE5&lt;&gt;".",Irr!BC5&lt;&gt;"."),dir!H5/((1/1000)*(Irr!G5+Irr!AE5+Irr!BC5)),IF(AND(Irr!G5&lt;&gt;".",Irr!AE5&lt;&gt;".",Irr!BC5="."),dir!H5/((1/1000)*(Irr!G5+Irr!AE5)),IF(AND(Irr!G5&lt;&gt;".",Irr!AE5=".",Irr!BC5&lt;&gt;"."),dir!H5/((1/1000)*(Irr!G5+Irr!BC5)),IF(AND(Irr!G5=".",Irr!AE5&lt;&gt;".",Irr!BC5&lt;&gt;"."),dir!H5/((1/1000)*(Irr!AE5+Irr!BC5)),IF(AND(Irr!G5=".",Irr!AE5=".",Irr!BC5&lt;&gt;"."),dir!H5/((1/1000)*(Irr!BC5)),IF(AND(Irr!G5=".",Irr!AE5&lt;&gt;".",Irr!BC5="."),dir!H5/((1/1000)*(Irr!AE5)),IF(AND(Irr!G5&lt;&gt;".",Irr!AE5=".",Irr!BC5="."),dir!H5/((1/1000)*(Irr!G5)),IF(AND(Irr!G5=".",Irr!AE5=".",Irr!BC5="."),dir!H5*1000)))))))),".")</f>
        <v>.</v>
      </c>
      <c r="I5" s="76" t="str">
        <f>IFERROR(IF(AND(Irr!H5&lt;&gt;".",Irr!AF5&lt;&gt;".",Irr!BD5&lt;&gt;"."),dir!I5/((1/1000)*(Irr!H5+Irr!AF5+Irr!BD5)),IF(AND(Irr!H5&lt;&gt;".",Irr!AF5&lt;&gt;".",Irr!BD5="."),dir!I5/((1/1000)*(Irr!H5+Irr!AF5)),IF(AND(Irr!H5&lt;&gt;".",Irr!AF5=".",Irr!BD5&lt;&gt;"."),dir!I5/((1/1000)*(Irr!H5+Irr!BD5)),IF(AND(Irr!H5=".",Irr!AF5&lt;&gt;".",Irr!BD5&lt;&gt;"."),dir!I5/((1/1000)*(Irr!AF5+Irr!BD5)),IF(AND(Irr!H5=".",Irr!AF5=".",Irr!BD5&lt;&gt;"."),dir!I5/((1/1000)*(Irr!BD5)),IF(AND(Irr!H5=".",Irr!AF5&lt;&gt;".",Irr!BD5="."),dir!I5/((1/1000)*(Irr!AF5)),IF(AND(Irr!H5&lt;&gt;".",Irr!AF5=".",Irr!BD5="."),dir!I5/((1/1000)*(Irr!H5)),IF(AND(Irr!H5=".",Irr!AF5=".",Irr!BD5="."),dir!I5*1000)))))))),".")</f>
        <v>.</v>
      </c>
      <c r="J5" s="76" t="str">
        <f>IFERROR(IF(AND(Irr!I5&lt;&gt;".",Irr!AG5&lt;&gt;".",Irr!BE5&lt;&gt;"."),dir!J5/((1/1000)*(Irr!I5+Irr!AG5+Irr!BE5)),IF(AND(Irr!I5&lt;&gt;".",Irr!AG5&lt;&gt;".",Irr!BE5="."),dir!J5/((1/1000)*(Irr!I5+Irr!AG5)),IF(AND(Irr!I5&lt;&gt;".",Irr!AG5=".",Irr!BE5&lt;&gt;"."),dir!J5/((1/1000)*(Irr!I5+Irr!BE5)),IF(AND(Irr!I5=".",Irr!AG5&lt;&gt;".",Irr!BE5&lt;&gt;"."),dir!J5/((1/1000)*(Irr!AG5+Irr!BE5)),IF(AND(Irr!I5=".",Irr!AG5=".",Irr!BE5&lt;&gt;"."),dir!J5/((1/1000)*(Irr!BE5)),IF(AND(Irr!I5=".",Irr!AG5&lt;&gt;".",Irr!BE5="."),dir!J5/((1/1000)*(Irr!AG5)),IF(AND(Irr!I5&lt;&gt;".",Irr!AG5=".",Irr!BE5="."),dir!J5/((1/1000)*(Irr!I5)),IF(AND(Irr!I5=".",Irr!AG5=".",Irr!BE5="."),dir!J5*1000)))))))),".")</f>
        <v>.</v>
      </c>
      <c r="K5" s="76" t="str">
        <f>IFERROR(IF(AND(Irr!J5&lt;&gt;".",Irr!AH5&lt;&gt;".",Irr!BF5&lt;&gt;"."),dir!K5/((1/1000)*(Irr!J5+Irr!AH5+Irr!BF5)),IF(AND(Irr!J5&lt;&gt;".",Irr!AH5&lt;&gt;".",Irr!BF5="."),dir!K5/((1/1000)*(Irr!J5+Irr!AH5)),IF(AND(Irr!J5&lt;&gt;".",Irr!AH5=".",Irr!BF5&lt;&gt;"."),dir!K5/((1/1000)*(Irr!J5+Irr!BF5)),IF(AND(Irr!J5=".",Irr!AH5&lt;&gt;".",Irr!BF5&lt;&gt;"."),dir!K5/((1/1000)*(Irr!AH5+Irr!BF5)),IF(AND(Irr!J5=".",Irr!AH5=".",Irr!BF5&lt;&gt;"."),dir!K5/((1/1000)*(Irr!BF5)),IF(AND(Irr!J5=".",Irr!AH5&lt;&gt;".",Irr!BF5="."),dir!K5/((1/1000)*(Irr!AH5)),IF(AND(Irr!J5&lt;&gt;".",Irr!AH5=".",Irr!BF5="."),dir!K5/((1/1000)*(Irr!J5)),IF(AND(Irr!J5=".",Irr!AH5=".",Irr!BF5="."),dir!K5*1000)))))))),".")</f>
        <v>.</v>
      </c>
      <c r="L5" s="76" t="str">
        <f>IFERROR(IF(AND(Irr!K5&lt;&gt;".",Irr!AI5&lt;&gt;".",Irr!BG5&lt;&gt;"."),dir!L5/((1/1000)*(Irr!K5+Irr!AI5+Irr!BG5)),IF(AND(Irr!K5&lt;&gt;".",Irr!AI5&lt;&gt;".",Irr!BG5="."),dir!L5/((1/1000)*(Irr!K5+Irr!AI5)),IF(AND(Irr!K5&lt;&gt;".",Irr!AI5=".",Irr!BG5&lt;&gt;"."),dir!L5/((1/1000)*(Irr!K5+Irr!BG5)),IF(AND(Irr!K5=".",Irr!AI5&lt;&gt;".",Irr!BG5&lt;&gt;"."),dir!L5/((1/1000)*(Irr!AI5+Irr!BG5)),IF(AND(Irr!K5=".",Irr!AI5=".",Irr!BG5&lt;&gt;"."),dir!L5/((1/1000)*(Irr!BG5)),IF(AND(Irr!K5=".",Irr!AI5&lt;&gt;".",Irr!BG5="."),dir!L5/((1/1000)*(Irr!AI5)),IF(AND(Irr!K5&lt;&gt;".",Irr!AI5=".",Irr!BG5="."),dir!L5/((1/1000)*(Irr!K5)),IF(AND(Irr!K5=".",Irr!AI5=".",Irr!BG5="."),dir!L5*1000)))))))),".")</f>
        <v>.</v>
      </c>
      <c r="M5" s="76" t="str">
        <f>IFERROR(IF(AND(Irr!L5&lt;&gt;".",Irr!AJ5&lt;&gt;".",Irr!BH5&lt;&gt;"."),dir!M5/((1/1000)*(Irr!L5+Irr!AJ5+Irr!BH5)),IF(AND(Irr!L5&lt;&gt;".",Irr!AJ5&lt;&gt;".",Irr!BH5="."),dir!M5/((1/1000)*(Irr!L5+Irr!AJ5)),IF(AND(Irr!L5&lt;&gt;".",Irr!AJ5=".",Irr!BH5&lt;&gt;"."),dir!M5/((1/1000)*(Irr!L5+Irr!BH5)),IF(AND(Irr!L5=".",Irr!AJ5&lt;&gt;".",Irr!BH5&lt;&gt;"."),dir!M5/((1/1000)*(Irr!AJ5+Irr!BH5)),IF(AND(Irr!L5=".",Irr!AJ5=".",Irr!BH5&lt;&gt;"."),dir!M5/((1/1000)*(Irr!BH5)),IF(AND(Irr!L5=".",Irr!AJ5&lt;&gt;".",Irr!BH5="."),dir!M5/((1/1000)*(Irr!AJ5)),IF(AND(Irr!L5&lt;&gt;".",Irr!AJ5=".",Irr!BH5="."),dir!M5/((1/1000)*(Irr!L5)),IF(AND(Irr!L5=".",Irr!AJ5=".",Irr!BH5="."),dir!M5*1000)))))))),".")</f>
        <v>.</v>
      </c>
      <c r="N5" s="76" t="str">
        <f>IFERROR(IF(AND(Irr!M5&lt;&gt;".",Irr!AK5&lt;&gt;".",Irr!BI5&lt;&gt;"."),dir!N5/((1/1000)*(Irr!M5+Irr!AK5+Irr!BI5)),IF(AND(Irr!M5&lt;&gt;".",Irr!AK5&lt;&gt;".",Irr!BI5="."),dir!N5/((1/1000)*(Irr!M5+Irr!AK5)),IF(AND(Irr!M5&lt;&gt;".",Irr!AK5=".",Irr!BI5&lt;&gt;"."),dir!N5/((1/1000)*(Irr!M5+Irr!BI5)),IF(AND(Irr!M5=".",Irr!AK5&lt;&gt;".",Irr!BI5&lt;&gt;"."),dir!N5/((1/1000)*(Irr!AK5+Irr!BI5)),IF(AND(Irr!M5=".",Irr!AK5=".",Irr!BI5&lt;&gt;"."),dir!N5/((1/1000)*(Irr!BI5)),IF(AND(Irr!M5=".",Irr!AK5&lt;&gt;".",Irr!BI5="."),dir!N5/((1/1000)*(Irr!AK5)),IF(AND(Irr!M5&lt;&gt;".",Irr!AK5=".",Irr!BI5="."),dir!N5/((1/1000)*(Irr!M5)),IF(AND(Irr!M5=".",Irr!AK5=".",Irr!BI5="."),dir!N5*1000)))))))),".")</f>
        <v>.</v>
      </c>
      <c r="O5" s="76" t="str">
        <f>IFERROR(IF(AND(Irr!N5&lt;&gt;".",Irr!AL5&lt;&gt;".",Irr!BJ5&lt;&gt;"."),dir!O5/((1/1000)*(Irr!N5+Irr!AL5+Irr!BJ5)),IF(AND(Irr!N5&lt;&gt;".",Irr!AL5&lt;&gt;".",Irr!BJ5="."),dir!O5/((1/1000)*(Irr!N5+Irr!AL5)),IF(AND(Irr!N5&lt;&gt;".",Irr!AL5=".",Irr!BJ5&lt;&gt;"."),dir!O5/((1/1000)*(Irr!N5+Irr!BJ5)),IF(AND(Irr!N5=".",Irr!AL5&lt;&gt;".",Irr!BJ5&lt;&gt;"."),dir!O5/((1/1000)*(Irr!AL5+Irr!BJ5)),IF(AND(Irr!N5=".",Irr!AL5=".",Irr!BJ5&lt;&gt;"."),dir!O5/((1/1000)*(Irr!BJ5)),IF(AND(Irr!N5=".",Irr!AL5&lt;&gt;".",Irr!BJ5="."),dir!O5/((1/1000)*(Irr!AL5)),IF(AND(Irr!N5&lt;&gt;".",Irr!AL5=".",Irr!BJ5="."),dir!O5/((1/1000)*(Irr!N5)),IF(AND(Irr!N5=".",Irr!AL5=".",Irr!BJ5="."),dir!O5*1000)))))))),".")</f>
        <v>.</v>
      </c>
      <c r="P5" s="76" t="str">
        <f>IFERROR(IF(AND(Irr!O5&lt;&gt;".",Irr!AM5&lt;&gt;".",Irr!BK5&lt;&gt;"."),dir!P5/((1/1000)*(Irr!O5+Irr!AM5+Irr!BK5)),IF(AND(Irr!O5&lt;&gt;".",Irr!AM5&lt;&gt;".",Irr!BK5="."),dir!P5/((1/1000)*(Irr!O5+Irr!AM5)),IF(AND(Irr!O5&lt;&gt;".",Irr!AM5=".",Irr!BK5&lt;&gt;"."),dir!P5/((1/1000)*(Irr!O5+Irr!BK5)),IF(AND(Irr!O5=".",Irr!AM5&lt;&gt;".",Irr!BK5&lt;&gt;"."),dir!P5/((1/1000)*(Irr!AM5+Irr!BK5)),IF(AND(Irr!O5=".",Irr!AM5=".",Irr!BK5&lt;&gt;"."),dir!P5/((1/1000)*(Irr!BK5)),IF(AND(Irr!O5=".",Irr!AM5&lt;&gt;".",Irr!BK5="."),dir!P5/((1/1000)*(Irr!AM5)),IF(AND(Irr!O5&lt;&gt;".",Irr!AM5=".",Irr!BK5="."),dir!P5/((1/1000)*(Irr!O5)),IF(AND(Irr!O5=".",Irr!AM5=".",Irr!BK5="."),dir!P5*1000)))))))),".")</f>
        <v>.</v>
      </c>
      <c r="Q5" s="76" t="str">
        <f>IFERROR(IF(AND(Irr!P5&lt;&gt;".",Irr!AN5&lt;&gt;".",Irr!BL5&lt;&gt;"."),dir!Q5/((1/1000)*(Irr!P5+Irr!AN5+Irr!BL5)),IF(AND(Irr!P5&lt;&gt;".",Irr!AN5&lt;&gt;".",Irr!BL5="."),dir!Q5/((1/1000)*(Irr!P5+Irr!AN5)),IF(AND(Irr!P5&lt;&gt;".",Irr!AN5=".",Irr!BL5&lt;&gt;"."),dir!Q5/((1/1000)*(Irr!P5+Irr!BL5)),IF(AND(Irr!P5=".",Irr!AN5&lt;&gt;".",Irr!BL5&lt;&gt;"."),dir!Q5/((1/1000)*(Irr!AN5+Irr!BL5)),IF(AND(Irr!P5=".",Irr!AN5=".",Irr!BL5&lt;&gt;"."),dir!Q5/((1/1000)*(Irr!BL5)),IF(AND(Irr!P5=".",Irr!AN5&lt;&gt;".",Irr!BL5="."),dir!Q5/((1/1000)*(Irr!AN5)),IF(AND(Irr!P5&lt;&gt;".",Irr!AN5=".",Irr!BL5="."),dir!Q5/((1/1000)*(Irr!P5)),IF(AND(Irr!P5=".",Irr!AN5=".",Irr!BL5="."),dir!Q5*1000)))))))),".")</f>
        <v>.</v>
      </c>
      <c r="R5" s="76" t="str">
        <f>IFERROR(IF(AND(Irr!Q5&lt;&gt;".",Irr!AO5&lt;&gt;".",Irr!BM5&lt;&gt;"."),dir!R5/((1/1000)*(Irr!Q5+Irr!AO5+Irr!BM5)),IF(AND(Irr!Q5&lt;&gt;".",Irr!AO5&lt;&gt;".",Irr!BM5="."),dir!R5/((1/1000)*(Irr!Q5+Irr!AO5)),IF(AND(Irr!Q5&lt;&gt;".",Irr!AO5=".",Irr!BM5&lt;&gt;"."),dir!R5/((1/1000)*(Irr!Q5+Irr!BM5)),IF(AND(Irr!Q5=".",Irr!AO5&lt;&gt;".",Irr!BM5&lt;&gt;"."),dir!R5/((1/1000)*(Irr!AO5+Irr!BM5)),IF(AND(Irr!Q5=".",Irr!AO5=".",Irr!BM5&lt;&gt;"."),dir!R5/((1/1000)*(Irr!BM5)),IF(AND(Irr!Q5=".",Irr!AO5&lt;&gt;".",Irr!BM5="."),dir!R5/((1/1000)*(Irr!AO5)),IF(AND(Irr!Q5&lt;&gt;".",Irr!AO5=".",Irr!BM5="."),dir!R5/((1/1000)*(Irr!Q5)),IF(AND(Irr!Q5=".",Irr!AO5=".",Irr!BM5="."),dir!R5*1000)))))))),".")</f>
        <v>.</v>
      </c>
      <c r="S5" s="76" t="str">
        <f>IFERROR(IF(AND(Irr!R5&lt;&gt;".",Irr!AP5&lt;&gt;".",Irr!BN5&lt;&gt;"."),dir!S5/((1/1000)*(Irr!R5+Irr!AP5+Irr!BN5)),IF(AND(Irr!R5&lt;&gt;".",Irr!AP5&lt;&gt;".",Irr!BN5="."),dir!S5/((1/1000)*(Irr!R5+Irr!AP5)),IF(AND(Irr!R5&lt;&gt;".",Irr!AP5=".",Irr!BN5&lt;&gt;"."),dir!S5/((1/1000)*(Irr!R5+Irr!BN5)),IF(AND(Irr!R5=".",Irr!AP5&lt;&gt;".",Irr!BN5&lt;&gt;"."),dir!S5/((1/1000)*(Irr!AP5+Irr!BN5)),IF(AND(Irr!R5=".",Irr!AP5=".",Irr!BN5&lt;&gt;"."),dir!S5/((1/1000)*(Irr!BN5)),IF(AND(Irr!R5=".",Irr!AP5&lt;&gt;".",Irr!BN5="."),dir!S5/((1/1000)*(Irr!AP5)),IF(AND(Irr!R5&lt;&gt;".",Irr!AP5=".",Irr!BN5="."),dir!S5/((1/1000)*(Irr!R5)),IF(AND(Irr!R5=".",Irr!AP5=".",Irr!BN5="."),dir!S5*1000)))))))),".")</f>
        <v>.</v>
      </c>
      <c r="T5" s="76" t="str">
        <f>IFERROR(IF(AND(Irr!S5&lt;&gt;".",Irr!AQ5&lt;&gt;".",Irr!BO5&lt;&gt;"."),dir!T5/((1/1000)*(Irr!S5+Irr!AQ5+Irr!BO5)),IF(AND(Irr!S5&lt;&gt;".",Irr!AQ5&lt;&gt;".",Irr!BO5="."),dir!T5/((1/1000)*(Irr!S5+Irr!AQ5)),IF(AND(Irr!S5&lt;&gt;".",Irr!AQ5=".",Irr!BO5&lt;&gt;"."),dir!T5/((1/1000)*(Irr!S5+Irr!BO5)),IF(AND(Irr!S5=".",Irr!AQ5&lt;&gt;".",Irr!BO5&lt;&gt;"."),dir!T5/((1/1000)*(Irr!AQ5+Irr!BO5)),IF(AND(Irr!S5=".",Irr!AQ5=".",Irr!BO5&lt;&gt;"."),dir!T5/((1/1000)*(Irr!BO5)),IF(AND(Irr!S5=".",Irr!AQ5&lt;&gt;".",Irr!BO5="."),dir!T5/((1/1000)*(Irr!AQ5)),IF(AND(Irr!S5&lt;&gt;".",Irr!AQ5=".",Irr!BO5="."),dir!T5/((1/1000)*(Irr!S5)),IF(AND(Irr!S5=".",Irr!AQ5=".",Irr!BO5="."),dir!T5*1000)))))))),".")</f>
        <v>.</v>
      </c>
      <c r="U5" s="76" t="str">
        <f>IFERROR(IF(AND(Irr!T5&lt;&gt;".",Irr!AR5&lt;&gt;".",Irr!BP5&lt;&gt;"."),dir!U5/((1/1000)*(Irr!T5+Irr!AR5+Irr!BP5)),IF(AND(Irr!T5&lt;&gt;".",Irr!AR5&lt;&gt;".",Irr!BP5="."),dir!U5/((1/1000)*(Irr!T5+Irr!AR5)),IF(AND(Irr!T5&lt;&gt;".",Irr!AR5=".",Irr!BP5&lt;&gt;"."),dir!U5/((1/1000)*(Irr!T5+Irr!BP5)),IF(AND(Irr!T5=".",Irr!AR5&lt;&gt;".",Irr!BP5&lt;&gt;"."),dir!U5/((1/1000)*(Irr!AR5+Irr!BP5)),IF(AND(Irr!T5=".",Irr!AR5=".",Irr!BP5&lt;&gt;"."),dir!U5/((1/1000)*(Irr!BP5)),IF(AND(Irr!T5=".",Irr!AR5&lt;&gt;".",Irr!BP5="."),dir!U5/((1/1000)*(Irr!AR5)),IF(AND(Irr!T5&lt;&gt;".",Irr!AR5=".",Irr!BP5="."),dir!U5/((1/1000)*(Irr!T5)),IF(AND(Irr!T5=".",Irr!AR5=".",Irr!BP5="."),dir!U5*1000)))))))),".")</f>
        <v>.</v>
      </c>
      <c r="V5" s="76" t="str">
        <f>IFERROR(IF(AND(Irr!U5&lt;&gt;".",Irr!AS5&lt;&gt;".",Irr!BQ5&lt;&gt;"."),dir!V5/((1/1000)*(Irr!U5+Irr!AS5+Irr!BQ5)),IF(AND(Irr!U5&lt;&gt;".",Irr!AS5&lt;&gt;".",Irr!BQ5="."),dir!V5/((1/1000)*(Irr!U5+Irr!AS5)),IF(AND(Irr!U5&lt;&gt;".",Irr!AS5=".",Irr!BQ5&lt;&gt;"."),dir!V5/((1/1000)*(Irr!U5+Irr!BQ5)),IF(AND(Irr!U5=".",Irr!AS5&lt;&gt;".",Irr!BQ5&lt;&gt;"."),dir!V5/((1/1000)*(Irr!AS5+Irr!BQ5)),IF(AND(Irr!U5=".",Irr!AS5=".",Irr!BQ5&lt;&gt;"."),dir!V5/((1/1000)*(Irr!BQ5)),IF(AND(Irr!U5=".",Irr!AS5&lt;&gt;".",Irr!BQ5="."),dir!V5/((1/1000)*(Irr!AS5)),IF(AND(Irr!U5&lt;&gt;".",Irr!AS5=".",Irr!BQ5="."),dir!V5/((1/1000)*(Irr!U5)),IF(AND(Irr!U5=".",Irr!AS5=".",Irr!BQ5="."),dir!V5*1000)))))))),".")</f>
        <v>.</v>
      </c>
      <c r="W5" s="76" t="str">
        <f>IFERROR(IF(AND(Irr!V5&lt;&gt;".",Irr!AT5&lt;&gt;".",Irr!BR5&lt;&gt;"."),dir!W5/((1/1000)*(Irr!V5+Irr!AT5+Irr!BR5)),IF(AND(Irr!V5&lt;&gt;".",Irr!AT5&lt;&gt;".",Irr!BR5="."),dir!W5/((1/1000)*(Irr!V5+Irr!AT5)),IF(AND(Irr!V5&lt;&gt;".",Irr!AT5=".",Irr!BR5&lt;&gt;"."),dir!W5/((1/1000)*(Irr!V5+Irr!BR5)),IF(AND(Irr!V5=".",Irr!AT5&lt;&gt;".",Irr!BR5&lt;&gt;"."),dir!W5/((1/1000)*(Irr!AT5+Irr!BR5)),IF(AND(Irr!V5=".",Irr!AT5=".",Irr!BR5&lt;&gt;"."),dir!W5/((1/1000)*(Irr!BR5)),IF(AND(Irr!V5=".",Irr!AT5&lt;&gt;".",Irr!BR5="."),dir!W5/((1/1000)*(Irr!AT5)),IF(AND(Irr!V5&lt;&gt;".",Irr!AT5=".",Irr!BR5="."),dir!W5/((1/1000)*(Irr!V5)),IF(AND(Irr!V5=".",Irr!AT5=".",Irr!BR5="."),dir!W5*1000)))))))),".")</f>
        <v>.</v>
      </c>
      <c r="X5" s="76" t="str">
        <f>IFERROR(IF(AND(Irr!W5&lt;&gt;".",Irr!AU5&lt;&gt;".",Irr!BS5&lt;&gt;"."),dir!X5/((1/1000)*(Irr!W5+Irr!AU5+Irr!BS5)),IF(AND(Irr!W5&lt;&gt;".",Irr!AU5&lt;&gt;".",Irr!BS5="."),dir!X5/((1/1000)*(Irr!W5+Irr!AU5)),IF(AND(Irr!W5&lt;&gt;".",Irr!AU5=".",Irr!BS5&lt;&gt;"."),dir!X5/((1/1000)*(Irr!W5+Irr!BS5)),IF(AND(Irr!W5=".",Irr!AU5&lt;&gt;".",Irr!BS5&lt;&gt;"."),dir!X5/((1/1000)*(Irr!AU5+Irr!BS5)),IF(AND(Irr!W5=".",Irr!AU5=".",Irr!BS5&lt;&gt;"."),dir!X5/((1/1000)*(Irr!BS5)),IF(AND(Irr!W5=".",Irr!AU5&lt;&gt;".",Irr!BS5="."),dir!X5/((1/1000)*(Irr!AU5)),IF(AND(Irr!W5&lt;&gt;".",Irr!AU5=".",Irr!BS5="."),dir!X5/((1/1000)*(Irr!W5)),IF(AND(Irr!W5=".",Irr!AU5=".",Irr!BS5="."),dir!X5*1000)))))))),".")</f>
        <v>.</v>
      </c>
      <c r="Y5" s="76" t="str">
        <f>IFERROR(IF(AND(Irr!X5&lt;&gt;".",Irr!AV5&lt;&gt;".",Irr!BT5&lt;&gt;"."),dir!Y5/((1/1000)*(Irr!X5+Irr!AV5+Irr!BT5)),IF(AND(Irr!X5&lt;&gt;".",Irr!AV5&lt;&gt;".",Irr!BT5="."),dir!Y5/((1/1000)*(Irr!X5+Irr!AV5)),IF(AND(Irr!X5&lt;&gt;".",Irr!AV5=".",Irr!BT5&lt;&gt;"."),dir!Y5/((1/1000)*(Irr!X5+Irr!BT5)),IF(AND(Irr!X5=".",Irr!AV5&lt;&gt;".",Irr!BT5&lt;&gt;"."),dir!Y5/((1/1000)*(Irr!AV5+Irr!BT5)),IF(AND(Irr!X5=".",Irr!AV5=".",Irr!BT5&lt;&gt;"."),dir!Y5/((1/1000)*(Irr!BT5)),IF(AND(Irr!X5=".",Irr!AV5&lt;&gt;".",Irr!BT5="."),dir!Y5/((1/1000)*(Irr!AV5)),IF(AND(Irr!X5&lt;&gt;".",Irr!AV5=".",Irr!BT5="."),dir!Y5/((1/1000)*(Irr!X5)),IF(AND(Irr!X5=".",Irr!AV5=".",Irr!BT5="."),dir!Y5*1000)))))))),".")</f>
        <v>.</v>
      </c>
      <c r="Z5" s="76" t="str">
        <f>IFERROR(IF(AND(Irr!Y5&lt;&gt;".",Irr!AW5&lt;&gt;".",Irr!BU5&lt;&gt;"."),dir!Z5/((1/1000)*(Irr!Y5+Irr!AW5+Irr!BU5)),IF(AND(Irr!Y5&lt;&gt;".",Irr!AW5&lt;&gt;".",Irr!BU5="."),dir!Z5/((1/1000)*(Irr!Y5+Irr!AW5)),IF(AND(Irr!Y5&lt;&gt;".",Irr!AW5=".",Irr!BU5&lt;&gt;"."),dir!Z5/((1/1000)*(Irr!Y5+Irr!BU5)),IF(AND(Irr!Y5=".",Irr!AW5&lt;&gt;".",Irr!BU5&lt;&gt;"."),dir!Z5/((1/1000)*(Irr!AW5+Irr!BU5)),IF(AND(Irr!Y5=".",Irr!AW5=".",Irr!BU5&lt;&gt;"."),dir!Z5/((1/1000)*(Irr!BU5)),IF(AND(Irr!Y5=".",Irr!AW5&lt;&gt;".",Irr!BU5="."),dir!Z5/((1/1000)*(Irr!AW5)),IF(AND(Irr!Y5&lt;&gt;".",Irr!AW5=".",Irr!BU5="."),dir!Z5/((1/1000)*(Irr!Y5)),IF(AND(Irr!Y5=".",Irr!AW5=".",Irr!BU5="."),dir!Z5*1000)))))))),".")</f>
        <v>.</v>
      </c>
      <c r="AA5" s="76" t="str">
        <f>IFERROR(IF(AND(Irr!Z5&lt;&gt;".",Irr!AX5&lt;&gt;".",Irr!BV5&lt;&gt;"."),dir!AA5/((1/1000)*(Irr!Z5+Irr!AX5+Irr!BV5)),IF(AND(Irr!Z5&lt;&gt;".",Irr!AX5&lt;&gt;".",Irr!BV5="."),dir!AA5/((1/1000)*(Irr!Z5+Irr!AX5)),IF(AND(Irr!Z5&lt;&gt;".",Irr!AX5=".",Irr!BV5&lt;&gt;"."),dir!AA5/((1/1000)*(Irr!Z5+Irr!BV5)),IF(AND(Irr!Z5=".",Irr!AX5&lt;&gt;".",Irr!BV5&lt;&gt;"."),dir!AA5/((1/1000)*(Irr!AX5+Irr!BV5)),IF(AND(Irr!Z5=".",Irr!AX5=".",Irr!BV5&lt;&gt;"."),dir!AA5/((1/1000)*(Irr!BV5)),IF(AND(Irr!Z5=".",Irr!AX5&lt;&gt;".",Irr!BV5="."),dir!AA5/((1/1000)*(Irr!AX5)),IF(AND(Irr!Z5&lt;&gt;".",Irr!AX5=".",Irr!BV5="."),dir!AA5/((1/1000)*(Irr!Z5)),IF(AND(Irr!Z5=".",Irr!AX5=".",Irr!BV5="."),dir!AA5*1000)))))))),".")</f>
        <v>.</v>
      </c>
      <c r="AB5" s="76" t="str">
        <f t="shared" si="3"/>
        <v>.</v>
      </c>
      <c r="AC5" s="76" t="str">
        <f>IFERROR(IF(AND(Irr!C5&lt;&gt;".",Irr!AA5&lt;&gt;".",Irr!AY5&lt;&gt;"."),dir!AC5/((1/1000)*(Irr!C5+Irr!AA5+Irr!AY5)),IF(AND(Irr!C5&lt;&gt;".",Irr!AA5&lt;&gt;".",Irr!AY5="."),dir!AC5/((1/1000)*(Irr!C5+Irr!AA5)),IF(AND(Irr!C5&lt;&gt;".",Irr!AA5=".",Irr!AY5&lt;&gt;"."),dir!AC5/((1/1000)*(Irr!C5+Irr!AY5)),IF(AND(Irr!C5=".",Irr!AA5&lt;&gt;".",Irr!AY5&lt;&gt;"."),dir!AC5/((1/1000)*(Irr!AA5+Irr!AY5)),IF(AND(Irr!C5=".",Irr!AA5=".",Irr!AY5&lt;&gt;"."),dir!AC5/((1/1000)*(Irr!AY5)),IF(AND(Irr!C5=".",Irr!AA5&lt;&gt;".",Irr!AY5="."),dir!AC5/((1/1000)*(Irr!AA5)),IF(AND(Irr!C5&lt;&gt;".",Irr!AA5=".",Irr!AY5="."),dir!AC5/((1/1000)*(Irr!C5)),IF(AND(Irr!C5=".",Irr!AA5=".",Irr!AY5="."),dir!AC5*1000)))))))),".")</f>
        <v>.</v>
      </c>
      <c r="AD5" s="76" t="str">
        <f>IFERROR(IF(AND(Irr!D5&lt;&gt;".",Irr!AB5&lt;&gt;".",Irr!AZ5&lt;&gt;"."),dir!AD5/((1/1000)*(Irr!D5+Irr!AB5+Irr!AZ5)),IF(AND(Irr!D5&lt;&gt;".",Irr!AB5&lt;&gt;".",Irr!AZ5="."),dir!AD5/((1/1000)*(Irr!D5+Irr!AB5)),IF(AND(Irr!D5&lt;&gt;".",Irr!AB5=".",Irr!AZ5&lt;&gt;"."),dir!AD5/((1/1000)*(Irr!D5+Irr!AZ5)),IF(AND(Irr!D5=".",Irr!AB5&lt;&gt;".",Irr!AZ5&lt;&gt;"."),dir!AD5/((1/1000)*(Irr!AB5+Irr!AZ5)),IF(AND(Irr!D5=".",Irr!AB5=".",Irr!AZ5&lt;&gt;"."),dir!AD5/((1/1000)*(Irr!AZ5)),IF(AND(Irr!D5=".",Irr!AB5&lt;&gt;".",Irr!AZ5="."),dir!AD5/((1/1000)*(Irr!AB5)),IF(AND(Irr!D5&lt;&gt;".",Irr!AB5=".",Irr!AZ5="."),dir!AD5/((1/1000)*(Irr!D5)),IF(AND(Irr!D5=".",Irr!AB5=".",Irr!AZ5="."),dir!AD5*1000)))))))),".")</f>
        <v>.</v>
      </c>
      <c r="AE5" s="76" t="str">
        <f>IFERROR(IF(AND(Irr!E5&lt;&gt;".",Irr!AC5&lt;&gt;".",Irr!BA5&lt;&gt;"."),dir!AE5/((1/1000)*(Irr!E5+Irr!AC5+Irr!BA5)),IF(AND(Irr!E5&lt;&gt;".",Irr!AC5&lt;&gt;".",Irr!BA5="."),dir!AE5/((1/1000)*(Irr!E5+Irr!AC5)),IF(AND(Irr!E5&lt;&gt;".",Irr!AC5=".",Irr!BA5&lt;&gt;"."),dir!AE5/((1/1000)*(Irr!E5+Irr!BA5)),IF(AND(Irr!E5=".",Irr!AC5&lt;&gt;".",Irr!BA5&lt;&gt;"."),dir!AE5/((1/1000)*(Irr!AC5+Irr!BA5)),IF(AND(Irr!E5=".",Irr!AC5=".",Irr!BA5&lt;&gt;"."),dir!AE5/((1/1000)*(Irr!BA5)),IF(AND(Irr!E5=".",Irr!AC5&lt;&gt;".",Irr!BA5="."),dir!AE5/((1/1000)*(Irr!AC5)),IF(AND(Irr!E5&lt;&gt;".",Irr!AC5=".",Irr!BA5="."),dir!AE5/((1/1000)*(Irr!E5)),IF(AND(Irr!E5=".",Irr!AC5=".",Irr!BA5="."),dir!AE5*1000)))))))),".")</f>
        <v>.</v>
      </c>
      <c r="AF5" s="76" t="str">
        <f>IFERROR(IF(AND(Irr!F5&lt;&gt;".",Irr!AD5&lt;&gt;".",Irr!BB5&lt;&gt;"."),dir!AF5/((1/1000)*(Irr!F5+Irr!AD5+Irr!BB5)),IF(AND(Irr!F5&lt;&gt;".",Irr!AD5&lt;&gt;".",Irr!BB5="."),dir!AF5/((1/1000)*(Irr!F5+Irr!AD5)),IF(AND(Irr!F5&lt;&gt;".",Irr!AD5=".",Irr!BB5&lt;&gt;"."),dir!AF5/((1/1000)*(Irr!F5+Irr!BB5)),IF(AND(Irr!F5=".",Irr!AD5&lt;&gt;".",Irr!BB5&lt;&gt;"."),dir!AF5/((1/1000)*(Irr!AD5+Irr!BB5)),IF(AND(Irr!F5=".",Irr!AD5=".",Irr!BB5&lt;&gt;"."),dir!AF5/((1/1000)*(Irr!BB5)),IF(AND(Irr!F5=".",Irr!AD5&lt;&gt;".",Irr!BB5="."),dir!AF5/((1/1000)*(Irr!AD5)),IF(AND(Irr!F5&lt;&gt;".",Irr!AD5=".",Irr!BB5="."),dir!AF5/((1/1000)*(Irr!F5)),IF(AND(Irr!F5=".",Irr!AD5=".",Irr!BB5="."),dir!AF5*1000)))))))),".")</f>
        <v>.</v>
      </c>
      <c r="AG5" s="76" t="str">
        <f>IFERROR(IF(AND(Irr!G5&lt;&gt;".",Irr!AE5&lt;&gt;".",Irr!BC5&lt;&gt;"."),dir!AG5/((1/1000)*(Irr!G5+Irr!AE5+Irr!BC5)),IF(AND(Irr!G5&lt;&gt;".",Irr!AE5&lt;&gt;".",Irr!BC5="."),dir!AG5/((1/1000)*(Irr!G5+Irr!AE5)),IF(AND(Irr!G5&lt;&gt;".",Irr!AE5=".",Irr!BC5&lt;&gt;"."),dir!AG5/((1/1000)*(Irr!G5+Irr!BC5)),IF(AND(Irr!G5=".",Irr!AE5&lt;&gt;".",Irr!BC5&lt;&gt;"."),dir!AG5/((1/1000)*(Irr!AE5+Irr!BC5)),IF(AND(Irr!G5=".",Irr!AE5=".",Irr!BC5&lt;&gt;"."),dir!AG5/((1/1000)*(Irr!BC5)),IF(AND(Irr!G5=".",Irr!AE5&lt;&gt;".",Irr!BC5="."),dir!AG5/((1/1000)*(Irr!AE5)),IF(AND(Irr!G5&lt;&gt;".",Irr!AE5=".",Irr!BC5="."),dir!AG5/((1/1000)*(Irr!G5)),IF(AND(Irr!G5=".",Irr!AE5=".",Irr!BC5="."),dir!AG5*1000)))))))),".")</f>
        <v>.</v>
      </c>
      <c r="AH5" s="76" t="str">
        <f>IFERROR(IF(AND(Irr!H5&lt;&gt;".",Irr!AF5&lt;&gt;".",Irr!BD5&lt;&gt;"."),dir!AH5/((1/1000)*(Irr!H5+Irr!AF5+Irr!BD5)),IF(AND(Irr!H5&lt;&gt;".",Irr!AF5&lt;&gt;".",Irr!BD5="."),dir!AH5/((1/1000)*(Irr!H5+Irr!AF5)),IF(AND(Irr!H5&lt;&gt;".",Irr!AF5=".",Irr!BD5&lt;&gt;"."),dir!AH5/((1/1000)*(Irr!H5+Irr!BD5)),IF(AND(Irr!H5=".",Irr!AF5&lt;&gt;".",Irr!BD5&lt;&gt;"."),dir!AH5/((1/1000)*(Irr!AF5+Irr!BD5)),IF(AND(Irr!H5=".",Irr!AF5=".",Irr!BD5&lt;&gt;"."),dir!AH5/((1/1000)*(Irr!BD5)),IF(AND(Irr!H5=".",Irr!AF5&lt;&gt;".",Irr!BD5="."),dir!AH5/((1/1000)*(Irr!AF5)),IF(AND(Irr!H5&lt;&gt;".",Irr!AF5=".",Irr!BD5="."),dir!AH5/((1/1000)*(Irr!H5)),IF(AND(Irr!H5=".",Irr!AF5=".",Irr!BD5="."),dir!AH5*1000)))))))),".")</f>
        <v>.</v>
      </c>
      <c r="AI5" s="76" t="str">
        <f>IFERROR(IF(AND(Irr!I5&lt;&gt;".",Irr!AG5&lt;&gt;".",Irr!BE5&lt;&gt;"."),dir!AI5/((1/1000)*(Irr!I5+Irr!AG5+Irr!BE5)),IF(AND(Irr!I5&lt;&gt;".",Irr!AG5&lt;&gt;".",Irr!BE5="."),dir!AI5/((1/1000)*(Irr!I5+Irr!AG5)),IF(AND(Irr!I5&lt;&gt;".",Irr!AG5=".",Irr!BE5&lt;&gt;"."),dir!AI5/((1/1000)*(Irr!I5+Irr!BE5)),IF(AND(Irr!I5=".",Irr!AG5&lt;&gt;".",Irr!BE5&lt;&gt;"."),dir!AI5/((1/1000)*(Irr!AG5+Irr!BE5)),IF(AND(Irr!I5=".",Irr!AG5=".",Irr!BE5&lt;&gt;"."),dir!AI5/((1/1000)*(Irr!BE5)),IF(AND(Irr!I5=".",Irr!AG5&lt;&gt;".",Irr!BE5="."),dir!AI5/((1/1000)*(Irr!AG5)),IF(AND(Irr!I5&lt;&gt;".",Irr!AG5=".",Irr!BE5="."),dir!AI5/((1/1000)*(Irr!I5)),IF(AND(Irr!I5=".",Irr!AG5=".",Irr!BE5="."),dir!AI5*1000)))))))),".")</f>
        <v>.</v>
      </c>
      <c r="AJ5" s="76" t="str">
        <f>IFERROR(IF(AND(Irr!J5&lt;&gt;".",Irr!AH5&lt;&gt;".",Irr!BF5&lt;&gt;"."),dir!AJ5/((1/1000)*(Irr!J5+Irr!AH5+Irr!BF5)),IF(AND(Irr!J5&lt;&gt;".",Irr!AH5&lt;&gt;".",Irr!BF5="."),dir!AJ5/((1/1000)*(Irr!J5+Irr!AH5)),IF(AND(Irr!J5&lt;&gt;".",Irr!AH5=".",Irr!BF5&lt;&gt;"."),dir!AJ5/((1/1000)*(Irr!J5+Irr!BF5)),IF(AND(Irr!J5=".",Irr!AH5&lt;&gt;".",Irr!BF5&lt;&gt;"."),dir!AJ5/((1/1000)*(Irr!AH5+Irr!BF5)),IF(AND(Irr!J5=".",Irr!AH5=".",Irr!BF5&lt;&gt;"."),dir!AJ5/((1/1000)*(Irr!BF5)),IF(AND(Irr!J5=".",Irr!AH5&lt;&gt;".",Irr!BF5="."),dir!AJ5/((1/1000)*(Irr!AH5)),IF(AND(Irr!J5&lt;&gt;".",Irr!AH5=".",Irr!BF5="."),dir!AJ5/((1/1000)*(Irr!J5)),IF(AND(Irr!J5=".",Irr!AH5=".",Irr!BF5="."),dir!AJ5*1000)))))))),".")</f>
        <v>.</v>
      </c>
      <c r="AK5" s="76" t="str">
        <f>IFERROR(IF(AND(Irr!K5&lt;&gt;".",Irr!AI5&lt;&gt;".",Irr!BG5&lt;&gt;"."),dir!AK5/((1/1000)*(Irr!K5+Irr!AI5+Irr!BG5)),IF(AND(Irr!K5&lt;&gt;".",Irr!AI5&lt;&gt;".",Irr!BG5="."),dir!AK5/((1/1000)*(Irr!K5+Irr!AI5)),IF(AND(Irr!K5&lt;&gt;".",Irr!AI5=".",Irr!BG5&lt;&gt;"."),dir!AK5/((1/1000)*(Irr!K5+Irr!BG5)),IF(AND(Irr!K5=".",Irr!AI5&lt;&gt;".",Irr!BG5&lt;&gt;"."),dir!AK5/((1/1000)*(Irr!AI5+Irr!BG5)),IF(AND(Irr!K5=".",Irr!AI5=".",Irr!BG5&lt;&gt;"."),dir!AK5/((1/1000)*(Irr!BG5)),IF(AND(Irr!K5=".",Irr!AI5&lt;&gt;".",Irr!BG5="."),dir!AK5/((1/1000)*(Irr!AI5)),IF(AND(Irr!K5&lt;&gt;".",Irr!AI5=".",Irr!BG5="."),dir!AK5/((1/1000)*(Irr!K5)),IF(AND(Irr!K5=".",Irr!AI5=".",Irr!BG5="."),dir!AK5*1000)))))))),".")</f>
        <v>.</v>
      </c>
      <c r="AL5" s="76" t="str">
        <f>IFERROR(IF(AND(Irr!L5&lt;&gt;".",Irr!AJ5&lt;&gt;".",Irr!BH5&lt;&gt;"."),dir!AL5/((1/1000)*(Irr!L5+Irr!AJ5+Irr!BH5)),IF(AND(Irr!L5&lt;&gt;".",Irr!AJ5&lt;&gt;".",Irr!BH5="."),dir!AL5/((1/1000)*(Irr!L5+Irr!AJ5)),IF(AND(Irr!L5&lt;&gt;".",Irr!AJ5=".",Irr!BH5&lt;&gt;"."),dir!AL5/((1/1000)*(Irr!L5+Irr!BH5)),IF(AND(Irr!L5=".",Irr!AJ5&lt;&gt;".",Irr!BH5&lt;&gt;"."),dir!AL5/((1/1000)*(Irr!AJ5+Irr!BH5)),IF(AND(Irr!L5=".",Irr!AJ5=".",Irr!BH5&lt;&gt;"."),dir!AL5/((1/1000)*(Irr!BH5)),IF(AND(Irr!L5=".",Irr!AJ5&lt;&gt;".",Irr!BH5="."),dir!AL5/((1/1000)*(Irr!AJ5)),IF(AND(Irr!L5&lt;&gt;".",Irr!AJ5=".",Irr!BH5="."),dir!AL5/((1/1000)*(Irr!L5)),IF(AND(Irr!L5=".",Irr!AJ5=".",Irr!BH5="."),dir!AL5*1000)))))))),".")</f>
        <v>.</v>
      </c>
      <c r="AM5" s="76" t="str">
        <f>IFERROR(IF(AND(Irr!M5&lt;&gt;".",Irr!AK5&lt;&gt;".",Irr!BI5&lt;&gt;"."),dir!AM5/((1/1000)*(Irr!M5+Irr!AK5+Irr!BI5)),IF(AND(Irr!M5&lt;&gt;".",Irr!AK5&lt;&gt;".",Irr!BI5="."),dir!AM5/((1/1000)*(Irr!M5+Irr!AK5)),IF(AND(Irr!M5&lt;&gt;".",Irr!AK5=".",Irr!BI5&lt;&gt;"."),dir!AM5/((1/1000)*(Irr!M5+Irr!BI5)),IF(AND(Irr!M5=".",Irr!AK5&lt;&gt;".",Irr!BI5&lt;&gt;"."),dir!AM5/((1/1000)*(Irr!AK5+Irr!BI5)),IF(AND(Irr!M5=".",Irr!AK5=".",Irr!BI5&lt;&gt;"."),dir!AM5/((1/1000)*(Irr!BI5)),IF(AND(Irr!M5=".",Irr!AK5&lt;&gt;".",Irr!BI5="."),dir!AM5/((1/1000)*(Irr!AK5)),IF(AND(Irr!M5&lt;&gt;".",Irr!AK5=".",Irr!BI5="."),dir!AM5/((1/1000)*(Irr!M5)),IF(AND(Irr!M5=".",Irr!AK5=".",Irr!BI5="."),dir!AM5*1000)))))))),".")</f>
        <v>.</v>
      </c>
      <c r="AN5" s="76" t="str">
        <f>IFERROR(IF(AND(Irr!N5&lt;&gt;".",Irr!AL5&lt;&gt;".",Irr!BJ5&lt;&gt;"."),dir!AN5/((1/1000)*(Irr!N5+Irr!AL5+Irr!BJ5)),IF(AND(Irr!N5&lt;&gt;".",Irr!AL5&lt;&gt;".",Irr!BJ5="."),dir!AN5/((1/1000)*(Irr!N5+Irr!AL5)),IF(AND(Irr!N5&lt;&gt;".",Irr!AL5=".",Irr!BJ5&lt;&gt;"."),dir!AN5/((1/1000)*(Irr!N5+Irr!BJ5)),IF(AND(Irr!N5=".",Irr!AL5&lt;&gt;".",Irr!BJ5&lt;&gt;"."),dir!AN5/((1/1000)*(Irr!AL5+Irr!BJ5)),IF(AND(Irr!N5=".",Irr!AL5=".",Irr!BJ5&lt;&gt;"."),dir!AN5/((1/1000)*(Irr!BJ5)),IF(AND(Irr!N5=".",Irr!AL5&lt;&gt;".",Irr!BJ5="."),dir!AN5/((1/1000)*(Irr!AL5)),IF(AND(Irr!N5&lt;&gt;".",Irr!AL5=".",Irr!BJ5="."),dir!AN5/((1/1000)*(Irr!N5)),IF(AND(Irr!N5=".",Irr!AL5=".",Irr!BJ5="."),dir!AN5*1000)))))))),".")</f>
        <v>.</v>
      </c>
      <c r="AO5" s="76" t="str">
        <f>IFERROR(IF(AND(Irr!O5&lt;&gt;".",Irr!AM5&lt;&gt;".",Irr!BK5&lt;&gt;"."),dir!AO5/((1/1000)*(Irr!O5+Irr!AM5+Irr!BK5)),IF(AND(Irr!O5&lt;&gt;".",Irr!AM5&lt;&gt;".",Irr!BK5="."),dir!AO5/((1/1000)*(Irr!O5+Irr!AM5)),IF(AND(Irr!O5&lt;&gt;".",Irr!AM5=".",Irr!BK5&lt;&gt;"."),dir!AO5/((1/1000)*(Irr!O5+Irr!BK5)),IF(AND(Irr!O5=".",Irr!AM5&lt;&gt;".",Irr!BK5&lt;&gt;"."),dir!AO5/((1/1000)*(Irr!AM5+Irr!BK5)),IF(AND(Irr!O5=".",Irr!AM5=".",Irr!BK5&lt;&gt;"."),dir!AO5/((1/1000)*(Irr!BK5)),IF(AND(Irr!O5=".",Irr!AM5&lt;&gt;".",Irr!BK5="."),dir!AO5/((1/1000)*(Irr!AM5)),IF(AND(Irr!O5&lt;&gt;".",Irr!AM5=".",Irr!BK5="."),dir!AO5/((1/1000)*(Irr!O5)),IF(AND(Irr!O5=".",Irr!AM5=".",Irr!BK5="."),dir!AO5*1000)))))))),".")</f>
        <v>.</v>
      </c>
      <c r="AP5" s="76" t="str">
        <f>IFERROR(IF(AND(Irr!P5&lt;&gt;".",Irr!AN5&lt;&gt;".",Irr!BL5&lt;&gt;"."),dir!AP5/((1/1000)*(Irr!P5+Irr!AN5+Irr!BL5)),IF(AND(Irr!P5&lt;&gt;".",Irr!AN5&lt;&gt;".",Irr!BL5="."),dir!AP5/((1/1000)*(Irr!P5+Irr!AN5)),IF(AND(Irr!P5&lt;&gt;".",Irr!AN5=".",Irr!BL5&lt;&gt;"."),dir!AP5/((1/1000)*(Irr!P5+Irr!BL5)),IF(AND(Irr!P5=".",Irr!AN5&lt;&gt;".",Irr!BL5&lt;&gt;"."),dir!AP5/((1/1000)*(Irr!AN5+Irr!BL5)),IF(AND(Irr!P5=".",Irr!AN5=".",Irr!BL5&lt;&gt;"."),dir!AP5/((1/1000)*(Irr!BL5)),IF(AND(Irr!P5=".",Irr!AN5&lt;&gt;".",Irr!BL5="."),dir!AP5/((1/1000)*(Irr!AN5)),IF(AND(Irr!P5&lt;&gt;".",Irr!AN5=".",Irr!BL5="."),dir!AP5/((1/1000)*(Irr!P5)),IF(AND(Irr!P5=".",Irr!AN5=".",Irr!BL5="."),dir!AP5*1000)))))))),".")</f>
        <v>.</v>
      </c>
      <c r="AQ5" s="76" t="str">
        <f>IFERROR(IF(AND(Irr!Q5&lt;&gt;".",Irr!AO5&lt;&gt;".",Irr!BM5&lt;&gt;"."),dir!AQ5/((1/1000)*(Irr!Q5+Irr!AO5+Irr!BM5)),IF(AND(Irr!Q5&lt;&gt;".",Irr!AO5&lt;&gt;".",Irr!BM5="."),dir!AQ5/((1/1000)*(Irr!Q5+Irr!AO5)),IF(AND(Irr!Q5&lt;&gt;".",Irr!AO5=".",Irr!BM5&lt;&gt;"."),dir!AQ5/((1/1000)*(Irr!Q5+Irr!BM5)),IF(AND(Irr!Q5=".",Irr!AO5&lt;&gt;".",Irr!BM5&lt;&gt;"."),dir!AQ5/((1/1000)*(Irr!AO5+Irr!BM5)),IF(AND(Irr!Q5=".",Irr!AO5=".",Irr!BM5&lt;&gt;"."),dir!AQ5/((1/1000)*(Irr!BM5)),IF(AND(Irr!Q5=".",Irr!AO5&lt;&gt;".",Irr!BM5="."),dir!AQ5/((1/1000)*(Irr!AO5)),IF(AND(Irr!Q5&lt;&gt;".",Irr!AO5=".",Irr!BM5="."),dir!AQ5/((1/1000)*(Irr!Q5)),IF(AND(Irr!Q5=".",Irr!AO5=".",Irr!BM5="."),dir!AQ5*1000)))))))),".")</f>
        <v>.</v>
      </c>
      <c r="AR5" s="76" t="str">
        <f>IFERROR(IF(AND(Irr!R5&lt;&gt;".",Irr!AP5&lt;&gt;".",Irr!BN5&lt;&gt;"."),dir!AR5/((1/1000)*(Irr!R5+Irr!AP5+Irr!BN5)),IF(AND(Irr!R5&lt;&gt;".",Irr!AP5&lt;&gt;".",Irr!BN5="."),dir!AR5/((1/1000)*(Irr!R5+Irr!AP5)),IF(AND(Irr!R5&lt;&gt;".",Irr!AP5=".",Irr!BN5&lt;&gt;"."),dir!AR5/((1/1000)*(Irr!R5+Irr!BN5)),IF(AND(Irr!R5=".",Irr!AP5&lt;&gt;".",Irr!BN5&lt;&gt;"."),dir!AR5/((1/1000)*(Irr!AP5+Irr!BN5)),IF(AND(Irr!R5=".",Irr!AP5=".",Irr!BN5&lt;&gt;"."),dir!AR5/((1/1000)*(Irr!BN5)),IF(AND(Irr!R5=".",Irr!AP5&lt;&gt;".",Irr!BN5="."),dir!AR5/((1/1000)*(Irr!AP5)),IF(AND(Irr!R5&lt;&gt;".",Irr!AP5=".",Irr!BN5="."),dir!AR5/((1/1000)*(Irr!R5)),IF(AND(Irr!R5=".",Irr!AP5=".",Irr!BN5="."),dir!AR5*1000)))))))),".")</f>
        <v>.</v>
      </c>
      <c r="AS5" s="76" t="str">
        <f>IFERROR(IF(AND(Irr!S5&lt;&gt;".",Irr!AQ5&lt;&gt;".",Irr!BO5&lt;&gt;"."),dir!AS5/((1/1000)*(Irr!S5+Irr!AQ5+Irr!BO5)),IF(AND(Irr!S5&lt;&gt;".",Irr!AQ5&lt;&gt;".",Irr!BO5="."),dir!AS5/((1/1000)*(Irr!S5+Irr!AQ5)),IF(AND(Irr!S5&lt;&gt;".",Irr!AQ5=".",Irr!BO5&lt;&gt;"."),dir!AS5/((1/1000)*(Irr!S5+Irr!BO5)),IF(AND(Irr!S5=".",Irr!AQ5&lt;&gt;".",Irr!BO5&lt;&gt;"."),dir!AS5/((1/1000)*(Irr!AQ5+Irr!BO5)),IF(AND(Irr!S5=".",Irr!AQ5=".",Irr!BO5&lt;&gt;"."),dir!AS5/((1/1000)*(Irr!BO5)),IF(AND(Irr!S5=".",Irr!AQ5&lt;&gt;".",Irr!BO5="."),dir!AS5/((1/1000)*(Irr!AQ5)),IF(AND(Irr!S5&lt;&gt;".",Irr!AQ5=".",Irr!BO5="."),dir!AS5/((1/1000)*(Irr!S5)),IF(AND(Irr!S5=".",Irr!AQ5=".",Irr!BO5="."),dir!AS5*1000)))))))),".")</f>
        <v>.</v>
      </c>
      <c r="AT5" s="76" t="str">
        <f>IFERROR(IF(AND(Irr!T5&lt;&gt;".",Irr!AR5&lt;&gt;".",Irr!BP5&lt;&gt;"."),dir!AT5/((1/1000)*(Irr!T5+Irr!AR5+Irr!BP5)),IF(AND(Irr!T5&lt;&gt;".",Irr!AR5&lt;&gt;".",Irr!BP5="."),dir!AT5/((1/1000)*(Irr!T5+Irr!AR5)),IF(AND(Irr!T5&lt;&gt;".",Irr!AR5=".",Irr!BP5&lt;&gt;"."),dir!AT5/((1/1000)*(Irr!T5+Irr!BP5)),IF(AND(Irr!T5=".",Irr!AR5&lt;&gt;".",Irr!BP5&lt;&gt;"."),dir!AT5/((1/1000)*(Irr!AR5+Irr!BP5)),IF(AND(Irr!T5=".",Irr!AR5=".",Irr!BP5&lt;&gt;"."),dir!AT5/((1/1000)*(Irr!BP5)),IF(AND(Irr!T5=".",Irr!AR5&lt;&gt;".",Irr!BP5="."),dir!AT5/((1/1000)*(Irr!AR5)),IF(AND(Irr!T5&lt;&gt;".",Irr!AR5=".",Irr!BP5="."),dir!AT5/((1/1000)*(Irr!T5)),IF(AND(Irr!T5=".",Irr!AR5=".",Irr!BP5="."),dir!AT5*1000)))))))),".")</f>
        <v>.</v>
      </c>
      <c r="AU5" s="76" t="str">
        <f>IFERROR(IF(AND(Irr!U5&lt;&gt;".",Irr!AS5&lt;&gt;".",Irr!BQ5&lt;&gt;"."),dir!AU5/((1/1000)*(Irr!U5+Irr!AS5+Irr!BQ5)),IF(AND(Irr!U5&lt;&gt;".",Irr!AS5&lt;&gt;".",Irr!BQ5="."),dir!AU5/((1/1000)*(Irr!U5+Irr!AS5)),IF(AND(Irr!U5&lt;&gt;".",Irr!AS5=".",Irr!BQ5&lt;&gt;"."),dir!AU5/((1/1000)*(Irr!U5+Irr!BQ5)),IF(AND(Irr!U5=".",Irr!AS5&lt;&gt;".",Irr!BQ5&lt;&gt;"."),dir!AU5/((1/1000)*(Irr!AS5+Irr!BQ5)),IF(AND(Irr!U5=".",Irr!AS5=".",Irr!BQ5&lt;&gt;"."),dir!AU5/((1/1000)*(Irr!BQ5)),IF(AND(Irr!U5=".",Irr!AS5&lt;&gt;".",Irr!BQ5="."),dir!AU5/((1/1000)*(Irr!AS5)),IF(AND(Irr!U5&lt;&gt;".",Irr!AS5=".",Irr!BQ5="."),dir!AU5/((1/1000)*(Irr!U5)),IF(AND(Irr!U5=".",Irr!AS5=".",Irr!BQ5="."),dir!AU5*1000)))))))),".")</f>
        <v>.</v>
      </c>
      <c r="AV5" s="76" t="str">
        <f>IFERROR(IF(AND(Irr!V5&lt;&gt;".",Irr!AT5&lt;&gt;".",Irr!BR5&lt;&gt;"."),dir!AV5/((1/1000)*(Irr!V5+Irr!AT5+Irr!BR5)),IF(AND(Irr!V5&lt;&gt;".",Irr!AT5&lt;&gt;".",Irr!BR5="."),dir!AV5/((1/1000)*(Irr!V5+Irr!AT5)),IF(AND(Irr!V5&lt;&gt;".",Irr!AT5=".",Irr!BR5&lt;&gt;"."),dir!AV5/((1/1000)*(Irr!V5+Irr!BR5)),IF(AND(Irr!V5=".",Irr!AT5&lt;&gt;".",Irr!BR5&lt;&gt;"."),dir!AV5/((1/1000)*(Irr!AT5+Irr!BR5)),IF(AND(Irr!V5=".",Irr!AT5=".",Irr!BR5&lt;&gt;"."),dir!AV5/((1/1000)*(Irr!BR5)),IF(AND(Irr!V5=".",Irr!AT5&lt;&gt;".",Irr!BR5="."),dir!AV5/((1/1000)*(Irr!AT5)),IF(AND(Irr!V5&lt;&gt;".",Irr!AT5=".",Irr!BR5="."),dir!AV5/((1/1000)*(Irr!V5)),IF(AND(Irr!V5=".",Irr!AT5=".",Irr!BR5="."),dir!AV5*1000)))))))),".")</f>
        <v>.</v>
      </c>
      <c r="AW5" s="76" t="str">
        <f>IFERROR(IF(AND(Irr!W5&lt;&gt;".",Irr!AU5&lt;&gt;".",Irr!BS5&lt;&gt;"."),dir!AW5/((1/1000)*(Irr!W5+Irr!AU5+Irr!BS5)),IF(AND(Irr!W5&lt;&gt;".",Irr!AU5&lt;&gt;".",Irr!BS5="."),dir!AW5/((1/1000)*(Irr!W5+Irr!AU5)),IF(AND(Irr!W5&lt;&gt;".",Irr!AU5=".",Irr!BS5&lt;&gt;"."),dir!AW5/((1/1000)*(Irr!W5+Irr!BS5)),IF(AND(Irr!W5=".",Irr!AU5&lt;&gt;".",Irr!BS5&lt;&gt;"."),dir!AW5/((1/1000)*(Irr!AU5+Irr!BS5)),IF(AND(Irr!W5=".",Irr!AU5=".",Irr!BS5&lt;&gt;"."),dir!AW5/((1/1000)*(Irr!BS5)),IF(AND(Irr!W5=".",Irr!AU5&lt;&gt;".",Irr!BS5="."),dir!AW5/((1/1000)*(Irr!AU5)),IF(AND(Irr!W5&lt;&gt;".",Irr!AU5=".",Irr!BS5="."),dir!AW5/((1/1000)*(Irr!W5)),IF(AND(Irr!W5=".",Irr!AU5=".",Irr!BS5="."),dir!AW5*1000)))))))),".")</f>
        <v>.</v>
      </c>
      <c r="AX5" s="76" t="str">
        <f>IFERROR(IF(AND(Irr!X5&lt;&gt;".",Irr!AV5&lt;&gt;".",Irr!BT5&lt;&gt;"."),dir!AX5/((1/1000)*(Irr!X5+Irr!AV5+Irr!BT5)),IF(AND(Irr!X5&lt;&gt;".",Irr!AV5&lt;&gt;".",Irr!BT5="."),dir!AX5/((1/1000)*(Irr!X5+Irr!AV5)),IF(AND(Irr!X5&lt;&gt;".",Irr!AV5=".",Irr!BT5&lt;&gt;"."),dir!AX5/((1/1000)*(Irr!X5+Irr!BT5)),IF(AND(Irr!X5=".",Irr!AV5&lt;&gt;".",Irr!BT5&lt;&gt;"."),dir!AX5/((1/1000)*(Irr!AV5+Irr!BT5)),IF(AND(Irr!X5=".",Irr!AV5=".",Irr!BT5&lt;&gt;"."),dir!AX5/((1/1000)*(Irr!BT5)),IF(AND(Irr!X5=".",Irr!AV5&lt;&gt;".",Irr!BT5="."),dir!AX5/((1/1000)*(Irr!AV5)),IF(AND(Irr!X5&lt;&gt;".",Irr!AV5=".",Irr!BT5="."),dir!AX5/((1/1000)*(Irr!X5)),IF(AND(Irr!X5=".",Irr!AV5=".",Irr!BT5="."),dir!AX5*1000)))))))),".")</f>
        <v>.</v>
      </c>
      <c r="AY5" s="76" t="str">
        <f>IFERROR(IF(AND(Irr!Y5&lt;&gt;".",Irr!AW5&lt;&gt;".",Irr!BU5&lt;&gt;"."),dir!AY5/((1/1000)*(Irr!Y5+Irr!AW5+Irr!BU5)),IF(AND(Irr!Y5&lt;&gt;".",Irr!AW5&lt;&gt;".",Irr!BU5="."),dir!AY5/((1/1000)*(Irr!Y5+Irr!AW5)),IF(AND(Irr!Y5&lt;&gt;".",Irr!AW5=".",Irr!BU5&lt;&gt;"."),dir!AY5/((1/1000)*(Irr!Y5+Irr!BU5)),IF(AND(Irr!Y5=".",Irr!AW5&lt;&gt;".",Irr!BU5&lt;&gt;"."),dir!AY5/((1/1000)*(Irr!AW5+Irr!BU5)),IF(AND(Irr!Y5=".",Irr!AW5=".",Irr!BU5&lt;&gt;"."),dir!AY5/((1/1000)*(Irr!BU5)),IF(AND(Irr!Y5=".",Irr!AW5&lt;&gt;".",Irr!BU5="."),dir!AY5/((1/1000)*(Irr!AW5)),IF(AND(Irr!Y5&lt;&gt;".",Irr!AW5=".",Irr!BU5="."),dir!AY5/((1/1000)*(Irr!Y5)),IF(AND(Irr!Y5=".",Irr!AW5=".",Irr!BU5="."),dir!AY5*1000)))))))),".")</f>
        <v>.</v>
      </c>
      <c r="AZ5" s="76" t="str">
        <f>IFERROR(IF(AND(Irr!Z5&lt;&gt;".",Irr!AX5&lt;&gt;".",Irr!BV5&lt;&gt;"."),dir!AZ5/((1/1000)*(Irr!Z5+Irr!AX5+Irr!BV5)),IF(AND(Irr!Z5&lt;&gt;".",Irr!AX5&lt;&gt;".",Irr!BV5="."),dir!AZ5/((1/1000)*(Irr!Z5+Irr!AX5)),IF(AND(Irr!Z5&lt;&gt;".",Irr!AX5=".",Irr!BV5&lt;&gt;"."),dir!AZ5/((1/1000)*(Irr!Z5+Irr!BV5)),IF(AND(Irr!Z5=".",Irr!AX5&lt;&gt;".",Irr!BV5&lt;&gt;"."),dir!AZ5/((1/1000)*(Irr!AX5+Irr!BV5)),IF(AND(Irr!Z5=".",Irr!AX5=".",Irr!BV5&lt;&gt;"."),dir!AZ5/((1/1000)*(Irr!BV5)),IF(AND(Irr!Z5=".",Irr!AX5&lt;&gt;".",Irr!BV5="."),dir!AZ5/((1/1000)*(Irr!AX5)),IF(AND(Irr!Z5&lt;&gt;".",Irr!AX5=".",Irr!BV5="."),dir!AZ5/((1/1000)*(Irr!Z5)),IF(AND(Irr!Z5=".",Irr!AX5=".",Irr!BV5="."),dir!AZ5*1000)))))))),".")</f>
        <v>.</v>
      </c>
    </row>
    <row r="6" spans="1:52" ht="15" customHeight="1" x14ac:dyDescent="0.25">
      <c r="A6" s="92" t="s">
        <v>16</v>
      </c>
      <c r="B6" s="90" t="s">
        <v>1074</v>
      </c>
      <c r="C6" s="76" t="str">
        <f t="shared" ref="C6:C9" si="4">IFERROR(1/SUM(1/D6,1/E6,1/F6,1/G6,1/H6,1/I6,1/J6,1/K6,1/L6,1/M6,1/N6,1/O6,1/P6,1/Q6,1/R6,1/S6,1/T6,1/U6,1/V6,1/W6,1/X6,1/Y6),".")</f>
        <v>.</v>
      </c>
      <c r="D6" s="76" t="str">
        <f>IFERROR(IF(AND(Irr!C6&lt;&gt;".",Irr!AA6&lt;&gt;".",Irr!AY6&lt;&gt;"."),dir!D6/((1/1000)*(Irr!C6+Irr!AA6+Irr!AY6)),IF(AND(Irr!C6&lt;&gt;".",Irr!AA6&lt;&gt;".",Irr!AY6="."),dir!D6/((1/1000)*(Irr!C6+Irr!AA6)),IF(AND(Irr!C6&lt;&gt;".",Irr!AA6=".",Irr!AY6&lt;&gt;"."),dir!D6/((1/1000)*(Irr!C6+Irr!AY6)),IF(AND(Irr!C6=".",Irr!AA6&lt;&gt;".",Irr!AY6&lt;&gt;"."),dir!D6/((1/1000)*(Irr!AA6+Irr!AY6)),IF(AND(Irr!C6=".",Irr!AA6=".",Irr!AY6&lt;&gt;"."),dir!D6/((1/1000)*(Irr!AY6)),IF(AND(Irr!C6=".",Irr!AA6&lt;&gt;".",Irr!AY6="."),dir!D6/((1/1000)*(Irr!AA6)),IF(AND(Irr!C6&lt;&gt;".",Irr!AA6=".",Irr!AY6="."),dir!D6/((1/1000)*(Irr!C6)),IF(AND(Irr!C6=".",Irr!AA6=".",Irr!AY6="."),dir!D6*1000)))))))),".")</f>
        <v>.</v>
      </c>
      <c r="E6" s="76" t="str">
        <f>IFERROR(IF(AND(Irr!D6&lt;&gt;".",Irr!AB6&lt;&gt;".",Irr!AZ6&lt;&gt;"."),dir!E6/((1/1000)*(Irr!D6+Irr!AB6+Irr!AZ6)),IF(AND(Irr!D6&lt;&gt;".",Irr!AB6&lt;&gt;".",Irr!AZ6="."),dir!E6/((1/1000)*(Irr!D6+Irr!AB6)),IF(AND(Irr!D6&lt;&gt;".",Irr!AB6=".",Irr!AZ6&lt;&gt;"."),dir!E6/((1/1000)*(Irr!D6+Irr!AZ6)),IF(AND(Irr!D6=".",Irr!AB6&lt;&gt;".",Irr!AZ6&lt;&gt;"."),dir!E6/((1/1000)*(Irr!AB6+Irr!AZ6)),IF(AND(Irr!D6=".",Irr!AB6=".",Irr!AZ6&lt;&gt;"."),dir!E6/((1/1000)*(Irr!AZ6)),IF(AND(Irr!D6=".",Irr!AB6&lt;&gt;".",Irr!AZ6="."),dir!E6/((1/1000)*(Irr!AB6)),IF(AND(Irr!D6&lt;&gt;".",Irr!AB6=".",Irr!AZ6="."),dir!E6/((1/1000)*(Irr!D6)),IF(AND(Irr!D6=".",Irr!AB6=".",Irr!AZ6="."),dir!E6*1000)))))))),".")</f>
        <v>.</v>
      </c>
      <c r="F6" s="76" t="str">
        <f>IFERROR(IF(AND(Irr!E6&lt;&gt;".",Irr!AC6&lt;&gt;".",Irr!BA6&lt;&gt;"."),dir!F6/((1/1000)*(Irr!E6+Irr!AC6+Irr!BA6)),IF(AND(Irr!E6&lt;&gt;".",Irr!AC6&lt;&gt;".",Irr!BA6="."),dir!F6/((1/1000)*(Irr!E6+Irr!AC6)),IF(AND(Irr!E6&lt;&gt;".",Irr!AC6=".",Irr!BA6&lt;&gt;"."),dir!F6/((1/1000)*(Irr!E6+Irr!BA6)),IF(AND(Irr!E6=".",Irr!AC6&lt;&gt;".",Irr!BA6&lt;&gt;"."),dir!F6/((1/1000)*(Irr!AC6+Irr!BA6)),IF(AND(Irr!E6=".",Irr!AC6=".",Irr!BA6&lt;&gt;"."),dir!F6/((1/1000)*(Irr!BA6)),IF(AND(Irr!E6=".",Irr!AC6&lt;&gt;".",Irr!BA6="."),dir!F6/((1/1000)*(Irr!AC6)),IF(AND(Irr!E6&lt;&gt;".",Irr!AC6=".",Irr!BA6="."),dir!F6/((1/1000)*(Irr!E6)),IF(AND(Irr!E6=".",Irr!AC6=".",Irr!BA6="."),dir!F6*1000)))))))),".")</f>
        <v>.</v>
      </c>
      <c r="G6" s="76" t="str">
        <f>IFERROR(IF(AND(Irr!F6&lt;&gt;".",Irr!AD6&lt;&gt;".",Irr!BB6&lt;&gt;"."),dir!G6/((1/1000)*(Irr!F6+Irr!AD6+Irr!BB6)),IF(AND(Irr!F6&lt;&gt;".",Irr!AD6&lt;&gt;".",Irr!BB6="."),dir!G6/((1/1000)*(Irr!F6+Irr!AD6)),IF(AND(Irr!F6&lt;&gt;".",Irr!AD6=".",Irr!BB6&lt;&gt;"."),dir!G6/((1/1000)*(Irr!F6+Irr!BB6)),IF(AND(Irr!F6=".",Irr!AD6&lt;&gt;".",Irr!BB6&lt;&gt;"."),dir!G6/((1/1000)*(Irr!AD6+Irr!BB6)),IF(AND(Irr!F6=".",Irr!AD6=".",Irr!BB6&lt;&gt;"."),dir!G6/((1/1000)*(Irr!BB6)),IF(AND(Irr!F6=".",Irr!AD6&lt;&gt;".",Irr!BB6="."),dir!G6/((1/1000)*(Irr!AD6)),IF(AND(Irr!F6&lt;&gt;".",Irr!AD6=".",Irr!BB6="."),dir!G6/((1/1000)*(Irr!F6)),IF(AND(Irr!F6=".",Irr!AD6=".",Irr!BB6="."),dir!G6*1000)))))))),".")</f>
        <v>.</v>
      </c>
      <c r="H6" s="76" t="str">
        <f>IFERROR(IF(AND(Irr!G6&lt;&gt;".",Irr!AE6&lt;&gt;".",Irr!BC6&lt;&gt;"."),dir!H6/((1/1000)*(Irr!G6+Irr!AE6+Irr!BC6)),IF(AND(Irr!G6&lt;&gt;".",Irr!AE6&lt;&gt;".",Irr!BC6="."),dir!H6/((1/1000)*(Irr!G6+Irr!AE6)),IF(AND(Irr!G6&lt;&gt;".",Irr!AE6=".",Irr!BC6&lt;&gt;"."),dir!H6/((1/1000)*(Irr!G6+Irr!BC6)),IF(AND(Irr!G6=".",Irr!AE6&lt;&gt;".",Irr!BC6&lt;&gt;"."),dir!H6/((1/1000)*(Irr!AE6+Irr!BC6)),IF(AND(Irr!G6=".",Irr!AE6=".",Irr!BC6&lt;&gt;"."),dir!H6/((1/1000)*(Irr!BC6)),IF(AND(Irr!G6=".",Irr!AE6&lt;&gt;".",Irr!BC6="."),dir!H6/((1/1000)*(Irr!AE6)),IF(AND(Irr!G6&lt;&gt;".",Irr!AE6=".",Irr!BC6="."),dir!H6/((1/1000)*(Irr!G6)),IF(AND(Irr!G6=".",Irr!AE6=".",Irr!BC6="."),dir!H6*1000)))))))),".")</f>
        <v>.</v>
      </c>
      <c r="I6" s="76" t="str">
        <f>IFERROR(IF(AND(Irr!H6&lt;&gt;".",Irr!AF6&lt;&gt;".",Irr!BD6&lt;&gt;"."),dir!I6/((1/1000)*(Irr!H6+Irr!AF6+Irr!BD6)),IF(AND(Irr!H6&lt;&gt;".",Irr!AF6&lt;&gt;".",Irr!BD6="."),dir!I6/((1/1000)*(Irr!H6+Irr!AF6)),IF(AND(Irr!H6&lt;&gt;".",Irr!AF6=".",Irr!BD6&lt;&gt;"."),dir!I6/((1/1000)*(Irr!H6+Irr!BD6)),IF(AND(Irr!H6=".",Irr!AF6&lt;&gt;".",Irr!BD6&lt;&gt;"."),dir!I6/((1/1000)*(Irr!AF6+Irr!BD6)),IF(AND(Irr!H6=".",Irr!AF6=".",Irr!BD6&lt;&gt;"."),dir!I6/((1/1000)*(Irr!BD6)),IF(AND(Irr!H6=".",Irr!AF6&lt;&gt;".",Irr!BD6="."),dir!I6/((1/1000)*(Irr!AF6)),IF(AND(Irr!H6&lt;&gt;".",Irr!AF6=".",Irr!BD6="."),dir!I6/((1/1000)*(Irr!H6)),IF(AND(Irr!H6=".",Irr!AF6=".",Irr!BD6="."),dir!I6*1000)))))))),".")</f>
        <v>.</v>
      </c>
      <c r="J6" s="76" t="str">
        <f>IFERROR(IF(AND(Irr!I6&lt;&gt;".",Irr!AG6&lt;&gt;".",Irr!BE6&lt;&gt;"."),dir!J6/((1/1000)*(Irr!I6+Irr!AG6+Irr!BE6)),IF(AND(Irr!I6&lt;&gt;".",Irr!AG6&lt;&gt;".",Irr!BE6="."),dir!J6/((1/1000)*(Irr!I6+Irr!AG6)),IF(AND(Irr!I6&lt;&gt;".",Irr!AG6=".",Irr!BE6&lt;&gt;"."),dir!J6/((1/1000)*(Irr!I6+Irr!BE6)),IF(AND(Irr!I6=".",Irr!AG6&lt;&gt;".",Irr!BE6&lt;&gt;"."),dir!J6/((1/1000)*(Irr!AG6+Irr!BE6)),IF(AND(Irr!I6=".",Irr!AG6=".",Irr!BE6&lt;&gt;"."),dir!J6/((1/1000)*(Irr!BE6)),IF(AND(Irr!I6=".",Irr!AG6&lt;&gt;".",Irr!BE6="."),dir!J6/((1/1000)*(Irr!AG6)),IF(AND(Irr!I6&lt;&gt;".",Irr!AG6=".",Irr!BE6="."),dir!J6/((1/1000)*(Irr!I6)),IF(AND(Irr!I6=".",Irr!AG6=".",Irr!BE6="."),dir!J6*1000)))))))),".")</f>
        <v>.</v>
      </c>
      <c r="K6" s="76" t="str">
        <f>IFERROR(IF(AND(Irr!J6&lt;&gt;".",Irr!AH6&lt;&gt;".",Irr!BF6&lt;&gt;"."),dir!K6/((1/1000)*(Irr!J6+Irr!AH6+Irr!BF6)),IF(AND(Irr!J6&lt;&gt;".",Irr!AH6&lt;&gt;".",Irr!BF6="."),dir!K6/((1/1000)*(Irr!J6+Irr!AH6)),IF(AND(Irr!J6&lt;&gt;".",Irr!AH6=".",Irr!BF6&lt;&gt;"."),dir!K6/((1/1000)*(Irr!J6+Irr!BF6)),IF(AND(Irr!J6=".",Irr!AH6&lt;&gt;".",Irr!BF6&lt;&gt;"."),dir!K6/((1/1000)*(Irr!AH6+Irr!BF6)),IF(AND(Irr!J6=".",Irr!AH6=".",Irr!BF6&lt;&gt;"."),dir!K6/((1/1000)*(Irr!BF6)),IF(AND(Irr!J6=".",Irr!AH6&lt;&gt;".",Irr!BF6="."),dir!K6/((1/1000)*(Irr!AH6)),IF(AND(Irr!J6&lt;&gt;".",Irr!AH6=".",Irr!BF6="."),dir!K6/((1/1000)*(Irr!J6)),IF(AND(Irr!J6=".",Irr!AH6=".",Irr!BF6="."),dir!K6*1000)))))))),".")</f>
        <v>.</v>
      </c>
      <c r="L6" s="76" t="str">
        <f>IFERROR(IF(AND(Irr!K6&lt;&gt;".",Irr!AI6&lt;&gt;".",Irr!BG6&lt;&gt;"."),dir!L6/((1/1000)*(Irr!K6+Irr!AI6+Irr!BG6)),IF(AND(Irr!K6&lt;&gt;".",Irr!AI6&lt;&gt;".",Irr!BG6="."),dir!L6/((1/1000)*(Irr!K6+Irr!AI6)),IF(AND(Irr!K6&lt;&gt;".",Irr!AI6=".",Irr!BG6&lt;&gt;"."),dir!L6/((1/1000)*(Irr!K6+Irr!BG6)),IF(AND(Irr!K6=".",Irr!AI6&lt;&gt;".",Irr!BG6&lt;&gt;"."),dir!L6/((1/1000)*(Irr!AI6+Irr!BG6)),IF(AND(Irr!K6=".",Irr!AI6=".",Irr!BG6&lt;&gt;"."),dir!L6/((1/1000)*(Irr!BG6)),IF(AND(Irr!K6=".",Irr!AI6&lt;&gt;".",Irr!BG6="."),dir!L6/((1/1000)*(Irr!AI6)),IF(AND(Irr!K6&lt;&gt;".",Irr!AI6=".",Irr!BG6="."),dir!L6/((1/1000)*(Irr!K6)),IF(AND(Irr!K6=".",Irr!AI6=".",Irr!BG6="."),dir!L6*1000)))))))),".")</f>
        <v>.</v>
      </c>
      <c r="M6" s="76" t="str">
        <f>IFERROR(IF(AND(Irr!L6&lt;&gt;".",Irr!AJ6&lt;&gt;".",Irr!BH6&lt;&gt;"."),dir!M6/((1/1000)*(Irr!L6+Irr!AJ6+Irr!BH6)),IF(AND(Irr!L6&lt;&gt;".",Irr!AJ6&lt;&gt;".",Irr!BH6="."),dir!M6/((1/1000)*(Irr!L6+Irr!AJ6)),IF(AND(Irr!L6&lt;&gt;".",Irr!AJ6=".",Irr!BH6&lt;&gt;"."),dir!M6/((1/1000)*(Irr!L6+Irr!BH6)),IF(AND(Irr!L6=".",Irr!AJ6&lt;&gt;".",Irr!BH6&lt;&gt;"."),dir!M6/((1/1000)*(Irr!AJ6+Irr!BH6)),IF(AND(Irr!L6=".",Irr!AJ6=".",Irr!BH6&lt;&gt;"."),dir!M6/((1/1000)*(Irr!BH6)),IF(AND(Irr!L6=".",Irr!AJ6&lt;&gt;".",Irr!BH6="."),dir!M6/((1/1000)*(Irr!AJ6)),IF(AND(Irr!L6&lt;&gt;".",Irr!AJ6=".",Irr!BH6="."),dir!M6/((1/1000)*(Irr!L6)),IF(AND(Irr!L6=".",Irr!AJ6=".",Irr!BH6="."),dir!M6*1000)))))))),".")</f>
        <v>.</v>
      </c>
      <c r="N6" s="76" t="str">
        <f>IFERROR(IF(AND(Irr!M6&lt;&gt;".",Irr!AK6&lt;&gt;".",Irr!BI6&lt;&gt;"."),dir!N6/((1/1000)*(Irr!M6+Irr!AK6+Irr!BI6)),IF(AND(Irr!M6&lt;&gt;".",Irr!AK6&lt;&gt;".",Irr!BI6="."),dir!N6/((1/1000)*(Irr!M6+Irr!AK6)),IF(AND(Irr!M6&lt;&gt;".",Irr!AK6=".",Irr!BI6&lt;&gt;"."),dir!N6/((1/1000)*(Irr!M6+Irr!BI6)),IF(AND(Irr!M6=".",Irr!AK6&lt;&gt;".",Irr!BI6&lt;&gt;"."),dir!N6/((1/1000)*(Irr!AK6+Irr!BI6)),IF(AND(Irr!M6=".",Irr!AK6=".",Irr!BI6&lt;&gt;"."),dir!N6/((1/1000)*(Irr!BI6)),IF(AND(Irr!M6=".",Irr!AK6&lt;&gt;".",Irr!BI6="."),dir!N6/((1/1000)*(Irr!AK6)),IF(AND(Irr!M6&lt;&gt;".",Irr!AK6=".",Irr!BI6="."),dir!N6/((1/1000)*(Irr!M6)),IF(AND(Irr!M6=".",Irr!AK6=".",Irr!BI6="."),dir!N6*1000)))))))),".")</f>
        <v>.</v>
      </c>
      <c r="O6" s="76" t="str">
        <f>IFERROR(IF(AND(Irr!N6&lt;&gt;".",Irr!AL6&lt;&gt;".",Irr!BJ6&lt;&gt;"."),dir!O6/((1/1000)*(Irr!N6+Irr!AL6+Irr!BJ6)),IF(AND(Irr!N6&lt;&gt;".",Irr!AL6&lt;&gt;".",Irr!BJ6="."),dir!O6/((1/1000)*(Irr!N6+Irr!AL6)),IF(AND(Irr!N6&lt;&gt;".",Irr!AL6=".",Irr!BJ6&lt;&gt;"."),dir!O6/((1/1000)*(Irr!N6+Irr!BJ6)),IF(AND(Irr!N6=".",Irr!AL6&lt;&gt;".",Irr!BJ6&lt;&gt;"."),dir!O6/((1/1000)*(Irr!AL6+Irr!BJ6)),IF(AND(Irr!N6=".",Irr!AL6=".",Irr!BJ6&lt;&gt;"."),dir!O6/((1/1000)*(Irr!BJ6)),IF(AND(Irr!N6=".",Irr!AL6&lt;&gt;".",Irr!BJ6="."),dir!O6/((1/1000)*(Irr!AL6)),IF(AND(Irr!N6&lt;&gt;".",Irr!AL6=".",Irr!BJ6="."),dir!O6/((1/1000)*(Irr!N6)),IF(AND(Irr!N6=".",Irr!AL6=".",Irr!BJ6="."),dir!O6*1000)))))))),".")</f>
        <v>.</v>
      </c>
      <c r="P6" s="76" t="str">
        <f>IFERROR(IF(AND(Irr!O6&lt;&gt;".",Irr!AM6&lt;&gt;".",Irr!BK6&lt;&gt;"."),dir!P6/((1/1000)*(Irr!O6+Irr!AM6+Irr!BK6)),IF(AND(Irr!O6&lt;&gt;".",Irr!AM6&lt;&gt;".",Irr!BK6="."),dir!P6/((1/1000)*(Irr!O6+Irr!AM6)),IF(AND(Irr!O6&lt;&gt;".",Irr!AM6=".",Irr!BK6&lt;&gt;"."),dir!P6/((1/1000)*(Irr!O6+Irr!BK6)),IF(AND(Irr!O6=".",Irr!AM6&lt;&gt;".",Irr!BK6&lt;&gt;"."),dir!P6/((1/1000)*(Irr!AM6+Irr!BK6)),IF(AND(Irr!O6=".",Irr!AM6=".",Irr!BK6&lt;&gt;"."),dir!P6/((1/1000)*(Irr!BK6)),IF(AND(Irr!O6=".",Irr!AM6&lt;&gt;".",Irr!BK6="."),dir!P6/((1/1000)*(Irr!AM6)),IF(AND(Irr!O6&lt;&gt;".",Irr!AM6=".",Irr!BK6="."),dir!P6/((1/1000)*(Irr!O6)),IF(AND(Irr!O6=".",Irr!AM6=".",Irr!BK6="."),dir!P6*1000)))))))),".")</f>
        <v>.</v>
      </c>
      <c r="Q6" s="76" t="str">
        <f>IFERROR(IF(AND(Irr!P6&lt;&gt;".",Irr!AN6&lt;&gt;".",Irr!BL6&lt;&gt;"."),dir!Q6/((1/1000)*(Irr!P6+Irr!AN6+Irr!BL6)),IF(AND(Irr!P6&lt;&gt;".",Irr!AN6&lt;&gt;".",Irr!BL6="."),dir!Q6/((1/1000)*(Irr!P6+Irr!AN6)),IF(AND(Irr!P6&lt;&gt;".",Irr!AN6=".",Irr!BL6&lt;&gt;"."),dir!Q6/((1/1000)*(Irr!P6+Irr!BL6)),IF(AND(Irr!P6=".",Irr!AN6&lt;&gt;".",Irr!BL6&lt;&gt;"."),dir!Q6/((1/1000)*(Irr!AN6+Irr!BL6)),IF(AND(Irr!P6=".",Irr!AN6=".",Irr!BL6&lt;&gt;"."),dir!Q6/((1/1000)*(Irr!BL6)),IF(AND(Irr!P6=".",Irr!AN6&lt;&gt;".",Irr!BL6="."),dir!Q6/((1/1000)*(Irr!AN6)),IF(AND(Irr!P6&lt;&gt;".",Irr!AN6=".",Irr!BL6="."),dir!Q6/((1/1000)*(Irr!P6)),IF(AND(Irr!P6=".",Irr!AN6=".",Irr!BL6="."),dir!Q6*1000)))))))),".")</f>
        <v>.</v>
      </c>
      <c r="R6" s="76" t="str">
        <f>IFERROR(IF(AND(Irr!Q6&lt;&gt;".",Irr!AO6&lt;&gt;".",Irr!BM6&lt;&gt;"."),dir!R6/((1/1000)*(Irr!Q6+Irr!AO6+Irr!BM6)),IF(AND(Irr!Q6&lt;&gt;".",Irr!AO6&lt;&gt;".",Irr!BM6="."),dir!R6/((1/1000)*(Irr!Q6+Irr!AO6)),IF(AND(Irr!Q6&lt;&gt;".",Irr!AO6=".",Irr!BM6&lt;&gt;"."),dir!R6/((1/1000)*(Irr!Q6+Irr!BM6)),IF(AND(Irr!Q6=".",Irr!AO6&lt;&gt;".",Irr!BM6&lt;&gt;"."),dir!R6/((1/1000)*(Irr!AO6+Irr!BM6)),IF(AND(Irr!Q6=".",Irr!AO6=".",Irr!BM6&lt;&gt;"."),dir!R6/((1/1000)*(Irr!BM6)),IF(AND(Irr!Q6=".",Irr!AO6&lt;&gt;".",Irr!BM6="."),dir!R6/((1/1000)*(Irr!AO6)),IF(AND(Irr!Q6&lt;&gt;".",Irr!AO6=".",Irr!BM6="."),dir!R6/((1/1000)*(Irr!Q6)),IF(AND(Irr!Q6=".",Irr!AO6=".",Irr!BM6="."),dir!R6*1000)))))))),".")</f>
        <v>.</v>
      </c>
      <c r="S6" s="76" t="str">
        <f>IFERROR(IF(AND(Irr!R6&lt;&gt;".",Irr!AP6&lt;&gt;".",Irr!BN6&lt;&gt;"."),dir!S6/((1/1000)*(Irr!R6+Irr!AP6+Irr!BN6)),IF(AND(Irr!R6&lt;&gt;".",Irr!AP6&lt;&gt;".",Irr!BN6="."),dir!S6/((1/1000)*(Irr!R6+Irr!AP6)),IF(AND(Irr!R6&lt;&gt;".",Irr!AP6=".",Irr!BN6&lt;&gt;"."),dir!S6/((1/1000)*(Irr!R6+Irr!BN6)),IF(AND(Irr!R6=".",Irr!AP6&lt;&gt;".",Irr!BN6&lt;&gt;"."),dir!S6/((1/1000)*(Irr!AP6+Irr!BN6)),IF(AND(Irr!R6=".",Irr!AP6=".",Irr!BN6&lt;&gt;"."),dir!S6/((1/1000)*(Irr!BN6)),IF(AND(Irr!R6=".",Irr!AP6&lt;&gt;".",Irr!BN6="."),dir!S6/((1/1000)*(Irr!AP6)),IF(AND(Irr!R6&lt;&gt;".",Irr!AP6=".",Irr!BN6="."),dir!S6/((1/1000)*(Irr!R6)),IF(AND(Irr!R6=".",Irr!AP6=".",Irr!BN6="."),dir!S6*1000)))))))),".")</f>
        <v>.</v>
      </c>
      <c r="T6" s="76" t="str">
        <f>IFERROR(IF(AND(Irr!S6&lt;&gt;".",Irr!AQ6&lt;&gt;".",Irr!BO6&lt;&gt;"."),dir!T6/((1/1000)*(Irr!S6+Irr!AQ6+Irr!BO6)),IF(AND(Irr!S6&lt;&gt;".",Irr!AQ6&lt;&gt;".",Irr!BO6="."),dir!T6/((1/1000)*(Irr!S6+Irr!AQ6)),IF(AND(Irr!S6&lt;&gt;".",Irr!AQ6=".",Irr!BO6&lt;&gt;"."),dir!T6/((1/1000)*(Irr!S6+Irr!BO6)),IF(AND(Irr!S6=".",Irr!AQ6&lt;&gt;".",Irr!BO6&lt;&gt;"."),dir!T6/((1/1000)*(Irr!AQ6+Irr!BO6)),IF(AND(Irr!S6=".",Irr!AQ6=".",Irr!BO6&lt;&gt;"."),dir!T6/((1/1000)*(Irr!BO6)),IF(AND(Irr!S6=".",Irr!AQ6&lt;&gt;".",Irr!BO6="."),dir!T6/((1/1000)*(Irr!AQ6)),IF(AND(Irr!S6&lt;&gt;".",Irr!AQ6=".",Irr!BO6="."),dir!T6/((1/1000)*(Irr!S6)),IF(AND(Irr!S6=".",Irr!AQ6=".",Irr!BO6="."),dir!T6*1000)))))))),".")</f>
        <v>.</v>
      </c>
      <c r="U6" s="76" t="str">
        <f>IFERROR(IF(AND(Irr!T6&lt;&gt;".",Irr!AR6&lt;&gt;".",Irr!BP6&lt;&gt;"."),dir!U6/((1/1000)*(Irr!T6+Irr!AR6+Irr!BP6)),IF(AND(Irr!T6&lt;&gt;".",Irr!AR6&lt;&gt;".",Irr!BP6="."),dir!U6/((1/1000)*(Irr!T6+Irr!AR6)),IF(AND(Irr!T6&lt;&gt;".",Irr!AR6=".",Irr!BP6&lt;&gt;"."),dir!U6/((1/1000)*(Irr!T6+Irr!BP6)),IF(AND(Irr!T6=".",Irr!AR6&lt;&gt;".",Irr!BP6&lt;&gt;"."),dir!U6/((1/1000)*(Irr!AR6+Irr!BP6)),IF(AND(Irr!T6=".",Irr!AR6=".",Irr!BP6&lt;&gt;"."),dir!U6/((1/1000)*(Irr!BP6)),IF(AND(Irr!T6=".",Irr!AR6&lt;&gt;".",Irr!BP6="."),dir!U6/((1/1000)*(Irr!AR6)),IF(AND(Irr!T6&lt;&gt;".",Irr!AR6=".",Irr!BP6="."),dir!U6/((1/1000)*(Irr!T6)),IF(AND(Irr!T6=".",Irr!AR6=".",Irr!BP6="."),dir!U6*1000)))))))),".")</f>
        <v>.</v>
      </c>
      <c r="V6" s="76" t="str">
        <f>IFERROR(IF(AND(Irr!U6&lt;&gt;".",Irr!AS6&lt;&gt;".",Irr!BQ6&lt;&gt;"."),dir!V6/((1/1000)*(Irr!U6+Irr!AS6+Irr!BQ6)),IF(AND(Irr!U6&lt;&gt;".",Irr!AS6&lt;&gt;".",Irr!BQ6="."),dir!V6/((1/1000)*(Irr!U6+Irr!AS6)),IF(AND(Irr!U6&lt;&gt;".",Irr!AS6=".",Irr!BQ6&lt;&gt;"."),dir!V6/((1/1000)*(Irr!U6+Irr!BQ6)),IF(AND(Irr!U6=".",Irr!AS6&lt;&gt;".",Irr!BQ6&lt;&gt;"."),dir!V6/((1/1000)*(Irr!AS6+Irr!BQ6)),IF(AND(Irr!U6=".",Irr!AS6=".",Irr!BQ6&lt;&gt;"."),dir!V6/((1/1000)*(Irr!BQ6)),IF(AND(Irr!U6=".",Irr!AS6&lt;&gt;".",Irr!BQ6="."),dir!V6/((1/1000)*(Irr!AS6)),IF(AND(Irr!U6&lt;&gt;".",Irr!AS6=".",Irr!BQ6="."),dir!V6/((1/1000)*(Irr!U6)),IF(AND(Irr!U6=".",Irr!AS6=".",Irr!BQ6="."),dir!V6*1000)))))))),".")</f>
        <v>.</v>
      </c>
      <c r="W6" s="76" t="str">
        <f>IFERROR(IF(AND(Irr!V6&lt;&gt;".",Irr!AT6&lt;&gt;".",Irr!BR6&lt;&gt;"."),dir!W6/((1/1000)*(Irr!V6+Irr!AT6+Irr!BR6)),IF(AND(Irr!V6&lt;&gt;".",Irr!AT6&lt;&gt;".",Irr!BR6="."),dir!W6/((1/1000)*(Irr!V6+Irr!AT6)),IF(AND(Irr!V6&lt;&gt;".",Irr!AT6=".",Irr!BR6&lt;&gt;"."),dir!W6/((1/1000)*(Irr!V6+Irr!BR6)),IF(AND(Irr!V6=".",Irr!AT6&lt;&gt;".",Irr!BR6&lt;&gt;"."),dir!W6/((1/1000)*(Irr!AT6+Irr!BR6)),IF(AND(Irr!V6=".",Irr!AT6=".",Irr!BR6&lt;&gt;"."),dir!W6/((1/1000)*(Irr!BR6)),IF(AND(Irr!V6=".",Irr!AT6&lt;&gt;".",Irr!BR6="."),dir!W6/((1/1000)*(Irr!AT6)),IF(AND(Irr!V6&lt;&gt;".",Irr!AT6=".",Irr!BR6="."),dir!W6/((1/1000)*(Irr!V6)),IF(AND(Irr!V6=".",Irr!AT6=".",Irr!BR6="."),dir!W6*1000)))))))),".")</f>
        <v>.</v>
      </c>
      <c r="X6" s="76" t="str">
        <f>IFERROR(IF(AND(Irr!W6&lt;&gt;".",Irr!AU6&lt;&gt;".",Irr!BS6&lt;&gt;"."),dir!X6/((1/1000)*(Irr!W6+Irr!AU6+Irr!BS6)),IF(AND(Irr!W6&lt;&gt;".",Irr!AU6&lt;&gt;".",Irr!BS6="."),dir!X6/((1/1000)*(Irr!W6+Irr!AU6)),IF(AND(Irr!W6&lt;&gt;".",Irr!AU6=".",Irr!BS6&lt;&gt;"."),dir!X6/((1/1000)*(Irr!W6+Irr!BS6)),IF(AND(Irr!W6=".",Irr!AU6&lt;&gt;".",Irr!BS6&lt;&gt;"."),dir!X6/((1/1000)*(Irr!AU6+Irr!BS6)),IF(AND(Irr!W6=".",Irr!AU6=".",Irr!BS6&lt;&gt;"."),dir!X6/((1/1000)*(Irr!BS6)),IF(AND(Irr!W6=".",Irr!AU6&lt;&gt;".",Irr!BS6="."),dir!X6/((1/1000)*(Irr!AU6)),IF(AND(Irr!W6&lt;&gt;".",Irr!AU6=".",Irr!BS6="."),dir!X6/((1/1000)*(Irr!W6)),IF(AND(Irr!W6=".",Irr!AU6=".",Irr!BS6="."),dir!X6*1000)))))))),".")</f>
        <v>.</v>
      </c>
      <c r="Y6" s="76" t="str">
        <f>IFERROR(IF(AND(Irr!X6&lt;&gt;".",Irr!AV6&lt;&gt;".",Irr!BT6&lt;&gt;"."),dir!Y6/((1/1000)*(Irr!X6+Irr!AV6+Irr!BT6)),IF(AND(Irr!X6&lt;&gt;".",Irr!AV6&lt;&gt;".",Irr!BT6="."),dir!Y6/((1/1000)*(Irr!X6+Irr!AV6)),IF(AND(Irr!X6&lt;&gt;".",Irr!AV6=".",Irr!BT6&lt;&gt;"."),dir!Y6/((1/1000)*(Irr!X6+Irr!BT6)),IF(AND(Irr!X6=".",Irr!AV6&lt;&gt;".",Irr!BT6&lt;&gt;"."),dir!Y6/((1/1000)*(Irr!AV6+Irr!BT6)),IF(AND(Irr!X6=".",Irr!AV6=".",Irr!BT6&lt;&gt;"."),dir!Y6/((1/1000)*(Irr!BT6)),IF(AND(Irr!X6=".",Irr!AV6&lt;&gt;".",Irr!BT6="."),dir!Y6/((1/1000)*(Irr!AV6)),IF(AND(Irr!X6&lt;&gt;".",Irr!AV6=".",Irr!BT6="."),dir!Y6/((1/1000)*(Irr!X6)),IF(AND(Irr!X6=".",Irr!AV6=".",Irr!BT6="."),dir!Y6*1000)))))))),".")</f>
        <v>.</v>
      </c>
      <c r="Z6" s="76" t="str">
        <f>IFERROR(IF(AND(Irr!Y6&lt;&gt;".",Irr!AW6&lt;&gt;".",Irr!BU6&lt;&gt;"."),dir!Z6/((1/1000)*(Irr!Y6+Irr!AW6+Irr!BU6)),IF(AND(Irr!Y6&lt;&gt;".",Irr!AW6&lt;&gt;".",Irr!BU6="."),dir!Z6/((1/1000)*(Irr!Y6+Irr!AW6)),IF(AND(Irr!Y6&lt;&gt;".",Irr!AW6=".",Irr!BU6&lt;&gt;"."),dir!Z6/((1/1000)*(Irr!Y6+Irr!BU6)),IF(AND(Irr!Y6=".",Irr!AW6&lt;&gt;".",Irr!BU6&lt;&gt;"."),dir!Z6/((1/1000)*(Irr!AW6+Irr!BU6)),IF(AND(Irr!Y6=".",Irr!AW6=".",Irr!BU6&lt;&gt;"."),dir!Z6/((1/1000)*(Irr!BU6)),IF(AND(Irr!Y6=".",Irr!AW6&lt;&gt;".",Irr!BU6="."),dir!Z6/((1/1000)*(Irr!AW6)),IF(AND(Irr!Y6&lt;&gt;".",Irr!AW6=".",Irr!BU6="."),dir!Z6/((1/1000)*(Irr!Y6)),IF(AND(Irr!Y6=".",Irr!AW6=".",Irr!BU6="."),dir!Z6*1000)))))))),".")</f>
        <v>.</v>
      </c>
      <c r="AA6" s="76" t="str">
        <f>IFERROR(IF(AND(Irr!Z6&lt;&gt;".",Irr!AX6&lt;&gt;".",Irr!BV6&lt;&gt;"."),dir!AA6/((1/1000)*(Irr!Z6+Irr!AX6+Irr!BV6)),IF(AND(Irr!Z6&lt;&gt;".",Irr!AX6&lt;&gt;".",Irr!BV6="."),dir!AA6/((1/1000)*(Irr!Z6+Irr!AX6)),IF(AND(Irr!Z6&lt;&gt;".",Irr!AX6=".",Irr!BV6&lt;&gt;"."),dir!AA6/((1/1000)*(Irr!Z6+Irr!BV6)),IF(AND(Irr!Z6=".",Irr!AX6&lt;&gt;".",Irr!BV6&lt;&gt;"."),dir!AA6/((1/1000)*(Irr!AX6+Irr!BV6)),IF(AND(Irr!Z6=".",Irr!AX6=".",Irr!BV6&lt;&gt;"."),dir!AA6/((1/1000)*(Irr!BV6)),IF(AND(Irr!Z6=".",Irr!AX6&lt;&gt;".",Irr!BV6="."),dir!AA6/((1/1000)*(Irr!AX6)),IF(AND(Irr!Z6&lt;&gt;".",Irr!AX6=".",Irr!BV6="."),dir!AA6/((1/1000)*(Irr!Z6)),IF(AND(Irr!Z6=".",Irr!AX6=".",Irr!BV6="."),dir!AA6*1000)))))))),".")</f>
        <v>.</v>
      </c>
      <c r="AB6" s="76" t="str">
        <f t="shared" ref="AB6:AB9" si="5">IFERROR(1/SUM(1/AC6,1/AD6,1/AE6,1/AF6,1/AG6,1/AH6,1/AI6,1/AJ6,1/AK6,1/AL6,1/AM6,1/AN6,1/AO6,1/AP6,1/AQ6,1/AR6,1/AS6,1/AT6,1/AU6,1/AV6,1/AW6,1/AX6),".")</f>
        <v>.</v>
      </c>
      <c r="AC6" s="76" t="str">
        <f>IFERROR(IF(AND(Irr!C6&lt;&gt;".",Irr!AA6&lt;&gt;".",Irr!AY6&lt;&gt;"."),dir!AC6/((1/1000)*(Irr!C6+Irr!AA6+Irr!AY6)),IF(AND(Irr!C6&lt;&gt;".",Irr!AA6&lt;&gt;".",Irr!AY6="."),dir!AC6/((1/1000)*(Irr!C6+Irr!AA6)),IF(AND(Irr!C6&lt;&gt;".",Irr!AA6=".",Irr!AY6&lt;&gt;"."),dir!AC6/((1/1000)*(Irr!C6+Irr!AY6)),IF(AND(Irr!C6=".",Irr!AA6&lt;&gt;".",Irr!AY6&lt;&gt;"."),dir!AC6/((1/1000)*(Irr!AA6+Irr!AY6)),IF(AND(Irr!C6=".",Irr!AA6=".",Irr!AY6&lt;&gt;"."),dir!AC6/((1/1000)*(Irr!AY6)),IF(AND(Irr!C6=".",Irr!AA6&lt;&gt;".",Irr!AY6="."),dir!AC6/((1/1000)*(Irr!AA6)),IF(AND(Irr!C6&lt;&gt;".",Irr!AA6=".",Irr!AY6="."),dir!AC6/((1/1000)*(Irr!C6)),IF(AND(Irr!C6=".",Irr!AA6=".",Irr!AY6="."),dir!AC6*1000)))))))),".")</f>
        <v>.</v>
      </c>
      <c r="AD6" s="76" t="str">
        <f>IFERROR(IF(AND(Irr!D6&lt;&gt;".",Irr!AB6&lt;&gt;".",Irr!AZ6&lt;&gt;"."),dir!AD6/((1/1000)*(Irr!D6+Irr!AB6+Irr!AZ6)),IF(AND(Irr!D6&lt;&gt;".",Irr!AB6&lt;&gt;".",Irr!AZ6="."),dir!AD6/((1/1000)*(Irr!D6+Irr!AB6)),IF(AND(Irr!D6&lt;&gt;".",Irr!AB6=".",Irr!AZ6&lt;&gt;"."),dir!AD6/((1/1000)*(Irr!D6+Irr!AZ6)),IF(AND(Irr!D6=".",Irr!AB6&lt;&gt;".",Irr!AZ6&lt;&gt;"."),dir!AD6/((1/1000)*(Irr!AB6+Irr!AZ6)),IF(AND(Irr!D6=".",Irr!AB6=".",Irr!AZ6&lt;&gt;"."),dir!AD6/((1/1000)*(Irr!AZ6)),IF(AND(Irr!D6=".",Irr!AB6&lt;&gt;".",Irr!AZ6="."),dir!AD6/((1/1000)*(Irr!AB6)),IF(AND(Irr!D6&lt;&gt;".",Irr!AB6=".",Irr!AZ6="."),dir!AD6/((1/1000)*(Irr!D6)),IF(AND(Irr!D6=".",Irr!AB6=".",Irr!AZ6="."),dir!AD6*1000)))))))),".")</f>
        <v>.</v>
      </c>
      <c r="AE6" s="76" t="str">
        <f>IFERROR(IF(AND(Irr!E6&lt;&gt;".",Irr!AC6&lt;&gt;".",Irr!BA6&lt;&gt;"."),dir!AE6/((1/1000)*(Irr!E6+Irr!AC6+Irr!BA6)),IF(AND(Irr!E6&lt;&gt;".",Irr!AC6&lt;&gt;".",Irr!BA6="."),dir!AE6/((1/1000)*(Irr!E6+Irr!AC6)),IF(AND(Irr!E6&lt;&gt;".",Irr!AC6=".",Irr!BA6&lt;&gt;"."),dir!AE6/((1/1000)*(Irr!E6+Irr!BA6)),IF(AND(Irr!E6=".",Irr!AC6&lt;&gt;".",Irr!BA6&lt;&gt;"."),dir!AE6/((1/1000)*(Irr!AC6+Irr!BA6)),IF(AND(Irr!E6=".",Irr!AC6=".",Irr!BA6&lt;&gt;"."),dir!AE6/((1/1000)*(Irr!BA6)),IF(AND(Irr!E6=".",Irr!AC6&lt;&gt;".",Irr!BA6="."),dir!AE6/((1/1000)*(Irr!AC6)),IF(AND(Irr!E6&lt;&gt;".",Irr!AC6=".",Irr!BA6="."),dir!AE6/((1/1000)*(Irr!E6)),IF(AND(Irr!E6=".",Irr!AC6=".",Irr!BA6="."),dir!AE6*1000)))))))),".")</f>
        <v>.</v>
      </c>
      <c r="AF6" s="76" t="str">
        <f>IFERROR(IF(AND(Irr!F6&lt;&gt;".",Irr!AD6&lt;&gt;".",Irr!BB6&lt;&gt;"."),dir!AF6/((1/1000)*(Irr!F6+Irr!AD6+Irr!BB6)),IF(AND(Irr!F6&lt;&gt;".",Irr!AD6&lt;&gt;".",Irr!BB6="."),dir!AF6/((1/1000)*(Irr!F6+Irr!AD6)),IF(AND(Irr!F6&lt;&gt;".",Irr!AD6=".",Irr!BB6&lt;&gt;"."),dir!AF6/((1/1000)*(Irr!F6+Irr!BB6)),IF(AND(Irr!F6=".",Irr!AD6&lt;&gt;".",Irr!BB6&lt;&gt;"."),dir!AF6/((1/1000)*(Irr!AD6+Irr!BB6)),IF(AND(Irr!F6=".",Irr!AD6=".",Irr!BB6&lt;&gt;"."),dir!AF6/((1/1000)*(Irr!BB6)),IF(AND(Irr!F6=".",Irr!AD6&lt;&gt;".",Irr!BB6="."),dir!AF6/((1/1000)*(Irr!AD6)),IF(AND(Irr!F6&lt;&gt;".",Irr!AD6=".",Irr!BB6="."),dir!AF6/((1/1000)*(Irr!F6)),IF(AND(Irr!F6=".",Irr!AD6=".",Irr!BB6="."),dir!AF6*1000)))))))),".")</f>
        <v>.</v>
      </c>
      <c r="AG6" s="76" t="str">
        <f>IFERROR(IF(AND(Irr!G6&lt;&gt;".",Irr!AE6&lt;&gt;".",Irr!BC6&lt;&gt;"."),dir!AG6/((1/1000)*(Irr!G6+Irr!AE6+Irr!BC6)),IF(AND(Irr!G6&lt;&gt;".",Irr!AE6&lt;&gt;".",Irr!BC6="."),dir!AG6/((1/1000)*(Irr!G6+Irr!AE6)),IF(AND(Irr!G6&lt;&gt;".",Irr!AE6=".",Irr!BC6&lt;&gt;"."),dir!AG6/((1/1000)*(Irr!G6+Irr!BC6)),IF(AND(Irr!G6=".",Irr!AE6&lt;&gt;".",Irr!BC6&lt;&gt;"."),dir!AG6/((1/1000)*(Irr!AE6+Irr!BC6)),IF(AND(Irr!G6=".",Irr!AE6=".",Irr!BC6&lt;&gt;"."),dir!AG6/((1/1000)*(Irr!BC6)),IF(AND(Irr!G6=".",Irr!AE6&lt;&gt;".",Irr!BC6="."),dir!AG6/((1/1000)*(Irr!AE6)),IF(AND(Irr!G6&lt;&gt;".",Irr!AE6=".",Irr!BC6="."),dir!AG6/((1/1000)*(Irr!G6)),IF(AND(Irr!G6=".",Irr!AE6=".",Irr!BC6="."),dir!AG6*1000)))))))),".")</f>
        <v>.</v>
      </c>
      <c r="AH6" s="76" t="str">
        <f>IFERROR(IF(AND(Irr!H6&lt;&gt;".",Irr!AF6&lt;&gt;".",Irr!BD6&lt;&gt;"."),dir!AH6/((1/1000)*(Irr!H6+Irr!AF6+Irr!BD6)),IF(AND(Irr!H6&lt;&gt;".",Irr!AF6&lt;&gt;".",Irr!BD6="."),dir!AH6/((1/1000)*(Irr!H6+Irr!AF6)),IF(AND(Irr!H6&lt;&gt;".",Irr!AF6=".",Irr!BD6&lt;&gt;"."),dir!AH6/((1/1000)*(Irr!H6+Irr!BD6)),IF(AND(Irr!H6=".",Irr!AF6&lt;&gt;".",Irr!BD6&lt;&gt;"."),dir!AH6/((1/1000)*(Irr!AF6+Irr!BD6)),IF(AND(Irr!H6=".",Irr!AF6=".",Irr!BD6&lt;&gt;"."),dir!AH6/((1/1000)*(Irr!BD6)),IF(AND(Irr!H6=".",Irr!AF6&lt;&gt;".",Irr!BD6="."),dir!AH6/((1/1000)*(Irr!AF6)),IF(AND(Irr!H6&lt;&gt;".",Irr!AF6=".",Irr!BD6="."),dir!AH6/((1/1000)*(Irr!H6)),IF(AND(Irr!H6=".",Irr!AF6=".",Irr!BD6="."),dir!AH6*1000)))))))),".")</f>
        <v>.</v>
      </c>
      <c r="AI6" s="76" t="str">
        <f>IFERROR(IF(AND(Irr!I6&lt;&gt;".",Irr!AG6&lt;&gt;".",Irr!BE6&lt;&gt;"."),dir!AI6/((1/1000)*(Irr!I6+Irr!AG6+Irr!BE6)),IF(AND(Irr!I6&lt;&gt;".",Irr!AG6&lt;&gt;".",Irr!BE6="."),dir!AI6/((1/1000)*(Irr!I6+Irr!AG6)),IF(AND(Irr!I6&lt;&gt;".",Irr!AG6=".",Irr!BE6&lt;&gt;"."),dir!AI6/((1/1000)*(Irr!I6+Irr!BE6)),IF(AND(Irr!I6=".",Irr!AG6&lt;&gt;".",Irr!BE6&lt;&gt;"."),dir!AI6/((1/1000)*(Irr!AG6+Irr!BE6)),IF(AND(Irr!I6=".",Irr!AG6=".",Irr!BE6&lt;&gt;"."),dir!AI6/((1/1000)*(Irr!BE6)),IF(AND(Irr!I6=".",Irr!AG6&lt;&gt;".",Irr!BE6="."),dir!AI6/((1/1000)*(Irr!AG6)),IF(AND(Irr!I6&lt;&gt;".",Irr!AG6=".",Irr!BE6="."),dir!AI6/((1/1000)*(Irr!I6)),IF(AND(Irr!I6=".",Irr!AG6=".",Irr!BE6="."),dir!AI6*1000)))))))),".")</f>
        <v>.</v>
      </c>
      <c r="AJ6" s="76" t="str">
        <f>IFERROR(IF(AND(Irr!J6&lt;&gt;".",Irr!AH6&lt;&gt;".",Irr!BF6&lt;&gt;"."),dir!AJ6/((1/1000)*(Irr!J6+Irr!AH6+Irr!BF6)),IF(AND(Irr!J6&lt;&gt;".",Irr!AH6&lt;&gt;".",Irr!BF6="."),dir!AJ6/((1/1000)*(Irr!J6+Irr!AH6)),IF(AND(Irr!J6&lt;&gt;".",Irr!AH6=".",Irr!BF6&lt;&gt;"."),dir!AJ6/((1/1000)*(Irr!J6+Irr!BF6)),IF(AND(Irr!J6=".",Irr!AH6&lt;&gt;".",Irr!BF6&lt;&gt;"."),dir!AJ6/((1/1000)*(Irr!AH6+Irr!BF6)),IF(AND(Irr!J6=".",Irr!AH6=".",Irr!BF6&lt;&gt;"."),dir!AJ6/((1/1000)*(Irr!BF6)),IF(AND(Irr!J6=".",Irr!AH6&lt;&gt;".",Irr!BF6="."),dir!AJ6/((1/1000)*(Irr!AH6)),IF(AND(Irr!J6&lt;&gt;".",Irr!AH6=".",Irr!BF6="."),dir!AJ6/((1/1000)*(Irr!J6)),IF(AND(Irr!J6=".",Irr!AH6=".",Irr!BF6="."),dir!AJ6*1000)))))))),".")</f>
        <v>.</v>
      </c>
      <c r="AK6" s="76" t="str">
        <f>IFERROR(IF(AND(Irr!K6&lt;&gt;".",Irr!AI6&lt;&gt;".",Irr!BG6&lt;&gt;"."),dir!AK6/((1/1000)*(Irr!K6+Irr!AI6+Irr!BG6)),IF(AND(Irr!K6&lt;&gt;".",Irr!AI6&lt;&gt;".",Irr!BG6="."),dir!AK6/((1/1000)*(Irr!K6+Irr!AI6)),IF(AND(Irr!K6&lt;&gt;".",Irr!AI6=".",Irr!BG6&lt;&gt;"."),dir!AK6/((1/1000)*(Irr!K6+Irr!BG6)),IF(AND(Irr!K6=".",Irr!AI6&lt;&gt;".",Irr!BG6&lt;&gt;"."),dir!AK6/((1/1000)*(Irr!AI6+Irr!BG6)),IF(AND(Irr!K6=".",Irr!AI6=".",Irr!BG6&lt;&gt;"."),dir!AK6/((1/1000)*(Irr!BG6)),IF(AND(Irr!K6=".",Irr!AI6&lt;&gt;".",Irr!BG6="."),dir!AK6/((1/1000)*(Irr!AI6)),IF(AND(Irr!K6&lt;&gt;".",Irr!AI6=".",Irr!BG6="."),dir!AK6/((1/1000)*(Irr!K6)),IF(AND(Irr!K6=".",Irr!AI6=".",Irr!BG6="."),dir!AK6*1000)))))))),".")</f>
        <v>.</v>
      </c>
      <c r="AL6" s="76" t="str">
        <f>IFERROR(IF(AND(Irr!L6&lt;&gt;".",Irr!AJ6&lt;&gt;".",Irr!BH6&lt;&gt;"."),dir!AL6/((1/1000)*(Irr!L6+Irr!AJ6+Irr!BH6)),IF(AND(Irr!L6&lt;&gt;".",Irr!AJ6&lt;&gt;".",Irr!BH6="."),dir!AL6/((1/1000)*(Irr!L6+Irr!AJ6)),IF(AND(Irr!L6&lt;&gt;".",Irr!AJ6=".",Irr!BH6&lt;&gt;"."),dir!AL6/((1/1000)*(Irr!L6+Irr!BH6)),IF(AND(Irr!L6=".",Irr!AJ6&lt;&gt;".",Irr!BH6&lt;&gt;"."),dir!AL6/((1/1000)*(Irr!AJ6+Irr!BH6)),IF(AND(Irr!L6=".",Irr!AJ6=".",Irr!BH6&lt;&gt;"."),dir!AL6/((1/1000)*(Irr!BH6)),IF(AND(Irr!L6=".",Irr!AJ6&lt;&gt;".",Irr!BH6="."),dir!AL6/((1/1000)*(Irr!AJ6)),IF(AND(Irr!L6&lt;&gt;".",Irr!AJ6=".",Irr!BH6="."),dir!AL6/((1/1000)*(Irr!L6)),IF(AND(Irr!L6=".",Irr!AJ6=".",Irr!BH6="."),dir!AL6*1000)))))))),".")</f>
        <v>.</v>
      </c>
      <c r="AM6" s="76" t="str">
        <f>IFERROR(IF(AND(Irr!M6&lt;&gt;".",Irr!AK6&lt;&gt;".",Irr!BI6&lt;&gt;"."),dir!AM6/((1/1000)*(Irr!M6+Irr!AK6+Irr!BI6)),IF(AND(Irr!M6&lt;&gt;".",Irr!AK6&lt;&gt;".",Irr!BI6="."),dir!AM6/((1/1000)*(Irr!M6+Irr!AK6)),IF(AND(Irr!M6&lt;&gt;".",Irr!AK6=".",Irr!BI6&lt;&gt;"."),dir!AM6/((1/1000)*(Irr!M6+Irr!BI6)),IF(AND(Irr!M6=".",Irr!AK6&lt;&gt;".",Irr!BI6&lt;&gt;"."),dir!AM6/((1/1000)*(Irr!AK6+Irr!BI6)),IF(AND(Irr!M6=".",Irr!AK6=".",Irr!BI6&lt;&gt;"."),dir!AM6/((1/1000)*(Irr!BI6)),IF(AND(Irr!M6=".",Irr!AK6&lt;&gt;".",Irr!BI6="."),dir!AM6/((1/1000)*(Irr!AK6)),IF(AND(Irr!M6&lt;&gt;".",Irr!AK6=".",Irr!BI6="."),dir!AM6/((1/1000)*(Irr!M6)),IF(AND(Irr!M6=".",Irr!AK6=".",Irr!BI6="."),dir!AM6*1000)))))))),".")</f>
        <v>.</v>
      </c>
      <c r="AN6" s="76" t="str">
        <f>IFERROR(IF(AND(Irr!N6&lt;&gt;".",Irr!AL6&lt;&gt;".",Irr!BJ6&lt;&gt;"."),dir!AN6/((1/1000)*(Irr!N6+Irr!AL6+Irr!BJ6)),IF(AND(Irr!N6&lt;&gt;".",Irr!AL6&lt;&gt;".",Irr!BJ6="."),dir!AN6/((1/1000)*(Irr!N6+Irr!AL6)),IF(AND(Irr!N6&lt;&gt;".",Irr!AL6=".",Irr!BJ6&lt;&gt;"."),dir!AN6/((1/1000)*(Irr!N6+Irr!BJ6)),IF(AND(Irr!N6=".",Irr!AL6&lt;&gt;".",Irr!BJ6&lt;&gt;"."),dir!AN6/((1/1000)*(Irr!AL6+Irr!BJ6)),IF(AND(Irr!N6=".",Irr!AL6=".",Irr!BJ6&lt;&gt;"."),dir!AN6/((1/1000)*(Irr!BJ6)),IF(AND(Irr!N6=".",Irr!AL6&lt;&gt;".",Irr!BJ6="."),dir!AN6/((1/1000)*(Irr!AL6)),IF(AND(Irr!N6&lt;&gt;".",Irr!AL6=".",Irr!BJ6="."),dir!AN6/((1/1000)*(Irr!N6)),IF(AND(Irr!N6=".",Irr!AL6=".",Irr!BJ6="."),dir!AN6*1000)))))))),".")</f>
        <v>.</v>
      </c>
      <c r="AO6" s="76" t="str">
        <f>IFERROR(IF(AND(Irr!O6&lt;&gt;".",Irr!AM6&lt;&gt;".",Irr!BK6&lt;&gt;"."),dir!AO6/((1/1000)*(Irr!O6+Irr!AM6+Irr!BK6)),IF(AND(Irr!O6&lt;&gt;".",Irr!AM6&lt;&gt;".",Irr!BK6="."),dir!AO6/((1/1000)*(Irr!O6+Irr!AM6)),IF(AND(Irr!O6&lt;&gt;".",Irr!AM6=".",Irr!BK6&lt;&gt;"."),dir!AO6/((1/1000)*(Irr!O6+Irr!BK6)),IF(AND(Irr!O6=".",Irr!AM6&lt;&gt;".",Irr!BK6&lt;&gt;"."),dir!AO6/((1/1000)*(Irr!AM6+Irr!BK6)),IF(AND(Irr!O6=".",Irr!AM6=".",Irr!BK6&lt;&gt;"."),dir!AO6/((1/1000)*(Irr!BK6)),IF(AND(Irr!O6=".",Irr!AM6&lt;&gt;".",Irr!BK6="."),dir!AO6/((1/1000)*(Irr!AM6)),IF(AND(Irr!O6&lt;&gt;".",Irr!AM6=".",Irr!BK6="."),dir!AO6/((1/1000)*(Irr!O6)),IF(AND(Irr!O6=".",Irr!AM6=".",Irr!BK6="."),dir!AO6*1000)))))))),".")</f>
        <v>.</v>
      </c>
      <c r="AP6" s="76" t="str">
        <f>IFERROR(IF(AND(Irr!P6&lt;&gt;".",Irr!AN6&lt;&gt;".",Irr!BL6&lt;&gt;"."),dir!AP6/((1/1000)*(Irr!P6+Irr!AN6+Irr!BL6)),IF(AND(Irr!P6&lt;&gt;".",Irr!AN6&lt;&gt;".",Irr!BL6="."),dir!AP6/((1/1000)*(Irr!P6+Irr!AN6)),IF(AND(Irr!P6&lt;&gt;".",Irr!AN6=".",Irr!BL6&lt;&gt;"."),dir!AP6/((1/1000)*(Irr!P6+Irr!BL6)),IF(AND(Irr!P6=".",Irr!AN6&lt;&gt;".",Irr!BL6&lt;&gt;"."),dir!AP6/((1/1000)*(Irr!AN6+Irr!BL6)),IF(AND(Irr!P6=".",Irr!AN6=".",Irr!BL6&lt;&gt;"."),dir!AP6/((1/1000)*(Irr!BL6)),IF(AND(Irr!P6=".",Irr!AN6&lt;&gt;".",Irr!BL6="."),dir!AP6/((1/1000)*(Irr!AN6)),IF(AND(Irr!P6&lt;&gt;".",Irr!AN6=".",Irr!BL6="."),dir!AP6/((1/1000)*(Irr!P6)),IF(AND(Irr!P6=".",Irr!AN6=".",Irr!BL6="."),dir!AP6*1000)))))))),".")</f>
        <v>.</v>
      </c>
      <c r="AQ6" s="76" t="str">
        <f>IFERROR(IF(AND(Irr!Q6&lt;&gt;".",Irr!AO6&lt;&gt;".",Irr!BM6&lt;&gt;"."),dir!AQ6/((1/1000)*(Irr!Q6+Irr!AO6+Irr!BM6)),IF(AND(Irr!Q6&lt;&gt;".",Irr!AO6&lt;&gt;".",Irr!BM6="."),dir!AQ6/((1/1000)*(Irr!Q6+Irr!AO6)),IF(AND(Irr!Q6&lt;&gt;".",Irr!AO6=".",Irr!BM6&lt;&gt;"."),dir!AQ6/((1/1000)*(Irr!Q6+Irr!BM6)),IF(AND(Irr!Q6=".",Irr!AO6&lt;&gt;".",Irr!BM6&lt;&gt;"."),dir!AQ6/((1/1000)*(Irr!AO6+Irr!BM6)),IF(AND(Irr!Q6=".",Irr!AO6=".",Irr!BM6&lt;&gt;"."),dir!AQ6/((1/1000)*(Irr!BM6)),IF(AND(Irr!Q6=".",Irr!AO6&lt;&gt;".",Irr!BM6="."),dir!AQ6/((1/1000)*(Irr!AO6)),IF(AND(Irr!Q6&lt;&gt;".",Irr!AO6=".",Irr!BM6="."),dir!AQ6/((1/1000)*(Irr!Q6)),IF(AND(Irr!Q6=".",Irr!AO6=".",Irr!BM6="."),dir!AQ6*1000)))))))),".")</f>
        <v>.</v>
      </c>
      <c r="AR6" s="76" t="str">
        <f>IFERROR(IF(AND(Irr!R6&lt;&gt;".",Irr!AP6&lt;&gt;".",Irr!BN6&lt;&gt;"."),dir!AR6/((1/1000)*(Irr!R6+Irr!AP6+Irr!BN6)),IF(AND(Irr!R6&lt;&gt;".",Irr!AP6&lt;&gt;".",Irr!BN6="."),dir!AR6/((1/1000)*(Irr!R6+Irr!AP6)),IF(AND(Irr!R6&lt;&gt;".",Irr!AP6=".",Irr!BN6&lt;&gt;"."),dir!AR6/((1/1000)*(Irr!R6+Irr!BN6)),IF(AND(Irr!R6=".",Irr!AP6&lt;&gt;".",Irr!BN6&lt;&gt;"."),dir!AR6/((1/1000)*(Irr!AP6+Irr!BN6)),IF(AND(Irr!R6=".",Irr!AP6=".",Irr!BN6&lt;&gt;"."),dir!AR6/((1/1000)*(Irr!BN6)),IF(AND(Irr!R6=".",Irr!AP6&lt;&gt;".",Irr!BN6="."),dir!AR6/((1/1000)*(Irr!AP6)),IF(AND(Irr!R6&lt;&gt;".",Irr!AP6=".",Irr!BN6="."),dir!AR6/((1/1000)*(Irr!R6)),IF(AND(Irr!R6=".",Irr!AP6=".",Irr!BN6="."),dir!AR6*1000)))))))),".")</f>
        <v>.</v>
      </c>
      <c r="AS6" s="76" t="str">
        <f>IFERROR(IF(AND(Irr!S6&lt;&gt;".",Irr!AQ6&lt;&gt;".",Irr!BO6&lt;&gt;"."),dir!AS6/((1/1000)*(Irr!S6+Irr!AQ6+Irr!BO6)),IF(AND(Irr!S6&lt;&gt;".",Irr!AQ6&lt;&gt;".",Irr!BO6="."),dir!AS6/((1/1000)*(Irr!S6+Irr!AQ6)),IF(AND(Irr!S6&lt;&gt;".",Irr!AQ6=".",Irr!BO6&lt;&gt;"."),dir!AS6/((1/1000)*(Irr!S6+Irr!BO6)),IF(AND(Irr!S6=".",Irr!AQ6&lt;&gt;".",Irr!BO6&lt;&gt;"."),dir!AS6/((1/1000)*(Irr!AQ6+Irr!BO6)),IF(AND(Irr!S6=".",Irr!AQ6=".",Irr!BO6&lt;&gt;"."),dir!AS6/((1/1000)*(Irr!BO6)),IF(AND(Irr!S6=".",Irr!AQ6&lt;&gt;".",Irr!BO6="."),dir!AS6/((1/1000)*(Irr!AQ6)),IF(AND(Irr!S6&lt;&gt;".",Irr!AQ6=".",Irr!BO6="."),dir!AS6/((1/1000)*(Irr!S6)),IF(AND(Irr!S6=".",Irr!AQ6=".",Irr!BO6="."),dir!AS6*1000)))))))),".")</f>
        <v>.</v>
      </c>
      <c r="AT6" s="76" t="str">
        <f>IFERROR(IF(AND(Irr!T6&lt;&gt;".",Irr!AR6&lt;&gt;".",Irr!BP6&lt;&gt;"."),dir!AT6/((1/1000)*(Irr!T6+Irr!AR6+Irr!BP6)),IF(AND(Irr!T6&lt;&gt;".",Irr!AR6&lt;&gt;".",Irr!BP6="."),dir!AT6/((1/1000)*(Irr!T6+Irr!AR6)),IF(AND(Irr!T6&lt;&gt;".",Irr!AR6=".",Irr!BP6&lt;&gt;"."),dir!AT6/((1/1000)*(Irr!T6+Irr!BP6)),IF(AND(Irr!T6=".",Irr!AR6&lt;&gt;".",Irr!BP6&lt;&gt;"."),dir!AT6/((1/1000)*(Irr!AR6+Irr!BP6)),IF(AND(Irr!T6=".",Irr!AR6=".",Irr!BP6&lt;&gt;"."),dir!AT6/((1/1000)*(Irr!BP6)),IF(AND(Irr!T6=".",Irr!AR6&lt;&gt;".",Irr!BP6="."),dir!AT6/((1/1000)*(Irr!AR6)),IF(AND(Irr!T6&lt;&gt;".",Irr!AR6=".",Irr!BP6="."),dir!AT6/((1/1000)*(Irr!T6)),IF(AND(Irr!T6=".",Irr!AR6=".",Irr!BP6="."),dir!AT6*1000)))))))),".")</f>
        <v>.</v>
      </c>
      <c r="AU6" s="76" t="str">
        <f>IFERROR(IF(AND(Irr!U6&lt;&gt;".",Irr!AS6&lt;&gt;".",Irr!BQ6&lt;&gt;"."),dir!AU6/((1/1000)*(Irr!U6+Irr!AS6+Irr!BQ6)),IF(AND(Irr!U6&lt;&gt;".",Irr!AS6&lt;&gt;".",Irr!BQ6="."),dir!AU6/((1/1000)*(Irr!U6+Irr!AS6)),IF(AND(Irr!U6&lt;&gt;".",Irr!AS6=".",Irr!BQ6&lt;&gt;"."),dir!AU6/((1/1000)*(Irr!U6+Irr!BQ6)),IF(AND(Irr!U6=".",Irr!AS6&lt;&gt;".",Irr!BQ6&lt;&gt;"."),dir!AU6/((1/1000)*(Irr!AS6+Irr!BQ6)),IF(AND(Irr!U6=".",Irr!AS6=".",Irr!BQ6&lt;&gt;"."),dir!AU6/((1/1000)*(Irr!BQ6)),IF(AND(Irr!U6=".",Irr!AS6&lt;&gt;".",Irr!BQ6="."),dir!AU6/((1/1000)*(Irr!AS6)),IF(AND(Irr!U6&lt;&gt;".",Irr!AS6=".",Irr!BQ6="."),dir!AU6/((1/1000)*(Irr!U6)),IF(AND(Irr!U6=".",Irr!AS6=".",Irr!BQ6="."),dir!AU6*1000)))))))),".")</f>
        <v>.</v>
      </c>
      <c r="AV6" s="76" t="str">
        <f>IFERROR(IF(AND(Irr!V6&lt;&gt;".",Irr!AT6&lt;&gt;".",Irr!BR6&lt;&gt;"."),dir!AV6/((1/1000)*(Irr!V6+Irr!AT6+Irr!BR6)),IF(AND(Irr!V6&lt;&gt;".",Irr!AT6&lt;&gt;".",Irr!BR6="."),dir!AV6/((1/1000)*(Irr!V6+Irr!AT6)),IF(AND(Irr!V6&lt;&gt;".",Irr!AT6=".",Irr!BR6&lt;&gt;"."),dir!AV6/((1/1000)*(Irr!V6+Irr!BR6)),IF(AND(Irr!V6=".",Irr!AT6&lt;&gt;".",Irr!BR6&lt;&gt;"."),dir!AV6/((1/1000)*(Irr!AT6+Irr!BR6)),IF(AND(Irr!V6=".",Irr!AT6=".",Irr!BR6&lt;&gt;"."),dir!AV6/((1/1000)*(Irr!BR6)),IF(AND(Irr!V6=".",Irr!AT6&lt;&gt;".",Irr!BR6="."),dir!AV6/((1/1000)*(Irr!AT6)),IF(AND(Irr!V6&lt;&gt;".",Irr!AT6=".",Irr!BR6="."),dir!AV6/((1/1000)*(Irr!V6)),IF(AND(Irr!V6=".",Irr!AT6=".",Irr!BR6="."),dir!AV6*1000)))))))),".")</f>
        <v>.</v>
      </c>
      <c r="AW6" s="76" t="str">
        <f>IFERROR(IF(AND(Irr!W6&lt;&gt;".",Irr!AU6&lt;&gt;".",Irr!BS6&lt;&gt;"."),dir!AW6/((1/1000)*(Irr!W6+Irr!AU6+Irr!BS6)),IF(AND(Irr!W6&lt;&gt;".",Irr!AU6&lt;&gt;".",Irr!BS6="."),dir!AW6/((1/1000)*(Irr!W6+Irr!AU6)),IF(AND(Irr!W6&lt;&gt;".",Irr!AU6=".",Irr!BS6&lt;&gt;"."),dir!AW6/((1/1000)*(Irr!W6+Irr!BS6)),IF(AND(Irr!W6=".",Irr!AU6&lt;&gt;".",Irr!BS6&lt;&gt;"."),dir!AW6/((1/1000)*(Irr!AU6+Irr!BS6)),IF(AND(Irr!W6=".",Irr!AU6=".",Irr!BS6&lt;&gt;"."),dir!AW6/((1/1000)*(Irr!BS6)),IF(AND(Irr!W6=".",Irr!AU6&lt;&gt;".",Irr!BS6="."),dir!AW6/((1/1000)*(Irr!AU6)),IF(AND(Irr!W6&lt;&gt;".",Irr!AU6=".",Irr!BS6="."),dir!AW6/((1/1000)*(Irr!W6)),IF(AND(Irr!W6=".",Irr!AU6=".",Irr!BS6="."),dir!AW6*1000)))))))),".")</f>
        <v>.</v>
      </c>
      <c r="AX6" s="76" t="str">
        <f>IFERROR(IF(AND(Irr!X6&lt;&gt;".",Irr!AV6&lt;&gt;".",Irr!BT6&lt;&gt;"."),dir!AX6/((1/1000)*(Irr!X6+Irr!AV6+Irr!BT6)),IF(AND(Irr!X6&lt;&gt;".",Irr!AV6&lt;&gt;".",Irr!BT6="."),dir!AX6/((1/1000)*(Irr!X6+Irr!AV6)),IF(AND(Irr!X6&lt;&gt;".",Irr!AV6=".",Irr!BT6&lt;&gt;"."),dir!AX6/((1/1000)*(Irr!X6+Irr!BT6)),IF(AND(Irr!X6=".",Irr!AV6&lt;&gt;".",Irr!BT6&lt;&gt;"."),dir!AX6/((1/1000)*(Irr!AV6+Irr!BT6)),IF(AND(Irr!X6=".",Irr!AV6=".",Irr!BT6&lt;&gt;"."),dir!AX6/((1/1000)*(Irr!BT6)),IF(AND(Irr!X6=".",Irr!AV6&lt;&gt;".",Irr!BT6="."),dir!AX6/((1/1000)*(Irr!AV6)),IF(AND(Irr!X6&lt;&gt;".",Irr!AV6=".",Irr!BT6="."),dir!AX6/((1/1000)*(Irr!X6)),IF(AND(Irr!X6=".",Irr!AV6=".",Irr!BT6="."),dir!AX6*1000)))))))),".")</f>
        <v>.</v>
      </c>
      <c r="AY6" s="76" t="str">
        <f>IFERROR(IF(AND(Irr!Y6&lt;&gt;".",Irr!AW6&lt;&gt;".",Irr!BU6&lt;&gt;"."),dir!AY6/((1/1000)*(Irr!Y6+Irr!AW6+Irr!BU6)),IF(AND(Irr!Y6&lt;&gt;".",Irr!AW6&lt;&gt;".",Irr!BU6="."),dir!AY6/((1/1000)*(Irr!Y6+Irr!AW6)),IF(AND(Irr!Y6&lt;&gt;".",Irr!AW6=".",Irr!BU6&lt;&gt;"."),dir!AY6/((1/1000)*(Irr!Y6+Irr!BU6)),IF(AND(Irr!Y6=".",Irr!AW6&lt;&gt;".",Irr!BU6&lt;&gt;"."),dir!AY6/((1/1000)*(Irr!AW6+Irr!BU6)),IF(AND(Irr!Y6=".",Irr!AW6=".",Irr!BU6&lt;&gt;"."),dir!AY6/((1/1000)*(Irr!BU6)),IF(AND(Irr!Y6=".",Irr!AW6&lt;&gt;".",Irr!BU6="."),dir!AY6/((1/1000)*(Irr!AW6)),IF(AND(Irr!Y6&lt;&gt;".",Irr!AW6=".",Irr!BU6="."),dir!AY6/((1/1000)*(Irr!Y6)),IF(AND(Irr!Y6=".",Irr!AW6=".",Irr!BU6="."),dir!AY6*1000)))))))),".")</f>
        <v>.</v>
      </c>
      <c r="AZ6" s="76" t="str">
        <f>IFERROR(IF(AND(Irr!Z6&lt;&gt;".",Irr!AX6&lt;&gt;".",Irr!BV6&lt;&gt;"."),dir!AZ6/((1/1000)*(Irr!Z6+Irr!AX6+Irr!BV6)),IF(AND(Irr!Z6&lt;&gt;".",Irr!AX6&lt;&gt;".",Irr!BV6="."),dir!AZ6/((1/1000)*(Irr!Z6+Irr!AX6)),IF(AND(Irr!Z6&lt;&gt;".",Irr!AX6=".",Irr!BV6&lt;&gt;"."),dir!AZ6/((1/1000)*(Irr!Z6+Irr!BV6)),IF(AND(Irr!Z6=".",Irr!AX6&lt;&gt;".",Irr!BV6&lt;&gt;"."),dir!AZ6/((1/1000)*(Irr!AX6+Irr!BV6)),IF(AND(Irr!Z6=".",Irr!AX6=".",Irr!BV6&lt;&gt;"."),dir!AZ6/((1/1000)*(Irr!BV6)),IF(AND(Irr!Z6=".",Irr!AX6&lt;&gt;".",Irr!BV6="."),dir!AZ6/((1/1000)*(Irr!AX6)),IF(AND(Irr!Z6&lt;&gt;".",Irr!AX6=".",Irr!BV6="."),dir!AZ6/((1/1000)*(Irr!Z6)),IF(AND(Irr!Z6=".",Irr!AX6=".",Irr!BV6="."),dir!AZ6*1000)))))))),".")</f>
        <v>.</v>
      </c>
    </row>
    <row r="7" spans="1:52" ht="15" customHeight="1" x14ac:dyDescent="0.25">
      <c r="A7" s="92" t="s">
        <v>17</v>
      </c>
      <c r="B7" s="90" t="s">
        <v>1074</v>
      </c>
      <c r="C7" s="76">
        <f t="shared" si="4"/>
        <v>0.87975805223761139</v>
      </c>
      <c r="D7" s="76">
        <f>IFERROR(IF(AND(Irr!C7&lt;&gt;".",Irr!AA7&lt;&gt;".",Irr!AY7&lt;&gt;"."),dir!D7/((1/1000)*(Irr!C7+Irr!AA7+Irr!AY7)),IF(AND(Irr!C7&lt;&gt;".",Irr!AA7&lt;&gt;".",Irr!AY7="."),dir!D7/((1/1000)*(Irr!C7+Irr!AA7)),IF(AND(Irr!C7&lt;&gt;".",Irr!AA7=".",Irr!AY7&lt;&gt;"."),dir!D7/((1/1000)*(Irr!C7+Irr!AY7)),IF(AND(Irr!C7=".",Irr!AA7&lt;&gt;".",Irr!AY7&lt;&gt;"."),dir!D7/((1/1000)*(Irr!AA7+Irr!AY7)),IF(AND(Irr!C7=".",Irr!AA7=".",Irr!AY7&lt;&gt;"."),dir!D7/((1/1000)*(Irr!AY7)),IF(AND(Irr!C7=".",Irr!AA7&lt;&gt;".",Irr!AY7="."),dir!D7/((1/1000)*(Irr!AA7)),IF(AND(Irr!C7&lt;&gt;".",Irr!AA7=".",Irr!AY7="."),dir!D7/((1/1000)*(Irr!C7)),IF(AND(Irr!C7=".",Irr!AA7=".",Irr!AY7="."),dir!D7*1000)))))))),".")</f>
        <v>15.925273285512651</v>
      </c>
      <c r="E7" s="76">
        <f>IFERROR(IF(AND(Irr!D7&lt;&gt;".",Irr!AB7&lt;&gt;".",Irr!AZ7&lt;&gt;"."),dir!E7/((1/1000)*(Irr!D7+Irr!AB7+Irr!AZ7)),IF(AND(Irr!D7&lt;&gt;".",Irr!AB7&lt;&gt;".",Irr!AZ7="."),dir!E7/((1/1000)*(Irr!D7+Irr!AB7)),IF(AND(Irr!D7&lt;&gt;".",Irr!AB7=".",Irr!AZ7&lt;&gt;"."),dir!E7/((1/1000)*(Irr!D7+Irr!AZ7)),IF(AND(Irr!D7=".",Irr!AB7&lt;&gt;".",Irr!AZ7&lt;&gt;"."),dir!E7/((1/1000)*(Irr!AB7+Irr!AZ7)),IF(AND(Irr!D7=".",Irr!AB7=".",Irr!AZ7&lt;&gt;"."),dir!E7/((1/1000)*(Irr!AZ7)),IF(AND(Irr!D7=".",Irr!AB7&lt;&gt;".",Irr!AZ7="."),dir!E7/((1/1000)*(Irr!AB7)),IF(AND(Irr!D7&lt;&gt;".",Irr!AB7=".",Irr!AZ7="."),dir!E7/((1/1000)*(Irr!D7)),IF(AND(Irr!D7=".",Irr!AB7=".",Irr!AZ7="."),dir!E7*1000)))))))),".")</f>
        <v>35.413591905885475</v>
      </c>
      <c r="F7" s="76">
        <f>IFERROR(IF(AND(Irr!E7&lt;&gt;".",Irr!AC7&lt;&gt;".",Irr!BA7&lt;&gt;"."),dir!F7/((1/1000)*(Irr!E7+Irr!AC7+Irr!BA7)),IF(AND(Irr!E7&lt;&gt;".",Irr!AC7&lt;&gt;".",Irr!BA7="."),dir!F7/((1/1000)*(Irr!E7+Irr!AC7)),IF(AND(Irr!E7&lt;&gt;".",Irr!AC7=".",Irr!BA7&lt;&gt;"."),dir!F7/((1/1000)*(Irr!E7+Irr!BA7)),IF(AND(Irr!E7=".",Irr!AC7&lt;&gt;".",Irr!BA7&lt;&gt;"."),dir!F7/((1/1000)*(Irr!AC7+Irr!BA7)),IF(AND(Irr!E7=".",Irr!AC7=".",Irr!BA7&lt;&gt;"."),dir!F7/((1/1000)*(Irr!BA7)),IF(AND(Irr!E7=".",Irr!AC7&lt;&gt;".",Irr!BA7="."),dir!F7/((1/1000)*(Irr!AC7)),IF(AND(Irr!E7&lt;&gt;".",Irr!AC7=".",Irr!BA7="."),dir!F7/((1/1000)*(Irr!E7)),IF(AND(Irr!E7=".",Irr!AC7=".",Irr!BA7="."),dir!F7*1000)))))))),".")</f>
        <v>43.307654073804308</v>
      </c>
      <c r="G7" s="76">
        <f>IFERROR(IF(AND(Irr!F7&lt;&gt;".",Irr!AD7&lt;&gt;".",Irr!BB7&lt;&gt;"."),dir!G7/((1/1000)*(Irr!F7+Irr!AD7+Irr!BB7)),IF(AND(Irr!F7&lt;&gt;".",Irr!AD7&lt;&gt;".",Irr!BB7="."),dir!G7/((1/1000)*(Irr!F7+Irr!AD7)),IF(AND(Irr!F7&lt;&gt;".",Irr!AD7=".",Irr!BB7&lt;&gt;"."),dir!G7/((1/1000)*(Irr!F7+Irr!BB7)),IF(AND(Irr!F7=".",Irr!AD7&lt;&gt;".",Irr!BB7&lt;&gt;"."),dir!G7/((1/1000)*(Irr!AD7+Irr!BB7)),IF(AND(Irr!F7=".",Irr!AD7=".",Irr!BB7&lt;&gt;"."),dir!G7/((1/1000)*(Irr!BB7)),IF(AND(Irr!F7=".",Irr!AD7&lt;&gt;".",Irr!BB7="."),dir!G7/((1/1000)*(Irr!AD7)),IF(AND(Irr!F7&lt;&gt;".",Irr!AD7=".",Irr!BB7="."),dir!G7/((1/1000)*(Irr!F7)),IF(AND(Irr!F7=".",Irr!AD7=".",Irr!BB7="."),dir!G7*1000)))))))),".")</f>
        <v>35.672749974868239</v>
      </c>
      <c r="H7" s="76">
        <f>IFERROR(IF(AND(Irr!G7&lt;&gt;".",Irr!AE7&lt;&gt;".",Irr!BC7&lt;&gt;"."),dir!H7/((1/1000)*(Irr!G7+Irr!AE7+Irr!BC7)),IF(AND(Irr!G7&lt;&gt;".",Irr!AE7&lt;&gt;".",Irr!BC7="."),dir!H7/((1/1000)*(Irr!G7+Irr!AE7)),IF(AND(Irr!G7&lt;&gt;".",Irr!AE7=".",Irr!BC7&lt;&gt;"."),dir!H7/((1/1000)*(Irr!G7+Irr!BC7)),IF(AND(Irr!G7=".",Irr!AE7&lt;&gt;".",Irr!BC7&lt;&gt;"."),dir!H7/((1/1000)*(Irr!AE7+Irr!BC7)),IF(AND(Irr!G7=".",Irr!AE7=".",Irr!BC7&lt;&gt;"."),dir!H7/((1/1000)*(Irr!BC7)),IF(AND(Irr!G7=".",Irr!AE7&lt;&gt;".",Irr!BC7="."),dir!H7/((1/1000)*(Irr!AE7)),IF(AND(Irr!G7&lt;&gt;".",Irr!AE7=".",Irr!BC7="."),dir!H7/((1/1000)*(Irr!G7)),IF(AND(Irr!G7=".",Irr!AE7=".",Irr!BC7="."),dir!H7*1000)))))))),".")</f>
        <v>42.089404554714655</v>
      </c>
      <c r="I7" s="76">
        <f>IFERROR(IF(AND(Irr!H7&lt;&gt;".",Irr!AF7&lt;&gt;".",Irr!BD7&lt;&gt;"."),dir!I7/((1/1000)*(Irr!H7+Irr!AF7+Irr!BD7)),IF(AND(Irr!H7&lt;&gt;".",Irr!AF7&lt;&gt;".",Irr!BD7="."),dir!I7/((1/1000)*(Irr!H7+Irr!AF7)),IF(AND(Irr!H7&lt;&gt;".",Irr!AF7=".",Irr!BD7&lt;&gt;"."),dir!I7/((1/1000)*(Irr!H7+Irr!BD7)),IF(AND(Irr!H7=".",Irr!AF7&lt;&gt;".",Irr!BD7&lt;&gt;"."),dir!I7/((1/1000)*(Irr!AF7+Irr!BD7)),IF(AND(Irr!H7=".",Irr!AF7=".",Irr!BD7&lt;&gt;"."),dir!I7/((1/1000)*(Irr!BD7)),IF(AND(Irr!H7=".",Irr!AF7&lt;&gt;".",Irr!BD7="."),dir!I7/((1/1000)*(Irr!AF7)),IF(AND(Irr!H7&lt;&gt;".",Irr!AF7=".",Irr!BD7="."),dir!I7/((1/1000)*(Irr!H7)),IF(AND(Irr!H7=".",Irr!AF7=".",Irr!BD7="."),dir!I7*1000)))))))),".")</f>
        <v>15.858101552349368</v>
      </c>
      <c r="J7" s="76">
        <f>IFERROR(IF(AND(Irr!I7&lt;&gt;".",Irr!AG7&lt;&gt;".",Irr!BE7&lt;&gt;"."),dir!J7/((1/1000)*(Irr!I7+Irr!AG7+Irr!BE7)),IF(AND(Irr!I7&lt;&gt;".",Irr!AG7&lt;&gt;".",Irr!BE7="."),dir!J7/((1/1000)*(Irr!I7+Irr!AG7)),IF(AND(Irr!I7&lt;&gt;".",Irr!AG7=".",Irr!BE7&lt;&gt;"."),dir!J7/((1/1000)*(Irr!I7+Irr!BE7)),IF(AND(Irr!I7=".",Irr!AG7&lt;&gt;".",Irr!BE7&lt;&gt;"."),dir!J7/((1/1000)*(Irr!AG7+Irr!BE7)),IF(AND(Irr!I7=".",Irr!AG7=".",Irr!BE7&lt;&gt;"."),dir!J7/((1/1000)*(Irr!BE7)),IF(AND(Irr!I7=".",Irr!AG7&lt;&gt;".",Irr!BE7="."),dir!J7/((1/1000)*(Irr!AG7)),IF(AND(Irr!I7&lt;&gt;".",Irr!AG7=".",Irr!BE7="."),dir!J7/((1/1000)*(Irr!I7)),IF(AND(Irr!I7=".",Irr!AG7=".",Irr!BE7="."),dir!J7*1000)))))))),".")</f>
        <v>47.815791943643632</v>
      </c>
      <c r="K7" s="76">
        <f>IFERROR(IF(AND(Irr!J7&lt;&gt;".",Irr!AH7&lt;&gt;".",Irr!BF7&lt;&gt;"."),dir!K7/((1/1000)*(Irr!J7+Irr!AH7+Irr!BF7)),IF(AND(Irr!J7&lt;&gt;".",Irr!AH7&lt;&gt;".",Irr!BF7="."),dir!K7/((1/1000)*(Irr!J7+Irr!AH7)),IF(AND(Irr!J7&lt;&gt;".",Irr!AH7=".",Irr!BF7&lt;&gt;"."),dir!K7/((1/1000)*(Irr!J7+Irr!BF7)),IF(AND(Irr!J7=".",Irr!AH7&lt;&gt;".",Irr!BF7&lt;&gt;"."),dir!K7/((1/1000)*(Irr!AH7+Irr!BF7)),IF(AND(Irr!J7=".",Irr!AH7=".",Irr!BF7&lt;&gt;"."),dir!K7/((1/1000)*(Irr!BF7)),IF(AND(Irr!J7=".",Irr!AH7&lt;&gt;".",Irr!BF7="."),dir!K7/((1/1000)*(Irr!AH7)),IF(AND(Irr!J7&lt;&gt;".",Irr!AH7=".",Irr!BF7="."),dir!K7/((1/1000)*(Irr!J7)),IF(AND(Irr!J7=".",Irr!AH7=".",Irr!BF7="."),dir!K7*1000)))))))),".")</f>
        <v>4.1309376507601829</v>
      </c>
      <c r="L7" s="76">
        <f>IFERROR(IF(AND(Irr!K7&lt;&gt;".",Irr!AI7&lt;&gt;".",Irr!BG7&lt;&gt;"."),dir!L7/((1/1000)*(Irr!K7+Irr!AI7+Irr!BG7)),IF(AND(Irr!K7&lt;&gt;".",Irr!AI7&lt;&gt;".",Irr!BG7="."),dir!L7/((1/1000)*(Irr!K7+Irr!AI7)),IF(AND(Irr!K7&lt;&gt;".",Irr!AI7=".",Irr!BG7&lt;&gt;"."),dir!L7/((1/1000)*(Irr!K7+Irr!BG7)),IF(AND(Irr!K7=".",Irr!AI7&lt;&gt;".",Irr!BG7&lt;&gt;"."),dir!L7/((1/1000)*(Irr!AI7+Irr!BG7)),IF(AND(Irr!K7=".",Irr!AI7=".",Irr!BG7&lt;&gt;"."),dir!L7/((1/1000)*(Irr!BG7)),IF(AND(Irr!K7=".",Irr!AI7&lt;&gt;".",Irr!BG7="."),dir!L7/((1/1000)*(Irr!AI7)),IF(AND(Irr!K7&lt;&gt;".",Irr!AI7=".",Irr!BG7="."),dir!L7/((1/1000)*(Irr!K7)),IF(AND(Irr!K7=".",Irr!AI7=".",Irr!BG7="."),dir!L7*1000)))))))),".")</f>
        <v>22.68818057088377</v>
      </c>
      <c r="M7" s="76">
        <f>IFERROR(IF(AND(Irr!L7&lt;&gt;".",Irr!AJ7&lt;&gt;".",Irr!BH7&lt;&gt;"."),dir!M7/((1/1000)*(Irr!L7+Irr!AJ7+Irr!BH7)),IF(AND(Irr!L7&lt;&gt;".",Irr!AJ7&lt;&gt;".",Irr!BH7="."),dir!M7/((1/1000)*(Irr!L7+Irr!AJ7)),IF(AND(Irr!L7&lt;&gt;".",Irr!AJ7=".",Irr!BH7&lt;&gt;"."),dir!M7/((1/1000)*(Irr!L7+Irr!BH7)),IF(AND(Irr!L7=".",Irr!AJ7&lt;&gt;".",Irr!BH7&lt;&gt;"."),dir!M7/((1/1000)*(Irr!AJ7+Irr!BH7)),IF(AND(Irr!L7=".",Irr!AJ7=".",Irr!BH7&lt;&gt;"."),dir!M7/((1/1000)*(Irr!BH7)),IF(AND(Irr!L7=".",Irr!AJ7&lt;&gt;".",Irr!BH7="."),dir!M7/((1/1000)*(Irr!AJ7)),IF(AND(Irr!L7&lt;&gt;".",Irr!AJ7=".",Irr!BH7="."),dir!M7/((1/1000)*(Irr!L7)),IF(AND(Irr!L7=".",Irr!AJ7=".",Irr!BH7="."),dir!M7*1000)))))))),".")</f>
        <v>16.879987833494042</v>
      </c>
      <c r="N7" s="76">
        <f>IFERROR(IF(AND(Irr!M7&lt;&gt;".",Irr!AK7&lt;&gt;".",Irr!BI7&lt;&gt;"."),dir!N7/((1/1000)*(Irr!M7+Irr!AK7+Irr!BI7)),IF(AND(Irr!M7&lt;&gt;".",Irr!AK7&lt;&gt;".",Irr!BI7="."),dir!N7/((1/1000)*(Irr!M7+Irr!AK7)),IF(AND(Irr!M7&lt;&gt;".",Irr!AK7=".",Irr!BI7&lt;&gt;"."),dir!N7/((1/1000)*(Irr!M7+Irr!BI7)),IF(AND(Irr!M7=".",Irr!AK7&lt;&gt;".",Irr!BI7&lt;&gt;"."),dir!N7/((1/1000)*(Irr!AK7+Irr!BI7)),IF(AND(Irr!M7=".",Irr!AK7=".",Irr!BI7&lt;&gt;"."),dir!N7/((1/1000)*(Irr!BI7)),IF(AND(Irr!M7=".",Irr!AK7&lt;&gt;".",Irr!BI7="."),dir!N7/((1/1000)*(Irr!AK7)),IF(AND(Irr!M7&lt;&gt;".",Irr!AK7=".",Irr!BI7="."),dir!N7/((1/1000)*(Irr!M7)),IF(AND(Irr!M7=".",Irr!AK7=".",Irr!BI7="."),dir!N7*1000)))))))),".")</f>
        <v>36.753905986965734</v>
      </c>
      <c r="O7" s="76">
        <f>IFERROR(IF(AND(Irr!N7&lt;&gt;".",Irr!AL7&lt;&gt;".",Irr!BJ7&lt;&gt;"."),dir!O7/((1/1000)*(Irr!N7+Irr!AL7+Irr!BJ7)),IF(AND(Irr!N7&lt;&gt;".",Irr!AL7&lt;&gt;".",Irr!BJ7="."),dir!O7/((1/1000)*(Irr!N7+Irr!AL7)),IF(AND(Irr!N7&lt;&gt;".",Irr!AL7=".",Irr!BJ7&lt;&gt;"."),dir!O7/((1/1000)*(Irr!N7+Irr!BJ7)),IF(AND(Irr!N7=".",Irr!AL7&lt;&gt;".",Irr!BJ7&lt;&gt;"."),dir!O7/((1/1000)*(Irr!AL7+Irr!BJ7)),IF(AND(Irr!N7=".",Irr!AL7=".",Irr!BJ7&lt;&gt;"."),dir!O7/((1/1000)*(Irr!BJ7)),IF(AND(Irr!N7=".",Irr!AL7&lt;&gt;".",Irr!BJ7="."),dir!O7/((1/1000)*(Irr!AL7)),IF(AND(Irr!N7&lt;&gt;".",Irr!AL7=".",Irr!BJ7="."),dir!O7/((1/1000)*(Irr!N7)),IF(AND(Irr!N7=".",Irr!AL7=".",Irr!BJ7="."),dir!O7*1000)))))))),".")</f>
        <v>41.72147593404781</v>
      </c>
      <c r="P7" s="76">
        <f>IFERROR(IF(AND(Irr!O7&lt;&gt;".",Irr!AM7&lt;&gt;".",Irr!BK7&lt;&gt;"."),dir!P7/((1/1000)*(Irr!O7+Irr!AM7+Irr!BK7)),IF(AND(Irr!O7&lt;&gt;".",Irr!AM7&lt;&gt;".",Irr!BK7="."),dir!P7/((1/1000)*(Irr!O7+Irr!AM7)),IF(AND(Irr!O7&lt;&gt;".",Irr!AM7=".",Irr!BK7&lt;&gt;"."),dir!P7/((1/1000)*(Irr!O7+Irr!BK7)),IF(AND(Irr!O7=".",Irr!AM7&lt;&gt;".",Irr!BK7&lt;&gt;"."),dir!P7/((1/1000)*(Irr!AM7+Irr!BK7)),IF(AND(Irr!O7=".",Irr!AM7=".",Irr!BK7&lt;&gt;"."),dir!P7/((1/1000)*(Irr!BK7)),IF(AND(Irr!O7=".",Irr!AM7&lt;&gt;".",Irr!BK7="."),dir!P7/((1/1000)*(Irr!AM7)),IF(AND(Irr!O7&lt;&gt;".",Irr!AM7=".",Irr!BK7="."),dir!P7/((1/1000)*(Irr!O7)),IF(AND(Irr!O7=".",Irr!AM7=".",Irr!BK7="."),dir!P7*1000)))))))),".")</f>
        <v>47.789731703919642</v>
      </c>
      <c r="Q7" s="76">
        <f>IFERROR(IF(AND(Irr!P7&lt;&gt;".",Irr!AN7&lt;&gt;".",Irr!BL7&lt;&gt;"."),dir!Q7/((1/1000)*(Irr!P7+Irr!AN7+Irr!BL7)),IF(AND(Irr!P7&lt;&gt;".",Irr!AN7&lt;&gt;".",Irr!BL7="."),dir!Q7/((1/1000)*(Irr!P7+Irr!AN7)),IF(AND(Irr!P7&lt;&gt;".",Irr!AN7=".",Irr!BL7&lt;&gt;"."),dir!Q7/((1/1000)*(Irr!P7+Irr!BL7)),IF(AND(Irr!P7=".",Irr!AN7&lt;&gt;".",Irr!BL7&lt;&gt;"."),dir!Q7/((1/1000)*(Irr!AN7+Irr!BL7)),IF(AND(Irr!P7=".",Irr!AN7=".",Irr!BL7&lt;&gt;"."),dir!Q7/((1/1000)*(Irr!BL7)),IF(AND(Irr!P7=".",Irr!AN7&lt;&gt;".",Irr!BL7="."),dir!Q7/((1/1000)*(Irr!AN7)),IF(AND(Irr!P7&lt;&gt;".",Irr!AN7=".",Irr!BL7="."),dir!Q7/((1/1000)*(Irr!P7)),IF(AND(Irr!P7=".",Irr!AN7=".",Irr!BL7="."),dir!Q7*1000)))))))),".")</f>
        <v>64.533037810091685</v>
      </c>
      <c r="R7" s="76">
        <f>IFERROR(IF(AND(Irr!Q7&lt;&gt;".",Irr!AO7&lt;&gt;".",Irr!BM7&lt;&gt;"."),dir!R7/((1/1000)*(Irr!Q7+Irr!AO7+Irr!BM7)),IF(AND(Irr!Q7&lt;&gt;".",Irr!AO7&lt;&gt;".",Irr!BM7="."),dir!R7/((1/1000)*(Irr!Q7+Irr!AO7)),IF(AND(Irr!Q7&lt;&gt;".",Irr!AO7=".",Irr!BM7&lt;&gt;"."),dir!R7/((1/1000)*(Irr!Q7+Irr!BM7)),IF(AND(Irr!Q7=".",Irr!AO7&lt;&gt;".",Irr!BM7&lt;&gt;"."),dir!R7/((1/1000)*(Irr!AO7+Irr!BM7)),IF(AND(Irr!Q7=".",Irr!AO7=".",Irr!BM7&lt;&gt;"."),dir!R7/((1/1000)*(Irr!BM7)),IF(AND(Irr!Q7=".",Irr!AO7&lt;&gt;".",Irr!BM7="."),dir!R7/((1/1000)*(Irr!AO7)),IF(AND(Irr!Q7&lt;&gt;".",Irr!AO7=".",Irr!BM7="."),dir!R7/((1/1000)*(Irr!Q7)),IF(AND(Irr!Q7=".",Irr!AO7=".",Irr!BM7="."),dir!R7*1000)))))))),".")</f>
        <v>10.184477087258916</v>
      </c>
      <c r="S7" s="76">
        <f>IFERROR(IF(AND(Irr!R7&lt;&gt;".",Irr!AP7&lt;&gt;".",Irr!BN7&lt;&gt;"."),dir!S7/((1/1000)*(Irr!R7+Irr!AP7+Irr!BN7)),IF(AND(Irr!R7&lt;&gt;".",Irr!AP7&lt;&gt;".",Irr!BN7="."),dir!S7/((1/1000)*(Irr!R7+Irr!AP7)),IF(AND(Irr!R7&lt;&gt;".",Irr!AP7=".",Irr!BN7&lt;&gt;"."),dir!S7/((1/1000)*(Irr!R7+Irr!BN7)),IF(AND(Irr!R7=".",Irr!AP7&lt;&gt;".",Irr!BN7&lt;&gt;"."),dir!S7/((1/1000)*(Irr!AP7+Irr!BN7)),IF(AND(Irr!R7=".",Irr!AP7=".",Irr!BN7&lt;&gt;"."),dir!S7/((1/1000)*(Irr!BN7)),IF(AND(Irr!R7=".",Irr!AP7&lt;&gt;".",Irr!BN7="."),dir!S7/((1/1000)*(Irr!AP7)),IF(AND(Irr!R7&lt;&gt;".",Irr!AP7=".",Irr!BN7="."),dir!S7/((1/1000)*(Irr!R7)),IF(AND(Irr!R7=".",Irr!AP7=".",Irr!BN7="."),dir!S7*1000)))))))),".")</f>
        <v>21.135274063659178</v>
      </c>
      <c r="T7" s="76">
        <f>IFERROR(IF(AND(Irr!S7&lt;&gt;".",Irr!AQ7&lt;&gt;".",Irr!BO7&lt;&gt;"."),dir!T7/((1/1000)*(Irr!S7+Irr!AQ7+Irr!BO7)),IF(AND(Irr!S7&lt;&gt;".",Irr!AQ7&lt;&gt;".",Irr!BO7="."),dir!T7/((1/1000)*(Irr!S7+Irr!AQ7)),IF(AND(Irr!S7&lt;&gt;".",Irr!AQ7=".",Irr!BO7&lt;&gt;"."),dir!T7/((1/1000)*(Irr!S7+Irr!BO7)),IF(AND(Irr!S7=".",Irr!AQ7&lt;&gt;".",Irr!BO7&lt;&gt;"."),dir!T7/((1/1000)*(Irr!AQ7+Irr!BO7)),IF(AND(Irr!S7=".",Irr!AQ7=".",Irr!BO7&lt;&gt;"."),dir!T7/((1/1000)*(Irr!BO7)),IF(AND(Irr!S7=".",Irr!AQ7&lt;&gt;".",Irr!BO7="."),dir!T7/((1/1000)*(Irr!AQ7)),IF(AND(Irr!S7&lt;&gt;".",Irr!AQ7=".",Irr!BO7="."),dir!T7/((1/1000)*(Irr!S7)),IF(AND(Irr!S7=".",Irr!AQ7=".",Irr!BO7="."),dir!T7*1000)))))))),".")</f>
        <v>33.721936182790827</v>
      </c>
      <c r="U7" s="76">
        <f>IFERROR(IF(AND(Irr!T7&lt;&gt;".",Irr!AR7&lt;&gt;".",Irr!BP7&lt;&gt;"."),dir!U7/((1/1000)*(Irr!T7+Irr!AR7+Irr!BP7)),IF(AND(Irr!T7&lt;&gt;".",Irr!AR7&lt;&gt;".",Irr!BP7="."),dir!U7/((1/1000)*(Irr!T7+Irr!AR7)),IF(AND(Irr!T7&lt;&gt;".",Irr!AR7=".",Irr!BP7&lt;&gt;"."),dir!U7/((1/1000)*(Irr!T7+Irr!BP7)),IF(AND(Irr!T7=".",Irr!AR7&lt;&gt;".",Irr!BP7&lt;&gt;"."),dir!U7/((1/1000)*(Irr!AR7+Irr!BP7)),IF(AND(Irr!T7=".",Irr!AR7=".",Irr!BP7&lt;&gt;"."),dir!U7/((1/1000)*(Irr!BP7)),IF(AND(Irr!T7=".",Irr!AR7&lt;&gt;".",Irr!BP7="."),dir!U7/((1/1000)*(Irr!AR7)),IF(AND(Irr!T7&lt;&gt;".",Irr!AR7=".",Irr!BP7="."),dir!U7/((1/1000)*(Irr!T7)),IF(AND(Irr!T7=".",Irr!AR7=".",Irr!BP7="."),dir!U7*1000)))))))),".")</f>
        <v>10.594224815769312</v>
      </c>
      <c r="V7" s="76">
        <f>IFERROR(IF(AND(Irr!U7&lt;&gt;".",Irr!AS7&lt;&gt;".",Irr!BQ7&lt;&gt;"."),dir!V7/((1/1000)*(Irr!U7+Irr!AS7+Irr!BQ7)),IF(AND(Irr!U7&lt;&gt;".",Irr!AS7&lt;&gt;".",Irr!BQ7="."),dir!V7/((1/1000)*(Irr!U7+Irr!AS7)),IF(AND(Irr!U7&lt;&gt;".",Irr!AS7=".",Irr!BQ7&lt;&gt;"."),dir!V7/((1/1000)*(Irr!U7+Irr!BQ7)),IF(AND(Irr!U7=".",Irr!AS7&lt;&gt;".",Irr!BQ7&lt;&gt;"."),dir!V7/((1/1000)*(Irr!AS7+Irr!BQ7)),IF(AND(Irr!U7=".",Irr!AS7=".",Irr!BQ7&lt;&gt;"."),dir!V7/((1/1000)*(Irr!BQ7)),IF(AND(Irr!U7=".",Irr!AS7&lt;&gt;".",Irr!BQ7="."),dir!V7/((1/1000)*(Irr!AS7)),IF(AND(Irr!U7&lt;&gt;".",Irr!AS7=".",Irr!BQ7="."),dir!V7/((1/1000)*(Irr!U7)),IF(AND(Irr!U7=".",Irr!AS7=".",Irr!BQ7="."),dir!V7*1000)))))))),".")</f>
        <v>19.390008547249284</v>
      </c>
      <c r="W7" s="76">
        <f>IFERROR(IF(AND(Irr!V7&lt;&gt;".",Irr!AT7&lt;&gt;".",Irr!BR7&lt;&gt;"."),dir!W7/((1/1000)*(Irr!V7+Irr!AT7+Irr!BR7)),IF(AND(Irr!V7&lt;&gt;".",Irr!AT7&lt;&gt;".",Irr!BR7="."),dir!W7/((1/1000)*(Irr!V7+Irr!AT7)),IF(AND(Irr!V7&lt;&gt;".",Irr!AT7=".",Irr!BR7&lt;&gt;"."),dir!W7/((1/1000)*(Irr!V7+Irr!BR7)),IF(AND(Irr!V7=".",Irr!AT7&lt;&gt;".",Irr!BR7&lt;&gt;"."),dir!W7/((1/1000)*(Irr!AT7+Irr!BR7)),IF(AND(Irr!V7=".",Irr!AT7=".",Irr!BR7&lt;&gt;"."),dir!W7/((1/1000)*(Irr!BR7)),IF(AND(Irr!V7=".",Irr!AT7&lt;&gt;".",Irr!BR7="."),dir!W7/((1/1000)*(Irr!AT7)),IF(AND(Irr!V7&lt;&gt;".",Irr!AT7=".",Irr!BR7="."),dir!W7/((1/1000)*(Irr!V7)),IF(AND(Irr!V7=".",Irr!AT7=".",Irr!BR7="."),dir!W7*1000)))))))),".")</f>
        <v>23.886424101048185</v>
      </c>
      <c r="X7" s="76">
        <f>IFERROR(IF(AND(Irr!W7&lt;&gt;".",Irr!AU7&lt;&gt;".",Irr!BS7&lt;&gt;"."),dir!X7/((1/1000)*(Irr!W7+Irr!AU7+Irr!BS7)),IF(AND(Irr!W7&lt;&gt;".",Irr!AU7&lt;&gt;".",Irr!BS7="."),dir!X7/((1/1000)*(Irr!W7+Irr!AU7)),IF(AND(Irr!W7&lt;&gt;".",Irr!AU7=".",Irr!BS7&lt;&gt;"."),dir!X7/((1/1000)*(Irr!W7+Irr!BS7)),IF(AND(Irr!W7=".",Irr!AU7&lt;&gt;".",Irr!BS7&lt;&gt;"."),dir!X7/((1/1000)*(Irr!AU7+Irr!BS7)),IF(AND(Irr!W7=".",Irr!AU7=".",Irr!BS7&lt;&gt;"."),dir!X7/((1/1000)*(Irr!BS7)),IF(AND(Irr!W7=".",Irr!AU7&lt;&gt;".",Irr!BS7="."),dir!X7/((1/1000)*(Irr!AU7)),IF(AND(Irr!W7&lt;&gt;".",Irr!AU7=".",Irr!BS7="."),dir!X7/((1/1000)*(Irr!W7)),IF(AND(Irr!W7=".",Irr!AU7=".",Irr!BS7="."),dir!X7*1000)))))))),".")</f>
        <v>31.591506984146505</v>
      </c>
      <c r="Y7" s="76">
        <f>IFERROR(IF(AND(Irr!X7&lt;&gt;".",Irr!AV7&lt;&gt;".",Irr!BT7&lt;&gt;"."),dir!Y7/((1/1000)*(Irr!X7+Irr!AV7+Irr!BT7)),IF(AND(Irr!X7&lt;&gt;".",Irr!AV7&lt;&gt;".",Irr!BT7="."),dir!Y7/((1/1000)*(Irr!X7+Irr!AV7)),IF(AND(Irr!X7&lt;&gt;".",Irr!AV7=".",Irr!BT7&lt;&gt;"."),dir!Y7/((1/1000)*(Irr!X7+Irr!BT7)),IF(AND(Irr!X7=".",Irr!AV7&lt;&gt;".",Irr!BT7&lt;&gt;"."),dir!Y7/((1/1000)*(Irr!AV7+Irr!BT7)),IF(AND(Irr!X7=".",Irr!AV7=".",Irr!BT7&lt;&gt;"."),dir!Y7/((1/1000)*(Irr!BT7)),IF(AND(Irr!X7=".",Irr!AV7&lt;&gt;".",Irr!BT7="."),dir!Y7/((1/1000)*(Irr!AV7)),IF(AND(Irr!X7&lt;&gt;".",Irr!AV7=".",Irr!BT7="."),dir!Y7/((1/1000)*(Irr!X7)),IF(AND(Irr!X7=".",Irr!AV7=".",Irr!BT7="."),dir!Y7*1000)))))))),".")</f>
        <v>16.903506889968849</v>
      </c>
      <c r="Z7" s="76">
        <f>IFERROR(IF(AND(Irr!Y7&lt;&gt;".",Irr!AW7&lt;&gt;".",Irr!BU7&lt;&gt;"."),dir!Z7/((1/1000)*(Irr!Y7+Irr!AW7+Irr!BU7)),IF(AND(Irr!Y7&lt;&gt;".",Irr!AW7&lt;&gt;".",Irr!BU7="."),dir!Z7/((1/1000)*(Irr!Y7+Irr!AW7)),IF(AND(Irr!Y7&lt;&gt;".",Irr!AW7=".",Irr!BU7&lt;&gt;"."),dir!Z7/((1/1000)*(Irr!Y7+Irr!BU7)),IF(AND(Irr!Y7=".",Irr!AW7&lt;&gt;".",Irr!BU7&lt;&gt;"."),dir!Z7/((1/1000)*(Irr!AW7+Irr!BU7)),IF(AND(Irr!Y7=".",Irr!AW7=".",Irr!BU7&lt;&gt;"."),dir!Z7/((1/1000)*(Irr!BU7)),IF(AND(Irr!Y7=".",Irr!AW7&lt;&gt;".",Irr!BU7="."),dir!Z7/((1/1000)*(Irr!AW7)),IF(AND(Irr!Y7&lt;&gt;".",Irr!AW7=".",Irr!BU7="."),dir!Z7/((1/1000)*(Irr!Y7)),IF(AND(Irr!Y7=".",Irr!AW7=".",Irr!BU7="."),dir!Z7*1000)))))))),".")</f>
        <v>8.2969964481154292</v>
      </c>
      <c r="AA7" s="76">
        <f>IFERROR(IF(AND(Irr!Z7&lt;&gt;".",Irr!AX7&lt;&gt;".",Irr!BV7&lt;&gt;"."),dir!AA7/((1/1000)*(Irr!Z7+Irr!AX7+Irr!BV7)),IF(AND(Irr!Z7&lt;&gt;".",Irr!AX7&lt;&gt;".",Irr!BV7="."),dir!AA7/((1/1000)*(Irr!Z7+Irr!AX7)),IF(AND(Irr!Z7&lt;&gt;".",Irr!AX7=".",Irr!BV7&lt;&gt;"."),dir!AA7/((1/1000)*(Irr!Z7+Irr!BV7)),IF(AND(Irr!Z7=".",Irr!AX7&lt;&gt;".",Irr!BV7&lt;&gt;"."),dir!AA7/((1/1000)*(Irr!AX7+Irr!BV7)),IF(AND(Irr!Z7=".",Irr!AX7=".",Irr!BV7&lt;&gt;"."),dir!AA7/((1/1000)*(Irr!BV7)),IF(AND(Irr!Z7=".",Irr!AX7&lt;&gt;".",Irr!BV7="."),dir!AA7/((1/1000)*(Irr!AX7)),IF(AND(Irr!Z7&lt;&gt;".",Irr!AX7=".",Irr!BV7="."),dir!AA7/((1/1000)*(Irr!Z7)),IF(AND(Irr!Z7=".",Irr!AX7=".",Irr!BV7="."),dir!AA7*1000)))))))),".")</f>
        <v>6.4240888298369603</v>
      </c>
      <c r="AB7" s="76">
        <f t="shared" si="5"/>
        <v>0.53989927429002305</v>
      </c>
      <c r="AC7" s="76">
        <f>IFERROR(IF(AND(Irr!C7&lt;&gt;".",Irr!AA7&lt;&gt;".",Irr!AY7&lt;&gt;"."),dir!AC7/((1/1000)*(Irr!C7+Irr!AA7+Irr!AY7)),IF(AND(Irr!C7&lt;&gt;".",Irr!AA7&lt;&gt;".",Irr!AY7="."),dir!AC7/((1/1000)*(Irr!C7+Irr!AA7)),IF(AND(Irr!C7&lt;&gt;".",Irr!AA7=".",Irr!AY7&lt;&gt;"."),dir!AC7/((1/1000)*(Irr!C7+Irr!AY7)),IF(AND(Irr!C7=".",Irr!AA7&lt;&gt;".",Irr!AY7&lt;&gt;"."),dir!AC7/((1/1000)*(Irr!AA7+Irr!AY7)),IF(AND(Irr!C7=".",Irr!AA7=".",Irr!AY7&lt;&gt;"."),dir!AC7/((1/1000)*(Irr!AY7)),IF(AND(Irr!C7=".",Irr!AA7&lt;&gt;".",Irr!AY7="."),dir!AC7/((1/1000)*(Irr!AA7)),IF(AND(Irr!C7&lt;&gt;".",Irr!AA7=".",Irr!AY7="."),dir!AC7/((1/1000)*(Irr!C7)),IF(AND(Irr!C7=".",Irr!AA7=".",Irr!AY7="."),dir!AC7*1000)))))))),".")</f>
        <v>8.9934505537515488</v>
      </c>
      <c r="AD7" s="76">
        <f>IFERROR(IF(AND(Irr!D7&lt;&gt;".",Irr!AB7&lt;&gt;".",Irr!AZ7&lt;&gt;"."),dir!AD7/((1/1000)*(Irr!D7+Irr!AB7+Irr!AZ7)),IF(AND(Irr!D7&lt;&gt;".",Irr!AB7&lt;&gt;".",Irr!AZ7="."),dir!AD7/((1/1000)*(Irr!D7+Irr!AB7)),IF(AND(Irr!D7&lt;&gt;".",Irr!AB7=".",Irr!AZ7&lt;&gt;"."),dir!AD7/((1/1000)*(Irr!D7+Irr!AZ7)),IF(AND(Irr!D7=".",Irr!AB7&lt;&gt;".",Irr!AZ7&lt;&gt;"."),dir!AD7/((1/1000)*(Irr!AB7+Irr!AZ7)),IF(AND(Irr!D7=".",Irr!AB7=".",Irr!AZ7&lt;&gt;"."),dir!AD7/((1/1000)*(Irr!AZ7)),IF(AND(Irr!D7=".",Irr!AB7&lt;&gt;".",Irr!AZ7="."),dir!AD7/((1/1000)*(Irr!AB7)),IF(AND(Irr!D7&lt;&gt;".",Irr!AB7=".",Irr!AZ7="."),dir!AD7/((1/1000)*(Irr!D7)),IF(AND(Irr!D7=".",Irr!AB7=".",Irr!AZ7="."),dir!AD7*1000)))))))),".")</f>
        <v>21.577092639717186</v>
      </c>
      <c r="AE7" s="76">
        <f>IFERROR(IF(AND(Irr!E7&lt;&gt;".",Irr!AC7&lt;&gt;".",Irr!BA7&lt;&gt;"."),dir!AE7/((1/1000)*(Irr!E7+Irr!AC7+Irr!BA7)),IF(AND(Irr!E7&lt;&gt;".",Irr!AC7&lt;&gt;".",Irr!BA7="."),dir!AE7/((1/1000)*(Irr!E7+Irr!AC7)),IF(AND(Irr!E7&lt;&gt;".",Irr!AC7=".",Irr!BA7&lt;&gt;"."),dir!AE7/((1/1000)*(Irr!E7+Irr!BA7)),IF(AND(Irr!E7=".",Irr!AC7&lt;&gt;".",Irr!BA7&lt;&gt;"."),dir!AE7/((1/1000)*(Irr!AC7+Irr!BA7)),IF(AND(Irr!E7=".",Irr!AC7=".",Irr!BA7&lt;&gt;"."),dir!AE7/((1/1000)*(Irr!BA7)),IF(AND(Irr!E7=".",Irr!AC7&lt;&gt;".",Irr!BA7="."),dir!AE7/((1/1000)*(Irr!AC7)),IF(AND(Irr!E7&lt;&gt;".",Irr!AC7=".",Irr!BA7="."),dir!AE7/((1/1000)*(Irr!E7)),IF(AND(Irr!E7=".",Irr!AC7=".",Irr!BA7="."),dir!AE7*1000)))))))),".")</f>
        <v>25.829922251161857</v>
      </c>
      <c r="AF7" s="76">
        <f>IFERROR(IF(AND(Irr!F7&lt;&gt;".",Irr!AD7&lt;&gt;".",Irr!BB7&lt;&gt;"."),dir!AF7/((1/1000)*(Irr!F7+Irr!AD7+Irr!BB7)),IF(AND(Irr!F7&lt;&gt;".",Irr!AD7&lt;&gt;".",Irr!BB7="."),dir!AF7/((1/1000)*(Irr!F7+Irr!AD7)),IF(AND(Irr!F7&lt;&gt;".",Irr!AD7=".",Irr!BB7&lt;&gt;"."),dir!AF7/((1/1000)*(Irr!F7+Irr!BB7)),IF(AND(Irr!F7=".",Irr!AD7&lt;&gt;".",Irr!BB7&lt;&gt;"."),dir!AF7/((1/1000)*(Irr!AD7+Irr!BB7)),IF(AND(Irr!F7=".",Irr!AD7=".",Irr!BB7&lt;&gt;"."),dir!AF7/((1/1000)*(Irr!BB7)),IF(AND(Irr!F7=".",Irr!AD7&lt;&gt;".",Irr!BB7="."),dir!AF7/((1/1000)*(Irr!AD7)),IF(AND(Irr!F7&lt;&gt;".",Irr!AD7=".",Irr!BB7="."),dir!AF7/((1/1000)*(Irr!F7)),IF(AND(Irr!F7=".",Irr!AD7=".",Irr!BB7="."),dir!AF7*1000)))))))),".")</f>
        <v>22.54772036273409</v>
      </c>
      <c r="AG7" s="76">
        <f>IFERROR(IF(AND(Irr!G7&lt;&gt;".",Irr!AE7&lt;&gt;".",Irr!BC7&lt;&gt;"."),dir!AG7/((1/1000)*(Irr!G7+Irr!AE7+Irr!BC7)),IF(AND(Irr!G7&lt;&gt;".",Irr!AE7&lt;&gt;".",Irr!BC7="."),dir!AG7/((1/1000)*(Irr!G7+Irr!AE7)),IF(AND(Irr!G7&lt;&gt;".",Irr!AE7=".",Irr!BC7&lt;&gt;"."),dir!AG7/((1/1000)*(Irr!G7+Irr!BC7)),IF(AND(Irr!G7=".",Irr!AE7&lt;&gt;".",Irr!BC7&lt;&gt;"."),dir!AG7/((1/1000)*(Irr!AE7+Irr!BC7)),IF(AND(Irr!G7=".",Irr!AE7=".",Irr!BC7&lt;&gt;"."),dir!AG7/((1/1000)*(Irr!BC7)),IF(AND(Irr!G7=".",Irr!AE7&lt;&gt;".",Irr!BC7="."),dir!AG7/((1/1000)*(Irr!AE7)),IF(AND(Irr!G7&lt;&gt;".",Irr!AE7=".",Irr!BC7="."),dir!AG7/((1/1000)*(Irr!G7)),IF(AND(Irr!G7=".",Irr!AE7=".",Irr!BC7="."),dir!AG7*1000)))))))),".")</f>
        <v>23.508041437135052</v>
      </c>
      <c r="AH7" s="76">
        <f>IFERROR(IF(AND(Irr!H7&lt;&gt;".",Irr!AF7&lt;&gt;".",Irr!BD7&lt;&gt;"."),dir!AH7/((1/1000)*(Irr!H7+Irr!AF7+Irr!BD7)),IF(AND(Irr!H7&lt;&gt;".",Irr!AF7&lt;&gt;".",Irr!BD7="."),dir!AH7/((1/1000)*(Irr!H7+Irr!AF7)),IF(AND(Irr!H7&lt;&gt;".",Irr!AF7=".",Irr!BD7&lt;&gt;"."),dir!AH7/((1/1000)*(Irr!H7+Irr!BD7)),IF(AND(Irr!H7=".",Irr!AF7&lt;&gt;".",Irr!BD7&lt;&gt;"."),dir!AH7/((1/1000)*(Irr!AF7+Irr!BD7)),IF(AND(Irr!H7=".",Irr!AF7=".",Irr!BD7&lt;&gt;"."),dir!AH7/((1/1000)*(Irr!BD7)),IF(AND(Irr!H7=".",Irr!AF7&lt;&gt;".",Irr!BD7="."),dir!AH7/((1/1000)*(Irr!AF7)),IF(AND(Irr!H7&lt;&gt;".",Irr!AF7=".",Irr!BD7="."),dir!AH7/((1/1000)*(Irr!H7)),IF(AND(Irr!H7=".",Irr!AF7=".",Irr!BD7="."),dir!AH7*1000)))))))),".")</f>
        <v>10.185379829016668</v>
      </c>
      <c r="AI7" s="76">
        <f>IFERROR(IF(AND(Irr!I7&lt;&gt;".",Irr!AG7&lt;&gt;".",Irr!BE7&lt;&gt;"."),dir!AI7/((1/1000)*(Irr!I7+Irr!AG7+Irr!BE7)),IF(AND(Irr!I7&lt;&gt;".",Irr!AG7&lt;&gt;".",Irr!BE7="."),dir!AI7/((1/1000)*(Irr!I7+Irr!AG7)),IF(AND(Irr!I7&lt;&gt;".",Irr!AG7=".",Irr!BE7&lt;&gt;"."),dir!AI7/((1/1000)*(Irr!I7+Irr!BE7)),IF(AND(Irr!I7=".",Irr!AG7&lt;&gt;".",Irr!BE7&lt;&gt;"."),dir!AI7/((1/1000)*(Irr!AG7+Irr!BE7)),IF(AND(Irr!I7=".",Irr!AG7=".",Irr!BE7&lt;&gt;"."),dir!AI7/((1/1000)*(Irr!BE7)),IF(AND(Irr!I7=".",Irr!AG7&lt;&gt;".",Irr!BE7="."),dir!AI7/((1/1000)*(Irr!AG7)),IF(AND(Irr!I7&lt;&gt;".",Irr!AG7=".",Irr!BE7="."),dir!AI7/((1/1000)*(Irr!I7)),IF(AND(Irr!I7=".",Irr!AG7=".",Irr!BE7="."),dir!AI7*1000)))))))),".")</f>
        <v>33.409010557500729</v>
      </c>
      <c r="AJ7" s="76">
        <f>IFERROR(IF(AND(Irr!J7&lt;&gt;".",Irr!AH7&lt;&gt;".",Irr!BF7&lt;&gt;"."),dir!AJ7/((1/1000)*(Irr!J7+Irr!AH7+Irr!BF7)),IF(AND(Irr!J7&lt;&gt;".",Irr!AH7&lt;&gt;".",Irr!BF7="."),dir!AJ7/((1/1000)*(Irr!J7+Irr!AH7)),IF(AND(Irr!J7&lt;&gt;".",Irr!AH7=".",Irr!BF7&lt;&gt;"."),dir!AJ7/((1/1000)*(Irr!J7+Irr!BF7)),IF(AND(Irr!J7=".",Irr!AH7&lt;&gt;".",Irr!BF7&lt;&gt;"."),dir!AJ7/((1/1000)*(Irr!AH7+Irr!BF7)),IF(AND(Irr!J7=".",Irr!AH7=".",Irr!BF7&lt;&gt;"."),dir!AJ7/((1/1000)*(Irr!BF7)),IF(AND(Irr!J7=".",Irr!AH7&lt;&gt;".",Irr!BF7="."),dir!AJ7/((1/1000)*(Irr!AH7)),IF(AND(Irr!J7&lt;&gt;".",Irr!AH7=".",Irr!BF7="."),dir!AJ7/((1/1000)*(Irr!J7)),IF(AND(Irr!J7=".",Irr!AH7=".",Irr!BF7="."),dir!AJ7*1000)))))))),".")</f>
        <v>2.5991042419116308</v>
      </c>
      <c r="AK7" s="76">
        <f>IFERROR(IF(AND(Irr!K7&lt;&gt;".",Irr!AI7&lt;&gt;".",Irr!BG7&lt;&gt;"."),dir!AK7/((1/1000)*(Irr!K7+Irr!AI7+Irr!BG7)),IF(AND(Irr!K7&lt;&gt;".",Irr!AI7&lt;&gt;".",Irr!BG7="."),dir!AK7/((1/1000)*(Irr!K7+Irr!AI7)),IF(AND(Irr!K7&lt;&gt;".",Irr!AI7=".",Irr!BG7&lt;&gt;"."),dir!AK7/((1/1000)*(Irr!K7+Irr!BG7)),IF(AND(Irr!K7=".",Irr!AI7&lt;&gt;".",Irr!BG7&lt;&gt;"."),dir!AK7/((1/1000)*(Irr!AI7+Irr!BG7)),IF(AND(Irr!K7=".",Irr!AI7=".",Irr!BG7&lt;&gt;"."),dir!AK7/((1/1000)*(Irr!BG7)),IF(AND(Irr!K7=".",Irr!AI7&lt;&gt;".",Irr!BG7="."),dir!AK7/((1/1000)*(Irr!AI7)),IF(AND(Irr!K7&lt;&gt;".",Irr!AI7=".",Irr!BG7="."),dir!AK7/((1/1000)*(Irr!K7)),IF(AND(Irr!K7=".",Irr!AI7=".",Irr!BG7="."),dir!AK7*1000)))))))),".")</f>
        <v>10.17858593535929</v>
      </c>
      <c r="AL7" s="76">
        <f>IFERROR(IF(AND(Irr!L7&lt;&gt;".",Irr!AJ7&lt;&gt;".",Irr!BH7&lt;&gt;"."),dir!AL7/((1/1000)*(Irr!L7+Irr!AJ7+Irr!BH7)),IF(AND(Irr!L7&lt;&gt;".",Irr!AJ7&lt;&gt;".",Irr!BH7="."),dir!AL7/((1/1000)*(Irr!L7+Irr!AJ7)),IF(AND(Irr!L7&lt;&gt;".",Irr!AJ7=".",Irr!BH7&lt;&gt;"."),dir!AL7/((1/1000)*(Irr!L7+Irr!BH7)),IF(AND(Irr!L7=".",Irr!AJ7&lt;&gt;".",Irr!BH7&lt;&gt;"."),dir!AL7/((1/1000)*(Irr!AJ7+Irr!BH7)),IF(AND(Irr!L7=".",Irr!AJ7=".",Irr!BH7&lt;&gt;"."),dir!AL7/((1/1000)*(Irr!BH7)),IF(AND(Irr!L7=".",Irr!AJ7&lt;&gt;".",Irr!BH7="."),dir!AL7/((1/1000)*(Irr!AJ7)),IF(AND(Irr!L7&lt;&gt;".",Irr!AJ7=".",Irr!BH7="."),dir!AL7/((1/1000)*(Irr!L7)),IF(AND(Irr!L7=".",Irr!AJ7=".",Irr!BH7="."),dir!AL7*1000)))))))),".")</f>
        <v>15.442444154178188</v>
      </c>
      <c r="AM7" s="76">
        <f>IFERROR(IF(AND(Irr!M7&lt;&gt;".",Irr!AK7&lt;&gt;".",Irr!BI7&lt;&gt;"."),dir!AM7/((1/1000)*(Irr!M7+Irr!AK7+Irr!BI7)),IF(AND(Irr!M7&lt;&gt;".",Irr!AK7&lt;&gt;".",Irr!BI7="."),dir!AM7/((1/1000)*(Irr!M7+Irr!AK7)),IF(AND(Irr!M7&lt;&gt;".",Irr!AK7=".",Irr!BI7&lt;&gt;"."),dir!AM7/((1/1000)*(Irr!M7+Irr!BI7)),IF(AND(Irr!M7=".",Irr!AK7&lt;&gt;".",Irr!BI7&lt;&gt;"."),dir!AM7/((1/1000)*(Irr!AK7+Irr!BI7)),IF(AND(Irr!M7=".",Irr!AK7=".",Irr!BI7&lt;&gt;"."),dir!AM7/((1/1000)*(Irr!BI7)),IF(AND(Irr!M7=".",Irr!AK7&lt;&gt;".",Irr!BI7="."),dir!AM7/((1/1000)*(Irr!AK7)),IF(AND(Irr!M7&lt;&gt;".",Irr!AK7=".",Irr!BI7="."),dir!AM7/((1/1000)*(Irr!M7)),IF(AND(Irr!M7=".",Irr!AK7=".",Irr!BI7="."),dir!AM7*1000)))))))),".")</f>
        <v>21.913265590752065</v>
      </c>
      <c r="AN7" s="76">
        <f>IFERROR(IF(AND(Irr!N7&lt;&gt;".",Irr!AL7&lt;&gt;".",Irr!BJ7&lt;&gt;"."),dir!AN7/((1/1000)*(Irr!N7+Irr!AL7+Irr!BJ7)),IF(AND(Irr!N7&lt;&gt;".",Irr!AL7&lt;&gt;".",Irr!BJ7="."),dir!AN7/((1/1000)*(Irr!N7+Irr!AL7)),IF(AND(Irr!N7&lt;&gt;".",Irr!AL7=".",Irr!BJ7&lt;&gt;"."),dir!AN7/((1/1000)*(Irr!N7+Irr!BJ7)),IF(AND(Irr!N7=".",Irr!AL7&lt;&gt;".",Irr!BJ7&lt;&gt;"."),dir!AN7/((1/1000)*(Irr!AL7+Irr!BJ7)),IF(AND(Irr!N7=".",Irr!AL7=".",Irr!BJ7&lt;&gt;"."),dir!AN7/((1/1000)*(Irr!BJ7)),IF(AND(Irr!N7=".",Irr!AL7&lt;&gt;".",Irr!BJ7="."),dir!AN7/((1/1000)*(Irr!AL7)),IF(AND(Irr!N7&lt;&gt;".",Irr!AL7=".",Irr!BJ7="."),dir!AN7/((1/1000)*(Irr!N7)),IF(AND(Irr!N7=".",Irr!AL7=".",Irr!BJ7="."),dir!AN7*1000)))))))),".")</f>
        <v>25.105920966877783</v>
      </c>
      <c r="AO7" s="76">
        <f>IFERROR(IF(AND(Irr!O7&lt;&gt;".",Irr!AM7&lt;&gt;".",Irr!BK7&lt;&gt;"."),dir!AO7/((1/1000)*(Irr!O7+Irr!AM7+Irr!BK7)),IF(AND(Irr!O7&lt;&gt;".",Irr!AM7&lt;&gt;".",Irr!BK7="."),dir!AO7/((1/1000)*(Irr!O7+Irr!AM7)),IF(AND(Irr!O7&lt;&gt;".",Irr!AM7=".",Irr!BK7&lt;&gt;"."),dir!AO7/((1/1000)*(Irr!O7+Irr!BK7)),IF(AND(Irr!O7=".",Irr!AM7&lt;&gt;".",Irr!BK7&lt;&gt;"."),dir!AO7/((1/1000)*(Irr!AM7+Irr!BK7)),IF(AND(Irr!O7=".",Irr!AM7=".",Irr!BK7&lt;&gt;"."),dir!AO7/((1/1000)*(Irr!BK7)),IF(AND(Irr!O7=".",Irr!AM7&lt;&gt;".",Irr!BK7="."),dir!AO7/((1/1000)*(Irr!AM7)),IF(AND(Irr!O7&lt;&gt;".",Irr!AM7=".",Irr!BK7="."),dir!AO7/((1/1000)*(Irr!O7)),IF(AND(Irr!O7=".",Irr!AM7=".",Irr!BK7="."),dir!AO7*1000)))))))),".")</f>
        <v>28.702731359675145</v>
      </c>
      <c r="AP7" s="76">
        <f>IFERROR(IF(AND(Irr!P7&lt;&gt;".",Irr!AN7&lt;&gt;".",Irr!BL7&lt;&gt;"."),dir!AP7/((1/1000)*(Irr!P7+Irr!AN7+Irr!BL7)),IF(AND(Irr!P7&lt;&gt;".",Irr!AN7&lt;&gt;".",Irr!BL7="."),dir!AP7/((1/1000)*(Irr!P7+Irr!AN7)),IF(AND(Irr!P7&lt;&gt;".",Irr!AN7=".",Irr!BL7&lt;&gt;"."),dir!AP7/((1/1000)*(Irr!P7+Irr!BL7)),IF(AND(Irr!P7=".",Irr!AN7&lt;&gt;".",Irr!BL7&lt;&gt;"."),dir!AP7/((1/1000)*(Irr!AN7+Irr!BL7)),IF(AND(Irr!P7=".",Irr!AN7=".",Irr!BL7&lt;&gt;"."),dir!AP7/((1/1000)*(Irr!BL7)),IF(AND(Irr!P7=".",Irr!AN7&lt;&gt;".",Irr!BL7="."),dir!AP7/((1/1000)*(Irr!AN7)),IF(AND(Irr!P7&lt;&gt;".",Irr!AN7=".",Irr!BL7="."),dir!AP7/((1/1000)*(Irr!P7)),IF(AND(Irr!P7=".",Irr!AN7=".",Irr!BL7="."),dir!AP7*1000)))))))),".")</f>
        <v>31.386522934908225</v>
      </c>
      <c r="AQ7" s="76">
        <f>IFERROR(IF(AND(Irr!Q7&lt;&gt;".",Irr!AO7&lt;&gt;".",Irr!BM7&lt;&gt;"."),dir!AQ7/((1/1000)*(Irr!Q7+Irr!AO7+Irr!BM7)),IF(AND(Irr!Q7&lt;&gt;".",Irr!AO7&lt;&gt;".",Irr!BM7="."),dir!AQ7/((1/1000)*(Irr!Q7+Irr!AO7)),IF(AND(Irr!Q7&lt;&gt;".",Irr!AO7=".",Irr!BM7&lt;&gt;"."),dir!AQ7/((1/1000)*(Irr!Q7+Irr!BM7)),IF(AND(Irr!Q7=".",Irr!AO7&lt;&gt;".",Irr!BM7&lt;&gt;"."),dir!AQ7/((1/1000)*(Irr!AO7+Irr!BM7)),IF(AND(Irr!Q7=".",Irr!AO7=".",Irr!BM7&lt;&gt;"."),dir!AQ7/((1/1000)*(Irr!BM7)),IF(AND(Irr!Q7=".",Irr!AO7&lt;&gt;".",Irr!BM7="."),dir!AQ7/((1/1000)*(Irr!AO7)),IF(AND(Irr!Q7&lt;&gt;".",Irr!AO7=".",Irr!BM7="."),dir!AQ7/((1/1000)*(Irr!Q7)),IF(AND(Irr!Q7=".",Irr!AO7=".",Irr!BM7="."),dir!AQ7*1000)))))))),".")</f>
        <v>7.406170014883692</v>
      </c>
      <c r="AR7" s="76">
        <f>IFERROR(IF(AND(Irr!R7&lt;&gt;".",Irr!AP7&lt;&gt;".",Irr!BN7&lt;&gt;"."),dir!AR7/((1/1000)*(Irr!R7+Irr!AP7+Irr!BN7)),IF(AND(Irr!R7&lt;&gt;".",Irr!AP7&lt;&gt;".",Irr!BN7="."),dir!AR7/((1/1000)*(Irr!R7+Irr!AP7)),IF(AND(Irr!R7&lt;&gt;".",Irr!AP7=".",Irr!BN7&lt;&gt;"."),dir!AR7/((1/1000)*(Irr!R7+Irr!BN7)),IF(AND(Irr!R7=".",Irr!AP7&lt;&gt;".",Irr!BN7&lt;&gt;"."),dir!AR7/((1/1000)*(Irr!AP7+Irr!BN7)),IF(AND(Irr!R7=".",Irr!AP7=".",Irr!BN7&lt;&gt;"."),dir!AR7/((1/1000)*(Irr!BN7)),IF(AND(Irr!R7=".",Irr!AP7&lt;&gt;".",Irr!BN7="."),dir!AR7/((1/1000)*(Irr!AP7)),IF(AND(Irr!R7&lt;&gt;".",Irr!AP7=".",Irr!BN7="."),dir!AR7/((1/1000)*(Irr!R7)),IF(AND(Irr!R7=".",Irr!AP7=".",Irr!BN7="."),dir!AR7*1000)))))))),".")</f>
        <v>12.16843521151106</v>
      </c>
      <c r="AS7" s="76">
        <f>IFERROR(IF(AND(Irr!S7&lt;&gt;".",Irr!AQ7&lt;&gt;".",Irr!BO7&lt;&gt;"."),dir!AS7/((1/1000)*(Irr!S7+Irr!AQ7+Irr!BO7)),IF(AND(Irr!S7&lt;&gt;".",Irr!AQ7&lt;&gt;".",Irr!BO7="."),dir!AS7/((1/1000)*(Irr!S7+Irr!AQ7)),IF(AND(Irr!S7&lt;&gt;".",Irr!AQ7=".",Irr!BO7&lt;&gt;"."),dir!AS7/((1/1000)*(Irr!S7+Irr!BO7)),IF(AND(Irr!S7=".",Irr!AQ7&lt;&gt;".",Irr!BO7&lt;&gt;"."),dir!AS7/((1/1000)*(Irr!AQ7+Irr!BO7)),IF(AND(Irr!S7=".",Irr!AQ7=".",Irr!BO7&lt;&gt;"."),dir!AS7/((1/1000)*(Irr!BO7)),IF(AND(Irr!S7=".",Irr!AQ7&lt;&gt;".",Irr!BO7="."),dir!AS7/((1/1000)*(Irr!AQ7)),IF(AND(Irr!S7&lt;&gt;".",Irr!AQ7=".",Irr!BO7="."),dir!AS7/((1/1000)*(Irr!S7)),IF(AND(Irr!S7=".",Irr!AQ7=".",Irr!BO7="."),dir!AS7*1000)))))))),".")</f>
        <v>24.29598058097714</v>
      </c>
      <c r="AT7" s="76">
        <f>IFERROR(IF(AND(Irr!T7&lt;&gt;".",Irr!AR7&lt;&gt;".",Irr!BP7&lt;&gt;"."),dir!AT7/((1/1000)*(Irr!T7+Irr!AR7+Irr!BP7)),IF(AND(Irr!T7&lt;&gt;".",Irr!AR7&lt;&gt;".",Irr!BP7="."),dir!AT7/((1/1000)*(Irr!T7+Irr!AR7)),IF(AND(Irr!T7&lt;&gt;".",Irr!AR7=".",Irr!BP7&lt;&gt;"."),dir!AT7/((1/1000)*(Irr!T7+Irr!BP7)),IF(AND(Irr!T7=".",Irr!AR7&lt;&gt;".",Irr!BP7&lt;&gt;"."),dir!AT7/((1/1000)*(Irr!AR7+Irr!BP7)),IF(AND(Irr!T7=".",Irr!AR7=".",Irr!BP7&lt;&gt;"."),dir!AT7/((1/1000)*(Irr!BP7)),IF(AND(Irr!T7=".",Irr!AR7&lt;&gt;".",Irr!BP7="."),dir!AT7/((1/1000)*(Irr!AR7)),IF(AND(Irr!T7&lt;&gt;".",Irr!AR7=".",Irr!BP7="."),dir!AT7/((1/1000)*(Irr!T7)),IF(AND(Irr!T7=".",Irr!AR7=".",Irr!BP7="."),dir!AT7*1000)))))))),".")</f>
        <v>5.8790255889560497</v>
      </c>
      <c r="AU7" s="76">
        <f>IFERROR(IF(AND(Irr!U7&lt;&gt;".",Irr!AS7&lt;&gt;".",Irr!BQ7&lt;&gt;"."),dir!AU7/((1/1000)*(Irr!U7+Irr!AS7+Irr!BQ7)),IF(AND(Irr!U7&lt;&gt;".",Irr!AS7&lt;&gt;".",Irr!BQ7="."),dir!AU7/((1/1000)*(Irr!U7+Irr!AS7)),IF(AND(Irr!U7&lt;&gt;".",Irr!AS7=".",Irr!BQ7&lt;&gt;"."),dir!AU7/((1/1000)*(Irr!U7+Irr!BQ7)),IF(AND(Irr!U7=".",Irr!AS7&lt;&gt;".",Irr!BQ7&lt;&gt;"."),dir!AU7/((1/1000)*(Irr!AS7+Irr!BQ7)),IF(AND(Irr!U7=".",Irr!AS7=".",Irr!BQ7&lt;&gt;"."),dir!AU7/((1/1000)*(Irr!BQ7)),IF(AND(Irr!U7=".",Irr!AS7&lt;&gt;".",Irr!BQ7="."),dir!AU7/((1/1000)*(Irr!AS7)),IF(AND(Irr!U7&lt;&gt;".",Irr!AS7=".",Irr!BQ7="."),dir!AU7/((1/1000)*(Irr!U7)),IF(AND(Irr!U7=".",Irr!AS7=".",Irr!BQ7="."),dir!AU7*1000)))))))),".")</f>
        <v>12.280965646317927</v>
      </c>
      <c r="AV7" s="76">
        <f>IFERROR(IF(AND(Irr!V7&lt;&gt;".",Irr!AT7&lt;&gt;".",Irr!BR7&lt;&gt;"."),dir!AV7/((1/1000)*(Irr!V7+Irr!AT7+Irr!BR7)),IF(AND(Irr!V7&lt;&gt;".",Irr!AT7&lt;&gt;".",Irr!BR7="."),dir!AV7/((1/1000)*(Irr!V7+Irr!AT7)),IF(AND(Irr!V7&lt;&gt;".",Irr!AT7=".",Irr!BR7&lt;&gt;"."),dir!AV7/((1/1000)*(Irr!V7+Irr!BR7)),IF(AND(Irr!V7=".",Irr!AT7&lt;&gt;".",Irr!BR7&lt;&gt;"."),dir!AV7/((1/1000)*(Irr!AT7+Irr!BR7)),IF(AND(Irr!V7=".",Irr!AT7=".",Irr!BR7&lt;&gt;"."),dir!AV7/((1/1000)*(Irr!BR7)),IF(AND(Irr!V7=".",Irr!AT7&lt;&gt;".",Irr!BR7="."),dir!AV7/((1/1000)*(Irr!AT7)),IF(AND(Irr!V7&lt;&gt;".",Irr!AT7=".",Irr!BR7="."),dir!AV7/((1/1000)*(Irr!V7)),IF(AND(Irr!V7=".",Irr!AT7=".",Irr!BR7="."),dir!AV7*1000)))))))),".")</f>
        <v>14.773464213906582</v>
      </c>
      <c r="AW7" s="76">
        <f>IFERROR(IF(AND(Irr!W7&lt;&gt;".",Irr!AU7&lt;&gt;".",Irr!BS7&lt;&gt;"."),dir!AW7/((1/1000)*(Irr!W7+Irr!AU7+Irr!BS7)),IF(AND(Irr!W7&lt;&gt;".",Irr!AU7&lt;&gt;".",Irr!BS7="."),dir!AW7/((1/1000)*(Irr!W7+Irr!AU7)),IF(AND(Irr!W7&lt;&gt;".",Irr!AU7=".",Irr!BS7&lt;&gt;"."),dir!AW7/((1/1000)*(Irr!W7+Irr!BS7)),IF(AND(Irr!W7=".",Irr!AU7&lt;&gt;".",Irr!BS7&lt;&gt;"."),dir!AW7/((1/1000)*(Irr!AU7+Irr!BS7)),IF(AND(Irr!W7=".",Irr!AU7=".",Irr!BS7&lt;&gt;"."),dir!AW7/((1/1000)*(Irr!BS7)),IF(AND(Irr!W7=".",Irr!AU7&lt;&gt;".",Irr!BS7="."),dir!AW7/((1/1000)*(Irr!AU7)),IF(AND(Irr!W7&lt;&gt;".",Irr!AU7=".",Irr!BS7="."),dir!AW7/((1/1000)*(Irr!W7)),IF(AND(Irr!W7=".",Irr!AU7=".",Irr!BS7="."),dir!AW7*1000)))))))),".")</f>
        <v>19.87487664661964</v>
      </c>
      <c r="AX7" s="76">
        <f>IFERROR(IF(AND(Irr!X7&lt;&gt;".",Irr!AV7&lt;&gt;".",Irr!BT7&lt;&gt;"."),dir!AX7/((1/1000)*(Irr!X7+Irr!AV7+Irr!BT7)),IF(AND(Irr!X7&lt;&gt;".",Irr!AV7&lt;&gt;".",Irr!BT7="."),dir!AX7/((1/1000)*(Irr!X7+Irr!AV7)),IF(AND(Irr!X7&lt;&gt;".",Irr!AV7=".",Irr!BT7&lt;&gt;"."),dir!AX7/((1/1000)*(Irr!X7+Irr!BT7)),IF(AND(Irr!X7=".",Irr!AV7&lt;&gt;".",Irr!BT7&lt;&gt;"."),dir!AX7/((1/1000)*(Irr!AV7+Irr!BT7)),IF(AND(Irr!X7=".",Irr!AV7=".",Irr!BT7&lt;&gt;"."),dir!AX7/((1/1000)*(Irr!BT7)),IF(AND(Irr!X7=".",Irr!AV7&lt;&gt;".",Irr!BT7="."),dir!AX7/((1/1000)*(Irr!AV7)),IF(AND(Irr!X7&lt;&gt;".",Irr!AV7=".",Irr!BT7="."),dir!AX7/((1/1000)*(Irr!X7)),IF(AND(Irr!X7=".",Irr!AV7=".",Irr!BT7="."),dir!AX7*1000)))))))),".")</f>
        <v>8.8386486703834546</v>
      </c>
      <c r="AY7" s="76">
        <f>IFERROR(IF(AND(Irr!Y7&lt;&gt;".",Irr!AW7&lt;&gt;".",Irr!BU7&lt;&gt;"."),dir!AY7/((1/1000)*(Irr!Y7+Irr!AW7+Irr!BU7)),IF(AND(Irr!Y7&lt;&gt;".",Irr!AW7&lt;&gt;".",Irr!BU7="."),dir!AY7/((1/1000)*(Irr!Y7+Irr!AW7)),IF(AND(Irr!Y7&lt;&gt;".",Irr!AW7=".",Irr!BU7&lt;&gt;"."),dir!AY7/((1/1000)*(Irr!Y7+Irr!BU7)),IF(AND(Irr!Y7=".",Irr!AW7&lt;&gt;".",Irr!BU7&lt;&gt;"."),dir!AY7/((1/1000)*(Irr!AW7+Irr!BU7)),IF(AND(Irr!Y7=".",Irr!AW7=".",Irr!BU7&lt;&gt;"."),dir!AY7/((1/1000)*(Irr!BU7)),IF(AND(Irr!Y7=".",Irr!AW7&lt;&gt;".",Irr!BU7="."),dir!AY7/((1/1000)*(Irr!AW7)),IF(AND(Irr!Y7&lt;&gt;".",Irr!AW7=".",Irr!BU7="."),dir!AY7/((1/1000)*(Irr!Y7)),IF(AND(Irr!Y7=".",Irr!AW7=".",Irr!BU7="."),dir!AY7*1000)))))))),".")</f>
        <v>4.2204374996194094</v>
      </c>
      <c r="AZ7" s="76">
        <f>IFERROR(IF(AND(Irr!Z7&lt;&gt;".",Irr!AX7&lt;&gt;".",Irr!BV7&lt;&gt;"."),dir!AZ7/((1/1000)*(Irr!Z7+Irr!AX7+Irr!BV7)),IF(AND(Irr!Z7&lt;&gt;".",Irr!AX7&lt;&gt;".",Irr!BV7="."),dir!AZ7/((1/1000)*(Irr!Z7+Irr!AX7)),IF(AND(Irr!Z7&lt;&gt;".",Irr!AX7=".",Irr!BV7&lt;&gt;"."),dir!AZ7/((1/1000)*(Irr!Z7+Irr!BV7)),IF(AND(Irr!Z7=".",Irr!AX7&lt;&gt;".",Irr!BV7&lt;&gt;"."),dir!AZ7/((1/1000)*(Irr!AX7+Irr!BV7)),IF(AND(Irr!Z7=".",Irr!AX7=".",Irr!BV7&lt;&gt;"."),dir!AZ7/((1/1000)*(Irr!BV7)),IF(AND(Irr!Z7=".",Irr!AX7&lt;&gt;".",Irr!BV7="."),dir!AZ7/((1/1000)*(Irr!AX7)),IF(AND(Irr!Z7&lt;&gt;".",Irr!AX7=".",Irr!BV7="."),dir!AZ7/((1/1000)*(Irr!Z7)),IF(AND(Irr!Z7=".",Irr!AX7=".",Irr!BV7="."),dir!AZ7*1000)))))))),".")</f>
        <v>3.993566954736028</v>
      </c>
    </row>
    <row r="8" spans="1:52" ht="15" customHeight="1" x14ac:dyDescent="0.25">
      <c r="A8" s="92" t="s">
        <v>18</v>
      </c>
      <c r="B8" s="90" t="s">
        <v>1074</v>
      </c>
      <c r="C8" s="76">
        <f t="shared" si="4"/>
        <v>15.962620329259751</v>
      </c>
      <c r="D8" s="76">
        <f>IFERROR(IF(AND(Irr!C8&lt;&gt;".",Irr!AA8&lt;&gt;".",Irr!AY8&lt;&gt;"."),dir!D8/((1/1000)*(Irr!C8+Irr!AA8+Irr!AY8)),IF(AND(Irr!C8&lt;&gt;".",Irr!AA8&lt;&gt;".",Irr!AY8="."),dir!D8/((1/1000)*(Irr!C8+Irr!AA8)),IF(AND(Irr!C8&lt;&gt;".",Irr!AA8=".",Irr!AY8&lt;&gt;"."),dir!D8/((1/1000)*(Irr!C8+Irr!AY8)),IF(AND(Irr!C8=".",Irr!AA8&lt;&gt;".",Irr!AY8&lt;&gt;"."),dir!D8/((1/1000)*(Irr!AA8+Irr!AY8)),IF(AND(Irr!C8=".",Irr!AA8=".",Irr!AY8&lt;&gt;"."),dir!D8/((1/1000)*(Irr!AY8)),IF(AND(Irr!C8=".",Irr!AA8&lt;&gt;".",Irr!AY8="."),dir!D8/((1/1000)*(Irr!AA8)),IF(AND(Irr!C8&lt;&gt;".",Irr!AA8=".",Irr!AY8="."),dir!D8/((1/1000)*(Irr!C8)),IF(AND(Irr!C8=".",Irr!AA8=".",Irr!AY8="."),dir!D8*1000)))))))),".")</f>
        <v>288.95341219074498</v>
      </c>
      <c r="E8" s="76">
        <f>IFERROR(IF(AND(Irr!D8&lt;&gt;".",Irr!AB8&lt;&gt;".",Irr!AZ8&lt;&gt;"."),dir!E8/((1/1000)*(Irr!D8+Irr!AB8+Irr!AZ8)),IF(AND(Irr!D8&lt;&gt;".",Irr!AB8&lt;&gt;".",Irr!AZ8="."),dir!E8/((1/1000)*(Irr!D8+Irr!AB8)),IF(AND(Irr!D8&lt;&gt;".",Irr!AB8=".",Irr!AZ8&lt;&gt;"."),dir!E8/((1/1000)*(Irr!D8+Irr!AZ8)),IF(AND(Irr!D8=".",Irr!AB8&lt;&gt;".",Irr!AZ8&lt;&gt;"."),dir!E8/((1/1000)*(Irr!AB8+Irr!AZ8)),IF(AND(Irr!D8=".",Irr!AB8=".",Irr!AZ8&lt;&gt;"."),dir!E8/((1/1000)*(Irr!AZ8)),IF(AND(Irr!D8=".",Irr!AB8&lt;&gt;".",Irr!AZ8="."),dir!E8/((1/1000)*(Irr!AB8)),IF(AND(Irr!D8&lt;&gt;".",Irr!AB8=".",Irr!AZ8="."),dir!E8/((1/1000)*(Irr!D8)),IF(AND(Irr!D8=".",Irr!AB8=".",Irr!AZ8="."),dir!E8*1000)))))))),".")</f>
        <v>642.55589437482922</v>
      </c>
      <c r="F8" s="76">
        <f>IFERROR(IF(AND(Irr!E8&lt;&gt;".",Irr!AC8&lt;&gt;".",Irr!BA8&lt;&gt;"."),dir!F8/((1/1000)*(Irr!E8+Irr!AC8+Irr!BA8)),IF(AND(Irr!E8&lt;&gt;".",Irr!AC8&lt;&gt;".",Irr!BA8="."),dir!F8/((1/1000)*(Irr!E8+Irr!AC8)),IF(AND(Irr!E8&lt;&gt;".",Irr!AC8=".",Irr!BA8&lt;&gt;"."),dir!F8/((1/1000)*(Irr!E8+Irr!BA8)),IF(AND(Irr!E8=".",Irr!AC8&lt;&gt;".",Irr!BA8&lt;&gt;"."),dir!F8/((1/1000)*(Irr!AC8+Irr!BA8)),IF(AND(Irr!E8=".",Irr!AC8=".",Irr!BA8&lt;&gt;"."),dir!F8/((1/1000)*(Irr!BA8)),IF(AND(Irr!E8=".",Irr!AC8&lt;&gt;".",Irr!BA8="."),dir!F8/((1/1000)*(Irr!AC8)),IF(AND(Irr!E8&lt;&gt;".",Irr!AC8=".",Irr!BA8="."),dir!F8/((1/1000)*(Irr!E8)),IF(AND(Irr!E8=".",Irr!AC8=".",Irr!BA8="."),dir!F8*1000)))))))),".")</f>
        <v>785.78836257624312</v>
      </c>
      <c r="G8" s="76">
        <f>IFERROR(IF(AND(Irr!F8&lt;&gt;".",Irr!AD8&lt;&gt;".",Irr!BB8&lt;&gt;"."),dir!G8/((1/1000)*(Irr!F8+Irr!AD8+Irr!BB8)),IF(AND(Irr!F8&lt;&gt;".",Irr!AD8&lt;&gt;".",Irr!BB8="."),dir!G8/((1/1000)*(Irr!F8+Irr!AD8)),IF(AND(Irr!F8&lt;&gt;".",Irr!AD8=".",Irr!BB8&lt;&gt;"."),dir!G8/((1/1000)*(Irr!F8+Irr!BB8)),IF(AND(Irr!F8=".",Irr!AD8&lt;&gt;".",Irr!BB8&lt;&gt;"."),dir!G8/((1/1000)*(Irr!AD8+Irr!BB8)),IF(AND(Irr!F8=".",Irr!AD8=".",Irr!BB8&lt;&gt;"."),dir!G8/((1/1000)*(Irr!BB8)),IF(AND(Irr!F8=".",Irr!AD8&lt;&gt;".",Irr!BB8="."),dir!G8/((1/1000)*(Irr!AD8)),IF(AND(Irr!F8&lt;&gt;".",Irr!AD8=".",Irr!BB8="."),dir!G8/((1/1000)*(Irr!F8)),IF(AND(Irr!F8=".",Irr!AD8=".",Irr!BB8="."),dir!G8*1000)))))))),".")</f>
        <v>647.25814387389789</v>
      </c>
      <c r="H8" s="76">
        <f>IFERROR(IF(AND(Irr!G8&lt;&gt;".",Irr!AE8&lt;&gt;".",Irr!BC8&lt;&gt;"."),dir!H8/((1/1000)*(Irr!G8+Irr!AE8+Irr!BC8)),IF(AND(Irr!G8&lt;&gt;".",Irr!AE8&lt;&gt;".",Irr!BC8="."),dir!H8/((1/1000)*(Irr!G8+Irr!AE8)),IF(AND(Irr!G8&lt;&gt;".",Irr!AE8=".",Irr!BC8&lt;&gt;"."),dir!H8/((1/1000)*(Irr!G8+Irr!BC8)),IF(AND(Irr!G8=".",Irr!AE8&lt;&gt;".",Irr!BC8&lt;&gt;"."),dir!H8/((1/1000)*(Irr!AE8+Irr!BC8)),IF(AND(Irr!G8=".",Irr!AE8=".",Irr!BC8&lt;&gt;"."),dir!H8/((1/1000)*(Irr!BC8)),IF(AND(Irr!G8=".",Irr!AE8&lt;&gt;".",Irr!BC8="."),dir!H8/((1/1000)*(Irr!AE8)),IF(AND(Irr!G8&lt;&gt;".",Irr!AE8=".",Irr!BC8="."),dir!H8/((1/1000)*(Irr!G8)),IF(AND(Irr!G8=".",Irr!AE8=".",Irr!BC8="."),dir!H8*1000)))))))),".")</f>
        <v>763.68404140513189</v>
      </c>
      <c r="I8" s="76">
        <f>IFERROR(IF(AND(Irr!H8&lt;&gt;".",Irr!AF8&lt;&gt;".",Irr!BD8&lt;&gt;"."),dir!I8/((1/1000)*(Irr!H8+Irr!AF8+Irr!BD8)),IF(AND(Irr!H8&lt;&gt;".",Irr!AF8&lt;&gt;".",Irr!BD8="."),dir!I8/((1/1000)*(Irr!H8+Irr!AF8)),IF(AND(Irr!H8&lt;&gt;".",Irr!AF8=".",Irr!BD8&lt;&gt;"."),dir!I8/((1/1000)*(Irr!H8+Irr!BD8)),IF(AND(Irr!H8=".",Irr!AF8&lt;&gt;".",Irr!BD8&lt;&gt;"."),dir!I8/((1/1000)*(Irr!AF8+Irr!BD8)),IF(AND(Irr!H8=".",Irr!AF8=".",Irr!BD8&lt;&gt;"."),dir!I8/((1/1000)*(Irr!BD8)),IF(AND(Irr!H8=".",Irr!AF8&lt;&gt;".",Irr!BD8="."),dir!I8/((1/1000)*(Irr!AF8)),IF(AND(Irr!H8&lt;&gt;".",Irr!AF8=".",Irr!BD8="."),dir!I8/((1/1000)*(Irr!H8)),IF(AND(Irr!H8=".",Irr!AF8=".",Irr!BD8="."),dir!I8*1000)))))))),".")</f>
        <v>287.73462610448337</v>
      </c>
      <c r="J8" s="76">
        <f>IFERROR(IF(AND(Irr!I8&lt;&gt;".",Irr!AG8&lt;&gt;".",Irr!BE8&lt;&gt;"."),dir!J8/((1/1000)*(Irr!I8+Irr!AG8+Irr!BE8)),IF(AND(Irr!I8&lt;&gt;".",Irr!AG8&lt;&gt;".",Irr!BE8="."),dir!J8/((1/1000)*(Irr!I8+Irr!AG8)),IF(AND(Irr!I8&lt;&gt;".",Irr!AG8=".",Irr!BE8&lt;&gt;"."),dir!J8/((1/1000)*(Irr!I8+Irr!BE8)),IF(AND(Irr!I8=".",Irr!AG8&lt;&gt;".",Irr!BE8&lt;&gt;"."),dir!J8/((1/1000)*(Irr!AG8+Irr!BE8)),IF(AND(Irr!I8=".",Irr!AG8=".",Irr!BE8&lt;&gt;"."),dir!J8/((1/1000)*(Irr!BE8)),IF(AND(Irr!I8=".",Irr!AG8&lt;&gt;".",Irr!BE8="."),dir!J8/((1/1000)*(Irr!AG8)),IF(AND(Irr!I8&lt;&gt;".",Irr!AG8=".",Irr!BE8="."),dir!J8/((1/1000)*(Irr!I8)),IF(AND(Irr!I8=".",Irr!AG8=".",Irr!BE8="."),dir!J8*1000)))))))),".")</f>
        <v>867.58550330734829</v>
      </c>
      <c r="K8" s="76">
        <f>IFERROR(IF(AND(Irr!J8&lt;&gt;".",Irr!AH8&lt;&gt;".",Irr!BF8&lt;&gt;"."),dir!K8/((1/1000)*(Irr!J8+Irr!AH8+Irr!BF8)),IF(AND(Irr!J8&lt;&gt;".",Irr!AH8&lt;&gt;".",Irr!BF8="."),dir!K8/((1/1000)*(Irr!J8+Irr!AH8)),IF(AND(Irr!J8&lt;&gt;".",Irr!AH8=".",Irr!BF8&lt;&gt;"."),dir!K8/((1/1000)*(Irr!J8+Irr!BF8)),IF(AND(Irr!J8=".",Irr!AH8&lt;&gt;".",Irr!BF8&lt;&gt;"."),dir!K8/((1/1000)*(Irr!AH8+Irr!BF8)),IF(AND(Irr!J8=".",Irr!AH8=".",Irr!BF8&lt;&gt;"."),dir!K8/((1/1000)*(Irr!BF8)),IF(AND(Irr!J8=".",Irr!AH8&lt;&gt;".",Irr!BF8="."),dir!K8/((1/1000)*(Irr!AH8)),IF(AND(Irr!J8&lt;&gt;".",Irr!AH8=".",Irr!BF8="."),dir!K8/((1/1000)*(Irr!J8)),IF(AND(Irr!J8=".",Irr!AH8=".",Irr!BF8="."),dir!K8*1000)))))))),".")</f>
        <v>74.953095518947634</v>
      </c>
      <c r="L8" s="76">
        <f>IFERROR(IF(AND(Irr!K8&lt;&gt;".",Irr!AI8&lt;&gt;".",Irr!BG8&lt;&gt;"."),dir!L8/((1/1000)*(Irr!K8+Irr!AI8+Irr!BG8)),IF(AND(Irr!K8&lt;&gt;".",Irr!AI8&lt;&gt;".",Irr!BG8="."),dir!L8/((1/1000)*(Irr!K8+Irr!AI8)),IF(AND(Irr!K8&lt;&gt;".",Irr!AI8=".",Irr!BG8&lt;&gt;"."),dir!L8/((1/1000)*(Irr!K8+Irr!BG8)),IF(AND(Irr!K8=".",Irr!AI8&lt;&gt;".",Irr!BG8&lt;&gt;"."),dir!L8/((1/1000)*(Irr!AI8+Irr!BG8)),IF(AND(Irr!K8=".",Irr!AI8=".",Irr!BG8&lt;&gt;"."),dir!L8/((1/1000)*(Irr!BG8)),IF(AND(Irr!K8=".",Irr!AI8&lt;&gt;".",Irr!BG8="."),dir!L8/((1/1000)*(Irr!AI8)),IF(AND(Irr!K8&lt;&gt;".",Irr!AI8=".",Irr!BG8="."),dir!L8/((1/1000)*(Irr!K8)),IF(AND(Irr!K8=".",Irr!AI8=".",Irr!BG8="."),dir!L8*1000)))))))),".")</f>
        <v>411.66183303871588</v>
      </c>
      <c r="M8" s="76">
        <f>IFERROR(IF(AND(Irr!L8&lt;&gt;".",Irr!AJ8&lt;&gt;".",Irr!BH8&lt;&gt;"."),dir!M8/((1/1000)*(Irr!L8+Irr!AJ8+Irr!BH8)),IF(AND(Irr!L8&lt;&gt;".",Irr!AJ8&lt;&gt;".",Irr!BH8="."),dir!M8/((1/1000)*(Irr!L8+Irr!AJ8)),IF(AND(Irr!L8&lt;&gt;".",Irr!AJ8=".",Irr!BH8&lt;&gt;"."),dir!M8/((1/1000)*(Irr!L8+Irr!BH8)),IF(AND(Irr!L8=".",Irr!AJ8&lt;&gt;".",Irr!BH8&lt;&gt;"."),dir!M8/((1/1000)*(Irr!AJ8+Irr!BH8)),IF(AND(Irr!L8=".",Irr!AJ8=".",Irr!BH8&lt;&gt;"."),dir!M8/((1/1000)*(Irr!BH8)),IF(AND(Irr!L8=".",Irr!AJ8&lt;&gt;".",Irr!BH8="."),dir!M8/((1/1000)*(Irr!AJ8)),IF(AND(Irr!L8&lt;&gt;".",Irr!AJ8=".",Irr!BH8="."),dir!M8/((1/1000)*(Irr!L8)),IF(AND(Irr!L8=".",Irr!AJ8=".",Irr!BH8="."),dir!M8*1000)))))))),".")</f>
        <v>306.27606790669603</v>
      </c>
      <c r="N8" s="76">
        <f>IFERROR(IF(AND(Irr!M8&lt;&gt;".",Irr!AK8&lt;&gt;".",Irr!BI8&lt;&gt;"."),dir!N8/((1/1000)*(Irr!M8+Irr!AK8+Irr!BI8)),IF(AND(Irr!M8&lt;&gt;".",Irr!AK8&lt;&gt;".",Irr!BI8="."),dir!N8/((1/1000)*(Irr!M8+Irr!AK8)),IF(AND(Irr!M8&lt;&gt;".",Irr!AK8=".",Irr!BI8&lt;&gt;"."),dir!N8/((1/1000)*(Irr!M8+Irr!BI8)),IF(AND(Irr!M8=".",Irr!AK8&lt;&gt;".",Irr!BI8&lt;&gt;"."),dir!N8/((1/1000)*(Irr!AK8+Irr!BI8)),IF(AND(Irr!M8=".",Irr!AK8=".",Irr!BI8&lt;&gt;"."),dir!N8/((1/1000)*(Irr!BI8)),IF(AND(Irr!M8=".",Irr!AK8&lt;&gt;".",Irr!BI8="."),dir!N8/((1/1000)*(Irr!AK8)),IF(AND(Irr!M8&lt;&gt;".",Irr!AK8=".",Irr!BI8="."),dir!N8/((1/1000)*(Irr!M8)),IF(AND(Irr!M8=".",Irr!AK8=".",Irr!BI8="."),dir!N8*1000)))))))),".")</f>
        <v>666.8749952274195</v>
      </c>
      <c r="O8" s="76">
        <f>IFERROR(IF(AND(Irr!N8&lt;&gt;".",Irr!AL8&lt;&gt;".",Irr!BJ8&lt;&gt;"."),dir!O8/((1/1000)*(Irr!N8+Irr!AL8+Irr!BJ8)),IF(AND(Irr!N8&lt;&gt;".",Irr!AL8&lt;&gt;".",Irr!BJ8="."),dir!O8/((1/1000)*(Irr!N8+Irr!AL8)),IF(AND(Irr!N8&lt;&gt;".",Irr!AL8=".",Irr!BJ8&lt;&gt;"."),dir!O8/((1/1000)*(Irr!N8+Irr!BJ8)),IF(AND(Irr!N8=".",Irr!AL8&lt;&gt;".",Irr!BJ8&lt;&gt;"."),dir!O8/((1/1000)*(Irr!AL8+Irr!BJ8)),IF(AND(Irr!N8=".",Irr!AL8=".",Irr!BJ8&lt;&gt;"."),dir!O8/((1/1000)*(Irr!BJ8)),IF(AND(Irr!N8=".",Irr!AL8&lt;&gt;".",Irr!BJ8="."),dir!O8/((1/1000)*(Irr!AL8)),IF(AND(Irr!N8&lt;&gt;".",Irr!AL8=".",Irr!BJ8="."),dir!O8/((1/1000)*(Irr!N8)),IF(AND(Irr!N8=".",Irr!AL8=".",Irr!BJ8="."),dir!O8*1000)))))))),".")</f>
        <v>757.00822313323852</v>
      </c>
      <c r="P8" s="76">
        <f>IFERROR(IF(AND(Irr!O8&lt;&gt;".",Irr!AM8&lt;&gt;".",Irr!BK8&lt;&gt;"."),dir!P8/((1/1000)*(Irr!O8+Irr!AM8+Irr!BK8)),IF(AND(Irr!O8&lt;&gt;".",Irr!AM8&lt;&gt;".",Irr!BK8="."),dir!P8/((1/1000)*(Irr!O8+Irr!AM8)),IF(AND(Irr!O8&lt;&gt;".",Irr!AM8=".",Irr!BK8&lt;&gt;"."),dir!P8/((1/1000)*(Irr!O8+Irr!BK8)),IF(AND(Irr!O8=".",Irr!AM8&lt;&gt;".",Irr!BK8&lt;&gt;"."),dir!P8/((1/1000)*(Irr!AM8+Irr!BK8)),IF(AND(Irr!O8=".",Irr!AM8=".",Irr!BK8&lt;&gt;"."),dir!P8/((1/1000)*(Irr!BK8)),IF(AND(Irr!O8=".",Irr!AM8&lt;&gt;".",Irr!BK8="."),dir!P8/((1/1000)*(Irr!AM8)),IF(AND(Irr!O8&lt;&gt;".",Irr!AM8=".",Irr!BK8="."),dir!P8/((1/1000)*(Irr!O8)),IF(AND(Irr!O8=".",Irr!AM8=".",Irr!BK8="."),dir!P8*1000)))))))),".")</f>
        <v>867.11265772060369</v>
      </c>
      <c r="Q8" s="76">
        <f>IFERROR(IF(AND(Irr!P8&lt;&gt;".",Irr!AN8&lt;&gt;".",Irr!BL8&lt;&gt;"."),dir!Q8/((1/1000)*(Irr!P8+Irr!AN8+Irr!BL8)),IF(AND(Irr!P8&lt;&gt;".",Irr!AN8&lt;&gt;".",Irr!BL8="."),dir!Q8/((1/1000)*(Irr!P8+Irr!AN8)),IF(AND(Irr!P8&lt;&gt;".",Irr!AN8=".",Irr!BL8&lt;&gt;"."),dir!Q8/((1/1000)*(Irr!P8+Irr!BL8)),IF(AND(Irr!P8=".",Irr!AN8&lt;&gt;".",Irr!BL8&lt;&gt;"."),dir!Q8/((1/1000)*(Irr!AN8+Irr!BL8)),IF(AND(Irr!P8=".",Irr!AN8=".",Irr!BL8&lt;&gt;"."),dir!Q8/((1/1000)*(Irr!BL8)),IF(AND(Irr!P8=".",Irr!AN8&lt;&gt;".",Irr!BL8="."),dir!Q8/((1/1000)*(Irr!AN8)),IF(AND(Irr!P8&lt;&gt;".",Irr!AN8=".",Irr!BL8="."),dir!Q8/((1/1000)*(Irr!P8)),IF(AND(Irr!P8=".",Irr!AN8=".",Irr!BL8="."),dir!Q8*1000)))))))),".")</f>
        <v>1170.9087272758902</v>
      </c>
      <c r="R8" s="76">
        <f>IFERROR(IF(AND(Irr!Q8&lt;&gt;".",Irr!AO8&lt;&gt;".",Irr!BM8&lt;&gt;"."),dir!R8/((1/1000)*(Irr!Q8+Irr!AO8+Irr!BM8)),IF(AND(Irr!Q8&lt;&gt;".",Irr!AO8&lt;&gt;".",Irr!BM8="."),dir!R8/((1/1000)*(Irr!Q8+Irr!AO8)),IF(AND(Irr!Q8&lt;&gt;".",Irr!AO8=".",Irr!BM8&lt;&gt;"."),dir!R8/((1/1000)*(Irr!Q8+Irr!BM8)),IF(AND(Irr!Q8=".",Irr!AO8&lt;&gt;".",Irr!BM8&lt;&gt;"."),dir!R8/((1/1000)*(Irr!AO8+Irr!BM8)),IF(AND(Irr!Q8=".",Irr!AO8=".",Irr!BM8&lt;&gt;"."),dir!R8/((1/1000)*(Irr!BM8)),IF(AND(Irr!Q8=".",Irr!AO8&lt;&gt;".",Irr!BM8="."),dir!R8/((1/1000)*(Irr!AO8)),IF(AND(Irr!Q8&lt;&gt;".",Irr!AO8=".",Irr!BM8="."),dir!R8/((1/1000)*(Irr!Q8)),IF(AND(Irr!Q8=".",Irr!AO8=".",Irr!BM8="."),dir!R8*1000)))))))),".")</f>
        <v>184.79051209871849</v>
      </c>
      <c r="S8" s="76">
        <f>IFERROR(IF(AND(Irr!R8&lt;&gt;".",Irr!AP8&lt;&gt;".",Irr!BN8&lt;&gt;"."),dir!S8/((1/1000)*(Irr!R8+Irr!AP8+Irr!BN8)),IF(AND(Irr!R8&lt;&gt;".",Irr!AP8&lt;&gt;".",Irr!BN8="."),dir!S8/((1/1000)*(Irr!R8+Irr!AP8)),IF(AND(Irr!R8&lt;&gt;".",Irr!AP8=".",Irr!BN8&lt;&gt;"."),dir!S8/((1/1000)*(Irr!R8+Irr!BN8)),IF(AND(Irr!R8=".",Irr!AP8&lt;&gt;".",Irr!BN8&lt;&gt;"."),dir!S8/((1/1000)*(Irr!AP8+Irr!BN8)),IF(AND(Irr!R8=".",Irr!AP8=".",Irr!BN8&lt;&gt;"."),dir!S8/((1/1000)*(Irr!BN8)),IF(AND(Irr!R8=".",Irr!AP8&lt;&gt;".",Irr!BN8="."),dir!S8/((1/1000)*(Irr!AP8)),IF(AND(Irr!R8&lt;&gt;".",Irr!AP8=".",Irr!BN8="."),dir!S8/((1/1000)*(Irr!R8)),IF(AND(Irr!R8=".",Irr!AP8=".",Irr!BN8="."),dir!S8*1000)))))))),".")</f>
        <v>383.48538507257877</v>
      </c>
      <c r="T8" s="76">
        <f>IFERROR(IF(AND(Irr!S8&lt;&gt;".",Irr!AQ8&lt;&gt;".",Irr!BO8&lt;&gt;"."),dir!T8/((1/1000)*(Irr!S8+Irr!AQ8+Irr!BO8)),IF(AND(Irr!S8&lt;&gt;".",Irr!AQ8&lt;&gt;".",Irr!BO8="."),dir!T8/((1/1000)*(Irr!S8+Irr!AQ8)),IF(AND(Irr!S8&lt;&gt;".",Irr!AQ8=".",Irr!BO8&lt;&gt;"."),dir!T8/((1/1000)*(Irr!S8+Irr!BO8)),IF(AND(Irr!S8=".",Irr!AQ8&lt;&gt;".",Irr!BO8&lt;&gt;"."),dir!T8/((1/1000)*(Irr!AQ8+Irr!BO8)),IF(AND(Irr!S8=".",Irr!AQ8=".",Irr!BO8&lt;&gt;"."),dir!T8/((1/1000)*(Irr!BO8)),IF(AND(Irr!S8=".",Irr!AQ8&lt;&gt;".",Irr!BO8="."),dir!T8/((1/1000)*(Irr!AQ8)),IF(AND(Irr!S8&lt;&gt;".",Irr!AQ8=".",Irr!BO8="."),dir!T8/((1/1000)*(Irr!S8)),IF(AND(Irr!S8=".",Irr!AQ8=".",Irr!BO8="."),dir!T8*1000)))))))),".")</f>
        <v>611.86193486300874</v>
      </c>
      <c r="U8" s="76">
        <f>IFERROR(IF(AND(Irr!T8&lt;&gt;".",Irr!AR8&lt;&gt;".",Irr!BP8&lt;&gt;"."),dir!U8/((1/1000)*(Irr!T8+Irr!AR8+Irr!BP8)),IF(AND(Irr!T8&lt;&gt;".",Irr!AR8&lt;&gt;".",Irr!BP8="."),dir!U8/((1/1000)*(Irr!T8+Irr!AR8)),IF(AND(Irr!T8&lt;&gt;".",Irr!AR8=".",Irr!BP8&lt;&gt;"."),dir!U8/((1/1000)*(Irr!T8+Irr!BP8)),IF(AND(Irr!T8=".",Irr!AR8&lt;&gt;".",Irr!BP8&lt;&gt;"."),dir!U8/((1/1000)*(Irr!AR8+Irr!BP8)),IF(AND(Irr!T8=".",Irr!AR8=".",Irr!BP8&lt;&gt;"."),dir!U8/((1/1000)*(Irr!BP8)),IF(AND(Irr!T8=".",Irr!AR8&lt;&gt;".",Irr!BP8="."),dir!U8/((1/1000)*(Irr!AR8)),IF(AND(Irr!T8&lt;&gt;".",Irr!AR8=".",Irr!BP8="."),dir!U8/((1/1000)*(Irr!T8)),IF(AND(Irr!T8=".",Irr!AR8=".",Irr!BP8="."),dir!U8*1000)))))))),".")</f>
        <v>192.22511005931946</v>
      </c>
      <c r="V8" s="76">
        <f>IFERROR(IF(AND(Irr!U8&lt;&gt;".",Irr!AS8&lt;&gt;".",Irr!BQ8&lt;&gt;"."),dir!V8/((1/1000)*(Irr!U8+Irr!AS8+Irr!BQ8)),IF(AND(Irr!U8&lt;&gt;".",Irr!AS8&lt;&gt;".",Irr!BQ8="."),dir!V8/((1/1000)*(Irr!U8+Irr!AS8)),IF(AND(Irr!U8&lt;&gt;".",Irr!AS8=".",Irr!BQ8&lt;&gt;"."),dir!V8/((1/1000)*(Irr!U8+Irr!BQ8)),IF(AND(Irr!U8=".",Irr!AS8&lt;&gt;".",Irr!BQ8&lt;&gt;"."),dir!V8/((1/1000)*(Irr!AS8+Irr!BQ8)),IF(AND(Irr!U8=".",Irr!AS8=".",Irr!BQ8&lt;&gt;"."),dir!V8/((1/1000)*(Irr!BQ8)),IF(AND(Irr!U8=".",Irr!AS8&lt;&gt;".",Irr!BQ8="."),dir!V8/((1/1000)*(Irr!AS8)),IF(AND(Irr!U8&lt;&gt;".",Irr!AS8=".",Irr!BQ8="."),dir!V8/((1/1000)*(Irr!U8)),IF(AND(Irr!U8=".",Irr!AS8=".",Irr!BQ8="."),dir!V8*1000)))))))),".")</f>
        <v>351.8187117851416</v>
      </c>
      <c r="W8" s="76">
        <f>IFERROR(IF(AND(Irr!V8&lt;&gt;".",Irr!AT8&lt;&gt;".",Irr!BR8&lt;&gt;"."),dir!W8/((1/1000)*(Irr!V8+Irr!AT8+Irr!BR8)),IF(AND(Irr!V8&lt;&gt;".",Irr!AT8&lt;&gt;".",Irr!BR8="."),dir!W8/((1/1000)*(Irr!V8+Irr!AT8)),IF(AND(Irr!V8&lt;&gt;".",Irr!AT8=".",Irr!BR8&lt;&gt;"."),dir!W8/((1/1000)*(Irr!V8+Irr!BR8)),IF(AND(Irr!V8=".",Irr!AT8&lt;&gt;".",Irr!BR8&lt;&gt;"."),dir!W8/((1/1000)*(Irr!AT8+Irr!BR8)),IF(AND(Irr!V8=".",Irr!AT8=".",Irr!BR8&lt;&gt;"."),dir!W8/((1/1000)*(Irr!BR8)),IF(AND(Irr!V8=".",Irr!AT8&lt;&gt;".",Irr!BR8="."),dir!W8/((1/1000)*(Irr!AT8)),IF(AND(Irr!V8&lt;&gt;".",Irr!AT8=".",Irr!BR8="."),dir!W8/((1/1000)*(Irr!V8)),IF(AND(Irr!V8=".",Irr!AT8=".",Irr!BR8="."),dir!W8*1000)))))))),".")</f>
        <v>433.40315894685369</v>
      </c>
      <c r="X8" s="76">
        <f>IFERROR(IF(AND(Irr!W8&lt;&gt;".",Irr!AU8&lt;&gt;".",Irr!BS8&lt;&gt;"."),dir!X8/((1/1000)*(Irr!W8+Irr!AU8+Irr!BS8)),IF(AND(Irr!W8&lt;&gt;".",Irr!AU8&lt;&gt;".",Irr!BS8="."),dir!X8/((1/1000)*(Irr!W8+Irr!AU8)),IF(AND(Irr!W8&lt;&gt;".",Irr!AU8=".",Irr!BS8&lt;&gt;"."),dir!X8/((1/1000)*(Irr!W8+Irr!BS8)),IF(AND(Irr!W8=".",Irr!AU8&lt;&gt;".",Irr!BS8&lt;&gt;"."),dir!X8/((1/1000)*(Irr!AU8+Irr!BS8)),IF(AND(Irr!W8=".",Irr!AU8=".",Irr!BS8&lt;&gt;"."),dir!X8/((1/1000)*(Irr!BS8)),IF(AND(Irr!W8=".",Irr!AU8&lt;&gt;".",Irr!BS8="."),dir!X8/((1/1000)*(Irr!AU8)),IF(AND(Irr!W8&lt;&gt;".",Irr!AU8=".",Irr!BS8="."),dir!X8/((1/1000)*(Irr!W8)),IF(AND(Irr!W8=".",Irr!AU8=".",Irr!BS8="."),dir!X8*1000)))))))),".")</f>
        <v>573.20672466080248</v>
      </c>
      <c r="Y8" s="76">
        <f>IFERROR(IF(AND(Irr!X8&lt;&gt;".",Irr!AV8&lt;&gt;".",Irr!BT8&lt;&gt;"."),dir!Y8/((1/1000)*(Irr!X8+Irr!AV8+Irr!BT8)),IF(AND(Irr!X8&lt;&gt;".",Irr!AV8&lt;&gt;".",Irr!BT8="."),dir!Y8/((1/1000)*(Irr!X8+Irr!AV8)),IF(AND(Irr!X8&lt;&gt;".",Irr!AV8=".",Irr!BT8&lt;&gt;"."),dir!Y8/((1/1000)*(Irr!X8+Irr!BT8)),IF(AND(Irr!X8=".",Irr!AV8&lt;&gt;".",Irr!BT8&lt;&gt;"."),dir!Y8/((1/1000)*(Irr!AV8+Irr!BT8)),IF(AND(Irr!X8=".",Irr!AV8=".",Irr!BT8&lt;&gt;"."),dir!Y8/((1/1000)*(Irr!BT8)),IF(AND(Irr!X8=".",Irr!AV8&lt;&gt;".",Irr!BT8="."),dir!Y8/((1/1000)*(Irr!AV8)),IF(AND(Irr!X8&lt;&gt;".",Irr!AV8=".",Irr!BT8="."),dir!Y8/((1/1000)*(Irr!X8)),IF(AND(Irr!X8=".",Irr!AV8=".",Irr!BT8="."),dir!Y8*1000)))))))),".")</f>
        <v>306.70280542623891</v>
      </c>
      <c r="Z8" s="76">
        <f>IFERROR(IF(AND(Irr!Y8&lt;&gt;".",Irr!AW8&lt;&gt;".",Irr!BU8&lt;&gt;"."),dir!Z8/((1/1000)*(Irr!Y8+Irr!AW8+Irr!BU8)),IF(AND(Irr!Y8&lt;&gt;".",Irr!AW8&lt;&gt;".",Irr!BU8="."),dir!Z8/((1/1000)*(Irr!Y8+Irr!AW8)),IF(AND(Irr!Y8&lt;&gt;".",Irr!AW8=".",Irr!BU8&lt;&gt;"."),dir!Z8/((1/1000)*(Irr!Y8+Irr!BU8)),IF(AND(Irr!Y8=".",Irr!AW8&lt;&gt;".",Irr!BU8&lt;&gt;"."),dir!Z8/((1/1000)*(Irr!AW8+Irr!BU8)),IF(AND(Irr!Y8=".",Irr!AW8=".",Irr!BU8&lt;&gt;"."),dir!Z8/((1/1000)*(Irr!BU8)),IF(AND(Irr!Y8=".",Irr!AW8&lt;&gt;".",Irr!BU8="."),dir!Z8/((1/1000)*(Irr!AW8)),IF(AND(Irr!Y8&lt;&gt;".",Irr!AW8=".",Irr!BU8="."),dir!Z8/((1/1000)*(Irr!Y8)),IF(AND(Irr!Y8=".",Irr!AW8=".",Irr!BU8="."),dir!Z8*1000)))))))),".")</f>
        <v>150.54344070807375</v>
      </c>
      <c r="AA8" s="76">
        <f>IFERROR(IF(AND(Irr!Z8&lt;&gt;".",Irr!AX8&lt;&gt;".",Irr!BV8&lt;&gt;"."),dir!AA8/((1/1000)*(Irr!Z8+Irr!AX8+Irr!BV8)),IF(AND(Irr!Z8&lt;&gt;".",Irr!AX8&lt;&gt;".",Irr!BV8="."),dir!AA8/((1/1000)*(Irr!Z8+Irr!AX8)),IF(AND(Irr!Z8&lt;&gt;".",Irr!AX8=".",Irr!BV8&lt;&gt;"."),dir!AA8/((1/1000)*(Irr!Z8+Irr!BV8)),IF(AND(Irr!Z8=".",Irr!AX8&lt;&gt;".",Irr!BV8&lt;&gt;"."),dir!AA8/((1/1000)*(Irr!AX8+Irr!BV8)),IF(AND(Irr!Z8=".",Irr!AX8=".",Irr!BV8&lt;&gt;"."),dir!AA8/((1/1000)*(Irr!BV8)),IF(AND(Irr!Z8=".",Irr!AX8&lt;&gt;".",Irr!BV8="."),dir!AA8/((1/1000)*(Irr!AX8)),IF(AND(Irr!Z8&lt;&gt;".",Irr!AX8=".",Irr!BV8="."),dir!AA8/((1/1000)*(Irr!Z8)),IF(AND(Irr!Z8=".",Irr!AX8=".",Irr!BV8="."),dir!AA8*1000)))))))),".")</f>
        <v>116.56078701559845</v>
      </c>
      <c r="AB8" s="76">
        <f t="shared" si="5"/>
        <v>9.7961105438189762</v>
      </c>
      <c r="AC8" s="76">
        <f>IFERROR(IF(AND(Irr!C8&lt;&gt;".",Irr!AA8&lt;&gt;".",Irr!AY8&lt;&gt;"."),dir!AC8/((1/1000)*(Irr!C8+Irr!AA8+Irr!AY8)),IF(AND(Irr!C8&lt;&gt;".",Irr!AA8&lt;&gt;".",Irr!AY8="."),dir!AC8/((1/1000)*(Irr!C8+Irr!AA8)),IF(AND(Irr!C8&lt;&gt;".",Irr!AA8=".",Irr!AY8&lt;&gt;"."),dir!AC8/((1/1000)*(Irr!C8+Irr!AY8)),IF(AND(Irr!C8=".",Irr!AA8&lt;&gt;".",Irr!AY8&lt;&gt;"."),dir!AC8/((1/1000)*(Irr!AA8+Irr!AY8)),IF(AND(Irr!C8=".",Irr!AA8=".",Irr!AY8&lt;&gt;"."),dir!AC8/((1/1000)*(Irr!AY8)),IF(AND(Irr!C8=".",Irr!AA8&lt;&gt;".",Irr!AY8="."),dir!AC8/((1/1000)*(Irr!AA8)),IF(AND(Irr!C8&lt;&gt;".",Irr!AA8=".",Irr!AY8="."),dir!AC8/((1/1000)*(Irr!C8)),IF(AND(Irr!C8=".",Irr!AA8=".",Irr!AY8="."),dir!AC8*1000)))))))),".")</f>
        <v>163.18013375879093</v>
      </c>
      <c r="AD8" s="76">
        <f>IFERROR(IF(AND(Irr!D8&lt;&gt;".",Irr!AB8&lt;&gt;".",Irr!AZ8&lt;&gt;"."),dir!AD8/((1/1000)*(Irr!D8+Irr!AB8+Irr!AZ8)),IF(AND(Irr!D8&lt;&gt;".",Irr!AB8&lt;&gt;".",Irr!AZ8="."),dir!AD8/((1/1000)*(Irr!D8+Irr!AB8)),IF(AND(Irr!D8&lt;&gt;".",Irr!AB8=".",Irr!AZ8&lt;&gt;"."),dir!AD8/((1/1000)*(Irr!D8+Irr!AZ8)),IF(AND(Irr!D8=".",Irr!AB8&lt;&gt;".",Irr!AZ8&lt;&gt;"."),dir!AD8/((1/1000)*(Irr!AB8+Irr!AZ8)),IF(AND(Irr!D8=".",Irr!AB8=".",Irr!AZ8&lt;&gt;"."),dir!AD8/((1/1000)*(Irr!AZ8)),IF(AND(Irr!D8=".",Irr!AB8&lt;&gt;".",Irr!AZ8="."),dir!AD8/((1/1000)*(Irr!AB8)),IF(AND(Irr!D8&lt;&gt;".",Irr!AB8=".",Irr!AZ8="."),dir!AD8/((1/1000)*(Irr!D8)),IF(AND(Irr!D8=".",Irr!AB8=".",Irr!AZ8="."),dir!AD8*1000)))))))),".")</f>
        <v>391.50188707115717</v>
      </c>
      <c r="AE8" s="76">
        <f>IFERROR(IF(AND(Irr!E8&lt;&gt;".",Irr!AC8&lt;&gt;".",Irr!BA8&lt;&gt;"."),dir!AE8/((1/1000)*(Irr!E8+Irr!AC8+Irr!BA8)),IF(AND(Irr!E8&lt;&gt;".",Irr!AC8&lt;&gt;".",Irr!BA8="."),dir!AE8/((1/1000)*(Irr!E8+Irr!AC8)),IF(AND(Irr!E8&lt;&gt;".",Irr!AC8=".",Irr!BA8&lt;&gt;"."),dir!AE8/((1/1000)*(Irr!E8+Irr!BA8)),IF(AND(Irr!E8=".",Irr!AC8&lt;&gt;".",Irr!BA8&lt;&gt;"."),dir!AE8/((1/1000)*(Irr!AC8+Irr!BA8)),IF(AND(Irr!E8=".",Irr!AC8=".",Irr!BA8&lt;&gt;"."),dir!AE8/((1/1000)*(Irr!BA8)),IF(AND(Irr!E8=".",Irr!AC8&lt;&gt;".",Irr!BA8="."),dir!AE8/((1/1000)*(Irr!AC8)),IF(AND(Irr!E8&lt;&gt;".",Irr!AC8=".",Irr!BA8="."),dir!AE8/((1/1000)*(Irr!E8)),IF(AND(Irr!E8=".",Irr!AC8=".",Irr!BA8="."),dir!AE8*1000)))))))),".")</f>
        <v>468.66663053654503</v>
      </c>
      <c r="AF8" s="76">
        <f>IFERROR(IF(AND(Irr!F8&lt;&gt;".",Irr!AD8&lt;&gt;".",Irr!BB8&lt;&gt;"."),dir!AF8/((1/1000)*(Irr!F8+Irr!AD8+Irr!BB8)),IF(AND(Irr!F8&lt;&gt;".",Irr!AD8&lt;&gt;".",Irr!BB8="."),dir!AF8/((1/1000)*(Irr!F8+Irr!AD8)),IF(AND(Irr!F8&lt;&gt;".",Irr!AD8=".",Irr!BB8&lt;&gt;"."),dir!AF8/((1/1000)*(Irr!F8+Irr!BB8)),IF(AND(Irr!F8=".",Irr!AD8&lt;&gt;".",Irr!BB8&lt;&gt;"."),dir!AF8/((1/1000)*(Irr!AD8+Irr!BB8)),IF(AND(Irr!F8=".",Irr!AD8=".",Irr!BB8&lt;&gt;"."),dir!AF8/((1/1000)*(Irr!BB8)),IF(AND(Irr!F8=".",Irr!AD8&lt;&gt;".",Irr!BB8="."),dir!AF8/((1/1000)*(Irr!AD8)),IF(AND(Irr!F8&lt;&gt;".",Irr!AD8=".",Irr!BB8="."),dir!AF8/((1/1000)*(Irr!F8)),IF(AND(Irr!F8=".",Irr!AD8=".",Irr!BB8="."),dir!AF8*1000)))))))),".")</f>
        <v>409.11327668465981</v>
      </c>
      <c r="AG8" s="76">
        <f>IFERROR(IF(AND(Irr!G8&lt;&gt;".",Irr!AE8&lt;&gt;".",Irr!BC8&lt;&gt;"."),dir!AG8/((1/1000)*(Irr!G8+Irr!AE8+Irr!BC8)),IF(AND(Irr!G8&lt;&gt;".",Irr!AE8&lt;&gt;".",Irr!BC8="."),dir!AG8/((1/1000)*(Irr!G8+Irr!AE8)),IF(AND(Irr!G8&lt;&gt;".",Irr!AE8=".",Irr!BC8&lt;&gt;"."),dir!AG8/((1/1000)*(Irr!G8+Irr!BC8)),IF(AND(Irr!G8=".",Irr!AE8&lt;&gt;".",Irr!BC8&lt;&gt;"."),dir!AG8/((1/1000)*(Irr!AE8+Irr!BC8)),IF(AND(Irr!G8=".",Irr!AE8=".",Irr!BC8&lt;&gt;"."),dir!AG8/((1/1000)*(Irr!BC8)),IF(AND(Irr!G8=".",Irr!AE8&lt;&gt;".",Irr!BC8="."),dir!AG8/((1/1000)*(Irr!AE8)),IF(AND(Irr!G8&lt;&gt;".",Irr!AE8=".",Irr!BC8="."),dir!AG8/((1/1000)*(Irr!G8)),IF(AND(Irr!G8=".",Irr!AE8=".",Irr!BC8="."),dir!AG8*1000)))))))),".")</f>
        <v>426.5376590655431</v>
      </c>
      <c r="AH8" s="76">
        <f>IFERROR(IF(AND(Irr!H8&lt;&gt;".",Irr!AF8&lt;&gt;".",Irr!BD8&lt;&gt;"."),dir!AH8/((1/1000)*(Irr!H8+Irr!AF8+Irr!BD8)),IF(AND(Irr!H8&lt;&gt;".",Irr!AF8&lt;&gt;".",Irr!BD8="."),dir!AH8/((1/1000)*(Irr!H8+Irr!AF8)),IF(AND(Irr!H8&lt;&gt;".",Irr!AF8=".",Irr!BD8&lt;&gt;"."),dir!AH8/((1/1000)*(Irr!H8+Irr!BD8)),IF(AND(Irr!H8=".",Irr!AF8&lt;&gt;".",Irr!BD8&lt;&gt;"."),dir!AH8/((1/1000)*(Irr!AF8+Irr!BD8)),IF(AND(Irr!H8=".",Irr!AF8=".",Irr!BD8&lt;&gt;"."),dir!AH8/((1/1000)*(Irr!BD8)),IF(AND(Irr!H8=".",Irr!AF8&lt;&gt;".",Irr!BD8="."),dir!AH8/((1/1000)*(Irr!AF8)),IF(AND(Irr!H8&lt;&gt;".",Irr!AF8=".",Irr!BD8="."),dir!AH8/((1/1000)*(Irr!H8)),IF(AND(Irr!H8=".",Irr!AF8=".",Irr!BD8="."),dir!AH8*1000)))))))),".")</f>
        <v>184.80689174298283</v>
      </c>
      <c r="AI8" s="76">
        <f>IFERROR(IF(AND(Irr!I8&lt;&gt;".",Irr!AG8&lt;&gt;".",Irr!BE8&lt;&gt;"."),dir!AI8/((1/1000)*(Irr!I8+Irr!AG8+Irr!BE8)),IF(AND(Irr!I8&lt;&gt;".",Irr!AG8&lt;&gt;".",Irr!BE8="."),dir!AI8/((1/1000)*(Irr!I8+Irr!AG8)),IF(AND(Irr!I8&lt;&gt;".",Irr!AG8=".",Irr!BE8&lt;&gt;"."),dir!AI8/((1/1000)*(Irr!I8+Irr!BE8)),IF(AND(Irr!I8=".",Irr!AG8&lt;&gt;".",Irr!BE8&lt;&gt;"."),dir!AI8/((1/1000)*(Irr!AG8+Irr!BE8)),IF(AND(Irr!I8=".",Irr!AG8=".",Irr!BE8&lt;&gt;"."),dir!AI8/((1/1000)*(Irr!BE8)),IF(AND(Irr!I8=".",Irr!AG8&lt;&gt;".",Irr!BE8="."),dir!AI8/((1/1000)*(Irr!AG8)),IF(AND(Irr!I8&lt;&gt;".",Irr!AG8=".",Irr!BE8="."),dir!AI8/((1/1000)*(Irr!I8)),IF(AND(Irr!I8=".",Irr!AG8=".",Irr!BE8="."),dir!AI8*1000)))))))),".")</f>
        <v>606.18410908454928</v>
      </c>
      <c r="AJ8" s="76">
        <f>IFERROR(IF(AND(Irr!J8&lt;&gt;".",Irr!AH8&lt;&gt;".",Irr!BF8&lt;&gt;"."),dir!AJ8/((1/1000)*(Irr!J8+Irr!AH8+Irr!BF8)),IF(AND(Irr!J8&lt;&gt;".",Irr!AH8&lt;&gt;".",Irr!BF8="."),dir!AJ8/((1/1000)*(Irr!J8+Irr!AH8)),IF(AND(Irr!J8&lt;&gt;".",Irr!AH8=".",Irr!BF8&lt;&gt;"."),dir!AJ8/((1/1000)*(Irr!J8+Irr!BF8)),IF(AND(Irr!J8=".",Irr!AH8&lt;&gt;".",Irr!BF8&lt;&gt;"."),dir!AJ8/((1/1000)*(Irr!AH8+Irr!BF8)),IF(AND(Irr!J8=".",Irr!AH8=".",Irr!BF8&lt;&gt;"."),dir!AJ8/((1/1000)*(Irr!BF8)),IF(AND(Irr!J8=".",Irr!AH8&lt;&gt;".",Irr!BF8="."),dir!AJ8/((1/1000)*(Irr!AH8)),IF(AND(Irr!J8&lt;&gt;".",Irr!AH8=".",Irr!BF8="."),dir!AJ8/((1/1000)*(Irr!J8)),IF(AND(Irr!J8=".",Irr!AH8=".",Irr!BF8="."),dir!AJ8*1000)))))))),".")</f>
        <v>47.159004801695566</v>
      </c>
      <c r="AK8" s="76">
        <f>IFERROR(IF(AND(Irr!K8&lt;&gt;".",Irr!AI8&lt;&gt;".",Irr!BG8&lt;&gt;"."),dir!AK8/((1/1000)*(Irr!K8+Irr!AI8+Irr!BG8)),IF(AND(Irr!K8&lt;&gt;".",Irr!AI8&lt;&gt;".",Irr!BG8="."),dir!AK8/((1/1000)*(Irr!K8+Irr!AI8)),IF(AND(Irr!K8&lt;&gt;".",Irr!AI8=".",Irr!BG8&lt;&gt;"."),dir!AK8/((1/1000)*(Irr!K8+Irr!BG8)),IF(AND(Irr!K8=".",Irr!AI8&lt;&gt;".",Irr!BG8&lt;&gt;"."),dir!AK8/((1/1000)*(Irr!AI8+Irr!BG8)),IF(AND(Irr!K8=".",Irr!AI8=".",Irr!BG8&lt;&gt;"."),dir!AK8/((1/1000)*(Irr!BG8)),IF(AND(Irr!K8=".",Irr!AI8&lt;&gt;".",Irr!BG8="."),dir!AK8/((1/1000)*(Irr!AI8)),IF(AND(Irr!K8&lt;&gt;".",Irr!AI8=".",Irr!BG8="."),dir!AK8/((1/1000)*(Irr!K8)),IF(AND(Irr!K8=".",Irr!AI8=".",Irr!BG8="."),dir!AK8*1000)))))))),".")</f>
        <v>184.68362109517886</v>
      </c>
      <c r="AL8" s="76">
        <f>IFERROR(IF(AND(Irr!L8&lt;&gt;".",Irr!AJ8&lt;&gt;".",Irr!BH8&lt;&gt;"."),dir!AL8/((1/1000)*(Irr!L8+Irr!AJ8+Irr!BH8)),IF(AND(Irr!L8&lt;&gt;".",Irr!AJ8&lt;&gt;".",Irr!BH8="."),dir!AL8/((1/1000)*(Irr!L8+Irr!AJ8)),IF(AND(Irr!L8&lt;&gt;".",Irr!AJ8=".",Irr!BH8&lt;&gt;"."),dir!AL8/((1/1000)*(Irr!L8+Irr!BH8)),IF(AND(Irr!L8=".",Irr!AJ8&lt;&gt;".",Irr!BH8&lt;&gt;"."),dir!AL8/((1/1000)*(Irr!AJ8+Irr!BH8)),IF(AND(Irr!L8=".",Irr!AJ8=".",Irr!BH8&lt;&gt;"."),dir!AL8/((1/1000)*(Irr!BH8)),IF(AND(Irr!L8=".",Irr!AJ8&lt;&gt;".",Irr!BH8="."),dir!AL8/((1/1000)*(Irr!AJ8)),IF(AND(Irr!L8&lt;&gt;".",Irr!AJ8=".",Irr!BH8="."),dir!AL8/((1/1000)*(Irr!L8)),IF(AND(Irr!L8=".",Irr!AJ8=".",Irr!BH8="."),dir!AL8*1000)))))))),".")</f>
        <v>280.19280114797533</v>
      </c>
      <c r="AM8" s="76">
        <f>IFERROR(IF(AND(Irr!M8&lt;&gt;".",Irr!AK8&lt;&gt;".",Irr!BI8&lt;&gt;"."),dir!AM8/((1/1000)*(Irr!M8+Irr!AK8+Irr!BI8)),IF(AND(Irr!M8&lt;&gt;".",Irr!AK8&lt;&gt;".",Irr!BI8="."),dir!AM8/((1/1000)*(Irr!M8+Irr!AK8)),IF(AND(Irr!M8&lt;&gt;".",Irr!AK8=".",Irr!BI8&lt;&gt;"."),dir!AM8/((1/1000)*(Irr!M8+Irr!BI8)),IF(AND(Irr!M8=".",Irr!AK8&lt;&gt;".",Irr!BI8&lt;&gt;"."),dir!AM8/((1/1000)*(Irr!AK8+Irr!BI8)),IF(AND(Irr!M8=".",Irr!AK8=".",Irr!BI8&lt;&gt;"."),dir!AM8/((1/1000)*(Irr!BI8)),IF(AND(Irr!M8=".",Irr!AK8&lt;&gt;".",Irr!BI8="."),dir!AM8/((1/1000)*(Irr!AK8)),IF(AND(Irr!M8&lt;&gt;".",Irr!AK8=".",Irr!BI8="."),dir!AM8/((1/1000)*(Irr!M8)),IF(AND(Irr!M8=".",Irr!AK8=".",Irr!BI8="."),dir!AM8*1000)))))))),".")</f>
        <v>397.60151999715089</v>
      </c>
      <c r="AN8" s="76">
        <f>IFERROR(IF(AND(Irr!N8&lt;&gt;".",Irr!AL8&lt;&gt;".",Irr!BJ8&lt;&gt;"."),dir!AN8/((1/1000)*(Irr!N8+Irr!AL8+Irr!BJ8)),IF(AND(Irr!N8&lt;&gt;".",Irr!AL8&lt;&gt;".",Irr!BJ8="."),dir!AN8/((1/1000)*(Irr!N8+Irr!AL8)),IF(AND(Irr!N8&lt;&gt;".",Irr!AL8=".",Irr!BJ8&lt;&gt;"."),dir!AN8/((1/1000)*(Irr!N8+Irr!BJ8)),IF(AND(Irr!N8=".",Irr!AL8&lt;&gt;".",Irr!BJ8&lt;&gt;"."),dir!AN8/((1/1000)*(Irr!AL8+Irr!BJ8)),IF(AND(Irr!N8=".",Irr!AL8=".",Irr!BJ8&lt;&gt;"."),dir!AN8/((1/1000)*(Irr!BJ8)),IF(AND(Irr!N8=".",Irr!AL8&lt;&gt;".",Irr!BJ8="."),dir!AN8/((1/1000)*(Irr!AL8)),IF(AND(Irr!N8&lt;&gt;".",Irr!AL8=".",Irr!BJ8="."),dir!AN8/((1/1000)*(Irr!N8)),IF(AND(Irr!N8=".",Irr!AL8=".",Irr!BJ8="."),dir!AN8*1000)))))))),".")</f>
        <v>455.53011238871022</v>
      </c>
      <c r="AO8" s="76">
        <f>IFERROR(IF(AND(Irr!O8&lt;&gt;".",Irr!AM8&lt;&gt;".",Irr!BK8&lt;&gt;"."),dir!AO8/((1/1000)*(Irr!O8+Irr!AM8+Irr!BK8)),IF(AND(Irr!O8&lt;&gt;".",Irr!AM8&lt;&gt;".",Irr!BK8="."),dir!AO8/((1/1000)*(Irr!O8+Irr!AM8)),IF(AND(Irr!O8&lt;&gt;".",Irr!AM8=".",Irr!BK8&lt;&gt;"."),dir!AO8/((1/1000)*(Irr!O8+Irr!BK8)),IF(AND(Irr!O8=".",Irr!AM8&lt;&gt;".",Irr!BK8&lt;&gt;"."),dir!AO8/((1/1000)*(Irr!AM8+Irr!BK8)),IF(AND(Irr!O8=".",Irr!AM8=".",Irr!BK8&lt;&gt;"."),dir!AO8/((1/1000)*(Irr!BK8)),IF(AND(Irr!O8=".",Irr!AM8&lt;&gt;".",Irr!BK8="."),dir!AO8/((1/1000)*(Irr!AM8)),IF(AND(Irr!O8&lt;&gt;".",Irr!AM8=".",Irr!BK8="."),dir!AO8/((1/1000)*(Irr!O8)),IF(AND(Irr!O8=".",Irr!AM8=".",Irr!BK8="."),dir!AO8*1000)))))))),".")</f>
        <v>520.79182673225</v>
      </c>
      <c r="AP8" s="76">
        <f>IFERROR(IF(AND(Irr!P8&lt;&gt;".",Irr!AN8&lt;&gt;".",Irr!BL8&lt;&gt;"."),dir!AP8/((1/1000)*(Irr!P8+Irr!AN8+Irr!BL8)),IF(AND(Irr!P8&lt;&gt;".",Irr!AN8&lt;&gt;".",Irr!BL8="."),dir!AP8/((1/1000)*(Irr!P8+Irr!AN8)),IF(AND(Irr!P8&lt;&gt;".",Irr!AN8=".",Irr!BL8&lt;&gt;"."),dir!AP8/((1/1000)*(Irr!P8+Irr!BL8)),IF(AND(Irr!P8=".",Irr!AN8&lt;&gt;".",Irr!BL8&lt;&gt;"."),dir!AP8/((1/1000)*(Irr!AN8+Irr!BL8)),IF(AND(Irr!P8=".",Irr!AN8=".",Irr!BL8&lt;&gt;"."),dir!AP8/((1/1000)*(Irr!BL8)),IF(AND(Irr!P8=".",Irr!AN8&lt;&gt;".",Irr!BL8="."),dir!AP8/((1/1000)*(Irr!AN8)),IF(AND(Irr!P8&lt;&gt;".",Irr!AN8=".",Irr!BL8="."),dir!AP8/((1/1000)*(Irr!P8)),IF(AND(Irr!P8=".",Irr!AN8=".",Irr!BL8="."),dir!AP8*1000)))))))),".")</f>
        <v>569.48742644781942</v>
      </c>
      <c r="AQ8" s="76">
        <f>IFERROR(IF(AND(Irr!Q8&lt;&gt;".",Irr!AO8&lt;&gt;".",Irr!BM8&lt;&gt;"."),dir!AQ8/((1/1000)*(Irr!Q8+Irr!AO8+Irr!BM8)),IF(AND(Irr!Q8&lt;&gt;".",Irr!AO8&lt;&gt;".",Irr!BM8="."),dir!AQ8/((1/1000)*(Irr!Q8+Irr!AO8)),IF(AND(Irr!Q8&lt;&gt;".",Irr!AO8=".",Irr!BM8&lt;&gt;"."),dir!AQ8/((1/1000)*(Irr!Q8+Irr!BM8)),IF(AND(Irr!Q8=".",Irr!AO8&lt;&gt;".",Irr!BM8&lt;&gt;"."),dir!AQ8/((1/1000)*(Irr!AO8+Irr!BM8)),IF(AND(Irr!Q8=".",Irr!AO8=".",Irr!BM8&lt;&gt;"."),dir!AQ8/((1/1000)*(Irr!BM8)),IF(AND(Irr!Q8=".",Irr!AO8&lt;&gt;".",Irr!BM8="."),dir!AQ8/((1/1000)*(Irr!AO8)),IF(AND(Irr!Q8&lt;&gt;".",Irr!AO8=".",Irr!BM8="."),dir!AQ8/((1/1000)*(Irr!Q8)),IF(AND(Irr!Q8=".",Irr!AO8=".",Irr!BM8="."),dir!AQ8*1000)))))))),".")</f>
        <v>134.37999202263191</v>
      </c>
      <c r="AR8" s="76">
        <f>IFERROR(IF(AND(Irr!R8&lt;&gt;".",Irr!AP8&lt;&gt;".",Irr!BN8&lt;&gt;"."),dir!AR8/((1/1000)*(Irr!R8+Irr!AP8+Irr!BN8)),IF(AND(Irr!R8&lt;&gt;".",Irr!AP8&lt;&gt;".",Irr!BN8="."),dir!AR8/((1/1000)*(Irr!R8+Irr!AP8)),IF(AND(Irr!R8&lt;&gt;".",Irr!AP8=".",Irr!BN8&lt;&gt;"."),dir!AR8/((1/1000)*(Irr!R8+Irr!BN8)),IF(AND(Irr!R8=".",Irr!AP8&lt;&gt;".",Irr!BN8&lt;&gt;"."),dir!AR8/((1/1000)*(Irr!AP8+Irr!BN8)),IF(AND(Irr!R8=".",Irr!AP8=".",Irr!BN8&lt;&gt;"."),dir!AR8/((1/1000)*(Irr!BN8)),IF(AND(Irr!R8=".",Irr!AP8&lt;&gt;".",Irr!BN8="."),dir!AR8/((1/1000)*(Irr!AP8)),IF(AND(Irr!R8&lt;&gt;".",Irr!AP8=".",Irr!BN8="."),dir!AR8/((1/1000)*(Irr!R8)),IF(AND(Irr!R8=".",Irr!AP8=".",Irr!BN8="."),dir!AR8*1000)))))))),".")</f>
        <v>220.78810280679858</v>
      </c>
      <c r="AS8" s="76">
        <f>IFERROR(IF(AND(Irr!S8&lt;&gt;".",Irr!AQ8&lt;&gt;".",Irr!BO8&lt;&gt;"."),dir!AS8/((1/1000)*(Irr!S8+Irr!AQ8+Irr!BO8)),IF(AND(Irr!S8&lt;&gt;".",Irr!AQ8&lt;&gt;".",Irr!BO8="."),dir!AS8/((1/1000)*(Irr!S8+Irr!AQ8)),IF(AND(Irr!S8&lt;&gt;".",Irr!AQ8=".",Irr!BO8&lt;&gt;"."),dir!AS8/((1/1000)*(Irr!S8+Irr!BO8)),IF(AND(Irr!S8=".",Irr!AQ8&lt;&gt;".",Irr!BO8&lt;&gt;"."),dir!AS8/((1/1000)*(Irr!AQ8+Irr!BO8)),IF(AND(Irr!S8=".",Irr!AQ8=".",Irr!BO8&lt;&gt;"."),dir!AS8/((1/1000)*(Irr!BO8)),IF(AND(Irr!S8=".",Irr!AQ8&lt;&gt;".",Irr!BO8="."),dir!AS8/((1/1000)*(Irr!AQ8)),IF(AND(Irr!S8&lt;&gt;".",Irr!AQ8=".",Irr!BO8="."),dir!AS8/((1/1000)*(Irr!S8)),IF(AND(Irr!S8=".",Irr!AQ8=".",Irr!BO8="."),dir!AS8*1000)))))))),".")</f>
        <v>440.83428683010061</v>
      </c>
      <c r="AT8" s="76">
        <f>IFERROR(IF(AND(Irr!T8&lt;&gt;".",Irr!AR8&lt;&gt;".",Irr!BP8&lt;&gt;"."),dir!AT8/((1/1000)*(Irr!T8+Irr!AR8+Irr!BP8)),IF(AND(Irr!T8&lt;&gt;".",Irr!AR8&lt;&gt;".",Irr!BP8="."),dir!AT8/((1/1000)*(Irr!T8+Irr!AR8)),IF(AND(Irr!T8&lt;&gt;".",Irr!AR8=".",Irr!BP8&lt;&gt;"."),dir!AT8/((1/1000)*(Irr!T8+Irr!BP8)),IF(AND(Irr!T8=".",Irr!AR8&lt;&gt;".",Irr!BP8&lt;&gt;"."),dir!AT8/((1/1000)*(Irr!AR8+Irr!BP8)),IF(AND(Irr!T8=".",Irr!AR8=".",Irr!BP8&lt;&gt;"."),dir!AT8/((1/1000)*(Irr!BP8)),IF(AND(Irr!T8=".",Irr!AR8&lt;&gt;".",Irr!BP8="."),dir!AT8/((1/1000)*(Irr!AR8)),IF(AND(Irr!T8&lt;&gt;".",Irr!AR8=".",Irr!BP8="."),dir!AT8/((1/1000)*(Irr!T8)),IF(AND(Irr!T8=".",Irr!AR8=".",Irr!BP8="."),dir!AT8*1000)))))))),".")</f>
        <v>106.6709797583778</v>
      </c>
      <c r="AU8" s="76">
        <f>IFERROR(IF(AND(Irr!U8&lt;&gt;".",Irr!AS8&lt;&gt;".",Irr!BQ8&lt;&gt;"."),dir!AU8/((1/1000)*(Irr!U8+Irr!AS8+Irr!BQ8)),IF(AND(Irr!U8&lt;&gt;".",Irr!AS8&lt;&gt;".",Irr!BQ8="."),dir!AU8/((1/1000)*(Irr!U8+Irr!AS8)),IF(AND(Irr!U8&lt;&gt;".",Irr!AS8=".",Irr!BQ8&lt;&gt;"."),dir!AU8/((1/1000)*(Irr!U8+Irr!BQ8)),IF(AND(Irr!U8=".",Irr!AS8&lt;&gt;".",Irr!BQ8&lt;&gt;"."),dir!AU8/((1/1000)*(Irr!AS8+Irr!BQ8)),IF(AND(Irr!U8=".",Irr!AS8=".",Irr!BQ8&lt;&gt;"."),dir!AU8/((1/1000)*(Irr!BQ8)),IF(AND(Irr!U8=".",Irr!AS8&lt;&gt;".",Irr!BQ8="."),dir!AU8/((1/1000)*(Irr!AS8)),IF(AND(Irr!U8&lt;&gt;".",Irr!AS8=".",Irr!BQ8="."),dir!AU8/((1/1000)*(Irr!U8)),IF(AND(Irr!U8=".",Irr!AS8=".",Irr!BQ8="."),dir!AU8*1000)))))))),".")</f>
        <v>222.8298921393768</v>
      </c>
      <c r="AV8" s="76">
        <f>IFERROR(IF(AND(Irr!V8&lt;&gt;".",Irr!AT8&lt;&gt;".",Irr!BR8&lt;&gt;"."),dir!AV8/((1/1000)*(Irr!V8+Irr!AT8+Irr!BR8)),IF(AND(Irr!V8&lt;&gt;".",Irr!AT8&lt;&gt;".",Irr!BR8="."),dir!AV8/((1/1000)*(Irr!V8+Irr!AT8)),IF(AND(Irr!V8&lt;&gt;".",Irr!AT8=".",Irr!BR8&lt;&gt;"."),dir!AV8/((1/1000)*(Irr!V8+Irr!BR8)),IF(AND(Irr!V8=".",Irr!AT8&lt;&gt;".",Irr!BR8&lt;&gt;"."),dir!AV8/((1/1000)*(Irr!AT8+Irr!BR8)),IF(AND(Irr!V8=".",Irr!AT8=".",Irr!BR8&lt;&gt;"."),dir!AV8/((1/1000)*(Irr!BR8)),IF(AND(Irr!V8=".",Irr!AT8&lt;&gt;".",Irr!BR8="."),dir!AV8/((1/1000)*(Irr!AT8)),IF(AND(Irr!V8&lt;&gt;".",Irr!AT8=".",Irr!BR8="."),dir!AV8/((1/1000)*(Irr!V8)),IF(AND(Irr!V8=".",Irr!AT8=".",Irr!BR8="."),dir!AV8*1000)))))))),".")</f>
        <v>268.05460841727404</v>
      </c>
      <c r="AW8" s="76">
        <f>IFERROR(IF(AND(Irr!W8&lt;&gt;".",Irr!AU8&lt;&gt;".",Irr!BS8&lt;&gt;"."),dir!AW8/((1/1000)*(Irr!W8+Irr!AU8+Irr!BS8)),IF(AND(Irr!W8&lt;&gt;".",Irr!AU8&lt;&gt;".",Irr!BS8="."),dir!AW8/((1/1000)*(Irr!W8+Irr!AU8)),IF(AND(Irr!W8&lt;&gt;".",Irr!AU8=".",Irr!BS8&lt;&gt;"."),dir!AW8/((1/1000)*(Irr!W8+Irr!BS8)),IF(AND(Irr!W8=".",Irr!AU8&lt;&gt;".",Irr!BS8&lt;&gt;"."),dir!AW8/((1/1000)*(Irr!AU8+Irr!BS8)),IF(AND(Irr!W8=".",Irr!AU8=".",Irr!BS8&lt;&gt;"."),dir!AW8/((1/1000)*(Irr!BS8)),IF(AND(Irr!W8=".",Irr!AU8&lt;&gt;".",Irr!BS8="."),dir!AW8/((1/1000)*(Irr!AU8)),IF(AND(Irr!W8&lt;&gt;".",Irr!AU8=".",Irr!BS8="."),dir!AW8/((1/1000)*(Irr!W8)),IF(AND(Irr!W8=".",Irr!AU8=".",Irr!BS8="."),dir!AW8*1000)))))))),".")</f>
        <v>360.61631853660379</v>
      </c>
      <c r="AX8" s="76">
        <f>IFERROR(IF(AND(Irr!X8&lt;&gt;".",Irr!AV8&lt;&gt;".",Irr!BT8&lt;&gt;"."),dir!AX8/((1/1000)*(Irr!X8+Irr!AV8+Irr!BT8)),IF(AND(Irr!X8&lt;&gt;".",Irr!AV8&lt;&gt;".",Irr!BT8="."),dir!AX8/((1/1000)*(Irr!X8+Irr!AV8)),IF(AND(Irr!X8&lt;&gt;".",Irr!AV8=".",Irr!BT8&lt;&gt;"."),dir!AX8/((1/1000)*(Irr!X8+Irr!BT8)),IF(AND(Irr!X8=".",Irr!AV8&lt;&gt;".",Irr!BT8&lt;&gt;"."),dir!AX8/((1/1000)*(Irr!AV8+Irr!BT8)),IF(AND(Irr!X8=".",Irr!AV8=".",Irr!BT8&lt;&gt;"."),dir!AX8/((1/1000)*(Irr!BT8)),IF(AND(Irr!X8=".",Irr!AV8&lt;&gt;".",Irr!BT8="."),dir!AX8/((1/1000)*(Irr!AV8)),IF(AND(Irr!X8&lt;&gt;".",Irr!AV8=".",Irr!BT8="."),dir!AX8/((1/1000)*(Irr!X8)),IF(AND(Irr!X8=".",Irr!AV8=".",Irr!BT8="."),dir!AX8*1000)))))))),".")</f>
        <v>160.37135731829773</v>
      </c>
      <c r="AY8" s="76">
        <f>IFERROR(IF(AND(Irr!Y8&lt;&gt;".",Irr!AW8&lt;&gt;".",Irr!BU8&lt;&gt;"."),dir!AY8/((1/1000)*(Irr!Y8+Irr!AW8+Irr!BU8)),IF(AND(Irr!Y8&lt;&gt;".",Irr!AW8&lt;&gt;".",Irr!BU8="."),dir!AY8/((1/1000)*(Irr!Y8+Irr!AW8)),IF(AND(Irr!Y8&lt;&gt;".",Irr!AW8=".",Irr!BU8&lt;&gt;"."),dir!AY8/((1/1000)*(Irr!Y8+Irr!BU8)),IF(AND(Irr!Y8=".",Irr!AW8&lt;&gt;".",Irr!BU8&lt;&gt;"."),dir!AY8/((1/1000)*(Irr!AW8+Irr!BU8)),IF(AND(Irr!Y8=".",Irr!AW8=".",Irr!BU8&lt;&gt;"."),dir!AY8/((1/1000)*(Irr!BU8)),IF(AND(Irr!Y8=".",Irr!AW8&lt;&gt;".",Irr!BU8="."),dir!AY8/((1/1000)*(Irr!AW8)),IF(AND(Irr!Y8&lt;&gt;".",Irr!AW8=".",Irr!BU8="."),dir!AY8/((1/1000)*(Irr!Y8)),IF(AND(Irr!Y8=".",Irr!AW8=".",Irr!BU8="."),dir!AY8*1000)))))))),".")</f>
        <v>76.577010302372784</v>
      </c>
      <c r="AZ8" s="76">
        <f>IFERROR(IF(AND(Irr!Z8&lt;&gt;".",Irr!AX8&lt;&gt;".",Irr!BV8&lt;&gt;"."),dir!AZ8/((1/1000)*(Irr!Z8+Irr!AX8+Irr!BV8)),IF(AND(Irr!Z8&lt;&gt;".",Irr!AX8&lt;&gt;".",Irr!BV8="."),dir!AZ8/((1/1000)*(Irr!Z8+Irr!AX8)),IF(AND(Irr!Z8&lt;&gt;".",Irr!AX8=".",Irr!BV8&lt;&gt;"."),dir!AZ8/((1/1000)*(Irr!Z8+Irr!BV8)),IF(AND(Irr!Z8=".",Irr!AX8&lt;&gt;".",Irr!BV8&lt;&gt;"."),dir!AZ8/((1/1000)*(Irr!AX8+Irr!BV8)),IF(AND(Irr!Z8=".",Irr!AX8=".",Irr!BV8&lt;&gt;"."),dir!AZ8/((1/1000)*(Irr!BV8)),IF(AND(Irr!Z8=".",Irr!AX8&lt;&gt;".",Irr!BV8="."),dir!AZ8/((1/1000)*(Irr!AX8)),IF(AND(Irr!Z8&lt;&gt;".",Irr!AX8=".",Irr!BV8="."),dir!AZ8/((1/1000)*(Irr!Z8)),IF(AND(Irr!Z8=".",Irr!AX8=".",Irr!BV8="."),dir!AZ8*1000)))))))),".")</f>
        <v>72.4605962921176</v>
      </c>
    </row>
    <row r="9" spans="1:52" ht="15" customHeight="1" x14ac:dyDescent="0.25">
      <c r="A9" s="92" t="s">
        <v>19</v>
      </c>
      <c r="B9" s="90" t="s">
        <v>1074</v>
      </c>
      <c r="C9" s="76">
        <f t="shared" si="4"/>
        <v>43.190353471079376</v>
      </c>
      <c r="D9" s="76">
        <f>IFERROR(IF(AND(Irr!C9&lt;&gt;".",Irr!AA9&lt;&gt;".",Irr!AY9&lt;&gt;"."),dir!D9/((1/1000)*(Irr!C9+Irr!AA9+Irr!AY9)),IF(AND(Irr!C9&lt;&gt;".",Irr!AA9&lt;&gt;".",Irr!AY9="."),dir!D9/((1/1000)*(Irr!C9+Irr!AA9)),IF(AND(Irr!C9&lt;&gt;".",Irr!AA9=".",Irr!AY9&lt;&gt;"."),dir!D9/((1/1000)*(Irr!C9+Irr!AY9)),IF(AND(Irr!C9=".",Irr!AA9&lt;&gt;".",Irr!AY9&lt;&gt;"."),dir!D9/((1/1000)*(Irr!AA9+Irr!AY9)),IF(AND(Irr!C9=".",Irr!AA9=".",Irr!AY9&lt;&gt;"."),dir!D9/((1/1000)*(Irr!AY9)),IF(AND(Irr!C9=".",Irr!AA9&lt;&gt;".",Irr!AY9="."),dir!D9/((1/1000)*(Irr!AA9)),IF(AND(Irr!C9&lt;&gt;".",Irr!AA9=".",Irr!AY9="."),dir!D9/((1/1000)*(Irr!C9)),IF(AND(Irr!C9=".",Irr!AA9=".",Irr!AY9="."),dir!D9*1000)))))))),".")</f>
        <v>781.82652670857078</v>
      </c>
      <c r="E9" s="76">
        <f>IFERROR(IF(AND(Irr!D9&lt;&gt;".",Irr!AB9&lt;&gt;".",Irr!AZ9&lt;&gt;"."),dir!E9/((1/1000)*(Irr!D9+Irr!AB9+Irr!AZ9)),IF(AND(Irr!D9&lt;&gt;".",Irr!AB9&lt;&gt;".",Irr!AZ9="."),dir!E9/((1/1000)*(Irr!D9+Irr!AB9)),IF(AND(Irr!D9&lt;&gt;".",Irr!AB9=".",Irr!AZ9&lt;&gt;"."),dir!E9/((1/1000)*(Irr!D9+Irr!AZ9)),IF(AND(Irr!D9=".",Irr!AB9&lt;&gt;".",Irr!AZ9&lt;&gt;"."),dir!E9/((1/1000)*(Irr!AB9+Irr!AZ9)),IF(AND(Irr!D9=".",Irr!AB9=".",Irr!AZ9&lt;&gt;"."),dir!E9/((1/1000)*(Irr!AZ9)),IF(AND(Irr!D9=".",Irr!AB9&lt;&gt;".",Irr!AZ9="."),dir!E9/((1/1000)*(Irr!AB9)),IF(AND(Irr!D9&lt;&gt;".",Irr!AB9=".",Irr!AZ9="."),dir!E9/((1/1000)*(Irr!D9)),IF(AND(Irr!D9=".",Irr!AB9=".",Irr!AZ9="."),dir!E9*1000)))))))),".")</f>
        <v>1738.5752232735963</v>
      </c>
      <c r="F9" s="76">
        <f>IFERROR(IF(AND(Irr!E9&lt;&gt;".",Irr!AC9&lt;&gt;".",Irr!BA9&lt;&gt;"."),dir!F9/((1/1000)*(Irr!E9+Irr!AC9+Irr!BA9)),IF(AND(Irr!E9&lt;&gt;".",Irr!AC9&lt;&gt;".",Irr!BA9="."),dir!F9/((1/1000)*(Irr!E9+Irr!AC9)),IF(AND(Irr!E9&lt;&gt;".",Irr!AC9=".",Irr!BA9&lt;&gt;"."),dir!F9/((1/1000)*(Irr!E9+Irr!BA9)),IF(AND(Irr!E9=".",Irr!AC9&lt;&gt;".",Irr!BA9&lt;&gt;"."),dir!F9/((1/1000)*(Irr!AC9+Irr!BA9)),IF(AND(Irr!E9=".",Irr!AC9=".",Irr!BA9&lt;&gt;"."),dir!F9/((1/1000)*(Irr!BA9)),IF(AND(Irr!E9=".",Irr!AC9&lt;&gt;".",Irr!BA9="."),dir!F9/((1/1000)*(Irr!AC9)),IF(AND(Irr!E9&lt;&gt;".",Irr!AC9=".",Irr!BA9="."),dir!F9/((1/1000)*(Irr!E9)),IF(AND(Irr!E9=".",Irr!AC9=".",Irr!BA9="."),dir!F9*1000)))))))),".")</f>
        <v>2126.1219294252601</v>
      </c>
      <c r="G9" s="76">
        <f>IFERROR(IF(AND(Irr!F9&lt;&gt;".",Irr!AD9&lt;&gt;".",Irr!BB9&lt;&gt;"."),dir!G9/((1/1000)*(Irr!F9+Irr!AD9+Irr!BB9)),IF(AND(Irr!F9&lt;&gt;".",Irr!AD9&lt;&gt;".",Irr!BB9="."),dir!G9/((1/1000)*(Irr!F9+Irr!AD9)),IF(AND(Irr!F9&lt;&gt;".",Irr!AD9=".",Irr!BB9&lt;&gt;"."),dir!G9/((1/1000)*(Irr!F9+Irr!BB9)),IF(AND(Irr!F9=".",Irr!AD9&lt;&gt;".",Irr!BB9&lt;&gt;"."),dir!G9/((1/1000)*(Irr!AD9+Irr!BB9)),IF(AND(Irr!F9=".",Irr!AD9=".",Irr!BB9&lt;&gt;"."),dir!G9/((1/1000)*(Irr!BB9)),IF(AND(Irr!F9=".",Irr!AD9&lt;&gt;".",Irr!BB9="."),dir!G9/((1/1000)*(Irr!AD9)),IF(AND(Irr!F9&lt;&gt;".",Irr!AD9=".",Irr!BB9="."),dir!G9/((1/1000)*(Irr!F9)),IF(AND(Irr!F9=".",Irr!AD9=".",Irr!BB9="."),dir!G9*1000)))))))),".")</f>
        <v>1751.2981856560136</v>
      </c>
      <c r="H9" s="76">
        <f>IFERROR(IF(AND(Irr!G9&lt;&gt;".",Irr!AE9&lt;&gt;".",Irr!BC9&lt;&gt;"."),dir!H9/((1/1000)*(Irr!G9+Irr!AE9+Irr!BC9)),IF(AND(Irr!G9&lt;&gt;".",Irr!AE9&lt;&gt;".",Irr!BC9="."),dir!H9/((1/1000)*(Irr!G9+Irr!AE9)),IF(AND(Irr!G9&lt;&gt;".",Irr!AE9=".",Irr!BC9&lt;&gt;"."),dir!H9/((1/1000)*(Irr!G9+Irr!BC9)),IF(AND(Irr!G9=".",Irr!AE9&lt;&gt;".",Irr!BC9&lt;&gt;"."),dir!H9/((1/1000)*(Irr!AE9+Irr!BC9)),IF(AND(Irr!G9=".",Irr!AE9=".",Irr!BC9&lt;&gt;"."),dir!H9/((1/1000)*(Irr!BC9)),IF(AND(Irr!G9=".",Irr!AE9&lt;&gt;".",Irr!BC9="."),dir!H9/((1/1000)*(Irr!AE9)),IF(AND(Irr!G9&lt;&gt;".",Irr!AE9=".",Irr!BC9="."),dir!H9/((1/1000)*(Irr!G9)),IF(AND(Irr!G9=".",Irr!AE9=".",Irr!BC9="."),dir!H9*1000)))))))),".")</f>
        <v>2066.3138637739967</v>
      </c>
      <c r="I9" s="76">
        <f>IFERROR(IF(AND(Irr!H9&lt;&gt;".",Irr!AF9&lt;&gt;".",Irr!BD9&lt;&gt;"."),dir!I9/((1/1000)*(Irr!H9+Irr!AF9+Irr!BD9)),IF(AND(Irr!H9&lt;&gt;".",Irr!AF9&lt;&gt;".",Irr!BD9="."),dir!I9/((1/1000)*(Irr!H9+Irr!AF9)),IF(AND(Irr!H9&lt;&gt;".",Irr!AF9=".",Irr!BD9&lt;&gt;"."),dir!I9/((1/1000)*(Irr!H9+Irr!BD9)),IF(AND(Irr!H9=".",Irr!AF9&lt;&gt;".",Irr!BD9&lt;&gt;"."),dir!I9/((1/1000)*(Irr!AF9+Irr!BD9)),IF(AND(Irr!H9=".",Irr!AF9=".",Irr!BD9&lt;&gt;"."),dir!I9/((1/1000)*(Irr!BD9)),IF(AND(Irr!H9=".",Irr!AF9&lt;&gt;".",Irr!BD9="."),dir!I9/((1/1000)*(Irr!AF9)),IF(AND(Irr!H9&lt;&gt;".",Irr!AF9=".",Irr!BD9="."),dir!I9/((1/1000)*(Irr!H9)),IF(AND(Irr!H9=".",Irr!AF9=".",Irr!BD9="."),dir!I9*1000)))))))),".")</f>
        <v>778.52883492705394</v>
      </c>
      <c r="J9" s="76">
        <f>IFERROR(IF(AND(Irr!I9&lt;&gt;".",Irr!AG9&lt;&gt;".",Irr!BE9&lt;&gt;"."),dir!J9/((1/1000)*(Irr!I9+Irr!AG9+Irr!BE9)),IF(AND(Irr!I9&lt;&gt;".",Irr!AG9&lt;&gt;".",Irr!BE9="."),dir!J9/((1/1000)*(Irr!I9+Irr!AG9)),IF(AND(Irr!I9&lt;&gt;".",Irr!AG9=".",Irr!BE9&lt;&gt;"."),dir!J9/((1/1000)*(Irr!I9+Irr!BE9)),IF(AND(Irr!I9=".",Irr!AG9&lt;&gt;".",Irr!BE9&lt;&gt;"."),dir!J9/((1/1000)*(Irr!AG9+Irr!BE9)),IF(AND(Irr!I9=".",Irr!AG9=".",Irr!BE9&lt;&gt;"."),dir!J9/((1/1000)*(Irr!BE9)),IF(AND(Irr!I9=".",Irr!AG9&lt;&gt;".",Irr!BE9="."),dir!J9/((1/1000)*(Irr!AG9)),IF(AND(Irr!I9&lt;&gt;".",Irr!AG9=".",Irr!BE9="."),dir!J9/((1/1000)*(Irr!I9)),IF(AND(Irr!I9=".",Irr!AG9=".",Irr!BE9="."),dir!J9*1000)))))))),".")</f>
        <v>2347.4419475819464</v>
      </c>
      <c r="K9" s="76">
        <f>IFERROR(IF(AND(Irr!J9&lt;&gt;".",Irr!AH9&lt;&gt;".",Irr!BF9&lt;&gt;"."),dir!K9/((1/1000)*(Irr!J9+Irr!AH9+Irr!BF9)),IF(AND(Irr!J9&lt;&gt;".",Irr!AH9&lt;&gt;".",Irr!BF9="."),dir!K9/((1/1000)*(Irr!J9+Irr!AH9)),IF(AND(Irr!J9&lt;&gt;".",Irr!AH9=".",Irr!BF9&lt;&gt;"."),dir!K9/((1/1000)*(Irr!J9+Irr!BF9)),IF(AND(Irr!J9=".",Irr!AH9&lt;&gt;".",Irr!BF9&lt;&gt;"."),dir!K9/((1/1000)*(Irr!AH9+Irr!BF9)),IF(AND(Irr!J9=".",Irr!AH9=".",Irr!BF9&lt;&gt;"."),dir!K9/((1/1000)*(Irr!BF9)),IF(AND(Irr!J9=".",Irr!AH9&lt;&gt;".",Irr!BF9="."),dir!K9/((1/1000)*(Irr!AH9)),IF(AND(Irr!J9&lt;&gt;".",Irr!AH9=".",Irr!BF9="."),dir!K9/((1/1000)*(Irr!J9)),IF(AND(Irr!J9=".",Irr!AH9=".",Irr!BF9="."),dir!K9*1000)))))))),".")</f>
        <v>202.80195998153195</v>
      </c>
      <c r="L9" s="76">
        <f>IFERROR(IF(AND(Irr!K9&lt;&gt;".",Irr!AI9&lt;&gt;".",Irr!BG9&lt;&gt;"."),dir!L9/((1/1000)*(Irr!K9+Irr!AI9+Irr!BG9)),IF(AND(Irr!K9&lt;&gt;".",Irr!AI9&lt;&gt;".",Irr!BG9="."),dir!L9/((1/1000)*(Irr!K9+Irr!AI9)),IF(AND(Irr!K9&lt;&gt;".",Irr!AI9=".",Irr!BG9&lt;&gt;"."),dir!L9/((1/1000)*(Irr!K9+Irr!BG9)),IF(AND(Irr!K9=".",Irr!AI9&lt;&gt;".",Irr!BG9&lt;&gt;"."),dir!L9/((1/1000)*(Irr!AI9+Irr!BG9)),IF(AND(Irr!K9=".",Irr!AI9=".",Irr!BG9&lt;&gt;"."),dir!L9/((1/1000)*(Irr!BG9)),IF(AND(Irr!K9=".",Irr!AI9&lt;&gt;".",Irr!BG9="."),dir!L9/((1/1000)*(Irr!AI9)),IF(AND(Irr!K9&lt;&gt;".",Irr!AI9=".",Irr!BG9="."),dir!L9/((1/1000)*(Irr!K9)),IF(AND(Irr!K9=".",Irr!AI9=".",Irr!BG9="."),dir!L9*1000)))))))),".")</f>
        <v>1113.8409429499422</v>
      </c>
      <c r="M9" s="76">
        <f>IFERROR(IF(AND(Irr!L9&lt;&gt;".",Irr!AJ9&lt;&gt;".",Irr!BH9&lt;&gt;"."),dir!M9/((1/1000)*(Irr!L9+Irr!AJ9+Irr!BH9)),IF(AND(Irr!L9&lt;&gt;".",Irr!AJ9&lt;&gt;".",Irr!BH9="."),dir!M9/((1/1000)*(Irr!L9+Irr!AJ9)),IF(AND(Irr!L9&lt;&gt;".",Irr!AJ9=".",Irr!BH9&lt;&gt;"."),dir!M9/((1/1000)*(Irr!L9+Irr!BH9)),IF(AND(Irr!L9=".",Irr!AJ9&lt;&gt;".",Irr!BH9&lt;&gt;"."),dir!M9/((1/1000)*(Irr!AJ9+Irr!BH9)),IF(AND(Irr!L9=".",Irr!AJ9=".",Irr!BH9&lt;&gt;"."),dir!M9/((1/1000)*(Irr!BH9)),IF(AND(Irr!L9=".",Irr!AJ9&lt;&gt;".",Irr!BH9="."),dir!M9/((1/1000)*(Irr!AJ9)),IF(AND(Irr!L9&lt;&gt;".",Irr!AJ9=".",Irr!BH9="."),dir!M9/((1/1000)*(Irr!L9)),IF(AND(Irr!L9=".",Irr!AJ9=".",Irr!BH9="."),dir!M9*1000)))))))),".")</f>
        <v>828.69675277404497</v>
      </c>
      <c r="N9" s="76">
        <f>IFERROR(IF(AND(Irr!M9&lt;&gt;".",Irr!AK9&lt;&gt;".",Irr!BI9&lt;&gt;"."),dir!N9/((1/1000)*(Irr!M9+Irr!AK9+Irr!BI9)),IF(AND(Irr!M9&lt;&gt;".",Irr!AK9&lt;&gt;".",Irr!BI9="."),dir!N9/((1/1000)*(Irr!M9+Irr!AK9)),IF(AND(Irr!M9&lt;&gt;".",Irr!AK9=".",Irr!BI9&lt;&gt;"."),dir!N9/((1/1000)*(Irr!M9+Irr!BI9)),IF(AND(Irr!M9=".",Irr!AK9&lt;&gt;".",Irr!BI9&lt;&gt;"."),dir!N9/((1/1000)*(Irr!AK9+Irr!BI9)),IF(AND(Irr!M9=".",Irr!AK9=".",Irr!BI9&lt;&gt;"."),dir!N9/((1/1000)*(Irr!BI9)),IF(AND(Irr!M9=".",Irr!AK9&lt;&gt;".",Irr!BI9="."),dir!N9/((1/1000)*(Irr!AK9)),IF(AND(Irr!M9&lt;&gt;".",Irr!AK9=".",Irr!BI9="."),dir!N9/((1/1000)*(Irr!M9)),IF(AND(Irr!M9=".",Irr!AK9=".",Irr!BI9="."),dir!N9*1000)))))))),".")</f>
        <v>1804.3758587743284</v>
      </c>
      <c r="O9" s="76">
        <f>IFERROR(IF(AND(Irr!N9&lt;&gt;".",Irr!AL9&lt;&gt;".",Irr!BJ9&lt;&gt;"."),dir!O9/((1/1000)*(Irr!N9+Irr!AL9+Irr!BJ9)),IF(AND(Irr!N9&lt;&gt;".",Irr!AL9&lt;&gt;".",Irr!BJ9="."),dir!O9/((1/1000)*(Irr!N9+Irr!AL9)),IF(AND(Irr!N9&lt;&gt;".",Irr!AL9=".",Irr!BJ9&lt;&gt;"."),dir!O9/((1/1000)*(Irr!N9+Irr!BJ9)),IF(AND(Irr!N9=".",Irr!AL9&lt;&gt;".",Irr!BJ9&lt;&gt;"."),dir!O9/((1/1000)*(Irr!AL9+Irr!BJ9)),IF(AND(Irr!N9=".",Irr!AL9=".",Irr!BJ9&lt;&gt;"."),dir!O9/((1/1000)*(Irr!BJ9)),IF(AND(Irr!N9=".",Irr!AL9&lt;&gt;".",Irr!BJ9="."),dir!O9/((1/1000)*(Irr!AL9)),IF(AND(Irr!N9&lt;&gt;".",Irr!AL9=".",Irr!BJ9="."),dir!O9/((1/1000)*(Irr!N9)),IF(AND(Irr!N9=".",Irr!AL9=".",Irr!BJ9="."),dir!O9*1000)))))))),".")</f>
        <v>2048.2509803047174</v>
      </c>
      <c r="P9" s="76">
        <f>IFERROR(IF(AND(Irr!O9&lt;&gt;".",Irr!AM9&lt;&gt;".",Irr!BK9&lt;&gt;"."),dir!P9/((1/1000)*(Irr!O9+Irr!AM9+Irr!BK9)),IF(AND(Irr!O9&lt;&gt;".",Irr!AM9&lt;&gt;".",Irr!BK9="."),dir!P9/((1/1000)*(Irr!O9+Irr!AM9)),IF(AND(Irr!O9&lt;&gt;".",Irr!AM9=".",Irr!BK9&lt;&gt;"."),dir!P9/((1/1000)*(Irr!O9+Irr!BK9)),IF(AND(Irr!O9=".",Irr!AM9&lt;&gt;".",Irr!BK9&lt;&gt;"."),dir!P9/((1/1000)*(Irr!AM9+Irr!BK9)),IF(AND(Irr!O9=".",Irr!AM9=".",Irr!BK9&lt;&gt;"."),dir!P9/((1/1000)*(Irr!BK9)),IF(AND(Irr!O9=".",Irr!AM9&lt;&gt;".",Irr!BK9="."),dir!P9/((1/1000)*(Irr!AM9)),IF(AND(Irr!O9&lt;&gt;".",Irr!AM9=".",Irr!BK9="."),dir!P9/((1/1000)*(Irr!O9)),IF(AND(Irr!O9=".",Irr!AM9=".",Irr!BK9="."),dir!P9*1000)))))))),".")</f>
        <v>2346.1625606387324</v>
      </c>
      <c r="Q9" s="76">
        <f>IFERROR(IF(AND(Irr!P9&lt;&gt;".",Irr!AN9&lt;&gt;".",Irr!BL9&lt;&gt;"."),dir!Q9/((1/1000)*(Irr!P9+Irr!AN9+Irr!BL9)),IF(AND(Irr!P9&lt;&gt;".",Irr!AN9&lt;&gt;".",Irr!BL9="."),dir!Q9/((1/1000)*(Irr!P9+Irr!AN9)),IF(AND(Irr!P9&lt;&gt;".",Irr!AN9=".",Irr!BL9&lt;&gt;"."),dir!Q9/((1/1000)*(Irr!P9+Irr!BL9)),IF(AND(Irr!P9=".",Irr!AN9&lt;&gt;".",Irr!BL9&lt;&gt;"."),dir!Q9/((1/1000)*(Irr!AN9+Irr!BL9)),IF(AND(Irr!P9=".",Irr!AN9=".",Irr!BL9&lt;&gt;"."),dir!Q9/((1/1000)*(Irr!BL9)),IF(AND(Irr!P9=".",Irr!AN9&lt;&gt;".",Irr!BL9="."),dir!Q9/((1/1000)*(Irr!AN9)),IF(AND(Irr!P9&lt;&gt;".",Irr!AN9=".",Irr!BL9="."),dir!Q9/((1/1000)*(Irr!P9)),IF(AND(Irr!P9=".",Irr!AN9=".",Irr!BL9="."),dir!Q9*1000)))))))),".")</f>
        <v>3168.1491365623806</v>
      </c>
      <c r="R9" s="76">
        <f>IFERROR(IF(AND(Irr!Q9&lt;&gt;".",Irr!AO9&lt;&gt;".",Irr!BM9&lt;&gt;"."),dir!R9/((1/1000)*(Irr!Q9+Irr!AO9+Irr!BM9)),IF(AND(Irr!Q9&lt;&gt;".",Irr!AO9&lt;&gt;".",Irr!BM9="."),dir!R9/((1/1000)*(Irr!Q9+Irr!AO9)),IF(AND(Irr!Q9&lt;&gt;".",Irr!AO9=".",Irr!BM9&lt;&gt;"."),dir!R9/((1/1000)*(Irr!Q9+Irr!BM9)),IF(AND(Irr!Q9=".",Irr!AO9&lt;&gt;".",Irr!BM9&lt;&gt;"."),dir!R9/((1/1000)*(Irr!AO9+Irr!BM9)),IF(AND(Irr!Q9=".",Irr!AO9=".",Irr!BM9&lt;&gt;"."),dir!R9/((1/1000)*(Irr!BM9)),IF(AND(Irr!Q9=".",Irr!AO9&lt;&gt;".",Irr!BM9="."),dir!R9/((1/1000)*(Irr!AO9)),IF(AND(Irr!Q9&lt;&gt;".",Irr!AO9=".",Irr!BM9="."),dir!R9/((1/1000)*(Irr!Q9)),IF(AND(Irr!Q9=".",Irr!AO9=".",Irr!BM9="."),dir!R9*1000)))))))),".")</f>
        <v>499.99106481382688</v>
      </c>
      <c r="S9" s="76">
        <f>IFERROR(IF(AND(Irr!R9&lt;&gt;".",Irr!AP9&lt;&gt;".",Irr!BN9&lt;&gt;"."),dir!S9/((1/1000)*(Irr!R9+Irr!AP9+Irr!BN9)),IF(AND(Irr!R9&lt;&gt;".",Irr!AP9&lt;&gt;".",Irr!BN9="."),dir!S9/((1/1000)*(Irr!R9+Irr!AP9)),IF(AND(Irr!R9&lt;&gt;".",Irr!AP9=".",Irr!BN9&lt;&gt;"."),dir!S9/((1/1000)*(Irr!R9+Irr!BN9)),IF(AND(Irr!R9=".",Irr!AP9&lt;&gt;".",Irr!BN9&lt;&gt;"."),dir!S9/((1/1000)*(Irr!AP9+Irr!BN9)),IF(AND(Irr!R9=".",Irr!AP9=".",Irr!BN9&lt;&gt;"."),dir!S9/((1/1000)*(Irr!BN9)),IF(AND(Irr!R9=".",Irr!AP9&lt;&gt;".",Irr!BN9="."),dir!S9/((1/1000)*(Irr!AP9)),IF(AND(Irr!R9&lt;&gt;".",Irr!AP9=".",Irr!BN9="."),dir!S9/((1/1000)*(Irr!R9)),IF(AND(Irr!R9=".",Irr!AP9=".",Irr!BN9="."),dir!S9*1000)))))))),".")</f>
        <v>1037.603412888149</v>
      </c>
      <c r="T9" s="76">
        <f>IFERROR(IF(AND(Irr!S9&lt;&gt;".",Irr!AQ9&lt;&gt;".",Irr!BO9&lt;&gt;"."),dir!T9/((1/1000)*(Irr!S9+Irr!AQ9+Irr!BO9)),IF(AND(Irr!S9&lt;&gt;".",Irr!AQ9&lt;&gt;".",Irr!BO9="."),dir!T9/((1/1000)*(Irr!S9+Irr!AQ9)),IF(AND(Irr!S9&lt;&gt;".",Irr!AQ9=".",Irr!BO9&lt;&gt;"."),dir!T9/((1/1000)*(Irr!S9+Irr!BO9)),IF(AND(Irr!S9=".",Irr!AQ9&lt;&gt;".",Irr!BO9&lt;&gt;"."),dir!T9/((1/1000)*(Irr!AQ9+Irr!BO9)),IF(AND(Irr!S9=".",Irr!AQ9=".",Irr!BO9&lt;&gt;"."),dir!T9/((1/1000)*(Irr!BO9)),IF(AND(Irr!S9=".",Irr!AQ9&lt;&gt;".",Irr!BO9="."),dir!T9/((1/1000)*(Irr!AQ9)),IF(AND(Irr!S9&lt;&gt;".",Irr!AQ9=".",Irr!BO9="."),dir!T9/((1/1000)*(Irr!S9)),IF(AND(Irr!S9=".",Irr!AQ9=".",Irr!BO9="."),dir!T9*1000)))))))),".")</f>
        <v>1655.5260162262718</v>
      </c>
      <c r="U9" s="76">
        <f>IFERROR(IF(AND(Irr!T9&lt;&gt;".",Irr!AR9&lt;&gt;".",Irr!BP9&lt;&gt;"."),dir!U9/((1/1000)*(Irr!T9+Irr!AR9+Irr!BP9)),IF(AND(Irr!T9&lt;&gt;".",Irr!AR9&lt;&gt;".",Irr!BP9="."),dir!U9/((1/1000)*(Irr!T9+Irr!AR9)),IF(AND(Irr!T9&lt;&gt;".",Irr!AR9=".",Irr!BP9&lt;&gt;"."),dir!U9/((1/1000)*(Irr!T9+Irr!BP9)),IF(AND(Irr!T9=".",Irr!AR9&lt;&gt;".",Irr!BP9&lt;&gt;"."),dir!U9/((1/1000)*(Irr!AR9+Irr!BP9)),IF(AND(Irr!T9=".",Irr!AR9=".",Irr!BP9&lt;&gt;"."),dir!U9/((1/1000)*(Irr!BP9)),IF(AND(Irr!T9=".",Irr!AR9&lt;&gt;".",Irr!BP9="."),dir!U9/((1/1000)*(Irr!AR9)),IF(AND(Irr!T9&lt;&gt;".",Irr!AR9=".",Irr!BP9="."),dir!U9/((1/1000)*(Irr!T9)),IF(AND(Irr!T9=".",Irr!AR9=".",Irr!BP9="."),dir!U9*1000)))))))),".")</f>
        <v>520.1069923501808</v>
      </c>
      <c r="V9" s="76">
        <f>IFERROR(IF(AND(Irr!U9&lt;&gt;".",Irr!AS9&lt;&gt;".",Irr!BQ9&lt;&gt;"."),dir!V9/((1/1000)*(Irr!U9+Irr!AS9+Irr!BQ9)),IF(AND(Irr!U9&lt;&gt;".",Irr!AS9&lt;&gt;".",Irr!BQ9="."),dir!V9/((1/1000)*(Irr!U9+Irr!AS9)),IF(AND(Irr!U9&lt;&gt;".",Irr!AS9=".",Irr!BQ9&lt;&gt;"."),dir!V9/((1/1000)*(Irr!U9+Irr!BQ9)),IF(AND(Irr!U9=".",Irr!AS9&lt;&gt;".",Irr!BQ9&lt;&gt;"."),dir!V9/((1/1000)*(Irr!AS9+Irr!BQ9)),IF(AND(Irr!U9=".",Irr!AS9=".",Irr!BQ9&lt;&gt;"."),dir!V9/((1/1000)*(Irr!BQ9)),IF(AND(Irr!U9=".",Irr!AS9&lt;&gt;".",Irr!BQ9="."),dir!V9/((1/1000)*(Irr!AS9)),IF(AND(Irr!U9&lt;&gt;".",Irr!AS9=".",Irr!BQ9="."),dir!V9/((1/1000)*(Irr!U9)),IF(AND(Irr!U9=".",Irr!AS9=".",Irr!BQ9="."),dir!V9*1000)))))))),".")</f>
        <v>951.92231640610146</v>
      </c>
      <c r="W9" s="76">
        <f>IFERROR(IF(AND(Irr!V9&lt;&gt;".",Irr!AT9&lt;&gt;".",Irr!BR9&lt;&gt;"."),dir!W9/((1/1000)*(Irr!V9+Irr!AT9+Irr!BR9)),IF(AND(Irr!V9&lt;&gt;".",Irr!AT9&lt;&gt;".",Irr!BR9="."),dir!W9/((1/1000)*(Irr!V9+Irr!AT9)),IF(AND(Irr!V9&lt;&gt;".",Irr!AT9=".",Irr!BR9&lt;&gt;"."),dir!W9/((1/1000)*(Irr!V9+Irr!BR9)),IF(AND(Irr!V9=".",Irr!AT9&lt;&gt;".",Irr!BR9&lt;&gt;"."),dir!W9/((1/1000)*(Irr!AT9+Irr!BR9)),IF(AND(Irr!V9=".",Irr!AT9=".",Irr!BR9&lt;&gt;"."),dir!W9/((1/1000)*(Irr!BR9)),IF(AND(Irr!V9=".",Irr!AT9&lt;&gt;".",Irr!BR9="."),dir!W9/((1/1000)*(Irr!AT9)),IF(AND(Irr!V9&lt;&gt;".",Irr!AT9=".",Irr!BR9="."),dir!W9/((1/1000)*(Irr!V9)),IF(AND(Irr!V9=".",Irr!AT9=".",Irr!BR9="."),dir!W9*1000)))))))),".")</f>
        <v>1172.6668456860475</v>
      </c>
      <c r="X9" s="76">
        <f>IFERROR(IF(AND(Irr!W9&lt;&gt;".",Irr!AU9&lt;&gt;".",Irr!BS9&lt;&gt;"."),dir!X9/((1/1000)*(Irr!W9+Irr!AU9+Irr!BS9)),IF(AND(Irr!W9&lt;&gt;".",Irr!AU9&lt;&gt;".",Irr!BS9="."),dir!X9/((1/1000)*(Irr!W9+Irr!AU9)),IF(AND(Irr!W9&lt;&gt;".",Irr!AU9=".",Irr!BS9&lt;&gt;"."),dir!X9/((1/1000)*(Irr!W9+Irr!BS9)),IF(AND(Irr!W9=".",Irr!AU9&lt;&gt;".",Irr!BS9&lt;&gt;"."),dir!X9/((1/1000)*(Irr!AU9+Irr!BS9)),IF(AND(Irr!W9=".",Irr!AU9=".",Irr!BS9&lt;&gt;"."),dir!X9/((1/1000)*(Irr!BS9)),IF(AND(Irr!W9=".",Irr!AU9&lt;&gt;".",Irr!BS9="."),dir!X9/((1/1000)*(Irr!AU9)),IF(AND(Irr!W9&lt;&gt;".",Irr!AU9=".",Irr!BS9="."),dir!X9/((1/1000)*(Irr!W9)),IF(AND(Irr!W9=".",Irr!AU9=".",Irr!BS9="."),dir!X9*1000)))))))),".")</f>
        <v>1550.935907729368</v>
      </c>
      <c r="Y9" s="76">
        <f>IFERROR(IF(AND(Irr!X9&lt;&gt;".",Irr!AV9&lt;&gt;".",Irr!BT9&lt;&gt;"."),dir!Y9/((1/1000)*(Irr!X9+Irr!AV9+Irr!BT9)),IF(AND(Irr!X9&lt;&gt;".",Irr!AV9&lt;&gt;".",Irr!BT9="."),dir!Y9/((1/1000)*(Irr!X9+Irr!AV9)),IF(AND(Irr!X9&lt;&gt;".",Irr!AV9=".",Irr!BT9&lt;&gt;"."),dir!Y9/((1/1000)*(Irr!X9+Irr!BT9)),IF(AND(Irr!X9=".",Irr!AV9&lt;&gt;".",Irr!BT9&lt;&gt;"."),dir!Y9/((1/1000)*(Irr!AV9+Irr!BT9)),IF(AND(Irr!X9=".",Irr!AV9=".",Irr!BT9&lt;&gt;"."),dir!Y9/((1/1000)*(Irr!BT9)),IF(AND(Irr!X9=".",Irr!AV9&lt;&gt;".",Irr!BT9="."),dir!Y9/((1/1000)*(Irr!AV9)),IF(AND(Irr!X9&lt;&gt;".",Irr!AV9=".",Irr!BT9="."),dir!Y9/((1/1000)*(Irr!X9)),IF(AND(Irr!X9=".",Irr!AV9=".",Irr!BT9="."),dir!Y9*1000)))))))),".")</f>
        <v>829.85138427741072</v>
      </c>
      <c r="Z9" s="76">
        <f>IFERROR(IF(AND(Irr!Y9&lt;&gt;".",Irr!AW9&lt;&gt;".",Irr!BU9&lt;&gt;"."),dir!Z9/((1/1000)*(Irr!Y9+Irr!AW9+Irr!BU9)),IF(AND(Irr!Y9&lt;&gt;".",Irr!AW9&lt;&gt;".",Irr!BU9="."),dir!Z9/((1/1000)*(Irr!Y9+Irr!AW9)),IF(AND(Irr!Y9&lt;&gt;".",Irr!AW9=".",Irr!BU9&lt;&gt;"."),dir!Z9/((1/1000)*(Irr!Y9+Irr!BU9)),IF(AND(Irr!Y9=".",Irr!AW9&lt;&gt;".",Irr!BU9&lt;&gt;"."),dir!Z9/((1/1000)*(Irr!AW9+Irr!BU9)),IF(AND(Irr!Y9=".",Irr!AW9=".",Irr!BU9&lt;&gt;"."),dir!Z9/((1/1000)*(Irr!BU9)),IF(AND(Irr!Y9=".",Irr!AW9&lt;&gt;".",Irr!BU9="."),dir!Z9/((1/1000)*(Irr!AW9)),IF(AND(Irr!Y9&lt;&gt;".",Irr!AW9=".",Irr!BU9="."),dir!Z9/((1/1000)*(Irr!Y9)),IF(AND(Irr!Y9=".",Irr!AW9=".",Irr!BU9="."),dir!Z9*1000)))))))),".")</f>
        <v>407.32813803858176</v>
      </c>
      <c r="AA9" s="76">
        <f>IFERROR(IF(AND(Irr!Z9&lt;&gt;".",Irr!AX9&lt;&gt;".",Irr!BV9&lt;&gt;"."),dir!AA9/((1/1000)*(Irr!Z9+Irr!AX9+Irr!BV9)),IF(AND(Irr!Z9&lt;&gt;".",Irr!AX9&lt;&gt;".",Irr!BV9="."),dir!AA9/((1/1000)*(Irr!Z9+Irr!AX9)),IF(AND(Irr!Z9&lt;&gt;".",Irr!AX9=".",Irr!BV9&lt;&gt;"."),dir!AA9/((1/1000)*(Irr!Z9+Irr!BV9)),IF(AND(Irr!Z9=".",Irr!AX9&lt;&gt;".",Irr!BV9&lt;&gt;"."),dir!AA9/((1/1000)*(Irr!AX9+Irr!BV9)),IF(AND(Irr!Z9=".",Irr!AX9=".",Irr!BV9&lt;&gt;"."),dir!AA9/((1/1000)*(Irr!BV9)),IF(AND(Irr!Z9=".",Irr!AX9&lt;&gt;".",Irr!BV9="."),dir!AA9/((1/1000)*(Irr!AX9)),IF(AND(Irr!Z9&lt;&gt;".",Irr!AX9=".",Irr!BV9="."),dir!AA9/((1/1000)*(Irr!Z9)),IF(AND(Irr!Z9=".",Irr!AX9=".",Irr!BV9="."),dir!AA9*1000)))))))),".")</f>
        <v>315.38065106033611</v>
      </c>
      <c r="AB9" s="76">
        <f t="shared" si="5"/>
        <v>26.505515278952309</v>
      </c>
      <c r="AC9" s="76">
        <f>IFERROR(IF(AND(Irr!C9&lt;&gt;".",Irr!AA9&lt;&gt;".",Irr!AY9&lt;&gt;"."),dir!AC9/((1/1000)*(Irr!C9+Irr!AA9+Irr!AY9)),IF(AND(Irr!C9&lt;&gt;".",Irr!AA9&lt;&gt;".",Irr!AY9="."),dir!AC9/((1/1000)*(Irr!C9+Irr!AA9)),IF(AND(Irr!C9&lt;&gt;".",Irr!AA9=".",Irr!AY9&lt;&gt;"."),dir!AC9/((1/1000)*(Irr!C9+Irr!AY9)),IF(AND(Irr!C9=".",Irr!AA9&lt;&gt;".",Irr!AY9&lt;&gt;"."),dir!AC9/((1/1000)*(Irr!AA9+Irr!AY9)),IF(AND(Irr!C9=".",Irr!AA9=".",Irr!AY9&lt;&gt;"."),dir!AC9/((1/1000)*(Irr!AY9)),IF(AND(Irr!C9=".",Irr!AA9&lt;&gt;".",Irr!AY9="."),dir!AC9/((1/1000)*(Irr!AA9)),IF(AND(Irr!C9&lt;&gt;".",Irr!AA9=".",Irr!AY9="."),dir!AC9/((1/1000)*(Irr!C9)),IF(AND(Irr!C9=".",Irr!AA9=".",Irr!AY9="."),dir!AC9*1000)))))))),".")</f>
        <v>441.51946930551526</v>
      </c>
      <c r="AD9" s="76">
        <f>IFERROR(IF(AND(Irr!D9&lt;&gt;".",Irr!AB9&lt;&gt;".",Irr!AZ9&lt;&gt;"."),dir!AD9/((1/1000)*(Irr!D9+Irr!AB9+Irr!AZ9)),IF(AND(Irr!D9&lt;&gt;".",Irr!AB9&lt;&gt;".",Irr!AZ9="."),dir!AD9/((1/1000)*(Irr!D9+Irr!AB9)),IF(AND(Irr!D9&lt;&gt;".",Irr!AB9=".",Irr!AZ9&lt;&gt;"."),dir!AD9/((1/1000)*(Irr!D9+Irr!AZ9)),IF(AND(Irr!D9=".",Irr!AB9&lt;&gt;".",Irr!AZ9&lt;&gt;"."),dir!AD9/((1/1000)*(Irr!AB9+Irr!AZ9)),IF(AND(Irr!D9=".",Irr!AB9=".",Irr!AZ9&lt;&gt;"."),dir!AD9/((1/1000)*(Irr!AZ9)),IF(AND(Irr!D9=".",Irr!AB9&lt;&gt;".",Irr!AZ9="."),dir!AD9/((1/1000)*(Irr!AB9)),IF(AND(Irr!D9&lt;&gt;".",Irr!AB9=".",Irr!AZ9="."),dir!AD9/((1/1000)*(Irr!D9)),IF(AND(Irr!D9=".",Irr!AB9=".",Irr!AZ9="."),dir!AD9*1000)))))))),".")</f>
        <v>1059.293808811778</v>
      </c>
      <c r="AE9" s="76">
        <f>IFERROR(IF(AND(Irr!E9&lt;&gt;".",Irr!AC9&lt;&gt;".",Irr!BA9&lt;&gt;"."),dir!AE9/((1/1000)*(Irr!E9+Irr!AC9+Irr!BA9)),IF(AND(Irr!E9&lt;&gt;".",Irr!AC9&lt;&gt;".",Irr!BA9="."),dir!AE9/((1/1000)*(Irr!E9+Irr!AC9)),IF(AND(Irr!E9&lt;&gt;".",Irr!AC9=".",Irr!BA9&lt;&gt;"."),dir!AE9/((1/1000)*(Irr!E9+Irr!BA9)),IF(AND(Irr!E9=".",Irr!AC9&lt;&gt;".",Irr!BA9&lt;&gt;"."),dir!AE9/((1/1000)*(Irr!AC9+Irr!BA9)),IF(AND(Irr!E9=".",Irr!AC9=".",Irr!BA9&lt;&gt;"."),dir!AE9/((1/1000)*(Irr!BA9)),IF(AND(Irr!E9=".",Irr!AC9&lt;&gt;".",Irr!BA9="."),dir!AE9/((1/1000)*(Irr!AC9)),IF(AND(Irr!E9&lt;&gt;".",Irr!AC9=".",Irr!BA9="."),dir!AE9/((1/1000)*(Irr!E9)),IF(AND(Irr!E9=".",Irr!AC9=".",Irr!BA9="."),dir!AE9*1000)))))))),".")</f>
        <v>1268.0798650500658</v>
      </c>
      <c r="AF9" s="76">
        <f>IFERROR(IF(AND(Irr!F9&lt;&gt;".",Irr!AD9&lt;&gt;".",Irr!BB9&lt;&gt;"."),dir!AF9/((1/1000)*(Irr!F9+Irr!AD9+Irr!BB9)),IF(AND(Irr!F9&lt;&gt;".",Irr!AD9&lt;&gt;".",Irr!BB9="."),dir!AF9/((1/1000)*(Irr!F9+Irr!AD9)),IF(AND(Irr!F9&lt;&gt;".",Irr!AD9=".",Irr!BB9&lt;&gt;"."),dir!AF9/((1/1000)*(Irr!F9+Irr!BB9)),IF(AND(Irr!F9=".",Irr!AD9&lt;&gt;".",Irr!BB9&lt;&gt;"."),dir!AF9/((1/1000)*(Irr!AD9+Irr!BB9)),IF(AND(Irr!F9=".",Irr!AD9=".",Irr!BB9&lt;&gt;"."),dir!AF9/((1/1000)*(Irr!BB9)),IF(AND(Irr!F9=".",Irr!AD9&lt;&gt;".",Irr!BB9="."),dir!AF9/((1/1000)*(Irr!AD9)),IF(AND(Irr!F9&lt;&gt;".",Irr!AD9=".",Irr!BB9="."),dir!AF9/((1/1000)*(Irr!F9)),IF(AND(Irr!F9=".",Irr!AD9=".",Irr!BB9="."),dir!AF9*1000)))))))),".")</f>
        <v>1106.9452674591907</v>
      </c>
      <c r="AG9" s="76">
        <f>IFERROR(IF(AND(Irr!G9&lt;&gt;".",Irr!AE9&lt;&gt;".",Irr!BC9&lt;&gt;"."),dir!AG9/((1/1000)*(Irr!G9+Irr!AE9+Irr!BC9)),IF(AND(Irr!G9&lt;&gt;".",Irr!AE9&lt;&gt;".",Irr!BC9="."),dir!AG9/((1/1000)*(Irr!G9+Irr!AE9)),IF(AND(Irr!G9&lt;&gt;".",Irr!AE9=".",Irr!BC9&lt;&gt;"."),dir!AG9/((1/1000)*(Irr!G9+Irr!BC9)),IF(AND(Irr!G9=".",Irr!AE9&lt;&gt;".",Irr!BC9&lt;&gt;"."),dir!AG9/((1/1000)*(Irr!AE9+Irr!BC9)),IF(AND(Irr!G9=".",Irr!AE9=".",Irr!BC9&lt;&gt;"."),dir!AG9/((1/1000)*(Irr!BC9)),IF(AND(Irr!G9=".",Irr!AE9&lt;&gt;".",Irr!BC9="."),dir!AG9/((1/1000)*(Irr!AE9)),IF(AND(Irr!G9&lt;&gt;".",Irr!AE9=".",Irr!BC9="."),dir!AG9/((1/1000)*(Irr!G9)),IF(AND(Irr!G9=".",Irr!AE9=".",Irr!BC9="."),dir!AG9*1000)))))))),".")</f>
        <v>1154.0907372205768</v>
      </c>
      <c r="AH9" s="76">
        <f>IFERROR(IF(AND(Irr!H9&lt;&gt;".",Irr!AF9&lt;&gt;".",Irr!BD9&lt;&gt;"."),dir!AH9/((1/1000)*(Irr!H9+Irr!AF9+Irr!BD9)),IF(AND(Irr!H9&lt;&gt;".",Irr!AF9&lt;&gt;".",Irr!BD9="."),dir!AH9/((1/1000)*(Irr!H9+Irr!AF9)),IF(AND(Irr!H9&lt;&gt;".",Irr!AF9=".",Irr!BD9&lt;&gt;"."),dir!AH9/((1/1000)*(Irr!H9+Irr!BD9)),IF(AND(Irr!H9=".",Irr!AF9&lt;&gt;".",Irr!BD9&lt;&gt;"."),dir!AH9/((1/1000)*(Irr!AF9+Irr!BD9)),IF(AND(Irr!H9=".",Irr!AF9=".",Irr!BD9&lt;&gt;"."),dir!AH9/((1/1000)*(Irr!BD9)),IF(AND(Irr!H9=".",Irr!AF9&lt;&gt;".",Irr!BD9="."),dir!AH9/((1/1000)*(Irr!AF9)),IF(AND(Irr!H9&lt;&gt;".",Irr!AF9=".",Irr!BD9="."),dir!AH9/((1/1000)*(Irr!H9)),IF(AND(Irr!H9=".",Irr!AF9=".",Irr!BD9="."),dir!AH9*1000)))))))),".")</f>
        <v>500.03538351657835</v>
      </c>
      <c r="AI9" s="76">
        <f>IFERROR(IF(AND(Irr!I9&lt;&gt;".",Irr!AG9&lt;&gt;".",Irr!BE9&lt;&gt;"."),dir!AI9/((1/1000)*(Irr!I9+Irr!AG9+Irr!BE9)),IF(AND(Irr!I9&lt;&gt;".",Irr!AG9&lt;&gt;".",Irr!BE9="."),dir!AI9/((1/1000)*(Irr!I9+Irr!AG9)),IF(AND(Irr!I9&lt;&gt;".",Irr!AG9=".",Irr!BE9&lt;&gt;"."),dir!AI9/((1/1000)*(Irr!I9+Irr!BE9)),IF(AND(Irr!I9=".",Irr!AG9&lt;&gt;".",Irr!BE9&lt;&gt;"."),dir!AI9/((1/1000)*(Irr!AG9+Irr!BE9)),IF(AND(Irr!I9=".",Irr!AG9=".",Irr!BE9&lt;&gt;"."),dir!AI9/((1/1000)*(Irr!BE9)),IF(AND(Irr!I9=".",Irr!AG9&lt;&gt;".",Irr!BE9="."),dir!AI9/((1/1000)*(Irr!AG9)),IF(AND(Irr!I9&lt;&gt;".",Irr!AG9=".",Irr!BE9="."),dir!AI9/((1/1000)*(Irr!I9)),IF(AND(Irr!I9=".",Irr!AG9=".",Irr!BE9="."),dir!AI9*1000)))))))),".")</f>
        <v>1640.1634192803704</v>
      </c>
      <c r="AJ9" s="76">
        <f>IFERROR(IF(AND(Irr!J9&lt;&gt;".",Irr!AH9&lt;&gt;".",Irr!BF9&lt;&gt;"."),dir!AJ9/((1/1000)*(Irr!J9+Irr!AH9+Irr!BF9)),IF(AND(Irr!J9&lt;&gt;".",Irr!AH9&lt;&gt;".",Irr!BF9="."),dir!AJ9/((1/1000)*(Irr!J9+Irr!AH9)),IF(AND(Irr!J9&lt;&gt;".",Irr!AH9=".",Irr!BF9&lt;&gt;"."),dir!AJ9/((1/1000)*(Irr!J9+Irr!BF9)),IF(AND(Irr!J9=".",Irr!AH9&lt;&gt;".",Irr!BF9&lt;&gt;"."),dir!AJ9/((1/1000)*(Irr!AH9+Irr!BF9)),IF(AND(Irr!J9=".",Irr!AH9=".",Irr!BF9&lt;&gt;"."),dir!AJ9/((1/1000)*(Irr!BF9)),IF(AND(Irr!J9=".",Irr!AH9&lt;&gt;".",Irr!BF9="."),dir!AJ9/((1/1000)*(Irr!AH9)),IF(AND(Irr!J9&lt;&gt;".",Irr!AH9=".",Irr!BF9="."),dir!AJ9/((1/1000)*(Irr!J9)),IF(AND(Irr!J9=".",Irr!AH9=".",Irr!BF9="."),dir!AJ9*1000)))))))),".")</f>
        <v>127.59898091393221</v>
      </c>
      <c r="AK9" s="76">
        <f>IFERROR(IF(AND(Irr!K9&lt;&gt;".",Irr!AI9&lt;&gt;".",Irr!BG9&lt;&gt;"."),dir!AK9/((1/1000)*(Irr!K9+Irr!AI9+Irr!BG9)),IF(AND(Irr!K9&lt;&gt;".",Irr!AI9&lt;&gt;".",Irr!BG9="."),dir!AK9/((1/1000)*(Irr!K9+Irr!AI9)),IF(AND(Irr!K9&lt;&gt;".",Irr!AI9=".",Irr!BG9&lt;&gt;"."),dir!AK9/((1/1000)*(Irr!K9+Irr!BG9)),IF(AND(Irr!K9=".",Irr!AI9&lt;&gt;".",Irr!BG9&lt;&gt;"."),dir!AK9/((1/1000)*(Irr!AI9+Irr!BG9)),IF(AND(Irr!K9=".",Irr!AI9=".",Irr!BG9&lt;&gt;"."),dir!AK9/((1/1000)*(Irr!BG9)),IF(AND(Irr!K9=".",Irr!AI9&lt;&gt;".",Irr!BG9="."),dir!AK9/((1/1000)*(Irr!AI9)),IF(AND(Irr!K9&lt;&gt;".",Irr!AI9=".",Irr!BG9="."),dir!AK9/((1/1000)*(Irr!K9)),IF(AND(Irr!K9=".",Irr!AI9=".",Irr!BG9="."),dir!AK9*1000)))))))),".")</f>
        <v>499.70184787258995</v>
      </c>
      <c r="AL9" s="76">
        <f>IFERROR(IF(AND(Irr!L9&lt;&gt;".",Irr!AJ9&lt;&gt;".",Irr!BH9&lt;&gt;"."),dir!AL9/((1/1000)*(Irr!L9+Irr!AJ9+Irr!BH9)),IF(AND(Irr!L9&lt;&gt;".",Irr!AJ9&lt;&gt;".",Irr!BH9="."),dir!AL9/((1/1000)*(Irr!L9+Irr!AJ9)),IF(AND(Irr!L9&lt;&gt;".",Irr!AJ9=".",Irr!BH9&lt;&gt;"."),dir!AL9/((1/1000)*(Irr!L9+Irr!BH9)),IF(AND(Irr!L9=".",Irr!AJ9&lt;&gt;".",Irr!BH9&lt;&gt;"."),dir!AL9/((1/1000)*(Irr!AJ9+Irr!BH9)),IF(AND(Irr!L9=".",Irr!AJ9=".",Irr!BH9&lt;&gt;"."),dir!AL9/((1/1000)*(Irr!BH9)),IF(AND(Irr!L9=".",Irr!AJ9&lt;&gt;".",Irr!BH9="."),dir!AL9/((1/1000)*(Irr!AJ9)),IF(AND(Irr!L9&lt;&gt;".",Irr!AJ9=".",Irr!BH9="."),dir!AL9/((1/1000)*(Irr!L9)),IF(AND(Irr!L9=".",Irr!AJ9=".",Irr!BH9="."),dir!AL9*1000)))))))),".")</f>
        <v>758.12278134877556</v>
      </c>
      <c r="AM9" s="76">
        <f>IFERROR(IF(AND(Irr!M9&lt;&gt;".",Irr!AK9&lt;&gt;".",Irr!BI9&lt;&gt;"."),dir!AM9/((1/1000)*(Irr!M9+Irr!AK9+Irr!BI9)),IF(AND(Irr!M9&lt;&gt;".",Irr!AK9&lt;&gt;".",Irr!BI9="."),dir!AM9/((1/1000)*(Irr!M9+Irr!AK9)),IF(AND(Irr!M9&lt;&gt;".",Irr!AK9=".",Irr!BI9&lt;&gt;"."),dir!AM9/((1/1000)*(Irr!M9+Irr!BI9)),IF(AND(Irr!M9=".",Irr!AK9&lt;&gt;".",Irr!BI9&lt;&gt;"."),dir!AM9/((1/1000)*(Irr!AK9+Irr!BI9)),IF(AND(Irr!M9=".",Irr!AK9=".",Irr!BI9&lt;&gt;"."),dir!AM9/((1/1000)*(Irr!BI9)),IF(AND(Irr!M9=".",Irr!AK9&lt;&gt;".",Irr!BI9="."),dir!AM9/((1/1000)*(Irr!AK9)),IF(AND(Irr!M9&lt;&gt;".",Irr!AK9=".",Irr!BI9="."),dir!AM9/((1/1000)*(Irr!M9)),IF(AND(Irr!M9=".",Irr!AK9=".",Irr!BI9="."),dir!AM9*1000)))))))),".")</f>
        <v>1075.7976970634209</v>
      </c>
      <c r="AN9" s="76">
        <f>IFERROR(IF(AND(Irr!N9&lt;&gt;".",Irr!AL9&lt;&gt;".",Irr!BJ9&lt;&gt;"."),dir!AN9/((1/1000)*(Irr!N9+Irr!AL9+Irr!BJ9)),IF(AND(Irr!N9&lt;&gt;".",Irr!AL9&lt;&gt;".",Irr!BJ9="."),dir!AN9/((1/1000)*(Irr!N9+Irr!AL9)),IF(AND(Irr!N9&lt;&gt;".",Irr!AL9=".",Irr!BJ9&lt;&gt;"."),dir!AN9/((1/1000)*(Irr!N9+Irr!BJ9)),IF(AND(Irr!N9=".",Irr!AL9&lt;&gt;".",Irr!BJ9&lt;&gt;"."),dir!AN9/((1/1000)*(Irr!AL9+Irr!BJ9)),IF(AND(Irr!N9=".",Irr!AL9=".",Irr!BJ9&lt;&gt;"."),dir!AN9/((1/1000)*(Irr!BJ9)),IF(AND(Irr!N9=".",Irr!AL9&lt;&gt;".",Irr!BJ9="."),dir!AN9/((1/1000)*(Irr!AL9)),IF(AND(Irr!N9&lt;&gt;".",Irr!AL9=".",Irr!BJ9="."),dir!AN9/((1/1000)*(Irr!N9)),IF(AND(Irr!N9=".",Irr!AL9=".",Irr!BJ9="."),dir!AN9*1000)))))))),".")</f>
        <v>1232.536147885771</v>
      </c>
      <c r="AO9" s="76">
        <f>IFERROR(IF(AND(Irr!O9&lt;&gt;".",Irr!AM9&lt;&gt;".",Irr!BK9&lt;&gt;"."),dir!AO9/((1/1000)*(Irr!O9+Irr!AM9+Irr!BK9)),IF(AND(Irr!O9&lt;&gt;".",Irr!AM9&lt;&gt;".",Irr!BK9="."),dir!AO9/((1/1000)*(Irr!O9+Irr!AM9)),IF(AND(Irr!O9&lt;&gt;".",Irr!AM9=".",Irr!BK9&lt;&gt;"."),dir!AO9/((1/1000)*(Irr!O9+Irr!BK9)),IF(AND(Irr!O9=".",Irr!AM9&lt;&gt;".",Irr!BK9&lt;&gt;"."),dir!AO9/((1/1000)*(Irr!AM9+Irr!BK9)),IF(AND(Irr!O9=".",Irr!AM9=".",Irr!BK9&lt;&gt;"."),dir!AO9/((1/1000)*(Irr!BK9)),IF(AND(Irr!O9=".",Irr!AM9&lt;&gt;".",Irr!BK9="."),dir!AO9/((1/1000)*(Irr!AM9)),IF(AND(Irr!O9&lt;&gt;".",Irr!AM9=".",Irr!BK9="."),dir!AO9/((1/1000)*(Irr!O9)),IF(AND(Irr!O9=".",Irr!AM9=".",Irr!BK9="."),dir!AO9*1000)))))))),".")</f>
        <v>1409.1159607539259</v>
      </c>
      <c r="AP9" s="76">
        <f>IFERROR(IF(AND(Irr!P9&lt;&gt;".",Irr!AN9&lt;&gt;".",Irr!BL9&lt;&gt;"."),dir!AP9/((1/1000)*(Irr!P9+Irr!AN9+Irr!BL9)),IF(AND(Irr!P9&lt;&gt;".",Irr!AN9&lt;&gt;".",Irr!BL9="."),dir!AP9/((1/1000)*(Irr!P9+Irr!AN9)),IF(AND(Irr!P9&lt;&gt;".",Irr!AN9=".",Irr!BL9&lt;&gt;"."),dir!AP9/((1/1000)*(Irr!P9+Irr!BL9)),IF(AND(Irr!P9=".",Irr!AN9&lt;&gt;".",Irr!BL9&lt;&gt;"."),dir!AP9/((1/1000)*(Irr!AN9+Irr!BL9)),IF(AND(Irr!P9=".",Irr!AN9=".",Irr!BL9&lt;&gt;"."),dir!AP9/((1/1000)*(Irr!BL9)),IF(AND(Irr!P9=".",Irr!AN9&lt;&gt;".",Irr!BL9="."),dir!AP9/((1/1000)*(Irr!AN9)),IF(AND(Irr!P9&lt;&gt;".",Irr!AN9=".",Irr!BL9="."),dir!AP9/((1/1000)*(Irr!P9)),IF(AND(Irr!P9=".",Irr!AN9=".",Irr!BL9="."),dir!AP9*1000)))))))),".")</f>
        <v>1540.8725346007943</v>
      </c>
      <c r="AQ9" s="76">
        <f>IFERROR(IF(AND(Irr!Q9&lt;&gt;".",Irr!AO9&lt;&gt;".",Irr!BM9&lt;&gt;"."),dir!AQ9/((1/1000)*(Irr!Q9+Irr!AO9+Irr!BM9)),IF(AND(Irr!Q9&lt;&gt;".",Irr!AO9&lt;&gt;".",Irr!BM9="."),dir!AQ9/((1/1000)*(Irr!Q9+Irr!AO9)),IF(AND(Irr!Q9&lt;&gt;".",Irr!AO9=".",Irr!BM9&lt;&gt;"."),dir!AQ9/((1/1000)*(Irr!Q9+Irr!BM9)),IF(AND(Irr!Q9=".",Irr!AO9&lt;&gt;".",Irr!BM9&lt;&gt;"."),dir!AQ9/((1/1000)*(Irr!AO9+Irr!BM9)),IF(AND(Irr!Q9=".",Irr!AO9=".",Irr!BM9&lt;&gt;"."),dir!AQ9/((1/1000)*(Irr!BM9)),IF(AND(Irr!Q9=".",Irr!AO9&lt;&gt;".",Irr!BM9="."),dir!AQ9/((1/1000)*(Irr!AO9)),IF(AND(Irr!Q9&lt;&gt;".",Irr!AO9=".",Irr!BM9="."),dir!AQ9/((1/1000)*(Irr!Q9)),IF(AND(Irr!Q9=".",Irr!AO9=".",Irr!BM9="."),dir!AQ9*1000)))))))),".")</f>
        <v>363.59439961493155</v>
      </c>
      <c r="AR9" s="76">
        <f>IFERROR(IF(AND(Irr!R9&lt;&gt;".",Irr!AP9&lt;&gt;".",Irr!BN9&lt;&gt;"."),dir!AR9/((1/1000)*(Irr!R9+Irr!AP9+Irr!BN9)),IF(AND(Irr!R9&lt;&gt;".",Irr!AP9&lt;&gt;".",Irr!BN9="."),dir!AR9/((1/1000)*(Irr!R9+Irr!AP9)),IF(AND(Irr!R9&lt;&gt;".",Irr!AP9=".",Irr!BN9&lt;&gt;"."),dir!AR9/((1/1000)*(Irr!R9+Irr!BN9)),IF(AND(Irr!R9=".",Irr!AP9&lt;&gt;".",Irr!BN9&lt;&gt;"."),dir!AR9/((1/1000)*(Irr!AP9+Irr!BN9)),IF(AND(Irr!R9=".",Irr!AP9=".",Irr!BN9&lt;&gt;"."),dir!AR9/((1/1000)*(Irr!BN9)),IF(AND(Irr!R9=".",Irr!AP9&lt;&gt;".",Irr!BN9="."),dir!AR9/((1/1000)*(Irr!AP9)),IF(AND(Irr!R9&lt;&gt;".",Irr!AP9=".",Irr!BN9="."),dir!AR9/((1/1000)*(Irr!R9)),IF(AND(Irr!R9=".",Irr!AP9=".",Irr!BN9="."),dir!AR9*1000)))))))),".")</f>
        <v>597.39040368924577</v>
      </c>
      <c r="AS9" s="76">
        <f>IFERROR(IF(AND(Irr!S9&lt;&gt;".",Irr!AQ9&lt;&gt;".",Irr!BO9&lt;&gt;"."),dir!AS9/((1/1000)*(Irr!S9+Irr!AQ9+Irr!BO9)),IF(AND(Irr!S9&lt;&gt;".",Irr!AQ9&lt;&gt;".",Irr!BO9="."),dir!AS9/((1/1000)*(Irr!S9+Irr!AQ9)),IF(AND(Irr!S9&lt;&gt;".",Irr!AQ9=".",Irr!BO9&lt;&gt;"."),dir!AS9/((1/1000)*(Irr!S9+Irr!BO9)),IF(AND(Irr!S9=".",Irr!AQ9&lt;&gt;".",Irr!BO9&lt;&gt;"."),dir!AS9/((1/1000)*(Irr!AQ9+Irr!BO9)),IF(AND(Irr!S9=".",Irr!AQ9=".",Irr!BO9&lt;&gt;"."),dir!AS9/((1/1000)*(Irr!BO9)),IF(AND(Irr!S9=".",Irr!AQ9&lt;&gt;".",Irr!BO9="."),dir!AS9/((1/1000)*(Irr!AQ9)),IF(AND(Irr!S9&lt;&gt;".",Irr!AQ9=".",Irr!BO9="."),dir!AS9/((1/1000)*(Irr!S9)),IF(AND(Irr!S9=".",Irr!AQ9=".",Irr!BO9="."),dir!AS9*1000)))))))),".")</f>
        <v>1192.7733841707043</v>
      </c>
      <c r="AT9" s="76">
        <f>IFERROR(IF(AND(Irr!T9&lt;&gt;".",Irr!AR9&lt;&gt;".",Irr!BP9&lt;&gt;"."),dir!AT9/((1/1000)*(Irr!T9+Irr!AR9+Irr!BP9)),IF(AND(Irr!T9&lt;&gt;".",Irr!AR9&lt;&gt;".",Irr!BP9="."),dir!AT9/((1/1000)*(Irr!T9+Irr!AR9)),IF(AND(Irr!T9&lt;&gt;".",Irr!AR9=".",Irr!BP9&lt;&gt;"."),dir!AT9/((1/1000)*(Irr!T9+Irr!BP9)),IF(AND(Irr!T9=".",Irr!AR9&lt;&gt;".",Irr!BP9&lt;&gt;"."),dir!AT9/((1/1000)*(Irr!AR9+Irr!BP9)),IF(AND(Irr!T9=".",Irr!AR9=".",Irr!BP9&lt;&gt;"."),dir!AT9/((1/1000)*(Irr!BP9)),IF(AND(Irr!T9=".",Irr!AR9&lt;&gt;".",Irr!BP9="."),dir!AT9/((1/1000)*(Irr!AR9)),IF(AND(Irr!T9&lt;&gt;".",Irr!AR9=".",Irr!BP9="."),dir!AT9/((1/1000)*(Irr!T9)),IF(AND(Irr!T9=".",Irr!AR9=".",Irr!BP9="."),dir!AT9*1000)))))))),".")</f>
        <v>288.6216188720403</v>
      </c>
      <c r="AU9" s="76">
        <f>IFERROR(IF(AND(Irr!U9&lt;&gt;".",Irr!AS9&lt;&gt;".",Irr!BQ9&lt;&gt;"."),dir!AU9/((1/1000)*(Irr!U9+Irr!AS9+Irr!BQ9)),IF(AND(Irr!U9&lt;&gt;".",Irr!AS9&lt;&gt;".",Irr!BQ9="."),dir!AU9/((1/1000)*(Irr!U9+Irr!AS9)),IF(AND(Irr!U9&lt;&gt;".",Irr!AS9=".",Irr!BQ9&lt;&gt;"."),dir!AU9/((1/1000)*(Irr!U9+Irr!BQ9)),IF(AND(Irr!U9=".",Irr!AS9&lt;&gt;".",Irr!BQ9&lt;&gt;"."),dir!AU9/((1/1000)*(Irr!AS9+Irr!BQ9)),IF(AND(Irr!U9=".",Irr!AS9=".",Irr!BQ9&lt;&gt;"."),dir!AU9/((1/1000)*(Irr!BQ9)),IF(AND(Irr!U9=".",Irr!AS9&lt;&gt;".",Irr!BQ9="."),dir!AU9/((1/1000)*(Irr!AS9)),IF(AND(Irr!U9&lt;&gt;".",Irr!AS9=".",Irr!BQ9="."),dir!AU9/((1/1000)*(Irr!U9)),IF(AND(Irr!U9=".",Irr!AS9=".",Irr!BQ9="."),dir!AU9*1000)))))))),".")</f>
        <v>602.91491039106131</v>
      </c>
      <c r="AV9" s="76">
        <f>IFERROR(IF(AND(Irr!V9&lt;&gt;".",Irr!AT9&lt;&gt;".",Irr!BR9&lt;&gt;"."),dir!AV9/((1/1000)*(Irr!V9+Irr!AT9+Irr!BR9)),IF(AND(Irr!V9&lt;&gt;".",Irr!AT9&lt;&gt;".",Irr!BR9="."),dir!AV9/((1/1000)*(Irr!V9+Irr!AT9)),IF(AND(Irr!V9&lt;&gt;".",Irr!AT9=".",Irr!BR9&lt;&gt;"."),dir!AV9/((1/1000)*(Irr!V9+Irr!BR9)),IF(AND(Irr!V9=".",Irr!AT9&lt;&gt;".",Irr!BR9&lt;&gt;"."),dir!AV9/((1/1000)*(Irr!AT9+Irr!BR9)),IF(AND(Irr!V9=".",Irr!AT9=".",Irr!BR9&lt;&gt;"."),dir!AV9/((1/1000)*(Irr!BR9)),IF(AND(Irr!V9=".",Irr!AT9&lt;&gt;".",Irr!BR9="."),dir!AV9/((1/1000)*(Irr!AT9)),IF(AND(Irr!V9&lt;&gt;".",Irr!AT9=".",Irr!BR9="."),dir!AV9/((1/1000)*(Irr!V9)),IF(AND(Irr!V9=".",Irr!AT9=".",Irr!BR9="."),dir!AV9*1000)))))))),".")</f>
        <v>725.28025150559506</v>
      </c>
      <c r="AW9" s="76">
        <f>IFERROR(IF(AND(Irr!W9&lt;&gt;".",Irr!AU9&lt;&gt;".",Irr!BS9&lt;&gt;"."),dir!AW9/((1/1000)*(Irr!W9+Irr!AU9+Irr!BS9)),IF(AND(Irr!W9&lt;&gt;".",Irr!AU9&lt;&gt;".",Irr!BS9="."),dir!AW9/((1/1000)*(Irr!W9+Irr!AU9)),IF(AND(Irr!W9&lt;&gt;".",Irr!AU9=".",Irr!BS9&lt;&gt;"."),dir!AW9/((1/1000)*(Irr!W9+Irr!BS9)),IF(AND(Irr!W9=".",Irr!AU9&lt;&gt;".",Irr!BS9&lt;&gt;"."),dir!AW9/((1/1000)*(Irr!AU9+Irr!BS9)),IF(AND(Irr!W9=".",Irr!AU9=".",Irr!BS9&lt;&gt;"."),dir!AW9/((1/1000)*(Irr!BS9)),IF(AND(Irr!W9=".",Irr!AU9&lt;&gt;".",Irr!BS9="."),dir!AW9/((1/1000)*(Irr!AU9)),IF(AND(Irr!W9&lt;&gt;".",Irr!AU9=".",Irr!BS9="."),dir!AW9/((1/1000)*(Irr!W9)),IF(AND(Irr!W9=".",Irr!AU9=".",Irr!BS9="."),dir!AW9*1000)))))))),".")</f>
        <v>975.7261617308385</v>
      </c>
      <c r="AX9" s="76">
        <f>IFERROR(IF(AND(Irr!X9&lt;&gt;".",Irr!AV9&lt;&gt;".",Irr!BT9&lt;&gt;"."),dir!AX9/((1/1000)*(Irr!X9+Irr!AV9+Irr!BT9)),IF(AND(Irr!X9&lt;&gt;".",Irr!AV9&lt;&gt;".",Irr!BT9="."),dir!AX9/((1/1000)*(Irr!X9+Irr!AV9)),IF(AND(Irr!X9&lt;&gt;".",Irr!AV9=".",Irr!BT9&lt;&gt;"."),dir!AX9/((1/1000)*(Irr!X9+Irr!BT9)),IF(AND(Irr!X9=".",Irr!AV9&lt;&gt;".",Irr!BT9&lt;&gt;"."),dir!AX9/((1/1000)*(Irr!AV9+Irr!BT9)),IF(AND(Irr!X9=".",Irr!AV9=".",Irr!BT9&lt;&gt;"."),dir!AX9/((1/1000)*(Irr!BT9)),IF(AND(Irr!X9=".",Irr!AV9&lt;&gt;".",Irr!BT9="."),dir!AX9/((1/1000)*(Irr!AV9)),IF(AND(Irr!X9&lt;&gt;".",Irr!AV9=".",Irr!BT9="."),dir!AX9/((1/1000)*(Irr!X9)),IF(AND(Irr!X9=".",Irr!AV9=".",Irr!BT9="."),dir!AX9*1000)))))))),".")</f>
        <v>433.91971157252101</v>
      </c>
      <c r="AY9" s="76">
        <f>IFERROR(IF(AND(Irr!Y9&lt;&gt;".",Irr!AW9&lt;&gt;".",Irr!BU9&lt;&gt;"."),dir!AY9/((1/1000)*(Irr!Y9+Irr!AW9+Irr!BU9)),IF(AND(Irr!Y9&lt;&gt;".",Irr!AW9&lt;&gt;".",Irr!BU9="."),dir!AY9/((1/1000)*(Irr!Y9+Irr!AW9)),IF(AND(Irr!Y9&lt;&gt;".",Irr!AW9=".",Irr!BU9&lt;&gt;"."),dir!AY9/((1/1000)*(Irr!Y9+Irr!BU9)),IF(AND(Irr!Y9=".",Irr!AW9&lt;&gt;".",Irr!BU9&lt;&gt;"."),dir!AY9/((1/1000)*(Irr!AW9+Irr!BU9)),IF(AND(Irr!Y9=".",Irr!AW9=".",Irr!BU9&lt;&gt;"."),dir!AY9/((1/1000)*(Irr!BU9)),IF(AND(Irr!Y9=".",Irr!AW9&lt;&gt;".",Irr!BU9="."),dir!AY9/((1/1000)*(Irr!AW9)),IF(AND(Irr!Y9&lt;&gt;".",Irr!AW9=".",Irr!BU9="."),dir!AY9/((1/1000)*(Irr!Y9)),IF(AND(Irr!Y9=".",Irr!AW9=".",Irr!BU9="."),dir!AY9*1000)))))))),".")</f>
        <v>207.19581588089702</v>
      </c>
      <c r="AZ9" s="76">
        <f>IFERROR(IF(AND(Irr!Z9&lt;&gt;".",Irr!AX9&lt;&gt;".",Irr!BV9&lt;&gt;"."),dir!AZ9/((1/1000)*(Irr!Z9+Irr!AX9+Irr!BV9)),IF(AND(Irr!Z9&lt;&gt;".",Irr!AX9&lt;&gt;".",Irr!BV9="."),dir!AZ9/((1/1000)*(Irr!Z9+Irr!AX9)),IF(AND(Irr!Z9&lt;&gt;".",Irr!AX9=".",Irr!BV9&lt;&gt;"."),dir!AZ9/((1/1000)*(Irr!Z9+Irr!BV9)),IF(AND(Irr!Z9=".",Irr!AX9&lt;&gt;".",Irr!BV9&lt;&gt;"."),dir!AZ9/((1/1000)*(Irr!AX9+Irr!BV9)),IF(AND(Irr!Z9=".",Irr!AX9=".",Irr!BV9&lt;&gt;"."),dir!AZ9/((1/1000)*(Irr!BV9)),IF(AND(Irr!Z9=".",Irr!AX9&lt;&gt;".",Irr!BV9="."),dir!AZ9/((1/1000)*(Irr!AX9)),IF(AND(Irr!Z9&lt;&gt;".",Irr!AX9=".",Irr!BV9="."),dir!AZ9/((1/1000)*(Irr!Z9)),IF(AND(Irr!Z9=".",Irr!AX9=".",Irr!BV9="."),dir!AZ9*1000)))))))),".")</f>
        <v>196.0579592841118</v>
      </c>
    </row>
    <row r="10" spans="1:52" x14ac:dyDescent="0.25">
      <c r="A10" s="94" t="s">
        <v>20</v>
      </c>
      <c r="B10" s="90" t="s">
        <v>351</v>
      </c>
      <c r="C10" s="76">
        <f t="shared" ref="C10" si="6">IFERROR(1/SUM(1/D10,1/E10,1/F10,1/G10,1/H10,1/I10,1/J10,1/K10,1/L10,1/M10,1/N10,1/O10,1/P10,1/Q10,1/R10,1/S10,1/T10,1/U10,1/V10,1/W10,1/X10,1/Y10),".")</f>
        <v>0.49141463965879956</v>
      </c>
      <c r="D10" s="76">
        <f>IFERROR(IF(AND(Irr!C10&lt;&gt;".",Irr!AA10&lt;&gt;".",Irr!AY10&lt;&gt;"."),dir!D10/((1/1000)*(Irr!C10+Irr!AA10+Irr!AY10)),IF(AND(Irr!C10&lt;&gt;".",Irr!AA10&lt;&gt;".",Irr!AY10="."),dir!D10/((1/1000)*(Irr!C10+Irr!AA10)),IF(AND(Irr!C10&lt;&gt;".",Irr!AA10=".",Irr!AY10&lt;&gt;"."),dir!D10/((1/1000)*(Irr!C10+Irr!AY10)),IF(AND(Irr!C10=".",Irr!AA10&lt;&gt;".",Irr!AY10&lt;&gt;"."),dir!D10/((1/1000)*(Irr!AA10+Irr!AY10)),IF(AND(Irr!C10=".",Irr!AA10=".",Irr!AY10&lt;&gt;"."),dir!D10/((1/1000)*(Irr!AY10)),IF(AND(Irr!C10=".",Irr!AA10&lt;&gt;".",Irr!AY10="."),dir!D10/((1/1000)*(Irr!AA10)),IF(AND(Irr!C10&lt;&gt;".",Irr!AA10=".",Irr!AY10="."),dir!D10/((1/1000)*(Irr!C10)),IF(AND(Irr!C10=".",Irr!AA10=".",Irr!AY10="."),dir!D10*1000)))))))),".")</f>
        <v>10.397655216448612</v>
      </c>
      <c r="E10" s="76">
        <f>IFERROR(IF(AND(Irr!D10&lt;&gt;".",Irr!AB10&lt;&gt;".",Irr!AZ10&lt;&gt;"."),dir!E10/((1/1000)*(Irr!D10+Irr!AB10+Irr!AZ10)),IF(AND(Irr!D10&lt;&gt;".",Irr!AB10&lt;&gt;".",Irr!AZ10="."),dir!E10/((1/1000)*(Irr!D10+Irr!AB10)),IF(AND(Irr!D10&lt;&gt;".",Irr!AB10=".",Irr!AZ10&lt;&gt;"."),dir!E10/((1/1000)*(Irr!D10+Irr!AZ10)),IF(AND(Irr!D10=".",Irr!AB10&lt;&gt;".",Irr!AZ10&lt;&gt;"."),dir!E10/((1/1000)*(Irr!AB10+Irr!AZ10)),IF(AND(Irr!D10=".",Irr!AB10=".",Irr!AZ10&lt;&gt;"."),dir!E10/((1/1000)*(Irr!AZ10)),IF(AND(Irr!D10=".",Irr!AB10&lt;&gt;".",Irr!AZ10="."),dir!E10/((1/1000)*(Irr!AB10)),IF(AND(Irr!D10&lt;&gt;".",Irr!AB10=".",Irr!AZ10="."),dir!E10/((1/1000)*(Irr!D10)),IF(AND(Irr!D10=".",Irr!AB10=".",Irr!AZ10="."),dir!E10*1000)))))))),".")</f>
        <v>15.390078535686449</v>
      </c>
      <c r="F10" s="76">
        <f>IFERROR(IF(AND(Irr!E10&lt;&gt;".",Irr!AC10&lt;&gt;".",Irr!BA10&lt;&gt;"."),dir!F10/((1/1000)*(Irr!E10+Irr!AC10+Irr!BA10)),IF(AND(Irr!E10&lt;&gt;".",Irr!AC10&lt;&gt;".",Irr!BA10="."),dir!F10/((1/1000)*(Irr!E10+Irr!AC10)),IF(AND(Irr!E10&lt;&gt;".",Irr!AC10=".",Irr!BA10&lt;&gt;"."),dir!F10/((1/1000)*(Irr!E10+Irr!BA10)),IF(AND(Irr!E10=".",Irr!AC10&lt;&gt;".",Irr!BA10&lt;&gt;"."),dir!F10/((1/1000)*(Irr!AC10+Irr!BA10)),IF(AND(Irr!E10=".",Irr!AC10=".",Irr!BA10&lt;&gt;"."),dir!F10/((1/1000)*(Irr!BA10)),IF(AND(Irr!E10=".",Irr!AC10&lt;&gt;".",Irr!BA10="."),dir!F10/((1/1000)*(Irr!AC10)),IF(AND(Irr!E10&lt;&gt;".",Irr!AC10=".",Irr!BA10="."),dir!F10/((1/1000)*(Irr!E10)),IF(AND(Irr!E10=".",Irr!AC10=".",Irr!BA10="."),dir!F10*1000)))))))),".")</f>
        <v>21.171191055720133</v>
      </c>
      <c r="G10" s="76">
        <f>IFERROR(IF(AND(Irr!F10&lt;&gt;".",Irr!AD10&lt;&gt;".",Irr!BB10&lt;&gt;"."),dir!G10/((1/1000)*(Irr!F10+Irr!AD10+Irr!BB10)),IF(AND(Irr!F10&lt;&gt;".",Irr!AD10&lt;&gt;".",Irr!BB10="."),dir!G10/((1/1000)*(Irr!F10+Irr!AD10)),IF(AND(Irr!F10&lt;&gt;".",Irr!AD10=".",Irr!BB10&lt;&gt;"."),dir!G10/((1/1000)*(Irr!F10+Irr!BB10)),IF(AND(Irr!F10=".",Irr!AD10&lt;&gt;".",Irr!BB10&lt;&gt;"."),dir!G10/((1/1000)*(Irr!AD10+Irr!BB10)),IF(AND(Irr!F10=".",Irr!AD10=".",Irr!BB10&lt;&gt;"."),dir!G10/((1/1000)*(Irr!BB10)),IF(AND(Irr!F10=".",Irr!AD10&lt;&gt;".",Irr!BB10="."),dir!G10/((1/1000)*(Irr!AD10)),IF(AND(Irr!F10&lt;&gt;".",Irr!AD10=".",Irr!BB10="."),dir!G10/((1/1000)*(Irr!F10)),IF(AND(Irr!F10=".",Irr!AD10=".",Irr!BB10="."),dir!G10*1000)))))))),".")</f>
        <v>24.117538914621349</v>
      </c>
      <c r="H10" s="76">
        <f>IFERROR(IF(AND(Irr!G10&lt;&gt;".",Irr!AE10&lt;&gt;".",Irr!BC10&lt;&gt;"."),dir!H10/((1/1000)*(Irr!G10+Irr!AE10+Irr!BC10)),IF(AND(Irr!G10&lt;&gt;".",Irr!AE10&lt;&gt;".",Irr!BC10="."),dir!H10/((1/1000)*(Irr!G10+Irr!AE10)),IF(AND(Irr!G10&lt;&gt;".",Irr!AE10=".",Irr!BC10&lt;&gt;"."),dir!H10/((1/1000)*(Irr!G10+Irr!BC10)),IF(AND(Irr!G10=".",Irr!AE10&lt;&gt;".",Irr!BC10&lt;&gt;"."),dir!H10/((1/1000)*(Irr!AE10+Irr!BC10)),IF(AND(Irr!G10=".",Irr!AE10=".",Irr!BC10&lt;&gt;"."),dir!H10/((1/1000)*(Irr!BC10)),IF(AND(Irr!G10=".",Irr!AE10&lt;&gt;".",Irr!BC10="."),dir!H10/((1/1000)*(Irr!AE10)),IF(AND(Irr!G10&lt;&gt;".",Irr!AE10=".",Irr!BC10="."),dir!H10/((1/1000)*(Irr!G10)),IF(AND(Irr!G10=".",Irr!AE10=".",Irr!BC10="."),dir!H10*1000)))))))),".")</f>
        <v>24.021297904469336</v>
      </c>
      <c r="I10" s="76">
        <f>IFERROR(IF(AND(Irr!H10&lt;&gt;".",Irr!AF10&lt;&gt;".",Irr!BD10&lt;&gt;"."),dir!I10/((1/1000)*(Irr!H10+Irr!AF10+Irr!BD10)),IF(AND(Irr!H10&lt;&gt;".",Irr!AF10&lt;&gt;".",Irr!BD10="."),dir!I10/((1/1000)*(Irr!H10+Irr!AF10)),IF(AND(Irr!H10&lt;&gt;".",Irr!AF10=".",Irr!BD10&lt;&gt;"."),dir!I10/((1/1000)*(Irr!H10+Irr!BD10)),IF(AND(Irr!H10=".",Irr!AF10&lt;&gt;".",Irr!BD10&lt;&gt;"."),dir!I10/((1/1000)*(Irr!AF10+Irr!BD10)),IF(AND(Irr!H10=".",Irr!AF10=".",Irr!BD10&lt;&gt;"."),dir!I10/((1/1000)*(Irr!BD10)),IF(AND(Irr!H10=".",Irr!AF10&lt;&gt;".",Irr!BD10="."),dir!I10/((1/1000)*(Irr!AF10)),IF(AND(Irr!H10&lt;&gt;".",Irr!AF10=".",Irr!BD10="."),dir!I10/((1/1000)*(Irr!H10)),IF(AND(Irr!H10=".",Irr!AF10=".",Irr!BD10="."),dir!I10*1000)))))))),".")</f>
        <v>6.891412531249685</v>
      </c>
      <c r="J10" s="76">
        <f>IFERROR(IF(AND(Irr!I10&lt;&gt;".",Irr!AG10&lt;&gt;".",Irr!BE10&lt;&gt;"."),dir!J10/((1/1000)*(Irr!I10+Irr!AG10+Irr!BE10)),IF(AND(Irr!I10&lt;&gt;".",Irr!AG10&lt;&gt;".",Irr!BE10="."),dir!J10/((1/1000)*(Irr!I10+Irr!AG10)),IF(AND(Irr!I10&lt;&gt;".",Irr!AG10=".",Irr!BE10&lt;&gt;"."),dir!J10/((1/1000)*(Irr!I10+Irr!BE10)),IF(AND(Irr!I10=".",Irr!AG10&lt;&gt;".",Irr!BE10&lt;&gt;"."),dir!J10/((1/1000)*(Irr!AG10+Irr!BE10)),IF(AND(Irr!I10=".",Irr!AG10=".",Irr!BE10&lt;&gt;"."),dir!J10/((1/1000)*(Irr!BE10)),IF(AND(Irr!I10=".",Irr!AG10&lt;&gt;".",Irr!BE10="."),dir!J10/((1/1000)*(Irr!AG10)),IF(AND(Irr!I10&lt;&gt;".",Irr!AG10=".",Irr!BE10="."),dir!J10/((1/1000)*(Irr!I10)),IF(AND(Irr!I10=".",Irr!AG10=".",Irr!BE10="."),dir!J10*1000)))))))),".")</f>
        <v>23.376930411959801</v>
      </c>
      <c r="K10" s="76">
        <f>IFERROR(IF(AND(Irr!J10&lt;&gt;".",Irr!AH10&lt;&gt;".",Irr!BF10&lt;&gt;"."),dir!K10/((1/1000)*(Irr!J10+Irr!AH10+Irr!BF10)),IF(AND(Irr!J10&lt;&gt;".",Irr!AH10&lt;&gt;".",Irr!BF10="."),dir!K10/((1/1000)*(Irr!J10+Irr!AH10)),IF(AND(Irr!J10&lt;&gt;".",Irr!AH10=".",Irr!BF10&lt;&gt;"."),dir!K10/((1/1000)*(Irr!J10+Irr!BF10)),IF(AND(Irr!J10=".",Irr!AH10&lt;&gt;".",Irr!BF10&lt;&gt;"."),dir!K10/((1/1000)*(Irr!AH10+Irr!BF10)),IF(AND(Irr!J10=".",Irr!AH10=".",Irr!BF10&lt;&gt;"."),dir!K10/((1/1000)*(Irr!BF10)),IF(AND(Irr!J10=".",Irr!AH10&lt;&gt;".",Irr!BF10="."),dir!K10/((1/1000)*(Irr!AH10)),IF(AND(Irr!J10&lt;&gt;".",Irr!AH10=".",Irr!BF10="."),dir!K10/((1/1000)*(Irr!J10)),IF(AND(Irr!J10=".",Irr!AH10=".",Irr!BF10="."),dir!K10*1000)))))))),".")</f>
        <v>2.6971356559151283</v>
      </c>
      <c r="L10" s="76">
        <f>IFERROR(IF(AND(Irr!K10&lt;&gt;".",Irr!AI10&lt;&gt;".",Irr!BG10&lt;&gt;"."),dir!L10/((1/1000)*(Irr!K10+Irr!AI10+Irr!BG10)),IF(AND(Irr!K10&lt;&gt;".",Irr!AI10&lt;&gt;".",Irr!BG10="."),dir!L10/((1/1000)*(Irr!K10+Irr!AI10)),IF(AND(Irr!K10&lt;&gt;".",Irr!AI10=".",Irr!BG10&lt;&gt;"."),dir!L10/((1/1000)*(Irr!K10+Irr!BG10)),IF(AND(Irr!K10=".",Irr!AI10&lt;&gt;".",Irr!BG10&lt;&gt;"."),dir!L10/((1/1000)*(Irr!AI10+Irr!BG10)),IF(AND(Irr!K10=".",Irr!AI10=".",Irr!BG10&lt;&gt;"."),dir!L10/((1/1000)*(Irr!BG10)),IF(AND(Irr!K10=".",Irr!AI10&lt;&gt;".",Irr!BG10="."),dir!L10/((1/1000)*(Irr!AI10)),IF(AND(Irr!K10&lt;&gt;".",Irr!AI10=".",Irr!BG10="."),dir!L10/((1/1000)*(Irr!K10)),IF(AND(Irr!K10=".",Irr!AI10=".",Irr!BG10="."),dir!L10*1000)))))))),".")</f>
        <v>11.830271263081638</v>
      </c>
      <c r="M10" s="76">
        <f>IFERROR(IF(AND(Irr!L10&lt;&gt;".",Irr!AJ10&lt;&gt;".",Irr!BH10&lt;&gt;"."),dir!M10/((1/1000)*(Irr!L10+Irr!AJ10+Irr!BH10)),IF(AND(Irr!L10&lt;&gt;".",Irr!AJ10&lt;&gt;".",Irr!BH10="."),dir!M10/((1/1000)*(Irr!L10+Irr!AJ10)),IF(AND(Irr!L10&lt;&gt;".",Irr!AJ10=".",Irr!BH10&lt;&gt;"."),dir!M10/((1/1000)*(Irr!L10+Irr!BH10)),IF(AND(Irr!L10=".",Irr!AJ10&lt;&gt;".",Irr!BH10&lt;&gt;"."),dir!M10/((1/1000)*(Irr!AJ10+Irr!BH10)),IF(AND(Irr!L10=".",Irr!AJ10=".",Irr!BH10&lt;&gt;"."),dir!M10/((1/1000)*(Irr!BH10)),IF(AND(Irr!L10=".",Irr!AJ10&lt;&gt;".",Irr!BH10="."),dir!M10/((1/1000)*(Irr!AJ10)),IF(AND(Irr!L10&lt;&gt;".",Irr!AJ10=".",Irr!BH10="."),dir!M10/((1/1000)*(Irr!L10)),IF(AND(Irr!L10=".",Irr!AJ10=".",Irr!BH10="."),dir!M10*1000)))))))),".")</f>
        <v>9.6633549807427315</v>
      </c>
      <c r="N10" s="76">
        <f>IFERROR(IF(AND(Irr!M10&lt;&gt;".",Irr!AK10&lt;&gt;".",Irr!BI10&lt;&gt;"."),dir!N10/((1/1000)*(Irr!M10+Irr!AK10+Irr!BI10)),IF(AND(Irr!M10&lt;&gt;".",Irr!AK10&lt;&gt;".",Irr!BI10="."),dir!N10/((1/1000)*(Irr!M10+Irr!AK10)),IF(AND(Irr!M10&lt;&gt;".",Irr!AK10=".",Irr!BI10&lt;&gt;"."),dir!N10/((1/1000)*(Irr!M10+Irr!BI10)),IF(AND(Irr!M10=".",Irr!AK10&lt;&gt;".",Irr!BI10&lt;&gt;"."),dir!N10/((1/1000)*(Irr!AK10+Irr!BI10)),IF(AND(Irr!M10=".",Irr!AK10=".",Irr!BI10&lt;&gt;"."),dir!N10/((1/1000)*(Irr!BI10)),IF(AND(Irr!M10=".",Irr!AK10&lt;&gt;".",Irr!BI10="."),dir!N10/((1/1000)*(Irr!AK10)),IF(AND(Irr!M10&lt;&gt;".",Irr!AK10=".",Irr!BI10="."),dir!N10/((1/1000)*(Irr!M10)),IF(AND(Irr!M10=".",Irr!AK10=".",Irr!BI10="."),dir!N10*1000)))))))),".")</f>
        <v>15.730505789059418</v>
      </c>
      <c r="O10" s="76">
        <f>IFERROR(IF(AND(Irr!N10&lt;&gt;".",Irr!AL10&lt;&gt;".",Irr!BJ10&lt;&gt;"."),dir!O10/((1/1000)*(Irr!N10+Irr!AL10+Irr!BJ10)),IF(AND(Irr!N10&lt;&gt;".",Irr!AL10&lt;&gt;".",Irr!BJ10="."),dir!O10/((1/1000)*(Irr!N10+Irr!AL10)),IF(AND(Irr!N10&lt;&gt;".",Irr!AL10=".",Irr!BJ10&lt;&gt;"."),dir!O10/((1/1000)*(Irr!N10+Irr!BJ10)),IF(AND(Irr!N10=".",Irr!AL10&lt;&gt;".",Irr!BJ10&lt;&gt;"."),dir!O10/((1/1000)*(Irr!AL10+Irr!BJ10)),IF(AND(Irr!N10=".",Irr!AL10=".",Irr!BJ10&lt;&gt;"."),dir!O10/((1/1000)*(Irr!BJ10)),IF(AND(Irr!N10=".",Irr!AL10&lt;&gt;".",Irr!BJ10="."),dir!O10/((1/1000)*(Irr!AL10)),IF(AND(Irr!N10&lt;&gt;".",Irr!AL10=".",Irr!BJ10="."),dir!O10/((1/1000)*(Irr!N10)),IF(AND(Irr!N10=".",Irr!AL10=".",Irr!BJ10="."),dir!O10*1000)))))))),".")</f>
        <v>20.527354979169452</v>
      </c>
      <c r="P10" s="76">
        <f>IFERROR(IF(AND(Irr!O10&lt;&gt;".",Irr!AM10&lt;&gt;".",Irr!BK10&lt;&gt;"."),dir!P10/((1/1000)*(Irr!O10+Irr!AM10+Irr!BK10)),IF(AND(Irr!O10&lt;&gt;".",Irr!AM10&lt;&gt;".",Irr!BK10="."),dir!P10/((1/1000)*(Irr!O10+Irr!AM10)),IF(AND(Irr!O10&lt;&gt;".",Irr!AM10=".",Irr!BK10&lt;&gt;"."),dir!P10/((1/1000)*(Irr!O10+Irr!BK10)),IF(AND(Irr!O10=".",Irr!AM10&lt;&gt;".",Irr!BK10&lt;&gt;"."),dir!P10/((1/1000)*(Irr!AM10+Irr!BK10)),IF(AND(Irr!O10=".",Irr!AM10=".",Irr!BK10&lt;&gt;"."),dir!P10/((1/1000)*(Irr!BK10)),IF(AND(Irr!O10=".",Irr!AM10&lt;&gt;".",Irr!BK10="."),dir!P10/((1/1000)*(Irr!AM10)),IF(AND(Irr!O10&lt;&gt;".",Irr!AM10=".",Irr!BK10="."),dir!P10/((1/1000)*(Irr!O10)),IF(AND(Irr!O10=".",Irr!AM10=".",Irr!BK10="."),dir!P10*1000)))))))),".")</f>
        <v>27.354899895086248</v>
      </c>
      <c r="Q10" s="76">
        <f>IFERROR(IF(AND(Irr!P10&lt;&gt;".",Irr!AN10&lt;&gt;".",Irr!BL10&lt;&gt;"."),dir!Q10/((1/1000)*(Irr!P10+Irr!AN10+Irr!BL10)),IF(AND(Irr!P10&lt;&gt;".",Irr!AN10&lt;&gt;".",Irr!BL10="."),dir!Q10/((1/1000)*(Irr!P10+Irr!AN10)),IF(AND(Irr!P10&lt;&gt;".",Irr!AN10=".",Irr!BL10&lt;&gt;"."),dir!Q10/((1/1000)*(Irr!P10+Irr!BL10)),IF(AND(Irr!P10=".",Irr!AN10&lt;&gt;".",Irr!BL10&lt;&gt;"."),dir!Q10/((1/1000)*(Irr!AN10+Irr!BL10)),IF(AND(Irr!P10=".",Irr!AN10=".",Irr!BL10&lt;&gt;"."),dir!Q10/((1/1000)*(Irr!BL10)),IF(AND(Irr!P10=".",Irr!AN10&lt;&gt;".",Irr!BL10="."),dir!Q10/((1/1000)*(Irr!AN10)),IF(AND(Irr!P10&lt;&gt;".",Irr!AN10=".",Irr!BL10="."),dir!Q10/((1/1000)*(Irr!P10)),IF(AND(Irr!P10=".",Irr!AN10=".",Irr!BL10="."),dir!Q10*1000)))))))),".")</f>
        <v>36.936791445267531</v>
      </c>
      <c r="R10" s="76">
        <f>IFERROR(IF(AND(Irr!Q10&lt;&gt;".",Irr!AO10&lt;&gt;".",Irr!BM10&lt;&gt;"."),dir!R10/((1/1000)*(Irr!Q10+Irr!AO10+Irr!BM10)),IF(AND(Irr!Q10&lt;&gt;".",Irr!AO10&lt;&gt;".",Irr!BM10="."),dir!R10/((1/1000)*(Irr!Q10+Irr!AO10)),IF(AND(Irr!Q10&lt;&gt;".",Irr!AO10=".",Irr!BM10&lt;&gt;"."),dir!R10/((1/1000)*(Irr!Q10+Irr!BM10)),IF(AND(Irr!Q10=".",Irr!AO10&lt;&gt;".",Irr!BM10&lt;&gt;"."),dir!R10/((1/1000)*(Irr!AO10+Irr!BM10)),IF(AND(Irr!Q10=".",Irr!AO10=".",Irr!BM10&lt;&gt;"."),dir!R10/((1/1000)*(Irr!BM10)),IF(AND(Irr!Q10=".",Irr!AO10&lt;&gt;".",Irr!BM10="."),dir!R10/((1/1000)*(Irr!AO10)),IF(AND(Irr!Q10&lt;&gt;".",Irr!AO10=".",Irr!BM10="."),dir!R10/((1/1000)*(Irr!Q10)),IF(AND(Irr!Q10=".",Irr!AO10=".",Irr!BM10="."),dir!R10*1000)))))))),".")</f>
        <v>6.6497608629700355</v>
      </c>
      <c r="S10" s="76">
        <f>IFERROR(IF(AND(Irr!R10&lt;&gt;".",Irr!AP10&lt;&gt;".",Irr!BN10&lt;&gt;"."),dir!S10/((1/1000)*(Irr!R10+Irr!AP10+Irr!BN10)),IF(AND(Irr!R10&lt;&gt;".",Irr!AP10&lt;&gt;".",Irr!BN10="."),dir!S10/((1/1000)*(Irr!R10+Irr!AP10)),IF(AND(Irr!R10&lt;&gt;".",Irr!AP10=".",Irr!BN10&lt;&gt;"."),dir!S10/((1/1000)*(Irr!R10+Irr!BN10)),IF(AND(Irr!R10=".",Irr!AP10&lt;&gt;".",Irr!BN10&lt;&gt;"."),dir!S10/((1/1000)*(Irr!AP10+Irr!BN10)),IF(AND(Irr!R10=".",Irr!AP10=".",Irr!BN10&lt;&gt;"."),dir!S10/((1/1000)*(Irr!BN10)),IF(AND(Irr!R10=".",Irr!AP10&lt;&gt;".",Irr!BN10="."),dir!S10/((1/1000)*(Irr!AP10)),IF(AND(Irr!R10&lt;&gt;".",Irr!AP10=".",Irr!BN10="."),dir!S10/((1/1000)*(Irr!R10)),IF(AND(Irr!R10=".",Irr!AP10=".",Irr!BN10="."),dir!S10*1000)))))))),".")</f>
        <v>13.80883695467806</v>
      </c>
      <c r="T10" s="76">
        <f>IFERROR(IF(AND(Irr!S10&lt;&gt;".",Irr!AQ10&lt;&gt;".",Irr!BO10&lt;&gt;"."),dir!T10/((1/1000)*(Irr!S10+Irr!AQ10+Irr!BO10)),IF(AND(Irr!S10&lt;&gt;".",Irr!AQ10&lt;&gt;".",Irr!BO10="."),dir!T10/((1/1000)*(Irr!S10+Irr!AQ10)),IF(AND(Irr!S10&lt;&gt;".",Irr!AQ10=".",Irr!BO10&lt;&gt;"."),dir!T10/((1/1000)*(Irr!S10+Irr!BO10)),IF(AND(Irr!S10=".",Irr!AQ10&lt;&gt;".",Irr!BO10&lt;&gt;"."),dir!T10/((1/1000)*(Irr!AQ10+Irr!BO10)),IF(AND(Irr!S10=".",Irr!AQ10=".",Irr!BO10&lt;&gt;"."),dir!T10/((1/1000)*(Irr!BO10)),IF(AND(Irr!S10=".",Irr!AQ10&lt;&gt;".",Irr!BO10="."),dir!T10/((1/1000)*(Irr!AQ10)),IF(AND(Irr!S10&lt;&gt;".",Irr!AQ10=".",Irr!BO10="."),dir!T10/((1/1000)*(Irr!S10)),IF(AND(Irr!S10=".",Irr!AQ10=".",Irr!BO10="."),dir!T10*1000)))))))),".")</f>
        <v>16.715890571574985</v>
      </c>
      <c r="U10" s="76">
        <f>IFERROR(IF(AND(Irr!T10&lt;&gt;".",Irr!AR10&lt;&gt;".",Irr!BP10&lt;&gt;"."),dir!U10/((1/1000)*(Irr!T10+Irr!AR10+Irr!BP10)),IF(AND(Irr!T10&lt;&gt;".",Irr!AR10&lt;&gt;".",Irr!BP10="."),dir!U10/((1/1000)*(Irr!T10+Irr!AR10)),IF(AND(Irr!T10&lt;&gt;".",Irr!AR10=".",Irr!BP10&lt;&gt;"."),dir!U10/((1/1000)*(Irr!T10+Irr!BP10)),IF(AND(Irr!T10=".",Irr!AR10&lt;&gt;".",Irr!BP10&lt;&gt;"."),dir!U10/((1/1000)*(Irr!AR10+Irr!BP10)),IF(AND(Irr!T10=".",Irr!AR10=".",Irr!BP10&lt;&gt;"."),dir!U10/((1/1000)*(Irr!BP10)),IF(AND(Irr!T10=".",Irr!AR10&lt;&gt;".",Irr!BP10="."),dir!U10/((1/1000)*(Irr!AR10)),IF(AND(Irr!T10&lt;&gt;".",Irr!AR10=".",Irr!BP10="."),dir!U10/((1/1000)*(Irr!T10)),IF(AND(Irr!T10=".",Irr!AR10=".",Irr!BP10="."),dir!U10*1000)))))))),".")</f>
        <v>4.7197746357608308</v>
      </c>
      <c r="V10" s="76">
        <f>IFERROR(IF(AND(Irr!U10&lt;&gt;".",Irr!AS10&lt;&gt;".",Irr!BQ10&lt;&gt;"."),dir!V10/((1/1000)*(Irr!U10+Irr!AS10+Irr!BQ10)),IF(AND(Irr!U10&lt;&gt;".",Irr!AS10&lt;&gt;".",Irr!BQ10="."),dir!V10/((1/1000)*(Irr!U10+Irr!AS10)),IF(AND(Irr!U10&lt;&gt;".",Irr!AS10=".",Irr!BQ10&lt;&gt;"."),dir!V10/((1/1000)*(Irr!U10+Irr!BQ10)),IF(AND(Irr!U10=".",Irr!AS10&lt;&gt;".",Irr!BQ10&lt;&gt;"."),dir!V10/((1/1000)*(Irr!AS10+Irr!BQ10)),IF(AND(Irr!U10=".",Irr!AS10=".",Irr!BQ10&lt;&gt;"."),dir!V10/((1/1000)*(Irr!BQ10)),IF(AND(Irr!U10=".",Irr!AS10&lt;&gt;".",Irr!BQ10="."),dir!V10/((1/1000)*(Irr!AS10)),IF(AND(Irr!U10&lt;&gt;".",Irr!AS10=".",Irr!BQ10="."),dir!V10/((1/1000)*(Irr!U10)),IF(AND(Irr!U10=".",Irr!AS10=".",Irr!BQ10="."),dir!V10*1000)))))))),".")</f>
        <v>11.099640966288554</v>
      </c>
      <c r="W10" s="76">
        <f>IFERROR(IF(AND(Irr!V10&lt;&gt;".",Irr!AT10&lt;&gt;".",Irr!BR10&lt;&gt;"."),dir!W10/((1/1000)*(Irr!V10+Irr!AT10+Irr!BR10)),IF(AND(Irr!V10&lt;&gt;".",Irr!AT10&lt;&gt;".",Irr!BR10="."),dir!W10/((1/1000)*(Irr!V10+Irr!AT10)),IF(AND(Irr!V10&lt;&gt;".",Irr!AT10=".",Irr!BR10&lt;&gt;"."),dir!W10/((1/1000)*(Irr!V10+Irr!BR10)),IF(AND(Irr!V10=".",Irr!AT10&lt;&gt;".",Irr!BR10&lt;&gt;"."),dir!W10/((1/1000)*(Irr!AT10+Irr!BR10)),IF(AND(Irr!V10=".",Irr!AT10=".",Irr!BR10&lt;&gt;"."),dir!W10/((1/1000)*(Irr!BR10)),IF(AND(Irr!V10=".",Irr!AT10&lt;&gt;".",Irr!BR10="."),dir!W10/((1/1000)*(Irr!AT10)),IF(AND(Irr!V10&lt;&gt;".",Irr!AT10=".",Irr!BR10="."),dir!W10/((1/1000)*(Irr!V10)),IF(AND(Irr!V10=".",Irr!AT10=".",Irr!BR10="."),dir!W10*1000)))))))),".")</f>
        <v>11.725043314996787</v>
      </c>
      <c r="X10" s="76">
        <f>IFERROR(IF(AND(Irr!W10&lt;&gt;".",Irr!AU10&lt;&gt;".",Irr!BS10&lt;&gt;"."),dir!X10/((1/1000)*(Irr!W10+Irr!AU10+Irr!BS10)),IF(AND(Irr!W10&lt;&gt;".",Irr!AU10&lt;&gt;".",Irr!BS10="."),dir!X10/((1/1000)*(Irr!W10+Irr!AU10)),IF(AND(Irr!W10&lt;&gt;".",Irr!AU10=".",Irr!BS10&lt;&gt;"."),dir!X10/((1/1000)*(Irr!W10+Irr!BS10)),IF(AND(Irr!W10=".",Irr!AU10&lt;&gt;".",Irr!BS10&lt;&gt;"."),dir!X10/((1/1000)*(Irr!AU10+Irr!BS10)),IF(AND(Irr!W10=".",Irr!AU10=".",Irr!BS10&lt;&gt;"."),dir!X10/((1/1000)*(Irr!BS10)),IF(AND(Irr!W10=".",Irr!AU10&lt;&gt;".",Irr!BS10="."),dir!X10/((1/1000)*(Irr!AU10)),IF(AND(Irr!W10&lt;&gt;".",Irr!AU10=".",Irr!BS10="."),dir!X10/((1/1000)*(Irr!W10)),IF(AND(Irr!W10=".",Irr!AU10=".",Irr!BS10="."),dir!X10*1000)))))))),".")</f>
        <v>21.203866415974048</v>
      </c>
      <c r="Y10" s="76">
        <f>IFERROR(IF(AND(Irr!X10&lt;&gt;".",Irr!AV10&lt;&gt;".",Irr!BT10&lt;&gt;"."),dir!Y10/((1/1000)*(Irr!X10+Irr!AV10+Irr!BT10)),IF(AND(Irr!X10&lt;&gt;".",Irr!AV10&lt;&gt;".",Irr!BT10="."),dir!Y10/((1/1000)*(Irr!X10+Irr!AV10)),IF(AND(Irr!X10&lt;&gt;".",Irr!AV10=".",Irr!BT10&lt;&gt;"."),dir!Y10/((1/1000)*(Irr!X10+Irr!BT10)),IF(AND(Irr!X10=".",Irr!AV10&lt;&gt;".",Irr!BT10&lt;&gt;"."),dir!Y10/((1/1000)*(Irr!AV10+Irr!BT10)),IF(AND(Irr!X10=".",Irr!AV10=".",Irr!BT10&lt;&gt;"."),dir!Y10/((1/1000)*(Irr!BT10)),IF(AND(Irr!X10=".",Irr!AV10&lt;&gt;".",Irr!BT10="."),dir!Y10/((1/1000)*(Irr!AV10)),IF(AND(Irr!X10&lt;&gt;".",Irr!AV10=".",Irr!BT10="."),dir!Y10/((1/1000)*(Irr!X10)),IF(AND(Irr!X10=".",Irr!AV10=".",Irr!BT10="."),dir!Y10*1000)))))))),".")</f>
        <v>9.6296826196512768</v>
      </c>
      <c r="Z10" s="76">
        <f>IFERROR(IF(AND(Irr!Y10&lt;&gt;".",Irr!AW10&lt;&gt;".",Irr!BU10&lt;&gt;"."),dir!Z10/((1/1000)*(Irr!Y10+Irr!AW10+Irr!BU10)),IF(AND(Irr!Y10&lt;&gt;".",Irr!AW10&lt;&gt;".",Irr!BU10="."),dir!Z10/((1/1000)*(Irr!Y10+Irr!AW10)),IF(AND(Irr!Y10&lt;&gt;".",Irr!AW10=".",Irr!BU10&lt;&gt;"."),dir!Z10/((1/1000)*(Irr!Y10+Irr!BU10)),IF(AND(Irr!Y10=".",Irr!AW10&lt;&gt;".",Irr!BU10&lt;&gt;"."),dir!Z10/((1/1000)*(Irr!AW10+Irr!BU10)),IF(AND(Irr!Y10=".",Irr!AW10=".",Irr!BU10&lt;&gt;"."),dir!Z10/((1/1000)*(Irr!BU10)),IF(AND(Irr!Y10=".",Irr!AW10&lt;&gt;".",Irr!BU10="."),dir!Z10/((1/1000)*(Irr!AW10)),IF(AND(Irr!Y10&lt;&gt;".",Irr!AW10=".",Irr!BU10="."),dir!Z10/((1/1000)*(Irr!Y10)),IF(AND(Irr!Y10=".",Irr!AW10=".",Irr!BU10="."),dir!Z10*1000)))))))),".")</f>
        <v>3.7056664845896261</v>
      </c>
      <c r="AA10" s="76">
        <f>IFERROR(IF(AND(Irr!Z10&lt;&gt;".",Irr!AX10&lt;&gt;".",Irr!BV10&lt;&gt;"."),dir!AA10/((1/1000)*(Irr!Z10+Irr!AX10+Irr!BV10)),IF(AND(Irr!Z10&lt;&gt;".",Irr!AX10&lt;&gt;".",Irr!BV10="."),dir!AA10/((1/1000)*(Irr!Z10+Irr!AX10)),IF(AND(Irr!Z10&lt;&gt;".",Irr!AX10=".",Irr!BV10&lt;&gt;"."),dir!AA10/((1/1000)*(Irr!Z10+Irr!BV10)),IF(AND(Irr!Z10=".",Irr!AX10&lt;&gt;".",Irr!BV10&lt;&gt;"."),dir!AA10/((1/1000)*(Irr!AX10+Irr!BV10)),IF(AND(Irr!Z10=".",Irr!AX10=".",Irr!BV10&lt;&gt;"."),dir!AA10/((1/1000)*(Irr!BV10)),IF(AND(Irr!Z10=".",Irr!AX10&lt;&gt;".",Irr!BV10="."),dir!AA10/((1/1000)*(Irr!AX10)),IF(AND(Irr!Z10&lt;&gt;".",Irr!AX10=".",Irr!BV10="."),dir!AA10/((1/1000)*(Irr!Z10)),IF(AND(Irr!Z10=".",Irr!AX10=".",Irr!BV10="."),dir!AA10*1000)))))))),".")</f>
        <v>2.6562251975831326</v>
      </c>
      <c r="AB10" s="76">
        <f t="shared" ref="AB10" si="7">IFERROR(1/SUM(1/AC10,1/AD10,1/AE10,1/AF10,1/AG10,1/AH10,1/AI10,1/AJ10,1/AK10,1/AL10,1/AM10,1/AN10,1/AO10,1/AP10,1/AQ10,1/AR10,1/AS10,1/AT10,1/AU10,1/AV10,1/AW10,1/AX10),".")</f>
        <v>0.30034803746137578</v>
      </c>
      <c r="AC10" s="76">
        <f>IFERROR(IF(AND(Irr!C10&lt;&gt;".",Irr!AA10&lt;&gt;".",Irr!AY10&lt;&gt;"."),dir!AC10/((1/1000)*(Irr!C10+Irr!AA10+Irr!AY10)),IF(AND(Irr!C10&lt;&gt;".",Irr!AA10&lt;&gt;".",Irr!AY10="."),dir!AC10/((1/1000)*(Irr!C10+Irr!AA10)),IF(AND(Irr!C10&lt;&gt;".",Irr!AA10=".",Irr!AY10&lt;&gt;"."),dir!AC10/((1/1000)*(Irr!C10+Irr!AY10)),IF(AND(Irr!C10=".",Irr!AA10&lt;&gt;".",Irr!AY10&lt;&gt;"."),dir!AC10/((1/1000)*(Irr!AA10+Irr!AY10)),IF(AND(Irr!C10=".",Irr!AA10=".",Irr!AY10&lt;&gt;"."),dir!AC10/((1/1000)*(Irr!AY10)),IF(AND(Irr!C10=".",Irr!AA10&lt;&gt;".",Irr!AY10="."),dir!AC10/((1/1000)*(Irr!AA10)),IF(AND(Irr!C10&lt;&gt;".",Irr!AA10=".",Irr!AY10="."),dir!AC10/((1/1000)*(Irr!C10)),IF(AND(Irr!C10=".",Irr!AA10=".",Irr!AY10="."),dir!AC10*1000)))))))),".")</f>
        <v>5.8718488774164381</v>
      </c>
      <c r="AD10" s="76">
        <f>IFERROR(IF(AND(Irr!D10&lt;&gt;".",Irr!AB10&lt;&gt;".",Irr!AZ10&lt;&gt;"."),dir!AD10/((1/1000)*(Irr!D10+Irr!AB10+Irr!AZ10)),IF(AND(Irr!D10&lt;&gt;".",Irr!AB10&lt;&gt;".",Irr!AZ10="."),dir!AD10/((1/1000)*(Irr!D10+Irr!AB10)),IF(AND(Irr!D10&lt;&gt;".",Irr!AB10=".",Irr!AZ10&lt;&gt;"."),dir!AD10/((1/1000)*(Irr!D10+Irr!AZ10)),IF(AND(Irr!D10=".",Irr!AB10&lt;&gt;".",Irr!AZ10&lt;&gt;"."),dir!AD10/((1/1000)*(Irr!AB10+Irr!AZ10)),IF(AND(Irr!D10=".",Irr!AB10=".",Irr!AZ10&lt;&gt;"."),dir!AD10/((1/1000)*(Irr!AZ10)),IF(AND(Irr!D10=".",Irr!AB10&lt;&gt;".",Irr!AZ10="."),dir!AD10/((1/1000)*(Irr!AB10)),IF(AND(Irr!D10&lt;&gt;".",Irr!AB10=".",Irr!AZ10="."),dir!AD10/((1/1000)*(Irr!D10)),IF(AND(Irr!D10=".",Irr!AB10=".",Irr!AZ10="."),dir!AD10*1000)))))))),".")</f>
        <v>9.3769971478617897</v>
      </c>
      <c r="AE10" s="76">
        <f>IFERROR(IF(AND(Irr!E10&lt;&gt;".",Irr!AC10&lt;&gt;".",Irr!BA10&lt;&gt;"."),dir!AE10/((1/1000)*(Irr!E10+Irr!AC10+Irr!BA10)),IF(AND(Irr!E10&lt;&gt;".",Irr!AC10&lt;&gt;".",Irr!BA10="."),dir!AE10/((1/1000)*(Irr!E10+Irr!AC10)),IF(AND(Irr!E10&lt;&gt;".",Irr!AC10=".",Irr!BA10&lt;&gt;"."),dir!AE10/((1/1000)*(Irr!E10+Irr!BA10)),IF(AND(Irr!E10=".",Irr!AC10&lt;&gt;".",Irr!BA10&lt;&gt;"."),dir!AE10/((1/1000)*(Irr!AC10+Irr!BA10)),IF(AND(Irr!E10=".",Irr!AC10=".",Irr!BA10&lt;&gt;"."),dir!AE10/((1/1000)*(Irr!BA10)),IF(AND(Irr!E10=".",Irr!AC10&lt;&gt;".",Irr!BA10="."),dir!AE10/((1/1000)*(Irr!AC10)),IF(AND(Irr!E10&lt;&gt;".",Irr!AC10=".",Irr!BA10="."),dir!AE10/((1/1000)*(Irr!E10)),IF(AND(Irr!E10=".",Irr!AC10=".",Irr!BA10="."),dir!AE10*1000)))))))),".")</f>
        <v>12.627103236804508</v>
      </c>
      <c r="AF10" s="76">
        <f>IFERROR(IF(AND(Irr!F10&lt;&gt;".",Irr!AD10&lt;&gt;".",Irr!BB10&lt;&gt;"."),dir!AF10/((1/1000)*(Irr!F10+Irr!AD10+Irr!BB10)),IF(AND(Irr!F10&lt;&gt;".",Irr!AD10&lt;&gt;".",Irr!BB10="."),dir!AF10/((1/1000)*(Irr!F10+Irr!AD10)),IF(AND(Irr!F10&lt;&gt;".",Irr!AD10=".",Irr!BB10&lt;&gt;"."),dir!AF10/((1/1000)*(Irr!F10+Irr!BB10)),IF(AND(Irr!F10=".",Irr!AD10&lt;&gt;".",Irr!BB10&lt;&gt;"."),dir!AF10/((1/1000)*(Irr!AD10+Irr!BB10)),IF(AND(Irr!F10=".",Irr!AD10=".",Irr!BB10&lt;&gt;"."),dir!AF10/((1/1000)*(Irr!BB10)),IF(AND(Irr!F10=".",Irr!AD10&lt;&gt;".",Irr!BB10="."),dir!AF10/((1/1000)*(Irr!AD10)),IF(AND(Irr!F10&lt;&gt;".",Irr!AD10=".",Irr!BB10="."),dir!AF10/((1/1000)*(Irr!F10)),IF(AND(Irr!F10=".",Irr!AD10=".",Irr!BB10="."),dir!AF10*1000)))))))),".")</f>
        <v>15.244003438684945</v>
      </c>
      <c r="AG10" s="76">
        <f>IFERROR(IF(AND(Irr!G10&lt;&gt;".",Irr!AE10&lt;&gt;".",Irr!BC10&lt;&gt;"."),dir!AG10/((1/1000)*(Irr!G10+Irr!AE10+Irr!BC10)),IF(AND(Irr!G10&lt;&gt;".",Irr!AE10&lt;&gt;".",Irr!BC10="."),dir!AG10/((1/1000)*(Irr!G10+Irr!AE10)),IF(AND(Irr!G10&lt;&gt;".",Irr!AE10=".",Irr!BC10&lt;&gt;"."),dir!AG10/((1/1000)*(Irr!G10+Irr!BC10)),IF(AND(Irr!G10=".",Irr!AE10&lt;&gt;".",Irr!BC10&lt;&gt;"."),dir!AG10/((1/1000)*(Irr!AE10+Irr!BC10)),IF(AND(Irr!G10=".",Irr!AE10=".",Irr!BC10&lt;&gt;"."),dir!AG10/((1/1000)*(Irr!BC10)),IF(AND(Irr!G10=".",Irr!AE10&lt;&gt;".",Irr!BC10="."),dir!AG10/((1/1000)*(Irr!AE10)),IF(AND(Irr!G10&lt;&gt;".",Irr!AE10=".",Irr!BC10="."),dir!AG10/((1/1000)*(Irr!G10)),IF(AND(Irr!G10=".",Irr!AE10=".",Irr!BC10="."),dir!AG10*1000)))))))),".")</f>
        <v>13.416527805185501</v>
      </c>
      <c r="AH10" s="76">
        <f>IFERROR(IF(AND(Irr!H10&lt;&gt;".",Irr!AF10&lt;&gt;".",Irr!BD10&lt;&gt;"."),dir!AH10/((1/1000)*(Irr!H10+Irr!AF10+Irr!BD10)),IF(AND(Irr!H10&lt;&gt;".",Irr!AF10&lt;&gt;".",Irr!BD10="."),dir!AH10/((1/1000)*(Irr!H10+Irr!AF10)),IF(AND(Irr!H10&lt;&gt;".",Irr!AF10=".",Irr!BD10&lt;&gt;"."),dir!AH10/((1/1000)*(Irr!H10+Irr!BD10)),IF(AND(Irr!H10=".",Irr!AF10&lt;&gt;".",Irr!BD10&lt;&gt;"."),dir!AH10/((1/1000)*(Irr!AF10+Irr!BD10)),IF(AND(Irr!H10=".",Irr!AF10=".",Irr!BD10&lt;&gt;"."),dir!AH10/((1/1000)*(Irr!BD10)),IF(AND(Irr!H10=".",Irr!AF10&lt;&gt;".",Irr!BD10="."),dir!AH10/((1/1000)*(Irr!AF10)),IF(AND(Irr!H10&lt;&gt;".",Irr!AF10=".",Irr!BD10="."),dir!AH10/((1/1000)*(Irr!H10)),IF(AND(Irr!H10=".",Irr!AF10=".",Irr!BD10="."),dir!AH10*1000)))))))),".")</f>
        <v>4.4262331122999008</v>
      </c>
      <c r="AI10" s="76">
        <f>IFERROR(IF(AND(Irr!I10&lt;&gt;".",Irr!AG10&lt;&gt;".",Irr!BE10&lt;&gt;"."),dir!AI10/((1/1000)*(Irr!I10+Irr!AG10+Irr!BE10)),IF(AND(Irr!I10&lt;&gt;".",Irr!AG10&lt;&gt;".",Irr!BE10="."),dir!AI10/((1/1000)*(Irr!I10+Irr!AG10)),IF(AND(Irr!I10&lt;&gt;".",Irr!AG10=".",Irr!BE10&lt;&gt;"."),dir!AI10/((1/1000)*(Irr!I10+Irr!BE10)),IF(AND(Irr!I10=".",Irr!AG10&lt;&gt;".",Irr!BE10&lt;&gt;"."),dir!AI10/((1/1000)*(Irr!AG10+Irr!BE10)),IF(AND(Irr!I10=".",Irr!AG10=".",Irr!BE10&lt;&gt;"."),dir!AI10/((1/1000)*(Irr!BE10)),IF(AND(Irr!I10=".",Irr!AG10&lt;&gt;".",Irr!BE10="."),dir!AI10/((1/1000)*(Irr!AG10)),IF(AND(Irr!I10&lt;&gt;".",Irr!AG10=".",Irr!BE10="."),dir!AI10/((1/1000)*(Irr!I10)),IF(AND(Irr!I10=".",Irr!AG10=".",Irr!BE10="."),dir!AI10*1000)))))))),".")</f>
        <v>16.333518345897581</v>
      </c>
      <c r="AJ10" s="76">
        <f>IFERROR(IF(AND(Irr!J10&lt;&gt;".",Irr!AH10&lt;&gt;".",Irr!BF10&lt;&gt;"."),dir!AJ10/((1/1000)*(Irr!J10+Irr!AH10+Irr!BF10)),IF(AND(Irr!J10&lt;&gt;".",Irr!AH10&lt;&gt;".",Irr!BF10="."),dir!AJ10/((1/1000)*(Irr!J10+Irr!AH10)),IF(AND(Irr!J10&lt;&gt;".",Irr!AH10=".",Irr!BF10&lt;&gt;"."),dir!AJ10/((1/1000)*(Irr!J10+Irr!BF10)),IF(AND(Irr!J10=".",Irr!AH10&lt;&gt;".",Irr!BF10&lt;&gt;"."),dir!AJ10/((1/1000)*(Irr!AH10+Irr!BF10)),IF(AND(Irr!J10=".",Irr!AH10=".",Irr!BF10&lt;&gt;"."),dir!AJ10/((1/1000)*(Irr!BF10)),IF(AND(Irr!J10=".",Irr!AH10&lt;&gt;".",Irr!BF10="."),dir!AJ10/((1/1000)*(Irr!AH10)),IF(AND(Irr!J10&lt;&gt;".",Irr!AH10=".",Irr!BF10="."),dir!AJ10/((1/1000)*(Irr!J10)),IF(AND(Irr!J10=".",Irr!AH10=".",Irr!BF10="."),dir!AJ10*1000)))))))),".")</f>
        <v>1.6969843936061588</v>
      </c>
      <c r="AK10" s="76">
        <f>IFERROR(IF(AND(Irr!K10&lt;&gt;".",Irr!AI10&lt;&gt;".",Irr!BG10&lt;&gt;"."),dir!AK10/((1/1000)*(Irr!K10+Irr!AI10+Irr!BG10)),IF(AND(Irr!K10&lt;&gt;".",Irr!AI10&lt;&gt;".",Irr!BG10="."),dir!AK10/((1/1000)*(Irr!K10+Irr!AI10)),IF(AND(Irr!K10&lt;&gt;".",Irr!AI10=".",Irr!BG10&lt;&gt;"."),dir!AK10/((1/1000)*(Irr!K10+Irr!BG10)),IF(AND(Irr!K10=".",Irr!AI10&lt;&gt;".",Irr!BG10&lt;&gt;"."),dir!AK10/((1/1000)*(Irr!AI10+Irr!BG10)),IF(AND(Irr!K10=".",Irr!AI10=".",Irr!BG10&lt;&gt;"."),dir!AK10/((1/1000)*(Irr!BG10)),IF(AND(Irr!K10=".",Irr!AI10&lt;&gt;".",Irr!BG10="."),dir!AK10/((1/1000)*(Irr!AI10)),IF(AND(Irr!K10&lt;&gt;".",Irr!AI10=".",Irr!BG10="."),dir!AK10/((1/1000)*(Irr!K10)),IF(AND(Irr!K10=".",Irr!AI10=".",Irr!BG10="."),dir!AK10*1000)))))))),".")</f>
        <v>5.3074080715145415</v>
      </c>
      <c r="AL10" s="76">
        <f>IFERROR(IF(AND(Irr!L10&lt;&gt;".",Irr!AJ10&lt;&gt;".",Irr!BH10&lt;&gt;"."),dir!AL10/((1/1000)*(Irr!L10+Irr!AJ10+Irr!BH10)),IF(AND(Irr!L10&lt;&gt;".",Irr!AJ10&lt;&gt;".",Irr!BH10="."),dir!AL10/((1/1000)*(Irr!L10+Irr!AJ10)),IF(AND(Irr!L10&lt;&gt;".",Irr!AJ10=".",Irr!BH10&lt;&gt;"."),dir!AL10/((1/1000)*(Irr!L10+Irr!BH10)),IF(AND(Irr!L10=".",Irr!AJ10&lt;&gt;".",Irr!BH10&lt;&gt;"."),dir!AL10/((1/1000)*(Irr!AJ10+Irr!BH10)),IF(AND(Irr!L10=".",Irr!AJ10=".",Irr!BH10&lt;&gt;"."),dir!AL10/((1/1000)*(Irr!BH10)),IF(AND(Irr!L10=".",Irr!AJ10&lt;&gt;".",Irr!BH10="."),dir!AL10/((1/1000)*(Irr!AJ10)),IF(AND(Irr!L10&lt;&gt;".",Irr!AJ10=".",Irr!BH10="."),dir!AL10/((1/1000)*(Irr!L10)),IF(AND(Irr!L10=".",Irr!AJ10=".",Irr!BH10="."),dir!AL10*1000)))))))),".")</f>
        <v>8.8403985301469561</v>
      </c>
      <c r="AM10" s="76">
        <f>IFERROR(IF(AND(Irr!M10&lt;&gt;".",Irr!AK10&lt;&gt;".",Irr!BI10&lt;&gt;"."),dir!AM10/((1/1000)*(Irr!M10+Irr!AK10+Irr!BI10)),IF(AND(Irr!M10&lt;&gt;".",Irr!AK10&lt;&gt;".",Irr!BI10="."),dir!AM10/((1/1000)*(Irr!M10+Irr!AK10)),IF(AND(Irr!M10&lt;&gt;".",Irr!AK10=".",Irr!BI10&lt;&gt;"."),dir!AM10/((1/1000)*(Irr!M10+Irr!BI10)),IF(AND(Irr!M10=".",Irr!AK10&lt;&gt;".",Irr!BI10&lt;&gt;"."),dir!AM10/((1/1000)*(Irr!AK10+Irr!BI10)),IF(AND(Irr!M10=".",Irr!AK10=".",Irr!BI10&lt;&gt;"."),dir!AM10/((1/1000)*(Irr!BI10)),IF(AND(Irr!M10=".",Irr!AK10&lt;&gt;".",Irr!BI10="."),dir!AM10/((1/1000)*(Irr!AK10)),IF(AND(Irr!M10&lt;&gt;".",Irr!AK10=".",Irr!BI10="."),dir!AM10/((1/1000)*(Irr!M10)),IF(AND(Irr!M10=".",Irr!AK10=".",Irr!BI10="."),dir!AM10*1000)))))))),".")</f>
        <v>9.37877871687345</v>
      </c>
      <c r="AN10" s="76">
        <f>IFERROR(IF(AND(Irr!N10&lt;&gt;".",Irr!AL10&lt;&gt;".",Irr!BJ10&lt;&gt;"."),dir!AN10/((1/1000)*(Irr!N10+Irr!AL10+Irr!BJ10)),IF(AND(Irr!N10&lt;&gt;".",Irr!AL10&lt;&gt;".",Irr!BJ10="."),dir!AN10/((1/1000)*(Irr!N10+Irr!AL10)),IF(AND(Irr!N10&lt;&gt;".",Irr!AL10=".",Irr!BJ10&lt;&gt;"."),dir!AN10/((1/1000)*(Irr!N10+Irr!BJ10)),IF(AND(Irr!N10=".",Irr!AL10&lt;&gt;".",Irr!BJ10&lt;&gt;"."),dir!AN10/((1/1000)*(Irr!AL10+Irr!BJ10)),IF(AND(Irr!N10=".",Irr!AL10=".",Irr!BJ10&lt;&gt;"."),dir!AN10/((1/1000)*(Irr!BJ10)),IF(AND(Irr!N10=".",Irr!AL10&lt;&gt;".",Irr!BJ10="."),dir!AN10/((1/1000)*(Irr!AL10)),IF(AND(Irr!N10&lt;&gt;".",Irr!AL10=".",Irr!BJ10="."),dir!AN10/((1/1000)*(Irr!N10)),IF(AND(Irr!N10=".",Irr!AL10=".",Irr!BJ10="."),dir!AN10*1000)))))))),".")</f>
        <v>12.352347088121661</v>
      </c>
      <c r="AO10" s="76">
        <f>IFERROR(IF(AND(Irr!O10&lt;&gt;".",Irr!AM10&lt;&gt;".",Irr!BK10&lt;&gt;"."),dir!AO10/((1/1000)*(Irr!O10+Irr!AM10+Irr!BK10)),IF(AND(Irr!O10&lt;&gt;".",Irr!AM10&lt;&gt;".",Irr!BK10="."),dir!AO10/((1/1000)*(Irr!O10+Irr!AM10)),IF(AND(Irr!O10&lt;&gt;".",Irr!AM10=".",Irr!BK10&lt;&gt;"."),dir!AO10/((1/1000)*(Irr!O10+Irr!BK10)),IF(AND(Irr!O10=".",Irr!AM10&lt;&gt;".",Irr!BK10&lt;&gt;"."),dir!AO10/((1/1000)*(Irr!AM10+Irr!BK10)),IF(AND(Irr!O10=".",Irr!AM10=".",Irr!BK10&lt;&gt;"."),dir!AO10/((1/1000)*(Irr!BK10)),IF(AND(Irr!O10=".",Irr!AM10&lt;&gt;".",Irr!BK10="."),dir!AO10/((1/1000)*(Irr!AM10)),IF(AND(Irr!O10&lt;&gt;".",Irr!AM10=".",Irr!BK10="."),dir!AO10/((1/1000)*(Irr!O10)),IF(AND(Irr!O10=".",Irr!AM10=".",Irr!BK10="."),dir!AO10*1000)))))))),".")</f>
        <v>16.429477945679043</v>
      </c>
      <c r="AP10" s="76">
        <f>IFERROR(IF(AND(Irr!P10&lt;&gt;".",Irr!AN10&lt;&gt;".",Irr!BL10&lt;&gt;"."),dir!AP10/((1/1000)*(Irr!P10+Irr!AN10+Irr!BL10)),IF(AND(Irr!P10&lt;&gt;".",Irr!AN10&lt;&gt;".",Irr!BL10="."),dir!AP10/((1/1000)*(Irr!P10+Irr!AN10)),IF(AND(Irr!P10&lt;&gt;".",Irr!AN10=".",Irr!BL10&lt;&gt;"."),dir!AP10/((1/1000)*(Irr!P10+Irr!BL10)),IF(AND(Irr!P10=".",Irr!AN10&lt;&gt;".",Irr!BL10&lt;&gt;"."),dir!AP10/((1/1000)*(Irr!AN10+Irr!BL10)),IF(AND(Irr!P10=".",Irr!AN10=".",Irr!BL10&lt;&gt;"."),dir!AP10/((1/1000)*(Irr!BL10)),IF(AND(Irr!P10=".",Irr!AN10&lt;&gt;".",Irr!BL10="."),dir!AP10/((1/1000)*(Irr!AN10)),IF(AND(Irr!P10&lt;&gt;".",Irr!AN10=".",Irr!BL10="."),dir!AP10/((1/1000)*(Irr!P10)),IF(AND(Irr!P10=".",Irr!AN10=".",Irr!BL10="."),dir!AP10*1000)))))))),".")</f>
        <v>17.964712202925572</v>
      </c>
      <c r="AQ10" s="76">
        <f>IFERROR(IF(AND(Irr!Q10&lt;&gt;".",Irr!AO10&lt;&gt;".",Irr!BM10&lt;&gt;"."),dir!AQ10/((1/1000)*(Irr!Q10+Irr!AO10+Irr!BM10)),IF(AND(Irr!Q10&lt;&gt;".",Irr!AO10&lt;&gt;".",Irr!BM10="."),dir!AQ10/((1/1000)*(Irr!Q10+Irr!AO10)),IF(AND(Irr!Q10&lt;&gt;".",Irr!AO10=".",Irr!BM10&lt;&gt;"."),dir!AQ10/((1/1000)*(Irr!Q10+Irr!BM10)),IF(AND(Irr!Q10=".",Irr!AO10&lt;&gt;".",Irr!BM10&lt;&gt;"."),dir!AQ10/((1/1000)*(Irr!AO10+Irr!BM10)),IF(AND(Irr!Q10=".",Irr!AO10=".",Irr!BM10&lt;&gt;"."),dir!AQ10/((1/1000)*(Irr!BM10)),IF(AND(Irr!Q10=".",Irr!AO10&lt;&gt;".",Irr!BM10="."),dir!AQ10/((1/1000)*(Irr!AO10)),IF(AND(Irr!Q10&lt;&gt;".",Irr!AO10=".",Irr!BM10="."),dir!AQ10/((1/1000)*(Irr!Q10)),IF(AND(Irr!Q10=".",Irr!AO10=".",Irr!BM10="."),dir!AQ10*1000)))))))),".")</f>
        <v>4.8357180331907328</v>
      </c>
      <c r="AR10" s="76">
        <f>IFERROR(IF(AND(Irr!R10&lt;&gt;".",Irr!AP10&lt;&gt;".",Irr!BN10&lt;&gt;"."),dir!AR10/((1/1000)*(Irr!R10+Irr!AP10+Irr!BN10)),IF(AND(Irr!R10&lt;&gt;".",Irr!AP10&lt;&gt;".",Irr!BN10="."),dir!AR10/((1/1000)*(Irr!R10+Irr!AP10)),IF(AND(Irr!R10&lt;&gt;".",Irr!AP10=".",Irr!BN10&lt;&gt;"."),dir!AR10/((1/1000)*(Irr!R10+Irr!BN10)),IF(AND(Irr!R10=".",Irr!AP10&lt;&gt;".",Irr!BN10&lt;&gt;"."),dir!AR10/((1/1000)*(Irr!AP10+Irr!BN10)),IF(AND(Irr!R10=".",Irr!AP10=".",Irr!BN10&lt;&gt;"."),dir!AR10/((1/1000)*(Irr!BN10)),IF(AND(Irr!R10=".",Irr!AP10&lt;&gt;".",Irr!BN10="."),dir!AR10/((1/1000)*(Irr!AP10)),IF(AND(Irr!R10&lt;&gt;".",Irr!AP10=".",Irr!BN10="."),dir!AR10/((1/1000)*(Irr!R10)),IF(AND(Irr!R10=".",Irr!AP10=".",Irr!BN10="."),dir!AR10*1000)))))))),".")</f>
        <v>7.9503079696629264</v>
      </c>
      <c r="AS10" s="76">
        <f>IFERROR(IF(AND(Irr!S10&lt;&gt;".",Irr!AQ10&lt;&gt;".",Irr!BO10&lt;&gt;"."),dir!AS10/((1/1000)*(Irr!S10+Irr!AQ10+Irr!BO10)),IF(AND(Irr!S10&lt;&gt;".",Irr!AQ10&lt;&gt;".",Irr!BO10="."),dir!AS10/((1/1000)*(Irr!S10+Irr!AQ10)),IF(AND(Irr!S10&lt;&gt;".",Irr!AQ10=".",Irr!BO10&lt;&gt;"."),dir!AS10/((1/1000)*(Irr!S10+Irr!BO10)),IF(AND(Irr!S10=".",Irr!AQ10&lt;&gt;".",Irr!BO10&lt;&gt;"."),dir!AS10/((1/1000)*(Irr!AQ10+Irr!BO10)),IF(AND(Irr!S10=".",Irr!AQ10=".",Irr!BO10&lt;&gt;"."),dir!AS10/((1/1000)*(Irr!BO10)),IF(AND(Irr!S10=".",Irr!AQ10&lt;&gt;".",Irr!BO10="."),dir!AS10/((1/1000)*(Irr!AQ10)),IF(AND(Irr!S10&lt;&gt;".",Irr!AQ10=".",Irr!BO10="."),dir!AS10/((1/1000)*(Irr!S10)),IF(AND(Irr!S10=".",Irr!AQ10=".",Irr!BO10="."),dir!AS10*1000)))))))),".")</f>
        <v>12.043464839008346</v>
      </c>
      <c r="AT10" s="76">
        <f>IFERROR(IF(AND(Irr!T10&lt;&gt;".",Irr!AR10&lt;&gt;".",Irr!BP10&lt;&gt;"."),dir!AT10/((1/1000)*(Irr!T10+Irr!AR10+Irr!BP10)),IF(AND(Irr!T10&lt;&gt;".",Irr!AR10&lt;&gt;".",Irr!BP10="."),dir!AT10/((1/1000)*(Irr!T10+Irr!AR10)),IF(AND(Irr!T10&lt;&gt;".",Irr!AR10=".",Irr!BP10&lt;&gt;"."),dir!AT10/((1/1000)*(Irr!T10+Irr!BP10)),IF(AND(Irr!T10=".",Irr!AR10&lt;&gt;".",Irr!BP10&lt;&gt;"."),dir!AT10/((1/1000)*(Irr!AR10+Irr!BP10)),IF(AND(Irr!T10=".",Irr!AR10=".",Irr!BP10&lt;&gt;"."),dir!AT10/((1/1000)*(Irr!BP10)),IF(AND(Irr!T10=".",Irr!AR10&lt;&gt;".",Irr!BP10="."),dir!AT10/((1/1000)*(Irr!AR10)),IF(AND(Irr!T10&lt;&gt;".",Irr!AR10=".",Irr!BP10="."),dir!AT10/((1/1000)*(Irr!T10)),IF(AND(Irr!T10=".",Irr!AR10=".",Irr!BP10="."),dir!AT10*1000)))))))),".")</f>
        <v>2.6191322480189143</v>
      </c>
      <c r="AU10" s="76">
        <f>IFERROR(IF(AND(Irr!U10&lt;&gt;".",Irr!AS10&lt;&gt;".",Irr!BQ10&lt;&gt;"."),dir!AU10/((1/1000)*(Irr!U10+Irr!AS10+Irr!BQ10)),IF(AND(Irr!U10&lt;&gt;".",Irr!AS10&lt;&gt;".",Irr!BQ10="."),dir!AU10/((1/1000)*(Irr!U10+Irr!AS10)),IF(AND(Irr!U10&lt;&gt;".",Irr!AS10=".",Irr!BQ10&lt;&gt;"."),dir!AU10/((1/1000)*(Irr!U10+Irr!BQ10)),IF(AND(Irr!U10=".",Irr!AS10&lt;&gt;".",Irr!BQ10&lt;&gt;"."),dir!AU10/((1/1000)*(Irr!AS10+Irr!BQ10)),IF(AND(Irr!U10=".",Irr!AS10=".",Irr!BQ10&lt;&gt;"."),dir!AU10/((1/1000)*(Irr!BQ10)),IF(AND(Irr!U10=".",Irr!AS10&lt;&gt;".",Irr!BQ10="."),dir!AU10/((1/1000)*(Irr!AS10)),IF(AND(Irr!U10&lt;&gt;".",Irr!AS10=".",Irr!BQ10="."),dir!AU10/((1/1000)*(Irr!U10)),IF(AND(Irr!U10=".",Irr!AS10=".",Irr!BQ10="."),dir!AU10*1000)))))))),".")</f>
        <v>7.0301314752535644</v>
      </c>
      <c r="AV10" s="76">
        <f>IFERROR(IF(AND(Irr!V10&lt;&gt;".",Irr!AT10&lt;&gt;".",Irr!BR10&lt;&gt;"."),dir!AV10/((1/1000)*(Irr!V10+Irr!AT10+Irr!BR10)),IF(AND(Irr!V10&lt;&gt;".",Irr!AT10&lt;&gt;".",Irr!BR10="."),dir!AV10/((1/1000)*(Irr!V10+Irr!AT10)),IF(AND(Irr!V10&lt;&gt;".",Irr!AT10=".",Irr!BR10&lt;&gt;"."),dir!AV10/((1/1000)*(Irr!V10+Irr!BR10)),IF(AND(Irr!V10=".",Irr!AT10&lt;&gt;".",Irr!BR10&lt;&gt;"."),dir!AV10/((1/1000)*(Irr!AT10+Irr!BR10)),IF(AND(Irr!V10=".",Irr!AT10=".",Irr!BR10&lt;&gt;"."),dir!AV10/((1/1000)*(Irr!BR10)),IF(AND(Irr!V10=".",Irr!AT10&lt;&gt;".",Irr!BR10="."),dir!AV10/((1/1000)*(Irr!AT10)),IF(AND(Irr!V10&lt;&gt;".",Irr!AT10=".",Irr!BR10="."),dir!AV10/((1/1000)*(Irr!V10)),IF(AND(Irr!V10=".",Irr!AT10=".",Irr!BR10="."),dir!AV10*1000)))))))),".")</f>
        <v>7.2517973844820238</v>
      </c>
      <c r="AW10" s="76">
        <f>IFERROR(IF(AND(Irr!W10&lt;&gt;".",Irr!AU10&lt;&gt;".",Irr!BS10&lt;&gt;"."),dir!AW10/((1/1000)*(Irr!W10+Irr!AU10+Irr!BS10)),IF(AND(Irr!W10&lt;&gt;".",Irr!AU10&lt;&gt;".",Irr!BS10="."),dir!AW10/((1/1000)*(Irr!W10+Irr!AU10)),IF(AND(Irr!W10&lt;&gt;".",Irr!AU10=".",Irr!BS10&lt;&gt;"."),dir!AW10/((1/1000)*(Irr!W10+Irr!BS10)),IF(AND(Irr!W10=".",Irr!AU10&lt;&gt;".",Irr!BS10&lt;&gt;"."),dir!AW10/((1/1000)*(Irr!AU10+Irr!BS10)),IF(AND(Irr!W10=".",Irr!AU10=".",Irr!BS10&lt;&gt;"."),dir!AW10/((1/1000)*(Irr!BS10)),IF(AND(Irr!W10=".",Irr!AU10&lt;&gt;".",Irr!BS10="."),dir!AW10/((1/1000)*(Irr!AU10)),IF(AND(Irr!W10&lt;&gt;".",Irr!AU10=".",Irr!BS10="."),dir!AW10/((1/1000)*(Irr!W10)),IF(AND(Irr!W10=".",Irr!AU10=".",Irr!BS10="."),dir!AW10*1000)))))))),".")</f>
        <v>13.339795080379277</v>
      </c>
      <c r="AX10" s="76">
        <f>IFERROR(IF(AND(Irr!X10&lt;&gt;".",Irr!AV10&lt;&gt;".",Irr!BT10&lt;&gt;"."),dir!AX10/((1/1000)*(Irr!X10+Irr!AV10+Irr!BT10)),IF(AND(Irr!X10&lt;&gt;".",Irr!AV10&lt;&gt;".",Irr!BT10="."),dir!AX10/((1/1000)*(Irr!X10+Irr!AV10)),IF(AND(Irr!X10&lt;&gt;".",Irr!AV10=".",Irr!BT10&lt;&gt;"."),dir!AX10/((1/1000)*(Irr!X10+Irr!BT10)),IF(AND(Irr!X10=".",Irr!AV10&lt;&gt;".",Irr!BT10&lt;&gt;"."),dir!AX10/((1/1000)*(Irr!AV10+Irr!BT10)),IF(AND(Irr!X10=".",Irr!AV10=".",Irr!BT10&lt;&gt;"."),dir!AX10/((1/1000)*(Irr!BT10)),IF(AND(Irr!X10=".",Irr!AV10&lt;&gt;".",Irr!BT10="."),dir!AX10/((1/1000)*(Irr!AV10)),IF(AND(Irr!X10&lt;&gt;".",Irr!AV10=".",Irr!BT10="."),dir!AX10/((1/1000)*(Irr!X10)),IF(AND(Irr!X10=".",Irr!AV10=".",Irr!BT10="."),dir!AX10*1000)))))))),".")</f>
        <v>5.0352499062135312</v>
      </c>
      <c r="AY10" s="76">
        <f>IFERROR(IF(AND(Irr!Y10&lt;&gt;".",Irr!AW10&lt;&gt;".",Irr!BU10&lt;&gt;"."),dir!AY10/((1/1000)*(Irr!Y10+Irr!AW10+Irr!BU10)),IF(AND(Irr!Y10&lt;&gt;".",Irr!AW10&lt;&gt;".",Irr!BU10="."),dir!AY10/((1/1000)*(Irr!Y10+Irr!AW10)),IF(AND(Irr!Y10&lt;&gt;".",Irr!AW10=".",Irr!BU10&lt;&gt;"."),dir!AY10/((1/1000)*(Irr!Y10+Irr!BU10)),IF(AND(Irr!Y10=".",Irr!AW10&lt;&gt;".",Irr!BU10&lt;&gt;"."),dir!AY10/((1/1000)*(Irr!AW10+Irr!BU10)),IF(AND(Irr!Y10=".",Irr!AW10=".",Irr!BU10&lt;&gt;"."),dir!AY10/((1/1000)*(Irr!BU10)),IF(AND(Irr!Y10=".",Irr!AW10&lt;&gt;".",Irr!BU10="."),dir!AY10/((1/1000)*(Irr!AW10)),IF(AND(Irr!Y10&lt;&gt;".",Irr!AW10=".",Irr!BU10="."),dir!AY10/((1/1000)*(Irr!Y10)),IF(AND(Irr!Y10=".",Irr!AW10=".",Irr!BU10="."),dir!AY10*1000)))))))),".")</f>
        <v>1.8849632985195783</v>
      </c>
      <c r="AZ10" s="76">
        <f>IFERROR(IF(AND(Irr!Z10&lt;&gt;".",Irr!AX10&lt;&gt;".",Irr!BV10&lt;&gt;"."),dir!AZ10/((1/1000)*(Irr!Z10+Irr!AX10+Irr!BV10)),IF(AND(Irr!Z10&lt;&gt;".",Irr!AX10&lt;&gt;".",Irr!BV10="."),dir!AZ10/((1/1000)*(Irr!Z10+Irr!AX10)),IF(AND(Irr!Z10&lt;&gt;".",Irr!AX10=".",Irr!BV10&lt;&gt;"."),dir!AZ10/((1/1000)*(Irr!Z10+Irr!BV10)),IF(AND(Irr!Z10=".",Irr!AX10&lt;&gt;".",Irr!BV10&lt;&gt;"."),dir!AZ10/((1/1000)*(Irr!AX10+Irr!BV10)),IF(AND(Irr!Z10=".",Irr!AX10=".",Irr!BV10&lt;&gt;"."),dir!AZ10/((1/1000)*(Irr!BV10)),IF(AND(Irr!Z10=".",Irr!AX10&lt;&gt;".",Irr!BV10="."),dir!AZ10/((1/1000)*(Irr!AX10)),IF(AND(Irr!Z10&lt;&gt;".",Irr!AX10=".",Irr!BV10="."),dir!AZ10/((1/1000)*(Irr!Z10)),IF(AND(Irr!Z10=".",Irr!AX10=".",Irr!BV10="."),dir!AZ10*1000)))))))),".")</f>
        <v>1.6512556806712764</v>
      </c>
    </row>
    <row r="11" spans="1:52" ht="15" customHeight="1" x14ac:dyDescent="0.25">
      <c r="A11" s="92" t="s">
        <v>21</v>
      </c>
      <c r="B11" s="90" t="s">
        <v>1074</v>
      </c>
      <c r="C11" s="76" t="str">
        <f t="shared" ref="C11" si="8">IFERROR(1/SUM(1/D11,1/E11,1/F11,1/G11,1/H11,1/I11,1/J11,1/K11,1/L11,1/M11,1/N11,1/O11,1/P11,1/Q11,1/R11,1/S11,1/T11,1/U11,1/V11,1/W11,1/X11,1/Y11),".")</f>
        <v>.</v>
      </c>
      <c r="D11" s="76" t="str">
        <f>IFERROR(IF(AND(Irr!C11&lt;&gt;".",Irr!AA11&lt;&gt;".",Irr!AY11&lt;&gt;"."),dir!D11/((1/1000)*(Irr!C11+Irr!AA11+Irr!AY11)),IF(AND(Irr!C11&lt;&gt;".",Irr!AA11&lt;&gt;".",Irr!AY11="."),dir!D11/((1/1000)*(Irr!C11+Irr!AA11)),IF(AND(Irr!C11&lt;&gt;".",Irr!AA11=".",Irr!AY11&lt;&gt;"."),dir!D11/((1/1000)*(Irr!C11+Irr!AY11)),IF(AND(Irr!C11=".",Irr!AA11&lt;&gt;".",Irr!AY11&lt;&gt;"."),dir!D11/((1/1000)*(Irr!AA11+Irr!AY11)),IF(AND(Irr!C11=".",Irr!AA11=".",Irr!AY11&lt;&gt;"."),dir!D11/((1/1000)*(Irr!AY11)),IF(AND(Irr!C11=".",Irr!AA11&lt;&gt;".",Irr!AY11="."),dir!D11/((1/1000)*(Irr!AA11)),IF(AND(Irr!C11&lt;&gt;".",Irr!AA11=".",Irr!AY11="."),dir!D11/((1/1000)*(Irr!C11)),IF(AND(Irr!C11=".",Irr!AA11=".",Irr!AY11="."),dir!D11*1000)))))))),".")</f>
        <v>.</v>
      </c>
      <c r="E11" s="76" t="str">
        <f>IFERROR(IF(AND(Irr!D11&lt;&gt;".",Irr!AB11&lt;&gt;".",Irr!AZ11&lt;&gt;"."),dir!E11/((1/1000)*(Irr!D11+Irr!AB11+Irr!AZ11)),IF(AND(Irr!D11&lt;&gt;".",Irr!AB11&lt;&gt;".",Irr!AZ11="."),dir!E11/((1/1000)*(Irr!D11+Irr!AB11)),IF(AND(Irr!D11&lt;&gt;".",Irr!AB11=".",Irr!AZ11&lt;&gt;"."),dir!E11/((1/1000)*(Irr!D11+Irr!AZ11)),IF(AND(Irr!D11=".",Irr!AB11&lt;&gt;".",Irr!AZ11&lt;&gt;"."),dir!E11/((1/1000)*(Irr!AB11+Irr!AZ11)),IF(AND(Irr!D11=".",Irr!AB11=".",Irr!AZ11&lt;&gt;"."),dir!E11/((1/1000)*(Irr!AZ11)),IF(AND(Irr!D11=".",Irr!AB11&lt;&gt;".",Irr!AZ11="."),dir!E11/((1/1000)*(Irr!AB11)),IF(AND(Irr!D11&lt;&gt;".",Irr!AB11=".",Irr!AZ11="."),dir!E11/((1/1000)*(Irr!D11)),IF(AND(Irr!D11=".",Irr!AB11=".",Irr!AZ11="."),dir!E11*1000)))))))),".")</f>
        <v>.</v>
      </c>
      <c r="F11" s="76" t="str">
        <f>IFERROR(IF(AND(Irr!E11&lt;&gt;".",Irr!AC11&lt;&gt;".",Irr!BA11&lt;&gt;"."),dir!F11/((1/1000)*(Irr!E11+Irr!AC11+Irr!BA11)),IF(AND(Irr!E11&lt;&gt;".",Irr!AC11&lt;&gt;".",Irr!BA11="."),dir!F11/((1/1000)*(Irr!E11+Irr!AC11)),IF(AND(Irr!E11&lt;&gt;".",Irr!AC11=".",Irr!BA11&lt;&gt;"."),dir!F11/((1/1000)*(Irr!E11+Irr!BA11)),IF(AND(Irr!E11=".",Irr!AC11&lt;&gt;".",Irr!BA11&lt;&gt;"."),dir!F11/((1/1000)*(Irr!AC11+Irr!BA11)),IF(AND(Irr!E11=".",Irr!AC11=".",Irr!BA11&lt;&gt;"."),dir!F11/((1/1000)*(Irr!BA11)),IF(AND(Irr!E11=".",Irr!AC11&lt;&gt;".",Irr!BA11="."),dir!F11/((1/1000)*(Irr!AC11)),IF(AND(Irr!E11&lt;&gt;".",Irr!AC11=".",Irr!BA11="."),dir!F11/((1/1000)*(Irr!E11)),IF(AND(Irr!E11=".",Irr!AC11=".",Irr!BA11="."),dir!F11*1000)))))))),".")</f>
        <v>.</v>
      </c>
      <c r="G11" s="76" t="str">
        <f>IFERROR(IF(AND(Irr!F11&lt;&gt;".",Irr!AD11&lt;&gt;".",Irr!BB11&lt;&gt;"."),dir!G11/((1/1000)*(Irr!F11+Irr!AD11+Irr!BB11)),IF(AND(Irr!F11&lt;&gt;".",Irr!AD11&lt;&gt;".",Irr!BB11="."),dir!G11/((1/1000)*(Irr!F11+Irr!AD11)),IF(AND(Irr!F11&lt;&gt;".",Irr!AD11=".",Irr!BB11&lt;&gt;"."),dir!G11/((1/1000)*(Irr!F11+Irr!BB11)),IF(AND(Irr!F11=".",Irr!AD11&lt;&gt;".",Irr!BB11&lt;&gt;"."),dir!G11/((1/1000)*(Irr!AD11+Irr!BB11)),IF(AND(Irr!F11=".",Irr!AD11=".",Irr!BB11&lt;&gt;"."),dir!G11/((1/1000)*(Irr!BB11)),IF(AND(Irr!F11=".",Irr!AD11&lt;&gt;".",Irr!BB11="."),dir!G11/((1/1000)*(Irr!AD11)),IF(AND(Irr!F11&lt;&gt;".",Irr!AD11=".",Irr!BB11="."),dir!G11/((1/1000)*(Irr!F11)),IF(AND(Irr!F11=".",Irr!AD11=".",Irr!BB11="."),dir!G11*1000)))))))),".")</f>
        <v>.</v>
      </c>
      <c r="H11" s="76" t="str">
        <f>IFERROR(IF(AND(Irr!G11&lt;&gt;".",Irr!AE11&lt;&gt;".",Irr!BC11&lt;&gt;"."),dir!H11/((1/1000)*(Irr!G11+Irr!AE11+Irr!BC11)),IF(AND(Irr!G11&lt;&gt;".",Irr!AE11&lt;&gt;".",Irr!BC11="."),dir!H11/((1/1000)*(Irr!G11+Irr!AE11)),IF(AND(Irr!G11&lt;&gt;".",Irr!AE11=".",Irr!BC11&lt;&gt;"."),dir!H11/((1/1000)*(Irr!G11+Irr!BC11)),IF(AND(Irr!G11=".",Irr!AE11&lt;&gt;".",Irr!BC11&lt;&gt;"."),dir!H11/((1/1000)*(Irr!AE11+Irr!BC11)),IF(AND(Irr!G11=".",Irr!AE11=".",Irr!BC11&lt;&gt;"."),dir!H11/((1/1000)*(Irr!BC11)),IF(AND(Irr!G11=".",Irr!AE11&lt;&gt;".",Irr!BC11="."),dir!H11/((1/1000)*(Irr!AE11)),IF(AND(Irr!G11&lt;&gt;".",Irr!AE11=".",Irr!BC11="."),dir!H11/((1/1000)*(Irr!G11)),IF(AND(Irr!G11=".",Irr!AE11=".",Irr!BC11="."),dir!H11*1000)))))))),".")</f>
        <v>.</v>
      </c>
      <c r="I11" s="76" t="str">
        <f>IFERROR(IF(AND(Irr!H11&lt;&gt;".",Irr!AF11&lt;&gt;".",Irr!BD11&lt;&gt;"."),dir!I11/((1/1000)*(Irr!H11+Irr!AF11+Irr!BD11)),IF(AND(Irr!H11&lt;&gt;".",Irr!AF11&lt;&gt;".",Irr!BD11="."),dir!I11/((1/1000)*(Irr!H11+Irr!AF11)),IF(AND(Irr!H11&lt;&gt;".",Irr!AF11=".",Irr!BD11&lt;&gt;"."),dir!I11/((1/1000)*(Irr!H11+Irr!BD11)),IF(AND(Irr!H11=".",Irr!AF11&lt;&gt;".",Irr!BD11&lt;&gt;"."),dir!I11/((1/1000)*(Irr!AF11+Irr!BD11)),IF(AND(Irr!H11=".",Irr!AF11=".",Irr!BD11&lt;&gt;"."),dir!I11/((1/1000)*(Irr!BD11)),IF(AND(Irr!H11=".",Irr!AF11&lt;&gt;".",Irr!BD11="."),dir!I11/((1/1000)*(Irr!AF11)),IF(AND(Irr!H11&lt;&gt;".",Irr!AF11=".",Irr!BD11="."),dir!I11/((1/1000)*(Irr!H11)),IF(AND(Irr!H11=".",Irr!AF11=".",Irr!BD11="."),dir!I11*1000)))))))),".")</f>
        <v>.</v>
      </c>
      <c r="J11" s="76" t="str">
        <f>IFERROR(IF(AND(Irr!I11&lt;&gt;".",Irr!AG11&lt;&gt;".",Irr!BE11&lt;&gt;"."),dir!J11/((1/1000)*(Irr!I11+Irr!AG11+Irr!BE11)),IF(AND(Irr!I11&lt;&gt;".",Irr!AG11&lt;&gt;".",Irr!BE11="."),dir!J11/((1/1000)*(Irr!I11+Irr!AG11)),IF(AND(Irr!I11&lt;&gt;".",Irr!AG11=".",Irr!BE11&lt;&gt;"."),dir!J11/((1/1000)*(Irr!I11+Irr!BE11)),IF(AND(Irr!I11=".",Irr!AG11&lt;&gt;".",Irr!BE11&lt;&gt;"."),dir!J11/((1/1000)*(Irr!AG11+Irr!BE11)),IF(AND(Irr!I11=".",Irr!AG11=".",Irr!BE11&lt;&gt;"."),dir!J11/((1/1000)*(Irr!BE11)),IF(AND(Irr!I11=".",Irr!AG11&lt;&gt;".",Irr!BE11="."),dir!J11/((1/1000)*(Irr!AG11)),IF(AND(Irr!I11&lt;&gt;".",Irr!AG11=".",Irr!BE11="."),dir!J11/((1/1000)*(Irr!I11)),IF(AND(Irr!I11=".",Irr!AG11=".",Irr!BE11="."),dir!J11*1000)))))))),".")</f>
        <v>.</v>
      </c>
      <c r="K11" s="76" t="str">
        <f>IFERROR(IF(AND(Irr!J11&lt;&gt;".",Irr!AH11&lt;&gt;".",Irr!BF11&lt;&gt;"."),dir!K11/((1/1000)*(Irr!J11+Irr!AH11+Irr!BF11)),IF(AND(Irr!J11&lt;&gt;".",Irr!AH11&lt;&gt;".",Irr!BF11="."),dir!K11/((1/1000)*(Irr!J11+Irr!AH11)),IF(AND(Irr!J11&lt;&gt;".",Irr!AH11=".",Irr!BF11&lt;&gt;"."),dir!K11/((1/1000)*(Irr!J11+Irr!BF11)),IF(AND(Irr!J11=".",Irr!AH11&lt;&gt;".",Irr!BF11&lt;&gt;"."),dir!K11/((1/1000)*(Irr!AH11+Irr!BF11)),IF(AND(Irr!J11=".",Irr!AH11=".",Irr!BF11&lt;&gt;"."),dir!K11/((1/1000)*(Irr!BF11)),IF(AND(Irr!J11=".",Irr!AH11&lt;&gt;".",Irr!BF11="."),dir!K11/((1/1000)*(Irr!AH11)),IF(AND(Irr!J11&lt;&gt;".",Irr!AH11=".",Irr!BF11="."),dir!K11/((1/1000)*(Irr!J11)),IF(AND(Irr!J11=".",Irr!AH11=".",Irr!BF11="."),dir!K11*1000)))))))),".")</f>
        <v>.</v>
      </c>
      <c r="L11" s="76" t="str">
        <f>IFERROR(IF(AND(Irr!K11&lt;&gt;".",Irr!AI11&lt;&gt;".",Irr!BG11&lt;&gt;"."),dir!L11/((1/1000)*(Irr!K11+Irr!AI11+Irr!BG11)),IF(AND(Irr!K11&lt;&gt;".",Irr!AI11&lt;&gt;".",Irr!BG11="."),dir!L11/((1/1000)*(Irr!K11+Irr!AI11)),IF(AND(Irr!K11&lt;&gt;".",Irr!AI11=".",Irr!BG11&lt;&gt;"."),dir!L11/((1/1000)*(Irr!K11+Irr!BG11)),IF(AND(Irr!K11=".",Irr!AI11&lt;&gt;".",Irr!BG11&lt;&gt;"."),dir!L11/((1/1000)*(Irr!AI11+Irr!BG11)),IF(AND(Irr!K11=".",Irr!AI11=".",Irr!BG11&lt;&gt;"."),dir!L11/((1/1000)*(Irr!BG11)),IF(AND(Irr!K11=".",Irr!AI11&lt;&gt;".",Irr!BG11="."),dir!L11/((1/1000)*(Irr!AI11)),IF(AND(Irr!K11&lt;&gt;".",Irr!AI11=".",Irr!BG11="."),dir!L11/((1/1000)*(Irr!K11)),IF(AND(Irr!K11=".",Irr!AI11=".",Irr!BG11="."),dir!L11*1000)))))))),".")</f>
        <v>.</v>
      </c>
      <c r="M11" s="76" t="str">
        <f>IFERROR(IF(AND(Irr!L11&lt;&gt;".",Irr!AJ11&lt;&gt;".",Irr!BH11&lt;&gt;"."),dir!M11/((1/1000)*(Irr!L11+Irr!AJ11+Irr!BH11)),IF(AND(Irr!L11&lt;&gt;".",Irr!AJ11&lt;&gt;".",Irr!BH11="."),dir!M11/((1/1000)*(Irr!L11+Irr!AJ11)),IF(AND(Irr!L11&lt;&gt;".",Irr!AJ11=".",Irr!BH11&lt;&gt;"."),dir!M11/((1/1000)*(Irr!L11+Irr!BH11)),IF(AND(Irr!L11=".",Irr!AJ11&lt;&gt;".",Irr!BH11&lt;&gt;"."),dir!M11/((1/1000)*(Irr!AJ11+Irr!BH11)),IF(AND(Irr!L11=".",Irr!AJ11=".",Irr!BH11&lt;&gt;"."),dir!M11/((1/1000)*(Irr!BH11)),IF(AND(Irr!L11=".",Irr!AJ11&lt;&gt;".",Irr!BH11="."),dir!M11/((1/1000)*(Irr!AJ11)),IF(AND(Irr!L11&lt;&gt;".",Irr!AJ11=".",Irr!BH11="."),dir!M11/((1/1000)*(Irr!L11)),IF(AND(Irr!L11=".",Irr!AJ11=".",Irr!BH11="."),dir!M11*1000)))))))),".")</f>
        <v>.</v>
      </c>
      <c r="N11" s="76" t="str">
        <f>IFERROR(IF(AND(Irr!M11&lt;&gt;".",Irr!AK11&lt;&gt;".",Irr!BI11&lt;&gt;"."),dir!N11/((1/1000)*(Irr!M11+Irr!AK11+Irr!BI11)),IF(AND(Irr!M11&lt;&gt;".",Irr!AK11&lt;&gt;".",Irr!BI11="."),dir!N11/((1/1000)*(Irr!M11+Irr!AK11)),IF(AND(Irr!M11&lt;&gt;".",Irr!AK11=".",Irr!BI11&lt;&gt;"."),dir!N11/((1/1000)*(Irr!M11+Irr!BI11)),IF(AND(Irr!M11=".",Irr!AK11&lt;&gt;".",Irr!BI11&lt;&gt;"."),dir!N11/((1/1000)*(Irr!AK11+Irr!BI11)),IF(AND(Irr!M11=".",Irr!AK11=".",Irr!BI11&lt;&gt;"."),dir!N11/((1/1000)*(Irr!BI11)),IF(AND(Irr!M11=".",Irr!AK11&lt;&gt;".",Irr!BI11="."),dir!N11/((1/1000)*(Irr!AK11)),IF(AND(Irr!M11&lt;&gt;".",Irr!AK11=".",Irr!BI11="."),dir!N11/((1/1000)*(Irr!M11)),IF(AND(Irr!M11=".",Irr!AK11=".",Irr!BI11="."),dir!N11*1000)))))))),".")</f>
        <v>.</v>
      </c>
      <c r="O11" s="76" t="str">
        <f>IFERROR(IF(AND(Irr!N11&lt;&gt;".",Irr!AL11&lt;&gt;".",Irr!BJ11&lt;&gt;"."),dir!O11/((1/1000)*(Irr!N11+Irr!AL11+Irr!BJ11)),IF(AND(Irr!N11&lt;&gt;".",Irr!AL11&lt;&gt;".",Irr!BJ11="."),dir!O11/((1/1000)*(Irr!N11+Irr!AL11)),IF(AND(Irr!N11&lt;&gt;".",Irr!AL11=".",Irr!BJ11&lt;&gt;"."),dir!O11/((1/1000)*(Irr!N11+Irr!BJ11)),IF(AND(Irr!N11=".",Irr!AL11&lt;&gt;".",Irr!BJ11&lt;&gt;"."),dir!O11/((1/1000)*(Irr!AL11+Irr!BJ11)),IF(AND(Irr!N11=".",Irr!AL11=".",Irr!BJ11&lt;&gt;"."),dir!O11/((1/1000)*(Irr!BJ11)),IF(AND(Irr!N11=".",Irr!AL11&lt;&gt;".",Irr!BJ11="."),dir!O11/((1/1000)*(Irr!AL11)),IF(AND(Irr!N11&lt;&gt;".",Irr!AL11=".",Irr!BJ11="."),dir!O11/((1/1000)*(Irr!N11)),IF(AND(Irr!N11=".",Irr!AL11=".",Irr!BJ11="."),dir!O11*1000)))))))),".")</f>
        <v>.</v>
      </c>
      <c r="P11" s="76" t="str">
        <f>IFERROR(IF(AND(Irr!O11&lt;&gt;".",Irr!AM11&lt;&gt;".",Irr!BK11&lt;&gt;"."),dir!P11/((1/1000)*(Irr!O11+Irr!AM11+Irr!BK11)),IF(AND(Irr!O11&lt;&gt;".",Irr!AM11&lt;&gt;".",Irr!BK11="."),dir!P11/((1/1000)*(Irr!O11+Irr!AM11)),IF(AND(Irr!O11&lt;&gt;".",Irr!AM11=".",Irr!BK11&lt;&gt;"."),dir!P11/((1/1000)*(Irr!O11+Irr!BK11)),IF(AND(Irr!O11=".",Irr!AM11&lt;&gt;".",Irr!BK11&lt;&gt;"."),dir!P11/((1/1000)*(Irr!AM11+Irr!BK11)),IF(AND(Irr!O11=".",Irr!AM11=".",Irr!BK11&lt;&gt;"."),dir!P11/((1/1000)*(Irr!BK11)),IF(AND(Irr!O11=".",Irr!AM11&lt;&gt;".",Irr!BK11="."),dir!P11/((1/1000)*(Irr!AM11)),IF(AND(Irr!O11&lt;&gt;".",Irr!AM11=".",Irr!BK11="."),dir!P11/((1/1000)*(Irr!O11)),IF(AND(Irr!O11=".",Irr!AM11=".",Irr!BK11="."),dir!P11*1000)))))))),".")</f>
        <v>.</v>
      </c>
      <c r="Q11" s="76" t="str">
        <f>IFERROR(IF(AND(Irr!P11&lt;&gt;".",Irr!AN11&lt;&gt;".",Irr!BL11&lt;&gt;"."),dir!Q11/((1/1000)*(Irr!P11+Irr!AN11+Irr!BL11)),IF(AND(Irr!P11&lt;&gt;".",Irr!AN11&lt;&gt;".",Irr!BL11="."),dir!Q11/((1/1000)*(Irr!P11+Irr!AN11)),IF(AND(Irr!P11&lt;&gt;".",Irr!AN11=".",Irr!BL11&lt;&gt;"."),dir!Q11/((1/1000)*(Irr!P11+Irr!BL11)),IF(AND(Irr!P11=".",Irr!AN11&lt;&gt;".",Irr!BL11&lt;&gt;"."),dir!Q11/((1/1000)*(Irr!AN11+Irr!BL11)),IF(AND(Irr!P11=".",Irr!AN11=".",Irr!BL11&lt;&gt;"."),dir!Q11/((1/1000)*(Irr!BL11)),IF(AND(Irr!P11=".",Irr!AN11&lt;&gt;".",Irr!BL11="."),dir!Q11/((1/1000)*(Irr!AN11)),IF(AND(Irr!P11&lt;&gt;".",Irr!AN11=".",Irr!BL11="."),dir!Q11/((1/1000)*(Irr!P11)),IF(AND(Irr!P11=".",Irr!AN11=".",Irr!BL11="."),dir!Q11*1000)))))))),".")</f>
        <v>.</v>
      </c>
      <c r="R11" s="76" t="str">
        <f>IFERROR(IF(AND(Irr!Q11&lt;&gt;".",Irr!AO11&lt;&gt;".",Irr!BM11&lt;&gt;"."),dir!R11/((1/1000)*(Irr!Q11+Irr!AO11+Irr!BM11)),IF(AND(Irr!Q11&lt;&gt;".",Irr!AO11&lt;&gt;".",Irr!BM11="."),dir!R11/((1/1000)*(Irr!Q11+Irr!AO11)),IF(AND(Irr!Q11&lt;&gt;".",Irr!AO11=".",Irr!BM11&lt;&gt;"."),dir!R11/((1/1000)*(Irr!Q11+Irr!BM11)),IF(AND(Irr!Q11=".",Irr!AO11&lt;&gt;".",Irr!BM11&lt;&gt;"."),dir!R11/((1/1000)*(Irr!AO11+Irr!BM11)),IF(AND(Irr!Q11=".",Irr!AO11=".",Irr!BM11&lt;&gt;"."),dir!R11/((1/1000)*(Irr!BM11)),IF(AND(Irr!Q11=".",Irr!AO11&lt;&gt;".",Irr!BM11="."),dir!R11/((1/1000)*(Irr!AO11)),IF(AND(Irr!Q11&lt;&gt;".",Irr!AO11=".",Irr!BM11="."),dir!R11/((1/1000)*(Irr!Q11)),IF(AND(Irr!Q11=".",Irr!AO11=".",Irr!BM11="."),dir!R11*1000)))))))),".")</f>
        <v>.</v>
      </c>
      <c r="S11" s="76" t="str">
        <f>IFERROR(IF(AND(Irr!R11&lt;&gt;".",Irr!AP11&lt;&gt;".",Irr!BN11&lt;&gt;"."),dir!S11/((1/1000)*(Irr!R11+Irr!AP11+Irr!BN11)),IF(AND(Irr!R11&lt;&gt;".",Irr!AP11&lt;&gt;".",Irr!BN11="."),dir!S11/((1/1000)*(Irr!R11+Irr!AP11)),IF(AND(Irr!R11&lt;&gt;".",Irr!AP11=".",Irr!BN11&lt;&gt;"."),dir!S11/((1/1000)*(Irr!R11+Irr!BN11)),IF(AND(Irr!R11=".",Irr!AP11&lt;&gt;".",Irr!BN11&lt;&gt;"."),dir!S11/((1/1000)*(Irr!AP11+Irr!BN11)),IF(AND(Irr!R11=".",Irr!AP11=".",Irr!BN11&lt;&gt;"."),dir!S11/((1/1000)*(Irr!BN11)),IF(AND(Irr!R11=".",Irr!AP11&lt;&gt;".",Irr!BN11="."),dir!S11/((1/1000)*(Irr!AP11)),IF(AND(Irr!R11&lt;&gt;".",Irr!AP11=".",Irr!BN11="."),dir!S11/((1/1000)*(Irr!R11)),IF(AND(Irr!R11=".",Irr!AP11=".",Irr!BN11="."),dir!S11*1000)))))))),".")</f>
        <v>.</v>
      </c>
      <c r="T11" s="76" t="str">
        <f>IFERROR(IF(AND(Irr!S11&lt;&gt;".",Irr!AQ11&lt;&gt;".",Irr!BO11&lt;&gt;"."),dir!T11/((1/1000)*(Irr!S11+Irr!AQ11+Irr!BO11)),IF(AND(Irr!S11&lt;&gt;".",Irr!AQ11&lt;&gt;".",Irr!BO11="."),dir!T11/((1/1000)*(Irr!S11+Irr!AQ11)),IF(AND(Irr!S11&lt;&gt;".",Irr!AQ11=".",Irr!BO11&lt;&gt;"."),dir!T11/((1/1000)*(Irr!S11+Irr!BO11)),IF(AND(Irr!S11=".",Irr!AQ11&lt;&gt;".",Irr!BO11&lt;&gt;"."),dir!T11/((1/1000)*(Irr!AQ11+Irr!BO11)),IF(AND(Irr!S11=".",Irr!AQ11=".",Irr!BO11&lt;&gt;"."),dir!T11/((1/1000)*(Irr!BO11)),IF(AND(Irr!S11=".",Irr!AQ11&lt;&gt;".",Irr!BO11="."),dir!T11/((1/1000)*(Irr!AQ11)),IF(AND(Irr!S11&lt;&gt;".",Irr!AQ11=".",Irr!BO11="."),dir!T11/((1/1000)*(Irr!S11)),IF(AND(Irr!S11=".",Irr!AQ11=".",Irr!BO11="."),dir!T11*1000)))))))),".")</f>
        <v>.</v>
      </c>
      <c r="U11" s="76" t="str">
        <f>IFERROR(IF(AND(Irr!T11&lt;&gt;".",Irr!AR11&lt;&gt;".",Irr!BP11&lt;&gt;"."),dir!U11/((1/1000)*(Irr!T11+Irr!AR11+Irr!BP11)),IF(AND(Irr!T11&lt;&gt;".",Irr!AR11&lt;&gt;".",Irr!BP11="."),dir!U11/((1/1000)*(Irr!T11+Irr!AR11)),IF(AND(Irr!T11&lt;&gt;".",Irr!AR11=".",Irr!BP11&lt;&gt;"."),dir!U11/((1/1000)*(Irr!T11+Irr!BP11)),IF(AND(Irr!T11=".",Irr!AR11&lt;&gt;".",Irr!BP11&lt;&gt;"."),dir!U11/((1/1000)*(Irr!AR11+Irr!BP11)),IF(AND(Irr!T11=".",Irr!AR11=".",Irr!BP11&lt;&gt;"."),dir!U11/((1/1000)*(Irr!BP11)),IF(AND(Irr!T11=".",Irr!AR11&lt;&gt;".",Irr!BP11="."),dir!U11/((1/1000)*(Irr!AR11)),IF(AND(Irr!T11&lt;&gt;".",Irr!AR11=".",Irr!BP11="."),dir!U11/((1/1000)*(Irr!T11)),IF(AND(Irr!T11=".",Irr!AR11=".",Irr!BP11="."),dir!U11*1000)))))))),".")</f>
        <v>.</v>
      </c>
      <c r="V11" s="76" t="str">
        <f>IFERROR(IF(AND(Irr!U11&lt;&gt;".",Irr!AS11&lt;&gt;".",Irr!BQ11&lt;&gt;"."),dir!V11/((1/1000)*(Irr!U11+Irr!AS11+Irr!BQ11)),IF(AND(Irr!U11&lt;&gt;".",Irr!AS11&lt;&gt;".",Irr!BQ11="."),dir!V11/((1/1000)*(Irr!U11+Irr!AS11)),IF(AND(Irr!U11&lt;&gt;".",Irr!AS11=".",Irr!BQ11&lt;&gt;"."),dir!V11/((1/1000)*(Irr!U11+Irr!BQ11)),IF(AND(Irr!U11=".",Irr!AS11&lt;&gt;".",Irr!BQ11&lt;&gt;"."),dir!V11/((1/1000)*(Irr!AS11+Irr!BQ11)),IF(AND(Irr!U11=".",Irr!AS11=".",Irr!BQ11&lt;&gt;"."),dir!V11/((1/1000)*(Irr!BQ11)),IF(AND(Irr!U11=".",Irr!AS11&lt;&gt;".",Irr!BQ11="."),dir!V11/((1/1000)*(Irr!AS11)),IF(AND(Irr!U11&lt;&gt;".",Irr!AS11=".",Irr!BQ11="."),dir!V11/((1/1000)*(Irr!U11)),IF(AND(Irr!U11=".",Irr!AS11=".",Irr!BQ11="."),dir!V11*1000)))))))),".")</f>
        <v>.</v>
      </c>
      <c r="W11" s="76" t="str">
        <f>IFERROR(IF(AND(Irr!V11&lt;&gt;".",Irr!AT11&lt;&gt;".",Irr!BR11&lt;&gt;"."),dir!W11/((1/1000)*(Irr!V11+Irr!AT11+Irr!BR11)),IF(AND(Irr!V11&lt;&gt;".",Irr!AT11&lt;&gt;".",Irr!BR11="."),dir!W11/((1/1000)*(Irr!V11+Irr!AT11)),IF(AND(Irr!V11&lt;&gt;".",Irr!AT11=".",Irr!BR11&lt;&gt;"."),dir!W11/((1/1000)*(Irr!V11+Irr!BR11)),IF(AND(Irr!V11=".",Irr!AT11&lt;&gt;".",Irr!BR11&lt;&gt;"."),dir!W11/((1/1000)*(Irr!AT11+Irr!BR11)),IF(AND(Irr!V11=".",Irr!AT11=".",Irr!BR11&lt;&gt;"."),dir!W11/((1/1000)*(Irr!BR11)),IF(AND(Irr!V11=".",Irr!AT11&lt;&gt;".",Irr!BR11="."),dir!W11/((1/1000)*(Irr!AT11)),IF(AND(Irr!V11&lt;&gt;".",Irr!AT11=".",Irr!BR11="."),dir!W11/((1/1000)*(Irr!V11)),IF(AND(Irr!V11=".",Irr!AT11=".",Irr!BR11="."),dir!W11*1000)))))))),".")</f>
        <v>.</v>
      </c>
      <c r="X11" s="76" t="str">
        <f>IFERROR(IF(AND(Irr!W11&lt;&gt;".",Irr!AU11&lt;&gt;".",Irr!BS11&lt;&gt;"."),dir!X11/((1/1000)*(Irr!W11+Irr!AU11+Irr!BS11)),IF(AND(Irr!W11&lt;&gt;".",Irr!AU11&lt;&gt;".",Irr!BS11="."),dir!X11/((1/1000)*(Irr!W11+Irr!AU11)),IF(AND(Irr!W11&lt;&gt;".",Irr!AU11=".",Irr!BS11&lt;&gt;"."),dir!X11/((1/1000)*(Irr!W11+Irr!BS11)),IF(AND(Irr!W11=".",Irr!AU11&lt;&gt;".",Irr!BS11&lt;&gt;"."),dir!X11/((1/1000)*(Irr!AU11+Irr!BS11)),IF(AND(Irr!W11=".",Irr!AU11=".",Irr!BS11&lt;&gt;"."),dir!X11/((1/1000)*(Irr!BS11)),IF(AND(Irr!W11=".",Irr!AU11&lt;&gt;".",Irr!BS11="."),dir!X11/((1/1000)*(Irr!AU11)),IF(AND(Irr!W11&lt;&gt;".",Irr!AU11=".",Irr!BS11="."),dir!X11/((1/1000)*(Irr!W11)),IF(AND(Irr!W11=".",Irr!AU11=".",Irr!BS11="."),dir!X11*1000)))))))),".")</f>
        <v>.</v>
      </c>
      <c r="Y11" s="76" t="str">
        <f>IFERROR(IF(AND(Irr!X11&lt;&gt;".",Irr!AV11&lt;&gt;".",Irr!BT11&lt;&gt;"."),dir!Y11/((1/1000)*(Irr!X11+Irr!AV11+Irr!BT11)),IF(AND(Irr!X11&lt;&gt;".",Irr!AV11&lt;&gt;".",Irr!BT11="."),dir!Y11/((1/1000)*(Irr!X11+Irr!AV11)),IF(AND(Irr!X11&lt;&gt;".",Irr!AV11=".",Irr!BT11&lt;&gt;"."),dir!Y11/((1/1000)*(Irr!X11+Irr!BT11)),IF(AND(Irr!X11=".",Irr!AV11&lt;&gt;".",Irr!BT11&lt;&gt;"."),dir!Y11/((1/1000)*(Irr!AV11+Irr!BT11)),IF(AND(Irr!X11=".",Irr!AV11=".",Irr!BT11&lt;&gt;"."),dir!Y11/((1/1000)*(Irr!BT11)),IF(AND(Irr!X11=".",Irr!AV11&lt;&gt;".",Irr!BT11="."),dir!Y11/((1/1000)*(Irr!AV11)),IF(AND(Irr!X11&lt;&gt;".",Irr!AV11=".",Irr!BT11="."),dir!Y11/((1/1000)*(Irr!X11)),IF(AND(Irr!X11=".",Irr!AV11=".",Irr!BT11="."),dir!Y11*1000)))))))),".")</f>
        <v>.</v>
      </c>
      <c r="Z11" s="76" t="str">
        <f>IFERROR(IF(AND(Irr!Y11&lt;&gt;".",Irr!AW11&lt;&gt;".",Irr!BU11&lt;&gt;"."),dir!Z11/((1/1000)*(Irr!Y11+Irr!AW11+Irr!BU11)),IF(AND(Irr!Y11&lt;&gt;".",Irr!AW11&lt;&gt;".",Irr!BU11="."),dir!Z11/((1/1000)*(Irr!Y11+Irr!AW11)),IF(AND(Irr!Y11&lt;&gt;".",Irr!AW11=".",Irr!BU11&lt;&gt;"."),dir!Z11/((1/1000)*(Irr!Y11+Irr!BU11)),IF(AND(Irr!Y11=".",Irr!AW11&lt;&gt;".",Irr!BU11&lt;&gt;"."),dir!Z11/((1/1000)*(Irr!AW11+Irr!BU11)),IF(AND(Irr!Y11=".",Irr!AW11=".",Irr!BU11&lt;&gt;"."),dir!Z11/((1/1000)*(Irr!BU11)),IF(AND(Irr!Y11=".",Irr!AW11&lt;&gt;".",Irr!BU11="."),dir!Z11/((1/1000)*(Irr!AW11)),IF(AND(Irr!Y11&lt;&gt;".",Irr!AW11=".",Irr!BU11="."),dir!Z11/((1/1000)*(Irr!Y11)),IF(AND(Irr!Y11=".",Irr!AW11=".",Irr!BU11="."),dir!Z11*1000)))))))),".")</f>
        <v>.</v>
      </c>
      <c r="AA11" s="76" t="str">
        <f>IFERROR(IF(AND(Irr!Z11&lt;&gt;".",Irr!AX11&lt;&gt;".",Irr!BV11&lt;&gt;"."),dir!AA11/((1/1000)*(Irr!Z11+Irr!AX11+Irr!BV11)),IF(AND(Irr!Z11&lt;&gt;".",Irr!AX11&lt;&gt;".",Irr!BV11="."),dir!AA11/((1/1000)*(Irr!Z11+Irr!AX11)),IF(AND(Irr!Z11&lt;&gt;".",Irr!AX11=".",Irr!BV11&lt;&gt;"."),dir!AA11/((1/1000)*(Irr!Z11+Irr!BV11)),IF(AND(Irr!Z11=".",Irr!AX11&lt;&gt;".",Irr!BV11&lt;&gt;"."),dir!AA11/((1/1000)*(Irr!AX11+Irr!BV11)),IF(AND(Irr!Z11=".",Irr!AX11=".",Irr!BV11&lt;&gt;"."),dir!AA11/((1/1000)*(Irr!BV11)),IF(AND(Irr!Z11=".",Irr!AX11&lt;&gt;".",Irr!BV11="."),dir!AA11/((1/1000)*(Irr!AX11)),IF(AND(Irr!Z11&lt;&gt;".",Irr!AX11=".",Irr!BV11="."),dir!AA11/((1/1000)*(Irr!Z11)),IF(AND(Irr!Z11=".",Irr!AX11=".",Irr!BV11="."),dir!AA11*1000)))))))),".")</f>
        <v>.</v>
      </c>
      <c r="AB11" s="76" t="str">
        <f t="shared" ref="AB11" si="9">IFERROR(1/SUM(1/AC11,1/AD11,1/AE11,1/AF11,1/AG11,1/AH11,1/AI11,1/AJ11,1/AK11,1/AL11,1/AM11,1/AN11,1/AO11,1/AP11,1/AQ11,1/AR11,1/AS11,1/AT11,1/AU11,1/AV11,1/AW11,1/AX11),".")</f>
        <v>.</v>
      </c>
      <c r="AC11" s="76" t="str">
        <f>IFERROR(IF(AND(Irr!C11&lt;&gt;".",Irr!AA11&lt;&gt;".",Irr!AY11&lt;&gt;"."),dir!AC11/((1/1000)*(Irr!C11+Irr!AA11+Irr!AY11)),IF(AND(Irr!C11&lt;&gt;".",Irr!AA11&lt;&gt;".",Irr!AY11="."),dir!AC11/((1/1000)*(Irr!C11+Irr!AA11)),IF(AND(Irr!C11&lt;&gt;".",Irr!AA11=".",Irr!AY11&lt;&gt;"."),dir!AC11/((1/1000)*(Irr!C11+Irr!AY11)),IF(AND(Irr!C11=".",Irr!AA11&lt;&gt;".",Irr!AY11&lt;&gt;"."),dir!AC11/((1/1000)*(Irr!AA11+Irr!AY11)),IF(AND(Irr!C11=".",Irr!AA11=".",Irr!AY11&lt;&gt;"."),dir!AC11/((1/1000)*(Irr!AY11)),IF(AND(Irr!C11=".",Irr!AA11&lt;&gt;".",Irr!AY11="."),dir!AC11/((1/1000)*(Irr!AA11)),IF(AND(Irr!C11&lt;&gt;".",Irr!AA11=".",Irr!AY11="."),dir!AC11/((1/1000)*(Irr!C11)),IF(AND(Irr!C11=".",Irr!AA11=".",Irr!AY11="."),dir!AC11*1000)))))))),".")</f>
        <v>.</v>
      </c>
      <c r="AD11" s="76" t="str">
        <f>IFERROR(IF(AND(Irr!D11&lt;&gt;".",Irr!AB11&lt;&gt;".",Irr!AZ11&lt;&gt;"."),dir!AD11/((1/1000)*(Irr!D11+Irr!AB11+Irr!AZ11)),IF(AND(Irr!D11&lt;&gt;".",Irr!AB11&lt;&gt;".",Irr!AZ11="."),dir!AD11/((1/1000)*(Irr!D11+Irr!AB11)),IF(AND(Irr!D11&lt;&gt;".",Irr!AB11=".",Irr!AZ11&lt;&gt;"."),dir!AD11/((1/1000)*(Irr!D11+Irr!AZ11)),IF(AND(Irr!D11=".",Irr!AB11&lt;&gt;".",Irr!AZ11&lt;&gt;"."),dir!AD11/((1/1000)*(Irr!AB11+Irr!AZ11)),IF(AND(Irr!D11=".",Irr!AB11=".",Irr!AZ11&lt;&gt;"."),dir!AD11/((1/1000)*(Irr!AZ11)),IF(AND(Irr!D11=".",Irr!AB11&lt;&gt;".",Irr!AZ11="."),dir!AD11/((1/1000)*(Irr!AB11)),IF(AND(Irr!D11&lt;&gt;".",Irr!AB11=".",Irr!AZ11="."),dir!AD11/((1/1000)*(Irr!D11)),IF(AND(Irr!D11=".",Irr!AB11=".",Irr!AZ11="."),dir!AD11*1000)))))))),".")</f>
        <v>.</v>
      </c>
      <c r="AE11" s="76" t="str">
        <f>IFERROR(IF(AND(Irr!E11&lt;&gt;".",Irr!AC11&lt;&gt;".",Irr!BA11&lt;&gt;"."),dir!AE11/((1/1000)*(Irr!E11+Irr!AC11+Irr!BA11)),IF(AND(Irr!E11&lt;&gt;".",Irr!AC11&lt;&gt;".",Irr!BA11="."),dir!AE11/((1/1000)*(Irr!E11+Irr!AC11)),IF(AND(Irr!E11&lt;&gt;".",Irr!AC11=".",Irr!BA11&lt;&gt;"."),dir!AE11/((1/1000)*(Irr!E11+Irr!BA11)),IF(AND(Irr!E11=".",Irr!AC11&lt;&gt;".",Irr!BA11&lt;&gt;"."),dir!AE11/((1/1000)*(Irr!AC11+Irr!BA11)),IF(AND(Irr!E11=".",Irr!AC11=".",Irr!BA11&lt;&gt;"."),dir!AE11/((1/1000)*(Irr!BA11)),IF(AND(Irr!E11=".",Irr!AC11&lt;&gt;".",Irr!BA11="."),dir!AE11/((1/1000)*(Irr!AC11)),IF(AND(Irr!E11&lt;&gt;".",Irr!AC11=".",Irr!BA11="."),dir!AE11/((1/1000)*(Irr!E11)),IF(AND(Irr!E11=".",Irr!AC11=".",Irr!BA11="."),dir!AE11*1000)))))))),".")</f>
        <v>.</v>
      </c>
      <c r="AF11" s="76" t="str">
        <f>IFERROR(IF(AND(Irr!F11&lt;&gt;".",Irr!AD11&lt;&gt;".",Irr!BB11&lt;&gt;"."),dir!AF11/((1/1000)*(Irr!F11+Irr!AD11+Irr!BB11)),IF(AND(Irr!F11&lt;&gt;".",Irr!AD11&lt;&gt;".",Irr!BB11="."),dir!AF11/((1/1000)*(Irr!F11+Irr!AD11)),IF(AND(Irr!F11&lt;&gt;".",Irr!AD11=".",Irr!BB11&lt;&gt;"."),dir!AF11/((1/1000)*(Irr!F11+Irr!BB11)),IF(AND(Irr!F11=".",Irr!AD11&lt;&gt;".",Irr!BB11&lt;&gt;"."),dir!AF11/((1/1000)*(Irr!AD11+Irr!BB11)),IF(AND(Irr!F11=".",Irr!AD11=".",Irr!BB11&lt;&gt;"."),dir!AF11/((1/1000)*(Irr!BB11)),IF(AND(Irr!F11=".",Irr!AD11&lt;&gt;".",Irr!BB11="."),dir!AF11/((1/1000)*(Irr!AD11)),IF(AND(Irr!F11&lt;&gt;".",Irr!AD11=".",Irr!BB11="."),dir!AF11/((1/1000)*(Irr!F11)),IF(AND(Irr!F11=".",Irr!AD11=".",Irr!BB11="."),dir!AF11*1000)))))))),".")</f>
        <v>.</v>
      </c>
      <c r="AG11" s="76" t="str">
        <f>IFERROR(IF(AND(Irr!G11&lt;&gt;".",Irr!AE11&lt;&gt;".",Irr!BC11&lt;&gt;"."),dir!AG11/((1/1000)*(Irr!G11+Irr!AE11+Irr!BC11)),IF(AND(Irr!G11&lt;&gt;".",Irr!AE11&lt;&gt;".",Irr!BC11="."),dir!AG11/((1/1000)*(Irr!G11+Irr!AE11)),IF(AND(Irr!G11&lt;&gt;".",Irr!AE11=".",Irr!BC11&lt;&gt;"."),dir!AG11/((1/1000)*(Irr!G11+Irr!BC11)),IF(AND(Irr!G11=".",Irr!AE11&lt;&gt;".",Irr!BC11&lt;&gt;"."),dir!AG11/((1/1000)*(Irr!AE11+Irr!BC11)),IF(AND(Irr!G11=".",Irr!AE11=".",Irr!BC11&lt;&gt;"."),dir!AG11/((1/1000)*(Irr!BC11)),IF(AND(Irr!G11=".",Irr!AE11&lt;&gt;".",Irr!BC11="."),dir!AG11/((1/1000)*(Irr!AE11)),IF(AND(Irr!G11&lt;&gt;".",Irr!AE11=".",Irr!BC11="."),dir!AG11/((1/1000)*(Irr!G11)),IF(AND(Irr!G11=".",Irr!AE11=".",Irr!BC11="."),dir!AG11*1000)))))))),".")</f>
        <v>.</v>
      </c>
      <c r="AH11" s="76" t="str">
        <f>IFERROR(IF(AND(Irr!H11&lt;&gt;".",Irr!AF11&lt;&gt;".",Irr!BD11&lt;&gt;"."),dir!AH11/((1/1000)*(Irr!H11+Irr!AF11+Irr!BD11)),IF(AND(Irr!H11&lt;&gt;".",Irr!AF11&lt;&gt;".",Irr!BD11="."),dir!AH11/((1/1000)*(Irr!H11+Irr!AF11)),IF(AND(Irr!H11&lt;&gt;".",Irr!AF11=".",Irr!BD11&lt;&gt;"."),dir!AH11/((1/1000)*(Irr!H11+Irr!BD11)),IF(AND(Irr!H11=".",Irr!AF11&lt;&gt;".",Irr!BD11&lt;&gt;"."),dir!AH11/((1/1000)*(Irr!AF11+Irr!BD11)),IF(AND(Irr!H11=".",Irr!AF11=".",Irr!BD11&lt;&gt;"."),dir!AH11/((1/1000)*(Irr!BD11)),IF(AND(Irr!H11=".",Irr!AF11&lt;&gt;".",Irr!BD11="."),dir!AH11/((1/1000)*(Irr!AF11)),IF(AND(Irr!H11&lt;&gt;".",Irr!AF11=".",Irr!BD11="."),dir!AH11/((1/1000)*(Irr!H11)),IF(AND(Irr!H11=".",Irr!AF11=".",Irr!BD11="."),dir!AH11*1000)))))))),".")</f>
        <v>.</v>
      </c>
      <c r="AI11" s="76" t="str">
        <f>IFERROR(IF(AND(Irr!I11&lt;&gt;".",Irr!AG11&lt;&gt;".",Irr!BE11&lt;&gt;"."),dir!AI11/((1/1000)*(Irr!I11+Irr!AG11+Irr!BE11)),IF(AND(Irr!I11&lt;&gt;".",Irr!AG11&lt;&gt;".",Irr!BE11="."),dir!AI11/((1/1000)*(Irr!I11+Irr!AG11)),IF(AND(Irr!I11&lt;&gt;".",Irr!AG11=".",Irr!BE11&lt;&gt;"."),dir!AI11/((1/1000)*(Irr!I11+Irr!BE11)),IF(AND(Irr!I11=".",Irr!AG11&lt;&gt;".",Irr!BE11&lt;&gt;"."),dir!AI11/((1/1000)*(Irr!AG11+Irr!BE11)),IF(AND(Irr!I11=".",Irr!AG11=".",Irr!BE11&lt;&gt;"."),dir!AI11/((1/1000)*(Irr!BE11)),IF(AND(Irr!I11=".",Irr!AG11&lt;&gt;".",Irr!BE11="."),dir!AI11/((1/1000)*(Irr!AG11)),IF(AND(Irr!I11&lt;&gt;".",Irr!AG11=".",Irr!BE11="."),dir!AI11/((1/1000)*(Irr!I11)),IF(AND(Irr!I11=".",Irr!AG11=".",Irr!BE11="."),dir!AI11*1000)))))))),".")</f>
        <v>.</v>
      </c>
      <c r="AJ11" s="76" t="str">
        <f>IFERROR(IF(AND(Irr!J11&lt;&gt;".",Irr!AH11&lt;&gt;".",Irr!BF11&lt;&gt;"."),dir!AJ11/((1/1000)*(Irr!J11+Irr!AH11+Irr!BF11)),IF(AND(Irr!J11&lt;&gt;".",Irr!AH11&lt;&gt;".",Irr!BF11="."),dir!AJ11/((1/1000)*(Irr!J11+Irr!AH11)),IF(AND(Irr!J11&lt;&gt;".",Irr!AH11=".",Irr!BF11&lt;&gt;"."),dir!AJ11/((1/1000)*(Irr!J11+Irr!BF11)),IF(AND(Irr!J11=".",Irr!AH11&lt;&gt;".",Irr!BF11&lt;&gt;"."),dir!AJ11/((1/1000)*(Irr!AH11+Irr!BF11)),IF(AND(Irr!J11=".",Irr!AH11=".",Irr!BF11&lt;&gt;"."),dir!AJ11/((1/1000)*(Irr!BF11)),IF(AND(Irr!J11=".",Irr!AH11&lt;&gt;".",Irr!BF11="."),dir!AJ11/((1/1000)*(Irr!AH11)),IF(AND(Irr!J11&lt;&gt;".",Irr!AH11=".",Irr!BF11="."),dir!AJ11/((1/1000)*(Irr!J11)),IF(AND(Irr!J11=".",Irr!AH11=".",Irr!BF11="."),dir!AJ11*1000)))))))),".")</f>
        <v>.</v>
      </c>
      <c r="AK11" s="76" t="str">
        <f>IFERROR(IF(AND(Irr!K11&lt;&gt;".",Irr!AI11&lt;&gt;".",Irr!BG11&lt;&gt;"."),dir!AK11/((1/1000)*(Irr!K11+Irr!AI11+Irr!BG11)),IF(AND(Irr!K11&lt;&gt;".",Irr!AI11&lt;&gt;".",Irr!BG11="."),dir!AK11/((1/1000)*(Irr!K11+Irr!AI11)),IF(AND(Irr!K11&lt;&gt;".",Irr!AI11=".",Irr!BG11&lt;&gt;"."),dir!AK11/((1/1000)*(Irr!K11+Irr!BG11)),IF(AND(Irr!K11=".",Irr!AI11&lt;&gt;".",Irr!BG11&lt;&gt;"."),dir!AK11/((1/1000)*(Irr!AI11+Irr!BG11)),IF(AND(Irr!K11=".",Irr!AI11=".",Irr!BG11&lt;&gt;"."),dir!AK11/((1/1000)*(Irr!BG11)),IF(AND(Irr!K11=".",Irr!AI11&lt;&gt;".",Irr!BG11="."),dir!AK11/((1/1000)*(Irr!AI11)),IF(AND(Irr!K11&lt;&gt;".",Irr!AI11=".",Irr!BG11="."),dir!AK11/((1/1000)*(Irr!K11)),IF(AND(Irr!K11=".",Irr!AI11=".",Irr!BG11="."),dir!AK11*1000)))))))),".")</f>
        <v>.</v>
      </c>
      <c r="AL11" s="76" t="str">
        <f>IFERROR(IF(AND(Irr!L11&lt;&gt;".",Irr!AJ11&lt;&gt;".",Irr!BH11&lt;&gt;"."),dir!AL11/((1/1000)*(Irr!L11+Irr!AJ11+Irr!BH11)),IF(AND(Irr!L11&lt;&gt;".",Irr!AJ11&lt;&gt;".",Irr!BH11="."),dir!AL11/((1/1000)*(Irr!L11+Irr!AJ11)),IF(AND(Irr!L11&lt;&gt;".",Irr!AJ11=".",Irr!BH11&lt;&gt;"."),dir!AL11/((1/1000)*(Irr!L11+Irr!BH11)),IF(AND(Irr!L11=".",Irr!AJ11&lt;&gt;".",Irr!BH11&lt;&gt;"."),dir!AL11/((1/1000)*(Irr!AJ11+Irr!BH11)),IF(AND(Irr!L11=".",Irr!AJ11=".",Irr!BH11&lt;&gt;"."),dir!AL11/((1/1000)*(Irr!BH11)),IF(AND(Irr!L11=".",Irr!AJ11&lt;&gt;".",Irr!BH11="."),dir!AL11/((1/1000)*(Irr!AJ11)),IF(AND(Irr!L11&lt;&gt;".",Irr!AJ11=".",Irr!BH11="."),dir!AL11/((1/1000)*(Irr!L11)),IF(AND(Irr!L11=".",Irr!AJ11=".",Irr!BH11="."),dir!AL11*1000)))))))),".")</f>
        <v>.</v>
      </c>
      <c r="AM11" s="76" t="str">
        <f>IFERROR(IF(AND(Irr!M11&lt;&gt;".",Irr!AK11&lt;&gt;".",Irr!BI11&lt;&gt;"."),dir!AM11/((1/1000)*(Irr!M11+Irr!AK11+Irr!BI11)),IF(AND(Irr!M11&lt;&gt;".",Irr!AK11&lt;&gt;".",Irr!BI11="."),dir!AM11/((1/1000)*(Irr!M11+Irr!AK11)),IF(AND(Irr!M11&lt;&gt;".",Irr!AK11=".",Irr!BI11&lt;&gt;"."),dir!AM11/((1/1000)*(Irr!M11+Irr!BI11)),IF(AND(Irr!M11=".",Irr!AK11&lt;&gt;".",Irr!BI11&lt;&gt;"."),dir!AM11/((1/1000)*(Irr!AK11+Irr!BI11)),IF(AND(Irr!M11=".",Irr!AK11=".",Irr!BI11&lt;&gt;"."),dir!AM11/((1/1000)*(Irr!BI11)),IF(AND(Irr!M11=".",Irr!AK11&lt;&gt;".",Irr!BI11="."),dir!AM11/((1/1000)*(Irr!AK11)),IF(AND(Irr!M11&lt;&gt;".",Irr!AK11=".",Irr!BI11="."),dir!AM11/((1/1000)*(Irr!M11)),IF(AND(Irr!M11=".",Irr!AK11=".",Irr!BI11="."),dir!AM11*1000)))))))),".")</f>
        <v>.</v>
      </c>
      <c r="AN11" s="76" t="str">
        <f>IFERROR(IF(AND(Irr!N11&lt;&gt;".",Irr!AL11&lt;&gt;".",Irr!BJ11&lt;&gt;"."),dir!AN11/((1/1000)*(Irr!N11+Irr!AL11+Irr!BJ11)),IF(AND(Irr!N11&lt;&gt;".",Irr!AL11&lt;&gt;".",Irr!BJ11="."),dir!AN11/((1/1000)*(Irr!N11+Irr!AL11)),IF(AND(Irr!N11&lt;&gt;".",Irr!AL11=".",Irr!BJ11&lt;&gt;"."),dir!AN11/((1/1000)*(Irr!N11+Irr!BJ11)),IF(AND(Irr!N11=".",Irr!AL11&lt;&gt;".",Irr!BJ11&lt;&gt;"."),dir!AN11/((1/1000)*(Irr!AL11+Irr!BJ11)),IF(AND(Irr!N11=".",Irr!AL11=".",Irr!BJ11&lt;&gt;"."),dir!AN11/((1/1000)*(Irr!BJ11)),IF(AND(Irr!N11=".",Irr!AL11&lt;&gt;".",Irr!BJ11="."),dir!AN11/((1/1000)*(Irr!AL11)),IF(AND(Irr!N11&lt;&gt;".",Irr!AL11=".",Irr!BJ11="."),dir!AN11/((1/1000)*(Irr!N11)),IF(AND(Irr!N11=".",Irr!AL11=".",Irr!BJ11="."),dir!AN11*1000)))))))),".")</f>
        <v>.</v>
      </c>
      <c r="AO11" s="76" t="str">
        <f>IFERROR(IF(AND(Irr!O11&lt;&gt;".",Irr!AM11&lt;&gt;".",Irr!BK11&lt;&gt;"."),dir!AO11/((1/1000)*(Irr!O11+Irr!AM11+Irr!BK11)),IF(AND(Irr!O11&lt;&gt;".",Irr!AM11&lt;&gt;".",Irr!BK11="."),dir!AO11/((1/1000)*(Irr!O11+Irr!AM11)),IF(AND(Irr!O11&lt;&gt;".",Irr!AM11=".",Irr!BK11&lt;&gt;"."),dir!AO11/((1/1000)*(Irr!O11+Irr!BK11)),IF(AND(Irr!O11=".",Irr!AM11&lt;&gt;".",Irr!BK11&lt;&gt;"."),dir!AO11/((1/1000)*(Irr!AM11+Irr!BK11)),IF(AND(Irr!O11=".",Irr!AM11=".",Irr!BK11&lt;&gt;"."),dir!AO11/((1/1000)*(Irr!BK11)),IF(AND(Irr!O11=".",Irr!AM11&lt;&gt;".",Irr!BK11="."),dir!AO11/((1/1000)*(Irr!AM11)),IF(AND(Irr!O11&lt;&gt;".",Irr!AM11=".",Irr!BK11="."),dir!AO11/((1/1000)*(Irr!O11)),IF(AND(Irr!O11=".",Irr!AM11=".",Irr!BK11="."),dir!AO11*1000)))))))),".")</f>
        <v>.</v>
      </c>
      <c r="AP11" s="76" t="str">
        <f>IFERROR(IF(AND(Irr!P11&lt;&gt;".",Irr!AN11&lt;&gt;".",Irr!BL11&lt;&gt;"."),dir!AP11/((1/1000)*(Irr!P11+Irr!AN11+Irr!BL11)),IF(AND(Irr!P11&lt;&gt;".",Irr!AN11&lt;&gt;".",Irr!BL11="."),dir!AP11/((1/1000)*(Irr!P11+Irr!AN11)),IF(AND(Irr!P11&lt;&gt;".",Irr!AN11=".",Irr!BL11&lt;&gt;"."),dir!AP11/((1/1000)*(Irr!P11+Irr!BL11)),IF(AND(Irr!P11=".",Irr!AN11&lt;&gt;".",Irr!BL11&lt;&gt;"."),dir!AP11/((1/1000)*(Irr!AN11+Irr!BL11)),IF(AND(Irr!P11=".",Irr!AN11=".",Irr!BL11&lt;&gt;"."),dir!AP11/((1/1000)*(Irr!BL11)),IF(AND(Irr!P11=".",Irr!AN11&lt;&gt;".",Irr!BL11="."),dir!AP11/((1/1000)*(Irr!AN11)),IF(AND(Irr!P11&lt;&gt;".",Irr!AN11=".",Irr!BL11="."),dir!AP11/((1/1000)*(Irr!P11)),IF(AND(Irr!P11=".",Irr!AN11=".",Irr!BL11="."),dir!AP11*1000)))))))),".")</f>
        <v>.</v>
      </c>
      <c r="AQ11" s="76" t="str">
        <f>IFERROR(IF(AND(Irr!Q11&lt;&gt;".",Irr!AO11&lt;&gt;".",Irr!BM11&lt;&gt;"."),dir!AQ11/((1/1000)*(Irr!Q11+Irr!AO11+Irr!BM11)),IF(AND(Irr!Q11&lt;&gt;".",Irr!AO11&lt;&gt;".",Irr!BM11="."),dir!AQ11/((1/1000)*(Irr!Q11+Irr!AO11)),IF(AND(Irr!Q11&lt;&gt;".",Irr!AO11=".",Irr!BM11&lt;&gt;"."),dir!AQ11/((1/1000)*(Irr!Q11+Irr!BM11)),IF(AND(Irr!Q11=".",Irr!AO11&lt;&gt;".",Irr!BM11&lt;&gt;"."),dir!AQ11/((1/1000)*(Irr!AO11+Irr!BM11)),IF(AND(Irr!Q11=".",Irr!AO11=".",Irr!BM11&lt;&gt;"."),dir!AQ11/((1/1000)*(Irr!BM11)),IF(AND(Irr!Q11=".",Irr!AO11&lt;&gt;".",Irr!BM11="."),dir!AQ11/((1/1000)*(Irr!AO11)),IF(AND(Irr!Q11&lt;&gt;".",Irr!AO11=".",Irr!BM11="."),dir!AQ11/((1/1000)*(Irr!Q11)),IF(AND(Irr!Q11=".",Irr!AO11=".",Irr!BM11="."),dir!AQ11*1000)))))))),".")</f>
        <v>.</v>
      </c>
      <c r="AR11" s="76" t="str">
        <f>IFERROR(IF(AND(Irr!R11&lt;&gt;".",Irr!AP11&lt;&gt;".",Irr!BN11&lt;&gt;"."),dir!AR11/((1/1000)*(Irr!R11+Irr!AP11+Irr!BN11)),IF(AND(Irr!R11&lt;&gt;".",Irr!AP11&lt;&gt;".",Irr!BN11="."),dir!AR11/((1/1000)*(Irr!R11+Irr!AP11)),IF(AND(Irr!R11&lt;&gt;".",Irr!AP11=".",Irr!BN11&lt;&gt;"."),dir!AR11/((1/1000)*(Irr!R11+Irr!BN11)),IF(AND(Irr!R11=".",Irr!AP11&lt;&gt;".",Irr!BN11&lt;&gt;"."),dir!AR11/((1/1000)*(Irr!AP11+Irr!BN11)),IF(AND(Irr!R11=".",Irr!AP11=".",Irr!BN11&lt;&gt;"."),dir!AR11/((1/1000)*(Irr!BN11)),IF(AND(Irr!R11=".",Irr!AP11&lt;&gt;".",Irr!BN11="."),dir!AR11/((1/1000)*(Irr!AP11)),IF(AND(Irr!R11&lt;&gt;".",Irr!AP11=".",Irr!BN11="."),dir!AR11/((1/1000)*(Irr!R11)),IF(AND(Irr!R11=".",Irr!AP11=".",Irr!BN11="."),dir!AR11*1000)))))))),".")</f>
        <v>.</v>
      </c>
      <c r="AS11" s="76" t="str">
        <f>IFERROR(IF(AND(Irr!S11&lt;&gt;".",Irr!AQ11&lt;&gt;".",Irr!BO11&lt;&gt;"."),dir!AS11/((1/1000)*(Irr!S11+Irr!AQ11+Irr!BO11)),IF(AND(Irr!S11&lt;&gt;".",Irr!AQ11&lt;&gt;".",Irr!BO11="."),dir!AS11/((1/1000)*(Irr!S11+Irr!AQ11)),IF(AND(Irr!S11&lt;&gt;".",Irr!AQ11=".",Irr!BO11&lt;&gt;"."),dir!AS11/((1/1000)*(Irr!S11+Irr!BO11)),IF(AND(Irr!S11=".",Irr!AQ11&lt;&gt;".",Irr!BO11&lt;&gt;"."),dir!AS11/((1/1000)*(Irr!AQ11+Irr!BO11)),IF(AND(Irr!S11=".",Irr!AQ11=".",Irr!BO11&lt;&gt;"."),dir!AS11/((1/1000)*(Irr!BO11)),IF(AND(Irr!S11=".",Irr!AQ11&lt;&gt;".",Irr!BO11="."),dir!AS11/((1/1000)*(Irr!AQ11)),IF(AND(Irr!S11&lt;&gt;".",Irr!AQ11=".",Irr!BO11="."),dir!AS11/((1/1000)*(Irr!S11)),IF(AND(Irr!S11=".",Irr!AQ11=".",Irr!BO11="."),dir!AS11*1000)))))))),".")</f>
        <v>.</v>
      </c>
      <c r="AT11" s="76" t="str">
        <f>IFERROR(IF(AND(Irr!T11&lt;&gt;".",Irr!AR11&lt;&gt;".",Irr!BP11&lt;&gt;"."),dir!AT11/((1/1000)*(Irr!T11+Irr!AR11+Irr!BP11)),IF(AND(Irr!T11&lt;&gt;".",Irr!AR11&lt;&gt;".",Irr!BP11="."),dir!AT11/((1/1000)*(Irr!T11+Irr!AR11)),IF(AND(Irr!T11&lt;&gt;".",Irr!AR11=".",Irr!BP11&lt;&gt;"."),dir!AT11/((1/1000)*(Irr!T11+Irr!BP11)),IF(AND(Irr!T11=".",Irr!AR11&lt;&gt;".",Irr!BP11&lt;&gt;"."),dir!AT11/((1/1000)*(Irr!AR11+Irr!BP11)),IF(AND(Irr!T11=".",Irr!AR11=".",Irr!BP11&lt;&gt;"."),dir!AT11/((1/1000)*(Irr!BP11)),IF(AND(Irr!T11=".",Irr!AR11&lt;&gt;".",Irr!BP11="."),dir!AT11/((1/1000)*(Irr!AR11)),IF(AND(Irr!T11&lt;&gt;".",Irr!AR11=".",Irr!BP11="."),dir!AT11/((1/1000)*(Irr!T11)),IF(AND(Irr!T11=".",Irr!AR11=".",Irr!BP11="."),dir!AT11*1000)))))))),".")</f>
        <v>.</v>
      </c>
      <c r="AU11" s="76" t="str">
        <f>IFERROR(IF(AND(Irr!U11&lt;&gt;".",Irr!AS11&lt;&gt;".",Irr!BQ11&lt;&gt;"."),dir!AU11/((1/1000)*(Irr!U11+Irr!AS11+Irr!BQ11)),IF(AND(Irr!U11&lt;&gt;".",Irr!AS11&lt;&gt;".",Irr!BQ11="."),dir!AU11/((1/1000)*(Irr!U11+Irr!AS11)),IF(AND(Irr!U11&lt;&gt;".",Irr!AS11=".",Irr!BQ11&lt;&gt;"."),dir!AU11/((1/1000)*(Irr!U11+Irr!BQ11)),IF(AND(Irr!U11=".",Irr!AS11&lt;&gt;".",Irr!BQ11&lt;&gt;"."),dir!AU11/((1/1000)*(Irr!AS11+Irr!BQ11)),IF(AND(Irr!U11=".",Irr!AS11=".",Irr!BQ11&lt;&gt;"."),dir!AU11/((1/1000)*(Irr!BQ11)),IF(AND(Irr!U11=".",Irr!AS11&lt;&gt;".",Irr!BQ11="."),dir!AU11/((1/1000)*(Irr!AS11)),IF(AND(Irr!U11&lt;&gt;".",Irr!AS11=".",Irr!BQ11="."),dir!AU11/((1/1000)*(Irr!U11)),IF(AND(Irr!U11=".",Irr!AS11=".",Irr!BQ11="."),dir!AU11*1000)))))))),".")</f>
        <v>.</v>
      </c>
      <c r="AV11" s="76" t="str">
        <f>IFERROR(IF(AND(Irr!V11&lt;&gt;".",Irr!AT11&lt;&gt;".",Irr!BR11&lt;&gt;"."),dir!AV11/((1/1000)*(Irr!V11+Irr!AT11+Irr!BR11)),IF(AND(Irr!V11&lt;&gt;".",Irr!AT11&lt;&gt;".",Irr!BR11="."),dir!AV11/((1/1000)*(Irr!V11+Irr!AT11)),IF(AND(Irr!V11&lt;&gt;".",Irr!AT11=".",Irr!BR11&lt;&gt;"."),dir!AV11/((1/1000)*(Irr!V11+Irr!BR11)),IF(AND(Irr!V11=".",Irr!AT11&lt;&gt;".",Irr!BR11&lt;&gt;"."),dir!AV11/((1/1000)*(Irr!AT11+Irr!BR11)),IF(AND(Irr!V11=".",Irr!AT11=".",Irr!BR11&lt;&gt;"."),dir!AV11/((1/1000)*(Irr!BR11)),IF(AND(Irr!V11=".",Irr!AT11&lt;&gt;".",Irr!BR11="."),dir!AV11/((1/1000)*(Irr!AT11)),IF(AND(Irr!V11&lt;&gt;".",Irr!AT11=".",Irr!BR11="."),dir!AV11/((1/1000)*(Irr!V11)),IF(AND(Irr!V11=".",Irr!AT11=".",Irr!BR11="."),dir!AV11*1000)))))))),".")</f>
        <v>.</v>
      </c>
      <c r="AW11" s="76" t="str">
        <f>IFERROR(IF(AND(Irr!W11&lt;&gt;".",Irr!AU11&lt;&gt;".",Irr!BS11&lt;&gt;"."),dir!AW11/((1/1000)*(Irr!W11+Irr!AU11+Irr!BS11)),IF(AND(Irr!W11&lt;&gt;".",Irr!AU11&lt;&gt;".",Irr!BS11="."),dir!AW11/((1/1000)*(Irr!W11+Irr!AU11)),IF(AND(Irr!W11&lt;&gt;".",Irr!AU11=".",Irr!BS11&lt;&gt;"."),dir!AW11/((1/1000)*(Irr!W11+Irr!BS11)),IF(AND(Irr!W11=".",Irr!AU11&lt;&gt;".",Irr!BS11&lt;&gt;"."),dir!AW11/((1/1000)*(Irr!AU11+Irr!BS11)),IF(AND(Irr!W11=".",Irr!AU11=".",Irr!BS11&lt;&gt;"."),dir!AW11/((1/1000)*(Irr!BS11)),IF(AND(Irr!W11=".",Irr!AU11&lt;&gt;".",Irr!BS11="."),dir!AW11/((1/1000)*(Irr!AU11)),IF(AND(Irr!W11&lt;&gt;".",Irr!AU11=".",Irr!BS11="."),dir!AW11/((1/1000)*(Irr!W11)),IF(AND(Irr!W11=".",Irr!AU11=".",Irr!BS11="."),dir!AW11*1000)))))))),".")</f>
        <v>.</v>
      </c>
      <c r="AX11" s="76" t="str">
        <f>IFERROR(IF(AND(Irr!X11&lt;&gt;".",Irr!AV11&lt;&gt;".",Irr!BT11&lt;&gt;"."),dir!AX11/((1/1000)*(Irr!X11+Irr!AV11+Irr!BT11)),IF(AND(Irr!X11&lt;&gt;".",Irr!AV11&lt;&gt;".",Irr!BT11="."),dir!AX11/((1/1000)*(Irr!X11+Irr!AV11)),IF(AND(Irr!X11&lt;&gt;".",Irr!AV11=".",Irr!BT11&lt;&gt;"."),dir!AX11/((1/1000)*(Irr!X11+Irr!BT11)),IF(AND(Irr!X11=".",Irr!AV11&lt;&gt;".",Irr!BT11&lt;&gt;"."),dir!AX11/((1/1000)*(Irr!AV11+Irr!BT11)),IF(AND(Irr!X11=".",Irr!AV11=".",Irr!BT11&lt;&gt;"."),dir!AX11/((1/1000)*(Irr!BT11)),IF(AND(Irr!X11=".",Irr!AV11&lt;&gt;".",Irr!BT11="."),dir!AX11/((1/1000)*(Irr!AV11)),IF(AND(Irr!X11&lt;&gt;".",Irr!AV11=".",Irr!BT11="."),dir!AX11/((1/1000)*(Irr!X11)),IF(AND(Irr!X11=".",Irr!AV11=".",Irr!BT11="."),dir!AX11*1000)))))))),".")</f>
        <v>.</v>
      </c>
      <c r="AY11" s="76" t="str">
        <f>IFERROR(IF(AND(Irr!Y11&lt;&gt;".",Irr!AW11&lt;&gt;".",Irr!BU11&lt;&gt;"."),dir!AY11/((1/1000)*(Irr!Y11+Irr!AW11+Irr!BU11)),IF(AND(Irr!Y11&lt;&gt;".",Irr!AW11&lt;&gt;".",Irr!BU11="."),dir!AY11/((1/1000)*(Irr!Y11+Irr!AW11)),IF(AND(Irr!Y11&lt;&gt;".",Irr!AW11=".",Irr!BU11&lt;&gt;"."),dir!AY11/((1/1000)*(Irr!Y11+Irr!BU11)),IF(AND(Irr!Y11=".",Irr!AW11&lt;&gt;".",Irr!BU11&lt;&gt;"."),dir!AY11/((1/1000)*(Irr!AW11+Irr!BU11)),IF(AND(Irr!Y11=".",Irr!AW11=".",Irr!BU11&lt;&gt;"."),dir!AY11/((1/1000)*(Irr!BU11)),IF(AND(Irr!Y11=".",Irr!AW11&lt;&gt;".",Irr!BU11="."),dir!AY11/((1/1000)*(Irr!AW11)),IF(AND(Irr!Y11&lt;&gt;".",Irr!AW11=".",Irr!BU11="."),dir!AY11/((1/1000)*(Irr!Y11)),IF(AND(Irr!Y11=".",Irr!AW11=".",Irr!BU11="."),dir!AY11*1000)))))))),".")</f>
        <v>.</v>
      </c>
      <c r="AZ11" s="76" t="str">
        <f>IFERROR(IF(AND(Irr!Z11&lt;&gt;".",Irr!AX11&lt;&gt;".",Irr!BV11&lt;&gt;"."),dir!AZ11/((1/1000)*(Irr!Z11+Irr!AX11+Irr!BV11)),IF(AND(Irr!Z11&lt;&gt;".",Irr!AX11&lt;&gt;".",Irr!BV11="."),dir!AZ11/((1/1000)*(Irr!Z11+Irr!AX11)),IF(AND(Irr!Z11&lt;&gt;".",Irr!AX11=".",Irr!BV11&lt;&gt;"."),dir!AZ11/((1/1000)*(Irr!Z11+Irr!BV11)),IF(AND(Irr!Z11=".",Irr!AX11&lt;&gt;".",Irr!BV11&lt;&gt;"."),dir!AZ11/((1/1000)*(Irr!AX11+Irr!BV11)),IF(AND(Irr!Z11=".",Irr!AX11=".",Irr!BV11&lt;&gt;"."),dir!AZ11/((1/1000)*(Irr!BV11)),IF(AND(Irr!Z11=".",Irr!AX11&lt;&gt;".",Irr!BV11="."),dir!AZ11/((1/1000)*(Irr!AX11)),IF(AND(Irr!Z11&lt;&gt;".",Irr!AX11=".",Irr!BV11="."),dir!AZ11/((1/1000)*(Irr!Z11)),IF(AND(Irr!Z11=".",Irr!AX11=".",Irr!BV11="."),dir!AZ11*1000)))))))),".")</f>
        <v>.</v>
      </c>
    </row>
    <row r="12" spans="1:52" ht="15" customHeight="1" x14ac:dyDescent="0.25">
      <c r="A12" s="92" t="s">
        <v>22</v>
      </c>
      <c r="B12" s="90" t="s">
        <v>1074</v>
      </c>
      <c r="C12" s="76" t="str">
        <f t="shared" ref="C12" si="10">IFERROR(1/SUM(1/D12,1/E12,1/F12,1/G12,1/H12,1/I12,1/J12,1/K12,1/L12,1/M12,1/N12,1/O12,1/P12,1/Q12,1/R12,1/S12,1/T12,1/U12,1/V12,1/W12,1/X12,1/Y12),".")</f>
        <v>.</v>
      </c>
      <c r="D12" s="76" t="str">
        <f>IFERROR(IF(AND(Irr!C12&lt;&gt;".",Irr!AA12&lt;&gt;".",Irr!AY12&lt;&gt;"."),dir!D12/((1/1000)*(Irr!C12+Irr!AA12+Irr!AY12)),IF(AND(Irr!C12&lt;&gt;".",Irr!AA12&lt;&gt;".",Irr!AY12="."),dir!D12/((1/1000)*(Irr!C12+Irr!AA12)),IF(AND(Irr!C12&lt;&gt;".",Irr!AA12=".",Irr!AY12&lt;&gt;"."),dir!D12/((1/1000)*(Irr!C12+Irr!AY12)),IF(AND(Irr!C12=".",Irr!AA12&lt;&gt;".",Irr!AY12&lt;&gt;"."),dir!D12/((1/1000)*(Irr!AA12+Irr!AY12)),IF(AND(Irr!C12=".",Irr!AA12=".",Irr!AY12&lt;&gt;"."),dir!D12/((1/1000)*(Irr!AY12)),IF(AND(Irr!C12=".",Irr!AA12&lt;&gt;".",Irr!AY12="."),dir!D12/((1/1000)*(Irr!AA12)),IF(AND(Irr!C12&lt;&gt;".",Irr!AA12=".",Irr!AY12="."),dir!D12/((1/1000)*(Irr!C12)),IF(AND(Irr!C12=".",Irr!AA12=".",Irr!AY12="."),dir!D12*1000)))))))),".")</f>
        <v>.</v>
      </c>
      <c r="E12" s="76" t="str">
        <f>IFERROR(IF(AND(Irr!D12&lt;&gt;".",Irr!AB12&lt;&gt;".",Irr!AZ12&lt;&gt;"."),dir!E12/((1/1000)*(Irr!D12+Irr!AB12+Irr!AZ12)),IF(AND(Irr!D12&lt;&gt;".",Irr!AB12&lt;&gt;".",Irr!AZ12="."),dir!E12/((1/1000)*(Irr!D12+Irr!AB12)),IF(AND(Irr!D12&lt;&gt;".",Irr!AB12=".",Irr!AZ12&lt;&gt;"."),dir!E12/((1/1000)*(Irr!D12+Irr!AZ12)),IF(AND(Irr!D12=".",Irr!AB12&lt;&gt;".",Irr!AZ12&lt;&gt;"."),dir!E12/((1/1000)*(Irr!AB12+Irr!AZ12)),IF(AND(Irr!D12=".",Irr!AB12=".",Irr!AZ12&lt;&gt;"."),dir!E12/((1/1000)*(Irr!AZ12)),IF(AND(Irr!D12=".",Irr!AB12&lt;&gt;".",Irr!AZ12="."),dir!E12/((1/1000)*(Irr!AB12)),IF(AND(Irr!D12&lt;&gt;".",Irr!AB12=".",Irr!AZ12="."),dir!E12/((1/1000)*(Irr!D12)),IF(AND(Irr!D12=".",Irr!AB12=".",Irr!AZ12="."),dir!E12*1000)))))))),".")</f>
        <v>.</v>
      </c>
      <c r="F12" s="76" t="str">
        <f>IFERROR(IF(AND(Irr!E12&lt;&gt;".",Irr!AC12&lt;&gt;".",Irr!BA12&lt;&gt;"."),dir!F12/((1/1000)*(Irr!E12+Irr!AC12+Irr!BA12)),IF(AND(Irr!E12&lt;&gt;".",Irr!AC12&lt;&gt;".",Irr!BA12="."),dir!F12/((1/1000)*(Irr!E12+Irr!AC12)),IF(AND(Irr!E12&lt;&gt;".",Irr!AC12=".",Irr!BA12&lt;&gt;"."),dir!F12/((1/1000)*(Irr!E12+Irr!BA12)),IF(AND(Irr!E12=".",Irr!AC12&lt;&gt;".",Irr!BA12&lt;&gt;"."),dir!F12/((1/1000)*(Irr!AC12+Irr!BA12)),IF(AND(Irr!E12=".",Irr!AC12=".",Irr!BA12&lt;&gt;"."),dir!F12/((1/1000)*(Irr!BA12)),IF(AND(Irr!E12=".",Irr!AC12&lt;&gt;".",Irr!BA12="."),dir!F12/((1/1000)*(Irr!AC12)),IF(AND(Irr!E12&lt;&gt;".",Irr!AC12=".",Irr!BA12="."),dir!F12/((1/1000)*(Irr!E12)),IF(AND(Irr!E12=".",Irr!AC12=".",Irr!BA12="."),dir!F12*1000)))))))),".")</f>
        <v>.</v>
      </c>
      <c r="G12" s="76" t="str">
        <f>IFERROR(IF(AND(Irr!F12&lt;&gt;".",Irr!AD12&lt;&gt;".",Irr!BB12&lt;&gt;"."),dir!G12/((1/1000)*(Irr!F12+Irr!AD12+Irr!BB12)),IF(AND(Irr!F12&lt;&gt;".",Irr!AD12&lt;&gt;".",Irr!BB12="."),dir!G12/((1/1000)*(Irr!F12+Irr!AD12)),IF(AND(Irr!F12&lt;&gt;".",Irr!AD12=".",Irr!BB12&lt;&gt;"."),dir!G12/((1/1000)*(Irr!F12+Irr!BB12)),IF(AND(Irr!F12=".",Irr!AD12&lt;&gt;".",Irr!BB12&lt;&gt;"."),dir!G12/((1/1000)*(Irr!AD12+Irr!BB12)),IF(AND(Irr!F12=".",Irr!AD12=".",Irr!BB12&lt;&gt;"."),dir!G12/((1/1000)*(Irr!BB12)),IF(AND(Irr!F12=".",Irr!AD12&lt;&gt;".",Irr!BB12="."),dir!G12/((1/1000)*(Irr!AD12)),IF(AND(Irr!F12&lt;&gt;".",Irr!AD12=".",Irr!BB12="."),dir!G12/((1/1000)*(Irr!F12)),IF(AND(Irr!F12=".",Irr!AD12=".",Irr!BB12="."),dir!G12*1000)))))))),".")</f>
        <v>.</v>
      </c>
      <c r="H12" s="76" t="str">
        <f>IFERROR(IF(AND(Irr!G12&lt;&gt;".",Irr!AE12&lt;&gt;".",Irr!BC12&lt;&gt;"."),dir!H12/((1/1000)*(Irr!G12+Irr!AE12+Irr!BC12)),IF(AND(Irr!G12&lt;&gt;".",Irr!AE12&lt;&gt;".",Irr!BC12="."),dir!H12/((1/1000)*(Irr!G12+Irr!AE12)),IF(AND(Irr!G12&lt;&gt;".",Irr!AE12=".",Irr!BC12&lt;&gt;"."),dir!H12/((1/1000)*(Irr!G12+Irr!BC12)),IF(AND(Irr!G12=".",Irr!AE12&lt;&gt;".",Irr!BC12&lt;&gt;"."),dir!H12/((1/1000)*(Irr!AE12+Irr!BC12)),IF(AND(Irr!G12=".",Irr!AE12=".",Irr!BC12&lt;&gt;"."),dir!H12/((1/1000)*(Irr!BC12)),IF(AND(Irr!G12=".",Irr!AE12&lt;&gt;".",Irr!BC12="."),dir!H12/((1/1000)*(Irr!AE12)),IF(AND(Irr!G12&lt;&gt;".",Irr!AE12=".",Irr!BC12="."),dir!H12/((1/1000)*(Irr!G12)),IF(AND(Irr!G12=".",Irr!AE12=".",Irr!BC12="."),dir!H12*1000)))))))),".")</f>
        <v>.</v>
      </c>
      <c r="I12" s="76" t="str">
        <f>IFERROR(IF(AND(Irr!H12&lt;&gt;".",Irr!AF12&lt;&gt;".",Irr!BD12&lt;&gt;"."),dir!I12/((1/1000)*(Irr!H12+Irr!AF12+Irr!BD12)),IF(AND(Irr!H12&lt;&gt;".",Irr!AF12&lt;&gt;".",Irr!BD12="."),dir!I12/((1/1000)*(Irr!H12+Irr!AF12)),IF(AND(Irr!H12&lt;&gt;".",Irr!AF12=".",Irr!BD12&lt;&gt;"."),dir!I12/((1/1000)*(Irr!H12+Irr!BD12)),IF(AND(Irr!H12=".",Irr!AF12&lt;&gt;".",Irr!BD12&lt;&gt;"."),dir!I12/((1/1000)*(Irr!AF12+Irr!BD12)),IF(AND(Irr!H12=".",Irr!AF12=".",Irr!BD12&lt;&gt;"."),dir!I12/((1/1000)*(Irr!BD12)),IF(AND(Irr!H12=".",Irr!AF12&lt;&gt;".",Irr!BD12="."),dir!I12/((1/1000)*(Irr!AF12)),IF(AND(Irr!H12&lt;&gt;".",Irr!AF12=".",Irr!BD12="."),dir!I12/((1/1000)*(Irr!H12)),IF(AND(Irr!H12=".",Irr!AF12=".",Irr!BD12="."),dir!I12*1000)))))))),".")</f>
        <v>.</v>
      </c>
      <c r="J12" s="76" t="str">
        <f>IFERROR(IF(AND(Irr!I12&lt;&gt;".",Irr!AG12&lt;&gt;".",Irr!BE12&lt;&gt;"."),dir!J12/((1/1000)*(Irr!I12+Irr!AG12+Irr!BE12)),IF(AND(Irr!I12&lt;&gt;".",Irr!AG12&lt;&gt;".",Irr!BE12="."),dir!J12/((1/1000)*(Irr!I12+Irr!AG12)),IF(AND(Irr!I12&lt;&gt;".",Irr!AG12=".",Irr!BE12&lt;&gt;"."),dir!J12/((1/1000)*(Irr!I12+Irr!BE12)),IF(AND(Irr!I12=".",Irr!AG12&lt;&gt;".",Irr!BE12&lt;&gt;"."),dir!J12/((1/1000)*(Irr!AG12+Irr!BE12)),IF(AND(Irr!I12=".",Irr!AG12=".",Irr!BE12&lt;&gt;"."),dir!J12/((1/1000)*(Irr!BE12)),IF(AND(Irr!I12=".",Irr!AG12&lt;&gt;".",Irr!BE12="."),dir!J12/((1/1000)*(Irr!AG12)),IF(AND(Irr!I12&lt;&gt;".",Irr!AG12=".",Irr!BE12="."),dir!J12/((1/1000)*(Irr!I12)),IF(AND(Irr!I12=".",Irr!AG12=".",Irr!BE12="."),dir!J12*1000)))))))),".")</f>
        <v>.</v>
      </c>
      <c r="K12" s="76" t="str">
        <f>IFERROR(IF(AND(Irr!J12&lt;&gt;".",Irr!AH12&lt;&gt;".",Irr!BF12&lt;&gt;"."),dir!K12/((1/1000)*(Irr!J12+Irr!AH12+Irr!BF12)),IF(AND(Irr!J12&lt;&gt;".",Irr!AH12&lt;&gt;".",Irr!BF12="."),dir!K12/((1/1000)*(Irr!J12+Irr!AH12)),IF(AND(Irr!J12&lt;&gt;".",Irr!AH12=".",Irr!BF12&lt;&gt;"."),dir!K12/((1/1000)*(Irr!J12+Irr!BF12)),IF(AND(Irr!J12=".",Irr!AH12&lt;&gt;".",Irr!BF12&lt;&gt;"."),dir!K12/((1/1000)*(Irr!AH12+Irr!BF12)),IF(AND(Irr!J12=".",Irr!AH12=".",Irr!BF12&lt;&gt;"."),dir!K12/((1/1000)*(Irr!BF12)),IF(AND(Irr!J12=".",Irr!AH12&lt;&gt;".",Irr!BF12="."),dir!K12/((1/1000)*(Irr!AH12)),IF(AND(Irr!J12&lt;&gt;".",Irr!AH12=".",Irr!BF12="."),dir!K12/((1/1000)*(Irr!J12)),IF(AND(Irr!J12=".",Irr!AH12=".",Irr!BF12="."),dir!K12*1000)))))))),".")</f>
        <v>.</v>
      </c>
      <c r="L12" s="76" t="str">
        <f>IFERROR(IF(AND(Irr!K12&lt;&gt;".",Irr!AI12&lt;&gt;".",Irr!BG12&lt;&gt;"."),dir!L12/((1/1000)*(Irr!K12+Irr!AI12+Irr!BG12)),IF(AND(Irr!K12&lt;&gt;".",Irr!AI12&lt;&gt;".",Irr!BG12="."),dir!L12/((1/1000)*(Irr!K12+Irr!AI12)),IF(AND(Irr!K12&lt;&gt;".",Irr!AI12=".",Irr!BG12&lt;&gt;"."),dir!L12/((1/1000)*(Irr!K12+Irr!BG12)),IF(AND(Irr!K12=".",Irr!AI12&lt;&gt;".",Irr!BG12&lt;&gt;"."),dir!L12/((1/1000)*(Irr!AI12+Irr!BG12)),IF(AND(Irr!K12=".",Irr!AI12=".",Irr!BG12&lt;&gt;"."),dir!L12/((1/1000)*(Irr!BG12)),IF(AND(Irr!K12=".",Irr!AI12&lt;&gt;".",Irr!BG12="."),dir!L12/((1/1000)*(Irr!AI12)),IF(AND(Irr!K12&lt;&gt;".",Irr!AI12=".",Irr!BG12="."),dir!L12/((1/1000)*(Irr!K12)),IF(AND(Irr!K12=".",Irr!AI12=".",Irr!BG12="."),dir!L12*1000)))))))),".")</f>
        <v>.</v>
      </c>
      <c r="M12" s="76" t="str">
        <f>IFERROR(IF(AND(Irr!L12&lt;&gt;".",Irr!AJ12&lt;&gt;".",Irr!BH12&lt;&gt;"."),dir!M12/((1/1000)*(Irr!L12+Irr!AJ12+Irr!BH12)),IF(AND(Irr!L12&lt;&gt;".",Irr!AJ12&lt;&gt;".",Irr!BH12="."),dir!M12/((1/1000)*(Irr!L12+Irr!AJ12)),IF(AND(Irr!L12&lt;&gt;".",Irr!AJ12=".",Irr!BH12&lt;&gt;"."),dir!M12/((1/1000)*(Irr!L12+Irr!BH12)),IF(AND(Irr!L12=".",Irr!AJ12&lt;&gt;".",Irr!BH12&lt;&gt;"."),dir!M12/((1/1000)*(Irr!AJ12+Irr!BH12)),IF(AND(Irr!L12=".",Irr!AJ12=".",Irr!BH12&lt;&gt;"."),dir!M12/((1/1000)*(Irr!BH12)),IF(AND(Irr!L12=".",Irr!AJ12&lt;&gt;".",Irr!BH12="."),dir!M12/((1/1000)*(Irr!AJ12)),IF(AND(Irr!L12&lt;&gt;".",Irr!AJ12=".",Irr!BH12="."),dir!M12/((1/1000)*(Irr!L12)),IF(AND(Irr!L12=".",Irr!AJ12=".",Irr!BH12="."),dir!M12*1000)))))))),".")</f>
        <v>.</v>
      </c>
      <c r="N12" s="76" t="str">
        <f>IFERROR(IF(AND(Irr!M12&lt;&gt;".",Irr!AK12&lt;&gt;".",Irr!BI12&lt;&gt;"."),dir!N12/((1/1000)*(Irr!M12+Irr!AK12+Irr!BI12)),IF(AND(Irr!M12&lt;&gt;".",Irr!AK12&lt;&gt;".",Irr!BI12="."),dir!N12/((1/1000)*(Irr!M12+Irr!AK12)),IF(AND(Irr!M12&lt;&gt;".",Irr!AK12=".",Irr!BI12&lt;&gt;"."),dir!N12/((1/1000)*(Irr!M12+Irr!BI12)),IF(AND(Irr!M12=".",Irr!AK12&lt;&gt;".",Irr!BI12&lt;&gt;"."),dir!N12/((1/1000)*(Irr!AK12+Irr!BI12)),IF(AND(Irr!M12=".",Irr!AK12=".",Irr!BI12&lt;&gt;"."),dir!N12/((1/1000)*(Irr!BI12)),IF(AND(Irr!M12=".",Irr!AK12&lt;&gt;".",Irr!BI12="."),dir!N12/((1/1000)*(Irr!AK12)),IF(AND(Irr!M12&lt;&gt;".",Irr!AK12=".",Irr!BI12="."),dir!N12/((1/1000)*(Irr!M12)),IF(AND(Irr!M12=".",Irr!AK12=".",Irr!BI12="."),dir!N12*1000)))))))),".")</f>
        <v>.</v>
      </c>
      <c r="O12" s="76" t="str">
        <f>IFERROR(IF(AND(Irr!N12&lt;&gt;".",Irr!AL12&lt;&gt;".",Irr!BJ12&lt;&gt;"."),dir!O12/((1/1000)*(Irr!N12+Irr!AL12+Irr!BJ12)),IF(AND(Irr!N12&lt;&gt;".",Irr!AL12&lt;&gt;".",Irr!BJ12="."),dir!O12/((1/1000)*(Irr!N12+Irr!AL12)),IF(AND(Irr!N12&lt;&gt;".",Irr!AL12=".",Irr!BJ12&lt;&gt;"."),dir!O12/((1/1000)*(Irr!N12+Irr!BJ12)),IF(AND(Irr!N12=".",Irr!AL12&lt;&gt;".",Irr!BJ12&lt;&gt;"."),dir!O12/((1/1000)*(Irr!AL12+Irr!BJ12)),IF(AND(Irr!N12=".",Irr!AL12=".",Irr!BJ12&lt;&gt;"."),dir!O12/((1/1000)*(Irr!BJ12)),IF(AND(Irr!N12=".",Irr!AL12&lt;&gt;".",Irr!BJ12="."),dir!O12/((1/1000)*(Irr!AL12)),IF(AND(Irr!N12&lt;&gt;".",Irr!AL12=".",Irr!BJ12="."),dir!O12/((1/1000)*(Irr!N12)),IF(AND(Irr!N12=".",Irr!AL12=".",Irr!BJ12="."),dir!O12*1000)))))))),".")</f>
        <v>.</v>
      </c>
      <c r="P12" s="76" t="str">
        <f>IFERROR(IF(AND(Irr!O12&lt;&gt;".",Irr!AM12&lt;&gt;".",Irr!BK12&lt;&gt;"."),dir!P12/((1/1000)*(Irr!O12+Irr!AM12+Irr!BK12)),IF(AND(Irr!O12&lt;&gt;".",Irr!AM12&lt;&gt;".",Irr!BK12="."),dir!P12/((1/1000)*(Irr!O12+Irr!AM12)),IF(AND(Irr!O12&lt;&gt;".",Irr!AM12=".",Irr!BK12&lt;&gt;"."),dir!P12/((1/1000)*(Irr!O12+Irr!BK12)),IF(AND(Irr!O12=".",Irr!AM12&lt;&gt;".",Irr!BK12&lt;&gt;"."),dir!P12/((1/1000)*(Irr!AM12+Irr!BK12)),IF(AND(Irr!O12=".",Irr!AM12=".",Irr!BK12&lt;&gt;"."),dir!P12/((1/1000)*(Irr!BK12)),IF(AND(Irr!O12=".",Irr!AM12&lt;&gt;".",Irr!BK12="."),dir!P12/((1/1000)*(Irr!AM12)),IF(AND(Irr!O12&lt;&gt;".",Irr!AM12=".",Irr!BK12="."),dir!P12/((1/1000)*(Irr!O12)),IF(AND(Irr!O12=".",Irr!AM12=".",Irr!BK12="."),dir!P12*1000)))))))),".")</f>
        <v>.</v>
      </c>
      <c r="Q12" s="76" t="str">
        <f>IFERROR(IF(AND(Irr!P12&lt;&gt;".",Irr!AN12&lt;&gt;".",Irr!BL12&lt;&gt;"."),dir!Q12/((1/1000)*(Irr!P12+Irr!AN12+Irr!BL12)),IF(AND(Irr!P12&lt;&gt;".",Irr!AN12&lt;&gt;".",Irr!BL12="."),dir!Q12/((1/1000)*(Irr!P12+Irr!AN12)),IF(AND(Irr!P12&lt;&gt;".",Irr!AN12=".",Irr!BL12&lt;&gt;"."),dir!Q12/((1/1000)*(Irr!P12+Irr!BL12)),IF(AND(Irr!P12=".",Irr!AN12&lt;&gt;".",Irr!BL12&lt;&gt;"."),dir!Q12/((1/1000)*(Irr!AN12+Irr!BL12)),IF(AND(Irr!P12=".",Irr!AN12=".",Irr!BL12&lt;&gt;"."),dir!Q12/((1/1000)*(Irr!BL12)),IF(AND(Irr!P12=".",Irr!AN12&lt;&gt;".",Irr!BL12="."),dir!Q12/((1/1000)*(Irr!AN12)),IF(AND(Irr!P12&lt;&gt;".",Irr!AN12=".",Irr!BL12="."),dir!Q12/((1/1000)*(Irr!P12)),IF(AND(Irr!P12=".",Irr!AN12=".",Irr!BL12="."),dir!Q12*1000)))))))),".")</f>
        <v>.</v>
      </c>
      <c r="R12" s="76" t="str">
        <f>IFERROR(IF(AND(Irr!Q12&lt;&gt;".",Irr!AO12&lt;&gt;".",Irr!BM12&lt;&gt;"."),dir!R12/((1/1000)*(Irr!Q12+Irr!AO12+Irr!BM12)),IF(AND(Irr!Q12&lt;&gt;".",Irr!AO12&lt;&gt;".",Irr!BM12="."),dir!R12/((1/1000)*(Irr!Q12+Irr!AO12)),IF(AND(Irr!Q12&lt;&gt;".",Irr!AO12=".",Irr!BM12&lt;&gt;"."),dir!R12/((1/1000)*(Irr!Q12+Irr!BM12)),IF(AND(Irr!Q12=".",Irr!AO12&lt;&gt;".",Irr!BM12&lt;&gt;"."),dir!R12/((1/1000)*(Irr!AO12+Irr!BM12)),IF(AND(Irr!Q12=".",Irr!AO12=".",Irr!BM12&lt;&gt;"."),dir!R12/((1/1000)*(Irr!BM12)),IF(AND(Irr!Q12=".",Irr!AO12&lt;&gt;".",Irr!BM12="."),dir!R12/((1/1000)*(Irr!AO12)),IF(AND(Irr!Q12&lt;&gt;".",Irr!AO12=".",Irr!BM12="."),dir!R12/((1/1000)*(Irr!Q12)),IF(AND(Irr!Q12=".",Irr!AO12=".",Irr!BM12="."),dir!R12*1000)))))))),".")</f>
        <v>.</v>
      </c>
      <c r="S12" s="76" t="str">
        <f>IFERROR(IF(AND(Irr!R12&lt;&gt;".",Irr!AP12&lt;&gt;".",Irr!BN12&lt;&gt;"."),dir!S12/((1/1000)*(Irr!R12+Irr!AP12+Irr!BN12)),IF(AND(Irr!R12&lt;&gt;".",Irr!AP12&lt;&gt;".",Irr!BN12="."),dir!S12/((1/1000)*(Irr!R12+Irr!AP12)),IF(AND(Irr!R12&lt;&gt;".",Irr!AP12=".",Irr!BN12&lt;&gt;"."),dir!S12/((1/1000)*(Irr!R12+Irr!BN12)),IF(AND(Irr!R12=".",Irr!AP12&lt;&gt;".",Irr!BN12&lt;&gt;"."),dir!S12/((1/1000)*(Irr!AP12+Irr!BN12)),IF(AND(Irr!R12=".",Irr!AP12=".",Irr!BN12&lt;&gt;"."),dir!S12/((1/1000)*(Irr!BN12)),IF(AND(Irr!R12=".",Irr!AP12&lt;&gt;".",Irr!BN12="."),dir!S12/((1/1000)*(Irr!AP12)),IF(AND(Irr!R12&lt;&gt;".",Irr!AP12=".",Irr!BN12="."),dir!S12/((1/1000)*(Irr!R12)),IF(AND(Irr!R12=".",Irr!AP12=".",Irr!BN12="."),dir!S12*1000)))))))),".")</f>
        <v>.</v>
      </c>
      <c r="T12" s="76" t="str">
        <f>IFERROR(IF(AND(Irr!S12&lt;&gt;".",Irr!AQ12&lt;&gt;".",Irr!BO12&lt;&gt;"."),dir!T12/((1/1000)*(Irr!S12+Irr!AQ12+Irr!BO12)),IF(AND(Irr!S12&lt;&gt;".",Irr!AQ12&lt;&gt;".",Irr!BO12="."),dir!T12/((1/1000)*(Irr!S12+Irr!AQ12)),IF(AND(Irr!S12&lt;&gt;".",Irr!AQ12=".",Irr!BO12&lt;&gt;"."),dir!T12/((1/1000)*(Irr!S12+Irr!BO12)),IF(AND(Irr!S12=".",Irr!AQ12&lt;&gt;".",Irr!BO12&lt;&gt;"."),dir!T12/((1/1000)*(Irr!AQ12+Irr!BO12)),IF(AND(Irr!S12=".",Irr!AQ12=".",Irr!BO12&lt;&gt;"."),dir!T12/((1/1000)*(Irr!BO12)),IF(AND(Irr!S12=".",Irr!AQ12&lt;&gt;".",Irr!BO12="."),dir!T12/((1/1000)*(Irr!AQ12)),IF(AND(Irr!S12&lt;&gt;".",Irr!AQ12=".",Irr!BO12="."),dir!T12/((1/1000)*(Irr!S12)),IF(AND(Irr!S12=".",Irr!AQ12=".",Irr!BO12="."),dir!T12*1000)))))))),".")</f>
        <v>.</v>
      </c>
      <c r="U12" s="76" t="str">
        <f>IFERROR(IF(AND(Irr!T12&lt;&gt;".",Irr!AR12&lt;&gt;".",Irr!BP12&lt;&gt;"."),dir!U12/((1/1000)*(Irr!T12+Irr!AR12+Irr!BP12)),IF(AND(Irr!T12&lt;&gt;".",Irr!AR12&lt;&gt;".",Irr!BP12="."),dir!U12/((1/1000)*(Irr!T12+Irr!AR12)),IF(AND(Irr!T12&lt;&gt;".",Irr!AR12=".",Irr!BP12&lt;&gt;"."),dir!U12/((1/1000)*(Irr!T12+Irr!BP12)),IF(AND(Irr!T12=".",Irr!AR12&lt;&gt;".",Irr!BP12&lt;&gt;"."),dir!U12/((1/1000)*(Irr!AR12+Irr!BP12)),IF(AND(Irr!T12=".",Irr!AR12=".",Irr!BP12&lt;&gt;"."),dir!U12/((1/1000)*(Irr!BP12)),IF(AND(Irr!T12=".",Irr!AR12&lt;&gt;".",Irr!BP12="."),dir!U12/((1/1000)*(Irr!AR12)),IF(AND(Irr!T12&lt;&gt;".",Irr!AR12=".",Irr!BP12="."),dir!U12/((1/1000)*(Irr!T12)),IF(AND(Irr!T12=".",Irr!AR12=".",Irr!BP12="."),dir!U12*1000)))))))),".")</f>
        <v>.</v>
      </c>
      <c r="V12" s="76" t="str">
        <f>IFERROR(IF(AND(Irr!U12&lt;&gt;".",Irr!AS12&lt;&gt;".",Irr!BQ12&lt;&gt;"."),dir!V12/((1/1000)*(Irr!U12+Irr!AS12+Irr!BQ12)),IF(AND(Irr!U12&lt;&gt;".",Irr!AS12&lt;&gt;".",Irr!BQ12="."),dir!V12/((1/1000)*(Irr!U12+Irr!AS12)),IF(AND(Irr!U12&lt;&gt;".",Irr!AS12=".",Irr!BQ12&lt;&gt;"."),dir!V12/((1/1000)*(Irr!U12+Irr!BQ12)),IF(AND(Irr!U12=".",Irr!AS12&lt;&gt;".",Irr!BQ12&lt;&gt;"."),dir!V12/((1/1000)*(Irr!AS12+Irr!BQ12)),IF(AND(Irr!U12=".",Irr!AS12=".",Irr!BQ12&lt;&gt;"."),dir!V12/((1/1000)*(Irr!BQ12)),IF(AND(Irr!U12=".",Irr!AS12&lt;&gt;".",Irr!BQ12="."),dir!V12/((1/1000)*(Irr!AS12)),IF(AND(Irr!U12&lt;&gt;".",Irr!AS12=".",Irr!BQ12="."),dir!V12/((1/1000)*(Irr!U12)),IF(AND(Irr!U12=".",Irr!AS12=".",Irr!BQ12="."),dir!V12*1000)))))))),".")</f>
        <v>.</v>
      </c>
      <c r="W12" s="76" t="str">
        <f>IFERROR(IF(AND(Irr!V12&lt;&gt;".",Irr!AT12&lt;&gt;".",Irr!BR12&lt;&gt;"."),dir!W12/((1/1000)*(Irr!V12+Irr!AT12+Irr!BR12)),IF(AND(Irr!V12&lt;&gt;".",Irr!AT12&lt;&gt;".",Irr!BR12="."),dir!W12/((1/1000)*(Irr!V12+Irr!AT12)),IF(AND(Irr!V12&lt;&gt;".",Irr!AT12=".",Irr!BR12&lt;&gt;"."),dir!W12/((1/1000)*(Irr!V12+Irr!BR12)),IF(AND(Irr!V12=".",Irr!AT12&lt;&gt;".",Irr!BR12&lt;&gt;"."),dir!W12/((1/1000)*(Irr!AT12+Irr!BR12)),IF(AND(Irr!V12=".",Irr!AT12=".",Irr!BR12&lt;&gt;"."),dir!W12/((1/1000)*(Irr!BR12)),IF(AND(Irr!V12=".",Irr!AT12&lt;&gt;".",Irr!BR12="."),dir!W12/((1/1000)*(Irr!AT12)),IF(AND(Irr!V12&lt;&gt;".",Irr!AT12=".",Irr!BR12="."),dir!W12/((1/1000)*(Irr!V12)),IF(AND(Irr!V12=".",Irr!AT12=".",Irr!BR12="."),dir!W12*1000)))))))),".")</f>
        <v>.</v>
      </c>
      <c r="X12" s="76" t="str">
        <f>IFERROR(IF(AND(Irr!W12&lt;&gt;".",Irr!AU12&lt;&gt;".",Irr!BS12&lt;&gt;"."),dir!X12/((1/1000)*(Irr!W12+Irr!AU12+Irr!BS12)),IF(AND(Irr!W12&lt;&gt;".",Irr!AU12&lt;&gt;".",Irr!BS12="."),dir!X12/((1/1000)*(Irr!W12+Irr!AU12)),IF(AND(Irr!W12&lt;&gt;".",Irr!AU12=".",Irr!BS12&lt;&gt;"."),dir!X12/((1/1000)*(Irr!W12+Irr!BS12)),IF(AND(Irr!W12=".",Irr!AU12&lt;&gt;".",Irr!BS12&lt;&gt;"."),dir!X12/((1/1000)*(Irr!AU12+Irr!BS12)),IF(AND(Irr!W12=".",Irr!AU12=".",Irr!BS12&lt;&gt;"."),dir!X12/((1/1000)*(Irr!BS12)),IF(AND(Irr!W12=".",Irr!AU12&lt;&gt;".",Irr!BS12="."),dir!X12/((1/1000)*(Irr!AU12)),IF(AND(Irr!W12&lt;&gt;".",Irr!AU12=".",Irr!BS12="."),dir!X12/((1/1000)*(Irr!W12)),IF(AND(Irr!W12=".",Irr!AU12=".",Irr!BS12="."),dir!X12*1000)))))))),".")</f>
        <v>.</v>
      </c>
      <c r="Y12" s="76" t="str">
        <f>IFERROR(IF(AND(Irr!X12&lt;&gt;".",Irr!AV12&lt;&gt;".",Irr!BT12&lt;&gt;"."),dir!Y12/((1/1000)*(Irr!X12+Irr!AV12+Irr!BT12)),IF(AND(Irr!X12&lt;&gt;".",Irr!AV12&lt;&gt;".",Irr!BT12="."),dir!Y12/((1/1000)*(Irr!X12+Irr!AV12)),IF(AND(Irr!X12&lt;&gt;".",Irr!AV12=".",Irr!BT12&lt;&gt;"."),dir!Y12/((1/1000)*(Irr!X12+Irr!BT12)),IF(AND(Irr!X12=".",Irr!AV12&lt;&gt;".",Irr!BT12&lt;&gt;"."),dir!Y12/((1/1000)*(Irr!AV12+Irr!BT12)),IF(AND(Irr!X12=".",Irr!AV12=".",Irr!BT12&lt;&gt;"."),dir!Y12/((1/1000)*(Irr!BT12)),IF(AND(Irr!X12=".",Irr!AV12&lt;&gt;".",Irr!BT12="."),dir!Y12/((1/1000)*(Irr!AV12)),IF(AND(Irr!X12&lt;&gt;".",Irr!AV12=".",Irr!BT12="."),dir!Y12/((1/1000)*(Irr!X12)),IF(AND(Irr!X12=".",Irr!AV12=".",Irr!BT12="."),dir!Y12*1000)))))))),".")</f>
        <v>.</v>
      </c>
      <c r="Z12" s="76" t="str">
        <f>IFERROR(IF(AND(Irr!Y12&lt;&gt;".",Irr!AW12&lt;&gt;".",Irr!BU12&lt;&gt;"."),dir!Z12/((1/1000)*(Irr!Y12+Irr!AW12+Irr!BU12)),IF(AND(Irr!Y12&lt;&gt;".",Irr!AW12&lt;&gt;".",Irr!BU12="."),dir!Z12/((1/1000)*(Irr!Y12+Irr!AW12)),IF(AND(Irr!Y12&lt;&gt;".",Irr!AW12=".",Irr!BU12&lt;&gt;"."),dir!Z12/((1/1000)*(Irr!Y12+Irr!BU12)),IF(AND(Irr!Y12=".",Irr!AW12&lt;&gt;".",Irr!BU12&lt;&gt;"."),dir!Z12/((1/1000)*(Irr!AW12+Irr!BU12)),IF(AND(Irr!Y12=".",Irr!AW12=".",Irr!BU12&lt;&gt;"."),dir!Z12/((1/1000)*(Irr!BU12)),IF(AND(Irr!Y12=".",Irr!AW12&lt;&gt;".",Irr!BU12="."),dir!Z12/((1/1000)*(Irr!AW12)),IF(AND(Irr!Y12&lt;&gt;".",Irr!AW12=".",Irr!BU12="."),dir!Z12/((1/1000)*(Irr!Y12)),IF(AND(Irr!Y12=".",Irr!AW12=".",Irr!BU12="."),dir!Z12*1000)))))))),".")</f>
        <v>.</v>
      </c>
      <c r="AA12" s="76" t="str">
        <f>IFERROR(IF(AND(Irr!Z12&lt;&gt;".",Irr!AX12&lt;&gt;".",Irr!BV12&lt;&gt;"."),dir!AA12/((1/1000)*(Irr!Z12+Irr!AX12+Irr!BV12)),IF(AND(Irr!Z12&lt;&gt;".",Irr!AX12&lt;&gt;".",Irr!BV12="."),dir!AA12/((1/1000)*(Irr!Z12+Irr!AX12)),IF(AND(Irr!Z12&lt;&gt;".",Irr!AX12=".",Irr!BV12&lt;&gt;"."),dir!AA12/((1/1000)*(Irr!Z12+Irr!BV12)),IF(AND(Irr!Z12=".",Irr!AX12&lt;&gt;".",Irr!BV12&lt;&gt;"."),dir!AA12/((1/1000)*(Irr!AX12+Irr!BV12)),IF(AND(Irr!Z12=".",Irr!AX12=".",Irr!BV12&lt;&gt;"."),dir!AA12/((1/1000)*(Irr!BV12)),IF(AND(Irr!Z12=".",Irr!AX12&lt;&gt;".",Irr!BV12="."),dir!AA12/((1/1000)*(Irr!AX12)),IF(AND(Irr!Z12&lt;&gt;".",Irr!AX12=".",Irr!BV12="."),dir!AA12/((1/1000)*(Irr!Z12)),IF(AND(Irr!Z12=".",Irr!AX12=".",Irr!BV12="."),dir!AA12*1000)))))))),".")</f>
        <v>.</v>
      </c>
      <c r="AB12" s="76" t="str">
        <f t="shared" ref="AB12" si="11">IFERROR(1/SUM(1/AC12,1/AD12,1/AE12,1/AF12,1/AG12,1/AH12,1/AI12,1/AJ12,1/AK12,1/AL12,1/AM12,1/AN12,1/AO12,1/AP12,1/AQ12,1/AR12,1/AS12,1/AT12,1/AU12,1/AV12,1/AW12,1/AX12),".")</f>
        <v>.</v>
      </c>
      <c r="AC12" s="76" t="str">
        <f>IFERROR(IF(AND(Irr!C12&lt;&gt;".",Irr!AA12&lt;&gt;".",Irr!AY12&lt;&gt;"."),dir!AC12/((1/1000)*(Irr!C12+Irr!AA12+Irr!AY12)),IF(AND(Irr!C12&lt;&gt;".",Irr!AA12&lt;&gt;".",Irr!AY12="."),dir!AC12/((1/1000)*(Irr!C12+Irr!AA12)),IF(AND(Irr!C12&lt;&gt;".",Irr!AA12=".",Irr!AY12&lt;&gt;"."),dir!AC12/((1/1000)*(Irr!C12+Irr!AY12)),IF(AND(Irr!C12=".",Irr!AA12&lt;&gt;".",Irr!AY12&lt;&gt;"."),dir!AC12/((1/1000)*(Irr!AA12+Irr!AY12)),IF(AND(Irr!C12=".",Irr!AA12=".",Irr!AY12&lt;&gt;"."),dir!AC12/((1/1000)*(Irr!AY12)),IF(AND(Irr!C12=".",Irr!AA12&lt;&gt;".",Irr!AY12="."),dir!AC12/((1/1000)*(Irr!AA12)),IF(AND(Irr!C12&lt;&gt;".",Irr!AA12=".",Irr!AY12="."),dir!AC12/((1/1000)*(Irr!C12)),IF(AND(Irr!C12=".",Irr!AA12=".",Irr!AY12="."),dir!AC12*1000)))))))),".")</f>
        <v>.</v>
      </c>
      <c r="AD12" s="76" t="str">
        <f>IFERROR(IF(AND(Irr!D12&lt;&gt;".",Irr!AB12&lt;&gt;".",Irr!AZ12&lt;&gt;"."),dir!AD12/((1/1000)*(Irr!D12+Irr!AB12+Irr!AZ12)),IF(AND(Irr!D12&lt;&gt;".",Irr!AB12&lt;&gt;".",Irr!AZ12="."),dir!AD12/((1/1000)*(Irr!D12+Irr!AB12)),IF(AND(Irr!D12&lt;&gt;".",Irr!AB12=".",Irr!AZ12&lt;&gt;"."),dir!AD12/((1/1000)*(Irr!D12+Irr!AZ12)),IF(AND(Irr!D12=".",Irr!AB12&lt;&gt;".",Irr!AZ12&lt;&gt;"."),dir!AD12/((1/1000)*(Irr!AB12+Irr!AZ12)),IF(AND(Irr!D12=".",Irr!AB12=".",Irr!AZ12&lt;&gt;"."),dir!AD12/((1/1000)*(Irr!AZ12)),IF(AND(Irr!D12=".",Irr!AB12&lt;&gt;".",Irr!AZ12="."),dir!AD12/((1/1000)*(Irr!AB12)),IF(AND(Irr!D12&lt;&gt;".",Irr!AB12=".",Irr!AZ12="."),dir!AD12/((1/1000)*(Irr!D12)),IF(AND(Irr!D12=".",Irr!AB12=".",Irr!AZ12="."),dir!AD12*1000)))))))),".")</f>
        <v>.</v>
      </c>
      <c r="AE12" s="76" t="str">
        <f>IFERROR(IF(AND(Irr!E12&lt;&gt;".",Irr!AC12&lt;&gt;".",Irr!BA12&lt;&gt;"."),dir!AE12/((1/1000)*(Irr!E12+Irr!AC12+Irr!BA12)),IF(AND(Irr!E12&lt;&gt;".",Irr!AC12&lt;&gt;".",Irr!BA12="."),dir!AE12/((1/1000)*(Irr!E12+Irr!AC12)),IF(AND(Irr!E12&lt;&gt;".",Irr!AC12=".",Irr!BA12&lt;&gt;"."),dir!AE12/((1/1000)*(Irr!E12+Irr!BA12)),IF(AND(Irr!E12=".",Irr!AC12&lt;&gt;".",Irr!BA12&lt;&gt;"."),dir!AE12/((1/1000)*(Irr!AC12+Irr!BA12)),IF(AND(Irr!E12=".",Irr!AC12=".",Irr!BA12&lt;&gt;"."),dir!AE12/((1/1000)*(Irr!BA12)),IF(AND(Irr!E12=".",Irr!AC12&lt;&gt;".",Irr!BA12="."),dir!AE12/((1/1000)*(Irr!AC12)),IF(AND(Irr!E12&lt;&gt;".",Irr!AC12=".",Irr!BA12="."),dir!AE12/((1/1000)*(Irr!E12)),IF(AND(Irr!E12=".",Irr!AC12=".",Irr!BA12="."),dir!AE12*1000)))))))),".")</f>
        <v>.</v>
      </c>
      <c r="AF12" s="76" t="str">
        <f>IFERROR(IF(AND(Irr!F12&lt;&gt;".",Irr!AD12&lt;&gt;".",Irr!BB12&lt;&gt;"."),dir!AF12/((1/1000)*(Irr!F12+Irr!AD12+Irr!BB12)),IF(AND(Irr!F12&lt;&gt;".",Irr!AD12&lt;&gt;".",Irr!BB12="."),dir!AF12/((1/1000)*(Irr!F12+Irr!AD12)),IF(AND(Irr!F12&lt;&gt;".",Irr!AD12=".",Irr!BB12&lt;&gt;"."),dir!AF12/((1/1000)*(Irr!F12+Irr!BB12)),IF(AND(Irr!F12=".",Irr!AD12&lt;&gt;".",Irr!BB12&lt;&gt;"."),dir!AF12/((1/1000)*(Irr!AD12+Irr!BB12)),IF(AND(Irr!F12=".",Irr!AD12=".",Irr!BB12&lt;&gt;"."),dir!AF12/((1/1000)*(Irr!BB12)),IF(AND(Irr!F12=".",Irr!AD12&lt;&gt;".",Irr!BB12="."),dir!AF12/((1/1000)*(Irr!AD12)),IF(AND(Irr!F12&lt;&gt;".",Irr!AD12=".",Irr!BB12="."),dir!AF12/((1/1000)*(Irr!F12)),IF(AND(Irr!F12=".",Irr!AD12=".",Irr!BB12="."),dir!AF12*1000)))))))),".")</f>
        <v>.</v>
      </c>
      <c r="AG12" s="76" t="str">
        <f>IFERROR(IF(AND(Irr!G12&lt;&gt;".",Irr!AE12&lt;&gt;".",Irr!BC12&lt;&gt;"."),dir!AG12/((1/1000)*(Irr!G12+Irr!AE12+Irr!BC12)),IF(AND(Irr!G12&lt;&gt;".",Irr!AE12&lt;&gt;".",Irr!BC12="."),dir!AG12/((1/1000)*(Irr!G12+Irr!AE12)),IF(AND(Irr!G12&lt;&gt;".",Irr!AE12=".",Irr!BC12&lt;&gt;"."),dir!AG12/((1/1000)*(Irr!G12+Irr!BC12)),IF(AND(Irr!G12=".",Irr!AE12&lt;&gt;".",Irr!BC12&lt;&gt;"."),dir!AG12/((1/1000)*(Irr!AE12+Irr!BC12)),IF(AND(Irr!G12=".",Irr!AE12=".",Irr!BC12&lt;&gt;"."),dir!AG12/((1/1000)*(Irr!BC12)),IF(AND(Irr!G12=".",Irr!AE12&lt;&gt;".",Irr!BC12="."),dir!AG12/((1/1000)*(Irr!AE12)),IF(AND(Irr!G12&lt;&gt;".",Irr!AE12=".",Irr!BC12="."),dir!AG12/((1/1000)*(Irr!G12)),IF(AND(Irr!G12=".",Irr!AE12=".",Irr!BC12="."),dir!AG12*1000)))))))),".")</f>
        <v>.</v>
      </c>
      <c r="AH12" s="76" t="str">
        <f>IFERROR(IF(AND(Irr!H12&lt;&gt;".",Irr!AF12&lt;&gt;".",Irr!BD12&lt;&gt;"."),dir!AH12/((1/1000)*(Irr!H12+Irr!AF12+Irr!BD12)),IF(AND(Irr!H12&lt;&gt;".",Irr!AF12&lt;&gt;".",Irr!BD12="."),dir!AH12/((1/1000)*(Irr!H12+Irr!AF12)),IF(AND(Irr!H12&lt;&gt;".",Irr!AF12=".",Irr!BD12&lt;&gt;"."),dir!AH12/((1/1000)*(Irr!H12+Irr!BD12)),IF(AND(Irr!H12=".",Irr!AF12&lt;&gt;".",Irr!BD12&lt;&gt;"."),dir!AH12/((1/1000)*(Irr!AF12+Irr!BD12)),IF(AND(Irr!H12=".",Irr!AF12=".",Irr!BD12&lt;&gt;"."),dir!AH12/((1/1000)*(Irr!BD12)),IF(AND(Irr!H12=".",Irr!AF12&lt;&gt;".",Irr!BD12="."),dir!AH12/((1/1000)*(Irr!AF12)),IF(AND(Irr!H12&lt;&gt;".",Irr!AF12=".",Irr!BD12="."),dir!AH12/((1/1000)*(Irr!H12)),IF(AND(Irr!H12=".",Irr!AF12=".",Irr!BD12="."),dir!AH12*1000)))))))),".")</f>
        <v>.</v>
      </c>
      <c r="AI12" s="76" t="str">
        <f>IFERROR(IF(AND(Irr!I12&lt;&gt;".",Irr!AG12&lt;&gt;".",Irr!BE12&lt;&gt;"."),dir!AI12/((1/1000)*(Irr!I12+Irr!AG12+Irr!BE12)),IF(AND(Irr!I12&lt;&gt;".",Irr!AG12&lt;&gt;".",Irr!BE12="."),dir!AI12/((1/1000)*(Irr!I12+Irr!AG12)),IF(AND(Irr!I12&lt;&gt;".",Irr!AG12=".",Irr!BE12&lt;&gt;"."),dir!AI12/((1/1000)*(Irr!I12+Irr!BE12)),IF(AND(Irr!I12=".",Irr!AG12&lt;&gt;".",Irr!BE12&lt;&gt;"."),dir!AI12/((1/1000)*(Irr!AG12+Irr!BE12)),IF(AND(Irr!I12=".",Irr!AG12=".",Irr!BE12&lt;&gt;"."),dir!AI12/((1/1000)*(Irr!BE12)),IF(AND(Irr!I12=".",Irr!AG12&lt;&gt;".",Irr!BE12="."),dir!AI12/((1/1000)*(Irr!AG12)),IF(AND(Irr!I12&lt;&gt;".",Irr!AG12=".",Irr!BE12="."),dir!AI12/((1/1000)*(Irr!I12)),IF(AND(Irr!I12=".",Irr!AG12=".",Irr!BE12="."),dir!AI12*1000)))))))),".")</f>
        <v>.</v>
      </c>
      <c r="AJ12" s="76" t="str">
        <f>IFERROR(IF(AND(Irr!J12&lt;&gt;".",Irr!AH12&lt;&gt;".",Irr!BF12&lt;&gt;"."),dir!AJ12/((1/1000)*(Irr!J12+Irr!AH12+Irr!BF12)),IF(AND(Irr!J12&lt;&gt;".",Irr!AH12&lt;&gt;".",Irr!BF12="."),dir!AJ12/((1/1000)*(Irr!J12+Irr!AH12)),IF(AND(Irr!J12&lt;&gt;".",Irr!AH12=".",Irr!BF12&lt;&gt;"."),dir!AJ12/((1/1000)*(Irr!J12+Irr!BF12)),IF(AND(Irr!J12=".",Irr!AH12&lt;&gt;".",Irr!BF12&lt;&gt;"."),dir!AJ12/((1/1000)*(Irr!AH12+Irr!BF12)),IF(AND(Irr!J12=".",Irr!AH12=".",Irr!BF12&lt;&gt;"."),dir!AJ12/((1/1000)*(Irr!BF12)),IF(AND(Irr!J12=".",Irr!AH12&lt;&gt;".",Irr!BF12="."),dir!AJ12/((1/1000)*(Irr!AH12)),IF(AND(Irr!J12&lt;&gt;".",Irr!AH12=".",Irr!BF12="."),dir!AJ12/((1/1000)*(Irr!J12)),IF(AND(Irr!J12=".",Irr!AH12=".",Irr!BF12="."),dir!AJ12*1000)))))))),".")</f>
        <v>.</v>
      </c>
      <c r="AK12" s="76" t="str">
        <f>IFERROR(IF(AND(Irr!K12&lt;&gt;".",Irr!AI12&lt;&gt;".",Irr!BG12&lt;&gt;"."),dir!AK12/((1/1000)*(Irr!K12+Irr!AI12+Irr!BG12)),IF(AND(Irr!K12&lt;&gt;".",Irr!AI12&lt;&gt;".",Irr!BG12="."),dir!AK12/((1/1000)*(Irr!K12+Irr!AI12)),IF(AND(Irr!K12&lt;&gt;".",Irr!AI12=".",Irr!BG12&lt;&gt;"."),dir!AK12/((1/1000)*(Irr!K12+Irr!BG12)),IF(AND(Irr!K12=".",Irr!AI12&lt;&gt;".",Irr!BG12&lt;&gt;"."),dir!AK12/((1/1000)*(Irr!AI12+Irr!BG12)),IF(AND(Irr!K12=".",Irr!AI12=".",Irr!BG12&lt;&gt;"."),dir!AK12/((1/1000)*(Irr!BG12)),IF(AND(Irr!K12=".",Irr!AI12&lt;&gt;".",Irr!BG12="."),dir!AK12/((1/1000)*(Irr!AI12)),IF(AND(Irr!K12&lt;&gt;".",Irr!AI12=".",Irr!BG12="."),dir!AK12/((1/1000)*(Irr!K12)),IF(AND(Irr!K12=".",Irr!AI12=".",Irr!BG12="."),dir!AK12*1000)))))))),".")</f>
        <v>.</v>
      </c>
      <c r="AL12" s="76" t="str">
        <f>IFERROR(IF(AND(Irr!L12&lt;&gt;".",Irr!AJ12&lt;&gt;".",Irr!BH12&lt;&gt;"."),dir!AL12/((1/1000)*(Irr!L12+Irr!AJ12+Irr!BH12)),IF(AND(Irr!L12&lt;&gt;".",Irr!AJ12&lt;&gt;".",Irr!BH12="."),dir!AL12/((1/1000)*(Irr!L12+Irr!AJ12)),IF(AND(Irr!L12&lt;&gt;".",Irr!AJ12=".",Irr!BH12&lt;&gt;"."),dir!AL12/((1/1000)*(Irr!L12+Irr!BH12)),IF(AND(Irr!L12=".",Irr!AJ12&lt;&gt;".",Irr!BH12&lt;&gt;"."),dir!AL12/((1/1000)*(Irr!AJ12+Irr!BH12)),IF(AND(Irr!L12=".",Irr!AJ12=".",Irr!BH12&lt;&gt;"."),dir!AL12/((1/1000)*(Irr!BH12)),IF(AND(Irr!L12=".",Irr!AJ12&lt;&gt;".",Irr!BH12="."),dir!AL12/((1/1000)*(Irr!AJ12)),IF(AND(Irr!L12&lt;&gt;".",Irr!AJ12=".",Irr!BH12="."),dir!AL12/((1/1000)*(Irr!L12)),IF(AND(Irr!L12=".",Irr!AJ12=".",Irr!BH12="."),dir!AL12*1000)))))))),".")</f>
        <v>.</v>
      </c>
      <c r="AM12" s="76" t="str">
        <f>IFERROR(IF(AND(Irr!M12&lt;&gt;".",Irr!AK12&lt;&gt;".",Irr!BI12&lt;&gt;"."),dir!AM12/((1/1000)*(Irr!M12+Irr!AK12+Irr!BI12)),IF(AND(Irr!M12&lt;&gt;".",Irr!AK12&lt;&gt;".",Irr!BI12="."),dir!AM12/((1/1000)*(Irr!M12+Irr!AK12)),IF(AND(Irr!M12&lt;&gt;".",Irr!AK12=".",Irr!BI12&lt;&gt;"."),dir!AM12/((1/1000)*(Irr!M12+Irr!BI12)),IF(AND(Irr!M12=".",Irr!AK12&lt;&gt;".",Irr!BI12&lt;&gt;"."),dir!AM12/((1/1000)*(Irr!AK12+Irr!BI12)),IF(AND(Irr!M12=".",Irr!AK12=".",Irr!BI12&lt;&gt;"."),dir!AM12/((1/1000)*(Irr!BI12)),IF(AND(Irr!M12=".",Irr!AK12&lt;&gt;".",Irr!BI12="."),dir!AM12/((1/1000)*(Irr!AK12)),IF(AND(Irr!M12&lt;&gt;".",Irr!AK12=".",Irr!BI12="."),dir!AM12/((1/1000)*(Irr!M12)),IF(AND(Irr!M12=".",Irr!AK12=".",Irr!BI12="."),dir!AM12*1000)))))))),".")</f>
        <v>.</v>
      </c>
      <c r="AN12" s="76" t="str">
        <f>IFERROR(IF(AND(Irr!N12&lt;&gt;".",Irr!AL12&lt;&gt;".",Irr!BJ12&lt;&gt;"."),dir!AN12/((1/1000)*(Irr!N12+Irr!AL12+Irr!BJ12)),IF(AND(Irr!N12&lt;&gt;".",Irr!AL12&lt;&gt;".",Irr!BJ12="."),dir!AN12/((1/1000)*(Irr!N12+Irr!AL12)),IF(AND(Irr!N12&lt;&gt;".",Irr!AL12=".",Irr!BJ12&lt;&gt;"."),dir!AN12/((1/1000)*(Irr!N12+Irr!BJ12)),IF(AND(Irr!N12=".",Irr!AL12&lt;&gt;".",Irr!BJ12&lt;&gt;"."),dir!AN12/((1/1000)*(Irr!AL12+Irr!BJ12)),IF(AND(Irr!N12=".",Irr!AL12=".",Irr!BJ12&lt;&gt;"."),dir!AN12/((1/1000)*(Irr!BJ12)),IF(AND(Irr!N12=".",Irr!AL12&lt;&gt;".",Irr!BJ12="."),dir!AN12/((1/1000)*(Irr!AL12)),IF(AND(Irr!N12&lt;&gt;".",Irr!AL12=".",Irr!BJ12="."),dir!AN12/((1/1000)*(Irr!N12)),IF(AND(Irr!N12=".",Irr!AL12=".",Irr!BJ12="."),dir!AN12*1000)))))))),".")</f>
        <v>.</v>
      </c>
      <c r="AO12" s="76" t="str">
        <f>IFERROR(IF(AND(Irr!O12&lt;&gt;".",Irr!AM12&lt;&gt;".",Irr!BK12&lt;&gt;"."),dir!AO12/((1/1000)*(Irr!O12+Irr!AM12+Irr!BK12)),IF(AND(Irr!O12&lt;&gt;".",Irr!AM12&lt;&gt;".",Irr!BK12="."),dir!AO12/((1/1000)*(Irr!O12+Irr!AM12)),IF(AND(Irr!O12&lt;&gt;".",Irr!AM12=".",Irr!BK12&lt;&gt;"."),dir!AO12/((1/1000)*(Irr!O12+Irr!BK12)),IF(AND(Irr!O12=".",Irr!AM12&lt;&gt;".",Irr!BK12&lt;&gt;"."),dir!AO12/((1/1000)*(Irr!AM12+Irr!BK12)),IF(AND(Irr!O12=".",Irr!AM12=".",Irr!BK12&lt;&gt;"."),dir!AO12/((1/1000)*(Irr!BK12)),IF(AND(Irr!O12=".",Irr!AM12&lt;&gt;".",Irr!BK12="."),dir!AO12/((1/1000)*(Irr!AM12)),IF(AND(Irr!O12&lt;&gt;".",Irr!AM12=".",Irr!BK12="."),dir!AO12/((1/1000)*(Irr!O12)),IF(AND(Irr!O12=".",Irr!AM12=".",Irr!BK12="."),dir!AO12*1000)))))))),".")</f>
        <v>.</v>
      </c>
      <c r="AP12" s="76" t="str">
        <f>IFERROR(IF(AND(Irr!P12&lt;&gt;".",Irr!AN12&lt;&gt;".",Irr!BL12&lt;&gt;"."),dir!AP12/((1/1000)*(Irr!P12+Irr!AN12+Irr!BL12)),IF(AND(Irr!P12&lt;&gt;".",Irr!AN12&lt;&gt;".",Irr!BL12="."),dir!AP12/((1/1000)*(Irr!P12+Irr!AN12)),IF(AND(Irr!P12&lt;&gt;".",Irr!AN12=".",Irr!BL12&lt;&gt;"."),dir!AP12/((1/1000)*(Irr!P12+Irr!BL12)),IF(AND(Irr!P12=".",Irr!AN12&lt;&gt;".",Irr!BL12&lt;&gt;"."),dir!AP12/((1/1000)*(Irr!AN12+Irr!BL12)),IF(AND(Irr!P12=".",Irr!AN12=".",Irr!BL12&lt;&gt;"."),dir!AP12/((1/1000)*(Irr!BL12)),IF(AND(Irr!P12=".",Irr!AN12&lt;&gt;".",Irr!BL12="."),dir!AP12/((1/1000)*(Irr!AN12)),IF(AND(Irr!P12&lt;&gt;".",Irr!AN12=".",Irr!BL12="."),dir!AP12/((1/1000)*(Irr!P12)),IF(AND(Irr!P12=".",Irr!AN12=".",Irr!BL12="."),dir!AP12*1000)))))))),".")</f>
        <v>.</v>
      </c>
      <c r="AQ12" s="76" t="str">
        <f>IFERROR(IF(AND(Irr!Q12&lt;&gt;".",Irr!AO12&lt;&gt;".",Irr!BM12&lt;&gt;"."),dir!AQ12/((1/1000)*(Irr!Q12+Irr!AO12+Irr!BM12)),IF(AND(Irr!Q12&lt;&gt;".",Irr!AO12&lt;&gt;".",Irr!BM12="."),dir!AQ12/((1/1000)*(Irr!Q12+Irr!AO12)),IF(AND(Irr!Q12&lt;&gt;".",Irr!AO12=".",Irr!BM12&lt;&gt;"."),dir!AQ12/((1/1000)*(Irr!Q12+Irr!BM12)),IF(AND(Irr!Q12=".",Irr!AO12&lt;&gt;".",Irr!BM12&lt;&gt;"."),dir!AQ12/((1/1000)*(Irr!AO12+Irr!BM12)),IF(AND(Irr!Q12=".",Irr!AO12=".",Irr!BM12&lt;&gt;"."),dir!AQ12/((1/1000)*(Irr!BM12)),IF(AND(Irr!Q12=".",Irr!AO12&lt;&gt;".",Irr!BM12="."),dir!AQ12/((1/1000)*(Irr!AO12)),IF(AND(Irr!Q12&lt;&gt;".",Irr!AO12=".",Irr!BM12="."),dir!AQ12/((1/1000)*(Irr!Q12)),IF(AND(Irr!Q12=".",Irr!AO12=".",Irr!BM12="."),dir!AQ12*1000)))))))),".")</f>
        <v>.</v>
      </c>
      <c r="AR12" s="76" t="str">
        <f>IFERROR(IF(AND(Irr!R12&lt;&gt;".",Irr!AP12&lt;&gt;".",Irr!BN12&lt;&gt;"."),dir!AR12/((1/1000)*(Irr!R12+Irr!AP12+Irr!BN12)),IF(AND(Irr!R12&lt;&gt;".",Irr!AP12&lt;&gt;".",Irr!BN12="."),dir!AR12/((1/1000)*(Irr!R12+Irr!AP12)),IF(AND(Irr!R12&lt;&gt;".",Irr!AP12=".",Irr!BN12&lt;&gt;"."),dir!AR12/((1/1000)*(Irr!R12+Irr!BN12)),IF(AND(Irr!R12=".",Irr!AP12&lt;&gt;".",Irr!BN12&lt;&gt;"."),dir!AR12/((1/1000)*(Irr!AP12+Irr!BN12)),IF(AND(Irr!R12=".",Irr!AP12=".",Irr!BN12&lt;&gt;"."),dir!AR12/((1/1000)*(Irr!BN12)),IF(AND(Irr!R12=".",Irr!AP12&lt;&gt;".",Irr!BN12="."),dir!AR12/((1/1000)*(Irr!AP12)),IF(AND(Irr!R12&lt;&gt;".",Irr!AP12=".",Irr!BN12="."),dir!AR12/((1/1000)*(Irr!R12)),IF(AND(Irr!R12=".",Irr!AP12=".",Irr!BN12="."),dir!AR12*1000)))))))),".")</f>
        <v>.</v>
      </c>
      <c r="AS12" s="76" t="str">
        <f>IFERROR(IF(AND(Irr!S12&lt;&gt;".",Irr!AQ12&lt;&gt;".",Irr!BO12&lt;&gt;"."),dir!AS12/((1/1000)*(Irr!S12+Irr!AQ12+Irr!BO12)),IF(AND(Irr!S12&lt;&gt;".",Irr!AQ12&lt;&gt;".",Irr!BO12="."),dir!AS12/((1/1000)*(Irr!S12+Irr!AQ12)),IF(AND(Irr!S12&lt;&gt;".",Irr!AQ12=".",Irr!BO12&lt;&gt;"."),dir!AS12/((1/1000)*(Irr!S12+Irr!BO12)),IF(AND(Irr!S12=".",Irr!AQ12&lt;&gt;".",Irr!BO12&lt;&gt;"."),dir!AS12/((1/1000)*(Irr!AQ12+Irr!BO12)),IF(AND(Irr!S12=".",Irr!AQ12=".",Irr!BO12&lt;&gt;"."),dir!AS12/((1/1000)*(Irr!BO12)),IF(AND(Irr!S12=".",Irr!AQ12&lt;&gt;".",Irr!BO12="."),dir!AS12/((1/1000)*(Irr!AQ12)),IF(AND(Irr!S12&lt;&gt;".",Irr!AQ12=".",Irr!BO12="."),dir!AS12/((1/1000)*(Irr!S12)),IF(AND(Irr!S12=".",Irr!AQ12=".",Irr!BO12="."),dir!AS12*1000)))))))),".")</f>
        <v>.</v>
      </c>
      <c r="AT12" s="76" t="str">
        <f>IFERROR(IF(AND(Irr!T12&lt;&gt;".",Irr!AR12&lt;&gt;".",Irr!BP12&lt;&gt;"."),dir!AT12/((1/1000)*(Irr!T12+Irr!AR12+Irr!BP12)),IF(AND(Irr!T12&lt;&gt;".",Irr!AR12&lt;&gt;".",Irr!BP12="."),dir!AT12/((1/1000)*(Irr!T12+Irr!AR12)),IF(AND(Irr!T12&lt;&gt;".",Irr!AR12=".",Irr!BP12&lt;&gt;"."),dir!AT12/((1/1000)*(Irr!T12+Irr!BP12)),IF(AND(Irr!T12=".",Irr!AR12&lt;&gt;".",Irr!BP12&lt;&gt;"."),dir!AT12/((1/1000)*(Irr!AR12+Irr!BP12)),IF(AND(Irr!T12=".",Irr!AR12=".",Irr!BP12&lt;&gt;"."),dir!AT12/((1/1000)*(Irr!BP12)),IF(AND(Irr!T12=".",Irr!AR12&lt;&gt;".",Irr!BP12="."),dir!AT12/((1/1000)*(Irr!AR12)),IF(AND(Irr!T12&lt;&gt;".",Irr!AR12=".",Irr!BP12="."),dir!AT12/((1/1000)*(Irr!T12)),IF(AND(Irr!T12=".",Irr!AR12=".",Irr!BP12="."),dir!AT12*1000)))))))),".")</f>
        <v>.</v>
      </c>
      <c r="AU12" s="76" t="str">
        <f>IFERROR(IF(AND(Irr!U12&lt;&gt;".",Irr!AS12&lt;&gt;".",Irr!BQ12&lt;&gt;"."),dir!AU12/((1/1000)*(Irr!U12+Irr!AS12+Irr!BQ12)),IF(AND(Irr!U12&lt;&gt;".",Irr!AS12&lt;&gt;".",Irr!BQ12="."),dir!AU12/((1/1000)*(Irr!U12+Irr!AS12)),IF(AND(Irr!U12&lt;&gt;".",Irr!AS12=".",Irr!BQ12&lt;&gt;"."),dir!AU12/((1/1000)*(Irr!U12+Irr!BQ12)),IF(AND(Irr!U12=".",Irr!AS12&lt;&gt;".",Irr!BQ12&lt;&gt;"."),dir!AU12/((1/1000)*(Irr!AS12+Irr!BQ12)),IF(AND(Irr!U12=".",Irr!AS12=".",Irr!BQ12&lt;&gt;"."),dir!AU12/((1/1000)*(Irr!BQ12)),IF(AND(Irr!U12=".",Irr!AS12&lt;&gt;".",Irr!BQ12="."),dir!AU12/((1/1000)*(Irr!AS12)),IF(AND(Irr!U12&lt;&gt;".",Irr!AS12=".",Irr!BQ12="."),dir!AU12/((1/1000)*(Irr!U12)),IF(AND(Irr!U12=".",Irr!AS12=".",Irr!BQ12="."),dir!AU12*1000)))))))),".")</f>
        <v>.</v>
      </c>
      <c r="AV12" s="76" t="str">
        <f>IFERROR(IF(AND(Irr!V12&lt;&gt;".",Irr!AT12&lt;&gt;".",Irr!BR12&lt;&gt;"."),dir!AV12/((1/1000)*(Irr!V12+Irr!AT12+Irr!BR12)),IF(AND(Irr!V12&lt;&gt;".",Irr!AT12&lt;&gt;".",Irr!BR12="."),dir!AV12/((1/1000)*(Irr!V12+Irr!AT12)),IF(AND(Irr!V12&lt;&gt;".",Irr!AT12=".",Irr!BR12&lt;&gt;"."),dir!AV12/((1/1000)*(Irr!V12+Irr!BR12)),IF(AND(Irr!V12=".",Irr!AT12&lt;&gt;".",Irr!BR12&lt;&gt;"."),dir!AV12/((1/1000)*(Irr!AT12+Irr!BR12)),IF(AND(Irr!V12=".",Irr!AT12=".",Irr!BR12&lt;&gt;"."),dir!AV12/((1/1000)*(Irr!BR12)),IF(AND(Irr!V12=".",Irr!AT12&lt;&gt;".",Irr!BR12="."),dir!AV12/((1/1000)*(Irr!AT12)),IF(AND(Irr!V12&lt;&gt;".",Irr!AT12=".",Irr!BR12="."),dir!AV12/((1/1000)*(Irr!V12)),IF(AND(Irr!V12=".",Irr!AT12=".",Irr!BR12="."),dir!AV12*1000)))))))),".")</f>
        <v>.</v>
      </c>
      <c r="AW12" s="76" t="str">
        <f>IFERROR(IF(AND(Irr!W12&lt;&gt;".",Irr!AU12&lt;&gt;".",Irr!BS12&lt;&gt;"."),dir!AW12/((1/1000)*(Irr!W12+Irr!AU12+Irr!BS12)),IF(AND(Irr!W12&lt;&gt;".",Irr!AU12&lt;&gt;".",Irr!BS12="."),dir!AW12/((1/1000)*(Irr!W12+Irr!AU12)),IF(AND(Irr!W12&lt;&gt;".",Irr!AU12=".",Irr!BS12&lt;&gt;"."),dir!AW12/((1/1000)*(Irr!W12+Irr!BS12)),IF(AND(Irr!W12=".",Irr!AU12&lt;&gt;".",Irr!BS12&lt;&gt;"."),dir!AW12/((1/1000)*(Irr!AU12+Irr!BS12)),IF(AND(Irr!W12=".",Irr!AU12=".",Irr!BS12&lt;&gt;"."),dir!AW12/((1/1000)*(Irr!BS12)),IF(AND(Irr!W12=".",Irr!AU12&lt;&gt;".",Irr!BS12="."),dir!AW12/((1/1000)*(Irr!AU12)),IF(AND(Irr!W12&lt;&gt;".",Irr!AU12=".",Irr!BS12="."),dir!AW12/((1/1000)*(Irr!W12)),IF(AND(Irr!W12=".",Irr!AU12=".",Irr!BS12="."),dir!AW12*1000)))))))),".")</f>
        <v>.</v>
      </c>
      <c r="AX12" s="76" t="str">
        <f>IFERROR(IF(AND(Irr!X12&lt;&gt;".",Irr!AV12&lt;&gt;".",Irr!BT12&lt;&gt;"."),dir!AX12/((1/1000)*(Irr!X12+Irr!AV12+Irr!BT12)),IF(AND(Irr!X12&lt;&gt;".",Irr!AV12&lt;&gt;".",Irr!BT12="."),dir!AX12/((1/1000)*(Irr!X12+Irr!AV12)),IF(AND(Irr!X12&lt;&gt;".",Irr!AV12=".",Irr!BT12&lt;&gt;"."),dir!AX12/((1/1000)*(Irr!X12+Irr!BT12)),IF(AND(Irr!X12=".",Irr!AV12&lt;&gt;".",Irr!BT12&lt;&gt;"."),dir!AX12/((1/1000)*(Irr!AV12+Irr!BT12)),IF(AND(Irr!X12=".",Irr!AV12=".",Irr!BT12&lt;&gt;"."),dir!AX12/((1/1000)*(Irr!BT12)),IF(AND(Irr!X12=".",Irr!AV12&lt;&gt;".",Irr!BT12="."),dir!AX12/((1/1000)*(Irr!AV12)),IF(AND(Irr!X12&lt;&gt;".",Irr!AV12=".",Irr!BT12="."),dir!AX12/((1/1000)*(Irr!X12)),IF(AND(Irr!X12=".",Irr!AV12=".",Irr!BT12="."),dir!AX12*1000)))))))),".")</f>
        <v>.</v>
      </c>
      <c r="AY12" s="76" t="str">
        <f>IFERROR(IF(AND(Irr!Y12&lt;&gt;".",Irr!AW12&lt;&gt;".",Irr!BU12&lt;&gt;"."),dir!AY12/((1/1000)*(Irr!Y12+Irr!AW12+Irr!BU12)),IF(AND(Irr!Y12&lt;&gt;".",Irr!AW12&lt;&gt;".",Irr!BU12="."),dir!AY12/((1/1000)*(Irr!Y12+Irr!AW12)),IF(AND(Irr!Y12&lt;&gt;".",Irr!AW12=".",Irr!BU12&lt;&gt;"."),dir!AY12/((1/1000)*(Irr!Y12+Irr!BU12)),IF(AND(Irr!Y12=".",Irr!AW12&lt;&gt;".",Irr!BU12&lt;&gt;"."),dir!AY12/((1/1000)*(Irr!AW12+Irr!BU12)),IF(AND(Irr!Y12=".",Irr!AW12=".",Irr!BU12&lt;&gt;"."),dir!AY12/((1/1000)*(Irr!BU12)),IF(AND(Irr!Y12=".",Irr!AW12&lt;&gt;".",Irr!BU12="."),dir!AY12/((1/1000)*(Irr!AW12)),IF(AND(Irr!Y12&lt;&gt;".",Irr!AW12=".",Irr!BU12="."),dir!AY12/((1/1000)*(Irr!Y12)),IF(AND(Irr!Y12=".",Irr!AW12=".",Irr!BU12="."),dir!AY12*1000)))))))),".")</f>
        <v>.</v>
      </c>
      <c r="AZ12" s="76" t="str">
        <f>IFERROR(IF(AND(Irr!Z12&lt;&gt;".",Irr!AX12&lt;&gt;".",Irr!BV12&lt;&gt;"."),dir!AZ12/((1/1000)*(Irr!Z12+Irr!AX12+Irr!BV12)),IF(AND(Irr!Z12&lt;&gt;".",Irr!AX12&lt;&gt;".",Irr!BV12="."),dir!AZ12/((1/1000)*(Irr!Z12+Irr!AX12)),IF(AND(Irr!Z12&lt;&gt;".",Irr!AX12=".",Irr!BV12&lt;&gt;"."),dir!AZ12/((1/1000)*(Irr!Z12+Irr!BV12)),IF(AND(Irr!Z12=".",Irr!AX12&lt;&gt;".",Irr!BV12&lt;&gt;"."),dir!AZ12/((1/1000)*(Irr!AX12+Irr!BV12)),IF(AND(Irr!Z12=".",Irr!AX12=".",Irr!BV12&lt;&gt;"."),dir!AZ12/((1/1000)*(Irr!BV12)),IF(AND(Irr!Z12=".",Irr!AX12&lt;&gt;".",Irr!BV12="."),dir!AZ12/((1/1000)*(Irr!AX12)),IF(AND(Irr!Z12&lt;&gt;".",Irr!AX12=".",Irr!BV12="."),dir!AZ12/((1/1000)*(Irr!Z12)),IF(AND(Irr!Z12=".",Irr!AX12=".",Irr!BV12="."),dir!AZ12*1000)))))))),".")</f>
        <v>.</v>
      </c>
    </row>
    <row r="13" spans="1:52" ht="15" customHeight="1" x14ac:dyDescent="0.25">
      <c r="A13" s="92" t="s">
        <v>23</v>
      </c>
      <c r="B13" s="90" t="s">
        <v>1074</v>
      </c>
      <c r="C13" s="76">
        <f t="shared" ref="C13:C14" si="12">IFERROR(1/SUM(1/D13,1/E13,1/F13,1/G13,1/H13,1/I13,1/J13,1/K13,1/L13,1/M13,1/N13,1/O13,1/P13,1/Q13,1/R13,1/S13,1/T13,1/U13,1/V13,1/W13,1/X13,1/Y13),".")</f>
        <v>0.24979552830589286</v>
      </c>
      <c r="D13" s="76">
        <f>IFERROR(IF(AND(Irr!C13&lt;&gt;".",Irr!AA13&lt;&gt;".",Irr!AY13&lt;&gt;"."),dir!D13/((1/1000)*(Irr!C13+Irr!AA13+Irr!AY13)),IF(AND(Irr!C13&lt;&gt;".",Irr!AA13&lt;&gt;".",Irr!AY13="."),dir!D13/((1/1000)*(Irr!C13+Irr!AA13)),IF(AND(Irr!C13&lt;&gt;".",Irr!AA13=".",Irr!AY13&lt;&gt;"."),dir!D13/((1/1000)*(Irr!C13+Irr!AY13)),IF(AND(Irr!C13=".",Irr!AA13&lt;&gt;".",Irr!AY13&lt;&gt;"."),dir!D13/((1/1000)*(Irr!AA13+Irr!AY13)),IF(AND(Irr!C13=".",Irr!AA13=".",Irr!AY13&lt;&gt;"."),dir!D13/((1/1000)*(Irr!AY13)),IF(AND(Irr!C13=".",Irr!AA13&lt;&gt;".",Irr!AY13="."),dir!D13/((1/1000)*(Irr!AA13)),IF(AND(Irr!C13&lt;&gt;".",Irr!AA13=".",Irr!AY13="."),dir!D13/((1/1000)*(Irr!C13)),IF(AND(Irr!C13=".",Irr!AA13=".",Irr!AY13="."),dir!D13*1000)))))))),".")</f>
        <v>4.9401455813030335</v>
      </c>
      <c r="E13" s="76">
        <f>IFERROR(IF(AND(Irr!D13&lt;&gt;".",Irr!AB13&lt;&gt;".",Irr!AZ13&lt;&gt;"."),dir!E13/((1/1000)*(Irr!D13+Irr!AB13+Irr!AZ13)),IF(AND(Irr!D13&lt;&gt;".",Irr!AB13&lt;&gt;".",Irr!AZ13="."),dir!E13/((1/1000)*(Irr!D13+Irr!AB13)),IF(AND(Irr!D13&lt;&gt;".",Irr!AB13=".",Irr!AZ13&lt;&gt;"."),dir!E13/((1/1000)*(Irr!D13+Irr!AZ13)),IF(AND(Irr!D13=".",Irr!AB13&lt;&gt;".",Irr!AZ13&lt;&gt;"."),dir!E13/((1/1000)*(Irr!AB13+Irr!AZ13)),IF(AND(Irr!D13=".",Irr!AB13=".",Irr!AZ13&lt;&gt;"."),dir!E13/((1/1000)*(Irr!AZ13)),IF(AND(Irr!D13=".",Irr!AB13&lt;&gt;".",Irr!AZ13="."),dir!E13/((1/1000)*(Irr!AB13)),IF(AND(Irr!D13&lt;&gt;".",Irr!AB13=".",Irr!AZ13="."),dir!E13/((1/1000)*(Irr!D13)),IF(AND(Irr!D13=".",Irr!AB13=".",Irr!AZ13="."),dir!E13*1000)))))))),".")</f>
        <v>8.7147827651034699</v>
      </c>
      <c r="F13" s="76">
        <f>IFERROR(IF(AND(Irr!E13&lt;&gt;".",Irr!AC13&lt;&gt;".",Irr!BA13&lt;&gt;"."),dir!F13/((1/1000)*(Irr!E13+Irr!AC13+Irr!BA13)),IF(AND(Irr!E13&lt;&gt;".",Irr!AC13&lt;&gt;".",Irr!BA13="."),dir!F13/((1/1000)*(Irr!E13+Irr!AC13)),IF(AND(Irr!E13&lt;&gt;".",Irr!AC13=".",Irr!BA13&lt;&gt;"."),dir!F13/((1/1000)*(Irr!E13+Irr!BA13)),IF(AND(Irr!E13=".",Irr!AC13&lt;&gt;".",Irr!BA13&lt;&gt;"."),dir!F13/((1/1000)*(Irr!AC13+Irr!BA13)),IF(AND(Irr!E13=".",Irr!AC13=".",Irr!BA13&lt;&gt;"."),dir!F13/((1/1000)*(Irr!BA13)),IF(AND(Irr!E13=".",Irr!AC13&lt;&gt;".",Irr!BA13="."),dir!F13/((1/1000)*(Irr!AC13)),IF(AND(Irr!E13&lt;&gt;".",Irr!AC13=".",Irr!BA13="."),dir!F13/((1/1000)*(Irr!E13)),IF(AND(Irr!E13=".",Irr!AC13=".",Irr!BA13="."),dir!F13*1000)))))))),".")</f>
        <v>11.085182919468384</v>
      </c>
      <c r="G13" s="76">
        <f>IFERROR(IF(AND(Irr!F13&lt;&gt;".",Irr!AD13&lt;&gt;".",Irr!BB13&lt;&gt;"."),dir!G13/((1/1000)*(Irr!F13+Irr!AD13+Irr!BB13)),IF(AND(Irr!F13&lt;&gt;".",Irr!AD13&lt;&gt;".",Irr!BB13="."),dir!G13/((1/1000)*(Irr!F13+Irr!AD13)),IF(AND(Irr!F13&lt;&gt;".",Irr!AD13=".",Irr!BB13&lt;&gt;"."),dir!G13/((1/1000)*(Irr!F13+Irr!BB13)),IF(AND(Irr!F13=".",Irr!AD13&lt;&gt;".",Irr!BB13&lt;&gt;"."),dir!G13/((1/1000)*(Irr!AD13+Irr!BB13)),IF(AND(Irr!F13=".",Irr!AD13=".",Irr!BB13&lt;&gt;"."),dir!G13/((1/1000)*(Irr!BB13)),IF(AND(Irr!F13=".",Irr!AD13&lt;&gt;".",Irr!BB13="."),dir!G13/((1/1000)*(Irr!AD13)),IF(AND(Irr!F13&lt;&gt;".",Irr!AD13=".",Irr!BB13="."),dir!G13/((1/1000)*(Irr!F13)),IF(AND(Irr!F13=".",Irr!AD13=".",Irr!BB13="."),dir!G13*1000)))))))),".")</f>
        <v>11.065648798521377</v>
      </c>
      <c r="H13" s="76">
        <f>IFERROR(IF(AND(Irr!G13&lt;&gt;".",Irr!AE13&lt;&gt;".",Irr!BC13&lt;&gt;"."),dir!H13/((1/1000)*(Irr!G13+Irr!AE13+Irr!BC13)),IF(AND(Irr!G13&lt;&gt;".",Irr!AE13&lt;&gt;".",Irr!BC13="."),dir!H13/((1/1000)*(Irr!G13+Irr!AE13)),IF(AND(Irr!G13&lt;&gt;".",Irr!AE13=".",Irr!BC13&lt;&gt;"."),dir!H13/((1/1000)*(Irr!G13+Irr!BC13)),IF(AND(Irr!G13=".",Irr!AE13&lt;&gt;".",Irr!BC13&lt;&gt;"."),dir!H13/((1/1000)*(Irr!AE13+Irr!BC13)),IF(AND(Irr!G13=".",Irr!AE13=".",Irr!BC13&lt;&gt;"."),dir!H13/((1/1000)*(Irr!BC13)),IF(AND(Irr!G13=".",Irr!AE13&lt;&gt;".",Irr!BC13="."),dir!H13/((1/1000)*(Irr!AE13)),IF(AND(Irr!G13&lt;&gt;".",Irr!AE13=".",Irr!BC13="."),dir!H13/((1/1000)*(Irr!G13)),IF(AND(Irr!G13=".",Irr!AE13=".",Irr!BC13="."),dir!H13*1000)))))))),".")</f>
        <v>11.099778145739849</v>
      </c>
      <c r="I13" s="76">
        <f>IFERROR(IF(AND(Irr!H13&lt;&gt;".",Irr!AF13&lt;&gt;".",Irr!BD13&lt;&gt;"."),dir!I13/((1/1000)*(Irr!H13+Irr!AF13+Irr!BD13)),IF(AND(Irr!H13&lt;&gt;".",Irr!AF13&lt;&gt;".",Irr!BD13="."),dir!I13/((1/1000)*(Irr!H13+Irr!AF13)),IF(AND(Irr!H13&lt;&gt;".",Irr!AF13=".",Irr!BD13&lt;&gt;"."),dir!I13/((1/1000)*(Irr!H13+Irr!BD13)),IF(AND(Irr!H13=".",Irr!AF13&lt;&gt;".",Irr!BD13&lt;&gt;"."),dir!I13/((1/1000)*(Irr!AF13+Irr!BD13)),IF(AND(Irr!H13=".",Irr!AF13=".",Irr!BD13&lt;&gt;"."),dir!I13/((1/1000)*(Irr!BD13)),IF(AND(Irr!H13=".",Irr!AF13&lt;&gt;".",Irr!BD13="."),dir!I13/((1/1000)*(Irr!AF13)),IF(AND(Irr!H13&lt;&gt;".",Irr!AF13=".",Irr!BD13="."),dir!I13/((1/1000)*(Irr!H13)),IF(AND(Irr!H13=".",Irr!AF13=".",Irr!BD13="."),dir!I13*1000)))))))),".")</f>
        <v>3.9021696294260533</v>
      </c>
      <c r="J13" s="76">
        <f>IFERROR(IF(AND(Irr!I13&lt;&gt;".",Irr!AG13&lt;&gt;".",Irr!BE13&lt;&gt;"."),dir!J13/((1/1000)*(Irr!I13+Irr!AG13+Irr!BE13)),IF(AND(Irr!I13&lt;&gt;".",Irr!AG13&lt;&gt;".",Irr!BE13="."),dir!J13/((1/1000)*(Irr!I13+Irr!AG13)),IF(AND(Irr!I13&lt;&gt;".",Irr!AG13=".",Irr!BE13&lt;&gt;"."),dir!J13/((1/1000)*(Irr!I13+Irr!BE13)),IF(AND(Irr!I13=".",Irr!AG13&lt;&gt;".",Irr!BE13&lt;&gt;"."),dir!J13/((1/1000)*(Irr!AG13+Irr!BE13)),IF(AND(Irr!I13=".",Irr!AG13=".",Irr!BE13&lt;&gt;"."),dir!J13/((1/1000)*(Irr!BE13)),IF(AND(Irr!I13=".",Irr!AG13&lt;&gt;".",Irr!BE13="."),dir!J13/((1/1000)*(Irr!AG13)),IF(AND(Irr!I13&lt;&gt;".",Irr!AG13=".",Irr!BE13="."),dir!J13/((1/1000)*(Irr!I13)),IF(AND(Irr!I13=".",Irr!AG13=".",Irr!BE13="."),dir!J13*1000)))))))),".")</f>
        <v>12.240664553563056</v>
      </c>
      <c r="K13" s="76">
        <f>IFERROR(IF(AND(Irr!J13&lt;&gt;".",Irr!AH13&lt;&gt;".",Irr!BF13&lt;&gt;"."),dir!K13/((1/1000)*(Irr!J13+Irr!AH13+Irr!BF13)),IF(AND(Irr!J13&lt;&gt;".",Irr!AH13&lt;&gt;".",Irr!BF13="."),dir!K13/((1/1000)*(Irr!J13+Irr!AH13)),IF(AND(Irr!J13&lt;&gt;".",Irr!AH13=".",Irr!BF13&lt;&gt;"."),dir!K13/((1/1000)*(Irr!J13+Irr!BF13)),IF(AND(Irr!J13=".",Irr!AH13&lt;&gt;".",Irr!BF13&lt;&gt;"."),dir!K13/((1/1000)*(Irr!AH13+Irr!BF13)),IF(AND(Irr!J13=".",Irr!AH13=".",Irr!BF13&lt;&gt;"."),dir!K13/((1/1000)*(Irr!BF13)),IF(AND(Irr!J13=".",Irr!AH13&lt;&gt;".",Irr!BF13="."),dir!K13/((1/1000)*(Irr!AH13)),IF(AND(Irr!J13&lt;&gt;".",Irr!AH13=".",Irr!BF13="."),dir!K13/((1/1000)*(Irr!J13)),IF(AND(Irr!J13=".",Irr!AH13=".",Irr!BF13="."),dir!K13*1000)))))))),".")</f>
        <v>1.2814680262412981</v>
      </c>
      <c r="L13" s="76">
        <f>IFERROR(IF(AND(Irr!K13&lt;&gt;".",Irr!AI13&lt;&gt;".",Irr!BG13&lt;&gt;"."),dir!L13/((1/1000)*(Irr!K13+Irr!AI13+Irr!BG13)),IF(AND(Irr!K13&lt;&gt;".",Irr!AI13&lt;&gt;".",Irr!BG13="."),dir!L13/((1/1000)*(Irr!K13+Irr!AI13)),IF(AND(Irr!K13&lt;&gt;".",Irr!AI13=".",Irr!BG13&lt;&gt;"."),dir!L13/((1/1000)*(Irr!K13+Irr!BG13)),IF(AND(Irr!K13=".",Irr!AI13&lt;&gt;".",Irr!BG13&lt;&gt;"."),dir!L13/((1/1000)*(Irr!AI13+Irr!BG13)),IF(AND(Irr!K13=".",Irr!AI13=".",Irr!BG13&lt;&gt;"."),dir!L13/((1/1000)*(Irr!BG13)),IF(AND(Irr!K13=".",Irr!AI13&lt;&gt;".",Irr!BG13="."),dir!L13/((1/1000)*(Irr!AI13)),IF(AND(Irr!K13&lt;&gt;".",Irr!AI13=".",Irr!BG13="."),dir!L13/((1/1000)*(Irr!K13)),IF(AND(Irr!K13=".",Irr!AI13=".",Irr!BG13="."),dir!L13*1000)))))))),".")</f>
        <v>6.7421073511796372</v>
      </c>
      <c r="M13" s="76">
        <f>IFERROR(IF(AND(Irr!L13&lt;&gt;".",Irr!AJ13&lt;&gt;".",Irr!BH13&lt;&gt;"."),dir!M13/((1/1000)*(Irr!L13+Irr!AJ13+Irr!BH13)),IF(AND(Irr!L13&lt;&gt;".",Irr!AJ13&lt;&gt;".",Irr!BH13="."),dir!M13/((1/1000)*(Irr!L13+Irr!AJ13)),IF(AND(Irr!L13&lt;&gt;".",Irr!AJ13=".",Irr!BH13&lt;&gt;"."),dir!M13/((1/1000)*(Irr!L13+Irr!BH13)),IF(AND(Irr!L13=".",Irr!AJ13&lt;&gt;".",Irr!BH13&lt;&gt;"."),dir!M13/((1/1000)*(Irr!AJ13+Irr!BH13)),IF(AND(Irr!L13=".",Irr!AJ13=".",Irr!BH13&lt;&gt;"."),dir!M13/((1/1000)*(Irr!BH13)),IF(AND(Irr!L13=".",Irr!AJ13&lt;&gt;".",Irr!BH13="."),dir!M13/((1/1000)*(Irr!AJ13)),IF(AND(Irr!L13&lt;&gt;".",Irr!AJ13=".",Irr!BH13="."),dir!M13/((1/1000)*(Irr!L13)),IF(AND(Irr!L13=".",Irr!AJ13=".",Irr!BH13="."),dir!M13*1000)))))))),".")</f>
        <v>4.4661242035002706</v>
      </c>
      <c r="N13" s="76">
        <f>IFERROR(IF(AND(Irr!M13&lt;&gt;".",Irr!AK13&lt;&gt;".",Irr!BI13&lt;&gt;"."),dir!N13/((1/1000)*(Irr!M13+Irr!AK13+Irr!BI13)),IF(AND(Irr!M13&lt;&gt;".",Irr!AK13&lt;&gt;".",Irr!BI13="."),dir!N13/((1/1000)*(Irr!M13+Irr!AK13)),IF(AND(Irr!M13&lt;&gt;".",Irr!AK13=".",Irr!BI13&lt;&gt;"."),dir!N13/((1/1000)*(Irr!M13+Irr!BI13)),IF(AND(Irr!M13=".",Irr!AK13&lt;&gt;".",Irr!BI13&lt;&gt;"."),dir!N13/((1/1000)*(Irr!AK13+Irr!BI13)),IF(AND(Irr!M13=".",Irr!AK13=".",Irr!BI13&lt;&gt;"."),dir!N13/((1/1000)*(Irr!BI13)),IF(AND(Irr!M13=".",Irr!AK13&lt;&gt;".",Irr!BI13="."),dir!N13/((1/1000)*(Irr!AK13)),IF(AND(Irr!M13&lt;&gt;".",Irr!AK13=".",Irr!BI13="."),dir!N13/((1/1000)*(Irr!M13)),IF(AND(Irr!M13=".",Irr!AK13=".",Irr!BI13="."),dir!N13*1000)))))))),".")</f>
        <v>8.7365078667490099</v>
      </c>
      <c r="O13" s="76">
        <f>IFERROR(IF(AND(Irr!N13&lt;&gt;".",Irr!AL13&lt;&gt;".",Irr!BJ13&lt;&gt;"."),dir!O13/((1/1000)*(Irr!N13+Irr!AL13+Irr!BJ13)),IF(AND(Irr!N13&lt;&gt;".",Irr!AL13&lt;&gt;".",Irr!BJ13="."),dir!O13/((1/1000)*(Irr!N13+Irr!AL13)),IF(AND(Irr!N13&lt;&gt;".",Irr!AL13=".",Irr!BJ13&lt;&gt;"."),dir!O13/((1/1000)*(Irr!N13+Irr!BJ13)),IF(AND(Irr!N13=".",Irr!AL13&lt;&gt;".",Irr!BJ13&lt;&gt;"."),dir!O13/((1/1000)*(Irr!AL13+Irr!BJ13)),IF(AND(Irr!N13=".",Irr!AL13=".",Irr!BJ13&lt;&gt;"."),dir!O13/((1/1000)*(Irr!BJ13)),IF(AND(Irr!N13=".",Irr!AL13&lt;&gt;".",Irr!BJ13="."),dir!O13/((1/1000)*(Irr!AL13)),IF(AND(Irr!N13&lt;&gt;".",Irr!AL13=".",Irr!BJ13="."),dir!O13/((1/1000)*(Irr!N13)),IF(AND(Irr!N13=".",Irr!AL13=".",Irr!BJ13="."),dir!O13*1000)))))))),".")</f>
        <v>10.99022919537037</v>
      </c>
      <c r="P13" s="76">
        <f>IFERROR(IF(AND(Irr!O13&lt;&gt;".",Irr!AM13&lt;&gt;".",Irr!BK13&lt;&gt;"."),dir!P13/((1/1000)*(Irr!O13+Irr!AM13+Irr!BK13)),IF(AND(Irr!O13&lt;&gt;".",Irr!AM13&lt;&gt;".",Irr!BK13="."),dir!P13/((1/1000)*(Irr!O13+Irr!AM13)),IF(AND(Irr!O13&lt;&gt;".",Irr!AM13=".",Irr!BK13&lt;&gt;"."),dir!P13/((1/1000)*(Irr!O13+Irr!BK13)),IF(AND(Irr!O13=".",Irr!AM13&lt;&gt;".",Irr!BK13&lt;&gt;"."),dir!P13/((1/1000)*(Irr!AM13+Irr!BK13)),IF(AND(Irr!O13=".",Irr!AM13=".",Irr!BK13&lt;&gt;"."),dir!P13/((1/1000)*(Irr!BK13)),IF(AND(Irr!O13=".",Irr!AM13&lt;&gt;".",Irr!BK13="."),dir!P13/((1/1000)*(Irr!AM13)),IF(AND(Irr!O13&lt;&gt;".",Irr!AM13=".",Irr!BK13="."),dir!P13/((1/1000)*(Irr!O13)),IF(AND(Irr!O13=".",Irr!AM13=".",Irr!BK13="."),dir!P13*1000)))))))),".")</f>
        <v>12.642543586578583</v>
      </c>
      <c r="Q13" s="76">
        <f>IFERROR(IF(AND(Irr!P13&lt;&gt;".",Irr!AN13&lt;&gt;".",Irr!BL13&lt;&gt;"."),dir!Q13/((1/1000)*(Irr!P13+Irr!AN13+Irr!BL13)),IF(AND(Irr!P13&lt;&gt;".",Irr!AN13&lt;&gt;".",Irr!BL13="."),dir!Q13/((1/1000)*(Irr!P13+Irr!AN13)),IF(AND(Irr!P13&lt;&gt;".",Irr!AN13=".",Irr!BL13&lt;&gt;"."),dir!Q13/((1/1000)*(Irr!P13+Irr!BL13)),IF(AND(Irr!P13=".",Irr!AN13&lt;&gt;".",Irr!BL13&lt;&gt;"."),dir!Q13/((1/1000)*(Irr!AN13+Irr!BL13)),IF(AND(Irr!P13=".",Irr!AN13=".",Irr!BL13&lt;&gt;"."),dir!Q13/((1/1000)*(Irr!BL13)),IF(AND(Irr!P13=".",Irr!AN13&lt;&gt;".",Irr!BL13="."),dir!Q13/((1/1000)*(Irr!AN13)),IF(AND(Irr!P13&lt;&gt;".",Irr!AN13=".",Irr!BL13="."),dir!Q13/((1/1000)*(Irr!P13)),IF(AND(Irr!P13=".",Irr!AN13=".",Irr!BL13="."),dir!Q13*1000)))))))),".")</f>
        <v>17.070922710322822</v>
      </c>
      <c r="R13" s="76">
        <f>IFERROR(IF(AND(Irr!Q13&lt;&gt;".",Irr!AO13&lt;&gt;".",Irr!BM13&lt;&gt;"."),dir!R13/((1/1000)*(Irr!Q13+Irr!AO13+Irr!BM13)),IF(AND(Irr!Q13&lt;&gt;".",Irr!AO13&lt;&gt;".",Irr!BM13="."),dir!R13/((1/1000)*(Irr!Q13+Irr!AO13)),IF(AND(Irr!Q13&lt;&gt;".",Irr!AO13=".",Irr!BM13&lt;&gt;"."),dir!R13/((1/1000)*(Irr!Q13+Irr!BM13)),IF(AND(Irr!Q13=".",Irr!AO13&lt;&gt;".",Irr!BM13&lt;&gt;"."),dir!R13/((1/1000)*(Irr!AO13+Irr!BM13)),IF(AND(Irr!Q13=".",Irr!AO13=".",Irr!BM13&lt;&gt;"."),dir!R13/((1/1000)*(Irr!BM13)),IF(AND(Irr!Q13=".",Irr!AO13&lt;&gt;".",Irr!BM13="."),dir!R13/((1/1000)*(Irr!AO13)),IF(AND(Irr!Q13&lt;&gt;".",Irr!AO13=".",Irr!BM13="."),dir!R13/((1/1000)*(Irr!Q13)),IF(AND(Irr!Q13=".",Irr!AO13=".",Irr!BM13="."),dir!R13*1000)))))))),".")</f>
        <v>3.1594575641170772</v>
      </c>
      <c r="S13" s="76">
        <f>IFERROR(IF(AND(Irr!R13&lt;&gt;".",Irr!AP13&lt;&gt;".",Irr!BN13&lt;&gt;"."),dir!S13/((1/1000)*(Irr!R13+Irr!AP13+Irr!BN13)),IF(AND(Irr!R13&lt;&gt;".",Irr!AP13&lt;&gt;".",Irr!BN13="."),dir!S13/((1/1000)*(Irr!R13+Irr!AP13)),IF(AND(Irr!R13&lt;&gt;".",Irr!AP13=".",Irr!BN13&lt;&gt;"."),dir!S13/((1/1000)*(Irr!R13+Irr!BN13)),IF(AND(Irr!R13=".",Irr!AP13&lt;&gt;".",Irr!BN13&lt;&gt;"."),dir!S13/((1/1000)*(Irr!AP13+Irr!BN13)),IF(AND(Irr!R13=".",Irr!AP13=".",Irr!BN13&lt;&gt;"."),dir!S13/((1/1000)*(Irr!BN13)),IF(AND(Irr!R13=".",Irr!AP13&lt;&gt;".",Irr!BN13="."),dir!S13/((1/1000)*(Irr!AP13)),IF(AND(Irr!R13&lt;&gt;".",Irr!AP13=".",Irr!BN13="."),dir!S13/((1/1000)*(Irr!R13)),IF(AND(Irr!R13=".",Irr!AP13=".",Irr!BN13="."),dir!S13*1000)))))))),".")</f>
        <v>6.5613938652068526</v>
      </c>
      <c r="T13" s="76">
        <f>IFERROR(IF(AND(Irr!S13&lt;&gt;".",Irr!AQ13&lt;&gt;".",Irr!BO13&lt;&gt;"."),dir!T13/((1/1000)*(Irr!S13+Irr!AQ13+Irr!BO13)),IF(AND(Irr!S13&lt;&gt;".",Irr!AQ13&lt;&gt;".",Irr!BO13="."),dir!T13/((1/1000)*(Irr!S13+Irr!AQ13)),IF(AND(Irr!S13&lt;&gt;".",Irr!AQ13=".",Irr!BO13&lt;&gt;"."),dir!T13/((1/1000)*(Irr!S13+Irr!BO13)),IF(AND(Irr!S13=".",Irr!AQ13&lt;&gt;".",Irr!BO13&lt;&gt;"."),dir!T13/((1/1000)*(Irr!AQ13+Irr!BO13)),IF(AND(Irr!S13=".",Irr!AQ13=".",Irr!BO13&lt;&gt;"."),dir!T13/((1/1000)*(Irr!BO13)),IF(AND(Irr!S13=".",Irr!AQ13&lt;&gt;".",Irr!BO13="."),dir!T13/((1/1000)*(Irr!AQ13)),IF(AND(Irr!S13&lt;&gt;".",Irr!AQ13=".",Irr!BO13="."),dir!T13/((1/1000)*(Irr!S13)),IF(AND(Irr!S13=".",Irr!AQ13=".",Irr!BO13="."),dir!T13*1000)))))))),".")</f>
        <v>8.9929146776058015</v>
      </c>
      <c r="U13" s="76">
        <f>IFERROR(IF(AND(Irr!T13&lt;&gt;".",Irr!AR13&lt;&gt;".",Irr!BP13&lt;&gt;"."),dir!U13/((1/1000)*(Irr!T13+Irr!AR13+Irr!BP13)),IF(AND(Irr!T13&lt;&gt;".",Irr!AR13&lt;&gt;".",Irr!BP13="."),dir!U13/((1/1000)*(Irr!T13+Irr!AR13)),IF(AND(Irr!T13&lt;&gt;".",Irr!AR13=".",Irr!BP13&lt;&gt;"."),dir!U13/((1/1000)*(Irr!T13+Irr!BP13)),IF(AND(Irr!T13=".",Irr!AR13&lt;&gt;".",Irr!BP13&lt;&gt;"."),dir!U13/((1/1000)*(Irr!AR13+Irr!BP13)),IF(AND(Irr!T13=".",Irr!AR13=".",Irr!BP13&lt;&gt;"."),dir!U13/((1/1000)*(Irr!BP13)),IF(AND(Irr!T13=".",Irr!AR13&lt;&gt;".",Irr!BP13="."),dir!U13/((1/1000)*(Irr!AR13)),IF(AND(Irr!T13&lt;&gt;".",Irr!AR13=".",Irr!BP13="."),dir!U13/((1/1000)*(Irr!T13)),IF(AND(Irr!T13=".",Irr!AR13=".",Irr!BP13="."),dir!U13*1000)))))))),".")</f>
        <v>3.1210439995003063</v>
      </c>
      <c r="V13" s="76">
        <f>IFERROR(IF(AND(Irr!U13&lt;&gt;".",Irr!AS13&lt;&gt;".",Irr!BQ13&lt;&gt;"."),dir!V13/((1/1000)*(Irr!U13+Irr!AS13+Irr!BQ13)),IF(AND(Irr!U13&lt;&gt;".",Irr!AS13&lt;&gt;".",Irr!BQ13="."),dir!V13/((1/1000)*(Irr!U13+Irr!AS13)),IF(AND(Irr!U13&lt;&gt;".",Irr!AS13=".",Irr!BQ13&lt;&gt;"."),dir!V13/((1/1000)*(Irr!U13+Irr!BQ13)),IF(AND(Irr!U13=".",Irr!AS13&lt;&gt;".",Irr!BQ13&lt;&gt;"."),dir!V13/((1/1000)*(Irr!AS13+Irr!BQ13)),IF(AND(Irr!U13=".",Irr!AS13=".",Irr!BQ13&lt;&gt;"."),dir!V13/((1/1000)*(Irr!BQ13)),IF(AND(Irr!U13=".",Irr!AS13&lt;&gt;".",Irr!BQ13="."),dir!V13/((1/1000)*(Irr!AS13)),IF(AND(Irr!U13&lt;&gt;".",Irr!AS13=".",Irr!BQ13="."),dir!V13/((1/1000)*(Irr!U13)),IF(AND(Irr!U13=".",Irr!AS13=".",Irr!BQ13="."),dir!V13*1000)))))))),".")</f>
        <v>5.1299154116227248</v>
      </c>
      <c r="W13" s="76">
        <f>IFERROR(IF(AND(Irr!V13&lt;&gt;".",Irr!AT13&lt;&gt;".",Irr!BR13&lt;&gt;"."),dir!W13/((1/1000)*(Irr!V13+Irr!AT13+Irr!BR13)),IF(AND(Irr!V13&lt;&gt;".",Irr!AT13&lt;&gt;".",Irr!BR13="."),dir!W13/((1/1000)*(Irr!V13+Irr!AT13)),IF(AND(Irr!V13&lt;&gt;".",Irr!AT13=".",Irr!BR13&lt;&gt;"."),dir!W13/((1/1000)*(Irr!V13+Irr!BR13)),IF(AND(Irr!V13=".",Irr!AT13&lt;&gt;".",Irr!BR13&lt;&gt;"."),dir!W13/((1/1000)*(Irr!AT13+Irr!BR13)),IF(AND(Irr!V13=".",Irr!AT13=".",Irr!BR13&lt;&gt;"."),dir!W13/((1/1000)*(Irr!BR13)),IF(AND(Irr!V13=".",Irr!AT13&lt;&gt;".",Irr!BR13="."),dir!W13/((1/1000)*(Irr!AT13)),IF(AND(Irr!V13&lt;&gt;".",Irr!AT13=".",Irr!BR13="."),dir!W13/((1/1000)*(Irr!V13)),IF(AND(Irr!V13=".",Irr!AT13=".",Irr!BR13="."),dir!W13*1000)))))))),".")</f>
        <v>6.2681651970871926</v>
      </c>
      <c r="X13" s="76">
        <f>IFERROR(IF(AND(Irr!W13&lt;&gt;".",Irr!AU13&lt;&gt;".",Irr!BS13&lt;&gt;"."),dir!X13/((1/1000)*(Irr!W13+Irr!AU13+Irr!BS13)),IF(AND(Irr!W13&lt;&gt;".",Irr!AU13&lt;&gt;".",Irr!BS13="."),dir!X13/((1/1000)*(Irr!W13+Irr!AU13)),IF(AND(Irr!W13&lt;&gt;".",Irr!AU13=".",Irr!BS13&lt;&gt;"."),dir!X13/((1/1000)*(Irr!W13+Irr!BS13)),IF(AND(Irr!W13=".",Irr!AU13&lt;&gt;".",Irr!BS13&lt;&gt;"."),dir!X13/((1/1000)*(Irr!AU13+Irr!BS13)),IF(AND(Irr!W13=".",Irr!AU13=".",Irr!BS13&lt;&gt;"."),dir!X13/((1/1000)*(Irr!BS13)),IF(AND(Irr!W13=".",Irr!AU13&lt;&gt;".",Irr!BS13="."),dir!X13/((1/1000)*(Irr!AU13)),IF(AND(Irr!W13&lt;&gt;".",Irr!AU13=".",Irr!BS13="."),dir!X13/((1/1000)*(Irr!W13)),IF(AND(Irr!W13=".",Irr!AU13=".",Irr!BS13="."),dir!X13*1000)))))))),".")</f>
        <v>9.8037173900084706</v>
      </c>
      <c r="Y13" s="76">
        <f>IFERROR(IF(AND(Irr!X13&lt;&gt;".",Irr!AV13&lt;&gt;".",Irr!BT13&lt;&gt;"."),dir!Y13/((1/1000)*(Irr!X13+Irr!AV13+Irr!BT13)),IF(AND(Irr!X13&lt;&gt;".",Irr!AV13&lt;&gt;".",Irr!BT13="."),dir!Y13/((1/1000)*(Irr!X13+Irr!AV13)),IF(AND(Irr!X13&lt;&gt;".",Irr!AV13=".",Irr!BT13&lt;&gt;"."),dir!Y13/((1/1000)*(Irr!X13+Irr!BT13)),IF(AND(Irr!X13=".",Irr!AV13&lt;&gt;".",Irr!BT13&lt;&gt;"."),dir!Y13/((1/1000)*(Irr!AV13+Irr!BT13)),IF(AND(Irr!X13=".",Irr!AV13=".",Irr!BT13&lt;&gt;"."),dir!Y13/((1/1000)*(Irr!BT13)),IF(AND(Irr!X13=".",Irr!AV13&lt;&gt;".",Irr!BT13="."),dir!Y13/((1/1000)*(Irr!AV13)),IF(AND(Irr!X13&lt;&gt;".",Irr!AV13=".",Irr!BT13="."),dir!Y13/((1/1000)*(Irr!X13)),IF(AND(Irr!X13=".",Irr!AV13=".",Irr!BT13="."),dir!Y13*1000)))))))),".")</f>
        <v>4.449176132608299</v>
      </c>
      <c r="Z13" s="76">
        <f>IFERROR(IF(AND(Irr!Y13&lt;&gt;".",Irr!AW13&lt;&gt;".",Irr!BU13&lt;&gt;"."),dir!Z13/((1/1000)*(Irr!Y13+Irr!AW13+Irr!BU13)),IF(AND(Irr!Y13&lt;&gt;".",Irr!AW13&lt;&gt;".",Irr!BU13="."),dir!Z13/((1/1000)*(Irr!Y13+Irr!AW13)),IF(AND(Irr!Y13&lt;&gt;".",Irr!AW13=".",Irr!BU13&lt;&gt;"."),dir!Z13/((1/1000)*(Irr!Y13+Irr!BU13)),IF(AND(Irr!Y13=".",Irr!AW13&lt;&gt;".",Irr!BU13&lt;&gt;"."),dir!Z13/((1/1000)*(Irr!AW13+Irr!BU13)),IF(AND(Irr!Y13=".",Irr!AW13=".",Irr!BU13&lt;&gt;"."),dir!Z13/((1/1000)*(Irr!BU13)),IF(AND(Irr!Y13=".",Irr!AW13&lt;&gt;".",Irr!BU13="."),dir!Z13/((1/1000)*(Irr!AW13)),IF(AND(Irr!Y13&lt;&gt;".",Irr!AW13=".",Irr!BU13="."),dir!Z13/((1/1000)*(Irr!Y13)),IF(AND(Irr!Y13=".",Irr!AW13=".",Irr!BU13="."),dir!Z13*1000)))))))),".")</f>
        <v>1.5842821015997941</v>
      </c>
      <c r="AA13" s="76">
        <f>IFERROR(IF(AND(Irr!Z13&lt;&gt;".",Irr!AX13&lt;&gt;".",Irr!BV13&lt;&gt;"."),dir!AA13/((1/1000)*(Irr!Z13+Irr!AX13+Irr!BV13)),IF(AND(Irr!Z13&lt;&gt;".",Irr!AX13&lt;&gt;".",Irr!BV13="."),dir!AA13/((1/1000)*(Irr!Z13+Irr!AX13)),IF(AND(Irr!Z13&lt;&gt;".",Irr!AX13=".",Irr!BV13&lt;&gt;"."),dir!AA13/((1/1000)*(Irr!Z13+Irr!BV13)),IF(AND(Irr!Z13=".",Irr!AX13&lt;&gt;".",Irr!BV13&lt;&gt;"."),dir!AA13/((1/1000)*(Irr!AX13+Irr!BV13)),IF(AND(Irr!Z13=".",Irr!AX13=".",Irr!BV13&lt;&gt;"."),dir!AA13/((1/1000)*(Irr!BV13)),IF(AND(Irr!Z13=".",Irr!AX13&lt;&gt;".",Irr!BV13="."),dir!AA13/((1/1000)*(Irr!AX13)),IF(AND(Irr!Z13&lt;&gt;".",Irr!AX13=".",Irr!BV13="."),dir!AA13/((1/1000)*(Irr!Z13)),IF(AND(Irr!Z13=".",Irr!AX13=".",Irr!BV13="."),dir!AA13*1000)))))))),".")</f>
        <v>1.2857778358518475</v>
      </c>
      <c r="AB13" s="76">
        <f t="shared" ref="AB13:AB14" si="13">IFERROR(1/SUM(1/AC13,1/AD13,1/AE13,1/AF13,1/AG13,1/AH13,1/AI13,1/AJ13,1/AK13,1/AL13,1/AM13,1/AN13,1/AO13,1/AP13,1/AQ13,1/AR13,1/AS13,1/AT13,1/AU13,1/AV13,1/AW13,1/AX13),".")</f>
        <v>0.15340794392092796</v>
      </c>
      <c r="AC13" s="76">
        <f>IFERROR(IF(AND(Irr!C13&lt;&gt;".",Irr!AA13&lt;&gt;".",Irr!AY13&lt;&gt;"."),dir!AC13/((1/1000)*(Irr!C13+Irr!AA13+Irr!AY13)),IF(AND(Irr!C13&lt;&gt;".",Irr!AA13&lt;&gt;".",Irr!AY13="."),dir!AC13/((1/1000)*(Irr!C13+Irr!AA13)),IF(AND(Irr!C13&lt;&gt;".",Irr!AA13=".",Irr!AY13&lt;&gt;"."),dir!AC13/((1/1000)*(Irr!C13+Irr!AY13)),IF(AND(Irr!C13=".",Irr!AA13&lt;&gt;".",Irr!AY13&lt;&gt;"."),dir!AC13/((1/1000)*(Irr!AA13+Irr!AY13)),IF(AND(Irr!C13=".",Irr!AA13=".",Irr!AY13&lt;&gt;"."),dir!AC13/((1/1000)*(Irr!AY13)),IF(AND(Irr!C13=".",Irr!AA13&lt;&gt;".",Irr!AY13="."),dir!AC13/((1/1000)*(Irr!AA13)),IF(AND(Irr!C13&lt;&gt;".",Irr!AA13=".",Irr!AY13="."),dir!AC13/((1/1000)*(Irr!C13)),IF(AND(Irr!C13=".",Irr!AA13=".",Irr!AY13="."),dir!AC13*1000)))))))),".")</f>
        <v>2.7898394091736183</v>
      </c>
      <c r="AD13" s="76">
        <f>IFERROR(IF(AND(Irr!D13&lt;&gt;".",Irr!AB13&lt;&gt;".",Irr!AZ13&lt;&gt;"."),dir!AD13/((1/1000)*(Irr!D13+Irr!AB13+Irr!AZ13)),IF(AND(Irr!D13&lt;&gt;".",Irr!AB13&lt;&gt;".",Irr!AZ13="."),dir!AD13/((1/1000)*(Irr!D13+Irr!AB13)),IF(AND(Irr!D13&lt;&gt;".",Irr!AB13=".",Irr!AZ13&lt;&gt;"."),dir!AD13/((1/1000)*(Irr!D13+Irr!AZ13)),IF(AND(Irr!D13=".",Irr!AB13&lt;&gt;".",Irr!AZ13&lt;&gt;"."),dir!AD13/((1/1000)*(Irr!AB13+Irr!AZ13)),IF(AND(Irr!D13=".",Irr!AB13=".",Irr!AZ13&lt;&gt;"."),dir!AD13/((1/1000)*(Irr!AZ13)),IF(AND(Irr!D13=".",Irr!AB13&lt;&gt;".",Irr!AZ13="."),dir!AD13/((1/1000)*(Irr!AB13)),IF(AND(Irr!D13&lt;&gt;".",Irr!AB13=".",Irr!AZ13="."),dir!AD13/((1/1000)*(Irr!D13)),IF(AND(Irr!D13=".",Irr!AB13=".",Irr!AZ13="."),dir!AD13*1000)))))))),".")</f>
        <v>5.3098165121849012</v>
      </c>
      <c r="AE13" s="76">
        <f>IFERROR(IF(AND(Irr!E13&lt;&gt;".",Irr!AC13&lt;&gt;".",Irr!BA13&lt;&gt;"."),dir!AE13/((1/1000)*(Irr!E13+Irr!AC13+Irr!BA13)),IF(AND(Irr!E13&lt;&gt;".",Irr!AC13&lt;&gt;".",Irr!BA13="."),dir!AE13/((1/1000)*(Irr!E13+Irr!AC13)),IF(AND(Irr!E13&lt;&gt;".",Irr!AC13=".",Irr!BA13&lt;&gt;"."),dir!AE13/((1/1000)*(Irr!E13+Irr!BA13)),IF(AND(Irr!E13=".",Irr!AC13&lt;&gt;".",Irr!BA13&lt;&gt;"."),dir!AE13/((1/1000)*(Irr!AC13+Irr!BA13)),IF(AND(Irr!E13=".",Irr!AC13=".",Irr!BA13&lt;&gt;"."),dir!AE13/((1/1000)*(Irr!BA13)),IF(AND(Irr!E13=".",Irr!AC13&lt;&gt;".",Irr!BA13="."),dir!AE13/((1/1000)*(Irr!AC13)),IF(AND(Irr!E13&lt;&gt;".",Irr!AC13=".",Irr!BA13="."),dir!AE13/((1/1000)*(Irr!E13)),IF(AND(Irr!E13=".",Irr!AC13=".",Irr!BA13="."),dir!AE13*1000)))))))),".")</f>
        <v>6.6115198126829302</v>
      </c>
      <c r="AF13" s="76">
        <f>IFERROR(IF(AND(Irr!F13&lt;&gt;".",Irr!AD13&lt;&gt;".",Irr!BB13&lt;&gt;"."),dir!AF13/((1/1000)*(Irr!F13+Irr!AD13+Irr!BB13)),IF(AND(Irr!F13&lt;&gt;".",Irr!AD13&lt;&gt;".",Irr!BB13="."),dir!AF13/((1/1000)*(Irr!F13+Irr!AD13)),IF(AND(Irr!F13&lt;&gt;".",Irr!AD13=".",Irr!BB13&lt;&gt;"."),dir!AF13/((1/1000)*(Irr!F13+Irr!BB13)),IF(AND(Irr!F13=".",Irr!AD13&lt;&gt;".",Irr!BB13&lt;&gt;"."),dir!AF13/((1/1000)*(Irr!AD13+Irr!BB13)),IF(AND(Irr!F13=".",Irr!AD13=".",Irr!BB13&lt;&gt;"."),dir!AF13/((1/1000)*(Irr!BB13)),IF(AND(Irr!F13=".",Irr!AD13&lt;&gt;".",Irr!BB13="."),dir!AF13/((1/1000)*(Irr!AD13)),IF(AND(Irr!F13&lt;&gt;".",Irr!AD13=".",Irr!BB13="."),dir!AF13/((1/1000)*(Irr!F13)),IF(AND(Irr!F13=".",Irr!AD13=".",Irr!BB13="."),dir!AF13*1000)))))))),".")</f>
        <v>6.9942786837870088</v>
      </c>
      <c r="AG13" s="76">
        <f>IFERROR(IF(AND(Irr!G13&lt;&gt;".",Irr!AE13&lt;&gt;".",Irr!BC13&lt;&gt;"."),dir!AG13/((1/1000)*(Irr!G13+Irr!AE13+Irr!BC13)),IF(AND(Irr!G13&lt;&gt;".",Irr!AE13&lt;&gt;".",Irr!BC13="."),dir!AG13/((1/1000)*(Irr!G13+Irr!AE13)),IF(AND(Irr!G13&lt;&gt;".",Irr!AE13=".",Irr!BC13&lt;&gt;"."),dir!AG13/((1/1000)*(Irr!G13+Irr!BC13)),IF(AND(Irr!G13=".",Irr!AE13&lt;&gt;".",Irr!BC13&lt;&gt;"."),dir!AG13/((1/1000)*(Irr!AE13+Irr!BC13)),IF(AND(Irr!G13=".",Irr!AE13=".",Irr!BC13&lt;&gt;"."),dir!AG13/((1/1000)*(Irr!BC13)),IF(AND(Irr!G13=".",Irr!AE13&lt;&gt;".",Irr!BC13="."),dir!AG13/((1/1000)*(Irr!AE13)),IF(AND(Irr!G13&lt;&gt;".",Irr!AE13=".",Irr!BC13="."),dir!AG13/((1/1000)*(Irr!G13)),IF(AND(Irr!G13=".",Irr!AE13=".",Irr!BC13="."),dir!AG13*1000)))))))),".")</f>
        <v>6.1995185570718618</v>
      </c>
      <c r="AH13" s="76">
        <f>IFERROR(IF(AND(Irr!H13&lt;&gt;".",Irr!AF13&lt;&gt;".",Irr!BD13&lt;&gt;"."),dir!AH13/((1/1000)*(Irr!H13+Irr!AF13+Irr!BD13)),IF(AND(Irr!H13&lt;&gt;".",Irr!AF13&lt;&gt;".",Irr!BD13="."),dir!AH13/((1/1000)*(Irr!H13+Irr!AF13)),IF(AND(Irr!H13&lt;&gt;".",Irr!AF13=".",Irr!BD13&lt;&gt;"."),dir!AH13/((1/1000)*(Irr!H13+Irr!BD13)),IF(AND(Irr!H13=".",Irr!AF13&lt;&gt;".",Irr!BD13&lt;&gt;"."),dir!AH13/((1/1000)*(Irr!AF13+Irr!BD13)),IF(AND(Irr!H13=".",Irr!AF13=".",Irr!BD13&lt;&gt;"."),dir!AH13/((1/1000)*(Irr!BD13)),IF(AND(Irr!H13=".",Irr!AF13&lt;&gt;".",Irr!BD13="."),dir!AH13/((1/1000)*(Irr!AF13)),IF(AND(Irr!H13&lt;&gt;".",Irr!AF13=".",Irr!BD13="."),dir!AH13/((1/1000)*(Irr!H13)),IF(AND(Irr!H13=".",Irr!AF13=".",Irr!BD13="."),dir!AH13*1000)))))))),".")</f>
        <v>2.5062949497299294</v>
      </c>
      <c r="AI13" s="76">
        <f>IFERROR(IF(AND(Irr!I13&lt;&gt;".",Irr!AG13&lt;&gt;".",Irr!BE13&lt;&gt;"."),dir!AI13/((1/1000)*(Irr!I13+Irr!AG13+Irr!BE13)),IF(AND(Irr!I13&lt;&gt;".",Irr!AG13&lt;&gt;".",Irr!BE13="."),dir!AI13/((1/1000)*(Irr!I13+Irr!AG13)),IF(AND(Irr!I13&lt;&gt;".",Irr!AG13=".",Irr!BE13&lt;&gt;"."),dir!AI13/((1/1000)*(Irr!I13+Irr!BE13)),IF(AND(Irr!I13=".",Irr!AG13&lt;&gt;".",Irr!BE13&lt;&gt;"."),dir!AI13/((1/1000)*(Irr!AG13+Irr!BE13)),IF(AND(Irr!I13=".",Irr!AG13=".",Irr!BE13&lt;&gt;"."),dir!AI13/((1/1000)*(Irr!BE13)),IF(AND(Irr!I13=".",Irr!AG13&lt;&gt;".",Irr!BE13="."),dir!AI13/((1/1000)*(Irr!AG13)),IF(AND(Irr!I13&lt;&gt;".",Irr!AG13=".",Irr!BE13="."),dir!AI13/((1/1000)*(Irr!I13)),IF(AND(Irr!I13=".",Irr!AG13=".",Irr!BE13="."),dir!AI13*1000)))))))),".")</f>
        <v>8.5525822051176235</v>
      </c>
      <c r="AJ13" s="76">
        <f>IFERROR(IF(AND(Irr!J13&lt;&gt;".",Irr!AH13&lt;&gt;".",Irr!BF13&lt;&gt;"."),dir!AJ13/((1/1000)*(Irr!J13+Irr!AH13+Irr!BF13)),IF(AND(Irr!J13&lt;&gt;".",Irr!AH13&lt;&gt;".",Irr!BF13="."),dir!AJ13/((1/1000)*(Irr!J13+Irr!AH13)),IF(AND(Irr!J13&lt;&gt;".",Irr!AH13=".",Irr!BF13&lt;&gt;"."),dir!AJ13/((1/1000)*(Irr!J13+Irr!BF13)),IF(AND(Irr!J13=".",Irr!AH13&lt;&gt;".",Irr!BF13&lt;&gt;"."),dir!AJ13/((1/1000)*(Irr!AH13+Irr!BF13)),IF(AND(Irr!J13=".",Irr!AH13=".",Irr!BF13&lt;&gt;"."),dir!AJ13/((1/1000)*(Irr!BF13)),IF(AND(Irr!J13=".",Irr!AH13&lt;&gt;".",Irr!BF13="."),dir!AJ13/((1/1000)*(Irr!AH13)),IF(AND(Irr!J13&lt;&gt;".",Irr!AH13=".",Irr!BF13="."),dir!AJ13/((1/1000)*(Irr!J13)),IF(AND(Irr!J13=".",Irr!AH13=".",Irr!BF13="."),dir!AJ13*1000)))))))),".")</f>
        <v>0.80627432908966012</v>
      </c>
      <c r="AK13" s="76">
        <f>IFERROR(IF(AND(Irr!K13&lt;&gt;".",Irr!AI13&lt;&gt;".",Irr!BG13&lt;&gt;"."),dir!AK13/((1/1000)*(Irr!K13+Irr!AI13+Irr!BG13)),IF(AND(Irr!K13&lt;&gt;".",Irr!AI13&lt;&gt;".",Irr!BG13="."),dir!AK13/((1/1000)*(Irr!K13+Irr!AI13)),IF(AND(Irr!K13&lt;&gt;".",Irr!AI13=".",Irr!BG13&lt;&gt;"."),dir!AK13/((1/1000)*(Irr!K13+Irr!BG13)),IF(AND(Irr!K13=".",Irr!AI13&lt;&gt;".",Irr!BG13&lt;&gt;"."),dir!AK13/((1/1000)*(Irr!AI13+Irr!BG13)),IF(AND(Irr!K13=".",Irr!AI13=".",Irr!BG13&lt;&gt;"."),dir!AK13/((1/1000)*(Irr!BG13)),IF(AND(Irr!K13=".",Irr!AI13&lt;&gt;".",Irr!BG13="."),dir!AK13/((1/1000)*(Irr!AI13)),IF(AND(Irr!K13&lt;&gt;".",Irr!AI13=".",Irr!BG13="."),dir!AK13/((1/1000)*(Irr!K13)),IF(AND(Irr!K13=".",Irr!AI13=".",Irr!BG13="."),dir!AK13*1000)))))))),".")</f>
        <v>3.0247079022047108</v>
      </c>
      <c r="AL13" s="76">
        <f>IFERROR(IF(AND(Irr!L13&lt;&gt;".",Irr!AJ13&lt;&gt;".",Irr!BH13&lt;&gt;"."),dir!AL13/((1/1000)*(Irr!L13+Irr!AJ13+Irr!BH13)),IF(AND(Irr!L13&lt;&gt;".",Irr!AJ13&lt;&gt;".",Irr!BH13="."),dir!AL13/((1/1000)*(Irr!L13+Irr!AJ13)),IF(AND(Irr!L13&lt;&gt;".",Irr!AJ13=".",Irr!BH13&lt;&gt;"."),dir!AL13/((1/1000)*(Irr!L13+Irr!BH13)),IF(AND(Irr!L13=".",Irr!AJ13&lt;&gt;".",Irr!BH13&lt;&gt;"."),dir!AL13/((1/1000)*(Irr!AJ13+Irr!BH13)),IF(AND(Irr!L13=".",Irr!AJ13=".",Irr!BH13&lt;&gt;"."),dir!AL13/((1/1000)*(Irr!BH13)),IF(AND(Irr!L13=".",Irr!AJ13&lt;&gt;".",Irr!BH13="."),dir!AL13/((1/1000)*(Irr!AJ13)),IF(AND(Irr!L13&lt;&gt;".",Irr!AJ13=".",Irr!BH13="."),dir!AL13/((1/1000)*(Irr!L13)),IF(AND(Irr!L13=".",Irr!AJ13=".",Irr!BH13="."),dir!AL13*1000)))))))),".")</f>
        <v>4.0857774471452686</v>
      </c>
      <c r="AM13" s="76">
        <f>IFERROR(IF(AND(Irr!M13&lt;&gt;".",Irr!AK13&lt;&gt;".",Irr!BI13&lt;&gt;"."),dir!AM13/((1/1000)*(Irr!M13+Irr!AK13+Irr!BI13)),IF(AND(Irr!M13&lt;&gt;".",Irr!AK13&lt;&gt;".",Irr!BI13="."),dir!AM13/((1/1000)*(Irr!M13+Irr!AK13)),IF(AND(Irr!M13&lt;&gt;".",Irr!AK13=".",Irr!BI13&lt;&gt;"."),dir!AM13/((1/1000)*(Irr!M13+Irr!BI13)),IF(AND(Irr!M13=".",Irr!AK13&lt;&gt;".",Irr!BI13&lt;&gt;"."),dir!AM13/((1/1000)*(Irr!AK13+Irr!BI13)),IF(AND(Irr!M13=".",Irr!AK13=".",Irr!BI13&lt;&gt;"."),dir!AM13/((1/1000)*(Irr!BI13)),IF(AND(Irr!M13=".",Irr!AK13&lt;&gt;".",Irr!BI13="."),dir!AM13/((1/1000)*(Irr!AK13)),IF(AND(Irr!M13&lt;&gt;".",Irr!AK13=".",Irr!BI13="."),dir!AM13/((1/1000)*(Irr!M13)),IF(AND(Irr!M13=".",Irr!AK13=".",Irr!BI13="."),dir!AM13*1000)))))))),".")</f>
        <v>5.2088454840054084</v>
      </c>
      <c r="AN13" s="76">
        <f>IFERROR(IF(AND(Irr!N13&lt;&gt;".",Irr!AL13&lt;&gt;".",Irr!BJ13&lt;&gt;"."),dir!AN13/((1/1000)*(Irr!N13+Irr!AL13+Irr!BJ13)),IF(AND(Irr!N13&lt;&gt;".",Irr!AL13&lt;&gt;".",Irr!BJ13="."),dir!AN13/((1/1000)*(Irr!N13+Irr!AL13)),IF(AND(Irr!N13&lt;&gt;".",Irr!AL13=".",Irr!BJ13&lt;&gt;"."),dir!AN13/((1/1000)*(Irr!N13+Irr!BJ13)),IF(AND(Irr!N13=".",Irr!AL13&lt;&gt;".",Irr!BJ13&lt;&gt;"."),dir!AN13/((1/1000)*(Irr!AL13+Irr!BJ13)),IF(AND(Irr!N13=".",Irr!AL13=".",Irr!BJ13&lt;&gt;"."),dir!AN13/((1/1000)*(Irr!BJ13)),IF(AND(Irr!N13=".",Irr!AL13&lt;&gt;".",Irr!BJ13="."),dir!AN13/((1/1000)*(Irr!AL13)),IF(AND(Irr!N13&lt;&gt;".",Irr!AL13=".",Irr!BJ13="."),dir!AN13/((1/1000)*(Irr!N13)),IF(AND(Irr!N13=".",Irr!AL13=".",Irr!BJ13="."),dir!AN13*1000)))))))),".")</f>
        <v>6.6133764304745117</v>
      </c>
      <c r="AO13" s="76">
        <f>IFERROR(IF(AND(Irr!O13&lt;&gt;".",Irr!AM13&lt;&gt;".",Irr!BK13&lt;&gt;"."),dir!AO13/((1/1000)*(Irr!O13+Irr!AM13+Irr!BK13)),IF(AND(Irr!O13&lt;&gt;".",Irr!AM13&lt;&gt;".",Irr!BK13="."),dir!AO13/((1/1000)*(Irr!O13+Irr!AM13)),IF(AND(Irr!O13&lt;&gt;".",Irr!AM13=".",Irr!BK13&lt;&gt;"."),dir!AO13/((1/1000)*(Irr!O13+Irr!BK13)),IF(AND(Irr!O13=".",Irr!AM13&lt;&gt;".",Irr!BK13&lt;&gt;"."),dir!AO13/((1/1000)*(Irr!AM13+Irr!BK13)),IF(AND(Irr!O13=".",Irr!AM13=".",Irr!BK13&lt;&gt;"."),dir!AO13/((1/1000)*(Irr!BK13)),IF(AND(Irr!O13=".",Irr!AM13&lt;&gt;".",Irr!BK13="."),dir!AO13/((1/1000)*(Irr!AM13)),IF(AND(Irr!O13&lt;&gt;".",Irr!AM13=".",Irr!BK13="."),dir!AO13/((1/1000)*(Irr!O13)),IF(AND(Irr!O13=".",Irr!AM13=".",Irr!BK13="."),dir!AO13*1000)))))))),".")</f>
        <v>7.5931694807733443</v>
      </c>
      <c r="AP13" s="76">
        <f>IFERROR(IF(AND(Irr!P13&lt;&gt;".",Irr!AN13&lt;&gt;".",Irr!BL13&lt;&gt;"."),dir!AP13/((1/1000)*(Irr!P13+Irr!AN13+Irr!BL13)),IF(AND(Irr!P13&lt;&gt;".",Irr!AN13&lt;&gt;".",Irr!BL13="."),dir!AP13/((1/1000)*(Irr!P13+Irr!AN13)),IF(AND(Irr!P13&lt;&gt;".",Irr!AN13=".",Irr!BL13&lt;&gt;"."),dir!AP13/((1/1000)*(Irr!P13+Irr!BL13)),IF(AND(Irr!P13=".",Irr!AN13&lt;&gt;".",Irr!BL13&lt;&gt;"."),dir!AP13/((1/1000)*(Irr!AN13+Irr!BL13)),IF(AND(Irr!P13=".",Irr!AN13=".",Irr!BL13&lt;&gt;"."),dir!AP13/((1/1000)*(Irr!BL13)),IF(AND(Irr!P13=".",Irr!AN13&lt;&gt;".",Irr!BL13="."),dir!AP13/((1/1000)*(Irr!AN13)),IF(AND(Irr!P13&lt;&gt;".",Irr!AN13=".",Irr!BL13="."),dir!AP13/((1/1000)*(Irr!P13)),IF(AND(Irr!P13=".",Irr!AN13=".",Irr!BL13="."),dir!AP13*1000)))))))),".")</f>
        <v>8.3026760454751916</v>
      </c>
      <c r="AQ13" s="76">
        <f>IFERROR(IF(AND(Irr!Q13&lt;&gt;".",Irr!AO13&lt;&gt;".",Irr!BM13&lt;&gt;"."),dir!AQ13/((1/1000)*(Irr!Q13+Irr!AO13+Irr!BM13)),IF(AND(Irr!Q13&lt;&gt;".",Irr!AO13&lt;&gt;".",Irr!BM13="."),dir!AQ13/((1/1000)*(Irr!Q13+Irr!AO13)),IF(AND(Irr!Q13&lt;&gt;".",Irr!AO13=".",Irr!BM13&lt;&gt;"."),dir!AQ13/((1/1000)*(Irr!Q13+Irr!BM13)),IF(AND(Irr!Q13=".",Irr!AO13&lt;&gt;".",Irr!BM13&lt;&gt;"."),dir!AQ13/((1/1000)*(Irr!AO13+Irr!BM13)),IF(AND(Irr!Q13=".",Irr!AO13=".",Irr!BM13&lt;&gt;"."),dir!AQ13/((1/1000)*(Irr!BM13)),IF(AND(Irr!Q13=".",Irr!AO13&lt;&gt;".",Irr!BM13="."),dir!AQ13/((1/1000)*(Irr!AO13)),IF(AND(Irr!Q13&lt;&gt;".",Irr!AO13=".",Irr!BM13="."),dir!AQ13/((1/1000)*(Irr!Q13)),IF(AND(Irr!Q13=".",Irr!AO13=".",Irr!BM13="."),dir!AQ13*1000)))))))),".")</f>
        <v>2.2975632105780677</v>
      </c>
      <c r="AR13" s="76">
        <f>IFERROR(IF(AND(Irr!R13&lt;&gt;".",Irr!AP13&lt;&gt;".",Irr!BN13&lt;&gt;"."),dir!AR13/((1/1000)*(Irr!R13+Irr!AP13+Irr!BN13)),IF(AND(Irr!R13&lt;&gt;".",Irr!AP13&lt;&gt;".",Irr!BN13="."),dir!AR13/((1/1000)*(Irr!R13+Irr!AP13)),IF(AND(Irr!R13&lt;&gt;".",Irr!AP13=".",Irr!BN13&lt;&gt;"."),dir!AR13/((1/1000)*(Irr!R13+Irr!BN13)),IF(AND(Irr!R13=".",Irr!AP13&lt;&gt;".",Irr!BN13&lt;&gt;"."),dir!AR13/((1/1000)*(Irr!AP13+Irr!BN13)),IF(AND(Irr!R13=".",Irr!AP13=".",Irr!BN13&lt;&gt;"."),dir!AR13/((1/1000)*(Irr!BN13)),IF(AND(Irr!R13=".",Irr!AP13&lt;&gt;".",Irr!BN13="."),dir!AR13/((1/1000)*(Irr!AP13)),IF(AND(Irr!R13&lt;&gt;".",Irr!AP13=".",Irr!BN13="."),dir!AR13/((1/1000)*(Irr!R13)),IF(AND(Irr!R13=".",Irr!AP13=".",Irr!BN13="."),dir!AR13*1000)))))))),".")</f>
        <v>3.7776607914093256</v>
      </c>
      <c r="AS13" s="76">
        <f>IFERROR(IF(AND(Irr!S13&lt;&gt;".",Irr!AQ13&lt;&gt;".",Irr!BO13&lt;&gt;"."),dir!AS13/((1/1000)*(Irr!S13+Irr!AQ13+Irr!BO13)),IF(AND(Irr!S13&lt;&gt;".",Irr!AQ13&lt;&gt;".",Irr!BO13="."),dir!AS13/((1/1000)*(Irr!S13+Irr!AQ13)),IF(AND(Irr!S13&lt;&gt;".",Irr!AQ13=".",Irr!BO13&lt;&gt;"."),dir!AS13/((1/1000)*(Irr!S13+Irr!BO13)),IF(AND(Irr!S13=".",Irr!AQ13&lt;&gt;".",Irr!BO13&lt;&gt;"."),dir!AS13/((1/1000)*(Irr!AQ13+Irr!BO13)),IF(AND(Irr!S13=".",Irr!AQ13=".",Irr!BO13&lt;&gt;"."),dir!AS13/((1/1000)*(Irr!BO13)),IF(AND(Irr!S13=".",Irr!AQ13&lt;&gt;".",Irr!BO13="."),dir!AS13/((1/1000)*(Irr!AQ13)),IF(AND(Irr!S13&lt;&gt;".",Irr!AQ13=".",Irr!BO13="."),dir!AS13/((1/1000)*(Irr!S13)),IF(AND(Irr!S13=".",Irr!AQ13=".",Irr!BO13="."),dir!AS13*1000)))))))),".")</f>
        <v>6.4792151669214268</v>
      </c>
      <c r="AT13" s="76">
        <f>IFERROR(IF(AND(Irr!T13&lt;&gt;".",Irr!AR13&lt;&gt;".",Irr!BP13&lt;&gt;"."),dir!AT13/((1/1000)*(Irr!T13+Irr!AR13+Irr!BP13)),IF(AND(Irr!T13&lt;&gt;".",Irr!AR13&lt;&gt;".",Irr!BP13="."),dir!AT13/((1/1000)*(Irr!T13+Irr!AR13)),IF(AND(Irr!T13&lt;&gt;".",Irr!AR13=".",Irr!BP13&lt;&gt;"."),dir!AT13/((1/1000)*(Irr!T13+Irr!BP13)),IF(AND(Irr!T13=".",Irr!AR13&lt;&gt;".",Irr!BP13&lt;&gt;"."),dir!AT13/((1/1000)*(Irr!AR13+Irr!BP13)),IF(AND(Irr!T13=".",Irr!AR13=".",Irr!BP13&lt;&gt;"."),dir!AT13/((1/1000)*(Irr!BP13)),IF(AND(Irr!T13=".",Irr!AR13&lt;&gt;".",Irr!BP13="."),dir!AT13/((1/1000)*(Irr!AR13)),IF(AND(Irr!T13&lt;&gt;".",Irr!AR13=".",Irr!BP13="."),dir!AT13/((1/1000)*(Irr!T13)),IF(AND(Irr!T13=".",Irr!AR13=".",Irr!BP13="."),dir!AT13*1000)))))))),".")</f>
        <v>1.7319528192386791</v>
      </c>
      <c r="AU13" s="76">
        <f>IFERROR(IF(AND(Irr!U13&lt;&gt;".",Irr!AS13&lt;&gt;".",Irr!BQ13&lt;&gt;"."),dir!AU13/((1/1000)*(Irr!U13+Irr!AS13+Irr!BQ13)),IF(AND(Irr!U13&lt;&gt;".",Irr!AS13&lt;&gt;".",Irr!BQ13="."),dir!AU13/((1/1000)*(Irr!U13+Irr!AS13)),IF(AND(Irr!U13&lt;&gt;".",Irr!AS13=".",Irr!BQ13&lt;&gt;"."),dir!AU13/((1/1000)*(Irr!U13+Irr!BQ13)),IF(AND(Irr!U13=".",Irr!AS13&lt;&gt;".",Irr!BQ13&lt;&gt;"."),dir!AU13/((1/1000)*(Irr!AS13+Irr!BQ13)),IF(AND(Irr!U13=".",Irr!AS13=".",Irr!BQ13&lt;&gt;"."),dir!AU13/((1/1000)*(Irr!BQ13)),IF(AND(Irr!U13=".",Irr!AS13&lt;&gt;".",Irr!BQ13="."),dir!AU13/((1/1000)*(Irr!AS13)),IF(AND(Irr!U13&lt;&gt;".",Irr!AS13=".",Irr!BQ13="."),dir!AU13/((1/1000)*(Irr!U13)),IF(AND(Irr!U13=".",Irr!AS13=".",Irr!BQ13="."),dir!AU13*1000)))))))),".")</f>
        <v>3.2491122830161387</v>
      </c>
      <c r="AV13" s="76">
        <f>IFERROR(IF(AND(Irr!V13&lt;&gt;".",Irr!AT13&lt;&gt;".",Irr!BR13&lt;&gt;"."),dir!AV13/((1/1000)*(Irr!V13+Irr!AT13+Irr!BR13)),IF(AND(Irr!V13&lt;&gt;".",Irr!AT13&lt;&gt;".",Irr!BR13="."),dir!AV13/((1/1000)*(Irr!V13+Irr!AT13)),IF(AND(Irr!V13&lt;&gt;".",Irr!AT13=".",Irr!BR13&lt;&gt;"."),dir!AV13/((1/1000)*(Irr!V13+Irr!BR13)),IF(AND(Irr!V13=".",Irr!AT13&lt;&gt;".",Irr!BR13&lt;&gt;"."),dir!AV13/((1/1000)*(Irr!AT13+Irr!BR13)),IF(AND(Irr!V13=".",Irr!AT13=".",Irr!BR13&lt;&gt;"."),dir!AV13/((1/1000)*(Irr!BR13)),IF(AND(Irr!V13=".",Irr!AT13&lt;&gt;".",Irr!BR13="."),dir!AV13/((1/1000)*(Irr!AT13)),IF(AND(Irr!V13&lt;&gt;".",Irr!AT13=".",Irr!BR13="."),dir!AV13/((1/1000)*(Irr!V13)),IF(AND(Irr!V13=".",Irr!AT13=".",Irr!BR13="."),dir!AV13*1000)))))))),".")</f>
        <v>3.8767843120544261</v>
      </c>
      <c r="AW13" s="76">
        <f>IFERROR(IF(AND(Irr!W13&lt;&gt;".",Irr!AU13&lt;&gt;".",Irr!BS13&lt;&gt;"."),dir!AW13/((1/1000)*(Irr!W13+Irr!AU13+Irr!BS13)),IF(AND(Irr!W13&lt;&gt;".",Irr!AU13&lt;&gt;".",Irr!BS13="."),dir!AW13/((1/1000)*(Irr!W13+Irr!AU13)),IF(AND(Irr!W13&lt;&gt;".",Irr!AU13=".",Irr!BS13&lt;&gt;"."),dir!AW13/((1/1000)*(Irr!W13+Irr!BS13)),IF(AND(Irr!W13=".",Irr!AU13&lt;&gt;".",Irr!BS13&lt;&gt;"."),dir!AW13/((1/1000)*(Irr!AU13+Irr!BS13)),IF(AND(Irr!W13=".",Irr!AU13=".",Irr!BS13&lt;&gt;"."),dir!AW13/((1/1000)*(Irr!BS13)),IF(AND(Irr!W13=".",Irr!AU13&lt;&gt;".",Irr!BS13="."),dir!AW13/((1/1000)*(Irr!AU13)),IF(AND(Irr!W13&lt;&gt;".",Irr!AU13=".",Irr!BS13="."),dir!AW13/((1/1000)*(Irr!W13)),IF(AND(Irr!W13=".",Irr!AU13=".",Irr!BS13="."),dir!AW13*1000)))))))),".")</f>
        <v>6.1677233030547791</v>
      </c>
      <c r="AX13" s="76">
        <f>IFERROR(IF(AND(Irr!X13&lt;&gt;".",Irr!AV13&lt;&gt;".",Irr!BT13&lt;&gt;"."),dir!AX13/((1/1000)*(Irr!X13+Irr!AV13+Irr!BT13)),IF(AND(Irr!X13&lt;&gt;".",Irr!AV13&lt;&gt;".",Irr!BT13="."),dir!AX13/((1/1000)*(Irr!X13+Irr!AV13)),IF(AND(Irr!X13&lt;&gt;".",Irr!AV13=".",Irr!BT13&lt;&gt;"."),dir!AX13/((1/1000)*(Irr!X13+Irr!BT13)),IF(AND(Irr!X13=".",Irr!AV13&lt;&gt;".",Irr!BT13&lt;&gt;"."),dir!AX13/((1/1000)*(Irr!AV13+Irr!BT13)),IF(AND(Irr!X13=".",Irr!AV13=".",Irr!BT13&lt;&gt;"."),dir!AX13/((1/1000)*(Irr!BT13)),IF(AND(Irr!X13=".",Irr!AV13&lt;&gt;".",Irr!BT13="."),dir!AX13/((1/1000)*(Irr!AV13)),IF(AND(Irr!X13&lt;&gt;".",Irr!AV13=".",Irr!BT13="."),dir!AX13/((1/1000)*(Irr!X13)),IF(AND(Irr!X13=".",Irr!AV13=".",Irr!BT13="."),dir!AX13*1000)))))))),".")</f>
        <v>2.3264228520601744</v>
      </c>
      <c r="AY13" s="76">
        <f>IFERROR(IF(AND(Irr!Y13&lt;&gt;".",Irr!AW13&lt;&gt;".",Irr!BU13&lt;&gt;"."),dir!AY13/((1/1000)*(Irr!Y13+Irr!AW13+Irr!BU13)),IF(AND(Irr!Y13&lt;&gt;".",Irr!AW13&lt;&gt;".",Irr!BU13="."),dir!AY13/((1/1000)*(Irr!Y13+Irr!AW13)),IF(AND(Irr!Y13&lt;&gt;".",Irr!AW13=".",Irr!BU13&lt;&gt;"."),dir!AY13/((1/1000)*(Irr!Y13+Irr!BU13)),IF(AND(Irr!Y13=".",Irr!AW13&lt;&gt;".",Irr!BU13&lt;&gt;"."),dir!AY13/((1/1000)*(Irr!AW13+Irr!BU13)),IF(AND(Irr!Y13=".",Irr!AW13=".",Irr!BU13&lt;&gt;"."),dir!AY13/((1/1000)*(Irr!BU13)),IF(AND(Irr!Y13=".",Irr!AW13&lt;&gt;".",Irr!BU13="."),dir!AY13/((1/1000)*(Irr!AW13)),IF(AND(Irr!Y13&lt;&gt;".",Irr!AW13=".",Irr!BU13="."),dir!AY13/((1/1000)*(Irr!Y13)),IF(AND(Irr!Y13=".",Irr!AW13=".",Irr!BU13="."),dir!AY13*1000)))))))),".")</f>
        <v>0.80587760081376825</v>
      </c>
      <c r="AZ13" s="76">
        <f>IFERROR(IF(AND(Irr!Z13&lt;&gt;".",Irr!AX13&lt;&gt;".",Irr!BV13&lt;&gt;"."),dir!AZ13/((1/1000)*(Irr!Z13+Irr!AX13+Irr!BV13)),IF(AND(Irr!Z13&lt;&gt;".",Irr!AX13&lt;&gt;".",Irr!BV13="."),dir!AZ13/((1/1000)*(Irr!Z13+Irr!AX13)),IF(AND(Irr!Z13&lt;&gt;".",Irr!AX13=".",Irr!BV13&lt;&gt;"."),dir!AZ13/((1/1000)*(Irr!Z13+Irr!BV13)),IF(AND(Irr!Z13=".",Irr!AX13&lt;&gt;".",Irr!BV13&lt;&gt;"."),dir!AZ13/((1/1000)*(Irr!AX13+Irr!BV13)),IF(AND(Irr!Z13=".",Irr!AX13=".",Irr!BV13&lt;&gt;"."),dir!AZ13/((1/1000)*(Irr!BV13)),IF(AND(Irr!Z13=".",Irr!AX13&lt;&gt;".",Irr!BV13="."),dir!AZ13/((1/1000)*(Irr!AX13)),IF(AND(Irr!Z13&lt;&gt;".",Irr!AX13=".",Irr!BV13="."),dir!AZ13/((1/1000)*(Irr!Z13)),IF(AND(Irr!Z13=".",Irr!AX13=".",Irr!BV13="."),dir!AZ13*1000)))))))),".")</f>
        <v>0.799310223193203</v>
      </c>
    </row>
    <row r="14" spans="1:52" ht="15" customHeight="1" x14ac:dyDescent="0.25">
      <c r="A14" s="92" t="s">
        <v>24</v>
      </c>
      <c r="B14" s="90" t="s">
        <v>1074</v>
      </c>
      <c r="C14" s="76">
        <f t="shared" si="12"/>
        <v>2.3017936217088857</v>
      </c>
      <c r="D14" s="76">
        <f>IFERROR(IF(AND(Irr!C14&lt;&gt;".",Irr!AA14&lt;&gt;".",Irr!AY14&lt;&gt;"."),dir!D14/((1/1000)*(Irr!C14+Irr!AA14+Irr!AY14)),IF(AND(Irr!C14&lt;&gt;".",Irr!AA14&lt;&gt;".",Irr!AY14="."),dir!D14/((1/1000)*(Irr!C14+Irr!AA14)),IF(AND(Irr!C14&lt;&gt;".",Irr!AA14=".",Irr!AY14&lt;&gt;"."),dir!D14/((1/1000)*(Irr!C14+Irr!AY14)),IF(AND(Irr!C14=".",Irr!AA14&lt;&gt;".",Irr!AY14&lt;&gt;"."),dir!D14/((1/1000)*(Irr!AA14+Irr!AY14)),IF(AND(Irr!C14=".",Irr!AA14=".",Irr!AY14&lt;&gt;"."),dir!D14/((1/1000)*(Irr!AY14)),IF(AND(Irr!C14=".",Irr!AA14&lt;&gt;".",Irr!AY14="."),dir!D14/((1/1000)*(Irr!AA14)),IF(AND(Irr!C14&lt;&gt;".",Irr!AA14=".",Irr!AY14="."),dir!D14/((1/1000)*(Irr!C14)),IF(AND(Irr!C14=".",Irr!AA14=".",Irr!AY14="."),dir!D14*1000)))))))),".")</f>
        <v>41.768668522393845</v>
      </c>
      <c r="E14" s="76">
        <f>IFERROR(IF(AND(Irr!D14&lt;&gt;".",Irr!AB14&lt;&gt;".",Irr!AZ14&lt;&gt;"."),dir!E14/((1/1000)*(Irr!D14+Irr!AB14+Irr!AZ14)),IF(AND(Irr!D14&lt;&gt;".",Irr!AB14&lt;&gt;".",Irr!AZ14="."),dir!E14/((1/1000)*(Irr!D14+Irr!AB14)),IF(AND(Irr!D14&lt;&gt;".",Irr!AB14=".",Irr!AZ14&lt;&gt;"."),dir!E14/((1/1000)*(Irr!D14+Irr!AZ14)),IF(AND(Irr!D14=".",Irr!AB14&lt;&gt;".",Irr!AZ14&lt;&gt;"."),dir!E14/((1/1000)*(Irr!AB14+Irr!AZ14)),IF(AND(Irr!D14=".",Irr!AB14=".",Irr!AZ14&lt;&gt;"."),dir!E14/((1/1000)*(Irr!AZ14)),IF(AND(Irr!D14=".",Irr!AB14&lt;&gt;".",Irr!AZ14="."),dir!E14/((1/1000)*(Irr!AB14)),IF(AND(Irr!D14&lt;&gt;".",Irr!AB14=".",Irr!AZ14="."),dir!E14/((1/1000)*(Irr!D14)),IF(AND(Irr!D14=".",Irr!AB14=".",Irr!AZ14="."),dir!E14*1000)))))))),".")</f>
        <v>92.912388731372246</v>
      </c>
      <c r="F14" s="76">
        <f>IFERROR(IF(AND(Irr!E14&lt;&gt;".",Irr!AC14&lt;&gt;".",Irr!BA14&lt;&gt;"."),dir!F14/((1/1000)*(Irr!E14+Irr!AC14+Irr!BA14)),IF(AND(Irr!E14&lt;&gt;".",Irr!AC14&lt;&gt;".",Irr!BA14="."),dir!F14/((1/1000)*(Irr!E14+Irr!AC14)),IF(AND(Irr!E14&lt;&gt;".",Irr!AC14=".",Irr!BA14&lt;&gt;"."),dir!F14/((1/1000)*(Irr!E14+Irr!BA14)),IF(AND(Irr!E14=".",Irr!AC14&lt;&gt;".",Irr!BA14&lt;&gt;"."),dir!F14/((1/1000)*(Irr!AC14+Irr!BA14)),IF(AND(Irr!E14=".",Irr!AC14=".",Irr!BA14&lt;&gt;"."),dir!F14/((1/1000)*(Irr!BA14)),IF(AND(Irr!E14=".",Irr!AC14&lt;&gt;".",Irr!BA14="."),dir!F14/((1/1000)*(Irr!AC14)),IF(AND(Irr!E14&lt;&gt;".",Irr!AC14=".",Irr!BA14="."),dir!F14/((1/1000)*(Irr!E14)),IF(AND(Irr!E14=".",Irr!AC14=".",Irr!BA14="."),dir!F14*1000)))))))),".")</f>
        <v>113.59687422005489</v>
      </c>
      <c r="G14" s="76">
        <f>IFERROR(IF(AND(Irr!F14&lt;&gt;".",Irr!AD14&lt;&gt;".",Irr!BB14&lt;&gt;"."),dir!G14/((1/1000)*(Irr!F14+Irr!AD14+Irr!BB14)),IF(AND(Irr!F14&lt;&gt;".",Irr!AD14&lt;&gt;".",Irr!BB14="."),dir!G14/((1/1000)*(Irr!F14+Irr!AD14)),IF(AND(Irr!F14&lt;&gt;".",Irr!AD14=".",Irr!BB14&lt;&gt;"."),dir!G14/((1/1000)*(Irr!F14+Irr!BB14)),IF(AND(Irr!F14=".",Irr!AD14&lt;&gt;".",Irr!BB14&lt;&gt;"."),dir!G14/((1/1000)*(Irr!AD14+Irr!BB14)),IF(AND(Irr!F14=".",Irr!AD14=".",Irr!BB14&lt;&gt;"."),dir!G14/((1/1000)*(Irr!BB14)),IF(AND(Irr!F14=".",Irr!AD14&lt;&gt;".",Irr!BB14="."),dir!G14/((1/1000)*(Irr!AD14)),IF(AND(Irr!F14&lt;&gt;".",Irr!AD14=".",Irr!BB14="."),dir!G14/((1/1000)*(Irr!F14)),IF(AND(Irr!F14=".",Irr!AD14=".",Irr!BB14="."),dir!G14*1000)))))))),".")</f>
        <v>93.559947623659468</v>
      </c>
      <c r="H14" s="76">
        <f>IFERROR(IF(AND(Irr!G14&lt;&gt;".",Irr!AE14&lt;&gt;".",Irr!BC14&lt;&gt;"."),dir!H14/((1/1000)*(Irr!G14+Irr!AE14+Irr!BC14)),IF(AND(Irr!G14&lt;&gt;".",Irr!AE14&lt;&gt;".",Irr!BC14="."),dir!H14/((1/1000)*(Irr!G14+Irr!AE14)),IF(AND(Irr!G14&lt;&gt;".",Irr!AE14=".",Irr!BC14&lt;&gt;"."),dir!H14/((1/1000)*(Irr!G14+Irr!BC14)),IF(AND(Irr!G14=".",Irr!AE14&lt;&gt;".",Irr!BC14&lt;&gt;"."),dir!H14/((1/1000)*(Irr!AE14+Irr!BC14)),IF(AND(Irr!G14=".",Irr!AE14=".",Irr!BC14&lt;&gt;"."),dir!H14/((1/1000)*(Irr!BC14)),IF(AND(Irr!G14=".",Irr!AE14&lt;&gt;".",Irr!BC14="."),dir!H14/((1/1000)*(Irr!AE14)),IF(AND(Irr!G14&lt;&gt;".",Irr!AE14=".",Irr!BC14="."),dir!H14/((1/1000)*(Irr!G14)),IF(AND(Irr!G14=".",Irr!AE14=".",Irr!BC14="."),dir!H14*1000)))))))),".")</f>
        <v>110.02154867057519</v>
      </c>
      <c r="I14" s="76">
        <f>IFERROR(IF(AND(Irr!H14&lt;&gt;".",Irr!AF14&lt;&gt;".",Irr!BD14&lt;&gt;"."),dir!I14/((1/1000)*(Irr!H14+Irr!AF14+Irr!BD14)),IF(AND(Irr!H14&lt;&gt;".",Irr!AF14&lt;&gt;".",Irr!BD14="."),dir!I14/((1/1000)*(Irr!H14+Irr!AF14)),IF(AND(Irr!H14&lt;&gt;".",Irr!AF14=".",Irr!BD14&lt;&gt;"."),dir!I14/((1/1000)*(Irr!H14+Irr!BD14)),IF(AND(Irr!H14=".",Irr!AF14&lt;&gt;".",Irr!BD14&lt;&gt;"."),dir!I14/((1/1000)*(Irr!AF14+Irr!BD14)),IF(AND(Irr!H14=".",Irr!AF14=".",Irr!BD14&lt;&gt;"."),dir!I14/((1/1000)*(Irr!BD14)),IF(AND(Irr!H14=".",Irr!AF14&lt;&gt;".",Irr!BD14="."),dir!I14/((1/1000)*(Irr!AF14)),IF(AND(Irr!H14&lt;&gt;".",Irr!AF14=".",Irr!BD14="."),dir!I14/((1/1000)*(Irr!H14)),IF(AND(Irr!H14=".",Irr!AF14=".",Irr!BD14="."),dir!I14*1000)))))))),".")</f>
        <v>41.601588661975342</v>
      </c>
      <c r="J14" s="76">
        <f>IFERROR(IF(AND(Irr!I14&lt;&gt;".",Irr!AG14&lt;&gt;".",Irr!BE14&lt;&gt;"."),dir!J14/((1/1000)*(Irr!I14+Irr!AG14+Irr!BE14)),IF(AND(Irr!I14&lt;&gt;".",Irr!AG14&lt;&gt;".",Irr!BE14="."),dir!J14/((1/1000)*(Irr!I14+Irr!AG14)),IF(AND(Irr!I14&lt;&gt;".",Irr!AG14=".",Irr!BE14&lt;&gt;"."),dir!J14/((1/1000)*(Irr!I14+Irr!BE14)),IF(AND(Irr!I14=".",Irr!AG14&lt;&gt;".",Irr!BE14&lt;&gt;"."),dir!J14/((1/1000)*(Irr!AG14+Irr!BE14)),IF(AND(Irr!I14=".",Irr!AG14=".",Irr!BE14&lt;&gt;"."),dir!J14/((1/1000)*(Irr!BE14)),IF(AND(Irr!I14=".",Irr!AG14&lt;&gt;".",Irr!BE14="."),dir!J14/((1/1000)*(Irr!AG14)),IF(AND(Irr!I14&lt;&gt;".",Irr!AG14=".",Irr!BE14="."),dir!J14/((1/1000)*(Irr!I14)),IF(AND(Irr!I14=".",Irr!AG14=".",Irr!BE14="."),dir!J14*1000)))))))),".")</f>
        <v>125.44226753058672</v>
      </c>
      <c r="K14" s="76">
        <f>IFERROR(IF(AND(Irr!J14&lt;&gt;".",Irr!AH14&lt;&gt;".",Irr!BF14&lt;&gt;"."),dir!K14/((1/1000)*(Irr!J14+Irr!AH14+Irr!BF14)),IF(AND(Irr!J14&lt;&gt;".",Irr!AH14&lt;&gt;".",Irr!BF14="."),dir!K14/((1/1000)*(Irr!J14+Irr!AH14)),IF(AND(Irr!J14&lt;&gt;".",Irr!AH14=".",Irr!BF14&lt;&gt;"."),dir!K14/((1/1000)*(Irr!J14+Irr!BF14)),IF(AND(Irr!J14=".",Irr!AH14&lt;&gt;".",Irr!BF14&lt;&gt;"."),dir!K14/((1/1000)*(Irr!AH14+Irr!BF14)),IF(AND(Irr!J14=".",Irr!AH14=".",Irr!BF14&lt;&gt;"."),dir!K14/((1/1000)*(Irr!BF14)),IF(AND(Irr!J14=".",Irr!AH14&lt;&gt;".",Irr!BF14="."),dir!K14/((1/1000)*(Irr!AH14)),IF(AND(Irr!J14&lt;&gt;".",Irr!AH14=".",Irr!BF14="."),dir!K14/((1/1000)*(Irr!J14)),IF(AND(Irr!J14=".",Irr!AH14=".",Irr!BF14="."),dir!K14*1000)))))))),".")</f>
        <v>10.834716614090373</v>
      </c>
      <c r="L14" s="76">
        <f>IFERROR(IF(AND(Irr!K14&lt;&gt;".",Irr!AI14&lt;&gt;".",Irr!BG14&lt;&gt;"."),dir!L14/((1/1000)*(Irr!K14+Irr!AI14+Irr!BG14)),IF(AND(Irr!K14&lt;&gt;".",Irr!AI14&lt;&gt;".",Irr!BG14="."),dir!L14/((1/1000)*(Irr!K14+Irr!AI14)),IF(AND(Irr!K14&lt;&gt;".",Irr!AI14=".",Irr!BG14&lt;&gt;"."),dir!L14/((1/1000)*(Irr!K14+Irr!BG14)),IF(AND(Irr!K14=".",Irr!AI14&lt;&gt;".",Irr!BG14&lt;&gt;"."),dir!L14/((1/1000)*(Irr!AI14+Irr!BG14)),IF(AND(Irr!K14=".",Irr!AI14=".",Irr!BG14&lt;&gt;"."),dir!L14/((1/1000)*(Irr!BG14)),IF(AND(Irr!K14=".",Irr!AI14&lt;&gt;".",Irr!BG14="."),dir!L14/((1/1000)*(Irr!AI14)),IF(AND(Irr!K14&lt;&gt;".",Irr!AI14=".",Irr!BG14="."),dir!L14/((1/1000)*(Irr!K14)),IF(AND(Irr!K14=".",Irr!AI14=".",Irr!BG14="."),dir!L14*1000)))))))),".")</f>
        <v>59.509911564313335</v>
      </c>
      <c r="M14" s="76">
        <f>IFERROR(IF(AND(Irr!L14&lt;&gt;".",Irr!AJ14&lt;&gt;".",Irr!BH14&lt;&gt;"."),dir!M14/((1/1000)*(Irr!L14+Irr!AJ14+Irr!BH14)),IF(AND(Irr!L14&lt;&gt;".",Irr!AJ14&lt;&gt;".",Irr!BH14="."),dir!M14/((1/1000)*(Irr!L14+Irr!AJ14)),IF(AND(Irr!L14&lt;&gt;".",Irr!AJ14=".",Irr!BH14&lt;&gt;"."),dir!M14/((1/1000)*(Irr!L14+Irr!BH14)),IF(AND(Irr!L14=".",Irr!AJ14&lt;&gt;".",Irr!BH14&lt;&gt;"."),dir!M14/((1/1000)*(Irr!AJ14+Irr!BH14)),IF(AND(Irr!L14=".",Irr!AJ14=".",Irr!BH14&lt;&gt;"."),dir!M14/((1/1000)*(Irr!BH14)),IF(AND(Irr!L14=".",Irr!AJ14&lt;&gt;".",Irr!BH14="."),dir!M14/((1/1000)*(Irr!AJ14)),IF(AND(Irr!L14&lt;&gt;".",Irr!AJ14=".",Irr!BH14="."),dir!M14/((1/1000)*(Irr!L14)),IF(AND(Irr!L14=".",Irr!AJ14=".",Irr!BH14="."),dir!M14*1000)))))))),".")</f>
        <v>44.293826155398826</v>
      </c>
      <c r="N14" s="76">
        <f>IFERROR(IF(AND(Irr!M14&lt;&gt;".",Irr!AK14&lt;&gt;".",Irr!BI14&lt;&gt;"."),dir!N14/((1/1000)*(Irr!M14+Irr!AK14+Irr!BI14)),IF(AND(Irr!M14&lt;&gt;".",Irr!AK14&lt;&gt;".",Irr!BI14="."),dir!N14/((1/1000)*(Irr!M14+Irr!AK14)),IF(AND(Irr!M14&lt;&gt;".",Irr!AK14=".",Irr!BI14&lt;&gt;"."),dir!N14/((1/1000)*(Irr!M14+Irr!BI14)),IF(AND(Irr!M14=".",Irr!AK14&lt;&gt;".",Irr!BI14&lt;&gt;"."),dir!N14/((1/1000)*(Irr!AK14+Irr!BI14)),IF(AND(Irr!M14=".",Irr!AK14=".",Irr!BI14&lt;&gt;"."),dir!N14/((1/1000)*(Irr!BI14)),IF(AND(Irr!M14=".",Irr!AK14&lt;&gt;".",Irr!BI14="."),dir!N14/((1/1000)*(Irr!AK14)),IF(AND(Irr!M14&lt;&gt;".",Irr!AK14=".",Irr!BI14="."),dir!N14/((1/1000)*(Irr!M14)),IF(AND(Irr!M14=".",Irr!AK14=".",Irr!BI14="."),dir!N14*1000)))))))),".")</f>
        <v>91.830000035411857</v>
      </c>
      <c r="O14" s="76">
        <f>IFERROR(IF(AND(Irr!N14&lt;&gt;".",Irr!AL14&lt;&gt;".",Irr!BJ14&lt;&gt;"."),dir!O14/((1/1000)*(Irr!N14+Irr!AL14+Irr!BJ14)),IF(AND(Irr!N14&lt;&gt;".",Irr!AL14&lt;&gt;".",Irr!BJ14="."),dir!O14/((1/1000)*(Irr!N14+Irr!AL14)),IF(AND(Irr!N14&lt;&gt;".",Irr!AL14=".",Irr!BJ14&lt;&gt;"."),dir!O14/((1/1000)*(Irr!N14+Irr!BJ14)),IF(AND(Irr!N14=".",Irr!AL14&lt;&gt;".",Irr!BJ14&lt;&gt;"."),dir!O14/((1/1000)*(Irr!AL14+Irr!BJ14)),IF(AND(Irr!N14=".",Irr!AL14=".",Irr!BJ14&lt;&gt;"."),dir!O14/((1/1000)*(Irr!BJ14)),IF(AND(Irr!N14=".",Irr!AL14&lt;&gt;".",Irr!BJ14="."),dir!O14/((1/1000)*(Irr!AL14)),IF(AND(Irr!N14&lt;&gt;".",Irr!AL14=".",Irr!BJ14="."),dir!O14/((1/1000)*(Irr!N14)),IF(AND(Irr!N14=".",Irr!AL14=".",Irr!BJ14="."),dir!O14*1000)))))))),".")</f>
        <v>107.88101276494636</v>
      </c>
      <c r="P14" s="76">
        <f>IFERROR(IF(AND(Irr!O14&lt;&gt;".",Irr!AM14&lt;&gt;".",Irr!BK14&lt;&gt;"."),dir!P14/((1/1000)*(Irr!O14+Irr!AM14+Irr!BK14)),IF(AND(Irr!O14&lt;&gt;".",Irr!AM14&lt;&gt;".",Irr!BK14="."),dir!P14/((1/1000)*(Irr!O14+Irr!AM14)),IF(AND(Irr!O14&lt;&gt;".",Irr!AM14=".",Irr!BK14&lt;&gt;"."),dir!P14/((1/1000)*(Irr!O14+Irr!BK14)),IF(AND(Irr!O14=".",Irr!AM14&lt;&gt;".",Irr!BK14&lt;&gt;"."),dir!P14/((1/1000)*(Irr!AM14+Irr!BK14)),IF(AND(Irr!O14=".",Irr!AM14=".",Irr!BK14&lt;&gt;"."),dir!P14/((1/1000)*(Irr!BK14)),IF(AND(Irr!O14=".",Irr!AM14&lt;&gt;".",Irr!BK14="."),dir!P14/((1/1000)*(Irr!AM14)),IF(AND(Irr!O14&lt;&gt;".",Irr!AM14=".",Irr!BK14="."),dir!P14/((1/1000)*(Irr!O14)),IF(AND(Irr!O14=".",Irr!AM14=".",Irr!BK14="."),dir!P14*1000)))))))),".")</f>
        <v>125.38238062978613</v>
      </c>
      <c r="Q14" s="76">
        <f>IFERROR(IF(AND(Irr!P14&lt;&gt;".",Irr!AN14&lt;&gt;".",Irr!BL14&lt;&gt;"."),dir!Q14/((1/1000)*(Irr!P14+Irr!AN14+Irr!BL14)),IF(AND(Irr!P14&lt;&gt;".",Irr!AN14&lt;&gt;".",Irr!BL14="."),dir!Q14/((1/1000)*(Irr!P14+Irr!AN14)),IF(AND(Irr!P14&lt;&gt;".",Irr!AN14=".",Irr!BL14&lt;&gt;"."),dir!Q14/((1/1000)*(Irr!P14+Irr!BL14)),IF(AND(Irr!P14=".",Irr!AN14&lt;&gt;".",Irr!BL14&lt;&gt;"."),dir!Q14/((1/1000)*(Irr!AN14+Irr!BL14)),IF(AND(Irr!P14=".",Irr!AN14=".",Irr!BL14&lt;&gt;"."),dir!Q14/((1/1000)*(Irr!BL14)),IF(AND(Irr!P14=".",Irr!AN14&lt;&gt;".",Irr!BL14="."),dir!Q14/((1/1000)*(Irr!AN14)),IF(AND(Irr!P14&lt;&gt;".",Irr!AN14=".",Irr!BL14="."),dir!Q14/((1/1000)*(Irr!P14)),IF(AND(Irr!P14=".",Irr!AN14=".",Irr!BL14="."),dir!Q14*1000)))))))),".")</f>
        <v>169.299101081</v>
      </c>
      <c r="R14" s="76">
        <f>IFERROR(IF(AND(Irr!Q14&lt;&gt;".",Irr!AO14&lt;&gt;".",Irr!BM14&lt;&gt;"."),dir!R14/((1/1000)*(Irr!Q14+Irr!AO14+Irr!BM14)),IF(AND(Irr!Q14&lt;&gt;".",Irr!AO14&lt;&gt;".",Irr!BM14="."),dir!R14/((1/1000)*(Irr!Q14+Irr!AO14)),IF(AND(Irr!Q14&lt;&gt;".",Irr!AO14=".",Irr!BM14&lt;&gt;"."),dir!R14/((1/1000)*(Irr!Q14+Irr!BM14)),IF(AND(Irr!Q14=".",Irr!AO14&lt;&gt;".",Irr!BM14&lt;&gt;"."),dir!R14/((1/1000)*(Irr!AO14+Irr!BM14)),IF(AND(Irr!Q14=".",Irr!AO14=".",Irr!BM14&lt;&gt;"."),dir!R14/((1/1000)*(Irr!BM14)),IF(AND(Irr!Q14=".",Irr!AO14&lt;&gt;".",Irr!BM14="."),dir!R14/((1/1000)*(Irr!AO14)),IF(AND(Irr!Q14&lt;&gt;".",Irr!AO14=".",Irr!BM14="."),dir!R14/((1/1000)*(Irr!Q14)),IF(AND(Irr!Q14=".",Irr!AO14=".",Irr!BM14="."),dir!R14*1000)))))))),".")</f>
        <v>26.712819972580814</v>
      </c>
      <c r="S14" s="76">
        <f>IFERROR(IF(AND(Irr!R14&lt;&gt;".",Irr!AP14&lt;&gt;".",Irr!BN14&lt;&gt;"."),dir!S14/((1/1000)*(Irr!R14+Irr!AP14+Irr!BN14)),IF(AND(Irr!R14&lt;&gt;".",Irr!AP14&lt;&gt;".",Irr!BN14="."),dir!S14/((1/1000)*(Irr!R14+Irr!AP14)),IF(AND(Irr!R14&lt;&gt;".",Irr!AP14=".",Irr!BN14&lt;&gt;"."),dir!S14/((1/1000)*(Irr!R14+Irr!BN14)),IF(AND(Irr!R14=".",Irr!AP14&lt;&gt;".",Irr!BN14&lt;&gt;"."),dir!S14/((1/1000)*(Irr!AP14+Irr!BN14)),IF(AND(Irr!R14=".",Irr!AP14=".",Irr!BN14&lt;&gt;"."),dir!S14/((1/1000)*(Irr!BN14)),IF(AND(Irr!R14=".",Irr!AP14&lt;&gt;".",Irr!BN14="."),dir!S14/((1/1000)*(Irr!AP14)),IF(AND(Irr!R14&lt;&gt;".",Irr!AP14=".",Irr!BN14="."),dir!S14/((1/1000)*(Irr!R14)),IF(AND(Irr!R14=".",Irr!AP14=".",Irr!BN14="."),dir!S14*1000)))))))),".")</f>
        <v>55.468719220341193</v>
      </c>
      <c r="T14" s="76">
        <f>IFERROR(IF(AND(Irr!S14&lt;&gt;".",Irr!AQ14&lt;&gt;".",Irr!BO14&lt;&gt;"."),dir!T14/((1/1000)*(Irr!S14+Irr!AQ14+Irr!BO14)),IF(AND(Irr!S14&lt;&gt;".",Irr!AQ14&lt;&gt;".",Irr!BO14="."),dir!T14/((1/1000)*(Irr!S14+Irr!AQ14)),IF(AND(Irr!S14&lt;&gt;".",Irr!AQ14=".",Irr!BO14&lt;&gt;"."),dir!T14/((1/1000)*(Irr!S14+Irr!BO14)),IF(AND(Irr!S14=".",Irr!AQ14&lt;&gt;".",Irr!BO14&lt;&gt;"."),dir!T14/((1/1000)*(Irr!AQ14+Irr!BO14)),IF(AND(Irr!S14=".",Irr!AQ14=".",Irr!BO14&lt;&gt;"."),dir!T14/((1/1000)*(Irr!BO14)),IF(AND(Irr!S14=".",Irr!AQ14&lt;&gt;".",Irr!BO14="."),dir!T14/((1/1000)*(Irr!AQ14)),IF(AND(Irr!S14&lt;&gt;".",Irr!AQ14=".",Irr!BO14="."),dir!T14/((1/1000)*(Irr!S14)),IF(AND(Irr!S14=".",Irr!AQ14=".",Irr!BO14="."),dir!T14*1000)))))))),".")</f>
        <v>88.43927423782165</v>
      </c>
      <c r="U14" s="76">
        <f>IFERROR(IF(AND(Irr!T14&lt;&gt;".",Irr!AR14&lt;&gt;".",Irr!BP14&lt;&gt;"."),dir!U14/((1/1000)*(Irr!T14+Irr!AR14+Irr!BP14)),IF(AND(Irr!T14&lt;&gt;".",Irr!AR14&lt;&gt;".",Irr!BP14="."),dir!U14/((1/1000)*(Irr!T14+Irr!AR14)),IF(AND(Irr!T14&lt;&gt;".",Irr!AR14=".",Irr!BP14&lt;&gt;"."),dir!U14/((1/1000)*(Irr!T14+Irr!BP14)),IF(AND(Irr!T14=".",Irr!AR14&lt;&gt;".",Irr!BP14&lt;&gt;"."),dir!U14/((1/1000)*(Irr!AR14+Irr!BP14)),IF(AND(Irr!T14=".",Irr!AR14=".",Irr!BP14&lt;&gt;"."),dir!U14/((1/1000)*(Irr!BP14)),IF(AND(Irr!T14=".",Irr!AR14&lt;&gt;".",Irr!BP14="."),dir!U14/((1/1000)*(Irr!AR14)),IF(AND(Irr!T14&lt;&gt;".",Irr!AR14=".",Irr!BP14="."),dir!U14/((1/1000)*(Irr!T14)),IF(AND(Irr!T14=".",Irr!AR14=".",Irr!BP14="."),dir!U14*1000)))))))),".")</f>
        <v>27.780920811559913</v>
      </c>
      <c r="V14" s="76">
        <f>IFERROR(IF(AND(Irr!U14&lt;&gt;".",Irr!AS14&lt;&gt;".",Irr!BQ14&lt;&gt;"."),dir!V14/((1/1000)*(Irr!U14+Irr!AS14+Irr!BQ14)),IF(AND(Irr!U14&lt;&gt;".",Irr!AS14&lt;&gt;".",Irr!BQ14="."),dir!V14/((1/1000)*(Irr!U14+Irr!AS14)),IF(AND(Irr!U14&lt;&gt;".",Irr!AS14=".",Irr!BQ14&lt;&gt;"."),dir!V14/((1/1000)*(Irr!U14+Irr!BQ14)),IF(AND(Irr!U14=".",Irr!AS14&lt;&gt;".",Irr!BQ14&lt;&gt;"."),dir!V14/((1/1000)*(Irr!AS14+Irr!BQ14)),IF(AND(Irr!U14=".",Irr!AS14=".",Irr!BQ14&lt;&gt;"."),dir!V14/((1/1000)*(Irr!BQ14)),IF(AND(Irr!U14=".",Irr!AS14&lt;&gt;".",Irr!BQ14="."),dir!V14/((1/1000)*(Irr!AS14)),IF(AND(Irr!U14&lt;&gt;".",Irr!AS14=".",Irr!BQ14="."),dir!V14/((1/1000)*(Irr!U14)),IF(AND(Irr!U14=".",Irr!AS14=".",Irr!BQ14="."),dir!V14*1000)))))))),".")</f>
        <v>50.876584315025028</v>
      </c>
      <c r="W14" s="76">
        <f>IFERROR(IF(AND(Irr!V14&lt;&gt;".",Irr!AT14&lt;&gt;".",Irr!BR14&lt;&gt;"."),dir!W14/((1/1000)*(Irr!V14+Irr!AT14+Irr!BR14)),IF(AND(Irr!V14&lt;&gt;".",Irr!AT14&lt;&gt;".",Irr!BR14="."),dir!W14/((1/1000)*(Irr!V14+Irr!AT14)),IF(AND(Irr!V14&lt;&gt;".",Irr!AT14=".",Irr!BR14&lt;&gt;"."),dir!W14/((1/1000)*(Irr!V14+Irr!BR14)),IF(AND(Irr!V14=".",Irr!AT14&lt;&gt;".",Irr!BR14&lt;&gt;"."),dir!W14/((1/1000)*(Irr!AT14+Irr!BR14)),IF(AND(Irr!V14=".",Irr!AT14=".",Irr!BR14&lt;&gt;"."),dir!W14/((1/1000)*(Irr!BR14)),IF(AND(Irr!V14=".",Irr!AT14&lt;&gt;".",Irr!BR14="."),dir!W14/((1/1000)*(Irr!AT14)),IF(AND(Irr!V14&lt;&gt;".",Irr!AT14=".",Irr!BR14="."),dir!W14/((1/1000)*(Irr!V14)),IF(AND(Irr!V14=".",Irr!AT14=".",Irr!BR14="."),dir!W14*1000)))))))),".")</f>
        <v>61.493710243268985</v>
      </c>
      <c r="X14" s="76">
        <f>IFERROR(IF(AND(Irr!W14&lt;&gt;".",Irr!AU14&lt;&gt;".",Irr!BS14&lt;&gt;"."),dir!X14/((1/1000)*(Irr!W14+Irr!AU14+Irr!BS14)),IF(AND(Irr!W14&lt;&gt;".",Irr!AU14&lt;&gt;".",Irr!BS14="."),dir!X14/((1/1000)*(Irr!W14+Irr!AU14)),IF(AND(Irr!W14&lt;&gt;".",Irr!AU14=".",Irr!BS14&lt;&gt;"."),dir!X14/((1/1000)*(Irr!W14+Irr!BS14)),IF(AND(Irr!W14=".",Irr!AU14&lt;&gt;".",Irr!BS14&lt;&gt;"."),dir!X14/((1/1000)*(Irr!AU14+Irr!BS14)),IF(AND(Irr!W14=".",Irr!AU14=".",Irr!BS14&lt;&gt;"."),dir!X14/((1/1000)*(Irr!BS14)),IF(AND(Irr!W14=".",Irr!AU14&lt;&gt;".",Irr!BS14="."),dir!X14/((1/1000)*(Irr!AU14)),IF(AND(Irr!W14&lt;&gt;".",Irr!AU14=".",Irr!BS14="."),dir!X14/((1/1000)*(Irr!W14)),IF(AND(Irr!W14=".",Irr!AU14=".",Irr!BS14="."),dir!X14*1000)))))))),".")</f>
        <v>82.884297779598697</v>
      </c>
      <c r="Y14" s="76">
        <f>IFERROR(IF(AND(Irr!X14&lt;&gt;".",Irr!AV14&lt;&gt;".",Irr!BT14&lt;&gt;"."),dir!Y14/((1/1000)*(Irr!X14+Irr!AV14+Irr!BT14)),IF(AND(Irr!X14&lt;&gt;".",Irr!AV14&lt;&gt;".",Irr!BT14="."),dir!Y14/((1/1000)*(Irr!X14+Irr!AV14)),IF(AND(Irr!X14&lt;&gt;".",Irr!AV14=".",Irr!BT14&lt;&gt;"."),dir!Y14/((1/1000)*(Irr!X14+Irr!BT14)),IF(AND(Irr!X14=".",Irr!AV14&lt;&gt;".",Irr!BT14&lt;&gt;"."),dir!Y14/((1/1000)*(Irr!AV14+Irr!BT14)),IF(AND(Irr!X14=".",Irr!AV14=".",Irr!BT14&lt;&gt;"."),dir!Y14/((1/1000)*(Irr!BT14)),IF(AND(Irr!X14=".",Irr!AV14&lt;&gt;".",Irr!BT14="."),dir!Y14/((1/1000)*(Irr!AV14)),IF(AND(Irr!X14&lt;&gt;".",Irr!AV14=".",Irr!BT14="."),dir!Y14/((1/1000)*(Irr!X14)),IF(AND(Irr!X14=".",Irr!AV14=".",Irr!BT14="."),dir!Y14*1000)))))))),".")</f>
        <v>44.085540186702005</v>
      </c>
      <c r="Z14" s="76">
        <f>IFERROR(IF(AND(Irr!Y14&lt;&gt;".",Irr!AW14&lt;&gt;".",Irr!BU14&lt;&gt;"."),dir!Z14/((1/1000)*(Irr!Y14+Irr!AW14+Irr!BU14)),IF(AND(Irr!Y14&lt;&gt;".",Irr!AW14&lt;&gt;".",Irr!BU14="."),dir!Z14/((1/1000)*(Irr!Y14+Irr!AW14)),IF(AND(Irr!Y14&lt;&gt;".",Irr!AW14=".",Irr!BU14&lt;&gt;"."),dir!Z14/((1/1000)*(Irr!Y14+Irr!BU14)),IF(AND(Irr!Y14=".",Irr!AW14&lt;&gt;".",Irr!BU14&lt;&gt;"."),dir!Z14/((1/1000)*(Irr!AW14+Irr!BU14)),IF(AND(Irr!Y14=".",Irr!AW14=".",Irr!BU14&lt;&gt;"."),dir!Z14/((1/1000)*(Irr!BU14)),IF(AND(Irr!Y14=".",Irr!AW14&lt;&gt;".",Irr!BU14="."),dir!Z14/((1/1000)*(Irr!AW14)),IF(AND(Irr!Y14&lt;&gt;".",Irr!AW14=".",Irr!BU14="."),dir!Z14/((1/1000)*(Irr!Y14)),IF(AND(Irr!Y14=".",Irr!AW14=".",Irr!BU14="."),dir!Z14*1000)))))))),".")</f>
        <v>15.06964039156939</v>
      </c>
      <c r="AA14" s="76">
        <f>IFERROR(IF(AND(Irr!Z14&lt;&gt;".",Irr!AX14&lt;&gt;".",Irr!BV14&lt;&gt;"."),dir!AA14/((1/1000)*(Irr!Z14+Irr!AX14+Irr!BV14)),IF(AND(Irr!Z14&lt;&gt;".",Irr!AX14&lt;&gt;".",Irr!BV14="."),dir!AA14/((1/1000)*(Irr!Z14+Irr!AX14)),IF(AND(Irr!Z14&lt;&gt;".",Irr!AX14=".",Irr!BV14&lt;&gt;"."),dir!AA14/((1/1000)*(Irr!Z14+Irr!BV14)),IF(AND(Irr!Z14=".",Irr!AX14&lt;&gt;".",Irr!BV14&lt;&gt;"."),dir!AA14/((1/1000)*(Irr!AX14+Irr!BV14)),IF(AND(Irr!Z14=".",Irr!AX14=".",Irr!BV14&lt;&gt;"."),dir!AA14/((1/1000)*(Irr!BV14)),IF(AND(Irr!Z14=".",Irr!AX14&lt;&gt;".",Irr!BV14="."),dir!AA14/((1/1000)*(Irr!AX14)),IF(AND(Irr!Z14&lt;&gt;".",Irr!AX14=".",Irr!BV14="."),dir!AA14/((1/1000)*(Irr!Z14)),IF(AND(Irr!Z14=".",Irr!AX14=".",Irr!BV14="."),dir!AA14*1000)))))))),".")</f>
        <v>11.66792213477804</v>
      </c>
      <c r="AB14" s="76">
        <f t="shared" si="13"/>
        <v>1.4124456230011788</v>
      </c>
      <c r="AC14" s="76">
        <f>IFERROR(IF(AND(Irr!C14&lt;&gt;".",Irr!AA14&lt;&gt;".",Irr!AY14&lt;&gt;"."),dir!AC14/((1/1000)*(Irr!C14+Irr!AA14+Irr!AY14)),IF(AND(Irr!C14&lt;&gt;".",Irr!AA14&lt;&gt;".",Irr!AY14="."),dir!AC14/((1/1000)*(Irr!C14+Irr!AA14)),IF(AND(Irr!C14&lt;&gt;".",Irr!AA14=".",Irr!AY14&lt;&gt;"."),dir!AC14/((1/1000)*(Irr!C14+Irr!AY14)),IF(AND(Irr!C14=".",Irr!AA14&lt;&gt;".",Irr!AY14&lt;&gt;"."),dir!AC14/((1/1000)*(Irr!AA14+Irr!AY14)),IF(AND(Irr!C14=".",Irr!AA14=".",Irr!AY14&lt;&gt;"."),dir!AC14/((1/1000)*(Irr!AY14)),IF(AND(Irr!C14=".",Irr!AA14&lt;&gt;".",Irr!AY14="."),dir!AC14/((1/1000)*(Irr!AA14)),IF(AND(Irr!C14&lt;&gt;".",Irr!AA14=".",Irr!AY14="."),dir!AC14/((1/1000)*(Irr!C14)),IF(AND(Irr!C14=".",Irr!AA14=".",Irr!AY14="."),dir!AC14*1000)))))))),".")</f>
        <v>23.587944038229761</v>
      </c>
      <c r="AD14" s="76">
        <f>IFERROR(IF(AND(Irr!D14&lt;&gt;".",Irr!AB14&lt;&gt;".",Irr!AZ14&lt;&gt;"."),dir!AD14/((1/1000)*(Irr!D14+Irr!AB14+Irr!AZ14)),IF(AND(Irr!D14&lt;&gt;".",Irr!AB14&lt;&gt;".",Irr!AZ14="."),dir!AD14/((1/1000)*(Irr!D14+Irr!AB14)),IF(AND(Irr!D14&lt;&gt;".",Irr!AB14=".",Irr!AZ14&lt;&gt;"."),dir!AD14/((1/1000)*(Irr!D14+Irr!AZ14)),IF(AND(Irr!D14=".",Irr!AB14&lt;&gt;".",Irr!AZ14&lt;&gt;"."),dir!AD14/((1/1000)*(Irr!AB14+Irr!AZ14)),IF(AND(Irr!D14=".",Irr!AB14=".",Irr!AZ14&lt;&gt;"."),dir!AD14/((1/1000)*(Irr!AZ14)),IF(AND(Irr!D14=".",Irr!AB14&lt;&gt;".",Irr!AZ14="."),dir!AD14/((1/1000)*(Irr!AB14)),IF(AND(Irr!D14&lt;&gt;".",Irr!AB14=".",Irr!AZ14="."),dir!AD14/((1/1000)*(Irr!D14)),IF(AND(Irr!D14=".",Irr!AB14=".",Irr!AZ14="."),dir!AD14*1000)))))))),".")</f>
        <v>56.610445626698905</v>
      </c>
      <c r="AE14" s="76">
        <f>IFERROR(IF(AND(Irr!E14&lt;&gt;".",Irr!AC14&lt;&gt;".",Irr!BA14&lt;&gt;"."),dir!AE14/((1/1000)*(Irr!E14+Irr!AC14+Irr!BA14)),IF(AND(Irr!E14&lt;&gt;".",Irr!AC14&lt;&gt;".",Irr!BA14="."),dir!AE14/((1/1000)*(Irr!E14+Irr!AC14)),IF(AND(Irr!E14&lt;&gt;".",Irr!AC14=".",Irr!BA14&lt;&gt;"."),dir!AE14/((1/1000)*(Irr!E14+Irr!BA14)),IF(AND(Irr!E14=".",Irr!AC14&lt;&gt;".",Irr!BA14&lt;&gt;"."),dir!AE14/((1/1000)*(Irr!AC14+Irr!BA14)),IF(AND(Irr!E14=".",Irr!AC14=".",Irr!BA14&lt;&gt;"."),dir!AE14/((1/1000)*(Irr!BA14)),IF(AND(Irr!E14=".",Irr!AC14&lt;&gt;".",Irr!BA14="."),dir!AE14/((1/1000)*(Irr!AC14)),IF(AND(Irr!E14&lt;&gt;".",Irr!AC14=".",Irr!BA14="."),dir!AE14/((1/1000)*(Irr!E14)),IF(AND(Irr!E14=".",Irr!AC14=".",Irr!BA14="."),dir!AE14*1000)))))))),".")</f>
        <v>67.752421409818439</v>
      </c>
      <c r="AF14" s="76">
        <f>IFERROR(IF(AND(Irr!F14&lt;&gt;".",Irr!AD14&lt;&gt;".",Irr!BB14&lt;&gt;"."),dir!AF14/((1/1000)*(Irr!F14+Irr!AD14+Irr!BB14)),IF(AND(Irr!F14&lt;&gt;".",Irr!AD14&lt;&gt;".",Irr!BB14="."),dir!AF14/((1/1000)*(Irr!F14+Irr!AD14)),IF(AND(Irr!F14&lt;&gt;".",Irr!AD14=".",Irr!BB14&lt;&gt;"."),dir!AF14/((1/1000)*(Irr!F14+Irr!BB14)),IF(AND(Irr!F14=".",Irr!AD14&lt;&gt;".",Irr!BB14&lt;&gt;"."),dir!AF14/((1/1000)*(Irr!AD14+Irr!BB14)),IF(AND(Irr!F14=".",Irr!AD14=".",Irr!BB14&lt;&gt;"."),dir!AF14/((1/1000)*(Irr!BB14)),IF(AND(Irr!F14=".",Irr!AD14&lt;&gt;".",Irr!BB14="."),dir!AF14/((1/1000)*(Irr!AD14)),IF(AND(Irr!F14&lt;&gt;".",Irr!AD14=".",Irr!BB14="."),dir!AF14/((1/1000)*(Irr!F14)),IF(AND(Irr!F14=".",Irr!AD14=".",Irr!BB14="."),dir!AF14*1000)))))))),".")</f>
        <v>59.136554867693896</v>
      </c>
      <c r="AG14" s="76">
        <f>IFERROR(IF(AND(Irr!G14&lt;&gt;".",Irr!AE14&lt;&gt;".",Irr!BC14&lt;&gt;"."),dir!AG14/((1/1000)*(Irr!G14+Irr!AE14+Irr!BC14)),IF(AND(Irr!G14&lt;&gt;".",Irr!AE14&lt;&gt;".",Irr!BC14="."),dir!AG14/((1/1000)*(Irr!G14+Irr!AE14)),IF(AND(Irr!G14&lt;&gt;".",Irr!AE14=".",Irr!BC14&lt;&gt;"."),dir!AG14/((1/1000)*(Irr!G14+Irr!BC14)),IF(AND(Irr!G14=".",Irr!AE14&lt;&gt;".",Irr!BC14&lt;&gt;"."),dir!AG14/((1/1000)*(Irr!AE14+Irr!BC14)),IF(AND(Irr!G14=".",Irr!AE14=".",Irr!BC14&lt;&gt;"."),dir!AG14/((1/1000)*(Irr!BC14)),IF(AND(Irr!G14=".",Irr!AE14&lt;&gt;".",Irr!BC14="."),dir!AG14/((1/1000)*(Irr!AE14)),IF(AND(Irr!G14&lt;&gt;".",Irr!AE14=".",Irr!BC14="."),dir!AG14/((1/1000)*(Irr!G14)),IF(AND(Irr!G14=".",Irr!AE14=".",Irr!BC14="."),dir!AG14*1000)))))))),".")</f>
        <v>61.449933836993118</v>
      </c>
      <c r="AH14" s="76">
        <f>IFERROR(IF(AND(Irr!H14&lt;&gt;".",Irr!AF14&lt;&gt;".",Irr!BD14&lt;&gt;"."),dir!AH14/((1/1000)*(Irr!H14+Irr!AF14+Irr!BD14)),IF(AND(Irr!H14&lt;&gt;".",Irr!AF14&lt;&gt;".",Irr!BD14="."),dir!AH14/((1/1000)*(Irr!H14+Irr!AF14)),IF(AND(Irr!H14&lt;&gt;".",Irr!AF14=".",Irr!BD14&lt;&gt;"."),dir!AH14/((1/1000)*(Irr!H14+Irr!BD14)),IF(AND(Irr!H14=".",Irr!AF14&lt;&gt;".",Irr!BD14&lt;&gt;"."),dir!AH14/((1/1000)*(Irr!AF14+Irr!BD14)),IF(AND(Irr!H14=".",Irr!AF14=".",Irr!BD14&lt;&gt;"."),dir!AH14/((1/1000)*(Irr!BD14)),IF(AND(Irr!H14=".",Irr!AF14&lt;&gt;".",Irr!BD14="."),dir!AH14/((1/1000)*(Irr!AF14)),IF(AND(Irr!H14&lt;&gt;".",Irr!AF14=".",Irr!BD14="."),dir!AH14/((1/1000)*(Irr!H14)),IF(AND(Irr!H14=".",Irr!AF14=".",Irr!BD14="."),dir!AH14*1000)))))))),".")</f>
        <v>26.719969008519634</v>
      </c>
      <c r="AI14" s="76">
        <f>IFERROR(IF(AND(Irr!I14&lt;&gt;".",Irr!AG14&lt;&gt;".",Irr!BE14&lt;&gt;"."),dir!AI14/((1/1000)*(Irr!I14+Irr!AG14+Irr!BE14)),IF(AND(Irr!I14&lt;&gt;".",Irr!AG14&lt;&gt;".",Irr!BE14="."),dir!AI14/((1/1000)*(Irr!I14+Irr!AG14)),IF(AND(Irr!I14&lt;&gt;".",Irr!AG14=".",Irr!BE14&lt;&gt;"."),dir!AI14/((1/1000)*(Irr!I14+Irr!BE14)),IF(AND(Irr!I14=".",Irr!AG14&lt;&gt;".",Irr!BE14&lt;&gt;"."),dir!AI14/((1/1000)*(Irr!AG14+Irr!BE14)),IF(AND(Irr!I14=".",Irr!AG14=".",Irr!BE14&lt;&gt;"."),dir!AI14/((1/1000)*(Irr!BE14)),IF(AND(Irr!I14=".",Irr!AG14&lt;&gt;".",Irr!BE14="."),dir!AI14/((1/1000)*(Irr!AG14)),IF(AND(Irr!I14&lt;&gt;".",Irr!AG14=".",Irr!BE14="."),dir!AI14/((1/1000)*(Irr!I14)),IF(AND(Irr!I14=".",Irr!AG14=".",Irr!BE14="."),dir!AI14*1000)))))))),".")</f>
        <v>87.646818549521441</v>
      </c>
      <c r="AJ14" s="76">
        <f>IFERROR(IF(AND(Irr!J14&lt;&gt;".",Irr!AH14&lt;&gt;".",Irr!BF14&lt;&gt;"."),dir!AJ14/((1/1000)*(Irr!J14+Irr!AH14+Irr!BF14)),IF(AND(Irr!J14&lt;&gt;".",Irr!AH14&lt;&gt;".",Irr!BF14="."),dir!AJ14/((1/1000)*(Irr!J14+Irr!AH14)),IF(AND(Irr!J14&lt;&gt;".",Irr!AH14=".",Irr!BF14&lt;&gt;"."),dir!AJ14/((1/1000)*(Irr!J14+Irr!BF14)),IF(AND(Irr!J14=".",Irr!AH14&lt;&gt;".",Irr!BF14&lt;&gt;"."),dir!AJ14/((1/1000)*(Irr!AH14+Irr!BF14)),IF(AND(Irr!J14=".",Irr!AH14=".",Irr!BF14&lt;&gt;"."),dir!AJ14/((1/1000)*(Irr!BF14)),IF(AND(Irr!J14=".",Irr!AH14&lt;&gt;".",Irr!BF14="."),dir!AJ14/((1/1000)*(Irr!AH14)),IF(AND(Irr!J14&lt;&gt;".",Irr!AH14=".",Irr!BF14="."),dir!AJ14/((1/1000)*(Irr!J14)),IF(AND(Irr!J14=".",Irr!AH14=".",Irr!BF14="."),dir!AJ14*1000)))))))),".")</f>
        <v>6.8169893356803772</v>
      </c>
      <c r="AK14" s="76">
        <f>IFERROR(IF(AND(Irr!K14&lt;&gt;".",Irr!AI14&lt;&gt;".",Irr!BG14&lt;&gt;"."),dir!AK14/((1/1000)*(Irr!K14+Irr!AI14+Irr!BG14)),IF(AND(Irr!K14&lt;&gt;".",Irr!AI14&lt;&gt;".",Irr!BG14="."),dir!AK14/((1/1000)*(Irr!K14+Irr!AI14)),IF(AND(Irr!K14&lt;&gt;".",Irr!AI14=".",Irr!BG14&lt;&gt;"."),dir!AK14/((1/1000)*(Irr!K14+Irr!BG14)),IF(AND(Irr!K14=".",Irr!AI14&lt;&gt;".",Irr!BG14&lt;&gt;"."),dir!AK14/((1/1000)*(Irr!AI14+Irr!BG14)),IF(AND(Irr!K14=".",Irr!AI14=".",Irr!BG14&lt;&gt;"."),dir!AK14/((1/1000)*(Irr!BG14)),IF(AND(Irr!K14=".",Irr!AI14&lt;&gt;".",Irr!BG14="."),dir!AK14/((1/1000)*(Irr!AI14)),IF(AND(Irr!K14&lt;&gt;".",Irr!AI14=".",Irr!BG14="."),dir!AK14/((1/1000)*(Irr!K14)),IF(AND(Irr!K14=".",Irr!AI14=".",Irr!BG14="."),dir!AK14*1000)))))))),".")</f>
        <v>26.697898801120132</v>
      </c>
      <c r="AL14" s="76">
        <f>IFERROR(IF(AND(Irr!L14&lt;&gt;".",Irr!AJ14&lt;&gt;".",Irr!BH14&lt;&gt;"."),dir!AL14/((1/1000)*(Irr!L14+Irr!AJ14+Irr!BH14)),IF(AND(Irr!L14&lt;&gt;".",Irr!AJ14&lt;&gt;".",Irr!BH14="."),dir!AL14/((1/1000)*(Irr!L14+Irr!AJ14)),IF(AND(Irr!L14&lt;&gt;".",Irr!AJ14=".",Irr!BH14&lt;&gt;"."),dir!AL14/((1/1000)*(Irr!L14+Irr!BH14)),IF(AND(Irr!L14=".",Irr!AJ14&lt;&gt;".",Irr!BH14&lt;&gt;"."),dir!AL14/((1/1000)*(Irr!AJ14+Irr!BH14)),IF(AND(Irr!L14=".",Irr!AJ14=".",Irr!BH14&lt;&gt;"."),dir!AL14/((1/1000)*(Irr!BH14)),IF(AND(Irr!L14=".",Irr!AJ14&lt;&gt;".",Irr!BH14="."),dir!AL14/((1/1000)*(Irr!AJ14)),IF(AND(Irr!L14&lt;&gt;".",Irr!AJ14=".",Irr!BH14="."),dir!AL14/((1/1000)*(Irr!L14)),IF(AND(Irr!L14=".",Irr!AJ14=".",Irr!BH14="."),dir!AL14*1000)))))))),".")</f>
        <v>40.521648684034574</v>
      </c>
      <c r="AM14" s="76">
        <f>IFERROR(IF(AND(Irr!M14&lt;&gt;".",Irr!AK14&lt;&gt;".",Irr!BI14&lt;&gt;"."),dir!AM14/((1/1000)*(Irr!M14+Irr!AK14+Irr!BI14)),IF(AND(Irr!M14&lt;&gt;".",Irr!AK14&lt;&gt;".",Irr!BI14="."),dir!AM14/((1/1000)*(Irr!M14+Irr!AK14)),IF(AND(Irr!M14&lt;&gt;".",Irr!AK14=".",Irr!BI14&lt;&gt;"."),dir!AM14/((1/1000)*(Irr!M14+Irr!BI14)),IF(AND(Irr!M14=".",Irr!AK14&lt;&gt;".",Irr!BI14&lt;&gt;"."),dir!AM14/((1/1000)*(Irr!AK14+Irr!BI14)),IF(AND(Irr!M14=".",Irr!AK14=".",Irr!BI14&lt;&gt;"."),dir!AM14/((1/1000)*(Irr!BI14)),IF(AND(Irr!M14=".",Irr!AK14&lt;&gt;".",Irr!BI14="."),dir!AM14/((1/1000)*(Irr!AK14)),IF(AND(Irr!M14&lt;&gt;".",Irr!AK14=".",Irr!BI14="."),dir!AM14/((1/1000)*(Irr!M14)),IF(AND(Irr!M14=".",Irr!AK14=".",Irr!BI14="."),dir!AM14*1000)))))))),".")</f>
        <v>54.750512250000973</v>
      </c>
      <c r="AN14" s="76">
        <f>IFERROR(IF(AND(Irr!N14&lt;&gt;".",Irr!AL14&lt;&gt;".",Irr!BJ14&lt;&gt;"."),dir!AN14/((1/1000)*(Irr!N14+Irr!AL14+Irr!BJ14)),IF(AND(Irr!N14&lt;&gt;".",Irr!AL14&lt;&gt;".",Irr!BJ14="."),dir!AN14/((1/1000)*(Irr!N14+Irr!AL14)),IF(AND(Irr!N14&lt;&gt;".",Irr!AL14=".",Irr!BJ14&lt;&gt;"."),dir!AN14/((1/1000)*(Irr!N14+Irr!BJ14)),IF(AND(Irr!N14=".",Irr!AL14&lt;&gt;".",Irr!BJ14&lt;&gt;"."),dir!AN14/((1/1000)*(Irr!AL14+Irr!BJ14)),IF(AND(Irr!N14=".",Irr!AL14=".",Irr!BJ14&lt;&gt;"."),dir!AN14/((1/1000)*(Irr!BJ14)),IF(AND(Irr!N14=".",Irr!AL14&lt;&gt;".",Irr!BJ14="."),dir!AN14/((1/1000)*(Irr!AL14)),IF(AND(Irr!N14&lt;&gt;".",Irr!AL14=".",Irr!BJ14="."),dir!AN14/((1/1000)*(Irr!N14)),IF(AND(Irr!N14=".",Irr!AL14=".",Irr!BJ14="."),dir!AN14*1000)))))))),".")</f>
        <v>64.917458447177793</v>
      </c>
      <c r="AO14" s="76">
        <f>IFERROR(IF(AND(Irr!O14&lt;&gt;".",Irr!AM14&lt;&gt;".",Irr!BK14&lt;&gt;"."),dir!AO14/((1/1000)*(Irr!O14+Irr!AM14+Irr!BK14)),IF(AND(Irr!O14&lt;&gt;".",Irr!AM14&lt;&gt;".",Irr!BK14="."),dir!AO14/((1/1000)*(Irr!O14+Irr!AM14)),IF(AND(Irr!O14&lt;&gt;".",Irr!AM14=".",Irr!BK14&lt;&gt;"."),dir!AO14/((1/1000)*(Irr!O14+Irr!BK14)),IF(AND(Irr!O14=".",Irr!AM14&lt;&gt;".",Irr!BK14&lt;&gt;"."),dir!AO14/((1/1000)*(Irr!AM14+Irr!BK14)),IF(AND(Irr!O14=".",Irr!AM14=".",Irr!BK14&lt;&gt;"."),dir!AO14/((1/1000)*(Irr!BK14)),IF(AND(Irr!O14=".",Irr!AM14&lt;&gt;".",Irr!BK14="."),dir!AO14/((1/1000)*(Irr!AM14)),IF(AND(Irr!O14&lt;&gt;".",Irr!AM14=".",Irr!BK14="."),dir!AO14/((1/1000)*(Irr!O14)),IF(AND(Irr!O14=".",Irr!AM14=".",Irr!BK14="."),dir!AO14*1000)))))))),".")</f>
        <v>75.305231064063875</v>
      </c>
      <c r="AP14" s="76">
        <f>IFERROR(IF(AND(Irr!P14&lt;&gt;".",Irr!AN14&lt;&gt;".",Irr!BL14&lt;&gt;"."),dir!AP14/((1/1000)*(Irr!P14+Irr!AN14+Irr!BL14)),IF(AND(Irr!P14&lt;&gt;".",Irr!AN14&lt;&gt;".",Irr!BL14="."),dir!AP14/((1/1000)*(Irr!P14+Irr!AN14)),IF(AND(Irr!P14&lt;&gt;".",Irr!AN14=".",Irr!BL14&lt;&gt;"."),dir!AP14/((1/1000)*(Irr!P14+Irr!BL14)),IF(AND(Irr!P14=".",Irr!AN14&lt;&gt;".",Irr!BL14&lt;&gt;"."),dir!AP14/((1/1000)*(Irr!AN14+Irr!BL14)),IF(AND(Irr!P14=".",Irr!AN14=".",Irr!BL14&lt;&gt;"."),dir!AP14/((1/1000)*(Irr!BL14)),IF(AND(Irr!P14=".",Irr!AN14&lt;&gt;".",Irr!BL14="."),dir!AP14/((1/1000)*(Irr!AN14)),IF(AND(Irr!P14&lt;&gt;".",Irr!AN14=".",Irr!BL14="."),dir!AP14/((1/1000)*(Irr!P14)),IF(AND(Irr!P14=".",Irr!AN14=".",Irr!BL14="."),dir!AP14*1000)))))))),".")</f>
        <v>82.340926434850005</v>
      </c>
      <c r="AQ14" s="76">
        <f>IFERROR(IF(AND(Irr!Q14&lt;&gt;".",Irr!AO14&lt;&gt;".",Irr!BM14&lt;&gt;"."),dir!AQ14/((1/1000)*(Irr!Q14+Irr!AO14+Irr!BM14)),IF(AND(Irr!Q14&lt;&gt;".",Irr!AO14&lt;&gt;".",Irr!BM14="."),dir!AQ14/((1/1000)*(Irr!Q14+Irr!AO14)),IF(AND(Irr!Q14&lt;&gt;".",Irr!AO14=".",Irr!BM14&lt;&gt;"."),dir!AQ14/((1/1000)*(Irr!Q14+Irr!BM14)),IF(AND(Irr!Q14=".",Irr!AO14&lt;&gt;".",Irr!BM14&lt;&gt;"."),dir!AQ14/((1/1000)*(Irr!AO14+Irr!BM14)),IF(AND(Irr!Q14=".",Irr!AO14=".",Irr!BM14&lt;&gt;"."),dir!AQ14/((1/1000)*(Irr!BM14)),IF(AND(Irr!Q14=".",Irr!AO14&lt;&gt;".",Irr!BM14="."),dir!AQ14/((1/1000)*(Irr!AO14)),IF(AND(Irr!Q14&lt;&gt;".",Irr!AO14=".",Irr!BM14="."),dir!AQ14/((1/1000)*(Irr!Q14)),IF(AND(Irr!Q14=".",Irr!AO14=".",Irr!BM14="."),dir!AQ14*1000)))))))),".")</f>
        <v>19.425610622799432</v>
      </c>
      <c r="AR14" s="76">
        <f>IFERROR(IF(AND(Irr!R14&lt;&gt;".",Irr!AP14&lt;&gt;".",Irr!BN14&lt;&gt;"."),dir!AR14/((1/1000)*(Irr!R14+Irr!AP14+Irr!BN14)),IF(AND(Irr!R14&lt;&gt;".",Irr!AP14&lt;&gt;".",Irr!BN14="."),dir!AR14/((1/1000)*(Irr!R14+Irr!AP14)),IF(AND(Irr!R14&lt;&gt;".",Irr!AP14=".",Irr!BN14&lt;&gt;"."),dir!AR14/((1/1000)*(Irr!R14+Irr!BN14)),IF(AND(Irr!R14=".",Irr!AP14&lt;&gt;".",Irr!BN14&lt;&gt;"."),dir!AR14/((1/1000)*(Irr!AP14+Irr!BN14)),IF(AND(Irr!R14=".",Irr!AP14=".",Irr!BN14&lt;&gt;"."),dir!AR14/((1/1000)*(Irr!BN14)),IF(AND(Irr!R14=".",Irr!AP14&lt;&gt;".",Irr!BN14="."),dir!AR14/((1/1000)*(Irr!AP14)),IF(AND(Irr!R14&lt;&gt;".",Irr!AP14=".",Irr!BN14="."),dir!AR14/((1/1000)*(Irr!R14)),IF(AND(Irr!R14=".",Irr!AP14=".",Irr!BN14="."),dir!AR14*1000)))))))),".")</f>
        <v>31.935593267692035</v>
      </c>
      <c r="AS14" s="76">
        <f>IFERROR(IF(AND(Irr!S14&lt;&gt;".",Irr!AQ14&lt;&gt;".",Irr!BO14&lt;&gt;"."),dir!AS14/((1/1000)*(Irr!S14+Irr!AQ14+Irr!BO14)),IF(AND(Irr!S14&lt;&gt;".",Irr!AQ14&lt;&gt;".",Irr!BO14="."),dir!AS14/((1/1000)*(Irr!S14+Irr!AQ14)),IF(AND(Irr!S14&lt;&gt;".",Irr!AQ14=".",Irr!BO14&lt;&gt;"."),dir!AS14/((1/1000)*(Irr!S14+Irr!BO14)),IF(AND(Irr!S14=".",Irr!AQ14&lt;&gt;".",Irr!BO14&lt;&gt;"."),dir!AS14/((1/1000)*(Irr!AQ14+Irr!BO14)),IF(AND(Irr!S14=".",Irr!AQ14=".",Irr!BO14&lt;&gt;"."),dir!AS14/((1/1000)*(Irr!BO14)),IF(AND(Irr!S14=".",Irr!AQ14&lt;&gt;".",Irr!BO14="."),dir!AS14/((1/1000)*(Irr!AQ14)),IF(AND(Irr!S14&lt;&gt;".",Irr!AQ14=".",Irr!BO14="."),dir!AS14/((1/1000)*(Irr!S14)),IF(AND(Irr!S14=".",Irr!AQ14=".",Irr!BO14="."),dir!AS14*1000)))))))),".")</f>
        <v>63.718728302865721</v>
      </c>
      <c r="AT14" s="76">
        <f>IFERROR(IF(AND(Irr!T14&lt;&gt;".",Irr!AR14&lt;&gt;".",Irr!BP14&lt;&gt;"."),dir!AT14/((1/1000)*(Irr!T14+Irr!AR14+Irr!BP14)),IF(AND(Irr!T14&lt;&gt;".",Irr!AR14&lt;&gt;".",Irr!BP14="."),dir!AT14/((1/1000)*(Irr!T14+Irr!AR14)),IF(AND(Irr!T14&lt;&gt;".",Irr!AR14=".",Irr!BP14&lt;&gt;"."),dir!AT14/((1/1000)*(Irr!T14+Irr!BP14)),IF(AND(Irr!T14=".",Irr!AR14&lt;&gt;".",Irr!BP14&lt;&gt;"."),dir!AT14/((1/1000)*(Irr!AR14+Irr!BP14)),IF(AND(Irr!T14=".",Irr!AR14=".",Irr!BP14&lt;&gt;"."),dir!AT14/((1/1000)*(Irr!BP14)),IF(AND(Irr!T14=".",Irr!AR14&lt;&gt;".",Irr!BP14="."),dir!AT14/((1/1000)*(Irr!AR14)),IF(AND(Irr!T14&lt;&gt;".",Irr!AR14=".",Irr!BP14="."),dir!AT14/((1/1000)*(Irr!T14)),IF(AND(Irr!T14=".",Irr!AR14=".",Irr!BP14="."),dir!AT14*1000)))))))),".")</f>
        <v>15.416394042612392</v>
      </c>
      <c r="AU14" s="76">
        <f>IFERROR(IF(AND(Irr!U14&lt;&gt;".",Irr!AS14&lt;&gt;".",Irr!BQ14&lt;&gt;"."),dir!AU14/((1/1000)*(Irr!U14+Irr!AS14+Irr!BQ14)),IF(AND(Irr!U14&lt;&gt;".",Irr!AS14&lt;&gt;".",Irr!BQ14="."),dir!AU14/((1/1000)*(Irr!U14+Irr!AS14)),IF(AND(Irr!U14&lt;&gt;".",Irr!AS14=".",Irr!BQ14&lt;&gt;"."),dir!AU14/((1/1000)*(Irr!U14+Irr!BQ14)),IF(AND(Irr!U14=".",Irr!AS14&lt;&gt;".",Irr!BQ14&lt;&gt;"."),dir!AU14/((1/1000)*(Irr!AS14+Irr!BQ14)),IF(AND(Irr!U14=".",Irr!AS14=".",Irr!BQ14&lt;&gt;"."),dir!AU14/((1/1000)*(Irr!BQ14)),IF(AND(Irr!U14=".",Irr!AS14&lt;&gt;".",Irr!BQ14="."),dir!AU14/((1/1000)*(Irr!AS14)),IF(AND(Irr!U14&lt;&gt;".",Irr!AS14=".",Irr!BQ14="."),dir!AU14/((1/1000)*(Irr!U14)),IF(AND(Irr!U14=".",Irr!AS14=".",Irr!BQ14="."),dir!AU14*1000)))))))),".")</f>
        <v>32.223481627266089</v>
      </c>
      <c r="AV14" s="76">
        <f>IFERROR(IF(AND(Irr!V14&lt;&gt;".",Irr!AT14&lt;&gt;".",Irr!BR14&lt;&gt;"."),dir!AV14/((1/1000)*(Irr!V14+Irr!AT14+Irr!BR14)),IF(AND(Irr!V14&lt;&gt;".",Irr!AT14&lt;&gt;".",Irr!BR14="."),dir!AV14/((1/1000)*(Irr!V14+Irr!AT14)),IF(AND(Irr!V14&lt;&gt;".",Irr!AT14=".",Irr!BR14&lt;&gt;"."),dir!AV14/((1/1000)*(Irr!V14+Irr!BR14)),IF(AND(Irr!V14=".",Irr!AT14&lt;&gt;".",Irr!BR14&lt;&gt;"."),dir!AV14/((1/1000)*(Irr!AT14+Irr!BR14)),IF(AND(Irr!V14=".",Irr!AT14=".",Irr!BR14&lt;&gt;"."),dir!AV14/((1/1000)*(Irr!BR14)),IF(AND(Irr!V14=".",Irr!AT14&lt;&gt;".",Irr!BR14="."),dir!AV14/((1/1000)*(Irr!AT14)),IF(AND(Irr!V14&lt;&gt;".",Irr!AT14=".",Irr!BR14="."),dir!AV14/((1/1000)*(Irr!V14)),IF(AND(Irr!V14=".",Irr!AT14=".",Irr!BR14="."),dir!AV14*1000)))))))),".")</f>
        <v>38.033115539441887</v>
      </c>
      <c r="AW14" s="76">
        <f>IFERROR(IF(AND(Irr!W14&lt;&gt;".",Irr!AU14&lt;&gt;".",Irr!BS14&lt;&gt;"."),dir!AW14/((1/1000)*(Irr!W14+Irr!AU14+Irr!BS14)),IF(AND(Irr!W14&lt;&gt;".",Irr!AU14&lt;&gt;".",Irr!BS14="."),dir!AW14/((1/1000)*(Irr!W14+Irr!AU14)),IF(AND(Irr!W14&lt;&gt;".",Irr!AU14=".",Irr!BS14&lt;&gt;"."),dir!AW14/((1/1000)*(Irr!W14+Irr!BS14)),IF(AND(Irr!W14=".",Irr!AU14&lt;&gt;".",Irr!BS14&lt;&gt;"."),dir!AW14/((1/1000)*(Irr!AU14+Irr!BS14)),IF(AND(Irr!W14=".",Irr!AU14=".",Irr!BS14&lt;&gt;"."),dir!AW14/((1/1000)*(Irr!BS14)),IF(AND(Irr!W14=".",Irr!AU14&lt;&gt;".",Irr!BS14="."),dir!AW14/((1/1000)*(Irr!AU14)),IF(AND(Irr!W14&lt;&gt;".",Irr!AU14=".",Irr!BS14="."),dir!AW14/((1/1000)*(Irr!W14)),IF(AND(Irr!W14=".",Irr!AU14=".",Irr!BS14="."),dir!AW14*1000)))))))),".")</f>
        <v>52.144242284417857</v>
      </c>
      <c r="AX14" s="76">
        <f>IFERROR(IF(AND(Irr!X14&lt;&gt;".",Irr!AV14&lt;&gt;".",Irr!BT14&lt;&gt;"."),dir!AX14/((1/1000)*(Irr!X14+Irr!AV14+Irr!BT14)),IF(AND(Irr!X14&lt;&gt;".",Irr!AV14&lt;&gt;".",Irr!BT14="."),dir!AX14/((1/1000)*(Irr!X14+Irr!AV14)),IF(AND(Irr!X14&lt;&gt;".",Irr!AV14=".",Irr!BT14&lt;&gt;"."),dir!AX14/((1/1000)*(Irr!X14+Irr!BT14)),IF(AND(Irr!X14=".",Irr!AV14&lt;&gt;".",Irr!BT14&lt;&gt;"."),dir!AX14/((1/1000)*(Irr!AV14+Irr!BT14)),IF(AND(Irr!X14=".",Irr!AV14=".",Irr!BT14&lt;&gt;"."),dir!AX14/((1/1000)*(Irr!BT14)),IF(AND(Irr!X14=".",Irr!AV14&lt;&gt;".",Irr!BT14="."),dir!AX14/((1/1000)*(Irr!AV14)),IF(AND(Irr!X14&lt;&gt;".",Irr!AV14=".",Irr!BT14="."),dir!AX14/((1/1000)*(Irr!X14)),IF(AND(Irr!X14=".",Irr!AV14=".",Irr!BT14="."),dir!AX14*1000)))))))),".")</f>
        <v>23.051820174993757</v>
      </c>
      <c r="AY14" s="76">
        <f>IFERROR(IF(AND(Irr!Y14&lt;&gt;".",Irr!AW14&lt;&gt;".",Irr!BU14&lt;&gt;"."),dir!AY14/((1/1000)*(Irr!Y14+Irr!AW14+Irr!BU14)),IF(AND(Irr!Y14&lt;&gt;".",Irr!AW14&lt;&gt;".",Irr!BU14="."),dir!AY14/((1/1000)*(Irr!Y14+Irr!AW14)),IF(AND(Irr!Y14&lt;&gt;".",Irr!AW14=".",Irr!BU14&lt;&gt;"."),dir!AY14/((1/1000)*(Irr!Y14+Irr!BU14)),IF(AND(Irr!Y14=".",Irr!AW14&lt;&gt;".",Irr!BU14&lt;&gt;"."),dir!AY14/((1/1000)*(Irr!AW14+Irr!BU14)),IF(AND(Irr!Y14=".",Irr!AW14=".",Irr!BU14&lt;&gt;"."),dir!AY14/((1/1000)*(Irr!BU14)),IF(AND(Irr!Y14=".",Irr!AW14&lt;&gt;".",Irr!BU14="."),dir!AY14/((1/1000)*(Irr!AW14)),IF(AND(Irr!Y14&lt;&gt;".",Irr!AW14=".",Irr!BU14="."),dir!AY14/((1/1000)*(Irr!Y14)),IF(AND(Irr!Y14=".",Irr!AW14=".",Irr!BU14="."),dir!AY14*1000)))))))),".")</f>
        <v>7.6654818176769153</v>
      </c>
      <c r="AZ14" s="76">
        <f>IFERROR(IF(AND(Irr!Z14&lt;&gt;".",Irr!AX14&lt;&gt;".",Irr!BV14&lt;&gt;"."),dir!AZ14/((1/1000)*(Irr!Z14+Irr!AX14+Irr!BV14)),IF(AND(Irr!Z14&lt;&gt;".",Irr!AX14&lt;&gt;".",Irr!BV14="."),dir!AZ14/((1/1000)*(Irr!Z14+Irr!AX14)),IF(AND(Irr!Z14&lt;&gt;".",Irr!AX14=".",Irr!BV14&lt;&gt;"."),dir!AZ14/((1/1000)*(Irr!Z14+Irr!BV14)),IF(AND(Irr!Z14=".",Irr!AX14&lt;&gt;".",Irr!BV14&lt;&gt;"."),dir!AZ14/((1/1000)*(Irr!AX14+Irr!BV14)),IF(AND(Irr!Z14=".",Irr!AX14=".",Irr!BV14&lt;&gt;"."),dir!AZ14/((1/1000)*(Irr!BV14)),IF(AND(Irr!Z14=".",Irr!AX14&lt;&gt;".",Irr!BV14="."),dir!AZ14/((1/1000)*(Irr!AX14)),IF(AND(Irr!Z14&lt;&gt;".",Irr!AX14=".",Irr!BV14="."),dir!AZ14/((1/1000)*(Irr!Z14)),IF(AND(Irr!Z14=".",Irr!AX14=".",Irr!BV14="."),dir!AZ14*1000)))))))),".")</f>
        <v>7.2534221587133976</v>
      </c>
    </row>
    <row r="15" spans="1:52" ht="15" customHeight="1" x14ac:dyDescent="0.25">
      <c r="A15" s="92" t="s">
        <v>25</v>
      </c>
      <c r="B15" s="90" t="s">
        <v>1074</v>
      </c>
      <c r="C15" s="76">
        <f t="shared" ref="C15:C17" si="14">IFERROR(1/SUM(1/D15,1/E15,1/F15,1/G15,1/H15,1/I15,1/J15,1/K15,1/L15,1/M15,1/N15,1/O15,1/P15,1/Q15,1/R15,1/S15,1/T15,1/U15,1/V15,1/W15,1/X15,1/Y15),".")</f>
        <v>55.681119846139325</v>
      </c>
      <c r="D15" s="76">
        <f>IFERROR(IF(AND(Irr!C15&lt;&gt;".",Irr!AA15&lt;&gt;".",Irr!AY15&lt;&gt;"."),dir!D15/((1/1000)*(Irr!C15+Irr!AA15+Irr!AY15)),IF(AND(Irr!C15&lt;&gt;".",Irr!AA15&lt;&gt;".",Irr!AY15="."),dir!D15/((1/1000)*(Irr!C15+Irr!AA15)),IF(AND(Irr!C15&lt;&gt;".",Irr!AA15=".",Irr!AY15&lt;&gt;"."),dir!D15/((1/1000)*(Irr!C15+Irr!AY15)),IF(AND(Irr!C15=".",Irr!AA15&lt;&gt;".",Irr!AY15&lt;&gt;"."),dir!D15/((1/1000)*(Irr!AA15+Irr!AY15)),IF(AND(Irr!C15=".",Irr!AA15=".",Irr!AY15&lt;&gt;"."),dir!D15/((1/1000)*(Irr!AY15)),IF(AND(Irr!C15=".",Irr!AA15&lt;&gt;".",Irr!AY15="."),dir!D15/((1/1000)*(Irr!AA15)),IF(AND(Irr!C15&lt;&gt;".",Irr!AA15=".",Irr!AY15="."),dir!D15/((1/1000)*(Irr!C15)),IF(AND(Irr!C15=".",Irr!AA15=".",Irr!AY15="."),dir!D15*1000)))))))),".")</f>
        <v>1073.0379811485468</v>
      </c>
      <c r="E15" s="76">
        <f>IFERROR(IF(AND(Irr!D15&lt;&gt;".",Irr!AB15&lt;&gt;".",Irr!AZ15&lt;&gt;"."),dir!E15/((1/1000)*(Irr!D15+Irr!AB15+Irr!AZ15)),IF(AND(Irr!D15&lt;&gt;".",Irr!AB15&lt;&gt;".",Irr!AZ15="."),dir!E15/((1/1000)*(Irr!D15+Irr!AB15)),IF(AND(Irr!D15&lt;&gt;".",Irr!AB15=".",Irr!AZ15&lt;&gt;"."),dir!E15/((1/1000)*(Irr!D15+Irr!AZ15)),IF(AND(Irr!D15=".",Irr!AB15&lt;&gt;".",Irr!AZ15&lt;&gt;"."),dir!E15/((1/1000)*(Irr!AB15+Irr!AZ15)),IF(AND(Irr!D15=".",Irr!AB15=".",Irr!AZ15&lt;&gt;"."),dir!E15/((1/1000)*(Irr!AZ15)),IF(AND(Irr!D15=".",Irr!AB15&lt;&gt;".",Irr!AZ15="."),dir!E15/((1/1000)*(Irr!AB15)),IF(AND(Irr!D15&lt;&gt;".",Irr!AB15=".",Irr!AZ15="."),dir!E15/((1/1000)*(Irr!D15)),IF(AND(Irr!D15=".",Irr!AB15=".",Irr!AZ15="."),dir!E15*1000)))))))),".")</f>
        <v>1468.7490576887888</v>
      </c>
      <c r="F15" s="76">
        <f>IFERROR(IF(AND(Irr!E15&lt;&gt;".",Irr!AC15&lt;&gt;".",Irr!BA15&lt;&gt;"."),dir!F15/((1/1000)*(Irr!E15+Irr!AC15+Irr!BA15)),IF(AND(Irr!E15&lt;&gt;".",Irr!AC15&lt;&gt;".",Irr!BA15="."),dir!F15/((1/1000)*(Irr!E15+Irr!AC15)),IF(AND(Irr!E15&lt;&gt;".",Irr!AC15=".",Irr!BA15&lt;&gt;"."),dir!F15/((1/1000)*(Irr!E15+Irr!BA15)),IF(AND(Irr!E15=".",Irr!AC15&lt;&gt;".",Irr!BA15&lt;&gt;"."),dir!F15/((1/1000)*(Irr!AC15+Irr!BA15)),IF(AND(Irr!E15=".",Irr!AC15=".",Irr!BA15&lt;&gt;"."),dir!F15/((1/1000)*(Irr!BA15)),IF(AND(Irr!E15=".",Irr!AC15&lt;&gt;".",Irr!BA15="."),dir!F15/((1/1000)*(Irr!AC15)),IF(AND(Irr!E15&lt;&gt;".",Irr!AC15=".",Irr!BA15="."),dir!F15/((1/1000)*(Irr!E15)),IF(AND(Irr!E15=".",Irr!AC15=".",Irr!BA15="."),dir!F15*1000)))))))),".")</f>
        <v>2793.6285260023274</v>
      </c>
      <c r="G15" s="76">
        <f>IFERROR(IF(AND(Irr!F15&lt;&gt;".",Irr!AD15&lt;&gt;".",Irr!BB15&lt;&gt;"."),dir!G15/((1/1000)*(Irr!F15+Irr!AD15+Irr!BB15)),IF(AND(Irr!F15&lt;&gt;".",Irr!AD15&lt;&gt;".",Irr!BB15="."),dir!G15/((1/1000)*(Irr!F15+Irr!AD15)),IF(AND(Irr!F15&lt;&gt;".",Irr!AD15=".",Irr!BB15&lt;&gt;"."),dir!G15/((1/1000)*(Irr!F15+Irr!BB15)),IF(AND(Irr!F15=".",Irr!AD15&lt;&gt;".",Irr!BB15&lt;&gt;"."),dir!G15/((1/1000)*(Irr!AD15+Irr!BB15)),IF(AND(Irr!F15=".",Irr!AD15=".",Irr!BB15&lt;&gt;"."),dir!G15/((1/1000)*(Irr!BB15)),IF(AND(Irr!F15=".",Irr!AD15&lt;&gt;".",Irr!BB15="."),dir!G15/((1/1000)*(Irr!AD15)),IF(AND(Irr!F15&lt;&gt;".",Irr!AD15=".",Irr!BB15="."),dir!G15/((1/1000)*(Irr!F15)),IF(AND(Irr!F15=".",Irr!AD15=".",Irr!BB15="."),dir!G15*1000)))))))),".")</f>
        <v>2403.557040862589</v>
      </c>
      <c r="H15" s="76">
        <f>IFERROR(IF(AND(Irr!G15&lt;&gt;".",Irr!AE15&lt;&gt;".",Irr!BC15&lt;&gt;"."),dir!H15/((1/1000)*(Irr!G15+Irr!AE15+Irr!BC15)),IF(AND(Irr!G15&lt;&gt;".",Irr!AE15&lt;&gt;".",Irr!BC15="."),dir!H15/((1/1000)*(Irr!G15+Irr!AE15)),IF(AND(Irr!G15&lt;&gt;".",Irr!AE15=".",Irr!BC15&lt;&gt;"."),dir!H15/((1/1000)*(Irr!G15+Irr!BC15)),IF(AND(Irr!G15=".",Irr!AE15&lt;&gt;".",Irr!BC15&lt;&gt;"."),dir!H15/((1/1000)*(Irr!AE15+Irr!BC15)),IF(AND(Irr!G15=".",Irr!AE15=".",Irr!BC15&lt;&gt;"."),dir!H15/((1/1000)*(Irr!BC15)),IF(AND(Irr!G15=".",Irr!AE15&lt;&gt;".",Irr!BC15="."),dir!H15/((1/1000)*(Irr!AE15)),IF(AND(Irr!G15&lt;&gt;".",Irr!AE15=".",Irr!BC15="."),dir!H15/((1/1000)*(Irr!G15)),IF(AND(Irr!G15=".",Irr!AE15=".",Irr!BC15="."),dir!H15*1000)))))))),".")</f>
        <v>2706.59547287246</v>
      </c>
      <c r="I15" s="76">
        <f>IFERROR(IF(AND(Irr!H15&lt;&gt;".",Irr!AF15&lt;&gt;".",Irr!BD15&lt;&gt;"."),dir!I15/((1/1000)*(Irr!H15+Irr!AF15+Irr!BD15)),IF(AND(Irr!H15&lt;&gt;".",Irr!AF15&lt;&gt;".",Irr!BD15="."),dir!I15/((1/1000)*(Irr!H15+Irr!AF15)),IF(AND(Irr!H15&lt;&gt;".",Irr!AF15=".",Irr!BD15&lt;&gt;"."),dir!I15/((1/1000)*(Irr!H15+Irr!BD15)),IF(AND(Irr!H15=".",Irr!AF15&lt;&gt;".",Irr!BD15&lt;&gt;"."),dir!I15/((1/1000)*(Irr!AF15+Irr!BD15)),IF(AND(Irr!H15=".",Irr!AF15=".",Irr!BD15&lt;&gt;"."),dir!I15/((1/1000)*(Irr!BD15)),IF(AND(Irr!H15=".",Irr!AF15&lt;&gt;".",Irr!BD15="."),dir!I15/((1/1000)*(Irr!AF15)),IF(AND(Irr!H15&lt;&gt;".",Irr!AF15=".",Irr!BD15="."),dir!I15/((1/1000)*(Irr!H15)),IF(AND(Irr!H15=".",Irr!AF15=".",Irr!BD15="."),dir!I15*1000)))))))),".")</f>
        <v>657.69217346694654</v>
      </c>
      <c r="J15" s="76">
        <f>IFERROR(IF(AND(Irr!I15&lt;&gt;".",Irr!AG15&lt;&gt;".",Irr!BE15&lt;&gt;"."),dir!J15/((1/1000)*(Irr!I15+Irr!AG15+Irr!BE15)),IF(AND(Irr!I15&lt;&gt;".",Irr!AG15&lt;&gt;".",Irr!BE15="."),dir!J15/((1/1000)*(Irr!I15+Irr!AG15)),IF(AND(Irr!I15&lt;&gt;".",Irr!AG15=".",Irr!BE15&lt;&gt;"."),dir!J15/((1/1000)*(Irr!I15+Irr!BE15)),IF(AND(Irr!I15=".",Irr!AG15&lt;&gt;".",Irr!BE15&lt;&gt;"."),dir!J15/((1/1000)*(Irr!AG15+Irr!BE15)),IF(AND(Irr!I15=".",Irr!AG15=".",Irr!BE15&lt;&gt;"."),dir!J15/((1/1000)*(Irr!BE15)),IF(AND(Irr!I15=".",Irr!AG15&lt;&gt;".",Irr!BE15="."),dir!J15/((1/1000)*(Irr!AG15)),IF(AND(Irr!I15&lt;&gt;".",Irr!AG15=".",Irr!BE15="."),dir!J15/((1/1000)*(Irr!I15)),IF(AND(Irr!I15=".",Irr!AG15=".",Irr!BE15="."),dir!J15*1000)))))))),".")</f>
        <v>3084.8878404091729</v>
      </c>
      <c r="K15" s="76">
        <f>IFERROR(IF(AND(Irr!J15&lt;&gt;".",Irr!AH15&lt;&gt;".",Irr!BF15&lt;&gt;"."),dir!K15/((1/1000)*(Irr!J15+Irr!AH15+Irr!BF15)),IF(AND(Irr!J15&lt;&gt;".",Irr!AH15&lt;&gt;".",Irr!BF15="."),dir!K15/((1/1000)*(Irr!J15+Irr!AH15)),IF(AND(Irr!J15&lt;&gt;".",Irr!AH15=".",Irr!BF15&lt;&gt;"."),dir!K15/((1/1000)*(Irr!J15+Irr!BF15)),IF(AND(Irr!J15=".",Irr!AH15&lt;&gt;".",Irr!BF15&lt;&gt;"."),dir!K15/((1/1000)*(Irr!AH15+Irr!BF15)),IF(AND(Irr!J15=".",Irr!AH15=".",Irr!BF15&lt;&gt;"."),dir!K15/((1/1000)*(Irr!BF15)),IF(AND(Irr!J15=".",Irr!AH15&lt;&gt;".",Irr!BF15="."),dir!K15/((1/1000)*(Irr!AH15)),IF(AND(Irr!J15&lt;&gt;".",Irr!AH15=".",Irr!BF15="."),dir!K15/((1/1000)*(Irr!J15)),IF(AND(Irr!J15=".",Irr!AH15=".",Irr!BF15="."),dir!K15*1000)))))))),".")</f>
        <v>278.34409985242786</v>
      </c>
      <c r="L15" s="76">
        <f>IFERROR(IF(AND(Irr!K15&lt;&gt;".",Irr!AI15&lt;&gt;".",Irr!BG15&lt;&gt;"."),dir!L15/((1/1000)*(Irr!K15+Irr!AI15+Irr!BG15)),IF(AND(Irr!K15&lt;&gt;".",Irr!AI15&lt;&gt;".",Irr!BG15="."),dir!L15/((1/1000)*(Irr!K15+Irr!AI15)),IF(AND(Irr!K15&lt;&gt;".",Irr!AI15=".",Irr!BG15&lt;&gt;"."),dir!L15/((1/1000)*(Irr!K15+Irr!BG15)),IF(AND(Irr!K15=".",Irr!AI15&lt;&gt;".",Irr!BG15&lt;&gt;"."),dir!L15/((1/1000)*(Irr!AI15+Irr!BG15)),IF(AND(Irr!K15=".",Irr!AI15=".",Irr!BG15&lt;&gt;"."),dir!L15/((1/1000)*(Irr!BG15)),IF(AND(Irr!K15=".",Irr!AI15&lt;&gt;".",Irr!BG15="."),dir!L15/((1/1000)*(Irr!AI15)),IF(AND(Irr!K15&lt;&gt;".",Irr!AI15=".",Irr!BG15="."),dir!L15/((1/1000)*(Irr!K15)),IF(AND(Irr!K15=".",Irr!AI15=".",Irr!BG15="."),dir!L15*1000)))))))),".")</f>
        <v>1659.1226967918865</v>
      </c>
      <c r="M15" s="76">
        <f>IFERROR(IF(AND(Irr!L15&lt;&gt;".",Irr!AJ15&lt;&gt;".",Irr!BH15&lt;&gt;"."),dir!M15/((1/1000)*(Irr!L15+Irr!AJ15+Irr!BH15)),IF(AND(Irr!L15&lt;&gt;".",Irr!AJ15&lt;&gt;".",Irr!BH15="."),dir!M15/((1/1000)*(Irr!L15+Irr!AJ15)),IF(AND(Irr!L15&lt;&gt;".",Irr!AJ15=".",Irr!BH15&lt;&gt;"."),dir!M15/((1/1000)*(Irr!L15+Irr!BH15)),IF(AND(Irr!L15=".",Irr!AJ15&lt;&gt;".",Irr!BH15&lt;&gt;"."),dir!M15/((1/1000)*(Irr!AJ15+Irr!BH15)),IF(AND(Irr!L15=".",Irr!AJ15=".",Irr!BH15&lt;&gt;"."),dir!M15/((1/1000)*(Irr!BH15)),IF(AND(Irr!L15=".",Irr!AJ15&lt;&gt;".",Irr!BH15="."),dir!M15/((1/1000)*(Irr!AJ15)),IF(AND(Irr!L15&lt;&gt;".",Irr!AJ15=".",Irr!BH15="."),dir!M15/((1/1000)*(Irr!L15)),IF(AND(Irr!L15=".",Irr!AJ15=".",Irr!BH15="."),dir!M15*1000)))))))),".")</f>
        <v>1089.2541626371512</v>
      </c>
      <c r="N15" s="76">
        <f>IFERROR(IF(AND(Irr!M15&lt;&gt;".",Irr!AK15&lt;&gt;".",Irr!BI15&lt;&gt;"."),dir!N15/((1/1000)*(Irr!M15+Irr!AK15+Irr!BI15)),IF(AND(Irr!M15&lt;&gt;".",Irr!AK15&lt;&gt;".",Irr!BI15="."),dir!N15/((1/1000)*(Irr!M15+Irr!AK15)),IF(AND(Irr!M15&lt;&gt;".",Irr!AK15=".",Irr!BI15&lt;&gt;"."),dir!N15/((1/1000)*(Irr!M15+Irr!BI15)),IF(AND(Irr!M15=".",Irr!AK15&lt;&gt;".",Irr!BI15&lt;&gt;"."),dir!N15/((1/1000)*(Irr!AK15+Irr!BI15)),IF(AND(Irr!M15=".",Irr!AK15=".",Irr!BI15&lt;&gt;"."),dir!N15/((1/1000)*(Irr!BI15)),IF(AND(Irr!M15=".",Irr!AK15&lt;&gt;".",Irr!BI15="."),dir!N15/((1/1000)*(Irr!AK15)),IF(AND(Irr!M15&lt;&gt;".",Irr!AK15=".",Irr!BI15="."),dir!N15/((1/1000)*(Irr!M15)),IF(AND(Irr!M15=".",Irr!AK15=".",Irr!BI15="."),dir!N15*1000)))))))),".")</f>
        <v>1513.9697663680274</v>
      </c>
      <c r="O15" s="76">
        <f>IFERROR(IF(AND(Irr!N15&lt;&gt;".",Irr!AL15&lt;&gt;".",Irr!BJ15&lt;&gt;"."),dir!O15/((1/1000)*(Irr!N15+Irr!AL15+Irr!BJ15)),IF(AND(Irr!N15&lt;&gt;".",Irr!AL15&lt;&gt;".",Irr!BJ15="."),dir!O15/((1/1000)*(Irr!N15+Irr!AL15)),IF(AND(Irr!N15&lt;&gt;".",Irr!AL15=".",Irr!BJ15&lt;&gt;"."),dir!O15/((1/1000)*(Irr!N15+Irr!BJ15)),IF(AND(Irr!N15=".",Irr!AL15&lt;&gt;".",Irr!BJ15&lt;&gt;"."),dir!O15/((1/1000)*(Irr!AL15+Irr!BJ15)),IF(AND(Irr!N15=".",Irr!AL15=".",Irr!BJ15&lt;&gt;"."),dir!O15/((1/1000)*(Irr!BJ15)),IF(AND(Irr!N15=".",Irr!AL15&lt;&gt;".",Irr!BJ15="."),dir!O15/((1/1000)*(Irr!AL15)),IF(AND(Irr!N15&lt;&gt;".",Irr!AL15=".",Irr!BJ15="."),dir!O15/((1/1000)*(Irr!N15)),IF(AND(Irr!N15=".",Irr!AL15=".",Irr!BJ15="."),dir!O15*1000)))))))),".")</f>
        <v>2888.7882490034149</v>
      </c>
      <c r="P15" s="76">
        <f>IFERROR(IF(AND(Irr!O15&lt;&gt;".",Irr!AM15&lt;&gt;".",Irr!BK15&lt;&gt;"."),dir!P15/((1/1000)*(Irr!O15+Irr!AM15+Irr!BK15)),IF(AND(Irr!O15&lt;&gt;".",Irr!AM15&lt;&gt;".",Irr!BK15="."),dir!P15/((1/1000)*(Irr!O15+Irr!AM15)),IF(AND(Irr!O15&lt;&gt;".",Irr!AM15=".",Irr!BK15&lt;&gt;"."),dir!P15/((1/1000)*(Irr!O15+Irr!BK15)),IF(AND(Irr!O15=".",Irr!AM15&lt;&gt;".",Irr!BK15&lt;&gt;"."),dir!P15/((1/1000)*(Irr!AM15+Irr!BK15)),IF(AND(Irr!O15=".",Irr!AM15=".",Irr!BK15&lt;&gt;"."),dir!P15/((1/1000)*(Irr!BK15)),IF(AND(Irr!O15=".",Irr!AM15&lt;&gt;".",Irr!BK15="."),dir!P15/((1/1000)*(Irr!AM15)),IF(AND(Irr!O15&lt;&gt;".",Irr!AM15=".",Irr!BK15="."),dir!P15/((1/1000)*(Irr!O15)),IF(AND(Irr!O15=".",Irr!AM15=".",Irr!BK15="."),dir!P15*1000)))))))),".")</f>
        <v>3083.3950901089906</v>
      </c>
      <c r="Q15" s="76">
        <f>IFERROR(IF(AND(Irr!P15&lt;&gt;".",Irr!AN15&lt;&gt;".",Irr!BL15&lt;&gt;"."),dir!Q15/((1/1000)*(Irr!P15+Irr!AN15+Irr!BL15)),IF(AND(Irr!P15&lt;&gt;".",Irr!AN15&lt;&gt;".",Irr!BL15="."),dir!Q15/((1/1000)*(Irr!P15+Irr!AN15)),IF(AND(Irr!P15&lt;&gt;".",Irr!AN15=".",Irr!BL15&lt;&gt;"."),dir!Q15/((1/1000)*(Irr!P15+Irr!BL15)),IF(AND(Irr!P15=".",Irr!AN15&lt;&gt;".",Irr!BL15&lt;&gt;"."),dir!Q15/((1/1000)*(Irr!AN15+Irr!BL15)),IF(AND(Irr!P15=".",Irr!AN15=".",Irr!BL15&lt;&gt;"."),dir!Q15/((1/1000)*(Irr!BL15)),IF(AND(Irr!P15=".",Irr!AN15&lt;&gt;".",Irr!BL15="."),dir!Q15/((1/1000)*(Irr!AN15)),IF(AND(Irr!P15&lt;&gt;".",Irr!AN15=".",Irr!BL15="."),dir!Q15/((1/1000)*(Irr!P15)),IF(AND(Irr!P15=".",Irr!AN15=".",Irr!BL15="."),dir!Q15*1000)))))))),".")</f>
        <v>4163.4191457009101</v>
      </c>
      <c r="R15" s="76">
        <f>IFERROR(IF(AND(Irr!Q15&lt;&gt;".",Irr!AO15&lt;&gt;".",Irr!BM15&lt;&gt;"."),dir!R15/((1/1000)*(Irr!Q15+Irr!AO15+Irr!BM15)),IF(AND(Irr!Q15&lt;&gt;".",Irr!AO15&lt;&gt;".",Irr!BM15="."),dir!R15/((1/1000)*(Irr!Q15+Irr!AO15)),IF(AND(Irr!Q15&lt;&gt;".",Irr!AO15=".",Irr!BM15&lt;&gt;"."),dir!R15/((1/1000)*(Irr!Q15+Irr!BM15)),IF(AND(Irr!Q15=".",Irr!AO15&lt;&gt;".",Irr!BM15&lt;&gt;"."),dir!R15/((1/1000)*(Irr!AO15+Irr!BM15)),IF(AND(Irr!Q15=".",Irr!AO15=".",Irr!BM15&lt;&gt;"."),dir!R15/((1/1000)*(Irr!BM15)),IF(AND(Irr!Q15=".",Irr!AO15&lt;&gt;".",Irr!BM15="."),dir!R15/((1/1000)*(Irr!AO15)),IF(AND(Irr!Q15&lt;&gt;".",Irr!AO15=".",Irr!BM15="."),dir!R15/((1/1000)*(Irr!Q15)),IF(AND(Irr!Q15=".",Irr!AO15=".",Irr!BM15="."),dir!R15*1000)))))))),".")</f>
        <v>686.25291224676823</v>
      </c>
      <c r="S15" s="76">
        <f>IFERROR(IF(AND(Irr!R15&lt;&gt;".",Irr!AP15&lt;&gt;".",Irr!BN15&lt;&gt;"."),dir!S15/((1/1000)*(Irr!R15+Irr!AP15+Irr!BN15)),IF(AND(Irr!R15&lt;&gt;".",Irr!AP15&lt;&gt;".",Irr!BN15="."),dir!S15/((1/1000)*(Irr!R15+Irr!AP15)),IF(AND(Irr!R15&lt;&gt;".",Irr!AP15=".",Irr!BN15&lt;&gt;"."),dir!S15/((1/1000)*(Irr!R15+Irr!BN15)),IF(AND(Irr!R15=".",Irr!AP15&lt;&gt;".",Irr!BN15&lt;&gt;"."),dir!S15/((1/1000)*(Irr!AP15+Irr!BN15)),IF(AND(Irr!R15=".",Irr!AP15=".",Irr!BN15&lt;&gt;"."),dir!S15/((1/1000)*(Irr!BN15)),IF(AND(Irr!R15=".",Irr!AP15&lt;&gt;".",Irr!BN15="."),dir!S15/((1/1000)*(Irr!AP15)),IF(AND(Irr!R15&lt;&gt;".",Irr!AP15=".",Irr!BN15="."),dir!S15/((1/1000)*(Irr!R15)),IF(AND(Irr!R15=".",Irr!AP15=".",Irr!BN15="."),dir!S15*1000)))))))),".")</f>
        <v>1424.9925744503787</v>
      </c>
      <c r="T15" s="76">
        <f>IFERROR(IF(AND(Irr!S15&lt;&gt;".",Irr!AQ15&lt;&gt;".",Irr!BO15&lt;&gt;"."),dir!T15/((1/1000)*(Irr!S15+Irr!AQ15+Irr!BO15)),IF(AND(Irr!S15&lt;&gt;".",Irr!AQ15&lt;&gt;".",Irr!BO15="."),dir!T15/((1/1000)*(Irr!S15+Irr!AQ15)),IF(AND(Irr!S15&lt;&gt;".",Irr!AQ15=".",Irr!BO15&lt;&gt;"."),dir!T15/((1/1000)*(Irr!S15+Irr!BO15)),IF(AND(Irr!S15=".",Irr!AQ15&lt;&gt;".",Irr!BO15&lt;&gt;"."),dir!T15/((1/1000)*(Irr!AQ15+Irr!BO15)),IF(AND(Irr!S15=".",Irr!AQ15=".",Irr!BO15&lt;&gt;"."),dir!T15/((1/1000)*(Irr!BO15)),IF(AND(Irr!S15=".",Irr!AQ15&lt;&gt;".",Irr!BO15="."),dir!T15/((1/1000)*(Irr!AQ15)),IF(AND(Irr!S15&lt;&gt;".",Irr!AQ15=".",Irr!BO15="."),dir!T15/((1/1000)*(Irr!S15)),IF(AND(Irr!S15=".",Irr!AQ15=".",Irr!BO15="."),dir!T15*1000)))))))),".")</f>
        <v>2371.4575457712613</v>
      </c>
      <c r="U15" s="76">
        <f>IFERROR(IF(AND(Irr!T15&lt;&gt;".",Irr!AR15&lt;&gt;".",Irr!BP15&lt;&gt;"."),dir!U15/((1/1000)*(Irr!T15+Irr!AR15+Irr!BP15)),IF(AND(Irr!T15&lt;&gt;".",Irr!AR15&lt;&gt;".",Irr!BP15="."),dir!U15/((1/1000)*(Irr!T15+Irr!AR15)),IF(AND(Irr!T15&lt;&gt;".",Irr!AR15=".",Irr!BP15&lt;&gt;"."),dir!U15/((1/1000)*(Irr!T15+Irr!BP15)),IF(AND(Irr!T15=".",Irr!AR15&lt;&gt;".",Irr!BP15&lt;&gt;"."),dir!U15/((1/1000)*(Irr!AR15+Irr!BP15)),IF(AND(Irr!T15=".",Irr!AR15=".",Irr!BP15&lt;&gt;"."),dir!U15/((1/1000)*(Irr!BP15)),IF(AND(Irr!T15=".",Irr!AR15&lt;&gt;".",Irr!BP15="."),dir!U15/((1/1000)*(Irr!AR15)),IF(AND(Irr!T15&lt;&gt;".",Irr!AR15=".",Irr!BP15="."),dir!U15/((1/1000)*(Irr!T15)),IF(AND(Irr!T15=".",Irr!AR15=".",Irr!BP15="."),dir!U15*1000)))))))),".")</f>
        <v>772.24483774573514</v>
      </c>
      <c r="V15" s="76">
        <f>IFERROR(IF(AND(Irr!U15&lt;&gt;".",Irr!AS15&lt;&gt;".",Irr!BQ15&lt;&gt;"."),dir!V15/((1/1000)*(Irr!U15+Irr!AS15+Irr!BQ15)),IF(AND(Irr!U15&lt;&gt;".",Irr!AS15&lt;&gt;".",Irr!BQ15="."),dir!V15/((1/1000)*(Irr!U15+Irr!AS15)),IF(AND(Irr!U15&lt;&gt;".",Irr!AS15=".",Irr!BQ15&lt;&gt;"."),dir!V15/((1/1000)*(Irr!U15+Irr!BQ15)),IF(AND(Irr!U15=".",Irr!AS15&lt;&gt;".",Irr!BQ15&lt;&gt;"."),dir!V15/((1/1000)*(Irr!AS15+Irr!BQ15)),IF(AND(Irr!U15=".",Irr!AS15=".",Irr!BQ15&lt;&gt;"."),dir!V15/((1/1000)*(Irr!BQ15)),IF(AND(Irr!U15=".",Irr!AS15&lt;&gt;".",Irr!BQ15="."),dir!V15/((1/1000)*(Irr!AS15)),IF(AND(Irr!U15&lt;&gt;".",Irr!AS15=".",Irr!BQ15="."),dir!V15/((1/1000)*(Irr!U15)),IF(AND(Irr!U15=".",Irr!AS15=".",Irr!BQ15="."),dir!V15*1000)))))))),".")</f>
        <v>1251.1430381525213</v>
      </c>
      <c r="W15" s="76">
        <f>IFERROR(IF(AND(Irr!V15&lt;&gt;".",Irr!AT15&lt;&gt;".",Irr!BR15&lt;&gt;"."),dir!W15/((1/1000)*(Irr!V15+Irr!AT15+Irr!BR15)),IF(AND(Irr!V15&lt;&gt;".",Irr!AT15&lt;&gt;".",Irr!BR15="."),dir!W15/((1/1000)*(Irr!V15+Irr!AT15)),IF(AND(Irr!V15&lt;&gt;".",Irr!AT15=".",Irr!BR15&lt;&gt;"."),dir!W15/((1/1000)*(Irr!V15+Irr!BR15)),IF(AND(Irr!V15=".",Irr!AT15&lt;&gt;".",Irr!BR15&lt;&gt;"."),dir!W15/((1/1000)*(Irr!AT15+Irr!BR15)),IF(AND(Irr!V15=".",Irr!AT15=".",Irr!BR15&lt;&gt;"."),dir!W15/((1/1000)*(Irr!BR15)),IF(AND(Irr!V15=".",Irr!AT15&lt;&gt;".",Irr!BR15="."),dir!W15/((1/1000)*(Irr!AT15)),IF(AND(Irr!V15&lt;&gt;".",Irr!AT15=".",Irr!BR15="."),dir!W15/((1/1000)*(Irr!V15)),IF(AND(Irr!V15=".",Irr!AT15=".",Irr!BR15="."),dir!W15*1000)))))))),".")</f>
        <v>1645.9529606795136</v>
      </c>
      <c r="X15" s="76">
        <f>IFERROR(IF(AND(Irr!W15&lt;&gt;".",Irr!AU15&lt;&gt;".",Irr!BS15&lt;&gt;"."),dir!X15/((1/1000)*(Irr!W15+Irr!AU15+Irr!BS15)),IF(AND(Irr!W15&lt;&gt;".",Irr!AU15&lt;&gt;".",Irr!BS15="."),dir!X15/((1/1000)*(Irr!W15+Irr!AU15)),IF(AND(Irr!W15&lt;&gt;".",Irr!AU15=".",Irr!BS15&lt;&gt;"."),dir!X15/((1/1000)*(Irr!W15+Irr!BS15)),IF(AND(Irr!W15=".",Irr!AU15&lt;&gt;".",Irr!BS15&lt;&gt;"."),dir!X15/((1/1000)*(Irr!AU15+Irr!BS15)),IF(AND(Irr!W15=".",Irr!AU15=".",Irr!BS15&lt;&gt;"."),dir!X15/((1/1000)*(Irr!BS15)),IF(AND(Irr!W15=".",Irr!AU15&lt;&gt;".",Irr!BS15="."),dir!X15/((1/1000)*(Irr!AU15)),IF(AND(Irr!W15&lt;&gt;".",Irr!AU15=".",Irr!BS15="."),dir!X15/((1/1000)*(Irr!W15)),IF(AND(Irr!W15=".",Irr!AU15=".",Irr!BS15="."),dir!X15*1000)))))))),".")</f>
        <v>2129.2993697094357</v>
      </c>
      <c r="Y15" s="76">
        <f>IFERROR(IF(AND(Irr!X15&lt;&gt;".",Irr!AV15&lt;&gt;".",Irr!BT15&lt;&gt;"."),dir!Y15/((1/1000)*(Irr!X15+Irr!AV15+Irr!BT15)),IF(AND(Irr!X15&lt;&gt;".",Irr!AV15&lt;&gt;".",Irr!BT15="."),dir!Y15/((1/1000)*(Irr!X15+Irr!AV15)),IF(AND(Irr!X15&lt;&gt;".",Irr!AV15=".",Irr!BT15&lt;&gt;"."),dir!Y15/((1/1000)*(Irr!X15+Irr!BT15)),IF(AND(Irr!X15=".",Irr!AV15&lt;&gt;".",Irr!BT15&lt;&gt;"."),dir!Y15/((1/1000)*(Irr!AV15+Irr!BT15)),IF(AND(Irr!X15=".",Irr!AV15=".",Irr!BT15&lt;&gt;"."),dir!Y15/((1/1000)*(Irr!BT15)),IF(AND(Irr!X15=".",Irr!AV15&lt;&gt;".",Irr!BT15="."),dir!Y15/((1/1000)*(Irr!AV15)),IF(AND(Irr!X15&lt;&gt;".",Irr!AV15=".",Irr!BT15="."),dir!Y15/((1/1000)*(Irr!X15)),IF(AND(Irr!X15=".",Irr!AV15=".",Irr!BT15="."),dir!Y15*1000)))))))),".")</f>
        <v>1084.7655857329639</v>
      </c>
      <c r="Z15" s="76">
        <f>IFERROR(IF(AND(Irr!Y15&lt;&gt;".",Irr!AW15&lt;&gt;".",Irr!BU15&lt;&gt;"."),dir!Z15/((1/1000)*(Irr!Y15+Irr!AW15+Irr!BU15)),IF(AND(Irr!Y15&lt;&gt;".",Irr!AW15&lt;&gt;".",Irr!BU15="."),dir!Z15/((1/1000)*(Irr!Y15+Irr!AW15)),IF(AND(Irr!Y15&lt;&gt;".",Irr!AW15=".",Irr!BU15&lt;&gt;"."),dir!Z15/((1/1000)*(Irr!Y15+Irr!BU15)),IF(AND(Irr!Y15=".",Irr!AW15&lt;&gt;".",Irr!BU15&lt;&gt;"."),dir!Z15/((1/1000)*(Irr!AW15+Irr!BU15)),IF(AND(Irr!Y15=".",Irr!AW15=".",Irr!BU15&lt;&gt;"."),dir!Z15/((1/1000)*(Irr!BU15)),IF(AND(Irr!Y15=".",Irr!AW15&lt;&gt;".",Irr!BU15="."),dir!Z15/((1/1000)*(Irr!AW15)),IF(AND(Irr!Y15&lt;&gt;".",Irr!AW15=".",Irr!BU15="."),dir!Z15/((1/1000)*(Irr!Y15)),IF(AND(Irr!Y15=".",Irr!AW15=".",Irr!BU15="."),dir!Z15*1000)))))))),".")</f>
        <v>397.81306593021736</v>
      </c>
      <c r="AA15" s="76">
        <f>IFERROR(IF(AND(Irr!Z15&lt;&gt;".",Irr!AX15&lt;&gt;".",Irr!BV15&lt;&gt;"."),dir!AA15/((1/1000)*(Irr!Z15+Irr!AX15+Irr!BV15)),IF(AND(Irr!Z15&lt;&gt;".",Irr!AX15&lt;&gt;".",Irr!BV15="."),dir!AA15/((1/1000)*(Irr!Z15+Irr!AX15)),IF(AND(Irr!Z15&lt;&gt;".",Irr!AX15=".",Irr!BV15&lt;&gt;"."),dir!AA15/((1/1000)*(Irr!Z15+Irr!BV15)),IF(AND(Irr!Z15=".",Irr!AX15&lt;&gt;".",Irr!BV15&lt;&gt;"."),dir!AA15/((1/1000)*(Irr!AX15+Irr!BV15)),IF(AND(Irr!Z15=".",Irr!AX15=".",Irr!BV15&lt;&gt;"."),dir!AA15/((1/1000)*(Irr!BV15)),IF(AND(Irr!Z15=".",Irr!AX15&lt;&gt;".",Irr!BV15="."),dir!AA15/((1/1000)*(Irr!AX15)),IF(AND(Irr!Z15&lt;&gt;".",Irr!AX15=".",Irr!BV15="."),dir!AA15/((1/1000)*(Irr!Z15)),IF(AND(Irr!Z15=".",Irr!AX15=".",Irr!BV15="."),dir!AA15*1000)))))))),".")</f>
        <v>298.9231756970517</v>
      </c>
      <c r="AB15" s="76">
        <f t="shared" ref="AB15:AB17" si="15">IFERROR(1/SUM(1/AC15,1/AD15,1/AE15,1/AF15,1/AG15,1/AH15,1/AI15,1/AJ15,1/AK15,1/AL15,1/AM15,1/AN15,1/AO15,1/AP15,1/AQ15,1/AR15,1/AS15,1/AT15,1/AU15,1/AV15,1/AW15,1/AX15),".")</f>
        <v>34.260507562973139</v>
      </c>
      <c r="AC15" s="76">
        <f>IFERROR(IF(AND(Irr!C15&lt;&gt;".",Irr!AA15&lt;&gt;".",Irr!AY15&lt;&gt;"."),dir!AC15/((1/1000)*(Irr!C15+Irr!AA15+Irr!AY15)),IF(AND(Irr!C15&lt;&gt;".",Irr!AA15&lt;&gt;".",Irr!AY15="."),dir!AC15/((1/1000)*(Irr!C15+Irr!AA15)),IF(AND(Irr!C15&lt;&gt;".",Irr!AA15=".",Irr!AY15&lt;&gt;"."),dir!AC15/((1/1000)*(Irr!C15+Irr!AY15)),IF(AND(Irr!C15=".",Irr!AA15&lt;&gt;".",Irr!AY15&lt;&gt;"."),dir!AC15/((1/1000)*(Irr!AA15+Irr!AY15)),IF(AND(Irr!C15=".",Irr!AA15=".",Irr!AY15&lt;&gt;"."),dir!AC15/((1/1000)*(Irr!AY15)),IF(AND(Irr!C15=".",Irr!AA15&lt;&gt;".",Irr!AY15="."),dir!AC15/((1/1000)*(Irr!AA15)),IF(AND(Irr!C15&lt;&gt;".",Irr!AA15=".",Irr!AY15="."),dir!AC15/((1/1000)*(Irr!C15)),IF(AND(Irr!C15=".",Irr!AA15=".",Irr!AY15="."),dir!AC15*1000)))))))),".")</f>
        <v>605.97478314772843</v>
      </c>
      <c r="AD15" s="76">
        <f>IFERROR(IF(AND(Irr!D15&lt;&gt;".",Irr!AB15&lt;&gt;".",Irr!AZ15&lt;&gt;"."),dir!AD15/((1/1000)*(Irr!D15+Irr!AB15+Irr!AZ15)),IF(AND(Irr!D15&lt;&gt;".",Irr!AB15&lt;&gt;".",Irr!AZ15="."),dir!AD15/((1/1000)*(Irr!D15+Irr!AB15)),IF(AND(Irr!D15&lt;&gt;".",Irr!AB15=".",Irr!AZ15&lt;&gt;"."),dir!AD15/((1/1000)*(Irr!D15+Irr!AZ15)),IF(AND(Irr!D15=".",Irr!AB15&lt;&gt;".",Irr!AZ15&lt;&gt;"."),dir!AD15/((1/1000)*(Irr!AB15+Irr!AZ15)),IF(AND(Irr!D15=".",Irr!AB15=".",Irr!AZ15&lt;&gt;"."),dir!AD15/((1/1000)*(Irr!AZ15)),IF(AND(Irr!D15=".",Irr!AB15&lt;&gt;".",Irr!AZ15="."),dir!AD15/((1/1000)*(Irr!AB15)),IF(AND(Irr!D15&lt;&gt;".",Irr!AB15=".",Irr!AZ15="."),dir!AD15/((1/1000)*(Irr!D15)),IF(AND(Irr!D15=".",Irr!AB15=".",Irr!AZ15="."),dir!AD15*1000)))))))),".")</f>
        <v>894.89184171068098</v>
      </c>
      <c r="AE15" s="76">
        <f>IFERROR(IF(AND(Irr!E15&lt;&gt;".",Irr!AC15&lt;&gt;".",Irr!BA15&lt;&gt;"."),dir!AE15/((1/1000)*(Irr!E15+Irr!AC15+Irr!BA15)),IF(AND(Irr!E15&lt;&gt;".",Irr!AC15&lt;&gt;".",Irr!BA15="."),dir!AE15/((1/1000)*(Irr!E15+Irr!AC15)),IF(AND(Irr!E15&lt;&gt;".",Irr!AC15=".",Irr!BA15&lt;&gt;"."),dir!AE15/((1/1000)*(Irr!E15+Irr!BA15)),IF(AND(Irr!E15=".",Irr!AC15&lt;&gt;".",Irr!BA15&lt;&gt;"."),dir!AE15/((1/1000)*(Irr!AC15+Irr!BA15)),IF(AND(Irr!E15=".",Irr!AC15=".",Irr!BA15&lt;&gt;"."),dir!AE15/((1/1000)*(Irr!BA15)),IF(AND(Irr!E15=".",Irr!AC15&lt;&gt;".",Irr!BA15="."),dir!AE15/((1/1000)*(Irr!AC15)),IF(AND(Irr!E15&lt;&gt;".",Irr!AC15=".",Irr!BA15="."),dir!AE15/((1/1000)*(Irr!E15)),IF(AND(Irr!E15=".",Irr!AC15=".",Irr!BA15="."),dir!AE15*1000)))))))),".")</f>
        <v>1666.1998708656738</v>
      </c>
      <c r="AF15" s="76">
        <f>IFERROR(IF(AND(Irr!F15&lt;&gt;".",Irr!AD15&lt;&gt;".",Irr!BB15&lt;&gt;"."),dir!AF15/((1/1000)*(Irr!F15+Irr!AD15+Irr!BB15)),IF(AND(Irr!F15&lt;&gt;".",Irr!AD15&lt;&gt;".",Irr!BB15="."),dir!AF15/((1/1000)*(Irr!F15+Irr!AD15)),IF(AND(Irr!F15&lt;&gt;".",Irr!AD15=".",Irr!BB15&lt;&gt;"."),dir!AF15/((1/1000)*(Irr!F15+Irr!BB15)),IF(AND(Irr!F15=".",Irr!AD15&lt;&gt;".",Irr!BB15&lt;&gt;"."),dir!AF15/((1/1000)*(Irr!AD15+Irr!BB15)),IF(AND(Irr!F15=".",Irr!AD15=".",Irr!BB15&lt;&gt;"."),dir!AF15/((1/1000)*(Irr!BB15)),IF(AND(Irr!F15=".",Irr!AD15&lt;&gt;".",Irr!BB15="."),dir!AF15/((1/1000)*(Irr!AD15)),IF(AND(Irr!F15&lt;&gt;".",Irr!AD15=".",Irr!BB15="."),dir!AF15/((1/1000)*(Irr!F15)),IF(AND(Irr!F15=".",Irr!AD15=".",Irr!BB15="."),dir!AF15*1000)))))))),".")</f>
        <v>1519.2193501042377</v>
      </c>
      <c r="AG15" s="76">
        <f>IFERROR(IF(AND(Irr!G15&lt;&gt;".",Irr!AE15&lt;&gt;".",Irr!BC15&lt;&gt;"."),dir!AG15/((1/1000)*(Irr!G15+Irr!AE15+Irr!BC15)),IF(AND(Irr!G15&lt;&gt;".",Irr!AE15&lt;&gt;".",Irr!BC15="."),dir!AG15/((1/1000)*(Irr!G15+Irr!AE15)),IF(AND(Irr!G15&lt;&gt;".",Irr!AE15=".",Irr!BC15&lt;&gt;"."),dir!AG15/((1/1000)*(Irr!G15+Irr!BC15)),IF(AND(Irr!G15=".",Irr!AE15&lt;&gt;".",Irr!BC15&lt;&gt;"."),dir!AG15/((1/1000)*(Irr!AE15+Irr!BC15)),IF(AND(Irr!G15=".",Irr!AE15=".",Irr!BC15&lt;&gt;"."),dir!AG15/((1/1000)*(Irr!BC15)),IF(AND(Irr!G15=".",Irr!AE15&lt;&gt;".",Irr!BC15="."),dir!AG15/((1/1000)*(Irr!AE15)),IF(AND(Irr!G15&lt;&gt;".",Irr!AE15=".",Irr!BC15="."),dir!AG15/((1/1000)*(Irr!G15)),IF(AND(Irr!G15=".",Irr!AE15=".",Irr!BC15="."),dir!AG15*1000)))))))),".")</f>
        <v>1511.7048863719494</v>
      </c>
      <c r="AH15" s="76">
        <f>IFERROR(IF(AND(Irr!H15&lt;&gt;".",Irr!AF15&lt;&gt;".",Irr!BD15&lt;&gt;"."),dir!AH15/((1/1000)*(Irr!H15+Irr!AF15+Irr!BD15)),IF(AND(Irr!H15&lt;&gt;".",Irr!AF15&lt;&gt;".",Irr!BD15="."),dir!AH15/((1/1000)*(Irr!H15+Irr!AF15)),IF(AND(Irr!H15&lt;&gt;".",Irr!AF15=".",Irr!BD15&lt;&gt;"."),dir!AH15/((1/1000)*(Irr!H15+Irr!BD15)),IF(AND(Irr!H15=".",Irr!AF15&lt;&gt;".",Irr!BD15&lt;&gt;"."),dir!AH15/((1/1000)*(Irr!AF15+Irr!BD15)),IF(AND(Irr!H15=".",Irr!AF15=".",Irr!BD15&lt;&gt;"."),dir!AH15/((1/1000)*(Irr!BD15)),IF(AND(Irr!H15=".",Irr!AF15&lt;&gt;".",Irr!BD15="."),dir!AH15/((1/1000)*(Irr!AF15)),IF(AND(Irr!H15&lt;&gt;".",Irr!AF15=".",Irr!BD15="."),dir!AH15/((1/1000)*(Irr!H15)),IF(AND(Irr!H15=".",Irr!AF15=".",Irr!BD15="."),dir!AH15*1000)))))))),".")</f>
        <v>422.42412026551438</v>
      </c>
      <c r="AI15" s="76">
        <f>IFERROR(IF(AND(Irr!I15&lt;&gt;".",Irr!AG15&lt;&gt;".",Irr!BE15&lt;&gt;"."),dir!AI15/((1/1000)*(Irr!I15+Irr!AG15+Irr!BE15)),IF(AND(Irr!I15&lt;&gt;".",Irr!AG15&lt;&gt;".",Irr!BE15="."),dir!AI15/((1/1000)*(Irr!I15+Irr!AG15)),IF(AND(Irr!I15&lt;&gt;".",Irr!AG15=".",Irr!BE15&lt;&gt;"."),dir!AI15/((1/1000)*(Irr!I15+Irr!BE15)),IF(AND(Irr!I15=".",Irr!AG15&lt;&gt;".",Irr!BE15&lt;&gt;"."),dir!AI15/((1/1000)*(Irr!AG15+Irr!BE15)),IF(AND(Irr!I15=".",Irr!AG15=".",Irr!BE15&lt;&gt;"."),dir!AI15/((1/1000)*(Irr!BE15)),IF(AND(Irr!I15=".",Irr!AG15&lt;&gt;".",Irr!BE15="."),dir!AI15/((1/1000)*(Irr!AG15)),IF(AND(Irr!I15&lt;&gt;".",Irr!AG15=".",Irr!BE15="."),dir!AI15/((1/1000)*(Irr!I15)),IF(AND(Irr!I15=".",Irr!AG15=".",Irr!BE15="."),dir!AI15*1000)))))))),".")</f>
        <v>2155.4186648295454</v>
      </c>
      <c r="AJ15" s="76">
        <f>IFERROR(IF(AND(Irr!J15&lt;&gt;".",Irr!AH15&lt;&gt;".",Irr!BF15&lt;&gt;"."),dir!AJ15/((1/1000)*(Irr!J15+Irr!AH15+Irr!BF15)),IF(AND(Irr!J15&lt;&gt;".",Irr!AH15&lt;&gt;".",Irr!BF15="."),dir!AJ15/((1/1000)*(Irr!J15+Irr!AH15)),IF(AND(Irr!J15&lt;&gt;".",Irr!AH15=".",Irr!BF15&lt;&gt;"."),dir!AJ15/((1/1000)*(Irr!J15+Irr!BF15)),IF(AND(Irr!J15=".",Irr!AH15&lt;&gt;".",Irr!BF15&lt;&gt;"."),dir!AJ15/((1/1000)*(Irr!AH15+Irr!BF15)),IF(AND(Irr!J15=".",Irr!AH15=".",Irr!BF15&lt;&gt;"."),dir!AJ15/((1/1000)*(Irr!BF15)),IF(AND(Irr!J15=".",Irr!AH15&lt;&gt;".",Irr!BF15="."),dir!AJ15/((1/1000)*(Irr!AH15)),IF(AND(Irr!J15&lt;&gt;".",Irr!AH15=".",Irr!BF15="."),dir!AJ15/((1/1000)*(Irr!J15)),IF(AND(Irr!J15=".",Irr!AH15=".",Irr!BF15="."),dir!AJ15*1000)))))))),".")</f>
        <v>175.1286007680097</v>
      </c>
      <c r="AK15" s="76">
        <f>IFERROR(IF(AND(Irr!K15&lt;&gt;".",Irr!AI15&lt;&gt;".",Irr!BG15&lt;&gt;"."),dir!AK15/((1/1000)*(Irr!K15+Irr!AI15+Irr!BG15)),IF(AND(Irr!K15&lt;&gt;".",Irr!AI15&lt;&gt;".",Irr!BG15="."),dir!AK15/((1/1000)*(Irr!K15+Irr!AI15)),IF(AND(Irr!K15&lt;&gt;".",Irr!AI15=".",Irr!BG15&lt;&gt;"."),dir!AK15/((1/1000)*(Irr!K15+Irr!BG15)),IF(AND(Irr!K15=".",Irr!AI15&lt;&gt;".",Irr!BG15&lt;&gt;"."),dir!AK15/((1/1000)*(Irr!AI15+Irr!BG15)),IF(AND(Irr!K15=".",Irr!AI15=".",Irr!BG15&lt;&gt;"."),dir!AK15/((1/1000)*(Irr!BG15)),IF(AND(Irr!K15=".",Irr!AI15&lt;&gt;".",Irr!BG15="."),dir!AK15/((1/1000)*(Irr!AI15)),IF(AND(Irr!K15&lt;&gt;".",Irr!AI15=".",Irr!BG15="."),dir!AK15/((1/1000)*(Irr!K15)),IF(AND(Irr!K15=".",Irr!AI15=".",Irr!BG15="."),dir!AK15*1000)))))))),".")</f>
        <v>744.33130033676605</v>
      </c>
      <c r="AL15" s="76">
        <f>IFERROR(IF(AND(Irr!L15&lt;&gt;".",Irr!AJ15&lt;&gt;".",Irr!BH15&lt;&gt;"."),dir!AL15/((1/1000)*(Irr!L15+Irr!AJ15+Irr!BH15)),IF(AND(Irr!L15&lt;&gt;".",Irr!AJ15&lt;&gt;".",Irr!BH15="."),dir!AL15/((1/1000)*(Irr!L15+Irr!AJ15)),IF(AND(Irr!L15&lt;&gt;".",Irr!AJ15=".",Irr!BH15&lt;&gt;"."),dir!AL15/((1/1000)*(Irr!L15+Irr!BH15)),IF(AND(Irr!L15=".",Irr!AJ15&lt;&gt;".",Irr!BH15&lt;&gt;"."),dir!AL15/((1/1000)*(Irr!AJ15+Irr!BH15)),IF(AND(Irr!L15=".",Irr!AJ15=".",Irr!BH15&lt;&gt;"."),dir!AL15/((1/1000)*(Irr!BH15)),IF(AND(Irr!L15=".",Irr!AJ15&lt;&gt;".",Irr!BH15="."),dir!AL15/((1/1000)*(Irr!AJ15)),IF(AND(Irr!L15&lt;&gt;".",Irr!AJ15=".",Irr!BH15="."),dir!AL15/((1/1000)*(Irr!L15)),IF(AND(Irr!L15=".",Irr!AJ15=".",Irr!BH15="."),dir!AL15*1000)))))))),".")</f>
        <v>996.4904443150034</v>
      </c>
      <c r="AM15" s="76">
        <f>IFERROR(IF(AND(Irr!M15&lt;&gt;".",Irr!AK15&lt;&gt;".",Irr!BI15&lt;&gt;"."),dir!AM15/((1/1000)*(Irr!M15+Irr!AK15+Irr!BI15)),IF(AND(Irr!M15&lt;&gt;".",Irr!AK15&lt;&gt;".",Irr!BI15="."),dir!AM15/((1/1000)*(Irr!M15+Irr!AK15)),IF(AND(Irr!M15&lt;&gt;".",Irr!AK15=".",Irr!BI15&lt;&gt;"."),dir!AM15/((1/1000)*(Irr!M15+Irr!BI15)),IF(AND(Irr!M15=".",Irr!AK15&lt;&gt;".",Irr!BI15&lt;&gt;"."),dir!AM15/((1/1000)*(Irr!AK15+Irr!BI15)),IF(AND(Irr!M15=".",Irr!AK15=".",Irr!BI15&lt;&gt;"."),dir!AM15/((1/1000)*(Irr!BI15)),IF(AND(Irr!M15=".",Irr!AK15&lt;&gt;".",Irr!BI15="."),dir!AM15/((1/1000)*(Irr!AK15)),IF(AND(Irr!M15&lt;&gt;".",Irr!AK15=".",Irr!BI15="."),dir!AM15/((1/1000)*(Irr!M15)),IF(AND(Irr!M15=".",Irr!AK15=".",Irr!BI15="."),dir!AM15*1000)))))))),".")</f>
        <v>902.65294792223858</v>
      </c>
      <c r="AN15" s="76">
        <f>IFERROR(IF(AND(Irr!N15&lt;&gt;".",Irr!AL15&lt;&gt;".",Irr!BJ15&lt;&gt;"."),dir!AN15/((1/1000)*(Irr!N15+Irr!AL15+Irr!BJ15)),IF(AND(Irr!N15&lt;&gt;".",Irr!AL15&lt;&gt;".",Irr!BJ15="."),dir!AN15/((1/1000)*(Irr!N15+Irr!AL15)),IF(AND(Irr!N15&lt;&gt;".",Irr!AL15=".",Irr!BJ15&lt;&gt;"."),dir!AN15/((1/1000)*(Irr!N15+Irr!BJ15)),IF(AND(Irr!N15=".",Irr!AL15&lt;&gt;".",Irr!BJ15&lt;&gt;"."),dir!AN15/((1/1000)*(Irr!AL15+Irr!BJ15)),IF(AND(Irr!N15=".",Irr!AL15=".",Irr!BJ15&lt;&gt;"."),dir!AN15/((1/1000)*(Irr!BJ15)),IF(AND(Irr!N15=".",Irr!AL15&lt;&gt;".",Irr!BJ15="."),dir!AN15/((1/1000)*(Irr!AL15)),IF(AND(Irr!N15&lt;&gt;".",Irr!AL15=".",Irr!BJ15="."),dir!AN15/((1/1000)*(Irr!N15)),IF(AND(Irr!N15=".",Irr!AL15=".",Irr!BJ15="."),dir!AN15*1000)))))))),".")</f>
        <v>1738.3299091377226</v>
      </c>
      <c r="AO15" s="76">
        <f>IFERROR(IF(AND(Irr!O15&lt;&gt;".",Irr!AM15&lt;&gt;".",Irr!BK15&lt;&gt;"."),dir!AO15/((1/1000)*(Irr!O15+Irr!AM15+Irr!BK15)),IF(AND(Irr!O15&lt;&gt;".",Irr!AM15&lt;&gt;".",Irr!BK15="."),dir!AO15/((1/1000)*(Irr!O15+Irr!AM15)),IF(AND(Irr!O15&lt;&gt;".",Irr!AM15=".",Irr!BK15&lt;&gt;"."),dir!AO15/((1/1000)*(Irr!O15+Irr!BK15)),IF(AND(Irr!O15=".",Irr!AM15&lt;&gt;".",Irr!BK15&lt;&gt;"."),dir!AO15/((1/1000)*(Irr!AM15+Irr!BK15)),IF(AND(Irr!O15=".",Irr!AM15=".",Irr!BK15&lt;&gt;"."),dir!AO15/((1/1000)*(Irr!BK15)),IF(AND(Irr!O15=".",Irr!AM15&lt;&gt;".",Irr!BK15="."),dir!AO15/((1/1000)*(Irr!AM15)),IF(AND(Irr!O15&lt;&gt;".",Irr!AM15=".",Irr!BK15="."),dir!AO15/((1/1000)*(Irr!O15)),IF(AND(Irr!O15=".",Irr!AM15=".",Irr!BK15="."),dir!AO15*1000)))))))),".")</f>
        <v>1851.9011886371588</v>
      </c>
      <c r="AP15" s="76">
        <f>IFERROR(IF(AND(Irr!P15&lt;&gt;".",Irr!AN15&lt;&gt;".",Irr!BL15&lt;&gt;"."),dir!AP15/((1/1000)*(Irr!P15+Irr!AN15+Irr!BL15)),IF(AND(Irr!P15&lt;&gt;".",Irr!AN15&lt;&gt;".",Irr!BL15="."),dir!AP15/((1/1000)*(Irr!P15+Irr!AN15)),IF(AND(Irr!P15&lt;&gt;".",Irr!AN15=".",Irr!BL15&lt;&gt;"."),dir!AP15/((1/1000)*(Irr!P15+Irr!BL15)),IF(AND(Irr!P15=".",Irr!AN15&lt;&gt;".",Irr!BL15&lt;&gt;"."),dir!AP15/((1/1000)*(Irr!AN15+Irr!BL15)),IF(AND(Irr!P15=".",Irr!AN15=".",Irr!BL15&lt;&gt;"."),dir!AP15/((1/1000)*(Irr!BL15)),IF(AND(Irr!P15=".",Irr!AN15&lt;&gt;".",Irr!BL15="."),dir!AP15/((1/1000)*(Irr!AN15)),IF(AND(Irr!P15&lt;&gt;".",Irr!AN15=".",Irr!BL15="."),dir!AP15/((1/1000)*(Irr!P15)),IF(AND(Irr!P15=".",Irr!AN15=".",Irr!BL15="."),dir!AP15*1000)))))))),".")</f>
        <v>2024.9356754090793</v>
      </c>
      <c r="AQ15" s="76">
        <f>IFERROR(IF(AND(Irr!Q15&lt;&gt;".",Irr!AO15&lt;&gt;".",Irr!BM15&lt;&gt;"."),dir!AQ15/((1/1000)*(Irr!Q15+Irr!AO15+Irr!BM15)),IF(AND(Irr!Q15&lt;&gt;".",Irr!AO15&lt;&gt;".",Irr!BM15="."),dir!AQ15/((1/1000)*(Irr!Q15+Irr!AO15)),IF(AND(Irr!Q15&lt;&gt;".",Irr!AO15=".",Irr!BM15&lt;&gt;"."),dir!AQ15/((1/1000)*(Irr!Q15+Irr!BM15)),IF(AND(Irr!Q15=".",Irr!AO15&lt;&gt;".",Irr!BM15&lt;&gt;"."),dir!AQ15/((1/1000)*(Irr!AO15+Irr!BM15)),IF(AND(Irr!Q15=".",Irr!AO15=".",Irr!BM15&lt;&gt;"."),dir!AQ15/((1/1000)*(Irr!BM15)),IF(AND(Irr!Q15=".",Irr!AO15&lt;&gt;".",Irr!BM15="."),dir!AQ15/((1/1000)*(Irr!AO15)),IF(AND(Irr!Q15&lt;&gt;".",Irr!AO15=".",Irr!BM15="."),dir!AQ15/((1/1000)*(Irr!Q15)),IF(AND(Irr!Q15=".",Irr!AO15=".",Irr!BM15="."),dir!AQ15*1000)))))))),".")</f>
        <v>499.04434933306391</v>
      </c>
      <c r="AR15" s="76">
        <f>IFERROR(IF(AND(Irr!R15&lt;&gt;".",Irr!AP15&lt;&gt;".",Irr!BN15&lt;&gt;"."),dir!AR15/((1/1000)*(Irr!R15+Irr!AP15+Irr!BN15)),IF(AND(Irr!R15&lt;&gt;".",Irr!AP15&lt;&gt;".",Irr!BN15="."),dir!AR15/((1/1000)*(Irr!R15+Irr!AP15)),IF(AND(Irr!R15&lt;&gt;".",Irr!AP15=".",Irr!BN15&lt;&gt;"."),dir!AR15/((1/1000)*(Irr!R15+Irr!BN15)),IF(AND(Irr!R15=".",Irr!AP15&lt;&gt;".",Irr!BN15&lt;&gt;"."),dir!AR15/((1/1000)*(Irr!AP15+Irr!BN15)),IF(AND(Irr!R15=".",Irr!AP15=".",Irr!BN15&lt;&gt;"."),dir!AR15/((1/1000)*(Irr!BN15)),IF(AND(Irr!R15=".",Irr!AP15&lt;&gt;".",Irr!BN15="."),dir!AR15/((1/1000)*(Irr!AP15)),IF(AND(Irr!R15&lt;&gt;".",Irr!AP15=".",Irr!BN15="."),dir!AR15/((1/1000)*(Irr!R15)),IF(AND(Irr!R15=".",Irr!AP15=".",Irr!BN15="."),dir!AR15*1000)))))))),".")</f>
        <v>820.42606908508185</v>
      </c>
      <c r="AS15" s="76">
        <f>IFERROR(IF(AND(Irr!S15&lt;&gt;".",Irr!AQ15&lt;&gt;".",Irr!BO15&lt;&gt;"."),dir!AS15/((1/1000)*(Irr!S15+Irr!AQ15+Irr!BO15)),IF(AND(Irr!S15&lt;&gt;".",Irr!AQ15&lt;&gt;".",Irr!BO15="."),dir!AS15/((1/1000)*(Irr!S15+Irr!AQ15)),IF(AND(Irr!S15&lt;&gt;".",Irr!AQ15=".",Irr!BO15&lt;&gt;"."),dir!AS15/((1/1000)*(Irr!S15+Irr!BO15)),IF(AND(Irr!S15=".",Irr!AQ15&lt;&gt;".",Irr!BO15&lt;&gt;"."),dir!AS15/((1/1000)*(Irr!AQ15+Irr!BO15)),IF(AND(Irr!S15=".",Irr!AQ15=".",Irr!BO15&lt;&gt;"."),dir!AS15/((1/1000)*(Irr!BO15)),IF(AND(Irr!S15=".",Irr!AQ15&lt;&gt;".",Irr!BO15="."),dir!AS15/((1/1000)*(Irr!AQ15)),IF(AND(Irr!S15&lt;&gt;".",Irr!AQ15=".",Irr!BO15="."),dir!AS15/((1/1000)*(Irr!S15)),IF(AND(Irr!S15=".",Irr!AQ15=".",Irr!BO15="."),dir!AS15*1000)))))))),".")</f>
        <v>1708.5877325772783</v>
      </c>
      <c r="AT15" s="76">
        <f>IFERROR(IF(AND(Irr!T15&lt;&gt;".",Irr!AR15&lt;&gt;".",Irr!BP15&lt;&gt;"."),dir!AT15/((1/1000)*(Irr!T15+Irr!AR15+Irr!BP15)),IF(AND(Irr!T15&lt;&gt;".",Irr!AR15&lt;&gt;".",Irr!BP15="."),dir!AT15/((1/1000)*(Irr!T15+Irr!AR15)),IF(AND(Irr!T15&lt;&gt;".",Irr!AR15=".",Irr!BP15&lt;&gt;"."),dir!AT15/((1/1000)*(Irr!T15+Irr!BP15)),IF(AND(Irr!T15=".",Irr!AR15&lt;&gt;".",Irr!BP15&lt;&gt;"."),dir!AT15/((1/1000)*(Irr!AR15+Irr!BP15)),IF(AND(Irr!T15=".",Irr!AR15=".",Irr!BP15&lt;&gt;"."),dir!AT15/((1/1000)*(Irr!BP15)),IF(AND(Irr!T15=".",Irr!AR15&lt;&gt;".",Irr!BP15="."),dir!AT15/((1/1000)*(Irr!AR15)),IF(AND(Irr!T15&lt;&gt;".",Irr!AR15=".",Irr!BP15="."),dir!AT15/((1/1000)*(Irr!T15)),IF(AND(Irr!T15=".",Irr!AR15=".",Irr!BP15="."),dir!AT15*1000)))))))),".")</f>
        <v>428.53981683384819</v>
      </c>
      <c r="AU15" s="76">
        <f>IFERROR(IF(AND(Irr!U15&lt;&gt;".",Irr!AS15&lt;&gt;".",Irr!BQ15&lt;&gt;"."),dir!AU15/((1/1000)*(Irr!U15+Irr!AS15+Irr!BQ15)),IF(AND(Irr!U15&lt;&gt;".",Irr!AS15&lt;&gt;".",Irr!BQ15="."),dir!AU15/((1/1000)*(Irr!U15+Irr!AS15)),IF(AND(Irr!U15&lt;&gt;".",Irr!AS15=".",Irr!BQ15&lt;&gt;"."),dir!AU15/((1/1000)*(Irr!U15+Irr!BQ15)),IF(AND(Irr!U15=".",Irr!AS15&lt;&gt;".",Irr!BQ15&lt;&gt;"."),dir!AU15/((1/1000)*(Irr!AS15+Irr!BQ15)),IF(AND(Irr!U15=".",Irr!AS15=".",Irr!BQ15&lt;&gt;"."),dir!AU15/((1/1000)*(Irr!BQ15)),IF(AND(Irr!U15=".",Irr!AS15&lt;&gt;".",Irr!BQ15="."),dir!AU15/((1/1000)*(Irr!AS15)),IF(AND(Irr!U15&lt;&gt;".",Irr!AS15=".",Irr!BQ15="."),dir!AU15/((1/1000)*(Irr!U15)),IF(AND(Irr!U15=".",Irr!AS15=".",Irr!BQ15="."),dir!AU15*1000)))))))),".")</f>
        <v>792.43104162327484</v>
      </c>
      <c r="AV15" s="76">
        <f>IFERROR(IF(AND(Irr!V15&lt;&gt;".",Irr!AT15&lt;&gt;".",Irr!BR15&lt;&gt;"."),dir!AV15/((1/1000)*(Irr!V15+Irr!AT15+Irr!BR15)),IF(AND(Irr!V15&lt;&gt;".",Irr!AT15&lt;&gt;".",Irr!BR15="."),dir!AV15/((1/1000)*(Irr!V15+Irr!AT15)),IF(AND(Irr!V15&lt;&gt;".",Irr!AT15=".",Irr!BR15&lt;&gt;"."),dir!AV15/((1/1000)*(Irr!V15+Irr!BR15)),IF(AND(Irr!V15=".",Irr!AT15&lt;&gt;".",Irr!BR15&lt;&gt;"."),dir!AV15/((1/1000)*(Irr!AT15+Irr!BR15)),IF(AND(Irr!V15=".",Irr!AT15=".",Irr!BR15&lt;&gt;"."),dir!AV15/((1/1000)*(Irr!BR15)),IF(AND(Irr!V15=".",Irr!AT15&lt;&gt;".",Irr!BR15="."),dir!AV15/((1/1000)*(Irr!AT15)),IF(AND(Irr!V15&lt;&gt;".",Irr!AT15=".",Irr!BR15="."),dir!AV15/((1/1000)*(Irr!V15)),IF(AND(Irr!V15=".",Irr!AT15=".",Irr!BR15="."),dir!AV15*1000)))))))),".")</f>
        <v>1018.0019855422951</v>
      </c>
      <c r="AW15" s="76">
        <f>IFERROR(IF(AND(Irr!W15&lt;&gt;".",Irr!AU15&lt;&gt;".",Irr!BS15&lt;&gt;"."),dir!AW15/((1/1000)*(Irr!W15+Irr!AU15+Irr!BS15)),IF(AND(Irr!W15&lt;&gt;".",Irr!AU15&lt;&gt;".",Irr!BS15="."),dir!AW15/((1/1000)*(Irr!W15+Irr!AU15)),IF(AND(Irr!W15&lt;&gt;".",Irr!AU15=".",Irr!BS15&lt;&gt;"."),dir!AW15/((1/1000)*(Irr!W15+Irr!BS15)),IF(AND(Irr!W15=".",Irr!AU15&lt;&gt;".",Irr!BS15&lt;&gt;"."),dir!AW15/((1/1000)*(Irr!AU15+Irr!BS15)),IF(AND(Irr!W15=".",Irr!AU15=".",Irr!BS15&lt;&gt;"."),dir!AW15/((1/1000)*(Irr!BS15)),IF(AND(Irr!W15=".",Irr!AU15&lt;&gt;".",Irr!BS15="."),dir!AW15/((1/1000)*(Irr!AU15)),IF(AND(Irr!W15&lt;&gt;".",Irr!AU15=".",Irr!BS15="."),dir!AW15/((1/1000)*(Irr!W15)),IF(AND(Irr!W15=".",Irr!AU15=".",Irr!BS15="."),dir!AW15*1000)))))))),".")</f>
        <v>1339.5866913831339</v>
      </c>
      <c r="AX15" s="76">
        <f>IFERROR(IF(AND(Irr!X15&lt;&gt;".",Irr!AV15&lt;&gt;".",Irr!BT15&lt;&gt;"."),dir!AX15/((1/1000)*(Irr!X15+Irr!AV15+Irr!BT15)),IF(AND(Irr!X15&lt;&gt;".",Irr!AV15&lt;&gt;".",Irr!BT15="."),dir!AX15/((1/1000)*(Irr!X15+Irr!AV15)),IF(AND(Irr!X15&lt;&gt;".",Irr!AV15=".",Irr!BT15&lt;&gt;"."),dir!AX15/((1/1000)*(Irr!X15+Irr!BT15)),IF(AND(Irr!X15=".",Irr!AV15&lt;&gt;".",Irr!BT15&lt;&gt;"."),dir!AX15/((1/1000)*(Irr!AV15+Irr!BT15)),IF(AND(Irr!X15=".",Irr!AV15=".",Irr!BT15&lt;&gt;"."),dir!AX15/((1/1000)*(Irr!BT15)),IF(AND(Irr!X15=".",Irr!AV15&lt;&gt;".",Irr!BT15="."),dir!AX15/((1/1000)*(Irr!AV15)),IF(AND(Irr!X15&lt;&gt;".",Irr!AV15=".",Irr!BT15="."),dir!AX15/((1/1000)*(Irr!X15)),IF(AND(Irr!X15=".",Irr!AV15=".",Irr!BT15="."),dir!AX15*1000)))))))),".")</f>
        <v>567.21140556378691</v>
      </c>
      <c r="AY15" s="76">
        <f>IFERROR(IF(AND(Irr!Y15&lt;&gt;".",Irr!AW15&lt;&gt;".",Irr!BU15&lt;&gt;"."),dir!AY15/((1/1000)*(Irr!Y15+Irr!AW15+Irr!BU15)),IF(AND(Irr!Y15&lt;&gt;".",Irr!AW15&lt;&gt;".",Irr!BU15="."),dir!AY15/((1/1000)*(Irr!Y15+Irr!AW15)),IF(AND(Irr!Y15&lt;&gt;".",Irr!AW15=".",Irr!BU15&lt;&gt;"."),dir!AY15/((1/1000)*(Irr!Y15+Irr!BU15)),IF(AND(Irr!Y15=".",Irr!AW15&lt;&gt;".",Irr!BU15&lt;&gt;"."),dir!AY15/((1/1000)*(Irr!AW15+Irr!BU15)),IF(AND(Irr!Y15=".",Irr!AW15=".",Irr!BU15&lt;&gt;"."),dir!AY15/((1/1000)*(Irr!BU15)),IF(AND(Irr!Y15=".",Irr!AW15&lt;&gt;".",Irr!BU15="."),dir!AY15/((1/1000)*(Irr!AW15)),IF(AND(Irr!Y15&lt;&gt;".",Irr!AW15=".",Irr!BU15="."),dir!AY15/((1/1000)*(Irr!Y15)),IF(AND(Irr!Y15=".",Irr!AW15=".",Irr!BU15="."),dir!AY15*1000)))))))),".")</f>
        <v>202.35577920149788</v>
      </c>
      <c r="AZ15" s="76">
        <f>IFERROR(IF(AND(Irr!Z15&lt;&gt;".",Irr!AX15&lt;&gt;".",Irr!BV15&lt;&gt;"."),dir!AZ15/((1/1000)*(Irr!Z15+Irr!AX15+Irr!BV15)),IF(AND(Irr!Z15&lt;&gt;".",Irr!AX15&lt;&gt;".",Irr!BV15="."),dir!AZ15/((1/1000)*(Irr!Z15+Irr!AX15)),IF(AND(Irr!Z15&lt;&gt;".",Irr!AX15=".",Irr!BV15&lt;&gt;"."),dir!AZ15/((1/1000)*(Irr!Z15+Irr!BV15)),IF(AND(Irr!Z15=".",Irr!AX15&lt;&gt;".",Irr!BV15&lt;&gt;"."),dir!AZ15/((1/1000)*(Irr!AX15+Irr!BV15)),IF(AND(Irr!Z15=".",Irr!AX15=".",Irr!BV15&lt;&gt;"."),dir!AZ15/((1/1000)*(Irr!BV15)),IF(AND(Irr!Z15=".",Irr!AX15&lt;&gt;".",Irr!BV15="."),dir!AZ15/((1/1000)*(Irr!AX15)),IF(AND(Irr!Z15&lt;&gt;".",Irr!AX15=".",Irr!BV15="."),dir!AZ15/((1/1000)*(Irr!Z15)),IF(AND(Irr!Z15=".",Irr!AX15=".",Irr!BV15="."),dir!AZ15*1000)))))))),".")</f>
        <v>185.82708740327217</v>
      </c>
    </row>
    <row r="16" spans="1:52" ht="15" customHeight="1" x14ac:dyDescent="0.25">
      <c r="A16" s="92" t="s">
        <v>26</v>
      </c>
      <c r="B16" s="90" t="s">
        <v>1074</v>
      </c>
      <c r="C16" s="76">
        <f t="shared" si="14"/>
        <v>1.6494218520460138E-2</v>
      </c>
      <c r="D16" s="76">
        <f>IFERROR(IF(AND(Irr!C16&lt;&gt;".",Irr!AA16&lt;&gt;".",Irr!AY16&lt;&gt;"."),dir!D16/((1/1000)*(Irr!C16+Irr!AA16+Irr!AY16)),IF(AND(Irr!C16&lt;&gt;".",Irr!AA16&lt;&gt;".",Irr!AY16="."),dir!D16/((1/1000)*(Irr!C16+Irr!AA16)),IF(AND(Irr!C16&lt;&gt;".",Irr!AA16=".",Irr!AY16&lt;&gt;"."),dir!D16/((1/1000)*(Irr!C16+Irr!AY16)),IF(AND(Irr!C16=".",Irr!AA16&lt;&gt;".",Irr!AY16&lt;&gt;"."),dir!D16/((1/1000)*(Irr!AA16+Irr!AY16)),IF(AND(Irr!C16=".",Irr!AA16=".",Irr!AY16&lt;&gt;"."),dir!D16/((1/1000)*(Irr!AY16)),IF(AND(Irr!C16=".",Irr!AA16&lt;&gt;".",Irr!AY16="."),dir!D16/((1/1000)*(Irr!AA16)),IF(AND(Irr!C16&lt;&gt;".",Irr!AA16=".",Irr!AY16="."),dir!D16/((1/1000)*(Irr!C16)),IF(AND(Irr!C16=".",Irr!AA16=".",Irr!AY16="."),dir!D16*1000)))))))),".")</f>
        <v>0.31786219441570157</v>
      </c>
      <c r="E16" s="76">
        <f>IFERROR(IF(AND(Irr!D16&lt;&gt;".",Irr!AB16&lt;&gt;".",Irr!AZ16&lt;&gt;"."),dir!E16/((1/1000)*(Irr!D16+Irr!AB16+Irr!AZ16)),IF(AND(Irr!D16&lt;&gt;".",Irr!AB16&lt;&gt;".",Irr!AZ16="."),dir!E16/((1/1000)*(Irr!D16+Irr!AB16)),IF(AND(Irr!D16&lt;&gt;".",Irr!AB16=".",Irr!AZ16&lt;&gt;"."),dir!E16/((1/1000)*(Irr!D16+Irr!AZ16)),IF(AND(Irr!D16=".",Irr!AB16&lt;&gt;".",Irr!AZ16&lt;&gt;"."),dir!E16/((1/1000)*(Irr!AB16+Irr!AZ16)),IF(AND(Irr!D16=".",Irr!AB16=".",Irr!AZ16&lt;&gt;"."),dir!E16/((1/1000)*(Irr!AZ16)),IF(AND(Irr!D16=".",Irr!AB16&lt;&gt;".",Irr!AZ16="."),dir!E16/((1/1000)*(Irr!AB16)),IF(AND(Irr!D16&lt;&gt;".",Irr!AB16=".",Irr!AZ16="."),dir!E16/((1/1000)*(Irr!D16)),IF(AND(Irr!D16=".",Irr!AB16=".",Irr!AZ16="."),dir!E16*1000)))))))),".")</f>
        <v>0.43508226803233924</v>
      </c>
      <c r="F16" s="76">
        <f>IFERROR(IF(AND(Irr!E16&lt;&gt;".",Irr!AC16&lt;&gt;".",Irr!BA16&lt;&gt;"."),dir!F16/((1/1000)*(Irr!E16+Irr!AC16+Irr!BA16)),IF(AND(Irr!E16&lt;&gt;".",Irr!AC16&lt;&gt;".",Irr!BA16="."),dir!F16/((1/1000)*(Irr!E16+Irr!AC16)),IF(AND(Irr!E16&lt;&gt;".",Irr!AC16=".",Irr!BA16&lt;&gt;"."),dir!F16/((1/1000)*(Irr!E16+Irr!BA16)),IF(AND(Irr!E16=".",Irr!AC16&lt;&gt;".",Irr!BA16&lt;&gt;"."),dir!F16/((1/1000)*(Irr!AC16+Irr!BA16)),IF(AND(Irr!E16=".",Irr!AC16=".",Irr!BA16&lt;&gt;"."),dir!F16/((1/1000)*(Irr!BA16)),IF(AND(Irr!E16=".",Irr!AC16&lt;&gt;".",Irr!BA16="."),dir!F16/((1/1000)*(Irr!AC16)),IF(AND(Irr!E16&lt;&gt;".",Irr!AC16=".",Irr!BA16="."),dir!F16/((1/1000)*(Irr!E16)),IF(AND(Irr!E16=".",Irr!AC16=".",Irr!BA16="."),dir!F16*1000)))))))),".")</f>
        <v>0.8275465633629534</v>
      </c>
      <c r="G16" s="76">
        <f>IFERROR(IF(AND(Irr!F16&lt;&gt;".",Irr!AD16&lt;&gt;".",Irr!BB16&lt;&gt;"."),dir!G16/((1/1000)*(Irr!F16+Irr!AD16+Irr!BB16)),IF(AND(Irr!F16&lt;&gt;".",Irr!AD16&lt;&gt;".",Irr!BB16="."),dir!G16/((1/1000)*(Irr!F16+Irr!AD16)),IF(AND(Irr!F16&lt;&gt;".",Irr!AD16=".",Irr!BB16&lt;&gt;"."),dir!G16/((1/1000)*(Irr!F16+Irr!BB16)),IF(AND(Irr!F16=".",Irr!AD16&lt;&gt;".",Irr!BB16&lt;&gt;"."),dir!G16/((1/1000)*(Irr!AD16+Irr!BB16)),IF(AND(Irr!F16=".",Irr!AD16=".",Irr!BB16&lt;&gt;"."),dir!G16/((1/1000)*(Irr!BB16)),IF(AND(Irr!F16=".",Irr!AD16&lt;&gt;".",Irr!BB16="."),dir!G16/((1/1000)*(Irr!AD16)),IF(AND(Irr!F16&lt;&gt;".",Irr!AD16=".",Irr!BB16="."),dir!G16/((1/1000)*(Irr!F16)),IF(AND(Irr!F16=".",Irr!AD16=".",Irr!BB16="."),dir!G16*1000)))))))),".")</f>
        <v>0.71199708568948394</v>
      </c>
      <c r="H16" s="76">
        <f>IFERROR(IF(AND(Irr!G16&lt;&gt;".",Irr!AE16&lt;&gt;".",Irr!BC16&lt;&gt;"."),dir!H16/((1/1000)*(Irr!G16+Irr!AE16+Irr!BC16)),IF(AND(Irr!G16&lt;&gt;".",Irr!AE16&lt;&gt;".",Irr!BC16="."),dir!H16/((1/1000)*(Irr!G16+Irr!AE16)),IF(AND(Irr!G16&lt;&gt;".",Irr!AE16=".",Irr!BC16&lt;&gt;"."),dir!H16/((1/1000)*(Irr!G16+Irr!BC16)),IF(AND(Irr!G16=".",Irr!AE16&lt;&gt;".",Irr!BC16&lt;&gt;"."),dir!H16/((1/1000)*(Irr!AE16+Irr!BC16)),IF(AND(Irr!G16=".",Irr!AE16=".",Irr!BC16&lt;&gt;"."),dir!H16/((1/1000)*(Irr!BC16)),IF(AND(Irr!G16=".",Irr!AE16&lt;&gt;".",Irr!BC16="."),dir!H16/((1/1000)*(Irr!AE16)),IF(AND(Irr!G16&lt;&gt;".",Irr!AE16=".",Irr!BC16="."),dir!H16/((1/1000)*(Irr!G16)),IF(AND(Irr!G16=".",Irr!AE16=".",Irr!BC16="."),dir!H16*1000)))))))),".")</f>
        <v>0.80176507403957775</v>
      </c>
      <c r="I16" s="76">
        <f>IFERROR(IF(AND(Irr!H16&lt;&gt;".",Irr!AF16&lt;&gt;".",Irr!BD16&lt;&gt;"."),dir!I16/((1/1000)*(Irr!H16+Irr!AF16+Irr!BD16)),IF(AND(Irr!H16&lt;&gt;".",Irr!AF16&lt;&gt;".",Irr!BD16="."),dir!I16/((1/1000)*(Irr!H16+Irr!AF16)),IF(AND(Irr!H16&lt;&gt;".",Irr!AF16=".",Irr!BD16&lt;&gt;"."),dir!I16/((1/1000)*(Irr!H16+Irr!BD16)),IF(AND(Irr!H16=".",Irr!AF16&lt;&gt;".",Irr!BD16&lt;&gt;"."),dir!I16/((1/1000)*(Irr!AF16+Irr!BD16)),IF(AND(Irr!H16=".",Irr!AF16=".",Irr!BD16&lt;&gt;"."),dir!I16/((1/1000)*(Irr!BD16)),IF(AND(Irr!H16=".",Irr!AF16&lt;&gt;".",Irr!BD16="."),dir!I16/((1/1000)*(Irr!AF16)),IF(AND(Irr!H16&lt;&gt;".",Irr!AF16=".",Irr!BD16="."),dir!I16/((1/1000)*(Irr!H16)),IF(AND(Irr!H16=".",Irr!AF16=".",Irr!BD16="."),dir!I16*1000)))))))),".")</f>
        <v>0.19482579478171816</v>
      </c>
      <c r="J16" s="76">
        <f>IFERROR(IF(AND(Irr!I16&lt;&gt;".",Irr!AG16&lt;&gt;".",Irr!BE16&lt;&gt;"."),dir!J16/((1/1000)*(Irr!I16+Irr!AG16+Irr!BE16)),IF(AND(Irr!I16&lt;&gt;".",Irr!AG16&lt;&gt;".",Irr!BE16="."),dir!J16/((1/1000)*(Irr!I16+Irr!AG16)),IF(AND(Irr!I16&lt;&gt;".",Irr!AG16=".",Irr!BE16&lt;&gt;"."),dir!J16/((1/1000)*(Irr!I16+Irr!BE16)),IF(AND(Irr!I16=".",Irr!AG16&lt;&gt;".",Irr!BE16&lt;&gt;"."),dir!J16/((1/1000)*(Irr!AG16+Irr!BE16)),IF(AND(Irr!I16=".",Irr!AG16=".",Irr!BE16&lt;&gt;"."),dir!J16/((1/1000)*(Irr!BE16)),IF(AND(Irr!I16=".",Irr!AG16&lt;&gt;".",Irr!BE16="."),dir!J16/((1/1000)*(Irr!AG16)),IF(AND(Irr!I16&lt;&gt;".",Irr!AG16=".",Irr!BE16="."),dir!J16/((1/1000)*(Irr!I16)),IF(AND(Irr!I16=".",Irr!AG16=".",Irr!BE16="."),dir!J16*1000)))))))),".")</f>
        <v>0.91382526593252855</v>
      </c>
      <c r="K16" s="76">
        <f>IFERROR(IF(AND(Irr!J16&lt;&gt;".",Irr!AH16&lt;&gt;".",Irr!BF16&lt;&gt;"."),dir!K16/((1/1000)*(Irr!J16+Irr!AH16+Irr!BF16)),IF(AND(Irr!J16&lt;&gt;".",Irr!AH16&lt;&gt;".",Irr!BF16="."),dir!K16/((1/1000)*(Irr!J16+Irr!AH16)),IF(AND(Irr!J16&lt;&gt;".",Irr!AH16=".",Irr!BF16&lt;&gt;"."),dir!K16/((1/1000)*(Irr!J16+Irr!BF16)),IF(AND(Irr!J16=".",Irr!AH16&lt;&gt;".",Irr!BF16&lt;&gt;"."),dir!K16/((1/1000)*(Irr!AH16+Irr!BF16)),IF(AND(Irr!J16=".",Irr!AH16=".",Irr!BF16&lt;&gt;"."),dir!K16/((1/1000)*(Irr!BF16)),IF(AND(Irr!J16=".",Irr!AH16&lt;&gt;".",Irr!BF16="."),dir!K16/((1/1000)*(Irr!AH16)),IF(AND(Irr!J16&lt;&gt;".",Irr!AH16=".",Irr!BF16="."),dir!K16/((1/1000)*(Irr!J16)),IF(AND(Irr!J16=".",Irr!AH16=".",Irr!BF16="."),dir!K16*1000)))))))),".")</f>
        <v>8.2452874861945594E-2</v>
      </c>
      <c r="L16" s="76">
        <f>IFERROR(IF(AND(Irr!K16&lt;&gt;".",Irr!AI16&lt;&gt;".",Irr!BG16&lt;&gt;"."),dir!L16/((1/1000)*(Irr!K16+Irr!AI16+Irr!BG16)),IF(AND(Irr!K16&lt;&gt;".",Irr!AI16&lt;&gt;".",Irr!BG16="."),dir!L16/((1/1000)*(Irr!K16+Irr!AI16)),IF(AND(Irr!K16&lt;&gt;".",Irr!AI16=".",Irr!BG16&lt;&gt;"."),dir!L16/((1/1000)*(Irr!K16+Irr!BG16)),IF(AND(Irr!K16=".",Irr!AI16&lt;&gt;".",Irr!BG16&lt;&gt;"."),dir!L16/((1/1000)*(Irr!AI16+Irr!BG16)),IF(AND(Irr!K16=".",Irr!AI16=".",Irr!BG16&lt;&gt;"."),dir!L16/((1/1000)*(Irr!BG16)),IF(AND(Irr!K16=".",Irr!AI16&lt;&gt;".",Irr!BG16="."),dir!L16/((1/1000)*(Irr!AI16)),IF(AND(Irr!K16&lt;&gt;".",Irr!AI16=".",Irr!BG16="."),dir!L16/((1/1000)*(Irr!K16)),IF(AND(Irr!K16=".",Irr!AI16=".",Irr!BG16="."),dir!L16*1000)))))))),".")</f>
        <v>0.49147596867231352</v>
      </c>
      <c r="M16" s="76">
        <f>IFERROR(IF(AND(Irr!L16&lt;&gt;".",Irr!AJ16&lt;&gt;".",Irr!BH16&lt;&gt;"."),dir!M16/((1/1000)*(Irr!L16+Irr!AJ16+Irr!BH16)),IF(AND(Irr!L16&lt;&gt;".",Irr!AJ16&lt;&gt;".",Irr!BH16="."),dir!M16/((1/1000)*(Irr!L16+Irr!AJ16)),IF(AND(Irr!L16&lt;&gt;".",Irr!AJ16=".",Irr!BH16&lt;&gt;"."),dir!M16/((1/1000)*(Irr!L16+Irr!BH16)),IF(AND(Irr!L16=".",Irr!AJ16&lt;&gt;".",Irr!BH16&lt;&gt;"."),dir!M16/((1/1000)*(Irr!AJ16+Irr!BH16)),IF(AND(Irr!L16=".",Irr!AJ16=".",Irr!BH16&lt;&gt;"."),dir!M16/((1/1000)*(Irr!BH16)),IF(AND(Irr!L16=".",Irr!AJ16&lt;&gt;".",Irr!BH16="."),dir!M16/((1/1000)*(Irr!AJ16)),IF(AND(Irr!L16&lt;&gt;".",Irr!AJ16=".",Irr!BH16="."),dir!M16/((1/1000)*(Irr!L16)),IF(AND(Irr!L16=".",Irr!AJ16=".",Irr!BH16="."),dir!M16*1000)))))))),".")</f>
        <v>0.32266585572459</v>
      </c>
      <c r="N16" s="76">
        <f>IFERROR(IF(AND(Irr!M16&lt;&gt;".",Irr!AK16&lt;&gt;".",Irr!BI16&lt;&gt;"."),dir!N16/((1/1000)*(Irr!M16+Irr!AK16+Irr!BI16)),IF(AND(Irr!M16&lt;&gt;".",Irr!AK16&lt;&gt;".",Irr!BI16="."),dir!N16/((1/1000)*(Irr!M16+Irr!AK16)),IF(AND(Irr!M16&lt;&gt;".",Irr!AK16=".",Irr!BI16&lt;&gt;"."),dir!N16/((1/1000)*(Irr!M16+Irr!BI16)),IF(AND(Irr!M16=".",Irr!AK16&lt;&gt;".",Irr!BI16&lt;&gt;"."),dir!N16/((1/1000)*(Irr!AK16+Irr!BI16)),IF(AND(Irr!M16=".",Irr!AK16=".",Irr!BI16&lt;&gt;"."),dir!N16/((1/1000)*(Irr!BI16)),IF(AND(Irr!M16=".",Irr!AK16&lt;&gt;".",Irr!BI16="."),dir!N16/((1/1000)*(Irr!AK16)),IF(AND(Irr!M16&lt;&gt;".",Irr!AK16=".",Irr!BI16="."),dir!N16/((1/1000)*(Irr!M16)),IF(AND(Irr!M16=".",Irr!AK16=".",Irr!BI16="."),dir!N16*1000)))))))),".")</f>
        <v>0.44847783645241568</v>
      </c>
      <c r="O16" s="76">
        <f>IFERROR(IF(AND(Irr!N16&lt;&gt;".",Irr!AL16&lt;&gt;".",Irr!BJ16&lt;&gt;"."),dir!O16/((1/1000)*(Irr!N16+Irr!AL16+Irr!BJ16)),IF(AND(Irr!N16&lt;&gt;".",Irr!AL16&lt;&gt;".",Irr!BJ16="."),dir!O16/((1/1000)*(Irr!N16+Irr!AL16)),IF(AND(Irr!N16&lt;&gt;".",Irr!AL16=".",Irr!BJ16&lt;&gt;"."),dir!O16/((1/1000)*(Irr!N16+Irr!BJ16)),IF(AND(Irr!N16=".",Irr!AL16&lt;&gt;".",Irr!BJ16&lt;&gt;"."),dir!O16/((1/1000)*(Irr!AL16+Irr!BJ16)),IF(AND(Irr!N16=".",Irr!AL16=".",Irr!BJ16&lt;&gt;"."),dir!O16/((1/1000)*(Irr!BJ16)),IF(AND(Irr!N16=".",Irr!AL16&lt;&gt;".",Irr!BJ16="."),dir!O16/((1/1000)*(Irr!AL16)),IF(AND(Irr!N16&lt;&gt;".",Irr!AL16=".",Irr!BJ16="."),dir!O16/((1/1000)*(Irr!N16)),IF(AND(Irr!N16=".",Irr!AL16=".",Irr!BJ16="."),dir!O16*1000)))))))),".")</f>
        <v>0.85573538696893603</v>
      </c>
      <c r="P16" s="76">
        <f>IFERROR(IF(AND(Irr!O16&lt;&gt;".",Irr!AM16&lt;&gt;".",Irr!BK16&lt;&gt;"."),dir!P16/((1/1000)*(Irr!O16+Irr!AM16+Irr!BK16)),IF(AND(Irr!O16&lt;&gt;".",Irr!AM16&lt;&gt;".",Irr!BK16="."),dir!P16/((1/1000)*(Irr!O16+Irr!AM16)),IF(AND(Irr!O16&lt;&gt;".",Irr!AM16=".",Irr!BK16&lt;&gt;"."),dir!P16/((1/1000)*(Irr!O16+Irr!BK16)),IF(AND(Irr!O16=".",Irr!AM16&lt;&gt;".",Irr!BK16&lt;&gt;"."),dir!P16/((1/1000)*(Irr!AM16+Irr!BK16)),IF(AND(Irr!O16=".",Irr!AM16=".",Irr!BK16&lt;&gt;"."),dir!P16/((1/1000)*(Irr!BK16)),IF(AND(Irr!O16=".",Irr!AM16&lt;&gt;".",Irr!BK16="."),dir!P16/((1/1000)*(Irr!AM16)),IF(AND(Irr!O16&lt;&gt;".",Irr!AM16=".",Irr!BK16="."),dir!P16/((1/1000)*(Irr!O16)),IF(AND(Irr!O16=".",Irr!AM16=".",Irr!BK16="."),dir!P16*1000)))))))),".")</f>
        <v>0.91338307386247453</v>
      </c>
      <c r="Q16" s="76">
        <f>IFERROR(IF(AND(Irr!P16&lt;&gt;".",Irr!AN16&lt;&gt;".",Irr!BL16&lt;&gt;"."),dir!Q16/((1/1000)*(Irr!P16+Irr!AN16+Irr!BL16)),IF(AND(Irr!P16&lt;&gt;".",Irr!AN16&lt;&gt;".",Irr!BL16="."),dir!Q16/((1/1000)*(Irr!P16+Irr!AN16)),IF(AND(Irr!P16&lt;&gt;".",Irr!AN16=".",Irr!BL16&lt;&gt;"."),dir!Q16/((1/1000)*(Irr!P16+Irr!BL16)),IF(AND(Irr!P16=".",Irr!AN16&lt;&gt;".",Irr!BL16&lt;&gt;"."),dir!Q16/((1/1000)*(Irr!AN16+Irr!BL16)),IF(AND(Irr!P16=".",Irr!AN16=".",Irr!BL16&lt;&gt;"."),dir!Q16/((1/1000)*(Irr!BL16)),IF(AND(Irr!P16=".",Irr!AN16&lt;&gt;".",Irr!BL16="."),dir!Q16/((1/1000)*(Irr!AN16)),IF(AND(Irr!P16&lt;&gt;".",Irr!AN16=".",Irr!BL16="."),dir!Q16/((1/1000)*(Irr!P16)),IF(AND(Irr!P16=".",Irr!AN16=".",Irr!BL16="."),dir!Q16*1000)))))))),".")</f>
        <v>1.2333147280661185</v>
      </c>
      <c r="R16" s="76">
        <f>IFERROR(IF(AND(Irr!Q16&lt;&gt;".",Irr!AO16&lt;&gt;".",Irr!BM16&lt;&gt;"."),dir!R16/((1/1000)*(Irr!Q16+Irr!AO16+Irr!BM16)),IF(AND(Irr!Q16&lt;&gt;".",Irr!AO16&lt;&gt;".",Irr!BM16="."),dir!R16/((1/1000)*(Irr!Q16+Irr!AO16)),IF(AND(Irr!Q16&lt;&gt;".",Irr!AO16=".",Irr!BM16&lt;&gt;"."),dir!R16/((1/1000)*(Irr!Q16+Irr!BM16)),IF(AND(Irr!Q16=".",Irr!AO16&lt;&gt;".",Irr!BM16&lt;&gt;"."),dir!R16/((1/1000)*(Irr!AO16+Irr!BM16)),IF(AND(Irr!Q16=".",Irr!AO16=".",Irr!BM16&lt;&gt;"."),dir!R16/((1/1000)*(Irr!BM16)),IF(AND(Irr!Q16=".",Irr!AO16&lt;&gt;".",Irr!BM16="."),dir!R16/((1/1000)*(Irr!AO16)),IF(AND(Irr!Q16&lt;&gt;".",Irr!AO16=".",Irr!BM16="."),dir!R16/((1/1000)*(Irr!Q16)),IF(AND(Irr!Q16=".",Irr!AO16=".",Irr!BM16="."),dir!R16*1000)))))))),".")</f>
        <v>0.2032862400429106</v>
      </c>
      <c r="S16" s="76">
        <f>IFERROR(IF(AND(Irr!R16&lt;&gt;".",Irr!AP16&lt;&gt;".",Irr!BN16&lt;&gt;"."),dir!S16/((1/1000)*(Irr!R16+Irr!AP16+Irr!BN16)),IF(AND(Irr!R16&lt;&gt;".",Irr!AP16&lt;&gt;".",Irr!BN16="."),dir!S16/((1/1000)*(Irr!R16+Irr!AP16)),IF(AND(Irr!R16&lt;&gt;".",Irr!AP16=".",Irr!BN16&lt;&gt;"."),dir!S16/((1/1000)*(Irr!R16+Irr!BN16)),IF(AND(Irr!R16=".",Irr!AP16&lt;&gt;".",Irr!BN16&lt;&gt;"."),dir!S16/((1/1000)*(Irr!AP16+Irr!BN16)),IF(AND(Irr!R16=".",Irr!AP16=".",Irr!BN16&lt;&gt;"."),dir!S16/((1/1000)*(Irr!BN16)),IF(AND(Irr!R16=".",Irr!AP16&lt;&gt;".",Irr!BN16="."),dir!S16/((1/1000)*(Irr!AP16)),IF(AND(Irr!R16&lt;&gt;".",Irr!AP16=".",Irr!BN16="."),dir!S16/((1/1000)*(Irr!R16)),IF(AND(Irr!R16=".",Irr!AP16=".",Irr!BN16="."),dir!S16*1000)))))))),".")</f>
        <v>0.42212044186548947</v>
      </c>
      <c r="T16" s="76">
        <f>IFERROR(IF(AND(Irr!S16&lt;&gt;".",Irr!AQ16&lt;&gt;".",Irr!BO16&lt;&gt;"."),dir!T16/((1/1000)*(Irr!S16+Irr!AQ16+Irr!BO16)),IF(AND(Irr!S16&lt;&gt;".",Irr!AQ16&lt;&gt;".",Irr!BO16="."),dir!T16/((1/1000)*(Irr!S16+Irr!AQ16)),IF(AND(Irr!S16&lt;&gt;".",Irr!AQ16=".",Irr!BO16&lt;&gt;"."),dir!T16/((1/1000)*(Irr!S16+Irr!BO16)),IF(AND(Irr!S16=".",Irr!AQ16&lt;&gt;".",Irr!BO16&lt;&gt;"."),dir!T16/((1/1000)*(Irr!AQ16+Irr!BO16)),IF(AND(Irr!S16=".",Irr!AQ16=".",Irr!BO16&lt;&gt;"."),dir!T16/((1/1000)*(Irr!BO16)),IF(AND(Irr!S16=".",Irr!AQ16&lt;&gt;".",Irr!BO16="."),dir!T16/((1/1000)*(Irr!AQ16)),IF(AND(Irr!S16&lt;&gt;".",Irr!AQ16=".",Irr!BO16="."),dir!T16/((1/1000)*(Irr!S16)),IF(AND(Irr!S16=".",Irr!AQ16=".",Irr!BO16="."),dir!T16*1000)))))))),".")</f>
        <v>0.7024883673322414</v>
      </c>
      <c r="U16" s="76">
        <f>IFERROR(IF(AND(Irr!T16&lt;&gt;".",Irr!AR16&lt;&gt;".",Irr!BP16&lt;&gt;"."),dir!U16/((1/1000)*(Irr!T16+Irr!AR16+Irr!BP16)),IF(AND(Irr!T16&lt;&gt;".",Irr!AR16&lt;&gt;".",Irr!BP16="."),dir!U16/((1/1000)*(Irr!T16+Irr!AR16)),IF(AND(Irr!T16&lt;&gt;".",Irr!AR16=".",Irr!BP16&lt;&gt;"."),dir!U16/((1/1000)*(Irr!T16+Irr!BP16)),IF(AND(Irr!T16=".",Irr!AR16&lt;&gt;".",Irr!BP16&lt;&gt;"."),dir!U16/((1/1000)*(Irr!AR16+Irr!BP16)),IF(AND(Irr!T16=".",Irr!AR16=".",Irr!BP16&lt;&gt;"."),dir!U16/((1/1000)*(Irr!BP16)),IF(AND(Irr!T16=".",Irr!AR16&lt;&gt;".",Irr!BP16="."),dir!U16/((1/1000)*(Irr!AR16)),IF(AND(Irr!T16&lt;&gt;".",Irr!AR16=".",Irr!BP16="."),dir!U16/((1/1000)*(Irr!T16)),IF(AND(Irr!T16=".",Irr!AR16=".",Irr!BP16="."),dir!U16*1000)))))))),".")</f>
        <v>0.22875931986052905</v>
      </c>
      <c r="V16" s="76">
        <f>IFERROR(IF(AND(Irr!U16&lt;&gt;".",Irr!AS16&lt;&gt;".",Irr!BQ16&lt;&gt;"."),dir!V16/((1/1000)*(Irr!U16+Irr!AS16+Irr!BQ16)),IF(AND(Irr!U16&lt;&gt;".",Irr!AS16&lt;&gt;".",Irr!BQ16="."),dir!V16/((1/1000)*(Irr!U16+Irr!AS16)),IF(AND(Irr!U16&lt;&gt;".",Irr!AS16=".",Irr!BQ16&lt;&gt;"."),dir!V16/((1/1000)*(Irr!U16+Irr!BQ16)),IF(AND(Irr!U16=".",Irr!AS16&lt;&gt;".",Irr!BQ16&lt;&gt;"."),dir!V16/((1/1000)*(Irr!AS16+Irr!BQ16)),IF(AND(Irr!U16=".",Irr!AS16=".",Irr!BQ16&lt;&gt;"."),dir!V16/((1/1000)*(Irr!BQ16)),IF(AND(Irr!U16=".",Irr!AS16&lt;&gt;".",Irr!BQ16="."),dir!V16/((1/1000)*(Irr!AS16)),IF(AND(Irr!U16&lt;&gt;".",Irr!AS16=".",Irr!BQ16="."),dir!V16/((1/1000)*(Irr!U16)),IF(AND(Irr!U16=".",Irr!AS16=".",Irr!BQ16="."),dir!V16*1000)))))))),".")</f>
        <v>0.37062161696216195</v>
      </c>
      <c r="W16" s="76">
        <f>IFERROR(IF(AND(Irr!V16&lt;&gt;".",Irr!AT16&lt;&gt;".",Irr!BR16&lt;&gt;"."),dir!W16/((1/1000)*(Irr!V16+Irr!AT16+Irr!BR16)),IF(AND(Irr!V16&lt;&gt;".",Irr!AT16&lt;&gt;".",Irr!BR16="."),dir!W16/((1/1000)*(Irr!V16+Irr!AT16)),IF(AND(Irr!V16&lt;&gt;".",Irr!AT16=".",Irr!BR16&lt;&gt;"."),dir!W16/((1/1000)*(Irr!V16+Irr!BR16)),IF(AND(Irr!V16=".",Irr!AT16&lt;&gt;".",Irr!BR16&lt;&gt;"."),dir!W16/((1/1000)*(Irr!AT16+Irr!BR16)),IF(AND(Irr!V16=".",Irr!AT16=".",Irr!BR16&lt;&gt;"."),dir!W16/((1/1000)*(Irr!BR16)),IF(AND(Irr!V16=".",Irr!AT16&lt;&gt;".",Irr!BR16="."),dir!W16/((1/1000)*(Irr!AT16)),IF(AND(Irr!V16&lt;&gt;".",Irr!AT16=".",Irr!BR16="."),dir!W16/((1/1000)*(Irr!V16)),IF(AND(Irr!V16=".",Irr!AT16=".",Irr!BR16="."),dir!W16*1000)))))))),".")</f>
        <v>0.48757474495600683</v>
      </c>
      <c r="X16" s="76">
        <f>IFERROR(IF(AND(Irr!W16&lt;&gt;".",Irr!AU16&lt;&gt;".",Irr!BS16&lt;&gt;"."),dir!X16/((1/1000)*(Irr!W16+Irr!AU16+Irr!BS16)),IF(AND(Irr!W16&lt;&gt;".",Irr!AU16&lt;&gt;".",Irr!BS16="."),dir!X16/((1/1000)*(Irr!W16+Irr!AU16)),IF(AND(Irr!W16&lt;&gt;".",Irr!AU16=".",Irr!BS16&lt;&gt;"."),dir!X16/((1/1000)*(Irr!W16+Irr!BS16)),IF(AND(Irr!W16=".",Irr!AU16&lt;&gt;".",Irr!BS16&lt;&gt;"."),dir!X16/((1/1000)*(Irr!AU16+Irr!BS16)),IF(AND(Irr!W16=".",Irr!AU16=".",Irr!BS16&lt;&gt;"."),dir!X16/((1/1000)*(Irr!BS16)),IF(AND(Irr!W16=".",Irr!AU16&lt;&gt;".",Irr!BS16="."),dir!X16/((1/1000)*(Irr!AU16)),IF(AND(Irr!W16&lt;&gt;".",Irr!AU16=".",Irr!BS16="."),dir!X16/((1/1000)*(Irr!W16)),IF(AND(Irr!W16=".",Irr!AU16=".",Irr!BS16="."),dir!X16*1000)))))))),".")</f>
        <v>0.63075471895166291</v>
      </c>
      <c r="Y16" s="76">
        <f>IFERROR(IF(AND(Irr!X16&lt;&gt;".",Irr!AV16&lt;&gt;".",Irr!BT16&lt;&gt;"."),dir!Y16/((1/1000)*(Irr!X16+Irr!AV16+Irr!BT16)),IF(AND(Irr!X16&lt;&gt;".",Irr!AV16&lt;&gt;".",Irr!BT16="."),dir!Y16/((1/1000)*(Irr!X16+Irr!AV16)),IF(AND(Irr!X16&lt;&gt;".",Irr!AV16=".",Irr!BT16&lt;&gt;"."),dir!Y16/((1/1000)*(Irr!X16+Irr!BT16)),IF(AND(Irr!X16=".",Irr!AV16&lt;&gt;".",Irr!BT16&lt;&gt;"."),dir!Y16/((1/1000)*(Irr!AV16+Irr!BT16)),IF(AND(Irr!X16=".",Irr!AV16=".",Irr!BT16&lt;&gt;"."),dir!Y16/((1/1000)*(Irr!BT16)),IF(AND(Irr!X16=".",Irr!AV16&lt;&gt;".",Irr!BT16="."),dir!Y16/((1/1000)*(Irr!AV16)),IF(AND(Irr!X16&lt;&gt;".",Irr!AV16=".",Irr!BT16="."),dir!Y16/((1/1000)*(Irr!X16)),IF(AND(Irr!X16=".",Irr!AV16=".",Irr!BT16="."),dir!Y16*1000)))))))),".")</f>
        <v>0.32133622067938739</v>
      </c>
      <c r="Z16" s="76">
        <f>IFERROR(IF(AND(Irr!Y16&lt;&gt;".",Irr!AW16&lt;&gt;".",Irr!BU16&lt;&gt;"."),dir!Z16/((1/1000)*(Irr!Y16+Irr!AW16+Irr!BU16)),IF(AND(Irr!Y16&lt;&gt;".",Irr!AW16&lt;&gt;".",Irr!BU16="."),dir!Z16/((1/1000)*(Irr!Y16+Irr!AW16)),IF(AND(Irr!Y16&lt;&gt;".",Irr!AW16=".",Irr!BU16&lt;&gt;"."),dir!Z16/((1/1000)*(Irr!Y16+Irr!BU16)),IF(AND(Irr!Y16=".",Irr!AW16&lt;&gt;".",Irr!BU16&lt;&gt;"."),dir!Z16/((1/1000)*(Irr!AW16+Irr!BU16)),IF(AND(Irr!Y16=".",Irr!AW16=".",Irr!BU16&lt;&gt;"."),dir!Z16/((1/1000)*(Irr!BU16)),IF(AND(Irr!Y16=".",Irr!AW16&lt;&gt;".",Irr!BU16="."),dir!Z16/((1/1000)*(Irr!AW16)),IF(AND(Irr!Y16&lt;&gt;".",Irr!AW16=".",Irr!BU16="."),dir!Z16/((1/1000)*(Irr!Y16)),IF(AND(Irr!Y16=".",Irr!AW16=".",Irr!BU16="."),dir!Z16*1000)))))))),".")</f>
        <v>0.11784273839819648</v>
      </c>
      <c r="AA16" s="76">
        <f>IFERROR(IF(AND(Irr!Z16&lt;&gt;".",Irr!AX16&lt;&gt;".",Irr!BV16&lt;&gt;"."),dir!AA16/((1/1000)*(Irr!Z16+Irr!AX16+Irr!BV16)),IF(AND(Irr!Z16&lt;&gt;".",Irr!AX16&lt;&gt;".",Irr!BV16="."),dir!AA16/((1/1000)*(Irr!Z16+Irr!AX16)),IF(AND(Irr!Z16&lt;&gt;".",Irr!AX16=".",Irr!BV16&lt;&gt;"."),dir!AA16/((1/1000)*(Irr!Z16+Irr!BV16)),IF(AND(Irr!Z16=".",Irr!AX16&lt;&gt;".",Irr!BV16&lt;&gt;"."),dir!AA16/((1/1000)*(Irr!AX16+Irr!BV16)),IF(AND(Irr!Z16=".",Irr!AX16=".",Irr!BV16&lt;&gt;"."),dir!AA16/((1/1000)*(Irr!BV16)),IF(AND(Irr!Z16=".",Irr!AX16&lt;&gt;".",Irr!BV16="."),dir!AA16/((1/1000)*(Irr!AX16)),IF(AND(Irr!Z16&lt;&gt;".",Irr!AX16=".",Irr!BV16="."),dir!AA16/((1/1000)*(Irr!Z16)),IF(AND(Irr!Z16=".",Irr!AX16=".",Irr!BV16="."),dir!AA16*1000)))))))),".")</f>
        <v>8.8548940725353048E-2</v>
      </c>
      <c r="AB16" s="76">
        <f t="shared" si="15"/>
        <v>1.014886733469204E-2</v>
      </c>
      <c r="AC16" s="76">
        <f>IFERROR(IF(AND(Irr!C16&lt;&gt;".",Irr!AA16&lt;&gt;".",Irr!AY16&lt;&gt;"."),dir!AC16/((1/1000)*(Irr!C16+Irr!AA16+Irr!AY16)),IF(AND(Irr!C16&lt;&gt;".",Irr!AA16&lt;&gt;".",Irr!AY16="."),dir!AC16/((1/1000)*(Irr!C16+Irr!AA16)),IF(AND(Irr!C16&lt;&gt;".",Irr!AA16=".",Irr!AY16&lt;&gt;"."),dir!AC16/((1/1000)*(Irr!C16+Irr!AY16)),IF(AND(Irr!C16=".",Irr!AA16&lt;&gt;".",Irr!AY16&lt;&gt;"."),dir!AC16/((1/1000)*(Irr!AA16+Irr!AY16)),IF(AND(Irr!C16=".",Irr!AA16=".",Irr!AY16&lt;&gt;"."),dir!AC16/((1/1000)*(Irr!AY16)),IF(AND(Irr!C16=".",Irr!AA16&lt;&gt;".",Irr!AY16="."),dir!AC16/((1/1000)*(Irr!AA16)),IF(AND(Irr!C16&lt;&gt;".",Irr!AA16=".",Irr!AY16="."),dir!AC16/((1/1000)*(Irr!C16)),IF(AND(Irr!C16=".",Irr!AA16=".",Irr!AY16="."),dir!AC16*1000)))))))),".")</f>
        <v>0.17950573764942143</v>
      </c>
      <c r="AD16" s="76">
        <f>IFERROR(IF(AND(Irr!D16&lt;&gt;".",Irr!AB16&lt;&gt;".",Irr!AZ16&lt;&gt;"."),dir!AD16/((1/1000)*(Irr!D16+Irr!AB16+Irr!AZ16)),IF(AND(Irr!D16&lt;&gt;".",Irr!AB16&lt;&gt;".",Irr!AZ16="."),dir!AD16/((1/1000)*(Irr!D16+Irr!AB16)),IF(AND(Irr!D16&lt;&gt;".",Irr!AB16=".",Irr!AZ16&lt;&gt;"."),dir!AD16/((1/1000)*(Irr!D16+Irr!AZ16)),IF(AND(Irr!D16=".",Irr!AB16&lt;&gt;".",Irr!AZ16&lt;&gt;"."),dir!AD16/((1/1000)*(Irr!AB16+Irr!AZ16)),IF(AND(Irr!D16=".",Irr!AB16=".",Irr!AZ16&lt;&gt;"."),dir!AD16/((1/1000)*(Irr!AZ16)),IF(AND(Irr!D16=".",Irr!AB16&lt;&gt;".",Irr!AZ16="."),dir!AD16/((1/1000)*(Irr!AB16)),IF(AND(Irr!D16&lt;&gt;".",Irr!AB16=".",Irr!AZ16="."),dir!AD16/((1/1000)*(Irr!D16)),IF(AND(Irr!D16=".",Irr!AB16=".",Irr!AZ16="."),dir!AD16*1000)))))))),".")</f>
        <v>0.26509060216712621</v>
      </c>
      <c r="AE16" s="76">
        <f>IFERROR(IF(AND(Irr!E16&lt;&gt;".",Irr!AC16&lt;&gt;".",Irr!BA16&lt;&gt;"."),dir!AE16/((1/1000)*(Irr!E16+Irr!AC16+Irr!BA16)),IF(AND(Irr!E16&lt;&gt;".",Irr!AC16&lt;&gt;".",Irr!BA16="."),dir!AE16/((1/1000)*(Irr!E16+Irr!AC16)),IF(AND(Irr!E16&lt;&gt;".",Irr!AC16=".",Irr!BA16&lt;&gt;"."),dir!AE16/((1/1000)*(Irr!E16+Irr!BA16)),IF(AND(Irr!E16=".",Irr!AC16&lt;&gt;".",Irr!BA16&lt;&gt;"."),dir!AE16/((1/1000)*(Irr!AC16+Irr!BA16)),IF(AND(Irr!E16=".",Irr!AC16=".",Irr!BA16&lt;&gt;"."),dir!AE16/((1/1000)*(Irr!BA16)),IF(AND(Irr!E16=".",Irr!AC16&lt;&gt;".",Irr!BA16="."),dir!AE16/((1/1000)*(Irr!AC16)),IF(AND(Irr!E16&lt;&gt;".",Irr!AC16=".",Irr!BA16="."),dir!AE16/((1/1000)*(Irr!E16)),IF(AND(Irr!E16=".",Irr!AC16=".",Irr!BA16="."),dir!AE16*1000)))))))),".")</f>
        <v>0.49357241457719014</v>
      </c>
      <c r="AF16" s="76">
        <f>IFERROR(IF(AND(Irr!F16&lt;&gt;".",Irr!AD16&lt;&gt;".",Irr!BB16&lt;&gt;"."),dir!AF16/((1/1000)*(Irr!F16+Irr!AD16+Irr!BB16)),IF(AND(Irr!F16&lt;&gt;".",Irr!AD16&lt;&gt;".",Irr!BB16="."),dir!AF16/((1/1000)*(Irr!F16+Irr!AD16)),IF(AND(Irr!F16&lt;&gt;".",Irr!AD16=".",Irr!BB16&lt;&gt;"."),dir!AF16/((1/1000)*(Irr!F16+Irr!BB16)),IF(AND(Irr!F16=".",Irr!AD16&lt;&gt;".",Irr!BB16&lt;&gt;"."),dir!AF16/((1/1000)*(Irr!AD16+Irr!BB16)),IF(AND(Irr!F16=".",Irr!AD16=".",Irr!BB16&lt;&gt;"."),dir!AF16/((1/1000)*(Irr!BB16)),IF(AND(Irr!F16=".",Irr!AD16&lt;&gt;".",Irr!BB16="."),dir!AF16/((1/1000)*(Irr!AD16)),IF(AND(Irr!F16&lt;&gt;".",Irr!AD16=".",Irr!BB16="."),dir!AF16/((1/1000)*(Irr!F16)),IF(AND(Irr!F16=".",Irr!AD16=".",Irr!BB16="."),dir!AF16*1000)))))))),".")</f>
        <v>0.45003290182333078</v>
      </c>
      <c r="AG16" s="76">
        <f>IFERROR(IF(AND(Irr!G16&lt;&gt;".",Irr!AE16&lt;&gt;".",Irr!BC16&lt;&gt;"."),dir!AG16/((1/1000)*(Irr!G16+Irr!AE16+Irr!BC16)),IF(AND(Irr!G16&lt;&gt;".",Irr!AE16&lt;&gt;".",Irr!BC16="."),dir!AG16/((1/1000)*(Irr!G16+Irr!AE16)),IF(AND(Irr!G16&lt;&gt;".",Irr!AE16=".",Irr!BC16&lt;&gt;"."),dir!AG16/((1/1000)*(Irr!G16+Irr!BC16)),IF(AND(Irr!G16=".",Irr!AE16&lt;&gt;".",Irr!BC16&lt;&gt;"."),dir!AG16/((1/1000)*(Irr!AE16+Irr!BC16)),IF(AND(Irr!G16=".",Irr!AE16=".",Irr!BC16&lt;&gt;"."),dir!AG16/((1/1000)*(Irr!BC16)),IF(AND(Irr!G16=".",Irr!AE16&lt;&gt;".",Irr!BC16="."),dir!AG16/((1/1000)*(Irr!AE16)),IF(AND(Irr!G16&lt;&gt;".",Irr!AE16=".",Irr!BC16="."),dir!AG16/((1/1000)*(Irr!G16)),IF(AND(Irr!G16=".",Irr!AE16=".",Irr!BC16="."),dir!AG16*1000)))))))),".")</f>
        <v>0.44780691917055859</v>
      </c>
      <c r="AH16" s="76">
        <f>IFERROR(IF(AND(Irr!H16&lt;&gt;".",Irr!AF16&lt;&gt;".",Irr!BD16&lt;&gt;"."),dir!AH16/((1/1000)*(Irr!H16+Irr!AF16+Irr!BD16)),IF(AND(Irr!H16&lt;&gt;".",Irr!AF16&lt;&gt;".",Irr!BD16="."),dir!AH16/((1/1000)*(Irr!H16+Irr!AF16)),IF(AND(Irr!H16&lt;&gt;".",Irr!AF16=".",Irr!BD16&lt;&gt;"."),dir!AH16/((1/1000)*(Irr!H16+Irr!BD16)),IF(AND(Irr!H16=".",Irr!AF16&lt;&gt;".",Irr!BD16&lt;&gt;"."),dir!AH16/((1/1000)*(Irr!AF16+Irr!BD16)),IF(AND(Irr!H16=".",Irr!AF16=".",Irr!BD16&lt;&gt;"."),dir!AH16/((1/1000)*(Irr!BD16)),IF(AND(Irr!H16=".",Irr!AF16&lt;&gt;".",Irr!BD16="."),dir!AH16/((1/1000)*(Irr!AF16)),IF(AND(Irr!H16&lt;&gt;".",Irr!AF16=".",Irr!BD16="."),dir!AH16/((1/1000)*(Irr!H16)),IF(AND(Irr!H16=".",Irr!AF16=".",Irr!BD16="."),dir!AH16*1000)))))))),".")</f>
        <v>0.12513318279563351</v>
      </c>
      <c r="AI16" s="76">
        <f>IFERROR(IF(AND(Irr!I16&lt;&gt;".",Irr!AG16&lt;&gt;".",Irr!BE16&lt;&gt;"."),dir!AI16/((1/1000)*(Irr!I16+Irr!AG16+Irr!BE16)),IF(AND(Irr!I16&lt;&gt;".",Irr!AG16&lt;&gt;".",Irr!BE16="."),dir!AI16/((1/1000)*(Irr!I16+Irr!AG16)),IF(AND(Irr!I16&lt;&gt;".",Irr!AG16=".",Irr!BE16&lt;&gt;"."),dir!AI16/((1/1000)*(Irr!I16+Irr!BE16)),IF(AND(Irr!I16=".",Irr!AG16&lt;&gt;".",Irr!BE16&lt;&gt;"."),dir!AI16/((1/1000)*(Irr!AG16+Irr!BE16)),IF(AND(Irr!I16=".",Irr!AG16=".",Irr!BE16&lt;&gt;"."),dir!AI16/((1/1000)*(Irr!BE16)),IF(AND(Irr!I16=".",Irr!AG16&lt;&gt;".",Irr!BE16="."),dir!AI16/((1/1000)*(Irr!AG16)),IF(AND(Irr!I16&lt;&gt;".",Irr!AG16=".",Irr!BE16="."),dir!AI16/((1/1000)*(Irr!I16)),IF(AND(Irr!I16=".",Irr!AG16=".",Irr!BE16="."),dir!AI16*1000)))))))),".")</f>
        <v>0.63849194410988419</v>
      </c>
      <c r="AJ16" s="76">
        <f>IFERROR(IF(AND(Irr!J16&lt;&gt;".",Irr!AH16&lt;&gt;".",Irr!BF16&lt;&gt;"."),dir!AJ16/((1/1000)*(Irr!J16+Irr!AH16+Irr!BF16)),IF(AND(Irr!J16&lt;&gt;".",Irr!AH16&lt;&gt;".",Irr!BF16="."),dir!AJ16/((1/1000)*(Irr!J16+Irr!AH16)),IF(AND(Irr!J16&lt;&gt;".",Irr!AH16=".",Irr!BF16&lt;&gt;"."),dir!AJ16/((1/1000)*(Irr!J16+Irr!BF16)),IF(AND(Irr!J16=".",Irr!AH16&lt;&gt;".",Irr!BF16&lt;&gt;"."),dir!AJ16/((1/1000)*(Irr!AH16+Irr!BF16)),IF(AND(Irr!J16=".",Irr!AH16=".",Irr!BF16&lt;&gt;"."),dir!AJ16/((1/1000)*(Irr!BF16)),IF(AND(Irr!J16=".",Irr!AH16&lt;&gt;".",Irr!BF16="."),dir!AJ16/((1/1000)*(Irr!AH16)),IF(AND(Irr!J16&lt;&gt;".",Irr!AH16=".",Irr!BF16="."),dir!AJ16/((1/1000)*(Irr!J16)),IF(AND(Irr!J16=".",Irr!AH16=".",Irr!BF16="."),dir!AJ16*1000)))))))),".")</f>
        <v>5.1877717585995312E-2</v>
      </c>
      <c r="AK16" s="76">
        <f>IFERROR(IF(AND(Irr!K16&lt;&gt;".",Irr!AI16&lt;&gt;".",Irr!BG16&lt;&gt;"."),dir!AK16/((1/1000)*(Irr!K16+Irr!AI16+Irr!BG16)),IF(AND(Irr!K16&lt;&gt;".",Irr!AI16&lt;&gt;".",Irr!BG16="."),dir!AK16/((1/1000)*(Irr!K16+Irr!AI16)),IF(AND(Irr!K16&lt;&gt;".",Irr!AI16=".",Irr!BG16&lt;&gt;"."),dir!AK16/((1/1000)*(Irr!K16+Irr!BG16)),IF(AND(Irr!K16=".",Irr!AI16&lt;&gt;".",Irr!BG16&lt;&gt;"."),dir!AK16/((1/1000)*(Irr!AI16+Irr!BG16)),IF(AND(Irr!K16=".",Irr!AI16=".",Irr!BG16&lt;&gt;"."),dir!AK16/((1/1000)*(Irr!BG16)),IF(AND(Irr!K16=".",Irr!AI16&lt;&gt;".",Irr!BG16="."),dir!AK16/((1/1000)*(Irr!AI16)),IF(AND(Irr!K16&lt;&gt;".",Irr!AI16=".",Irr!BG16="."),dir!AK16/((1/1000)*(Irr!K16)),IF(AND(Irr!K16=".",Irr!AI16=".",Irr!BG16="."),dir!AK16*1000)))))))),".")</f>
        <v>0.22049059274126848</v>
      </c>
      <c r="AL16" s="76">
        <f>IFERROR(IF(AND(Irr!L16&lt;&gt;".",Irr!AJ16&lt;&gt;".",Irr!BH16&lt;&gt;"."),dir!AL16/((1/1000)*(Irr!L16+Irr!AJ16+Irr!BH16)),IF(AND(Irr!L16&lt;&gt;".",Irr!AJ16&lt;&gt;".",Irr!BH16="."),dir!AL16/((1/1000)*(Irr!L16+Irr!AJ16)),IF(AND(Irr!L16&lt;&gt;".",Irr!AJ16=".",Irr!BH16&lt;&gt;"."),dir!AL16/((1/1000)*(Irr!L16+Irr!BH16)),IF(AND(Irr!L16=".",Irr!AJ16&lt;&gt;".",Irr!BH16&lt;&gt;"."),dir!AL16/((1/1000)*(Irr!AJ16+Irr!BH16)),IF(AND(Irr!L16=".",Irr!AJ16=".",Irr!BH16&lt;&gt;"."),dir!AL16/((1/1000)*(Irr!BH16)),IF(AND(Irr!L16=".",Irr!AJ16&lt;&gt;".",Irr!BH16="."),dir!AL16/((1/1000)*(Irr!AJ16)),IF(AND(Irr!L16&lt;&gt;".",Irr!AJ16=".",Irr!BH16="."),dir!AL16/((1/1000)*(Irr!L16)),IF(AND(Irr!L16=".",Irr!AJ16=".",Irr!BH16="."),dir!AL16*1000)))))))),".")</f>
        <v>0.29518679199519909</v>
      </c>
      <c r="AM16" s="76">
        <f>IFERROR(IF(AND(Irr!M16&lt;&gt;".",Irr!AK16&lt;&gt;".",Irr!BI16&lt;&gt;"."),dir!AM16/((1/1000)*(Irr!M16+Irr!AK16+Irr!BI16)),IF(AND(Irr!M16&lt;&gt;".",Irr!AK16&lt;&gt;".",Irr!BI16="."),dir!AM16/((1/1000)*(Irr!M16+Irr!AK16)),IF(AND(Irr!M16&lt;&gt;".",Irr!AK16=".",Irr!BI16&lt;&gt;"."),dir!AM16/((1/1000)*(Irr!M16+Irr!BI16)),IF(AND(Irr!M16=".",Irr!AK16&lt;&gt;".",Irr!BI16&lt;&gt;"."),dir!AM16/((1/1000)*(Irr!AK16+Irr!BI16)),IF(AND(Irr!M16=".",Irr!AK16=".",Irr!BI16&lt;&gt;"."),dir!AM16/((1/1000)*(Irr!BI16)),IF(AND(Irr!M16=".",Irr!AK16&lt;&gt;".",Irr!BI16="."),dir!AM16/((1/1000)*(Irr!AK16)),IF(AND(Irr!M16&lt;&gt;".",Irr!AK16=".",Irr!BI16="."),dir!AM16/((1/1000)*(Irr!M16)),IF(AND(Irr!M16=".",Irr!AK16=".",Irr!BI16="."),dir!AM16*1000)))))))),".")</f>
        <v>0.2673896468373424</v>
      </c>
      <c r="AN16" s="76">
        <f>IFERROR(IF(AND(Irr!N16&lt;&gt;".",Irr!AL16&lt;&gt;".",Irr!BJ16&lt;&gt;"."),dir!AN16/((1/1000)*(Irr!N16+Irr!AL16+Irr!BJ16)),IF(AND(Irr!N16&lt;&gt;".",Irr!AL16&lt;&gt;".",Irr!BJ16="."),dir!AN16/((1/1000)*(Irr!N16+Irr!AL16)),IF(AND(Irr!N16&lt;&gt;".",Irr!AL16=".",Irr!BJ16&lt;&gt;"."),dir!AN16/((1/1000)*(Irr!N16+Irr!BJ16)),IF(AND(Irr!N16=".",Irr!AL16&lt;&gt;".",Irr!BJ16&lt;&gt;"."),dir!AN16/((1/1000)*(Irr!AL16+Irr!BJ16)),IF(AND(Irr!N16=".",Irr!AL16=".",Irr!BJ16&lt;&gt;"."),dir!AN16/((1/1000)*(Irr!BJ16)),IF(AND(Irr!N16=".",Irr!AL16&lt;&gt;".",Irr!BJ16="."),dir!AN16/((1/1000)*(Irr!AL16)),IF(AND(Irr!N16&lt;&gt;".",Irr!AL16=".",Irr!BJ16="."),dir!AN16/((1/1000)*(Irr!N16)),IF(AND(Irr!N16=".",Irr!AL16=".",Irr!BJ16="."),dir!AN16*1000)))))))),".")</f>
        <v>0.51493923723513668</v>
      </c>
      <c r="AO16" s="76">
        <f>IFERROR(IF(AND(Irr!O16&lt;&gt;".",Irr!AM16&lt;&gt;".",Irr!BK16&lt;&gt;"."),dir!AO16/((1/1000)*(Irr!O16+Irr!AM16+Irr!BK16)),IF(AND(Irr!O16&lt;&gt;".",Irr!AM16&lt;&gt;".",Irr!BK16="."),dir!AO16/((1/1000)*(Irr!O16+Irr!AM16)),IF(AND(Irr!O16&lt;&gt;".",Irr!AM16=".",Irr!BK16&lt;&gt;"."),dir!AO16/((1/1000)*(Irr!O16+Irr!BK16)),IF(AND(Irr!O16=".",Irr!AM16&lt;&gt;".",Irr!BK16&lt;&gt;"."),dir!AO16/((1/1000)*(Irr!AM16+Irr!BK16)),IF(AND(Irr!O16=".",Irr!AM16=".",Irr!BK16&lt;&gt;"."),dir!AO16/((1/1000)*(Irr!BK16)),IF(AND(Irr!O16=".",Irr!AM16&lt;&gt;".",Irr!BK16="."),dir!AO16/((1/1000)*(Irr!AM16)),IF(AND(Irr!O16&lt;&gt;".",Irr!AM16=".",Irr!BK16="."),dir!AO16/((1/1000)*(Irr!O16)),IF(AND(Irr!O16=".",Irr!AM16=".",Irr!BK16="."),dir!AO16*1000)))))))),".")</f>
        <v>0.54858205021893192</v>
      </c>
      <c r="AP16" s="76">
        <f>IFERROR(IF(AND(Irr!P16&lt;&gt;".",Irr!AN16&lt;&gt;".",Irr!BL16&lt;&gt;"."),dir!AP16/((1/1000)*(Irr!P16+Irr!AN16+Irr!BL16)),IF(AND(Irr!P16&lt;&gt;".",Irr!AN16&lt;&gt;".",Irr!BL16="."),dir!AP16/((1/1000)*(Irr!P16+Irr!AN16)),IF(AND(Irr!P16&lt;&gt;".",Irr!AN16=".",Irr!BL16&lt;&gt;"."),dir!AP16/((1/1000)*(Irr!P16+Irr!BL16)),IF(AND(Irr!P16=".",Irr!AN16&lt;&gt;".",Irr!BL16&lt;&gt;"."),dir!AP16/((1/1000)*(Irr!AN16+Irr!BL16)),IF(AND(Irr!P16=".",Irr!AN16=".",Irr!BL16&lt;&gt;"."),dir!AP16/((1/1000)*(Irr!BL16)),IF(AND(Irr!P16=".",Irr!AN16&lt;&gt;".",Irr!BL16="."),dir!AP16/((1/1000)*(Irr!AN16)),IF(AND(Irr!P16&lt;&gt;".",Irr!AN16=".",Irr!BL16="."),dir!AP16/((1/1000)*(Irr!P16)),IF(AND(Irr!P16=".",Irr!AN16=".",Irr!BL16="."),dir!AP16*1000)))))))),".")</f>
        <v>0.59983943592306677</v>
      </c>
      <c r="AQ16" s="76">
        <f>IFERROR(IF(AND(Irr!Q16&lt;&gt;".",Irr!AO16&lt;&gt;".",Irr!BM16&lt;&gt;"."),dir!AQ16/((1/1000)*(Irr!Q16+Irr!AO16+Irr!BM16)),IF(AND(Irr!Q16&lt;&gt;".",Irr!AO16&lt;&gt;".",Irr!BM16="."),dir!AQ16/((1/1000)*(Irr!Q16+Irr!AO16)),IF(AND(Irr!Q16&lt;&gt;".",Irr!AO16=".",Irr!BM16&lt;&gt;"."),dir!AQ16/((1/1000)*(Irr!Q16+Irr!BM16)),IF(AND(Irr!Q16=".",Irr!AO16&lt;&gt;".",Irr!BM16&lt;&gt;"."),dir!AQ16/((1/1000)*(Irr!AO16+Irr!BM16)),IF(AND(Irr!Q16=".",Irr!AO16=".",Irr!BM16&lt;&gt;"."),dir!AQ16/((1/1000)*(Irr!BM16)),IF(AND(Irr!Q16=".",Irr!AO16&lt;&gt;".",Irr!BM16="."),dir!AQ16/((1/1000)*(Irr!AO16)),IF(AND(Irr!Q16&lt;&gt;".",Irr!AO16=".",Irr!BM16="."),dir!AQ16/((1/1000)*(Irr!Q16)),IF(AND(Irr!Q16=".",Irr!AO16=".",Irr!BM16="."),dir!AQ16*1000)))))))),".")</f>
        <v>0.1478301185760208</v>
      </c>
      <c r="AR16" s="76">
        <f>IFERROR(IF(AND(Irr!R16&lt;&gt;".",Irr!AP16&lt;&gt;".",Irr!BN16&lt;&gt;"."),dir!AR16/((1/1000)*(Irr!R16+Irr!AP16+Irr!BN16)),IF(AND(Irr!R16&lt;&gt;".",Irr!AP16&lt;&gt;".",Irr!BN16="."),dir!AR16/((1/1000)*(Irr!R16+Irr!AP16)),IF(AND(Irr!R16&lt;&gt;".",Irr!AP16=".",Irr!BN16&lt;&gt;"."),dir!AR16/((1/1000)*(Irr!R16+Irr!BN16)),IF(AND(Irr!R16=".",Irr!AP16&lt;&gt;".",Irr!BN16&lt;&gt;"."),dir!AR16/((1/1000)*(Irr!AP16+Irr!BN16)),IF(AND(Irr!R16=".",Irr!AP16=".",Irr!BN16&lt;&gt;"."),dir!AR16/((1/1000)*(Irr!BN16)),IF(AND(Irr!R16=".",Irr!AP16&lt;&gt;".",Irr!BN16="."),dir!AR16/((1/1000)*(Irr!AP16)),IF(AND(Irr!R16&lt;&gt;".",Irr!AP16=".",Irr!BN16="."),dir!AR16/((1/1000)*(Irr!R16)),IF(AND(Irr!R16=".",Irr!AP16=".",Irr!BN16="."),dir!AR16*1000)))))))),".")</f>
        <v>0.24303187329501477</v>
      </c>
      <c r="AS16" s="76">
        <f>IFERROR(IF(AND(Irr!S16&lt;&gt;".",Irr!AQ16&lt;&gt;".",Irr!BO16&lt;&gt;"."),dir!AS16/((1/1000)*(Irr!S16+Irr!AQ16+Irr!BO16)),IF(AND(Irr!S16&lt;&gt;".",Irr!AQ16&lt;&gt;".",Irr!BO16="."),dir!AS16/((1/1000)*(Irr!S16+Irr!AQ16)),IF(AND(Irr!S16&lt;&gt;".",Irr!AQ16=".",Irr!BO16&lt;&gt;"."),dir!AS16/((1/1000)*(Irr!S16+Irr!BO16)),IF(AND(Irr!S16=".",Irr!AQ16&lt;&gt;".",Irr!BO16&lt;&gt;"."),dir!AS16/((1/1000)*(Irr!AQ16+Irr!BO16)),IF(AND(Irr!S16=".",Irr!AQ16=".",Irr!BO16&lt;&gt;"."),dir!AS16/((1/1000)*(Irr!BO16)),IF(AND(Irr!S16=".",Irr!AQ16&lt;&gt;".",Irr!BO16="."),dir!AS16/((1/1000)*(Irr!AQ16)),IF(AND(Irr!S16&lt;&gt;".",Irr!AQ16=".",Irr!BO16="."),dir!AS16/((1/1000)*(Irr!S16)),IF(AND(Irr!S16=".",Irr!AQ16=".",Irr!BO16="."),dir!AS16*1000)))))))),".")</f>
        <v>0.50612881889553329</v>
      </c>
      <c r="AT16" s="76">
        <f>IFERROR(IF(AND(Irr!T16&lt;&gt;".",Irr!AR16&lt;&gt;".",Irr!BP16&lt;&gt;"."),dir!AT16/((1/1000)*(Irr!T16+Irr!AR16+Irr!BP16)),IF(AND(Irr!T16&lt;&gt;".",Irr!AR16&lt;&gt;".",Irr!BP16="."),dir!AT16/((1/1000)*(Irr!T16+Irr!AR16)),IF(AND(Irr!T16&lt;&gt;".",Irr!AR16=".",Irr!BP16&lt;&gt;"."),dir!AT16/((1/1000)*(Irr!T16+Irr!BP16)),IF(AND(Irr!T16=".",Irr!AR16&lt;&gt;".",Irr!BP16&lt;&gt;"."),dir!AT16/((1/1000)*(Irr!AR16+Irr!BP16)),IF(AND(Irr!T16=".",Irr!AR16=".",Irr!BP16&lt;&gt;"."),dir!AT16/((1/1000)*(Irr!BP16)),IF(AND(Irr!T16=".",Irr!AR16&lt;&gt;".",Irr!BP16="."),dir!AT16/((1/1000)*(Irr!AR16)),IF(AND(Irr!T16&lt;&gt;".",Irr!AR16=".",Irr!BP16="."),dir!AT16/((1/1000)*(Irr!T16)),IF(AND(Irr!T16=".",Irr!AR16=".",Irr!BP16="."),dir!AT16*1000)))))))),".")</f>
        <v>0.12694481366587576</v>
      </c>
      <c r="AU16" s="76">
        <f>IFERROR(IF(AND(Irr!U16&lt;&gt;".",Irr!AS16&lt;&gt;".",Irr!BQ16&lt;&gt;"."),dir!AU16/((1/1000)*(Irr!U16+Irr!AS16+Irr!BQ16)),IF(AND(Irr!U16&lt;&gt;".",Irr!AS16&lt;&gt;".",Irr!BQ16="."),dir!AU16/((1/1000)*(Irr!U16+Irr!AS16)),IF(AND(Irr!U16&lt;&gt;".",Irr!AS16=".",Irr!BQ16&lt;&gt;"."),dir!AU16/((1/1000)*(Irr!U16+Irr!BQ16)),IF(AND(Irr!U16=".",Irr!AS16&lt;&gt;".",Irr!BQ16&lt;&gt;"."),dir!AU16/((1/1000)*(Irr!AS16+Irr!BQ16)),IF(AND(Irr!U16=".",Irr!AS16=".",Irr!BQ16&lt;&gt;"."),dir!AU16/((1/1000)*(Irr!BQ16)),IF(AND(Irr!U16=".",Irr!AS16&lt;&gt;".",Irr!BQ16="."),dir!AU16/((1/1000)*(Irr!AS16)),IF(AND(Irr!U16&lt;&gt;".",Irr!AS16=".",Irr!BQ16="."),dir!AU16/((1/1000)*(Irr!U16)),IF(AND(Irr!U16=".",Irr!AS16=".",Irr!BQ16="."),dir!AU16*1000)))))))),".")</f>
        <v>0.23473900666953615</v>
      </c>
      <c r="AV16" s="76">
        <f>IFERROR(IF(AND(Irr!V16&lt;&gt;".",Irr!AT16&lt;&gt;".",Irr!BR16&lt;&gt;"."),dir!AV16/((1/1000)*(Irr!V16+Irr!AT16+Irr!BR16)),IF(AND(Irr!V16&lt;&gt;".",Irr!AT16&lt;&gt;".",Irr!BR16="."),dir!AV16/((1/1000)*(Irr!V16+Irr!AT16)),IF(AND(Irr!V16&lt;&gt;".",Irr!AT16=".",Irr!BR16&lt;&gt;"."),dir!AV16/((1/1000)*(Irr!V16+Irr!BR16)),IF(AND(Irr!V16=".",Irr!AT16&lt;&gt;".",Irr!BR16&lt;&gt;"."),dir!AV16/((1/1000)*(Irr!AT16+Irr!BR16)),IF(AND(Irr!V16=".",Irr!AT16=".",Irr!BR16&lt;&gt;"."),dir!AV16/((1/1000)*(Irr!BR16)),IF(AND(Irr!V16=".",Irr!AT16&lt;&gt;".",Irr!BR16="."),dir!AV16/((1/1000)*(Irr!AT16)),IF(AND(Irr!V16&lt;&gt;".",Irr!AT16=".",Irr!BR16="."),dir!AV16/((1/1000)*(Irr!V16)),IF(AND(Irr!V16=".",Irr!AT16=".",Irr!BR16="."),dir!AV16*1000)))))))),".")</f>
        <v>0.30155907873611376</v>
      </c>
      <c r="AW16" s="76">
        <f>IFERROR(IF(AND(Irr!W16&lt;&gt;".",Irr!AU16&lt;&gt;".",Irr!BS16&lt;&gt;"."),dir!AW16/((1/1000)*(Irr!W16+Irr!AU16+Irr!BS16)),IF(AND(Irr!W16&lt;&gt;".",Irr!AU16&lt;&gt;".",Irr!BS16="."),dir!AW16/((1/1000)*(Irr!W16+Irr!AU16)),IF(AND(Irr!W16&lt;&gt;".",Irr!AU16=".",Irr!BS16&lt;&gt;"."),dir!AW16/((1/1000)*(Irr!W16+Irr!BS16)),IF(AND(Irr!W16=".",Irr!AU16&lt;&gt;".",Irr!BS16&lt;&gt;"."),dir!AW16/((1/1000)*(Irr!AU16+Irr!BS16)),IF(AND(Irr!W16=".",Irr!AU16=".",Irr!BS16&lt;&gt;"."),dir!AW16/((1/1000)*(Irr!BS16)),IF(AND(Irr!W16=".",Irr!AU16&lt;&gt;".",Irr!BS16="."),dir!AW16/((1/1000)*(Irr!AU16)),IF(AND(Irr!W16&lt;&gt;".",Irr!AU16=".",Irr!BS16="."),dir!AW16/((1/1000)*(Irr!W16)),IF(AND(Irr!W16=".",Irr!AU16=".",Irr!BS16="."),dir!AW16*1000)))))))),".")</f>
        <v>0.39682096329651323</v>
      </c>
      <c r="AX16" s="76">
        <f>IFERROR(IF(AND(Irr!X16&lt;&gt;".",Irr!AV16&lt;&gt;".",Irr!BT16&lt;&gt;"."),dir!AX16/((1/1000)*(Irr!X16+Irr!AV16+Irr!BT16)),IF(AND(Irr!X16&lt;&gt;".",Irr!AV16&lt;&gt;".",Irr!BT16="."),dir!AX16/((1/1000)*(Irr!X16+Irr!AV16)),IF(AND(Irr!X16&lt;&gt;".",Irr!AV16=".",Irr!BT16&lt;&gt;"."),dir!AX16/((1/1000)*(Irr!X16+Irr!BT16)),IF(AND(Irr!X16=".",Irr!AV16&lt;&gt;".",Irr!BT16&lt;&gt;"."),dir!AX16/((1/1000)*(Irr!AV16+Irr!BT16)),IF(AND(Irr!X16=".",Irr!AV16=".",Irr!BT16&lt;&gt;"."),dir!AX16/((1/1000)*(Irr!BT16)),IF(AND(Irr!X16=".",Irr!AV16&lt;&gt;".",Irr!BT16="."),dir!AX16/((1/1000)*(Irr!AV16)),IF(AND(Irr!X16&lt;&gt;".",Irr!AV16=".",Irr!BT16="."),dir!AX16/((1/1000)*(Irr!X16)),IF(AND(Irr!X16=".",Irr!AV16=".",Irr!BT16="."),dir!AX16*1000)))))))),".")</f>
        <v>0.16802300127078218</v>
      </c>
      <c r="AY16" s="76">
        <f>IFERROR(IF(AND(Irr!Y16&lt;&gt;".",Irr!AW16&lt;&gt;".",Irr!BU16&lt;&gt;"."),dir!AY16/((1/1000)*(Irr!Y16+Irr!AW16+Irr!BU16)),IF(AND(Irr!Y16&lt;&gt;".",Irr!AW16&lt;&gt;".",Irr!BU16="."),dir!AY16/((1/1000)*(Irr!Y16+Irr!AW16)),IF(AND(Irr!Y16&lt;&gt;".",Irr!AW16=".",Irr!BU16&lt;&gt;"."),dir!AY16/((1/1000)*(Irr!Y16+Irr!BU16)),IF(AND(Irr!Y16=".",Irr!AW16&lt;&gt;".",Irr!BU16&lt;&gt;"."),dir!AY16/((1/1000)*(Irr!AW16+Irr!BU16)),IF(AND(Irr!Y16=".",Irr!AW16=".",Irr!BU16&lt;&gt;"."),dir!AY16/((1/1000)*(Irr!BU16)),IF(AND(Irr!Y16=".",Irr!AW16&lt;&gt;".",Irr!BU16="."),dir!AY16/((1/1000)*(Irr!AW16)),IF(AND(Irr!Y16&lt;&gt;".",Irr!AW16=".",Irr!BU16="."),dir!AY16/((1/1000)*(Irr!Y16)),IF(AND(Irr!Y16=".",Irr!AW16=".",Irr!BU16="."),dir!AY16*1000)))))))),".")</f>
        <v>5.9943127046481443E-2</v>
      </c>
      <c r="AZ16" s="76">
        <f>IFERROR(IF(AND(Irr!Z16&lt;&gt;".",Irr!AX16&lt;&gt;".",Irr!BV16&lt;&gt;"."),dir!AZ16/((1/1000)*(Irr!Z16+Irr!AX16+Irr!BV16)),IF(AND(Irr!Z16&lt;&gt;".",Irr!AX16&lt;&gt;".",Irr!BV16="."),dir!AZ16/((1/1000)*(Irr!Z16+Irr!AX16)),IF(AND(Irr!Z16&lt;&gt;".",Irr!AX16=".",Irr!BV16&lt;&gt;"."),dir!AZ16/((1/1000)*(Irr!Z16+Irr!BV16)),IF(AND(Irr!Z16=".",Irr!AX16&lt;&gt;".",Irr!BV16&lt;&gt;"."),dir!AZ16/((1/1000)*(Irr!AX16+Irr!BV16)),IF(AND(Irr!Z16=".",Irr!AX16=".",Irr!BV16&lt;&gt;"."),dir!AZ16/((1/1000)*(Irr!BV16)),IF(AND(Irr!Z16=".",Irr!AX16&lt;&gt;".",Irr!BV16="."),dir!AZ16/((1/1000)*(Irr!AX16)),IF(AND(Irr!Z16&lt;&gt;".",Irr!AX16=".",Irr!BV16="."),dir!AZ16/((1/1000)*(Irr!Z16)),IF(AND(Irr!Z16=".",Irr!AX16=".",Irr!BV16="."),dir!AZ16*1000)))))))),".")</f>
        <v>5.5046891928893824E-2</v>
      </c>
    </row>
    <row r="17" spans="1:52" ht="15" customHeight="1" x14ac:dyDescent="0.25">
      <c r="A17" s="92" t="s">
        <v>27</v>
      </c>
      <c r="B17" s="90" t="s">
        <v>1074</v>
      </c>
      <c r="C17" s="76">
        <f t="shared" si="14"/>
        <v>40.039400683254385</v>
      </c>
      <c r="D17" s="76">
        <f>IFERROR(IF(AND(Irr!C17&lt;&gt;".",Irr!AA17&lt;&gt;".",Irr!AY17&lt;&gt;"."),dir!D17/((1/1000)*(Irr!C17+Irr!AA17+Irr!AY17)),IF(AND(Irr!C17&lt;&gt;".",Irr!AA17&lt;&gt;".",Irr!AY17="."),dir!D17/((1/1000)*(Irr!C17+Irr!AA17)),IF(AND(Irr!C17&lt;&gt;".",Irr!AA17=".",Irr!AY17&lt;&gt;"."),dir!D17/((1/1000)*(Irr!C17+Irr!AY17)),IF(AND(Irr!C17=".",Irr!AA17&lt;&gt;".",Irr!AY17&lt;&gt;"."),dir!D17/((1/1000)*(Irr!AA17+Irr!AY17)),IF(AND(Irr!C17=".",Irr!AA17=".",Irr!AY17&lt;&gt;"."),dir!D17/((1/1000)*(Irr!AY17)),IF(AND(Irr!C17=".",Irr!AA17&lt;&gt;".",Irr!AY17="."),dir!D17/((1/1000)*(Irr!AA17)),IF(AND(Irr!C17&lt;&gt;".",Irr!AA17=".",Irr!AY17="."),dir!D17/((1/1000)*(Irr!C17)),IF(AND(Irr!C17=".",Irr!AA17=".",Irr!AY17="."),dir!D17*1000)))))))),".")</f>
        <v>771.60441087170295</v>
      </c>
      <c r="E17" s="76">
        <f>IFERROR(IF(AND(Irr!D17&lt;&gt;".",Irr!AB17&lt;&gt;".",Irr!AZ17&lt;&gt;"."),dir!E17/((1/1000)*(Irr!D17+Irr!AB17+Irr!AZ17)),IF(AND(Irr!D17&lt;&gt;".",Irr!AB17&lt;&gt;".",Irr!AZ17="."),dir!E17/((1/1000)*(Irr!D17+Irr!AB17)),IF(AND(Irr!D17&lt;&gt;".",Irr!AB17=".",Irr!AZ17&lt;&gt;"."),dir!E17/((1/1000)*(Irr!D17+Irr!AZ17)),IF(AND(Irr!D17=".",Irr!AB17&lt;&gt;".",Irr!AZ17&lt;&gt;"."),dir!E17/((1/1000)*(Irr!AB17+Irr!AZ17)),IF(AND(Irr!D17=".",Irr!AB17=".",Irr!AZ17&lt;&gt;"."),dir!E17/((1/1000)*(Irr!AZ17)),IF(AND(Irr!D17=".",Irr!AB17&lt;&gt;".",Irr!AZ17="."),dir!E17/((1/1000)*(Irr!AB17)),IF(AND(Irr!D17&lt;&gt;".",Irr!AB17=".",Irr!AZ17="."),dir!E17/((1/1000)*(Irr!D17)),IF(AND(Irr!D17=".",Irr!AB17=".",Irr!AZ17="."),dir!E17*1000)))))))),".")</f>
        <v>1056.1539025517854</v>
      </c>
      <c r="F17" s="76">
        <f>IFERROR(IF(AND(Irr!E17&lt;&gt;".",Irr!AC17&lt;&gt;".",Irr!BA17&lt;&gt;"."),dir!F17/((1/1000)*(Irr!E17+Irr!AC17+Irr!BA17)),IF(AND(Irr!E17&lt;&gt;".",Irr!AC17&lt;&gt;".",Irr!BA17="."),dir!F17/((1/1000)*(Irr!E17+Irr!AC17)),IF(AND(Irr!E17&lt;&gt;".",Irr!AC17=".",Irr!BA17&lt;&gt;"."),dir!F17/((1/1000)*(Irr!E17+Irr!BA17)),IF(AND(Irr!E17=".",Irr!AC17&lt;&gt;".",Irr!BA17&lt;&gt;"."),dir!F17/((1/1000)*(Irr!AC17+Irr!BA17)),IF(AND(Irr!E17=".",Irr!AC17=".",Irr!BA17&lt;&gt;"."),dir!F17/((1/1000)*(Irr!BA17)),IF(AND(Irr!E17=".",Irr!AC17&lt;&gt;".",Irr!BA17="."),dir!F17/((1/1000)*(Irr!AC17)),IF(AND(Irr!E17&lt;&gt;".",Irr!AC17=".",Irr!BA17="."),dir!F17/((1/1000)*(Irr!E17)),IF(AND(Irr!E17=".",Irr!AC17=".",Irr!BA17="."),dir!F17*1000)))))))),".")</f>
        <v>2008.8534896902229</v>
      </c>
      <c r="G17" s="76">
        <f>IFERROR(IF(AND(Irr!F17&lt;&gt;".",Irr!AD17&lt;&gt;".",Irr!BB17&lt;&gt;"."),dir!G17/((1/1000)*(Irr!F17+Irr!AD17+Irr!BB17)),IF(AND(Irr!F17&lt;&gt;".",Irr!AD17&lt;&gt;".",Irr!BB17="."),dir!G17/((1/1000)*(Irr!F17+Irr!AD17)),IF(AND(Irr!F17&lt;&gt;".",Irr!AD17=".",Irr!BB17&lt;&gt;"."),dir!G17/((1/1000)*(Irr!F17+Irr!BB17)),IF(AND(Irr!F17=".",Irr!AD17&lt;&gt;".",Irr!BB17&lt;&gt;"."),dir!G17/((1/1000)*(Irr!AD17+Irr!BB17)),IF(AND(Irr!F17=".",Irr!AD17=".",Irr!BB17&lt;&gt;"."),dir!G17/((1/1000)*(Irr!BB17)),IF(AND(Irr!F17=".",Irr!AD17&lt;&gt;".",Irr!BB17="."),dir!G17/((1/1000)*(Irr!AD17)),IF(AND(Irr!F17&lt;&gt;".",Irr!AD17=".",Irr!BB17="."),dir!G17/((1/1000)*(Irr!F17)),IF(AND(Irr!F17=".",Irr!AD17=".",Irr!BB17="."),dir!G17*1000)))))))),".")</f>
        <v>1728.3593377805792</v>
      </c>
      <c r="H17" s="76">
        <f>IFERROR(IF(AND(Irr!G17&lt;&gt;".",Irr!AE17&lt;&gt;".",Irr!BC17&lt;&gt;"."),dir!H17/((1/1000)*(Irr!G17+Irr!AE17+Irr!BC17)),IF(AND(Irr!G17&lt;&gt;".",Irr!AE17&lt;&gt;".",Irr!BC17="."),dir!H17/((1/1000)*(Irr!G17+Irr!AE17)),IF(AND(Irr!G17&lt;&gt;".",Irr!AE17=".",Irr!BC17&lt;&gt;"."),dir!H17/((1/1000)*(Irr!G17+Irr!BC17)),IF(AND(Irr!G17=".",Irr!AE17&lt;&gt;".",Irr!BC17&lt;&gt;"."),dir!H17/((1/1000)*(Irr!AE17+Irr!BC17)),IF(AND(Irr!G17=".",Irr!AE17=".",Irr!BC17&lt;&gt;"."),dir!H17/((1/1000)*(Irr!BC17)),IF(AND(Irr!G17=".",Irr!AE17&lt;&gt;".",Irr!BC17="."),dir!H17/((1/1000)*(Irr!AE17)),IF(AND(Irr!G17&lt;&gt;".",Irr!AE17=".",Irr!BC17="."),dir!H17/((1/1000)*(Irr!G17)),IF(AND(Irr!G17=".",Irr!AE17=".",Irr!BC17="."),dir!H17*1000)))))))),".")</f>
        <v>1946.2694163708832</v>
      </c>
      <c r="I17" s="76">
        <f>IFERROR(IF(AND(Irr!H17&lt;&gt;".",Irr!AF17&lt;&gt;".",Irr!BD17&lt;&gt;"."),dir!I17/((1/1000)*(Irr!H17+Irr!AF17+Irr!BD17)),IF(AND(Irr!H17&lt;&gt;".",Irr!AF17&lt;&gt;".",Irr!BD17="."),dir!I17/((1/1000)*(Irr!H17+Irr!AF17)),IF(AND(Irr!H17&lt;&gt;".",Irr!AF17=".",Irr!BD17&lt;&gt;"."),dir!I17/((1/1000)*(Irr!H17+Irr!BD17)),IF(AND(Irr!H17=".",Irr!AF17&lt;&gt;".",Irr!BD17&lt;&gt;"."),dir!I17/((1/1000)*(Irr!AF17+Irr!BD17)),IF(AND(Irr!H17=".",Irr!AF17=".",Irr!BD17&lt;&gt;"."),dir!I17/((1/1000)*(Irr!BD17)),IF(AND(Irr!H17=".",Irr!AF17&lt;&gt;".",Irr!BD17="."),dir!I17/((1/1000)*(Irr!AF17)),IF(AND(Irr!H17&lt;&gt;".",Irr!AF17=".",Irr!BD17="."),dir!I17/((1/1000)*(Irr!H17)),IF(AND(Irr!H17=".",Irr!AF17=".",Irr!BD17="."),dir!I17*1000)))))))),".")</f>
        <v>472.935898783102</v>
      </c>
      <c r="J17" s="76">
        <f>IFERROR(IF(AND(Irr!I17&lt;&gt;".",Irr!AG17&lt;&gt;".",Irr!BE17&lt;&gt;"."),dir!J17/((1/1000)*(Irr!I17+Irr!AG17+Irr!BE17)),IF(AND(Irr!I17&lt;&gt;".",Irr!AG17&lt;&gt;".",Irr!BE17="."),dir!J17/((1/1000)*(Irr!I17+Irr!AG17)),IF(AND(Irr!I17&lt;&gt;".",Irr!AG17=".",Irr!BE17&lt;&gt;"."),dir!J17/((1/1000)*(Irr!I17+Irr!BE17)),IF(AND(Irr!I17=".",Irr!AG17&lt;&gt;".",Irr!BE17&lt;&gt;"."),dir!J17/((1/1000)*(Irr!AG17+Irr!BE17)),IF(AND(Irr!I17=".",Irr!AG17=".",Irr!BE17&lt;&gt;"."),dir!J17/((1/1000)*(Irr!BE17)),IF(AND(Irr!I17=".",Irr!AG17&lt;&gt;".",Irr!BE17="."),dir!J17/((1/1000)*(Irr!AG17)),IF(AND(Irr!I17&lt;&gt;".",Irr!AG17=".",Irr!BE17="."),dir!J17/((1/1000)*(Irr!I17)),IF(AND(Irr!I17=".",Irr!AG17=".",Irr!BE17="."),dir!J17*1000)))))))),".")</f>
        <v>2218.2933936377408</v>
      </c>
      <c r="K17" s="76">
        <f>IFERROR(IF(AND(Irr!J17&lt;&gt;".",Irr!AH17&lt;&gt;".",Irr!BF17&lt;&gt;"."),dir!K17/((1/1000)*(Irr!J17+Irr!AH17+Irr!BF17)),IF(AND(Irr!J17&lt;&gt;".",Irr!AH17&lt;&gt;".",Irr!BF17="."),dir!K17/((1/1000)*(Irr!J17+Irr!AH17)),IF(AND(Irr!J17&lt;&gt;".",Irr!AH17=".",Irr!BF17&lt;&gt;"."),dir!K17/((1/1000)*(Irr!J17+Irr!BF17)),IF(AND(Irr!J17=".",Irr!AH17&lt;&gt;".",Irr!BF17&lt;&gt;"."),dir!K17/((1/1000)*(Irr!AH17+Irr!BF17)),IF(AND(Irr!J17=".",Irr!AH17=".",Irr!BF17&lt;&gt;"."),dir!K17/((1/1000)*(Irr!BF17)),IF(AND(Irr!J17=".",Irr!AH17&lt;&gt;".",Irr!BF17="."),dir!K17/((1/1000)*(Irr!AH17)),IF(AND(Irr!J17&lt;&gt;".",Irr!AH17=".",Irr!BF17="."),dir!K17/((1/1000)*(Irr!J17)),IF(AND(Irr!J17=".",Irr!AH17=".",Irr!BF17="."),dir!K17*1000)))))))),".")</f>
        <v>200.15278019922673</v>
      </c>
      <c r="L17" s="76">
        <f>IFERROR(IF(AND(Irr!K17&lt;&gt;".",Irr!AI17&lt;&gt;".",Irr!BG17&lt;&gt;"."),dir!L17/((1/1000)*(Irr!K17+Irr!AI17+Irr!BG17)),IF(AND(Irr!K17&lt;&gt;".",Irr!AI17&lt;&gt;".",Irr!BG17="."),dir!L17/((1/1000)*(Irr!K17+Irr!AI17)),IF(AND(Irr!K17&lt;&gt;".",Irr!AI17=".",Irr!BG17&lt;&gt;"."),dir!L17/((1/1000)*(Irr!K17+Irr!BG17)),IF(AND(Irr!K17=".",Irr!AI17&lt;&gt;".",Irr!BG17&lt;&gt;"."),dir!L17/((1/1000)*(Irr!AI17+Irr!BG17)),IF(AND(Irr!K17=".",Irr!AI17=".",Irr!BG17&lt;&gt;"."),dir!L17/((1/1000)*(Irr!BG17)),IF(AND(Irr!K17=".",Irr!AI17&lt;&gt;".",Irr!BG17="."),dir!L17/((1/1000)*(Irr!AI17)),IF(AND(Irr!K17&lt;&gt;".",Irr!AI17=".",Irr!BG17="."),dir!L17/((1/1000)*(Irr!K17)),IF(AND(Irr!K17=".",Irr!AI17=".",Irr!BG17="."),dir!L17*1000)))))))),".")</f>
        <v>1193.0485346396617</v>
      </c>
      <c r="M17" s="76">
        <f>IFERROR(IF(AND(Irr!L17&lt;&gt;".",Irr!AJ17&lt;&gt;".",Irr!BH17&lt;&gt;"."),dir!M17/((1/1000)*(Irr!L17+Irr!AJ17+Irr!BH17)),IF(AND(Irr!L17&lt;&gt;".",Irr!AJ17&lt;&gt;".",Irr!BH17="."),dir!M17/((1/1000)*(Irr!L17+Irr!AJ17)),IF(AND(Irr!L17&lt;&gt;".",Irr!AJ17=".",Irr!BH17&lt;&gt;"."),dir!M17/((1/1000)*(Irr!L17+Irr!BH17)),IF(AND(Irr!L17=".",Irr!AJ17&lt;&gt;".",Irr!BH17&lt;&gt;"."),dir!M17/((1/1000)*(Irr!AJ17+Irr!BH17)),IF(AND(Irr!L17=".",Irr!AJ17=".",Irr!BH17&lt;&gt;"."),dir!M17/((1/1000)*(Irr!BH17)),IF(AND(Irr!L17=".",Irr!AJ17&lt;&gt;".",Irr!BH17="."),dir!M17/((1/1000)*(Irr!AJ17)),IF(AND(Irr!L17&lt;&gt;".",Irr!AJ17=".",Irr!BH17="."),dir!M17/((1/1000)*(Irr!L17)),IF(AND(Irr!L17=".",Irr!AJ17=".",Irr!BH17="."),dir!M17*1000)))))))),".")</f>
        <v>783.26520702610389</v>
      </c>
      <c r="N17" s="76">
        <f>IFERROR(IF(AND(Irr!M17&lt;&gt;".",Irr!AK17&lt;&gt;".",Irr!BI17&lt;&gt;"."),dir!N17/((1/1000)*(Irr!M17+Irr!AK17+Irr!BI17)),IF(AND(Irr!M17&lt;&gt;".",Irr!AK17&lt;&gt;".",Irr!BI17="."),dir!N17/((1/1000)*(Irr!M17+Irr!AK17)),IF(AND(Irr!M17&lt;&gt;".",Irr!AK17=".",Irr!BI17&lt;&gt;"."),dir!N17/((1/1000)*(Irr!M17+Irr!BI17)),IF(AND(Irr!M17=".",Irr!AK17&lt;&gt;".",Irr!BI17&lt;&gt;"."),dir!N17/((1/1000)*(Irr!AK17+Irr!BI17)),IF(AND(Irr!M17=".",Irr!AK17=".",Irr!BI17&lt;&gt;"."),dir!N17/((1/1000)*(Irr!BI17)),IF(AND(Irr!M17=".",Irr!AK17&lt;&gt;".",Irr!BI17="."),dir!N17/((1/1000)*(Irr!AK17)),IF(AND(Irr!M17&lt;&gt;".",Irr!AK17=".",Irr!BI17="."),dir!N17/((1/1000)*(Irr!M17)),IF(AND(Irr!M17=".",Irr!AK17=".",Irr!BI17="."),dir!N17*1000)))))))),".")</f>
        <v>1088.6713892509019</v>
      </c>
      <c r="O17" s="76">
        <f>IFERROR(IF(AND(Irr!N17&lt;&gt;".",Irr!AL17&lt;&gt;".",Irr!BJ17&lt;&gt;"."),dir!O17/((1/1000)*(Irr!N17+Irr!AL17+Irr!BJ17)),IF(AND(Irr!N17&lt;&gt;".",Irr!AL17&lt;&gt;".",Irr!BJ17="."),dir!O17/((1/1000)*(Irr!N17+Irr!AL17)),IF(AND(Irr!N17&lt;&gt;".",Irr!AL17=".",Irr!BJ17&lt;&gt;"."),dir!O17/((1/1000)*(Irr!N17+Irr!BJ17)),IF(AND(Irr!N17=".",Irr!AL17&lt;&gt;".",Irr!BJ17&lt;&gt;"."),dir!O17/((1/1000)*(Irr!AL17+Irr!BJ17)),IF(AND(Irr!N17=".",Irr!AL17=".",Irr!BJ17&lt;&gt;"."),dir!O17/((1/1000)*(Irr!BJ17)),IF(AND(Irr!N17=".",Irr!AL17&lt;&gt;".",Irr!BJ17="."),dir!O17/((1/1000)*(Irr!AL17)),IF(AND(Irr!N17&lt;&gt;".",Irr!AL17=".",Irr!BJ17="."),dir!O17/((1/1000)*(Irr!N17)),IF(AND(Irr!N17=".",Irr!AL17=".",Irr!BJ17="."),dir!O17*1000)))))))),".")</f>
        <v>2077.2813210390964</v>
      </c>
      <c r="P17" s="76">
        <f>IFERROR(IF(AND(Irr!O17&lt;&gt;".",Irr!AM17&lt;&gt;".",Irr!BK17&lt;&gt;"."),dir!P17/((1/1000)*(Irr!O17+Irr!AM17+Irr!BK17)),IF(AND(Irr!O17&lt;&gt;".",Irr!AM17&lt;&gt;".",Irr!BK17="."),dir!P17/((1/1000)*(Irr!O17+Irr!AM17)),IF(AND(Irr!O17&lt;&gt;".",Irr!AM17=".",Irr!BK17&lt;&gt;"."),dir!P17/((1/1000)*(Irr!O17+Irr!BK17)),IF(AND(Irr!O17=".",Irr!AM17&lt;&gt;".",Irr!BK17&lt;&gt;"."),dir!P17/((1/1000)*(Irr!AM17+Irr!BK17)),IF(AND(Irr!O17=".",Irr!AM17=".",Irr!BK17&lt;&gt;"."),dir!P17/((1/1000)*(Irr!BK17)),IF(AND(Irr!O17=".",Irr!AM17&lt;&gt;".",Irr!BK17="."),dir!P17/((1/1000)*(Irr!AM17)),IF(AND(Irr!O17&lt;&gt;".",Irr!AM17=".",Irr!BK17="."),dir!P17/((1/1000)*(Irr!O17)),IF(AND(Irr!O17=".",Irr!AM17=".",Irr!BK17="."),dir!P17*1000)))))))),".")</f>
        <v>2217.219980826465</v>
      </c>
      <c r="Q17" s="76">
        <f>IFERROR(IF(AND(Irr!P17&lt;&gt;".",Irr!AN17&lt;&gt;".",Irr!BL17&lt;&gt;"."),dir!Q17/((1/1000)*(Irr!P17+Irr!AN17+Irr!BL17)),IF(AND(Irr!P17&lt;&gt;".",Irr!AN17&lt;&gt;".",Irr!BL17="."),dir!Q17/((1/1000)*(Irr!P17+Irr!AN17)),IF(AND(Irr!P17&lt;&gt;".",Irr!AN17=".",Irr!BL17&lt;&gt;"."),dir!Q17/((1/1000)*(Irr!P17+Irr!BL17)),IF(AND(Irr!P17=".",Irr!AN17&lt;&gt;".",Irr!BL17&lt;&gt;"."),dir!Q17/((1/1000)*(Irr!AN17+Irr!BL17)),IF(AND(Irr!P17=".",Irr!AN17=".",Irr!BL17&lt;&gt;"."),dir!Q17/((1/1000)*(Irr!BL17)),IF(AND(Irr!P17=".",Irr!AN17&lt;&gt;".",Irr!BL17="."),dir!Q17/((1/1000)*(Irr!AN17)),IF(AND(Irr!P17&lt;&gt;".",Irr!AN17=".",Irr!BL17="."),dir!Q17/((1/1000)*(Irr!P17)),IF(AND(Irr!P17=".",Irr!AN17=".",Irr!BL17="."),dir!Q17*1000)))))))),".")</f>
        <v>2993.847965839891</v>
      </c>
      <c r="R17" s="76">
        <f>IFERROR(IF(AND(Irr!Q17&lt;&gt;".",Irr!AO17&lt;&gt;".",Irr!BM17&lt;&gt;"."),dir!R17/((1/1000)*(Irr!Q17+Irr!AO17+Irr!BM17)),IF(AND(Irr!Q17&lt;&gt;".",Irr!AO17&lt;&gt;".",Irr!BM17="."),dir!R17/((1/1000)*(Irr!Q17+Irr!AO17)),IF(AND(Irr!Q17&lt;&gt;".",Irr!AO17=".",Irr!BM17&lt;&gt;"."),dir!R17/((1/1000)*(Irr!Q17+Irr!BM17)),IF(AND(Irr!Q17=".",Irr!AO17&lt;&gt;".",Irr!BM17&lt;&gt;"."),dir!R17/((1/1000)*(Irr!AO17+Irr!BM17)),IF(AND(Irr!Q17=".",Irr!AO17=".",Irr!BM17&lt;&gt;"."),dir!R17/((1/1000)*(Irr!BM17)),IF(AND(Irr!Q17=".",Irr!AO17&lt;&gt;".",Irr!BM17="."),dir!R17/((1/1000)*(Irr!AO17)),IF(AND(Irr!Q17&lt;&gt;".",Irr!AO17=".",Irr!BM17="."),dir!R17/((1/1000)*(Irr!Q17)),IF(AND(Irr!Q17=".",Irr!AO17=".",Irr!BM17="."),dir!R17*1000)))))))),".")</f>
        <v>493.47346819576768</v>
      </c>
      <c r="S17" s="76">
        <f>IFERROR(IF(AND(Irr!R17&lt;&gt;".",Irr!AP17&lt;&gt;".",Irr!BN17&lt;&gt;"."),dir!S17/((1/1000)*(Irr!R17+Irr!AP17+Irr!BN17)),IF(AND(Irr!R17&lt;&gt;".",Irr!AP17&lt;&gt;".",Irr!BN17="."),dir!S17/((1/1000)*(Irr!R17+Irr!AP17)),IF(AND(Irr!R17&lt;&gt;".",Irr!AP17=".",Irr!BN17&lt;&gt;"."),dir!S17/((1/1000)*(Irr!R17+Irr!BN17)),IF(AND(Irr!R17=".",Irr!AP17&lt;&gt;".",Irr!BN17&lt;&gt;"."),dir!S17/((1/1000)*(Irr!AP17+Irr!BN17)),IF(AND(Irr!R17=".",Irr!AP17=".",Irr!BN17&lt;&gt;"."),dir!S17/((1/1000)*(Irr!BN17)),IF(AND(Irr!R17=".",Irr!AP17&lt;&gt;".",Irr!BN17="."),dir!S17/((1/1000)*(Irr!AP17)),IF(AND(Irr!R17&lt;&gt;".",Irr!AP17=".",Irr!BN17="."),dir!S17/((1/1000)*(Irr!R17)),IF(AND(Irr!R17=".",Irr!AP17=".",Irr!BN17="."),dir!S17*1000)))))))),".")</f>
        <v>1024.6893168948523</v>
      </c>
      <c r="T17" s="76">
        <f>IFERROR(IF(AND(Irr!S17&lt;&gt;".",Irr!AQ17&lt;&gt;".",Irr!BO17&lt;&gt;"."),dir!T17/((1/1000)*(Irr!S17+Irr!AQ17+Irr!BO17)),IF(AND(Irr!S17&lt;&gt;".",Irr!AQ17&lt;&gt;".",Irr!BO17="."),dir!T17/((1/1000)*(Irr!S17+Irr!AQ17)),IF(AND(Irr!S17&lt;&gt;".",Irr!AQ17=".",Irr!BO17&lt;&gt;"."),dir!T17/((1/1000)*(Irr!S17+Irr!BO17)),IF(AND(Irr!S17=".",Irr!AQ17&lt;&gt;".",Irr!BO17&lt;&gt;"."),dir!T17/((1/1000)*(Irr!AQ17+Irr!BO17)),IF(AND(Irr!S17=".",Irr!AQ17=".",Irr!BO17&lt;&gt;"."),dir!T17/((1/1000)*(Irr!BO17)),IF(AND(Irr!S17=".",Irr!AQ17&lt;&gt;".",Irr!BO17="."),dir!T17/((1/1000)*(Irr!AQ17)),IF(AND(Irr!S17&lt;&gt;".",Irr!AQ17=".",Irr!BO17="."),dir!T17/((1/1000)*(Irr!S17)),IF(AND(Irr!S17=".",Irr!AQ17=".",Irr!BO17="."),dir!T17*1000)))))))),".")</f>
        <v>1705.2771054324639</v>
      </c>
      <c r="U17" s="76">
        <f>IFERROR(IF(AND(Irr!T17&lt;&gt;".",Irr!AR17&lt;&gt;".",Irr!BP17&lt;&gt;"."),dir!U17/((1/1000)*(Irr!T17+Irr!AR17+Irr!BP17)),IF(AND(Irr!T17&lt;&gt;".",Irr!AR17&lt;&gt;".",Irr!BP17="."),dir!U17/((1/1000)*(Irr!T17+Irr!AR17)),IF(AND(Irr!T17&lt;&gt;".",Irr!AR17=".",Irr!BP17&lt;&gt;"."),dir!U17/((1/1000)*(Irr!T17+Irr!BP17)),IF(AND(Irr!T17=".",Irr!AR17&lt;&gt;".",Irr!BP17&lt;&gt;"."),dir!U17/((1/1000)*(Irr!AR17+Irr!BP17)),IF(AND(Irr!T17=".",Irr!AR17=".",Irr!BP17&lt;&gt;"."),dir!U17/((1/1000)*(Irr!BP17)),IF(AND(Irr!T17=".",Irr!AR17&lt;&gt;".",Irr!BP17="."),dir!U17/((1/1000)*(Irr!AR17)),IF(AND(Irr!T17&lt;&gt;".",Irr!AR17=".",Irr!BP17="."),dir!U17/((1/1000)*(Irr!T17)),IF(AND(Irr!T17=".",Irr!AR17=".",Irr!BP17="."),dir!U17*1000)))))))),".")</f>
        <v>555.30888332555912</v>
      </c>
      <c r="V17" s="76">
        <f>IFERROR(IF(AND(Irr!U17&lt;&gt;".",Irr!AS17&lt;&gt;".",Irr!BQ17&lt;&gt;"."),dir!V17/((1/1000)*(Irr!U17+Irr!AS17+Irr!BQ17)),IF(AND(Irr!U17&lt;&gt;".",Irr!AS17&lt;&gt;".",Irr!BQ17="."),dir!V17/((1/1000)*(Irr!U17+Irr!AS17)),IF(AND(Irr!U17&lt;&gt;".",Irr!AS17=".",Irr!BQ17&lt;&gt;"."),dir!V17/((1/1000)*(Irr!U17+Irr!BQ17)),IF(AND(Irr!U17=".",Irr!AS17&lt;&gt;".",Irr!BQ17&lt;&gt;"."),dir!V17/((1/1000)*(Irr!AS17+Irr!BQ17)),IF(AND(Irr!U17=".",Irr!AS17=".",Irr!BQ17&lt;&gt;"."),dir!V17/((1/1000)*(Irr!BQ17)),IF(AND(Irr!U17=".",Irr!AS17&lt;&gt;".",Irr!BQ17="."),dir!V17/((1/1000)*(Irr!AS17)),IF(AND(Irr!U17&lt;&gt;".",Irr!AS17=".",Irr!BQ17="."),dir!V17/((1/1000)*(Irr!U17)),IF(AND(Irr!U17=".",Irr!AS17=".",Irr!BQ17="."),dir!V17*1000)))))))),".")</f>
        <v>899.67690224402679</v>
      </c>
      <c r="W17" s="76">
        <f>IFERROR(IF(AND(Irr!V17&lt;&gt;".",Irr!AT17&lt;&gt;".",Irr!BR17&lt;&gt;"."),dir!W17/((1/1000)*(Irr!V17+Irr!AT17+Irr!BR17)),IF(AND(Irr!V17&lt;&gt;".",Irr!AT17&lt;&gt;".",Irr!BR17="."),dir!W17/((1/1000)*(Irr!V17+Irr!AT17)),IF(AND(Irr!V17&lt;&gt;".",Irr!AT17=".",Irr!BR17&lt;&gt;"."),dir!W17/((1/1000)*(Irr!V17+Irr!BR17)),IF(AND(Irr!V17=".",Irr!AT17&lt;&gt;".",Irr!BR17&lt;&gt;"."),dir!W17/((1/1000)*(Irr!AT17+Irr!BR17)),IF(AND(Irr!V17=".",Irr!AT17=".",Irr!BR17&lt;&gt;"."),dir!W17/((1/1000)*(Irr!BR17)),IF(AND(Irr!V17=".",Irr!AT17&lt;&gt;".",Irr!BR17="."),dir!W17/((1/1000)*(Irr!AT17)),IF(AND(Irr!V17&lt;&gt;".",Irr!AT17=".",Irr!BR17="."),dir!W17/((1/1000)*(Irr!V17)),IF(AND(Irr!V17=".",Irr!AT17=".",Irr!BR17="."),dir!W17*1000)))))))),".")</f>
        <v>1183.5783885191615</v>
      </c>
      <c r="X17" s="76">
        <f>IFERROR(IF(AND(Irr!W17&lt;&gt;".",Irr!AU17&lt;&gt;".",Irr!BS17&lt;&gt;"."),dir!X17/((1/1000)*(Irr!W17+Irr!AU17+Irr!BS17)),IF(AND(Irr!W17&lt;&gt;".",Irr!AU17&lt;&gt;".",Irr!BS17="."),dir!X17/((1/1000)*(Irr!W17+Irr!AU17)),IF(AND(Irr!W17&lt;&gt;".",Irr!AU17=".",Irr!BS17&lt;&gt;"."),dir!X17/((1/1000)*(Irr!W17+Irr!BS17)),IF(AND(Irr!W17=".",Irr!AU17&lt;&gt;".",Irr!BS17&lt;&gt;"."),dir!X17/((1/1000)*(Irr!AU17+Irr!BS17)),IF(AND(Irr!W17=".",Irr!AU17=".",Irr!BS17&lt;&gt;"."),dir!X17/((1/1000)*(Irr!BS17)),IF(AND(Irr!W17=".",Irr!AU17&lt;&gt;".",Irr!BS17="."),dir!X17/((1/1000)*(Irr!AU17)),IF(AND(Irr!W17&lt;&gt;".",Irr!AU17=".",Irr!BS17="."),dir!X17/((1/1000)*(Irr!W17)),IF(AND(Irr!W17=".",Irr!AU17=".",Irr!BS17="."),dir!X17*1000)))))))),".")</f>
        <v>1531.145042951365</v>
      </c>
      <c r="Y17" s="76">
        <f>IFERROR(IF(AND(Irr!X17&lt;&gt;".",Irr!AV17&lt;&gt;".",Irr!BT17&lt;&gt;"."),dir!Y17/((1/1000)*(Irr!X17+Irr!AV17+Irr!BT17)),IF(AND(Irr!X17&lt;&gt;".",Irr!AV17&lt;&gt;".",Irr!BT17="."),dir!Y17/((1/1000)*(Irr!X17+Irr!AV17)),IF(AND(Irr!X17&lt;&gt;".",Irr!AV17=".",Irr!BT17&lt;&gt;"."),dir!Y17/((1/1000)*(Irr!X17+Irr!BT17)),IF(AND(Irr!X17=".",Irr!AV17&lt;&gt;".",Irr!BT17&lt;&gt;"."),dir!Y17/((1/1000)*(Irr!AV17+Irr!BT17)),IF(AND(Irr!X17=".",Irr!AV17=".",Irr!BT17&lt;&gt;"."),dir!Y17/((1/1000)*(Irr!BT17)),IF(AND(Irr!X17=".",Irr!AV17&lt;&gt;".",Irr!BT17="."),dir!Y17/((1/1000)*(Irr!AV17)),IF(AND(Irr!X17&lt;&gt;".",Irr!AV17=".",Irr!BT17="."),dir!Y17/((1/1000)*(Irr!X17)),IF(AND(Irr!X17=".",Irr!AV17=".",Irr!BT17="."),dir!Y17*1000)))))))),".")</f>
        <v>780.03754332858909</v>
      </c>
      <c r="Z17" s="76">
        <f>IFERROR(IF(AND(Irr!Y17&lt;&gt;".",Irr!AW17&lt;&gt;".",Irr!BU17&lt;&gt;"."),dir!Z17/((1/1000)*(Irr!Y17+Irr!AW17+Irr!BU17)),IF(AND(Irr!Y17&lt;&gt;".",Irr!AW17&lt;&gt;".",Irr!BU17="."),dir!Z17/((1/1000)*(Irr!Y17+Irr!AW17)),IF(AND(Irr!Y17&lt;&gt;".",Irr!AW17=".",Irr!BU17&lt;&gt;"."),dir!Z17/((1/1000)*(Irr!Y17+Irr!BU17)),IF(AND(Irr!Y17=".",Irr!AW17&lt;&gt;".",Irr!BU17&lt;&gt;"."),dir!Z17/((1/1000)*(Irr!AW17+Irr!BU17)),IF(AND(Irr!Y17=".",Irr!AW17=".",Irr!BU17&lt;&gt;"."),dir!Z17/((1/1000)*(Irr!BU17)),IF(AND(Irr!Y17=".",Irr!AW17&lt;&gt;".",Irr!BU17="."),dir!Z17/((1/1000)*(Irr!AW17)),IF(AND(Irr!Y17&lt;&gt;".",Irr!AW17=".",Irr!BU17="."),dir!Z17/((1/1000)*(Irr!Y17)),IF(AND(Irr!Y17=".",Irr!AW17=".",Irr!BU17="."),dir!Z17*1000)))))))),".")</f>
        <v>286.06099855440056</v>
      </c>
      <c r="AA17" s="76">
        <f>IFERROR(IF(AND(Irr!Z17&lt;&gt;".",Irr!AX17&lt;&gt;".",Irr!BV17&lt;&gt;"."),dir!AA17/((1/1000)*(Irr!Z17+Irr!AX17+Irr!BV17)),IF(AND(Irr!Z17&lt;&gt;".",Irr!AX17&lt;&gt;".",Irr!BV17="."),dir!AA17/((1/1000)*(Irr!Z17+Irr!AX17)),IF(AND(Irr!Z17&lt;&gt;".",Irr!AX17=".",Irr!BV17&lt;&gt;"."),dir!AA17/((1/1000)*(Irr!Z17+Irr!BV17)),IF(AND(Irr!Z17=".",Irr!AX17&lt;&gt;".",Irr!BV17&lt;&gt;"."),dir!AA17/((1/1000)*(Irr!AX17+Irr!BV17)),IF(AND(Irr!Z17=".",Irr!AX17=".",Irr!BV17&lt;&gt;"."),dir!AA17/((1/1000)*(Irr!BV17)),IF(AND(Irr!Z17=".",Irr!AX17&lt;&gt;".",Irr!BV17="."),dir!AA17/((1/1000)*(Irr!AX17)),IF(AND(Irr!Z17&lt;&gt;".",Irr!AX17=".",Irr!BV17="."),dir!AA17/((1/1000)*(Irr!Z17)),IF(AND(Irr!Z17=".",Irr!AX17=".",Irr!BV17="."),dir!AA17*1000)))))))),".")</f>
        <v>214.95086374551349</v>
      </c>
      <c r="AB17" s="76">
        <f t="shared" si="15"/>
        <v>24.636181774290602</v>
      </c>
      <c r="AC17" s="76">
        <f>IFERROR(IF(AND(Irr!C17&lt;&gt;".",Irr!AA17&lt;&gt;".",Irr!AY17&lt;&gt;"."),dir!AC17/((1/1000)*(Irr!C17+Irr!AA17+Irr!AY17)),IF(AND(Irr!C17&lt;&gt;".",Irr!AA17&lt;&gt;".",Irr!AY17="."),dir!AC17/((1/1000)*(Irr!C17+Irr!AA17)),IF(AND(Irr!C17&lt;&gt;".",Irr!AA17=".",Irr!AY17&lt;&gt;"."),dir!AC17/((1/1000)*(Irr!C17+Irr!AY17)),IF(AND(Irr!C17=".",Irr!AA17&lt;&gt;".",Irr!AY17&lt;&gt;"."),dir!AC17/((1/1000)*(Irr!AA17+Irr!AY17)),IF(AND(Irr!C17=".",Irr!AA17=".",Irr!AY17&lt;&gt;"."),dir!AC17/((1/1000)*(Irr!AY17)),IF(AND(Irr!C17=".",Irr!AA17&lt;&gt;".",Irr!AY17="."),dir!AC17/((1/1000)*(Irr!AA17)),IF(AND(Irr!C17&lt;&gt;".",Irr!AA17=".",Irr!AY17="."),dir!AC17/((1/1000)*(Irr!C17)),IF(AND(Irr!C17=".",Irr!AA17=".",Irr!AY17="."),dir!AC17*1000)))))))),".")</f>
        <v>435.74675246195432</v>
      </c>
      <c r="AD17" s="76">
        <f>IFERROR(IF(AND(Irr!D17&lt;&gt;".",Irr!AB17&lt;&gt;".",Irr!AZ17&lt;&gt;"."),dir!AD17/((1/1000)*(Irr!D17+Irr!AB17+Irr!AZ17)),IF(AND(Irr!D17&lt;&gt;".",Irr!AB17&lt;&gt;".",Irr!AZ17="."),dir!AD17/((1/1000)*(Irr!D17+Irr!AB17)),IF(AND(Irr!D17&lt;&gt;".",Irr!AB17=".",Irr!AZ17&lt;&gt;"."),dir!AD17/((1/1000)*(Irr!D17+Irr!AZ17)),IF(AND(Irr!D17=".",Irr!AB17&lt;&gt;".",Irr!AZ17&lt;&gt;"."),dir!AD17/((1/1000)*(Irr!AB17+Irr!AZ17)),IF(AND(Irr!D17=".",Irr!AB17=".",Irr!AZ17&lt;&gt;"."),dir!AD17/((1/1000)*(Irr!AZ17)),IF(AND(Irr!D17=".",Irr!AB17&lt;&gt;".",Irr!AZ17="."),dir!AD17/((1/1000)*(Irr!AB17)),IF(AND(Irr!D17&lt;&gt;".",Irr!AB17=".",Irr!AZ17="."),dir!AD17/((1/1000)*(Irr!D17)),IF(AND(Irr!D17=".",Irr!AB17=".",Irr!AZ17="."),dir!AD17*1000)))))))),".")</f>
        <v>643.50237777974144</v>
      </c>
      <c r="AE17" s="76">
        <f>IFERROR(IF(AND(Irr!E17&lt;&gt;".",Irr!AC17&lt;&gt;".",Irr!BA17&lt;&gt;"."),dir!AE17/((1/1000)*(Irr!E17+Irr!AC17+Irr!BA17)),IF(AND(Irr!E17&lt;&gt;".",Irr!AC17&lt;&gt;".",Irr!BA17="."),dir!AE17/((1/1000)*(Irr!E17+Irr!AC17)),IF(AND(Irr!E17&lt;&gt;".",Irr!AC17=".",Irr!BA17&lt;&gt;"."),dir!AE17/((1/1000)*(Irr!E17+Irr!BA17)),IF(AND(Irr!E17=".",Irr!AC17&lt;&gt;".",Irr!BA17&lt;&gt;"."),dir!AE17/((1/1000)*(Irr!AC17+Irr!BA17)),IF(AND(Irr!E17=".",Irr!AC17=".",Irr!BA17&lt;&gt;"."),dir!AE17/((1/1000)*(Irr!BA17)),IF(AND(Irr!E17=".",Irr!AC17&lt;&gt;".",Irr!BA17="."),dir!AE17/((1/1000)*(Irr!AC17)),IF(AND(Irr!E17&lt;&gt;".",Irr!AC17=".",Irr!BA17="."),dir!AE17/((1/1000)*(Irr!E17)),IF(AND(Irr!E17=".",Irr!AC17=".",Irr!BA17="."),dir!AE17*1000)))))))),".")</f>
        <v>1198.1376170652402</v>
      </c>
      <c r="AF17" s="76">
        <f>IFERROR(IF(AND(Irr!F17&lt;&gt;".",Irr!AD17&lt;&gt;".",Irr!BB17&lt;&gt;"."),dir!AF17/((1/1000)*(Irr!F17+Irr!AD17+Irr!BB17)),IF(AND(Irr!F17&lt;&gt;".",Irr!AD17&lt;&gt;".",Irr!BB17="."),dir!AF17/((1/1000)*(Irr!F17+Irr!AD17)),IF(AND(Irr!F17&lt;&gt;".",Irr!AD17=".",Irr!BB17&lt;&gt;"."),dir!AF17/((1/1000)*(Irr!F17+Irr!BB17)),IF(AND(Irr!F17=".",Irr!AD17&lt;&gt;".",Irr!BB17&lt;&gt;"."),dir!AF17/((1/1000)*(Irr!AD17+Irr!BB17)),IF(AND(Irr!F17=".",Irr!AD17=".",Irr!BB17&lt;&gt;"."),dir!AF17/((1/1000)*(Irr!BB17)),IF(AND(Irr!F17=".",Irr!AD17&lt;&gt;".",Irr!BB17="."),dir!AF17/((1/1000)*(Irr!AD17)),IF(AND(Irr!F17&lt;&gt;".",Irr!AD17=".",Irr!BB17="."),dir!AF17/((1/1000)*(Irr!F17)),IF(AND(Irr!F17=".",Irr!AD17=".",Irr!BB17="."),dir!AF17*1000)))))))),".")</f>
        <v>1092.4462807619786</v>
      </c>
      <c r="AG17" s="76">
        <f>IFERROR(IF(AND(Irr!G17&lt;&gt;".",Irr!AE17&lt;&gt;".",Irr!BC17&lt;&gt;"."),dir!AG17/((1/1000)*(Irr!G17+Irr!AE17+Irr!BC17)),IF(AND(Irr!G17&lt;&gt;".",Irr!AE17&lt;&gt;".",Irr!BC17="."),dir!AG17/((1/1000)*(Irr!G17+Irr!AE17)),IF(AND(Irr!G17&lt;&gt;".",Irr!AE17=".",Irr!BC17&lt;&gt;"."),dir!AG17/((1/1000)*(Irr!G17+Irr!BC17)),IF(AND(Irr!G17=".",Irr!AE17&lt;&gt;".",Irr!BC17&lt;&gt;"."),dir!AG17/((1/1000)*(Irr!AE17+Irr!BC17)),IF(AND(Irr!G17=".",Irr!AE17=".",Irr!BC17&lt;&gt;"."),dir!AG17/((1/1000)*(Irr!BC17)),IF(AND(Irr!G17=".",Irr!AE17&lt;&gt;".",Irr!BC17="."),dir!AG17/((1/1000)*(Irr!AE17)),IF(AND(Irr!G17&lt;&gt;".",Irr!AE17=".",Irr!BC17="."),dir!AG17/((1/1000)*(Irr!G17)),IF(AND(Irr!G17=".",Irr!AE17=".",Irr!BC17="."),dir!AG17*1000)))))))),".")</f>
        <v>1087.0427503529588</v>
      </c>
      <c r="AH17" s="76">
        <f>IFERROR(IF(AND(Irr!H17&lt;&gt;".",Irr!AF17&lt;&gt;".",Irr!BD17&lt;&gt;"."),dir!AH17/((1/1000)*(Irr!H17+Irr!AF17+Irr!BD17)),IF(AND(Irr!H17&lt;&gt;".",Irr!AF17&lt;&gt;".",Irr!BD17="."),dir!AH17/((1/1000)*(Irr!H17+Irr!AF17)),IF(AND(Irr!H17&lt;&gt;".",Irr!AF17=".",Irr!BD17&lt;&gt;"."),dir!AH17/((1/1000)*(Irr!H17+Irr!BD17)),IF(AND(Irr!H17=".",Irr!AF17&lt;&gt;".",Irr!BD17&lt;&gt;"."),dir!AH17/((1/1000)*(Irr!AF17+Irr!BD17)),IF(AND(Irr!H17=".",Irr!AF17=".",Irr!BD17&lt;&gt;"."),dir!AH17/((1/1000)*(Irr!BD17)),IF(AND(Irr!H17=".",Irr!AF17&lt;&gt;".",Irr!BD17="."),dir!AH17/((1/1000)*(Irr!AF17)),IF(AND(Irr!H17&lt;&gt;".",Irr!AF17=".",Irr!BD17="."),dir!AH17/((1/1000)*(Irr!H17)),IF(AND(Irr!H17=".",Irr!AF17=".",Irr!BD17="."),dir!AH17*1000)))))))),".")</f>
        <v>303.75841319856073</v>
      </c>
      <c r="AI17" s="76">
        <f>IFERROR(IF(AND(Irr!I17&lt;&gt;".",Irr!AG17&lt;&gt;".",Irr!BE17&lt;&gt;"."),dir!AI17/((1/1000)*(Irr!I17+Irr!AG17+Irr!BE17)),IF(AND(Irr!I17&lt;&gt;".",Irr!AG17&lt;&gt;".",Irr!BE17="."),dir!AI17/((1/1000)*(Irr!I17+Irr!AG17)),IF(AND(Irr!I17&lt;&gt;".",Irr!AG17=".",Irr!BE17&lt;&gt;"."),dir!AI17/((1/1000)*(Irr!I17+Irr!BE17)),IF(AND(Irr!I17=".",Irr!AG17&lt;&gt;".",Irr!BE17&lt;&gt;"."),dir!AI17/((1/1000)*(Irr!AG17+Irr!BE17)),IF(AND(Irr!I17=".",Irr!AG17=".",Irr!BE17&lt;&gt;"."),dir!AI17/((1/1000)*(Irr!BE17)),IF(AND(Irr!I17=".",Irr!AG17&lt;&gt;".",Irr!BE17="."),dir!AI17/((1/1000)*(Irr!AG17)),IF(AND(Irr!I17&lt;&gt;".",Irr!AG17=".",Irr!BE17="."),dir!AI17/((1/1000)*(Irr!I17)),IF(AND(Irr!I17=".",Irr!AG17=".",Irr!BE17="."),dir!AI17*1000)))))))),".")</f>
        <v>1549.9270093659784</v>
      </c>
      <c r="AJ17" s="76">
        <f>IFERROR(IF(AND(Irr!J17&lt;&gt;".",Irr!AH17&lt;&gt;".",Irr!BF17&lt;&gt;"."),dir!AJ17/((1/1000)*(Irr!J17+Irr!AH17+Irr!BF17)),IF(AND(Irr!J17&lt;&gt;".",Irr!AH17&lt;&gt;".",Irr!BF17="."),dir!AJ17/((1/1000)*(Irr!J17+Irr!AH17)),IF(AND(Irr!J17&lt;&gt;".",Irr!AH17=".",Irr!BF17&lt;&gt;"."),dir!AJ17/((1/1000)*(Irr!J17+Irr!BF17)),IF(AND(Irr!J17=".",Irr!AH17&lt;&gt;".",Irr!BF17&lt;&gt;"."),dir!AJ17/((1/1000)*(Irr!AH17+Irr!BF17)),IF(AND(Irr!J17=".",Irr!AH17=".",Irr!BF17&lt;&gt;"."),dir!AJ17/((1/1000)*(Irr!BF17)),IF(AND(Irr!J17=".",Irr!AH17&lt;&gt;".",Irr!BF17="."),dir!AJ17/((1/1000)*(Irr!AH17)),IF(AND(Irr!J17&lt;&gt;".",Irr!AH17=".",Irr!BF17="."),dir!AJ17/((1/1000)*(Irr!J17)),IF(AND(Irr!J17=".",Irr!AH17=".",Irr!BF17="."),dir!AJ17*1000)))))))),".")</f>
        <v>125.93216940722526</v>
      </c>
      <c r="AK17" s="76">
        <f>IFERROR(IF(AND(Irr!K17&lt;&gt;".",Irr!AI17&lt;&gt;".",Irr!BG17&lt;&gt;"."),dir!AK17/((1/1000)*(Irr!K17+Irr!AI17+Irr!BG17)),IF(AND(Irr!K17&lt;&gt;".",Irr!AI17&lt;&gt;".",Irr!BG17="."),dir!AK17/((1/1000)*(Irr!K17+Irr!AI17)),IF(AND(Irr!K17&lt;&gt;".",Irr!AI17=".",Irr!BG17&lt;&gt;"."),dir!AK17/((1/1000)*(Irr!K17+Irr!BG17)),IF(AND(Irr!K17=".",Irr!AI17&lt;&gt;".",Irr!BG17&lt;&gt;"."),dir!AK17/((1/1000)*(Irr!AI17+Irr!BG17)),IF(AND(Irr!K17=".",Irr!AI17=".",Irr!BG17&lt;&gt;"."),dir!AK17/((1/1000)*(Irr!BG17)),IF(AND(Irr!K17=".",Irr!AI17&lt;&gt;".",Irr!BG17="."),dir!AK17/((1/1000)*(Irr!AI17)),IF(AND(Irr!K17&lt;&gt;".",Irr!AI17=".",Irr!BG17="."),dir!AK17/((1/1000)*(Irr!K17)),IF(AND(Irr!K17=".",Irr!AI17=".",Irr!BG17="."),dir!AK17*1000)))))))),".")</f>
        <v>535.23670604368976</v>
      </c>
      <c r="AL17" s="76">
        <f>IFERROR(IF(AND(Irr!L17&lt;&gt;".",Irr!AJ17&lt;&gt;".",Irr!BH17&lt;&gt;"."),dir!AL17/((1/1000)*(Irr!L17+Irr!AJ17+Irr!BH17)),IF(AND(Irr!L17&lt;&gt;".",Irr!AJ17&lt;&gt;".",Irr!BH17="."),dir!AL17/((1/1000)*(Irr!L17+Irr!AJ17)),IF(AND(Irr!L17&lt;&gt;".",Irr!AJ17=".",Irr!BH17&lt;&gt;"."),dir!AL17/((1/1000)*(Irr!L17+Irr!BH17)),IF(AND(Irr!L17=".",Irr!AJ17&lt;&gt;".",Irr!BH17&lt;&gt;"."),dir!AL17/((1/1000)*(Irr!AJ17+Irr!BH17)),IF(AND(Irr!L17=".",Irr!AJ17=".",Irr!BH17&lt;&gt;"."),dir!AL17/((1/1000)*(Irr!BH17)),IF(AND(Irr!L17=".",Irr!AJ17&lt;&gt;".",Irr!BH17="."),dir!AL17/((1/1000)*(Irr!AJ17)),IF(AND(Irr!L17&lt;&gt;".",Irr!AJ17=".",Irr!BH17="."),dir!AL17/((1/1000)*(Irr!L17)),IF(AND(Irr!L17=".",Irr!AJ17=".",Irr!BH17="."),dir!AL17*1000)))))))),".")</f>
        <v>716.56030423262075</v>
      </c>
      <c r="AM17" s="76">
        <f>IFERROR(IF(AND(Irr!M17&lt;&gt;".",Irr!AK17&lt;&gt;".",Irr!BI17&lt;&gt;"."),dir!AM17/((1/1000)*(Irr!M17+Irr!AK17+Irr!BI17)),IF(AND(Irr!M17&lt;&gt;".",Irr!AK17&lt;&gt;".",Irr!BI17="."),dir!AM17/((1/1000)*(Irr!M17+Irr!AK17)),IF(AND(Irr!M17&lt;&gt;".",Irr!AK17=".",Irr!BI17&lt;&gt;"."),dir!AM17/((1/1000)*(Irr!M17+Irr!BI17)),IF(AND(Irr!M17=".",Irr!AK17&lt;&gt;".",Irr!BI17&lt;&gt;"."),dir!AM17/((1/1000)*(Irr!AK17+Irr!BI17)),IF(AND(Irr!M17=".",Irr!AK17=".",Irr!BI17&lt;&gt;"."),dir!AM17/((1/1000)*(Irr!BI17)),IF(AND(Irr!M17=".",Irr!AK17&lt;&gt;".",Irr!BI17="."),dir!AM17/((1/1000)*(Irr!AK17)),IF(AND(Irr!M17&lt;&gt;".",Irr!AK17=".",Irr!BI17="."),dir!AM17/((1/1000)*(Irr!M17)),IF(AND(Irr!M17=".",Irr!AK17=".",Irr!BI17="."),dir!AM17*1000)))))))),".")</f>
        <v>649.08326484179292</v>
      </c>
      <c r="AN17" s="76">
        <f>IFERROR(IF(AND(Irr!N17&lt;&gt;".",Irr!AL17&lt;&gt;".",Irr!BJ17&lt;&gt;"."),dir!AN17/((1/1000)*(Irr!N17+Irr!AL17+Irr!BJ17)),IF(AND(Irr!N17&lt;&gt;".",Irr!AL17&lt;&gt;".",Irr!BJ17="."),dir!AN17/((1/1000)*(Irr!N17+Irr!AL17)),IF(AND(Irr!N17&lt;&gt;".",Irr!AL17=".",Irr!BJ17&lt;&gt;"."),dir!AN17/((1/1000)*(Irr!N17+Irr!BJ17)),IF(AND(Irr!N17=".",Irr!AL17&lt;&gt;".",Irr!BJ17&lt;&gt;"."),dir!AN17/((1/1000)*(Irr!AL17+Irr!BJ17)),IF(AND(Irr!N17=".",Irr!AL17=".",Irr!BJ17&lt;&gt;"."),dir!AN17/((1/1000)*(Irr!BJ17)),IF(AND(Irr!N17=".",Irr!AL17&lt;&gt;".",Irr!BJ17="."),dir!AN17/((1/1000)*(Irr!AL17)),IF(AND(Irr!N17&lt;&gt;".",Irr!AL17=".",Irr!BJ17="."),dir!AN17/((1/1000)*(Irr!N17)),IF(AND(Irr!N17=".",Irr!AL17=".",Irr!BJ17="."),dir!AN17*1000)))))))),".")</f>
        <v>1250.0051713036139</v>
      </c>
      <c r="AO17" s="76">
        <f>IFERROR(IF(AND(Irr!O17&lt;&gt;".",Irr!AM17&lt;&gt;".",Irr!BK17&lt;&gt;"."),dir!AO17/((1/1000)*(Irr!O17+Irr!AM17+Irr!BK17)),IF(AND(Irr!O17&lt;&gt;".",Irr!AM17&lt;&gt;".",Irr!BK17="."),dir!AO17/((1/1000)*(Irr!O17+Irr!AM17)),IF(AND(Irr!O17&lt;&gt;".",Irr!AM17=".",Irr!BK17&lt;&gt;"."),dir!AO17/((1/1000)*(Irr!O17+Irr!BK17)),IF(AND(Irr!O17=".",Irr!AM17&lt;&gt;".",Irr!BK17&lt;&gt;"."),dir!AO17/((1/1000)*(Irr!AM17+Irr!BK17)),IF(AND(Irr!O17=".",Irr!AM17=".",Irr!BK17&lt;&gt;"."),dir!AO17/((1/1000)*(Irr!BK17)),IF(AND(Irr!O17=".",Irr!AM17&lt;&gt;".",Irr!BK17="."),dir!AO17/((1/1000)*(Irr!AM17)),IF(AND(Irr!O17&lt;&gt;".",Irr!AM17=".",Irr!BK17="."),dir!AO17/((1/1000)*(Irr!O17)),IF(AND(Irr!O17=".",Irr!AM17=".",Irr!BK17="."),dir!AO17*1000)))))))),".")</f>
        <v>1331.6724577833618</v>
      </c>
      <c r="AP17" s="76">
        <f>IFERROR(IF(AND(Irr!P17&lt;&gt;".",Irr!AN17&lt;&gt;".",Irr!BL17&lt;&gt;"."),dir!AP17/((1/1000)*(Irr!P17+Irr!AN17+Irr!BL17)),IF(AND(Irr!P17&lt;&gt;".",Irr!AN17&lt;&gt;".",Irr!BL17="."),dir!AP17/((1/1000)*(Irr!P17+Irr!AN17)),IF(AND(Irr!P17&lt;&gt;".",Irr!AN17=".",Irr!BL17&lt;&gt;"."),dir!AP17/((1/1000)*(Irr!P17+Irr!BL17)),IF(AND(Irr!P17=".",Irr!AN17&lt;&gt;".",Irr!BL17&lt;&gt;"."),dir!AP17/((1/1000)*(Irr!AN17+Irr!BL17)),IF(AND(Irr!P17=".",Irr!AN17=".",Irr!BL17&lt;&gt;"."),dir!AP17/((1/1000)*(Irr!BL17)),IF(AND(Irr!P17=".",Irr!AN17&lt;&gt;".",Irr!BL17="."),dir!AP17/((1/1000)*(Irr!AN17)),IF(AND(Irr!P17&lt;&gt;".",Irr!AN17=".",Irr!BL17="."),dir!AP17/((1/1000)*(Irr!P17)),IF(AND(Irr!P17=".",Irr!AN17=".",Irr!BL17="."),dir!AP17*1000)))))))),".")</f>
        <v>1456.098783385765</v>
      </c>
      <c r="AQ17" s="76">
        <f>IFERROR(IF(AND(Irr!Q17&lt;&gt;".",Irr!AO17&lt;&gt;".",Irr!BM17&lt;&gt;"."),dir!AQ17/((1/1000)*(Irr!Q17+Irr!AO17+Irr!BM17)),IF(AND(Irr!Q17&lt;&gt;".",Irr!AO17&lt;&gt;".",Irr!BM17="."),dir!AQ17/((1/1000)*(Irr!Q17+Irr!AO17)),IF(AND(Irr!Q17&lt;&gt;".",Irr!AO17=".",Irr!BM17&lt;&gt;"."),dir!AQ17/((1/1000)*(Irr!Q17+Irr!BM17)),IF(AND(Irr!Q17=".",Irr!AO17&lt;&gt;".",Irr!BM17&lt;&gt;"."),dir!AQ17/((1/1000)*(Irr!AO17+Irr!BM17)),IF(AND(Irr!Q17=".",Irr!AO17=".",Irr!BM17&lt;&gt;"."),dir!AQ17/((1/1000)*(Irr!BM17)),IF(AND(Irr!Q17=".",Irr!AO17&lt;&gt;".",Irr!BM17="."),dir!AQ17/((1/1000)*(Irr!AO17)),IF(AND(Irr!Q17&lt;&gt;".",Irr!AO17=".",Irr!BM17="."),dir!AQ17/((1/1000)*(Irr!Q17)),IF(AND(Irr!Q17=".",Irr!AO17=".",Irr!BM17="."),dir!AQ17*1000)))))))),".")</f>
        <v>358.85479165782147</v>
      </c>
      <c r="AR17" s="76">
        <f>IFERROR(IF(AND(Irr!R17&lt;&gt;".",Irr!AP17&lt;&gt;".",Irr!BN17&lt;&gt;"."),dir!AR17/((1/1000)*(Irr!R17+Irr!AP17+Irr!BN17)),IF(AND(Irr!R17&lt;&gt;".",Irr!AP17&lt;&gt;".",Irr!BN17="."),dir!AR17/((1/1000)*(Irr!R17+Irr!AP17)),IF(AND(Irr!R17&lt;&gt;".",Irr!AP17=".",Irr!BN17&lt;&gt;"."),dir!AR17/((1/1000)*(Irr!R17+Irr!BN17)),IF(AND(Irr!R17=".",Irr!AP17&lt;&gt;".",Irr!BN17&lt;&gt;"."),dir!AR17/((1/1000)*(Irr!AP17+Irr!BN17)),IF(AND(Irr!R17=".",Irr!AP17=".",Irr!BN17&lt;&gt;"."),dir!AR17/((1/1000)*(Irr!BN17)),IF(AND(Irr!R17=".",Irr!AP17&lt;&gt;".",Irr!BN17="."),dir!AR17/((1/1000)*(Irr!AP17)),IF(AND(Irr!R17&lt;&gt;".",Irr!AP17=".",Irr!BN17="."),dir!AR17/((1/1000)*(Irr!R17)),IF(AND(Irr!R17=".",Irr!AP17=".",Irr!BN17="."),dir!AR17*1000)))))))),".")</f>
        <v>589.95523441079922</v>
      </c>
      <c r="AS17" s="76">
        <f>IFERROR(IF(AND(Irr!S17&lt;&gt;".",Irr!AQ17&lt;&gt;".",Irr!BO17&lt;&gt;"."),dir!AS17/((1/1000)*(Irr!S17+Irr!AQ17+Irr!BO17)),IF(AND(Irr!S17&lt;&gt;".",Irr!AQ17&lt;&gt;".",Irr!BO17="."),dir!AS17/((1/1000)*(Irr!S17+Irr!AQ17)),IF(AND(Irr!S17&lt;&gt;".",Irr!AQ17=".",Irr!BO17&lt;&gt;"."),dir!AS17/((1/1000)*(Irr!S17+Irr!BO17)),IF(AND(Irr!S17=".",Irr!AQ17&lt;&gt;".",Irr!BO17&lt;&gt;"."),dir!AS17/((1/1000)*(Irr!AQ17+Irr!BO17)),IF(AND(Irr!S17=".",Irr!AQ17=".",Irr!BO17&lt;&gt;"."),dir!AS17/((1/1000)*(Irr!BO17)),IF(AND(Irr!S17=".",Irr!AQ17&lt;&gt;".",Irr!BO17="."),dir!AS17/((1/1000)*(Irr!AQ17)),IF(AND(Irr!S17&lt;&gt;".",Irr!AQ17=".",Irr!BO17="."),dir!AS17/((1/1000)*(Irr!S17)),IF(AND(Irr!S17=".",Irr!AQ17=".",Irr!BO17="."),dir!AS17*1000)))))))),".")</f>
        <v>1228.6180489219817</v>
      </c>
      <c r="AT17" s="76">
        <f>IFERROR(IF(AND(Irr!T17&lt;&gt;".",Irr!AR17&lt;&gt;".",Irr!BP17&lt;&gt;"."),dir!AT17/((1/1000)*(Irr!T17+Irr!AR17+Irr!BP17)),IF(AND(Irr!T17&lt;&gt;".",Irr!AR17&lt;&gt;".",Irr!BP17="."),dir!AT17/((1/1000)*(Irr!T17+Irr!AR17)),IF(AND(Irr!T17&lt;&gt;".",Irr!AR17=".",Irr!BP17&lt;&gt;"."),dir!AT17/((1/1000)*(Irr!T17+Irr!BP17)),IF(AND(Irr!T17=".",Irr!AR17&lt;&gt;".",Irr!BP17&lt;&gt;"."),dir!AT17/((1/1000)*(Irr!AR17+Irr!BP17)),IF(AND(Irr!T17=".",Irr!AR17=".",Irr!BP17&lt;&gt;"."),dir!AT17/((1/1000)*(Irr!BP17)),IF(AND(Irr!T17=".",Irr!AR17&lt;&gt;".",Irr!BP17="."),dir!AT17/((1/1000)*(Irr!AR17)),IF(AND(Irr!T17&lt;&gt;".",Irr!AR17=".",Irr!BP17="."),dir!AT17/((1/1000)*(Irr!T17)),IF(AND(Irr!T17=".",Irr!AR17=".",Irr!BP17="."),dir!AT17*1000)))))))),".")</f>
        <v>308.15611256296557</v>
      </c>
      <c r="AU17" s="76">
        <f>IFERROR(IF(AND(Irr!U17&lt;&gt;".",Irr!AS17&lt;&gt;".",Irr!BQ17&lt;&gt;"."),dir!AU17/((1/1000)*(Irr!U17+Irr!AS17+Irr!BQ17)),IF(AND(Irr!U17&lt;&gt;".",Irr!AS17&lt;&gt;".",Irr!BQ17="."),dir!AU17/((1/1000)*(Irr!U17+Irr!AS17)),IF(AND(Irr!U17&lt;&gt;".",Irr!AS17=".",Irr!BQ17&lt;&gt;"."),dir!AU17/((1/1000)*(Irr!U17+Irr!BQ17)),IF(AND(Irr!U17=".",Irr!AS17&lt;&gt;".",Irr!BQ17&lt;&gt;"."),dir!AU17/((1/1000)*(Irr!AS17+Irr!BQ17)),IF(AND(Irr!U17=".",Irr!AS17=".",Irr!BQ17&lt;&gt;"."),dir!AU17/((1/1000)*(Irr!BQ17)),IF(AND(Irr!U17=".",Irr!AS17&lt;&gt;".",Irr!BQ17="."),dir!AU17/((1/1000)*(Irr!AS17)),IF(AND(Irr!U17&lt;&gt;".",Irr!AS17=".",Irr!BQ17="."),dir!AU17/((1/1000)*(Irr!U17)),IF(AND(Irr!U17=".",Irr!AS17=".",Irr!BQ17="."),dir!AU17*1000)))))))),".")</f>
        <v>569.82445893826321</v>
      </c>
      <c r="AV17" s="76">
        <f>IFERROR(IF(AND(Irr!V17&lt;&gt;".",Irr!AT17&lt;&gt;".",Irr!BR17&lt;&gt;"."),dir!AV17/((1/1000)*(Irr!V17+Irr!AT17+Irr!BR17)),IF(AND(Irr!V17&lt;&gt;".",Irr!AT17&lt;&gt;".",Irr!BR17="."),dir!AV17/((1/1000)*(Irr!V17+Irr!AT17)),IF(AND(Irr!V17&lt;&gt;".",Irr!AT17=".",Irr!BR17&lt;&gt;"."),dir!AV17/((1/1000)*(Irr!V17+Irr!BR17)),IF(AND(Irr!V17=".",Irr!AT17&lt;&gt;".",Irr!BR17&lt;&gt;"."),dir!AV17/((1/1000)*(Irr!AT17+Irr!BR17)),IF(AND(Irr!V17=".",Irr!AT17=".",Irr!BR17&lt;&gt;"."),dir!AV17/((1/1000)*(Irr!BR17)),IF(AND(Irr!V17=".",Irr!AT17&lt;&gt;".",Irr!BR17="."),dir!AV17/((1/1000)*(Irr!AT17)),IF(AND(Irr!V17&lt;&gt;".",Irr!AT17=".",Irr!BR17="."),dir!AV17/((1/1000)*(Irr!V17)),IF(AND(Irr!V17=".",Irr!AT17=".",Irr!BR17="."),dir!AV17*1000)))))))),".")</f>
        <v>732.02890868766542</v>
      </c>
      <c r="AW17" s="76">
        <f>IFERROR(IF(AND(Irr!W17&lt;&gt;".",Irr!AU17&lt;&gt;".",Irr!BS17&lt;&gt;"."),dir!AW17/((1/1000)*(Irr!W17+Irr!AU17+Irr!BS17)),IF(AND(Irr!W17&lt;&gt;".",Irr!AU17&lt;&gt;".",Irr!BS17="."),dir!AW17/((1/1000)*(Irr!W17+Irr!AU17)),IF(AND(Irr!W17&lt;&gt;".",Irr!AU17=".",Irr!BS17&lt;&gt;"."),dir!AW17/((1/1000)*(Irr!W17+Irr!BS17)),IF(AND(Irr!W17=".",Irr!AU17&lt;&gt;".",Irr!BS17&lt;&gt;"."),dir!AW17/((1/1000)*(Irr!AU17+Irr!BS17)),IF(AND(Irr!W17=".",Irr!AU17=".",Irr!BS17&lt;&gt;"."),dir!AW17/((1/1000)*(Irr!BS17)),IF(AND(Irr!W17=".",Irr!AU17&lt;&gt;".",Irr!BS17="."),dir!AW17/((1/1000)*(Irr!AU17)),IF(AND(Irr!W17&lt;&gt;".",Irr!AU17=".",Irr!BS17="."),dir!AW17/((1/1000)*(Irr!W17)),IF(AND(Irr!W17=".",Irr!AU17=".",Irr!BS17="."),dir!AW17*1000)))))))),".")</f>
        <v>963.2753154831388</v>
      </c>
      <c r="AX17" s="76">
        <f>IFERROR(IF(AND(Irr!X17&lt;&gt;".",Irr!AV17&lt;&gt;".",Irr!BT17&lt;&gt;"."),dir!AX17/((1/1000)*(Irr!X17+Irr!AV17+Irr!BT17)),IF(AND(Irr!X17&lt;&gt;".",Irr!AV17&lt;&gt;".",Irr!BT17="."),dir!AX17/((1/1000)*(Irr!X17+Irr!AV17)),IF(AND(Irr!X17&lt;&gt;".",Irr!AV17=".",Irr!BT17&lt;&gt;"."),dir!AX17/((1/1000)*(Irr!X17+Irr!BT17)),IF(AND(Irr!X17=".",Irr!AV17&lt;&gt;".",Irr!BT17&lt;&gt;"."),dir!AX17/((1/1000)*(Irr!AV17+Irr!BT17)),IF(AND(Irr!X17=".",Irr!AV17=".",Irr!BT17&lt;&gt;"."),dir!AX17/((1/1000)*(Irr!BT17)),IF(AND(Irr!X17=".",Irr!AV17&lt;&gt;".",Irr!BT17="."),dir!AX17/((1/1000)*(Irr!AV17)),IF(AND(Irr!X17&lt;&gt;".",Irr!AV17=".",Irr!BT17="."),dir!AX17/((1/1000)*(Irr!X17)),IF(AND(Irr!X17=".",Irr!AV17=".",Irr!BT17="."),dir!AX17*1000)))))))),".")</f>
        <v>407.8726290389979</v>
      </c>
      <c r="AY17" s="76">
        <f>IFERROR(IF(AND(Irr!Y17&lt;&gt;".",Irr!AW17&lt;&gt;".",Irr!BU17&lt;&gt;"."),dir!AY17/((1/1000)*(Irr!Y17+Irr!AW17+Irr!BU17)),IF(AND(Irr!Y17&lt;&gt;".",Irr!AW17&lt;&gt;".",Irr!BU17="."),dir!AY17/((1/1000)*(Irr!Y17+Irr!AW17)),IF(AND(Irr!Y17&lt;&gt;".",Irr!AW17=".",Irr!BU17&lt;&gt;"."),dir!AY17/((1/1000)*(Irr!Y17+Irr!BU17)),IF(AND(Irr!Y17=".",Irr!AW17&lt;&gt;".",Irr!BU17&lt;&gt;"."),dir!AY17/((1/1000)*(Irr!AW17+Irr!BU17)),IF(AND(Irr!Y17=".",Irr!AW17=".",Irr!BU17&lt;&gt;"."),dir!AY17/((1/1000)*(Irr!BU17)),IF(AND(Irr!Y17=".",Irr!AW17&lt;&gt;".",Irr!BU17="."),dir!AY17/((1/1000)*(Irr!AW17)),IF(AND(Irr!Y17&lt;&gt;".",Irr!AW17=".",Irr!BU17="."),dir!AY17/((1/1000)*(Irr!Y17)),IF(AND(Irr!Y17=".",Irr!AW17=".",Irr!BU17="."),dir!AY17*1000)))))))),".")</f>
        <v>145.51079695252747</v>
      </c>
      <c r="AZ17" s="76">
        <f>IFERROR(IF(AND(Irr!Z17&lt;&gt;".",Irr!AX17&lt;&gt;".",Irr!BV17&lt;&gt;"."),dir!AZ17/((1/1000)*(Irr!Z17+Irr!AX17+Irr!BV17)),IF(AND(Irr!Z17&lt;&gt;".",Irr!AX17&lt;&gt;".",Irr!BV17="."),dir!AZ17/((1/1000)*(Irr!Z17+Irr!AX17)),IF(AND(Irr!Z17&lt;&gt;".",Irr!AX17=".",Irr!BV17&lt;&gt;"."),dir!AZ17/((1/1000)*(Irr!Z17+Irr!BV17)),IF(AND(Irr!Z17=".",Irr!AX17&lt;&gt;".",Irr!BV17&lt;&gt;"."),dir!AZ17/((1/1000)*(Irr!AX17+Irr!BV17)),IF(AND(Irr!Z17=".",Irr!AX17=".",Irr!BV17&lt;&gt;"."),dir!AZ17/((1/1000)*(Irr!BV17)),IF(AND(Irr!Z17=".",Irr!AX17&lt;&gt;".",Irr!BV17="."),dir!AZ17/((1/1000)*(Irr!AX17)),IF(AND(Irr!Z17&lt;&gt;".",Irr!AX17=".",Irr!BV17="."),dir!AZ17/((1/1000)*(Irr!Z17)),IF(AND(Irr!Z17=".",Irr!AX17=".",Irr!BV17="."),dir!AZ17*1000)))))))),".")</f>
        <v>133.62527964418499</v>
      </c>
    </row>
    <row r="18" spans="1:52" ht="15" customHeight="1" x14ac:dyDescent="0.25">
      <c r="A18" s="92" t="s">
        <v>28</v>
      </c>
      <c r="B18" s="90" t="s">
        <v>1074</v>
      </c>
      <c r="C18" s="76">
        <f t="shared" ref="C18:C21" si="16">IFERROR(1/SUM(1/D18,1/E18,1/F18,1/G18,1/H18,1/I18,1/J18,1/K18,1/L18,1/M18,1/N18,1/O18,1/P18,1/Q18,1/R18,1/S18,1/T18,1/U18,1/V18,1/W18,1/X18,1/Y18),".")</f>
        <v>9.9048662503378945E-3</v>
      </c>
      <c r="D18" s="76">
        <f>IFERROR(IF(AND(Irr!C18&lt;&gt;".",Irr!AA18&lt;&gt;".",Irr!AY18&lt;&gt;"."),dir!D18/((1/1000)*(Irr!C18+Irr!AA18+Irr!AY18)),IF(AND(Irr!C18&lt;&gt;".",Irr!AA18&lt;&gt;".",Irr!AY18="."),dir!D18/((1/1000)*(Irr!C18+Irr!AA18)),IF(AND(Irr!C18&lt;&gt;".",Irr!AA18=".",Irr!AY18&lt;&gt;"."),dir!D18/((1/1000)*(Irr!C18+Irr!AY18)),IF(AND(Irr!C18=".",Irr!AA18&lt;&gt;".",Irr!AY18&lt;&gt;"."),dir!D18/((1/1000)*(Irr!AA18+Irr!AY18)),IF(AND(Irr!C18=".",Irr!AA18=".",Irr!AY18&lt;&gt;"."),dir!D18/((1/1000)*(Irr!AY18)),IF(AND(Irr!C18=".",Irr!AA18&lt;&gt;".",Irr!AY18="."),dir!D18/((1/1000)*(Irr!AA18)),IF(AND(Irr!C18&lt;&gt;".",Irr!AA18=".",Irr!AY18="."),dir!D18/((1/1000)*(Irr!C18)),IF(AND(Irr!C18=".",Irr!AA18=".",Irr!AY18="."),dir!D18*1000)))))))),".")</f>
        <v>0.18188420158827809</v>
      </c>
      <c r="E18" s="76">
        <f>IFERROR(IF(AND(Irr!D18&lt;&gt;".",Irr!AB18&lt;&gt;".",Irr!AZ18&lt;&gt;"."),dir!E18/((1/1000)*(Irr!D18+Irr!AB18+Irr!AZ18)),IF(AND(Irr!D18&lt;&gt;".",Irr!AB18&lt;&gt;".",Irr!AZ18="."),dir!E18/((1/1000)*(Irr!D18+Irr!AB18)),IF(AND(Irr!D18&lt;&gt;".",Irr!AB18=".",Irr!AZ18&lt;&gt;"."),dir!E18/((1/1000)*(Irr!D18+Irr!AZ18)),IF(AND(Irr!D18=".",Irr!AB18&lt;&gt;".",Irr!AZ18&lt;&gt;"."),dir!E18/((1/1000)*(Irr!AB18+Irr!AZ18)),IF(AND(Irr!D18=".",Irr!AB18=".",Irr!AZ18&lt;&gt;"."),dir!E18/((1/1000)*(Irr!AZ18)),IF(AND(Irr!D18=".",Irr!AB18&lt;&gt;".",Irr!AZ18="."),dir!E18/((1/1000)*(Irr!AB18)),IF(AND(Irr!D18&lt;&gt;".",Irr!AB18=".",Irr!AZ18="."),dir!E18/((1/1000)*(Irr!D18)),IF(AND(Irr!D18=".",Irr!AB18=".",Irr!AZ18="."),dir!E18*1000)))))))),".")</f>
        <v>0.37798511150601088</v>
      </c>
      <c r="F18" s="76">
        <f>IFERROR(IF(AND(Irr!E18&lt;&gt;".",Irr!AC18&lt;&gt;".",Irr!BA18&lt;&gt;"."),dir!F18/((1/1000)*(Irr!E18+Irr!AC18+Irr!BA18)),IF(AND(Irr!E18&lt;&gt;".",Irr!AC18&lt;&gt;".",Irr!BA18="."),dir!F18/((1/1000)*(Irr!E18+Irr!AC18)),IF(AND(Irr!E18&lt;&gt;".",Irr!AC18=".",Irr!BA18&lt;&gt;"."),dir!F18/((1/1000)*(Irr!E18+Irr!BA18)),IF(AND(Irr!E18=".",Irr!AC18&lt;&gt;".",Irr!BA18&lt;&gt;"."),dir!F18/((1/1000)*(Irr!AC18+Irr!BA18)),IF(AND(Irr!E18=".",Irr!AC18=".",Irr!BA18&lt;&gt;"."),dir!F18/((1/1000)*(Irr!BA18)),IF(AND(Irr!E18=".",Irr!AC18&lt;&gt;".",Irr!BA18="."),dir!F18/((1/1000)*(Irr!AC18)),IF(AND(Irr!E18&lt;&gt;".",Irr!AC18=".",Irr!BA18="."),dir!F18/((1/1000)*(Irr!E18)),IF(AND(Irr!E18=".",Irr!AC18=".",Irr!BA18="."),dir!F18*1000)))))))),".")</f>
        <v>0.46898458088021039</v>
      </c>
      <c r="G18" s="76">
        <f>IFERROR(IF(AND(Irr!F18&lt;&gt;".",Irr!AD18&lt;&gt;".",Irr!BB18&lt;&gt;"."),dir!G18/((1/1000)*(Irr!F18+Irr!AD18+Irr!BB18)),IF(AND(Irr!F18&lt;&gt;".",Irr!AD18&lt;&gt;".",Irr!BB18="."),dir!G18/((1/1000)*(Irr!F18+Irr!AD18)),IF(AND(Irr!F18&lt;&gt;".",Irr!AD18=".",Irr!BB18&lt;&gt;"."),dir!G18/((1/1000)*(Irr!F18+Irr!BB18)),IF(AND(Irr!F18=".",Irr!AD18&lt;&gt;".",Irr!BB18&lt;&gt;"."),dir!G18/((1/1000)*(Irr!AD18+Irr!BB18)),IF(AND(Irr!F18=".",Irr!AD18=".",Irr!BB18&lt;&gt;"."),dir!G18/((1/1000)*(Irr!BB18)),IF(AND(Irr!F18=".",Irr!AD18&lt;&gt;".",Irr!BB18="."),dir!G18/((1/1000)*(Irr!AD18)),IF(AND(Irr!F18&lt;&gt;".",Irr!AD18=".",Irr!BB18="."),dir!G18/((1/1000)*(Irr!F18)),IF(AND(Irr!F18=".",Irr!AD18=".",Irr!BB18="."),dir!G18*1000)))))))),".")</f>
        <v>0.40741037855690826</v>
      </c>
      <c r="H18" s="76">
        <f>IFERROR(IF(AND(Irr!G18&lt;&gt;".",Irr!AE18&lt;&gt;".",Irr!BC18&lt;&gt;"."),dir!H18/((1/1000)*(Irr!G18+Irr!AE18+Irr!BC18)),IF(AND(Irr!G18&lt;&gt;".",Irr!AE18&lt;&gt;".",Irr!BC18="."),dir!H18/((1/1000)*(Irr!G18+Irr!AE18)),IF(AND(Irr!G18&lt;&gt;".",Irr!AE18=".",Irr!BC18&lt;&gt;"."),dir!H18/((1/1000)*(Irr!G18+Irr!BC18)),IF(AND(Irr!G18=".",Irr!AE18&lt;&gt;".",Irr!BC18&lt;&gt;"."),dir!H18/((1/1000)*(Irr!AE18+Irr!BC18)),IF(AND(Irr!G18=".",Irr!AE18=".",Irr!BC18&lt;&gt;"."),dir!H18/((1/1000)*(Irr!BC18)),IF(AND(Irr!G18=".",Irr!AE18&lt;&gt;".",Irr!BC18="."),dir!H18/((1/1000)*(Irr!AE18)),IF(AND(Irr!G18&lt;&gt;".",Irr!AE18=".",Irr!BC18="."),dir!H18/((1/1000)*(Irr!G18)),IF(AND(Irr!G18=".",Irr!AE18=".",Irr!BC18="."),dir!H18*1000)))))))),".")</f>
        <v>0.47875009003050512</v>
      </c>
      <c r="I18" s="76">
        <f>IFERROR(IF(AND(Irr!H18&lt;&gt;".",Irr!AF18&lt;&gt;".",Irr!BD18&lt;&gt;"."),dir!I18/((1/1000)*(Irr!H18+Irr!AF18+Irr!BD18)),IF(AND(Irr!H18&lt;&gt;".",Irr!AF18&lt;&gt;".",Irr!BD18="."),dir!I18/((1/1000)*(Irr!H18+Irr!AF18)),IF(AND(Irr!H18&lt;&gt;".",Irr!AF18=".",Irr!BD18&lt;&gt;"."),dir!I18/((1/1000)*(Irr!H18+Irr!BD18)),IF(AND(Irr!H18=".",Irr!AF18&lt;&gt;".",Irr!BD18&lt;&gt;"."),dir!I18/((1/1000)*(Irr!AF18+Irr!BD18)),IF(AND(Irr!H18=".",Irr!AF18=".",Irr!BD18&lt;&gt;"."),dir!I18/((1/1000)*(Irr!BD18)),IF(AND(Irr!H18=".",Irr!AF18&lt;&gt;".",Irr!BD18="."),dir!I18/((1/1000)*(Irr!AF18)),IF(AND(Irr!H18&lt;&gt;".",Irr!AF18=".",Irr!BD18="."),dir!I18/((1/1000)*(Irr!H18)),IF(AND(Irr!H18=".",Irr!AF18=".",Irr!BD18="."),dir!I18*1000)))))))),".")</f>
        <v>0.16924217071847794</v>
      </c>
      <c r="J18" s="76">
        <f>IFERROR(IF(AND(Irr!I18&lt;&gt;".",Irr!AG18&lt;&gt;".",Irr!BE18&lt;&gt;"."),dir!J18/((1/1000)*(Irr!I18+Irr!AG18+Irr!BE18)),IF(AND(Irr!I18&lt;&gt;".",Irr!AG18&lt;&gt;".",Irr!BE18="."),dir!J18/((1/1000)*(Irr!I18+Irr!AG18)),IF(AND(Irr!I18&lt;&gt;".",Irr!AG18=".",Irr!BE18&lt;&gt;"."),dir!J18/((1/1000)*(Irr!I18+Irr!BE18)),IF(AND(Irr!I18=".",Irr!AG18&lt;&gt;".",Irr!BE18&lt;&gt;"."),dir!J18/((1/1000)*(Irr!AG18+Irr!BE18)),IF(AND(Irr!I18=".",Irr!AG18=".",Irr!BE18&lt;&gt;"."),dir!J18/((1/1000)*(Irr!BE18)),IF(AND(Irr!I18=".",Irr!AG18&lt;&gt;".",Irr!BE18="."),dir!J18/((1/1000)*(Irr!AG18)),IF(AND(Irr!I18&lt;&gt;".",Irr!AG18=".",Irr!BE18="."),dir!J18/((1/1000)*(Irr!I18)),IF(AND(Irr!I18=".",Irr!AG18=".",Irr!BE18="."),dir!J18*1000)))))))),".")</f>
        <v>0.51789565985635244</v>
      </c>
      <c r="K18" s="76">
        <f>IFERROR(IF(AND(Irr!J18&lt;&gt;".",Irr!AH18&lt;&gt;".",Irr!BF18&lt;&gt;"."),dir!K18/((1/1000)*(Irr!J18+Irr!AH18+Irr!BF18)),IF(AND(Irr!J18&lt;&gt;".",Irr!AH18&lt;&gt;".",Irr!BF18="."),dir!K18/((1/1000)*(Irr!J18+Irr!AH18)),IF(AND(Irr!J18&lt;&gt;".",Irr!AH18=".",Irr!BF18&lt;&gt;"."),dir!K18/((1/1000)*(Irr!J18+Irr!BF18)),IF(AND(Irr!J18=".",Irr!AH18&lt;&gt;".",Irr!BF18&lt;&gt;"."),dir!K18/((1/1000)*(Irr!AH18+Irr!BF18)),IF(AND(Irr!J18=".",Irr!AH18=".",Irr!BF18&lt;&gt;"."),dir!K18/((1/1000)*(Irr!BF18)),IF(AND(Irr!J18=".",Irr!AH18&lt;&gt;".",Irr!BF18="."),dir!K18/((1/1000)*(Irr!AH18)),IF(AND(Irr!J18&lt;&gt;".",Irr!AH18=".",Irr!BF18="."),dir!K18/((1/1000)*(Irr!J18)),IF(AND(Irr!J18=".",Irr!AH18=".",Irr!BF18="."),dir!K18*1000)))))))),".")</f>
        <v>4.7180552001709918E-2</v>
      </c>
      <c r="L18" s="76">
        <f>IFERROR(IF(AND(Irr!K18&lt;&gt;".",Irr!AI18&lt;&gt;".",Irr!BG18&lt;&gt;"."),dir!L18/((1/1000)*(Irr!K18+Irr!AI18+Irr!BG18)),IF(AND(Irr!K18&lt;&gt;".",Irr!AI18&lt;&gt;".",Irr!BG18="."),dir!L18/((1/1000)*(Irr!K18+Irr!AI18)),IF(AND(Irr!K18&lt;&gt;".",Irr!AI18=".",Irr!BG18&lt;&gt;"."),dir!L18/((1/1000)*(Irr!K18+Irr!BG18)),IF(AND(Irr!K18=".",Irr!AI18&lt;&gt;".",Irr!BG18&lt;&gt;"."),dir!L18/((1/1000)*(Irr!AI18+Irr!BG18)),IF(AND(Irr!K18=".",Irr!AI18=".",Irr!BG18&lt;&gt;"."),dir!L18/((1/1000)*(Irr!BG18)),IF(AND(Irr!K18=".",Irr!AI18&lt;&gt;".",Irr!BG18="."),dir!L18/((1/1000)*(Irr!AI18)),IF(AND(Irr!K18&lt;&gt;".",Irr!AI18=".",Irr!BG18="."),dir!L18/((1/1000)*(Irr!K18)),IF(AND(Irr!K18=".",Irr!AI18=".",Irr!BG18="."),dir!L18*1000)))))))),".")</f>
        <v>0.25904150059632325</v>
      </c>
      <c r="M18" s="76">
        <f>IFERROR(IF(AND(Irr!L18&lt;&gt;".",Irr!AJ18&lt;&gt;".",Irr!BH18&lt;&gt;"."),dir!M18/((1/1000)*(Irr!L18+Irr!AJ18+Irr!BH18)),IF(AND(Irr!L18&lt;&gt;".",Irr!AJ18&lt;&gt;".",Irr!BH18="."),dir!M18/((1/1000)*(Irr!L18+Irr!AJ18)),IF(AND(Irr!L18&lt;&gt;".",Irr!AJ18=".",Irr!BH18&lt;&gt;"."),dir!M18/((1/1000)*(Irr!L18+Irr!BH18)),IF(AND(Irr!L18=".",Irr!AJ18&lt;&gt;".",Irr!BH18&lt;&gt;"."),dir!M18/((1/1000)*(Irr!AJ18+Irr!BH18)),IF(AND(Irr!L18=".",Irr!AJ18=".",Irr!BH18&lt;&gt;"."),dir!M18/((1/1000)*(Irr!BH18)),IF(AND(Irr!L18=".",Irr!AJ18&lt;&gt;".",Irr!BH18="."),dir!M18/((1/1000)*(Irr!AJ18)),IF(AND(Irr!L18&lt;&gt;".",Irr!AJ18=".",Irr!BH18="."),dir!M18/((1/1000)*(Irr!L18)),IF(AND(Irr!L18=".",Irr!AJ18=".",Irr!BH18="."),dir!M18*1000)))))))),".")</f>
        <v>0.19289997264678585</v>
      </c>
      <c r="N18" s="76">
        <f>IFERROR(IF(AND(Irr!M18&lt;&gt;".",Irr!AK18&lt;&gt;".",Irr!BI18&lt;&gt;"."),dir!N18/((1/1000)*(Irr!M18+Irr!AK18+Irr!BI18)),IF(AND(Irr!M18&lt;&gt;".",Irr!AK18&lt;&gt;".",Irr!BI18="."),dir!N18/((1/1000)*(Irr!M18+Irr!AK18)),IF(AND(Irr!M18&lt;&gt;".",Irr!AK18=".",Irr!BI18&lt;&gt;"."),dir!N18/((1/1000)*(Irr!M18+Irr!BI18)),IF(AND(Irr!M18=".",Irr!AK18&lt;&gt;".",Irr!BI18&lt;&gt;"."),dir!N18/((1/1000)*(Irr!AK18+Irr!BI18)),IF(AND(Irr!M18=".",Irr!AK18=".",Irr!BI18&lt;&gt;"."),dir!N18/((1/1000)*(Irr!BI18)),IF(AND(Irr!M18=".",Irr!AK18&lt;&gt;".",Irr!BI18="."),dir!N18/((1/1000)*(Irr!AK18)),IF(AND(Irr!M18&lt;&gt;".",Irr!AK18=".",Irr!BI18="."),dir!N18/((1/1000)*(Irr!M18)),IF(AND(Irr!M18=".",Irr!AK18=".",Irr!BI18="."),dir!N18*1000)))))))),".")</f>
        <v>0.37263368606295799</v>
      </c>
      <c r="O18" s="76">
        <f>IFERROR(IF(AND(Irr!N18&lt;&gt;".",Irr!AL18&lt;&gt;".",Irr!BJ18&lt;&gt;"."),dir!O18/((1/1000)*(Irr!N18+Irr!AL18+Irr!BJ18)),IF(AND(Irr!N18&lt;&gt;".",Irr!AL18&lt;&gt;".",Irr!BJ18="."),dir!O18/((1/1000)*(Irr!N18+Irr!AL18)),IF(AND(Irr!N18&lt;&gt;".",Irr!AL18=".",Irr!BJ18&lt;&gt;"."),dir!O18/((1/1000)*(Irr!N18+Irr!BJ18)),IF(AND(Irr!N18=".",Irr!AL18&lt;&gt;".",Irr!BJ18&lt;&gt;"."),dir!O18/((1/1000)*(Irr!AL18+Irr!BJ18)),IF(AND(Irr!N18=".",Irr!AL18=".",Irr!BJ18&lt;&gt;"."),dir!O18/((1/1000)*(Irr!BJ18)),IF(AND(Irr!N18=".",Irr!AL18&lt;&gt;".",Irr!BJ18="."),dir!O18/((1/1000)*(Irr!AL18)),IF(AND(Irr!N18&lt;&gt;".",Irr!AL18=".",Irr!BJ18="."),dir!O18/((1/1000)*(Irr!N18)),IF(AND(Irr!N18=".",Irr!AL18=".",Irr!BJ18="."),dir!O18*1000)))))))),".")</f>
        <v>0.46804166428064198</v>
      </c>
      <c r="P18" s="76">
        <f>IFERROR(IF(AND(Irr!O18&lt;&gt;".",Irr!AM18&lt;&gt;".",Irr!BK18&lt;&gt;"."),dir!P18/((1/1000)*(Irr!O18+Irr!AM18+Irr!BK18)),IF(AND(Irr!O18&lt;&gt;".",Irr!AM18&lt;&gt;".",Irr!BK18="."),dir!P18/((1/1000)*(Irr!O18+Irr!AM18)),IF(AND(Irr!O18&lt;&gt;".",Irr!AM18=".",Irr!BK18&lt;&gt;"."),dir!P18/((1/1000)*(Irr!O18+Irr!BK18)),IF(AND(Irr!O18=".",Irr!AM18&lt;&gt;".",Irr!BK18&lt;&gt;"."),dir!P18/((1/1000)*(Irr!AM18+Irr!BK18)),IF(AND(Irr!O18=".",Irr!AM18=".",Irr!BK18&lt;&gt;"."),dir!P18/((1/1000)*(Irr!BK18)),IF(AND(Irr!O18=".",Irr!AM18&lt;&gt;".",Irr!BK18="."),dir!P18/((1/1000)*(Irr!AM18)),IF(AND(Irr!O18&lt;&gt;".",Irr!AM18=".",Irr!BK18="."),dir!P18/((1/1000)*(Irr!O18)),IF(AND(Irr!O18=".",Irr!AM18=".",Irr!BK18="."),dir!P18*1000)))))))),".")</f>
        <v>0.54602257086642125</v>
      </c>
      <c r="Q18" s="76">
        <f>IFERROR(IF(AND(Irr!P18&lt;&gt;".",Irr!AN18&lt;&gt;".",Irr!BL18&lt;&gt;"."),dir!Q18/((1/1000)*(Irr!P18+Irr!AN18+Irr!BL18)),IF(AND(Irr!P18&lt;&gt;".",Irr!AN18&lt;&gt;".",Irr!BL18="."),dir!Q18/((1/1000)*(Irr!P18+Irr!AN18)),IF(AND(Irr!P18&lt;&gt;".",Irr!AN18=".",Irr!BL18&lt;&gt;"."),dir!Q18/((1/1000)*(Irr!P18+Irr!BL18)),IF(AND(Irr!P18=".",Irr!AN18&lt;&gt;".",Irr!BL18&lt;&gt;"."),dir!Q18/((1/1000)*(Irr!AN18+Irr!BL18)),IF(AND(Irr!P18=".",Irr!AN18=".",Irr!BL18&lt;&gt;"."),dir!Q18/((1/1000)*(Irr!BL18)),IF(AND(Irr!P18=".",Irr!AN18&lt;&gt;".",Irr!BL18="."),dir!Q18/((1/1000)*(Irr!AN18)),IF(AND(Irr!P18&lt;&gt;".",Irr!AN18=".",Irr!BL18="."),dir!Q18/((1/1000)*(Irr!P18)),IF(AND(Irr!P18=".",Irr!AN18=".",Irr!BL18="."),dir!Q18*1000)))))))),".")</f>
        <v>0.73726295603850245</v>
      </c>
      <c r="R18" s="76">
        <f>IFERROR(IF(AND(Irr!Q18&lt;&gt;".",Irr!AO18&lt;&gt;".",Irr!BM18&lt;&gt;"."),dir!R18/((1/1000)*(Irr!Q18+Irr!AO18+Irr!BM18)),IF(AND(Irr!Q18&lt;&gt;".",Irr!AO18&lt;&gt;".",Irr!BM18="."),dir!R18/((1/1000)*(Irr!Q18+Irr!AO18)),IF(AND(Irr!Q18&lt;&gt;".",Irr!AO18=".",Irr!BM18&lt;&gt;"."),dir!R18/((1/1000)*(Irr!Q18+Irr!BM18)),IF(AND(Irr!Q18=".",Irr!AO18&lt;&gt;".",Irr!BM18&lt;&gt;"."),dir!R18/((1/1000)*(Irr!AO18+Irr!BM18)),IF(AND(Irr!Q18=".",Irr!AO18=".",Irr!BM18&lt;&gt;"."),dir!R18/((1/1000)*(Irr!BM18)),IF(AND(Irr!Q18=".",Irr!AO18&lt;&gt;".",Irr!BM18="."),dir!R18/((1/1000)*(Irr!AO18)),IF(AND(Irr!Q18&lt;&gt;".",Irr!AO18=".",Irr!BM18="."),dir!R18/((1/1000)*(Irr!Q18)),IF(AND(Irr!Q18=".",Irr!AO18=".",Irr!BM18="."),dir!R18*1000)))))))),".")</f>
        <v>0.11632359045972365</v>
      </c>
      <c r="S18" s="76">
        <f>IFERROR(IF(AND(Irr!R18&lt;&gt;".",Irr!AP18&lt;&gt;".",Irr!BN18&lt;&gt;"."),dir!S18/((1/1000)*(Irr!R18+Irr!AP18+Irr!BN18)),IF(AND(Irr!R18&lt;&gt;".",Irr!AP18&lt;&gt;".",Irr!BN18="."),dir!S18/((1/1000)*(Irr!R18+Irr!AP18)),IF(AND(Irr!R18&lt;&gt;".",Irr!AP18=".",Irr!BN18&lt;&gt;"."),dir!S18/((1/1000)*(Irr!R18+Irr!BN18)),IF(AND(Irr!R18=".",Irr!AP18&lt;&gt;".",Irr!BN18&lt;&gt;"."),dir!S18/((1/1000)*(Irr!AP18+Irr!BN18)),IF(AND(Irr!R18=".",Irr!AP18=".",Irr!BN18&lt;&gt;"."),dir!S18/((1/1000)*(Irr!BN18)),IF(AND(Irr!R18=".",Irr!AP18&lt;&gt;".",Irr!BN18="."),dir!S18/((1/1000)*(Irr!AP18)),IF(AND(Irr!R18&lt;&gt;".",Irr!AP18=".",Irr!BN18="."),dir!S18/((1/1000)*(Irr!R18)),IF(AND(Irr!R18=".",Irr!AP18=".",Irr!BN18="."),dir!S18*1000)))))))),".")</f>
        <v>0.24157500868080764</v>
      </c>
      <c r="T18" s="76">
        <f>IFERROR(IF(AND(Irr!S18&lt;&gt;".",Irr!AQ18&lt;&gt;".",Irr!BO18&lt;&gt;"."),dir!T18/((1/1000)*(Irr!S18+Irr!AQ18+Irr!BO18)),IF(AND(Irr!S18&lt;&gt;".",Irr!AQ18&lt;&gt;".",Irr!BO18="."),dir!T18/((1/1000)*(Irr!S18+Irr!AQ18)),IF(AND(Irr!S18&lt;&gt;".",Irr!AQ18=".",Irr!BO18&lt;&gt;"."),dir!T18/((1/1000)*(Irr!S18+Irr!BO18)),IF(AND(Irr!S18=".",Irr!AQ18&lt;&gt;".",Irr!BO18&lt;&gt;"."),dir!T18/((1/1000)*(Irr!AQ18+Irr!BO18)),IF(AND(Irr!S18=".",Irr!AQ18=".",Irr!BO18&lt;&gt;"."),dir!T18/((1/1000)*(Irr!BO18)),IF(AND(Irr!S18=".",Irr!AQ18&lt;&gt;".",Irr!BO18="."),dir!T18/((1/1000)*(Irr!AQ18)),IF(AND(Irr!S18&lt;&gt;".",Irr!AQ18=".",Irr!BO18="."),dir!T18/((1/1000)*(Irr!S18)),IF(AND(Irr!S18=".",Irr!AQ18=".",Irr!BO18="."),dir!T18*1000)))))))),".")</f>
        <v>0.38484485706839122</v>
      </c>
      <c r="U18" s="76">
        <f>IFERROR(IF(AND(Irr!T18&lt;&gt;".",Irr!AR18&lt;&gt;".",Irr!BP18&lt;&gt;"."),dir!U18/((1/1000)*(Irr!T18+Irr!AR18+Irr!BP18)),IF(AND(Irr!T18&lt;&gt;".",Irr!AR18&lt;&gt;".",Irr!BP18="."),dir!U18/((1/1000)*(Irr!T18+Irr!AR18)),IF(AND(Irr!T18&lt;&gt;".",Irr!AR18=".",Irr!BP18&lt;&gt;"."),dir!U18/((1/1000)*(Irr!T18+Irr!BP18)),IF(AND(Irr!T18=".",Irr!AR18&lt;&gt;".",Irr!BP18&lt;&gt;"."),dir!U18/((1/1000)*(Irr!AR18+Irr!BP18)),IF(AND(Irr!T18=".",Irr!AR18=".",Irr!BP18&lt;&gt;"."),dir!U18/((1/1000)*(Irr!BP18)),IF(AND(Irr!T18=".",Irr!AR18&lt;&gt;".",Irr!BP18="."),dir!U18/((1/1000)*(Irr!AR18)),IF(AND(Irr!T18&lt;&gt;".",Irr!AR18=".",Irr!BP18="."),dir!U18/((1/1000)*(Irr!T18)),IF(AND(Irr!T18=".",Irr!AR18=".",Irr!BP18="."),dir!U18*1000)))))))),".")</f>
        <v>0.11808300324627692</v>
      </c>
      <c r="V18" s="76">
        <f>IFERROR(IF(AND(Irr!U18&lt;&gt;".",Irr!AS18&lt;&gt;".",Irr!BQ18&lt;&gt;"."),dir!V18/((1/1000)*(Irr!U18+Irr!AS18+Irr!BQ18)),IF(AND(Irr!U18&lt;&gt;".",Irr!AS18&lt;&gt;".",Irr!BQ18="."),dir!V18/((1/1000)*(Irr!U18+Irr!AS18)),IF(AND(Irr!U18&lt;&gt;".",Irr!AS18=".",Irr!BQ18&lt;&gt;"."),dir!V18/((1/1000)*(Irr!U18+Irr!BQ18)),IF(AND(Irr!U18=".",Irr!AS18&lt;&gt;".",Irr!BQ18&lt;&gt;"."),dir!V18/((1/1000)*(Irr!AS18+Irr!BQ18)),IF(AND(Irr!U18=".",Irr!AS18=".",Irr!BQ18&lt;&gt;"."),dir!V18/((1/1000)*(Irr!BQ18)),IF(AND(Irr!U18=".",Irr!AS18&lt;&gt;".",Irr!BQ18="."),dir!V18/((1/1000)*(Irr!AS18)),IF(AND(Irr!U18&lt;&gt;".",Irr!AS18=".",Irr!BQ18="."),dir!V18/((1/1000)*(Irr!U18)),IF(AND(Irr!U18=".",Irr!AS18=".",Irr!BQ18="."),dir!V18*1000)))))))),".")</f>
        <v>0.22156451983707473</v>
      </c>
      <c r="W18" s="76">
        <f>IFERROR(IF(AND(Irr!V18&lt;&gt;".",Irr!AT18&lt;&gt;".",Irr!BR18&lt;&gt;"."),dir!W18/((1/1000)*(Irr!V18+Irr!AT18+Irr!BR18)),IF(AND(Irr!V18&lt;&gt;".",Irr!AT18&lt;&gt;".",Irr!BR18="."),dir!W18/((1/1000)*(Irr!V18+Irr!AT18)),IF(AND(Irr!V18&lt;&gt;".",Irr!AT18=".",Irr!BR18&lt;&gt;"."),dir!W18/((1/1000)*(Irr!V18+Irr!BR18)),IF(AND(Irr!V18=".",Irr!AT18&lt;&gt;".",Irr!BR18&lt;&gt;"."),dir!W18/((1/1000)*(Irr!AT18+Irr!BR18)),IF(AND(Irr!V18=".",Irr!AT18=".",Irr!BR18&lt;&gt;"."),dir!W18/((1/1000)*(Irr!BR18)),IF(AND(Irr!V18=".",Irr!AT18&lt;&gt;".",Irr!BR18="."),dir!W18/((1/1000)*(Irr!AT18)),IF(AND(Irr!V18&lt;&gt;".",Irr!AT18=".",Irr!BR18="."),dir!W18/((1/1000)*(Irr!V18)),IF(AND(Irr!V18=".",Irr!AT18=".",Irr!BR18="."),dir!W18*1000)))))))),".")</f>
        <v>0.26654550434146784</v>
      </c>
      <c r="X18" s="76">
        <f>IFERROR(IF(AND(Irr!W18&lt;&gt;".",Irr!AU18&lt;&gt;".",Irr!BS18&lt;&gt;"."),dir!X18/((1/1000)*(Irr!W18+Irr!AU18+Irr!BS18)),IF(AND(Irr!W18&lt;&gt;".",Irr!AU18&lt;&gt;".",Irr!BS18="."),dir!X18/((1/1000)*(Irr!W18+Irr!AU18)),IF(AND(Irr!W18&lt;&gt;".",Irr!AU18=".",Irr!BS18&lt;&gt;"."),dir!X18/((1/1000)*(Irr!W18+Irr!BS18)),IF(AND(Irr!W18=".",Irr!AU18&lt;&gt;".",Irr!BS18&lt;&gt;"."),dir!X18/((1/1000)*(Irr!AU18+Irr!BS18)),IF(AND(Irr!W18=".",Irr!AU18=".",Irr!BS18&lt;&gt;"."),dir!X18/((1/1000)*(Irr!BS18)),IF(AND(Irr!W18=".",Irr!AU18&lt;&gt;".",Irr!BS18="."),dir!X18/((1/1000)*(Irr!AU18)),IF(AND(Irr!W18&lt;&gt;".",Irr!AU18=".",Irr!BS18="."),dir!X18/((1/1000)*(Irr!W18)),IF(AND(Irr!W18=".",Irr!AU18=".",Irr!BS18="."),dir!X18*1000)))))))),".")</f>
        <v>0.36094941833735755</v>
      </c>
      <c r="Y18" s="76">
        <f>IFERROR(IF(AND(Irr!X18&lt;&gt;".",Irr!AV18&lt;&gt;".",Irr!BT18&lt;&gt;"."),dir!Y18/((1/1000)*(Irr!X18+Irr!AV18+Irr!BT18)),IF(AND(Irr!X18&lt;&gt;".",Irr!AV18&lt;&gt;".",Irr!BT18="."),dir!Y18/((1/1000)*(Irr!X18+Irr!AV18)),IF(AND(Irr!X18&lt;&gt;".",Irr!AV18=".",Irr!BT18&lt;&gt;"."),dir!Y18/((1/1000)*(Irr!X18+Irr!BT18)),IF(AND(Irr!X18=".",Irr!AV18&lt;&gt;".",Irr!BT18&lt;&gt;"."),dir!Y18/((1/1000)*(Irr!AV18+Irr!BT18)),IF(AND(Irr!X18=".",Irr!AV18=".",Irr!BT18&lt;&gt;"."),dir!Y18/((1/1000)*(Irr!BT18)),IF(AND(Irr!X18=".",Irr!AV18&lt;&gt;".",Irr!BT18="."),dir!Y18/((1/1000)*(Irr!AV18)),IF(AND(Irr!X18&lt;&gt;".",Irr!AV18=".",Irr!BT18="."),dir!Y18/((1/1000)*(Irr!X18)),IF(AND(Irr!X18=".",Irr!AV18=".",Irr!BT18="."),dir!Y18*1000)))))))),".")</f>
        <v>0.19174160893565143</v>
      </c>
      <c r="Z18" s="76">
        <f>IFERROR(IF(AND(Irr!Y18&lt;&gt;".",Irr!AW18&lt;&gt;".",Irr!BU18&lt;&gt;"."),dir!Z18/((1/1000)*(Irr!Y18+Irr!AW18+Irr!BU18)),IF(AND(Irr!Y18&lt;&gt;".",Irr!AW18&lt;&gt;".",Irr!BU18="."),dir!Z18/((1/1000)*(Irr!Y18+Irr!AW18)),IF(AND(Irr!Y18&lt;&gt;".",Irr!AW18=".",Irr!BU18&lt;&gt;"."),dir!Z18/((1/1000)*(Irr!Y18+Irr!BU18)),IF(AND(Irr!Y18=".",Irr!AW18&lt;&gt;".",Irr!BU18&lt;&gt;"."),dir!Z18/((1/1000)*(Irr!AW18+Irr!BU18)),IF(AND(Irr!Y18=".",Irr!AW18=".",Irr!BU18&lt;&gt;"."),dir!Z18/((1/1000)*(Irr!BU18)),IF(AND(Irr!Y18=".",Irr!AW18&lt;&gt;".",Irr!BU18="."),dir!Z18/((1/1000)*(Irr!AW18)),IF(AND(Irr!Y18&lt;&gt;".",Irr!AW18=".",Irr!BU18="."),dir!Z18/((1/1000)*(Irr!Y18)),IF(AND(Irr!Y18=".",Irr!AW18=".",Irr!BU18="."),dir!Z18*1000)))))))),".")</f>
        <v>5.9390317028240242E-2</v>
      </c>
      <c r="AA18" s="76">
        <f>IFERROR(IF(AND(Irr!Z18&lt;&gt;".",Irr!AX18&lt;&gt;".",Irr!BV18&lt;&gt;"."),dir!AA18/((1/1000)*(Irr!Z18+Irr!AX18+Irr!BV18)),IF(AND(Irr!Z18&lt;&gt;".",Irr!AX18&lt;&gt;".",Irr!BV18="."),dir!AA18/((1/1000)*(Irr!Z18+Irr!AX18)),IF(AND(Irr!Z18&lt;&gt;".",Irr!AX18=".",Irr!BV18&lt;&gt;"."),dir!AA18/((1/1000)*(Irr!Z18+Irr!BV18)),IF(AND(Irr!Z18=".",Irr!AX18&lt;&gt;".",Irr!BV18&lt;&gt;"."),dir!AA18/((1/1000)*(Irr!AX18+Irr!BV18)),IF(AND(Irr!Z18=".",Irr!AX18=".",Irr!BV18&lt;&gt;"."),dir!AA18/((1/1000)*(Irr!BV18)),IF(AND(Irr!Z18=".",Irr!AX18&lt;&gt;".",Irr!BV18="."),dir!AA18/((1/1000)*(Irr!AX18)),IF(AND(Irr!Z18&lt;&gt;".",Irr!AX18=".",Irr!BV18="."),dir!AA18/((1/1000)*(Irr!Z18)),IF(AND(Irr!Z18=".",Irr!AX18=".",Irr!BV18="."),dir!AA18*1000)))))))),".")</f>
        <v>4.7650224163504167E-2</v>
      </c>
      <c r="AB18" s="76">
        <f t="shared" ref="AB18:AB21" si="17">IFERROR(1/SUM(1/AC18,1/AD18,1/AE18,1/AF18,1/AG18,1/AH18,1/AI18,1/AJ18,1/AK18,1/AL18,1/AM18,1/AN18,1/AO18,1/AP18,1/AQ18,1/AR18,1/AS18,1/AT18,1/AU18,1/AV18,1/AW18,1/AX18),".")</f>
        <v>6.0777065310532851E-3</v>
      </c>
      <c r="AC18" s="76">
        <f>IFERROR(IF(AND(Irr!C18&lt;&gt;".",Irr!AA18&lt;&gt;".",Irr!AY18&lt;&gt;"."),dir!AC18/((1/1000)*(Irr!C18+Irr!AA18+Irr!AY18)),IF(AND(Irr!C18&lt;&gt;".",Irr!AA18&lt;&gt;".",Irr!AY18="."),dir!AC18/((1/1000)*(Irr!C18+Irr!AA18)),IF(AND(Irr!C18&lt;&gt;".",Irr!AA18=".",Irr!AY18&lt;&gt;"."),dir!AC18/((1/1000)*(Irr!C18+Irr!AY18)),IF(AND(Irr!C18=".",Irr!AA18&lt;&gt;".",Irr!AY18&lt;&gt;"."),dir!AC18/((1/1000)*(Irr!AA18+Irr!AY18)),IF(AND(Irr!C18=".",Irr!AA18=".",Irr!AY18&lt;&gt;"."),dir!AC18/((1/1000)*(Irr!AY18)),IF(AND(Irr!C18=".",Irr!AA18&lt;&gt;".",Irr!AY18="."),dir!AC18/((1/1000)*(Irr!AA18)),IF(AND(Irr!C18&lt;&gt;".",Irr!AA18=".",Irr!AY18="."),dir!AC18/((1/1000)*(Irr!C18)),IF(AND(Irr!C18=".",Irr!AA18=".",Irr!AY18="."),dir!AC18*1000)))))))),".")</f>
        <v>0.10271513362227999</v>
      </c>
      <c r="AD18" s="76">
        <f>IFERROR(IF(AND(Irr!D18&lt;&gt;".",Irr!AB18&lt;&gt;".",Irr!AZ18&lt;&gt;"."),dir!AD18/((1/1000)*(Irr!D18+Irr!AB18+Irr!AZ18)),IF(AND(Irr!D18&lt;&gt;".",Irr!AB18&lt;&gt;".",Irr!AZ18="."),dir!AD18/((1/1000)*(Irr!D18+Irr!AB18)),IF(AND(Irr!D18&lt;&gt;".",Irr!AB18=".",Irr!AZ18&lt;&gt;"."),dir!AD18/((1/1000)*(Irr!D18+Irr!AZ18)),IF(AND(Irr!D18=".",Irr!AB18&lt;&gt;".",Irr!AZ18&lt;&gt;"."),dir!AD18/((1/1000)*(Irr!AB18+Irr!AZ18)),IF(AND(Irr!D18=".",Irr!AB18=".",Irr!AZ18&lt;&gt;"."),dir!AD18/((1/1000)*(Irr!AZ18)),IF(AND(Irr!D18=".",Irr!AB18&lt;&gt;".",Irr!AZ18="."),dir!AD18/((1/1000)*(Irr!AB18)),IF(AND(Irr!D18&lt;&gt;".",Irr!AB18=".",Irr!AZ18="."),dir!AD18/((1/1000)*(Irr!D18)),IF(AND(Irr!D18=".",Irr!AB18=".",Irr!AZ18="."),dir!AD18*1000)))))))),".")</f>
        <v>0.23030196397681968</v>
      </c>
      <c r="AE18" s="76">
        <f>IFERROR(IF(AND(Irr!E18&lt;&gt;".",Irr!AC18&lt;&gt;".",Irr!BA18&lt;&gt;"."),dir!AE18/((1/1000)*(Irr!E18+Irr!AC18+Irr!BA18)),IF(AND(Irr!E18&lt;&gt;".",Irr!AC18&lt;&gt;".",Irr!BA18="."),dir!AE18/((1/1000)*(Irr!E18+Irr!AC18)),IF(AND(Irr!E18&lt;&gt;".",Irr!AC18=".",Irr!BA18&lt;&gt;"."),dir!AE18/((1/1000)*(Irr!E18+Irr!BA18)),IF(AND(Irr!E18=".",Irr!AC18&lt;&gt;".",Irr!BA18&lt;&gt;"."),dir!AE18/((1/1000)*(Irr!AC18+Irr!BA18)),IF(AND(Irr!E18=".",Irr!AC18=".",Irr!BA18&lt;&gt;"."),dir!AE18/((1/1000)*(Irr!BA18)),IF(AND(Irr!E18=".",Irr!AC18&lt;&gt;".",Irr!BA18="."),dir!AE18/((1/1000)*(Irr!AC18)),IF(AND(Irr!E18&lt;&gt;".",Irr!AC18=".",Irr!BA18="."),dir!AE18/((1/1000)*(Irr!E18)),IF(AND(Irr!E18=".",Irr!AC18=".",Irr!BA18="."),dir!AE18*1000)))))))),".")</f>
        <v>0.27971580359641124</v>
      </c>
      <c r="AF18" s="76">
        <f>IFERROR(IF(AND(Irr!F18&lt;&gt;".",Irr!AD18&lt;&gt;".",Irr!BB18&lt;&gt;"."),dir!AF18/((1/1000)*(Irr!F18+Irr!AD18+Irr!BB18)),IF(AND(Irr!F18&lt;&gt;".",Irr!AD18&lt;&gt;".",Irr!BB18="."),dir!AF18/((1/1000)*(Irr!F18+Irr!AD18)),IF(AND(Irr!F18&lt;&gt;".",Irr!AD18=".",Irr!BB18&lt;&gt;"."),dir!AF18/((1/1000)*(Irr!F18+Irr!BB18)),IF(AND(Irr!F18=".",Irr!AD18&lt;&gt;".",Irr!BB18&lt;&gt;"."),dir!AF18/((1/1000)*(Irr!AD18+Irr!BB18)),IF(AND(Irr!F18=".",Irr!AD18=".",Irr!BB18&lt;&gt;"."),dir!AF18/((1/1000)*(Irr!BB18)),IF(AND(Irr!F18=".",Irr!AD18&lt;&gt;".",Irr!BB18="."),dir!AF18/((1/1000)*(Irr!AD18)),IF(AND(Irr!F18&lt;&gt;".",Irr!AD18=".",Irr!BB18="."),dir!AF18/((1/1000)*(Irr!F18)),IF(AND(Irr!F18=".",Irr!AD18=".",Irr!BB18="."),dir!AF18*1000)))))))),".")</f>
        <v>0.25751239517695002</v>
      </c>
      <c r="AG18" s="76">
        <f>IFERROR(IF(AND(Irr!G18&lt;&gt;".",Irr!AE18&lt;&gt;".",Irr!BC18&lt;&gt;"."),dir!AG18/((1/1000)*(Irr!G18+Irr!AE18+Irr!BC18)),IF(AND(Irr!G18&lt;&gt;".",Irr!AE18&lt;&gt;".",Irr!BC18="."),dir!AG18/((1/1000)*(Irr!G18+Irr!AE18)),IF(AND(Irr!G18&lt;&gt;".",Irr!AE18=".",Irr!BC18&lt;&gt;"."),dir!AG18/((1/1000)*(Irr!G18+Irr!BC18)),IF(AND(Irr!G18=".",Irr!AE18&lt;&gt;".",Irr!BC18&lt;&gt;"."),dir!AG18/((1/1000)*(Irr!AE18+Irr!BC18)),IF(AND(Irr!G18=".",Irr!AE18=".",Irr!BC18&lt;&gt;"."),dir!AG18/((1/1000)*(Irr!BC18)),IF(AND(Irr!G18=".",Irr!AE18&lt;&gt;".",Irr!BC18="."),dir!AG18/((1/1000)*(Irr!AE18)),IF(AND(Irr!G18&lt;&gt;".",Irr!AE18=".",Irr!BC18="."),dir!AG18/((1/1000)*(Irr!G18)),IF(AND(Irr!G18=".",Irr!AE18=".",Irr!BC18="."),dir!AG18*1000)))))))),".")</f>
        <v>0.2673945396361892</v>
      </c>
      <c r="AH18" s="76">
        <f>IFERROR(IF(AND(Irr!H18&lt;&gt;".",Irr!AF18&lt;&gt;".",Irr!BD18&lt;&gt;"."),dir!AH18/((1/1000)*(Irr!H18+Irr!AF18+Irr!BD18)),IF(AND(Irr!H18&lt;&gt;".",Irr!AF18&lt;&gt;".",Irr!BD18="."),dir!AH18/((1/1000)*(Irr!H18+Irr!AF18)),IF(AND(Irr!H18&lt;&gt;".",Irr!AF18=".",Irr!BD18&lt;&gt;"."),dir!AH18/((1/1000)*(Irr!H18+Irr!BD18)),IF(AND(Irr!H18=".",Irr!AF18&lt;&gt;".",Irr!BD18&lt;&gt;"."),dir!AH18/((1/1000)*(Irr!AF18+Irr!BD18)),IF(AND(Irr!H18=".",Irr!AF18=".",Irr!BD18&lt;&gt;"."),dir!AH18/((1/1000)*(Irr!BD18)),IF(AND(Irr!H18=".",Irr!AF18&lt;&gt;".",Irr!BD18="."),dir!AH18/((1/1000)*(Irr!AF18)),IF(AND(Irr!H18&lt;&gt;".",Irr!AF18=".",Irr!BD18="."),dir!AH18/((1/1000)*(Irr!H18)),IF(AND(Irr!H18=".",Irr!AF18=".",Irr!BD18="."),dir!AH18*1000)))))))),".")</f>
        <v>0.10870127084030443</v>
      </c>
      <c r="AI18" s="76">
        <f>IFERROR(IF(AND(Irr!I18&lt;&gt;".",Irr!AG18&lt;&gt;".",Irr!BE18&lt;&gt;"."),dir!AI18/((1/1000)*(Irr!I18+Irr!AG18+Irr!BE18)),IF(AND(Irr!I18&lt;&gt;".",Irr!AG18&lt;&gt;".",Irr!BE18="."),dir!AI18/((1/1000)*(Irr!I18+Irr!AG18)),IF(AND(Irr!I18&lt;&gt;".",Irr!AG18=".",Irr!BE18&lt;&gt;"."),dir!AI18/((1/1000)*(Irr!I18+Irr!BE18)),IF(AND(Irr!I18=".",Irr!AG18&lt;&gt;".",Irr!BE18&lt;&gt;"."),dir!AI18/((1/1000)*(Irr!AG18+Irr!BE18)),IF(AND(Irr!I18=".",Irr!AG18=".",Irr!BE18&lt;&gt;"."),dir!AI18/((1/1000)*(Irr!BE18)),IF(AND(Irr!I18=".",Irr!AG18&lt;&gt;".",Irr!BE18="."),dir!AI18/((1/1000)*(Irr!AG18)),IF(AND(Irr!I18&lt;&gt;".",Irr!AG18=".",Irr!BE18="."),dir!AI18/((1/1000)*(Irr!I18)),IF(AND(Irr!I18=".",Irr!AG18=".",Irr!BE18="."),dir!AI18*1000)))))))),".")</f>
        <v>0.36185496181298249</v>
      </c>
      <c r="AJ18" s="76">
        <f>IFERROR(IF(AND(Irr!J18&lt;&gt;".",Irr!AH18&lt;&gt;".",Irr!BF18&lt;&gt;"."),dir!AJ18/((1/1000)*(Irr!J18+Irr!AH18+Irr!BF18)),IF(AND(Irr!J18&lt;&gt;".",Irr!AH18&lt;&gt;".",Irr!BF18="."),dir!AJ18/((1/1000)*(Irr!J18+Irr!AH18)),IF(AND(Irr!J18&lt;&gt;".",Irr!AH18=".",Irr!BF18&lt;&gt;"."),dir!AJ18/((1/1000)*(Irr!J18+Irr!BF18)),IF(AND(Irr!J18=".",Irr!AH18&lt;&gt;".",Irr!BF18&lt;&gt;"."),dir!AJ18/((1/1000)*(Irr!AH18+Irr!BF18)),IF(AND(Irr!J18=".",Irr!AH18=".",Irr!BF18&lt;&gt;"."),dir!AJ18/((1/1000)*(Irr!BF18)),IF(AND(Irr!J18=".",Irr!AH18&lt;&gt;".",Irr!BF18="."),dir!AJ18/((1/1000)*(Irr!AH18)),IF(AND(Irr!J18&lt;&gt;".",Irr!AH18=".",Irr!BF18="."),dir!AJ18/((1/1000)*(Irr!J18)),IF(AND(Irr!J18=".",Irr!AH18=".",Irr!BF18="."),dir!AJ18*1000)))))))),".")</f>
        <v>2.9685069882575084E-2</v>
      </c>
      <c r="AK18" s="76">
        <f>IFERROR(IF(AND(Irr!K18&lt;&gt;".",Irr!AI18&lt;&gt;".",Irr!BG18&lt;&gt;"."),dir!AK18/((1/1000)*(Irr!K18+Irr!AI18+Irr!BG18)),IF(AND(Irr!K18&lt;&gt;".",Irr!AI18&lt;&gt;".",Irr!BG18="."),dir!AK18/((1/1000)*(Irr!K18+Irr!AI18)),IF(AND(Irr!K18&lt;&gt;".",Irr!AI18=".",Irr!BG18&lt;&gt;"."),dir!AK18/((1/1000)*(Irr!K18+Irr!BG18)),IF(AND(Irr!K18=".",Irr!AI18&lt;&gt;".",Irr!BG18&lt;&gt;"."),dir!AK18/((1/1000)*(Irr!AI18+Irr!BG18)),IF(AND(Irr!K18=".",Irr!AI18=".",Irr!BG18&lt;&gt;"."),dir!AK18/((1/1000)*(Irr!BG18)),IF(AND(Irr!K18=".",Irr!AI18&lt;&gt;".",Irr!BG18="."),dir!AK18/((1/1000)*(Irr!AI18)),IF(AND(Irr!K18&lt;&gt;".",Irr!AI18=".",Irr!BG18="."),dir!AK18/((1/1000)*(Irr!K18)),IF(AND(Irr!K18=".",Irr!AI18=".",Irr!BG18="."),dir!AK18*1000)))))))),".")</f>
        <v>0.11621364553259085</v>
      </c>
      <c r="AL18" s="76">
        <f>IFERROR(IF(AND(Irr!L18&lt;&gt;".",Irr!AJ18&lt;&gt;".",Irr!BH18&lt;&gt;"."),dir!AL18/((1/1000)*(Irr!L18+Irr!AJ18+Irr!BH18)),IF(AND(Irr!L18&lt;&gt;".",Irr!AJ18&lt;&gt;".",Irr!BH18="."),dir!AL18/((1/1000)*(Irr!L18+Irr!AJ18)),IF(AND(Irr!L18&lt;&gt;".",Irr!AJ18=".",Irr!BH18&lt;&gt;"."),dir!AL18/((1/1000)*(Irr!L18+Irr!BH18)),IF(AND(Irr!L18=".",Irr!AJ18&lt;&gt;".",Irr!BH18&lt;&gt;"."),dir!AL18/((1/1000)*(Irr!AJ18+Irr!BH18)),IF(AND(Irr!L18=".",Irr!AJ18=".",Irr!BH18&lt;&gt;"."),dir!AL18/((1/1000)*(Irr!BH18)),IF(AND(Irr!L18=".",Irr!AJ18&lt;&gt;".",Irr!BH18="."),dir!AL18/((1/1000)*(Irr!AJ18)),IF(AND(Irr!L18&lt;&gt;".",Irr!AJ18=".",Irr!BH18="."),dir!AL18/((1/1000)*(Irr!L18)),IF(AND(Irr!L18=".",Irr!AJ18=".",Irr!BH18="."),dir!AL18*1000)))))))),".")</f>
        <v>0.1764721091225982</v>
      </c>
      <c r="AM18" s="76">
        <f>IFERROR(IF(AND(Irr!M18&lt;&gt;".",Irr!AK18&lt;&gt;".",Irr!BI18&lt;&gt;"."),dir!AM18/((1/1000)*(Irr!M18+Irr!AK18+Irr!BI18)),IF(AND(Irr!M18&lt;&gt;".",Irr!AK18&lt;&gt;".",Irr!BI18="."),dir!AM18/((1/1000)*(Irr!M18+Irr!AK18)),IF(AND(Irr!M18&lt;&gt;".",Irr!AK18=".",Irr!BI18&lt;&gt;"."),dir!AM18/((1/1000)*(Irr!M18+Irr!BI18)),IF(AND(Irr!M18=".",Irr!AK18&lt;&gt;".",Irr!BI18&lt;&gt;"."),dir!AM18/((1/1000)*(Irr!AK18+Irr!BI18)),IF(AND(Irr!M18=".",Irr!AK18=".",Irr!BI18&lt;&gt;"."),dir!AM18/((1/1000)*(Irr!BI18)),IF(AND(Irr!M18=".",Irr!AK18&lt;&gt;".",Irr!BI18="."),dir!AM18/((1/1000)*(Irr!AK18)),IF(AND(Irr!M18&lt;&gt;".",Irr!AK18=".",Irr!BI18="."),dir!AM18/((1/1000)*(Irr!M18)),IF(AND(Irr!M18=".",Irr!AK18=".",Irr!BI18="."),dir!AM18*1000)))))))),".")</f>
        <v>0.22217015338871327</v>
      </c>
      <c r="AN18" s="76">
        <f>IFERROR(IF(AND(Irr!N18&lt;&gt;".",Irr!AL18&lt;&gt;".",Irr!BJ18&lt;&gt;"."),dir!AN18/((1/1000)*(Irr!N18+Irr!AL18+Irr!BJ18)),IF(AND(Irr!N18&lt;&gt;".",Irr!AL18&lt;&gt;".",Irr!BJ18="."),dir!AN18/((1/1000)*(Irr!N18+Irr!AL18)),IF(AND(Irr!N18&lt;&gt;".",Irr!AL18=".",Irr!BJ18&lt;&gt;"."),dir!AN18/((1/1000)*(Irr!N18+Irr!BJ18)),IF(AND(Irr!N18=".",Irr!AL18&lt;&gt;".",Irr!BJ18&lt;&gt;"."),dir!AN18/((1/1000)*(Irr!AL18+Irr!BJ18)),IF(AND(Irr!N18=".",Irr!AL18=".",Irr!BJ18&lt;&gt;"."),dir!AN18/((1/1000)*(Irr!BJ18)),IF(AND(Irr!N18=".",Irr!AL18&lt;&gt;".",Irr!BJ18="."),dir!AN18/((1/1000)*(Irr!AL18)),IF(AND(Irr!N18&lt;&gt;".",Irr!AL18=".",Irr!BJ18="."),dir!AN18/((1/1000)*(Irr!N18)),IF(AND(Irr!N18=".",Irr!AL18=".",Irr!BJ18="."),dir!AN18*1000)))))))),".")</f>
        <v>0.28164432752117402</v>
      </c>
      <c r="AO18" s="76">
        <f>IFERROR(IF(AND(Irr!O18&lt;&gt;".",Irr!AM18&lt;&gt;".",Irr!BK18&lt;&gt;"."),dir!AO18/((1/1000)*(Irr!O18+Irr!AM18+Irr!BK18)),IF(AND(Irr!O18&lt;&gt;".",Irr!AM18&lt;&gt;".",Irr!BK18="."),dir!AO18/((1/1000)*(Irr!O18+Irr!AM18)),IF(AND(Irr!O18&lt;&gt;".",Irr!AM18=".",Irr!BK18&lt;&gt;"."),dir!AO18/((1/1000)*(Irr!O18+Irr!BK18)),IF(AND(Irr!O18=".",Irr!AM18&lt;&gt;".",Irr!BK18&lt;&gt;"."),dir!AO18/((1/1000)*(Irr!AM18+Irr!BK18)),IF(AND(Irr!O18=".",Irr!AM18=".",Irr!BK18&lt;&gt;"."),dir!AO18/((1/1000)*(Irr!BK18)),IF(AND(Irr!O18=".",Irr!AM18&lt;&gt;".",Irr!BK18="."),dir!AO18/((1/1000)*(Irr!AM18)),IF(AND(Irr!O18&lt;&gt;".",Irr!AM18=".",Irr!BK18="."),dir!AO18/((1/1000)*(Irr!O18)),IF(AND(Irr!O18=".",Irr!AM18=".",Irr!BK18="."),dir!AO18*1000)))))))),".")</f>
        <v>0.3279436525192429</v>
      </c>
      <c r="AP18" s="76">
        <f>IFERROR(IF(AND(Irr!P18&lt;&gt;".",Irr!AN18&lt;&gt;".",Irr!BL18&lt;&gt;"."),dir!AP18/((1/1000)*(Irr!P18+Irr!AN18+Irr!BL18)),IF(AND(Irr!P18&lt;&gt;".",Irr!AN18&lt;&gt;".",Irr!BL18="."),dir!AP18/((1/1000)*(Irr!P18+Irr!AN18)),IF(AND(Irr!P18&lt;&gt;".",Irr!AN18=".",Irr!BL18&lt;&gt;"."),dir!AP18/((1/1000)*(Irr!P18+Irr!BL18)),IF(AND(Irr!P18=".",Irr!AN18&lt;&gt;".",Irr!BL18&lt;&gt;"."),dir!AP18/((1/1000)*(Irr!AN18+Irr!BL18)),IF(AND(Irr!P18=".",Irr!AN18=".",Irr!BL18&lt;&gt;"."),dir!AP18/((1/1000)*(Irr!BL18)),IF(AND(Irr!P18=".",Irr!AN18&lt;&gt;".",Irr!BL18="."),dir!AP18/((1/1000)*(Irr!AN18)),IF(AND(Irr!P18&lt;&gt;".",Irr!AN18=".",Irr!BL18="."),dir!AP18/((1/1000)*(Irr!P18)),IF(AND(Irr!P18=".",Irr!AN18=".",Irr!BL18="."),dir!AP18*1000)))))))),".")</f>
        <v>0.35857789225508985</v>
      </c>
      <c r="AQ18" s="76">
        <f>IFERROR(IF(AND(Irr!Q18&lt;&gt;".",Irr!AO18&lt;&gt;".",Irr!BM18&lt;&gt;"."),dir!AQ18/((1/1000)*(Irr!Q18+Irr!AO18+Irr!BM18)),IF(AND(Irr!Q18&lt;&gt;".",Irr!AO18&lt;&gt;".",Irr!BM18="."),dir!AQ18/((1/1000)*(Irr!Q18+Irr!AO18)),IF(AND(Irr!Q18&lt;&gt;".",Irr!AO18=".",Irr!BM18&lt;&gt;"."),dir!AQ18/((1/1000)*(Irr!Q18+Irr!BM18)),IF(AND(Irr!Q18=".",Irr!AO18&lt;&gt;".",Irr!BM18&lt;&gt;"."),dir!AQ18/((1/1000)*(Irr!AO18+Irr!BM18)),IF(AND(Irr!Q18=".",Irr!AO18=".",Irr!BM18&lt;&gt;"."),dir!AQ18/((1/1000)*(Irr!BM18)),IF(AND(Irr!Q18=".",Irr!AO18&lt;&gt;".",Irr!BM18="."),dir!AQ18/((1/1000)*(Irr!AO18)),IF(AND(Irr!Q18&lt;&gt;".",Irr!AO18=".",Irr!BM18="."),dir!AQ18/((1/1000)*(Irr!Q18)),IF(AND(Irr!Q18=".",Irr!AO18=".",Irr!BM18="."),dir!AQ18*1000)))))))),".")</f>
        <v>8.4590723736243004E-2</v>
      </c>
      <c r="AR18" s="76">
        <f>IFERROR(IF(AND(Irr!R18&lt;&gt;".",Irr!AP18&lt;&gt;".",Irr!BN18&lt;&gt;"."),dir!AR18/((1/1000)*(Irr!R18+Irr!AP18+Irr!BN18)),IF(AND(Irr!R18&lt;&gt;".",Irr!AP18&lt;&gt;".",Irr!BN18="."),dir!AR18/((1/1000)*(Irr!R18+Irr!AP18)),IF(AND(Irr!R18&lt;&gt;".",Irr!AP18=".",Irr!BN18&lt;&gt;"."),dir!AR18/((1/1000)*(Irr!R18+Irr!BN18)),IF(AND(Irr!R18=".",Irr!AP18&lt;&gt;".",Irr!BN18&lt;&gt;"."),dir!AR18/((1/1000)*(Irr!AP18+Irr!BN18)),IF(AND(Irr!R18=".",Irr!AP18=".",Irr!BN18&lt;&gt;"."),dir!AR18/((1/1000)*(Irr!BN18)),IF(AND(Irr!R18=".",Irr!AP18&lt;&gt;".",Irr!BN18="."),dir!AR18/((1/1000)*(Irr!AP18)),IF(AND(Irr!R18&lt;&gt;".",Irr!AP18=".",Irr!BN18="."),dir!AR18/((1/1000)*(Irr!R18)),IF(AND(Irr!R18=".",Irr!AP18=".",Irr!BN18="."),dir!AR18*1000)))))))),".")</f>
        <v>0.13908453862479483</v>
      </c>
      <c r="AS18" s="76">
        <f>IFERROR(IF(AND(Irr!S18&lt;&gt;".",Irr!AQ18&lt;&gt;".",Irr!BO18&lt;&gt;"."),dir!AS18/((1/1000)*(Irr!S18+Irr!AQ18+Irr!BO18)),IF(AND(Irr!S18&lt;&gt;".",Irr!AQ18&lt;&gt;".",Irr!BO18="."),dir!AS18/((1/1000)*(Irr!S18+Irr!AQ18)),IF(AND(Irr!S18&lt;&gt;".",Irr!AQ18=".",Irr!BO18&lt;&gt;"."),dir!AS18/((1/1000)*(Irr!S18+Irr!BO18)),IF(AND(Irr!S18=".",Irr!AQ18&lt;&gt;".",Irr!BO18&lt;&gt;"."),dir!AS18/((1/1000)*(Irr!AQ18+Irr!BO18)),IF(AND(Irr!S18=".",Irr!AQ18=".",Irr!BO18&lt;&gt;"."),dir!AS18/((1/1000)*(Irr!BO18)),IF(AND(Irr!S18=".",Irr!AQ18&lt;&gt;".",Irr!BO18="."),dir!AS18/((1/1000)*(Irr!AQ18)),IF(AND(Irr!S18&lt;&gt;".",Irr!AQ18=".",Irr!BO18="."),dir!AS18/((1/1000)*(Irr!S18)),IF(AND(Irr!S18=".",Irr!AQ18=".",Irr!BO18="."),dir!AS18*1000)))))))),".")</f>
        <v>0.27727302262063452</v>
      </c>
      <c r="AT18" s="76">
        <f>IFERROR(IF(AND(Irr!T18&lt;&gt;".",Irr!AR18&lt;&gt;".",Irr!BP18&lt;&gt;"."),dir!AT18/((1/1000)*(Irr!T18+Irr!AR18+Irr!BP18)),IF(AND(Irr!T18&lt;&gt;".",Irr!AR18&lt;&gt;".",Irr!BP18="."),dir!AT18/((1/1000)*(Irr!T18+Irr!AR18)),IF(AND(Irr!T18&lt;&gt;".",Irr!AR18=".",Irr!BP18&lt;&gt;"."),dir!AT18/((1/1000)*(Irr!T18+Irr!BP18)),IF(AND(Irr!T18=".",Irr!AR18&lt;&gt;".",Irr!BP18&lt;&gt;"."),dir!AT18/((1/1000)*(Irr!AR18+Irr!BP18)),IF(AND(Irr!T18=".",Irr!AR18=".",Irr!BP18&lt;&gt;"."),dir!AT18/((1/1000)*(Irr!BP18)),IF(AND(Irr!T18=".",Irr!AR18&lt;&gt;".",Irr!BP18="."),dir!AT18/((1/1000)*(Irr!AR18)),IF(AND(Irr!T18&lt;&gt;".",Irr!AR18=".",Irr!BP18="."),dir!AT18/((1/1000)*(Irr!T18)),IF(AND(Irr!T18=".",Irr!AR18=".",Irr!BP18="."),dir!AT18*1000)))))))),".")</f>
        <v>6.5527493495542863E-2</v>
      </c>
      <c r="AU18" s="76">
        <f>IFERROR(IF(AND(Irr!U18&lt;&gt;".",Irr!AS18&lt;&gt;".",Irr!BQ18&lt;&gt;"."),dir!AU18/((1/1000)*(Irr!U18+Irr!AS18+Irr!BQ18)),IF(AND(Irr!U18&lt;&gt;".",Irr!AS18&lt;&gt;".",Irr!BQ18="."),dir!AU18/((1/1000)*(Irr!U18+Irr!AS18)),IF(AND(Irr!U18&lt;&gt;".",Irr!AS18=".",Irr!BQ18&lt;&gt;"."),dir!AU18/((1/1000)*(Irr!U18+Irr!BQ18)),IF(AND(Irr!U18=".",Irr!AS18&lt;&gt;".",Irr!BQ18&lt;&gt;"."),dir!AU18/((1/1000)*(Irr!AS18+Irr!BQ18)),IF(AND(Irr!U18=".",Irr!AS18=".",Irr!BQ18&lt;&gt;"."),dir!AU18/((1/1000)*(Irr!BQ18)),IF(AND(Irr!U18=".",Irr!AS18&lt;&gt;".",Irr!BQ18="."),dir!AU18/((1/1000)*(Irr!AS18)),IF(AND(Irr!U18&lt;&gt;".",Irr!AS18=".",Irr!BQ18="."),dir!AU18/((1/1000)*(Irr!U18)),IF(AND(Irr!U18=".",Irr!AS18=".",Irr!BQ18="."),dir!AU18*1000)))))))),".")</f>
        <v>0.14033135931484947</v>
      </c>
      <c r="AV18" s="76">
        <f>IFERROR(IF(AND(Irr!V18&lt;&gt;".",Irr!AT18&lt;&gt;".",Irr!BR18&lt;&gt;"."),dir!AV18/((1/1000)*(Irr!V18+Irr!AT18+Irr!BR18)),IF(AND(Irr!V18&lt;&gt;".",Irr!AT18&lt;&gt;".",Irr!BR18="."),dir!AV18/((1/1000)*(Irr!V18+Irr!AT18)),IF(AND(Irr!V18&lt;&gt;".",Irr!AT18=".",Irr!BR18&lt;&gt;"."),dir!AV18/((1/1000)*(Irr!V18+Irr!BR18)),IF(AND(Irr!V18=".",Irr!AT18&lt;&gt;".",Irr!BR18&lt;&gt;"."),dir!AV18/((1/1000)*(Irr!AT18+Irr!BR18)),IF(AND(Irr!V18=".",Irr!AT18=".",Irr!BR18&lt;&gt;"."),dir!AV18/((1/1000)*(Irr!BR18)),IF(AND(Irr!V18=".",Irr!AT18&lt;&gt;".",Irr!BR18="."),dir!AV18/((1/1000)*(Irr!AT18)),IF(AND(Irr!V18&lt;&gt;".",Irr!AT18=".",Irr!BR18="."),dir!AV18/((1/1000)*(Irr!V18)),IF(AND(Irr!V18=".",Irr!AT18=".",Irr!BR18="."),dir!AV18*1000)))))))),".")</f>
        <v>0.1648551684885122</v>
      </c>
      <c r="AW18" s="76">
        <f>IFERROR(IF(AND(Irr!W18&lt;&gt;".",Irr!AU18&lt;&gt;".",Irr!BS18&lt;&gt;"."),dir!AW18/((1/1000)*(Irr!W18+Irr!AU18+Irr!BS18)),IF(AND(Irr!W18&lt;&gt;".",Irr!AU18&lt;&gt;".",Irr!BS18="."),dir!AW18/((1/1000)*(Irr!W18+Irr!AU18)),IF(AND(Irr!W18&lt;&gt;".",Irr!AU18=".",Irr!BS18&lt;&gt;"."),dir!AW18/((1/1000)*(Irr!W18+Irr!BS18)),IF(AND(Irr!W18=".",Irr!AU18&lt;&gt;".",Irr!BS18&lt;&gt;"."),dir!AW18/((1/1000)*(Irr!AU18+Irr!BS18)),IF(AND(Irr!W18=".",Irr!AU18=".",Irr!BS18&lt;&gt;"."),dir!AW18/((1/1000)*(Irr!BS18)),IF(AND(Irr!W18=".",Irr!AU18&lt;&gt;".",Irr!BS18="."),dir!AW18/((1/1000)*(Irr!AU18)),IF(AND(Irr!W18&lt;&gt;".",Irr!AU18=".",Irr!BS18="."),dir!AW18/((1/1000)*(Irr!W18)),IF(AND(Irr!W18=".",Irr!AU18=".",Irr!BS18="."),dir!AW18*1000)))))))),".")</f>
        <v>0.22708081538256836</v>
      </c>
      <c r="AX18" s="76">
        <f>IFERROR(IF(AND(Irr!X18&lt;&gt;".",Irr!AV18&lt;&gt;".",Irr!BT18&lt;&gt;"."),dir!AX18/((1/1000)*(Irr!X18+Irr!AV18+Irr!BT18)),IF(AND(Irr!X18&lt;&gt;".",Irr!AV18&lt;&gt;".",Irr!BT18="."),dir!AX18/((1/1000)*(Irr!X18+Irr!AV18)),IF(AND(Irr!X18&lt;&gt;".",Irr!AV18=".",Irr!BT18&lt;&gt;"."),dir!AX18/((1/1000)*(Irr!X18+Irr!BT18)),IF(AND(Irr!X18=".",Irr!AV18&lt;&gt;".",Irr!BT18&lt;&gt;"."),dir!AX18/((1/1000)*(Irr!AV18+Irr!BT18)),IF(AND(Irr!X18=".",Irr!AV18=".",Irr!BT18&lt;&gt;"."),dir!AX18/((1/1000)*(Irr!BT18)),IF(AND(Irr!X18=".",Irr!AV18&lt;&gt;".",Irr!BT18="."),dir!AX18/((1/1000)*(Irr!AV18)),IF(AND(Irr!X18&lt;&gt;".",Irr!AV18=".",Irr!BT18="."),dir!AX18/((1/1000)*(Irr!X18)),IF(AND(Irr!X18=".",Irr!AV18=".",Irr!BT18="."),dir!AX18*1000)))))))),".")</f>
        <v>0.10025947443379324</v>
      </c>
      <c r="AY18" s="76">
        <f>IFERROR(IF(AND(Irr!Y18&lt;&gt;".",Irr!AW18&lt;&gt;".",Irr!BU18&lt;&gt;"."),dir!AY18/((1/1000)*(Irr!Y18+Irr!AW18+Irr!BU18)),IF(AND(Irr!Y18&lt;&gt;".",Irr!AW18&lt;&gt;".",Irr!BU18="."),dir!AY18/((1/1000)*(Irr!Y18+Irr!AW18)),IF(AND(Irr!Y18&lt;&gt;".",Irr!AW18=".",Irr!BU18&lt;&gt;"."),dir!AY18/((1/1000)*(Irr!Y18+Irr!BU18)),IF(AND(Irr!Y18=".",Irr!AW18&lt;&gt;".",Irr!BU18&lt;&gt;"."),dir!AY18/((1/1000)*(Irr!AW18+Irr!BU18)),IF(AND(Irr!Y18=".",Irr!AW18=".",Irr!BU18&lt;&gt;"."),dir!AY18/((1/1000)*(Irr!BU18)),IF(AND(Irr!Y18=".",Irr!AW18&lt;&gt;".",Irr!BU18="."),dir!AY18/((1/1000)*(Irr!AW18)),IF(AND(Irr!Y18&lt;&gt;".",Irr!AW18=".",Irr!BU18="."),dir!AY18/((1/1000)*(Irr!Y18)),IF(AND(Irr!Y18=".",Irr!AW18=".",Irr!BU18="."),dir!AY18*1000)))))))),".")</f>
        <v>3.0210103459451684E-2</v>
      </c>
      <c r="AZ18" s="76">
        <f>IFERROR(IF(AND(Irr!Z18&lt;&gt;".",Irr!AX18&lt;&gt;".",Irr!BV18&lt;&gt;"."),dir!AZ18/((1/1000)*(Irr!Z18+Irr!AX18+Irr!BV18)),IF(AND(Irr!Z18&lt;&gt;".",Irr!AX18&lt;&gt;".",Irr!BV18="."),dir!AZ18/((1/1000)*(Irr!Z18+Irr!AX18)),IF(AND(Irr!Z18&lt;&gt;".",Irr!AX18=".",Irr!BV18&lt;&gt;"."),dir!AZ18/((1/1000)*(Irr!Z18+Irr!BV18)),IF(AND(Irr!Z18=".",Irr!AX18&lt;&gt;".",Irr!BV18&lt;&gt;"."),dir!AZ18/((1/1000)*(Irr!AX18+Irr!BV18)),IF(AND(Irr!Z18=".",Irr!AX18=".",Irr!BV18&lt;&gt;"."),dir!AZ18/((1/1000)*(Irr!BV18)),IF(AND(Irr!Z18=".",Irr!AX18&lt;&gt;".",Irr!BV18="."),dir!AZ18/((1/1000)*(Irr!AX18)),IF(AND(Irr!Z18&lt;&gt;".",Irr!AX18=".",Irr!BV18="."),dir!AZ18/((1/1000)*(Irr!Z18)),IF(AND(Irr!Z18=".",Irr!AX18=".",Irr!BV18="."),dir!AZ18*1000)))))))),".")</f>
        <v>2.9622000200449278E-2</v>
      </c>
    </row>
    <row r="19" spans="1:52" ht="15" customHeight="1" x14ac:dyDescent="0.25">
      <c r="A19" s="92" t="s">
        <v>29</v>
      </c>
      <c r="B19" s="90" t="s">
        <v>1074</v>
      </c>
      <c r="C19" s="76" t="str">
        <f t="shared" si="16"/>
        <v>.</v>
      </c>
      <c r="D19" s="76" t="str">
        <f>IFERROR(IF(AND(Irr!C19&lt;&gt;".",Irr!AA19&lt;&gt;".",Irr!AY19&lt;&gt;"."),dir!D19/((1/1000)*(Irr!C19+Irr!AA19+Irr!AY19)),IF(AND(Irr!C19&lt;&gt;".",Irr!AA19&lt;&gt;".",Irr!AY19="."),dir!D19/((1/1000)*(Irr!C19+Irr!AA19)),IF(AND(Irr!C19&lt;&gt;".",Irr!AA19=".",Irr!AY19&lt;&gt;"."),dir!D19/((1/1000)*(Irr!C19+Irr!AY19)),IF(AND(Irr!C19=".",Irr!AA19&lt;&gt;".",Irr!AY19&lt;&gt;"."),dir!D19/((1/1000)*(Irr!AA19+Irr!AY19)),IF(AND(Irr!C19=".",Irr!AA19=".",Irr!AY19&lt;&gt;"."),dir!D19/((1/1000)*(Irr!AY19)),IF(AND(Irr!C19=".",Irr!AA19&lt;&gt;".",Irr!AY19="."),dir!D19/((1/1000)*(Irr!AA19)),IF(AND(Irr!C19&lt;&gt;".",Irr!AA19=".",Irr!AY19="."),dir!D19/((1/1000)*(Irr!C19)),IF(AND(Irr!C19=".",Irr!AA19=".",Irr!AY19="."),dir!D19*1000)))))))),".")</f>
        <v>.</v>
      </c>
      <c r="E19" s="76" t="str">
        <f>IFERROR(IF(AND(Irr!D19&lt;&gt;".",Irr!AB19&lt;&gt;".",Irr!AZ19&lt;&gt;"."),dir!E19/((1/1000)*(Irr!D19+Irr!AB19+Irr!AZ19)),IF(AND(Irr!D19&lt;&gt;".",Irr!AB19&lt;&gt;".",Irr!AZ19="."),dir!E19/((1/1000)*(Irr!D19+Irr!AB19)),IF(AND(Irr!D19&lt;&gt;".",Irr!AB19=".",Irr!AZ19&lt;&gt;"."),dir!E19/((1/1000)*(Irr!D19+Irr!AZ19)),IF(AND(Irr!D19=".",Irr!AB19&lt;&gt;".",Irr!AZ19&lt;&gt;"."),dir!E19/((1/1000)*(Irr!AB19+Irr!AZ19)),IF(AND(Irr!D19=".",Irr!AB19=".",Irr!AZ19&lt;&gt;"."),dir!E19/((1/1000)*(Irr!AZ19)),IF(AND(Irr!D19=".",Irr!AB19&lt;&gt;".",Irr!AZ19="."),dir!E19/((1/1000)*(Irr!AB19)),IF(AND(Irr!D19&lt;&gt;".",Irr!AB19=".",Irr!AZ19="."),dir!E19/((1/1000)*(Irr!D19)),IF(AND(Irr!D19=".",Irr!AB19=".",Irr!AZ19="."),dir!E19*1000)))))))),".")</f>
        <v>.</v>
      </c>
      <c r="F19" s="76" t="str">
        <f>IFERROR(IF(AND(Irr!E19&lt;&gt;".",Irr!AC19&lt;&gt;".",Irr!BA19&lt;&gt;"."),dir!F19/((1/1000)*(Irr!E19+Irr!AC19+Irr!BA19)),IF(AND(Irr!E19&lt;&gt;".",Irr!AC19&lt;&gt;".",Irr!BA19="."),dir!F19/((1/1000)*(Irr!E19+Irr!AC19)),IF(AND(Irr!E19&lt;&gt;".",Irr!AC19=".",Irr!BA19&lt;&gt;"."),dir!F19/((1/1000)*(Irr!E19+Irr!BA19)),IF(AND(Irr!E19=".",Irr!AC19&lt;&gt;".",Irr!BA19&lt;&gt;"."),dir!F19/((1/1000)*(Irr!AC19+Irr!BA19)),IF(AND(Irr!E19=".",Irr!AC19=".",Irr!BA19&lt;&gt;"."),dir!F19/((1/1000)*(Irr!BA19)),IF(AND(Irr!E19=".",Irr!AC19&lt;&gt;".",Irr!BA19="."),dir!F19/((1/1000)*(Irr!AC19)),IF(AND(Irr!E19&lt;&gt;".",Irr!AC19=".",Irr!BA19="."),dir!F19/((1/1000)*(Irr!E19)),IF(AND(Irr!E19=".",Irr!AC19=".",Irr!BA19="."),dir!F19*1000)))))))),".")</f>
        <v>.</v>
      </c>
      <c r="G19" s="76" t="str">
        <f>IFERROR(IF(AND(Irr!F19&lt;&gt;".",Irr!AD19&lt;&gt;".",Irr!BB19&lt;&gt;"."),dir!G19/((1/1000)*(Irr!F19+Irr!AD19+Irr!BB19)),IF(AND(Irr!F19&lt;&gt;".",Irr!AD19&lt;&gt;".",Irr!BB19="."),dir!G19/((1/1000)*(Irr!F19+Irr!AD19)),IF(AND(Irr!F19&lt;&gt;".",Irr!AD19=".",Irr!BB19&lt;&gt;"."),dir!G19/((1/1000)*(Irr!F19+Irr!BB19)),IF(AND(Irr!F19=".",Irr!AD19&lt;&gt;".",Irr!BB19&lt;&gt;"."),dir!G19/((1/1000)*(Irr!AD19+Irr!BB19)),IF(AND(Irr!F19=".",Irr!AD19=".",Irr!BB19&lt;&gt;"."),dir!G19/((1/1000)*(Irr!BB19)),IF(AND(Irr!F19=".",Irr!AD19&lt;&gt;".",Irr!BB19="."),dir!G19/((1/1000)*(Irr!AD19)),IF(AND(Irr!F19&lt;&gt;".",Irr!AD19=".",Irr!BB19="."),dir!G19/((1/1000)*(Irr!F19)),IF(AND(Irr!F19=".",Irr!AD19=".",Irr!BB19="."),dir!G19*1000)))))))),".")</f>
        <v>.</v>
      </c>
      <c r="H19" s="76" t="str">
        <f>IFERROR(IF(AND(Irr!G19&lt;&gt;".",Irr!AE19&lt;&gt;".",Irr!BC19&lt;&gt;"."),dir!H19/((1/1000)*(Irr!G19+Irr!AE19+Irr!BC19)),IF(AND(Irr!G19&lt;&gt;".",Irr!AE19&lt;&gt;".",Irr!BC19="."),dir!H19/((1/1000)*(Irr!G19+Irr!AE19)),IF(AND(Irr!G19&lt;&gt;".",Irr!AE19=".",Irr!BC19&lt;&gt;"."),dir!H19/((1/1000)*(Irr!G19+Irr!BC19)),IF(AND(Irr!G19=".",Irr!AE19&lt;&gt;".",Irr!BC19&lt;&gt;"."),dir!H19/((1/1000)*(Irr!AE19+Irr!BC19)),IF(AND(Irr!G19=".",Irr!AE19=".",Irr!BC19&lt;&gt;"."),dir!H19/((1/1000)*(Irr!BC19)),IF(AND(Irr!G19=".",Irr!AE19&lt;&gt;".",Irr!BC19="."),dir!H19/((1/1000)*(Irr!AE19)),IF(AND(Irr!G19&lt;&gt;".",Irr!AE19=".",Irr!BC19="."),dir!H19/((1/1000)*(Irr!G19)),IF(AND(Irr!G19=".",Irr!AE19=".",Irr!BC19="."),dir!H19*1000)))))))),".")</f>
        <v>.</v>
      </c>
      <c r="I19" s="76" t="str">
        <f>IFERROR(IF(AND(Irr!H19&lt;&gt;".",Irr!AF19&lt;&gt;".",Irr!BD19&lt;&gt;"."),dir!I19/((1/1000)*(Irr!H19+Irr!AF19+Irr!BD19)),IF(AND(Irr!H19&lt;&gt;".",Irr!AF19&lt;&gt;".",Irr!BD19="."),dir!I19/((1/1000)*(Irr!H19+Irr!AF19)),IF(AND(Irr!H19&lt;&gt;".",Irr!AF19=".",Irr!BD19&lt;&gt;"."),dir!I19/((1/1000)*(Irr!H19+Irr!BD19)),IF(AND(Irr!H19=".",Irr!AF19&lt;&gt;".",Irr!BD19&lt;&gt;"."),dir!I19/((1/1000)*(Irr!AF19+Irr!BD19)),IF(AND(Irr!H19=".",Irr!AF19=".",Irr!BD19&lt;&gt;"."),dir!I19/((1/1000)*(Irr!BD19)),IF(AND(Irr!H19=".",Irr!AF19&lt;&gt;".",Irr!BD19="."),dir!I19/((1/1000)*(Irr!AF19)),IF(AND(Irr!H19&lt;&gt;".",Irr!AF19=".",Irr!BD19="."),dir!I19/((1/1000)*(Irr!H19)),IF(AND(Irr!H19=".",Irr!AF19=".",Irr!BD19="."),dir!I19*1000)))))))),".")</f>
        <v>.</v>
      </c>
      <c r="J19" s="76" t="str">
        <f>IFERROR(IF(AND(Irr!I19&lt;&gt;".",Irr!AG19&lt;&gt;".",Irr!BE19&lt;&gt;"."),dir!J19/((1/1000)*(Irr!I19+Irr!AG19+Irr!BE19)),IF(AND(Irr!I19&lt;&gt;".",Irr!AG19&lt;&gt;".",Irr!BE19="."),dir!J19/((1/1000)*(Irr!I19+Irr!AG19)),IF(AND(Irr!I19&lt;&gt;".",Irr!AG19=".",Irr!BE19&lt;&gt;"."),dir!J19/((1/1000)*(Irr!I19+Irr!BE19)),IF(AND(Irr!I19=".",Irr!AG19&lt;&gt;".",Irr!BE19&lt;&gt;"."),dir!J19/((1/1000)*(Irr!AG19+Irr!BE19)),IF(AND(Irr!I19=".",Irr!AG19=".",Irr!BE19&lt;&gt;"."),dir!J19/((1/1000)*(Irr!BE19)),IF(AND(Irr!I19=".",Irr!AG19&lt;&gt;".",Irr!BE19="."),dir!J19/((1/1000)*(Irr!AG19)),IF(AND(Irr!I19&lt;&gt;".",Irr!AG19=".",Irr!BE19="."),dir!J19/((1/1000)*(Irr!I19)),IF(AND(Irr!I19=".",Irr!AG19=".",Irr!BE19="."),dir!J19*1000)))))))),".")</f>
        <v>.</v>
      </c>
      <c r="K19" s="76" t="str">
        <f>IFERROR(IF(AND(Irr!J19&lt;&gt;".",Irr!AH19&lt;&gt;".",Irr!BF19&lt;&gt;"."),dir!K19/((1/1000)*(Irr!J19+Irr!AH19+Irr!BF19)),IF(AND(Irr!J19&lt;&gt;".",Irr!AH19&lt;&gt;".",Irr!BF19="."),dir!K19/((1/1000)*(Irr!J19+Irr!AH19)),IF(AND(Irr!J19&lt;&gt;".",Irr!AH19=".",Irr!BF19&lt;&gt;"."),dir!K19/((1/1000)*(Irr!J19+Irr!BF19)),IF(AND(Irr!J19=".",Irr!AH19&lt;&gt;".",Irr!BF19&lt;&gt;"."),dir!K19/((1/1000)*(Irr!AH19+Irr!BF19)),IF(AND(Irr!J19=".",Irr!AH19=".",Irr!BF19&lt;&gt;"."),dir!K19/((1/1000)*(Irr!BF19)),IF(AND(Irr!J19=".",Irr!AH19&lt;&gt;".",Irr!BF19="."),dir!K19/((1/1000)*(Irr!AH19)),IF(AND(Irr!J19&lt;&gt;".",Irr!AH19=".",Irr!BF19="."),dir!K19/((1/1000)*(Irr!J19)),IF(AND(Irr!J19=".",Irr!AH19=".",Irr!BF19="."),dir!K19*1000)))))))),".")</f>
        <v>.</v>
      </c>
      <c r="L19" s="76" t="str">
        <f>IFERROR(IF(AND(Irr!K19&lt;&gt;".",Irr!AI19&lt;&gt;".",Irr!BG19&lt;&gt;"."),dir!L19/((1/1000)*(Irr!K19+Irr!AI19+Irr!BG19)),IF(AND(Irr!K19&lt;&gt;".",Irr!AI19&lt;&gt;".",Irr!BG19="."),dir!L19/((1/1000)*(Irr!K19+Irr!AI19)),IF(AND(Irr!K19&lt;&gt;".",Irr!AI19=".",Irr!BG19&lt;&gt;"."),dir!L19/((1/1000)*(Irr!K19+Irr!BG19)),IF(AND(Irr!K19=".",Irr!AI19&lt;&gt;".",Irr!BG19&lt;&gt;"."),dir!L19/((1/1000)*(Irr!AI19+Irr!BG19)),IF(AND(Irr!K19=".",Irr!AI19=".",Irr!BG19&lt;&gt;"."),dir!L19/((1/1000)*(Irr!BG19)),IF(AND(Irr!K19=".",Irr!AI19&lt;&gt;".",Irr!BG19="."),dir!L19/((1/1000)*(Irr!AI19)),IF(AND(Irr!K19&lt;&gt;".",Irr!AI19=".",Irr!BG19="."),dir!L19/((1/1000)*(Irr!K19)),IF(AND(Irr!K19=".",Irr!AI19=".",Irr!BG19="."),dir!L19*1000)))))))),".")</f>
        <v>.</v>
      </c>
      <c r="M19" s="76" t="str">
        <f>IFERROR(IF(AND(Irr!L19&lt;&gt;".",Irr!AJ19&lt;&gt;".",Irr!BH19&lt;&gt;"."),dir!M19/((1/1000)*(Irr!L19+Irr!AJ19+Irr!BH19)),IF(AND(Irr!L19&lt;&gt;".",Irr!AJ19&lt;&gt;".",Irr!BH19="."),dir!M19/((1/1000)*(Irr!L19+Irr!AJ19)),IF(AND(Irr!L19&lt;&gt;".",Irr!AJ19=".",Irr!BH19&lt;&gt;"."),dir!M19/((1/1000)*(Irr!L19+Irr!BH19)),IF(AND(Irr!L19=".",Irr!AJ19&lt;&gt;".",Irr!BH19&lt;&gt;"."),dir!M19/((1/1000)*(Irr!AJ19+Irr!BH19)),IF(AND(Irr!L19=".",Irr!AJ19=".",Irr!BH19&lt;&gt;"."),dir!M19/((1/1000)*(Irr!BH19)),IF(AND(Irr!L19=".",Irr!AJ19&lt;&gt;".",Irr!BH19="."),dir!M19/((1/1000)*(Irr!AJ19)),IF(AND(Irr!L19&lt;&gt;".",Irr!AJ19=".",Irr!BH19="."),dir!M19/((1/1000)*(Irr!L19)),IF(AND(Irr!L19=".",Irr!AJ19=".",Irr!BH19="."),dir!M19*1000)))))))),".")</f>
        <v>.</v>
      </c>
      <c r="N19" s="76" t="str">
        <f>IFERROR(IF(AND(Irr!M19&lt;&gt;".",Irr!AK19&lt;&gt;".",Irr!BI19&lt;&gt;"."),dir!N19/((1/1000)*(Irr!M19+Irr!AK19+Irr!BI19)),IF(AND(Irr!M19&lt;&gt;".",Irr!AK19&lt;&gt;".",Irr!BI19="."),dir!N19/((1/1000)*(Irr!M19+Irr!AK19)),IF(AND(Irr!M19&lt;&gt;".",Irr!AK19=".",Irr!BI19&lt;&gt;"."),dir!N19/((1/1000)*(Irr!M19+Irr!BI19)),IF(AND(Irr!M19=".",Irr!AK19&lt;&gt;".",Irr!BI19&lt;&gt;"."),dir!N19/((1/1000)*(Irr!AK19+Irr!BI19)),IF(AND(Irr!M19=".",Irr!AK19=".",Irr!BI19&lt;&gt;"."),dir!N19/((1/1000)*(Irr!BI19)),IF(AND(Irr!M19=".",Irr!AK19&lt;&gt;".",Irr!BI19="."),dir!N19/((1/1000)*(Irr!AK19)),IF(AND(Irr!M19&lt;&gt;".",Irr!AK19=".",Irr!BI19="."),dir!N19/((1/1000)*(Irr!M19)),IF(AND(Irr!M19=".",Irr!AK19=".",Irr!BI19="."),dir!N19*1000)))))))),".")</f>
        <v>.</v>
      </c>
      <c r="O19" s="76" t="str">
        <f>IFERROR(IF(AND(Irr!N19&lt;&gt;".",Irr!AL19&lt;&gt;".",Irr!BJ19&lt;&gt;"."),dir!O19/((1/1000)*(Irr!N19+Irr!AL19+Irr!BJ19)),IF(AND(Irr!N19&lt;&gt;".",Irr!AL19&lt;&gt;".",Irr!BJ19="."),dir!O19/((1/1000)*(Irr!N19+Irr!AL19)),IF(AND(Irr!N19&lt;&gt;".",Irr!AL19=".",Irr!BJ19&lt;&gt;"."),dir!O19/((1/1000)*(Irr!N19+Irr!BJ19)),IF(AND(Irr!N19=".",Irr!AL19&lt;&gt;".",Irr!BJ19&lt;&gt;"."),dir!O19/((1/1000)*(Irr!AL19+Irr!BJ19)),IF(AND(Irr!N19=".",Irr!AL19=".",Irr!BJ19&lt;&gt;"."),dir!O19/((1/1000)*(Irr!BJ19)),IF(AND(Irr!N19=".",Irr!AL19&lt;&gt;".",Irr!BJ19="."),dir!O19/((1/1000)*(Irr!AL19)),IF(AND(Irr!N19&lt;&gt;".",Irr!AL19=".",Irr!BJ19="."),dir!O19/((1/1000)*(Irr!N19)),IF(AND(Irr!N19=".",Irr!AL19=".",Irr!BJ19="."),dir!O19*1000)))))))),".")</f>
        <v>.</v>
      </c>
      <c r="P19" s="76" t="str">
        <f>IFERROR(IF(AND(Irr!O19&lt;&gt;".",Irr!AM19&lt;&gt;".",Irr!BK19&lt;&gt;"."),dir!P19/((1/1000)*(Irr!O19+Irr!AM19+Irr!BK19)),IF(AND(Irr!O19&lt;&gt;".",Irr!AM19&lt;&gt;".",Irr!BK19="."),dir!P19/((1/1000)*(Irr!O19+Irr!AM19)),IF(AND(Irr!O19&lt;&gt;".",Irr!AM19=".",Irr!BK19&lt;&gt;"."),dir!P19/((1/1000)*(Irr!O19+Irr!BK19)),IF(AND(Irr!O19=".",Irr!AM19&lt;&gt;".",Irr!BK19&lt;&gt;"."),dir!P19/((1/1000)*(Irr!AM19+Irr!BK19)),IF(AND(Irr!O19=".",Irr!AM19=".",Irr!BK19&lt;&gt;"."),dir!P19/((1/1000)*(Irr!BK19)),IF(AND(Irr!O19=".",Irr!AM19&lt;&gt;".",Irr!BK19="."),dir!P19/((1/1000)*(Irr!AM19)),IF(AND(Irr!O19&lt;&gt;".",Irr!AM19=".",Irr!BK19="."),dir!P19/((1/1000)*(Irr!O19)),IF(AND(Irr!O19=".",Irr!AM19=".",Irr!BK19="."),dir!P19*1000)))))))),".")</f>
        <v>.</v>
      </c>
      <c r="Q19" s="76" t="str">
        <f>IFERROR(IF(AND(Irr!P19&lt;&gt;".",Irr!AN19&lt;&gt;".",Irr!BL19&lt;&gt;"."),dir!Q19/((1/1000)*(Irr!P19+Irr!AN19+Irr!BL19)),IF(AND(Irr!P19&lt;&gt;".",Irr!AN19&lt;&gt;".",Irr!BL19="."),dir!Q19/((1/1000)*(Irr!P19+Irr!AN19)),IF(AND(Irr!P19&lt;&gt;".",Irr!AN19=".",Irr!BL19&lt;&gt;"."),dir!Q19/((1/1000)*(Irr!P19+Irr!BL19)),IF(AND(Irr!P19=".",Irr!AN19&lt;&gt;".",Irr!BL19&lt;&gt;"."),dir!Q19/((1/1000)*(Irr!AN19+Irr!BL19)),IF(AND(Irr!P19=".",Irr!AN19=".",Irr!BL19&lt;&gt;"."),dir!Q19/((1/1000)*(Irr!BL19)),IF(AND(Irr!P19=".",Irr!AN19&lt;&gt;".",Irr!BL19="."),dir!Q19/((1/1000)*(Irr!AN19)),IF(AND(Irr!P19&lt;&gt;".",Irr!AN19=".",Irr!BL19="."),dir!Q19/((1/1000)*(Irr!P19)),IF(AND(Irr!P19=".",Irr!AN19=".",Irr!BL19="."),dir!Q19*1000)))))))),".")</f>
        <v>.</v>
      </c>
      <c r="R19" s="76" t="str">
        <f>IFERROR(IF(AND(Irr!Q19&lt;&gt;".",Irr!AO19&lt;&gt;".",Irr!BM19&lt;&gt;"."),dir!R19/((1/1000)*(Irr!Q19+Irr!AO19+Irr!BM19)),IF(AND(Irr!Q19&lt;&gt;".",Irr!AO19&lt;&gt;".",Irr!BM19="."),dir!R19/((1/1000)*(Irr!Q19+Irr!AO19)),IF(AND(Irr!Q19&lt;&gt;".",Irr!AO19=".",Irr!BM19&lt;&gt;"."),dir!R19/((1/1000)*(Irr!Q19+Irr!BM19)),IF(AND(Irr!Q19=".",Irr!AO19&lt;&gt;".",Irr!BM19&lt;&gt;"."),dir!R19/((1/1000)*(Irr!AO19+Irr!BM19)),IF(AND(Irr!Q19=".",Irr!AO19=".",Irr!BM19&lt;&gt;"."),dir!R19/((1/1000)*(Irr!BM19)),IF(AND(Irr!Q19=".",Irr!AO19&lt;&gt;".",Irr!BM19="."),dir!R19/((1/1000)*(Irr!AO19)),IF(AND(Irr!Q19&lt;&gt;".",Irr!AO19=".",Irr!BM19="."),dir!R19/((1/1000)*(Irr!Q19)),IF(AND(Irr!Q19=".",Irr!AO19=".",Irr!BM19="."),dir!R19*1000)))))))),".")</f>
        <v>.</v>
      </c>
      <c r="S19" s="76" t="str">
        <f>IFERROR(IF(AND(Irr!R19&lt;&gt;".",Irr!AP19&lt;&gt;".",Irr!BN19&lt;&gt;"."),dir!S19/((1/1000)*(Irr!R19+Irr!AP19+Irr!BN19)),IF(AND(Irr!R19&lt;&gt;".",Irr!AP19&lt;&gt;".",Irr!BN19="."),dir!S19/((1/1000)*(Irr!R19+Irr!AP19)),IF(AND(Irr!R19&lt;&gt;".",Irr!AP19=".",Irr!BN19&lt;&gt;"."),dir!S19/((1/1000)*(Irr!R19+Irr!BN19)),IF(AND(Irr!R19=".",Irr!AP19&lt;&gt;".",Irr!BN19&lt;&gt;"."),dir!S19/((1/1000)*(Irr!AP19+Irr!BN19)),IF(AND(Irr!R19=".",Irr!AP19=".",Irr!BN19&lt;&gt;"."),dir!S19/((1/1000)*(Irr!BN19)),IF(AND(Irr!R19=".",Irr!AP19&lt;&gt;".",Irr!BN19="."),dir!S19/((1/1000)*(Irr!AP19)),IF(AND(Irr!R19&lt;&gt;".",Irr!AP19=".",Irr!BN19="."),dir!S19/((1/1000)*(Irr!R19)),IF(AND(Irr!R19=".",Irr!AP19=".",Irr!BN19="."),dir!S19*1000)))))))),".")</f>
        <v>.</v>
      </c>
      <c r="T19" s="76" t="str">
        <f>IFERROR(IF(AND(Irr!S19&lt;&gt;".",Irr!AQ19&lt;&gt;".",Irr!BO19&lt;&gt;"."),dir!T19/((1/1000)*(Irr!S19+Irr!AQ19+Irr!BO19)),IF(AND(Irr!S19&lt;&gt;".",Irr!AQ19&lt;&gt;".",Irr!BO19="."),dir!T19/((1/1000)*(Irr!S19+Irr!AQ19)),IF(AND(Irr!S19&lt;&gt;".",Irr!AQ19=".",Irr!BO19&lt;&gt;"."),dir!T19/((1/1000)*(Irr!S19+Irr!BO19)),IF(AND(Irr!S19=".",Irr!AQ19&lt;&gt;".",Irr!BO19&lt;&gt;"."),dir!T19/((1/1000)*(Irr!AQ19+Irr!BO19)),IF(AND(Irr!S19=".",Irr!AQ19=".",Irr!BO19&lt;&gt;"."),dir!T19/((1/1000)*(Irr!BO19)),IF(AND(Irr!S19=".",Irr!AQ19&lt;&gt;".",Irr!BO19="."),dir!T19/((1/1000)*(Irr!AQ19)),IF(AND(Irr!S19&lt;&gt;".",Irr!AQ19=".",Irr!BO19="."),dir!T19/((1/1000)*(Irr!S19)),IF(AND(Irr!S19=".",Irr!AQ19=".",Irr!BO19="."),dir!T19*1000)))))))),".")</f>
        <v>.</v>
      </c>
      <c r="U19" s="76" t="str">
        <f>IFERROR(IF(AND(Irr!T19&lt;&gt;".",Irr!AR19&lt;&gt;".",Irr!BP19&lt;&gt;"."),dir!U19/((1/1000)*(Irr!T19+Irr!AR19+Irr!BP19)),IF(AND(Irr!T19&lt;&gt;".",Irr!AR19&lt;&gt;".",Irr!BP19="."),dir!U19/((1/1000)*(Irr!T19+Irr!AR19)),IF(AND(Irr!T19&lt;&gt;".",Irr!AR19=".",Irr!BP19&lt;&gt;"."),dir!U19/((1/1000)*(Irr!T19+Irr!BP19)),IF(AND(Irr!T19=".",Irr!AR19&lt;&gt;".",Irr!BP19&lt;&gt;"."),dir!U19/((1/1000)*(Irr!AR19+Irr!BP19)),IF(AND(Irr!T19=".",Irr!AR19=".",Irr!BP19&lt;&gt;"."),dir!U19/((1/1000)*(Irr!BP19)),IF(AND(Irr!T19=".",Irr!AR19&lt;&gt;".",Irr!BP19="."),dir!U19/((1/1000)*(Irr!AR19)),IF(AND(Irr!T19&lt;&gt;".",Irr!AR19=".",Irr!BP19="."),dir!U19/((1/1000)*(Irr!T19)),IF(AND(Irr!T19=".",Irr!AR19=".",Irr!BP19="."),dir!U19*1000)))))))),".")</f>
        <v>.</v>
      </c>
      <c r="V19" s="76" t="str">
        <f>IFERROR(IF(AND(Irr!U19&lt;&gt;".",Irr!AS19&lt;&gt;".",Irr!BQ19&lt;&gt;"."),dir!V19/((1/1000)*(Irr!U19+Irr!AS19+Irr!BQ19)),IF(AND(Irr!U19&lt;&gt;".",Irr!AS19&lt;&gt;".",Irr!BQ19="."),dir!V19/((1/1000)*(Irr!U19+Irr!AS19)),IF(AND(Irr!U19&lt;&gt;".",Irr!AS19=".",Irr!BQ19&lt;&gt;"."),dir!V19/((1/1000)*(Irr!U19+Irr!BQ19)),IF(AND(Irr!U19=".",Irr!AS19&lt;&gt;".",Irr!BQ19&lt;&gt;"."),dir!V19/((1/1000)*(Irr!AS19+Irr!BQ19)),IF(AND(Irr!U19=".",Irr!AS19=".",Irr!BQ19&lt;&gt;"."),dir!V19/((1/1000)*(Irr!BQ19)),IF(AND(Irr!U19=".",Irr!AS19&lt;&gt;".",Irr!BQ19="."),dir!V19/((1/1000)*(Irr!AS19)),IF(AND(Irr!U19&lt;&gt;".",Irr!AS19=".",Irr!BQ19="."),dir!V19/((1/1000)*(Irr!U19)),IF(AND(Irr!U19=".",Irr!AS19=".",Irr!BQ19="."),dir!V19*1000)))))))),".")</f>
        <v>.</v>
      </c>
      <c r="W19" s="76" t="str">
        <f>IFERROR(IF(AND(Irr!V19&lt;&gt;".",Irr!AT19&lt;&gt;".",Irr!BR19&lt;&gt;"."),dir!W19/((1/1000)*(Irr!V19+Irr!AT19+Irr!BR19)),IF(AND(Irr!V19&lt;&gt;".",Irr!AT19&lt;&gt;".",Irr!BR19="."),dir!W19/((1/1000)*(Irr!V19+Irr!AT19)),IF(AND(Irr!V19&lt;&gt;".",Irr!AT19=".",Irr!BR19&lt;&gt;"."),dir!W19/((1/1000)*(Irr!V19+Irr!BR19)),IF(AND(Irr!V19=".",Irr!AT19&lt;&gt;".",Irr!BR19&lt;&gt;"."),dir!W19/((1/1000)*(Irr!AT19+Irr!BR19)),IF(AND(Irr!V19=".",Irr!AT19=".",Irr!BR19&lt;&gt;"."),dir!W19/((1/1000)*(Irr!BR19)),IF(AND(Irr!V19=".",Irr!AT19&lt;&gt;".",Irr!BR19="."),dir!W19/((1/1000)*(Irr!AT19)),IF(AND(Irr!V19&lt;&gt;".",Irr!AT19=".",Irr!BR19="."),dir!W19/((1/1000)*(Irr!V19)),IF(AND(Irr!V19=".",Irr!AT19=".",Irr!BR19="."),dir!W19*1000)))))))),".")</f>
        <v>.</v>
      </c>
      <c r="X19" s="76" t="str">
        <f>IFERROR(IF(AND(Irr!W19&lt;&gt;".",Irr!AU19&lt;&gt;".",Irr!BS19&lt;&gt;"."),dir!X19/((1/1000)*(Irr!W19+Irr!AU19+Irr!BS19)),IF(AND(Irr!W19&lt;&gt;".",Irr!AU19&lt;&gt;".",Irr!BS19="."),dir!X19/((1/1000)*(Irr!W19+Irr!AU19)),IF(AND(Irr!W19&lt;&gt;".",Irr!AU19=".",Irr!BS19&lt;&gt;"."),dir!X19/((1/1000)*(Irr!W19+Irr!BS19)),IF(AND(Irr!W19=".",Irr!AU19&lt;&gt;".",Irr!BS19&lt;&gt;"."),dir!X19/((1/1000)*(Irr!AU19+Irr!BS19)),IF(AND(Irr!W19=".",Irr!AU19=".",Irr!BS19&lt;&gt;"."),dir!X19/((1/1000)*(Irr!BS19)),IF(AND(Irr!W19=".",Irr!AU19&lt;&gt;".",Irr!BS19="."),dir!X19/((1/1000)*(Irr!AU19)),IF(AND(Irr!W19&lt;&gt;".",Irr!AU19=".",Irr!BS19="."),dir!X19/((1/1000)*(Irr!W19)),IF(AND(Irr!W19=".",Irr!AU19=".",Irr!BS19="."),dir!X19*1000)))))))),".")</f>
        <v>.</v>
      </c>
      <c r="Y19" s="76" t="str">
        <f>IFERROR(IF(AND(Irr!X19&lt;&gt;".",Irr!AV19&lt;&gt;".",Irr!BT19&lt;&gt;"."),dir!Y19/((1/1000)*(Irr!X19+Irr!AV19+Irr!BT19)),IF(AND(Irr!X19&lt;&gt;".",Irr!AV19&lt;&gt;".",Irr!BT19="."),dir!Y19/((1/1000)*(Irr!X19+Irr!AV19)),IF(AND(Irr!X19&lt;&gt;".",Irr!AV19=".",Irr!BT19&lt;&gt;"."),dir!Y19/((1/1000)*(Irr!X19+Irr!BT19)),IF(AND(Irr!X19=".",Irr!AV19&lt;&gt;".",Irr!BT19&lt;&gt;"."),dir!Y19/((1/1000)*(Irr!AV19+Irr!BT19)),IF(AND(Irr!X19=".",Irr!AV19=".",Irr!BT19&lt;&gt;"."),dir!Y19/((1/1000)*(Irr!BT19)),IF(AND(Irr!X19=".",Irr!AV19&lt;&gt;".",Irr!BT19="."),dir!Y19/((1/1000)*(Irr!AV19)),IF(AND(Irr!X19&lt;&gt;".",Irr!AV19=".",Irr!BT19="."),dir!Y19/((1/1000)*(Irr!X19)),IF(AND(Irr!X19=".",Irr!AV19=".",Irr!BT19="."),dir!Y19*1000)))))))),".")</f>
        <v>.</v>
      </c>
      <c r="Z19" s="76" t="str">
        <f>IFERROR(IF(AND(Irr!Y19&lt;&gt;".",Irr!AW19&lt;&gt;".",Irr!BU19&lt;&gt;"."),dir!Z19/((1/1000)*(Irr!Y19+Irr!AW19+Irr!BU19)),IF(AND(Irr!Y19&lt;&gt;".",Irr!AW19&lt;&gt;".",Irr!BU19="."),dir!Z19/((1/1000)*(Irr!Y19+Irr!AW19)),IF(AND(Irr!Y19&lt;&gt;".",Irr!AW19=".",Irr!BU19&lt;&gt;"."),dir!Z19/((1/1000)*(Irr!Y19+Irr!BU19)),IF(AND(Irr!Y19=".",Irr!AW19&lt;&gt;".",Irr!BU19&lt;&gt;"."),dir!Z19/((1/1000)*(Irr!AW19+Irr!BU19)),IF(AND(Irr!Y19=".",Irr!AW19=".",Irr!BU19&lt;&gt;"."),dir!Z19/((1/1000)*(Irr!BU19)),IF(AND(Irr!Y19=".",Irr!AW19&lt;&gt;".",Irr!BU19="."),dir!Z19/((1/1000)*(Irr!AW19)),IF(AND(Irr!Y19&lt;&gt;".",Irr!AW19=".",Irr!BU19="."),dir!Z19/((1/1000)*(Irr!Y19)),IF(AND(Irr!Y19=".",Irr!AW19=".",Irr!BU19="."),dir!Z19*1000)))))))),".")</f>
        <v>.</v>
      </c>
      <c r="AA19" s="76" t="str">
        <f>IFERROR(IF(AND(Irr!Z19&lt;&gt;".",Irr!AX19&lt;&gt;".",Irr!BV19&lt;&gt;"."),dir!AA19/((1/1000)*(Irr!Z19+Irr!AX19+Irr!BV19)),IF(AND(Irr!Z19&lt;&gt;".",Irr!AX19&lt;&gt;".",Irr!BV19="."),dir!AA19/((1/1000)*(Irr!Z19+Irr!AX19)),IF(AND(Irr!Z19&lt;&gt;".",Irr!AX19=".",Irr!BV19&lt;&gt;"."),dir!AA19/((1/1000)*(Irr!Z19+Irr!BV19)),IF(AND(Irr!Z19=".",Irr!AX19&lt;&gt;".",Irr!BV19&lt;&gt;"."),dir!AA19/((1/1000)*(Irr!AX19+Irr!BV19)),IF(AND(Irr!Z19=".",Irr!AX19=".",Irr!BV19&lt;&gt;"."),dir!AA19/((1/1000)*(Irr!BV19)),IF(AND(Irr!Z19=".",Irr!AX19&lt;&gt;".",Irr!BV19="."),dir!AA19/((1/1000)*(Irr!AX19)),IF(AND(Irr!Z19&lt;&gt;".",Irr!AX19=".",Irr!BV19="."),dir!AA19/((1/1000)*(Irr!Z19)),IF(AND(Irr!Z19=".",Irr!AX19=".",Irr!BV19="."),dir!AA19*1000)))))))),".")</f>
        <v>.</v>
      </c>
      <c r="AB19" s="76" t="str">
        <f t="shared" si="17"/>
        <v>.</v>
      </c>
      <c r="AC19" s="76" t="str">
        <f>IFERROR(IF(AND(Irr!C19&lt;&gt;".",Irr!AA19&lt;&gt;".",Irr!AY19&lt;&gt;"."),dir!AC19/((1/1000)*(Irr!C19+Irr!AA19+Irr!AY19)),IF(AND(Irr!C19&lt;&gt;".",Irr!AA19&lt;&gt;".",Irr!AY19="."),dir!AC19/((1/1000)*(Irr!C19+Irr!AA19)),IF(AND(Irr!C19&lt;&gt;".",Irr!AA19=".",Irr!AY19&lt;&gt;"."),dir!AC19/((1/1000)*(Irr!C19+Irr!AY19)),IF(AND(Irr!C19=".",Irr!AA19&lt;&gt;".",Irr!AY19&lt;&gt;"."),dir!AC19/((1/1000)*(Irr!AA19+Irr!AY19)),IF(AND(Irr!C19=".",Irr!AA19=".",Irr!AY19&lt;&gt;"."),dir!AC19/((1/1000)*(Irr!AY19)),IF(AND(Irr!C19=".",Irr!AA19&lt;&gt;".",Irr!AY19="."),dir!AC19/((1/1000)*(Irr!AA19)),IF(AND(Irr!C19&lt;&gt;".",Irr!AA19=".",Irr!AY19="."),dir!AC19/((1/1000)*(Irr!C19)),IF(AND(Irr!C19=".",Irr!AA19=".",Irr!AY19="."),dir!AC19*1000)))))))),".")</f>
        <v>.</v>
      </c>
      <c r="AD19" s="76" t="str">
        <f>IFERROR(IF(AND(Irr!D19&lt;&gt;".",Irr!AB19&lt;&gt;".",Irr!AZ19&lt;&gt;"."),dir!AD19/((1/1000)*(Irr!D19+Irr!AB19+Irr!AZ19)),IF(AND(Irr!D19&lt;&gt;".",Irr!AB19&lt;&gt;".",Irr!AZ19="."),dir!AD19/((1/1000)*(Irr!D19+Irr!AB19)),IF(AND(Irr!D19&lt;&gt;".",Irr!AB19=".",Irr!AZ19&lt;&gt;"."),dir!AD19/((1/1000)*(Irr!D19+Irr!AZ19)),IF(AND(Irr!D19=".",Irr!AB19&lt;&gt;".",Irr!AZ19&lt;&gt;"."),dir!AD19/((1/1000)*(Irr!AB19+Irr!AZ19)),IF(AND(Irr!D19=".",Irr!AB19=".",Irr!AZ19&lt;&gt;"."),dir!AD19/((1/1000)*(Irr!AZ19)),IF(AND(Irr!D19=".",Irr!AB19&lt;&gt;".",Irr!AZ19="."),dir!AD19/((1/1000)*(Irr!AB19)),IF(AND(Irr!D19&lt;&gt;".",Irr!AB19=".",Irr!AZ19="."),dir!AD19/((1/1000)*(Irr!D19)),IF(AND(Irr!D19=".",Irr!AB19=".",Irr!AZ19="."),dir!AD19*1000)))))))),".")</f>
        <v>.</v>
      </c>
      <c r="AE19" s="76" t="str">
        <f>IFERROR(IF(AND(Irr!E19&lt;&gt;".",Irr!AC19&lt;&gt;".",Irr!BA19&lt;&gt;"."),dir!AE19/((1/1000)*(Irr!E19+Irr!AC19+Irr!BA19)),IF(AND(Irr!E19&lt;&gt;".",Irr!AC19&lt;&gt;".",Irr!BA19="."),dir!AE19/((1/1000)*(Irr!E19+Irr!AC19)),IF(AND(Irr!E19&lt;&gt;".",Irr!AC19=".",Irr!BA19&lt;&gt;"."),dir!AE19/((1/1000)*(Irr!E19+Irr!BA19)),IF(AND(Irr!E19=".",Irr!AC19&lt;&gt;".",Irr!BA19&lt;&gt;"."),dir!AE19/((1/1000)*(Irr!AC19+Irr!BA19)),IF(AND(Irr!E19=".",Irr!AC19=".",Irr!BA19&lt;&gt;"."),dir!AE19/((1/1000)*(Irr!BA19)),IF(AND(Irr!E19=".",Irr!AC19&lt;&gt;".",Irr!BA19="."),dir!AE19/((1/1000)*(Irr!AC19)),IF(AND(Irr!E19&lt;&gt;".",Irr!AC19=".",Irr!BA19="."),dir!AE19/((1/1000)*(Irr!E19)),IF(AND(Irr!E19=".",Irr!AC19=".",Irr!BA19="."),dir!AE19*1000)))))))),".")</f>
        <v>.</v>
      </c>
      <c r="AF19" s="76" t="str">
        <f>IFERROR(IF(AND(Irr!F19&lt;&gt;".",Irr!AD19&lt;&gt;".",Irr!BB19&lt;&gt;"."),dir!AF19/((1/1000)*(Irr!F19+Irr!AD19+Irr!BB19)),IF(AND(Irr!F19&lt;&gt;".",Irr!AD19&lt;&gt;".",Irr!BB19="."),dir!AF19/((1/1000)*(Irr!F19+Irr!AD19)),IF(AND(Irr!F19&lt;&gt;".",Irr!AD19=".",Irr!BB19&lt;&gt;"."),dir!AF19/((1/1000)*(Irr!F19+Irr!BB19)),IF(AND(Irr!F19=".",Irr!AD19&lt;&gt;".",Irr!BB19&lt;&gt;"."),dir!AF19/((1/1000)*(Irr!AD19+Irr!BB19)),IF(AND(Irr!F19=".",Irr!AD19=".",Irr!BB19&lt;&gt;"."),dir!AF19/((1/1000)*(Irr!BB19)),IF(AND(Irr!F19=".",Irr!AD19&lt;&gt;".",Irr!BB19="."),dir!AF19/((1/1000)*(Irr!AD19)),IF(AND(Irr!F19&lt;&gt;".",Irr!AD19=".",Irr!BB19="."),dir!AF19/((1/1000)*(Irr!F19)),IF(AND(Irr!F19=".",Irr!AD19=".",Irr!BB19="."),dir!AF19*1000)))))))),".")</f>
        <v>.</v>
      </c>
      <c r="AG19" s="76" t="str">
        <f>IFERROR(IF(AND(Irr!G19&lt;&gt;".",Irr!AE19&lt;&gt;".",Irr!BC19&lt;&gt;"."),dir!AG19/((1/1000)*(Irr!G19+Irr!AE19+Irr!BC19)),IF(AND(Irr!G19&lt;&gt;".",Irr!AE19&lt;&gt;".",Irr!BC19="."),dir!AG19/((1/1000)*(Irr!G19+Irr!AE19)),IF(AND(Irr!G19&lt;&gt;".",Irr!AE19=".",Irr!BC19&lt;&gt;"."),dir!AG19/((1/1000)*(Irr!G19+Irr!BC19)),IF(AND(Irr!G19=".",Irr!AE19&lt;&gt;".",Irr!BC19&lt;&gt;"."),dir!AG19/((1/1000)*(Irr!AE19+Irr!BC19)),IF(AND(Irr!G19=".",Irr!AE19=".",Irr!BC19&lt;&gt;"."),dir!AG19/((1/1000)*(Irr!BC19)),IF(AND(Irr!G19=".",Irr!AE19&lt;&gt;".",Irr!BC19="."),dir!AG19/((1/1000)*(Irr!AE19)),IF(AND(Irr!G19&lt;&gt;".",Irr!AE19=".",Irr!BC19="."),dir!AG19/((1/1000)*(Irr!G19)),IF(AND(Irr!G19=".",Irr!AE19=".",Irr!BC19="."),dir!AG19*1000)))))))),".")</f>
        <v>.</v>
      </c>
      <c r="AH19" s="76" t="str">
        <f>IFERROR(IF(AND(Irr!H19&lt;&gt;".",Irr!AF19&lt;&gt;".",Irr!BD19&lt;&gt;"."),dir!AH19/((1/1000)*(Irr!H19+Irr!AF19+Irr!BD19)),IF(AND(Irr!H19&lt;&gt;".",Irr!AF19&lt;&gt;".",Irr!BD19="."),dir!AH19/((1/1000)*(Irr!H19+Irr!AF19)),IF(AND(Irr!H19&lt;&gt;".",Irr!AF19=".",Irr!BD19&lt;&gt;"."),dir!AH19/((1/1000)*(Irr!H19+Irr!BD19)),IF(AND(Irr!H19=".",Irr!AF19&lt;&gt;".",Irr!BD19&lt;&gt;"."),dir!AH19/((1/1000)*(Irr!AF19+Irr!BD19)),IF(AND(Irr!H19=".",Irr!AF19=".",Irr!BD19&lt;&gt;"."),dir!AH19/((1/1000)*(Irr!BD19)),IF(AND(Irr!H19=".",Irr!AF19&lt;&gt;".",Irr!BD19="."),dir!AH19/((1/1000)*(Irr!AF19)),IF(AND(Irr!H19&lt;&gt;".",Irr!AF19=".",Irr!BD19="."),dir!AH19/((1/1000)*(Irr!H19)),IF(AND(Irr!H19=".",Irr!AF19=".",Irr!BD19="."),dir!AH19*1000)))))))),".")</f>
        <v>.</v>
      </c>
      <c r="AI19" s="76" t="str">
        <f>IFERROR(IF(AND(Irr!I19&lt;&gt;".",Irr!AG19&lt;&gt;".",Irr!BE19&lt;&gt;"."),dir!AI19/((1/1000)*(Irr!I19+Irr!AG19+Irr!BE19)),IF(AND(Irr!I19&lt;&gt;".",Irr!AG19&lt;&gt;".",Irr!BE19="."),dir!AI19/((1/1000)*(Irr!I19+Irr!AG19)),IF(AND(Irr!I19&lt;&gt;".",Irr!AG19=".",Irr!BE19&lt;&gt;"."),dir!AI19/((1/1000)*(Irr!I19+Irr!BE19)),IF(AND(Irr!I19=".",Irr!AG19&lt;&gt;".",Irr!BE19&lt;&gt;"."),dir!AI19/((1/1000)*(Irr!AG19+Irr!BE19)),IF(AND(Irr!I19=".",Irr!AG19=".",Irr!BE19&lt;&gt;"."),dir!AI19/((1/1000)*(Irr!BE19)),IF(AND(Irr!I19=".",Irr!AG19&lt;&gt;".",Irr!BE19="."),dir!AI19/((1/1000)*(Irr!AG19)),IF(AND(Irr!I19&lt;&gt;".",Irr!AG19=".",Irr!BE19="."),dir!AI19/((1/1000)*(Irr!I19)),IF(AND(Irr!I19=".",Irr!AG19=".",Irr!BE19="."),dir!AI19*1000)))))))),".")</f>
        <v>.</v>
      </c>
      <c r="AJ19" s="76" t="str">
        <f>IFERROR(IF(AND(Irr!J19&lt;&gt;".",Irr!AH19&lt;&gt;".",Irr!BF19&lt;&gt;"."),dir!AJ19/((1/1000)*(Irr!J19+Irr!AH19+Irr!BF19)),IF(AND(Irr!J19&lt;&gt;".",Irr!AH19&lt;&gt;".",Irr!BF19="."),dir!AJ19/((1/1000)*(Irr!J19+Irr!AH19)),IF(AND(Irr!J19&lt;&gt;".",Irr!AH19=".",Irr!BF19&lt;&gt;"."),dir!AJ19/((1/1000)*(Irr!J19+Irr!BF19)),IF(AND(Irr!J19=".",Irr!AH19&lt;&gt;".",Irr!BF19&lt;&gt;"."),dir!AJ19/((1/1000)*(Irr!AH19+Irr!BF19)),IF(AND(Irr!J19=".",Irr!AH19=".",Irr!BF19&lt;&gt;"."),dir!AJ19/((1/1000)*(Irr!BF19)),IF(AND(Irr!J19=".",Irr!AH19&lt;&gt;".",Irr!BF19="."),dir!AJ19/((1/1000)*(Irr!AH19)),IF(AND(Irr!J19&lt;&gt;".",Irr!AH19=".",Irr!BF19="."),dir!AJ19/((1/1000)*(Irr!J19)),IF(AND(Irr!J19=".",Irr!AH19=".",Irr!BF19="."),dir!AJ19*1000)))))))),".")</f>
        <v>.</v>
      </c>
      <c r="AK19" s="76" t="str">
        <f>IFERROR(IF(AND(Irr!K19&lt;&gt;".",Irr!AI19&lt;&gt;".",Irr!BG19&lt;&gt;"."),dir!AK19/((1/1000)*(Irr!K19+Irr!AI19+Irr!BG19)),IF(AND(Irr!K19&lt;&gt;".",Irr!AI19&lt;&gt;".",Irr!BG19="."),dir!AK19/((1/1000)*(Irr!K19+Irr!AI19)),IF(AND(Irr!K19&lt;&gt;".",Irr!AI19=".",Irr!BG19&lt;&gt;"."),dir!AK19/((1/1000)*(Irr!K19+Irr!BG19)),IF(AND(Irr!K19=".",Irr!AI19&lt;&gt;".",Irr!BG19&lt;&gt;"."),dir!AK19/((1/1000)*(Irr!AI19+Irr!BG19)),IF(AND(Irr!K19=".",Irr!AI19=".",Irr!BG19&lt;&gt;"."),dir!AK19/((1/1000)*(Irr!BG19)),IF(AND(Irr!K19=".",Irr!AI19&lt;&gt;".",Irr!BG19="."),dir!AK19/((1/1000)*(Irr!AI19)),IF(AND(Irr!K19&lt;&gt;".",Irr!AI19=".",Irr!BG19="."),dir!AK19/((1/1000)*(Irr!K19)),IF(AND(Irr!K19=".",Irr!AI19=".",Irr!BG19="."),dir!AK19*1000)))))))),".")</f>
        <v>.</v>
      </c>
      <c r="AL19" s="76" t="str">
        <f>IFERROR(IF(AND(Irr!L19&lt;&gt;".",Irr!AJ19&lt;&gt;".",Irr!BH19&lt;&gt;"."),dir!AL19/((1/1000)*(Irr!L19+Irr!AJ19+Irr!BH19)),IF(AND(Irr!L19&lt;&gt;".",Irr!AJ19&lt;&gt;".",Irr!BH19="."),dir!AL19/((1/1000)*(Irr!L19+Irr!AJ19)),IF(AND(Irr!L19&lt;&gt;".",Irr!AJ19=".",Irr!BH19&lt;&gt;"."),dir!AL19/((1/1000)*(Irr!L19+Irr!BH19)),IF(AND(Irr!L19=".",Irr!AJ19&lt;&gt;".",Irr!BH19&lt;&gt;"."),dir!AL19/((1/1000)*(Irr!AJ19+Irr!BH19)),IF(AND(Irr!L19=".",Irr!AJ19=".",Irr!BH19&lt;&gt;"."),dir!AL19/((1/1000)*(Irr!BH19)),IF(AND(Irr!L19=".",Irr!AJ19&lt;&gt;".",Irr!BH19="."),dir!AL19/((1/1000)*(Irr!AJ19)),IF(AND(Irr!L19&lt;&gt;".",Irr!AJ19=".",Irr!BH19="."),dir!AL19/((1/1000)*(Irr!L19)),IF(AND(Irr!L19=".",Irr!AJ19=".",Irr!BH19="."),dir!AL19*1000)))))))),".")</f>
        <v>.</v>
      </c>
      <c r="AM19" s="76" t="str">
        <f>IFERROR(IF(AND(Irr!M19&lt;&gt;".",Irr!AK19&lt;&gt;".",Irr!BI19&lt;&gt;"."),dir!AM19/((1/1000)*(Irr!M19+Irr!AK19+Irr!BI19)),IF(AND(Irr!M19&lt;&gt;".",Irr!AK19&lt;&gt;".",Irr!BI19="."),dir!AM19/((1/1000)*(Irr!M19+Irr!AK19)),IF(AND(Irr!M19&lt;&gt;".",Irr!AK19=".",Irr!BI19&lt;&gt;"."),dir!AM19/((1/1000)*(Irr!M19+Irr!BI19)),IF(AND(Irr!M19=".",Irr!AK19&lt;&gt;".",Irr!BI19&lt;&gt;"."),dir!AM19/((1/1000)*(Irr!AK19+Irr!BI19)),IF(AND(Irr!M19=".",Irr!AK19=".",Irr!BI19&lt;&gt;"."),dir!AM19/((1/1000)*(Irr!BI19)),IF(AND(Irr!M19=".",Irr!AK19&lt;&gt;".",Irr!BI19="."),dir!AM19/((1/1000)*(Irr!AK19)),IF(AND(Irr!M19&lt;&gt;".",Irr!AK19=".",Irr!BI19="."),dir!AM19/((1/1000)*(Irr!M19)),IF(AND(Irr!M19=".",Irr!AK19=".",Irr!BI19="."),dir!AM19*1000)))))))),".")</f>
        <v>.</v>
      </c>
      <c r="AN19" s="76" t="str">
        <f>IFERROR(IF(AND(Irr!N19&lt;&gt;".",Irr!AL19&lt;&gt;".",Irr!BJ19&lt;&gt;"."),dir!AN19/((1/1000)*(Irr!N19+Irr!AL19+Irr!BJ19)),IF(AND(Irr!N19&lt;&gt;".",Irr!AL19&lt;&gt;".",Irr!BJ19="."),dir!AN19/((1/1000)*(Irr!N19+Irr!AL19)),IF(AND(Irr!N19&lt;&gt;".",Irr!AL19=".",Irr!BJ19&lt;&gt;"."),dir!AN19/((1/1000)*(Irr!N19+Irr!BJ19)),IF(AND(Irr!N19=".",Irr!AL19&lt;&gt;".",Irr!BJ19&lt;&gt;"."),dir!AN19/((1/1000)*(Irr!AL19+Irr!BJ19)),IF(AND(Irr!N19=".",Irr!AL19=".",Irr!BJ19&lt;&gt;"."),dir!AN19/((1/1000)*(Irr!BJ19)),IF(AND(Irr!N19=".",Irr!AL19&lt;&gt;".",Irr!BJ19="."),dir!AN19/((1/1000)*(Irr!AL19)),IF(AND(Irr!N19&lt;&gt;".",Irr!AL19=".",Irr!BJ19="."),dir!AN19/((1/1000)*(Irr!N19)),IF(AND(Irr!N19=".",Irr!AL19=".",Irr!BJ19="."),dir!AN19*1000)))))))),".")</f>
        <v>.</v>
      </c>
      <c r="AO19" s="76" t="str">
        <f>IFERROR(IF(AND(Irr!O19&lt;&gt;".",Irr!AM19&lt;&gt;".",Irr!BK19&lt;&gt;"."),dir!AO19/((1/1000)*(Irr!O19+Irr!AM19+Irr!BK19)),IF(AND(Irr!O19&lt;&gt;".",Irr!AM19&lt;&gt;".",Irr!BK19="."),dir!AO19/((1/1000)*(Irr!O19+Irr!AM19)),IF(AND(Irr!O19&lt;&gt;".",Irr!AM19=".",Irr!BK19&lt;&gt;"."),dir!AO19/((1/1000)*(Irr!O19+Irr!BK19)),IF(AND(Irr!O19=".",Irr!AM19&lt;&gt;".",Irr!BK19&lt;&gt;"."),dir!AO19/((1/1000)*(Irr!AM19+Irr!BK19)),IF(AND(Irr!O19=".",Irr!AM19=".",Irr!BK19&lt;&gt;"."),dir!AO19/((1/1000)*(Irr!BK19)),IF(AND(Irr!O19=".",Irr!AM19&lt;&gt;".",Irr!BK19="."),dir!AO19/((1/1000)*(Irr!AM19)),IF(AND(Irr!O19&lt;&gt;".",Irr!AM19=".",Irr!BK19="."),dir!AO19/((1/1000)*(Irr!O19)),IF(AND(Irr!O19=".",Irr!AM19=".",Irr!BK19="."),dir!AO19*1000)))))))),".")</f>
        <v>.</v>
      </c>
      <c r="AP19" s="76" t="str">
        <f>IFERROR(IF(AND(Irr!P19&lt;&gt;".",Irr!AN19&lt;&gt;".",Irr!BL19&lt;&gt;"."),dir!AP19/((1/1000)*(Irr!P19+Irr!AN19+Irr!BL19)),IF(AND(Irr!P19&lt;&gt;".",Irr!AN19&lt;&gt;".",Irr!BL19="."),dir!AP19/((1/1000)*(Irr!P19+Irr!AN19)),IF(AND(Irr!P19&lt;&gt;".",Irr!AN19=".",Irr!BL19&lt;&gt;"."),dir!AP19/((1/1000)*(Irr!P19+Irr!BL19)),IF(AND(Irr!P19=".",Irr!AN19&lt;&gt;".",Irr!BL19&lt;&gt;"."),dir!AP19/((1/1000)*(Irr!AN19+Irr!BL19)),IF(AND(Irr!P19=".",Irr!AN19=".",Irr!BL19&lt;&gt;"."),dir!AP19/((1/1000)*(Irr!BL19)),IF(AND(Irr!P19=".",Irr!AN19&lt;&gt;".",Irr!BL19="."),dir!AP19/((1/1000)*(Irr!AN19)),IF(AND(Irr!P19&lt;&gt;".",Irr!AN19=".",Irr!BL19="."),dir!AP19/((1/1000)*(Irr!P19)),IF(AND(Irr!P19=".",Irr!AN19=".",Irr!BL19="."),dir!AP19*1000)))))))),".")</f>
        <v>.</v>
      </c>
      <c r="AQ19" s="76" t="str">
        <f>IFERROR(IF(AND(Irr!Q19&lt;&gt;".",Irr!AO19&lt;&gt;".",Irr!BM19&lt;&gt;"."),dir!AQ19/((1/1000)*(Irr!Q19+Irr!AO19+Irr!BM19)),IF(AND(Irr!Q19&lt;&gt;".",Irr!AO19&lt;&gt;".",Irr!BM19="."),dir!AQ19/((1/1000)*(Irr!Q19+Irr!AO19)),IF(AND(Irr!Q19&lt;&gt;".",Irr!AO19=".",Irr!BM19&lt;&gt;"."),dir!AQ19/((1/1000)*(Irr!Q19+Irr!BM19)),IF(AND(Irr!Q19=".",Irr!AO19&lt;&gt;".",Irr!BM19&lt;&gt;"."),dir!AQ19/((1/1000)*(Irr!AO19+Irr!BM19)),IF(AND(Irr!Q19=".",Irr!AO19=".",Irr!BM19&lt;&gt;"."),dir!AQ19/((1/1000)*(Irr!BM19)),IF(AND(Irr!Q19=".",Irr!AO19&lt;&gt;".",Irr!BM19="."),dir!AQ19/((1/1000)*(Irr!AO19)),IF(AND(Irr!Q19&lt;&gt;".",Irr!AO19=".",Irr!BM19="."),dir!AQ19/((1/1000)*(Irr!Q19)),IF(AND(Irr!Q19=".",Irr!AO19=".",Irr!BM19="."),dir!AQ19*1000)))))))),".")</f>
        <v>.</v>
      </c>
      <c r="AR19" s="76" t="str">
        <f>IFERROR(IF(AND(Irr!R19&lt;&gt;".",Irr!AP19&lt;&gt;".",Irr!BN19&lt;&gt;"."),dir!AR19/((1/1000)*(Irr!R19+Irr!AP19+Irr!BN19)),IF(AND(Irr!R19&lt;&gt;".",Irr!AP19&lt;&gt;".",Irr!BN19="."),dir!AR19/((1/1000)*(Irr!R19+Irr!AP19)),IF(AND(Irr!R19&lt;&gt;".",Irr!AP19=".",Irr!BN19&lt;&gt;"."),dir!AR19/((1/1000)*(Irr!R19+Irr!BN19)),IF(AND(Irr!R19=".",Irr!AP19&lt;&gt;".",Irr!BN19&lt;&gt;"."),dir!AR19/((1/1000)*(Irr!AP19+Irr!BN19)),IF(AND(Irr!R19=".",Irr!AP19=".",Irr!BN19&lt;&gt;"."),dir!AR19/((1/1000)*(Irr!BN19)),IF(AND(Irr!R19=".",Irr!AP19&lt;&gt;".",Irr!BN19="."),dir!AR19/((1/1000)*(Irr!AP19)),IF(AND(Irr!R19&lt;&gt;".",Irr!AP19=".",Irr!BN19="."),dir!AR19/((1/1000)*(Irr!R19)),IF(AND(Irr!R19=".",Irr!AP19=".",Irr!BN19="."),dir!AR19*1000)))))))),".")</f>
        <v>.</v>
      </c>
      <c r="AS19" s="76" t="str">
        <f>IFERROR(IF(AND(Irr!S19&lt;&gt;".",Irr!AQ19&lt;&gt;".",Irr!BO19&lt;&gt;"."),dir!AS19/((1/1000)*(Irr!S19+Irr!AQ19+Irr!BO19)),IF(AND(Irr!S19&lt;&gt;".",Irr!AQ19&lt;&gt;".",Irr!BO19="."),dir!AS19/((1/1000)*(Irr!S19+Irr!AQ19)),IF(AND(Irr!S19&lt;&gt;".",Irr!AQ19=".",Irr!BO19&lt;&gt;"."),dir!AS19/((1/1000)*(Irr!S19+Irr!BO19)),IF(AND(Irr!S19=".",Irr!AQ19&lt;&gt;".",Irr!BO19&lt;&gt;"."),dir!AS19/((1/1000)*(Irr!AQ19+Irr!BO19)),IF(AND(Irr!S19=".",Irr!AQ19=".",Irr!BO19&lt;&gt;"."),dir!AS19/((1/1000)*(Irr!BO19)),IF(AND(Irr!S19=".",Irr!AQ19&lt;&gt;".",Irr!BO19="."),dir!AS19/((1/1000)*(Irr!AQ19)),IF(AND(Irr!S19&lt;&gt;".",Irr!AQ19=".",Irr!BO19="."),dir!AS19/((1/1000)*(Irr!S19)),IF(AND(Irr!S19=".",Irr!AQ19=".",Irr!BO19="."),dir!AS19*1000)))))))),".")</f>
        <v>.</v>
      </c>
      <c r="AT19" s="76" t="str">
        <f>IFERROR(IF(AND(Irr!T19&lt;&gt;".",Irr!AR19&lt;&gt;".",Irr!BP19&lt;&gt;"."),dir!AT19/((1/1000)*(Irr!T19+Irr!AR19+Irr!BP19)),IF(AND(Irr!T19&lt;&gt;".",Irr!AR19&lt;&gt;".",Irr!BP19="."),dir!AT19/((1/1000)*(Irr!T19+Irr!AR19)),IF(AND(Irr!T19&lt;&gt;".",Irr!AR19=".",Irr!BP19&lt;&gt;"."),dir!AT19/((1/1000)*(Irr!T19+Irr!BP19)),IF(AND(Irr!T19=".",Irr!AR19&lt;&gt;".",Irr!BP19&lt;&gt;"."),dir!AT19/((1/1000)*(Irr!AR19+Irr!BP19)),IF(AND(Irr!T19=".",Irr!AR19=".",Irr!BP19&lt;&gt;"."),dir!AT19/((1/1000)*(Irr!BP19)),IF(AND(Irr!T19=".",Irr!AR19&lt;&gt;".",Irr!BP19="."),dir!AT19/((1/1000)*(Irr!AR19)),IF(AND(Irr!T19&lt;&gt;".",Irr!AR19=".",Irr!BP19="."),dir!AT19/((1/1000)*(Irr!T19)),IF(AND(Irr!T19=".",Irr!AR19=".",Irr!BP19="."),dir!AT19*1000)))))))),".")</f>
        <v>.</v>
      </c>
      <c r="AU19" s="76" t="str">
        <f>IFERROR(IF(AND(Irr!U19&lt;&gt;".",Irr!AS19&lt;&gt;".",Irr!BQ19&lt;&gt;"."),dir!AU19/((1/1000)*(Irr!U19+Irr!AS19+Irr!BQ19)),IF(AND(Irr!U19&lt;&gt;".",Irr!AS19&lt;&gt;".",Irr!BQ19="."),dir!AU19/((1/1000)*(Irr!U19+Irr!AS19)),IF(AND(Irr!U19&lt;&gt;".",Irr!AS19=".",Irr!BQ19&lt;&gt;"."),dir!AU19/((1/1000)*(Irr!U19+Irr!BQ19)),IF(AND(Irr!U19=".",Irr!AS19&lt;&gt;".",Irr!BQ19&lt;&gt;"."),dir!AU19/((1/1000)*(Irr!AS19+Irr!BQ19)),IF(AND(Irr!U19=".",Irr!AS19=".",Irr!BQ19&lt;&gt;"."),dir!AU19/((1/1000)*(Irr!BQ19)),IF(AND(Irr!U19=".",Irr!AS19&lt;&gt;".",Irr!BQ19="."),dir!AU19/((1/1000)*(Irr!AS19)),IF(AND(Irr!U19&lt;&gt;".",Irr!AS19=".",Irr!BQ19="."),dir!AU19/((1/1000)*(Irr!U19)),IF(AND(Irr!U19=".",Irr!AS19=".",Irr!BQ19="."),dir!AU19*1000)))))))),".")</f>
        <v>.</v>
      </c>
      <c r="AV19" s="76" t="str">
        <f>IFERROR(IF(AND(Irr!V19&lt;&gt;".",Irr!AT19&lt;&gt;".",Irr!BR19&lt;&gt;"."),dir!AV19/((1/1000)*(Irr!V19+Irr!AT19+Irr!BR19)),IF(AND(Irr!V19&lt;&gt;".",Irr!AT19&lt;&gt;".",Irr!BR19="."),dir!AV19/((1/1000)*(Irr!V19+Irr!AT19)),IF(AND(Irr!V19&lt;&gt;".",Irr!AT19=".",Irr!BR19&lt;&gt;"."),dir!AV19/((1/1000)*(Irr!V19+Irr!BR19)),IF(AND(Irr!V19=".",Irr!AT19&lt;&gt;".",Irr!BR19&lt;&gt;"."),dir!AV19/((1/1000)*(Irr!AT19+Irr!BR19)),IF(AND(Irr!V19=".",Irr!AT19=".",Irr!BR19&lt;&gt;"."),dir!AV19/((1/1000)*(Irr!BR19)),IF(AND(Irr!V19=".",Irr!AT19&lt;&gt;".",Irr!BR19="."),dir!AV19/((1/1000)*(Irr!AT19)),IF(AND(Irr!V19&lt;&gt;".",Irr!AT19=".",Irr!BR19="."),dir!AV19/((1/1000)*(Irr!V19)),IF(AND(Irr!V19=".",Irr!AT19=".",Irr!BR19="."),dir!AV19*1000)))))))),".")</f>
        <v>.</v>
      </c>
      <c r="AW19" s="76" t="str">
        <f>IFERROR(IF(AND(Irr!W19&lt;&gt;".",Irr!AU19&lt;&gt;".",Irr!BS19&lt;&gt;"."),dir!AW19/((1/1000)*(Irr!W19+Irr!AU19+Irr!BS19)),IF(AND(Irr!W19&lt;&gt;".",Irr!AU19&lt;&gt;".",Irr!BS19="."),dir!AW19/((1/1000)*(Irr!W19+Irr!AU19)),IF(AND(Irr!W19&lt;&gt;".",Irr!AU19=".",Irr!BS19&lt;&gt;"."),dir!AW19/((1/1000)*(Irr!W19+Irr!BS19)),IF(AND(Irr!W19=".",Irr!AU19&lt;&gt;".",Irr!BS19&lt;&gt;"."),dir!AW19/((1/1000)*(Irr!AU19+Irr!BS19)),IF(AND(Irr!W19=".",Irr!AU19=".",Irr!BS19&lt;&gt;"."),dir!AW19/((1/1000)*(Irr!BS19)),IF(AND(Irr!W19=".",Irr!AU19&lt;&gt;".",Irr!BS19="."),dir!AW19/((1/1000)*(Irr!AU19)),IF(AND(Irr!W19&lt;&gt;".",Irr!AU19=".",Irr!BS19="."),dir!AW19/((1/1000)*(Irr!W19)),IF(AND(Irr!W19=".",Irr!AU19=".",Irr!BS19="."),dir!AW19*1000)))))))),".")</f>
        <v>.</v>
      </c>
      <c r="AX19" s="76" t="str">
        <f>IFERROR(IF(AND(Irr!X19&lt;&gt;".",Irr!AV19&lt;&gt;".",Irr!BT19&lt;&gt;"."),dir!AX19/((1/1000)*(Irr!X19+Irr!AV19+Irr!BT19)),IF(AND(Irr!X19&lt;&gt;".",Irr!AV19&lt;&gt;".",Irr!BT19="."),dir!AX19/((1/1000)*(Irr!X19+Irr!AV19)),IF(AND(Irr!X19&lt;&gt;".",Irr!AV19=".",Irr!BT19&lt;&gt;"."),dir!AX19/((1/1000)*(Irr!X19+Irr!BT19)),IF(AND(Irr!X19=".",Irr!AV19&lt;&gt;".",Irr!BT19&lt;&gt;"."),dir!AX19/((1/1000)*(Irr!AV19+Irr!BT19)),IF(AND(Irr!X19=".",Irr!AV19=".",Irr!BT19&lt;&gt;"."),dir!AX19/((1/1000)*(Irr!BT19)),IF(AND(Irr!X19=".",Irr!AV19&lt;&gt;".",Irr!BT19="."),dir!AX19/((1/1000)*(Irr!AV19)),IF(AND(Irr!X19&lt;&gt;".",Irr!AV19=".",Irr!BT19="."),dir!AX19/((1/1000)*(Irr!X19)),IF(AND(Irr!X19=".",Irr!AV19=".",Irr!BT19="."),dir!AX19*1000)))))))),".")</f>
        <v>.</v>
      </c>
      <c r="AY19" s="76" t="str">
        <f>IFERROR(IF(AND(Irr!Y19&lt;&gt;".",Irr!AW19&lt;&gt;".",Irr!BU19&lt;&gt;"."),dir!AY19/((1/1000)*(Irr!Y19+Irr!AW19+Irr!BU19)),IF(AND(Irr!Y19&lt;&gt;".",Irr!AW19&lt;&gt;".",Irr!BU19="."),dir!AY19/((1/1000)*(Irr!Y19+Irr!AW19)),IF(AND(Irr!Y19&lt;&gt;".",Irr!AW19=".",Irr!BU19&lt;&gt;"."),dir!AY19/((1/1000)*(Irr!Y19+Irr!BU19)),IF(AND(Irr!Y19=".",Irr!AW19&lt;&gt;".",Irr!BU19&lt;&gt;"."),dir!AY19/((1/1000)*(Irr!AW19+Irr!BU19)),IF(AND(Irr!Y19=".",Irr!AW19=".",Irr!BU19&lt;&gt;"."),dir!AY19/((1/1000)*(Irr!BU19)),IF(AND(Irr!Y19=".",Irr!AW19&lt;&gt;".",Irr!BU19="."),dir!AY19/((1/1000)*(Irr!AW19)),IF(AND(Irr!Y19&lt;&gt;".",Irr!AW19=".",Irr!BU19="."),dir!AY19/((1/1000)*(Irr!Y19)),IF(AND(Irr!Y19=".",Irr!AW19=".",Irr!BU19="."),dir!AY19*1000)))))))),".")</f>
        <v>.</v>
      </c>
      <c r="AZ19" s="76" t="str">
        <f>IFERROR(IF(AND(Irr!Z19&lt;&gt;".",Irr!AX19&lt;&gt;".",Irr!BV19&lt;&gt;"."),dir!AZ19/((1/1000)*(Irr!Z19+Irr!AX19+Irr!BV19)),IF(AND(Irr!Z19&lt;&gt;".",Irr!AX19&lt;&gt;".",Irr!BV19="."),dir!AZ19/((1/1000)*(Irr!Z19+Irr!AX19)),IF(AND(Irr!Z19&lt;&gt;".",Irr!AX19=".",Irr!BV19&lt;&gt;"."),dir!AZ19/((1/1000)*(Irr!Z19+Irr!BV19)),IF(AND(Irr!Z19=".",Irr!AX19&lt;&gt;".",Irr!BV19&lt;&gt;"."),dir!AZ19/((1/1000)*(Irr!AX19+Irr!BV19)),IF(AND(Irr!Z19=".",Irr!AX19=".",Irr!BV19&lt;&gt;"."),dir!AZ19/((1/1000)*(Irr!BV19)),IF(AND(Irr!Z19=".",Irr!AX19&lt;&gt;".",Irr!BV19="."),dir!AZ19/((1/1000)*(Irr!AX19)),IF(AND(Irr!Z19&lt;&gt;".",Irr!AX19=".",Irr!BV19="."),dir!AZ19/((1/1000)*(Irr!Z19)),IF(AND(Irr!Z19=".",Irr!AX19=".",Irr!BV19="."),dir!AZ19*1000)))))))),".")</f>
        <v>.</v>
      </c>
    </row>
    <row r="20" spans="1:52" ht="15" customHeight="1" x14ac:dyDescent="0.25">
      <c r="A20" s="92" t="s">
        <v>30</v>
      </c>
      <c r="B20" s="90" t="s">
        <v>1074</v>
      </c>
      <c r="C20" s="76" t="str">
        <f t="shared" si="16"/>
        <v>.</v>
      </c>
      <c r="D20" s="76" t="str">
        <f>IFERROR(IF(AND(Irr!C20&lt;&gt;".",Irr!AA20&lt;&gt;".",Irr!AY20&lt;&gt;"."),dir!D20/((1/1000)*(Irr!C20+Irr!AA20+Irr!AY20)),IF(AND(Irr!C20&lt;&gt;".",Irr!AA20&lt;&gt;".",Irr!AY20="."),dir!D20/((1/1000)*(Irr!C20+Irr!AA20)),IF(AND(Irr!C20&lt;&gt;".",Irr!AA20=".",Irr!AY20&lt;&gt;"."),dir!D20/((1/1000)*(Irr!C20+Irr!AY20)),IF(AND(Irr!C20=".",Irr!AA20&lt;&gt;".",Irr!AY20&lt;&gt;"."),dir!D20/((1/1000)*(Irr!AA20+Irr!AY20)),IF(AND(Irr!C20=".",Irr!AA20=".",Irr!AY20&lt;&gt;"."),dir!D20/((1/1000)*(Irr!AY20)),IF(AND(Irr!C20=".",Irr!AA20&lt;&gt;".",Irr!AY20="."),dir!D20/((1/1000)*(Irr!AA20)),IF(AND(Irr!C20&lt;&gt;".",Irr!AA20=".",Irr!AY20="."),dir!D20/((1/1000)*(Irr!C20)),IF(AND(Irr!C20=".",Irr!AA20=".",Irr!AY20="."),dir!D20*1000)))))))),".")</f>
        <v>.</v>
      </c>
      <c r="E20" s="76" t="str">
        <f>IFERROR(IF(AND(Irr!D20&lt;&gt;".",Irr!AB20&lt;&gt;".",Irr!AZ20&lt;&gt;"."),dir!E20/((1/1000)*(Irr!D20+Irr!AB20+Irr!AZ20)),IF(AND(Irr!D20&lt;&gt;".",Irr!AB20&lt;&gt;".",Irr!AZ20="."),dir!E20/((1/1000)*(Irr!D20+Irr!AB20)),IF(AND(Irr!D20&lt;&gt;".",Irr!AB20=".",Irr!AZ20&lt;&gt;"."),dir!E20/((1/1000)*(Irr!D20+Irr!AZ20)),IF(AND(Irr!D20=".",Irr!AB20&lt;&gt;".",Irr!AZ20&lt;&gt;"."),dir!E20/((1/1000)*(Irr!AB20+Irr!AZ20)),IF(AND(Irr!D20=".",Irr!AB20=".",Irr!AZ20&lt;&gt;"."),dir!E20/((1/1000)*(Irr!AZ20)),IF(AND(Irr!D20=".",Irr!AB20&lt;&gt;".",Irr!AZ20="."),dir!E20/((1/1000)*(Irr!AB20)),IF(AND(Irr!D20&lt;&gt;".",Irr!AB20=".",Irr!AZ20="."),dir!E20/((1/1000)*(Irr!D20)),IF(AND(Irr!D20=".",Irr!AB20=".",Irr!AZ20="."),dir!E20*1000)))))))),".")</f>
        <v>.</v>
      </c>
      <c r="F20" s="76" t="str">
        <f>IFERROR(IF(AND(Irr!E20&lt;&gt;".",Irr!AC20&lt;&gt;".",Irr!BA20&lt;&gt;"."),dir!F20/((1/1000)*(Irr!E20+Irr!AC20+Irr!BA20)),IF(AND(Irr!E20&lt;&gt;".",Irr!AC20&lt;&gt;".",Irr!BA20="."),dir!F20/((1/1000)*(Irr!E20+Irr!AC20)),IF(AND(Irr!E20&lt;&gt;".",Irr!AC20=".",Irr!BA20&lt;&gt;"."),dir!F20/((1/1000)*(Irr!E20+Irr!BA20)),IF(AND(Irr!E20=".",Irr!AC20&lt;&gt;".",Irr!BA20&lt;&gt;"."),dir!F20/((1/1000)*(Irr!AC20+Irr!BA20)),IF(AND(Irr!E20=".",Irr!AC20=".",Irr!BA20&lt;&gt;"."),dir!F20/((1/1000)*(Irr!BA20)),IF(AND(Irr!E20=".",Irr!AC20&lt;&gt;".",Irr!BA20="."),dir!F20/((1/1000)*(Irr!AC20)),IF(AND(Irr!E20&lt;&gt;".",Irr!AC20=".",Irr!BA20="."),dir!F20/((1/1000)*(Irr!E20)),IF(AND(Irr!E20=".",Irr!AC20=".",Irr!BA20="."),dir!F20*1000)))))))),".")</f>
        <v>.</v>
      </c>
      <c r="G20" s="76" t="str">
        <f>IFERROR(IF(AND(Irr!F20&lt;&gt;".",Irr!AD20&lt;&gt;".",Irr!BB20&lt;&gt;"."),dir!G20/((1/1000)*(Irr!F20+Irr!AD20+Irr!BB20)),IF(AND(Irr!F20&lt;&gt;".",Irr!AD20&lt;&gt;".",Irr!BB20="."),dir!G20/((1/1000)*(Irr!F20+Irr!AD20)),IF(AND(Irr!F20&lt;&gt;".",Irr!AD20=".",Irr!BB20&lt;&gt;"."),dir!G20/((1/1000)*(Irr!F20+Irr!BB20)),IF(AND(Irr!F20=".",Irr!AD20&lt;&gt;".",Irr!BB20&lt;&gt;"."),dir!G20/((1/1000)*(Irr!AD20+Irr!BB20)),IF(AND(Irr!F20=".",Irr!AD20=".",Irr!BB20&lt;&gt;"."),dir!G20/((1/1000)*(Irr!BB20)),IF(AND(Irr!F20=".",Irr!AD20&lt;&gt;".",Irr!BB20="."),dir!G20/((1/1000)*(Irr!AD20)),IF(AND(Irr!F20&lt;&gt;".",Irr!AD20=".",Irr!BB20="."),dir!G20/((1/1000)*(Irr!F20)),IF(AND(Irr!F20=".",Irr!AD20=".",Irr!BB20="."),dir!G20*1000)))))))),".")</f>
        <v>.</v>
      </c>
      <c r="H20" s="76" t="str">
        <f>IFERROR(IF(AND(Irr!G20&lt;&gt;".",Irr!AE20&lt;&gt;".",Irr!BC20&lt;&gt;"."),dir!H20/((1/1000)*(Irr!G20+Irr!AE20+Irr!BC20)),IF(AND(Irr!G20&lt;&gt;".",Irr!AE20&lt;&gt;".",Irr!BC20="."),dir!H20/((1/1000)*(Irr!G20+Irr!AE20)),IF(AND(Irr!G20&lt;&gt;".",Irr!AE20=".",Irr!BC20&lt;&gt;"."),dir!H20/((1/1000)*(Irr!G20+Irr!BC20)),IF(AND(Irr!G20=".",Irr!AE20&lt;&gt;".",Irr!BC20&lt;&gt;"."),dir!H20/((1/1000)*(Irr!AE20+Irr!BC20)),IF(AND(Irr!G20=".",Irr!AE20=".",Irr!BC20&lt;&gt;"."),dir!H20/((1/1000)*(Irr!BC20)),IF(AND(Irr!G20=".",Irr!AE20&lt;&gt;".",Irr!BC20="."),dir!H20/((1/1000)*(Irr!AE20)),IF(AND(Irr!G20&lt;&gt;".",Irr!AE20=".",Irr!BC20="."),dir!H20/((1/1000)*(Irr!G20)),IF(AND(Irr!G20=".",Irr!AE20=".",Irr!BC20="."),dir!H20*1000)))))))),".")</f>
        <v>.</v>
      </c>
      <c r="I20" s="76" t="str">
        <f>IFERROR(IF(AND(Irr!H20&lt;&gt;".",Irr!AF20&lt;&gt;".",Irr!BD20&lt;&gt;"."),dir!I20/((1/1000)*(Irr!H20+Irr!AF20+Irr!BD20)),IF(AND(Irr!H20&lt;&gt;".",Irr!AF20&lt;&gt;".",Irr!BD20="."),dir!I20/((1/1000)*(Irr!H20+Irr!AF20)),IF(AND(Irr!H20&lt;&gt;".",Irr!AF20=".",Irr!BD20&lt;&gt;"."),dir!I20/((1/1000)*(Irr!H20+Irr!BD20)),IF(AND(Irr!H20=".",Irr!AF20&lt;&gt;".",Irr!BD20&lt;&gt;"."),dir!I20/((1/1000)*(Irr!AF20+Irr!BD20)),IF(AND(Irr!H20=".",Irr!AF20=".",Irr!BD20&lt;&gt;"."),dir!I20/((1/1000)*(Irr!BD20)),IF(AND(Irr!H20=".",Irr!AF20&lt;&gt;".",Irr!BD20="."),dir!I20/((1/1000)*(Irr!AF20)),IF(AND(Irr!H20&lt;&gt;".",Irr!AF20=".",Irr!BD20="."),dir!I20/((1/1000)*(Irr!H20)),IF(AND(Irr!H20=".",Irr!AF20=".",Irr!BD20="."),dir!I20*1000)))))))),".")</f>
        <v>.</v>
      </c>
      <c r="J20" s="76" t="str">
        <f>IFERROR(IF(AND(Irr!I20&lt;&gt;".",Irr!AG20&lt;&gt;".",Irr!BE20&lt;&gt;"."),dir!J20/((1/1000)*(Irr!I20+Irr!AG20+Irr!BE20)),IF(AND(Irr!I20&lt;&gt;".",Irr!AG20&lt;&gt;".",Irr!BE20="."),dir!J20/((1/1000)*(Irr!I20+Irr!AG20)),IF(AND(Irr!I20&lt;&gt;".",Irr!AG20=".",Irr!BE20&lt;&gt;"."),dir!J20/((1/1000)*(Irr!I20+Irr!BE20)),IF(AND(Irr!I20=".",Irr!AG20&lt;&gt;".",Irr!BE20&lt;&gt;"."),dir!J20/((1/1000)*(Irr!AG20+Irr!BE20)),IF(AND(Irr!I20=".",Irr!AG20=".",Irr!BE20&lt;&gt;"."),dir!J20/((1/1000)*(Irr!BE20)),IF(AND(Irr!I20=".",Irr!AG20&lt;&gt;".",Irr!BE20="."),dir!J20/((1/1000)*(Irr!AG20)),IF(AND(Irr!I20&lt;&gt;".",Irr!AG20=".",Irr!BE20="."),dir!J20/((1/1000)*(Irr!I20)),IF(AND(Irr!I20=".",Irr!AG20=".",Irr!BE20="."),dir!J20*1000)))))))),".")</f>
        <v>.</v>
      </c>
      <c r="K20" s="76" t="str">
        <f>IFERROR(IF(AND(Irr!J20&lt;&gt;".",Irr!AH20&lt;&gt;".",Irr!BF20&lt;&gt;"."),dir!K20/((1/1000)*(Irr!J20+Irr!AH20+Irr!BF20)),IF(AND(Irr!J20&lt;&gt;".",Irr!AH20&lt;&gt;".",Irr!BF20="."),dir!K20/((1/1000)*(Irr!J20+Irr!AH20)),IF(AND(Irr!J20&lt;&gt;".",Irr!AH20=".",Irr!BF20&lt;&gt;"."),dir!K20/((1/1000)*(Irr!J20+Irr!BF20)),IF(AND(Irr!J20=".",Irr!AH20&lt;&gt;".",Irr!BF20&lt;&gt;"."),dir!K20/((1/1000)*(Irr!AH20+Irr!BF20)),IF(AND(Irr!J20=".",Irr!AH20=".",Irr!BF20&lt;&gt;"."),dir!K20/((1/1000)*(Irr!BF20)),IF(AND(Irr!J20=".",Irr!AH20&lt;&gt;".",Irr!BF20="."),dir!K20/((1/1000)*(Irr!AH20)),IF(AND(Irr!J20&lt;&gt;".",Irr!AH20=".",Irr!BF20="."),dir!K20/((1/1000)*(Irr!J20)),IF(AND(Irr!J20=".",Irr!AH20=".",Irr!BF20="."),dir!K20*1000)))))))),".")</f>
        <v>.</v>
      </c>
      <c r="L20" s="76" t="str">
        <f>IFERROR(IF(AND(Irr!K20&lt;&gt;".",Irr!AI20&lt;&gt;".",Irr!BG20&lt;&gt;"."),dir!L20/((1/1000)*(Irr!K20+Irr!AI20+Irr!BG20)),IF(AND(Irr!K20&lt;&gt;".",Irr!AI20&lt;&gt;".",Irr!BG20="."),dir!L20/((1/1000)*(Irr!K20+Irr!AI20)),IF(AND(Irr!K20&lt;&gt;".",Irr!AI20=".",Irr!BG20&lt;&gt;"."),dir!L20/((1/1000)*(Irr!K20+Irr!BG20)),IF(AND(Irr!K20=".",Irr!AI20&lt;&gt;".",Irr!BG20&lt;&gt;"."),dir!L20/((1/1000)*(Irr!AI20+Irr!BG20)),IF(AND(Irr!K20=".",Irr!AI20=".",Irr!BG20&lt;&gt;"."),dir!L20/((1/1000)*(Irr!BG20)),IF(AND(Irr!K20=".",Irr!AI20&lt;&gt;".",Irr!BG20="."),dir!L20/((1/1000)*(Irr!AI20)),IF(AND(Irr!K20&lt;&gt;".",Irr!AI20=".",Irr!BG20="."),dir!L20/((1/1000)*(Irr!K20)),IF(AND(Irr!K20=".",Irr!AI20=".",Irr!BG20="."),dir!L20*1000)))))))),".")</f>
        <v>.</v>
      </c>
      <c r="M20" s="76" t="str">
        <f>IFERROR(IF(AND(Irr!L20&lt;&gt;".",Irr!AJ20&lt;&gt;".",Irr!BH20&lt;&gt;"."),dir!M20/((1/1000)*(Irr!L20+Irr!AJ20+Irr!BH20)),IF(AND(Irr!L20&lt;&gt;".",Irr!AJ20&lt;&gt;".",Irr!BH20="."),dir!M20/((1/1000)*(Irr!L20+Irr!AJ20)),IF(AND(Irr!L20&lt;&gt;".",Irr!AJ20=".",Irr!BH20&lt;&gt;"."),dir!M20/((1/1000)*(Irr!L20+Irr!BH20)),IF(AND(Irr!L20=".",Irr!AJ20&lt;&gt;".",Irr!BH20&lt;&gt;"."),dir!M20/((1/1000)*(Irr!AJ20+Irr!BH20)),IF(AND(Irr!L20=".",Irr!AJ20=".",Irr!BH20&lt;&gt;"."),dir!M20/((1/1000)*(Irr!BH20)),IF(AND(Irr!L20=".",Irr!AJ20&lt;&gt;".",Irr!BH20="."),dir!M20/((1/1000)*(Irr!AJ20)),IF(AND(Irr!L20&lt;&gt;".",Irr!AJ20=".",Irr!BH20="."),dir!M20/((1/1000)*(Irr!L20)),IF(AND(Irr!L20=".",Irr!AJ20=".",Irr!BH20="."),dir!M20*1000)))))))),".")</f>
        <v>.</v>
      </c>
      <c r="N20" s="76" t="str">
        <f>IFERROR(IF(AND(Irr!M20&lt;&gt;".",Irr!AK20&lt;&gt;".",Irr!BI20&lt;&gt;"."),dir!N20/((1/1000)*(Irr!M20+Irr!AK20+Irr!BI20)),IF(AND(Irr!M20&lt;&gt;".",Irr!AK20&lt;&gt;".",Irr!BI20="."),dir!N20/((1/1000)*(Irr!M20+Irr!AK20)),IF(AND(Irr!M20&lt;&gt;".",Irr!AK20=".",Irr!BI20&lt;&gt;"."),dir!N20/((1/1000)*(Irr!M20+Irr!BI20)),IF(AND(Irr!M20=".",Irr!AK20&lt;&gt;".",Irr!BI20&lt;&gt;"."),dir!N20/((1/1000)*(Irr!AK20+Irr!BI20)),IF(AND(Irr!M20=".",Irr!AK20=".",Irr!BI20&lt;&gt;"."),dir!N20/((1/1000)*(Irr!BI20)),IF(AND(Irr!M20=".",Irr!AK20&lt;&gt;".",Irr!BI20="."),dir!N20/((1/1000)*(Irr!AK20)),IF(AND(Irr!M20&lt;&gt;".",Irr!AK20=".",Irr!BI20="."),dir!N20/((1/1000)*(Irr!M20)),IF(AND(Irr!M20=".",Irr!AK20=".",Irr!BI20="."),dir!N20*1000)))))))),".")</f>
        <v>.</v>
      </c>
      <c r="O20" s="76" t="str">
        <f>IFERROR(IF(AND(Irr!N20&lt;&gt;".",Irr!AL20&lt;&gt;".",Irr!BJ20&lt;&gt;"."),dir!O20/((1/1000)*(Irr!N20+Irr!AL20+Irr!BJ20)),IF(AND(Irr!N20&lt;&gt;".",Irr!AL20&lt;&gt;".",Irr!BJ20="."),dir!O20/((1/1000)*(Irr!N20+Irr!AL20)),IF(AND(Irr!N20&lt;&gt;".",Irr!AL20=".",Irr!BJ20&lt;&gt;"."),dir!O20/((1/1000)*(Irr!N20+Irr!BJ20)),IF(AND(Irr!N20=".",Irr!AL20&lt;&gt;".",Irr!BJ20&lt;&gt;"."),dir!O20/((1/1000)*(Irr!AL20+Irr!BJ20)),IF(AND(Irr!N20=".",Irr!AL20=".",Irr!BJ20&lt;&gt;"."),dir!O20/((1/1000)*(Irr!BJ20)),IF(AND(Irr!N20=".",Irr!AL20&lt;&gt;".",Irr!BJ20="."),dir!O20/((1/1000)*(Irr!AL20)),IF(AND(Irr!N20&lt;&gt;".",Irr!AL20=".",Irr!BJ20="."),dir!O20/((1/1000)*(Irr!N20)),IF(AND(Irr!N20=".",Irr!AL20=".",Irr!BJ20="."),dir!O20*1000)))))))),".")</f>
        <v>.</v>
      </c>
      <c r="P20" s="76" t="str">
        <f>IFERROR(IF(AND(Irr!O20&lt;&gt;".",Irr!AM20&lt;&gt;".",Irr!BK20&lt;&gt;"."),dir!P20/((1/1000)*(Irr!O20+Irr!AM20+Irr!BK20)),IF(AND(Irr!O20&lt;&gt;".",Irr!AM20&lt;&gt;".",Irr!BK20="."),dir!P20/((1/1000)*(Irr!O20+Irr!AM20)),IF(AND(Irr!O20&lt;&gt;".",Irr!AM20=".",Irr!BK20&lt;&gt;"."),dir!P20/((1/1000)*(Irr!O20+Irr!BK20)),IF(AND(Irr!O20=".",Irr!AM20&lt;&gt;".",Irr!BK20&lt;&gt;"."),dir!P20/((1/1000)*(Irr!AM20+Irr!BK20)),IF(AND(Irr!O20=".",Irr!AM20=".",Irr!BK20&lt;&gt;"."),dir!P20/((1/1000)*(Irr!BK20)),IF(AND(Irr!O20=".",Irr!AM20&lt;&gt;".",Irr!BK20="."),dir!P20/((1/1000)*(Irr!AM20)),IF(AND(Irr!O20&lt;&gt;".",Irr!AM20=".",Irr!BK20="."),dir!P20/((1/1000)*(Irr!O20)),IF(AND(Irr!O20=".",Irr!AM20=".",Irr!BK20="."),dir!P20*1000)))))))),".")</f>
        <v>.</v>
      </c>
      <c r="Q20" s="76" t="str">
        <f>IFERROR(IF(AND(Irr!P20&lt;&gt;".",Irr!AN20&lt;&gt;".",Irr!BL20&lt;&gt;"."),dir!Q20/((1/1000)*(Irr!P20+Irr!AN20+Irr!BL20)),IF(AND(Irr!P20&lt;&gt;".",Irr!AN20&lt;&gt;".",Irr!BL20="."),dir!Q20/((1/1000)*(Irr!P20+Irr!AN20)),IF(AND(Irr!P20&lt;&gt;".",Irr!AN20=".",Irr!BL20&lt;&gt;"."),dir!Q20/((1/1000)*(Irr!P20+Irr!BL20)),IF(AND(Irr!P20=".",Irr!AN20&lt;&gt;".",Irr!BL20&lt;&gt;"."),dir!Q20/((1/1000)*(Irr!AN20+Irr!BL20)),IF(AND(Irr!P20=".",Irr!AN20=".",Irr!BL20&lt;&gt;"."),dir!Q20/((1/1000)*(Irr!BL20)),IF(AND(Irr!P20=".",Irr!AN20&lt;&gt;".",Irr!BL20="."),dir!Q20/((1/1000)*(Irr!AN20)),IF(AND(Irr!P20&lt;&gt;".",Irr!AN20=".",Irr!BL20="."),dir!Q20/((1/1000)*(Irr!P20)),IF(AND(Irr!P20=".",Irr!AN20=".",Irr!BL20="."),dir!Q20*1000)))))))),".")</f>
        <v>.</v>
      </c>
      <c r="R20" s="76" t="str">
        <f>IFERROR(IF(AND(Irr!Q20&lt;&gt;".",Irr!AO20&lt;&gt;".",Irr!BM20&lt;&gt;"."),dir!R20/((1/1000)*(Irr!Q20+Irr!AO20+Irr!BM20)),IF(AND(Irr!Q20&lt;&gt;".",Irr!AO20&lt;&gt;".",Irr!BM20="."),dir!R20/((1/1000)*(Irr!Q20+Irr!AO20)),IF(AND(Irr!Q20&lt;&gt;".",Irr!AO20=".",Irr!BM20&lt;&gt;"."),dir!R20/((1/1000)*(Irr!Q20+Irr!BM20)),IF(AND(Irr!Q20=".",Irr!AO20&lt;&gt;".",Irr!BM20&lt;&gt;"."),dir!R20/((1/1000)*(Irr!AO20+Irr!BM20)),IF(AND(Irr!Q20=".",Irr!AO20=".",Irr!BM20&lt;&gt;"."),dir!R20/((1/1000)*(Irr!BM20)),IF(AND(Irr!Q20=".",Irr!AO20&lt;&gt;".",Irr!BM20="."),dir!R20/((1/1000)*(Irr!AO20)),IF(AND(Irr!Q20&lt;&gt;".",Irr!AO20=".",Irr!BM20="."),dir!R20/((1/1000)*(Irr!Q20)),IF(AND(Irr!Q20=".",Irr!AO20=".",Irr!BM20="."),dir!R20*1000)))))))),".")</f>
        <v>.</v>
      </c>
      <c r="S20" s="76" t="str">
        <f>IFERROR(IF(AND(Irr!R20&lt;&gt;".",Irr!AP20&lt;&gt;".",Irr!BN20&lt;&gt;"."),dir!S20/((1/1000)*(Irr!R20+Irr!AP20+Irr!BN20)),IF(AND(Irr!R20&lt;&gt;".",Irr!AP20&lt;&gt;".",Irr!BN20="."),dir!S20/((1/1000)*(Irr!R20+Irr!AP20)),IF(AND(Irr!R20&lt;&gt;".",Irr!AP20=".",Irr!BN20&lt;&gt;"."),dir!S20/((1/1000)*(Irr!R20+Irr!BN20)),IF(AND(Irr!R20=".",Irr!AP20&lt;&gt;".",Irr!BN20&lt;&gt;"."),dir!S20/((1/1000)*(Irr!AP20+Irr!BN20)),IF(AND(Irr!R20=".",Irr!AP20=".",Irr!BN20&lt;&gt;"."),dir!S20/((1/1000)*(Irr!BN20)),IF(AND(Irr!R20=".",Irr!AP20&lt;&gt;".",Irr!BN20="."),dir!S20/((1/1000)*(Irr!AP20)),IF(AND(Irr!R20&lt;&gt;".",Irr!AP20=".",Irr!BN20="."),dir!S20/((1/1000)*(Irr!R20)),IF(AND(Irr!R20=".",Irr!AP20=".",Irr!BN20="."),dir!S20*1000)))))))),".")</f>
        <v>.</v>
      </c>
      <c r="T20" s="76" t="str">
        <f>IFERROR(IF(AND(Irr!S20&lt;&gt;".",Irr!AQ20&lt;&gt;".",Irr!BO20&lt;&gt;"."),dir!T20/((1/1000)*(Irr!S20+Irr!AQ20+Irr!BO20)),IF(AND(Irr!S20&lt;&gt;".",Irr!AQ20&lt;&gt;".",Irr!BO20="."),dir!T20/((1/1000)*(Irr!S20+Irr!AQ20)),IF(AND(Irr!S20&lt;&gt;".",Irr!AQ20=".",Irr!BO20&lt;&gt;"."),dir!T20/((1/1000)*(Irr!S20+Irr!BO20)),IF(AND(Irr!S20=".",Irr!AQ20&lt;&gt;".",Irr!BO20&lt;&gt;"."),dir!T20/((1/1000)*(Irr!AQ20+Irr!BO20)),IF(AND(Irr!S20=".",Irr!AQ20=".",Irr!BO20&lt;&gt;"."),dir!T20/((1/1000)*(Irr!BO20)),IF(AND(Irr!S20=".",Irr!AQ20&lt;&gt;".",Irr!BO20="."),dir!T20/((1/1000)*(Irr!AQ20)),IF(AND(Irr!S20&lt;&gt;".",Irr!AQ20=".",Irr!BO20="."),dir!T20/((1/1000)*(Irr!S20)),IF(AND(Irr!S20=".",Irr!AQ20=".",Irr!BO20="."),dir!T20*1000)))))))),".")</f>
        <v>.</v>
      </c>
      <c r="U20" s="76" t="str">
        <f>IFERROR(IF(AND(Irr!T20&lt;&gt;".",Irr!AR20&lt;&gt;".",Irr!BP20&lt;&gt;"."),dir!U20/((1/1000)*(Irr!T20+Irr!AR20+Irr!BP20)),IF(AND(Irr!T20&lt;&gt;".",Irr!AR20&lt;&gt;".",Irr!BP20="."),dir!U20/((1/1000)*(Irr!T20+Irr!AR20)),IF(AND(Irr!T20&lt;&gt;".",Irr!AR20=".",Irr!BP20&lt;&gt;"."),dir!U20/((1/1000)*(Irr!T20+Irr!BP20)),IF(AND(Irr!T20=".",Irr!AR20&lt;&gt;".",Irr!BP20&lt;&gt;"."),dir!U20/((1/1000)*(Irr!AR20+Irr!BP20)),IF(AND(Irr!T20=".",Irr!AR20=".",Irr!BP20&lt;&gt;"."),dir!U20/((1/1000)*(Irr!BP20)),IF(AND(Irr!T20=".",Irr!AR20&lt;&gt;".",Irr!BP20="."),dir!U20/((1/1000)*(Irr!AR20)),IF(AND(Irr!T20&lt;&gt;".",Irr!AR20=".",Irr!BP20="."),dir!U20/((1/1000)*(Irr!T20)),IF(AND(Irr!T20=".",Irr!AR20=".",Irr!BP20="."),dir!U20*1000)))))))),".")</f>
        <v>.</v>
      </c>
      <c r="V20" s="76" t="str">
        <f>IFERROR(IF(AND(Irr!U20&lt;&gt;".",Irr!AS20&lt;&gt;".",Irr!BQ20&lt;&gt;"."),dir!V20/((1/1000)*(Irr!U20+Irr!AS20+Irr!BQ20)),IF(AND(Irr!U20&lt;&gt;".",Irr!AS20&lt;&gt;".",Irr!BQ20="."),dir!V20/((1/1000)*(Irr!U20+Irr!AS20)),IF(AND(Irr!U20&lt;&gt;".",Irr!AS20=".",Irr!BQ20&lt;&gt;"."),dir!V20/((1/1000)*(Irr!U20+Irr!BQ20)),IF(AND(Irr!U20=".",Irr!AS20&lt;&gt;".",Irr!BQ20&lt;&gt;"."),dir!V20/((1/1000)*(Irr!AS20+Irr!BQ20)),IF(AND(Irr!U20=".",Irr!AS20=".",Irr!BQ20&lt;&gt;"."),dir!V20/((1/1000)*(Irr!BQ20)),IF(AND(Irr!U20=".",Irr!AS20&lt;&gt;".",Irr!BQ20="."),dir!V20/((1/1000)*(Irr!AS20)),IF(AND(Irr!U20&lt;&gt;".",Irr!AS20=".",Irr!BQ20="."),dir!V20/((1/1000)*(Irr!U20)),IF(AND(Irr!U20=".",Irr!AS20=".",Irr!BQ20="."),dir!V20*1000)))))))),".")</f>
        <v>.</v>
      </c>
      <c r="W20" s="76" t="str">
        <f>IFERROR(IF(AND(Irr!V20&lt;&gt;".",Irr!AT20&lt;&gt;".",Irr!BR20&lt;&gt;"."),dir!W20/((1/1000)*(Irr!V20+Irr!AT20+Irr!BR20)),IF(AND(Irr!V20&lt;&gt;".",Irr!AT20&lt;&gt;".",Irr!BR20="."),dir!W20/((1/1000)*(Irr!V20+Irr!AT20)),IF(AND(Irr!V20&lt;&gt;".",Irr!AT20=".",Irr!BR20&lt;&gt;"."),dir!W20/((1/1000)*(Irr!V20+Irr!BR20)),IF(AND(Irr!V20=".",Irr!AT20&lt;&gt;".",Irr!BR20&lt;&gt;"."),dir!W20/((1/1000)*(Irr!AT20+Irr!BR20)),IF(AND(Irr!V20=".",Irr!AT20=".",Irr!BR20&lt;&gt;"."),dir!W20/((1/1000)*(Irr!BR20)),IF(AND(Irr!V20=".",Irr!AT20&lt;&gt;".",Irr!BR20="."),dir!W20/((1/1000)*(Irr!AT20)),IF(AND(Irr!V20&lt;&gt;".",Irr!AT20=".",Irr!BR20="."),dir!W20/((1/1000)*(Irr!V20)),IF(AND(Irr!V20=".",Irr!AT20=".",Irr!BR20="."),dir!W20*1000)))))))),".")</f>
        <v>.</v>
      </c>
      <c r="X20" s="76" t="str">
        <f>IFERROR(IF(AND(Irr!W20&lt;&gt;".",Irr!AU20&lt;&gt;".",Irr!BS20&lt;&gt;"."),dir!X20/((1/1000)*(Irr!W20+Irr!AU20+Irr!BS20)),IF(AND(Irr!W20&lt;&gt;".",Irr!AU20&lt;&gt;".",Irr!BS20="."),dir!X20/((1/1000)*(Irr!W20+Irr!AU20)),IF(AND(Irr!W20&lt;&gt;".",Irr!AU20=".",Irr!BS20&lt;&gt;"."),dir!X20/((1/1000)*(Irr!W20+Irr!BS20)),IF(AND(Irr!W20=".",Irr!AU20&lt;&gt;".",Irr!BS20&lt;&gt;"."),dir!X20/((1/1000)*(Irr!AU20+Irr!BS20)),IF(AND(Irr!W20=".",Irr!AU20=".",Irr!BS20&lt;&gt;"."),dir!X20/((1/1000)*(Irr!BS20)),IF(AND(Irr!W20=".",Irr!AU20&lt;&gt;".",Irr!BS20="."),dir!X20/((1/1000)*(Irr!AU20)),IF(AND(Irr!W20&lt;&gt;".",Irr!AU20=".",Irr!BS20="."),dir!X20/((1/1000)*(Irr!W20)),IF(AND(Irr!W20=".",Irr!AU20=".",Irr!BS20="."),dir!X20*1000)))))))),".")</f>
        <v>.</v>
      </c>
      <c r="Y20" s="76" t="str">
        <f>IFERROR(IF(AND(Irr!X20&lt;&gt;".",Irr!AV20&lt;&gt;".",Irr!BT20&lt;&gt;"."),dir!Y20/((1/1000)*(Irr!X20+Irr!AV20+Irr!BT20)),IF(AND(Irr!X20&lt;&gt;".",Irr!AV20&lt;&gt;".",Irr!BT20="."),dir!Y20/((1/1000)*(Irr!X20+Irr!AV20)),IF(AND(Irr!X20&lt;&gt;".",Irr!AV20=".",Irr!BT20&lt;&gt;"."),dir!Y20/((1/1000)*(Irr!X20+Irr!BT20)),IF(AND(Irr!X20=".",Irr!AV20&lt;&gt;".",Irr!BT20&lt;&gt;"."),dir!Y20/((1/1000)*(Irr!AV20+Irr!BT20)),IF(AND(Irr!X20=".",Irr!AV20=".",Irr!BT20&lt;&gt;"."),dir!Y20/((1/1000)*(Irr!BT20)),IF(AND(Irr!X20=".",Irr!AV20&lt;&gt;".",Irr!BT20="."),dir!Y20/((1/1000)*(Irr!AV20)),IF(AND(Irr!X20&lt;&gt;".",Irr!AV20=".",Irr!BT20="."),dir!Y20/((1/1000)*(Irr!X20)),IF(AND(Irr!X20=".",Irr!AV20=".",Irr!BT20="."),dir!Y20*1000)))))))),".")</f>
        <v>.</v>
      </c>
      <c r="Z20" s="76" t="str">
        <f>IFERROR(IF(AND(Irr!Y20&lt;&gt;".",Irr!AW20&lt;&gt;".",Irr!BU20&lt;&gt;"."),dir!Z20/((1/1000)*(Irr!Y20+Irr!AW20+Irr!BU20)),IF(AND(Irr!Y20&lt;&gt;".",Irr!AW20&lt;&gt;".",Irr!BU20="."),dir!Z20/((1/1000)*(Irr!Y20+Irr!AW20)),IF(AND(Irr!Y20&lt;&gt;".",Irr!AW20=".",Irr!BU20&lt;&gt;"."),dir!Z20/((1/1000)*(Irr!Y20+Irr!BU20)),IF(AND(Irr!Y20=".",Irr!AW20&lt;&gt;".",Irr!BU20&lt;&gt;"."),dir!Z20/((1/1000)*(Irr!AW20+Irr!BU20)),IF(AND(Irr!Y20=".",Irr!AW20=".",Irr!BU20&lt;&gt;"."),dir!Z20/((1/1000)*(Irr!BU20)),IF(AND(Irr!Y20=".",Irr!AW20&lt;&gt;".",Irr!BU20="."),dir!Z20/((1/1000)*(Irr!AW20)),IF(AND(Irr!Y20&lt;&gt;".",Irr!AW20=".",Irr!BU20="."),dir!Z20/((1/1000)*(Irr!Y20)),IF(AND(Irr!Y20=".",Irr!AW20=".",Irr!BU20="."),dir!Z20*1000)))))))),".")</f>
        <v>.</v>
      </c>
      <c r="AA20" s="76" t="str">
        <f>IFERROR(IF(AND(Irr!Z20&lt;&gt;".",Irr!AX20&lt;&gt;".",Irr!BV20&lt;&gt;"."),dir!AA20/((1/1000)*(Irr!Z20+Irr!AX20+Irr!BV20)),IF(AND(Irr!Z20&lt;&gt;".",Irr!AX20&lt;&gt;".",Irr!BV20="."),dir!AA20/((1/1000)*(Irr!Z20+Irr!AX20)),IF(AND(Irr!Z20&lt;&gt;".",Irr!AX20=".",Irr!BV20&lt;&gt;"."),dir!AA20/((1/1000)*(Irr!Z20+Irr!BV20)),IF(AND(Irr!Z20=".",Irr!AX20&lt;&gt;".",Irr!BV20&lt;&gt;"."),dir!AA20/((1/1000)*(Irr!AX20+Irr!BV20)),IF(AND(Irr!Z20=".",Irr!AX20=".",Irr!BV20&lt;&gt;"."),dir!AA20/((1/1000)*(Irr!BV20)),IF(AND(Irr!Z20=".",Irr!AX20&lt;&gt;".",Irr!BV20="."),dir!AA20/((1/1000)*(Irr!AX20)),IF(AND(Irr!Z20&lt;&gt;".",Irr!AX20=".",Irr!BV20="."),dir!AA20/((1/1000)*(Irr!Z20)),IF(AND(Irr!Z20=".",Irr!AX20=".",Irr!BV20="."),dir!AA20*1000)))))))),".")</f>
        <v>.</v>
      </c>
      <c r="AB20" s="76" t="str">
        <f t="shared" si="17"/>
        <v>.</v>
      </c>
      <c r="AC20" s="76" t="str">
        <f>IFERROR(IF(AND(Irr!C20&lt;&gt;".",Irr!AA20&lt;&gt;".",Irr!AY20&lt;&gt;"."),dir!AC20/((1/1000)*(Irr!C20+Irr!AA20+Irr!AY20)),IF(AND(Irr!C20&lt;&gt;".",Irr!AA20&lt;&gt;".",Irr!AY20="."),dir!AC20/((1/1000)*(Irr!C20+Irr!AA20)),IF(AND(Irr!C20&lt;&gt;".",Irr!AA20=".",Irr!AY20&lt;&gt;"."),dir!AC20/((1/1000)*(Irr!C20+Irr!AY20)),IF(AND(Irr!C20=".",Irr!AA20&lt;&gt;".",Irr!AY20&lt;&gt;"."),dir!AC20/((1/1000)*(Irr!AA20+Irr!AY20)),IF(AND(Irr!C20=".",Irr!AA20=".",Irr!AY20&lt;&gt;"."),dir!AC20/((1/1000)*(Irr!AY20)),IF(AND(Irr!C20=".",Irr!AA20&lt;&gt;".",Irr!AY20="."),dir!AC20/((1/1000)*(Irr!AA20)),IF(AND(Irr!C20&lt;&gt;".",Irr!AA20=".",Irr!AY20="."),dir!AC20/((1/1000)*(Irr!C20)),IF(AND(Irr!C20=".",Irr!AA20=".",Irr!AY20="."),dir!AC20*1000)))))))),".")</f>
        <v>.</v>
      </c>
      <c r="AD20" s="76" t="str">
        <f>IFERROR(IF(AND(Irr!D20&lt;&gt;".",Irr!AB20&lt;&gt;".",Irr!AZ20&lt;&gt;"."),dir!AD20/((1/1000)*(Irr!D20+Irr!AB20+Irr!AZ20)),IF(AND(Irr!D20&lt;&gt;".",Irr!AB20&lt;&gt;".",Irr!AZ20="."),dir!AD20/((1/1000)*(Irr!D20+Irr!AB20)),IF(AND(Irr!D20&lt;&gt;".",Irr!AB20=".",Irr!AZ20&lt;&gt;"."),dir!AD20/((1/1000)*(Irr!D20+Irr!AZ20)),IF(AND(Irr!D20=".",Irr!AB20&lt;&gt;".",Irr!AZ20&lt;&gt;"."),dir!AD20/((1/1000)*(Irr!AB20+Irr!AZ20)),IF(AND(Irr!D20=".",Irr!AB20=".",Irr!AZ20&lt;&gt;"."),dir!AD20/((1/1000)*(Irr!AZ20)),IF(AND(Irr!D20=".",Irr!AB20&lt;&gt;".",Irr!AZ20="."),dir!AD20/((1/1000)*(Irr!AB20)),IF(AND(Irr!D20&lt;&gt;".",Irr!AB20=".",Irr!AZ20="."),dir!AD20/((1/1000)*(Irr!D20)),IF(AND(Irr!D20=".",Irr!AB20=".",Irr!AZ20="."),dir!AD20*1000)))))))),".")</f>
        <v>.</v>
      </c>
      <c r="AE20" s="76" t="str">
        <f>IFERROR(IF(AND(Irr!E20&lt;&gt;".",Irr!AC20&lt;&gt;".",Irr!BA20&lt;&gt;"."),dir!AE20/((1/1000)*(Irr!E20+Irr!AC20+Irr!BA20)),IF(AND(Irr!E20&lt;&gt;".",Irr!AC20&lt;&gt;".",Irr!BA20="."),dir!AE20/((1/1000)*(Irr!E20+Irr!AC20)),IF(AND(Irr!E20&lt;&gt;".",Irr!AC20=".",Irr!BA20&lt;&gt;"."),dir!AE20/((1/1000)*(Irr!E20+Irr!BA20)),IF(AND(Irr!E20=".",Irr!AC20&lt;&gt;".",Irr!BA20&lt;&gt;"."),dir!AE20/((1/1000)*(Irr!AC20+Irr!BA20)),IF(AND(Irr!E20=".",Irr!AC20=".",Irr!BA20&lt;&gt;"."),dir!AE20/((1/1000)*(Irr!BA20)),IF(AND(Irr!E20=".",Irr!AC20&lt;&gt;".",Irr!BA20="."),dir!AE20/((1/1000)*(Irr!AC20)),IF(AND(Irr!E20&lt;&gt;".",Irr!AC20=".",Irr!BA20="."),dir!AE20/((1/1000)*(Irr!E20)),IF(AND(Irr!E20=".",Irr!AC20=".",Irr!BA20="."),dir!AE20*1000)))))))),".")</f>
        <v>.</v>
      </c>
      <c r="AF20" s="76" t="str">
        <f>IFERROR(IF(AND(Irr!F20&lt;&gt;".",Irr!AD20&lt;&gt;".",Irr!BB20&lt;&gt;"."),dir!AF20/((1/1000)*(Irr!F20+Irr!AD20+Irr!BB20)),IF(AND(Irr!F20&lt;&gt;".",Irr!AD20&lt;&gt;".",Irr!BB20="."),dir!AF20/((1/1000)*(Irr!F20+Irr!AD20)),IF(AND(Irr!F20&lt;&gt;".",Irr!AD20=".",Irr!BB20&lt;&gt;"."),dir!AF20/((1/1000)*(Irr!F20+Irr!BB20)),IF(AND(Irr!F20=".",Irr!AD20&lt;&gt;".",Irr!BB20&lt;&gt;"."),dir!AF20/((1/1000)*(Irr!AD20+Irr!BB20)),IF(AND(Irr!F20=".",Irr!AD20=".",Irr!BB20&lt;&gt;"."),dir!AF20/((1/1000)*(Irr!BB20)),IF(AND(Irr!F20=".",Irr!AD20&lt;&gt;".",Irr!BB20="."),dir!AF20/((1/1000)*(Irr!AD20)),IF(AND(Irr!F20&lt;&gt;".",Irr!AD20=".",Irr!BB20="."),dir!AF20/((1/1000)*(Irr!F20)),IF(AND(Irr!F20=".",Irr!AD20=".",Irr!BB20="."),dir!AF20*1000)))))))),".")</f>
        <v>.</v>
      </c>
      <c r="AG20" s="76" t="str">
        <f>IFERROR(IF(AND(Irr!G20&lt;&gt;".",Irr!AE20&lt;&gt;".",Irr!BC20&lt;&gt;"."),dir!AG20/((1/1000)*(Irr!G20+Irr!AE20+Irr!BC20)),IF(AND(Irr!G20&lt;&gt;".",Irr!AE20&lt;&gt;".",Irr!BC20="."),dir!AG20/((1/1000)*(Irr!G20+Irr!AE20)),IF(AND(Irr!G20&lt;&gt;".",Irr!AE20=".",Irr!BC20&lt;&gt;"."),dir!AG20/((1/1000)*(Irr!G20+Irr!BC20)),IF(AND(Irr!G20=".",Irr!AE20&lt;&gt;".",Irr!BC20&lt;&gt;"."),dir!AG20/((1/1000)*(Irr!AE20+Irr!BC20)),IF(AND(Irr!G20=".",Irr!AE20=".",Irr!BC20&lt;&gt;"."),dir!AG20/((1/1000)*(Irr!BC20)),IF(AND(Irr!G20=".",Irr!AE20&lt;&gt;".",Irr!BC20="."),dir!AG20/((1/1000)*(Irr!AE20)),IF(AND(Irr!G20&lt;&gt;".",Irr!AE20=".",Irr!BC20="."),dir!AG20/((1/1000)*(Irr!G20)),IF(AND(Irr!G20=".",Irr!AE20=".",Irr!BC20="."),dir!AG20*1000)))))))),".")</f>
        <v>.</v>
      </c>
      <c r="AH20" s="76" t="str">
        <f>IFERROR(IF(AND(Irr!H20&lt;&gt;".",Irr!AF20&lt;&gt;".",Irr!BD20&lt;&gt;"."),dir!AH20/((1/1000)*(Irr!H20+Irr!AF20+Irr!BD20)),IF(AND(Irr!H20&lt;&gt;".",Irr!AF20&lt;&gt;".",Irr!BD20="."),dir!AH20/((1/1000)*(Irr!H20+Irr!AF20)),IF(AND(Irr!H20&lt;&gt;".",Irr!AF20=".",Irr!BD20&lt;&gt;"."),dir!AH20/((1/1000)*(Irr!H20+Irr!BD20)),IF(AND(Irr!H20=".",Irr!AF20&lt;&gt;".",Irr!BD20&lt;&gt;"."),dir!AH20/((1/1000)*(Irr!AF20+Irr!BD20)),IF(AND(Irr!H20=".",Irr!AF20=".",Irr!BD20&lt;&gt;"."),dir!AH20/((1/1000)*(Irr!BD20)),IF(AND(Irr!H20=".",Irr!AF20&lt;&gt;".",Irr!BD20="."),dir!AH20/((1/1000)*(Irr!AF20)),IF(AND(Irr!H20&lt;&gt;".",Irr!AF20=".",Irr!BD20="."),dir!AH20/((1/1000)*(Irr!H20)),IF(AND(Irr!H20=".",Irr!AF20=".",Irr!BD20="."),dir!AH20*1000)))))))),".")</f>
        <v>.</v>
      </c>
      <c r="AI20" s="76" t="str">
        <f>IFERROR(IF(AND(Irr!I20&lt;&gt;".",Irr!AG20&lt;&gt;".",Irr!BE20&lt;&gt;"."),dir!AI20/((1/1000)*(Irr!I20+Irr!AG20+Irr!BE20)),IF(AND(Irr!I20&lt;&gt;".",Irr!AG20&lt;&gt;".",Irr!BE20="."),dir!AI20/((1/1000)*(Irr!I20+Irr!AG20)),IF(AND(Irr!I20&lt;&gt;".",Irr!AG20=".",Irr!BE20&lt;&gt;"."),dir!AI20/((1/1000)*(Irr!I20+Irr!BE20)),IF(AND(Irr!I20=".",Irr!AG20&lt;&gt;".",Irr!BE20&lt;&gt;"."),dir!AI20/((1/1000)*(Irr!AG20+Irr!BE20)),IF(AND(Irr!I20=".",Irr!AG20=".",Irr!BE20&lt;&gt;"."),dir!AI20/((1/1000)*(Irr!BE20)),IF(AND(Irr!I20=".",Irr!AG20&lt;&gt;".",Irr!BE20="."),dir!AI20/((1/1000)*(Irr!AG20)),IF(AND(Irr!I20&lt;&gt;".",Irr!AG20=".",Irr!BE20="."),dir!AI20/((1/1000)*(Irr!I20)),IF(AND(Irr!I20=".",Irr!AG20=".",Irr!BE20="."),dir!AI20*1000)))))))),".")</f>
        <v>.</v>
      </c>
      <c r="AJ20" s="76" t="str">
        <f>IFERROR(IF(AND(Irr!J20&lt;&gt;".",Irr!AH20&lt;&gt;".",Irr!BF20&lt;&gt;"."),dir!AJ20/((1/1000)*(Irr!J20+Irr!AH20+Irr!BF20)),IF(AND(Irr!J20&lt;&gt;".",Irr!AH20&lt;&gt;".",Irr!BF20="."),dir!AJ20/((1/1000)*(Irr!J20+Irr!AH20)),IF(AND(Irr!J20&lt;&gt;".",Irr!AH20=".",Irr!BF20&lt;&gt;"."),dir!AJ20/((1/1000)*(Irr!J20+Irr!BF20)),IF(AND(Irr!J20=".",Irr!AH20&lt;&gt;".",Irr!BF20&lt;&gt;"."),dir!AJ20/((1/1000)*(Irr!AH20+Irr!BF20)),IF(AND(Irr!J20=".",Irr!AH20=".",Irr!BF20&lt;&gt;"."),dir!AJ20/((1/1000)*(Irr!BF20)),IF(AND(Irr!J20=".",Irr!AH20&lt;&gt;".",Irr!BF20="."),dir!AJ20/((1/1000)*(Irr!AH20)),IF(AND(Irr!J20&lt;&gt;".",Irr!AH20=".",Irr!BF20="."),dir!AJ20/((1/1000)*(Irr!J20)),IF(AND(Irr!J20=".",Irr!AH20=".",Irr!BF20="."),dir!AJ20*1000)))))))),".")</f>
        <v>.</v>
      </c>
      <c r="AK20" s="76" t="str">
        <f>IFERROR(IF(AND(Irr!K20&lt;&gt;".",Irr!AI20&lt;&gt;".",Irr!BG20&lt;&gt;"."),dir!AK20/((1/1000)*(Irr!K20+Irr!AI20+Irr!BG20)),IF(AND(Irr!K20&lt;&gt;".",Irr!AI20&lt;&gt;".",Irr!BG20="."),dir!AK20/((1/1000)*(Irr!K20+Irr!AI20)),IF(AND(Irr!K20&lt;&gt;".",Irr!AI20=".",Irr!BG20&lt;&gt;"."),dir!AK20/((1/1000)*(Irr!K20+Irr!BG20)),IF(AND(Irr!K20=".",Irr!AI20&lt;&gt;".",Irr!BG20&lt;&gt;"."),dir!AK20/((1/1000)*(Irr!AI20+Irr!BG20)),IF(AND(Irr!K20=".",Irr!AI20=".",Irr!BG20&lt;&gt;"."),dir!AK20/((1/1000)*(Irr!BG20)),IF(AND(Irr!K20=".",Irr!AI20&lt;&gt;".",Irr!BG20="."),dir!AK20/((1/1000)*(Irr!AI20)),IF(AND(Irr!K20&lt;&gt;".",Irr!AI20=".",Irr!BG20="."),dir!AK20/((1/1000)*(Irr!K20)),IF(AND(Irr!K20=".",Irr!AI20=".",Irr!BG20="."),dir!AK20*1000)))))))),".")</f>
        <v>.</v>
      </c>
      <c r="AL20" s="76" t="str">
        <f>IFERROR(IF(AND(Irr!L20&lt;&gt;".",Irr!AJ20&lt;&gt;".",Irr!BH20&lt;&gt;"."),dir!AL20/((1/1000)*(Irr!L20+Irr!AJ20+Irr!BH20)),IF(AND(Irr!L20&lt;&gt;".",Irr!AJ20&lt;&gt;".",Irr!BH20="."),dir!AL20/((1/1000)*(Irr!L20+Irr!AJ20)),IF(AND(Irr!L20&lt;&gt;".",Irr!AJ20=".",Irr!BH20&lt;&gt;"."),dir!AL20/((1/1000)*(Irr!L20+Irr!BH20)),IF(AND(Irr!L20=".",Irr!AJ20&lt;&gt;".",Irr!BH20&lt;&gt;"."),dir!AL20/((1/1000)*(Irr!AJ20+Irr!BH20)),IF(AND(Irr!L20=".",Irr!AJ20=".",Irr!BH20&lt;&gt;"."),dir!AL20/((1/1000)*(Irr!BH20)),IF(AND(Irr!L20=".",Irr!AJ20&lt;&gt;".",Irr!BH20="."),dir!AL20/((1/1000)*(Irr!AJ20)),IF(AND(Irr!L20&lt;&gt;".",Irr!AJ20=".",Irr!BH20="."),dir!AL20/((1/1000)*(Irr!L20)),IF(AND(Irr!L20=".",Irr!AJ20=".",Irr!BH20="."),dir!AL20*1000)))))))),".")</f>
        <v>.</v>
      </c>
      <c r="AM20" s="76" t="str">
        <f>IFERROR(IF(AND(Irr!M20&lt;&gt;".",Irr!AK20&lt;&gt;".",Irr!BI20&lt;&gt;"."),dir!AM20/((1/1000)*(Irr!M20+Irr!AK20+Irr!BI20)),IF(AND(Irr!M20&lt;&gt;".",Irr!AK20&lt;&gt;".",Irr!BI20="."),dir!AM20/((1/1000)*(Irr!M20+Irr!AK20)),IF(AND(Irr!M20&lt;&gt;".",Irr!AK20=".",Irr!BI20&lt;&gt;"."),dir!AM20/((1/1000)*(Irr!M20+Irr!BI20)),IF(AND(Irr!M20=".",Irr!AK20&lt;&gt;".",Irr!BI20&lt;&gt;"."),dir!AM20/((1/1000)*(Irr!AK20+Irr!BI20)),IF(AND(Irr!M20=".",Irr!AK20=".",Irr!BI20&lt;&gt;"."),dir!AM20/((1/1000)*(Irr!BI20)),IF(AND(Irr!M20=".",Irr!AK20&lt;&gt;".",Irr!BI20="."),dir!AM20/((1/1000)*(Irr!AK20)),IF(AND(Irr!M20&lt;&gt;".",Irr!AK20=".",Irr!BI20="."),dir!AM20/((1/1000)*(Irr!M20)),IF(AND(Irr!M20=".",Irr!AK20=".",Irr!BI20="."),dir!AM20*1000)))))))),".")</f>
        <v>.</v>
      </c>
      <c r="AN20" s="76" t="str">
        <f>IFERROR(IF(AND(Irr!N20&lt;&gt;".",Irr!AL20&lt;&gt;".",Irr!BJ20&lt;&gt;"."),dir!AN20/((1/1000)*(Irr!N20+Irr!AL20+Irr!BJ20)),IF(AND(Irr!N20&lt;&gt;".",Irr!AL20&lt;&gt;".",Irr!BJ20="."),dir!AN20/((1/1000)*(Irr!N20+Irr!AL20)),IF(AND(Irr!N20&lt;&gt;".",Irr!AL20=".",Irr!BJ20&lt;&gt;"."),dir!AN20/((1/1000)*(Irr!N20+Irr!BJ20)),IF(AND(Irr!N20=".",Irr!AL20&lt;&gt;".",Irr!BJ20&lt;&gt;"."),dir!AN20/((1/1000)*(Irr!AL20+Irr!BJ20)),IF(AND(Irr!N20=".",Irr!AL20=".",Irr!BJ20&lt;&gt;"."),dir!AN20/((1/1000)*(Irr!BJ20)),IF(AND(Irr!N20=".",Irr!AL20&lt;&gt;".",Irr!BJ20="."),dir!AN20/((1/1000)*(Irr!AL20)),IF(AND(Irr!N20&lt;&gt;".",Irr!AL20=".",Irr!BJ20="."),dir!AN20/((1/1000)*(Irr!N20)),IF(AND(Irr!N20=".",Irr!AL20=".",Irr!BJ20="."),dir!AN20*1000)))))))),".")</f>
        <v>.</v>
      </c>
      <c r="AO20" s="76" t="str">
        <f>IFERROR(IF(AND(Irr!O20&lt;&gt;".",Irr!AM20&lt;&gt;".",Irr!BK20&lt;&gt;"."),dir!AO20/((1/1000)*(Irr!O20+Irr!AM20+Irr!BK20)),IF(AND(Irr!O20&lt;&gt;".",Irr!AM20&lt;&gt;".",Irr!BK20="."),dir!AO20/((1/1000)*(Irr!O20+Irr!AM20)),IF(AND(Irr!O20&lt;&gt;".",Irr!AM20=".",Irr!BK20&lt;&gt;"."),dir!AO20/((1/1000)*(Irr!O20+Irr!BK20)),IF(AND(Irr!O20=".",Irr!AM20&lt;&gt;".",Irr!BK20&lt;&gt;"."),dir!AO20/((1/1000)*(Irr!AM20+Irr!BK20)),IF(AND(Irr!O20=".",Irr!AM20=".",Irr!BK20&lt;&gt;"."),dir!AO20/((1/1000)*(Irr!BK20)),IF(AND(Irr!O20=".",Irr!AM20&lt;&gt;".",Irr!BK20="."),dir!AO20/((1/1000)*(Irr!AM20)),IF(AND(Irr!O20&lt;&gt;".",Irr!AM20=".",Irr!BK20="."),dir!AO20/((1/1000)*(Irr!O20)),IF(AND(Irr!O20=".",Irr!AM20=".",Irr!BK20="."),dir!AO20*1000)))))))),".")</f>
        <v>.</v>
      </c>
      <c r="AP20" s="76" t="str">
        <f>IFERROR(IF(AND(Irr!P20&lt;&gt;".",Irr!AN20&lt;&gt;".",Irr!BL20&lt;&gt;"."),dir!AP20/((1/1000)*(Irr!P20+Irr!AN20+Irr!BL20)),IF(AND(Irr!P20&lt;&gt;".",Irr!AN20&lt;&gt;".",Irr!BL20="."),dir!AP20/((1/1000)*(Irr!P20+Irr!AN20)),IF(AND(Irr!P20&lt;&gt;".",Irr!AN20=".",Irr!BL20&lt;&gt;"."),dir!AP20/((1/1000)*(Irr!P20+Irr!BL20)),IF(AND(Irr!P20=".",Irr!AN20&lt;&gt;".",Irr!BL20&lt;&gt;"."),dir!AP20/((1/1000)*(Irr!AN20+Irr!BL20)),IF(AND(Irr!P20=".",Irr!AN20=".",Irr!BL20&lt;&gt;"."),dir!AP20/((1/1000)*(Irr!BL20)),IF(AND(Irr!P20=".",Irr!AN20&lt;&gt;".",Irr!BL20="."),dir!AP20/((1/1000)*(Irr!AN20)),IF(AND(Irr!P20&lt;&gt;".",Irr!AN20=".",Irr!BL20="."),dir!AP20/((1/1000)*(Irr!P20)),IF(AND(Irr!P20=".",Irr!AN20=".",Irr!BL20="."),dir!AP20*1000)))))))),".")</f>
        <v>.</v>
      </c>
      <c r="AQ20" s="76" t="str">
        <f>IFERROR(IF(AND(Irr!Q20&lt;&gt;".",Irr!AO20&lt;&gt;".",Irr!BM20&lt;&gt;"."),dir!AQ20/((1/1000)*(Irr!Q20+Irr!AO20+Irr!BM20)),IF(AND(Irr!Q20&lt;&gt;".",Irr!AO20&lt;&gt;".",Irr!BM20="."),dir!AQ20/((1/1000)*(Irr!Q20+Irr!AO20)),IF(AND(Irr!Q20&lt;&gt;".",Irr!AO20=".",Irr!BM20&lt;&gt;"."),dir!AQ20/((1/1000)*(Irr!Q20+Irr!BM20)),IF(AND(Irr!Q20=".",Irr!AO20&lt;&gt;".",Irr!BM20&lt;&gt;"."),dir!AQ20/((1/1000)*(Irr!AO20+Irr!BM20)),IF(AND(Irr!Q20=".",Irr!AO20=".",Irr!BM20&lt;&gt;"."),dir!AQ20/((1/1000)*(Irr!BM20)),IF(AND(Irr!Q20=".",Irr!AO20&lt;&gt;".",Irr!BM20="."),dir!AQ20/((1/1000)*(Irr!AO20)),IF(AND(Irr!Q20&lt;&gt;".",Irr!AO20=".",Irr!BM20="."),dir!AQ20/((1/1000)*(Irr!Q20)),IF(AND(Irr!Q20=".",Irr!AO20=".",Irr!BM20="."),dir!AQ20*1000)))))))),".")</f>
        <v>.</v>
      </c>
      <c r="AR20" s="76" t="str">
        <f>IFERROR(IF(AND(Irr!R20&lt;&gt;".",Irr!AP20&lt;&gt;".",Irr!BN20&lt;&gt;"."),dir!AR20/((1/1000)*(Irr!R20+Irr!AP20+Irr!BN20)),IF(AND(Irr!R20&lt;&gt;".",Irr!AP20&lt;&gt;".",Irr!BN20="."),dir!AR20/((1/1000)*(Irr!R20+Irr!AP20)),IF(AND(Irr!R20&lt;&gt;".",Irr!AP20=".",Irr!BN20&lt;&gt;"."),dir!AR20/((1/1000)*(Irr!R20+Irr!BN20)),IF(AND(Irr!R20=".",Irr!AP20&lt;&gt;".",Irr!BN20&lt;&gt;"."),dir!AR20/((1/1000)*(Irr!AP20+Irr!BN20)),IF(AND(Irr!R20=".",Irr!AP20=".",Irr!BN20&lt;&gt;"."),dir!AR20/((1/1000)*(Irr!BN20)),IF(AND(Irr!R20=".",Irr!AP20&lt;&gt;".",Irr!BN20="."),dir!AR20/((1/1000)*(Irr!AP20)),IF(AND(Irr!R20&lt;&gt;".",Irr!AP20=".",Irr!BN20="."),dir!AR20/((1/1000)*(Irr!R20)),IF(AND(Irr!R20=".",Irr!AP20=".",Irr!BN20="."),dir!AR20*1000)))))))),".")</f>
        <v>.</v>
      </c>
      <c r="AS20" s="76" t="str">
        <f>IFERROR(IF(AND(Irr!S20&lt;&gt;".",Irr!AQ20&lt;&gt;".",Irr!BO20&lt;&gt;"."),dir!AS20/((1/1000)*(Irr!S20+Irr!AQ20+Irr!BO20)),IF(AND(Irr!S20&lt;&gt;".",Irr!AQ20&lt;&gt;".",Irr!BO20="."),dir!AS20/((1/1000)*(Irr!S20+Irr!AQ20)),IF(AND(Irr!S20&lt;&gt;".",Irr!AQ20=".",Irr!BO20&lt;&gt;"."),dir!AS20/((1/1000)*(Irr!S20+Irr!BO20)),IF(AND(Irr!S20=".",Irr!AQ20&lt;&gt;".",Irr!BO20&lt;&gt;"."),dir!AS20/((1/1000)*(Irr!AQ20+Irr!BO20)),IF(AND(Irr!S20=".",Irr!AQ20=".",Irr!BO20&lt;&gt;"."),dir!AS20/((1/1000)*(Irr!BO20)),IF(AND(Irr!S20=".",Irr!AQ20&lt;&gt;".",Irr!BO20="."),dir!AS20/((1/1000)*(Irr!AQ20)),IF(AND(Irr!S20&lt;&gt;".",Irr!AQ20=".",Irr!BO20="."),dir!AS20/((1/1000)*(Irr!S20)),IF(AND(Irr!S20=".",Irr!AQ20=".",Irr!BO20="."),dir!AS20*1000)))))))),".")</f>
        <v>.</v>
      </c>
      <c r="AT20" s="76" t="str">
        <f>IFERROR(IF(AND(Irr!T20&lt;&gt;".",Irr!AR20&lt;&gt;".",Irr!BP20&lt;&gt;"."),dir!AT20/((1/1000)*(Irr!T20+Irr!AR20+Irr!BP20)),IF(AND(Irr!T20&lt;&gt;".",Irr!AR20&lt;&gt;".",Irr!BP20="."),dir!AT20/((1/1000)*(Irr!T20+Irr!AR20)),IF(AND(Irr!T20&lt;&gt;".",Irr!AR20=".",Irr!BP20&lt;&gt;"."),dir!AT20/((1/1000)*(Irr!T20+Irr!BP20)),IF(AND(Irr!T20=".",Irr!AR20&lt;&gt;".",Irr!BP20&lt;&gt;"."),dir!AT20/((1/1000)*(Irr!AR20+Irr!BP20)),IF(AND(Irr!T20=".",Irr!AR20=".",Irr!BP20&lt;&gt;"."),dir!AT20/((1/1000)*(Irr!BP20)),IF(AND(Irr!T20=".",Irr!AR20&lt;&gt;".",Irr!BP20="."),dir!AT20/((1/1000)*(Irr!AR20)),IF(AND(Irr!T20&lt;&gt;".",Irr!AR20=".",Irr!BP20="."),dir!AT20/((1/1000)*(Irr!T20)),IF(AND(Irr!T20=".",Irr!AR20=".",Irr!BP20="."),dir!AT20*1000)))))))),".")</f>
        <v>.</v>
      </c>
      <c r="AU20" s="76" t="str">
        <f>IFERROR(IF(AND(Irr!U20&lt;&gt;".",Irr!AS20&lt;&gt;".",Irr!BQ20&lt;&gt;"."),dir!AU20/((1/1000)*(Irr!U20+Irr!AS20+Irr!BQ20)),IF(AND(Irr!U20&lt;&gt;".",Irr!AS20&lt;&gt;".",Irr!BQ20="."),dir!AU20/((1/1000)*(Irr!U20+Irr!AS20)),IF(AND(Irr!U20&lt;&gt;".",Irr!AS20=".",Irr!BQ20&lt;&gt;"."),dir!AU20/((1/1000)*(Irr!U20+Irr!BQ20)),IF(AND(Irr!U20=".",Irr!AS20&lt;&gt;".",Irr!BQ20&lt;&gt;"."),dir!AU20/((1/1000)*(Irr!AS20+Irr!BQ20)),IF(AND(Irr!U20=".",Irr!AS20=".",Irr!BQ20&lt;&gt;"."),dir!AU20/((1/1000)*(Irr!BQ20)),IF(AND(Irr!U20=".",Irr!AS20&lt;&gt;".",Irr!BQ20="."),dir!AU20/((1/1000)*(Irr!AS20)),IF(AND(Irr!U20&lt;&gt;".",Irr!AS20=".",Irr!BQ20="."),dir!AU20/((1/1000)*(Irr!U20)),IF(AND(Irr!U20=".",Irr!AS20=".",Irr!BQ20="."),dir!AU20*1000)))))))),".")</f>
        <v>.</v>
      </c>
      <c r="AV20" s="76" t="str">
        <f>IFERROR(IF(AND(Irr!V20&lt;&gt;".",Irr!AT20&lt;&gt;".",Irr!BR20&lt;&gt;"."),dir!AV20/((1/1000)*(Irr!V20+Irr!AT20+Irr!BR20)),IF(AND(Irr!V20&lt;&gt;".",Irr!AT20&lt;&gt;".",Irr!BR20="."),dir!AV20/((1/1000)*(Irr!V20+Irr!AT20)),IF(AND(Irr!V20&lt;&gt;".",Irr!AT20=".",Irr!BR20&lt;&gt;"."),dir!AV20/((1/1000)*(Irr!V20+Irr!BR20)),IF(AND(Irr!V20=".",Irr!AT20&lt;&gt;".",Irr!BR20&lt;&gt;"."),dir!AV20/((1/1000)*(Irr!AT20+Irr!BR20)),IF(AND(Irr!V20=".",Irr!AT20=".",Irr!BR20&lt;&gt;"."),dir!AV20/((1/1000)*(Irr!BR20)),IF(AND(Irr!V20=".",Irr!AT20&lt;&gt;".",Irr!BR20="."),dir!AV20/((1/1000)*(Irr!AT20)),IF(AND(Irr!V20&lt;&gt;".",Irr!AT20=".",Irr!BR20="."),dir!AV20/((1/1000)*(Irr!V20)),IF(AND(Irr!V20=".",Irr!AT20=".",Irr!BR20="."),dir!AV20*1000)))))))),".")</f>
        <v>.</v>
      </c>
      <c r="AW20" s="76" t="str">
        <f>IFERROR(IF(AND(Irr!W20&lt;&gt;".",Irr!AU20&lt;&gt;".",Irr!BS20&lt;&gt;"."),dir!AW20/((1/1000)*(Irr!W20+Irr!AU20+Irr!BS20)),IF(AND(Irr!W20&lt;&gt;".",Irr!AU20&lt;&gt;".",Irr!BS20="."),dir!AW20/((1/1000)*(Irr!W20+Irr!AU20)),IF(AND(Irr!W20&lt;&gt;".",Irr!AU20=".",Irr!BS20&lt;&gt;"."),dir!AW20/((1/1000)*(Irr!W20+Irr!BS20)),IF(AND(Irr!W20=".",Irr!AU20&lt;&gt;".",Irr!BS20&lt;&gt;"."),dir!AW20/((1/1000)*(Irr!AU20+Irr!BS20)),IF(AND(Irr!W20=".",Irr!AU20=".",Irr!BS20&lt;&gt;"."),dir!AW20/((1/1000)*(Irr!BS20)),IF(AND(Irr!W20=".",Irr!AU20&lt;&gt;".",Irr!BS20="."),dir!AW20/((1/1000)*(Irr!AU20)),IF(AND(Irr!W20&lt;&gt;".",Irr!AU20=".",Irr!BS20="."),dir!AW20/((1/1000)*(Irr!W20)),IF(AND(Irr!W20=".",Irr!AU20=".",Irr!BS20="."),dir!AW20*1000)))))))),".")</f>
        <v>.</v>
      </c>
      <c r="AX20" s="76" t="str">
        <f>IFERROR(IF(AND(Irr!X20&lt;&gt;".",Irr!AV20&lt;&gt;".",Irr!BT20&lt;&gt;"."),dir!AX20/((1/1000)*(Irr!X20+Irr!AV20+Irr!BT20)),IF(AND(Irr!X20&lt;&gt;".",Irr!AV20&lt;&gt;".",Irr!BT20="."),dir!AX20/((1/1000)*(Irr!X20+Irr!AV20)),IF(AND(Irr!X20&lt;&gt;".",Irr!AV20=".",Irr!BT20&lt;&gt;"."),dir!AX20/((1/1000)*(Irr!X20+Irr!BT20)),IF(AND(Irr!X20=".",Irr!AV20&lt;&gt;".",Irr!BT20&lt;&gt;"."),dir!AX20/((1/1000)*(Irr!AV20+Irr!BT20)),IF(AND(Irr!X20=".",Irr!AV20=".",Irr!BT20&lt;&gt;"."),dir!AX20/((1/1000)*(Irr!BT20)),IF(AND(Irr!X20=".",Irr!AV20&lt;&gt;".",Irr!BT20="."),dir!AX20/((1/1000)*(Irr!AV20)),IF(AND(Irr!X20&lt;&gt;".",Irr!AV20=".",Irr!BT20="."),dir!AX20/((1/1000)*(Irr!X20)),IF(AND(Irr!X20=".",Irr!AV20=".",Irr!BT20="."),dir!AX20*1000)))))))),".")</f>
        <v>.</v>
      </c>
      <c r="AY20" s="76" t="str">
        <f>IFERROR(IF(AND(Irr!Y20&lt;&gt;".",Irr!AW20&lt;&gt;".",Irr!BU20&lt;&gt;"."),dir!AY20/((1/1000)*(Irr!Y20+Irr!AW20+Irr!BU20)),IF(AND(Irr!Y20&lt;&gt;".",Irr!AW20&lt;&gt;".",Irr!BU20="."),dir!AY20/((1/1000)*(Irr!Y20+Irr!AW20)),IF(AND(Irr!Y20&lt;&gt;".",Irr!AW20=".",Irr!BU20&lt;&gt;"."),dir!AY20/((1/1000)*(Irr!Y20+Irr!BU20)),IF(AND(Irr!Y20=".",Irr!AW20&lt;&gt;".",Irr!BU20&lt;&gt;"."),dir!AY20/((1/1000)*(Irr!AW20+Irr!BU20)),IF(AND(Irr!Y20=".",Irr!AW20=".",Irr!BU20&lt;&gt;"."),dir!AY20/((1/1000)*(Irr!BU20)),IF(AND(Irr!Y20=".",Irr!AW20&lt;&gt;".",Irr!BU20="."),dir!AY20/((1/1000)*(Irr!AW20)),IF(AND(Irr!Y20&lt;&gt;".",Irr!AW20=".",Irr!BU20="."),dir!AY20/((1/1000)*(Irr!Y20)),IF(AND(Irr!Y20=".",Irr!AW20=".",Irr!BU20="."),dir!AY20*1000)))))))),".")</f>
        <v>.</v>
      </c>
      <c r="AZ20" s="76" t="str">
        <f>IFERROR(IF(AND(Irr!Z20&lt;&gt;".",Irr!AX20&lt;&gt;".",Irr!BV20&lt;&gt;"."),dir!AZ20/((1/1000)*(Irr!Z20+Irr!AX20+Irr!BV20)),IF(AND(Irr!Z20&lt;&gt;".",Irr!AX20&lt;&gt;".",Irr!BV20="."),dir!AZ20/((1/1000)*(Irr!Z20+Irr!AX20)),IF(AND(Irr!Z20&lt;&gt;".",Irr!AX20=".",Irr!BV20&lt;&gt;"."),dir!AZ20/((1/1000)*(Irr!Z20+Irr!BV20)),IF(AND(Irr!Z20=".",Irr!AX20&lt;&gt;".",Irr!BV20&lt;&gt;"."),dir!AZ20/((1/1000)*(Irr!AX20+Irr!BV20)),IF(AND(Irr!Z20=".",Irr!AX20=".",Irr!BV20&lt;&gt;"."),dir!AZ20/((1/1000)*(Irr!BV20)),IF(AND(Irr!Z20=".",Irr!AX20&lt;&gt;".",Irr!BV20="."),dir!AZ20/((1/1000)*(Irr!AX20)),IF(AND(Irr!Z20&lt;&gt;".",Irr!AX20=".",Irr!BV20="."),dir!AZ20/((1/1000)*(Irr!Z20)),IF(AND(Irr!Z20=".",Irr!AX20=".",Irr!BV20="."),dir!AZ20*1000)))))))),".")</f>
        <v>.</v>
      </c>
    </row>
    <row r="21" spans="1:52" ht="15" customHeight="1" x14ac:dyDescent="0.25">
      <c r="A21" s="92" t="s">
        <v>31</v>
      </c>
      <c r="B21" s="90" t="s">
        <v>1074</v>
      </c>
      <c r="C21" s="76" t="str">
        <f t="shared" si="16"/>
        <v>.</v>
      </c>
      <c r="D21" s="76" t="str">
        <f>IFERROR(IF(AND(Irr!C21&lt;&gt;".",Irr!AA21&lt;&gt;".",Irr!AY21&lt;&gt;"."),dir!D21/((1/1000)*(Irr!C21+Irr!AA21+Irr!AY21)),IF(AND(Irr!C21&lt;&gt;".",Irr!AA21&lt;&gt;".",Irr!AY21="."),dir!D21/((1/1000)*(Irr!C21+Irr!AA21)),IF(AND(Irr!C21&lt;&gt;".",Irr!AA21=".",Irr!AY21&lt;&gt;"."),dir!D21/((1/1000)*(Irr!C21+Irr!AY21)),IF(AND(Irr!C21=".",Irr!AA21&lt;&gt;".",Irr!AY21&lt;&gt;"."),dir!D21/((1/1000)*(Irr!AA21+Irr!AY21)),IF(AND(Irr!C21=".",Irr!AA21=".",Irr!AY21&lt;&gt;"."),dir!D21/((1/1000)*(Irr!AY21)),IF(AND(Irr!C21=".",Irr!AA21&lt;&gt;".",Irr!AY21="."),dir!D21/((1/1000)*(Irr!AA21)),IF(AND(Irr!C21&lt;&gt;".",Irr!AA21=".",Irr!AY21="."),dir!D21/((1/1000)*(Irr!C21)),IF(AND(Irr!C21=".",Irr!AA21=".",Irr!AY21="."),dir!D21*1000)))))))),".")</f>
        <v>.</v>
      </c>
      <c r="E21" s="76" t="str">
        <f>IFERROR(IF(AND(Irr!D21&lt;&gt;".",Irr!AB21&lt;&gt;".",Irr!AZ21&lt;&gt;"."),dir!E21/((1/1000)*(Irr!D21+Irr!AB21+Irr!AZ21)),IF(AND(Irr!D21&lt;&gt;".",Irr!AB21&lt;&gt;".",Irr!AZ21="."),dir!E21/((1/1000)*(Irr!D21+Irr!AB21)),IF(AND(Irr!D21&lt;&gt;".",Irr!AB21=".",Irr!AZ21&lt;&gt;"."),dir!E21/((1/1000)*(Irr!D21+Irr!AZ21)),IF(AND(Irr!D21=".",Irr!AB21&lt;&gt;".",Irr!AZ21&lt;&gt;"."),dir!E21/((1/1000)*(Irr!AB21+Irr!AZ21)),IF(AND(Irr!D21=".",Irr!AB21=".",Irr!AZ21&lt;&gt;"."),dir!E21/((1/1000)*(Irr!AZ21)),IF(AND(Irr!D21=".",Irr!AB21&lt;&gt;".",Irr!AZ21="."),dir!E21/((1/1000)*(Irr!AB21)),IF(AND(Irr!D21&lt;&gt;".",Irr!AB21=".",Irr!AZ21="."),dir!E21/((1/1000)*(Irr!D21)),IF(AND(Irr!D21=".",Irr!AB21=".",Irr!AZ21="."),dir!E21*1000)))))))),".")</f>
        <v>.</v>
      </c>
      <c r="F21" s="76" t="str">
        <f>IFERROR(IF(AND(Irr!E21&lt;&gt;".",Irr!AC21&lt;&gt;".",Irr!BA21&lt;&gt;"."),dir!F21/((1/1000)*(Irr!E21+Irr!AC21+Irr!BA21)),IF(AND(Irr!E21&lt;&gt;".",Irr!AC21&lt;&gt;".",Irr!BA21="."),dir!F21/((1/1000)*(Irr!E21+Irr!AC21)),IF(AND(Irr!E21&lt;&gt;".",Irr!AC21=".",Irr!BA21&lt;&gt;"."),dir!F21/((1/1000)*(Irr!E21+Irr!BA21)),IF(AND(Irr!E21=".",Irr!AC21&lt;&gt;".",Irr!BA21&lt;&gt;"."),dir!F21/((1/1000)*(Irr!AC21+Irr!BA21)),IF(AND(Irr!E21=".",Irr!AC21=".",Irr!BA21&lt;&gt;"."),dir!F21/((1/1000)*(Irr!BA21)),IF(AND(Irr!E21=".",Irr!AC21&lt;&gt;".",Irr!BA21="."),dir!F21/((1/1000)*(Irr!AC21)),IF(AND(Irr!E21&lt;&gt;".",Irr!AC21=".",Irr!BA21="."),dir!F21/((1/1000)*(Irr!E21)),IF(AND(Irr!E21=".",Irr!AC21=".",Irr!BA21="."),dir!F21*1000)))))))),".")</f>
        <v>.</v>
      </c>
      <c r="G21" s="76" t="str">
        <f>IFERROR(IF(AND(Irr!F21&lt;&gt;".",Irr!AD21&lt;&gt;".",Irr!BB21&lt;&gt;"."),dir!G21/((1/1000)*(Irr!F21+Irr!AD21+Irr!BB21)),IF(AND(Irr!F21&lt;&gt;".",Irr!AD21&lt;&gt;".",Irr!BB21="."),dir!G21/((1/1000)*(Irr!F21+Irr!AD21)),IF(AND(Irr!F21&lt;&gt;".",Irr!AD21=".",Irr!BB21&lt;&gt;"."),dir!G21/((1/1000)*(Irr!F21+Irr!BB21)),IF(AND(Irr!F21=".",Irr!AD21&lt;&gt;".",Irr!BB21&lt;&gt;"."),dir!G21/((1/1000)*(Irr!AD21+Irr!BB21)),IF(AND(Irr!F21=".",Irr!AD21=".",Irr!BB21&lt;&gt;"."),dir!G21/((1/1000)*(Irr!BB21)),IF(AND(Irr!F21=".",Irr!AD21&lt;&gt;".",Irr!BB21="."),dir!G21/((1/1000)*(Irr!AD21)),IF(AND(Irr!F21&lt;&gt;".",Irr!AD21=".",Irr!BB21="."),dir!G21/((1/1000)*(Irr!F21)),IF(AND(Irr!F21=".",Irr!AD21=".",Irr!BB21="."),dir!G21*1000)))))))),".")</f>
        <v>.</v>
      </c>
      <c r="H21" s="76" t="str">
        <f>IFERROR(IF(AND(Irr!G21&lt;&gt;".",Irr!AE21&lt;&gt;".",Irr!BC21&lt;&gt;"."),dir!H21/((1/1000)*(Irr!G21+Irr!AE21+Irr!BC21)),IF(AND(Irr!G21&lt;&gt;".",Irr!AE21&lt;&gt;".",Irr!BC21="."),dir!H21/((1/1000)*(Irr!G21+Irr!AE21)),IF(AND(Irr!G21&lt;&gt;".",Irr!AE21=".",Irr!BC21&lt;&gt;"."),dir!H21/((1/1000)*(Irr!G21+Irr!BC21)),IF(AND(Irr!G21=".",Irr!AE21&lt;&gt;".",Irr!BC21&lt;&gt;"."),dir!H21/((1/1000)*(Irr!AE21+Irr!BC21)),IF(AND(Irr!G21=".",Irr!AE21=".",Irr!BC21&lt;&gt;"."),dir!H21/((1/1000)*(Irr!BC21)),IF(AND(Irr!G21=".",Irr!AE21&lt;&gt;".",Irr!BC21="."),dir!H21/((1/1000)*(Irr!AE21)),IF(AND(Irr!G21&lt;&gt;".",Irr!AE21=".",Irr!BC21="."),dir!H21/((1/1000)*(Irr!G21)),IF(AND(Irr!G21=".",Irr!AE21=".",Irr!BC21="."),dir!H21*1000)))))))),".")</f>
        <v>.</v>
      </c>
      <c r="I21" s="76" t="str">
        <f>IFERROR(IF(AND(Irr!H21&lt;&gt;".",Irr!AF21&lt;&gt;".",Irr!BD21&lt;&gt;"."),dir!I21/((1/1000)*(Irr!H21+Irr!AF21+Irr!BD21)),IF(AND(Irr!H21&lt;&gt;".",Irr!AF21&lt;&gt;".",Irr!BD21="."),dir!I21/((1/1000)*(Irr!H21+Irr!AF21)),IF(AND(Irr!H21&lt;&gt;".",Irr!AF21=".",Irr!BD21&lt;&gt;"."),dir!I21/((1/1000)*(Irr!H21+Irr!BD21)),IF(AND(Irr!H21=".",Irr!AF21&lt;&gt;".",Irr!BD21&lt;&gt;"."),dir!I21/((1/1000)*(Irr!AF21+Irr!BD21)),IF(AND(Irr!H21=".",Irr!AF21=".",Irr!BD21&lt;&gt;"."),dir!I21/((1/1000)*(Irr!BD21)),IF(AND(Irr!H21=".",Irr!AF21&lt;&gt;".",Irr!BD21="."),dir!I21/((1/1000)*(Irr!AF21)),IF(AND(Irr!H21&lt;&gt;".",Irr!AF21=".",Irr!BD21="."),dir!I21/((1/1000)*(Irr!H21)),IF(AND(Irr!H21=".",Irr!AF21=".",Irr!BD21="."),dir!I21*1000)))))))),".")</f>
        <v>.</v>
      </c>
      <c r="J21" s="76" t="str">
        <f>IFERROR(IF(AND(Irr!I21&lt;&gt;".",Irr!AG21&lt;&gt;".",Irr!BE21&lt;&gt;"."),dir!J21/((1/1000)*(Irr!I21+Irr!AG21+Irr!BE21)),IF(AND(Irr!I21&lt;&gt;".",Irr!AG21&lt;&gt;".",Irr!BE21="."),dir!J21/((1/1000)*(Irr!I21+Irr!AG21)),IF(AND(Irr!I21&lt;&gt;".",Irr!AG21=".",Irr!BE21&lt;&gt;"."),dir!J21/((1/1000)*(Irr!I21+Irr!BE21)),IF(AND(Irr!I21=".",Irr!AG21&lt;&gt;".",Irr!BE21&lt;&gt;"."),dir!J21/((1/1000)*(Irr!AG21+Irr!BE21)),IF(AND(Irr!I21=".",Irr!AG21=".",Irr!BE21&lt;&gt;"."),dir!J21/((1/1000)*(Irr!BE21)),IF(AND(Irr!I21=".",Irr!AG21&lt;&gt;".",Irr!BE21="."),dir!J21/((1/1000)*(Irr!AG21)),IF(AND(Irr!I21&lt;&gt;".",Irr!AG21=".",Irr!BE21="."),dir!J21/((1/1000)*(Irr!I21)),IF(AND(Irr!I21=".",Irr!AG21=".",Irr!BE21="."),dir!J21*1000)))))))),".")</f>
        <v>.</v>
      </c>
      <c r="K21" s="76" t="str">
        <f>IFERROR(IF(AND(Irr!J21&lt;&gt;".",Irr!AH21&lt;&gt;".",Irr!BF21&lt;&gt;"."),dir!K21/((1/1000)*(Irr!J21+Irr!AH21+Irr!BF21)),IF(AND(Irr!J21&lt;&gt;".",Irr!AH21&lt;&gt;".",Irr!BF21="."),dir!K21/((1/1000)*(Irr!J21+Irr!AH21)),IF(AND(Irr!J21&lt;&gt;".",Irr!AH21=".",Irr!BF21&lt;&gt;"."),dir!K21/((1/1000)*(Irr!J21+Irr!BF21)),IF(AND(Irr!J21=".",Irr!AH21&lt;&gt;".",Irr!BF21&lt;&gt;"."),dir!K21/((1/1000)*(Irr!AH21+Irr!BF21)),IF(AND(Irr!J21=".",Irr!AH21=".",Irr!BF21&lt;&gt;"."),dir!K21/((1/1000)*(Irr!BF21)),IF(AND(Irr!J21=".",Irr!AH21&lt;&gt;".",Irr!BF21="."),dir!K21/((1/1000)*(Irr!AH21)),IF(AND(Irr!J21&lt;&gt;".",Irr!AH21=".",Irr!BF21="."),dir!K21/((1/1000)*(Irr!J21)),IF(AND(Irr!J21=".",Irr!AH21=".",Irr!BF21="."),dir!K21*1000)))))))),".")</f>
        <v>.</v>
      </c>
      <c r="L21" s="76" t="str">
        <f>IFERROR(IF(AND(Irr!K21&lt;&gt;".",Irr!AI21&lt;&gt;".",Irr!BG21&lt;&gt;"."),dir!L21/((1/1000)*(Irr!K21+Irr!AI21+Irr!BG21)),IF(AND(Irr!K21&lt;&gt;".",Irr!AI21&lt;&gt;".",Irr!BG21="."),dir!L21/((1/1000)*(Irr!K21+Irr!AI21)),IF(AND(Irr!K21&lt;&gt;".",Irr!AI21=".",Irr!BG21&lt;&gt;"."),dir!L21/((1/1000)*(Irr!K21+Irr!BG21)),IF(AND(Irr!K21=".",Irr!AI21&lt;&gt;".",Irr!BG21&lt;&gt;"."),dir!L21/((1/1000)*(Irr!AI21+Irr!BG21)),IF(AND(Irr!K21=".",Irr!AI21=".",Irr!BG21&lt;&gt;"."),dir!L21/((1/1000)*(Irr!BG21)),IF(AND(Irr!K21=".",Irr!AI21&lt;&gt;".",Irr!BG21="."),dir!L21/((1/1000)*(Irr!AI21)),IF(AND(Irr!K21&lt;&gt;".",Irr!AI21=".",Irr!BG21="."),dir!L21/((1/1000)*(Irr!K21)),IF(AND(Irr!K21=".",Irr!AI21=".",Irr!BG21="."),dir!L21*1000)))))))),".")</f>
        <v>.</v>
      </c>
      <c r="M21" s="76" t="str">
        <f>IFERROR(IF(AND(Irr!L21&lt;&gt;".",Irr!AJ21&lt;&gt;".",Irr!BH21&lt;&gt;"."),dir!M21/((1/1000)*(Irr!L21+Irr!AJ21+Irr!BH21)),IF(AND(Irr!L21&lt;&gt;".",Irr!AJ21&lt;&gt;".",Irr!BH21="."),dir!M21/((1/1000)*(Irr!L21+Irr!AJ21)),IF(AND(Irr!L21&lt;&gt;".",Irr!AJ21=".",Irr!BH21&lt;&gt;"."),dir!M21/((1/1000)*(Irr!L21+Irr!BH21)),IF(AND(Irr!L21=".",Irr!AJ21&lt;&gt;".",Irr!BH21&lt;&gt;"."),dir!M21/((1/1000)*(Irr!AJ21+Irr!BH21)),IF(AND(Irr!L21=".",Irr!AJ21=".",Irr!BH21&lt;&gt;"."),dir!M21/((1/1000)*(Irr!BH21)),IF(AND(Irr!L21=".",Irr!AJ21&lt;&gt;".",Irr!BH21="."),dir!M21/((1/1000)*(Irr!AJ21)),IF(AND(Irr!L21&lt;&gt;".",Irr!AJ21=".",Irr!BH21="."),dir!M21/((1/1000)*(Irr!L21)),IF(AND(Irr!L21=".",Irr!AJ21=".",Irr!BH21="."),dir!M21*1000)))))))),".")</f>
        <v>.</v>
      </c>
      <c r="N21" s="76" t="str">
        <f>IFERROR(IF(AND(Irr!M21&lt;&gt;".",Irr!AK21&lt;&gt;".",Irr!BI21&lt;&gt;"."),dir!N21/((1/1000)*(Irr!M21+Irr!AK21+Irr!BI21)),IF(AND(Irr!M21&lt;&gt;".",Irr!AK21&lt;&gt;".",Irr!BI21="."),dir!N21/((1/1000)*(Irr!M21+Irr!AK21)),IF(AND(Irr!M21&lt;&gt;".",Irr!AK21=".",Irr!BI21&lt;&gt;"."),dir!N21/((1/1000)*(Irr!M21+Irr!BI21)),IF(AND(Irr!M21=".",Irr!AK21&lt;&gt;".",Irr!BI21&lt;&gt;"."),dir!N21/((1/1000)*(Irr!AK21+Irr!BI21)),IF(AND(Irr!M21=".",Irr!AK21=".",Irr!BI21&lt;&gt;"."),dir!N21/((1/1000)*(Irr!BI21)),IF(AND(Irr!M21=".",Irr!AK21&lt;&gt;".",Irr!BI21="."),dir!N21/((1/1000)*(Irr!AK21)),IF(AND(Irr!M21&lt;&gt;".",Irr!AK21=".",Irr!BI21="."),dir!N21/((1/1000)*(Irr!M21)),IF(AND(Irr!M21=".",Irr!AK21=".",Irr!BI21="."),dir!N21*1000)))))))),".")</f>
        <v>.</v>
      </c>
      <c r="O21" s="76" t="str">
        <f>IFERROR(IF(AND(Irr!N21&lt;&gt;".",Irr!AL21&lt;&gt;".",Irr!BJ21&lt;&gt;"."),dir!O21/((1/1000)*(Irr!N21+Irr!AL21+Irr!BJ21)),IF(AND(Irr!N21&lt;&gt;".",Irr!AL21&lt;&gt;".",Irr!BJ21="."),dir!O21/((1/1000)*(Irr!N21+Irr!AL21)),IF(AND(Irr!N21&lt;&gt;".",Irr!AL21=".",Irr!BJ21&lt;&gt;"."),dir!O21/((1/1000)*(Irr!N21+Irr!BJ21)),IF(AND(Irr!N21=".",Irr!AL21&lt;&gt;".",Irr!BJ21&lt;&gt;"."),dir!O21/((1/1000)*(Irr!AL21+Irr!BJ21)),IF(AND(Irr!N21=".",Irr!AL21=".",Irr!BJ21&lt;&gt;"."),dir!O21/((1/1000)*(Irr!BJ21)),IF(AND(Irr!N21=".",Irr!AL21&lt;&gt;".",Irr!BJ21="."),dir!O21/((1/1000)*(Irr!AL21)),IF(AND(Irr!N21&lt;&gt;".",Irr!AL21=".",Irr!BJ21="."),dir!O21/((1/1000)*(Irr!N21)),IF(AND(Irr!N21=".",Irr!AL21=".",Irr!BJ21="."),dir!O21*1000)))))))),".")</f>
        <v>.</v>
      </c>
      <c r="P21" s="76" t="str">
        <f>IFERROR(IF(AND(Irr!O21&lt;&gt;".",Irr!AM21&lt;&gt;".",Irr!BK21&lt;&gt;"."),dir!P21/((1/1000)*(Irr!O21+Irr!AM21+Irr!BK21)),IF(AND(Irr!O21&lt;&gt;".",Irr!AM21&lt;&gt;".",Irr!BK21="."),dir!P21/((1/1000)*(Irr!O21+Irr!AM21)),IF(AND(Irr!O21&lt;&gt;".",Irr!AM21=".",Irr!BK21&lt;&gt;"."),dir!P21/((1/1000)*(Irr!O21+Irr!BK21)),IF(AND(Irr!O21=".",Irr!AM21&lt;&gt;".",Irr!BK21&lt;&gt;"."),dir!P21/((1/1000)*(Irr!AM21+Irr!BK21)),IF(AND(Irr!O21=".",Irr!AM21=".",Irr!BK21&lt;&gt;"."),dir!P21/((1/1000)*(Irr!BK21)),IF(AND(Irr!O21=".",Irr!AM21&lt;&gt;".",Irr!BK21="."),dir!P21/((1/1000)*(Irr!AM21)),IF(AND(Irr!O21&lt;&gt;".",Irr!AM21=".",Irr!BK21="."),dir!P21/((1/1000)*(Irr!O21)),IF(AND(Irr!O21=".",Irr!AM21=".",Irr!BK21="."),dir!P21*1000)))))))),".")</f>
        <v>.</v>
      </c>
      <c r="Q21" s="76" t="str">
        <f>IFERROR(IF(AND(Irr!P21&lt;&gt;".",Irr!AN21&lt;&gt;".",Irr!BL21&lt;&gt;"."),dir!Q21/((1/1000)*(Irr!P21+Irr!AN21+Irr!BL21)),IF(AND(Irr!P21&lt;&gt;".",Irr!AN21&lt;&gt;".",Irr!BL21="."),dir!Q21/((1/1000)*(Irr!P21+Irr!AN21)),IF(AND(Irr!P21&lt;&gt;".",Irr!AN21=".",Irr!BL21&lt;&gt;"."),dir!Q21/((1/1000)*(Irr!P21+Irr!BL21)),IF(AND(Irr!P21=".",Irr!AN21&lt;&gt;".",Irr!BL21&lt;&gt;"."),dir!Q21/((1/1000)*(Irr!AN21+Irr!BL21)),IF(AND(Irr!P21=".",Irr!AN21=".",Irr!BL21&lt;&gt;"."),dir!Q21/((1/1000)*(Irr!BL21)),IF(AND(Irr!P21=".",Irr!AN21&lt;&gt;".",Irr!BL21="."),dir!Q21/((1/1000)*(Irr!AN21)),IF(AND(Irr!P21&lt;&gt;".",Irr!AN21=".",Irr!BL21="."),dir!Q21/((1/1000)*(Irr!P21)),IF(AND(Irr!P21=".",Irr!AN21=".",Irr!BL21="."),dir!Q21*1000)))))))),".")</f>
        <v>.</v>
      </c>
      <c r="R21" s="76" t="str">
        <f>IFERROR(IF(AND(Irr!Q21&lt;&gt;".",Irr!AO21&lt;&gt;".",Irr!BM21&lt;&gt;"."),dir!R21/((1/1000)*(Irr!Q21+Irr!AO21+Irr!BM21)),IF(AND(Irr!Q21&lt;&gt;".",Irr!AO21&lt;&gt;".",Irr!BM21="."),dir!R21/((1/1000)*(Irr!Q21+Irr!AO21)),IF(AND(Irr!Q21&lt;&gt;".",Irr!AO21=".",Irr!BM21&lt;&gt;"."),dir!R21/((1/1000)*(Irr!Q21+Irr!BM21)),IF(AND(Irr!Q21=".",Irr!AO21&lt;&gt;".",Irr!BM21&lt;&gt;"."),dir!R21/((1/1000)*(Irr!AO21+Irr!BM21)),IF(AND(Irr!Q21=".",Irr!AO21=".",Irr!BM21&lt;&gt;"."),dir!R21/((1/1000)*(Irr!BM21)),IF(AND(Irr!Q21=".",Irr!AO21&lt;&gt;".",Irr!BM21="."),dir!R21/((1/1000)*(Irr!AO21)),IF(AND(Irr!Q21&lt;&gt;".",Irr!AO21=".",Irr!BM21="."),dir!R21/((1/1000)*(Irr!Q21)),IF(AND(Irr!Q21=".",Irr!AO21=".",Irr!BM21="."),dir!R21*1000)))))))),".")</f>
        <v>.</v>
      </c>
      <c r="S21" s="76" t="str">
        <f>IFERROR(IF(AND(Irr!R21&lt;&gt;".",Irr!AP21&lt;&gt;".",Irr!BN21&lt;&gt;"."),dir!S21/((1/1000)*(Irr!R21+Irr!AP21+Irr!BN21)),IF(AND(Irr!R21&lt;&gt;".",Irr!AP21&lt;&gt;".",Irr!BN21="."),dir!S21/((1/1000)*(Irr!R21+Irr!AP21)),IF(AND(Irr!R21&lt;&gt;".",Irr!AP21=".",Irr!BN21&lt;&gt;"."),dir!S21/((1/1000)*(Irr!R21+Irr!BN21)),IF(AND(Irr!R21=".",Irr!AP21&lt;&gt;".",Irr!BN21&lt;&gt;"."),dir!S21/((1/1000)*(Irr!AP21+Irr!BN21)),IF(AND(Irr!R21=".",Irr!AP21=".",Irr!BN21&lt;&gt;"."),dir!S21/((1/1000)*(Irr!BN21)),IF(AND(Irr!R21=".",Irr!AP21&lt;&gt;".",Irr!BN21="."),dir!S21/((1/1000)*(Irr!AP21)),IF(AND(Irr!R21&lt;&gt;".",Irr!AP21=".",Irr!BN21="."),dir!S21/((1/1000)*(Irr!R21)),IF(AND(Irr!R21=".",Irr!AP21=".",Irr!BN21="."),dir!S21*1000)))))))),".")</f>
        <v>.</v>
      </c>
      <c r="T21" s="76" t="str">
        <f>IFERROR(IF(AND(Irr!S21&lt;&gt;".",Irr!AQ21&lt;&gt;".",Irr!BO21&lt;&gt;"."),dir!T21/((1/1000)*(Irr!S21+Irr!AQ21+Irr!BO21)),IF(AND(Irr!S21&lt;&gt;".",Irr!AQ21&lt;&gt;".",Irr!BO21="."),dir!T21/((1/1000)*(Irr!S21+Irr!AQ21)),IF(AND(Irr!S21&lt;&gt;".",Irr!AQ21=".",Irr!BO21&lt;&gt;"."),dir!T21/((1/1000)*(Irr!S21+Irr!BO21)),IF(AND(Irr!S21=".",Irr!AQ21&lt;&gt;".",Irr!BO21&lt;&gt;"."),dir!T21/((1/1000)*(Irr!AQ21+Irr!BO21)),IF(AND(Irr!S21=".",Irr!AQ21=".",Irr!BO21&lt;&gt;"."),dir!T21/((1/1000)*(Irr!BO21)),IF(AND(Irr!S21=".",Irr!AQ21&lt;&gt;".",Irr!BO21="."),dir!T21/((1/1000)*(Irr!AQ21)),IF(AND(Irr!S21&lt;&gt;".",Irr!AQ21=".",Irr!BO21="."),dir!T21/((1/1000)*(Irr!S21)),IF(AND(Irr!S21=".",Irr!AQ21=".",Irr!BO21="."),dir!T21*1000)))))))),".")</f>
        <v>.</v>
      </c>
      <c r="U21" s="76" t="str">
        <f>IFERROR(IF(AND(Irr!T21&lt;&gt;".",Irr!AR21&lt;&gt;".",Irr!BP21&lt;&gt;"."),dir!U21/((1/1000)*(Irr!T21+Irr!AR21+Irr!BP21)),IF(AND(Irr!T21&lt;&gt;".",Irr!AR21&lt;&gt;".",Irr!BP21="."),dir!U21/((1/1000)*(Irr!T21+Irr!AR21)),IF(AND(Irr!T21&lt;&gt;".",Irr!AR21=".",Irr!BP21&lt;&gt;"."),dir!U21/((1/1000)*(Irr!T21+Irr!BP21)),IF(AND(Irr!T21=".",Irr!AR21&lt;&gt;".",Irr!BP21&lt;&gt;"."),dir!U21/((1/1000)*(Irr!AR21+Irr!BP21)),IF(AND(Irr!T21=".",Irr!AR21=".",Irr!BP21&lt;&gt;"."),dir!U21/((1/1000)*(Irr!BP21)),IF(AND(Irr!T21=".",Irr!AR21&lt;&gt;".",Irr!BP21="."),dir!U21/((1/1000)*(Irr!AR21)),IF(AND(Irr!T21&lt;&gt;".",Irr!AR21=".",Irr!BP21="."),dir!U21/((1/1000)*(Irr!T21)),IF(AND(Irr!T21=".",Irr!AR21=".",Irr!BP21="."),dir!U21*1000)))))))),".")</f>
        <v>.</v>
      </c>
      <c r="V21" s="76" t="str">
        <f>IFERROR(IF(AND(Irr!U21&lt;&gt;".",Irr!AS21&lt;&gt;".",Irr!BQ21&lt;&gt;"."),dir!V21/((1/1000)*(Irr!U21+Irr!AS21+Irr!BQ21)),IF(AND(Irr!U21&lt;&gt;".",Irr!AS21&lt;&gt;".",Irr!BQ21="."),dir!V21/((1/1000)*(Irr!U21+Irr!AS21)),IF(AND(Irr!U21&lt;&gt;".",Irr!AS21=".",Irr!BQ21&lt;&gt;"."),dir!V21/((1/1000)*(Irr!U21+Irr!BQ21)),IF(AND(Irr!U21=".",Irr!AS21&lt;&gt;".",Irr!BQ21&lt;&gt;"."),dir!V21/((1/1000)*(Irr!AS21+Irr!BQ21)),IF(AND(Irr!U21=".",Irr!AS21=".",Irr!BQ21&lt;&gt;"."),dir!V21/((1/1000)*(Irr!BQ21)),IF(AND(Irr!U21=".",Irr!AS21&lt;&gt;".",Irr!BQ21="."),dir!V21/((1/1000)*(Irr!AS21)),IF(AND(Irr!U21&lt;&gt;".",Irr!AS21=".",Irr!BQ21="."),dir!V21/((1/1000)*(Irr!U21)),IF(AND(Irr!U21=".",Irr!AS21=".",Irr!BQ21="."),dir!V21*1000)))))))),".")</f>
        <v>.</v>
      </c>
      <c r="W21" s="76" t="str">
        <f>IFERROR(IF(AND(Irr!V21&lt;&gt;".",Irr!AT21&lt;&gt;".",Irr!BR21&lt;&gt;"."),dir!W21/((1/1000)*(Irr!V21+Irr!AT21+Irr!BR21)),IF(AND(Irr!V21&lt;&gt;".",Irr!AT21&lt;&gt;".",Irr!BR21="."),dir!W21/((1/1000)*(Irr!V21+Irr!AT21)),IF(AND(Irr!V21&lt;&gt;".",Irr!AT21=".",Irr!BR21&lt;&gt;"."),dir!W21/((1/1000)*(Irr!V21+Irr!BR21)),IF(AND(Irr!V21=".",Irr!AT21&lt;&gt;".",Irr!BR21&lt;&gt;"."),dir!W21/((1/1000)*(Irr!AT21+Irr!BR21)),IF(AND(Irr!V21=".",Irr!AT21=".",Irr!BR21&lt;&gt;"."),dir!W21/((1/1000)*(Irr!BR21)),IF(AND(Irr!V21=".",Irr!AT21&lt;&gt;".",Irr!BR21="."),dir!W21/((1/1000)*(Irr!AT21)),IF(AND(Irr!V21&lt;&gt;".",Irr!AT21=".",Irr!BR21="."),dir!W21/((1/1000)*(Irr!V21)),IF(AND(Irr!V21=".",Irr!AT21=".",Irr!BR21="."),dir!W21*1000)))))))),".")</f>
        <v>.</v>
      </c>
      <c r="X21" s="76" t="str">
        <f>IFERROR(IF(AND(Irr!W21&lt;&gt;".",Irr!AU21&lt;&gt;".",Irr!BS21&lt;&gt;"."),dir!X21/((1/1000)*(Irr!W21+Irr!AU21+Irr!BS21)),IF(AND(Irr!W21&lt;&gt;".",Irr!AU21&lt;&gt;".",Irr!BS21="."),dir!X21/((1/1000)*(Irr!W21+Irr!AU21)),IF(AND(Irr!W21&lt;&gt;".",Irr!AU21=".",Irr!BS21&lt;&gt;"."),dir!X21/((1/1000)*(Irr!W21+Irr!BS21)),IF(AND(Irr!W21=".",Irr!AU21&lt;&gt;".",Irr!BS21&lt;&gt;"."),dir!X21/((1/1000)*(Irr!AU21+Irr!BS21)),IF(AND(Irr!W21=".",Irr!AU21=".",Irr!BS21&lt;&gt;"."),dir!X21/((1/1000)*(Irr!BS21)),IF(AND(Irr!W21=".",Irr!AU21&lt;&gt;".",Irr!BS21="."),dir!X21/((1/1000)*(Irr!AU21)),IF(AND(Irr!W21&lt;&gt;".",Irr!AU21=".",Irr!BS21="."),dir!X21/((1/1000)*(Irr!W21)),IF(AND(Irr!W21=".",Irr!AU21=".",Irr!BS21="."),dir!X21*1000)))))))),".")</f>
        <v>.</v>
      </c>
      <c r="Y21" s="76" t="str">
        <f>IFERROR(IF(AND(Irr!X21&lt;&gt;".",Irr!AV21&lt;&gt;".",Irr!BT21&lt;&gt;"."),dir!Y21/((1/1000)*(Irr!X21+Irr!AV21+Irr!BT21)),IF(AND(Irr!X21&lt;&gt;".",Irr!AV21&lt;&gt;".",Irr!BT21="."),dir!Y21/((1/1000)*(Irr!X21+Irr!AV21)),IF(AND(Irr!X21&lt;&gt;".",Irr!AV21=".",Irr!BT21&lt;&gt;"."),dir!Y21/((1/1000)*(Irr!X21+Irr!BT21)),IF(AND(Irr!X21=".",Irr!AV21&lt;&gt;".",Irr!BT21&lt;&gt;"."),dir!Y21/((1/1000)*(Irr!AV21+Irr!BT21)),IF(AND(Irr!X21=".",Irr!AV21=".",Irr!BT21&lt;&gt;"."),dir!Y21/((1/1000)*(Irr!BT21)),IF(AND(Irr!X21=".",Irr!AV21&lt;&gt;".",Irr!BT21="."),dir!Y21/((1/1000)*(Irr!AV21)),IF(AND(Irr!X21&lt;&gt;".",Irr!AV21=".",Irr!BT21="."),dir!Y21/((1/1000)*(Irr!X21)),IF(AND(Irr!X21=".",Irr!AV21=".",Irr!BT21="."),dir!Y21*1000)))))))),".")</f>
        <v>.</v>
      </c>
      <c r="Z21" s="76" t="str">
        <f>IFERROR(IF(AND(Irr!Y21&lt;&gt;".",Irr!AW21&lt;&gt;".",Irr!BU21&lt;&gt;"."),dir!Z21/((1/1000)*(Irr!Y21+Irr!AW21+Irr!BU21)),IF(AND(Irr!Y21&lt;&gt;".",Irr!AW21&lt;&gt;".",Irr!BU21="."),dir!Z21/((1/1000)*(Irr!Y21+Irr!AW21)),IF(AND(Irr!Y21&lt;&gt;".",Irr!AW21=".",Irr!BU21&lt;&gt;"."),dir!Z21/((1/1000)*(Irr!Y21+Irr!BU21)),IF(AND(Irr!Y21=".",Irr!AW21&lt;&gt;".",Irr!BU21&lt;&gt;"."),dir!Z21/((1/1000)*(Irr!AW21+Irr!BU21)),IF(AND(Irr!Y21=".",Irr!AW21=".",Irr!BU21&lt;&gt;"."),dir!Z21/((1/1000)*(Irr!BU21)),IF(AND(Irr!Y21=".",Irr!AW21&lt;&gt;".",Irr!BU21="."),dir!Z21/((1/1000)*(Irr!AW21)),IF(AND(Irr!Y21&lt;&gt;".",Irr!AW21=".",Irr!BU21="."),dir!Z21/((1/1000)*(Irr!Y21)),IF(AND(Irr!Y21=".",Irr!AW21=".",Irr!BU21="."),dir!Z21*1000)))))))),".")</f>
        <v>.</v>
      </c>
      <c r="AA21" s="76" t="str">
        <f>IFERROR(IF(AND(Irr!Z21&lt;&gt;".",Irr!AX21&lt;&gt;".",Irr!BV21&lt;&gt;"."),dir!AA21/((1/1000)*(Irr!Z21+Irr!AX21+Irr!BV21)),IF(AND(Irr!Z21&lt;&gt;".",Irr!AX21&lt;&gt;".",Irr!BV21="."),dir!AA21/((1/1000)*(Irr!Z21+Irr!AX21)),IF(AND(Irr!Z21&lt;&gt;".",Irr!AX21=".",Irr!BV21&lt;&gt;"."),dir!AA21/((1/1000)*(Irr!Z21+Irr!BV21)),IF(AND(Irr!Z21=".",Irr!AX21&lt;&gt;".",Irr!BV21&lt;&gt;"."),dir!AA21/((1/1000)*(Irr!AX21+Irr!BV21)),IF(AND(Irr!Z21=".",Irr!AX21=".",Irr!BV21&lt;&gt;"."),dir!AA21/((1/1000)*(Irr!BV21)),IF(AND(Irr!Z21=".",Irr!AX21&lt;&gt;".",Irr!BV21="."),dir!AA21/((1/1000)*(Irr!AX21)),IF(AND(Irr!Z21&lt;&gt;".",Irr!AX21=".",Irr!BV21="."),dir!AA21/((1/1000)*(Irr!Z21)),IF(AND(Irr!Z21=".",Irr!AX21=".",Irr!BV21="."),dir!AA21*1000)))))))),".")</f>
        <v>.</v>
      </c>
      <c r="AB21" s="76" t="str">
        <f t="shared" si="17"/>
        <v>.</v>
      </c>
      <c r="AC21" s="76" t="str">
        <f>IFERROR(IF(AND(Irr!C21&lt;&gt;".",Irr!AA21&lt;&gt;".",Irr!AY21&lt;&gt;"."),dir!AC21/((1/1000)*(Irr!C21+Irr!AA21+Irr!AY21)),IF(AND(Irr!C21&lt;&gt;".",Irr!AA21&lt;&gt;".",Irr!AY21="."),dir!AC21/((1/1000)*(Irr!C21+Irr!AA21)),IF(AND(Irr!C21&lt;&gt;".",Irr!AA21=".",Irr!AY21&lt;&gt;"."),dir!AC21/((1/1000)*(Irr!C21+Irr!AY21)),IF(AND(Irr!C21=".",Irr!AA21&lt;&gt;".",Irr!AY21&lt;&gt;"."),dir!AC21/((1/1000)*(Irr!AA21+Irr!AY21)),IF(AND(Irr!C21=".",Irr!AA21=".",Irr!AY21&lt;&gt;"."),dir!AC21/((1/1000)*(Irr!AY21)),IF(AND(Irr!C21=".",Irr!AA21&lt;&gt;".",Irr!AY21="."),dir!AC21/((1/1000)*(Irr!AA21)),IF(AND(Irr!C21&lt;&gt;".",Irr!AA21=".",Irr!AY21="."),dir!AC21/((1/1000)*(Irr!C21)),IF(AND(Irr!C21=".",Irr!AA21=".",Irr!AY21="."),dir!AC21*1000)))))))),".")</f>
        <v>.</v>
      </c>
      <c r="AD21" s="76" t="str">
        <f>IFERROR(IF(AND(Irr!D21&lt;&gt;".",Irr!AB21&lt;&gt;".",Irr!AZ21&lt;&gt;"."),dir!AD21/((1/1000)*(Irr!D21+Irr!AB21+Irr!AZ21)),IF(AND(Irr!D21&lt;&gt;".",Irr!AB21&lt;&gt;".",Irr!AZ21="."),dir!AD21/((1/1000)*(Irr!D21+Irr!AB21)),IF(AND(Irr!D21&lt;&gt;".",Irr!AB21=".",Irr!AZ21&lt;&gt;"."),dir!AD21/((1/1000)*(Irr!D21+Irr!AZ21)),IF(AND(Irr!D21=".",Irr!AB21&lt;&gt;".",Irr!AZ21&lt;&gt;"."),dir!AD21/((1/1000)*(Irr!AB21+Irr!AZ21)),IF(AND(Irr!D21=".",Irr!AB21=".",Irr!AZ21&lt;&gt;"."),dir!AD21/((1/1000)*(Irr!AZ21)),IF(AND(Irr!D21=".",Irr!AB21&lt;&gt;".",Irr!AZ21="."),dir!AD21/((1/1000)*(Irr!AB21)),IF(AND(Irr!D21&lt;&gt;".",Irr!AB21=".",Irr!AZ21="."),dir!AD21/((1/1000)*(Irr!D21)),IF(AND(Irr!D21=".",Irr!AB21=".",Irr!AZ21="."),dir!AD21*1000)))))))),".")</f>
        <v>.</v>
      </c>
      <c r="AE21" s="76" t="str">
        <f>IFERROR(IF(AND(Irr!E21&lt;&gt;".",Irr!AC21&lt;&gt;".",Irr!BA21&lt;&gt;"."),dir!AE21/((1/1000)*(Irr!E21+Irr!AC21+Irr!BA21)),IF(AND(Irr!E21&lt;&gt;".",Irr!AC21&lt;&gt;".",Irr!BA21="."),dir!AE21/((1/1000)*(Irr!E21+Irr!AC21)),IF(AND(Irr!E21&lt;&gt;".",Irr!AC21=".",Irr!BA21&lt;&gt;"."),dir!AE21/((1/1000)*(Irr!E21+Irr!BA21)),IF(AND(Irr!E21=".",Irr!AC21&lt;&gt;".",Irr!BA21&lt;&gt;"."),dir!AE21/((1/1000)*(Irr!AC21+Irr!BA21)),IF(AND(Irr!E21=".",Irr!AC21=".",Irr!BA21&lt;&gt;"."),dir!AE21/((1/1000)*(Irr!BA21)),IF(AND(Irr!E21=".",Irr!AC21&lt;&gt;".",Irr!BA21="."),dir!AE21/((1/1000)*(Irr!AC21)),IF(AND(Irr!E21&lt;&gt;".",Irr!AC21=".",Irr!BA21="."),dir!AE21/((1/1000)*(Irr!E21)),IF(AND(Irr!E21=".",Irr!AC21=".",Irr!BA21="."),dir!AE21*1000)))))))),".")</f>
        <v>.</v>
      </c>
      <c r="AF21" s="76" t="str">
        <f>IFERROR(IF(AND(Irr!F21&lt;&gt;".",Irr!AD21&lt;&gt;".",Irr!BB21&lt;&gt;"."),dir!AF21/((1/1000)*(Irr!F21+Irr!AD21+Irr!BB21)),IF(AND(Irr!F21&lt;&gt;".",Irr!AD21&lt;&gt;".",Irr!BB21="."),dir!AF21/((1/1000)*(Irr!F21+Irr!AD21)),IF(AND(Irr!F21&lt;&gt;".",Irr!AD21=".",Irr!BB21&lt;&gt;"."),dir!AF21/((1/1000)*(Irr!F21+Irr!BB21)),IF(AND(Irr!F21=".",Irr!AD21&lt;&gt;".",Irr!BB21&lt;&gt;"."),dir!AF21/((1/1000)*(Irr!AD21+Irr!BB21)),IF(AND(Irr!F21=".",Irr!AD21=".",Irr!BB21&lt;&gt;"."),dir!AF21/((1/1000)*(Irr!BB21)),IF(AND(Irr!F21=".",Irr!AD21&lt;&gt;".",Irr!BB21="."),dir!AF21/((1/1000)*(Irr!AD21)),IF(AND(Irr!F21&lt;&gt;".",Irr!AD21=".",Irr!BB21="."),dir!AF21/((1/1000)*(Irr!F21)),IF(AND(Irr!F21=".",Irr!AD21=".",Irr!BB21="."),dir!AF21*1000)))))))),".")</f>
        <v>.</v>
      </c>
      <c r="AG21" s="76" t="str">
        <f>IFERROR(IF(AND(Irr!G21&lt;&gt;".",Irr!AE21&lt;&gt;".",Irr!BC21&lt;&gt;"."),dir!AG21/((1/1000)*(Irr!G21+Irr!AE21+Irr!BC21)),IF(AND(Irr!G21&lt;&gt;".",Irr!AE21&lt;&gt;".",Irr!BC21="."),dir!AG21/((1/1000)*(Irr!G21+Irr!AE21)),IF(AND(Irr!G21&lt;&gt;".",Irr!AE21=".",Irr!BC21&lt;&gt;"."),dir!AG21/((1/1000)*(Irr!G21+Irr!BC21)),IF(AND(Irr!G21=".",Irr!AE21&lt;&gt;".",Irr!BC21&lt;&gt;"."),dir!AG21/((1/1000)*(Irr!AE21+Irr!BC21)),IF(AND(Irr!G21=".",Irr!AE21=".",Irr!BC21&lt;&gt;"."),dir!AG21/((1/1000)*(Irr!BC21)),IF(AND(Irr!G21=".",Irr!AE21&lt;&gt;".",Irr!BC21="."),dir!AG21/((1/1000)*(Irr!AE21)),IF(AND(Irr!G21&lt;&gt;".",Irr!AE21=".",Irr!BC21="."),dir!AG21/((1/1000)*(Irr!G21)),IF(AND(Irr!G21=".",Irr!AE21=".",Irr!BC21="."),dir!AG21*1000)))))))),".")</f>
        <v>.</v>
      </c>
      <c r="AH21" s="76" t="str">
        <f>IFERROR(IF(AND(Irr!H21&lt;&gt;".",Irr!AF21&lt;&gt;".",Irr!BD21&lt;&gt;"."),dir!AH21/((1/1000)*(Irr!H21+Irr!AF21+Irr!BD21)),IF(AND(Irr!H21&lt;&gt;".",Irr!AF21&lt;&gt;".",Irr!BD21="."),dir!AH21/((1/1000)*(Irr!H21+Irr!AF21)),IF(AND(Irr!H21&lt;&gt;".",Irr!AF21=".",Irr!BD21&lt;&gt;"."),dir!AH21/((1/1000)*(Irr!H21+Irr!BD21)),IF(AND(Irr!H21=".",Irr!AF21&lt;&gt;".",Irr!BD21&lt;&gt;"."),dir!AH21/((1/1000)*(Irr!AF21+Irr!BD21)),IF(AND(Irr!H21=".",Irr!AF21=".",Irr!BD21&lt;&gt;"."),dir!AH21/((1/1000)*(Irr!BD21)),IF(AND(Irr!H21=".",Irr!AF21&lt;&gt;".",Irr!BD21="."),dir!AH21/((1/1000)*(Irr!AF21)),IF(AND(Irr!H21&lt;&gt;".",Irr!AF21=".",Irr!BD21="."),dir!AH21/((1/1000)*(Irr!H21)),IF(AND(Irr!H21=".",Irr!AF21=".",Irr!BD21="."),dir!AH21*1000)))))))),".")</f>
        <v>.</v>
      </c>
      <c r="AI21" s="76" t="str">
        <f>IFERROR(IF(AND(Irr!I21&lt;&gt;".",Irr!AG21&lt;&gt;".",Irr!BE21&lt;&gt;"."),dir!AI21/((1/1000)*(Irr!I21+Irr!AG21+Irr!BE21)),IF(AND(Irr!I21&lt;&gt;".",Irr!AG21&lt;&gt;".",Irr!BE21="."),dir!AI21/((1/1000)*(Irr!I21+Irr!AG21)),IF(AND(Irr!I21&lt;&gt;".",Irr!AG21=".",Irr!BE21&lt;&gt;"."),dir!AI21/((1/1000)*(Irr!I21+Irr!BE21)),IF(AND(Irr!I21=".",Irr!AG21&lt;&gt;".",Irr!BE21&lt;&gt;"."),dir!AI21/((1/1000)*(Irr!AG21+Irr!BE21)),IF(AND(Irr!I21=".",Irr!AG21=".",Irr!BE21&lt;&gt;"."),dir!AI21/((1/1000)*(Irr!BE21)),IF(AND(Irr!I21=".",Irr!AG21&lt;&gt;".",Irr!BE21="."),dir!AI21/((1/1000)*(Irr!AG21)),IF(AND(Irr!I21&lt;&gt;".",Irr!AG21=".",Irr!BE21="."),dir!AI21/((1/1000)*(Irr!I21)),IF(AND(Irr!I21=".",Irr!AG21=".",Irr!BE21="."),dir!AI21*1000)))))))),".")</f>
        <v>.</v>
      </c>
      <c r="AJ21" s="76" t="str">
        <f>IFERROR(IF(AND(Irr!J21&lt;&gt;".",Irr!AH21&lt;&gt;".",Irr!BF21&lt;&gt;"."),dir!AJ21/((1/1000)*(Irr!J21+Irr!AH21+Irr!BF21)),IF(AND(Irr!J21&lt;&gt;".",Irr!AH21&lt;&gt;".",Irr!BF21="."),dir!AJ21/((1/1000)*(Irr!J21+Irr!AH21)),IF(AND(Irr!J21&lt;&gt;".",Irr!AH21=".",Irr!BF21&lt;&gt;"."),dir!AJ21/((1/1000)*(Irr!J21+Irr!BF21)),IF(AND(Irr!J21=".",Irr!AH21&lt;&gt;".",Irr!BF21&lt;&gt;"."),dir!AJ21/((1/1000)*(Irr!AH21+Irr!BF21)),IF(AND(Irr!J21=".",Irr!AH21=".",Irr!BF21&lt;&gt;"."),dir!AJ21/((1/1000)*(Irr!BF21)),IF(AND(Irr!J21=".",Irr!AH21&lt;&gt;".",Irr!BF21="."),dir!AJ21/((1/1000)*(Irr!AH21)),IF(AND(Irr!J21&lt;&gt;".",Irr!AH21=".",Irr!BF21="."),dir!AJ21/((1/1000)*(Irr!J21)),IF(AND(Irr!J21=".",Irr!AH21=".",Irr!BF21="."),dir!AJ21*1000)))))))),".")</f>
        <v>.</v>
      </c>
      <c r="AK21" s="76" t="str">
        <f>IFERROR(IF(AND(Irr!K21&lt;&gt;".",Irr!AI21&lt;&gt;".",Irr!BG21&lt;&gt;"."),dir!AK21/((1/1000)*(Irr!K21+Irr!AI21+Irr!BG21)),IF(AND(Irr!K21&lt;&gt;".",Irr!AI21&lt;&gt;".",Irr!BG21="."),dir!AK21/((1/1000)*(Irr!K21+Irr!AI21)),IF(AND(Irr!K21&lt;&gt;".",Irr!AI21=".",Irr!BG21&lt;&gt;"."),dir!AK21/((1/1000)*(Irr!K21+Irr!BG21)),IF(AND(Irr!K21=".",Irr!AI21&lt;&gt;".",Irr!BG21&lt;&gt;"."),dir!AK21/((1/1000)*(Irr!AI21+Irr!BG21)),IF(AND(Irr!K21=".",Irr!AI21=".",Irr!BG21&lt;&gt;"."),dir!AK21/((1/1000)*(Irr!BG21)),IF(AND(Irr!K21=".",Irr!AI21&lt;&gt;".",Irr!BG21="."),dir!AK21/((1/1000)*(Irr!AI21)),IF(AND(Irr!K21&lt;&gt;".",Irr!AI21=".",Irr!BG21="."),dir!AK21/((1/1000)*(Irr!K21)),IF(AND(Irr!K21=".",Irr!AI21=".",Irr!BG21="."),dir!AK21*1000)))))))),".")</f>
        <v>.</v>
      </c>
      <c r="AL21" s="76" t="str">
        <f>IFERROR(IF(AND(Irr!L21&lt;&gt;".",Irr!AJ21&lt;&gt;".",Irr!BH21&lt;&gt;"."),dir!AL21/((1/1000)*(Irr!L21+Irr!AJ21+Irr!BH21)),IF(AND(Irr!L21&lt;&gt;".",Irr!AJ21&lt;&gt;".",Irr!BH21="."),dir!AL21/((1/1000)*(Irr!L21+Irr!AJ21)),IF(AND(Irr!L21&lt;&gt;".",Irr!AJ21=".",Irr!BH21&lt;&gt;"."),dir!AL21/((1/1000)*(Irr!L21+Irr!BH21)),IF(AND(Irr!L21=".",Irr!AJ21&lt;&gt;".",Irr!BH21&lt;&gt;"."),dir!AL21/((1/1000)*(Irr!AJ21+Irr!BH21)),IF(AND(Irr!L21=".",Irr!AJ21=".",Irr!BH21&lt;&gt;"."),dir!AL21/((1/1000)*(Irr!BH21)),IF(AND(Irr!L21=".",Irr!AJ21&lt;&gt;".",Irr!BH21="."),dir!AL21/((1/1000)*(Irr!AJ21)),IF(AND(Irr!L21&lt;&gt;".",Irr!AJ21=".",Irr!BH21="."),dir!AL21/((1/1000)*(Irr!L21)),IF(AND(Irr!L21=".",Irr!AJ21=".",Irr!BH21="."),dir!AL21*1000)))))))),".")</f>
        <v>.</v>
      </c>
      <c r="AM21" s="76" t="str">
        <f>IFERROR(IF(AND(Irr!M21&lt;&gt;".",Irr!AK21&lt;&gt;".",Irr!BI21&lt;&gt;"."),dir!AM21/((1/1000)*(Irr!M21+Irr!AK21+Irr!BI21)),IF(AND(Irr!M21&lt;&gt;".",Irr!AK21&lt;&gt;".",Irr!BI21="."),dir!AM21/((1/1000)*(Irr!M21+Irr!AK21)),IF(AND(Irr!M21&lt;&gt;".",Irr!AK21=".",Irr!BI21&lt;&gt;"."),dir!AM21/((1/1000)*(Irr!M21+Irr!BI21)),IF(AND(Irr!M21=".",Irr!AK21&lt;&gt;".",Irr!BI21&lt;&gt;"."),dir!AM21/((1/1000)*(Irr!AK21+Irr!BI21)),IF(AND(Irr!M21=".",Irr!AK21=".",Irr!BI21&lt;&gt;"."),dir!AM21/((1/1000)*(Irr!BI21)),IF(AND(Irr!M21=".",Irr!AK21&lt;&gt;".",Irr!BI21="."),dir!AM21/((1/1000)*(Irr!AK21)),IF(AND(Irr!M21&lt;&gt;".",Irr!AK21=".",Irr!BI21="."),dir!AM21/((1/1000)*(Irr!M21)),IF(AND(Irr!M21=".",Irr!AK21=".",Irr!BI21="."),dir!AM21*1000)))))))),".")</f>
        <v>.</v>
      </c>
      <c r="AN21" s="76" t="str">
        <f>IFERROR(IF(AND(Irr!N21&lt;&gt;".",Irr!AL21&lt;&gt;".",Irr!BJ21&lt;&gt;"."),dir!AN21/((1/1000)*(Irr!N21+Irr!AL21+Irr!BJ21)),IF(AND(Irr!N21&lt;&gt;".",Irr!AL21&lt;&gt;".",Irr!BJ21="."),dir!AN21/((1/1000)*(Irr!N21+Irr!AL21)),IF(AND(Irr!N21&lt;&gt;".",Irr!AL21=".",Irr!BJ21&lt;&gt;"."),dir!AN21/((1/1000)*(Irr!N21+Irr!BJ21)),IF(AND(Irr!N21=".",Irr!AL21&lt;&gt;".",Irr!BJ21&lt;&gt;"."),dir!AN21/((1/1000)*(Irr!AL21+Irr!BJ21)),IF(AND(Irr!N21=".",Irr!AL21=".",Irr!BJ21&lt;&gt;"."),dir!AN21/((1/1000)*(Irr!BJ21)),IF(AND(Irr!N21=".",Irr!AL21&lt;&gt;".",Irr!BJ21="."),dir!AN21/((1/1000)*(Irr!AL21)),IF(AND(Irr!N21&lt;&gt;".",Irr!AL21=".",Irr!BJ21="."),dir!AN21/((1/1000)*(Irr!N21)),IF(AND(Irr!N21=".",Irr!AL21=".",Irr!BJ21="."),dir!AN21*1000)))))))),".")</f>
        <v>.</v>
      </c>
      <c r="AO21" s="76" t="str">
        <f>IFERROR(IF(AND(Irr!O21&lt;&gt;".",Irr!AM21&lt;&gt;".",Irr!BK21&lt;&gt;"."),dir!AO21/((1/1000)*(Irr!O21+Irr!AM21+Irr!BK21)),IF(AND(Irr!O21&lt;&gt;".",Irr!AM21&lt;&gt;".",Irr!BK21="."),dir!AO21/((1/1000)*(Irr!O21+Irr!AM21)),IF(AND(Irr!O21&lt;&gt;".",Irr!AM21=".",Irr!BK21&lt;&gt;"."),dir!AO21/((1/1000)*(Irr!O21+Irr!BK21)),IF(AND(Irr!O21=".",Irr!AM21&lt;&gt;".",Irr!BK21&lt;&gt;"."),dir!AO21/((1/1000)*(Irr!AM21+Irr!BK21)),IF(AND(Irr!O21=".",Irr!AM21=".",Irr!BK21&lt;&gt;"."),dir!AO21/((1/1000)*(Irr!BK21)),IF(AND(Irr!O21=".",Irr!AM21&lt;&gt;".",Irr!BK21="."),dir!AO21/((1/1000)*(Irr!AM21)),IF(AND(Irr!O21&lt;&gt;".",Irr!AM21=".",Irr!BK21="."),dir!AO21/((1/1000)*(Irr!O21)),IF(AND(Irr!O21=".",Irr!AM21=".",Irr!BK21="."),dir!AO21*1000)))))))),".")</f>
        <v>.</v>
      </c>
      <c r="AP21" s="76" t="str">
        <f>IFERROR(IF(AND(Irr!P21&lt;&gt;".",Irr!AN21&lt;&gt;".",Irr!BL21&lt;&gt;"."),dir!AP21/((1/1000)*(Irr!P21+Irr!AN21+Irr!BL21)),IF(AND(Irr!P21&lt;&gt;".",Irr!AN21&lt;&gt;".",Irr!BL21="."),dir!AP21/((1/1000)*(Irr!P21+Irr!AN21)),IF(AND(Irr!P21&lt;&gt;".",Irr!AN21=".",Irr!BL21&lt;&gt;"."),dir!AP21/((1/1000)*(Irr!P21+Irr!BL21)),IF(AND(Irr!P21=".",Irr!AN21&lt;&gt;".",Irr!BL21&lt;&gt;"."),dir!AP21/((1/1000)*(Irr!AN21+Irr!BL21)),IF(AND(Irr!P21=".",Irr!AN21=".",Irr!BL21&lt;&gt;"."),dir!AP21/((1/1000)*(Irr!BL21)),IF(AND(Irr!P21=".",Irr!AN21&lt;&gt;".",Irr!BL21="."),dir!AP21/((1/1000)*(Irr!AN21)),IF(AND(Irr!P21&lt;&gt;".",Irr!AN21=".",Irr!BL21="."),dir!AP21/((1/1000)*(Irr!P21)),IF(AND(Irr!P21=".",Irr!AN21=".",Irr!BL21="."),dir!AP21*1000)))))))),".")</f>
        <v>.</v>
      </c>
      <c r="AQ21" s="76" t="str">
        <f>IFERROR(IF(AND(Irr!Q21&lt;&gt;".",Irr!AO21&lt;&gt;".",Irr!BM21&lt;&gt;"."),dir!AQ21/((1/1000)*(Irr!Q21+Irr!AO21+Irr!BM21)),IF(AND(Irr!Q21&lt;&gt;".",Irr!AO21&lt;&gt;".",Irr!BM21="."),dir!AQ21/((1/1000)*(Irr!Q21+Irr!AO21)),IF(AND(Irr!Q21&lt;&gt;".",Irr!AO21=".",Irr!BM21&lt;&gt;"."),dir!AQ21/((1/1000)*(Irr!Q21+Irr!BM21)),IF(AND(Irr!Q21=".",Irr!AO21&lt;&gt;".",Irr!BM21&lt;&gt;"."),dir!AQ21/((1/1000)*(Irr!AO21+Irr!BM21)),IF(AND(Irr!Q21=".",Irr!AO21=".",Irr!BM21&lt;&gt;"."),dir!AQ21/((1/1000)*(Irr!BM21)),IF(AND(Irr!Q21=".",Irr!AO21&lt;&gt;".",Irr!BM21="."),dir!AQ21/((1/1000)*(Irr!AO21)),IF(AND(Irr!Q21&lt;&gt;".",Irr!AO21=".",Irr!BM21="."),dir!AQ21/((1/1000)*(Irr!Q21)),IF(AND(Irr!Q21=".",Irr!AO21=".",Irr!BM21="."),dir!AQ21*1000)))))))),".")</f>
        <v>.</v>
      </c>
      <c r="AR21" s="76" t="str">
        <f>IFERROR(IF(AND(Irr!R21&lt;&gt;".",Irr!AP21&lt;&gt;".",Irr!BN21&lt;&gt;"."),dir!AR21/((1/1000)*(Irr!R21+Irr!AP21+Irr!BN21)),IF(AND(Irr!R21&lt;&gt;".",Irr!AP21&lt;&gt;".",Irr!BN21="."),dir!AR21/((1/1000)*(Irr!R21+Irr!AP21)),IF(AND(Irr!R21&lt;&gt;".",Irr!AP21=".",Irr!BN21&lt;&gt;"."),dir!AR21/((1/1000)*(Irr!R21+Irr!BN21)),IF(AND(Irr!R21=".",Irr!AP21&lt;&gt;".",Irr!BN21&lt;&gt;"."),dir!AR21/((1/1000)*(Irr!AP21+Irr!BN21)),IF(AND(Irr!R21=".",Irr!AP21=".",Irr!BN21&lt;&gt;"."),dir!AR21/((1/1000)*(Irr!BN21)),IF(AND(Irr!R21=".",Irr!AP21&lt;&gt;".",Irr!BN21="."),dir!AR21/((1/1000)*(Irr!AP21)),IF(AND(Irr!R21&lt;&gt;".",Irr!AP21=".",Irr!BN21="."),dir!AR21/((1/1000)*(Irr!R21)),IF(AND(Irr!R21=".",Irr!AP21=".",Irr!BN21="."),dir!AR21*1000)))))))),".")</f>
        <v>.</v>
      </c>
      <c r="AS21" s="76" t="str">
        <f>IFERROR(IF(AND(Irr!S21&lt;&gt;".",Irr!AQ21&lt;&gt;".",Irr!BO21&lt;&gt;"."),dir!AS21/((1/1000)*(Irr!S21+Irr!AQ21+Irr!BO21)),IF(AND(Irr!S21&lt;&gt;".",Irr!AQ21&lt;&gt;".",Irr!BO21="."),dir!AS21/((1/1000)*(Irr!S21+Irr!AQ21)),IF(AND(Irr!S21&lt;&gt;".",Irr!AQ21=".",Irr!BO21&lt;&gt;"."),dir!AS21/((1/1000)*(Irr!S21+Irr!BO21)),IF(AND(Irr!S21=".",Irr!AQ21&lt;&gt;".",Irr!BO21&lt;&gt;"."),dir!AS21/((1/1000)*(Irr!AQ21+Irr!BO21)),IF(AND(Irr!S21=".",Irr!AQ21=".",Irr!BO21&lt;&gt;"."),dir!AS21/((1/1000)*(Irr!BO21)),IF(AND(Irr!S21=".",Irr!AQ21&lt;&gt;".",Irr!BO21="."),dir!AS21/((1/1000)*(Irr!AQ21)),IF(AND(Irr!S21&lt;&gt;".",Irr!AQ21=".",Irr!BO21="."),dir!AS21/((1/1000)*(Irr!S21)),IF(AND(Irr!S21=".",Irr!AQ21=".",Irr!BO21="."),dir!AS21*1000)))))))),".")</f>
        <v>.</v>
      </c>
      <c r="AT21" s="76" t="str">
        <f>IFERROR(IF(AND(Irr!T21&lt;&gt;".",Irr!AR21&lt;&gt;".",Irr!BP21&lt;&gt;"."),dir!AT21/((1/1000)*(Irr!T21+Irr!AR21+Irr!BP21)),IF(AND(Irr!T21&lt;&gt;".",Irr!AR21&lt;&gt;".",Irr!BP21="."),dir!AT21/((1/1000)*(Irr!T21+Irr!AR21)),IF(AND(Irr!T21&lt;&gt;".",Irr!AR21=".",Irr!BP21&lt;&gt;"."),dir!AT21/((1/1000)*(Irr!T21+Irr!BP21)),IF(AND(Irr!T21=".",Irr!AR21&lt;&gt;".",Irr!BP21&lt;&gt;"."),dir!AT21/((1/1000)*(Irr!AR21+Irr!BP21)),IF(AND(Irr!T21=".",Irr!AR21=".",Irr!BP21&lt;&gt;"."),dir!AT21/((1/1000)*(Irr!BP21)),IF(AND(Irr!T21=".",Irr!AR21&lt;&gt;".",Irr!BP21="."),dir!AT21/((1/1000)*(Irr!AR21)),IF(AND(Irr!T21&lt;&gt;".",Irr!AR21=".",Irr!BP21="."),dir!AT21/((1/1000)*(Irr!T21)),IF(AND(Irr!T21=".",Irr!AR21=".",Irr!BP21="."),dir!AT21*1000)))))))),".")</f>
        <v>.</v>
      </c>
      <c r="AU21" s="76" t="str">
        <f>IFERROR(IF(AND(Irr!U21&lt;&gt;".",Irr!AS21&lt;&gt;".",Irr!BQ21&lt;&gt;"."),dir!AU21/((1/1000)*(Irr!U21+Irr!AS21+Irr!BQ21)),IF(AND(Irr!U21&lt;&gt;".",Irr!AS21&lt;&gt;".",Irr!BQ21="."),dir!AU21/((1/1000)*(Irr!U21+Irr!AS21)),IF(AND(Irr!U21&lt;&gt;".",Irr!AS21=".",Irr!BQ21&lt;&gt;"."),dir!AU21/((1/1000)*(Irr!U21+Irr!BQ21)),IF(AND(Irr!U21=".",Irr!AS21&lt;&gt;".",Irr!BQ21&lt;&gt;"."),dir!AU21/((1/1000)*(Irr!AS21+Irr!BQ21)),IF(AND(Irr!U21=".",Irr!AS21=".",Irr!BQ21&lt;&gt;"."),dir!AU21/((1/1000)*(Irr!BQ21)),IF(AND(Irr!U21=".",Irr!AS21&lt;&gt;".",Irr!BQ21="."),dir!AU21/((1/1000)*(Irr!AS21)),IF(AND(Irr!U21&lt;&gt;".",Irr!AS21=".",Irr!BQ21="."),dir!AU21/((1/1000)*(Irr!U21)),IF(AND(Irr!U21=".",Irr!AS21=".",Irr!BQ21="."),dir!AU21*1000)))))))),".")</f>
        <v>.</v>
      </c>
      <c r="AV21" s="76" t="str">
        <f>IFERROR(IF(AND(Irr!V21&lt;&gt;".",Irr!AT21&lt;&gt;".",Irr!BR21&lt;&gt;"."),dir!AV21/((1/1000)*(Irr!V21+Irr!AT21+Irr!BR21)),IF(AND(Irr!V21&lt;&gt;".",Irr!AT21&lt;&gt;".",Irr!BR21="."),dir!AV21/((1/1000)*(Irr!V21+Irr!AT21)),IF(AND(Irr!V21&lt;&gt;".",Irr!AT21=".",Irr!BR21&lt;&gt;"."),dir!AV21/((1/1000)*(Irr!V21+Irr!BR21)),IF(AND(Irr!V21=".",Irr!AT21&lt;&gt;".",Irr!BR21&lt;&gt;"."),dir!AV21/((1/1000)*(Irr!AT21+Irr!BR21)),IF(AND(Irr!V21=".",Irr!AT21=".",Irr!BR21&lt;&gt;"."),dir!AV21/((1/1000)*(Irr!BR21)),IF(AND(Irr!V21=".",Irr!AT21&lt;&gt;".",Irr!BR21="."),dir!AV21/((1/1000)*(Irr!AT21)),IF(AND(Irr!V21&lt;&gt;".",Irr!AT21=".",Irr!BR21="."),dir!AV21/((1/1000)*(Irr!V21)),IF(AND(Irr!V21=".",Irr!AT21=".",Irr!BR21="."),dir!AV21*1000)))))))),".")</f>
        <v>.</v>
      </c>
      <c r="AW21" s="76" t="str">
        <f>IFERROR(IF(AND(Irr!W21&lt;&gt;".",Irr!AU21&lt;&gt;".",Irr!BS21&lt;&gt;"."),dir!AW21/((1/1000)*(Irr!W21+Irr!AU21+Irr!BS21)),IF(AND(Irr!W21&lt;&gt;".",Irr!AU21&lt;&gt;".",Irr!BS21="."),dir!AW21/((1/1000)*(Irr!W21+Irr!AU21)),IF(AND(Irr!W21&lt;&gt;".",Irr!AU21=".",Irr!BS21&lt;&gt;"."),dir!AW21/((1/1000)*(Irr!W21+Irr!BS21)),IF(AND(Irr!W21=".",Irr!AU21&lt;&gt;".",Irr!BS21&lt;&gt;"."),dir!AW21/((1/1000)*(Irr!AU21+Irr!BS21)),IF(AND(Irr!W21=".",Irr!AU21=".",Irr!BS21&lt;&gt;"."),dir!AW21/((1/1000)*(Irr!BS21)),IF(AND(Irr!W21=".",Irr!AU21&lt;&gt;".",Irr!BS21="."),dir!AW21/((1/1000)*(Irr!AU21)),IF(AND(Irr!W21&lt;&gt;".",Irr!AU21=".",Irr!BS21="."),dir!AW21/((1/1000)*(Irr!W21)),IF(AND(Irr!W21=".",Irr!AU21=".",Irr!BS21="."),dir!AW21*1000)))))))),".")</f>
        <v>.</v>
      </c>
      <c r="AX21" s="76" t="str">
        <f>IFERROR(IF(AND(Irr!X21&lt;&gt;".",Irr!AV21&lt;&gt;".",Irr!BT21&lt;&gt;"."),dir!AX21/((1/1000)*(Irr!X21+Irr!AV21+Irr!BT21)),IF(AND(Irr!X21&lt;&gt;".",Irr!AV21&lt;&gt;".",Irr!BT21="."),dir!AX21/((1/1000)*(Irr!X21+Irr!AV21)),IF(AND(Irr!X21&lt;&gt;".",Irr!AV21=".",Irr!BT21&lt;&gt;"."),dir!AX21/((1/1000)*(Irr!X21+Irr!BT21)),IF(AND(Irr!X21=".",Irr!AV21&lt;&gt;".",Irr!BT21&lt;&gt;"."),dir!AX21/((1/1000)*(Irr!AV21+Irr!BT21)),IF(AND(Irr!X21=".",Irr!AV21=".",Irr!BT21&lt;&gt;"."),dir!AX21/((1/1000)*(Irr!BT21)),IF(AND(Irr!X21=".",Irr!AV21&lt;&gt;".",Irr!BT21="."),dir!AX21/((1/1000)*(Irr!AV21)),IF(AND(Irr!X21&lt;&gt;".",Irr!AV21=".",Irr!BT21="."),dir!AX21/((1/1000)*(Irr!X21)),IF(AND(Irr!X21=".",Irr!AV21=".",Irr!BT21="."),dir!AX21*1000)))))))),".")</f>
        <v>.</v>
      </c>
      <c r="AY21" s="76" t="str">
        <f>IFERROR(IF(AND(Irr!Y21&lt;&gt;".",Irr!AW21&lt;&gt;".",Irr!BU21&lt;&gt;"."),dir!AY21/((1/1000)*(Irr!Y21+Irr!AW21+Irr!BU21)),IF(AND(Irr!Y21&lt;&gt;".",Irr!AW21&lt;&gt;".",Irr!BU21="."),dir!AY21/((1/1000)*(Irr!Y21+Irr!AW21)),IF(AND(Irr!Y21&lt;&gt;".",Irr!AW21=".",Irr!BU21&lt;&gt;"."),dir!AY21/((1/1000)*(Irr!Y21+Irr!BU21)),IF(AND(Irr!Y21=".",Irr!AW21&lt;&gt;".",Irr!BU21&lt;&gt;"."),dir!AY21/((1/1000)*(Irr!AW21+Irr!BU21)),IF(AND(Irr!Y21=".",Irr!AW21=".",Irr!BU21&lt;&gt;"."),dir!AY21/((1/1000)*(Irr!BU21)),IF(AND(Irr!Y21=".",Irr!AW21&lt;&gt;".",Irr!BU21="."),dir!AY21/((1/1000)*(Irr!AW21)),IF(AND(Irr!Y21&lt;&gt;".",Irr!AW21=".",Irr!BU21="."),dir!AY21/((1/1000)*(Irr!Y21)),IF(AND(Irr!Y21=".",Irr!AW21=".",Irr!BU21="."),dir!AY21*1000)))))))),".")</f>
        <v>.</v>
      </c>
      <c r="AZ21" s="76" t="str">
        <f>IFERROR(IF(AND(Irr!Z21&lt;&gt;".",Irr!AX21&lt;&gt;".",Irr!BV21&lt;&gt;"."),dir!AZ21/((1/1000)*(Irr!Z21+Irr!AX21+Irr!BV21)),IF(AND(Irr!Z21&lt;&gt;".",Irr!AX21&lt;&gt;".",Irr!BV21="."),dir!AZ21/((1/1000)*(Irr!Z21+Irr!AX21)),IF(AND(Irr!Z21&lt;&gt;".",Irr!AX21=".",Irr!BV21&lt;&gt;"."),dir!AZ21/((1/1000)*(Irr!Z21+Irr!BV21)),IF(AND(Irr!Z21=".",Irr!AX21&lt;&gt;".",Irr!BV21&lt;&gt;"."),dir!AZ21/((1/1000)*(Irr!AX21+Irr!BV21)),IF(AND(Irr!Z21=".",Irr!AX21=".",Irr!BV21&lt;&gt;"."),dir!AZ21/((1/1000)*(Irr!BV21)),IF(AND(Irr!Z21=".",Irr!AX21&lt;&gt;".",Irr!BV21="."),dir!AZ21/((1/1000)*(Irr!AX21)),IF(AND(Irr!Z21&lt;&gt;".",Irr!AX21=".",Irr!BV21="."),dir!AZ21/((1/1000)*(Irr!Z21)),IF(AND(Irr!Z21=".",Irr!AX21=".",Irr!BV21="."),dir!AZ21*1000)))))))),".")</f>
        <v>.</v>
      </c>
    </row>
    <row r="22" spans="1:52" ht="15" customHeight="1" x14ac:dyDescent="0.25">
      <c r="A22" s="92" t="s">
        <v>32</v>
      </c>
      <c r="B22" s="90" t="s">
        <v>1074</v>
      </c>
      <c r="C22" s="76">
        <f t="shared" ref="C22:C23" si="18">IFERROR(1/SUM(1/D22,1/E22,1/F22,1/G22,1/H22,1/I22,1/J22,1/K22,1/L22,1/M22,1/N22,1/O22,1/P22,1/Q22,1/R22,1/S22,1/T22,1/U22,1/V22,1/W22,1/X22,1/Y22),".")</f>
        <v>0.12109089744212637</v>
      </c>
      <c r="D22" s="76">
        <f>IFERROR(IF(AND(Irr!C22&lt;&gt;".",Irr!AA22&lt;&gt;".",Irr!AY22&lt;&gt;"."),dir!D22/((1/1000)*(Irr!C22+Irr!AA22+Irr!AY22)),IF(AND(Irr!C22&lt;&gt;".",Irr!AA22&lt;&gt;".",Irr!AY22="."),dir!D22/((1/1000)*(Irr!C22+Irr!AA22)),IF(AND(Irr!C22&lt;&gt;".",Irr!AA22=".",Irr!AY22&lt;&gt;"."),dir!D22/((1/1000)*(Irr!C22+Irr!AY22)),IF(AND(Irr!C22=".",Irr!AA22&lt;&gt;".",Irr!AY22&lt;&gt;"."),dir!D22/((1/1000)*(Irr!AA22+Irr!AY22)),IF(AND(Irr!C22=".",Irr!AA22=".",Irr!AY22&lt;&gt;"."),dir!D22/((1/1000)*(Irr!AY22)),IF(AND(Irr!C22=".",Irr!AA22&lt;&gt;".",Irr!AY22="."),dir!D22/((1/1000)*(Irr!AA22)),IF(AND(Irr!C22&lt;&gt;".",Irr!AA22=".",Irr!AY22="."),dir!D22/((1/1000)*(Irr!C22)),IF(AND(Irr!C22=".",Irr!AA22=".",Irr!AY22="."),dir!D22*1000)))))))),".")</f>
        <v>2.4356669355227254</v>
      </c>
      <c r="E22" s="76">
        <f>IFERROR(IF(AND(Irr!D22&lt;&gt;".",Irr!AB22&lt;&gt;".",Irr!AZ22&lt;&gt;"."),dir!E22/((1/1000)*(Irr!D22+Irr!AB22+Irr!AZ22)),IF(AND(Irr!D22&lt;&gt;".",Irr!AB22&lt;&gt;".",Irr!AZ22="."),dir!E22/((1/1000)*(Irr!D22+Irr!AB22)),IF(AND(Irr!D22&lt;&gt;".",Irr!AB22=".",Irr!AZ22&lt;&gt;"."),dir!E22/((1/1000)*(Irr!D22+Irr!AZ22)),IF(AND(Irr!D22=".",Irr!AB22&lt;&gt;".",Irr!AZ22&lt;&gt;"."),dir!E22/((1/1000)*(Irr!AB22+Irr!AZ22)),IF(AND(Irr!D22=".",Irr!AB22=".",Irr!AZ22&lt;&gt;"."),dir!E22/((1/1000)*(Irr!AZ22)),IF(AND(Irr!D22=".",Irr!AB22&lt;&gt;".",Irr!AZ22="."),dir!E22/((1/1000)*(Irr!AB22)),IF(AND(Irr!D22&lt;&gt;".",Irr!AB22=".",Irr!AZ22="."),dir!E22/((1/1000)*(Irr!D22)),IF(AND(Irr!D22=".",Irr!AB22=".",Irr!AZ22="."),dir!E22*1000)))))))),".")</f>
        <v>3.143844818410042</v>
      </c>
      <c r="F22" s="76">
        <f>IFERROR(IF(AND(Irr!E22&lt;&gt;".",Irr!AC22&lt;&gt;".",Irr!BA22&lt;&gt;"."),dir!F22/((1/1000)*(Irr!E22+Irr!AC22+Irr!BA22)),IF(AND(Irr!E22&lt;&gt;".",Irr!AC22&lt;&gt;".",Irr!BA22="."),dir!F22/((1/1000)*(Irr!E22+Irr!AC22)),IF(AND(Irr!E22&lt;&gt;".",Irr!AC22=".",Irr!BA22&lt;&gt;"."),dir!F22/((1/1000)*(Irr!E22+Irr!BA22)),IF(AND(Irr!E22=".",Irr!AC22&lt;&gt;".",Irr!BA22&lt;&gt;"."),dir!F22/((1/1000)*(Irr!AC22+Irr!BA22)),IF(AND(Irr!E22=".",Irr!AC22=".",Irr!BA22&lt;&gt;"."),dir!F22/((1/1000)*(Irr!BA22)),IF(AND(Irr!E22=".",Irr!AC22&lt;&gt;".",Irr!BA22="."),dir!F22/((1/1000)*(Irr!AC22)),IF(AND(Irr!E22&lt;&gt;".",Irr!AC22=".",Irr!BA22="."),dir!F22/((1/1000)*(Irr!E22)),IF(AND(Irr!E22=".",Irr!AC22=".",Irr!BA22="."),dir!F22*1000)))))))),".")</f>
        <v>4.3138928969219785</v>
      </c>
      <c r="G22" s="76">
        <f>IFERROR(IF(AND(Irr!F22&lt;&gt;".",Irr!AD22&lt;&gt;".",Irr!BB22&lt;&gt;"."),dir!G22/((1/1000)*(Irr!F22+Irr!AD22+Irr!BB22)),IF(AND(Irr!F22&lt;&gt;".",Irr!AD22&lt;&gt;".",Irr!BB22="."),dir!G22/((1/1000)*(Irr!F22+Irr!AD22)),IF(AND(Irr!F22&lt;&gt;".",Irr!AD22=".",Irr!BB22&lt;&gt;"."),dir!G22/((1/1000)*(Irr!F22+Irr!BB22)),IF(AND(Irr!F22=".",Irr!AD22&lt;&gt;".",Irr!BB22&lt;&gt;"."),dir!G22/((1/1000)*(Irr!AD22+Irr!BB22)),IF(AND(Irr!F22=".",Irr!AD22=".",Irr!BB22&lt;&gt;"."),dir!G22/((1/1000)*(Irr!BB22)),IF(AND(Irr!F22=".",Irr!AD22&lt;&gt;".",Irr!BB22="."),dir!G22/((1/1000)*(Irr!AD22)),IF(AND(Irr!F22&lt;&gt;".",Irr!AD22=".",Irr!BB22="."),dir!G22/((1/1000)*(Irr!F22)),IF(AND(Irr!F22=".",Irr!AD22=".",Irr!BB22="."),dir!G22*1000)))))))),".")</f>
        <v>5.455784897572431</v>
      </c>
      <c r="H22" s="76">
        <f>IFERROR(IF(AND(Irr!G22&lt;&gt;".",Irr!AE22&lt;&gt;".",Irr!BC22&lt;&gt;"."),dir!H22/((1/1000)*(Irr!G22+Irr!AE22+Irr!BC22)),IF(AND(Irr!G22&lt;&gt;".",Irr!AE22&lt;&gt;".",Irr!BC22="."),dir!H22/((1/1000)*(Irr!G22+Irr!AE22)),IF(AND(Irr!G22&lt;&gt;".",Irr!AE22=".",Irr!BC22&lt;&gt;"."),dir!H22/((1/1000)*(Irr!G22+Irr!BC22)),IF(AND(Irr!G22=".",Irr!AE22&lt;&gt;".",Irr!BC22&lt;&gt;"."),dir!H22/((1/1000)*(Irr!AE22+Irr!BC22)),IF(AND(Irr!G22=".",Irr!AE22=".",Irr!BC22&lt;&gt;"."),dir!H22/((1/1000)*(Irr!BC22)),IF(AND(Irr!G22=".",Irr!AE22&lt;&gt;".",Irr!BC22="."),dir!H22/((1/1000)*(Irr!AE22)),IF(AND(Irr!G22&lt;&gt;".",Irr!AE22=".",Irr!BC22="."),dir!H22/((1/1000)*(Irr!G22)),IF(AND(Irr!G22=".",Irr!AE22=".",Irr!BC22="."),dir!H22*1000)))))))),".")</f>
        <v>6.0411713590184597</v>
      </c>
      <c r="I22" s="76">
        <f>IFERROR(IF(AND(Irr!H22&lt;&gt;".",Irr!AF22&lt;&gt;".",Irr!BD22&lt;&gt;"."),dir!I22/((1/1000)*(Irr!H22+Irr!AF22+Irr!BD22)),IF(AND(Irr!H22&lt;&gt;".",Irr!AF22&lt;&gt;".",Irr!BD22="."),dir!I22/((1/1000)*(Irr!H22+Irr!AF22)),IF(AND(Irr!H22&lt;&gt;".",Irr!AF22=".",Irr!BD22&lt;&gt;"."),dir!I22/((1/1000)*(Irr!H22+Irr!BD22)),IF(AND(Irr!H22=".",Irr!AF22&lt;&gt;".",Irr!BD22&lt;&gt;"."),dir!I22/((1/1000)*(Irr!AF22+Irr!BD22)),IF(AND(Irr!H22=".",Irr!AF22=".",Irr!BD22&lt;&gt;"."),dir!I22/((1/1000)*(Irr!BD22)),IF(AND(Irr!H22=".",Irr!AF22&lt;&gt;".",Irr!BD22="."),dir!I22/((1/1000)*(Irr!AF22)),IF(AND(Irr!H22&lt;&gt;".",Irr!AF22=".",Irr!BD22="."),dir!I22/((1/1000)*(Irr!H22)),IF(AND(Irr!H22=".",Irr!AF22=".",Irr!BD22="."),dir!I22*1000)))))))),".")</f>
        <v>1.4077959460492169</v>
      </c>
      <c r="J22" s="76">
        <f>IFERROR(IF(AND(Irr!I22&lt;&gt;".",Irr!AG22&lt;&gt;".",Irr!BE22&lt;&gt;"."),dir!J22/((1/1000)*(Irr!I22+Irr!AG22+Irr!BE22)),IF(AND(Irr!I22&lt;&gt;".",Irr!AG22&lt;&gt;".",Irr!BE22="."),dir!J22/((1/1000)*(Irr!I22+Irr!AG22)),IF(AND(Irr!I22&lt;&gt;".",Irr!AG22=".",Irr!BE22&lt;&gt;"."),dir!J22/((1/1000)*(Irr!I22+Irr!BE22)),IF(AND(Irr!I22=".",Irr!AG22&lt;&gt;".",Irr!BE22&lt;&gt;"."),dir!J22/((1/1000)*(Irr!AG22+Irr!BE22)),IF(AND(Irr!I22=".",Irr!AG22=".",Irr!BE22&lt;&gt;"."),dir!J22/((1/1000)*(Irr!BE22)),IF(AND(Irr!I22=".",Irr!AG22&lt;&gt;".",Irr!BE22="."),dir!J22/((1/1000)*(Irr!AG22)),IF(AND(Irr!I22&lt;&gt;".",Irr!AG22=".",Irr!BE22="."),dir!J22/((1/1000)*(Irr!I22)),IF(AND(Irr!I22=".",Irr!AG22=".",Irr!BE22="."),dir!J22*1000)))))))),".")</f>
        <v>4.7631189244448979</v>
      </c>
      <c r="K22" s="76">
        <f>IFERROR(IF(AND(Irr!J22&lt;&gt;".",Irr!AH22&lt;&gt;".",Irr!BF22&lt;&gt;"."),dir!K22/((1/1000)*(Irr!J22+Irr!AH22+Irr!BF22)),IF(AND(Irr!J22&lt;&gt;".",Irr!AH22&lt;&gt;".",Irr!BF22="."),dir!K22/((1/1000)*(Irr!J22+Irr!AH22)),IF(AND(Irr!J22&lt;&gt;".",Irr!AH22=".",Irr!BF22&lt;&gt;"."),dir!K22/((1/1000)*(Irr!J22+Irr!BF22)),IF(AND(Irr!J22=".",Irr!AH22&lt;&gt;".",Irr!BF22&lt;&gt;"."),dir!K22/((1/1000)*(Irr!AH22+Irr!BF22)),IF(AND(Irr!J22=".",Irr!AH22=".",Irr!BF22&lt;&gt;"."),dir!K22/((1/1000)*(Irr!BF22)),IF(AND(Irr!J22=".",Irr!AH22&lt;&gt;".",Irr!BF22="."),dir!K22/((1/1000)*(Irr!AH22)),IF(AND(Irr!J22&lt;&gt;".",Irr!AH22=".",Irr!BF22="."),dir!K22/((1/1000)*(Irr!J22)),IF(AND(Irr!J22=".",Irr!AH22=".",Irr!BF22="."),dir!K22*1000)))))))),".")</f>
        <v>0.63180757123129405</v>
      </c>
      <c r="L22" s="76">
        <f>IFERROR(IF(AND(Irr!K22&lt;&gt;".",Irr!AI22&lt;&gt;".",Irr!BG22&lt;&gt;"."),dir!L22/((1/1000)*(Irr!K22+Irr!AI22+Irr!BG22)),IF(AND(Irr!K22&lt;&gt;".",Irr!AI22&lt;&gt;".",Irr!BG22="."),dir!L22/((1/1000)*(Irr!K22+Irr!AI22)),IF(AND(Irr!K22&lt;&gt;".",Irr!AI22=".",Irr!BG22&lt;&gt;"."),dir!L22/((1/1000)*(Irr!K22+Irr!BG22)),IF(AND(Irr!K22=".",Irr!AI22&lt;&gt;".",Irr!BG22&lt;&gt;"."),dir!L22/((1/1000)*(Irr!AI22+Irr!BG22)),IF(AND(Irr!K22=".",Irr!AI22=".",Irr!BG22&lt;&gt;"."),dir!L22/((1/1000)*(Irr!BG22)),IF(AND(Irr!K22=".",Irr!AI22&lt;&gt;".",Irr!BG22="."),dir!L22/((1/1000)*(Irr!AI22)),IF(AND(Irr!K22&lt;&gt;".",Irr!AI22=".",Irr!BG22="."),dir!L22/((1/1000)*(Irr!K22)),IF(AND(Irr!K22=".",Irr!AI22=".",Irr!BG22="."),dir!L22*1000)))))))),".")</f>
        <v>3.7227382120536787</v>
      </c>
      <c r="M22" s="76">
        <f>IFERROR(IF(AND(Irr!L22&lt;&gt;".",Irr!AJ22&lt;&gt;".",Irr!BH22&lt;&gt;"."),dir!M22/((1/1000)*(Irr!L22+Irr!AJ22+Irr!BH22)),IF(AND(Irr!L22&lt;&gt;".",Irr!AJ22&lt;&gt;".",Irr!BH22="."),dir!M22/((1/1000)*(Irr!L22+Irr!AJ22)),IF(AND(Irr!L22&lt;&gt;".",Irr!AJ22=".",Irr!BH22&lt;&gt;"."),dir!M22/((1/1000)*(Irr!L22+Irr!BH22)),IF(AND(Irr!L22=".",Irr!AJ22&lt;&gt;".",Irr!BH22&lt;&gt;"."),dir!M22/((1/1000)*(Irr!AJ22+Irr!BH22)),IF(AND(Irr!L22=".",Irr!AJ22=".",Irr!BH22&lt;&gt;"."),dir!M22/((1/1000)*(Irr!BH22)),IF(AND(Irr!L22=".",Irr!AJ22&lt;&gt;".",Irr!BH22="."),dir!M22/((1/1000)*(Irr!AJ22)),IF(AND(Irr!L22&lt;&gt;".",Irr!AJ22=".",Irr!BH22="."),dir!M22/((1/1000)*(Irr!L22)),IF(AND(Irr!L22=".",Irr!AJ22=".",Irr!BH22="."),dir!M22*1000)))))))),".")</f>
        <v>2.4308991791598946</v>
      </c>
      <c r="N22" s="76">
        <f>IFERROR(IF(AND(Irr!M22&lt;&gt;".",Irr!AK22&lt;&gt;".",Irr!BI22&lt;&gt;"."),dir!N22/((1/1000)*(Irr!M22+Irr!AK22+Irr!BI22)),IF(AND(Irr!M22&lt;&gt;".",Irr!AK22&lt;&gt;".",Irr!BI22="."),dir!N22/((1/1000)*(Irr!M22+Irr!AK22)),IF(AND(Irr!M22&lt;&gt;".",Irr!AK22=".",Irr!BI22&lt;&gt;"."),dir!N22/((1/1000)*(Irr!M22+Irr!BI22)),IF(AND(Irr!M22=".",Irr!AK22&lt;&gt;".",Irr!BI22&lt;&gt;"."),dir!N22/((1/1000)*(Irr!AK22+Irr!BI22)),IF(AND(Irr!M22=".",Irr!AK22=".",Irr!BI22&lt;&gt;"."),dir!N22/((1/1000)*(Irr!BI22)),IF(AND(Irr!M22=".",Irr!AK22&lt;&gt;".",Irr!BI22="."),dir!N22/((1/1000)*(Irr!AK22)),IF(AND(Irr!M22&lt;&gt;".",Irr!AK22=".",Irr!BI22="."),dir!N22/((1/1000)*(Irr!M22)),IF(AND(Irr!M22=".",Irr!AK22=".",Irr!BI22="."),dir!N22*1000)))))))),".")</f>
        <v>3.2533771688011184</v>
      </c>
      <c r="O22" s="76">
        <f>IFERROR(IF(AND(Irr!N22&lt;&gt;".",Irr!AL22&lt;&gt;".",Irr!BJ22&lt;&gt;"."),dir!O22/((1/1000)*(Irr!N22+Irr!AL22+Irr!BJ22)),IF(AND(Irr!N22&lt;&gt;".",Irr!AL22&lt;&gt;".",Irr!BJ22="."),dir!O22/((1/1000)*(Irr!N22+Irr!AL22)),IF(AND(Irr!N22&lt;&gt;".",Irr!AL22=".",Irr!BJ22&lt;&gt;"."),dir!O22/((1/1000)*(Irr!N22+Irr!BJ22)),IF(AND(Irr!N22=".",Irr!AL22&lt;&gt;".",Irr!BJ22&lt;&gt;"."),dir!O22/((1/1000)*(Irr!AL22+Irr!BJ22)),IF(AND(Irr!N22=".",Irr!AL22=".",Irr!BJ22&lt;&gt;"."),dir!O22/((1/1000)*(Irr!BJ22)),IF(AND(Irr!N22=".",Irr!AL22&lt;&gt;".",Irr!BJ22="."),dir!O22/((1/1000)*(Irr!AL22)),IF(AND(Irr!N22&lt;&gt;".",Irr!AL22=".",Irr!BJ22="."),dir!O22/((1/1000)*(Irr!N22)),IF(AND(Irr!N22=".",Irr!AL22=".",Irr!BJ22="."),dir!O22*1000)))))))),".")</f>
        <v>6.0807166623938969</v>
      </c>
      <c r="P22" s="76">
        <f>IFERROR(IF(AND(Irr!O22&lt;&gt;".",Irr!AM22&lt;&gt;".",Irr!BK22&lt;&gt;"."),dir!P22/((1/1000)*(Irr!O22+Irr!AM22+Irr!BK22)),IF(AND(Irr!O22&lt;&gt;".",Irr!AM22&lt;&gt;".",Irr!BK22="."),dir!P22/((1/1000)*(Irr!O22+Irr!AM22)),IF(AND(Irr!O22&lt;&gt;".",Irr!AM22=".",Irr!BK22&lt;&gt;"."),dir!P22/((1/1000)*(Irr!O22+Irr!BK22)),IF(AND(Irr!O22=".",Irr!AM22&lt;&gt;".",Irr!BK22&lt;&gt;"."),dir!P22/((1/1000)*(Irr!AM22+Irr!BK22)),IF(AND(Irr!O22=".",Irr!AM22=".",Irr!BK22&lt;&gt;"."),dir!P22/((1/1000)*(Irr!BK22)),IF(AND(Irr!O22=".",Irr!AM22&lt;&gt;".",Irr!BK22="."),dir!P22/((1/1000)*(Irr!AM22)),IF(AND(Irr!O22&lt;&gt;".",Irr!AM22=".",Irr!BK22="."),dir!P22/((1/1000)*(Irr!O22)),IF(AND(Irr!O22=".",Irr!AM22=".",Irr!BK22="."),dir!P22*1000)))))))),".")</f>
        <v>6.8812825791412546</v>
      </c>
      <c r="Q22" s="76">
        <f>IFERROR(IF(AND(Irr!P22&lt;&gt;".",Irr!AN22&lt;&gt;".",Irr!BL22&lt;&gt;"."),dir!Q22/((1/1000)*(Irr!P22+Irr!AN22+Irr!BL22)),IF(AND(Irr!P22&lt;&gt;".",Irr!AN22&lt;&gt;".",Irr!BL22="."),dir!Q22/((1/1000)*(Irr!P22+Irr!AN22)),IF(AND(Irr!P22&lt;&gt;".",Irr!AN22=".",Irr!BL22&lt;&gt;"."),dir!Q22/((1/1000)*(Irr!P22+Irr!BL22)),IF(AND(Irr!P22=".",Irr!AN22&lt;&gt;".",Irr!BL22&lt;&gt;"."),dir!Q22/((1/1000)*(Irr!AN22+Irr!BL22)),IF(AND(Irr!P22=".",Irr!AN22=".",Irr!BL22&lt;&gt;"."),dir!Q22/((1/1000)*(Irr!BL22)),IF(AND(Irr!P22=".",Irr!AN22&lt;&gt;".",Irr!BL22="."),dir!Q22/((1/1000)*(Irr!AN22)),IF(AND(Irr!P22&lt;&gt;".",Irr!AN22=".",Irr!BL22="."),dir!Q22/((1/1000)*(Irr!P22)),IF(AND(Irr!P22=".",Irr!AN22=".",Irr!BL22="."),dir!Q22*1000)))))))),".")</f>
        <v>9.2916193937530913</v>
      </c>
      <c r="R22" s="76">
        <f>IFERROR(IF(AND(Irr!Q22&lt;&gt;".",Irr!AO22&lt;&gt;".",Irr!BM22&lt;&gt;"."),dir!R22/((1/1000)*(Irr!Q22+Irr!AO22+Irr!BM22)),IF(AND(Irr!Q22&lt;&gt;".",Irr!AO22&lt;&gt;".",Irr!BM22="."),dir!R22/((1/1000)*(Irr!Q22+Irr!AO22)),IF(AND(Irr!Q22&lt;&gt;".",Irr!AO22=".",Irr!BM22&lt;&gt;"."),dir!R22/((1/1000)*(Irr!Q22+Irr!BM22)),IF(AND(Irr!Q22=".",Irr!AO22&lt;&gt;".",Irr!BM22&lt;&gt;"."),dir!R22/((1/1000)*(Irr!AO22+Irr!BM22)),IF(AND(Irr!Q22=".",Irr!AO22=".",Irr!BM22&lt;&gt;"."),dir!R22/((1/1000)*(Irr!BM22)),IF(AND(Irr!Q22=".",Irr!AO22&lt;&gt;".",Irr!BM22="."),dir!R22/((1/1000)*(Irr!AO22)),IF(AND(Irr!Q22&lt;&gt;".",Irr!AO22=".",Irr!BM22="."),dir!R22/((1/1000)*(Irr!Q22)),IF(AND(Irr!Q22=".",Irr!AO22=".",Irr!BM22="."),dir!R22*1000)))))))),".")</f>
        <v>1.5577114297263992</v>
      </c>
      <c r="S22" s="76">
        <f>IFERROR(IF(AND(Irr!R22&lt;&gt;".",Irr!AP22&lt;&gt;".",Irr!BN22&lt;&gt;"."),dir!S22/((1/1000)*(Irr!R22+Irr!AP22+Irr!BN22)),IF(AND(Irr!R22&lt;&gt;".",Irr!AP22&lt;&gt;".",Irr!BN22="."),dir!S22/((1/1000)*(Irr!R22+Irr!AP22)),IF(AND(Irr!R22&lt;&gt;".",Irr!AP22=".",Irr!BN22&lt;&gt;"."),dir!S22/((1/1000)*(Irr!R22+Irr!BN22)),IF(AND(Irr!R22=".",Irr!AP22&lt;&gt;".",Irr!BN22&lt;&gt;"."),dir!S22/((1/1000)*(Irr!AP22+Irr!BN22)),IF(AND(Irr!R22=".",Irr!AP22=".",Irr!BN22&lt;&gt;"."),dir!S22/((1/1000)*(Irr!BN22)),IF(AND(Irr!R22=".",Irr!AP22&lt;&gt;".",Irr!BN22="."),dir!S22/((1/1000)*(Irr!AP22)),IF(AND(Irr!R22&lt;&gt;".",Irr!AP22=".",Irr!BN22="."),dir!S22/((1/1000)*(Irr!R22)),IF(AND(Irr!R22=".",Irr!AP22=".",Irr!BN22="."),dir!S22*1000)))))))),".")</f>
        <v>3.2345614581500159</v>
      </c>
      <c r="T22" s="76">
        <f>IFERROR(IF(AND(Irr!S22&lt;&gt;".",Irr!AQ22&lt;&gt;".",Irr!BO22&lt;&gt;"."),dir!T22/((1/1000)*(Irr!S22+Irr!AQ22+Irr!BO22)),IF(AND(Irr!S22&lt;&gt;".",Irr!AQ22&lt;&gt;".",Irr!BO22="."),dir!T22/((1/1000)*(Irr!S22+Irr!AQ22)),IF(AND(Irr!S22&lt;&gt;".",Irr!AQ22=".",Irr!BO22&lt;&gt;"."),dir!T22/((1/1000)*(Irr!S22+Irr!BO22)),IF(AND(Irr!S22=".",Irr!AQ22&lt;&gt;".",Irr!BO22&lt;&gt;"."),dir!T22/((1/1000)*(Irr!AQ22+Irr!BO22)),IF(AND(Irr!S22=".",Irr!AQ22=".",Irr!BO22&lt;&gt;"."),dir!T22/((1/1000)*(Irr!BO22)),IF(AND(Irr!S22=".",Irr!AQ22&lt;&gt;".",Irr!BO22="."),dir!T22/((1/1000)*(Irr!AQ22)),IF(AND(Irr!S22&lt;&gt;".",Irr!AQ22=".",Irr!BO22="."),dir!T22/((1/1000)*(Irr!S22)),IF(AND(Irr!S22=".",Irr!AQ22=".",Irr!BO22="."),dir!T22*1000)))))))),".")</f>
        <v>4.9794614673904229</v>
      </c>
      <c r="U22" s="76">
        <f>IFERROR(IF(AND(Irr!T22&lt;&gt;".",Irr!AR22&lt;&gt;".",Irr!BP22&lt;&gt;"."),dir!U22/((1/1000)*(Irr!T22+Irr!AR22+Irr!BP22)),IF(AND(Irr!T22&lt;&gt;".",Irr!AR22&lt;&gt;".",Irr!BP22="."),dir!U22/((1/1000)*(Irr!T22+Irr!AR22)),IF(AND(Irr!T22&lt;&gt;".",Irr!AR22=".",Irr!BP22&lt;&gt;"."),dir!U22/((1/1000)*(Irr!T22+Irr!BP22)),IF(AND(Irr!T22=".",Irr!AR22&lt;&gt;".",Irr!BP22&lt;&gt;"."),dir!U22/((1/1000)*(Irr!AR22+Irr!BP22)),IF(AND(Irr!T22=".",Irr!AR22=".",Irr!BP22&lt;&gt;"."),dir!U22/((1/1000)*(Irr!BP22)),IF(AND(Irr!T22=".",Irr!AR22&lt;&gt;".",Irr!BP22="."),dir!U22/((1/1000)*(Irr!AR22)),IF(AND(Irr!T22&lt;&gt;".",Irr!AR22=".",Irr!BP22="."),dir!U22/((1/1000)*(Irr!T22)),IF(AND(Irr!T22=".",Irr!AR22=".",Irr!BP22="."),dir!U22*1000)))))))),".")</f>
        <v>1.6056730675093285</v>
      </c>
      <c r="V22" s="76">
        <f>IFERROR(IF(AND(Irr!U22&lt;&gt;".",Irr!AS22&lt;&gt;".",Irr!BQ22&lt;&gt;"."),dir!V22/((1/1000)*(Irr!U22+Irr!AS22+Irr!BQ22)),IF(AND(Irr!U22&lt;&gt;".",Irr!AS22&lt;&gt;".",Irr!BQ22="."),dir!V22/((1/1000)*(Irr!U22+Irr!AS22)),IF(AND(Irr!U22&lt;&gt;".",Irr!AS22=".",Irr!BQ22&lt;&gt;"."),dir!V22/((1/1000)*(Irr!U22+Irr!BQ22)),IF(AND(Irr!U22=".",Irr!AS22&lt;&gt;".",Irr!BQ22&lt;&gt;"."),dir!V22/((1/1000)*(Irr!AS22+Irr!BQ22)),IF(AND(Irr!U22=".",Irr!AS22=".",Irr!BQ22&lt;&gt;"."),dir!V22/((1/1000)*(Irr!BQ22)),IF(AND(Irr!U22=".",Irr!AS22&lt;&gt;".",Irr!BQ22="."),dir!V22/((1/1000)*(Irr!AS22)),IF(AND(Irr!U22&lt;&gt;".",Irr!AS22=".",Irr!BQ22="."),dir!V22/((1/1000)*(Irr!U22)),IF(AND(Irr!U22=".",Irr!AS22=".",Irr!BQ22="."),dir!V22*1000)))))))),".")</f>
        <v>2.7921953939806534</v>
      </c>
      <c r="W22" s="76">
        <f>IFERROR(IF(AND(Irr!V22&lt;&gt;".",Irr!AT22&lt;&gt;".",Irr!BR22&lt;&gt;"."),dir!W22/((1/1000)*(Irr!V22+Irr!AT22+Irr!BR22)),IF(AND(Irr!V22&lt;&gt;".",Irr!AT22&lt;&gt;".",Irr!BR22="."),dir!W22/((1/1000)*(Irr!V22+Irr!AT22)),IF(AND(Irr!V22&lt;&gt;".",Irr!AT22=".",Irr!BR22&lt;&gt;"."),dir!W22/((1/1000)*(Irr!V22+Irr!BR22)),IF(AND(Irr!V22=".",Irr!AT22&lt;&gt;".",Irr!BR22&lt;&gt;"."),dir!W22/((1/1000)*(Irr!AT22+Irr!BR22)),IF(AND(Irr!V22=".",Irr!AT22=".",Irr!BR22&lt;&gt;"."),dir!W22/((1/1000)*(Irr!BR22)),IF(AND(Irr!V22=".",Irr!AT22&lt;&gt;".",Irr!BR22="."),dir!W22/((1/1000)*(Irr!AT22)),IF(AND(Irr!V22&lt;&gt;".",Irr!AT22=".",Irr!BR22="."),dir!W22/((1/1000)*(Irr!V22)),IF(AND(Irr!V22=".",Irr!AT22=".",Irr!BR22="."),dir!W22*1000)))))))),".")</f>
        <v>3.4672543281406045</v>
      </c>
      <c r="X22" s="76">
        <f>IFERROR(IF(AND(Irr!W22&lt;&gt;".",Irr!AU22&lt;&gt;".",Irr!BS22&lt;&gt;"."),dir!X22/((1/1000)*(Irr!W22+Irr!AU22+Irr!BS22)),IF(AND(Irr!W22&lt;&gt;".",Irr!AU22&lt;&gt;".",Irr!BS22="."),dir!X22/((1/1000)*(Irr!W22+Irr!AU22)),IF(AND(Irr!W22&lt;&gt;".",Irr!AU22=".",Irr!BS22&lt;&gt;"."),dir!X22/((1/1000)*(Irr!W22+Irr!BS22)),IF(AND(Irr!W22=".",Irr!AU22&lt;&gt;".",Irr!BS22&lt;&gt;"."),dir!X22/((1/1000)*(Irr!AU22+Irr!BS22)),IF(AND(Irr!W22=".",Irr!AU22=".",Irr!BS22&lt;&gt;"."),dir!X22/((1/1000)*(Irr!BS22)),IF(AND(Irr!W22=".",Irr!AU22&lt;&gt;".",Irr!BS22="."),dir!X22/((1/1000)*(Irr!AU22)),IF(AND(Irr!W22&lt;&gt;".",Irr!AU22=".",Irr!BS22="."),dir!X22/((1/1000)*(Irr!W22)),IF(AND(Irr!W22=".",Irr!AU22=".",Irr!BS22="."),dir!X22*1000)))))))),".")</f>
        <v>4.8332530271476815</v>
      </c>
      <c r="Y22" s="76">
        <f>IFERROR(IF(AND(Irr!X22&lt;&gt;".",Irr!AV22&lt;&gt;".",Irr!BT22&lt;&gt;"."),dir!Y22/((1/1000)*(Irr!X22+Irr!AV22+Irr!BT22)),IF(AND(Irr!X22&lt;&gt;".",Irr!AV22&lt;&gt;".",Irr!BT22="."),dir!Y22/((1/1000)*(Irr!X22+Irr!AV22)),IF(AND(Irr!X22&lt;&gt;".",Irr!AV22=".",Irr!BT22&lt;&gt;"."),dir!Y22/((1/1000)*(Irr!X22+Irr!BT22)),IF(AND(Irr!X22=".",Irr!AV22&lt;&gt;".",Irr!BT22&lt;&gt;"."),dir!Y22/((1/1000)*(Irr!AV22+Irr!BT22)),IF(AND(Irr!X22=".",Irr!AV22=".",Irr!BT22&lt;&gt;"."),dir!Y22/((1/1000)*(Irr!BT22)),IF(AND(Irr!X22=".",Irr!AV22&lt;&gt;".",Irr!BT22="."),dir!Y22/((1/1000)*(Irr!AV22)),IF(AND(Irr!X22&lt;&gt;".",Irr!AV22=".",Irr!BT22="."),dir!Y22/((1/1000)*(Irr!X22)),IF(AND(Irr!X22=".",Irr!AV22=".",Irr!BT22="."),dir!Y22*1000)))))))),".")</f>
        <v>2.4214146376182617</v>
      </c>
      <c r="Z22" s="76">
        <f>IFERROR(IF(AND(Irr!Y22&lt;&gt;".",Irr!AW22&lt;&gt;".",Irr!BU22&lt;&gt;"."),dir!Z22/((1/1000)*(Irr!Y22+Irr!AW22+Irr!BU22)),IF(AND(Irr!Y22&lt;&gt;".",Irr!AW22&lt;&gt;".",Irr!BU22="."),dir!Z22/((1/1000)*(Irr!Y22+Irr!AW22)),IF(AND(Irr!Y22&lt;&gt;".",Irr!AW22=".",Irr!BU22&lt;&gt;"."),dir!Z22/((1/1000)*(Irr!Y22+Irr!BU22)),IF(AND(Irr!Y22=".",Irr!AW22&lt;&gt;".",Irr!BU22&lt;&gt;"."),dir!Z22/((1/1000)*(Irr!AW22+Irr!BU22)),IF(AND(Irr!Y22=".",Irr!AW22=".",Irr!BU22&lt;&gt;"."),dir!Z22/((1/1000)*(Irr!BU22)),IF(AND(Irr!Y22=".",Irr!AW22&lt;&gt;".",Irr!BU22="."),dir!Z22/((1/1000)*(Irr!AW22)),IF(AND(Irr!Y22&lt;&gt;".",Irr!AW22=".",Irr!BU22="."),dir!Z22/((1/1000)*(Irr!Y22)),IF(AND(Irr!Y22=".",Irr!AW22=".",Irr!BU22="."),dir!Z22*1000)))))))),".")</f>
        <v>0.90150308413674629</v>
      </c>
      <c r="AA22" s="76">
        <f>IFERROR(IF(AND(Irr!Z22&lt;&gt;".",Irr!AX22&lt;&gt;".",Irr!BV22&lt;&gt;"."),dir!AA22/((1/1000)*(Irr!Z22+Irr!AX22+Irr!BV22)),IF(AND(Irr!Z22&lt;&gt;".",Irr!AX22&lt;&gt;".",Irr!BV22="."),dir!AA22/((1/1000)*(Irr!Z22+Irr!AX22)),IF(AND(Irr!Z22&lt;&gt;".",Irr!AX22=".",Irr!BV22&lt;&gt;"."),dir!AA22/((1/1000)*(Irr!Z22+Irr!BV22)),IF(AND(Irr!Z22=".",Irr!AX22&lt;&gt;".",Irr!BV22&lt;&gt;"."),dir!AA22/((1/1000)*(Irr!AX22+Irr!BV22)),IF(AND(Irr!Z22=".",Irr!AX22=".",Irr!BV22&lt;&gt;"."),dir!AA22/((1/1000)*(Irr!BV22)),IF(AND(Irr!Z22=".",Irr!AX22&lt;&gt;".",Irr!BV22="."),dir!AA22/((1/1000)*(Irr!AX22)),IF(AND(Irr!Z22&lt;&gt;".",Irr!AX22=".",Irr!BV22="."),dir!AA22/((1/1000)*(Irr!Z22)),IF(AND(Irr!Z22=".",Irr!AX22=".",Irr!BV22="."),dir!AA22*1000)))))))),".")</f>
        <v>0.66748364805120408</v>
      </c>
      <c r="AB22" s="76">
        <f t="shared" ref="AB22:AB23" si="19">IFERROR(1/SUM(1/AC22,1/AD22,1/AE22,1/AF22,1/AG22,1/AH22,1/AI22,1/AJ22,1/AK22,1/AL22,1/AM22,1/AN22,1/AO22,1/AP22,1/AQ22,1/AR22,1/AS22,1/AT22,1/AU22,1/AV22,1/AW22,1/AX22),".")</f>
        <v>7.4527532478402769E-2</v>
      </c>
      <c r="AC22" s="76">
        <f>IFERROR(IF(AND(Irr!C22&lt;&gt;".",Irr!AA22&lt;&gt;".",Irr!AY22&lt;&gt;"."),dir!AC22/((1/1000)*(Irr!C22+Irr!AA22+Irr!AY22)),IF(AND(Irr!C22&lt;&gt;".",Irr!AA22&lt;&gt;".",Irr!AY22="."),dir!AC22/((1/1000)*(Irr!C22+Irr!AA22)),IF(AND(Irr!C22&lt;&gt;".",Irr!AA22=".",Irr!AY22&lt;&gt;"."),dir!AC22/((1/1000)*(Irr!C22+Irr!AY22)),IF(AND(Irr!C22=".",Irr!AA22&lt;&gt;".",Irr!AY22&lt;&gt;"."),dir!AC22/((1/1000)*(Irr!AA22+Irr!AY22)),IF(AND(Irr!C22=".",Irr!AA22=".",Irr!AY22&lt;&gt;"."),dir!AC22/((1/1000)*(Irr!AY22)),IF(AND(Irr!C22=".",Irr!AA22&lt;&gt;".",Irr!AY22="."),dir!AC22/((1/1000)*(Irr!AA22)),IF(AND(Irr!C22&lt;&gt;".",Irr!AA22=".",Irr!AY22="."),dir!AC22/((1/1000)*(Irr!C22)),IF(AND(Irr!C22=".",Irr!AA22=".",Irr!AY22="."),dir!AC22*1000)))))))),".")</f>
        <v>1.3754897487353257</v>
      </c>
      <c r="AD22" s="76">
        <f>IFERROR(IF(AND(Irr!D22&lt;&gt;".",Irr!AB22&lt;&gt;".",Irr!AZ22&lt;&gt;"."),dir!AD22/((1/1000)*(Irr!D22+Irr!AB22+Irr!AZ22)),IF(AND(Irr!D22&lt;&gt;".",Irr!AB22&lt;&gt;".",Irr!AZ22="."),dir!AD22/((1/1000)*(Irr!D22+Irr!AB22)),IF(AND(Irr!D22&lt;&gt;".",Irr!AB22=".",Irr!AZ22&lt;&gt;"."),dir!AD22/((1/1000)*(Irr!D22+Irr!AZ22)),IF(AND(Irr!D22=".",Irr!AB22&lt;&gt;".",Irr!AZ22&lt;&gt;"."),dir!AD22/((1/1000)*(Irr!AB22+Irr!AZ22)),IF(AND(Irr!D22=".",Irr!AB22=".",Irr!AZ22&lt;&gt;"."),dir!AD22/((1/1000)*(Irr!AZ22)),IF(AND(Irr!D22=".",Irr!AB22&lt;&gt;".",Irr!AZ22="."),dir!AD22/((1/1000)*(Irr!AB22)),IF(AND(Irr!D22&lt;&gt;".",Irr!AB22=".",Irr!AZ22="."),dir!AD22/((1/1000)*(Irr!D22)),IF(AND(Irr!D22=".",Irr!AB22=".",Irr!AZ22="."),dir!AD22*1000)))))))),".")</f>
        <v>1.9155083469647896</v>
      </c>
      <c r="AE22" s="76">
        <f>IFERROR(IF(AND(Irr!E22&lt;&gt;".",Irr!AC22&lt;&gt;".",Irr!BA22&lt;&gt;"."),dir!AE22/((1/1000)*(Irr!E22+Irr!AC22+Irr!BA22)),IF(AND(Irr!E22&lt;&gt;".",Irr!AC22&lt;&gt;".",Irr!BA22="."),dir!AE22/((1/1000)*(Irr!E22+Irr!AC22)),IF(AND(Irr!E22&lt;&gt;".",Irr!AC22=".",Irr!BA22&lt;&gt;"."),dir!AE22/((1/1000)*(Irr!E22+Irr!BA22)),IF(AND(Irr!E22=".",Irr!AC22&lt;&gt;".",Irr!BA22&lt;&gt;"."),dir!AE22/((1/1000)*(Irr!AC22+Irr!BA22)),IF(AND(Irr!E22=".",Irr!AC22=".",Irr!BA22&lt;&gt;"."),dir!AE22/((1/1000)*(Irr!BA22)),IF(AND(Irr!E22=".",Irr!AC22&lt;&gt;".",Irr!BA22="."),dir!AE22/((1/1000)*(Irr!AC22)),IF(AND(Irr!E22&lt;&gt;".",Irr!AC22=".",Irr!BA22="."),dir!AE22/((1/1000)*(Irr!E22)),IF(AND(Irr!E22=".",Irr!AC22=".",Irr!BA22="."),dir!AE22*1000)))))))),".")</f>
        <v>2.5729289778070363</v>
      </c>
      <c r="AF22" s="76">
        <f>IFERROR(IF(AND(Irr!F22&lt;&gt;".",Irr!AD22&lt;&gt;".",Irr!BB22&lt;&gt;"."),dir!AF22/((1/1000)*(Irr!F22+Irr!AD22+Irr!BB22)),IF(AND(Irr!F22&lt;&gt;".",Irr!AD22&lt;&gt;".",Irr!BB22="."),dir!AF22/((1/1000)*(Irr!F22+Irr!AD22)),IF(AND(Irr!F22&lt;&gt;".",Irr!AD22=".",Irr!BB22&lt;&gt;"."),dir!AF22/((1/1000)*(Irr!F22+Irr!BB22)),IF(AND(Irr!F22=".",Irr!AD22&lt;&gt;".",Irr!BB22&lt;&gt;"."),dir!AF22/((1/1000)*(Irr!AD22+Irr!BB22)),IF(AND(Irr!F22=".",Irr!AD22=".",Irr!BB22&lt;&gt;"."),dir!AF22/((1/1000)*(Irr!BB22)),IF(AND(Irr!F22=".",Irr!AD22&lt;&gt;".",Irr!BB22="."),dir!AF22/((1/1000)*(Irr!AD22)),IF(AND(Irr!F22&lt;&gt;".",Irr!AD22=".",Irr!BB22="."),dir!AF22/((1/1000)*(Irr!F22)),IF(AND(Irr!F22=".",Irr!AD22=".",Irr!BB22="."),dir!AF22*1000)))))))),".")</f>
        <v>3.4484448862607038</v>
      </c>
      <c r="AG22" s="76">
        <f>IFERROR(IF(AND(Irr!G22&lt;&gt;".",Irr!AE22&lt;&gt;".",Irr!BC22&lt;&gt;"."),dir!AG22/((1/1000)*(Irr!G22+Irr!AE22+Irr!BC22)),IF(AND(Irr!G22&lt;&gt;".",Irr!AE22&lt;&gt;".",Irr!BC22="."),dir!AG22/((1/1000)*(Irr!G22+Irr!AE22)),IF(AND(Irr!G22&lt;&gt;".",Irr!AE22=".",Irr!BC22&lt;&gt;"."),dir!AG22/((1/1000)*(Irr!G22+Irr!BC22)),IF(AND(Irr!G22=".",Irr!AE22&lt;&gt;".",Irr!BC22&lt;&gt;"."),dir!AG22/((1/1000)*(Irr!AE22+Irr!BC22)),IF(AND(Irr!G22=".",Irr!AE22=".",Irr!BC22&lt;&gt;"."),dir!AG22/((1/1000)*(Irr!BC22)),IF(AND(Irr!G22=".",Irr!AE22&lt;&gt;".",Irr!BC22="."),dir!AG22/((1/1000)*(Irr!AE22)),IF(AND(Irr!G22&lt;&gt;".",Irr!AE22=".",Irr!BC22="."),dir!AG22/((1/1000)*(Irr!G22)),IF(AND(Irr!G22=".",Irr!AE22=".",Irr!BC22="."),dir!AG22*1000)))))))),".")</f>
        <v>3.3741533799088028</v>
      </c>
      <c r="AH22" s="76">
        <f>IFERROR(IF(AND(Irr!H22&lt;&gt;".",Irr!AF22&lt;&gt;".",Irr!BD22&lt;&gt;"."),dir!AH22/((1/1000)*(Irr!H22+Irr!AF22+Irr!BD22)),IF(AND(Irr!H22&lt;&gt;".",Irr!AF22&lt;&gt;".",Irr!BD22="."),dir!AH22/((1/1000)*(Irr!H22+Irr!AF22)),IF(AND(Irr!H22&lt;&gt;".",Irr!AF22=".",Irr!BD22&lt;&gt;"."),dir!AH22/((1/1000)*(Irr!H22+Irr!BD22)),IF(AND(Irr!H22=".",Irr!AF22&lt;&gt;".",Irr!BD22&lt;&gt;"."),dir!AH22/((1/1000)*(Irr!AF22+Irr!BD22)),IF(AND(Irr!H22=".",Irr!AF22=".",Irr!BD22&lt;&gt;"."),dir!AH22/((1/1000)*(Irr!BD22)),IF(AND(Irr!H22=".",Irr!AF22&lt;&gt;".",Irr!BD22="."),dir!AH22/((1/1000)*(Irr!AF22)),IF(AND(Irr!H22&lt;&gt;".",Irr!AF22=".",Irr!BD22="."),dir!AH22/((1/1000)*(Irr!H22)),IF(AND(Irr!H22=".",Irr!AF22=".",Irr!BD22="."),dir!AH22*1000)))))))),".")</f>
        <v>0.90420258597327663</v>
      </c>
      <c r="AI22" s="76">
        <f>IFERROR(IF(AND(Irr!I22&lt;&gt;".",Irr!AG22&lt;&gt;".",Irr!BE22&lt;&gt;"."),dir!AI22/((1/1000)*(Irr!I22+Irr!AG22+Irr!BE22)),IF(AND(Irr!I22&lt;&gt;".",Irr!AG22&lt;&gt;".",Irr!BE22="."),dir!AI22/((1/1000)*(Irr!I22+Irr!AG22)),IF(AND(Irr!I22&lt;&gt;".",Irr!AG22=".",Irr!BE22&lt;&gt;"."),dir!AI22/((1/1000)*(Irr!I22+Irr!BE22)),IF(AND(Irr!I22=".",Irr!AG22&lt;&gt;".",Irr!BE22&lt;&gt;"."),dir!AI22/((1/1000)*(Irr!AG22+Irr!BE22)),IF(AND(Irr!I22=".",Irr!AG22=".",Irr!BE22&lt;&gt;"."),dir!AI22/((1/1000)*(Irr!BE22)),IF(AND(Irr!I22=".",Irr!AG22&lt;&gt;".",Irr!BE22="."),dir!AI22/((1/1000)*(Irr!AG22)),IF(AND(Irr!I22&lt;&gt;".",Irr!AG22=".",Irr!BE22="."),dir!AI22/((1/1000)*(Irr!I22)),IF(AND(Irr!I22=".",Irr!AG22=".",Irr!BE22="."),dir!AI22*1000)))))))),".")</f>
        <v>3.328002820092685</v>
      </c>
      <c r="AJ22" s="76">
        <f>IFERROR(IF(AND(Irr!J22&lt;&gt;".",Irr!AH22&lt;&gt;".",Irr!BF22&lt;&gt;"."),dir!AJ22/((1/1000)*(Irr!J22+Irr!AH22+Irr!BF22)),IF(AND(Irr!J22&lt;&gt;".",Irr!AH22&lt;&gt;".",Irr!BF22="."),dir!AJ22/((1/1000)*(Irr!J22+Irr!AH22)),IF(AND(Irr!J22&lt;&gt;".",Irr!AH22=".",Irr!BF22&lt;&gt;"."),dir!AJ22/((1/1000)*(Irr!J22+Irr!BF22)),IF(AND(Irr!J22=".",Irr!AH22&lt;&gt;".",Irr!BF22&lt;&gt;"."),dir!AJ22/((1/1000)*(Irr!AH22+Irr!BF22)),IF(AND(Irr!J22=".",Irr!AH22=".",Irr!BF22&lt;&gt;"."),dir!AJ22/((1/1000)*(Irr!BF22)),IF(AND(Irr!J22=".",Irr!AH22&lt;&gt;".",Irr!BF22="."),dir!AJ22/((1/1000)*(Irr!AH22)),IF(AND(Irr!J22&lt;&gt;".",Irr!AH22=".",Irr!BF22="."),dir!AJ22/((1/1000)*(Irr!J22)),IF(AND(Irr!J22=".",Irr!AH22=".",Irr!BF22="."),dir!AJ22*1000)))))))),".")</f>
        <v>0.39752082391196419</v>
      </c>
      <c r="AK22" s="76">
        <f>IFERROR(IF(AND(Irr!K22&lt;&gt;".",Irr!AI22&lt;&gt;".",Irr!BG22&lt;&gt;"."),dir!AK22/((1/1000)*(Irr!K22+Irr!AI22+Irr!BG22)),IF(AND(Irr!K22&lt;&gt;".",Irr!AI22&lt;&gt;".",Irr!BG22="."),dir!AK22/((1/1000)*(Irr!K22+Irr!AI22)),IF(AND(Irr!K22&lt;&gt;".",Irr!AI22=".",Irr!BG22&lt;&gt;"."),dir!AK22/((1/1000)*(Irr!K22+Irr!BG22)),IF(AND(Irr!K22=".",Irr!AI22&lt;&gt;".",Irr!BG22&lt;&gt;"."),dir!AK22/((1/1000)*(Irr!AI22+Irr!BG22)),IF(AND(Irr!K22=".",Irr!AI22=".",Irr!BG22&lt;&gt;"."),dir!AK22/((1/1000)*(Irr!BG22)),IF(AND(Irr!K22=".",Irr!AI22&lt;&gt;".",Irr!BG22="."),dir!AK22/((1/1000)*(Irr!AI22)),IF(AND(Irr!K22&lt;&gt;".",Irr!AI22=".",Irr!BG22="."),dir!AK22/((1/1000)*(Irr!K22)),IF(AND(Irr!K22=".",Irr!AI22=".",Irr!BG22="."),dir!AK22*1000)))))))),".")</f>
        <v>1.6701299907169309</v>
      </c>
      <c r="AL22" s="76">
        <f>IFERROR(IF(AND(Irr!L22&lt;&gt;".",Irr!AJ22&lt;&gt;".",Irr!BH22&lt;&gt;"."),dir!AL22/((1/1000)*(Irr!L22+Irr!AJ22+Irr!BH22)),IF(AND(Irr!L22&lt;&gt;".",Irr!AJ22&lt;&gt;".",Irr!BH22="."),dir!AL22/((1/1000)*(Irr!L22+Irr!AJ22)),IF(AND(Irr!L22&lt;&gt;".",Irr!AJ22=".",Irr!BH22&lt;&gt;"."),dir!AL22/((1/1000)*(Irr!L22+Irr!BH22)),IF(AND(Irr!L22=".",Irr!AJ22&lt;&gt;".",Irr!BH22&lt;&gt;"."),dir!AL22/((1/1000)*(Irr!AJ22+Irr!BH22)),IF(AND(Irr!L22=".",Irr!AJ22=".",Irr!BH22&lt;&gt;"."),dir!AL22/((1/1000)*(Irr!BH22)),IF(AND(Irr!L22=".",Irr!AJ22&lt;&gt;".",Irr!BH22="."),dir!AL22/((1/1000)*(Irr!AJ22)),IF(AND(Irr!L22&lt;&gt;".",Irr!AJ22=".",Irr!BH22="."),dir!AL22/((1/1000)*(Irr!L22)),IF(AND(Irr!L22=".",Irr!AJ22=".",Irr!BH22="."),dir!AL22*1000)))))))),".")</f>
        <v>2.2238774807720905</v>
      </c>
      <c r="AM22" s="76">
        <f>IFERROR(IF(AND(Irr!M22&lt;&gt;".",Irr!AK22&lt;&gt;".",Irr!BI22&lt;&gt;"."),dir!AM22/((1/1000)*(Irr!M22+Irr!AK22+Irr!BI22)),IF(AND(Irr!M22&lt;&gt;".",Irr!AK22&lt;&gt;".",Irr!BI22="."),dir!AM22/((1/1000)*(Irr!M22+Irr!AK22)),IF(AND(Irr!M22&lt;&gt;".",Irr!AK22=".",Irr!BI22&lt;&gt;"."),dir!AM22/((1/1000)*(Irr!M22+Irr!BI22)),IF(AND(Irr!M22=".",Irr!AK22&lt;&gt;".",Irr!BI22&lt;&gt;"."),dir!AM22/((1/1000)*(Irr!AK22+Irr!BI22)),IF(AND(Irr!M22=".",Irr!AK22=".",Irr!BI22&lt;&gt;"."),dir!AM22/((1/1000)*(Irr!BI22)),IF(AND(Irr!M22=".",Irr!AK22&lt;&gt;".",Irr!BI22="."),dir!AM22/((1/1000)*(Irr!AK22)),IF(AND(Irr!M22&lt;&gt;".",Irr!AK22=".",Irr!BI22="."),dir!AM22/((1/1000)*(Irr!M22)),IF(AND(Irr!M22=".",Irr!AK22=".",Irr!BI22="."),dir!AM22*1000)))))))),".")</f>
        <v>1.9397154139783319</v>
      </c>
      <c r="AN22" s="76">
        <f>IFERROR(IF(AND(Irr!N22&lt;&gt;".",Irr!AL22&lt;&gt;".",Irr!BJ22&lt;&gt;"."),dir!AN22/((1/1000)*(Irr!N22+Irr!AL22+Irr!BJ22)),IF(AND(Irr!N22&lt;&gt;".",Irr!AL22&lt;&gt;".",Irr!BJ22="."),dir!AN22/((1/1000)*(Irr!N22+Irr!AL22)),IF(AND(Irr!N22&lt;&gt;".",Irr!AL22=".",Irr!BJ22&lt;&gt;"."),dir!AN22/((1/1000)*(Irr!N22+Irr!BJ22)),IF(AND(Irr!N22=".",Irr!AL22&lt;&gt;".",Irr!BJ22&lt;&gt;"."),dir!AN22/((1/1000)*(Irr!AL22+Irr!BJ22)),IF(AND(Irr!N22=".",Irr!AL22=".",Irr!BJ22&lt;&gt;"."),dir!AN22/((1/1000)*(Irr!BJ22)),IF(AND(Irr!N22=".",Irr!AL22&lt;&gt;".",Irr!BJ22="."),dir!AN22/((1/1000)*(Irr!AL22)),IF(AND(Irr!N22&lt;&gt;".",Irr!AL22=".",Irr!BJ22="."),dir!AN22/((1/1000)*(Irr!N22)),IF(AND(Irr!N22=".",Irr!AL22=".",Irr!BJ22="."),dir!AN22*1000)))))))),".")</f>
        <v>3.6590745780269618</v>
      </c>
      <c r="AO22" s="76">
        <f>IFERROR(IF(AND(Irr!O22&lt;&gt;".",Irr!AM22&lt;&gt;".",Irr!BK22&lt;&gt;"."),dir!AO22/((1/1000)*(Irr!O22+Irr!AM22+Irr!BK22)),IF(AND(Irr!O22&lt;&gt;".",Irr!AM22&lt;&gt;".",Irr!BK22="."),dir!AO22/((1/1000)*(Irr!O22+Irr!AM22)),IF(AND(Irr!O22&lt;&gt;".",Irr!AM22=".",Irr!BK22&lt;&gt;"."),dir!AO22/((1/1000)*(Irr!O22+Irr!BK22)),IF(AND(Irr!O22=".",Irr!AM22&lt;&gt;".",Irr!BK22&lt;&gt;"."),dir!AO22/((1/1000)*(Irr!AM22+Irr!BK22)),IF(AND(Irr!O22=".",Irr!AM22=".",Irr!BK22&lt;&gt;"."),dir!AO22/((1/1000)*(Irr!BK22)),IF(AND(Irr!O22=".",Irr!AM22&lt;&gt;".",Irr!BK22="."),dir!AO22/((1/1000)*(Irr!AM22)),IF(AND(Irr!O22&lt;&gt;".",Irr!AM22=".",Irr!BK22="."),dir!AO22/((1/1000)*(Irr!O22)),IF(AND(Irr!O22=".",Irr!AM22=".",Irr!BK22="."),dir!AO22*1000)))))))),".")</f>
        <v>4.1329297787814179</v>
      </c>
      <c r="AP22" s="76">
        <f>IFERROR(IF(AND(Irr!P22&lt;&gt;".",Irr!AN22&lt;&gt;".",Irr!BL22&lt;&gt;"."),dir!AP22/((1/1000)*(Irr!P22+Irr!AN22+Irr!BL22)),IF(AND(Irr!P22&lt;&gt;".",Irr!AN22&lt;&gt;".",Irr!BL22="."),dir!AP22/((1/1000)*(Irr!P22+Irr!AN22)),IF(AND(Irr!P22&lt;&gt;".",Irr!AN22=".",Irr!BL22&lt;&gt;"."),dir!AP22/((1/1000)*(Irr!P22+Irr!BL22)),IF(AND(Irr!P22=".",Irr!AN22&lt;&gt;".",Irr!BL22&lt;&gt;"."),dir!AP22/((1/1000)*(Irr!AN22+Irr!BL22)),IF(AND(Irr!P22=".",Irr!AN22=".",Irr!BL22&lt;&gt;"."),dir!AP22/((1/1000)*(Irr!BL22)),IF(AND(Irr!P22=".",Irr!AN22&lt;&gt;".",Irr!BL22="."),dir!AP22/((1/1000)*(Irr!AN22)),IF(AND(Irr!P22&lt;&gt;".",Irr!AN22=".",Irr!BL22="."),dir!AP22/((1/1000)*(Irr!P22)),IF(AND(Irr!P22=".",Irr!AN22=".",Irr!BL22="."),dir!AP22*1000)))))))),".")</f>
        <v>4.5191057960526404</v>
      </c>
      <c r="AQ22" s="76">
        <f>IFERROR(IF(AND(Irr!Q22&lt;&gt;".",Irr!AO22&lt;&gt;".",Irr!BM22&lt;&gt;"."),dir!AQ22/((1/1000)*(Irr!Q22+Irr!AO22+Irr!BM22)),IF(AND(Irr!Q22&lt;&gt;".",Irr!AO22&lt;&gt;".",Irr!BM22="."),dir!AQ22/((1/1000)*(Irr!Q22+Irr!AO22)),IF(AND(Irr!Q22&lt;&gt;".",Irr!AO22=".",Irr!BM22&lt;&gt;"."),dir!AQ22/((1/1000)*(Irr!Q22+Irr!BM22)),IF(AND(Irr!Q22=".",Irr!AO22&lt;&gt;".",Irr!BM22&lt;&gt;"."),dir!AQ22/((1/1000)*(Irr!AO22+Irr!BM22)),IF(AND(Irr!Q22=".",Irr!AO22=".",Irr!BM22&lt;&gt;"."),dir!AQ22/((1/1000)*(Irr!BM22)),IF(AND(Irr!Q22=".",Irr!AO22&lt;&gt;".",Irr!BM22="."),dir!AQ22/((1/1000)*(Irr!AO22)),IF(AND(Irr!Q22&lt;&gt;".",Irr!AO22=".",Irr!BM22="."),dir!AQ22/((1/1000)*(Irr!Q22)),IF(AND(Irr!Q22=".",Irr!AO22=".",Irr!BM22="."),dir!AQ22*1000)))))))),".")</f>
        <v>1.132770547160834</v>
      </c>
      <c r="AR22" s="76">
        <f>IFERROR(IF(AND(Irr!R22&lt;&gt;".",Irr!AP22&lt;&gt;".",Irr!BN22&lt;&gt;"."),dir!AR22/((1/1000)*(Irr!R22+Irr!AP22+Irr!BN22)),IF(AND(Irr!R22&lt;&gt;".",Irr!AP22&lt;&gt;".",Irr!BN22="."),dir!AR22/((1/1000)*(Irr!R22+Irr!AP22)),IF(AND(Irr!R22&lt;&gt;".",Irr!AP22=".",Irr!BN22&lt;&gt;"."),dir!AR22/((1/1000)*(Irr!R22+Irr!BN22)),IF(AND(Irr!R22=".",Irr!AP22&lt;&gt;".",Irr!BN22&lt;&gt;"."),dir!AR22/((1/1000)*(Irr!AP22+Irr!BN22)),IF(AND(Irr!R22=".",Irr!AP22=".",Irr!BN22&lt;&gt;"."),dir!AR22/((1/1000)*(Irr!BN22)),IF(AND(Irr!R22=".",Irr!AP22&lt;&gt;".",Irr!BN22="."),dir!AR22/((1/1000)*(Irr!AP22)),IF(AND(Irr!R22&lt;&gt;".",Irr!AP22=".",Irr!BN22="."),dir!AR22/((1/1000)*(Irr!R22)),IF(AND(Irr!R22=".",Irr!AP22=".",Irr!BN22="."),dir!AR22*1000)))))))),".")</f>
        <v>1.8622683303087879</v>
      </c>
      <c r="AS22" s="76">
        <f>IFERROR(IF(AND(Irr!S22&lt;&gt;".",Irr!AQ22&lt;&gt;".",Irr!BO22&lt;&gt;"."),dir!AS22/((1/1000)*(Irr!S22+Irr!AQ22+Irr!BO22)),IF(AND(Irr!S22&lt;&gt;".",Irr!AQ22&lt;&gt;".",Irr!BO22="."),dir!AS22/((1/1000)*(Irr!S22+Irr!AQ22)),IF(AND(Irr!S22&lt;&gt;".",Irr!AQ22=".",Irr!BO22&lt;&gt;"."),dir!AS22/((1/1000)*(Irr!S22+Irr!BO22)),IF(AND(Irr!S22=".",Irr!AQ22&lt;&gt;".",Irr!BO22&lt;&gt;"."),dir!AS22/((1/1000)*(Irr!AQ22+Irr!BO22)),IF(AND(Irr!S22=".",Irr!AQ22=".",Irr!BO22&lt;&gt;"."),dir!AS22/((1/1000)*(Irr!BO22)),IF(AND(Irr!S22=".",Irr!AQ22&lt;&gt;".",Irr!BO22="."),dir!AS22/((1/1000)*(Irr!AQ22)),IF(AND(Irr!S22&lt;&gt;".",Irr!AQ22=".",Irr!BO22="."),dir!AS22/((1/1000)*(Irr!S22)),IF(AND(Irr!S22=".",Irr!AQ22=".",Irr!BO22="."),dir!AS22*1000)))))))),".")</f>
        <v>3.5876023980254521</v>
      </c>
      <c r="AT22" s="76">
        <f>IFERROR(IF(AND(Irr!T22&lt;&gt;".",Irr!AR22&lt;&gt;".",Irr!BP22&lt;&gt;"."),dir!AT22/((1/1000)*(Irr!T22+Irr!AR22+Irr!BP22)),IF(AND(Irr!T22&lt;&gt;".",Irr!AR22&lt;&gt;".",Irr!BP22="."),dir!AT22/((1/1000)*(Irr!T22+Irr!AR22)),IF(AND(Irr!T22&lt;&gt;".",Irr!AR22=".",Irr!BP22&lt;&gt;"."),dir!AT22/((1/1000)*(Irr!T22+Irr!BP22)),IF(AND(Irr!T22=".",Irr!AR22&lt;&gt;".",Irr!BP22&lt;&gt;"."),dir!AT22/((1/1000)*(Irr!AR22+Irr!BP22)),IF(AND(Irr!T22=".",Irr!AR22=".",Irr!BP22&lt;&gt;"."),dir!AT22/((1/1000)*(Irr!BP22)),IF(AND(Irr!T22=".",Irr!AR22&lt;&gt;".",Irr!BP22="."),dir!AT22/((1/1000)*(Irr!AR22)),IF(AND(Irr!T22&lt;&gt;".",Irr!AR22=".",Irr!BP22="."),dir!AT22/((1/1000)*(Irr!T22)),IF(AND(Irr!T22=".",Irr!AR22=".",Irr!BP22="."),dir!AT22*1000)))))))),".")</f>
        <v>0.8910319740745859</v>
      </c>
      <c r="AU22" s="76">
        <f>IFERROR(IF(AND(Irr!U22&lt;&gt;".",Irr!AS22&lt;&gt;".",Irr!BQ22&lt;&gt;"."),dir!AU22/((1/1000)*(Irr!U22+Irr!AS22+Irr!BQ22)),IF(AND(Irr!U22&lt;&gt;".",Irr!AS22&lt;&gt;".",Irr!BQ22="."),dir!AU22/((1/1000)*(Irr!U22+Irr!AS22)),IF(AND(Irr!U22&lt;&gt;".",Irr!AS22=".",Irr!BQ22&lt;&gt;"."),dir!AU22/((1/1000)*(Irr!U22+Irr!BQ22)),IF(AND(Irr!U22=".",Irr!AS22&lt;&gt;".",Irr!BQ22&lt;&gt;"."),dir!AU22/((1/1000)*(Irr!AS22+Irr!BQ22)),IF(AND(Irr!U22=".",Irr!AS22=".",Irr!BQ22&lt;&gt;"."),dir!AU22/((1/1000)*(Irr!BQ22)),IF(AND(Irr!U22=".",Irr!AS22&lt;&gt;".",Irr!BQ22="."),dir!AU22/((1/1000)*(Irr!AS22)),IF(AND(Irr!U22&lt;&gt;".",Irr!AS22=".",Irr!BQ22="."),dir!AU22/((1/1000)*(Irr!U22)),IF(AND(Irr!U22=".",Irr!AS22=".",Irr!BQ22="."),dir!AU22*1000)))))))),".")</f>
        <v>1.7684806908529263</v>
      </c>
      <c r="AV22" s="76">
        <f>IFERROR(IF(AND(Irr!V22&lt;&gt;".",Irr!AT22&lt;&gt;".",Irr!BR22&lt;&gt;"."),dir!AV22/((1/1000)*(Irr!V22+Irr!AT22+Irr!BR22)),IF(AND(Irr!V22&lt;&gt;".",Irr!AT22&lt;&gt;".",Irr!BR22="."),dir!AV22/((1/1000)*(Irr!V22+Irr!AT22)),IF(AND(Irr!V22&lt;&gt;".",Irr!AT22=".",Irr!BR22&lt;&gt;"."),dir!AV22/((1/1000)*(Irr!V22+Irr!BR22)),IF(AND(Irr!V22=".",Irr!AT22&lt;&gt;".",Irr!BR22&lt;&gt;"."),dir!AV22/((1/1000)*(Irr!AT22+Irr!BR22)),IF(AND(Irr!V22=".",Irr!AT22=".",Irr!BR22&lt;&gt;"."),dir!AV22/((1/1000)*(Irr!BR22)),IF(AND(Irr!V22=".",Irr!AT22&lt;&gt;".",Irr!BR22="."),dir!AV22/((1/1000)*(Irr!AT22)),IF(AND(Irr!V22&lt;&gt;".",Irr!AT22=".",Irr!BR22="."),dir!AV22/((1/1000)*(Irr!V22)),IF(AND(Irr!V22=".",Irr!AT22=".",Irr!BR22="."),dir!AV22*1000)))))))),".")</f>
        <v>2.1444548384724587</v>
      </c>
      <c r="AW22" s="76">
        <f>IFERROR(IF(AND(Irr!W22&lt;&gt;".",Irr!AU22&lt;&gt;".",Irr!BS22&lt;&gt;"."),dir!AW22/((1/1000)*(Irr!W22+Irr!AU22+Irr!BS22)),IF(AND(Irr!W22&lt;&gt;".",Irr!AU22&lt;&gt;".",Irr!BS22="."),dir!AW22/((1/1000)*(Irr!W22+Irr!AU22)),IF(AND(Irr!W22&lt;&gt;".",Irr!AU22=".",Irr!BS22&lt;&gt;"."),dir!AW22/((1/1000)*(Irr!W22+Irr!BS22)),IF(AND(Irr!W22=".",Irr!AU22&lt;&gt;".",Irr!BS22&lt;&gt;"."),dir!AW22/((1/1000)*(Irr!AU22+Irr!BS22)),IF(AND(Irr!W22=".",Irr!AU22=".",Irr!BS22&lt;&gt;"."),dir!AW22/((1/1000)*(Irr!BS22)),IF(AND(Irr!W22=".",Irr!AU22&lt;&gt;".",Irr!BS22="."),dir!AW22/((1/1000)*(Irr!AU22)),IF(AND(Irr!W22&lt;&gt;".",Irr!AU22=".",Irr!BS22="."),dir!AW22/((1/1000)*(Irr!W22)),IF(AND(Irr!W22=".",Irr!AU22=".",Irr!BS22="."),dir!AW22*1000)))))))),".")</f>
        <v>3.0407003934528003</v>
      </c>
      <c r="AX22" s="76">
        <f>IFERROR(IF(AND(Irr!X22&lt;&gt;".",Irr!AV22&lt;&gt;".",Irr!BT22&lt;&gt;"."),dir!AX22/((1/1000)*(Irr!X22+Irr!AV22+Irr!BT22)),IF(AND(Irr!X22&lt;&gt;".",Irr!AV22&lt;&gt;".",Irr!BT22="."),dir!AX22/((1/1000)*(Irr!X22+Irr!AV22)),IF(AND(Irr!X22&lt;&gt;".",Irr!AV22=".",Irr!BT22&lt;&gt;"."),dir!AX22/((1/1000)*(Irr!X22+Irr!BT22)),IF(AND(Irr!X22=".",Irr!AV22&lt;&gt;".",Irr!BT22&lt;&gt;"."),dir!AX22/((1/1000)*(Irr!AV22+Irr!BT22)),IF(AND(Irr!X22=".",Irr!AV22=".",Irr!BT22&lt;&gt;"."),dir!AX22/((1/1000)*(Irr!BT22)),IF(AND(Irr!X22=".",Irr!AV22&lt;&gt;".",Irr!BT22="."),dir!AX22/((1/1000)*(Irr!AV22)),IF(AND(Irr!X22&lt;&gt;".",Irr!AV22=".",Irr!BT22="."),dir!AX22/((1/1000)*(Irr!X22)),IF(AND(Irr!X22=".",Irr!AV22=".",Irr!BT22="."),dir!AX22*1000)))))))),".")</f>
        <v>1.2661297686063251</v>
      </c>
      <c r="AY22" s="76">
        <f>IFERROR(IF(AND(Irr!Y22&lt;&gt;".",Irr!AW22&lt;&gt;".",Irr!BU22&lt;&gt;"."),dir!AY22/((1/1000)*(Irr!Y22+Irr!AW22+Irr!BU22)),IF(AND(Irr!Y22&lt;&gt;".",Irr!AW22&lt;&gt;".",Irr!BU22="."),dir!AY22/((1/1000)*(Irr!Y22+Irr!AW22)),IF(AND(Irr!Y22&lt;&gt;".",Irr!AW22=".",Irr!BU22&lt;&gt;"."),dir!AY22/((1/1000)*(Irr!Y22+Irr!BU22)),IF(AND(Irr!Y22=".",Irr!AW22&lt;&gt;".",Irr!BU22&lt;&gt;"."),dir!AY22/((1/1000)*(Irr!AW22+Irr!BU22)),IF(AND(Irr!Y22=".",Irr!AW22=".",Irr!BU22&lt;&gt;"."),dir!AY22/((1/1000)*(Irr!BU22)),IF(AND(Irr!Y22=".",Irr!AW22&lt;&gt;".",Irr!BU22="."),dir!AY22/((1/1000)*(Irr!AW22)),IF(AND(Irr!Y22&lt;&gt;".",Irr!AW22=".",Irr!BU22="."),dir!AY22/((1/1000)*(Irr!Y22)),IF(AND(Irr!Y22=".",Irr!AW22=".",Irr!BU22="."),dir!AY22*1000)))))))),".")</f>
        <v>0.45856804279788249</v>
      </c>
      <c r="AZ22" s="76">
        <f>IFERROR(IF(AND(Irr!Z22&lt;&gt;".",Irr!AX22&lt;&gt;".",Irr!BV22&lt;&gt;"."),dir!AZ22/((1/1000)*(Irr!Z22+Irr!AX22+Irr!BV22)),IF(AND(Irr!Z22&lt;&gt;".",Irr!AX22&lt;&gt;".",Irr!BV22="."),dir!AZ22/((1/1000)*(Irr!Z22+Irr!AX22)),IF(AND(Irr!Z22&lt;&gt;".",Irr!AX22=".",Irr!BV22&lt;&gt;"."),dir!AZ22/((1/1000)*(Irr!Z22+Irr!BV22)),IF(AND(Irr!Z22=".",Irr!AX22&lt;&gt;".",Irr!BV22&lt;&gt;"."),dir!AZ22/((1/1000)*(Irr!AX22+Irr!BV22)),IF(AND(Irr!Z22=".",Irr!AX22=".",Irr!BV22&lt;&gt;"."),dir!AZ22/((1/1000)*(Irr!BV22)),IF(AND(Irr!Z22=".",Irr!AX22&lt;&gt;".",Irr!BV22="."),dir!AZ22/((1/1000)*(Irr!AX22)),IF(AND(Irr!Z22&lt;&gt;".",Irr!AX22=".",Irr!BV22="."),dir!AZ22/((1/1000)*(Irr!Z22)),IF(AND(Irr!Z22=".",Irr!AX22=".",Irr!BV22="."),dir!AZ22*1000)))))))),".")</f>
        <v>0.41494454860325986</v>
      </c>
    </row>
    <row r="23" spans="1:52" x14ac:dyDescent="0.25">
      <c r="A23" s="94" t="s">
        <v>33</v>
      </c>
      <c r="B23" s="90" t="s">
        <v>351</v>
      </c>
      <c r="C23" s="76">
        <f t="shared" si="18"/>
        <v>3.615110253994961E-2</v>
      </c>
      <c r="D23" s="76">
        <f>IFERROR(IF(AND(Irr!C23&lt;&gt;".",Irr!AA23&lt;&gt;".",Irr!AY23&lt;&gt;"."),dir!D23/((1/1000)*(Irr!C23+Irr!AA23+Irr!AY23)),IF(AND(Irr!C23&lt;&gt;".",Irr!AA23&lt;&gt;".",Irr!AY23="."),dir!D23/((1/1000)*(Irr!C23+Irr!AA23)),IF(AND(Irr!C23&lt;&gt;".",Irr!AA23=".",Irr!AY23&lt;&gt;"."),dir!D23/((1/1000)*(Irr!C23+Irr!AY23)),IF(AND(Irr!C23=".",Irr!AA23&lt;&gt;".",Irr!AY23&lt;&gt;"."),dir!D23/((1/1000)*(Irr!AA23+Irr!AY23)),IF(AND(Irr!C23=".",Irr!AA23=".",Irr!AY23&lt;&gt;"."),dir!D23/((1/1000)*(Irr!AY23)),IF(AND(Irr!C23=".",Irr!AA23&lt;&gt;".",Irr!AY23="."),dir!D23/((1/1000)*(Irr!AA23)),IF(AND(Irr!C23&lt;&gt;".",Irr!AA23=".",Irr!AY23="."),dir!D23/((1/1000)*(Irr!C23)),IF(AND(Irr!C23=".",Irr!AA23=".",Irr!AY23="."),dir!D23*1000)))))))),".")</f>
        <v>0.72719552391505826</v>
      </c>
      <c r="E23" s="76">
        <f>IFERROR(IF(AND(Irr!D23&lt;&gt;".",Irr!AB23&lt;&gt;".",Irr!AZ23&lt;&gt;"."),dir!E23/((1/1000)*(Irr!D23+Irr!AB23+Irr!AZ23)),IF(AND(Irr!D23&lt;&gt;".",Irr!AB23&lt;&gt;".",Irr!AZ23="."),dir!E23/((1/1000)*(Irr!D23+Irr!AB23)),IF(AND(Irr!D23&lt;&gt;".",Irr!AB23=".",Irr!AZ23&lt;&gt;"."),dir!E23/((1/1000)*(Irr!D23+Irr!AZ23)),IF(AND(Irr!D23=".",Irr!AB23&lt;&gt;".",Irr!AZ23&lt;&gt;"."),dir!E23/((1/1000)*(Irr!AB23+Irr!AZ23)),IF(AND(Irr!D23=".",Irr!AB23=".",Irr!AZ23&lt;&gt;"."),dir!E23/((1/1000)*(Irr!AZ23)),IF(AND(Irr!D23=".",Irr!AB23&lt;&gt;".",Irr!AZ23="."),dir!E23/((1/1000)*(Irr!AB23)),IF(AND(Irr!D23&lt;&gt;".",Irr!AB23=".",Irr!AZ23="."),dir!E23/((1/1000)*(Irr!D23)),IF(AND(Irr!D23=".",Irr!AB23=".",Irr!AZ23="."),dir!E23*1000)))))))),".")</f>
        <v>0.93862992779868171</v>
      </c>
      <c r="F23" s="76">
        <f>IFERROR(IF(AND(Irr!E23&lt;&gt;".",Irr!AC23&lt;&gt;".",Irr!BA23&lt;&gt;"."),dir!F23/((1/1000)*(Irr!E23+Irr!AC23+Irr!BA23)),IF(AND(Irr!E23&lt;&gt;".",Irr!AC23&lt;&gt;".",Irr!BA23="."),dir!F23/((1/1000)*(Irr!E23+Irr!AC23)),IF(AND(Irr!E23&lt;&gt;".",Irr!AC23=".",Irr!BA23&lt;&gt;"."),dir!F23/((1/1000)*(Irr!E23+Irr!BA23)),IF(AND(Irr!E23=".",Irr!AC23&lt;&gt;".",Irr!BA23&lt;&gt;"."),dir!F23/((1/1000)*(Irr!AC23+Irr!BA23)),IF(AND(Irr!E23=".",Irr!AC23=".",Irr!BA23&lt;&gt;"."),dir!F23/((1/1000)*(Irr!BA23)),IF(AND(Irr!E23=".",Irr!AC23&lt;&gt;".",Irr!BA23="."),dir!F23/((1/1000)*(Irr!AC23)),IF(AND(Irr!E23&lt;&gt;".",Irr!AC23=".",Irr!BA23="."),dir!F23/((1/1000)*(Irr!E23)),IF(AND(Irr!E23=".",Irr!AC23=".",Irr!BA23="."),dir!F23*1000)))))))),".")</f>
        <v>1.2879608289371374</v>
      </c>
      <c r="G23" s="76">
        <f>IFERROR(IF(AND(Irr!F23&lt;&gt;".",Irr!AD23&lt;&gt;".",Irr!BB23&lt;&gt;"."),dir!G23/((1/1000)*(Irr!F23+Irr!AD23+Irr!BB23)),IF(AND(Irr!F23&lt;&gt;".",Irr!AD23&lt;&gt;".",Irr!BB23="."),dir!G23/((1/1000)*(Irr!F23+Irr!AD23)),IF(AND(Irr!F23&lt;&gt;".",Irr!AD23=".",Irr!BB23&lt;&gt;"."),dir!G23/((1/1000)*(Irr!F23+Irr!BB23)),IF(AND(Irr!F23=".",Irr!AD23&lt;&gt;".",Irr!BB23&lt;&gt;"."),dir!G23/((1/1000)*(Irr!AD23+Irr!BB23)),IF(AND(Irr!F23=".",Irr!AD23=".",Irr!BB23&lt;&gt;"."),dir!G23/((1/1000)*(Irr!BB23)),IF(AND(Irr!F23=".",Irr!AD23&lt;&gt;".",Irr!BB23="."),dir!G23/((1/1000)*(Irr!AD23)),IF(AND(Irr!F23&lt;&gt;".",Irr!AD23=".",Irr!BB23="."),dir!G23/((1/1000)*(Irr!F23)),IF(AND(Irr!F23=".",Irr!AD23=".",Irr!BB23="."),dir!G23*1000)))))))),".")</f>
        <v>1.6288854190593949</v>
      </c>
      <c r="H23" s="76">
        <f>IFERROR(IF(AND(Irr!G23&lt;&gt;".",Irr!AE23&lt;&gt;".",Irr!BC23&lt;&gt;"."),dir!H23/((1/1000)*(Irr!G23+Irr!AE23+Irr!BC23)),IF(AND(Irr!G23&lt;&gt;".",Irr!AE23&lt;&gt;".",Irr!BC23="."),dir!H23/((1/1000)*(Irr!G23+Irr!AE23)),IF(AND(Irr!G23&lt;&gt;".",Irr!AE23=".",Irr!BC23&lt;&gt;"."),dir!H23/((1/1000)*(Irr!G23+Irr!BC23)),IF(AND(Irr!G23=".",Irr!AE23&lt;&gt;".",Irr!BC23&lt;&gt;"."),dir!H23/((1/1000)*(Irr!AE23+Irr!BC23)),IF(AND(Irr!G23=".",Irr!AE23=".",Irr!BC23&lt;&gt;"."),dir!H23/((1/1000)*(Irr!BC23)),IF(AND(Irr!G23=".",Irr!AE23&lt;&gt;".",Irr!BC23="."),dir!H23/((1/1000)*(Irr!AE23)),IF(AND(Irr!G23&lt;&gt;".",Irr!AE23=".",Irr!BC23="."),dir!H23/((1/1000)*(Irr!G23)),IF(AND(Irr!G23=".",Irr!AE23=".",Irr!BC23="."),dir!H23*1000)))))))),".")</f>
        <v>1.803659074814864</v>
      </c>
      <c r="I23" s="76">
        <f>IFERROR(IF(AND(Irr!H23&lt;&gt;".",Irr!AF23&lt;&gt;".",Irr!BD23&lt;&gt;"."),dir!I23/((1/1000)*(Irr!H23+Irr!AF23+Irr!BD23)),IF(AND(Irr!H23&lt;&gt;".",Irr!AF23&lt;&gt;".",Irr!BD23="."),dir!I23/((1/1000)*(Irr!H23+Irr!AF23)),IF(AND(Irr!H23&lt;&gt;".",Irr!AF23=".",Irr!BD23&lt;&gt;"."),dir!I23/((1/1000)*(Irr!H23+Irr!BD23)),IF(AND(Irr!H23=".",Irr!AF23&lt;&gt;".",Irr!BD23&lt;&gt;"."),dir!I23/((1/1000)*(Irr!AF23+Irr!BD23)),IF(AND(Irr!H23=".",Irr!AF23=".",Irr!BD23&lt;&gt;"."),dir!I23/((1/1000)*(Irr!BD23)),IF(AND(Irr!H23=".",Irr!AF23&lt;&gt;".",Irr!BD23="."),dir!I23/((1/1000)*(Irr!AF23)),IF(AND(Irr!H23&lt;&gt;".",Irr!AF23=".",Irr!BD23="."),dir!I23/((1/1000)*(Irr!H23)),IF(AND(Irr!H23=".",Irr!AF23=".",Irr!BD23="."),dir!I23*1000)))))))),".")</f>
        <v>0.42031317813699642</v>
      </c>
      <c r="J23" s="76">
        <f>IFERROR(IF(AND(Irr!I23&lt;&gt;".",Irr!AG23&lt;&gt;".",Irr!BE23&lt;&gt;"."),dir!J23/((1/1000)*(Irr!I23+Irr!AG23+Irr!BE23)),IF(AND(Irr!I23&lt;&gt;".",Irr!AG23&lt;&gt;".",Irr!BE23="."),dir!J23/((1/1000)*(Irr!I23+Irr!AG23)),IF(AND(Irr!I23&lt;&gt;".",Irr!AG23=".",Irr!BE23&lt;&gt;"."),dir!J23/((1/1000)*(Irr!I23+Irr!BE23)),IF(AND(Irr!I23=".",Irr!AG23&lt;&gt;".",Irr!BE23&lt;&gt;"."),dir!J23/((1/1000)*(Irr!AG23+Irr!BE23)),IF(AND(Irr!I23=".",Irr!AG23=".",Irr!BE23&lt;&gt;"."),dir!J23/((1/1000)*(Irr!BE23)),IF(AND(Irr!I23=".",Irr!AG23&lt;&gt;".",Irr!BE23="."),dir!J23/((1/1000)*(Irr!AG23)),IF(AND(Irr!I23&lt;&gt;".",Irr!AG23=".",Irr!BE23="."),dir!J23/((1/1000)*(Irr!I23)),IF(AND(Irr!I23=".",Irr!AG23=".",Irr!BE23="."),dir!J23*1000)))))))),".")</f>
        <v>1.4220822688090882</v>
      </c>
      <c r="K23" s="76">
        <f>IFERROR(IF(AND(Irr!J23&lt;&gt;".",Irr!AH23&lt;&gt;".",Irr!BF23&lt;&gt;"."),dir!K23/((1/1000)*(Irr!J23+Irr!AH23+Irr!BF23)),IF(AND(Irr!J23&lt;&gt;".",Irr!AH23&lt;&gt;".",Irr!BF23="."),dir!K23/((1/1000)*(Irr!J23+Irr!AH23)),IF(AND(Irr!J23&lt;&gt;".",Irr!AH23=".",Irr!BF23&lt;&gt;"."),dir!K23/((1/1000)*(Irr!J23+Irr!BF23)),IF(AND(Irr!J23=".",Irr!AH23&lt;&gt;".",Irr!BF23&lt;&gt;"."),dir!K23/((1/1000)*(Irr!AH23+Irr!BF23)),IF(AND(Irr!J23=".",Irr!AH23=".",Irr!BF23&lt;&gt;"."),dir!K23/((1/1000)*(Irr!BF23)),IF(AND(Irr!J23=".",Irr!AH23&lt;&gt;".",Irr!BF23="."),dir!K23/((1/1000)*(Irr!AH23)),IF(AND(Irr!J23&lt;&gt;".",Irr!AH23=".",Irr!BF23="."),dir!K23/((1/1000)*(Irr!J23)),IF(AND(Irr!J23=".",Irr!AH23=".",Irr!BF23="."),dir!K23*1000)))))))),".")</f>
        <v>0.18863319572732881</v>
      </c>
      <c r="L23" s="76">
        <f>IFERROR(IF(AND(Irr!K23&lt;&gt;".",Irr!AI23&lt;&gt;".",Irr!BG23&lt;&gt;"."),dir!L23/((1/1000)*(Irr!K23+Irr!AI23+Irr!BG23)),IF(AND(Irr!K23&lt;&gt;".",Irr!AI23&lt;&gt;".",Irr!BG23="."),dir!L23/((1/1000)*(Irr!K23+Irr!AI23)),IF(AND(Irr!K23&lt;&gt;".",Irr!AI23=".",Irr!BG23&lt;&gt;"."),dir!L23/((1/1000)*(Irr!K23+Irr!BG23)),IF(AND(Irr!K23=".",Irr!AI23&lt;&gt;".",Irr!BG23&lt;&gt;"."),dir!L23/((1/1000)*(Irr!AI23+Irr!BG23)),IF(AND(Irr!K23=".",Irr!AI23=".",Irr!BG23&lt;&gt;"."),dir!L23/((1/1000)*(Irr!BG23)),IF(AND(Irr!K23=".",Irr!AI23&lt;&gt;".",Irr!BG23="."),dir!L23/((1/1000)*(Irr!AI23)),IF(AND(Irr!K23&lt;&gt;".",Irr!AI23=".",Irr!BG23="."),dir!L23/((1/1000)*(Irr!K23)),IF(AND(Irr!K23=".",Irr!AI23=".",Irr!BG23="."),dir!L23*1000)))))))),".")</f>
        <v>1.1114650057570334</v>
      </c>
      <c r="M23" s="76">
        <f>IFERROR(IF(AND(Irr!L23&lt;&gt;".",Irr!AJ23&lt;&gt;".",Irr!BH23&lt;&gt;"."),dir!M23/((1/1000)*(Irr!L23+Irr!AJ23+Irr!BH23)),IF(AND(Irr!L23&lt;&gt;".",Irr!AJ23&lt;&gt;".",Irr!BH23="."),dir!M23/((1/1000)*(Irr!L23+Irr!AJ23)),IF(AND(Irr!L23&lt;&gt;".",Irr!AJ23=".",Irr!BH23&lt;&gt;"."),dir!M23/((1/1000)*(Irr!L23+Irr!BH23)),IF(AND(Irr!L23=".",Irr!AJ23&lt;&gt;".",Irr!BH23&lt;&gt;"."),dir!M23/((1/1000)*(Irr!AJ23+Irr!BH23)),IF(AND(Irr!L23=".",Irr!AJ23=".",Irr!BH23&lt;&gt;"."),dir!M23/((1/1000)*(Irr!BH23)),IF(AND(Irr!L23=".",Irr!AJ23&lt;&gt;".",Irr!BH23="."),dir!M23/((1/1000)*(Irr!AJ23)),IF(AND(Irr!L23&lt;&gt;".",Irr!AJ23=".",Irr!BH23="."),dir!M23/((1/1000)*(Irr!L23)),IF(AND(Irr!L23=".",Irr!AJ23=".",Irr!BH23="."),dir!M23*1000)))))))),".")</f>
        <v>0.72577205708730674</v>
      </c>
      <c r="N23" s="76">
        <f>IFERROR(IF(AND(Irr!M23&lt;&gt;".",Irr!AK23&lt;&gt;".",Irr!BI23&lt;&gt;"."),dir!N23/((1/1000)*(Irr!M23+Irr!AK23+Irr!BI23)),IF(AND(Irr!M23&lt;&gt;".",Irr!AK23&lt;&gt;".",Irr!BI23="."),dir!N23/((1/1000)*(Irr!M23+Irr!AK23)),IF(AND(Irr!M23&lt;&gt;".",Irr!AK23=".",Irr!BI23&lt;&gt;"."),dir!N23/((1/1000)*(Irr!M23+Irr!BI23)),IF(AND(Irr!M23=".",Irr!AK23&lt;&gt;".",Irr!BI23&lt;&gt;"."),dir!N23/((1/1000)*(Irr!AK23+Irr!BI23)),IF(AND(Irr!M23=".",Irr!AK23=".",Irr!BI23&lt;&gt;"."),dir!N23/((1/1000)*(Irr!BI23)),IF(AND(Irr!M23=".",Irr!AK23&lt;&gt;".",Irr!BI23="."),dir!N23/((1/1000)*(Irr!AK23)),IF(AND(Irr!M23&lt;&gt;".",Irr!AK23=".",Irr!BI23="."),dir!N23/((1/1000)*(Irr!M23)),IF(AND(Irr!M23=".",Irr!AK23=".",Irr!BI23="."),dir!N23*1000)))))))),".")</f>
        <v>0.97133203241184485</v>
      </c>
      <c r="O23" s="76">
        <f>IFERROR(IF(AND(Irr!N23&lt;&gt;".",Irr!AL23&lt;&gt;".",Irr!BJ23&lt;&gt;"."),dir!O23/((1/1000)*(Irr!N23+Irr!AL23+Irr!BJ23)),IF(AND(Irr!N23&lt;&gt;".",Irr!AL23&lt;&gt;".",Irr!BJ23="."),dir!O23/((1/1000)*(Irr!N23+Irr!AL23)),IF(AND(Irr!N23&lt;&gt;".",Irr!AL23=".",Irr!BJ23&lt;&gt;"."),dir!O23/((1/1000)*(Irr!N23+Irr!BJ23)),IF(AND(Irr!N23=".",Irr!AL23&lt;&gt;".",Irr!BJ23&lt;&gt;"."),dir!O23/((1/1000)*(Irr!AL23+Irr!BJ23)),IF(AND(Irr!N23=".",Irr!AL23=".",Irr!BJ23&lt;&gt;"."),dir!O23/((1/1000)*(Irr!BJ23)),IF(AND(Irr!N23=".",Irr!AL23&lt;&gt;".",Irr!BJ23="."),dir!O23/((1/1000)*(Irr!AL23)),IF(AND(Irr!N23&lt;&gt;".",Irr!AL23=".",Irr!BJ23="."),dir!O23/((1/1000)*(Irr!N23)),IF(AND(Irr!N23=".",Irr!AL23=".",Irr!BJ23="."),dir!O23*1000)))))))),".")</f>
        <v>1.8154657661104081</v>
      </c>
      <c r="P23" s="76">
        <f>IFERROR(IF(AND(Irr!O23&lt;&gt;".",Irr!AM23&lt;&gt;".",Irr!BK23&lt;&gt;"."),dir!P23/((1/1000)*(Irr!O23+Irr!AM23+Irr!BK23)),IF(AND(Irr!O23&lt;&gt;".",Irr!AM23&lt;&gt;".",Irr!BK23="."),dir!P23/((1/1000)*(Irr!O23+Irr!AM23)),IF(AND(Irr!O23&lt;&gt;".",Irr!AM23=".",Irr!BK23&lt;&gt;"."),dir!P23/((1/1000)*(Irr!O23+Irr!BK23)),IF(AND(Irr!O23=".",Irr!AM23&lt;&gt;".",Irr!BK23&lt;&gt;"."),dir!P23/((1/1000)*(Irr!AM23+Irr!BK23)),IF(AND(Irr!O23=".",Irr!AM23=".",Irr!BK23&lt;&gt;"."),dir!P23/((1/1000)*(Irr!BK23)),IF(AND(Irr!O23=".",Irr!AM23&lt;&gt;".",Irr!BK23="."),dir!P23/((1/1000)*(Irr!AM23)),IF(AND(Irr!O23&lt;&gt;".",Irr!AM23=".",Irr!BK23="."),dir!P23/((1/1000)*(Irr!O23)),IF(AND(Irr!O23=".",Irr!AM23=".",Irr!BK23="."),dir!P23*1000)))))))),".")</f>
        <v>2.0544836477292234</v>
      </c>
      <c r="Q23" s="76">
        <f>IFERROR(IF(AND(Irr!P23&lt;&gt;".",Irr!AN23&lt;&gt;".",Irr!BL23&lt;&gt;"."),dir!Q23/((1/1000)*(Irr!P23+Irr!AN23+Irr!BL23)),IF(AND(Irr!P23&lt;&gt;".",Irr!AN23&lt;&gt;".",Irr!BL23="."),dir!Q23/((1/1000)*(Irr!P23+Irr!AN23)),IF(AND(Irr!P23&lt;&gt;".",Irr!AN23=".",Irr!BL23&lt;&gt;"."),dir!Q23/((1/1000)*(Irr!P23+Irr!BL23)),IF(AND(Irr!P23=".",Irr!AN23&lt;&gt;".",Irr!BL23&lt;&gt;"."),dir!Q23/((1/1000)*(Irr!AN23+Irr!BL23)),IF(AND(Irr!P23=".",Irr!AN23=".",Irr!BL23&lt;&gt;"."),dir!Q23/((1/1000)*(Irr!BL23)),IF(AND(Irr!P23=".",Irr!AN23&lt;&gt;".",Irr!BL23="."),dir!Q23/((1/1000)*(Irr!AN23)),IF(AND(Irr!P23&lt;&gt;".",Irr!AN23=".",Irr!BL23="."),dir!Q23/((1/1000)*(Irr!P23)),IF(AND(Irr!P23=".",Irr!AN23=".",Irr!BL23="."),dir!Q23*1000)))))))),".")</f>
        <v>2.7741165815881534</v>
      </c>
      <c r="R23" s="76">
        <f>IFERROR(IF(AND(Irr!Q23&lt;&gt;".",Irr!AO23&lt;&gt;".",Irr!BM23&lt;&gt;"."),dir!R23/((1/1000)*(Irr!Q23+Irr!AO23+Irr!BM23)),IF(AND(Irr!Q23&lt;&gt;".",Irr!AO23&lt;&gt;".",Irr!BM23="."),dir!R23/((1/1000)*(Irr!Q23+Irr!AO23)),IF(AND(Irr!Q23&lt;&gt;".",Irr!AO23=".",Irr!BM23&lt;&gt;"."),dir!R23/((1/1000)*(Irr!Q23+Irr!BM23)),IF(AND(Irr!Q23=".",Irr!AO23&lt;&gt;".",Irr!BM23&lt;&gt;"."),dir!R23/((1/1000)*(Irr!AO23+Irr!BM23)),IF(AND(Irr!Q23=".",Irr!AO23=".",Irr!BM23&lt;&gt;"."),dir!R23/((1/1000)*(Irr!BM23)),IF(AND(Irr!Q23=".",Irr!AO23&lt;&gt;".",Irr!BM23="."),dir!R23/((1/1000)*(Irr!AO23)),IF(AND(Irr!Q23&lt;&gt;".",Irr!AO23=".",Irr!BM23="."),dir!R23/((1/1000)*(Irr!Q23)),IF(AND(Irr!Q23=".",Irr!AO23=".",Irr!BM23="."),dir!R23*1000)))))))),".")</f>
        <v>0.46507211750824157</v>
      </c>
      <c r="S23" s="76">
        <f>IFERROR(IF(AND(Irr!R23&lt;&gt;".",Irr!AP23&lt;&gt;".",Irr!BN23&lt;&gt;"."),dir!S23/((1/1000)*(Irr!R23+Irr!AP23+Irr!BN23)),IF(AND(Irr!R23&lt;&gt;".",Irr!AP23&lt;&gt;".",Irr!BN23="."),dir!S23/((1/1000)*(Irr!R23+Irr!AP23)),IF(AND(Irr!R23&lt;&gt;".",Irr!AP23=".",Irr!BN23&lt;&gt;"."),dir!S23/((1/1000)*(Irr!R23+Irr!BN23)),IF(AND(Irr!R23=".",Irr!AP23&lt;&gt;".",Irr!BN23&lt;&gt;"."),dir!S23/((1/1000)*(Irr!AP23+Irr!BN23)),IF(AND(Irr!R23=".",Irr!AP23=".",Irr!BN23&lt;&gt;"."),dir!S23/((1/1000)*(Irr!BN23)),IF(AND(Irr!R23=".",Irr!AP23&lt;&gt;".",Irr!BN23="."),dir!S23/((1/1000)*(Irr!AP23)),IF(AND(Irr!R23&lt;&gt;".",Irr!AP23=".",Irr!BN23="."),dir!S23/((1/1000)*(Irr!R23)),IF(AND(Irr!R23=".",Irr!AP23=".",Irr!BN23="."),dir!S23*1000)))))))),".")</f>
        <v>0.96433549103796357</v>
      </c>
      <c r="T23" s="76">
        <f>IFERROR(IF(AND(Irr!S23&lt;&gt;".",Irr!AQ23&lt;&gt;".",Irr!BO23&lt;&gt;"."),dir!T23/((1/1000)*(Irr!S23+Irr!AQ23+Irr!BO23)),IF(AND(Irr!S23&lt;&gt;".",Irr!AQ23&lt;&gt;".",Irr!BO23="."),dir!T23/((1/1000)*(Irr!S23+Irr!AQ23)),IF(AND(Irr!S23&lt;&gt;".",Irr!AQ23=".",Irr!BO23&lt;&gt;"."),dir!T23/((1/1000)*(Irr!S23+Irr!BO23)),IF(AND(Irr!S23=".",Irr!AQ23&lt;&gt;".",Irr!BO23&lt;&gt;"."),dir!T23/((1/1000)*(Irr!AQ23+Irr!BO23)),IF(AND(Irr!S23=".",Irr!AQ23=".",Irr!BO23&lt;&gt;"."),dir!T23/((1/1000)*(Irr!BO23)),IF(AND(Irr!S23=".",Irr!AQ23&lt;&gt;".",Irr!BO23="."),dir!T23/((1/1000)*(Irr!AQ23)),IF(AND(Irr!S23&lt;&gt;".",Irr!AQ23=".",Irr!BO23="."),dir!T23/((1/1000)*(Irr!S23)),IF(AND(Irr!S23=".",Irr!AQ23=".",Irr!BO23="."),dir!T23*1000)))))))),".")</f>
        <v>1.4866737474582921</v>
      </c>
      <c r="U23" s="76">
        <f>IFERROR(IF(AND(Irr!T23&lt;&gt;".",Irr!AR23&lt;&gt;".",Irr!BP23&lt;&gt;"."),dir!U23/((1/1000)*(Irr!T23+Irr!AR23+Irr!BP23)),IF(AND(Irr!T23&lt;&gt;".",Irr!AR23&lt;&gt;".",Irr!BP23="."),dir!U23/((1/1000)*(Irr!T23+Irr!AR23)),IF(AND(Irr!T23&lt;&gt;".",Irr!AR23=".",Irr!BP23&lt;&gt;"."),dir!U23/((1/1000)*(Irr!T23+Irr!BP23)),IF(AND(Irr!T23=".",Irr!AR23&lt;&gt;".",Irr!BP23&lt;&gt;"."),dir!U23/((1/1000)*(Irr!AR23+Irr!BP23)),IF(AND(Irr!T23=".",Irr!AR23=".",Irr!BP23&lt;&gt;"."),dir!U23/((1/1000)*(Irr!BP23)),IF(AND(Irr!T23=".",Irr!AR23&lt;&gt;".",Irr!BP23="."),dir!U23/((1/1000)*(Irr!AR23)),IF(AND(Irr!T23&lt;&gt;".",Irr!AR23=".",Irr!BP23="."),dir!U23/((1/1000)*(Irr!T23)),IF(AND(Irr!T23=".",Irr!AR23=".",Irr!BP23="."),dir!U23*1000)))))))),".")</f>
        <v>0.47939159929235348</v>
      </c>
      <c r="V23" s="76">
        <f>IFERROR(IF(AND(Irr!U23&lt;&gt;".",Irr!AS23&lt;&gt;".",Irr!BQ23&lt;&gt;"."),dir!V23/((1/1000)*(Irr!U23+Irr!AS23+Irr!BQ23)),IF(AND(Irr!U23&lt;&gt;".",Irr!AS23&lt;&gt;".",Irr!BQ23="."),dir!V23/((1/1000)*(Irr!U23+Irr!AS23)),IF(AND(Irr!U23&lt;&gt;".",Irr!AS23=".",Irr!BQ23&lt;&gt;"."),dir!V23/((1/1000)*(Irr!U23+Irr!BQ23)),IF(AND(Irr!U23=".",Irr!AS23&lt;&gt;".",Irr!BQ23&lt;&gt;"."),dir!V23/((1/1000)*(Irr!AS23+Irr!BQ23)),IF(AND(Irr!U23=".",Irr!AS23=".",Irr!BQ23&lt;&gt;"."),dir!V23/((1/1000)*(Irr!BQ23)),IF(AND(Irr!U23=".",Irr!AS23&lt;&gt;".",Irr!BQ23="."),dir!V23/((1/1000)*(Irr!AS23)),IF(AND(Irr!U23&lt;&gt;".",Irr!AS23=".",Irr!BQ23="."),dir!V23/((1/1000)*(Irr!U23)),IF(AND(Irr!U23=".",Irr!AS23=".",Irr!BQ23="."),dir!V23*1000)))))))),".")</f>
        <v>0.83364107086472772</v>
      </c>
      <c r="W23" s="76">
        <f>IFERROR(IF(AND(Irr!V23&lt;&gt;".",Irr!AT23&lt;&gt;".",Irr!BR23&lt;&gt;"."),dir!W23/((1/1000)*(Irr!V23+Irr!AT23+Irr!BR23)),IF(AND(Irr!V23&lt;&gt;".",Irr!AT23&lt;&gt;".",Irr!BR23="."),dir!W23/((1/1000)*(Irr!V23+Irr!AT23)),IF(AND(Irr!V23&lt;&gt;".",Irr!AT23=".",Irr!BR23&lt;&gt;"."),dir!W23/((1/1000)*(Irr!V23+Irr!BR23)),IF(AND(Irr!V23=".",Irr!AT23&lt;&gt;".",Irr!BR23&lt;&gt;"."),dir!W23/((1/1000)*(Irr!AT23+Irr!BR23)),IF(AND(Irr!V23=".",Irr!AT23=".",Irr!BR23&lt;&gt;"."),dir!W23/((1/1000)*(Irr!BR23)),IF(AND(Irr!V23=".",Irr!AT23&lt;&gt;".",Irr!BR23="."),dir!W23/((1/1000)*(Irr!AT23)),IF(AND(Irr!V23&lt;&gt;".",Irr!AT23=".",Irr!BR23="."),dir!W23/((1/1000)*(Irr!V23)),IF(AND(Irr!V23=".",Irr!AT23=".",Irr!BR23="."),dir!W23*1000)))))))),".")</f>
        <v>1.0351874432937775</v>
      </c>
      <c r="X23" s="76">
        <f>IFERROR(IF(AND(Irr!W23&lt;&gt;".",Irr!AU23&lt;&gt;".",Irr!BS23&lt;&gt;"."),dir!X23/((1/1000)*(Irr!W23+Irr!AU23+Irr!BS23)),IF(AND(Irr!W23&lt;&gt;".",Irr!AU23&lt;&gt;".",Irr!BS23="."),dir!X23/((1/1000)*(Irr!W23+Irr!AU23)),IF(AND(Irr!W23&lt;&gt;".",Irr!AU23=".",Irr!BS23&lt;&gt;"."),dir!X23/((1/1000)*(Irr!W23+Irr!BS23)),IF(AND(Irr!W23=".",Irr!AU23&lt;&gt;".",Irr!BS23&lt;&gt;"."),dir!X23/((1/1000)*(Irr!AU23+Irr!BS23)),IF(AND(Irr!W23=".",Irr!AU23=".",Irr!BS23&lt;&gt;"."),dir!X23/((1/1000)*(Irr!BS23)),IF(AND(Irr!W23=".",Irr!AU23&lt;&gt;".",Irr!BS23="."),dir!X23/((1/1000)*(Irr!AU23)),IF(AND(Irr!W23&lt;&gt;".",Irr!AU23=".",Irr!BS23="."),dir!X23/((1/1000)*(Irr!W23)),IF(AND(Irr!W23=".",Irr!AU23=".",Irr!BS23="."),dir!X23*1000)))))))),".")</f>
        <v>1.4430215872419341</v>
      </c>
      <c r="Y23" s="76">
        <f>IFERROR(IF(AND(Irr!X23&lt;&gt;".",Irr!AV23&lt;&gt;".",Irr!BT23&lt;&gt;"."),dir!Y23/((1/1000)*(Irr!X23+Irr!AV23+Irr!BT23)),IF(AND(Irr!X23&lt;&gt;".",Irr!AV23&lt;&gt;".",Irr!BT23="."),dir!Y23/((1/1000)*(Irr!X23+Irr!AV23)),IF(AND(Irr!X23&lt;&gt;".",Irr!AV23=".",Irr!BT23&lt;&gt;"."),dir!Y23/((1/1000)*(Irr!X23+Irr!BT23)),IF(AND(Irr!X23=".",Irr!AV23&lt;&gt;".",Irr!BT23&lt;&gt;"."),dir!Y23/((1/1000)*(Irr!AV23+Irr!BT23)),IF(AND(Irr!X23=".",Irr!AV23=".",Irr!BT23&lt;&gt;"."),dir!Y23/((1/1000)*(Irr!BT23)),IF(AND(Irr!X23=".",Irr!AV23&lt;&gt;".",Irr!BT23="."),dir!Y23/((1/1000)*(Irr!AV23)),IF(AND(Irr!X23&lt;&gt;".",Irr!AV23=".",Irr!BT23="."),dir!Y23/((1/1000)*(Irr!X23)),IF(AND(Irr!X23=".",Irr!AV23=".",Irr!BT23="."),dir!Y23*1000)))))))),".")</f>
        <v>0.72294034144717889</v>
      </c>
      <c r="Z23" s="76">
        <f>IFERROR(IF(AND(Irr!Y23&lt;&gt;".",Irr!AW23&lt;&gt;".",Irr!BU23&lt;&gt;"."),dir!Z23/((1/1000)*(Irr!Y23+Irr!AW23+Irr!BU23)),IF(AND(Irr!Y23&lt;&gt;".",Irr!AW23&lt;&gt;".",Irr!BU23="."),dir!Z23/((1/1000)*(Irr!Y23+Irr!AW23)),IF(AND(Irr!Y23&lt;&gt;".",Irr!AW23=".",Irr!BU23&lt;&gt;"."),dir!Z23/((1/1000)*(Irr!Y23+Irr!BU23)),IF(AND(Irr!Y23=".",Irr!AW23&lt;&gt;".",Irr!BU23&lt;&gt;"."),dir!Z23/((1/1000)*(Irr!AW23+Irr!BU23)),IF(AND(Irr!Y23=".",Irr!AW23=".",Irr!BU23&lt;&gt;"."),dir!Z23/((1/1000)*(Irr!BU23)),IF(AND(Irr!Y23=".",Irr!AW23&lt;&gt;".",Irr!BU23="."),dir!Z23/((1/1000)*(Irr!AW23)),IF(AND(Irr!Y23&lt;&gt;".",Irr!AW23=".",Irr!BU23="."),dir!Z23/((1/1000)*(Irr!Y23)),IF(AND(Irr!Y23=".",Irr!AW23=".",Irr!BU23="."),dir!Z23*1000)))))))),".")</f>
        <v>0.26915379850125876</v>
      </c>
      <c r="AA23" s="76">
        <f>IFERROR(IF(AND(Irr!Z23&lt;&gt;".",Irr!AX23&lt;&gt;".",Irr!BV23&lt;&gt;"."),dir!AA23/((1/1000)*(Irr!Z23+Irr!AX23+Irr!BV23)),IF(AND(Irr!Z23&lt;&gt;".",Irr!AX23&lt;&gt;".",Irr!BV23="."),dir!AA23/((1/1000)*(Irr!Z23+Irr!AX23)),IF(AND(Irr!Z23&lt;&gt;".",Irr!AX23=".",Irr!BV23&lt;&gt;"."),dir!AA23/((1/1000)*(Irr!Z23+Irr!BV23)),IF(AND(Irr!Z23=".",Irr!AX23&lt;&gt;".",Irr!BV23&lt;&gt;"."),dir!AA23/((1/1000)*(Irr!AX23+Irr!BV23)),IF(AND(Irr!Z23=".",Irr!AX23=".",Irr!BV23&lt;&gt;"."),dir!AA23/((1/1000)*(Irr!BV23)),IF(AND(Irr!Z23=".",Irr!AX23&lt;&gt;".",Irr!BV23="."),dir!AA23/((1/1000)*(Irr!AX23)),IF(AND(Irr!Z23&lt;&gt;".",Irr!AX23=".",Irr!BV23="."),dir!AA23/((1/1000)*(Irr!Z23)),IF(AND(Irr!Z23=".",Irr!AX23=".",Irr!BV23="."),dir!AA23*1000)))))))),".")</f>
        <v>0.19928468628866886</v>
      </c>
      <c r="AB23" s="76">
        <f t="shared" si="19"/>
        <v>2.224975266031768E-2</v>
      </c>
      <c r="AC23" s="76">
        <f>IFERROR(IF(AND(Irr!C23&lt;&gt;".",Irr!AA23&lt;&gt;".",Irr!AY23&lt;&gt;"."),dir!AC23/((1/1000)*(Irr!C23+Irr!AA23+Irr!AY23)),IF(AND(Irr!C23&lt;&gt;".",Irr!AA23&lt;&gt;".",Irr!AY23="."),dir!AC23/((1/1000)*(Irr!C23+Irr!AA23)),IF(AND(Irr!C23&lt;&gt;".",Irr!AA23=".",Irr!AY23&lt;&gt;"."),dir!AC23/((1/1000)*(Irr!C23+Irr!AY23)),IF(AND(Irr!C23=".",Irr!AA23&lt;&gt;".",Irr!AY23&lt;&gt;"."),dir!AC23/((1/1000)*(Irr!AA23+Irr!AY23)),IF(AND(Irr!C23=".",Irr!AA23=".",Irr!AY23&lt;&gt;"."),dir!AC23/((1/1000)*(Irr!AY23)),IF(AND(Irr!C23=".",Irr!AA23&lt;&gt;".",Irr!AY23="."),dir!AC23/((1/1000)*(Irr!AA23)),IF(AND(Irr!C23&lt;&gt;".",Irr!AA23=".",Irr!AY23="."),dir!AC23/((1/1000)*(Irr!C23)),IF(AND(Irr!C23=".",Irr!AA23=".",Irr!AY23="."),dir!AC23*1000)))))))),".")</f>
        <v>0.41066780267997133</v>
      </c>
      <c r="AD23" s="76">
        <f>IFERROR(IF(AND(Irr!D23&lt;&gt;".",Irr!AB23&lt;&gt;".",Irr!AZ23&lt;&gt;"."),dir!AD23/((1/1000)*(Irr!D23+Irr!AB23+Irr!AZ23)),IF(AND(Irr!D23&lt;&gt;".",Irr!AB23&lt;&gt;".",Irr!AZ23="."),dir!AD23/((1/1000)*(Irr!D23+Irr!AB23)),IF(AND(Irr!D23&lt;&gt;".",Irr!AB23=".",Irr!AZ23&lt;&gt;"."),dir!AD23/((1/1000)*(Irr!D23+Irr!AZ23)),IF(AND(Irr!D23=".",Irr!AB23&lt;&gt;".",Irr!AZ23&lt;&gt;"."),dir!AD23/((1/1000)*(Irr!AB23+Irr!AZ23)),IF(AND(Irr!D23=".",Irr!AB23=".",Irr!AZ23&lt;&gt;"."),dir!AD23/((1/1000)*(Irr!AZ23)),IF(AND(Irr!D23=".",Irr!AB23&lt;&gt;".",Irr!AZ23="."),dir!AD23/((1/1000)*(Irr!AB23)),IF(AND(Irr!D23&lt;&gt;".",Irr!AB23=".",Irr!AZ23="."),dir!AD23/((1/1000)*(Irr!D23)),IF(AND(Irr!D23=".",Irr!AB23=".",Irr!AZ23="."),dir!AD23*1000)))))))),".")</f>
        <v>0.57189637697150197</v>
      </c>
      <c r="AE23" s="76">
        <f>IFERROR(IF(AND(Irr!E23&lt;&gt;".",Irr!AC23&lt;&gt;".",Irr!BA23&lt;&gt;"."),dir!AE23/((1/1000)*(Irr!E23+Irr!AC23+Irr!BA23)),IF(AND(Irr!E23&lt;&gt;".",Irr!AC23&lt;&gt;".",Irr!BA23="."),dir!AE23/((1/1000)*(Irr!E23+Irr!AC23)),IF(AND(Irr!E23&lt;&gt;".",Irr!AC23=".",Irr!BA23&lt;&gt;"."),dir!AE23/((1/1000)*(Irr!E23+Irr!BA23)),IF(AND(Irr!E23=".",Irr!AC23&lt;&gt;".",Irr!BA23&lt;&gt;"."),dir!AE23/((1/1000)*(Irr!AC23+Irr!BA23)),IF(AND(Irr!E23=".",Irr!AC23=".",Irr!BA23&lt;&gt;"."),dir!AE23/((1/1000)*(Irr!BA23)),IF(AND(Irr!E23=".",Irr!AC23&lt;&gt;".",Irr!BA23="."),dir!AE23/((1/1000)*(Irr!AC23)),IF(AND(Irr!E23&lt;&gt;".",Irr!AC23=".",Irr!BA23="."),dir!AE23/((1/1000)*(Irr!E23)),IF(AND(Irr!E23=".",Irr!AC23=".",Irr!BA23="."),dir!AE23*1000)))))))),".")</f>
        <v>0.76817663725893559</v>
      </c>
      <c r="AF23" s="76">
        <f>IFERROR(IF(AND(Irr!F23&lt;&gt;".",Irr!AD23&lt;&gt;".",Irr!BB23&lt;&gt;"."),dir!AF23/((1/1000)*(Irr!F23+Irr!AD23+Irr!BB23)),IF(AND(Irr!F23&lt;&gt;".",Irr!AD23&lt;&gt;".",Irr!BB23="."),dir!AF23/((1/1000)*(Irr!F23+Irr!AD23)),IF(AND(Irr!F23&lt;&gt;".",Irr!AD23=".",Irr!BB23&lt;&gt;"."),dir!AF23/((1/1000)*(Irr!F23+Irr!BB23)),IF(AND(Irr!F23=".",Irr!AD23&lt;&gt;".",Irr!BB23&lt;&gt;"."),dir!AF23/((1/1000)*(Irr!AD23+Irr!BB23)),IF(AND(Irr!F23=".",Irr!AD23=".",Irr!BB23&lt;&gt;"."),dir!AF23/((1/1000)*(Irr!BB23)),IF(AND(Irr!F23=".",Irr!AD23&lt;&gt;".",Irr!BB23="."),dir!AF23/((1/1000)*(Irr!AD23)),IF(AND(Irr!F23&lt;&gt;".",Irr!AD23=".",Irr!BB23="."),dir!AF23/((1/1000)*(Irr!F23)),IF(AND(Irr!F23=".",Irr!AD23=".",Irr!BB23="."),dir!AF23*1000)))))))),".")</f>
        <v>1.0295716746749584</v>
      </c>
      <c r="AG23" s="76">
        <f>IFERROR(IF(AND(Irr!G23&lt;&gt;".",Irr!AE23&lt;&gt;".",Irr!BC23&lt;&gt;"."),dir!AG23/((1/1000)*(Irr!G23+Irr!AE23+Irr!BC23)),IF(AND(Irr!G23&lt;&gt;".",Irr!AE23&lt;&gt;".",Irr!BC23="."),dir!AG23/((1/1000)*(Irr!G23+Irr!AE23)),IF(AND(Irr!G23&lt;&gt;".",Irr!AE23=".",Irr!BC23&lt;&gt;"."),dir!AG23/((1/1000)*(Irr!G23+Irr!BC23)),IF(AND(Irr!G23=".",Irr!AE23&lt;&gt;".",Irr!BC23&lt;&gt;"."),dir!AG23/((1/1000)*(Irr!AE23+Irr!BC23)),IF(AND(Irr!G23=".",Irr!AE23=".",Irr!BC23&lt;&gt;"."),dir!AG23/((1/1000)*(Irr!BC23)),IF(AND(Irr!G23=".",Irr!AE23&lt;&gt;".",Irr!BC23="."),dir!AG23/((1/1000)*(Irr!AE23)),IF(AND(Irr!G23&lt;&gt;".",Irr!AE23=".",Irr!BC23="."),dir!AG23/((1/1000)*(Irr!G23)),IF(AND(Irr!G23=".",Irr!AE23=".",Irr!BC23="."),dir!AG23*1000)))))))),".")</f>
        <v>1.007391117023132</v>
      </c>
      <c r="AH23" s="76">
        <f>IFERROR(IF(AND(Irr!H23&lt;&gt;".",Irr!AF23&lt;&gt;".",Irr!BD23&lt;&gt;"."),dir!AH23/((1/1000)*(Irr!H23+Irr!AF23+Irr!BD23)),IF(AND(Irr!H23&lt;&gt;".",Irr!AF23&lt;&gt;".",Irr!BD23="."),dir!AH23/((1/1000)*(Irr!H23+Irr!AF23)),IF(AND(Irr!H23&lt;&gt;".",Irr!AF23=".",Irr!BD23&lt;&gt;"."),dir!AH23/((1/1000)*(Irr!H23+Irr!BD23)),IF(AND(Irr!H23=".",Irr!AF23&lt;&gt;".",Irr!BD23&lt;&gt;"."),dir!AH23/((1/1000)*(Irr!AF23+Irr!BD23)),IF(AND(Irr!H23=".",Irr!AF23=".",Irr!BD23&lt;&gt;"."),dir!AH23/((1/1000)*(Irr!BD23)),IF(AND(Irr!H23=".",Irr!AF23&lt;&gt;".",Irr!BD23="."),dir!AH23/((1/1000)*(Irr!AF23)),IF(AND(Irr!H23&lt;&gt;".",Irr!AF23=".",Irr!BD23="."),dir!AH23/((1/1000)*(Irr!H23)),IF(AND(Irr!H23=".",Irr!AF23=".",Irr!BD23="."),dir!AH23*1000)))))))),".")</f>
        <v>0.26995976487691359</v>
      </c>
      <c r="AI23" s="76">
        <f>IFERROR(IF(AND(Irr!I23&lt;&gt;".",Irr!AG23&lt;&gt;".",Irr!BE23&lt;&gt;"."),dir!AI23/((1/1000)*(Irr!I23+Irr!AG23+Irr!BE23)),IF(AND(Irr!I23&lt;&gt;".",Irr!AG23&lt;&gt;".",Irr!BE23="."),dir!AI23/((1/1000)*(Irr!I23+Irr!AG23)),IF(AND(Irr!I23&lt;&gt;".",Irr!AG23=".",Irr!BE23&lt;&gt;"."),dir!AI23/((1/1000)*(Irr!I23+Irr!BE23)),IF(AND(Irr!I23=".",Irr!AG23&lt;&gt;".",Irr!BE23&lt;&gt;"."),dir!AI23/((1/1000)*(Irr!AG23+Irr!BE23)),IF(AND(Irr!I23=".",Irr!AG23=".",Irr!BE23&lt;&gt;"."),dir!AI23/((1/1000)*(Irr!BE23)),IF(AND(Irr!I23=".",Irr!AG23&lt;&gt;".",Irr!BE23="."),dir!AI23/((1/1000)*(Irr!AG23)),IF(AND(Irr!I23&lt;&gt;".",Irr!AG23=".",Irr!BE23="."),dir!AI23/((1/1000)*(Irr!I23)),IF(AND(Irr!I23=".",Irr!AG23=".",Irr!BE23="."),dir!AI23*1000)))))))),".")</f>
        <v>0.99361235276148507</v>
      </c>
      <c r="AJ23" s="76">
        <f>IFERROR(IF(AND(Irr!J23&lt;&gt;".",Irr!AH23&lt;&gt;".",Irr!BF23&lt;&gt;"."),dir!AJ23/((1/1000)*(Irr!J23+Irr!AH23+Irr!BF23)),IF(AND(Irr!J23&lt;&gt;".",Irr!AH23&lt;&gt;".",Irr!BF23="."),dir!AJ23/((1/1000)*(Irr!J23+Irr!AH23)),IF(AND(Irr!J23&lt;&gt;".",Irr!AH23=".",Irr!BF23&lt;&gt;"."),dir!AJ23/((1/1000)*(Irr!J23+Irr!BF23)),IF(AND(Irr!J23=".",Irr!AH23&lt;&gt;".",Irr!BF23&lt;&gt;"."),dir!AJ23/((1/1000)*(Irr!AH23+Irr!BF23)),IF(AND(Irr!J23=".",Irr!AH23=".",Irr!BF23&lt;&gt;"."),dir!AJ23/((1/1000)*(Irr!BF23)),IF(AND(Irr!J23=".",Irr!AH23&lt;&gt;".",Irr!BF23="."),dir!AJ23/((1/1000)*(Irr!AH23)),IF(AND(Irr!J23&lt;&gt;".",Irr!AH23=".",Irr!BF23="."),dir!AJ23/((1/1000)*(Irr!J23)),IF(AND(Irr!J23=".",Irr!AH23=".",Irr!BF23="."),dir!AJ23*1000)))))))),".")</f>
        <v>0.11868427476508284</v>
      </c>
      <c r="AK23" s="76">
        <f>IFERROR(IF(AND(Irr!K23&lt;&gt;".",Irr!AI23&lt;&gt;".",Irr!BG23&lt;&gt;"."),dir!AK23/((1/1000)*(Irr!K23+Irr!AI23+Irr!BG23)),IF(AND(Irr!K23&lt;&gt;".",Irr!AI23&lt;&gt;".",Irr!BG23="."),dir!AK23/((1/1000)*(Irr!K23+Irr!AI23)),IF(AND(Irr!K23&lt;&gt;".",Irr!AI23=".",Irr!BG23&lt;&gt;"."),dir!AK23/((1/1000)*(Irr!K23+Irr!BG23)),IF(AND(Irr!K23=".",Irr!AI23&lt;&gt;".",Irr!BG23&lt;&gt;"."),dir!AK23/((1/1000)*(Irr!AI23+Irr!BG23)),IF(AND(Irr!K23=".",Irr!AI23=".",Irr!BG23&lt;&gt;"."),dir!AK23/((1/1000)*(Irr!BG23)),IF(AND(Irr!K23=".",Irr!AI23&lt;&gt;".",Irr!BG23="."),dir!AK23/((1/1000)*(Irr!AI23)),IF(AND(Irr!K23&lt;&gt;".",Irr!AI23=".",Irr!BG23="."),dir!AK23/((1/1000)*(Irr!K23)),IF(AND(Irr!K23=".",Irr!AI23=".",Irr!BG23="."),dir!AK23*1000)))))))),".")</f>
        <v>0.49863593248023469</v>
      </c>
      <c r="AL23" s="76">
        <f>IFERROR(IF(AND(Irr!L23&lt;&gt;".",Irr!AJ23&lt;&gt;".",Irr!BH23&lt;&gt;"."),dir!AL23/((1/1000)*(Irr!L23+Irr!AJ23+Irr!BH23)),IF(AND(Irr!L23&lt;&gt;".",Irr!AJ23&lt;&gt;".",Irr!BH23="."),dir!AL23/((1/1000)*(Irr!L23+Irr!AJ23)),IF(AND(Irr!L23&lt;&gt;".",Irr!AJ23=".",Irr!BH23&lt;&gt;"."),dir!AL23/((1/1000)*(Irr!L23+Irr!BH23)),IF(AND(Irr!L23=".",Irr!AJ23&lt;&gt;".",Irr!BH23&lt;&gt;"."),dir!AL23/((1/1000)*(Irr!AJ23+Irr!BH23)),IF(AND(Irr!L23=".",Irr!AJ23=".",Irr!BH23&lt;&gt;"."),dir!AL23/((1/1000)*(Irr!BH23)),IF(AND(Irr!L23=".",Irr!AJ23&lt;&gt;".",Irr!BH23="."),dir!AL23/((1/1000)*(Irr!AJ23)),IF(AND(Irr!L23&lt;&gt;".",Irr!AJ23=".",Irr!BH23="."),dir!AL23/((1/1000)*(Irr!L23)),IF(AND(Irr!L23=".",Irr!AJ23=".",Irr!BH23="."),dir!AL23*1000)))))))),".")</f>
        <v>0.66396342051828605</v>
      </c>
      <c r="AM23" s="76">
        <f>IFERROR(IF(AND(Irr!M23&lt;&gt;".",Irr!AK23&lt;&gt;".",Irr!BI23&lt;&gt;"."),dir!AM23/((1/1000)*(Irr!M23+Irr!AK23+Irr!BI23)),IF(AND(Irr!M23&lt;&gt;".",Irr!AK23&lt;&gt;".",Irr!BI23="."),dir!AM23/((1/1000)*(Irr!M23+Irr!AK23)),IF(AND(Irr!M23&lt;&gt;".",Irr!AK23=".",Irr!BI23&lt;&gt;"."),dir!AM23/((1/1000)*(Irr!M23+Irr!BI23)),IF(AND(Irr!M23=".",Irr!AK23&lt;&gt;".",Irr!BI23&lt;&gt;"."),dir!AM23/((1/1000)*(Irr!AK23+Irr!BI23)),IF(AND(Irr!M23=".",Irr!AK23=".",Irr!BI23&lt;&gt;"."),dir!AM23/((1/1000)*(Irr!BI23)),IF(AND(Irr!M23=".",Irr!AK23&lt;&gt;".",Irr!BI23="."),dir!AM23/((1/1000)*(Irr!AK23)),IF(AND(Irr!M23&lt;&gt;".",Irr!AK23=".",Irr!BI23="."),dir!AM23/((1/1000)*(Irr!M23)),IF(AND(Irr!M23=".",Irr!AK23=".",Irr!BI23="."),dir!AM23*1000)))))))),".")</f>
        <v>0.57912366676331495</v>
      </c>
      <c r="AN23" s="76">
        <f>IFERROR(IF(AND(Irr!N23&lt;&gt;".",Irr!AL23&lt;&gt;".",Irr!BJ23&lt;&gt;"."),dir!AN23/((1/1000)*(Irr!N23+Irr!AL23+Irr!BJ23)),IF(AND(Irr!N23&lt;&gt;".",Irr!AL23&lt;&gt;".",Irr!BJ23="."),dir!AN23/((1/1000)*(Irr!N23+Irr!AL23)),IF(AND(Irr!N23&lt;&gt;".",Irr!AL23=".",Irr!BJ23&lt;&gt;"."),dir!AN23/((1/1000)*(Irr!N23+Irr!BJ23)),IF(AND(Irr!N23=".",Irr!AL23&lt;&gt;".",Irr!BJ23&lt;&gt;"."),dir!AN23/((1/1000)*(Irr!AL23+Irr!BJ23)),IF(AND(Irr!N23=".",Irr!AL23=".",Irr!BJ23&lt;&gt;"."),dir!AN23/((1/1000)*(Irr!BJ23)),IF(AND(Irr!N23=".",Irr!AL23&lt;&gt;".",Irr!BJ23="."),dir!AN23/((1/1000)*(Irr!AL23)),IF(AND(Irr!N23&lt;&gt;".",Irr!AL23=".",Irr!BJ23="."),dir!AN23/((1/1000)*(Irr!N23)),IF(AND(Irr!N23=".",Irr!AL23=".",Irr!BJ23="."),dir!AN23*1000)))))))),".")</f>
        <v>1.0924575179001361</v>
      </c>
      <c r="AO23" s="76">
        <f>IFERROR(IF(AND(Irr!O23&lt;&gt;".",Irr!AM23&lt;&gt;".",Irr!BK23&lt;&gt;"."),dir!AO23/((1/1000)*(Irr!O23+Irr!AM23+Irr!BK23)),IF(AND(Irr!O23&lt;&gt;".",Irr!AM23&lt;&gt;".",Irr!BK23="."),dir!AO23/((1/1000)*(Irr!O23+Irr!AM23)),IF(AND(Irr!O23&lt;&gt;".",Irr!AM23=".",Irr!BK23&lt;&gt;"."),dir!AO23/((1/1000)*(Irr!O23+Irr!BK23)),IF(AND(Irr!O23=".",Irr!AM23&lt;&gt;".",Irr!BK23&lt;&gt;"."),dir!AO23/((1/1000)*(Irr!AM23+Irr!BK23)),IF(AND(Irr!O23=".",Irr!AM23=".",Irr!BK23&lt;&gt;"."),dir!AO23/((1/1000)*(Irr!BK23)),IF(AND(Irr!O23=".",Irr!AM23&lt;&gt;".",Irr!BK23="."),dir!AO23/((1/1000)*(Irr!AM23)),IF(AND(Irr!O23&lt;&gt;".",Irr!AM23=".",Irr!BK23="."),dir!AO23/((1/1000)*(Irr!O23)),IF(AND(Irr!O23=".",Irr!AM23=".",Irr!BK23="."),dir!AO23*1000)))))))),".")</f>
        <v>1.2339322720822223</v>
      </c>
      <c r="AP23" s="76">
        <f>IFERROR(IF(AND(Irr!P23&lt;&gt;".",Irr!AN23&lt;&gt;".",Irr!BL23&lt;&gt;"."),dir!AP23/((1/1000)*(Irr!P23+Irr!AN23+Irr!BL23)),IF(AND(Irr!P23&lt;&gt;".",Irr!AN23&lt;&gt;".",Irr!BL23="."),dir!AP23/((1/1000)*(Irr!P23+Irr!AN23)),IF(AND(Irr!P23&lt;&gt;".",Irr!AN23=".",Irr!BL23&lt;&gt;"."),dir!AP23/((1/1000)*(Irr!P23+Irr!BL23)),IF(AND(Irr!P23=".",Irr!AN23&lt;&gt;".",Irr!BL23&lt;&gt;"."),dir!AP23/((1/1000)*(Irr!AN23+Irr!BL23)),IF(AND(Irr!P23=".",Irr!AN23=".",Irr!BL23&lt;&gt;"."),dir!AP23/((1/1000)*(Irr!BL23)),IF(AND(Irr!P23=".",Irr!AN23&lt;&gt;".",Irr!BL23="."),dir!AP23/((1/1000)*(Irr!AN23)),IF(AND(Irr!P23&lt;&gt;".",Irr!AN23=".",Irr!BL23="."),dir!AP23/((1/1000)*(Irr!P23)),IF(AND(Irr!P23=".",Irr!AN23=".",Irr!BL23="."),dir!AP23*1000)))))))),".")</f>
        <v>1.3492294283178747</v>
      </c>
      <c r="AQ23" s="76">
        <f>IFERROR(IF(AND(Irr!Q23&lt;&gt;".",Irr!AO23&lt;&gt;".",Irr!BM23&lt;&gt;"."),dir!AQ23/((1/1000)*(Irr!Q23+Irr!AO23+Irr!BM23)),IF(AND(Irr!Q23&lt;&gt;".",Irr!AO23&lt;&gt;".",Irr!BM23="."),dir!AQ23/((1/1000)*(Irr!Q23+Irr!AO23)),IF(AND(Irr!Q23&lt;&gt;".",Irr!AO23=".",Irr!BM23&lt;&gt;"."),dir!AQ23/((1/1000)*(Irr!Q23+Irr!BM23)),IF(AND(Irr!Q23=".",Irr!AO23&lt;&gt;".",Irr!BM23&lt;&gt;"."),dir!AQ23/((1/1000)*(Irr!AO23+Irr!BM23)),IF(AND(Irr!Q23=".",Irr!AO23=".",Irr!BM23&lt;&gt;"."),dir!AQ23/((1/1000)*(Irr!BM23)),IF(AND(Irr!Q23=".",Irr!AO23&lt;&gt;".",Irr!BM23="."),dir!AQ23/((1/1000)*(Irr!AO23)),IF(AND(Irr!Q23&lt;&gt;".",Irr!AO23=".",Irr!BM23="."),dir!AQ23/((1/1000)*(Irr!Q23)),IF(AND(Irr!Q23=".",Irr!AO23=".",Irr!BM23="."),dir!AQ23*1000)))))))),".")</f>
        <v>0.33820127846888215</v>
      </c>
      <c r="AR23" s="76">
        <f>IFERROR(IF(AND(Irr!R23&lt;&gt;".",Irr!AP23&lt;&gt;".",Irr!BN23&lt;&gt;"."),dir!AR23/((1/1000)*(Irr!R23+Irr!AP23+Irr!BN23)),IF(AND(Irr!R23&lt;&gt;".",Irr!AP23&lt;&gt;".",Irr!BN23="."),dir!AR23/((1/1000)*(Irr!R23+Irr!AP23)),IF(AND(Irr!R23&lt;&gt;".",Irr!AP23=".",Irr!BN23&lt;&gt;"."),dir!AR23/((1/1000)*(Irr!R23+Irr!BN23)),IF(AND(Irr!R23=".",Irr!AP23&lt;&gt;".",Irr!BN23&lt;&gt;"."),dir!AR23/((1/1000)*(Irr!AP23+Irr!BN23)),IF(AND(Irr!R23=".",Irr!AP23=".",Irr!BN23&lt;&gt;"."),dir!AR23/((1/1000)*(Irr!BN23)),IF(AND(Irr!R23=".",Irr!AP23&lt;&gt;".",Irr!BN23="."),dir!AR23/((1/1000)*(Irr!AP23)),IF(AND(Irr!R23&lt;&gt;".",Irr!AP23=".",Irr!BN23="."),dir!AR23/((1/1000)*(Irr!R23)),IF(AND(Irr!R23=".",Irr!AP23=".",Irr!BN23="."),dir!AR23*1000)))))))),".")</f>
        <v>0.55520708695388277</v>
      </c>
      <c r="AS23" s="76">
        <f>IFERROR(IF(AND(Irr!S23&lt;&gt;".",Irr!AQ23&lt;&gt;".",Irr!BO23&lt;&gt;"."),dir!AS23/((1/1000)*(Irr!S23+Irr!AQ23+Irr!BO23)),IF(AND(Irr!S23&lt;&gt;".",Irr!AQ23&lt;&gt;".",Irr!BO23="."),dir!AS23/((1/1000)*(Irr!S23+Irr!AQ23)),IF(AND(Irr!S23&lt;&gt;".",Irr!AQ23=".",Irr!BO23&lt;&gt;"."),dir!AS23/((1/1000)*(Irr!S23+Irr!BO23)),IF(AND(Irr!S23=".",Irr!AQ23&lt;&gt;".",Irr!BO23&lt;&gt;"."),dir!AS23/((1/1000)*(Irr!AQ23+Irr!BO23)),IF(AND(Irr!S23=".",Irr!AQ23=".",Irr!BO23&lt;&gt;"."),dir!AS23/((1/1000)*(Irr!BO23)),IF(AND(Irr!S23=".",Irr!AQ23&lt;&gt;".",Irr!BO23="."),dir!AS23/((1/1000)*(Irr!AQ23)),IF(AND(Irr!S23&lt;&gt;".",Irr!AQ23=".",Irr!BO23="."),dir!AS23/((1/1000)*(Irr!S23)),IF(AND(Irr!S23=".",Irr!AQ23=".",Irr!BO23="."),dir!AS23*1000)))))))),".")</f>
        <v>1.0711187015687502</v>
      </c>
      <c r="AT23" s="76">
        <f>IFERROR(IF(AND(Irr!T23&lt;&gt;".",Irr!AR23&lt;&gt;".",Irr!BP23&lt;&gt;"."),dir!AT23/((1/1000)*(Irr!T23+Irr!AR23+Irr!BP23)),IF(AND(Irr!T23&lt;&gt;".",Irr!AR23&lt;&gt;".",Irr!BP23="."),dir!AT23/((1/1000)*(Irr!T23+Irr!AR23)),IF(AND(Irr!T23&lt;&gt;".",Irr!AR23=".",Irr!BP23&lt;&gt;"."),dir!AT23/((1/1000)*(Irr!T23+Irr!BP23)),IF(AND(Irr!T23=".",Irr!AR23&lt;&gt;".",Irr!BP23&lt;&gt;"."),dir!AT23/((1/1000)*(Irr!AR23+Irr!BP23)),IF(AND(Irr!T23=".",Irr!AR23=".",Irr!BP23&lt;&gt;"."),dir!AT23/((1/1000)*(Irr!BP23)),IF(AND(Irr!T23=".",Irr!AR23&lt;&gt;".",Irr!BP23="."),dir!AT23/((1/1000)*(Irr!AR23)),IF(AND(Irr!T23&lt;&gt;".",Irr!AR23=".",Irr!BP23="."),dir!AT23/((1/1000)*(Irr!T23)),IF(AND(Irr!T23=".",Irr!AR23=".",Irr!BP23="."),dir!AT23*1000)))))))),".")</f>
        <v>0.26602753182802386</v>
      </c>
      <c r="AU23" s="76">
        <f>IFERROR(IF(AND(Irr!U23&lt;&gt;".",Irr!AS23&lt;&gt;".",Irr!BQ23&lt;&gt;"."),dir!AU23/((1/1000)*(Irr!U23+Irr!AS23+Irr!BQ23)),IF(AND(Irr!U23&lt;&gt;".",Irr!AS23&lt;&gt;".",Irr!BQ23="."),dir!AU23/((1/1000)*(Irr!U23+Irr!AS23)),IF(AND(Irr!U23&lt;&gt;".",Irr!AS23=".",Irr!BQ23&lt;&gt;"."),dir!AU23/((1/1000)*(Irr!U23+Irr!BQ23)),IF(AND(Irr!U23=".",Irr!AS23&lt;&gt;".",Irr!BQ23&lt;&gt;"."),dir!AU23/((1/1000)*(Irr!AS23+Irr!BQ23)),IF(AND(Irr!U23=".",Irr!AS23=".",Irr!BQ23&lt;&gt;"."),dir!AU23/((1/1000)*(Irr!BQ23)),IF(AND(Irr!U23=".",Irr!AS23&lt;&gt;".",Irr!BQ23="."),dir!AU23/((1/1000)*(Irr!AS23)),IF(AND(Irr!U23&lt;&gt;".",Irr!AS23=".",Irr!BQ23="."),dir!AU23/((1/1000)*(Irr!U23)),IF(AND(Irr!U23=".",Irr!AS23=".",Irr!BQ23="."),dir!AU23*1000)))))))),".")</f>
        <v>0.52799963072227662</v>
      </c>
      <c r="AV23" s="76">
        <f>IFERROR(IF(AND(Irr!V23&lt;&gt;".",Irr!AT23&lt;&gt;".",Irr!BR23&lt;&gt;"."),dir!AV23/((1/1000)*(Irr!V23+Irr!AT23+Irr!BR23)),IF(AND(Irr!V23&lt;&gt;".",Irr!AT23&lt;&gt;".",Irr!BR23="."),dir!AV23/((1/1000)*(Irr!V23+Irr!AT23)),IF(AND(Irr!V23&lt;&gt;".",Irr!AT23=".",Irr!BR23&lt;&gt;"."),dir!AV23/((1/1000)*(Irr!V23+Irr!BR23)),IF(AND(Irr!V23=".",Irr!AT23&lt;&gt;".",Irr!BR23&lt;&gt;"."),dir!AV23/((1/1000)*(Irr!AT23+Irr!BR23)),IF(AND(Irr!V23=".",Irr!AT23=".",Irr!BR23&lt;&gt;"."),dir!AV23/((1/1000)*(Irr!BR23)),IF(AND(Irr!V23=".",Irr!AT23&lt;&gt;".",Irr!BR23="."),dir!AV23/((1/1000)*(Irr!AT23)),IF(AND(Irr!V23&lt;&gt;".",Irr!AT23=".",Irr!BR23="."),dir!AV23/((1/1000)*(Irr!V23)),IF(AND(Irr!V23=".",Irr!AT23=".",Irr!BR23="."),dir!AV23*1000)))))))),".")</f>
        <v>0.64025090501156146</v>
      </c>
      <c r="AW23" s="76">
        <f>IFERROR(IF(AND(Irr!W23&lt;&gt;".",Irr!AU23&lt;&gt;".",Irr!BS23&lt;&gt;"."),dir!AW23/((1/1000)*(Irr!W23+Irr!AU23+Irr!BS23)),IF(AND(Irr!W23&lt;&gt;".",Irr!AU23&lt;&gt;".",Irr!BS23="."),dir!AW23/((1/1000)*(Irr!W23+Irr!AU23)),IF(AND(Irr!W23&lt;&gt;".",Irr!AU23=".",Irr!BS23&lt;&gt;"."),dir!AW23/((1/1000)*(Irr!W23+Irr!BS23)),IF(AND(Irr!W23=".",Irr!AU23&lt;&gt;".",Irr!BS23&lt;&gt;"."),dir!AW23/((1/1000)*(Irr!AU23+Irr!BS23)),IF(AND(Irr!W23=".",Irr!AU23=".",Irr!BS23&lt;&gt;"."),dir!AW23/((1/1000)*(Irr!BS23)),IF(AND(Irr!W23=".",Irr!AU23&lt;&gt;".",Irr!BS23="."),dir!AW23/((1/1000)*(Irr!AU23)),IF(AND(Irr!W23&lt;&gt;".",Irr!AU23=".",Irr!BS23="."),dir!AW23/((1/1000)*(Irr!W23)),IF(AND(Irr!W23=".",Irr!AU23=".",Irr!BS23="."),dir!AW23*1000)))))))),".")</f>
        <v>0.90783500955605201</v>
      </c>
      <c r="AX23" s="76">
        <f>IFERROR(IF(AND(Irr!X23&lt;&gt;".",Irr!AV23&lt;&gt;".",Irr!BT23&lt;&gt;"."),dir!AX23/((1/1000)*(Irr!X23+Irr!AV23+Irr!BT23)),IF(AND(Irr!X23&lt;&gt;".",Irr!AV23&lt;&gt;".",Irr!BT23="."),dir!AX23/((1/1000)*(Irr!X23+Irr!AV23)),IF(AND(Irr!X23&lt;&gt;".",Irr!AV23=".",Irr!BT23&lt;&gt;"."),dir!AX23/((1/1000)*(Irr!X23+Irr!BT23)),IF(AND(Irr!X23=".",Irr!AV23&lt;&gt;".",Irr!BT23&lt;&gt;"."),dir!AX23/((1/1000)*(Irr!AV23+Irr!BT23)),IF(AND(Irr!X23=".",Irr!AV23=".",Irr!BT23&lt;&gt;"."),dir!AX23/((1/1000)*(Irr!BT23)),IF(AND(Irr!X23=".",Irr!AV23&lt;&gt;".",Irr!BT23="."),dir!AX23/((1/1000)*(Irr!AV23)),IF(AND(Irr!X23&lt;&gt;".",Irr!AV23=".",Irr!BT23="."),dir!AX23/((1/1000)*(Irr!X23)),IF(AND(Irr!X23=".",Irr!AV23=".",Irr!BT23="."),dir!AX23*1000)))))))),".")</f>
        <v>0.37801716113066547</v>
      </c>
      <c r="AY23" s="76">
        <f>IFERROR(IF(AND(Irr!Y23&lt;&gt;".",Irr!AW23&lt;&gt;".",Irr!BU23&lt;&gt;"."),dir!AY23/((1/1000)*(Irr!Y23+Irr!AW23+Irr!BU23)),IF(AND(Irr!Y23&lt;&gt;".",Irr!AW23&lt;&gt;".",Irr!BU23="."),dir!AY23/((1/1000)*(Irr!Y23+Irr!AW23)),IF(AND(Irr!Y23&lt;&gt;".",Irr!AW23=".",Irr!BU23&lt;&gt;"."),dir!AY23/((1/1000)*(Irr!Y23+Irr!BU23)),IF(AND(Irr!Y23=".",Irr!AW23&lt;&gt;".",Irr!BU23&lt;&gt;"."),dir!AY23/((1/1000)*(Irr!AW23+Irr!BU23)),IF(AND(Irr!Y23=".",Irr!AW23=".",Irr!BU23&lt;&gt;"."),dir!AY23/((1/1000)*(Irr!BU23)),IF(AND(Irr!Y23=".",Irr!AW23&lt;&gt;".",Irr!BU23="."),dir!AY23/((1/1000)*(Irr!AW23)),IF(AND(Irr!Y23&lt;&gt;".",Irr!AW23=".",Irr!BU23="."),dir!AY23/((1/1000)*(Irr!Y23)),IF(AND(Irr!Y23=".",Irr!AW23=".",Irr!BU23="."),dir!AY23*1000)))))))),".")</f>
        <v>0.13691060270584263</v>
      </c>
      <c r="AZ23" s="76">
        <f>IFERROR(IF(AND(Irr!Z23&lt;&gt;".",Irr!AX23&lt;&gt;".",Irr!BV23&lt;&gt;"."),dir!AZ23/((1/1000)*(Irr!Z23+Irr!AX23+Irr!BV23)),IF(AND(Irr!Z23&lt;&gt;".",Irr!AX23&lt;&gt;".",Irr!BV23="."),dir!AZ23/((1/1000)*(Irr!Z23+Irr!AX23)),IF(AND(Irr!Z23&lt;&gt;".",Irr!AX23=".",Irr!BV23&lt;&gt;"."),dir!AZ23/((1/1000)*(Irr!Z23+Irr!BV23)),IF(AND(Irr!Z23=".",Irr!AX23&lt;&gt;".",Irr!BV23&lt;&gt;"."),dir!AZ23/((1/1000)*(Irr!AX23+Irr!BV23)),IF(AND(Irr!Z23=".",Irr!AX23=".",Irr!BV23&lt;&gt;"."),dir!AZ23/((1/1000)*(Irr!BV23)),IF(AND(Irr!Z23=".",Irr!AX23&lt;&gt;".",Irr!BV23="."),dir!AZ23/((1/1000)*(Irr!AX23)),IF(AND(Irr!Z23&lt;&gt;".",Irr!AX23=".",Irr!BV23="."),dir!AZ23/((1/1000)*(Irr!Z23)),IF(AND(Irr!Z23=".",Irr!AX23=".",Irr!BV23="."),dir!AZ23*1000)))))))),".")</f>
        <v>0.12388632206500207</v>
      </c>
    </row>
    <row r="24" spans="1:52" ht="15" customHeight="1" x14ac:dyDescent="0.25">
      <c r="A24" s="92" t="s">
        <v>34</v>
      </c>
      <c r="B24" s="90" t="s">
        <v>1074</v>
      </c>
      <c r="C24" s="76" t="str">
        <f t="shared" ref="C24:C25" si="20">IFERROR(1/SUM(1/D24,1/E24,1/F24,1/G24,1/H24,1/I24,1/J24,1/K24,1/L24,1/M24,1/N24,1/O24,1/P24,1/Q24,1/R24,1/S24,1/T24,1/U24,1/V24,1/W24,1/X24,1/Y24),".")</f>
        <v>.</v>
      </c>
      <c r="D24" s="76" t="str">
        <f>IFERROR(IF(AND(Irr!C24&lt;&gt;".",Irr!AA24&lt;&gt;".",Irr!AY24&lt;&gt;"."),dir!D24/((1/1000)*(Irr!C24+Irr!AA24+Irr!AY24)),IF(AND(Irr!C24&lt;&gt;".",Irr!AA24&lt;&gt;".",Irr!AY24="."),dir!D24/((1/1000)*(Irr!C24+Irr!AA24)),IF(AND(Irr!C24&lt;&gt;".",Irr!AA24=".",Irr!AY24&lt;&gt;"."),dir!D24/((1/1000)*(Irr!C24+Irr!AY24)),IF(AND(Irr!C24=".",Irr!AA24&lt;&gt;".",Irr!AY24&lt;&gt;"."),dir!D24/((1/1000)*(Irr!AA24+Irr!AY24)),IF(AND(Irr!C24=".",Irr!AA24=".",Irr!AY24&lt;&gt;"."),dir!D24/((1/1000)*(Irr!AY24)),IF(AND(Irr!C24=".",Irr!AA24&lt;&gt;".",Irr!AY24="."),dir!D24/((1/1000)*(Irr!AA24)),IF(AND(Irr!C24&lt;&gt;".",Irr!AA24=".",Irr!AY24="."),dir!D24/((1/1000)*(Irr!C24)),IF(AND(Irr!C24=".",Irr!AA24=".",Irr!AY24="."),dir!D24*1000)))))))),".")</f>
        <v>.</v>
      </c>
      <c r="E24" s="76" t="str">
        <f>IFERROR(IF(AND(Irr!D24&lt;&gt;".",Irr!AB24&lt;&gt;".",Irr!AZ24&lt;&gt;"."),dir!E24/((1/1000)*(Irr!D24+Irr!AB24+Irr!AZ24)),IF(AND(Irr!D24&lt;&gt;".",Irr!AB24&lt;&gt;".",Irr!AZ24="."),dir!E24/((1/1000)*(Irr!D24+Irr!AB24)),IF(AND(Irr!D24&lt;&gt;".",Irr!AB24=".",Irr!AZ24&lt;&gt;"."),dir!E24/((1/1000)*(Irr!D24+Irr!AZ24)),IF(AND(Irr!D24=".",Irr!AB24&lt;&gt;".",Irr!AZ24&lt;&gt;"."),dir!E24/((1/1000)*(Irr!AB24+Irr!AZ24)),IF(AND(Irr!D24=".",Irr!AB24=".",Irr!AZ24&lt;&gt;"."),dir!E24/((1/1000)*(Irr!AZ24)),IF(AND(Irr!D24=".",Irr!AB24&lt;&gt;".",Irr!AZ24="."),dir!E24/((1/1000)*(Irr!AB24)),IF(AND(Irr!D24&lt;&gt;".",Irr!AB24=".",Irr!AZ24="."),dir!E24/((1/1000)*(Irr!D24)),IF(AND(Irr!D24=".",Irr!AB24=".",Irr!AZ24="."),dir!E24*1000)))))))),".")</f>
        <v>.</v>
      </c>
      <c r="F24" s="76" t="str">
        <f>IFERROR(IF(AND(Irr!E24&lt;&gt;".",Irr!AC24&lt;&gt;".",Irr!BA24&lt;&gt;"."),dir!F24/((1/1000)*(Irr!E24+Irr!AC24+Irr!BA24)),IF(AND(Irr!E24&lt;&gt;".",Irr!AC24&lt;&gt;".",Irr!BA24="."),dir!F24/((1/1000)*(Irr!E24+Irr!AC24)),IF(AND(Irr!E24&lt;&gt;".",Irr!AC24=".",Irr!BA24&lt;&gt;"."),dir!F24/((1/1000)*(Irr!E24+Irr!BA24)),IF(AND(Irr!E24=".",Irr!AC24&lt;&gt;".",Irr!BA24&lt;&gt;"."),dir!F24/((1/1000)*(Irr!AC24+Irr!BA24)),IF(AND(Irr!E24=".",Irr!AC24=".",Irr!BA24&lt;&gt;"."),dir!F24/((1/1000)*(Irr!BA24)),IF(AND(Irr!E24=".",Irr!AC24&lt;&gt;".",Irr!BA24="."),dir!F24/((1/1000)*(Irr!AC24)),IF(AND(Irr!E24&lt;&gt;".",Irr!AC24=".",Irr!BA24="."),dir!F24/((1/1000)*(Irr!E24)),IF(AND(Irr!E24=".",Irr!AC24=".",Irr!BA24="."),dir!F24*1000)))))))),".")</f>
        <v>.</v>
      </c>
      <c r="G24" s="76" t="str">
        <f>IFERROR(IF(AND(Irr!F24&lt;&gt;".",Irr!AD24&lt;&gt;".",Irr!BB24&lt;&gt;"."),dir!G24/((1/1000)*(Irr!F24+Irr!AD24+Irr!BB24)),IF(AND(Irr!F24&lt;&gt;".",Irr!AD24&lt;&gt;".",Irr!BB24="."),dir!G24/((1/1000)*(Irr!F24+Irr!AD24)),IF(AND(Irr!F24&lt;&gt;".",Irr!AD24=".",Irr!BB24&lt;&gt;"."),dir!G24/((1/1000)*(Irr!F24+Irr!BB24)),IF(AND(Irr!F24=".",Irr!AD24&lt;&gt;".",Irr!BB24&lt;&gt;"."),dir!G24/((1/1000)*(Irr!AD24+Irr!BB24)),IF(AND(Irr!F24=".",Irr!AD24=".",Irr!BB24&lt;&gt;"."),dir!G24/((1/1000)*(Irr!BB24)),IF(AND(Irr!F24=".",Irr!AD24&lt;&gt;".",Irr!BB24="."),dir!G24/((1/1000)*(Irr!AD24)),IF(AND(Irr!F24&lt;&gt;".",Irr!AD24=".",Irr!BB24="."),dir!G24/((1/1000)*(Irr!F24)),IF(AND(Irr!F24=".",Irr!AD24=".",Irr!BB24="."),dir!G24*1000)))))))),".")</f>
        <v>.</v>
      </c>
      <c r="H24" s="76" t="str">
        <f>IFERROR(IF(AND(Irr!G24&lt;&gt;".",Irr!AE24&lt;&gt;".",Irr!BC24&lt;&gt;"."),dir!H24/((1/1000)*(Irr!G24+Irr!AE24+Irr!BC24)),IF(AND(Irr!G24&lt;&gt;".",Irr!AE24&lt;&gt;".",Irr!BC24="."),dir!H24/((1/1000)*(Irr!G24+Irr!AE24)),IF(AND(Irr!G24&lt;&gt;".",Irr!AE24=".",Irr!BC24&lt;&gt;"."),dir!H24/((1/1000)*(Irr!G24+Irr!BC24)),IF(AND(Irr!G24=".",Irr!AE24&lt;&gt;".",Irr!BC24&lt;&gt;"."),dir!H24/((1/1000)*(Irr!AE24+Irr!BC24)),IF(AND(Irr!G24=".",Irr!AE24=".",Irr!BC24&lt;&gt;"."),dir!H24/((1/1000)*(Irr!BC24)),IF(AND(Irr!G24=".",Irr!AE24&lt;&gt;".",Irr!BC24="."),dir!H24/((1/1000)*(Irr!AE24)),IF(AND(Irr!G24&lt;&gt;".",Irr!AE24=".",Irr!BC24="."),dir!H24/((1/1000)*(Irr!G24)),IF(AND(Irr!G24=".",Irr!AE24=".",Irr!BC24="."),dir!H24*1000)))))))),".")</f>
        <v>.</v>
      </c>
      <c r="I24" s="76" t="str">
        <f>IFERROR(IF(AND(Irr!H24&lt;&gt;".",Irr!AF24&lt;&gt;".",Irr!BD24&lt;&gt;"."),dir!I24/((1/1000)*(Irr!H24+Irr!AF24+Irr!BD24)),IF(AND(Irr!H24&lt;&gt;".",Irr!AF24&lt;&gt;".",Irr!BD24="."),dir!I24/((1/1000)*(Irr!H24+Irr!AF24)),IF(AND(Irr!H24&lt;&gt;".",Irr!AF24=".",Irr!BD24&lt;&gt;"."),dir!I24/((1/1000)*(Irr!H24+Irr!BD24)),IF(AND(Irr!H24=".",Irr!AF24&lt;&gt;".",Irr!BD24&lt;&gt;"."),dir!I24/((1/1000)*(Irr!AF24+Irr!BD24)),IF(AND(Irr!H24=".",Irr!AF24=".",Irr!BD24&lt;&gt;"."),dir!I24/((1/1000)*(Irr!BD24)),IF(AND(Irr!H24=".",Irr!AF24&lt;&gt;".",Irr!BD24="."),dir!I24/((1/1000)*(Irr!AF24)),IF(AND(Irr!H24&lt;&gt;".",Irr!AF24=".",Irr!BD24="."),dir!I24/((1/1000)*(Irr!H24)),IF(AND(Irr!H24=".",Irr!AF24=".",Irr!BD24="."),dir!I24*1000)))))))),".")</f>
        <v>.</v>
      </c>
      <c r="J24" s="76" t="str">
        <f>IFERROR(IF(AND(Irr!I24&lt;&gt;".",Irr!AG24&lt;&gt;".",Irr!BE24&lt;&gt;"."),dir!J24/((1/1000)*(Irr!I24+Irr!AG24+Irr!BE24)),IF(AND(Irr!I24&lt;&gt;".",Irr!AG24&lt;&gt;".",Irr!BE24="."),dir!J24/((1/1000)*(Irr!I24+Irr!AG24)),IF(AND(Irr!I24&lt;&gt;".",Irr!AG24=".",Irr!BE24&lt;&gt;"."),dir!J24/((1/1000)*(Irr!I24+Irr!BE24)),IF(AND(Irr!I24=".",Irr!AG24&lt;&gt;".",Irr!BE24&lt;&gt;"."),dir!J24/((1/1000)*(Irr!AG24+Irr!BE24)),IF(AND(Irr!I24=".",Irr!AG24=".",Irr!BE24&lt;&gt;"."),dir!J24/((1/1000)*(Irr!BE24)),IF(AND(Irr!I24=".",Irr!AG24&lt;&gt;".",Irr!BE24="."),dir!J24/((1/1000)*(Irr!AG24)),IF(AND(Irr!I24&lt;&gt;".",Irr!AG24=".",Irr!BE24="."),dir!J24/((1/1000)*(Irr!I24)),IF(AND(Irr!I24=".",Irr!AG24=".",Irr!BE24="."),dir!J24*1000)))))))),".")</f>
        <v>.</v>
      </c>
      <c r="K24" s="76" t="str">
        <f>IFERROR(IF(AND(Irr!J24&lt;&gt;".",Irr!AH24&lt;&gt;".",Irr!BF24&lt;&gt;"."),dir!K24/((1/1000)*(Irr!J24+Irr!AH24+Irr!BF24)),IF(AND(Irr!J24&lt;&gt;".",Irr!AH24&lt;&gt;".",Irr!BF24="."),dir!K24/((1/1000)*(Irr!J24+Irr!AH24)),IF(AND(Irr!J24&lt;&gt;".",Irr!AH24=".",Irr!BF24&lt;&gt;"."),dir!K24/((1/1000)*(Irr!J24+Irr!BF24)),IF(AND(Irr!J24=".",Irr!AH24&lt;&gt;".",Irr!BF24&lt;&gt;"."),dir!K24/((1/1000)*(Irr!AH24+Irr!BF24)),IF(AND(Irr!J24=".",Irr!AH24=".",Irr!BF24&lt;&gt;"."),dir!K24/((1/1000)*(Irr!BF24)),IF(AND(Irr!J24=".",Irr!AH24&lt;&gt;".",Irr!BF24="."),dir!K24/((1/1000)*(Irr!AH24)),IF(AND(Irr!J24&lt;&gt;".",Irr!AH24=".",Irr!BF24="."),dir!K24/((1/1000)*(Irr!J24)),IF(AND(Irr!J24=".",Irr!AH24=".",Irr!BF24="."),dir!K24*1000)))))))),".")</f>
        <v>.</v>
      </c>
      <c r="L24" s="76" t="str">
        <f>IFERROR(IF(AND(Irr!K24&lt;&gt;".",Irr!AI24&lt;&gt;".",Irr!BG24&lt;&gt;"."),dir!L24/((1/1000)*(Irr!K24+Irr!AI24+Irr!BG24)),IF(AND(Irr!K24&lt;&gt;".",Irr!AI24&lt;&gt;".",Irr!BG24="."),dir!L24/((1/1000)*(Irr!K24+Irr!AI24)),IF(AND(Irr!K24&lt;&gt;".",Irr!AI24=".",Irr!BG24&lt;&gt;"."),dir!L24/((1/1000)*(Irr!K24+Irr!BG24)),IF(AND(Irr!K24=".",Irr!AI24&lt;&gt;".",Irr!BG24&lt;&gt;"."),dir!L24/((1/1000)*(Irr!AI24+Irr!BG24)),IF(AND(Irr!K24=".",Irr!AI24=".",Irr!BG24&lt;&gt;"."),dir!L24/((1/1000)*(Irr!BG24)),IF(AND(Irr!K24=".",Irr!AI24&lt;&gt;".",Irr!BG24="."),dir!L24/((1/1000)*(Irr!AI24)),IF(AND(Irr!K24&lt;&gt;".",Irr!AI24=".",Irr!BG24="."),dir!L24/((1/1000)*(Irr!K24)),IF(AND(Irr!K24=".",Irr!AI24=".",Irr!BG24="."),dir!L24*1000)))))))),".")</f>
        <v>.</v>
      </c>
      <c r="M24" s="76" t="str">
        <f>IFERROR(IF(AND(Irr!L24&lt;&gt;".",Irr!AJ24&lt;&gt;".",Irr!BH24&lt;&gt;"."),dir!M24/((1/1000)*(Irr!L24+Irr!AJ24+Irr!BH24)),IF(AND(Irr!L24&lt;&gt;".",Irr!AJ24&lt;&gt;".",Irr!BH24="."),dir!M24/((1/1000)*(Irr!L24+Irr!AJ24)),IF(AND(Irr!L24&lt;&gt;".",Irr!AJ24=".",Irr!BH24&lt;&gt;"."),dir!M24/((1/1000)*(Irr!L24+Irr!BH24)),IF(AND(Irr!L24=".",Irr!AJ24&lt;&gt;".",Irr!BH24&lt;&gt;"."),dir!M24/((1/1000)*(Irr!AJ24+Irr!BH24)),IF(AND(Irr!L24=".",Irr!AJ24=".",Irr!BH24&lt;&gt;"."),dir!M24/((1/1000)*(Irr!BH24)),IF(AND(Irr!L24=".",Irr!AJ24&lt;&gt;".",Irr!BH24="."),dir!M24/((1/1000)*(Irr!AJ24)),IF(AND(Irr!L24&lt;&gt;".",Irr!AJ24=".",Irr!BH24="."),dir!M24/((1/1000)*(Irr!L24)),IF(AND(Irr!L24=".",Irr!AJ24=".",Irr!BH24="."),dir!M24*1000)))))))),".")</f>
        <v>.</v>
      </c>
      <c r="N24" s="76" t="str">
        <f>IFERROR(IF(AND(Irr!M24&lt;&gt;".",Irr!AK24&lt;&gt;".",Irr!BI24&lt;&gt;"."),dir!N24/((1/1000)*(Irr!M24+Irr!AK24+Irr!BI24)),IF(AND(Irr!M24&lt;&gt;".",Irr!AK24&lt;&gt;".",Irr!BI24="."),dir!N24/((1/1000)*(Irr!M24+Irr!AK24)),IF(AND(Irr!M24&lt;&gt;".",Irr!AK24=".",Irr!BI24&lt;&gt;"."),dir!N24/((1/1000)*(Irr!M24+Irr!BI24)),IF(AND(Irr!M24=".",Irr!AK24&lt;&gt;".",Irr!BI24&lt;&gt;"."),dir!N24/((1/1000)*(Irr!AK24+Irr!BI24)),IF(AND(Irr!M24=".",Irr!AK24=".",Irr!BI24&lt;&gt;"."),dir!N24/((1/1000)*(Irr!BI24)),IF(AND(Irr!M24=".",Irr!AK24&lt;&gt;".",Irr!BI24="."),dir!N24/((1/1000)*(Irr!AK24)),IF(AND(Irr!M24&lt;&gt;".",Irr!AK24=".",Irr!BI24="."),dir!N24/((1/1000)*(Irr!M24)),IF(AND(Irr!M24=".",Irr!AK24=".",Irr!BI24="."),dir!N24*1000)))))))),".")</f>
        <v>.</v>
      </c>
      <c r="O24" s="76" t="str">
        <f>IFERROR(IF(AND(Irr!N24&lt;&gt;".",Irr!AL24&lt;&gt;".",Irr!BJ24&lt;&gt;"."),dir!O24/((1/1000)*(Irr!N24+Irr!AL24+Irr!BJ24)),IF(AND(Irr!N24&lt;&gt;".",Irr!AL24&lt;&gt;".",Irr!BJ24="."),dir!O24/((1/1000)*(Irr!N24+Irr!AL24)),IF(AND(Irr!N24&lt;&gt;".",Irr!AL24=".",Irr!BJ24&lt;&gt;"."),dir!O24/((1/1000)*(Irr!N24+Irr!BJ24)),IF(AND(Irr!N24=".",Irr!AL24&lt;&gt;".",Irr!BJ24&lt;&gt;"."),dir!O24/((1/1000)*(Irr!AL24+Irr!BJ24)),IF(AND(Irr!N24=".",Irr!AL24=".",Irr!BJ24&lt;&gt;"."),dir!O24/((1/1000)*(Irr!BJ24)),IF(AND(Irr!N24=".",Irr!AL24&lt;&gt;".",Irr!BJ24="."),dir!O24/((1/1000)*(Irr!AL24)),IF(AND(Irr!N24&lt;&gt;".",Irr!AL24=".",Irr!BJ24="."),dir!O24/((1/1000)*(Irr!N24)),IF(AND(Irr!N24=".",Irr!AL24=".",Irr!BJ24="."),dir!O24*1000)))))))),".")</f>
        <v>.</v>
      </c>
      <c r="P24" s="76" t="str">
        <f>IFERROR(IF(AND(Irr!O24&lt;&gt;".",Irr!AM24&lt;&gt;".",Irr!BK24&lt;&gt;"."),dir!P24/((1/1000)*(Irr!O24+Irr!AM24+Irr!BK24)),IF(AND(Irr!O24&lt;&gt;".",Irr!AM24&lt;&gt;".",Irr!BK24="."),dir!P24/((1/1000)*(Irr!O24+Irr!AM24)),IF(AND(Irr!O24&lt;&gt;".",Irr!AM24=".",Irr!BK24&lt;&gt;"."),dir!P24/((1/1000)*(Irr!O24+Irr!BK24)),IF(AND(Irr!O24=".",Irr!AM24&lt;&gt;".",Irr!BK24&lt;&gt;"."),dir!P24/((1/1000)*(Irr!AM24+Irr!BK24)),IF(AND(Irr!O24=".",Irr!AM24=".",Irr!BK24&lt;&gt;"."),dir!P24/((1/1000)*(Irr!BK24)),IF(AND(Irr!O24=".",Irr!AM24&lt;&gt;".",Irr!BK24="."),dir!P24/((1/1000)*(Irr!AM24)),IF(AND(Irr!O24&lt;&gt;".",Irr!AM24=".",Irr!BK24="."),dir!P24/((1/1000)*(Irr!O24)),IF(AND(Irr!O24=".",Irr!AM24=".",Irr!BK24="."),dir!P24*1000)))))))),".")</f>
        <v>.</v>
      </c>
      <c r="Q24" s="76" t="str">
        <f>IFERROR(IF(AND(Irr!P24&lt;&gt;".",Irr!AN24&lt;&gt;".",Irr!BL24&lt;&gt;"."),dir!Q24/((1/1000)*(Irr!P24+Irr!AN24+Irr!BL24)),IF(AND(Irr!P24&lt;&gt;".",Irr!AN24&lt;&gt;".",Irr!BL24="."),dir!Q24/((1/1000)*(Irr!P24+Irr!AN24)),IF(AND(Irr!P24&lt;&gt;".",Irr!AN24=".",Irr!BL24&lt;&gt;"."),dir!Q24/((1/1000)*(Irr!P24+Irr!BL24)),IF(AND(Irr!P24=".",Irr!AN24&lt;&gt;".",Irr!BL24&lt;&gt;"."),dir!Q24/((1/1000)*(Irr!AN24+Irr!BL24)),IF(AND(Irr!P24=".",Irr!AN24=".",Irr!BL24&lt;&gt;"."),dir!Q24/((1/1000)*(Irr!BL24)),IF(AND(Irr!P24=".",Irr!AN24&lt;&gt;".",Irr!BL24="."),dir!Q24/((1/1000)*(Irr!AN24)),IF(AND(Irr!P24&lt;&gt;".",Irr!AN24=".",Irr!BL24="."),dir!Q24/((1/1000)*(Irr!P24)),IF(AND(Irr!P24=".",Irr!AN24=".",Irr!BL24="."),dir!Q24*1000)))))))),".")</f>
        <v>.</v>
      </c>
      <c r="R24" s="76" t="str">
        <f>IFERROR(IF(AND(Irr!Q24&lt;&gt;".",Irr!AO24&lt;&gt;".",Irr!BM24&lt;&gt;"."),dir!R24/((1/1000)*(Irr!Q24+Irr!AO24+Irr!BM24)),IF(AND(Irr!Q24&lt;&gt;".",Irr!AO24&lt;&gt;".",Irr!BM24="."),dir!R24/((1/1000)*(Irr!Q24+Irr!AO24)),IF(AND(Irr!Q24&lt;&gt;".",Irr!AO24=".",Irr!BM24&lt;&gt;"."),dir!R24/((1/1000)*(Irr!Q24+Irr!BM24)),IF(AND(Irr!Q24=".",Irr!AO24&lt;&gt;".",Irr!BM24&lt;&gt;"."),dir!R24/((1/1000)*(Irr!AO24+Irr!BM24)),IF(AND(Irr!Q24=".",Irr!AO24=".",Irr!BM24&lt;&gt;"."),dir!R24/((1/1000)*(Irr!BM24)),IF(AND(Irr!Q24=".",Irr!AO24&lt;&gt;".",Irr!BM24="."),dir!R24/((1/1000)*(Irr!AO24)),IF(AND(Irr!Q24&lt;&gt;".",Irr!AO24=".",Irr!BM24="."),dir!R24/((1/1000)*(Irr!Q24)),IF(AND(Irr!Q24=".",Irr!AO24=".",Irr!BM24="."),dir!R24*1000)))))))),".")</f>
        <v>.</v>
      </c>
      <c r="S24" s="76" t="str">
        <f>IFERROR(IF(AND(Irr!R24&lt;&gt;".",Irr!AP24&lt;&gt;".",Irr!BN24&lt;&gt;"."),dir!S24/((1/1000)*(Irr!R24+Irr!AP24+Irr!BN24)),IF(AND(Irr!R24&lt;&gt;".",Irr!AP24&lt;&gt;".",Irr!BN24="."),dir!S24/((1/1000)*(Irr!R24+Irr!AP24)),IF(AND(Irr!R24&lt;&gt;".",Irr!AP24=".",Irr!BN24&lt;&gt;"."),dir!S24/((1/1000)*(Irr!R24+Irr!BN24)),IF(AND(Irr!R24=".",Irr!AP24&lt;&gt;".",Irr!BN24&lt;&gt;"."),dir!S24/((1/1000)*(Irr!AP24+Irr!BN24)),IF(AND(Irr!R24=".",Irr!AP24=".",Irr!BN24&lt;&gt;"."),dir!S24/((1/1000)*(Irr!BN24)),IF(AND(Irr!R24=".",Irr!AP24&lt;&gt;".",Irr!BN24="."),dir!S24/((1/1000)*(Irr!AP24)),IF(AND(Irr!R24&lt;&gt;".",Irr!AP24=".",Irr!BN24="."),dir!S24/((1/1000)*(Irr!R24)),IF(AND(Irr!R24=".",Irr!AP24=".",Irr!BN24="."),dir!S24*1000)))))))),".")</f>
        <v>.</v>
      </c>
      <c r="T24" s="76" t="str">
        <f>IFERROR(IF(AND(Irr!S24&lt;&gt;".",Irr!AQ24&lt;&gt;".",Irr!BO24&lt;&gt;"."),dir!T24/((1/1000)*(Irr!S24+Irr!AQ24+Irr!BO24)),IF(AND(Irr!S24&lt;&gt;".",Irr!AQ24&lt;&gt;".",Irr!BO24="."),dir!T24/((1/1000)*(Irr!S24+Irr!AQ24)),IF(AND(Irr!S24&lt;&gt;".",Irr!AQ24=".",Irr!BO24&lt;&gt;"."),dir!T24/((1/1000)*(Irr!S24+Irr!BO24)),IF(AND(Irr!S24=".",Irr!AQ24&lt;&gt;".",Irr!BO24&lt;&gt;"."),dir!T24/((1/1000)*(Irr!AQ24+Irr!BO24)),IF(AND(Irr!S24=".",Irr!AQ24=".",Irr!BO24&lt;&gt;"."),dir!T24/((1/1000)*(Irr!BO24)),IF(AND(Irr!S24=".",Irr!AQ24&lt;&gt;".",Irr!BO24="."),dir!T24/((1/1000)*(Irr!AQ24)),IF(AND(Irr!S24&lt;&gt;".",Irr!AQ24=".",Irr!BO24="."),dir!T24/((1/1000)*(Irr!S24)),IF(AND(Irr!S24=".",Irr!AQ24=".",Irr!BO24="."),dir!T24*1000)))))))),".")</f>
        <v>.</v>
      </c>
      <c r="U24" s="76" t="str">
        <f>IFERROR(IF(AND(Irr!T24&lt;&gt;".",Irr!AR24&lt;&gt;".",Irr!BP24&lt;&gt;"."),dir!U24/((1/1000)*(Irr!T24+Irr!AR24+Irr!BP24)),IF(AND(Irr!T24&lt;&gt;".",Irr!AR24&lt;&gt;".",Irr!BP24="."),dir!U24/((1/1000)*(Irr!T24+Irr!AR24)),IF(AND(Irr!T24&lt;&gt;".",Irr!AR24=".",Irr!BP24&lt;&gt;"."),dir!U24/((1/1000)*(Irr!T24+Irr!BP24)),IF(AND(Irr!T24=".",Irr!AR24&lt;&gt;".",Irr!BP24&lt;&gt;"."),dir!U24/((1/1000)*(Irr!AR24+Irr!BP24)),IF(AND(Irr!T24=".",Irr!AR24=".",Irr!BP24&lt;&gt;"."),dir!U24/((1/1000)*(Irr!BP24)),IF(AND(Irr!T24=".",Irr!AR24&lt;&gt;".",Irr!BP24="."),dir!U24/((1/1000)*(Irr!AR24)),IF(AND(Irr!T24&lt;&gt;".",Irr!AR24=".",Irr!BP24="."),dir!U24/((1/1000)*(Irr!T24)),IF(AND(Irr!T24=".",Irr!AR24=".",Irr!BP24="."),dir!U24*1000)))))))),".")</f>
        <v>.</v>
      </c>
      <c r="V24" s="76" t="str">
        <f>IFERROR(IF(AND(Irr!U24&lt;&gt;".",Irr!AS24&lt;&gt;".",Irr!BQ24&lt;&gt;"."),dir!V24/((1/1000)*(Irr!U24+Irr!AS24+Irr!BQ24)),IF(AND(Irr!U24&lt;&gt;".",Irr!AS24&lt;&gt;".",Irr!BQ24="."),dir!V24/((1/1000)*(Irr!U24+Irr!AS24)),IF(AND(Irr!U24&lt;&gt;".",Irr!AS24=".",Irr!BQ24&lt;&gt;"."),dir!V24/((1/1000)*(Irr!U24+Irr!BQ24)),IF(AND(Irr!U24=".",Irr!AS24&lt;&gt;".",Irr!BQ24&lt;&gt;"."),dir!V24/((1/1000)*(Irr!AS24+Irr!BQ24)),IF(AND(Irr!U24=".",Irr!AS24=".",Irr!BQ24&lt;&gt;"."),dir!V24/((1/1000)*(Irr!BQ24)),IF(AND(Irr!U24=".",Irr!AS24&lt;&gt;".",Irr!BQ24="."),dir!V24/((1/1000)*(Irr!AS24)),IF(AND(Irr!U24&lt;&gt;".",Irr!AS24=".",Irr!BQ24="."),dir!V24/((1/1000)*(Irr!U24)),IF(AND(Irr!U24=".",Irr!AS24=".",Irr!BQ24="."),dir!V24*1000)))))))),".")</f>
        <v>.</v>
      </c>
      <c r="W24" s="76" t="str">
        <f>IFERROR(IF(AND(Irr!V24&lt;&gt;".",Irr!AT24&lt;&gt;".",Irr!BR24&lt;&gt;"."),dir!W24/((1/1000)*(Irr!V24+Irr!AT24+Irr!BR24)),IF(AND(Irr!V24&lt;&gt;".",Irr!AT24&lt;&gt;".",Irr!BR24="."),dir!W24/((1/1000)*(Irr!V24+Irr!AT24)),IF(AND(Irr!V24&lt;&gt;".",Irr!AT24=".",Irr!BR24&lt;&gt;"."),dir!W24/((1/1000)*(Irr!V24+Irr!BR24)),IF(AND(Irr!V24=".",Irr!AT24&lt;&gt;".",Irr!BR24&lt;&gt;"."),dir!W24/((1/1000)*(Irr!AT24+Irr!BR24)),IF(AND(Irr!V24=".",Irr!AT24=".",Irr!BR24&lt;&gt;"."),dir!W24/((1/1000)*(Irr!BR24)),IF(AND(Irr!V24=".",Irr!AT24&lt;&gt;".",Irr!BR24="."),dir!W24/((1/1000)*(Irr!AT24)),IF(AND(Irr!V24&lt;&gt;".",Irr!AT24=".",Irr!BR24="."),dir!W24/((1/1000)*(Irr!V24)),IF(AND(Irr!V24=".",Irr!AT24=".",Irr!BR24="."),dir!W24*1000)))))))),".")</f>
        <v>.</v>
      </c>
      <c r="X24" s="76" t="str">
        <f>IFERROR(IF(AND(Irr!W24&lt;&gt;".",Irr!AU24&lt;&gt;".",Irr!BS24&lt;&gt;"."),dir!X24/((1/1000)*(Irr!W24+Irr!AU24+Irr!BS24)),IF(AND(Irr!W24&lt;&gt;".",Irr!AU24&lt;&gt;".",Irr!BS24="."),dir!X24/((1/1000)*(Irr!W24+Irr!AU24)),IF(AND(Irr!W24&lt;&gt;".",Irr!AU24=".",Irr!BS24&lt;&gt;"."),dir!X24/((1/1000)*(Irr!W24+Irr!BS24)),IF(AND(Irr!W24=".",Irr!AU24&lt;&gt;".",Irr!BS24&lt;&gt;"."),dir!X24/((1/1000)*(Irr!AU24+Irr!BS24)),IF(AND(Irr!W24=".",Irr!AU24=".",Irr!BS24&lt;&gt;"."),dir!X24/((1/1000)*(Irr!BS24)),IF(AND(Irr!W24=".",Irr!AU24&lt;&gt;".",Irr!BS24="."),dir!X24/((1/1000)*(Irr!AU24)),IF(AND(Irr!W24&lt;&gt;".",Irr!AU24=".",Irr!BS24="."),dir!X24/((1/1000)*(Irr!W24)),IF(AND(Irr!W24=".",Irr!AU24=".",Irr!BS24="."),dir!X24*1000)))))))),".")</f>
        <v>.</v>
      </c>
      <c r="Y24" s="76" t="str">
        <f>IFERROR(IF(AND(Irr!X24&lt;&gt;".",Irr!AV24&lt;&gt;".",Irr!BT24&lt;&gt;"."),dir!Y24/((1/1000)*(Irr!X24+Irr!AV24+Irr!BT24)),IF(AND(Irr!X24&lt;&gt;".",Irr!AV24&lt;&gt;".",Irr!BT24="."),dir!Y24/((1/1000)*(Irr!X24+Irr!AV24)),IF(AND(Irr!X24&lt;&gt;".",Irr!AV24=".",Irr!BT24&lt;&gt;"."),dir!Y24/((1/1000)*(Irr!X24+Irr!BT24)),IF(AND(Irr!X24=".",Irr!AV24&lt;&gt;".",Irr!BT24&lt;&gt;"."),dir!Y24/((1/1000)*(Irr!AV24+Irr!BT24)),IF(AND(Irr!X24=".",Irr!AV24=".",Irr!BT24&lt;&gt;"."),dir!Y24/((1/1000)*(Irr!BT24)),IF(AND(Irr!X24=".",Irr!AV24&lt;&gt;".",Irr!BT24="."),dir!Y24/((1/1000)*(Irr!AV24)),IF(AND(Irr!X24&lt;&gt;".",Irr!AV24=".",Irr!BT24="."),dir!Y24/((1/1000)*(Irr!X24)),IF(AND(Irr!X24=".",Irr!AV24=".",Irr!BT24="."),dir!Y24*1000)))))))),".")</f>
        <v>.</v>
      </c>
      <c r="Z24" s="76" t="str">
        <f>IFERROR(IF(AND(Irr!Y24&lt;&gt;".",Irr!AW24&lt;&gt;".",Irr!BU24&lt;&gt;"."),dir!Z24/((1/1000)*(Irr!Y24+Irr!AW24+Irr!BU24)),IF(AND(Irr!Y24&lt;&gt;".",Irr!AW24&lt;&gt;".",Irr!BU24="."),dir!Z24/((1/1000)*(Irr!Y24+Irr!AW24)),IF(AND(Irr!Y24&lt;&gt;".",Irr!AW24=".",Irr!BU24&lt;&gt;"."),dir!Z24/((1/1000)*(Irr!Y24+Irr!BU24)),IF(AND(Irr!Y24=".",Irr!AW24&lt;&gt;".",Irr!BU24&lt;&gt;"."),dir!Z24/((1/1000)*(Irr!AW24+Irr!BU24)),IF(AND(Irr!Y24=".",Irr!AW24=".",Irr!BU24&lt;&gt;"."),dir!Z24/((1/1000)*(Irr!BU24)),IF(AND(Irr!Y24=".",Irr!AW24&lt;&gt;".",Irr!BU24="."),dir!Z24/((1/1000)*(Irr!AW24)),IF(AND(Irr!Y24&lt;&gt;".",Irr!AW24=".",Irr!BU24="."),dir!Z24/((1/1000)*(Irr!Y24)),IF(AND(Irr!Y24=".",Irr!AW24=".",Irr!BU24="."),dir!Z24*1000)))))))),".")</f>
        <v>.</v>
      </c>
      <c r="AA24" s="76" t="str">
        <f>IFERROR(IF(AND(Irr!Z24&lt;&gt;".",Irr!AX24&lt;&gt;".",Irr!BV24&lt;&gt;"."),dir!AA24/((1/1000)*(Irr!Z24+Irr!AX24+Irr!BV24)),IF(AND(Irr!Z24&lt;&gt;".",Irr!AX24&lt;&gt;".",Irr!BV24="."),dir!AA24/((1/1000)*(Irr!Z24+Irr!AX24)),IF(AND(Irr!Z24&lt;&gt;".",Irr!AX24=".",Irr!BV24&lt;&gt;"."),dir!AA24/((1/1000)*(Irr!Z24+Irr!BV24)),IF(AND(Irr!Z24=".",Irr!AX24&lt;&gt;".",Irr!BV24&lt;&gt;"."),dir!AA24/((1/1000)*(Irr!AX24+Irr!BV24)),IF(AND(Irr!Z24=".",Irr!AX24=".",Irr!BV24&lt;&gt;"."),dir!AA24/((1/1000)*(Irr!BV24)),IF(AND(Irr!Z24=".",Irr!AX24&lt;&gt;".",Irr!BV24="."),dir!AA24/((1/1000)*(Irr!AX24)),IF(AND(Irr!Z24&lt;&gt;".",Irr!AX24=".",Irr!BV24="."),dir!AA24/((1/1000)*(Irr!Z24)),IF(AND(Irr!Z24=".",Irr!AX24=".",Irr!BV24="."),dir!AA24*1000)))))))),".")</f>
        <v>.</v>
      </c>
      <c r="AB24" s="76" t="str">
        <f t="shared" ref="AB24:AB25" si="21">IFERROR(1/SUM(1/AC24,1/AD24,1/AE24,1/AF24,1/AG24,1/AH24,1/AI24,1/AJ24,1/AK24,1/AL24,1/AM24,1/AN24,1/AO24,1/AP24,1/AQ24,1/AR24,1/AS24,1/AT24,1/AU24,1/AV24,1/AW24,1/AX24),".")</f>
        <v>.</v>
      </c>
      <c r="AC24" s="76" t="str">
        <f>IFERROR(IF(AND(Irr!C24&lt;&gt;".",Irr!AA24&lt;&gt;".",Irr!AY24&lt;&gt;"."),dir!AC24/((1/1000)*(Irr!C24+Irr!AA24+Irr!AY24)),IF(AND(Irr!C24&lt;&gt;".",Irr!AA24&lt;&gt;".",Irr!AY24="."),dir!AC24/((1/1000)*(Irr!C24+Irr!AA24)),IF(AND(Irr!C24&lt;&gt;".",Irr!AA24=".",Irr!AY24&lt;&gt;"."),dir!AC24/((1/1000)*(Irr!C24+Irr!AY24)),IF(AND(Irr!C24=".",Irr!AA24&lt;&gt;".",Irr!AY24&lt;&gt;"."),dir!AC24/((1/1000)*(Irr!AA24+Irr!AY24)),IF(AND(Irr!C24=".",Irr!AA24=".",Irr!AY24&lt;&gt;"."),dir!AC24/((1/1000)*(Irr!AY24)),IF(AND(Irr!C24=".",Irr!AA24&lt;&gt;".",Irr!AY24="."),dir!AC24/((1/1000)*(Irr!AA24)),IF(AND(Irr!C24&lt;&gt;".",Irr!AA24=".",Irr!AY24="."),dir!AC24/((1/1000)*(Irr!C24)),IF(AND(Irr!C24=".",Irr!AA24=".",Irr!AY24="."),dir!AC24*1000)))))))),".")</f>
        <v>.</v>
      </c>
      <c r="AD24" s="76" t="str">
        <f>IFERROR(IF(AND(Irr!D24&lt;&gt;".",Irr!AB24&lt;&gt;".",Irr!AZ24&lt;&gt;"."),dir!AD24/((1/1000)*(Irr!D24+Irr!AB24+Irr!AZ24)),IF(AND(Irr!D24&lt;&gt;".",Irr!AB24&lt;&gt;".",Irr!AZ24="."),dir!AD24/((1/1000)*(Irr!D24+Irr!AB24)),IF(AND(Irr!D24&lt;&gt;".",Irr!AB24=".",Irr!AZ24&lt;&gt;"."),dir!AD24/((1/1000)*(Irr!D24+Irr!AZ24)),IF(AND(Irr!D24=".",Irr!AB24&lt;&gt;".",Irr!AZ24&lt;&gt;"."),dir!AD24/((1/1000)*(Irr!AB24+Irr!AZ24)),IF(AND(Irr!D24=".",Irr!AB24=".",Irr!AZ24&lt;&gt;"."),dir!AD24/((1/1000)*(Irr!AZ24)),IF(AND(Irr!D24=".",Irr!AB24&lt;&gt;".",Irr!AZ24="."),dir!AD24/((1/1000)*(Irr!AB24)),IF(AND(Irr!D24&lt;&gt;".",Irr!AB24=".",Irr!AZ24="."),dir!AD24/((1/1000)*(Irr!D24)),IF(AND(Irr!D24=".",Irr!AB24=".",Irr!AZ24="."),dir!AD24*1000)))))))),".")</f>
        <v>.</v>
      </c>
      <c r="AE24" s="76" t="str">
        <f>IFERROR(IF(AND(Irr!E24&lt;&gt;".",Irr!AC24&lt;&gt;".",Irr!BA24&lt;&gt;"."),dir!AE24/((1/1000)*(Irr!E24+Irr!AC24+Irr!BA24)),IF(AND(Irr!E24&lt;&gt;".",Irr!AC24&lt;&gt;".",Irr!BA24="."),dir!AE24/((1/1000)*(Irr!E24+Irr!AC24)),IF(AND(Irr!E24&lt;&gt;".",Irr!AC24=".",Irr!BA24&lt;&gt;"."),dir!AE24/((1/1000)*(Irr!E24+Irr!BA24)),IF(AND(Irr!E24=".",Irr!AC24&lt;&gt;".",Irr!BA24&lt;&gt;"."),dir!AE24/((1/1000)*(Irr!AC24+Irr!BA24)),IF(AND(Irr!E24=".",Irr!AC24=".",Irr!BA24&lt;&gt;"."),dir!AE24/((1/1000)*(Irr!BA24)),IF(AND(Irr!E24=".",Irr!AC24&lt;&gt;".",Irr!BA24="."),dir!AE24/((1/1000)*(Irr!AC24)),IF(AND(Irr!E24&lt;&gt;".",Irr!AC24=".",Irr!BA24="."),dir!AE24/((1/1000)*(Irr!E24)),IF(AND(Irr!E24=".",Irr!AC24=".",Irr!BA24="."),dir!AE24*1000)))))))),".")</f>
        <v>.</v>
      </c>
      <c r="AF24" s="76" t="str">
        <f>IFERROR(IF(AND(Irr!F24&lt;&gt;".",Irr!AD24&lt;&gt;".",Irr!BB24&lt;&gt;"."),dir!AF24/((1/1000)*(Irr!F24+Irr!AD24+Irr!BB24)),IF(AND(Irr!F24&lt;&gt;".",Irr!AD24&lt;&gt;".",Irr!BB24="."),dir!AF24/((1/1000)*(Irr!F24+Irr!AD24)),IF(AND(Irr!F24&lt;&gt;".",Irr!AD24=".",Irr!BB24&lt;&gt;"."),dir!AF24/((1/1000)*(Irr!F24+Irr!BB24)),IF(AND(Irr!F24=".",Irr!AD24&lt;&gt;".",Irr!BB24&lt;&gt;"."),dir!AF24/((1/1000)*(Irr!AD24+Irr!BB24)),IF(AND(Irr!F24=".",Irr!AD24=".",Irr!BB24&lt;&gt;"."),dir!AF24/((1/1000)*(Irr!BB24)),IF(AND(Irr!F24=".",Irr!AD24&lt;&gt;".",Irr!BB24="."),dir!AF24/((1/1000)*(Irr!AD24)),IF(AND(Irr!F24&lt;&gt;".",Irr!AD24=".",Irr!BB24="."),dir!AF24/((1/1000)*(Irr!F24)),IF(AND(Irr!F24=".",Irr!AD24=".",Irr!BB24="."),dir!AF24*1000)))))))),".")</f>
        <v>.</v>
      </c>
      <c r="AG24" s="76" t="str">
        <f>IFERROR(IF(AND(Irr!G24&lt;&gt;".",Irr!AE24&lt;&gt;".",Irr!BC24&lt;&gt;"."),dir!AG24/((1/1000)*(Irr!G24+Irr!AE24+Irr!BC24)),IF(AND(Irr!G24&lt;&gt;".",Irr!AE24&lt;&gt;".",Irr!BC24="."),dir!AG24/((1/1000)*(Irr!G24+Irr!AE24)),IF(AND(Irr!G24&lt;&gt;".",Irr!AE24=".",Irr!BC24&lt;&gt;"."),dir!AG24/((1/1000)*(Irr!G24+Irr!BC24)),IF(AND(Irr!G24=".",Irr!AE24&lt;&gt;".",Irr!BC24&lt;&gt;"."),dir!AG24/((1/1000)*(Irr!AE24+Irr!BC24)),IF(AND(Irr!G24=".",Irr!AE24=".",Irr!BC24&lt;&gt;"."),dir!AG24/((1/1000)*(Irr!BC24)),IF(AND(Irr!G24=".",Irr!AE24&lt;&gt;".",Irr!BC24="."),dir!AG24/((1/1000)*(Irr!AE24)),IF(AND(Irr!G24&lt;&gt;".",Irr!AE24=".",Irr!BC24="."),dir!AG24/((1/1000)*(Irr!G24)),IF(AND(Irr!G24=".",Irr!AE24=".",Irr!BC24="."),dir!AG24*1000)))))))),".")</f>
        <v>.</v>
      </c>
      <c r="AH24" s="76" t="str">
        <f>IFERROR(IF(AND(Irr!H24&lt;&gt;".",Irr!AF24&lt;&gt;".",Irr!BD24&lt;&gt;"."),dir!AH24/((1/1000)*(Irr!H24+Irr!AF24+Irr!BD24)),IF(AND(Irr!H24&lt;&gt;".",Irr!AF24&lt;&gt;".",Irr!BD24="."),dir!AH24/((1/1000)*(Irr!H24+Irr!AF24)),IF(AND(Irr!H24&lt;&gt;".",Irr!AF24=".",Irr!BD24&lt;&gt;"."),dir!AH24/((1/1000)*(Irr!H24+Irr!BD24)),IF(AND(Irr!H24=".",Irr!AF24&lt;&gt;".",Irr!BD24&lt;&gt;"."),dir!AH24/((1/1000)*(Irr!AF24+Irr!BD24)),IF(AND(Irr!H24=".",Irr!AF24=".",Irr!BD24&lt;&gt;"."),dir!AH24/((1/1000)*(Irr!BD24)),IF(AND(Irr!H24=".",Irr!AF24&lt;&gt;".",Irr!BD24="."),dir!AH24/((1/1000)*(Irr!AF24)),IF(AND(Irr!H24&lt;&gt;".",Irr!AF24=".",Irr!BD24="."),dir!AH24/((1/1000)*(Irr!H24)),IF(AND(Irr!H24=".",Irr!AF24=".",Irr!BD24="."),dir!AH24*1000)))))))),".")</f>
        <v>.</v>
      </c>
      <c r="AI24" s="76" t="str">
        <f>IFERROR(IF(AND(Irr!I24&lt;&gt;".",Irr!AG24&lt;&gt;".",Irr!BE24&lt;&gt;"."),dir!AI24/((1/1000)*(Irr!I24+Irr!AG24+Irr!BE24)),IF(AND(Irr!I24&lt;&gt;".",Irr!AG24&lt;&gt;".",Irr!BE24="."),dir!AI24/((1/1000)*(Irr!I24+Irr!AG24)),IF(AND(Irr!I24&lt;&gt;".",Irr!AG24=".",Irr!BE24&lt;&gt;"."),dir!AI24/((1/1000)*(Irr!I24+Irr!BE24)),IF(AND(Irr!I24=".",Irr!AG24&lt;&gt;".",Irr!BE24&lt;&gt;"."),dir!AI24/((1/1000)*(Irr!AG24+Irr!BE24)),IF(AND(Irr!I24=".",Irr!AG24=".",Irr!BE24&lt;&gt;"."),dir!AI24/((1/1000)*(Irr!BE24)),IF(AND(Irr!I24=".",Irr!AG24&lt;&gt;".",Irr!BE24="."),dir!AI24/((1/1000)*(Irr!AG24)),IF(AND(Irr!I24&lt;&gt;".",Irr!AG24=".",Irr!BE24="."),dir!AI24/((1/1000)*(Irr!I24)),IF(AND(Irr!I24=".",Irr!AG24=".",Irr!BE24="."),dir!AI24*1000)))))))),".")</f>
        <v>.</v>
      </c>
      <c r="AJ24" s="76" t="str">
        <f>IFERROR(IF(AND(Irr!J24&lt;&gt;".",Irr!AH24&lt;&gt;".",Irr!BF24&lt;&gt;"."),dir!AJ24/((1/1000)*(Irr!J24+Irr!AH24+Irr!BF24)),IF(AND(Irr!J24&lt;&gt;".",Irr!AH24&lt;&gt;".",Irr!BF24="."),dir!AJ24/((1/1000)*(Irr!J24+Irr!AH24)),IF(AND(Irr!J24&lt;&gt;".",Irr!AH24=".",Irr!BF24&lt;&gt;"."),dir!AJ24/((1/1000)*(Irr!J24+Irr!BF24)),IF(AND(Irr!J24=".",Irr!AH24&lt;&gt;".",Irr!BF24&lt;&gt;"."),dir!AJ24/((1/1000)*(Irr!AH24+Irr!BF24)),IF(AND(Irr!J24=".",Irr!AH24=".",Irr!BF24&lt;&gt;"."),dir!AJ24/((1/1000)*(Irr!BF24)),IF(AND(Irr!J24=".",Irr!AH24&lt;&gt;".",Irr!BF24="."),dir!AJ24/((1/1000)*(Irr!AH24)),IF(AND(Irr!J24&lt;&gt;".",Irr!AH24=".",Irr!BF24="."),dir!AJ24/((1/1000)*(Irr!J24)),IF(AND(Irr!J24=".",Irr!AH24=".",Irr!BF24="."),dir!AJ24*1000)))))))),".")</f>
        <v>.</v>
      </c>
      <c r="AK24" s="76" t="str">
        <f>IFERROR(IF(AND(Irr!K24&lt;&gt;".",Irr!AI24&lt;&gt;".",Irr!BG24&lt;&gt;"."),dir!AK24/((1/1000)*(Irr!K24+Irr!AI24+Irr!BG24)),IF(AND(Irr!K24&lt;&gt;".",Irr!AI24&lt;&gt;".",Irr!BG24="."),dir!AK24/((1/1000)*(Irr!K24+Irr!AI24)),IF(AND(Irr!K24&lt;&gt;".",Irr!AI24=".",Irr!BG24&lt;&gt;"."),dir!AK24/((1/1000)*(Irr!K24+Irr!BG24)),IF(AND(Irr!K24=".",Irr!AI24&lt;&gt;".",Irr!BG24&lt;&gt;"."),dir!AK24/((1/1000)*(Irr!AI24+Irr!BG24)),IF(AND(Irr!K24=".",Irr!AI24=".",Irr!BG24&lt;&gt;"."),dir!AK24/((1/1000)*(Irr!BG24)),IF(AND(Irr!K24=".",Irr!AI24&lt;&gt;".",Irr!BG24="."),dir!AK24/((1/1000)*(Irr!AI24)),IF(AND(Irr!K24&lt;&gt;".",Irr!AI24=".",Irr!BG24="."),dir!AK24/((1/1000)*(Irr!K24)),IF(AND(Irr!K24=".",Irr!AI24=".",Irr!BG24="."),dir!AK24*1000)))))))),".")</f>
        <v>.</v>
      </c>
      <c r="AL24" s="76" t="str">
        <f>IFERROR(IF(AND(Irr!L24&lt;&gt;".",Irr!AJ24&lt;&gt;".",Irr!BH24&lt;&gt;"."),dir!AL24/((1/1000)*(Irr!L24+Irr!AJ24+Irr!BH24)),IF(AND(Irr!L24&lt;&gt;".",Irr!AJ24&lt;&gt;".",Irr!BH24="."),dir!AL24/((1/1000)*(Irr!L24+Irr!AJ24)),IF(AND(Irr!L24&lt;&gt;".",Irr!AJ24=".",Irr!BH24&lt;&gt;"."),dir!AL24/((1/1000)*(Irr!L24+Irr!BH24)),IF(AND(Irr!L24=".",Irr!AJ24&lt;&gt;".",Irr!BH24&lt;&gt;"."),dir!AL24/((1/1000)*(Irr!AJ24+Irr!BH24)),IF(AND(Irr!L24=".",Irr!AJ24=".",Irr!BH24&lt;&gt;"."),dir!AL24/((1/1000)*(Irr!BH24)),IF(AND(Irr!L24=".",Irr!AJ24&lt;&gt;".",Irr!BH24="."),dir!AL24/((1/1000)*(Irr!AJ24)),IF(AND(Irr!L24&lt;&gt;".",Irr!AJ24=".",Irr!BH24="."),dir!AL24/((1/1000)*(Irr!L24)),IF(AND(Irr!L24=".",Irr!AJ24=".",Irr!BH24="."),dir!AL24*1000)))))))),".")</f>
        <v>.</v>
      </c>
      <c r="AM24" s="76" t="str">
        <f>IFERROR(IF(AND(Irr!M24&lt;&gt;".",Irr!AK24&lt;&gt;".",Irr!BI24&lt;&gt;"."),dir!AM24/((1/1000)*(Irr!M24+Irr!AK24+Irr!BI24)),IF(AND(Irr!M24&lt;&gt;".",Irr!AK24&lt;&gt;".",Irr!BI24="."),dir!AM24/((1/1000)*(Irr!M24+Irr!AK24)),IF(AND(Irr!M24&lt;&gt;".",Irr!AK24=".",Irr!BI24&lt;&gt;"."),dir!AM24/((1/1000)*(Irr!M24+Irr!BI24)),IF(AND(Irr!M24=".",Irr!AK24&lt;&gt;".",Irr!BI24&lt;&gt;"."),dir!AM24/((1/1000)*(Irr!AK24+Irr!BI24)),IF(AND(Irr!M24=".",Irr!AK24=".",Irr!BI24&lt;&gt;"."),dir!AM24/((1/1000)*(Irr!BI24)),IF(AND(Irr!M24=".",Irr!AK24&lt;&gt;".",Irr!BI24="."),dir!AM24/((1/1000)*(Irr!AK24)),IF(AND(Irr!M24&lt;&gt;".",Irr!AK24=".",Irr!BI24="."),dir!AM24/((1/1000)*(Irr!M24)),IF(AND(Irr!M24=".",Irr!AK24=".",Irr!BI24="."),dir!AM24*1000)))))))),".")</f>
        <v>.</v>
      </c>
      <c r="AN24" s="76" t="str">
        <f>IFERROR(IF(AND(Irr!N24&lt;&gt;".",Irr!AL24&lt;&gt;".",Irr!BJ24&lt;&gt;"."),dir!AN24/((1/1000)*(Irr!N24+Irr!AL24+Irr!BJ24)),IF(AND(Irr!N24&lt;&gt;".",Irr!AL24&lt;&gt;".",Irr!BJ24="."),dir!AN24/((1/1000)*(Irr!N24+Irr!AL24)),IF(AND(Irr!N24&lt;&gt;".",Irr!AL24=".",Irr!BJ24&lt;&gt;"."),dir!AN24/((1/1000)*(Irr!N24+Irr!BJ24)),IF(AND(Irr!N24=".",Irr!AL24&lt;&gt;".",Irr!BJ24&lt;&gt;"."),dir!AN24/((1/1000)*(Irr!AL24+Irr!BJ24)),IF(AND(Irr!N24=".",Irr!AL24=".",Irr!BJ24&lt;&gt;"."),dir!AN24/((1/1000)*(Irr!BJ24)),IF(AND(Irr!N24=".",Irr!AL24&lt;&gt;".",Irr!BJ24="."),dir!AN24/((1/1000)*(Irr!AL24)),IF(AND(Irr!N24&lt;&gt;".",Irr!AL24=".",Irr!BJ24="."),dir!AN24/((1/1000)*(Irr!N24)),IF(AND(Irr!N24=".",Irr!AL24=".",Irr!BJ24="."),dir!AN24*1000)))))))),".")</f>
        <v>.</v>
      </c>
      <c r="AO24" s="76" t="str">
        <f>IFERROR(IF(AND(Irr!O24&lt;&gt;".",Irr!AM24&lt;&gt;".",Irr!BK24&lt;&gt;"."),dir!AO24/((1/1000)*(Irr!O24+Irr!AM24+Irr!BK24)),IF(AND(Irr!O24&lt;&gt;".",Irr!AM24&lt;&gt;".",Irr!BK24="."),dir!AO24/((1/1000)*(Irr!O24+Irr!AM24)),IF(AND(Irr!O24&lt;&gt;".",Irr!AM24=".",Irr!BK24&lt;&gt;"."),dir!AO24/((1/1000)*(Irr!O24+Irr!BK24)),IF(AND(Irr!O24=".",Irr!AM24&lt;&gt;".",Irr!BK24&lt;&gt;"."),dir!AO24/((1/1000)*(Irr!AM24+Irr!BK24)),IF(AND(Irr!O24=".",Irr!AM24=".",Irr!BK24&lt;&gt;"."),dir!AO24/((1/1000)*(Irr!BK24)),IF(AND(Irr!O24=".",Irr!AM24&lt;&gt;".",Irr!BK24="."),dir!AO24/((1/1000)*(Irr!AM24)),IF(AND(Irr!O24&lt;&gt;".",Irr!AM24=".",Irr!BK24="."),dir!AO24/((1/1000)*(Irr!O24)),IF(AND(Irr!O24=".",Irr!AM24=".",Irr!BK24="."),dir!AO24*1000)))))))),".")</f>
        <v>.</v>
      </c>
      <c r="AP24" s="76" t="str">
        <f>IFERROR(IF(AND(Irr!P24&lt;&gt;".",Irr!AN24&lt;&gt;".",Irr!BL24&lt;&gt;"."),dir!AP24/((1/1000)*(Irr!P24+Irr!AN24+Irr!BL24)),IF(AND(Irr!P24&lt;&gt;".",Irr!AN24&lt;&gt;".",Irr!BL24="."),dir!AP24/((1/1000)*(Irr!P24+Irr!AN24)),IF(AND(Irr!P24&lt;&gt;".",Irr!AN24=".",Irr!BL24&lt;&gt;"."),dir!AP24/((1/1000)*(Irr!P24+Irr!BL24)),IF(AND(Irr!P24=".",Irr!AN24&lt;&gt;".",Irr!BL24&lt;&gt;"."),dir!AP24/((1/1000)*(Irr!AN24+Irr!BL24)),IF(AND(Irr!P24=".",Irr!AN24=".",Irr!BL24&lt;&gt;"."),dir!AP24/((1/1000)*(Irr!BL24)),IF(AND(Irr!P24=".",Irr!AN24&lt;&gt;".",Irr!BL24="."),dir!AP24/((1/1000)*(Irr!AN24)),IF(AND(Irr!P24&lt;&gt;".",Irr!AN24=".",Irr!BL24="."),dir!AP24/((1/1000)*(Irr!P24)),IF(AND(Irr!P24=".",Irr!AN24=".",Irr!BL24="."),dir!AP24*1000)))))))),".")</f>
        <v>.</v>
      </c>
      <c r="AQ24" s="76" t="str">
        <f>IFERROR(IF(AND(Irr!Q24&lt;&gt;".",Irr!AO24&lt;&gt;".",Irr!BM24&lt;&gt;"."),dir!AQ24/((1/1000)*(Irr!Q24+Irr!AO24+Irr!BM24)),IF(AND(Irr!Q24&lt;&gt;".",Irr!AO24&lt;&gt;".",Irr!BM24="."),dir!AQ24/((1/1000)*(Irr!Q24+Irr!AO24)),IF(AND(Irr!Q24&lt;&gt;".",Irr!AO24=".",Irr!BM24&lt;&gt;"."),dir!AQ24/((1/1000)*(Irr!Q24+Irr!BM24)),IF(AND(Irr!Q24=".",Irr!AO24&lt;&gt;".",Irr!BM24&lt;&gt;"."),dir!AQ24/((1/1000)*(Irr!AO24+Irr!BM24)),IF(AND(Irr!Q24=".",Irr!AO24=".",Irr!BM24&lt;&gt;"."),dir!AQ24/((1/1000)*(Irr!BM24)),IF(AND(Irr!Q24=".",Irr!AO24&lt;&gt;".",Irr!BM24="."),dir!AQ24/((1/1000)*(Irr!AO24)),IF(AND(Irr!Q24&lt;&gt;".",Irr!AO24=".",Irr!BM24="."),dir!AQ24/((1/1000)*(Irr!Q24)),IF(AND(Irr!Q24=".",Irr!AO24=".",Irr!BM24="."),dir!AQ24*1000)))))))),".")</f>
        <v>.</v>
      </c>
      <c r="AR24" s="76" t="str">
        <f>IFERROR(IF(AND(Irr!R24&lt;&gt;".",Irr!AP24&lt;&gt;".",Irr!BN24&lt;&gt;"."),dir!AR24/((1/1000)*(Irr!R24+Irr!AP24+Irr!BN24)),IF(AND(Irr!R24&lt;&gt;".",Irr!AP24&lt;&gt;".",Irr!BN24="."),dir!AR24/((1/1000)*(Irr!R24+Irr!AP24)),IF(AND(Irr!R24&lt;&gt;".",Irr!AP24=".",Irr!BN24&lt;&gt;"."),dir!AR24/((1/1000)*(Irr!R24+Irr!BN24)),IF(AND(Irr!R24=".",Irr!AP24&lt;&gt;".",Irr!BN24&lt;&gt;"."),dir!AR24/((1/1000)*(Irr!AP24+Irr!BN24)),IF(AND(Irr!R24=".",Irr!AP24=".",Irr!BN24&lt;&gt;"."),dir!AR24/((1/1000)*(Irr!BN24)),IF(AND(Irr!R24=".",Irr!AP24&lt;&gt;".",Irr!BN24="."),dir!AR24/((1/1000)*(Irr!AP24)),IF(AND(Irr!R24&lt;&gt;".",Irr!AP24=".",Irr!BN24="."),dir!AR24/((1/1000)*(Irr!R24)),IF(AND(Irr!R24=".",Irr!AP24=".",Irr!BN24="."),dir!AR24*1000)))))))),".")</f>
        <v>.</v>
      </c>
      <c r="AS24" s="76" t="str">
        <f>IFERROR(IF(AND(Irr!S24&lt;&gt;".",Irr!AQ24&lt;&gt;".",Irr!BO24&lt;&gt;"."),dir!AS24/((1/1000)*(Irr!S24+Irr!AQ24+Irr!BO24)),IF(AND(Irr!S24&lt;&gt;".",Irr!AQ24&lt;&gt;".",Irr!BO24="."),dir!AS24/((1/1000)*(Irr!S24+Irr!AQ24)),IF(AND(Irr!S24&lt;&gt;".",Irr!AQ24=".",Irr!BO24&lt;&gt;"."),dir!AS24/((1/1000)*(Irr!S24+Irr!BO24)),IF(AND(Irr!S24=".",Irr!AQ24&lt;&gt;".",Irr!BO24&lt;&gt;"."),dir!AS24/((1/1000)*(Irr!AQ24+Irr!BO24)),IF(AND(Irr!S24=".",Irr!AQ24=".",Irr!BO24&lt;&gt;"."),dir!AS24/((1/1000)*(Irr!BO24)),IF(AND(Irr!S24=".",Irr!AQ24&lt;&gt;".",Irr!BO24="."),dir!AS24/((1/1000)*(Irr!AQ24)),IF(AND(Irr!S24&lt;&gt;".",Irr!AQ24=".",Irr!BO24="."),dir!AS24/((1/1000)*(Irr!S24)),IF(AND(Irr!S24=".",Irr!AQ24=".",Irr!BO24="."),dir!AS24*1000)))))))),".")</f>
        <v>.</v>
      </c>
      <c r="AT24" s="76" t="str">
        <f>IFERROR(IF(AND(Irr!T24&lt;&gt;".",Irr!AR24&lt;&gt;".",Irr!BP24&lt;&gt;"."),dir!AT24/((1/1000)*(Irr!T24+Irr!AR24+Irr!BP24)),IF(AND(Irr!T24&lt;&gt;".",Irr!AR24&lt;&gt;".",Irr!BP24="."),dir!AT24/((1/1000)*(Irr!T24+Irr!AR24)),IF(AND(Irr!T24&lt;&gt;".",Irr!AR24=".",Irr!BP24&lt;&gt;"."),dir!AT24/((1/1000)*(Irr!T24+Irr!BP24)),IF(AND(Irr!T24=".",Irr!AR24&lt;&gt;".",Irr!BP24&lt;&gt;"."),dir!AT24/((1/1000)*(Irr!AR24+Irr!BP24)),IF(AND(Irr!T24=".",Irr!AR24=".",Irr!BP24&lt;&gt;"."),dir!AT24/((1/1000)*(Irr!BP24)),IF(AND(Irr!T24=".",Irr!AR24&lt;&gt;".",Irr!BP24="."),dir!AT24/((1/1000)*(Irr!AR24)),IF(AND(Irr!T24&lt;&gt;".",Irr!AR24=".",Irr!BP24="."),dir!AT24/((1/1000)*(Irr!T24)),IF(AND(Irr!T24=".",Irr!AR24=".",Irr!BP24="."),dir!AT24*1000)))))))),".")</f>
        <v>.</v>
      </c>
      <c r="AU24" s="76" t="str">
        <f>IFERROR(IF(AND(Irr!U24&lt;&gt;".",Irr!AS24&lt;&gt;".",Irr!BQ24&lt;&gt;"."),dir!AU24/((1/1000)*(Irr!U24+Irr!AS24+Irr!BQ24)),IF(AND(Irr!U24&lt;&gt;".",Irr!AS24&lt;&gt;".",Irr!BQ24="."),dir!AU24/((1/1000)*(Irr!U24+Irr!AS24)),IF(AND(Irr!U24&lt;&gt;".",Irr!AS24=".",Irr!BQ24&lt;&gt;"."),dir!AU24/((1/1000)*(Irr!U24+Irr!BQ24)),IF(AND(Irr!U24=".",Irr!AS24&lt;&gt;".",Irr!BQ24&lt;&gt;"."),dir!AU24/((1/1000)*(Irr!AS24+Irr!BQ24)),IF(AND(Irr!U24=".",Irr!AS24=".",Irr!BQ24&lt;&gt;"."),dir!AU24/((1/1000)*(Irr!BQ24)),IF(AND(Irr!U24=".",Irr!AS24&lt;&gt;".",Irr!BQ24="."),dir!AU24/((1/1000)*(Irr!AS24)),IF(AND(Irr!U24&lt;&gt;".",Irr!AS24=".",Irr!BQ24="."),dir!AU24/((1/1000)*(Irr!U24)),IF(AND(Irr!U24=".",Irr!AS24=".",Irr!BQ24="."),dir!AU24*1000)))))))),".")</f>
        <v>.</v>
      </c>
      <c r="AV24" s="76" t="str">
        <f>IFERROR(IF(AND(Irr!V24&lt;&gt;".",Irr!AT24&lt;&gt;".",Irr!BR24&lt;&gt;"."),dir!AV24/((1/1000)*(Irr!V24+Irr!AT24+Irr!BR24)),IF(AND(Irr!V24&lt;&gt;".",Irr!AT24&lt;&gt;".",Irr!BR24="."),dir!AV24/((1/1000)*(Irr!V24+Irr!AT24)),IF(AND(Irr!V24&lt;&gt;".",Irr!AT24=".",Irr!BR24&lt;&gt;"."),dir!AV24/((1/1000)*(Irr!V24+Irr!BR24)),IF(AND(Irr!V24=".",Irr!AT24&lt;&gt;".",Irr!BR24&lt;&gt;"."),dir!AV24/((1/1000)*(Irr!AT24+Irr!BR24)),IF(AND(Irr!V24=".",Irr!AT24=".",Irr!BR24&lt;&gt;"."),dir!AV24/((1/1000)*(Irr!BR24)),IF(AND(Irr!V24=".",Irr!AT24&lt;&gt;".",Irr!BR24="."),dir!AV24/((1/1000)*(Irr!AT24)),IF(AND(Irr!V24&lt;&gt;".",Irr!AT24=".",Irr!BR24="."),dir!AV24/((1/1000)*(Irr!V24)),IF(AND(Irr!V24=".",Irr!AT24=".",Irr!BR24="."),dir!AV24*1000)))))))),".")</f>
        <v>.</v>
      </c>
      <c r="AW24" s="76" t="str">
        <f>IFERROR(IF(AND(Irr!W24&lt;&gt;".",Irr!AU24&lt;&gt;".",Irr!BS24&lt;&gt;"."),dir!AW24/((1/1000)*(Irr!W24+Irr!AU24+Irr!BS24)),IF(AND(Irr!W24&lt;&gt;".",Irr!AU24&lt;&gt;".",Irr!BS24="."),dir!AW24/((1/1000)*(Irr!W24+Irr!AU24)),IF(AND(Irr!W24&lt;&gt;".",Irr!AU24=".",Irr!BS24&lt;&gt;"."),dir!AW24/((1/1000)*(Irr!W24+Irr!BS24)),IF(AND(Irr!W24=".",Irr!AU24&lt;&gt;".",Irr!BS24&lt;&gt;"."),dir!AW24/((1/1000)*(Irr!AU24+Irr!BS24)),IF(AND(Irr!W24=".",Irr!AU24=".",Irr!BS24&lt;&gt;"."),dir!AW24/((1/1000)*(Irr!BS24)),IF(AND(Irr!W24=".",Irr!AU24&lt;&gt;".",Irr!BS24="."),dir!AW24/((1/1000)*(Irr!AU24)),IF(AND(Irr!W24&lt;&gt;".",Irr!AU24=".",Irr!BS24="."),dir!AW24/((1/1000)*(Irr!W24)),IF(AND(Irr!W24=".",Irr!AU24=".",Irr!BS24="."),dir!AW24*1000)))))))),".")</f>
        <v>.</v>
      </c>
      <c r="AX24" s="76" t="str">
        <f>IFERROR(IF(AND(Irr!X24&lt;&gt;".",Irr!AV24&lt;&gt;".",Irr!BT24&lt;&gt;"."),dir!AX24/((1/1000)*(Irr!X24+Irr!AV24+Irr!BT24)),IF(AND(Irr!X24&lt;&gt;".",Irr!AV24&lt;&gt;".",Irr!BT24="."),dir!AX24/((1/1000)*(Irr!X24+Irr!AV24)),IF(AND(Irr!X24&lt;&gt;".",Irr!AV24=".",Irr!BT24&lt;&gt;"."),dir!AX24/((1/1000)*(Irr!X24+Irr!BT24)),IF(AND(Irr!X24=".",Irr!AV24&lt;&gt;".",Irr!BT24&lt;&gt;"."),dir!AX24/((1/1000)*(Irr!AV24+Irr!BT24)),IF(AND(Irr!X24=".",Irr!AV24=".",Irr!BT24&lt;&gt;"."),dir!AX24/((1/1000)*(Irr!BT24)),IF(AND(Irr!X24=".",Irr!AV24&lt;&gt;".",Irr!BT24="."),dir!AX24/((1/1000)*(Irr!AV24)),IF(AND(Irr!X24&lt;&gt;".",Irr!AV24=".",Irr!BT24="."),dir!AX24/((1/1000)*(Irr!X24)),IF(AND(Irr!X24=".",Irr!AV24=".",Irr!BT24="."),dir!AX24*1000)))))))),".")</f>
        <v>.</v>
      </c>
      <c r="AY24" s="76" t="str">
        <f>IFERROR(IF(AND(Irr!Y24&lt;&gt;".",Irr!AW24&lt;&gt;".",Irr!BU24&lt;&gt;"."),dir!AY24/((1/1000)*(Irr!Y24+Irr!AW24+Irr!BU24)),IF(AND(Irr!Y24&lt;&gt;".",Irr!AW24&lt;&gt;".",Irr!BU24="."),dir!AY24/((1/1000)*(Irr!Y24+Irr!AW24)),IF(AND(Irr!Y24&lt;&gt;".",Irr!AW24=".",Irr!BU24&lt;&gt;"."),dir!AY24/((1/1000)*(Irr!Y24+Irr!BU24)),IF(AND(Irr!Y24=".",Irr!AW24&lt;&gt;".",Irr!BU24&lt;&gt;"."),dir!AY24/((1/1000)*(Irr!AW24+Irr!BU24)),IF(AND(Irr!Y24=".",Irr!AW24=".",Irr!BU24&lt;&gt;"."),dir!AY24/((1/1000)*(Irr!BU24)),IF(AND(Irr!Y24=".",Irr!AW24&lt;&gt;".",Irr!BU24="."),dir!AY24/((1/1000)*(Irr!AW24)),IF(AND(Irr!Y24&lt;&gt;".",Irr!AW24=".",Irr!BU24="."),dir!AY24/((1/1000)*(Irr!Y24)),IF(AND(Irr!Y24=".",Irr!AW24=".",Irr!BU24="."),dir!AY24*1000)))))))),".")</f>
        <v>.</v>
      </c>
      <c r="AZ24" s="76" t="str">
        <f>IFERROR(IF(AND(Irr!Z24&lt;&gt;".",Irr!AX24&lt;&gt;".",Irr!BV24&lt;&gt;"."),dir!AZ24/((1/1000)*(Irr!Z24+Irr!AX24+Irr!BV24)),IF(AND(Irr!Z24&lt;&gt;".",Irr!AX24&lt;&gt;".",Irr!BV24="."),dir!AZ24/((1/1000)*(Irr!Z24+Irr!AX24)),IF(AND(Irr!Z24&lt;&gt;".",Irr!AX24=".",Irr!BV24&lt;&gt;"."),dir!AZ24/((1/1000)*(Irr!Z24+Irr!BV24)),IF(AND(Irr!Z24=".",Irr!AX24&lt;&gt;".",Irr!BV24&lt;&gt;"."),dir!AZ24/((1/1000)*(Irr!AX24+Irr!BV24)),IF(AND(Irr!Z24=".",Irr!AX24=".",Irr!BV24&lt;&gt;"."),dir!AZ24/((1/1000)*(Irr!BV24)),IF(AND(Irr!Z24=".",Irr!AX24&lt;&gt;".",Irr!BV24="."),dir!AZ24/((1/1000)*(Irr!AX24)),IF(AND(Irr!Z24&lt;&gt;".",Irr!AX24=".",Irr!BV24="."),dir!AZ24/((1/1000)*(Irr!Z24)),IF(AND(Irr!Z24=".",Irr!AX24=".",Irr!BV24="."),dir!AZ24*1000)))))))),".")</f>
        <v>.</v>
      </c>
    </row>
    <row r="25" spans="1:52" x14ac:dyDescent="0.25">
      <c r="A25" s="94" t="s">
        <v>35</v>
      </c>
      <c r="B25" s="90" t="s">
        <v>351</v>
      </c>
      <c r="C25" s="76" t="str">
        <f t="shared" si="20"/>
        <v>.</v>
      </c>
      <c r="D25" s="76" t="str">
        <f>IFERROR(IF(AND(Irr!C25&lt;&gt;".",Irr!AA25&lt;&gt;".",Irr!AY25&lt;&gt;"."),dir!D25/((1/1000)*(Irr!C25+Irr!AA25+Irr!AY25)),IF(AND(Irr!C25&lt;&gt;".",Irr!AA25&lt;&gt;".",Irr!AY25="."),dir!D25/((1/1000)*(Irr!C25+Irr!AA25)),IF(AND(Irr!C25&lt;&gt;".",Irr!AA25=".",Irr!AY25&lt;&gt;"."),dir!D25/((1/1000)*(Irr!C25+Irr!AY25)),IF(AND(Irr!C25=".",Irr!AA25&lt;&gt;".",Irr!AY25&lt;&gt;"."),dir!D25/((1/1000)*(Irr!AA25+Irr!AY25)),IF(AND(Irr!C25=".",Irr!AA25=".",Irr!AY25&lt;&gt;"."),dir!D25/((1/1000)*(Irr!AY25)),IF(AND(Irr!C25=".",Irr!AA25&lt;&gt;".",Irr!AY25="."),dir!D25/((1/1000)*(Irr!AA25)),IF(AND(Irr!C25&lt;&gt;".",Irr!AA25=".",Irr!AY25="."),dir!D25/((1/1000)*(Irr!C25)),IF(AND(Irr!C25=".",Irr!AA25=".",Irr!AY25="."),dir!D25*1000)))))))),".")</f>
        <v>.</v>
      </c>
      <c r="E25" s="76" t="str">
        <f>IFERROR(IF(AND(Irr!D25&lt;&gt;".",Irr!AB25&lt;&gt;".",Irr!AZ25&lt;&gt;"."),dir!E25/((1/1000)*(Irr!D25+Irr!AB25+Irr!AZ25)),IF(AND(Irr!D25&lt;&gt;".",Irr!AB25&lt;&gt;".",Irr!AZ25="."),dir!E25/((1/1000)*(Irr!D25+Irr!AB25)),IF(AND(Irr!D25&lt;&gt;".",Irr!AB25=".",Irr!AZ25&lt;&gt;"."),dir!E25/((1/1000)*(Irr!D25+Irr!AZ25)),IF(AND(Irr!D25=".",Irr!AB25&lt;&gt;".",Irr!AZ25&lt;&gt;"."),dir!E25/((1/1000)*(Irr!AB25+Irr!AZ25)),IF(AND(Irr!D25=".",Irr!AB25=".",Irr!AZ25&lt;&gt;"."),dir!E25/((1/1000)*(Irr!AZ25)),IF(AND(Irr!D25=".",Irr!AB25&lt;&gt;".",Irr!AZ25="."),dir!E25/((1/1000)*(Irr!AB25)),IF(AND(Irr!D25&lt;&gt;".",Irr!AB25=".",Irr!AZ25="."),dir!E25/((1/1000)*(Irr!D25)),IF(AND(Irr!D25=".",Irr!AB25=".",Irr!AZ25="."),dir!E25*1000)))))))),".")</f>
        <v>.</v>
      </c>
      <c r="F25" s="76" t="str">
        <f>IFERROR(IF(AND(Irr!E25&lt;&gt;".",Irr!AC25&lt;&gt;".",Irr!BA25&lt;&gt;"."),dir!F25/((1/1000)*(Irr!E25+Irr!AC25+Irr!BA25)),IF(AND(Irr!E25&lt;&gt;".",Irr!AC25&lt;&gt;".",Irr!BA25="."),dir!F25/((1/1000)*(Irr!E25+Irr!AC25)),IF(AND(Irr!E25&lt;&gt;".",Irr!AC25=".",Irr!BA25&lt;&gt;"."),dir!F25/((1/1000)*(Irr!E25+Irr!BA25)),IF(AND(Irr!E25=".",Irr!AC25&lt;&gt;".",Irr!BA25&lt;&gt;"."),dir!F25/((1/1000)*(Irr!AC25+Irr!BA25)),IF(AND(Irr!E25=".",Irr!AC25=".",Irr!BA25&lt;&gt;"."),dir!F25/((1/1000)*(Irr!BA25)),IF(AND(Irr!E25=".",Irr!AC25&lt;&gt;".",Irr!BA25="."),dir!F25/((1/1000)*(Irr!AC25)),IF(AND(Irr!E25&lt;&gt;".",Irr!AC25=".",Irr!BA25="."),dir!F25/((1/1000)*(Irr!E25)),IF(AND(Irr!E25=".",Irr!AC25=".",Irr!BA25="."),dir!F25*1000)))))))),".")</f>
        <v>.</v>
      </c>
      <c r="G25" s="76" t="str">
        <f>IFERROR(IF(AND(Irr!F25&lt;&gt;".",Irr!AD25&lt;&gt;".",Irr!BB25&lt;&gt;"."),dir!G25/((1/1000)*(Irr!F25+Irr!AD25+Irr!BB25)),IF(AND(Irr!F25&lt;&gt;".",Irr!AD25&lt;&gt;".",Irr!BB25="."),dir!G25/((1/1000)*(Irr!F25+Irr!AD25)),IF(AND(Irr!F25&lt;&gt;".",Irr!AD25=".",Irr!BB25&lt;&gt;"."),dir!G25/((1/1000)*(Irr!F25+Irr!BB25)),IF(AND(Irr!F25=".",Irr!AD25&lt;&gt;".",Irr!BB25&lt;&gt;"."),dir!G25/((1/1000)*(Irr!AD25+Irr!BB25)),IF(AND(Irr!F25=".",Irr!AD25=".",Irr!BB25&lt;&gt;"."),dir!G25/((1/1000)*(Irr!BB25)),IF(AND(Irr!F25=".",Irr!AD25&lt;&gt;".",Irr!BB25="."),dir!G25/((1/1000)*(Irr!AD25)),IF(AND(Irr!F25&lt;&gt;".",Irr!AD25=".",Irr!BB25="."),dir!G25/((1/1000)*(Irr!F25)),IF(AND(Irr!F25=".",Irr!AD25=".",Irr!BB25="."),dir!G25*1000)))))))),".")</f>
        <v>.</v>
      </c>
      <c r="H25" s="76" t="str">
        <f>IFERROR(IF(AND(Irr!G25&lt;&gt;".",Irr!AE25&lt;&gt;".",Irr!BC25&lt;&gt;"."),dir!H25/((1/1000)*(Irr!G25+Irr!AE25+Irr!BC25)),IF(AND(Irr!G25&lt;&gt;".",Irr!AE25&lt;&gt;".",Irr!BC25="."),dir!H25/((1/1000)*(Irr!G25+Irr!AE25)),IF(AND(Irr!G25&lt;&gt;".",Irr!AE25=".",Irr!BC25&lt;&gt;"."),dir!H25/((1/1000)*(Irr!G25+Irr!BC25)),IF(AND(Irr!G25=".",Irr!AE25&lt;&gt;".",Irr!BC25&lt;&gt;"."),dir!H25/((1/1000)*(Irr!AE25+Irr!BC25)),IF(AND(Irr!G25=".",Irr!AE25=".",Irr!BC25&lt;&gt;"."),dir!H25/((1/1000)*(Irr!BC25)),IF(AND(Irr!G25=".",Irr!AE25&lt;&gt;".",Irr!BC25="."),dir!H25/((1/1000)*(Irr!AE25)),IF(AND(Irr!G25&lt;&gt;".",Irr!AE25=".",Irr!BC25="."),dir!H25/((1/1000)*(Irr!G25)),IF(AND(Irr!G25=".",Irr!AE25=".",Irr!BC25="."),dir!H25*1000)))))))),".")</f>
        <v>.</v>
      </c>
      <c r="I25" s="76" t="str">
        <f>IFERROR(IF(AND(Irr!H25&lt;&gt;".",Irr!AF25&lt;&gt;".",Irr!BD25&lt;&gt;"."),dir!I25/((1/1000)*(Irr!H25+Irr!AF25+Irr!BD25)),IF(AND(Irr!H25&lt;&gt;".",Irr!AF25&lt;&gt;".",Irr!BD25="."),dir!I25/((1/1000)*(Irr!H25+Irr!AF25)),IF(AND(Irr!H25&lt;&gt;".",Irr!AF25=".",Irr!BD25&lt;&gt;"."),dir!I25/((1/1000)*(Irr!H25+Irr!BD25)),IF(AND(Irr!H25=".",Irr!AF25&lt;&gt;".",Irr!BD25&lt;&gt;"."),dir!I25/((1/1000)*(Irr!AF25+Irr!BD25)),IF(AND(Irr!H25=".",Irr!AF25=".",Irr!BD25&lt;&gt;"."),dir!I25/((1/1000)*(Irr!BD25)),IF(AND(Irr!H25=".",Irr!AF25&lt;&gt;".",Irr!BD25="."),dir!I25/((1/1000)*(Irr!AF25)),IF(AND(Irr!H25&lt;&gt;".",Irr!AF25=".",Irr!BD25="."),dir!I25/((1/1000)*(Irr!H25)),IF(AND(Irr!H25=".",Irr!AF25=".",Irr!BD25="."),dir!I25*1000)))))))),".")</f>
        <v>.</v>
      </c>
      <c r="J25" s="76" t="str">
        <f>IFERROR(IF(AND(Irr!I25&lt;&gt;".",Irr!AG25&lt;&gt;".",Irr!BE25&lt;&gt;"."),dir!J25/((1/1000)*(Irr!I25+Irr!AG25+Irr!BE25)),IF(AND(Irr!I25&lt;&gt;".",Irr!AG25&lt;&gt;".",Irr!BE25="."),dir!J25/((1/1000)*(Irr!I25+Irr!AG25)),IF(AND(Irr!I25&lt;&gt;".",Irr!AG25=".",Irr!BE25&lt;&gt;"."),dir!J25/((1/1000)*(Irr!I25+Irr!BE25)),IF(AND(Irr!I25=".",Irr!AG25&lt;&gt;".",Irr!BE25&lt;&gt;"."),dir!J25/((1/1000)*(Irr!AG25+Irr!BE25)),IF(AND(Irr!I25=".",Irr!AG25=".",Irr!BE25&lt;&gt;"."),dir!J25/((1/1000)*(Irr!BE25)),IF(AND(Irr!I25=".",Irr!AG25&lt;&gt;".",Irr!BE25="."),dir!J25/((1/1000)*(Irr!AG25)),IF(AND(Irr!I25&lt;&gt;".",Irr!AG25=".",Irr!BE25="."),dir!J25/((1/1000)*(Irr!I25)),IF(AND(Irr!I25=".",Irr!AG25=".",Irr!BE25="."),dir!J25*1000)))))))),".")</f>
        <v>.</v>
      </c>
      <c r="K25" s="76" t="str">
        <f>IFERROR(IF(AND(Irr!J25&lt;&gt;".",Irr!AH25&lt;&gt;".",Irr!BF25&lt;&gt;"."),dir!K25/((1/1000)*(Irr!J25+Irr!AH25+Irr!BF25)),IF(AND(Irr!J25&lt;&gt;".",Irr!AH25&lt;&gt;".",Irr!BF25="."),dir!K25/((1/1000)*(Irr!J25+Irr!AH25)),IF(AND(Irr!J25&lt;&gt;".",Irr!AH25=".",Irr!BF25&lt;&gt;"."),dir!K25/((1/1000)*(Irr!J25+Irr!BF25)),IF(AND(Irr!J25=".",Irr!AH25&lt;&gt;".",Irr!BF25&lt;&gt;"."),dir!K25/((1/1000)*(Irr!AH25+Irr!BF25)),IF(AND(Irr!J25=".",Irr!AH25=".",Irr!BF25&lt;&gt;"."),dir!K25/((1/1000)*(Irr!BF25)),IF(AND(Irr!J25=".",Irr!AH25&lt;&gt;".",Irr!BF25="."),dir!K25/((1/1000)*(Irr!AH25)),IF(AND(Irr!J25&lt;&gt;".",Irr!AH25=".",Irr!BF25="."),dir!K25/((1/1000)*(Irr!J25)),IF(AND(Irr!J25=".",Irr!AH25=".",Irr!BF25="."),dir!K25*1000)))))))),".")</f>
        <v>.</v>
      </c>
      <c r="L25" s="76" t="str">
        <f>IFERROR(IF(AND(Irr!K25&lt;&gt;".",Irr!AI25&lt;&gt;".",Irr!BG25&lt;&gt;"."),dir!L25/((1/1000)*(Irr!K25+Irr!AI25+Irr!BG25)),IF(AND(Irr!K25&lt;&gt;".",Irr!AI25&lt;&gt;".",Irr!BG25="."),dir!L25/((1/1000)*(Irr!K25+Irr!AI25)),IF(AND(Irr!K25&lt;&gt;".",Irr!AI25=".",Irr!BG25&lt;&gt;"."),dir!L25/((1/1000)*(Irr!K25+Irr!BG25)),IF(AND(Irr!K25=".",Irr!AI25&lt;&gt;".",Irr!BG25&lt;&gt;"."),dir!L25/((1/1000)*(Irr!AI25+Irr!BG25)),IF(AND(Irr!K25=".",Irr!AI25=".",Irr!BG25&lt;&gt;"."),dir!L25/((1/1000)*(Irr!BG25)),IF(AND(Irr!K25=".",Irr!AI25&lt;&gt;".",Irr!BG25="."),dir!L25/((1/1000)*(Irr!AI25)),IF(AND(Irr!K25&lt;&gt;".",Irr!AI25=".",Irr!BG25="."),dir!L25/((1/1000)*(Irr!K25)),IF(AND(Irr!K25=".",Irr!AI25=".",Irr!BG25="."),dir!L25*1000)))))))),".")</f>
        <v>.</v>
      </c>
      <c r="M25" s="76" t="str">
        <f>IFERROR(IF(AND(Irr!L25&lt;&gt;".",Irr!AJ25&lt;&gt;".",Irr!BH25&lt;&gt;"."),dir!M25/((1/1000)*(Irr!L25+Irr!AJ25+Irr!BH25)),IF(AND(Irr!L25&lt;&gt;".",Irr!AJ25&lt;&gt;".",Irr!BH25="."),dir!M25/((1/1000)*(Irr!L25+Irr!AJ25)),IF(AND(Irr!L25&lt;&gt;".",Irr!AJ25=".",Irr!BH25&lt;&gt;"."),dir!M25/((1/1000)*(Irr!L25+Irr!BH25)),IF(AND(Irr!L25=".",Irr!AJ25&lt;&gt;".",Irr!BH25&lt;&gt;"."),dir!M25/((1/1000)*(Irr!AJ25+Irr!BH25)),IF(AND(Irr!L25=".",Irr!AJ25=".",Irr!BH25&lt;&gt;"."),dir!M25/((1/1000)*(Irr!BH25)),IF(AND(Irr!L25=".",Irr!AJ25&lt;&gt;".",Irr!BH25="."),dir!M25/((1/1000)*(Irr!AJ25)),IF(AND(Irr!L25&lt;&gt;".",Irr!AJ25=".",Irr!BH25="."),dir!M25/((1/1000)*(Irr!L25)),IF(AND(Irr!L25=".",Irr!AJ25=".",Irr!BH25="."),dir!M25*1000)))))))),".")</f>
        <v>.</v>
      </c>
      <c r="N25" s="76" t="str">
        <f>IFERROR(IF(AND(Irr!M25&lt;&gt;".",Irr!AK25&lt;&gt;".",Irr!BI25&lt;&gt;"."),dir!N25/((1/1000)*(Irr!M25+Irr!AK25+Irr!BI25)),IF(AND(Irr!M25&lt;&gt;".",Irr!AK25&lt;&gt;".",Irr!BI25="."),dir!N25/((1/1000)*(Irr!M25+Irr!AK25)),IF(AND(Irr!M25&lt;&gt;".",Irr!AK25=".",Irr!BI25&lt;&gt;"."),dir!N25/((1/1000)*(Irr!M25+Irr!BI25)),IF(AND(Irr!M25=".",Irr!AK25&lt;&gt;".",Irr!BI25&lt;&gt;"."),dir!N25/((1/1000)*(Irr!AK25+Irr!BI25)),IF(AND(Irr!M25=".",Irr!AK25=".",Irr!BI25&lt;&gt;"."),dir!N25/((1/1000)*(Irr!BI25)),IF(AND(Irr!M25=".",Irr!AK25&lt;&gt;".",Irr!BI25="."),dir!N25/((1/1000)*(Irr!AK25)),IF(AND(Irr!M25&lt;&gt;".",Irr!AK25=".",Irr!BI25="."),dir!N25/((1/1000)*(Irr!M25)),IF(AND(Irr!M25=".",Irr!AK25=".",Irr!BI25="."),dir!N25*1000)))))))),".")</f>
        <v>.</v>
      </c>
      <c r="O25" s="76" t="str">
        <f>IFERROR(IF(AND(Irr!N25&lt;&gt;".",Irr!AL25&lt;&gt;".",Irr!BJ25&lt;&gt;"."),dir!O25/((1/1000)*(Irr!N25+Irr!AL25+Irr!BJ25)),IF(AND(Irr!N25&lt;&gt;".",Irr!AL25&lt;&gt;".",Irr!BJ25="."),dir!O25/((1/1000)*(Irr!N25+Irr!AL25)),IF(AND(Irr!N25&lt;&gt;".",Irr!AL25=".",Irr!BJ25&lt;&gt;"."),dir!O25/((1/1000)*(Irr!N25+Irr!BJ25)),IF(AND(Irr!N25=".",Irr!AL25&lt;&gt;".",Irr!BJ25&lt;&gt;"."),dir!O25/((1/1000)*(Irr!AL25+Irr!BJ25)),IF(AND(Irr!N25=".",Irr!AL25=".",Irr!BJ25&lt;&gt;"."),dir!O25/((1/1000)*(Irr!BJ25)),IF(AND(Irr!N25=".",Irr!AL25&lt;&gt;".",Irr!BJ25="."),dir!O25/((1/1000)*(Irr!AL25)),IF(AND(Irr!N25&lt;&gt;".",Irr!AL25=".",Irr!BJ25="."),dir!O25/((1/1000)*(Irr!N25)),IF(AND(Irr!N25=".",Irr!AL25=".",Irr!BJ25="."),dir!O25*1000)))))))),".")</f>
        <v>.</v>
      </c>
      <c r="P25" s="76" t="str">
        <f>IFERROR(IF(AND(Irr!O25&lt;&gt;".",Irr!AM25&lt;&gt;".",Irr!BK25&lt;&gt;"."),dir!P25/((1/1000)*(Irr!O25+Irr!AM25+Irr!BK25)),IF(AND(Irr!O25&lt;&gt;".",Irr!AM25&lt;&gt;".",Irr!BK25="."),dir!P25/((1/1000)*(Irr!O25+Irr!AM25)),IF(AND(Irr!O25&lt;&gt;".",Irr!AM25=".",Irr!BK25&lt;&gt;"."),dir!P25/((1/1000)*(Irr!O25+Irr!BK25)),IF(AND(Irr!O25=".",Irr!AM25&lt;&gt;".",Irr!BK25&lt;&gt;"."),dir!P25/((1/1000)*(Irr!AM25+Irr!BK25)),IF(AND(Irr!O25=".",Irr!AM25=".",Irr!BK25&lt;&gt;"."),dir!P25/((1/1000)*(Irr!BK25)),IF(AND(Irr!O25=".",Irr!AM25&lt;&gt;".",Irr!BK25="."),dir!P25/((1/1000)*(Irr!AM25)),IF(AND(Irr!O25&lt;&gt;".",Irr!AM25=".",Irr!BK25="."),dir!P25/((1/1000)*(Irr!O25)),IF(AND(Irr!O25=".",Irr!AM25=".",Irr!BK25="."),dir!P25*1000)))))))),".")</f>
        <v>.</v>
      </c>
      <c r="Q25" s="76" t="str">
        <f>IFERROR(IF(AND(Irr!P25&lt;&gt;".",Irr!AN25&lt;&gt;".",Irr!BL25&lt;&gt;"."),dir!Q25/((1/1000)*(Irr!P25+Irr!AN25+Irr!BL25)),IF(AND(Irr!P25&lt;&gt;".",Irr!AN25&lt;&gt;".",Irr!BL25="."),dir!Q25/((1/1000)*(Irr!P25+Irr!AN25)),IF(AND(Irr!P25&lt;&gt;".",Irr!AN25=".",Irr!BL25&lt;&gt;"."),dir!Q25/((1/1000)*(Irr!P25+Irr!BL25)),IF(AND(Irr!P25=".",Irr!AN25&lt;&gt;".",Irr!BL25&lt;&gt;"."),dir!Q25/((1/1000)*(Irr!AN25+Irr!BL25)),IF(AND(Irr!P25=".",Irr!AN25=".",Irr!BL25&lt;&gt;"."),dir!Q25/((1/1000)*(Irr!BL25)),IF(AND(Irr!P25=".",Irr!AN25&lt;&gt;".",Irr!BL25="."),dir!Q25/((1/1000)*(Irr!AN25)),IF(AND(Irr!P25&lt;&gt;".",Irr!AN25=".",Irr!BL25="."),dir!Q25/((1/1000)*(Irr!P25)),IF(AND(Irr!P25=".",Irr!AN25=".",Irr!BL25="."),dir!Q25*1000)))))))),".")</f>
        <v>.</v>
      </c>
      <c r="R25" s="76" t="str">
        <f>IFERROR(IF(AND(Irr!Q25&lt;&gt;".",Irr!AO25&lt;&gt;".",Irr!BM25&lt;&gt;"."),dir!R25/((1/1000)*(Irr!Q25+Irr!AO25+Irr!BM25)),IF(AND(Irr!Q25&lt;&gt;".",Irr!AO25&lt;&gt;".",Irr!BM25="."),dir!R25/((1/1000)*(Irr!Q25+Irr!AO25)),IF(AND(Irr!Q25&lt;&gt;".",Irr!AO25=".",Irr!BM25&lt;&gt;"."),dir!R25/((1/1000)*(Irr!Q25+Irr!BM25)),IF(AND(Irr!Q25=".",Irr!AO25&lt;&gt;".",Irr!BM25&lt;&gt;"."),dir!R25/((1/1000)*(Irr!AO25+Irr!BM25)),IF(AND(Irr!Q25=".",Irr!AO25=".",Irr!BM25&lt;&gt;"."),dir!R25/((1/1000)*(Irr!BM25)),IF(AND(Irr!Q25=".",Irr!AO25&lt;&gt;".",Irr!BM25="."),dir!R25/((1/1000)*(Irr!AO25)),IF(AND(Irr!Q25&lt;&gt;".",Irr!AO25=".",Irr!BM25="."),dir!R25/((1/1000)*(Irr!Q25)),IF(AND(Irr!Q25=".",Irr!AO25=".",Irr!BM25="."),dir!R25*1000)))))))),".")</f>
        <v>.</v>
      </c>
      <c r="S25" s="76" t="str">
        <f>IFERROR(IF(AND(Irr!R25&lt;&gt;".",Irr!AP25&lt;&gt;".",Irr!BN25&lt;&gt;"."),dir!S25/((1/1000)*(Irr!R25+Irr!AP25+Irr!BN25)),IF(AND(Irr!R25&lt;&gt;".",Irr!AP25&lt;&gt;".",Irr!BN25="."),dir!S25/((1/1000)*(Irr!R25+Irr!AP25)),IF(AND(Irr!R25&lt;&gt;".",Irr!AP25=".",Irr!BN25&lt;&gt;"."),dir!S25/((1/1000)*(Irr!R25+Irr!BN25)),IF(AND(Irr!R25=".",Irr!AP25&lt;&gt;".",Irr!BN25&lt;&gt;"."),dir!S25/((1/1000)*(Irr!AP25+Irr!BN25)),IF(AND(Irr!R25=".",Irr!AP25=".",Irr!BN25&lt;&gt;"."),dir!S25/((1/1000)*(Irr!BN25)),IF(AND(Irr!R25=".",Irr!AP25&lt;&gt;".",Irr!BN25="."),dir!S25/((1/1000)*(Irr!AP25)),IF(AND(Irr!R25&lt;&gt;".",Irr!AP25=".",Irr!BN25="."),dir!S25/((1/1000)*(Irr!R25)),IF(AND(Irr!R25=".",Irr!AP25=".",Irr!BN25="."),dir!S25*1000)))))))),".")</f>
        <v>.</v>
      </c>
      <c r="T25" s="76" t="str">
        <f>IFERROR(IF(AND(Irr!S25&lt;&gt;".",Irr!AQ25&lt;&gt;".",Irr!BO25&lt;&gt;"."),dir!T25/((1/1000)*(Irr!S25+Irr!AQ25+Irr!BO25)),IF(AND(Irr!S25&lt;&gt;".",Irr!AQ25&lt;&gt;".",Irr!BO25="."),dir!T25/((1/1000)*(Irr!S25+Irr!AQ25)),IF(AND(Irr!S25&lt;&gt;".",Irr!AQ25=".",Irr!BO25&lt;&gt;"."),dir!T25/((1/1000)*(Irr!S25+Irr!BO25)),IF(AND(Irr!S25=".",Irr!AQ25&lt;&gt;".",Irr!BO25&lt;&gt;"."),dir!T25/((1/1000)*(Irr!AQ25+Irr!BO25)),IF(AND(Irr!S25=".",Irr!AQ25=".",Irr!BO25&lt;&gt;"."),dir!T25/((1/1000)*(Irr!BO25)),IF(AND(Irr!S25=".",Irr!AQ25&lt;&gt;".",Irr!BO25="."),dir!T25/((1/1000)*(Irr!AQ25)),IF(AND(Irr!S25&lt;&gt;".",Irr!AQ25=".",Irr!BO25="."),dir!T25/((1/1000)*(Irr!S25)),IF(AND(Irr!S25=".",Irr!AQ25=".",Irr!BO25="."),dir!T25*1000)))))))),".")</f>
        <v>.</v>
      </c>
      <c r="U25" s="76" t="str">
        <f>IFERROR(IF(AND(Irr!T25&lt;&gt;".",Irr!AR25&lt;&gt;".",Irr!BP25&lt;&gt;"."),dir!U25/((1/1000)*(Irr!T25+Irr!AR25+Irr!BP25)),IF(AND(Irr!T25&lt;&gt;".",Irr!AR25&lt;&gt;".",Irr!BP25="."),dir!U25/((1/1000)*(Irr!T25+Irr!AR25)),IF(AND(Irr!T25&lt;&gt;".",Irr!AR25=".",Irr!BP25&lt;&gt;"."),dir!U25/((1/1000)*(Irr!T25+Irr!BP25)),IF(AND(Irr!T25=".",Irr!AR25&lt;&gt;".",Irr!BP25&lt;&gt;"."),dir!U25/((1/1000)*(Irr!AR25+Irr!BP25)),IF(AND(Irr!T25=".",Irr!AR25=".",Irr!BP25&lt;&gt;"."),dir!U25/((1/1000)*(Irr!BP25)),IF(AND(Irr!T25=".",Irr!AR25&lt;&gt;".",Irr!BP25="."),dir!U25/((1/1000)*(Irr!AR25)),IF(AND(Irr!T25&lt;&gt;".",Irr!AR25=".",Irr!BP25="."),dir!U25/((1/1000)*(Irr!T25)),IF(AND(Irr!T25=".",Irr!AR25=".",Irr!BP25="."),dir!U25*1000)))))))),".")</f>
        <v>.</v>
      </c>
      <c r="V25" s="76" t="str">
        <f>IFERROR(IF(AND(Irr!U25&lt;&gt;".",Irr!AS25&lt;&gt;".",Irr!BQ25&lt;&gt;"."),dir!V25/((1/1000)*(Irr!U25+Irr!AS25+Irr!BQ25)),IF(AND(Irr!U25&lt;&gt;".",Irr!AS25&lt;&gt;".",Irr!BQ25="."),dir!V25/((1/1000)*(Irr!U25+Irr!AS25)),IF(AND(Irr!U25&lt;&gt;".",Irr!AS25=".",Irr!BQ25&lt;&gt;"."),dir!V25/((1/1000)*(Irr!U25+Irr!BQ25)),IF(AND(Irr!U25=".",Irr!AS25&lt;&gt;".",Irr!BQ25&lt;&gt;"."),dir!V25/((1/1000)*(Irr!AS25+Irr!BQ25)),IF(AND(Irr!U25=".",Irr!AS25=".",Irr!BQ25&lt;&gt;"."),dir!V25/((1/1000)*(Irr!BQ25)),IF(AND(Irr!U25=".",Irr!AS25&lt;&gt;".",Irr!BQ25="."),dir!V25/((1/1000)*(Irr!AS25)),IF(AND(Irr!U25&lt;&gt;".",Irr!AS25=".",Irr!BQ25="."),dir!V25/((1/1000)*(Irr!U25)),IF(AND(Irr!U25=".",Irr!AS25=".",Irr!BQ25="."),dir!V25*1000)))))))),".")</f>
        <v>.</v>
      </c>
      <c r="W25" s="76" t="str">
        <f>IFERROR(IF(AND(Irr!V25&lt;&gt;".",Irr!AT25&lt;&gt;".",Irr!BR25&lt;&gt;"."),dir!W25/((1/1000)*(Irr!V25+Irr!AT25+Irr!BR25)),IF(AND(Irr!V25&lt;&gt;".",Irr!AT25&lt;&gt;".",Irr!BR25="."),dir!W25/((1/1000)*(Irr!V25+Irr!AT25)),IF(AND(Irr!V25&lt;&gt;".",Irr!AT25=".",Irr!BR25&lt;&gt;"."),dir!W25/((1/1000)*(Irr!V25+Irr!BR25)),IF(AND(Irr!V25=".",Irr!AT25&lt;&gt;".",Irr!BR25&lt;&gt;"."),dir!W25/((1/1000)*(Irr!AT25+Irr!BR25)),IF(AND(Irr!V25=".",Irr!AT25=".",Irr!BR25&lt;&gt;"."),dir!W25/((1/1000)*(Irr!BR25)),IF(AND(Irr!V25=".",Irr!AT25&lt;&gt;".",Irr!BR25="."),dir!W25/((1/1000)*(Irr!AT25)),IF(AND(Irr!V25&lt;&gt;".",Irr!AT25=".",Irr!BR25="."),dir!W25/((1/1000)*(Irr!V25)),IF(AND(Irr!V25=".",Irr!AT25=".",Irr!BR25="."),dir!W25*1000)))))))),".")</f>
        <v>.</v>
      </c>
      <c r="X25" s="76" t="str">
        <f>IFERROR(IF(AND(Irr!W25&lt;&gt;".",Irr!AU25&lt;&gt;".",Irr!BS25&lt;&gt;"."),dir!X25/((1/1000)*(Irr!W25+Irr!AU25+Irr!BS25)),IF(AND(Irr!W25&lt;&gt;".",Irr!AU25&lt;&gt;".",Irr!BS25="."),dir!X25/((1/1000)*(Irr!W25+Irr!AU25)),IF(AND(Irr!W25&lt;&gt;".",Irr!AU25=".",Irr!BS25&lt;&gt;"."),dir!X25/((1/1000)*(Irr!W25+Irr!BS25)),IF(AND(Irr!W25=".",Irr!AU25&lt;&gt;".",Irr!BS25&lt;&gt;"."),dir!X25/((1/1000)*(Irr!AU25+Irr!BS25)),IF(AND(Irr!W25=".",Irr!AU25=".",Irr!BS25&lt;&gt;"."),dir!X25/((1/1000)*(Irr!BS25)),IF(AND(Irr!W25=".",Irr!AU25&lt;&gt;".",Irr!BS25="."),dir!X25/((1/1000)*(Irr!AU25)),IF(AND(Irr!W25&lt;&gt;".",Irr!AU25=".",Irr!BS25="."),dir!X25/((1/1000)*(Irr!W25)),IF(AND(Irr!W25=".",Irr!AU25=".",Irr!BS25="."),dir!X25*1000)))))))),".")</f>
        <v>.</v>
      </c>
      <c r="Y25" s="76" t="str">
        <f>IFERROR(IF(AND(Irr!X25&lt;&gt;".",Irr!AV25&lt;&gt;".",Irr!BT25&lt;&gt;"."),dir!Y25/((1/1000)*(Irr!X25+Irr!AV25+Irr!BT25)),IF(AND(Irr!X25&lt;&gt;".",Irr!AV25&lt;&gt;".",Irr!BT25="."),dir!Y25/((1/1000)*(Irr!X25+Irr!AV25)),IF(AND(Irr!X25&lt;&gt;".",Irr!AV25=".",Irr!BT25&lt;&gt;"."),dir!Y25/((1/1000)*(Irr!X25+Irr!BT25)),IF(AND(Irr!X25=".",Irr!AV25&lt;&gt;".",Irr!BT25&lt;&gt;"."),dir!Y25/((1/1000)*(Irr!AV25+Irr!BT25)),IF(AND(Irr!X25=".",Irr!AV25=".",Irr!BT25&lt;&gt;"."),dir!Y25/((1/1000)*(Irr!BT25)),IF(AND(Irr!X25=".",Irr!AV25&lt;&gt;".",Irr!BT25="."),dir!Y25/((1/1000)*(Irr!AV25)),IF(AND(Irr!X25&lt;&gt;".",Irr!AV25=".",Irr!BT25="."),dir!Y25/((1/1000)*(Irr!X25)),IF(AND(Irr!X25=".",Irr!AV25=".",Irr!BT25="."),dir!Y25*1000)))))))),".")</f>
        <v>.</v>
      </c>
      <c r="Z25" s="76" t="str">
        <f>IFERROR(IF(AND(Irr!Y25&lt;&gt;".",Irr!AW25&lt;&gt;".",Irr!BU25&lt;&gt;"."),dir!Z25/((1/1000)*(Irr!Y25+Irr!AW25+Irr!BU25)),IF(AND(Irr!Y25&lt;&gt;".",Irr!AW25&lt;&gt;".",Irr!BU25="."),dir!Z25/((1/1000)*(Irr!Y25+Irr!AW25)),IF(AND(Irr!Y25&lt;&gt;".",Irr!AW25=".",Irr!BU25&lt;&gt;"."),dir!Z25/((1/1000)*(Irr!Y25+Irr!BU25)),IF(AND(Irr!Y25=".",Irr!AW25&lt;&gt;".",Irr!BU25&lt;&gt;"."),dir!Z25/((1/1000)*(Irr!AW25+Irr!BU25)),IF(AND(Irr!Y25=".",Irr!AW25=".",Irr!BU25&lt;&gt;"."),dir!Z25/((1/1000)*(Irr!BU25)),IF(AND(Irr!Y25=".",Irr!AW25&lt;&gt;".",Irr!BU25="."),dir!Z25/((1/1000)*(Irr!AW25)),IF(AND(Irr!Y25&lt;&gt;".",Irr!AW25=".",Irr!BU25="."),dir!Z25/((1/1000)*(Irr!Y25)),IF(AND(Irr!Y25=".",Irr!AW25=".",Irr!BU25="."),dir!Z25*1000)))))))),".")</f>
        <v>.</v>
      </c>
      <c r="AA25" s="76" t="str">
        <f>IFERROR(IF(AND(Irr!Z25&lt;&gt;".",Irr!AX25&lt;&gt;".",Irr!BV25&lt;&gt;"."),dir!AA25/((1/1000)*(Irr!Z25+Irr!AX25+Irr!BV25)),IF(AND(Irr!Z25&lt;&gt;".",Irr!AX25&lt;&gt;".",Irr!BV25="."),dir!AA25/((1/1000)*(Irr!Z25+Irr!AX25)),IF(AND(Irr!Z25&lt;&gt;".",Irr!AX25=".",Irr!BV25&lt;&gt;"."),dir!AA25/((1/1000)*(Irr!Z25+Irr!BV25)),IF(AND(Irr!Z25=".",Irr!AX25&lt;&gt;".",Irr!BV25&lt;&gt;"."),dir!AA25/((1/1000)*(Irr!AX25+Irr!BV25)),IF(AND(Irr!Z25=".",Irr!AX25=".",Irr!BV25&lt;&gt;"."),dir!AA25/((1/1000)*(Irr!BV25)),IF(AND(Irr!Z25=".",Irr!AX25&lt;&gt;".",Irr!BV25="."),dir!AA25/((1/1000)*(Irr!AX25)),IF(AND(Irr!Z25&lt;&gt;".",Irr!AX25=".",Irr!BV25="."),dir!AA25/((1/1000)*(Irr!Z25)),IF(AND(Irr!Z25=".",Irr!AX25=".",Irr!BV25="."),dir!AA25*1000)))))))),".")</f>
        <v>.</v>
      </c>
      <c r="AB25" s="76" t="str">
        <f t="shared" si="21"/>
        <v>.</v>
      </c>
      <c r="AC25" s="76" t="str">
        <f>IFERROR(IF(AND(Irr!C25&lt;&gt;".",Irr!AA25&lt;&gt;".",Irr!AY25&lt;&gt;"."),dir!AC25/((1/1000)*(Irr!C25+Irr!AA25+Irr!AY25)),IF(AND(Irr!C25&lt;&gt;".",Irr!AA25&lt;&gt;".",Irr!AY25="."),dir!AC25/((1/1000)*(Irr!C25+Irr!AA25)),IF(AND(Irr!C25&lt;&gt;".",Irr!AA25=".",Irr!AY25&lt;&gt;"."),dir!AC25/((1/1000)*(Irr!C25+Irr!AY25)),IF(AND(Irr!C25=".",Irr!AA25&lt;&gt;".",Irr!AY25&lt;&gt;"."),dir!AC25/((1/1000)*(Irr!AA25+Irr!AY25)),IF(AND(Irr!C25=".",Irr!AA25=".",Irr!AY25&lt;&gt;"."),dir!AC25/((1/1000)*(Irr!AY25)),IF(AND(Irr!C25=".",Irr!AA25&lt;&gt;".",Irr!AY25="."),dir!AC25/((1/1000)*(Irr!AA25)),IF(AND(Irr!C25&lt;&gt;".",Irr!AA25=".",Irr!AY25="."),dir!AC25/((1/1000)*(Irr!C25)),IF(AND(Irr!C25=".",Irr!AA25=".",Irr!AY25="."),dir!AC25*1000)))))))),".")</f>
        <v>.</v>
      </c>
      <c r="AD25" s="76" t="str">
        <f>IFERROR(IF(AND(Irr!D25&lt;&gt;".",Irr!AB25&lt;&gt;".",Irr!AZ25&lt;&gt;"."),dir!AD25/((1/1000)*(Irr!D25+Irr!AB25+Irr!AZ25)),IF(AND(Irr!D25&lt;&gt;".",Irr!AB25&lt;&gt;".",Irr!AZ25="."),dir!AD25/((1/1000)*(Irr!D25+Irr!AB25)),IF(AND(Irr!D25&lt;&gt;".",Irr!AB25=".",Irr!AZ25&lt;&gt;"."),dir!AD25/((1/1000)*(Irr!D25+Irr!AZ25)),IF(AND(Irr!D25=".",Irr!AB25&lt;&gt;".",Irr!AZ25&lt;&gt;"."),dir!AD25/((1/1000)*(Irr!AB25+Irr!AZ25)),IF(AND(Irr!D25=".",Irr!AB25=".",Irr!AZ25&lt;&gt;"."),dir!AD25/((1/1000)*(Irr!AZ25)),IF(AND(Irr!D25=".",Irr!AB25&lt;&gt;".",Irr!AZ25="."),dir!AD25/((1/1000)*(Irr!AB25)),IF(AND(Irr!D25&lt;&gt;".",Irr!AB25=".",Irr!AZ25="."),dir!AD25/((1/1000)*(Irr!D25)),IF(AND(Irr!D25=".",Irr!AB25=".",Irr!AZ25="."),dir!AD25*1000)))))))),".")</f>
        <v>.</v>
      </c>
      <c r="AE25" s="76" t="str">
        <f>IFERROR(IF(AND(Irr!E25&lt;&gt;".",Irr!AC25&lt;&gt;".",Irr!BA25&lt;&gt;"."),dir!AE25/((1/1000)*(Irr!E25+Irr!AC25+Irr!BA25)),IF(AND(Irr!E25&lt;&gt;".",Irr!AC25&lt;&gt;".",Irr!BA25="."),dir!AE25/((1/1000)*(Irr!E25+Irr!AC25)),IF(AND(Irr!E25&lt;&gt;".",Irr!AC25=".",Irr!BA25&lt;&gt;"."),dir!AE25/((1/1000)*(Irr!E25+Irr!BA25)),IF(AND(Irr!E25=".",Irr!AC25&lt;&gt;".",Irr!BA25&lt;&gt;"."),dir!AE25/((1/1000)*(Irr!AC25+Irr!BA25)),IF(AND(Irr!E25=".",Irr!AC25=".",Irr!BA25&lt;&gt;"."),dir!AE25/((1/1000)*(Irr!BA25)),IF(AND(Irr!E25=".",Irr!AC25&lt;&gt;".",Irr!BA25="."),dir!AE25/((1/1000)*(Irr!AC25)),IF(AND(Irr!E25&lt;&gt;".",Irr!AC25=".",Irr!BA25="."),dir!AE25/((1/1000)*(Irr!E25)),IF(AND(Irr!E25=".",Irr!AC25=".",Irr!BA25="."),dir!AE25*1000)))))))),".")</f>
        <v>.</v>
      </c>
      <c r="AF25" s="76" t="str">
        <f>IFERROR(IF(AND(Irr!F25&lt;&gt;".",Irr!AD25&lt;&gt;".",Irr!BB25&lt;&gt;"."),dir!AF25/((1/1000)*(Irr!F25+Irr!AD25+Irr!BB25)),IF(AND(Irr!F25&lt;&gt;".",Irr!AD25&lt;&gt;".",Irr!BB25="."),dir!AF25/((1/1000)*(Irr!F25+Irr!AD25)),IF(AND(Irr!F25&lt;&gt;".",Irr!AD25=".",Irr!BB25&lt;&gt;"."),dir!AF25/((1/1000)*(Irr!F25+Irr!BB25)),IF(AND(Irr!F25=".",Irr!AD25&lt;&gt;".",Irr!BB25&lt;&gt;"."),dir!AF25/((1/1000)*(Irr!AD25+Irr!BB25)),IF(AND(Irr!F25=".",Irr!AD25=".",Irr!BB25&lt;&gt;"."),dir!AF25/((1/1000)*(Irr!BB25)),IF(AND(Irr!F25=".",Irr!AD25&lt;&gt;".",Irr!BB25="."),dir!AF25/((1/1000)*(Irr!AD25)),IF(AND(Irr!F25&lt;&gt;".",Irr!AD25=".",Irr!BB25="."),dir!AF25/((1/1000)*(Irr!F25)),IF(AND(Irr!F25=".",Irr!AD25=".",Irr!BB25="."),dir!AF25*1000)))))))),".")</f>
        <v>.</v>
      </c>
      <c r="AG25" s="76" t="str">
        <f>IFERROR(IF(AND(Irr!G25&lt;&gt;".",Irr!AE25&lt;&gt;".",Irr!BC25&lt;&gt;"."),dir!AG25/((1/1000)*(Irr!G25+Irr!AE25+Irr!BC25)),IF(AND(Irr!G25&lt;&gt;".",Irr!AE25&lt;&gt;".",Irr!BC25="."),dir!AG25/((1/1000)*(Irr!G25+Irr!AE25)),IF(AND(Irr!G25&lt;&gt;".",Irr!AE25=".",Irr!BC25&lt;&gt;"."),dir!AG25/((1/1000)*(Irr!G25+Irr!BC25)),IF(AND(Irr!G25=".",Irr!AE25&lt;&gt;".",Irr!BC25&lt;&gt;"."),dir!AG25/((1/1000)*(Irr!AE25+Irr!BC25)),IF(AND(Irr!G25=".",Irr!AE25=".",Irr!BC25&lt;&gt;"."),dir!AG25/((1/1000)*(Irr!BC25)),IF(AND(Irr!G25=".",Irr!AE25&lt;&gt;".",Irr!BC25="."),dir!AG25/((1/1000)*(Irr!AE25)),IF(AND(Irr!G25&lt;&gt;".",Irr!AE25=".",Irr!BC25="."),dir!AG25/((1/1000)*(Irr!G25)),IF(AND(Irr!G25=".",Irr!AE25=".",Irr!BC25="."),dir!AG25*1000)))))))),".")</f>
        <v>.</v>
      </c>
      <c r="AH25" s="76" t="str">
        <f>IFERROR(IF(AND(Irr!H25&lt;&gt;".",Irr!AF25&lt;&gt;".",Irr!BD25&lt;&gt;"."),dir!AH25/((1/1000)*(Irr!H25+Irr!AF25+Irr!BD25)),IF(AND(Irr!H25&lt;&gt;".",Irr!AF25&lt;&gt;".",Irr!BD25="."),dir!AH25/((1/1000)*(Irr!H25+Irr!AF25)),IF(AND(Irr!H25&lt;&gt;".",Irr!AF25=".",Irr!BD25&lt;&gt;"."),dir!AH25/((1/1000)*(Irr!H25+Irr!BD25)),IF(AND(Irr!H25=".",Irr!AF25&lt;&gt;".",Irr!BD25&lt;&gt;"."),dir!AH25/((1/1000)*(Irr!AF25+Irr!BD25)),IF(AND(Irr!H25=".",Irr!AF25=".",Irr!BD25&lt;&gt;"."),dir!AH25/((1/1000)*(Irr!BD25)),IF(AND(Irr!H25=".",Irr!AF25&lt;&gt;".",Irr!BD25="."),dir!AH25/((1/1000)*(Irr!AF25)),IF(AND(Irr!H25&lt;&gt;".",Irr!AF25=".",Irr!BD25="."),dir!AH25/((1/1000)*(Irr!H25)),IF(AND(Irr!H25=".",Irr!AF25=".",Irr!BD25="."),dir!AH25*1000)))))))),".")</f>
        <v>.</v>
      </c>
      <c r="AI25" s="76" t="str">
        <f>IFERROR(IF(AND(Irr!I25&lt;&gt;".",Irr!AG25&lt;&gt;".",Irr!BE25&lt;&gt;"."),dir!AI25/((1/1000)*(Irr!I25+Irr!AG25+Irr!BE25)),IF(AND(Irr!I25&lt;&gt;".",Irr!AG25&lt;&gt;".",Irr!BE25="."),dir!AI25/((1/1000)*(Irr!I25+Irr!AG25)),IF(AND(Irr!I25&lt;&gt;".",Irr!AG25=".",Irr!BE25&lt;&gt;"."),dir!AI25/((1/1000)*(Irr!I25+Irr!BE25)),IF(AND(Irr!I25=".",Irr!AG25&lt;&gt;".",Irr!BE25&lt;&gt;"."),dir!AI25/((1/1000)*(Irr!AG25+Irr!BE25)),IF(AND(Irr!I25=".",Irr!AG25=".",Irr!BE25&lt;&gt;"."),dir!AI25/((1/1000)*(Irr!BE25)),IF(AND(Irr!I25=".",Irr!AG25&lt;&gt;".",Irr!BE25="."),dir!AI25/((1/1000)*(Irr!AG25)),IF(AND(Irr!I25&lt;&gt;".",Irr!AG25=".",Irr!BE25="."),dir!AI25/((1/1000)*(Irr!I25)),IF(AND(Irr!I25=".",Irr!AG25=".",Irr!BE25="."),dir!AI25*1000)))))))),".")</f>
        <v>.</v>
      </c>
      <c r="AJ25" s="76" t="str">
        <f>IFERROR(IF(AND(Irr!J25&lt;&gt;".",Irr!AH25&lt;&gt;".",Irr!BF25&lt;&gt;"."),dir!AJ25/((1/1000)*(Irr!J25+Irr!AH25+Irr!BF25)),IF(AND(Irr!J25&lt;&gt;".",Irr!AH25&lt;&gt;".",Irr!BF25="."),dir!AJ25/((1/1000)*(Irr!J25+Irr!AH25)),IF(AND(Irr!J25&lt;&gt;".",Irr!AH25=".",Irr!BF25&lt;&gt;"."),dir!AJ25/((1/1000)*(Irr!J25+Irr!BF25)),IF(AND(Irr!J25=".",Irr!AH25&lt;&gt;".",Irr!BF25&lt;&gt;"."),dir!AJ25/((1/1000)*(Irr!AH25+Irr!BF25)),IF(AND(Irr!J25=".",Irr!AH25=".",Irr!BF25&lt;&gt;"."),dir!AJ25/((1/1000)*(Irr!BF25)),IF(AND(Irr!J25=".",Irr!AH25&lt;&gt;".",Irr!BF25="."),dir!AJ25/((1/1000)*(Irr!AH25)),IF(AND(Irr!J25&lt;&gt;".",Irr!AH25=".",Irr!BF25="."),dir!AJ25/((1/1000)*(Irr!J25)),IF(AND(Irr!J25=".",Irr!AH25=".",Irr!BF25="."),dir!AJ25*1000)))))))),".")</f>
        <v>.</v>
      </c>
      <c r="AK25" s="76" t="str">
        <f>IFERROR(IF(AND(Irr!K25&lt;&gt;".",Irr!AI25&lt;&gt;".",Irr!BG25&lt;&gt;"."),dir!AK25/((1/1000)*(Irr!K25+Irr!AI25+Irr!BG25)),IF(AND(Irr!K25&lt;&gt;".",Irr!AI25&lt;&gt;".",Irr!BG25="."),dir!AK25/((1/1000)*(Irr!K25+Irr!AI25)),IF(AND(Irr!K25&lt;&gt;".",Irr!AI25=".",Irr!BG25&lt;&gt;"."),dir!AK25/((1/1000)*(Irr!K25+Irr!BG25)),IF(AND(Irr!K25=".",Irr!AI25&lt;&gt;".",Irr!BG25&lt;&gt;"."),dir!AK25/((1/1000)*(Irr!AI25+Irr!BG25)),IF(AND(Irr!K25=".",Irr!AI25=".",Irr!BG25&lt;&gt;"."),dir!AK25/((1/1000)*(Irr!BG25)),IF(AND(Irr!K25=".",Irr!AI25&lt;&gt;".",Irr!BG25="."),dir!AK25/((1/1000)*(Irr!AI25)),IF(AND(Irr!K25&lt;&gt;".",Irr!AI25=".",Irr!BG25="."),dir!AK25/((1/1000)*(Irr!K25)),IF(AND(Irr!K25=".",Irr!AI25=".",Irr!BG25="."),dir!AK25*1000)))))))),".")</f>
        <v>.</v>
      </c>
      <c r="AL25" s="76" t="str">
        <f>IFERROR(IF(AND(Irr!L25&lt;&gt;".",Irr!AJ25&lt;&gt;".",Irr!BH25&lt;&gt;"."),dir!AL25/((1/1000)*(Irr!L25+Irr!AJ25+Irr!BH25)),IF(AND(Irr!L25&lt;&gt;".",Irr!AJ25&lt;&gt;".",Irr!BH25="."),dir!AL25/((1/1000)*(Irr!L25+Irr!AJ25)),IF(AND(Irr!L25&lt;&gt;".",Irr!AJ25=".",Irr!BH25&lt;&gt;"."),dir!AL25/((1/1000)*(Irr!L25+Irr!BH25)),IF(AND(Irr!L25=".",Irr!AJ25&lt;&gt;".",Irr!BH25&lt;&gt;"."),dir!AL25/((1/1000)*(Irr!AJ25+Irr!BH25)),IF(AND(Irr!L25=".",Irr!AJ25=".",Irr!BH25&lt;&gt;"."),dir!AL25/((1/1000)*(Irr!BH25)),IF(AND(Irr!L25=".",Irr!AJ25&lt;&gt;".",Irr!BH25="."),dir!AL25/((1/1000)*(Irr!AJ25)),IF(AND(Irr!L25&lt;&gt;".",Irr!AJ25=".",Irr!BH25="."),dir!AL25/((1/1000)*(Irr!L25)),IF(AND(Irr!L25=".",Irr!AJ25=".",Irr!BH25="."),dir!AL25*1000)))))))),".")</f>
        <v>.</v>
      </c>
      <c r="AM25" s="76" t="str">
        <f>IFERROR(IF(AND(Irr!M25&lt;&gt;".",Irr!AK25&lt;&gt;".",Irr!BI25&lt;&gt;"."),dir!AM25/((1/1000)*(Irr!M25+Irr!AK25+Irr!BI25)),IF(AND(Irr!M25&lt;&gt;".",Irr!AK25&lt;&gt;".",Irr!BI25="."),dir!AM25/((1/1000)*(Irr!M25+Irr!AK25)),IF(AND(Irr!M25&lt;&gt;".",Irr!AK25=".",Irr!BI25&lt;&gt;"."),dir!AM25/((1/1000)*(Irr!M25+Irr!BI25)),IF(AND(Irr!M25=".",Irr!AK25&lt;&gt;".",Irr!BI25&lt;&gt;"."),dir!AM25/((1/1000)*(Irr!AK25+Irr!BI25)),IF(AND(Irr!M25=".",Irr!AK25=".",Irr!BI25&lt;&gt;"."),dir!AM25/((1/1000)*(Irr!BI25)),IF(AND(Irr!M25=".",Irr!AK25&lt;&gt;".",Irr!BI25="."),dir!AM25/((1/1000)*(Irr!AK25)),IF(AND(Irr!M25&lt;&gt;".",Irr!AK25=".",Irr!BI25="."),dir!AM25/((1/1000)*(Irr!M25)),IF(AND(Irr!M25=".",Irr!AK25=".",Irr!BI25="."),dir!AM25*1000)))))))),".")</f>
        <v>.</v>
      </c>
      <c r="AN25" s="76" t="str">
        <f>IFERROR(IF(AND(Irr!N25&lt;&gt;".",Irr!AL25&lt;&gt;".",Irr!BJ25&lt;&gt;"."),dir!AN25/((1/1000)*(Irr!N25+Irr!AL25+Irr!BJ25)),IF(AND(Irr!N25&lt;&gt;".",Irr!AL25&lt;&gt;".",Irr!BJ25="."),dir!AN25/((1/1000)*(Irr!N25+Irr!AL25)),IF(AND(Irr!N25&lt;&gt;".",Irr!AL25=".",Irr!BJ25&lt;&gt;"."),dir!AN25/((1/1000)*(Irr!N25+Irr!BJ25)),IF(AND(Irr!N25=".",Irr!AL25&lt;&gt;".",Irr!BJ25&lt;&gt;"."),dir!AN25/((1/1000)*(Irr!AL25+Irr!BJ25)),IF(AND(Irr!N25=".",Irr!AL25=".",Irr!BJ25&lt;&gt;"."),dir!AN25/((1/1000)*(Irr!BJ25)),IF(AND(Irr!N25=".",Irr!AL25&lt;&gt;".",Irr!BJ25="."),dir!AN25/((1/1000)*(Irr!AL25)),IF(AND(Irr!N25&lt;&gt;".",Irr!AL25=".",Irr!BJ25="."),dir!AN25/((1/1000)*(Irr!N25)),IF(AND(Irr!N25=".",Irr!AL25=".",Irr!BJ25="."),dir!AN25*1000)))))))),".")</f>
        <v>.</v>
      </c>
      <c r="AO25" s="76" t="str">
        <f>IFERROR(IF(AND(Irr!O25&lt;&gt;".",Irr!AM25&lt;&gt;".",Irr!BK25&lt;&gt;"."),dir!AO25/((1/1000)*(Irr!O25+Irr!AM25+Irr!BK25)),IF(AND(Irr!O25&lt;&gt;".",Irr!AM25&lt;&gt;".",Irr!BK25="."),dir!AO25/((1/1000)*(Irr!O25+Irr!AM25)),IF(AND(Irr!O25&lt;&gt;".",Irr!AM25=".",Irr!BK25&lt;&gt;"."),dir!AO25/((1/1000)*(Irr!O25+Irr!BK25)),IF(AND(Irr!O25=".",Irr!AM25&lt;&gt;".",Irr!BK25&lt;&gt;"."),dir!AO25/((1/1000)*(Irr!AM25+Irr!BK25)),IF(AND(Irr!O25=".",Irr!AM25=".",Irr!BK25&lt;&gt;"."),dir!AO25/((1/1000)*(Irr!BK25)),IF(AND(Irr!O25=".",Irr!AM25&lt;&gt;".",Irr!BK25="."),dir!AO25/((1/1000)*(Irr!AM25)),IF(AND(Irr!O25&lt;&gt;".",Irr!AM25=".",Irr!BK25="."),dir!AO25/((1/1000)*(Irr!O25)),IF(AND(Irr!O25=".",Irr!AM25=".",Irr!BK25="."),dir!AO25*1000)))))))),".")</f>
        <v>.</v>
      </c>
      <c r="AP25" s="76" t="str">
        <f>IFERROR(IF(AND(Irr!P25&lt;&gt;".",Irr!AN25&lt;&gt;".",Irr!BL25&lt;&gt;"."),dir!AP25/((1/1000)*(Irr!P25+Irr!AN25+Irr!BL25)),IF(AND(Irr!P25&lt;&gt;".",Irr!AN25&lt;&gt;".",Irr!BL25="."),dir!AP25/((1/1000)*(Irr!P25+Irr!AN25)),IF(AND(Irr!P25&lt;&gt;".",Irr!AN25=".",Irr!BL25&lt;&gt;"."),dir!AP25/((1/1000)*(Irr!P25+Irr!BL25)),IF(AND(Irr!P25=".",Irr!AN25&lt;&gt;".",Irr!BL25&lt;&gt;"."),dir!AP25/((1/1000)*(Irr!AN25+Irr!BL25)),IF(AND(Irr!P25=".",Irr!AN25=".",Irr!BL25&lt;&gt;"."),dir!AP25/((1/1000)*(Irr!BL25)),IF(AND(Irr!P25=".",Irr!AN25&lt;&gt;".",Irr!BL25="."),dir!AP25/((1/1000)*(Irr!AN25)),IF(AND(Irr!P25&lt;&gt;".",Irr!AN25=".",Irr!BL25="."),dir!AP25/((1/1000)*(Irr!P25)),IF(AND(Irr!P25=".",Irr!AN25=".",Irr!BL25="."),dir!AP25*1000)))))))),".")</f>
        <v>.</v>
      </c>
      <c r="AQ25" s="76" t="str">
        <f>IFERROR(IF(AND(Irr!Q25&lt;&gt;".",Irr!AO25&lt;&gt;".",Irr!BM25&lt;&gt;"."),dir!AQ25/((1/1000)*(Irr!Q25+Irr!AO25+Irr!BM25)),IF(AND(Irr!Q25&lt;&gt;".",Irr!AO25&lt;&gt;".",Irr!BM25="."),dir!AQ25/((1/1000)*(Irr!Q25+Irr!AO25)),IF(AND(Irr!Q25&lt;&gt;".",Irr!AO25=".",Irr!BM25&lt;&gt;"."),dir!AQ25/((1/1000)*(Irr!Q25+Irr!BM25)),IF(AND(Irr!Q25=".",Irr!AO25&lt;&gt;".",Irr!BM25&lt;&gt;"."),dir!AQ25/((1/1000)*(Irr!AO25+Irr!BM25)),IF(AND(Irr!Q25=".",Irr!AO25=".",Irr!BM25&lt;&gt;"."),dir!AQ25/((1/1000)*(Irr!BM25)),IF(AND(Irr!Q25=".",Irr!AO25&lt;&gt;".",Irr!BM25="."),dir!AQ25/((1/1000)*(Irr!AO25)),IF(AND(Irr!Q25&lt;&gt;".",Irr!AO25=".",Irr!BM25="."),dir!AQ25/((1/1000)*(Irr!Q25)),IF(AND(Irr!Q25=".",Irr!AO25=".",Irr!BM25="."),dir!AQ25*1000)))))))),".")</f>
        <v>.</v>
      </c>
      <c r="AR25" s="76" t="str">
        <f>IFERROR(IF(AND(Irr!R25&lt;&gt;".",Irr!AP25&lt;&gt;".",Irr!BN25&lt;&gt;"."),dir!AR25/((1/1000)*(Irr!R25+Irr!AP25+Irr!BN25)),IF(AND(Irr!R25&lt;&gt;".",Irr!AP25&lt;&gt;".",Irr!BN25="."),dir!AR25/((1/1000)*(Irr!R25+Irr!AP25)),IF(AND(Irr!R25&lt;&gt;".",Irr!AP25=".",Irr!BN25&lt;&gt;"."),dir!AR25/((1/1000)*(Irr!R25+Irr!BN25)),IF(AND(Irr!R25=".",Irr!AP25&lt;&gt;".",Irr!BN25&lt;&gt;"."),dir!AR25/((1/1000)*(Irr!AP25+Irr!BN25)),IF(AND(Irr!R25=".",Irr!AP25=".",Irr!BN25&lt;&gt;"."),dir!AR25/((1/1000)*(Irr!BN25)),IF(AND(Irr!R25=".",Irr!AP25&lt;&gt;".",Irr!BN25="."),dir!AR25/((1/1000)*(Irr!AP25)),IF(AND(Irr!R25&lt;&gt;".",Irr!AP25=".",Irr!BN25="."),dir!AR25/((1/1000)*(Irr!R25)),IF(AND(Irr!R25=".",Irr!AP25=".",Irr!BN25="."),dir!AR25*1000)))))))),".")</f>
        <v>.</v>
      </c>
      <c r="AS25" s="76" t="str">
        <f>IFERROR(IF(AND(Irr!S25&lt;&gt;".",Irr!AQ25&lt;&gt;".",Irr!BO25&lt;&gt;"."),dir!AS25/((1/1000)*(Irr!S25+Irr!AQ25+Irr!BO25)),IF(AND(Irr!S25&lt;&gt;".",Irr!AQ25&lt;&gt;".",Irr!BO25="."),dir!AS25/((1/1000)*(Irr!S25+Irr!AQ25)),IF(AND(Irr!S25&lt;&gt;".",Irr!AQ25=".",Irr!BO25&lt;&gt;"."),dir!AS25/((1/1000)*(Irr!S25+Irr!BO25)),IF(AND(Irr!S25=".",Irr!AQ25&lt;&gt;".",Irr!BO25&lt;&gt;"."),dir!AS25/((1/1000)*(Irr!AQ25+Irr!BO25)),IF(AND(Irr!S25=".",Irr!AQ25=".",Irr!BO25&lt;&gt;"."),dir!AS25/((1/1000)*(Irr!BO25)),IF(AND(Irr!S25=".",Irr!AQ25&lt;&gt;".",Irr!BO25="."),dir!AS25/((1/1000)*(Irr!AQ25)),IF(AND(Irr!S25&lt;&gt;".",Irr!AQ25=".",Irr!BO25="."),dir!AS25/((1/1000)*(Irr!S25)),IF(AND(Irr!S25=".",Irr!AQ25=".",Irr!BO25="."),dir!AS25*1000)))))))),".")</f>
        <v>.</v>
      </c>
      <c r="AT25" s="76" t="str">
        <f>IFERROR(IF(AND(Irr!T25&lt;&gt;".",Irr!AR25&lt;&gt;".",Irr!BP25&lt;&gt;"."),dir!AT25/((1/1000)*(Irr!T25+Irr!AR25+Irr!BP25)),IF(AND(Irr!T25&lt;&gt;".",Irr!AR25&lt;&gt;".",Irr!BP25="."),dir!AT25/((1/1000)*(Irr!T25+Irr!AR25)),IF(AND(Irr!T25&lt;&gt;".",Irr!AR25=".",Irr!BP25&lt;&gt;"."),dir!AT25/((1/1000)*(Irr!T25+Irr!BP25)),IF(AND(Irr!T25=".",Irr!AR25&lt;&gt;".",Irr!BP25&lt;&gt;"."),dir!AT25/((1/1000)*(Irr!AR25+Irr!BP25)),IF(AND(Irr!T25=".",Irr!AR25=".",Irr!BP25&lt;&gt;"."),dir!AT25/((1/1000)*(Irr!BP25)),IF(AND(Irr!T25=".",Irr!AR25&lt;&gt;".",Irr!BP25="."),dir!AT25/((1/1000)*(Irr!AR25)),IF(AND(Irr!T25&lt;&gt;".",Irr!AR25=".",Irr!BP25="."),dir!AT25/((1/1000)*(Irr!T25)),IF(AND(Irr!T25=".",Irr!AR25=".",Irr!BP25="."),dir!AT25*1000)))))))),".")</f>
        <v>.</v>
      </c>
      <c r="AU25" s="76" t="str">
        <f>IFERROR(IF(AND(Irr!U25&lt;&gt;".",Irr!AS25&lt;&gt;".",Irr!BQ25&lt;&gt;"."),dir!AU25/((1/1000)*(Irr!U25+Irr!AS25+Irr!BQ25)),IF(AND(Irr!U25&lt;&gt;".",Irr!AS25&lt;&gt;".",Irr!BQ25="."),dir!AU25/((1/1000)*(Irr!U25+Irr!AS25)),IF(AND(Irr!U25&lt;&gt;".",Irr!AS25=".",Irr!BQ25&lt;&gt;"."),dir!AU25/((1/1000)*(Irr!U25+Irr!BQ25)),IF(AND(Irr!U25=".",Irr!AS25&lt;&gt;".",Irr!BQ25&lt;&gt;"."),dir!AU25/((1/1000)*(Irr!AS25+Irr!BQ25)),IF(AND(Irr!U25=".",Irr!AS25=".",Irr!BQ25&lt;&gt;"."),dir!AU25/((1/1000)*(Irr!BQ25)),IF(AND(Irr!U25=".",Irr!AS25&lt;&gt;".",Irr!BQ25="."),dir!AU25/((1/1000)*(Irr!AS25)),IF(AND(Irr!U25&lt;&gt;".",Irr!AS25=".",Irr!BQ25="."),dir!AU25/((1/1000)*(Irr!U25)),IF(AND(Irr!U25=".",Irr!AS25=".",Irr!BQ25="."),dir!AU25*1000)))))))),".")</f>
        <v>.</v>
      </c>
      <c r="AV25" s="76" t="str">
        <f>IFERROR(IF(AND(Irr!V25&lt;&gt;".",Irr!AT25&lt;&gt;".",Irr!BR25&lt;&gt;"."),dir!AV25/((1/1000)*(Irr!V25+Irr!AT25+Irr!BR25)),IF(AND(Irr!V25&lt;&gt;".",Irr!AT25&lt;&gt;".",Irr!BR25="."),dir!AV25/((1/1000)*(Irr!V25+Irr!AT25)),IF(AND(Irr!V25&lt;&gt;".",Irr!AT25=".",Irr!BR25&lt;&gt;"."),dir!AV25/((1/1000)*(Irr!V25+Irr!BR25)),IF(AND(Irr!V25=".",Irr!AT25&lt;&gt;".",Irr!BR25&lt;&gt;"."),dir!AV25/((1/1000)*(Irr!AT25+Irr!BR25)),IF(AND(Irr!V25=".",Irr!AT25=".",Irr!BR25&lt;&gt;"."),dir!AV25/((1/1000)*(Irr!BR25)),IF(AND(Irr!V25=".",Irr!AT25&lt;&gt;".",Irr!BR25="."),dir!AV25/((1/1000)*(Irr!AT25)),IF(AND(Irr!V25&lt;&gt;".",Irr!AT25=".",Irr!BR25="."),dir!AV25/((1/1000)*(Irr!V25)),IF(AND(Irr!V25=".",Irr!AT25=".",Irr!BR25="."),dir!AV25*1000)))))))),".")</f>
        <v>.</v>
      </c>
      <c r="AW25" s="76" t="str">
        <f>IFERROR(IF(AND(Irr!W25&lt;&gt;".",Irr!AU25&lt;&gt;".",Irr!BS25&lt;&gt;"."),dir!AW25/((1/1000)*(Irr!W25+Irr!AU25+Irr!BS25)),IF(AND(Irr!W25&lt;&gt;".",Irr!AU25&lt;&gt;".",Irr!BS25="."),dir!AW25/((1/1000)*(Irr!W25+Irr!AU25)),IF(AND(Irr!W25&lt;&gt;".",Irr!AU25=".",Irr!BS25&lt;&gt;"."),dir!AW25/((1/1000)*(Irr!W25+Irr!BS25)),IF(AND(Irr!W25=".",Irr!AU25&lt;&gt;".",Irr!BS25&lt;&gt;"."),dir!AW25/((1/1000)*(Irr!AU25+Irr!BS25)),IF(AND(Irr!W25=".",Irr!AU25=".",Irr!BS25&lt;&gt;"."),dir!AW25/((1/1000)*(Irr!BS25)),IF(AND(Irr!W25=".",Irr!AU25&lt;&gt;".",Irr!BS25="."),dir!AW25/((1/1000)*(Irr!AU25)),IF(AND(Irr!W25&lt;&gt;".",Irr!AU25=".",Irr!BS25="."),dir!AW25/((1/1000)*(Irr!W25)),IF(AND(Irr!W25=".",Irr!AU25=".",Irr!BS25="."),dir!AW25*1000)))))))),".")</f>
        <v>.</v>
      </c>
      <c r="AX25" s="76" t="str">
        <f>IFERROR(IF(AND(Irr!X25&lt;&gt;".",Irr!AV25&lt;&gt;".",Irr!BT25&lt;&gt;"."),dir!AX25/((1/1000)*(Irr!X25+Irr!AV25+Irr!BT25)),IF(AND(Irr!X25&lt;&gt;".",Irr!AV25&lt;&gt;".",Irr!BT25="."),dir!AX25/((1/1000)*(Irr!X25+Irr!AV25)),IF(AND(Irr!X25&lt;&gt;".",Irr!AV25=".",Irr!BT25&lt;&gt;"."),dir!AX25/((1/1000)*(Irr!X25+Irr!BT25)),IF(AND(Irr!X25=".",Irr!AV25&lt;&gt;".",Irr!BT25&lt;&gt;"."),dir!AX25/((1/1000)*(Irr!AV25+Irr!BT25)),IF(AND(Irr!X25=".",Irr!AV25=".",Irr!BT25&lt;&gt;"."),dir!AX25/((1/1000)*(Irr!BT25)),IF(AND(Irr!X25=".",Irr!AV25&lt;&gt;".",Irr!BT25="."),dir!AX25/((1/1000)*(Irr!AV25)),IF(AND(Irr!X25&lt;&gt;".",Irr!AV25=".",Irr!BT25="."),dir!AX25/((1/1000)*(Irr!X25)),IF(AND(Irr!X25=".",Irr!AV25=".",Irr!BT25="."),dir!AX25*1000)))))))),".")</f>
        <v>.</v>
      </c>
      <c r="AY25" s="76" t="str">
        <f>IFERROR(IF(AND(Irr!Y25&lt;&gt;".",Irr!AW25&lt;&gt;".",Irr!BU25&lt;&gt;"."),dir!AY25/((1/1000)*(Irr!Y25+Irr!AW25+Irr!BU25)),IF(AND(Irr!Y25&lt;&gt;".",Irr!AW25&lt;&gt;".",Irr!BU25="."),dir!AY25/((1/1000)*(Irr!Y25+Irr!AW25)),IF(AND(Irr!Y25&lt;&gt;".",Irr!AW25=".",Irr!BU25&lt;&gt;"."),dir!AY25/((1/1000)*(Irr!Y25+Irr!BU25)),IF(AND(Irr!Y25=".",Irr!AW25&lt;&gt;".",Irr!BU25&lt;&gt;"."),dir!AY25/((1/1000)*(Irr!AW25+Irr!BU25)),IF(AND(Irr!Y25=".",Irr!AW25=".",Irr!BU25&lt;&gt;"."),dir!AY25/((1/1000)*(Irr!BU25)),IF(AND(Irr!Y25=".",Irr!AW25&lt;&gt;".",Irr!BU25="."),dir!AY25/((1/1000)*(Irr!AW25)),IF(AND(Irr!Y25&lt;&gt;".",Irr!AW25=".",Irr!BU25="."),dir!AY25/((1/1000)*(Irr!Y25)),IF(AND(Irr!Y25=".",Irr!AW25=".",Irr!BU25="."),dir!AY25*1000)))))))),".")</f>
        <v>.</v>
      </c>
      <c r="AZ25" s="76" t="str">
        <f>IFERROR(IF(AND(Irr!Z25&lt;&gt;".",Irr!AX25&lt;&gt;".",Irr!BV25&lt;&gt;"."),dir!AZ25/((1/1000)*(Irr!Z25+Irr!AX25+Irr!BV25)),IF(AND(Irr!Z25&lt;&gt;".",Irr!AX25&lt;&gt;".",Irr!BV25="."),dir!AZ25/((1/1000)*(Irr!Z25+Irr!AX25)),IF(AND(Irr!Z25&lt;&gt;".",Irr!AX25=".",Irr!BV25&lt;&gt;"."),dir!AZ25/((1/1000)*(Irr!Z25+Irr!BV25)),IF(AND(Irr!Z25=".",Irr!AX25&lt;&gt;".",Irr!BV25&lt;&gt;"."),dir!AZ25/((1/1000)*(Irr!AX25+Irr!BV25)),IF(AND(Irr!Z25=".",Irr!AX25=".",Irr!BV25&lt;&gt;"."),dir!AZ25/((1/1000)*(Irr!BV25)),IF(AND(Irr!Z25=".",Irr!AX25&lt;&gt;".",Irr!BV25="."),dir!AZ25/((1/1000)*(Irr!AX25)),IF(AND(Irr!Z25&lt;&gt;".",Irr!AX25=".",Irr!BV25="."),dir!AZ25/((1/1000)*(Irr!Z25)),IF(AND(Irr!Z25=".",Irr!AX25=".",Irr!BV25="."),dir!AZ25*1000)))))))),".")</f>
        <v>.</v>
      </c>
    </row>
    <row r="26" spans="1:52" ht="15" customHeight="1" x14ac:dyDescent="0.25">
      <c r="A26" s="92" t="s">
        <v>36</v>
      </c>
      <c r="B26" s="90" t="s">
        <v>1074</v>
      </c>
      <c r="C26" s="76">
        <f t="shared" ref="C26:C29" si="22">IFERROR(1/SUM(1/D26,1/E26,1/F26,1/G26,1/H26,1/I26,1/J26,1/K26,1/L26,1/M26,1/N26,1/O26,1/P26,1/Q26,1/R26,1/S26,1/T26,1/U26,1/V26,1/W26,1/X26,1/Y26),".")</f>
        <v>7.7400919738818061E-2</v>
      </c>
      <c r="D26" s="76">
        <f>IFERROR(IF(AND(Irr!C26&lt;&gt;".",Irr!AA26&lt;&gt;".",Irr!AY26&lt;&gt;"."),dir!D26/((1/1000)*(Irr!C26+Irr!AA26+Irr!AY26)),IF(AND(Irr!C26&lt;&gt;".",Irr!AA26&lt;&gt;".",Irr!AY26="."),dir!D26/((1/1000)*(Irr!C26+Irr!AA26)),IF(AND(Irr!C26&lt;&gt;".",Irr!AA26=".",Irr!AY26&lt;&gt;"."),dir!D26/((1/1000)*(Irr!C26+Irr!AY26)),IF(AND(Irr!C26=".",Irr!AA26&lt;&gt;".",Irr!AY26&lt;&gt;"."),dir!D26/((1/1000)*(Irr!AA26+Irr!AY26)),IF(AND(Irr!C26=".",Irr!AA26=".",Irr!AY26&lt;&gt;"."),dir!D26/((1/1000)*(Irr!AY26)),IF(AND(Irr!C26=".",Irr!AA26&lt;&gt;".",Irr!AY26="."),dir!D26/((1/1000)*(Irr!AA26)),IF(AND(Irr!C26&lt;&gt;".",Irr!AA26=".",Irr!AY26="."),dir!D26/((1/1000)*(Irr!C26)),IF(AND(Irr!C26=".",Irr!AA26=".",Irr!AY26="."),dir!D26*1000)))))))),".")</f>
        <v>1.4069230401550705</v>
      </c>
      <c r="E26" s="76">
        <f>IFERROR(IF(AND(Irr!D26&lt;&gt;".",Irr!AB26&lt;&gt;".",Irr!AZ26&lt;&gt;"."),dir!E26/((1/1000)*(Irr!D26+Irr!AB26+Irr!AZ26)),IF(AND(Irr!D26&lt;&gt;".",Irr!AB26&lt;&gt;".",Irr!AZ26="."),dir!E26/((1/1000)*(Irr!D26+Irr!AB26)),IF(AND(Irr!D26&lt;&gt;".",Irr!AB26=".",Irr!AZ26&lt;&gt;"."),dir!E26/((1/1000)*(Irr!D26+Irr!AZ26)),IF(AND(Irr!D26=".",Irr!AB26&lt;&gt;".",Irr!AZ26&lt;&gt;"."),dir!E26/((1/1000)*(Irr!AB26+Irr!AZ26)),IF(AND(Irr!D26=".",Irr!AB26=".",Irr!AZ26&lt;&gt;"."),dir!E26/((1/1000)*(Irr!AZ26)),IF(AND(Irr!D26=".",Irr!AB26&lt;&gt;".",Irr!AZ26="."),dir!E26/((1/1000)*(Irr!AB26)),IF(AND(Irr!D26&lt;&gt;".",Irr!AB26=".",Irr!AZ26="."),dir!E26/((1/1000)*(Irr!D26)),IF(AND(Irr!D26=".",Irr!AB26=".",Irr!AZ26="."),dir!E26*1000)))))))),".")</f>
        <v>3.108607504058611</v>
      </c>
      <c r="F26" s="76">
        <f>IFERROR(IF(AND(Irr!E26&lt;&gt;".",Irr!AC26&lt;&gt;".",Irr!BA26&lt;&gt;"."),dir!F26/((1/1000)*(Irr!E26+Irr!AC26+Irr!BA26)),IF(AND(Irr!E26&lt;&gt;".",Irr!AC26&lt;&gt;".",Irr!BA26="."),dir!F26/((1/1000)*(Irr!E26+Irr!AC26)),IF(AND(Irr!E26&lt;&gt;".",Irr!AC26=".",Irr!BA26&lt;&gt;"."),dir!F26/((1/1000)*(Irr!E26+Irr!BA26)),IF(AND(Irr!E26=".",Irr!AC26&lt;&gt;".",Irr!BA26&lt;&gt;"."),dir!F26/((1/1000)*(Irr!AC26+Irr!BA26)),IF(AND(Irr!E26=".",Irr!AC26=".",Irr!BA26&lt;&gt;"."),dir!F26/((1/1000)*(Irr!BA26)),IF(AND(Irr!E26=".",Irr!AC26&lt;&gt;".",Irr!BA26="."),dir!F26/((1/1000)*(Irr!AC26)),IF(AND(Irr!E26&lt;&gt;".",Irr!AC26=".",Irr!BA26="."),dir!F26/((1/1000)*(Irr!E26)),IF(AND(Irr!E26=".",Irr!AC26=".",Irr!BA26="."),dir!F26*1000)))))))),".")</f>
        <v>3.8152690029803766</v>
      </c>
      <c r="G26" s="76">
        <f>IFERROR(IF(AND(Irr!F26&lt;&gt;".",Irr!AD26&lt;&gt;".",Irr!BB26&lt;&gt;"."),dir!G26/((1/1000)*(Irr!F26+Irr!AD26+Irr!BB26)),IF(AND(Irr!F26&lt;&gt;".",Irr!AD26&lt;&gt;".",Irr!BB26="."),dir!G26/((1/1000)*(Irr!F26+Irr!AD26)),IF(AND(Irr!F26&lt;&gt;".",Irr!AD26=".",Irr!BB26&lt;&gt;"."),dir!G26/((1/1000)*(Irr!F26+Irr!BB26)),IF(AND(Irr!F26=".",Irr!AD26&lt;&gt;".",Irr!BB26&lt;&gt;"."),dir!G26/((1/1000)*(Irr!AD26+Irr!BB26)),IF(AND(Irr!F26=".",Irr!AD26=".",Irr!BB26&lt;&gt;"."),dir!G26/((1/1000)*(Irr!BB26)),IF(AND(Irr!F26=".",Irr!AD26&lt;&gt;".",Irr!BB26="."),dir!G26/((1/1000)*(Irr!AD26)),IF(AND(Irr!F26&lt;&gt;".",Irr!AD26=".",Irr!BB26="."),dir!G26/((1/1000)*(Irr!F26)),IF(AND(Irr!F26=".",Irr!AD26=".",Irr!BB26="."),dir!G26*1000)))))))),".")</f>
        <v>3.1514289958271653</v>
      </c>
      <c r="H26" s="76">
        <f>IFERROR(IF(AND(Irr!G26&lt;&gt;".",Irr!AE26&lt;&gt;".",Irr!BC26&lt;&gt;"."),dir!H26/((1/1000)*(Irr!G26+Irr!AE26+Irr!BC26)),IF(AND(Irr!G26&lt;&gt;".",Irr!AE26&lt;&gt;".",Irr!BC26="."),dir!H26/((1/1000)*(Irr!G26+Irr!AE26)),IF(AND(Irr!G26&lt;&gt;".",Irr!AE26=".",Irr!BC26&lt;&gt;"."),dir!H26/((1/1000)*(Irr!G26+Irr!BC26)),IF(AND(Irr!G26=".",Irr!AE26&lt;&gt;".",Irr!BC26&lt;&gt;"."),dir!H26/((1/1000)*(Irr!AE26+Irr!BC26)),IF(AND(Irr!G26=".",Irr!AE26=".",Irr!BC26&lt;&gt;"."),dir!H26/((1/1000)*(Irr!BC26)),IF(AND(Irr!G26=".",Irr!AE26&lt;&gt;".",Irr!BC26="."),dir!H26/((1/1000)*(Irr!AE26)),IF(AND(Irr!G26&lt;&gt;".",Irr!AE26=".",Irr!BC26="."),dir!H26/((1/1000)*(Irr!G26)),IF(AND(Irr!G26=".",Irr!AE26=".",Irr!BC26="."),dir!H26*1000)))))))),".")</f>
        <v>3.6933488082056307</v>
      </c>
      <c r="I26" s="76">
        <f>IFERROR(IF(AND(Irr!H26&lt;&gt;".",Irr!AF26&lt;&gt;".",Irr!BD26&lt;&gt;"."),dir!I26/((1/1000)*(Irr!H26+Irr!AF26+Irr!BD26)),IF(AND(Irr!H26&lt;&gt;".",Irr!AF26&lt;&gt;".",Irr!BD26="."),dir!I26/((1/1000)*(Irr!H26+Irr!AF26)),IF(AND(Irr!H26&lt;&gt;".",Irr!AF26=".",Irr!BD26&lt;&gt;"."),dir!I26/((1/1000)*(Irr!H26+Irr!BD26)),IF(AND(Irr!H26=".",Irr!AF26&lt;&gt;".",Irr!BD26&lt;&gt;"."),dir!I26/((1/1000)*(Irr!AF26+Irr!BD26)),IF(AND(Irr!H26=".",Irr!AF26=".",Irr!BD26&lt;&gt;"."),dir!I26/((1/1000)*(Irr!BD26)),IF(AND(Irr!H26=".",Irr!AF26&lt;&gt;".",Irr!BD26="."),dir!I26/((1/1000)*(Irr!AF26)),IF(AND(Irr!H26&lt;&gt;".",Irr!AF26=".",Irr!BD26="."),dir!I26/((1/1000)*(Irr!H26)),IF(AND(Irr!H26=".",Irr!AF26=".",Irr!BD26="."),dir!I26*1000)))))))),".")</f>
        <v>1.3918536801638393</v>
      </c>
      <c r="J26" s="76">
        <f>IFERROR(IF(AND(Irr!I26&lt;&gt;".",Irr!AG26&lt;&gt;".",Irr!BE26&lt;&gt;"."),dir!J26/((1/1000)*(Irr!I26+Irr!AG26+Irr!BE26)),IF(AND(Irr!I26&lt;&gt;".",Irr!AG26&lt;&gt;".",Irr!BE26="."),dir!J26/((1/1000)*(Irr!I26+Irr!AG26)),IF(AND(Irr!I26&lt;&gt;".",Irr!AG26=".",Irr!BE26&lt;&gt;"."),dir!J26/((1/1000)*(Irr!I26+Irr!BE26)),IF(AND(Irr!I26=".",Irr!AG26&lt;&gt;".",Irr!BE26&lt;&gt;"."),dir!J26/((1/1000)*(Irr!AG26+Irr!BE26)),IF(AND(Irr!I26=".",Irr!AG26=".",Irr!BE26&lt;&gt;"."),dir!J26/((1/1000)*(Irr!BE26)),IF(AND(Irr!I26=".",Irr!AG26&lt;&gt;".",Irr!BE26="."),dir!J26/((1/1000)*(Irr!AG26)),IF(AND(Irr!I26&lt;&gt;".",Irr!AG26=".",Irr!BE26="."),dir!J26/((1/1000)*(Irr!I26)),IF(AND(Irr!I26=".",Irr!AG26=".",Irr!BE26="."),dir!J26*1000)))))))),".")</f>
        <v>4.2132468339561635</v>
      </c>
      <c r="K26" s="76">
        <f>IFERROR(IF(AND(Irr!J26&lt;&gt;".",Irr!AH26&lt;&gt;".",Irr!BF26&lt;&gt;"."),dir!K26/((1/1000)*(Irr!J26+Irr!AH26+Irr!BF26)),IF(AND(Irr!J26&lt;&gt;".",Irr!AH26&lt;&gt;".",Irr!BF26="."),dir!K26/((1/1000)*(Irr!J26+Irr!AH26)),IF(AND(Irr!J26&lt;&gt;".",Irr!AH26=".",Irr!BF26&lt;&gt;"."),dir!K26/((1/1000)*(Irr!J26+Irr!BF26)),IF(AND(Irr!J26=".",Irr!AH26&lt;&gt;".",Irr!BF26&lt;&gt;"."),dir!K26/((1/1000)*(Irr!AH26+Irr!BF26)),IF(AND(Irr!J26=".",Irr!AH26=".",Irr!BF26&lt;&gt;"."),dir!K26/((1/1000)*(Irr!BF26)),IF(AND(Irr!J26=".",Irr!AH26&lt;&gt;".",Irr!BF26="."),dir!K26/((1/1000)*(Irr!AH26)),IF(AND(Irr!J26&lt;&gt;".",Irr!AH26=".",Irr!BF26="."),dir!K26/((1/1000)*(Irr!J26)),IF(AND(Irr!J26=".",Irr!AH26=".",Irr!BF26="."),dir!K26*1000)))))))),".")</f>
        <v>0.36495418173707572</v>
      </c>
      <c r="L26" s="76">
        <f>IFERROR(IF(AND(Irr!K26&lt;&gt;".",Irr!AI26&lt;&gt;".",Irr!BG26&lt;&gt;"."),dir!L26/((1/1000)*(Irr!K26+Irr!AI26+Irr!BG26)),IF(AND(Irr!K26&lt;&gt;".",Irr!AI26&lt;&gt;".",Irr!BG26="."),dir!L26/((1/1000)*(Irr!K26+Irr!AI26)),IF(AND(Irr!K26&lt;&gt;".",Irr!AI26=".",Irr!BG26&lt;&gt;"."),dir!L26/((1/1000)*(Irr!K26+Irr!BG26)),IF(AND(Irr!K26=".",Irr!AI26&lt;&gt;".",Irr!BG26&lt;&gt;"."),dir!L26/((1/1000)*(Irr!AI26+Irr!BG26)),IF(AND(Irr!K26=".",Irr!AI26=".",Irr!BG26&lt;&gt;"."),dir!L26/((1/1000)*(Irr!BG26)),IF(AND(Irr!K26=".",Irr!AI26&lt;&gt;".",Irr!BG26="."),dir!L26/((1/1000)*(Irr!AI26)),IF(AND(Irr!K26&lt;&gt;".",Irr!AI26=".",Irr!BG26="."),dir!L26/((1/1000)*(Irr!K26)),IF(AND(Irr!K26=".",Irr!AI26=".",Irr!BG26="."),dir!L26*1000)))))))),".")</f>
        <v>2.0018054204507267</v>
      </c>
      <c r="M26" s="76">
        <f>IFERROR(IF(AND(Irr!L26&lt;&gt;".",Irr!AJ26&lt;&gt;".",Irr!BH26&lt;&gt;"."),dir!M26/((1/1000)*(Irr!L26+Irr!AJ26+Irr!BH26)),IF(AND(Irr!L26&lt;&gt;".",Irr!AJ26&lt;&gt;".",Irr!BH26="."),dir!M26/((1/1000)*(Irr!L26+Irr!AJ26)),IF(AND(Irr!L26&lt;&gt;".",Irr!AJ26=".",Irr!BH26&lt;&gt;"."),dir!M26/((1/1000)*(Irr!L26+Irr!BH26)),IF(AND(Irr!L26=".",Irr!AJ26&lt;&gt;".",Irr!BH26&lt;&gt;"."),dir!M26/((1/1000)*(Irr!AJ26+Irr!BH26)),IF(AND(Irr!L26=".",Irr!AJ26=".",Irr!BH26&lt;&gt;"."),dir!M26/((1/1000)*(Irr!BH26)),IF(AND(Irr!L26=".",Irr!AJ26&lt;&gt;".",Irr!BH26="."),dir!M26/((1/1000)*(Irr!AJ26)),IF(AND(Irr!L26&lt;&gt;".",Irr!AJ26=".",Irr!BH26="."),dir!M26/((1/1000)*(Irr!L26)),IF(AND(Irr!L26=".",Irr!AJ26=".",Irr!BH26="."),dir!M26*1000)))))))),".")</f>
        <v>1.4880603724319619</v>
      </c>
      <c r="N26" s="76">
        <f>IFERROR(IF(AND(Irr!M26&lt;&gt;".",Irr!AK26&lt;&gt;".",Irr!BI26&lt;&gt;"."),dir!N26/((1/1000)*(Irr!M26+Irr!AK26+Irr!BI26)),IF(AND(Irr!M26&lt;&gt;".",Irr!AK26&lt;&gt;".",Irr!BI26="."),dir!N26/((1/1000)*(Irr!M26+Irr!AK26)),IF(AND(Irr!M26&lt;&gt;".",Irr!AK26=".",Irr!BI26&lt;&gt;"."),dir!N26/((1/1000)*(Irr!M26+Irr!BI26)),IF(AND(Irr!M26=".",Irr!AK26&lt;&gt;".",Irr!BI26&lt;&gt;"."),dir!N26/((1/1000)*(Irr!AK26+Irr!BI26)),IF(AND(Irr!M26=".",Irr!AK26=".",Irr!BI26&lt;&gt;"."),dir!N26/((1/1000)*(Irr!BI26)),IF(AND(Irr!M26=".",Irr!AK26&lt;&gt;".",Irr!BI26="."),dir!N26/((1/1000)*(Irr!AK26)),IF(AND(Irr!M26&lt;&gt;".",Irr!AK26=".",Irr!BI26="."),dir!N26/((1/1000)*(Irr!M26)),IF(AND(Irr!M26=".",Irr!AK26=".",Irr!BI26="."),dir!N26*1000)))))))),".")</f>
        <v>3.044600369356496</v>
      </c>
      <c r="O26" s="76">
        <f>IFERROR(IF(AND(Irr!N26&lt;&gt;".",Irr!AL26&lt;&gt;".",Irr!BJ26&lt;&gt;"."),dir!O26/((1/1000)*(Irr!N26+Irr!AL26+Irr!BJ26)),IF(AND(Irr!N26&lt;&gt;".",Irr!AL26&lt;&gt;".",Irr!BJ26="."),dir!O26/((1/1000)*(Irr!N26+Irr!AL26)),IF(AND(Irr!N26&lt;&gt;".",Irr!AL26=".",Irr!BJ26&lt;&gt;"."),dir!O26/((1/1000)*(Irr!N26+Irr!BJ26)),IF(AND(Irr!N26=".",Irr!AL26&lt;&gt;".",Irr!BJ26&lt;&gt;"."),dir!O26/((1/1000)*(Irr!AL26+Irr!BJ26)),IF(AND(Irr!N26=".",Irr!AL26=".",Irr!BJ26&lt;&gt;"."),dir!O26/((1/1000)*(Irr!BJ26)),IF(AND(Irr!N26=".",Irr!AL26&lt;&gt;".",Irr!BJ26="."),dir!O26/((1/1000)*(Irr!AL26)),IF(AND(Irr!N26&lt;&gt;".",Irr!AL26=".",Irr!BJ26="."),dir!O26/((1/1000)*(Irr!N26)),IF(AND(Irr!N26=".",Irr!AL26=".",Irr!BJ26="."),dir!O26*1000)))))))),".")</f>
        <v>3.6221644644171089</v>
      </c>
      <c r="P26" s="76">
        <f>IFERROR(IF(AND(Irr!O26&lt;&gt;".",Irr!AM26&lt;&gt;".",Irr!BK26&lt;&gt;"."),dir!P26/((1/1000)*(Irr!O26+Irr!AM26+Irr!BK26)),IF(AND(Irr!O26&lt;&gt;".",Irr!AM26&lt;&gt;".",Irr!BK26="."),dir!P26/((1/1000)*(Irr!O26+Irr!AM26)),IF(AND(Irr!O26&lt;&gt;".",Irr!AM26=".",Irr!BK26&lt;&gt;"."),dir!P26/((1/1000)*(Irr!O26+Irr!BK26)),IF(AND(Irr!O26=".",Irr!AM26&lt;&gt;".",Irr!BK26&lt;&gt;"."),dir!P26/((1/1000)*(Irr!AM26+Irr!BK26)),IF(AND(Irr!O26=".",Irr!AM26=".",Irr!BK26&lt;&gt;"."),dir!P26/((1/1000)*(Irr!BK26)),IF(AND(Irr!O26=".",Irr!AM26&lt;&gt;".",Irr!BK26="."),dir!P26/((1/1000)*(Irr!AM26)),IF(AND(Irr!O26&lt;&gt;".",Irr!AM26=".",Irr!BK26="."),dir!P26/((1/1000)*(Irr!O26)),IF(AND(Irr!O26=".",Irr!AM26=".",Irr!BK26="."),dir!P26*1000)))))))),".")</f>
        <v>4.2121122938375617</v>
      </c>
      <c r="Q26" s="76">
        <f>IFERROR(IF(AND(Irr!P26&lt;&gt;".",Irr!AN26&lt;&gt;".",Irr!BL26&lt;&gt;"."),dir!Q26/((1/1000)*(Irr!P26+Irr!AN26+Irr!BL26)),IF(AND(Irr!P26&lt;&gt;".",Irr!AN26&lt;&gt;".",Irr!BL26="."),dir!Q26/((1/1000)*(Irr!P26+Irr!AN26)),IF(AND(Irr!P26&lt;&gt;".",Irr!AN26=".",Irr!BL26&lt;&gt;"."),dir!Q26/((1/1000)*(Irr!P26+Irr!BL26)),IF(AND(Irr!P26=".",Irr!AN26&lt;&gt;".",Irr!BL26&lt;&gt;"."),dir!Q26/((1/1000)*(Irr!AN26+Irr!BL26)),IF(AND(Irr!P26=".",Irr!AN26=".",Irr!BL26&lt;&gt;"."),dir!Q26/((1/1000)*(Irr!BL26)),IF(AND(Irr!P26=".",Irr!AN26&lt;&gt;".",Irr!BL26="."),dir!Q26/((1/1000)*(Irr!AN26)),IF(AND(Irr!P26&lt;&gt;".",Irr!AN26=".",Irr!BL26="."),dir!Q26/((1/1000)*(Irr!P26)),IF(AND(Irr!P26=".",Irr!AN26=".",Irr!BL26="."),dir!Q26*1000)))))))),".")</f>
        <v>5.687378951895778</v>
      </c>
      <c r="R26" s="76">
        <f>IFERROR(IF(AND(Irr!Q26&lt;&gt;".",Irr!AO26&lt;&gt;".",Irr!BM26&lt;&gt;"."),dir!R26/((1/1000)*(Irr!Q26+Irr!AO26+Irr!BM26)),IF(AND(Irr!Q26&lt;&gt;".",Irr!AO26&lt;&gt;".",Irr!BM26="."),dir!R26/((1/1000)*(Irr!Q26+Irr!AO26)),IF(AND(Irr!Q26&lt;&gt;".",Irr!AO26=".",Irr!BM26&lt;&gt;"."),dir!R26/((1/1000)*(Irr!Q26+Irr!BM26)),IF(AND(Irr!Q26=".",Irr!AO26&lt;&gt;".",Irr!BM26&lt;&gt;"."),dir!R26/((1/1000)*(Irr!AO26+Irr!BM26)),IF(AND(Irr!Q26=".",Irr!AO26=".",Irr!BM26&lt;&gt;"."),dir!R26/((1/1000)*(Irr!BM26)),IF(AND(Irr!Q26=".",Irr!AO26&lt;&gt;".",Irr!BM26="."),dir!R26/((1/1000)*(Irr!AO26)),IF(AND(Irr!Q26&lt;&gt;".",Irr!AO26=".",Irr!BM26="."),dir!R26/((1/1000)*(Irr!Q26)),IF(AND(Irr!Q26=".",Irr!AO26=".",Irr!BM26="."),dir!R26*1000)))))))),".")</f>
        <v>0.89979388688034767</v>
      </c>
      <c r="S26" s="76">
        <f>IFERROR(IF(AND(Irr!R26&lt;&gt;".",Irr!AP26&lt;&gt;".",Irr!BN26&lt;&gt;"."),dir!S26/((1/1000)*(Irr!R26+Irr!AP26+Irr!BN26)),IF(AND(Irr!R26&lt;&gt;".",Irr!AP26&lt;&gt;".",Irr!BN26="."),dir!S26/((1/1000)*(Irr!R26+Irr!AP26)),IF(AND(Irr!R26&lt;&gt;".",Irr!AP26=".",Irr!BN26&lt;&gt;"."),dir!S26/((1/1000)*(Irr!R26+Irr!BN26)),IF(AND(Irr!R26=".",Irr!AP26&lt;&gt;".",Irr!BN26&lt;&gt;"."),dir!S26/((1/1000)*(Irr!AP26+Irr!BN26)),IF(AND(Irr!R26=".",Irr!AP26=".",Irr!BN26&lt;&gt;"."),dir!S26/((1/1000)*(Irr!BN26)),IF(AND(Irr!R26=".",Irr!AP26&lt;&gt;".",Irr!BN26="."),dir!S26/((1/1000)*(Irr!AP26)),IF(AND(Irr!R26&lt;&gt;".",Irr!AP26=".",Irr!BN26="."),dir!S26/((1/1000)*(Irr!R26)),IF(AND(Irr!R26=".",Irr!AP26=".",Irr!BN26="."),dir!S26*1000)))))))),".")</f>
        <v>1.8686388624570398</v>
      </c>
      <c r="T26" s="76">
        <f>IFERROR(IF(AND(Irr!S26&lt;&gt;".",Irr!AQ26&lt;&gt;".",Irr!BO26&lt;&gt;"."),dir!T26/((1/1000)*(Irr!S26+Irr!AQ26+Irr!BO26)),IF(AND(Irr!S26&lt;&gt;".",Irr!AQ26&lt;&gt;".",Irr!BO26="."),dir!T26/((1/1000)*(Irr!S26+Irr!AQ26)),IF(AND(Irr!S26&lt;&gt;".",Irr!AQ26=".",Irr!BO26&lt;&gt;"."),dir!T26/((1/1000)*(Irr!S26+Irr!BO26)),IF(AND(Irr!S26=".",Irr!AQ26&lt;&gt;".",Irr!BO26&lt;&gt;"."),dir!T26/((1/1000)*(Irr!AQ26+Irr!BO26)),IF(AND(Irr!S26=".",Irr!AQ26=".",Irr!BO26&lt;&gt;"."),dir!T26/((1/1000)*(Irr!BO26)),IF(AND(Irr!S26=".",Irr!AQ26&lt;&gt;".",Irr!BO26="."),dir!T26/((1/1000)*(Irr!AQ26)),IF(AND(Irr!S26&lt;&gt;".",Irr!AQ26=".",Irr!BO26="."),dir!T26/((1/1000)*(Irr!S26)),IF(AND(Irr!S26=".",Irr!AQ26=".",Irr!BO26="."),dir!T26*1000)))))))),".")</f>
        <v>2.9780461194112253</v>
      </c>
      <c r="U26" s="76">
        <f>IFERROR(IF(AND(Irr!T26&lt;&gt;".",Irr!AR26&lt;&gt;".",Irr!BP26&lt;&gt;"."),dir!U26/((1/1000)*(Irr!T26+Irr!AR26+Irr!BP26)),IF(AND(Irr!T26&lt;&gt;".",Irr!AR26&lt;&gt;".",Irr!BP26="."),dir!U26/((1/1000)*(Irr!T26+Irr!AR26)),IF(AND(Irr!T26&lt;&gt;".",Irr!AR26=".",Irr!BP26&lt;&gt;"."),dir!U26/((1/1000)*(Irr!T26+Irr!BP26)),IF(AND(Irr!T26=".",Irr!AR26&lt;&gt;".",Irr!BP26&lt;&gt;"."),dir!U26/((1/1000)*(Irr!AR26+Irr!BP26)),IF(AND(Irr!T26=".",Irr!AR26=".",Irr!BP26&lt;&gt;"."),dir!U26/((1/1000)*(Irr!BP26)),IF(AND(Irr!T26=".",Irr!AR26&lt;&gt;".",Irr!BP26="."),dir!U26/((1/1000)*(Irr!AR26)),IF(AND(Irr!T26&lt;&gt;".",Irr!AR26=".",Irr!BP26="."),dir!U26/((1/1000)*(Irr!T26)),IF(AND(Irr!T26=".",Irr!AR26=".",Irr!BP26="."),dir!U26*1000)))))))),".")</f>
        <v>0.93846926922543816</v>
      </c>
      <c r="V26" s="76">
        <f>IFERROR(IF(AND(Irr!U26&lt;&gt;".",Irr!AS26&lt;&gt;".",Irr!BQ26&lt;&gt;"."),dir!V26/((1/1000)*(Irr!U26+Irr!AS26+Irr!BQ26)),IF(AND(Irr!U26&lt;&gt;".",Irr!AS26&lt;&gt;".",Irr!BQ26="."),dir!V26/((1/1000)*(Irr!U26+Irr!AS26)),IF(AND(Irr!U26&lt;&gt;".",Irr!AS26=".",Irr!BQ26&lt;&gt;"."),dir!V26/((1/1000)*(Irr!U26+Irr!BQ26)),IF(AND(Irr!U26=".",Irr!AS26&lt;&gt;".",Irr!BQ26&lt;&gt;"."),dir!V26/((1/1000)*(Irr!AS26+Irr!BQ26)),IF(AND(Irr!U26=".",Irr!AS26=".",Irr!BQ26&lt;&gt;"."),dir!V26/((1/1000)*(Irr!BQ26)),IF(AND(Irr!U26=".",Irr!AS26&lt;&gt;".",Irr!BQ26="."),dir!V26/((1/1000)*(Irr!AS26)),IF(AND(Irr!U26&lt;&gt;".",Irr!AS26=".",Irr!BQ26="."),dir!V26/((1/1000)*(Irr!U26)),IF(AND(Irr!U26=".",Irr!AS26=".",Irr!BQ26="."),dir!V26*1000)))))))),".")</f>
        <v>1.7091848455080974</v>
      </c>
      <c r="W26" s="76">
        <f>IFERROR(IF(AND(Irr!V26&lt;&gt;".",Irr!AT26&lt;&gt;".",Irr!BR26&lt;&gt;"."),dir!W26/((1/1000)*(Irr!V26+Irr!AT26+Irr!BR26)),IF(AND(Irr!V26&lt;&gt;".",Irr!AT26&lt;&gt;".",Irr!BR26="."),dir!W26/((1/1000)*(Irr!V26+Irr!AT26)),IF(AND(Irr!V26&lt;&gt;".",Irr!AT26=".",Irr!BR26&lt;&gt;"."),dir!W26/((1/1000)*(Irr!V26+Irr!BR26)),IF(AND(Irr!V26=".",Irr!AT26&lt;&gt;".",Irr!BR26&lt;&gt;"."),dir!W26/((1/1000)*(Irr!AT26+Irr!BR26)),IF(AND(Irr!V26=".",Irr!AT26=".",Irr!BR26&lt;&gt;"."),dir!W26/((1/1000)*(Irr!BR26)),IF(AND(Irr!V26=".",Irr!AT26&lt;&gt;".",Irr!BR26="."),dir!W26/((1/1000)*(Irr!AT26)),IF(AND(Irr!V26&lt;&gt;".",Irr!AT26=".",Irr!BR26="."),dir!W26/((1/1000)*(Irr!V26)),IF(AND(Irr!V26=".",Irr!AT26=".",Irr!BR26="."),dir!W26*1000)))))))),".")</f>
        <v>2.0628450851400784</v>
      </c>
      <c r="X26" s="76">
        <f>IFERROR(IF(AND(Irr!W26&lt;&gt;".",Irr!AU26&lt;&gt;".",Irr!BS26&lt;&gt;"."),dir!X26/((1/1000)*(Irr!W26+Irr!AU26+Irr!BS26)),IF(AND(Irr!W26&lt;&gt;".",Irr!AU26&lt;&gt;".",Irr!BS26="."),dir!X26/((1/1000)*(Irr!W26+Irr!AU26)),IF(AND(Irr!W26&lt;&gt;".",Irr!AU26=".",Irr!BS26&lt;&gt;"."),dir!X26/((1/1000)*(Irr!W26+Irr!BS26)),IF(AND(Irr!W26=".",Irr!AU26&lt;&gt;".",Irr!BS26&lt;&gt;"."),dir!X26/((1/1000)*(Irr!AU26+Irr!BS26)),IF(AND(Irr!W26=".",Irr!AU26=".",Irr!BS26&lt;&gt;"."),dir!X26/((1/1000)*(Irr!BS26)),IF(AND(Irr!W26=".",Irr!AU26&lt;&gt;".",Irr!BS26="."),dir!X26/((1/1000)*(Irr!AU26)),IF(AND(Irr!W26&lt;&gt;".",Irr!AU26=".",Irr!BS26="."),dir!X26/((1/1000)*(Irr!W26)),IF(AND(Irr!W26=".",Irr!AU26=".",Irr!BS26="."),dir!X26*1000)))))))),".")</f>
        <v>2.792034082441968</v>
      </c>
      <c r="Y26" s="76">
        <f>IFERROR(IF(AND(Irr!X26&lt;&gt;".",Irr!AV26&lt;&gt;".",Irr!BT26&lt;&gt;"."),dir!Y26/((1/1000)*(Irr!X26+Irr!AV26+Irr!BT26)),IF(AND(Irr!X26&lt;&gt;".",Irr!AV26&lt;&gt;".",Irr!BT26="."),dir!Y26/((1/1000)*(Irr!X26+Irr!AV26)),IF(AND(Irr!X26&lt;&gt;".",Irr!AV26=".",Irr!BT26&lt;&gt;"."),dir!Y26/((1/1000)*(Irr!X26+Irr!BT26)),IF(AND(Irr!X26=".",Irr!AV26&lt;&gt;".",Irr!BT26&lt;&gt;"."),dir!Y26/((1/1000)*(Irr!AV26+Irr!BT26)),IF(AND(Irr!X26=".",Irr!AV26=".",Irr!BT26&lt;&gt;"."),dir!Y26/((1/1000)*(Irr!BT26)),IF(AND(Irr!X26=".",Irr!AV26&lt;&gt;".",Irr!BT26="."),dir!Y26/((1/1000)*(Irr!AV26)),IF(AND(Irr!X26&lt;&gt;".",Irr!AV26=".",Irr!BT26="."),dir!Y26/((1/1000)*(Irr!X26)),IF(AND(Irr!X26=".",Irr!AV26=".",Irr!BT26="."),dir!Y26*1000)))))))),".")</f>
        <v>1.4792494400620466</v>
      </c>
      <c r="Z26" s="76">
        <f>IFERROR(IF(AND(Irr!Y26&lt;&gt;".",Irr!AW26&lt;&gt;".",Irr!BU26&lt;&gt;"."),dir!Z26/((1/1000)*(Irr!Y26+Irr!AW26+Irr!BU26)),IF(AND(Irr!Y26&lt;&gt;".",Irr!AW26&lt;&gt;".",Irr!BU26="."),dir!Z26/((1/1000)*(Irr!Y26+Irr!AW26)),IF(AND(Irr!Y26&lt;&gt;".",Irr!AW26=".",Irr!BU26&lt;&gt;"."),dir!Z26/((1/1000)*(Irr!Y26+Irr!BU26)),IF(AND(Irr!Y26=".",Irr!AW26&lt;&gt;".",Irr!BU26&lt;&gt;"."),dir!Z26/((1/1000)*(Irr!AW26+Irr!BU26)),IF(AND(Irr!Y26=".",Irr!AW26=".",Irr!BU26&lt;&gt;"."),dir!Z26/((1/1000)*(Irr!BU26)),IF(AND(Irr!Y26=".",Irr!AW26&lt;&gt;".",Irr!BU26="."),dir!Z26/((1/1000)*(Irr!AW26)),IF(AND(Irr!Y26&lt;&gt;".",Irr!AW26=".",Irr!BU26="."),dir!Z26/((1/1000)*(Irr!Y26)),IF(AND(Irr!Y26=".",Irr!AW26=".",Irr!BU26="."),dir!Z26*1000)))))))),".")</f>
        <v>0.47755195453356786</v>
      </c>
      <c r="AA26" s="76">
        <f>IFERROR(IF(AND(Irr!Z26&lt;&gt;".",Irr!AX26&lt;&gt;".",Irr!BV26&lt;&gt;"."),dir!AA26/((1/1000)*(Irr!Z26+Irr!AX26+Irr!BV26)),IF(AND(Irr!Z26&lt;&gt;".",Irr!AX26&lt;&gt;".",Irr!BV26="."),dir!AA26/((1/1000)*(Irr!Z26+Irr!AX26)),IF(AND(Irr!Z26&lt;&gt;".",Irr!AX26=".",Irr!BV26&lt;&gt;"."),dir!AA26/((1/1000)*(Irr!Z26+Irr!BV26)),IF(AND(Irr!Z26=".",Irr!AX26&lt;&gt;".",Irr!BV26&lt;&gt;"."),dir!AA26/((1/1000)*(Irr!AX26+Irr!BV26)),IF(AND(Irr!Z26=".",Irr!AX26=".",Irr!BV26&lt;&gt;"."),dir!AA26/((1/1000)*(Irr!BV26)),IF(AND(Irr!Z26=".",Irr!AX26&lt;&gt;".",Irr!BV26="."),dir!AA26/((1/1000)*(Irr!AX26)),IF(AND(Irr!Z26&lt;&gt;".",Irr!AX26=".",Irr!BV26="."),dir!AA26/((1/1000)*(Irr!Z26)),IF(AND(Irr!Z26=".",Irr!AX26=".",Irr!BV26="."),dir!AA26*1000)))))))),".")</f>
        <v>0.3677262700698225</v>
      </c>
      <c r="AB26" s="76">
        <f t="shared" ref="AB26:AB29" si="23">IFERROR(1/SUM(1/AC26,1/AD26,1/AE26,1/AF26,1/AG26,1/AH26,1/AI26,1/AJ26,1/AK26,1/AL26,1/AM26,1/AN26,1/AO26,1/AP26,1/AQ26,1/AR26,1/AS26,1/AT26,1/AU26,1/AV26,1/AW26,1/AX26),".")</f>
        <v>4.749596195938717E-2</v>
      </c>
      <c r="AC26" s="76">
        <f>IFERROR(IF(AND(Irr!C26&lt;&gt;".",Irr!AA26&lt;&gt;".",Irr!AY26&lt;&gt;"."),dir!AC26/((1/1000)*(Irr!C26+Irr!AA26+Irr!AY26)),IF(AND(Irr!C26&lt;&gt;".",Irr!AA26&lt;&gt;".",Irr!AY26="."),dir!AC26/((1/1000)*(Irr!C26+Irr!AA26)),IF(AND(Irr!C26&lt;&gt;".",Irr!AA26=".",Irr!AY26&lt;&gt;"."),dir!AC26/((1/1000)*(Irr!C26+Irr!AY26)),IF(AND(Irr!C26=".",Irr!AA26&lt;&gt;".",Irr!AY26&lt;&gt;"."),dir!AC26/((1/1000)*(Irr!AA26+Irr!AY26)),IF(AND(Irr!C26=".",Irr!AA26=".",Irr!AY26&lt;&gt;"."),dir!AC26/((1/1000)*(Irr!AY26)),IF(AND(Irr!C26=".",Irr!AA26&lt;&gt;".",Irr!AY26="."),dir!AC26/((1/1000)*(Irr!AA26)),IF(AND(Irr!C26&lt;&gt;".",Irr!AA26=".",Irr!AY26="."),dir!AC26/((1/1000)*(Irr!C26)),IF(AND(Irr!C26=".",Irr!AA26=".",Irr!AY26="."),dir!AC26*1000)))))))),".")</f>
        <v>0.79452908391085819</v>
      </c>
      <c r="AD26" s="76">
        <f>IFERROR(IF(AND(Irr!D26&lt;&gt;".",Irr!AB26&lt;&gt;".",Irr!AZ26&lt;&gt;"."),dir!AD26/((1/1000)*(Irr!D26+Irr!AB26+Irr!AZ26)),IF(AND(Irr!D26&lt;&gt;".",Irr!AB26&lt;&gt;".",Irr!AZ26="."),dir!AD26/((1/1000)*(Irr!D26+Irr!AB26)),IF(AND(Irr!D26&lt;&gt;".",Irr!AB26=".",Irr!AZ26&lt;&gt;"."),dir!AD26/((1/1000)*(Irr!D26+Irr!AZ26)),IF(AND(Irr!D26=".",Irr!AB26&lt;&gt;".",Irr!AZ26&lt;&gt;"."),dir!AD26/((1/1000)*(Irr!AB26+Irr!AZ26)),IF(AND(Irr!D26=".",Irr!AB26=".",Irr!AZ26&lt;&gt;"."),dir!AD26/((1/1000)*(Irr!AZ26)),IF(AND(Irr!D26=".",Irr!AB26&lt;&gt;".",Irr!AZ26="."),dir!AD26/((1/1000)*(Irr!AB26)),IF(AND(Irr!D26&lt;&gt;".",Irr!AB26=".",Irr!AZ26="."),dir!AD26/((1/1000)*(Irr!D26)),IF(AND(Irr!D26=".",Irr!AB26=".",Irr!AZ26="."),dir!AD26*1000)))))))),".")</f>
        <v>1.8940386582035851</v>
      </c>
      <c r="AE26" s="76">
        <f>IFERROR(IF(AND(Irr!E26&lt;&gt;".",Irr!AC26&lt;&gt;".",Irr!BA26&lt;&gt;"."),dir!AE26/((1/1000)*(Irr!E26+Irr!AC26+Irr!BA26)),IF(AND(Irr!E26&lt;&gt;".",Irr!AC26&lt;&gt;".",Irr!BA26="."),dir!AE26/((1/1000)*(Irr!E26+Irr!AC26)),IF(AND(Irr!E26&lt;&gt;".",Irr!AC26=".",Irr!BA26&lt;&gt;"."),dir!AE26/((1/1000)*(Irr!E26+Irr!BA26)),IF(AND(Irr!E26=".",Irr!AC26&lt;&gt;".",Irr!BA26&lt;&gt;"."),dir!AE26/((1/1000)*(Irr!AC26+Irr!BA26)),IF(AND(Irr!E26=".",Irr!AC26=".",Irr!BA26&lt;&gt;"."),dir!AE26/((1/1000)*(Irr!BA26)),IF(AND(Irr!E26=".",Irr!AC26&lt;&gt;".",Irr!BA26="."),dir!AE26/((1/1000)*(Irr!AC26)),IF(AND(Irr!E26&lt;&gt;".",Irr!AC26=".",Irr!BA26="."),dir!AE26/((1/1000)*(Irr!E26)),IF(AND(Irr!E26=".",Irr!AC26=".",Irr!BA26="."),dir!AE26*1000)))))))),".")</f>
        <v>2.2755354410632962</v>
      </c>
      <c r="AF26" s="76">
        <f>IFERROR(IF(AND(Irr!F26&lt;&gt;".",Irr!AD26&lt;&gt;".",Irr!BB26&lt;&gt;"."),dir!AF26/((1/1000)*(Irr!F26+Irr!AD26+Irr!BB26)),IF(AND(Irr!F26&lt;&gt;".",Irr!AD26&lt;&gt;".",Irr!BB26="."),dir!AF26/((1/1000)*(Irr!F26+Irr!AD26)),IF(AND(Irr!F26&lt;&gt;".",Irr!AD26=".",Irr!BB26&lt;&gt;"."),dir!AF26/((1/1000)*(Irr!F26+Irr!BB26)),IF(AND(Irr!F26=".",Irr!AD26&lt;&gt;".",Irr!BB26&lt;&gt;"."),dir!AF26/((1/1000)*(Irr!AD26+Irr!BB26)),IF(AND(Irr!F26=".",Irr!AD26=".",Irr!BB26&lt;&gt;"."),dir!AF26/((1/1000)*(Irr!BB26)),IF(AND(Irr!F26=".",Irr!AD26&lt;&gt;".",Irr!BB26="."),dir!AF26/((1/1000)*(Irr!AD26)),IF(AND(Irr!F26&lt;&gt;".",Irr!AD26=".",Irr!BB26="."),dir!AF26/((1/1000)*(Irr!F26)),IF(AND(Irr!F26=".",Irr!AD26=".",Irr!BB26="."),dir!AF26*1000)))))))),".")</f>
        <v>1.9919277260929835</v>
      </c>
      <c r="AG26" s="76">
        <f>IFERROR(IF(AND(Irr!G26&lt;&gt;".",Irr!AE26&lt;&gt;".",Irr!BC26&lt;&gt;"."),dir!AG26/((1/1000)*(Irr!G26+Irr!AE26+Irr!BC26)),IF(AND(Irr!G26&lt;&gt;".",Irr!AE26&lt;&gt;".",Irr!BC26="."),dir!AG26/((1/1000)*(Irr!G26+Irr!AE26)),IF(AND(Irr!G26&lt;&gt;".",Irr!AE26=".",Irr!BC26&lt;&gt;"."),dir!AG26/((1/1000)*(Irr!G26+Irr!BC26)),IF(AND(Irr!G26=".",Irr!AE26&lt;&gt;".",Irr!BC26&lt;&gt;"."),dir!AG26/((1/1000)*(Irr!AE26+Irr!BC26)),IF(AND(Irr!G26=".",Irr!AE26=".",Irr!BC26&lt;&gt;"."),dir!AG26/((1/1000)*(Irr!BC26)),IF(AND(Irr!G26=".",Irr!AE26&lt;&gt;".",Irr!BC26="."),dir!AG26/((1/1000)*(Irr!AE26)),IF(AND(Irr!G26&lt;&gt;".",Irr!AE26=".",Irr!BC26="."),dir!AG26/((1/1000)*(Irr!G26)),IF(AND(Irr!G26=".",Irr!AE26=".",Irr!BC26="."),dir!AG26*1000)))))))),".")</f>
        <v>2.0628326236410435</v>
      </c>
      <c r="AH26" s="76">
        <f>IFERROR(IF(AND(Irr!H26&lt;&gt;".",Irr!AF26&lt;&gt;".",Irr!BD26&lt;&gt;"."),dir!AH26/((1/1000)*(Irr!H26+Irr!AF26+Irr!BD26)),IF(AND(Irr!H26&lt;&gt;".",Irr!AF26&lt;&gt;".",Irr!BD26="."),dir!AH26/((1/1000)*(Irr!H26+Irr!AF26)),IF(AND(Irr!H26&lt;&gt;".",Irr!AF26=".",Irr!BD26&lt;&gt;"."),dir!AH26/((1/1000)*(Irr!H26+Irr!BD26)),IF(AND(Irr!H26=".",Irr!AF26&lt;&gt;".",Irr!BD26&lt;&gt;"."),dir!AH26/((1/1000)*(Irr!AF26+Irr!BD26)),IF(AND(Irr!H26=".",Irr!AF26=".",Irr!BD26&lt;&gt;"."),dir!AH26/((1/1000)*(Irr!BD26)),IF(AND(Irr!H26=".",Irr!AF26&lt;&gt;".",Irr!BD26="."),dir!AH26/((1/1000)*(Irr!AF26)),IF(AND(Irr!H26&lt;&gt;".",Irr!AF26=".",Irr!BD26="."),dir!AH26/((1/1000)*(Irr!H26)),IF(AND(Irr!H26=".",Irr!AF26=".",Irr!BD26="."),dir!AH26*1000)))))))),".")</f>
        <v>0.89396314887283201</v>
      </c>
      <c r="AI26" s="76">
        <f>IFERROR(IF(AND(Irr!I26&lt;&gt;".",Irr!AG26&lt;&gt;".",Irr!BE26&lt;&gt;"."),dir!AI26/((1/1000)*(Irr!I26+Irr!AG26+Irr!BE26)),IF(AND(Irr!I26&lt;&gt;".",Irr!AG26&lt;&gt;".",Irr!BE26="."),dir!AI26/((1/1000)*(Irr!I26+Irr!AG26)),IF(AND(Irr!I26&lt;&gt;".",Irr!AG26=".",Irr!BE26&lt;&gt;"."),dir!AI26/((1/1000)*(Irr!I26+Irr!BE26)),IF(AND(Irr!I26=".",Irr!AG26&lt;&gt;".",Irr!BE26&lt;&gt;"."),dir!AI26/((1/1000)*(Irr!AG26+Irr!BE26)),IF(AND(Irr!I26=".",Irr!AG26=".",Irr!BE26&lt;&gt;"."),dir!AI26/((1/1000)*(Irr!BE26)),IF(AND(Irr!I26=".",Irr!AG26&lt;&gt;".",Irr!BE26="."),dir!AI26/((1/1000)*(Irr!AG26)),IF(AND(Irr!I26&lt;&gt;".",Irr!AG26=".",Irr!BE26="."),dir!AI26/((1/1000)*(Irr!I26)),IF(AND(Irr!I26=".",Irr!AG26=".",Irr!BE26="."),dir!AI26*1000)))))))),".")</f>
        <v>2.9438058481369542</v>
      </c>
      <c r="AJ26" s="76">
        <f>IFERROR(IF(AND(Irr!J26&lt;&gt;".",Irr!AH26&lt;&gt;".",Irr!BF26&lt;&gt;"."),dir!AJ26/((1/1000)*(Irr!J26+Irr!AH26+Irr!BF26)),IF(AND(Irr!J26&lt;&gt;".",Irr!AH26&lt;&gt;".",Irr!BF26="."),dir!AJ26/((1/1000)*(Irr!J26+Irr!AH26)),IF(AND(Irr!J26&lt;&gt;".",Irr!AH26=".",Irr!BF26&lt;&gt;"."),dir!AJ26/((1/1000)*(Irr!J26+Irr!BF26)),IF(AND(Irr!J26=".",Irr!AH26&lt;&gt;".",Irr!BF26&lt;&gt;"."),dir!AJ26/((1/1000)*(Irr!AH26+Irr!BF26)),IF(AND(Irr!J26=".",Irr!AH26=".",Irr!BF26&lt;&gt;"."),dir!AJ26/((1/1000)*(Irr!BF26)),IF(AND(Irr!J26=".",Irr!AH26&lt;&gt;".",Irr!BF26="."),dir!AJ26/((1/1000)*(Irr!AH26)),IF(AND(Irr!J26&lt;&gt;".",Irr!AH26=".",Irr!BF26="."),dir!AJ26/((1/1000)*(Irr!J26)),IF(AND(Irr!J26=".",Irr!AH26=".",Irr!BF26="."),dir!AJ26*1000)))))))),".")</f>
        <v>0.22962195076502001</v>
      </c>
      <c r="AK26" s="76">
        <f>IFERROR(IF(AND(Irr!K26&lt;&gt;".",Irr!AI26&lt;&gt;".",Irr!BG26&lt;&gt;"."),dir!AK26/((1/1000)*(Irr!K26+Irr!AI26+Irr!BG26)),IF(AND(Irr!K26&lt;&gt;".",Irr!AI26&lt;&gt;".",Irr!BG26="."),dir!AK26/((1/1000)*(Irr!K26+Irr!AI26)),IF(AND(Irr!K26&lt;&gt;".",Irr!AI26=".",Irr!BG26&lt;&gt;"."),dir!AK26/((1/1000)*(Irr!K26+Irr!BG26)),IF(AND(Irr!K26=".",Irr!AI26&lt;&gt;".",Irr!BG26&lt;&gt;"."),dir!AK26/((1/1000)*(Irr!AI26+Irr!BG26)),IF(AND(Irr!K26=".",Irr!AI26=".",Irr!BG26&lt;&gt;"."),dir!AK26/((1/1000)*(Irr!BG26)),IF(AND(Irr!K26=".",Irr!AI26&lt;&gt;".",Irr!BG26="."),dir!AK26/((1/1000)*(Irr!AI26)),IF(AND(Irr!K26&lt;&gt;".",Irr!AI26=".",Irr!BG26="."),dir!AK26/((1/1000)*(Irr!K26)),IF(AND(Irr!K26=".",Irr!AI26=".",Irr!BG26="."),dir!AK26*1000)))))))),".")</f>
        <v>0.89806886163777</v>
      </c>
      <c r="AL26" s="76">
        <f>IFERROR(IF(AND(Irr!L26&lt;&gt;".",Irr!AJ26&lt;&gt;".",Irr!BH26&lt;&gt;"."),dir!AL26/((1/1000)*(Irr!L26+Irr!AJ26+Irr!BH26)),IF(AND(Irr!L26&lt;&gt;".",Irr!AJ26&lt;&gt;".",Irr!BH26="."),dir!AL26/((1/1000)*(Irr!L26+Irr!AJ26)),IF(AND(Irr!L26&lt;&gt;".",Irr!AJ26=".",Irr!BH26&lt;&gt;"."),dir!AL26/((1/1000)*(Irr!L26+Irr!BH26)),IF(AND(Irr!L26=".",Irr!AJ26&lt;&gt;".",Irr!BH26&lt;&gt;"."),dir!AL26/((1/1000)*(Irr!AJ26+Irr!BH26)),IF(AND(Irr!L26=".",Irr!AJ26=".",Irr!BH26&lt;&gt;"."),dir!AL26/((1/1000)*(Irr!BH26)),IF(AND(Irr!L26=".",Irr!AJ26&lt;&gt;".",Irr!BH26="."),dir!AL26/((1/1000)*(Irr!AJ26)),IF(AND(Irr!L26&lt;&gt;".",Irr!AJ26=".",Irr!BH26="."),dir!AL26/((1/1000)*(Irr!L26)),IF(AND(Irr!L26=".",Irr!AJ26=".",Irr!BH26="."),dir!AL26*1000)))))))),".")</f>
        <v>1.3613332797390774</v>
      </c>
      <c r="AM26" s="76">
        <f>IFERROR(IF(AND(Irr!M26&lt;&gt;".",Irr!AK26&lt;&gt;".",Irr!BI26&lt;&gt;"."),dir!AM26/((1/1000)*(Irr!M26+Irr!AK26+Irr!BI26)),IF(AND(Irr!M26&lt;&gt;".",Irr!AK26&lt;&gt;".",Irr!BI26="."),dir!AM26/((1/1000)*(Irr!M26+Irr!AK26)),IF(AND(Irr!M26&lt;&gt;".",Irr!AK26=".",Irr!BI26&lt;&gt;"."),dir!AM26/((1/1000)*(Irr!M26+Irr!BI26)),IF(AND(Irr!M26=".",Irr!AK26&lt;&gt;".",Irr!BI26&lt;&gt;"."),dir!AM26/((1/1000)*(Irr!AK26+Irr!BI26)),IF(AND(Irr!M26=".",Irr!AK26=".",Irr!BI26&lt;&gt;"."),dir!AM26/((1/1000)*(Irr!BI26)),IF(AND(Irr!M26=".",Irr!AK26&lt;&gt;".",Irr!BI26="."),dir!AM26/((1/1000)*(Irr!AK26)),IF(AND(Irr!M26&lt;&gt;".",Irr!AK26=".",Irr!BI26="."),dir!AM26/((1/1000)*(Irr!M26)),IF(AND(Irr!M26=".",Irr!AK26=".",Irr!BI26="."),dir!AM26*1000)))))))),".")</f>
        <v>1.8152393526574035</v>
      </c>
      <c r="AN26" s="76">
        <f>IFERROR(IF(AND(Irr!N26&lt;&gt;".",Irr!AL26&lt;&gt;".",Irr!BJ26&lt;&gt;"."),dir!AN26/((1/1000)*(Irr!N26+Irr!AL26+Irr!BJ26)),IF(AND(Irr!N26&lt;&gt;".",Irr!AL26&lt;&gt;".",Irr!BJ26="."),dir!AN26/((1/1000)*(Irr!N26+Irr!AL26)),IF(AND(Irr!N26&lt;&gt;".",Irr!AL26=".",Irr!BJ26&lt;&gt;"."),dir!AN26/((1/1000)*(Irr!N26+Irr!BJ26)),IF(AND(Irr!N26=".",Irr!AL26&lt;&gt;".",Irr!BJ26&lt;&gt;"."),dir!AN26/((1/1000)*(Irr!AL26+Irr!BJ26)),IF(AND(Irr!N26=".",Irr!AL26=".",Irr!BJ26&lt;&gt;"."),dir!AN26/((1/1000)*(Irr!BJ26)),IF(AND(Irr!N26=".",Irr!AL26&lt;&gt;".",Irr!BJ26="."),dir!AN26/((1/1000)*(Irr!AL26)),IF(AND(Irr!N26&lt;&gt;".",Irr!AL26=".",Irr!BJ26="."),dir!AN26/((1/1000)*(Irr!N26)),IF(AND(Irr!N26=".",Irr!AL26=".",Irr!BJ26="."),dir!AN26*1000)))))))),".")</f>
        <v>2.1796394479534027</v>
      </c>
      <c r="AO26" s="76">
        <f>IFERROR(IF(AND(Irr!O26&lt;&gt;".",Irr!AM26&lt;&gt;".",Irr!BK26&lt;&gt;"."),dir!AO26/((1/1000)*(Irr!O26+Irr!AM26+Irr!BK26)),IF(AND(Irr!O26&lt;&gt;".",Irr!AM26&lt;&gt;".",Irr!BK26="."),dir!AO26/((1/1000)*(Irr!O26+Irr!AM26)),IF(AND(Irr!O26&lt;&gt;".",Irr!AM26=".",Irr!BK26&lt;&gt;"."),dir!AO26/((1/1000)*(Irr!O26+Irr!BK26)),IF(AND(Irr!O26=".",Irr!AM26&lt;&gt;".",Irr!BK26&lt;&gt;"."),dir!AO26/((1/1000)*(Irr!AM26+Irr!BK26)),IF(AND(Irr!O26=".",Irr!AM26=".",Irr!BK26&lt;&gt;"."),dir!AO26/((1/1000)*(Irr!BK26)),IF(AND(Irr!O26=".",Irr!AM26&lt;&gt;".",Irr!BK26="."),dir!AO26/((1/1000)*(Irr!AM26)),IF(AND(Irr!O26&lt;&gt;".",Irr!AM26=".",Irr!BK26="."),dir!AO26/((1/1000)*(Irr!O26)),IF(AND(Irr!O26=".",Irr!AM26=".",Irr!BK26="."),dir!AO26*1000)))))))),".")</f>
        <v>2.5298139017777457</v>
      </c>
      <c r="AP26" s="76">
        <f>IFERROR(IF(AND(Irr!P26&lt;&gt;".",Irr!AN26&lt;&gt;".",Irr!BL26&lt;&gt;"."),dir!AP26/((1/1000)*(Irr!P26+Irr!AN26+Irr!BL26)),IF(AND(Irr!P26&lt;&gt;".",Irr!AN26&lt;&gt;".",Irr!BL26="."),dir!AP26/((1/1000)*(Irr!P26+Irr!AN26)),IF(AND(Irr!P26&lt;&gt;".",Irr!AN26=".",Irr!BL26&lt;&gt;"."),dir!AP26/((1/1000)*(Irr!P26+Irr!BL26)),IF(AND(Irr!P26=".",Irr!AN26&lt;&gt;".",Irr!BL26&lt;&gt;"."),dir!AP26/((1/1000)*(Irr!AN26+Irr!BL26)),IF(AND(Irr!P26=".",Irr!AN26=".",Irr!BL26&lt;&gt;"."),dir!AP26/((1/1000)*(Irr!BL26)),IF(AND(Irr!P26=".",Irr!AN26&lt;&gt;".",Irr!BL26="."),dir!AP26/((1/1000)*(Irr!AN26)),IF(AND(Irr!P26&lt;&gt;".",Irr!AN26=".",Irr!BL26="."),dir!AP26/((1/1000)*(Irr!P26)),IF(AND(Irr!P26=".",Irr!AN26=".",Irr!BL26="."),dir!AP26*1000)))))))),".")</f>
        <v>2.7661343084220373</v>
      </c>
      <c r="AQ26" s="76">
        <f>IFERROR(IF(AND(Irr!Q26&lt;&gt;".",Irr!AO26&lt;&gt;".",Irr!BM26&lt;&gt;"."),dir!AQ26/((1/1000)*(Irr!Q26+Irr!AO26+Irr!BM26)),IF(AND(Irr!Q26&lt;&gt;".",Irr!AO26&lt;&gt;".",Irr!BM26="."),dir!AQ26/((1/1000)*(Irr!Q26+Irr!AO26)),IF(AND(Irr!Q26&lt;&gt;".",Irr!AO26=".",Irr!BM26&lt;&gt;"."),dir!AQ26/((1/1000)*(Irr!Q26+Irr!BM26)),IF(AND(Irr!Q26=".",Irr!AO26&lt;&gt;".",Irr!BM26&lt;&gt;"."),dir!AQ26/((1/1000)*(Irr!AO26+Irr!BM26)),IF(AND(Irr!Q26=".",Irr!AO26=".",Irr!BM26&lt;&gt;"."),dir!AQ26/((1/1000)*(Irr!BM26)),IF(AND(Irr!Q26=".",Irr!AO26&lt;&gt;".",Irr!BM26="."),dir!AQ26/((1/1000)*(Irr!AO26)),IF(AND(Irr!Q26&lt;&gt;".",Irr!AO26=".",Irr!BM26="."),dir!AQ26/((1/1000)*(Irr!Q26)),IF(AND(Irr!Q26=".",Irr!AO26=".",Irr!BM26="."),dir!AQ26*1000)))))))),".")</f>
        <v>0.65433172930653194</v>
      </c>
      <c r="AR26" s="76">
        <f>IFERROR(IF(AND(Irr!R26&lt;&gt;".",Irr!AP26&lt;&gt;".",Irr!BN26&lt;&gt;"."),dir!AR26/((1/1000)*(Irr!R26+Irr!AP26+Irr!BN26)),IF(AND(Irr!R26&lt;&gt;".",Irr!AP26&lt;&gt;".",Irr!BN26="."),dir!AR26/((1/1000)*(Irr!R26+Irr!AP26)),IF(AND(Irr!R26&lt;&gt;".",Irr!AP26=".",Irr!BN26&lt;&gt;"."),dir!AR26/((1/1000)*(Irr!R26+Irr!BN26)),IF(AND(Irr!R26=".",Irr!AP26&lt;&gt;".",Irr!BN26&lt;&gt;"."),dir!AR26/((1/1000)*(Irr!AP26+Irr!BN26)),IF(AND(Irr!R26=".",Irr!AP26=".",Irr!BN26&lt;&gt;"."),dir!AR26/((1/1000)*(Irr!BN26)),IF(AND(Irr!R26=".",Irr!AP26&lt;&gt;".",Irr!BN26="."),dir!AR26/((1/1000)*(Irr!AP26)),IF(AND(Irr!R26&lt;&gt;".",Irr!AP26=".",Irr!BN26="."),dir!AR26/((1/1000)*(Irr!R26)),IF(AND(Irr!R26=".",Irr!AP26=".",Irr!BN26="."),dir!AR26*1000)))))))),".")</f>
        <v>1.0758512457909186</v>
      </c>
      <c r="AS26" s="76">
        <f>IFERROR(IF(AND(Irr!S26&lt;&gt;".",Irr!AQ26&lt;&gt;".",Irr!BO26&lt;&gt;"."),dir!AS26/((1/1000)*(Irr!S26+Irr!AQ26+Irr!BO26)),IF(AND(Irr!S26&lt;&gt;".",Irr!AQ26&lt;&gt;".",Irr!BO26="."),dir!AS26/((1/1000)*(Irr!S26+Irr!AQ26)),IF(AND(Irr!S26&lt;&gt;".",Irr!AQ26=".",Irr!BO26&lt;&gt;"."),dir!AS26/((1/1000)*(Irr!S26+Irr!BO26)),IF(AND(Irr!S26=".",Irr!AQ26&lt;&gt;".",Irr!BO26&lt;&gt;"."),dir!AS26/((1/1000)*(Irr!AQ26+Irr!BO26)),IF(AND(Irr!S26=".",Irr!AQ26=".",Irr!BO26&lt;&gt;"."),dir!AS26/((1/1000)*(Irr!BO26)),IF(AND(Irr!S26=".",Irr!AQ26&lt;&gt;".",Irr!BO26="."),dir!AS26/((1/1000)*(Irr!AQ26)),IF(AND(Irr!S26&lt;&gt;".",Irr!AQ26=".",Irr!BO26="."),dir!AS26/((1/1000)*(Irr!S26)),IF(AND(Irr!S26=".",Irr!AQ26=".",Irr!BO26="."),dir!AS26*1000)))))))),".")</f>
        <v>2.1456226681133996</v>
      </c>
      <c r="AT26" s="76">
        <f>IFERROR(IF(AND(Irr!T26&lt;&gt;".",Irr!AR26&lt;&gt;".",Irr!BP26&lt;&gt;"."),dir!AT26/((1/1000)*(Irr!T26+Irr!AR26+Irr!BP26)),IF(AND(Irr!T26&lt;&gt;".",Irr!AR26&lt;&gt;".",Irr!BP26="."),dir!AT26/((1/1000)*(Irr!T26+Irr!AR26)),IF(AND(Irr!T26&lt;&gt;".",Irr!AR26=".",Irr!BP26&lt;&gt;"."),dir!AT26/((1/1000)*(Irr!T26+Irr!BP26)),IF(AND(Irr!T26=".",Irr!AR26&lt;&gt;".",Irr!BP26&lt;&gt;"."),dir!AT26/((1/1000)*(Irr!AR26+Irr!BP26)),IF(AND(Irr!T26=".",Irr!AR26=".",Irr!BP26&lt;&gt;"."),dir!AT26/((1/1000)*(Irr!BP26)),IF(AND(Irr!T26=".",Irr!AR26&lt;&gt;".",Irr!BP26="."),dir!AT26/((1/1000)*(Irr!AR26)),IF(AND(Irr!T26&lt;&gt;".",Irr!AR26=".",Irr!BP26="."),dir!AT26/((1/1000)*(Irr!T26)),IF(AND(Irr!T26=".",Irr!AR26=".",Irr!BP26="."),dir!AT26*1000)))))))),".")</f>
        <v>0.52078230773551804</v>
      </c>
      <c r="AU26" s="76">
        <f>IFERROR(IF(AND(Irr!U26&lt;&gt;".",Irr!AS26&lt;&gt;".",Irr!BQ26&lt;&gt;"."),dir!AU26/((1/1000)*(Irr!U26+Irr!AS26+Irr!BQ26)),IF(AND(Irr!U26&lt;&gt;".",Irr!AS26&lt;&gt;".",Irr!BQ26="."),dir!AU26/((1/1000)*(Irr!U26+Irr!AS26)),IF(AND(Irr!U26&lt;&gt;".",Irr!AS26=".",Irr!BQ26&lt;&gt;"."),dir!AU26/((1/1000)*(Irr!U26+Irr!BQ26)),IF(AND(Irr!U26=".",Irr!AS26&lt;&gt;".",Irr!BQ26&lt;&gt;"."),dir!AU26/((1/1000)*(Irr!AS26+Irr!BQ26)),IF(AND(Irr!U26=".",Irr!AS26=".",Irr!BQ26&lt;&gt;"."),dir!AU26/((1/1000)*(Irr!BQ26)),IF(AND(Irr!U26=".",Irr!AS26&lt;&gt;".",Irr!BQ26="."),dir!AU26/((1/1000)*(Irr!AS26)),IF(AND(Irr!U26&lt;&gt;".",Irr!AS26=".",Irr!BQ26="."),dir!AU26/((1/1000)*(Irr!U26)),IF(AND(Irr!U26=".",Irr!AS26=".",Irr!BQ26="."),dir!AU26*1000)))))))),".")</f>
        <v>1.0825389952636157</v>
      </c>
      <c r="AV26" s="76">
        <f>IFERROR(IF(AND(Irr!V26&lt;&gt;".",Irr!AT26&lt;&gt;".",Irr!BR26&lt;&gt;"."),dir!AV26/((1/1000)*(Irr!V26+Irr!AT26+Irr!BR26)),IF(AND(Irr!V26&lt;&gt;".",Irr!AT26&lt;&gt;".",Irr!BR26="."),dir!AV26/((1/1000)*(Irr!V26+Irr!AT26)),IF(AND(Irr!V26&lt;&gt;".",Irr!AT26=".",Irr!BR26&lt;&gt;"."),dir!AV26/((1/1000)*(Irr!V26+Irr!BR26)),IF(AND(Irr!V26=".",Irr!AT26&lt;&gt;".",Irr!BR26&lt;&gt;"."),dir!AV26/((1/1000)*(Irr!AT26+Irr!BR26)),IF(AND(Irr!V26=".",Irr!AT26=".",Irr!BR26&lt;&gt;"."),dir!AV26/((1/1000)*(Irr!BR26)),IF(AND(Irr!V26=".",Irr!AT26&lt;&gt;".",Irr!BR26="."),dir!AV26/((1/1000)*(Irr!AT26)),IF(AND(Irr!V26&lt;&gt;".",Irr!AT26=".",Irr!BR26="."),dir!AV26/((1/1000)*(Irr!V26)),IF(AND(Irr!V26=".",Irr!AT26=".",Irr!BR26="."),dir!AV26*1000)))))))),".")</f>
        <v>1.2758447189595328</v>
      </c>
      <c r="AW26" s="76">
        <f>IFERROR(IF(AND(Irr!W26&lt;&gt;".",Irr!AU26&lt;&gt;".",Irr!BS26&lt;&gt;"."),dir!AW26/((1/1000)*(Irr!W26+Irr!AU26+Irr!BS26)),IF(AND(Irr!W26&lt;&gt;".",Irr!AU26&lt;&gt;".",Irr!BS26="."),dir!AW26/((1/1000)*(Irr!W26+Irr!AU26)),IF(AND(Irr!W26&lt;&gt;".",Irr!AU26=".",Irr!BS26&lt;&gt;"."),dir!AW26/((1/1000)*(Irr!W26+Irr!BS26)),IF(AND(Irr!W26=".",Irr!AU26&lt;&gt;".",Irr!BS26&lt;&gt;"."),dir!AW26/((1/1000)*(Irr!AU26+Irr!BS26)),IF(AND(Irr!W26=".",Irr!AU26=".",Irr!BS26&lt;&gt;"."),dir!AW26/((1/1000)*(Irr!BS26)),IF(AND(Irr!W26=".",Irr!AU26&lt;&gt;".",Irr!BS26="."),dir!AW26/((1/1000)*(Irr!AU26)),IF(AND(Irr!W26&lt;&gt;".",Irr!AU26=".",Irr!BS26="."),dir!AW26/((1/1000)*(Irr!W26)),IF(AND(Irr!W26=".",Irr!AU26=".",Irr!BS26="."),dir!AW26*1000)))))))),".")</f>
        <v>1.7565269364813481</v>
      </c>
      <c r="AX26" s="76">
        <f>IFERROR(IF(AND(Irr!X26&lt;&gt;".",Irr!AV26&lt;&gt;".",Irr!BT26&lt;&gt;"."),dir!AX26/((1/1000)*(Irr!X26+Irr!AV26+Irr!BT26)),IF(AND(Irr!X26&lt;&gt;".",Irr!AV26&lt;&gt;".",Irr!BT26="."),dir!AX26/((1/1000)*(Irr!X26+Irr!AV26)),IF(AND(Irr!X26&lt;&gt;".",Irr!AV26=".",Irr!BT26&lt;&gt;"."),dir!AX26/((1/1000)*(Irr!X26+Irr!BT26)),IF(AND(Irr!X26=".",Irr!AV26&lt;&gt;".",Irr!BT26&lt;&gt;"."),dir!AX26/((1/1000)*(Irr!AV26+Irr!BT26)),IF(AND(Irr!X26=".",Irr!AV26=".",Irr!BT26&lt;&gt;"."),dir!AX26/((1/1000)*(Irr!BT26)),IF(AND(Irr!X26=".",Irr!AV26&lt;&gt;".",Irr!BT26="."),dir!AX26/((1/1000)*(Irr!AV26)),IF(AND(Irr!X26&lt;&gt;".",Irr!AV26=".",Irr!BT26="."),dir!AX26/((1/1000)*(Irr!X26)),IF(AND(Irr!X26=".",Irr!AV26=".",Irr!BT26="."),dir!AX26*1000)))))))),".")</f>
        <v>0.77348246027744672</v>
      </c>
      <c r="AY26" s="76">
        <f>IFERROR(IF(AND(Irr!Y26&lt;&gt;".",Irr!AW26&lt;&gt;".",Irr!BU26&lt;&gt;"."),dir!AY26/((1/1000)*(Irr!Y26+Irr!AW26+Irr!BU26)),IF(AND(Irr!Y26&lt;&gt;".",Irr!AW26&lt;&gt;".",Irr!BU26="."),dir!AY26/((1/1000)*(Irr!Y26+Irr!AW26)),IF(AND(Irr!Y26&lt;&gt;".",Irr!AW26=".",Irr!BU26&lt;&gt;"."),dir!AY26/((1/1000)*(Irr!Y26+Irr!BU26)),IF(AND(Irr!Y26=".",Irr!AW26&lt;&gt;".",Irr!BU26&lt;&gt;"."),dir!AY26/((1/1000)*(Irr!AW26+Irr!BU26)),IF(AND(Irr!Y26=".",Irr!AW26=".",Irr!BU26&lt;&gt;"."),dir!AY26/((1/1000)*(Irr!BU26)),IF(AND(Irr!Y26=".",Irr!AW26&lt;&gt;".",Irr!BU26="."),dir!AY26/((1/1000)*(Irr!AW26)),IF(AND(Irr!Y26&lt;&gt;".",Irr!AW26=".",Irr!BU26="."),dir!AY26/((1/1000)*(Irr!Y26)),IF(AND(Irr!Y26=".",Irr!AW26=".",Irr!BU26="."),dir!AY26*1000)))))))),".")</f>
        <v>0.24291660115002298</v>
      </c>
      <c r="AZ26" s="76">
        <f>IFERROR(IF(AND(Irr!Z26&lt;&gt;".",Irr!AX26&lt;&gt;".",Irr!BV26&lt;&gt;"."),dir!AZ26/((1/1000)*(Irr!Z26+Irr!AX26+Irr!BV26)),IF(AND(Irr!Z26&lt;&gt;".",Irr!AX26&lt;&gt;".",Irr!BV26="."),dir!AZ26/((1/1000)*(Irr!Z26+Irr!AX26)),IF(AND(Irr!Z26&lt;&gt;".",Irr!AX26=".",Irr!BV26&lt;&gt;"."),dir!AZ26/((1/1000)*(Irr!Z26+Irr!BV26)),IF(AND(Irr!Z26=".",Irr!AX26&lt;&gt;".",Irr!BV26&lt;&gt;"."),dir!AZ26/((1/1000)*(Irr!AX26+Irr!BV26)),IF(AND(Irr!Z26=".",Irr!AX26=".",Irr!BV26&lt;&gt;"."),dir!AZ26/((1/1000)*(Irr!BV26)),IF(AND(Irr!Z26=".",Irr!AX26&lt;&gt;".",Irr!BV26="."),dir!AZ26/((1/1000)*(Irr!AX26)),IF(AND(Irr!Z26&lt;&gt;".",Irr!AX26=".",Irr!BV26="."),dir!AZ26/((1/1000)*(Irr!Z26)),IF(AND(Irr!Z26=".",Irr!AX26=".",Irr!BV26="."),dir!AZ26*1000)))))))),".")</f>
        <v>0.22859887517720542</v>
      </c>
    </row>
    <row r="27" spans="1:52" ht="15" customHeight="1" x14ac:dyDescent="0.25">
      <c r="A27" s="92" t="s">
        <v>37</v>
      </c>
      <c r="B27" s="90" t="s">
        <v>1074</v>
      </c>
      <c r="C27" s="76" t="str">
        <f t="shared" si="22"/>
        <v>.</v>
      </c>
      <c r="D27" s="76" t="str">
        <f>IFERROR(IF(AND(Irr!C27&lt;&gt;".",Irr!AA27&lt;&gt;".",Irr!AY27&lt;&gt;"."),dir!D27/((1/1000)*(Irr!C27+Irr!AA27+Irr!AY27)),IF(AND(Irr!C27&lt;&gt;".",Irr!AA27&lt;&gt;".",Irr!AY27="."),dir!D27/((1/1000)*(Irr!C27+Irr!AA27)),IF(AND(Irr!C27&lt;&gt;".",Irr!AA27=".",Irr!AY27&lt;&gt;"."),dir!D27/((1/1000)*(Irr!C27+Irr!AY27)),IF(AND(Irr!C27=".",Irr!AA27&lt;&gt;".",Irr!AY27&lt;&gt;"."),dir!D27/((1/1000)*(Irr!AA27+Irr!AY27)),IF(AND(Irr!C27=".",Irr!AA27=".",Irr!AY27&lt;&gt;"."),dir!D27/((1/1000)*(Irr!AY27)),IF(AND(Irr!C27=".",Irr!AA27&lt;&gt;".",Irr!AY27="."),dir!D27/((1/1000)*(Irr!AA27)),IF(AND(Irr!C27&lt;&gt;".",Irr!AA27=".",Irr!AY27="."),dir!D27/((1/1000)*(Irr!C27)),IF(AND(Irr!C27=".",Irr!AA27=".",Irr!AY27="."),dir!D27*1000)))))))),".")</f>
        <v>.</v>
      </c>
      <c r="E27" s="76" t="str">
        <f>IFERROR(IF(AND(Irr!D27&lt;&gt;".",Irr!AB27&lt;&gt;".",Irr!AZ27&lt;&gt;"."),dir!E27/((1/1000)*(Irr!D27+Irr!AB27+Irr!AZ27)),IF(AND(Irr!D27&lt;&gt;".",Irr!AB27&lt;&gt;".",Irr!AZ27="."),dir!E27/((1/1000)*(Irr!D27+Irr!AB27)),IF(AND(Irr!D27&lt;&gt;".",Irr!AB27=".",Irr!AZ27&lt;&gt;"."),dir!E27/((1/1000)*(Irr!D27+Irr!AZ27)),IF(AND(Irr!D27=".",Irr!AB27&lt;&gt;".",Irr!AZ27&lt;&gt;"."),dir!E27/((1/1000)*(Irr!AB27+Irr!AZ27)),IF(AND(Irr!D27=".",Irr!AB27=".",Irr!AZ27&lt;&gt;"."),dir!E27/((1/1000)*(Irr!AZ27)),IF(AND(Irr!D27=".",Irr!AB27&lt;&gt;".",Irr!AZ27="."),dir!E27/((1/1000)*(Irr!AB27)),IF(AND(Irr!D27&lt;&gt;".",Irr!AB27=".",Irr!AZ27="."),dir!E27/((1/1000)*(Irr!D27)),IF(AND(Irr!D27=".",Irr!AB27=".",Irr!AZ27="."),dir!E27*1000)))))))),".")</f>
        <v>.</v>
      </c>
      <c r="F27" s="76" t="str">
        <f>IFERROR(IF(AND(Irr!E27&lt;&gt;".",Irr!AC27&lt;&gt;".",Irr!BA27&lt;&gt;"."),dir!F27/((1/1000)*(Irr!E27+Irr!AC27+Irr!BA27)),IF(AND(Irr!E27&lt;&gt;".",Irr!AC27&lt;&gt;".",Irr!BA27="."),dir!F27/((1/1000)*(Irr!E27+Irr!AC27)),IF(AND(Irr!E27&lt;&gt;".",Irr!AC27=".",Irr!BA27&lt;&gt;"."),dir!F27/((1/1000)*(Irr!E27+Irr!BA27)),IF(AND(Irr!E27=".",Irr!AC27&lt;&gt;".",Irr!BA27&lt;&gt;"."),dir!F27/((1/1000)*(Irr!AC27+Irr!BA27)),IF(AND(Irr!E27=".",Irr!AC27=".",Irr!BA27&lt;&gt;"."),dir!F27/((1/1000)*(Irr!BA27)),IF(AND(Irr!E27=".",Irr!AC27&lt;&gt;".",Irr!BA27="."),dir!F27/((1/1000)*(Irr!AC27)),IF(AND(Irr!E27&lt;&gt;".",Irr!AC27=".",Irr!BA27="."),dir!F27/((1/1000)*(Irr!E27)),IF(AND(Irr!E27=".",Irr!AC27=".",Irr!BA27="."),dir!F27*1000)))))))),".")</f>
        <v>.</v>
      </c>
      <c r="G27" s="76" t="str">
        <f>IFERROR(IF(AND(Irr!F27&lt;&gt;".",Irr!AD27&lt;&gt;".",Irr!BB27&lt;&gt;"."),dir!G27/((1/1000)*(Irr!F27+Irr!AD27+Irr!BB27)),IF(AND(Irr!F27&lt;&gt;".",Irr!AD27&lt;&gt;".",Irr!BB27="."),dir!G27/((1/1000)*(Irr!F27+Irr!AD27)),IF(AND(Irr!F27&lt;&gt;".",Irr!AD27=".",Irr!BB27&lt;&gt;"."),dir!G27/((1/1000)*(Irr!F27+Irr!BB27)),IF(AND(Irr!F27=".",Irr!AD27&lt;&gt;".",Irr!BB27&lt;&gt;"."),dir!G27/((1/1000)*(Irr!AD27+Irr!BB27)),IF(AND(Irr!F27=".",Irr!AD27=".",Irr!BB27&lt;&gt;"."),dir!G27/((1/1000)*(Irr!BB27)),IF(AND(Irr!F27=".",Irr!AD27&lt;&gt;".",Irr!BB27="."),dir!G27/((1/1000)*(Irr!AD27)),IF(AND(Irr!F27&lt;&gt;".",Irr!AD27=".",Irr!BB27="."),dir!G27/((1/1000)*(Irr!F27)),IF(AND(Irr!F27=".",Irr!AD27=".",Irr!BB27="."),dir!G27*1000)))))))),".")</f>
        <v>.</v>
      </c>
      <c r="H27" s="76" t="str">
        <f>IFERROR(IF(AND(Irr!G27&lt;&gt;".",Irr!AE27&lt;&gt;".",Irr!BC27&lt;&gt;"."),dir!H27/((1/1000)*(Irr!G27+Irr!AE27+Irr!BC27)),IF(AND(Irr!G27&lt;&gt;".",Irr!AE27&lt;&gt;".",Irr!BC27="."),dir!H27/((1/1000)*(Irr!G27+Irr!AE27)),IF(AND(Irr!G27&lt;&gt;".",Irr!AE27=".",Irr!BC27&lt;&gt;"."),dir!H27/((1/1000)*(Irr!G27+Irr!BC27)),IF(AND(Irr!G27=".",Irr!AE27&lt;&gt;".",Irr!BC27&lt;&gt;"."),dir!H27/((1/1000)*(Irr!AE27+Irr!BC27)),IF(AND(Irr!G27=".",Irr!AE27=".",Irr!BC27&lt;&gt;"."),dir!H27/((1/1000)*(Irr!BC27)),IF(AND(Irr!G27=".",Irr!AE27&lt;&gt;".",Irr!BC27="."),dir!H27/((1/1000)*(Irr!AE27)),IF(AND(Irr!G27&lt;&gt;".",Irr!AE27=".",Irr!BC27="."),dir!H27/((1/1000)*(Irr!G27)),IF(AND(Irr!G27=".",Irr!AE27=".",Irr!BC27="."),dir!H27*1000)))))))),".")</f>
        <v>.</v>
      </c>
      <c r="I27" s="76" t="str">
        <f>IFERROR(IF(AND(Irr!H27&lt;&gt;".",Irr!AF27&lt;&gt;".",Irr!BD27&lt;&gt;"."),dir!I27/((1/1000)*(Irr!H27+Irr!AF27+Irr!BD27)),IF(AND(Irr!H27&lt;&gt;".",Irr!AF27&lt;&gt;".",Irr!BD27="."),dir!I27/((1/1000)*(Irr!H27+Irr!AF27)),IF(AND(Irr!H27&lt;&gt;".",Irr!AF27=".",Irr!BD27&lt;&gt;"."),dir!I27/((1/1000)*(Irr!H27+Irr!BD27)),IF(AND(Irr!H27=".",Irr!AF27&lt;&gt;".",Irr!BD27&lt;&gt;"."),dir!I27/((1/1000)*(Irr!AF27+Irr!BD27)),IF(AND(Irr!H27=".",Irr!AF27=".",Irr!BD27&lt;&gt;"."),dir!I27/((1/1000)*(Irr!BD27)),IF(AND(Irr!H27=".",Irr!AF27&lt;&gt;".",Irr!BD27="."),dir!I27/((1/1000)*(Irr!AF27)),IF(AND(Irr!H27&lt;&gt;".",Irr!AF27=".",Irr!BD27="."),dir!I27/((1/1000)*(Irr!H27)),IF(AND(Irr!H27=".",Irr!AF27=".",Irr!BD27="."),dir!I27*1000)))))))),".")</f>
        <v>.</v>
      </c>
      <c r="J27" s="76" t="str">
        <f>IFERROR(IF(AND(Irr!I27&lt;&gt;".",Irr!AG27&lt;&gt;".",Irr!BE27&lt;&gt;"."),dir!J27/((1/1000)*(Irr!I27+Irr!AG27+Irr!BE27)),IF(AND(Irr!I27&lt;&gt;".",Irr!AG27&lt;&gt;".",Irr!BE27="."),dir!J27/((1/1000)*(Irr!I27+Irr!AG27)),IF(AND(Irr!I27&lt;&gt;".",Irr!AG27=".",Irr!BE27&lt;&gt;"."),dir!J27/((1/1000)*(Irr!I27+Irr!BE27)),IF(AND(Irr!I27=".",Irr!AG27&lt;&gt;".",Irr!BE27&lt;&gt;"."),dir!J27/((1/1000)*(Irr!AG27+Irr!BE27)),IF(AND(Irr!I27=".",Irr!AG27=".",Irr!BE27&lt;&gt;"."),dir!J27/((1/1000)*(Irr!BE27)),IF(AND(Irr!I27=".",Irr!AG27&lt;&gt;".",Irr!BE27="."),dir!J27/((1/1000)*(Irr!AG27)),IF(AND(Irr!I27&lt;&gt;".",Irr!AG27=".",Irr!BE27="."),dir!J27/((1/1000)*(Irr!I27)),IF(AND(Irr!I27=".",Irr!AG27=".",Irr!BE27="."),dir!J27*1000)))))))),".")</f>
        <v>.</v>
      </c>
      <c r="K27" s="76" t="str">
        <f>IFERROR(IF(AND(Irr!J27&lt;&gt;".",Irr!AH27&lt;&gt;".",Irr!BF27&lt;&gt;"."),dir!K27/((1/1000)*(Irr!J27+Irr!AH27+Irr!BF27)),IF(AND(Irr!J27&lt;&gt;".",Irr!AH27&lt;&gt;".",Irr!BF27="."),dir!K27/((1/1000)*(Irr!J27+Irr!AH27)),IF(AND(Irr!J27&lt;&gt;".",Irr!AH27=".",Irr!BF27&lt;&gt;"."),dir!K27/((1/1000)*(Irr!J27+Irr!BF27)),IF(AND(Irr!J27=".",Irr!AH27&lt;&gt;".",Irr!BF27&lt;&gt;"."),dir!K27/((1/1000)*(Irr!AH27+Irr!BF27)),IF(AND(Irr!J27=".",Irr!AH27=".",Irr!BF27&lt;&gt;"."),dir!K27/((1/1000)*(Irr!BF27)),IF(AND(Irr!J27=".",Irr!AH27&lt;&gt;".",Irr!BF27="."),dir!K27/((1/1000)*(Irr!AH27)),IF(AND(Irr!J27&lt;&gt;".",Irr!AH27=".",Irr!BF27="."),dir!K27/((1/1000)*(Irr!J27)),IF(AND(Irr!J27=".",Irr!AH27=".",Irr!BF27="."),dir!K27*1000)))))))),".")</f>
        <v>.</v>
      </c>
      <c r="L27" s="76" t="str">
        <f>IFERROR(IF(AND(Irr!K27&lt;&gt;".",Irr!AI27&lt;&gt;".",Irr!BG27&lt;&gt;"."),dir!L27/((1/1000)*(Irr!K27+Irr!AI27+Irr!BG27)),IF(AND(Irr!K27&lt;&gt;".",Irr!AI27&lt;&gt;".",Irr!BG27="."),dir!L27/((1/1000)*(Irr!K27+Irr!AI27)),IF(AND(Irr!K27&lt;&gt;".",Irr!AI27=".",Irr!BG27&lt;&gt;"."),dir!L27/((1/1000)*(Irr!K27+Irr!BG27)),IF(AND(Irr!K27=".",Irr!AI27&lt;&gt;".",Irr!BG27&lt;&gt;"."),dir!L27/((1/1000)*(Irr!AI27+Irr!BG27)),IF(AND(Irr!K27=".",Irr!AI27=".",Irr!BG27&lt;&gt;"."),dir!L27/((1/1000)*(Irr!BG27)),IF(AND(Irr!K27=".",Irr!AI27&lt;&gt;".",Irr!BG27="."),dir!L27/((1/1000)*(Irr!AI27)),IF(AND(Irr!K27&lt;&gt;".",Irr!AI27=".",Irr!BG27="."),dir!L27/((1/1000)*(Irr!K27)),IF(AND(Irr!K27=".",Irr!AI27=".",Irr!BG27="."),dir!L27*1000)))))))),".")</f>
        <v>.</v>
      </c>
      <c r="M27" s="76" t="str">
        <f>IFERROR(IF(AND(Irr!L27&lt;&gt;".",Irr!AJ27&lt;&gt;".",Irr!BH27&lt;&gt;"."),dir!M27/((1/1000)*(Irr!L27+Irr!AJ27+Irr!BH27)),IF(AND(Irr!L27&lt;&gt;".",Irr!AJ27&lt;&gt;".",Irr!BH27="."),dir!M27/((1/1000)*(Irr!L27+Irr!AJ27)),IF(AND(Irr!L27&lt;&gt;".",Irr!AJ27=".",Irr!BH27&lt;&gt;"."),dir!M27/((1/1000)*(Irr!L27+Irr!BH27)),IF(AND(Irr!L27=".",Irr!AJ27&lt;&gt;".",Irr!BH27&lt;&gt;"."),dir!M27/((1/1000)*(Irr!AJ27+Irr!BH27)),IF(AND(Irr!L27=".",Irr!AJ27=".",Irr!BH27&lt;&gt;"."),dir!M27/((1/1000)*(Irr!BH27)),IF(AND(Irr!L27=".",Irr!AJ27&lt;&gt;".",Irr!BH27="."),dir!M27/((1/1000)*(Irr!AJ27)),IF(AND(Irr!L27&lt;&gt;".",Irr!AJ27=".",Irr!BH27="."),dir!M27/((1/1000)*(Irr!L27)),IF(AND(Irr!L27=".",Irr!AJ27=".",Irr!BH27="."),dir!M27*1000)))))))),".")</f>
        <v>.</v>
      </c>
      <c r="N27" s="76" t="str">
        <f>IFERROR(IF(AND(Irr!M27&lt;&gt;".",Irr!AK27&lt;&gt;".",Irr!BI27&lt;&gt;"."),dir!N27/((1/1000)*(Irr!M27+Irr!AK27+Irr!BI27)),IF(AND(Irr!M27&lt;&gt;".",Irr!AK27&lt;&gt;".",Irr!BI27="."),dir!N27/((1/1000)*(Irr!M27+Irr!AK27)),IF(AND(Irr!M27&lt;&gt;".",Irr!AK27=".",Irr!BI27&lt;&gt;"."),dir!N27/((1/1000)*(Irr!M27+Irr!BI27)),IF(AND(Irr!M27=".",Irr!AK27&lt;&gt;".",Irr!BI27&lt;&gt;"."),dir!N27/((1/1000)*(Irr!AK27+Irr!BI27)),IF(AND(Irr!M27=".",Irr!AK27=".",Irr!BI27&lt;&gt;"."),dir!N27/((1/1000)*(Irr!BI27)),IF(AND(Irr!M27=".",Irr!AK27&lt;&gt;".",Irr!BI27="."),dir!N27/((1/1000)*(Irr!AK27)),IF(AND(Irr!M27&lt;&gt;".",Irr!AK27=".",Irr!BI27="."),dir!N27/((1/1000)*(Irr!M27)),IF(AND(Irr!M27=".",Irr!AK27=".",Irr!BI27="."),dir!N27*1000)))))))),".")</f>
        <v>.</v>
      </c>
      <c r="O27" s="76" t="str">
        <f>IFERROR(IF(AND(Irr!N27&lt;&gt;".",Irr!AL27&lt;&gt;".",Irr!BJ27&lt;&gt;"."),dir!O27/((1/1000)*(Irr!N27+Irr!AL27+Irr!BJ27)),IF(AND(Irr!N27&lt;&gt;".",Irr!AL27&lt;&gt;".",Irr!BJ27="."),dir!O27/((1/1000)*(Irr!N27+Irr!AL27)),IF(AND(Irr!N27&lt;&gt;".",Irr!AL27=".",Irr!BJ27&lt;&gt;"."),dir!O27/((1/1000)*(Irr!N27+Irr!BJ27)),IF(AND(Irr!N27=".",Irr!AL27&lt;&gt;".",Irr!BJ27&lt;&gt;"."),dir!O27/((1/1000)*(Irr!AL27+Irr!BJ27)),IF(AND(Irr!N27=".",Irr!AL27=".",Irr!BJ27&lt;&gt;"."),dir!O27/((1/1000)*(Irr!BJ27)),IF(AND(Irr!N27=".",Irr!AL27&lt;&gt;".",Irr!BJ27="."),dir!O27/((1/1000)*(Irr!AL27)),IF(AND(Irr!N27&lt;&gt;".",Irr!AL27=".",Irr!BJ27="."),dir!O27/((1/1000)*(Irr!N27)),IF(AND(Irr!N27=".",Irr!AL27=".",Irr!BJ27="."),dir!O27*1000)))))))),".")</f>
        <v>.</v>
      </c>
      <c r="P27" s="76" t="str">
        <f>IFERROR(IF(AND(Irr!O27&lt;&gt;".",Irr!AM27&lt;&gt;".",Irr!BK27&lt;&gt;"."),dir!P27/((1/1000)*(Irr!O27+Irr!AM27+Irr!BK27)),IF(AND(Irr!O27&lt;&gt;".",Irr!AM27&lt;&gt;".",Irr!BK27="."),dir!P27/((1/1000)*(Irr!O27+Irr!AM27)),IF(AND(Irr!O27&lt;&gt;".",Irr!AM27=".",Irr!BK27&lt;&gt;"."),dir!P27/((1/1000)*(Irr!O27+Irr!BK27)),IF(AND(Irr!O27=".",Irr!AM27&lt;&gt;".",Irr!BK27&lt;&gt;"."),dir!P27/((1/1000)*(Irr!AM27+Irr!BK27)),IF(AND(Irr!O27=".",Irr!AM27=".",Irr!BK27&lt;&gt;"."),dir!P27/((1/1000)*(Irr!BK27)),IF(AND(Irr!O27=".",Irr!AM27&lt;&gt;".",Irr!BK27="."),dir!P27/((1/1000)*(Irr!AM27)),IF(AND(Irr!O27&lt;&gt;".",Irr!AM27=".",Irr!BK27="."),dir!P27/((1/1000)*(Irr!O27)),IF(AND(Irr!O27=".",Irr!AM27=".",Irr!BK27="."),dir!P27*1000)))))))),".")</f>
        <v>.</v>
      </c>
      <c r="Q27" s="76" t="str">
        <f>IFERROR(IF(AND(Irr!P27&lt;&gt;".",Irr!AN27&lt;&gt;".",Irr!BL27&lt;&gt;"."),dir!Q27/((1/1000)*(Irr!P27+Irr!AN27+Irr!BL27)),IF(AND(Irr!P27&lt;&gt;".",Irr!AN27&lt;&gt;".",Irr!BL27="."),dir!Q27/((1/1000)*(Irr!P27+Irr!AN27)),IF(AND(Irr!P27&lt;&gt;".",Irr!AN27=".",Irr!BL27&lt;&gt;"."),dir!Q27/((1/1000)*(Irr!P27+Irr!BL27)),IF(AND(Irr!P27=".",Irr!AN27&lt;&gt;".",Irr!BL27&lt;&gt;"."),dir!Q27/((1/1000)*(Irr!AN27+Irr!BL27)),IF(AND(Irr!P27=".",Irr!AN27=".",Irr!BL27&lt;&gt;"."),dir!Q27/((1/1000)*(Irr!BL27)),IF(AND(Irr!P27=".",Irr!AN27&lt;&gt;".",Irr!BL27="."),dir!Q27/((1/1000)*(Irr!AN27)),IF(AND(Irr!P27&lt;&gt;".",Irr!AN27=".",Irr!BL27="."),dir!Q27/((1/1000)*(Irr!P27)),IF(AND(Irr!P27=".",Irr!AN27=".",Irr!BL27="."),dir!Q27*1000)))))))),".")</f>
        <v>.</v>
      </c>
      <c r="R27" s="76" t="str">
        <f>IFERROR(IF(AND(Irr!Q27&lt;&gt;".",Irr!AO27&lt;&gt;".",Irr!BM27&lt;&gt;"."),dir!R27/((1/1000)*(Irr!Q27+Irr!AO27+Irr!BM27)),IF(AND(Irr!Q27&lt;&gt;".",Irr!AO27&lt;&gt;".",Irr!BM27="."),dir!R27/((1/1000)*(Irr!Q27+Irr!AO27)),IF(AND(Irr!Q27&lt;&gt;".",Irr!AO27=".",Irr!BM27&lt;&gt;"."),dir!R27/((1/1000)*(Irr!Q27+Irr!BM27)),IF(AND(Irr!Q27=".",Irr!AO27&lt;&gt;".",Irr!BM27&lt;&gt;"."),dir!R27/((1/1000)*(Irr!AO27+Irr!BM27)),IF(AND(Irr!Q27=".",Irr!AO27=".",Irr!BM27&lt;&gt;"."),dir!R27/((1/1000)*(Irr!BM27)),IF(AND(Irr!Q27=".",Irr!AO27&lt;&gt;".",Irr!BM27="."),dir!R27/((1/1000)*(Irr!AO27)),IF(AND(Irr!Q27&lt;&gt;".",Irr!AO27=".",Irr!BM27="."),dir!R27/((1/1000)*(Irr!Q27)),IF(AND(Irr!Q27=".",Irr!AO27=".",Irr!BM27="."),dir!R27*1000)))))))),".")</f>
        <v>.</v>
      </c>
      <c r="S27" s="76" t="str">
        <f>IFERROR(IF(AND(Irr!R27&lt;&gt;".",Irr!AP27&lt;&gt;".",Irr!BN27&lt;&gt;"."),dir!S27/((1/1000)*(Irr!R27+Irr!AP27+Irr!BN27)),IF(AND(Irr!R27&lt;&gt;".",Irr!AP27&lt;&gt;".",Irr!BN27="."),dir!S27/((1/1000)*(Irr!R27+Irr!AP27)),IF(AND(Irr!R27&lt;&gt;".",Irr!AP27=".",Irr!BN27&lt;&gt;"."),dir!S27/((1/1000)*(Irr!R27+Irr!BN27)),IF(AND(Irr!R27=".",Irr!AP27&lt;&gt;".",Irr!BN27&lt;&gt;"."),dir!S27/((1/1000)*(Irr!AP27+Irr!BN27)),IF(AND(Irr!R27=".",Irr!AP27=".",Irr!BN27&lt;&gt;"."),dir!S27/((1/1000)*(Irr!BN27)),IF(AND(Irr!R27=".",Irr!AP27&lt;&gt;".",Irr!BN27="."),dir!S27/((1/1000)*(Irr!AP27)),IF(AND(Irr!R27&lt;&gt;".",Irr!AP27=".",Irr!BN27="."),dir!S27/((1/1000)*(Irr!R27)),IF(AND(Irr!R27=".",Irr!AP27=".",Irr!BN27="."),dir!S27*1000)))))))),".")</f>
        <v>.</v>
      </c>
      <c r="T27" s="76" t="str">
        <f>IFERROR(IF(AND(Irr!S27&lt;&gt;".",Irr!AQ27&lt;&gt;".",Irr!BO27&lt;&gt;"."),dir!T27/((1/1000)*(Irr!S27+Irr!AQ27+Irr!BO27)),IF(AND(Irr!S27&lt;&gt;".",Irr!AQ27&lt;&gt;".",Irr!BO27="."),dir!T27/((1/1000)*(Irr!S27+Irr!AQ27)),IF(AND(Irr!S27&lt;&gt;".",Irr!AQ27=".",Irr!BO27&lt;&gt;"."),dir!T27/((1/1000)*(Irr!S27+Irr!BO27)),IF(AND(Irr!S27=".",Irr!AQ27&lt;&gt;".",Irr!BO27&lt;&gt;"."),dir!T27/((1/1000)*(Irr!AQ27+Irr!BO27)),IF(AND(Irr!S27=".",Irr!AQ27=".",Irr!BO27&lt;&gt;"."),dir!T27/((1/1000)*(Irr!BO27)),IF(AND(Irr!S27=".",Irr!AQ27&lt;&gt;".",Irr!BO27="."),dir!T27/((1/1000)*(Irr!AQ27)),IF(AND(Irr!S27&lt;&gt;".",Irr!AQ27=".",Irr!BO27="."),dir!T27/((1/1000)*(Irr!S27)),IF(AND(Irr!S27=".",Irr!AQ27=".",Irr!BO27="."),dir!T27*1000)))))))),".")</f>
        <v>.</v>
      </c>
      <c r="U27" s="76" t="str">
        <f>IFERROR(IF(AND(Irr!T27&lt;&gt;".",Irr!AR27&lt;&gt;".",Irr!BP27&lt;&gt;"."),dir!U27/((1/1000)*(Irr!T27+Irr!AR27+Irr!BP27)),IF(AND(Irr!T27&lt;&gt;".",Irr!AR27&lt;&gt;".",Irr!BP27="."),dir!U27/((1/1000)*(Irr!T27+Irr!AR27)),IF(AND(Irr!T27&lt;&gt;".",Irr!AR27=".",Irr!BP27&lt;&gt;"."),dir!U27/((1/1000)*(Irr!T27+Irr!BP27)),IF(AND(Irr!T27=".",Irr!AR27&lt;&gt;".",Irr!BP27&lt;&gt;"."),dir!U27/((1/1000)*(Irr!AR27+Irr!BP27)),IF(AND(Irr!T27=".",Irr!AR27=".",Irr!BP27&lt;&gt;"."),dir!U27/((1/1000)*(Irr!BP27)),IF(AND(Irr!T27=".",Irr!AR27&lt;&gt;".",Irr!BP27="."),dir!U27/((1/1000)*(Irr!AR27)),IF(AND(Irr!T27&lt;&gt;".",Irr!AR27=".",Irr!BP27="."),dir!U27/((1/1000)*(Irr!T27)),IF(AND(Irr!T27=".",Irr!AR27=".",Irr!BP27="."),dir!U27*1000)))))))),".")</f>
        <v>.</v>
      </c>
      <c r="V27" s="76" t="str">
        <f>IFERROR(IF(AND(Irr!U27&lt;&gt;".",Irr!AS27&lt;&gt;".",Irr!BQ27&lt;&gt;"."),dir!V27/((1/1000)*(Irr!U27+Irr!AS27+Irr!BQ27)),IF(AND(Irr!U27&lt;&gt;".",Irr!AS27&lt;&gt;".",Irr!BQ27="."),dir!V27/((1/1000)*(Irr!U27+Irr!AS27)),IF(AND(Irr!U27&lt;&gt;".",Irr!AS27=".",Irr!BQ27&lt;&gt;"."),dir!V27/((1/1000)*(Irr!U27+Irr!BQ27)),IF(AND(Irr!U27=".",Irr!AS27&lt;&gt;".",Irr!BQ27&lt;&gt;"."),dir!V27/((1/1000)*(Irr!AS27+Irr!BQ27)),IF(AND(Irr!U27=".",Irr!AS27=".",Irr!BQ27&lt;&gt;"."),dir!V27/((1/1000)*(Irr!BQ27)),IF(AND(Irr!U27=".",Irr!AS27&lt;&gt;".",Irr!BQ27="."),dir!V27/((1/1000)*(Irr!AS27)),IF(AND(Irr!U27&lt;&gt;".",Irr!AS27=".",Irr!BQ27="."),dir!V27/((1/1000)*(Irr!U27)),IF(AND(Irr!U27=".",Irr!AS27=".",Irr!BQ27="."),dir!V27*1000)))))))),".")</f>
        <v>.</v>
      </c>
      <c r="W27" s="76" t="str">
        <f>IFERROR(IF(AND(Irr!V27&lt;&gt;".",Irr!AT27&lt;&gt;".",Irr!BR27&lt;&gt;"."),dir!W27/((1/1000)*(Irr!V27+Irr!AT27+Irr!BR27)),IF(AND(Irr!V27&lt;&gt;".",Irr!AT27&lt;&gt;".",Irr!BR27="."),dir!W27/((1/1000)*(Irr!V27+Irr!AT27)),IF(AND(Irr!V27&lt;&gt;".",Irr!AT27=".",Irr!BR27&lt;&gt;"."),dir!W27/((1/1000)*(Irr!V27+Irr!BR27)),IF(AND(Irr!V27=".",Irr!AT27&lt;&gt;".",Irr!BR27&lt;&gt;"."),dir!W27/((1/1000)*(Irr!AT27+Irr!BR27)),IF(AND(Irr!V27=".",Irr!AT27=".",Irr!BR27&lt;&gt;"."),dir!W27/((1/1000)*(Irr!BR27)),IF(AND(Irr!V27=".",Irr!AT27&lt;&gt;".",Irr!BR27="."),dir!W27/((1/1000)*(Irr!AT27)),IF(AND(Irr!V27&lt;&gt;".",Irr!AT27=".",Irr!BR27="."),dir!W27/((1/1000)*(Irr!V27)),IF(AND(Irr!V27=".",Irr!AT27=".",Irr!BR27="."),dir!W27*1000)))))))),".")</f>
        <v>.</v>
      </c>
      <c r="X27" s="76" t="str">
        <f>IFERROR(IF(AND(Irr!W27&lt;&gt;".",Irr!AU27&lt;&gt;".",Irr!BS27&lt;&gt;"."),dir!X27/((1/1000)*(Irr!W27+Irr!AU27+Irr!BS27)),IF(AND(Irr!W27&lt;&gt;".",Irr!AU27&lt;&gt;".",Irr!BS27="."),dir!X27/((1/1000)*(Irr!W27+Irr!AU27)),IF(AND(Irr!W27&lt;&gt;".",Irr!AU27=".",Irr!BS27&lt;&gt;"."),dir!X27/((1/1000)*(Irr!W27+Irr!BS27)),IF(AND(Irr!W27=".",Irr!AU27&lt;&gt;".",Irr!BS27&lt;&gt;"."),dir!X27/((1/1000)*(Irr!AU27+Irr!BS27)),IF(AND(Irr!W27=".",Irr!AU27=".",Irr!BS27&lt;&gt;"."),dir!X27/((1/1000)*(Irr!BS27)),IF(AND(Irr!W27=".",Irr!AU27&lt;&gt;".",Irr!BS27="."),dir!X27/((1/1000)*(Irr!AU27)),IF(AND(Irr!W27&lt;&gt;".",Irr!AU27=".",Irr!BS27="."),dir!X27/((1/1000)*(Irr!W27)),IF(AND(Irr!W27=".",Irr!AU27=".",Irr!BS27="."),dir!X27*1000)))))))),".")</f>
        <v>.</v>
      </c>
      <c r="Y27" s="76" t="str">
        <f>IFERROR(IF(AND(Irr!X27&lt;&gt;".",Irr!AV27&lt;&gt;".",Irr!BT27&lt;&gt;"."),dir!Y27/((1/1000)*(Irr!X27+Irr!AV27+Irr!BT27)),IF(AND(Irr!X27&lt;&gt;".",Irr!AV27&lt;&gt;".",Irr!BT27="."),dir!Y27/((1/1000)*(Irr!X27+Irr!AV27)),IF(AND(Irr!X27&lt;&gt;".",Irr!AV27=".",Irr!BT27&lt;&gt;"."),dir!Y27/((1/1000)*(Irr!X27+Irr!BT27)),IF(AND(Irr!X27=".",Irr!AV27&lt;&gt;".",Irr!BT27&lt;&gt;"."),dir!Y27/((1/1000)*(Irr!AV27+Irr!BT27)),IF(AND(Irr!X27=".",Irr!AV27=".",Irr!BT27&lt;&gt;"."),dir!Y27/((1/1000)*(Irr!BT27)),IF(AND(Irr!X27=".",Irr!AV27&lt;&gt;".",Irr!BT27="."),dir!Y27/((1/1000)*(Irr!AV27)),IF(AND(Irr!X27&lt;&gt;".",Irr!AV27=".",Irr!BT27="."),dir!Y27/((1/1000)*(Irr!X27)),IF(AND(Irr!X27=".",Irr!AV27=".",Irr!BT27="."),dir!Y27*1000)))))))),".")</f>
        <v>.</v>
      </c>
      <c r="Z27" s="76" t="str">
        <f>IFERROR(IF(AND(Irr!Y27&lt;&gt;".",Irr!AW27&lt;&gt;".",Irr!BU27&lt;&gt;"."),dir!Z27/((1/1000)*(Irr!Y27+Irr!AW27+Irr!BU27)),IF(AND(Irr!Y27&lt;&gt;".",Irr!AW27&lt;&gt;".",Irr!BU27="."),dir!Z27/((1/1000)*(Irr!Y27+Irr!AW27)),IF(AND(Irr!Y27&lt;&gt;".",Irr!AW27=".",Irr!BU27&lt;&gt;"."),dir!Z27/((1/1000)*(Irr!Y27+Irr!BU27)),IF(AND(Irr!Y27=".",Irr!AW27&lt;&gt;".",Irr!BU27&lt;&gt;"."),dir!Z27/((1/1000)*(Irr!AW27+Irr!BU27)),IF(AND(Irr!Y27=".",Irr!AW27=".",Irr!BU27&lt;&gt;"."),dir!Z27/((1/1000)*(Irr!BU27)),IF(AND(Irr!Y27=".",Irr!AW27&lt;&gt;".",Irr!BU27="."),dir!Z27/((1/1000)*(Irr!AW27)),IF(AND(Irr!Y27&lt;&gt;".",Irr!AW27=".",Irr!BU27="."),dir!Z27/((1/1000)*(Irr!Y27)),IF(AND(Irr!Y27=".",Irr!AW27=".",Irr!BU27="."),dir!Z27*1000)))))))),".")</f>
        <v>.</v>
      </c>
      <c r="AA27" s="76" t="str">
        <f>IFERROR(IF(AND(Irr!Z27&lt;&gt;".",Irr!AX27&lt;&gt;".",Irr!BV27&lt;&gt;"."),dir!AA27/((1/1000)*(Irr!Z27+Irr!AX27+Irr!BV27)),IF(AND(Irr!Z27&lt;&gt;".",Irr!AX27&lt;&gt;".",Irr!BV27="."),dir!AA27/((1/1000)*(Irr!Z27+Irr!AX27)),IF(AND(Irr!Z27&lt;&gt;".",Irr!AX27=".",Irr!BV27&lt;&gt;"."),dir!AA27/((1/1000)*(Irr!Z27+Irr!BV27)),IF(AND(Irr!Z27=".",Irr!AX27&lt;&gt;".",Irr!BV27&lt;&gt;"."),dir!AA27/((1/1000)*(Irr!AX27+Irr!BV27)),IF(AND(Irr!Z27=".",Irr!AX27=".",Irr!BV27&lt;&gt;"."),dir!AA27/((1/1000)*(Irr!BV27)),IF(AND(Irr!Z27=".",Irr!AX27&lt;&gt;".",Irr!BV27="."),dir!AA27/((1/1000)*(Irr!AX27)),IF(AND(Irr!Z27&lt;&gt;".",Irr!AX27=".",Irr!BV27="."),dir!AA27/((1/1000)*(Irr!Z27)),IF(AND(Irr!Z27=".",Irr!AX27=".",Irr!BV27="."),dir!AA27*1000)))))))),".")</f>
        <v>.</v>
      </c>
      <c r="AB27" s="76" t="str">
        <f t="shared" si="23"/>
        <v>.</v>
      </c>
      <c r="AC27" s="76" t="str">
        <f>IFERROR(IF(AND(Irr!C27&lt;&gt;".",Irr!AA27&lt;&gt;".",Irr!AY27&lt;&gt;"."),dir!AC27/((1/1000)*(Irr!C27+Irr!AA27+Irr!AY27)),IF(AND(Irr!C27&lt;&gt;".",Irr!AA27&lt;&gt;".",Irr!AY27="."),dir!AC27/((1/1000)*(Irr!C27+Irr!AA27)),IF(AND(Irr!C27&lt;&gt;".",Irr!AA27=".",Irr!AY27&lt;&gt;"."),dir!AC27/((1/1000)*(Irr!C27+Irr!AY27)),IF(AND(Irr!C27=".",Irr!AA27&lt;&gt;".",Irr!AY27&lt;&gt;"."),dir!AC27/((1/1000)*(Irr!AA27+Irr!AY27)),IF(AND(Irr!C27=".",Irr!AA27=".",Irr!AY27&lt;&gt;"."),dir!AC27/((1/1000)*(Irr!AY27)),IF(AND(Irr!C27=".",Irr!AA27&lt;&gt;".",Irr!AY27="."),dir!AC27/((1/1000)*(Irr!AA27)),IF(AND(Irr!C27&lt;&gt;".",Irr!AA27=".",Irr!AY27="."),dir!AC27/((1/1000)*(Irr!C27)),IF(AND(Irr!C27=".",Irr!AA27=".",Irr!AY27="."),dir!AC27*1000)))))))),".")</f>
        <v>.</v>
      </c>
      <c r="AD27" s="76" t="str">
        <f>IFERROR(IF(AND(Irr!D27&lt;&gt;".",Irr!AB27&lt;&gt;".",Irr!AZ27&lt;&gt;"."),dir!AD27/((1/1000)*(Irr!D27+Irr!AB27+Irr!AZ27)),IF(AND(Irr!D27&lt;&gt;".",Irr!AB27&lt;&gt;".",Irr!AZ27="."),dir!AD27/((1/1000)*(Irr!D27+Irr!AB27)),IF(AND(Irr!D27&lt;&gt;".",Irr!AB27=".",Irr!AZ27&lt;&gt;"."),dir!AD27/((1/1000)*(Irr!D27+Irr!AZ27)),IF(AND(Irr!D27=".",Irr!AB27&lt;&gt;".",Irr!AZ27&lt;&gt;"."),dir!AD27/((1/1000)*(Irr!AB27+Irr!AZ27)),IF(AND(Irr!D27=".",Irr!AB27=".",Irr!AZ27&lt;&gt;"."),dir!AD27/((1/1000)*(Irr!AZ27)),IF(AND(Irr!D27=".",Irr!AB27&lt;&gt;".",Irr!AZ27="."),dir!AD27/((1/1000)*(Irr!AB27)),IF(AND(Irr!D27&lt;&gt;".",Irr!AB27=".",Irr!AZ27="."),dir!AD27/((1/1000)*(Irr!D27)),IF(AND(Irr!D27=".",Irr!AB27=".",Irr!AZ27="."),dir!AD27*1000)))))))),".")</f>
        <v>.</v>
      </c>
      <c r="AE27" s="76" t="str">
        <f>IFERROR(IF(AND(Irr!E27&lt;&gt;".",Irr!AC27&lt;&gt;".",Irr!BA27&lt;&gt;"."),dir!AE27/((1/1000)*(Irr!E27+Irr!AC27+Irr!BA27)),IF(AND(Irr!E27&lt;&gt;".",Irr!AC27&lt;&gt;".",Irr!BA27="."),dir!AE27/((1/1000)*(Irr!E27+Irr!AC27)),IF(AND(Irr!E27&lt;&gt;".",Irr!AC27=".",Irr!BA27&lt;&gt;"."),dir!AE27/((1/1000)*(Irr!E27+Irr!BA27)),IF(AND(Irr!E27=".",Irr!AC27&lt;&gt;".",Irr!BA27&lt;&gt;"."),dir!AE27/((1/1000)*(Irr!AC27+Irr!BA27)),IF(AND(Irr!E27=".",Irr!AC27=".",Irr!BA27&lt;&gt;"."),dir!AE27/((1/1000)*(Irr!BA27)),IF(AND(Irr!E27=".",Irr!AC27&lt;&gt;".",Irr!BA27="."),dir!AE27/((1/1000)*(Irr!AC27)),IF(AND(Irr!E27&lt;&gt;".",Irr!AC27=".",Irr!BA27="."),dir!AE27/((1/1000)*(Irr!E27)),IF(AND(Irr!E27=".",Irr!AC27=".",Irr!BA27="."),dir!AE27*1000)))))))),".")</f>
        <v>.</v>
      </c>
      <c r="AF27" s="76" t="str">
        <f>IFERROR(IF(AND(Irr!F27&lt;&gt;".",Irr!AD27&lt;&gt;".",Irr!BB27&lt;&gt;"."),dir!AF27/((1/1000)*(Irr!F27+Irr!AD27+Irr!BB27)),IF(AND(Irr!F27&lt;&gt;".",Irr!AD27&lt;&gt;".",Irr!BB27="."),dir!AF27/((1/1000)*(Irr!F27+Irr!AD27)),IF(AND(Irr!F27&lt;&gt;".",Irr!AD27=".",Irr!BB27&lt;&gt;"."),dir!AF27/((1/1000)*(Irr!F27+Irr!BB27)),IF(AND(Irr!F27=".",Irr!AD27&lt;&gt;".",Irr!BB27&lt;&gt;"."),dir!AF27/((1/1000)*(Irr!AD27+Irr!BB27)),IF(AND(Irr!F27=".",Irr!AD27=".",Irr!BB27&lt;&gt;"."),dir!AF27/((1/1000)*(Irr!BB27)),IF(AND(Irr!F27=".",Irr!AD27&lt;&gt;".",Irr!BB27="."),dir!AF27/((1/1000)*(Irr!AD27)),IF(AND(Irr!F27&lt;&gt;".",Irr!AD27=".",Irr!BB27="."),dir!AF27/((1/1000)*(Irr!F27)),IF(AND(Irr!F27=".",Irr!AD27=".",Irr!BB27="."),dir!AF27*1000)))))))),".")</f>
        <v>.</v>
      </c>
      <c r="AG27" s="76" t="str">
        <f>IFERROR(IF(AND(Irr!G27&lt;&gt;".",Irr!AE27&lt;&gt;".",Irr!BC27&lt;&gt;"."),dir!AG27/((1/1000)*(Irr!G27+Irr!AE27+Irr!BC27)),IF(AND(Irr!G27&lt;&gt;".",Irr!AE27&lt;&gt;".",Irr!BC27="."),dir!AG27/((1/1000)*(Irr!G27+Irr!AE27)),IF(AND(Irr!G27&lt;&gt;".",Irr!AE27=".",Irr!BC27&lt;&gt;"."),dir!AG27/((1/1000)*(Irr!G27+Irr!BC27)),IF(AND(Irr!G27=".",Irr!AE27&lt;&gt;".",Irr!BC27&lt;&gt;"."),dir!AG27/((1/1000)*(Irr!AE27+Irr!BC27)),IF(AND(Irr!G27=".",Irr!AE27=".",Irr!BC27&lt;&gt;"."),dir!AG27/((1/1000)*(Irr!BC27)),IF(AND(Irr!G27=".",Irr!AE27&lt;&gt;".",Irr!BC27="."),dir!AG27/((1/1000)*(Irr!AE27)),IF(AND(Irr!G27&lt;&gt;".",Irr!AE27=".",Irr!BC27="."),dir!AG27/((1/1000)*(Irr!G27)),IF(AND(Irr!G27=".",Irr!AE27=".",Irr!BC27="."),dir!AG27*1000)))))))),".")</f>
        <v>.</v>
      </c>
      <c r="AH27" s="76" t="str">
        <f>IFERROR(IF(AND(Irr!H27&lt;&gt;".",Irr!AF27&lt;&gt;".",Irr!BD27&lt;&gt;"."),dir!AH27/((1/1000)*(Irr!H27+Irr!AF27+Irr!BD27)),IF(AND(Irr!H27&lt;&gt;".",Irr!AF27&lt;&gt;".",Irr!BD27="."),dir!AH27/((1/1000)*(Irr!H27+Irr!AF27)),IF(AND(Irr!H27&lt;&gt;".",Irr!AF27=".",Irr!BD27&lt;&gt;"."),dir!AH27/((1/1000)*(Irr!H27+Irr!BD27)),IF(AND(Irr!H27=".",Irr!AF27&lt;&gt;".",Irr!BD27&lt;&gt;"."),dir!AH27/((1/1000)*(Irr!AF27+Irr!BD27)),IF(AND(Irr!H27=".",Irr!AF27=".",Irr!BD27&lt;&gt;"."),dir!AH27/((1/1000)*(Irr!BD27)),IF(AND(Irr!H27=".",Irr!AF27&lt;&gt;".",Irr!BD27="."),dir!AH27/((1/1000)*(Irr!AF27)),IF(AND(Irr!H27&lt;&gt;".",Irr!AF27=".",Irr!BD27="."),dir!AH27/((1/1000)*(Irr!H27)),IF(AND(Irr!H27=".",Irr!AF27=".",Irr!BD27="."),dir!AH27*1000)))))))),".")</f>
        <v>.</v>
      </c>
      <c r="AI27" s="76" t="str">
        <f>IFERROR(IF(AND(Irr!I27&lt;&gt;".",Irr!AG27&lt;&gt;".",Irr!BE27&lt;&gt;"."),dir!AI27/((1/1000)*(Irr!I27+Irr!AG27+Irr!BE27)),IF(AND(Irr!I27&lt;&gt;".",Irr!AG27&lt;&gt;".",Irr!BE27="."),dir!AI27/((1/1000)*(Irr!I27+Irr!AG27)),IF(AND(Irr!I27&lt;&gt;".",Irr!AG27=".",Irr!BE27&lt;&gt;"."),dir!AI27/((1/1000)*(Irr!I27+Irr!BE27)),IF(AND(Irr!I27=".",Irr!AG27&lt;&gt;".",Irr!BE27&lt;&gt;"."),dir!AI27/((1/1000)*(Irr!AG27+Irr!BE27)),IF(AND(Irr!I27=".",Irr!AG27=".",Irr!BE27&lt;&gt;"."),dir!AI27/((1/1000)*(Irr!BE27)),IF(AND(Irr!I27=".",Irr!AG27&lt;&gt;".",Irr!BE27="."),dir!AI27/((1/1000)*(Irr!AG27)),IF(AND(Irr!I27&lt;&gt;".",Irr!AG27=".",Irr!BE27="."),dir!AI27/((1/1000)*(Irr!I27)),IF(AND(Irr!I27=".",Irr!AG27=".",Irr!BE27="."),dir!AI27*1000)))))))),".")</f>
        <v>.</v>
      </c>
      <c r="AJ27" s="76" t="str">
        <f>IFERROR(IF(AND(Irr!J27&lt;&gt;".",Irr!AH27&lt;&gt;".",Irr!BF27&lt;&gt;"."),dir!AJ27/((1/1000)*(Irr!J27+Irr!AH27+Irr!BF27)),IF(AND(Irr!J27&lt;&gt;".",Irr!AH27&lt;&gt;".",Irr!BF27="."),dir!AJ27/((1/1000)*(Irr!J27+Irr!AH27)),IF(AND(Irr!J27&lt;&gt;".",Irr!AH27=".",Irr!BF27&lt;&gt;"."),dir!AJ27/((1/1000)*(Irr!J27+Irr!BF27)),IF(AND(Irr!J27=".",Irr!AH27&lt;&gt;".",Irr!BF27&lt;&gt;"."),dir!AJ27/((1/1000)*(Irr!AH27+Irr!BF27)),IF(AND(Irr!J27=".",Irr!AH27=".",Irr!BF27&lt;&gt;"."),dir!AJ27/((1/1000)*(Irr!BF27)),IF(AND(Irr!J27=".",Irr!AH27&lt;&gt;".",Irr!BF27="."),dir!AJ27/((1/1000)*(Irr!AH27)),IF(AND(Irr!J27&lt;&gt;".",Irr!AH27=".",Irr!BF27="."),dir!AJ27/((1/1000)*(Irr!J27)),IF(AND(Irr!J27=".",Irr!AH27=".",Irr!BF27="."),dir!AJ27*1000)))))))),".")</f>
        <v>.</v>
      </c>
      <c r="AK27" s="76" t="str">
        <f>IFERROR(IF(AND(Irr!K27&lt;&gt;".",Irr!AI27&lt;&gt;".",Irr!BG27&lt;&gt;"."),dir!AK27/((1/1000)*(Irr!K27+Irr!AI27+Irr!BG27)),IF(AND(Irr!K27&lt;&gt;".",Irr!AI27&lt;&gt;".",Irr!BG27="."),dir!AK27/((1/1000)*(Irr!K27+Irr!AI27)),IF(AND(Irr!K27&lt;&gt;".",Irr!AI27=".",Irr!BG27&lt;&gt;"."),dir!AK27/((1/1000)*(Irr!K27+Irr!BG27)),IF(AND(Irr!K27=".",Irr!AI27&lt;&gt;".",Irr!BG27&lt;&gt;"."),dir!AK27/((1/1000)*(Irr!AI27+Irr!BG27)),IF(AND(Irr!K27=".",Irr!AI27=".",Irr!BG27&lt;&gt;"."),dir!AK27/((1/1000)*(Irr!BG27)),IF(AND(Irr!K27=".",Irr!AI27&lt;&gt;".",Irr!BG27="."),dir!AK27/((1/1000)*(Irr!AI27)),IF(AND(Irr!K27&lt;&gt;".",Irr!AI27=".",Irr!BG27="."),dir!AK27/((1/1000)*(Irr!K27)),IF(AND(Irr!K27=".",Irr!AI27=".",Irr!BG27="."),dir!AK27*1000)))))))),".")</f>
        <v>.</v>
      </c>
      <c r="AL27" s="76" t="str">
        <f>IFERROR(IF(AND(Irr!L27&lt;&gt;".",Irr!AJ27&lt;&gt;".",Irr!BH27&lt;&gt;"."),dir!AL27/((1/1000)*(Irr!L27+Irr!AJ27+Irr!BH27)),IF(AND(Irr!L27&lt;&gt;".",Irr!AJ27&lt;&gt;".",Irr!BH27="."),dir!AL27/((1/1000)*(Irr!L27+Irr!AJ27)),IF(AND(Irr!L27&lt;&gt;".",Irr!AJ27=".",Irr!BH27&lt;&gt;"."),dir!AL27/((1/1000)*(Irr!L27+Irr!BH27)),IF(AND(Irr!L27=".",Irr!AJ27&lt;&gt;".",Irr!BH27&lt;&gt;"."),dir!AL27/((1/1000)*(Irr!AJ27+Irr!BH27)),IF(AND(Irr!L27=".",Irr!AJ27=".",Irr!BH27&lt;&gt;"."),dir!AL27/((1/1000)*(Irr!BH27)),IF(AND(Irr!L27=".",Irr!AJ27&lt;&gt;".",Irr!BH27="."),dir!AL27/((1/1000)*(Irr!AJ27)),IF(AND(Irr!L27&lt;&gt;".",Irr!AJ27=".",Irr!BH27="."),dir!AL27/((1/1000)*(Irr!L27)),IF(AND(Irr!L27=".",Irr!AJ27=".",Irr!BH27="."),dir!AL27*1000)))))))),".")</f>
        <v>.</v>
      </c>
      <c r="AM27" s="76" t="str">
        <f>IFERROR(IF(AND(Irr!M27&lt;&gt;".",Irr!AK27&lt;&gt;".",Irr!BI27&lt;&gt;"."),dir!AM27/((1/1000)*(Irr!M27+Irr!AK27+Irr!BI27)),IF(AND(Irr!M27&lt;&gt;".",Irr!AK27&lt;&gt;".",Irr!BI27="."),dir!AM27/((1/1000)*(Irr!M27+Irr!AK27)),IF(AND(Irr!M27&lt;&gt;".",Irr!AK27=".",Irr!BI27&lt;&gt;"."),dir!AM27/((1/1000)*(Irr!M27+Irr!BI27)),IF(AND(Irr!M27=".",Irr!AK27&lt;&gt;".",Irr!BI27&lt;&gt;"."),dir!AM27/((1/1000)*(Irr!AK27+Irr!BI27)),IF(AND(Irr!M27=".",Irr!AK27=".",Irr!BI27&lt;&gt;"."),dir!AM27/((1/1000)*(Irr!BI27)),IF(AND(Irr!M27=".",Irr!AK27&lt;&gt;".",Irr!BI27="."),dir!AM27/((1/1000)*(Irr!AK27)),IF(AND(Irr!M27&lt;&gt;".",Irr!AK27=".",Irr!BI27="."),dir!AM27/((1/1000)*(Irr!M27)),IF(AND(Irr!M27=".",Irr!AK27=".",Irr!BI27="."),dir!AM27*1000)))))))),".")</f>
        <v>.</v>
      </c>
      <c r="AN27" s="76" t="str">
        <f>IFERROR(IF(AND(Irr!N27&lt;&gt;".",Irr!AL27&lt;&gt;".",Irr!BJ27&lt;&gt;"."),dir!AN27/((1/1000)*(Irr!N27+Irr!AL27+Irr!BJ27)),IF(AND(Irr!N27&lt;&gt;".",Irr!AL27&lt;&gt;".",Irr!BJ27="."),dir!AN27/((1/1000)*(Irr!N27+Irr!AL27)),IF(AND(Irr!N27&lt;&gt;".",Irr!AL27=".",Irr!BJ27&lt;&gt;"."),dir!AN27/((1/1000)*(Irr!N27+Irr!BJ27)),IF(AND(Irr!N27=".",Irr!AL27&lt;&gt;".",Irr!BJ27&lt;&gt;"."),dir!AN27/((1/1000)*(Irr!AL27+Irr!BJ27)),IF(AND(Irr!N27=".",Irr!AL27=".",Irr!BJ27&lt;&gt;"."),dir!AN27/((1/1000)*(Irr!BJ27)),IF(AND(Irr!N27=".",Irr!AL27&lt;&gt;".",Irr!BJ27="."),dir!AN27/((1/1000)*(Irr!AL27)),IF(AND(Irr!N27&lt;&gt;".",Irr!AL27=".",Irr!BJ27="."),dir!AN27/((1/1000)*(Irr!N27)),IF(AND(Irr!N27=".",Irr!AL27=".",Irr!BJ27="."),dir!AN27*1000)))))))),".")</f>
        <v>.</v>
      </c>
      <c r="AO27" s="76" t="str">
        <f>IFERROR(IF(AND(Irr!O27&lt;&gt;".",Irr!AM27&lt;&gt;".",Irr!BK27&lt;&gt;"."),dir!AO27/((1/1000)*(Irr!O27+Irr!AM27+Irr!BK27)),IF(AND(Irr!O27&lt;&gt;".",Irr!AM27&lt;&gt;".",Irr!BK27="."),dir!AO27/((1/1000)*(Irr!O27+Irr!AM27)),IF(AND(Irr!O27&lt;&gt;".",Irr!AM27=".",Irr!BK27&lt;&gt;"."),dir!AO27/((1/1000)*(Irr!O27+Irr!BK27)),IF(AND(Irr!O27=".",Irr!AM27&lt;&gt;".",Irr!BK27&lt;&gt;"."),dir!AO27/((1/1000)*(Irr!AM27+Irr!BK27)),IF(AND(Irr!O27=".",Irr!AM27=".",Irr!BK27&lt;&gt;"."),dir!AO27/((1/1000)*(Irr!BK27)),IF(AND(Irr!O27=".",Irr!AM27&lt;&gt;".",Irr!BK27="."),dir!AO27/((1/1000)*(Irr!AM27)),IF(AND(Irr!O27&lt;&gt;".",Irr!AM27=".",Irr!BK27="."),dir!AO27/((1/1000)*(Irr!O27)),IF(AND(Irr!O27=".",Irr!AM27=".",Irr!BK27="."),dir!AO27*1000)))))))),".")</f>
        <v>.</v>
      </c>
      <c r="AP27" s="76" t="str">
        <f>IFERROR(IF(AND(Irr!P27&lt;&gt;".",Irr!AN27&lt;&gt;".",Irr!BL27&lt;&gt;"."),dir!AP27/((1/1000)*(Irr!P27+Irr!AN27+Irr!BL27)),IF(AND(Irr!P27&lt;&gt;".",Irr!AN27&lt;&gt;".",Irr!BL27="."),dir!AP27/((1/1000)*(Irr!P27+Irr!AN27)),IF(AND(Irr!P27&lt;&gt;".",Irr!AN27=".",Irr!BL27&lt;&gt;"."),dir!AP27/((1/1000)*(Irr!P27+Irr!BL27)),IF(AND(Irr!P27=".",Irr!AN27&lt;&gt;".",Irr!BL27&lt;&gt;"."),dir!AP27/((1/1000)*(Irr!AN27+Irr!BL27)),IF(AND(Irr!P27=".",Irr!AN27=".",Irr!BL27&lt;&gt;"."),dir!AP27/((1/1000)*(Irr!BL27)),IF(AND(Irr!P27=".",Irr!AN27&lt;&gt;".",Irr!BL27="."),dir!AP27/((1/1000)*(Irr!AN27)),IF(AND(Irr!P27&lt;&gt;".",Irr!AN27=".",Irr!BL27="."),dir!AP27/((1/1000)*(Irr!P27)),IF(AND(Irr!P27=".",Irr!AN27=".",Irr!BL27="."),dir!AP27*1000)))))))),".")</f>
        <v>.</v>
      </c>
      <c r="AQ27" s="76" t="str">
        <f>IFERROR(IF(AND(Irr!Q27&lt;&gt;".",Irr!AO27&lt;&gt;".",Irr!BM27&lt;&gt;"."),dir!AQ27/((1/1000)*(Irr!Q27+Irr!AO27+Irr!BM27)),IF(AND(Irr!Q27&lt;&gt;".",Irr!AO27&lt;&gt;".",Irr!BM27="."),dir!AQ27/((1/1000)*(Irr!Q27+Irr!AO27)),IF(AND(Irr!Q27&lt;&gt;".",Irr!AO27=".",Irr!BM27&lt;&gt;"."),dir!AQ27/((1/1000)*(Irr!Q27+Irr!BM27)),IF(AND(Irr!Q27=".",Irr!AO27&lt;&gt;".",Irr!BM27&lt;&gt;"."),dir!AQ27/((1/1000)*(Irr!AO27+Irr!BM27)),IF(AND(Irr!Q27=".",Irr!AO27=".",Irr!BM27&lt;&gt;"."),dir!AQ27/((1/1000)*(Irr!BM27)),IF(AND(Irr!Q27=".",Irr!AO27&lt;&gt;".",Irr!BM27="."),dir!AQ27/((1/1000)*(Irr!AO27)),IF(AND(Irr!Q27&lt;&gt;".",Irr!AO27=".",Irr!BM27="."),dir!AQ27/((1/1000)*(Irr!Q27)),IF(AND(Irr!Q27=".",Irr!AO27=".",Irr!BM27="."),dir!AQ27*1000)))))))),".")</f>
        <v>.</v>
      </c>
      <c r="AR27" s="76" t="str">
        <f>IFERROR(IF(AND(Irr!R27&lt;&gt;".",Irr!AP27&lt;&gt;".",Irr!BN27&lt;&gt;"."),dir!AR27/((1/1000)*(Irr!R27+Irr!AP27+Irr!BN27)),IF(AND(Irr!R27&lt;&gt;".",Irr!AP27&lt;&gt;".",Irr!BN27="."),dir!AR27/((1/1000)*(Irr!R27+Irr!AP27)),IF(AND(Irr!R27&lt;&gt;".",Irr!AP27=".",Irr!BN27&lt;&gt;"."),dir!AR27/((1/1000)*(Irr!R27+Irr!BN27)),IF(AND(Irr!R27=".",Irr!AP27&lt;&gt;".",Irr!BN27&lt;&gt;"."),dir!AR27/((1/1000)*(Irr!AP27+Irr!BN27)),IF(AND(Irr!R27=".",Irr!AP27=".",Irr!BN27&lt;&gt;"."),dir!AR27/((1/1000)*(Irr!BN27)),IF(AND(Irr!R27=".",Irr!AP27&lt;&gt;".",Irr!BN27="."),dir!AR27/((1/1000)*(Irr!AP27)),IF(AND(Irr!R27&lt;&gt;".",Irr!AP27=".",Irr!BN27="."),dir!AR27/((1/1000)*(Irr!R27)),IF(AND(Irr!R27=".",Irr!AP27=".",Irr!BN27="."),dir!AR27*1000)))))))),".")</f>
        <v>.</v>
      </c>
      <c r="AS27" s="76" t="str">
        <f>IFERROR(IF(AND(Irr!S27&lt;&gt;".",Irr!AQ27&lt;&gt;".",Irr!BO27&lt;&gt;"."),dir!AS27/((1/1000)*(Irr!S27+Irr!AQ27+Irr!BO27)),IF(AND(Irr!S27&lt;&gt;".",Irr!AQ27&lt;&gt;".",Irr!BO27="."),dir!AS27/((1/1000)*(Irr!S27+Irr!AQ27)),IF(AND(Irr!S27&lt;&gt;".",Irr!AQ27=".",Irr!BO27&lt;&gt;"."),dir!AS27/((1/1000)*(Irr!S27+Irr!BO27)),IF(AND(Irr!S27=".",Irr!AQ27&lt;&gt;".",Irr!BO27&lt;&gt;"."),dir!AS27/((1/1000)*(Irr!AQ27+Irr!BO27)),IF(AND(Irr!S27=".",Irr!AQ27=".",Irr!BO27&lt;&gt;"."),dir!AS27/((1/1000)*(Irr!BO27)),IF(AND(Irr!S27=".",Irr!AQ27&lt;&gt;".",Irr!BO27="."),dir!AS27/((1/1000)*(Irr!AQ27)),IF(AND(Irr!S27&lt;&gt;".",Irr!AQ27=".",Irr!BO27="."),dir!AS27/((1/1000)*(Irr!S27)),IF(AND(Irr!S27=".",Irr!AQ27=".",Irr!BO27="."),dir!AS27*1000)))))))),".")</f>
        <v>.</v>
      </c>
      <c r="AT27" s="76" t="str">
        <f>IFERROR(IF(AND(Irr!T27&lt;&gt;".",Irr!AR27&lt;&gt;".",Irr!BP27&lt;&gt;"."),dir!AT27/((1/1000)*(Irr!T27+Irr!AR27+Irr!BP27)),IF(AND(Irr!T27&lt;&gt;".",Irr!AR27&lt;&gt;".",Irr!BP27="."),dir!AT27/((1/1000)*(Irr!T27+Irr!AR27)),IF(AND(Irr!T27&lt;&gt;".",Irr!AR27=".",Irr!BP27&lt;&gt;"."),dir!AT27/((1/1000)*(Irr!T27+Irr!BP27)),IF(AND(Irr!T27=".",Irr!AR27&lt;&gt;".",Irr!BP27&lt;&gt;"."),dir!AT27/((1/1000)*(Irr!AR27+Irr!BP27)),IF(AND(Irr!T27=".",Irr!AR27=".",Irr!BP27&lt;&gt;"."),dir!AT27/((1/1000)*(Irr!BP27)),IF(AND(Irr!T27=".",Irr!AR27&lt;&gt;".",Irr!BP27="."),dir!AT27/((1/1000)*(Irr!AR27)),IF(AND(Irr!T27&lt;&gt;".",Irr!AR27=".",Irr!BP27="."),dir!AT27/((1/1000)*(Irr!T27)),IF(AND(Irr!T27=".",Irr!AR27=".",Irr!BP27="."),dir!AT27*1000)))))))),".")</f>
        <v>.</v>
      </c>
      <c r="AU27" s="76" t="str">
        <f>IFERROR(IF(AND(Irr!U27&lt;&gt;".",Irr!AS27&lt;&gt;".",Irr!BQ27&lt;&gt;"."),dir!AU27/((1/1000)*(Irr!U27+Irr!AS27+Irr!BQ27)),IF(AND(Irr!U27&lt;&gt;".",Irr!AS27&lt;&gt;".",Irr!BQ27="."),dir!AU27/((1/1000)*(Irr!U27+Irr!AS27)),IF(AND(Irr!U27&lt;&gt;".",Irr!AS27=".",Irr!BQ27&lt;&gt;"."),dir!AU27/((1/1000)*(Irr!U27+Irr!BQ27)),IF(AND(Irr!U27=".",Irr!AS27&lt;&gt;".",Irr!BQ27&lt;&gt;"."),dir!AU27/((1/1000)*(Irr!AS27+Irr!BQ27)),IF(AND(Irr!U27=".",Irr!AS27=".",Irr!BQ27&lt;&gt;"."),dir!AU27/((1/1000)*(Irr!BQ27)),IF(AND(Irr!U27=".",Irr!AS27&lt;&gt;".",Irr!BQ27="."),dir!AU27/((1/1000)*(Irr!AS27)),IF(AND(Irr!U27&lt;&gt;".",Irr!AS27=".",Irr!BQ27="."),dir!AU27/((1/1000)*(Irr!U27)),IF(AND(Irr!U27=".",Irr!AS27=".",Irr!BQ27="."),dir!AU27*1000)))))))),".")</f>
        <v>.</v>
      </c>
      <c r="AV27" s="76" t="str">
        <f>IFERROR(IF(AND(Irr!V27&lt;&gt;".",Irr!AT27&lt;&gt;".",Irr!BR27&lt;&gt;"."),dir!AV27/((1/1000)*(Irr!V27+Irr!AT27+Irr!BR27)),IF(AND(Irr!V27&lt;&gt;".",Irr!AT27&lt;&gt;".",Irr!BR27="."),dir!AV27/((1/1000)*(Irr!V27+Irr!AT27)),IF(AND(Irr!V27&lt;&gt;".",Irr!AT27=".",Irr!BR27&lt;&gt;"."),dir!AV27/((1/1000)*(Irr!V27+Irr!BR27)),IF(AND(Irr!V27=".",Irr!AT27&lt;&gt;".",Irr!BR27&lt;&gt;"."),dir!AV27/((1/1000)*(Irr!AT27+Irr!BR27)),IF(AND(Irr!V27=".",Irr!AT27=".",Irr!BR27&lt;&gt;"."),dir!AV27/((1/1000)*(Irr!BR27)),IF(AND(Irr!V27=".",Irr!AT27&lt;&gt;".",Irr!BR27="."),dir!AV27/((1/1000)*(Irr!AT27)),IF(AND(Irr!V27&lt;&gt;".",Irr!AT27=".",Irr!BR27="."),dir!AV27/((1/1000)*(Irr!V27)),IF(AND(Irr!V27=".",Irr!AT27=".",Irr!BR27="."),dir!AV27*1000)))))))),".")</f>
        <v>.</v>
      </c>
      <c r="AW27" s="76" t="str">
        <f>IFERROR(IF(AND(Irr!W27&lt;&gt;".",Irr!AU27&lt;&gt;".",Irr!BS27&lt;&gt;"."),dir!AW27/((1/1000)*(Irr!W27+Irr!AU27+Irr!BS27)),IF(AND(Irr!W27&lt;&gt;".",Irr!AU27&lt;&gt;".",Irr!BS27="."),dir!AW27/((1/1000)*(Irr!W27+Irr!AU27)),IF(AND(Irr!W27&lt;&gt;".",Irr!AU27=".",Irr!BS27&lt;&gt;"."),dir!AW27/((1/1000)*(Irr!W27+Irr!BS27)),IF(AND(Irr!W27=".",Irr!AU27&lt;&gt;".",Irr!BS27&lt;&gt;"."),dir!AW27/((1/1000)*(Irr!AU27+Irr!BS27)),IF(AND(Irr!W27=".",Irr!AU27=".",Irr!BS27&lt;&gt;"."),dir!AW27/((1/1000)*(Irr!BS27)),IF(AND(Irr!W27=".",Irr!AU27&lt;&gt;".",Irr!BS27="."),dir!AW27/((1/1000)*(Irr!AU27)),IF(AND(Irr!W27&lt;&gt;".",Irr!AU27=".",Irr!BS27="."),dir!AW27/((1/1000)*(Irr!W27)),IF(AND(Irr!W27=".",Irr!AU27=".",Irr!BS27="."),dir!AW27*1000)))))))),".")</f>
        <v>.</v>
      </c>
      <c r="AX27" s="76" t="str">
        <f>IFERROR(IF(AND(Irr!X27&lt;&gt;".",Irr!AV27&lt;&gt;".",Irr!BT27&lt;&gt;"."),dir!AX27/((1/1000)*(Irr!X27+Irr!AV27+Irr!BT27)),IF(AND(Irr!X27&lt;&gt;".",Irr!AV27&lt;&gt;".",Irr!BT27="."),dir!AX27/((1/1000)*(Irr!X27+Irr!AV27)),IF(AND(Irr!X27&lt;&gt;".",Irr!AV27=".",Irr!BT27&lt;&gt;"."),dir!AX27/((1/1000)*(Irr!X27+Irr!BT27)),IF(AND(Irr!X27=".",Irr!AV27&lt;&gt;".",Irr!BT27&lt;&gt;"."),dir!AX27/((1/1000)*(Irr!AV27+Irr!BT27)),IF(AND(Irr!X27=".",Irr!AV27=".",Irr!BT27&lt;&gt;"."),dir!AX27/((1/1000)*(Irr!BT27)),IF(AND(Irr!X27=".",Irr!AV27&lt;&gt;".",Irr!BT27="."),dir!AX27/((1/1000)*(Irr!AV27)),IF(AND(Irr!X27&lt;&gt;".",Irr!AV27=".",Irr!BT27="."),dir!AX27/((1/1000)*(Irr!X27)),IF(AND(Irr!X27=".",Irr!AV27=".",Irr!BT27="."),dir!AX27*1000)))))))),".")</f>
        <v>.</v>
      </c>
      <c r="AY27" s="76" t="str">
        <f>IFERROR(IF(AND(Irr!Y27&lt;&gt;".",Irr!AW27&lt;&gt;".",Irr!BU27&lt;&gt;"."),dir!AY27/((1/1000)*(Irr!Y27+Irr!AW27+Irr!BU27)),IF(AND(Irr!Y27&lt;&gt;".",Irr!AW27&lt;&gt;".",Irr!BU27="."),dir!AY27/((1/1000)*(Irr!Y27+Irr!AW27)),IF(AND(Irr!Y27&lt;&gt;".",Irr!AW27=".",Irr!BU27&lt;&gt;"."),dir!AY27/((1/1000)*(Irr!Y27+Irr!BU27)),IF(AND(Irr!Y27=".",Irr!AW27&lt;&gt;".",Irr!BU27&lt;&gt;"."),dir!AY27/((1/1000)*(Irr!AW27+Irr!BU27)),IF(AND(Irr!Y27=".",Irr!AW27=".",Irr!BU27&lt;&gt;"."),dir!AY27/((1/1000)*(Irr!BU27)),IF(AND(Irr!Y27=".",Irr!AW27&lt;&gt;".",Irr!BU27="."),dir!AY27/((1/1000)*(Irr!AW27)),IF(AND(Irr!Y27&lt;&gt;".",Irr!AW27=".",Irr!BU27="."),dir!AY27/((1/1000)*(Irr!Y27)),IF(AND(Irr!Y27=".",Irr!AW27=".",Irr!BU27="."),dir!AY27*1000)))))))),".")</f>
        <v>.</v>
      </c>
      <c r="AZ27" s="76" t="str">
        <f>IFERROR(IF(AND(Irr!Z27&lt;&gt;".",Irr!AX27&lt;&gt;".",Irr!BV27&lt;&gt;"."),dir!AZ27/((1/1000)*(Irr!Z27+Irr!AX27+Irr!BV27)),IF(AND(Irr!Z27&lt;&gt;".",Irr!AX27&lt;&gt;".",Irr!BV27="."),dir!AZ27/((1/1000)*(Irr!Z27+Irr!AX27)),IF(AND(Irr!Z27&lt;&gt;".",Irr!AX27=".",Irr!BV27&lt;&gt;"."),dir!AZ27/((1/1000)*(Irr!Z27+Irr!BV27)),IF(AND(Irr!Z27=".",Irr!AX27&lt;&gt;".",Irr!BV27&lt;&gt;"."),dir!AZ27/((1/1000)*(Irr!AX27+Irr!BV27)),IF(AND(Irr!Z27=".",Irr!AX27=".",Irr!BV27&lt;&gt;"."),dir!AZ27/((1/1000)*(Irr!BV27)),IF(AND(Irr!Z27=".",Irr!AX27&lt;&gt;".",Irr!BV27="."),dir!AZ27/((1/1000)*(Irr!AX27)),IF(AND(Irr!Z27&lt;&gt;".",Irr!AX27=".",Irr!BV27="."),dir!AZ27/((1/1000)*(Irr!Z27)),IF(AND(Irr!Z27=".",Irr!AX27=".",Irr!BV27="."),dir!AZ27*1000)))))))),".")</f>
        <v>.</v>
      </c>
    </row>
    <row r="28" spans="1:52" ht="15" customHeight="1" x14ac:dyDescent="0.25">
      <c r="A28" s="92" t="s">
        <v>38</v>
      </c>
      <c r="B28" s="90" t="s">
        <v>1074</v>
      </c>
      <c r="C28" s="76" t="str">
        <f t="shared" si="22"/>
        <v>.</v>
      </c>
      <c r="D28" s="76" t="str">
        <f>IFERROR(IF(AND(Irr!C28&lt;&gt;".",Irr!AA28&lt;&gt;".",Irr!AY28&lt;&gt;"."),dir!D28/((1/1000)*(Irr!C28+Irr!AA28+Irr!AY28)),IF(AND(Irr!C28&lt;&gt;".",Irr!AA28&lt;&gt;".",Irr!AY28="."),dir!D28/((1/1000)*(Irr!C28+Irr!AA28)),IF(AND(Irr!C28&lt;&gt;".",Irr!AA28=".",Irr!AY28&lt;&gt;"."),dir!D28/((1/1000)*(Irr!C28+Irr!AY28)),IF(AND(Irr!C28=".",Irr!AA28&lt;&gt;".",Irr!AY28&lt;&gt;"."),dir!D28/((1/1000)*(Irr!AA28+Irr!AY28)),IF(AND(Irr!C28=".",Irr!AA28=".",Irr!AY28&lt;&gt;"."),dir!D28/((1/1000)*(Irr!AY28)),IF(AND(Irr!C28=".",Irr!AA28&lt;&gt;".",Irr!AY28="."),dir!D28/((1/1000)*(Irr!AA28)),IF(AND(Irr!C28&lt;&gt;".",Irr!AA28=".",Irr!AY28="."),dir!D28/((1/1000)*(Irr!C28)),IF(AND(Irr!C28=".",Irr!AA28=".",Irr!AY28="."),dir!D28*1000)))))))),".")</f>
        <v>.</v>
      </c>
      <c r="E28" s="76" t="str">
        <f>IFERROR(IF(AND(Irr!D28&lt;&gt;".",Irr!AB28&lt;&gt;".",Irr!AZ28&lt;&gt;"."),dir!E28/((1/1000)*(Irr!D28+Irr!AB28+Irr!AZ28)),IF(AND(Irr!D28&lt;&gt;".",Irr!AB28&lt;&gt;".",Irr!AZ28="."),dir!E28/((1/1000)*(Irr!D28+Irr!AB28)),IF(AND(Irr!D28&lt;&gt;".",Irr!AB28=".",Irr!AZ28&lt;&gt;"."),dir!E28/((1/1000)*(Irr!D28+Irr!AZ28)),IF(AND(Irr!D28=".",Irr!AB28&lt;&gt;".",Irr!AZ28&lt;&gt;"."),dir!E28/((1/1000)*(Irr!AB28+Irr!AZ28)),IF(AND(Irr!D28=".",Irr!AB28=".",Irr!AZ28&lt;&gt;"."),dir!E28/((1/1000)*(Irr!AZ28)),IF(AND(Irr!D28=".",Irr!AB28&lt;&gt;".",Irr!AZ28="."),dir!E28/((1/1000)*(Irr!AB28)),IF(AND(Irr!D28&lt;&gt;".",Irr!AB28=".",Irr!AZ28="."),dir!E28/((1/1000)*(Irr!D28)),IF(AND(Irr!D28=".",Irr!AB28=".",Irr!AZ28="."),dir!E28*1000)))))))),".")</f>
        <v>.</v>
      </c>
      <c r="F28" s="76" t="str">
        <f>IFERROR(IF(AND(Irr!E28&lt;&gt;".",Irr!AC28&lt;&gt;".",Irr!BA28&lt;&gt;"."),dir!F28/((1/1000)*(Irr!E28+Irr!AC28+Irr!BA28)),IF(AND(Irr!E28&lt;&gt;".",Irr!AC28&lt;&gt;".",Irr!BA28="."),dir!F28/((1/1000)*(Irr!E28+Irr!AC28)),IF(AND(Irr!E28&lt;&gt;".",Irr!AC28=".",Irr!BA28&lt;&gt;"."),dir!F28/((1/1000)*(Irr!E28+Irr!BA28)),IF(AND(Irr!E28=".",Irr!AC28&lt;&gt;".",Irr!BA28&lt;&gt;"."),dir!F28/((1/1000)*(Irr!AC28+Irr!BA28)),IF(AND(Irr!E28=".",Irr!AC28=".",Irr!BA28&lt;&gt;"."),dir!F28/((1/1000)*(Irr!BA28)),IF(AND(Irr!E28=".",Irr!AC28&lt;&gt;".",Irr!BA28="."),dir!F28/((1/1000)*(Irr!AC28)),IF(AND(Irr!E28&lt;&gt;".",Irr!AC28=".",Irr!BA28="."),dir!F28/((1/1000)*(Irr!E28)),IF(AND(Irr!E28=".",Irr!AC28=".",Irr!BA28="."),dir!F28*1000)))))))),".")</f>
        <v>.</v>
      </c>
      <c r="G28" s="76" t="str">
        <f>IFERROR(IF(AND(Irr!F28&lt;&gt;".",Irr!AD28&lt;&gt;".",Irr!BB28&lt;&gt;"."),dir!G28/((1/1000)*(Irr!F28+Irr!AD28+Irr!BB28)),IF(AND(Irr!F28&lt;&gt;".",Irr!AD28&lt;&gt;".",Irr!BB28="."),dir!G28/((1/1000)*(Irr!F28+Irr!AD28)),IF(AND(Irr!F28&lt;&gt;".",Irr!AD28=".",Irr!BB28&lt;&gt;"."),dir!G28/((1/1000)*(Irr!F28+Irr!BB28)),IF(AND(Irr!F28=".",Irr!AD28&lt;&gt;".",Irr!BB28&lt;&gt;"."),dir!G28/((1/1000)*(Irr!AD28+Irr!BB28)),IF(AND(Irr!F28=".",Irr!AD28=".",Irr!BB28&lt;&gt;"."),dir!G28/((1/1000)*(Irr!BB28)),IF(AND(Irr!F28=".",Irr!AD28&lt;&gt;".",Irr!BB28="."),dir!G28/((1/1000)*(Irr!AD28)),IF(AND(Irr!F28&lt;&gt;".",Irr!AD28=".",Irr!BB28="."),dir!G28/((1/1000)*(Irr!F28)),IF(AND(Irr!F28=".",Irr!AD28=".",Irr!BB28="."),dir!G28*1000)))))))),".")</f>
        <v>.</v>
      </c>
      <c r="H28" s="76" t="str">
        <f>IFERROR(IF(AND(Irr!G28&lt;&gt;".",Irr!AE28&lt;&gt;".",Irr!BC28&lt;&gt;"."),dir!H28/((1/1000)*(Irr!G28+Irr!AE28+Irr!BC28)),IF(AND(Irr!G28&lt;&gt;".",Irr!AE28&lt;&gt;".",Irr!BC28="."),dir!H28/((1/1000)*(Irr!G28+Irr!AE28)),IF(AND(Irr!G28&lt;&gt;".",Irr!AE28=".",Irr!BC28&lt;&gt;"."),dir!H28/((1/1000)*(Irr!G28+Irr!BC28)),IF(AND(Irr!G28=".",Irr!AE28&lt;&gt;".",Irr!BC28&lt;&gt;"."),dir!H28/((1/1000)*(Irr!AE28+Irr!BC28)),IF(AND(Irr!G28=".",Irr!AE28=".",Irr!BC28&lt;&gt;"."),dir!H28/((1/1000)*(Irr!BC28)),IF(AND(Irr!G28=".",Irr!AE28&lt;&gt;".",Irr!BC28="."),dir!H28/((1/1000)*(Irr!AE28)),IF(AND(Irr!G28&lt;&gt;".",Irr!AE28=".",Irr!BC28="."),dir!H28/((1/1000)*(Irr!G28)),IF(AND(Irr!G28=".",Irr!AE28=".",Irr!BC28="."),dir!H28*1000)))))))),".")</f>
        <v>.</v>
      </c>
      <c r="I28" s="76" t="str">
        <f>IFERROR(IF(AND(Irr!H28&lt;&gt;".",Irr!AF28&lt;&gt;".",Irr!BD28&lt;&gt;"."),dir!I28/((1/1000)*(Irr!H28+Irr!AF28+Irr!BD28)),IF(AND(Irr!H28&lt;&gt;".",Irr!AF28&lt;&gt;".",Irr!BD28="."),dir!I28/((1/1000)*(Irr!H28+Irr!AF28)),IF(AND(Irr!H28&lt;&gt;".",Irr!AF28=".",Irr!BD28&lt;&gt;"."),dir!I28/((1/1000)*(Irr!H28+Irr!BD28)),IF(AND(Irr!H28=".",Irr!AF28&lt;&gt;".",Irr!BD28&lt;&gt;"."),dir!I28/((1/1000)*(Irr!AF28+Irr!BD28)),IF(AND(Irr!H28=".",Irr!AF28=".",Irr!BD28&lt;&gt;"."),dir!I28/((1/1000)*(Irr!BD28)),IF(AND(Irr!H28=".",Irr!AF28&lt;&gt;".",Irr!BD28="."),dir!I28/((1/1000)*(Irr!AF28)),IF(AND(Irr!H28&lt;&gt;".",Irr!AF28=".",Irr!BD28="."),dir!I28/((1/1000)*(Irr!H28)),IF(AND(Irr!H28=".",Irr!AF28=".",Irr!BD28="."),dir!I28*1000)))))))),".")</f>
        <v>.</v>
      </c>
      <c r="J28" s="76" t="str">
        <f>IFERROR(IF(AND(Irr!I28&lt;&gt;".",Irr!AG28&lt;&gt;".",Irr!BE28&lt;&gt;"."),dir!J28/((1/1000)*(Irr!I28+Irr!AG28+Irr!BE28)),IF(AND(Irr!I28&lt;&gt;".",Irr!AG28&lt;&gt;".",Irr!BE28="."),dir!J28/((1/1000)*(Irr!I28+Irr!AG28)),IF(AND(Irr!I28&lt;&gt;".",Irr!AG28=".",Irr!BE28&lt;&gt;"."),dir!J28/((1/1000)*(Irr!I28+Irr!BE28)),IF(AND(Irr!I28=".",Irr!AG28&lt;&gt;".",Irr!BE28&lt;&gt;"."),dir!J28/((1/1000)*(Irr!AG28+Irr!BE28)),IF(AND(Irr!I28=".",Irr!AG28=".",Irr!BE28&lt;&gt;"."),dir!J28/((1/1000)*(Irr!BE28)),IF(AND(Irr!I28=".",Irr!AG28&lt;&gt;".",Irr!BE28="."),dir!J28/((1/1000)*(Irr!AG28)),IF(AND(Irr!I28&lt;&gt;".",Irr!AG28=".",Irr!BE28="."),dir!J28/((1/1000)*(Irr!I28)),IF(AND(Irr!I28=".",Irr!AG28=".",Irr!BE28="."),dir!J28*1000)))))))),".")</f>
        <v>.</v>
      </c>
      <c r="K28" s="76" t="str">
        <f>IFERROR(IF(AND(Irr!J28&lt;&gt;".",Irr!AH28&lt;&gt;".",Irr!BF28&lt;&gt;"."),dir!K28/((1/1000)*(Irr!J28+Irr!AH28+Irr!BF28)),IF(AND(Irr!J28&lt;&gt;".",Irr!AH28&lt;&gt;".",Irr!BF28="."),dir!K28/((1/1000)*(Irr!J28+Irr!AH28)),IF(AND(Irr!J28&lt;&gt;".",Irr!AH28=".",Irr!BF28&lt;&gt;"."),dir!K28/((1/1000)*(Irr!J28+Irr!BF28)),IF(AND(Irr!J28=".",Irr!AH28&lt;&gt;".",Irr!BF28&lt;&gt;"."),dir!K28/((1/1000)*(Irr!AH28+Irr!BF28)),IF(AND(Irr!J28=".",Irr!AH28=".",Irr!BF28&lt;&gt;"."),dir!K28/((1/1000)*(Irr!BF28)),IF(AND(Irr!J28=".",Irr!AH28&lt;&gt;".",Irr!BF28="."),dir!K28/((1/1000)*(Irr!AH28)),IF(AND(Irr!J28&lt;&gt;".",Irr!AH28=".",Irr!BF28="."),dir!K28/((1/1000)*(Irr!J28)),IF(AND(Irr!J28=".",Irr!AH28=".",Irr!BF28="."),dir!K28*1000)))))))),".")</f>
        <v>.</v>
      </c>
      <c r="L28" s="76" t="str">
        <f>IFERROR(IF(AND(Irr!K28&lt;&gt;".",Irr!AI28&lt;&gt;".",Irr!BG28&lt;&gt;"."),dir!L28/((1/1000)*(Irr!K28+Irr!AI28+Irr!BG28)),IF(AND(Irr!K28&lt;&gt;".",Irr!AI28&lt;&gt;".",Irr!BG28="."),dir!L28/((1/1000)*(Irr!K28+Irr!AI28)),IF(AND(Irr!K28&lt;&gt;".",Irr!AI28=".",Irr!BG28&lt;&gt;"."),dir!L28/((1/1000)*(Irr!K28+Irr!BG28)),IF(AND(Irr!K28=".",Irr!AI28&lt;&gt;".",Irr!BG28&lt;&gt;"."),dir!L28/((1/1000)*(Irr!AI28+Irr!BG28)),IF(AND(Irr!K28=".",Irr!AI28=".",Irr!BG28&lt;&gt;"."),dir!L28/((1/1000)*(Irr!BG28)),IF(AND(Irr!K28=".",Irr!AI28&lt;&gt;".",Irr!BG28="."),dir!L28/((1/1000)*(Irr!AI28)),IF(AND(Irr!K28&lt;&gt;".",Irr!AI28=".",Irr!BG28="."),dir!L28/((1/1000)*(Irr!K28)),IF(AND(Irr!K28=".",Irr!AI28=".",Irr!BG28="."),dir!L28*1000)))))))),".")</f>
        <v>.</v>
      </c>
      <c r="M28" s="76" t="str">
        <f>IFERROR(IF(AND(Irr!L28&lt;&gt;".",Irr!AJ28&lt;&gt;".",Irr!BH28&lt;&gt;"."),dir!M28/((1/1000)*(Irr!L28+Irr!AJ28+Irr!BH28)),IF(AND(Irr!L28&lt;&gt;".",Irr!AJ28&lt;&gt;".",Irr!BH28="."),dir!M28/((1/1000)*(Irr!L28+Irr!AJ28)),IF(AND(Irr!L28&lt;&gt;".",Irr!AJ28=".",Irr!BH28&lt;&gt;"."),dir!M28/((1/1000)*(Irr!L28+Irr!BH28)),IF(AND(Irr!L28=".",Irr!AJ28&lt;&gt;".",Irr!BH28&lt;&gt;"."),dir!M28/((1/1000)*(Irr!AJ28+Irr!BH28)),IF(AND(Irr!L28=".",Irr!AJ28=".",Irr!BH28&lt;&gt;"."),dir!M28/((1/1000)*(Irr!BH28)),IF(AND(Irr!L28=".",Irr!AJ28&lt;&gt;".",Irr!BH28="."),dir!M28/((1/1000)*(Irr!AJ28)),IF(AND(Irr!L28&lt;&gt;".",Irr!AJ28=".",Irr!BH28="."),dir!M28/((1/1000)*(Irr!L28)),IF(AND(Irr!L28=".",Irr!AJ28=".",Irr!BH28="."),dir!M28*1000)))))))),".")</f>
        <v>.</v>
      </c>
      <c r="N28" s="76" t="str">
        <f>IFERROR(IF(AND(Irr!M28&lt;&gt;".",Irr!AK28&lt;&gt;".",Irr!BI28&lt;&gt;"."),dir!N28/((1/1000)*(Irr!M28+Irr!AK28+Irr!BI28)),IF(AND(Irr!M28&lt;&gt;".",Irr!AK28&lt;&gt;".",Irr!BI28="."),dir!N28/((1/1000)*(Irr!M28+Irr!AK28)),IF(AND(Irr!M28&lt;&gt;".",Irr!AK28=".",Irr!BI28&lt;&gt;"."),dir!N28/((1/1000)*(Irr!M28+Irr!BI28)),IF(AND(Irr!M28=".",Irr!AK28&lt;&gt;".",Irr!BI28&lt;&gt;"."),dir!N28/((1/1000)*(Irr!AK28+Irr!BI28)),IF(AND(Irr!M28=".",Irr!AK28=".",Irr!BI28&lt;&gt;"."),dir!N28/((1/1000)*(Irr!BI28)),IF(AND(Irr!M28=".",Irr!AK28&lt;&gt;".",Irr!BI28="."),dir!N28/((1/1000)*(Irr!AK28)),IF(AND(Irr!M28&lt;&gt;".",Irr!AK28=".",Irr!BI28="."),dir!N28/((1/1000)*(Irr!M28)),IF(AND(Irr!M28=".",Irr!AK28=".",Irr!BI28="."),dir!N28*1000)))))))),".")</f>
        <v>.</v>
      </c>
      <c r="O28" s="76" t="str">
        <f>IFERROR(IF(AND(Irr!N28&lt;&gt;".",Irr!AL28&lt;&gt;".",Irr!BJ28&lt;&gt;"."),dir!O28/((1/1000)*(Irr!N28+Irr!AL28+Irr!BJ28)),IF(AND(Irr!N28&lt;&gt;".",Irr!AL28&lt;&gt;".",Irr!BJ28="."),dir!O28/((1/1000)*(Irr!N28+Irr!AL28)),IF(AND(Irr!N28&lt;&gt;".",Irr!AL28=".",Irr!BJ28&lt;&gt;"."),dir!O28/((1/1000)*(Irr!N28+Irr!BJ28)),IF(AND(Irr!N28=".",Irr!AL28&lt;&gt;".",Irr!BJ28&lt;&gt;"."),dir!O28/((1/1000)*(Irr!AL28+Irr!BJ28)),IF(AND(Irr!N28=".",Irr!AL28=".",Irr!BJ28&lt;&gt;"."),dir!O28/((1/1000)*(Irr!BJ28)),IF(AND(Irr!N28=".",Irr!AL28&lt;&gt;".",Irr!BJ28="."),dir!O28/((1/1000)*(Irr!AL28)),IF(AND(Irr!N28&lt;&gt;".",Irr!AL28=".",Irr!BJ28="."),dir!O28/((1/1000)*(Irr!N28)),IF(AND(Irr!N28=".",Irr!AL28=".",Irr!BJ28="."),dir!O28*1000)))))))),".")</f>
        <v>.</v>
      </c>
      <c r="P28" s="76" t="str">
        <f>IFERROR(IF(AND(Irr!O28&lt;&gt;".",Irr!AM28&lt;&gt;".",Irr!BK28&lt;&gt;"."),dir!P28/((1/1000)*(Irr!O28+Irr!AM28+Irr!BK28)),IF(AND(Irr!O28&lt;&gt;".",Irr!AM28&lt;&gt;".",Irr!BK28="."),dir!P28/((1/1000)*(Irr!O28+Irr!AM28)),IF(AND(Irr!O28&lt;&gt;".",Irr!AM28=".",Irr!BK28&lt;&gt;"."),dir!P28/((1/1000)*(Irr!O28+Irr!BK28)),IF(AND(Irr!O28=".",Irr!AM28&lt;&gt;".",Irr!BK28&lt;&gt;"."),dir!P28/((1/1000)*(Irr!AM28+Irr!BK28)),IF(AND(Irr!O28=".",Irr!AM28=".",Irr!BK28&lt;&gt;"."),dir!P28/((1/1000)*(Irr!BK28)),IF(AND(Irr!O28=".",Irr!AM28&lt;&gt;".",Irr!BK28="."),dir!P28/((1/1000)*(Irr!AM28)),IF(AND(Irr!O28&lt;&gt;".",Irr!AM28=".",Irr!BK28="."),dir!P28/((1/1000)*(Irr!O28)),IF(AND(Irr!O28=".",Irr!AM28=".",Irr!BK28="."),dir!P28*1000)))))))),".")</f>
        <v>.</v>
      </c>
      <c r="Q28" s="76" t="str">
        <f>IFERROR(IF(AND(Irr!P28&lt;&gt;".",Irr!AN28&lt;&gt;".",Irr!BL28&lt;&gt;"."),dir!Q28/((1/1000)*(Irr!P28+Irr!AN28+Irr!BL28)),IF(AND(Irr!P28&lt;&gt;".",Irr!AN28&lt;&gt;".",Irr!BL28="."),dir!Q28/((1/1000)*(Irr!P28+Irr!AN28)),IF(AND(Irr!P28&lt;&gt;".",Irr!AN28=".",Irr!BL28&lt;&gt;"."),dir!Q28/((1/1000)*(Irr!P28+Irr!BL28)),IF(AND(Irr!P28=".",Irr!AN28&lt;&gt;".",Irr!BL28&lt;&gt;"."),dir!Q28/((1/1000)*(Irr!AN28+Irr!BL28)),IF(AND(Irr!P28=".",Irr!AN28=".",Irr!BL28&lt;&gt;"."),dir!Q28/((1/1000)*(Irr!BL28)),IF(AND(Irr!P28=".",Irr!AN28&lt;&gt;".",Irr!BL28="."),dir!Q28/((1/1000)*(Irr!AN28)),IF(AND(Irr!P28&lt;&gt;".",Irr!AN28=".",Irr!BL28="."),dir!Q28/((1/1000)*(Irr!P28)),IF(AND(Irr!P28=".",Irr!AN28=".",Irr!BL28="."),dir!Q28*1000)))))))),".")</f>
        <v>.</v>
      </c>
      <c r="R28" s="76" t="str">
        <f>IFERROR(IF(AND(Irr!Q28&lt;&gt;".",Irr!AO28&lt;&gt;".",Irr!BM28&lt;&gt;"."),dir!R28/((1/1000)*(Irr!Q28+Irr!AO28+Irr!BM28)),IF(AND(Irr!Q28&lt;&gt;".",Irr!AO28&lt;&gt;".",Irr!BM28="."),dir!R28/((1/1000)*(Irr!Q28+Irr!AO28)),IF(AND(Irr!Q28&lt;&gt;".",Irr!AO28=".",Irr!BM28&lt;&gt;"."),dir!R28/((1/1000)*(Irr!Q28+Irr!BM28)),IF(AND(Irr!Q28=".",Irr!AO28&lt;&gt;".",Irr!BM28&lt;&gt;"."),dir!R28/((1/1000)*(Irr!AO28+Irr!BM28)),IF(AND(Irr!Q28=".",Irr!AO28=".",Irr!BM28&lt;&gt;"."),dir!R28/((1/1000)*(Irr!BM28)),IF(AND(Irr!Q28=".",Irr!AO28&lt;&gt;".",Irr!BM28="."),dir!R28/((1/1000)*(Irr!AO28)),IF(AND(Irr!Q28&lt;&gt;".",Irr!AO28=".",Irr!BM28="."),dir!R28/((1/1000)*(Irr!Q28)),IF(AND(Irr!Q28=".",Irr!AO28=".",Irr!BM28="."),dir!R28*1000)))))))),".")</f>
        <v>.</v>
      </c>
      <c r="S28" s="76" t="str">
        <f>IFERROR(IF(AND(Irr!R28&lt;&gt;".",Irr!AP28&lt;&gt;".",Irr!BN28&lt;&gt;"."),dir!S28/((1/1000)*(Irr!R28+Irr!AP28+Irr!BN28)),IF(AND(Irr!R28&lt;&gt;".",Irr!AP28&lt;&gt;".",Irr!BN28="."),dir!S28/((1/1000)*(Irr!R28+Irr!AP28)),IF(AND(Irr!R28&lt;&gt;".",Irr!AP28=".",Irr!BN28&lt;&gt;"."),dir!S28/((1/1000)*(Irr!R28+Irr!BN28)),IF(AND(Irr!R28=".",Irr!AP28&lt;&gt;".",Irr!BN28&lt;&gt;"."),dir!S28/((1/1000)*(Irr!AP28+Irr!BN28)),IF(AND(Irr!R28=".",Irr!AP28=".",Irr!BN28&lt;&gt;"."),dir!S28/((1/1000)*(Irr!BN28)),IF(AND(Irr!R28=".",Irr!AP28&lt;&gt;".",Irr!BN28="."),dir!S28/((1/1000)*(Irr!AP28)),IF(AND(Irr!R28&lt;&gt;".",Irr!AP28=".",Irr!BN28="."),dir!S28/((1/1000)*(Irr!R28)),IF(AND(Irr!R28=".",Irr!AP28=".",Irr!BN28="."),dir!S28*1000)))))))),".")</f>
        <v>.</v>
      </c>
      <c r="T28" s="76" t="str">
        <f>IFERROR(IF(AND(Irr!S28&lt;&gt;".",Irr!AQ28&lt;&gt;".",Irr!BO28&lt;&gt;"."),dir!T28/((1/1000)*(Irr!S28+Irr!AQ28+Irr!BO28)),IF(AND(Irr!S28&lt;&gt;".",Irr!AQ28&lt;&gt;".",Irr!BO28="."),dir!T28/((1/1000)*(Irr!S28+Irr!AQ28)),IF(AND(Irr!S28&lt;&gt;".",Irr!AQ28=".",Irr!BO28&lt;&gt;"."),dir!T28/((1/1000)*(Irr!S28+Irr!BO28)),IF(AND(Irr!S28=".",Irr!AQ28&lt;&gt;".",Irr!BO28&lt;&gt;"."),dir!T28/((1/1000)*(Irr!AQ28+Irr!BO28)),IF(AND(Irr!S28=".",Irr!AQ28=".",Irr!BO28&lt;&gt;"."),dir!T28/((1/1000)*(Irr!BO28)),IF(AND(Irr!S28=".",Irr!AQ28&lt;&gt;".",Irr!BO28="."),dir!T28/((1/1000)*(Irr!AQ28)),IF(AND(Irr!S28&lt;&gt;".",Irr!AQ28=".",Irr!BO28="."),dir!T28/((1/1000)*(Irr!S28)),IF(AND(Irr!S28=".",Irr!AQ28=".",Irr!BO28="."),dir!T28*1000)))))))),".")</f>
        <v>.</v>
      </c>
      <c r="U28" s="76" t="str">
        <f>IFERROR(IF(AND(Irr!T28&lt;&gt;".",Irr!AR28&lt;&gt;".",Irr!BP28&lt;&gt;"."),dir!U28/((1/1000)*(Irr!T28+Irr!AR28+Irr!BP28)),IF(AND(Irr!T28&lt;&gt;".",Irr!AR28&lt;&gt;".",Irr!BP28="."),dir!U28/((1/1000)*(Irr!T28+Irr!AR28)),IF(AND(Irr!T28&lt;&gt;".",Irr!AR28=".",Irr!BP28&lt;&gt;"."),dir!U28/((1/1000)*(Irr!T28+Irr!BP28)),IF(AND(Irr!T28=".",Irr!AR28&lt;&gt;".",Irr!BP28&lt;&gt;"."),dir!U28/((1/1000)*(Irr!AR28+Irr!BP28)),IF(AND(Irr!T28=".",Irr!AR28=".",Irr!BP28&lt;&gt;"."),dir!U28/((1/1000)*(Irr!BP28)),IF(AND(Irr!T28=".",Irr!AR28&lt;&gt;".",Irr!BP28="."),dir!U28/((1/1000)*(Irr!AR28)),IF(AND(Irr!T28&lt;&gt;".",Irr!AR28=".",Irr!BP28="."),dir!U28/((1/1000)*(Irr!T28)),IF(AND(Irr!T28=".",Irr!AR28=".",Irr!BP28="."),dir!U28*1000)))))))),".")</f>
        <v>.</v>
      </c>
      <c r="V28" s="76" t="str">
        <f>IFERROR(IF(AND(Irr!U28&lt;&gt;".",Irr!AS28&lt;&gt;".",Irr!BQ28&lt;&gt;"."),dir!V28/((1/1000)*(Irr!U28+Irr!AS28+Irr!BQ28)),IF(AND(Irr!U28&lt;&gt;".",Irr!AS28&lt;&gt;".",Irr!BQ28="."),dir!V28/((1/1000)*(Irr!U28+Irr!AS28)),IF(AND(Irr!U28&lt;&gt;".",Irr!AS28=".",Irr!BQ28&lt;&gt;"."),dir!V28/((1/1000)*(Irr!U28+Irr!BQ28)),IF(AND(Irr!U28=".",Irr!AS28&lt;&gt;".",Irr!BQ28&lt;&gt;"."),dir!V28/((1/1000)*(Irr!AS28+Irr!BQ28)),IF(AND(Irr!U28=".",Irr!AS28=".",Irr!BQ28&lt;&gt;"."),dir!V28/((1/1000)*(Irr!BQ28)),IF(AND(Irr!U28=".",Irr!AS28&lt;&gt;".",Irr!BQ28="."),dir!V28/((1/1000)*(Irr!AS28)),IF(AND(Irr!U28&lt;&gt;".",Irr!AS28=".",Irr!BQ28="."),dir!V28/((1/1000)*(Irr!U28)),IF(AND(Irr!U28=".",Irr!AS28=".",Irr!BQ28="."),dir!V28*1000)))))))),".")</f>
        <v>.</v>
      </c>
      <c r="W28" s="76" t="str">
        <f>IFERROR(IF(AND(Irr!V28&lt;&gt;".",Irr!AT28&lt;&gt;".",Irr!BR28&lt;&gt;"."),dir!W28/((1/1000)*(Irr!V28+Irr!AT28+Irr!BR28)),IF(AND(Irr!V28&lt;&gt;".",Irr!AT28&lt;&gt;".",Irr!BR28="."),dir!W28/((1/1000)*(Irr!V28+Irr!AT28)),IF(AND(Irr!V28&lt;&gt;".",Irr!AT28=".",Irr!BR28&lt;&gt;"."),dir!W28/((1/1000)*(Irr!V28+Irr!BR28)),IF(AND(Irr!V28=".",Irr!AT28&lt;&gt;".",Irr!BR28&lt;&gt;"."),dir!W28/((1/1000)*(Irr!AT28+Irr!BR28)),IF(AND(Irr!V28=".",Irr!AT28=".",Irr!BR28&lt;&gt;"."),dir!W28/((1/1000)*(Irr!BR28)),IF(AND(Irr!V28=".",Irr!AT28&lt;&gt;".",Irr!BR28="."),dir!W28/((1/1000)*(Irr!AT28)),IF(AND(Irr!V28&lt;&gt;".",Irr!AT28=".",Irr!BR28="."),dir!W28/((1/1000)*(Irr!V28)),IF(AND(Irr!V28=".",Irr!AT28=".",Irr!BR28="."),dir!W28*1000)))))))),".")</f>
        <v>.</v>
      </c>
      <c r="X28" s="76" t="str">
        <f>IFERROR(IF(AND(Irr!W28&lt;&gt;".",Irr!AU28&lt;&gt;".",Irr!BS28&lt;&gt;"."),dir!X28/((1/1000)*(Irr!W28+Irr!AU28+Irr!BS28)),IF(AND(Irr!W28&lt;&gt;".",Irr!AU28&lt;&gt;".",Irr!BS28="."),dir!X28/((1/1000)*(Irr!W28+Irr!AU28)),IF(AND(Irr!W28&lt;&gt;".",Irr!AU28=".",Irr!BS28&lt;&gt;"."),dir!X28/((1/1000)*(Irr!W28+Irr!BS28)),IF(AND(Irr!W28=".",Irr!AU28&lt;&gt;".",Irr!BS28&lt;&gt;"."),dir!X28/((1/1000)*(Irr!AU28+Irr!BS28)),IF(AND(Irr!W28=".",Irr!AU28=".",Irr!BS28&lt;&gt;"."),dir!X28/((1/1000)*(Irr!BS28)),IF(AND(Irr!W28=".",Irr!AU28&lt;&gt;".",Irr!BS28="."),dir!X28/((1/1000)*(Irr!AU28)),IF(AND(Irr!W28&lt;&gt;".",Irr!AU28=".",Irr!BS28="."),dir!X28/((1/1000)*(Irr!W28)),IF(AND(Irr!W28=".",Irr!AU28=".",Irr!BS28="."),dir!X28*1000)))))))),".")</f>
        <v>.</v>
      </c>
      <c r="Y28" s="76" t="str">
        <f>IFERROR(IF(AND(Irr!X28&lt;&gt;".",Irr!AV28&lt;&gt;".",Irr!BT28&lt;&gt;"."),dir!Y28/((1/1000)*(Irr!X28+Irr!AV28+Irr!BT28)),IF(AND(Irr!X28&lt;&gt;".",Irr!AV28&lt;&gt;".",Irr!BT28="."),dir!Y28/((1/1000)*(Irr!X28+Irr!AV28)),IF(AND(Irr!X28&lt;&gt;".",Irr!AV28=".",Irr!BT28&lt;&gt;"."),dir!Y28/((1/1000)*(Irr!X28+Irr!BT28)),IF(AND(Irr!X28=".",Irr!AV28&lt;&gt;".",Irr!BT28&lt;&gt;"."),dir!Y28/((1/1000)*(Irr!AV28+Irr!BT28)),IF(AND(Irr!X28=".",Irr!AV28=".",Irr!BT28&lt;&gt;"."),dir!Y28/((1/1000)*(Irr!BT28)),IF(AND(Irr!X28=".",Irr!AV28&lt;&gt;".",Irr!BT28="."),dir!Y28/((1/1000)*(Irr!AV28)),IF(AND(Irr!X28&lt;&gt;".",Irr!AV28=".",Irr!BT28="."),dir!Y28/((1/1000)*(Irr!X28)),IF(AND(Irr!X28=".",Irr!AV28=".",Irr!BT28="."),dir!Y28*1000)))))))),".")</f>
        <v>.</v>
      </c>
      <c r="Z28" s="76" t="str">
        <f>IFERROR(IF(AND(Irr!Y28&lt;&gt;".",Irr!AW28&lt;&gt;".",Irr!BU28&lt;&gt;"."),dir!Z28/((1/1000)*(Irr!Y28+Irr!AW28+Irr!BU28)),IF(AND(Irr!Y28&lt;&gt;".",Irr!AW28&lt;&gt;".",Irr!BU28="."),dir!Z28/((1/1000)*(Irr!Y28+Irr!AW28)),IF(AND(Irr!Y28&lt;&gt;".",Irr!AW28=".",Irr!BU28&lt;&gt;"."),dir!Z28/((1/1000)*(Irr!Y28+Irr!BU28)),IF(AND(Irr!Y28=".",Irr!AW28&lt;&gt;".",Irr!BU28&lt;&gt;"."),dir!Z28/((1/1000)*(Irr!AW28+Irr!BU28)),IF(AND(Irr!Y28=".",Irr!AW28=".",Irr!BU28&lt;&gt;"."),dir!Z28/((1/1000)*(Irr!BU28)),IF(AND(Irr!Y28=".",Irr!AW28&lt;&gt;".",Irr!BU28="."),dir!Z28/((1/1000)*(Irr!AW28)),IF(AND(Irr!Y28&lt;&gt;".",Irr!AW28=".",Irr!BU28="."),dir!Z28/((1/1000)*(Irr!Y28)),IF(AND(Irr!Y28=".",Irr!AW28=".",Irr!BU28="."),dir!Z28*1000)))))))),".")</f>
        <v>.</v>
      </c>
      <c r="AA28" s="76" t="str">
        <f>IFERROR(IF(AND(Irr!Z28&lt;&gt;".",Irr!AX28&lt;&gt;".",Irr!BV28&lt;&gt;"."),dir!AA28/((1/1000)*(Irr!Z28+Irr!AX28+Irr!BV28)),IF(AND(Irr!Z28&lt;&gt;".",Irr!AX28&lt;&gt;".",Irr!BV28="."),dir!AA28/((1/1000)*(Irr!Z28+Irr!AX28)),IF(AND(Irr!Z28&lt;&gt;".",Irr!AX28=".",Irr!BV28&lt;&gt;"."),dir!AA28/((1/1000)*(Irr!Z28+Irr!BV28)),IF(AND(Irr!Z28=".",Irr!AX28&lt;&gt;".",Irr!BV28&lt;&gt;"."),dir!AA28/((1/1000)*(Irr!AX28+Irr!BV28)),IF(AND(Irr!Z28=".",Irr!AX28=".",Irr!BV28&lt;&gt;"."),dir!AA28/((1/1000)*(Irr!BV28)),IF(AND(Irr!Z28=".",Irr!AX28&lt;&gt;".",Irr!BV28="."),dir!AA28/((1/1000)*(Irr!AX28)),IF(AND(Irr!Z28&lt;&gt;".",Irr!AX28=".",Irr!BV28="."),dir!AA28/((1/1000)*(Irr!Z28)),IF(AND(Irr!Z28=".",Irr!AX28=".",Irr!BV28="."),dir!AA28*1000)))))))),".")</f>
        <v>.</v>
      </c>
      <c r="AB28" s="76" t="str">
        <f t="shared" si="23"/>
        <v>.</v>
      </c>
      <c r="AC28" s="76" t="str">
        <f>IFERROR(IF(AND(Irr!C28&lt;&gt;".",Irr!AA28&lt;&gt;".",Irr!AY28&lt;&gt;"."),dir!AC28/((1/1000)*(Irr!C28+Irr!AA28+Irr!AY28)),IF(AND(Irr!C28&lt;&gt;".",Irr!AA28&lt;&gt;".",Irr!AY28="."),dir!AC28/((1/1000)*(Irr!C28+Irr!AA28)),IF(AND(Irr!C28&lt;&gt;".",Irr!AA28=".",Irr!AY28&lt;&gt;"."),dir!AC28/((1/1000)*(Irr!C28+Irr!AY28)),IF(AND(Irr!C28=".",Irr!AA28&lt;&gt;".",Irr!AY28&lt;&gt;"."),dir!AC28/((1/1000)*(Irr!AA28+Irr!AY28)),IF(AND(Irr!C28=".",Irr!AA28=".",Irr!AY28&lt;&gt;"."),dir!AC28/((1/1000)*(Irr!AY28)),IF(AND(Irr!C28=".",Irr!AA28&lt;&gt;".",Irr!AY28="."),dir!AC28/((1/1000)*(Irr!AA28)),IF(AND(Irr!C28&lt;&gt;".",Irr!AA28=".",Irr!AY28="."),dir!AC28/((1/1000)*(Irr!C28)),IF(AND(Irr!C28=".",Irr!AA28=".",Irr!AY28="."),dir!AC28*1000)))))))),".")</f>
        <v>.</v>
      </c>
      <c r="AD28" s="76" t="str">
        <f>IFERROR(IF(AND(Irr!D28&lt;&gt;".",Irr!AB28&lt;&gt;".",Irr!AZ28&lt;&gt;"."),dir!AD28/((1/1000)*(Irr!D28+Irr!AB28+Irr!AZ28)),IF(AND(Irr!D28&lt;&gt;".",Irr!AB28&lt;&gt;".",Irr!AZ28="."),dir!AD28/((1/1000)*(Irr!D28+Irr!AB28)),IF(AND(Irr!D28&lt;&gt;".",Irr!AB28=".",Irr!AZ28&lt;&gt;"."),dir!AD28/((1/1000)*(Irr!D28+Irr!AZ28)),IF(AND(Irr!D28=".",Irr!AB28&lt;&gt;".",Irr!AZ28&lt;&gt;"."),dir!AD28/((1/1000)*(Irr!AB28+Irr!AZ28)),IF(AND(Irr!D28=".",Irr!AB28=".",Irr!AZ28&lt;&gt;"."),dir!AD28/((1/1000)*(Irr!AZ28)),IF(AND(Irr!D28=".",Irr!AB28&lt;&gt;".",Irr!AZ28="."),dir!AD28/((1/1000)*(Irr!AB28)),IF(AND(Irr!D28&lt;&gt;".",Irr!AB28=".",Irr!AZ28="."),dir!AD28/((1/1000)*(Irr!D28)),IF(AND(Irr!D28=".",Irr!AB28=".",Irr!AZ28="."),dir!AD28*1000)))))))),".")</f>
        <v>.</v>
      </c>
      <c r="AE28" s="76" t="str">
        <f>IFERROR(IF(AND(Irr!E28&lt;&gt;".",Irr!AC28&lt;&gt;".",Irr!BA28&lt;&gt;"."),dir!AE28/((1/1000)*(Irr!E28+Irr!AC28+Irr!BA28)),IF(AND(Irr!E28&lt;&gt;".",Irr!AC28&lt;&gt;".",Irr!BA28="."),dir!AE28/((1/1000)*(Irr!E28+Irr!AC28)),IF(AND(Irr!E28&lt;&gt;".",Irr!AC28=".",Irr!BA28&lt;&gt;"."),dir!AE28/((1/1000)*(Irr!E28+Irr!BA28)),IF(AND(Irr!E28=".",Irr!AC28&lt;&gt;".",Irr!BA28&lt;&gt;"."),dir!AE28/((1/1000)*(Irr!AC28+Irr!BA28)),IF(AND(Irr!E28=".",Irr!AC28=".",Irr!BA28&lt;&gt;"."),dir!AE28/((1/1000)*(Irr!BA28)),IF(AND(Irr!E28=".",Irr!AC28&lt;&gt;".",Irr!BA28="."),dir!AE28/((1/1000)*(Irr!AC28)),IF(AND(Irr!E28&lt;&gt;".",Irr!AC28=".",Irr!BA28="."),dir!AE28/((1/1000)*(Irr!E28)),IF(AND(Irr!E28=".",Irr!AC28=".",Irr!BA28="."),dir!AE28*1000)))))))),".")</f>
        <v>.</v>
      </c>
      <c r="AF28" s="76" t="str">
        <f>IFERROR(IF(AND(Irr!F28&lt;&gt;".",Irr!AD28&lt;&gt;".",Irr!BB28&lt;&gt;"."),dir!AF28/((1/1000)*(Irr!F28+Irr!AD28+Irr!BB28)),IF(AND(Irr!F28&lt;&gt;".",Irr!AD28&lt;&gt;".",Irr!BB28="."),dir!AF28/((1/1000)*(Irr!F28+Irr!AD28)),IF(AND(Irr!F28&lt;&gt;".",Irr!AD28=".",Irr!BB28&lt;&gt;"."),dir!AF28/((1/1000)*(Irr!F28+Irr!BB28)),IF(AND(Irr!F28=".",Irr!AD28&lt;&gt;".",Irr!BB28&lt;&gt;"."),dir!AF28/((1/1000)*(Irr!AD28+Irr!BB28)),IF(AND(Irr!F28=".",Irr!AD28=".",Irr!BB28&lt;&gt;"."),dir!AF28/((1/1000)*(Irr!BB28)),IF(AND(Irr!F28=".",Irr!AD28&lt;&gt;".",Irr!BB28="."),dir!AF28/((1/1000)*(Irr!AD28)),IF(AND(Irr!F28&lt;&gt;".",Irr!AD28=".",Irr!BB28="."),dir!AF28/((1/1000)*(Irr!F28)),IF(AND(Irr!F28=".",Irr!AD28=".",Irr!BB28="."),dir!AF28*1000)))))))),".")</f>
        <v>.</v>
      </c>
      <c r="AG28" s="76" t="str">
        <f>IFERROR(IF(AND(Irr!G28&lt;&gt;".",Irr!AE28&lt;&gt;".",Irr!BC28&lt;&gt;"."),dir!AG28/((1/1000)*(Irr!G28+Irr!AE28+Irr!BC28)),IF(AND(Irr!G28&lt;&gt;".",Irr!AE28&lt;&gt;".",Irr!BC28="."),dir!AG28/((1/1000)*(Irr!G28+Irr!AE28)),IF(AND(Irr!G28&lt;&gt;".",Irr!AE28=".",Irr!BC28&lt;&gt;"."),dir!AG28/((1/1000)*(Irr!G28+Irr!BC28)),IF(AND(Irr!G28=".",Irr!AE28&lt;&gt;".",Irr!BC28&lt;&gt;"."),dir!AG28/((1/1000)*(Irr!AE28+Irr!BC28)),IF(AND(Irr!G28=".",Irr!AE28=".",Irr!BC28&lt;&gt;"."),dir!AG28/((1/1000)*(Irr!BC28)),IF(AND(Irr!G28=".",Irr!AE28&lt;&gt;".",Irr!BC28="."),dir!AG28/((1/1000)*(Irr!AE28)),IF(AND(Irr!G28&lt;&gt;".",Irr!AE28=".",Irr!BC28="."),dir!AG28/((1/1000)*(Irr!G28)),IF(AND(Irr!G28=".",Irr!AE28=".",Irr!BC28="."),dir!AG28*1000)))))))),".")</f>
        <v>.</v>
      </c>
      <c r="AH28" s="76" t="str">
        <f>IFERROR(IF(AND(Irr!H28&lt;&gt;".",Irr!AF28&lt;&gt;".",Irr!BD28&lt;&gt;"."),dir!AH28/((1/1000)*(Irr!H28+Irr!AF28+Irr!BD28)),IF(AND(Irr!H28&lt;&gt;".",Irr!AF28&lt;&gt;".",Irr!BD28="."),dir!AH28/((1/1000)*(Irr!H28+Irr!AF28)),IF(AND(Irr!H28&lt;&gt;".",Irr!AF28=".",Irr!BD28&lt;&gt;"."),dir!AH28/((1/1000)*(Irr!H28+Irr!BD28)),IF(AND(Irr!H28=".",Irr!AF28&lt;&gt;".",Irr!BD28&lt;&gt;"."),dir!AH28/((1/1000)*(Irr!AF28+Irr!BD28)),IF(AND(Irr!H28=".",Irr!AF28=".",Irr!BD28&lt;&gt;"."),dir!AH28/((1/1000)*(Irr!BD28)),IF(AND(Irr!H28=".",Irr!AF28&lt;&gt;".",Irr!BD28="."),dir!AH28/((1/1000)*(Irr!AF28)),IF(AND(Irr!H28&lt;&gt;".",Irr!AF28=".",Irr!BD28="."),dir!AH28/((1/1000)*(Irr!H28)),IF(AND(Irr!H28=".",Irr!AF28=".",Irr!BD28="."),dir!AH28*1000)))))))),".")</f>
        <v>.</v>
      </c>
      <c r="AI28" s="76" t="str">
        <f>IFERROR(IF(AND(Irr!I28&lt;&gt;".",Irr!AG28&lt;&gt;".",Irr!BE28&lt;&gt;"."),dir!AI28/((1/1000)*(Irr!I28+Irr!AG28+Irr!BE28)),IF(AND(Irr!I28&lt;&gt;".",Irr!AG28&lt;&gt;".",Irr!BE28="."),dir!AI28/((1/1000)*(Irr!I28+Irr!AG28)),IF(AND(Irr!I28&lt;&gt;".",Irr!AG28=".",Irr!BE28&lt;&gt;"."),dir!AI28/((1/1000)*(Irr!I28+Irr!BE28)),IF(AND(Irr!I28=".",Irr!AG28&lt;&gt;".",Irr!BE28&lt;&gt;"."),dir!AI28/((1/1000)*(Irr!AG28+Irr!BE28)),IF(AND(Irr!I28=".",Irr!AG28=".",Irr!BE28&lt;&gt;"."),dir!AI28/((1/1000)*(Irr!BE28)),IF(AND(Irr!I28=".",Irr!AG28&lt;&gt;".",Irr!BE28="."),dir!AI28/((1/1000)*(Irr!AG28)),IF(AND(Irr!I28&lt;&gt;".",Irr!AG28=".",Irr!BE28="."),dir!AI28/((1/1000)*(Irr!I28)),IF(AND(Irr!I28=".",Irr!AG28=".",Irr!BE28="."),dir!AI28*1000)))))))),".")</f>
        <v>.</v>
      </c>
      <c r="AJ28" s="76" t="str">
        <f>IFERROR(IF(AND(Irr!J28&lt;&gt;".",Irr!AH28&lt;&gt;".",Irr!BF28&lt;&gt;"."),dir!AJ28/((1/1000)*(Irr!J28+Irr!AH28+Irr!BF28)),IF(AND(Irr!J28&lt;&gt;".",Irr!AH28&lt;&gt;".",Irr!BF28="."),dir!AJ28/((1/1000)*(Irr!J28+Irr!AH28)),IF(AND(Irr!J28&lt;&gt;".",Irr!AH28=".",Irr!BF28&lt;&gt;"."),dir!AJ28/((1/1000)*(Irr!J28+Irr!BF28)),IF(AND(Irr!J28=".",Irr!AH28&lt;&gt;".",Irr!BF28&lt;&gt;"."),dir!AJ28/((1/1000)*(Irr!AH28+Irr!BF28)),IF(AND(Irr!J28=".",Irr!AH28=".",Irr!BF28&lt;&gt;"."),dir!AJ28/((1/1000)*(Irr!BF28)),IF(AND(Irr!J28=".",Irr!AH28&lt;&gt;".",Irr!BF28="."),dir!AJ28/((1/1000)*(Irr!AH28)),IF(AND(Irr!J28&lt;&gt;".",Irr!AH28=".",Irr!BF28="."),dir!AJ28/((1/1000)*(Irr!J28)),IF(AND(Irr!J28=".",Irr!AH28=".",Irr!BF28="."),dir!AJ28*1000)))))))),".")</f>
        <v>.</v>
      </c>
      <c r="AK28" s="76" t="str">
        <f>IFERROR(IF(AND(Irr!K28&lt;&gt;".",Irr!AI28&lt;&gt;".",Irr!BG28&lt;&gt;"."),dir!AK28/((1/1000)*(Irr!K28+Irr!AI28+Irr!BG28)),IF(AND(Irr!K28&lt;&gt;".",Irr!AI28&lt;&gt;".",Irr!BG28="."),dir!AK28/((1/1000)*(Irr!K28+Irr!AI28)),IF(AND(Irr!K28&lt;&gt;".",Irr!AI28=".",Irr!BG28&lt;&gt;"."),dir!AK28/((1/1000)*(Irr!K28+Irr!BG28)),IF(AND(Irr!K28=".",Irr!AI28&lt;&gt;".",Irr!BG28&lt;&gt;"."),dir!AK28/((1/1000)*(Irr!AI28+Irr!BG28)),IF(AND(Irr!K28=".",Irr!AI28=".",Irr!BG28&lt;&gt;"."),dir!AK28/((1/1000)*(Irr!BG28)),IF(AND(Irr!K28=".",Irr!AI28&lt;&gt;".",Irr!BG28="."),dir!AK28/((1/1000)*(Irr!AI28)),IF(AND(Irr!K28&lt;&gt;".",Irr!AI28=".",Irr!BG28="."),dir!AK28/((1/1000)*(Irr!K28)),IF(AND(Irr!K28=".",Irr!AI28=".",Irr!BG28="."),dir!AK28*1000)))))))),".")</f>
        <v>.</v>
      </c>
      <c r="AL28" s="76" t="str">
        <f>IFERROR(IF(AND(Irr!L28&lt;&gt;".",Irr!AJ28&lt;&gt;".",Irr!BH28&lt;&gt;"."),dir!AL28/((1/1000)*(Irr!L28+Irr!AJ28+Irr!BH28)),IF(AND(Irr!L28&lt;&gt;".",Irr!AJ28&lt;&gt;".",Irr!BH28="."),dir!AL28/((1/1000)*(Irr!L28+Irr!AJ28)),IF(AND(Irr!L28&lt;&gt;".",Irr!AJ28=".",Irr!BH28&lt;&gt;"."),dir!AL28/((1/1000)*(Irr!L28+Irr!BH28)),IF(AND(Irr!L28=".",Irr!AJ28&lt;&gt;".",Irr!BH28&lt;&gt;"."),dir!AL28/((1/1000)*(Irr!AJ28+Irr!BH28)),IF(AND(Irr!L28=".",Irr!AJ28=".",Irr!BH28&lt;&gt;"."),dir!AL28/((1/1000)*(Irr!BH28)),IF(AND(Irr!L28=".",Irr!AJ28&lt;&gt;".",Irr!BH28="."),dir!AL28/((1/1000)*(Irr!AJ28)),IF(AND(Irr!L28&lt;&gt;".",Irr!AJ28=".",Irr!BH28="."),dir!AL28/((1/1000)*(Irr!L28)),IF(AND(Irr!L28=".",Irr!AJ28=".",Irr!BH28="."),dir!AL28*1000)))))))),".")</f>
        <v>.</v>
      </c>
      <c r="AM28" s="76" t="str">
        <f>IFERROR(IF(AND(Irr!M28&lt;&gt;".",Irr!AK28&lt;&gt;".",Irr!BI28&lt;&gt;"."),dir!AM28/((1/1000)*(Irr!M28+Irr!AK28+Irr!BI28)),IF(AND(Irr!M28&lt;&gt;".",Irr!AK28&lt;&gt;".",Irr!BI28="."),dir!AM28/((1/1000)*(Irr!M28+Irr!AK28)),IF(AND(Irr!M28&lt;&gt;".",Irr!AK28=".",Irr!BI28&lt;&gt;"."),dir!AM28/((1/1000)*(Irr!M28+Irr!BI28)),IF(AND(Irr!M28=".",Irr!AK28&lt;&gt;".",Irr!BI28&lt;&gt;"."),dir!AM28/((1/1000)*(Irr!AK28+Irr!BI28)),IF(AND(Irr!M28=".",Irr!AK28=".",Irr!BI28&lt;&gt;"."),dir!AM28/((1/1000)*(Irr!BI28)),IF(AND(Irr!M28=".",Irr!AK28&lt;&gt;".",Irr!BI28="."),dir!AM28/((1/1000)*(Irr!AK28)),IF(AND(Irr!M28&lt;&gt;".",Irr!AK28=".",Irr!BI28="."),dir!AM28/((1/1000)*(Irr!M28)),IF(AND(Irr!M28=".",Irr!AK28=".",Irr!BI28="."),dir!AM28*1000)))))))),".")</f>
        <v>.</v>
      </c>
      <c r="AN28" s="76" t="str">
        <f>IFERROR(IF(AND(Irr!N28&lt;&gt;".",Irr!AL28&lt;&gt;".",Irr!BJ28&lt;&gt;"."),dir!AN28/((1/1000)*(Irr!N28+Irr!AL28+Irr!BJ28)),IF(AND(Irr!N28&lt;&gt;".",Irr!AL28&lt;&gt;".",Irr!BJ28="."),dir!AN28/((1/1000)*(Irr!N28+Irr!AL28)),IF(AND(Irr!N28&lt;&gt;".",Irr!AL28=".",Irr!BJ28&lt;&gt;"."),dir!AN28/((1/1000)*(Irr!N28+Irr!BJ28)),IF(AND(Irr!N28=".",Irr!AL28&lt;&gt;".",Irr!BJ28&lt;&gt;"."),dir!AN28/((1/1000)*(Irr!AL28+Irr!BJ28)),IF(AND(Irr!N28=".",Irr!AL28=".",Irr!BJ28&lt;&gt;"."),dir!AN28/((1/1000)*(Irr!BJ28)),IF(AND(Irr!N28=".",Irr!AL28&lt;&gt;".",Irr!BJ28="."),dir!AN28/((1/1000)*(Irr!AL28)),IF(AND(Irr!N28&lt;&gt;".",Irr!AL28=".",Irr!BJ28="."),dir!AN28/((1/1000)*(Irr!N28)),IF(AND(Irr!N28=".",Irr!AL28=".",Irr!BJ28="."),dir!AN28*1000)))))))),".")</f>
        <v>.</v>
      </c>
      <c r="AO28" s="76" t="str">
        <f>IFERROR(IF(AND(Irr!O28&lt;&gt;".",Irr!AM28&lt;&gt;".",Irr!BK28&lt;&gt;"."),dir!AO28/((1/1000)*(Irr!O28+Irr!AM28+Irr!BK28)),IF(AND(Irr!O28&lt;&gt;".",Irr!AM28&lt;&gt;".",Irr!BK28="."),dir!AO28/((1/1000)*(Irr!O28+Irr!AM28)),IF(AND(Irr!O28&lt;&gt;".",Irr!AM28=".",Irr!BK28&lt;&gt;"."),dir!AO28/((1/1000)*(Irr!O28+Irr!BK28)),IF(AND(Irr!O28=".",Irr!AM28&lt;&gt;".",Irr!BK28&lt;&gt;"."),dir!AO28/((1/1000)*(Irr!AM28+Irr!BK28)),IF(AND(Irr!O28=".",Irr!AM28=".",Irr!BK28&lt;&gt;"."),dir!AO28/((1/1000)*(Irr!BK28)),IF(AND(Irr!O28=".",Irr!AM28&lt;&gt;".",Irr!BK28="."),dir!AO28/((1/1000)*(Irr!AM28)),IF(AND(Irr!O28&lt;&gt;".",Irr!AM28=".",Irr!BK28="."),dir!AO28/((1/1000)*(Irr!O28)),IF(AND(Irr!O28=".",Irr!AM28=".",Irr!BK28="."),dir!AO28*1000)))))))),".")</f>
        <v>.</v>
      </c>
      <c r="AP28" s="76" t="str">
        <f>IFERROR(IF(AND(Irr!P28&lt;&gt;".",Irr!AN28&lt;&gt;".",Irr!BL28&lt;&gt;"."),dir!AP28/((1/1000)*(Irr!P28+Irr!AN28+Irr!BL28)),IF(AND(Irr!P28&lt;&gt;".",Irr!AN28&lt;&gt;".",Irr!BL28="."),dir!AP28/((1/1000)*(Irr!P28+Irr!AN28)),IF(AND(Irr!P28&lt;&gt;".",Irr!AN28=".",Irr!BL28&lt;&gt;"."),dir!AP28/((1/1000)*(Irr!P28+Irr!BL28)),IF(AND(Irr!P28=".",Irr!AN28&lt;&gt;".",Irr!BL28&lt;&gt;"."),dir!AP28/((1/1000)*(Irr!AN28+Irr!BL28)),IF(AND(Irr!P28=".",Irr!AN28=".",Irr!BL28&lt;&gt;"."),dir!AP28/((1/1000)*(Irr!BL28)),IF(AND(Irr!P28=".",Irr!AN28&lt;&gt;".",Irr!BL28="."),dir!AP28/((1/1000)*(Irr!AN28)),IF(AND(Irr!P28&lt;&gt;".",Irr!AN28=".",Irr!BL28="."),dir!AP28/((1/1000)*(Irr!P28)),IF(AND(Irr!P28=".",Irr!AN28=".",Irr!BL28="."),dir!AP28*1000)))))))),".")</f>
        <v>.</v>
      </c>
      <c r="AQ28" s="76" t="str">
        <f>IFERROR(IF(AND(Irr!Q28&lt;&gt;".",Irr!AO28&lt;&gt;".",Irr!BM28&lt;&gt;"."),dir!AQ28/((1/1000)*(Irr!Q28+Irr!AO28+Irr!BM28)),IF(AND(Irr!Q28&lt;&gt;".",Irr!AO28&lt;&gt;".",Irr!BM28="."),dir!AQ28/((1/1000)*(Irr!Q28+Irr!AO28)),IF(AND(Irr!Q28&lt;&gt;".",Irr!AO28=".",Irr!BM28&lt;&gt;"."),dir!AQ28/((1/1000)*(Irr!Q28+Irr!BM28)),IF(AND(Irr!Q28=".",Irr!AO28&lt;&gt;".",Irr!BM28&lt;&gt;"."),dir!AQ28/((1/1000)*(Irr!AO28+Irr!BM28)),IF(AND(Irr!Q28=".",Irr!AO28=".",Irr!BM28&lt;&gt;"."),dir!AQ28/((1/1000)*(Irr!BM28)),IF(AND(Irr!Q28=".",Irr!AO28&lt;&gt;".",Irr!BM28="."),dir!AQ28/((1/1000)*(Irr!AO28)),IF(AND(Irr!Q28&lt;&gt;".",Irr!AO28=".",Irr!BM28="."),dir!AQ28/((1/1000)*(Irr!Q28)),IF(AND(Irr!Q28=".",Irr!AO28=".",Irr!BM28="."),dir!AQ28*1000)))))))),".")</f>
        <v>.</v>
      </c>
      <c r="AR28" s="76" t="str">
        <f>IFERROR(IF(AND(Irr!R28&lt;&gt;".",Irr!AP28&lt;&gt;".",Irr!BN28&lt;&gt;"."),dir!AR28/((1/1000)*(Irr!R28+Irr!AP28+Irr!BN28)),IF(AND(Irr!R28&lt;&gt;".",Irr!AP28&lt;&gt;".",Irr!BN28="."),dir!AR28/((1/1000)*(Irr!R28+Irr!AP28)),IF(AND(Irr!R28&lt;&gt;".",Irr!AP28=".",Irr!BN28&lt;&gt;"."),dir!AR28/((1/1000)*(Irr!R28+Irr!BN28)),IF(AND(Irr!R28=".",Irr!AP28&lt;&gt;".",Irr!BN28&lt;&gt;"."),dir!AR28/((1/1000)*(Irr!AP28+Irr!BN28)),IF(AND(Irr!R28=".",Irr!AP28=".",Irr!BN28&lt;&gt;"."),dir!AR28/((1/1000)*(Irr!BN28)),IF(AND(Irr!R28=".",Irr!AP28&lt;&gt;".",Irr!BN28="."),dir!AR28/((1/1000)*(Irr!AP28)),IF(AND(Irr!R28&lt;&gt;".",Irr!AP28=".",Irr!BN28="."),dir!AR28/((1/1000)*(Irr!R28)),IF(AND(Irr!R28=".",Irr!AP28=".",Irr!BN28="."),dir!AR28*1000)))))))),".")</f>
        <v>.</v>
      </c>
      <c r="AS28" s="76" t="str">
        <f>IFERROR(IF(AND(Irr!S28&lt;&gt;".",Irr!AQ28&lt;&gt;".",Irr!BO28&lt;&gt;"."),dir!AS28/((1/1000)*(Irr!S28+Irr!AQ28+Irr!BO28)),IF(AND(Irr!S28&lt;&gt;".",Irr!AQ28&lt;&gt;".",Irr!BO28="."),dir!AS28/((1/1000)*(Irr!S28+Irr!AQ28)),IF(AND(Irr!S28&lt;&gt;".",Irr!AQ28=".",Irr!BO28&lt;&gt;"."),dir!AS28/((1/1000)*(Irr!S28+Irr!BO28)),IF(AND(Irr!S28=".",Irr!AQ28&lt;&gt;".",Irr!BO28&lt;&gt;"."),dir!AS28/((1/1000)*(Irr!AQ28+Irr!BO28)),IF(AND(Irr!S28=".",Irr!AQ28=".",Irr!BO28&lt;&gt;"."),dir!AS28/((1/1000)*(Irr!BO28)),IF(AND(Irr!S28=".",Irr!AQ28&lt;&gt;".",Irr!BO28="."),dir!AS28/((1/1000)*(Irr!AQ28)),IF(AND(Irr!S28&lt;&gt;".",Irr!AQ28=".",Irr!BO28="."),dir!AS28/((1/1000)*(Irr!S28)),IF(AND(Irr!S28=".",Irr!AQ28=".",Irr!BO28="."),dir!AS28*1000)))))))),".")</f>
        <v>.</v>
      </c>
      <c r="AT28" s="76" t="str">
        <f>IFERROR(IF(AND(Irr!T28&lt;&gt;".",Irr!AR28&lt;&gt;".",Irr!BP28&lt;&gt;"."),dir!AT28/((1/1000)*(Irr!T28+Irr!AR28+Irr!BP28)),IF(AND(Irr!T28&lt;&gt;".",Irr!AR28&lt;&gt;".",Irr!BP28="."),dir!AT28/((1/1000)*(Irr!T28+Irr!AR28)),IF(AND(Irr!T28&lt;&gt;".",Irr!AR28=".",Irr!BP28&lt;&gt;"."),dir!AT28/((1/1000)*(Irr!T28+Irr!BP28)),IF(AND(Irr!T28=".",Irr!AR28&lt;&gt;".",Irr!BP28&lt;&gt;"."),dir!AT28/((1/1000)*(Irr!AR28+Irr!BP28)),IF(AND(Irr!T28=".",Irr!AR28=".",Irr!BP28&lt;&gt;"."),dir!AT28/((1/1000)*(Irr!BP28)),IF(AND(Irr!T28=".",Irr!AR28&lt;&gt;".",Irr!BP28="."),dir!AT28/((1/1000)*(Irr!AR28)),IF(AND(Irr!T28&lt;&gt;".",Irr!AR28=".",Irr!BP28="."),dir!AT28/((1/1000)*(Irr!T28)),IF(AND(Irr!T28=".",Irr!AR28=".",Irr!BP28="."),dir!AT28*1000)))))))),".")</f>
        <v>.</v>
      </c>
      <c r="AU28" s="76" t="str">
        <f>IFERROR(IF(AND(Irr!U28&lt;&gt;".",Irr!AS28&lt;&gt;".",Irr!BQ28&lt;&gt;"."),dir!AU28/((1/1000)*(Irr!U28+Irr!AS28+Irr!BQ28)),IF(AND(Irr!U28&lt;&gt;".",Irr!AS28&lt;&gt;".",Irr!BQ28="."),dir!AU28/((1/1000)*(Irr!U28+Irr!AS28)),IF(AND(Irr!U28&lt;&gt;".",Irr!AS28=".",Irr!BQ28&lt;&gt;"."),dir!AU28/((1/1000)*(Irr!U28+Irr!BQ28)),IF(AND(Irr!U28=".",Irr!AS28&lt;&gt;".",Irr!BQ28&lt;&gt;"."),dir!AU28/((1/1000)*(Irr!AS28+Irr!BQ28)),IF(AND(Irr!U28=".",Irr!AS28=".",Irr!BQ28&lt;&gt;"."),dir!AU28/((1/1000)*(Irr!BQ28)),IF(AND(Irr!U28=".",Irr!AS28&lt;&gt;".",Irr!BQ28="."),dir!AU28/((1/1000)*(Irr!AS28)),IF(AND(Irr!U28&lt;&gt;".",Irr!AS28=".",Irr!BQ28="."),dir!AU28/((1/1000)*(Irr!U28)),IF(AND(Irr!U28=".",Irr!AS28=".",Irr!BQ28="."),dir!AU28*1000)))))))),".")</f>
        <v>.</v>
      </c>
      <c r="AV28" s="76" t="str">
        <f>IFERROR(IF(AND(Irr!V28&lt;&gt;".",Irr!AT28&lt;&gt;".",Irr!BR28&lt;&gt;"."),dir!AV28/((1/1000)*(Irr!V28+Irr!AT28+Irr!BR28)),IF(AND(Irr!V28&lt;&gt;".",Irr!AT28&lt;&gt;".",Irr!BR28="."),dir!AV28/((1/1000)*(Irr!V28+Irr!AT28)),IF(AND(Irr!V28&lt;&gt;".",Irr!AT28=".",Irr!BR28&lt;&gt;"."),dir!AV28/((1/1000)*(Irr!V28+Irr!BR28)),IF(AND(Irr!V28=".",Irr!AT28&lt;&gt;".",Irr!BR28&lt;&gt;"."),dir!AV28/((1/1000)*(Irr!AT28+Irr!BR28)),IF(AND(Irr!V28=".",Irr!AT28=".",Irr!BR28&lt;&gt;"."),dir!AV28/((1/1000)*(Irr!BR28)),IF(AND(Irr!V28=".",Irr!AT28&lt;&gt;".",Irr!BR28="."),dir!AV28/((1/1000)*(Irr!AT28)),IF(AND(Irr!V28&lt;&gt;".",Irr!AT28=".",Irr!BR28="."),dir!AV28/((1/1000)*(Irr!V28)),IF(AND(Irr!V28=".",Irr!AT28=".",Irr!BR28="."),dir!AV28*1000)))))))),".")</f>
        <v>.</v>
      </c>
      <c r="AW28" s="76" t="str">
        <f>IFERROR(IF(AND(Irr!W28&lt;&gt;".",Irr!AU28&lt;&gt;".",Irr!BS28&lt;&gt;"."),dir!AW28/((1/1000)*(Irr!W28+Irr!AU28+Irr!BS28)),IF(AND(Irr!W28&lt;&gt;".",Irr!AU28&lt;&gt;".",Irr!BS28="."),dir!AW28/((1/1000)*(Irr!W28+Irr!AU28)),IF(AND(Irr!W28&lt;&gt;".",Irr!AU28=".",Irr!BS28&lt;&gt;"."),dir!AW28/((1/1000)*(Irr!W28+Irr!BS28)),IF(AND(Irr!W28=".",Irr!AU28&lt;&gt;".",Irr!BS28&lt;&gt;"."),dir!AW28/((1/1000)*(Irr!AU28+Irr!BS28)),IF(AND(Irr!W28=".",Irr!AU28=".",Irr!BS28&lt;&gt;"."),dir!AW28/((1/1000)*(Irr!BS28)),IF(AND(Irr!W28=".",Irr!AU28&lt;&gt;".",Irr!BS28="."),dir!AW28/((1/1000)*(Irr!AU28)),IF(AND(Irr!W28&lt;&gt;".",Irr!AU28=".",Irr!BS28="."),dir!AW28/((1/1000)*(Irr!W28)),IF(AND(Irr!W28=".",Irr!AU28=".",Irr!BS28="."),dir!AW28*1000)))))))),".")</f>
        <v>.</v>
      </c>
      <c r="AX28" s="76" t="str">
        <f>IFERROR(IF(AND(Irr!X28&lt;&gt;".",Irr!AV28&lt;&gt;".",Irr!BT28&lt;&gt;"."),dir!AX28/((1/1000)*(Irr!X28+Irr!AV28+Irr!BT28)),IF(AND(Irr!X28&lt;&gt;".",Irr!AV28&lt;&gt;".",Irr!BT28="."),dir!AX28/((1/1000)*(Irr!X28+Irr!AV28)),IF(AND(Irr!X28&lt;&gt;".",Irr!AV28=".",Irr!BT28&lt;&gt;"."),dir!AX28/((1/1000)*(Irr!X28+Irr!BT28)),IF(AND(Irr!X28=".",Irr!AV28&lt;&gt;".",Irr!BT28&lt;&gt;"."),dir!AX28/((1/1000)*(Irr!AV28+Irr!BT28)),IF(AND(Irr!X28=".",Irr!AV28=".",Irr!BT28&lt;&gt;"."),dir!AX28/((1/1000)*(Irr!BT28)),IF(AND(Irr!X28=".",Irr!AV28&lt;&gt;".",Irr!BT28="."),dir!AX28/((1/1000)*(Irr!AV28)),IF(AND(Irr!X28&lt;&gt;".",Irr!AV28=".",Irr!BT28="."),dir!AX28/((1/1000)*(Irr!X28)),IF(AND(Irr!X28=".",Irr!AV28=".",Irr!BT28="."),dir!AX28*1000)))))))),".")</f>
        <v>.</v>
      </c>
      <c r="AY28" s="76" t="str">
        <f>IFERROR(IF(AND(Irr!Y28&lt;&gt;".",Irr!AW28&lt;&gt;".",Irr!BU28&lt;&gt;"."),dir!AY28/((1/1000)*(Irr!Y28+Irr!AW28+Irr!BU28)),IF(AND(Irr!Y28&lt;&gt;".",Irr!AW28&lt;&gt;".",Irr!BU28="."),dir!AY28/((1/1000)*(Irr!Y28+Irr!AW28)),IF(AND(Irr!Y28&lt;&gt;".",Irr!AW28=".",Irr!BU28&lt;&gt;"."),dir!AY28/((1/1000)*(Irr!Y28+Irr!BU28)),IF(AND(Irr!Y28=".",Irr!AW28&lt;&gt;".",Irr!BU28&lt;&gt;"."),dir!AY28/((1/1000)*(Irr!AW28+Irr!BU28)),IF(AND(Irr!Y28=".",Irr!AW28=".",Irr!BU28&lt;&gt;"."),dir!AY28/((1/1000)*(Irr!BU28)),IF(AND(Irr!Y28=".",Irr!AW28&lt;&gt;".",Irr!BU28="."),dir!AY28/((1/1000)*(Irr!AW28)),IF(AND(Irr!Y28&lt;&gt;".",Irr!AW28=".",Irr!BU28="."),dir!AY28/((1/1000)*(Irr!Y28)),IF(AND(Irr!Y28=".",Irr!AW28=".",Irr!BU28="."),dir!AY28*1000)))))))),".")</f>
        <v>.</v>
      </c>
      <c r="AZ28" s="76" t="str">
        <f>IFERROR(IF(AND(Irr!Z28&lt;&gt;".",Irr!AX28&lt;&gt;".",Irr!BV28&lt;&gt;"."),dir!AZ28/((1/1000)*(Irr!Z28+Irr!AX28+Irr!BV28)),IF(AND(Irr!Z28&lt;&gt;".",Irr!AX28&lt;&gt;".",Irr!BV28="."),dir!AZ28/((1/1000)*(Irr!Z28+Irr!AX28)),IF(AND(Irr!Z28&lt;&gt;".",Irr!AX28=".",Irr!BV28&lt;&gt;"."),dir!AZ28/((1/1000)*(Irr!Z28+Irr!BV28)),IF(AND(Irr!Z28=".",Irr!AX28&lt;&gt;".",Irr!BV28&lt;&gt;"."),dir!AZ28/((1/1000)*(Irr!AX28+Irr!BV28)),IF(AND(Irr!Z28=".",Irr!AX28=".",Irr!BV28&lt;&gt;"."),dir!AZ28/((1/1000)*(Irr!BV28)),IF(AND(Irr!Z28=".",Irr!AX28&lt;&gt;".",Irr!BV28="."),dir!AZ28/((1/1000)*(Irr!AX28)),IF(AND(Irr!Z28&lt;&gt;".",Irr!AX28=".",Irr!BV28="."),dir!AZ28/((1/1000)*(Irr!Z28)),IF(AND(Irr!Z28=".",Irr!AX28=".",Irr!BV28="."),dir!AZ28*1000)))))))),".")</f>
        <v>.</v>
      </c>
    </row>
    <row r="29" spans="1:52" ht="15" customHeight="1" x14ac:dyDescent="0.25">
      <c r="A29" s="92" t="s">
        <v>39</v>
      </c>
      <c r="B29" s="90" t="s">
        <v>1074</v>
      </c>
      <c r="C29" s="76" t="str">
        <f t="shared" si="22"/>
        <v>.</v>
      </c>
      <c r="D29" s="76" t="str">
        <f>IFERROR(IF(AND(Irr!C29&lt;&gt;".",Irr!AA29&lt;&gt;".",Irr!AY29&lt;&gt;"."),dir!D29/((1/1000)*(Irr!C29+Irr!AA29+Irr!AY29)),IF(AND(Irr!C29&lt;&gt;".",Irr!AA29&lt;&gt;".",Irr!AY29="."),dir!D29/((1/1000)*(Irr!C29+Irr!AA29)),IF(AND(Irr!C29&lt;&gt;".",Irr!AA29=".",Irr!AY29&lt;&gt;"."),dir!D29/((1/1000)*(Irr!C29+Irr!AY29)),IF(AND(Irr!C29=".",Irr!AA29&lt;&gt;".",Irr!AY29&lt;&gt;"."),dir!D29/((1/1000)*(Irr!AA29+Irr!AY29)),IF(AND(Irr!C29=".",Irr!AA29=".",Irr!AY29&lt;&gt;"."),dir!D29/((1/1000)*(Irr!AY29)),IF(AND(Irr!C29=".",Irr!AA29&lt;&gt;".",Irr!AY29="."),dir!D29/((1/1000)*(Irr!AA29)),IF(AND(Irr!C29&lt;&gt;".",Irr!AA29=".",Irr!AY29="."),dir!D29/((1/1000)*(Irr!C29)),IF(AND(Irr!C29=".",Irr!AA29=".",Irr!AY29="."),dir!D29*1000)))))))),".")</f>
        <v>.</v>
      </c>
      <c r="E29" s="76" t="str">
        <f>IFERROR(IF(AND(Irr!D29&lt;&gt;".",Irr!AB29&lt;&gt;".",Irr!AZ29&lt;&gt;"."),dir!E29/((1/1000)*(Irr!D29+Irr!AB29+Irr!AZ29)),IF(AND(Irr!D29&lt;&gt;".",Irr!AB29&lt;&gt;".",Irr!AZ29="."),dir!E29/((1/1000)*(Irr!D29+Irr!AB29)),IF(AND(Irr!D29&lt;&gt;".",Irr!AB29=".",Irr!AZ29&lt;&gt;"."),dir!E29/((1/1000)*(Irr!D29+Irr!AZ29)),IF(AND(Irr!D29=".",Irr!AB29&lt;&gt;".",Irr!AZ29&lt;&gt;"."),dir!E29/((1/1000)*(Irr!AB29+Irr!AZ29)),IF(AND(Irr!D29=".",Irr!AB29=".",Irr!AZ29&lt;&gt;"."),dir!E29/((1/1000)*(Irr!AZ29)),IF(AND(Irr!D29=".",Irr!AB29&lt;&gt;".",Irr!AZ29="."),dir!E29/((1/1000)*(Irr!AB29)),IF(AND(Irr!D29&lt;&gt;".",Irr!AB29=".",Irr!AZ29="."),dir!E29/((1/1000)*(Irr!D29)),IF(AND(Irr!D29=".",Irr!AB29=".",Irr!AZ29="."),dir!E29*1000)))))))),".")</f>
        <v>.</v>
      </c>
      <c r="F29" s="76" t="str">
        <f>IFERROR(IF(AND(Irr!E29&lt;&gt;".",Irr!AC29&lt;&gt;".",Irr!BA29&lt;&gt;"."),dir!F29/((1/1000)*(Irr!E29+Irr!AC29+Irr!BA29)),IF(AND(Irr!E29&lt;&gt;".",Irr!AC29&lt;&gt;".",Irr!BA29="."),dir!F29/((1/1000)*(Irr!E29+Irr!AC29)),IF(AND(Irr!E29&lt;&gt;".",Irr!AC29=".",Irr!BA29&lt;&gt;"."),dir!F29/((1/1000)*(Irr!E29+Irr!BA29)),IF(AND(Irr!E29=".",Irr!AC29&lt;&gt;".",Irr!BA29&lt;&gt;"."),dir!F29/((1/1000)*(Irr!AC29+Irr!BA29)),IF(AND(Irr!E29=".",Irr!AC29=".",Irr!BA29&lt;&gt;"."),dir!F29/((1/1000)*(Irr!BA29)),IF(AND(Irr!E29=".",Irr!AC29&lt;&gt;".",Irr!BA29="."),dir!F29/((1/1000)*(Irr!AC29)),IF(AND(Irr!E29&lt;&gt;".",Irr!AC29=".",Irr!BA29="."),dir!F29/((1/1000)*(Irr!E29)),IF(AND(Irr!E29=".",Irr!AC29=".",Irr!BA29="."),dir!F29*1000)))))))),".")</f>
        <v>.</v>
      </c>
      <c r="G29" s="76" t="str">
        <f>IFERROR(IF(AND(Irr!F29&lt;&gt;".",Irr!AD29&lt;&gt;".",Irr!BB29&lt;&gt;"."),dir!G29/((1/1000)*(Irr!F29+Irr!AD29+Irr!BB29)),IF(AND(Irr!F29&lt;&gt;".",Irr!AD29&lt;&gt;".",Irr!BB29="."),dir!G29/((1/1000)*(Irr!F29+Irr!AD29)),IF(AND(Irr!F29&lt;&gt;".",Irr!AD29=".",Irr!BB29&lt;&gt;"."),dir!G29/((1/1000)*(Irr!F29+Irr!BB29)),IF(AND(Irr!F29=".",Irr!AD29&lt;&gt;".",Irr!BB29&lt;&gt;"."),dir!G29/((1/1000)*(Irr!AD29+Irr!BB29)),IF(AND(Irr!F29=".",Irr!AD29=".",Irr!BB29&lt;&gt;"."),dir!G29/((1/1000)*(Irr!BB29)),IF(AND(Irr!F29=".",Irr!AD29&lt;&gt;".",Irr!BB29="."),dir!G29/((1/1000)*(Irr!AD29)),IF(AND(Irr!F29&lt;&gt;".",Irr!AD29=".",Irr!BB29="."),dir!G29/((1/1000)*(Irr!F29)),IF(AND(Irr!F29=".",Irr!AD29=".",Irr!BB29="."),dir!G29*1000)))))))),".")</f>
        <v>.</v>
      </c>
      <c r="H29" s="76" t="str">
        <f>IFERROR(IF(AND(Irr!G29&lt;&gt;".",Irr!AE29&lt;&gt;".",Irr!BC29&lt;&gt;"."),dir!H29/((1/1000)*(Irr!G29+Irr!AE29+Irr!BC29)),IF(AND(Irr!G29&lt;&gt;".",Irr!AE29&lt;&gt;".",Irr!BC29="."),dir!H29/((1/1000)*(Irr!G29+Irr!AE29)),IF(AND(Irr!G29&lt;&gt;".",Irr!AE29=".",Irr!BC29&lt;&gt;"."),dir!H29/((1/1000)*(Irr!G29+Irr!BC29)),IF(AND(Irr!G29=".",Irr!AE29&lt;&gt;".",Irr!BC29&lt;&gt;"."),dir!H29/((1/1000)*(Irr!AE29+Irr!BC29)),IF(AND(Irr!G29=".",Irr!AE29=".",Irr!BC29&lt;&gt;"."),dir!H29/((1/1000)*(Irr!BC29)),IF(AND(Irr!G29=".",Irr!AE29&lt;&gt;".",Irr!BC29="."),dir!H29/((1/1000)*(Irr!AE29)),IF(AND(Irr!G29&lt;&gt;".",Irr!AE29=".",Irr!BC29="."),dir!H29/((1/1000)*(Irr!G29)),IF(AND(Irr!G29=".",Irr!AE29=".",Irr!BC29="."),dir!H29*1000)))))))),".")</f>
        <v>.</v>
      </c>
      <c r="I29" s="76" t="str">
        <f>IFERROR(IF(AND(Irr!H29&lt;&gt;".",Irr!AF29&lt;&gt;".",Irr!BD29&lt;&gt;"."),dir!I29/((1/1000)*(Irr!H29+Irr!AF29+Irr!BD29)),IF(AND(Irr!H29&lt;&gt;".",Irr!AF29&lt;&gt;".",Irr!BD29="."),dir!I29/((1/1000)*(Irr!H29+Irr!AF29)),IF(AND(Irr!H29&lt;&gt;".",Irr!AF29=".",Irr!BD29&lt;&gt;"."),dir!I29/((1/1000)*(Irr!H29+Irr!BD29)),IF(AND(Irr!H29=".",Irr!AF29&lt;&gt;".",Irr!BD29&lt;&gt;"."),dir!I29/((1/1000)*(Irr!AF29+Irr!BD29)),IF(AND(Irr!H29=".",Irr!AF29=".",Irr!BD29&lt;&gt;"."),dir!I29/((1/1000)*(Irr!BD29)),IF(AND(Irr!H29=".",Irr!AF29&lt;&gt;".",Irr!BD29="."),dir!I29/((1/1000)*(Irr!AF29)),IF(AND(Irr!H29&lt;&gt;".",Irr!AF29=".",Irr!BD29="."),dir!I29/((1/1000)*(Irr!H29)),IF(AND(Irr!H29=".",Irr!AF29=".",Irr!BD29="."),dir!I29*1000)))))))),".")</f>
        <v>.</v>
      </c>
      <c r="J29" s="76" t="str">
        <f>IFERROR(IF(AND(Irr!I29&lt;&gt;".",Irr!AG29&lt;&gt;".",Irr!BE29&lt;&gt;"."),dir!J29/((1/1000)*(Irr!I29+Irr!AG29+Irr!BE29)),IF(AND(Irr!I29&lt;&gt;".",Irr!AG29&lt;&gt;".",Irr!BE29="."),dir!J29/((1/1000)*(Irr!I29+Irr!AG29)),IF(AND(Irr!I29&lt;&gt;".",Irr!AG29=".",Irr!BE29&lt;&gt;"."),dir!J29/((1/1000)*(Irr!I29+Irr!BE29)),IF(AND(Irr!I29=".",Irr!AG29&lt;&gt;".",Irr!BE29&lt;&gt;"."),dir!J29/((1/1000)*(Irr!AG29+Irr!BE29)),IF(AND(Irr!I29=".",Irr!AG29=".",Irr!BE29&lt;&gt;"."),dir!J29/((1/1000)*(Irr!BE29)),IF(AND(Irr!I29=".",Irr!AG29&lt;&gt;".",Irr!BE29="."),dir!J29/((1/1000)*(Irr!AG29)),IF(AND(Irr!I29&lt;&gt;".",Irr!AG29=".",Irr!BE29="."),dir!J29/((1/1000)*(Irr!I29)),IF(AND(Irr!I29=".",Irr!AG29=".",Irr!BE29="."),dir!J29*1000)))))))),".")</f>
        <v>.</v>
      </c>
      <c r="K29" s="76" t="str">
        <f>IFERROR(IF(AND(Irr!J29&lt;&gt;".",Irr!AH29&lt;&gt;".",Irr!BF29&lt;&gt;"."),dir!K29/((1/1000)*(Irr!J29+Irr!AH29+Irr!BF29)),IF(AND(Irr!J29&lt;&gt;".",Irr!AH29&lt;&gt;".",Irr!BF29="."),dir!K29/((1/1000)*(Irr!J29+Irr!AH29)),IF(AND(Irr!J29&lt;&gt;".",Irr!AH29=".",Irr!BF29&lt;&gt;"."),dir!K29/((1/1000)*(Irr!J29+Irr!BF29)),IF(AND(Irr!J29=".",Irr!AH29&lt;&gt;".",Irr!BF29&lt;&gt;"."),dir!K29/((1/1000)*(Irr!AH29+Irr!BF29)),IF(AND(Irr!J29=".",Irr!AH29=".",Irr!BF29&lt;&gt;"."),dir!K29/((1/1000)*(Irr!BF29)),IF(AND(Irr!J29=".",Irr!AH29&lt;&gt;".",Irr!BF29="."),dir!K29/((1/1000)*(Irr!AH29)),IF(AND(Irr!J29&lt;&gt;".",Irr!AH29=".",Irr!BF29="."),dir!K29/((1/1000)*(Irr!J29)),IF(AND(Irr!J29=".",Irr!AH29=".",Irr!BF29="."),dir!K29*1000)))))))),".")</f>
        <v>.</v>
      </c>
      <c r="L29" s="76" t="str">
        <f>IFERROR(IF(AND(Irr!K29&lt;&gt;".",Irr!AI29&lt;&gt;".",Irr!BG29&lt;&gt;"."),dir!L29/((1/1000)*(Irr!K29+Irr!AI29+Irr!BG29)),IF(AND(Irr!K29&lt;&gt;".",Irr!AI29&lt;&gt;".",Irr!BG29="."),dir!L29/((1/1000)*(Irr!K29+Irr!AI29)),IF(AND(Irr!K29&lt;&gt;".",Irr!AI29=".",Irr!BG29&lt;&gt;"."),dir!L29/((1/1000)*(Irr!K29+Irr!BG29)),IF(AND(Irr!K29=".",Irr!AI29&lt;&gt;".",Irr!BG29&lt;&gt;"."),dir!L29/((1/1000)*(Irr!AI29+Irr!BG29)),IF(AND(Irr!K29=".",Irr!AI29=".",Irr!BG29&lt;&gt;"."),dir!L29/((1/1000)*(Irr!BG29)),IF(AND(Irr!K29=".",Irr!AI29&lt;&gt;".",Irr!BG29="."),dir!L29/((1/1000)*(Irr!AI29)),IF(AND(Irr!K29&lt;&gt;".",Irr!AI29=".",Irr!BG29="."),dir!L29/((1/1000)*(Irr!K29)),IF(AND(Irr!K29=".",Irr!AI29=".",Irr!BG29="."),dir!L29*1000)))))))),".")</f>
        <v>.</v>
      </c>
      <c r="M29" s="76" t="str">
        <f>IFERROR(IF(AND(Irr!L29&lt;&gt;".",Irr!AJ29&lt;&gt;".",Irr!BH29&lt;&gt;"."),dir!M29/((1/1000)*(Irr!L29+Irr!AJ29+Irr!BH29)),IF(AND(Irr!L29&lt;&gt;".",Irr!AJ29&lt;&gt;".",Irr!BH29="."),dir!M29/((1/1000)*(Irr!L29+Irr!AJ29)),IF(AND(Irr!L29&lt;&gt;".",Irr!AJ29=".",Irr!BH29&lt;&gt;"."),dir!M29/((1/1000)*(Irr!L29+Irr!BH29)),IF(AND(Irr!L29=".",Irr!AJ29&lt;&gt;".",Irr!BH29&lt;&gt;"."),dir!M29/((1/1000)*(Irr!AJ29+Irr!BH29)),IF(AND(Irr!L29=".",Irr!AJ29=".",Irr!BH29&lt;&gt;"."),dir!M29/((1/1000)*(Irr!BH29)),IF(AND(Irr!L29=".",Irr!AJ29&lt;&gt;".",Irr!BH29="."),dir!M29/((1/1000)*(Irr!AJ29)),IF(AND(Irr!L29&lt;&gt;".",Irr!AJ29=".",Irr!BH29="."),dir!M29/((1/1000)*(Irr!L29)),IF(AND(Irr!L29=".",Irr!AJ29=".",Irr!BH29="."),dir!M29*1000)))))))),".")</f>
        <v>.</v>
      </c>
      <c r="N29" s="76" t="str">
        <f>IFERROR(IF(AND(Irr!M29&lt;&gt;".",Irr!AK29&lt;&gt;".",Irr!BI29&lt;&gt;"."),dir!N29/((1/1000)*(Irr!M29+Irr!AK29+Irr!BI29)),IF(AND(Irr!M29&lt;&gt;".",Irr!AK29&lt;&gt;".",Irr!BI29="."),dir!N29/((1/1000)*(Irr!M29+Irr!AK29)),IF(AND(Irr!M29&lt;&gt;".",Irr!AK29=".",Irr!BI29&lt;&gt;"."),dir!N29/((1/1000)*(Irr!M29+Irr!BI29)),IF(AND(Irr!M29=".",Irr!AK29&lt;&gt;".",Irr!BI29&lt;&gt;"."),dir!N29/((1/1000)*(Irr!AK29+Irr!BI29)),IF(AND(Irr!M29=".",Irr!AK29=".",Irr!BI29&lt;&gt;"."),dir!N29/((1/1000)*(Irr!BI29)),IF(AND(Irr!M29=".",Irr!AK29&lt;&gt;".",Irr!BI29="."),dir!N29/((1/1000)*(Irr!AK29)),IF(AND(Irr!M29&lt;&gt;".",Irr!AK29=".",Irr!BI29="."),dir!N29/((1/1000)*(Irr!M29)),IF(AND(Irr!M29=".",Irr!AK29=".",Irr!BI29="."),dir!N29*1000)))))))),".")</f>
        <v>.</v>
      </c>
      <c r="O29" s="76" t="str">
        <f>IFERROR(IF(AND(Irr!N29&lt;&gt;".",Irr!AL29&lt;&gt;".",Irr!BJ29&lt;&gt;"."),dir!O29/((1/1000)*(Irr!N29+Irr!AL29+Irr!BJ29)),IF(AND(Irr!N29&lt;&gt;".",Irr!AL29&lt;&gt;".",Irr!BJ29="."),dir!O29/((1/1000)*(Irr!N29+Irr!AL29)),IF(AND(Irr!N29&lt;&gt;".",Irr!AL29=".",Irr!BJ29&lt;&gt;"."),dir!O29/((1/1000)*(Irr!N29+Irr!BJ29)),IF(AND(Irr!N29=".",Irr!AL29&lt;&gt;".",Irr!BJ29&lt;&gt;"."),dir!O29/((1/1000)*(Irr!AL29+Irr!BJ29)),IF(AND(Irr!N29=".",Irr!AL29=".",Irr!BJ29&lt;&gt;"."),dir!O29/((1/1000)*(Irr!BJ29)),IF(AND(Irr!N29=".",Irr!AL29&lt;&gt;".",Irr!BJ29="."),dir!O29/((1/1000)*(Irr!AL29)),IF(AND(Irr!N29&lt;&gt;".",Irr!AL29=".",Irr!BJ29="."),dir!O29/((1/1000)*(Irr!N29)),IF(AND(Irr!N29=".",Irr!AL29=".",Irr!BJ29="."),dir!O29*1000)))))))),".")</f>
        <v>.</v>
      </c>
      <c r="P29" s="76" t="str">
        <f>IFERROR(IF(AND(Irr!O29&lt;&gt;".",Irr!AM29&lt;&gt;".",Irr!BK29&lt;&gt;"."),dir!P29/((1/1000)*(Irr!O29+Irr!AM29+Irr!BK29)),IF(AND(Irr!O29&lt;&gt;".",Irr!AM29&lt;&gt;".",Irr!BK29="."),dir!P29/((1/1000)*(Irr!O29+Irr!AM29)),IF(AND(Irr!O29&lt;&gt;".",Irr!AM29=".",Irr!BK29&lt;&gt;"."),dir!P29/((1/1000)*(Irr!O29+Irr!BK29)),IF(AND(Irr!O29=".",Irr!AM29&lt;&gt;".",Irr!BK29&lt;&gt;"."),dir!P29/((1/1000)*(Irr!AM29+Irr!BK29)),IF(AND(Irr!O29=".",Irr!AM29=".",Irr!BK29&lt;&gt;"."),dir!P29/((1/1000)*(Irr!BK29)),IF(AND(Irr!O29=".",Irr!AM29&lt;&gt;".",Irr!BK29="."),dir!P29/((1/1000)*(Irr!AM29)),IF(AND(Irr!O29&lt;&gt;".",Irr!AM29=".",Irr!BK29="."),dir!P29/((1/1000)*(Irr!O29)),IF(AND(Irr!O29=".",Irr!AM29=".",Irr!BK29="."),dir!P29*1000)))))))),".")</f>
        <v>.</v>
      </c>
      <c r="Q29" s="76" t="str">
        <f>IFERROR(IF(AND(Irr!P29&lt;&gt;".",Irr!AN29&lt;&gt;".",Irr!BL29&lt;&gt;"."),dir!Q29/((1/1000)*(Irr!P29+Irr!AN29+Irr!BL29)),IF(AND(Irr!P29&lt;&gt;".",Irr!AN29&lt;&gt;".",Irr!BL29="."),dir!Q29/((1/1000)*(Irr!P29+Irr!AN29)),IF(AND(Irr!P29&lt;&gt;".",Irr!AN29=".",Irr!BL29&lt;&gt;"."),dir!Q29/((1/1000)*(Irr!P29+Irr!BL29)),IF(AND(Irr!P29=".",Irr!AN29&lt;&gt;".",Irr!BL29&lt;&gt;"."),dir!Q29/((1/1000)*(Irr!AN29+Irr!BL29)),IF(AND(Irr!P29=".",Irr!AN29=".",Irr!BL29&lt;&gt;"."),dir!Q29/((1/1000)*(Irr!BL29)),IF(AND(Irr!P29=".",Irr!AN29&lt;&gt;".",Irr!BL29="."),dir!Q29/((1/1000)*(Irr!AN29)),IF(AND(Irr!P29&lt;&gt;".",Irr!AN29=".",Irr!BL29="."),dir!Q29/((1/1000)*(Irr!P29)),IF(AND(Irr!P29=".",Irr!AN29=".",Irr!BL29="."),dir!Q29*1000)))))))),".")</f>
        <v>.</v>
      </c>
      <c r="R29" s="76" t="str">
        <f>IFERROR(IF(AND(Irr!Q29&lt;&gt;".",Irr!AO29&lt;&gt;".",Irr!BM29&lt;&gt;"."),dir!R29/((1/1000)*(Irr!Q29+Irr!AO29+Irr!BM29)),IF(AND(Irr!Q29&lt;&gt;".",Irr!AO29&lt;&gt;".",Irr!BM29="."),dir!R29/((1/1000)*(Irr!Q29+Irr!AO29)),IF(AND(Irr!Q29&lt;&gt;".",Irr!AO29=".",Irr!BM29&lt;&gt;"."),dir!R29/((1/1000)*(Irr!Q29+Irr!BM29)),IF(AND(Irr!Q29=".",Irr!AO29&lt;&gt;".",Irr!BM29&lt;&gt;"."),dir!R29/((1/1000)*(Irr!AO29+Irr!BM29)),IF(AND(Irr!Q29=".",Irr!AO29=".",Irr!BM29&lt;&gt;"."),dir!R29/((1/1000)*(Irr!BM29)),IF(AND(Irr!Q29=".",Irr!AO29&lt;&gt;".",Irr!BM29="."),dir!R29/((1/1000)*(Irr!AO29)),IF(AND(Irr!Q29&lt;&gt;".",Irr!AO29=".",Irr!BM29="."),dir!R29/((1/1000)*(Irr!Q29)),IF(AND(Irr!Q29=".",Irr!AO29=".",Irr!BM29="."),dir!R29*1000)))))))),".")</f>
        <v>.</v>
      </c>
      <c r="S29" s="76" t="str">
        <f>IFERROR(IF(AND(Irr!R29&lt;&gt;".",Irr!AP29&lt;&gt;".",Irr!BN29&lt;&gt;"."),dir!S29/((1/1000)*(Irr!R29+Irr!AP29+Irr!BN29)),IF(AND(Irr!R29&lt;&gt;".",Irr!AP29&lt;&gt;".",Irr!BN29="."),dir!S29/((1/1000)*(Irr!R29+Irr!AP29)),IF(AND(Irr!R29&lt;&gt;".",Irr!AP29=".",Irr!BN29&lt;&gt;"."),dir!S29/((1/1000)*(Irr!R29+Irr!BN29)),IF(AND(Irr!R29=".",Irr!AP29&lt;&gt;".",Irr!BN29&lt;&gt;"."),dir!S29/((1/1000)*(Irr!AP29+Irr!BN29)),IF(AND(Irr!R29=".",Irr!AP29=".",Irr!BN29&lt;&gt;"."),dir!S29/((1/1000)*(Irr!BN29)),IF(AND(Irr!R29=".",Irr!AP29&lt;&gt;".",Irr!BN29="."),dir!S29/((1/1000)*(Irr!AP29)),IF(AND(Irr!R29&lt;&gt;".",Irr!AP29=".",Irr!BN29="."),dir!S29/((1/1000)*(Irr!R29)),IF(AND(Irr!R29=".",Irr!AP29=".",Irr!BN29="."),dir!S29*1000)))))))),".")</f>
        <v>.</v>
      </c>
      <c r="T29" s="76" t="str">
        <f>IFERROR(IF(AND(Irr!S29&lt;&gt;".",Irr!AQ29&lt;&gt;".",Irr!BO29&lt;&gt;"."),dir!T29/((1/1000)*(Irr!S29+Irr!AQ29+Irr!BO29)),IF(AND(Irr!S29&lt;&gt;".",Irr!AQ29&lt;&gt;".",Irr!BO29="."),dir!T29/((1/1000)*(Irr!S29+Irr!AQ29)),IF(AND(Irr!S29&lt;&gt;".",Irr!AQ29=".",Irr!BO29&lt;&gt;"."),dir!T29/((1/1000)*(Irr!S29+Irr!BO29)),IF(AND(Irr!S29=".",Irr!AQ29&lt;&gt;".",Irr!BO29&lt;&gt;"."),dir!T29/((1/1000)*(Irr!AQ29+Irr!BO29)),IF(AND(Irr!S29=".",Irr!AQ29=".",Irr!BO29&lt;&gt;"."),dir!T29/((1/1000)*(Irr!BO29)),IF(AND(Irr!S29=".",Irr!AQ29&lt;&gt;".",Irr!BO29="."),dir!T29/((1/1000)*(Irr!AQ29)),IF(AND(Irr!S29&lt;&gt;".",Irr!AQ29=".",Irr!BO29="."),dir!T29/((1/1000)*(Irr!S29)),IF(AND(Irr!S29=".",Irr!AQ29=".",Irr!BO29="."),dir!T29*1000)))))))),".")</f>
        <v>.</v>
      </c>
      <c r="U29" s="76" t="str">
        <f>IFERROR(IF(AND(Irr!T29&lt;&gt;".",Irr!AR29&lt;&gt;".",Irr!BP29&lt;&gt;"."),dir!U29/((1/1000)*(Irr!T29+Irr!AR29+Irr!BP29)),IF(AND(Irr!T29&lt;&gt;".",Irr!AR29&lt;&gt;".",Irr!BP29="."),dir!U29/((1/1000)*(Irr!T29+Irr!AR29)),IF(AND(Irr!T29&lt;&gt;".",Irr!AR29=".",Irr!BP29&lt;&gt;"."),dir!U29/((1/1000)*(Irr!T29+Irr!BP29)),IF(AND(Irr!T29=".",Irr!AR29&lt;&gt;".",Irr!BP29&lt;&gt;"."),dir!U29/((1/1000)*(Irr!AR29+Irr!BP29)),IF(AND(Irr!T29=".",Irr!AR29=".",Irr!BP29&lt;&gt;"."),dir!U29/((1/1000)*(Irr!BP29)),IF(AND(Irr!T29=".",Irr!AR29&lt;&gt;".",Irr!BP29="."),dir!U29/((1/1000)*(Irr!AR29)),IF(AND(Irr!T29&lt;&gt;".",Irr!AR29=".",Irr!BP29="."),dir!U29/((1/1000)*(Irr!T29)),IF(AND(Irr!T29=".",Irr!AR29=".",Irr!BP29="."),dir!U29*1000)))))))),".")</f>
        <v>.</v>
      </c>
      <c r="V29" s="76" t="str">
        <f>IFERROR(IF(AND(Irr!U29&lt;&gt;".",Irr!AS29&lt;&gt;".",Irr!BQ29&lt;&gt;"."),dir!V29/((1/1000)*(Irr!U29+Irr!AS29+Irr!BQ29)),IF(AND(Irr!U29&lt;&gt;".",Irr!AS29&lt;&gt;".",Irr!BQ29="."),dir!V29/((1/1000)*(Irr!U29+Irr!AS29)),IF(AND(Irr!U29&lt;&gt;".",Irr!AS29=".",Irr!BQ29&lt;&gt;"."),dir!V29/((1/1000)*(Irr!U29+Irr!BQ29)),IF(AND(Irr!U29=".",Irr!AS29&lt;&gt;".",Irr!BQ29&lt;&gt;"."),dir!V29/((1/1000)*(Irr!AS29+Irr!BQ29)),IF(AND(Irr!U29=".",Irr!AS29=".",Irr!BQ29&lt;&gt;"."),dir!V29/((1/1000)*(Irr!BQ29)),IF(AND(Irr!U29=".",Irr!AS29&lt;&gt;".",Irr!BQ29="."),dir!V29/((1/1000)*(Irr!AS29)),IF(AND(Irr!U29&lt;&gt;".",Irr!AS29=".",Irr!BQ29="."),dir!V29/((1/1000)*(Irr!U29)),IF(AND(Irr!U29=".",Irr!AS29=".",Irr!BQ29="."),dir!V29*1000)))))))),".")</f>
        <v>.</v>
      </c>
      <c r="W29" s="76" t="str">
        <f>IFERROR(IF(AND(Irr!V29&lt;&gt;".",Irr!AT29&lt;&gt;".",Irr!BR29&lt;&gt;"."),dir!W29/((1/1000)*(Irr!V29+Irr!AT29+Irr!BR29)),IF(AND(Irr!V29&lt;&gt;".",Irr!AT29&lt;&gt;".",Irr!BR29="."),dir!W29/((1/1000)*(Irr!V29+Irr!AT29)),IF(AND(Irr!V29&lt;&gt;".",Irr!AT29=".",Irr!BR29&lt;&gt;"."),dir!W29/((1/1000)*(Irr!V29+Irr!BR29)),IF(AND(Irr!V29=".",Irr!AT29&lt;&gt;".",Irr!BR29&lt;&gt;"."),dir!W29/((1/1000)*(Irr!AT29+Irr!BR29)),IF(AND(Irr!V29=".",Irr!AT29=".",Irr!BR29&lt;&gt;"."),dir!W29/((1/1000)*(Irr!BR29)),IF(AND(Irr!V29=".",Irr!AT29&lt;&gt;".",Irr!BR29="."),dir!W29/((1/1000)*(Irr!AT29)),IF(AND(Irr!V29&lt;&gt;".",Irr!AT29=".",Irr!BR29="."),dir!W29/((1/1000)*(Irr!V29)),IF(AND(Irr!V29=".",Irr!AT29=".",Irr!BR29="."),dir!W29*1000)))))))),".")</f>
        <v>.</v>
      </c>
      <c r="X29" s="76" t="str">
        <f>IFERROR(IF(AND(Irr!W29&lt;&gt;".",Irr!AU29&lt;&gt;".",Irr!BS29&lt;&gt;"."),dir!X29/((1/1000)*(Irr!W29+Irr!AU29+Irr!BS29)),IF(AND(Irr!W29&lt;&gt;".",Irr!AU29&lt;&gt;".",Irr!BS29="."),dir!X29/((1/1000)*(Irr!W29+Irr!AU29)),IF(AND(Irr!W29&lt;&gt;".",Irr!AU29=".",Irr!BS29&lt;&gt;"."),dir!X29/((1/1000)*(Irr!W29+Irr!BS29)),IF(AND(Irr!W29=".",Irr!AU29&lt;&gt;".",Irr!BS29&lt;&gt;"."),dir!X29/((1/1000)*(Irr!AU29+Irr!BS29)),IF(AND(Irr!W29=".",Irr!AU29=".",Irr!BS29&lt;&gt;"."),dir!X29/((1/1000)*(Irr!BS29)),IF(AND(Irr!W29=".",Irr!AU29&lt;&gt;".",Irr!BS29="."),dir!X29/((1/1000)*(Irr!AU29)),IF(AND(Irr!W29&lt;&gt;".",Irr!AU29=".",Irr!BS29="."),dir!X29/((1/1000)*(Irr!W29)),IF(AND(Irr!W29=".",Irr!AU29=".",Irr!BS29="."),dir!X29*1000)))))))),".")</f>
        <v>.</v>
      </c>
      <c r="Y29" s="76" t="str">
        <f>IFERROR(IF(AND(Irr!X29&lt;&gt;".",Irr!AV29&lt;&gt;".",Irr!BT29&lt;&gt;"."),dir!Y29/((1/1000)*(Irr!X29+Irr!AV29+Irr!BT29)),IF(AND(Irr!X29&lt;&gt;".",Irr!AV29&lt;&gt;".",Irr!BT29="."),dir!Y29/((1/1000)*(Irr!X29+Irr!AV29)),IF(AND(Irr!X29&lt;&gt;".",Irr!AV29=".",Irr!BT29&lt;&gt;"."),dir!Y29/((1/1000)*(Irr!X29+Irr!BT29)),IF(AND(Irr!X29=".",Irr!AV29&lt;&gt;".",Irr!BT29&lt;&gt;"."),dir!Y29/((1/1000)*(Irr!AV29+Irr!BT29)),IF(AND(Irr!X29=".",Irr!AV29=".",Irr!BT29&lt;&gt;"."),dir!Y29/((1/1000)*(Irr!BT29)),IF(AND(Irr!X29=".",Irr!AV29&lt;&gt;".",Irr!BT29="."),dir!Y29/((1/1000)*(Irr!AV29)),IF(AND(Irr!X29&lt;&gt;".",Irr!AV29=".",Irr!BT29="."),dir!Y29/((1/1000)*(Irr!X29)),IF(AND(Irr!X29=".",Irr!AV29=".",Irr!BT29="."),dir!Y29*1000)))))))),".")</f>
        <v>.</v>
      </c>
      <c r="Z29" s="76" t="str">
        <f>IFERROR(IF(AND(Irr!Y29&lt;&gt;".",Irr!AW29&lt;&gt;".",Irr!BU29&lt;&gt;"."),dir!Z29/((1/1000)*(Irr!Y29+Irr!AW29+Irr!BU29)),IF(AND(Irr!Y29&lt;&gt;".",Irr!AW29&lt;&gt;".",Irr!BU29="."),dir!Z29/((1/1000)*(Irr!Y29+Irr!AW29)),IF(AND(Irr!Y29&lt;&gt;".",Irr!AW29=".",Irr!BU29&lt;&gt;"."),dir!Z29/((1/1000)*(Irr!Y29+Irr!BU29)),IF(AND(Irr!Y29=".",Irr!AW29&lt;&gt;".",Irr!BU29&lt;&gt;"."),dir!Z29/((1/1000)*(Irr!AW29+Irr!BU29)),IF(AND(Irr!Y29=".",Irr!AW29=".",Irr!BU29&lt;&gt;"."),dir!Z29/((1/1000)*(Irr!BU29)),IF(AND(Irr!Y29=".",Irr!AW29&lt;&gt;".",Irr!BU29="."),dir!Z29/((1/1000)*(Irr!AW29)),IF(AND(Irr!Y29&lt;&gt;".",Irr!AW29=".",Irr!BU29="."),dir!Z29/((1/1000)*(Irr!Y29)),IF(AND(Irr!Y29=".",Irr!AW29=".",Irr!BU29="."),dir!Z29*1000)))))))),".")</f>
        <v>.</v>
      </c>
      <c r="AA29" s="76" t="str">
        <f>IFERROR(IF(AND(Irr!Z29&lt;&gt;".",Irr!AX29&lt;&gt;".",Irr!BV29&lt;&gt;"."),dir!AA29/((1/1000)*(Irr!Z29+Irr!AX29+Irr!BV29)),IF(AND(Irr!Z29&lt;&gt;".",Irr!AX29&lt;&gt;".",Irr!BV29="."),dir!AA29/((1/1000)*(Irr!Z29+Irr!AX29)),IF(AND(Irr!Z29&lt;&gt;".",Irr!AX29=".",Irr!BV29&lt;&gt;"."),dir!AA29/((1/1000)*(Irr!Z29+Irr!BV29)),IF(AND(Irr!Z29=".",Irr!AX29&lt;&gt;".",Irr!BV29&lt;&gt;"."),dir!AA29/((1/1000)*(Irr!AX29+Irr!BV29)),IF(AND(Irr!Z29=".",Irr!AX29=".",Irr!BV29&lt;&gt;"."),dir!AA29/((1/1000)*(Irr!BV29)),IF(AND(Irr!Z29=".",Irr!AX29&lt;&gt;".",Irr!BV29="."),dir!AA29/((1/1000)*(Irr!AX29)),IF(AND(Irr!Z29&lt;&gt;".",Irr!AX29=".",Irr!BV29="."),dir!AA29/((1/1000)*(Irr!Z29)),IF(AND(Irr!Z29=".",Irr!AX29=".",Irr!BV29="."),dir!AA29*1000)))))))),".")</f>
        <v>.</v>
      </c>
      <c r="AB29" s="76" t="str">
        <f t="shared" si="23"/>
        <v>.</v>
      </c>
      <c r="AC29" s="76" t="str">
        <f>IFERROR(IF(AND(Irr!C29&lt;&gt;".",Irr!AA29&lt;&gt;".",Irr!AY29&lt;&gt;"."),dir!AC29/((1/1000)*(Irr!C29+Irr!AA29+Irr!AY29)),IF(AND(Irr!C29&lt;&gt;".",Irr!AA29&lt;&gt;".",Irr!AY29="."),dir!AC29/((1/1000)*(Irr!C29+Irr!AA29)),IF(AND(Irr!C29&lt;&gt;".",Irr!AA29=".",Irr!AY29&lt;&gt;"."),dir!AC29/((1/1000)*(Irr!C29+Irr!AY29)),IF(AND(Irr!C29=".",Irr!AA29&lt;&gt;".",Irr!AY29&lt;&gt;"."),dir!AC29/((1/1000)*(Irr!AA29+Irr!AY29)),IF(AND(Irr!C29=".",Irr!AA29=".",Irr!AY29&lt;&gt;"."),dir!AC29/((1/1000)*(Irr!AY29)),IF(AND(Irr!C29=".",Irr!AA29&lt;&gt;".",Irr!AY29="."),dir!AC29/((1/1000)*(Irr!AA29)),IF(AND(Irr!C29&lt;&gt;".",Irr!AA29=".",Irr!AY29="."),dir!AC29/((1/1000)*(Irr!C29)),IF(AND(Irr!C29=".",Irr!AA29=".",Irr!AY29="."),dir!AC29*1000)))))))),".")</f>
        <v>.</v>
      </c>
      <c r="AD29" s="76" t="str">
        <f>IFERROR(IF(AND(Irr!D29&lt;&gt;".",Irr!AB29&lt;&gt;".",Irr!AZ29&lt;&gt;"."),dir!AD29/((1/1000)*(Irr!D29+Irr!AB29+Irr!AZ29)),IF(AND(Irr!D29&lt;&gt;".",Irr!AB29&lt;&gt;".",Irr!AZ29="."),dir!AD29/((1/1000)*(Irr!D29+Irr!AB29)),IF(AND(Irr!D29&lt;&gt;".",Irr!AB29=".",Irr!AZ29&lt;&gt;"."),dir!AD29/((1/1000)*(Irr!D29+Irr!AZ29)),IF(AND(Irr!D29=".",Irr!AB29&lt;&gt;".",Irr!AZ29&lt;&gt;"."),dir!AD29/((1/1000)*(Irr!AB29+Irr!AZ29)),IF(AND(Irr!D29=".",Irr!AB29=".",Irr!AZ29&lt;&gt;"."),dir!AD29/((1/1000)*(Irr!AZ29)),IF(AND(Irr!D29=".",Irr!AB29&lt;&gt;".",Irr!AZ29="."),dir!AD29/((1/1000)*(Irr!AB29)),IF(AND(Irr!D29&lt;&gt;".",Irr!AB29=".",Irr!AZ29="."),dir!AD29/((1/1000)*(Irr!D29)),IF(AND(Irr!D29=".",Irr!AB29=".",Irr!AZ29="."),dir!AD29*1000)))))))),".")</f>
        <v>.</v>
      </c>
      <c r="AE29" s="76" t="str">
        <f>IFERROR(IF(AND(Irr!E29&lt;&gt;".",Irr!AC29&lt;&gt;".",Irr!BA29&lt;&gt;"."),dir!AE29/((1/1000)*(Irr!E29+Irr!AC29+Irr!BA29)),IF(AND(Irr!E29&lt;&gt;".",Irr!AC29&lt;&gt;".",Irr!BA29="."),dir!AE29/((1/1000)*(Irr!E29+Irr!AC29)),IF(AND(Irr!E29&lt;&gt;".",Irr!AC29=".",Irr!BA29&lt;&gt;"."),dir!AE29/((1/1000)*(Irr!E29+Irr!BA29)),IF(AND(Irr!E29=".",Irr!AC29&lt;&gt;".",Irr!BA29&lt;&gt;"."),dir!AE29/((1/1000)*(Irr!AC29+Irr!BA29)),IF(AND(Irr!E29=".",Irr!AC29=".",Irr!BA29&lt;&gt;"."),dir!AE29/((1/1000)*(Irr!BA29)),IF(AND(Irr!E29=".",Irr!AC29&lt;&gt;".",Irr!BA29="."),dir!AE29/((1/1000)*(Irr!AC29)),IF(AND(Irr!E29&lt;&gt;".",Irr!AC29=".",Irr!BA29="."),dir!AE29/((1/1000)*(Irr!E29)),IF(AND(Irr!E29=".",Irr!AC29=".",Irr!BA29="."),dir!AE29*1000)))))))),".")</f>
        <v>.</v>
      </c>
      <c r="AF29" s="76" t="str">
        <f>IFERROR(IF(AND(Irr!F29&lt;&gt;".",Irr!AD29&lt;&gt;".",Irr!BB29&lt;&gt;"."),dir!AF29/((1/1000)*(Irr!F29+Irr!AD29+Irr!BB29)),IF(AND(Irr!F29&lt;&gt;".",Irr!AD29&lt;&gt;".",Irr!BB29="."),dir!AF29/((1/1000)*(Irr!F29+Irr!AD29)),IF(AND(Irr!F29&lt;&gt;".",Irr!AD29=".",Irr!BB29&lt;&gt;"."),dir!AF29/((1/1000)*(Irr!F29+Irr!BB29)),IF(AND(Irr!F29=".",Irr!AD29&lt;&gt;".",Irr!BB29&lt;&gt;"."),dir!AF29/((1/1000)*(Irr!AD29+Irr!BB29)),IF(AND(Irr!F29=".",Irr!AD29=".",Irr!BB29&lt;&gt;"."),dir!AF29/((1/1000)*(Irr!BB29)),IF(AND(Irr!F29=".",Irr!AD29&lt;&gt;".",Irr!BB29="."),dir!AF29/((1/1000)*(Irr!AD29)),IF(AND(Irr!F29&lt;&gt;".",Irr!AD29=".",Irr!BB29="."),dir!AF29/((1/1000)*(Irr!F29)),IF(AND(Irr!F29=".",Irr!AD29=".",Irr!BB29="."),dir!AF29*1000)))))))),".")</f>
        <v>.</v>
      </c>
      <c r="AG29" s="76" t="str">
        <f>IFERROR(IF(AND(Irr!G29&lt;&gt;".",Irr!AE29&lt;&gt;".",Irr!BC29&lt;&gt;"."),dir!AG29/((1/1000)*(Irr!G29+Irr!AE29+Irr!BC29)),IF(AND(Irr!G29&lt;&gt;".",Irr!AE29&lt;&gt;".",Irr!BC29="."),dir!AG29/((1/1000)*(Irr!G29+Irr!AE29)),IF(AND(Irr!G29&lt;&gt;".",Irr!AE29=".",Irr!BC29&lt;&gt;"."),dir!AG29/((1/1000)*(Irr!G29+Irr!BC29)),IF(AND(Irr!G29=".",Irr!AE29&lt;&gt;".",Irr!BC29&lt;&gt;"."),dir!AG29/((1/1000)*(Irr!AE29+Irr!BC29)),IF(AND(Irr!G29=".",Irr!AE29=".",Irr!BC29&lt;&gt;"."),dir!AG29/((1/1000)*(Irr!BC29)),IF(AND(Irr!G29=".",Irr!AE29&lt;&gt;".",Irr!BC29="."),dir!AG29/((1/1000)*(Irr!AE29)),IF(AND(Irr!G29&lt;&gt;".",Irr!AE29=".",Irr!BC29="."),dir!AG29/((1/1000)*(Irr!G29)),IF(AND(Irr!G29=".",Irr!AE29=".",Irr!BC29="."),dir!AG29*1000)))))))),".")</f>
        <v>.</v>
      </c>
      <c r="AH29" s="76" t="str">
        <f>IFERROR(IF(AND(Irr!H29&lt;&gt;".",Irr!AF29&lt;&gt;".",Irr!BD29&lt;&gt;"."),dir!AH29/((1/1000)*(Irr!H29+Irr!AF29+Irr!BD29)),IF(AND(Irr!H29&lt;&gt;".",Irr!AF29&lt;&gt;".",Irr!BD29="."),dir!AH29/((1/1000)*(Irr!H29+Irr!AF29)),IF(AND(Irr!H29&lt;&gt;".",Irr!AF29=".",Irr!BD29&lt;&gt;"."),dir!AH29/((1/1000)*(Irr!H29+Irr!BD29)),IF(AND(Irr!H29=".",Irr!AF29&lt;&gt;".",Irr!BD29&lt;&gt;"."),dir!AH29/((1/1000)*(Irr!AF29+Irr!BD29)),IF(AND(Irr!H29=".",Irr!AF29=".",Irr!BD29&lt;&gt;"."),dir!AH29/((1/1000)*(Irr!BD29)),IF(AND(Irr!H29=".",Irr!AF29&lt;&gt;".",Irr!BD29="."),dir!AH29/((1/1000)*(Irr!AF29)),IF(AND(Irr!H29&lt;&gt;".",Irr!AF29=".",Irr!BD29="."),dir!AH29/((1/1000)*(Irr!H29)),IF(AND(Irr!H29=".",Irr!AF29=".",Irr!BD29="."),dir!AH29*1000)))))))),".")</f>
        <v>.</v>
      </c>
      <c r="AI29" s="76" t="str">
        <f>IFERROR(IF(AND(Irr!I29&lt;&gt;".",Irr!AG29&lt;&gt;".",Irr!BE29&lt;&gt;"."),dir!AI29/((1/1000)*(Irr!I29+Irr!AG29+Irr!BE29)),IF(AND(Irr!I29&lt;&gt;".",Irr!AG29&lt;&gt;".",Irr!BE29="."),dir!AI29/((1/1000)*(Irr!I29+Irr!AG29)),IF(AND(Irr!I29&lt;&gt;".",Irr!AG29=".",Irr!BE29&lt;&gt;"."),dir!AI29/((1/1000)*(Irr!I29+Irr!BE29)),IF(AND(Irr!I29=".",Irr!AG29&lt;&gt;".",Irr!BE29&lt;&gt;"."),dir!AI29/((1/1000)*(Irr!AG29+Irr!BE29)),IF(AND(Irr!I29=".",Irr!AG29=".",Irr!BE29&lt;&gt;"."),dir!AI29/((1/1000)*(Irr!BE29)),IF(AND(Irr!I29=".",Irr!AG29&lt;&gt;".",Irr!BE29="."),dir!AI29/((1/1000)*(Irr!AG29)),IF(AND(Irr!I29&lt;&gt;".",Irr!AG29=".",Irr!BE29="."),dir!AI29/((1/1000)*(Irr!I29)),IF(AND(Irr!I29=".",Irr!AG29=".",Irr!BE29="."),dir!AI29*1000)))))))),".")</f>
        <v>.</v>
      </c>
      <c r="AJ29" s="76" t="str">
        <f>IFERROR(IF(AND(Irr!J29&lt;&gt;".",Irr!AH29&lt;&gt;".",Irr!BF29&lt;&gt;"."),dir!AJ29/((1/1000)*(Irr!J29+Irr!AH29+Irr!BF29)),IF(AND(Irr!J29&lt;&gt;".",Irr!AH29&lt;&gt;".",Irr!BF29="."),dir!AJ29/((1/1000)*(Irr!J29+Irr!AH29)),IF(AND(Irr!J29&lt;&gt;".",Irr!AH29=".",Irr!BF29&lt;&gt;"."),dir!AJ29/((1/1000)*(Irr!J29+Irr!BF29)),IF(AND(Irr!J29=".",Irr!AH29&lt;&gt;".",Irr!BF29&lt;&gt;"."),dir!AJ29/((1/1000)*(Irr!AH29+Irr!BF29)),IF(AND(Irr!J29=".",Irr!AH29=".",Irr!BF29&lt;&gt;"."),dir!AJ29/((1/1000)*(Irr!BF29)),IF(AND(Irr!J29=".",Irr!AH29&lt;&gt;".",Irr!BF29="."),dir!AJ29/((1/1000)*(Irr!AH29)),IF(AND(Irr!J29&lt;&gt;".",Irr!AH29=".",Irr!BF29="."),dir!AJ29/((1/1000)*(Irr!J29)),IF(AND(Irr!J29=".",Irr!AH29=".",Irr!BF29="."),dir!AJ29*1000)))))))),".")</f>
        <v>.</v>
      </c>
      <c r="AK29" s="76" t="str">
        <f>IFERROR(IF(AND(Irr!K29&lt;&gt;".",Irr!AI29&lt;&gt;".",Irr!BG29&lt;&gt;"."),dir!AK29/((1/1000)*(Irr!K29+Irr!AI29+Irr!BG29)),IF(AND(Irr!K29&lt;&gt;".",Irr!AI29&lt;&gt;".",Irr!BG29="."),dir!AK29/((1/1000)*(Irr!K29+Irr!AI29)),IF(AND(Irr!K29&lt;&gt;".",Irr!AI29=".",Irr!BG29&lt;&gt;"."),dir!AK29/((1/1000)*(Irr!K29+Irr!BG29)),IF(AND(Irr!K29=".",Irr!AI29&lt;&gt;".",Irr!BG29&lt;&gt;"."),dir!AK29/((1/1000)*(Irr!AI29+Irr!BG29)),IF(AND(Irr!K29=".",Irr!AI29=".",Irr!BG29&lt;&gt;"."),dir!AK29/((1/1000)*(Irr!BG29)),IF(AND(Irr!K29=".",Irr!AI29&lt;&gt;".",Irr!BG29="."),dir!AK29/((1/1000)*(Irr!AI29)),IF(AND(Irr!K29&lt;&gt;".",Irr!AI29=".",Irr!BG29="."),dir!AK29/((1/1000)*(Irr!K29)),IF(AND(Irr!K29=".",Irr!AI29=".",Irr!BG29="."),dir!AK29*1000)))))))),".")</f>
        <v>.</v>
      </c>
      <c r="AL29" s="76" t="str">
        <f>IFERROR(IF(AND(Irr!L29&lt;&gt;".",Irr!AJ29&lt;&gt;".",Irr!BH29&lt;&gt;"."),dir!AL29/((1/1000)*(Irr!L29+Irr!AJ29+Irr!BH29)),IF(AND(Irr!L29&lt;&gt;".",Irr!AJ29&lt;&gt;".",Irr!BH29="."),dir!AL29/((1/1000)*(Irr!L29+Irr!AJ29)),IF(AND(Irr!L29&lt;&gt;".",Irr!AJ29=".",Irr!BH29&lt;&gt;"."),dir!AL29/((1/1000)*(Irr!L29+Irr!BH29)),IF(AND(Irr!L29=".",Irr!AJ29&lt;&gt;".",Irr!BH29&lt;&gt;"."),dir!AL29/((1/1000)*(Irr!AJ29+Irr!BH29)),IF(AND(Irr!L29=".",Irr!AJ29=".",Irr!BH29&lt;&gt;"."),dir!AL29/((1/1000)*(Irr!BH29)),IF(AND(Irr!L29=".",Irr!AJ29&lt;&gt;".",Irr!BH29="."),dir!AL29/((1/1000)*(Irr!AJ29)),IF(AND(Irr!L29&lt;&gt;".",Irr!AJ29=".",Irr!BH29="."),dir!AL29/((1/1000)*(Irr!L29)),IF(AND(Irr!L29=".",Irr!AJ29=".",Irr!BH29="."),dir!AL29*1000)))))))),".")</f>
        <v>.</v>
      </c>
      <c r="AM29" s="76" t="str">
        <f>IFERROR(IF(AND(Irr!M29&lt;&gt;".",Irr!AK29&lt;&gt;".",Irr!BI29&lt;&gt;"."),dir!AM29/((1/1000)*(Irr!M29+Irr!AK29+Irr!BI29)),IF(AND(Irr!M29&lt;&gt;".",Irr!AK29&lt;&gt;".",Irr!BI29="."),dir!AM29/((1/1000)*(Irr!M29+Irr!AK29)),IF(AND(Irr!M29&lt;&gt;".",Irr!AK29=".",Irr!BI29&lt;&gt;"."),dir!AM29/((1/1000)*(Irr!M29+Irr!BI29)),IF(AND(Irr!M29=".",Irr!AK29&lt;&gt;".",Irr!BI29&lt;&gt;"."),dir!AM29/((1/1000)*(Irr!AK29+Irr!BI29)),IF(AND(Irr!M29=".",Irr!AK29=".",Irr!BI29&lt;&gt;"."),dir!AM29/((1/1000)*(Irr!BI29)),IF(AND(Irr!M29=".",Irr!AK29&lt;&gt;".",Irr!BI29="."),dir!AM29/((1/1000)*(Irr!AK29)),IF(AND(Irr!M29&lt;&gt;".",Irr!AK29=".",Irr!BI29="."),dir!AM29/((1/1000)*(Irr!M29)),IF(AND(Irr!M29=".",Irr!AK29=".",Irr!BI29="."),dir!AM29*1000)))))))),".")</f>
        <v>.</v>
      </c>
      <c r="AN29" s="76" t="str">
        <f>IFERROR(IF(AND(Irr!N29&lt;&gt;".",Irr!AL29&lt;&gt;".",Irr!BJ29&lt;&gt;"."),dir!AN29/((1/1000)*(Irr!N29+Irr!AL29+Irr!BJ29)),IF(AND(Irr!N29&lt;&gt;".",Irr!AL29&lt;&gt;".",Irr!BJ29="."),dir!AN29/((1/1000)*(Irr!N29+Irr!AL29)),IF(AND(Irr!N29&lt;&gt;".",Irr!AL29=".",Irr!BJ29&lt;&gt;"."),dir!AN29/((1/1000)*(Irr!N29+Irr!BJ29)),IF(AND(Irr!N29=".",Irr!AL29&lt;&gt;".",Irr!BJ29&lt;&gt;"."),dir!AN29/((1/1000)*(Irr!AL29+Irr!BJ29)),IF(AND(Irr!N29=".",Irr!AL29=".",Irr!BJ29&lt;&gt;"."),dir!AN29/((1/1000)*(Irr!BJ29)),IF(AND(Irr!N29=".",Irr!AL29&lt;&gt;".",Irr!BJ29="."),dir!AN29/((1/1000)*(Irr!AL29)),IF(AND(Irr!N29&lt;&gt;".",Irr!AL29=".",Irr!BJ29="."),dir!AN29/((1/1000)*(Irr!N29)),IF(AND(Irr!N29=".",Irr!AL29=".",Irr!BJ29="."),dir!AN29*1000)))))))),".")</f>
        <v>.</v>
      </c>
      <c r="AO29" s="76" t="str">
        <f>IFERROR(IF(AND(Irr!O29&lt;&gt;".",Irr!AM29&lt;&gt;".",Irr!BK29&lt;&gt;"."),dir!AO29/((1/1000)*(Irr!O29+Irr!AM29+Irr!BK29)),IF(AND(Irr!O29&lt;&gt;".",Irr!AM29&lt;&gt;".",Irr!BK29="."),dir!AO29/((1/1000)*(Irr!O29+Irr!AM29)),IF(AND(Irr!O29&lt;&gt;".",Irr!AM29=".",Irr!BK29&lt;&gt;"."),dir!AO29/((1/1000)*(Irr!O29+Irr!BK29)),IF(AND(Irr!O29=".",Irr!AM29&lt;&gt;".",Irr!BK29&lt;&gt;"."),dir!AO29/((1/1000)*(Irr!AM29+Irr!BK29)),IF(AND(Irr!O29=".",Irr!AM29=".",Irr!BK29&lt;&gt;"."),dir!AO29/((1/1000)*(Irr!BK29)),IF(AND(Irr!O29=".",Irr!AM29&lt;&gt;".",Irr!BK29="."),dir!AO29/((1/1000)*(Irr!AM29)),IF(AND(Irr!O29&lt;&gt;".",Irr!AM29=".",Irr!BK29="."),dir!AO29/((1/1000)*(Irr!O29)),IF(AND(Irr!O29=".",Irr!AM29=".",Irr!BK29="."),dir!AO29*1000)))))))),".")</f>
        <v>.</v>
      </c>
      <c r="AP29" s="76" t="str">
        <f>IFERROR(IF(AND(Irr!P29&lt;&gt;".",Irr!AN29&lt;&gt;".",Irr!BL29&lt;&gt;"."),dir!AP29/((1/1000)*(Irr!P29+Irr!AN29+Irr!BL29)),IF(AND(Irr!P29&lt;&gt;".",Irr!AN29&lt;&gt;".",Irr!BL29="."),dir!AP29/((1/1000)*(Irr!P29+Irr!AN29)),IF(AND(Irr!P29&lt;&gt;".",Irr!AN29=".",Irr!BL29&lt;&gt;"."),dir!AP29/((1/1000)*(Irr!P29+Irr!BL29)),IF(AND(Irr!P29=".",Irr!AN29&lt;&gt;".",Irr!BL29&lt;&gt;"."),dir!AP29/((1/1000)*(Irr!AN29+Irr!BL29)),IF(AND(Irr!P29=".",Irr!AN29=".",Irr!BL29&lt;&gt;"."),dir!AP29/((1/1000)*(Irr!BL29)),IF(AND(Irr!P29=".",Irr!AN29&lt;&gt;".",Irr!BL29="."),dir!AP29/((1/1000)*(Irr!AN29)),IF(AND(Irr!P29&lt;&gt;".",Irr!AN29=".",Irr!BL29="."),dir!AP29/((1/1000)*(Irr!P29)),IF(AND(Irr!P29=".",Irr!AN29=".",Irr!BL29="."),dir!AP29*1000)))))))),".")</f>
        <v>.</v>
      </c>
      <c r="AQ29" s="76" t="str">
        <f>IFERROR(IF(AND(Irr!Q29&lt;&gt;".",Irr!AO29&lt;&gt;".",Irr!BM29&lt;&gt;"."),dir!AQ29/((1/1000)*(Irr!Q29+Irr!AO29+Irr!BM29)),IF(AND(Irr!Q29&lt;&gt;".",Irr!AO29&lt;&gt;".",Irr!BM29="."),dir!AQ29/((1/1000)*(Irr!Q29+Irr!AO29)),IF(AND(Irr!Q29&lt;&gt;".",Irr!AO29=".",Irr!BM29&lt;&gt;"."),dir!AQ29/((1/1000)*(Irr!Q29+Irr!BM29)),IF(AND(Irr!Q29=".",Irr!AO29&lt;&gt;".",Irr!BM29&lt;&gt;"."),dir!AQ29/((1/1000)*(Irr!AO29+Irr!BM29)),IF(AND(Irr!Q29=".",Irr!AO29=".",Irr!BM29&lt;&gt;"."),dir!AQ29/((1/1000)*(Irr!BM29)),IF(AND(Irr!Q29=".",Irr!AO29&lt;&gt;".",Irr!BM29="."),dir!AQ29/((1/1000)*(Irr!AO29)),IF(AND(Irr!Q29&lt;&gt;".",Irr!AO29=".",Irr!BM29="."),dir!AQ29/((1/1000)*(Irr!Q29)),IF(AND(Irr!Q29=".",Irr!AO29=".",Irr!BM29="."),dir!AQ29*1000)))))))),".")</f>
        <v>.</v>
      </c>
      <c r="AR29" s="76" t="str">
        <f>IFERROR(IF(AND(Irr!R29&lt;&gt;".",Irr!AP29&lt;&gt;".",Irr!BN29&lt;&gt;"."),dir!AR29/((1/1000)*(Irr!R29+Irr!AP29+Irr!BN29)),IF(AND(Irr!R29&lt;&gt;".",Irr!AP29&lt;&gt;".",Irr!BN29="."),dir!AR29/((1/1000)*(Irr!R29+Irr!AP29)),IF(AND(Irr!R29&lt;&gt;".",Irr!AP29=".",Irr!BN29&lt;&gt;"."),dir!AR29/((1/1000)*(Irr!R29+Irr!BN29)),IF(AND(Irr!R29=".",Irr!AP29&lt;&gt;".",Irr!BN29&lt;&gt;"."),dir!AR29/((1/1000)*(Irr!AP29+Irr!BN29)),IF(AND(Irr!R29=".",Irr!AP29=".",Irr!BN29&lt;&gt;"."),dir!AR29/((1/1000)*(Irr!BN29)),IF(AND(Irr!R29=".",Irr!AP29&lt;&gt;".",Irr!BN29="."),dir!AR29/((1/1000)*(Irr!AP29)),IF(AND(Irr!R29&lt;&gt;".",Irr!AP29=".",Irr!BN29="."),dir!AR29/((1/1000)*(Irr!R29)),IF(AND(Irr!R29=".",Irr!AP29=".",Irr!BN29="."),dir!AR29*1000)))))))),".")</f>
        <v>.</v>
      </c>
      <c r="AS29" s="76" t="str">
        <f>IFERROR(IF(AND(Irr!S29&lt;&gt;".",Irr!AQ29&lt;&gt;".",Irr!BO29&lt;&gt;"."),dir!AS29/((1/1000)*(Irr!S29+Irr!AQ29+Irr!BO29)),IF(AND(Irr!S29&lt;&gt;".",Irr!AQ29&lt;&gt;".",Irr!BO29="."),dir!AS29/((1/1000)*(Irr!S29+Irr!AQ29)),IF(AND(Irr!S29&lt;&gt;".",Irr!AQ29=".",Irr!BO29&lt;&gt;"."),dir!AS29/((1/1000)*(Irr!S29+Irr!BO29)),IF(AND(Irr!S29=".",Irr!AQ29&lt;&gt;".",Irr!BO29&lt;&gt;"."),dir!AS29/((1/1000)*(Irr!AQ29+Irr!BO29)),IF(AND(Irr!S29=".",Irr!AQ29=".",Irr!BO29&lt;&gt;"."),dir!AS29/((1/1000)*(Irr!BO29)),IF(AND(Irr!S29=".",Irr!AQ29&lt;&gt;".",Irr!BO29="."),dir!AS29/((1/1000)*(Irr!AQ29)),IF(AND(Irr!S29&lt;&gt;".",Irr!AQ29=".",Irr!BO29="."),dir!AS29/((1/1000)*(Irr!S29)),IF(AND(Irr!S29=".",Irr!AQ29=".",Irr!BO29="."),dir!AS29*1000)))))))),".")</f>
        <v>.</v>
      </c>
      <c r="AT29" s="76" t="str">
        <f>IFERROR(IF(AND(Irr!T29&lt;&gt;".",Irr!AR29&lt;&gt;".",Irr!BP29&lt;&gt;"."),dir!AT29/((1/1000)*(Irr!T29+Irr!AR29+Irr!BP29)),IF(AND(Irr!T29&lt;&gt;".",Irr!AR29&lt;&gt;".",Irr!BP29="."),dir!AT29/((1/1000)*(Irr!T29+Irr!AR29)),IF(AND(Irr!T29&lt;&gt;".",Irr!AR29=".",Irr!BP29&lt;&gt;"."),dir!AT29/((1/1000)*(Irr!T29+Irr!BP29)),IF(AND(Irr!T29=".",Irr!AR29&lt;&gt;".",Irr!BP29&lt;&gt;"."),dir!AT29/((1/1000)*(Irr!AR29+Irr!BP29)),IF(AND(Irr!T29=".",Irr!AR29=".",Irr!BP29&lt;&gt;"."),dir!AT29/((1/1000)*(Irr!BP29)),IF(AND(Irr!T29=".",Irr!AR29&lt;&gt;".",Irr!BP29="."),dir!AT29/((1/1000)*(Irr!AR29)),IF(AND(Irr!T29&lt;&gt;".",Irr!AR29=".",Irr!BP29="."),dir!AT29/((1/1000)*(Irr!T29)),IF(AND(Irr!T29=".",Irr!AR29=".",Irr!BP29="."),dir!AT29*1000)))))))),".")</f>
        <v>.</v>
      </c>
      <c r="AU29" s="76" t="str">
        <f>IFERROR(IF(AND(Irr!U29&lt;&gt;".",Irr!AS29&lt;&gt;".",Irr!BQ29&lt;&gt;"."),dir!AU29/((1/1000)*(Irr!U29+Irr!AS29+Irr!BQ29)),IF(AND(Irr!U29&lt;&gt;".",Irr!AS29&lt;&gt;".",Irr!BQ29="."),dir!AU29/((1/1000)*(Irr!U29+Irr!AS29)),IF(AND(Irr!U29&lt;&gt;".",Irr!AS29=".",Irr!BQ29&lt;&gt;"."),dir!AU29/((1/1000)*(Irr!U29+Irr!BQ29)),IF(AND(Irr!U29=".",Irr!AS29&lt;&gt;".",Irr!BQ29&lt;&gt;"."),dir!AU29/((1/1000)*(Irr!AS29+Irr!BQ29)),IF(AND(Irr!U29=".",Irr!AS29=".",Irr!BQ29&lt;&gt;"."),dir!AU29/((1/1000)*(Irr!BQ29)),IF(AND(Irr!U29=".",Irr!AS29&lt;&gt;".",Irr!BQ29="."),dir!AU29/((1/1000)*(Irr!AS29)),IF(AND(Irr!U29&lt;&gt;".",Irr!AS29=".",Irr!BQ29="."),dir!AU29/((1/1000)*(Irr!U29)),IF(AND(Irr!U29=".",Irr!AS29=".",Irr!BQ29="."),dir!AU29*1000)))))))),".")</f>
        <v>.</v>
      </c>
      <c r="AV29" s="76" t="str">
        <f>IFERROR(IF(AND(Irr!V29&lt;&gt;".",Irr!AT29&lt;&gt;".",Irr!BR29&lt;&gt;"."),dir!AV29/((1/1000)*(Irr!V29+Irr!AT29+Irr!BR29)),IF(AND(Irr!V29&lt;&gt;".",Irr!AT29&lt;&gt;".",Irr!BR29="."),dir!AV29/((1/1000)*(Irr!V29+Irr!AT29)),IF(AND(Irr!V29&lt;&gt;".",Irr!AT29=".",Irr!BR29&lt;&gt;"."),dir!AV29/((1/1000)*(Irr!V29+Irr!BR29)),IF(AND(Irr!V29=".",Irr!AT29&lt;&gt;".",Irr!BR29&lt;&gt;"."),dir!AV29/((1/1000)*(Irr!AT29+Irr!BR29)),IF(AND(Irr!V29=".",Irr!AT29=".",Irr!BR29&lt;&gt;"."),dir!AV29/((1/1000)*(Irr!BR29)),IF(AND(Irr!V29=".",Irr!AT29&lt;&gt;".",Irr!BR29="."),dir!AV29/((1/1000)*(Irr!AT29)),IF(AND(Irr!V29&lt;&gt;".",Irr!AT29=".",Irr!BR29="."),dir!AV29/((1/1000)*(Irr!V29)),IF(AND(Irr!V29=".",Irr!AT29=".",Irr!BR29="."),dir!AV29*1000)))))))),".")</f>
        <v>.</v>
      </c>
      <c r="AW29" s="76" t="str">
        <f>IFERROR(IF(AND(Irr!W29&lt;&gt;".",Irr!AU29&lt;&gt;".",Irr!BS29&lt;&gt;"."),dir!AW29/((1/1000)*(Irr!W29+Irr!AU29+Irr!BS29)),IF(AND(Irr!W29&lt;&gt;".",Irr!AU29&lt;&gt;".",Irr!BS29="."),dir!AW29/((1/1000)*(Irr!W29+Irr!AU29)),IF(AND(Irr!W29&lt;&gt;".",Irr!AU29=".",Irr!BS29&lt;&gt;"."),dir!AW29/((1/1000)*(Irr!W29+Irr!BS29)),IF(AND(Irr!W29=".",Irr!AU29&lt;&gt;".",Irr!BS29&lt;&gt;"."),dir!AW29/((1/1000)*(Irr!AU29+Irr!BS29)),IF(AND(Irr!W29=".",Irr!AU29=".",Irr!BS29&lt;&gt;"."),dir!AW29/((1/1000)*(Irr!BS29)),IF(AND(Irr!W29=".",Irr!AU29&lt;&gt;".",Irr!BS29="."),dir!AW29/((1/1000)*(Irr!AU29)),IF(AND(Irr!W29&lt;&gt;".",Irr!AU29=".",Irr!BS29="."),dir!AW29/((1/1000)*(Irr!W29)),IF(AND(Irr!W29=".",Irr!AU29=".",Irr!BS29="."),dir!AW29*1000)))))))),".")</f>
        <v>.</v>
      </c>
      <c r="AX29" s="76" t="str">
        <f>IFERROR(IF(AND(Irr!X29&lt;&gt;".",Irr!AV29&lt;&gt;".",Irr!BT29&lt;&gt;"."),dir!AX29/((1/1000)*(Irr!X29+Irr!AV29+Irr!BT29)),IF(AND(Irr!X29&lt;&gt;".",Irr!AV29&lt;&gt;".",Irr!BT29="."),dir!AX29/((1/1000)*(Irr!X29+Irr!AV29)),IF(AND(Irr!X29&lt;&gt;".",Irr!AV29=".",Irr!BT29&lt;&gt;"."),dir!AX29/((1/1000)*(Irr!X29+Irr!BT29)),IF(AND(Irr!X29=".",Irr!AV29&lt;&gt;".",Irr!BT29&lt;&gt;"."),dir!AX29/((1/1000)*(Irr!AV29+Irr!BT29)),IF(AND(Irr!X29=".",Irr!AV29=".",Irr!BT29&lt;&gt;"."),dir!AX29/((1/1000)*(Irr!BT29)),IF(AND(Irr!X29=".",Irr!AV29&lt;&gt;".",Irr!BT29="."),dir!AX29/((1/1000)*(Irr!AV29)),IF(AND(Irr!X29&lt;&gt;".",Irr!AV29=".",Irr!BT29="."),dir!AX29/((1/1000)*(Irr!X29)),IF(AND(Irr!X29=".",Irr!AV29=".",Irr!BT29="."),dir!AX29*1000)))))))),".")</f>
        <v>.</v>
      </c>
      <c r="AY29" s="76" t="str">
        <f>IFERROR(IF(AND(Irr!Y29&lt;&gt;".",Irr!AW29&lt;&gt;".",Irr!BU29&lt;&gt;"."),dir!AY29/((1/1000)*(Irr!Y29+Irr!AW29+Irr!BU29)),IF(AND(Irr!Y29&lt;&gt;".",Irr!AW29&lt;&gt;".",Irr!BU29="."),dir!AY29/((1/1000)*(Irr!Y29+Irr!AW29)),IF(AND(Irr!Y29&lt;&gt;".",Irr!AW29=".",Irr!BU29&lt;&gt;"."),dir!AY29/((1/1000)*(Irr!Y29+Irr!BU29)),IF(AND(Irr!Y29=".",Irr!AW29&lt;&gt;".",Irr!BU29&lt;&gt;"."),dir!AY29/((1/1000)*(Irr!AW29+Irr!BU29)),IF(AND(Irr!Y29=".",Irr!AW29=".",Irr!BU29&lt;&gt;"."),dir!AY29/((1/1000)*(Irr!BU29)),IF(AND(Irr!Y29=".",Irr!AW29&lt;&gt;".",Irr!BU29="."),dir!AY29/((1/1000)*(Irr!AW29)),IF(AND(Irr!Y29&lt;&gt;".",Irr!AW29=".",Irr!BU29="."),dir!AY29/((1/1000)*(Irr!Y29)),IF(AND(Irr!Y29=".",Irr!AW29=".",Irr!BU29="."),dir!AY29*1000)))))))),".")</f>
        <v>.</v>
      </c>
      <c r="AZ29" s="76" t="str">
        <f>IFERROR(IF(AND(Irr!Z29&lt;&gt;".",Irr!AX29&lt;&gt;".",Irr!BV29&lt;&gt;"."),dir!AZ29/((1/1000)*(Irr!Z29+Irr!AX29+Irr!BV29)),IF(AND(Irr!Z29&lt;&gt;".",Irr!AX29&lt;&gt;".",Irr!BV29="."),dir!AZ29/((1/1000)*(Irr!Z29+Irr!AX29)),IF(AND(Irr!Z29&lt;&gt;".",Irr!AX29=".",Irr!BV29&lt;&gt;"."),dir!AZ29/((1/1000)*(Irr!Z29+Irr!BV29)),IF(AND(Irr!Z29=".",Irr!AX29&lt;&gt;".",Irr!BV29&lt;&gt;"."),dir!AZ29/((1/1000)*(Irr!AX29+Irr!BV29)),IF(AND(Irr!Z29=".",Irr!AX29=".",Irr!BV29&lt;&gt;"."),dir!AZ29/((1/1000)*(Irr!BV29)),IF(AND(Irr!Z29=".",Irr!AX29&lt;&gt;".",Irr!BV29="."),dir!AZ29/((1/1000)*(Irr!AX29)),IF(AND(Irr!Z29&lt;&gt;".",Irr!AX29=".",Irr!BV29="."),dir!AZ29/((1/1000)*(Irr!Z29)),IF(AND(Irr!Z29=".",Irr!AX29=".",Irr!BV29="."),dir!AZ29*1000)))))))),".")</f>
        <v>.</v>
      </c>
    </row>
    <row r="30" spans="1:52" ht="15" customHeight="1" x14ac:dyDescent="0.25">
      <c r="A30" s="92" t="s">
        <v>40</v>
      </c>
      <c r="B30" s="90" t="s">
        <v>1074</v>
      </c>
      <c r="C30" s="76">
        <f t="shared" ref="C30" si="24">IFERROR(1/SUM(1/D30,1/E30,1/F30,1/G30,1/H30,1/I30,1/J30,1/K30,1/L30,1/M30,1/N30,1/O30,1/P30,1/Q30,1/R30,1/S30,1/T30,1/U30,1/V30,1/W30,1/X30,1/Y30),".")</f>
        <v>0.21830119821469551</v>
      </c>
      <c r="D30" s="76">
        <f>IFERROR(IF(AND(Irr!C30&lt;&gt;".",Irr!AA30&lt;&gt;".",Irr!AY30&lt;&gt;"."),dir!D30/((1/1000)*(Irr!C30+Irr!AA30+Irr!AY30)),IF(AND(Irr!C30&lt;&gt;".",Irr!AA30&lt;&gt;".",Irr!AY30="."),dir!D30/((1/1000)*(Irr!C30+Irr!AA30)),IF(AND(Irr!C30&lt;&gt;".",Irr!AA30=".",Irr!AY30&lt;&gt;"."),dir!D30/((1/1000)*(Irr!C30+Irr!AY30)),IF(AND(Irr!C30=".",Irr!AA30&lt;&gt;".",Irr!AY30&lt;&gt;"."),dir!D30/((1/1000)*(Irr!AA30+Irr!AY30)),IF(AND(Irr!C30=".",Irr!AA30=".",Irr!AY30&lt;&gt;"."),dir!D30/((1/1000)*(Irr!AY30)),IF(AND(Irr!C30=".",Irr!AA30&lt;&gt;".",Irr!AY30="."),dir!D30/((1/1000)*(Irr!AA30)),IF(AND(Irr!C30&lt;&gt;".",Irr!AA30=".",Irr!AY30="."),dir!D30/((1/1000)*(Irr!C30)),IF(AND(Irr!C30=".",Irr!AA30=".",Irr!AY30="."),dir!D30*1000)))))))),".")</f>
        <v>4.1949472243638892</v>
      </c>
      <c r="E30" s="76">
        <f>IFERROR(IF(AND(Irr!D30&lt;&gt;".",Irr!AB30&lt;&gt;".",Irr!AZ30&lt;&gt;"."),dir!E30/((1/1000)*(Irr!D30+Irr!AB30+Irr!AZ30)),IF(AND(Irr!D30&lt;&gt;".",Irr!AB30&lt;&gt;".",Irr!AZ30="."),dir!E30/((1/1000)*(Irr!D30+Irr!AB30)),IF(AND(Irr!D30&lt;&gt;".",Irr!AB30=".",Irr!AZ30&lt;&gt;"."),dir!E30/((1/1000)*(Irr!D30+Irr!AZ30)),IF(AND(Irr!D30=".",Irr!AB30&lt;&gt;".",Irr!AZ30&lt;&gt;"."),dir!E30/((1/1000)*(Irr!AB30+Irr!AZ30)),IF(AND(Irr!D30=".",Irr!AB30=".",Irr!AZ30&lt;&gt;"."),dir!E30/((1/1000)*(Irr!AZ30)),IF(AND(Irr!D30=".",Irr!AB30&lt;&gt;".",Irr!AZ30="."),dir!E30/((1/1000)*(Irr!AB30)),IF(AND(Irr!D30&lt;&gt;".",Irr!AB30=".",Irr!AZ30="."),dir!E30/((1/1000)*(Irr!D30)),IF(AND(Irr!D30=".",Irr!AB30=".",Irr!AZ30="."),dir!E30*1000)))))))),".")</f>
        <v>7.8783991621834097</v>
      </c>
      <c r="F30" s="76">
        <f>IFERROR(IF(AND(Irr!E30&lt;&gt;".",Irr!AC30&lt;&gt;".",Irr!BA30&lt;&gt;"."),dir!F30/((1/1000)*(Irr!E30+Irr!AC30+Irr!BA30)),IF(AND(Irr!E30&lt;&gt;".",Irr!AC30&lt;&gt;".",Irr!BA30="."),dir!F30/((1/1000)*(Irr!E30+Irr!AC30)),IF(AND(Irr!E30&lt;&gt;".",Irr!AC30=".",Irr!BA30&lt;&gt;"."),dir!F30/((1/1000)*(Irr!E30+Irr!BA30)),IF(AND(Irr!E30=".",Irr!AC30&lt;&gt;".",Irr!BA30&lt;&gt;"."),dir!F30/((1/1000)*(Irr!AC30+Irr!BA30)),IF(AND(Irr!E30=".",Irr!AC30=".",Irr!BA30&lt;&gt;"."),dir!F30/((1/1000)*(Irr!BA30)),IF(AND(Irr!E30=".",Irr!AC30&lt;&gt;".",Irr!BA30="."),dir!F30/((1/1000)*(Irr!AC30)),IF(AND(Irr!E30&lt;&gt;".",Irr!AC30=".",Irr!BA30="."),dir!F30/((1/1000)*(Irr!E30)),IF(AND(Irr!E30=".",Irr!AC30=".",Irr!BA30="."),dir!F30*1000)))))))),".")</f>
        <v>10.644554471969412</v>
      </c>
      <c r="G30" s="76">
        <f>IFERROR(IF(AND(Irr!F30&lt;&gt;".",Irr!AD30&lt;&gt;".",Irr!BB30&lt;&gt;"."),dir!G30/((1/1000)*(Irr!F30+Irr!AD30+Irr!BB30)),IF(AND(Irr!F30&lt;&gt;".",Irr!AD30&lt;&gt;".",Irr!BB30="."),dir!G30/((1/1000)*(Irr!F30+Irr!AD30)),IF(AND(Irr!F30&lt;&gt;".",Irr!AD30=".",Irr!BB30&lt;&gt;"."),dir!G30/((1/1000)*(Irr!F30+Irr!BB30)),IF(AND(Irr!F30=".",Irr!AD30&lt;&gt;".",Irr!BB30&lt;&gt;"."),dir!G30/((1/1000)*(Irr!AD30+Irr!BB30)),IF(AND(Irr!F30=".",Irr!AD30=".",Irr!BB30&lt;&gt;"."),dir!G30/((1/1000)*(Irr!BB30)),IF(AND(Irr!F30=".",Irr!AD30&lt;&gt;".",Irr!BB30="."),dir!G30/((1/1000)*(Irr!AD30)),IF(AND(Irr!F30&lt;&gt;".",Irr!AD30=".",Irr!BB30="."),dir!G30/((1/1000)*(Irr!F30)),IF(AND(Irr!F30=".",Irr!AD30=".",Irr!BB30="."),dir!G30*1000)))))))),".")</f>
        <v>9.3964500500632635</v>
      </c>
      <c r="H30" s="76">
        <f>IFERROR(IF(AND(Irr!G30&lt;&gt;".",Irr!AE30&lt;&gt;".",Irr!BC30&lt;&gt;"."),dir!H30/((1/1000)*(Irr!G30+Irr!AE30+Irr!BC30)),IF(AND(Irr!G30&lt;&gt;".",Irr!AE30&lt;&gt;".",Irr!BC30="."),dir!H30/((1/1000)*(Irr!G30+Irr!AE30)),IF(AND(Irr!G30&lt;&gt;".",Irr!AE30=".",Irr!BC30&lt;&gt;"."),dir!H30/((1/1000)*(Irr!G30+Irr!BC30)),IF(AND(Irr!G30=".",Irr!AE30&lt;&gt;".",Irr!BC30&lt;&gt;"."),dir!H30/((1/1000)*(Irr!AE30+Irr!BC30)),IF(AND(Irr!G30=".",Irr!AE30=".",Irr!BC30&lt;&gt;"."),dir!H30/((1/1000)*(Irr!BC30)),IF(AND(Irr!G30=".",Irr!AE30&lt;&gt;".",Irr!BC30="."),dir!H30/((1/1000)*(Irr!AE30)),IF(AND(Irr!G30&lt;&gt;".",Irr!AE30=".",Irr!BC30="."),dir!H30/((1/1000)*(Irr!G30)),IF(AND(Irr!G30=".",Irr!AE30=".",Irr!BC30="."),dir!H30*1000)))))))),".")</f>
        <v>9.7313470818544161</v>
      </c>
      <c r="I30" s="76">
        <f>IFERROR(IF(AND(Irr!H30&lt;&gt;".",Irr!AF30&lt;&gt;".",Irr!BD30&lt;&gt;"."),dir!I30/((1/1000)*(Irr!H30+Irr!AF30+Irr!BD30)),IF(AND(Irr!H30&lt;&gt;".",Irr!AF30&lt;&gt;".",Irr!BD30="."),dir!I30/((1/1000)*(Irr!H30+Irr!AF30)),IF(AND(Irr!H30&lt;&gt;".",Irr!AF30=".",Irr!BD30&lt;&gt;"."),dir!I30/((1/1000)*(Irr!H30+Irr!BD30)),IF(AND(Irr!H30=".",Irr!AF30&lt;&gt;".",Irr!BD30&lt;&gt;"."),dir!I30/((1/1000)*(Irr!AF30+Irr!BD30)),IF(AND(Irr!H30=".",Irr!AF30=".",Irr!BD30&lt;&gt;"."),dir!I30/((1/1000)*(Irr!BD30)),IF(AND(Irr!H30=".",Irr!AF30&lt;&gt;".",Irr!BD30="."),dir!I30/((1/1000)*(Irr!AF30)),IF(AND(Irr!H30&lt;&gt;".",Irr!AF30=".",Irr!BD30="."),dir!I30/((1/1000)*(Irr!H30)),IF(AND(Irr!H30=".",Irr!AF30=".",Irr!BD30="."),dir!I30*1000)))))))),".")</f>
        <v>3.5276260098335404</v>
      </c>
      <c r="J30" s="76">
        <f>IFERROR(IF(AND(Irr!I30&lt;&gt;".",Irr!AG30&lt;&gt;".",Irr!BE30&lt;&gt;"."),dir!J30/((1/1000)*(Irr!I30+Irr!AG30+Irr!BE30)),IF(AND(Irr!I30&lt;&gt;".",Irr!AG30&lt;&gt;".",Irr!BE30="."),dir!J30/((1/1000)*(Irr!I30+Irr!AG30)),IF(AND(Irr!I30&lt;&gt;".",Irr!AG30=".",Irr!BE30&lt;&gt;"."),dir!J30/((1/1000)*(Irr!I30+Irr!BE30)),IF(AND(Irr!I30=".",Irr!AG30&lt;&gt;".",Irr!BE30&lt;&gt;"."),dir!J30/((1/1000)*(Irr!AG30+Irr!BE30)),IF(AND(Irr!I30=".",Irr!AG30=".",Irr!BE30&lt;&gt;"."),dir!J30/((1/1000)*(Irr!BE30)),IF(AND(Irr!I30=".",Irr!AG30&lt;&gt;".",Irr!BE30="."),dir!J30/((1/1000)*(Irr!AG30)),IF(AND(Irr!I30&lt;&gt;".",Irr!AG30=".",Irr!BE30="."),dir!J30/((1/1000)*(Irr!I30)),IF(AND(Irr!I30=".",Irr!AG30=".",Irr!BE30="."),dir!J30*1000)))))))),".")</f>
        <v>11.754585162889001</v>
      </c>
      <c r="K30" s="76">
        <f>IFERROR(IF(AND(Irr!J30&lt;&gt;".",Irr!AH30&lt;&gt;".",Irr!BF30&lt;&gt;"."),dir!K30/((1/1000)*(Irr!J30+Irr!AH30+Irr!BF30)),IF(AND(Irr!J30&lt;&gt;".",Irr!AH30&lt;&gt;".",Irr!BF30="."),dir!K30/((1/1000)*(Irr!J30+Irr!AH30)),IF(AND(Irr!J30&lt;&gt;".",Irr!AH30=".",Irr!BF30&lt;&gt;"."),dir!K30/((1/1000)*(Irr!J30+Irr!BF30)),IF(AND(Irr!J30=".",Irr!AH30&lt;&gt;".",Irr!BF30&lt;&gt;"."),dir!K30/((1/1000)*(Irr!AH30+Irr!BF30)),IF(AND(Irr!J30=".",Irr!AH30=".",Irr!BF30&lt;&gt;"."),dir!K30/((1/1000)*(Irr!BF30)),IF(AND(Irr!J30=".",Irr!AH30&lt;&gt;".",Irr!BF30="."),dir!K30/((1/1000)*(Irr!AH30)),IF(AND(Irr!J30&lt;&gt;".",Irr!AH30=".",Irr!BF30="."),dir!K30/((1/1000)*(Irr!J30)),IF(AND(Irr!J30=".",Irr!AH30=".",Irr!BF30="."),dir!K30*1000)))))))),".")</f>
        <v>1.0881642212941178</v>
      </c>
      <c r="L30" s="76">
        <f>IFERROR(IF(AND(Irr!K30&lt;&gt;".",Irr!AI30&lt;&gt;".",Irr!BG30&lt;&gt;"."),dir!L30/((1/1000)*(Irr!K30+Irr!AI30+Irr!BG30)),IF(AND(Irr!K30&lt;&gt;".",Irr!AI30&lt;&gt;".",Irr!BG30="."),dir!L30/((1/1000)*(Irr!K30+Irr!AI30)),IF(AND(Irr!K30&lt;&gt;".",Irr!AI30=".",Irr!BG30&lt;&gt;"."),dir!L30/((1/1000)*(Irr!K30+Irr!BG30)),IF(AND(Irr!K30=".",Irr!AI30&lt;&gt;".",Irr!BG30&lt;&gt;"."),dir!L30/((1/1000)*(Irr!AI30+Irr!BG30)),IF(AND(Irr!K30=".",Irr!AI30=".",Irr!BG30&lt;&gt;"."),dir!L30/((1/1000)*(Irr!BG30)),IF(AND(Irr!K30=".",Irr!AI30&lt;&gt;".",Irr!BG30="."),dir!L30/((1/1000)*(Irr!AI30)),IF(AND(Irr!K30&lt;&gt;".",Irr!AI30=".",Irr!BG30="."),dir!L30/((1/1000)*(Irr!K30)),IF(AND(Irr!K30=".",Irr!AI30=".",Irr!BG30="."),dir!L30*1000)))))))),".")</f>
        <v>5.2618971001904535</v>
      </c>
      <c r="M30" s="76">
        <f>IFERROR(IF(AND(Irr!L30&lt;&gt;".",Irr!AJ30&lt;&gt;".",Irr!BH30&lt;&gt;"."),dir!M30/((1/1000)*(Irr!L30+Irr!AJ30+Irr!BH30)),IF(AND(Irr!L30&lt;&gt;".",Irr!AJ30&lt;&gt;".",Irr!BH30="."),dir!M30/((1/1000)*(Irr!L30+Irr!AJ30)),IF(AND(Irr!L30&lt;&gt;".",Irr!AJ30=".",Irr!BH30&lt;&gt;"."),dir!M30/((1/1000)*(Irr!L30+Irr!BH30)),IF(AND(Irr!L30=".",Irr!AJ30&lt;&gt;".",Irr!BH30&lt;&gt;"."),dir!M30/((1/1000)*(Irr!AJ30+Irr!BH30)),IF(AND(Irr!L30=".",Irr!AJ30=".",Irr!BH30&lt;&gt;"."),dir!M30/((1/1000)*(Irr!BH30)),IF(AND(Irr!L30=".",Irr!AJ30&lt;&gt;".",Irr!BH30="."),dir!M30/((1/1000)*(Irr!AJ30)),IF(AND(Irr!L30&lt;&gt;".",Irr!AJ30=".",Irr!BH30="."),dir!M30/((1/1000)*(Irr!L30)),IF(AND(Irr!L30=".",Irr!AJ30=".",Irr!BH30="."),dir!M30*1000)))))))),".")</f>
        <v>3.91632603513052</v>
      </c>
      <c r="N30" s="76">
        <f>IFERROR(IF(AND(Irr!M30&lt;&gt;".",Irr!AK30&lt;&gt;".",Irr!BI30&lt;&gt;"."),dir!N30/((1/1000)*(Irr!M30+Irr!AK30+Irr!BI30)),IF(AND(Irr!M30&lt;&gt;".",Irr!AK30&lt;&gt;".",Irr!BI30="."),dir!N30/((1/1000)*(Irr!M30+Irr!AK30)),IF(AND(Irr!M30&lt;&gt;".",Irr!AK30=".",Irr!BI30&lt;&gt;"."),dir!N30/((1/1000)*(Irr!M30+Irr!BI30)),IF(AND(Irr!M30=".",Irr!AK30&lt;&gt;".",Irr!BI30&lt;&gt;"."),dir!N30/((1/1000)*(Irr!AK30+Irr!BI30)),IF(AND(Irr!M30=".",Irr!AK30=".",Irr!BI30&lt;&gt;"."),dir!N30/((1/1000)*(Irr!BI30)),IF(AND(Irr!M30=".",Irr!AK30&lt;&gt;".",Irr!BI30="."),dir!N30/((1/1000)*(Irr!AK30)),IF(AND(Irr!M30&lt;&gt;".",Irr!AK30=".",Irr!BI30="."),dir!N30/((1/1000)*(Irr!M30)),IF(AND(Irr!M30=".",Irr!AK30=".",Irr!BI30="."),dir!N30*1000)))))))),".")</f>
        <v>7.855548912826019</v>
      </c>
      <c r="O30" s="76">
        <f>IFERROR(IF(AND(Irr!N30&lt;&gt;".",Irr!AL30&lt;&gt;".",Irr!BJ30&lt;&gt;"."),dir!O30/((1/1000)*(Irr!N30+Irr!AL30+Irr!BJ30)),IF(AND(Irr!N30&lt;&gt;".",Irr!AL30&lt;&gt;".",Irr!BJ30="."),dir!O30/((1/1000)*(Irr!N30+Irr!AL30)),IF(AND(Irr!N30&lt;&gt;".",Irr!AL30=".",Irr!BJ30&lt;&gt;"."),dir!O30/((1/1000)*(Irr!N30+Irr!BJ30)),IF(AND(Irr!N30=".",Irr!AL30&lt;&gt;".",Irr!BJ30&lt;&gt;"."),dir!O30/((1/1000)*(Irr!AL30+Irr!BJ30)),IF(AND(Irr!N30=".",Irr!AL30=".",Irr!BJ30&lt;&gt;"."),dir!O30/((1/1000)*(Irr!BJ30)),IF(AND(Irr!N30=".",Irr!AL30&lt;&gt;".",Irr!BJ30="."),dir!O30/((1/1000)*(Irr!AL30)),IF(AND(Irr!N30&lt;&gt;".",Irr!AL30=".",Irr!BJ30="."),dir!O30/((1/1000)*(Irr!N30)),IF(AND(Irr!N30=".",Irr!AL30=".",Irr!BJ30="."),dir!O30*1000)))))))),".")</f>
        <v>10.684739042967641</v>
      </c>
      <c r="P30" s="76">
        <f>IFERROR(IF(AND(Irr!O30&lt;&gt;".",Irr!AM30&lt;&gt;".",Irr!BK30&lt;&gt;"."),dir!P30/((1/1000)*(Irr!O30+Irr!AM30+Irr!BK30)),IF(AND(Irr!O30&lt;&gt;".",Irr!AM30&lt;&gt;".",Irr!BK30="."),dir!P30/((1/1000)*(Irr!O30+Irr!AM30)),IF(AND(Irr!O30&lt;&gt;".",Irr!AM30=".",Irr!BK30&lt;&gt;"."),dir!P30/((1/1000)*(Irr!O30+Irr!BK30)),IF(AND(Irr!O30=".",Irr!AM30&lt;&gt;".",Irr!BK30&lt;&gt;"."),dir!P30/((1/1000)*(Irr!AM30+Irr!BK30)),IF(AND(Irr!O30=".",Irr!AM30=".",Irr!BK30&lt;&gt;"."),dir!P30/((1/1000)*(Irr!BK30)),IF(AND(Irr!O30=".",Irr!AM30&lt;&gt;".",Irr!BK30="."),dir!P30/((1/1000)*(Irr!AM30)),IF(AND(Irr!O30&lt;&gt;".",Irr!AM30=".",Irr!BK30="."),dir!P30/((1/1000)*(Irr!O30)),IF(AND(Irr!O30=".",Irr!AM30=".",Irr!BK30="."),dir!P30*1000)))))))),".")</f>
        <v>11.086099904132327</v>
      </c>
      <c r="Q30" s="76">
        <f>IFERROR(IF(AND(Irr!P30&lt;&gt;".",Irr!AN30&lt;&gt;".",Irr!BL30&lt;&gt;"."),dir!Q30/((1/1000)*(Irr!P30+Irr!AN30+Irr!BL30)),IF(AND(Irr!P30&lt;&gt;".",Irr!AN30&lt;&gt;".",Irr!BL30="."),dir!Q30/((1/1000)*(Irr!P30+Irr!AN30)),IF(AND(Irr!P30&lt;&gt;".",Irr!AN30=".",Irr!BL30&lt;&gt;"."),dir!Q30/((1/1000)*(Irr!P30+Irr!BL30)),IF(AND(Irr!P30=".",Irr!AN30&lt;&gt;".",Irr!BL30&lt;&gt;"."),dir!Q30/((1/1000)*(Irr!AN30+Irr!BL30)),IF(AND(Irr!P30=".",Irr!AN30=".",Irr!BL30&lt;&gt;"."),dir!Q30/((1/1000)*(Irr!BL30)),IF(AND(Irr!P30=".",Irr!AN30&lt;&gt;".",Irr!BL30="."),dir!Q30/((1/1000)*(Irr!AN30)),IF(AND(Irr!P30&lt;&gt;".",Irr!AN30=".",Irr!BL30="."),dir!Q30/((1/1000)*(Irr!P30)),IF(AND(Irr!P30=".",Irr!AN30=".",Irr!BL30="."),dir!Q30*1000)))))))),".")</f>
        <v>14.969239829199454</v>
      </c>
      <c r="R30" s="76">
        <f>IFERROR(IF(AND(Irr!Q30&lt;&gt;".",Irr!AO30&lt;&gt;".",Irr!BM30&lt;&gt;"."),dir!R30/((1/1000)*(Irr!Q30+Irr!AO30+Irr!BM30)),IF(AND(Irr!Q30&lt;&gt;".",Irr!AO30&lt;&gt;".",Irr!BM30="."),dir!R30/((1/1000)*(Irr!Q30+Irr!AO30)),IF(AND(Irr!Q30&lt;&gt;".",Irr!AO30=".",Irr!BM30&lt;&gt;"."),dir!R30/((1/1000)*(Irr!Q30+Irr!BM30)),IF(AND(Irr!Q30=".",Irr!AO30&lt;&gt;".",Irr!BM30&lt;&gt;"."),dir!R30/((1/1000)*(Irr!AO30+Irr!BM30)),IF(AND(Irr!Q30=".",Irr!AO30=".",Irr!BM30&lt;&gt;"."),dir!R30/((1/1000)*(Irr!BM30)),IF(AND(Irr!Q30=".",Irr!AO30&lt;&gt;".",Irr!BM30="."),dir!R30/((1/1000)*(Irr!AO30)),IF(AND(Irr!Q30&lt;&gt;".",Irr!AO30=".",Irr!BM30="."),dir!R30/((1/1000)*(Irr!Q30)),IF(AND(Irr!Q30=".",Irr!AO30=".",Irr!BM30="."),dir!R30*1000)))))))),".")</f>
        <v>2.6828660663603405</v>
      </c>
      <c r="S30" s="76">
        <f>IFERROR(IF(AND(Irr!R30&lt;&gt;".",Irr!AP30&lt;&gt;".",Irr!BN30&lt;&gt;"."),dir!S30/((1/1000)*(Irr!R30+Irr!AP30+Irr!BN30)),IF(AND(Irr!R30&lt;&gt;".",Irr!AP30&lt;&gt;".",Irr!BN30="."),dir!S30/((1/1000)*(Irr!R30+Irr!AP30)),IF(AND(Irr!R30&lt;&gt;".",Irr!AP30=".",Irr!BN30&lt;&gt;"."),dir!S30/((1/1000)*(Irr!R30+Irr!BN30)),IF(AND(Irr!R30=".",Irr!AP30&lt;&gt;".",Irr!BN30&lt;&gt;"."),dir!S30/((1/1000)*(Irr!AP30+Irr!BN30)),IF(AND(Irr!R30=".",Irr!AP30=".",Irr!BN30&lt;&gt;"."),dir!S30/((1/1000)*(Irr!BN30)),IF(AND(Irr!R30=".",Irr!AP30&lt;&gt;".",Irr!BN30="."),dir!S30/((1/1000)*(Irr!AP30)),IF(AND(Irr!R30&lt;&gt;".",Irr!AP30=".",Irr!BN30="."),dir!S30/((1/1000)*(Irr!R30)),IF(AND(Irr!R30=".",Irr!AP30=".",Irr!BN30="."),dir!S30*1000)))))))),".")</f>
        <v>5.5715783728127848</v>
      </c>
      <c r="T30" s="76">
        <f>IFERROR(IF(AND(Irr!S30&lt;&gt;".",Irr!AQ30&lt;&gt;".",Irr!BO30&lt;&gt;"."),dir!T30/((1/1000)*(Irr!S30+Irr!AQ30+Irr!BO30)),IF(AND(Irr!S30&lt;&gt;".",Irr!AQ30&lt;&gt;".",Irr!BO30="."),dir!T30/((1/1000)*(Irr!S30+Irr!AQ30)),IF(AND(Irr!S30&lt;&gt;".",Irr!AQ30=".",Irr!BO30&lt;&gt;"."),dir!T30/((1/1000)*(Irr!S30+Irr!BO30)),IF(AND(Irr!S30=".",Irr!AQ30&lt;&gt;".",Irr!BO30&lt;&gt;"."),dir!T30/((1/1000)*(Irr!AQ30+Irr!BO30)),IF(AND(Irr!S30=".",Irr!AQ30=".",Irr!BO30&lt;&gt;"."),dir!T30/((1/1000)*(Irr!BO30)),IF(AND(Irr!S30=".",Irr!AQ30&lt;&gt;".",Irr!BO30="."),dir!T30/((1/1000)*(Irr!AQ30)),IF(AND(Irr!S30&lt;&gt;".",Irr!AQ30=".",Irr!BO30="."),dir!T30/((1/1000)*(Irr!S30)),IF(AND(Irr!S30=".",Irr!AQ30=".",Irr!BO30="."),dir!T30*1000)))))))),".")</f>
        <v>8.7798692950992407</v>
      </c>
      <c r="U30" s="76">
        <f>IFERROR(IF(AND(Irr!T30&lt;&gt;".",Irr!AR30&lt;&gt;".",Irr!BP30&lt;&gt;"."),dir!U30/((1/1000)*(Irr!T30+Irr!AR30+Irr!BP30)),IF(AND(Irr!T30&lt;&gt;".",Irr!AR30&lt;&gt;".",Irr!BP30="."),dir!U30/((1/1000)*(Irr!T30+Irr!AR30)),IF(AND(Irr!T30&lt;&gt;".",Irr!AR30=".",Irr!BP30&lt;&gt;"."),dir!U30/((1/1000)*(Irr!T30+Irr!BP30)),IF(AND(Irr!T30=".",Irr!AR30&lt;&gt;".",Irr!BP30&lt;&gt;"."),dir!U30/((1/1000)*(Irr!AR30+Irr!BP30)),IF(AND(Irr!T30=".",Irr!AR30=".",Irr!BP30&lt;&gt;"."),dir!U30/((1/1000)*(Irr!BP30)),IF(AND(Irr!T30=".",Irr!AR30&lt;&gt;".",Irr!BP30="."),dir!U30/((1/1000)*(Irr!AR30)),IF(AND(Irr!T30&lt;&gt;".",Irr!AR30=".",Irr!BP30="."),dir!U30/((1/1000)*(Irr!T30)),IF(AND(Irr!T30=".",Irr!AR30=".",Irr!BP30="."),dir!U30*1000)))))))),".")</f>
        <v>2.6858128499600622</v>
      </c>
      <c r="V30" s="76">
        <f>IFERROR(IF(AND(Irr!U30&lt;&gt;".",Irr!AS30&lt;&gt;".",Irr!BQ30&lt;&gt;"."),dir!V30/((1/1000)*(Irr!U30+Irr!AS30+Irr!BQ30)),IF(AND(Irr!U30&lt;&gt;".",Irr!AS30&lt;&gt;".",Irr!BQ30="."),dir!V30/((1/1000)*(Irr!U30+Irr!AS30)),IF(AND(Irr!U30&lt;&gt;".",Irr!AS30=".",Irr!BQ30&lt;&gt;"."),dir!V30/((1/1000)*(Irr!U30+Irr!BQ30)),IF(AND(Irr!U30=".",Irr!AS30&lt;&gt;".",Irr!BQ30&lt;&gt;"."),dir!V30/((1/1000)*(Irr!AS30+Irr!BQ30)),IF(AND(Irr!U30=".",Irr!AS30=".",Irr!BQ30&lt;&gt;"."),dir!V30/((1/1000)*(Irr!BQ30)),IF(AND(Irr!U30=".",Irr!AS30&lt;&gt;".",Irr!BQ30="."),dir!V30/((1/1000)*(Irr!AS30)),IF(AND(Irr!U30&lt;&gt;".",Irr!AS30=".",Irr!BQ30="."),dir!V30/((1/1000)*(Irr!U30)),IF(AND(Irr!U30=".",Irr!AS30=".",Irr!BQ30="."),dir!V30*1000)))))))),".")</f>
        <v>4.4983845112201335</v>
      </c>
      <c r="W30" s="76">
        <f>IFERROR(IF(AND(Irr!V30&lt;&gt;".",Irr!AT30&lt;&gt;".",Irr!BR30&lt;&gt;"."),dir!W30/((1/1000)*(Irr!V30+Irr!AT30+Irr!BR30)),IF(AND(Irr!V30&lt;&gt;".",Irr!AT30&lt;&gt;".",Irr!BR30="."),dir!W30/((1/1000)*(Irr!V30+Irr!AT30)),IF(AND(Irr!V30&lt;&gt;".",Irr!AT30=".",Irr!BR30&lt;&gt;"."),dir!W30/((1/1000)*(Irr!V30+Irr!BR30)),IF(AND(Irr!V30=".",Irr!AT30&lt;&gt;".",Irr!BR30&lt;&gt;"."),dir!W30/((1/1000)*(Irr!AT30+Irr!BR30)),IF(AND(Irr!V30=".",Irr!AT30=".",Irr!BR30&lt;&gt;"."),dir!W30/((1/1000)*(Irr!BR30)),IF(AND(Irr!V30=".",Irr!AT30&lt;&gt;".",Irr!BR30="."),dir!W30/((1/1000)*(Irr!AT30)),IF(AND(Irr!V30&lt;&gt;".",Irr!AT30=".",Irr!BR30="."),dir!W30/((1/1000)*(Irr!V30)),IF(AND(Irr!V30=".",Irr!AT30=".",Irr!BR30="."),dir!W30*1000)))))))),".")</f>
        <v>6.086050683263589</v>
      </c>
      <c r="X30" s="76">
        <f>IFERROR(IF(AND(Irr!W30&lt;&gt;".",Irr!AU30&lt;&gt;".",Irr!BS30&lt;&gt;"."),dir!X30/((1/1000)*(Irr!W30+Irr!AU30+Irr!BS30)),IF(AND(Irr!W30&lt;&gt;".",Irr!AU30&lt;&gt;".",Irr!BS30="."),dir!X30/((1/1000)*(Irr!W30+Irr!AU30)),IF(AND(Irr!W30&lt;&gt;".",Irr!AU30=".",Irr!BS30&lt;&gt;"."),dir!X30/((1/1000)*(Irr!W30+Irr!BS30)),IF(AND(Irr!W30=".",Irr!AU30&lt;&gt;".",Irr!BS30&lt;&gt;"."),dir!X30/((1/1000)*(Irr!AU30+Irr!BS30)),IF(AND(Irr!W30=".",Irr!AU30=".",Irr!BS30&lt;&gt;"."),dir!X30/((1/1000)*(Irr!BS30)),IF(AND(Irr!W30=".",Irr!AU30&lt;&gt;".",Irr!BS30="."),dir!X30/((1/1000)*(Irr!AU30)),IF(AND(Irr!W30&lt;&gt;".",Irr!AU30=".",Irr!BS30="."),dir!X30/((1/1000)*(Irr!W30)),IF(AND(Irr!W30=".",Irr!AU30=".",Irr!BS30="."),dir!X30*1000)))))))),".")</f>
        <v>8.3248272495263418</v>
      </c>
      <c r="Y30" s="76">
        <f>IFERROR(IF(AND(Irr!X30&lt;&gt;".",Irr!AV30&lt;&gt;".",Irr!BT30&lt;&gt;"."),dir!Y30/((1/1000)*(Irr!X30+Irr!AV30+Irr!BT30)),IF(AND(Irr!X30&lt;&gt;".",Irr!AV30&lt;&gt;".",Irr!BT30="."),dir!Y30/((1/1000)*(Irr!X30+Irr!AV30)),IF(AND(Irr!X30&lt;&gt;".",Irr!AV30=".",Irr!BT30&lt;&gt;"."),dir!Y30/((1/1000)*(Irr!X30+Irr!BT30)),IF(AND(Irr!X30=".",Irr!AV30&lt;&gt;".",Irr!BT30&lt;&gt;"."),dir!Y30/((1/1000)*(Irr!AV30+Irr!BT30)),IF(AND(Irr!X30=".",Irr!AV30=".",Irr!BT30&lt;&gt;"."),dir!Y30/((1/1000)*(Irr!BT30)),IF(AND(Irr!X30=".",Irr!AV30&lt;&gt;".",Irr!BT30="."),dir!Y30/((1/1000)*(Irr!AV30)),IF(AND(Irr!X30&lt;&gt;".",Irr!AV30=".",Irr!BT30="."),dir!Y30/((1/1000)*(Irr!X30)),IF(AND(Irr!X30=".",Irr!AV30=".",Irr!BT30="."),dir!Y30*1000)))))))),".")</f>
        <v>3.9001877166429457</v>
      </c>
      <c r="Z30" s="76">
        <f>IFERROR(IF(AND(Irr!Y30&lt;&gt;".",Irr!AW30&lt;&gt;".",Irr!BU30&lt;&gt;"."),dir!Z30/((1/1000)*(Irr!Y30+Irr!AW30+Irr!BU30)),IF(AND(Irr!Y30&lt;&gt;".",Irr!AW30&lt;&gt;".",Irr!BU30="."),dir!Z30/((1/1000)*(Irr!Y30+Irr!AW30)),IF(AND(Irr!Y30&lt;&gt;".",Irr!AW30=".",Irr!BU30&lt;&gt;"."),dir!Z30/((1/1000)*(Irr!Y30+Irr!BU30)),IF(AND(Irr!Y30=".",Irr!AW30&lt;&gt;".",Irr!BU30&lt;&gt;"."),dir!Z30/((1/1000)*(Irr!AW30+Irr!BU30)),IF(AND(Irr!Y30=".",Irr!AW30=".",Irr!BU30&lt;&gt;"."),dir!Z30/((1/1000)*(Irr!BU30)),IF(AND(Irr!Y30=".",Irr!AW30&lt;&gt;".",Irr!BU30="."),dir!Z30/((1/1000)*(Irr!AW30)),IF(AND(Irr!Y30&lt;&gt;".",Irr!AW30=".",Irr!BU30="."),dir!Z30/((1/1000)*(Irr!Y30)),IF(AND(Irr!Y30=".",Irr!AW30=".",Irr!BU30="."),dir!Z30*1000)))))))),".")</f>
        <v>1.4304958955491265</v>
      </c>
      <c r="AA30" s="76">
        <f>IFERROR(IF(AND(Irr!Z30&lt;&gt;".",Irr!AX30&lt;&gt;".",Irr!BV30&lt;&gt;"."),dir!AA30/((1/1000)*(Irr!Z30+Irr!AX30+Irr!BV30)),IF(AND(Irr!Z30&lt;&gt;".",Irr!AX30&lt;&gt;".",Irr!BV30="."),dir!AA30/((1/1000)*(Irr!Z30+Irr!AX30)),IF(AND(Irr!Z30&lt;&gt;".",Irr!AX30=".",Irr!BV30&lt;&gt;"."),dir!AA30/((1/1000)*(Irr!Z30+Irr!BV30)),IF(AND(Irr!Z30=".",Irr!AX30&lt;&gt;".",Irr!BV30&lt;&gt;"."),dir!AA30/((1/1000)*(Irr!AX30+Irr!BV30)),IF(AND(Irr!Z30=".",Irr!AX30=".",Irr!BV30&lt;&gt;"."),dir!AA30/((1/1000)*(Irr!BV30)),IF(AND(Irr!Z30=".",Irr!AX30&lt;&gt;".",Irr!BV30="."),dir!AA30/((1/1000)*(Irr!AX30)),IF(AND(Irr!Z30&lt;&gt;".",Irr!AX30=".",Irr!BV30="."),dir!AA30/((1/1000)*(Irr!Z30)),IF(AND(Irr!Z30=".",Irr!AX30=".",Irr!BV30="."),dir!AA30*1000)))))))),".")</f>
        <v>1.0891605648120133</v>
      </c>
      <c r="AB30" s="76">
        <f t="shared" ref="AB30" si="25">IFERROR(1/SUM(1/AC30,1/AD30,1/AE30,1/AF30,1/AG30,1/AH30,1/AI30,1/AJ30,1/AK30,1/AL30,1/AM30,1/AN30,1/AO30,1/AP30,1/AQ30,1/AR30,1/AS30,1/AT30,1/AU30,1/AV30,1/AW30,1/AX30),".")</f>
        <v>0.13378633224629452</v>
      </c>
      <c r="AC30" s="76">
        <f>IFERROR(IF(AND(Irr!C30&lt;&gt;".",Irr!AA30&lt;&gt;".",Irr!AY30&lt;&gt;"."),dir!AC30/((1/1000)*(Irr!C30+Irr!AA30+Irr!AY30)),IF(AND(Irr!C30&lt;&gt;".",Irr!AA30&lt;&gt;".",Irr!AY30="."),dir!AC30/((1/1000)*(Irr!C30+Irr!AA30)),IF(AND(Irr!C30&lt;&gt;".",Irr!AA30=".",Irr!AY30&lt;&gt;"."),dir!AC30/((1/1000)*(Irr!C30+Irr!AY30)),IF(AND(Irr!C30=".",Irr!AA30&lt;&gt;".",Irr!AY30&lt;&gt;"."),dir!AC30/((1/1000)*(Irr!AA30+Irr!AY30)),IF(AND(Irr!C30=".",Irr!AA30=".",Irr!AY30&lt;&gt;"."),dir!AC30/((1/1000)*(Irr!AY30)),IF(AND(Irr!C30=".",Irr!AA30&lt;&gt;".",Irr!AY30="."),dir!AC30/((1/1000)*(Irr!AA30)),IF(AND(Irr!C30&lt;&gt;".",Irr!AA30=".",Irr!AY30="."),dir!AC30/((1/1000)*(Irr!C30)),IF(AND(Irr!C30=".",Irr!AA30=".",Irr!AY30="."),dir!AC30*1000)))))))),".")</f>
        <v>2.3690048994157316</v>
      </c>
      <c r="AD30" s="76">
        <f>IFERROR(IF(AND(Irr!D30&lt;&gt;".",Irr!AB30&lt;&gt;".",Irr!AZ30&lt;&gt;"."),dir!AD30/((1/1000)*(Irr!D30+Irr!AB30+Irr!AZ30)),IF(AND(Irr!D30&lt;&gt;".",Irr!AB30&lt;&gt;".",Irr!AZ30="."),dir!AD30/((1/1000)*(Irr!D30+Irr!AB30)),IF(AND(Irr!D30&lt;&gt;".",Irr!AB30=".",Irr!AZ30&lt;&gt;"."),dir!AD30/((1/1000)*(Irr!D30+Irr!AZ30)),IF(AND(Irr!D30=".",Irr!AB30&lt;&gt;".",Irr!AZ30&lt;&gt;"."),dir!AD30/((1/1000)*(Irr!AB30+Irr!AZ30)),IF(AND(Irr!D30=".",Irr!AB30=".",Irr!AZ30&lt;&gt;"."),dir!AD30/((1/1000)*(Irr!AZ30)),IF(AND(Irr!D30=".",Irr!AB30&lt;&gt;".",Irr!AZ30="."),dir!AD30/((1/1000)*(Irr!AB30)),IF(AND(Irr!D30&lt;&gt;".",Irr!AB30=".",Irr!AZ30="."),dir!AD30/((1/1000)*(Irr!D30)),IF(AND(Irr!D30=".",Irr!AB30=".",Irr!AZ30="."),dir!AD30*1000)))))))),".")</f>
        <v>4.8002176403588734</v>
      </c>
      <c r="AE30" s="76">
        <f>IFERROR(IF(AND(Irr!E30&lt;&gt;".",Irr!AC30&lt;&gt;".",Irr!BA30&lt;&gt;"."),dir!AE30/((1/1000)*(Irr!E30+Irr!AC30+Irr!BA30)),IF(AND(Irr!E30&lt;&gt;".",Irr!AC30&lt;&gt;".",Irr!BA30="."),dir!AE30/((1/1000)*(Irr!E30+Irr!AC30)),IF(AND(Irr!E30&lt;&gt;".",Irr!AC30=".",Irr!BA30&lt;&gt;"."),dir!AE30/((1/1000)*(Irr!E30+Irr!BA30)),IF(AND(Irr!E30=".",Irr!AC30&lt;&gt;".",Irr!BA30&lt;&gt;"."),dir!AE30/((1/1000)*(Irr!AC30+Irr!BA30)),IF(AND(Irr!E30=".",Irr!AC30=".",Irr!BA30&lt;&gt;"."),dir!AE30/((1/1000)*(Irr!BA30)),IF(AND(Irr!E30=".",Irr!AC30&lt;&gt;".",Irr!BA30="."),dir!AE30/((1/1000)*(Irr!AC30)),IF(AND(Irr!E30&lt;&gt;".",Irr!AC30=".",Irr!BA30="."),dir!AE30/((1/1000)*(Irr!E30)),IF(AND(Irr!E30=".",Irr!AC30=".",Irr!BA30="."),dir!AE30*1000)))))))),".")</f>
        <v>6.348716417210329</v>
      </c>
      <c r="AF30" s="76">
        <f>IFERROR(IF(AND(Irr!F30&lt;&gt;".",Irr!AD30&lt;&gt;".",Irr!BB30&lt;&gt;"."),dir!AF30/((1/1000)*(Irr!F30+Irr!AD30+Irr!BB30)),IF(AND(Irr!F30&lt;&gt;".",Irr!AD30&lt;&gt;".",Irr!BB30="."),dir!AF30/((1/1000)*(Irr!F30+Irr!AD30)),IF(AND(Irr!F30&lt;&gt;".",Irr!AD30=".",Irr!BB30&lt;&gt;"."),dir!AF30/((1/1000)*(Irr!F30+Irr!BB30)),IF(AND(Irr!F30=".",Irr!AD30&lt;&gt;".",Irr!BB30&lt;&gt;"."),dir!AF30/((1/1000)*(Irr!AD30+Irr!BB30)),IF(AND(Irr!F30=".",Irr!AD30=".",Irr!BB30&lt;&gt;"."),dir!AF30/((1/1000)*(Irr!BB30)),IF(AND(Irr!F30=".",Irr!AD30&lt;&gt;".",Irr!BB30="."),dir!AF30/((1/1000)*(Irr!AD30)),IF(AND(Irr!F30&lt;&gt;".",Irr!AD30=".",Irr!BB30="."),dir!AF30/((1/1000)*(Irr!F30)),IF(AND(Irr!F30=".",Irr!AD30=".",Irr!BB30="."),dir!AF30*1000)))))))),".")</f>
        <v>5.9392261118217249</v>
      </c>
      <c r="AG30" s="76">
        <f>IFERROR(IF(AND(Irr!G30&lt;&gt;".",Irr!AE30&lt;&gt;".",Irr!BC30&lt;&gt;"."),dir!AG30/((1/1000)*(Irr!G30+Irr!AE30+Irr!BC30)),IF(AND(Irr!G30&lt;&gt;".",Irr!AE30&lt;&gt;".",Irr!BC30="."),dir!AG30/((1/1000)*(Irr!G30+Irr!AE30)),IF(AND(Irr!G30&lt;&gt;".",Irr!AE30=".",Irr!BC30&lt;&gt;"."),dir!AG30/((1/1000)*(Irr!G30+Irr!BC30)),IF(AND(Irr!G30=".",Irr!AE30&lt;&gt;".",Irr!BC30&lt;&gt;"."),dir!AG30/((1/1000)*(Irr!AE30+Irr!BC30)),IF(AND(Irr!G30=".",Irr!AE30=".",Irr!BC30&lt;&gt;"."),dir!AG30/((1/1000)*(Irr!BC30)),IF(AND(Irr!G30=".",Irr!AE30&lt;&gt;".",Irr!BC30="."),dir!AG30/((1/1000)*(Irr!AE30)),IF(AND(Irr!G30&lt;&gt;".",Irr!AE30=".",Irr!BC30="."),dir!AG30/((1/1000)*(Irr!G30)),IF(AND(Irr!G30=".",Irr!AE30=".",Irr!BC30="."),dir!AG30*1000)))))))),".")</f>
        <v>5.4352137517647954</v>
      </c>
      <c r="AH30" s="76">
        <f>IFERROR(IF(AND(Irr!H30&lt;&gt;".",Irr!AF30&lt;&gt;".",Irr!BD30&lt;&gt;"."),dir!AH30/((1/1000)*(Irr!H30+Irr!AF30+Irr!BD30)),IF(AND(Irr!H30&lt;&gt;".",Irr!AF30&lt;&gt;".",Irr!BD30="."),dir!AH30/((1/1000)*(Irr!H30+Irr!AF30)),IF(AND(Irr!H30&lt;&gt;".",Irr!AF30=".",Irr!BD30&lt;&gt;"."),dir!AH30/((1/1000)*(Irr!H30+Irr!BD30)),IF(AND(Irr!H30=".",Irr!AF30&lt;&gt;".",Irr!BD30&lt;&gt;"."),dir!AH30/((1/1000)*(Irr!AF30+Irr!BD30)),IF(AND(Irr!H30=".",Irr!AF30=".",Irr!BD30&lt;&gt;"."),dir!AH30/((1/1000)*(Irr!BD30)),IF(AND(Irr!H30=".",Irr!AF30&lt;&gt;".",Irr!BD30="."),dir!AH30/((1/1000)*(Irr!AF30)),IF(AND(Irr!H30&lt;&gt;".",Irr!AF30=".",Irr!BD30="."),dir!AH30/((1/1000)*(Irr!H30)),IF(AND(Irr!H30=".",Irr!AF30=".",Irr!BD30="."),dir!AH30*1000)))))))),".")</f>
        <v>2.2657321676408397</v>
      </c>
      <c r="AI30" s="76">
        <f>IFERROR(IF(AND(Irr!I30&lt;&gt;".",Irr!AG30&lt;&gt;".",Irr!BE30&lt;&gt;"."),dir!AI30/((1/1000)*(Irr!I30+Irr!AG30+Irr!BE30)),IF(AND(Irr!I30&lt;&gt;".",Irr!AG30&lt;&gt;".",Irr!BE30="."),dir!AI30/((1/1000)*(Irr!I30+Irr!AG30)),IF(AND(Irr!I30&lt;&gt;".",Irr!AG30=".",Irr!BE30&lt;&gt;"."),dir!AI30/((1/1000)*(Irr!I30+Irr!BE30)),IF(AND(Irr!I30=".",Irr!AG30&lt;&gt;".",Irr!BE30&lt;&gt;"."),dir!AI30/((1/1000)*(Irr!AG30+Irr!BE30)),IF(AND(Irr!I30=".",Irr!AG30=".",Irr!BE30&lt;&gt;"."),dir!AI30/((1/1000)*(Irr!BE30)),IF(AND(Irr!I30=".",Irr!AG30&lt;&gt;".",Irr!BE30="."),dir!AI30/((1/1000)*(Irr!AG30)),IF(AND(Irr!I30&lt;&gt;".",Irr!AG30=".",Irr!BE30="."),dir!AI30/((1/1000)*(Irr!I30)),IF(AND(Irr!I30=".",Irr!AG30=".",Irr!BE30="."),dir!AI30*1000)))))))),".")</f>
        <v>8.2129573482512335</v>
      </c>
      <c r="AJ30" s="76">
        <f>IFERROR(IF(AND(Irr!J30&lt;&gt;".",Irr!AH30&lt;&gt;".",Irr!BF30&lt;&gt;"."),dir!AJ30/((1/1000)*(Irr!J30+Irr!AH30+Irr!BF30)),IF(AND(Irr!J30&lt;&gt;".",Irr!AH30&lt;&gt;".",Irr!BF30="."),dir!AJ30/((1/1000)*(Irr!J30+Irr!AH30)),IF(AND(Irr!J30&lt;&gt;".",Irr!AH30=".",Irr!BF30&lt;&gt;"."),dir!AJ30/((1/1000)*(Irr!J30+Irr!BF30)),IF(AND(Irr!J30=".",Irr!AH30&lt;&gt;".",Irr!BF30&lt;&gt;"."),dir!AJ30/((1/1000)*(Irr!AH30+Irr!BF30)),IF(AND(Irr!J30=".",Irr!AH30=".",Irr!BF30&lt;&gt;"."),dir!AJ30/((1/1000)*(Irr!BF30)),IF(AND(Irr!J30=".",Irr!AH30&lt;&gt;".",Irr!BF30="."),dir!AJ30/((1/1000)*(Irr!AH30)),IF(AND(Irr!J30&lt;&gt;".",Irr!AH30=".",Irr!BF30="."),dir!AJ30/((1/1000)*(Irr!J30)),IF(AND(Irr!J30=".",Irr!AH30=".",Irr!BF30="."),dir!AJ30*1000)))))))),".")</f>
        <v>0.68465139940844866</v>
      </c>
      <c r="AK30" s="76">
        <f>IFERROR(IF(AND(Irr!K30&lt;&gt;".",Irr!AI30&lt;&gt;".",Irr!BG30&lt;&gt;"."),dir!AK30/((1/1000)*(Irr!K30+Irr!AI30+Irr!BG30)),IF(AND(Irr!K30&lt;&gt;".",Irr!AI30&lt;&gt;".",Irr!BG30="."),dir!AK30/((1/1000)*(Irr!K30+Irr!AI30)),IF(AND(Irr!K30&lt;&gt;".",Irr!AI30=".",Irr!BG30&lt;&gt;"."),dir!AK30/((1/1000)*(Irr!K30+Irr!BG30)),IF(AND(Irr!K30=".",Irr!AI30&lt;&gt;".",Irr!BG30&lt;&gt;"."),dir!AK30/((1/1000)*(Irr!AI30+Irr!BG30)),IF(AND(Irr!K30=".",Irr!AI30=".",Irr!BG30&lt;&gt;"."),dir!AK30/((1/1000)*(Irr!BG30)),IF(AND(Irr!K30=".",Irr!AI30&lt;&gt;".",Irr!BG30="."),dir!AK30/((1/1000)*(Irr!AI30)),IF(AND(Irr!K30&lt;&gt;".",Irr!AI30=".",Irr!BG30="."),dir!AK30/((1/1000)*(Irr!K30)),IF(AND(Irr!K30=".",Irr!AI30=".",Irr!BG30="."),dir!AK30*1000)))))))),".")</f>
        <v>2.3606419937453857</v>
      </c>
      <c r="AL30" s="76">
        <f>IFERROR(IF(AND(Irr!L30&lt;&gt;".",Irr!AJ30&lt;&gt;".",Irr!BH30&lt;&gt;"."),dir!AL30/((1/1000)*(Irr!L30+Irr!AJ30+Irr!BH30)),IF(AND(Irr!L30&lt;&gt;".",Irr!AJ30&lt;&gt;".",Irr!BH30="."),dir!AL30/((1/1000)*(Irr!L30+Irr!AJ30)),IF(AND(Irr!L30&lt;&gt;".",Irr!AJ30=".",Irr!BH30&lt;&gt;"."),dir!AL30/((1/1000)*(Irr!L30+Irr!BH30)),IF(AND(Irr!L30=".",Irr!AJ30&lt;&gt;".",Irr!BH30&lt;&gt;"."),dir!AL30/((1/1000)*(Irr!AJ30+Irr!BH30)),IF(AND(Irr!L30=".",Irr!AJ30=".",Irr!BH30&lt;&gt;"."),dir!AL30/((1/1000)*(Irr!BH30)),IF(AND(Irr!L30=".",Irr!AJ30&lt;&gt;".",Irr!BH30="."),dir!AL30/((1/1000)*(Irr!AJ30)),IF(AND(Irr!L30&lt;&gt;".",Irr!AJ30=".",Irr!BH30="."),dir!AL30/((1/1000)*(Irr!L30)),IF(AND(Irr!L30=".",Irr!AJ30=".",Irr!BH30="."),dir!AL30*1000)))))))),".")</f>
        <v>3.5828015211631037</v>
      </c>
      <c r="AM30" s="76">
        <f>IFERROR(IF(AND(Irr!M30&lt;&gt;".",Irr!AK30&lt;&gt;".",Irr!BI30&lt;&gt;"."),dir!AM30/((1/1000)*(Irr!M30+Irr!AK30+Irr!BI30)),IF(AND(Irr!M30&lt;&gt;".",Irr!AK30&lt;&gt;".",Irr!BI30="."),dir!AM30/((1/1000)*(Irr!M30+Irr!AK30)),IF(AND(Irr!M30&lt;&gt;".",Irr!AK30=".",Irr!BI30&lt;&gt;"."),dir!AM30/((1/1000)*(Irr!M30+Irr!BI30)),IF(AND(Irr!M30=".",Irr!AK30&lt;&gt;".",Irr!BI30&lt;&gt;"."),dir!AM30/((1/1000)*(Irr!AK30+Irr!BI30)),IF(AND(Irr!M30=".",Irr!AK30=".",Irr!BI30&lt;&gt;"."),dir!AM30/((1/1000)*(Irr!BI30)),IF(AND(Irr!M30=".",Irr!AK30&lt;&gt;".",Irr!BI30="."),dir!AM30/((1/1000)*(Irr!AK30)),IF(AND(Irr!M30&lt;&gt;".",Irr!AK30=".",Irr!BI30="."),dir!AM30/((1/1000)*(Irr!M30)),IF(AND(Irr!M30=".",Irr!AK30=".",Irr!BI30="."),dir!AM30*1000)))))))),".")</f>
        <v>4.6836036896036992</v>
      </c>
      <c r="AN30" s="76">
        <f>IFERROR(IF(AND(Irr!N30&lt;&gt;".",Irr!AL30&lt;&gt;".",Irr!BJ30&lt;&gt;"."),dir!AN30/((1/1000)*(Irr!N30+Irr!AL30+Irr!BJ30)),IF(AND(Irr!N30&lt;&gt;".",Irr!AL30&lt;&gt;".",Irr!BJ30="."),dir!AN30/((1/1000)*(Irr!N30+Irr!AL30)),IF(AND(Irr!N30&lt;&gt;".",Irr!AL30=".",Irr!BJ30&lt;&gt;"."),dir!AN30/((1/1000)*(Irr!N30+Irr!BJ30)),IF(AND(Irr!N30=".",Irr!AL30&lt;&gt;".",Irr!BJ30&lt;&gt;"."),dir!AN30/((1/1000)*(Irr!AL30+Irr!BJ30)),IF(AND(Irr!N30=".",Irr!AL30=".",Irr!BJ30&lt;&gt;"."),dir!AN30/((1/1000)*(Irr!BJ30)),IF(AND(Irr!N30=".",Irr!AL30&lt;&gt;".",Irr!BJ30="."),dir!AN30/((1/1000)*(Irr!AL30)),IF(AND(Irr!N30&lt;&gt;".",Irr!AL30=".",Irr!BJ30="."),dir!AN30/((1/1000)*(Irr!N30)),IF(AND(Irr!N30=".",Irr!AL30=".",Irr!BJ30="."),dir!AN30*1000)))))))),".")</f>
        <v>6.4295475641490185</v>
      </c>
      <c r="AO30" s="76">
        <f>IFERROR(IF(AND(Irr!O30&lt;&gt;".",Irr!AM30&lt;&gt;".",Irr!BK30&lt;&gt;"."),dir!AO30/((1/1000)*(Irr!O30+Irr!AM30+Irr!BK30)),IF(AND(Irr!O30&lt;&gt;".",Irr!AM30&lt;&gt;".",Irr!BK30="."),dir!AO30/((1/1000)*(Irr!O30+Irr!AM30)),IF(AND(Irr!O30&lt;&gt;".",Irr!AM30=".",Irr!BK30&lt;&gt;"."),dir!AO30/((1/1000)*(Irr!O30+Irr!BK30)),IF(AND(Irr!O30=".",Irr!AM30&lt;&gt;".",Irr!BK30&lt;&gt;"."),dir!AO30/((1/1000)*(Irr!AM30+Irr!BK30)),IF(AND(Irr!O30=".",Irr!AM30=".",Irr!BK30&lt;&gt;"."),dir!AO30/((1/1000)*(Irr!BK30)),IF(AND(Irr!O30=".",Irr!AM30&lt;&gt;".",Irr!BK30="."),dir!AO30/((1/1000)*(Irr!AM30)),IF(AND(Irr!O30&lt;&gt;".",Irr!AM30=".",Irr!BK30="."),dir!AO30/((1/1000)*(Irr!O30)),IF(AND(Irr!O30=".",Irr!AM30=".",Irr!BK30="."),dir!AO30*1000)))))))),".")</f>
        <v>6.6583622889168081</v>
      </c>
      <c r="AP30" s="76">
        <f>IFERROR(IF(AND(Irr!P30&lt;&gt;".",Irr!AN30&lt;&gt;".",Irr!BL30&lt;&gt;"."),dir!AP30/((1/1000)*(Irr!P30+Irr!AN30+Irr!BL30)),IF(AND(Irr!P30&lt;&gt;".",Irr!AN30&lt;&gt;".",Irr!BL30="."),dir!AP30/((1/1000)*(Irr!P30+Irr!AN30)),IF(AND(Irr!P30&lt;&gt;".",Irr!AN30=".",Irr!BL30&lt;&gt;"."),dir!AP30/((1/1000)*(Irr!P30+Irr!BL30)),IF(AND(Irr!P30=".",Irr!AN30&lt;&gt;".",Irr!BL30&lt;&gt;"."),dir!AP30/((1/1000)*(Irr!AN30+Irr!BL30)),IF(AND(Irr!P30=".",Irr!AN30=".",Irr!BL30&lt;&gt;"."),dir!AP30/((1/1000)*(Irr!BL30)),IF(AND(Irr!P30=".",Irr!AN30&lt;&gt;".",Irr!BL30="."),dir!AP30/((1/1000)*(Irr!AN30)),IF(AND(Irr!P30&lt;&gt;".",Irr!AN30=".",Irr!BL30="."),dir!AP30/((1/1000)*(Irr!P30)),IF(AND(Irr!P30=".",Irr!AN30=".",Irr!BL30="."),dir!AP30*1000)))))))),".")</f>
        <v>7.2804939169288261</v>
      </c>
      <c r="AQ30" s="76">
        <f>IFERROR(IF(AND(Irr!Q30&lt;&gt;".",Irr!AO30&lt;&gt;".",Irr!BM30&lt;&gt;"."),dir!AQ30/((1/1000)*(Irr!Q30+Irr!AO30+Irr!BM30)),IF(AND(Irr!Q30&lt;&gt;".",Irr!AO30&lt;&gt;".",Irr!BM30="."),dir!AQ30/((1/1000)*(Irr!Q30+Irr!AO30)),IF(AND(Irr!Q30&lt;&gt;".",Irr!AO30=".",Irr!BM30&lt;&gt;"."),dir!AQ30/((1/1000)*(Irr!Q30+Irr!BM30)),IF(AND(Irr!Q30=".",Irr!AO30&lt;&gt;".",Irr!BM30&lt;&gt;"."),dir!AQ30/((1/1000)*(Irr!AO30+Irr!BM30)),IF(AND(Irr!Q30=".",Irr!AO30=".",Irr!BM30&lt;&gt;"."),dir!AQ30/((1/1000)*(Irr!BM30)),IF(AND(Irr!Q30=".",Irr!AO30&lt;&gt;".",Irr!BM30="."),dir!AQ30/((1/1000)*(Irr!AO30)),IF(AND(Irr!Q30&lt;&gt;".",Irr!AO30=".",Irr!BM30="."),dir!AQ30/((1/1000)*(Irr!Q30)),IF(AND(Irr!Q30=".",Irr!AO30=".",Irr!BM30="."),dir!AQ30*1000)))))))),".")</f>
        <v>1.950985018119838</v>
      </c>
      <c r="AR30" s="76">
        <f>IFERROR(IF(AND(Irr!R30&lt;&gt;".",Irr!AP30&lt;&gt;".",Irr!BN30&lt;&gt;"."),dir!AR30/((1/1000)*(Irr!R30+Irr!AP30+Irr!BN30)),IF(AND(Irr!R30&lt;&gt;".",Irr!AP30&lt;&gt;".",Irr!BN30="."),dir!AR30/((1/1000)*(Irr!R30+Irr!AP30)),IF(AND(Irr!R30&lt;&gt;".",Irr!AP30=".",Irr!BN30&lt;&gt;"."),dir!AR30/((1/1000)*(Irr!R30+Irr!BN30)),IF(AND(Irr!R30=".",Irr!AP30&lt;&gt;".",Irr!BN30&lt;&gt;"."),dir!AR30/((1/1000)*(Irr!AP30+Irr!BN30)),IF(AND(Irr!R30=".",Irr!AP30=".",Irr!BN30&lt;&gt;"."),dir!AR30/((1/1000)*(Irr!BN30)),IF(AND(Irr!R30=".",Irr!AP30&lt;&gt;".",Irr!BN30="."),dir!AR30/((1/1000)*(Irr!AP30)),IF(AND(Irr!R30&lt;&gt;".",Irr!AP30=".",Irr!BN30="."),dir!AR30/((1/1000)*(Irr!R30)),IF(AND(Irr!R30=".",Irr!AP30=".",Irr!BN30="."),dir!AR30*1000)))))))),".")</f>
        <v>3.2077838333784419</v>
      </c>
      <c r="AS30" s="76">
        <f>IFERROR(IF(AND(Irr!S30&lt;&gt;".",Irr!AQ30&lt;&gt;".",Irr!BO30&lt;&gt;"."),dir!AS30/((1/1000)*(Irr!S30+Irr!AQ30+Irr!BO30)),IF(AND(Irr!S30&lt;&gt;".",Irr!AQ30&lt;&gt;".",Irr!BO30="."),dir!AS30/((1/1000)*(Irr!S30+Irr!AQ30)),IF(AND(Irr!S30&lt;&gt;".",Irr!AQ30=".",Irr!BO30&lt;&gt;"."),dir!AS30/((1/1000)*(Irr!S30+Irr!BO30)),IF(AND(Irr!S30=".",Irr!AQ30&lt;&gt;".",Irr!BO30&lt;&gt;"."),dir!AS30/((1/1000)*(Irr!AQ30+Irr!BO30)),IF(AND(Irr!S30=".",Irr!AQ30=".",Irr!BO30&lt;&gt;"."),dir!AS30/((1/1000)*(Irr!BO30)),IF(AND(Irr!S30=".",Irr!AQ30&lt;&gt;".",Irr!BO30="."),dir!AS30/((1/1000)*(Irr!AQ30)),IF(AND(Irr!S30&lt;&gt;".",Irr!AQ30=".",Irr!BO30="."),dir!AS30/((1/1000)*(Irr!S30)),IF(AND(Irr!S30=".",Irr!AQ30=".",Irr!BO30="."),dir!AS30*1000)))))))),".")</f>
        <v>6.3257202297331006</v>
      </c>
      <c r="AT30" s="76">
        <f>IFERROR(IF(AND(Irr!T30&lt;&gt;".",Irr!AR30&lt;&gt;".",Irr!BP30&lt;&gt;"."),dir!AT30/((1/1000)*(Irr!T30+Irr!AR30+Irr!BP30)),IF(AND(Irr!T30&lt;&gt;".",Irr!AR30&lt;&gt;".",Irr!BP30="."),dir!AT30/((1/1000)*(Irr!T30+Irr!AR30)),IF(AND(Irr!T30&lt;&gt;".",Irr!AR30=".",Irr!BP30&lt;&gt;"."),dir!AT30/((1/1000)*(Irr!T30+Irr!BP30)),IF(AND(Irr!T30=".",Irr!AR30&lt;&gt;".",Irr!BP30&lt;&gt;"."),dir!AT30/((1/1000)*(Irr!AR30+Irr!BP30)),IF(AND(Irr!T30=".",Irr!AR30=".",Irr!BP30&lt;&gt;"."),dir!AT30/((1/1000)*(Irr!BP30)),IF(AND(Irr!T30=".",Irr!AR30&lt;&gt;".",Irr!BP30="."),dir!AT30/((1/1000)*(Irr!AR30)),IF(AND(Irr!T30&lt;&gt;".",Irr!AR30=".",Irr!BP30="."),dir!AT30/((1/1000)*(Irr!T30)),IF(AND(Irr!T30=".",Irr!AR30=".",Irr!BP30="."),dir!AT30*1000)))))))),".")</f>
        <v>1.4904311307948752</v>
      </c>
      <c r="AU30" s="76">
        <f>IFERROR(IF(AND(Irr!U30&lt;&gt;".",Irr!AS30&lt;&gt;".",Irr!BQ30&lt;&gt;"."),dir!AU30/((1/1000)*(Irr!U30+Irr!AS30+Irr!BQ30)),IF(AND(Irr!U30&lt;&gt;".",Irr!AS30&lt;&gt;".",Irr!BQ30="."),dir!AU30/((1/1000)*(Irr!U30+Irr!AS30)),IF(AND(Irr!U30&lt;&gt;".",Irr!AS30=".",Irr!BQ30&lt;&gt;"."),dir!AU30/((1/1000)*(Irr!U30+Irr!BQ30)),IF(AND(Irr!U30=".",Irr!AS30&lt;&gt;".",Irr!BQ30&lt;&gt;"."),dir!AU30/((1/1000)*(Irr!AS30+Irr!BQ30)),IF(AND(Irr!U30=".",Irr!AS30=".",Irr!BQ30&lt;&gt;"."),dir!AU30/((1/1000)*(Irr!BQ30)),IF(AND(Irr!U30=".",Irr!AS30&lt;&gt;".",Irr!BQ30="."),dir!AU30/((1/1000)*(Irr!AS30)),IF(AND(Irr!U30&lt;&gt;".",Irr!AS30=".",Irr!BQ30="."),dir!AU30/((1/1000)*(Irr!U30)),IF(AND(Irr!U30=".",Irr!AS30=".",Irr!BQ30="."),dir!AU30*1000)))))))),".")</f>
        <v>2.8491222946913166</v>
      </c>
      <c r="AV30" s="76">
        <f>IFERROR(IF(AND(Irr!V30&lt;&gt;".",Irr!AT30&lt;&gt;".",Irr!BR30&lt;&gt;"."),dir!AV30/((1/1000)*(Irr!V30+Irr!AT30+Irr!BR30)),IF(AND(Irr!V30&lt;&gt;".",Irr!AT30&lt;&gt;".",Irr!BR30="."),dir!AV30/((1/1000)*(Irr!V30+Irr!AT30)),IF(AND(Irr!V30&lt;&gt;".",Irr!AT30=".",Irr!BR30&lt;&gt;"."),dir!AV30/((1/1000)*(Irr!V30+Irr!BR30)),IF(AND(Irr!V30=".",Irr!AT30&lt;&gt;".",Irr!BR30&lt;&gt;"."),dir!AV30/((1/1000)*(Irr!AT30+Irr!BR30)),IF(AND(Irr!V30=".",Irr!AT30=".",Irr!BR30&lt;&gt;"."),dir!AV30/((1/1000)*(Irr!BR30)),IF(AND(Irr!V30=".",Irr!AT30&lt;&gt;".",Irr!BR30="."),dir!AV30/((1/1000)*(Irr!AT30)),IF(AND(Irr!V30&lt;&gt;".",Irr!AT30=".",Irr!BR30="."),dir!AV30/((1/1000)*(Irr!V30)),IF(AND(Irr!V30=".",Irr!AT30=".",Irr!BR30="."),dir!AV30*1000)))))))),".")</f>
        <v>3.7641486893498981</v>
      </c>
      <c r="AW30" s="76">
        <f>IFERROR(IF(AND(Irr!W30&lt;&gt;".",Irr!AU30&lt;&gt;".",Irr!BS30&lt;&gt;"."),dir!AW30/((1/1000)*(Irr!W30+Irr!AU30+Irr!BS30)),IF(AND(Irr!W30&lt;&gt;".",Irr!AU30&lt;&gt;".",Irr!BS30="."),dir!AW30/((1/1000)*(Irr!W30+Irr!AU30)),IF(AND(Irr!W30&lt;&gt;".",Irr!AU30=".",Irr!BS30&lt;&gt;"."),dir!AW30/((1/1000)*(Irr!W30+Irr!BS30)),IF(AND(Irr!W30=".",Irr!AU30&lt;&gt;".",Irr!BS30&lt;&gt;"."),dir!AW30/((1/1000)*(Irr!AU30+Irr!BS30)),IF(AND(Irr!W30=".",Irr!AU30=".",Irr!BS30&lt;&gt;"."),dir!AW30/((1/1000)*(Irr!BS30)),IF(AND(Irr!W30=".",Irr!AU30&lt;&gt;".",Irr!BS30="."),dir!AW30/((1/1000)*(Irr!AU30)),IF(AND(Irr!W30&lt;&gt;".",Irr!AU30=".",Irr!BS30="."),dir!AW30/((1/1000)*(Irr!W30)),IF(AND(Irr!W30=".",Irr!AU30=".",Irr!BS30="."),dir!AW30*1000)))))))),".")</f>
        <v>5.2373226377514621</v>
      </c>
      <c r="AX30" s="76">
        <f>IFERROR(IF(AND(Irr!X30&lt;&gt;".",Irr!AV30&lt;&gt;".",Irr!BT30&lt;&gt;"."),dir!AX30/((1/1000)*(Irr!X30+Irr!AV30+Irr!BT30)),IF(AND(Irr!X30&lt;&gt;".",Irr!AV30&lt;&gt;".",Irr!BT30="."),dir!AX30/((1/1000)*(Irr!X30+Irr!AV30)),IF(AND(Irr!X30&lt;&gt;".",Irr!AV30=".",Irr!BT30&lt;&gt;"."),dir!AX30/((1/1000)*(Irr!X30+Irr!BT30)),IF(AND(Irr!X30=".",Irr!AV30&lt;&gt;".",Irr!BT30&lt;&gt;"."),dir!AX30/((1/1000)*(Irr!AV30+Irr!BT30)),IF(AND(Irr!X30=".",Irr!AV30=".",Irr!BT30&lt;&gt;"."),dir!AX30/((1/1000)*(Irr!BT30)),IF(AND(Irr!X30=".",Irr!AV30&lt;&gt;".",Irr!BT30="."),dir!AX30/((1/1000)*(Irr!AV30)),IF(AND(Irr!X30&lt;&gt;".",Irr!AV30=".",Irr!BT30="."),dir!AX30/((1/1000)*(Irr!X30)),IF(AND(Irr!X30=".",Irr!AV30=".",Irr!BT30="."),dir!AX30*1000)))))))),".")</f>
        <v>2.0393631451949901</v>
      </c>
      <c r="AY30" s="76">
        <f>IFERROR(IF(AND(Irr!Y30&lt;&gt;".",Irr!AW30&lt;&gt;".",Irr!BU30&lt;&gt;"."),dir!AY30/((1/1000)*(Irr!Y30+Irr!AW30+Irr!BU30)),IF(AND(Irr!Y30&lt;&gt;".",Irr!AW30&lt;&gt;".",Irr!BU30="."),dir!AY30/((1/1000)*(Irr!Y30+Irr!AW30)),IF(AND(Irr!Y30&lt;&gt;".",Irr!AW30=".",Irr!BU30&lt;&gt;"."),dir!AY30/((1/1000)*(Irr!Y30+Irr!BU30)),IF(AND(Irr!Y30=".",Irr!AW30&lt;&gt;".",Irr!BU30&lt;&gt;"."),dir!AY30/((1/1000)*(Irr!AW30+Irr!BU30)),IF(AND(Irr!Y30=".",Irr!AW30=".",Irr!BU30&lt;&gt;"."),dir!AY30/((1/1000)*(Irr!BU30)),IF(AND(Irr!Y30=".",Irr!AW30&lt;&gt;".",Irr!BU30="."),dir!AY30/((1/1000)*(Irr!AW30)),IF(AND(Irr!Y30&lt;&gt;".",Irr!AW30=".",Irr!BU30="."),dir!AY30/((1/1000)*(Irr!Y30)),IF(AND(Irr!Y30=".",Irr!AW30=".",Irr!BU30="."),dir!AY30*1000)))))))),".")</f>
        <v>0.72765109137759021</v>
      </c>
      <c r="AZ30" s="76">
        <f>IFERROR(IF(AND(Irr!Z30&lt;&gt;".",Irr!AX30&lt;&gt;".",Irr!BV30&lt;&gt;"."),dir!AZ30/((1/1000)*(Irr!Z30+Irr!AX30+Irr!BV30)),IF(AND(Irr!Z30&lt;&gt;".",Irr!AX30&lt;&gt;".",Irr!BV30="."),dir!AZ30/((1/1000)*(Irr!Z30+Irr!AX30)),IF(AND(Irr!Z30&lt;&gt;".",Irr!AX30=".",Irr!BV30&lt;&gt;"."),dir!AZ30/((1/1000)*(Irr!Z30+Irr!BV30)),IF(AND(Irr!Z30=".",Irr!AX30&lt;&gt;".",Irr!BV30&lt;&gt;"."),dir!AZ30/((1/1000)*(Irr!AX30+Irr!BV30)),IF(AND(Irr!Z30=".",Irr!AX30=".",Irr!BV30&lt;&gt;"."),dir!AZ30/((1/1000)*(Irr!BV30)),IF(AND(Irr!Z30=".",Irr!AX30&lt;&gt;".",Irr!BV30="."),dir!AZ30/((1/1000)*(Irr!AX30)),IF(AND(Irr!Z30&lt;&gt;".",Irr!AX30=".",Irr!BV30="."),dir!AZ30/((1/1000)*(Irr!Z30)),IF(AND(Irr!Z30=".",Irr!AX30=".",Irr!BV30="."),dir!AZ30*1000)))))))),".")</f>
        <v>0.67708211316020583</v>
      </c>
    </row>
    <row r="31" spans="1:52" x14ac:dyDescent="0.25">
      <c r="A31" s="95" t="s">
        <v>13</v>
      </c>
      <c r="B31" s="95" t="s">
        <v>1074</v>
      </c>
      <c r="C31" s="96">
        <f t="shared" ref="C31" si="26">IFERROR(1/SUM(1/D31,1/E31,1/F31,1/G31,1/H31,1/I31,1/J31,1/K31,1/L31,1/M31,1/N31,1/O31,1/P31,1/Q31,1/R31,1/S31,1/T31,1/U31,1/V31,1/W31,1/X31,1/Y31),".")</f>
        <v>2.0695472385484939E-2</v>
      </c>
      <c r="D31" s="96">
        <f>IFERROR(1/SUM(D32:D44),0)</f>
        <v>0.38704516949191348</v>
      </c>
      <c r="E31" s="96">
        <f>IFERROR(1/SUM(E32:E44),0)</f>
        <v>0.74557170546060825</v>
      </c>
      <c r="F31" s="96">
        <f t="shared" ref="F31:AA31" si="27">IFERROR(1/SUM(F32:F44),0)</f>
        <v>0.94837259346335778</v>
      </c>
      <c r="G31" s="96">
        <f t="shared" si="27"/>
        <v>0.86613876836382464</v>
      </c>
      <c r="H31" s="96">
        <f t="shared" si="27"/>
        <v>0.9826839747243975</v>
      </c>
      <c r="I31" s="96">
        <f t="shared" si="27"/>
        <v>0.33383560283917774</v>
      </c>
      <c r="J31" s="96">
        <f t="shared" si="27"/>
        <v>1.0472528222036686</v>
      </c>
      <c r="K31" s="96">
        <f t="shared" si="27"/>
        <v>0.10039901495789928</v>
      </c>
      <c r="L31" s="96">
        <f t="shared" si="27"/>
        <v>0.54839235603567971</v>
      </c>
      <c r="M31" s="96">
        <f t="shared" si="27"/>
        <v>0.39574583744687825</v>
      </c>
      <c r="N31" s="96">
        <f t="shared" si="27"/>
        <v>0.74235812663874934</v>
      </c>
      <c r="O31" s="96">
        <f t="shared" si="27"/>
        <v>0.97836333985856749</v>
      </c>
      <c r="P31" s="96">
        <f t="shared" si="27"/>
        <v>1.1202216746445754</v>
      </c>
      <c r="Q31" s="96">
        <f t="shared" si="27"/>
        <v>1.512584658635354</v>
      </c>
      <c r="R31" s="96">
        <f t="shared" si="27"/>
        <v>0.24753332408848519</v>
      </c>
      <c r="S31" s="96">
        <f t="shared" si="27"/>
        <v>0.51394902137166665</v>
      </c>
      <c r="T31" s="96">
        <f t="shared" si="27"/>
        <v>0.80341777351699029</v>
      </c>
      <c r="U31" s="96">
        <f t="shared" si="27"/>
        <v>0.25524648025295299</v>
      </c>
      <c r="V31" s="96">
        <f t="shared" si="27"/>
        <v>0.45455719901663588</v>
      </c>
      <c r="W31" s="96">
        <f t="shared" si="27"/>
        <v>0.55738909796664771</v>
      </c>
      <c r="X31" s="96">
        <f t="shared" si="27"/>
        <v>0.76800540207119783</v>
      </c>
      <c r="Y31" s="96">
        <f t="shared" si="27"/>
        <v>0.39368737274470644</v>
      </c>
      <c r="Z31" s="96">
        <f t="shared" si="27"/>
        <v>0.13267945762433431</v>
      </c>
      <c r="AA31" s="96">
        <f t="shared" si="27"/>
        <v>0.1021537646756034</v>
      </c>
      <c r="AB31" s="96">
        <f>IFERROR(1/SUM(1/AC31,1/AD31,1/AE31,1/AF31,1/AG31,1/AH31,1/AI31,1/AJ31,1/AK31,1/AL31,1/AM31,1/AN31,1/AO31,1/AP31,1/AQ31,1/AR31,1/AS31,1/AT31,1/AU31,1/AV31,1/AW31,1/AX31),".")</f>
        <v>1.2705149491128989E-2</v>
      </c>
      <c r="AC31" s="96">
        <f>IFERROR(1/SUM(AC32:AC44),0)</f>
        <v>0.21857531305666747</v>
      </c>
      <c r="AD31" s="96">
        <f>IFERROR(1/SUM(AD32:AD44),0)</f>
        <v>0.45426823127766075</v>
      </c>
      <c r="AE31" s="96">
        <f t="shared" ref="AE31:AZ31" si="28">IFERROR(1/SUM(AE32:AE44),0)</f>
        <v>0.56563651110135993</v>
      </c>
      <c r="AF31" s="96">
        <f t="shared" si="28"/>
        <v>0.54746143087227939</v>
      </c>
      <c r="AG31" s="96">
        <f t="shared" si="28"/>
        <v>0.54885489214748329</v>
      </c>
      <c r="AH31" s="96">
        <f t="shared" si="28"/>
        <v>0.21441673860778351</v>
      </c>
      <c r="AI31" s="96">
        <f t="shared" si="28"/>
        <v>0.73171810339587751</v>
      </c>
      <c r="AJ31" s="96">
        <f t="shared" si="28"/>
        <v>6.3169073881520668E-2</v>
      </c>
      <c r="AK31" s="96">
        <f t="shared" si="28"/>
        <v>0.246024960210632</v>
      </c>
      <c r="AL31" s="96">
        <f t="shared" si="28"/>
        <v>0.36204309234723547</v>
      </c>
      <c r="AM31" s="96">
        <f t="shared" si="28"/>
        <v>0.44260576816671177</v>
      </c>
      <c r="AN31" s="96">
        <f t="shared" si="28"/>
        <v>0.58873067496959741</v>
      </c>
      <c r="AO31" s="96">
        <f t="shared" si="28"/>
        <v>0.67281025953053186</v>
      </c>
      <c r="AP31" s="96">
        <f t="shared" si="28"/>
        <v>0.73566617488174035</v>
      </c>
      <c r="AQ31" s="96">
        <f t="shared" si="28"/>
        <v>0.18000667749963384</v>
      </c>
      <c r="AR31" s="96">
        <f t="shared" si="28"/>
        <v>0.29590131406594511</v>
      </c>
      <c r="AS31" s="96">
        <f t="shared" si="28"/>
        <v>0.57884643746352127</v>
      </c>
      <c r="AT31" s="96">
        <f t="shared" si="28"/>
        <v>0.14164326460813431</v>
      </c>
      <c r="AU31" s="96">
        <f t="shared" si="28"/>
        <v>0.28790092236456194</v>
      </c>
      <c r="AV31" s="96">
        <f t="shared" si="28"/>
        <v>0.34473841112410758</v>
      </c>
      <c r="AW31" s="96">
        <f t="shared" si="28"/>
        <v>0.48316823372061612</v>
      </c>
      <c r="AX31" s="96">
        <f t="shared" si="28"/>
        <v>0.20585458368533652</v>
      </c>
      <c r="AY31" s="96">
        <f t="shared" si="28"/>
        <v>6.7490128733765434E-2</v>
      </c>
      <c r="AZ31" s="96">
        <f t="shared" si="28"/>
        <v>6.3504398789691704E-2</v>
      </c>
    </row>
    <row r="32" spans="1:52" x14ac:dyDescent="0.25">
      <c r="A32" s="195" t="s">
        <v>1102</v>
      </c>
      <c r="B32" s="196">
        <v>1</v>
      </c>
      <c r="C32" s="100">
        <f t="shared" ref="C32:AH32" si="29">IFERROR($B32/C3,0)</f>
        <v>5.9182069898570644</v>
      </c>
      <c r="D32" s="100">
        <f t="shared" si="29"/>
        <v>0.32536930030848693</v>
      </c>
      <c r="E32" s="100">
        <f t="shared" si="29"/>
        <v>0.14660178565303139</v>
      </c>
      <c r="F32" s="100">
        <f t="shared" si="29"/>
        <v>0.12038240371963138</v>
      </c>
      <c r="G32" s="100">
        <f t="shared" si="29"/>
        <v>0.14635194559486142</v>
      </c>
      <c r="H32" s="100">
        <f t="shared" si="29"/>
        <v>0.12400935714474565</v>
      </c>
      <c r="I32" s="100">
        <f t="shared" si="29"/>
        <v>0.32742554896858678</v>
      </c>
      <c r="J32" s="100">
        <f t="shared" si="29"/>
        <v>0.10901118297509946</v>
      </c>
      <c r="K32" s="100">
        <f t="shared" si="29"/>
        <v>1.2543204778846453</v>
      </c>
      <c r="L32" s="100">
        <f t="shared" si="29"/>
        <v>0.2284089173669957</v>
      </c>
      <c r="M32" s="100">
        <f t="shared" si="29"/>
        <v>0.30777798303248077</v>
      </c>
      <c r="N32" s="100">
        <f t="shared" si="29"/>
        <v>0.14984053610052195</v>
      </c>
      <c r="O32" s="100">
        <f t="shared" si="29"/>
        <v>0.1267814925044792</v>
      </c>
      <c r="P32" s="100">
        <f t="shared" si="29"/>
        <v>0.10873236991094219</v>
      </c>
      <c r="Q32" s="100">
        <f t="shared" si="29"/>
        <v>8.0528001885165387E-2</v>
      </c>
      <c r="R32" s="100">
        <f t="shared" si="29"/>
        <v>0.50874913327904459</v>
      </c>
      <c r="S32" s="100">
        <f t="shared" si="29"/>
        <v>0.24535765924059663</v>
      </c>
      <c r="T32" s="100">
        <f t="shared" si="29"/>
        <v>0.15419516408608519</v>
      </c>
      <c r="U32" s="100">
        <f t="shared" si="29"/>
        <v>0.49007205371022267</v>
      </c>
      <c r="V32" s="100">
        <f t="shared" si="29"/>
        <v>0.26795963626982389</v>
      </c>
      <c r="W32" s="100">
        <f t="shared" si="29"/>
        <v>0.22261995857847958</v>
      </c>
      <c r="X32" s="100">
        <f t="shared" si="29"/>
        <v>0.16408196707929149</v>
      </c>
      <c r="Y32" s="100">
        <f t="shared" si="29"/>
        <v>0.30963011456384704</v>
      </c>
      <c r="Z32" s="100">
        <f t="shared" si="29"/>
        <v>0.96527687815075325</v>
      </c>
      <c r="AA32" s="100">
        <f t="shared" si="29"/>
        <v>1.243242979426896</v>
      </c>
      <c r="AB32" s="100">
        <f t="shared" si="29"/>
        <v>9.6446136518180765</v>
      </c>
      <c r="AC32" s="100">
        <f t="shared" si="29"/>
        <v>0.57615205589441165</v>
      </c>
      <c r="AD32" s="100">
        <f t="shared" si="29"/>
        <v>0.24061146218717808</v>
      </c>
      <c r="AE32" s="100">
        <f t="shared" si="29"/>
        <v>0.20183876072752571</v>
      </c>
      <c r="AF32" s="100">
        <f t="shared" si="29"/>
        <v>0.23154342343936851</v>
      </c>
      <c r="AG32" s="100">
        <f t="shared" si="29"/>
        <v>0.22202955594549084</v>
      </c>
      <c r="AH32" s="100">
        <f t="shared" si="29"/>
        <v>0.50978438639915469</v>
      </c>
      <c r="AI32" s="100">
        <f t="shared" ref="AI32:AZ32" si="30">IFERROR($B32/AI3,0)</f>
        <v>0.15601946773301137</v>
      </c>
      <c r="AJ32" s="100">
        <f t="shared" si="30"/>
        <v>1.9935790202866961</v>
      </c>
      <c r="AK32" s="100">
        <f t="shared" si="30"/>
        <v>0.50912600179757139</v>
      </c>
      <c r="AL32" s="100">
        <f t="shared" si="30"/>
        <v>0.33642916607860601</v>
      </c>
      <c r="AM32" s="100">
        <f t="shared" si="30"/>
        <v>0.25131922734507045</v>
      </c>
      <c r="AN32" s="100">
        <f t="shared" si="30"/>
        <v>0.21068778936198906</v>
      </c>
      <c r="AO32" s="100">
        <f t="shared" si="30"/>
        <v>0.18103819878534669</v>
      </c>
      <c r="AP32" s="100">
        <f t="shared" si="30"/>
        <v>0.16557159266108767</v>
      </c>
      <c r="AQ32" s="100">
        <f t="shared" si="30"/>
        <v>0.6995982917797805</v>
      </c>
      <c r="AR32" s="100">
        <f t="shared" si="30"/>
        <v>0.42616008398206806</v>
      </c>
      <c r="AS32" s="100">
        <f t="shared" si="30"/>
        <v>0.21401727193827058</v>
      </c>
      <c r="AT32" s="100">
        <f t="shared" si="30"/>
        <v>0.88312823857836187</v>
      </c>
      <c r="AU32" s="100">
        <f t="shared" si="30"/>
        <v>0.42307256507532676</v>
      </c>
      <c r="AV32" s="100">
        <f t="shared" si="30"/>
        <v>0.35994230377989306</v>
      </c>
      <c r="AW32" s="100">
        <f t="shared" si="30"/>
        <v>0.26081151099066424</v>
      </c>
      <c r="AX32" s="100">
        <f t="shared" si="30"/>
        <v>0.59215327705120435</v>
      </c>
      <c r="AY32" s="100">
        <f t="shared" si="30"/>
        <v>1.8976465900009132</v>
      </c>
      <c r="AZ32" s="100">
        <f t="shared" si="30"/>
        <v>1.9998921834622059</v>
      </c>
    </row>
    <row r="33" spans="1:52" x14ac:dyDescent="0.25">
      <c r="A33" s="195" t="s">
        <v>1078</v>
      </c>
      <c r="B33" s="196">
        <v>1</v>
      </c>
      <c r="C33" s="100">
        <f t="shared" ref="C33:AH33" si="31">IFERROR($B33/C13,0)</f>
        <v>4.0032742250510864</v>
      </c>
      <c r="D33" s="100">
        <f t="shared" si="31"/>
        <v>0.20242318440669027</v>
      </c>
      <c r="E33" s="100">
        <f t="shared" si="31"/>
        <v>0.1147475533187461</v>
      </c>
      <c r="F33" s="100">
        <f t="shared" si="31"/>
        <v>9.0210509584261994E-2</v>
      </c>
      <c r="G33" s="100">
        <f t="shared" si="31"/>
        <v>9.0369757635324816E-2</v>
      </c>
      <c r="H33" s="100">
        <f t="shared" si="31"/>
        <v>9.0091890745024036E-2</v>
      </c>
      <c r="I33" s="100">
        <f t="shared" si="31"/>
        <v>0.25626769078900447</v>
      </c>
      <c r="J33" s="100">
        <f t="shared" si="31"/>
        <v>8.1694910895088332E-2</v>
      </c>
      <c r="K33" s="100">
        <f t="shared" si="31"/>
        <v>0.7803550143448541</v>
      </c>
      <c r="L33" s="100">
        <f t="shared" si="31"/>
        <v>0.14832157779644881</v>
      </c>
      <c r="M33" s="100">
        <f t="shared" si="31"/>
        <v>0.22390778993926369</v>
      </c>
      <c r="N33" s="100">
        <f t="shared" si="31"/>
        <v>0.11446221021627896</v>
      </c>
      <c r="O33" s="100">
        <f t="shared" si="31"/>
        <v>9.0989913151333521E-2</v>
      </c>
      <c r="P33" s="100">
        <f t="shared" si="31"/>
        <v>7.9098006912280486E-2</v>
      </c>
      <c r="Q33" s="100">
        <f t="shared" si="31"/>
        <v>5.8579141676700225E-2</v>
      </c>
      <c r="R33" s="100">
        <f t="shared" si="31"/>
        <v>0.31651002734054884</v>
      </c>
      <c r="S33" s="100">
        <f t="shared" si="31"/>
        <v>0.1524066411106193</v>
      </c>
      <c r="T33" s="100">
        <f t="shared" si="31"/>
        <v>0.11119865314525942</v>
      </c>
      <c r="U33" s="100">
        <f t="shared" si="31"/>
        <v>0.32040560791840955</v>
      </c>
      <c r="V33" s="100">
        <f t="shared" si="31"/>
        <v>0.19493498815483862</v>
      </c>
      <c r="W33" s="100">
        <f t="shared" si="31"/>
        <v>0.15953631861277343</v>
      </c>
      <c r="X33" s="100">
        <f t="shared" si="31"/>
        <v>0.1020021243185934</v>
      </c>
      <c r="Y33" s="100">
        <f t="shared" si="31"/>
        <v>0.2247607130387434</v>
      </c>
      <c r="Z33" s="100">
        <f t="shared" si="31"/>
        <v>0.63120071797201316</v>
      </c>
      <c r="AA33" s="100">
        <f t="shared" si="31"/>
        <v>0.7777393357675082</v>
      </c>
      <c r="AB33" s="100">
        <f t="shared" si="31"/>
        <v>6.5185672556529175</v>
      </c>
      <c r="AC33" s="100">
        <f t="shared" si="31"/>
        <v>0.35844357087787043</v>
      </c>
      <c r="AD33" s="100">
        <f t="shared" si="31"/>
        <v>0.18833042492244551</v>
      </c>
      <c r="AE33" s="100">
        <f t="shared" si="31"/>
        <v>0.15125115379397217</v>
      </c>
      <c r="AF33" s="100">
        <f t="shared" si="31"/>
        <v>0.14297399992339971</v>
      </c>
      <c r="AG33" s="100">
        <f t="shared" si="31"/>
        <v>0.16130284808314488</v>
      </c>
      <c r="AH33" s="100">
        <f t="shared" si="31"/>
        <v>0.39899533776252349</v>
      </c>
      <c r="AI33" s="100">
        <f t="shared" ref="AI33:AZ33" si="32">IFERROR($B33/AI13,0)</f>
        <v>0.11692375191689222</v>
      </c>
      <c r="AJ33" s="100">
        <f t="shared" si="32"/>
        <v>1.2402726515292501</v>
      </c>
      <c r="AK33" s="100">
        <f t="shared" si="32"/>
        <v>0.33061043655524541</v>
      </c>
      <c r="AL33" s="100">
        <f t="shared" si="32"/>
        <v>0.24475146112001273</v>
      </c>
      <c r="AM33" s="100">
        <f t="shared" si="32"/>
        <v>0.19198112193396016</v>
      </c>
      <c r="AN33" s="100">
        <f t="shared" si="32"/>
        <v>0.15120869203694332</v>
      </c>
      <c r="AO33" s="100">
        <f t="shared" si="32"/>
        <v>0.13169731065954723</v>
      </c>
      <c r="AP33" s="100">
        <f t="shared" si="32"/>
        <v>0.12044309503620607</v>
      </c>
      <c r="AQ33" s="100">
        <f t="shared" si="32"/>
        <v>0.43524373797245808</v>
      </c>
      <c r="AR33" s="100">
        <f t="shared" si="32"/>
        <v>0.26471407974852385</v>
      </c>
      <c r="AS33" s="100">
        <f t="shared" si="32"/>
        <v>0.15433968069239873</v>
      </c>
      <c r="AT33" s="100">
        <f t="shared" si="32"/>
        <v>0.5773829338143136</v>
      </c>
      <c r="AU33" s="100">
        <f t="shared" si="32"/>
        <v>0.3077763748662154</v>
      </c>
      <c r="AV33" s="100">
        <f t="shared" si="32"/>
        <v>0.25794574046603835</v>
      </c>
      <c r="AW33" s="100">
        <f t="shared" si="32"/>
        <v>0.16213438101296068</v>
      </c>
      <c r="AX33" s="100">
        <f t="shared" si="32"/>
        <v>0.42984447092859557</v>
      </c>
      <c r="AY33" s="100">
        <f t="shared" si="32"/>
        <v>1.2408832296495258</v>
      </c>
      <c r="AZ33" s="100">
        <f t="shared" si="32"/>
        <v>1.251078706343892</v>
      </c>
    </row>
    <row r="34" spans="1:52" x14ac:dyDescent="0.25">
      <c r="A34" s="195" t="s">
        <v>1079</v>
      </c>
      <c r="B34" s="196">
        <v>1</v>
      </c>
      <c r="C34" s="100">
        <f t="shared" ref="C34:AH34" si="33">IFERROR($B34/C14,0)</f>
        <v>0.43444381397563575</v>
      </c>
      <c r="D34" s="100">
        <f t="shared" si="33"/>
        <v>2.3941390409987818E-2</v>
      </c>
      <c r="E34" s="100">
        <f t="shared" si="33"/>
        <v>1.0762827365155729E-2</v>
      </c>
      <c r="F34" s="100">
        <f t="shared" si="33"/>
        <v>8.803059123465351E-3</v>
      </c>
      <c r="G34" s="100">
        <f t="shared" si="33"/>
        <v>1.0688334328942267E-2</v>
      </c>
      <c r="H34" s="100">
        <f t="shared" si="33"/>
        <v>9.0891285578444687E-3</v>
      </c>
      <c r="I34" s="100">
        <f t="shared" si="33"/>
        <v>2.4037543568955561E-2</v>
      </c>
      <c r="J34" s="100">
        <f t="shared" si="33"/>
        <v>7.9717946724469808E-3</v>
      </c>
      <c r="K34" s="100">
        <f t="shared" si="33"/>
        <v>9.2295907278231545E-2</v>
      </c>
      <c r="L34" s="100">
        <f t="shared" si="33"/>
        <v>1.680392347616386E-2</v>
      </c>
      <c r="M34" s="100">
        <f t="shared" si="33"/>
        <v>2.2576509793749516E-2</v>
      </c>
      <c r="N34" s="100">
        <f t="shared" si="33"/>
        <v>1.0889687461770402E-2</v>
      </c>
      <c r="O34" s="100">
        <f t="shared" si="33"/>
        <v>9.269471748275325E-3</v>
      </c>
      <c r="P34" s="100">
        <f t="shared" si="33"/>
        <v>7.9756022734380726E-3</v>
      </c>
      <c r="Q34" s="100">
        <f t="shared" si="33"/>
        <v>5.9067059046081808E-3</v>
      </c>
      <c r="R34" s="100">
        <f t="shared" si="33"/>
        <v>3.7435209050427583E-2</v>
      </c>
      <c r="S34" s="100">
        <f t="shared" si="33"/>
        <v>1.8028179017937112E-2</v>
      </c>
      <c r="T34" s="100">
        <f t="shared" si="33"/>
        <v>1.1307193649180166E-2</v>
      </c>
      <c r="U34" s="100">
        <f t="shared" si="33"/>
        <v>3.599592708906503E-2</v>
      </c>
      <c r="V34" s="100">
        <f t="shared" si="33"/>
        <v>1.9655407560540124E-2</v>
      </c>
      <c r="W34" s="100">
        <f t="shared" si="33"/>
        <v>1.6261825738665015E-2</v>
      </c>
      <c r="X34" s="100">
        <f t="shared" si="33"/>
        <v>1.2065011429054322E-2</v>
      </c>
      <c r="Y34" s="100">
        <f t="shared" si="33"/>
        <v>2.2683174477731379E-2</v>
      </c>
      <c r="Z34" s="100">
        <f t="shared" si="33"/>
        <v>6.6358584147730784E-2</v>
      </c>
      <c r="AA34" s="100">
        <f t="shared" si="33"/>
        <v>8.5705062859422573E-2</v>
      </c>
      <c r="AB34" s="100">
        <f t="shared" si="33"/>
        <v>0.70799185732558667</v>
      </c>
      <c r="AC34" s="100">
        <f t="shared" si="33"/>
        <v>4.2394538429431021E-2</v>
      </c>
      <c r="AD34" s="100">
        <f t="shared" si="33"/>
        <v>1.7664584493720624E-2</v>
      </c>
      <c r="AE34" s="100">
        <f t="shared" si="33"/>
        <v>1.4759620087247296E-2</v>
      </c>
      <c r="AF34" s="100">
        <f t="shared" si="33"/>
        <v>1.6910014495049603E-2</v>
      </c>
      <c r="AG34" s="100">
        <f t="shared" si="33"/>
        <v>1.6273410523967007E-2</v>
      </c>
      <c r="AH34" s="100">
        <f t="shared" si="33"/>
        <v>3.7425193108612927E-2</v>
      </c>
      <c r="AI34" s="100">
        <f t="shared" ref="AI34:AZ34" si="34">IFERROR($B34/AI14,0)</f>
        <v>1.140942725074486E-2</v>
      </c>
      <c r="AJ34" s="100">
        <f t="shared" si="34"/>
        <v>0.14669232277744115</v>
      </c>
      <c r="AK34" s="100">
        <f t="shared" si="34"/>
        <v>3.7456131190295928E-2</v>
      </c>
      <c r="AL34" s="100">
        <f t="shared" si="34"/>
        <v>2.4678166670794848E-2</v>
      </c>
      <c r="AM34" s="100">
        <f t="shared" si="34"/>
        <v>1.8264669295399737E-2</v>
      </c>
      <c r="AN34" s="100">
        <f t="shared" si="34"/>
        <v>1.5404176687133902E-2</v>
      </c>
      <c r="AO34" s="100">
        <f t="shared" si="34"/>
        <v>1.3279289975875344E-2</v>
      </c>
      <c r="AP34" s="100">
        <f t="shared" si="34"/>
        <v>1.2144628962745792E-2</v>
      </c>
      <c r="AQ34" s="100">
        <f t="shared" si="34"/>
        <v>5.1478433261002411E-2</v>
      </c>
      <c r="AR34" s="100">
        <f t="shared" si="34"/>
        <v>3.1313024048676752E-2</v>
      </c>
      <c r="AS34" s="100">
        <f t="shared" si="34"/>
        <v>1.5693972975211207E-2</v>
      </c>
      <c r="AT34" s="100">
        <f t="shared" si="34"/>
        <v>6.4866011937415716E-2</v>
      </c>
      <c r="AU34" s="100">
        <f t="shared" si="34"/>
        <v>3.1033269823762435E-2</v>
      </c>
      <c r="AV34" s="100">
        <f t="shared" si="34"/>
        <v>2.6292876242624913E-2</v>
      </c>
      <c r="AW34" s="100">
        <f t="shared" si="34"/>
        <v>1.9177572751859273E-2</v>
      </c>
      <c r="AX34" s="100">
        <f t="shared" si="34"/>
        <v>4.3380522336573829E-2</v>
      </c>
      <c r="AY34" s="100">
        <f t="shared" si="34"/>
        <v>0.13045494383587983</v>
      </c>
      <c r="AZ34" s="100">
        <f t="shared" si="34"/>
        <v>0.13786595873214399</v>
      </c>
    </row>
    <row r="35" spans="1:52" x14ac:dyDescent="0.25">
      <c r="A35" s="195" t="s">
        <v>1080</v>
      </c>
      <c r="B35" s="196">
        <v>1</v>
      </c>
      <c r="C35" s="100">
        <f t="shared" ref="C35:AH35" si="35">IFERROR($B35/C30,0)</f>
        <v>4.5808268950338835</v>
      </c>
      <c r="D35" s="100">
        <f t="shared" si="35"/>
        <v>0.23838202163595451</v>
      </c>
      <c r="E35" s="100">
        <f t="shared" si="35"/>
        <v>0.12692933924953115</v>
      </c>
      <c r="F35" s="100">
        <f t="shared" si="35"/>
        <v>9.3944749179810813E-2</v>
      </c>
      <c r="G35" s="100">
        <f t="shared" si="35"/>
        <v>0.10642316988565988</v>
      </c>
      <c r="H35" s="100">
        <f t="shared" si="35"/>
        <v>0.10276069608745667</v>
      </c>
      <c r="I35" s="100">
        <f t="shared" si="35"/>
        <v>0.28347676233603558</v>
      </c>
      <c r="J35" s="100">
        <f t="shared" si="35"/>
        <v>8.5073185156474163E-2</v>
      </c>
      <c r="K35" s="100">
        <f t="shared" si="35"/>
        <v>0.91897893758235583</v>
      </c>
      <c r="L35" s="100">
        <f t="shared" si="35"/>
        <v>0.19004552558882332</v>
      </c>
      <c r="M35" s="100">
        <f t="shared" si="35"/>
        <v>0.25534135591105678</v>
      </c>
      <c r="N35" s="100">
        <f t="shared" si="35"/>
        <v>0.12729855177494553</v>
      </c>
      <c r="O35" s="100">
        <f t="shared" si="35"/>
        <v>9.3591429418968225E-2</v>
      </c>
      <c r="P35" s="100">
        <f t="shared" si="35"/>
        <v>9.0203047838965572E-2</v>
      </c>
      <c r="Q35" s="100">
        <f t="shared" si="35"/>
        <v>6.680365946501636E-2</v>
      </c>
      <c r="R35" s="100">
        <f t="shared" si="35"/>
        <v>0.37273571444311088</v>
      </c>
      <c r="S35" s="100">
        <f t="shared" si="35"/>
        <v>0.17948235366832949</v>
      </c>
      <c r="T35" s="100">
        <f t="shared" si="35"/>
        <v>0.1138969119458511</v>
      </c>
      <c r="U35" s="100">
        <f t="shared" si="35"/>
        <v>0.3723267613433564</v>
      </c>
      <c r="V35" s="100">
        <f t="shared" si="35"/>
        <v>0.22230202809602906</v>
      </c>
      <c r="W35" s="100">
        <f t="shared" si="35"/>
        <v>0.16431016632016596</v>
      </c>
      <c r="X35" s="100">
        <f t="shared" si="35"/>
        <v>0.12012261276135154</v>
      </c>
      <c r="Y35" s="100">
        <f t="shared" si="35"/>
        <v>0.25639791534463419</v>
      </c>
      <c r="Z35" s="100">
        <f t="shared" si="35"/>
        <v>0.69905827979753032</v>
      </c>
      <c r="AA35" s="100">
        <f t="shared" si="35"/>
        <v>0.91813827300348305</v>
      </c>
      <c r="AB35" s="100">
        <f t="shared" si="35"/>
        <v>7.4746050901451255</v>
      </c>
      <c r="AC35" s="100">
        <f t="shared" si="35"/>
        <v>0.42211816457054618</v>
      </c>
      <c r="AD35" s="100">
        <f t="shared" si="35"/>
        <v>0.20832388756548922</v>
      </c>
      <c r="AE35" s="100">
        <f t="shared" si="35"/>
        <v>0.15751215431345525</v>
      </c>
      <c r="AF35" s="100">
        <f t="shared" si="35"/>
        <v>0.16837210457597351</v>
      </c>
      <c r="AG35" s="100">
        <f t="shared" si="35"/>
        <v>0.18398540437812652</v>
      </c>
      <c r="AH35" s="100">
        <f t="shared" si="35"/>
        <v>0.44135843339384428</v>
      </c>
      <c r="AI35" s="100">
        <f t="shared" ref="AI35:AZ35" si="36">IFERROR($B35/AI30,0)</f>
        <v>0.12175882055602393</v>
      </c>
      <c r="AJ35" s="100">
        <f t="shared" si="36"/>
        <v>1.4605973212995962</v>
      </c>
      <c r="AK35" s="100">
        <f t="shared" si="36"/>
        <v>0.42361357742916528</v>
      </c>
      <c r="AL35" s="100">
        <f t="shared" si="36"/>
        <v>0.27911119108695831</v>
      </c>
      <c r="AM35" s="100">
        <f t="shared" si="36"/>
        <v>0.21351080626649147</v>
      </c>
      <c r="AN35" s="100">
        <f t="shared" si="36"/>
        <v>0.15553193907079443</v>
      </c>
      <c r="AO35" s="100">
        <f t="shared" si="36"/>
        <v>0.15018708153873697</v>
      </c>
      <c r="AP35" s="100">
        <f t="shared" si="36"/>
        <v>0.13735331852620186</v>
      </c>
      <c r="AQ35" s="100">
        <f t="shared" si="36"/>
        <v>0.51256159873728746</v>
      </c>
      <c r="AR35" s="100">
        <f t="shared" si="36"/>
        <v>0.31174170453586919</v>
      </c>
      <c r="AS35" s="100">
        <f t="shared" si="36"/>
        <v>0.15808476563659105</v>
      </c>
      <c r="AT35" s="100">
        <f t="shared" si="36"/>
        <v>0.67094680145783125</v>
      </c>
      <c r="AU35" s="100">
        <f t="shared" si="36"/>
        <v>0.35098528478867674</v>
      </c>
      <c r="AV35" s="100">
        <f t="shared" si="36"/>
        <v>0.26566431948593106</v>
      </c>
      <c r="AW35" s="100">
        <f t="shared" si="36"/>
        <v>0.19093725347219198</v>
      </c>
      <c r="AX35" s="100">
        <f t="shared" si="36"/>
        <v>0.49034915745934343</v>
      </c>
      <c r="AY35" s="100">
        <f t="shared" si="36"/>
        <v>1.374285027329236</v>
      </c>
      <c r="AZ35" s="100">
        <f t="shared" si="36"/>
        <v>1.4769257384936822</v>
      </c>
    </row>
    <row r="36" spans="1:52" x14ac:dyDescent="0.25">
      <c r="A36" s="195" t="s">
        <v>1081</v>
      </c>
      <c r="B36" s="196">
        <v>1</v>
      </c>
      <c r="C36" s="100">
        <f t="shared" ref="C36:AH36" si="37">IFERROR($B36/C26,0)</f>
        <v>12.919743116417784</v>
      </c>
      <c r="D36" s="100">
        <f t="shared" si="37"/>
        <v>0.71077093164227401</v>
      </c>
      <c r="E36" s="100">
        <f t="shared" si="37"/>
        <v>0.32168744323443721</v>
      </c>
      <c r="F36" s="100">
        <f t="shared" si="37"/>
        <v>0.26210471639583716</v>
      </c>
      <c r="G36" s="100">
        <f t="shared" si="37"/>
        <v>0.31731636705891481</v>
      </c>
      <c r="H36" s="100">
        <f t="shared" si="37"/>
        <v>0.27075698828615052</v>
      </c>
      <c r="I36" s="100">
        <f t="shared" si="37"/>
        <v>0.71846632605970984</v>
      </c>
      <c r="J36" s="100">
        <f t="shared" si="37"/>
        <v>0.23734664485845419</v>
      </c>
      <c r="K36" s="100">
        <f t="shared" si="37"/>
        <v>2.7400699869783405</v>
      </c>
      <c r="L36" s="100">
        <f t="shared" si="37"/>
        <v>0.4995490519627227</v>
      </c>
      <c r="M36" s="100">
        <f t="shared" si="37"/>
        <v>0.67201574514458939</v>
      </c>
      <c r="N36" s="100">
        <f t="shared" si="37"/>
        <v>0.3284503313028761</v>
      </c>
      <c r="O36" s="100">
        <f t="shared" si="37"/>
        <v>0.27607802180813551</v>
      </c>
      <c r="P36" s="100">
        <f t="shared" si="37"/>
        <v>0.23741057460956774</v>
      </c>
      <c r="Q36" s="100">
        <f t="shared" si="37"/>
        <v>0.17582791800195929</v>
      </c>
      <c r="R36" s="100">
        <f t="shared" si="37"/>
        <v>1.1113656300412025</v>
      </c>
      <c r="S36" s="100">
        <f t="shared" si="37"/>
        <v>0.5351488830137664</v>
      </c>
      <c r="T36" s="100">
        <f t="shared" si="37"/>
        <v>0.33579063584069174</v>
      </c>
      <c r="U36" s="100">
        <f t="shared" si="37"/>
        <v>1.0655649926878756</v>
      </c>
      <c r="V36" s="100">
        <f t="shared" si="37"/>
        <v>0.5850742256626581</v>
      </c>
      <c r="W36" s="100">
        <f t="shared" si="37"/>
        <v>0.48476737647611312</v>
      </c>
      <c r="X36" s="100">
        <f t="shared" si="37"/>
        <v>0.35816181696656807</v>
      </c>
      <c r="Y36" s="100">
        <f t="shared" si="37"/>
        <v>0.67601850838493838</v>
      </c>
      <c r="Z36" s="100">
        <f t="shared" si="37"/>
        <v>2.0940129979715296</v>
      </c>
      <c r="AA36" s="100">
        <f t="shared" si="37"/>
        <v>2.7194140897524774</v>
      </c>
      <c r="AB36" s="100">
        <f t="shared" si="37"/>
        <v>21.054421444397306</v>
      </c>
      <c r="AC36" s="100">
        <f t="shared" si="37"/>
        <v>1.2586071677549748</v>
      </c>
      <c r="AD36" s="100">
        <f t="shared" si="37"/>
        <v>0.52797232816169515</v>
      </c>
      <c r="AE36" s="100">
        <f t="shared" si="37"/>
        <v>0.43945700952595451</v>
      </c>
      <c r="AF36" s="100">
        <f t="shared" si="37"/>
        <v>0.50202624668587992</v>
      </c>
      <c r="AG36" s="100">
        <f t="shared" si="37"/>
        <v>0.48477030493871587</v>
      </c>
      <c r="AH36" s="100">
        <f t="shared" si="37"/>
        <v>1.1186143425049078</v>
      </c>
      <c r="AI36" s="100">
        <f t="shared" ref="AI36:AZ36" si="38">IFERROR($B36/AI26,0)</f>
        <v>0.33969631544582662</v>
      </c>
      <c r="AJ36" s="100">
        <f t="shared" si="38"/>
        <v>4.3549843412981639</v>
      </c>
      <c r="AK36" s="100">
        <f t="shared" si="38"/>
        <v>1.1135003591777388</v>
      </c>
      <c r="AL36" s="100">
        <f t="shared" si="38"/>
        <v>0.73457397603007768</v>
      </c>
      <c r="AM36" s="100">
        <f t="shared" si="38"/>
        <v>0.55089153864809004</v>
      </c>
      <c r="AN36" s="100">
        <f t="shared" si="38"/>
        <v>0.45879147624115602</v>
      </c>
      <c r="AO36" s="100">
        <f t="shared" si="38"/>
        <v>0.3952859928935018</v>
      </c>
      <c r="AP36" s="100">
        <f t="shared" si="38"/>
        <v>0.36151534542458919</v>
      </c>
      <c r="AQ36" s="100">
        <f t="shared" si="38"/>
        <v>1.5282767978557468</v>
      </c>
      <c r="AR36" s="100">
        <f t="shared" si="38"/>
        <v>0.92949653022416112</v>
      </c>
      <c r="AS36" s="100">
        <f t="shared" si="38"/>
        <v>0.46606517299674072</v>
      </c>
      <c r="AT36" s="100">
        <f t="shared" si="38"/>
        <v>1.9201881191936634</v>
      </c>
      <c r="AU36" s="100">
        <f t="shared" si="38"/>
        <v>0.92375425215650897</v>
      </c>
      <c r="AV36" s="100">
        <f t="shared" si="38"/>
        <v>0.78379444233269424</v>
      </c>
      <c r="AW36" s="100">
        <f t="shared" si="38"/>
        <v>0.5693052461826672</v>
      </c>
      <c r="AX36" s="100">
        <f t="shared" si="38"/>
        <v>1.2928541387238464</v>
      </c>
      <c r="AY36" s="100">
        <f t="shared" si="38"/>
        <v>4.1166391891940295</v>
      </c>
      <c r="AZ36" s="100">
        <f t="shared" si="38"/>
        <v>4.374474717886601</v>
      </c>
    </row>
    <row r="37" spans="1:52" x14ac:dyDescent="0.25">
      <c r="A37" s="195" t="s">
        <v>1082</v>
      </c>
      <c r="B37" s="196">
        <v>1</v>
      </c>
      <c r="C37" s="100">
        <f t="shared" ref="C37:AH37" si="39">IFERROR($B37/C22,0)</f>
        <v>8.258259052691681</v>
      </c>
      <c r="D37" s="100">
        <f t="shared" si="39"/>
        <v>0.41056516612169192</v>
      </c>
      <c r="E37" s="100">
        <f t="shared" si="39"/>
        <v>0.31808185764898433</v>
      </c>
      <c r="F37" s="100">
        <f t="shared" si="39"/>
        <v>0.23180918578519036</v>
      </c>
      <c r="G37" s="100">
        <f t="shared" si="39"/>
        <v>0.18329168374012567</v>
      </c>
      <c r="H37" s="100">
        <f t="shared" si="39"/>
        <v>0.16553081191897778</v>
      </c>
      <c r="I37" s="100">
        <f t="shared" si="39"/>
        <v>0.710330217107359</v>
      </c>
      <c r="J37" s="100">
        <f t="shared" si="39"/>
        <v>0.20994646908097969</v>
      </c>
      <c r="K37" s="100">
        <f t="shared" si="39"/>
        <v>1.5827603934076899</v>
      </c>
      <c r="L37" s="100">
        <f t="shared" si="39"/>
        <v>0.26861947927526764</v>
      </c>
      <c r="M37" s="100">
        <f t="shared" si="39"/>
        <v>0.41137041329109936</v>
      </c>
      <c r="N37" s="100">
        <f t="shared" si="39"/>
        <v>0.30737290763262587</v>
      </c>
      <c r="O37" s="100">
        <f t="shared" si="39"/>
        <v>0.1644542996361737</v>
      </c>
      <c r="P37" s="100">
        <f t="shared" si="39"/>
        <v>0.14532174612785548</v>
      </c>
      <c r="Q37" s="100">
        <f t="shared" si="39"/>
        <v>0.10762386594013057</v>
      </c>
      <c r="R37" s="100">
        <f t="shared" si="39"/>
        <v>0.64196742793088624</v>
      </c>
      <c r="S37" s="100">
        <f t="shared" si="39"/>
        <v>0.30916092117536786</v>
      </c>
      <c r="T37" s="100">
        <f t="shared" si="39"/>
        <v>0.2008249298742075</v>
      </c>
      <c r="U37" s="100">
        <f t="shared" si="39"/>
        <v>0.62279178759046494</v>
      </c>
      <c r="V37" s="100">
        <f t="shared" si="39"/>
        <v>0.35814112513607593</v>
      </c>
      <c r="W37" s="100">
        <f t="shared" si="39"/>
        <v>0.28841264740342054</v>
      </c>
      <c r="X37" s="100">
        <f t="shared" si="39"/>
        <v>0.2068999893825432</v>
      </c>
      <c r="Y37" s="100">
        <f t="shared" si="39"/>
        <v>0.4129817274845643</v>
      </c>
      <c r="Z37" s="100">
        <f t="shared" si="39"/>
        <v>1.1092585456405526</v>
      </c>
      <c r="AA37" s="100">
        <f t="shared" si="39"/>
        <v>1.4981640418002988</v>
      </c>
      <c r="AB37" s="100">
        <f t="shared" si="39"/>
        <v>13.417860041049778</v>
      </c>
      <c r="AC37" s="100">
        <f t="shared" si="39"/>
        <v>0.72701377885181306</v>
      </c>
      <c r="AD37" s="100">
        <f t="shared" si="39"/>
        <v>0.52205462930221402</v>
      </c>
      <c r="AE37" s="100">
        <f t="shared" si="39"/>
        <v>0.38866210790331335</v>
      </c>
      <c r="AF37" s="100">
        <f t="shared" si="39"/>
        <v>0.28998578576221434</v>
      </c>
      <c r="AG37" s="100">
        <f t="shared" si="39"/>
        <v>0.29637064098936372</v>
      </c>
      <c r="AH37" s="100">
        <f t="shared" si="39"/>
        <v>1.1059468480988779</v>
      </c>
      <c r="AI37" s="100">
        <f t="shared" ref="AI37:AZ37" si="40">IFERROR($B37/AI22,0)</f>
        <v>0.30048051460850322</v>
      </c>
      <c r="AJ37" s="100">
        <f t="shared" si="40"/>
        <v>2.5155914856462012</v>
      </c>
      <c r="AK37" s="100">
        <f t="shared" si="40"/>
        <v>0.59875578880583624</v>
      </c>
      <c r="AL37" s="100">
        <f t="shared" si="40"/>
        <v>0.44966505962946207</v>
      </c>
      <c r="AM37" s="100">
        <f t="shared" si="40"/>
        <v>0.51553954399373081</v>
      </c>
      <c r="AN37" s="100">
        <f t="shared" si="40"/>
        <v>0.27329314521356868</v>
      </c>
      <c r="AO37" s="100">
        <f t="shared" si="40"/>
        <v>0.24195910734656784</v>
      </c>
      <c r="AP37" s="100">
        <f t="shared" si="40"/>
        <v>0.22128271501709088</v>
      </c>
      <c r="AQ37" s="100">
        <f t="shared" si="40"/>
        <v>0.88279131418661183</v>
      </c>
      <c r="AR37" s="100">
        <f t="shared" si="40"/>
        <v>0.53697954463639896</v>
      </c>
      <c r="AS37" s="100">
        <f t="shared" si="40"/>
        <v>0.27873768858845144</v>
      </c>
      <c r="AT37" s="100">
        <f t="shared" si="40"/>
        <v>1.1222941814614307</v>
      </c>
      <c r="AU37" s="100">
        <f t="shared" si="40"/>
        <v>0.56545712100351331</v>
      </c>
      <c r="AV37" s="100">
        <f t="shared" si="40"/>
        <v>0.46631898329568999</v>
      </c>
      <c r="AW37" s="100">
        <f t="shared" si="40"/>
        <v>0.32887159884386769</v>
      </c>
      <c r="AX37" s="100">
        <f t="shared" si="40"/>
        <v>0.7898084578650546</v>
      </c>
      <c r="AY37" s="100">
        <f t="shared" si="40"/>
        <v>2.1807014590433593</v>
      </c>
      <c r="AZ37" s="100">
        <f t="shared" si="40"/>
        <v>2.4099605679025995</v>
      </c>
    </row>
    <row r="38" spans="1:52" x14ac:dyDescent="0.25">
      <c r="A38" s="195" t="s">
        <v>1083</v>
      </c>
      <c r="B38" s="196">
        <v>1</v>
      </c>
      <c r="C38" s="100">
        <f t="shared" ref="C38:AH38" si="41">IFERROR($B38/C2,0)</f>
        <v>12.124397311599795</v>
      </c>
      <c r="D38" s="100">
        <f t="shared" si="41"/>
        <v>0.66783360259843749</v>
      </c>
      <c r="E38" s="100">
        <f t="shared" si="41"/>
        <v>0.30020494115252733</v>
      </c>
      <c r="F38" s="100">
        <f t="shared" si="41"/>
        <v>0.24555290100057955</v>
      </c>
      <c r="G38" s="100">
        <f t="shared" si="41"/>
        <v>0.29814735380181046</v>
      </c>
      <c r="H38" s="100">
        <f t="shared" si="41"/>
        <v>0.2537035724454888</v>
      </c>
      <c r="I38" s="100">
        <f t="shared" si="41"/>
        <v>0.67048699353846197</v>
      </c>
      <c r="J38" s="100">
        <f t="shared" si="41"/>
        <v>0.22235846463222564</v>
      </c>
      <c r="K38" s="100">
        <f t="shared" si="41"/>
        <v>2.5745440465093479</v>
      </c>
      <c r="L38" s="100">
        <f t="shared" si="41"/>
        <v>0.46873190538752491</v>
      </c>
      <c r="M38" s="100">
        <f t="shared" si="41"/>
        <v>0.629701952710778</v>
      </c>
      <c r="N38" s="100">
        <f t="shared" si="41"/>
        <v>0.30658472450243962</v>
      </c>
      <c r="O38" s="100">
        <f t="shared" si="41"/>
        <v>0.25928357457809104</v>
      </c>
      <c r="P38" s="100">
        <f t="shared" si="41"/>
        <v>0.222461719280134</v>
      </c>
      <c r="Q38" s="100">
        <f t="shared" si="41"/>
        <v>0.16475663385088427</v>
      </c>
      <c r="R38" s="100">
        <f t="shared" si="41"/>
        <v>1.0442290626001656</v>
      </c>
      <c r="S38" s="100">
        <f t="shared" si="41"/>
        <v>0.50282460913188498</v>
      </c>
      <c r="T38" s="100">
        <f t="shared" si="41"/>
        <v>0.31541316757621918</v>
      </c>
      <c r="U38" s="100">
        <f t="shared" si="41"/>
        <v>1.0041282310558408</v>
      </c>
      <c r="V38" s="100">
        <f t="shared" si="41"/>
        <v>0.54823454224199142</v>
      </c>
      <c r="W38" s="100">
        <f t="shared" si="41"/>
        <v>0.45525604992617885</v>
      </c>
      <c r="X38" s="100">
        <f t="shared" si="41"/>
        <v>0.33652670903371007</v>
      </c>
      <c r="Y38" s="100">
        <f t="shared" si="41"/>
        <v>0.6334325540450737</v>
      </c>
      <c r="Z38" s="100">
        <f t="shared" si="41"/>
        <v>1.9626405223342187</v>
      </c>
      <c r="AA38" s="100">
        <f t="shared" si="41"/>
        <v>2.5348375270127921</v>
      </c>
      <c r="AB38" s="100">
        <f t="shared" si="41"/>
        <v>19.758930467257361</v>
      </c>
      <c r="AC38" s="100">
        <f t="shared" si="41"/>
        <v>1.1825753160106138</v>
      </c>
      <c r="AD38" s="100">
        <f t="shared" si="41"/>
        <v>0.4927139838356514</v>
      </c>
      <c r="AE38" s="100">
        <f t="shared" si="41"/>
        <v>0.41170546275546271</v>
      </c>
      <c r="AF38" s="100">
        <f t="shared" si="41"/>
        <v>0.47169894946093344</v>
      </c>
      <c r="AG38" s="100">
        <f t="shared" si="41"/>
        <v>0.4542374287619898</v>
      </c>
      <c r="AH38" s="100">
        <f t="shared" si="41"/>
        <v>1.0439130411976847</v>
      </c>
      <c r="AI38" s="100">
        <f t="shared" ref="AI38:AZ38" si="42">IFERROR($B38/AI2,0)</f>
        <v>0.31824486581137246</v>
      </c>
      <c r="AJ38" s="100">
        <f t="shared" si="42"/>
        <v>4.0919024192133726</v>
      </c>
      <c r="AK38" s="100">
        <f t="shared" si="42"/>
        <v>1.044808598788058</v>
      </c>
      <c r="AL38" s="100">
        <f t="shared" si="42"/>
        <v>0.68832117470273901</v>
      </c>
      <c r="AM38" s="100">
        <f t="shared" si="42"/>
        <v>0.51421756810896802</v>
      </c>
      <c r="AN38" s="100">
        <f t="shared" si="42"/>
        <v>0.43088215848068218</v>
      </c>
      <c r="AO38" s="100">
        <f t="shared" si="42"/>
        <v>0.3703963133531768</v>
      </c>
      <c r="AP38" s="100">
        <f t="shared" si="42"/>
        <v>0.3387519574504162</v>
      </c>
      <c r="AQ38" s="100">
        <f t="shared" si="42"/>
        <v>1.4359550132563705</v>
      </c>
      <c r="AR38" s="100">
        <f t="shared" si="42"/>
        <v>0.87335271423407612</v>
      </c>
      <c r="AS38" s="100">
        <f t="shared" si="42"/>
        <v>0.43778198919639572</v>
      </c>
      <c r="AT38" s="100">
        <f t="shared" si="42"/>
        <v>1.8094767683355724</v>
      </c>
      <c r="AU38" s="100">
        <f t="shared" si="42"/>
        <v>0.86558930023199565</v>
      </c>
      <c r="AV38" s="100">
        <f t="shared" si="42"/>
        <v>0.7360791569027072</v>
      </c>
      <c r="AW38" s="100">
        <f t="shared" si="42"/>
        <v>0.53491581697934698</v>
      </c>
      <c r="AX38" s="100">
        <f t="shared" si="42"/>
        <v>1.2114104701897772</v>
      </c>
      <c r="AY38" s="100">
        <f t="shared" si="42"/>
        <v>3.8583728450434069</v>
      </c>
      <c r="AZ38" s="100">
        <f t="shared" si="42"/>
        <v>4.0775631477576635</v>
      </c>
    </row>
    <row r="39" spans="1:52" x14ac:dyDescent="0.25">
      <c r="A39" s="195" t="s">
        <v>1084</v>
      </c>
      <c r="B39" s="196">
        <v>1</v>
      </c>
      <c r="C39" s="100">
        <f t="shared" ref="C39:AH39" si="43">IFERROR($B39/C11,0)</f>
        <v>0</v>
      </c>
      <c r="D39" s="100">
        <f t="shared" si="43"/>
        <v>0</v>
      </c>
      <c r="E39" s="100">
        <f t="shared" si="43"/>
        <v>0</v>
      </c>
      <c r="F39" s="100">
        <f t="shared" si="43"/>
        <v>0</v>
      </c>
      <c r="G39" s="100">
        <f t="shared" si="43"/>
        <v>0</v>
      </c>
      <c r="H39" s="100">
        <f t="shared" si="43"/>
        <v>0</v>
      </c>
      <c r="I39" s="100">
        <f t="shared" si="43"/>
        <v>0</v>
      </c>
      <c r="J39" s="100">
        <f t="shared" si="43"/>
        <v>0</v>
      </c>
      <c r="K39" s="100">
        <f t="shared" si="43"/>
        <v>0</v>
      </c>
      <c r="L39" s="100">
        <f t="shared" si="43"/>
        <v>0</v>
      </c>
      <c r="M39" s="100">
        <f t="shared" si="43"/>
        <v>0</v>
      </c>
      <c r="N39" s="100">
        <f t="shared" si="43"/>
        <v>0</v>
      </c>
      <c r="O39" s="100">
        <f t="shared" si="43"/>
        <v>0</v>
      </c>
      <c r="P39" s="100">
        <f t="shared" si="43"/>
        <v>0</v>
      </c>
      <c r="Q39" s="100">
        <f t="shared" si="43"/>
        <v>0</v>
      </c>
      <c r="R39" s="100">
        <f t="shared" si="43"/>
        <v>0</v>
      </c>
      <c r="S39" s="100">
        <f t="shared" si="43"/>
        <v>0</v>
      </c>
      <c r="T39" s="100">
        <f t="shared" si="43"/>
        <v>0</v>
      </c>
      <c r="U39" s="100">
        <f t="shared" si="43"/>
        <v>0</v>
      </c>
      <c r="V39" s="100">
        <f t="shared" si="43"/>
        <v>0</v>
      </c>
      <c r="W39" s="100">
        <f t="shared" si="43"/>
        <v>0</v>
      </c>
      <c r="X39" s="100">
        <f t="shared" si="43"/>
        <v>0</v>
      </c>
      <c r="Y39" s="100">
        <f t="shared" si="43"/>
        <v>0</v>
      </c>
      <c r="Z39" s="100">
        <f t="shared" si="43"/>
        <v>0</v>
      </c>
      <c r="AA39" s="100">
        <f t="shared" si="43"/>
        <v>0</v>
      </c>
      <c r="AB39" s="100">
        <f t="shared" si="43"/>
        <v>0</v>
      </c>
      <c r="AC39" s="100">
        <f t="shared" si="43"/>
        <v>0</v>
      </c>
      <c r="AD39" s="100">
        <f t="shared" si="43"/>
        <v>0</v>
      </c>
      <c r="AE39" s="100">
        <f t="shared" si="43"/>
        <v>0</v>
      </c>
      <c r="AF39" s="100">
        <f t="shared" si="43"/>
        <v>0</v>
      </c>
      <c r="AG39" s="100">
        <f t="shared" si="43"/>
        <v>0</v>
      </c>
      <c r="AH39" s="100">
        <f t="shared" si="43"/>
        <v>0</v>
      </c>
      <c r="AI39" s="100">
        <f t="shared" ref="AI39:AZ39" si="44">IFERROR($B39/AI11,0)</f>
        <v>0</v>
      </c>
      <c r="AJ39" s="100">
        <f t="shared" si="44"/>
        <v>0</v>
      </c>
      <c r="AK39" s="100">
        <f t="shared" si="44"/>
        <v>0</v>
      </c>
      <c r="AL39" s="100">
        <f t="shared" si="44"/>
        <v>0</v>
      </c>
      <c r="AM39" s="100">
        <f t="shared" si="44"/>
        <v>0</v>
      </c>
      <c r="AN39" s="100">
        <f t="shared" si="44"/>
        <v>0</v>
      </c>
      <c r="AO39" s="100">
        <f t="shared" si="44"/>
        <v>0</v>
      </c>
      <c r="AP39" s="100">
        <f t="shared" si="44"/>
        <v>0</v>
      </c>
      <c r="AQ39" s="100">
        <f t="shared" si="44"/>
        <v>0</v>
      </c>
      <c r="AR39" s="100">
        <f t="shared" si="44"/>
        <v>0</v>
      </c>
      <c r="AS39" s="100">
        <f t="shared" si="44"/>
        <v>0</v>
      </c>
      <c r="AT39" s="100">
        <f t="shared" si="44"/>
        <v>0</v>
      </c>
      <c r="AU39" s="100">
        <f t="shared" si="44"/>
        <v>0</v>
      </c>
      <c r="AV39" s="100">
        <f t="shared" si="44"/>
        <v>0</v>
      </c>
      <c r="AW39" s="100">
        <f t="shared" si="44"/>
        <v>0</v>
      </c>
      <c r="AX39" s="100">
        <f t="shared" si="44"/>
        <v>0</v>
      </c>
      <c r="AY39" s="100">
        <f t="shared" si="44"/>
        <v>0</v>
      </c>
      <c r="AZ39" s="100">
        <f t="shared" si="44"/>
        <v>0</v>
      </c>
    </row>
    <row r="40" spans="1:52" x14ac:dyDescent="0.25">
      <c r="A40" s="195" t="s">
        <v>1085</v>
      </c>
      <c r="B40" s="196">
        <v>1</v>
      </c>
      <c r="C40" s="100">
        <f t="shared" ref="C40:AH40" si="45">IFERROR($B40/C4,0)</f>
        <v>0</v>
      </c>
      <c r="D40" s="100">
        <f t="shared" si="45"/>
        <v>0</v>
      </c>
      <c r="E40" s="100">
        <f t="shared" si="45"/>
        <v>0</v>
      </c>
      <c r="F40" s="100">
        <f t="shared" si="45"/>
        <v>0</v>
      </c>
      <c r="G40" s="100">
        <f t="shared" si="45"/>
        <v>0</v>
      </c>
      <c r="H40" s="100">
        <f t="shared" si="45"/>
        <v>0</v>
      </c>
      <c r="I40" s="100">
        <f t="shared" si="45"/>
        <v>0</v>
      </c>
      <c r="J40" s="100">
        <f t="shared" si="45"/>
        <v>0</v>
      </c>
      <c r="K40" s="100">
        <f t="shared" si="45"/>
        <v>0</v>
      </c>
      <c r="L40" s="100">
        <f t="shared" si="45"/>
        <v>0</v>
      </c>
      <c r="M40" s="100">
        <f t="shared" si="45"/>
        <v>0</v>
      </c>
      <c r="N40" s="100">
        <f t="shared" si="45"/>
        <v>0</v>
      </c>
      <c r="O40" s="100">
        <f t="shared" si="45"/>
        <v>0</v>
      </c>
      <c r="P40" s="100">
        <f t="shared" si="45"/>
        <v>0</v>
      </c>
      <c r="Q40" s="100">
        <f t="shared" si="45"/>
        <v>0</v>
      </c>
      <c r="R40" s="100">
        <f t="shared" si="45"/>
        <v>0</v>
      </c>
      <c r="S40" s="100">
        <f t="shared" si="45"/>
        <v>0</v>
      </c>
      <c r="T40" s="100">
        <f t="shared" si="45"/>
        <v>0</v>
      </c>
      <c r="U40" s="100">
        <f t="shared" si="45"/>
        <v>0</v>
      </c>
      <c r="V40" s="100">
        <f t="shared" si="45"/>
        <v>0</v>
      </c>
      <c r="W40" s="100">
        <f t="shared" si="45"/>
        <v>0</v>
      </c>
      <c r="X40" s="100">
        <f t="shared" si="45"/>
        <v>0</v>
      </c>
      <c r="Y40" s="100">
        <f t="shared" si="45"/>
        <v>0</v>
      </c>
      <c r="Z40" s="100">
        <f t="shared" si="45"/>
        <v>0</v>
      </c>
      <c r="AA40" s="100">
        <f t="shared" si="45"/>
        <v>0</v>
      </c>
      <c r="AB40" s="100">
        <f t="shared" si="45"/>
        <v>0</v>
      </c>
      <c r="AC40" s="100">
        <f t="shared" si="45"/>
        <v>0</v>
      </c>
      <c r="AD40" s="100">
        <f t="shared" si="45"/>
        <v>0</v>
      </c>
      <c r="AE40" s="100">
        <f t="shared" si="45"/>
        <v>0</v>
      </c>
      <c r="AF40" s="100">
        <f t="shared" si="45"/>
        <v>0</v>
      </c>
      <c r="AG40" s="100">
        <f t="shared" si="45"/>
        <v>0</v>
      </c>
      <c r="AH40" s="100">
        <f t="shared" si="45"/>
        <v>0</v>
      </c>
      <c r="AI40" s="100">
        <f t="shared" ref="AI40:AZ40" si="46">IFERROR($B40/AI4,0)</f>
        <v>0</v>
      </c>
      <c r="AJ40" s="100">
        <f t="shared" si="46"/>
        <v>0</v>
      </c>
      <c r="AK40" s="100">
        <f t="shared" si="46"/>
        <v>0</v>
      </c>
      <c r="AL40" s="100">
        <f t="shared" si="46"/>
        <v>0</v>
      </c>
      <c r="AM40" s="100">
        <f t="shared" si="46"/>
        <v>0</v>
      </c>
      <c r="AN40" s="100">
        <f t="shared" si="46"/>
        <v>0</v>
      </c>
      <c r="AO40" s="100">
        <f t="shared" si="46"/>
        <v>0</v>
      </c>
      <c r="AP40" s="100">
        <f t="shared" si="46"/>
        <v>0</v>
      </c>
      <c r="AQ40" s="100">
        <f t="shared" si="46"/>
        <v>0</v>
      </c>
      <c r="AR40" s="100">
        <f t="shared" si="46"/>
        <v>0</v>
      </c>
      <c r="AS40" s="100">
        <f t="shared" si="46"/>
        <v>0</v>
      </c>
      <c r="AT40" s="100">
        <f t="shared" si="46"/>
        <v>0</v>
      </c>
      <c r="AU40" s="100">
        <f t="shared" si="46"/>
        <v>0</v>
      </c>
      <c r="AV40" s="100">
        <f t="shared" si="46"/>
        <v>0</v>
      </c>
      <c r="AW40" s="100">
        <f t="shared" si="46"/>
        <v>0</v>
      </c>
      <c r="AX40" s="100">
        <f t="shared" si="46"/>
        <v>0</v>
      </c>
      <c r="AY40" s="100">
        <f t="shared" si="46"/>
        <v>0</v>
      </c>
      <c r="AZ40" s="100">
        <f t="shared" si="46"/>
        <v>0</v>
      </c>
    </row>
    <row r="41" spans="1:52" x14ac:dyDescent="0.25">
      <c r="A41" s="195" t="s">
        <v>1086</v>
      </c>
      <c r="B41" s="197">
        <v>0.99987999999999999</v>
      </c>
      <c r="C41" s="100">
        <f t="shared" ref="C41:AH41" si="47">IFERROR($B41/C8,0)</f>
        <v>6.2638838697879895E-2</v>
      </c>
      <c r="D41" s="100">
        <f t="shared" si="47"/>
        <v>3.4603502080811405E-3</v>
      </c>
      <c r="E41" s="100">
        <f t="shared" si="47"/>
        <v>1.5560980900701674E-3</v>
      </c>
      <c r="F41" s="100">
        <f t="shared" si="47"/>
        <v>1.2724545788917613E-3</v>
      </c>
      <c r="G41" s="100">
        <f t="shared" si="47"/>
        <v>1.5447932319794832E-3</v>
      </c>
      <c r="H41" s="100">
        <f t="shared" si="47"/>
        <v>1.3092849212355962E-3</v>
      </c>
      <c r="I41" s="100">
        <f t="shared" si="47"/>
        <v>3.4750075565702664E-3</v>
      </c>
      <c r="J41" s="100">
        <f t="shared" si="47"/>
        <v>1.1524858312965442E-3</v>
      </c>
      <c r="K41" s="100">
        <f t="shared" si="47"/>
        <v>1.3340076124637669E-2</v>
      </c>
      <c r="L41" s="100">
        <f t="shared" si="47"/>
        <v>2.4288868186280546E-3</v>
      </c>
      <c r="M41" s="100">
        <f t="shared" si="47"/>
        <v>3.2646364008584684E-3</v>
      </c>
      <c r="N41" s="100">
        <f t="shared" si="47"/>
        <v>1.4993514634013504E-3</v>
      </c>
      <c r="O41" s="100">
        <f t="shared" si="47"/>
        <v>1.3208310946234126E-3</v>
      </c>
      <c r="P41" s="100">
        <f t="shared" si="47"/>
        <v>1.1531142938547392E-3</v>
      </c>
      <c r="Q41" s="100">
        <f t="shared" si="47"/>
        <v>8.5393504780360873E-4</v>
      </c>
      <c r="R41" s="100">
        <f t="shared" si="47"/>
        <v>5.410883863268076E-3</v>
      </c>
      <c r="S41" s="100">
        <f t="shared" si="47"/>
        <v>2.6073483864600521E-3</v>
      </c>
      <c r="T41" s="100">
        <f t="shared" si="47"/>
        <v>1.6341595105501465E-3</v>
      </c>
      <c r="U41" s="100">
        <f t="shared" si="47"/>
        <v>5.2016097152523064E-3</v>
      </c>
      <c r="V41" s="100">
        <f t="shared" si="47"/>
        <v>2.8420318945702764E-3</v>
      </c>
      <c r="W41" s="100">
        <f t="shared" si="47"/>
        <v>2.3070436367599498E-3</v>
      </c>
      <c r="X41" s="100">
        <f t="shared" si="47"/>
        <v>1.7443619500306512E-3</v>
      </c>
      <c r="Y41" s="100">
        <f t="shared" si="47"/>
        <v>3.2600940790561764E-3</v>
      </c>
      <c r="Z41" s="100">
        <f t="shared" si="47"/>
        <v>6.6418038228508204E-3</v>
      </c>
      <c r="AA41" s="100">
        <f t="shared" si="47"/>
        <v>8.5781850449087437E-3</v>
      </c>
      <c r="AB41" s="100">
        <f t="shared" si="47"/>
        <v>0.10206908094058732</v>
      </c>
      <c r="AC41" s="100">
        <f t="shared" si="47"/>
        <v>6.1274615786134808E-3</v>
      </c>
      <c r="AD41" s="100">
        <f t="shared" si="47"/>
        <v>2.5539595925836941E-3</v>
      </c>
      <c r="AE41" s="100">
        <f t="shared" si="47"/>
        <v>2.1334567789801982E-3</v>
      </c>
      <c r="AF41" s="100">
        <f t="shared" si="47"/>
        <v>2.4440174811796609E-3</v>
      </c>
      <c r="AG41" s="100">
        <f t="shared" si="47"/>
        <v>2.3441775391897001E-3</v>
      </c>
      <c r="AH41" s="100">
        <f t="shared" si="47"/>
        <v>5.4104042904988998E-3</v>
      </c>
      <c r="AI41" s="100">
        <f t="shared" ref="AI41:AZ41" si="48">IFERROR($B41/AI8,0)</f>
        <v>1.6494658718619408E-3</v>
      </c>
      <c r="AJ41" s="100">
        <f t="shared" si="48"/>
        <v>2.120231341192446E-2</v>
      </c>
      <c r="AK41" s="100">
        <f t="shared" si="48"/>
        <v>5.4140155692783401E-3</v>
      </c>
      <c r="AL41" s="100">
        <f t="shared" si="48"/>
        <v>3.5685427887633121E-3</v>
      </c>
      <c r="AM41" s="100">
        <f t="shared" si="48"/>
        <v>2.5147791185686735E-3</v>
      </c>
      <c r="AN41" s="100">
        <f t="shared" si="48"/>
        <v>2.1949811281559988E-3</v>
      </c>
      <c r="AO41" s="100">
        <f t="shared" si="48"/>
        <v>1.9199226037663207E-3</v>
      </c>
      <c r="AP41" s="100">
        <f t="shared" si="48"/>
        <v>1.7557543038952701E-3</v>
      </c>
      <c r="AQ41" s="100">
        <f t="shared" si="48"/>
        <v>7.4406910206662536E-3</v>
      </c>
      <c r="AR41" s="100">
        <f t="shared" si="48"/>
        <v>4.5286860446232856E-3</v>
      </c>
      <c r="AS41" s="100">
        <f t="shared" si="48"/>
        <v>2.2681538842856792E-3</v>
      </c>
      <c r="AT41" s="100">
        <f t="shared" si="48"/>
        <v>9.373495980489208E-3</v>
      </c>
      <c r="AU41" s="100">
        <f t="shared" si="48"/>
        <v>4.4871897140918143E-3</v>
      </c>
      <c r="AV41" s="100">
        <f t="shared" si="48"/>
        <v>3.7301354597250994E-3</v>
      </c>
      <c r="AW41" s="100">
        <f t="shared" si="48"/>
        <v>2.7726975974286332E-3</v>
      </c>
      <c r="AX41" s="100">
        <f t="shared" si="48"/>
        <v>6.2347791820174222E-3</v>
      </c>
      <c r="AY41" s="100">
        <f t="shared" si="48"/>
        <v>1.3057182515377179E-2</v>
      </c>
      <c r="AZ41" s="100">
        <f t="shared" si="48"/>
        <v>1.3798947996081683E-2</v>
      </c>
    </row>
    <row r="42" spans="1:52" x14ac:dyDescent="0.25">
      <c r="A42" s="195" t="s">
        <v>1087</v>
      </c>
      <c r="B42" s="196">
        <v>0.97898250799999997</v>
      </c>
      <c r="C42" s="100">
        <f t="shared" ref="C42:AH42" si="49">IFERROR($B42/C19,0)</f>
        <v>0</v>
      </c>
      <c r="D42" s="100">
        <f t="shared" si="49"/>
        <v>0</v>
      </c>
      <c r="E42" s="100">
        <f t="shared" si="49"/>
        <v>0</v>
      </c>
      <c r="F42" s="100">
        <f t="shared" si="49"/>
        <v>0</v>
      </c>
      <c r="G42" s="100">
        <f t="shared" si="49"/>
        <v>0</v>
      </c>
      <c r="H42" s="100">
        <f t="shared" si="49"/>
        <v>0</v>
      </c>
      <c r="I42" s="100">
        <f t="shared" si="49"/>
        <v>0</v>
      </c>
      <c r="J42" s="100">
        <f t="shared" si="49"/>
        <v>0</v>
      </c>
      <c r="K42" s="100">
        <f t="shared" si="49"/>
        <v>0</v>
      </c>
      <c r="L42" s="100">
        <f t="shared" si="49"/>
        <v>0</v>
      </c>
      <c r="M42" s="100">
        <f t="shared" si="49"/>
        <v>0</v>
      </c>
      <c r="N42" s="100">
        <f t="shared" si="49"/>
        <v>0</v>
      </c>
      <c r="O42" s="100">
        <f t="shared" si="49"/>
        <v>0</v>
      </c>
      <c r="P42" s="100">
        <f t="shared" si="49"/>
        <v>0</v>
      </c>
      <c r="Q42" s="100">
        <f t="shared" si="49"/>
        <v>0</v>
      </c>
      <c r="R42" s="100">
        <f t="shared" si="49"/>
        <v>0</v>
      </c>
      <c r="S42" s="100">
        <f t="shared" si="49"/>
        <v>0</v>
      </c>
      <c r="T42" s="100">
        <f t="shared" si="49"/>
        <v>0</v>
      </c>
      <c r="U42" s="100">
        <f t="shared" si="49"/>
        <v>0</v>
      </c>
      <c r="V42" s="100">
        <f t="shared" si="49"/>
        <v>0</v>
      </c>
      <c r="W42" s="100">
        <f t="shared" si="49"/>
        <v>0</v>
      </c>
      <c r="X42" s="100">
        <f t="shared" si="49"/>
        <v>0</v>
      </c>
      <c r="Y42" s="100">
        <f t="shared" si="49"/>
        <v>0</v>
      </c>
      <c r="Z42" s="100">
        <f t="shared" si="49"/>
        <v>0</v>
      </c>
      <c r="AA42" s="100">
        <f t="shared" si="49"/>
        <v>0</v>
      </c>
      <c r="AB42" s="100">
        <f t="shared" si="49"/>
        <v>0</v>
      </c>
      <c r="AC42" s="100">
        <f t="shared" si="49"/>
        <v>0</v>
      </c>
      <c r="AD42" s="100">
        <f t="shared" si="49"/>
        <v>0</v>
      </c>
      <c r="AE42" s="100">
        <f t="shared" si="49"/>
        <v>0</v>
      </c>
      <c r="AF42" s="100">
        <f t="shared" si="49"/>
        <v>0</v>
      </c>
      <c r="AG42" s="100">
        <f t="shared" si="49"/>
        <v>0</v>
      </c>
      <c r="AH42" s="100">
        <f t="shared" si="49"/>
        <v>0</v>
      </c>
      <c r="AI42" s="100">
        <f t="shared" ref="AI42:AZ42" si="50">IFERROR($B42/AI19,0)</f>
        <v>0</v>
      </c>
      <c r="AJ42" s="100">
        <f t="shared" si="50"/>
        <v>0</v>
      </c>
      <c r="AK42" s="100">
        <f t="shared" si="50"/>
        <v>0</v>
      </c>
      <c r="AL42" s="100">
        <f t="shared" si="50"/>
        <v>0</v>
      </c>
      <c r="AM42" s="100">
        <f t="shared" si="50"/>
        <v>0</v>
      </c>
      <c r="AN42" s="100">
        <f t="shared" si="50"/>
        <v>0</v>
      </c>
      <c r="AO42" s="100">
        <f t="shared" si="50"/>
        <v>0</v>
      </c>
      <c r="AP42" s="100">
        <f t="shared" si="50"/>
        <v>0</v>
      </c>
      <c r="AQ42" s="100">
        <f t="shared" si="50"/>
        <v>0</v>
      </c>
      <c r="AR42" s="100">
        <f t="shared" si="50"/>
        <v>0</v>
      </c>
      <c r="AS42" s="100">
        <f t="shared" si="50"/>
        <v>0</v>
      </c>
      <c r="AT42" s="100">
        <f t="shared" si="50"/>
        <v>0</v>
      </c>
      <c r="AU42" s="100">
        <f t="shared" si="50"/>
        <v>0</v>
      </c>
      <c r="AV42" s="100">
        <f t="shared" si="50"/>
        <v>0</v>
      </c>
      <c r="AW42" s="100">
        <f t="shared" si="50"/>
        <v>0</v>
      </c>
      <c r="AX42" s="100">
        <f t="shared" si="50"/>
        <v>0</v>
      </c>
      <c r="AY42" s="100">
        <f t="shared" si="50"/>
        <v>0</v>
      </c>
      <c r="AZ42" s="100">
        <f t="shared" si="50"/>
        <v>0</v>
      </c>
    </row>
    <row r="43" spans="1:52" x14ac:dyDescent="0.25">
      <c r="A43" s="195" t="s">
        <v>1088</v>
      </c>
      <c r="B43" s="196">
        <v>2.0897492E-2</v>
      </c>
      <c r="C43" s="100">
        <f t="shared" ref="C43:AH43" si="51">IFERROR($B43/C28,0)</f>
        <v>0</v>
      </c>
      <c r="D43" s="100">
        <f t="shared" si="51"/>
        <v>0</v>
      </c>
      <c r="E43" s="100">
        <f t="shared" si="51"/>
        <v>0</v>
      </c>
      <c r="F43" s="100">
        <f t="shared" si="51"/>
        <v>0</v>
      </c>
      <c r="G43" s="100">
        <f t="shared" si="51"/>
        <v>0</v>
      </c>
      <c r="H43" s="100">
        <f t="shared" si="51"/>
        <v>0</v>
      </c>
      <c r="I43" s="100">
        <f t="shared" si="51"/>
        <v>0</v>
      </c>
      <c r="J43" s="100">
        <f t="shared" si="51"/>
        <v>0</v>
      </c>
      <c r="K43" s="100">
        <f t="shared" si="51"/>
        <v>0</v>
      </c>
      <c r="L43" s="100">
        <f t="shared" si="51"/>
        <v>0</v>
      </c>
      <c r="M43" s="100">
        <f t="shared" si="51"/>
        <v>0</v>
      </c>
      <c r="N43" s="100">
        <f t="shared" si="51"/>
        <v>0</v>
      </c>
      <c r="O43" s="100">
        <f t="shared" si="51"/>
        <v>0</v>
      </c>
      <c r="P43" s="100">
        <f t="shared" si="51"/>
        <v>0</v>
      </c>
      <c r="Q43" s="100">
        <f t="shared" si="51"/>
        <v>0</v>
      </c>
      <c r="R43" s="100">
        <f t="shared" si="51"/>
        <v>0</v>
      </c>
      <c r="S43" s="100">
        <f t="shared" si="51"/>
        <v>0</v>
      </c>
      <c r="T43" s="100">
        <f t="shared" si="51"/>
        <v>0</v>
      </c>
      <c r="U43" s="100">
        <f t="shared" si="51"/>
        <v>0</v>
      </c>
      <c r="V43" s="100">
        <f t="shared" si="51"/>
        <v>0</v>
      </c>
      <c r="W43" s="100">
        <f t="shared" si="51"/>
        <v>0</v>
      </c>
      <c r="X43" s="100">
        <f t="shared" si="51"/>
        <v>0</v>
      </c>
      <c r="Y43" s="100">
        <f t="shared" si="51"/>
        <v>0</v>
      </c>
      <c r="Z43" s="100">
        <f t="shared" si="51"/>
        <v>0</v>
      </c>
      <c r="AA43" s="100">
        <f t="shared" si="51"/>
        <v>0</v>
      </c>
      <c r="AB43" s="100">
        <f t="shared" si="51"/>
        <v>0</v>
      </c>
      <c r="AC43" s="100">
        <f t="shared" si="51"/>
        <v>0</v>
      </c>
      <c r="AD43" s="100">
        <f t="shared" si="51"/>
        <v>0</v>
      </c>
      <c r="AE43" s="100">
        <f t="shared" si="51"/>
        <v>0</v>
      </c>
      <c r="AF43" s="100">
        <f t="shared" si="51"/>
        <v>0</v>
      </c>
      <c r="AG43" s="100">
        <f t="shared" si="51"/>
        <v>0</v>
      </c>
      <c r="AH43" s="100">
        <f t="shared" si="51"/>
        <v>0</v>
      </c>
      <c r="AI43" s="100">
        <f t="shared" ref="AI43:AZ43" si="52">IFERROR($B43/AI28,0)</f>
        <v>0</v>
      </c>
      <c r="AJ43" s="100">
        <f t="shared" si="52"/>
        <v>0</v>
      </c>
      <c r="AK43" s="100">
        <f t="shared" si="52"/>
        <v>0</v>
      </c>
      <c r="AL43" s="100">
        <f t="shared" si="52"/>
        <v>0</v>
      </c>
      <c r="AM43" s="100">
        <f t="shared" si="52"/>
        <v>0</v>
      </c>
      <c r="AN43" s="100">
        <f t="shared" si="52"/>
        <v>0</v>
      </c>
      <c r="AO43" s="100">
        <f t="shared" si="52"/>
        <v>0</v>
      </c>
      <c r="AP43" s="100">
        <f t="shared" si="52"/>
        <v>0</v>
      </c>
      <c r="AQ43" s="100">
        <f t="shared" si="52"/>
        <v>0</v>
      </c>
      <c r="AR43" s="100">
        <f t="shared" si="52"/>
        <v>0</v>
      </c>
      <c r="AS43" s="100">
        <f t="shared" si="52"/>
        <v>0</v>
      </c>
      <c r="AT43" s="100">
        <f t="shared" si="52"/>
        <v>0</v>
      </c>
      <c r="AU43" s="100">
        <f t="shared" si="52"/>
        <v>0</v>
      </c>
      <c r="AV43" s="100">
        <f t="shared" si="52"/>
        <v>0</v>
      </c>
      <c r="AW43" s="100">
        <f t="shared" si="52"/>
        <v>0</v>
      </c>
      <c r="AX43" s="100">
        <f t="shared" si="52"/>
        <v>0</v>
      </c>
      <c r="AY43" s="100">
        <f t="shared" si="52"/>
        <v>0</v>
      </c>
      <c r="AZ43" s="100">
        <f t="shared" si="52"/>
        <v>0</v>
      </c>
    </row>
    <row r="44" spans="1:52" x14ac:dyDescent="0.25">
      <c r="A44" s="195" t="s">
        <v>1089</v>
      </c>
      <c r="B44" s="196">
        <v>0.99987999999999999</v>
      </c>
      <c r="C44" s="100">
        <f t="shared" ref="C44:AH44" si="53">IFERROR($B44/C15,0)</f>
        <v>1.7957253783022237E-2</v>
      </c>
      <c r="D44" s="100">
        <f t="shared" si="53"/>
        <v>9.3182162939820564E-4</v>
      </c>
      <c r="E44" s="100">
        <f t="shared" si="53"/>
        <v>6.8076979846605165E-4</v>
      </c>
      <c r="F44" s="100">
        <f t="shared" si="53"/>
        <v>3.5791444377568149E-4</v>
      </c>
      <c r="G44" s="100">
        <f t="shared" si="53"/>
        <v>4.1600011275004436E-4</v>
      </c>
      <c r="H44" s="100">
        <f t="shared" si="53"/>
        <v>3.6942351009655898E-4</v>
      </c>
      <c r="I44" s="100">
        <f t="shared" si="53"/>
        <v>1.5202856903849878E-3</v>
      </c>
      <c r="J44" s="100">
        <f t="shared" si="53"/>
        <v>3.2412199461597868E-4</v>
      </c>
      <c r="K44" s="100">
        <f t="shared" si="53"/>
        <v>3.5922442779642723E-3</v>
      </c>
      <c r="L44" s="100">
        <f t="shared" si="53"/>
        <v>6.0265585054884024E-4</v>
      </c>
      <c r="M44" s="100">
        <f t="shared" si="53"/>
        <v>9.1794921176085206E-4</v>
      </c>
      <c r="N44" s="100">
        <f t="shared" si="53"/>
        <v>6.6043590975973392E-4</v>
      </c>
      <c r="O44" s="100">
        <f t="shared" si="53"/>
        <v>3.4612436558648503E-4</v>
      </c>
      <c r="P44" s="100">
        <f t="shared" si="53"/>
        <v>3.2427891035029721E-4</v>
      </c>
      <c r="Q44" s="100">
        <f t="shared" si="53"/>
        <v>2.4015838065030335E-4</v>
      </c>
      <c r="R44" s="100">
        <f t="shared" si="53"/>
        <v>1.4570138532839555E-3</v>
      </c>
      <c r="S44" s="100">
        <f t="shared" si="53"/>
        <v>7.0167383179919722E-4</v>
      </c>
      <c r="T44" s="100">
        <f t="shared" si="53"/>
        <v>4.2163099305023079E-4</v>
      </c>
      <c r="U44" s="100">
        <f t="shared" si="53"/>
        <v>1.2947707140636331E-3</v>
      </c>
      <c r="V44" s="100">
        <f t="shared" si="53"/>
        <v>7.9917321162291366E-4</v>
      </c>
      <c r="W44" s="100">
        <f t="shared" si="53"/>
        <v>6.074778708057432E-4</v>
      </c>
      <c r="X44" s="100">
        <f t="shared" si="53"/>
        <v>4.6958169162302605E-4</v>
      </c>
      <c r="Y44" s="100">
        <f t="shared" si="53"/>
        <v>9.217475306652472E-4</v>
      </c>
      <c r="Z44" s="100">
        <f t="shared" si="53"/>
        <v>2.5134418289202059E-3</v>
      </c>
      <c r="AA44" s="100">
        <f t="shared" si="53"/>
        <v>3.3449397078978704E-3</v>
      </c>
      <c r="AB44" s="100">
        <f t="shared" si="53"/>
        <v>2.9184623087155165E-2</v>
      </c>
      <c r="AC44" s="100">
        <f t="shared" si="53"/>
        <v>1.6500356579297506E-3</v>
      </c>
      <c r="AD44" s="100">
        <f t="shared" si="53"/>
        <v>1.1173193825173588E-3</v>
      </c>
      <c r="AE44" s="100">
        <f t="shared" si="53"/>
        <v>6.000960733963522E-4</v>
      </c>
      <c r="AF44" s="100">
        <f t="shared" si="53"/>
        <v>6.5815380769827314E-4</v>
      </c>
      <c r="AG44" s="100">
        <f t="shared" si="53"/>
        <v>6.614253939468865E-4</v>
      </c>
      <c r="AH44" s="100">
        <f t="shared" si="53"/>
        <v>2.3670049886628779E-3</v>
      </c>
      <c r="AI44" s="100">
        <f t="shared" ref="AI44:AZ44" si="54">IFERROR($B44/AI15,0)</f>
        <v>4.6389131555519511E-4</v>
      </c>
      <c r="AJ44" s="100">
        <f t="shared" si="54"/>
        <v>5.7094043783546605E-3</v>
      </c>
      <c r="AK44" s="100">
        <f t="shared" si="54"/>
        <v>1.3433265530384294E-3</v>
      </c>
      <c r="AL44" s="100">
        <f t="shared" si="54"/>
        <v>1.0034014934155505E-3</v>
      </c>
      <c r="AM44" s="100">
        <f t="shared" si="54"/>
        <v>1.1077125514313807E-3</v>
      </c>
      <c r="AN44" s="100">
        <f t="shared" si="54"/>
        <v>5.7519576390190421E-4</v>
      </c>
      <c r="AO44" s="100">
        <f t="shared" si="54"/>
        <v>5.3992081550302713E-4</v>
      </c>
      <c r="AP44" s="100">
        <f t="shared" si="54"/>
        <v>4.9378358638380124E-4</v>
      </c>
      <c r="AQ44" s="100">
        <f t="shared" si="54"/>
        <v>2.0035894632135722E-3</v>
      </c>
      <c r="AR44" s="100">
        <f t="shared" si="54"/>
        <v>1.2187326045295472E-3</v>
      </c>
      <c r="AS44" s="100">
        <f t="shared" si="54"/>
        <v>5.8520846248366479E-4</v>
      </c>
      <c r="AT44" s="100">
        <f t="shared" si="54"/>
        <v>2.333225433723629E-3</v>
      </c>
      <c r="AU44" s="100">
        <f t="shared" si="54"/>
        <v>1.2617880263142787E-3</v>
      </c>
      <c r="AV44" s="100">
        <f t="shared" si="54"/>
        <v>9.8219847721353767E-4</v>
      </c>
      <c r="AW44" s="100">
        <f t="shared" si="54"/>
        <v>7.4640932642262663E-4</v>
      </c>
      <c r="AX44" s="100">
        <f t="shared" si="54"/>
        <v>1.7627995315188641E-3</v>
      </c>
      <c r="AY44" s="100">
        <f t="shared" si="54"/>
        <v>4.9411981409454037E-3</v>
      </c>
      <c r="AZ44" s="100">
        <f t="shared" si="54"/>
        <v>5.3807010268105476E-3</v>
      </c>
    </row>
    <row r="45" spans="1:52" x14ac:dyDescent="0.25">
      <c r="A45" s="95" t="s">
        <v>20</v>
      </c>
      <c r="B45" s="95" t="s">
        <v>1074</v>
      </c>
      <c r="C45" s="96">
        <f t="shared" ref="C45" si="55">IFERROR(1/SUM(1/D45,1/E45,1/F45,1/G45,1/H45,1/I45,1/J45,1/K45,1/L45,1/M45,1/N45,1/O45,1/P45,1/Q45,1/R45,1/S45,1/T45,1/U45,1/V45,1/W45,1/X45,1/Y45),".")</f>
        <v>0.49141463965879956</v>
      </c>
      <c r="D45" s="96">
        <f>IFERROR(1/SUM(D46:D47),".")</f>
        <v>10.397655216448612</v>
      </c>
      <c r="E45" s="96">
        <f t="shared" ref="E45:AA45" si="56">IFERROR(1/SUM(E46:E47),".")</f>
        <v>15.390078535686447</v>
      </c>
      <c r="F45" s="96">
        <f t="shared" si="56"/>
        <v>21.171191055720133</v>
      </c>
      <c r="G45" s="96">
        <f t="shared" si="56"/>
        <v>24.117538914621349</v>
      </c>
      <c r="H45" s="96">
        <f t="shared" si="56"/>
        <v>24.021297904469336</v>
      </c>
      <c r="I45" s="96">
        <f t="shared" si="56"/>
        <v>6.891412531249685</v>
      </c>
      <c r="J45" s="96">
        <f t="shared" si="56"/>
        <v>23.376930411959801</v>
      </c>
      <c r="K45" s="96">
        <f t="shared" si="56"/>
        <v>2.6971356559151283</v>
      </c>
      <c r="L45" s="96">
        <f t="shared" si="56"/>
        <v>11.830271263081638</v>
      </c>
      <c r="M45" s="96">
        <f t="shared" si="56"/>
        <v>9.6633549807427315</v>
      </c>
      <c r="N45" s="96">
        <f t="shared" si="56"/>
        <v>15.730505789059418</v>
      </c>
      <c r="O45" s="96">
        <f t="shared" si="56"/>
        <v>20.527354979169452</v>
      </c>
      <c r="P45" s="96">
        <f t="shared" si="56"/>
        <v>27.354899895086252</v>
      </c>
      <c r="Q45" s="96">
        <f t="shared" si="56"/>
        <v>36.936791445267531</v>
      </c>
      <c r="R45" s="96">
        <f t="shared" si="56"/>
        <v>6.6497608629700355</v>
      </c>
      <c r="S45" s="96">
        <f t="shared" si="56"/>
        <v>13.80883695467806</v>
      </c>
      <c r="T45" s="96">
        <f t="shared" si="56"/>
        <v>16.715890571574985</v>
      </c>
      <c r="U45" s="96">
        <f t="shared" si="56"/>
        <v>4.7197746357608308</v>
      </c>
      <c r="V45" s="96">
        <f t="shared" si="56"/>
        <v>11.099640966288554</v>
      </c>
      <c r="W45" s="96">
        <f t="shared" si="56"/>
        <v>11.725043314996787</v>
      </c>
      <c r="X45" s="96">
        <f t="shared" si="56"/>
        <v>21.203866415974048</v>
      </c>
      <c r="Y45" s="96">
        <f t="shared" si="56"/>
        <v>9.6296826196512768</v>
      </c>
      <c r="Z45" s="96">
        <f t="shared" si="56"/>
        <v>3.7056664845896266</v>
      </c>
      <c r="AA45" s="96">
        <f t="shared" si="56"/>
        <v>2.6562251975831326</v>
      </c>
      <c r="AB45" s="96">
        <f t="shared" ref="AB45" si="57">IFERROR(1/SUM(1/AC45,1/AD45,1/AE45,1/AF45,1/AG45,1/AH45,1/AI45,1/AJ45,1/AK45,1/AL45,1/AM45,1/AN45,1/AO45,1/AP45,1/AQ45,1/AR45,1/AS45,1/AT45,1/AU45,1/AV45,1/AW45,1/AX45),".")</f>
        <v>0.30034803746137578</v>
      </c>
      <c r="AC45" s="96">
        <f>IFERROR(1/SUM(AC46:AC47),".")</f>
        <v>5.8718488774164381</v>
      </c>
      <c r="AD45" s="96">
        <f t="shared" ref="AD45:AZ45" si="58">IFERROR(1/SUM(AD46:AD47),".")</f>
        <v>9.3769971478617897</v>
      </c>
      <c r="AE45" s="96">
        <f t="shared" si="58"/>
        <v>12.62710323680451</v>
      </c>
      <c r="AF45" s="96">
        <f t="shared" si="58"/>
        <v>15.244003438684945</v>
      </c>
      <c r="AG45" s="96">
        <f t="shared" si="58"/>
        <v>13.416527805185501</v>
      </c>
      <c r="AH45" s="96">
        <f t="shared" si="58"/>
        <v>4.4262331122999008</v>
      </c>
      <c r="AI45" s="96">
        <f t="shared" si="58"/>
        <v>16.333518345897581</v>
      </c>
      <c r="AJ45" s="96">
        <f t="shared" si="58"/>
        <v>1.6969843936061588</v>
      </c>
      <c r="AK45" s="96">
        <f t="shared" si="58"/>
        <v>5.3074080715145415</v>
      </c>
      <c r="AL45" s="96">
        <f t="shared" si="58"/>
        <v>8.8403985301469561</v>
      </c>
      <c r="AM45" s="96">
        <f t="shared" si="58"/>
        <v>9.37877871687345</v>
      </c>
      <c r="AN45" s="96">
        <f t="shared" si="58"/>
        <v>12.352347088121661</v>
      </c>
      <c r="AO45" s="96">
        <f t="shared" si="58"/>
        <v>16.429477945679043</v>
      </c>
      <c r="AP45" s="96">
        <f t="shared" si="58"/>
        <v>17.964712202925572</v>
      </c>
      <c r="AQ45" s="96">
        <f t="shared" si="58"/>
        <v>4.8357180331907328</v>
      </c>
      <c r="AR45" s="96">
        <f t="shared" si="58"/>
        <v>7.9503079696629255</v>
      </c>
      <c r="AS45" s="96">
        <f t="shared" si="58"/>
        <v>12.043464839008346</v>
      </c>
      <c r="AT45" s="96">
        <f t="shared" si="58"/>
        <v>2.6191322480189143</v>
      </c>
      <c r="AU45" s="96">
        <f t="shared" si="58"/>
        <v>7.0301314752535644</v>
      </c>
      <c r="AV45" s="96">
        <f t="shared" si="58"/>
        <v>7.2517973844820238</v>
      </c>
      <c r="AW45" s="96">
        <f t="shared" si="58"/>
        <v>13.339795080379277</v>
      </c>
      <c r="AX45" s="96">
        <f t="shared" si="58"/>
        <v>5.0352499062135312</v>
      </c>
      <c r="AY45" s="96">
        <f t="shared" si="58"/>
        <v>1.8849632985195783</v>
      </c>
      <c r="AZ45" s="96">
        <f t="shared" si="58"/>
        <v>1.6512556806712766</v>
      </c>
    </row>
    <row r="46" spans="1:52" x14ac:dyDescent="0.25">
      <c r="A46" s="195" t="s">
        <v>1101</v>
      </c>
      <c r="B46" s="196">
        <v>1</v>
      </c>
      <c r="C46" s="100">
        <f t="shared" ref="C46:AH46" si="59">IFERROR($B46/C10,0)</f>
        <v>2.0349414105658776</v>
      </c>
      <c r="D46" s="100">
        <f t="shared" si="59"/>
        <v>9.6175529884665337E-2</v>
      </c>
      <c r="E46" s="100">
        <f t="shared" si="59"/>
        <v>6.4976926380278327E-2</v>
      </c>
      <c r="F46" s="100">
        <f t="shared" si="59"/>
        <v>4.7233998189715229E-2</v>
      </c>
      <c r="G46" s="100">
        <f t="shared" si="59"/>
        <v>4.1463600558087885E-2</v>
      </c>
      <c r="H46" s="100">
        <f t="shared" si="59"/>
        <v>4.1629723921534766E-2</v>
      </c>
      <c r="I46" s="100">
        <f t="shared" si="59"/>
        <v>0.14510813210868115</v>
      </c>
      <c r="J46" s="100">
        <f t="shared" si="59"/>
        <v>4.2777215929444397E-2</v>
      </c>
      <c r="K46" s="100">
        <f t="shared" si="59"/>
        <v>0.3707637017837368</v>
      </c>
      <c r="L46" s="100">
        <f t="shared" si="59"/>
        <v>8.4528915505147295E-2</v>
      </c>
      <c r="M46" s="100">
        <f t="shared" si="59"/>
        <v>0.10348372816613008</v>
      </c>
      <c r="N46" s="100">
        <f t="shared" si="59"/>
        <v>6.3570746764894298E-2</v>
      </c>
      <c r="O46" s="100">
        <f t="shared" si="59"/>
        <v>4.8715482389950882E-2</v>
      </c>
      <c r="P46" s="100">
        <f t="shared" si="59"/>
        <v>3.6556522006488117E-2</v>
      </c>
      <c r="Q46" s="100">
        <f t="shared" si="59"/>
        <v>2.7073277371202839E-2</v>
      </c>
      <c r="R46" s="100">
        <f t="shared" si="59"/>
        <v>0.15038134763140371</v>
      </c>
      <c r="S46" s="100">
        <f t="shared" si="59"/>
        <v>7.2417394982799546E-2</v>
      </c>
      <c r="T46" s="100">
        <f t="shared" si="59"/>
        <v>5.9823315767601318E-2</v>
      </c>
      <c r="U46" s="100">
        <f t="shared" si="59"/>
        <v>0.21187452308065538</v>
      </c>
      <c r="V46" s="100">
        <f t="shared" si="59"/>
        <v>9.0093004182492525E-2</v>
      </c>
      <c r="W46" s="100">
        <f t="shared" si="59"/>
        <v>8.5287531409027811E-2</v>
      </c>
      <c r="X46" s="100">
        <f t="shared" si="59"/>
        <v>4.7161210148289022E-2</v>
      </c>
      <c r="Y46" s="100">
        <f t="shared" si="59"/>
        <v>0.10384558240365074</v>
      </c>
      <c r="Z46" s="100">
        <f t="shared" si="59"/>
        <v>0.26985698906218275</v>
      </c>
      <c r="AA46" s="100">
        <f t="shared" si="59"/>
        <v>0.37647410351723493</v>
      </c>
      <c r="AB46" s="100">
        <f t="shared" si="59"/>
        <v>3.3294707315295784</v>
      </c>
      <c r="AC46" s="100">
        <f t="shared" si="59"/>
        <v>0.17030411048998101</v>
      </c>
      <c r="AD46" s="100">
        <f t="shared" si="59"/>
        <v>0.1066439484017575</v>
      </c>
      <c r="AE46" s="100">
        <f t="shared" si="59"/>
        <v>7.9194727503714146E-2</v>
      </c>
      <c r="AF46" s="100">
        <f t="shared" si="59"/>
        <v>6.5599565364980461E-2</v>
      </c>
      <c r="AG46" s="100">
        <f t="shared" si="59"/>
        <v>7.4534932921578936E-2</v>
      </c>
      <c r="AH46" s="100">
        <f t="shared" si="59"/>
        <v>0.22592574196355267</v>
      </c>
      <c r="AI46" s="100">
        <f t="shared" ref="AI46:AZ46" si="60">IFERROR($B46/AI10,0)</f>
        <v>6.1223796295619658E-2</v>
      </c>
      <c r="AJ46" s="100">
        <f t="shared" si="60"/>
        <v>0.58928061081042737</v>
      </c>
      <c r="AK46" s="100">
        <f t="shared" si="60"/>
        <v>0.18841588710073245</v>
      </c>
      <c r="AL46" s="100">
        <f t="shared" si="60"/>
        <v>0.11311707233445015</v>
      </c>
      <c r="AM46" s="100">
        <f t="shared" si="60"/>
        <v>0.10662369058786839</v>
      </c>
      <c r="AN46" s="100">
        <f t="shared" si="60"/>
        <v>8.0956274371663833E-2</v>
      </c>
      <c r="AO46" s="100">
        <f t="shared" si="60"/>
        <v>6.0866206662579941E-2</v>
      </c>
      <c r="AP46" s="100">
        <f t="shared" si="60"/>
        <v>5.5664682445463777E-2</v>
      </c>
      <c r="AQ46" s="100">
        <f t="shared" si="60"/>
        <v>0.20679452216534097</v>
      </c>
      <c r="AR46" s="100">
        <f t="shared" si="60"/>
        <v>0.1257812909658137</v>
      </c>
      <c r="AS46" s="100">
        <f t="shared" si="60"/>
        <v>8.3032583510439309E-2</v>
      </c>
      <c r="AT46" s="100">
        <f t="shared" si="60"/>
        <v>0.38180584457176231</v>
      </c>
      <c r="AU46" s="100">
        <f t="shared" si="60"/>
        <v>0.14224485040145451</v>
      </c>
      <c r="AV46" s="100">
        <f t="shared" si="60"/>
        <v>0.13789684777181999</v>
      </c>
      <c r="AW46" s="100">
        <f t="shared" si="60"/>
        <v>7.4963670279376435E-2</v>
      </c>
      <c r="AX46" s="100">
        <f t="shared" si="60"/>
        <v>0.19859987460920131</v>
      </c>
      <c r="AY46" s="100">
        <f t="shared" si="60"/>
        <v>0.53051430804270028</v>
      </c>
      <c r="AZ46" s="100">
        <f t="shared" si="60"/>
        <v>0.60559973340620099</v>
      </c>
    </row>
    <row r="47" spans="1:52" x14ac:dyDescent="0.25">
      <c r="A47" s="195" t="s">
        <v>1075</v>
      </c>
      <c r="B47" s="198">
        <v>0.94399</v>
      </c>
      <c r="C47" s="100">
        <f t="shared" ref="C47:AH47" si="61">IFERROR($B47/C6,0)</f>
        <v>0</v>
      </c>
      <c r="D47" s="100">
        <f t="shared" si="61"/>
        <v>0</v>
      </c>
      <c r="E47" s="100">
        <f t="shared" si="61"/>
        <v>0</v>
      </c>
      <c r="F47" s="100">
        <f t="shared" si="61"/>
        <v>0</v>
      </c>
      <c r="G47" s="100">
        <f t="shared" si="61"/>
        <v>0</v>
      </c>
      <c r="H47" s="100">
        <f t="shared" si="61"/>
        <v>0</v>
      </c>
      <c r="I47" s="100">
        <f t="shared" si="61"/>
        <v>0</v>
      </c>
      <c r="J47" s="100">
        <f t="shared" si="61"/>
        <v>0</v>
      </c>
      <c r="K47" s="100">
        <f t="shared" si="61"/>
        <v>0</v>
      </c>
      <c r="L47" s="100">
        <f t="shared" si="61"/>
        <v>0</v>
      </c>
      <c r="M47" s="100">
        <f t="shared" si="61"/>
        <v>0</v>
      </c>
      <c r="N47" s="100">
        <f t="shared" si="61"/>
        <v>0</v>
      </c>
      <c r="O47" s="100">
        <f t="shared" si="61"/>
        <v>0</v>
      </c>
      <c r="P47" s="100">
        <f t="shared" si="61"/>
        <v>0</v>
      </c>
      <c r="Q47" s="100">
        <f t="shared" si="61"/>
        <v>0</v>
      </c>
      <c r="R47" s="100">
        <f t="shared" si="61"/>
        <v>0</v>
      </c>
      <c r="S47" s="100">
        <f t="shared" si="61"/>
        <v>0</v>
      </c>
      <c r="T47" s="100">
        <f t="shared" si="61"/>
        <v>0</v>
      </c>
      <c r="U47" s="100">
        <f t="shared" si="61"/>
        <v>0</v>
      </c>
      <c r="V47" s="100">
        <f t="shared" si="61"/>
        <v>0</v>
      </c>
      <c r="W47" s="100">
        <f t="shared" si="61"/>
        <v>0</v>
      </c>
      <c r="X47" s="100">
        <f t="shared" si="61"/>
        <v>0</v>
      </c>
      <c r="Y47" s="100">
        <f t="shared" si="61"/>
        <v>0</v>
      </c>
      <c r="Z47" s="100">
        <f t="shared" si="61"/>
        <v>0</v>
      </c>
      <c r="AA47" s="100">
        <f t="shared" si="61"/>
        <v>0</v>
      </c>
      <c r="AB47" s="100">
        <f t="shared" si="61"/>
        <v>0</v>
      </c>
      <c r="AC47" s="100">
        <f t="shared" si="61"/>
        <v>0</v>
      </c>
      <c r="AD47" s="100">
        <f t="shared" si="61"/>
        <v>0</v>
      </c>
      <c r="AE47" s="100">
        <f t="shared" si="61"/>
        <v>0</v>
      </c>
      <c r="AF47" s="100">
        <f t="shared" si="61"/>
        <v>0</v>
      </c>
      <c r="AG47" s="100">
        <f t="shared" si="61"/>
        <v>0</v>
      </c>
      <c r="AH47" s="100">
        <f t="shared" si="61"/>
        <v>0</v>
      </c>
      <c r="AI47" s="100">
        <f t="shared" ref="AI47:AZ47" si="62">IFERROR($B47/AI6,0)</f>
        <v>0</v>
      </c>
      <c r="AJ47" s="100">
        <f t="shared" si="62"/>
        <v>0</v>
      </c>
      <c r="AK47" s="100">
        <f t="shared" si="62"/>
        <v>0</v>
      </c>
      <c r="AL47" s="100">
        <f t="shared" si="62"/>
        <v>0</v>
      </c>
      <c r="AM47" s="100">
        <f t="shared" si="62"/>
        <v>0</v>
      </c>
      <c r="AN47" s="100">
        <f t="shared" si="62"/>
        <v>0</v>
      </c>
      <c r="AO47" s="100">
        <f t="shared" si="62"/>
        <v>0</v>
      </c>
      <c r="AP47" s="100">
        <f t="shared" si="62"/>
        <v>0</v>
      </c>
      <c r="AQ47" s="100">
        <f t="shared" si="62"/>
        <v>0</v>
      </c>
      <c r="AR47" s="100">
        <f t="shared" si="62"/>
        <v>0</v>
      </c>
      <c r="AS47" s="100">
        <f t="shared" si="62"/>
        <v>0</v>
      </c>
      <c r="AT47" s="100">
        <f t="shared" si="62"/>
        <v>0</v>
      </c>
      <c r="AU47" s="100">
        <f t="shared" si="62"/>
        <v>0</v>
      </c>
      <c r="AV47" s="100">
        <f t="shared" si="62"/>
        <v>0</v>
      </c>
      <c r="AW47" s="100">
        <f t="shared" si="62"/>
        <v>0</v>
      </c>
      <c r="AX47" s="100">
        <f t="shared" si="62"/>
        <v>0</v>
      </c>
      <c r="AY47" s="100">
        <f t="shared" si="62"/>
        <v>0</v>
      </c>
      <c r="AZ47" s="100">
        <f t="shared" si="62"/>
        <v>0</v>
      </c>
    </row>
    <row r="48" spans="1:52" x14ac:dyDescent="0.25">
      <c r="A48" s="95" t="s">
        <v>33</v>
      </c>
      <c r="B48" s="95" t="s">
        <v>1074</v>
      </c>
      <c r="C48" s="96">
        <f t="shared" ref="C48" si="63">IFERROR(1/SUM(1/D48,1/E48,1/F48,1/G48,1/H48,1/I48,1/J48,1/K48,1/L48,1/M48,1/N48,1/O48,1/P48,1/Q48,1/R48,1/S48,1/T48,1/U48,1/V48,1/W48,1/X48,1/Y48),".")</f>
        <v>5.2511561746644113E-3</v>
      </c>
      <c r="D48" s="96">
        <f t="shared" ref="D48:AA48" si="64">IFERROR(1/SUM(D49:D62),0)</f>
        <v>9.9161735368365561E-2</v>
      </c>
      <c r="E48" s="96">
        <f t="shared" si="64"/>
        <v>0.16558580745011511</v>
      </c>
      <c r="F48" s="96">
        <f t="shared" si="64"/>
        <v>0.24147955954326375</v>
      </c>
      <c r="G48" s="96">
        <f t="shared" si="64"/>
        <v>0.22211726030241874</v>
      </c>
      <c r="H48" s="96">
        <f t="shared" si="64"/>
        <v>0.25541442165236283</v>
      </c>
      <c r="I48" s="96">
        <f t="shared" si="64"/>
        <v>7.4144816714832848E-2</v>
      </c>
      <c r="J48" s="96">
        <f t="shared" si="64"/>
        <v>0.26665411847287857</v>
      </c>
      <c r="K48" s="96">
        <f t="shared" si="64"/>
        <v>2.5722407757652669E-2</v>
      </c>
      <c r="L48" s="96">
        <f t="shared" si="64"/>
        <v>0.14618605322385911</v>
      </c>
      <c r="M48" s="96">
        <f t="shared" si="64"/>
        <v>0.10285120785249763</v>
      </c>
      <c r="N48" s="96">
        <f t="shared" si="64"/>
        <v>0.16746043245987374</v>
      </c>
      <c r="O48" s="96">
        <f t="shared" si="64"/>
        <v>0.25767163854498637</v>
      </c>
      <c r="P48" s="96">
        <f t="shared" si="64"/>
        <v>0.29113781171584557</v>
      </c>
      <c r="Q48" s="96">
        <f t="shared" si="64"/>
        <v>0.39311083441573297</v>
      </c>
      <c r="R48" s="96">
        <f t="shared" si="64"/>
        <v>6.3418379427199259E-2</v>
      </c>
      <c r="S48" s="96">
        <f t="shared" si="64"/>
        <v>0.1316702432812433</v>
      </c>
      <c r="T48" s="96">
        <f t="shared" si="64"/>
        <v>0.21162014840735885</v>
      </c>
      <c r="U48" s="96">
        <f t="shared" si="64"/>
        <v>6.6559650386697977E-2</v>
      </c>
      <c r="V48" s="96">
        <f t="shared" si="64"/>
        <v>0.11813601083931347</v>
      </c>
      <c r="W48" s="96">
        <f t="shared" si="64"/>
        <v>0.14679452635766108</v>
      </c>
      <c r="X48" s="96">
        <f t="shared" si="64"/>
        <v>0.19678005773878682</v>
      </c>
      <c r="Y48" s="96">
        <f t="shared" si="64"/>
        <v>0.10233064794483349</v>
      </c>
      <c r="Z48" s="96">
        <f t="shared" si="64"/>
        <v>3.4287120144136082E-2</v>
      </c>
      <c r="AA48" s="96">
        <f t="shared" si="64"/>
        <v>2.6694512102255794E-2</v>
      </c>
      <c r="AB48" s="96">
        <f t="shared" ref="AB48" si="65">IFERROR(1/SUM(1/AC48,1/AD48,1/AE48,1/AF48,1/AG48,1/AH48,1/AI48,1/AJ48,1/AK48,1/AL48,1/AM48,1/AN48,1/AO48,1/AP48,1/AQ48,1/AR48,1/AS48,1/AT48,1/AU48,1/AV48,1/AW48,1/AX48),".")</f>
        <v>3.2263919851937971E-3</v>
      </c>
      <c r="AC48" s="96">
        <f t="shared" ref="AC48:AZ48" si="66">IFERROR(1/SUM(AC49:AC62),0)</f>
        <v>5.5999426061396067E-2</v>
      </c>
      <c r="AD48" s="96">
        <f t="shared" si="66"/>
        <v>0.10088952051711318</v>
      </c>
      <c r="AE48" s="96">
        <f t="shared" si="66"/>
        <v>0.14402530872758948</v>
      </c>
      <c r="AF48" s="96">
        <f t="shared" si="66"/>
        <v>0.14039393869449096</v>
      </c>
      <c r="AG48" s="96">
        <f t="shared" si="66"/>
        <v>0.14265568428368408</v>
      </c>
      <c r="AH48" s="96">
        <f t="shared" si="66"/>
        <v>4.7621912250997975E-2</v>
      </c>
      <c r="AI48" s="96">
        <f t="shared" si="66"/>
        <v>0.18631188352503517</v>
      </c>
      <c r="AJ48" s="96">
        <f t="shared" si="66"/>
        <v>1.6184030059808067E-2</v>
      </c>
      <c r="AK48" s="96">
        <f t="shared" si="66"/>
        <v>6.558336842574311E-2</v>
      </c>
      <c r="AL48" s="96">
        <f t="shared" si="66"/>
        <v>9.4092131411400798E-2</v>
      </c>
      <c r="AM48" s="96">
        <f t="shared" si="66"/>
        <v>9.9842583635513071E-2</v>
      </c>
      <c r="AN48" s="96">
        <f t="shared" si="66"/>
        <v>0.15505404945267234</v>
      </c>
      <c r="AO48" s="96">
        <f t="shared" si="66"/>
        <v>0.17485870082083377</v>
      </c>
      <c r="AP48" s="96">
        <f t="shared" si="66"/>
        <v>0.19119481492037921</v>
      </c>
      <c r="AQ48" s="96">
        <f t="shared" si="66"/>
        <v>4.6117959329873948E-2</v>
      </c>
      <c r="AR48" s="96">
        <f t="shared" si="66"/>
        <v>7.5807903877935984E-2</v>
      </c>
      <c r="AS48" s="96">
        <f t="shared" si="66"/>
        <v>0.15246808452453389</v>
      </c>
      <c r="AT48" s="96">
        <f t="shared" si="66"/>
        <v>3.6935773463379222E-2</v>
      </c>
      <c r="AU48" s="96">
        <f t="shared" si="66"/>
        <v>7.4823292995219878E-2</v>
      </c>
      <c r="AV48" s="96">
        <f t="shared" si="66"/>
        <v>9.0790637927554291E-2</v>
      </c>
      <c r="AW48" s="96">
        <f t="shared" si="66"/>
        <v>0.12379844291808291</v>
      </c>
      <c r="AX48" s="96">
        <f t="shared" si="66"/>
        <v>5.3507514818349415E-2</v>
      </c>
      <c r="AY48" s="96">
        <f t="shared" si="66"/>
        <v>1.7440847240947834E-2</v>
      </c>
      <c r="AZ48" s="96">
        <f t="shared" si="66"/>
        <v>1.6594776975877423E-2</v>
      </c>
    </row>
    <row r="49" spans="1:52" x14ac:dyDescent="0.25">
      <c r="A49" s="195" t="s">
        <v>1103</v>
      </c>
      <c r="B49" s="196">
        <v>1</v>
      </c>
      <c r="C49" s="100">
        <f t="shared" ref="C49:AH49" si="67">IFERROR($B49/C23,0)</f>
        <v>27.661673634847705</v>
      </c>
      <c r="D49" s="100">
        <f t="shared" si="67"/>
        <v>1.3751459780943416</v>
      </c>
      <c r="E49" s="100">
        <f t="shared" si="67"/>
        <v>1.0653826075472004</v>
      </c>
      <c r="F49" s="100">
        <f t="shared" si="67"/>
        <v>0.77642112829256538</v>
      </c>
      <c r="G49" s="100">
        <f t="shared" si="67"/>
        <v>0.61391672385246909</v>
      </c>
      <c r="H49" s="100">
        <f t="shared" si="67"/>
        <v>0.55442850257199783</v>
      </c>
      <c r="I49" s="100">
        <f t="shared" si="67"/>
        <v>2.3791783175403105</v>
      </c>
      <c r="J49" s="100">
        <f t="shared" si="67"/>
        <v>0.70319419764472724</v>
      </c>
      <c r="K49" s="100">
        <f t="shared" si="67"/>
        <v>5.3012938477992497</v>
      </c>
      <c r="L49" s="100">
        <f t="shared" si="67"/>
        <v>0.89971343660872782</v>
      </c>
      <c r="M49" s="100">
        <f t="shared" si="67"/>
        <v>1.3778430710232001</v>
      </c>
      <c r="N49" s="100">
        <f t="shared" si="67"/>
        <v>1.0295140761671082</v>
      </c>
      <c r="O49" s="100">
        <f t="shared" si="67"/>
        <v>0.55082283492597939</v>
      </c>
      <c r="P49" s="100">
        <f t="shared" si="67"/>
        <v>0.48674030630775694</v>
      </c>
      <c r="Q49" s="100">
        <f t="shared" si="67"/>
        <v>0.3604751172452566</v>
      </c>
      <c r="R49" s="100">
        <f t="shared" si="67"/>
        <v>2.1502041562022454</v>
      </c>
      <c r="S49" s="100">
        <f t="shared" si="67"/>
        <v>1.0369835076002947</v>
      </c>
      <c r="T49" s="100">
        <f t="shared" si="67"/>
        <v>0.67264253620517678</v>
      </c>
      <c r="U49" s="100">
        <f t="shared" si="67"/>
        <v>2.0859773126524006</v>
      </c>
      <c r="V49" s="100">
        <f t="shared" si="67"/>
        <v>1.1995570215401092</v>
      </c>
      <c r="W49" s="100">
        <f t="shared" si="67"/>
        <v>0.96600862624278216</v>
      </c>
      <c r="X49" s="100">
        <f t="shared" si="67"/>
        <v>0.69299032588369869</v>
      </c>
      <c r="Y49" s="100">
        <f t="shared" si="67"/>
        <v>1.3832400029001068</v>
      </c>
      <c r="Z49" s="100">
        <f t="shared" si="67"/>
        <v>3.7153478998563094</v>
      </c>
      <c r="AA49" s="100">
        <f t="shared" si="67"/>
        <v>5.0179470315720849</v>
      </c>
      <c r="AB49" s="100">
        <f t="shared" si="67"/>
        <v>44.944319843316499</v>
      </c>
      <c r="AC49" s="100">
        <f t="shared" si="67"/>
        <v>2.435058199045832</v>
      </c>
      <c r="AD49" s="100">
        <f t="shared" si="67"/>
        <v>1.7485685174218732</v>
      </c>
      <c r="AE49" s="100">
        <f t="shared" si="67"/>
        <v>1.3017839276761574</v>
      </c>
      <c r="AF49" s="100">
        <f t="shared" si="67"/>
        <v>0.9712776920710311</v>
      </c>
      <c r="AG49" s="100">
        <f t="shared" si="67"/>
        <v>0.99266311078365177</v>
      </c>
      <c r="AH49" s="100">
        <f t="shared" si="67"/>
        <v>3.704255708090217</v>
      </c>
      <c r="AI49" s="100">
        <f t="shared" ref="AI49:AZ49" si="68">IFERROR($B49/AI23,0)</f>
        <v>1.0064287115802879</v>
      </c>
      <c r="AJ49" s="100">
        <f t="shared" si="68"/>
        <v>8.4257160603571553</v>
      </c>
      <c r="AK49" s="100">
        <f t="shared" si="68"/>
        <v>2.0054711962412353</v>
      </c>
      <c r="AL49" s="100">
        <f t="shared" si="68"/>
        <v>1.506107067192656</v>
      </c>
      <c r="AM49" s="100">
        <f t="shared" si="68"/>
        <v>1.7267469063886405</v>
      </c>
      <c r="AN49" s="100">
        <f t="shared" si="68"/>
        <v>0.91536740204062761</v>
      </c>
      <c r="AO49" s="100">
        <f t="shared" si="68"/>
        <v>0.81041725111260043</v>
      </c>
      <c r="AP49" s="100">
        <f t="shared" si="68"/>
        <v>0.74116379246688258</v>
      </c>
      <c r="AQ49" s="100">
        <f t="shared" si="68"/>
        <v>2.956819100528651</v>
      </c>
      <c r="AR49" s="100">
        <f t="shared" si="68"/>
        <v>1.8011297468957976</v>
      </c>
      <c r="AS49" s="100">
        <f t="shared" si="68"/>
        <v>0.93360334250107813</v>
      </c>
      <c r="AT49" s="100">
        <f t="shared" si="68"/>
        <v>3.7590094270635865</v>
      </c>
      <c r="AU49" s="100">
        <f t="shared" si="68"/>
        <v>1.8939407185418877</v>
      </c>
      <c r="AV49" s="100">
        <f t="shared" si="68"/>
        <v>1.5618876789903831</v>
      </c>
      <c r="AW49" s="100">
        <f t="shared" si="68"/>
        <v>1.1015217407059663</v>
      </c>
      <c r="AX49" s="100">
        <f t="shared" si="68"/>
        <v>2.6453825456203028</v>
      </c>
      <c r="AY49" s="100">
        <f t="shared" si="68"/>
        <v>7.3040362122175164</v>
      </c>
      <c r="AZ49" s="100">
        <f t="shared" si="68"/>
        <v>8.0719161189990665</v>
      </c>
    </row>
    <row r="50" spans="1:52" x14ac:dyDescent="0.25">
      <c r="A50" s="195" t="s">
        <v>1090</v>
      </c>
      <c r="B50" s="196">
        <v>1</v>
      </c>
      <c r="C50" s="100">
        <f t="shared" ref="C50:AH50" si="69">IFERROR($B50/C25,0)</f>
        <v>0</v>
      </c>
      <c r="D50" s="100">
        <f t="shared" si="69"/>
        <v>0</v>
      </c>
      <c r="E50" s="100">
        <f t="shared" si="69"/>
        <v>0</v>
      </c>
      <c r="F50" s="100">
        <f t="shared" si="69"/>
        <v>0</v>
      </c>
      <c r="G50" s="100">
        <f t="shared" si="69"/>
        <v>0</v>
      </c>
      <c r="H50" s="100">
        <f t="shared" si="69"/>
        <v>0</v>
      </c>
      <c r="I50" s="100">
        <f t="shared" si="69"/>
        <v>0</v>
      </c>
      <c r="J50" s="100">
        <f t="shared" si="69"/>
        <v>0</v>
      </c>
      <c r="K50" s="100">
        <f t="shared" si="69"/>
        <v>0</v>
      </c>
      <c r="L50" s="100">
        <f t="shared" si="69"/>
        <v>0</v>
      </c>
      <c r="M50" s="100">
        <f t="shared" si="69"/>
        <v>0</v>
      </c>
      <c r="N50" s="100">
        <f t="shared" si="69"/>
        <v>0</v>
      </c>
      <c r="O50" s="100">
        <f t="shared" si="69"/>
        <v>0</v>
      </c>
      <c r="P50" s="100">
        <f t="shared" si="69"/>
        <v>0</v>
      </c>
      <c r="Q50" s="100">
        <f t="shared" si="69"/>
        <v>0</v>
      </c>
      <c r="R50" s="100">
        <f t="shared" si="69"/>
        <v>0</v>
      </c>
      <c r="S50" s="100">
        <f t="shared" si="69"/>
        <v>0</v>
      </c>
      <c r="T50" s="100">
        <f t="shared" si="69"/>
        <v>0</v>
      </c>
      <c r="U50" s="100">
        <f t="shared" si="69"/>
        <v>0</v>
      </c>
      <c r="V50" s="100">
        <f t="shared" si="69"/>
        <v>0</v>
      </c>
      <c r="W50" s="100">
        <f t="shared" si="69"/>
        <v>0</v>
      </c>
      <c r="X50" s="100">
        <f t="shared" si="69"/>
        <v>0</v>
      </c>
      <c r="Y50" s="100">
        <f t="shared" si="69"/>
        <v>0</v>
      </c>
      <c r="Z50" s="100">
        <f t="shared" si="69"/>
        <v>0</v>
      </c>
      <c r="AA50" s="100">
        <f t="shared" si="69"/>
        <v>0</v>
      </c>
      <c r="AB50" s="100">
        <f t="shared" si="69"/>
        <v>0</v>
      </c>
      <c r="AC50" s="100">
        <f t="shared" si="69"/>
        <v>0</v>
      </c>
      <c r="AD50" s="100">
        <f t="shared" si="69"/>
        <v>0</v>
      </c>
      <c r="AE50" s="100">
        <f t="shared" si="69"/>
        <v>0</v>
      </c>
      <c r="AF50" s="100">
        <f t="shared" si="69"/>
        <v>0</v>
      </c>
      <c r="AG50" s="100">
        <f t="shared" si="69"/>
        <v>0</v>
      </c>
      <c r="AH50" s="100">
        <f t="shared" si="69"/>
        <v>0</v>
      </c>
      <c r="AI50" s="100">
        <f t="shared" ref="AI50:AZ50" si="70">IFERROR($B50/AI25,0)</f>
        <v>0</v>
      </c>
      <c r="AJ50" s="100">
        <f t="shared" si="70"/>
        <v>0</v>
      </c>
      <c r="AK50" s="100">
        <f t="shared" si="70"/>
        <v>0</v>
      </c>
      <c r="AL50" s="100">
        <f t="shared" si="70"/>
        <v>0</v>
      </c>
      <c r="AM50" s="100">
        <f t="shared" si="70"/>
        <v>0</v>
      </c>
      <c r="AN50" s="100">
        <f t="shared" si="70"/>
        <v>0</v>
      </c>
      <c r="AO50" s="100">
        <f t="shared" si="70"/>
        <v>0</v>
      </c>
      <c r="AP50" s="100">
        <f t="shared" si="70"/>
        <v>0</v>
      </c>
      <c r="AQ50" s="100">
        <f t="shared" si="70"/>
        <v>0</v>
      </c>
      <c r="AR50" s="100">
        <f t="shared" si="70"/>
        <v>0</v>
      </c>
      <c r="AS50" s="100">
        <f t="shared" si="70"/>
        <v>0</v>
      </c>
      <c r="AT50" s="100">
        <f t="shared" si="70"/>
        <v>0</v>
      </c>
      <c r="AU50" s="100">
        <f t="shared" si="70"/>
        <v>0</v>
      </c>
      <c r="AV50" s="100">
        <f t="shared" si="70"/>
        <v>0</v>
      </c>
      <c r="AW50" s="100">
        <f t="shared" si="70"/>
        <v>0</v>
      </c>
      <c r="AX50" s="100">
        <f t="shared" si="70"/>
        <v>0</v>
      </c>
      <c r="AY50" s="100">
        <f t="shared" si="70"/>
        <v>0</v>
      </c>
      <c r="AZ50" s="100">
        <f t="shared" si="70"/>
        <v>0</v>
      </c>
    </row>
    <row r="51" spans="1:52" x14ac:dyDescent="0.25">
      <c r="A51" s="195" t="s">
        <v>1076</v>
      </c>
      <c r="B51" s="196">
        <v>1</v>
      </c>
      <c r="C51" s="100">
        <f t="shared" ref="C51:AH51" si="71">IFERROR($B51/C21,0)</f>
        <v>0</v>
      </c>
      <c r="D51" s="100">
        <f t="shared" si="71"/>
        <v>0</v>
      </c>
      <c r="E51" s="100">
        <f t="shared" si="71"/>
        <v>0</v>
      </c>
      <c r="F51" s="100">
        <f t="shared" si="71"/>
        <v>0</v>
      </c>
      <c r="G51" s="100">
        <f t="shared" si="71"/>
        <v>0</v>
      </c>
      <c r="H51" s="100">
        <f t="shared" si="71"/>
        <v>0</v>
      </c>
      <c r="I51" s="100">
        <f t="shared" si="71"/>
        <v>0</v>
      </c>
      <c r="J51" s="100">
        <f t="shared" si="71"/>
        <v>0</v>
      </c>
      <c r="K51" s="100">
        <f t="shared" si="71"/>
        <v>0</v>
      </c>
      <c r="L51" s="100">
        <f t="shared" si="71"/>
        <v>0</v>
      </c>
      <c r="M51" s="100">
        <f t="shared" si="71"/>
        <v>0</v>
      </c>
      <c r="N51" s="100">
        <f t="shared" si="71"/>
        <v>0</v>
      </c>
      <c r="O51" s="100">
        <f t="shared" si="71"/>
        <v>0</v>
      </c>
      <c r="P51" s="100">
        <f t="shared" si="71"/>
        <v>0</v>
      </c>
      <c r="Q51" s="100">
        <f t="shared" si="71"/>
        <v>0</v>
      </c>
      <c r="R51" s="100">
        <f t="shared" si="71"/>
        <v>0</v>
      </c>
      <c r="S51" s="100">
        <f t="shared" si="71"/>
        <v>0</v>
      </c>
      <c r="T51" s="100">
        <f t="shared" si="71"/>
        <v>0</v>
      </c>
      <c r="U51" s="100">
        <f t="shared" si="71"/>
        <v>0</v>
      </c>
      <c r="V51" s="100">
        <f t="shared" si="71"/>
        <v>0</v>
      </c>
      <c r="W51" s="100">
        <f t="shared" si="71"/>
        <v>0</v>
      </c>
      <c r="X51" s="100">
        <f t="shared" si="71"/>
        <v>0</v>
      </c>
      <c r="Y51" s="100">
        <f t="shared" si="71"/>
        <v>0</v>
      </c>
      <c r="Z51" s="100">
        <f t="shared" si="71"/>
        <v>0</v>
      </c>
      <c r="AA51" s="100">
        <f t="shared" si="71"/>
        <v>0</v>
      </c>
      <c r="AB51" s="100">
        <f t="shared" si="71"/>
        <v>0</v>
      </c>
      <c r="AC51" s="100">
        <f t="shared" si="71"/>
        <v>0</v>
      </c>
      <c r="AD51" s="100">
        <f t="shared" si="71"/>
        <v>0</v>
      </c>
      <c r="AE51" s="100">
        <f t="shared" si="71"/>
        <v>0</v>
      </c>
      <c r="AF51" s="100">
        <f t="shared" si="71"/>
        <v>0</v>
      </c>
      <c r="AG51" s="100">
        <f t="shared" si="71"/>
        <v>0</v>
      </c>
      <c r="AH51" s="100">
        <f t="shared" si="71"/>
        <v>0</v>
      </c>
      <c r="AI51" s="100">
        <f t="shared" ref="AI51:AZ51" si="72">IFERROR($B51/AI21,0)</f>
        <v>0</v>
      </c>
      <c r="AJ51" s="100">
        <f t="shared" si="72"/>
        <v>0</v>
      </c>
      <c r="AK51" s="100">
        <f t="shared" si="72"/>
        <v>0</v>
      </c>
      <c r="AL51" s="100">
        <f t="shared" si="72"/>
        <v>0</v>
      </c>
      <c r="AM51" s="100">
        <f t="shared" si="72"/>
        <v>0</v>
      </c>
      <c r="AN51" s="100">
        <f t="shared" si="72"/>
        <v>0</v>
      </c>
      <c r="AO51" s="100">
        <f t="shared" si="72"/>
        <v>0</v>
      </c>
      <c r="AP51" s="100">
        <f t="shared" si="72"/>
        <v>0</v>
      </c>
      <c r="AQ51" s="100">
        <f t="shared" si="72"/>
        <v>0</v>
      </c>
      <c r="AR51" s="100">
        <f t="shared" si="72"/>
        <v>0</v>
      </c>
      <c r="AS51" s="100">
        <f t="shared" si="72"/>
        <v>0</v>
      </c>
      <c r="AT51" s="100">
        <f t="shared" si="72"/>
        <v>0</v>
      </c>
      <c r="AU51" s="100">
        <f t="shared" si="72"/>
        <v>0</v>
      </c>
      <c r="AV51" s="100">
        <f t="shared" si="72"/>
        <v>0</v>
      </c>
      <c r="AW51" s="100">
        <f t="shared" si="72"/>
        <v>0</v>
      </c>
      <c r="AX51" s="100">
        <f t="shared" si="72"/>
        <v>0</v>
      </c>
      <c r="AY51" s="100">
        <f t="shared" si="72"/>
        <v>0</v>
      </c>
      <c r="AZ51" s="100">
        <f t="shared" si="72"/>
        <v>0</v>
      </c>
    </row>
    <row r="52" spans="1:52" x14ac:dyDescent="0.25">
      <c r="A52" s="195" t="s">
        <v>1077</v>
      </c>
      <c r="B52" s="198">
        <v>0.99980000000000002</v>
      </c>
      <c r="C52" s="100">
        <f t="shared" ref="C52:AH52" si="73">IFERROR($B52/C17,0)</f>
        <v>2.497040372580164E-2</v>
      </c>
      <c r="D52" s="100">
        <f t="shared" si="73"/>
        <v>1.2957416856527533E-3</v>
      </c>
      <c r="E52" s="100">
        <f t="shared" si="73"/>
        <v>9.4664233837925694E-4</v>
      </c>
      <c r="F52" s="100">
        <f t="shared" si="73"/>
        <v>4.9769682315367614E-4</v>
      </c>
      <c r="G52" s="100">
        <f t="shared" si="73"/>
        <v>5.7846767055042111E-4</v>
      </c>
      <c r="H52" s="100">
        <f t="shared" si="73"/>
        <v>5.1370071974119597E-4</v>
      </c>
      <c r="I52" s="100">
        <f t="shared" si="73"/>
        <v>2.1140285661810768E-3</v>
      </c>
      <c r="J52" s="100">
        <f t="shared" si="73"/>
        <v>4.5070683745780145E-4</v>
      </c>
      <c r="K52" s="100">
        <f t="shared" si="73"/>
        <v>4.9951841738337379E-3</v>
      </c>
      <c r="L52" s="100">
        <f t="shared" si="73"/>
        <v>8.380212296241335E-4</v>
      </c>
      <c r="M52" s="100">
        <f t="shared" si="73"/>
        <v>1.2764514381993731E-3</v>
      </c>
      <c r="N52" s="100">
        <f t="shared" si="73"/>
        <v>9.1836711230920383E-4</v>
      </c>
      <c r="O52" s="100">
        <f t="shared" si="73"/>
        <v>4.8130216638152826E-4</v>
      </c>
      <c r="P52" s="100">
        <f t="shared" si="73"/>
        <v>4.5092503614698902E-4</v>
      </c>
      <c r="Q52" s="100">
        <f t="shared" si="73"/>
        <v>3.3395149366561677E-4</v>
      </c>
      <c r="R52" s="100">
        <f t="shared" si="73"/>
        <v>2.0260461087309475E-3</v>
      </c>
      <c r="S52" s="100">
        <f t="shared" si="73"/>
        <v>9.7571037729731087E-4</v>
      </c>
      <c r="T52" s="100">
        <f t="shared" si="73"/>
        <v>5.8629767374168045E-4</v>
      </c>
      <c r="U52" s="100">
        <f t="shared" si="73"/>
        <v>1.800439413129018E-3</v>
      </c>
      <c r="V52" s="100">
        <f t="shared" si="73"/>
        <v>1.1112878384520492E-3</v>
      </c>
      <c r="W52" s="100">
        <f t="shared" si="73"/>
        <v>8.4472647498312593E-4</v>
      </c>
      <c r="X52" s="100">
        <f t="shared" si="73"/>
        <v>6.5297536938292364E-4</v>
      </c>
      <c r="Y52" s="100">
        <f t="shared" si="73"/>
        <v>1.2817331788078264E-3</v>
      </c>
      <c r="Z52" s="100">
        <f t="shared" si="73"/>
        <v>3.495058763873632E-3</v>
      </c>
      <c r="AA52" s="100">
        <f t="shared" si="73"/>
        <v>4.6512955685709271E-3</v>
      </c>
      <c r="AB52" s="100">
        <f t="shared" si="73"/>
        <v>4.0582587397668658E-2</v>
      </c>
      <c r="AC52" s="100">
        <f t="shared" si="73"/>
        <v>2.2944519823754604E-3</v>
      </c>
      <c r="AD52" s="100">
        <f t="shared" si="73"/>
        <v>1.5536850127105706E-3</v>
      </c>
      <c r="AE52" s="100">
        <f t="shared" si="73"/>
        <v>8.3446173941933717E-4</v>
      </c>
      <c r="AF52" s="100">
        <f t="shared" si="73"/>
        <v>9.1519374234368936E-4</v>
      </c>
      <c r="AG52" s="100">
        <f t="shared" si="73"/>
        <v>9.1974303648625466E-4</v>
      </c>
      <c r="AH52" s="100">
        <f t="shared" si="73"/>
        <v>3.2914314684230686E-3</v>
      </c>
      <c r="AI52" s="100">
        <f t="shared" ref="AI52:AZ52" si="74">IFERROR($B52/AI17,0)</f>
        <v>6.4506263453592159E-4</v>
      </c>
      <c r="AJ52" s="100">
        <f t="shared" si="74"/>
        <v>7.9391946053669529E-3</v>
      </c>
      <c r="AK52" s="100">
        <f t="shared" si="74"/>
        <v>1.8679585848852252E-3</v>
      </c>
      <c r="AL52" s="100">
        <f t="shared" si="74"/>
        <v>1.3952768442437047E-3</v>
      </c>
      <c r="AM52" s="100">
        <f t="shared" si="74"/>
        <v>1.5403262634474031E-3</v>
      </c>
      <c r="AN52" s="100">
        <f t="shared" si="74"/>
        <v>7.9983669104130323E-4</v>
      </c>
      <c r="AO52" s="100">
        <f t="shared" si="74"/>
        <v>7.5078522061214608E-4</v>
      </c>
      <c r="AP52" s="100">
        <f t="shared" si="74"/>
        <v>6.8662923931248315E-4</v>
      </c>
      <c r="AQ52" s="100">
        <f t="shared" si="74"/>
        <v>2.7860851331569748E-3</v>
      </c>
      <c r="AR52" s="100">
        <f t="shared" si="74"/>
        <v>1.6947048550192481E-3</v>
      </c>
      <c r="AS52" s="100">
        <f t="shared" si="74"/>
        <v>8.1375981809582562E-4</v>
      </c>
      <c r="AT52" s="100">
        <f t="shared" si="74"/>
        <v>3.2444594127455798E-3</v>
      </c>
      <c r="AU52" s="100">
        <f t="shared" si="74"/>
        <v>1.7545754386585955E-3</v>
      </c>
      <c r="AV52" s="100">
        <f t="shared" si="74"/>
        <v>1.3657930556217751E-3</v>
      </c>
      <c r="AW52" s="100">
        <f t="shared" si="74"/>
        <v>1.0379171810278788E-3</v>
      </c>
      <c r="AX52" s="100">
        <f t="shared" si="74"/>
        <v>2.4512554381392587E-3</v>
      </c>
      <c r="AY52" s="100">
        <f t="shared" si="74"/>
        <v>6.8709677971606617E-3</v>
      </c>
      <c r="AZ52" s="100">
        <f t="shared" si="74"/>
        <v>7.4821171761978696E-3</v>
      </c>
    </row>
    <row r="53" spans="1:52" x14ac:dyDescent="0.25">
      <c r="A53" s="195" t="s">
        <v>1091</v>
      </c>
      <c r="B53" s="196">
        <v>2.0000000000000001E-4</v>
      </c>
      <c r="C53" s="100">
        <f t="shared" ref="C53:AH53" si="75">IFERROR($B53/C5,0)</f>
        <v>0</v>
      </c>
      <c r="D53" s="100">
        <f t="shared" si="75"/>
        <v>0</v>
      </c>
      <c r="E53" s="100">
        <f t="shared" si="75"/>
        <v>0</v>
      </c>
      <c r="F53" s="100">
        <f t="shared" si="75"/>
        <v>0</v>
      </c>
      <c r="G53" s="100">
        <f t="shared" si="75"/>
        <v>0</v>
      </c>
      <c r="H53" s="100">
        <f t="shared" si="75"/>
        <v>0</v>
      </c>
      <c r="I53" s="100">
        <f t="shared" si="75"/>
        <v>0</v>
      </c>
      <c r="J53" s="100">
        <f t="shared" si="75"/>
        <v>0</v>
      </c>
      <c r="K53" s="100">
        <f t="shared" si="75"/>
        <v>0</v>
      </c>
      <c r="L53" s="100">
        <f t="shared" si="75"/>
        <v>0</v>
      </c>
      <c r="M53" s="100">
        <f t="shared" si="75"/>
        <v>0</v>
      </c>
      <c r="N53" s="100">
        <f t="shared" si="75"/>
        <v>0</v>
      </c>
      <c r="O53" s="100">
        <f t="shared" si="75"/>
        <v>0</v>
      </c>
      <c r="P53" s="100">
        <f t="shared" si="75"/>
        <v>0</v>
      </c>
      <c r="Q53" s="100">
        <f t="shared" si="75"/>
        <v>0</v>
      </c>
      <c r="R53" s="100">
        <f t="shared" si="75"/>
        <v>0</v>
      </c>
      <c r="S53" s="100">
        <f t="shared" si="75"/>
        <v>0</v>
      </c>
      <c r="T53" s="100">
        <f t="shared" si="75"/>
        <v>0</v>
      </c>
      <c r="U53" s="100">
        <f t="shared" si="75"/>
        <v>0</v>
      </c>
      <c r="V53" s="100">
        <f t="shared" si="75"/>
        <v>0</v>
      </c>
      <c r="W53" s="100">
        <f t="shared" si="75"/>
        <v>0</v>
      </c>
      <c r="X53" s="100">
        <f t="shared" si="75"/>
        <v>0</v>
      </c>
      <c r="Y53" s="100">
        <f t="shared" si="75"/>
        <v>0</v>
      </c>
      <c r="Z53" s="100">
        <f t="shared" si="75"/>
        <v>0</v>
      </c>
      <c r="AA53" s="100">
        <f t="shared" si="75"/>
        <v>0</v>
      </c>
      <c r="AB53" s="100">
        <f t="shared" si="75"/>
        <v>0</v>
      </c>
      <c r="AC53" s="100">
        <f t="shared" si="75"/>
        <v>0</v>
      </c>
      <c r="AD53" s="100">
        <f t="shared" si="75"/>
        <v>0</v>
      </c>
      <c r="AE53" s="100">
        <f t="shared" si="75"/>
        <v>0</v>
      </c>
      <c r="AF53" s="100">
        <f t="shared" si="75"/>
        <v>0</v>
      </c>
      <c r="AG53" s="100">
        <f t="shared" si="75"/>
        <v>0</v>
      </c>
      <c r="AH53" s="100">
        <f t="shared" si="75"/>
        <v>0</v>
      </c>
      <c r="AI53" s="100">
        <f t="shared" ref="AI53:AZ53" si="76">IFERROR($B53/AI5,0)</f>
        <v>0</v>
      </c>
      <c r="AJ53" s="100">
        <f t="shared" si="76"/>
        <v>0</v>
      </c>
      <c r="AK53" s="100">
        <f t="shared" si="76"/>
        <v>0</v>
      </c>
      <c r="AL53" s="100">
        <f t="shared" si="76"/>
        <v>0</v>
      </c>
      <c r="AM53" s="100">
        <f t="shared" si="76"/>
        <v>0</v>
      </c>
      <c r="AN53" s="100">
        <f t="shared" si="76"/>
        <v>0</v>
      </c>
      <c r="AO53" s="100">
        <f t="shared" si="76"/>
        <v>0</v>
      </c>
      <c r="AP53" s="100">
        <f t="shared" si="76"/>
        <v>0</v>
      </c>
      <c r="AQ53" s="100">
        <f t="shared" si="76"/>
        <v>0</v>
      </c>
      <c r="AR53" s="100">
        <f t="shared" si="76"/>
        <v>0</v>
      </c>
      <c r="AS53" s="100">
        <f t="shared" si="76"/>
        <v>0</v>
      </c>
      <c r="AT53" s="100">
        <f t="shared" si="76"/>
        <v>0</v>
      </c>
      <c r="AU53" s="100">
        <f t="shared" si="76"/>
        <v>0</v>
      </c>
      <c r="AV53" s="100">
        <f t="shared" si="76"/>
        <v>0</v>
      </c>
      <c r="AW53" s="100">
        <f t="shared" si="76"/>
        <v>0</v>
      </c>
      <c r="AX53" s="100">
        <f t="shared" si="76"/>
        <v>0</v>
      </c>
      <c r="AY53" s="100">
        <f t="shared" si="76"/>
        <v>0</v>
      </c>
      <c r="AZ53" s="100">
        <f t="shared" si="76"/>
        <v>0</v>
      </c>
    </row>
    <row r="54" spans="1:52" x14ac:dyDescent="0.25">
      <c r="A54" s="195" t="s">
        <v>1092</v>
      </c>
      <c r="B54" s="196">
        <v>0.99999979999999999</v>
      </c>
      <c r="C54" s="100">
        <f t="shared" ref="C54:AH54" si="77">IFERROR($B54/C9,0)</f>
        <v>2.3153313636796426E-2</v>
      </c>
      <c r="D54" s="100">
        <f t="shared" si="77"/>
        <v>1.2790558593732064E-3</v>
      </c>
      <c r="E54" s="100">
        <f t="shared" si="77"/>
        <v>5.7518351039023859E-4</v>
      </c>
      <c r="F54" s="100">
        <f t="shared" si="77"/>
        <v>4.703398173736551E-4</v>
      </c>
      <c r="G54" s="100">
        <f t="shared" si="77"/>
        <v>5.7100487409310764E-4</v>
      </c>
      <c r="H54" s="100">
        <f t="shared" si="77"/>
        <v>4.8395348718880543E-4</v>
      </c>
      <c r="I54" s="100">
        <f t="shared" si="77"/>
        <v>1.2844736831021774E-3</v>
      </c>
      <c r="J54" s="100">
        <f t="shared" si="77"/>
        <v>4.2599553996642176E-4</v>
      </c>
      <c r="K54" s="100">
        <f t="shared" si="77"/>
        <v>4.9309178278704232E-3</v>
      </c>
      <c r="L54" s="100">
        <f t="shared" si="77"/>
        <v>8.9779407583237092E-4</v>
      </c>
      <c r="M54" s="100">
        <f t="shared" si="77"/>
        <v>1.2067137908439024E-3</v>
      </c>
      <c r="N54" s="100">
        <f t="shared" si="77"/>
        <v>5.5420814634445244E-4</v>
      </c>
      <c r="O54" s="100">
        <f t="shared" si="77"/>
        <v>4.8822132132031519E-4</v>
      </c>
      <c r="P54" s="100">
        <f t="shared" si="77"/>
        <v>4.2622783978265959E-4</v>
      </c>
      <c r="Q54" s="100">
        <f t="shared" si="77"/>
        <v>3.1564164339973461E-4</v>
      </c>
      <c r="R54" s="100">
        <f t="shared" si="77"/>
        <v>2.0000353413762561E-3</v>
      </c>
      <c r="S54" s="100">
        <f t="shared" si="77"/>
        <v>9.6375916615050439E-4</v>
      </c>
      <c r="T54" s="100">
        <f t="shared" si="77"/>
        <v>6.0403750240027837E-4</v>
      </c>
      <c r="U54" s="100">
        <f t="shared" si="77"/>
        <v>1.9226809381688028E-3</v>
      </c>
      <c r="V54" s="100">
        <f t="shared" si="77"/>
        <v>1.0505056796813114E-3</v>
      </c>
      <c r="W54" s="100">
        <f t="shared" si="77"/>
        <v>8.5275694770322273E-4</v>
      </c>
      <c r="X54" s="100">
        <f t="shared" si="77"/>
        <v>6.4477184067782633E-4</v>
      </c>
      <c r="Y54" s="100">
        <f t="shared" si="77"/>
        <v>1.2050348037567537E-3</v>
      </c>
      <c r="Z54" s="100">
        <f t="shared" si="77"/>
        <v>2.4550226380512926E-3</v>
      </c>
      <c r="AA54" s="100">
        <f t="shared" si="77"/>
        <v>3.1707709291547122E-3</v>
      </c>
      <c r="AB54" s="100">
        <f t="shared" si="77"/>
        <v>3.7727989419397819E-2</v>
      </c>
      <c r="AC54" s="100">
        <f t="shared" si="77"/>
        <v>2.2649053315201301E-3</v>
      </c>
      <c r="AD54" s="100">
        <f t="shared" si="77"/>
        <v>9.4402496425586701E-4</v>
      </c>
      <c r="AE54" s="100">
        <f t="shared" si="77"/>
        <v>7.8859370577618823E-4</v>
      </c>
      <c r="AF54" s="100">
        <f t="shared" si="77"/>
        <v>9.0338685154265459E-4</v>
      </c>
      <c r="AG54" s="100">
        <f t="shared" si="77"/>
        <v>8.6648282301296552E-4</v>
      </c>
      <c r="AH54" s="100">
        <f t="shared" si="77"/>
        <v>1.9998580759772286E-3</v>
      </c>
      <c r="AI54" s="100">
        <f t="shared" ref="AI54:AZ54" si="78">IFERROR($B54/AI9,0)</f>
        <v>6.096952219790115E-4</v>
      </c>
      <c r="AJ54" s="100">
        <f t="shared" si="78"/>
        <v>7.8370516193582897E-3</v>
      </c>
      <c r="AK54" s="100">
        <f t="shared" si="78"/>
        <v>2.0011929198528243E-3</v>
      </c>
      <c r="AL54" s="100">
        <f t="shared" si="78"/>
        <v>1.319047289702733E-3</v>
      </c>
      <c r="AM54" s="100">
        <f t="shared" si="78"/>
        <v>9.2954261078051709E-4</v>
      </c>
      <c r="AN54" s="100">
        <f t="shared" si="78"/>
        <v>8.113350685213964E-4</v>
      </c>
      <c r="AO54" s="100">
        <f t="shared" si="78"/>
        <v>7.0966466057553236E-4</v>
      </c>
      <c r="AP54" s="100">
        <f t="shared" si="78"/>
        <v>6.4898281820506174E-4</v>
      </c>
      <c r="AQ54" s="100">
        <f t="shared" si="78"/>
        <v>2.7503168394756913E-3</v>
      </c>
      <c r="AR54" s="100">
        <f t="shared" si="78"/>
        <v>1.6739468759866222E-3</v>
      </c>
      <c r="AS54" s="100">
        <f t="shared" si="78"/>
        <v>8.3838205418648455E-4</v>
      </c>
      <c r="AT54" s="100">
        <f t="shared" si="78"/>
        <v>3.4647432299357572E-3</v>
      </c>
      <c r="AU54" s="100">
        <f t="shared" si="78"/>
        <v>1.6586085080420095E-3</v>
      </c>
      <c r="AV54" s="100">
        <f t="shared" si="78"/>
        <v>1.378777097438018E-3</v>
      </c>
      <c r="AW54" s="100">
        <f t="shared" si="78"/>
        <v>1.0248775109464141E-3</v>
      </c>
      <c r="AX54" s="100">
        <f t="shared" si="78"/>
        <v>2.3045733423264179E-3</v>
      </c>
      <c r="AY54" s="100">
        <f t="shared" si="78"/>
        <v>4.8263513225326564E-3</v>
      </c>
      <c r="AZ54" s="100">
        <f t="shared" si="78"/>
        <v>5.1005315145144338E-3</v>
      </c>
    </row>
    <row r="55" spans="1:52" x14ac:dyDescent="0.25">
      <c r="A55" s="195" t="s">
        <v>1093</v>
      </c>
      <c r="B55" s="196">
        <v>1.9999999999999999E-7</v>
      </c>
      <c r="C55" s="100">
        <f t="shared" ref="C55:AH55" si="79">IFERROR($B55/C24,0)</f>
        <v>0</v>
      </c>
      <c r="D55" s="100">
        <f t="shared" si="79"/>
        <v>0</v>
      </c>
      <c r="E55" s="100">
        <f t="shared" si="79"/>
        <v>0</v>
      </c>
      <c r="F55" s="100">
        <f t="shared" si="79"/>
        <v>0</v>
      </c>
      <c r="G55" s="100">
        <f t="shared" si="79"/>
        <v>0</v>
      </c>
      <c r="H55" s="100">
        <f t="shared" si="79"/>
        <v>0</v>
      </c>
      <c r="I55" s="100">
        <f t="shared" si="79"/>
        <v>0</v>
      </c>
      <c r="J55" s="100">
        <f t="shared" si="79"/>
        <v>0</v>
      </c>
      <c r="K55" s="100">
        <f t="shared" si="79"/>
        <v>0</v>
      </c>
      <c r="L55" s="100">
        <f t="shared" si="79"/>
        <v>0</v>
      </c>
      <c r="M55" s="100">
        <f t="shared" si="79"/>
        <v>0</v>
      </c>
      <c r="N55" s="100">
        <f t="shared" si="79"/>
        <v>0</v>
      </c>
      <c r="O55" s="100">
        <f t="shared" si="79"/>
        <v>0</v>
      </c>
      <c r="P55" s="100">
        <f t="shared" si="79"/>
        <v>0</v>
      </c>
      <c r="Q55" s="100">
        <f t="shared" si="79"/>
        <v>0</v>
      </c>
      <c r="R55" s="100">
        <f t="shared" si="79"/>
        <v>0</v>
      </c>
      <c r="S55" s="100">
        <f t="shared" si="79"/>
        <v>0</v>
      </c>
      <c r="T55" s="100">
        <f t="shared" si="79"/>
        <v>0</v>
      </c>
      <c r="U55" s="100">
        <f t="shared" si="79"/>
        <v>0</v>
      </c>
      <c r="V55" s="100">
        <f t="shared" si="79"/>
        <v>0</v>
      </c>
      <c r="W55" s="100">
        <f t="shared" si="79"/>
        <v>0</v>
      </c>
      <c r="X55" s="100">
        <f t="shared" si="79"/>
        <v>0</v>
      </c>
      <c r="Y55" s="100">
        <f t="shared" si="79"/>
        <v>0</v>
      </c>
      <c r="Z55" s="100">
        <f t="shared" si="79"/>
        <v>0</v>
      </c>
      <c r="AA55" s="100">
        <f t="shared" si="79"/>
        <v>0</v>
      </c>
      <c r="AB55" s="100">
        <f t="shared" si="79"/>
        <v>0</v>
      </c>
      <c r="AC55" s="100">
        <f t="shared" si="79"/>
        <v>0</v>
      </c>
      <c r="AD55" s="100">
        <f t="shared" si="79"/>
        <v>0</v>
      </c>
      <c r="AE55" s="100">
        <f t="shared" si="79"/>
        <v>0</v>
      </c>
      <c r="AF55" s="100">
        <f t="shared" si="79"/>
        <v>0</v>
      </c>
      <c r="AG55" s="100">
        <f t="shared" si="79"/>
        <v>0</v>
      </c>
      <c r="AH55" s="100">
        <f t="shared" si="79"/>
        <v>0</v>
      </c>
      <c r="AI55" s="100">
        <f t="shared" ref="AI55:AZ55" si="80">IFERROR($B55/AI24,0)</f>
        <v>0</v>
      </c>
      <c r="AJ55" s="100">
        <f t="shared" si="80"/>
        <v>0</v>
      </c>
      <c r="AK55" s="100">
        <f t="shared" si="80"/>
        <v>0</v>
      </c>
      <c r="AL55" s="100">
        <f t="shared" si="80"/>
        <v>0</v>
      </c>
      <c r="AM55" s="100">
        <f t="shared" si="80"/>
        <v>0</v>
      </c>
      <c r="AN55" s="100">
        <f t="shared" si="80"/>
        <v>0</v>
      </c>
      <c r="AO55" s="100">
        <f t="shared" si="80"/>
        <v>0</v>
      </c>
      <c r="AP55" s="100">
        <f t="shared" si="80"/>
        <v>0</v>
      </c>
      <c r="AQ55" s="100">
        <f t="shared" si="80"/>
        <v>0</v>
      </c>
      <c r="AR55" s="100">
        <f t="shared" si="80"/>
        <v>0</v>
      </c>
      <c r="AS55" s="100">
        <f t="shared" si="80"/>
        <v>0</v>
      </c>
      <c r="AT55" s="100">
        <f t="shared" si="80"/>
        <v>0</v>
      </c>
      <c r="AU55" s="100">
        <f t="shared" si="80"/>
        <v>0</v>
      </c>
      <c r="AV55" s="100">
        <f t="shared" si="80"/>
        <v>0</v>
      </c>
      <c r="AW55" s="100">
        <f t="shared" si="80"/>
        <v>0</v>
      </c>
      <c r="AX55" s="100">
        <f t="shared" si="80"/>
        <v>0</v>
      </c>
      <c r="AY55" s="100">
        <f t="shared" si="80"/>
        <v>0</v>
      </c>
      <c r="AZ55" s="100">
        <f t="shared" si="80"/>
        <v>0</v>
      </c>
    </row>
    <row r="56" spans="1:52" x14ac:dyDescent="0.25">
      <c r="A56" s="195" t="s">
        <v>1094</v>
      </c>
      <c r="B56" s="196">
        <v>0.99979000004200003</v>
      </c>
      <c r="C56" s="100">
        <f t="shared" ref="C56:AH56" si="81">IFERROR($B56/C20,0)</f>
        <v>0</v>
      </c>
      <c r="D56" s="100">
        <f t="shared" si="81"/>
        <v>0</v>
      </c>
      <c r="E56" s="100">
        <f t="shared" si="81"/>
        <v>0</v>
      </c>
      <c r="F56" s="100">
        <f t="shared" si="81"/>
        <v>0</v>
      </c>
      <c r="G56" s="100">
        <f t="shared" si="81"/>
        <v>0</v>
      </c>
      <c r="H56" s="100">
        <f t="shared" si="81"/>
        <v>0</v>
      </c>
      <c r="I56" s="100">
        <f t="shared" si="81"/>
        <v>0</v>
      </c>
      <c r="J56" s="100">
        <f t="shared" si="81"/>
        <v>0</v>
      </c>
      <c r="K56" s="100">
        <f t="shared" si="81"/>
        <v>0</v>
      </c>
      <c r="L56" s="100">
        <f t="shared" si="81"/>
        <v>0</v>
      </c>
      <c r="M56" s="100">
        <f t="shared" si="81"/>
        <v>0</v>
      </c>
      <c r="N56" s="100">
        <f t="shared" si="81"/>
        <v>0</v>
      </c>
      <c r="O56" s="100">
        <f t="shared" si="81"/>
        <v>0</v>
      </c>
      <c r="P56" s="100">
        <f t="shared" si="81"/>
        <v>0</v>
      </c>
      <c r="Q56" s="100">
        <f t="shared" si="81"/>
        <v>0</v>
      </c>
      <c r="R56" s="100">
        <f t="shared" si="81"/>
        <v>0</v>
      </c>
      <c r="S56" s="100">
        <f t="shared" si="81"/>
        <v>0</v>
      </c>
      <c r="T56" s="100">
        <f t="shared" si="81"/>
        <v>0</v>
      </c>
      <c r="U56" s="100">
        <f t="shared" si="81"/>
        <v>0</v>
      </c>
      <c r="V56" s="100">
        <f t="shared" si="81"/>
        <v>0</v>
      </c>
      <c r="W56" s="100">
        <f t="shared" si="81"/>
        <v>0</v>
      </c>
      <c r="X56" s="100">
        <f t="shared" si="81"/>
        <v>0</v>
      </c>
      <c r="Y56" s="100">
        <f t="shared" si="81"/>
        <v>0</v>
      </c>
      <c r="Z56" s="100">
        <f t="shared" si="81"/>
        <v>0</v>
      </c>
      <c r="AA56" s="100">
        <f t="shared" si="81"/>
        <v>0</v>
      </c>
      <c r="AB56" s="100">
        <f t="shared" si="81"/>
        <v>0</v>
      </c>
      <c r="AC56" s="100">
        <f t="shared" si="81"/>
        <v>0</v>
      </c>
      <c r="AD56" s="100">
        <f t="shared" si="81"/>
        <v>0</v>
      </c>
      <c r="AE56" s="100">
        <f t="shared" si="81"/>
        <v>0</v>
      </c>
      <c r="AF56" s="100">
        <f t="shared" si="81"/>
        <v>0</v>
      </c>
      <c r="AG56" s="100">
        <f t="shared" si="81"/>
        <v>0</v>
      </c>
      <c r="AH56" s="100">
        <f t="shared" si="81"/>
        <v>0</v>
      </c>
      <c r="AI56" s="100">
        <f t="shared" ref="AI56:AZ56" si="82">IFERROR($B56/AI20,0)</f>
        <v>0</v>
      </c>
      <c r="AJ56" s="100">
        <f t="shared" si="82"/>
        <v>0</v>
      </c>
      <c r="AK56" s="100">
        <f t="shared" si="82"/>
        <v>0</v>
      </c>
      <c r="AL56" s="100">
        <f t="shared" si="82"/>
        <v>0</v>
      </c>
      <c r="AM56" s="100">
        <f t="shared" si="82"/>
        <v>0</v>
      </c>
      <c r="AN56" s="100">
        <f t="shared" si="82"/>
        <v>0</v>
      </c>
      <c r="AO56" s="100">
        <f t="shared" si="82"/>
        <v>0</v>
      </c>
      <c r="AP56" s="100">
        <f t="shared" si="82"/>
        <v>0</v>
      </c>
      <c r="AQ56" s="100">
        <f t="shared" si="82"/>
        <v>0</v>
      </c>
      <c r="AR56" s="100">
        <f t="shared" si="82"/>
        <v>0</v>
      </c>
      <c r="AS56" s="100">
        <f t="shared" si="82"/>
        <v>0</v>
      </c>
      <c r="AT56" s="100">
        <f t="shared" si="82"/>
        <v>0</v>
      </c>
      <c r="AU56" s="100">
        <f t="shared" si="82"/>
        <v>0</v>
      </c>
      <c r="AV56" s="100">
        <f t="shared" si="82"/>
        <v>0</v>
      </c>
      <c r="AW56" s="100">
        <f t="shared" si="82"/>
        <v>0</v>
      </c>
      <c r="AX56" s="100">
        <f t="shared" si="82"/>
        <v>0</v>
      </c>
      <c r="AY56" s="100">
        <f t="shared" si="82"/>
        <v>0</v>
      </c>
      <c r="AZ56" s="100">
        <f t="shared" si="82"/>
        <v>0</v>
      </c>
    </row>
    <row r="57" spans="1:52" x14ac:dyDescent="0.25">
      <c r="A57" s="195" t="s">
        <v>1095</v>
      </c>
      <c r="B57" s="196">
        <v>2.0999995799999999E-4</v>
      </c>
      <c r="C57" s="100">
        <f t="shared" ref="C57:AH57" si="83">IFERROR($B57/C29,0)</f>
        <v>0</v>
      </c>
      <c r="D57" s="100">
        <f t="shared" si="83"/>
        <v>0</v>
      </c>
      <c r="E57" s="100">
        <f t="shared" si="83"/>
        <v>0</v>
      </c>
      <c r="F57" s="100">
        <f t="shared" si="83"/>
        <v>0</v>
      </c>
      <c r="G57" s="100">
        <f t="shared" si="83"/>
        <v>0</v>
      </c>
      <c r="H57" s="100">
        <f t="shared" si="83"/>
        <v>0</v>
      </c>
      <c r="I57" s="100">
        <f t="shared" si="83"/>
        <v>0</v>
      </c>
      <c r="J57" s="100">
        <f t="shared" si="83"/>
        <v>0</v>
      </c>
      <c r="K57" s="100">
        <f t="shared" si="83"/>
        <v>0</v>
      </c>
      <c r="L57" s="100">
        <f t="shared" si="83"/>
        <v>0</v>
      </c>
      <c r="M57" s="100">
        <f t="shared" si="83"/>
        <v>0</v>
      </c>
      <c r="N57" s="100">
        <f t="shared" si="83"/>
        <v>0</v>
      </c>
      <c r="O57" s="100">
        <f t="shared" si="83"/>
        <v>0</v>
      </c>
      <c r="P57" s="100">
        <f t="shared" si="83"/>
        <v>0</v>
      </c>
      <c r="Q57" s="100">
        <f t="shared" si="83"/>
        <v>0</v>
      </c>
      <c r="R57" s="100">
        <f t="shared" si="83"/>
        <v>0</v>
      </c>
      <c r="S57" s="100">
        <f t="shared" si="83"/>
        <v>0</v>
      </c>
      <c r="T57" s="100">
        <f t="shared" si="83"/>
        <v>0</v>
      </c>
      <c r="U57" s="100">
        <f t="shared" si="83"/>
        <v>0</v>
      </c>
      <c r="V57" s="100">
        <f t="shared" si="83"/>
        <v>0</v>
      </c>
      <c r="W57" s="100">
        <f t="shared" si="83"/>
        <v>0</v>
      </c>
      <c r="X57" s="100">
        <f t="shared" si="83"/>
        <v>0</v>
      </c>
      <c r="Y57" s="100">
        <f t="shared" si="83"/>
        <v>0</v>
      </c>
      <c r="Z57" s="100">
        <f t="shared" si="83"/>
        <v>0</v>
      </c>
      <c r="AA57" s="100">
        <f t="shared" si="83"/>
        <v>0</v>
      </c>
      <c r="AB57" s="100">
        <f t="shared" si="83"/>
        <v>0</v>
      </c>
      <c r="AC57" s="100">
        <f t="shared" si="83"/>
        <v>0</v>
      </c>
      <c r="AD57" s="100">
        <f t="shared" si="83"/>
        <v>0</v>
      </c>
      <c r="AE57" s="100">
        <f t="shared" si="83"/>
        <v>0</v>
      </c>
      <c r="AF57" s="100">
        <f t="shared" si="83"/>
        <v>0</v>
      </c>
      <c r="AG57" s="100">
        <f t="shared" si="83"/>
        <v>0</v>
      </c>
      <c r="AH57" s="100">
        <f t="shared" si="83"/>
        <v>0</v>
      </c>
      <c r="AI57" s="100">
        <f t="shared" ref="AI57:AZ57" si="84">IFERROR($B57/AI29,0)</f>
        <v>0</v>
      </c>
      <c r="AJ57" s="100">
        <f t="shared" si="84"/>
        <v>0</v>
      </c>
      <c r="AK57" s="100">
        <f t="shared" si="84"/>
        <v>0</v>
      </c>
      <c r="AL57" s="100">
        <f t="shared" si="84"/>
        <v>0</v>
      </c>
      <c r="AM57" s="100">
        <f t="shared" si="84"/>
        <v>0</v>
      </c>
      <c r="AN57" s="100">
        <f t="shared" si="84"/>
        <v>0</v>
      </c>
      <c r="AO57" s="100">
        <f t="shared" si="84"/>
        <v>0</v>
      </c>
      <c r="AP57" s="100">
        <f t="shared" si="84"/>
        <v>0</v>
      </c>
      <c r="AQ57" s="100">
        <f t="shared" si="84"/>
        <v>0</v>
      </c>
      <c r="AR57" s="100">
        <f t="shared" si="84"/>
        <v>0</v>
      </c>
      <c r="AS57" s="100">
        <f t="shared" si="84"/>
        <v>0</v>
      </c>
      <c r="AT57" s="100">
        <f t="shared" si="84"/>
        <v>0</v>
      </c>
      <c r="AU57" s="100">
        <f t="shared" si="84"/>
        <v>0</v>
      </c>
      <c r="AV57" s="100">
        <f t="shared" si="84"/>
        <v>0</v>
      </c>
      <c r="AW57" s="100">
        <f t="shared" si="84"/>
        <v>0</v>
      </c>
      <c r="AX57" s="100">
        <f t="shared" si="84"/>
        <v>0</v>
      </c>
      <c r="AY57" s="100">
        <f t="shared" si="84"/>
        <v>0</v>
      </c>
      <c r="AZ57" s="100">
        <f t="shared" si="84"/>
        <v>0</v>
      </c>
    </row>
    <row r="58" spans="1:52" x14ac:dyDescent="0.25">
      <c r="A58" s="195" t="s">
        <v>1096</v>
      </c>
      <c r="B58" s="196">
        <v>1</v>
      </c>
      <c r="C58" s="100">
        <f t="shared" ref="C58:AH58" si="85">IFERROR($B58/C16,0)</f>
        <v>60.627303970755385</v>
      </c>
      <c r="D58" s="100">
        <f t="shared" si="85"/>
        <v>3.1460174175107958</v>
      </c>
      <c r="E58" s="100">
        <f t="shared" si="85"/>
        <v>2.298415893900946</v>
      </c>
      <c r="F58" s="100">
        <f t="shared" si="85"/>
        <v>1.2083912184182564</v>
      </c>
      <c r="G58" s="100">
        <f t="shared" si="85"/>
        <v>1.404500130827951</v>
      </c>
      <c r="H58" s="100">
        <f t="shared" si="85"/>
        <v>1.2472481433515732</v>
      </c>
      <c r="I58" s="100">
        <f t="shared" si="85"/>
        <v>5.1327905584596483</v>
      </c>
      <c r="J58" s="100">
        <f t="shared" si="85"/>
        <v>1.0943011068746638</v>
      </c>
      <c r="K58" s="100">
        <f t="shared" si="85"/>
        <v>12.128139882015553</v>
      </c>
      <c r="L58" s="100">
        <f t="shared" si="85"/>
        <v>2.0346874796369536</v>
      </c>
      <c r="M58" s="100">
        <f t="shared" si="85"/>
        <v>3.0991813427372543</v>
      </c>
      <c r="N58" s="100">
        <f t="shared" si="85"/>
        <v>2.2297645919590541</v>
      </c>
      <c r="O58" s="100">
        <f t="shared" si="85"/>
        <v>1.1685855408434815</v>
      </c>
      <c r="P58" s="100">
        <f t="shared" si="85"/>
        <v>1.0948308859843916</v>
      </c>
      <c r="Q58" s="100">
        <f t="shared" si="85"/>
        <v>0.81082304236164893</v>
      </c>
      <c r="R58" s="100">
        <f t="shared" si="85"/>
        <v>4.9191720983619716</v>
      </c>
      <c r="S58" s="100">
        <f t="shared" si="85"/>
        <v>2.3689921188859513</v>
      </c>
      <c r="T58" s="100">
        <f t="shared" si="85"/>
        <v>1.4235111163442948</v>
      </c>
      <c r="U58" s="100">
        <f t="shared" si="85"/>
        <v>4.3714065971593383</v>
      </c>
      <c r="V58" s="100">
        <f t="shared" si="85"/>
        <v>2.6981696539899707</v>
      </c>
      <c r="W58" s="100">
        <f t="shared" si="85"/>
        <v>2.0509675908054437</v>
      </c>
      <c r="X58" s="100">
        <f t="shared" si="85"/>
        <v>1.5854023282806922</v>
      </c>
      <c r="Y58" s="100">
        <f t="shared" si="85"/>
        <v>3.1120052320455591</v>
      </c>
      <c r="Z58" s="100">
        <f t="shared" si="85"/>
        <v>8.4858856268338769</v>
      </c>
      <c r="AA58" s="100">
        <f t="shared" si="85"/>
        <v>11.293189865496418</v>
      </c>
      <c r="AB58" s="100">
        <f t="shared" si="85"/>
        <v>98.533163063594642</v>
      </c>
      <c r="AC58" s="100">
        <f t="shared" si="85"/>
        <v>5.5708525704789533</v>
      </c>
      <c r="AD58" s="100">
        <f t="shared" si="85"/>
        <v>3.7722951769129507</v>
      </c>
      <c r="AE58" s="100">
        <f t="shared" si="85"/>
        <v>2.0260451566294115</v>
      </c>
      <c r="AF58" s="100">
        <f t="shared" si="85"/>
        <v>2.2220597559610642</v>
      </c>
      <c r="AG58" s="100">
        <f t="shared" si="85"/>
        <v>2.2331052897803141</v>
      </c>
      <c r="AH58" s="100">
        <f t="shared" si="85"/>
        <v>7.9914853730939761</v>
      </c>
      <c r="AI58" s="100">
        <f t="shared" ref="AI58:AZ58" si="86">IFERROR($B58/AI16,0)</f>
        <v>1.5661904730749436</v>
      </c>
      <c r="AJ58" s="100">
        <f t="shared" si="86"/>
        <v>19.276098612903429</v>
      </c>
      <c r="AK58" s="100">
        <f t="shared" si="86"/>
        <v>4.5353408849212702</v>
      </c>
      <c r="AL58" s="100">
        <f t="shared" si="86"/>
        <v>3.3876854490707156</v>
      </c>
      <c r="AM58" s="100">
        <f t="shared" si="86"/>
        <v>3.7398605810954106</v>
      </c>
      <c r="AN58" s="100">
        <f t="shared" si="86"/>
        <v>1.9419766987835305</v>
      </c>
      <c r="AO58" s="100">
        <f t="shared" si="86"/>
        <v>1.8228813713480292</v>
      </c>
      <c r="AP58" s="100">
        <f t="shared" si="86"/>
        <v>1.6671127973790913</v>
      </c>
      <c r="AQ58" s="100">
        <f t="shared" si="86"/>
        <v>6.7645213954540369</v>
      </c>
      <c r="AR58" s="100">
        <f t="shared" si="86"/>
        <v>4.1146866311897563</v>
      </c>
      <c r="AS58" s="100">
        <f t="shared" si="86"/>
        <v>1.9757815849770914</v>
      </c>
      <c r="AT58" s="100">
        <f t="shared" si="86"/>
        <v>7.8774387950345357</v>
      </c>
      <c r="AU58" s="100">
        <f t="shared" si="86"/>
        <v>4.2600504031602755</v>
      </c>
      <c r="AV58" s="100">
        <f t="shared" si="86"/>
        <v>3.3160997977284348</v>
      </c>
      <c r="AW58" s="100">
        <f t="shared" si="86"/>
        <v>2.5200281549963837</v>
      </c>
      <c r="AX58" s="100">
        <f t="shared" si="86"/>
        <v>5.951566109621039</v>
      </c>
      <c r="AY58" s="100">
        <f t="shared" si="86"/>
        <v>16.682479698207509</v>
      </c>
      <c r="AZ58" s="100">
        <f t="shared" si="86"/>
        <v>18.166329922709139</v>
      </c>
    </row>
    <row r="59" spans="1:52" x14ac:dyDescent="0.25">
      <c r="A59" s="195" t="s">
        <v>1097</v>
      </c>
      <c r="B59" s="196">
        <v>1</v>
      </c>
      <c r="C59" s="100">
        <f t="shared" ref="C59:AH59" si="87">IFERROR($B59/C7,0)</f>
        <v>1.1366761548320705</v>
      </c>
      <c r="D59" s="100">
        <f t="shared" si="87"/>
        <v>6.2793270926766953E-2</v>
      </c>
      <c r="E59" s="100">
        <f t="shared" si="87"/>
        <v>2.8237745627655676E-2</v>
      </c>
      <c r="F59" s="100">
        <f t="shared" si="87"/>
        <v>2.3090606531025987E-2</v>
      </c>
      <c r="G59" s="100">
        <f t="shared" si="87"/>
        <v>2.803260193577755E-2</v>
      </c>
      <c r="H59" s="100">
        <f t="shared" si="87"/>
        <v>2.3758948613778495E-2</v>
      </c>
      <c r="I59" s="100">
        <f t="shared" si="87"/>
        <v>6.3059250610729672E-2</v>
      </c>
      <c r="J59" s="100">
        <f t="shared" si="87"/>
        <v>2.0913592755686536E-2</v>
      </c>
      <c r="K59" s="100">
        <f t="shared" si="87"/>
        <v>0.2420757911502194</v>
      </c>
      <c r="L59" s="100">
        <f t="shared" si="87"/>
        <v>4.407581281697491E-2</v>
      </c>
      <c r="M59" s="100">
        <f t="shared" si="87"/>
        <v>5.924174886049114E-2</v>
      </c>
      <c r="N59" s="100">
        <f t="shared" si="87"/>
        <v>2.7207992542469805E-2</v>
      </c>
      <c r="O59" s="100">
        <f t="shared" si="87"/>
        <v>2.3968471335500528E-2</v>
      </c>
      <c r="P59" s="100">
        <f t="shared" si="87"/>
        <v>2.0924997156198336E-2</v>
      </c>
      <c r="Q59" s="100">
        <f t="shared" si="87"/>
        <v>1.5495938730527573E-2</v>
      </c>
      <c r="R59" s="100">
        <f t="shared" si="87"/>
        <v>9.8188644486326138E-2</v>
      </c>
      <c r="S59" s="100">
        <f t="shared" si="87"/>
        <v>4.7314266992138955E-2</v>
      </c>
      <c r="T59" s="100">
        <f t="shared" si="87"/>
        <v>2.9654287778123657E-2</v>
      </c>
      <c r="U59" s="100">
        <f t="shared" si="87"/>
        <v>9.4391049594446788E-2</v>
      </c>
      <c r="V59" s="100">
        <f t="shared" si="87"/>
        <v>5.1572953026978556E-2</v>
      </c>
      <c r="W59" s="100">
        <f t="shared" si="87"/>
        <v>4.1864784606085843E-2</v>
      </c>
      <c r="X59" s="100">
        <f t="shared" si="87"/>
        <v>3.1654077170228938E-2</v>
      </c>
      <c r="Y59" s="100">
        <f t="shared" si="87"/>
        <v>5.9159321583939252E-2</v>
      </c>
      <c r="Z59" s="100">
        <f t="shared" si="87"/>
        <v>0.12052554273747326</v>
      </c>
      <c r="AA59" s="100">
        <f t="shared" si="87"/>
        <v>0.15566409906342771</v>
      </c>
      <c r="AB59" s="100">
        <f t="shared" si="87"/>
        <v>1.8521973405410064</v>
      </c>
      <c r="AC59" s="100">
        <f t="shared" si="87"/>
        <v>0.11119202735626958</v>
      </c>
      <c r="AD59" s="100">
        <f t="shared" si="87"/>
        <v>4.6345446844830669E-2</v>
      </c>
      <c r="AE59" s="100">
        <f t="shared" si="87"/>
        <v>3.871478939333698E-2</v>
      </c>
      <c r="AF59" s="100">
        <f t="shared" si="87"/>
        <v>4.4350381498111768E-2</v>
      </c>
      <c r="AG59" s="100">
        <f t="shared" si="87"/>
        <v>4.2538635244207354E-2</v>
      </c>
      <c r="AH59" s="100">
        <f t="shared" si="87"/>
        <v>9.8179941915484112E-2</v>
      </c>
      <c r="AI59" s="100">
        <f t="shared" ref="AI59:AZ59" si="88">IFERROR($B59/AI7,0)</f>
        <v>2.9932044778126117E-2</v>
      </c>
      <c r="AJ59" s="100">
        <f t="shared" si="88"/>
        <v>0.38474793887624298</v>
      </c>
      <c r="AK59" s="100">
        <f t="shared" si="88"/>
        <v>9.8245474012859657E-2</v>
      </c>
      <c r="AL59" s="100">
        <f t="shared" si="88"/>
        <v>6.4756588401158943E-2</v>
      </c>
      <c r="AM59" s="100">
        <f t="shared" si="88"/>
        <v>4.5634458080133181E-2</v>
      </c>
      <c r="AN59" s="100">
        <f t="shared" si="88"/>
        <v>3.9831241455722699E-2</v>
      </c>
      <c r="AO59" s="100">
        <f t="shared" si="88"/>
        <v>3.4839889886051523E-2</v>
      </c>
      <c r="AP59" s="100">
        <f t="shared" si="88"/>
        <v>3.186080860482305E-2</v>
      </c>
      <c r="AQ59" s="100">
        <f t="shared" si="88"/>
        <v>0.13502255524655332</v>
      </c>
      <c r="AR59" s="100">
        <f t="shared" si="88"/>
        <v>8.2179835173385563E-2</v>
      </c>
      <c r="AS59" s="100">
        <f t="shared" si="88"/>
        <v>4.1159071422001516E-2</v>
      </c>
      <c r="AT59" s="100">
        <f t="shared" si="88"/>
        <v>0.17009621490311833</v>
      </c>
      <c r="AU59" s="100">
        <f t="shared" si="88"/>
        <v>8.1426821701094776E-2</v>
      </c>
      <c r="AV59" s="100">
        <f t="shared" si="88"/>
        <v>6.7688931013125439E-2</v>
      </c>
      <c r="AW59" s="100">
        <f t="shared" si="88"/>
        <v>5.0314777685429413E-2</v>
      </c>
      <c r="AX59" s="100">
        <f t="shared" si="88"/>
        <v>0.1131394670489393</v>
      </c>
      <c r="AY59" s="100">
        <f t="shared" si="88"/>
        <v>0.23694226015435083</v>
      </c>
      <c r="AZ59" s="100">
        <f t="shared" si="88"/>
        <v>0.25040271299673234</v>
      </c>
    </row>
    <row r="60" spans="1:52" x14ac:dyDescent="0.25">
      <c r="A60" s="195" t="s">
        <v>1098</v>
      </c>
      <c r="B60" s="199">
        <v>1.9000000000000001E-8</v>
      </c>
      <c r="C60" s="100">
        <f t="shared" ref="C60:AH60" si="89">IFERROR($B60/C12,0)</f>
        <v>0</v>
      </c>
      <c r="D60" s="100">
        <f t="shared" si="89"/>
        <v>0</v>
      </c>
      <c r="E60" s="100">
        <f t="shared" si="89"/>
        <v>0</v>
      </c>
      <c r="F60" s="100">
        <f t="shared" si="89"/>
        <v>0</v>
      </c>
      <c r="G60" s="100">
        <f t="shared" si="89"/>
        <v>0</v>
      </c>
      <c r="H60" s="100">
        <f t="shared" si="89"/>
        <v>0</v>
      </c>
      <c r="I60" s="100">
        <f t="shared" si="89"/>
        <v>0</v>
      </c>
      <c r="J60" s="100">
        <f t="shared" si="89"/>
        <v>0</v>
      </c>
      <c r="K60" s="100">
        <f t="shared" si="89"/>
        <v>0</v>
      </c>
      <c r="L60" s="100">
        <f t="shared" si="89"/>
        <v>0</v>
      </c>
      <c r="M60" s="100">
        <f t="shared" si="89"/>
        <v>0</v>
      </c>
      <c r="N60" s="100">
        <f t="shared" si="89"/>
        <v>0</v>
      </c>
      <c r="O60" s="100">
        <f t="shared" si="89"/>
        <v>0</v>
      </c>
      <c r="P60" s="100">
        <f t="shared" si="89"/>
        <v>0</v>
      </c>
      <c r="Q60" s="100">
        <f t="shared" si="89"/>
        <v>0</v>
      </c>
      <c r="R60" s="100">
        <f t="shared" si="89"/>
        <v>0</v>
      </c>
      <c r="S60" s="100">
        <f t="shared" si="89"/>
        <v>0</v>
      </c>
      <c r="T60" s="100">
        <f t="shared" si="89"/>
        <v>0</v>
      </c>
      <c r="U60" s="100">
        <f t="shared" si="89"/>
        <v>0</v>
      </c>
      <c r="V60" s="100">
        <f t="shared" si="89"/>
        <v>0</v>
      </c>
      <c r="W60" s="100">
        <f t="shared" si="89"/>
        <v>0</v>
      </c>
      <c r="X60" s="100">
        <f t="shared" si="89"/>
        <v>0</v>
      </c>
      <c r="Y60" s="100">
        <f t="shared" si="89"/>
        <v>0</v>
      </c>
      <c r="Z60" s="100">
        <f t="shared" si="89"/>
        <v>0</v>
      </c>
      <c r="AA60" s="100">
        <f t="shared" si="89"/>
        <v>0</v>
      </c>
      <c r="AB60" s="100">
        <f t="shared" si="89"/>
        <v>0</v>
      </c>
      <c r="AC60" s="100">
        <f t="shared" si="89"/>
        <v>0</v>
      </c>
      <c r="AD60" s="100">
        <f t="shared" si="89"/>
        <v>0</v>
      </c>
      <c r="AE60" s="100">
        <f t="shared" si="89"/>
        <v>0</v>
      </c>
      <c r="AF60" s="100">
        <f t="shared" si="89"/>
        <v>0</v>
      </c>
      <c r="AG60" s="100">
        <f t="shared" si="89"/>
        <v>0</v>
      </c>
      <c r="AH60" s="100">
        <f t="shared" si="89"/>
        <v>0</v>
      </c>
      <c r="AI60" s="100">
        <f t="shared" ref="AI60:AZ60" si="90">IFERROR($B60/AI12,0)</f>
        <v>0</v>
      </c>
      <c r="AJ60" s="100">
        <f t="shared" si="90"/>
        <v>0</v>
      </c>
      <c r="AK60" s="100">
        <f t="shared" si="90"/>
        <v>0</v>
      </c>
      <c r="AL60" s="100">
        <f t="shared" si="90"/>
        <v>0</v>
      </c>
      <c r="AM60" s="100">
        <f t="shared" si="90"/>
        <v>0</v>
      </c>
      <c r="AN60" s="100">
        <f t="shared" si="90"/>
        <v>0</v>
      </c>
      <c r="AO60" s="100">
        <f t="shared" si="90"/>
        <v>0</v>
      </c>
      <c r="AP60" s="100">
        <f t="shared" si="90"/>
        <v>0</v>
      </c>
      <c r="AQ60" s="100">
        <f t="shared" si="90"/>
        <v>0</v>
      </c>
      <c r="AR60" s="100">
        <f t="shared" si="90"/>
        <v>0</v>
      </c>
      <c r="AS60" s="100">
        <f t="shared" si="90"/>
        <v>0</v>
      </c>
      <c r="AT60" s="100">
        <f t="shared" si="90"/>
        <v>0</v>
      </c>
      <c r="AU60" s="100">
        <f t="shared" si="90"/>
        <v>0</v>
      </c>
      <c r="AV60" s="100">
        <f t="shared" si="90"/>
        <v>0</v>
      </c>
      <c r="AW60" s="100">
        <f t="shared" si="90"/>
        <v>0</v>
      </c>
      <c r="AX60" s="100">
        <f t="shared" si="90"/>
        <v>0</v>
      </c>
      <c r="AY60" s="100">
        <f t="shared" si="90"/>
        <v>0</v>
      </c>
      <c r="AZ60" s="100">
        <f t="shared" si="90"/>
        <v>0</v>
      </c>
    </row>
    <row r="61" spans="1:52" x14ac:dyDescent="0.25">
      <c r="A61" s="195" t="s">
        <v>1099</v>
      </c>
      <c r="B61" s="196">
        <v>1</v>
      </c>
      <c r="C61" s="100">
        <f t="shared" ref="C61:AH61" si="91">IFERROR($B61/C18,0)</f>
        <v>100.96047485405327</v>
      </c>
      <c r="D61" s="100">
        <f t="shared" si="91"/>
        <v>5.498003626855116</v>
      </c>
      <c r="E61" s="100">
        <f t="shared" si="91"/>
        <v>2.6456068494753331</v>
      </c>
      <c r="F61" s="100">
        <f t="shared" si="91"/>
        <v>2.132266263686446</v>
      </c>
      <c r="G61" s="100">
        <f t="shared" si="91"/>
        <v>2.4545275541141303</v>
      </c>
      <c r="H61" s="100">
        <f t="shared" si="91"/>
        <v>2.0887724531525032</v>
      </c>
      <c r="I61" s="100">
        <f t="shared" si="91"/>
        <v>5.9086928261126319</v>
      </c>
      <c r="J61" s="100">
        <f t="shared" si="91"/>
        <v>1.93089086762644</v>
      </c>
      <c r="K61" s="100">
        <f t="shared" si="91"/>
        <v>21.195173807287333</v>
      </c>
      <c r="L61" s="100">
        <f t="shared" si="91"/>
        <v>3.8603852961705458</v>
      </c>
      <c r="M61" s="100">
        <f t="shared" si="91"/>
        <v>5.1840339129081894</v>
      </c>
      <c r="N61" s="100">
        <f t="shared" si="91"/>
        <v>2.6836006442827229</v>
      </c>
      <c r="O61" s="100">
        <f t="shared" si="91"/>
        <v>2.1365619266758076</v>
      </c>
      <c r="P61" s="100">
        <f t="shared" si="91"/>
        <v>1.8314261229406936</v>
      </c>
      <c r="Q61" s="100">
        <f t="shared" si="91"/>
        <v>1.3563681611961751</v>
      </c>
      <c r="R61" s="100">
        <f t="shared" si="91"/>
        <v>8.5967085098378568</v>
      </c>
      <c r="S61" s="100">
        <f t="shared" si="91"/>
        <v>4.139501041356878</v>
      </c>
      <c r="T61" s="100">
        <f t="shared" si="91"/>
        <v>2.5984496911759143</v>
      </c>
      <c r="U61" s="100">
        <f t="shared" si="91"/>
        <v>8.4686192975154473</v>
      </c>
      <c r="V61" s="100">
        <f t="shared" si="91"/>
        <v>4.5133580084723857</v>
      </c>
      <c r="W61" s="100">
        <f t="shared" si="91"/>
        <v>3.7517046197069357</v>
      </c>
      <c r="X61" s="100">
        <f t="shared" si="91"/>
        <v>2.770471288210695</v>
      </c>
      <c r="Y61" s="100">
        <f t="shared" si="91"/>
        <v>5.2153520852930804</v>
      </c>
      <c r="Z61" s="100">
        <f t="shared" si="91"/>
        <v>16.837761608925199</v>
      </c>
      <c r="AA61" s="100">
        <f t="shared" si="91"/>
        <v>20.98626013948348</v>
      </c>
      <c r="AB61" s="100">
        <f t="shared" si="91"/>
        <v>164.53574961058493</v>
      </c>
      <c r="AC61" s="100">
        <f t="shared" si="91"/>
        <v>9.7356637209600976</v>
      </c>
      <c r="AD61" s="100">
        <f t="shared" si="91"/>
        <v>4.3421253676353881</v>
      </c>
      <c r="AE61" s="100">
        <f t="shared" si="91"/>
        <v>3.5750572085760766</v>
      </c>
      <c r="AF61" s="100">
        <f t="shared" si="91"/>
        <v>3.8833082163398331</v>
      </c>
      <c r="AG61" s="100">
        <f t="shared" si="91"/>
        <v>3.7397921489368362</v>
      </c>
      <c r="AH61" s="100">
        <f t="shared" si="91"/>
        <v>9.1995244606580844</v>
      </c>
      <c r="AI61" s="100">
        <f t="shared" ref="AI61:AZ61" si="92">IFERROR($B61/AI18,0)</f>
        <v>2.7635381728351982</v>
      </c>
      <c r="AJ61" s="100">
        <f t="shared" si="92"/>
        <v>33.686968026542949</v>
      </c>
      <c r="AK61" s="100">
        <f t="shared" si="92"/>
        <v>8.6048415004721708</v>
      </c>
      <c r="AL61" s="100">
        <f t="shared" si="92"/>
        <v>5.6666178297063521</v>
      </c>
      <c r="AM61" s="100">
        <f t="shared" si="92"/>
        <v>4.5010546409912244</v>
      </c>
      <c r="AN61" s="100">
        <f t="shared" si="92"/>
        <v>3.5505774563303429</v>
      </c>
      <c r="AO61" s="100">
        <f t="shared" si="92"/>
        <v>3.0493043311497621</v>
      </c>
      <c r="AP61" s="100">
        <f t="shared" si="92"/>
        <v>2.7887943501229766</v>
      </c>
      <c r="AQ61" s="100">
        <f t="shared" si="92"/>
        <v>11.821627193048222</v>
      </c>
      <c r="AR61" s="100">
        <f t="shared" si="92"/>
        <v>7.1898717850851632</v>
      </c>
      <c r="AS61" s="100">
        <f t="shared" si="92"/>
        <v>3.6065535353874001</v>
      </c>
      <c r="AT61" s="100">
        <f t="shared" si="92"/>
        <v>15.26076989451793</v>
      </c>
      <c r="AU61" s="100">
        <f t="shared" si="92"/>
        <v>7.1259909750919288</v>
      </c>
      <c r="AV61" s="100">
        <f t="shared" si="92"/>
        <v>6.065930532652267</v>
      </c>
      <c r="AW61" s="100">
        <f t="shared" si="92"/>
        <v>4.4037185541864323</v>
      </c>
      <c r="AX61" s="100">
        <f t="shared" si="92"/>
        <v>9.9741197093582823</v>
      </c>
      <c r="AY61" s="100">
        <f t="shared" si="92"/>
        <v>33.101508617546131</v>
      </c>
      <c r="AZ61" s="100">
        <f t="shared" si="92"/>
        <v>33.758692634970444</v>
      </c>
    </row>
    <row r="62" spans="1:52" x14ac:dyDescent="0.25">
      <c r="A62" s="195" t="s">
        <v>1100</v>
      </c>
      <c r="B62" s="196">
        <v>1.339E-6</v>
      </c>
      <c r="C62" s="100">
        <f t="shared" ref="C62:AH62" si="93">IFERROR($B62/C27,0)</f>
        <v>0</v>
      </c>
      <c r="D62" s="100">
        <f t="shared" si="93"/>
        <v>0</v>
      </c>
      <c r="E62" s="100">
        <f t="shared" si="93"/>
        <v>0</v>
      </c>
      <c r="F62" s="100">
        <f t="shared" si="93"/>
        <v>0</v>
      </c>
      <c r="G62" s="100">
        <f t="shared" si="93"/>
        <v>0</v>
      </c>
      <c r="H62" s="100">
        <f t="shared" si="93"/>
        <v>0</v>
      </c>
      <c r="I62" s="100">
        <f t="shared" si="93"/>
        <v>0</v>
      </c>
      <c r="J62" s="100">
        <f t="shared" si="93"/>
        <v>0</v>
      </c>
      <c r="K62" s="100">
        <f t="shared" si="93"/>
        <v>0</v>
      </c>
      <c r="L62" s="100">
        <f t="shared" si="93"/>
        <v>0</v>
      </c>
      <c r="M62" s="100">
        <f t="shared" si="93"/>
        <v>0</v>
      </c>
      <c r="N62" s="100">
        <f t="shared" si="93"/>
        <v>0</v>
      </c>
      <c r="O62" s="100">
        <f t="shared" si="93"/>
        <v>0</v>
      </c>
      <c r="P62" s="100">
        <f t="shared" si="93"/>
        <v>0</v>
      </c>
      <c r="Q62" s="100">
        <f t="shared" si="93"/>
        <v>0</v>
      </c>
      <c r="R62" s="100">
        <f t="shared" si="93"/>
        <v>0</v>
      </c>
      <c r="S62" s="100">
        <f t="shared" si="93"/>
        <v>0</v>
      </c>
      <c r="T62" s="100">
        <f t="shared" si="93"/>
        <v>0</v>
      </c>
      <c r="U62" s="100">
        <f t="shared" si="93"/>
        <v>0</v>
      </c>
      <c r="V62" s="100">
        <f t="shared" si="93"/>
        <v>0</v>
      </c>
      <c r="W62" s="100">
        <f t="shared" si="93"/>
        <v>0</v>
      </c>
      <c r="X62" s="100">
        <f t="shared" si="93"/>
        <v>0</v>
      </c>
      <c r="Y62" s="100">
        <f t="shared" si="93"/>
        <v>0</v>
      </c>
      <c r="Z62" s="100">
        <f t="shared" si="93"/>
        <v>0</v>
      </c>
      <c r="AA62" s="100">
        <f t="shared" si="93"/>
        <v>0</v>
      </c>
      <c r="AB62" s="100">
        <f t="shared" si="93"/>
        <v>0</v>
      </c>
      <c r="AC62" s="100">
        <f t="shared" si="93"/>
        <v>0</v>
      </c>
      <c r="AD62" s="100">
        <f t="shared" si="93"/>
        <v>0</v>
      </c>
      <c r="AE62" s="100">
        <f t="shared" si="93"/>
        <v>0</v>
      </c>
      <c r="AF62" s="100">
        <f t="shared" si="93"/>
        <v>0</v>
      </c>
      <c r="AG62" s="100">
        <f t="shared" si="93"/>
        <v>0</v>
      </c>
      <c r="AH62" s="100">
        <f t="shared" si="93"/>
        <v>0</v>
      </c>
      <c r="AI62" s="100">
        <f t="shared" ref="AI62:AZ62" si="94">IFERROR($B62/AI27,0)</f>
        <v>0</v>
      </c>
      <c r="AJ62" s="100">
        <f t="shared" si="94"/>
        <v>0</v>
      </c>
      <c r="AK62" s="100">
        <f t="shared" si="94"/>
        <v>0</v>
      </c>
      <c r="AL62" s="100">
        <f t="shared" si="94"/>
        <v>0</v>
      </c>
      <c r="AM62" s="100">
        <f t="shared" si="94"/>
        <v>0</v>
      </c>
      <c r="AN62" s="100">
        <f t="shared" si="94"/>
        <v>0</v>
      </c>
      <c r="AO62" s="100">
        <f t="shared" si="94"/>
        <v>0</v>
      </c>
      <c r="AP62" s="100">
        <f t="shared" si="94"/>
        <v>0</v>
      </c>
      <c r="AQ62" s="100">
        <f t="shared" si="94"/>
        <v>0</v>
      </c>
      <c r="AR62" s="100">
        <f t="shared" si="94"/>
        <v>0</v>
      </c>
      <c r="AS62" s="100">
        <f t="shared" si="94"/>
        <v>0</v>
      </c>
      <c r="AT62" s="100">
        <f t="shared" si="94"/>
        <v>0</v>
      </c>
      <c r="AU62" s="100">
        <f t="shared" si="94"/>
        <v>0</v>
      </c>
      <c r="AV62" s="100">
        <f t="shared" si="94"/>
        <v>0</v>
      </c>
      <c r="AW62" s="100">
        <f t="shared" si="94"/>
        <v>0</v>
      </c>
      <c r="AX62" s="100">
        <f t="shared" si="94"/>
        <v>0</v>
      </c>
      <c r="AY62" s="100">
        <f t="shared" si="94"/>
        <v>0</v>
      </c>
      <c r="AZ62" s="100">
        <f t="shared" si="94"/>
        <v>0</v>
      </c>
    </row>
    <row r="63" spans="1:52" x14ac:dyDescent="0.25">
      <c r="A63" s="95" t="s">
        <v>35</v>
      </c>
      <c r="B63" s="95" t="s">
        <v>1074</v>
      </c>
      <c r="C63" s="96">
        <f t="shared" ref="C63" si="95">IFERROR(1/SUM(1/D63,1/E63,1/F63,1/G63,1/H63,1/I63,1/J63,1/K63,1/L63,1/M63,1/N63,1/O63,1/P63,1/Q63,1/R63,1/S63,1/T63,1/U63,1/V63,1/W63,1/X63,1/Y63),".")</f>
        <v>6.1435409330306947E-3</v>
      </c>
      <c r="D63" s="96">
        <f t="shared" ref="D63:AA63" si="96">IFERROR(1/SUM(D64:D76),0)</f>
        <v>0.11481861552447949</v>
      </c>
      <c r="E63" s="96">
        <f t="shared" si="96"/>
        <v>0.20105423532787131</v>
      </c>
      <c r="F63" s="96">
        <f t="shared" si="96"/>
        <v>0.29720189245322925</v>
      </c>
      <c r="G63" s="96">
        <f t="shared" si="96"/>
        <v>0.25718777068974935</v>
      </c>
      <c r="H63" s="96">
        <f t="shared" si="96"/>
        <v>0.29755022147880272</v>
      </c>
      <c r="I63" s="96">
        <f t="shared" si="96"/>
        <v>9.0025684114415444E-2</v>
      </c>
      <c r="J63" s="96">
        <f t="shared" si="96"/>
        <v>0.32819357367643903</v>
      </c>
      <c r="K63" s="96">
        <f t="shared" si="96"/>
        <v>2.9783785577359168E-2</v>
      </c>
      <c r="L63" s="96">
        <f t="shared" si="96"/>
        <v>0.16832510650072471</v>
      </c>
      <c r="M63" s="96">
        <f t="shared" si="96"/>
        <v>0.11983309402585668</v>
      </c>
      <c r="N63" s="96">
        <f t="shared" si="96"/>
        <v>0.20234535244127805</v>
      </c>
      <c r="O63" s="96">
        <f t="shared" si="96"/>
        <v>0.3002925934809394</v>
      </c>
      <c r="P63" s="96">
        <f t="shared" si="96"/>
        <v>0.33920621876316748</v>
      </c>
      <c r="Q63" s="96">
        <f t="shared" si="96"/>
        <v>0.45801455349266257</v>
      </c>
      <c r="R63" s="96">
        <f t="shared" si="96"/>
        <v>7.3431707993210762E-2</v>
      </c>
      <c r="S63" s="96">
        <f t="shared" si="96"/>
        <v>0.15249139921689625</v>
      </c>
      <c r="T63" s="96">
        <f t="shared" si="96"/>
        <v>0.2467426618807424</v>
      </c>
      <c r="U63" s="96">
        <f t="shared" si="96"/>
        <v>7.7290862133616078E-2</v>
      </c>
      <c r="V63" s="96">
        <f t="shared" si="96"/>
        <v>0.13764127758967118</v>
      </c>
      <c r="W63" s="96">
        <f t="shared" si="96"/>
        <v>0.17105027238824269</v>
      </c>
      <c r="X63" s="96">
        <f t="shared" si="96"/>
        <v>0.22785139520185319</v>
      </c>
      <c r="Y63" s="96">
        <f t="shared" si="96"/>
        <v>0.11920367074554787</v>
      </c>
      <c r="Z63" s="96">
        <f t="shared" si="96"/>
        <v>3.9292541160015022E-2</v>
      </c>
      <c r="AA63" s="96">
        <f t="shared" si="96"/>
        <v>3.0823350720888928E-2</v>
      </c>
      <c r="AB63" s="96">
        <f t="shared" ref="AB63" si="97">IFERROR(1/SUM(1/AC63,1/AD63,1/AE63,1/AF63,1/AG63,1/AH63,1/AI63,1/AJ63,1/AK63,1/AL63,1/AM63,1/AN63,1/AO63,1/AP63,1/AQ63,1/AR63,1/AS63,1/AT63,1/AU63,1/AV63,1/AW63,1/AX63),".")</f>
        <v>3.773593156421918E-3</v>
      </c>
      <c r="AC63" s="96">
        <f t="shared" ref="AC63:AZ63" si="98">IFERROR(1/SUM(AC64:AC76),0)</f>
        <v>6.4841307452412442E-2</v>
      </c>
      <c r="AD63" s="96">
        <f t="shared" si="98"/>
        <v>0.12250002408131913</v>
      </c>
      <c r="AE63" s="96">
        <f t="shared" si="98"/>
        <v>0.17725970014174747</v>
      </c>
      <c r="AF63" s="96">
        <f t="shared" si="98"/>
        <v>0.16256100071659432</v>
      </c>
      <c r="AG63" s="96">
        <f t="shared" si="98"/>
        <v>0.16618963870252423</v>
      </c>
      <c r="AH63" s="96">
        <f t="shared" si="98"/>
        <v>5.7821914183450798E-2</v>
      </c>
      <c r="AI63" s="96">
        <f t="shared" si="98"/>
        <v>0.2293096511040349</v>
      </c>
      <c r="AJ63" s="96">
        <f t="shared" si="98"/>
        <v>1.8739368632217274E-2</v>
      </c>
      <c r="AK63" s="96">
        <f t="shared" si="98"/>
        <v>7.5515599686070051E-2</v>
      </c>
      <c r="AL63" s="96">
        <f t="shared" si="98"/>
        <v>0.1096277959777197</v>
      </c>
      <c r="AM63" s="96">
        <f t="shared" si="98"/>
        <v>0.12064152992807162</v>
      </c>
      <c r="AN63" s="96">
        <f t="shared" si="98"/>
        <v>0.18070123240100291</v>
      </c>
      <c r="AO63" s="96">
        <f t="shared" si="98"/>
        <v>0.20372880586588121</v>
      </c>
      <c r="AP63" s="96">
        <f t="shared" si="98"/>
        <v>0.22276162374415862</v>
      </c>
      <c r="AQ63" s="96">
        <f t="shared" si="98"/>
        <v>5.3399669832963959E-2</v>
      </c>
      <c r="AR63" s="96">
        <f t="shared" si="98"/>
        <v>8.7795488532321914E-2</v>
      </c>
      <c r="AS63" s="96">
        <f t="shared" si="98"/>
        <v>0.1777731530318373</v>
      </c>
      <c r="AT63" s="96">
        <f t="shared" si="98"/>
        <v>4.2890816853314688E-2</v>
      </c>
      <c r="AU63" s="96">
        <f t="shared" si="98"/>
        <v>8.7177259229927515E-2</v>
      </c>
      <c r="AV63" s="96">
        <f t="shared" si="98"/>
        <v>0.10579252328504821</v>
      </c>
      <c r="AW63" s="96">
        <f t="shared" si="98"/>
        <v>0.14334607005830874</v>
      </c>
      <c r="AX63" s="96">
        <f t="shared" si="98"/>
        <v>6.23302237102768E-2</v>
      </c>
      <c r="AY63" s="96">
        <f t="shared" si="98"/>
        <v>1.9986957353071221E-2</v>
      </c>
      <c r="AZ63" s="96">
        <f t="shared" si="98"/>
        <v>1.9161490155842852E-2</v>
      </c>
    </row>
    <row r="64" spans="1:52" x14ac:dyDescent="0.25">
      <c r="A64" s="195" t="s">
        <v>1090</v>
      </c>
      <c r="B64" s="196">
        <v>1</v>
      </c>
      <c r="C64" s="100">
        <f t="shared" ref="C64:AH64" si="99">IFERROR($B64/C25,0)</f>
        <v>0</v>
      </c>
      <c r="D64" s="100">
        <f t="shared" si="99"/>
        <v>0</v>
      </c>
      <c r="E64" s="100">
        <f t="shared" si="99"/>
        <v>0</v>
      </c>
      <c r="F64" s="100">
        <f t="shared" si="99"/>
        <v>0</v>
      </c>
      <c r="G64" s="100">
        <f t="shared" si="99"/>
        <v>0</v>
      </c>
      <c r="H64" s="100">
        <f t="shared" si="99"/>
        <v>0</v>
      </c>
      <c r="I64" s="100">
        <f t="shared" si="99"/>
        <v>0</v>
      </c>
      <c r="J64" s="100">
        <f t="shared" si="99"/>
        <v>0</v>
      </c>
      <c r="K64" s="100">
        <f t="shared" si="99"/>
        <v>0</v>
      </c>
      <c r="L64" s="100">
        <f t="shared" si="99"/>
        <v>0</v>
      </c>
      <c r="M64" s="100">
        <f t="shared" si="99"/>
        <v>0</v>
      </c>
      <c r="N64" s="100">
        <f t="shared" si="99"/>
        <v>0</v>
      </c>
      <c r="O64" s="100">
        <f t="shared" si="99"/>
        <v>0</v>
      </c>
      <c r="P64" s="100">
        <f t="shared" si="99"/>
        <v>0</v>
      </c>
      <c r="Q64" s="100">
        <f t="shared" si="99"/>
        <v>0</v>
      </c>
      <c r="R64" s="100">
        <f t="shared" si="99"/>
        <v>0</v>
      </c>
      <c r="S64" s="100">
        <f t="shared" si="99"/>
        <v>0</v>
      </c>
      <c r="T64" s="100">
        <f t="shared" si="99"/>
        <v>0</v>
      </c>
      <c r="U64" s="100">
        <f t="shared" si="99"/>
        <v>0</v>
      </c>
      <c r="V64" s="100">
        <f t="shared" si="99"/>
        <v>0</v>
      </c>
      <c r="W64" s="100">
        <f t="shared" si="99"/>
        <v>0</v>
      </c>
      <c r="X64" s="100">
        <f t="shared" si="99"/>
        <v>0</v>
      </c>
      <c r="Y64" s="100">
        <f t="shared" si="99"/>
        <v>0</v>
      </c>
      <c r="Z64" s="100">
        <f t="shared" si="99"/>
        <v>0</v>
      </c>
      <c r="AA64" s="100">
        <f t="shared" si="99"/>
        <v>0</v>
      </c>
      <c r="AB64" s="100">
        <f t="shared" si="99"/>
        <v>0</v>
      </c>
      <c r="AC64" s="100">
        <f t="shared" si="99"/>
        <v>0</v>
      </c>
      <c r="AD64" s="100">
        <f t="shared" si="99"/>
        <v>0</v>
      </c>
      <c r="AE64" s="100">
        <f t="shared" si="99"/>
        <v>0</v>
      </c>
      <c r="AF64" s="100">
        <f t="shared" si="99"/>
        <v>0</v>
      </c>
      <c r="AG64" s="100">
        <f t="shared" si="99"/>
        <v>0</v>
      </c>
      <c r="AH64" s="100">
        <f t="shared" si="99"/>
        <v>0</v>
      </c>
      <c r="AI64" s="100">
        <f t="shared" ref="AI64:AZ64" si="100">IFERROR($B64/AI25,0)</f>
        <v>0</v>
      </c>
      <c r="AJ64" s="100">
        <f t="shared" si="100"/>
        <v>0</v>
      </c>
      <c r="AK64" s="100">
        <f t="shared" si="100"/>
        <v>0</v>
      </c>
      <c r="AL64" s="100">
        <f t="shared" si="100"/>
        <v>0</v>
      </c>
      <c r="AM64" s="100">
        <f t="shared" si="100"/>
        <v>0</v>
      </c>
      <c r="AN64" s="100">
        <f t="shared" si="100"/>
        <v>0</v>
      </c>
      <c r="AO64" s="100">
        <f t="shared" si="100"/>
        <v>0</v>
      </c>
      <c r="AP64" s="100">
        <f t="shared" si="100"/>
        <v>0</v>
      </c>
      <c r="AQ64" s="100">
        <f t="shared" si="100"/>
        <v>0</v>
      </c>
      <c r="AR64" s="100">
        <f t="shared" si="100"/>
        <v>0</v>
      </c>
      <c r="AS64" s="100">
        <f t="shared" si="100"/>
        <v>0</v>
      </c>
      <c r="AT64" s="100">
        <f t="shared" si="100"/>
        <v>0</v>
      </c>
      <c r="AU64" s="100">
        <f t="shared" si="100"/>
        <v>0</v>
      </c>
      <c r="AV64" s="100">
        <f t="shared" si="100"/>
        <v>0</v>
      </c>
      <c r="AW64" s="100">
        <f t="shared" si="100"/>
        <v>0</v>
      </c>
      <c r="AX64" s="100">
        <f t="shared" si="100"/>
        <v>0</v>
      </c>
      <c r="AY64" s="100">
        <f t="shared" si="100"/>
        <v>0</v>
      </c>
      <c r="AZ64" s="100">
        <f t="shared" si="100"/>
        <v>0</v>
      </c>
    </row>
    <row r="65" spans="1:52" x14ac:dyDescent="0.25">
      <c r="A65" s="195" t="s">
        <v>1076</v>
      </c>
      <c r="B65" s="196">
        <v>1</v>
      </c>
      <c r="C65" s="100">
        <f t="shared" ref="C65:AH65" si="101">IFERROR($B65/C21,0)</f>
        <v>0</v>
      </c>
      <c r="D65" s="100">
        <f t="shared" si="101"/>
        <v>0</v>
      </c>
      <c r="E65" s="100">
        <f t="shared" si="101"/>
        <v>0</v>
      </c>
      <c r="F65" s="100">
        <f t="shared" si="101"/>
        <v>0</v>
      </c>
      <c r="G65" s="100">
        <f t="shared" si="101"/>
        <v>0</v>
      </c>
      <c r="H65" s="100">
        <f t="shared" si="101"/>
        <v>0</v>
      </c>
      <c r="I65" s="100">
        <f t="shared" si="101"/>
        <v>0</v>
      </c>
      <c r="J65" s="100">
        <f t="shared" si="101"/>
        <v>0</v>
      </c>
      <c r="K65" s="100">
        <f t="shared" si="101"/>
        <v>0</v>
      </c>
      <c r="L65" s="100">
        <f t="shared" si="101"/>
        <v>0</v>
      </c>
      <c r="M65" s="100">
        <f t="shared" si="101"/>
        <v>0</v>
      </c>
      <c r="N65" s="100">
        <f t="shared" si="101"/>
        <v>0</v>
      </c>
      <c r="O65" s="100">
        <f t="shared" si="101"/>
        <v>0</v>
      </c>
      <c r="P65" s="100">
        <f t="shared" si="101"/>
        <v>0</v>
      </c>
      <c r="Q65" s="100">
        <f t="shared" si="101"/>
        <v>0</v>
      </c>
      <c r="R65" s="100">
        <f t="shared" si="101"/>
        <v>0</v>
      </c>
      <c r="S65" s="100">
        <f t="shared" si="101"/>
        <v>0</v>
      </c>
      <c r="T65" s="100">
        <f t="shared" si="101"/>
        <v>0</v>
      </c>
      <c r="U65" s="100">
        <f t="shared" si="101"/>
        <v>0</v>
      </c>
      <c r="V65" s="100">
        <f t="shared" si="101"/>
        <v>0</v>
      </c>
      <c r="W65" s="100">
        <f t="shared" si="101"/>
        <v>0</v>
      </c>
      <c r="X65" s="100">
        <f t="shared" si="101"/>
        <v>0</v>
      </c>
      <c r="Y65" s="100">
        <f t="shared" si="101"/>
        <v>0</v>
      </c>
      <c r="Z65" s="100">
        <f t="shared" si="101"/>
        <v>0</v>
      </c>
      <c r="AA65" s="100">
        <f t="shared" si="101"/>
        <v>0</v>
      </c>
      <c r="AB65" s="100">
        <f t="shared" si="101"/>
        <v>0</v>
      </c>
      <c r="AC65" s="100">
        <f t="shared" si="101"/>
        <v>0</v>
      </c>
      <c r="AD65" s="100">
        <f t="shared" si="101"/>
        <v>0</v>
      </c>
      <c r="AE65" s="100">
        <f t="shared" si="101"/>
        <v>0</v>
      </c>
      <c r="AF65" s="100">
        <f t="shared" si="101"/>
        <v>0</v>
      </c>
      <c r="AG65" s="100">
        <f t="shared" si="101"/>
        <v>0</v>
      </c>
      <c r="AH65" s="100">
        <f t="shared" si="101"/>
        <v>0</v>
      </c>
      <c r="AI65" s="100">
        <f t="shared" ref="AI65:AZ65" si="102">IFERROR($B65/AI21,0)</f>
        <v>0</v>
      </c>
      <c r="AJ65" s="100">
        <f t="shared" si="102"/>
        <v>0</v>
      </c>
      <c r="AK65" s="100">
        <f t="shared" si="102"/>
        <v>0</v>
      </c>
      <c r="AL65" s="100">
        <f t="shared" si="102"/>
        <v>0</v>
      </c>
      <c r="AM65" s="100">
        <f t="shared" si="102"/>
        <v>0</v>
      </c>
      <c r="AN65" s="100">
        <f t="shared" si="102"/>
        <v>0</v>
      </c>
      <c r="AO65" s="100">
        <f t="shared" si="102"/>
        <v>0</v>
      </c>
      <c r="AP65" s="100">
        <f t="shared" si="102"/>
        <v>0</v>
      </c>
      <c r="AQ65" s="100">
        <f t="shared" si="102"/>
        <v>0</v>
      </c>
      <c r="AR65" s="100">
        <f t="shared" si="102"/>
        <v>0</v>
      </c>
      <c r="AS65" s="100">
        <f t="shared" si="102"/>
        <v>0</v>
      </c>
      <c r="AT65" s="100">
        <f t="shared" si="102"/>
        <v>0</v>
      </c>
      <c r="AU65" s="100">
        <f t="shared" si="102"/>
        <v>0</v>
      </c>
      <c r="AV65" s="100">
        <f t="shared" si="102"/>
        <v>0</v>
      </c>
      <c r="AW65" s="100">
        <f t="shared" si="102"/>
        <v>0</v>
      </c>
      <c r="AX65" s="100">
        <f t="shared" si="102"/>
        <v>0</v>
      </c>
      <c r="AY65" s="100">
        <f t="shared" si="102"/>
        <v>0</v>
      </c>
      <c r="AZ65" s="100">
        <f t="shared" si="102"/>
        <v>0</v>
      </c>
    </row>
    <row r="66" spans="1:52" x14ac:dyDescent="0.25">
      <c r="A66" s="195" t="s">
        <v>1077</v>
      </c>
      <c r="B66" s="198">
        <v>0.99980000000000002</v>
      </c>
      <c r="C66" s="100">
        <f t="shared" ref="C66:AH66" si="103">IFERROR($B66/C17,0)</f>
        <v>2.497040372580164E-2</v>
      </c>
      <c r="D66" s="100">
        <f t="shared" si="103"/>
        <v>1.2957416856527533E-3</v>
      </c>
      <c r="E66" s="100">
        <f t="shared" si="103"/>
        <v>9.4664233837925694E-4</v>
      </c>
      <c r="F66" s="100">
        <f t="shared" si="103"/>
        <v>4.9769682315367614E-4</v>
      </c>
      <c r="G66" s="100">
        <f t="shared" si="103"/>
        <v>5.7846767055042111E-4</v>
      </c>
      <c r="H66" s="100">
        <f t="shared" si="103"/>
        <v>5.1370071974119597E-4</v>
      </c>
      <c r="I66" s="100">
        <f t="shared" si="103"/>
        <v>2.1140285661810768E-3</v>
      </c>
      <c r="J66" s="100">
        <f t="shared" si="103"/>
        <v>4.5070683745780145E-4</v>
      </c>
      <c r="K66" s="100">
        <f t="shared" si="103"/>
        <v>4.9951841738337379E-3</v>
      </c>
      <c r="L66" s="100">
        <f t="shared" si="103"/>
        <v>8.380212296241335E-4</v>
      </c>
      <c r="M66" s="100">
        <f t="shared" si="103"/>
        <v>1.2764514381993731E-3</v>
      </c>
      <c r="N66" s="100">
        <f t="shared" si="103"/>
        <v>9.1836711230920383E-4</v>
      </c>
      <c r="O66" s="100">
        <f t="shared" si="103"/>
        <v>4.8130216638152826E-4</v>
      </c>
      <c r="P66" s="100">
        <f t="shared" si="103"/>
        <v>4.5092503614698902E-4</v>
      </c>
      <c r="Q66" s="100">
        <f t="shared" si="103"/>
        <v>3.3395149366561677E-4</v>
      </c>
      <c r="R66" s="100">
        <f t="shared" si="103"/>
        <v>2.0260461087309475E-3</v>
      </c>
      <c r="S66" s="100">
        <f t="shared" si="103"/>
        <v>9.7571037729731087E-4</v>
      </c>
      <c r="T66" s="100">
        <f t="shared" si="103"/>
        <v>5.8629767374168045E-4</v>
      </c>
      <c r="U66" s="100">
        <f t="shared" si="103"/>
        <v>1.800439413129018E-3</v>
      </c>
      <c r="V66" s="100">
        <f t="shared" si="103"/>
        <v>1.1112878384520492E-3</v>
      </c>
      <c r="W66" s="100">
        <f t="shared" si="103"/>
        <v>8.4472647498312593E-4</v>
      </c>
      <c r="X66" s="100">
        <f t="shared" si="103"/>
        <v>6.5297536938292364E-4</v>
      </c>
      <c r="Y66" s="100">
        <f t="shared" si="103"/>
        <v>1.2817331788078264E-3</v>
      </c>
      <c r="Z66" s="100">
        <f t="shared" si="103"/>
        <v>3.495058763873632E-3</v>
      </c>
      <c r="AA66" s="100">
        <f t="shared" si="103"/>
        <v>4.6512955685709271E-3</v>
      </c>
      <c r="AB66" s="100">
        <f t="shared" si="103"/>
        <v>4.0582587397668658E-2</v>
      </c>
      <c r="AC66" s="100">
        <f t="shared" si="103"/>
        <v>2.2944519823754604E-3</v>
      </c>
      <c r="AD66" s="100">
        <f t="shared" si="103"/>
        <v>1.5536850127105706E-3</v>
      </c>
      <c r="AE66" s="100">
        <f t="shared" si="103"/>
        <v>8.3446173941933717E-4</v>
      </c>
      <c r="AF66" s="100">
        <f t="shared" si="103"/>
        <v>9.1519374234368936E-4</v>
      </c>
      <c r="AG66" s="100">
        <f t="shared" si="103"/>
        <v>9.1974303648625466E-4</v>
      </c>
      <c r="AH66" s="100">
        <f t="shared" si="103"/>
        <v>3.2914314684230686E-3</v>
      </c>
      <c r="AI66" s="100">
        <f t="shared" ref="AI66:AZ66" si="104">IFERROR($B66/AI17,0)</f>
        <v>6.4506263453592159E-4</v>
      </c>
      <c r="AJ66" s="100">
        <f t="shared" si="104"/>
        <v>7.9391946053669529E-3</v>
      </c>
      <c r="AK66" s="100">
        <f t="shared" si="104"/>
        <v>1.8679585848852252E-3</v>
      </c>
      <c r="AL66" s="100">
        <f t="shared" si="104"/>
        <v>1.3952768442437047E-3</v>
      </c>
      <c r="AM66" s="100">
        <f t="shared" si="104"/>
        <v>1.5403262634474031E-3</v>
      </c>
      <c r="AN66" s="100">
        <f t="shared" si="104"/>
        <v>7.9983669104130323E-4</v>
      </c>
      <c r="AO66" s="100">
        <f t="shared" si="104"/>
        <v>7.5078522061214608E-4</v>
      </c>
      <c r="AP66" s="100">
        <f t="shared" si="104"/>
        <v>6.8662923931248315E-4</v>
      </c>
      <c r="AQ66" s="100">
        <f t="shared" si="104"/>
        <v>2.7860851331569748E-3</v>
      </c>
      <c r="AR66" s="100">
        <f t="shared" si="104"/>
        <v>1.6947048550192481E-3</v>
      </c>
      <c r="AS66" s="100">
        <f t="shared" si="104"/>
        <v>8.1375981809582562E-4</v>
      </c>
      <c r="AT66" s="100">
        <f t="shared" si="104"/>
        <v>3.2444594127455798E-3</v>
      </c>
      <c r="AU66" s="100">
        <f t="shared" si="104"/>
        <v>1.7545754386585955E-3</v>
      </c>
      <c r="AV66" s="100">
        <f t="shared" si="104"/>
        <v>1.3657930556217751E-3</v>
      </c>
      <c r="AW66" s="100">
        <f t="shared" si="104"/>
        <v>1.0379171810278788E-3</v>
      </c>
      <c r="AX66" s="100">
        <f t="shared" si="104"/>
        <v>2.4512554381392587E-3</v>
      </c>
      <c r="AY66" s="100">
        <f t="shared" si="104"/>
        <v>6.8709677971606617E-3</v>
      </c>
      <c r="AZ66" s="100">
        <f t="shared" si="104"/>
        <v>7.4821171761978696E-3</v>
      </c>
    </row>
    <row r="67" spans="1:52" x14ac:dyDescent="0.25">
      <c r="A67" s="195" t="s">
        <v>1091</v>
      </c>
      <c r="B67" s="196">
        <v>2.0000000000000001E-4</v>
      </c>
      <c r="C67" s="100">
        <f t="shared" ref="C67:AH67" si="105">IFERROR($B67/C5,0)</f>
        <v>0</v>
      </c>
      <c r="D67" s="100">
        <f t="shared" si="105"/>
        <v>0</v>
      </c>
      <c r="E67" s="100">
        <f t="shared" si="105"/>
        <v>0</v>
      </c>
      <c r="F67" s="100">
        <f t="shared" si="105"/>
        <v>0</v>
      </c>
      <c r="G67" s="100">
        <f t="shared" si="105"/>
        <v>0</v>
      </c>
      <c r="H67" s="100">
        <f t="shared" si="105"/>
        <v>0</v>
      </c>
      <c r="I67" s="100">
        <f t="shared" si="105"/>
        <v>0</v>
      </c>
      <c r="J67" s="100">
        <f t="shared" si="105"/>
        <v>0</v>
      </c>
      <c r="K67" s="100">
        <f t="shared" si="105"/>
        <v>0</v>
      </c>
      <c r="L67" s="100">
        <f t="shared" si="105"/>
        <v>0</v>
      </c>
      <c r="M67" s="100">
        <f t="shared" si="105"/>
        <v>0</v>
      </c>
      <c r="N67" s="100">
        <f t="shared" si="105"/>
        <v>0</v>
      </c>
      <c r="O67" s="100">
        <f t="shared" si="105"/>
        <v>0</v>
      </c>
      <c r="P67" s="100">
        <f t="shared" si="105"/>
        <v>0</v>
      </c>
      <c r="Q67" s="100">
        <f t="shared" si="105"/>
        <v>0</v>
      </c>
      <c r="R67" s="100">
        <f t="shared" si="105"/>
        <v>0</v>
      </c>
      <c r="S67" s="100">
        <f t="shared" si="105"/>
        <v>0</v>
      </c>
      <c r="T67" s="100">
        <f t="shared" si="105"/>
        <v>0</v>
      </c>
      <c r="U67" s="100">
        <f t="shared" si="105"/>
        <v>0</v>
      </c>
      <c r="V67" s="100">
        <f t="shared" si="105"/>
        <v>0</v>
      </c>
      <c r="W67" s="100">
        <f t="shared" si="105"/>
        <v>0</v>
      </c>
      <c r="X67" s="100">
        <f t="shared" si="105"/>
        <v>0</v>
      </c>
      <c r="Y67" s="100">
        <f t="shared" si="105"/>
        <v>0</v>
      </c>
      <c r="Z67" s="100">
        <f t="shared" si="105"/>
        <v>0</v>
      </c>
      <c r="AA67" s="100">
        <f t="shared" si="105"/>
        <v>0</v>
      </c>
      <c r="AB67" s="100">
        <f t="shared" si="105"/>
        <v>0</v>
      </c>
      <c r="AC67" s="100">
        <f t="shared" si="105"/>
        <v>0</v>
      </c>
      <c r="AD67" s="100">
        <f t="shared" si="105"/>
        <v>0</v>
      </c>
      <c r="AE67" s="100">
        <f t="shared" si="105"/>
        <v>0</v>
      </c>
      <c r="AF67" s="100">
        <f t="shared" si="105"/>
        <v>0</v>
      </c>
      <c r="AG67" s="100">
        <f t="shared" si="105"/>
        <v>0</v>
      </c>
      <c r="AH67" s="100">
        <f t="shared" si="105"/>
        <v>0</v>
      </c>
      <c r="AI67" s="100">
        <f t="shared" ref="AI67:AZ67" si="106">IFERROR($B67/AI5,0)</f>
        <v>0</v>
      </c>
      <c r="AJ67" s="100">
        <f t="shared" si="106"/>
        <v>0</v>
      </c>
      <c r="AK67" s="100">
        <f t="shared" si="106"/>
        <v>0</v>
      </c>
      <c r="AL67" s="100">
        <f t="shared" si="106"/>
        <v>0</v>
      </c>
      <c r="AM67" s="100">
        <f t="shared" si="106"/>
        <v>0</v>
      </c>
      <c r="AN67" s="100">
        <f t="shared" si="106"/>
        <v>0</v>
      </c>
      <c r="AO67" s="100">
        <f t="shared" si="106"/>
        <v>0</v>
      </c>
      <c r="AP67" s="100">
        <f t="shared" si="106"/>
        <v>0</v>
      </c>
      <c r="AQ67" s="100">
        <f t="shared" si="106"/>
        <v>0</v>
      </c>
      <c r="AR67" s="100">
        <f t="shared" si="106"/>
        <v>0</v>
      </c>
      <c r="AS67" s="100">
        <f t="shared" si="106"/>
        <v>0</v>
      </c>
      <c r="AT67" s="100">
        <f t="shared" si="106"/>
        <v>0</v>
      </c>
      <c r="AU67" s="100">
        <f t="shared" si="106"/>
        <v>0</v>
      </c>
      <c r="AV67" s="100">
        <f t="shared" si="106"/>
        <v>0</v>
      </c>
      <c r="AW67" s="100">
        <f t="shared" si="106"/>
        <v>0</v>
      </c>
      <c r="AX67" s="100">
        <f t="shared" si="106"/>
        <v>0</v>
      </c>
      <c r="AY67" s="100">
        <f t="shared" si="106"/>
        <v>0</v>
      </c>
      <c r="AZ67" s="100">
        <f t="shared" si="106"/>
        <v>0</v>
      </c>
    </row>
    <row r="68" spans="1:52" x14ac:dyDescent="0.25">
      <c r="A68" s="195" t="s">
        <v>1092</v>
      </c>
      <c r="B68" s="196">
        <v>0.99999979999999999</v>
      </c>
      <c r="C68" s="100">
        <f t="shared" ref="C68:AH68" si="107">IFERROR($B68/C9,0)</f>
        <v>2.3153313636796426E-2</v>
      </c>
      <c r="D68" s="100">
        <f t="shared" si="107"/>
        <v>1.2790558593732064E-3</v>
      </c>
      <c r="E68" s="100">
        <f t="shared" si="107"/>
        <v>5.7518351039023859E-4</v>
      </c>
      <c r="F68" s="100">
        <f t="shared" si="107"/>
        <v>4.703398173736551E-4</v>
      </c>
      <c r="G68" s="100">
        <f t="shared" si="107"/>
        <v>5.7100487409310764E-4</v>
      </c>
      <c r="H68" s="100">
        <f t="shared" si="107"/>
        <v>4.8395348718880543E-4</v>
      </c>
      <c r="I68" s="100">
        <f t="shared" si="107"/>
        <v>1.2844736831021774E-3</v>
      </c>
      <c r="J68" s="100">
        <f t="shared" si="107"/>
        <v>4.2599553996642176E-4</v>
      </c>
      <c r="K68" s="100">
        <f t="shared" si="107"/>
        <v>4.9309178278704232E-3</v>
      </c>
      <c r="L68" s="100">
        <f t="shared" si="107"/>
        <v>8.9779407583237092E-4</v>
      </c>
      <c r="M68" s="100">
        <f t="shared" si="107"/>
        <v>1.2067137908439024E-3</v>
      </c>
      <c r="N68" s="100">
        <f t="shared" si="107"/>
        <v>5.5420814634445244E-4</v>
      </c>
      <c r="O68" s="100">
        <f t="shared" si="107"/>
        <v>4.8822132132031519E-4</v>
      </c>
      <c r="P68" s="100">
        <f t="shared" si="107"/>
        <v>4.2622783978265959E-4</v>
      </c>
      <c r="Q68" s="100">
        <f t="shared" si="107"/>
        <v>3.1564164339973461E-4</v>
      </c>
      <c r="R68" s="100">
        <f t="shared" si="107"/>
        <v>2.0000353413762561E-3</v>
      </c>
      <c r="S68" s="100">
        <f t="shared" si="107"/>
        <v>9.6375916615050439E-4</v>
      </c>
      <c r="T68" s="100">
        <f t="shared" si="107"/>
        <v>6.0403750240027837E-4</v>
      </c>
      <c r="U68" s="100">
        <f t="shared" si="107"/>
        <v>1.9226809381688028E-3</v>
      </c>
      <c r="V68" s="100">
        <f t="shared" si="107"/>
        <v>1.0505056796813114E-3</v>
      </c>
      <c r="W68" s="100">
        <f t="shared" si="107"/>
        <v>8.5275694770322273E-4</v>
      </c>
      <c r="X68" s="100">
        <f t="shared" si="107"/>
        <v>6.4477184067782633E-4</v>
      </c>
      <c r="Y68" s="100">
        <f t="shared" si="107"/>
        <v>1.2050348037567537E-3</v>
      </c>
      <c r="Z68" s="100">
        <f t="shared" si="107"/>
        <v>2.4550226380512926E-3</v>
      </c>
      <c r="AA68" s="100">
        <f t="shared" si="107"/>
        <v>3.1707709291547122E-3</v>
      </c>
      <c r="AB68" s="100">
        <f t="shared" si="107"/>
        <v>3.7727989419397819E-2</v>
      </c>
      <c r="AC68" s="100">
        <f t="shared" si="107"/>
        <v>2.2649053315201301E-3</v>
      </c>
      <c r="AD68" s="100">
        <f t="shared" si="107"/>
        <v>9.4402496425586701E-4</v>
      </c>
      <c r="AE68" s="100">
        <f t="shared" si="107"/>
        <v>7.8859370577618823E-4</v>
      </c>
      <c r="AF68" s="100">
        <f t="shared" si="107"/>
        <v>9.0338685154265459E-4</v>
      </c>
      <c r="AG68" s="100">
        <f t="shared" si="107"/>
        <v>8.6648282301296552E-4</v>
      </c>
      <c r="AH68" s="100">
        <f t="shared" si="107"/>
        <v>1.9998580759772286E-3</v>
      </c>
      <c r="AI68" s="100">
        <f t="shared" ref="AI68:AZ68" si="108">IFERROR($B68/AI9,0)</f>
        <v>6.096952219790115E-4</v>
      </c>
      <c r="AJ68" s="100">
        <f t="shared" si="108"/>
        <v>7.8370516193582897E-3</v>
      </c>
      <c r="AK68" s="100">
        <f t="shared" si="108"/>
        <v>2.0011929198528243E-3</v>
      </c>
      <c r="AL68" s="100">
        <f t="shared" si="108"/>
        <v>1.319047289702733E-3</v>
      </c>
      <c r="AM68" s="100">
        <f t="shared" si="108"/>
        <v>9.2954261078051709E-4</v>
      </c>
      <c r="AN68" s="100">
        <f t="shared" si="108"/>
        <v>8.113350685213964E-4</v>
      </c>
      <c r="AO68" s="100">
        <f t="shared" si="108"/>
        <v>7.0966466057553236E-4</v>
      </c>
      <c r="AP68" s="100">
        <f t="shared" si="108"/>
        <v>6.4898281820506174E-4</v>
      </c>
      <c r="AQ68" s="100">
        <f t="shared" si="108"/>
        <v>2.7503168394756913E-3</v>
      </c>
      <c r="AR68" s="100">
        <f t="shared" si="108"/>
        <v>1.6739468759866222E-3</v>
      </c>
      <c r="AS68" s="100">
        <f t="shared" si="108"/>
        <v>8.3838205418648455E-4</v>
      </c>
      <c r="AT68" s="100">
        <f t="shared" si="108"/>
        <v>3.4647432299357572E-3</v>
      </c>
      <c r="AU68" s="100">
        <f t="shared" si="108"/>
        <v>1.6586085080420095E-3</v>
      </c>
      <c r="AV68" s="100">
        <f t="shared" si="108"/>
        <v>1.378777097438018E-3</v>
      </c>
      <c r="AW68" s="100">
        <f t="shared" si="108"/>
        <v>1.0248775109464141E-3</v>
      </c>
      <c r="AX68" s="100">
        <f t="shared" si="108"/>
        <v>2.3045733423264179E-3</v>
      </c>
      <c r="AY68" s="100">
        <f t="shared" si="108"/>
        <v>4.8263513225326564E-3</v>
      </c>
      <c r="AZ68" s="100">
        <f t="shared" si="108"/>
        <v>5.1005315145144338E-3</v>
      </c>
    </row>
    <row r="69" spans="1:52" x14ac:dyDescent="0.25">
      <c r="A69" s="195" t="s">
        <v>1093</v>
      </c>
      <c r="B69" s="196">
        <v>1.9999999999999999E-7</v>
      </c>
      <c r="C69" s="100">
        <f t="shared" ref="C69:AH69" si="109">IFERROR($B69/C24,0)</f>
        <v>0</v>
      </c>
      <c r="D69" s="100">
        <f t="shared" si="109"/>
        <v>0</v>
      </c>
      <c r="E69" s="100">
        <f t="shared" si="109"/>
        <v>0</v>
      </c>
      <c r="F69" s="100">
        <f t="shared" si="109"/>
        <v>0</v>
      </c>
      <c r="G69" s="100">
        <f t="shared" si="109"/>
        <v>0</v>
      </c>
      <c r="H69" s="100">
        <f t="shared" si="109"/>
        <v>0</v>
      </c>
      <c r="I69" s="100">
        <f t="shared" si="109"/>
        <v>0</v>
      </c>
      <c r="J69" s="100">
        <f t="shared" si="109"/>
        <v>0</v>
      </c>
      <c r="K69" s="100">
        <f t="shared" si="109"/>
        <v>0</v>
      </c>
      <c r="L69" s="100">
        <f t="shared" si="109"/>
        <v>0</v>
      </c>
      <c r="M69" s="100">
        <f t="shared" si="109"/>
        <v>0</v>
      </c>
      <c r="N69" s="100">
        <f t="shared" si="109"/>
        <v>0</v>
      </c>
      <c r="O69" s="100">
        <f t="shared" si="109"/>
        <v>0</v>
      </c>
      <c r="P69" s="100">
        <f t="shared" si="109"/>
        <v>0</v>
      </c>
      <c r="Q69" s="100">
        <f t="shared" si="109"/>
        <v>0</v>
      </c>
      <c r="R69" s="100">
        <f t="shared" si="109"/>
        <v>0</v>
      </c>
      <c r="S69" s="100">
        <f t="shared" si="109"/>
        <v>0</v>
      </c>
      <c r="T69" s="100">
        <f t="shared" si="109"/>
        <v>0</v>
      </c>
      <c r="U69" s="100">
        <f t="shared" si="109"/>
        <v>0</v>
      </c>
      <c r="V69" s="100">
        <f t="shared" si="109"/>
        <v>0</v>
      </c>
      <c r="W69" s="100">
        <f t="shared" si="109"/>
        <v>0</v>
      </c>
      <c r="X69" s="100">
        <f t="shared" si="109"/>
        <v>0</v>
      </c>
      <c r="Y69" s="100">
        <f t="shared" si="109"/>
        <v>0</v>
      </c>
      <c r="Z69" s="100">
        <f t="shared" si="109"/>
        <v>0</v>
      </c>
      <c r="AA69" s="100">
        <f t="shared" si="109"/>
        <v>0</v>
      </c>
      <c r="AB69" s="100">
        <f t="shared" si="109"/>
        <v>0</v>
      </c>
      <c r="AC69" s="100">
        <f t="shared" si="109"/>
        <v>0</v>
      </c>
      <c r="AD69" s="100">
        <f t="shared" si="109"/>
        <v>0</v>
      </c>
      <c r="AE69" s="100">
        <f t="shared" si="109"/>
        <v>0</v>
      </c>
      <c r="AF69" s="100">
        <f t="shared" si="109"/>
        <v>0</v>
      </c>
      <c r="AG69" s="100">
        <f t="shared" si="109"/>
        <v>0</v>
      </c>
      <c r="AH69" s="100">
        <f t="shared" si="109"/>
        <v>0</v>
      </c>
      <c r="AI69" s="100">
        <f t="shared" ref="AI69:AZ69" si="110">IFERROR($B69/AI24,0)</f>
        <v>0</v>
      </c>
      <c r="AJ69" s="100">
        <f t="shared" si="110"/>
        <v>0</v>
      </c>
      <c r="AK69" s="100">
        <f t="shared" si="110"/>
        <v>0</v>
      </c>
      <c r="AL69" s="100">
        <f t="shared" si="110"/>
        <v>0</v>
      </c>
      <c r="AM69" s="100">
        <f t="shared" si="110"/>
        <v>0</v>
      </c>
      <c r="AN69" s="100">
        <f t="shared" si="110"/>
        <v>0</v>
      </c>
      <c r="AO69" s="100">
        <f t="shared" si="110"/>
        <v>0</v>
      </c>
      <c r="AP69" s="100">
        <f t="shared" si="110"/>
        <v>0</v>
      </c>
      <c r="AQ69" s="100">
        <f t="shared" si="110"/>
        <v>0</v>
      </c>
      <c r="AR69" s="100">
        <f t="shared" si="110"/>
        <v>0</v>
      </c>
      <c r="AS69" s="100">
        <f t="shared" si="110"/>
        <v>0</v>
      </c>
      <c r="AT69" s="100">
        <f t="shared" si="110"/>
        <v>0</v>
      </c>
      <c r="AU69" s="100">
        <f t="shared" si="110"/>
        <v>0</v>
      </c>
      <c r="AV69" s="100">
        <f t="shared" si="110"/>
        <v>0</v>
      </c>
      <c r="AW69" s="100">
        <f t="shared" si="110"/>
        <v>0</v>
      </c>
      <c r="AX69" s="100">
        <f t="shared" si="110"/>
        <v>0</v>
      </c>
      <c r="AY69" s="100">
        <f t="shared" si="110"/>
        <v>0</v>
      </c>
      <c r="AZ69" s="100">
        <f t="shared" si="110"/>
        <v>0</v>
      </c>
    </row>
    <row r="70" spans="1:52" x14ac:dyDescent="0.25">
      <c r="A70" s="195" t="s">
        <v>1094</v>
      </c>
      <c r="B70" s="196">
        <v>0.99979000004200003</v>
      </c>
      <c r="C70" s="100">
        <f t="shared" ref="C70:AH70" si="111">IFERROR($B70/C20,0)</f>
        <v>0</v>
      </c>
      <c r="D70" s="100">
        <f t="shared" si="111"/>
        <v>0</v>
      </c>
      <c r="E70" s="100">
        <f t="shared" si="111"/>
        <v>0</v>
      </c>
      <c r="F70" s="100">
        <f t="shared" si="111"/>
        <v>0</v>
      </c>
      <c r="G70" s="100">
        <f t="shared" si="111"/>
        <v>0</v>
      </c>
      <c r="H70" s="100">
        <f t="shared" si="111"/>
        <v>0</v>
      </c>
      <c r="I70" s="100">
        <f t="shared" si="111"/>
        <v>0</v>
      </c>
      <c r="J70" s="100">
        <f t="shared" si="111"/>
        <v>0</v>
      </c>
      <c r="K70" s="100">
        <f t="shared" si="111"/>
        <v>0</v>
      </c>
      <c r="L70" s="100">
        <f t="shared" si="111"/>
        <v>0</v>
      </c>
      <c r="M70" s="100">
        <f t="shared" si="111"/>
        <v>0</v>
      </c>
      <c r="N70" s="100">
        <f t="shared" si="111"/>
        <v>0</v>
      </c>
      <c r="O70" s="100">
        <f t="shared" si="111"/>
        <v>0</v>
      </c>
      <c r="P70" s="100">
        <f t="shared" si="111"/>
        <v>0</v>
      </c>
      <c r="Q70" s="100">
        <f t="shared" si="111"/>
        <v>0</v>
      </c>
      <c r="R70" s="100">
        <f t="shared" si="111"/>
        <v>0</v>
      </c>
      <c r="S70" s="100">
        <f t="shared" si="111"/>
        <v>0</v>
      </c>
      <c r="T70" s="100">
        <f t="shared" si="111"/>
        <v>0</v>
      </c>
      <c r="U70" s="100">
        <f t="shared" si="111"/>
        <v>0</v>
      </c>
      <c r="V70" s="100">
        <f t="shared" si="111"/>
        <v>0</v>
      </c>
      <c r="W70" s="100">
        <f t="shared" si="111"/>
        <v>0</v>
      </c>
      <c r="X70" s="100">
        <f t="shared" si="111"/>
        <v>0</v>
      </c>
      <c r="Y70" s="100">
        <f t="shared" si="111"/>
        <v>0</v>
      </c>
      <c r="Z70" s="100">
        <f t="shared" si="111"/>
        <v>0</v>
      </c>
      <c r="AA70" s="100">
        <f t="shared" si="111"/>
        <v>0</v>
      </c>
      <c r="AB70" s="100">
        <f t="shared" si="111"/>
        <v>0</v>
      </c>
      <c r="AC70" s="100">
        <f t="shared" si="111"/>
        <v>0</v>
      </c>
      <c r="AD70" s="100">
        <f t="shared" si="111"/>
        <v>0</v>
      </c>
      <c r="AE70" s="100">
        <f t="shared" si="111"/>
        <v>0</v>
      </c>
      <c r="AF70" s="100">
        <f t="shared" si="111"/>
        <v>0</v>
      </c>
      <c r="AG70" s="100">
        <f t="shared" si="111"/>
        <v>0</v>
      </c>
      <c r="AH70" s="100">
        <f t="shared" si="111"/>
        <v>0</v>
      </c>
      <c r="AI70" s="100">
        <f t="shared" ref="AI70:AZ70" si="112">IFERROR($B70/AI20,0)</f>
        <v>0</v>
      </c>
      <c r="AJ70" s="100">
        <f t="shared" si="112"/>
        <v>0</v>
      </c>
      <c r="AK70" s="100">
        <f t="shared" si="112"/>
        <v>0</v>
      </c>
      <c r="AL70" s="100">
        <f t="shared" si="112"/>
        <v>0</v>
      </c>
      <c r="AM70" s="100">
        <f t="shared" si="112"/>
        <v>0</v>
      </c>
      <c r="AN70" s="100">
        <f t="shared" si="112"/>
        <v>0</v>
      </c>
      <c r="AO70" s="100">
        <f t="shared" si="112"/>
        <v>0</v>
      </c>
      <c r="AP70" s="100">
        <f t="shared" si="112"/>
        <v>0</v>
      </c>
      <c r="AQ70" s="100">
        <f t="shared" si="112"/>
        <v>0</v>
      </c>
      <c r="AR70" s="100">
        <f t="shared" si="112"/>
        <v>0</v>
      </c>
      <c r="AS70" s="100">
        <f t="shared" si="112"/>
        <v>0</v>
      </c>
      <c r="AT70" s="100">
        <f t="shared" si="112"/>
        <v>0</v>
      </c>
      <c r="AU70" s="100">
        <f t="shared" si="112"/>
        <v>0</v>
      </c>
      <c r="AV70" s="100">
        <f t="shared" si="112"/>
        <v>0</v>
      </c>
      <c r="AW70" s="100">
        <f t="shared" si="112"/>
        <v>0</v>
      </c>
      <c r="AX70" s="100">
        <f t="shared" si="112"/>
        <v>0</v>
      </c>
      <c r="AY70" s="100">
        <f t="shared" si="112"/>
        <v>0</v>
      </c>
      <c r="AZ70" s="100">
        <f t="shared" si="112"/>
        <v>0</v>
      </c>
    </row>
    <row r="71" spans="1:52" x14ac:dyDescent="0.25">
      <c r="A71" s="195" t="s">
        <v>1095</v>
      </c>
      <c r="B71" s="196">
        <v>2.0999995799999999E-4</v>
      </c>
      <c r="C71" s="100">
        <f t="shared" ref="C71:AH71" si="113">IFERROR($B71/C29,0)</f>
        <v>0</v>
      </c>
      <c r="D71" s="100">
        <f t="shared" si="113"/>
        <v>0</v>
      </c>
      <c r="E71" s="100">
        <f t="shared" si="113"/>
        <v>0</v>
      </c>
      <c r="F71" s="100">
        <f t="shared" si="113"/>
        <v>0</v>
      </c>
      <c r="G71" s="100">
        <f t="shared" si="113"/>
        <v>0</v>
      </c>
      <c r="H71" s="100">
        <f t="shared" si="113"/>
        <v>0</v>
      </c>
      <c r="I71" s="100">
        <f t="shared" si="113"/>
        <v>0</v>
      </c>
      <c r="J71" s="100">
        <f t="shared" si="113"/>
        <v>0</v>
      </c>
      <c r="K71" s="100">
        <f t="shared" si="113"/>
        <v>0</v>
      </c>
      <c r="L71" s="100">
        <f t="shared" si="113"/>
        <v>0</v>
      </c>
      <c r="M71" s="100">
        <f t="shared" si="113"/>
        <v>0</v>
      </c>
      <c r="N71" s="100">
        <f t="shared" si="113"/>
        <v>0</v>
      </c>
      <c r="O71" s="100">
        <f t="shared" si="113"/>
        <v>0</v>
      </c>
      <c r="P71" s="100">
        <f t="shared" si="113"/>
        <v>0</v>
      </c>
      <c r="Q71" s="100">
        <f t="shared" si="113"/>
        <v>0</v>
      </c>
      <c r="R71" s="100">
        <f t="shared" si="113"/>
        <v>0</v>
      </c>
      <c r="S71" s="100">
        <f t="shared" si="113"/>
        <v>0</v>
      </c>
      <c r="T71" s="100">
        <f t="shared" si="113"/>
        <v>0</v>
      </c>
      <c r="U71" s="100">
        <f t="shared" si="113"/>
        <v>0</v>
      </c>
      <c r="V71" s="100">
        <f t="shared" si="113"/>
        <v>0</v>
      </c>
      <c r="W71" s="100">
        <f t="shared" si="113"/>
        <v>0</v>
      </c>
      <c r="X71" s="100">
        <f t="shared" si="113"/>
        <v>0</v>
      </c>
      <c r="Y71" s="100">
        <f t="shared" si="113"/>
        <v>0</v>
      </c>
      <c r="Z71" s="100">
        <f t="shared" si="113"/>
        <v>0</v>
      </c>
      <c r="AA71" s="100">
        <f t="shared" si="113"/>
        <v>0</v>
      </c>
      <c r="AB71" s="100">
        <f t="shared" si="113"/>
        <v>0</v>
      </c>
      <c r="AC71" s="100">
        <f t="shared" si="113"/>
        <v>0</v>
      </c>
      <c r="AD71" s="100">
        <f t="shared" si="113"/>
        <v>0</v>
      </c>
      <c r="AE71" s="100">
        <f t="shared" si="113"/>
        <v>0</v>
      </c>
      <c r="AF71" s="100">
        <f t="shared" si="113"/>
        <v>0</v>
      </c>
      <c r="AG71" s="100">
        <f t="shared" si="113"/>
        <v>0</v>
      </c>
      <c r="AH71" s="100">
        <f t="shared" si="113"/>
        <v>0</v>
      </c>
      <c r="AI71" s="100">
        <f t="shared" ref="AI71:AZ71" si="114">IFERROR($B71/AI29,0)</f>
        <v>0</v>
      </c>
      <c r="AJ71" s="100">
        <f t="shared" si="114"/>
        <v>0</v>
      </c>
      <c r="AK71" s="100">
        <f t="shared" si="114"/>
        <v>0</v>
      </c>
      <c r="AL71" s="100">
        <f t="shared" si="114"/>
        <v>0</v>
      </c>
      <c r="AM71" s="100">
        <f t="shared" si="114"/>
        <v>0</v>
      </c>
      <c r="AN71" s="100">
        <f t="shared" si="114"/>
        <v>0</v>
      </c>
      <c r="AO71" s="100">
        <f t="shared" si="114"/>
        <v>0</v>
      </c>
      <c r="AP71" s="100">
        <f t="shared" si="114"/>
        <v>0</v>
      </c>
      <c r="AQ71" s="100">
        <f t="shared" si="114"/>
        <v>0</v>
      </c>
      <c r="AR71" s="100">
        <f t="shared" si="114"/>
        <v>0</v>
      </c>
      <c r="AS71" s="100">
        <f t="shared" si="114"/>
        <v>0</v>
      </c>
      <c r="AT71" s="100">
        <f t="shared" si="114"/>
        <v>0</v>
      </c>
      <c r="AU71" s="100">
        <f t="shared" si="114"/>
        <v>0</v>
      </c>
      <c r="AV71" s="100">
        <f t="shared" si="114"/>
        <v>0</v>
      </c>
      <c r="AW71" s="100">
        <f t="shared" si="114"/>
        <v>0</v>
      </c>
      <c r="AX71" s="100">
        <f t="shared" si="114"/>
        <v>0</v>
      </c>
      <c r="AY71" s="100">
        <f t="shared" si="114"/>
        <v>0</v>
      </c>
      <c r="AZ71" s="100">
        <f t="shared" si="114"/>
        <v>0</v>
      </c>
    </row>
    <row r="72" spans="1:52" x14ac:dyDescent="0.25">
      <c r="A72" s="195" t="s">
        <v>1096</v>
      </c>
      <c r="B72" s="196">
        <v>1</v>
      </c>
      <c r="C72" s="100">
        <f t="shared" ref="C72:AH72" si="115">IFERROR($B72/C16,0)</f>
        <v>60.627303970755385</v>
      </c>
      <c r="D72" s="100">
        <f t="shared" si="115"/>
        <v>3.1460174175107958</v>
      </c>
      <c r="E72" s="100">
        <f t="shared" si="115"/>
        <v>2.298415893900946</v>
      </c>
      <c r="F72" s="100">
        <f t="shared" si="115"/>
        <v>1.2083912184182564</v>
      </c>
      <c r="G72" s="100">
        <f t="shared" si="115"/>
        <v>1.404500130827951</v>
      </c>
      <c r="H72" s="100">
        <f t="shared" si="115"/>
        <v>1.2472481433515732</v>
      </c>
      <c r="I72" s="100">
        <f t="shared" si="115"/>
        <v>5.1327905584596483</v>
      </c>
      <c r="J72" s="100">
        <f t="shared" si="115"/>
        <v>1.0943011068746638</v>
      </c>
      <c r="K72" s="100">
        <f t="shared" si="115"/>
        <v>12.128139882015553</v>
      </c>
      <c r="L72" s="100">
        <f t="shared" si="115"/>
        <v>2.0346874796369536</v>
      </c>
      <c r="M72" s="100">
        <f t="shared" si="115"/>
        <v>3.0991813427372543</v>
      </c>
      <c r="N72" s="100">
        <f t="shared" si="115"/>
        <v>2.2297645919590541</v>
      </c>
      <c r="O72" s="100">
        <f t="shared" si="115"/>
        <v>1.1685855408434815</v>
      </c>
      <c r="P72" s="100">
        <f t="shared" si="115"/>
        <v>1.0948308859843916</v>
      </c>
      <c r="Q72" s="100">
        <f t="shared" si="115"/>
        <v>0.81082304236164893</v>
      </c>
      <c r="R72" s="100">
        <f t="shared" si="115"/>
        <v>4.9191720983619716</v>
      </c>
      <c r="S72" s="100">
        <f t="shared" si="115"/>
        <v>2.3689921188859513</v>
      </c>
      <c r="T72" s="100">
        <f t="shared" si="115"/>
        <v>1.4235111163442948</v>
      </c>
      <c r="U72" s="100">
        <f t="shared" si="115"/>
        <v>4.3714065971593383</v>
      </c>
      <c r="V72" s="100">
        <f t="shared" si="115"/>
        <v>2.6981696539899707</v>
      </c>
      <c r="W72" s="100">
        <f t="shared" si="115"/>
        <v>2.0509675908054437</v>
      </c>
      <c r="X72" s="100">
        <f t="shared" si="115"/>
        <v>1.5854023282806922</v>
      </c>
      <c r="Y72" s="100">
        <f t="shared" si="115"/>
        <v>3.1120052320455591</v>
      </c>
      <c r="Z72" s="100">
        <f t="shared" si="115"/>
        <v>8.4858856268338769</v>
      </c>
      <c r="AA72" s="100">
        <f t="shared" si="115"/>
        <v>11.293189865496418</v>
      </c>
      <c r="AB72" s="100">
        <f t="shared" si="115"/>
        <v>98.533163063594642</v>
      </c>
      <c r="AC72" s="100">
        <f t="shared" si="115"/>
        <v>5.5708525704789533</v>
      </c>
      <c r="AD72" s="100">
        <f t="shared" si="115"/>
        <v>3.7722951769129507</v>
      </c>
      <c r="AE72" s="100">
        <f t="shared" si="115"/>
        <v>2.0260451566294115</v>
      </c>
      <c r="AF72" s="100">
        <f t="shared" si="115"/>
        <v>2.2220597559610642</v>
      </c>
      <c r="AG72" s="100">
        <f t="shared" si="115"/>
        <v>2.2331052897803141</v>
      </c>
      <c r="AH72" s="100">
        <f t="shared" si="115"/>
        <v>7.9914853730939761</v>
      </c>
      <c r="AI72" s="100">
        <f t="shared" ref="AI72:AZ72" si="116">IFERROR($B72/AI16,0)</f>
        <v>1.5661904730749436</v>
      </c>
      <c r="AJ72" s="100">
        <f t="shared" si="116"/>
        <v>19.276098612903429</v>
      </c>
      <c r="AK72" s="100">
        <f t="shared" si="116"/>
        <v>4.5353408849212702</v>
      </c>
      <c r="AL72" s="100">
        <f t="shared" si="116"/>
        <v>3.3876854490707156</v>
      </c>
      <c r="AM72" s="100">
        <f t="shared" si="116"/>
        <v>3.7398605810954106</v>
      </c>
      <c r="AN72" s="100">
        <f t="shared" si="116"/>
        <v>1.9419766987835305</v>
      </c>
      <c r="AO72" s="100">
        <f t="shared" si="116"/>
        <v>1.8228813713480292</v>
      </c>
      <c r="AP72" s="100">
        <f t="shared" si="116"/>
        <v>1.6671127973790913</v>
      </c>
      <c r="AQ72" s="100">
        <f t="shared" si="116"/>
        <v>6.7645213954540369</v>
      </c>
      <c r="AR72" s="100">
        <f t="shared" si="116"/>
        <v>4.1146866311897563</v>
      </c>
      <c r="AS72" s="100">
        <f t="shared" si="116"/>
        <v>1.9757815849770914</v>
      </c>
      <c r="AT72" s="100">
        <f t="shared" si="116"/>
        <v>7.8774387950345357</v>
      </c>
      <c r="AU72" s="100">
        <f t="shared" si="116"/>
        <v>4.2600504031602755</v>
      </c>
      <c r="AV72" s="100">
        <f t="shared" si="116"/>
        <v>3.3160997977284348</v>
      </c>
      <c r="AW72" s="100">
        <f t="shared" si="116"/>
        <v>2.5200281549963837</v>
      </c>
      <c r="AX72" s="100">
        <f t="shared" si="116"/>
        <v>5.951566109621039</v>
      </c>
      <c r="AY72" s="100">
        <f t="shared" si="116"/>
        <v>16.682479698207509</v>
      </c>
      <c r="AZ72" s="100">
        <f t="shared" si="116"/>
        <v>18.166329922709139</v>
      </c>
    </row>
    <row r="73" spans="1:52" x14ac:dyDescent="0.25">
      <c r="A73" s="195" t="s">
        <v>1097</v>
      </c>
      <c r="B73" s="196">
        <v>1</v>
      </c>
      <c r="C73" s="100">
        <f t="shared" ref="C73:AH73" si="117">IFERROR($B73/C7,0)</f>
        <v>1.1366761548320705</v>
      </c>
      <c r="D73" s="100">
        <f t="shared" si="117"/>
        <v>6.2793270926766953E-2</v>
      </c>
      <c r="E73" s="100">
        <f t="shared" si="117"/>
        <v>2.8237745627655676E-2</v>
      </c>
      <c r="F73" s="100">
        <f t="shared" si="117"/>
        <v>2.3090606531025987E-2</v>
      </c>
      <c r="G73" s="100">
        <f t="shared" si="117"/>
        <v>2.803260193577755E-2</v>
      </c>
      <c r="H73" s="100">
        <f t="shared" si="117"/>
        <v>2.3758948613778495E-2</v>
      </c>
      <c r="I73" s="100">
        <f t="shared" si="117"/>
        <v>6.3059250610729672E-2</v>
      </c>
      <c r="J73" s="100">
        <f t="shared" si="117"/>
        <v>2.0913592755686536E-2</v>
      </c>
      <c r="K73" s="100">
        <f t="shared" si="117"/>
        <v>0.2420757911502194</v>
      </c>
      <c r="L73" s="100">
        <f t="shared" si="117"/>
        <v>4.407581281697491E-2</v>
      </c>
      <c r="M73" s="100">
        <f t="shared" si="117"/>
        <v>5.924174886049114E-2</v>
      </c>
      <c r="N73" s="100">
        <f t="shared" si="117"/>
        <v>2.7207992542469805E-2</v>
      </c>
      <c r="O73" s="100">
        <f t="shared" si="117"/>
        <v>2.3968471335500528E-2</v>
      </c>
      <c r="P73" s="100">
        <f t="shared" si="117"/>
        <v>2.0924997156198336E-2</v>
      </c>
      <c r="Q73" s="100">
        <f t="shared" si="117"/>
        <v>1.5495938730527573E-2</v>
      </c>
      <c r="R73" s="100">
        <f t="shared" si="117"/>
        <v>9.8188644486326138E-2</v>
      </c>
      <c r="S73" s="100">
        <f t="shared" si="117"/>
        <v>4.7314266992138955E-2</v>
      </c>
      <c r="T73" s="100">
        <f t="shared" si="117"/>
        <v>2.9654287778123657E-2</v>
      </c>
      <c r="U73" s="100">
        <f t="shared" si="117"/>
        <v>9.4391049594446788E-2</v>
      </c>
      <c r="V73" s="100">
        <f t="shared" si="117"/>
        <v>5.1572953026978556E-2</v>
      </c>
      <c r="W73" s="100">
        <f t="shared" si="117"/>
        <v>4.1864784606085843E-2</v>
      </c>
      <c r="X73" s="100">
        <f t="shared" si="117"/>
        <v>3.1654077170228938E-2</v>
      </c>
      <c r="Y73" s="100">
        <f t="shared" si="117"/>
        <v>5.9159321583939252E-2</v>
      </c>
      <c r="Z73" s="100">
        <f t="shared" si="117"/>
        <v>0.12052554273747326</v>
      </c>
      <c r="AA73" s="100">
        <f t="shared" si="117"/>
        <v>0.15566409906342771</v>
      </c>
      <c r="AB73" s="100">
        <f t="shared" si="117"/>
        <v>1.8521973405410064</v>
      </c>
      <c r="AC73" s="100">
        <f t="shared" si="117"/>
        <v>0.11119202735626958</v>
      </c>
      <c r="AD73" s="100">
        <f t="shared" si="117"/>
        <v>4.6345446844830669E-2</v>
      </c>
      <c r="AE73" s="100">
        <f t="shared" si="117"/>
        <v>3.871478939333698E-2</v>
      </c>
      <c r="AF73" s="100">
        <f t="shared" si="117"/>
        <v>4.4350381498111768E-2</v>
      </c>
      <c r="AG73" s="100">
        <f t="shared" si="117"/>
        <v>4.2538635244207354E-2</v>
      </c>
      <c r="AH73" s="100">
        <f t="shared" si="117"/>
        <v>9.8179941915484112E-2</v>
      </c>
      <c r="AI73" s="100">
        <f t="shared" ref="AI73:AZ73" si="118">IFERROR($B73/AI7,0)</f>
        <v>2.9932044778126117E-2</v>
      </c>
      <c r="AJ73" s="100">
        <f t="shared" si="118"/>
        <v>0.38474793887624298</v>
      </c>
      <c r="AK73" s="100">
        <f t="shared" si="118"/>
        <v>9.8245474012859657E-2</v>
      </c>
      <c r="AL73" s="100">
        <f t="shared" si="118"/>
        <v>6.4756588401158943E-2</v>
      </c>
      <c r="AM73" s="100">
        <f t="shared" si="118"/>
        <v>4.5634458080133181E-2</v>
      </c>
      <c r="AN73" s="100">
        <f t="shared" si="118"/>
        <v>3.9831241455722699E-2</v>
      </c>
      <c r="AO73" s="100">
        <f t="shared" si="118"/>
        <v>3.4839889886051523E-2</v>
      </c>
      <c r="AP73" s="100">
        <f t="shared" si="118"/>
        <v>3.186080860482305E-2</v>
      </c>
      <c r="AQ73" s="100">
        <f t="shared" si="118"/>
        <v>0.13502255524655332</v>
      </c>
      <c r="AR73" s="100">
        <f t="shared" si="118"/>
        <v>8.2179835173385563E-2</v>
      </c>
      <c r="AS73" s="100">
        <f t="shared" si="118"/>
        <v>4.1159071422001516E-2</v>
      </c>
      <c r="AT73" s="100">
        <f t="shared" si="118"/>
        <v>0.17009621490311833</v>
      </c>
      <c r="AU73" s="100">
        <f t="shared" si="118"/>
        <v>8.1426821701094776E-2</v>
      </c>
      <c r="AV73" s="100">
        <f t="shared" si="118"/>
        <v>6.7688931013125439E-2</v>
      </c>
      <c r="AW73" s="100">
        <f t="shared" si="118"/>
        <v>5.0314777685429413E-2</v>
      </c>
      <c r="AX73" s="100">
        <f t="shared" si="118"/>
        <v>0.1131394670489393</v>
      </c>
      <c r="AY73" s="100">
        <f t="shared" si="118"/>
        <v>0.23694226015435083</v>
      </c>
      <c r="AZ73" s="100">
        <f t="shared" si="118"/>
        <v>0.25040271299673234</v>
      </c>
    </row>
    <row r="74" spans="1:52" x14ac:dyDescent="0.25">
      <c r="A74" s="195" t="s">
        <v>1098</v>
      </c>
      <c r="B74" s="199">
        <v>1.9000000000000001E-8</v>
      </c>
      <c r="C74" s="100">
        <f t="shared" ref="C74:AH74" si="119">IFERROR($B74/C12,0)</f>
        <v>0</v>
      </c>
      <c r="D74" s="100">
        <f t="shared" si="119"/>
        <v>0</v>
      </c>
      <c r="E74" s="100">
        <f t="shared" si="119"/>
        <v>0</v>
      </c>
      <c r="F74" s="100">
        <f t="shared" si="119"/>
        <v>0</v>
      </c>
      <c r="G74" s="100">
        <f t="shared" si="119"/>
        <v>0</v>
      </c>
      <c r="H74" s="100">
        <f t="shared" si="119"/>
        <v>0</v>
      </c>
      <c r="I74" s="100">
        <f t="shared" si="119"/>
        <v>0</v>
      </c>
      <c r="J74" s="100">
        <f t="shared" si="119"/>
        <v>0</v>
      </c>
      <c r="K74" s="100">
        <f t="shared" si="119"/>
        <v>0</v>
      </c>
      <c r="L74" s="100">
        <f t="shared" si="119"/>
        <v>0</v>
      </c>
      <c r="M74" s="100">
        <f t="shared" si="119"/>
        <v>0</v>
      </c>
      <c r="N74" s="100">
        <f t="shared" si="119"/>
        <v>0</v>
      </c>
      <c r="O74" s="100">
        <f t="shared" si="119"/>
        <v>0</v>
      </c>
      <c r="P74" s="100">
        <f t="shared" si="119"/>
        <v>0</v>
      </c>
      <c r="Q74" s="100">
        <f t="shared" si="119"/>
        <v>0</v>
      </c>
      <c r="R74" s="100">
        <f t="shared" si="119"/>
        <v>0</v>
      </c>
      <c r="S74" s="100">
        <f t="shared" si="119"/>
        <v>0</v>
      </c>
      <c r="T74" s="100">
        <f t="shared" si="119"/>
        <v>0</v>
      </c>
      <c r="U74" s="100">
        <f t="shared" si="119"/>
        <v>0</v>
      </c>
      <c r="V74" s="100">
        <f t="shared" si="119"/>
        <v>0</v>
      </c>
      <c r="W74" s="100">
        <f t="shared" si="119"/>
        <v>0</v>
      </c>
      <c r="X74" s="100">
        <f t="shared" si="119"/>
        <v>0</v>
      </c>
      <c r="Y74" s="100">
        <f t="shared" si="119"/>
        <v>0</v>
      </c>
      <c r="Z74" s="100">
        <f t="shared" si="119"/>
        <v>0</v>
      </c>
      <c r="AA74" s="100">
        <f t="shared" si="119"/>
        <v>0</v>
      </c>
      <c r="AB74" s="100">
        <f t="shared" si="119"/>
        <v>0</v>
      </c>
      <c r="AC74" s="100">
        <f t="shared" si="119"/>
        <v>0</v>
      </c>
      <c r="AD74" s="100">
        <f t="shared" si="119"/>
        <v>0</v>
      </c>
      <c r="AE74" s="100">
        <f t="shared" si="119"/>
        <v>0</v>
      </c>
      <c r="AF74" s="100">
        <f t="shared" si="119"/>
        <v>0</v>
      </c>
      <c r="AG74" s="100">
        <f t="shared" si="119"/>
        <v>0</v>
      </c>
      <c r="AH74" s="100">
        <f t="shared" si="119"/>
        <v>0</v>
      </c>
      <c r="AI74" s="100">
        <f t="shared" ref="AI74:AZ74" si="120">IFERROR($B74/AI12,0)</f>
        <v>0</v>
      </c>
      <c r="AJ74" s="100">
        <f t="shared" si="120"/>
        <v>0</v>
      </c>
      <c r="AK74" s="100">
        <f t="shared" si="120"/>
        <v>0</v>
      </c>
      <c r="AL74" s="100">
        <f t="shared" si="120"/>
        <v>0</v>
      </c>
      <c r="AM74" s="100">
        <f t="shared" si="120"/>
        <v>0</v>
      </c>
      <c r="AN74" s="100">
        <f t="shared" si="120"/>
        <v>0</v>
      </c>
      <c r="AO74" s="100">
        <f t="shared" si="120"/>
        <v>0</v>
      </c>
      <c r="AP74" s="100">
        <f t="shared" si="120"/>
        <v>0</v>
      </c>
      <c r="AQ74" s="100">
        <f t="shared" si="120"/>
        <v>0</v>
      </c>
      <c r="AR74" s="100">
        <f t="shared" si="120"/>
        <v>0</v>
      </c>
      <c r="AS74" s="100">
        <f t="shared" si="120"/>
        <v>0</v>
      </c>
      <c r="AT74" s="100">
        <f t="shared" si="120"/>
        <v>0</v>
      </c>
      <c r="AU74" s="100">
        <f t="shared" si="120"/>
        <v>0</v>
      </c>
      <c r="AV74" s="100">
        <f t="shared" si="120"/>
        <v>0</v>
      </c>
      <c r="AW74" s="100">
        <f t="shared" si="120"/>
        <v>0</v>
      </c>
      <c r="AX74" s="100">
        <f t="shared" si="120"/>
        <v>0</v>
      </c>
      <c r="AY74" s="100">
        <f t="shared" si="120"/>
        <v>0</v>
      </c>
      <c r="AZ74" s="100">
        <f t="shared" si="120"/>
        <v>0</v>
      </c>
    </row>
    <row r="75" spans="1:52" x14ac:dyDescent="0.25">
      <c r="A75" s="195" t="s">
        <v>1099</v>
      </c>
      <c r="B75" s="196">
        <v>1</v>
      </c>
      <c r="C75" s="100">
        <f t="shared" ref="C75:AH75" si="121">IFERROR($B75/C18,0)</f>
        <v>100.96047485405327</v>
      </c>
      <c r="D75" s="100">
        <f t="shared" si="121"/>
        <v>5.498003626855116</v>
      </c>
      <c r="E75" s="100">
        <f t="shared" si="121"/>
        <v>2.6456068494753331</v>
      </c>
      <c r="F75" s="100">
        <f t="shared" si="121"/>
        <v>2.132266263686446</v>
      </c>
      <c r="G75" s="100">
        <f t="shared" si="121"/>
        <v>2.4545275541141303</v>
      </c>
      <c r="H75" s="100">
        <f t="shared" si="121"/>
        <v>2.0887724531525032</v>
      </c>
      <c r="I75" s="100">
        <f t="shared" si="121"/>
        <v>5.9086928261126319</v>
      </c>
      <c r="J75" s="100">
        <f t="shared" si="121"/>
        <v>1.93089086762644</v>
      </c>
      <c r="K75" s="100">
        <f t="shared" si="121"/>
        <v>21.195173807287333</v>
      </c>
      <c r="L75" s="100">
        <f t="shared" si="121"/>
        <v>3.8603852961705458</v>
      </c>
      <c r="M75" s="100">
        <f t="shared" si="121"/>
        <v>5.1840339129081894</v>
      </c>
      <c r="N75" s="100">
        <f t="shared" si="121"/>
        <v>2.6836006442827229</v>
      </c>
      <c r="O75" s="100">
        <f t="shared" si="121"/>
        <v>2.1365619266758076</v>
      </c>
      <c r="P75" s="100">
        <f t="shared" si="121"/>
        <v>1.8314261229406936</v>
      </c>
      <c r="Q75" s="100">
        <f t="shared" si="121"/>
        <v>1.3563681611961751</v>
      </c>
      <c r="R75" s="100">
        <f t="shared" si="121"/>
        <v>8.5967085098378568</v>
      </c>
      <c r="S75" s="100">
        <f t="shared" si="121"/>
        <v>4.139501041356878</v>
      </c>
      <c r="T75" s="100">
        <f t="shared" si="121"/>
        <v>2.5984496911759143</v>
      </c>
      <c r="U75" s="100">
        <f t="shared" si="121"/>
        <v>8.4686192975154473</v>
      </c>
      <c r="V75" s="100">
        <f t="shared" si="121"/>
        <v>4.5133580084723857</v>
      </c>
      <c r="W75" s="100">
        <f t="shared" si="121"/>
        <v>3.7517046197069357</v>
      </c>
      <c r="X75" s="100">
        <f t="shared" si="121"/>
        <v>2.770471288210695</v>
      </c>
      <c r="Y75" s="100">
        <f t="shared" si="121"/>
        <v>5.2153520852930804</v>
      </c>
      <c r="Z75" s="100">
        <f t="shared" si="121"/>
        <v>16.837761608925199</v>
      </c>
      <c r="AA75" s="100">
        <f t="shared" si="121"/>
        <v>20.98626013948348</v>
      </c>
      <c r="AB75" s="100">
        <f t="shared" si="121"/>
        <v>164.53574961058493</v>
      </c>
      <c r="AC75" s="100">
        <f t="shared" si="121"/>
        <v>9.7356637209600976</v>
      </c>
      <c r="AD75" s="100">
        <f t="shared" si="121"/>
        <v>4.3421253676353881</v>
      </c>
      <c r="AE75" s="100">
        <f t="shared" si="121"/>
        <v>3.5750572085760766</v>
      </c>
      <c r="AF75" s="100">
        <f t="shared" si="121"/>
        <v>3.8833082163398331</v>
      </c>
      <c r="AG75" s="100">
        <f t="shared" si="121"/>
        <v>3.7397921489368362</v>
      </c>
      <c r="AH75" s="100">
        <f t="shared" si="121"/>
        <v>9.1995244606580844</v>
      </c>
      <c r="AI75" s="100">
        <f t="shared" ref="AI75:AZ75" si="122">IFERROR($B75/AI18,0)</f>
        <v>2.7635381728351982</v>
      </c>
      <c r="AJ75" s="100">
        <f t="shared" si="122"/>
        <v>33.686968026542949</v>
      </c>
      <c r="AK75" s="100">
        <f t="shared" si="122"/>
        <v>8.6048415004721708</v>
      </c>
      <c r="AL75" s="100">
        <f t="shared" si="122"/>
        <v>5.6666178297063521</v>
      </c>
      <c r="AM75" s="100">
        <f t="shared" si="122"/>
        <v>4.5010546409912244</v>
      </c>
      <c r="AN75" s="100">
        <f t="shared" si="122"/>
        <v>3.5505774563303429</v>
      </c>
      <c r="AO75" s="100">
        <f t="shared" si="122"/>
        <v>3.0493043311497621</v>
      </c>
      <c r="AP75" s="100">
        <f t="shared" si="122"/>
        <v>2.7887943501229766</v>
      </c>
      <c r="AQ75" s="100">
        <f t="shared" si="122"/>
        <v>11.821627193048222</v>
      </c>
      <c r="AR75" s="100">
        <f t="shared" si="122"/>
        <v>7.1898717850851632</v>
      </c>
      <c r="AS75" s="100">
        <f t="shared" si="122"/>
        <v>3.6065535353874001</v>
      </c>
      <c r="AT75" s="100">
        <f t="shared" si="122"/>
        <v>15.26076989451793</v>
      </c>
      <c r="AU75" s="100">
        <f t="shared" si="122"/>
        <v>7.1259909750919288</v>
      </c>
      <c r="AV75" s="100">
        <f t="shared" si="122"/>
        <v>6.065930532652267</v>
      </c>
      <c r="AW75" s="100">
        <f t="shared" si="122"/>
        <v>4.4037185541864323</v>
      </c>
      <c r="AX75" s="100">
        <f t="shared" si="122"/>
        <v>9.9741197093582823</v>
      </c>
      <c r="AY75" s="100">
        <f t="shared" si="122"/>
        <v>33.101508617546131</v>
      </c>
      <c r="AZ75" s="100">
        <f t="shared" si="122"/>
        <v>33.758692634970444</v>
      </c>
    </row>
    <row r="76" spans="1:52" x14ac:dyDescent="0.25">
      <c r="A76" s="195" t="s">
        <v>1100</v>
      </c>
      <c r="B76" s="196">
        <v>1.339E-6</v>
      </c>
      <c r="C76" s="100">
        <f t="shared" ref="C76:AH76" si="123">IFERROR($B76/C27,0)</f>
        <v>0</v>
      </c>
      <c r="D76" s="100">
        <f t="shared" si="123"/>
        <v>0</v>
      </c>
      <c r="E76" s="100">
        <f t="shared" si="123"/>
        <v>0</v>
      </c>
      <c r="F76" s="100">
        <f t="shared" si="123"/>
        <v>0</v>
      </c>
      <c r="G76" s="100">
        <f t="shared" si="123"/>
        <v>0</v>
      </c>
      <c r="H76" s="100">
        <f t="shared" si="123"/>
        <v>0</v>
      </c>
      <c r="I76" s="100">
        <f t="shared" si="123"/>
        <v>0</v>
      </c>
      <c r="J76" s="100">
        <f t="shared" si="123"/>
        <v>0</v>
      </c>
      <c r="K76" s="100">
        <f t="shared" si="123"/>
        <v>0</v>
      </c>
      <c r="L76" s="100">
        <f t="shared" si="123"/>
        <v>0</v>
      </c>
      <c r="M76" s="100">
        <f t="shared" si="123"/>
        <v>0</v>
      </c>
      <c r="N76" s="100">
        <f t="shared" si="123"/>
        <v>0</v>
      </c>
      <c r="O76" s="100">
        <f t="shared" si="123"/>
        <v>0</v>
      </c>
      <c r="P76" s="100">
        <f t="shared" si="123"/>
        <v>0</v>
      </c>
      <c r="Q76" s="100">
        <f t="shared" si="123"/>
        <v>0</v>
      </c>
      <c r="R76" s="100">
        <f t="shared" si="123"/>
        <v>0</v>
      </c>
      <c r="S76" s="100">
        <f t="shared" si="123"/>
        <v>0</v>
      </c>
      <c r="T76" s="100">
        <f t="shared" si="123"/>
        <v>0</v>
      </c>
      <c r="U76" s="100">
        <f t="shared" si="123"/>
        <v>0</v>
      </c>
      <c r="V76" s="100">
        <f t="shared" si="123"/>
        <v>0</v>
      </c>
      <c r="W76" s="100">
        <f t="shared" si="123"/>
        <v>0</v>
      </c>
      <c r="X76" s="100">
        <f t="shared" si="123"/>
        <v>0</v>
      </c>
      <c r="Y76" s="100">
        <f t="shared" si="123"/>
        <v>0</v>
      </c>
      <c r="Z76" s="100">
        <f t="shared" si="123"/>
        <v>0</v>
      </c>
      <c r="AA76" s="100">
        <f t="shared" si="123"/>
        <v>0</v>
      </c>
      <c r="AB76" s="100">
        <f t="shared" si="123"/>
        <v>0</v>
      </c>
      <c r="AC76" s="100">
        <f t="shared" si="123"/>
        <v>0</v>
      </c>
      <c r="AD76" s="100">
        <f t="shared" si="123"/>
        <v>0</v>
      </c>
      <c r="AE76" s="100">
        <f t="shared" si="123"/>
        <v>0</v>
      </c>
      <c r="AF76" s="100">
        <f t="shared" si="123"/>
        <v>0</v>
      </c>
      <c r="AG76" s="100">
        <f t="shared" si="123"/>
        <v>0</v>
      </c>
      <c r="AH76" s="100">
        <f t="shared" si="123"/>
        <v>0</v>
      </c>
      <c r="AI76" s="100">
        <f t="shared" ref="AI76:AZ76" si="124">IFERROR($B76/AI27,0)</f>
        <v>0</v>
      </c>
      <c r="AJ76" s="100">
        <f t="shared" si="124"/>
        <v>0</v>
      </c>
      <c r="AK76" s="100">
        <f t="shared" si="124"/>
        <v>0</v>
      </c>
      <c r="AL76" s="100">
        <f t="shared" si="124"/>
        <v>0</v>
      </c>
      <c r="AM76" s="100">
        <f t="shared" si="124"/>
        <v>0</v>
      </c>
      <c r="AN76" s="100">
        <f t="shared" si="124"/>
        <v>0</v>
      </c>
      <c r="AO76" s="100">
        <f t="shared" si="124"/>
        <v>0</v>
      </c>
      <c r="AP76" s="100">
        <f t="shared" si="124"/>
        <v>0</v>
      </c>
      <c r="AQ76" s="100">
        <f t="shared" si="124"/>
        <v>0</v>
      </c>
      <c r="AR76" s="100">
        <f t="shared" si="124"/>
        <v>0</v>
      </c>
      <c r="AS76" s="100">
        <f t="shared" si="124"/>
        <v>0</v>
      </c>
      <c r="AT76" s="100">
        <f t="shared" si="124"/>
        <v>0</v>
      </c>
      <c r="AU76" s="100">
        <f t="shared" si="124"/>
        <v>0</v>
      </c>
      <c r="AV76" s="100">
        <f t="shared" si="124"/>
        <v>0</v>
      </c>
      <c r="AW76" s="100">
        <f t="shared" si="124"/>
        <v>0</v>
      </c>
      <c r="AX76" s="100">
        <f t="shared" si="124"/>
        <v>0</v>
      </c>
      <c r="AY76" s="100">
        <f t="shared" si="124"/>
        <v>0</v>
      </c>
      <c r="AZ76" s="100">
        <f t="shared" si="124"/>
        <v>0</v>
      </c>
    </row>
  </sheetData>
  <sheetProtection algorithmName="SHA-512" hashValue="Gve0jKDygHG5qsYPuFAkBe4ASH4ahVcmH5OnO4XOuBZBAaYapTVtDaG92WWhHOVhJ/rbqSXEinVh8ggroFkI1A==" saltValue="X8JeUIegOK6Yu0dJ1GnSHA==" spinCount="100000" sheet="1" objects="1" scenarios="1" formatColumns="0" formatRows="0" autoFilter="0"/>
  <autoFilter ref="A1:AZ76" xr:uid="{9BD88A67-8028-45FC-AC81-0CD541C8504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Z32"/>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4.5703125" style="4" bestFit="1" customWidth="1"/>
    <col min="2" max="2" width="10.7109375" style="4" bestFit="1" customWidth="1"/>
    <col min="3" max="3" width="13.5703125" bestFit="1" customWidth="1"/>
    <col min="4" max="4" width="13.42578125" bestFit="1" customWidth="1"/>
    <col min="5" max="5" width="12.85546875" bestFit="1" customWidth="1"/>
    <col min="6" max="6" width="13.42578125" bestFit="1" customWidth="1"/>
    <col min="7" max="7" width="12.7109375" bestFit="1" customWidth="1"/>
    <col min="8" max="8" width="13" bestFit="1" customWidth="1"/>
    <col min="9" max="9" width="12.140625" bestFit="1" customWidth="1"/>
    <col min="10" max="10" width="13.5703125" bestFit="1" customWidth="1"/>
    <col min="11" max="11" width="12.7109375" bestFit="1" customWidth="1"/>
    <col min="12" max="12" width="14.42578125" bestFit="1" customWidth="1"/>
    <col min="13" max="13" width="12" bestFit="1" customWidth="1"/>
    <col min="14" max="14" width="12.5703125" bestFit="1" customWidth="1"/>
    <col min="15" max="15" width="12.7109375" bestFit="1" customWidth="1"/>
    <col min="16" max="16" width="13.85546875" bestFit="1" customWidth="1"/>
    <col min="17" max="17" width="14" bestFit="1" customWidth="1"/>
    <col min="18" max="18" width="12.7109375" bestFit="1" customWidth="1"/>
    <col min="19" max="19" width="12" bestFit="1" customWidth="1"/>
    <col min="20" max="20" width="13.42578125" bestFit="1" customWidth="1"/>
    <col min="21" max="21" width="13.85546875" bestFit="1" customWidth="1"/>
    <col min="22" max="22" width="12.85546875" bestFit="1" customWidth="1"/>
    <col min="23" max="23" width="13.5703125" bestFit="1" customWidth="1"/>
    <col min="24" max="24" width="12.42578125" bestFit="1" customWidth="1"/>
    <col min="25" max="25" width="12" bestFit="1" customWidth="1"/>
    <col min="26" max="26" width="14" bestFit="1" customWidth="1"/>
  </cols>
  <sheetData>
    <row r="1" spans="1:26" x14ac:dyDescent="0.25">
      <c r="A1" s="78" t="s">
        <v>51</v>
      </c>
      <c r="B1" s="79" t="s">
        <v>350</v>
      </c>
      <c r="C1" s="112" t="s">
        <v>643</v>
      </c>
      <c r="D1" s="112" t="s">
        <v>644</v>
      </c>
      <c r="E1" s="112" t="s">
        <v>645</v>
      </c>
      <c r="F1" s="112" t="s">
        <v>646</v>
      </c>
      <c r="G1" s="112" t="s">
        <v>647</v>
      </c>
      <c r="H1" s="112" t="s">
        <v>648</v>
      </c>
      <c r="I1" s="112" t="s">
        <v>649</v>
      </c>
      <c r="J1" s="112" t="s">
        <v>650</v>
      </c>
      <c r="K1" s="112" t="s">
        <v>651</v>
      </c>
      <c r="L1" s="112" t="s">
        <v>652</v>
      </c>
      <c r="M1" s="112" t="s">
        <v>653</v>
      </c>
      <c r="N1" s="112" t="s">
        <v>654</v>
      </c>
      <c r="O1" s="112" t="s">
        <v>655</v>
      </c>
      <c r="P1" s="112" t="s">
        <v>656</v>
      </c>
      <c r="Q1" s="112" t="s">
        <v>657</v>
      </c>
      <c r="R1" s="112" t="s">
        <v>658</v>
      </c>
      <c r="S1" s="112" t="s">
        <v>659</v>
      </c>
      <c r="T1" s="112" t="s">
        <v>660</v>
      </c>
      <c r="U1" s="112" t="s">
        <v>661</v>
      </c>
      <c r="V1" s="112" t="s">
        <v>662</v>
      </c>
      <c r="W1" s="112" t="s">
        <v>663</v>
      </c>
      <c r="X1" s="112" t="s">
        <v>664</v>
      </c>
      <c r="Y1" s="112" t="s">
        <v>665</v>
      </c>
      <c r="Z1" s="112" t="s">
        <v>735</v>
      </c>
    </row>
    <row r="2" spans="1:26" ht="15" customHeight="1" x14ac:dyDescent="0.25">
      <c r="A2" s="44" t="s">
        <v>12</v>
      </c>
      <c r="B2" s="42" t="s">
        <v>1074</v>
      </c>
      <c r="C2" s="188">
        <v>1E-3</v>
      </c>
      <c r="D2" s="188">
        <v>1E-3</v>
      </c>
      <c r="E2" s="188">
        <v>1E-3</v>
      </c>
      <c r="F2" s="188">
        <v>1E-3</v>
      </c>
      <c r="G2" s="188">
        <v>1E-3</v>
      </c>
      <c r="H2" s="188">
        <v>1E-3</v>
      </c>
      <c r="I2" s="188">
        <v>1E-3</v>
      </c>
      <c r="J2" s="188">
        <v>1E-3</v>
      </c>
      <c r="K2" s="188">
        <v>1E-3</v>
      </c>
      <c r="L2" s="188">
        <v>1E-3</v>
      </c>
      <c r="M2" s="188">
        <v>1E-3</v>
      </c>
      <c r="N2" s="188">
        <v>1E-3</v>
      </c>
      <c r="O2" s="188">
        <v>1E-3</v>
      </c>
      <c r="P2" s="188">
        <v>1E-3</v>
      </c>
      <c r="Q2" s="188">
        <v>1E-3</v>
      </c>
      <c r="R2" s="188">
        <v>1E-3</v>
      </c>
      <c r="S2" s="188">
        <v>1E-3</v>
      </c>
      <c r="T2" s="188">
        <v>1E-3</v>
      </c>
      <c r="U2" s="188">
        <v>1E-3</v>
      </c>
      <c r="V2" s="188">
        <v>1E-3</v>
      </c>
      <c r="W2" s="188">
        <v>1E-3</v>
      </c>
      <c r="X2" s="188">
        <v>1E-3</v>
      </c>
      <c r="Y2" s="188">
        <v>1E-3</v>
      </c>
      <c r="Z2" s="188">
        <v>1E-3</v>
      </c>
    </row>
    <row r="3" spans="1:26" ht="15" customHeight="1" x14ac:dyDescent="0.25">
      <c r="A3" s="46" t="s">
        <v>13</v>
      </c>
      <c r="B3" s="42" t="s">
        <v>351</v>
      </c>
      <c r="C3" s="189">
        <v>3.1000000000000001E-5</v>
      </c>
      <c r="D3" s="189">
        <v>2.7E-4</v>
      </c>
      <c r="E3" s="189">
        <v>6.7000000000000002E-4</v>
      </c>
      <c r="F3" s="190">
        <v>8.0000000000000004E-4</v>
      </c>
      <c r="G3" s="189">
        <v>3.6000000000000002E-4</v>
      </c>
      <c r="H3" s="189">
        <v>2.7E-4</v>
      </c>
      <c r="I3" s="189">
        <v>6.7000000000000002E-4</v>
      </c>
      <c r="J3" s="189">
        <v>3.1000000000000001E-5</v>
      </c>
      <c r="K3" s="190">
        <v>5.0000000000000002E-5</v>
      </c>
      <c r="L3" s="189">
        <v>3.6000000000000002E-4</v>
      </c>
      <c r="M3" s="189">
        <v>2.7E-4</v>
      </c>
      <c r="N3" s="189">
        <v>3.8000000000000002E-4</v>
      </c>
      <c r="O3" s="189">
        <v>3.6000000000000002E-4</v>
      </c>
      <c r="P3" s="189">
        <v>3.6000000000000002E-4</v>
      </c>
      <c r="Q3" s="189">
        <v>3.1000000000000001E-5</v>
      </c>
      <c r="R3" s="189">
        <v>3.1000000000000001E-5</v>
      </c>
      <c r="S3" s="189">
        <v>3.8000000000000002E-4</v>
      </c>
      <c r="T3" s="189">
        <v>2.1000000000000001E-4</v>
      </c>
      <c r="U3" s="189">
        <v>3.6000000000000002E-4</v>
      </c>
      <c r="V3" s="189">
        <v>3.8000000000000002E-4</v>
      </c>
      <c r="W3" s="189">
        <v>1.1E-4</v>
      </c>
      <c r="X3" s="189">
        <v>3.6000000000000002E-4</v>
      </c>
      <c r="Y3" s="188">
        <v>1E-3</v>
      </c>
      <c r="Z3" s="189">
        <v>2.1999999999999999E-5</v>
      </c>
    </row>
    <row r="4" spans="1:26" ht="15" customHeight="1" x14ac:dyDescent="0.25">
      <c r="A4" s="44" t="s">
        <v>14</v>
      </c>
      <c r="B4" s="42" t="s">
        <v>1074</v>
      </c>
      <c r="C4" s="188">
        <v>0.2</v>
      </c>
      <c r="D4" s="188">
        <v>0.2</v>
      </c>
      <c r="E4" s="188">
        <v>0.2</v>
      </c>
      <c r="F4" s="188">
        <v>0.2</v>
      </c>
      <c r="G4" s="188">
        <v>0.2</v>
      </c>
      <c r="H4" s="188">
        <v>0.2</v>
      </c>
      <c r="I4" s="188">
        <v>0.2</v>
      </c>
      <c r="J4" s="188">
        <v>0.2</v>
      </c>
      <c r="K4" s="188">
        <v>0.2</v>
      </c>
      <c r="L4" s="188">
        <v>0.2</v>
      </c>
      <c r="M4" s="188">
        <v>0.2</v>
      </c>
      <c r="N4" s="188">
        <v>0.2</v>
      </c>
      <c r="O4" s="188">
        <v>0.2</v>
      </c>
      <c r="P4" s="188">
        <v>0.2</v>
      </c>
      <c r="Q4" s="188">
        <v>0.2</v>
      </c>
      <c r="R4" s="188">
        <v>0.2</v>
      </c>
      <c r="S4" s="188">
        <v>0.2</v>
      </c>
      <c r="T4" s="188">
        <v>0.2</v>
      </c>
      <c r="U4" s="188">
        <v>0.2</v>
      </c>
      <c r="V4" s="188">
        <v>0.2</v>
      </c>
      <c r="W4" s="188">
        <v>0.2</v>
      </c>
      <c r="X4" s="188">
        <v>0.2</v>
      </c>
      <c r="Y4" s="188">
        <v>0.2</v>
      </c>
      <c r="Z4" s="188">
        <v>0.2</v>
      </c>
    </row>
    <row r="5" spans="1:26" ht="15" customHeight="1" x14ac:dyDescent="0.25">
      <c r="A5" s="44" t="s">
        <v>15</v>
      </c>
      <c r="B5" s="42" t="s">
        <v>1074</v>
      </c>
      <c r="C5" s="188">
        <v>0.2</v>
      </c>
      <c r="D5" s="188">
        <v>0.2</v>
      </c>
      <c r="E5" s="188">
        <v>0.2</v>
      </c>
      <c r="F5" s="188">
        <v>0.2</v>
      </c>
      <c r="G5" s="188">
        <v>0.2</v>
      </c>
      <c r="H5" s="188">
        <v>0.2</v>
      </c>
      <c r="I5" s="188">
        <v>0.2</v>
      </c>
      <c r="J5" s="188">
        <v>0.2</v>
      </c>
      <c r="K5" s="188">
        <v>0.2</v>
      </c>
      <c r="L5" s="188">
        <v>0.2</v>
      </c>
      <c r="M5" s="188">
        <v>0.2</v>
      </c>
      <c r="N5" s="188">
        <v>0.2</v>
      </c>
      <c r="O5" s="188">
        <v>0.2</v>
      </c>
      <c r="P5" s="188">
        <v>0.2</v>
      </c>
      <c r="Q5" s="188">
        <v>0.2</v>
      </c>
      <c r="R5" s="188">
        <v>0.2</v>
      </c>
      <c r="S5" s="188">
        <v>0.2</v>
      </c>
      <c r="T5" s="188">
        <v>0.2</v>
      </c>
      <c r="U5" s="188">
        <v>0.2</v>
      </c>
      <c r="V5" s="188">
        <v>0.2</v>
      </c>
      <c r="W5" s="188">
        <v>0.2</v>
      </c>
      <c r="X5" s="188">
        <v>0.2</v>
      </c>
      <c r="Y5" s="188">
        <v>0.2</v>
      </c>
      <c r="Z5" s="188">
        <v>0.2</v>
      </c>
    </row>
    <row r="6" spans="1:26" ht="15" customHeight="1" x14ac:dyDescent="0.25">
      <c r="A6" s="44" t="s">
        <v>16</v>
      </c>
      <c r="B6" s="42" t="s">
        <v>1074</v>
      </c>
      <c r="C6" s="190">
        <v>0.01</v>
      </c>
      <c r="D6" s="189">
        <v>5.0000000000000001E-3</v>
      </c>
      <c r="E6" s="189">
        <v>5.0000000000000001E-3</v>
      </c>
      <c r="F6" s="190">
        <v>0.01</v>
      </c>
      <c r="G6" s="190">
        <v>0.01</v>
      </c>
      <c r="H6" s="189">
        <v>5.0000000000000001E-3</v>
      </c>
      <c r="I6" s="189">
        <v>5.0000000000000001E-3</v>
      </c>
      <c r="J6" s="190">
        <v>0.01</v>
      </c>
      <c r="K6" s="190">
        <v>0.01</v>
      </c>
      <c r="L6" s="190">
        <v>0.01</v>
      </c>
      <c r="M6" s="189">
        <v>5.0000000000000001E-3</v>
      </c>
      <c r="N6" s="190">
        <v>0.01</v>
      </c>
      <c r="O6" s="190">
        <v>0.01</v>
      </c>
      <c r="P6" s="190">
        <v>0.01</v>
      </c>
      <c r="Q6" s="190">
        <v>0.01</v>
      </c>
      <c r="R6" s="190">
        <v>0.01</v>
      </c>
      <c r="S6" s="190">
        <v>0.01</v>
      </c>
      <c r="T6" s="189">
        <v>5.0000000000000001E-3</v>
      </c>
      <c r="U6" s="190">
        <v>0.01</v>
      </c>
      <c r="V6" s="190">
        <v>0.01</v>
      </c>
      <c r="W6" s="190">
        <v>0.01</v>
      </c>
      <c r="X6" s="190">
        <v>0.01</v>
      </c>
      <c r="Y6" s="189">
        <v>9.3999999999999997E-4</v>
      </c>
      <c r="Z6" s="189">
        <v>1E-3</v>
      </c>
    </row>
    <row r="7" spans="1:26" ht="15" customHeight="1" x14ac:dyDescent="0.25">
      <c r="A7" s="44" t="s">
        <v>17</v>
      </c>
      <c r="B7" s="42" t="s">
        <v>1074</v>
      </c>
      <c r="C7" s="188">
        <v>0.1</v>
      </c>
      <c r="D7" s="188">
        <v>0.1</v>
      </c>
      <c r="E7" s="188">
        <v>0.1</v>
      </c>
      <c r="F7" s="188">
        <v>0.1</v>
      </c>
      <c r="G7" s="188">
        <v>0.1</v>
      </c>
      <c r="H7" s="188">
        <v>0.1</v>
      </c>
      <c r="I7" s="188">
        <v>0.1</v>
      </c>
      <c r="J7" s="188">
        <v>0.1</v>
      </c>
      <c r="K7" s="188">
        <v>0.1</v>
      </c>
      <c r="L7" s="188">
        <v>0.1</v>
      </c>
      <c r="M7" s="188">
        <v>0.1</v>
      </c>
      <c r="N7" s="188">
        <v>0.1</v>
      </c>
      <c r="O7" s="188">
        <v>0.1</v>
      </c>
      <c r="P7" s="188">
        <v>0.1</v>
      </c>
      <c r="Q7" s="188">
        <v>0.1</v>
      </c>
      <c r="R7" s="188">
        <v>0.1</v>
      </c>
      <c r="S7" s="188">
        <v>0.1</v>
      </c>
      <c r="T7" s="188">
        <v>0.1</v>
      </c>
      <c r="U7" s="188">
        <v>0.1</v>
      </c>
      <c r="V7" s="188">
        <v>0.1</v>
      </c>
      <c r="W7" s="188">
        <v>0.1</v>
      </c>
      <c r="X7" s="188">
        <v>0.1</v>
      </c>
      <c r="Y7" s="188">
        <v>0.1</v>
      </c>
      <c r="Z7" s="188">
        <v>0.1</v>
      </c>
    </row>
    <row r="8" spans="1:26" ht="15" customHeight="1" x14ac:dyDescent="0.25">
      <c r="A8" s="44" t="s">
        <v>18</v>
      </c>
      <c r="B8" s="42" t="s">
        <v>1074</v>
      </c>
      <c r="C8" s="188">
        <v>0.1</v>
      </c>
      <c r="D8" s="188">
        <v>0.1</v>
      </c>
      <c r="E8" s="188">
        <v>0.1</v>
      </c>
      <c r="F8" s="188">
        <v>0.1</v>
      </c>
      <c r="G8" s="188">
        <v>0.1</v>
      </c>
      <c r="H8" s="188">
        <v>0.1</v>
      </c>
      <c r="I8" s="188">
        <v>0.1</v>
      </c>
      <c r="J8" s="188">
        <v>0.1</v>
      </c>
      <c r="K8" s="188">
        <v>0.1</v>
      </c>
      <c r="L8" s="188">
        <v>0.1</v>
      </c>
      <c r="M8" s="188">
        <v>0.1</v>
      </c>
      <c r="N8" s="188">
        <v>0.1</v>
      </c>
      <c r="O8" s="188">
        <v>0.1</v>
      </c>
      <c r="P8" s="188">
        <v>0.1</v>
      </c>
      <c r="Q8" s="188">
        <v>0.1</v>
      </c>
      <c r="R8" s="188">
        <v>0.1</v>
      </c>
      <c r="S8" s="188">
        <v>0.1</v>
      </c>
      <c r="T8" s="188">
        <v>0.1</v>
      </c>
      <c r="U8" s="188">
        <v>0.1</v>
      </c>
      <c r="V8" s="188">
        <v>0.1</v>
      </c>
      <c r="W8" s="188">
        <v>0.1</v>
      </c>
      <c r="X8" s="188">
        <v>0.1</v>
      </c>
      <c r="Y8" s="188">
        <v>0.1</v>
      </c>
      <c r="Z8" s="188">
        <v>0.1</v>
      </c>
    </row>
    <row r="9" spans="1:26" ht="15" customHeight="1" x14ac:dyDescent="0.25">
      <c r="A9" s="44" t="s">
        <v>19</v>
      </c>
      <c r="B9" s="42" t="s">
        <v>1074</v>
      </c>
      <c r="C9" s="188">
        <v>0.1</v>
      </c>
      <c r="D9" s="188">
        <v>0.1</v>
      </c>
      <c r="E9" s="188">
        <v>0.1</v>
      </c>
      <c r="F9" s="188">
        <v>0.1</v>
      </c>
      <c r="G9" s="188">
        <v>0.1</v>
      </c>
      <c r="H9" s="188">
        <v>0.1</v>
      </c>
      <c r="I9" s="188">
        <v>0.1</v>
      </c>
      <c r="J9" s="188">
        <v>0.1</v>
      </c>
      <c r="K9" s="188">
        <v>0.1</v>
      </c>
      <c r="L9" s="188">
        <v>0.1</v>
      </c>
      <c r="M9" s="188">
        <v>0.1</v>
      </c>
      <c r="N9" s="188">
        <v>0.1</v>
      </c>
      <c r="O9" s="188">
        <v>0.1</v>
      </c>
      <c r="P9" s="188">
        <v>0.1</v>
      </c>
      <c r="Q9" s="188">
        <v>0.1</v>
      </c>
      <c r="R9" s="188">
        <v>0.1</v>
      </c>
      <c r="S9" s="188">
        <v>0.1</v>
      </c>
      <c r="T9" s="188">
        <v>0.1</v>
      </c>
      <c r="U9" s="188">
        <v>0.1</v>
      </c>
      <c r="V9" s="188">
        <v>0.1</v>
      </c>
      <c r="W9" s="188">
        <v>0.1</v>
      </c>
      <c r="X9" s="188">
        <v>0.1</v>
      </c>
      <c r="Y9" s="188">
        <v>0.1</v>
      </c>
      <c r="Z9" s="188">
        <v>0.1</v>
      </c>
    </row>
    <row r="10" spans="1:26" ht="15" customHeight="1" x14ac:dyDescent="0.25">
      <c r="A10" s="46" t="s">
        <v>20</v>
      </c>
      <c r="B10" s="42" t="s">
        <v>351</v>
      </c>
      <c r="C10" s="189">
        <v>5.7999999999999996E-3</v>
      </c>
      <c r="D10" s="189">
        <v>0.06</v>
      </c>
      <c r="E10" s="189">
        <v>4.2000000000000003E-2</v>
      </c>
      <c r="F10" s="189">
        <v>2.0999999999999999E-3</v>
      </c>
      <c r="G10" s="189">
        <v>2.1000000000000001E-2</v>
      </c>
      <c r="H10" s="189">
        <v>0.06</v>
      </c>
      <c r="I10" s="189">
        <v>4.2000000000000003E-2</v>
      </c>
      <c r="J10" s="189">
        <v>5.7999999999999996E-3</v>
      </c>
      <c r="K10" s="189">
        <v>3.3000000000000002E-2</v>
      </c>
      <c r="L10" s="189">
        <v>2.1000000000000001E-2</v>
      </c>
      <c r="M10" s="189">
        <v>0.06</v>
      </c>
      <c r="N10" s="189">
        <v>0.04</v>
      </c>
      <c r="O10" s="189">
        <v>2.1000000000000001E-2</v>
      </c>
      <c r="P10" s="189">
        <v>2.1000000000000001E-2</v>
      </c>
      <c r="Q10" s="189">
        <v>5.7999999999999996E-3</v>
      </c>
      <c r="R10" s="189">
        <v>5.7999999999999996E-3</v>
      </c>
      <c r="S10" s="189">
        <v>0.04</v>
      </c>
      <c r="T10" s="189">
        <v>5.6000000000000001E-2</v>
      </c>
      <c r="U10" s="189">
        <v>2.1000000000000001E-2</v>
      </c>
      <c r="V10" s="189">
        <v>0.04</v>
      </c>
      <c r="W10" s="189">
        <v>2.8999999999999998E-3</v>
      </c>
      <c r="X10" s="189">
        <v>2.1000000000000001E-2</v>
      </c>
      <c r="Y10" s="189">
        <v>7.2999999999999996E-4</v>
      </c>
      <c r="Z10" s="189">
        <v>2.9000000000000001E-2</v>
      </c>
    </row>
    <row r="11" spans="1:26" ht="15" customHeight="1" x14ac:dyDescent="0.25">
      <c r="A11" s="44" t="s">
        <v>21</v>
      </c>
      <c r="B11" s="42" t="s">
        <v>1074</v>
      </c>
      <c r="C11" s="188">
        <v>0.03</v>
      </c>
      <c r="D11" s="188">
        <v>0.03</v>
      </c>
      <c r="E11" s="188">
        <v>0.03</v>
      </c>
      <c r="F11" s="188">
        <v>0.03</v>
      </c>
      <c r="G11" s="188">
        <v>0.03</v>
      </c>
      <c r="H11" s="188">
        <v>0.03</v>
      </c>
      <c r="I11" s="188">
        <v>0.03</v>
      </c>
      <c r="J11" s="188">
        <v>0.03</v>
      </c>
      <c r="K11" s="188">
        <v>0.03</v>
      </c>
      <c r="L11" s="188">
        <v>0.03</v>
      </c>
      <c r="M11" s="188">
        <v>0.03</v>
      </c>
      <c r="N11" s="188">
        <v>0.03</v>
      </c>
      <c r="O11" s="188">
        <v>0.03</v>
      </c>
      <c r="P11" s="188">
        <v>0.03</v>
      </c>
      <c r="Q11" s="188">
        <v>0.03</v>
      </c>
      <c r="R11" s="188">
        <v>0.03</v>
      </c>
      <c r="S11" s="188">
        <v>0.03</v>
      </c>
      <c r="T11" s="188">
        <v>0.03</v>
      </c>
      <c r="U11" s="188">
        <v>0.03</v>
      </c>
      <c r="V11" s="188">
        <v>0.03</v>
      </c>
      <c r="W11" s="188">
        <v>0.03</v>
      </c>
      <c r="X11" s="188">
        <v>0.03</v>
      </c>
      <c r="Y11" s="188">
        <v>0.03</v>
      </c>
      <c r="Z11" s="188">
        <v>0.03</v>
      </c>
    </row>
    <row r="12" spans="1:26" ht="15" customHeight="1" x14ac:dyDescent="0.25">
      <c r="A12" s="44" t="s">
        <v>22</v>
      </c>
      <c r="B12" s="42" t="s">
        <v>1074</v>
      </c>
      <c r="C12" s="188">
        <v>0.3</v>
      </c>
      <c r="D12" s="188">
        <v>0.3</v>
      </c>
      <c r="E12" s="188">
        <v>0.3</v>
      </c>
      <c r="F12" s="188">
        <v>0.3</v>
      </c>
      <c r="G12" s="188">
        <v>0.3</v>
      </c>
      <c r="H12" s="188">
        <v>0.3</v>
      </c>
      <c r="I12" s="188">
        <v>0.3</v>
      </c>
      <c r="J12" s="188">
        <v>0.3</v>
      </c>
      <c r="K12" s="188">
        <v>0.3</v>
      </c>
      <c r="L12" s="188">
        <v>0.3</v>
      </c>
      <c r="M12" s="188">
        <v>0.3</v>
      </c>
      <c r="N12" s="188">
        <v>0.3</v>
      </c>
      <c r="O12" s="188">
        <v>0.3</v>
      </c>
      <c r="P12" s="188">
        <v>0.3</v>
      </c>
      <c r="Q12" s="188">
        <v>0.3</v>
      </c>
      <c r="R12" s="188">
        <v>0.3</v>
      </c>
      <c r="S12" s="188">
        <v>0.3</v>
      </c>
      <c r="T12" s="188">
        <v>0.3</v>
      </c>
      <c r="U12" s="188">
        <v>0.3</v>
      </c>
      <c r="V12" s="188">
        <v>0.3</v>
      </c>
      <c r="W12" s="188">
        <v>0.3</v>
      </c>
      <c r="X12" s="188">
        <v>0.3</v>
      </c>
      <c r="Y12" s="188">
        <v>0.3</v>
      </c>
      <c r="Z12" s="188">
        <v>0.3</v>
      </c>
    </row>
    <row r="13" spans="1:26" ht="15" customHeight="1" x14ac:dyDescent="0.25">
      <c r="A13" s="44" t="s">
        <v>23</v>
      </c>
      <c r="B13" s="42" t="s">
        <v>1074</v>
      </c>
      <c r="C13" s="190">
        <v>2.9999999999999997E-4</v>
      </c>
      <c r="D13" s="189">
        <v>2.7E-2</v>
      </c>
      <c r="E13" s="189">
        <v>2.1999999999999999E-2</v>
      </c>
      <c r="F13" s="190">
        <v>2.9999999999999997E-4</v>
      </c>
      <c r="G13" s="189">
        <v>1.7999999999999999E-2</v>
      </c>
      <c r="H13" s="189">
        <v>2.7E-2</v>
      </c>
      <c r="I13" s="189">
        <v>2.1999999999999999E-2</v>
      </c>
      <c r="J13" s="190">
        <v>2.9999999999999997E-4</v>
      </c>
      <c r="K13" s="189">
        <v>4.7999999999999996E-3</v>
      </c>
      <c r="L13" s="189">
        <v>1.7999999999999999E-2</v>
      </c>
      <c r="M13" s="189">
        <v>2.7E-2</v>
      </c>
      <c r="N13" s="189">
        <v>1.7000000000000001E-2</v>
      </c>
      <c r="O13" s="189">
        <v>1.7999999999999999E-2</v>
      </c>
      <c r="P13" s="189">
        <v>1.7999999999999999E-2</v>
      </c>
      <c r="Q13" s="190">
        <v>2.9999999999999997E-4</v>
      </c>
      <c r="R13" s="190">
        <v>2.9999999999999997E-4</v>
      </c>
      <c r="S13" s="189">
        <v>1.7000000000000001E-2</v>
      </c>
      <c r="T13" s="189">
        <v>5.7000000000000002E-3</v>
      </c>
      <c r="U13" s="189">
        <v>1.7999999999999999E-2</v>
      </c>
      <c r="V13" s="189">
        <v>1.7000000000000001E-2</v>
      </c>
      <c r="W13" s="190">
        <v>2.9999999999999997E-4</v>
      </c>
      <c r="X13" s="189">
        <v>1.7999999999999999E-2</v>
      </c>
      <c r="Y13" s="188">
        <v>0.02</v>
      </c>
      <c r="Z13" s="189">
        <v>2.8999999999999998E-3</v>
      </c>
    </row>
    <row r="14" spans="1:26" ht="15" customHeight="1" x14ac:dyDescent="0.25">
      <c r="A14" s="44" t="s">
        <v>24</v>
      </c>
      <c r="B14" s="42" t="s">
        <v>1074</v>
      </c>
      <c r="C14" s="188">
        <v>0.01</v>
      </c>
      <c r="D14" s="188">
        <v>0.01</v>
      </c>
      <c r="E14" s="188">
        <v>0.01</v>
      </c>
      <c r="F14" s="188">
        <v>0.01</v>
      </c>
      <c r="G14" s="188">
        <v>0.01</v>
      </c>
      <c r="H14" s="188">
        <v>0.01</v>
      </c>
      <c r="I14" s="188">
        <v>0.01</v>
      </c>
      <c r="J14" s="188">
        <v>0.01</v>
      </c>
      <c r="K14" s="188">
        <v>0.01</v>
      </c>
      <c r="L14" s="188">
        <v>0.01</v>
      </c>
      <c r="M14" s="188">
        <v>0.01</v>
      </c>
      <c r="N14" s="188">
        <v>0.01</v>
      </c>
      <c r="O14" s="188">
        <v>0.01</v>
      </c>
      <c r="P14" s="188">
        <v>0.01</v>
      </c>
      <c r="Q14" s="188">
        <v>0.01</v>
      </c>
      <c r="R14" s="188">
        <v>0.01</v>
      </c>
      <c r="S14" s="188">
        <v>0.01</v>
      </c>
      <c r="T14" s="188">
        <v>0.01</v>
      </c>
      <c r="U14" s="188">
        <v>0.01</v>
      </c>
      <c r="V14" s="188">
        <v>0.01</v>
      </c>
      <c r="W14" s="188">
        <v>0.01</v>
      </c>
      <c r="X14" s="188">
        <v>0.01</v>
      </c>
      <c r="Y14" s="188">
        <v>0.01</v>
      </c>
      <c r="Z14" s="188">
        <v>0.01</v>
      </c>
    </row>
    <row r="15" spans="1:26" ht="15" customHeight="1" x14ac:dyDescent="0.25">
      <c r="A15" s="44" t="s">
        <v>25</v>
      </c>
      <c r="B15" s="42" t="s">
        <v>1074</v>
      </c>
      <c r="C15" s="190">
        <v>0.01</v>
      </c>
      <c r="D15" s="189">
        <v>0.08</v>
      </c>
      <c r="E15" s="189">
        <v>1.4999999999999999E-2</v>
      </c>
      <c r="F15" s="190">
        <v>0.01</v>
      </c>
      <c r="G15" s="189">
        <v>1.4999999999999999E-2</v>
      </c>
      <c r="H15" s="189">
        <v>0.08</v>
      </c>
      <c r="I15" s="189">
        <v>1.4999999999999999E-2</v>
      </c>
      <c r="J15" s="190">
        <v>0.01</v>
      </c>
      <c r="K15" s="189">
        <v>1.1999999999999999E-3</v>
      </c>
      <c r="L15" s="189">
        <v>1.4999999999999999E-2</v>
      </c>
      <c r="M15" s="189">
        <v>0.08</v>
      </c>
      <c r="N15" s="189">
        <v>5.3E-3</v>
      </c>
      <c r="O15" s="189">
        <v>1.4999999999999999E-2</v>
      </c>
      <c r="P15" s="189">
        <v>1.4999999999999999E-2</v>
      </c>
      <c r="Q15" s="190">
        <v>0.01</v>
      </c>
      <c r="R15" s="190">
        <v>0.01</v>
      </c>
      <c r="S15" s="189">
        <v>5.3E-3</v>
      </c>
      <c r="T15" s="189">
        <v>1.5E-3</v>
      </c>
      <c r="U15" s="189">
        <v>1.4999999999999999E-2</v>
      </c>
      <c r="V15" s="189">
        <v>5.3E-3</v>
      </c>
      <c r="W15" s="190">
        <v>0.01</v>
      </c>
      <c r="X15" s="189">
        <v>1.4999999999999999E-2</v>
      </c>
      <c r="Y15" s="189">
        <v>2.9E-4</v>
      </c>
      <c r="Z15" s="189">
        <v>1.0999999999999999E-2</v>
      </c>
    </row>
    <row r="16" spans="1:26" ht="15" customHeight="1" x14ac:dyDescent="0.25">
      <c r="A16" s="44" t="s">
        <v>26</v>
      </c>
      <c r="B16" s="42" t="s">
        <v>1074</v>
      </c>
      <c r="C16" s="190">
        <v>0.01</v>
      </c>
      <c r="D16" s="189">
        <v>0.08</v>
      </c>
      <c r="E16" s="189">
        <v>1.4999999999999999E-2</v>
      </c>
      <c r="F16" s="190">
        <v>0.01</v>
      </c>
      <c r="G16" s="189">
        <v>1.4999999999999999E-2</v>
      </c>
      <c r="H16" s="189">
        <v>0.08</v>
      </c>
      <c r="I16" s="189">
        <v>1.4999999999999999E-2</v>
      </c>
      <c r="J16" s="190">
        <v>0.01</v>
      </c>
      <c r="K16" s="189">
        <v>1.1999999999999999E-3</v>
      </c>
      <c r="L16" s="189">
        <v>1.4999999999999999E-2</v>
      </c>
      <c r="M16" s="189">
        <v>0.08</v>
      </c>
      <c r="N16" s="189">
        <v>5.3E-3</v>
      </c>
      <c r="O16" s="189">
        <v>1.4999999999999999E-2</v>
      </c>
      <c r="P16" s="189">
        <v>1.4999999999999999E-2</v>
      </c>
      <c r="Q16" s="190">
        <v>0.01</v>
      </c>
      <c r="R16" s="190">
        <v>0.01</v>
      </c>
      <c r="S16" s="189">
        <v>5.3E-3</v>
      </c>
      <c r="T16" s="189">
        <v>1.5E-3</v>
      </c>
      <c r="U16" s="189">
        <v>1.4999999999999999E-2</v>
      </c>
      <c r="V16" s="189">
        <v>5.3E-3</v>
      </c>
      <c r="W16" s="190">
        <v>0.01</v>
      </c>
      <c r="X16" s="189">
        <v>1.4999999999999999E-2</v>
      </c>
      <c r="Y16" s="189">
        <v>2.9E-4</v>
      </c>
      <c r="Z16" s="189">
        <v>1.0999999999999999E-2</v>
      </c>
    </row>
    <row r="17" spans="1:26" ht="15" customHeight="1" x14ac:dyDescent="0.25">
      <c r="A17" s="44" t="s">
        <v>27</v>
      </c>
      <c r="B17" s="42" t="s">
        <v>1074</v>
      </c>
      <c r="C17" s="190">
        <v>0.01</v>
      </c>
      <c r="D17" s="189">
        <v>0.08</v>
      </c>
      <c r="E17" s="189">
        <v>1.4999999999999999E-2</v>
      </c>
      <c r="F17" s="190">
        <v>0.01</v>
      </c>
      <c r="G17" s="189">
        <v>1.4999999999999999E-2</v>
      </c>
      <c r="H17" s="189">
        <v>0.08</v>
      </c>
      <c r="I17" s="189">
        <v>1.4999999999999999E-2</v>
      </c>
      <c r="J17" s="190">
        <v>0.01</v>
      </c>
      <c r="K17" s="189">
        <v>1.1999999999999999E-3</v>
      </c>
      <c r="L17" s="189">
        <v>1.4999999999999999E-2</v>
      </c>
      <c r="M17" s="189">
        <v>0.08</v>
      </c>
      <c r="N17" s="189">
        <v>5.3E-3</v>
      </c>
      <c r="O17" s="189">
        <v>1.4999999999999999E-2</v>
      </c>
      <c r="P17" s="189">
        <v>1.4999999999999999E-2</v>
      </c>
      <c r="Q17" s="190">
        <v>0.01</v>
      </c>
      <c r="R17" s="190">
        <v>0.01</v>
      </c>
      <c r="S17" s="189">
        <v>5.3E-3</v>
      </c>
      <c r="T17" s="189">
        <v>1.5E-3</v>
      </c>
      <c r="U17" s="189">
        <v>1.4999999999999999E-2</v>
      </c>
      <c r="V17" s="189">
        <v>5.3E-3</v>
      </c>
      <c r="W17" s="190">
        <v>0.01</v>
      </c>
      <c r="X17" s="189">
        <v>1.4999999999999999E-2</v>
      </c>
      <c r="Y17" s="189">
        <v>2.9E-4</v>
      </c>
      <c r="Z17" s="189">
        <v>1.0999999999999999E-2</v>
      </c>
    </row>
    <row r="18" spans="1:26" ht="15" customHeight="1" x14ac:dyDescent="0.25">
      <c r="A18" s="44" t="s">
        <v>28</v>
      </c>
      <c r="B18" s="42" t="s">
        <v>1074</v>
      </c>
      <c r="C18" s="190">
        <v>2.0000000000000001E-4</v>
      </c>
      <c r="D18" s="189">
        <v>7.4000000000000003E-3</v>
      </c>
      <c r="E18" s="189">
        <v>5.7999999999999996E-3</v>
      </c>
      <c r="F18" s="190">
        <v>2.0000000000000001E-4</v>
      </c>
      <c r="G18" s="190">
        <v>2.0000000000000001E-4</v>
      </c>
      <c r="H18" s="189">
        <v>7.4000000000000003E-3</v>
      </c>
      <c r="I18" s="189">
        <v>5.7999999999999996E-3</v>
      </c>
      <c r="J18" s="190">
        <v>2.0000000000000001E-4</v>
      </c>
      <c r="K18" s="189">
        <v>2.4000000000000001E-4</v>
      </c>
      <c r="L18" s="190">
        <v>2.0000000000000001E-4</v>
      </c>
      <c r="M18" s="189">
        <v>7.4000000000000003E-3</v>
      </c>
      <c r="N18" s="189">
        <v>2.7E-4</v>
      </c>
      <c r="O18" s="190">
        <v>2.0000000000000001E-4</v>
      </c>
      <c r="P18" s="190">
        <v>2.0000000000000001E-4</v>
      </c>
      <c r="Q18" s="190">
        <v>2.0000000000000001E-4</v>
      </c>
      <c r="R18" s="190">
        <v>2.0000000000000001E-4</v>
      </c>
      <c r="S18" s="189">
        <v>2.7E-4</v>
      </c>
      <c r="T18" s="189">
        <v>2.7000000000000001E-3</v>
      </c>
      <c r="U18" s="190">
        <v>2.0000000000000001E-4</v>
      </c>
      <c r="V18" s="189">
        <v>2.7E-4</v>
      </c>
      <c r="W18" s="190">
        <v>2.0000000000000001E-4</v>
      </c>
      <c r="X18" s="190">
        <v>2.0000000000000001E-4</v>
      </c>
      <c r="Y18" s="189">
        <v>1.2999999999999999E-2</v>
      </c>
      <c r="Z18" s="189">
        <v>2.4000000000000001E-4</v>
      </c>
    </row>
    <row r="19" spans="1:26" ht="15" customHeight="1" x14ac:dyDescent="0.25">
      <c r="A19" s="44" t="s">
        <v>29</v>
      </c>
      <c r="B19" s="42" t="s">
        <v>1074</v>
      </c>
      <c r="C19" s="190">
        <v>2.0000000000000001E-4</v>
      </c>
      <c r="D19" s="189">
        <v>7.4000000000000003E-3</v>
      </c>
      <c r="E19" s="189">
        <v>5.7999999999999996E-3</v>
      </c>
      <c r="F19" s="190">
        <v>2.0000000000000001E-4</v>
      </c>
      <c r="G19" s="190">
        <v>2.0000000000000001E-4</v>
      </c>
      <c r="H19" s="189">
        <v>7.4000000000000003E-3</v>
      </c>
      <c r="I19" s="189">
        <v>5.7999999999999996E-3</v>
      </c>
      <c r="J19" s="190">
        <v>2.0000000000000001E-4</v>
      </c>
      <c r="K19" s="189">
        <v>2.4000000000000001E-4</v>
      </c>
      <c r="L19" s="190">
        <v>2.0000000000000001E-4</v>
      </c>
      <c r="M19" s="189">
        <v>7.4000000000000003E-3</v>
      </c>
      <c r="N19" s="189">
        <v>2.7E-4</v>
      </c>
      <c r="O19" s="190">
        <v>2.0000000000000001E-4</v>
      </c>
      <c r="P19" s="190">
        <v>2.0000000000000001E-4</v>
      </c>
      <c r="Q19" s="190">
        <v>2.0000000000000001E-4</v>
      </c>
      <c r="R19" s="190">
        <v>2.0000000000000001E-4</v>
      </c>
      <c r="S19" s="189">
        <v>2.7E-4</v>
      </c>
      <c r="T19" s="189">
        <v>2.7000000000000001E-3</v>
      </c>
      <c r="U19" s="190">
        <v>2.0000000000000001E-4</v>
      </c>
      <c r="V19" s="189">
        <v>2.7E-4</v>
      </c>
      <c r="W19" s="190">
        <v>2.0000000000000001E-4</v>
      </c>
      <c r="X19" s="190">
        <v>2.0000000000000001E-4</v>
      </c>
      <c r="Y19" s="189">
        <v>1.2999999999999999E-2</v>
      </c>
      <c r="Z19" s="189">
        <v>2.4000000000000001E-4</v>
      </c>
    </row>
    <row r="20" spans="1:26" ht="15" customHeight="1" x14ac:dyDescent="0.25">
      <c r="A20" s="44" t="s">
        <v>30</v>
      </c>
      <c r="B20" s="42" t="s">
        <v>1074</v>
      </c>
      <c r="C20" s="190">
        <v>2.0000000000000001E-4</v>
      </c>
      <c r="D20" s="189">
        <v>7.4000000000000003E-3</v>
      </c>
      <c r="E20" s="189">
        <v>5.7999999999999996E-3</v>
      </c>
      <c r="F20" s="190">
        <v>2.0000000000000001E-4</v>
      </c>
      <c r="G20" s="190">
        <v>2.0000000000000001E-4</v>
      </c>
      <c r="H20" s="189">
        <v>7.4000000000000003E-3</v>
      </c>
      <c r="I20" s="189">
        <v>5.7999999999999996E-3</v>
      </c>
      <c r="J20" s="190">
        <v>2.0000000000000001E-4</v>
      </c>
      <c r="K20" s="189">
        <v>2.4000000000000001E-4</v>
      </c>
      <c r="L20" s="190">
        <v>2.0000000000000001E-4</v>
      </c>
      <c r="M20" s="189">
        <v>7.4000000000000003E-3</v>
      </c>
      <c r="N20" s="189">
        <v>2.7E-4</v>
      </c>
      <c r="O20" s="190">
        <v>2.0000000000000001E-4</v>
      </c>
      <c r="P20" s="190">
        <v>2.0000000000000001E-4</v>
      </c>
      <c r="Q20" s="190">
        <v>2.0000000000000001E-4</v>
      </c>
      <c r="R20" s="190">
        <v>2.0000000000000001E-4</v>
      </c>
      <c r="S20" s="189">
        <v>2.7E-4</v>
      </c>
      <c r="T20" s="189">
        <v>2.7000000000000001E-3</v>
      </c>
      <c r="U20" s="190">
        <v>2.0000000000000001E-4</v>
      </c>
      <c r="V20" s="189">
        <v>2.7E-4</v>
      </c>
      <c r="W20" s="190">
        <v>2.0000000000000001E-4</v>
      </c>
      <c r="X20" s="190">
        <v>2.0000000000000001E-4</v>
      </c>
      <c r="Y20" s="189">
        <v>1.2999999999999999E-2</v>
      </c>
      <c r="Z20" s="189">
        <v>2.4000000000000001E-4</v>
      </c>
    </row>
    <row r="21" spans="1:26" ht="15" customHeight="1" x14ac:dyDescent="0.25">
      <c r="A21" s="44" t="s">
        <v>31</v>
      </c>
      <c r="B21" s="42" t="s">
        <v>1074</v>
      </c>
      <c r="C21" s="190">
        <v>2.0000000000000001E-4</v>
      </c>
      <c r="D21" s="189">
        <v>7.4000000000000003E-3</v>
      </c>
      <c r="E21" s="189">
        <v>5.7999999999999996E-3</v>
      </c>
      <c r="F21" s="190">
        <v>2.0000000000000001E-4</v>
      </c>
      <c r="G21" s="190">
        <v>2.0000000000000001E-4</v>
      </c>
      <c r="H21" s="189">
        <v>7.4000000000000003E-3</v>
      </c>
      <c r="I21" s="189">
        <v>5.7999999999999996E-3</v>
      </c>
      <c r="J21" s="190">
        <v>2.0000000000000001E-4</v>
      </c>
      <c r="K21" s="189">
        <v>2.4000000000000001E-4</v>
      </c>
      <c r="L21" s="190">
        <v>2.0000000000000001E-4</v>
      </c>
      <c r="M21" s="189">
        <v>7.4000000000000003E-3</v>
      </c>
      <c r="N21" s="189">
        <v>2.7E-4</v>
      </c>
      <c r="O21" s="190">
        <v>2.0000000000000001E-4</v>
      </c>
      <c r="P21" s="190">
        <v>2.0000000000000001E-4</v>
      </c>
      <c r="Q21" s="190">
        <v>2.0000000000000001E-4</v>
      </c>
      <c r="R21" s="190">
        <v>2.0000000000000001E-4</v>
      </c>
      <c r="S21" s="189">
        <v>2.7E-4</v>
      </c>
      <c r="T21" s="189">
        <v>2.7000000000000001E-3</v>
      </c>
      <c r="U21" s="190">
        <v>2.0000000000000001E-4</v>
      </c>
      <c r="V21" s="189">
        <v>2.7E-4</v>
      </c>
      <c r="W21" s="190">
        <v>2.0000000000000001E-4</v>
      </c>
      <c r="X21" s="190">
        <v>2.0000000000000001E-4</v>
      </c>
      <c r="Y21" s="189">
        <v>1.2999999999999999E-2</v>
      </c>
      <c r="Z21" s="189">
        <v>2.4000000000000001E-4</v>
      </c>
    </row>
    <row r="22" spans="1:26" ht="15" customHeight="1" x14ac:dyDescent="0.25">
      <c r="A22" s="44" t="s">
        <v>32</v>
      </c>
      <c r="B22" s="42" t="s">
        <v>1074</v>
      </c>
      <c r="C22" s="190">
        <v>0.01</v>
      </c>
      <c r="D22" s="189">
        <v>9.0999999999999998E-2</v>
      </c>
      <c r="E22" s="189">
        <v>7.0000000000000007E-2</v>
      </c>
      <c r="F22" s="190">
        <v>0.01</v>
      </c>
      <c r="G22" s="189">
        <v>1.7000000000000001E-2</v>
      </c>
      <c r="H22" s="189">
        <v>9.0999999999999998E-2</v>
      </c>
      <c r="I22" s="189">
        <v>7.0000000000000007E-2</v>
      </c>
      <c r="J22" s="190">
        <v>0.01</v>
      </c>
      <c r="K22" s="189">
        <v>2.3999999999999998E-3</v>
      </c>
      <c r="L22" s="189">
        <v>1.7000000000000001E-2</v>
      </c>
      <c r="M22" s="189">
        <v>9.0999999999999998E-2</v>
      </c>
      <c r="N22" s="189">
        <v>1.4E-2</v>
      </c>
      <c r="O22" s="189">
        <v>1.7000000000000001E-2</v>
      </c>
      <c r="P22" s="189">
        <v>1.7000000000000001E-2</v>
      </c>
      <c r="Q22" s="190">
        <v>0.01</v>
      </c>
      <c r="R22" s="190">
        <v>0.01</v>
      </c>
      <c r="S22" s="189">
        <v>1.4E-2</v>
      </c>
      <c r="T22" s="189">
        <v>1.0999999999999999E-2</v>
      </c>
      <c r="U22" s="189">
        <v>1.7000000000000001E-2</v>
      </c>
      <c r="V22" s="189">
        <v>1.4E-2</v>
      </c>
      <c r="W22" s="190">
        <v>0.01</v>
      </c>
      <c r="X22" s="189">
        <v>1.7000000000000001E-2</v>
      </c>
      <c r="Y22" s="189">
        <v>8.7000000000000001E-4</v>
      </c>
      <c r="Z22" s="189">
        <v>1.7000000000000001E-2</v>
      </c>
    </row>
    <row r="23" spans="1:26" ht="15" customHeight="1" x14ac:dyDescent="0.25">
      <c r="A23" s="46" t="s">
        <v>33</v>
      </c>
      <c r="B23" s="42" t="s">
        <v>351</v>
      </c>
      <c r="C23" s="190">
        <v>0.01</v>
      </c>
      <c r="D23" s="189">
        <v>9.0999999999999998E-2</v>
      </c>
      <c r="E23" s="189">
        <v>7.0000000000000007E-2</v>
      </c>
      <c r="F23" s="190">
        <v>0.01</v>
      </c>
      <c r="G23" s="189">
        <v>1.7000000000000001E-2</v>
      </c>
      <c r="H23" s="189">
        <v>9.0999999999999998E-2</v>
      </c>
      <c r="I23" s="189">
        <v>7.0000000000000007E-2</v>
      </c>
      <c r="J23" s="190">
        <v>0.01</v>
      </c>
      <c r="K23" s="189">
        <v>2.3999999999999998E-3</v>
      </c>
      <c r="L23" s="189">
        <v>1.7000000000000001E-2</v>
      </c>
      <c r="M23" s="189">
        <v>9.0999999999999998E-2</v>
      </c>
      <c r="N23" s="189">
        <v>1.4E-2</v>
      </c>
      <c r="O23" s="189">
        <v>1.7000000000000001E-2</v>
      </c>
      <c r="P23" s="189">
        <v>1.7000000000000001E-2</v>
      </c>
      <c r="Q23" s="190">
        <v>0.01</v>
      </c>
      <c r="R23" s="190">
        <v>0.01</v>
      </c>
      <c r="S23" s="189">
        <v>1.4E-2</v>
      </c>
      <c r="T23" s="189">
        <v>1.0999999999999999E-2</v>
      </c>
      <c r="U23" s="189">
        <v>1.7000000000000001E-2</v>
      </c>
      <c r="V23" s="189">
        <v>1.4E-2</v>
      </c>
      <c r="W23" s="190">
        <v>0.01</v>
      </c>
      <c r="X23" s="189">
        <v>1.7000000000000001E-2</v>
      </c>
      <c r="Y23" s="189">
        <v>8.7000000000000001E-4</v>
      </c>
      <c r="Z23" s="189">
        <v>1.7000000000000001E-2</v>
      </c>
    </row>
    <row r="24" spans="1:26" ht="15" customHeight="1" x14ac:dyDescent="0.25">
      <c r="A24" s="44" t="s">
        <v>34</v>
      </c>
      <c r="B24" s="42" t="s">
        <v>1074</v>
      </c>
      <c r="C24" s="188">
        <v>0</v>
      </c>
      <c r="D24" s="188">
        <v>0</v>
      </c>
      <c r="E24" s="188">
        <v>0</v>
      </c>
      <c r="F24" s="188">
        <v>0</v>
      </c>
      <c r="G24" s="188">
        <v>0</v>
      </c>
      <c r="H24" s="188">
        <v>0</v>
      </c>
      <c r="I24" s="188">
        <v>0</v>
      </c>
      <c r="J24" s="188">
        <v>0</v>
      </c>
      <c r="K24" s="188">
        <v>0</v>
      </c>
      <c r="L24" s="188">
        <v>0</v>
      </c>
      <c r="M24" s="188">
        <v>0</v>
      </c>
      <c r="N24" s="188">
        <v>0</v>
      </c>
      <c r="O24" s="188">
        <v>0</v>
      </c>
      <c r="P24" s="188">
        <v>0</v>
      </c>
      <c r="Q24" s="188">
        <v>0</v>
      </c>
      <c r="R24" s="188">
        <v>0</v>
      </c>
      <c r="S24" s="188">
        <v>0</v>
      </c>
      <c r="T24" s="188">
        <v>0</v>
      </c>
      <c r="U24" s="188">
        <v>0</v>
      </c>
      <c r="V24" s="188">
        <v>0</v>
      </c>
      <c r="W24" s="188">
        <v>0</v>
      </c>
      <c r="X24" s="188">
        <v>0</v>
      </c>
      <c r="Y24" s="188">
        <v>0</v>
      </c>
      <c r="Z24" s="188">
        <v>0</v>
      </c>
    </row>
    <row r="25" spans="1:26" ht="15" customHeight="1" x14ac:dyDescent="0.25">
      <c r="A25" s="46" t="s">
        <v>35</v>
      </c>
      <c r="B25" s="42" t="s">
        <v>351</v>
      </c>
      <c r="C25" s="188">
        <v>0</v>
      </c>
      <c r="D25" s="188">
        <v>0</v>
      </c>
      <c r="E25" s="188">
        <v>0</v>
      </c>
      <c r="F25" s="188">
        <v>0</v>
      </c>
      <c r="G25" s="188">
        <v>0</v>
      </c>
      <c r="H25" s="188">
        <v>0</v>
      </c>
      <c r="I25" s="188">
        <v>0</v>
      </c>
      <c r="J25" s="188">
        <v>0</v>
      </c>
      <c r="K25" s="188">
        <v>0</v>
      </c>
      <c r="L25" s="188">
        <v>0</v>
      </c>
      <c r="M25" s="188">
        <v>0</v>
      </c>
      <c r="N25" s="188">
        <v>0</v>
      </c>
      <c r="O25" s="188">
        <v>0</v>
      </c>
      <c r="P25" s="188">
        <v>0</v>
      </c>
      <c r="Q25" s="188">
        <v>0</v>
      </c>
      <c r="R25" s="188">
        <v>0</v>
      </c>
      <c r="S25" s="188">
        <v>0</v>
      </c>
      <c r="T25" s="188">
        <v>0</v>
      </c>
      <c r="U25" s="188">
        <v>0</v>
      </c>
      <c r="V25" s="188">
        <v>0</v>
      </c>
      <c r="W25" s="188">
        <v>0</v>
      </c>
      <c r="X25" s="188">
        <v>0</v>
      </c>
      <c r="Y25" s="188">
        <v>0</v>
      </c>
      <c r="Z25" s="188">
        <v>0</v>
      </c>
    </row>
    <row r="26" spans="1:26" ht="15" customHeight="1" x14ac:dyDescent="0.25">
      <c r="A26" s="44" t="s">
        <v>36</v>
      </c>
      <c r="B26" s="42" t="s">
        <v>1074</v>
      </c>
      <c r="C26" s="190">
        <v>5.0000000000000001E-4</v>
      </c>
      <c r="D26" s="189">
        <v>1.1999999999999999E-3</v>
      </c>
      <c r="E26" s="189">
        <v>8.0000000000000004E-4</v>
      </c>
      <c r="F26" s="190">
        <v>5.0000000000000001E-4</v>
      </c>
      <c r="G26" s="189">
        <v>7.7999999999999999E-4</v>
      </c>
      <c r="H26" s="189">
        <v>1.1999999999999999E-3</v>
      </c>
      <c r="I26" s="189">
        <v>8.0000000000000004E-4</v>
      </c>
      <c r="J26" s="190">
        <v>5.0000000000000001E-4</v>
      </c>
      <c r="K26" s="189">
        <v>6.4000000000000005E-4</v>
      </c>
      <c r="L26" s="189">
        <v>7.7999999999999999E-4</v>
      </c>
      <c r="M26" s="189">
        <v>1.1999999999999999E-3</v>
      </c>
      <c r="N26" s="189">
        <v>5.2999999999999998E-4</v>
      </c>
      <c r="O26" s="189">
        <v>7.7999999999999999E-4</v>
      </c>
      <c r="P26" s="189">
        <v>7.7999999999999999E-4</v>
      </c>
      <c r="Q26" s="190">
        <v>5.0000000000000001E-4</v>
      </c>
      <c r="R26" s="190">
        <v>5.0000000000000001E-4</v>
      </c>
      <c r="S26" s="189">
        <v>5.2999999999999998E-4</v>
      </c>
      <c r="T26" s="189">
        <v>2.0000000000000001E-4</v>
      </c>
      <c r="U26" s="189">
        <v>7.7999999999999999E-4</v>
      </c>
      <c r="V26" s="189">
        <v>5.2999999999999998E-4</v>
      </c>
      <c r="W26" s="190">
        <v>5.0000000000000001E-4</v>
      </c>
      <c r="X26" s="189">
        <v>7.7999999999999999E-4</v>
      </c>
      <c r="Y26" s="189">
        <v>1.6000000000000001E-4</v>
      </c>
      <c r="Z26" s="189">
        <v>2.0999999999999999E-3</v>
      </c>
    </row>
    <row r="27" spans="1:26" ht="15" customHeight="1" x14ac:dyDescent="0.25">
      <c r="A27" s="44" t="s">
        <v>37</v>
      </c>
      <c r="B27" s="42" t="s">
        <v>1074</v>
      </c>
      <c r="C27" s="190">
        <v>8.0000000000000007E-5</v>
      </c>
      <c r="D27" s="190">
        <v>8.0000000000000004E-4</v>
      </c>
      <c r="E27" s="190">
        <v>8.0000000000000007E-5</v>
      </c>
      <c r="F27" s="190">
        <v>8.0000000000000007E-5</v>
      </c>
      <c r="G27" s="190">
        <v>8.0000000000000007E-5</v>
      </c>
      <c r="H27" s="190">
        <v>8.0000000000000004E-4</v>
      </c>
      <c r="I27" s="190">
        <v>8.0000000000000007E-5</v>
      </c>
      <c r="J27" s="190">
        <v>8.0000000000000007E-5</v>
      </c>
      <c r="K27" s="190">
        <v>8.0000000000000007E-5</v>
      </c>
      <c r="L27" s="190">
        <v>8.0000000000000007E-5</v>
      </c>
      <c r="M27" s="190">
        <v>8.0000000000000004E-4</v>
      </c>
      <c r="N27" s="190">
        <v>8.0000000000000007E-5</v>
      </c>
      <c r="O27" s="190">
        <v>8.0000000000000007E-5</v>
      </c>
      <c r="P27" s="190">
        <v>8.0000000000000007E-5</v>
      </c>
      <c r="Q27" s="190">
        <v>8.0000000000000007E-5</v>
      </c>
      <c r="R27" s="190">
        <v>8.0000000000000007E-5</v>
      </c>
      <c r="S27" s="190">
        <v>8.0000000000000007E-5</v>
      </c>
      <c r="T27" s="190">
        <v>8.0000000000000007E-5</v>
      </c>
      <c r="U27" s="190">
        <v>8.0000000000000007E-5</v>
      </c>
      <c r="V27" s="190">
        <v>8.0000000000000007E-5</v>
      </c>
      <c r="W27" s="190">
        <v>8.0000000000000007E-5</v>
      </c>
      <c r="X27" s="190">
        <v>8.0000000000000007E-5</v>
      </c>
      <c r="Y27" s="188">
        <v>0.2</v>
      </c>
      <c r="Z27" s="188">
        <v>0.2</v>
      </c>
    </row>
    <row r="28" spans="1:26" ht="15" customHeight="1" x14ac:dyDescent="0.25">
      <c r="A28" s="44" t="s">
        <v>38</v>
      </c>
      <c r="B28" s="42" t="s">
        <v>1074</v>
      </c>
      <c r="C28" s="190">
        <v>8.0000000000000007E-5</v>
      </c>
      <c r="D28" s="190">
        <v>8.0000000000000004E-4</v>
      </c>
      <c r="E28" s="190">
        <v>8.0000000000000007E-5</v>
      </c>
      <c r="F28" s="190">
        <v>8.0000000000000007E-5</v>
      </c>
      <c r="G28" s="190">
        <v>8.0000000000000007E-5</v>
      </c>
      <c r="H28" s="190">
        <v>8.0000000000000004E-4</v>
      </c>
      <c r="I28" s="190">
        <v>8.0000000000000007E-5</v>
      </c>
      <c r="J28" s="190">
        <v>8.0000000000000007E-5</v>
      </c>
      <c r="K28" s="190">
        <v>8.0000000000000007E-5</v>
      </c>
      <c r="L28" s="190">
        <v>8.0000000000000007E-5</v>
      </c>
      <c r="M28" s="190">
        <v>8.0000000000000004E-4</v>
      </c>
      <c r="N28" s="190">
        <v>8.0000000000000007E-5</v>
      </c>
      <c r="O28" s="190">
        <v>8.0000000000000007E-5</v>
      </c>
      <c r="P28" s="190">
        <v>8.0000000000000007E-5</v>
      </c>
      <c r="Q28" s="190">
        <v>8.0000000000000007E-5</v>
      </c>
      <c r="R28" s="190">
        <v>8.0000000000000007E-5</v>
      </c>
      <c r="S28" s="190">
        <v>8.0000000000000007E-5</v>
      </c>
      <c r="T28" s="190">
        <v>8.0000000000000007E-5</v>
      </c>
      <c r="U28" s="190">
        <v>8.0000000000000007E-5</v>
      </c>
      <c r="V28" s="190">
        <v>8.0000000000000007E-5</v>
      </c>
      <c r="W28" s="190">
        <v>8.0000000000000007E-5</v>
      </c>
      <c r="X28" s="190">
        <v>8.0000000000000007E-5</v>
      </c>
      <c r="Y28" s="188">
        <v>0.2</v>
      </c>
      <c r="Z28" s="188">
        <v>0.2</v>
      </c>
    </row>
    <row r="29" spans="1:26" ht="15" customHeight="1" x14ac:dyDescent="0.25">
      <c r="A29" s="44" t="s">
        <v>39</v>
      </c>
      <c r="B29" s="42" t="s">
        <v>1074</v>
      </c>
      <c r="C29" s="190">
        <v>8.0000000000000007E-5</v>
      </c>
      <c r="D29" s="190">
        <v>8.0000000000000004E-4</v>
      </c>
      <c r="E29" s="190">
        <v>8.0000000000000007E-5</v>
      </c>
      <c r="F29" s="190">
        <v>8.0000000000000007E-5</v>
      </c>
      <c r="G29" s="190">
        <v>8.0000000000000007E-5</v>
      </c>
      <c r="H29" s="190">
        <v>8.0000000000000004E-4</v>
      </c>
      <c r="I29" s="190">
        <v>8.0000000000000007E-5</v>
      </c>
      <c r="J29" s="190">
        <v>8.0000000000000007E-5</v>
      </c>
      <c r="K29" s="190">
        <v>8.0000000000000007E-5</v>
      </c>
      <c r="L29" s="190">
        <v>8.0000000000000007E-5</v>
      </c>
      <c r="M29" s="190">
        <v>8.0000000000000004E-4</v>
      </c>
      <c r="N29" s="190">
        <v>8.0000000000000007E-5</v>
      </c>
      <c r="O29" s="190">
        <v>8.0000000000000007E-5</v>
      </c>
      <c r="P29" s="190">
        <v>8.0000000000000007E-5</v>
      </c>
      <c r="Q29" s="190">
        <v>8.0000000000000007E-5</v>
      </c>
      <c r="R29" s="190">
        <v>8.0000000000000007E-5</v>
      </c>
      <c r="S29" s="190">
        <v>8.0000000000000007E-5</v>
      </c>
      <c r="T29" s="190">
        <v>8.0000000000000007E-5</v>
      </c>
      <c r="U29" s="190">
        <v>8.0000000000000007E-5</v>
      </c>
      <c r="V29" s="190">
        <v>8.0000000000000007E-5</v>
      </c>
      <c r="W29" s="190">
        <v>8.0000000000000007E-5</v>
      </c>
      <c r="X29" s="190">
        <v>8.0000000000000007E-5</v>
      </c>
      <c r="Y29" s="188">
        <v>0.2</v>
      </c>
      <c r="Z29" s="188">
        <v>0.2</v>
      </c>
    </row>
    <row r="30" spans="1:26" ht="15" customHeight="1" x14ac:dyDescent="0.25">
      <c r="A30" s="44" t="s">
        <v>40</v>
      </c>
      <c r="B30" s="42" t="s">
        <v>1074</v>
      </c>
      <c r="C30" s="190">
        <v>1E-3</v>
      </c>
      <c r="D30" s="189">
        <v>0.02</v>
      </c>
      <c r="E30" s="189">
        <v>8.3999999999999995E-3</v>
      </c>
      <c r="F30" s="190">
        <v>1E-3</v>
      </c>
      <c r="G30" s="189">
        <v>1.4999999999999999E-2</v>
      </c>
      <c r="H30" s="189">
        <v>0.02</v>
      </c>
      <c r="I30" s="189">
        <v>8.3999999999999995E-3</v>
      </c>
      <c r="J30" s="190">
        <v>1E-3</v>
      </c>
      <c r="K30" s="189">
        <v>1.4999999999999999E-2</v>
      </c>
      <c r="L30" s="189">
        <v>1.4999999999999999E-2</v>
      </c>
      <c r="M30" s="189">
        <v>0.02</v>
      </c>
      <c r="N30" s="189">
        <v>2.2000000000000001E-3</v>
      </c>
      <c r="O30" s="189">
        <v>1.4999999999999999E-2</v>
      </c>
      <c r="P30" s="189">
        <v>1.4999999999999999E-2</v>
      </c>
      <c r="Q30" s="190">
        <v>1E-3</v>
      </c>
      <c r="R30" s="190">
        <v>1E-3</v>
      </c>
      <c r="S30" s="189">
        <v>2.2000000000000001E-3</v>
      </c>
      <c r="T30" s="189">
        <v>5.0000000000000001E-3</v>
      </c>
      <c r="U30" s="189">
        <v>1.4999999999999999E-2</v>
      </c>
      <c r="V30" s="189">
        <v>2.2000000000000001E-3</v>
      </c>
      <c r="W30" s="190">
        <v>1E-3</v>
      </c>
      <c r="X30" s="189">
        <v>1.4999999999999999E-2</v>
      </c>
      <c r="Y30" s="189">
        <v>2.43E-4</v>
      </c>
      <c r="Z30" s="189">
        <v>6.1999999999999998E-3</v>
      </c>
    </row>
    <row r="31" spans="1:26" x14ac:dyDescent="0.25">
      <c r="A31" s="42"/>
      <c r="B31" s="4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row>
    <row r="32" spans="1:26" x14ac:dyDescent="0.25">
      <c r="A32" s="42"/>
      <c r="B32" s="42"/>
      <c r="C32" s="191" t="s">
        <v>1475</v>
      </c>
      <c r="D32" s="192" t="s">
        <v>1476</v>
      </c>
      <c r="E32" s="193" t="s">
        <v>1477</v>
      </c>
      <c r="F32" s="194" t="s">
        <v>1478</v>
      </c>
      <c r="G32" s="112"/>
      <c r="H32" s="112"/>
      <c r="I32" s="112"/>
      <c r="J32" s="112"/>
      <c r="K32" s="112"/>
      <c r="L32" s="112"/>
      <c r="M32" s="112"/>
      <c r="N32" s="112"/>
      <c r="O32" s="112"/>
      <c r="P32" s="112"/>
      <c r="Q32" s="112"/>
      <c r="R32" s="112"/>
      <c r="S32" s="112"/>
      <c r="T32" s="112"/>
      <c r="U32" s="112"/>
      <c r="V32" s="112"/>
      <c r="W32" s="112"/>
      <c r="X32" s="112"/>
      <c r="Y32" s="112"/>
      <c r="Z32" s="112"/>
    </row>
  </sheetData>
  <sheetProtection algorithmName="SHA-512" hashValue="bwU5hGr8ARdpc9ZH15STFMog4NIY2+OMzaeQiiWQBbIPwWjc9lnGFz+ETF3KaP56r8tf0f1t5BWFnA6K5OGBBQ==" saltValue="DTY2MlL0AwUFbK0L6Ieseg==" spinCount="100000" sheet="1" objects="1" scenarios="1" formatColumns="0" formatRows="0" autoFilter="0"/>
  <autoFilter ref="A1:Z30" xr:uid="{00000000-0009-0000-0000-000006000000}"/>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9" tint="-0.499984740745262"/>
  </sheetPr>
  <dimension ref="A1:W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9.140625" defaultRowHeight="15" x14ac:dyDescent="0.25"/>
  <cols>
    <col min="1" max="1" width="15.42578125" style="4" bestFit="1" customWidth="1"/>
    <col min="2" max="2" width="13.28515625" style="4" bestFit="1" customWidth="1"/>
    <col min="3" max="3" width="14.42578125" style="2" bestFit="1" customWidth="1"/>
    <col min="4" max="4" width="14.5703125" style="2" bestFit="1" customWidth="1"/>
    <col min="5" max="5" width="14.28515625" style="2" bestFit="1" customWidth="1"/>
    <col min="6" max="6" width="19" style="2" bestFit="1" customWidth="1"/>
    <col min="7" max="7" width="19.85546875" style="2" bestFit="1" customWidth="1"/>
    <col min="8" max="8" width="14.140625" style="2" bestFit="1" customWidth="1"/>
    <col min="9" max="9" width="13.5703125" style="3" bestFit="1" customWidth="1"/>
    <col min="10" max="11" width="15.42578125" style="3" bestFit="1" customWidth="1"/>
    <col min="12" max="12" width="16.42578125" style="3" bestFit="1" customWidth="1"/>
    <col min="13" max="14" width="13.85546875" style="3" bestFit="1" customWidth="1"/>
    <col min="15" max="15" width="14.140625" style="3" bestFit="1" customWidth="1"/>
    <col min="16" max="16" width="13.28515625" style="3" bestFit="1" customWidth="1"/>
    <col min="17" max="17" width="14" style="3" bestFit="1" customWidth="1"/>
    <col min="18" max="18" width="14.140625" style="3" bestFit="1" customWidth="1"/>
    <col min="19" max="19" width="15" style="3" bestFit="1" customWidth="1"/>
    <col min="20" max="20" width="18.5703125" style="3" bestFit="1" customWidth="1"/>
    <col min="21" max="21" width="13.5703125" style="3" bestFit="1" customWidth="1"/>
    <col min="22" max="22" width="13.85546875" style="3" bestFit="1" customWidth="1"/>
    <col min="23" max="16384" width="9.140625" style="3"/>
  </cols>
  <sheetData>
    <row r="1" spans="1:23" x14ac:dyDescent="0.25">
      <c r="A1" s="78" t="s">
        <v>51</v>
      </c>
      <c r="B1" s="78" t="s">
        <v>350</v>
      </c>
      <c r="C1" s="15" t="s">
        <v>1169</v>
      </c>
      <c r="D1" s="15" t="s">
        <v>1170</v>
      </c>
      <c r="E1" s="15" t="s">
        <v>1171</v>
      </c>
      <c r="F1" s="15" t="s">
        <v>1175</v>
      </c>
      <c r="G1" s="15" t="s">
        <v>1174</v>
      </c>
      <c r="H1" s="15" t="s">
        <v>1172</v>
      </c>
      <c r="I1" s="42" t="s">
        <v>1220</v>
      </c>
      <c r="J1" s="42" t="s">
        <v>1221</v>
      </c>
      <c r="K1" s="42" t="s">
        <v>1222</v>
      </c>
      <c r="L1" s="42" t="s">
        <v>1223</v>
      </c>
      <c r="M1" s="42" t="s">
        <v>1224</v>
      </c>
      <c r="N1" s="42" t="s">
        <v>1209</v>
      </c>
      <c r="O1" s="42" t="s">
        <v>1210</v>
      </c>
      <c r="P1" s="42" t="s">
        <v>1211</v>
      </c>
      <c r="Q1" s="15" t="s">
        <v>1204</v>
      </c>
      <c r="R1" s="15" t="s">
        <v>1205</v>
      </c>
      <c r="S1" s="15" t="s">
        <v>1206</v>
      </c>
      <c r="T1" s="15" t="s">
        <v>1212</v>
      </c>
      <c r="U1" s="15" t="s">
        <v>1207</v>
      </c>
      <c r="V1" s="42" t="s">
        <v>1208</v>
      </c>
      <c r="W1" s="42"/>
    </row>
    <row r="2" spans="1:23" x14ac:dyDescent="0.25">
      <c r="A2" s="44" t="s">
        <v>12</v>
      </c>
      <c r="B2" s="42" t="s">
        <v>1074</v>
      </c>
      <c r="C2" s="15">
        <f>IFERROR((TR/(RadSpec!D2*IFS_res_adj*(1/1000))),".")</f>
        <v>1.8281268281268279</v>
      </c>
      <c r="D2" s="15">
        <f>IFERROR(IF(A2="H-3",(TR/(RadSpec!G2*IFA_res_adj*(1/17)*1000))*RadSpec!#REF!,(TR/(RadSpec!G2*IFA_res_adj*(1/PEF_wind)*1000))),".")</f>
        <v>295.58652066524985</v>
      </c>
      <c r="E2" s="15">
        <f>IFERROR((TR/(RadSpec!F2*EF_res*(1/365)*ED_res*RadSpec!Q2*((ET_res_o*(1/24)*RadSpec!V2)+(ET_res_i*(1/24)*RadSpec!AA2)))),".")</f>
        <v>2.8076470861663871</v>
      </c>
      <c r="F2" s="15">
        <f>b2s!C2</f>
        <v>0.17136365122218064</v>
      </c>
      <c r="G2" s="15">
        <f>dir!C2</f>
        <v>3.0565988610146028E-4</v>
      </c>
      <c r="H2" s="15">
        <f>(IF(AND(C2&lt;&gt;".",D2&lt;&gt;".",E2&lt;&gt;".",F2&lt;&gt;"."),1/((1/C2)+(1/D2)+(1/E2)+(1/F2)),IF(AND(C2&lt;&gt;".",D2&lt;&gt;".",E2&lt;&gt;".",F2="."), 1/((1/C2)+(1/D2)+(1/E2)),IF(AND(C2&lt;&gt;".",D2&lt;&gt;".",E2=".",F2&lt;&gt;"."),1/((1/C2)+(1/D2)+(1/F2)),IF(AND(C2&lt;&gt;".",D2=".",E2&lt;&gt;".",F2&lt;&gt;"."),1/((1/C2)+(1/E2)+(1/F2)),IF(AND(C2=".",D2&lt;&gt;".",E2&lt;&gt;".",F2&lt;&gt;"."),1/((1/D2)+(1/E2)+(1/F2)),IF(AND(C2&lt;&gt;".",D2&lt;&gt;".",E2=".",F2="."),1/((1/C2)+(1/D2)),IF(AND(C2&lt;&gt;".",D2=".",E2&lt;&gt;".",F2="."),1/((1/C2)+(1/E2)),IF(AND(C2&lt;&gt;".",D2=".",E2=".",F2&lt;&gt;"."),1/((1/C2)+(1/F2)),IF(AND(C2=".",D2=".",E2&lt;&gt;".",F2&lt;&gt;"."),1/((1/E2)+(1/F2)),IF(AND(C2=".",D2&lt;&gt;".",E2=".",F2&lt;&gt;"."),1/((1/D2)+(1/F2)),IF(AND(C2=".",D2&lt;&gt;".",E2&lt;&gt;".",F2="."),1/((1/D2)+(1/E2)),IF(AND(C2&lt;&gt;".",D2=".",E2=".",F2="."),1/((1/C2)),IF(AND(C2=".",D2&lt;&gt;".",E2=".",F2="."),1/((1/D2)),IF(AND(C2=".",D2=".",E2&lt;&gt;".",F2="."),1/((1/E2)),IF(AND(C2=".",D2=".",E2=".",F2&lt;&gt;"."),1/((1/F2)),IF(AND(C2=".",D2=".",E2=".",F2="."),".")))))))))))))))))</f>
        <v>0.14832164085178534</v>
      </c>
      <c r="I2" s="15">
        <f>IFERROR((TR/(RadSpec!F2*EF_res*(1/365)*ED_res*RadSpec!Q2*((ET_res_o*(1/24)*RadSpec!V2)+(ET_res_i*(1/24)*RadSpec!AA2)))),".")</f>
        <v>2.8076470861663871</v>
      </c>
      <c r="J2" s="15">
        <f>IFERROR((TR/(RadSpec!M2*EF_res*(1/365)*ED_res*RadSpec!R2*((ET_res_o*(1/24)*RadSpec!W2)+(ET_res_i*(1/24)*RadSpec!AB2)))),".")</f>
        <v>10.023254666431377</v>
      </c>
      <c r="K2" s="15">
        <f>IFERROR((TR/(RadSpec!N2*EF_res*(1/365)*ED_res*RadSpec!S2*((ET_res_o*(1/24)*RadSpec!X2)+(ET_res_i*(1/24)*RadSpec!AC2)))),".")</f>
        <v>3.8714821149091199</v>
      </c>
      <c r="L2" s="15">
        <f>IFERROR((TR/(RadSpec!O2*EF_res*(1/365)*ED_res*RadSpec!T2*((ET_res_o*(1/24)*RadSpec!Y2)+(ET_res_i*(1/24)*RadSpec!AD2)))),".")</f>
        <v>2.8811029692346941</v>
      </c>
      <c r="M2" s="15">
        <f>IFERROR((TR/(RadSpec!K2*EF_res*(1/365)*ED_res*RadSpec!P2*((ET_res_o*(1/24)*RadSpec!U2)+(ET_res_i*(1/24)*RadSpec!Z2)))),".")</f>
        <v>9.6223244797741234</v>
      </c>
      <c r="N2" s="15">
        <f>IFERROR((TR/(RadSpec!G2*IFA_res_adj)),".")</f>
        <v>2.1744784078643056E-4</v>
      </c>
      <c r="O2" s="15">
        <f>IFERROR((TR/(RadSpec!J2*EF_res*(1/365)*ED_res*ET_res*(1/24)*GSF_o)),".")</f>
        <v>778.94571306811849</v>
      </c>
      <c r="P2" s="15">
        <f t="shared" ref="P2" si="0">IF(AND(N2&lt;&gt;".",O2&lt;&gt;"."),1/((1/N2)+(1/O2)),IF(AND(N2&lt;&gt;".",O2="."),1/((1/N2)),IF(AND(N2=".",O2&lt;&gt;"."),1/((1/O2)),IF(AND(N2&lt;&gt;".",O2="."),"."))))</f>
        <v>2.1744778008444645E-4</v>
      </c>
      <c r="Q2" s="15">
        <f>IFERROR((TR/(RadSpec!H2*IFW_res_adj)),".")</f>
        <v>0.27636358997475158</v>
      </c>
      <c r="R2" s="15" t="str">
        <f>IFERROR(IF(RadSpec!C2=1,(TR/(RadSpec!G2*IFA_res_adj*K)),"."),".")</f>
        <v>.</v>
      </c>
      <c r="S2" s="15">
        <f>IFERROR((TR/(RadSpec!L2*(1/8760)*DFA_res_adj)),".")</f>
        <v>12580251.583727166</v>
      </c>
      <c r="T2" s="15">
        <f>b2w!C2</f>
        <v>8.2478326493249141E-2</v>
      </c>
      <c r="U2" s="15">
        <f t="shared" ref="U2:U30" si="1">IF(AND(Q2&lt;&gt;".",R2&lt;&gt;".",S2&lt;&gt;".",T2&lt;&gt;"."),1/((1/Q2)+(1/R2)+(1/S2)+(1/T2)),IF(AND(Q2&lt;&gt;".",R2&lt;&gt;".",S2&lt;&gt;".",T2="."), 1/((1/Q2)+(1/R2)+(1/S2)),IF(AND(Q2&lt;&gt;".",R2&lt;&gt;".",S2=".",T2&lt;&gt;"."),1/((1/Q2)+(1/R2)+(1/T2)),IF(AND(Q2&lt;&gt;".",R2=".",S2&lt;&gt;".",T2&lt;&gt;"."),1/((1/Q2)+(1/S2)+(1/T2)),IF(AND(Q2=".",R2&lt;&gt;".",S2&lt;&gt;".",T2&lt;&gt;"."),1/((1/R2)+(1/S2)+(1/T2)),IF(AND(Q2&lt;&gt;".",R2&lt;&gt;".",S2=".",T2="."),1/((1/Q2)+(1/R2)),IF(AND(Q2&lt;&gt;".",R2=".",S2&lt;&gt;".",T2="."),1/((1/Q2)+(1/S2)),IF(AND(Q2&lt;&gt;".",R2=".",S2=".",T2&lt;&gt;"."),1/((1/Q2)+(1/T2)),IF(AND(Q2=".",R2=".",S2&lt;&gt;".",T2&lt;&gt;"."),1/((1/S2)+(1/T2)),IF(AND(Q2=".",R2&lt;&gt;".",S2=".",T2&lt;&gt;"."),1/((1/R2)+(1/T2)),IF(AND(Q2=".",R2&lt;&gt;".",S2&lt;&gt;".",T2="."),1/((1/R2)+(1/S2)),IF(AND(Q2&lt;&gt;".",R2=".",S2=".",T2="."),1/((1/Q2)),IF(AND(Q2=".",R2&lt;&gt;".",S2=".",T2="."),1/((1/R2)),IF(AND(Q2=".",R2=".",S2&lt;&gt;".",T2="."),1/((1/S2)),IF(AND(Q2=".",R2=".",S2=".",T2&lt;&gt;"."),1/((1/T2)),IF(AND(Q2=".",R2=".",S2=".",T2="."),"."))))))))))))))))</f>
        <v>6.3521024840261772E-2</v>
      </c>
      <c r="V2" s="15">
        <f>IFERROR(TR/(RadSpec!E2*EF_res*ED_res*IRF_res*0.001*CF_res_fish),".")</f>
        <v>7.4931955040946855E-3</v>
      </c>
      <c r="W2" s="42"/>
    </row>
    <row r="3" spans="1:23" x14ac:dyDescent="0.25">
      <c r="A3" s="46" t="s">
        <v>13</v>
      </c>
      <c r="B3" s="42" t="s">
        <v>351</v>
      </c>
      <c r="C3" s="15">
        <f>IFERROR((TR/(RadSpec!D3*IFS_res_adj*(1/1000))),".")</f>
        <v>4.8456373757578577</v>
      </c>
      <c r="D3" s="15">
        <f>IFERROR(IF(A3="H-3",(TR/(RadSpec!G3*IFA_res_adj*(1/17)*1000))*RadSpec!#REF!,(TR/(RadSpec!G3*IFA_res_adj*(1/PEF_wind)*1000))),".")</f>
        <v>223.71842544467933</v>
      </c>
      <c r="E3" s="15">
        <f>IFERROR((TR/(RadSpec!F3*EF_res*(1/365)*ED_res*RadSpec!Q3*((ET_res_o*(1/24)*RadSpec!V3)+(ET_res_i*(1/24)*RadSpec!AA3)))),".")</f>
        <v>4.1818540988047879</v>
      </c>
      <c r="F3" s="15">
        <f>b2s!C3</f>
        <v>0.62354201194964987</v>
      </c>
      <c r="G3" s="15">
        <f>dir!C3</f>
        <v>6.2148021163011577E-4</v>
      </c>
      <c r="H3" s="15">
        <f>(IF(AND(C3&lt;&gt;".",D3&lt;&gt;".",E3&lt;&gt;".",F3&lt;&gt;"."),1/((1/C3)+(1/D3)+(1/E3)+(1/F3)),IF(AND(C3&lt;&gt;".",D3&lt;&gt;".",E3&lt;&gt;".",F3="."), 1/((1/C3)+(1/D3)+(1/E3)),IF(AND(C3&lt;&gt;".",D3&lt;&gt;".",E3=".",F3&lt;&gt;"."),1/((1/C3)+(1/D3)+(1/F3)),IF(AND(C3&lt;&gt;".",D3=".",E3&lt;&gt;".",F3&lt;&gt;"."),1/((1/C3)+(1/E3)+(1/F3)),IF(AND(C3=".",D3&lt;&gt;".",E3&lt;&gt;".",F3&lt;&gt;"."),1/((1/D3)+(1/E3)+(1/F3)),IF(AND(C3&lt;&gt;".",D3&lt;&gt;".",E3=".",F3="."),1/((1/C3)+(1/D3)),IF(AND(C3&lt;&gt;".",D3=".",E3&lt;&gt;".",F3="."),1/((1/C3)+(1/E3)),IF(AND(C3&lt;&gt;".",D3=".",E3=".",F3&lt;&gt;"."),1/((1/C3)+(1/F3)),IF(AND(C3=".",D3=".",E3&lt;&gt;".",F3&lt;&gt;"."),1/((1/E3)+(1/F3)),IF(AND(C3=".",D3&lt;&gt;".",E3=".",F3&lt;&gt;"."),1/((1/D3)+(1/F3)),IF(AND(C3=".",D3&lt;&gt;".",E3&lt;&gt;".",F3="."),1/((1/D3)+(1/E3)),IF(AND(C3&lt;&gt;".",D3=".",E3=".",F3="."),1/((1/C3)),IF(AND(C3=".",D3&lt;&gt;".",E3=".",F3="."),1/((1/D3)),IF(AND(C3=".",D3=".",E3&lt;&gt;".",F3="."),1/((1/E3)),IF(AND(C3=".",D3=".",E3=".",F3&lt;&gt;"."),1/((1/F3)),IF(AND(C3=".",D3=".",E3=".",F3="."),".")))))))))))))))))</f>
        <v>0.48692350796929562</v>
      </c>
      <c r="I3" s="15">
        <f>IFERROR((TR/(RadSpec!F3*EF_res*(1/365)*ED_res*RadSpec!Q3*((ET_res_o*(1/24)*RadSpec!V3)+(ET_res_i*(1/24)*RadSpec!AA3)))),".")</f>
        <v>4.1818540988047879</v>
      </c>
      <c r="J3" s="15">
        <f>IFERROR((TR/(RadSpec!M3*EF_res*(1/365)*ED_res*RadSpec!R3*((ET_res_o*(1/24)*RadSpec!W3)+(ET_res_i*(1/24)*RadSpec!AB3)))),".")</f>
        <v>8.4134076520945218</v>
      </c>
      <c r="K3" s="15">
        <f>IFERROR((TR/(RadSpec!N3*EF_res*(1/365)*ED_res*RadSpec!S3*((ET_res_o*(1/24)*RadSpec!X3)+(ET_res_i*(1/24)*RadSpec!AC3)))),".")</f>
        <v>4.4886749158366603</v>
      </c>
      <c r="L3" s="15">
        <f>IFERROR((TR/(RadSpec!O3*EF_res*(1/365)*ED_res*RadSpec!T3*((ET_res_o*(1/24)*RadSpec!Y3)+(ET_res_i*(1/24)*RadSpec!AD3)))),".")</f>
        <v>4.1818540988047879</v>
      </c>
      <c r="M3" s="15">
        <f>IFERROR((TR/(RadSpec!K3*EF_res*(1/365)*ED_res*RadSpec!P3*((ET_res_o*(1/24)*RadSpec!U3)+(ET_res_i*(1/24)*RadSpec!Z3)))),".")</f>
        <v>6.194371383854592</v>
      </c>
      <c r="N3" s="15">
        <f>IFERROR((TR/(RadSpec!G3*IFA_res_adj)),".")</f>
        <v>1.645781696932592E-4</v>
      </c>
      <c r="O3" s="15">
        <f>IFERROR((TR/(RadSpec!J3*EF_res*(1/365)*ED_res*ET_res*(1/24)*GSF_o)),".")</f>
        <v>691.17718201818968</v>
      </c>
      <c r="P3" s="15">
        <f t="shared" ref="P3" si="2">IF(AND(N3&lt;&gt;".",O3&lt;&gt;"."),1/((1/N3)+(1/O3)),IF(AND(N3&lt;&gt;".",O3="."),1/((1/N3)),IF(AND(N3=".",O3&lt;&gt;"."),1/((1/O3)),IF(AND(N3&lt;&gt;".",O3="."),"."))))</f>
        <v>1.6457813050509127E-4</v>
      </c>
      <c r="Q3" s="15">
        <f>IFERROR((TR/(RadSpec!H3*IFW_res_adj)),".")</f>
        <v>0.50436355170392166</v>
      </c>
      <c r="R3" s="15" t="str">
        <f>IFERROR(IF(RadSpec!C3=1,(TR/(RadSpec!G3*IFA_res_adj*K)),"."),".")</f>
        <v>.</v>
      </c>
      <c r="S3" s="15">
        <f>IFERROR((TR/(RadSpec!L3*(1/8760)*DFA_res_adj)),".")</f>
        <v>10876907.785222514</v>
      </c>
      <c r="T3" s="15">
        <f>b2w!C3</f>
        <v>0.16897009545523717</v>
      </c>
      <c r="U3" s="15">
        <f t="shared" si="1"/>
        <v>0.1265677971737097</v>
      </c>
      <c r="V3" s="15">
        <f>IFERROR(TR/(RadSpec!E3*EF_res*ED_res*IRF_res*0.001*CF_res_fish),".")</f>
        <v>1.5235472299184209E-2</v>
      </c>
      <c r="W3" s="42"/>
    </row>
    <row r="4" spans="1:23" x14ac:dyDescent="0.25">
      <c r="A4" s="44" t="s">
        <v>14</v>
      </c>
      <c r="B4" s="42" t="s">
        <v>1074</v>
      </c>
      <c r="C4" s="15" t="str">
        <f>IFERROR((TR/(RadSpec!D4*IFS_res_adj*(1/1000))),".")</f>
        <v>.</v>
      </c>
      <c r="D4" s="15" t="str">
        <f>IFERROR(IF(A4="H-3",(TR/(RadSpec!G4*IFA_res_adj*(1/17)*1000))*RadSpec!#REF!,(TR/(RadSpec!G4*IFA_res_adj*(1/PEF_wind)*1000))),".")</f>
        <v>.</v>
      </c>
      <c r="E4" s="15">
        <f>IFERROR((TR/(RadSpec!F4*EF_res*(1/365)*ED_res*RadSpec!Q4*((ET_res_o*(1/24)*RadSpec!V4)+(ET_res_i*(1/24)*RadSpec!AA4)))),".")</f>
        <v>123.5784814734083</v>
      </c>
      <c r="F4" s="15" t="str">
        <f>b2s!C4</f>
        <v>.</v>
      </c>
      <c r="G4" s="15" t="str">
        <f>dir!C4</f>
        <v>.</v>
      </c>
      <c r="H4" s="15">
        <f t="shared" ref="H4:H5" si="3">(IF(AND(C4&lt;&gt;".",D4&lt;&gt;".",E4&lt;&gt;".",F4&lt;&gt;"."),1/((1/C4)+(1/D4)+(1/E4)+(1/F4)),IF(AND(C4&lt;&gt;".",D4&lt;&gt;".",E4&lt;&gt;".",F4="."), 1/((1/C4)+(1/D4)+(1/E4)),IF(AND(C4&lt;&gt;".",D4&lt;&gt;".",E4=".",F4&lt;&gt;"."),1/((1/C4)+(1/D4)+(1/F4)),IF(AND(C4&lt;&gt;".",D4=".",E4&lt;&gt;".",F4&lt;&gt;"."),1/((1/C4)+(1/E4)+(1/F4)),IF(AND(C4=".",D4&lt;&gt;".",E4&lt;&gt;".",F4&lt;&gt;"."),1/((1/D4)+(1/E4)+(1/F4)),IF(AND(C4&lt;&gt;".",D4&lt;&gt;".",E4=".",F4="."),1/((1/C4)+(1/D4)),IF(AND(C4&lt;&gt;".",D4=".",E4&lt;&gt;".",F4="."),1/((1/C4)+(1/E4)),IF(AND(C4&lt;&gt;".",D4=".",E4=".",F4&lt;&gt;"."),1/((1/C4)+(1/F4)),IF(AND(C4=".",D4=".",E4&lt;&gt;".",F4&lt;&gt;"."),1/((1/E4)+(1/F4)),IF(AND(C4=".",D4&lt;&gt;".",E4=".",F4&lt;&gt;"."),1/((1/D4)+(1/F4)),IF(AND(C4=".",D4&lt;&gt;".",E4&lt;&gt;".",F4="."),1/((1/D4)+(1/E4)),IF(AND(C4&lt;&gt;".",D4=".",E4=".",F4="."),1/((1/C4)),IF(AND(C4=".",D4&lt;&gt;".",E4=".",F4="."),1/((1/D4)),IF(AND(C4=".",D4=".",E4&lt;&gt;".",F4="."),1/((1/E4)),IF(AND(C4=".",D4=".",E4=".",F4&lt;&gt;"."),1/((1/F4)),IF(AND(C4=".",D4=".",E4=".",F4="."),".")))))))))))))))))</f>
        <v>123.57848147340829</v>
      </c>
      <c r="I4" s="15">
        <f>IFERROR((TR/(RadSpec!F4*EF_res*(1/365)*ED_res*RadSpec!Q4*((ET_res_o*(1/24)*RadSpec!V4)+(ET_res_i*(1/24)*RadSpec!AA4)))),".")</f>
        <v>123.5784814734083</v>
      </c>
      <c r="J4" s="15">
        <f>IFERROR((TR/(RadSpec!M4*EF_res*(1/365)*ED_res*RadSpec!R4*((ET_res_o*(1/24)*RadSpec!W4)+(ET_res_i*(1/24)*RadSpec!AB4)))),".")</f>
        <v>533.99753309091307</v>
      </c>
      <c r="K4" s="15">
        <f>IFERROR((TR/(RadSpec!N4*EF_res*(1/365)*ED_res*RadSpec!S4*((ET_res_o*(1/24)*RadSpec!X4)+(ET_res_i*(1/24)*RadSpec!AC4)))),".")</f>
        <v>193.57410574545597</v>
      </c>
      <c r="L4" s="15">
        <f>IFERROR((TR/(RadSpec!O4*EF_res*(1/365)*ED_res*RadSpec!T4*((ET_res_o*(1/24)*RadSpec!Y4)+(ET_res_i*(1/24)*RadSpec!AD4)))),".")</f>
        <v>131.79513582669344</v>
      </c>
      <c r="M4" s="15">
        <f>IFERROR((TR/(RadSpec!K4*EF_res*(1/365)*ED_res*RadSpec!P4*((ET_res_o*(1/24)*RadSpec!U4)+(ET_res_i*(1/24)*RadSpec!Z4)))),".")</f>
        <v>544.56012165754657</v>
      </c>
      <c r="N4" s="15" t="str">
        <f>IFERROR((TR/(RadSpec!G4*IFA_res_adj)),".")</f>
        <v>.</v>
      </c>
      <c r="O4" s="15">
        <f>IFERROR((TR/(RadSpec!J4*EF_res*(1/365)*ED_res*ET_res*(1/24)*GSF_o)),".")</f>
        <v>41090.318117588547</v>
      </c>
      <c r="P4" s="15">
        <f t="shared" ref="P4:P5" si="4">IF(AND(N4&lt;&gt;".",O4&lt;&gt;"."),1/((1/N4)+(1/O4)),IF(AND(N4&lt;&gt;".",O4="."),1/((1/N4)),IF(AND(N4=".",O4&lt;&gt;"."),1/((1/O4)),IF(AND(N4&lt;&gt;".",O4="."),"."))))</f>
        <v>41090.318117588547</v>
      </c>
      <c r="Q4" s="15" t="str">
        <f>IFERROR((TR/(RadSpec!H4*IFW_res_adj)),".")</f>
        <v>.</v>
      </c>
      <c r="R4" s="15" t="str">
        <f>IFERROR(IF(RadSpec!C4=1,(TR/(RadSpec!G4*IFA_res_adj*K)),"."),".")</f>
        <v>.</v>
      </c>
      <c r="S4" s="15">
        <f>IFERROR((TR/(RadSpec!L4*(1/8760)*DFA_res_adj)),".")</f>
        <v>671634196.57384932</v>
      </c>
      <c r="T4" s="15" t="str">
        <f>b2w!C4</f>
        <v>.</v>
      </c>
      <c r="U4" s="15">
        <f t="shared" si="1"/>
        <v>671634196.57384932</v>
      </c>
      <c r="V4" s="15" t="str">
        <f>IFERROR(TR/(RadSpec!E4*EF_res*ED_res*IRF_res*0.001*CF_res_fish),".")</f>
        <v>.</v>
      </c>
      <c r="W4" s="42"/>
    </row>
    <row r="5" spans="1:23" x14ac:dyDescent="0.25">
      <c r="A5" s="44" t="s">
        <v>15</v>
      </c>
      <c r="B5" s="42" t="s">
        <v>1074</v>
      </c>
      <c r="C5" s="15" t="str">
        <f>IFERROR((TR/(RadSpec!D5*IFS_res_adj*(1/1000))),".")</f>
        <v>.</v>
      </c>
      <c r="D5" s="15" t="str">
        <f>IFERROR(IF(A5="H-3",(TR/(RadSpec!G5*IFA_res_adj*(1/17)*1000))*RadSpec!#REF!,(TR/(RadSpec!G5*IFA_res_adj*(1/PEF_wind)*1000))),".")</f>
        <v>.</v>
      </c>
      <c r="E5" s="15">
        <f>IFERROR((TR/(RadSpec!F5*EF_res*(1/365)*ED_res*RadSpec!Q5*((ET_res_o*(1/24)*RadSpec!V5)+(ET_res_i*(1/24)*RadSpec!AA5)))),".")</f>
        <v>4686.0492738379889</v>
      </c>
      <c r="F5" s="15" t="str">
        <f>b2s!C5</f>
        <v>.</v>
      </c>
      <c r="G5" s="15" t="str">
        <f>dir!C5</f>
        <v>.</v>
      </c>
      <c r="H5" s="15">
        <f t="shared" si="3"/>
        <v>4686.0492738379889</v>
      </c>
      <c r="I5" s="15">
        <f>IFERROR((TR/(RadSpec!F5*EF_res*(1/365)*ED_res*RadSpec!Q5*((ET_res_o*(1/24)*RadSpec!V5)+(ET_res_i*(1/24)*RadSpec!AA5)))),".")</f>
        <v>4686.0492738379889</v>
      </c>
      <c r="J5" s="15">
        <f>IFERROR((TR/(RadSpec!M5*EF_res*(1/365)*ED_res*RadSpec!R5*((ET_res_o*(1/24)*RadSpec!W5)+(ET_res_i*(1/24)*RadSpec!AB5)))),".")</f>
        <v>15328.808175834181</v>
      </c>
      <c r="K5" s="15">
        <f>IFERROR((TR/(RadSpec!N5*EF_res*(1/365)*ED_res*RadSpec!S5*((ET_res_o*(1/24)*RadSpec!X5)+(ET_res_i*(1/24)*RadSpec!AC5)))),".")</f>
        <v>6974.1708635334235</v>
      </c>
      <c r="L5" s="15">
        <f>IFERROR((TR/(RadSpec!O5*EF_res*(1/365)*ED_res*RadSpec!T5*((ET_res_o*(1/24)*RadSpec!Y5)+(ET_res_i*(1/24)*RadSpec!AD5)))),".")</f>
        <v>5028.4090381366541</v>
      </c>
      <c r="M5" s="15">
        <f>IFERROR((TR/(RadSpec!K5*EF_res*(1/365)*ED_res*RadSpec!P5*((ET_res_o*(1/24)*RadSpec!U5)+(ET_res_i*(1/24)*RadSpec!Z5)))),".")</f>
        <v>6439.8922769118553</v>
      </c>
      <c r="N5" s="15" t="str">
        <f>IFERROR((TR/(RadSpec!G5*IFA_res_adj)),".")</f>
        <v>.</v>
      </c>
      <c r="O5" s="15">
        <f>IFERROR((TR/(RadSpec!J5*EF_res*(1/365)*ED_res*ET_res*(1/24)*GSF_o)),".")</f>
        <v>1301193.4070569708</v>
      </c>
      <c r="P5" s="15">
        <f t="shared" si="4"/>
        <v>1301193.4070569708</v>
      </c>
      <c r="Q5" s="15" t="str">
        <f>IFERROR((TR/(RadSpec!H5*IFW_res_adj)),".")</f>
        <v>.</v>
      </c>
      <c r="R5" s="15" t="str">
        <f>IFERROR(IF(RadSpec!C5=1,(TR/(RadSpec!G5*IFA_res_adj*K)),"."),".")</f>
        <v>.</v>
      </c>
      <c r="S5" s="15">
        <f>IFERROR((TR/(RadSpec!L5*(1/8760)*DFA_res_adj)),".")</f>
        <v>27997507510.937222</v>
      </c>
      <c r="T5" s="15" t="str">
        <f>b2w!C5</f>
        <v>.</v>
      </c>
      <c r="U5" s="15">
        <f t="shared" si="1"/>
        <v>27997507510.937225</v>
      </c>
      <c r="V5" s="15" t="str">
        <f>IFERROR(TR/(RadSpec!E5*EF_res*ED_res*IRF_res*0.001*CF_res_fish),".")</f>
        <v>.</v>
      </c>
      <c r="W5" s="42"/>
    </row>
    <row r="6" spans="1:23" x14ac:dyDescent="0.25">
      <c r="A6" s="44" t="s">
        <v>16</v>
      </c>
      <c r="B6" s="42" t="s">
        <v>1074</v>
      </c>
      <c r="C6" s="15" t="str">
        <f>IFERROR((TR/(RadSpec!D6*IFS_res_adj*(1/1000))),".")</f>
        <v>.</v>
      </c>
      <c r="D6" s="15" t="str">
        <f>IFERROR(IF(A6="H-3",(TR/(RadSpec!G6*IFA_res_adj*(1/17)*1000))*RadSpec!#REF!,(TR/(RadSpec!G6*IFA_res_adj*(1/PEF_wind)*1000))),".")</f>
        <v>.</v>
      </c>
      <c r="E6" s="15">
        <f>IFERROR((TR/(RadSpec!F6*EF_res*(1/365)*ED_res*RadSpec!Q6*((ET_res_o*(1/24)*RadSpec!V6)+(ET_res_i*(1/24)*RadSpec!AA6)))),".")</f>
        <v>4.3091279192031942E-2</v>
      </c>
      <c r="F6" s="15" t="str">
        <f>b2s!C6</f>
        <v>.</v>
      </c>
      <c r="G6" s="15" t="str">
        <f>dir!C6</f>
        <v>.</v>
      </c>
      <c r="H6" s="15">
        <f t="shared" ref="H6:H14" si="5">(IF(AND(C6&lt;&gt;".",D6&lt;&gt;".",E6&lt;&gt;".",F6&lt;&gt;"."),1/((1/C6)+(1/D6)+(1/E6)+(1/F6)),IF(AND(C6&lt;&gt;".",D6&lt;&gt;".",E6&lt;&gt;".",F6="."), 1/((1/C6)+(1/D6)+(1/E6)),IF(AND(C6&lt;&gt;".",D6&lt;&gt;".",E6=".",F6&lt;&gt;"."),1/((1/C6)+(1/D6)+(1/F6)),IF(AND(C6&lt;&gt;".",D6=".",E6&lt;&gt;".",F6&lt;&gt;"."),1/((1/C6)+(1/E6)+(1/F6)),IF(AND(C6=".",D6&lt;&gt;".",E6&lt;&gt;".",F6&lt;&gt;"."),1/((1/D6)+(1/E6)+(1/F6)),IF(AND(C6&lt;&gt;".",D6&lt;&gt;".",E6=".",F6="."),1/((1/C6)+(1/D6)),IF(AND(C6&lt;&gt;".",D6=".",E6&lt;&gt;".",F6="."),1/((1/C6)+(1/E6)),IF(AND(C6&lt;&gt;".",D6=".",E6=".",F6&lt;&gt;"."),1/((1/C6)+(1/F6)),IF(AND(C6=".",D6=".",E6&lt;&gt;".",F6&lt;&gt;"."),1/((1/E6)+(1/F6)),IF(AND(C6=".",D6&lt;&gt;".",E6=".",F6&lt;&gt;"."),1/((1/D6)+(1/F6)),IF(AND(C6=".",D6&lt;&gt;".",E6&lt;&gt;".",F6="."),1/((1/D6)+(1/E6)),IF(AND(C6&lt;&gt;".",D6=".",E6=".",F6="."),1/((1/C6)),IF(AND(C6=".",D6&lt;&gt;".",E6=".",F6="."),1/((1/D6)),IF(AND(C6=".",D6=".",E6&lt;&gt;".",F6="."),1/((1/E6)),IF(AND(C6=".",D6=".",E6=".",F6&lt;&gt;"."),1/((1/F6)),IF(AND(C6=".",D6=".",E6=".",F6="."),".")))))))))))))))))</f>
        <v>4.3091279192031942E-2</v>
      </c>
      <c r="I6" s="15">
        <f>IFERROR((TR/(RadSpec!F6*EF_res*(1/365)*ED_res*RadSpec!Q6*((ET_res_o*(1/24)*RadSpec!V6)+(ET_res_i*(1/24)*RadSpec!AA6)))),".")</f>
        <v>4.3091279192031942E-2</v>
      </c>
      <c r="J6" s="15">
        <f>IFERROR((TR/(RadSpec!M6*EF_res*(1/365)*ED_res*RadSpec!R6*((ET_res_o*(1/24)*RadSpec!W6)+(ET_res_i*(1/24)*RadSpec!AB6)))),".")</f>
        <v>0.21141199262302363</v>
      </c>
      <c r="K6" s="15">
        <f>IFERROR((TR/(RadSpec!N6*EF_res*(1/365)*ED_res*RadSpec!S6*((ET_res_o*(1/24)*RadSpec!X6)+(ET_res_i*(1/24)*RadSpec!AC6)))),".")</f>
        <v>7.4969699048164515E-2</v>
      </c>
      <c r="L6" s="15">
        <f>IFERROR((TR/(RadSpec!O6*EF_res*(1/365)*ED_res*RadSpec!T6*((ET_res_o*(1/24)*RadSpec!Y6)+(ET_res_i*(1/24)*RadSpec!AD6)))),".")</f>
        <v>4.8346313239840719E-2</v>
      </c>
      <c r="M6" s="15">
        <f>IFERROR((TR/(RadSpec!K6*EF_res*(1/365)*ED_res*RadSpec!P6*((ET_res_o*(1/24)*RadSpec!U6)+(ET_res_i*(1/24)*RadSpec!Z6)))),".")</f>
        <v>0.21592579987292695</v>
      </c>
      <c r="N6" s="15" t="str">
        <f>IFERROR((TR/(RadSpec!G6*IFA_res_adj)),".")</f>
        <v>.</v>
      </c>
      <c r="O6" s="15">
        <f>IFERROR((TR/(RadSpec!J6*EF_res*(1/365)*ED_res*ET_res*(1/24)*GSF_o)),".")</f>
        <v>15.903474975140757</v>
      </c>
      <c r="P6" s="15">
        <f t="shared" ref="P6:P9" si="6">IF(AND(N6&lt;&gt;".",O6&lt;&gt;"."),1/((1/N6)+(1/O6)),IF(AND(N6&lt;&gt;".",O6="."),1/((1/N6)),IF(AND(N6=".",O6&lt;&gt;"."),1/((1/O6)),IF(AND(N6&lt;&gt;".",O6="."),"."))))</f>
        <v>15.903474975140757</v>
      </c>
      <c r="Q6" s="15" t="str">
        <f>IFERROR((TR/(RadSpec!H6*IFW_res_adj)),".")</f>
        <v>.</v>
      </c>
      <c r="R6" s="15" t="str">
        <f>IFERROR(IF(RadSpec!C6=1,(TR/(RadSpec!G6*IFA_res_adj*K)),"."),".")</f>
        <v>.</v>
      </c>
      <c r="S6" s="15">
        <f>IFERROR((TR/(RadSpec!L6*(1/8760)*DFA_res_adj)),".")</f>
        <v>262626.19225003081</v>
      </c>
      <c r="T6" s="15" t="str">
        <f>b2w!C6</f>
        <v>.</v>
      </c>
      <c r="U6" s="15">
        <f t="shared" si="1"/>
        <v>262626.19225003081</v>
      </c>
      <c r="V6" s="15" t="str">
        <f>IFERROR(TR/(RadSpec!E6*EF_res*ED_res*IRF_res*0.001*CF_res_fish),".")</f>
        <v>.</v>
      </c>
      <c r="W6" s="42"/>
    </row>
    <row r="7" spans="1:23" x14ac:dyDescent="0.25">
      <c r="A7" s="44" t="s">
        <v>17</v>
      </c>
      <c r="B7" s="42" t="s">
        <v>1074</v>
      </c>
      <c r="C7" s="15">
        <f>IFERROR((TR/(RadSpec!D7*IFS_res_adj*(1/1000))),".")</f>
        <v>37.18224057207108</v>
      </c>
      <c r="D7" s="15">
        <f>IFERROR(IF(A7="H-3",(TR/(RadSpec!G7*IFA_res_adj*(1/17)*1000))*RadSpec!#REF!,(TR/(RadSpec!G7*IFA_res_adj*(1/PEF_wind)*1000))),".")</f>
        <v>18552.259671022188</v>
      </c>
      <c r="E7" s="15">
        <f>IFERROR((TR/(RadSpec!F7*EF_res*(1/365)*ED_res*RadSpec!Q7*((ET_res_o*(1/24)*RadSpec!V7)+(ET_res_i*(1/24)*RadSpec!AA7)))),".")</f>
        <v>41.818540988047886</v>
      </c>
      <c r="F7" s="15">
        <f>b2s!C7</f>
        <v>6.3241415477523932E-2</v>
      </c>
      <c r="G7" s="15">
        <f>dir!C7</f>
        <v>6.3737033067747684E-3</v>
      </c>
      <c r="H7" s="15">
        <f t="shared" si="5"/>
        <v>6.3038649103457661E-2</v>
      </c>
      <c r="I7" s="15">
        <f>IFERROR((TR/(RadSpec!F7*EF_res*(1/365)*ED_res*RadSpec!Q7*((ET_res_o*(1/24)*RadSpec!V7)+(ET_res_i*(1/24)*RadSpec!AA7)))),".")</f>
        <v>41.818540988047886</v>
      </c>
      <c r="J7" s="15">
        <f>IFERROR((TR/(RadSpec!M7*EF_res*(1/365)*ED_res*RadSpec!R7*((ET_res_o*(1/24)*RadSpec!W7)+(ET_res_i*(1/24)*RadSpec!AB7)))),".")</f>
        <v>121.22057502650866</v>
      </c>
      <c r="K7" s="15">
        <f>IFERROR((TR/(RadSpec!N7*EF_res*(1/365)*ED_res*RadSpec!S7*((ET_res_o*(1/24)*RadSpec!X7)+(ET_res_i*(1/24)*RadSpec!AC7)))),".")</f>
        <v>56.312467125950839</v>
      </c>
      <c r="L7" s="15">
        <f>IFERROR((TR/(RadSpec!O7*EF_res*(1/365)*ED_res*RadSpec!T7*((ET_res_o*(1/24)*RadSpec!Y7)+(ET_res_i*(1/24)*RadSpec!AD7)))),".")</f>
        <v>43.091279192031941</v>
      </c>
      <c r="M7" s="15">
        <f>IFERROR((TR/(RadSpec!K7*EF_res*(1/365)*ED_res*RadSpec!P7*((ET_res_o*(1/24)*RadSpec!U7)+(ET_res_i*(1/24)*RadSpec!Z7)))),".")</f>
        <v>23.997564683213916</v>
      </c>
      <c r="N7" s="15">
        <f>IFERROR((TR/(RadSpec!G7*IFA_res_adj)),".")</f>
        <v>1.3647945779441006E-2</v>
      </c>
      <c r="O7" s="15">
        <f>IFERROR((TR/(RadSpec!J7*EF_res*(1/365)*ED_res*ET_res*(1/24)*GSF_o)),".")</f>
        <v>7583.1138954313528</v>
      </c>
      <c r="P7" s="15">
        <f t="shared" si="6"/>
        <v>1.3647921216169067E-2</v>
      </c>
      <c r="Q7" s="15">
        <f>IFERROR((TR/(RadSpec!H7*IFW_res_adj)),".")</f>
        <v>5.8598254969750228</v>
      </c>
      <c r="R7" s="15" t="str">
        <f>IFERROR(IF(RadSpec!C7=1,(TR/(RadSpec!G7*IFA_res_adj*K)),"."),".")</f>
        <v>.</v>
      </c>
      <c r="S7" s="15">
        <f>IFERROR((TR/(RadSpec!L7*(1/8760)*DFA_res_adj)),".")</f>
        <v>183446355.18360361</v>
      </c>
      <c r="T7" s="15">
        <f>b2w!C7</f>
        <v>0.87975805223761139</v>
      </c>
      <c r="U7" s="15">
        <f t="shared" si="1"/>
        <v>0.76491798143484768</v>
      </c>
      <c r="V7" s="15">
        <f>IFERROR(TR/(RadSpec!E7*EF_res*ED_res*IRF_res*0.001*CF_res_fish),".")</f>
        <v>0.15625015625015626</v>
      </c>
      <c r="W7" s="42"/>
    </row>
    <row r="8" spans="1:23" x14ac:dyDescent="0.25">
      <c r="A8" s="44" t="s">
        <v>18</v>
      </c>
      <c r="B8" s="42" t="s">
        <v>1074</v>
      </c>
      <c r="C8" s="15">
        <f>IFERROR((TR/(RadSpec!D8*IFS_res_adj*(1/1000))),".")</f>
        <v>749.41845128180535</v>
      </c>
      <c r="D8" s="15">
        <f>IFERROR(IF(A8="H-3",(TR/(RadSpec!G8*IFA_res_adj*(1/17)*1000))*RadSpec!#REF!,(TR/(RadSpec!G8*IFA_res_adj*(1/PEF_wind)*1000))),".")</f>
        <v>114096.39697678643</v>
      </c>
      <c r="E8" s="15">
        <f>IFERROR((TR/(RadSpec!F8*EF_res*(1/365)*ED_res*RadSpec!Q8*((ET_res_o*(1/24)*RadSpec!V8)+(ET_res_i*(1/24)*RadSpec!AA8)))),".")</f>
        <v>0.21313966051972794</v>
      </c>
      <c r="F8" s="15">
        <f>b2s!C8</f>
        <v>1.1474731055715681</v>
      </c>
      <c r="G8" s="15">
        <f>dir!C8</f>
        <v>0.11564657546312977</v>
      </c>
      <c r="H8" s="15">
        <f t="shared" si="5"/>
        <v>0.17970799739313051</v>
      </c>
      <c r="I8" s="15">
        <f>IFERROR((TR/(RadSpec!F8*EF_res*(1/365)*ED_res*RadSpec!Q8*((ET_res_o*(1/24)*RadSpec!V8)+(ET_res_i*(1/24)*RadSpec!AA8)))),".")</f>
        <v>0.21313966051972794</v>
      </c>
      <c r="J8" s="15">
        <f>IFERROR((TR/(RadSpec!M8*EF_res*(1/365)*ED_res*RadSpec!R8*((ET_res_o*(1/24)*RadSpec!W8)+(ET_res_i*(1/24)*RadSpec!AB8)))),".")</f>
        <v>0.98323355299279247</v>
      </c>
      <c r="K8" s="15">
        <f>IFERROR((TR/(RadSpec!N8*EF_res*(1/365)*ED_res*RadSpec!S8*((ET_res_o*(1/24)*RadSpec!X8)+(ET_res_i*(1/24)*RadSpec!AC8)))),".")</f>
        <v>0.35195291953719271</v>
      </c>
      <c r="L8" s="15">
        <f>IFERROR((TR/(RadSpec!O8*EF_res*(1/365)*ED_res*RadSpec!T8*((ET_res_o*(1/24)*RadSpec!Y8)+(ET_res_i*(1/24)*RadSpec!AD8)))),".")</f>
        <v>0.23265244634195653</v>
      </c>
      <c r="M8" s="15">
        <f>IFERROR((TR/(RadSpec!K8*EF_res*(1/365)*ED_res*RadSpec!P8*((ET_res_o*(1/24)*RadSpec!U8)+(ET_res_i*(1/24)*RadSpec!Z8)))),".")</f>
        <v>0.96223244797741248</v>
      </c>
      <c r="N8" s="15">
        <f>IFERROR((TR/(RadSpec!G8*IFA_res_adj)),".")</f>
        <v>8.3934866543562192E-2</v>
      </c>
      <c r="O8" s="15">
        <f>IFERROR((TR/(RadSpec!J8*EF_res*(1/365)*ED_res*ET_res*(1/24)*GSF_o)),".")</f>
        <v>75.332249882245677</v>
      </c>
      <c r="P8" s="15">
        <f t="shared" si="6"/>
        <v>8.3841450762252745E-2</v>
      </c>
      <c r="Q8" s="15">
        <f>IFERROR((TR/(RadSpec!H8*IFW_res_adj)),".")</f>
        <v>103.08160180810077</v>
      </c>
      <c r="R8" s="15" t="str">
        <f>IFERROR(IF(RadSpec!C8=1,(TR/(RadSpec!G8*IFA_res_adj*K)),"."),".")</f>
        <v>.</v>
      </c>
      <c r="S8" s="15">
        <f>IFERROR((TR/(RadSpec!L8*(1/8760)*DFA_res_adj)),".")</f>
        <v>1241505.6360910549</v>
      </c>
      <c r="T8" s="15">
        <f>b2w!C8</f>
        <v>15.962620329259751</v>
      </c>
      <c r="U8" s="15">
        <f t="shared" si="1"/>
        <v>13.822041286454104</v>
      </c>
      <c r="V8" s="15">
        <f>IFERROR(TR/(RadSpec!E8*EF_res*ED_res*IRF_res*0.001*CF_res_fish),".")</f>
        <v>2.8350543814461333</v>
      </c>
      <c r="W8" s="42"/>
    </row>
    <row r="9" spans="1:23" x14ac:dyDescent="0.25">
      <c r="A9" s="44" t="s">
        <v>19</v>
      </c>
      <c r="B9" s="42" t="s">
        <v>1074</v>
      </c>
      <c r="C9" s="15">
        <f>IFERROR((TR/(RadSpec!D9*IFS_res_adj*(1/1000))),".")</f>
        <v>2213.8783606673514</v>
      </c>
      <c r="D9" s="15">
        <f>IFERROR(IF(A9="H-3",(TR/(RadSpec!G9*IFA_res_adj*(1/17)*1000))*RadSpec!#REF!,(TR/(RadSpec!G9*IFA_res_adj*(1/PEF_wind)*1000))),".")</f>
        <v>136620.28116961487</v>
      </c>
      <c r="E9" s="15">
        <f>IFERROR((TR/(RadSpec!F9*EF_res*(1/365)*ED_res*RadSpec!Q9*((ET_res_o*(1/24)*RadSpec!V9)+(ET_res_i*(1/24)*RadSpec!AA9)))),".")</f>
        <v>1.5756747558294669E-2</v>
      </c>
      <c r="F9" s="15">
        <f>b2s!C9</f>
        <v>3.1047389467347872</v>
      </c>
      <c r="G9" s="15">
        <f>dir!C9</f>
        <v>0.31290705215965381</v>
      </c>
      <c r="H9" s="15">
        <f t="shared" si="5"/>
        <v>1.5677072035076706E-2</v>
      </c>
      <c r="I9" s="15">
        <f>IFERROR((TR/(RadSpec!F9*EF_res*(1/365)*ED_res*RadSpec!Q9*((ET_res_o*(1/24)*RadSpec!V9)+(ET_res_i*(1/24)*RadSpec!AA9)))),".")</f>
        <v>1.5756747558294669E-2</v>
      </c>
      <c r="J9" s="15">
        <f>IFERROR((TR/(RadSpec!M9*EF_res*(1/365)*ED_res*RadSpec!R9*((ET_res_o*(1/24)*RadSpec!W9)+(ET_res_i*(1/24)*RadSpec!AB9)))),".")</f>
        <v>8.7244667378233678E-2</v>
      </c>
      <c r="K9" s="15">
        <f>IFERROR((TR/(RadSpec!N9*EF_res*(1/365)*ED_res*RadSpec!S9*((ET_res_o*(1/24)*RadSpec!X9)+(ET_res_i*(1/24)*RadSpec!AC9)))),".")</f>
        <v>3.0364565607130353E-2</v>
      </c>
      <c r="L9" s="15">
        <f>IFERROR((TR/(RadSpec!O9*EF_res*(1/365)*ED_res*RadSpec!T9*((ET_res_o*(1/24)*RadSpec!Y9)+(ET_res_i*(1/24)*RadSpec!AD9)))),".")</f>
        <v>1.8842194323512071E-2</v>
      </c>
      <c r="M9" s="15">
        <f>IFERROR((TR/(RadSpec!K9*EF_res*(1/365)*ED_res*RadSpec!P9*((ET_res_o*(1/24)*RadSpec!U9)+(ET_res_i*(1/24)*RadSpec!Z9)))),".")</f>
        <v>9.009994740152133E-2</v>
      </c>
      <c r="N9" s="15">
        <f>IFERROR((TR/(RadSpec!G9*IFA_res_adj)),".")</f>
        <v>0.10050453275442722</v>
      </c>
      <c r="O9" s="15">
        <f>IFERROR((TR/(RadSpec!J9*EF_res*(1/365)*ED_res*ET_res*(1/24)*GSF_o)),".")</f>
        <v>5.9950272157598672</v>
      </c>
      <c r="P9" s="15">
        <f t="shared" si="6"/>
        <v>9.8847390847710437E-2</v>
      </c>
      <c r="Q9" s="15">
        <f>IFERROR((TR/(RadSpec!H9*IFW_res_adj)),".")</f>
        <v>272.10365024489028</v>
      </c>
      <c r="R9" s="15" t="str">
        <f>IFERROR(IF(RadSpec!C9=1,(TR/(RadSpec!G9*IFA_res_adj*K)),"."),".")</f>
        <v>.</v>
      </c>
      <c r="S9" s="15">
        <f>IFERROR((TR/(RadSpec!L9*(1/8760)*DFA_res_adj)),".")</f>
        <v>99120.208042753569</v>
      </c>
      <c r="T9" s="15">
        <f>b2w!C9</f>
        <v>43.190353471079376</v>
      </c>
      <c r="U9" s="15">
        <f t="shared" si="1"/>
        <v>37.25993817595252</v>
      </c>
      <c r="V9" s="15">
        <f>IFERROR(TR/(RadSpec!E9*EF_res*ED_res*IRF_res*0.001*CF_res_fish),".")</f>
        <v>7.6708584379435125</v>
      </c>
      <c r="W9" s="42"/>
    </row>
    <row r="10" spans="1:23" x14ac:dyDescent="0.25">
      <c r="A10" s="46" t="s">
        <v>20</v>
      </c>
      <c r="B10" s="42" t="s">
        <v>351</v>
      </c>
      <c r="C10" s="15">
        <f>IFERROR((TR/(RadSpec!D10*IFS_res_adj*(1/1000))),".")</f>
        <v>20.983716635890548</v>
      </c>
      <c r="D10" s="15">
        <f>IFERROR(IF(A10="H-3",(TR/(RadSpec!G10*IFA_res_adj*(1/17)*1000))*RadSpec!#REF!,(TR/(RadSpec!G10*IFA_res_adj*(1/PEF_wind)*1000))),".")</f>
        <v>75063.419063675305</v>
      </c>
      <c r="E10" s="15">
        <f>IFERROR((TR/(RadSpec!F10*EF_res*(1/365)*ED_res*RadSpec!Q10*((ET_res_o*(1/24)*RadSpec!V10)+(ET_res_i*(1/24)*RadSpec!AA10)))),".")</f>
        <v>209.53476139888679</v>
      </c>
      <c r="F10" s="15">
        <f>b2s!C10</f>
        <v>9.042817629041508E-2</v>
      </c>
      <c r="G10" s="15">
        <f>dir!C10</f>
        <v>2.2213302613710074E-3</v>
      </c>
      <c r="H10" s="15">
        <f t="shared" si="5"/>
        <v>9.0001370322821919E-2</v>
      </c>
      <c r="I10" s="15">
        <f>IFERROR((TR/(RadSpec!F10*EF_res*(1/365)*ED_res*RadSpec!Q10*((ET_res_o*(1/24)*RadSpec!V10)+(ET_res_i*(1/24)*RadSpec!AA10)))),".")</f>
        <v>209.53476139888679</v>
      </c>
      <c r="J10" s="15">
        <f>IFERROR((TR/(RadSpec!M10*EF_res*(1/365)*ED_res*RadSpec!R10*((ET_res_o*(1/24)*RadSpec!W10)+(ET_res_i*(1/24)*RadSpec!AB10)))),".")</f>
        <v>601.39527998588267</v>
      </c>
      <c r="K10" s="15">
        <f>IFERROR((TR/(RadSpec!N10*EF_res*(1/365)*ED_res*RadSpec!S10*((ET_res_o*(1/24)*RadSpec!X10)+(ET_res_i*(1/24)*RadSpec!AC10)))),".")</f>
        <v>272.87979664557673</v>
      </c>
      <c r="L10" s="15">
        <f>IFERROR((TR/(RadSpec!O10*EF_res*(1/365)*ED_res*RadSpec!T10*((ET_res_o*(1/24)*RadSpec!Y10)+(ET_res_i*(1/24)*RadSpec!AD10)))),".")</f>
        <v>213.59901323636527</v>
      </c>
      <c r="M10" s="15">
        <f>IFERROR((TR/(RadSpec!K10*EF_res*(1/365)*ED_res*RadSpec!P10*((ET_res_o*(1/24)*RadSpec!U10)+(ET_res_i*(1/24)*RadSpec!Z10)))),".")</f>
        <v>209.09270494023943</v>
      </c>
      <c r="N10" s="15">
        <f>IFERROR((TR/(RadSpec!G10*IFA_res_adj)),".")</f>
        <v>5.5220306936554081E-2</v>
      </c>
      <c r="O10" s="15">
        <f>IFERROR((TR/(RadSpec!J10*EF_res*(1/365)*ED_res*ET_res*(1/24)*GSF_o)),".")</f>
        <v>24713.31363043455</v>
      </c>
      <c r="P10" s="15">
        <f t="shared" ref="P10" si="7">IF(AND(N10&lt;&gt;".",O10&lt;&gt;"."),1/((1/N10)+(1/O10)),IF(AND(N10&lt;&gt;".",O10="."),1/((1/N10)),IF(AND(N10=".",O10&lt;&gt;"."),1/((1/O10)),IF(AND(N10&lt;&gt;".",O10="."),"."))))</f>
        <v>5.5220183550611986E-2</v>
      </c>
      <c r="Q10" s="15">
        <f>IFERROR((TR/(RadSpec!H10*IFW_res_adj)),".")</f>
        <v>1.7138567290909961</v>
      </c>
      <c r="R10" s="15" t="str">
        <f>IFERROR(IF(RadSpec!C10=1,(TR/(RadSpec!G10*IFA_res_adj*K)),"."),".")</f>
        <v>.</v>
      </c>
      <c r="S10" s="15">
        <f>IFERROR((TR/(RadSpec!L10*(1/8760)*DFA_res_adj)),".")</f>
        <v>640151343.6094501</v>
      </c>
      <c r="T10" s="15">
        <f>b2w!C10</f>
        <v>0.49141463965879956</v>
      </c>
      <c r="U10" s="15">
        <f t="shared" si="1"/>
        <v>0.38190959098519783</v>
      </c>
      <c r="V10" s="15">
        <f>IFERROR(TR/(RadSpec!E10*EF_res*ED_res*IRF_res*0.001*CF_res_fish),".")</f>
        <v>5.4455500000054453E-2</v>
      </c>
      <c r="W10" s="42"/>
    </row>
    <row r="11" spans="1:23" x14ac:dyDescent="0.25">
      <c r="A11" s="44" t="s">
        <v>21</v>
      </c>
      <c r="B11" s="42" t="s">
        <v>1074</v>
      </c>
      <c r="C11" s="15" t="str">
        <f>IFERROR((TR/(RadSpec!D11*IFS_res_adj*(1/1000))),".")</f>
        <v>.</v>
      </c>
      <c r="D11" s="15" t="str">
        <f>IFERROR(IF(A11="H-3",(TR/(RadSpec!G11*IFA_res_adj*(1/17)*1000))*RadSpec!#REF!,(TR/(RadSpec!G11*IFA_res_adj*(1/PEF_wind)*1000))),".")</f>
        <v>.</v>
      </c>
      <c r="E11" s="15">
        <f>IFERROR((TR/(RadSpec!F11*EF_res*(1/365)*ED_res*RadSpec!Q11*((ET_res_o*(1/24)*RadSpec!V11)+(ET_res_i*(1/24)*RadSpec!AA11)))),".")</f>
        <v>1.103674188660061</v>
      </c>
      <c r="F11" s="15" t="str">
        <f>b2s!C11</f>
        <v>.</v>
      </c>
      <c r="G11" s="15" t="str">
        <f>dir!C11</f>
        <v>.</v>
      </c>
      <c r="H11" s="15">
        <f t="shared" si="5"/>
        <v>1.103674188660061</v>
      </c>
      <c r="I11" s="15">
        <f>IFERROR((TR/(RadSpec!F11*EF_res*(1/365)*ED_res*RadSpec!Q11*((ET_res_o*(1/24)*RadSpec!V11)+(ET_res_i*(1/24)*RadSpec!AA11)))),".")</f>
        <v>1.103674188660061</v>
      </c>
      <c r="J11" s="15">
        <f>IFERROR((TR/(RadSpec!M11*EF_res*(1/365)*ED_res*RadSpec!R11*((ET_res_o*(1/24)*RadSpec!W11)+(ET_res_i*(1/24)*RadSpec!AB11)))),".")</f>
        <v>4.5214389663172208</v>
      </c>
      <c r="K11" s="15">
        <f>IFERROR((TR/(RadSpec!N11*EF_res*(1/365)*ED_res*RadSpec!S11*((ET_res_o*(1/24)*RadSpec!X11)+(ET_res_i*(1/24)*RadSpec!AC11)))),".")</f>
        <v>1.6387225883213208</v>
      </c>
      <c r="L11" s="15">
        <f>IFERROR((TR/(RadSpec!O11*EF_res*(1/365)*ED_res*RadSpec!T11*((ET_res_o*(1/24)*RadSpec!Y11)+(ET_res_i*(1/24)*RadSpec!AD11)))),".")</f>
        <v>1.1457796779384217</v>
      </c>
      <c r="M11" s="15">
        <f>IFERROR((TR/(RadSpec!K11*EF_res*(1/365)*ED_res*RadSpec!P11*((ET_res_o*(1/24)*RadSpec!U11)+(ET_res_i*(1/24)*RadSpec!Z11)))),".")</f>
        <v>4.5884232472996977</v>
      </c>
      <c r="N11" s="15" t="str">
        <f>IFERROR((TR/(RadSpec!G11*IFA_res_adj)),".")</f>
        <v>.</v>
      </c>
      <c r="O11" s="15">
        <f>IFERROR((TR/(RadSpec!J11*EF_res*(1/365)*ED_res*ET_res*(1/24)*GSF_o)),".")</f>
        <v>348.039573924053</v>
      </c>
      <c r="P11" s="15">
        <f t="shared" ref="P11" si="8">IF(AND(N11&lt;&gt;".",O11&lt;&gt;"."),1/((1/N11)+(1/O11)),IF(AND(N11&lt;&gt;".",O11="."),1/((1/N11)),IF(AND(N11=".",O11&lt;&gt;"."),1/((1/O11)),IF(AND(N11&lt;&gt;".",O11="."),"."))))</f>
        <v>348.039573924053</v>
      </c>
      <c r="Q11" s="15" t="str">
        <f>IFERROR((TR/(RadSpec!H11*IFW_res_adj)),".")</f>
        <v>.</v>
      </c>
      <c r="R11" s="15" t="str">
        <f>IFERROR(IF(RadSpec!C11=1,(TR/(RadSpec!G11*IFA_res_adj*K)),"."),".")</f>
        <v>.</v>
      </c>
      <c r="S11" s="15">
        <f>IFERROR((TR/(RadSpec!L11*(1/8760)*DFA_res_adj)),".")</f>
        <v>5664011.8881573454</v>
      </c>
      <c r="T11" s="15" t="str">
        <f>b2w!C11</f>
        <v>.</v>
      </c>
      <c r="U11" s="15">
        <f t="shared" si="1"/>
        <v>5664011.8881573454</v>
      </c>
      <c r="V11" s="15" t="str">
        <f>IFERROR(TR/(RadSpec!E11*EF_res*ED_res*IRF_res*0.001*CF_res_fish),".")</f>
        <v>.</v>
      </c>
      <c r="W11" s="42"/>
    </row>
    <row r="12" spans="1:23" x14ac:dyDescent="0.25">
      <c r="A12" s="44" t="s">
        <v>22</v>
      </c>
      <c r="B12" s="42" t="s">
        <v>1074</v>
      </c>
      <c r="C12" s="15" t="str">
        <f>IFERROR((TR/(RadSpec!D12*IFS_res_adj*(1/1000))),".")</f>
        <v>.</v>
      </c>
      <c r="D12" s="15" t="str">
        <f>IFERROR(IF(A12="H-3",(TR/(RadSpec!G12*IFA_res_adj*(1/17)*1000))*RadSpec!#REF!,(TR/(RadSpec!G12*IFA_res_adj*(1/PEF_wind)*1000))),".")</f>
        <v>.</v>
      </c>
      <c r="E12" s="15">
        <f>IFERROR((TR/(RadSpec!F12*EF_res*(1/365)*ED_res*RadSpec!Q12*((ET_res_o*(1/24)*RadSpec!V12)+(ET_res_i*(1/24)*RadSpec!AA12)))),".")</f>
        <v>0.23939599551128857</v>
      </c>
      <c r="F12" s="15" t="str">
        <f>b2s!C12</f>
        <v>.</v>
      </c>
      <c r="G12" s="15" t="str">
        <f>dir!C12</f>
        <v>.</v>
      </c>
      <c r="H12" s="15">
        <f t="shared" si="5"/>
        <v>0.23939599551128854</v>
      </c>
      <c r="I12" s="15">
        <f>IFERROR((TR/(RadSpec!F12*EF_res*(1/365)*ED_res*RadSpec!Q12*((ET_res_o*(1/24)*RadSpec!V12)+(ET_res_i*(1/24)*RadSpec!AA12)))),".")</f>
        <v>0.23939599551128857</v>
      </c>
      <c r="J12" s="15">
        <f>IFERROR((TR/(RadSpec!M12*EF_res*(1/365)*ED_res*RadSpec!R12*((ET_res_o*(1/24)*RadSpec!W12)+(ET_res_i*(1/24)*RadSpec!AB12)))),".")</f>
        <v>1.0534645210637061</v>
      </c>
      <c r="K12" s="15">
        <f>IFERROR((TR/(RadSpec!N12*EF_res*(1/365)*ED_res*RadSpec!S12*((ET_res_o*(1/24)*RadSpec!X12)+(ET_res_i*(1/24)*RadSpec!AC12)))),".")</f>
        <v>0.37770557218625572</v>
      </c>
      <c r="L12" s="15">
        <f>IFERROR((TR/(RadSpec!O12*EF_res*(1/365)*ED_res*RadSpec!T12*((ET_res_o*(1/24)*RadSpec!Y12)+(ET_res_i*(1/24)*RadSpec!AD12)))),".")</f>
        <v>0.25609804170975053</v>
      </c>
      <c r="M12" s="15">
        <f>IFERROR((TR/(RadSpec!K12*EF_res*(1/365)*ED_res*RadSpec!P12*((ET_res_o*(1/24)*RadSpec!U12)+(ET_res_i*(1/24)*RadSpec!Z12)))),".")</f>
        <v>1.0356315793278317</v>
      </c>
      <c r="N12" s="15" t="str">
        <f>IFERROR((TR/(RadSpec!G12*IFA_res_adj)),".")</f>
        <v>.</v>
      </c>
      <c r="O12" s="15">
        <f>IFERROR((TR/(RadSpec!J12*EF_res*(1/365)*ED_res*ET_res*(1/24)*GSF_o)),".")</f>
        <v>80.827072814833016</v>
      </c>
      <c r="P12" s="15">
        <f t="shared" ref="P12" si="9">IF(AND(N12&lt;&gt;".",O12&lt;&gt;"."),1/((1/N12)+(1/O12)),IF(AND(N12&lt;&gt;".",O12="."),1/((1/N12)),IF(AND(N12=".",O12&lt;&gt;"."),1/((1/O12)),IF(AND(N12&lt;&gt;".",O12="."),"."))))</f>
        <v>80.827072814833016</v>
      </c>
      <c r="Q12" s="15" t="str">
        <f>IFERROR((TR/(RadSpec!H12*IFW_res_adj)),".")</f>
        <v>.</v>
      </c>
      <c r="R12" s="15" t="str">
        <f>IFERROR(IF(RadSpec!C12=1,(TR/(RadSpec!G12*IFA_res_adj*K)),"."),".")</f>
        <v>.</v>
      </c>
      <c r="S12" s="15">
        <f>IFERROR((TR/(RadSpec!L12*(1/8760)*DFA_res_adj)),".")</f>
        <v>1328746.572681237</v>
      </c>
      <c r="T12" s="15" t="str">
        <f>b2w!C12</f>
        <v>.</v>
      </c>
      <c r="U12" s="15">
        <f t="shared" si="1"/>
        <v>1328746.572681237</v>
      </c>
      <c r="V12" s="15" t="str">
        <f>IFERROR(TR/(RadSpec!E12*EF_res*ED_res*IRF_res*0.001*CF_res_fish),".")</f>
        <v>.</v>
      </c>
      <c r="W12" s="42"/>
    </row>
    <row r="13" spans="1:23" x14ac:dyDescent="0.25">
      <c r="A13" s="44" t="s">
        <v>23</v>
      </c>
      <c r="B13" s="42" t="s">
        <v>1074</v>
      </c>
      <c r="C13" s="15">
        <f>IFERROR((TR/(RadSpec!D13*IFS_res_adj*(1/1000))),".")</f>
        <v>7.1606154692208097</v>
      </c>
      <c r="D13" s="15">
        <f>IFERROR(IF(A13="H-3",(TR/(RadSpec!G13*IFA_res_adj*(1/17)*1000))*RadSpec!#REF!,(TR/(RadSpec!G13*IFA_res_adj*(1/PEF_wind)*1000))),".")</f>
        <v>294.44231477880379</v>
      </c>
      <c r="E13" s="15">
        <f>IFERROR((TR/(RadSpec!F13*EF_res*(1/365)*ED_res*RadSpec!Q13*((ET_res_o*(1/24)*RadSpec!V13)+(ET_res_i*(1/24)*RadSpec!AA13)))),".")</f>
        <v>2.237244743604367</v>
      </c>
      <c r="F13" s="15">
        <f>b2s!C13</f>
        <v>9.7442676629222388E-2</v>
      </c>
      <c r="G13" s="15">
        <f>dir!C13</f>
        <v>1.0015819482074632E-3</v>
      </c>
      <c r="H13" s="15">
        <f t="shared" si="5"/>
        <v>9.2144910871403821E-2</v>
      </c>
      <c r="I13" s="15">
        <f>IFERROR((TR/(RadSpec!F13*EF_res*(1/365)*ED_res*RadSpec!Q13*((ET_res_o*(1/24)*RadSpec!V13)+(ET_res_i*(1/24)*RadSpec!AA13)))),".")</f>
        <v>2.237244743604367</v>
      </c>
      <c r="J13" s="15">
        <f>IFERROR((TR/(RadSpec!M13*EF_res*(1/365)*ED_res*RadSpec!R13*((ET_res_o*(1/24)*RadSpec!W13)+(ET_res_i*(1/24)*RadSpec!AB13)))),".")</f>
        <v>6.6695788789820645</v>
      </c>
      <c r="K13" s="15">
        <f>IFERROR((TR/(RadSpec!N13*EF_res*(1/365)*ED_res*RadSpec!S13*((ET_res_o*(1/24)*RadSpec!X13)+(ET_res_i*(1/24)*RadSpec!AC13)))),".")</f>
        <v>2.8028829791197247</v>
      </c>
      <c r="L13" s="15">
        <f>IFERROR((TR/(RadSpec!O13*EF_res*(1/365)*ED_res*RadSpec!T13*((ET_res_o*(1/24)*RadSpec!Y13)+(ET_res_i*(1/24)*RadSpec!AD13)))),".")</f>
        <v>2.2473909782692396</v>
      </c>
      <c r="M13" s="15">
        <f>IFERROR((TR/(RadSpec!K13*EF_res*(1/365)*ED_res*RadSpec!P13*((ET_res_o*(1/24)*RadSpec!U13)+(ET_res_i*(1/24)*RadSpec!Z13)))),".")</f>
        <v>5.5061078967596373</v>
      </c>
      <c r="N13" s="15">
        <f>IFERROR((TR/(RadSpec!G13*IFA_res_adj)),".")</f>
        <v>2.1660610720919277E-4</v>
      </c>
      <c r="O13" s="15">
        <f>IFERROR((TR/(RadSpec!J13*EF_res*(1/365)*ED_res*ET_res*(1/24)*GSF_o)),".")</f>
        <v>522.85397178544952</v>
      </c>
      <c r="P13" s="15">
        <f t="shared" ref="P13:P14" si="10">IF(AND(N13&lt;&gt;".",O13&lt;&gt;"."),1/((1/N13)+(1/O13)),IF(AND(N13&lt;&gt;".",O13="."),1/((1/N13)),IF(AND(N13=".",O13&lt;&gt;"."),1/((1/O13)),IF(AND(N13&lt;&gt;".",O13="."),"."))))</f>
        <v>2.1660601747441256E-4</v>
      </c>
      <c r="Q13" s="15">
        <f>IFERROR((TR/(RadSpec!H13*IFW_res_adj)),".")</f>
        <v>0.84060591950653607</v>
      </c>
      <c r="R13" s="15" t="str">
        <f>IFERROR(IF(RadSpec!C13=1,(TR/(RadSpec!G13*IFA_res_adj*K)),"."),".")</f>
        <v>.</v>
      </c>
      <c r="S13" s="15">
        <f>IFERROR((TR/(RadSpec!L13*(1/8760)*DFA_res_adj)),".")</f>
        <v>8361160.4063275121</v>
      </c>
      <c r="T13" s="15">
        <f>b2w!C13</f>
        <v>0.24979552830589286</v>
      </c>
      <c r="U13" s="15">
        <f t="shared" si="1"/>
        <v>0.1925709061972472</v>
      </c>
      <c r="V13" s="15">
        <f>IFERROR(TR/(RadSpec!E13*EF_res*ED_res*IRF_res*0.001*CF_res_fish),".")</f>
        <v>2.4553595982167407E-2</v>
      </c>
      <c r="W13" s="42"/>
    </row>
    <row r="14" spans="1:23" x14ac:dyDescent="0.25">
      <c r="A14" s="44" t="s">
        <v>24</v>
      </c>
      <c r="B14" s="42" t="s">
        <v>1074</v>
      </c>
      <c r="C14" s="15">
        <f>IFERROR((TR/(RadSpec!D14*IFS_res_adj*(1/1000))),".")</f>
        <v>54.227582317469952</v>
      </c>
      <c r="D14" s="15">
        <f>IFERROR(IF(A14="H-3",(TR/(RadSpec!G14*IFA_res_adj*(1/17)*1000))*RadSpec!#REF!,(TR/(RadSpec!G14*IFA_res_adj*(1/PEF_wind)*1000))),".")</f>
        <v>552524.92482705298</v>
      </c>
      <c r="E14" s="15">
        <f>IFERROR((TR/(RadSpec!F14*EF_res*(1/365)*ED_res*RadSpec!Q14*((ET_res_o*(1/24)*RadSpec!V14)+(ET_res_i*(1/24)*RadSpec!AA14)))),".")</f>
        <v>0.1440551484617347</v>
      </c>
      <c r="F14" s="15">
        <f>b2s!C14</f>
        <v>0.8597094217213771</v>
      </c>
      <c r="G14" s="15">
        <f>dir!C14</f>
        <v>9.270841173490571E-3</v>
      </c>
      <c r="H14" s="15">
        <f t="shared" si="5"/>
        <v>0.12310097909799222</v>
      </c>
      <c r="I14" s="15">
        <f>IFERROR((TR/(RadSpec!F14*EF_res*(1/365)*ED_res*RadSpec!Q14*((ET_res_o*(1/24)*RadSpec!V14)+(ET_res_i*(1/24)*RadSpec!AA14)))),".")</f>
        <v>0.1440551484617347</v>
      </c>
      <c r="J14" s="15">
        <f>IFERROR((TR/(RadSpec!M14*EF_res*(1/365)*ED_res*RadSpec!R14*((ET_res_o*(1/24)*RadSpec!W14)+(ET_res_i*(1/24)*RadSpec!AB14)))),".")</f>
        <v>0.60729131214260723</v>
      </c>
      <c r="K14" s="15">
        <f>IFERROR((TR/(RadSpec!N14*EF_res*(1/365)*ED_res*RadSpec!S14*((ET_res_o*(1/24)*RadSpec!X14)+(ET_res_i*(1/24)*RadSpec!AC14)))),".")</f>
        <v>0.22122754942337824</v>
      </c>
      <c r="L14" s="15">
        <f>IFERROR((TR/(RadSpec!O14*EF_res*(1/365)*ED_res*RadSpec!T14*((ET_res_o*(1/24)*RadSpec!Y14)+(ET_res_i*(1/24)*RadSpec!AD14)))),".")</f>
        <v>0.15224261465694849</v>
      </c>
      <c r="M14" s="15">
        <f>IFERROR((TR/(RadSpec!K14*EF_res*(1/365)*ED_res*RadSpec!P14*((ET_res_o*(1/24)*RadSpec!U14)+(ET_res_i*(1/24)*RadSpec!Z14)))),".")</f>
        <v>0.61558970274331348</v>
      </c>
      <c r="N14" s="15">
        <f>IFERROR((TR/(RadSpec!G14*IFA_res_adj)),".")</f>
        <v>0.40646424476301307</v>
      </c>
      <c r="O14" s="15">
        <f>IFERROR((TR/(RadSpec!J14*EF_res*(1/365)*ED_res*ET_res*(1/24)*GSF_o)),".")</f>
        <v>46.992484194670354</v>
      </c>
      <c r="P14" s="15">
        <f t="shared" si="10"/>
        <v>0.40297865726138576</v>
      </c>
      <c r="Q14" s="15">
        <f>IFERROR((TR/(RadSpec!H14*IFW_res_adj)),".")</f>
        <v>8.5073370166926541</v>
      </c>
      <c r="R14" s="15" t="str">
        <f>IFERROR(IF(RadSpec!C14=1,(TR/(RadSpec!G14*IFA_res_adj*K)),"."),".")</f>
        <v>.</v>
      </c>
      <c r="S14" s="15">
        <f>IFERROR((TR/(RadSpec!L14*(1/8760)*DFA_res_adj)),".")</f>
        <v>768181.61233134009</v>
      </c>
      <c r="T14" s="15">
        <f>b2w!C14</f>
        <v>2.3017936217088857</v>
      </c>
      <c r="U14" s="15">
        <f t="shared" si="1"/>
        <v>1.8116246862698198</v>
      </c>
      <c r="V14" s="15">
        <f>IFERROR(TR/(RadSpec!E14*EF_res*ED_res*IRF_res*0.001*CF_res_fish),".")</f>
        <v>0.22727295454568183</v>
      </c>
      <c r="W14" s="42"/>
    </row>
    <row r="15" spans="1:23" x14ac:dyDescent="0.25">
      <c r="A15" s="44" t="s">
        <v>25</v>
      </c>
      <c r="B15" s="42" t="s">
        <v>1074</v>
      </c>
      <c r="C15" s="15">
        <f>IFERROR((TR/(RadSpec!D15*IFS_res_adj*(1/1000))),".")</f>
        <v>1427.8860432706588</v>
      </c>
      <c r="D15" s="15">
        <f>IFERROR(IF(A15="H-3",(TR/(RadSpec!G15*IFA_res_adj*(1/17)*1000))*RadSpec!#REF!,(TR/(RadSpec!G15*IFA_res_adj*(1/PEF_wind)*1000))),".")</f>
        <v>40603699.991738953</v>
      </c>
      <c r="E15" s="15">
        <f>IFERROR((TR/(RadSpec!F15*EF_res*(1/365)*ED_res*RadSpec!Q15*((ET_res_o*(1/24)*RadSpec!V15)+(ET_res_i*(1/24)*RadSpec!AA15)))),".")</f>
        <v>239.39599551128862</v>
      </c>
      <c r="F15" s="15">
        <f>b2s!C15</f>
        <v>13.403592783097398</v>
      </c>
      <c r="G15" s="15">
        <f>dir!C15</f>
        <v>0.23816810658011864</v>
      </c>
      <c r="H15" s="15">
        <f t="shared" ref="H15:H16" si="11">(IF(AND(C15&lt;&gt;".",D15&lt;&gt;".",E15&lt;&gt;".",F15&lt;&gt;"."),1/((1/C15)+(1/D15)+(1/E15)+(1/F15)),IF(AND(C15&lt;&gt;".",D15&lt;&gt;".",E15&lt;&gt;".",F15="."), 1/((1/C15)+(1/D15)+(1/E15)),IF(AND(C15&lt;&gt;".",D15&lt;&gt;".",E15=".",F15&lt;&gt;"."),1/((1/C15)+(1/D15)+(1/F15)),IF(AND(C15&lt;&gt;".",D15=".",E15&lt;&gt;".",F15&lt;&gt;"."),1/((1/C15)+(1/E15)+(1/F15)),IF(AND(C15=".",D15&lt;&gt;".",E15&lt;&gt;".",F15&lt;&gt;"."),1/((1/D15)+(1/E15)+(1/F15)),IF(AND(C15&lt;&gt;".",D15&lt;&gt;".",E15=".",F15="."),1/((1/C15)+(1/D15)),IF(AND(C15&lt;&gt;".",D15=".",E15&lt;&gt;".",F15="."),1/((1/C15)+(1/E15)),IF(AND(C15&lt;&gt;".",D15=".",E15=".",F15&lt;&gt;"."),1/((1/C15)+(1/F15)),IF(AND(C15=".",D15=".",E15&lt;&gt;".",F15&lt;&gt;"."),1/((1/E15)+(1/F15)),IF(AND(C15=".",D15&lt;&gt;".",E15=".",F15&lt;&gt;"."),1/((1/D15)+(1/F15)),IF(AND(C15=".",D15&lt;&gt;".",E15&lt;&gt;".",F15="."),1/((1/D15)+(1/E15)),IF(AND(C15&lt;&gt;".",D15=".",E15=".",F15="."),1/((1/C15)),IF(AND(C15=".",D15&lt;&gt;".",E15=".",F15="."),1/((1/D15)),IF(AND(C15=".",D15=".",E15&lt;&gt;".",F15="."),1/((1/E15)),IF(AND(C15=".",D15=".",E15=".",F15&lt;&gt;"."),1/((1/F15)),IF(AND(C15=".",D15=".",E15=".",F15="."),".")))))))))))))))))</f>
        <v>12.581084751626127</v>
      </c>
      <c r="I15" s="15">
        <f>IFERROR((TR/(RadSpec!F15*EF_res*(1/365)*ED_res*RadSpec!Q15*((ET_res_o*(1/24)*RadSpec!V15)+(ET_res_i*(1/24)*RadSpec!AA15)))),".")</f>
        <v>239.39599551128862</v>
      </c>
      <c r="J15" s="15">
        <f>IFERROR((TR/(RadSpec!M15*EF_res*(1/365)*ED_res*RadSpec!R15*((ET_res_o*(1/24)*RadSpec!W15)+(ET_res_i*(1/24)*RadSpec!AB15)))),".")</f>
        <v>697.85904901896538</v>
      </c>
      <c r="K15" s="15">
        <f>IFERROR((TR/(RadSpec!N15*EF_res*(1/365)*ED_res*RadSpec!S15*((ET_res_o*(1/24)*RadSpec!X15)+(ET_res_i*(1/24)*RadSpec!AC15)))),".")</f>
        <v>308.63833502015905</v>
      </c>
      <c r="L15" s="15">
        <f>IFERROR((TR/(RadSpec!O15*EF_res*(1/365)*ED_res*RadSpec!T15*((ET_res_o*(1/24)*RadSpec!Y15)+(ET_res_i*(1/24)*RadSpec!AD15)))),".")</f>
        <v>243.09527138011646</v>
      </c>
      <c r="M15" s="15">
        <f>IFERROR((TR/(RadSpec!K15*EF_res*(1/365)*ED_res*RadSpec!P15*((ET_res_o*(1/24)*RadSpec!U15)+(ET_res_i*(1/24)*RadSpec!Z15)))),".")</f>
        <v>227.52511970081147</v>
      </c>
      <c r="N15" s="15">
        <f>IFERROR((TR/(RadSpec!G15*IFA_res_adj)),".")</f>
        <v>29.870059268171598</v>
      </c>
      <c r="O15" s="15">
        <f>IFERROR((TR/(RadSpec!J15*EF_res*(1/365)*ED_res*ET_res*(1/24)*GSF_o)),".")</f>
        <v>23528.428730345229</v>
      </c>
      <c r="P15" s="15">
        <f t="shared" ref="P15:P17" si="12">IF(AND(N15&lt;&gt;".",O15&lt;&gt;"."),1/((1/N15)+(1/O15)),IF(AND(N15&lt;&gt;".",O15="."),1/((1/N15)),IF(AND(N15=".",O15&lt;&gt;"."),1/((1/O15)),IF(AND(N15&lt;&gt;".",O15="."),"."))))</f>
        <v>29.832186395913205</v>
      </c>
      <c r="Q15" s="15">
        <f>IFERROR((TR/(RadSpec!H15*IFW_res_adj)),".")</f>
        <v>216.93055987265444</v>
      </c>
      <c r="R15" s="15" t="str">
        <f>IFERROR(IF(RadSpec!C15=1,(TR/(RadSpec!G15*IFA_res_adj*K)),"."),".")</f>
        <v>.</v>
      </c>
      <c r="S15" s="15">
        <f>IFERROR((TR/(RadSpec!L15*(1/8760)*DFA_res_adj)),".")</f>
        <v>617633457.15082622</v>
      </c>
      <c r="T15" s="15">
        <f>b2w!C15</f>
        <v>55.681119846139325</v>
      </c>
      <c r="U15" s="15">
        <f t="shared" si="1"/>
        <v>44.308210302992634</v>
      </c>
      <c r="V15" s="15">
        <f>IFERROR(TR/(RadSpec!E15*EF_res*ED_res*IRF_res*0.001*CF_res_fish),".")</f>
        <v>5.8386470276066875</v>
      </c>
      <c r="W15" s="42"/>
    </row>
    <row r="16" spans="1:23" x14ac:dyDescent="0.25">
      <c r="A16" s="44" t="s">
        <v>26</v>
      </c>
      <c r="B16" s="42" t="s">
        <v>1074</v>
      </c>
      <c r="C16" s="15">
        <f>IFERROR((TR/(RadSpec!D16*IFS_res_adj*(1/1000))),".")</f>
        <v>0.52007056317401146</v>
      </c>
      <c r="D16" s="15">
        <f>IFERROR(IF(A16="H-3",(TR/(RadSpec!G16*IFA_res_adj*(1/17)*1000))*RadSpec!#REF!,(TR/(RadSpec!G16*IFA_res_adj*(1/PEF_wind)*1000))),".")</f>
        <v>531.91793462371311</v>
      </c>
      <c r="E16" s="15">
        <f>IFERROR((TR/(RadSpec!F16*EF_res*(1/365)*ED_res*RadSpec!Q16*((ET_res_o*(1/24)*RadSpec!V16)+(ET_res_i*(1/24)*RadSpec!AA16)))),".")</f>
        <v>78.039324521002754</v>
      </c>
      <c r="F16" s="15">
        <f>b2s!C16</f>
        <v>3.970498239521305E-3</v>
      </c>
      <c r="G16" s="15">
        <f>dir!C16</f>
        <v>7.0551684402035163E-5</v>
      </c>
      <c r="H16" s="15">
        <f t="shared" si="11"/>
        <v>3.9401868540490511E-3</v>
      </c>
      <c r="I16" s="15">
        <f>IFERROR((TR/(RadSpec!F16*EF_res*(1/365)*ED_res*RadSpec!Q16*((ET_res_o*(1/24)*RadSpec!V16)+(ET_res_i*(1/24)*RadSpec!AA16)))),".")</f>
        <v>78.039324521002754</v>
      </c>
      <c r="J16" s="15">
        <f>IFERROR((TR/(RadSpec!M16*EF_res*(1/365)*ED_res*RadSpec!R16*((ET_res_o*(1/24)*RadSpec!W16)+(ET_res_i*(1/24)*RadSpec!AB16)))),".")</f>
        <v>121.45826242852142</v>
      </c>
      <c r="K16" s="15">
        <f>IFERROR((TR/(RadSpec!N16*EF_res*(1/365)*ED_res*RadSpec!S16*((ET_res_o*(1/24)*RadSpec!X16)+(ET_res_i*(1/24)*RadSpec!AC16)))),".")</f>
        <v>78.909189603243206</v>
      </c>
      <c r="L16" s="15">
        <f>IFERROR((TR/(RadSpec!O16*EF_res*(1/365)*ED_res*RadSpec!T16*((ET_res_o*(1/24)*RadSpec!Y16)+(ET_res_i*(1/24)*RadSpec!AD16)))),".")</f>
        <v>78.039324521002754</v>
      </c>
      <c r="M16" s="15">
        <f>IFERROR((TR/(RadSpec!K16*EF_res*(1/365)*ED_res*RadSpec!P16*((ET_res_o*(1/24)*RadSpec!U16)+(ET_res_i*(1/24)*RadSpec!Z16)))),".")</f>
        <v>67.421729348077193</v>
      </c>
      <c r="N16" s="15">
        <f>IFERROR((TR/(RadSpec!G16*IFA_res_adj)),".")</f>
        <v>3.9130473913082608E-4</v>
      </c>
      <c r="O16" s="15">
        <f>IFERROR((TR/(RadSpec!J16*EF_res*(1/365)*ED_res*ET_res*(1/24)*GSF_o)),".")</f>
        <v>10193.325206618407</v>
      </c>
      <c r="P16" s="15">
        <f t="shared" si="12"/>
        <v>3.9130472410929095E-4</v>
      </c>
      <c r="Q16" s="15">
        <f>IFERROR((TR/(RadSpec!H16*IFW_res_adj)),".")</f>
        <v>5.9088616936024282E-2</v>
      </c>
      <c r="R16" s="15" t="str">
        <f>IFERROR(IF(RadSpec!C16=1,(TR/(RadSpec!G16*IFA_res_adj*K)),"."),".")</f>
        <v>.</v>
      </c>
      <c r="S16" s="15">
        <f>IFERROR((TR/(RadSpec!L16*(1/8760)*DFA_res_adj)),".")</f>
        <v>157980794.30978718</v>
      </c>
      <c r="T16" s="15">
        <f>b2w!C16</f>
        <v>1.6494218520460138E-2</v>
      </c>
      <c r="U16" s="15">
        <f t="shared" si="1"/>
        <v>1.2894734020611302E-2</v>
      </c>
      <c r="V16" s="15">
        <f>IFERROR(TR/(RadSpec!E16*EF_res*ED_res*IRF_res*0.001*CF_res_fish),".")</f>
        <v>1.7295614779891508E-3</v>
      </c>
      <c r="W16" s="42"/>
    </row>
    <row r="17" spans="1:23" x14ac:dyDescent="0.25">
      <c r="A17" s="44" t="s">
        <v>27</v>
      </c>
      <c r="B17" s="42" t="s">
        <v>1074</v>
      </c>
      <c r="C17" s="15">
        <f>IFERROR((TR/(RadSpec!D17*IFS_res_adj*(1/1000))),".")</f>
        <v>1127.6296323025294</v>
      </c>
      <c r="D17" s="15">
        <f>IFERROR(IF(A17="H-3",(TR/(RadSpec!G17*IFA_res_adj*(1/17)*1000))*RadSpec!#REF!,(TR/(RadSpec!G17*IFA_res_adj*(1/PEF_wind)*1000))),".")</f>
        <v>108663.23521598711</v>
      </c>
      <c r="E17" s="15">
        <f>IFERROR((TR/(RadSpec!F17*EF_res*(1/365)*ED_res*RadSpec!Q17*((ET_res_o*(1/24)*RadSpec!V17)+(ET_res_i*(1/24)*RadSpec!AA17)))),".")</f>
        <v>0.11646291673522145</v>
      </c>
      <c r="F17" s="15">
        <f>b2s!C17</f>
        <v>9.6383087035708019</v>
      </c>
      <c r="G17" s="15">
        <f>dir!C17</f>
        <v>0.17126286747974945</v>
      </c>
      <c r="H17" s="15">
        <f>(IF(AND(C17&lt;&gt;".",D17&lt;&gt;".",E17&lt;&gt;".",F17&lt;&gt;"."),1/((1/C17)+(1/D17)+(1/E17)+(1/F17)),IF(AND(C17&lt;&gt;".",D17&lt;&gt;".",E17&lt;&gt;".",F17="."), 1/((1/C17)+(1/D17)+(1/E17)),IF(AND(C17&lt;&gt;".",D17&lt;&gt;".",E17=".",F17&lt;&gt;"."),1/((1/C17)+(1/D17)+(1/F17)),IF(AND(C17&lt;&gt;".",D17=".",E17&lt;&gt;".",F17&lt;&gt;"."),1/((1/C17)+(1/E17)+(1/F17)),IF(AND(C17=".",D17&lt;&gt;".",E17&lt;&gt;".",F17&lt;&gt;"."),1/((1/D17)+(1/E17)+(1/F17)),IF(AND(C17&lt;&gt;".",D17&lt;&gt;".",E17=".",F17="."),1/((1/C17)+(1/D17)),IF(AND(C17&lt;&gt;".",D17=".",E17&lt;&gt;".",F17="."),1/((1/C17)+(1/E17)),IF(AND(C17&lt;&gt;".",D17=".",E17=".",F17&lt;&gt;"."),1/((1/C17)+(1/F17)),IF(AND(C17=".",D17=".",E17&lt;&gt;".",F17&lt;&gt;"."),1/((1/E17)+(1/F17)),IF(AND(C17=".",D17&lt;&gt;".",E17=".",F17&lt;&gt;"."),1/((1/D17)+(1/F17)),IF(AND(C17=".",D17&lt;&gt;".",E17&lt;&gt;".",F17="."),1/((1/D17)+(1/E17)),IF(AND(C17&lt;&gt;".",D17=".",E17=".",F17="."),1/((1/C17)),IF(AND(C17=".",D17&lt;&gt;".",E17=".",F17="."),1/((1/D17)),IF(AND(C17=".",D17=".",E17&lt;&gt;".",F17="."),1/((1/E17)),IF(AND(C17=".",D17=".",E17=".",F17&lt;&gt;"."),1/((1/F17)),IF(AND(C17=".",D17=".",E17=".",F17="."),".")))))))))))))))))</f>
        <v>0.11506059407277906</v>
      </c>
      <c r="I17" s="15">
        <f>IFERROR((TR/(RadSpec!F17*EF_res*(1/365)*ED_res*RadSpec!Q17*((ET_res_o*(1/24)*RadSpec!V17)+(ET_res_i*(1/24)*RadSpec!AA17)))),".")</f>
        <v>0.11646291673522145</v>
      </c>
      <c r="J17" s="15">
        <f>IFERROR((TR/(RadSpec!M17*EF_res*(1/365)*ED_res*RadSpec!R17*((ET_res_o*(1/24)*RadSpec!W17)+(ET_res_i*(1/24)*RadSpec!AB17)))),".")</f>
        <v>0.51193151932682579</v>
      </c>
      <c r="K17" s="15">
        <f>IFERROR((TR/(RadSpec!N17*EF_res*(1/365)*ED_res*RadSpec!S17*((ET_res_o*(1/24)*RadSpec!X17)+(ET_res_i*(1/24)*RadSpec!AC17)))),".")</f>
        <v>0.18380923987699085</v>
      </c>
      <c r="L17" s="15">
        <f>IFERROR((TR/(RadSpec!O17*EF_res*(1/365)*ED_res*RadSpec!T17*((ET_res_o*(1/24)*RadSpec!Y17)+(ET_res_i*(1/24)*RadSpec!AD17)))),".")</f>
        <v>0.12435375425555015</v>
      </c>
      <c r="M17" s="15">
        <f>IFERROR((TR/(RadSpec!K17*EF_res*(1/365)*ED_res*RadSpec!P17*((ET_res_o*(1/24)*RadSpec!U17)+(ET_res_i*(1/24)*RadSpec!Z17)))),".")</f>
        <v>0.51890022063703389</v>
      </c>
      <c r="N17" s="15">
        <f>IFERROR((TR/(RadSpec!G17*IFA_res_adj)),".")</f>
        <v>7.9937968136725893E-2</v>
      </c>
      <c r="O17" s="15">
        <f>IFERROR((TR/(RadSpec!J17*EF_res*(1/365)*ED_res*ET_res*(1/24)*GSF_o)),".")</f>
        <v>39.348804062203932</v>
      </c>
      <c r="P17" s="15">
        <f t="shared" si="12"/>
        <v>7.9775901623294884E-2</v>
      </c>
      <c r="Q17" s="15">
        <f>IFERROR((TR/(RadSpec!H17*IFW_res_adj)),".")</f>
        <v>151.68828622674334</v>
      </c>
      <c r="R17" s="15" t="str">
        <f>IFERROR(IF(RadSpec!C17=1,(TR/(RadSpec!G17*IFA_res_adj*K)),"."),".")</f>
        <v>.</v>
      </c>
      <c r="S17" s="15">
        <f>IFERROR((TR/(RadSpec!L17*(1/8760)*DFA_res_adj)),".")</f>
        <v>643502.92132468289</v>
      </c>
      <c r="T17" s="15">
        <f>b2w!C17</f>
        <v>40.039400683254385</v>
      </c>
      <c r="U17" s="15">
        <f t="shared" si="1"/>
        <v>31.676223724349434</v>
      </c>
      <c r="V17" s="15">
        <f>IFERROR(TR/(RadSpec!E17*EF_res*ED_res*IRF_res*0.001*CF_res_fish),".")</f>
        <v>4.1984774809202285</v>
      </c>
      <c r="W17" s="42"/>
    </row>
    <row r="18" spans="1:23" x14ac:dyDescent="0.25">
      <c r="A18" s="44" t="s">
        <v>28</v>
      </c>
      <c r="B18" s="42" t="s">
        <v>1074</v>
      </c>
      <c r="C18" s="15">
        <f>IFERROR((TR/(RadSpec!D18*IFS_res_adj*(1/1000))),".")</f>
        <v>0.27266976419518796</v>
      </c>
      <c r="D18" s="15">
        <f>IFERROR(IF(A18="H-3",(TR/(RadSpec!G18*IFA_res_adj*(1/17)*1000))*RadSpec!#REF!,(TR/(RadSpec!G18*IFA_res_adj*(1/PEF_wind)*1000))),".")</f>
        <v>582.1244743713595</v>
      </c>
      <c r="E18" s="15">
        <f>IFERROR((TR/(RadSpec!F18*EF_res*(1/365)*ED_res*RadSpec!Q18*((ET_res_o*(1/24)*RadSpec!V18)+(ET_res_i*(1/24)*RadSpec!AA18)))),".")</f>
        <v>2567.6150813905047</v>
      </c>
      <c r="F18" s="15">
        <f>b2s!C18</f>
        <v>1.7062157257392869E-2</v>
      </c>
      <c r="G18" s="15">
        <f>dir!C18</f>
        <v>3.6839795796136586E-5</v>
      </c>
      <c r="H18" s="15">
        <f t="shared" ref="H18:H20" si="13">(IF(AND(C18&lt;&gt;".",D18&lt;&gt;".",E18&lt;&gt;".",F18&lt;&gt;"."),1/((1/C18)+(1/D18)+(1/E18)+(1/F18)),IF(AND(C18&lt;&gt;".",D18&lt;&gt;".",E18&lt;&gt;".",F18="."), 1/((1/C18)+(1/D18)+(1/E18)),IF(AND(C18&lt;&gt;".",D18&lt;&gt;".",E18=".",F18&lt;&gt;"."),1/((1/C18)+(1/D18)+(1/F18)),IF(AND(C18&lt;&gt;".",D18=".",E18&lt;&gt;".",F18&lt;&gt;"."),1/((1/C18)+(1/E18)+(1/F18)),IF(AND(C18=".",D18&lt;&gt;".",E18&lt;&gt;".",F18&lt;&gt;"."),1/((1/D18)+(1/E18)+(1/F18)),IF(AND(C18&lt;&gt;".",D18&lt;&gt;".",E18=".",F18="."),1/((1/C18)+(1/D18)),IF(AND(C18&lt;&gt;".",D18=".",E18&lt;&gt;".",F18="."),1/((1/C18)+(1/E18)),IF(AND(C18&lt;&gt;".",D18=".",E18=".",F18&lt;&gt;"."),1/((1/C18)+(1/F18)),IF(AND(C18=".",D18=".",E18&lt;&gt;".",F18&lt;&gt;"."),1/((1/E18)+(1/F18)),IF(AND(C18=".",D18&lt;&gt;".",E18=".",F18&lt;&gt;"."),1/((1/D18)+(1/F18)),IF(AND(C18=".",D18&lt;&gt;".",E18&lt;&gt;".",F18="."),1/((1/D18)+(1/E18)),IF(AND(C18&lt;&gt;".",D18=".",E18=".",F18="."),1/((1/C18)),IF(AND(C18=".",D18&lt;&gt;".",E18=".",F18="."),1/((1/D18)),IF(AND(C18=".",D18=".",E18&lt;&gt;".",F18="."),1/((1/E18)),IF(AND(C18=".",D18=".",E18=".",F18&lt;&gt;"."),1/((1/F18)),IF(AND(C18=".",D18=".",E18=".",F18="."),".")))))))))))))))))</f>
        <v>1.6056832649976288E-2</v>
      </c>
      <c r="I18" s="15">
        <f>IFERROR((TR/(RadSpec!F18*EF_res*(1/365)*ED_res*RadSpec!Q18*((ET_res_o*(1/24)*RadSpec!V18)+(ET_res_i*(1/24)*RadSpec!AA18)))),".")</f>
        <v>2567.6150813905047</v>
      </c>
      <c r="J18" s="15">
        <f>IFERROR((TR/(RadSpec!M18*EF_res*(1/365)*ED_res*RadSpec!R18*((ET_res_o*(1/24)*RadSpec!W18)+(ET_res_i*(1/24)*RadSpec!AB18)))),".")</f>
        <v>12931.881803454266</v>
      </c>
      <c r="K18" s="15">
        <f>IFERROR((TR/(RadSpec!N18*EF_res*(1/365)*ED_res*RadSpec!S18*((ET_res_o*(1/24)*RadSpec!X18)+(ET_res_i*(1/24)*RadSpec!AC18)))),".")</f>
        <v>4554.6848410695529</v>
      </c>
      <c r="L18" s="15">
        <f>IFERROR((TR/(RadSpec!O18*EF_res*(1/365)*ED_res*RadSpec!T18*((ET_res_o*(1/24)*RadSpec!Y18)+(ET_res_i*(1/24)*RadSpec!AD18)))),".")</f>
        <v>2923.5971133237017</v>
      </c>
      <c r="M18" s="15">
        <f>IFERROR((TR/(RadSpec!K18*EF_res*(1/365)*ED_res*RadSpec!P18*((ET_res_o*(1/24)*RadSpec!U18)+(ET_res_i*(1/24)*RadSpec!Z18)))),".")</f>
        <v>13303.347938479661</v>
      </c>
      <c r="N18" s="15">
        <f>IFERROR((TR/(RadSpec!G18*IFA_res_adj)),".")</f>
        <v>4.2823911501817447E-4</v>
      </c>
      <c r="O18" s="15">
        <f>IFERROR((TR/(RadSpec!J18*EF_res*(1/365)*ED_res*ET_res*(1/24)*GSF_o)),".")</f>
        <v>959539.27224312944</v>
      </c>
      <c r="P18" s="15">
        <f t="shared" ref="P18:P21" si="14">IF(AND(N18&lt;&gt;".",O18&lt;&gt;"."),1/((1/N18)+(1/O18)),IF(AND(N18&lt;&gt;".",O18="."),1/((1/N18)),IF(AND(N18=".",O18&lt;&gt;"."),1/((1/O18)),IF(AND(N18&lt;&gt;".",O18="."),"."))))</f>
        <v>4.2823911482705283E-4</v>
      </c>
      <c r="Q18" s="15">
        <f>IFERROR((TR/(RadSpec!H18*IFW_res_adj)),".")</f>
        <v>2.9421207182728757E-2</v>
      </c>
      <c r="R18" s="15" t="str">
        <f>IFERROR(IF(RadSpec!C18=1,(TR/(RadSpec!G18*IFA_res_adj*K)),"."),".")</f>
        <v>.</v>
      </c>
      <c r="S18" s="15">
        <f>IFERROR((TR/(RadSpec!L18*(1/8760)*DFA_res_adj)),".")</f>
        <v>15818411579.538536</v>
      </c>
      <c r="T18" s="15">
        <f>b2w!C18</f>
        <v>9.9048662503378945E-3</v>
      </c>
      <c r="U18" s="15">
        <f t="shared" si="1"/>
        <v>7.4101759120259059E-3</v>
      </c>
      <c r="V18" s="15">
        <f>IFERROR(TR/(RadSpec!E18*EF_res*ED_res*IRF_res*0.001*CF_res_fish),".")</f>
        <v>9.0312077175788187E-4</v>
      </c>
      <c r="W18" s="42"/>
    </row>
    <row r="19" spans="1:23" x14ac:dyDescent="0.25">
      <c r="A19" s="44" t="s">
        <v>29</v>
      </c>
      <c r="B19" s="42" t="s">
        <v>1074</v>
      </c>
      <c r="C19" s="15" t="str">
        <f>IFERROR((TR/(RadSpec!D19*IFS_res_adj*(1/1000))),".")</f>
        <v>.</v>
      </c>
      <c r="D19" s="15" t="str">
        <f>IFERROR(IF(A19="H-3",(TR/(RadSpec!G19*IFA_res_adj*(1/17)*1000))*RadSpec!#REF!,(TR/(RadSpec!G19*IFA_res_adj*(1/PEF_wind)*1000))),".")</f>
        <v>.</v>
      </c>
      <c r="E19" s="15">
        <f>IFERROR((TR/(RadSpec!F19*EF_res*(1/365)*ED_res*RadSpec!Q19*((ET_res_o*(1/24)*RadSpec!V19)+(ET_res_i*(1/24)*RadSpec!AA19)))),".")</f>
        <v>669.66177122752356</v>
      </c>
      <c r="F19" s="15" t="str">
        <f>b2s!C19</f>
        <v>.</v>
      </c>
      <c r="G19" s="15" t="str">
        <f>dir!C19</f>
        <v>.</v>
      </c>
      <c r="H19" s="15">
        <f t="shared" si="13"/>
        <v>669.66177122752356</v>
      </c>
      <c r="I19" s="15">
        <f>IFERROR((TR/(RadSpec!F19*EF_res*(1/365)*ED_res*RadSpec!Q19*((ET_res_o*(1/24)*RadSpec!V19)+(ET_res_i*(1/24)*RadSpec!AA19)))),".")</f>
        <v>669.66177122752356</v>
      </c>
      <c r="J19" s="15">
        <f>IFERROR((TR/(RadSpec!M19*EF_res*(1/365)*ED_res*RadSpec!R19*((ET_res_o*(1/24)*RadSpec!W19)+(ET_res_i*(1/24)*RadSpec!AB19)))),".")</f>
        <v>3348.3088561376176</v>
      </c>
      <c r="K19" s="15">
        <f>IFERROR((TR/(RadSpec!N19*EF_res*(1/365)*ED_res*RadSpec!S19*((ET_res_o*(1/24)*RadSpec!X19)+(ET_res_i*(1/24)*RadSpec!AC19)))),".")</f>
        <v>1188.9388452695953</v>
      </c>
      <c r="L19" s="15">
        <f>IFERROR((TR/(RadSpec!O19*EF_res*(1/365)*ED_res*RadSpec!T19*((ET_res_o*(1/24)*RadSpec!Y19)+(ET_res_i*(1/24)*RadSpec!AD19)))),".")</f>
        <v>762.3841703205652</v>
      </c>
      <c r="M19" s="15">
        <f>IFERROR((TR/(RadSpec!K19*EF_res*(1/365)*ED_res*RadSpec!P19*((ET_res_o*(1/24)*RadSpec!U19)+(ET_res_i*(1/24)*RadSpec!Z19)))),".")</f>
        <v>3441.317435474773</v>
      </c>
      <c r="N19" s="15" t="str">
        <f>IFERROR((TR/(RadSpec!G19*IFA_res_adj)),".")</f>
        <v>.</v>
      </c>
      <c r="O19" s="15">
        <f>IFERROR((TR/(RadSpec!J19*EF_res*(1/365)*ED_res*ET_res*(1/24)*GSF_o)),".")</f>
        <v>248923.95613263783</v>
      </c>
      <c r="P19" s="15">
        <f t="shared" si="14"/>
        <v>248923.9561326378</v>
      </c>
      <c r="Q19" s="15" t="str">
        <f>IFERROR((TR/(RadSpec!H19*IFW_res_adj)),".")</f>
        <v>.</v>
      </c>
      <c r="R19" s="15" t="str">
        <f>IFERROR(IF(RadSpec!C19=1,(TR/(RadSpec!G19*IFA_res_adj*K)),"."),".")</f>
        <v>.</v>
      </c>
      <c r="S19" s="15">
        <f>IFERROR((TR/(RadSpec!L19*(1/8760)*DFA_res_adj)),".")</f>
        <v>4110670835.2178731</v>
      </c>
      <c r="T19" s="15" t="str">
        <f>b2w!C19</f>
        <v>.</v>
      </c>
      <c r="U19" s="15">
        <f t="shared" si="1"/>
        <v>4110670835.2178731</v>
      </c>
      <c r="V19" s="15" t="str">
        <f>IFERROR(TR/(RadSpec!E19*EF_res*ED_res*IRF_res*0.001*CF_res_fish),".")</f>
        <v>.</v>
      </c>
      <c r="W19" s="42"/>
    </row>
    <row r="20" spans="1:23" x14ac:dyDescent="0.25">
      <c r="A20" s="44" t="s">
        <v>30</v>
      </c>
      <c r="B20" s="42" t="s">
        <v>1074</v>
      </c>
      <c r="C20" s="15" t="str">
        <f>IFERROR((TR/(RadSpec!D20*IFS_res_adj*(1/1000))),".")</f>
        <v>.</v>
      </c>
      <c r="D20" s="15" t="str">
        <f>IFERROR(IF(A20="H-3",(TR/(RadSpec!G20*IFA_res_adj*(1/17)*1000))*RadSpec!#REF!,(TR/(RadSpec!G20*IFA_res_adj*(1/PEF_wind)*1000))),".")</f>
        <v>.</v>
      </c>
      <c r="E20" s="15">
        <f>IFERROR((TR/(RadSpec!F20*EF_res*(1/365)*ED_res*RadSpec!Q20*((ET_res_o*(1/24)*RadSpec!V20)+(ET_res_i*(1/24)*RadSpec!AA20)))),".")</f>
        <v>300.33315800507114</v>
      </c>
      <c r="F20" s="15" t="str">
        <f>b2s!C20</f>
        <v>.</v>
      </c>
      <c r="G20" s="15" t="str">
        <f>dir!C20</f>
        <v>.</v>
      </c>
      <c r="H20" s="15">
        <f t="shared" si="13"/>
        <v>300.33315800507114</v>
      </c>
      <c r="I20" s="15">
        <f>IFERROR((TR/(RadSpec!F20*EF_res*(1/365)*ED_res*RadSpec!Q20*((ET_res_o*(1/24)*RadSpec!V20)+(ET_res_i*(1/24)*RadSpec!AA20)))),".")</f>
        <v>300.33315800507114</v>
      </c>
      <c r="J20" s="15">
        <f>IFERROR((TR/(RadSpec!M20*EF_res*(1/365)*ED_res*RadSpec!R20*((ET_res_o*(1/24)*RadSpec!W20)+(ET_res_i*(1/24)*RadSpec!AB20)))),".")</f>
        <v>1518.2282803565176</v>
      </c>
      <c r="K20" s="15">
        <f>IFERROR((TR/(RadSpec!N20*EF_res*(1/365)*ED_res*RadSpec!S20*((ET_res_o*(1/24)*RadSpec!X20)+(ET_res_i*(1/24)*RadSpec!AC20)))),".")</f>
        <v>538.6409899003994</v>
      </c>
      <c r="L20" s="15">
        <f>IFERROR((TR/(RadSpec!O20*EF_res*(1/365)*ED_res*RadSpec!T20*((ET_res_o*(1/24)*RadSpec!Y20)+(ET_res_i*(1/24)*RadSpec!AD20)))),".")</f>
        <v>342.94097626876635</v>
      </c>
      <c r="M20" s="15">
        <f>IFERROR((TR/(RadSpec!K20*EF_res*(1/365)*ED_res*RadSpec!P20*((ET_res_o*(1/24)*RadSpec!U20)+(ET_res_i*(1/24)*RadSpec!Z20)))),".")</f>
        <v>1558.3324236112185</v>
      </c>
      <c r="N20" s="15" t="str">
        <f>IFERROR((TR/(RadSpec!G20*IFA_res_adj)),".")</f>
        <v>.</v>
      </c>
      <c r="O20" s="15">
        <f>IFERROR((TR/(RadSpec!J20*EF_res*(1/365)*ED_res*ET_res*(1/24)*GSF_o)),".")</f>
        <v>112259.82335393474</v>
      </c>
      <c r="P20" s="15">
        <f t="shared" si="14"/>
        <v>112259.82335393474</v>
      </c>
      <c r="Q20" s="15" t="str">
        <f>IFERROR((TR/(RadSpec!H20*IFW_res_adj)),".")</f>
        <v>.</v>
      </c>
      <c r="R20" s="15" t="str">
        <f>IFERROR(IF(RadSpec!C20=1,(TR/(RadSpec!G20*IFA_res_adj*K)),"."),".")</f>
        <v>.</v>
      </c>
      <c r="S20" s="15">
        <f>IFERROR((TR/(RadSpec!L20*(1/8760)*DFA_res_adj)),".")</f>
        <v>1853831945.2943351</v>
      </c>
      <c r="T20" s="15" t="str">
        <f>b2w!C20</f>
        <v>.</v>
      </c>
      <c r="U20" s="15">
        <f t="shared" si="1"/>
        <v>1853831945.2943351</v>
      </c>
      <c r="V20" s="15" t="str">
        <f>IFERROR(TR/(RadSpec!E20*EF_res*ED_res*IRF_res*0.001*CF_res_fish),".")</f>
        <v>.</v>
      </c>
      <c r="W20" s="42"/>
    </row>
    <row r="21" spans="1:23" x14ac:dyDescent="0.25">
      <c r="A21" s="44" t="s">
        <v>31</v>
      </c>
      <c r="B21" s="42" t="s">
        <v>1074</v>
      </c>
      <c r="C21" s="15" t="str">
        <f>IFERROR((TR/(RadSpec!D21*IFS_res_adj*(1/1000))),".")</f>
        <v>.</v>
      </c>
      <c r="D21" s="15">
        <f>IFERROR(IF(A21="H-3",(TR/(RadSpec!G21*IFA_res_adj*(1/17)*1000))*RadSpec!#REF!,(TR/(RadSpec!G21*IFA_res_adj*(1/PEF_wind)*1000))),".")</f>
        <v>607419.66735843138</v>
      </c>
      <c r="E21" s="15">
        <f>IFERROR((TR/(RadSpec!F21*EF_res*(1/365)*ED_res*RadSpec!Q21*((ET_res_o*(1/24)*RadSpec!V21)+(ET_res_i*(1/24)*RadSpec!AA21)))),".")</f>
        <v>18792177.122046541</v>
      </c>
      <c r="F21" s="15" t="str">
        <f>b2s!C21</f>
        <v>.</v>
      </c>
      <c r="G21" s="15" t="str">
        <f>dir!C21</f>
        <v>.</v>
      </c>
      <c r="H21" s="15">
        <f>(IF(AND(C21&lt;&gt;".",D21&lt;&gt;".",E21&lt;&gt;".",F21&lt;&gt;"."),1/((1/C21)+(1/D21)+(1/E21)+(1/F21)),IF(AND(C21&lt;&gt;".",D21&lt;&gt;".",E21&lt;&gt;".",F21="."), 1/((1/C21)+(1/D21)+(1/E21)),IF(AND(C21&lt;&gt;".",D21&lt;&gt;".",E21=".",F21&lt;&gt;"."),1/((1/C21)+(1/D21)+(1/F21)),IF(AND(C21&lt;&gt;".",D21=".",E21&lt;&gt;".",F21&lt;&gt;"."),1/((1/C21)+(1/E21)+(1/F21)),IF(AND(C21=".",D21&lt;&gt;".",E21&lt;&gt;".",F21&lt;&gt;"."),1/((1/D21)+(1/E21)+(1/F21)),IF(AND(C21&lt;&gt;".",D21&lt;&gt;".",E21=".",F21="."),1/((1/C21)+(1/D21)),IF(AND(C21&lt;&gt;".",D21=".",E21&lt;&gt;".",F21="."),1/((1/C21)+(1/E21)),IF(AND(C21&lt;&gt;".",D21=".",E21=".",F21&lt;&gt;"."),1/((1/C21)+(1/F21)),IF(AND(C21=".",D21=".",E21&lt;&gt;".",F21&lt;&gt;"."),1/((1/E21)+(1/F21)),IF(AND(C21=".",D21&lt;&gt;".",E21=".",F21&lt;&gt;"."),1/((1/D21)+(1/F21)),IF(AND(C21=".",D21&lt;&gt;".",E21&lt;&gt;".",F21="."),1/((1/D21)+(1/E21)),IF(AND(C21&lt;&gt;".",D21=".",E21=".",F21="."),1/((1/C21)),IF(AND(C21=".",D21&lt;&gt;".",E21=".",F21="."),1/((1/D21)),IF(AND(C21=".",D21=".",E21&lt;&gt;".",F21="."),1/((1/E21)),IF(AND(C21=".",D21=".",E21=".",F21&lt;&gt;"."),1/((1/F21)),IF(AND(C21=".",D21=".",E21=".",F21="."),".")))))))))))))))))</f>
        <v>588400.78483736096</v>
      </c>
      <c r="I21" s="15">
        <f>IFERROR((TR/(RadSpec!F21*EF_res*(1/365)*ED_res*RadSpec!Q21*((ET_res_o*(1/24)*RadSpec!V21)+(ET_res_i*(1/24)*RadSpec!AA21)))),".")</f>
        <v>18792177.122046541</v>
      </c>
      <c r="J21" s="15">
        <f>IFERROR((TR/(RadSpec!M21*EF_res*(1/365)*ED_res*RadSpec!R21*((ET_res_o*(1/24)*RadSpec!W21)+(ET_res_i*(1/24)*RadSpec!AB21)))),".")</f>
        <v>40725650.123961806</v>
      </c>
      <c r="K21" s="15">
        <f>IFERROR((TR/(RadSpec!N21*EF_res*(1/365)*ED_res*RadSpec!S21*((ET_res_o*(1/24)*RadSpec!X21)+(ET_res_i*(1/24)*RadSpec!AC21)))),".")</f>
        <v>21508233.971717332</v>
      </c>
      <c r="L21" s="15">
        <f>IFERROR((TR/(RadSpec!O21*EF_res*(1/365)*ED_res*RadSpec!T21*((ET_res_o*(1/24)*RadSpec!Y21)+(ET_res_i*(1/24)*RadSpec!AD21)))),".")</f>
        <v>18856533.893012457</v>
      </c>
      <c r="M21" s="15">
        <f>IFERROR((TR/(RadSpec!K21*EF_res*(1/365)*ED_res*RadSpec!P21*((ET_res_o*(1/24)*RadSpec!U21)+(ET_res_i*(1/24)*RadSpec!Z21)))),".")</f>
        <v>24255981.924051262</v>
      </c>
      <c r="N21" s="15">
        <f>IFERROR((TR/(RadSpec!G21*IFA_res_adj)),".")</f>
        <v>0.44684749095133824</v>
      </c>
      <c r="O21" s="15">
        <f>IFERROR((TR/(RadSpec!J21*EF_res*(1/365)*ED_res*ET_res*(1/24)*GSF_o)),".")</f>
        <v>1016316743.9734919</v>
      </c>
      <c r="P21" s="15">
        <f t="shared" si="14"/>
        <v>0.44684749075487123</v>
      </c>
      <c r="Q21" s="15" t="str">
        <f>IFERROR((TR/(RadSpec!H21*IFW_res_adj)),".")</f>
        <v>.</v>
      </c>
      <c r="R21" s="15" t="str">
        <f>IFERROR(IF(RadSpec!C21=1,(TR/(RadSpec!G21*IFA_res_adj*K)),"."),".")</f>
        <v>.</v>
      </c>
      <c r="S21" s="15">
        <f>IFERROR((TR/(RadSpec!L21*(1/8760)*DFA_res_adj)),".")</f>
        <v>28385463735107.258</v>
      </c>
      <c r="T21" s="15" t="str">
        <f>b2w!C21</f>
        <v>.</v>
      </c>
      <c r="U21" s="15">
        <f t="shared" si="1"/>
        <v>28385463735107.258</v>
      </c>
      <c r="V21" s="15" t="str">
        <f>IFERROR(TR/(RadSpec!E21*EF_res*ED_res*IRF_res*0.001*CF_res_fish),".")</f>
        <v>.</v>
      </c>
      <c r="W21" s="42"/>
    </row>
    <row r="22" spans="1:23" x14ac:dyDescent="0.25">
      <c r="A22" s="44" t="s">
        <v>32</v>
      </c>
      <c r="B22" s="42" t="s">
        <v>1074</v>
      </c>
      <c r="C22" s="15">
        <f>IFERROR((TR/(RadSpec!D22*IFS_res_adj*(1/1000))),".")</f>
        <v>3.6841639895075011</v>
      </c>
      <c r="D22" s="15">
        <f>IFERROR(IF(A22="H-3",(TR/(RadSpec!G22*IFA_res_adj*(1/17)*1000))*RadSpec!#REF!,(TR/(RadSpec!G22*IFA_res_adj*(1/PEF_wind)*1000))),".")</f>
        <v>322.76208479996166</v>
      </c>
      <c r="E22" s="15">
        <f>IFERROR((TR/(RadSpec!F22*EF_res*(1/365)*ED_res*RadSpec!Q22*((ET_res_o*(1/24)*RadSpec!V22)+(ET_res_i*(1/24)*RadSpec!AA22)))),".")</f>
        <v>18.950275744105827</v>
      </c>
      <c r="F22" s="15">
        <f>b2s!C22</f>
        <v>2.3499974070188077E-2</v>
      </c>
      <c r="G22" s="15">
        <f>dir!C22</f>
        <v>5.4061290698426926E-4</v>
      </c>
      <c r="H22" s="15">
        <f t="shared" ref="H22:H23" si="15">(IF(AND(C22&lt;&gt;".",D22&lt;&gt;".",E22&lt;&gt;".",F22&lt;&gt;"."),1/((1/C22)+(1/D22)+(1/E22)+(1/F22)),IF(AND(C22&lt;&gt;".",D22&lt;&gt;".",E22&lt;&gt;".",F22="."), 1/((1/C22)+(1/D22)+(1/E22)),IF(AND(C22&lt;&gt;".",D22&lt;&gt;".",E22=".",F22&lt;&gt;"."),1/((1/C22)+(1/D22)+(1/F22)),IF(AND(C22&lt;&gt;".",D22=".",E22&lt;&gt;".",F22&lt;&gt;"."),1/((1/C22)+(1/E22)+(1/F22)),IF(AND(C22=".",D22&lt;&gt;".",E22&lt;&gt;".",F22&lt;&gt;"."),1/((1/D22)+(1/E22)+(1/F22)),IF(AND(C22&lt;&gt;".",D22&lt;&gt;".",E22=".",F22="."),1/((1/C22)+(1/D22)),IF(AND(C22&lt;&gt;".",D22=".",E22&lt;&gt;".",F22="."),1/((1/C22)+(1/E22)),IF(AND(C22&lt;&gt;".",D22=".",E22=".",F22&lt;&gt;"."),1/((1/C22)+(1/F22)),IF(AND(C22=".",D22=".",E22&lt;&gt;".",F22&lt;&gt;"."),1/((1/E22)+(1/F22)),IF(AND(C22=".",D22&lt;&gt;".",E22=".",F22&lt;&gt;"."),1/((1/D22)+(1/F22)),IF(AND(C22=".",D22&lt;&gt;".",E22&lt;&gt;".",F22="."),1/((1/D22)+(1/E22)),IF(AND(C22&lt;&gt;".",D22=".",E22=".",F22="."),1/((1/C22)),IF(AND(C22=".",D22&lt;&gt;".",E22=".",F22="."),1/((1/D22)),IF(AND(C22=".",D22=".",E22&lt;&gt;".",F22="."),1/((1/E22)),IF(AND(C22=".",D22=".",E22=".",F22&lt;&gt;"."),1/((1/F22)),IF(AND(C22=".",D22=".",E22=".",F22="."),".")))))))))))))))))</f>
        <v>2.3320602720212233E-2</v>
      </c>
      <c r="I22" s="15">
        <f>IFERROR((TR/(RadSpec!F22*EF_res*(1/365)*ED_res*RadSpec!Q22*((ET_res_o*(1/24)*RadSpec!V22)+(ET_res_i*(1/24)*RadSpec!AA22)))),".")</f>
        <v>18.950275744105827</v>
      </c>
      <c r="J22" s="15">
        <f>IFERROR((TR/(RadSpec!M22*EF_res*(1/365)*ED_res*RadSpec!R22*((ET_res_o*(1/24)*RadSpec!W22)+(ET_res_i*(1/24)*RadSpec!AB22)))),".")</f>
        <v>26.026770520397445</v>
      </c>
      <c r="K22" s="15">
        <f>IFERROR((TR/(RadSpec!N22*EF_res*(1/365)*ED_res*RadSpec!S22*((ET_res_o*(1/24)*RadSpec!X22)+(ET_res_i*(1/24)*RadSpec!AC22)))),".")</f>
        <v>19.059604258014129</v>
      </c>
      <c r="L22" s="15">
        <f>IFERROR((TR/(RadSpec!O22*EF_res*(1/365)*ED_res*RadSpec!T22*((ET_res_o*(1/24)*RadSpec!Y22)+(ET_res_i*(1/24)*RadSpec!AD22)))),".")</f>
        <v>18.986578954343578</v>
      </c>
      <c r="M22" s="15">
        <f>IFERROR((TR/(RadSpec!K22*EF_res*(1/365)*ED_res*RadSpec!P22*((ET_res_o*(1/24)*RadSpec!U22)+(ET_res_i*(1/24)*RadSpec!Z22)))),".")</f>
        <v>13.09246263430297</v>
      </c>
      <c r="N22" s="15">
        <f>IFERROR((TR/(RadSpec!G22*IFA_res_adj)),".")</f>
        <v>2.3743950931700761E-4</v>
      </c>
      <c r="O22" s="15">
        <f>IFERROR((TR/(RadSpec!J22*EF_res*(1/365)*ED_res*ET_res*(1/24)*GSF_o)),".")</f>
        <v>2174.1459459686093</v>
      </c>
      <c r="P22" s="15">
        <f t="shared" ref="P22:P23" si="16">IF(AND(N22&lt;&gt;".",O22&lt;&gt;"."),1/((1/N22)+(1/O22)),IF(AND(N22&lt;&gt;".",O22="."),1/((1/N22)),IF(AND(N22=".",O22&lt;&gt;"."),1/((1/O22)),IF(AND(N22&lt;&gt;".",O22="."),"."))))</f>
        <v>2.374394833861291E-4</v>
      </c>
      <c r="Q22" s="15">
        <f>IFERROR((TR/(RadSpec!H22*IFW_res_adj)),".")</f>
        <v>0.45702846109093226</v>
      </c>
      <c r="R22" s="15" t="str">
        <f>IFERROR(IF(RadSpec!C22=1,(TR/(RadSpec!G22*IFA_res_adj*K)),"."),".")</f>
        <v>.</v>
      </c>
      <c r="S22" s="15">
        <f>IFERROR((TR/(RadSpec!L22*(1/8760)*DFA_res_adj)),".")</f>
        <v>33859244.620665126</v>
      </c>
      <c r="T22" s="15">
        <f>b2w!C22</f>
        <v>0.12109089744212637</v>
      </c>
      <c r="U22" s="15">
        <f t="shared" si="1"/>
        <v>9.5727613228620501E-2</v>
      </c>
      <c r="V22" s="15">
        <f>IFERROR(TR/(RadSpec!E22*EF_res*ED_res*IRF_res*0.001*CF_res_fish),".")</f>
        <v>1.3253025301218071E-2</v>
      </c>
      <c r="W22" s="42"/>
    </row>
    <row r="23" spans="1:23" x14ac:dyDescent="0.25">
      <c r="A23" s="46" t="s">
        <v>33</v>
      </c>
      <c r="B23" s="42" t="s">
        <v>351</v>
      </c>
      <c r="C23" s="15">
        <f>IFERROR((TR/(RadSpec!D23*IFS_res_adj*(1/1000))),".")</f>
        <v>1.3186488596324659</v>
      </c>
      <c r="D23" s="15">
        <f>IFERROR(IF(A23="H-3",(TR/(RadSpec!G23*IFA_res_adj*(1/17)*1000))*RadSpec!#REF!,(TR/(RadSpec!G23*IFA_res_adj*(1/PEF_wind)*1000))),".")</f>
        <v>299.85912477473448</v>
      </c>
      <c r="E23" s="15">
        <f>IFERROR((TR/(RadSpec!F23*EF_res*(1/365)*ED_res*RadSpec!Q23*((ET_res_o*(1/24)*RadSpec!V23)+(ET_res_i*(1/24)*RadSpec!AA23)))),".")</f>
        <v>4.6313057075548354</v>
      </c>
      <c r="F23" s="15">
        <f>b2s!C23</f>
        <v>7.0161793087252207E-3</v>
      </c>
      <c r="G23" s="15">
        <f>dir!C23</f>
        <v>1.6140601179746175E-4</v>
      </c>
      <c r="H23" s="15">
        <f t="shared" si="15"/>
        <v>6.9683826278180384E-3</v>
      </c>
      <c r="I23" s="15">
        <f>IFERROR((TR/(RadSpec!F23*EF_res*(1/365)*ED_res*RadSpec!Q23*((ET_res_o*(1/24)*RadSpec!V23)+(ET_res_i*(1/24)*RadSpec!AA23)))),".")</f>
        <v>4.6313057075548354</v>
      </c>
      <c r="J23" s="15">
        <f>IFERROR((TR/(RadSpec!M23*EF_res*(1/365)*ED_res*RadSpec!R23*((ET_res_o*(1/24)*RadSpec!W23)+(ET_res_i*(1/24)*RadSpec!AB23)))),".")</f>
        <v>18.272481958273133</v>
      </c>
      <c r="K23" s="15">
        <f>IFERROR((TR/(RadSpec!N23*EF_res*(1/365)*ED_res*RadSpec!S23*((ET_res_o*(1/24)*RadSpec!X23)+(ET_res_i*(1/24)*RadSpec!AC23)))),".")</f>
        <v>6.6830709468424452</v>
      </c>
      <c r="L23" s="15">
        <f>IFERROR((TR/(RadSpec!O23*EF_res*(1/365)*ED_res*RadSpec!T23*((ET_res_o*(1/24)*RadSpec!Y23)+(ET_res_i*(1/24)*RadSpec!AD23)))),".")</f>
        <v>4.7649010645035323</v>
      </c>
      <c r="M23" s="15">
        <f>IFERROR((TR/(RadSpec!K23*EF_res*(1/365)*ED_res*RadSpec!P23*((ET_res_o*(1/24)*RadSpec!U23)+(ET_res_i*(1/24)*RadSpec!Z23)))),".")</f>
        <v>18.525222830219342</v>
      </c>
      <c r="N23" s="15">
        <f>IFERROR((TR/(RadSpec!G23*IFA_res_adj)),".")</f>
        <v>2.2059097646139869E-4</v>
      </c>
      <c r="O23" s="15">
        <f>IFERROR((TR/(RadSpec!J23*EF_res*(1/365)*ED_res*ET_res*(1/24)*GSF_o)),".")</f>
        <v>1407.8486043567223</v>
      </c>
      <c r="P23" s="15">
        <f t="shared" si="16"/>
        <v>2.2059094189775941E-4</v>
      </c>
      <c r="Q23" s="15">
        <f>IFERROR((TR/(RadSpec!H23*IFW_res_adj)),".")</f>
        <v>0.13579018699720966</v>
      </c>
      <c r="R23" s="15">
        <f>IFERROR(IF(RadSpec!C23=1,(TR/(RadSpec!G23*IFA_res_adj*K)),"."),".")</f>
        <v>4.4118195292279738E-4</v>
      </c>
      <c r="S23" s="15">
        <f>IFERROR((TR/(RadSpec!L23*(1/8760)*DFA_res_adj)),".")</f>
        <v>22888092.732404914</v>
      </c>
      <c r="T23" s="15">
        <f>b2w!C23</f>
        <v>3.615110253994961E-2</v>
      </c>
      <c r="U23" s="15">
        <f t="shared" si="1"/>
        <v>4.3446819047394356E-4</v>
      </c>
      <c r="V23" s="15">
        <f>IFERROR(TR/(RadSpec!E23*EF_res*ED_res*IRF_res*0.001*CF_res_fish),".")</f>
        <v>3.9568384892125904E-3</v>
      </c>
      <c r="W23" s="42"/>
    </row>
    <row r="24" spans="1:23" x14ac:dyDescent="0.25">
      <c r="A24" s="44" t="s">
        <v>34</v>
      </c>
      <c r="B24" s="42" t="s">
        <v>1074</v>
      </c>
      <c r="C24" s="15" t="str">
        <f>IFERROR((TR/(RadSpec!D24*IFS_res_adj*(1/1000))),".")</f>
        <v>.</v>
      </c>
      <c r="D24" s="15" t="str">
        <f>IFERROR(IF(A24="H-3",(TR/(RadSpec!G24*IFA_res_adj*(1/17)*1000))*RadSpec!#REF!,(TR/(RadSpec!G24*IFA_res_adj*(1/PEF_wind)*1000))),".")</f>
        <v>.</v>
      </c>
      <c r="E24" s="15">
        <f>IFERROR((TR/(RadSpec!F24*EF_res*(1/365)*ED_res*RadSpec!Q24*((ET_res_o*(1/24)*RadSpec!V24)+(ET_res_i*(1/24)*RadSpec!AA24)))),".")</f>
        <v>34.175842117818441</v>
      </c>
      <c r="F24" s="15" t="str">
        <f>b2s!C24</f>
        <v>.</v>
      </c>
      <c r="G24" s="15" t="str">
        <f>dir!C24</f>
        <v>.</v>
      </c>
      <c r="H24" s="15">
        <f t="shared" ref="H24" si="17">(IF(AND(C24&lt;&gt;".",D24&lt;&gt;".",E24&lt;&gt;".",F24&lt;&gt;"."),1/((1/C24)+(1/D24)+(1/E24)+(1/F24)),IF(AND(C24&lt;&gt;".",D24&lt;&gt;".",E24&lt;&gt;".",F24="."), 1/((1/C24)+(1/D24)+(1/E24)),IF(AND(C24&lt;&gt;".",D24&lt;&gt;".",E24=".",F24&lt;&gt;"."),1/((1/C24)+(1/D24)+(1/F24)),IF(AND(C24&lt;&gt;".",D24=".",E24&lt;&gt;".",F24&lt;&gt;"."),1/((1/C24)+(1/E24)+(1/F24)),IF(AND(C24=".",D24&lt;&gt;".",E24&lt;&gt;".",F24&lt;&gt;"."),1/((1/D24)+(1/E24)+(1/F24)),IF(AND(C24&lt;&gt;".",D24&lt;&gt;".",E24=".",F24="."),1/((1/C24)+(1/D24)),IF(AND(C24&lt;&gt;".",D24=".",E24&lt;&gt;".",F24="."),1/((1/C24)+(1/E24)),IF(AND(C24&lt;&gt;".",D24=".",E24=".",F24&lt;&gt;"."),1/((1/C24)+(1/F24)),IF(AND(C24=".",D24=".",E24&lt;&gt;".",F24&lt;&gt;"."),1/((1/E24)+(1/F24)),IF(AND(C24=".",D24&lt;&gt;".",E24=".",F24&lt;&gt;"."),1/((1/D24)+(1/F24)),IF(AND(C24=".",D24&lt;&gt;".",E24&lt;&gt;".",F24="."),1/((1/D24)+(1/E24)),IF(AND(C24&lt;&gt;".",D24=".",E24=".",F24="."),1/((1/C24)),IF(AND(C24=".",D24&lt;&gt;".",E24=".",F24="."),1/((1/D24)),IF(AND(C24=".",D24=".",E24&lt;&gt;".",F24="."),1/((1/E24)),IF(AND(C24=".",D24=".",E24=".",F24&lt;&gt;"."),1/((1/F24)),IF(AND(C24=".",D24=".",E24=".",F24="."),".")))))))))))))))))</f>
        <v>34.175842117818441</v>
      </c>
      <c r="I24" s="15">
        <f>IFERROR((TR/(RadSpec!F24*EF_res*(1/365)*ED_res*RadSpec!Q24*((ET_res_o*(1/24)*RadSpec!V24)+(ET_res_i*(1/24)*RadSpec!AA24)))),".")</f>
        <v>34.175842117818441</v>
      </c>
      <c r="J24" s="15">
        <f>IFERROR((TR/(RadSpec!M24*EF_res*(1/365)*ED_res*RadSpec!R24*((ET_res_o*(1/24)*RadSpec!W24)+(ET_res_i*(1/24)*RadSpec!AB24)))),".")</f>
        <v>166.06893790494885</v>
      </c>
      <c r="K24" s="15">
        <f>IFERROR((TR/(RadSpec!N24*EF_res*(1/365)*ED_res*RadSpec!S24*((ET_res_o*(1/24)*RadSpec!X24)+(ET_res_i*(1/24)*RadSpec!AC24)))),".")</f>
        <v>58.994013179567524</v>
      </c>
      <c r="L24" s="15">
        <f>IFERROR((TR/(RadSpec!O24*EF_res*(1/365)*ED_res*RadSpec!T24*((ET_res_o*(1/24)*RadSpec!Y24)+(ET_res_i*(1/24)*RadSpec!AD24)))),".")</f>
        <v>38.119208516028259</v>
      </c>
      <c r="M24" s="15">
        <f>IFERROR((TR/(RadSpec!K24*EF_res*(1/365)*ED_res*RadSpec!P24*((ET_res_o*(1/24)*RadSpec!U24)+(ET_res_i*(1/24)*RadSpec!Z24)))),".")</f>
        <v>169.99990075758743</v>
      </c>
      <c r="N24" s="15" t="str">
        <f>IFERROR((TR/(RadSpec!G24*IFA_res_adj)),".")</f>
        <v>.</v>
      </c>
      <c r="O24" s="15">
        <f>IFERROR((TR/(RadSpec!J24*EF_res*(1/365)*ED_res*ET_res*(1/24)*GSF_o)),".")</f>
        <v>12582.969211100375</v>
      </c>
      <c r="P24" s="15">
        <f t="shared" ref="P24:P25" si="18">IF(AND(N24&lt;&gt;".",O24&lt;&gt;"."),1/((1/N24)+(1/O24)),IF(AND(N24&lt;&gt;".",O24="."),1/((1/N24)),IF(AND(N24=".",O24&lt;&gt;"."),1/((1/O24)),IF(AND(N24&lt;&gt;".",O24="."),"."))))</f>
        <v>12582.969211100377</v>
      </c>
      <c r="Q24" s="15" t="str">
        <f>IFERROR((TR/(RadSpec!H24*IFW_res_adj)),".")</f>
        <v>.</v>
      </c>
      <c r="R24" s="15" t="str">
        <f>IFERROR(IF(RadSpec!C24=1,(TR/(RadSpec!G24*IFA_res_adj*K)),"."),".")</f>
        <v>.</v>
      </c>
      <c r="S24" s="15">
        <f>IFERROR((TR/(RadSpec!L24*(1/8760)*DFA_res_adj)),".")</f>
        <v>207266539.58349818</v>
      </c>
      <c r="T24" s="15" t="str">
        <f>b2w!C24</f>
        <v>.</v>
      </c>
      <c r="U24" s="15">
        <f t="shared" si="1"/>
        <v>207266539.58349818</v>
      </c>
      <c r="V24" s="15" t="str">
        <f>IFERROR(TR/(RadSpec!E24*EF_res*ED_res*IRF_res*0.001*CF_res_fish),".")</f>
        <v>.</v>
      </c>
      <c r="W24" s="42"/>
    </row>
    <row r="25" spans="1:23" x14ac:dyDescent="0.25">
      <c r="A25" s="46" t="s">
        <v>35</v>
      </c>
      <c r="B25" s="42" t="s">
        <v>351</v>
      </c>
      <c r="C25" s="15" t="str">
        <f>IFERROR((TR/(RadSpec!D25*IFS_res_adj*(1/1000))),".")</f>
        <v>.</v>
      </c>
      <c r="D25" s="15">
        <f>IFERROR(IF(A25="H-3",(TR/(RadSpec!G25*IFA_res_adj*(1/17)*1000))*RadSpec!#REF!,(TR/(RadSpec!G25*IFA_res_adj*(1/PEF_wind)*1000))),".")</f>
        <v>3703128.6738079814</v>
      </c>
      <c r="E25" s="15">
        <f>IFERROR((TR/(RadSpec!F25*EF_res*(1/365)*ED_res*RadSpec!Q25*((ET_res_o*(1/24)*RadSpec!V25)+(ET_res_i*(1/24)*RadSpec!AA25)))),".")</f>
        <v>68.351684235636881</v>
      </c>
      <c r="F25" s="15" t="str">
        <f>b2s!C25</f>
        <v>.</v>
      </c>
      <c r="G25" s="15" t="str">
        <f>dir!C25</f>
        <v>.</v>
      </c>
      <c r="H25" s="15">
        <f>(IF(AND(C25&lt;&gt;".",D25&lt;&gt;".",E25&lt;&gt;".",F25&lt;&gt;"."),1/((1/C25)+(1/D25)+(1/E25)+(1/F25)),IF(AND(C25&lt;&gt;".",D25&lt;&gt;".",E25&lt;&gt;".",F25="."), 1/((1/C25)+(1/D25)+(1/E25)),IF(AND(C25&lt;&gt;".",D25&lt;&gt;".",E25=".",F25&lt;&gt;"."),1/((1/C25)+(1/D25)+(1/F25)),IF(AND(C25&lt;&gt;".",D25=".",E25&lt;&gt;".",F25&lt;&gt;"."),1/((1/C25)+(1/E25)+(1/F25)),IF(AND(C25=".",D25&lt;&gt;".",E25&lt;&gt;".",F25&lt;&gt;"."),1/((1/D25)+(1/E25)+(1/F25)),IF(AND(C25&lt;&gt;".",D25&lt;&gt;".",E25=".",F25="."),1/((1/C25)+(1/D25)),IF(AND(C25&lt;&gt;".",D25=".",E25&lt;&gt;".",F25="."),1/((1/C25)+(1/E25)),IF(AND(C25&lt;&gt;".",D25=".",E25=".",F25&lt;&gt;"."),1/((1/C25)+(1/F25)),IF(AND(C25=".",D25=".",E25&lt;&gt;".",F25&lt;&gt;"."),1/((1/E25)+(1/F25)),IF(AND(C25=".",D25&lt;&gt;".",E25=".",F25&lt;&gt;"."),1/((1/D25)+(1/F25)),IF(AND(C25=".",D25&lt;&gt;".",E25&lt;&gt;".",F25="."),1/((1/D25)+(1/E25)),IF(AND(C25&lt;&gt;".",D25=".",E25=".",F25="."),1/((1/C25)),IF(AND(C25=".",D25&lt;&gt;".",E25=".",F25="."),1/((1/D25)),IF(AND(C25=".",D25=".",E25&lt;&gt;".",F25="."),1/((1/E25)),IF(AND(C25=".",D25=".",E25=".",F25&lt;&gt;"."),1/((1/F25)),IF(AND(C25=".",D25=".",E25=".",F25="."),".")))))))))))))))))</f>
        <v>68.350422635806879</v>
      </c>
      <c r="I25" s="15">
        <f>IFERROR((TR/(RadSpec!F25*EF_res*(1/365)*ED_res*RadSpec!Q25*((ET_res_o*(1/24)*RadSpec!V25)+(ET_res_i*(1/24)*RadSpec!AA25)))),".")</f>
        <v>68.351684235636881</v>
      </c>
      <c r="J25" s="15">
        <f>IFERROR((TR/(RadSpec!M25*EF_res*(1/365)*ED_res*RadSpec!R25*((ET_res_o*(1/24)*RadSpec!W25)+(ET_res_i*(1/24)*RadSpec!AB25)))),".")</f>
        <v>324.31263789814619</v>
      </c>
      <c r="K25" s="15">
        <f>IFERROR((TR/(RadSpec!N25*EF_res*(1/365)*ED_res*RadSpec!S25*((ET_res_o*(1/24)*RadSpec!X25)+(ET_res_i*(1/24)*RadSpec!AC25)))),".")</f>
        <v>114.92340229785884</v>
      </c>
      <c r="L25" s="15">
        <f>IFERROR((TR/(RadSpec!O25*EF_res*(1/365)*ED_res*RadSpec!T25*((ET_res_o*(1/24)*RadSpec!Y25)+(ET_res_i*(1/24)*RadSpec!AD25)))),".")</f>
        <v>75.083289501267785</v>
      </c>
      <c r="M25" s="15">
        <f>IFERROR((TR/(RadSpec!K25*EF_res*(1/365)*ED_res*RadSpec!P25*((ET_res_o*(1/24)*RadSpec!U25)+(ET_res_i*(1/24)*RadSpec!Z25)))),".")</f>
        <v>330.36647380557821</v>
      </c>
      <c r="N25" s="15">
        <f>IFERROR((TR/(RadSpec!G25*IFA_res_adj)),".")</f>
        <v>2.7242018088700011</v>
      </c>
      <c r="O25" s="15">
        <f>IFERROR((TR/(RadSpec!J25*EF_res*(1/365)*ED_res*ET_res*(1/24)*GSF_o)),".")</f>
        <v>24713.31363043455</v>
      </c>
      <c r="P25" s="15">
        <f t="shared" si="18"/>
        <v>2.7239015473335111</v>
      </c>
      <c r="Q25" s="15" t="str">
        <f>IFERROR((TR/(RadSpec!H25*IFW_res_adj)),".")</f>
        <v>.</v>
      </c>
      <c r="R25" s="15">
        <f>IFERROR(IF(RadSpec!C25=1,(TR/(RadSpec!G25*IFA_res_adj*K)),"."),".")</f>
        <v>5.4484036177400021</v>
      </c>
      <c r="S25" s="15">
        <f>IFERROR((TR/(RadSpec!L25*(1/8760)*DFA_res_adj)),".")</f>
        <v>408335740.77413428</v>
      </c>
      <c r="T25" s="15" t="str">
        <f>b2w!C25</f>
        <v>.</v>
      </c>
      <c r="U25" s="15">
        <f t="shared" si="1"/>
        <v>5.4484035450422228</v>
      </c>
      <c r="V25" s="15" t="str">
        <f>IFERROR(TR/(RadSpec!E25*EF_res*ED_res*IRF_res*0.001*CF_res_fish),".")</f>
        <v>.</v>
      </c>
      <c r="W25" s="42"/>
    </row>
    <row r="26" spans="1:23" x14ac:dyDescent="0.25">
      <c r="A26" s="44" t="s">
        <v>36</v>
      </c>
      <c r="B26" s="42" t="s">
        <v>1074</v>
      </c>
      <c r="C26" s="15">
        <f>IFERROR((TR/(RadSpec!D26*IFS_res_adj*(1/1000))),".")</f>
        <v>2.3203148203148203</v>
      </c>
      <c r="D26" s="15">
        <f>IFERROR(IF(A26="H-3",(TR/(RadSpec!G26*IFA_res_adj*(1/17)*1000))*RadSpec!#REF!,(TR/(RadSpec!G26*IFA_res_adj*(1/PEF_wind)*1000))),".")</f>
        <v>48.345930922367131</v>
      </c>
      <c r="E26" s="15">
        <f>IFERROR((TR/(RadSpec!F26*EF_res*(1/365)*ED_res*RadSpec!Q26*((ET_res_o*(1/24)*RadSpec!V26)+(ET_res_i*(1/24)*RadSpec!AA26)))),".")</f>
        <v>0.51619761532121611</v>
      </c>
      <c r="F26" s="15">
        <f>b2s!C26</f>
        <v>0.20309463442840414</v>
      </c>
      <c r="G26" s="15">
        <f>dir!C26</f>
        <v>2.8580172789614247E-4</v>
      </c>
      <c r="H26" s="15">
        <f>(IF(AND(C26&lt;&gt;".",D26&lt;&gt;".",E26&lt;&gt;".",F26&lt;&gt;"."),1/((1/C26)+(1/D26)+(1/E26)+(1/F26)),IF(AND(C26&lt;&gt;".",D26&lt;&gt;".",E26&lt;&gt;".",F26="."), 1/((1/C26)+(1/D26)+(1/E26)),IF(AND(C26&lt;&gt;".",D26&lt;&gt;".",E26=".",F26&lt;&gt;"."),1/((1/C26)+(1/D26)+(1/F26)),IF(AND(C26&lt;&gt;".",D26=".",E26&lt;&gt;".",F26&lt;&gt;"."),1/((1/C26)+(1/E26)+(1/F26)),IF(AND(C26=".",D26&lt;&gt;".",E26&lt;&gt;".",F26&lt;&gt;"."),1/((1/D26)+(1/E26)+(1/F26)),IF(AND(C26&lt;&gt;".",D26&lt;&gt;".",E26=".",F26="."),1/((1/C26)+(1/D26)),IF(AND(C26&lt;&gt;".",D26=".",E26&lt;&gt;".",F26="."),1/((1/C26)+(1/E26)),IF(AND(C26&lt;&gt;".",D26=".",E26=".",F26&lt;&gt;"."),1/((1/C26)+(1/F26)),IF(AND(C26=".",D26=".",E26&lt;&gt;".",F26&lt;&gt;"."),1/((1/E26)+(1/F26)),IF(AND(C26=".",D26&lt;&gt;".",E26=".",F26&lt;&gt;"."),1/((1/D26)+(1/F26)),IF(AND(C26=".",D26&lt;&gt;".",E26&lt;&gt;".",F26="."),1/((1/D26)+(1/E26)),IF(AND(C26&lt;&gt;".",D26=".",E26=".",F26="."),1/((1/C26)),IF(AND(C26=".",D26&lt;&gt;".",E26=".",F26="."),1/((1/D26)),IF(AND(C26=".",D26=".",E26&lt;&gt;".",F26="."),1/((1/E26)),IF(AND(C26=".",D26=".",E26=".",F26&lt;&gt;"."),1/((1/F26)),IF(AND(C26=".",D26=".",E26=".",F26="."),".")))))))))))))))))</f>
        <v>0.13674810045693225</v>
      </c>
      <c r="I26" s="15">
        <f>IFERROR((TR/(RadSpec!F26*EF_res*(1/365)*ED_res*RadSpec!Q26*((ET_res_o*(1/24)*RadSpec!V26)+(ET_res_i*(1/24)*RadSpec!AA26)))),".")</f>
        <v>0.51619761532121611</v>
      </c>
      <c r="J26" s="15">
        <f>IFERROR((TR/(RadSpec!M26*EF_res*(1/365)*ED_res*RadSpec!R26*((ET_res_o*(1/24)*RadSpec!W26)+(ET_res_i*(1/24)*RadSpec!AB26)))),".")</f>
        <v>1.7111523159819315</v>
      </c>
      <c r="K26" s="15">
        <f>IFERROR((TR/(RadSpec!N26*EF_res*(1/365)*ED_res*RadSpec!S26*((ET_res_o*(1/24)*RadSpec!X26)+(ET_res_i*(1/24)*RadSpec!AC26)))),".")</f>
        <v>0.67837058276299422</v>
      </c>
      <c r="L26" s="15">
        <f>IFERROR((TR/(RadSpec!O26*EF_res*(1/365)*ED_res*RadSpec!T26*((ET_res_o*(1/24)*RadSpec!Y26)+(ET_res_i*(1/24)*RadSpec!AD26)))),".")</f>
        <v>0.52163127442986035</v>
      </c>
      <c r="M26" s="15">
        <f>IFERROR((TR/(RadSpec!K26*EF_res*(1/365)*ED_res*RadSpec!P26*((ET_res_o*(1/24)*RadSpec!U26)+(ET_res_i*(1/24)*RadSpec!Z26)))),".")</f>
        <v>1.6354775930969223</v>
      </c>
      <c r="N26" s="15">
        <f>IFERROR((TR/(RadSpec!G26*IFA_res_adj)),".")</f>
        <v>3.5565621416763637E-5</v>
      </c>
      <c r="O26" s="15">
        <f>IFERROR((TR/(RadSpec!J26*EF_res*(1/365)*ED_res*ET_res*(1/24)*GSF_o)),".")</f>
        <v>133.66344726188336</v>
      </c>
      <c r="P26" s="15">
        <f t="shared" ref="P26:P29" si="19">IF(AND(N26&lt;&gt;".",O26&lt;&gt;"."),1/((1/N26)+(1/O26)),IF(AND(N26&lt;&gt;".",O26="."),1/((1/N26)),IF(AND(N26=".",O26&lt;&gt;"."),1/((1/O26)),IF(AND(N26&lt;&gt;".",O26="."),"."))))</f>
        <v>3.556561195334551E-5</v>
      </c>
      <c r="Q26" s="15">
        <f>IFERROR((TR/(RadSpec!H26*IFW_res_adj)),".")</f>
        <v>0.2338109180084405</v>
      </c>
      <c r="R26" s="15" t="str">
        <f>IFERROR(IF(RadSpec!C26=1,(TR/(RadSpec!G26*IFA_res_adj*K)),"."),".")</f>
        <v>.</v>
      </c>
      <c r="S26" s="15">
        <f>IFERROR((TR/(RadSpec!L26*(1/8760)*DFA_res_adj)),".")</f>
        <v>2148759.7547729798</v>
      </c>
      <c r="T26" s="15">
        <f>b2w!C26</f>
        <v>7.7400919738818061E-2</v>
      </c>
      <c r="U26" s="15">
        <f t="shared" si="1"/>
        <v>5.8150678779044174E-2</v>
      </c>
      <c r="V26" s="15">
        <f>IFERROR(TR/(RadSpec!E26*EF_res*ED_res*IRF_res*0.001*CF_res_fish),".")</f>
        <v>7.0063764331280247E-3</v>
      </c>
      <c r="W26" s="42"/>
    </row>
    <row r="27" spans="1:23" x14ac:dyDescent="0.25">
      <c r="A27" s="44" t="s">
        <v>37</v>
      </c>
      <c r="B27" s="42" t="s">
        <v>1074</v>
      </c>
      <c r="C27" s="15" t="str">
        <f>IFERROR((TR/(RadSpec!D27*IFS_res_adj*(1/1000))),".")</f>
        <v>.</v>
      </c>
      <c r="D27" s="15" t="str">
        <f>IFERROR(IF(A27="H-3",(TR/(RadSpec!G27*IFA_res_adj*(1/17)*1000))*RadSpec!#REF!,(TR/(RadSpec!G27*IFA_res_adj*(1/PEF_wind)*1000))),".")</f>
        <v>.</v>
      </c>
      <c r="E27" s="15">
        <f>IFERROR((TR/(RadSpec!F27*EF_res*(1/365)*ED_res*RadSpec!Q27*((ET_res_o*(1/24)*RadSpec!V27)+(ET_res_i*(1/24)*RadSpec!AA27)))),".")</f>
        <v>18.950275744105827</v>
      </c>
      <c r="F27" s="15" t="str">
        <f>b2s!C27</f>
        <v>.</v>
      </c>
      <c r="G27" s="15" t="str">
        <f>dir!C27</f>
        <v>.</v>
      </c>
      <c r="H27" s="15">
        <f>(IF(AND(C27&lt;&gt;".",D27&lt;&gt;".",E27&lt;&gt;".",F27&lt;&gt;"."),1/((1/C27)+(1/D27)+(1/E27)+(1/F27)),IF(AND(C27&lt;&gt;".",D27&lt;&gt;".",E27&lt;&gt;".",F27="."), 1/((1/C27)+(1/D27)+(1/E27)),IF(AND(C27&lt;&gt;".",D27&lt;&gt;".",E27=".",F27&lt;&gt;"."),1/((1/C27)+(1/D27)+(1/F27)),IF(AND(C27&lt;&gt;".",D27=".",E27&lt;&gt;".",F27&lt;&gt;"."),1/((1/C27)+(1/E27)+(1/F27)),IF(AND(C27=".",D27&lt;&gt;".",E27&lt;&gt;".",F27&lt;&gt;"."),1/((1/D27)+(1/E27)+(1/F27)),IF(AND(C27&lt;&gt;".",D27&lt;&gt;".",E27=".",F27="."),1/((1/C27)+(1/D27)),IF(AND(C27&lt;&gt;".",D27=".",E27&lt;&gt;".",F27="."),1/((1/C27)+(1/E27)),IF(AND(C27&lt;&gt;".",D27=".",E27=".",F27&lt;&gt;"."),1/((1/C27)+(1/F27)),IF(AND(C27=".",D27=".",E27&lt;&gt;".",F27&lt;&gt;"."),1/((1/E27)+(1/F27)),IF(AND(C27=".",D27&lt;&gt;".",E27=".",F27&lt;&gt;"."),1/((1/D27)+(1/F27)),IF(AND(C27=".",D27&lt;&gt;".",E27&lt;&gt;".",F27="."),1/((1/D27)+(1/E27)),IF(AND(C27&lt;&gt;".",D27=".",E27=".",F27="."),1/((1/C27)),IF(AND(C27=".",D27&lt;&gt;".",E27=".",F27="."),1/((1/D27)),IF(AND(C27=".",D27=".",E27&lt;&gt;".",F27="."),1/((1/E27)),IF(AND(C27=".",D27=".",E27=".",F27&lt;&gt;"."),1/((1/F27)),IF(AND(C27=".",D27=".",E27=".",F27="."),".")))))))))))))))))</f>
        <v>18.950275744105827</v>
      </c>
      <c r="I27" s="15">
        <f>IFERROR((TR/(RadSpec!F27*EF_res*(1/365)*ED_res*RadSpec!Q27*((ET_res_o*(1/24)*RadSpec!V27)+(ET_res_i*(1/24)*RadSpec!AA27)))),".")</f>
        <v>18.950275744105827</v>
      </c>
      <c r="J27" s="15">
        <f>IFERROR((TR/(RadSpec!M27*EF_res*(1/365)*ED_res*RadSpec!R27*((ET_res_o*(1/24)*RadSpec!W27)+(ET_res_i*(1/24)*RadSpec!AB27)))),".")</f>
        <v>55.80514760229363</v>
      </c>
      <c r="K27" s="15">
        <f>IFERROR((TR/(RadSpec!N27*EF_res*(1/365)*ED_res*RadSpec!S27*((ET_res_o*(1/24)*RadSpec!X27)+(ET_res_i*(1/24)*RadSpec!AC27)))),".")</f>
        <v>26.247336372265217</v>
      </c>
      <c r="L27" s="15">
        <f>IFERROR((TR/(RadSpec!O27*EF_res*(1/365)*ED_res*RadSpec!T27*((ET_res_o*(1/24)*RadSpec!Y27)+(ET_res_i*(1/24)*RadSpec!AD27)))),".")</f>
        <v>19.743016362883161</v>
      </c>
      <c r="M27" s="15">
        <f>IFERROR((TR/(RadSpec!K27*EF_res*(1/365)*ED_res*RadSpec!P27*((ET_res_o*(1/24)*RadSpec!U27)+(ET_res_i*(1/24)*RadSpec!Z27)))),".")</f>
        <v>13.502716913034533</v>
      </c>
      <c r="N27" s="15" t="str">
        <f>IFERROR((TR/(RadSpec!G27*IFA_res_adj)),".")</f>
        <v>.</v>
      </c>
      <c r="O27" s="15">
        <f>IFERROR((TR/(RadSpec!J27*EF_res*(1/365)*ED_res*ET_res*(1/24)*GSF_o)),".")</f>
        <v>4267.2678194166483</v>
      </c>
      <c r="P27" s="15">
        <f t="shared" si="19"/>
        <v>4267.2678194166483</v>
      </c>
      <c r="Q27" s="15" t="str">
        <f>IFERROR((TR/(RadSpec!H27*IFW_res_adj)),".")</f>
        <v>.</v>
      </c>
      <c r="R27" s="15" t="str">
        <f>IFERROR(IF(RadSpec!C27=1,(TR/(RadSpec!G27*IFA_res_adj*K)),"."),".")</f>
        <v>.</v>
      </c>
      <c r="S27" s="15">
        <f>IFERROR((TR/(RadSpec!L27*(1/8760)*DFA_res_adj)),".")</f>
        <v>97546871.407154307</v>
      </c>
      <c r="T27" s="15" t="str">
        <f>b2w!C27</f>
        <v>.</v>
      </c>
      <c r="U27" s="15">
        <f t="shared" si="1"/>
        <v>97546871.407154307</v>
      </c>
      <c r="V27" s="15" t="str">
        <f>IFERROR(TR/(RadSpec!E27*EF_res*ED_res*IRF_res*0.001*CF_res_fish),".")</f>
        <v>.</v>
      </c>
      <c r="W27" s="42"/>
    </row>
    <row r="28" spans="1:23" x14ac:dyDescent="0.25">
      <c r="A28" s="44" t="s">
        <v>38</v>
      </c>
      <c r="B28" s="42" t="s">
        <v>1074</v>
      </c>
      <c r="C28" s="15" t="str">
        <f>IFERROR((TR/(RadSpec!D28*IFS_res_adj*(1/1000))),".")</f>
        <v>.</v>
      </c>
      <c r="D28" s="15" t="str">
        <f>IFERROR(IF(A28="H-3",(TR/(RadSpec!G28*IFA_res_adj*(1/17)*1000))*RadSpec!#REF!,(TR/(RadSpec!G28*IFA_res_adj*(1/PEF_wind)*1000))),".")</f>
        <v>.</v>
      </c>
      <c r="E28" s="15">
        <f>IFERROR((TR/(RadSpec!F28*EF_res*(1/365)*ED_res*RadSpec!Q28*((ET_res_o*(1/24)*RadSpec!V28)+(ET_res_i*(1/24)*RadSpec!AA28)))),".")</f>
        <v>1.1211531916478898E-2</v>
      </c>
      <c r="F28" s="15" t="str">
        <f>b2s!C28</f>
        <v>.</v>
      </c>
      <c r="G28" s="15" t="str">
        <f>dir!C28</f>
        <v>.</v>
      </c>
      <c r="H28" s="15">
        <f t="shared" ref="H28:H29" si="20">(IF(AND(C28&lt;&gt;".",D28&lt;&gt;".",E28&lt;&gt;".",F28&lt;&gt;"."),1/((1/C28)+(1/D28)+(1/E28)+(1/F28)),IF(AND(C28&lt;&gt;".",D28&lt;&gt;".",E28&lt;&gt;".",F28="."), 1/((1/C28)+(1/D28)+(1/E28)),IF(AND(C28&lt;&gt;".",D28&lt;&gt;".",E28=".",F28&lt;&gt;"."),1/((1/C28)+(1/D28)+(1/F28)),IF(AND(C28&lt;&gt;".",D28=".",E28&lt;&gt;".",F28&lt;&gt;"."),1/((1/C28)+(1/E28)+(1/F28)),IF(AND(C28=".",D28&lt;&gt;".",E28&lt;&gt;".",F28&lt;&gt;"."),1/((1/D28)+(1/E28)+(1/F28)),IF(AND(C28&lt;&gt;".",D28&lt;&gt;".",E28=".",F28="."),1/((1/C28)+(1/D28)),IF(AND(C28&lt;&gt;".",D28=".",E28&lt;&gt;".",F28="."),1/((1/C28)+(1/E28)),IF(AND(C28&lt;&gt;".",D28=".",E28=".",F28&lt;&gt;"."),1/((1/C28)+(1/F28)),IF(AND(C28=".",D28=".",E28&lt;&gt;".",F28&lt;&gt;"."),1/((1/E28)+(1/F28)),IF(AND(C28=".",D28&lt;&gt;".",E28=".",F28&lt;&gt;"."),1/((1/D28)+(1/F28)),IF(AND(C28=".",D28&lt;&gt;".",E28&lt;&gt;".",F28="."),1/((1/D28)+(1/E28)),IF(AND(C28&lt;&gt;".",D28=".",E28=".",F28="."),1/((1/C28)),IF(AND(C28=".",D28&lt;&gt;".",E28=".",F28="."),1/((1/D28)),IF(AND(C28=".",D28=".",E28&lt;&gt;".",F28="."),1/((1/E28)),IF(AND(C28=".",D28=".",E28=".",F28&lt;&gt;"."),1/((1/F28)),IF(AND(C28=".",D28=".",E28=".",F28="."),".")))))))))))))))))</f>
        <v>1.1211531916478898E-2</v>
      </c>
      <c r="I28" s="15">
        <f>IFERROR((TR/(RadSpec!F28*EF_res*(1/365)*ED_res*RadSpec!Q28*((ET_res_o*(1/24)*RadSpec!V28)+(ET_res_i*(1/24)*RadSpec!AA28)))),".")</f>
        <v>1.1211531916478898E-2</v>
      </c>
      <c r="J28" s="15">
        <f>IFERROR((TR/(RadSpec!M28*EF_res*(1/365)*ED_res*RadSpec!R28*((ET_res_o*(1/24)*RadSpec!W28)+(ET_res_i*(1/24)*RadSpec!AB28)))),".")</f>
        <v>6.0729131214260705E-2</v>
      </c>
      <c r="K28" s="15">
        <f>IFERROR((TR/(RadSpec!N28*EF_res*(1/365)*ED_res*RadSpec!S28*((ET_res_o*(1/24)*RadSpec!X28)+(ET_res_i*(1/24)*RadSpec!AC28)))),".")</f>
        <v>2.114119926230236E-2</v>
      </c>
      <c r="L28" s="15">
        <f>IFERROR((TR/(RadSpec!O28*EF_res*(1/365)*ED_res*RadSpec!T28*((ET_res_o*(1/24)*RadSpec!Y28)+(ET_res_i*(1/24)*RadSpec!AD28)))),".")</f>
        <v>1.3285515032395907E-2</v>
      </c>
      <c r="M28" s="15">
        <f>IFERROR((TR/(RadSpec!K28*EF_res*(1/365)*ED_res*RadSpec!P28*((ET_res_o*(1/24)*RadSpec!U28)+(ET_res_i*(1/24)*RadSpec!Z28)))),".")</f>
        <v>6.2333296944448724E-2</v>
      </c>
      <c r="N28" s="15" t="str">
        <f>IFERROR((TR/(RadSpec!G28*IFA_res_adj)),".")</f>
        <v>.</v>
      </c>
      <c r="O28" s="15">
        <f>IFERROR((TR/(RadSpec!J28*EF_res*(1/365)*ED_res*ET_res*(1/24)*GSF_o)),".")</f>
        <v>4.1892080422322007</v>
      </c>
      <c r="P28" s="15">
        <f t="shared" si="19"/>
        <v>4.1892080422322007</v>
      </c>
      <c r="Q28" s="15" t="str">
        <f>IFERROR((TR/(RadSpec!H28*IFW_res_adj)),".")</f>
        <v>.</v>
      </c>
      <c r="R28" s="15" t="str">
        <f>IFERROR(IF(RadSpec!C28=1,(TR/(RadSpec!G28*IFA_res_adj*K)),"."),".")</f>
        <v>.</v>
      </c>
      <c r="S28" s="15">
        <f>IFERROR((TR/(RadSpec!L28*(1/8760)*DFA_res_adj)),".")</f>
        <v>69050.032569109215</v>
      </c>
      <c r="T28" s="15" t="str">
        <f>b2w!C28</f>
        <v>.</v>
      </c>
      <c r="U28" s="15">
        <f t="shared" si="1"/>
        <v>69050.032569109215</v>
      </c>
      <c r="V28" s="15" t="str">
        <f>IFERROR(TR/(RadSpec!E28*EF_res*ED_res*IRF_res*0.001*CF_res_fish),".")</f>
        <v>.</v>
      </c>
      <c r="W28" s="42"/>
    </row>
    <row r="29" spans="1:23" x14ac:dyDescent="0.25">
      <c r="A29" s="44" t="s">
        <v>39</v>
      </c>
      <c r="B29" s="42" t="s">
        <v>1074</v>
      </c>
      <c r="C29" s="15" t="str">
        <f>IFERROR((TR/(RadSpec!D29*IFS_res_adj*(1/1000))),".")</f>
        <v>.</v>
      </c>
      <c r="D29" s="15" t="str">
        <f>IFERROR(IF(A29="H-3",(TR/(RadSpec!G29*IFA_res_adj*(1/17)*1000))*RadSpec!#REF!,(TR/(RadSpec!G29*IFA_res_adj*(1/PEF_wind)*1000))),".")</f>
        <v>.</v>
      </c>
      <c r="E29" s="15">
        <f>IFERROR((TR/(RadSpec!F29*EF_res*(1/365)*ED_res*RadSpec!Q29*((ET_res_o*(1/24)*RadSpec!V29)+(ET_res_i*(1/24)*RadSpec!AA29)))),".")</f>
        <v>8.6182558384063877E-3</v>
      </c>
      <c r="F29" s="15" t="str">
        <f>b2s!C29</f>
        <v>.</v>
      </c>
      <c r="G29" s="15" t="str">
        <f>dir!C29</f>
        <v>.</v>
      </c>
      <c r="H29" s="15">
        <f t="shared" si="20"/>
        <v>8.6182558384063877E-3</v>
      </c>
      <c r="I29" s="15">
        <f>IFERROR((TR/(RadSpec!F29*EF_res*(1/365)*ED_res*RadSpec!Q29*((ET_res_o*(1/24)*RadSpec!V29)+(ET_res_i*(1/24)*RadSpec!AA29)))),".")</f>
        <v>8.6182558384063877E-3</v>
      </c>
      <c r="J29" s="15">
        <f>IFERROR((TR/(RadSpec!M29*EF_res*(1/365)*ED_res*RadSpec!R29*((ET_res_o*(1/24)*RadSpec!W29)+(ET_res_i*(1/24)*RadSpec!AB29)))),".")</f>
        <v>4.6574220931237538E-2</v>
      </c>
      <c r="K29" s="15">
        <f>IFERROR((TR/(RadSpec!N29*EF_res*(1/365)*ED_res*RadSpec!S29*((ET_res_o*(1/24)*RadSpec!X29)+(ET_res_i*(1/24)*RadSpec!AC29)))),".")</f>
        <v>1.6258192608542235E-2</v>
      </c>
      <c r="L29" s="15">
        <f>IFERROR((TR/(RadSpec!O29*EF_res*(1/365)*ED_res*RadSpec!T29*((ET_res_o*(1/24)*RadSpec!Y29)+(ET_res_i*(1/24)*RadSpec!AD29)))),".")</f>
        <v>1.0186016664097991E-2</v>
      </c>
      <c r="M29" s="15">
        <f>IFERROR((TR/(RadSpec!K29*EF_res*(1/365)*ED_res*RadSpec!P29*((ET_res_o*(1/24)*RadSpec!U29)+(ET_res_i*(1/24)*RadSpec!Z29)))),".")</f>
        <v>4.8111622398870624E-2</v>
      </c>
      <c r="N29" s="15" t="str">
        <f>IFERROR((TR/(RadSpec!G29*IFA_res_adj)),".")</f>
        <v>.</v>
      </c>
      <c r="O29" s="15">
        <f>IFERROR((TR/(RadSpec!J29*EF_res*(1/365)*ED_res*ET_res*(1/24)*GSF_o)),".")</f>
        <v>3.2407081081418898</v>
      </c>
      <c r="P29" s="15">
        <f t="shared" si="19"/>
        <v>3.2407081081418898</v>
      </c>
      <c r="Q29" s="15" t="str">
        <f>IFERROR((TR/(RadSpec!H29*IFW_res_adj)),".")</f>
        <v>.</v>
      </c>
      <c r="R29" s="15" t="str">
        <f>IFERROR(IF(RadSpec!C29=1,(TR/(RadSpec!G29*IFA_res_adj*K)),"."),".")</f>
        <v>.</v>
      </c>
      <c r="S29" s="15">
        <f>IFERROR((TR/(RadSpec!L29*(1/8760)*DFA_res_adj)),".")</f>
        <v>53438.720857832363</v>
      </c>
      <c r="T29" s="15" t="str">
        <f>b2w!C29</f>
        <v>.</v>
      </c>
      <c r="U29" s="15">
        <f t="shared" si="1"/>
        <v>53438.720857832363</v>
      </c>
      <c r="V29" s="15" t="str">
        <f>IFERROR(TR/(RadSpec!E29*EF_res*ED_res*IRF_res*0.001*CF_res_fish),".")</f>
        <v>.</v>
      </c>
      <c r="W29" s="42"/>
    </row>
    <row r="30" spans="1:23" x14ac:dyDescent="0.25">
      <c r="A30" s="44" t="s">
        <v>40</v>
      </c>
      <c r="B30" s="42" t="s">
        <v>1074</v>
      </c>
      <c r="C30" s="15">
        <f>IFERROR((TR/(RadSpec!D30*IFS_res_adj*(1/1000))),".")</f>
        <v>5.9436635791315586</v>
      </c>
      <c r="D30" s="15">
        <f>IFERROR(IF(A30="H-3",(TR/(RadSpec!G30*IFA_res_adj*(1/17)*1000))*RadSpec!#REF!,(TR/(RadSpec!G30*IFA_res_adj*(1/PEF_wind)*1000))),".")</f>
        <v>298.29123392623904</v>
      </c>
      <c r="E30" s="15">
        <f>IFERROR((TR/(RadSpec!F30*EF_res*(1/365)*ED_res*RadSpec!Q30*((ET_res_o*(1/24)*RadSpec!V30)+(ET_res_i*(1/24)*RadSpec!AA30)))),".")</f>
        <v>162.74210532294492</v>
      </c>
      <c r="F30" s="15">
        <f>b2s!C30</f>
        <v>0.10914799564498147</v>
      </c>
      <c r="G30" s="15">
        <f>dir!C30</f>
        <v>8.5631433739874723E-4</v>
      </c>
      <c r="H30" s="15">
        <f>(IF(AND(C30&lt;&gt;".",D30&lt;&gt;".",E30&lt;&gt;".",F30&lt;&gt;"."),1/((1/C30)+(1/D30)+(1/E30)+(1/F30)),IF(AND(C30&lt;&gt;".",D30&lt;&gt;".",E30&lt;&gt;".",F30="."), 1/((1/C30)+(1/D30)+(1/E30)),IF(AND(C30&lt;&gt;".",D30&lt;&gt;".",E30=".",F30&lt;&gt;"."),1/((1/C30)+(1/D30)+(1/F30)),IF(AND(C30&lt;&gt;".",D30=".",E30&lt;&gt;".",F30&lt;&gt;"."),1/((1/C30)+(1/E30)+(1/F30)),IF(AND(C30=".",D30&lt;&gt;".",E30&lt;&gt;".",F30&lt;&gt;"."),1/((1/D30)+(1/E30)+(1/F30)),IF(AND(C30&lt;&gt;".",D30&lt;&gt;".",E30=".",F30="."),1/((1/C30)+(1/D30)),IF(AND(C30&lt;&gt;".",D30=".",E30&lt;&gt;".",F30="."),1/((1/C30)+(1/E30)),IF(AND(C30&lt;&gt;".",D30=".",E30=".",F30&lt;&gt;"."),1/((1/C30)+(1/F30)),IF(AND(C30=".",D30=".",E30&lt;&gt;".",F30&lt;&gt;"."),1/((1/E30)+(1/F30)),IF(AND(C30=".",D30&lt;&gt;".",E30=".",F30&lt;&gt;"."),1/((1/D30)+(1/F30)),IF(AND(C30=".",D30&lt;&gt;".",E30&lt;&gt;".",F30="."),1/((1/D30)+(1/E30)),IF(AND(C30&lt;&gt;".",D30=".",E30=".",F30="."),1/((1/C30)),IF(AND(C30=".",D30&lt;&gt;".",E30=".",F30="."),1/((1/D30)),IF(AND(C30=".",D30=".",E30&lt;&gt;".",F30="."),1/((1/E30)),IF(AND(C30=".",D30=".",E30=".",F30&lt;&gt;"."),1/((1/F30)),IF(AND(C30=".",D30=".",E30=".",F30="."),".")))))))))))))))))</f>
        <v>0.10707078505644391</v>
      </c>
      <c r="I30" s="15">
        <f>IFERROR((TR/(RadSpec!F30*EF_res*(1/365)*ED_res*RadSpec!Q30*((ET_res_o*(1/24)*RadSpec!V30)+(ET_res_i*(1/24)*RadSpec!AA30)))),".")</f>
        <v>162.74210532294492</v>
      </c>
      <c r="J30" s="15">
        <f>IFERROR((TR/(RadSpec!M30*EF_res*(1/365)*ED_res*RadSpec!R30*((ET_res_o*(1/24)*RadSpec!W30)+(ET_res_i*(1/24)*RadSpec!AB30)))),".")</f>
        <v>558.0514760229363</v>
      </c>
      <c r="K30" s="15">
        <f>IFERROR((TR/(RadSpec!N30*EF_res*(1/365)*ED_res*RadSpec!S30*((ET_res_o*(1/24)*RadSpec!X30)+(ET_res_i*(1/24)*RadSpec!AC30)))),".")</f>
        <v>228.57458981013258</v>
      </c>
      <c r="L30" s="15">
        <f>IFERROR((TR/(RadSpec!O30*EF_res*(1/365)*ED_res*RadSpec!T30*((ET_res_o*(1/24)*RadSpec!Y30)+(ET_res_i*(1/24)*RadSpec!AD30)))),".")</f>
        <v>168.26815304189043</v>
      </c>
      <c r="M30" s="15">
        <f>IFERROR((TR/(RadSpec!K30*EF_res*(1/365)*ED_res*RadSpec!P30*((ET_res_o*(1/24)*RadSpec!U30)+(ET_res_i*(1/24)*RadSpec!Z30)))),".")</f>
        <v>323.88869980939046</v>
      </c>
      <c r="N30" s="15">
        <f>IFERROR((TR/(RadSpec!G30*IFA_res_adj)),".")</f>
        <v>2.1943755959101223E-4</v>
      </c>
      <c r="O30" s="15">
        <f>IFERROR((TR/(RadSpec!J30*EF_res*(1/365)*ED_res*ET_res*(1/24)*GSF_o)),".")</f>
        <v>42778.961327900404</v>
      </c>
      <c r="P30" s="15">
        <f t="shared" ref="P30" si="21">IF(AND(N30&lt;&gt;".",O30&lt;&gt;"."),1/((1/N30)+(1/O30)),IF(AND(N30&lt;&gt;".",O30="."),1/((1/N30)),IF(AND(N30=".",O30&lt;&gt;"."),1/((1/O30)),IF(AND(N30&lt;&gt;".",O30="."),"."))))</f>
        <v>2.1943755846539254E-4</v>
      </c>
      <c r="Q30" s="15">
        <f>IFERROR((TR/(RadSpec!H30*IFW_res_adj)),".")</f>
        <v>0.72794739421184573</v>
      </c>
      <c r="R30" s="15" t="str">
        <f>IFERROR(IF(RadSpec!C30=1,(TR/(RadSpec!G30*IFA_res_adj*K)),"."),".")</f>
        <v>.</v>
      </c>
      <c r="S30" s="15">
        <f>IFERROR((TR/(RadSpec!L30*(1/8760)*DFA_res_adj)),".")</f>
        <v>686642781.97214758</v>
      </c>
      <c r="T30" s="15">
        <f>b2w!C30</f>
        <v>0.21830119821469551</v>
      </c>
      <c r="U30" s="15">
        <f t="shared" si="1"/>
        <v>0.16793873156242634</v>
      </c>
      <c r="V30" s="15">
        <f>IFERROR(TR/(RadSpec!E30*EF_res*ED_res*IRF_res*0.001*CF_res_fish),".")</f>
        <v>2.0992387404601145E-2</v>
      </c>
      <c r="W30" s="42"/>
    </row>
    <row r="31" spans="1:23" x14ac:dyDescent="0.25">
      <c r="A31" s="185" t="s">
        <v>13</v>
      </c>
      <c r="B31" s="57" t="s">
        <v>1259</v>
      </c>
      <c r="C31" s="58">
        <f>1/SUM(1/C32,1/C33,1/C34,1/C35,1/C36,1/C37,1/C38,1/C41,1/C44)</f>
        <v>0.56048732719219452</v>
      </c>
      <c r="D31" s="58">
        <f>1/SUM(1/D32,1/D33,1/D34,1/D35,1/D36,1/D37,1/D38,1/D41,1/D44)</f>
        <v>26.04518858408149</v>
      </c>
      <c r="E31" s="58">
        <f>1/SUM(1/E32,1/E33,1/E34,1/E35,1/E36,1/E37,1/E38,1/E39,1/E40,1/E41,1/E42,1/E43,1/E44)</f>
        <v>5.7289716774424675E-2</v>
      </c>
      <c r="F31" s="58">
        <f>1/SUM(1/F32,1/F33,1/F34,1/F35,1/F36,1/F37,1/F38,1/F41,1/F44)</f>
        <v>1.3080477374407809E-2</v>
      </c>
      <c r="G31" s="58">
        <f>1/SUM(1/G32,1/G33,1/G34,1/G35,1/G36,1/G37,1/G38,1/G41,1/G44)</f>
        <v>7.9895951766966841E-5</v>
      </c>
      <c r="H31" s="59">
        <f>1/SUM(1/H32,1/H33,1/H34,1/H35,1/H36,1/H37,1/H38,1/H39,1/H40,1/H41,1/H42,1/H43,1/H44)</f>
        <v>1.0446318407048271E-2</v>
      </c>
      <c r="I31" s="58">
        <f t="shared" ref="I31:M31" si="22">1/SUM(1/I32,1/I33,1/I34,1/I35,1/I36,1/I37,1/I38,1/I39,1/I40,1/I41,1/I42,1/I43,1/I44)</f>
        <v>5.7289716774424675E-2</v>
      </c>
      <c r="J31" s="58">
        <f t="shared" si="22"/>
        <v>0.23665062431777825</v>
      </c>
      <c r="K31" s="58">
        <f t="shared" si="22"/>
        <v>8.8199493672369775E-2</v>
      </c>
      <c r="L31" s="58">
        <f t="shared" si="22"/>
        <v>6.1230376541230536E-2</v>
      </c>
      <c r="M31" s="58">
        <f t="shared" si="22"/>
        <v>0.22929568947911522</v>
      </c>
      <c r="N31" s="58">
        <f>1/SUM(1/N32,1/N33,1/N34,1/N35,1/N36,1/N37,1/N38,1/N41,1/N44)</f>
        <v>1.916010922195522E-5</v>
      </c>
      <c r="O31" s="58">
        <f t="shared" ref="O31" si="23">1/SUM(1/O32,1/O33,1/O34,1/O35,1/O36,1/O37,1/O38,1/O39,1/O40,1/O41,1/O42,1/O43,1/O44)</f>
        <v>18.151019610536185</v>
      </c>
      <c r="P31" s="59">
        <f>1/SUM(1/P32,1/P33,1/P34,1/P35,1/P36,1/P37,1/P38,1/P39,1/P40,1/P41,1/P42,1/P43,1/P44)</f>
        <v>1.9160088996678306E-5</v>
      </c>
      <c r="Q31" s="58">
        <f>1/SUM(1/Q32,1/Q33,1/Q34,1/Q35,1/Q36,1/Q37,1/Q38,1/Q41,1/Q44)</f>
        <v>6.7744597654210481E-2</v>
      </c>
      <c r="R31" s="58" t="str">
        <f>IFERROR(1/SUM(1/R32,1/R33,1/R34,1/R35,1/R36,1/R37,1/R38,1/R39,1/R40,1/R41,1/R42,1/R43,1/R44,1/R45),".")</f>
        <v>.</v>
      </c>
      <c r="S31" s="58">
        <f>1/SUM(1/S32,1/S33,1/S34,1/S35,1/S36,1/S37,1/S38,1/S39,1/S40,1/S41,1/S42,1/S43,1/S44)</f>
        <v>296112.24585517397</v>
      </c>
      <c r="T31" s="58">
        <f>1/SUM(1/T32,1/T33,1/T34,1/T35,1/T36,1/T37,1/T38,1/T41,1/T44)</f>
        <v>2.0695472385484939E-2</v>
      </c>
      <c r="U31" s="59">
        <f>1/SUM(1/U32,1/U33,1/U34,1/U35,1/U36,1/U37,1/U38,1/U39,1/U40,1/U41,1/U42,1/U43,1/U44)</f>
        <v>1.5852614932706916E-2</v>
      </c>
      <c r="V31" s="59">
        <f>1/SUM(1/V32,1/V33,1/V34,1/V35,1/V36,1/V37,1/V38,1/V41,1/V44)</f>
        <v>1.9586344620205684E-3</v>
      </c>
      <c r="W31" s="15"/>
    </row>
    <row r="32" spans="1:23" x14ac:dyDescent="0.25">
      <c r="A32" s="83" t="s">
        <v>1102</v>
      </c>
      <c r="B32" s="42">
        <v>1</v>
      </c>
      <c r="C32" s="60">
        <f>IFERROR(C3/$B32,0)</f>
        <v>4.8456373757578577</v>
      </c>
      <c r="D32" s="60">
        <f>IFERROR(D3/$B32,0)</f>
        <v>223.71842544467933</v>
      </c>
      <c r="E32" s="60">
        <f>IFERROR(E3/$B32,0)</f>
        <v>4.1818540988047879</v>
      </c>
      <c r="F32" s="60">
        <f>IFERROR(F3/$B32,0)</f>
        <v>0.62354201194964987</v>
      </c>
      <c r="G32" s="60">
        <f>IFERROR(G3/$B32,0)</f>
        <v>6.2148021163011577E-4</v>
      </c>
      <c r="H32" s="60">
        <f t="shared" ref="H32:H44" si="24">(IF(AND(C32&lt;&gt;0,D32&lt;&gt;0,E32&lt;&gt;0,F32&lt;&gt;0),1/((1/C32)+(1/D32)+(1/E32)+(1/F32)),IF(AND(C32&lt;&gt;0,D32&lt;&gt;0,E32&lt;&gt;0,F32=0), 1/((1/C32)+(1/D32)+(1/E32)),IF(AND(C32&lt;&gt;0,D32&lt;&gt;0,E32=0,F32&lt;&gt;0),1/((1/C32)+(1/D32)+(1/F32)),IF(AND(C32&lt;&gt;0,D32=0,E32&lt;&gt;0,F32&lt;&gt;0),1/((1/C32)+(1/E32)+(1/F32)),IF(AND(C32=0,D32&lt;&gt;0,E32&lt;&gt;0,F32&lt;&gt;0),1/((1/D32)+(1/E32)+(1/F32)),IF(AND(C32&lt;&gt;0,D32&lt;&gt;0,E32=0,F32=0),1/((1/C32)+(1/D32)),IF(AND(C32&lt;&gt;0,D32=0,E32&lt;&gt;0,F32=0),1/((1/C32)+(1/E32)),IF(AND(C32&lt;&gt;0,D32=0,E32=0,F32&lt;&gt;0),1/((1/C32)+(1/F32)),IF(AND(C32=0,D32=0,E32&lt;&gt;0,F32&lt;&gt;0),1/((1/E32)+(1/F32)),IF(AND(C32=0,D32&lt;&gt;0,E32=0,F32&lt;&gt;0),1/((1/D32)+(1/F32)),IF(AND(C32=0,D32&lt;&gt;0,E32&lt;&gt;0,F32=0),1/((1/D32)+(1/E32)),IF(AND(C32&lt;&gt;0,D32=0,E32=0,F32=0),1/((1/C32)),IF(AND(C32=0,D32&lt;&gt;0,E32=0,F32=0),1/((1/D32)),IF(AND(C32=0,D32=0,E32&lt;&gt;0,F32=0),1/((1/E32)),IF(AND(C32=0,D32=0,E32=0,F32&lt;&gt;0),1/((1/F32)),IF(AND(C32=0,D32=0,E32=0,F32=0),0)))))))))))))))))</f>
        <v>0.48692350796929562</v>
      </c>
      <c r="I32" s="60">
        <f t="shared" ref="I32:O32" si="25">IFERROR(I3/$B32,0)</f>
        <v>4.1818540988047879</v>
      </c>
      <c r="J32" s="60">
        <f t="shared" si="25"/>
        <v>8.4134076520945218</v>
      </c>
      <c r="K32" s="60">
        <f t="shared" si="25"/>
        <v>4.4886749158366603</v>
      </c>
      <c r="L32" s="60">
        <f t="shared" si="25"/>
        <v>4.1818540988047879</v>
      </c>
      <c r="M32" s="60">
        <f t="shared" si="25"/>
        <v>6.194371383854592</v>
      </c>
      <c r="N32" s="60">
        <f t="shared" si="25"/>
        <v>1.645781696932592E-4</v>
      </c>
      <c r="O32" s="60">
        <f t="shared" si="25"/>
        <v>691.17718201818968</v>
      </c>
      <c r="P32" s="60">
        <f>IFERROR(IF(AND(N32&lt;&gt;0,O32&lt;&gt;0),1/((1/N32)+(1/O32)),IF(AND(N32&lt;&gt;0,O32=0),1/((1/N32)),IF(AND(N32=0,O32&lt;&gt;0),1/((1/O32)),IF(AND(N32=0,O32=0),0)))),0)</f>
        <v>1.6457813050509127E-4</v>
      </c>
      <c r="Q32" s="60">
        <f>IFERROR(Q3/$B32,0)</f>
        <v>0.50436355170392166</v>
      </c>
      <c r="R32" s="60">
        <f>IFERROR(R3/$B32,0)</f>
        <v>0</v>
      </c>
      <c r="S32" s="60">
        <f>IFERROR(S3/$B32,0)</f>
        <v>10876907.785222514</v>
      </c>
      <c r="T32" s="60">
        <f>IFERROR(T3/$B32,0)</f>
        <v>0.16897009545523717</v>
      </c>
      <c r="U32" s="60">
        <f t="shared" ref="U32:U44" si="26">(IF(AND(Q32&lt;&gt;0,R32&lt;&gt;0,S32&lt;&gt;0,T32&lt;&gt;0),1/((1/Q32)+(1/R32)+(1/S32)+(1/T32)),IF(AND(Q32&lt;&gt;0,R32&lt;&gt;0,S32&lt;&gt;0,T32=0), 1/((1/Q32)+(1/R32)+(1/S32)),IF(AND(Q32&lt;&gt;0,R32&lt;&gt;0,S32=0,T32&lt;&gt;0),1/((1/Q32)+(1/R32)+(1/T32)),IF(AND(Q32&lt;&gt;0,R32=0,S32&lt;&gt;0,T32&lt;&gt;0),1/((1/Q32)+(1/S32)+(1/T32)),IF(AND(Q32=0,R32&lt;&gt;0,S32&lt;&gt;0,T32&lt;&gt;0),1/((1/R32)+(1/S32)+(1/T32)),IF(AND(Q32&lt;&gt;0,R32&lt;&gt;0,S32=0,T32=0),1/((1/Q32)+(1/R32)),IF(AND(Q32&lt;&gt;0,R32=0,S32&lt;&gt;0,T32=0),1/((1/Q32)+(1/S32)),IF(AND(Q32&lt;&gt;0,R32=0,S32=0,T32&lt;&gt;0),1/((1/Q32)+(1/T32)),IF(AND(Q32=0,R32=0,S32&lt;&gt;0,T32&lt;&gt;0),1/((1/S32)+(1/T32)),IF(AND(Q32=0,R32&lt;&gt;0,S32=0,T32&lt;&gt;0),1/((1/R32)+(1/T32)),IF(AND(Q32=0,R32&lt;&gt;0,S32&lt;&gt;0,T32=0),1/((1/R32)+(1/S32)),IF(AND(Q32&lt;&gt;0,R32=0,S32=0,T32=0),1/((1/Q32)),IF(AND(Q32=0,R32&lt;&gt;0,S32=0,T32=0),1/((1/R32)),IF(AND(Q32=0,R32=0,S32&lt;&gt;0,T32=0),1/((1/S32)),IF(AND(Q32=0,R32=0,S32=0,T32&lt;&gt;0),1/((1/T32)),IF(AND(Q32=0,R32=0,S32=0,T32=0),0)))))))))))))))))</f>
        <v>0.1265677971737097</v>
      </c>
      <c r="V32" s="60">
        <f>IFERROR(V3/$B32,0)</f>
        <v>1.5235472299184209E-2</v>
      </c>
      <c r="W32" s="42"/>
    </row>
    <row r="33" spans="1:23" x14ac:dyDescent="0.25">
      <c r="A33" s="83" t="s">
        <v>1078</v>
      </c>
      <c r="B33" s="42">
        <v>1</v>
      </c>
      <c r="C33" s="60">
        <f t="shared" ref="C33:G34" si="27">IFERROR(C13/$B33,0)</f>
        <v>7.1606154692208097</v>
      </c>
      <c r="D33" s="60">
        <f t="shared" si="27"/>
        <v>294.44231477880379</v>
      </c>
      <c r="E33" s="60">
        <f t="shared" si="27"/>
        <v>2.237244743604367</v>
      </c>
      <c r="F33" s="60">
        <f t="shared" si="27"/>
        <v>9.7442676629222388E-2</v>
      </c>
      <c r="G33" s="60">
        <f t="shared" si="27"/>
        <v>1.0015819482074632E-3</v>
      </c>
      <c r="H33" s="60">
        <f t="shared" si="24"/>
        <v>9.2144910871403821E-2</v>
      </c>
      <c r="I33" s="60">
        <f t="shared" ref="I33:O34" si="28">IFERROR(I13/$B33,0)</f>
        <v>2.237244743604367</v>
      </c>
      <c r="J33" s="60">
        <f t="shared" si="28"/>
        <v>6.6695788789820645</v>
      </c>
      <c r="K33" s="60">
        <f t="shared" si="28"/>
        <v>2.8028829791197247</v>
      </c>
      <c r="L33" s="60">
        <f t="shared" si="28"/>
        <v>2.2473909782692396</v>
      </c>
      <c r="M33" s="60">
        <f t="shared" si="28"/>
        <v>5.5061078967596373</v>
      </c>
      <c r="N33" s="60">
        <f t="shared" si="28"/>
        <v>2.1660610720919277E-4</v>
      </c>
      <c r="O33" s="60">
        <f t="shared" si="28"/>
        <v>522.85397178544952</v>
      </c>
      <c r="P33" s="60">
        <f t="shared" ref="P33:P44" si="29">IFERROR(IF(AND(N33&lt;&gt;0,O33&lt;&gt;0),1/((1/N33)+(1/O33)),IF(AND(N33&lt;&gt;0,O33=0),1/((1/N33)),IF(AND(N33=0,O33&lt;&gt;0),1/((1/O33)),IF(AND(N33=0,O33=0),0)))),0)</f>
        <v>2.1660601747441256E-4</v>
      </c>
      <c r="Q33" s="60">
        <f t="shared" ref="Q33:T34" si="30">IFERROR(Q13/$B33,0)</f>
        <v>0.84060591950653607</v>
      </c>
      <c r="R33" s="60">
        <f t="shared" si="30"/>
        <v>0</v>
      </c>
      <c r="S33" s="60">
        <f t="shared" si="30"/>
        <v>8361160.4063275121</v>
      </c>
      <c r="T33" s="60">
        <f t="shared" si="30"/>
        <v>0.24979552830589286</v>
      </c>
      <c r="U33" s="60">
        <f t="shared" si="26"/>
        <v>0.1925709061972472</v>
      </c>
      <c r="V33" s="60">
        <f>IFERROR(V13/$B33,0)</f>
        <v>2.4553595982167407E-2</v>
      </c>
      <c r="W33" s="42"/>
    </row>
    <row r="34" spans="1:23" x14ac:dyDescent="0.25">
      <c r="A34" s="83" t="s">
        <v>1079</v>
      </c>
      <c r="B34" s="42">
        <v>1</v>
      </c>
      <c r="C34" s="60">
        <f t="shared" si="27"/>
        <v>54.227582317469952</v>
      </c>
      <c r="D34" s="60">
        <f t="shared" si="27"/>
        <v>552524.92482705298</v>
      </c>
      <c r="E34" s="60">
        <f t="shared" si="27"/>
        <v>0.1440551484617347</v>
      </c>
      <c r="F34" s="60">
        <f t="shared" si="27"/>
        <v>0.8597094217213771</v>
      </c>
      <c r="G34" s="60">
        <f t="shared" si="27"/>
        <v>9.270841173490571E-3</v>
      </c>
      <c r="H34" s="60">
        <f t="shared" si="24"/>
        <v>0.12310097909799222</v>
      </c>
      <c r="I34" s="60">
        <f t="shared" si="28"/>
        <v>0.1440551484617347</v>
      </c>
      <c r="J34" s="60">
        <f t="shared" si="28"/>
        <v>0.60729131214260723</v>
      </c>
      <c r="K34" s="60">
        <f t="shared" si="28"/>
        <v>0.22122754942337824</v>
      </c>
      <c r="L34" s="60">
        <f t="shared" si="28"/>
        <v>0.15224261465694849</v>
      </c>
      <c r="M34" s="60">
        <f t="shared" si="28"/>
        <v>0.61558970274331348</v>
      </c>
      <c r="N34" s="60">
        <f t="shared" si="28"/>
        <v>0.40646424476301307</v>
      </c>
      <c r="O34" s="60">
        <f t="shared" si="28"/>
        <v>46.992484194670354</v>
      </c>
      <c r="P34" s="60">
        <f t="shared" si="29"/>
        <v>0.40297865726138576</v>
      </c>
      <c r="Q34" s="60">
        <f t="shared" si="30"/>
        <v>8.5073370166926541</v>
      </c>
      <c r="R34" s="60">
        <f t="shared" si="30"/>
        <v>0</v>
      </c>
      <c r="S34" s="60">
        <f t="shared" si="30"/>
        <v>768181.61233134009</v>
      </c>
      <c r="T34" s="60">
        <f t="shared" si="30"/>
        <v>2.3017936217088857</v>
      </c>
      <c r="U34" s="60">
        <f t="shared" si="26"/>
        <v>1.8116246862698198</v>
      </c>
      <c r="V34" s="60">
        <f>IFERROR(V14/$B34,0)</f>
        <v>0.22727295454568183</v>
      </c>
      <c r="W34" s="42"/>
    </row>
    <row r="35" spans="1:23" x14ac:dyDescent="0.25">
      <c r="A35" s="83" t="s">
        <v>1080</v>
      </c>
      <c r="B35" s="42">
        <v>1</v>
      </c>
      <c r="C35" s="60">
        <f>IFERROR(C30/$B35,0)</f>
        <v>5.9436635791315586</v>
      </c>
      <c r="D35" s="60">
        <f>IFERROR(D30/$B35,0)</f>
        <v>298.29123392623904</v>
      </c>
      <c r="E35" s="60">
        <f>IFERROR(E30/$B35,0)</f>
        <v>162.74210532294492</v>
      </c>
      <c r="F35" s="60">
        <f>IFERROR(F30/$B35,0)</f>
        <v>0.10914799564498147</v>
      </c>
      <c r="G35" s="60">
        <f>IFERROR(G30/$B35,0)</f>
        <v>8.5631433739874723E-4</v>
      </c>
      <c r="H35" s="60">
        <f t="shared" si="24"/>
        <v>0.10707078505644391</v>
      </c>
      <c r="I35" s="60">
        <f t="shared" ref="I35:O35" si="31">IFERROR(I30/$B35,0)</f>
        <v>162.74210532294492</v>
      </c>
      <c r="J35" s="60">
        <f t="shared" si="31"/>
        <v>558.0514760229363</v>
      </c>
      <c r="K35" s="60">
        <f t="shared" si="31"/>
        <v>228.57458981013258</v>
      </c>
      <c r="L35" s="60">
        <f t="shared" si="31"/>
        <v>168.26815304189043</v>
      </c>
      <c r="M35" s="60">
        <f t="shared" si="31"/>
        <v>323.88869980939046</v>
      </c>
      <c r="N35" s="60">
        <f t="shared" si="31"/>
        <v>2.1943755959101223E-4</v>
      </c>
      <c r="O35" s="60">
        <f t="shared" si="31"/>
        <v>42778.961327900404</v>
      </c>
      <c r="P35" s="60">
        <f t="shared" si="29"/>
        <v>2.1943755846539254E-4</v>
      </c>
      <c r="Q35" s="60">
        <f>IFERROR(Q30/$B35,0)</f>
        <v>0.72794739421184573</v>
      </c>
      <c r="R35" s="60">
        <f>IFERROR(R30/$B35,0)</f>
        <v>0</v>
      </c>
      <c r="S35" s="60">
        <f>IFERROR(S30/$B35,0)</f>
        <v>686642781.97214758</v>
      </c>
      <c r="T35" s="60">
        <f>IFERROR(T30/$B35,0)</f>
        <v>0.21830119821469551</v>
      </c>
      <c r="U35" s="60">
        <f t="shared" si="26"/>
        <v>0.16793873156242634</v>
      </c>
      <c r="V35" s="60">
        <f>IFERROR(V30/$B35,0)</f>
        <v>2.0992387404601145E-2</v>
      </c>
      <c r="W35" s="42"/>
    </row>
    <row r="36" spans="1:23" x14ac:dyDescent="0.25">
      <c r="A36" s="83" t="s">
        <v>1081</v>
      </c>
      <c r="B36" s="42">
        <v>1</v>
      </c>
      <c r="C36" s="60">
        <f>IFERROR(C26/$B36,0)</f>
        <v>2.3203148203148203</v>
      </c>
      <c r="D36" s="60">
        <f>IFERROR(D26/$B36,0)</f>
        <v>48.345930922367131</v>
      </c>
      <c r="E36" s="60">
        <f>IFERROR(E26/$B36,0)</f>
        <v>0.51619761532121611</v>
      </c>
      <c r="F36" s="60">
        <f>IFERROR(F26/$B36,0)</f>
        <v>0.20309463442840414</v>
      </c>
      <c r="G36" s="60">
        <f>IFERROR(G26/$B36,0)</f>
        <v>2.8580172789614247E-4</v>
      </c>
      <c r="H36" s="60">
        <f t="shared" si="24"/>
        <v>0.13674810045693225</v>
      </c>
      <c r="I36" s="60">
        <f t="shared" ref="I36:O36" si="32">IFERROR(I26/$B36,0)</f>
        <v>0.51619761532121611</v>
      </c>
      <c r="J36" s="60">
        <f t="shared" si="32"/>
        <v>1.7111523159819315</v>
      </c>
      <c r="K36" s="60">
        <f t="shared" si="32"/>
        <v>0.67837058276299422</v>
      </c>
      <c r="L36" s="60">
        <f t="shared" si="32"/>
        <v>0.52163127442986035</v>
      </c>
      <c r="M36" s="60">
        <f t="shared" si="32"/>
        <v>1.6354775930969223</v>
      </c>
      <c r="N36" s="60">
        <f t="shared" si="32"/>
        <v>3.5565621416763637E-5</v>
      </c>
      <c r="O36" s="60">
        <f t="shared" si="32"/>
        <v>133.66344726188336</v>
      </c>
      <c r="P36" s="60">
        <f t="shared" si="29"/>
        <v>3.556561195334551E-5</v>
      </c>
      <c r="Q36" s="60">
        <f>IFERROR(Q26/$B36,0)</f>
        <v>0.2338109180084405</v>
      </c>
      <c r="R36" s="60">
        <f>IFERROR(R26/$B36,0)</f>
        <v>0</v>
      </c>
      <c r="S36" s="60">
        <f>IFERROR(S26/$B36,0)</f>
        <v>2148759.7547729798</v>
      </c>
      <c r="T36" s="60">
        <f>IFERROR(T26/$B36,0)</f>
        <v>7.7400919738818061E-2</v>
      </c>
      <c r="U36" s="60">
        <f t="shared" si="26"/>
        <v>5.8150678779044174E-2</v>
      </c>
      <c r="V36" s="60">
        <f>IFERROR(V26/$B36,0)</f>
        <v>7.0063764331280247E-3</v>
      </c>
      <c r="W36" s="42"/>
    </row>
    <row r="37" spans="1:23" x14ac:dyDescent="0.25">
      <c r="A37" s="83" t="s">
        <v>1082</v>
      </c>
      <c r="B37" s="42">
        <v>1</v>
      </c>
      <c r="C37" s="60">
        <f>IFERROR(C22/$B37,0)</f>
        <v>3.6841639895075011</v>
      </c>
      <c r="D37" s="60">
        <f>IFERROR(D22/$B37,0)</f>
        <v>322.76208479996166</v>
      </c>
      <c r="E37" s="60">
        <f>IFERROR(E22/$B37,0)</f>
        <v>18.950275744105827</v>
      </c>
      <c r="F37" s="60">
        <f>IFERROR(F22/$B37,0)</f>
        <v>2.3499974070188077E-2</v>
      </c>
      <c r="G37" s="60">
        <f>IFERROR(G22/$B37,0)</f>
        <v>5.4061290698426926E-4</v>
      </c>
      <c r="H37" s="60">
        <f t="shared" si="24"/>
        <v>2.3320602720212233E-2</v>
      </c>
      <c r="I37" s="60">
        <f t="shared" ref="I37:O37" si="33">IFERROR(I22/$B37,0)</f>
        <v>18.950275744105827</v>
      </c>
      <c r="J37" s="60">
        <f t="shared" si="33"/>
        <v>26.026770520397445</v>
      </c>
      <c r="K37" s="60">
        <f t="shared" si="33"/>
        <v>19.059604258014129</v>
      </c>
      <c r="L37" s="60">
        <f t="shared" si="33"/>
        <v>18.986578954343578</v>
      </c>
      <c r="M37" s="60">
        <f t="shared" si="33"/>
        <v>13.09246263430297</v>
      </c>
      <c r="N37" s="60">
        <f t="shared" si="33"/>
        <v>2.3743950931700761E-4</v>
      </c>
      <c r="O37" s="60">
        <f t="shared" si="33"/>
        <v>2174.1459459686093</v>
      </c>
      <c r="P37" s="60">
        <f t="shared" si="29"/>
        <v>2.374394833861291E-4</v>
      </c>
      <c r="Q37" s="60">
        <f>IFERROR(Q22/$B37,0)</f>
        <v>0.45702846109093226</v>
      </c>
      <c r="R37" s="60">
        <f>IFERROR(R22/$B37,0)</f>
        <v>0</v>
      </c>
      <c r="S37" s="60">
        <f>IFERROR(S22/$B37,0)</f>
        <v>33859244.620665126</v>
      </c>
      <c r="T37" s="60">
        <f>IFERROR(T22/$B37,0)</f>
        <v>0.12109089744212637</v>
      </c>
      <c r="U37" s="60">
        <f t="shared" si="26"/>
        <v>9.5727613228620501E-2</v>
      </c>
      <c r="V37" s="60">
        <f>IFERROR(V22/$B37,0)</f>
        <v>1.3253025301218071E-2</v>
      </c>
      <c r="W37" s="42"/>
    </row>
    <row r="38" spans="1:23" x14ac:dyDescent="0.25">
      <c r="A38" s="83" t="s">
        <v>1083</v>
      </c>
      <c r="B38" s="42">
        <v>1</v>
      </c>
      <c r="C38" s="60">
        <f>IFERROR(C2/$B38,0)</f>
        <v>1.8281268281268279</v>
      </c>
      <c r="D38" s="60">
        <f>IFERROR(D2/$B38,0)</f>
        <v>295.58652066524985</v>
      </c>
      <c r="E38" s="60">
        <f>IFERROR(E2/$B38,0)</f>
        <v>2.8076470861663871</v>
      </c>
      <c r="F38" s="60">
        <f>IFERROR(F2/$B38,0)</f>
        <v>0.17136365122218064</v>
      </c>
      <c r="G38" s="60">
        <f>IFERROR(G2/$B38,0)</f>
        <v>3.0565988610146028E-4</v>
      </c>
      <c r="H38" s="60">
        <f t="shared" si="24"/>
        <v>0.14832164085178534</v>
      </c>
      <c r="I38" s="60">
        <f t="shared" ref="I38:O38" si="34">IFERROR(I2/$B38,0)</f>
        <v>2.8076470861663871</v>
      </c>
      <c r="J38" s="60">
        <f t="shared" si="34"/>
        <v>10.023254666431377</v>
      </c>
      <c r="K38" s="60">
        <f t="shared" si="34"/>
        <v>3.8714821149091199</v>
      </c>
      <c r="L38" s="60">
        <f t="shared" si="34"/>
        <v>2.8811029692346941</v>
      </c>
      <c r="M38" s="60">
        <f t="shared" si="34"/>
        <v>9.6223244797741234</v>
      </c>
      <c r="N38" s="60">
        <f t="shared" si="34"/>
        <v>2.1744784078643056E-4</v>
      </c>
      <c r="O38" s="60">
        <f t="shared" si="34"/>
        <v>778.94571306811849</v>
      </c>
      <c r="P38" s="60">
        <f t="shared" si="29"/>
        <v>2.1744778008444645E-4</v>
      </c>
      <c r="Q38" s="60">
        <f>IFERROR(Q2/$B38,0)</f>
        <v>0.27636358997475158</v>
      </c>
      <c r="R38" s="60">
        <f>IFERROR(R2/$B38,0)</f>
        <v>0</v>
      </c>
      <c r="S38" s="60">
        <f>IFERROR(S2/$B38,0)</f>
        <v>12580251.583727166</v>
      </c>
      <c r="T38" s="60">
        <f>IFERROR(T2/$B38,0)</f>
        <v>8.2478326493249141E-2</v>
      </c>
      <c r="U38" s="60">
        <f t="shared" si="26"/>
        <v>6.3521024840261772E-2</v>
      </c>
      <c r="V38" s="60">
        <f>IFERROR(V2/$B38,0)</f>
        <v>7.4931955040946855E-3</v>
      </c>
      <c r="W38" s="42"/>
    </row>
    <row r="39" spans="1:23" x14ac:dyDescent="0.25">
      <c r="A39" s="83" t="s">
        <v>1084</v>
      </c>
      <c r="B39" s="42">
        <v>1</v>
      </c>
      <c r="C39" s="60">
        <f>IFERROR(C11/$B39,0)</f>
        <v>0</v>
      </c>
      <c r="D39" s="60">
        <f>IFERROR(D11/$B39,0)</f>
        <v>0</v>
      </c>
      <c r="E39" s="60">
        <f>IFERROR(E11/$B39,0)</f>
        <v>1.103674188660061</v>
      </c>
      <c r="F39" s="60">
        <f>IFERROR(F11/$B39,0)</f>
        <v>0</v>
      </c>
      <c r="G39" s="60">
        <f>IFERROR(G11/$B39,0)</f>
        <v>0</v>
      </c>
      <c r="H39" s="60">
        <f t="shared" si="24"/>
        <v>1.103674188660061</v>
      </c>
      <c r="I39" s="60">
        <f t="shared" ref="I39:O39" si="35">IFERROR(I11/$B39,0)</f>
        <v>1.103674188660061</v>
      </c>
      <c r="J39" s="60">
        <f t="shared" si="35"/>
        <v>4.5214389663172208</v>
      </c>
      <c r="K39" s="60">
        <f t="shared" si="35"/>
        <v>1.6387225883213208</v>
      </c>
      <c r="L39" s="60">
        <f t="shared" si="35"/>
        <v>1.1457796779384217</v>
      </c>
      <c r="M39" s="60">
        <f t="shared" si="35"/>
        <v>4.5884232472996977</v>
      </c>
      <c r="N39" s="60">
        <f t="shared" si="35"/>
        <v>0</v>
      </c>
      <c r="O39" s="60">
        <f t="shared" si="35"/>
        <v>348.039573924053</v>
      </c>
      <c r="P39" s="60">
        <f t="shared" si="29"/>
        <v>348.039573924053</v>
      </c>
      <c r="Q39" s="60">
        <f>IFERROR(Q11/$B39,0)</f>
        <v>0</v>
      </c>
      <c r="R39" s="60">
        <f>IFERROR(R11/$B39,0)</f>
        <v>0</v>
      </c>
      <c r="S39" s="60">
        <f>IFERROR(S11/$B39,0)</f>
        <v>5664011.8881573454</v>
      </c>
      <c r="T39" s="60">
        <f>IFERROR(T11/$B39,0)</f>
        <v>0</v>
      </c>
      <c r="U39" s="60">
        <f t="shared" si="26"/>
        <v>5664011.8881573454</v>
      </c>
      <c r="V39" s="60">
        <f>IFERROR(V11/$B39,0)</f>
        <v>0</v>
      </c>
      <c r="W39" s="42"/>
    </row>
    <row r="40" spans="1:23" x14ac:dyDescent="0.25">
      <c r="A40" s="83" t="s">
        <v>1085</v>
      </c>
      <c r="B40" s="42">
        <v>1</v>
      </c>
      <c r="C40" s="60">
        <f>IFERROR(C4/$B40,0)</f>
        <v>0</v>
      </c>
      <c r="D40" s="60">
        <f>IFERROR(D4/$B40,0)</f>
        <v>0</v>
      </c>
      <c r="E40" s="60">
        <f>IFERROR(E4/$B40,0)</f>
        <v>123.5784814734083</v>
      </c>
      <c r="F40" s="60">
        <f>IFERROR(F4/$B40,0)</f>
        <v>0</v>
      </c>
      <c r="G40" s="60">
        <f>IFERROR(G4/$B40,0)</f>
        <v>0</v>
      </c>
      <c r="H40" s="60">
        <f t="shared" si="24"/>
        <v>123.57848147340829</v>
      </c>
      <c r="I40" s="60">
        <f t="shared" ref="I40:O40" si="36">IFERROR(I4/$B40,0)</f>
        <v>123.5784814734083</v>
      </c>
      <c r="J40" s="60">
        <f t="shared" si="36"/>
        <v>533.99753309091307</v>
      </c>
      <c r="K40" s="60">
        <f t="shared" si="36"/>
        <v>193.57410574545597</v>
      </c>
      <c r="L40" s="60">
        <f t="shared" si="36"/>
        <v>131.79513582669344</v>
      </c>
      <c r="M40" s="60">
        <f t="shared" si="36"/>
        <v>544.56012165754657</v>
      </c>
      <c r="N40" s="60">
        <f t="shared" si="36"/>
        <v>0</v>
      </c>
      <c r="O40" s="60">
        <f t="shared" si="36"/>
        <v>41090.318117588547</v>
      </c>
      <c r="P40" s="60">
        <f t="shared" si="29"/>
        <v>41090.318117588547</v>
      </c>
      <c r="Q40" s="60">
        <f>IFERROR(Q4/$B40,0)</f>
        <v>0</v>
      </c>
      <c r="R40" s="60">
        <f>IFERROR(R4/$B40,0)</f>
        <v>0</v>
      </c>
      <c r="S40" s="60">
        <f>IFERROR(S4/$B40,0)</f>
        <v>671634196.57384932</v>
      </c>
      <c r="T40" s="60">
        <f>IFERROR(T4/$B40,0)</f>
        <v>0</v>
      </c>
      <c r="U40" s="60">
        <f t="shared" si="26"/>
        <v>671634196.57384932</v>
      </c>
      <c r="V40" s="60">
        <f>IFERROR(V4/$B40,0)</f>
        <v>0</v>
      </c>
      <c r="W40" s="42"/>
    </row>
    <row r="41" spans="1:23" x14ac:dyDescent="0.25">
      <c r="A41" s="83" t="s">
        <v>1086</v>
      </c>
      <c r="B41" s="84">
        <v>0.99987999999999999</v>
      </c>
      <c r="C41" s="60">
        <f>IFERROR(C8/$B41,0)</f>
        <v>749.50839228888003</v>
      </c>
      <c r="D41" s="60">
        <f>IFERROR(D8/$B41,0)</f>
        <v>114110.09018760895</v>
      </c>
      <c r="E41" s="60">
        <f>IFERROR(E8/$B41,0)</f>
        <v>0.21316524034856976</v>
      </c>
      <c r="F41" s="60">
        <f>IFERROR(F8/$B41,0)</f>
        <v>1.1476108188698324</v>
      </c>
      <c r="G41" s="60">
        <f>IFERROR(G8/$B41,0)</f>
        <v>0.1156604547176959</v>
      </c>
      <c r="H41" s="60">
        <f t="shared" si="24"/>
        <v>0.17972956494092338</v>
      </c>
      <c r="I41" s="60">
        <f t="shared" ref="I41:O41" si="37">IFERROR(I8/$B41,0)</f>
        <v>0.21316524034856976</v>
      </c>
      <c r="J41" s="60">
        <f t="shared" si="37"/>
        <v>0.98335155517941397</v>
      </c>
      <c r="K41" s="60">
        <f t="shared" si="37"/>
        <v>0.35199515895626748</v>
      </c>
      <c r="L41" s="60">
        <f t="shared" si="37"/>
        <v>0.23268036798611486</v>
      </c>
      <c r="M41" s="60">
        <f t="shared" si="37"/>
        <v>0.96234792972897998</v>
      </c>
      <c r="N41" s="60">
        <f t="shared" si="37"/>
        <v>8.394493993635456E-2</v>
      </c>
      <c r="O41" s="60">
        <f t="shared" si="37"/>
        <v>75.341290837146133</v>
      </c>
      <c r="P41" s="60">
        <f t="shared" si="29"/>
        <v>8.3851512943806009E-2</v>
      </c>
      <c r="Q41" s="60">
        <f>IFERROR(Q8/$B41,0)</f>
        <v>103.09397308487095</v>
      </c>
      <c r="R41" s="60">
        <f>IFERROR(R8/$B41,0)</f>
        <v>0</v>
      </c>
      <c r="S41" s="60">
        <f>IFERROR(S8/$B41,0)</f>
        <v>1241654.6346472125</v>
      </c>
      <c r="T41" s="60">
        <f>IFERROR(T8/$B41,0)</f>
        <v>15.964536073588581</v>
      </c>
      <c r="U41" s="60">
        <f t="shared" si="26"/>
        <v>13.82370013046976</v>
      </c>
      <c r="V41" s="60">
        <f>IFERROR(V8/$B41,0)</f>
        <v>2.8353946288015894</v>
      </c>
      <c r="W41" s="42"/>
    </row>
    <row r="42" spans="1:23" x14ac:dyDescent="0.25">
      <c r="A42" s="83" t="s">
        <v>1087</v>
      </c>
      <c r="B42" s="42">
        <v>0.97898250799999997</v>
      </c>
      <c r="C42" s="60">
        <f>IFERROR(C19/$B42,0)</f>
        <v>0</v>
      </c>
      <c r="D42" s="60">
        <f>IFERROR(D19/$B42,0)</f>
        <v>0</v>
      </c>
      <c r="E42" s="60">
        <f>IFERROR(E19/$B42,0)</f>
        <v>684.0385458935325</v>
      </c>
      <c r="F42" s="60">
        <f>IFERROR(F19/$B42,0)</f>
        <v>0</v>
      </c>
      <c r="G42" s="60">
        <f>IFERROR(G19/$B42,0)</f>
        <v>0</v>
      </c>
      <c r="H42" s="60">
        <f t="shared" si="24"/>
        <v>684.0385458935325</v>
      </c>
      <c r="I42" s="60">
        <f t="shared" ref="I42:O42" si="38">IFERROR(I19/$B42,0)</f>
        <v>684.0385458935325</v>
      </c>
      <c r="J42" s="60">
        <f t="shared" si="38"/>
        <v>3420.1927294676625</v>
      </c>
      <c r="K42" s="60">
        <f t="shared" si="38"/>
        <v>1214.4638290816074</v>
      </c>
      <c r="L42" s="60">
        <f t="shared" si="38"/>
        <v>778.75157532494461</v>
      </c>
      <c r="M42" s="60">
        <f t="shared" si="38"/>
        <v>3515.1980830639859</v>
      </c>
      <c r="N42" s="60">
        <f t="shared" si="38"/>
        <v>0</v>
      </c>
      <c r="O42" s="60">
        <f t="shared" si="38"/>
        <v>254268.03247095182</v>
      </c>
      <c r="P42" s="60">
        <f t="shared" si="29"/>
        <v>254268.03247095182</v>
      </c>
      <c r="Q42" s="60">
        <f>IFERROR(Q19/$B42,0)</f>
        <v>0</v>
      </c>
      <c r="R42" s="60">
        <f>IFERROR(R19/$B42,0)</f>
        <v>0</v>
      </c>
      <c r="S42" s="60">
        <f>IFERROR(S19/$B42,0)</f>
        <v>4198921637.1349845</v>
      </c>
      <c r="T42" s="60">
        <f>IFERROR(T19/$B42,0)</f>
        <v>0</v>
      </c>
      <c r="U42" s="60">
        <f t="shared" si="26"/>
        <v>4198921637.1349845</v>
      </c>
      <c r="V42" s="60">
        <f>IFERROR(V19/$B42,0)</f>
        <v>0</v>
      </c>
      <c r="W42" s="42"/>
    </row>
    <row r="43" spans="1:23" x14ac:dyDescent="0.25">
      <c r="A43" s="83" t="s">
        <v>1088</v>
      </c>
      <c r="B43" s="42">
        <v>2.0897492E-2</v>
      </c>
      <c r="C43" s="60">
        <f>IFERROR(C28/$B43,0)</f>
        <v>0</v>
      </c>
      <c r="D43" s="60">
        <f>IFERROR(D28/$B43,0)</f>
        <v>0</v>
      </c>
      <c r="E43" s="60">
        <f>IFERROR(E28/$B43,0)</f>
        <v>0.53650131396049339</v>
      </c>
      <c r="F43" s="60">
        <f>IFERROR(F28/$B43,0)</f>
        <v>0</v>
      </c>
      <c r="G43" s="60">
        <f>IFERROR(G28/$B43,0)</f>
        <v>0</v>
      </c>
      <c r="H43" s="60">
        <f t="shared" si="24"/>
        <v>0.53650131396049339</v>
      </c>
      <c r="I43" s="60">
        <f t="shared" ref="I43:O43" si="39">IFERROR(I28/$B43,0)</f>
        <v>0.53650131396049339</v>
      </c>
      <c r="J43" s="60">
        <f t="shared" si="39"/>
        <v>2.9060487839526727</v>
      </c>
      <c r="K43" s="60">
        <f t="shared" si="39"/>
        <v>1.0116620340040019</v>
      </c>
      <c r="L43" s="60">
        <f t="shared" si="39"/>
        <v>0.63574686533656322</v>
      </c>
      <c r="M43" s="60">
        <f t="shared" si="39"/>
        <v>2.9828123367363282</v>
      </c>
      <c r="N43" s="60">
        <f t="shared" si="39"/>
        <v>0</v>
      </c>
      <c r="O43" s="60">
        <f t="shared" si="39"/>
        <v>200.46463193919158</v>
      </c>
      <c r="P43" s="60">
        <f t="shared" si="29"/>
        <v>200.46463193919161</v>
      </c>
      <c r="Q43" s="60">
        <f>IFERROR(Q28/$B43,0)</f>
        <v>0</v>
      </c>
      <c r="R43" s="60">
        <f>IFERROR(R28/$B43,0)</f>
        <v>0</v>
      </c>
      <c r="S43" s="60">
        <f>IFERROR(S28/$B43,0)</f>
        <v>3304225.8166247518</v>
      </c>
      <c r="T43" s="60">
        <f>IFERROR(T28/$B43,0)</f>
        <v>0</v>
      </c>
      <c r="U43" s="60">
        <f t="shared" si="26"/>
        <v>3304225.8166247518</v>
      </c>
      <c r="V43" s="60">
        <f>IFERROR(V28/$B43,0)</f>
        <v>0</v>
      </c>
      <c r="W43" s="42"/>
    </row>
    <row r="44" spans="1:23" x14ac:dyDescent="0.25">
      <c r="A44" s="83" t="s">
        <v>1089</v>
      </c>
      <c r="B44" s="42">
        <v>0.99987999999999999</v>
      </c>
      <c r="C44" s="60">
        <f>IFERROR(C15/$B44,0)</f>
        <v>1428.0574101598779</v>
      </c>
      <c r="D44" s="60">
        <f>IFERROR(D15/$B44,0)</f>
        <v>40608573.020501412</v>
      </c>
      <c r="E44" s="60">
        <f>IFERROR(E15/$B44,0)</f>
        <v>239.42472647846603</v>
      </c>
      <c r="F44" s="60">
        <f>IFERROR(F15/$B44,0)</f>
        <v>13.40520140726627</v>
      </c>
      <c r="G44" s="60">
        <f>IFERROR(G15/$B44,0)</f>
        <v>0.2381966901829406</v>
      </c>
      <c r="H44" s="60">
        <f t="shared" si="24"/>
        <v>12.582594662985684</v>
      </c>
      <c r="I44" s="60">
        <f t="shared" ref="I44:O44" si="40">IFERROR(I15/$B44,0)</f>
        <v>239.42472647846603</v>
      </c>
      <c r="J44" s="60">
        <f t="shared" si="40"/>
        <v>697.94280215522406</v>
      </c>
      <c r="K44" s="60">
        <f t="shared" si="40"/>
        <v>308.67537606528691</v>
      </c>
      <c r="L44" s="60">
        <f t="shared" si="40"/>
        <v>243.1244463136741</v>
      </c>
      <c r="M44" s="60">
        <f t="shared" si="40"/>
        <v>227.55242599193051</v>
      </c>
      <c r="N44" s="60">
        <f t="shared" si="40"/>
        <v>29.873644105464255</v>
      </c>
      <c r="O44" s="60">
        <f t="shared" si="40"/>
        <v>23531.252480642906</v>
      </c>
      <c r="P44" s="60">
        <f t="shared" si="29"/>
        <v>29.835766687915751</v>
      </c>
      <c r="Q44" s="60">
        <f>IFERROR(Q15/$B44,0)</f>
        <v>216.95659466401412</v>
      </c>
      <c r="R44" s="60">
        <f>IFERROR(R15/$B44,0)</f>
        <v>0</v>
      </c>
      <c r="S44" s="60">
        <f>IFERROR(S15/$B44,0)</f>
        <v>617707582.06067348</v>
      </c>
      <c r="T44" s="60">
        <f>IFERROR(T15/$B44,0)</f>
        <v>55.687802382425218</v>
      </c>
      <c r="U44" s="60">
        <f t="shared" si="26"/>
        <v>44.313527926343802</v>
      </c>
      <c r="V44" s="60">
        <f>IFERROR(V15/$B44,0)</f>
        <v>5.8393477493366079</v>
      </c>
      <c r="W44" s="42"/>
    </row>
    <row r="45" spans="1:23" x14ac:dyDescent="0.25">
      <c r="A45" s="185" t="s">
        <v>20</v>
      </c>
      <c r="B45" s="57" t="s">
        <v>1259</v>
      </c>
      <c r="C45" s="58">
        <f>IFERROR(IF(AND(C46&lt;&gt;0,C47&lt;&gt;0),1/SUM(1/C46,1/C47),IF(AND(C46&lt;&gt;0,C47=0),1/(1/C46),IF(AND(C46=0,C47&lt;&gt;0),1/(1/C47),IF(AND(C46=0,C47=0),".")))),".")</f>
        <v>20.983716635890548</v>
      </c>
      <c r="D45" s="58">
        <f t="shared" ref="D45:G45" si="41">IFERROR(IF(AND(D46&lt;&gt;0,D47&lt;&gt;0),1/SUM(1/D46,1/D47),IF(AND(D46&lt;&gt;0,D47=0),1/(1/D46),IF(AND(D46=0,D47&lt;&gt;0),1/(1/D47),IF(AND(D46=0,D47=0),".")))),".")</f>
        <v>75063.419063675305</v>
      </c>
      <c r="E45" s="58">
        <f t="shared" si="41"/>
        <v>4.5638082629186782E-2</v>
      </c>
      <c r="F45" s="58">
        <f t="shared" si="41"/>
        <v>9.042817629041508E-2</v>
      </c>
      <c r="G45" s="58">
        <f t="shared" si="41"/>
        <v>2.2213302613710074E-3</v>
      </c>
      <c r="H45" s="59">
        <f>IFERROR(IF(AND(H46&lt;&gt;0,H47&lt;&gt;0),1/SUM(1/H46,1/H47),IF(AND(H46&lt;&gt;0,H47=0),1/(1/H46),IF(AND(H46=0,H47&lt;&gt;0),1/(1/H47),IF(AND(H46=0,H47=0),".")))),".")</f>
        <v>3.0286790422659672E-2</v>
      </c>
      <c r="I45" s="58">
        <f t="shared" ref="I45:Q45" si="42">IFERROR(IF(AND(I46&lt;&gt;0,I47&lt;&gt;0),1/SUM(1/I46,1/I47),IF(AND(I46&lt;&gt;0,I47=0),1/(1/I46),IF(AND(I46=0,I47&lt;&gt;0),1/(1/I47),IF(AND(I46=0,I47=0),".")))),".")</f>
        <v>4.5638082629186782E-2</v>
      </c>
      <c r="J45" s="58">
        <f t="shared" si="42"/>
        <v>0.22387238578447849</v>
      </c>
      <c r="K45" s="58">
        <f t="shared" si="42"/>
        <v>7.9394788611210645E-2</v>
      </c>
      <c r="L45" s="58">
        <f t="shared" si="42"/>
        <v>5.1202580507037306E-2</v>
      </c>
      <c r="M45" s="58">
        <f t="shared" si="42"/>
        <v>0.22848742628342236</v>
      </c>
      <c r="N45" s="58">
        <f t="shared" si="42"/>
        <v>5.5220306936554081E-2</v>
      </c>
      <c r="O45" s="58">
        <f t="shared" si="42"/>
        <v>16.835603081375297</v>
      </c>
      <c r="P45" s="59">
        <f t="shared" si="42"/>
        <v>5.5039778005070664E-2</v>
      </c>
      <c r="Q45" s="58">
        <f t="shared" si="42"/>
        <v>1.7138567290909963</v>
      </c>
      <c r="R45" s="58" t="str">
        <f>IFERROR(IF(AND(R46&lt;&gt;0,R47&lt;&gt;0),1/SUM(1/R46,1/R47),IF(AND(R46&lt;&gt;0,R47=0),1/(1/R46),IF(AND(R46=0,R47&lt;&gt;0),1/(1/R47),IF(AND(R46=0,R47=0),".")))),".")</f>
        <v>.</v>
      </c>
      <c r="S45" s="58">
        <f t="shared" ref="S45:V45" si="43">IFERROR(IF(AND(S46&lt;&gt;0,S47&lt;&gt;0),1/SUM(1/S46,1/S47),IF(AND(S46&lt;&gt;0,S47=0),1/(1/S46),IF(AND(S46=0,S47&lt;&gt;0),1/(1/S47),IF(AND(S46=0,S47=0),".")))),".")</f>
        <v>278087.802780036</v>
      </c>
      <c r="T45" s="58">
        <f t="shared" si="43"/>
        <v>0.49141463965879956</v>
      </c>
      <c r="U45" s="59">
        <f t="shared" si="43"/>
        <v>0.3819090667213742</v>
      </c>
      <c r="V45" s="59">
        <f t="shared" si="43"/>
        <v>5.4455500000054446E-2</v>
      </c>
      <c r="W45" s="42"/>
    </row>
    <row r="46" spans="1:23" x14ac:dyDescent="0.25">
      <c r="A46" s="83" t="s">
        <v>1101</v>
      </c>
      <c r="B46" s="42">
        <v>1</v>
      </c>
      <c r="C46" s="60">
        <f>IFERROR(C10/$B46,0)</f>
        <v>20.983716635890548</v>
      </c>
      <c r="D46" s="60">
        <f>IFERROR(D10/$B46,0)</f>
        <v>75063.419063675305</v>
      </c>
      <c r="E46" s="60">
        <f>IFERROR(E10/$B46,0)</f>
        <v>209.53476139888679</v>
      </c>
      <c r="F46" s="60">
        <f>IFERROR(F10/$B46,0)</f>
        <v>9.042817629041508E-2</v>
      </c>
      <c r="G46" s="60">
        <f>IFERROR(G10/$B46,0)</f>
        <v>2.2213302613710074E-3</v>
      </c>
      <c r="H46" s="60">
        <f>(IF(AND(C46&lt;&gt;0,D46&lt;&gt;0,E46&lt;&gt;0,F46&lt;&gt;0),1/((1/C46)+(1/D46)+(1/E46)+(1/F46)),IF(AND(C46&lt;&gt;0,D46&lt;&gt;0,E46&lt;&gt;0,F46=0), 1/((1/C46)+(1/D46)+(1/E46)),IF(AND(C46&lt;&gt;0,D46&lt;&gt;0,E46=0,F46&lt;&gt;0),1/((1/C46)+(1/D46)+(1/F46)),IF(AND(C46&lt;&gt;0,D46=0,E46&lt;&gt;0,F46&lt;&gt;0),1/((1/C46)+(1/E46)+(1/F46)),IF(AND(C46=0,D46&lt;&gt;0,E46&lt;&gt;0,F46&lt;&gt;0),1/((1/D46)+(1/E46)+(1/F46)),IF(AND(C46&lt;&gt;0,D46&lt;&gt;0,E46=0,F46=0),1/((1/C46)+(1/D46)),IF(AND(C46&lt;&gt;0,D46=0,E46&lt;&gt;0,F46=0),1/((1/C46)+(1/E46)),IF(AND(C46&lt;&gt;0,D46=0,E46=0,F46&lt;&gt;0),1/((1/C46)+(1/F46)),IF(AND(C46=0,D46=0,E46&lt;&gt;0,F46&lt;&gt;0),1/((1/E46)+(1/F46)),IF(AND(C46=0,D46&lt;&gt;0,E46=0,F46&lt;&gt;0),1/((1/D46)+(1/F46)),IF(AND(C46=0,D46&lt;&gt;0,E46&lt;&gt;0,F46=0),1/((1/D46)+(1/E46)),IF(AND(C46&lt;&gt;0,D46=0,E46=0,F46=0),1/((1/C46)),IF(AND(C46=0,D46&lt;&gt;0,E46=0,F46=0),1/((1/D46)),IF(AND(C46=0,D46=0,E46&lt;&gt;0,F46=0),1/((1/E46)),IF(AND(C46=0,D46=0,E46=0,F46&lt;&gt;0),1/((1/F46)),IF(AND(C46=0,D46=0,E46=0,F46=0),0)))))))))))))))))</f>
        <v>9.0001370322821919E-2</v>
      </c>
      <c r="I46" s="60">
        <f t="shared" ref="I46:O46" si="44">IFERROR(I10/$B46,0)</f>
        <v>209.53476139888679</v>
      </c>
      <c r="J46" s="60">
        <f t="shared" si="44"/>
        <v>601.39527998588267</v>
      </c>
      <c r="K46" s="60">
        <f t="shared" si="44"/>
        <v>272.87979664557673</v>
      </c>
      <c r="L46" s="60">
        <f t="shared" si="44"/>
        <v>213.59901323636527</v>
      </c>
      <c r="M46" s="60">
        <f t="shared" si="44"/>
        <v>209.09270494023943</v>
      </c>
      <c r="N46" s="60">
        <f t="shared" si="44"/>
        <v>5.5220306936554081E-2</v>
      </c>
      <c r="O46" s="60">
        <f t="shared" si="44"/>
        <v>24713.31363043455</v>
      </c>
      <c r="P46" s="60">
        <f>IFERROR(IF(AND(N46&lt;&gt;0,O46&lt;&gt;0),1/((1/N46)+(1/O46)),IF(AND(N46&lt;&gt;0,O46=0),1/((1/N46)),IF(AND(N46=0,O46&lt;&gt;0),1/((1/O46)),IF(AND(N46=0,O46=0),0)))),0)</f>
        <v>5.5220183550611986E-2</v>
      </c>
      <c r="Q46" s="60">
        <f>IFERROR(Q10/$B46,0)</f>
        <v>1.7138567290909961</v>
      </c>
      <c r="R46" s="60">
        <f>IFERROR(R10/$B46,0)</f>
        <v>0</v>
      </c>
      <c r="S46" s="60">
        <f>IFERROR(S10/$B46,0)</f>
        <v>640151343.6094501</v>
      </c>
      <c r="T46" s="60">
        <f>IFERROR(T10/$B46,0)</f>
        <v>0.49141463965879956</v>
      </c>
      <c r="U46" s="60">
        <f>(IF(AND(Q46&lt;&gt;0,R46&lt;&gt;0,S46&lt;&gt;0,T46&lt;&gt;0),1/((1/Q46)+(1/R46)+(1/S46)+(1/T46)),IF(AND(Q46&lt;&gt;0,R46&lt;&gt;0,S46&lt;&gt;0,T46=0), 1/((1/Q46)+(1/R46)+(1/S46)),IF(AND(Q46&lt;&gt;0,R46&lt;&gt;0,S46=0,T46&lt;&gt;0),1/((1/Q46)+(1/R46)+(1/T46)),IF(AND(Q46&lt;&gt;0,R46=0,S46&lt;&gt;0,T46&lt;&gt;0),1/((1/Q46)+(1/S46)+(1/T46)),IF(AND(Q46=0,R46&lt;&gt;0,S46&lt;&gt;0,T46&lt;&gt;0),1/((1/R46)+(1/S46)+(1/T46)),IF(AND(Q46&lt;&gt;0,R46&lt;&gt;0,S46=0,T46=0),1/((1/Q46)+(1/R46)),IF(AND(Q46&lt;&gt;0,R46=0,S46&lt;&gt;0,T46=0),1/((1/Q46)+(1/S46)),IF(AND(Q46&lt;&gt;0,R46=0,S46=0,T46&lt;&gt;0),1/((1/Q46)+(1/T46)),IF(AND(Q46=0,R46=0,S46&lt;&gt;0,T46&lt;&gt;0),1/((1/S46)+(1/T46)),IF(AND(Q46=0,R46&lt;&gt;0,S46=0,T46&lt;&gt;0),1/((1/R46)+(1/T46)),IF(AND(Q46=0,R46&lt;&gt;0,S46&lt;&gt;0,T46=0),1/((1/R46)+(1/S46)),IF(AND(Q46&lt;&gt;0,R46=0,S46=0,T46=0),1/((1/Q46)),IF(AND(Q46=0,R46&lt;&gt;0,S46=0,T46=0),1/((1/R46)),IF(AND(Q46=0,R46=0,S46&lt;&gt;0,T46=0),1/((1/S46)),IF(AND(Q46=0,R46=0,S46=0,T46&lt;&gt;0),1/((1/T46)),IF(AND(Q46=0,R46=0,S46=0,T46=0),0)))))))))))))))))</f>
        <v>0.38190959098519783</v>
      </c>
      <c r="V46" s="60">
        <f>IFERROR(V10/$B46,0)</f>
        <v>5.4455500000054453E-2</v>
      </c>
      <c r="W46" s="42"/>
    </row>
    <row r="47" spans="1:23" x14ac:dyDescent="0.25">
      <c r="A47" s="83" t="s">
        <v>1075</v>
      </c>
      <c r="B47" s="85">
        <v>0.94399</v>
      </c>
      <c r="C47" s="60">
        <f>IFERROR(C6/$B$47,0)</f>
        <v>0</v>
      </c>
      <c r="D47" s="60">
        <f>IFERROR(D6/$B$47,0)</f>
        <v>0</v>
      </c>
      <c r="E47" s="60">
        <f>IFERROR(E6/$B$47,0)</f>
        <v>4.5648025076570668E-2</v>
      </c>
      <c r="F47" s="60">
        <f>IFERROR(F6/$B$47,0)</f>
        <v>0</v>
      </c>
      <c r="G47" s="60">
        <f>IFERROR(G6/$B$47,0)</f>
        <v>0</v>
      </c>
      <c r="H47" s="60">
        <f>(IF(AND(C47&lt;&gt;0,D47&lt;&gt;0,E47&lt;&gt;0,F47&lt;&gt;0),1/((1/C47)+(1/D47)+(1/E47)+(1/F47)),IF(AND(C47&lt;&gt;0,D47&lt;&gt;0,E47&lt;&gt;0,F47=0), 1/((1/C47)+(1/D47)+(1/E47)),IF(AND(C47&lt;&gt;0,D47&lt;&gt;0,E47=0,F47&lt;&gt;0),1/((1/C47)+(1/D47)+(1/F47)),IF(AND(C47&lt;&gt;0,D47=0,E47&lt;&gt;0,F47&lt;&gt;0),1/((1/C47)+(1/E47)+(1/F47)),IF(AND(C47=0,D47&lt;&gt;0,E47&lt;&gt;0,F47&lt;&gt;0),1/((1/D47)+(1/E47)+(1/F47)),IF(AND(C47&lt;&gt;0,D47&lt;&gt;0,E47=0,F47=0),1/((1/C47)+(1/D47)),IF(AND(C47&lt;&gt;0,D47=0,E47&lt;&gt;0,F47=0),1/((1/C47)+(1/E47)),IF(AND(C47&lt;&gt;0,D47=0,E47=0,F47&lt;&gt;0),1/((1/C47)+(1/F47)),IF(AND(C47=0,D47=0,E47&lt;&gt;0,F47&lt;&gt;0),1/((1/E47)+(1/F47)),IF(AND(C47=0,D47&lt;&gt;0,E47=0,F47&lt;&gt;0),1/((1/D47)+(1/F47)),IF(AND(C47=0,D47&lt;&gt;0,E47&lt;&gt;0,F47=0),1/((1/D47)+(1/E47)),IF(AND(C47&lt;&gt;0,D47=0,E47=0,F47=0),1/((1/C47)),IF(AND(C47=0,D47&lt;&gt;0,E47=0,F47=0),1/((1/D47)),IF(AND(C47=0,D47=0,E47&lt;&gt;0,F47=0),1/((1/E47)),IF(AND(C47=0,D47=0,E47=0,F47&lt;&gt;0),1/((1/F47)),IF(AND(C47=0,D47=0,E47=0,F47=0),0)))))))))))))))))</f>
        <v>4.5648025076570668E-2</v>
      </c>
      <c r="I47" s="60">
        <f t="shared" ref="I47:O47" si="45">IFERROR(I6/$B$47,0)</f>
        <v>4.5648025076570668E-2</v>
      </c>
      <c r="J47" s="60">
        <f t="shared" si="45"/>
        <v>0.22395575442856772</v>
      </c>
      <c r="K47" s="60">
        <f t="shared" si="45"/>
        <v>7.9417895367709948E-2</v>
      </c>
      <c r="L47" s="60">
        <f t="shared" si="45"/>
        <v>5.1214857402981727E-2</v>
      </c>
      <c r="M47" s="60">
        <f t="shared" si="45"/>
        <v>0.22873738055797938</v>
      </c>
      <c r="N47" s="60">
        <f t="shared" si="45"/>
        <v>0</v>
      </c>
      <c r="O47" s="60">
        <f t="shared" si="45"/>
        <v>16.84707992154658</v>
      </c>
      <c r="P47" s="60">
        <f>IFERROR(IF(AND(N47&lt;&gt;0,O47&lt;&gt;0),1/((1/N47)+(1/O47)),IF(AND(N47&lt;&gt;0,O47=0),1/((1/N47)),IF(AND(N47=0,O47&lt;&gt;0),1/((1/O47)),IF(AND(N47=0,O47=0),0)))),0)</f>
        <v>16.84707992154658</v>
      </c>
      <c r="Q47" s="60">
        <f>IFERROR(Q6/$B$47,0)</f>
        <v>0</v>
      </c>
      <c r="R47" s="60">
        <f>IFERROR(R6/$B$47,0)</f>
        <v>0</v>
      </c>
      <c r="S47" s="60">
        <f>IFERROR(S6/$B$47,0)</f>
        <v>278208.65925489762</v>
      </c>
      <c r="T47" s="60">
        <f>IFERROR(T6/$B$47,0)</f>
        <v>0</v>
      </c>
      <c r="U47" s="60">
        <f>(IF(AND(Q47&lt;&gt;0,R47&lt;&gt;0,S47&lt;&gt;0,T47&lt;&gt;0),1/((1/Q47)+(1/R47)+(1/S47)+(1/T47)),IF(AND(Q47&lt;&gt;0,R47&lt;&gt;0,S47&lt;&gt;0,T47=0), 1/((1/Q47)+(1/R47)+(1/S47)),IF(AND(Q47&lt;&gt;0,R47&lt;&gt;0,S47=0,T47&lt;&gt;0),1/((1/Q47)+(1/R47)+(1/T47)),IF(AND(Q47&lt;&gt;0,R47=0,S47&lt;&gt;0,T47&lt;&gt;0),1/((1/Q47)+(1/S47)+(1/T47)),IF(AND(Q47=0,R47&lt;&gt;0,S47&lt;&gt;0,T47&lt;&gt;0),1/((1/R47)+(1/S47)+(1/T47)),IF(AND(Q47&lt;&gt;0,R47&lt;&gt;0,S47=0,T47=0),1/((1/Q47)+(1/R47)),IF(AND(Q47&lt;&gt;0,R47=0,S47&lt;&gt;0,T47=0),1/((1/Q47)+(1/S47)),IF(AND(Q47&lt;&gt;0,R47=0,S47=0,T47&lt;&gt;0),1/((1/Q47)+(1/T47)),IF(AND(Q47=0,R47=0,S47&lt;&gt;0,T47&lt;&gt;0),1/((1/S47)+(1/T47)),IF(AND(Q47=0,R47&lt;&gt;0,S47=0,T47&lt;&gt;0),1/((1/R47)+(1/T47)),IF(AND(Q47=0,R47&lt;&gt;0,S47&lt;&gt;0,T47=0),1/((1/R47)+(1/S47)),IF(AND(Q47&lt;&gt;0,R47=0,S47=0,T47=0),1/((1/Q47)),IF(AND(Q47=0,R47&lt;&gt;0,S47=0,T47=0),1/((1/R47)),IF(AND(Q47=0,R47=0,S47&lt;&gt;0,T47=0),1/((1/S47)),IF(AND(Q47=0,R47=0,S47=0,T47&lt;&gt;0),1/((1/T47)),IF(AND(Q47=0,R47=0,S47=0,T47=0),0)))))))))))))))))</f>
        <v>278208.65925489762</v>
      </c>
      <c r="V47" s="60">
        <f>IFERROR(V6/$B$47,0)</f>
        <v>0</v>
      </c>
      <c r="W47" s="42"/>
    </row>
    <row r="48" spans="1:23" x14ac:dyDescent="0.25">
      <c r="A48" s="185" t="s">
        <v>33</v>
      </c>
      <c r="B48" s="57" t="s">
        <v>1259</v>
      </c>
      <c r="C48" s="58">
        <f>1/SUM(1/C49,1/C52,1/C54,1/C58,1/C59,1/C61)</f>
        <v>0.15681746126913881</v>
      </c>
      <c r="D48" s="58">
        <f>1/SUM(1/D49,1/D50,1/D51,1/D52,1/D54,1/D58,1/D59,1/D61)</f>
        <v>142.75369012174832</v>
      </c>
      <c r="E48" s="58">
        <f>1/SUM(1/E49,1/E50,1/E51,1/E52,1/E53,1/E54,1/E55,1/E56,1/E57,1/E58,1/E59,1/E60,1/E61,1/E62)</f>
        <v>1.3822668184988864E-2</v>
      </c>
      <c r="F48" s="58">
        <f>1/SUM(1/F49,1/F52,1/F54,1/F58,1/F59,1/F61)</f>
        <v>2.1311385290005399E-3</v>
      </c>
      <c r="G48" s="58">
        <f>1/SUM(1/G49,1/G52,1/G54,1/G58,1/G59,1/G61)</f>
        <v>2.0973132747060537E-5</v>
      </c>
      <c r="H48" s="59">
        <f>1/SUM(1/H49,1/H50,1/H51,1/H52,1/H53,1/H54,1/H55,1/H56,1/H57,1/H58,1/H59,1/H60,1/H61,1/H62)</f>
        <v>1.8249456235259541E-3</v>
      </c>
      <c r="I48" s="58">
        <f>1/SUM(1/I49,1/I50,1/I51,1/I52,1/I53,1/I54,1/I55,1/I56,1/I57,1/I58,1/I59,1/I60,1/I61,1/I62)</f>
        <v>1.3822668184988864E-2</v>
      </c>
      <c r="J48" s="58">
        <f t="shared" ref="J48:M48" si="46">1/SUM(1/J49,1/J50,1/J51,1/J52,1/J53,1/J54,1/J55,1/J56,1/J57,1/J58,1/J59,1/J60,1/J61,1/J62)</f>
        <v>7.4103990058118671E-2</v>
      </c>
      <c r="K48" s="58">
        <f>1/SUM(1/K49,1/K50,1/K52,1/K54,1/K55,1/K56,1/K57,1/K58,1/K59,1/K60,1/K61,1/K62)</f>
        <v>2.5922713435613146E-2</v>
      </c>
      <c r="L48" s="58">
        <f t="shared" si="46"/>
        <v>1.6287862085703281E-2</v>
      </c>
      <c r="M48" s="58">
        <f t="shared" si="46"/>
        <v>7.6079514111771385E-2</v>
      </c>
      <c r="N48" s="58">
        <f>1/SUM(1/N49,1/N50,1/N51,1/N52,1/N54,1/N58,1/N59,1/N61)</f>
        <v>1.0501656709990401E-4</v>
      </c>
      <c r="O48" s="58">
        <f t="shared" ref="O48:P48" si="47">1/SUM(1/O49,1/O50,1/O51,1/O52,1/O53,1/O54,1/O55,1/O56,1/O57,1/O58,1/O59,1/O60,1/O61,1/O62)</f>
        <v>5.174134872729538</v>
      </c>
      <c r="P48" s="59">
        <f t="shared" si="47"/>
        <v>1.0501443567971447E-4</v>
      </c>
      <c r="Q48" s="58">
        <f>1/SUM(1/Q49,1/Q52,1/Q54,1/Q58,1/Q59,1/Q61)</f>
        <v>1.7106285791263342E-2</v>
      </c>
      <c r="R48" s="58">
        <f>1/SUM(1/R49,1/R50)</f>
        <v>4.4114623131156778E-4</v>
      </c>
      <c r="S48" s="58">
        <f t="shared" ref="S48" si="48">1/SUM(1/S49,1/S50,1/S51,1/S52,1/S53,1/S54,1/S55,1/S56,1/S57,1/S58,1/S59,1/S60,1/S61,1/S62)</f>
        <v>85434.341867506329</v>
      </c>
      <c r="T48" s="58">
        <f>1/SUM(1/T49,1/T52,1/T54,1/T58,1/T59,1/T61)</f>
        <v>5.2511561746644104E-3</v>
      </c>
      <c r="U48" s="59">
        <f t="shared" ref="U48" si="49">1/SUM(1/U49,1/U50,1/U51,1/U52,1/U53,1/U54,1/U55,1/U56,1/U57,1/U58,1/U59,1/U60,1/U61,1/U62)</f>
        <v>3.975014098694463E-4</v>
      </c>
      <c r="V48" s="59">
        <f>1/SUM(1/V49,1/V52,1/V54,1/V58,1/V59,1/V61)</f>
        <v>5.1415246538071739E-4</v>
      </c>
      <c r="W48" s="42"/>
    </row>
    <row r="49" spans="1:23" x14ac:dyDescent="0.25">
      <c r="A49" s="83" t="s">
        <v>1103</v>
      </c>
      <c r="B49" s="42">
        <v>1</v>
      </c>
      <c r="C49" s="60">
        <f>IFERROR(C23/$B49,0)</f>
        <v>1.3186488596324659</v>
      </c>
      <c r="D49" s="60">
        <f>IFERROR(D23/$B49,0)</f>
        <v>299.85912477473448</v>
      </c>
      <c r="E49" s="60">
        <f>IFERROR(E23/$B49,0)</f>
        <v>4.6313057075548354</v>
      </c>
      <c r="F49" s="60">
        <f>IFERROR(F23/$B49,0)</f>
        <v>7.0161793087252207E-3</v>
      </c>
      <c r="G49" s="60">
        <f>IFERROR(G23/$B49,0)</f>
        <v>1.6140601179746175E-4</v>
      </c>
      <c r="H49" s="60">
        <f>(IF(AND(C49&lt;&gt;0,D49&lt;&gt;0,E49&lt;&gt;0,F49&lt;&gt;0),1/((1/C49)+(1/D49)+(1/E49)+(1/F49)),IF(AND(C49&lt;&gt;0,D49&lt;&gt;0,E49&lt;&gt;0,F49=0), 1/((1/C49)+(1/D49)+(1/E49)),IF(AND(C49&lt;&gt;0,D49&lt;&gt;0,E49=0,F49&lt;&gt;0),1/((1/C49)+(1/D49)+(1/F49)),IF(AND(C49&lt;&gt;0,D49=0,E49&lt;&gt;0,F49&lt;&gt;0),1/((1/C49)+(1/E49)+(1/F49)),IF(AND(C49=0,D49&lt;&gt;0,E49&lt;&gt;0,F49&lt;&gt;0),1/((1/D49)+(1/E49)+(1/F49)),IF(AND(C49&lt;&gt;0,D49&lt;&gt;0,E49=0,F49=0),1/((1/C49)+(1/D49)),IF(AND(C49&lt;&gt;0,D49=0,E49&lt;&gt;0,F49=0),1/((1/C49)+(1/E49)),IF(AND(C49&lt;&gt;0,D49=0,E49=0,F49&lt;&gt;0),1/((1/C49)+(1/F49)),IF(AND(C49=0,D49=0,E49&lt;&gt;0,F49&lt;&gt;0),1/((1/E49)+(1/F49)),IF(AND(C49=0,D49&lt;&gt;0,E49=0,F49&lt;&gt;0),1/((1/D49)+(1/F49)),IF(AND(C49=0,D49&lt;&gt;0,E49&lt;&gt;0,F49=0),1/((1/D49)+(1/E49)),IF(AND(C49&lt;&gt;0,D49=0,E49=0,F49=0),1/((1/C49)),IF(AND(C49=0,D49&lt;&gt;0,E49=0,F49=0),1/((1/D49)),IF(AND(C49=0,D49=0,E49&lt;&gt;0,F49=0),1/((1/E49)),IF(AND(C49=0,D49=0,E49=0,F49&lt;&gt;0),1/((1/F49)),IF(AND(C49=0,D49=0,E49=0,F49=0),0)))))))))))))))))</f>
        <v>6.9683826278180384E-3</v>
      </c>
      <c r="I49" s="60">
        <f t="shared" ref="I49:O49" si="50">IFERROR(I23/$B49,0)</f>
        <v>4.6313057075548354</v>
      </c>
      <c r="J49" s="60">
        <f t="shared" si="50"/>
        <v>18.272481958273133</v>
      </c>
      <c r="K49" s="60">
        <f t="shared" si="50"/>
        <v>6.6830709468424452</v>
      </c>
      <c r="L49" s="60">
        <f t="shared" si="50"/>
        <v>4.7649010645035323</v>
      </c>
      <c r="M49" s="60">
        <f t="shared" si="50"/>
        <v>18.525222830219342</v>
      </c>
      <c r="N49" s="60">
        <f t="shared" si="50"/>
        <v>2.2059097646139869E-4</v>
      </c>
      <c r="O49" s="60">
        <f t="shared" si="50"/>
        <v>1407.8486043567223</v>
      </c>
      <c r="P49" s="60">
        <f t="shared" ref="P49:P76" si="51">IFERROR(IF(AND(N49&lt;&gt;0,O49&lt;&gt;0),1/((1/N49)+(1/O49)),IF(AND(N49&lt;&gt;0,O49=0),1/((1/N49)),IF(AND(N49=0,O49&lt;&gt;0),1/((1/O49)),IF(AND(N49=0,O49=0),0)))),0)</f>
        <v>2.2059094189775941E-4</v>
      </c>
      <c r="Q49" s="60">
        <f>IFERROR(Q23/$B49,0)</f>
        <v>0.13579018699720966</v>
      </c>
      <c r="R49" s="60">
        <f>IFERROR(R23/$B49,0)</f>
        <v>4.4118195292279738E-4</v>
      </c>
      <c r="S49" s="60">
        <f>IFERROR(S23/$B49,0)</f>
        <v>22888092.732404914</v>
      </c>
      <c r="T49" s="60">
        <f>IFERROR(T23/$B49,0)</f>
        <v>3.615110253994961E-2</v>
      </c>
      <c r="U49" s="60">
        <f t="shared" ref="U49:U62" si="52">(IF(AND(Q49&lt;&gt;0,R49&lt;&gt;0,S49&lt;&gt;0,T49&lt;&gt;0),1/((1/Q49)+(1/R49)+(1/S49)+(1/T49)),IF(AND(Q49&lt;&gt;0,R49&lt;&gt;0,S49&lt;&gt;0,T49=0), 1/((1/Q49)+(1/R49)+(1/S49)),IF(AND(Q49&lt;&gt;0,R49&lt;&gt;0,S49=0,T49&lt;&gt;0),1/((1/Q49)+(1/R49)+(1/T49)),IF(AND(Q49&lt;&gt;0,R49=0,S49&lt;&gt;0,T49&lt;&gt;0),1/((1/Q49)+(1/S49)+(1/T49)),IF(AND(Q49=0,R49&lt;&gt;0,S49&lt;&gt;0,T49&lt;&gt;0),1/((1/R49)+(1/S49)+(1/T49)),IF(AND(Q49&lt;&gt;0,R49&lt;&gt;0,S49=0,T49=0),1/((1/Q49)+(1/R49)),IF(AND(Q49&lt;&gt;0,R49=0,S49&lt;&gt;0,T49=0),1/((1/Q49)+(1/S49)),IF(AND(Q49&lt;&gt;0,R49=0,S49=0,T49&lt;&gt;0),1/((1/Q49)+(1/T49)),IF(AND(Q49=0,R49=0,S49&lt;&gt;0,T49&lt;&gt;0),1/((1/S49)+(1/T49)),IF(AND(Q49=0,R49&lt;&gt;0,S49=0,T49&lt;&gt;0),1/((1/R49)+(1/T49)),IF(AND(Q49=0,R49&lt;&gt;0,S49&lt;&gt;0,T49=0),1/((1/R49)+(1/S49)),IF(AND(Q49&lt;&gt;0,R49=0,S49=0,T49=0),1/((1/Q49)),IF(AND(Q49=0,R49&lt;&gt;0,S49=0,T49=0),1/((1/R49)),IF(AND(Q49=0,R49=0,S49&lt;&gt;0,T49=0),1/((1/S49)),IF(AND(Q49=0,R49=0,S49=0,T49&lt;&gt;0),1/((1/T49)),IF(AND(Q49=0,R49=0,S49=0,T49=0),0)))))))))))))))))</f>
        <v>4.3446819047394356E-4</v>
      </c>
      <c r="V49" s="60">
        <f>IFERROR(V23/$B49,0)</f>
        <v>3.9568384892125904E-3</v>
      </c>
      <c r="W49" s="42"/>
    </row>
    <row r="50" spans="1:23" x14ac:dyDescent="0.25">
      <c r="A50" s="83" t="s">
        <v>1090</v>
      </c>
      <c r="B50" s="42">
        <v>1</v>
      </c>
      <c r="C50" s="60">
        <f>IFERROR(C25/$B50,0)</f>
        <v>0</v>
      </c>
      <c r="D50" s="60">
        <f>IFERROR(D25/$B50,0)</f>
        <v>3703128.6738079814</v>
      </c>
      <c r="E50" s="60">
        <f>IFERROR(E25/$B50,0)</f>
        <v>68.351684235636881</v>
      </c>
      <c r="F50" s="60">
        <f>IFERROR(F25/$B50,0)</f>
        <v>0</v>
      </c>
      <c r="G50" s="60">
        <f>IFERROR(G25/$B50,0)</f>
        <v>0</v>
      </c>
      <c r="H50" s="60">
        <f t="shared" ref="H50:H62" si="53">(IF(AND(C50&lt;&gt;0,D50&lt;&gt;0,E50&lt;&gt;0,F50&lt;&gt;0),1/((1/C50)+(1/D50)+(1/E50)+(1/F50)),IF(AND(C50&lt;&gt;0,D50&lt;&gt;0,E50&lt;&gt;0,F50=0), 1/((1/C50)+(1/D50)+(1/E50)),IF(AND(C50&lt;&gt;0,D50&lt;&gt;0,E50=0,F50&lt;&gt;0),1/((1/C50)+(1/D50)+(1/F50)),IF(AND(C50&lt;&gt;0,D50=0,E50&lt;&gt;0,F50&lt;&gt;0),1/((1/C50)+(1/E50)+(1/F50)),IF(AND(C50=0,D50&lt;&gt;0,E50&lt;&gt;0,F50&lt;&gt;0),1/((1/D50)+(1/E50)+(1/F50)),IF(AND(C50&lt;&gt;0,D50&lt;&gt;0,E50=0,F50=0),1/((1/C50)+(1/D50)),IF(AND(C50&lt;&gt;0,D50=0,E50&lt;&gt;0,F50=0),1/((1/C50)+(1/E50)),IF(AND(C50&lt;&gt;0,D50=0,E50=0,F50&lt;&gt;0),1/((1/C50)+(1/F50)),IF(AND(C50=0,D50=0,E50&lt;&gt;0,F50&lt;&gt;0),1/((1/E50)+(1/F50)),IF(AND(C50=0,D50&lt;&gt;0,E50=0,F50&lt;&gt;0),1/((1/D50)+(1/F50)),IF(AND(C50=0,D50&lt;&gt;0,E50&lt;&gt;0,F50=0),1/((1/D50)+(1/E50)),IF(AND(C50&lt;&gt;0,D50=0,E50=0,F50=0),1/((1/C50)),IF(AND(C50=0,D50&lt;&gt;0,E50=0,F50=0),1/((1/D50)),IF(AND(C50=0,D50=0,E50&lt;&gt;0,F50=0),1/((1/E50)),IF(AND(C50=0,D50=0,E50=0,F50&lt;&gt;0),1/((1/F50)),IF(AND(C50=0,D50=0,E50=0,F50=0),0)))))))))))))))))</f>
        <v>68.350422635806879</v>
      </c>
      <c r="I50" s="60">
        <f t="shared" ref="I50:O50" si="54">IFERROR(I25/$B50,0)</f>
        <v>68.351684235636881</v>
      </c>
      <c r="J50" s="60">
        <f t="shared" si="54"/>
        <v>324.31263789814619</v>
      </c>
      <c r="K50" s="60">
        <f t="shared" si="54"/>
        <v>114.92340229785884</v>
      </c>
      <c r="L50" s="60">
        <f t="shared" si="54"/>
        <v>75.083289501267785</v>
      </c>
      <c r="M50" s="60">
        <f t="shared" si="54"/>
        <v>330.36647380557821</v>
      </c>
      <c r="N50" s="60">
        <f t="shared" si="54"/>
        <v>2.7242018088700011</v>
      </c>
      <c r="O50" s="60">
        <f t="shared" si="54"/>
        <v>24713.31363043455</v>
      </c>
      <c r="P50" s="60">
        <f t="shared" si="51"/>
        <v>2.7239015473335111</v>
      </c>
      <c r="Q50" s="60">
        <f>IFERROR(Q25/$B50,0)</f>
        <v>0</v>
      </c>
      <c r="R50" s="60">
        <f>IFERROR(R25/$B50,0)</f>
        <v>5.4484036177400021</v>
      </c>
      <c r="S50" s="60">
        <f>IFERROR(S25/$B50,0)</f>
        <v>408335740.77413428</v>
      </c>
      <c r="T50" s="60">
        <f>IFERROR(T25/$B50,0)</f>
        <v>0</v>
      </c>
      <c r="U50" s="60">
        <f t="shared" si="52"/>
        <v>5.4484035450422228</v>
      </c>
      <c r="V50" s="60">
        <f>IFERROR(V25/$B50,0)</f>
        <v>0</v>
      </c>
      <c r="W50" s="42"/>
    </row>
    <row r="51" spans="1:23" x14ac:dyDescent="0.25">
      <c r="A51" s="83" t="s">
        <v>1076</v>
      </c>
      <c r="B51" s="42">
        <v>1</v>
      </c>
      <c r="C51" s="60">
        <f>IFERROR(C21/$B51,0)</f>
        <v>0</v>
      </c>
      <c r="D51" s="60">
        <f>IFERROR(D21/$B51,0)</f>
        <v>607419.66735843138</v>
      </c>
      <c r="E51" s="60">
        <f>IFERROR(E21/$B51,0)</f>
        <v>18792177.122046541</v>
      </c>
      <c r="F51" s="60">
        <f>IFERROR(F21/$B51,0)</f>
        <v>0</v>
      </c>
      <c r="G51" s="60">
        <f>IFERROR(G21/$B51,0)</f>
        <v>0</v>
      </c>
      <c r="H51" s="60">
        <f t="shared" si="53"/>
        <v>588400.78483736096</v>
      </c>
      <c r="I51" s="60">
        <f t="shared" ref="I51:O51" si="55">IFERROR(I21/$B51,0)</f>
        <v>18792177.122046541</v>
      </c>
      <c r="J51" s="60">
        <f t="shared" si="55"/>
        <v>40725650.123961806</v>
      </c>
      <c r="K51" s="60">
        <f t="shared" si="55"/>
        <v>21508233.971717332</v>
      </c>
      <c r="L51" s="60">
        <f t="shared" si="55"/>
        <v>18856533.893012457</v>
      </c>
      <c r="M51" s="60">
        <f t="shared" si="55"/>
        <v>24255981.924051262</v>
      </c>
      <c r="N51" s="60">
        <f t="shared" si="55"/>
        <v>0.44684749095133824</v>
      </c>
      <c r="O51" s="60">
        <f t="shared" si="55"/>
        <v>1016316743.9734919</v>
      </c>
      <c r="P51" s="60">
        <f t="shared" si="51"/>
        <v>0.44684749075487123</v>
      </c>
      <c r="Q51" s="60">
        <f>IFERROR(Q21/$B51,0)</f>
        <v>0</v>
      </c>
      <c r="R51" s="60">
        <f>IFERROR(R21/$B51,0)</f>
        <v>0</v>
      </c>
      <c r="S51" s="60">
        <f>IFERROR(S21/$B51,0)</f>
        <v>28385463735107.258</v>
      </c>
      <c r="T51" s="60">
        <f>IFERROR(T21/$B51,0)</f>
        <v>0</v>
      </c>
      <c r="U51" s="60">
        <f t="shared" si="52"/>
        <v>28385463735107.258</v>
      </c>
      <c r="V51" s="60">
        <f>IFERROR(V21/$B51,0)</f>
        <v>0</v>
      </c>
      <c r="W51" s="42"/>
    </row>
    <row r="52" spans="1:23" x14ac:dyDescent="0.25">
      <c r="A52" s="83" t="s">
        <v>1077</v>
      </c>
      <c r="B52" s="85">
        <v>0.99980000000000002</v>
      </c>
      <c r="C52" s="60">
        <f>IFERROR(C17/$B52,0)</f>
        <v>1127.8552033431981</v>
      </c>
      <c r="D52" s="60">
        <f>IFERROR(D17/$B52,0)</f>
        <v>108684.97221042919</v>
      </c>
      <c r="E52" s="60">
        <f>IFERROR(E17/$B52,0)</f>
        <v>0.11648621397801705</v>
      </c>
      <c r="F52" s="60">
        <f>IFERROR(F17/$B52,0)</f>
        <v>9.6402367509209856</v>
      </c>
      <c r="G52" s="60">
        <f>IFERROR(G17/$B52,0)</f>
        <v>0.17129712690513046</v>
      </c>
      <c r="H52" s="60">
        <f t="shared" si="53"/>
        <v>0.11508361079493806</v>
      </c>
      <c r="I52" s="60">
        <f t="shared" ref="I52:O52" si="56">IFERROR(I17/$B52,0)</f>
        <v>0.11648621397801705</v>
      </c>
      <c r="J52" s="60">
        <f t="shared" si="56"/>
        <v>0.51203392611204823</v>
      </c>
      <c r="K52" s="60">
        <f t="shared" si="56"/>
        <v>0.1838460090788066</v>
      </c>
      <c r="L52" s="60">
        <f t="shared" si="56"/>
        <v>0.12437862998154646</v>
      </c>
      <c r="M52" s="60">
        <f t="shared" si="56"/>
        <v>0.51900402144132218</v>
      </c>
      <c r="N52" s="60">
        <f t="shared" si="56"/>
        <v>7.9953958928511593E-2</v>
      </c>
      <c r="O52" s="60">
        <f t="shared" si="56"/>
        <v>39.356675397283389</v>
      </c>
      <c r="P52" s="60">
        <f t="shared" si="51"/>
        <v>7.9791859995293923E-2</v>
      </c>
      <c r="Q52" s="60">
        <f>IFERROR(Q17/$B52,0)</f>
        <v>151.71862995273389</v>
      </c>
      <c r="R52" s="60">
        <f>IFERROR(R17/$B52,0)</f>
        <v>0</v>
      </c>
      <c r="S52" s="60">
        <f>IFERROR(S17/$B52,0)</f>
        <v>643631.64765421371</v>
      </c>
      <c r="T52" s="60">
        <f>IFERROR(T17/$B52,0)</f>
        <v>40.047410165287445</v>
      </c>
      <c r="U52" s="60">
        <f t="shared" si="52"/>
        <v>31.682560236396718</v>
      </c>
      <c r="V52" s="60">
        <f>IFERROR(V17/$B52,0)</f>
        <v>4.1993173443891063</v>
      </c>
      <c r="W52" s="42"/>
    </row>
    <row r="53" spans="1:23" x14ac:dyDescent="0.25">
      <c r="A53" s="83" t="s">
        <v>1091</v>
      </c>
      <c r="B53" s="42">
        <v>2.0000000000000001E-4</v>
      </c>
      <c r="C53" s="60">
        <f>IFERROR(C5/$B53,0)</f>
        <v>0</v>
      </c>
      <c r="D53" s="60">
        <f>IFERROR(D5/$B53,0)</f>
        <v>0</v>
      </c>
      <c r="E53" s="60">
        <f>IFERROR(E5/$B53,0)</f>
        <v>23430246.369189944</v>
      </c>
      <c r="F53" s="60">
        <f>IFERROR(F5/$B53,0)</f>
        <v>0</v>
      </c>
      <c r="G53" s="60">
        <f>IFERROR(G5/$B53,0)</f>
        <v>0</v>
      </c>
      <c r="H53" s="60">
        <f t="shared" si="53"/>
        <v>23430246.369189944</v>
      </c>
      <c r="I53" s="60">
        <f t="shared" ref="I53:O53" si="57">IFERROR(I5/$B53,0)</f>
        <v>23430246.369189944</v>
      </c>
      <c r="J53" s="60">
        <f t="shared" si="57"/>
        <v>76644040.87917091</v>
      </c>
      <c r="K53" s="60">
        <f t="shared" si="57"/>
        <v>34870854.317667119</v>
      </c>
      <c r="L53" s="60">
        <f t="shared" si="57"/>
        <v>25142045.190683268</v>
      </c>
      <c r="M53" s="60">
        <f t="shared" si="57"/>
        <v>32199461.384559274</v>
      </c>
      <c r="N53" s="60">
        <f t="shared" si="57"/>
        <v>0</v>
      </c>
      <c r="O53" s="60">
        <f t="shared" si="57"/>
        <v>6505967035.2848539</v>
      </c>
      <c r="P53" s="60">
        <f>IFERROR(IF(AND(N53&lt;&gt;0,O53&lt;&gt;0),1/((1/N53)+(1/O53)),IF(AND(N53&lt;&gt;0,O53=0),1/((1/N53)),IF(AND(N53=0,O53&lt;&gt;0),1/((1/O53)),IF(AND(N53=0,O53=0),0)))),0)</f>
        <v>6505967035.2848539</v>
      </c>
      <c r="Q53" s="60">
        <f>IFERROR(Q5/$B53,0)</f>
        <v>0</v>
      </c>
      <c r="R53" s="60">
        <f>IFERROR(R5/$B53,0)</f>
        <v>0</v>
      </c>
      <c r="S53" s="60">
        <f>IFERROR(S5/$B53,0)</f>
        <v>139987537554686.09</v>
      </c>
      <c r="T53" s="60">
        <f>IFERROR(T5/$B53,0)</f>
        <v>0</v>
      </c>
      <c r="U53" s="60">
        <f t="shared" si="52"/>
        <v>139987537554686.11</v>
      </c>
      <c r="V53" s="60">
        <f>IFERROR(V5/$B53,0)</f>
        <v>0</v>
      </c>
      <c r="W53" s="42"/>
    </row>
    <row r="54" spans="1:23" x14ac:dyDescent="0.25">
      <c r="A54" s="83" t="s">
        <v>1092</v>
      </c>
      <c r="B54" s="42">
        <v>0.99999979999999999</v>
      </c>
      <c r="C54" s="60">
        <f>IFERROR(C9/$B54,0)</f>
        <v>2213.8788034431122</v>
      </c>
      <c r="D54" s="60">
        <f>IFERROR(D9/$B54,0)</f>
        <v>136620.30849367657</v>
      </c>
      <c r="E54" s="60">
        <f>IFERROR(E9/$B54,0)</f>
        <v>1.5756750709644812E-2</v>
      </c>
      <c r="F54" s="60">
        <f>IFERROR(F9/$B54,0)</f>
        <v>3.1047395676827008</v>
      </c>
      <c r="G54" s="60">
        <f>IFERROR(G9/$B54,0)</f>
        <v>0.31290711474107674</v>
      </c>
      <c r="H54" s="60">
        <f>(IF(AND(C54&lt;&gt;0,D54&lt;&gt;0,E54&lt;&gt;0,F54&lt;&gt;0),1/((1/C54)+(1/D54)+(1/E54)+(1/F54)),IF(AND(C54&lt;&gt;0,D54&lt;&gt;0,E54&lt;&gt;0,F54=0), 1/((1/C54)+(1/D54)+(1/E54)),IF(AND(C54&lt;&gt;0,D54&lt;&gt;0,E54=0,F54&lt;&gt;0),1/((1/C54)+(1/D54)+(1/F54)),IF(AND(C54&lt;&gt;0,D54=0,E54&lt;&gt;0,F54&lt;&gt;0),1/((1/C54)+(1/E54)+(1/F54)),IF(AND(C54=0,D54&lt;&gt;0,E54&lt;&gt;0,F54&lt;&gt;0),1/((1/D54)+(1/E54)+(1/F54)),IF(AND(C54&lt;&gt;0,D54&lt;&gt;0,E54=0,F54=0),1/((1/C54)+(1/D54)),IF(AND(C54&lt;&gt;0,D54=0,E54&lt;&gt;0,F54=0),1/((1/C54)+(1/E54)),IF(AND(C54&lt;&gt;0,D54=0,E54=0,F54&lt;&gt;0),1/((1/C54)+(1/F54)),IF(AND(C54=0,D54=0,E54&lt;&gt;0,F54&lt;&gt;0),1/((1/E54)+(1/F54)),IF(AND(C54=0,D54&lt;&gt;0,E54=0,F54&lt;&gt;0),1/((1/D54)+(1/F54)),IF(AND(C54=0,D54&lt;&gt;0,E54&lt;&gt;0,F54=0),1/((1/D54)+(1/E54)),IF(AND(C54&lt;&gt;0,D54=0,E54=0,F54=0),1/((1/C54)),IF(AND(C54=0,D54&lt;&gt;0,E54=0,F54=0),1/((1/D54)),IF(AND(C54=0,D54=0,E54&lt;&gt;0,F54=0),1/((1/E54)),IF(AND(C54=0,D54=0,E54=0,F54&lt;&gt;0),1/((1/F54)),IF(AND(C54=0,D54=0,E54=0,F54=0),0)))))))))))))))))</f>
        <v>1.5677075170491737E-2</v>
      </c>
      <c r="I54" s="60">
        <f t="shared" ref="I54:O54" si="58">IFERROR(I9/$B54,0)</f>
        <v>1.5756750709644812E-2</v>
      </c>
      <c r="J54" s="60">
        <f t="shared" si="58"/>
        <v>8.724468482717064E-2</v>
      </c>
      <c r="K54" s="60">
        <f t="shared" si="58"/>
        <v>3.0364571680044687E-2</v>
      </c>
      <c r="L54" s="60">
        <f t="shared" si="58"/>
        <v>1.884219809195169E-2</v>
      </c>
      <c r="M54" s="60">
        <f t="shared" si="58"/>
        <v>9.0099965421514411E-2</v>
      </c>
      <c r="N54" s="60">
        <f t="shared" si="58"/>
        <v>0.1005045528553378</v>
      </c>
      <c r="O54" s="60">
        <f t="shared" si="58"/>
        <v>5.9950284147655504</v>
      </c>
      <c r="P54" s="60">
        <f t="shared" si="51"/>
        <v>9.8847410617192558E-2</v>
      </c>
      <c r="Q54" s="60">
        <f>IFERROR(Q9/$B54,0)</f>
        <v>272.1037046656312</v>
      </c>
      <c r="R54" s="60">
        <f>IFERROR(R9/$B54,0)</f>
        <v>0</v>
      </c>
      <c r="S54" s="60">
        <f>IFERROR(S9/$B54,0)</f>
        <v>99120.227866799149</v>
      </c>
      <c r="T54" s="60">
        <f>IFERROR(T9/$B54,0)</f>
        <v>43.190362109151799</v>
      </c>
      <c r="U54" s="60">
        <f t="shared" si="52"/>
        <v>37.259945627941654</v>
      </c>
      <c r="V54" s="60">
        <f>IFERROR(V9/$B54,0)</f>
        <v>7.6708599721155073</v>
      </c>
      <c r="W54" s="42"/>
    </row>
    <row r="55" spans="1:23" x14ac:dyDescent="0.25">
      <c r="A55" s="83" t="s">
        <v>1093</v>
      </c>
      <c r="B55" s="42">
        <v>1.9999999999999999E-7</v>
      </c>
      <c r="C55" s="60">
        <f>IFERROR(C24/$B55,0)</f>
        <v>0</v>
      </c>
      <c r="D55" s="60">
        <f>IFERROR(D24/$B55,0)</f>
        <v>0</v>
      </c>
      <c r="E55" s="60">
        <f>IFERROR(E24/$B55,0)</f>
        <v>170879210.58909222</v>
      </c>
      <c r="F55" s="60">
        <f>IFERROR(F24/$B55,0)</f>
        <v>0</v>
      </c>
      <c r="G55" s="60">
        <f>IFERROR(G24/$B55,0)</f>
        <v>0</v>
      </c>
      <c r="H55" s="60">
        <f t="shared" si="53"/>
        <v>170879210.58909222</v>
      </c>
      <c r="I55" s="60">
        <f t="shared" ref="I55:O55" si="59">IFERROR(I24/$B55,0)</f>
        <v>170879210.58909222</v>
      </c>
      <c r="J55" s="60">
        <f t="shared" si="59"/>
        <v>830344689.52474427</v>
      </c>
      <c r="K55" s="60">
        <f t="shared" si="59"/>
        <v>294970065.89783764</v>
      </c>
      <c r="L55" s="60">
        <f t="shared" si="59"/>
        <v>190596042.58014131</v>
      </c>
      <c r="M55" s="60">
        <f t="shared" si="59"/>
        <v>849999503.78793716</v>
      </c>
      <c r="N55" s="60">
        <f t="shared" si="59"/>
        <v>0</v>
      </c>
      <c r="O55" s="60">
        <f t="shared" si="59"/>
        <v>62914846055.501877</v>
      </c>
      <c r="P55" s="60">
        <f t="shared" si="51"/>
        <v>62914846055.501877</v>
      </c>
      <c r="Q55" s="60">
        <f>IFERROR(Q24/$B55,0)</f>
        <v>0</v>
      </c>
      <c r="R55" s="60">
        <f>IFERROR(R24/$B55,0)</f>
        <v>0</v>
      </c>
      <c r="S55" s="60">
        <f>IFERROR(S24/$B55,0)</f>
        <v>1036332697917491</v>
      </c>
      <c r="T55" s="60">
        <f>IFERROR(T24/$B55,0)</f>
        <v>0</v>
      </c>
      <c r="U55" s="60">
        <f t="shared" si="52"/>
        <v>1036332697917491</v>
      </c>
      <c r="V55" s="60">
        <f>IFERROR(V24/$B55,0)</f>
        <v>0</v>
      </c>
      <c r="W55" s="42"/>
    </row>
    <row r="56" spans="1:23" x14ac:dyDescent="0.25">
      <c r="A56" s="83" t="s">
        <v>1094</v>
      </c>
      <c r="B56" s="42">
        <v>0.99979000004200003</v>
      </c>
      <c r="C56" s="60">
        <f>IFERROR(C20/$B56,0)</f>
        <v>0</v>
      </c>
      <c r="D56" s="60">
        <f>IFERROR(D20/$B56,0)</f>
        <v>0</v>
      </c>
      <c r="E56" s="60">
        <f>IFERROR(E20/$B56,0)</f>
        <v>300.39624120310714</v>
      </c>
      <c r="F56" s="60">
        <f>IFERROR(F20/$B56,0)</f>
        <v>0</v>
      </c>
      <c r="G56" s="60">
        <f>IFERROR(G20/$B56,0)</f>
        <v>0</v>
      </c>
      <c r="H56" s="60">
        <f t="shared" si="53"/>
        <v>300.39624120310714</v>
      </c>
      <c r="I56" s="60">
        <f t="shared" ref="I56:O56" si="60">IFERROR(I20/$B56,0)</f>
        <v>300.39624120310714</v>
      </c>
      <c r="J56" s="60">
        <f t="shared" si="60"/>
        <v>1518.5471751995306</v>
      </c>
      <c r="K56" s="60">
        <f t="shared" si="60"/>
        <v>538.75412824470311</v>
      </c>
      <c r="L56" s="60">
        <f t="shared" si="60"/>
        <v>343.01300898624692</v>
      </c>
      <c r="M56" s="60">
        <f t="shared" si="60"/>
        <v>1558.6597420915939</v>
      </c>
      <c r="N56" s="60">
        <f t="shared" si="60"/>
        <v>0</v>
      </c>
      <c r="O56" s="60">
        <f t="shared" si="60"/>
        <v>112283.40286382024</v>
      </c>
      <c r="P56" s="60">
        <f t="shared" si="51"/>
        <v>112283.40286382023</v>
      </c>
      <c r="Q56" s="60">
        <f>IFERROR(Q20/$B56,0)</f>
        <v>0</v>
      </c>
      <c r="R56" s="60">
        <f>IFERROR(R20/$B56,0)</f>
        <v>0</v>
      </c>
      <c r="S56" s="60">
        <f>IFERROR(S20/$B56,0)</f>
        <v>1854221331.6961141</v>
      </c>
      <c r="T56" s="60">
        <f>IFERROR(T20/$B56,0)</f>
        <v>0</v>
      </c>
      <c r="U56" s="60">
        <f t="shared" si="52"/>
        <v>1854221331.6961141</v>
      </c>
      <c r="V56" s="60">
        <f>IFERROR(V20/$B56,0)</f>
        <v>0</v>
      </c>
      <c r="W56" s="42"/>
    </row>
    <row r="57" spans="1:23" x14ac:dyDescent="0.25">
      <c r="A57" s="83" t="s">
        <v>1095</v>
      </c>
      <c r="B57" s="42">
        <v>2.0999995799999999E-4</v>
      </c>
      <c r="C57" s="60">
        <f>IFERROR(C29/$B57,0)</f>
        <v>0</v>
      </c>
      <c r="D57" s="60">
        <f>IFERROR(D29/$B57,0)</f>
        <v>0</v>
      </c>
      <c r="E57" s="60">
        <f>IFERROR(E29/$B57,0)</f>
        <v>41.039321724085241</v>
      </c>
      <c r="F57" s="60">
        <f>IFERROR(F29/$B57,0)</f>
        <v>0</v>
      </c>
      <c r="G57" s="60">
        <f>IFERROR(G29/$B57,0)</f>
        <v>0</v>
      </c>
      <c r="H57" s="60">
        <f t="shared" si="53"/>
        <v>41.039321724085241</v>
      </c>
      <c r="I57" s="60">
        <f t="shared" ref="I57:O57" si="61">IFERROR(I29/$B57,0)</f>
        <v>41.039321724085241</v>
      </c>
      <c r="J57" s="60">
        <f t="shared" si="61"/>
        <v>221.78204879087423</v>
      </c>
      <c r="K57" s="60">
        <f t="shared" si="61"/>
        <v>77.419980286578138</v>
      </c>
      <c r="L57" s="60">
        <f t="shared" si="61"/>
        <v>48.504850958579674</v>
      </c>
      <c r="M57" s="60">
        <f t="shared" si="61"/>
        <v>229.10300962474776</v>
      </c>
      <c r="N57" s="60">
        <f t="shared" si="61"/>
        <v>0</v>
      </c>
      <c r="O57" s="60">
        <f t="shared" si="61"/>
        <v>15431.94645849353</v>
      </c>
      <c r="P57" s="60">
        <f t="shared" si="51"/>
        <v>15431.94645849353</v>
      </c>
      <c r="Q57" s="60">
        <f>IFERROR(Q29/$B57,0)</f>
        <v>0</v>
      </c>
      <c r="R57" s="60">
        <f>IFERROR(R29/$B57,0)</f>
        <v>0</v>
      </c>
      <c r="S57" s="60">
        <f>IFERROR(S29/$B57,0)</f>
        <v>254470150.21704131</v>
      </c>
      <c r="T57" s="60">
        <f>IFERROR(T29/$B57,0)</f>
        <v>0</v>
      </c>
      <c r="U57" s="60">
        <f t="shared" si="52"/>
        <v>254470150.21704131</v>
      </c>
      <c r="V57" s="60">
        <f>IFERROR(V29/$B57,0)</f>
        <v>0</v>
      </c>
      <c r="W57" s="42"/>
    </row>
    <row r="58" spans="1:23" x14ac:dyDescent="0.25">
      <c r="A58" s="83" t="s">
        <v>1096</v>
      </c>
      <c r="B58" s="42">
        <v>1</v>
      </c>
      <c r="C58" s="60">
        <f>IFERROR(C16/$B58,0)</f>
        <v>0.52007056317401146</v>
      </c>
      <c r="D58" s="60">
        <f>IFERROR(D16/$B58,0)</f>
        <v>531.91793462371311</v>
      </c>
      <c r="E58" s="60">
        <f>IFERROR(E16/$B58,0)</f>
        <v>78.039324521002754</v>
      </c>
      <c r="F58" s="60">
        <f>IFERROR(F16/$B58,0)</f>
        <v>3.970498239521305E-3</v>
      </c>
      <c r="G58" s="60">
        <f>IFERROR(G16/$B58,0)</f>
        <v>7.0551684402035163E-5</v>
      </c>
      <c r="H58" s="60">
        <f t="shared" si="53"/>
        <v>3.9401868540490511E-3</v>
      </c>
      <c r="I58" s="60">
        <f t="shared" ref="I58:O58" si="62">IFERROR(I16/$B58,0)</f>
        <v>78.039324521002754</v>
      </c>
      <c r="J58" s="60">
        <f t="shared" si="62"/>
        <v>121.45826242852142</v>
      </c>
      <c r="K58" s="60">
        <f t="shared" si="62"/>
        <v>78.909189603243206</v>
      </c>
      <c r="L58" s="60">
        <f t="shared" si="62"/>
        <v>78.039324521002754</v>
      </c>
      <c r="M58" s="60">
        <f t="shared" si="62"/>
        <v>67.421729348077193</v>
      </c>
      <c r="N58" s="60">
        <f t="shared" si="62"/>
        <v>3.9130473913082608E-4</v>
      </c>
      <c r="O58" s="60">
        <f t="shared" si="62"/>
        <v>10193.325206618407</v>
      </c>
      <c r="P58" s="60">
        <f t="shared" si="51"/>
        <v>3.9130472410929095E-4</v>
      </c>
      <c r="Q58" s="60">
        <f>IFERROR(Q16/$B58,0)</f>
        <v>5.9088616936024282E-2</v>
      </c>
      <c r="R58" s="60">
        <f>IFERROR(R16/$B58,0)</f>
        <v>0</v>
      </c>
      <c r="S58" s="60">
        <f>IFERROR(S16/$B58,0)</f>
        <v>157980794.30978718</v>
      </c>
      <c r="T58" s="60">
        <f>IFERROR(T16/$B58,0)</f>
        <v>1.6494218520460138E-2</v>
      </c>
      <c r="U58" s="60">
        <f t="shared" si="52"/>
        <v>1.2894734020611302E-2</v>
      </c>
      <c r="V58" s="60">
        <f>IFERROR(V16/$B58,0)</f>
        <v>1.7295614779891508E-3</v>
      </c>
      <c r="W58" s="42"/>
    </row>
    <row r="59" spans="1:23" x14ac:dyDescent="0.25">
      <c r="A59" s="83" t="s">
        <v>1097</v>
      </c>
      <c r="B59" s="42">
        <v>1</v>
      </c>
      <c r="C59" s="60">
        <f>IFERROR(C7/$B59,0)</f>
        <v>37.18224057207108</v>
      </c>
      <c r="D59" s="60">
        <f>IFERROR(D7/$B59,0)</f>
        <v>18552.259671022188</v>
      </c>
      <c r="E59" s="60">
        <f>IFERROR(E7/$B59,0)</f>
        <v>41.818540988047886</v>
      </c>
      <c r="F59" s="60">
        <f>IFERROR(F7/$B59,0)</f>
        <v>6.3241415477523932E-2</v>
      </c>
      <c r="G59" s="60">
        <f>IFERROR(G7/$B59,0)</f>
        <v>6.3737033067747684E-3</v>
      </c>
      <c r="H59" s="60">
        <f t="shared" si="53"/>
        <v>6.3038649103457661E-2</v>
      </c>
      <c r="I59" s="60">
        <f t="shared" ref="I59:O59" si="63">IFERROR(I7/$B59,0)</f>
        <v>41.818540988047886</v>
      </c>
      <c r="J59" s="60">
        <f t="shared" si="63"/>
        <v>121.22057502650866</v>
      </c>
      <c r="K59" s="60">
        <f t="shared" si="63"/>
        <v>56.312467125950839</v>
      </c>
      <c r="L59" s="60">
        <f t="shared" si="63"/>
        <v>43.091279192031941</v>
      </c>
      <c r="M59" s="60">
        <f t="shared" si="63"/>
        <v>23.997564683213916</v>
      </c>
      <c r="N59" s="60">
        <f t="shared" si="63"/>
        <v>1.3647945779441006E-2</v>
      </c>
      <c r="O59" s="60">
        <f t="shared" si="63"/>
        <v>7583.1138954313528</v>
      </c>
      <c r="P59" s="60">
        <f t="shared" si="51"/>
        <v>1.3647921216169067E-2</v>
      </c>
      <c r="Q59" s="60">
        <f>IFERROR(Q7/$B59,0)</f>
        <v>5.8598254969750228</v>
      </c>
      <c r="R59" s="60">
        <f>IFERROR(R7/$B59,0)</f>
        <v>0</v>
      </c>
      <c r="S59" s="60">
        <f>IFERROR(S7/$B59,0)</f>
        <v>183446355.18360361</v>
      </c>
      <c r="T59" s="60">
        <f>IFERROR(T7/$B59,0)</f>
        <v>0.87975805223761139</v>
      </c>
      <c r="U59" s="60">
        <f t="shared" si="52"/>
        <v>0.76491798143484768</v>
      </c>
      <c r="V59" s="60">
        <f>IFERROR(V7/$B59,0)</f>
        <v>0.15625015625015626</v>
      </c>
      <c r="W59" s="42"/>
    </row>
    <row r="60" spans="1:23" x14ac:dyDescent="0.25">
      <c r="A60" s="83" t="s">
        <v>1098</v>
      </c>
      <c r="B60" s="86">
        <v>1.9000000000000001E-8</v>
      </c>
      <c r="C60" s="60">
        <f>IFERROR(C12/$B60,0)</f>
        <v>0</v>
      </c>
      <c r="D60" s="60">
        <f>IFERROR(D12/$B60,0)</f>
        <v>0</v>
      </c>
      <c r="E60" s="60">
        <f>IFERROR(E12/$B60,0)</f>
        <v>12599789.237436239</v>
      </c>
      <c r="F60" s="60">
        <f>IFERROR(F12/$B60,0)</f>
        <v>0</v>
      </c>
      <c r="G60" s="60">
        <f>IFERROR(G12/$B60,0)</f>
        <v>0</v>
      </c>
      <c r="H60" s="60">
        <f t="shared" si="53"/>
        <v>12599789.237436239</v>
      </c>
      <c r="I60" s="60">
        <f t="shared" ref="I60:O60" si="64">IFERROR(I12/$B60,0)</f>
        <v>12599789.237436239</v>
      </c>
      <c r="J60" s="60">
        <f t="shared" si="64"/>
        <v>55445501.108616106</v>
      </c>
      <c r="K60" s="60">
        <f t="shared" si="64"/>
        <v>19879240.641381878</v>
      </c>
      <c r="L60" s="60">
        <f t="shared" si="64"/>
        <v>13478844.300513186</v>
      </c>
      <c r="M60" s="60">
        <f t="shared" si="64"/>
        <v>54506925.22778061</v>
      </c>
      <c r="N60" s="60">
        <f t="shared" si="64"/>
        <v>0</v>
      </c>
      <c r="O60" s="60">
        <f t="shared" si="64"/>
        <v>4254056463.9385796</v>
      </c>
      <c r="P60" s="60">
        <f t="shared" si="51"/>
        <v>4254056463.93858</v>
      </c>
      <c r="Q60" s="60">
        <f>IFERROR(Q12/$B60,0)</f>
        <v>0</v>
      </c>
      <c r="R60" s="60">
        <f>IFERROR(R12/$B60,0)</f>
        <v>0</v>
      </c>
      <c r="S60" s="60">
        <f>IFERROR(S12/$B60,0)</f>
        <v>69934030141117.734</v>
      </c>
      <c r="T60" s="60">
        <f>IFERROR(T12/$B60,0)</f>
        <v>0</v>
      </c>
      <c r="U60" s="60">
        <f t="shared" si="52"/>
        <v>69934030141117.734</v>
      </c>
      <c r="V60" s="60">
        <f>IFERROR(V12/$B60,0)</f>
        <v>0</v>
      </c>
      <c r="W60" s="42"/>
    </row>
    <row r="61" spans="1:23" x14ac:dyDescent="0.25">
      <c r="A61" s="83" t="s">
        <v>1099</v>
      </c>
      <c r="B61" s="42">
        <v>1</v>
      </c>
      <c r="C61" s="60">
        <f>IFERROR(C18/$B61,0)</f>
        <v>0.27266976419518796</v>
      </c>
      <c r="D61" s="60">
        <f>IFERROR(D18/$B61,0)</f>
        <v>582.1244743713595</v>
      </c>
      <c r="E61" s="60">
        <f>IFERROR(E18/$B61,0)</f>
        <v>2567.6150813905047</v>
      </c>
      <c r="F61" s="60">
        <f>IFERROR(F18/$B61,0)</f>
        <v>1.7062157257392869E-2</v>
      </c>
      <c r="G61" s="60">
        <f>IFERROR(G18/$B61,0)</f>
        <v>3.6839795796136586E-5</v>
      </c>
      <c r="H61" s="60">
        <f t="shared" si="53"/>
        <v>1.6056832649976288E-2</v>
      </c>
      <c r="I61" s="60">
        <f t="shared" ref="I61:O61" si="65">IFERROR(I18/$B61,0)</f>
        <v>2567.6150813905047</v>
      </c>
      <c r="J61" s="60">
        <f t="shared" si="65"/>
        <v>12931.881803454266</v>
      </c>
      <c r="K61" s="60">
        <f t="shared" si="65"/>
        <v>4554.6848410695529</v>
      </c>
      <c r="L61" s="60">
        <f t="shared" si="65"/>
        <v>2923.5971133237017</v>
      </c>
      <c r="M61" s="60">
        <f t="shared" si="65"/>
        <v>13303.347938479661</v>
      </c>
      <c r="N61" s="60">
        <f t="shared" si="65"/>
        <v>4.2823911501817447E-4</v>
      </c>
      <c r="O61" s="60">
        <f t="shared" si="65"/>
        <v>959539.27224312944</v>
      </c>
      <c r="P61" s="60">
        <f t="shared" si="51"/>
        <v>4.2823911482705283E-4</v>
      </c>
      <c r="Q61" s="60">
        <f>IFERROR(Q18/$B61,0)</f>
        <v>2.9421207182728757E-2</v>
      </c>
      <c r="R61" s="60">
        <f>IFERROR(R18/$B61,0)</f>
        <v>0</v>
      </c>
      <c r="S61" s="60">
        <f>IFERROR(S18/$B61,0)</f>
        <v>15818411579.538536</v>
      </c>
      <c r="T61" s="60">
        <f>IFERROR(T18/$B61,0)</f>
        <v>9.9048662503378945E-3</v>
      </c>
      <c r="U61" s="60">
        <f t="shared" si="52"/>
        <v>7.4101759120259059E-3</v>
      </c>
      <c r="V61" s="60">
        <f>IFERROR(V18/$B61,0)</f>
        <v>9.0312077175788187E-4</v>
      </c>
      <c r="W61" s="42"/>
    </row>
    <row r="62" spans="1:23" x14ac:dyDescent="0.25">
      <c r="A62" s="83" t="s">
        <v>1100</v>
      </c>
      <c r="B62" s="42">
        <v>1.339E-6</v>
      </c>
      <c r="C62" s="60">
        <f>IFERROR(C27/$B62,0)</f>
        <v>0</v>
      </c>
      <c r="D62" s="60">
        <f>IFERROR(D27/$B62,0)</f>
        <v>0</v>
      </c>
      <c r="E62" s="60">
        <f>IFERROR(E27/$B62,0)</f>
        <v>14152558.434731761</v>
      </c>
      <c r="F62" s="60">
        <f>IFERROR(F27/$B62,0)</f>
        <v>0</v>
      </c>
      <c r="G62" s="60">
        <f>IFERROR(G27/$B62,0)</f>
        <v>0</v>
      </c>
      <c r="H62" s="60">
        <f t="shared" si="53"/>
        <v>14152558.434731761</v>
      </c>
      <c r="I62" s="60">
        <f t="shared" ref="I62:O62" si="66">IFERROR(I27/$B62,0)</f>
        <v>14152558.434731761</v>
      </c>
      <c r="J62" s="60">
        <f t="shared" si="66"/>
        <v>41676734.57975626</v>
      </c>
      <c r="K62" s="60">
        <f t="shared" si="66"/>
        <v>19602192.959122643</v>
      </c>
      <c r="L62" s="60">
        <f t="shared" si="66"/>
        <v>14744597.73180221</v>
      </c>
      <c r="M62" s="60">
        <f t="shared" si="66"/>
        <v>10084179.920115409</v>
      </c>
      <c r="N62" s="60">
        <f t="shared" si="66"/>
        <v>0</v>
      </c>
      <c r="O62" s="60">
        <f t="shared" si="66"/>
        <v>3186906511.8869667</v>
      </c>
      <c r="P62" s="60">
        <f t="shared" si="51"/>
        <v>3186906511.8869667</v>
      </c>
      <c r="Q62" s="60">
        <f>IFERROR(Q27/$B62,0)</f>
        <v>0</v>
      </c>
      <c r="R62" s="60">
        <f>IFERROR(R27/$B62,0)</f>
        <v>0</v>
      </c>
      <c r="S62" s="60">
        <f>IFERROR(S27/$B62,0)</f>
        <v>72850538765611.875</v>
      </c>
      <c r="T62" s="60">
        <f>IFERROR(T27/$B62,0)</f>
        <v>0</v>
      </c>
      <c r="U62" s="60">
        <f t="shared" si="52"/>
        <v>72850538765611.875</v>
      </c>
      <c r="V62" s="60">
        <f>IFERROR(V27/$B62,0)</f>
        <v>0</v>
      </c>
      <c r="W62" s="42"/>
    </row>
    <row r="63" spans="1:23" x14ac:dyDescent="0.25">
      <c r="A63" s="185" t="s">
        <v>35</v>
      </c>
      <c r="B63" s="57" t="s">
        <v>1259</v>
      </c>
      <c r="C63" s="58">
        <f>1/SUM(1/C66,1/C68,1/C72,1/C73,1/C75)</f>
        <v>0.17798379933982636</v>
      </c>
      <c r="D63" s="58">
        <f>1/SUM(1/D64,1/D65,1/D66,1/D68,1/D72,1/D73,1/D75)</f>
        <v>272.46668247232077</v>
      </c>
      <c r="E63" s="58">
        <f>1/SUM(1/E64,1/E65,1/E66,1/E67,1/E68,1/E69,1/E70,1/E71,1/E72,1/E73,1/E74,1/E75,1/E76)</f>
        <v>1.3864047038819669E-2</v>
      </c>
      <c r="F63" s="58">
        <f>1/SUM(1/F66,1/F68,1/F72,1/F73,1/F75)</f>
        <v>3.0608649396051527E-3</v>
      </c>
      <c r="G63" s="58">
        <f>1/SUM(1/G66,1/G68,1/G72,1/G73,1/G75)</f>
        <v>2.410539280040569E-5</v>
      </c>
      <c r="H63" s="59">
        <f>1/SUM(1/H64,1/H65,1/H66,1/H67,1/H68,1/H69,1/H70,1/H71,1/H72,1/H73,1/H74,1/H75,1/H76)</f>
        <v>2.4724555524017955E-3</v>
      </c>
      <c r="I63" s="58">
        <f>1/SUM(1/I64,1/I65,1/I66,1/I67,1/I68,1/I69,1/I70,1/I71,1/I72,1/I73,1/I74,1/I75,1/I76)</f>
        <v>1.3864047038819669E-2</v>
      </c>
      <c r="J63" s="58">
        <f t="shared" ref="J63:M63" si="67">1/SUM(1/J64,1/J65,1/J66,1/J67,1/J68,1/J69,1/J70,1/J71,1/J72,1/J73,1/J74,1/J75,1/J76)</f>
        <v>7.4405742299561553E-2</v>
      </c>
      <c r="K63" s="58">
        <f>1/SUM(1/K64,1/K66,1/K68,1/K69,1/K70,1/K71,1/K72,1/K73,1/K74,1/K75,1/K76)</f>
        <v>2.6023655618106954E-2</v>
      </c>
      <c r="L63" s="58">
        <f t="shared" si="67"/>
        <v>1.6343729860149054E-2</v>
      </c>
      <c r="M63" s="58">
        <f t="shared" si="67"/>
        <v>7.6393246428134803E-2</v>
      </c>
      <c r="N63" s="58">
        <f>1/SUM(1/N64,1/N65,1/N66,1/N68,1/N72,1/N73,1/N75)</f>
        <v>2.0043976178787048E-4</v>
      </c>
      <c r="O63" s="58">
        <f t="shared" ref="O63" si="68">1/SUM(1/O64,1/O65,1/O66,1/O67,1/O68,1/O69,1/O70,1/O71,1/O72,1/O73,1/O74,1/O75,1/O76)</f>
        <v>5.1932210343897305</v>
      </c>
      <c r="P63" s="59">
        <f>1/SUM(1/P64,1/P65,1/P66,1/P67,1/P68,1/P69,1/P70,1/P71,1/P72,1/P73,1/P74,1/P75,1/P76)</f>
        <v>2.004320258283868E-4</v>
      </c>
      <c r="Q63" s="58">
        <f>1/SUM(1/Q66,1/Q68,1/Q72,1/Q73,1/Q75)</f>
        <v>1.9571868828212897E-2</v>
      </c>
      <c r="R63" s="58">
        <f>1/SUM(1/R64)</f>
        <v>5.4484036177400021</v>
      </c>
      <c r="S63" s="58">
        <f t="shared" ref="S63" si="69">1/SUM(1/S64,1/S65,1/S66,1/S67,1/S68,1/S69,1/S70,1/S71,1/S72,1/S73,1/S74,1/S75,1/S76)</f>
        <v>85754.437298719859</v>
      </c>
      <c r="T63" s="58">
        <f>1/SUM(1/T66,1/T68,1/T72,1/T73,1/T75)</f>
        <v>6.1435409330306947E-3</v>
      </c>
      <c r="U63" s="59">
        <f>1/SUM(1/U64,1/U65,1/U66,1/U67,1/U68,1/U69,1/U70,1/U71,1/U72,1/U73,1/U74,1/U75,1/U76)</f>
        <v>4.6718084570180089E-3</v>
      </c>
      <c r="V63" s="59">
        <f>1/SUM(1/V66,1/V68,1/V72,1/V73,1/V75)</f>
        <v>5.9093924054031571E-4</v>
      </c>
      <c r="W63" s="42"/>
    </row>
    <row r="64" spans="1:23" x14ac:dyDescent="0.25">
      <c r="A64" s="83" t="s">
        <v>1090</v>
      </c>
      <c r="B64" s="183">
        <v>1</v>
      </c>
      <c r="C64" s="60">
        <f>IFERROR(C25/$B50,0)</f>
        <v>0</v>
      </c>
      <c r="D64" s="60">
        <f>IFERROR(D25/$B50,0)</f>
        <v>3703128.6738079814</v>
      </c>
      <c r="E64" s="60">
        <f>IFERROR(E25/$B50,0)</f>
        <v>68.351684235636881</v>
      </c>
      <c r="F64" s="60">
        <f>IFERROR(F25/$B50,0)</f>
        <v>0</v>
      </c>
      <c r="G64" s="60">
        <f>IFERROR(G25/$B50,0)</f>
        <v>0</v>
      </c>
      <c r="H64" s="60">
        <f t="shared" ref="H64:H76" si="70">(IF(AND(C64&lt;&gt;0,D64&lt;&gt;0,E64&lt;&gt;0,F64&lt;&gt;0),1/((1/C64)+(1/D64)+(1/E64)+(1/F64)),IF(AND(C64&lt;&gt;0,D64&lt;&gt;0,E64&lt;&gt;0,F64=0), 1/((1/C64)+(1/D64)+(1/E64)),IF(AND(C64&lt;&gt;0,D64&lt;&gt;0,E64=0,F64&lt;&gt;0),1/((1/C64)+(1/D64)+(1/F64)),IF(AND(C64&lt;&gt;0,D64=0,E64&lt;&gt;0,F64&lt;&gt;0),1/((1/C64)+(1/E64)+(1/F64)),IF(AND(C64=0,D64&lt;&gt;0,E64&lt;&gt;0,F64&lt;&gt;0),1/((1/D64)+(1/E64)+(1/F64)),IF(AND(C64&lt;&gt;0,D64&lt;&gt;0,E64=0,F64=0),1/((1/C64)+(1/D64)),IF(AND(C64&lt;&gt;0,D64=0,E64&lt;&gt;0,F64=0),1/((1/C64)+(1/E64)),IF(AND(C64&lt;&gt;0,D64=0,E64=0,F64&lt;&gt;0),1/((1/C64)+(1/F64)),IF(AND(C64=0,D64=0,E64&lt;&gt;0,F64&lt;&gt;0),1/((1/E64)+(1/F64)),IF(AND(C64=0,D64&lt;&gt;0,E64=0,F64&lt;&gt;0),1/((1/D64)+(1/F64)),IF(AND(C64=0,D64&lt;&gt;0,E64&lt;&gt;0,F64=0),1/((1/D64)+(1/E64)),IF(AND(C64&lt;&gt;0,D64=0,E64=0,F64=0),1/((1/C64)),IF(AND(C64=0,D64&lt;&gt;0,E64=0,F64=0),1/((1/D64)),IF(AND(C64=0,D64=0,E64&lt;&gt;0,F64=0),1/((1/E64)),IF(AND(C64=0,D64=0,E64=0,F64&lt;&gt;0),1/((1/F64)),IF(AND(C64=0,D64=0,E64=0,F64=0),0)))))))))))))))))</f>
        <v>68.350422635806879</v>
      </c>
      <c r="I64" s="60">
        <f t="shared" ref="I64:O64" si="71">IFERROR(I25/$B50,0)</f>
        <v>68.351684235636881</v>
      </c>
      <c r="J64" s="60">
        <f t="shared" si="71"/>
        <v>324.31263789814619</v>
      </c>
      <c r="K64" s="60">
        <f t="shared" si="71"/>
        <v>114.92340229785884</v>
      </c>
      <c r="L64" s="60">
        <f t="shared" si="71"/>
        <v>75.083289501267785</v>
      </c>
      <c r="M64" s="60">
        <f t="shared" si="71"/>
        <v>330.36647380557821</v>
      </c>
      <c r="N64" s="60">
        <f t="shared" si="71"/>
        <v>2.7242018088700011</v>
      </c>
      <c r="O64" s="60">
        <f t="shared" si="71"/>
        <v>24713.31363043455</v>
      </c>
      <c r="P64" s="60">
        <f t="shared" si="51"/>
        <v>2.7239015473335111</v>
      </c>
      <c r="Q64" s="60">
        <f>IFERROR(Q25/$B50,0)</f>
        <v>0</v>
      </c>
      <c r="R64" s="60">
        <f>IFERROR(R25/$B50,0)</f>
        <v>5.4484036177400021</v>
      </c>
      <c r="S64" s="60">
        <f>IFERROR(S25/$B50,0)</f>
        <v>408335740.77413428</v>
      </c>
      <c r="T64" s="60">
        <f>IFERROR(T25/$B50,0)</f>
        <v>0</v>
      </c>
      <c r="U64" s="60">
        <f>(IF(AND(Q64&lt;&gt;0,R64&lt;&gt;0,S64&lt;&gt;0,T64&lt;&gt;0),1/((1/Q64)+(1/R64)+(1/S64)+(1/T64)),IF(AND(Q64&lt;&gt;0,R64&lt;&gt;0,S64&lt;&gt;0,T64=0), 1/((1/Q64)+(1/R64)+(1/S64)),IF(AND(Q64&lt;&gt;0,R64&lt;&gt;0,S64=0,T64&lt;&gt;0),1/((1/Q64)+(1/R64)+(1/T64)),IF(AND(Q64&lt;&gt;0,R64=0,S64&lt;&gt;0,T64&lt;&gt;0),1/((1/Q64)+(1/S64)+(1/T64)),IF(AND(Q64=0,R64&lt;&gt;0,S64&lt;&gt;0,T64&lt;&gt;0),1/((1/R64)+(1/S64)+(1/T64)),IF(AND(Q64&lt;&gt;0,R64&lt;&gt;0,S64=0,T64=0),1/((1/Q64)+(1/R64)),IF(AND(Q64&lt;&gt;0,R64=0,S64&lt;&gt;0,T64=0),1/((1/Q64)+(1/S64)),IF(AND(Q64&lt;&gt;0,R64=0,S64=0,T64&lt;&gt;0),1/((1/Q64)+(1/T64)),IF(AND(Q64=0,R64=0,S64&lt;&gt;0,T64&lt;&gt;0),1/((1/S64)+(1/T64)),IF(AND(Q64=0,R64&lt;&gt;0,S64=0,T64&lt;&gt;0),1/((1/R64)+(1/T64)),IF(AND(Q64=0,R64&lt;&gt;0,S64&lt;&gt;0,T64=0),1/((1/R64)+(1/S64)),IF(AND(Q64&lt;&gt;0,R64=0,S64=0,T64=0),1/((1/Q64)),IF(AND(Q64=0,R64&lt;&gt;0,S64=0,T64=0),1/((1/R64)),IF(AND(Q64=0,R64=0,S64&lt;&gt;0,T64=0),1/((1/S64)),IF(AND(Q64=0,R64=0,S64=0,T64&lt;&gt;0),1/((1/T64)),IF(AND(Q64=0,R64=0,S64=0,T64=0),0)))))))))))))))))</f>
        <v>5.4484035450422228</v>
      </c>
      <c r="V64" s="60">
        <f>IFERROR(V25/$B50,0)</f>
        <v>0</v>
      </c>
      <c r="W64" s="42"/>
    </row>
    <row r="65" spans="1:23" x14ac:dyDescent="0.25">
      <c r="A65" s="83" t="s">
        <v>1076</v>
      </c>
      <c r="B65" s="183">
        <v>1</v>
      </c>
      <c r="C65" s="60">
        <f>IFERROR(C21/$B51,0)</f>
        <v>0</v>
      </c>
      <c r="D65" s="60">
        <f>IFERROR(D21/$B51,0)</f>
        <v>607419.66735843138</v>
      </c>
      <c r="E65" s="60">
        <f>IFERROR(E21/$B51,0)</f>
        <v>18792177.122046541</v>
      </c>
      <c r="F65" s="60">
        <f>IFERROR(F21/$B51,0)</f>
        <v>0</v>
      </c>
      <c r="G65" s="60">
        <f>IFERROR(G21/$B51,0)</f>
        <v>0</v>
      </c>
      <c r="H65" s="60">
        <f t="shared" si="70"/>
        <v>588400.78483736096</v>
      </c>
      <c r="I65" s="60">
        <f t="shared" ref="I65:O65" si="72">IFERROR(I21/$B51,0)</f>
        <v>18792177.122046541</v>
      </c>
      <c r="J65" s="60">
        <f t="shared" si="72"/>
        <v>40725650.123961806</v>
      </c>
      <c r="K65" s="60">
        <f t="shared" si="72"/>
        <v>21508233.971717332</v>
      </c>
      <c r="L65" s="60">
        <f t="shared" si="72"/>
        <v>18856533.893012457</v>
      </c>
      <c r="M65" s="60">
        <f t="shared" si="72"/>
        <v>24255981.924051262</v>
      </c>
      <c r="N65" s="60">
        <f t="shared" si="72"/>
        <v>0.44684749095133824</v>
      </c>
      <c r="O65" s="60">
        <f t="shared" si="72"/>
        <v>1016316743.9734919</v>
      </c>
      <c r="P65" s="60">
        <f t="shared" si="51"/>
        <v>0.44684749075487123</v>
      </c>
      <c r="Q65" s="60">
        <f>IFERROR(Q21/$B51,0)</f>
        <v>0</v>
      </c>
      <c r="R65" s="60">
        <f>IFERROR(R21/$B51,0)</f>
        <v>0</v>
      </c>
      <c r="S65" s="60">
        <f>IFERROR(S21/$B51,0)</f>
        <v>28385463735107.258</v>
      </c>
      <c r="T65" s="60">
        <f>IFERROR(T21/$B51,0)</f>
        <v>0</v>
      </c>
      <c r="U65" s="60">
        <f t="shared" ref="U65:U76" si="73">(IF(AND(Q65&lt;&gt;0,R65&lt;&gt;0,S65&lt;&gt;0,T65&lt;&gt;0),1/((1/Q65)+(1/R65)+(1/S65)+(1/T65)),IF(AND(Q65&lt;&gt;0,R65&lt;&gt;0,S65&lt;&gt;0,T65=0), 1/((1/Q65)+(1/R65)+(1/S65)),IF(AND(Q65&lt;&gt;0,R65&lt;&gt;0,S65=0,T65&lt;&gt;0),1/((1/Q65)+(1/R65)+(1/T65)),IF(AND(Q65&lt;&gt;0,R65=0,S65&lt;&gt;0,T65&lt;&gt;0),1/((1/Q65)+(1/S65)+(1/T65)),IF(AND(Q65=0,R65&lt;&gt;0,S65&lt;&gt;0,T65&lt;&gt;0),1/((1/R65)+(1/S65)+(1/T65)),IF(AND(Q65&lt;&gt;0,R65&lt;&gt;0,S65=0,T65=0),1/((1/Q65)+(1/R65)),IF(AND(Q65&lt;&gt;0,R65=0,S65&lt;&gt;0,T65=0),1/((1/Q65)+(1/S65)),IF(AND(Q65&lt;&gt;0,R65=0,S65=0,T65&lt;&gt;0),1/((1/Q65)+(1/T65)),IF(AND(Q65=0,R65=0,S65&lt;&gt;0,T65&lt;&gt;0),1/((1/S65)+(1/T65)),IF(AND(Q65=0,R65&lt;&gt;0,S65=0,T65&lt;&gt;0),1/((1/R65)+(1/T65)),IF(AND(Q65=0,R65&lt;&gt;0,S65&lt;&gt;0,T65=0),1/((1/R65)+(1/S65)),IF(AND(Q65&lt;&gt;0,R65=0,S65=0,T65=0),1/((1/Q65)),IF(AND(Q65=0,R65&lt;&gt;0,S65=0,T65=0),1/((1/R65)),IF(AND(Q65=0,R65=0,S65&lt;&gt;0,T65=0),1/((1/S65)),IF(AND(Q65=0,R65=0,S65=0,T65&lt;&gt;0),1/((1/T65)),IF(AND(Q65=0,R65=0,S65=0,T65=0),0)))))))))))))))))</f>
        <v>28385463735107.258</v>
      </c>
      <c r="V65" s="60">
        <f>IFERROR(V21/$B51,0)</f>
        <v>0</v>
      </c>
      <c r="W65" s="42"/>
    </row>
    <row r="66" spans="1:23" x14ac:dyDescent="0.25">
      <c r="A66" s="83" t="s">
        <v>1077</v>
      </c>
      <c r="B66" s="186">
        <v>0.99980000000000002</v>
      </c>
      <c r="C66" s="60">
        <f>IFERROR(C17/$B52,0)</f>
        <v>1127.8552033431981</v>
      </c>
      <c r="D66" s="60">
        <f>IFERROR(D17/$B52,0)</f>
        <v>108684.97221042919</v>
      </c>
      <c r="E66" s="60">
        <f>IFERROR(E17/$B52,0)</f>
        <v>0.11648621397801705</v>
      </c>
      <c r="F66" s="60">
        <f>IFERROR(F17/$B52,0)</f>
        <v>9.6402367509209856</v>
      </c>
      <c r="G66" s="60">
        <f>IFERROR(G17/$B52,0)</f>
        <v>0.17129712690513046</v>
      </c>
      <c r="H66" s="60">
        <f t="shared" si="70"/>
        <v>0.11508361079493806</v>
      </c>
      <c r="I66" s="60">
        <f t="shared" ref="I66:O66" si="74">IFERROR(I17/$B52,0)</f>
        <v>0.11648621397801705</v>
      </c>
      <c r="J66" s="60">
        <f t="shared" si="74"/>
        <v>0.51203392611204823</v>
      </c>
      <c r="K66" s="60">
        <f t="shared" si="74"/>
        <v>0.1838460090788066</v>
      </c>
      <c r="L66" s="60">
        <f t="shared" si="74"/>
        <v>0.12437862998154646</v>
      </c>
      <c r="M66" s="60">
        <f t="shared" si="74"/>
        <v>0.51900402144132218</v>
      </c>
      <c r="N66" s="60">
        <f t="shared" si="74"/>
        <v>7.9953958928511593E-2</v>
      </c>
      <c r="O66" s="60">
        <f t="shared" si="74"/>
        <v>39.356675397283389</v>
      </c>
      <c r="P66" s="60">
        <f t="shared" si="51"/>
        <v>7.9791859995293923E-2</v>
      </c>
      <c r="Q66" s="60">
        <f>IFERROR(Q17/$B52,0)</f>
        <v>151.71862995273389</v>
      </c>
      <c r="R66" s="60">
        <f>IFERROR(R17/$B52,0)</f>
        <v>0</v>
      </c>
      <c r="S66" s="60">
        <f>IFERROR(S17/$B52,0)</f>
        <v>643631.64765421371</v>
      </c>
      <c r="T66" s="60">
        <f>IFERROR(T17/$B52,0)</f>
        <v>40.047410165287445</v>
      </c>
      <c r="U66" s="60">
        <f t="shared" si="73"/>
        <v>31.682560236396718</v>
      </c>
      <c r="V66" s="60">
        <f>IFERROR(V17/$B52,0)</f>
        <v>4.1993173443891063</v>
      </c>
      <c r="W66" s="42"/>
    </row>
    <row r="67" spans="1:23" x14ac:dyDescent="0.25">
      <c r="A67" s="83" t="s">
        <v>1091</v>
      </c>
      <c r="B67" s="183">
        <v>2.0000000000000001E-4</v>
      </c>
      <c r="C67" s="60">
        <f>IFERROR(C5/$B53,0)</f>
        <v>0</v>
      </c>
      <c r="D67" s="60">
        <f>IFERROR(D5/$B53,0)</f>
        <v>0</v>
      </c>
      <c r="E67" s="60">
        <f>IFERROR(E5/$B53,0)</f>
        <v>23430246.369189944</v>
      </c>
      <c r="F67" s="60">
        <f>IFERROR(F5/$B53,0)</f>
        <v>0</v>
      </c>
      <c r="G67" s="60">
        <f>IFERROR(G5/$B53,0)</f>
        <v>0</v>
      </c>
      <c r="H67" s="60">
        <f t="shared" si="70"/>
        <v>23430246.369189944</v>
      </c>
      <c r="I67" s="60">
        <f t="shared" ref="I67:O67" si="75">IFERROR(I5/$B53,0)</f>
        <v>23430246.369189944</v>
      </c>
      <c r="J67" s="60">
        <f t="shared" si="75"/>
        <v>76644040.87917091</v>
      </c>
      <c r="K67" s="60">
        <f t="shared" si="75"/>
        <v>34870854.317667119</v>
      </c>
      <c r="L67" s="60">
        <f t="shared" si="75"/>
        <v>25142045.190683268</v>
      </c>
      <c r="M67" s="60">
        <f t="shared" si="75"/>
        <v>32199461.384559274</v>
      </c>
      <c r="N67" s="60">
        <f t="shared" si="75"/>
        <v>0</v>
      </c>
      <c r="O67" s="60">
        <f t="shared" si="75"/>
        <v>6505967035.2848539</v>
      </c>
      <c r="P67" s="60">
        <f t="shared" si="51"/>
        <v>6505967035.2848539</v>
      </c>
      <c r="Q67" s="60">
        <f>IFERROR(Q5/$B53,0)</f>
        <v>0</v>
      </c>
      <c r="R67" s="60">
        <f>IFERROR(R5/$B53,0)</f>
        <v>0</v>
      </c>
      <c r="S67" s="60">
        <f>IFERROR(S5/$B53,0)</f>
        <v>139987537554686.09</v>
      </c>
      <c r="T67" s="60">
        <f>IFERROR(T5/$B53,0)</f>
        <v>0</v>
      </c>
      <c r="U67" s="60">
        <f t="shared" si="73"/>
        <v>139987537554686.11</v>
      </c>
      <c r="V67" s="60">
        <f>IFERROR(V5/$B53,0)</f>
        <v>0</v>
      </c>
      <c r="W67" s="42"/>
    </row>
    <row r="68" spans="1:23" x14ac:dyDescent="0.25">
      <c r="A68" s="83" t="s">
        <v>1092</v>
      </c>
      <c r="B68" s="183">
        <v>0.99999979999999999</v>
      </c>
      <c r="C68" s="60">
        <f>IFERROR(C9/$B54,0)</f>
        <v>2213.8788034431122</v>
      </c>
      <c r="D68" s="60">
        <f>IFERROR(D9/$B54,0)</f>
        <v>136620.30849367657</v>
      </c>
      <c r="E68" s="60">
        <f>IFERROR(E9/$B54,0)</f>
        <v>1.5756750709644812E-2</v>
      </c>
      <c r="F68" s="60">
        <f>IFERROR(F9/$B54,0)</f>
        <v>3.1047395676827008</v>
      </c>
      <c r="G68" s="60">
        <f>IFERROR(G9/$B54,0)</f>
        <v>0.31290711474107674</v>
      </c>
      <c r="H68" s="60">
        <f t="shared" si="70"/>
        <v>1.5677075170491737E-2</v>
      </c>
      <c r="I68" s="60">
        <f t="shared" ref="I68:O68" si="76">IFERROR(I9/$B54,0)</f>
        <v>1.5756750709644812E-2</v>
      </c>
      <c r="J68" s="60">
        <f t="shared" si="76"/>
        <v>8.724468482717064E-2</v>
      </c>
      <c r="K68" s="60">
        <f t="shared" si="76"/>
        <v>3.0364571680044687E-2</v>
      </c>
      <c r="L68" s="60">
        <f t="shared" si="76"/>
        <v>1.884219809195169E-2</v>
      </c>
      <c r="M68" s="60">
        <f t="shared" si="76"/>
        <v>9.0099965421514411E-2</v>
      </c>
      <c r="N68" s="60">
        <f t="shared" si="76"/>
        <v>0.1005045528553378</v>
      </c>
      <c r="O68" s="60">
        <f t="shared" si="76"/>
        <v>5.9950284147655504</v>
      </c>
      <c r="P68" s="60">
        <f t="shared" si="51"/>
        <v>9.8847410617192558E-2</v>
      </c>
      <c r="Q68" s="60">
        <f>IFERROR(Q9/$B54,0)</f>
        <v>272.1037046656312</v>
      </c>
      <c r="R68" s="60">
        <f>IFERROR(R9/$B54,0)</f>
        <v>0</v>
      </c>
      <c r="S68" s="60">
        <f>IFERROR(S9/$B54,0)</f>
        <v>99120.227866799149</v>
      </c>
      <c r="T68" s="60">
        <f>IFERROR(T9/$B54,0)</f>
        <v>43.190362109151799</v>
      </c>
      <c r="U68" s="60">
        <f t="shared" si="73"/>
        <v>37.259945627941654</v>
      </c>
      <c r="V68" s="60">
        <f>IFERROR(V9/$B54,0)</f>
        <v>7.6708599721155073</v>
      </c>
      <c r="W68" s="42"/>
    </row>
    <row r="69" spans="1:23" x14ac:dyDescent="0.25">
      <c r="A69" s="83" t="s">
        <v>1093</v>
      </c>
      <c r="B69" s="183">
        <v>1.9999999999999999E-7</v>
      </c>
      <c r="C69" s="60">
        <f>IFERROR(C24/$B55,0)</f>
        <v>0</v>
      </c>
      <c r="D69" s="60">
        <f>IFERROR(D24/$B55,0)</f>
        <v>0</v>
      </c>
      <c r="E69" s="60">
        <f>IFERROR(E24/$B55,0)</f>
        <v>170879210.58909222</v>
      </c>
      <c r="F69" s="60">
        <f>IFERROR(F24/$B55,0)</f>
        <v>0</v>
      </c>
      <c r="G69" s="60">
        <f>IFERROR(G24/$B55,0)</f>
        <v>0</v>
      </c>
      <c r="H69" s="60">
        <f t="shared" si="70"/>
        <v>170879210.58909222</v>
      </c>
      <c r="I69" s="60">
        <f t="shared" ref="I69:O69" si="77">IFERROR(I24/$B55,0)</f>
        <v>170879210.58909222</v>
      </c>
      <c r="J69" s="60">
        <f t="shared" si="77"/>
        <v>830344689.52474427</v>
      </c>
      <c r="K69" s="60">
        <f t="shared" si="77"/>
        <v>294970065.89783764</v>
      </c>
      <c r="L69" s="60">
        <f t="shared" si="77"/>
        <v>190596042.58014131</v>
      </c>
      <c r="M69" s="60">
        <f t="shared" si="77"/>
        <v>849999503.78793716</v>
      </c>
      <c r="N69" s="60">
        <f t="shared" si="77"/>
        <v>0</v>
      </c>
      <c r="O69" s="60">
        <f t="shared" si="77"/>
        <v>62914846055.501877</v>
      </c>
      <c r="P69" s="60">
        <f t="shared" si="51"/>
        <v>62914846055.501877</v>
      </c>
      <c r="Q69" s="60">
        <f>IFERROR(Q24/$B55,0)</f>
        <v>0</v>
      </c>
      <c r="R69" s="60">
        <f>IFERROR(R24/$B55,0)</f>
        <v>0</v>
      </c>
      <c r="S69" s="60">
        <f>IFERROR(S24/$B55,0)</f>
        <v>1036332697917491</v>
      </c>
      <c r="T69" s="60">
        <f>IFERROR(T24/$B55,0)</f>
        <v>0</v>
      </c>
      <c r="U69" s="60">
        <f t="shared" si="73"/>
        <v>1036332697917491</v>
      </c>
      <c r="V69" s="60">
        <f>IFERROR(V24/$B55,0)</f>
        <v>0</v>
      </c>
      <c r="W69" s="42"/>
    </row>
    <row r="70" spans="1:23" x14ac:dyDescent="0.25">
      <c r="A70" s="83" t="s">
        <v>1094</v>
      </c>
      <c r="B70" s="183">
        <v>0.99979000004200003</v>
      </c>
      <c r="C70" s="60">
        <f>IFERROR(C20/$B56,0)</f>
        <v>0</v>
      </c>
      <c r="D70" s="60">
        <f>IFERROR(D20/$B56,0)</f>
        <v>0</v>
      </c>
      <c r="E70" s="60">
        <f>IFERROR(E20/$B56,0)</f>
        <v>300.39624120310714</v>
      </c>
      <c r="F70" s="60">
        <f>IFERROR(F20/$B56,0)</f>
        <v>0</v>
      </c>
      <c r="G70" s="60">
        <f>IFERROR(G20/$B56,0)</f>
        <v>0</v>
      </c>
      <c r="H70" s="60">
        <f t="shared" si="70"/>
        <v>300.39624120310714</v>
      </c>
      <c r="I70" s="60">
        <f t="shared" ref="I70:O70" si="78">IFERROR(I20/$B56,0)</f>
        <v>300.39624120310714</v>
      </c>
      <c r="J70" s="60">
        <f t="shared" si="78"/>
        <v>1518.5471751995306</v>
      </c>
      <c r="K70" s="60">
        <f t="shared" si="78"/>
        <v>538.75412824470311</v>
      </c>
      <c r="L70" s="60">
        <f t="shared" si="78"/>
        <v>343.01300898624692</v>
      </c>
      <c r="M70" s="60">
        <f t="shared" si="78"/>
        <v>1558.6597420915939</v>
      </c>
      <c r="N70" s="60">
        <f t="shared" si="78"/>
        <v>0</v>
      </c>
      <c r="O70" s="60">
        <f t="shared" si="78"/>
        <v>112283.40286382024</v>
      </c>
      <c r="P70" s="60">
        <f t="shared" si="51"/>
        <v>112283.40286382023</v>
      </c>
      <c r="Q70" s="60">
        <f>IFERROR(Q20/$B56,0)</f>
        <v>0</v>
      </c>
      <c r="R70" s="60">
        <f>IFERROR(R20/$B56,0)</f>
        <v>0</v>
      </c>
      <c r="S70" s="60">
        <f>IFERROR(S20/$B56,0)</f>
        <v>1854221331.6961141</v>
      </c>
      <c r="T70" s="60">
        <f>IFERROR(T20/$B56,0)</f>
        <v>0</v>
      </c>
      <c r="U70" s="60">
        <f t="shared" si="73"/>
        <v>1854221331.6961141</v>
      </c>
      <c r="V70" s="60">
        <f>IFERROR(V20/$B56,0)</f>
        <v>0</v>
      </c>
      <c r="W70" s="42"/>
    </row>
    <row r="71" spans="1:23" x14ac:dyDescent="0.25">
      <c r="A71" s="83" t="s">
        <v>1095</v>
      </c>
      <c r="B71" s="183">
        <v>2.0999995799999999E-4</v>
      </c>
      <c r="C71" s="60">
        <f>IFERROR(C29/$B57,0)</f>
        <v>0</v>
      </c>
      <c r="D71" s="60">
        <f>IFERROR(D29/$B57,0)</f>
        <v>0</v>
      </c>
      <c r="E71" s="60">
        <f>IFERROR(E29/$B57,0)</f>
        <v>41.039321724085241</v>
      </c>
      <c r="F71" s="60">
        <f>IFERROR(F29/$B57,0)</f>
        <v>0</v>
      </c>
      <c r="G71" s="60">
        <f>IFERROR(G29/$B57,0)</f>
        <v>0</v>
      </c>
      <c r="H71" s="60">
        <f t="shared" si="70"/>
        <v>41.039321724085241</v>
      </c>
      <c r="I71" s="60">
        <f t="shared" ref="I71:O71" si="79">IFERROR(I29/$B57,0)</f>
        <v>41.039321724085241</v>
      </c>
      <c r="J71" s="60">
        <f t="shared" si="79"/>
        <v>221.78204879087423</v>
      </c>
      <c r="K71" s="60">
        <f t="shared" si="79"/>
        <v>77.419980286578138</v>
      </c>
      <c r="L71" s="60">
        <f t="shared" si="79"/>
        <v>48.504850958579674</v>
      </c>
      <c r="M71" s="60">
        <f t="shared" si="79"/>
        <v>229.10300962474776</v>
      </c>
      <c r="N71" s="60">
        <f t="shared" si="79"/>
        <v>0</v>
      </c>
      <c r="O71" s="60">
        <f t="shared" si="79"/>
        <v>15431.94645849353</v>
      </c>
      <c r="P71" s="60">
        <f t="shared" si="51"/>
        <v>15431.94645849353</v>
      </c>
      <c r="Q71" s="60">
        <f>IFERROR(Q29/$B57,0)</f>
        <v>0</v>
      </c>
      <c r="R71" s="60">
        <f>IFERROR(R29/$B57,0)</f>
        <v>0</v>
      </c>
      <c r="S71" s="60">
        <f>IFERROR(S29/$B57,0)</f>
        <v>254470150.21704131</v>
      </c>
      <c r="T71" s="60">
        <f>IFERROR(T29/$B57,0)</f>
        <v>0</v>
      </c>
      <c r="U71" s="60">
        <f t="shared" si="73"/>
        <v>254470150.21704131</v>
      </c>
      <c r="V71" s="60">
        <f>IFERROR(V29/$B57,0)</f>
        <v>0</v>
      </c>
      <c r="W71" s="42"/>
    </row>
    <row r="72" spans="1:23" x14ac:dyDescent="0.25">
      <c r="A72" s="83" t="s">
        <v>1096</v>
      </c>
      <c r="B72" s="183">
        <v>1</v>
      </c>
      <c r="C72" s="60">
        <f>IFERROR(C16/$B58,0)</f>
        <v>0.52007056317401146</v>
      </c>
      <c r="D72" s="60">
        <f>IFERROR(D16/$B58,0)</f>
        <v>531.91793462371311</v>
      </c>
      <c r="E72" s="60">
        <f>IFERROR(E16/$B58,0)</f>
        <v>78.039324521002754</v>
      </c>
      <c r="F72" s="60">
        <f>IFERROR(F16/$B58,0)</f>
        <v>3.970498239521305E-3</v>
      </c>
      <c r="G72" s="60">
        <f>IFERROR(G16/$B58,0)</f>
        <v>7.0551684402035163E-5</v>
      </c>
      <c r="H72" s="60">
        <f t="shared" si="70"/>
        <v>3.9401868540490511E-3</v>
      </c>
      <c r="I72" s="60">
        <f t="shared" ref="I72:O72" si="80">IFERROR(I16/$B58,0)</f>
        <v>78.039324521002754</v>
      </c>
      <c r="J72" s="60">
        <f t="shared" si="80"/>
        <v>121.45826242852142</v>
      </c>
      <c r="K72" s="60">
        <f t="shared" si="80"/>
        <v>78.909189603243206</v>
      </c>
      <c r="L72" s="60">
        <f t="shared" si="80"/>
        <v>78.039324521002754</v>
      </c>
      <c r="M72" s="60">
        <f t="shared" si="80"/>
        <v>67.421729348077193</v>
      </c>
      <c r="N72" s="60">
        <f t="shared" si="80"/>
        <v>3.9130473913082608E-4</v>
      </c>
      <c r="O72" s="60">
        <f t="shared" si="80"/>
        <v>10193.325206618407</v>
      </c>
      <c r="P72" s="60">
        <f t="shared" si="51"/>
        <v>3.9130472410929095E-4</v>
      </c>
      <c r="Q72" s="60">
        <f>IFERROR(Q16/$B58,0)</f>
        <v>5.9088616936024282E-2</v>
      </c>
      <c r="R72" s="60">
        <f>IFERROR(R16/$B58,0)</f>
        <v>0</v>
      </c>
      <c r="S72" s="60">
        <f>IFERROR(S16/$B58,0)</f>
        <v>157980794.30978718</v>
      </c>
      <c r="T72" s="60">
        <f>IFERROR(T16/$B58,0)</f>
        <v>1.6494218520460138E-2</v>
      </c>
      <c r="U72" s="60">
        <f t="shared" si="73"/>
        <v>1.2894734020611302E-2</v>
      </c>
      <c r="V72" s="60">
        <f>IFERROR(V16/$B58,0)</f>
        <v>1.7295614779891508E-3</v>
      </c>
      <c r="W72" s="42"/>
    </row>
    <row r="73" spans="1:23" x14ac:dyDescent="0.25">
      <c r="A73" s="83" t="s">
        <v>1097</v>
      </c>
      <c r="B73" s="183">
        <v>1</v>
      </c>
      <c r="C73" s="60">
        <f>IFERROR(C7/$B59,0)</f>
        <v>37.18224057207108</v>
      </c>
      <c r="D73" s="60">
        <f>IFERROR(D7/$B59,0)</f>
        <v>18552.259671022188</v>
      </c>
      <c r="E73" s="60">
        <f>IFERROR(E7/$B59,0)</f>
        <v>41.818540988047886</v>
      </c>
      <c r="F73" s="60">
        <f>IFERROR(F7/$B59,0)</f>
        <v>6.3241415477523932E-2</v>
      </c>
      <c r="G73" s="60">
        <f>IFERROR(G7/$B59,0)</f>
        <v>6.3737033067747684E-3</v>
      </c>
      <c r="H73" s="60">
        <f t="shared" si="70"/>
        <v>6.3038649103457661E-2</v>
      </c>
      <c r="I73" s="60">
        <f t="shared" ref="I73:O73" si="81">IFERROR(I7/$B59,0)</f>
        <v>41.818540988047886</v>
      </c>
      <c r="J73" s="60">
        <f t="shared" si="81"/>
        <v>121.22057502650866</v>
      </c>
      <c r="K73" s="60">
        <f t="shared" si="81"/>
        <v>56.312467125950839</v>
      </c>
      <c r="L73" s="60">
        <f t="shared" si="81"/>
        <v>43.091279192031941</v>
      </c>
      <c r="M73" s="60">
        <f t="shared" si="81"/>
        <v>23.997564683213916</v>
      </c>
      <c r="N73" s="60">
        <f t="shared" si="81"/>
        <v>1.3647945779441006E-2</v>
      </c>
      <c r="O73" s="60">
        <f t="shared" si="81"/>
        <v>7583.1138954313528</v>
      </c>
      <c r="P73" s="60">
        <f t="shared" si="51"/>
        <v>1.3647921216169067E-2</v>
      </c>
      <c r="Q73" s="60">
        <f>IFERROR(Q7/$B59,0)</f>
        <v>5.8598254969750228</v>
      </c>
      <c r="R73" s="60">
        <f>IFERROR(R7/$B59,0)</f>
        <v>0</v>
      </c>
      <c r="S73" s="60">
        <f>IFERROR(S7/$B59,0)</f>
        <v>183446355.18360361</v>
      </c>
      <c r="T73" s="60">
        <f>IFERROR(T7/$B59,0)</f>
        <v>0.87975805223761139</v>
      </c>
      <c r="U73" s="60">
        <f t="shared" si="73"/>
        <v>0.76491798143484768</v>
      </c>
      <c r="V73" s="60">
        <f>IFERROR(V7/$B59,0)</f>
        <v>0.15625015625015626</v>
      </c>
      <c r="W73" s="42"/>
    </row>
    <row r="74" spans="1:23" x14ac:dyDescent="0.25">
      <c r="A74" s="83" t="s">
        <v>1098</v>
      </c>
      <c r="B74" s="187">
        <v>1.9000000000000001E-8</v>
      </c>
      <c r="C74" s="60">
        <f>IFERROR(C12/$B60,0)</f>
        <v>0</v>
      </c>
      <c r="D74" s="60">
        <f>IFERROR(D12/$B60,0)</f>
        <v>0</v>
      </c>
      <c r="E74" s="60">
        <f>IFERROR(E12/$B60,0)</f>
        <v>12599789.237436239</v>
      </c>
      <c r="F74" s="60">
        <f>IFERROR(F12/$B60,0)</f>
        <v>0</v>
      </c>
      <c r="G74" s="60">
        <f>IFERROR(G12/$B60,0)</f>
        <v>0</v>
      </c>
      <c r="H74" s="60">
        <f t="shared" si="70"/>
        <v>12599789.237436239</v>
      </c>
      <c r="I74" s="60">
        <f t="shared" ref="I74:O74" si="82">IFERROR(I12/$B60,0)</f>
        <v>12599789.237436239</v>
      </c>
      <c r="J74" s="60">
        <f t="shared" si="82"/>
        <v>55445501.108616106</v>
      </c>
      <c r="K74" s="60">
        <f t="shared" si="82"/>
        <v>19879240.641381878</v>
      </c>
      <c r="L74" s="60">
        <f t="shared" si="82"/>
        <v>13478844.300513186</v>
      </c>
      <c r="M74" s="60">
        <f t="shared" si="82"/>
        <v>54506925.22778061</v>
      </c>
      <c r="N74" s="60">
        <f t="shared" si="82"/>
        <v>0</v>
      </c>
      <c r="O74" s="60">
        <f t="shared" si="82"/>
        <v>4254056463.9385796</v>
      </c>
      <c r="P74" s="60">
        <f t="shared" si="51"/>
        <v>4254056463.93858</v>
      </c>
      <c r="Q74" s="60">
        <f>IFERROR(Q12/$B60,0)</f>
        <v>0</v>
      </c>
      <c r="R74" s="60">
        <f>IFERROR(R12/$B60,0)</f>
        <v>0</v>
      </c>
      <c r="S74" s="60">
        <f>IFERROR(S12/$B60,0)</f>
        <v>69934030141117.734</v>
      </c>
      <c r="T74" s="60">
        <f>IFERROR(T12/$B60,0)</f>
        <v>0</v>
      </c>
      <c r="U74" s="60">
        <f t="shared" si="73"/>
        <v>69934030141117.734</v>
      </c>
      <c r="V74" s="60">
        <f>IFERROR(V12/$B60,0)</f>
        <v>0</v>
      </c>
      <c r="W74" s="42"/>
    </row>
    <row r="75" spans="1:23" x14ac:dyDescent="0.25">
      <c r="A75" s="83" t="s">
        <v>1099</v>
      </c>
      <c r="B75" s="183">
        <v>1</v>
      </c>
      <c r="C75" s="60">
        <f>IFERROR(C18/$B61,0)</f>
        <v>0.27266976419518796</v>
      </c>
      <c r="D75" s="60">
        <f>IFERROR(D18/$B61,0)</f>
        <v>582.1244743713595</v>
      </c>
      <c r="E75" s="60">
        <f>IFERROR(E18/$B61,0)</f>
        <v>2567.6150813905047</v>
      </c>
      <c r="F75" s="60">
        <f>IFERROR(F18/$B61,0)</f>
        <v>1.7062157257392869E-2</v>
      </c>
      <c r="G75" s="60">
        <f>IFERROR(G18/$B61,0)</f>
        <v>3.6839795796136586E-5</v>
      </c>
      <c r="H75" s="60">
        <f t="shared" si="70"/>
        <v>1.6056832649976288E-2</v>
      </c>
      <c r="I75" s="60">
        <f t="shared" ref="I75:O75" si="83">IFERROR(I18/$B61,0)</f>
        <v>2567.6150813905047</v>
      </c>
      <c r="J75" s="60">
        <f t="shared" si="83"/>
        <v>12931.881803454266</v>
      </c>
      <c r="K75" s="60">
        <f t="shared" si="83"/>
        <v>4554.6848410695529</v>
      </c>
      <c r="L75" s="60">
        <f t="shared" si="83"/>
        <v>2923.5971133237017</v>
      </c>
      <c r="M75" s="60">
        <f t="shared" si="83"/>
        <v>13303.347938479661</v>
      </c>
      <c r="N75" s="60">
        <f t="shared" si="83"/>
        <v>4.2823911501817447E-4</v>
      </c>
      <c r="O75" s="60">
        <f t="shared" si="83"/>
        <v>959539.27224312944</v>
      </c>
      <c r="P75" s="60">
        <f t="shared" si="51"/>
        <v>4.2823911482705283E-4</v>
      </c>
      <c r="Q75" s="60">
        <f>IFERROR(Q18/$B61,0)</f>
        <v>2.9421207182728757E-2</v>
      </c>
      <c r="R75" s="60">
        <f>IFERROR(R18/$B61,0)</f>
        <v>0</v>
      </c>
      <c r="S75" s="60">
        <f>IFERROR(S18/$B61,0)</f>
        <v>15818411579.538536</v>
      </c>
      <c r="T75" s="60">
        <f>IFERROR(T18/$B61,0)</f>
        <v>9.9048662503378945E-3</v>
      </c>
      <c r="U75" s="60">
        <f t="shared" si="73"/>
        <v>7.4101759120259059E-3</v>
      </c>
      <c r="V75" s="60">
        <f>IFERROR(V18/$B61,0)</f>
        <v>9.0312077175788187E-4</v>
      </c>
      <c r="W75" s="42"/>
    </row>
    <row r="76" spans="1:23" x14ac:dyDescent="0.25">
      <c r="A76" s="83" t="s">
        <v>1100</v>
      </c>
      <c r="B76" s="183">
        <v>1.339E-6</v>
      </c>
      <c r="C76" s="60">
        <f>IFERROR(C27/$B62,0)</f>
        <v>0</v>
      </c>
      <c r="D76" s="60">
        <f>IFERROR(D27/$B62,0)</f>
        <v>0</v>
      </c>
      <c r="E76" s="60">
        <f>IFERROR(E27/$B62,0)</f>
        <v>14152558.434731761</v>
      </c>
      <c r="F76" s="60">
        <f>IFERROR(F27/$B62,0)</f>
        <v>0</v>
      </c>
      <c r="G76" s="60">
        <f>IFERROR(G27/$B62,0)</f>
        <v>0</v>
      </c>
      <c r="H76" s="60">
        <f t="shared" si="70"/>
        <v>14152558.434731761</v>
      </c>
      <c r="I76" s="60">
        <f t="shared" ref="I76:O76" si="84">IFERROR(I27/$B62,0)</f>
        <v>14152558.434731761</v>
      </c>
      <c r="J76" s="60">
        <f t="shared" si="84"/>
        <v>41676734.57975626</v>
      </c>
      <c r="K76" s="60">
        <f t="shared" si="84"/>
        <v>19602192.959122643</v>
      </c>
      <c r="L76" s="60">
        <f t="shared" si="84"/>
        <v>14744597.73180221</v>
      </c>
      <c r="M76" s="60">
        <f t="shared" si="84"/>
        <v>10084179.920115409</v>
      </c>
      <c r="N76" s="60">
        <f t="shared" si="84"/>
        <v>0</v>
      </c>
      <c r="O76" s="60">
        <f t="shared" si="84"/>
        <v>3186906511.8869667</v>
      </c>
      <c r="P76" s="60">
        <f t="shared" si="51"/>
        <v>3186906511.8869667</v>
      </c>
      <c r="Q76" s="60">
        <f>IFERROR(Q27/$B62,0)</f>
        <v>0</v>
      </c>
      <c r="R76" s="60">
        <f>IFERROR(R27/$B62,0)</f>
        <v>0</v>
      </c>
      <c r="S76" s="60">
        <f>IFERROR(S27/$B62,0)</f>
        <v>72850538765611.875</v>
      </c>
      <c r="T76" s="60">
        <f>IFERROR(T27/$B62,0)</f>
        <v>0</v>
      </c>
      <c r="U76" s="60">
        <f t="shared" si="73"/>
        <v>72850538765611.875</v>
      </c>
      <c r="V76" s="60">
        <f>IFERROR(V27/$B62,0)</f>
        <v>0</v>
      </c>
      <c r="W76" s="42"/>
    </row>
  </sheetData>
  <sheetProtection algorithmName="SHA-512" hashValue="aAwmOhE9VreCNkZt1QdCS1/EuFlFcg7MPceozRXJOPuGoBV2o5m3Qm4VUjdIlpKHjPpaAJKNcea5EBLCDDLYpA==" saltValue="h64fqAfcTH2yBfu9xL+Dwg==" spinCount="100000" sheet="1" objects="1" scenarios="1" formatColumns="0" formatRows="0" autoFilter="0"/>
  <autoFilter ref="A1:V76" xr:uid="{AE4685E2-C872-4CDC-92A7-AC77C50A3C5C}"/>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816</vt:i4>
      </vt:variant>
    </vt:vector>
  </HeadingPairs>
  <TitlesOfParts>
    <vt:vector size="849" baseType="lpstr">
      <vt:lpstr>Instructions</vt:lpstr>
      <vt:lpstr>RadSpec</vt:lpstr>
      <vt:lpstr>d</vt:lpstr>
      <vt:lpstr>Irr</vt:lpstr>
      <vt:lpstr>dir</vt:lpstr>
      <vt:lpstr>b2s</vt:lpstr>
      <vt:lpstr>b2w</vt:lpstr>
      <vt:lpstr>d_ss_Bv</vt:lpstr>
      <vt:lpstr>d_res</vt:lpstr>
      <vt:lpstr>d_far</vt:lpstr>
      <vt:lpstr>d_rec</vt:lpstr>
      <vt:lpstr>d_sgw</vt:lpstr>
      <vt:lpstr>def_acf</vt:lpstr>
      <vt:lpstr>s_RadSpec</vt:lpstr>
      <vt:lpstr>ss</vt:lpstr>
      <vt:lpstr>s_Irr</vt:lpstr>
      <vt:lpstr>s_dir</vt:lpstr>
      <vt:lpstr>s_b2s</vt:lpstr>
      <vt:lpstr>s_b2w</vt:lpstr>
      <vt:lpstr>s_res</vt:lpstr>
      <vt:lpstr>s_far</vt:lpstr>
      <vt:lpstr>s_rec</vt:lpstr>
      <vt:lpstr>s_sgw</vt:lpstr>
      <vt:lpstr>up_RadSpec</vt:lpstr>
      <vt:lpstr>up_Bv</vt:lpstr>
      <vt:lpstr>up_Irr</vt:lpstr>
      <vt:lpstr>up_dir</vt:lpstr>
      <vt:lpstr>up_b2s</vt:lpstr>
      <vt:lpstr>up_b2w</vt:lpstr>
      <vt:lpstr>up_res</vt:lpstr>
      <vt:lpstr>up_far</vt:lpstr>
      <vt:lpstr>up_rec</vt:lpstr>
      <vt:lpstr>up_sgw</vt:lpstr>
      <vt:lpstr>A_wind</vt:lpstr>
      <vt:lpstr>As</vt:lpstr>
      <vt:lpstr>B_wind</vt:lpstr>
      <vt:lpstr>C_wind</vt:lpstr>
      <vt:lpstr>CF_apple</vt:lpstr>
      <vt:lpstr>CF_asparagus</vt:lpstr>
      <vt:lpstr>CF_beet</vt:lpstr>
      <vt:lpstr>CF_berries</vt:lpstr>
      <vt:lpstr>CF_broccoli</vt:lpstr>
      <vt:lpstr>CF_cabbage</vt:lpstr>
      <vt:lpstr>CF_carrot</vt:lpstr>
      <vt:lpstr>CF_cereal</vt:lpstr>
      <vt:lpstr>CF_citrus</vt:lpstr>
      <vt:lpstr>CF_corn</vt:lpstr>
      <vt:lpstr>CF_cucumber</vt:lpstr>
      <vt:lpstr>CF_far_beef</vt:lpstr>
      <vt:lpstr>CF_far_dairy</vt:lpstr>
      <vt:lpstr>CF_far_egg</vt:lpstr>
      <vt:lpstr>CF_far_fish</vt:lpstr>
      <vt:lpstr>CF_far_poultry</vt:lpstr>
      <vt:lpstr>CF_far_produce</vt:lpstr>
      <vt:lpstr>CF_far_sheep</vt:lpstr>
      <vt:lpstr>CF_far_swine</vt:lpstr>
      <vt:lpstr>CF_fowl</vt:lpstr>
      <vt:lpstr>CF_game</vt:lpstr>
      <vt:lpstr>CF_lettuce</vt:lpstr>
      <vt:lpstr>CF_lima_bean</vt:lpstr>
      <vt:lpstr>CF_okra</vt:lpstr>
      <vt:lpstr>CF_onion</vt:lpstr>
      <vt:lpstr>CF_peach</vt:lpstr>
      <vt:lpstr>CF_pear</vt:lpstr>
      <vt:lpstr>CF_peas</vt:lpstr>
      <vt:lpstr>CF_potato</vt:lpstr>
      <vt:lpstr>CF_pumpkin</vt:lpstr>
      <vt:lpstr>CF_res_fish</vt:lpstr>
      <vt:lpstr>CF_rice</vt:lpstr>
      <vt:lpstr>CF_snap_bean</vt:lpstr>
      <vt:lpstr>CF_strawberry</vt:lpstr>
      <vt:lpstr>CF_tomato</vt:lpstr>
      <vt:lpstr>d_a</vt:lpstr>
      <vt:lpstr>D_milk</vt:lpstr>
      <vt:lpstr>d_s</vt:lpstr>
      <vt:lpstr>DAF</vt:lpstr>
      <vt:lpstr>DF_i</vt:lpstr>
      <vt:lpstr>DFA_far_adj</vt:lpstr>
      <vt:lpstr>DFA_rec_adj</vt:lpstr>
      <vt:lpstr>DFA_res_adj</vt:lpstr>
      <vt:lpstr>dm</vt:lpstr>
      <vt:lpstr>ED_far</vt:lpstr>
      <vt:lpstr>ED_far_a</vt:lpstr>
      <vt:lpstr>ED_far_c</vt:lpstr>
      <vt:lpstr>ED_rec</vt:lpstr>
      <vt:lpstr>ED_rec_a</vt:lpstr>
      <vt:lpstr>ED_rec_c</vt:lpstr>
      <vt:lpstr>ED_res</vt:lpstr>
      <vt:lpstr>ED_res_a</vt:lpstr>
      <vt:lpstr>ED_res_c</vt:lpstr>
      <vt:lpstr>ED_s2gw</vt:lpstr>
      <vt:lpstr>EF_far</vt:lpstr>
      <vt:lpstr>EF_far_a</vt:lpstr>
      <vt:lpstr>EF_far_c</vt:lpstr>
      <vt:lpstr>EF_rec</vt:lpstr>
      <vt:lpstr>EF_rec_a</vt:lpstr>
      <vt:lpstr>EF_rec_c</vt:lpstr>
      <vt:lpstr>EF_res</vt:lpstr>
      <vt:lpstr>EF_res_a</vt:lpstr>
      <vt:lpstr>EF_res_c</vt:lpstr>
      <vt:lpstr>ET_event_far_a</vt:lpstr>
      <vt:lpstr>ET_event_far_c</vt:lpstr>
      <vt:lpstr>ET_event_rec_a</vt:lpstr>
      <vt:lpstr>ET_event_rec_c</vt:lpstr>
      <vt:lpstr>ET_event_res_a</vt:lpstr>
      <vt:lpstr>ET_event_res_c</vt:lpstr>
      <vt:lpstr>ET_far</vt:lpstr>
      <vt:lpstr>ET_far_a</vt:lpstr>
      <vt:lpstr>ET_far_c</vt:lpstr>
      <vt:lpstr>ET_far_i</vt:lpstr>
      <vt:lpstr>ET_far_o</vt:lpstr>
      <vt:lpstr>ET_rec</vt:lpstr>
      <vt:lpstr>ET_rec_a</vt:lpstr>
      <vt:lpstr>ET_rec_c</vt:lpstr>
      <vt:lpstr>ET_res</vt:lpstr>
      <vt:lpstr>ET_res_a</vt:lpstr>
      <vt:lpstr>ET_res_c</vt:lpstr>
      <vt:lpstr>ET_res_i</vt:lpstr>
      <vt:lpstr>ET_res_o</vt:lpstr>
      <vt:lpstr>EV_far_a</vt:lpstr>
      <vt:lpstr>EV_far_c</vt:lpstr>
      <vt:lpstr>EV_rec_a</vt:lpstr>
      <vt:lpstr>EV_rec_c</vt:lpstr>
      <vt:lpstr>EV_res_a</vt:lpstr>
      <vt:lpstr>EV_res_c</vt:lpstr>
      <vt:lpstr>F</vt:lpstr>
      <vt:lpstr>f_p_beef</vt:lpstr>
      <vt:lpstr>f_p_dairy</vt:lpstr>
      <vt:lpstr>f_p_egg</vt:lpstr>
      <vt:lpstr>f_p_fowl</vt:lpstr>
      <vt:lpstr>f_p_game</vt:lpstr>
      <vt:lpstr>f_p_goat</vt:lpstr>
      <vt:lpstr>f_p_goat_milk</vt:lpstr>
      <vt:lpstr>f_p_poultry</vt:lpstr>
      <vt:lpstr>f_p_sheep</vt:lpstr>
      <vt:lpstr>f_p_sheep_milk</vt:lpstr>
      <vt:lpstr>f_p_swine</vt:lpstr>
      <vt:lpstr>f_s_beef</vt:lpstr>
      <vt:lpstr>f_s_dairy</vt:lpstr>
      <vt:lpstr>f_s_egg</vt:lpstr>
      <vt:lpstr>f_s_fowl</vt:lpstr>
      <vt:lpstr>f_s_game</vt:lpstr>
      <vt:lpstr>f_s_goat</vt:lpstr>
      <vt:lpstr>f_s_goat_milk</vt:lpstr>
      <vt:lpstr>f_s_poultry</vt:lpstr>
      <vt:lpstr>f_s_sheep</vt:lpstr>
      <vt:lpstr>f_s_sheep_milk</vt:lpstr>
      <vt:lpstr>f_s_swine</vt:lpstr>
      <vt:lpstr>F_x</vt:lpstr>
      <vt:lpstr>GSF_a</vt:lpstr>
      <vt:lpstr>GSF_i</vt:lpstr>
      <vt:lpstr>GSF_o</vt:lpstr>
      <vt:lpstr>i</vt:lpstr>
      <vt:lpstr>I_f</vt:lpstr>
      <vt:lpstr>I_s2gw</vt:lpstr>
      <vt:lpstr>IFA_far_adj</vt:lpstr>
      <vt:lpstr>IFA_rec_adj</vt:lpstr>
      <vt:lpstr>IFA_res_adj</vt:lpstr>
      <vt:lpstr>IFAP_far_adj</vt:lpstr>
      <vt:lpstr>IFAP_res_adj</vt:lpstr>
      <vt:lpstr>IFAS_far_adj</vt:lpstr>
      <vt:lpstr>IFAS_res_adj</vt:lpstr>
      <vt:lpstr>IFB_far_adj</vt:lpstr>
      <vt:lpstr>IFBE_far_adj</vt:lpstr>
      <vt:lpstr>IFBE_res_adj</vt:lpstr>
      <vt:lpstr>IFBR_far_adj</vt:lpstr>
      <vt:lpstr>IFBR_res_adj</vt:lpstr>
      <vt:lpstr>IFBT_far_adj</vt:lpstr>
      <vt:lpstr>IFBT_res_adj</vt:lpstr>
      <vt:lpstr>IFCB_far_adj</vt:lpstr>
      <vt:lpstr>IFCB_res_adj</vt:lpstr>
      <vt:lpstr>IFCG_far_adj</vt:lpstr>
      <vt:lpstr>IFCG_res_adj</vt:lpstr>
      <vt:lpstr>IFCI_far_adj</vt:lpstr>
      <vt:lpstr>IFCI_res_adj</vt:lpstr>
      <vt:lpstr>IFCO_far_adj</vt:lpstr>
      <vt:lpstr>IFCO_res_adj</vt:lpstr>
      <vt:lpstr>IFCR_far_adj</vt:lpstr>
      <vt:lpstr>IFCR_res_adj</vt:lpstr>
      <vt:lpstr>IFCU_far_adj</vt:lpstr>
      <vt:lpstr>IFCU_res_adj</vt:lpstr>
      <vt:lpstr>IFD_far_adj</vt:lpstr>
      <vt:lpstr>IFE_far_adj</vt:lpstr>
      <vt:lpstr>IFFI_far_adj</vt:lpstr>
      <vt:lpstr>IFGM_far_adj</vt:lpstr>
      <vt:lpstr>IFGO_far_adj</vt:lpstr>
      <vt:lpstr>IFLE_far_adj</vt:lpstr>
      <vt:lpstr>IFLE_res_adj</vt:lpstr>
      <vt:lpstr>IFLI_far_adj</vt:lpstr>
      <vt:lpstr>IFLI_res_adj</vt:lpstr>
      <vt:lpstr>IFOK_far_adj</vt:lpstr>
      <vt:lpstr>IFOK_res_adj</vt:lpstr>
      <vt:lpstr>IFON_far_adj</vt:lpstr>
      <vt:lpstr>IFON_res_adj</vt:lpstr>
      <vt:lpstr>IFP_far_adj</vt:lpstr>
      <vt:lpstr>IFPC_far_adj</vt:lpstr>
      <vt:lpstr>IFPC_res_adj</vt:lpstr>
      <vt:lpstr>IFPE_far_adj</vt:lpstr>
      <vt:lpstr>IFPE_res_adj</vt:lpstr>
      <vt:lpstr>IFPR_far_adj</vt:lpstr>
      <vt:lpstr>IFPR_res_adj</vt:lpstr>
      <vt:lpstr>IFPT_far_adj</vt:lpstr>
      <vt:lpstr>IFPT_res_adj</vt:lpstr>
      <vt:lpstr>IFPU_far_adj</vt:lpstr>
      <vt:lpstr>IFPU_res_adj</vt:lpstr>
      <vt:lpstr>IFRI_far_adj</vt:lpstr>
      <vt:lpstr>IFRI_res_adj</vt:lpstr>
      <vt:lpstr>IFS_far_adj</vt:lpstr>
      <vt:lpstr>IFS_rec_adj</vt:lpstr>
      <vt:lpstr>IFS_res_adj</vt:lpstr>
      <vt:lpstr>IFSH_far_adj</vt:lpstr>
      <vt:lpstr>IFSM_far_adj</vt:lpstr>
      <vt:lpstr>IFSN_far_adj</vt:lpstr>
      <vt:lpstr>IFSN_res_adj</vt:lpstr>
      <vt:lpstr>IFST_far_adj</vt:lpstr>
      <vt:lpstr>IFST_res_adj</vt:lpstr>
      <vt:lpstr>IFSW_far_adj</vt:lpstr>
      <vt:lpstr>IFTO_far_adj</vt:lpstr>
      <vt:lpstr>IFTO_res_adj</vt:lpstr>
      <vt:lpstr>IFW_far_adj</vt:lpstr>
      <vt:lpstr>IFW_rec_adj</vt:lpstr>
      <vt:lpstr>IFW_res_adj</vt:lpstr>
      <vt:lpstr>Ir</vt:lpstr>
      <vt:lpstr>IRA_far_a</vt:lpstr>
      <vt:lpstr>IRA_far_c</vt:lpstr>
      <vt:lpstr>IRA_rec_a</vt:lpstr>
      <vt:lpstr>IRA_rec_c</vt:lpstr>
      <vt:lpstr>IRA_res_a</vt:lpstr>
      <vt:lpstr>IRA_res_c</vt:lpstr>
      <vt:lpstr>IRAP_far_a</vt:lpstr>
      <vt:lpstr>IRAP_far_c</vt:lpstr>
      <vt:lpstr>IRAP_res_a</vt:lpstr>
      <vt:lpstr>IRAP_res_c</vt:lpstr>
      <vt:lpstr>IRAS_far_a</vt:lpstr>
      <vt:lpstr>IRAS_far_c</vt:lpstr>
      <vt:lpstr>IRAS_res_a</vt:lpstr>
      <vt:lpstr>IRAS_res_c</vt:lpstr>
      <vt:lpstr>IRB_far_a</vt:lpstr>
      <vt:lpstr>IRB_far_c</vt:lpstr>
      <vt:lpstr>IRBE_far_a</vt:lpstr>
      <vt:lpstr>IRBE_far_c</vt:lpstr>
      <vt:lpstr>IRBE_res_a</vt:lpstr>
      <vt:lpstr>IRBE_res_c</vt:lpstr>
      <vt:lpstr>IRBR_far_a</vt:lpstr>
      <vt:lpstr>IRBR_far_c</vt:lpstr>
      <vt:lpstr>IRBR_res_a</vt:lpstr>
      <vt:lpstr>IRBR_res_c</vt:lpstr>
      <vt:lpstr>IRBT_far_a</vt:lpstr>
      <vt:lpstr>IRBT_far_c</vt:lpstr>
      <vt:lpstr>IRBT_res_a</vt:lpstr>
      <vt:lpstr>IRBT_res_c</vt:lpstr>
      <vt:lpstr>IRCB_far_a</vt:lpstr>
      <vt:lpstr>IRCB_far_c</vt:lpstr>
      <vt:lpstr>IRCB_res_a</vt:lpstr>
      <vt:lpstr>IRCB_res_c</vt:lpstr>
      <vt:lpstr>IRCG_far_a</vt:lpstr>
      <vt:lpstr>IRCG_far_c</vt:lpstr>
      <vt:lpstr>IRCG_res_a</vt:lpstr>
      <vt:lpstr>IRCG_res_c</vt:lpstr>
      <vt:lpstr>IRCI_far_a</vt:lpstr>
      <vt:lpstr>IRCI_far_c</vt:lpstr>
      <vt:lpstr>IRCI_res_a</vt:lpstr>
      <vt:lpstr>IRCI_res_c</vt:lpstr>
      <vt:lpstr>IRCO_far_a</vt:lpstr>
      <vt:lpstr>IRCO_far_c</vt:lpstr>
      <vt:lpstr>IRCO_res_a</vt:lpstr>
      <vt:lpstr>IRCO_res_c</vt:lpstr>
      <vt:lpstr>IRCR_far_a</vt:lpstr>
      <vt:lpstr>IRCR_far_c</vt:lpstr>
      <vt:lpstr>IRCR_res_a</vt:lpstr>
      <vt:lpstr>IRCR_res_c</vt:lpstr>
      <vt:lpstr>IRCU_far_a</vt:lpstr>
      <vt:lpstr>IRCU_far_c</vt:lpstr>
      <vt:lpstr>IRCU_res_a</vt:lpstr>
      <vt:lpstr>IRCU_res_c</vt:lpstr>
      <vt:lpstr>IRD_far_a</vt:lpstr>
      <vt:lpstr>IRD_far_c</vt:lpstr>
      <vt:lpstr>IRE_far_a</vt:lpstr>
      <vt:lpstr>IRE_far_c</vt:lpstr>
      <vt:lpstr>IRF_res</vt:lpstr>
      <vt:lpstr>IRFI_far_a</vt:lpstr>
      <vt:lpstr>IRFI_far_c</vt:lpstr>
      <vt:lpstr>IRGF_rec</vt:lpstr>
      <vt:lpstr>IRGL_rec</vt:lpstr>
      <vt:lpstr>IRGM_far_a</vt:lpstr>
      <vt:lpstr>IRGM_far_c</vt:lpstr>
      <vt:lpstr>IRGO_far_a</vt:lpstr>
      <vt:lpstr>IRGO_far_c</vt:lpstr>
      <vt:lpstr>IRLE_far_a</vt:lpstr>
      <vt:lpstr>IRLE_far_c</vt:lpstr>
      <vt:lpstr>IRLE_res_a</vt:lpstr>
      <vt:lpstr>IRLE_res_c</vt:lpstr>
      <vt:lpstr>IRLI_far_a</vt:lpstr>
      <vt:lpstr>IRLI_far_c</vt:lpstr>
      <vt:lpstr>IRLI_res_a</vt:lpstr>
      <vt:lpstr>IRLI_res_c</vt:lpstr>
      <vt:lpstr>IROK_far_a</vt:lpstr>
      <vt:lpstr>IROK_far_c</vt:lpstr>
      <vt:lpstr>IROK_res_a</vt:lpstr>
      <vt:lpstr>IROK_res_c</vt:lpstr>
      <vt:lpstr>IRON_far_a</vt:lpstr>
      <vt:lpstr>IRON_far_c</vt:lpstr>
      <vt:lpstr>IRON_res_a</vt:lpstr>
      <vt:lpstr>IRON_res_c</vt:lpstr>
      <vt:lpstr>IRP_far_a</vt:lpstr>
      <vt:lpstr>IRP_far_c</vt:lpstr>
      <vt:lpstr>IRPC_far_a</vt:lpstr>
      <vt:lpstr>IRPC_far_c</vt:lpstr>
      <vt:lpstr>IRPC_res_a</vt:lpstr>
      <vt:lpstr>IRPC_res_c</vt:lpstr>
      <vt:lpstr>IRPE_far_a</vt:lpstr>
      <vt:lpstr>IRPE_far_c</vt:lpstr>
      <vt:lpstr>IRPE_res_a</vt:lpstr>
      <vt:lpstr>IRPE_res_c</vt:lpstr>
      <vt:lpstr>IRPR_far_a</vt:lpstr>
      <vt:lpstr>IRPR_far_c</vt:lpstr>
      <vt:lpstr>IRPR_res_a</vt:lpstr>
      <vt:lpstr>IRPR_res_c</vt:lpstr>
      <vt:lpstr>IRPT_far_a</vt:lpstr>
      <vt:lpstr>IRPT_far_c</vt:lpstr>
      <vt:lpstr>IRPT_res_a</vt:lpstr>
      <vt:lpstr>IRPT_res_c</vt:lpstr>
      <vt:lpstr>IRPU_far_a</vt:lpstr>
      <vt:lpstr>IRPU_far_c</vt:lpstr>
      <vt:lpstr>IRPU_res_a</vt:lpstr>
      <vt:lpstr>IRPU_res_c</vt:lpstr>
      <vt:lpstr>IRRI_far_a</vt:lpstr>
      <vt:lpstr>IRRI_far_c</vt:lpstr>
      <vt:lpstr>IRRI_res_a</vt:lpstr>
      <vt:lpstr>IRRI_res_c</vt:lpstr>
      <vt:lpstr>IRS_far_a</vt:lpstr>
      <vt:lpstr>IRS_far_c</vt:lpstr>
      <vt:lpstr>IRS_rec_a</vt:lpstr>
      <vt:lpstr>IRS_rec_c</vt:lpstr>
      <vt:lpstr>IRS_res_a</vt:lpstr>
      <vt:lpstr>IRS_res_c</vt:lpstr>
      <vt:lpstr>IRSH_far_a</vt:lpstr>
      <vt:lpstr>IRSH_far_c</vt:lpstr>
      <vt:lpstr>IRSM_far_a</vt:lpstr>
      <vt:lpstr>IRSM_far_c</vt:lpstr>
      <vt:lpstr>IRSN_far_a</vt:lpstr>
      <vt:lpstr>IRSN_far_c</vt:lpstr>
      <vt:lpstr>IRSN_res_a</vt:lpstr>
      <vt:lpstr>IRSN_res_c</vt:lpstr>
      <vt:lpstr>IRST_far_a</vt:lpstr>
      <vt:lpstr>IRST_far_c</vt:lpstr>
      <vt:lpstr>IRST_res_a</vt:lpstr>
      <vt:lpstr>IRST_res_c</vt:lpstr>
      <vt:lpstr>IRSW_far_a</vt:lpstr>
      <vt:lpstr>IRSW_far_c</vt:lpstr>
      <vt:lpstr>IRTO_far_a</vt:lpstr>
      <vt:lpstr>IRTO_far_c</vt:lpstr>
      <vt:lpstr>IRTO_res_a</vt:lpstr>
      <vt:lpstr>IRTO_res_c</vt:lpstr>
      <vt:lpstr>IRW_far_a</vt:lpstr>
      <vt:lpstr>IRW_far_c</vt:lpstr>
      <vt:lpstr>IRW_rec_a</vt:lpstr>
      <vt:lpstr>IRW_rec_c</vt:lpstr>
      <vt:lpstr>IRW_res_a</vt:lpstr>
      <vt:lpstr>IRW_res_c</vt:lpstr>
      <vt:lpstr>K</vt:lpstr>
      <vt:lpstr>K_s2gw</vt:lpstr>
      <vt:lpstr>L_s2gw</vt:lpstr>
      <vt:lpstr>lambda_HL</vt:lpstr>
      <vt:lpstr>MLF_apple</vt:lpstr>
      <vt:lpstr>MLF_asparagus</vt:lpstr>
      <vt:lpstr>MLF_beet</vt:lpstr>
      <vt:lpstr>MLF_berries</vt:lpstr>
      <vt:lpstr>MLF_broccoli</vt:lpstr>
      <vt:lpstr>MLF_cabbage</vt:lpstr>
      <vt:lpstr>MLF_carrot</vt:lpstr>
      <vt:lpstr>MLF_cereal</vt:lpstr>
      <vt:lpstr>MLF_citrus</vt:lpstr>
      <vt:lpstr>MLF_corn</vt:lpstr>
      <vt:lpstr>MLF_cucumber</vt:lpstr>
      <vt:lpstr>MLF_lettuce</vt:lpstr>
      <vt:lpstr>MLF_lima_bean</vt:lpstr>
      <vt:lpstr>MLF_okra</vt:lpstr>
      <vt:lpstr>MLF_onion</vt:lpstr>
      <vt:lpstr>MLF_pasture</vt:lpstr>
      <vt:lpstr>MLF_peach</vt:lpstr>
      <vt:lpstr>MLF_pear</vt:lpstr>
      <vt:lpstr>MLF_peas</vt:lpstr>
      <vt:lpstr>MLF_potato</vt:lpstr>
      <vt:lpstr>MLF_pumpkin</vt:lpstr>
      <vt:lpstr>MLF_rice</vt:lpstr>
      <vt:lpstr>MLF_snap_bean</vt:lpstr>
      <vt:lpstr>MLF_strawberry</vt:lpstr>
      <vt:lpstr>MLF_tomato</vt:lpstr>
      <vt:lpstr>P</vt:lpstr>
      <vt:lpstr>PEF_wind</vt:lpstr>
      <vt:lpstr>Q_C_wind</vt:lpstr>
      <vt:lpstr>Q_p_beef</vt:lpstr>
      <vt:lpstr>Q_p_dairy</vt:lpstr>
      <vt:lpstr>Q_p_egg</vt:lpstr>
      <vt:lpstr>Q_p_fowl</vt:lpstr>
      <vt:lpstr>Q_p_game</vt:lpstr>
      <vt:lpstr>Q_p_goat</vt:lpstr>
      <vt:lpstr>Q_p_goat_milk</vt:lpstr>
      <vt:lpstr>Q_p_poultry</vt:lpstr>
      <vt:lpstr>Q_p_sheep</vt:lpstr>
      <vt:lpstr>Q_p_sheep_milk</vt:lpstr>
      <vt:lpstr>Q_p_swine</vt:lpstr>
      <vt:lpstr>Q_s_beef</vt:lpstr>
      <vt:lpstr>Q_s_dairy</vt:lpstr>
      <vt:lpstr>Q_s_egg</vt:lpstr>
      <vt:lpstr>Q_s_fowl</vt:lpstr>
      <vt:lpstr>Q_s_game</vt:lpstr>
      <vt:lpstr>Q_s_poultry</vt:lpstr>
      <vt:lpstr>Q_s_sheep</vt:lpstr>
      <vt:lpstr>Q_s_sheep_milk</vt:lpstr>
      <vt:lpstr>Q_s_swine</vt:lpstr>
      <vt:lpstr>Q_w_beef</vt:lpstr>
      <vt:lpstr>Q_w_dairy</vt:lpstr>
      <vt:lpstr>Q_w_egg</vt:lpstr>
      <vt:lpstr>Q_w_fowl</vt:lpstr>
      <vt:lpstr>Q_w_game</vt:lpstr>
      <vt:lpstr>Q_w_goat</vt:lpstr>
      <vt:lpstr>Q_w_goat_milk</vt:lpstr>
      <vt:lpstr>Q_w_poultry</vt:lpstr>
      <vt:lpstr>Q_w_sheep</vt:lpstr>
      <vt:lpstr>Q_w_sheep_milk</vt:lpstr>
      <vt:lpstr>Q_w_swine</vt:lpstr>
      <vt:lpstr>R_es_past</vt:lpstr>
      <vt:lpstr>s_A_wind</vt:lpstr>
      <vt:lpstr>s_As</vt:lpstr>
      <vt:lpstr>s_B_wind</vt:lpstr>
      <vt:lpstr>s_C</vt:lpstr>
      <vt:lpstr>s_C_wind</vt:lpstr>
      <vt:lpstr>s_CF_apple</vt:lpstr>
      <vt:lpstr>s_CF_asparagus</vt:lpstr>
      <vt:lpstr>s_CF_beet</vt:lpstr>
      <vt:lpstr>s_CF_berries</vt:lpstr>
      <vt:lpstr>s_CF_broccoli</vt:lpstr>
      <vt:lpstr>s_CF_cabbage</vt:lpstr>
      <vt:lpstr>s_CF_carrot</vt:lpstr>
      <vt:lpstr>s_CF_cereal</vt:lpstr>
      <vt:lpstr>s_CF_citrus</vt:lpstr>
      <vt:lpstr>s_CF_corn</vt:lpstr>
      <vt:lpstr>s_CF_cucumber</vt:lpstr>
      <vt:lpstr>s_CF_far_beef</vt:lpstr>
      <vt:lpstr>s_CF_far_dairy</vt:lpstr>
      <vt:lpstr>s_CF_far_egg</vt:lpstr>
      <vt:lpstr>s_CF_far_fish</vt:lpstr>
      <vt:lpstr>s_CF_far_goat</vt:lpstr>
      <vt:lpstr>s_CF_far_goat_milk</vt:lpstr>
      <vt:lpstr>s_CF_far_poultry</vt:lpstr>
      <vt:lpstr>s_CF_far_sheep</vt:lpstr>
      <vt:lpstr>s_CF_far_sheep_milk</vt:lpstr>
      <vt:lpstr>s_CF_far_swine</vt:lpstr>
      <vt:lpstr>s_CF_fowl</vt:lpstr>
      <vt:lpstr>s_CF_game</vt:lpstr>
      <vt:lpstr>s_CF_lettuce</vt:lpstr>
      <vt:lpstr>s_CF_lima_bean</vt:lpstr>
      <vt:lpstr>s_CF_okra</vt:lpstr>
      <vt:lpstr>s_CF_onion</vt:lpstr>
      <vt:lpstr>s_CF_peach</vt:lpstr>
      <vt:lpstr>s_CF_pear</vt:lpstr>
      <vt:lpstr>s_CF_peas</vt:lpstr>
      <vt:lpstr>s_CF_potato</vt:lpstr>
      <vt:lpstr>s_CF_pumpkin</vt:lpstr>
      <vt:lpstr>s_CF_res_fish</vt:lpstr>
      <vt:lpstr>s_CF_rice</vt:lpstr>
      <vt:lpstr>s_CF_snap_bean</vt:lpstr>
      <vt:lpstr>s_CF_strawberry</vt:lpstr>
      <vt:lpstr>s_CF_tomato</vt:lpstr>
      <vt:lpstr>s_d_a</vt:lpstr>
      <vt:lpstr>s_D_milk</vt:lpstr>
      <vt:lpstr>s_d_s</vt:lpstr>
      <vt:lpstr>s_DAF</vt:lpstr>
      <vt:lpstr>s_DF_i</vt:lpstr>
      <vt:lpstr>s_DFA_far_adj</vt:lpstr>
      <vt:lpstr>s_DFA_rec_adj</vt:lpstr>
      <vt:lpstr>s_DFA_res_adj</vt:lpstr>
      <vt:lpstr>s_dm</vt:lpstr>
      <vt:lpstr>s_ED_far</vt:lpstr>
      <vt:lpstr>s_ED_far_a</vt:lpstr>
      <vt:lpstr>s_ED_far_c</vt:lpstr>
      <vt:lpstr>s_ED_rec</vt:lpstr>
      <vt:lpstr>s_ED_rec_a</vt:lpstr>
      <vt:lpstr>s_ED_rec_c</vt:lpstr>
      <vt:lpstr>s_ED_res</vt:lpstr>
      <vt:lpstr>s_ED_res_a</vt:lpstr>
      <vt:lpstr>s_ED_res_c</vt:lpstr>
      <vt:lpstr>s_ED_s2gw</vt:lpstr>
      <vt:lpstr>s_EF_far</vt:lpstr>
      <vt:lpstr>s_EF_far_a</vt:lpstr>
      <vt:lpstr>s_EF_far_c</vt:lpstr>
      <vt:lpstr>s_EF_rec</vt:lpstr>
      <vt:lpstr>s_EF_rec_a</vt:lpstr>
      <vt:lpstr>s_EF_rec_c</vt:lpstr>
      <vt:lpstr>s_EF_res</vt:lpstr>
      <vt:lpstr>s_EF_res_a</vt:lpstr>
      <vt:lpstr>s_EF_res_c</vt:lpstr>
      <vt:lpstr>s_ET_event_far_a</vt:lpstr>
      <vt:lpstr>s_ET_event_far_c</vt:lpstr>
      <vt:lpstr>s_ET_event_rec_a</vt:lpstr>
      <vt:lpstr>s_ET_event_rec_c</vt:lpstr>
      <vt:lpstr>s_ET_event_res_a</vt:lpstr>
      <vt:lpstr>s_ET_event_res_c</vt:lpstr>
      <vt:lpstr>s_ET_far</vt:lpstr>
      <vt:lpstr>s_ET_far_a</vt:lpstr>
      <vt:lpstr>s_ET_far_c</vt:lpstr>
      <vt:lpstr>s_ET_far_i</vt:lpstr>
      <vt:lpstr>s_ET_far_o</vt:lpstr>
      <vt:lpstr>s_ET_rec</vt:lpstr>
      <vt:lpstr>s_ET_rec_a</vt:lpstr>
      <vt:lpstr>s_ET_rec_c</vt:lpstr>
      <vt:lpstr>s_ET_res</vt:lpstr>
      <vt:lpstr>s_ET_res_a</vt:lpstr>
      <vt:lpstr>s_ET_res_c</vt:lpstr>
      <vt:lpstr>s_ET_res_i</vt:lpstr>
      <vt:lpstr>s_ET_res_o</vt:lpstr>
      <vt:lpstr>s_EV_far_a</vt:lpstr>
      <vt:lpstr>s_EV_far_c</vt:lpstr>
      <vt:lpstr>s_EV_rec_a</vt:lpstr>
      <vt:lpstr>s_EV_rec_c</vt:lpstr>
      <vt:lpstr>s_EV_res_a</vt:lpstr>
      <vt:lpstr>s_EV_res_c</vt:lpstr>
      <vt:lpstr>s_F</vt:lpstr>
      <vt:lpstr>s_f_p_beef</vt:lpstr>
      <vt:lpstr>s_f_p_dairy</vt:lpstr>
      <vt:lpstr>s_f_p_egg</vt:lpstr>
      <vt:lpstr>s_f_p_fowl</vt:lpstr>
      <vt:lpstr>s_f_p_game</vt:lpstr>
      <vt:lpstr>s_f_p_goat</vt:lpstr>
      <vt:lpstr>s_f_p_goat_milk</vt:lpstr>
      <vt:lpstr>s_f_p_poultry</vt:lpstr>
      <vt:lpstr>s_f_p_sheep</vt:lpstr>
      <vt:lpstr>s_f_p_sheep_milk</vt:lpstr>
      <vt:lpstr>s_f_p_swine</vt:lpstr>
      <vt:lpstr>s_f_s_beef</vt:lpstr>
      <vt:lpstr>s_f_s_dairy</vt:lpstr>
      <vt:lpstr>s_f_s_egg</vt:lpstr>
      <vt:lpstr>s_f_s_fowl</vt:lpstr>
      <vt:lpstr>s_f_s_game</vt:lpstr>
      <vt:lpstr>s_f_s_goat</vt:lpstr>
      <vt:lpstr>s_f_s_goat_milk</vt:lpstr>
      <vt:lpstr>s_f_s_poultry</vt:lpstr>
      <vt:lpstr>s_f_s_sheep</vt:lpstr>
      <vt:lpstr>s_f_s_sheep_milk</vt:lpstr>
      <vt:lpstr>s_f_s_swine</vt:lpstr>
      <vt:lpstr>s_F_x</vt:lpstr>
      <vt:lpstr>s_GSF_a</vt:lpstr>
      <vt:lpstr>s_GSF_i</vt:lpstr>
      <vt:lpstr>s_GSF_o</vt:lpstr>
      <vt:lpstr>s_I_f</vt:lpstr>
      <vt:lpstr>s_i_s2gw</vt:lpstr>
      <vt:lpstr>s_IFA_far_adj</vt:lpstr>
      <vt:lpstr>s_IFA_rec_adj</vt:lpstr>
      <vt:lpstr>s_IFA_res_adj</vt:lpstr>
      <vt:lpstr>s_IFAP_far_adj</vt:lpstr>
      <vt:lpstr>s_IFAP_res_adj</vt:lpstr>
      <vt:lpstr>s_IFAS_far_adj</vt:lpstr>
      <vt:lpstr>s_IFAS_res_adj</vt:lpstr>
      <vt:lpstr>s_IFB_far_adj</vt:lpstr>
      <vt:lpstr>s_IFBE_far_adj</vt:lpstr>
      <vt:lpstr>s_IFBE_res_adj</vt:lpstr>
      <vt:lpstr>s_IFBR_far_adj</vt:lpstr>
      <vt:lpstr>s_IFBR_res_adj</vt:lpstr>
      <vt:lpstr>s_IFBT_far_adj</vt:lpstr>
      <vt:lpstr>s_IFBT_res_adj</vt:lpstr>
      <vt:lpstr>s_IFCB_far_adj</vt:lpstr>
      <vt:lpstr>s_IFCB_res_adj</vt:lpstr>
      <vt:lpstr>s_IFCG_far_adj</vt:lpstr>
      <vt:lpstr>s_IFCG_res_adj</vt:lpstr>
      <vt:lpstr>s_IFCI_far_adj</vt:lpstr>
      <vt:lpstr>s_IFCI_res_adj</vt:lpstr>
      <vt:lpstr>s_IFCO_far_adj</vt:lpstr>
      <vt:lpstr>s_IFCO_res_adj</vt:lpstr>
      <vt:lpstr>s_IFCR_far_adj</vt:lpstr>
      <vt:lpstr>s_IFCR_res_adj</vt:lpstr>
      <vt:lpstr>s_IFCU_far_adj</vt:lpstr>
      <vt:lpstr>s_IFCU_res_adj</vt:lpstr>
      <vt:lpstr>s_IFD_far_adj</vt:lpstr>
      <vt:lpstr>s_IFE_far_adj</vt:lpstr>
      <vt:lpstr>s_IFFI_far_adj</vt:lpstr>
      <vt:lpstr>s_IFGM_far_adj</vt:lpstr>
      <vt:lpstr>s_IFGO_far_adj</vt:lpstr>
      <vt:lpstr>s_IFLE_far_adj</vt:lpstr>
      <vt:lpstr>s_IFLE_res_adj</vt:lpstr>
      <vt:lpstr>s_IFLI_far_adj</vt:lpstr>
      <vt:lpstr>s_IFLI_res_adj</vt:lpstr>
      <vt:lpstr>s_IFOK_far_adj</vt:lpstr>
      <vt:lpstr>s_IFOK_res_adj</vt:lpstr>
      <vt:lpstr>s_IFON_far_adj</vt:lpstr>
      <vt:lpstr>s_IFON_res_adj</vt:lpstr>
      <vt:lpstr>s_IFP_far_adj</vt:lpstr>
      <vt:lpstr>s_IFPC_far_adj</vt:lpstr>
      <vt:lpstr>s_IFPC_res_adj</vt:lpstr>
      <vt:lpstr>s_IFPE_far_adj</vt:lpstr>
      <vt:lpstr>s_IFPE_res_adj</vt:lpstr>
      <vt:lpstr>s_IFPR_far_adj</vt:lpstr>
      <vt:lpstr>s_IFPR_res_adj</vt:lpstr>
      <vt:lpstr>s_IFPT_far_adj</vt:lpstr>
      <vt:lpstr>s_IFPT_res_adj</vt:lpstr>
      <vt:lpstr>s_IFPU_far_adj</vt:lpstr>
      <vt:lpstr>s_IFPU_res_adj</vt:lpstr>
      <vt:lpstr>s_IFRI_far_adj</vt:lpstr>
      <vt:lpstr>s_IFRI_res_adj</vt:lpstr>
      <vt:lpstr>s_IFS_far_adj</vt:lpstr>
      <vt:lpstr>s_IFS_rec_adj</vt:lpstr>
      <vt:lpstr>s_IFS_res_adj</vt:lpstr>
      <vt:lpstr>s_IFSH_far_adj</vt:lpstr>
      <vt:lpstr>s_IFSM_far_adj</vt:lpstr>
      <vt:lpstr>s_IFSN_far_adj</vt:lpstr>
      <vt:lpstr>s_IFSN_res_adj</vt:lpstr>
      <vt:lpstr>s_IFST_far_adj</vt:lpstr>
      <vt:lpstr>s_IFST_res_adj</vt:lpstr>
      <vt:lpstr>s_IFSW_far_adj</vt:lpstr>
      <vt:lpstr>s_IFTO_far_adj</vt:lpstr>
      <vt:lpstr>s_IFTO_res_adj</vt:lpstr>
      <vt:lpstr>s_IFW_far_adj</vt:lpstr>
      <vt:lpstr>s_IFW_rec_adj</vt:lpstr>
      <vt:lpstr>s_IFW_res_adj</vt:lpstr>
      <vt:lpstr>s_Ir</vt:lpstr>
      <vt:lpstr>s_IRA_far_a</vt:lpstr>
      <vt:lpstr>s_IRA_far_c</vt:lpstr>
      <vt:lpstr>s_IRA_rec_a</vt:lpstr>
      <vt:lpstr>s_IRA_rec_c</vt:lpstr>
      <vt:lpstr>s_IRA_res_a</vt:lpstr>
      <vt:lpstr>s_IRA_res_c</vt:lpstr>
      <vt:lpstr>s_IRAP_far_a</vt:lpstr>
      <vt:lpstr>s_IRAP_far_c</vt:lpstr>
      <vt:lpstr>s_IRAP_res_a</vt:lpstr>
      <vt:lpstr>s_IRAP_res_c</vt:lpstr>
      <vt:lpstr>s_IRAS_far_a</vt:lpstr>
      <vt:lpstr>s_IRAS_far_c</vt:lpstr>
      <vt:lpstr>s_IRAS_res_a</vt:lpstr>
      <vt:lpstr>s_IRAS_res_c</vt:lpstr>
      <vt:lpstr>s_IRB_far_a</vt:lpstr>
      <vt:lpstr>s_IRB_far_c</vt:lpstr>
      <vt:lpstr>s_IRBE_far_a</vt:lpstr>
      <vt:lpstr>s_IRBE_far_c</vt:lpstr>
      <vt:lpstr>s_IRBE_res_a</vt:lpstr>
      <vt:lpstr>s_IRBE_res_c</vt:lpstr>
      <vt:lpstr>s_IRBR_far_a</vt:lpstr>
      <vt:lpstr>s_IRBR_far_c</vt:lpstr>
      <vt:lpstr>s_IRBR_res_a</vt:lpstr>
      <vt:lpstr>s_IRBR_res_c</vt:lpstr>
      <vt:lpstr>s_IRBT_far_a</vt:lpstr>
      <vt:lpstr>s_IRBT_far_c</vt:lpstr>
      <vt:lpstr>s_IRBT_res_a</vt:lpstr>
      <vt:lpstr>s_IRBT_res_c</vt:lpstr>
      <vt:lpstr>s_IRCB_far_a</vt:lpstr>
      <vt:lpstr>s_IRCB_far_c</vt:lpstr>
      <vt:lpstr>s_IRCB_res_a</vt:lpstr>
      <vt:lpstr>s_IRCB_res_c</vt:lpstr>
      <vt:lpstr>s_IRCG_far_a</vt:lpstr>
      <vt:lpstr>s_IRCG_far_c</vt:lpstr>
      <vt:lpstr>s_IRCG_res_a</vt:lpstr>
      <vt:lpstr>s_IRCG_res_c</vt:lpstr>
      <vt:lpstr>s_IRCI_far_a</vt:lpstr>
      <vt:lpstr>s_IRCI_far_c</vt:lpstr>
      <vt:lpstr>s_IRCI_res_a</vt:lpstr>
      <vt:lpstr>s_IRCI_res_c</vt:lpstr>
      <vt:lpstr>s_IRCO_far_a</vt:lpstr>
      <vt:lpstr>s_IRCO_far_c</vt:lpstr>
      <vt:lpstr>s_IRCO_res_a</vt:lpstr>
      <vt:lpstr>s_IRCO_res_c</vt:lpstr>
      <vt:lpstr>s_IRCR_far_a</vt:lpstr>
      <vt:lpstr>s_IRCR_far_c</vt:lpstr>
      <vt:lpstr>s_IRCR_res_a</vt:lpstr>
      <vt:lpstr>s_IRCR_res_c</vt:lpstr>
      <vt:lpstr>s_IRCU_far_a</vt:lpstr>
      <vt:lpstr>s_IRCU_far_c</vt:lpstr>
      <vt:lpstr>s_IRCU_res_a</vt:lpstr>
      <vt:lpstr>s_IRCU_res_c</vt:lpstr>
      <vt:lpstr>s_IRD_far_a</vt:lpstr>
      <vt:lpstr>s_IRD_far_c</vt:lpstr>
      <vt:lpstr>s_IRE_far_a</vt:lpstr>
      <vt:lpstr>s_IRE_far_c</vt:lpstr>
      <vt:lpstr>s_IRF_res</vt:lpstr>
      <vt:lpstr>s_IRFI_far_a</vt:lpstr>
      <vt:lpstr>s_IRFI_far_c</vt:lpstr>
      <vt:lpstr>s_IRGF_rec</vt:lpstr>
      <vt:lpstr>s_IRGL_rec</vt:lpstr>
      <vt:lpstr>s_IRGM_far_a</vt:lpstr>
      <vt:lpstr>s_IRGM_far_c</vt:lpstr>
      <vt:lpstr>s_IRGO_far_a</vt:lpstr>
      <vt:lpstr>s_IRGO_far_c</vt:lpstr>
      <vt:lpstr>s_IRLE_far_a</vt:lpstr>
      <vt:lpstr>s_IRLE_far_c</vt:lpstr>
      <vt:lpstr>s_IRLE_res_a</vt:lpstr>
      <vt:lpstr>s_IRLE_res_c</vt:lpstr>
      <vt:lpstr>s_IRLI_far_a</vt:lpstr>
      <vt:lpstr>s_IRLI_far_c</vt:lpstr>
      <vt:lpstr>s_IRLI_res_a</vt:lpstr>
      <vt:lpstr>s_IRLI_res_c</vt:lpstr>
      <vt:lpstr>s_IROK_far_a</vt:lpstr>
      <vt:lpstr>s_IROK_far_c</vt:lpstr>
      <vt:lpstr>s_IROK_res_a</vt:lpstr>
      <vt:lpstr>s_IROK_res_c</vt:lpstr>
      <vt:lpstr>s_IRON_far_a</vt:lpstr>
      <vt:lpstr>s_IRON_far_c</vt:lpstr>
      <vt:lpstr>s_IRON_res_a</vt:lpstr>
      <vt:lpstr>s_IRON_res_c</vt:lpstr>
      <vt:lpstr>s_IRP_far_a</vt:lpstr>
      <vt:lpstr>s_IRP_far_c</vt:lpstr>
      <vt:lpstr>s_IRPC_far_a</vt:lpstr>
      <vt:lpstr>s_IRPC_far_c</vt:lpstr>
      <vt:lpstr>s_IRPC_res_a</vt:lpstr>
      <vt:lpstr>s_IRPC_res_c</vt:lpstr>
      <vt:lpstr>s_IRPE_far_a</vt:lpstr>
      <vt:lpstr>s_IRPE_far_c</vt:lpstr>
      <vt:lpstr>s_IRPE_res_a</vt:lpstr>
      <vt:lpstr>s_IRPE_res_c</vt:lpstr>
      <vt:lpstr>s_IRPR_far_a</vt:lpstr>
      <vt:lpstr>s_IRPR_far_c</vt:lpstr>
      <vt:lpstr>s_IRPR_res_a</vt:lpstr>
      <vt:lpstr>s_IRPR_res_c</vt:lpstr>
      <vt:lpstr>s_IRPT_far_a</vt:lpstr>
      <vt:lpstr>s_IRPT_far_c</vt:lpstr>
      <vt:lpstr>s_IRPT_res_a</vt:lpstr>
      <vt:lpstr>s_IRPT_res_c</vt:lpstr>
      <vt:lpstr>s_IRPU_far_a</vt:lpstr>
      <vt:lpstr>s_IRPU_far_c</vt:lpstr>
      <vt:lpstr>s_IRPU_res_a</vt:lpstr>
      <vt:lpstr>s_IRPU_res_c</vt:lpstr>
      <vt:lpstr>s_IRRI_far_a</vt:lpstr>
      <vt:lpstr>s_IRRI_far_c</vt:lpstr>
      <vt:lpstr>s_IRRI_res_a</vt:lpstr>
      <vt:lpstr>s_IRRI_res_c</vt:lpstr>
      <vt:lpstr>s_IRS_far_a</vt:lpstr>
      <vt:lpstr>s_IRS_far_c</vt:lpstr>
      <vt:lpstr>s_IRS_rec_a</vt:lpstr>
      <vt:lpstr>s_IRS_rec_c</vt:lpstr>
      <vt:lpstr>s_IRS_res_a</vt:lpstr>
      <vt:lpstr>s_IRS_res_c</vt:lpstr>
      <vt:lpstr>s_IRSH_far_a</vt:lpstr>
      <vt:lpstr>s_IRSH_far_c</vt:lpstr>
      <vt:lpstr>s_IRSM_far_a</vt:lpstr>
      <vt:lpstr>s_IRSM_far_c</vt:lpstr>
      <vt:lpstr>s_IRSN_far_a</vt:lpstr>
      <vt:lpstr>s_IRSN_far_c</vt:lpstr>
      <vt:lpstr>s_IRSN_res_a</vt:lpstr>
      <vt:lpstr>s_IRSN_res_c</vt:lpstr>
      <vt:lpstr>s_IRST_far_a</vt:lpstr>
      <vt:lpstr>s_IRST_far_c</vt:lpstr>
      <vt:lpstr>s_IRST_res_a</vt:lpstr>
      <vt:lpstr>s_IRST_res_c</vt:lpstr>
      <vt:lpstr>s_IRSW_far_a</vt:lpstr>
      <vt:lpstr>s_IRSW_far_c</vt:lpstr>
      <vt:lpstr>s_IRTO_far_a</vt:lpstr>
      <vt:lpstr>s_IRTO_far_c</vt:lpstr>
      <vt:lpstr>s_IRTO_res_a</vt:lpstr>
      <vt:lpstr>s_IRTO_res_c</vt:lpstr>
      <vt:lpstr>s_IRW_far_a</vt:lpstr>
      <vt:lpstr>s_IRW_far_c</vt:lpstr>
      <vt:lpstr>s_IRW_rec_a</vt:lpstr>
      <vt:lpstr>s_IRW_rec_c</vt:lpstr>
      <vt:lpstr>s_IRW_res_a</vt:lpstr>
      <vt:lpstr>s_IRW_res_c</vt:lpstr>
      <vt:lpstr>s_K</vt:lpstr>
      <vt:lpstr>s_K_s2gw</vt:lpstr>
      <vt:lpstr>s_L_s2gw</vt:lpstr>
      <vt:lpstr>s_lambda_HL</vt:lpstr>
      <vt:lpstr>s_ls2gw</vt:lpstr>
      <vt:lpstr>s_MLF_apple</vt:lpstr>
      <vt:lpstr>s_MLF_asparagus</vt:lpstr>
      <vt:lpstr>s_MLF_beet</vt:lpstr>
      <vt:lpstr>s_MLF_berries</vt:lpstr>
      <vt:lpstr>s_MLF_broccoli</vt:lpstr>
      <vt:lpstr>s_MLF_cabbage</vt:lpstr>
      <vt:lpstr>s_MLF_carrot</vt:lpstr>
      <vt:lpstr>s_MLF_cereal</vt:lpstr>
      <vt:lpstr>s_MLF_citrus</vt:lpstr>
      <vt:lpstr>s_MLF_corn</vt:lpstr>
      <vt:lpstr>s_MLF_cucumber</vt:lpstr>
      <vt:lpstr>s_MLF_lettuce</vt:lpstr>
      <vt:lpstr>s_MLF_lima_bean</vt:lpstr>
      <vt:lpstr>s_MLF_okra</vt:lpstr>
      <vt:lpstr>s_MLF_onion</vt:lpstr>
      <vt:lpstr>s_MLF_pasture</vt:lpstr>
      <vt:lpstr>s_MLF_peach</vt:lpstr>
      <vt:lpstr>s_MLF_pear</vt:lpstr>
      <vt:lpstr>s_MLF_peas</vt:lpstr>
      <vt:lpstr>s_MLF_potato</vt:lpstr>
      <vt:lpstr>s_MLF_pumpkin</vt:lpstr>
      <vt:lpstr>s_MLF_rice</vt:lpstr>
      <vt:lpstr>s_MLF_snap_bean</vt:lpstr>
      <vt:lpstr>s_MLF_strawberry</vt:lpstr>
      <vt:lpstr>s_MLF_tomato</vt:lpstr>
      <vt:lpstr>s_P</vt:lpstr>
      <vt:lpstr>s_PEF_wind</vt:lpstr>
      <vt:lpstr>s_Q_C_wind</vt:lpstr>
      <vt:lpstr>s_Q_p_beef</vt:lpstr>
      <vt:lpstr>s_Q_p_dairy</vt:lpstr>
      <vt:lpstr>s_Q_p_egg</vt:lpstr>
      <vt:lpstr>s_Q_p_fowl</vt:lpstr>
      <vt:lpstr>s_Q_p_game</vt:lpstr>
      <vt:lpstr>s_Q_p_goat</vt:lpstr>
      <vt:lpstr>s_Q_p_goat_milk</vt:lpstr>
      <vt:lpstr>s_Q_p_poultry</vt:lpstr>
      <vt:lpstr>s_Q_p_sheep</vt:lpstr>
      <vt:lpstr>s_Q_p_sheep_milk</vt:lpstr>
      <vt:lpstr>s_Q_p_swine</vt:lpstr>
      <vt:lpstr>s_Q_s_beef</vt:lpstr>
      <vt:lpstr>s_Q_s_dairy</vt:lpstr>
      <vt:lpstr>s_Q_s_egg</vt:lpstr>
      <vt:lpstr>s_Q_s_fowl</vt:lpstr>
      <vt:lpstr>s_Q_s_game</vt:lpstr>
      <vt:lpstr>s_Q_s_goat</vt:lpstr>
      <vt:lpstr>s_Q_s_goat_milk</vt:lpstr>
      <vt:lpstr>s_Q_s_poultry</vt:lpstr>
      <vt:lpstr>s_Q_s_sheep</vt:lpstr>
      <vt:lpstr>s_Q_s_sheep_milk</vt:lpstr>
      <vt:lpstr>s_Q_s_swine</vt:lpstr>
      <vt:lpstr>s_Q_w_beef</vt:lpstr>
      <vt:lpstr>s_Q_w_dairy</vt:lpstr>
      <vt:lpstr>s_Q_w_egg</vt:lpstr>
      <vt:lpstr>s_Q_w_fowl</vt:lpstr>
      <vt:lpstr>s_Q_w_game</vt:lpstr>
      <vt:lpstr>s_Q_w_goat</vt:lpstr>
      <vt:lpstr>s_Q_w_goat_milk</vt:lpstr>
      <vt:lpstr>s_Q_w_poultry</vt:lpstr>
      <vt:lpstr>s_Q_w_sheep</vt:lpstr>
      <vt:lpstr>s_Q_w_sheep_milk</vt:lpstr>
      <vt:lpstr>s_Q_w_swine</vt:lpstr>
      <vt:lpstr>s_R_es_past</vt:lpstr>
      <vt:lpstr>s_T</vt:lpstr>
      <vt:lpstr>s_t_b</vt:lpstr>
      <vt:lpstr>s_t_far</vt:lpstr>
      <vt:lpstr>s_t_rec</vt:lpstr>
      <vt:lpstr>s_t_res</vt:lpstr>
      <vt:lpstr>s_t_v</vt:lpstr>
      <vt:lpstr>s_t_w</vt:lpstr>
      <vt:lpstr>s_TR</vt:lpstr>
      <vt:lpstr>s_Um</vt:lpstr>
      <vt:lpstr>s_Ut</vt:lpstr>
      <vt:lpstr>s_V</vt:lpstr>
      <vt:lpstr>s_x</vt:lpstr>
      <vt:lpstr>s_Y_v</vt:lpstr>
      <vt:lpstr>s_θw</vt:lpstr>
      <vt:lpstr>s_ρb</vt:lpstr>
      <vt:lpstr>T</vt:lpstr>
      <vt:lpstr>t_b</vt:lpstr>
      <vt:lpstr>t_far</vt:lpstr>
      <vt:lpstr>t_rec</vt:lpstr>
      <vt:lpstr>t_res</vt:lpstr>
      <vt:lpstr>t_v</vt:lpstr>
      <vt:lpstr>t_w</vt:lpstr>
      <vt:lpstr>TR</vt:lpstr>
      <vt:lpstr>Um</vt:lpstr>
      <vt:lpstr>Ut</vt:lpstr>
      <vt:lpstr>V</vt:lpstr>
      <vt:lpstr>Y_v</vt:lpstr>
      <vt:lpstr>θw</vt:lpstr>
      <vt:lpstr>ρb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Manning, Karessa L.</dc:creator>
  <cp:lastModifiedBy>Manning, Karessa L.</cp:lastModifiedBy>
  <cp:lastPrinted>2017-04-12T15:41:27Z</cp:lastPrinted>
  <dcterms:created xsi:type="dcterms:W3CDTF">2016-04-21T20:28:57Z</dcterms:created>
  <dcterms:modified xsi:type="dcterms:W3CDTF">2019-06-17T20:00:49Z</dcterms:modified>
</cp:coreProperties>
</file>